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<sst xmlns="http://schemas.openxmlformats.org/spreadsheetml/2006/main" count="292044" uniqueCount="61015">
  <si>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</si>
  <si>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</si>
  <si>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</si>
  <si>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</si>
  <si>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</si>
  <si>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</si>
  <si>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</si>
  <si>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</si>
  <si>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</si>
  <si>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</si>
  <si>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</si>
  <si>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</si>
  <si>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</si>
  <si>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</si>
  <si>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</si>
  <si>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</si>
  <si>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</si>
  <si>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</si>
  <si>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</si>
  <si>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</si>
  <si>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</si>
  <si>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</si>
  <si>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</si>
  <si>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</si>
  <si>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TALISAY SOUTH ELEMENTARY SCHOOL</t>
  </si>
  <si>
    <t>CITY  OF HIMAMAYLAN, NEGROS OCCIDENTAL</t>
  </si>
  <si>
    <t>CITY OF MANDAUE, CEBU</t>
  </si>
  <si>
    <t>DEPARTMENT OF PUBLIC WORKS AND HIGHWAYS - QUEZON 1ST ED</t>
  </si>
  <si>
    <t>BULACAN STATE UNIVERSITY</t>
  </si>
  <si>
    <t>MABALACAT CITY WATER DISTRICT</t>
  </si>
  <si>
    <t>DEPARTMENT OF SCIENCE AND TECHNOLOGY - REGION IX</t>
  </si>
  <si>
    <t>BARANGAY LIBAS, CATBALOGAN, SAMAR</t>
  </si>
  <si>
    <t>BARANGAY DARAHUWAY DACO, CATBALOGAN CITY, SAMAR</t>
  </si>
  <si>
    <t>MUNICIPALITY OF SAN NICOLAS, PANGASINAN</t>
  </si>
  <si>
    <t>MUNICIPALITY OF TUMAUINI, ISABELA</t>
  </si>
  <si>
    <t>DEPARTMENT OF ENVIRONMENT AND NATURAL RESOURCES - NCR</t>
  </si>
  <si>
    <t>BARANGAY 10 POBLACION, CATBALOGAN CITY, SAMAR</t>
  </si>
  <si>
    <t>DANIEL M. PEREZ CENTRAL ELEMENTARY SCHOOL</t>
  </si>
  <si>
    <t>DEPARTMENT OF HEALTH - CARAGA</t>
  </si>
  <si>
    <t>BUREAU OF JAIL MANAGEMENT AND PENOLOGY-CALABARZON</t>
  </si>
  <si>
    <t>BARANGAY III, BUENAVISTA, MARINDUQUE</t>
  </si>
  <si>
    <t>LITTLE BAGUIO ELEMENTARY SCHOOL - SAN FERNANDO BUKIDNON</t>
  </si>
  <si>
    <t>BARANGAY LABANGAL, GENERAL SANTOS CITY</t>
  </si>
  <si>
    <t>MUNICIPALITY OF GASAN, MARINDUQUE</t>
  </si>
  <si>
    <t>BARANGAY MUZON II ROSARIO CAVITE</t>
  </si>
  <si>
    <t>BUREAU OF FISHERIES AND AQUATIC RESOURCES</t>
  </si>
  <si>
    <t>MUNICIPALITY OF LEMERY, BATANGAS</t>
  </si>
  <si>
    <t>ZAMBOANGA CITY WATER DISTRICT - ZAMBOANGA CITY ZAMBOANGA DEL</t>
  </si>
  <si>
    <t>PROVINCE OF ILOILO</t>
  </si>
  <si>
    <t>CITY OF PASIG</t>
  </si>
  <si>
    <t>ANGELA GONZAGA NATIONAL HIGH SCHOOL - BACOLOD CITY NEGROS OC</t>
  </si>
  <si>
    <t>MUNICIPALITY OF SAN JOSE DE BUENAVISTA, ANTIQUE</t>
  </si>
  <si>
    <t>CAWAYAN ELEMENTARY SCHOOL - DAVAO CITY</t>
  </si>
  <si>
    <t>NATIONAL FOOD AUTHORITY - REGION II</t>
  </si>
  <si>
    <t>DEPARTMENT OF AGRICULTURE - REGION III</t>
  </si>
  <si>
    <t>TAGUM WATER DISTRICT</t>
  </si>
  <si>
    <t>SAN CARLOS CITY WATER DISTRICT</t>
  </si>
  <si>
    <t>CITY OF PANABO, DAVAO DEL NORTE</t>
  </si>
  <si>
    <t>TESDA - CABUCGAYAN NATIONAL SCHOOL OF ARTS AND TRADES</t>
  </si>
  <si>
    <t>MUNICIPALITY OF SAN FERNANDO, CAMARINES SUR</t>
  </si>
  <si>
    <t>MUNICIPALITY OF M'LANG, COTABATO</t>
  </si>
  <si>
    <t>MUNICIPALITY OF TALUSAN, ZAMBOANGA SIBUGAY</t>
  </si>
  <si>
    <t>MUNICIPALITY OF LAS NIEVES , AGUSAN DEL NORTE</t>
  </si>
  <si>
    <t>NATIONAL CENTER FOR MENTAL HEALTH</t>
  </si>
  <si>
    <t>DEPARTMENT OF PUBLIC WORKS AND HIGHWAYS - BATAAN 1ST DEO</t>
  </si>
  <si>
    <t>BUREAU OF FISHERIES AND AQUATIC RESOURCES - REGION II</t>
  </si>
  <si>
    <t>MUNICIPALITY OF LAGONOY, CAMARINES SUR</t>
  </si>
  <si>
    <t>MUNICIPALITY OF BATO, CATANDUANES</t>
  </si>
  <si>
    <t>WESTERN VISAYAS MEDICAL CENTER</t>
  </si>
  <si>
    <t>GENERAL TRIAS CITY CAVITE</t>
  </si>
  <si>
    <t>DEPARTMENT OF EDUCATION - BAUNGON BUKIDNON</t>
  </si>
  <si>
    <t>106TH CONTRACTING OFFICE, AFP PROCUREMENT SERVICE</t>
  </si>
  <si>
    <t>SULTAN KUDARAT STATE UNIVERSITY</t>
  </si>
  <si>
    <t>MUNICIPALITY OF SANTA MARIA, BULACAN</t>
  </si>
  <si>
    <t>OFFICE OF THE PRESIDENT</t>
  </si>
  <si>
    <t>CITY OF LAS PIÑAS</t>
  </si>
  <si>
    <t>CENTRAL MINDANAO UNIVERSITY</t>
  </si>
  <si>
    <t>MUNICIPALITY OF BAUAN, BATANGAS</t>
  </si>
  <si>
    <t>PHILIPPINE HEALTH INSURANCE CORPORATION - NCR &amp; RIZAL GROUP</t>
  </si>
  <si>
    <t>302ND CONTRACTING OFFICE, AFP PROCUREMENT SERVICE</t>
  </si>
  <si>
    <t>MUNICIPALITY OF PIO DURAN, ALBAY</t>
  </si>
  <si>
    <t>DEPARTMENT OF AGRICULTURE - REGION I</t>
  </si>
  <si>
    <t>DPWH - ANTIQUE DISTRICT ENGINEERING OFFICE</t>
  </si>
  <si>
    <t>MUNICIPALITY OF MALVAR, BATANGAS</t>
  </si>
  <si>
    <t>SCHOOLS DIVISION OFFICE OF IFUGAO</t>
  </si>
  <si>
    <t>BARANGAY PATIACAN, QUIRINO, ILOCOS SUR</t>
  </si>
  <si>
    <t>PHILIPPINE PORTS AUTHORITY - REGION VIII</t>
  </si>
  <si>
    <t>PROVINCE OF DAVAO DEL SUR</t>
  </si>
  <si>
    <t>PROVINCIAL GOVERNMENT OF CAMARINES NORTE</t>
  </si>
  <si>
    <t>DEPARTMENT OF PUBLIC WORKS AND HIGHWAYS - REGION XI</t>
  </si>
  <si>
    <t>PHILIPPINE STATISTICS AUTHORITY - LAGUNA</t>
  </si>
  <si>
    <t>MUNICIPALITY OF BATARAZA</t>
  </si>
  <si>
    <t>PROVINCE OF NEGROS OCCIDENTAL</t>
  </si>
  <si>
    <t>EULOGIO "AMANG" RODRIGUEZ INSTITUTE OF SCIENCE AND TECH.</t>
  </si>
  <si>
    <t>BATANGAS STATE UNIVERSITY</t>
  </si>
  <si>
    <t>TECHNICAL EDUCATION &amp; SKILLS DEVELOPMENT AUTHORITY - VIGAN C</t>
  </si>
  <si>
    <t>MUNICIPALITY OF MANGATAREM, PANGASINAN</t>
  </si>
  <si>
    <t>DEPARTMENT OF PUBLIC WORKS AND HIGHWAYS - MAIN</t>
  </si>
  <si>
    <t>PROVINCE OF SORSOGON</t>
  </si>
  <si>
    <t>BARANGAY MADDARULUG NORTE ENRILE CAGAYAN</t>
  </si>
  <si>
    <t>BARANGAY LIMBA, LA PAZ, LEYTE</t>
  </si>
  <si>
    <t>BARANGAY IGANG, POTOTAN, ILOILO</t>
  </si>
  <si>
    <t>CITY OF VIGAN, ILOCOS SUR</t>
  </si>
  <si>
    <t>NATIONAL IRRIGATION ADMINISTRATION - REGION X</t>
  </si>
  <si>
    <t>MUNICIPALITY OF SOLANA, CAGAYAN</t>
  </si>
  <si>
    <t>CITY OF CALAMBA, LAGUNA</t>
  </si>
  <si>
    <t>BUREAU OF FIRE PROTECTION - REGION V</t>
  </si>
  <si>
    <t>IPONAN ELEMENTARY SCHOOL</t>
  </si>
  <si>
    <t>PROVINCE OF NUEVA ECIJA</t>
  </si>
  <si>
    <t>DEPARTMENT OF EDUCATION - DIVISION OF ILOCOS NORTE</t>
  </si>
  <si>
    <t>PROVINCE OF TARLAC</t>
  </si>
  <si>
    <t>DEPARTMENT OF PUBLIC WORKS AND HIGHWAYS - CAGAYAN 2ND DEO</t>
  </si>
  <si>
    <t>BARANGAY PANTALAN LUMA, ORANI, BATAAN</t>
  </si>
  <si>
    <t>NATIONAL FOOD AUTHORITY - PALAWAN PROVINCIAL OFFICE</t>
  </si>
  <si>
    <t>NATIONAL IRRIGATION ADMINISTRATION - AGUSAN DEL NORTE IMO</t>
  </si>
  <si>
    <t>DEPARTMENT OF PUBLIC WORKS AND HIGHWAYS - REGION X</t>
  </si>
  <si>
    <t>MUNICIPALITY OF CLAVER, SURIGAO DEL NORTE</t>
  </si>
  <si>
    <t>DEPARTMENT OF SOCIAL WELFARE AND DEVELOPMENT - REGION IX</t>
  </si>
  <si>
    <t>MUNICIPALITY OF BALBALAN, KALINGA</t>
  </si>
  <si>
    <t>UNIVERSITY OF THE PHILIPPINES - MANILA PGH</t>
  </si>
  <si>
    <t>DENR-PENRO,ORIENTAL MINDORO</t>
  </si>
  <si>
    <t>MUNICIPALITY OF BARLIG MOUNTAIN PROVINCE</t>
  </si>
  <si>
    <t>NATIONAL POWER CORPORATION</t>
  </si>
  <si>
    <t>DEPARTMENT OF AGRICULTURE - REGION II</t>
  </si>
  <si>
    <t>VETERANS REGIONAL HOSPITAL</t>
  </si>
  <si>
    <t>MUNICIPALITY OF TABINA, ZAMBOANGA DEL SUR</t>
  </si>
  <si>
    <t>DEPARTMENT OF THE INTERIOR AND LOCAL GOVERNMENT - CARAGA</t>
  </si>
  <si>
    <t>BARANGAY MALARUHATAN, LIAN, BATANGAS</t>
  </si>
  <si>
    <t>ALAMINOS CITY WATER DISTRICT</t>
  </si>
  <si>
    <t>MUNICIPALITY OF CATUBIG, NORTHERN SAMAR</t>
  </si>
  <si>
    <t>CITY OF DAVAO, DAVAO DEL SUR</t>
  </si>
  <si>
    <t>PROVINCE OF AGUSAN DEL NORTE</t>
  </si>
  <si>
    <t>MUNICIPALITY OF JOVELLAR, ALBAY</t>
  </si>
  <si>
    <t>EVERSLEY CHILDS SANITARIUM</t>
  </si>
  <si>
    <t>EAST AVENUE MEDICAL CENTER</t>
  </si>
  <si>
    <t>BARANGAY 3 POBLACION SALCEDO EASTERN SAMAR</t>
  </si>
  <si>
    <t>CITY OF TAGUIG</t>
  </si>
  <si>
    <t>MUNICIPALITY OF SOCORRO , SURIGAO DEL NORTE</t>
  </si>
  <si>
    <t>COMMISSION ON POPULATION AND DEVELOPMENT</t>
  </si>
  <si>
    <t>BANQUEROHAN NATIONAL HIGH SCHOOL - CADIZ CITY NEGROS OCCIDEN</t>
  </si>
  <si>
    <t>MUNICIPALITY OF SUBIC, ZAMBALES</t>
  </si>
  <si>
    <t>CIELITO ZAMORA HIGH SCHOOL</t>
  </si>
  <si>
    <t>BAGBAGUIN NATIONAL HIGH SCHOOL</t>
  </si>
  <si>
    <t>POLOCATE ELEMENTARY SCHOOL - BANGA, AKLAN</t>
  </si>
  <si>
    <t>SITERO FRANCISCO MEMORIAL NATIONAL HIGH SCHOOL</t>
  </si>
  <si>
    <t>BARANGAY SAN CARLOS, LIPA CITY</t>
  </si>
  <si>
    <t>DEPARTMENT OF PUBLIC WORKS AND HIGHWAYS - BUKIDNON 3RD DEO</t>
  </si>
  <si>
    <t>BARANGAY SUMACAB SUR, CABANATUAN CITY</t>
  </si>
  <si>
    <t>BARANGAY DICARMA,CABANATUAN CITY NUEVA ECIJA</t>
  </si>
  <si>
    <t>TIGWI ELEMENTARY SCHOOL - TORRIJOS</t>
  </si>
  <si>
    <t>DEPARTMENT OF PUBLIC WORKS AND HIGHWAYS - QUEZON 2ND ED</t>
  </si>
  <si>
    <t>LAGUNA STATE POLYTECHNIC UNIVERSITY - SAN PABLO CITY CAMPUS</t>
  </si>
  <si>
    <t>AGRICULTURAL TRAINING INSTITUTE - REGION IV-B</t>
  </si>
  <si>
    <t>BARANGAY BACAO -  TAYSAN BATANGAS</t>
  </si>
  <si>
    <t>BARANGAY TIGATTO, DAVAO CITY</t>
  </si>
  <si>
    <t>BUREAU OF PLANT INDUSTRY - NCR</t>
  </si>
  <si>
    <t>NATIONAL IRRIGATION ADMINISTRATION - CAMARINES SUR IMO</t>
  </si>
  <si>
    <t>MINES AND GEOSCIENCES BUREAU - CARAGA</t>
  </si>
  <si>
    <t>BARANGAY SANGALANG, LEMERY, BATANGAS</t>
  </si>
  <si>
    <t>BARANGAY MAGUIHAN, LEMERY, BATANGAS</t>
  </si>
  <si>
    <t>MUNICIPALITY OF LAKE WOOD, ZAMBOANGA DEL SUR</t>
  </si>
  <si>
    <t>PHILIPPINE HEALTH INSURANCE CORPORATION - REGION I</t>
  </si>
  <si>
    <t xml:space="preserve">DEPARTMENT OF AGRARIAN REFORM - PROVINCIAL OFFICE DAVAO DEL </t>
  </si>
  <si>
    <t>MUNICIPALITY  OF MALASIQUI, PANGASINAN</t>
  </si>
  <si>
    <t>NATIONAL IRRIGATION ADMINISTRATION - IMO DAVAO DEL SUR</t>
  </si>
  <si>
    <t>BARANGAY 39-D, DAVAO, DAVAO DEL SUR</t>
  </si>
  <si>
    <t>BARANGAY BANTAY, PARACELIS, MT. PROVINCE</t>
  </si>
  <si>
    <t>MUNICIPALITY OF MANUKAN, ZAMBOANGA DEL NORTE</t>
  </si>
  <si>
    <t>BALIWAG WATER DISTRICT</t>
  </si>
  <si>
    <t>MANILA INTERNATIONAL AIRPORT AUTHORITY</t>
  </si>
  <si>
    <t>LAND TRANSPORTATION OFFICE - REGION III</t>
  </si>
  <si>
    <t>BARANGAY BINUBUSAN, LIAN, BATANGAS</t>
  </si>
  <si>
    <t>PHILIPPINE PORTS AUTHORITY - PMO SURIGAO</t>
  </si>
  <si>
    <t>CULTURAL CENTER OF THE PHILIPPINES - PASAY CITY METRO MANILA</t>
  </si>
  <si>
    <t>DEPARTMENT OF EDUCATION - DIVISION OF PASAY CITY</t>
  </si>
  <si>
    <t>CITY OF BISLIG, SURIGAO DEL SUR</t>
  </si>
  <si>
    <t>SECURITIES AND EXCHANGE COMMISSION</t>
  </si>
  <si>
    <t>BARANGAY CAMBUILAO - BAIS CITY NEGROS ORIENTAL</t>
  </si>
  <si>
    <t>BATAAN GENERAL HOSPITAL AND MEDICAL CENTER</t>
  </si>
  <si>
    <t>PROVINCE OF BENGUET</t>
  </si>
  <si>
    <t>CITY OF MALAYBALAY, BUKIDNON</t>
  </si>
  <si>
    <t>PHILIPPINE HEALTH INSURANCE CORPORATION - REGION III</t>
  </si>
  <si>
    <t>CITY GOVERNMENT OF LUCENA</t>
  </si>
  <si>
    <t>PROVINCE OF MAGUINDANAO</t>
  </si>
  <si>
    <t>COTABATO REGIONAL AND MEDICAL CENTER</t>
  </si>
  <si>
    <t>PROVINCE OF SURIGAO DEL SUR</t>
  </si>
  <si>
    <t>DEPARTMENT OF PUBLIC WORKS AND HIGHWAYS - CAVITE II DISTRICT</t>
  </si>
  <si>
    <t>BAGUIO WATER DISTRICT - BAGUIO CITY</t>
  </si>
  <si>
    <t>BARANGAY STA. FE, MATALOM, LEYTE</t>
  </si>
  <si>
    <t>COMMISSION ON POPULATION - CARAGA</t>
  </si>
  <si>
    <t>102ND CONTRACTING OFFICE, AFP PROCUREMENT SERVICE</t>
  </si>
  <si>
    <t>MUNICIPALITY OF STA. CATALINA, NEGROS ORIENTAL</t>
  </si>
  <si>
    <t>BICOL MEDICAL CENTER</t>
  </si>
  <si>
    <t>BARANGAY WAWA - CALAPAN CITY ORIENTAL MINDORO</t>
  </si>
  <si>
    <t>MUNICIPALITY OF NAUJAN, ORIENTAL MINDORO</t>
  </si>
  <si>
    <t>ADTUYON ELEMENTARY SCHOOL</t>
  </si>
  <si>
    <t>CAPIZ PROVINCIAL GOVERNMENT</t>
  </si>
  <si>
    <t>DEPARTMENT OF AGRICULTURE - REGION VIII</t>
  </si>
  <si>
    <t>BARANGAY MAHONGKOG - MAGPET COTABATO</t>
  </si>
  <si>
    <t>PHILIPPINE RICE RESEARCH INSTITUTE</t>
  </si>
  <si>
    <t>MUNICIPALITY OF SISON, PANGASINAN</t>
  </si>
  <si>
    <t>MUNICIPALITY OF CARMONA, CAVITE</t>
  </si>
  <si>
    <t>MUNICIPALITY OF BATUAN, BOHOL</t>
  </si>
  <si>
    <t>DEPARTMENT OF PUBLIC WORKS AND HIGHWAYS - SURIGAO DEL SUR 1S</t>
  </si>
  <si>
    <t>BARANGAY ACCUSILIAN - TUAO CAGAYAN</t>
  </si>
  <si>
    <t>DEPARTMENT OF EDUCATION - DIVISION OF BENGUET</t>
  </si>
  <si>
    <t>NATIONAL IRRIGATION ADMINISTRATION - NIA MOMARO IMO</t>
  </si>
  <si>
    <t>CAGAYAN VALLEY MEDICAL CENTER</t>
  </si>
  <si>
    <t>MUNICIPALITY OF NAGTIPUNAN, QUIRINO</t>
  </si>
  <si>
    <t>DEPARTMENT OF EDUCATION - DIVISION OF DANAO CITY</t>
  </si>
  <si>
    <t>LA UNION MEDICAL CENTER</t>
  </si>
  <si>
    <t>DEPARTMENT OF PUBLIC WORKS AND HIGHWAYS - AURORA DEO</t>
  </si>
  <si>
    <t>MUNICIPALITY OF COMPOSTELA, COMPOSTELA VALLEY</t>
  </si>
  <si>
    <t>MUNICIPALITY OF CAIBIRAN, BILIRAN</t>
  </si>
  <si>
    <t>DON EMILIO DEL VALLE MEMORIAL HOSPITAL</t>
  </si>
  <si>
    <t>LAND TRANSPORTATION OFFICE - MAIN</t>
  </si>
  <si>
    <t>NATIONAL IRRIGATION ADMINISTRATION - SOUTH COTABATO</t>
  </si>
  <si>
    <t>PHILIPPINE ORTHOPEDIC CENTER</t>
  </si>
  <si>
    <t>NATIONAL IRRIGATION ADMINISTRATION - REGION IV-A CALABARZON</t>
  </si>
  <si>
    <t>MUNICIPALITY OF BUUG - ZAMBOANGA SIBUGAY</t>
  </si>
  <si>
    <t>CITY OF LAOAG, ILOCOS NORTE</t>
  </si>
  <si>
    <t>BARANGAY ALABUG - TUAO CAGAYAN</t>
  </si>
  <si>
    <t>PILI WATER DISTRICT</t>
  </si>
  <si>
    <t>SURIGAO DEL SUR STATE UNIVERSITY</t>
  </si>
  <si>
    <t>MUNICIPALITY OF BALANGIGA, EASTERN SAMAR</t>
  </si>
  <si>
    <t>DEPARTMENT OF PUBLIC WORKS AND HIGHWAYS - BOHOL 3RD DEO</t>
  </si>
  <si>
    <t>DEPARTMENT OF PUBLIC WORKS AND HIGHWAYS - IFUGAO 2ND DEO</t>
  </si>
  <si>
    <t>SUPREME COURT OF THE PHILIPPINES</t>
  </si>
  <si>
    <t>LUNG CENTER OF THE PHILIPPINES</t>
  </si>
  <si>
    <t>DEPARTMENT OF EDUCATION - ISABELA</t>
  </si>
  <si>
    <t>MUNICIPALITY OF KALAMANSIG, SULTAN KUDARAT</t>
  </si>
  <si>
    <t>AURORA STATE COLLEGE OF TECHNOLOGY</t>
  </si>
  <si>
    <t>MUNICIPALITY OF SARIAYA, QUEZON</t>
  </si>
  <si>
    <t>BANGKO SENTRAL NG PILIPINAS</t>
  </si>
  <si>
    <t>BANGKO SENTRAL NG PILIPINAS (SECURITY PLANT COMPLEX) - QUEZO</t>
  </si>
  <si>
    <t>DEPARTMENT OF ENVIRONMENT AND NATURAL RES. - PENRO N. OCCIDE</t>
  </si>
  <si>
    <t>BARANGAY ALABIAO, TUAO, CAGAYAN</t>
  </si>
  <si>
    <t>VETERANS MEMORIAL MEDICAL CENTER, DND</t>
  </si>
  <si>
    <t>MUNICIPALITY OF MALAPATAN, SARANGANI</t>
  </si>
  <si>
    <t>BARANGAY LALLAYUG - TUAO CAGAYAN</t>
  </si>
  <si>
    <t>MUNICIPALITY OF CAMALIGAN, CAMARINES SUR</t>
  </si>
  <si>
    <t>MUNICIPALITY OF ROXAS, ORIENTAL MINDORO</t>
  </si>
  <si>
    <t>COGON NATIONAL HIGH SCHOOL</t>
  </si>
  <si>
    <t>MOUNTAIN PROVINCE STATE POLYTECHNIC COLLEGE</t>
  </si>
  <si>
    <t>DEPARTMENT OF SOCIAL WELFARE AND DEVELOPMENT - REGION I</t>
  </si>
  <si>
    <t>PHILIPPINE TRADE TRAINING CENTER</t>
  </si>
  <si>
    <t>CITY OF PAGADIAN, ZAMBOANGA DEL SUR</t>
  </si>
  <si>
    <t>CITY OF PASSI, ILOILO</t>
  </si>
  <si>
    <t>MUNICIPALITY OF CAOAYAN, ILOCOS SUR</t>
  </si>
  <si>
    <t>UNIVERSITY OF THE PHILIPPINES - LOS BAÑOS</t>
  </si>
  <si>
    <t>MUNICIPALITY OF KATIPUNAN, ZAMBOANGA DEL NORTE</t>
  </si>
  <si>
    <t>MAYSAN ELEMENTARY SCHOOL</t>
  </si>
  <si>
    <t>DON HONORIO VENTURA TECHNOLOGICAL STATE UNIVERSITY</t>
  </si>
  <si>
    <t>RESEARCH INSTITUTE FOR TROPICAL MEDICINE, DOH</t>
  </si>
  <si>
    <t>MUNICIPALITY OF ALLACAPAN, CAGAYAN</t>
  </si>
  <si>
    <t>DEPARTMENT OF HEALTH - CHD, ZAMBOANGA PENINSULA</t>
  </si>
  <si>
    <t>MUNICIPALITY OF DIVILACAN, ISABELA</t>
  </si>
  <si>
    <t>PROVINCE OF ZAMBOANGA DEL SUR</t>
  </si>
  <si>
    <t>SURIGAO STATE COLLEGE OF TECHNOLOGY</t>
  </si>
  <si>
    <t>TIGLAWIGAN ELEMENTARY SCHOOL</t>
  </si>
  <si>
    <t>AGRICULTURAL TRAINING INSTITUTE-REGIONAL TRAINING CENTER X</t>
  </si>
  <si>
    <t>PHILIPPINE MINING DEVELOPMENT CORPORATION</t>
  </si>
  <si>
    <t>PROVINCE OF CAGAYAN</t>
  </si>
  <si>
    <t>MUNICIPALITY OF MALALAG, DAVAO DEL SUR</t>
  </si>
  <si>
    <t>MUNICIPALITY OF TALISAYAN, MISAMIS ORIENTAL</t>
  </si>
  <si>
    <t>201ST CONTRACTING OFFICE, AFP PROCUREMENT SERVICE</t>
  </si>
  <si>
    <t>BARANGAY SAN ISIDRO, JIMENEZ, MISAMIS OCCIDENTAL</t>
  </si>
  <si>
    <t>CITY OF DUMAGUETE, NEGROS ORIENTAL</t>
  </si>
  <si>
    <t>PROVINCE OF DAVAO ORIENTAL</t>
  </si>
  <si>
    <t>MUNICIPALITY OF CABATUAN, ILOILO</t>
  </si>
  <si>
    <t>PROVINCE OF DAVAO OCCIDENTAL</t>
  </si>
  <si>
    <t>BARANGAY OSUKAN, LABASON, ZAMBOANGA DEL NORTE</t>
  </si>
  <si>
    <t>CITY OF SAN PEDRO, LAGUNA</t>
  </si>
  <si>
    <t>ENVIRONMENTAL MANAGEMENT BUREAU - DENR</t>
  </si>
  <si>
    <t>BARANGAY TAYTAY, NAGCARLAN, LAGUNA</t>
  </si>
  <si>
    <t>MUNICIPALITY OF CURRIMAO, ILOCOS NORTE</t>
  </si>
  <si>
    <t>MUNICIPALITY OF SUAL -  PANGASINAN</t>
  </si>
  <si>
    <t>MUNICIPALITY OF LLORENTE, EASTERN SAMAR</t>
  </si>
  <si>
    <t>SURALLAH WATER DISTRICT</t>
  </si>
  <si>
    <t>MUNICIPALITY OF STA. ROSA, NUEVA ECIJA</t>
  </si>
  <si>
    <t>PARADA NATIONAL HIGH SCHOOL - VALENZUELA CITY</t>
  </si>
  <si>
    <t>SAN JOSE PILOT ELEMENTARY SCHOOL</t>
  </si>
  <si>
    <t>DEPARTMENT OF AGRARIAN REFORM - ANTIQUE PROVINCIAL OFFICE</t>
  </si>
  <si>
    <t>DEPARTMENT OF ENVIRONMENT AND NATURAL RESOURCES - N.ECIJA</t>
  </si>
  <si>
    <t>DEPARTMENT OF HEALTH - TREATMENT AND REHABILITATION CENTER -</t>
  </si>
  <si>
    <t>MUNICIPALITY OF TABANGO, LEYTE</t>
  </si>
  <si>
    <t>CITY OF SAN FERNANDO, LA UNION</t>
  </si>
  <si>
    <t>MUNICIPALITY OF LAVEZARES, NORTHERN SAMAR</t>
  </si>
  <si>
    <t>DEPARTMENT OF PUBLIC WORKS AND HIGHWAYS - BULACAN 1ST DEO</t>
  </si>
  <si>
    <t>PHILIPPINE CHARITY SWEEPSTAKES OFFICE - MANDALUYONG CITY</t>
  </si>
  <si>
    <t>DEPARTMENT OF EDUCATION - REGION V</t>
  </si>
  <si>
    <t>MUNICIPALITY OF BUENAVISTA, BOHOL</t>
  </si>
  <si>
    <t>CITY OF CALAPAN, ORIENTAL MINDORO</t>
  </si>
  <si>
    <t>TECHNICAL EDUCATION &amp; SKILLS DEVELOPMENT AUTHORITY - NCR</t>
  </si>
  <si>
    <t>BARANGAY SAN ISIDRO, CONCEPCION, TARLAC</t>
  </si>
  <si>
    <t>MUNICIPALITY OF SAPANG DALAGA, MISAMIS OCCIDENTAL</t>
  </si>
  <si>
    <t>BARANGAY MUNTINDILAW, ANTIPOLO CITY</t>
  </si>
  <si>
    <t>MUNICIPALITY OF TAGUDIN, ILOCOS SUR</t>
  </si>
  <si>
    <t>CITY OF ILIGAN, LANAO DEL NORTE</t>
  </si>
  <si>
    <t>UNIVERSITY OF THE PHILIPPINES - MANILA</t>
  </si>
  <si>
    <t>PHILIPPINE SCIENCE HIGH SCHOOL - REGION V</t>
  </si>
  <si>
    <t>CITY OF OROQUIETA, MISAMIS OCCIDENTAL</t>
  </si>
  <si>
    <t>BARANGAY 48 BAGONG ABRE LEGAZPI CITY ALBAY</t>
  </si>
  <si>
    <t>PROVINCE OF BILIRAN</t>
  </si>
  <si>
    <t>MUNICIPALITY OF LOPEZ, QUEZON</t>
  </si>
  <si>
    <t>BARANGAY SAN ANTONIO 1, SAN PABLO CITY</t>
  </si>
  <si>
    <t>BARANGAY CANDATAG, MALITBOG, SOUTHERN LEYTE</t>
  </si>
  <si>
    <t>CITY GOVERNMENT OF BACOOR</t>
  </si>
  <si>
    <t>METRO COTABATO WATER DISTRICT</t>
  </si>
  <si>
    <t>MUNICIPALITY OF BURGOS, PANGASINAN</t>
  </si>
  <si>
    <t>BUREAU OF FISHERIES AND AQUATIC RESOURCES - REGION VI</t>
  </si>
  <si>
    <t>MUNICIPALITY OF LA LIBERTAD, NEGROS ORIENTAL</t>
  </si>
  <si>
    <t>MUNICIPALITY OF PANIQUI, TARLAC</t>
  </si>
  <si>
    <t>MUNICIPALITY OF BUENAVISTA, MARINDUQUE</t>
  </si>
  <si>
    <t>BARANGAY CAWIT, PILAR, CEBU</t>
  </si>
  <si>
    <t>ANDRES BONIFACIO ELEMENTARY SCHOOL</t>
  </si>
  <si>
    <t>CITY OF BORONGAN, EASTERN SAMAR</t>
  </si>
  <si>
    <t>MUNICIPALITY OF BANAYBANAY, DAVAO ORIENTAL</t>
  </si>
  <si>
    <t>DEPARTMENT OF AGRARIAN REFORM - REGION V</t>
  </si>
  <si>
    <t>BARANGAY MUNGO, TUAO, CAGAYAN</t>
  </si>
  <si>
    <t>MUNICIPALITY OF ROMBLON, ROMBLON</t>
  </si>
  <si>
    <t>PN BAC SECRETARIAT, AFP PROCUREMENT SERVICE</t>
  </si>
  <si>
    <t>CAMIGUIN POLYTECHNIC STATE COLLEGE</t>
  </si>
  <si>
    <t>KAUSWAGAN WATER DISTRICT</t>
  </si>
  <si>
    <t>MUNICIPALITY OF LARENA, SIQUIJOR</t>
  </si>
  <si>
    <t>DEPARTMENT OF AGRICULTURE - CARAGA</t>
  </si>
  <si>
    <t>MUNICIPALITY OF ASTURIAS, CEBU</t>
  </si>
  <si>
    <t>DEVELOPMENT BANK OF THE PHILIPPINES - HEAD OFFICE</t>
  </si>
  <si>
    <t>DEPARTMENT OF PUBLIC WORKS AND HIGHWAYS - MASBATE 2ND DEO</t>
  </si>
  <si>
    <t>ILOCOS TRAINING AND REGIONAL MEDICAL CENTER</t>
  </si>
  <si>
    <t>MUNICIPALITY OF SIATON, NEGROS ORIENTAL</t>
  </si>
  <si>
    <t>MUNICIPALITY OF DON SALVADOR BENEDICTO, NEGROS OCCIDENTAL</t>
  </si>
  <si>
    <t>MUNICIPALITY OF CARRASCAL, SURIGAO DEL SUR</t>
  </si>
  <si>
    <t>PHIL. ATMOSPHERIC GEOPHYSICAL &amp; ASTRONOMICAL SERVICES ADM.</t>
  </si>
  <si>
    <t>MUNICIPALITY OF STO. TOMAS, BATANGAS</t>
  </si>
  <si>
    <t>GHQ PROCUREMENT CENTER, AFP PROCUREMENT SERVICE</t>
  </si>
  <si>
    <t>BARANGAY TAVORA PROPER, PUGO, LA UNION</t>
  </si>
  <si>
    <t>BUREAU OF CUSTOMS - PORT OF CEBU</t>
  </si>
  <si>
    <t>BARANGAY CABANTIAN, DAVAO CITY</t>
  </si>
  <si>
    <t>DEPARTMENT OF EDUCATION - DIVISION OF PANGASINAN I</t>
  </si>
  <si>
    <t>MUNICIPALITY OF KALILANGAN, BUKIDNON</t>
  </si>
  <si>
    <t>BARANGAY AMBARACAO SUR, NAGUILIAN, LA UNION</t>
  </si>
  <si>
    <t>BARANGAY 54M PECHAY - CAVITE CITY CAVITE</t>
  </si>
  <si>
    <t>MUNICIPALITY OF PITOGO, QUEZON</t>
  </si>
  <si>
    <t>MUNICIPALITY OF TABUELAN, CEBU</t>
  </si>
  <si>
    <t>MUNICIPALITY OF CAN-AVID, EASTERN SAMAR</t>
  </si>
  <si>
    <t>MUNICIPALITY OF POLANCO, ZAMBOANGA DEL NORTE</t>
  </si>
  <si>
    <t>CITY OF TAGUM, DAVAO DEL NORTE</t>
  </si>
  <si>
    <t>DEPARTMENT OF AGRICULTURE - REGION V</t>
  </si>
  <si>
    <t>DON MARIANO MARCOS MEMORIAL STATE UNIVERSITY - SLUC</t>
  </si>
  <si>
    <t>PHILIPPINE MERCHANT MARINE ACADEMY</t>
  </si>
  <si>
    <t>PROVINCE OF KALINGA</t>
  </si>
  <si>
    <t>MUNICIPALITY OF LIBMANAN, CAMARINES SUR</t>
  </si>
  <si>
    <t>MUNICIPALITY OF ALOGUINSAN, CEBU</t>
  </si>
  <si>
    <t>CITY OF SURIGAO, SURIGAO DEL NORTE</t>
  </si>
  <si>
    <t>MUNICIPALITY OF PALO - LEYTE LEYTE</t>
  </si>
  <si>
    <t>ISABELA STATE UNIVERSITY - ECHAGUE</t>
  </si>
  <si>
    <t>MUNICIPALITY OF MARIBOJOC, BOHOL</t>
  </si>
  <si>
    <t>MUNICIPALITY OF HAGONOY, DAVAO DEL SUR</t>
  </si>
  <si>
    <t>MUNICIPALITY OF ANTIPAS, COTABATO</t>
  </si>
  <si>
    <t>PROVINCE OF AURORA</t>
  </si>
  <si>
    <t>DEPARTMENT OF AGRICULTURE - REGION IV-A</t>
  </si>
  <si>
    <t>CITY OF SAN FERNANDO, PAMPANGA</t>
  </si>
  <si>
    <t>MUNICIPALITY OF EL NIDO, PALAWAN</t>
  </si>
  <si>
    <t>HOME DEVELOPMENT MUTUAL FUND - REGION X</t>
  </si>
  <si>
    <t>PROVINCE OF BATAAN</t>
  </si>
  <si>
    <t>MABINI NATIONAL HIGH SCHOOL - NEGROS OCCIDENTAL</t>
  </si>
  <si>
    <t>PROVINCE OF LEYTE</t>
  </si>
  <si>
    <t>MUNICIPALITY OF CALINTAAN, OCCIDENTAL MINDORO</t>
  </si>
  <si>
    <t>MUNICIPALITY OF SIAYAN, ZAMBOANGA DEL NORTE</t>
  </si>
  <si>
    <t>VICENTE SOTTO MEMORIAL MEDICAL CENTER - REGION VII</t>
  </si>
  <si>
    <t>METRO ROXAS WATER DISTRICT</t>
  </si>
  <si>
    <t>MUNICIPALITY OF JORDAN, GUIMARAS</t>
  </si>
  <si>
    <t>BARANGAY BACSAY CATARAOAN NORTE CLAVERIA CAGAYAN</t>
  </si>
  <si>
    <t>MUNICIPALITY OF BUGALLON - PANGASINAN</t>
  </si>
  <si>
    <t>MUNICIPALITY OF TRENTO, AGUSAN DEL SUR</t>
  </si>
  <si>
    <t>MUNICIPALITY OF ROSARIO, LA UNION</t>
  </si>
  <si>
    <t>METRO MANILA DEVELOPMENT AUTHORITY</t>
  </si>
  <si>
    <t>MUNICIPALITY OF SAN MATEO, RIZAL</t>
  </si>
  <si>
    <t>BICOL REGIONAL TRAINING AND TEACHING HOSPITAL</t>
  </si>
  <si>
    <t>MUNICIPALITY OF KALAYAAN, LAGUNA</t>
  </si>
  <si>
    <t xml:space="preserve">DEPARTMENT OF  EDUCATION - SCHOOLS DIVISION OFFICE-DIVISION </t>
  </si>
  <si>
    <t>NATIONAL IRRIGATION ADMINISTRATION - KALINGA IRRIGATION MANA</t>
  </si>
  <si>
    <t>SAN PASCUAL NATIONAL HIGH SCHOOL - SAN PASCUAL BATANGAS</t>
  </si>
  <si>
    <t>BARANGAY I - BAIS CITY</t>
  </si>
  <si>
    <t>DEPARTMENT OF PUBLIC WORKS AND HIGHWAYS - METRO MANILA 2ND D</t>
  </si>
  <si>
    <t>DEPARTMENT OF SOCIAL WELFARE AND DEVELOPMENT - REGION IV-B</t>
  </si>
  <si>
    <t>PROVINCE OF ZAMBOANGA DEL NORTE</t>
  </si>
  <si>
    <t>HUMAN RIGHTS VIOLATIONS VICTIMS' MEMORIAL COMMISSION</t>
  </si>
  <si>
    <t>OVERSEAS WORKERS WELFARE ADMINISTRATION - ARMM</t>
  </si>
  <si>
    <t>BARANGAY TAMIS-AC -2, CONCEPCION, ILOILO</t>
  </si>
  <si>
    <t>NATIONAL FISHERIES RESEARCH &amp; DEVELOPMENT INSTITUTE</t>
  </si>
  <si>
    <t>PHILIPPINE CROP INSURANCE CORPORATION - REGION VIII</t>
  </si>
  <si>
    <t>BUREAU OF FISHERIES AND AQUATIC RESOURCES - RV</t>
  </si>
  <si>
    <t>MUNICIPALITY OF SAN MARIANO, ISABELA</t>
  </si>
  <si>
    <t>BARANGAY 12 MILAGROSA, CARMONA, CAVITE</t>
  </si>
  <si>
    <t>CITY OF BAGUIO, BENGUET</t>
  </si>
  <si>
    <t>MUNICIPALITY OF KALIBO, AKLAN</t>
  </si>
  <si>
    <t>DEPARTMENT OF ENVIRONMENT AND NATURAL RES. - PENRO, BUKIDNON</t>
  </si>
  <si>
    <t>MUNICIPALITY OF GINATILAN, CEBU</t>
  </si>
  <si>
    <t>MUNICIPALITY OF TUBO - ABRA</t>
  </si>
  <si>
    <t>MUNICIPALITY OF ALFONSO LISTA, IFUGAO</t>
  </si>
  <si>
    <t>MUNICIPALITY OF LLANERA, NUEVA ECIJA</t>
  </si>
  <si>
    <t>MUNICIPALITY OF LA CASTELLANA, NEGROS OCCIDENTAL</t>
  </si>
  <si>
    <t>DEPARTMENT OF ENVIRONMENT AND NATURAL RESOURCES - MAIN</t>
  </si>
  <si>
    <t>BACOLOD CITY NATIONAL HIGH SCHOOL</t>
  </si>
  <si>
    <t>DEPARTMENT OF HEALTH - SAN FERNANDO CITY PAMPANGA</t>
  </si>
  <si>
    <t>DEPARTMENT OF PUBLIC WORKS AND HIGHWAYS - UPPER KALINGA DEO</t>
  </si>
  <si>
    <t>DEPARTMENT OF PUBLIC WORKS AND HIGHWAYS - REGION XIII (CARAG</t>
  </si>
  <si>
    <t>TIGUION ELEMENTARY SCHOOL</t>
  </si>
  <si>
    <t>BASILAN STATE COLLEGE</t>
  </si>
  <si>
    <t>MUNICIPALITY OF CARCAR, CEBU</t>
  </si>
  <si>
    <t>MUNICIPALITY OF SANCHEZ MIRA, CAGAYAN</t>
  </si>
  <si>
    <t>BARANGAY CENTRO 7, CLAVERIA, CAGAYAN</t>
  </si>
  <si>
    <t>PHILIPPINE CENTER FOR POSTHARVEST DEV'T AND MECHANIZATION</t>
  </si>
  <si>
    <t>MUNICIPALITY OF CAUAYAN, NEGROS OCCIDENTAL</t>
  </si>
  <si>
    <t>MUNICIPALITY OF SAN ANTONIO, ZAMBALES</t>
  </si>
  <si>
    <t>MUNICIPALITY OF MALITA, DAVAO OCCIDENTAL</t>
  </si>
  <si>
    <t>CITY OF KABANKALAN, NEGROS OCCIDENTAL</t>
  </si>
  <si>
    <t>DEPARTMENT OF PUBLIC WORKS AND HIGHWAYS - QUIRINO DEO</t>
  </si>
  <si>
    <t>MUNICIPALITY OF ROSELLER T. LIM, ZAMBOANGA SIBUGAY</t>
  </si>
  <si>
    <t>DEPARTMENT OF PUBLIC WORKS AND HIGHWAYS - ILOCOS SUR 1ST DEO</t>
  </si>
  <si>
    <t>AGRICULTURAL TRAINING INSTITUTE-CORDILLERA ADMINISTRATIVE RE</t>
  </si>
  <si>
    <t>ENVIRONMENTAL MANAGEMENT BUREAU - REGION IX</t>
  </si>
  <si>
    <t>NATIONAL POWER CORPORATION - MINDANAO GENERATION</t>
  </si>
  <si>
    <t>107TH CONTRACTING OFFICE, AFP PROCUREMENT SERVICE</t>
  </si>
  <si>
    <t>DEPARTMENT OF EDUCATION - DIVISION OF BULACAN</t>
  </si>
  <si>
    <t>MUNICIPALITY OF GERONA, TARLAC</t>
  </si>
  <si>
    <t>CITY OF TALISAY, CEBU</t>
  </si>
  <si>
    <t>MISAMIS ORIENTAL GENERAL COMPREHENSIVE HIGH SCHOOL</t>
  </si>
  <si>
    <t>NATIONAL POWER CORPORATION - MINGEN, PULANGI IV HEP</t>
  </si>
  <si>
    <t>NATIONAL IRRIGATION ADMINISTRATION - QIMO</t>
  </si>
  <si>
    <t>MUNICIPALITY OF BAYAMBANG - PANGASINAN</t>
  </si>
  <si>
    <t>MATALABA NATIONAL HIGH SCHOOL</t>
  </si>
  <si>
    <t>LAND BANK OF THE PHILIPPINES - CEBU</t>
  </si>
  <si>
    <t>MUNICIPALITY OF CASTILLEJOS, ZAMBALES</t>
  </si>
  <si>
    <t>MUNICIPALITY OF UBAY, BOHOL</t>
  </si>
  <si>
    <t>408TH CONTRACTING OFFICE, AFP PROCUREMENT SERVICE</t>
  </si>
  <si>
    <t>PROVINCE OF QUIRINO</t>
  </si>
  <si>
    <t>CITY OF SORSOGON, SORSOGON</t>
  </si>
  <si>
    <t>PROVINCE OF NEGROS ORIENTAL</t>
  </si>
  <si>
    <t>MUNICIPALITY OF DAGOHOY, BOHOL</t>
  </si>
  <si>
    <t>FAR NORTH LUZON GENERAL HOSPITAL &amp; TRAINING CENTER - LUNA AP</t>
  </si>
  <si>
    <t>PROVINCE OF ALBAY</t>
  </si>
  <si>
    <t>MUNICIPALITY OF QUEZON, NUEVA VIZCAYA</t>
  </si>
  <si>
    <t>MUNICIPALITY OF SAN REMIGIO, CEBU</t>
  </si>
  <si>
    <t>TECHNICAL EDUCATION &amp; SKILLS DEVELOPMENT AUTHORITY - MANILA</t>
  </si>
  <si>
    <t>CENTER FOR HEALTH DEVELOPMENT - REGION XI</t>
  </si>
  <si>
    <t>MUNICIPALITY OF STA. CRUZ, OCCIDENTAL MINDORO</t>
  </si>
  <si>
    <t>BARANGAY MARAGOOC, GLORIA, ORIENTAL MINDORO</t>
  </si>
  <si>
    <t>MUNICIPALITY OF VIRAC , CATANDUANES</t>
  </si>
  <si>
    <t>BARANGAY SALAWAGAN QUEZON BUKIDNON</t>
  </si>
  <si>
    <t xml:space="preserve">DEPARTMENT OF PUBLIC WORKS AND HIGHWAYS - CAMARINES SUR 3RD </t>
  </si>
  <si>
    <t>BARANGAY SAN PABLO, CATBALOGAN, SAMAR</t>
  </si>
  <si>
    <t>STA JOAQUINA BARANGAY LAOAG CITY ILOCOS NORTE</t>
  </si>
  <si>
    <t>DEPARTMENT OF HEALTH - REGION XII</t>
  </si>
  <si>
    <t>BUREAU OF FISHERIES AND AQUATIC RESOURCES REGION 1</t>
  </si>
  <si>
    <t>COMMISSION ON AUDIT - CAR</t>
  </si>
  <si>
    <t>MUNICIPALITY OF PALAUIG, ZAMBALES</t>
  </si>
  <si>
    <t>MUNICIPALITY OF LIMASAWA, SOUTHERN LEYTE</t>
  </si>
  <si>
    <t>BARANGAY GUADALUPE NUEVO, MAKATI CITY</t>
  </si>
  <si>
    <t>BUKIDNON STATE UNIVERSITY</t>
  </si>
  <si>
    <t>MINDANAO STATE UNIVERSITY - TAWI-TAWI</t>
  </si>
  <si>
    <t>BARANGAY YAPAD - PASTRANA LEYTE</t>
  </si>
  <si>
    <t>BASILAN GENERAL HOSPITAL</t>
  </si>
  <si>
    <t>SOUTHERN ISABELA MEDICAL CENTER</t>
  </si>
  <si>
    <t>BENGUET STATE UNIVERSITY</t>
  </si>
  <si>
    <t>DEPARTMENT OF PUBLIC WORKS AND HIGHWAYS - LEYTE 4TH DEO</t>
  </si>
  <si>
    <t>DEPARTMENT OF NATIONAL DEFENSE - GOVERNMENT ARSENAL, BATAAN</t>
  </si>
  <si>
    <t>MUNICIPALITY OF BAGABAG, NUEVA VIZCAYA</t>
  </si>
  <si>
    <t>MUNICIPALITY OF RAMON, ISABELA</t>
  </si>
  <si>
    <t>BARANGAY SAN PEDRO, STO. TOMAS, BATANGAS</t>
  </si>
  <si>
    <t>CITY OF ORMOC, LEYTE</t>
  </si>
  <si>
    <t>DEPARTMENT OF EDUCATION - SCHOOLS DIVISION OF BACOOR CITY</t>
  </si>
  <si>
    <t>MUNICIPALITY OF ANTEQUERA, BOHOL</t>
  </si>
  <si>
    <t>MUNICIPALITY OF ALCANTARA, CEBU</t>
  </si>
  <si>
    <t>BARANGAY BINODEGAHAN, PIO DURAN, ALBAY</t>
  </si>
  <si>
    <t>MUNICIPALITY OF SIERRA BULLONES, BOHOL</t>
  </si>
  <si>
    <t>MUNICIPALITY OF MIAG-AO, ILOILO</t>
  </si>
  <si>
    <t>BARANGAY WAWA, LINGAYEN, PANGASINAN</t>
  </si>
  <si>
    <t>DEPARTMENT OF AGRARIAN REFORM PROVINCIAL OFFICE, COTABATO</t>
  </si>
  <si>
    <t>BARANGAY 1 - PIO DURAN, ALBAY</t>
  </si>
  <si>
    <t>DEPARTMENT OF HEALTH - MAIN</t>
  </si>
  <si>
    <t>MUZON PABAHAY ELEMENTARY SCHOOL</t>
  </si>
  <si>
    <t>CITY GOVERNMENT OF NAVOTAS</t>
  </si>
  <si>
    <t>MUNICIPALITY OF LILA,  BOHOL</t>
  </si>
  <si>
    <t>CITY OF BOGO, CEBU</t>
  </si>
  <si>
    <t>CITY OF MATI, PROVINCE OF DAVAO ORIENTAL</t>
  </si>
  <si>
    <t>DEPARTMENT OF ENVIRONMENT AND NATURAL RES. - PENRO AGUSAN D.</t>
  </si>
  <si>
    <t>MINES AND GEOSCIENCES BUREAU - REGION I</t>
  </si>
  <si>
    <t>LANDBANK OF THE PHILIPPINES - REGION IV-A</t>
  </si>
  <si>
    <t>MUNICIPALITY OF LIMAY, BATAAN</t>
  </si>
  <si>
    <t>BARANGAY RIZAL - MAASIN CITY SOUTHERN LEYTE</t>
  </si>
  <si>
    <t>MUNICIPALITY OF SINDANGAN, ZAMBOANGA DEL NORTE</t>
  </si>
  <si>
    <t>MUNICIPALITY OF MAGALLANES, SORSOGON</t>
  </si>
  <si>
    <t>MUNICIPALITY OF PADRE GARCIA, BATANGAS</t>
  </si>
  <si>
    <t>CITY OF MARAWI</t>
  </si>
  <si>
    <t>MUNICIPALITY OF LORETO - DINAGAT ISLANDS</t>
  </si>
  <si>
    <t>BUTING SENIOR HIGH SCHOOL</t>
  </si>
  <si>
    <t>MUNICIPALITY OF GONZAGA, CAGAYAN</t>
  </si>
  <si>
    <t>MUNICIPALITY OF MANAY, DAVAO ORIENTAL</t>
  </si>
  <si>
    <t>MUNICIPALITY OF SIBALOM, ANTIQUE</t>
  </si>
  <si>
    <t xml:space="preserve">TECHNICAL EDUCATION &amp; SKILLS DEVELOPMENT AUTHORITY - REGION </t>
  </si>
  <si>
    <t>TESDA - APARRI POLYTECHNIC INSTITUTE</t>
  </si>
  <si>
    <t>BARANGAY BALIBAGO, LIAN, BATANGAS</t>
  </si>
  <si>
    <t>BARANGAY HAGBUAYA CATIGBIAN BOHOL</t>
  </si>
  <si>
    <t>MUNICIPALITY OF PANGIL, LAGUNA</t>
  </si>
  <si>
    <t>SAN ILDEFONSO NATIONAL HIGH SCHOOL</t>
  </si>
  <si>
    <t>CITY OF TABACO, ALBAY</t>
  </si>
  <si>
    <t>MUNICIPALITY OF GLAN, SARANGANI PROVINCE</t>
  </si>
  <si>
    <t>BARANGAY CAMBAILAN - CATIGBIAN BOHOL</t>
  </si>
  <si>
    <t>BARANGAY BONGABONG, TUDELA, MISAMIS OCCIDENTAL</t>
  </si>
  <si>
    <t>METALS INDUSTRY RESEARCH &amp; DEVELOPMENT CENTER</t>
  </si>
  <si>
    <t>MUNICIPALITY OF DEL CARMEN, SURIGAO DEL NORTE</t>
  </si>
  <si>
    <t>DEPARTMENT OF PUBLIC WORKS AND HIGHWAYS - REGION III</t>
  </si>
  <si>
    <t>ENVIRONMENTAL MANAGEMENT BUREAU - REGION XI</t>
  </si>
  <si>
    <t>NATIONAL POWER CORPORATION - SPUG LUZON</t>
  </si>
  <si>
    <t>BARANGAY MINA EAST, MINA, ILOILO</t>
  </si>
  <si>
    <t>CITY OF LIGAO, ALBAY</t>
  </si>
  <si>
    <t>DEPARTMENT OF AGRICULTURE - REGION IX</t>
  </si>
  <si>
    <t>MUNICIPALITY OF LINGAYEN, PANGASINAN</t>
  </si>
  <si>
    <t>105TH CONTRACTING OFFICE, AFP PROCUREMENT SERVICE</t>
  </si>
  <si>
    <t>DEPARTMENT OF AGRARIAN REFORM - CAMARINES SUR A</t>
  </si>
  <si>
    <t>QUIRINO MEMORIAL MEDICAL CENTER</t>
  </si>
  <si>
    <t>PICANAN NATIONAL HIGH SCHOOL</t>
  </si>
  <si>
    <t>BARANGAY BULI - PINAMALAYAN, ORIENTAL MINDORO</t>
  </si>
  <si>
    <t>MUNICIPALITY OF GUMACA, QUEZON</t>
  </si>
  <si>
    <t>BARANGAY STA. TERESITA, MANSALAY, ORIENTAL MINDORO</t>
  </si>
  <si>
    <t>DEPARTMENT OF EDUCATION - DIVISION OF NAGA CITY</t>
  </si>
  <si>
    <t>MUNICIPALITY OF DIPLAHAN, ZAMBOANGA SIBUGAY</t>
  </si>
  <si>
    <t>MOLAVE REGIONAL PILOT SCHOOL TRAINING CENTER</t>
  </si>
  <si>
    <t>DEPARTMENT OF PUBLIC WORKS AND HIGHWAYS - ROMBLON DEO</t>
  </si>
  <si>
    <t>CAPIZ STATE UNIVERSITY - CENTRAL ADMINISTRATION</t>
  </si>
  <si>
    <t>MUNICIPALITY OF BROOKE'S POINT, PALAWAN</t>
  </si>
  <si>
    <t>MUNICIPALITY OF TIWI, ALBAY</t>
  </si>
  <si>
    <t>ALEJANDRA L. NAVARRO CENTRAL ELEMENTARY SCHOOL</t>
  </si>
  <si>
    <t>BARANGAY TINGLAN MUTIA ZAMBOANGA DEL NORTE</t>
  </si>
  <si>
    <t>DUTY FREE PHILIPPINES CORPORATION</t>
  </si>
  <si>
    <t>BARANGAY TALANGAN, NAGCARLAN, LAGUNA</t>
  </si>
  <si>
    <t>MUNICIPALITY OF PILA, LAGUNA</t>
  </si>
  <si>
    <t>BARANGAY SABANG, LIPA CITY</t>
  </si>
  <si>
    <t>MUNICIPALITY OF SAN PABLO, ZAMBOANGA DEL SUR</t>
  </si>
  <si>
    <t>MUNICIPALITY OF AROROY, MASBATE</t>
  </si>
  <si>
    <t>CAGAYAN DE ORO CITY WATER DISTRICT</t>
  </si>
  <si>
    <t>BARANGAY SAN ROQUE, BURI CATBALOGAN CITY</t>
  </si>
  <si>
    <t>MUNICIPALITY OF BANSUD, ORIENTAL MINDORO</t>
  </si>
  <si>
    <t>PROVINCE OF ILOCOS SUR</t>
  </si>
  <si>
    <t>DEPARTMENT OF THE INTERIOR AND LOCAL GOVERNMENT - MAIN</t>
  </si>
  <si>
    <t>CITY OF BAYAWAN, NEGROS ORIENTAL</t>
  </si>
  <si>
    <t>BANGBANG ELEMENTARY SCHOOL</t>
  </si>
  <si>
    <t>CITY OF GINGOOG, MISAMIS ORIENTAL</t>
  </si>
  <si>
    <t>METRO VIGAN WATER DISTRICT</t>
  </si>
  <si>
    <t xml:space="preserve">DEPARTMENT OF PUBLIC WORKS AND HIGHWAYS - COMPOSTELA VALLEY </t>
  </si>
  <si>
    <t>MUNICIPALITY OF PINAMALAYAN, ORIENTAL MINDORO</t>
  </si>
  <si>
    <t>MUNICIPALITY OF CONSOLACION, CEBU</t>
  </si>
  <si>
    <t>CITY OF NAGA, CEBU</t>
  </si>
  <si>
    <t>CITY OF NAGA, CAMARINES SUR</t>
  </si>
  <si>
    <t>BARANGAY CATO, INFANTA, PANGASINAN</t>
  </si>
  <si>
    <t>MUNICIPALITY OF CABAGAN, ISABELA</t>
  </si>
  <si>
    <t>DEPARTMENT OF PUBLIC WORKS AND HIGHWAYS - NUEVA ECIJA 2ND DE</t>
  </si>
  <si>
    <t>CITY OF URDANETA, PANGASINAN</t>
  </si>
  <si>
    <t>MUNICIPALITY OF IPIL, ZAMBOANGA SIBUGAY</t>
  </si>
  <si>
    <t>MUNICIPALITY OF SAN FRANCISCO, AGUSAN DEL SUR</t>
  </si>
  <si>
    <t>MUNICIPALITY OF PAYAO, ZAMBOANGA SIBUGAY</t>
  </si>
  <si>
    <t>DEPARTMENT OF EDUCATION - DIVISION OF CAVITE</t>
  </si>
  <si>
    <t>MUNICIPALITY OF NAGA, ZAMBOANGA SIBUGAY</t>
  </si>
  <si>
    <t>PHILIPPINE NATIONAL OIL COMPANY - MAIN OFFICE</t>
  </si>
  <si>
    <t>LAGUNA STATE POLYTECHNIC UNIVERSITY - SINILOAN CAMPUS</t>
  </si>
  <si>
    <t>MUNICIPALITY OF HUNGDUAN, IFUGAO</t>
  </si>
  <si>
    <t>MALOLOS WATER DISTRICT</t>
  </si>
  <si>
    <t>PHILIPPINE HEALTH INSURANCE CORPORATION - CARAGA</t>
  </si>
  <si>
    <t>AGRICULTURAL TRAINING INSTITUTE - REGIONAL TRAINING CENTER-R</t>
  </si>
  <si>
    <t>GOVERNMENT SERVICE INSURANCE SYSTEM</t>
  </si>
  <si>
    <t>MUNICIPALITY OF DARAM, SAMAR</t>
  </si>
  <si>
    <t>DEPARTMENT OF HEALTH - REGION VII</t>
  </si>
  <si>
    <t>CITY OF MARIKINA</t>
  </si>
  <si>
    <t>DEPARTMENT OF EDUCATION - DIVISION OF BAYAWAN CITY</t>
  </si>
  <si>
    <t>BARANGAY CABULISAN INOPACAN LEYTE</t>
  </si>
  <si>
    <t>BARANGAY GAAS - BAYBAY CITY LEYTE</t>
  </si>
  <si>
    <t>PROVINCE OF BUKIDNON</t>
  </si>
  <si>
    <t>MUNICIPALITY OF URBIZTONDO, PANGASINAN</t>
  </si>
  <si>
    <t>COUNCIL FOR THE WELFARE OF CHILDREN, DSWD</t>
  </si>
  <si>
    <t>MUNICIPALITY OF FLORA, APAYAO</t>
  </si>
  <si>
    <t>BARANGAY WAWA I ROSARIO CAVITE</t>
  </si>
  <si>
    <t>DEPARTMENT OF PUBLIC WORKS AND HIGHWAYS - BOHOL 2ND DEO</t>
  </si>
  <si>
    <t>CITY  OF LA CARLOTA, NEGROS OCCIDENTAL</t>
  </si>
  <si>
    <t>MUNICIPALITY OF MARIPIPI, BILIRAN</t>
  </si>
  <si>
    <t>BARANGAY BUDA  - DAVAO CITY</t>
  </si>
  <si>
    <t>BARANGAY BUKAL - BUENAVISTA, QUEZON</t>
  </si>
  <si>
    <t>BARANGAY DOMOLOG - BINDOY (PAYABON) NEGROS ORIENTAL</t>
  </si>
  <si>
    <t>MUNICIPALITY OF MONKAYO, COMPOSTELA VALLEY</t>
  </si>
  <si>
    <t>306TH CONTRACTING OFFICE, AFP PROCUREMENT SERVICE</t>
  </si>
  <si>
    <t>MUNICIPALITY OF ISABELA, NEGROS OCCIDENTAL</t>
  </si>
  <si>
    <t>PHILIPPINE POSTAL CORPORATION</t>
  </si>
  <si>
    <t>NORTHWESTERN MINDANAO STATE COLLEGE OF SCIENCE &amp; TECHNOLOGY</t>
  </si>
  <si>
    <t>DEPARTMENT OF TRADE &amp; INDUSTRY - REGION IX</t>
  </si>
  <si>
    <t>MUNICIPALITY OF CARDONA, RIZAL</t>
  </si>
  <si>
    <t>AGRICULTURAL TRAINING INSTITUTE - LIPA CITY</t>
  </si>
  <si>
    <t>MUNICIPALITY OF NAIC, CAVITE</t>
  </si>
  <si>
    <t>MUNICIPALITY OF BULUSAN, SORSOGON</t>
  </si>
  <si>
    <t>DEPARTMENT OF SOCIAL WELFARE AND DEVELOPMENT - CARAGA</t>
  </si>
  <si>
    <t>BARANGAY SAN JUAN DE MATA, TARLAC CITY</t>
  </si>
  <si>
    <t>MUNICIPALITY OF NABUNTURAN, COMPOSTELA VALLEY</t>
  </si>
  <si>
    <t>BAGUIO GENERAL HOSPITAL AND MEDICAL CENTER</t>
  </si>
  <si>
    <t xml:space="preserve">DEPARTMENT OF PUBLIC WORKS AND HIGHWAYS - CAMARINES SUR 2ND </t>
  </si>
  <si>
    <t>MUNICIPALITY OF KAUSWAGAN, LANAO DEL NORTE</t>
  </si>
  <si>
    <t>SOUTHERN PHILIPPINES MEDICAL CENTER</t>
  </si>
  <si>
    <t>MUNICIPALITY OF MERIDA, LEYTE</t>
  </si>
  <si>
    <t>MUNICIPALITY OF SIPOCOT, CAMARINES SUR</t>
  </si>
  <si>
    <t>DEPARTMENT OF LABOR AND EMPLOYMENT - REGION X</t>
  </si>
  <si>
    <t>CITY OF SAN CARLOS, PANGASINAN</t>
  </si>
  <si>
    <t>MUNICIPALITY OF MADRIDEJOS, CEBU</t>
  </si>
  <si>
    <t>DEPARTMENT OF SOCIAL WELFARE AND DEVELOPMENT - REGION III</t>
  </si>
  <si>
    <t>DEPARTMENT OF INFORMATION AND COMMUNICATIONS TECHNOLOGY-CDO</t>
  </si>
  <si>
    <t>BARANGAY BAYAMBANG, INFANTA, PANGASINAN</t>
  </si>
  <si>
    <t>DEPARTMENT OF PUBLIC WORKS AND HIGHWAYS - SOUTH COTABATO 1ST</t>
  </si>
  <si>
    <t>DEPARTMENT OF AGRARIAN REFORM - REGION IX</t>
  </si>
  <si>
    <t>AMANG RODRIGUEZ MEMORIAL MEDICAL CENTER</t>
  </si>
  <si>
    <t>DR. E. B. ESPINOSA, SR. MEMORIAL STATE COL OF AGRIC AND TECH</t>
  </si>
  <si>
    <t>BARANGAY 90 ZONE 7  DISTRICT 1</t>
  </si>
  <si>
    <t>NATIONAL ELECTRIFICATION ADMINISTRATION</t>
  </si>
  <si>
    <t>MUNICIPALITY OF CASIGURAN, SORSOGON</t>
  </si>
  <si>
    <t>RIZAL TECHNOLOGICAL UNIVERSITY</t>
  </si>
  <si>
    <t>MUNICIPALITY OF DUPAX DEL SUR, NUEVA VIZCAYA</t>
  </si>
  <si>
    <t>CITY OF LAPU-LAPU</t>
  </si>
  <si>
    <t>BARANGAY 24, CAGAYAN DE ORO CITY</t>
  </si>
  <si>
    <t>MUNICIPALITY OF PANGLAO, BOHOL</t>
  </si>
  <si>
    <t>SAMAR STATE UNIVERSITY</t>
  </si>
  <si>
    <t>CITY OF TANAUAN, BATANGAS</t>
  </si>
  <si>
    <t>DEPARTMENT OF PUBLIC WORKS AND HIGHWAYS - LA UNION 1ST ED</t>
  </si>
  <si>
    <t>DEPARTMENT OF PUBLIC WORKS AND HIGHWAYS - DINAGAT ISLANDS DI</t>
  </si>
  <si>
    <t>DEPARTMENT OF PUBLIC WORKS AND HIGHWAYS - CEBU 4TH DEO</t>
  </si>
  <si>
    <t>BANAGO ELEMENTARY SCHOOL I BACOLOD CITY NEGROS OCCIDENTAL</t>
  </si>
  <si>
    <t>MUNICIPALITY OF BONTOC, MOUNTAIN PROVINCE</t>
  </si>
  <si>
    <t>MUNICIPALITY OF HINDANG, LEYTE</t>
  </si>
  <si>
    <t>PHILIPPINE STATE COLLEGE OF AERONAUTICS</t>
  </si>
  <si>
    <t>NATIONAL COMMISSION ON INDIGENOUS PEOPLES - REGION V</t>
  </si>
  <si>
    <t>CITY OF SAN JOSE DEL MONTE, BULACAN</t>
  </si>
  <si>
    <t>PROVINCE OF AGUSAN DEL SUR</t>
  </si>
  <si>
    <t>DEPARTMENT OF EDUCATION - DIVISION OF MALAYBALAY CITY</t>
  </si>
  <si>
    <t>PROVINCE OF RIZAL</t>
  </si>
  <si>
    <t>PROVINCE OF BOHOL</t>
  </si>
  <si>
    <t>BUREAU OF FISHERIES AND AQUATIC RESOURCES - REGION X</t>
  </si>
  <si>
    <t>MUNICIPALITY OF MABALACAT, PAMPANGA</t>
  </si>
  <si>
    <t>PROVINCE OF MISAMIS OCCIDENTAL</t>
  </si>
  <si>
    <t>QUEZON, BUKIDNON WATER DISTRICT</t>
  </si>
  <si>
    <t>406TH CONTRACTING OFFICE, AFP PROCUREMENT SERVICE</t>
  </si>
  <si>
    <t>CORAZON LOCSIN MONTELIBANO MEMORIAL REGIONAL HOSPITAL-DOH R6</t>
  </si>
  <si>
    <t>PROVINCE OF BATANES</t>
  </si>
  <si>
    <t>DAPITAN CITY WATER DISTRICT</t>
  </si>
  <si>
    <t>BARANGAY SAN MIGUEL, BATANGAS CITY</t>
  </si>
  <si>
    <t>MUNICIPALITY OF GEN. M. ALVAREZ, CAVITE</t>
  </si>
  <si>
    <t>TANJAY WATER DISTRICT</t>
  </si>
  <si>
    <t>SAGARAN ELEMENTARY SCHOOL</t>
  </si>
  <si>
    <t>BARANGAY KANLURAN ROSARIO CAVITE</t>
  </si>
  <si>
    <t>MUNICIPALITY OF LAGONGLONG, MISAMIS ORIENTAL</t>
  </si>
  <si>
    <t>DEPARTMENT OF EDUCATION - DIVISION OF COTABATO</t>
  </si>
  <si>
    <t>BARANGAY GOVERNMENT OF ANAHAW LABO CAMARINES NORTE</t>
  </si>
  <si>
    <t>CITY OF MANILA</t>
  </si>
  <si>
    <t>DEPARTMENT OF ENVIRONMENT AND NATURAL RES. - PENRO, AKLAN</t>
  </si>
  <si>
    <t>DEPARTMENT OF PUBLIC WORKS AND HIGHWAYS - BATANGAS 2ND ED</t>
  </si>
  <si>
    <t>MUNICIPALITY OF SANTA CRUZ, LAGUNA</t>
  </si>
  <si>
    <t>PORAS ELEMENTARY SCHOOL</t>
  </si>
  <si>
    <t>MUNICIPALITY OF PORAC, PAMPANGA</t>
  </si>
  <si>
    <t>CAUAYAN CITY NATIONAL HIGH SCHOOL - CAUAYAN CITY ISABELA</t>
  </si>
  <si>
    <t>CITY  OF CABANATUAN, NUEVA ECIJA</t>
  </si>
  <si>
    <t>NATIONAL POLICE COMMISSION</t>
  </si>
  <si>
    <t>BARANGAY PARAISO, TARLAC, TARLAC</t>
  </si>
  <si>
    <t>MENDEZ WATER DISTRICT</t>
  </si>
  <si>
    <t>MUNICIPALITY OF VICTORIA, ORIENTAL MINDORO</t>
  </si>
  <si>
    <t>MUNICIPALITY OF PIÑAN, ZAMBOANGA DEL NORTE</t>
  </si>
  <si>
    <t>NATIONAL IRRIGATION ADMINISTRATION</t>
  </si>
  <si>
    <t>DEPARTMENT OF PUBLIC WORKS AND HIGHWAYS - PAMPANGA 1ST DEO</t>
  </si>
  <si>
    <t>MUNICIPALITY OF BALABAC, PALAWAN</t>
  </si>
  <si>
    <t>MUNICIPALITY OF SAN FRANCISCO, SURIGAO DEL NORTE</t>
  </si>
  <si>
    <t>MARINDUQUE STATE COLLEGE</t>
  </si>
  <si>
    <t>EASTERN VISAYAS STATE UNIVERSITY</t>
  </si>
  <si>
    <t>BARANGAY BALIWAGAN, BALAMBAN, CEBU</t>
  </si>
  <si>
    <t>MUNICIPALITY OF LAUREL, BATANGAS</t>
  </si>
  <si>
    <t>METROPOLITAN CEBU WATER DISTRICT</t>
  </si>
  <si>
    <t>PHILIPPINE CARABAO CENTER AT CENTRAL MINDANAO UNIVERSITY</t>
  </si>
  <si>
    <t>BANGKO SENTRAL NG PILIPINAS - CEBU REGIONAL OFFICE</t>
  </si>
  <si>
    <t>ISLAND GARDEN CITY OF SAMAL, DAVAO DEL NORTE</t>
  </si>
  <si>
    <t>PHILIPPINE STATISTICS AUTHORITY - CAVITE</t>
  </si>
  <si>
    <t>MUNICIPALITY OF ARITAO, NUEVA VIZCAYA</t>
  </si>
  <si>
    <t>MUNICIPALITY OF MAITUM, SARANGANI</t>
  </si>
  <si>
    <t>CIVIL AVIATION AUTHORITY OF THE PHILIPPINES - REGION V</t>
  </si>
  <si>
    <t>DEPARTMENT OF AGRICULTURE - REGION XI</t>
  </si>
  <si>
    <t>COMMISSION ON FILIPINOS OVERSEAS</t>
  </si>
  <si>
    <t>BARANGAY SAN NICOLAS POBLACION, CONCEPCION, TARLAC</t>
  </si>
  <si>
    <t>BARANGAY IMELDA, HILONGOS, LEYTE</t>
  </si>
  <si>
    <t>MUNICIPALITY OF MAMBURAO, OCCIDENTAL MINDORO</t>
  </si>
  <si>
    <t>GOVERNOR CELESTINO GALLARES MEMORIAL HOSPITAL</t>
  </si>
  <si>
    <t>BARANGAY CABADIANGAN, KADINGILAN, BUKIDNON</t>
  </si>
  <si>
    <t>PHILIPPINE NATIONAL POLICE - INFORMATION TECHNOLOGY MANAGEME</t>
  </si>
  <si>
    <t>DEPARTMENT OF ENVIRONMENT AND NATURAL RES. - PENRO, ILOCOS S</t>
  </si>
  <si>
    <t>MUNICIPALITY OF VALDERRAMA, ANTIQUE</t>
  </si>
  <si>
    <t>MUNICIPALITY OF ALFONSO CASTAÑEDA, NUEVA VIZCAYA</t>
  </si>
  <si>
    <t>DEPARTMENT OF PUBLIC WORKS AND HIGHWAYS - ZAMBOANGA CITY DEO</t>
  </si>
  <si>
    <t>DEPARTMENT OF EDUCATION - DIVISION OF TALISAY CITY</t>
  </si>
  <si>
    <t>LANDBANK OF THE PHILIPPINES - HEAD OFFICE</t>
  </si>
  <si>
    <t>MUNICIPALITY OF CORCUERA, ROMBLON</t>
  </si>
  <si>
    <t>DEPARTMENT OF EDUCATION - DIVISION OF CITY SCHOOLS, TAGBILAR</t>
  </si>
  <si>
    <t>BARANGAY 4 RAJAH SOLIMAN, BUTUAN CITY</t>
  </si>
  <si>
    <t>PHILIPPINE STATISTICS AUTHORITY</t>
  </si>
  <si>
    <t>LIGA NG MGA BARANGAY BATO, LEYTE CHAPTER</t>
  </si>
  <si>
    <t>PROVINCE OF ZAMBALES</t>
  </si>
  <si>
    <t>DEPARTMENT OF PUBLIC WORKS AND HIGHWAYS - CAVITE I DEO</t>
  </si>
  <si>
    <t>MUNICIPALITY OF OLUTANGA, ZAMBOANGA SIBUGAY</t>
  </si>
  <si>
    <t>PROCUREMENT SERVICE</t>
  </si>
  <si>
    <t>MUNICIPALITY OF LAUR, NUEVA ECIJA</t>
  </si>
  <si>
    <t>MUNICIPALITY OF BARILI, CEBU</t>
  </si>
  <si>
    <t>BARANGAY OF STO.NIÑO - LEYTE</t>
  </si>
  <si>
    <t>SANDIGANBAYAN</t>
  </si>
  <si>
    <t>COURT OF APPEALS</t>
  </si>
  <si>
    <t>CIVIL AVIATION AUTHORITY OF THE PHILIPPINES - AREA CENTER XI</t>
  </si>
  <si>
    <t>MUNICIPALITY OF AGOO, LA UNION</t>
  </si>
  <si>
    <t>PROVINCE OF OCCIDENTAL MINDORO</t>
  </si>
  <si>
    <t>BACOLOD CITY WATER DISTRICT</t>
  </si>
  <si>
    <t>MUNICIPALITY OF PILAR, SORSOGON</t>
  </si>
  <si>
    <t>MUNICIPALITY OF BURUANGA, AKLAN</t>
  </si>
  <si>
    <t>CAWIT ELEMENTARY TEACHERS</t>
  </si>
  <si>
    <t>CITY  OF CADIZ, NEGROS OCCIDENTAL</t>
  </si>
  <si>
    <t>BARANGAY DANASAN DANAO CITY CEBU</t>
  </si>
  <si>
    <t>BARANGAY POBLACION - PUERTO GALERA ORIENTAL MINDORO</t>
  </si>
  <si>
    <t>MUNICIPALITY OF BALETE, AKLAN</t>
  </si>
  <si>
    <t>DEPARTMENT OF ENVIRONMENT AND NATURAL RES. - CENRO-APARRI</t>
  </si>
  <si>
    <t>BARANGAY LIGTONG IV ROSARIO CAVITE</t>
  </si>
  <si>
    <t>MUNICIPALITY OF SERGIO OSMENA, ZAMBOANGA DEL NORTE</t>
  </si>
  <si>
    <t>DEPARTMENT OF PUBLIC WORKS AND HIGHWAYS - LA UNION 2ND ED</t>
  </si>
  <si>
    <t>DOÑA HORTENCIA SALAS BENEDICTO NATIONAL HIGH SCHOOL-LA CARLO</t>
  </si>
  <si>
    <t>MANAOAG WATER DISTRICT</t>
  </si>
  <si>
    <t>CITY OF BUTUAN, AGUSAN DEL NORTE</t>
  </si>
  <si>
    <t>BARANGAY SAN JOAQUIN, CAPOOCAN, LEYTE</t>
  </si>
  <si>
    <t>MUNICIPALITY OF DATU PAGLAS, MAGUINDANAO</t>
  </si>
  <si>
    <t>CIVIL AVIATION AUTHORITY OF THE PHILIPPINES - REGION II</t>
  </si>
  <si>
    <t>MUNICIPALITY OF IGBARAS, ILOILO</t>
  </si>
  <si>
    <t>DEPARTMENT OF EDUCATION - DIVISION OF BAIS CITY</t>
  </si>
  <si>
    <t>BARANGAY LAPAZ, VILLASIS, PANGASINAN</t>
  </si>
  <si>
    <t>LOCAL GOVERNMENT UNIT OF OTON, ILOILO</t>
  </si>
  <si>
    <t>DIGOS WATER DISTRICT</t>
  </si>
  <si>
    <t>BARANGAY I POBLACION, MALILIPOT, ALBAY</t>
  </si>
  <si>
    <t>MUNICIPALITY OF STA.CRUZ, DAVAO DEL SUR</t>
  </si>
  <si>
    <t>MUNICIPALITY OF AJUY, ILOILO</t>
  </si>
  <si>
    <t>MUNICIPALITY OF PORO, CEBU</t>
  </si>
  <si>
    <t>PALOMPON INSTITUTE OF TECHNOLOGY</t>
  </si>
  <si>
    <t>UNIVERSITY OF SCIENCE &amp; TECH. OF SOUTHERN PHIL.-CLAVERIA</t>
  </si>
  <si>
    <t>DOH-REGIONAL OFFICE IV-A</t>
  </si>
  <si>
    <t>PHILIPPINE DEPOSIT INSURANCE CORPORATION</t>
  </si>
  <si>
    <t>BARANGAY CAÑORONG, GINATILAN, CEBU</t>
  </si>
  <si>
    <t>DEPARTMENT OF PUBLIC WORKS AND HIGHWAYS - REGION IX</t>
  </si>
  <si>
    <t>PROVINCIAL GOVERNMENT OF CAMARINES SUR</t>
  </si>
  <si>
    <t>TALAVERA CENTRAL SCHOOL</t>
  </si>
  <si>
    <t>MASBATE-MOBO WATER DISTRICT</t>
  </si>
  <si>
    <t>DARAGA WATER DISTRICT</t>
  </si>
  <si>
    <t>MUNICIPALITY OF MAYORGA, LEYTE</t>
  </si>
  <si>
    <t>DEPARTMENT OF PUBLIC WORKS AND HIGHWAYS - NORTH COTABATO 1ST</t>
  </si>
  <si>
    <t>SK OF BARANGAY EAST REMBO - MAKATI CITY</t>
  </si>
  <si>
    <t>BARANGAY BARASAN, POTOTAN, ILOILO</t>
  </si>
  <si>
    <t>DEPARTMENT OF THE INTERIOR AND LOCAL GOVERNMENT - REGION X</t>
  </si>
  <si>
    <t>OCCIDENTAL MINDORO STATE COLLEGE</t>
  </si>
  <si>
    <t>NATIONAL IRRIGATION ADMINISTRATION - CAMARINES NORTE</t>
  </si>
  <si>
    <t>DEPARTMENT OF TRADE AND INDUSTRY - MAIN</t>
  </si>
  <si>
    <t>CITY  OF CAVITE</t>
  </si>
  <si>
    <t>BARANGAY SANGAHON MALITBOG SOUTHERN LEYTE</t>
  </si>
  <si>
    <t>CITY OF LEGAZPI, ALBAY</t>
  </si>
  <si>
    <t>MUNICIPALITY OF BUENAVISTA, GUIMARAS</t>
  </si>
  <si>
    <t>PARTIDO STATE UNIVERSITY - GOA CAMPUS</t>
  </si>
  <si>
    <t>MARIVELES MENTAL WELLNESS AND GENERAL HOSPITAL</t>
  </si>
  <si>
    <t>DEPARTMENT OF PUBLIC WORKS AND HIGHWAYS - MAGUINDANAO 2ND DE</t>
  </si>
  <si>
    <t>MUNICIPALITY OF DUMINGAG, ZAMBOANGA DEL SUR</t>
  </si>
  <si>
    <t>MUNICIPALITY OF MACROHON, SOUTHERN LEYTE</t>
  </si>
  <si>
    <t>DEPARTMENT OF ENVIRONMENT AND NATURAL RESOURCES-10</t>
  </si>
  <si>
    <t>BAYAWAN WATER DISTRICT</t>
  </si>
  <si>
    <t>LOCAL GOVERNMENT UNIT OF DAET</t>
  </si>
  <si>
    <t>MUNICIPALITY OF GITAGUM , MISAMIS ORIENTAL</t>
  </si>
  <si>
    <t>CITY OF MALABON</t>
  </si>
  <si>
    <t>MUNICIPALITY OF MAMBUSAO, CAPIZ</t>
  </si>
  <si>
    <t>MUNICIPALITY OF ODIONGAN, ROMBLON</t>
  </si>
  <si>
    <t>CABUYAO CENTRAL SCHOOL</t>
  </si>
  <si>
    <t>PALOMPON INSTITUTE OF TECHNOLOGY - TABANGO CAMPUS</t>
  </si>
  <si>
    <t>MUNICIPALITY OF BINANGONAN, RIZAL</t>
  </si>
  <si>
    <t>DEPARTMENT OF ENVIRONMENT AND NATURAL RESOURCES - CARAGA</t>
  </si>
  <si>
    <t>MUNICIPALITY OF BANGUI, ILOCOS NORTE</t>
  </si>
  <si>
    <t>MUNICIPALITY OF ENRIQUE VILLANUEVA, SIQUIJOR</t>
  </si>
  <si>
    <t>GINGOOG CITY WATER DISTRICT</t>
  </si>
  <si>
    <t>PHILIPPINE DRUG ENFORCEMENT AGENCY</t>
  </si>
  <si>
    <t>MUNICIPALITY OF HERNANI, EASTERN SAMAR</t>
  </si>
  <si>
    <t>BARANGAY TALISAYAN, ANINI-Y, ANTIQUE</t>
  </si>
  <si>
    <t>DEPARTMENT OF SOCIAL WELFARE AND DEVELOPMENT - REGION XI</t>
  </si>
  <si>
    <t>BARANGAY  BAYUYAN - PRESIDENT ROXAS, CAPIZ</t>
  </si>
  <si>
    <t>BUREAU OF ANIMAL INDUSTRY, DA</t>
  </si>
  <si>
    <t>BUENAVISTA NATIONAL HIGH SCHOOL - BAGACAY ANNEX</t>
  </si>
  <si>
    <t>LINGUNAN ELEMENTARY SCHOOL</t>
  </si>
  <si>
    <t>MUNICIPALITY OF NATIVIDAD -  PANGASINAN</t>
  </si>
  <si>
    <t>CITY OF EL SALVADOR, MISAMIS ORIENTAL</t>
  </si>
  <si>
    <t>PROFESSIONAL REGULATION COMMISSION - REGION XI</t>
  </si>
  <si>
    <t>DEPARTMENT OF PUBLIC WORKS AND HIGHWAYS - ZAMBOANGA DEL NORT</t>
  </si>
  <si>
    <t>DEPARTMENT OF ENVIRONMENT AND NATURAL RES. - PENRO, MIS. OCC</t>
  </si>
  <si>
    <t>BARANGAY SAN JUAN -  CAINTA, RIZAL</t>
  </si>
  <si>
    <t>DEPARTMENT OF PUBLIC WORKS AND HIGHWAYS - SULTAN KUDARAT 2ND</t>
  </si>
  <si>
    <t>NATIONAL HOUSING AUTHORITY - NCR NORTH SECTOR</t>
  </si>
  <si>
    <t>BUREAU OF FISHERIES AND AQUATIC RESOURCES - REGION III</t>
  </si>
  <si>
    <t>PARTIDO DEVELOPMENT ADMINISTRATION</t>
  </si>
  <si>
    <t>BENGUET GENERAL HOSPITAL</t>
  </si>
  <si>
    <t>PROVINCE OF ISABELA</t>
  </si>
  <si>
    <t>409TH CONTRACTING OFFICE</t>
  </si>
  <si>
    <t>MUNICIPALITY OF BONGABONG, ORIENTAL MINDORO</t>
  </si>
  <si>
    <t>PHILIPPINE SCIENCE HIGH SCHOOL - CAR CAMPUS</t>
  </si>
  <si>
    <t>BARANGAY BANJO WEST, TANAUAN CITY, BATANGAS</t>
  </si>
  <si>
    <t>DEPARTMENT OF AGRARIAN REFORM - SARANGANI PROVINCE</t>
  </si>
  <si>
    <t>BARANGAY STA. MONICA, PUERTO PRINCESA CITY, PALAWAN</t>
  </si>
  <si>
    <t>NATIONAL FOOD AUTHORITY - INFANTA</t>
  </si>
  <si>
    <t>MUNICIPALITY OF SAN JULIAN, EASTERN SAMAR</t>
  </si>
  <si>
    <t>DEPARTMENT OF AGRICULTURE - REGION X</t>
  </si>
  <si>
    <t>PRESIDENTIAL MANAGEMENT STAFF</t>
  </si>
  <si>
    <t>AGRICULTURAL TRAINING INSTITUTE-REGIONAL TRAINING CENTER-8</t>
  </si>
  <si>
    <t>MUNICIPALITY OF SAN NICOLAS, ILOCOS NORTE</t>
  </si>
  <si>
    <t>MARITIME INDUSTRY AUTHORITY (MARINA)</t>
  </si>
  <si>
    <t>PRESIDENTIAL BROADCAST STAFF ,RTVM</t>
  </si>
  <si>
    <t>MUNICIPALITY OF HINOBA-AN, NEGROS OCCIDENTAL</t>
  </si>
  <si>
    <t>SOCIAL SECURITY SYSTEM - WESTERN MINDANAO DIVISION</t>
  </si>
  <si>
    <t>NATIONAL FOOD AUTHORITY - REGION VI</t>
  </si>
  <si>
    <t>PAG-IBIG FUND (TAS-NCR WEST) - MANILA METRO MANILA</t>
  </si>
  <si>
    <t>DEPARTMENT OF PUBLIC WORKS AND HIGHWAYS - ALBAY 2ND DEO</t>
  </si>
  <si>
    <t>BUREAU OF FIRE PROTECTION - REGION IV-A (CALABARZON)</t>
  </si>
  <si>
    <t>BARANGAY MATACON, POLANGUI, ALBAY</t>
  </si>
  <si>
    <t>BARANGAY TIPOLO, DUENAS, ILOILO</t>
  </si>
  <si>
    <t>MUNICIPALITY OF SANTA FE, CEBU</t>
  </si>
  <si>
    <t>BARANGAY PUGAOAN - PINILI ILOCOS NORTE</t>
  </si>
  <si>
    <t>MUNICIPALITY OF PAGSANJAN, LAGUNA</t>
  </si>
  <si>
    <t>PHILIPPINE NATIONAL POLICE - LOGISTICS SUPPORT SERVICE</t>
  </si>
  <si>
    <t>PHILIPPINE CHILDREN'S MEDICAL CENTER</t>
  </si>
  <si>
    <t>DEPARTMENT OF PUBLIC WORKS AND HIGHWAYS - BAGUIO CITY DEO</t>
  </si>
  <si>
    <t>LAS PIÑAS GENERAL HOSPITAL AND SATELLITE TRAUMA CENTER</t>
  </si>
  <si>
    <t>CSG - PNP (CIVIL SECURITY GROUP-PHILIPPINE NATIONAL POLICE)</t>
  </si>
  <si>
    <t>MINISTRY OF BASIC HIGHER AND TECHNICAL EDUCATION -  BARMM</t>
  </si>
  <si>
    <t>SALVADOR TRADE SCHOOL</t>
  </si>
  <si>
    <t>MUNICIPALITY OF MABINI, COMPOSTELA VALLEY</t>
  </si>
  <si>
    <t>MUNICIPALITY OF DINGALAN, AURORA</t>
  </si>
  <si>
    <t>BARANGAY NIPA, CONCEPCION, ILOILO</t>
  </si>
  <si>
    <t>BARANGAY SAN FRANCISCO ISABEL LEYTE</t>
  </si>
  <si>
    <t>MUNICIPALITY OF STA. BARBARA, ILOILO</t>
  </si>
  <si>
    <t>LLANO ELEMENTARY SCHOOL</t>
  </si>
  <si>
    <t>MUNICIPALITY OF LAMBAYONG, SULTAN KUDARAT</t>
  </si>
  <si>
    <t>DEPARTMENT OF SOCIAL WELFARE AND DEVELOPMENT - REGION IV-A</t>
  </si>
  <si>
    <t>MELENCIO M. CASTELO ELEMENTARY SCHOOL</t>
  </si>
  <si>
    <t>DEPARTMENT OF ENVIRONMENT AND NATURAL RESOURCES - RII, PENRO</t>
  </si>
  <si>
    <t>BARANGAY ALTURA MATANDA, TANAUAN CITY, BATANGAS</t>
  </si>
  <si>
    <t>CITY OF VALENZUELA</t>
  </si>
  <si>
    <t>BARANGAY GUINDAPUNAN, PALO, LEYTE</t>
  </si>
  <si>
    <t>BARANGAY GABUYAN, KAPALONG, DAVAO DEL NORTE</t>
  </si>
  <si>
    <t>BANGKO SENTRAL NG PILIPINAS - ILOILO BRANCH</t>
  </si>
  <si>
    <t>FOOD AND NUTRITION RESEARCH INSTITUTE</t>
  </si>
  <si>
    <t>MUNICIPALITY OF LOPE DE VEGA, NORTHERN SAMAR</t>
  </si>
  <si>
    <t>BUREAU OF FISHERIES AND AQUATIC RESOURCES - REGION IV-A</t>
  </si>
  <si>
    <t>OLD DAMULOG NATIONAL HIGH SCHOOL</t>
  </si>
  <si>
    <t>CALOOCAN NATIONAL SCIENCE AND TECHNOLOGY HIGH SCHOOL</t>
  </si>
  <si>
    <t>BARANGAY PALAYAN, NAGCARLAN, LAGUNA</t>
  </si>
  <si>
    <t>MUNICIPALITY OF SULOP, DAVAO DEL SUR</t>
  </si>
  <si>
    <t>DEPARTMENT OF PUBLIC WORKS AND HIGHWAYS - DAVAO OCCIDENTAL D</t>
  </si>
  <si>
    <t>PUNTURIN ELEMENTARY SCHOOL</t>
  </si>
  <si>
    <t>HOME DEVELOPMENT MUTUAL FUND - CALAMBA BRANCH</t>
  </si>
  <si>
    <t>DEPARTMENT OF AGRARIAN REFORM - SOUTH COTABATO PARO</t>
  </si>
  <si>
    <t>BARANGAY 55 ESTANZA -  LEGAZPI CITY ALBAY</t>
  </si>
  <si>
    <t>NATIONAL FOOD AUTHORITY - REGION VII</t>
  </si>
  <si>
    <t>COMMISSION ON HIGHER EDUCATION - MAIN</t>
  </si>
  <si>
    <t>BICOL STATE COLLEGE OF APPLIED SCIENCES AND TECHNOLOGY</t>
  </si>
  <si>
    <t>INDANG WATER DISTRICT</t>
  </si>
  <si>
    <t>MUNICIPALITY OF QUEZON, PALAWAN</t>
  </si>
  <si>
    <t>ROXAS CITY GOVERNMENT</t>
  </si>
  <si>
    <t>BUREAU OF INTERNAL REVENUE - REVENUE REGION NO. 2</t>
  </si>
  <si>
    <t>BUREAU OF CORRECTIONS - (LEYTE REGIONAL PRISON) ABUYOG LEYTE</t>
  </si>
  <si>
    <t>DEPARTMENT OF PUBLIC WORKS AND HIGHWAYS - BATANGAS 1ST DISTR</t>
  </si>
  <si>
    <t>BUREAU OF INTERNAL REVENUE - REVENUE REGION NO. 7A</t>
  </si>
  <si>
    <t>ENVIRONMENTAL MANAGEMENT BUREAU, DENR-REGION X</t>
  </si>
  <si>
    <t>BARANGAY MARANGOG, HILONGOS, LEYTE</t>
  </si>
  <si>
    <t>PRES. CORAZON C. AQUINO HIGH SCHOOL</t>
  </si>
  <si>
    <t>BARANGAY SAN JUAN, BALLESTEROS, CAGAYAN</t>
  </si>
  <si>
    <t>GAPPAL HIGH SCHOOL - CAUAYAN CITY ISABELA</t>
  </si>
  <si>
    <t>NUEVA ECIJA UNIVERSITY OF SCIENCE AND TECHNOLOGY</t>
  </si>
  <si>
    <t>BARANGAY LABATAN -  PAYAO, ZAMBOANGA SIBUGAY</t>
  </si>
  <si>
    <t>DEPARTMENT OF EDUCATION - DIVISION OF CAMARINES NORTE</t>
  </si>
  <si>
    <t>MUNICIPALITY OF TANAY, RIZAL</t>
  </si>
  <si>
    <t>BARANGAY PARANUM LALLO CAGAYAN</t>
  </si>
  <si>
    <t>CITY OF IMUS -  CAVITE</t>
  </si>
  <si>
    <t>UNIVERSITY OF THE PHILIPPINES - DILIMAN</t>
  </si>
  <si>
    <t>BARANGAY LOWER CABANGCALAN LAZI SIQUIJOR</t>
  </si>
  <si>
    <t>ENVIRONMENTAL MANAGEMENT BUREAU - NCR, DENR</t>
  </si>
  <si>
    <t>PIO VALENZUELA ELEMENTARY SCHOOL</t>
  </si>
  <si>
    <t>BARANGAY DALAYA LALLO CAGAYAN</t>
  </si>
  <si>
    <t>ENVIRONMENTAL MANAGEMENT BUREAU - CAR, DENR</t>
  </si>
  <si>
    <t>NATIONAL COMMISSION ON MUSLIM FILIPINOS</t>
  </si>
  <si>
    <t>DEPARTMENT OF EDUCATION - DIVISION OF BOHOL</t>
  </si>
  <si>
    <t>PROVINCE OF LANAO DEL SUR</t>
  </si>
  <si>
    <t>GRACIANO LOPEZ JAENA ELEMENTARY SCHOOL - NEGROS OCCIDENTAL</t>
  </si>
  <si>
    <t>BARANGAY UNAT - IBAJAY AKLAN</t>
  </si>
  <si>
    <t>OFFICE OF THE VICE-PRESIDENT OF THE PHILIPPINES</t>
  </si>
  <si>
    <t>BARANGAY TIBLE, SIPOCOT, CAMARINES SUR</t>
  </si>
  <si>
    <t>UNIVERSITY OF THE PHILIPPINES - SYSTEM</t>
  </si>
  <si>
    <t>PROVINCE OF COTABATO</t>
  </si>
  <si>
    <t>MUNICIPALITY OF PAOAY, ILOCOS NORTE</t>
  </si>
  <si>
    <t>BUREAU OF FIRE PROTECTION REGION IX</t>
  </si>
  <si>
    <t>BARANGAY STA MARIA LAL-LO CAGAYAN</t>
  </si>
  <si>
    <t>BARANGAY BANGAG LALLO CAGAYAN</t>
  </si>
  <si>
    <t>ARTECHE NATIONAL AGRICULTURAL SCHOOL</t>
  </si>
  <si>
    <t>DEPARTMENT OF PUBLIC WORKS AND HIGHWAYS - REGION I</t>
  </si>
  <si>
    <t>DEPARTMENT OF TOURISM</t>
  </si>
  <si>
    <t>DEPARTMENT OF AGRICULTURE - CARFU</t>
  </si>
  <si>
    <t>MUNICIPALITY OF MARGOSATUBIG, ZAMBOANGA DEL SUR</t>
  </si>
  <si>
    <t>PHILIPPINE ECONOMIC ZONE AUTHORITY - BAGUIO CITY ECOZONE</t>
  </si>
  <si>
    <t>AGRICULTURAL TRAINING INSTITUTE - REGION I</t>
  </si>
  <si>
    <t>AGRICULTURAL TRAINING INSTITUTE - CAMARINES SUR</t>
  </si>
  <si>
    <t>PROVINCE OF GUIMARAS</t>
  </si>
  <si>
    <t>KIARA NATIONAL HIGH SCHOOL - DON CARLOS BUKIDNON</t>
  </si>
  <si>
    <t>MUNICIPALITY OF NABAS, AKLAN</t>
  </si>
  <si>
    <t>PROVINCE OF QUEZON</t>
  </si>
  <si>
    <t>CITY OF ANGELES, PAMPANGA</t>
  </si>
  <si>
    <t>DEPARTMENT OF PUBLIC WORKS AND HIGHWAYS - REGION II</t>
  </si>
  <si>
    <t>MERANGERAN ELEMENTARY SCHOOL</t>
  </si>
  <si>
    <t>NATIONAL WAGES AND PRODUCTIVITY COMMISSION</t>
  </si>
  <si>
    <t>STO.NIÑO ELEMENTARY SCHOOL - TALAKAG BUKIDNON</t>
  </si>
  <si>
    <t>BARANGAY SANTIAGO GINGOOG CITY</t>
  </si>
  <si>
    <t>MUNICIPALITY OF SAN ANTONIO, NORTHERN SAMAR</t>
  </si>
  <si>
    <t>BISWANGAN ELEMENTARY SCHOOL</t>
  </si>
  <si>
    <t>BARANGAY 573</t>
  </si>
  <si>
    <t>CITY OF ILOILO</t>
  </si>
  <si>
    <t>MUNICIPALITY OF VILLASIS, PANGASINAN</t>
  </si>
  <si>
    <t>BARANGAY  - ROXAS ORIENTAL MINDORO</t>
  </si>
  <si>
    <t>PROVINCE OF ORIENTAL MINDORO</t>
  </si>
  <si>
    <t>MUNICIPALITY OF DINGRAS, ILOCOS NORTE</t>
  </si>
  <si>
    <t>MALINTA NATIONAL HIGH SCHOOL</t>
  </si>
  <si>
    <t>EASTERN VISAYAS REGIONAL MEDICAL CENTER - DOH</t>
  </si>
  <si>
    <t>FERTILIZER AND PESTICIDE AUTHORITY - QUEZON CITY METRO MANIL</t>
  </si>
  <si>
    <t>MUNICIPALITY OF ALCANTARA, ROMBLON</t>
  </si>
  <si>
    <t>MUNICIPALITY OF SURALLAH, SOUTH COTABATO</t>
  </si>
  <si>
    <t>CITY OF DASMARIÑAS, CAVITE</t>
  </si>
  <si>
    <t>PLARIDEL WATER DISTRICT</t>
  </si>
  <si>
    <t>NATIONAL HISTORICAL COMMISSION OF THE PHILIPPINES</t>
  </si>
  <si>
    <t>BARANGAY SABLIG - ANDA, PANGASINAN</t>
  </si>
  <si>
    <t>MUNICIPALITY OF ESPERANZA, AGUSAN DEL SUR</t>
  </si>
  <si>
    <t>DOS HERMANAS ELEMENTARY SCHOOL, TALISAY I</t>
  </si>
  <si>
    <t>CITY OF SAGAY, NEGROS OCCIDENTAL</t>
  </si>
  <si>
    <t>MUNICIPALITY OF STA. TERESITA, CAGAYAN</t>
  </si>
  <si>
    <t>CASTILLEJOS WATER DISTRICT</t>
  </si>
  <si>
    <t>PRESIDENTIAL COMMUNICATIONS OPERATIONS OFFICE</t>
  </si>
  <si>
    <t>MUNICIPALITY OF SAN ANTONIO, QUEZON</t>
  </si>
  <si>
    <t>MUNICIPALITY OF CAPALONGA, CAMARINES NORTE</t>
  </si>
  <si>
    <t>DEPARTMENT OF PUBLIC WORKS AND HIGHWAYS - ISABELA 1ST DEO</t>
  </si>
  <si>
    <t>BARANGAY PALALIAN KALAWIT ZAMBOANGA DEL NORTE</t>
  </si>
  <si>
    <t>UNIVERSITY OF SOUTHEASTERN PHILIPPINES -REGIONAL TRADES, CRA</t>
  </si>
  <si>
    <t>MUNICIPALITY OF DOLORES, EASTERN SAMAR</t>
  </si>
  <si>
    <t>CITY OF SAN CARLOS, NEGROS OCCIDENTAL</t>
  </si>
  <si>
    <t>PROVINCE OF LAGUNA</t>
  </si>
  <si>
    <t>CULION SANITARIUM AND GENERAL HOSPITAL</t>
  </si>
  <si>
    <t>NATIONAL COMMISSION ON INDIGENOUS PEOPLES - CAR</t>
  </si>
  <si>
    <t>PHILIPPINE SCIENCE HIGH SCHOOL - EASTERN VISAYAS CAMPUS</t>
  </si>
  <si>
    <t>MUNICIPALITY OF TABONTABON, LEYTE</t>
  </si>
  <si>
    <t>CARAGA REGIONAL HOSPITAL</t>
  </si>
  <si>
    <t>MUNICIPALITY OF ESTANCIA, ILOILO</t>
  </si>
  <si>
    <t>NATIONAL FOOD AUTHORITY  - REGION XII</t>
  </si>
  <si>
    <t>WEST VISAYAS STATE UNIVERSITY - POTOTAN BRANCH</t>
  </si>
  <si>
    <t>CITY OF DIPOLOG, ZAMBOANGA DEL NORTE</t>
  </si>
  <si>
    <t>DEPARTMENT OF EDUCATION - DIVISION OF ALBAY</t>
  </si>
  <si>
    <t>MUNICIPALITY OF SAN JUAN, SOUTHERN LEYTE</t>
  </si>
  <si>
    <t>LIGA NG MGA BARANGAY, NATIVIDAD CHAPTER</t>
  </si>
  <si>
    <t>PAMPANGA STATE AGRICULTURAL UNIVERSITY</t>
  </si>
  <si>
    <t>CITY OF SAN JOSE, NUEVA ECIJA</t>
  </si>
  <si>
    <t>DR. VICENTE F. GUSTILO MEMORIAL NATIONAL HIGH SCHOOL</t>
  </si>
  <si>
    <t>BARANGAY CATAGGAMAN VIEJO - TUGUEGARAO CITY</t>
  </si>
  <si>
    <t>BAYABAS ELEMENTARY SCHOOL</t>
  </si>
  <si>
    <t>MUNICIPALITY OF JOSE ABAD SANTOS, DAVAO DEL SUR</t>
  </si>
  <si>
    <t xml:space="preserve">DEPARTMENT OF PUBLIC WORKS AND HIGHWAYS - SURIGAO DEL NORTE </t>
  </si>
  <si>
    <t>MUNICIPALITY OF LUBAO, PAMPANGA</t>
  </si>
  <si>
    <t>MUNICIPALITY OF CAPOOCAN, LEYTE</t>
  </si>
  <si>
    <t>BARANGAY TALIGAMAN, BUTUAN CITY</t>
  </si>
  <si>
    <t>MUNICIPALITY OF DIMIAO, BOHOL</t>
  </si>
  <si>
    <t>DEPARTMENT OF EDUCATION - REGION II</t>
  </si>
  <si>
    <t>CRISPINO V. RAMOS ELEMENTARY SCHOOL-BACOLOD CITY NEGROS OCCI</t>
  </si>
  <si>
    <t>MINISTRY OF AGRICULTURE, FISHERIES AND AGRARIAN REFORM - COT</t>
  </si>
  <si>
    <t>GOVERNMENT SERVICE INSURANCE SYSTEM -ILOILO BRANCH</t>
  </si>
  <si>
    <t>MUNICIPALITY OF CALINOG, ILOILO</t>
  </si>
  <si>
    <t>CITY OF ALAMINOS, PANGASINAN</t>
  </si>
  <si>
    <t>CITY OF MUNTINLUPA</t>
  </si>
  <si>
    <t>MUNICIPALITY OF CONCEPCION, TARLAC</t>
  </si>
  <si>
    <t>DEPARTMENT OF PUBLIC WORKS AND HIGHWAYS - ISABELA 2ND DEO</t>
  </si>
  <si>
    <t>NORTHERN NEGROS STATE COLLEGE OF SCIENCE AND TECHNOLOGY</t>
  </si>
  <si>
    <t xml:space="preserve">DASMARIÑAS WATER DISTRICT </t>
  </si>
  <si>
    <t>MUNICIPALITY OF BOAC, MARINDUQUE</t>
  </si>
  <si>
    <t>MUNICIPALITY OF CARMEN, BOHOL</t>
  </si>
  <si>
    <t>LABUAN GENERAL HOSPITAL</t>
  </si>
  <si>
    <t>MUNICIPALITY OF TINOC, IFUGAO</t>
  </si>
  <si>
    <t>CITY OF TUGUEGARAO, CAGAYAN</t>
  </si>
  <si>
    <t>PROVINCE OF PAMPANGA</t>
  </si>
  <si>
    <t>BANGKO SENTRAL NG PILIPINAS -  LEGAZPI CITY ALBAY</t>
  </si>
  <si>
    <t>VETERANS FEDERATION OF THE PHILIPPINES</t>
  </si>
  <si>
    <t>BARANGAY  STO. ROSARIO - SAN ISIDRO DAVAO ORIENTAL</t>
  </si>
  <si>
    <t>DEPARTMENT OF PUBLIC WORKS AND HIGHWAYS - QUEZON 3RD ED</t>
  </si>
  <si>
    <t>MAJADA IN NATIONAL HIGH SCHOOL</t>
  </si>
  <si>
    <t>JOSE B. LINGAD MEMORIAL GENERAL HOSPITAL</t>
  </si>
  <si>
    <t>BARANGAY PINYA, LABO, CAMARINES NORTE</t>
  </si>
  <si>
    <t>PNOC EXPLORATION CORPORATION - TAGUIG CITY</t>
  </si>
  <si>
    <t>DEPARTMENT OF AGRICULTURE - REGION VII</t>
  </si>
  <si>
    <t>DEPARTMENT OF SOCIAL WELFARE AND DEVELOPMENT - REGION VI</t>
  </si>
  <si>
    <t>MUNICIPALITY OF SAN ANDRES, QUEZON</t>
  </si>
  <si>
    <t>BARANGAY LANGCUAS - SAN FERNANDO CITY, LA UNION</t>
  </si>
  <si>
    <t>SIBUYAO NATIONAL HIGH SCHOOL</t>
  </si>
  <si>
    <t>BARANGAY TIBUNGCO, DAVAO CITY</t>
  </si>
  <si>
    <t>BARANGAY 458 ZONE 45 DISTRICT IV, MANILA</t>
  </si>
  <si>
    <t>PUBLIC ELEMENTARY SCHOOL</t>
  </si>
  <si>
    <t>MUNICIPALITY OF LAOANG, NORTHERN SAMAR</t>
  </si>
  <si>
    <t>LAND BANK OF THE PHILIPPINES - OAH IV-B</t>
  </si>
  <si>
    <t>DEPARTMENT OF PUBLIC WORKS AND HIGHWAYS - SORSOGON 1ST DEO</t>
  </si>
  <si>
    <t>MUNICIPALITY OF VICTORIA, TARLAC</t>
  </si>
  <si>
    <t>DEPARTMENT OF AGRARIAN REFORM - CAMARINES NORTE</t>
  </si>
  <si>
    <t>GOVERNMENT SERVICE INSURANCE SYSTEM - MALAYBALAY BRANCH OFFI</t>
  </si>
  <si>
    <t>BARANGAY BULSA - SAN JUAN BATANGAS</t>
  </si>
  <si>
    <t>BARANGAY LANGKONG - M'LANG COTABATO</t>
  </si>
  <si>
    <t>BARANGAY CUPANG, ANTIPOLO CITY</t>
  </si>
  <si>
    <t>BALAGASAN ELEMENTARY SCHOOL</t>
  </si>
  <si>
    <t>BARANGAY IBABANG IYAM, LUCENA CITY</t>
  </si>
  <si>
    <t>HOME DEVELOPMENT MUTUAL FUND - CALOOCAN BRANCH</t>
  </si>
  <si>
    <t>DINAS NATIONAL HIGH SCHOOL - SENIOR HIGH SCHOOL</t>
  </si>
  <si>
    <t>NATIONAL HOUSING AUTHORITY - CARAGA</t>
  </si>
  <si>
    <t>CARAGA STATE UNIVERSITY - CABADBARAN CAMPUS</t>
  </si>
  <si>
    <t>BUREAU OF FISHERIES AND AQUATIC RESOURCES - REGION VIII</t>
  </si>
  <si>
    <t>MUNICIPALITY OF MATALOM, LEYTE</t>
  </si>
  <si>
    <t>PHILIPPINE HEALTH INSURANCE CORPORATION - REGION VIII</t>
  </si>
  <si>
    <t>BOI ELEMENTARY SCHOOL</t>
  </si>
  <si>
    <t>BARANGAY STA. MARIA NORTE, BINALONAN, PANGASINAN</t>
  </si>
  <si>
    <t>BARANGAY SAN ROQUE, CALABANGA, CAMARINES SUR</t>
  </si>
  <si>
    <t>DEPARTMENT OF AGRARIAN REFORM - NEGROS OCCIDENTAL 2 (SOUTH)</t>
  </si>
  <si>
    <t>MUNICIPALITY OF MACABEBE, PAMPANGA</t>
  </si>
  <si>
    <t>MUNICIPALITY OF MARAGUSAN COMPOSTELA VALLEY</t>
  </si>
  <si>
    <t>ANTIPOLO-BANUYO ELEMENTARY SCHOOL</t>
  </si>
  <si>
    <t>CEBU PORT AUTHORITY</t>
  </si>
  <si>
    <t>CATANDUANES STATE COLLEGES</t>
  </si>
  <si>
    <t>PROVINCE OF NUEVA VIZCAYA - BAYOMBONG NUEVA VIZCAYA</t>
  </si>
  <si>
    <t>DAGUPAN CITY WATER DISTRICT</t>
  </si>
  <si>
    <t>CANDELARIA WATER DISTRICT</t>
  </si>
  <si>
    <t>TUGOS ELEMENTARY SCHOOL</t>
  </si>
  <si>
    <t>INTELLECTUAL PROPERTY OF THE PHILIPPINES - TAGUIG CITY</t>
  </si>
  <si>
    <t>MUNICIPALITY OF DUERO, BOHOL</t>
  </si>
  <si>
    <t>MUNICIPALITY OF TAGO, SURIGAO DEL SUR</t>
  </si>
  <si>
    <t>EDUCATION AND TRAINING CENTER SCHOOL III - BACOLOD CITY NEGR</t>
  </si>
  <si>
    <t>MUNICIPALITY OF ABUYOG, LEYTE</t>
  </si>
  <si>
    <t>DEPARTMENT OF PUBLIC WORKS AND HIGHWAYS - LAS PINAS- MUNTINL</t>
  </si>
  <si>
    <t>PHILIPPINE PORTS AUTHORITY - PMO SOUTH HARBOR</t>
  </si>
  <si>
    <t>MUNICIPALITY OF GEN. MAMERTO NATIVIDAD, NUEVA ECIJA</t>
  </si>
  <si>
    <t>DEPARTMENT OF EDUCATION - DIVISION OF NEGROS ORIENTAL</t>
  </si>
  <si>
    <t>MUNICIPALITY OF RIZAL, NUEVA ECIJA</t>
  </si>
  <si>
    <t>BATANGAS MEDICAL CENTER</t>
  </si>
  <si>
    <t>DEPARTMENT OF EDUCATION - DIVISION OF ALAMINOS CITY</t>
  </si>
  <si>
    <t>MUNICIPALITY OF NAGUILIAN, ISABELA</t>
  </si>
  <si>
    <t>MUNICIPALITY OF OSLOB, CEBU</t>
  </si>
  <si>
    <t>MUNICIPALITY OF SAN MIGUEL, SURIGAO DEL SUR</t>
  </si>
  <si>
    <t>SAGUNIANG KABATAAN OF BARANGAY DULACAC</t>
  </si>
  <si>
    <t>DEPARTMENT OF PUBLIC WORKS AND HIGHWAYS SARANGANI DISTRICT E</t>
  </si>
  <si>
    <t>MUNICIPALITY OF MIDSALIP, ZAMBOANGA DEL SUR</t>
  </si>
  <si>
    <t>PEDRO T. MENDIOLA SR. MEMORIAL NATIONAL HIGH SCHOOL</t>
  </si>
  <si>
    <t>ILOILO SCIENCE AND TECHNOLOGY UNIVERSITY</t>
  </si>
  <si>
    <t>SINILOAN WATER DISTRICT</t>
  </si>
  <si>
    <t>MUNICIPALITY OF NORZAGARAY, BULACAN</t>
  </si>
  <si>
    <t>DEPARTMENT OF EDUCATION - DIVISION OF AGUSAN DEL SUR</t>
  </si>
  <si>
    <t>BARANGAY MAHACOT KANLURAN, BATANGAS CITY</t>
  </si>
  <si>
    <t>BARANGAY BATONG MALAKE, LOS BAÑOS, LAGUNA</t>
  </si>
  <si>
    <t>MUNICIPALITY OF NASIPIT, AGUSAN DEL NORTE</t>
  </si>
  <si>
    <t>MUNICIPALITY OF SAN JOSE, BATANGAS</t>
  </si>
  <si>
    <t>PALACIO DEL GOBERNADOR CONDOMINIUM CORPORATION</t>
  </si>
  <si>
    <t>DAGA EXTENSION HIGH SCHOOL - CADIZ CITY NEGROS OCCIDENTAL</t>
  </si>
  <si>
    <t>DEPARTMENT OF PUBLIC WORKS AND HIGHWAYS - MISAMIS ORIENTAL 1</t>
  </si>
  <si>
    <t>HOME DEVELOPMENT MUTUAL FUND</t>
  </si>
  <si>
    <t>BARANGAY APOLLO, ORANI, BATAAN</t>
  </si>
  <si>
    <t>DEPARTMENT OF EDUCATION - DIVISION OF BILIRAN</t>
  </si>
  <si>
    <t>DEPARTMENT OF PUBLIC WORKS AND HIGHWAYS - ABRA ED</t>
  </si>
  <si>
    <t>MUNICIPALITY OF GUINAYANGAN, QUEZON</t>
  </si>
  <si>
    <t>BARANGAY SILANGAN UNO - ROSARIO CAVITE</t>
  </si>
  <si>
    <t>MUNICIPALITY OF GUIUAN, EASTERN SAMAR</t>
  </si>
  <si>
    <t>CITY OF IRIGA</t>
  </si>
  <si>
    <t>DEPARTMENT OF PUBLIC WORKS AND HIGHWAYS - NEG. OCC. 2ND DEO</t>
  </si>
  <si>
    <t>BARANGAY COGORIN ILAYA, LOPEZ, QUEZON</t>
  </si>
  <si>
    <t>BARANGAY MALAYA, LABO, CAMARINES NORTE</t>
  </si>
  <si>
    <t>MUNICIPALITY OF IROSIN, SORSOGON</t>
  </si>
  <si>
    <t>PHILIPPINE PORTS AUTHORITY - PMO ZAMBOANGA DEL NORTE</t>
  </si>
  <si>
    <t>BARANGAY MANANAO, RAPU-RAPU, ALBAY</t>
  </si>
  <si>
    <t>BARANGAY SANTIAGO, CONCEPCION, TARLAC</t>
  </si>
  <si>
    <t>MUNICIPALITY OF MIDSAYAP, NORTH COTABATO</t>
  </si>
  <si>
    <t>BARANGAY BALUGOHIN, ATIMONAN, QUEZON</t>
  </si>
  <si>
    <t>PARAÑAQUE NATIONAL HIGH SCHOOL - BACLARAN ANNEX</t>
  </si>
  <si>
    <t>MUNICIPALITY OF ROSALES, PANGASINAN</t>
  </si>
  <si>
    <t>BARANGAY SOROSORO IBABA, BATANGAS</t>
  </si>
  <si>
    <t>MUNICIPALITY OF SIBAGAT, AGUSAN DEL SUR</t>
  </si>
  <si>
    <t>MUNICIPALITY OF AURORA, ISABELA</t>
  </si>
  <si>
    <t>MUNICIPALITY OF RODRIGUEZ, RIZAL</t>
  </si>
  <si>
    <t>UNIVERSITY OF THE PHILIPPINES - VISAYAS</t>
  </si>
  <si>
    <t>MUNICIPALITY OF BINMALEY, PANGASINAN</t>
  </si>
  <si>
    <t>PASONG TAMO ELEMENTARY SCHOOL</t>
  </si>
  <si>
    <t>407TH CONTRACTING OFFICE, AFP PROCUREMENT SERVICE</t>
  </si>
  <si>
    <t>BARANGAY LINGLINGAY</t>
  </si>
  <si>
    <t>NATIONAL IRRIGATION ADMINISTRATION - IGIMO</t>
  </si>
  <si>
    <t>MUNICIPALITY OF ILOG, NEGROS OCCIDENTAL</t>
  </si>
  <si>
    <t>MUNICIPALITY OF INITAO, MISAMIS ORIENTAL</t>
  </si>
  <si>
    <t>301ST CONTRACTING OFFICE, AFP PROCUREMENT SERVICE</t>
  </si>
  <si>
    <t>BARANGAY CENTRO 3 -  CLAVERIA CAGAYAN</t>
  </si>
  <si>
    <t>BARANGAY GUINDAPUNAN, CATBALOGAN CITY, SAMAR</t>
  </si>
  <si>
    <t>MUNICIPALITY OF KAPATAGAN, LANAO DEL NORTE</t>
  </si>
  <si>
    <t>DEPARTMENT OF AGRICULTURE MIMAROPA</t>
  </si>
  <si>
    <t>MUNICIPALITY OF MANSALAY, ORIENTAL MINDORO</t>
  </si>
  <si>
    <t>WAO DISTRICT HOSPITAL</t>
  </si>
  <si>
    <t>LIBMANAN WATER DISTRICT</t>
  </si>
  <si>
    <t>MUNICIPALITY OF BAROBO, SURIGAO DEL SUR</t>
  </si>
  <si>
    <t>ROMBLON NATIONAL INSTITUTE OF TECHNOLOGY</t>
  </si>
  <si>
    <t>TIGWI NATIONAL HIGH SCHOOL</t>
  </si>
  <si>
    <t>MUNICIPALITY OF DOÑA REMEDIOS TRINIDAD, BULACAN</t>
  </si>
  <si>
    <t>PAG-IBIG FUND - DAVAO HUB (TECHNICAL AND ADMIN SUPPORT)</t>
  </si>
  <si>
    <t>CITY OF ZAMBOANGA, ZAMBOANGA DEL SUR</t>
  </si>
  <si>
    <t>CITY OF TANDAG, SURIGAO DEL SUR</t>
  </si>
  <si>
    <t>MUNICIPALITY OF SAN LUIS, AGUSAN DEL SUR</t>
  </si>
  <si>
    <t>MUNICIPALITY OF CALASIAO, PANGASINAN</t>
  </si>
  <si>
    <t>CONSTRUCTION INDUSTRY AUTHORITY OF THE PHILIPPINES</t>
  </si>
  <si>
    <t>MANSIWAT PRIMARY SCHOOL</t>
  </si>
  <si>
    <t>DEPARTMENT OF  EDUCATION - DIVISION OF OLONGAPO CITY</t>
  </si>
  <si>
    <t>DEPARTMENT OF AGRICULTURE - REGION XII</t>
  </si>
  <si>
    <t>BARANGAY CAPAOAY, SAN JACINTO, PANGASINAN</t>
  </si>
  <si>
    <t>MUNICIPALITY OF MATALAM, COTABATO</t>
  </si>
  <si>
    <t>BARANGAY ILAYANG POLO, PAGBILAO, QUEZON</t>
  </si>
  <si>
    <t>BARANGAY GUPA - DIPACULAO AURORA</t>
  </si>
  <si>
    <t>DON MARIANO MARCOS MEMORIAL STATE UNIVERSITY - MID LA UNION</t>
  </si>
  <si>
    <t>CITY OF COTABATO</t>
  </si>
  <si>
    <t>BARANGAY PATIMA, INFANTA, PANGASINAN</t>
  </si>
  <si>
    <t>ODIONGAN WATER DISTRICT</t>
  </si>
  <si>
    <t>NATIONAL IRRIGATION ADMINISTRATION - REGION IX</t>
  </si>
  <si>
    <t>MUNICIPALITY OF KITAOTAO, BUKIDNON</t>
  </si>
  <si>
    <t>BARANGAY LIGTONG III ROSARIO CAVITE</t>
  </si>
  <si>
    <t>CITY OF TACLOBAN, LEYTE</t>
  </si>
  <si>
    <t>BUSTOS WATER DISTRICT</t>
  </si>
  <si>
    <t>DEPARTMENT OF EDUCATION - DIVISION OF OZAMIZ CITY</t>
  </si>
  <si>
    <t>DEPARTMENT OF PUBLIC WORKS AND HIGHWAYS - MASBATE 1ST DEO</t>
  </si>
  <si>
    <t>BARANGAY PAGCOLBON, RAPU-RAPU, ALBAY</t>
  </si>
  <si>
    <t>DEPARTMENT OF TOURISM - REGION V</t>
  </si>
  <si>
    <t>DEPARTMENT OF AGRARIAN REFORM - REGION I</t>
  </si>
  <si>
    <t>DEPARTMENT OF EDUCATION - SCHOOLS DIVISION OF TANDAG CITY</t>
  </si>
  <si>
    <t>405TH CONTRACTING OFFICE, AFP PROCUREMENT SERVICE</t>
  </si>
  <si>
    <t>MUNICIPALITY OF LUBA, ABRA</t>
  </si>
  <si>
    <t>NEGROS ORIENTAL STATE UNIVERSITY</t>
  </si>
  <si>
    <t>MUNICIPALITY OF SAN FERNANDO, ROMBLON</t>
  </si>
  <si>
    <t>DEPARTMENT OF SOCIAL WELFARE AND DEVELOPMENT - REGION V</t>
  </si>
  <si>
    <t>113RD CO AFP PROCUREMENT SERVICE</t>
  </si>
  <si>
    <t>TUBOD-BAROY WATER DISTRICT</t>
  </si>
  <si>
    <t>TECHNOLOGICAL UNIVERSITY OF THE PHILIPPINES VISAYAS</t>
  </si>
  <si>
    <t>PROVINCE OF SAMAR</t>
  </si>
  <si>
    <t>BARANGAY TABANGAO DAO, BATANGAS CITY</t>
  </si>
  <si>
    <t>MUNICIPALITY OF BALINGASAG, MISAMIS ORIENTAL</t>
  </si>
  <si>
    <t>MUNICIPALITY OF BAAO, CAMARINES SUR</t>
  </si>
  <si>
    <t>CITY OF PARAÑAQUE</t>
  </si>
  <si>
    <t>MUNICIPALITY OF STA. MARIA, DAVAO OCCIDENTAL</t>
  </si>
  <si>
    <t>PROVINCE OF MARINDUQUE</t>
  </si>
  <si>
    <t>MUNICIPALITY OF RIZAL, ZAMBOANGA DEL NORTE</t>
  </si>
  <si>
    <t>PHILIPPINE STATISTICS AUTHORITY - REGION XI</t>
  </si>
  <si>
    <t>DEPARTMENT OF PUBLIC WORKS AND HIGHWAYS - BATAAN 2ND DEO</t>
  </si>
  <si>
    <t>BARANGAY POBLACION - LIBUNGAN COTABATO</t>
  </si>
  <si>
    <t>DEPARTMENT OF EDUCATION - DIVISION OF PAMPANGA</t>
  </si>
  <si>
    <t>DEPARTMENT OF EDUCATION - DIVISION OF BUTUAN CITY</t>
  </si>
  <si>
    <t>CITY OF TANJAY, NEGROS ORIENTAL</t>
  </si>
  <si>
    <t>IPIL NATIONAL HIGH SCHOOL</t>
  </si>
  <si>
    <t>BARANGAY TAGNATE, HILONGOS, LEYTE</t>
  </si>
  <si>
    <t>BARANGAY 19 SANTA, MARCELA, LAOAG CITY, ILOCOS NORTE</t>
  </si>
  <si>
    <t>DEPARTMENT OF PUBLIC WORKS AND HIGHWAYS - AKLAN DEO</t>
  </si>
  <si>
    <t>MUNICIPALITY OF LACUB, ABRA</t>
  </si>
  <si>
    <t>MUNICIPALITY OF COLUMBIO, SULTAN KUDARAT</t>
  </si>
  <si>
    <t>MUNICIPALITY OF VILLANUEVA, MISAMIS ORIENTAL</t>
  </si>
  <si>
    <t>ISABELA REHABILITATION CENTER</t>
  </si>
  <si>
    <t>JOSE RIZAL MEMORIAL STATE UNIVERSITY - KATIPUNAN CAMPUS</t>
  </si>
  <si>
    <t>MUNICIPALITY OF SIQUIJOR, SIQUIJOR</t>
  </si>
  <si>
    <t>METROPOLITAN TUGUEGARAO WATER DISTRICT</t>
  </si>
  <si>
    <t>BARANGAY SABANGAN - CALANASAN APAYAO</t>
  </si>
  <si>
    <t>CAGAYAN STATE UNIVERSITY - SANCHEZ MIRA</t>
  </si>
  <si>
    <t>BARANGAY BANAGO, NAGCARLAN, LAGUNA</t>
  </si>
  <si>
    <t>BARANGAY DAHICAN, CARRASCAL, SURIGAO DEL SUR</t>
  </si>
  <si>
    <t>BARANGAY QUINOBCOBAN, LOON, BOHOL</t>
  </si>
  <si>
    <t>DEPARTMENT OF AGRARIAN REFORM - REGION XI</t>
  </si>
  <si>
    <t>BARANGAY MOCPOC NORTE, LOON, BOHOL</t>
  </si>
  <si>
    <t>MUNICIPALITY OF ALBURQUERQUE, BOHOL</t>
  </si>
  <si>
    <t>MUNICIPALITY OF LAUA-AN, ANTIQUE</t>
  </si>
  <si>
    <t>CITY OF TARLAC, TARLAC</t>
  </si>
  <si>
    <t>MUNICIPALITY OF DILASAG, AURORA</t>
  </si>
  <si>
    <t>MUNICIPALITY OF ALANGALANG, LEYTE</t>
  </si>
  <si>
    <t>BARANGAY SAOAY, SAN FERNANDO CITY, LA UNION</t>
  </si>
  <si>
    <t>MUNICIPALITY OF TAAL, BATANGAS</t>
  </si>
  <si>
    <t>LANDBANK OF THE PHILIPPINES - REGION XI</t>
  </si>
  <si>
    <t>BARANGAY ONATE DE LEON, ILOILO CITY</t>
  </si>
  <si>
    <t>BARANGAY MALIMPIN, DASOL, PANGASINAN</t>
  </si>
  <si>
    <t>MUNICIPALITY OF PRESENTACION, CAMARINES SUR</t>
  </si>
  <si>
    <t>BUREAU OF FISHERIES AND AQUATIC RESOURCES - REGION XII</t>
  </si>
  <si>
    <t>BARANGAY MACAYUG, SAN JACINTO, PANGASINAN</t>
  </si>
  <si>
    <t>DEPARTMENT OF EDUCATION - CARAGA</t>
  </si>
  <si>
    <t>MUNICIPALITY OF SAN ENRIQUE, ILOILO</t>
  </si>
  <si>
    <t>MUNICIPALITY OF MAPANAS, NORTHERN SAMAR</t>
  </si>
  <si>
    <t>BARANGAY AWAI, SAN JACINTO, PANGASINAN</t>
  </si>
  <si>
    <t>BARANGAY PANTIHAN 3 MARAGONDON CAVITE</t>
  </si>
  <si>
    <t>MUNICIPALITY OF BULA, CAMARINES SUR</t>
  </si>
  <si>
    <t>MUNICIPALITY OF LIAN, BATANGAS</t>
  </si>
  <si>
    <t>MUNICIPALITY OF PLARIDEL, MISAMIS OCCIDENTAL</t>
  </si>
  <si>
    <t>CITY GOVERNMENT OF BALANGA, BATAAN</t>
  </si>
  <si>
    <t>BUREAU OF FIRE PROTECTION - CARAGA REGION</t>
  </si>
  <si>
    <t>NATIONAL IRRIGATION ADMINISTRATION - REGION VIII</t>
  </si>
  <si>
    <t>BARANGAY MARIA, LAUA-AN, ANTIQUE</t>
  </si>
  <si>
    <t>BARANGAY BOLO, SAN JACINTO, PANGASINAN</t>
  </si>
  <si>
    <t>BILBAO-UYBICO NATIONAL HIGH SCHOOL</t>
  </si>
  <si>
    <t>DEPARTMENT OF TOURISM - REGION VI</t>
  </si>
  <si>
    <t>CITY OF CEBU, CEBU</t>
  </si>
  <si>
    <t>PHILIPPINE COAST GUARD - CGWCEISS</t>
  </si>
  <si>
    <t>PHILIPPINE NATIONAL POLICE - SPECIAL ACTION FORCE</t>
  </si>
  <si>
    <t>MUNICIPALITY OF LOON, BOHOL</t>
  </si>
  <si>
    <t>KABACAN WATER DISTRICT</t>
  </si>
  <si>
    <t>PHILIPPINE NATIONAL RAILWAYS</t>
  </si>
  <si>
    <t>BARANGAY MOTO SUR, LOON, BOHOL</t>
  </si>
  <si>
    <t>CITY OF DAGUPAN  - PANGASINAN</t>
  </si>
  <si>
    <t>DEPARTMENT OF EDUCATION - DIVISION OF BACOLOD CITY</t>
  </si>
  <si>
    <t>MUNICIPALITY OF VALLEHERMOSO, NEGROS</t>
  </si>
  <si>
    <t>CITY OF BAGO, NEGROS OCCIDENTAL</t>
  </si>
  <si>
    <t>BARANGAY KALAWAAN, PASIG CITY</t>
  </si>
  <si>
    <t>MUNICIPALITY OF DAPA, SURIGAO DEL NORTE</t>
  </si>
  <si>
    <t>MUNICIPALITY OF SAMAL, BATAAN</t>
  </si>
  <si>
    <t>ILOCOS SUR POLYTECHNIC STATE COLLEGE</t>
  </si>
  <si>
    <t>DEPARTMENT OF PUBLIC WORKS AND HIGHWAYS - REGION VII</t>
  </si>
  <si>
    <t>KIBURIAO NATIONAL HIGH SCHOOL  (SENIOR HIGH) - QUEZON BUKIDN</t>
  </si>
  <si>
    <t>MUNICIPALITY OF CATIGBIAN, BOHOL</t>
  </si>
  <si>
    <t>CADIZ WEST II ELEMENTARY SCHOOL</t>
  </si>
  <si>
    <t>MUNICIPALITY OF DASOL, PANGASINAN</t>
  </si>
  <si>
    <t>MUNICIPALITY OF LAOAC, PANGASINAN</t>
  </si>
  <si>
    <t>MUNICIPALITY OF BULALACAO, ORIENTAL MINDORO</t>
  </si>
  <si>
    <t>UWISAN ELEMENTARY SCHOOL</t>
  </si>
  <si>
    <t>PARAÑAQUE ELEMENTARY SCHOOL CENTRAL</t>
  </si>
  <si>
    <t>TABACO CITY WATER DISTRICT</t>
  </si>
  <si>
    <t>CITY OF MAKATI</t>
  </si>
  <si>
    <t>DEPARTMENT OF EDUCATION - DIVISION OF TACLOBAN CITY</t>
  </si>
  <si>
    <t>JOSE R. REYES MEMORIAL MEDICAL CENTER</t>
  </si>
  <si>
    <t>DEPARTMENT OF SCIENCE AND TECHNOLOGY REGION 1</t>
  </si>
  <si>
    <t>VALENZUELA MEDICAL CENTER</t>
  </si>
  <si>
    <t>SAN JUAN NATIONAL HIGH SCHOOL</t>
  </si>
  <si>
    <t>BARANGAY POMPONAN - BAYBAY CITY LEYTE</t>
  </si>
  <si>
    <t>QUIRINO STATE UNIVERSITY</t>
  </si>
  <si>
    <t>MUNICIPALITY OF TALACOGON, AGUSAN DEL SUR</t>
  </si>
  <si>
    <t>BARANGAY BUSAC - LIGAO CITY</t>
  </si>
  <si>
    <t>VISAYAS STATE UNIVERSITY-ALANGALANG CAMPUS</t>
  </si>
  <si>
    <t>BANGKO SENTRAL NG PILIPINAS - ZAMBOANGA BRANCH</t>
  </si>
  <si>
    <t>MUNICIPALITY OF CAPAS, TARLAC</t>
  </si>
  <si>
    <t>CENTRAL BICOL STATE UNIVERSITY OF AGRICULTURE (CBSUA)</t>
  </si>
  <si>
    <t>TESDA REGIONAL TRAINING CENTER - GUIGUINTO</t>
  </si>
  <si>
    <t>MUNICIPALITY OF TALIBON, BOHOL</t>
  </si>
  <si>
    <t>MUNICIPALITY OF MAUBAN, QUEZON</t>
  </si>
  <si>
    <t>DEPARTMENT OF INFORMATION AND COMMUNICATIONS TECHNOLOGY</t>
  </si>
  <si>
    <t>MUNICIPALITY OF DIMATALING, ZAMBOANGA DEL SUR</t>
  </si>
  <si>
    <t>BARANGAY CULLIAT - LIGAO CITY</t>
  </si>
  <si>
    <t>ISABELA CITY WATER DISTRICT</t>
  </si>
  <si>
    <t>VALENZUELA NATIONAL HIGH SCHOOL</t>
  </si>
  <si>
    <t>BARANGAY BAGUMBAYAN - QUEZON CITY</t>
  </si>
  <si>
    <t>SAN PABLO CITY WATER DISTRICT</t>
  </si>
  <si>
    <t>NATIONAL ECONOMIC AND DEVELOPMENT AUTHORITY - REGION XII</t>
  </si>
  <si>
    <t>CITY OF TABUK, KALINGA</t>
  </si>
  <si>
    <t>CITY OF GENERAL SANTOS , SOUTH COTABATO</t>
  </si>
  <si>
    <t>BARANGAY STO. CRISTO, SAN JOSE DEL MONTE, BULACAN</t>
  </si>
  <si>
    <t>MUNICIPALITY OF SAN FABIAN, PANGASINAN</t>
  </si>
  <si>
    <t>PHILIPPINE HEART CENTER</t>
  </si>
  <si>
    <t>DEPARTMENT OF PUBLIC WORKS AND HIGHWAYS - ALBAY 1ST DEO</t>
  </si>
  <si>
    <t>BARANGAY PA-ON  - ESTANCIA ILOILO</t>
  </si>
  <si>
    <t>BARANGAY MAHARLIKA, STA. CRUZ, MARINDUQUE</t>
  </si>
  <si>
    <t>MUNICIPALITY OF VINTAR, ILOCOS NORTE</t>
  </si>
  <si>
    <t>DEPARTMENT OF SOCIAL WELFARE AND DEVELOPMENT - REGION XII</t>
  </si>
  <si>
    <t>PHILIPPINE STATISTICS AUTHORITY - REGION VI</t>
  </si>
  <si>
    <t>CITY OF LAMITAN, BASILAN</t>
  </si>
  <si>
    <t>MUNICIPALITY OF DINAS, ZAMBOANGA DEL SUR</t>
  </si>
  <si>
    <t>PHILIPPINE STATISTICS AUTHORITY - NCR REGIONAL OFFICE</t>
  </si>
  <si>
    <t>MUNICIPALITY OF BURAUEN, LEYTE</t>
  </si>
  <si>
    <t>TECHNICAL EDUCATION &amp; SKILLS DEVELOPMENT AUTHORITY - MARIVEL</t>
  </si>
  <si>
    <t>BARANGAY LIBERATO ANTIQUE</t>
  </si>
  <si>
    <t>OFFICE OF THE PRESIDENTIAL ADVISER ON THE PEACE PROCESS</t>
  </si>
  <si>
    <t>BARANGAY SAN JUAN - MALUNGON, SARANGANI PROVINCE</t>
  </si>
  <si>
    <t>AURORA PACIFIC ECONOMIC ZONE AND FREEPORT AUTHORITY</t>
  </si>
  <si>
    <t>CITY OF DAPITAN</t>
  </si>
  <si>
    <t>MUNICIPALITY OF BARAS, RIZAL</t>
  </si>
  <si>
    <t>MUNICIPALITY OF DANGCAGAN, BUKIDNON</t>
  </si>
  <si>
    <t>BARANGAY MABINI, DEL GALLEGO, CAMARINES SUR</t>
  </si>
  <si>
    <t>CITY OF SAN PABLO, LAGUNA</t>
  </si>
  <si>
    <t>TANZA ELEMENTARY SCHOOL-BOAC NORTH</t>
  </si>
  <si>
    <t>BARANGAY UPPER BICUTAN</t>
  </si>
  <si>
    <t>MUNICIPALITY OF LA LIBERTAD ZAMBOANGA DEL NORTE</t>
  </si>
  <si>
    <t>MAYPAJO HIGH SCHOOL</t>
  </si>
  <si>
    <t>CABAHUG ELEMENTARY SCHOOL</t>
  </si>
  <si>
    <t>BUREAU OF FIRE PROTECTION - REGION II</t>
  </si>
  <si>
    <t>BARANGAY SAN VICENTE, SAN JACINTO, PANGASINAN</t>
  </si>
  <si>
    <t>MUNICIPALITY OF DIPACULAO, AURORA</t>
  </si>
  <si>
    <t>MUNICIPALITY OF KUMALARANG, ZAMBOANGA DEL SUR</t>
  </si>
  <si>
    <t>MUNICIPALITY OF LILIW, LAGUNA</t>
  </si>
  <si>
    <t>MUNICIPALITY OF GABALDON, NUEVA ECIJA</t>
  </si>
  <si>
    <t>BARANGAY MAYAO KANLURAN, LUCENA CITY</t>
  </si>
  <si>
    <t>MUNICIPALITY OF MAGALLANES, AGUSAN DEL NORTE</t>
  </si>
  <si>
    <t>BARANGAY 894, ZONE 99, DISTRICT VI, MANILA</t>
  </si>
  <si>
    <t>MUNICIPALITY OF BAUANG, LA UNION</t>
  </si>
  <si>
    <t>BARANGAY TIRIS - GUBAT, SORSOGON CITY</t>
  </si>
  <si>
    <t>BATAAN PENINSULA STATE UNIVERSITY</t>
  </si>
  <si>
    <t>PHILIPPINE NATIONAL POLICE - MARITIME GROUP</t>
  </si>
  <si>
    <t>BARANGAY CANITUAN, LAUA-AN, ANTIQUE</t>
  </si>
  <si>
    <t>BARANGAY OLD LABANGAN - LABANGAN ZAMBOANGA DEL SUR</t>
  </si>
  <si>
    <t>NIA-JALAUR RIVER MULTI-PURPOSE PROJECT STAGE II</t>
  </si>
  <si>
    <t>MUNICIPALITY OF GUINDULMAN, BOHOL</t>
  </si>
  <si>
    <t>TECHNICAL EDUCATION &amp; SKILLS DEVELOPMENT AUTHORITY - BOHOL</t>
  </si>
  <si>
    <t>DEPARTMENT OF PUBLIC WORKS AND HIGHWAYS - LEYTE 5TH ED</t>
  </si>
  <si>
    <t>BARANGAY TOGBONGAN, BANTON, ROMBLON</t>
  </si>
  <si>
    <t>MUNICIPALITY OF RAGAY, CAMARINES SUR</t>
  </si>
  <si>
    <t>CITY OF ANTIPOLO, RIZAL</t>
  </si>
  <si>
    <t>DEPARTMENT OF PUBLIC WORKS AND HIGHWAYS - SIQUIJOR DEO</t>
  </si>
  <si>
    <t>TANDAG CITY WATER DISTRICT</t>
  </si>
  <si>
    <t>MUNICIPALITY OF HILONGOS, LEYTE</t>
  </si>
  <si>
    <t>MUNICIPALITY OF DAO, CAPIZ</t>
  </si>
  <si>
    <t>NATIONAL IRRIGATION ADMINISTRATION - REGION 12</t>
  </si>
  <si>
    <t>PUERTO PRINCESA CITY WATER DISTRICT</t>
  </si>
  <si>
    <t>NORZAGARAY WATER DISTRICT</t>
  </si>
  <si>
    <t>MUNICIPALITY OF DARAGA, ALBAY</t>
  </si>
  <si>
    <t>BARANGAY CUARTERO, JARO, ILOILO CITY</t>
  </si>
  <si>
    <t>LEYTE NORMAL UNIVERSITY</t>
  </si>
  <si>
    <t>DEPARTMENT OF PUBLIC WORKS AND HIGHWAYS - AGUSAN DEL NORTE D</t>
  </si>
  <si>
    <t>BARANGAY SALCEDO - LUNA, LA UNION</t>
  </si>
  <si>
    <t>SAN FRANCISCO WATER DISTRICT</t>
  </si>
  <si>
    <t>BARANGAY MANGILAG NORTE,CANDELARIA,QUEZON</t>
  </si>
  <si>
    <t>DEPARTMENT OF PUBLIC WORKS AND HIGHWAYS - BATANES DEO</t>
  </si>
  <si>
    <t>BARANGAY BANGA CAVES, RAGAY, CAMARINES SUR</t>
  </si>
  <si>
    <t>PHILIPPINE COMMISSION ON WOMEN</t>
  </si>
  <si>
    <t>BARANGAY BALOGO, OAS, ALBAY</t>
  </si>
  <si>
    <t>NORTHWEST SAMAR STATE UNIVERSITY</t>
  </si>
  <si>
    <t>PROVINCE OF MISAMIS ORIENTAL</t>
  </si>
  <si>
    <t>MUNICIPAL GOVERNMENT OF TIAONG, QUEZON</t>
  </si>
  <si>
    <t>CITY OF GAPAN, NUEVA ECIJA</t>
  </si>
  <si>
    <t>MUNICIPALITY OF NEW BATAAN, COMPOSTELA VALLEY</t>
  </si>
  <si>
    <t>EDUARDO BARRETTO SR. NATIONAL HIGH SCHOOL</t>
  </si>
  <si>
    <t>MUNICIPALITY OF AMLAN, NEGROS ORIENTAL</t>
  </si>
  <si>
    <t>MUNICIPALITY OF LA TRINIDAD, BENGUET</t>
  </si>
  <si>
    <t>BARANGAY STA. MARIA, GLORIA, ORIENTAL MINDORO</t>
  </si>
  <si>
    <t>304TH CONTRACTING OFFICE, AFP PROCUREMENT SERVICE</t>
  </si>
  <si>
    <t>BARANGAY DELOS SANTOS INOPACAN LEYTE</t>
  </si>
  <si>
    <t>MUNICIPALITY OF CORDON, ISABELA</t>
  </si>
  <si>
    <t>BARANGAY MANGGAHAN, PASIG CITY</t>
  </si>
  <si>
    <t>WESTERN PHILIPPINES UNIVERSITY</t>
  </si>
  <si>
    <t>UNIVERSITY OF ANTIQUE</t>
  </si>
  <si>
    <t>BARANGAY AMBULONG, MAGDIWANG, ROMBLON</t>
  </si>
  <si>
    <t>BARANGAY  BOGTONG, OAS, ALBAY</t>
  </si>
  <si>
    <t>MUNICIPALITY OF LAMBUNAO, ILOILO</t>
  </si>
  <si>
    <t>EMPLOYEES' COMPENSATION COMMISSION</t>
  </si>
  <si>
    <t>DA - RFO I ILOCOS NORTE RESEARCH &amp; EXPERIMENT CENTER</t>
  </si>
  <si>
    <t>NATIONAL MAPPING AND RESOURCE INFORMATION AUTHORITY (NAMRIA)</t>
  </si>
  <si>
    <t>BARANGAY ILOCANOS NORTE, SAN FERNANDO CITY</t>
  </si>
  <si>
    <t>NATIONAL KIDNEY AND TRANSPLANT INSTITUTE</t>
  </si>
  <si>
    <t>CLARK DEVELOPMENT CORPORATION</t>
  </si>
  <si>
    <t>BARANGAY  DANCALAN CENTRAL - GUINAYANGAN QUEZON</t>
  </si>
  <si>
    <t>DUYAY ELEMENTARY SCHOOL</t>
  </si>
  <si>
    <t>NATIONAL ACADEMY OF SCIENCE AND TECHNOLOGY</t>
  </si>
  <si>
    <t>BARANGAY PAMBUAN -  GAPAN CITY</t>
  </si>
  <si>
    <t>BARANGAY DAPDAP, TIGBAUAN, ILOILO</t>
  </si>
  <si>
    <t>TECHNICAL EDUCATION &amp; SKILLS DEVELOPMENT AUTHORITY - CAMARIN</t>
  </si>
  <si>
    <t>BARANGAY MALIOGLIOG, CONCEPCION, ILOILO</t>
  </si>
  <si>
    <t>DEPARTMENT OF PUBLIC WORKS AND HIGHWAYS - ILOCOS NORTE 1ST D</t>
  </si>
  <si>
    <t>BANGKO SENTRAL NG PILIPINAS- LA UNION REGIONAL OFFICE</t>
  </si>
  <si>
    <t>EASTERN SAMAR STATE UNIVERSITY - SALCEDO CAMPUS</t>
  </si>
  <si>
    <t>BARANGAY SAN ISIDRO, VALENCIA CITY, BUKIDNON</t>
  </si>
  <si>
    <t>MUNICIPALITY OF BULAN, SORSOGON</t>
  </si>
  <si>
    <t>PHIVIDEC INDUSTRIAL AUTHORITY, DND</t>
  </si>
  <si>
    <t>WEST VISAYAS STATE UNIVERSITY – COLLEGE OF AGRICULTURE AND F</t>
  </si>
  <si>
    <t>BARANGAY LIBJO, POLILLO, QUEZON</t>
  </si>
  <si>
    <t>BARANGAY TINOPAN - RAPU-RAPU ALBAY</t>
  </si>
  <si>
    <t>PHILIPPINE COUNCIL FOR HEALTH RESEARCH AND DEVELOPMENT</t>
  </si>
  <si>
    <t>404TH CONTRACTING OFFICE, AFP PROCUREMENT SERVICE</t>
  </si>
  <si>
    <t>CANDABA WATER DISTRICT</t>
  </si>
  <si>
    <t>DAVAO CITY WATER DISTRICT</t>
  </si>
  <si>
    <t>MUNICIPALITY OF BANGUED, ABRA</t>
  </si>
  <si>
    <t>NATIONAL DEVELOPMENT COMPANY</t>
  </si>
  <si>
    <t>CITY OF VALENCIA, BUKIDNON</t>
  </si>
  <si>
    <t>BARANGAY SAN RAFAEL, STO. TOMAS, BATANGAS</t>
  </si>
  <si>
    <t>DEPARTMENT OF TRADE AND INDUSTRY - MISAMIS ORIENTAL</t>
  </si>
  <si>
    <t>BARANGAY CAPULUAN TULON - GUINAYANGAN, QUEZON</t>
  </si>
  <si>
    <t>BARANGAY ARIDOWEN STA. TERESITA CAGAYAN</t>
  </si>
  <si>
    <t>MUNICIPALITY OF PIKIT, NORTH COTABATO</t>
  </si>
  <si>
    <t>DARAGA NATIONAL HIGH SCHOOL</t>
  </si>
  <si>
    <t>DEPARTMENT OF EDUCATION - DIVISION OF CARCAR CITY</t>
  </si>
  <si>
    <t>DR. PAULINO J. GARCIA MEMORIAL RESEARCH AND MEDICAL CENTER</t>
  </si>
  <si>
    <t>MUNICIPALITY OF ROSARIO, BATANGAS</t>
  </si>
  <si>
    <t>MUNICIPALITY OF STA. CRUZ, ILOCOS SUR</t>
  </si>
  <si>
    <t>MUNICIPALITY OF DAUIS, BOHOL</t>
  </si>
  <si>
    <t>MUNICIPALITY OF PRESIDENT CARLOS P. GARCIA, BOHOL</t>
  </si>
  <si>
    <t>MUNICIPALITY OF BAGGAO, CAGAYAN</t>
  </si>
  <si>
    <t>BARANGAY CALUNASAN - LARENA SIQUIJOR</t>
  </si>
  <si>
    <t>BIODIVERSITY MANAGEMENT BUREAU</t>
  </si>
  <si>
    <t>LBP RESOURCES AND DEVELOPMENT CORPORATION</t>
  </si>
  <si>
    <t>PHILIPPINE SCIENCE HIGH SCHOOL - MAIN CAMPUS</t>
  </si>
  <si>
    <t>BARANGAY TARUGAN, LA PAZ, LEYTE</t>
  </si>
  <si>
    <t>MUNICIPALITY OF SAN PASCUAL, BATANGAS</t>
  </si>
  <si>
    <t>109TH CONTRACTING OFFICE, AFP PROCUREMENT SERVICE</t>
  </si>
  <si>
    <t>CANSILAYAN ELEMENTARY SCHOOL</t>
  </si>
  <si>
    <t>MUNICIPALITY OF TAMPILISAN, ZAMBOANGA DEL NORTE</t>
  </si>
  <si>
    <t>DEPARTMENT OF EDUCATION - MIMAROPA REGION</t>
  </si>
  <si>
    <t>PHILIPPINE STATISTICAL RESEARCH AND TRAINING INSTITUTE</t>
  </si>
  <si>
    <t>MUNICIPALITY OF LEZO, AKLAN</t>
  </si>
  <si>
    <t>BARANGAY TELABANCA, CONCEPCION, TARLAC</t>
  </si>
  <si>
    <t>MUNICIPALITY OF CLARIN, BOHOL</t>
  </si>
  <si>
    <t>NEW IMBATUG ELEMENTARY SCHOOL - IMPASUG-ONG BUKIDNON</t>
  </si>
  <si>
    <t>MUNICIPALITY OF CALAYAN, CAGAYAN</t>
  </si>
  <si>
    <t>SAN LAZARO HOSPITAL</t>
  </si>
  <si>
    <t>BARANGAY DULANGAN, MAGDIWANG, ROMBLON</t>
  </si>
  <si>
    <t>PAG-IBIG FUND NAGA BUSINESS CENTER</t>
  </si>
  <si>
    <t>BARANGAY STO. TOMAS, SAN JACINTO, PANGASINAN</t>
  </si>
  <si>
    <t>BUREAU OF INTERNAL REVENUE</t>
  </si>
  <si>
    <t>PHILIPPINE INSTITUTE OF VOLCANOLOGY AND SEISMOLOGY</t>
  </si>
  <si>
    <t>POWER SECTOR ASSETS AND LIABILITIES MANAGEMENT CORPORATION-Q</t>
  </si>
  <si>
    <t>MUNICIPALITY OF SAN NARCISO, ZAMBALES</t>
  </si>
  <si>
    <t>MUNICIPALITY OF ASINGAN, PANGASINAN</t>
  </si>
  <si>
    <t>GUINHALARAN INTEGRATED SCHOOL ELEMENTARY - SILAY CITY</t>
  </si>
  <si>
    <t>BARANGAY CENTRO NORTE, ALCALA, CAGAYAN</t>
  </si>
  <si>
    <t>CITY OF CAGAYAN DE ORO, MISAMIS ORIENTAL</t>
  </si>
  <si>
    <t>BARANGAY AGSAO, MAGDIWANG, ROBLOM</t>
  </si>
  <si>
    <t>MUNICIPALITY OF KALAYAAN, PALAWAN</t>
  </si>
  <si>
    <t>NATIONAL ECONOMIC AND DEVELOPMENT AUTHORITY - REGION I</t>
  </si>
  <si>
    <t>DEPARTMENT OF HEALTH - CAR OFFICE</t>
  </si>
  <si>
    <t>BARANGAY BARONGAPAITAN STA. MARIA PANGASINAN</t>
  </si>
  <si>
    <t>PHILIPPINE CROP INSURANCE CORPORATION</t>
  </si>
  <si>
    <t>MUNICIPALITY OF GLORIA, ORIENTAL MINDORO</t>
  </si>
  <si>
    <t>DEPARTMENT OF PUBLIC WORKS AND HIGHWAYS - NEG. OCC. 3RD DEO</t>
  </si>
  <si>
    <t>BICOL UNIVERSITY</t>
  </si>
  <si>
    <t>DEPARTMENT OF HEALTH REGIONAL OFFICE II</t>
  </si>
  <si>
    <t>PHILIPPINE PHARMA PROCUREMENT, INC.</t>
  </si>
  <si>
    <t>MUNICIPALITY OF TAGOLOAN, MISAMIS ORIENTAL</t>
  </si>
  <si>
    <t>STA. ELENA HIGH SCHOOL</t>
  </si>
  <si>
    <t>DEPARTMENT OF EDUCATION - DIVISION OF TAYABAS CITY</t>
  </si>
  <si>
    <t>DEPARTMENT OF ENVIRONMENT AND NATURAL RES. - PENRO, BOHOL</t>
  </si>
  <si>
    <t>MUNICIPALITY OF ROSARIO, NORTHERN SAMAR</t>
  </si>
  <si>
    <t>ILIGAN CITY CENTRAL SCHOOL</t>
  </si>
  <si>
    <t>PHILIPPINE STATISTICS AUTHORITY RSSO-III</t>
  </si>
  <si>
    <t>CITY OF SANTIAGO, ISABELA</t>
  </si>
  <si>
    <t>BARANGAY CALINAN, DAVAO CITY</t>
  </si>
  <si>
    <t>DEPARTMENT OF EDUCATION - DIVISION OF PASSI CITY</t>
  </si>
  <si>
    <t>DEPARTMENT OF AGRARIAN REFORM - ZAMBOANGA SIBUGAY</t>
  </si>
  <si>
    <t>MUNICIPALITY OF CASTILLA, SORSOGON</t>
  </si>
  <si>
    <t>MUNICIPALITY OF STA. ANA, CAGAYAN</t>
  </si>
  <si>
    <t>PHILIPPINE PORTS AUTHORITY - HEAD OFFICE</t>
  </si>
  <si>
    <t>BARANGAY IMELDA - SAN JUAN BATANGAS</t>
  </si>
  <si>
    <t>DEPARTMENT OF TRADE AND INDUSTRY - ROMBLON PROVINCIAL OFFICE</t>
  </si>
  <si>
    <t>MUNICIPALITY OF ANGADANAN, ISABELA</t>
  </si>
  <si>
    <t>DEPARTMENT OF AGRICULTURE - MAIN</t>
  </si>
  <si>
    <t>DEPARTMENT OF ENVIRONMENT AND NATURAL RESOURCES - PENRO-LU</t>
  </si>
  <si>
    <t>DEPARTMENT OF LABOR AND EMPLOYMENT - REGION VII</t>
  </si>
  <si>
    <t>PHILIPPINE OVERSEAS EMPLOYMENT ADMINISTRATION</t>
  </si>
  <si>
    <t>BARANGAY PAHINGA NORTE,CANDELARIA, QUEZON</t>
  </si>
  <si>
    <t>UNIVERSITY OF SCIENCE AND TECHNOLOGY OF SOUTHERN PHILIPPINES</t>
  </si>
  <si>
    <t>MUNICIPALITY OF POLOMOLOK, SOUTH COTABATO</t>
  </si>
  <si>
    <t>MUNICIPALITY OF CANDELARIA, QUEZON</t>
  </si>
  <si>
    <t xml:space="preserve">DEPARTMENT OF PUBLIC WORKS AND HIGHWAYS - NUEVA VIZCAYA 2ND </t>
  </si>
  <si>
    <t>DEPARTMENT OF PUBLIC WORKS AND HIGHWAYS - REGION IV-B</t>
  </si>
  <si>
    <t>BARANGAYCOGON - LEZO AKLAN</t>
  </si>
  <si>
    <t>BARANGAY BARCENAGA, NAUJAN, ORIENTAL MINDORO</t>
  </si>
  <si>
    <t>BARANGAY SOUTH CEMBO, MAKATI CITY</t>
  </si>
  <si>
    <t>BARANGAY ILULUAN, CAMALIG, ALBAY</t>
  </si>
  <si>
    <t>BARANGAY NABULO - CATUBIG NORTHERN SAMAR</t>
  </si>
  <si>
    <t>BUREAU OF INTERNAL REVENUE - REVENUE REGION NO. 14</t>
  </si>
  <si>
    <t>UMINGAN WATER DISTRICT</t>
  </si>
  <si>
    <t>MUNICIPALITY OF CLAVERIA, MISAMIS ORIENTAL</t>
  </si>
  <si>
    <t>BARANGAY LIGA IBAAN BATANGAS</t>
  </si>
  <si>
    <t>MUNICIPALITY OF SAN LUIS BATANGAS</t>
  </si>
  <si>
    <t>MUNICIPALITY OF SAN MIGUEL, CATANDUANES</t>
  </si>
  <si>
    <t>MUNICIPALITY OF MONDRAGON, NORTHERN SAMAR</t>
  </si>
  <si>
    <t>DEPARTMENT OF PUBLIC WORKS AND HIGHWAYS - LEYTE 2ND DEO</t>
  </si>
  <si>
    <t>MUNICIPALITY OF BAROY, LANAO DEL NORTE</t>
  </si>
  <si>
    <t>101ST CONTRACTING OFFICE, AFP PROCUREMENT SERVICE</t>
  </si>
  <si>
    <t>BARANGAY STO. NIÑO, BAYUGAN, AGUSAN DEL SUR</t>
  </si>
  <si>
    <t>BARANGAY DUNGAN, CONCEPCION, TARLAC</t>
  </si>
  <si>
    <t>DEPARTMENT OF PUBLIC WORKS AND HIGHWAYS - PANGASINAN IV DEO</t>
  </si>
  <si>
    <t>MUNICIPALITY OF MINA, ILOILO</t>
  </si>
  <si>
    <t>PROVINCE OF LANAO DEL NORTE</t>
  </si>
  <si>
    <t>CASISANG NATIONAL HIGH SCHOOL - MALAYBALAY CITY BUKIDNON</t>
  </si>
  <si>
    <t xml:space="preserve">BUREAU OF FISHERIES AND AQUATIC RESOURCES - REGION IV-B </t>
  </si>
  <si>
    <t>BARANGAY PASCUALA, LAUA-AN, ANTIQUE</t>
  </si>
  <si>
    <t>CENTRAL BICOL STATE UNIVERSITY OF AGRICULTURE-SIPOCOT CAMPUS</t>
  </si>
  <si>
    <t>GUIUAN WATER DISTRICT</t>
  </si>
  <si>
    <t>MUNICIPALITY OF BALAOAN, LA UNION</t>
  </si>
  <si>
    <t>MUNICIPALITY OF DINGLE, ILOILO</t>
  </si>
  <si>
    <t>DEPARTMENT OF PUBLIC WORKS AND HIGHWAYS - ALBAY 3RD DEO</t>
  </si>
  <si>
    <t>ROBERTA DE JESUS ELEMENTARY SCHOOL</t>
  </si>
  <si>
    <t>BARANGAY 21 GINGOOG CITY MISAMIS ORIENTAL</t>
  </si>
  <si>
    <t>HOME DEVELOPMENT MUTUAL FUND - IMUS BRANCH</t>
  </si>
  <si>
    <t>APAYAO STATE COLLEGE</t>
  </si>
  <si>
    <t>MUNICIPALITY OF OPOL, MISAMIS ORIENTAL</t>
  </si>
  <si>
    <t>NATIONAL IRRIGATION ADMINISTRATION - SARIS</t>
  </si>
  <si>
    <t>BUREAU OF INTERNAL REVENUE - INTRAMUROS BRANCH</t>
  </si>
  <si>
    <t>CENTRAL LUZON STATE UNIVERSITY</t>
  </si>
  <si>
    <t>DEPARTMENT OF AGRARIAN REFORM - LAMUT IFUGAO</t>
  </si>
  <si>
    <t>ANGAT WATER DISTRICT</t>
  </si>
  <si>
    <t>BARANGAY UGONG, PASIG CITY</t>
  </si>
  <si>
    <t>CITY OF CANDON, ILOCOS SUR</t>
  </si>
  <si>
    <t>BARANGAY LUPA-AN, LAUA-AN, ANTIQUE</t>
  </si>
  <si>
    <t>MUNICIPALITY OF TIGBAUAN, ILOILO</t>
  </si>
  <si>
    <t>MUNICIPALITY OF PUGO, LA UNION</t>
  </si>
  <si>
    <t>MUNICIPALITY OF BOLINAO, PANGASINAN</t>
  </si>
  <si>
    <t>MUNICIPALITY OF MACO, COMPOSTELA VALLEY</t>
  </si>
  <si>
    <t>PHILIPPINE PORTS AUTHORITY - PMO GENERAL SANTOS</t>
  </si>
  <si>
    <t>PHILIPPINE FISHERIES DEVELOPMENT AUTHORITY - MAIN</t>
  </si>
  <si>
    <t>MUNICIPALITY OF BELISON, ANTIQUE</t>
  </si>
  <si>
    <t>DEPARTMENT OF EDUCATION - DIVISION OF KALINGA</t>
  </si>
  <si>
    <t>BARANGAY ORTIZ, NAGUILIAN, LA UNION</t>
  </si>
  <si>
    <t>MUNICIPALITY OF LUMBAN, LAGUNA</t>
  </si>
  <si>
    <t>CITY OF KORONADAL, SOUTH COTABATO</t>
  </si>
  <si>
    <t>DEPARTMENT OF PUBLIC WORKS AND HIGHWAYS - SURIGAO DEL SUR 2N</t>
  </si>
  <si>
    <t>DEPARTMENT OF PUBLIC WORKS AND HIGHWAYS - MINDORO ORIENTAL D</t>
  </si>
  <si>
    <t>MUNICIPALITY OF BANNA, ILOCOS NORTE</t>
  </si>
  <si>
    <t>BARANGAY CAMANGGAAN - SAN NICOLAS PANGASINAN</t>
  </si>
  <si>
    <t>BARANGAY BAYANAN II, CALAPAN, ORIENTAL MINDORO</t>
  </si>
  <si>
    <t>DEPARTMENT OF PUBLIC WORKS AND HIGHWAYS - SOUTHERN MINDORO D</t>
  </si>
  <si>
    <t>MUNICIPALITY OF LUGAIT, MISAMIS ORIENTAL</t>
  </si>
  <si>
    <t>BARANGAY BANTONAN, CAMALIG, ALBAY</t>
  </si>
  <si>
    <t>CITY  OF CAUAYAN, ISABELA</t>
  </si>
  <si>
    <t>BARANGAY MITI, CAMALIG, ALBAY</t>
  </si>
  <si>
    <t>NATIONAL MEAT INSPECTION  SERVICE</t>
  </si>
  <si>
    <t>DEPARTMENT OF PUBLIC WORKS AND HIGHWAYS - METRO MANILA 1ST E</t>
  </si>
  <si>
    <t>DEPARTMENT OF PUBLIC WORKS AND HIGHWAYS - ILOCOS SUR 2ND DEO</t>
  </si>
  <si>
    <t>MUNICIPALITY OF ECHAGUE, ISABELA</t>
  </si>
  <si>
    <t>BARANGAY POBLACION 05, TUBURAN, CEBU</t>
  </si>
  <si>
    <t>BARANGAY LUMBAAN-BICBICA,PINILI, ILOCOS NORTE</t>
  </si>
  <si>
    <t>OFFICE OF CIVIL DEFENSE</t>
  </si>
  <si>
    <t>DEPARTMENT OF SOCIAL WELFARE AND DEVELOPMENT - CAR</t>
  </si>
  <si>
    <t>MUNICIPALITY OF CAMALIG, ALBAY</t>
  </si>
  <si>
    <t>MUNICIPALITY OF SAN FRANCISCO, CEBU</t>
  </si>
  <si>
    <t>GUAGUA WATER DISTRICT</t>
  </si>
  <si>
    <t>CITY OF BAYBAY, LEYTE</t>
  </si>
  <si>
    <t>BARANGAY COMPANIA CENTRAL, MOLO, ILOILO CITY</t>
  </si>
  <si>
    <t>BARANGAY NOLI, BAYUGAN CITY</t>
  </si>
  <si>
    <t>MACTAN-CEBU INTERNATIONAL AIRPORT AUTHORITY</t>
  </si>
  <si>
    <t>COMMISSION ON AUDIT - REGION IX</t>
  </si>
  <si>
    <t>MUNICIPALITY OF LUNA, APAYAO</t>
  </si>
  <si>
    <t>PROVINCE OF ABRA</t>
  </si>
  <si>
    <t>MUNICIPALITY OF TABOGON, CEBU</t>
  </si>
  <si>
    <t>BARANGAY CAVITE EAST, PALO, LEYTE</t>
  </si>
  <si>
    <t>DEPARTMENT OF PUBLIC WORKS AND HIGHWAYS - BUTUAN CITY DEO</t>
  </si>
  <si>
    <t>DEPARTMENT OF EDUCATION - DIVISION OF SURIGAO DEL SUR</t>
  </si>
  <si>
    <t>DEPARTMENT OF EDUCATION - DIVISION OF OROQUIETA CITY</t>
  </si>
  <si>
    <t>PHILIPPINE HEALTH INSURANCE CORPORATION - REGION II</t>
  </si>
  <si>
    <t>NATIONAL TRANSMISSION CORPORATION(TRANSCO)</t>
  </si>
  <si>
    <t>DEPARTMENT OF PUBLIC WORKS AND HIGHWAYS - ILOILO 4TH DEO</t>
  </si>
  <si>
    <t>PROVINCE OF ROMBLON</t>
  </si>
  <si>
    <t>MUNICIPALITY OF ANDA, PANGASINAN</t>
  </si>
  <si>
    <t>TECHNICAL EDUCATION &amp; SKILLS DEVELOPMENT AUTHORITY - PANGASI</t>
  </si>
  <si>
    <t>DEPARTMENT OF PUBLIC WORKS AND HIGHWAYS - REGION XII</t>
  </si>
  <si>
    <t>BARANGAY CALOOCAN - KORONADAL CITY SOUTH COTABATO</t>
  </si>
  <si>
    <t>PROVINCE OF SOUTH COTABATO</t>
  </si>
  <si>
    <t>BARANGAY EASTERN, HILONGOS, LEYTE</t>
  </si>
  <si>
    <t>MUNICIPALITY OF TUAO, CAGAYAN</t>
  </si>
  <si>
    <t>MANAONG ELEMENTARY SCHOOL - DAVAO CITY</t>
  </si>
  <si>
    <t>MUNICIPALITY OF REAL, QUEZON</t>
  </si>
  <si>
    <t>HOME DEVELOPMENT MUTUAL FUND - MAKATI BRANCH</t>
  </si>
  <si>
    <t>MUNICIPALITY OF LUISIANA, LAGUNA</t>
  </si>
  <si>
    <t>DEPARTMENT OF ENVIRONMENT AND NATURAL RESOURCES - REGION IX</t>
  </si>
  <si>
    <t>ISABELO DELOS REYES ELEMENTARY SCHOOL</t>
  </si>
  <si>
    <t>PROVINCE OF CAMIGUIN</t>
  </si>
  <si>
    <t>PHILIPPINE NATIONAL POLICE - HEALTH SERVICE</t>
  </si>
  <si>
    <t>HOME DEVELOPMENT MUTUAL FUND - CORPORATE HEADQUARTERS</t>
  </si>
  <si>
    <t>DEPARTMENT OF PUBLIC WORKS AND HIGHWAYS - ILOILO 1ST DEO</t>
  </si>
  <si>
    <t>DEPARTMENT OF PUBLIC WORKS AND HIGHWAYS - ILOCOS NORTE 2ND D</t>
  </si>
  <si>
    <t>NATIONAL STATISTICS OFFICE - MISAMIS ORIENTAL BRANCH</t>
  </si>
  <si>
    <t>DEPARTMENT OF AGRARIAN REFORM - CAGAYAN PROVINCIAL OFFICE</t>
  </si>
  <si>
    <t>KALINGA STATE UNIVERSITY</t>
  </si>
  <si>
    <t>APO PRODUCTION UNIT, INC.</t>
  </si>
  <si>
    <t>MUNICIPALITY OF BATO, LEYTE</t>
  </si>
  <si>
    <t>NIA-CHICO RIVER PUMP IRRIGATION PROJECT, TUAO, CAGAYAN</t>
  </si>
  <si>
    <t>DEPARTMENT OF EDUCATION - DIVISION OF ANTIQUE</t>
  </si>
  <si>
    <t>BARANGAY NORTH CENTRO SIPOCOT CAMARINES SUR</t>
  </si>
  <si>
    <t>MUNICIPALITY OF HINATUAN , SURIGAO DEL SUR</t>
  </si>
  <si>
    <t>PUNTA NATIONAL HIGH SCHOOL</t>
  </si>
  <si>
    <t>MUNICIPALITY OF PINAMUNGAJAN, CEBU</t>
  </si>
  <si>
    <t>BAAO WATER DISTRICT</t>
  </si>
  <si>
    <t>TECHNICAL EDUCATION &amp; SKILLS DEVELOPMENT AUTHORITY-  ISABELA</t>
  </si>
  <si>
    <t>DEPARTMENT OF ENVIRONMENT AND NATURAL RES. - PENRO, BOAC</t>
  </si>
  <si>
    <t>MUNICIPALITY OF STO. DOMINGO, ALBAY</t>
  </si>
  <si>
    <t>PHILIPPINE AMUSEMENT AND GAMING CORPORATION</t>
  </si>
  <si>
    <t>DEPARTMENT OF AGRICULTURE - REGION VI</t>
  </si>
  <si>
    <t>MUNICIPALITY OF TANAUAN, LEYTE</t>
  </si>
  <si>
    <t>BARANGAY SANTA CRUZ, LORETO, DINAGAT ISLANDS</t>
  </si>
  <si>
    <t>BOHOL ISLAND STATE UNIVERSITY - BILAR</t>
  </si>
  <si>
    <t>DEPARTMENT OF NATIONAL DEFENSE - PROCUREMENT UNIT</t>
  </si>
  <si>
    <t>DEPARTMENT OF ENVIRONMENT AND NATURAL RES. - PENRO S.DEL NOR</t>
  </si>
  <si>
    <t>TESDA REGIONAL TRAINING CENTER - CALABARZON</t>
  </si>
  <si>
    <t>MUNICIPALITY OF DON CARLOS, BUKIDNON</t>
  </si>
  <si>
    <t>DEPED-ROVI-DIVISION OF AKLAN</t>
  </si>
  <si>
    <t>CIVIL SERVICE COMMISSION - REGION VI</t>
  </si>
  <si>
    <t>DEPARTMENT OF PUBLIC WORKS AND HIGHWAYS - ILOILO 2ND DISTRIC</t>
  </si>
  <si>
    <t>BARANGAY ADLAY, CARRASCAL, SURIGAO DEL SUR</t>
  </si>
  <si>
    <t>BARANGAY BOLBOK, BATANGAS CITY, BATANGAS</t>
  </si>
  <si>
    <t>BARANGAY  MALIBATUAN - ARAKAN  COTABATO</t>
  </si>
  <si>
    <t>DEPARTMENT OF PUBLIC WORKS AND HIGHWAYS - LANAO DEL NORTE 2N</t>
  </si>
  <si>
    <t>PELOCOBAN ELEMENTARY SCHOOL - TAMBULIG ZAMBOANGA DEL SUR</t>
  </si>
  <si>
    <t>BARANGAY GREENFIELD, POBLACION ARAKAN COTABATO</t>
  </si>
  <si>
    <t>MUNICIPALITY OF TOMAS OPPUS, SOUTHERN LEYTE</t>
  </si>
  <si>
    <t>BAHI ELEMENTARY SCHOOL</t>
  </si>
  <si>
    <t>SUMALIG ELEMENTARY SCHOOL</t>
  </si>
  <si>
    <t>NATIONAL IRRIGATION ADMINISTRATION - UPRIIS, DIVISION 2</t>
  </si>
  <si>
    <t>BUREAU OF JAIL MANAGEMENT AND PENOLOGY - NHQ</t>
  </si>
  <si>
    <t>M.V. GAMBOA ELEMENTARY SCHOOL- CADIZ CITY</t>
  </si>
  <si>
    <t>BARANGAY KABALABTIAN - ARAKAN COTABATO</t>
  </si>
  <si>
    <t>PANGI ELEMENTARY SCHOOL</t>
  </si>
  <si>
    <t>BARANGAY KULAMAN VALLEY ARAKAN COTABATO</t>
  </si>
  <si>
    <t>BARANGAY GUISICAN, LABO, CAMARINES NORTE</t>
  </si>
  <si>
    <t>MANDALAGAN NATIONAL HIGH SCHOOL</t>
  </si>
  <si>
    <t>BARANGAY TUMANDING - ARAKAN COTABATO</t>
  </si>
  <si>
    <t>BALURAN ELEMENTARY SCHOOL</t>
  </si>
  <si>
    <t>BARANGAY DAUNGAN, PAGBILAO, QUEZON</t>
  </si>
  <si>
    <t>MUNICIPALITY OF STA. CATALINA, ILOCOS SUR</t>
  </si>
  <si>
    <t>KAPT. JOSE CARDONES MEMORIAL ELEMENTARY SCHOOL</t>
  </si>
  <si>
    <t>LIPATA ELEMENTARY SCHOOL</t>
  </si>
  <si>
    <t>DON SEVERINO LARDIZABAL MEMORIAL SCHOOL</t>
  </si>
  <si>
    <t>PHILIPPINE RICE RESEARCH INSTITUTE - LOS BAÑOS BRANCH</t>
  </si>
  <si>
    <t>SOUTHVILLE IV ELEMENTARY SCHOOL</t>
  </si>
  <si>
    <t>MUNICIPALITY OF NAVAL, BILIRAN</t>
  </si>
  <si>
    <t>BACOOD ELEMENTARY SCHOOL</t>
  </si>
  <si>
    <t>ANGELES CITY WATER DISTRICT</t>
  </si>
  <si>
    <t>BARANGAY CAGLAWAAN - JARO LEYTE</t>
  </si>
  <si>
    <t>MARCELO GREEN ELEMENTARY SCHOOL - FOURTH ESTATE EXTENSION</t>
  </si>
  <si>
    <t>MUNICIPALITY OF STA. LUCIA , ILOCOS SUR</t>
  </si>
  <si>
    <t>BARANGAY 848, ZONE 92, DISTRICT 6, MANILA</t>
  </si>
  <si>
    <t>MUNICIPALITY OF PINUKPUK, KALINGA</t>
  </si>
  <si>
    <t>DEPARTMENT OF ENVIRONMENT AND NATURAL RES. - PENRO, KIDAPAWA</t>
  </si>
  <si>
    <t>TOURISM PROMOTIONS BOARD</t>
  </si>
  <si>
    <t>DEPARTMENT OF EDUCATION - DIVISION OF TOLEDO CITY, CEBU</t>
  </si>
  <si>
    <t>DEPARTMENT OF TRADE AND INDUSTRY - REGION VII</t>
  </si>
  <si>
    <t>DEPARTMENT OF PUBLIC WORKS AND HIGHWAYS - DAVAO CITY II DEO</t>
  </si>
  <si>
    <t>DEPARTMENT OF PUBLIC WORKS AND HIGHWAYS - REGION IV-A</t>
  </si>
  <si>
    <t>BARANGAY MEOCAN ARAKAN COTABATO</t>
  </si>
  <si>
    <t>BARANGAY MANICAHAN, ZAMBOANGA CITY, ZAMBOANGA DEL SUR</t>
  </si>
  <si>
    <t>NATIONAL BOOK DEVELOPMENT BOARD</t>
  </si>
  <si>
    <t>MUNICIPALITY OF GANDARA, SAMAR</t>
  </si>
  <si>
    <t>PHILIPPINE INFORMATION AGENCY</t>
  </si>
  <si>
    <t>CITY OF PUERTO PRINCESA, PALAWAN</t>
  </si>
  <si>
    <t>NALA ELEMENTARY SCHOOL</t>
  </si>
  <si>
    <t>BARANGAY CENTRAL SIGNAL VILLAGE -TAGUIG CITY</t>
  </si>
  <si>
    <t>OFFICE OF THE OMBUDSMAN - MAIN OFFICE</t>
  </si>
  <si>
    <t>DEPARTMENT OF PUBLIC WORKS AND HIGHWAYS - SOUTH METRO MANILA</t>
  </si>
  <si>
    <t>PROGRESO ELEMENTARY SCHOOL</t>
  </si>
  <si>
    <t>ASSOCIATION OF BARANGAY CAPTAINS - MINALABAC, CAMARINES SUR</t>
  </si>
  <si>
    <t>ASSOCIATION OF BARANGAYS-IGUIG,CAGAYAN</t>
  </si>
  <si>
    <t>BARANGAY RIZAL, MAKATI CITY</t>
  </si>
  <si>
    <t>BARANGAY STO. NIÑO - SORSOGON CITY SORSOGON</t>
  </si>
  <si>
    <t>MUNICIPALITY OF TANZA, CAVITE</t>
  </si>
  <si>
    <t>MUNICIPALITY OF TINEG, ABRA</t>
  </si>
  <si>
    <t>CITY OF KIDAPAWAN, NORTH COTABATO</t>
  </si>
  <si>
    <t>J H CERILLES STATE COLLEGE</t>
  </si>
  <si>
    <t>MUNICIPALITY OF CARAGA, DAVAO ORIENTAL</t>
  </si>
  <si>
    <t>BARANGAY LA TORRE NORTH, BAYOMBONG, NUEVA VIZCAYA</t>
  </si>
  <si>
    <t>PHILIPPINE NORMAL UNIVERSITY, NEGROS OCCIDENTAL BRANCH</t>
  </si>
  <si>
    <t>DEPARTMENT OF EDUCATION - SCHOOLS DIVISION OF CALAPAN CITY</t>
  </si>
  <si>
    <t>BARANGAY SAN DIEGO - LEMERY,ILOILO</t>
  </si>
  <si>
    <t>MUNICIPALITY OF SAN VICENTE, CAMARINES NORTE</t>
  </si>
  <si>
    <t>PROVINCE OF PALAWAN</t>
  </si>
  <si>
    <t>MUNICIPALITY OF DALAGUETE, CEBU</t>
  </si>
  <si>
    <t>BARANGAY LINAO -MATALAM COTABATO REGION XII</t>
  </si>
  <si>
    <t>LAND BANK OF THE PHILIPPINES - REGION V</t>
  </si>
  <si>
    <t>NATIONAL IRRIGATION ADMINISTRATION - REGIONAL OFFICE NO. 2</t>
  </si>
  <si>
    <t>MUNICIPALITY OF MANGALDAN, PANGASINAN</t>
  </si>
  <si>
    <t>MUNICIPALITY OF PANGANTUCAN, BUKIDNON</t>
  </si>
  <si>
    <t>DEPARTMENT OF PUBLIC WORKS AND HIGHWAYS - MASBATE 3RD DEO</t>
  </si>
  <si>
    <t>OFFICE OF THE CHIEF MINISTER  - BARMM</t>
  </si>
  <si>
    <t>MARINDUQUE NATIONAL HIGH SCHOOL</t>
  </si>
  <si>
    <t>DEPARTMENT OF EDUCATION - DIVISION OF EASTERN SAMAR</t>
  </si>
  <si>
    <t>BARANGAY  POBLACION - GODOD ZAMBOANGA DEL NORTE</t>
  </si>
  <si>
    <t>MUNICIPALITY OF AGNO, PANGASINAN</t>
  </si>
  <si>
    <t>MUNICIPALITY OF SAN FELIPE, ZAMBALES</t>
  </si>
  <si>
    <t>SK OF BARANGAY SOUTHSIDE - MAKATI CITY</t>
  </si>
  <si>
    <t>BARANGAY BAHIT PANITA CAPIZ</t>
  </si>
  <si>
    <t>MUNICIPALITY OF CAMILING, TARLAC</t>
  </si>
  <si>
    <t>METRO MIDSAYAP WATER DISTRICT</t>
  </si>
  <si>
    <t>BARANGAY SAN FELIPE, NAGA CITY, CAMARINES SUR</t>
  </si>
  <si>
    <t>DEPARTMENT OF PUBLIC WORKS AND HIGHWAYS - BENGUET I DEO</t>
  </si>
  <si>
    <t>DEVELOPMENT BANK OF THE PHILIPPINES - BBG - NORTHERN MINDANA</t>
  </si>
  <si>
    <t>DEPARTMENT OF PUBLIC WORKS AND HIGHWAYS - NUEVA ECIJA 1ST DE</t>
  </si>
  <si>
    <t>MUNICIPALITY OF BACONG, NEGROS ORIENTAL</t>
  </si>
  <si>
    <t>BARANGAY CATALUNAN PEQUEÑO, DAVAO CITY</t>
  </si>
  <si>
    <t>PHILIPPINE VETERANS AFFAIRS OFFICE, DND</t>
  </si>
  <si>
    <t>PROVINCE OF MOUNTAIN PROVINCE</t>
  </si>
  <si>
    <t>MUNICIPALITY OF TUNGAWAN, ZAMBOANGA SIBUGAY</t>
  </si>
  <si>
    <t>BARANGAY SAN JOSE KALAWIT ZAMBOANGA DEL NORTE</t>
  </si>
  <si>
    <t>MUNICIPALITY OF BOTOLAN, ZAMBALES</t>
  </si>
  <si>
    <t>MUNICIPALITY OF PLACER, MASBATE</t>
  </si>
  <si>
    <t>KALAWAAN ELEMENTARY SCHOOL</t>
  </si>
  <si>
    <t>BARANGAY PAMUKID, SAN FERNANDO, CAMARINES SUR</t>
  </si>
  <si>
    <t>DEPARTMENT OF PUBLIC WORKS AND HIGHWAYS - NORTH COTABATO 2ND</t>
  </si>
  <si>
    <t>MUNICIPALITY OF MAGDIWANG, ROMBLON</t>
  </si>
  <si>
    <t>DEPARTMENT OF PUBLIC WORKS AND HIGHWAYS - PALAWAN 1ST DEO</t>
  </si>
  <si>
    <t>BARANGAY BAGUMBUHAY, QUEZON CITY</t>
  </si>
  <si>
    <t>BARANGAY SANTA LUCIA, ABUYOG, LEYTE</t>
  </si>
  <si>
    <t>MUNICIPALITY OF OMAR, SULU</t>
  </si>
  <si>
    <t>MUNICIPALITY OF SAN SEBASTIAN, SAMAR</t>
  </si>
  <si>
    <t>BARANGAY LEPOTE, SAN JOSE, BATANGAS</t>
  </si>
  <si>
    <t>BARANGAY SAN LUCAS, LIPA CITY, BATANGAS</t>
  </si>
  <si>
    <t>BARANGAY BIGAIN 1.0, SAN JOSE, BATANGAS</t>
  </si>
  <si>
    <t>MUNICIPALITY OF SANTA FE, NUEVA VIZCAYA</t>
  </si>
  <si>
    <t>BARANGAY PAA, HILONGOS, LEYTE</t>
  </si>
  <si>
    <t>MUNICIPAL GOVERNMENT OF SABLAN, BENGUET</t>
  </si>
  <si>
    <t>CITY OF BATAC, ILOCOS NORTE</t>
  </si>
  <si>
    <t>DEPARTMENT OF ENVIRONMENT AND NATURAL RESOURCES - RIV-A</t>
  </si>
  <si>
    <t>MUNICIPALITY OF CALATAGAN, BATANGAS</t>
  </si>
  <si>
    <t>BARANGAY STA. CRUZ V, SAN JOSE DEL MONTE CITY</t>
  </si>
  <si>
    <t>SALAPAWAN ELEMENTARY SCHOOL</t>
  </si>
  <si>
    <t>BARANGAY PUNONG, TOMAS OPPUS, SOUTHERN LEYTE</t>
  </si>
  <si>
    <t>MUNICIPALITY OF LANTAPAN, BUKIDNON</t>
  </si>
  <si>
    <t>BUENAVISTA CENTRAL SCHOOL</t>
  </si>
  <si>
    <t>MINSALIRAC ELEMENTARY SCHOOL</t>
  </si>
  <si>
    <t>MUNICIPALITY OF ROXAS, PALAWAN</t>
  </si>
  <si>
    <t>TARLAC AGRICULTURAL UNIVERSITY</t>
  </si>
  <si>
    <t>DR. JOSE RIZAL MEMORIAL HOSPITAL</t>
  </si>
  <si>
    <t>BARANGAY TUMAY, MINA, ILOILO</t>
  </si>
  <si>
    <t>BARANGAY AGUILA, SAN JOSE, BATANGAS</t>
  </si>
  <si>
    <t>PROVINCE OF EASTERN SAMAR</t>
  </si>
  <si>
    <t>BARANGAY SAN ANDRES II, BACARRA, ILOCOS NORTE</t>
  </si>
  <si>
    <t>MUNICIPALITY OF LUCBAN, QUEZON</t>
  </si>
  <si>
    <t>MUNICIPALITY OF GIGAQUIT, SURIGAO DEL NORTE</t>
  </si>
  <si>
    <t>BARANGAY MAMAT-ING SUR, NAGUILIAN, LA UNION</t>
  </si>
  <si>
    <t>DEPARTMENT OF SOCIAL WELFARE AND DEVELOPMENT - MAIN</t>
  </si>
  <si>
    <t>BARANGAY IBABANG DUPAY, LUCENA CITY</t>
  </si>
  <si>
    <t>PHILIPPINE HEALTH INSURANCE CORPORATION - REGION V</t>
  </si>
  <si>
    <t>MUNICIPALITY OF MOISES PADILLA, NEGROS OCCIDENTAL</t>
  </si>
  <si>
    <t>TECHNICAL EDUCATION &amp; SKILLS DEVELOPMENT AUTHORITY - NCR, CA</t>
  </si>
  <si>
    <t>DEPARTMENT OF SCIENCE AND TECHNOLOGY - REGION VII</t>
  </si>
  <si>
    <t>NATIONAL CHILDREN'S HOSPITAL</t>
  </si>
  <si>
    <t>MUNICIPALITY OF TANUDAN, KALINGA</t>
  </si>
  <si>
    <t>BARANGAY MALALINTA - TUAO CAGAYAN</t>
  </si>
  <si>
    <t>CITY OF TAGBILARAN, BOHOL</t>
  </si>
  <si>
    <t>CIVIL AVIATION AUTHORITY OF THE PHILIPPINES - CATANDUANES</t>
  </si>
  <si>
    <t>MUNICIPALITY OF MAPANDAN, PANGASINAN</t>
  </si>
  <si>
    <t>NATIONAL IRRIGATION ADMINISTRATION - CBIMO</t>
  </si>
  <si>
    <t>MUNICIPALITY OF DUMARAN, PALAWAN</t>
  </si>
  <si>
    <t>MUNICIPALITY OF BASCO, BATANES</t>
  </si>
  <si>
    <t>BARANGAY BANGON, AROROY, MASBATE</t>
  </si>
  <si>
    <t>PAG-IBIG FUND - REGION II</t>
  </si>
  <si>
    <t>BARANGAY DOS - KATIPUNAN ZAMBOANGA DEL NORTE</t>
  </si>
  <si>
    <t>MUNICIPALITY OF ARAKAN, COTABATO</t>
  </si>
  <si>
    <t>MUNICIPALITY OF MAMBAJAO, CAMIGUIN</t>
  </si>
  <si>
    <t>AURORA REGIONAL PILOT SCHOOL - REGULAR</t>
  </si>
  <si>
    <t>MUNICIPALITY OF LOPEZ JAENA , MISAMIS OCCIDENTAL</t>
  </si>
  <si>
    <t>UNIVERSITY OF SOUTHERN MINDANAO</t>
  </si>
  <si>
    <t>DEPARTMENT OF EDUCATION - REGION VIII</t>
  </si>
  <si>
    <t>TABLON ELEMENTARY SCHOOL</t>
  </si>
  <si>
    <t>MUNICIPALITY OF MAGPET - NORTH COTABATO</t>
  </si>
  <si>
    <t>CITY  OF DANAO, CEBU</t>
  </si>
  <si>
    <t>MUNICIPALITY OF CARMEN, AGUSAN DEL NORTE</t>
  </si>
  <si>
    <t>BULUA CENTRAL SCHOOL</t>
  </si>
  <si>
    <t>MUNICIPALITY OF SAN ISIDRO, LEYTE</t>
  </si>
  <si>
    <t>MUNICIPALITY OF TOLOSA, LEYTE</t>
  </si>
  <si>
    <t>BARANGAY V, LUCENA CITY</t>
  </si>
  <si>
    <t>MUNICIPALITY OF TUBIGON, BOHOL</t>
  </si>
  <si>
    <t>NATIONAL FOOD AUTHORITY - REGION IV</t>
  </si>
  <si>
    <t>BUTUAN CITY WATER DISTRICT</t>
  </si>
  <si>
    <t>MUNICIPALITY OF PANAY, CAPIZ</t>
  </si>
  <si>
    <t>BARANGAY PAMPANGO LIBACAO AKLAN</t>
  </si>
  <si>
    <t>MUNICIPALITY OF PALOMPON, LEYTE</t>
  </si>
  <si>
    <t>MUNICIPALITY OF BANI, PANGASINAN</t>
  </si>
  <si>
    <t>BARANGAY TUBURAN, BONTOC, SOUTHERN LEYTE</t>
  </si>
  <si>
    <t>MUNICIPALITY OF TERESA, RIZAL</t>
  </si>
  <si>
    <t>DEPARTMENT OF ENVIRONMENT AND NATURAL RESOURCES - REGION V</t>
  </si>
  <si>
    <t>MUNICIPALITY OF VERUELA, AGUSAN DEL SUR</t>
  </si>
  <si>
    <t>BARANGAY COYUGAN NORTE - LEON ILOILO</t>
  </si>
  <si>
    <t>DA - PHILIPPINE RURAL DEVELOPMENT PROJECT</t>
  </si>
  <si>
    <t>BARANGAY SAN FRANCISCO, ABUYOG, LEYTE</t>
  </si>
  <si>
    <t>MUNICIPALITY OF SAN QUINTIN, ABRA</t>
  </si>
  <si>
    <t>EDUCATION AND TRAINING CENTER SCHOOL II, BACOLOD CITY</t>
  </si>
  <si>
    <t>MUNICIPALITY OF DAGAMI, LEYTE</t>
  </si>
  <si>
    <t>DEPARTMENT OF ENVIRONMENT AND NATURAL RES. - PENRO Z. SIBUGA</t>
  </si>
  <si>
    <t>ISABELA STATE UNIVERSITY - CABAGAN CAMPUS</t>
  </si>
  <si>
    <t>MUNICIPALITY OF TUY, BATANGAS</t>
  </si>
  <si>
    <t>BARANGAY MINANE, CONCEPCION, TARLAC</t>
  </si>
  <si>
    <t>CENTER FOR HEALTH DEVELOPMENT - REGION IV-B (MIMAROPA)</t>
  </si>
  <si>
    <t>DEPARTMENT OF EDUCATION - DIVISION OF SOUTH COTABATO</t>
  </si>
  <si>
    <t>MUNICIPALITY OF CABANGLASAN, BUKIDNON</t>
  </si>
  <si>
    <t>MUNICIPALITY OF ORANI, BATAAN</t>
  </si>
  <si>
    <t>LAGUNA LAKE DEVELOPMENT AUTHORITY, DENR</t>
  </si>
  <si>
    <t>MUNICIPALITY OF PADADA, DAVAO DEL SUR</t>
  </si>
  <si>
    <t>MUNICIPALITY OF SINILOAN. LAGUNA</t>
  </si>
  <si>
    <t>BARANGAY STO. NIÑO - ABUYOG LEYTE</t>
  </si>
  <si>
    <t>MUNICIPALITY OF SEN. NINOY AQUINO, SULTAN KUDARAT</t>
  </si>
  <si>
    <t>TAMALAGON INTEGRATED SCHOOL</t>
  </si>
  <si>
    <t>MUNICIPALITY OF MAYDOLONG, EASTERN SAMAR</t>
  </si>
  <si>
    <t>NATIONAL IRRIGATION ADMINISTRATION REGION 7</t>
  </si>
  <si>
    <t>AGUSAN DEL SUR SCHOOL OF ARTS AND TRADES - CARAGA</t>
  </si>
  <si>
    <t>NATIONAL IRRIGATION ADMINISTRATION - LRIMO</t>
  </si>
  <si>
    <t>MUNICIPALITY OF ALILEM, ILOCOS SUR</t>
  </si>
  <si>
    <t>AUTHORITY OF THE FREEPORT AREA OF BATAAN</t>
  </si>
  <si>
    <t>MUNICIPALITY OF PRESIDENT ROXAS, CAPIZ</t>
  </si>
  <si>
    <t>DEPARTMENT OF AGRARIAN REFORM - TARLAC CITY</t>
  </si>
  <si>
    <t>MUNICIPALITY OF BILAR, BOHOL</t>
  </si>
  <si>
    <t>MUNICIPALITY OF ROXAS, ISABELA</t>
  </si>
  <si>
    <t>MUNICIPALITY OF PARACALE, CAMARINES NORTE</t>
  </si>
  <si>
    <t>MUNICIPALITY OF BURGOS, ISABELA</t>
  </si>
  <si>
    <t>BARANGAY SANDAYONG NORTE DANAO CITY CEBU</t>
  </si>
  <si>
    <t>MUNICIPALITY OF CATARMAN, NORTHERN SAMAR</t>
  </si>
  <si>
    <t>BUREAU OF SOILS AND WATER MANAGEMENT</t>
  </si>
  <si>
    <t>MUNICIPALITY OF WAO, LANAO DEL SUR</t>
  </si>
  <si>
    <t>BARANGAY LAYON - LIGAO, ALBAY</t>
  </si>
  <si>
    <t>KALASUNGAY CENTRAL SCHOOL - MALAYBALAY CITY BUKIDNON</t>
  </si>
  <si>
    <t xml:space="preserve">DEPARTMENT OF PUBLIC WORKS AND HIGHWAYS - ZAMBOANGA SIBUGAY </t>
  </si>
  <si>
    <t>MUNICIPALITY OF AYUNGON, NEGROS ORIENTAL</t>
  </si>
  <si>
    <t>BARANGAY FUNDADO, CAMARINES NORTE</t>
  </si>
  <si>
    <t>402ND CONTRACTING OFFICE, AFP PROCUREMENT SERVICE</t>
  </si>
  <si>
    <t>BUREAU OF CORRECTIONS - SABLAYAN PRISON AND PENAL FARM</t>
  </si>
  <si>
    <t>NATIONAL IRRIGATION ADMINISTRATION -CAUAYAN CITY ISABELA</t>
  </si>
  <si>
    <t>BARANGAY ILAOR SUR, OAS, ALBAY</t>
  </si>
  <si>
    <t>TECHNICAL EDUCATION &amp; SKILLS DEVELOPMENT AUTHORITY - LEYTE</t>
  </si>
  <si>
    <t>MUNICIPALITY OF SUMILAO, BUKIDNON</t>
  </si>
  <si>
    <t>MAKATO INTEGTRATED SCHOOL</t>
  </si>
  <si>
    <t>BARANGAY DAGUPAN, LUNA, APAYAO</t>
  </si>
  <si>
    <t>BUREAU OF INTERNAL REVENUE - REVENUE REGION NO. 19</t>
  </si>
  <si>
    <t>JOSE RIZAL MEMORIAL STATE UNIVERSITY - DIPOLOG CAMPUS</t>
  </si>
  <si>
    <t>MUNICIPALITY OF BOSTON, DAVAO ORIENTAL</t>
  </si>
  <si>
    <t>MUNICIPALITY OF BAYOG, ZAMBOANGA DEL SUR</t>
  </si>
  <si>
    <t>BARANGAY BARAOAS NORTE, NAGUILIAN, LA UNION</t>
  </si>
  <si>
    <t>PROVINCIAL GOVERNMENT OF SURIGAO DEL NORTE</t>
  </si>
  <si>
    <t>PROVINCE OF DINAGAT ISLANDS</t>
  </si>
  <si>
    <t>CAMARINES SUR POLYTECHNIC COLLEGES - NABUA CAMPUS</t>
  </si>
  <si>
    <t>MUNICIPALITY OF DOLORES, QUEZON</t>
  </si>
  <si>
    <t>MUNICIPALITY OF BALUNGAO, PANGASINAN</t>
  </si>
  <si>
    <t>CABAGAN WATER DISTRICT</t>
  </si>
  <si>
    <t>DEPARTMENT OF AGRARIAN REFORM - ALBAY PROVINCIAL OFFICE</t>
  </si>
  <si>
    <t>BARANGAY SAN JOSE, SAN JUAN, SOUTHERN LEYTE</t>
  </si>
  <si>
    <t>DEPARTMENT OF PUBLIC WORKS AND HIGHWAYS - QUEZON 4TH ED</t>
  </si>
  <si>
    <t>MUNICIPALITY OF SAN ISIDRO, SURIGAO DEL NORTE</t>
  </si>
  <si>
    <t>JOSE J. GONZAGA ELEMENTARY SCHOOL-BACOLOD CITY</t>
  </si>
  <si>
    <t>DEPARTMENT OF HEALTH - REGION X</t>
  </si>
  <si>
    <t>DEPARTMENT OF EDUCATION - DIVISION OF CAPIZ</t>
  </si>
  <si>
    <t>BARANGAY NAGPALANGAN, BINMALEY, PANGASINAN</t>
  </si>
  <si>
    <t>DANIEL C. MANTOS ELEMENTARY SCHOOL</t>
  </si>
  <si>
    <t>MUNICIPALITY OF LOOC, OCCIDENTAL MINDORO</t>
  </si>
  <si>
    <t>DEPARTMENT OF ENVIRONMENT AND NATURAL RES. - PENRO XII-4</t>
  </si>
  <si>
    <t>BARANGAY FLORDELIZ, MACROHON, SOUTHERN LEYTE</t>
  </si>
  <si>
    <t>MUNICIPALITY OF CAGWAIT, SURIGAO DEL SUR</t>
  </si>
  <si>
    <t>CAGAYAN STATE UNIVERSITY - TUGUEGARAO CITY CAGAYAN</t>
  </si>
  <si>
    <t>BARANGAY ARAS-ASAN - CAGWAIT SURIGAO DEL SUR</t>
  </si>
  <si>
    <t>BARANGAY CADCADIR EAST, CLAVERIA,CAGAYAN</t>
  </si>
  <si>
    <t>BARANGAY SAN JOSE, PILAR, SORSOGON</t>
  </si>
  <si>
    <t>SUMILAO ELEMENTARY SCHOOL</t>
  </si>
  <si>
    <t>MUNICIPALITY OF HINGYON, IFUGAO</t>
  </si>
  <si>
    <t>BIDS AND AWARDS COMMITTEE - MUNICIPALITY OF CALATRAVA</t>
  </si>
  <si>
    <t>MUNICIPALITY OF BAY, LAGUNA</t>
  </si>
  <si>
    <t>PHILIPPINE POSTAL CORPORATION - REGION X</t>
  </si>
  <si>
    <t>MUNICIPALITY OF MANITO, ALBAY</t>
  </si>
  <si>
    <t>BARANGAY ANINGALAN - SAN REMIGIO ANTIQUE</t>
  </si>
  <si>
    <t>MUNICIPALITY OF LASAM, CAGAYAN</t>
  </si>
  <si>
    <t>NATIONAL FOOD AUTHORITY - MARINDUQUE PROVINCIAL OFFICE</t>
  </si>
  <si>
    <t>BALUCUC NATIONAL HIGH SCHOOL</t>
  </si>
  <si>
    <t>BARANGAY SAN RAFAEL VILLAGE, NAVOTAS</t>
  </si>
  <si>
    <t>MUNICIPALITY OF DUMALINAO, ZAMBOANGA DEL SUR</t>
  </si>
  <si>
    <t>NATIONAL POLICE COMMISSION - REGION VII</t>
  </si>
  <si>
    <t>CALAMBA NATIONAL HIGH SCHOOL-MAIN</t>
  </si>
  <si>
    <t>MUNICIPALITY OF SALCEDO, ILOCOS SUR</t>
  </si>
  <si>
    <t>POLO NATIONAL HIGH SCHOOL VALENZUELA CITY</t>
  </si>
  <si>
    <t>BARANGAY SAN ROQUE, CATANAUAN, QUEZON</t>
  </si>
  <si>
    <t>BARANGAY DAJA DIOT</t>
  </si>
  <si>
    <t>MUNICIPALITY OF PALAPAG, NORTHERN SAMAR</t>
  </si>
  <si>
    <t>MUNICIPALITY OF CUYO, PALAWAN</t>
  </si>
  <si>
    <t>CITY OF MALOLOS, BULACAN</t>
  </si>
  <si>
    <t>BARANGAY POBLACION - TAMPAKAN SOUTH COTABATO</t>
  </si>
  <si>
    <t>BARANGAY PASONG TAMO, QUEZON CITY</t>
  </si>
  <si>
    <t>HEADQUARTERS COAST  GUARD CIVIL SERVICE COMMAND</t>
  </si>
  <si>
    <t>BARANGAY SAGRADA, BAAO, CAMARINES SUR</t>
  </si>
  <si>
    <t>MUNICIPALITY OF MARCOS, ILOCOS NORTE</t>
  </si>
  <si>
    <t>DEPARTMENT OF EDUCATION - DIVISION OF CITY SCHOOLS, VALENZUE</t>
  </si>
  <si>
    <t>SILANGAN ELEMENTARY SCHOOL</t>
  </si>
  <si>
    <t>DEPARTMENT OF EDUCATION - SCHOOLS DIVISION OF SORSOGON PROVI</t>
  </si>
  <si>
    <t>BARANGAY MAULAWIN - PAGSANJAN LAGUNA</t>
  </si>
  <si>
    <t>PHILIPPINE COAST GUARD - COAST GUARD DISTRICT SOUTHERN TAGAL</t>
  </si>
  <si>
    <t>HOME DEVELOPMENT MUTUAL FUND - REGION I</t>
  </si>
  <si>
    <t>DEPARTMENT OF EDUCATION - DIVISION OF VALENCIA CITY</t>
  </si>
  <si>
    <t>BARANGAY DAGUPAN, ALLACAPAN, CAGAYAN</t>
  </si>
  <si>
    <t>BARANGAY TAMIA, COMPOSTELA, COMPOSTELA VALLEY</t>
  </si>
  <si>
    <t>BARANGAY BANGKEROHAN, IPIL, ZAMBOANGA SIBUGAY</t>
  </si>
  <si>
    <t>BARANGAY BANGCURO NAGCARLAN, LAGUNA</t>
  </si>
  <si>
    <t>ILOILO STATE COLLEGE OF FISHERIES - DINGLE CAMPUS</t>
  </si>
  <si>
    <t>TOURISM INFRASTRUCTURE AND ENTERPRISE ZONE AUTHORITY</t>
  </si>
  <si>
    <t>DAAT ELEMENTARY SCHOOL</t>
  </si>
  <si>
    <t>BARANGAY POBLACION, TRENTO, AGUSAN DEL SUR</t>
  </si>
  <si>
    <t>CIVIL AVIATION AUTHORITY OF THE PHILIPPINES - ILOILO AIRPORT</t>
  </si>
  <si>
    <t>MUNICIPALITY OF MEXICO, PAMPANGA</t>
  </si>
  <si>
    <t>MUNICIPALITY OF JUBAN, SORSOGON</t>
  </si>
  <si>
    <t>DEPARTMENT OF PUBLIC WORKS AND HIGHWAYS - NORTH MANILA DEO</t>
  </si>
  <si>
    <t>BARANGAY POBLACION AJUY ILOILO</t>
  </si>
  <si>
    <t>MUNICIPALITY OF LUPON, DAVAO ORIENTAL</t>
  </si>
  <si>
    <t>PROVINCE OF SIQUIJOR</t>
  </si>
  <si>
    <t>MUNICIPALITY OF PINILI, ILOCOS NORTE</t>
  </si>
  <si>
    <t>EASTERN VISAYAS STATE UNIVERSITY-ORMOC CITY CAMPUS</t>
  </si>
  <si>
    <t>DEPARTMENT OF EDUCATION - DIVISION OF ZAMBOANGA SIBUGAY</t>
  </si>
  <si>
    <t>CITY OF TRECE MARTIRES</t>
  </si>
  <si>
    <t>MUNICIPALITY OF DUPAX DEL NORTE, NUEVA VIZCAYA</t>
  </si>
  <si>
    <t>MUNICIPALITY OF DEL GALLEGO, CAMARINES SUR</t>
  </si>
  <si>
    <t>ORANI NORTH ELEMENTARY SCHOOL</t>
  </si>
  <si>
    <t>LIGHT RAIL TRANSIT AUTHORITY</t>
  </si>
  <si>
    <t>PROVINCE OF AKLAN</t>
  </si>
  <si>
    <t>CENTER FOR HEALTH DEVELOPMENT - REGION I</t>
  </si>
  <si>
    <t>DEPARTMENT OF PUBLIC WORKS AND HIGHWAYS - PAMPANGA 2ND DEO</t>
  </si>
  <si>
    <t>DASMARIÑAS EAST NATIONAL HIGH SCHOOL</t>
  </si>
  <si>
    <t>NATIONAL NUTRITION COUNCIL - NATIONAL CAPITAL REGION</t>
  </si>
  <si>
    <t>DEPARTMENT OF AGRARIAN REFORM - KALINGA PROVINCE</t>
  </si>
  <si>
    <t>OFFICE FOR TRANSPORTATION SECURITY</t>
  </si>
  <si>
    <t xml:space="preserve">DEPARTMENT OF PUBLIC WORKS AND HIGHWAYS - CAMARINES SUR 5TH </t>
  </si>
  <si>
    <t>PHILIPPINE SCIENCE HIGH SCHOOL - MIMAROPA REGION CAMPUS</t>
  </si>
  <si>
    <t>TECHNICAL EDUCATION &amp; SKILLS DEVELOPMENT AUTHORITY - NCR PAM</t>
  </si>
  <si>
    <t>PHILIPPINE SCIENCE HIGH SCHOOL - CALABARZON REGION CAMPUS</t>
  </si>
  <si>
    <t>DEPARTMENT OF PUBLIC WORKS AND HIGHWAYS - BILIRAN ED</t>
  </si>
  <si>
    <t>BUREAU OF THE TREASURY</t>
  </si>
  <si>
    <t>MUNICIPALITY OF SAINT BERNARD, SOUTHERN LEYTE</t>
  </si>
  <si>
    <t>BUTUAN CITY SCHOOL OF ARTS AND TRADES</t>
  </si>
  <si>
    <t>LIGA NG BARANGAY DIPLAHAN</t>
  </si>
  <si>
    <t>MUNICIPALITY OF NUEVA VALENCIA, GUIMARAS</t>
  </si>
  <si>
    <t>BARANGAY SAN ANTONIO, MAKATI CITY</t>
  </si>
  <si>
    <t>MUNICIPALITY OF SAN MANUEL, PANGASINAN</t>
  </si>
  <si>
    <t>DEPARTMENT OF EDUCATION - DIVISION OF CITY SCHOOLS, MANILA</t>
  </si>
  <si>
    <t>BARANGAY BITA, CULASI, ANTIQUE</t>
  </si>
  <si>
    <t>MUNICIPALITY OF SAN LUIS, PAMPANGA</t>
  </si>
  <si>
    <t>MUNICIPALITY OF MEDINA, MISAMIS ORIENTAL</t>
  </si>
  <si>
    <t>BARANGAY GUESSET, NAGUILIAN, LA UNION</t>
  </si>
  <si>
    <t>CITY OF CABADBARAN, AGUSAN DEL NORTE</t>
  </si>
  <si>
    <t>DON JOSE S. MONFORT MEDICAL CENTER EXTENSION HOSPITAL</t>
  </si>
  <si>
    <t>BISLIG CITY WATER DISTRICT</t>
  </si>
  <si>
    <t>MUNICIPALITY OF KAYAPA, NUEVA VIZCAYA</t>
  </si>
  <si>
    <t>GENERAL SANTOS CITY WATER DISTRICT</t>
  </si>
  <si>
    <t>BUREAU OF CUSTOMS</t>
  </si>
  <si>
    <t>BARANGAY NAGSIDORISAN, NAGUILIAN, LA UNION</t>
  </si>
  <si>
    <t>ABKASA ELEMENTARY SCHOOL</t>
  </si>
  <si>
    <t>MUNICIPALITY OF SIBONGA, CEBU</t>
  </si>
  <si>
    <t>WEST VISAYAS STATE UNIVERSITY  - LAMBUNAO  CAMPUS</t>
  </si>
  <si>
    <t>MUNICIPALITY OF LAZI, SIQUIJOR</t>
  </si>
  <si>
    <t>MUNICIPALITY OF TAYASAN, NEGROS ORIENTAL</t>
  </si>
  <si>
    <t>BARANGAY SAN MIGUEL, TAGUM CITY, DAVAO DEL NORTE</t>
  </si>
  <si>
    <t>DEPARTMENT OF EDUCATION - DIVISION OF PANGASINAN II</t>
  </si>
  <si>
    <t>RAMON MAGSAYSAY CENTRAL - ELEMENTARY SCHOOL</t>
  </si>
  <si>
    <t>DEPARTMENT OF PUBLIC WORKS AND HIGHWAYS - MALABON-NAVOTAS SD</t>
  </si>
  <si>
    <t>MUNICIPALITY OF LOAY, BOHOL</t>
  </si>
  <si>
    <t>SCHISTOSOMIASIS CONTROL AND RESEARCH HOSPITAL</t>
  </si>
  <si>
    <t>MUNICIPALITY OF BOKOD, BENGUET</t>
  </si>
  <si>
    <t>MUNICIPALITY OF BACO, ORIENTAL MINDORO</t>
  </si>
  <si>
    <t>MUNICIPALITY OF MAINIT, SURIGAO DEL NORTE</t>
  </si>
  <si>
    <t>MUNICIPALITY OF BATAD, ILOILO</t>
  </si>
  <si>
    <t>CIVIL SERVICE COMMISSION  - CENTRAL OFFICE</t>
  </si>
  <si>
    <t>BUREAU OF CUSTOMS - ZAMBOANGA CITY</t>
  </si>
  <si>
    <t>CAGAYAN DE ORO NATIONAL HIGH SCHOOL</t>
  </si>
  <si>
    <t>MUNICIPALITY OF BALIGUIAN, ZAMBOANGA DEL NORTE</t>
  </si>
  <si>
    <t>BARANGAY MARINIG, CABUYAO, LAGUNA</t>
  </si>
  <si>
    <t>BARANGAY PAPANDUNGIN - GLORIA ORIENTAL MINDORO</t>
  </si>
  <si>
    <t>MUNICIPALITY OF JARO, LEYTE</t>
  </si>
  <si>
    <t>DEPARTMENT OF PUBLIC WORKS AND HIGHWAYS - REGION VI</t>
  </si>
  <si>
    <t>PHILIPPINE HEALTH INSURANCE CORPORATION - REGION IX</t>
  </si>
  <si>
    <t>BARANGAY CAMPISONG, GINATILAN, CEBU</t>
  </si>
  <si>
    <t>FORT BONIFACIO HIGH SCHOOL</t>
  </si>
  <si>
    <t>DEPARTMENT OF PUBLIC WORKS AND HIGHWAYS - CAVITE 3RD DISTRIC</t>
  </si>
  <si>
    <t>PALAWAN STATE UNIVERSITY</t>
  </si>
  <si>
    <t>PHILIPPINE COAST GUARD (HUMAN RESOURCE MANAGEMENT SERVICE) -</t>
  </si>
  <si>
    <t>BUREAU OF PLANT INDUSTRY (NSQCS7) - UBAY, BOHOL</t>
  </si>
  <si>
    <t>SAN JOSE DEL MONTE NATIONAL TRADE SCHOOL</t>
  </si>
  <si>
    <t>BUREAU OF FIRE PROTECTION - REGION VI</t>
  </si>
  <si>
    <t>BARANGAY AMAMAROS, POTOTAN, ILOILO</t>
  </si>
  <si>
    <t>MUNICIPALITY OF MURCIA, NEGROS OCCIDENTAL</t>
  </si>
  <si>
    <t>MUNICIPALITY OF TALAINGOD, DAVAO DEL NORTE</t>
  </si>
  <si>
    <t>BICOL REGION GENERAL HOSPITAL AND GERIATRIC MEDICAL CENTER(F</t>
  </si>
  <si>
    <t>MUNICIPALITY OF ALAMINOS, LAGUNA</t>
  </si>
  <si>
    <t>BUREAU OF AGRICULTURAL RESEARCH</t>
  </si>
  <si>
    <t>MUNICIPALITY  OF SAN JOSE, NEGROS ORIENTAL</t>
  </si>
  <si>
    <t>MUNICIPALITY OF MARAGONDON, CAVITE</t>
  </si>
  <si>
    <t>BARANGAY COTTA, LUCENA CITY</t>
  </si>
  <si>
    <t>CITY OF CALOOCAN</t>
  </si>
  <si>
    <t>LUIS HORA MEMORIAL REGIONAL HOSPITAL</t>
  </si>
  <si>
    <t>BARANGAY MALINAO, PASIG CITY</t>
  </si>
  <si>
    <t>MUNICIPALITY OF ALCALA, PANGASINAN</t>
  </si>
  <si>
    <t>CITY OF BAIS, NEGROS ORIENTAL</t>
  </si>
  <si>
    <t>BARANGAY LAMAK, HILONGOS, LEYTE</t>
  </si>
  <si>
    <t>LEGARDA DOS NATIONAL HIGH SCHOOL</t>
  </si>
  <si>
    <t>PHILIPPINE RICE RESEARCH INSTITUTE - AGUSAN</t>
  </si>
  <si>
    <t>BARANGAY KULAPI, LUCBAN, QUEZON</t>
  </si>
  <si>
    <t>BARANGAY CALUMPANG EAST- SAN LUIS BATANGAS</t>
  </si>
  <si>
    <t>MUNICIPALITY OF SAN AGUSTIN, ISABELA</t>
  </si>
  <si>
    <t>BARANGAY SAN FRANCISCO, NAGCARLAN, LAGUNA</t>
  </si>
  <si>
    <t>PHILIPPINE FISHERIES DEVELOPMENT AUTHORITY- REGION IX</t>
  </si>
  <si>
    <t>BARANGAY STA. ROSA, BINMALEY, PANGASINAN</t>
  </si>
  <si>
    <t>BARANGAY BONGOL, JANIUAY, ILOILO</t>
  </si>
  <si>
    <t>PHILIPPINE SCIENCE HIGH SCHOOL - CENTRAL LUZON CAMPUS</t>
  </si>
  <si>
    <t>NATIONAL IRRIGATION ADMINISTRATION - NEGROS ISLAND REGION</t>
  </si>
  <si>
    <t>SANTIAGO WATER DISTRICT</t>
  </si>
  <si>
    <t>MINDANAO STATE UNIVERSITY - ILIGAN INSTITUTE OF TECHNOLOGY</t>
  </si>
  <si>
    <t>BUREAU OF CUSTOMS - DAVAO CITY</t>
  </si>
  <si>
    <t>MUNICIPALITY OF CALABANGA, CAMARINES SUR</t>
  </si>
  <si>
    <t>PROVINCE OF SARANGANI</t>
  </si>
  <si>
    <t>METROPOLITAN WATERWORKS AND SEWERAGE SYSTEM</t>
  </si>
  <si>
    <t>MUNICIPALITY OF JOSEFINA, ZAMBOANGA DEL SUR</t>
  </si>
  <si>
    <t>DEPARTMENT OF PUBLIC WORKS AND HIGHWAYS - BUKIDNON 1ST DEO</t>
  </si>
  <si>
    <t>BARANGAY MAIIT, NAGCARLAN, LAGUNA</t>
  </si>
  <si>
    <t>SOCIAL SECURITY SYSTEM - LUZON CENTRAL CLUSTER</t>
  </si>
  <si>
    <t>MUNICIPALITY OF TUBUNGAN, ILOILO</t>
  </si>
  <si>
    <t>LANDBANK OF THE PHILIPPINES - REGION VI</t>
  </si>
  <si>
    <t>UNIVERSITY OF THE PHILIPPINES - CEBU</t>
  </si>
  <si>
    <t>DEPARTMENT OF EDUCATION - DIVISION OF SILAY CITY</t>
  </si>
  <si>
    <t>JOSE RIZAL MEMORIAL STATE UNIVERSITY - MAIN CAMPUS</t>
  </si>
  <si>
    <t>ENVIRONMENTAL MANAGEMENT BUREAU - REGION V</t>
  </si>
  <si>
    <t>CITY  OF CALBAYOG, SAMAR</t>
  </si>
  <si>
    <t>401ST CONTRACTING OFFICE, AFP PROCUREMENT SERVICE</t>
  </si>
  <si>
    <t>BARANGAY KINUBAN, MACO, COMPOSTELA VALLEY</t>
  </si>
  <si>
    <t>PUNONG ELEMENTARY SCHOOL</t>
  </si>
  <si>
    <t>DEPARTMENT OF EDUCATION - DIVISION OF NEGROS OCCIDENTAL</t>
  </si>
  <si>
    <t>NATIONAL HOUSING AUTHORITY</t>
  </si>
  <si>
    <t>MUNICIPALITY OF PASTRANA, LEYTE</t>
  </si>
  <si>
    <t>DAVAO DEL NORTE STATE COLLEGE</t>
  </si>
  <si>
    <t>MUNICIPALITY OF NAGCARLAN, LAGUNA</t>
  </si>
  <si>
    <t>BARANGAY MONTE DUJALI, SAN ISIDRO DAVAO DEL NORTE</t>
  </si>
  <si>
    <t>BARANGAY CABLALAN, GLAN, SARANGANI</t>
  </si>
  <si>
    <t>DEPARTMENT OF LABOR AND EMPLOYMENT - REGION XI</t>
  </si>
  <si>
    <t>BARANGAY PAKIAD, OTON, ILOILO</t>
  </si>
  <si>
    <t>MUNICIPALITY OF PURA, TARLAC</t>
  </si>
  <si>
    <t>SEWAHON ELEMENTARY SCHOOL</t>
  </si>
  <si>
    <t>MUNICIPALITY OF BAGAC, BATAAN</t>
  </si>
  <si>
    <t>MUNICIPALITY OF SANTA MARIA, ILOCOS SUR</t>
  </si>
  <si>
    <t>BARANGAY SUFATUBO, GLAN, SARANGANI</t>
  </si>
  <si>
    <t>BARANGAY POBLACION,KABACAN,COTABATO</t>
  </si>
  <si>
    <t>NATIONAL IRRIGATION ADMINISTRATION - SKIMO</t>
  </si>
  <si>
    <t>BARANGAY ORAS, TABACO CITY</t>
  </si>
  <si>
    <t>VNHS - SEWAHON EXTENSION HIGH SCHOOL - CADIZ CITY NEGROS OCC</t>
  </si>
  <si>
    <t>MUNICIPALITY OF TAGBINA, SURIGAO DEL SUR</t>
  </si>
  <si>
    <t>MUNICIPALITY OF PANDAN, ANTIQUE</t>
  </si>
  <si>
    <t>HOUSE OF REPRESENTATIVES</t>
  </si>
  <si>
    <t>BARANGAY 40 BALATONG, LAOAG CITY</t>
  </si>
  <si>
    <t>BUTONG ELEMENTARY SCHOOL</t>
  </si>
  <si>
    <t>WEST VISAYAS STATE UNIVERSITY - CALINOG BRANCH</t>
  </si>
  <si>
    <t>BARANGAY SAN ANTONIO, LABO, CAMARINES NORTE</t>
  </si>
  <si>
    <t>BARANGAY KAPANIKIAN STA. ANA CAGAYAN</t>
  </si>
  <si>
    <t>MUNICIPALITY OF NEW CORELLA, DAVAO DEL NORTE</t>
  </si>
  <si>
    <t>BARANGAY BALLUYAN FLORA APAYAO</t>
  </si>
  <si>
    <t>CITY OF OZAMIS, MISAMIS OCCIDENTAL</t>
  </si>
  <si>
    <t>DEPARTMENT OF PUBLIC WORKS AND HIGHWAYS - CEBU CITY DEO</t>
  </si>
  <si>
    <t>NORTHERN MINDANAO SCHOOL OF FISHERIES</t>
  </si>
  <si>
    <t>BARANGAY LISUB-A, ANINI-Y, ANTIQUE</t>
  </si>
  <si>
    <t>VILLASIS WATER DISTRICT</t>
  </si>
  <si>
    <t>CAMP EVANGELISTA ELEM SCHOOL - CAGAYAN DE ORO CITY</t>
  </si>
  <si>
    <t>KIMAGTING ELEMENTARY SCHOOL NINOY AQUINO KALILANGAN,BUKIDNON</t>
  </si>
  <si>
    <t>CITY OF SAN JUAN</t>
  </si>
  <si>
    <t>BARANGAY PLARIDEL, STA. ELENA, CAMARINES NORTE</t>
  </si>
  <si>
    <t>MUNICIPALITY OF SAN MIGUEL, ZAMBOANGA DEL SUR</t>
  </si>
  <si>
    <t>MUNICIPALITY OF BUENAVISTA, QUEZON</t>
  </si>
  <si>
    <t>MUNICIPALITY OF PARACELIS, MOUNTAIN PROVINCE</t>
  </si>
  <si>
    <t>MUNICIPALITY OF GUIPOS, ZAMBOANGA DEL SUR</t>
  </si>
  <si>
    <t>MATE ELEMENTARY SCHOOL</t>
  </si>
  <si>
    <t>BARANGAY DELUSOM, MAHAYAG, ZAMBOANGA DEL SUR</t>
  </si>
  <si>
    <t>MUNICIPALITY OF KAPALONG, DAVAO DEL NORTE</t>
  </si>
  <si>
    <t>NATIONAL COMMISSION FOR CULTURE AND THE ARTS</t>
  </si>
  <si>
    <t>MUNICIPALITY OF SALCEDO, EASTERN SAMAR</t>
  </si>
  <si>
    <t>NATIONAL IRRIGATION ADMINISTRATION - ILOCOS NORTE IRRIGATION</t>
  </si>
  <si>
    <t>BOHOL ISLAND STATE UNIVERSITY - CANDIJAY CAMPUS</t>
  </si>
  <si>
    <t>MUNICIPALITY OF SAN QUINTIN, PANGASINAN</t>
  </si>
  <si>
    <t>BARANGAY BULUANG, BAAO, CAMARINES SUR</t>
  </si>
  <si>
    <t>JERUSALEM NATIONAL HIGH SCHOOL - CADIZ CITY NEGROS OCCIDENTA</t>
  </si>
  <si>
    <t>NATIONAL CONCILIATION AND MEDIATION BOARD</t>
  </si>
  <si>
    <t>BARANGAY STA CRUZ - ROSARIO AGUSAN DEL SUR</t>
  </si>
  <si>
    <t>SOCIAL SECURITY SYSTEM - LUZON CENTRAL 2</t>
  </si>
  <si>
    <t>MUNICIPALITY OF SIKATUNA, BOHOL</t>
  </si>
  <si>
    <t>GULOD ELEMENTARY SCHOOL</t>
  </si>
  <si>
    <t>PHILIPPINE PORTS AUTHORITY - PMO CAGAYAN DE ORO</t>
  </si>
  <si>
    <t>DEPARTMENT OF PUBLIC WORKS AND HIGHWAYS - NEG. OCC. 4TH DEO</t>
  </si>
  <si>
    <t>BARANGAY MALIGAYA - ROSARIO AGUSAN DEL SUR</t>
  </si>
  <si>
    <t>MUNICIPALITY OF ABULUG, CAGAYAN</t>
  </si>
  <si>
    <t>BARANGAY PANTIHAN 1 MARAGONDON CAVITE</t>
  </si>
  <si>
    <t>MUNICIPALITY OF STA. RITA, WESTERN SAMAR</t>
  </si>
  <si>
    <t>CIVIL AVIATION AUTHORITY OF THE PHILIPPINES</t>
  </si>
  <si>
    <t>BARANGAY BUENAVISTA, RAPU-RAPU, ALBAY</t>
  </si>
  <si>
    <t>BARANGAY MALOBAGO, RAPU-RAPU, ALBAY</t>
  </si>
  <si>
    <t>BALULANG ELEMENTARY SCHOOL - CAGAYAN DE ORO CITY</t>
  </si>
  <si>
    <t>BARANGAY STA. ANA- NASIPIT AGUSAN DEL NORTE</t>
  </si>
  <si>
    <t>BARANGAY LICTIN - SAN ANDRES, CATANDUANES</t>
  </si>
  <si>
    <t>BARANGAY CANUBAY, OROQUIETA CITY</t>
  </si>
  <si>
    <t>MUNICIPALITY OF TINGLOY, BATANGAS</t>
  </si>
  <si>
    <t>BARANGAY 76, ZONE 10, PASAY CITY</t>
  </si>
  <si>
    <t>BARANGAY PANGGALAAN - CALAPAN, ORIENTAL MINDORO</t>
  </si>
  <si>
    <t>TECHNICAL EDUCATION AND SKILLS DEVELOPMENT AUTHORITY - REGIO</t>
  </si>
  <si>
    <t>LAWANG BATO NATIONAL HIGH SCHOOL</t>
  </si>
  <si>
    <t>DEPARTMENT OF PUBLIC WORKS AND HIGHWAYS - ISABELA CITY DEO</t>
  </si>
  <si>
    <t>MUNICIPALITY OF MILAGROS, MASBATE</t>
  </si>
  <si>
    <t>BARANGAY BON-OT - SAN ANDRES, CATANDUANES</t>
  </si>
  <si>
    <t>BARANGAY BUENAVISTA CULASI ANTIQUE</t>
  </si>
  <si>
    <t>PHILIPPINE PORTS AUTHORITY - PMO MINDORO</t>
  </si>
  <si>
    <t>DEPARTMENT OF PUBLIC WORKS AND HIGHWAYS - NORTHERN SAMAR 1ST</t>
  </si>
  <si>
    <t>PHILIPPINE STATISTICS AUTHORITY - REGION VII</t>
  </si>
  <si>
    <t>NEWBORN SCREENING REFERENCE CENTER</t>
  </si>
  <si>
    <t>MUNICIPALITY OF MAHAPLAG - LEYTE</t>
  </si>
  <si>
    <t>MUNICIPALITY OF BUNAWAN, AGUSAN DEL SUR</t>
  </si>
  <si>
    <t>BARANGAY BUYO - POLANGUI, ALBAY</t>
  </si>
  <si>
    <t>BUREAU OF JAIL MANAGEMENT AND PENOLOGY-NCR</t>
  </si>
  <si>
    <t>BARANGAY CODON - SAN ANDRES CATANDUANES</t>
  </si>
  <si>
    <t>BARANGAY SUGCAD, POLANGUI, ALBAY</t>
  </si>
  <si>
    <t>BARANGAY MEGKAWAYAN, CALINAN DISTRICT, DAVAO CITY</t>
  </si>
  <si>
    <t>MUNICIPALITY OF UNISAN, QUEZON</t>
  </si>
  <si>
    <t>BARANGAY BAGONG POOK, LIPA CITY</t>
  </si>
  <si>
    <t>BARANGAY MAYABAY DARAM SAMAR</t>
  </si>
  <si>
    <t>SAN RAFAEL ELEMENTARY SCHOOL - CADIZ CITY</t>
  </si>
  <si>
    <t>MUNICIPALITY OF GIGMOTO, CATANDUANES</t>
  </si>
  <si>
    <t>BARANGAY BAGALANGIT, MABINI, BATANGAS</t>
  </si>
  <si>
    <t>BARANGAY LIM-AO, KANANGA, LEYTE</t>
  </si>
  <si>
    <t>ASUNCION L. LIZARES ELEMENTARY SCHOOL</t>
  </si>
  <si>
    <t>DEPARTMENT OF PUBLIC WORKS AND HIGHWAYS - BATANGAS 3RD ED</t>
  </si>
  <si>
    <t>PROVINCIAL GOVERNMENT OF APAYAO</t>
  </si>
  <si>
    <t>CAMINGAWAN ELEMENTARY SCHOOL - PONTEVEDRA NEGROS OCCIDENTAL</t>
  </si>
  <si>
    <t>ANTI-MONEY LAUNDERING COUNCIL</t>
  </si>
  <si>
    <t>MUNICIPALITY OF LAWAAN, EASTERN SAMAR</t>
  </si>
  <si>
    <t>DEPARTMENT OF EDUCATION - DIVISION OF ISLAND GARDEN CITY</t>
  </si>
  <si>
    <t>MUNICIPALITY OF SABLAYAN, OCCIDENTAL MINDORO</t>
  </si>
  <si>
    <t>MINISTRY OF PUBLIC WORKS-BARMM</t>
  </si>
  <si>
    <t>BARANGAY HILAWAN - SAN ANDRES CATANDUANES</t>
  </si>
  <si>
    <t>MABINI ELEMENTARY SCHOOL - PONTEVEDRA NEGROS OCCIDENTAL</t>
  </si>
  <si>
    <t>CITY OF CATBALOGAN, SAMAR</t>
  </si>
  <si>
    <t>CITY OF PALAYAN, NUEVA ECIJA</t>
  </si>
  <si>
    <t>BARANGAY MACAAS,	TUBIGON, BOHOL</t>
  </si>
  <si>
    <t>NATIONAL IRRIGATION ADMINISTRATION - COTABATO IMO</t>
  </si>
  <si>
    <t>BARANGAY ABBANGKERUAN, PAMPLONA, CAGAYAN</t>
  </si>
  <si>
    <t>DEPARTMENT OF THE INTERIOR AND LOCAL GOVERNMENT - ABRA</t>
  </si>
  <si>
    <t>MUNICIPALITY OF LOBOC, BOHOL</t>
  </si>
  <si>
    <t>MUNICIPALITY OF MOTIONG, SAMAR</t>
  </si>
  <si>
    <t>DEPARTMENT OF SCIENCE AND TECHNOLOGY - CARAGA</t>
  </si>
  <si>
    <t>BARANGAY DINAWEHAN, GINGOOG CITY, MISAMIS ORIENTAL</t>
  </si>
  <si>
    <t>TARLAC COLLEGE OF AGRICULTURE</t>
  </si>
  <si>
    <t>ALUYAN ELEMENTARY SCHOOL</t>
  </si>
  <si>
    <t>MUNICIPALITY OF AGUTAYA, PALAWAN</t>
  </si>
  <si>
    <t>DEPARTMENT OF PUBLIC WORKS AND HIGHWAYS - MT. PROVINCE I DEO</t>
  </si>
  <si>
    <t>PHILIPPINE SPORTS COMMISSION</t>
  </si>
  <si>
    <t>MUNICIPALITY OF AURORA, ZAMBOANGA DEL SUR</t>
  </si>
  <si>
    <t>BARANGAY GUINOBATAN, CALAPAN, ORIENTAL MINDORO</t>
  </si>
  <si>
    <t>MUNICIPALITY OF MADDELA, QUIRINO</t>
  </si>
  <si>
    <t>PROVINCE OF SOUTHERN LEYTE</t>
  </si>
  <si>
    <t>MUNICIPALITY OF KIANGAN, IFUGAO</t>
  </si>
  <si>
    <t>PHILIPPINE ARMY (PA)</t>
  </si>
  <si>
    <t>SUGAR REGULATORY ADMINISTRATION</t>
  </si>
  <si>
    <t>CAA ELEMENTARY SCHOOL</t>
  </si>
  <si>
    <t>MUNICIPALITY OF GENERAL NAKAR, QUEZON</t>
  </si>
  <si>
    <t>BARANGAY KALIPAY, GINGOOG CITY</t>
  </si>
  <si>
    <t>INTERCOUNTRY ADOPTION BOARD</t>
  </si>
  <si>
    <t>BARANGAY MABINI, BURDEOS, QUEZON</t>
  </si>
  <si>
    <t>BARANGAY NAGACADAN - KIANGAN IFUGAO</t>
  </si>
  <si>
    <t>CABIAO WATER DISTRICT</t>
  </si>
  <si>
    <t>MUNICIPALITY OF CUARTERO, CAPIZ</t>
  </si>
  <si>
    <t>ENVIRONMENTAL MANAGEMENT BUREAU - CARAGA</t>
  </si>
  <si>
    <t>DEPARTMENT OF PUBLIC WORKS AND HIGHWAYS - MINDORO OCCIDENTAL</t>
  </si>
  <si>
    <t>BARANGAY CALABANIT, GLAN, SARANGANI</t>
  </si>
  <si>
    <t>BARANGAY STA.CRUZ, MAKATI CITY</t>
  </si>
  <si>
    <t>DEPARTMENT OF BUDGET AND MANAGEMENT</t>
  </si>
  <si>
    <t>DEPARTMENT OF PUBLIC WORKS AND HIGHWAYS - CAPIZ 2ND ED</t>
  </si>
  <si>
    <t>MUNICIPALITY OF STA. MONICA, SURIGAO DEL NORTE</t>
  </si>
  <si>
    <t>MUNICIPALITY OF NAGUILIAN, LA UNION</t>
  </si>
  <si>
    <t>BARANGAY POBLACION, TACURONG, SULTAN KUDARAT</t>
  </si>
  <si>
    <t>MUNICIPALITY OF PATEROS</t>
  </si>
  <si>
    <t>PEÑARANDA WATER DISTRICT</t>
  </si>
  <si>
    <t>MUNICIPALITY OF SAN NARCISO, QUEZON</t>
  </si>
  <si>
    <t>BARANGAY IPONAN, CAGAYAN DE ORO CITY</t>
  </si>
  <si>
    <t>SK OF BARANGAY SILANGAN DOS - ROSARIO CAVITE</t>
  </si>
  <si>
    <t>MUNICIPALITY OF MASLOG, EASTERN SAMAR</t>
  </si>
  <si>
    <t>BARANGAY AMIROY, MINA, ILOILO</t>
  </si>
  <si>
    <t>DEPARTMENT OF ENVIRONMENT AND NATURAL RES. - PENRO, MT. PROV</t>
  </si>
  <si>
    <t>MUNICIPALITY OF DINAPIGUE, ISABELA</t>
  </si>
  <si>
    <t>BARANGAY IHAN, KIBLAWAN, DAVAO DEL SUR</t>
  </si>
  <si>
    <t>BARANGAY 645, ZONE 67, DISTRICT VI, MANILA</t>
  </si>
  <si>
    <t>BARANGAY STA. EMELIA VERUELA AGUSAN DEL SUR</t>
  </si>
  <si>
    <t>BARANGAY CAIGANGAN VERUELA AGUSAN DEL SUR</t>
  </si>
  <si>
    <t>BARANGAY PAMUL-OGAN - CABATUAN ILOILO</t>
  </si>
  <si>
    <t>BARANGAY NAMOCON - TIGBAUAN ILOILO</t>
  </si>
  <si>
    <t>BARANGAY BARROC, TIGBAUAN, ILOILO</t>
  </si>
  <si>
    <t>BARANGAY STA. LUCIA - PASIG CITY</t>
  </si>
  <si>
    <t>MUNICIPALITY OF ALBUERA, LEYTE</t>
  </si>
  <si>
    <t>BARANGAY SACSAC - MANJUYOD NEGROS ORIENTAL</t>
  </si>
  <si>
    <t>BARANGAY LIBOD - PANDAN, CATANDUANES</t>
  </si>
  <si>
    <t>BARANGAY BAGONG PAG-ASA - QUEZON CITY METRO MANILA</t>
  </si>
  <si>
    <t>BARANGAY BUED, ALAMINOS, PANGASINAN</t>
  </si>
  <si>
    <t>BARANGAY MALINAO, NAUJAN, ORIENTAL MINDORO</t>
  </si>
  <si>
    <t>BARANGAY ZONE 7, LIBON, ALBAY</t>
  </si>
  <si>
    <t>BARANGAY BASAG, LIGAO, ALBAY</t>
  </si>
  <si>
    <t>MUNICIPALITY OF RONDA, CEBU</t>
  </si>
  <si>
    <t>SANGGUNIANG KABATAAN NG BARANGAY BISOCOL - ALAMINOS CITY PAN</t>
  </si>
  <si>
    <t>HIMAMAYLAN NATIONAL HIGH SCHOOL(JUNIOR HIGH SCHOOL)-HIMAMAYL</t>
  </si>
  <si>
    <t>MUNICIPALITY OF BARAS, CATANDUANES</t>
  </si>
  <si>
    <t>BARANGAY SABANG, LEGAZPI CITY</t>
  </si>
  <si>
    <t>UNIVERSITY OF THE PHILIPPINES - BAGUIO</t>
  </si>
  <si>
    <t>DEPARTMENT OF PUBLIC WORKS AND HIGHWAYS - RIZAL 1ST ED</t>
  </si>
  <si>
    <t>BARANGAY 12 SAN ISIDRO, LAOAG, ILOCOS NORTE</t>
  </si>
  <si>
    <t>MUNICIPALITY OF PILAR, CEBU</t>
  </si>
  <si>
    <t>BARANGAY PAWA, BOAC, MARINDUQUE</t>
  </si>
  <si>
    <t>MUNICIPALITY OF ITBAYAT, BATANES</t>
  </si>
  <si>
    <t>BARANGAY STA. FILOMENA, DIPOLOG CITY, ZAMBOANGA DEL NORTE</t>
  </si>
  <si>
    <t>DEPARTMENT OF PUBLIC WORKS AND HIGHWAYS - METRO MANILA 3RD E</t>
  </si>
  <si>
    <t>MUNICIPALITY OF MONCADA, TARLAC</t>
  </si>
  <si>
    <t>MUNICIPALITY OF BASISTA, PANGASINAN</t>
  </si>
  <si>
    <t>BARANGAY 5 (SAGMIN) -  LEGAZPI CITY ALBAY REGION V</t>
  </si>
  <si>
    <t>EASTERN PANGASINAN AGRICULTURAL COLLEGE</t>
  </si>
  <si>
    <t>MUNICIPALITY OF MATANAO, DAVAO DEL SUR</t>
  </si>
  <si>
    <t>CITY OF ILAGAN WATER DISTRICT</t>
  </si>
  <si>
    <t>CITY  OF CANLAON, NEGROS ORIENTAL</t>
  </si>
  <si>
    <t>MUNICIPALITY OF PONTEVEDRA, NEGROS OCCIDENTAL</t>
  </si>
  <si>
    <t>MUNICIPALITY OF BANAUE, IFUGAO</t>
  </si>
  <si>
    <t>CITY OF DIGOS, DAVAO DEL SUR</t>
  </si>
  <si>
    <t>MUNICIPALITY OF BOMBON , CAMARINES SUR</t>
  </si>
  <si>
    <t>MUNICIPALITY OF ALEOSAN, COTABATO</t>
  </si>
  <si>
    <t>DEPARTMENT OF PUBLIC WORKS AND HIGHWAYS - NEG. OCC. 1ST DEO</t>
  </si>
  <si>
    <t>BARANAGY 44 - PAWA LEGAZPI CITY ALBAY</t>
  </si>
  <si>
    <t>MUNICIPALITY OF JIABONG, SAMAR</t>
  </si>
  <si>
    <t>MUNICIPALITY OF MOLAVE, ZAMBOANGA DEL SUR</t>
  </si>
  <si>
    <t>BUREAU OF PLANT INDUSTRY - LA GRANJA NCRDC</t>
  </si>
  <si>
    <t>KASIGLAHAN VILLAGE ELEMENTARY SCHOOL</t>
  </si>
  <si>
    <t>103RD CONTRACTING OFFICE, AFP PROCUREMENT SERVICE</t>
  </si>
  <si>
    <t>DEPARTMENT OF PUBLIC WORKS AND HIGHWAYS - AGUSAN DEL SUR 1ST</t>
  </si>
  <si>
    <t>MUNICIPALITY OF TITAY, ZAMBOANGA SIBUGAY</t>
  </si>
  <si>
    <t>BARANGAY POBLACION, ALCALA, PANGASINAN</t>
  </si>
  <si>
    <t>MUNICIPALITY OF MAIGO, LANAO DEL NORTE</t>
  </si>
  <si>
    <t>BARANGAY GUADALUPE VIEJO, MAKATI CITY</t>
  </si>
  <si>
    <t>BUREAU OF CORRECTIONS - REGION IX</t>
  </si>
  <si>
    <t>LINGI-ON ELEMENTARY SCHOOL</t>
  </si>
  <si>
    <t>BARANGAY 5, PASUQUIN, ILOCOS NORTE</t>
  </si>
  <si>
    <t>MUNICIPALITY OF CABIAO, NUEVA ECIJA</t>
  </si>
  <si>
    <t>BARANGAY LOGUCAN - MARIA SIQUIJOR</t>
  </si>
  <si>
    <t>MUNICIPALITY OF MATNOG , SORSOGON</t>
  </si>
  <si>
    <t>BARANGAY BAGONG BAYAN/I-C, SAN PABLO CITY</t>
  </si>
  <si>
    <t>MUNICIPALITY OF MABUHAY, ZAMBOANGA SIBUGAY</t>
  </si>
  <si>
    <t>SAN JOSE (DINAGAT ISLAND) WATER DISTRICT</t>
  </si>
  <si>
    <t>BARANGAY ISABANG, LUCENA CITY</t>
  </si>
  <si>
    <t>MUNICIPALITY OF STA. CRUZ, ZAMBALES</t>
  </si>
  <si>
    <t>MUNICIPALITY OF MAAYON, CAPIZ</t>
  </si>
  <si>
    <t>MUNICIPALITY OF CORON, PALAWAN</t>
  </si>
  <si>
    <t>CAGAYAN DE ORO (BUGO) SCHOOL OF ARTS AND TRADES</t>
  </si>
  <si>
    <t>MUNICIPALITY OF BARCELONA, SORSOGON</t>
  </si>
  <si>
    <t>MUNICIPALITY OF GARCIA-HERNANDEZ, BOHOL</t>
  </si>
  <si>
    <t>DEPARTMENT OF EDUCATION - DIVISION OF ILOILO</t>
  </si>
  <si>
    <t>BARANGAY BUCAC, BAYUGAN, AGUSAN DEL SUR</t>
  </si>
  <si>
    <t>BARANGAY SALVACION, TRENTO, AGUSAN DEL SUR</t>
  </si>
  <si>
    <t>MUNICIPALITY OF NEW LUCENA, ILOILO</t>
  </si>
  <si>
    <t>COTABATO FOUNDATION COLLEGE OF SCIENCE &amp; TECHNOLOGY</t>
  </si>
  <si>
    <t>MUNICIPALITY OF CALAUAG, QUEZON</t>
  </si>
  <si>
    <t>BARANGAY POBLACION, KIBLAWAN, DAVAO DEL SUR</t>
  </si>
  <si>
    <t>BARANGAY NAVOTAS SOUTH LAOAG CITY ILOCOS NORTE</t>
  </si>
  <si>
    <t>HALAPITAN NATIONAL HIGH SCHOOL</t>
  </si>
  <si>
    <t>BARANGAY TUBOD LAKEWOOD ZAMBOANGA DEL SUR</t>
  </si>
  <si>
    <t>BARANGAY AYALA ALABANG, MUNTINLUPA CITY</t>
  </si>
  <si>
    <t>BARANGAY 849 ZONE 93 DISTRICT 6, MANILA</t>
  </si>
  <si>
    <t>MUNICIPALITY OF BADOC, ILOCOS NORTE</t>
  </si>
  <si>
    <t>BARANGAY BAGUMBAYAN, STA. CRUZ, LAGUNA</t>
  </si>
  <si>
    <t>BARANGAY CUTA, BATANGAS CITY</t>
  </si>
  <si>
    <t>BARANGAY SAN NICOLAS, SAN FERNANDO, PAMPANGA</t>
  </si>
  <si>
    <t>MUNICIPALITY OF PILAR, BATAAN</t>
  </si>
  <si>
    <t>BARANGAY 52-A SAN MATEO, LAOAG CITY</t>
  </si>
  <si>
    <t>PROSPERIDAD WATER DISTRICT</t>
  </si>
  <si>
    <t>BARANGAY SICAYAB, DIPOLOG, ZAMBOANGA DEL NORTE</t>
  </si>
  <si>
    <t>BUREAU OF INTERNAL REVENUE - REVENUE REGION NO.18</t>
  </si>
  <si>
    <t>MUNICIPALITY OF HAMTIC, ANTIQUE</t>
  </si>
  <si>
    <t>MUNICIPALITY OF SAN GUILLERMO, ISABELA</t>
  </si>
  <si>
    <t>DEPARTMENT OF ENVIRONMENT AND NATURAL RES. - PENRO, PALAWAN</t>
  </si>
  <si>
    <t>BARANGAY CONCEPCION, HILONGOS, LEYTE</t>
  </si>
  <si>
    <t>BARANGAY TAGSING, LEON, ILOILO</t>
  </si>
  <si>
    <t>BAYBAY CITY WATER DISTRICT</t>
  </si>
  <si>
    <t>DON CARLOS CENTRAL ELEMENTARY SCHOOL</t>
  </si>
  <si>
    <t>BARANGAY POBLACION, BURDEOS, QUEZON</t>
  </si>
  <si>
    <t>BARANGAY SOLANGON - SAN JUAN SIQUIJOR</t>
  </si>
  <si>
    <t>E. RODRIGUEZ VOCATIONAL HIGH SCHOOL</t>
  </si>
  <si>
    <t>BARANGAY DEL PILAR, SAN FERNANDO, PAMPANGA</t>
  </si>
  <si>
    <t>BARANGAY SAN AGUSTIN - SAN FERNANDO CITY, LA UNION</t>
  </si>
  <si>
    <t>MUNICIPALITY OF  MAWAB, COMPOSTELA VALLEY</t>
  </si>
  <si>
    <t>BARANGAY PIO DEL PILAR, MAKATI CITY</t>
  </si>
  <si>
    <t>VALENCIA NATIONAL HIGH SCHOOL</t>
  </si>
  <si>
    <t>BARANGAY GARITAN, TAGUDIN, ILOCOS SUR</t>
  </si>
  <si>
    <t>BARANGAY PUALAS, TUBOD, LANAO DEL NORTE</t>
  </si>
  <si>
    <t>CIVIL AERONAUTICS BOARD</t>
  </si>
  <si>
    <t>BARANGAY TALACU-AN, LEON, ILOILO</t>
  </si>
  <si>
    <t>BARANGAY ALAMINOS - MADALAG AKLAN</t>
  </si>
  <si>
    <t>MUNICIPALITY OF SAN JACINTO, PANGASINAN</t>
  </si>
  <si>
    <t>MUNICIPALITY OF TUBOD, LANAO DEL NORTE</t>
  </si>
  <si>
    <t>DEPARTMENT OF EDUCATION - DIVISION OF TAGUIG AND PATEROS</t>
  </si>
  <si>
    <t>BALUGO ELEMENTARY SCHOOL</t>
  </si>
  <si>
    <t>DEPARTMENT OF ENVIRONMENT AND NATURAL RESOURCES - REGION I</t>
  </si>
  <si>
    <t>DEPARTMENT OF PUBLIC WORKS AND HIGHWAYS - IFUGAO</t>
  </si>
  <si>
    <t>MUNICIPALITY OF TINGLAYAN, KALINGA</t>
  </si>
  <si>
    <t>PROVINCE OF IFUGAO</t>
  </si>
  <si>
    <t>MUNICIPALITY OF BOCAUE, BULACAN</t>
  </si>
  <si>
    <t>BARANGAY STO. ANGEL - SAN PABLO CITY</t>
  </si>
  <si>
    <t>MUNICIPALITY OF TUBAJON, DINAGAT ISLANDS</t>
  </si>
  <si>
    <t>MUNICIPALITY OF SAN RAFAEL, BULACAN</t>
  </si>
  <si>
    <t>CADIZ VIEJO ELEMENTARY SCHOOL</t>
  </si>
  <si>
    <t>BARANGAY CEMBO, MAKATI CITY</t>
  </si>
  <si>
    <t>BINALONAN WATER DISTRICT</t>
  </si>
  <si>
    <t>BARANGAY SAN ANTONIO, SAN PASCUAL, BATANGAS</t>
  </si>
  <si>
    <t>NATIONAL ECONOMIC AND DEVELOPMENT AUTHORITY - MAIN</t>
  </si>
  <si>
    <t>BARANGAY CUMBA, BATANGAS CITY</t>
  </si>
  <si>
    <t>MUNICIPALITY OF BAGUMBAYAN, SULTAN KUDARAT</t>
  </si>
  <si>
    <t>SOCIAL SECURITY SYSTEM</t>
  </si>
  <si>
    <t xml:space="preserve">VISAYAS STATE UNIVERSITY-VILLABA </t>
  </si>
  <si>
    <t>BARANGAY POBLACION - JETAFE BOHOL</t>
  </si>
  <si>
    <t>BARANGAY BONUAN GUESET, DAGUPAN CITY</t>
  </si>
  <si>
    <t>BARANGAY BUCAL CALATAGAN BATANGAS</t>
  </si>
  <si>
    <t>NATIONAL IRRIGATION ADMINISTRATION - LARISIP</t>
  </si>
  <si>
    <t>MUNICIPALITY OF MAGALLANES, CAVITE</t>
  </si>
  <si>
    <t>MUNICIPALITY OF BAROTAC VIEJO, ILOILO</t>
  </si>
  <si>
    <t>BARANGAY CALUMPANG, GENERAL SANTOS CITY, SOUTH COTABATO</t>
  </si>
  <si>
    <t>MUNICIPALITY OF MAASIM, SARANGANI</t>
  </si>
  <si>
    <t>BARANGAY  AMERANG - MAASIN ILOILO</t>
  </si>
  <si>
    <t>AMAI PAKPAK MEDICAL CENTER</t>
  </si>
  <si>
    <t>NATIONAL POWER CORPORATION - SPUG VISAYAS</t>
  </si>
  <si>
    <t>BARANGAY CATALUNAN GRANDE, DAVAO CITY</t>
  </si>
  <si>
    <t>BARANGAY TABOK, MANDAUE CITY</t>
  </si>
  <si>
    <t>MUNICIPALITY OF LABANGAN, ZAMBOANGA DEL SUR</t>
  </si>
  <si>
    <t>GMA WATER DISTRICT</t>
  </si>
  <si>
    <t>MARAGONDON WATER DISTRICT</t>
  </si>
  <si>
    <t>SAN MANUEL WATER DISTRICT</t>
  </si>
  <si>
    <t>DEPARTMENT OF PUBLIC WORKS AND HIGHWAYS - EASTERN SAMAR DEO</t>
  </si>
  <si>
    <t>MUNICIPALITY OF CATANAUAN, QUEZON</t>
  </si>
  <si>
    <t>MUNICIPALITY OF BANTON, ROMBLON</t>
  </si>
  <si>
    <t>BARANGAY POBLACION ZONE II - ESTANCIA ILOILO</t>
  </si>
  <si>
    <t>BARANGAY SAN PEDRO, SAN QUINTIN, PANGASINAN</t>
  </si>
  <si>
    <t>BARANGAY DALIG, ANTIPOLO CITY</t>
  </si>
  <si>
    <t>MUNICIPALITY OF QUEZON , BUKIDNON</t>
  </si>
  <si>
    <t>BARANGAY POBLACION I, CALATAGAN, BATANGAS</t>
  </si>
  <si>
    <t>PNOC RENEWABLES CORPORATION</t>
  </si>
  <si>
    <t>BARANGAY LIOAC SUR, NAGUILIAN, LA UNION</t>
  </si>
  <si>
    <t>BARANGAY 14 BANCAL, CARMONA, CAVITE</t>
  </si>
  <si>
    <t>MUNICIPALITY OF STA. MARCELA, APAYAO</t>
  </si>
  <si>
    <t>MUNICIPALITY OF SABTANG, BATANES</t>
  </si>
  <si>
    <t>BARANGAY STA ROSA - DANAO CITY CEBU</t>
  </si>
  <si>
    <t>BARANGAY CATULAYAN - SAN JUAN SIQUIJOR</t>
  </si>
  <si>
    <t>BARANGAY BAGTIC - CATIGBIAN BOHOL</t>
  </si>
  <si>
    <t>CALULUT ELEMENTARY SCHOOL</t>
  </si>
  <si>
    <t>BARANGAY DAP-DAP, RAPU-RAPU, ALBAY</t>
  </si>
  <si>
    <t>DEPARTMENT OF PUBLIC WORKS AND HIGHWAYS - SOUTHERN LEYTE DEO</t>
  </si>
  <si>
    <t>BARANGAY MALIM - TABINA ZAMBOANGA DEL SUR</t>
  </si>
  <si>
    <t>MUNICIPALITY OF MERCEDES, EASTERN SAMAR</t>
  </si>
  <si>
    <t>DA - PHILIPPINE RURAL DEVELOPMENT PROJECT - PSO LUZON A</t>
  </si>
  <si>
    <t>BARANGAY BUYOG - JETAFE BOHOL</t>
  </si>
  <si>
    <t>BARANGAY STA. ANASTACIA, STO. TOMAS, BATANGAS</t>
  </si>
  <si>
    <t>BARANGAY SAGRADA, RAPU-RAPU, ALBAY</t>
  </si>
  <si>
    <t>MUNICIPALITY OF DUMANGAS, ILOILO</t>
  </si>
  <si>
    <t>IFUGAO STATE UNIVERSITY</t>
  </si>
  <si>
    <t>BARANGAY JANAO JANAO - SAN JUAN BATANGAS</t>
  </si>
  <si>
    <t>ILOCOS NORTE AGRICULTURAL COLLEGE SENIOR HIGH SCHOOL</t>
  </si>
  <si>
    <t>SOUTHVILLE 1 ELEMENTARY SCHOOL</t>
  </si>
  <si>
    <t>NATIONAL IRRIGATION ADMINISTRATION - COMPOSTELA VALLEY</t>
  </si>
  <si>
    <t>MUNICIPALITY OF MASINLOC, ZAMBALES</t>
  </si>
  <si>
    <t>BARANGAY MERCEDES - MADALAG AKLAN</t>
  </si>
  <si>
    <t>BARANGAY POBLACION, RAPU-RAPU, ALBAY</t>
  </si>
  <si>
    <t>MUNICIPALITY OF VALENCIA, NEGROS ORIENTAL</t>
  </si>
  <si>
    <t>MINISTRY OF HUMAN SETTLEMENTS AND DEVELOPMENT - COTABATO CIT</t>
  </si>
  <si>
    <t>BUREAU OF IMMIGRATION</t>
  </si>
  <si>
    <t>SK OF BARANGAY WAWA 1 - ROSARIO CAVITE</t>
  </si>
  <si>
    <t>BARANGAY HIGOSO-AN, TOMAS OPPUS, SOUTHERN LEYTE</t>
  </si>
  <si>
    <t>TIAONG WATER DISTRICT</t>
  </si>
  <si>
    <t>BARANGAY TINOCAWAN, RAPU-RAPU, ALBAY</t>
  </si>
  <si>
    <t>CITY OF GUIHULNGAN, NEGROS ORIENTAL</t>
  </si>
  <si>
    <t>BARANGAY PANIPIASON - MADALAG AKLAN</t>
  </si>
  <si>
    <t>BARANGAY PULARAQUEN, TAYTAY, PALAWAN</t>
  </si>
  <si>
    <t>BARANGAY 742, ZONE 80, DISTRICT V, MANILA</t>
  </si>
  <si>
    <t>MUNICIPALITY OF TUDELA, CEBU</t>
  </si>
  <si>
    <t>BUREAU OF CUSTOMS - PORT OF LIMAY</t>
  </si>
  <si>
    <t>BARANGAY TOGONG, BANTON, ROMBLON</t>
  </si>
  <si>
    <t>DEPARTMENT OF EDUCATION - DIVISION OF QUIRINO</t>
  </si>
  <si>
    <t>BARANGAY BATAN, RAPU-RAPU, ALBAY</t>
  </si>
  <si>
    <t>UNIVERSITY OF THE PHILIPPINES - OPEN UNIVERSITY</t>
  </si>
  <si>
    <t>MUNICIPALITY OF MARIHATAG, SURIGAO DEL SUR</t>
  </si>
  <si>
    <t>MUNICIPALITY OF MALINAO, ALBAY</t>
  </si>
  <si>
    <t>OROQUIETA CITY WATER DISTRICT</t>
  </si>
  <si>
    <t>BARANGAY MAPORONG, OAS, ALBAY</t>
  </si>
  <si>
    <t>TAYSAN NATIONAL HIGH SCHOOL (DEP-ED)</t>
  </si>
  <si>
    <t>DAGUNDALHON ELEMENTARY SCHOOL - TALAKAG, BUKIDNON</t>
  </si>
  <si>
    <t>BARANGAY IRISAN, BAGUIO CITY</t>
  </si>
  <si>
    <t>BARANGAY NG CALPI - MATNOG SORSOGON</t>
  </si>
  <si>
    <t>DEPARTMENT OF PUBLIC WORKS AND HIGHWAYS - LANAO DEL NORTE 1S</t>
  </si>
  <si>
    <t>DEPARTMENT OF EDUCATION - DIVISION OF CITY SCHOOLS, NAVOTAS</t>
  </si>
  <si>
    <t>BARANGAY MASAGA, RAPU-RAPU, ALBAY</t>
  </si>
  <si>
    <t>BARANGAY STA. MONICA, CONCEPCION, TARLAC</t>
  </si>
  <si>
    <t>BARANGAY MAASIN, IPIL, ZAMBOANGA SIBUGAY</t>
  </si>
  <si>
    <t>BARANGAY  DIOLEN - MUTIA ZAMBOANGA DEL NORTE</t>
  </si>
  <si>
    <t>DEPARTMENT OF EDUCATION - REGION XII</t>
  </si>
  <si>
    <t>CIVIL SERVICE COMMISSION - REGION IV</t>
  </si>
  <si>
    <t>DEPARTMENT OF SOCIAL WELFARE AND DEVELOPMENT - TACLOBAN</t>
  </si>
  <si>
    <t>ABRA STATE INSTITUTE OF SCIENCES AND TECHNOLOGY - BANGUED</t>
  </si>
  <si>
    <t>ILOILO FISH PORT COMPLEX</t>
  </si>
  <si>
    <t>MUNICIPALITY OF MAYANTOC, TARLAC</t>
  </si>
  <si>
    <t>MUNICIPALITY OF OBANDO, BULACAN</t>
  </si>
  <si>
    <t>BARANGAY PANIKI, BAGABAG, NUEVA VIZCAYA</t>
  </si>
  <si>
    <t>MUNICIPALITY OF TALAKAG, BUKIDNON</t>
  </si>
  <si>
    <t>DEPARTMENT OF PUBLIC WORKS AND HIGHWAYS - DAVAO DEL NORTE DE</t>
  </si>
  <si>
    <t>BUREAU OF FISHERIES AND AQUATIC RESOURCES CARAGA</t>
  </si>
  <si>
    <t>BARANGAY TUNGONAN</t>
  </si>
  <si>
    <t>PHILIPPINE INFORMATION AGENCY - REGION IX</t>
  </si>
  <si>
    <t>CITY OF GENERAL TRIAS, CAVITE</t>
  </si>
  <si>
    <t>BARANGAY IV-C, SAN PABLO CITY</t>
  </si>
  <si>
    <t>PHILIPPINE INTERNATIONAL TRADING CORPORATION</t>
  </si>
  <si>
    <t>BARANGAY VILLAHERMOSA, RAPU-RAPU, ALBAY</t>
  </si>
  <si>
    <t>CIVIL AVIATION AUTHORITY OF THE PHILIPPINES - DUMAGUETE</t>
  </si>
  <si>
    <t>MARIKINA POLYTECHNIC COLLEGE</t>
  </si>
  <si>
    <t>DEPARTMENT OF PUBLIC WORKS AND HIGHWAYS - PANGASINAN 3RD DEO</t>
  </si>
  <si>
    <t>MUNICIPALITY OF KAPANGAN, BENGUET</t>
  </si>
  <si>
    <t>LEGAZPI CITY WATER DISTRICT</t>
  </si>
  <si>
    <t>MUNICIPAL GOVERNMENT OF DELFIN ALBANO, ISABELA</t>
  </si>
  <si>
    <t>BARANGAY GUADALUPE, RAPU-RAPU, ALBAY</t>
  </si>
  <si>
    <t>MUNICIPALITY OF PUERTO GALERA, ORIENTAL MINDORO</t>
  </si>
  <si>
    <t>BARANGAY ANISLAGAN, NABUNTURAN, COMPOSTELA VALLEY</t>
  </si>
  <si>
    <t>DEPARTMENT OF PUBLIC WORKS AND HIGHWAYS - MISAMIS ORIENTAL 2</t>
  </si>
  <si>
    <t>MUNICIPALITY OF SAN JOAQUIN, ILOILO</t>
  </si>
  <si>
    <t>BARANGAY 671 ZONE 73 DISTRICT V MANILA</t>
  </si>
  <si>
    <t>DEPARTMENT OF PUBLIC WORKS AND HIGHWAYS - REGION VIII</t>
  </si>
  <si>
    <t>BARANGAY LIBJO - BATANGAS CITY</t>
  </si>
  <si>
    <t>MUNICIPALITY OF ANGAT, BULACAN</t>
  </si>
  <si>
    <t>MUNICIPALITY OF TAGANA-AN, SURIGAO DEL NORTE</t>
  </si>
  <si>
    <t>INFANTA (QUEZON) WATER DISTRICT</t>
  </si>
  <si>
    <t>BARANGAY DITA, CUENCA, BATANGAS</t>
  </si>
  <si>
    <t>SAGASAN ELEMENTARY SCHOOL - SAN PABLO ZAMBOANGA DEL SUR</t>
  </si>
  <si>
    <t>BARANGAY LIBTONG, BANTON, ROMBLON</t>
  </si>
  <si>
    <t>MUNICIPALITY OF SOLSONA, ILOCOS NORTE</t>
  </si>
  <si>
    <t>BARANGAY SAN GABRIEL - MACABEBE, PAMPANGA</t>
  </si>
  <si>
    <t>BARANGAY HAMORWON, RAPU-RAPU, ALBAY</t>
  </si>
  <si>
    <t>PROVINCE OF CAVITE</t>
  </si>
  <si>
    <t>BARANGAY VIRGO - CAVITE CITY</t>
  </si>
  <si>
    <t>BARANGAY SAN ANTONIO DARAM SAMAR</t>
  </si>
  <si>
    <t>PROVINCE OF APAYAO</t>
  </si>
  <si>
    <t>MUNICIPALITY OF BAYABAS, SURIGAO DEL SUR</t>
  </si>
  <si>
    <t>TECHNICAL EDUCATION &amp; SKILLS DEVELOPMENT AUTHORITY - CAR</t>
  </si>
  <si>
    <t>SCIENCE CITY OF MUÑOZ, NUEVA ECIJA</t>
  </si>
  <si>
    <t>BARANGAY VILLAROS, BAGABAG, NUEVA VIZCAYA</t>
  </si>
  <si>
    <t>PILAR WATER DISTRICT</t>
  </si>
  <si>
    <t>CITY OF SILAY, NEGROS OCCIDENTAL</t>
  </si>
  <si>
    <t>MUNICIPALITY OF CALAMBA, MISAMIS OCCIDENTAL</t>
  </si>
  <si>
    <t>ADELA SERRA TY MEMORIAL MEDICAL CENTER</t>
  </si>
  <si>
    <t>BARANGAY GABA, RAPU-RAPU, ALBAY</t>
  </si>
  <si>
    <t>PHILIPPINE STATISTICS AUTHORITY - REGION IV-B</t>
  </si>
  <si>
    <t>BARANGAY LIGUAN, RAPU-RAPU, ALBAY</t>
  </si>
  <si>
    <t>YEE ON ELEMENTARY SCHOOL</t>
  </si>
  <si>
    <t>BARANGAY BINOSAWAN, RAPU-RAPU, ALBAY</t>
  </si>
  <si>
    <t>BARANGAY AFUSING BATU, ALCALA, CAGAYAN</t>
  </si>
  <si>
    <t>PHILIPPINE NUCLEAR RESEARCH INSTITUTE</t>
  </si>
  <si>
    <t>MUNICIPALITY OF JANIUAY, ILOILO</t>
  </si>
  <si>
    <t>TUMAUINI WATER DISTRICT</t>
  </si>
  <si>
    <t>BARANGAY BOGTONG, RAPU-RAPU, ALBAY</t>
  </si>
  <si>
    <t>CENTRAL PHILIPPINES STATE UNIVERSITY</t>
  </si>
  <si>
    <t>BARANGAY LINAO, RAPU-RAPU, ALBAY</t>
  </si>
  <si>
    <t>BARANGAY MANILA, RAPU-RAPU, ALBAY</t>
  </si>
  <si>
    <t>MUNICIPALITY OF PRESIDENT ROXAS, COTABATO</t>
  </si>
  <si>
    <t>DEPARTMENT OF PUBLIC WORKS AND HIGHWAYS - DAVAO CITY DEO</t>
  </si>
  <si>
    <t>VILLACIN ELEMENTARY SCHOOL</t>
  </si>
  <si>
    <t>BARANGAY LUCAO, DAGUPAN CITY</t>
  </si>
  <si>
    <t>ILOILO STATE COLLEGE OF FISHERIES</t>
  </si>
  <si>
    <t>JUVENILE JUSTICE AND WELFARE COUNCIL</t>
  </si>
  <si>
    <t>PINAGBUHATAN HIGH SCHOOL</t>
  </si>
  <si>
    <t>MUNICIPALITY OF HAGONOY, BULACAN</t>
  </si>
  <si>
    <t>CAA ELEMENATARY SCHOOL - ANNEX</t>
  </si>
  <si>
    <t>NATIONAL FOOD AUTHORITY - REGION IX</t>
  </si>
  <si>
    <t>DBP LEASING CORPORATION</t>
  </si>
  <si>
    <t>POLYTECHNIC UNIVERSITY OF THE PHILIPPINES</t>
  </si>
  <si>
    <t>MUNICIPALITY OF ANILAO - ILOILO</t>
  </si>
  <si>
    <t>DEPARTMENT OF ENVIRONMENT AND NATURAL RESOURCES PENRO</t>
  </si>
  <si>
    <t>LANGKAAN ELEMENTARY SCHOOL</t>
  </si>
  <si>
    <t>BARANGAY STA. CATALINA NORTE, CANDELARIA, QUEZON</t>
  </si>
  <si>
    <t>CALUMPIT WATER DISTRICT</t>
  </si>
  <si>
    <t>BARANGAY MANSABAY ALTO, LOPEZ JAENA, MISAMIS OCCIDENTAL</t>
  </si>
  <si>
    <t>MUNICIPALITY OF GEN. LUNA, QUEZON</t>
  </si>
  <si>
    <t>MUNICIPALITY OF MANTICAO, MISAMIS ORIENTAL</t>
  </si>
  <si>
    <t>BARANGAY CABARIAN, LIGAO CITY</t>
  </si>
  <si>
    <t>MUNICIPALITY OF ALITAGTAG, BATANGAS</t>
  </si>
  <si>
    <t>MUNICIPALITY OF MAGSAYSAY, LANAO DEL NORTE</t>
  </si>
  <si>
    <t>MUNICIPALITY OF LOOC, ROMBLON</t>
  </si>
  <si>
    <t>BARANGAY SAN ANTONIO MAGCOPA, CATANAUAN, QUEZON</t>
  </si>
  <si>
    <t>CITY OF BAYUGAN, AGUSAN DEL SUR</t>
  </si>
  <si>
    <t>CITY OF LIPA, BATANGAS</t>
  </si>
  <si>
    <t>BARANGAY SAN ANTONIO, LOPEZ, QUEZON</t>
  </si>
  <si>
    <t>BARANGAY KATIPUNAN - ARAKAN COTOBATO</t>
  </si>
  <si>
    <t>BARANGAY GUMAOC WEST, SAN JOSE DEL MONTE, BULACAN</t>
  </si>
  <si>
    <t>DEPARTMENT OF SOCIAL WELFARE AND DEVELOPMENT - REGION VIII</t>
  </si>
  <si>
    <t>BARANGAY ANTICALA, BUTUAN CITY</t>
  </si>
  <si>
    <t>LA HUERTA ELEMENTARY SCHOOL</t>
  </si>
  <si>
    <t>BARANGAY 46 SAN JOAQUIN - LEGAZPI CITY</t>
  </si>
  <si>
    <t>MUNICIPALITY OF TULUNAN, NORTH COTABATO</t>
  </si>
  <si>
    <t>BARANGAY LOS ANGELES, BUTUAN CITY</t>
  </si>
  <si>
    <t>BARANGAY MULAWIN, TANZA, CAVITE</t>
  </si>
  <si>
    <t>DEPARTMENT OF PUBLIC WORKS AND HIGHWAYS - ISABELA 4TH DEO</t>
  </si>
  <si>
    <t>MUNICIPALITY OF MOBO, MASBATE</t>
  </si>
  <si>
    <t>BARANGAY STA. TERESITA, BAYUGAN, AGUSAN DEL SUR</t>
  </si>
  <si>
    <t>MUNICIPALITY OF JAEN, NUEVA ECIJA</t>
  </si>
  <si>
    <t>BARANGAY CABAROAN BANTAY ILOCOS SUR</t>
  </si>
  <si>
    <t>CACAON ELEMENTARY SCHOOL - TALAKAG, BUKIDNON</t>
  </si>
  <si>
    <t>MUNICIPALITY OF PIAGAPO, LANAO DEL SUR</t>
  </si>
  <si>
    <t>KIDALOG ELEMENTARY SCHOOL</t>
  </si>
  <si>
    <t>MUNICIPALITY OF TALUGTUG, NUEVA ECIJA</t>
  </si>
  <si>
    <t>BARANGAY CAGUDALO -  CATBALOGAN CITY</t>
  </si>
  <si>
    <t>BARANGAY SAN FRANCISCO KALIHAN, SAN PABLO CITY</t>
  </si>
  <si>
    <t>ZAMBOANGA STATE COLLEGE OF MARINE SCIENCES AND TECHNOLOGY</t>
  </si>
  <si>
    <t>BARANGAY 618, ZONE 61, DISTRICT VI, MANILA</t>
  </si>
  <si>
    <t>BARANGAY 867 ZONE 95 DISTRICT 6, MANILA</t>
  </si>
  <si>
    <t>BARANGAY 177 ZONE-16  DISTRICT 11, MANILA</t>
  </si>
  <si>
    <t>BARANGAY 365, ZONE 37, DISTRICT III, MANILA</t>
  </si>
  <si>
    <t>BARANGAY 606 ZONE 60 DISTRICT VI, MANILA</t>
  </si>
  <si>
    <t>LACSON ELEMENTARY SCHOOL</t>
  </si>
  <si>
    <t>MUNICIPALITY OF POZORRUBIO, PANGASINAN</t>
  </si>
  <si>
    <t>MUNICIPALITY OF BALAMBAN, CEBU</t>
  </si>
  <si>
    <t>CENTER FOR HEALTH DEVELOPMENT - REGION VI</t>
  </si>
  <si>
    <t>MUNICIPALITY OF GATTARAN, CAGAYAN</t>
  </si>
  <si>
    <t>BARANGAY AGBAGO - IBAJAY, AKLAN</t>
  </si>
  <si>
    <t>DEPARTMENT OF SCIENCE AND TECHNOLOGY - REGION - VIII</t>
  </si>
  <si>
    <t>MUNICIPALITY OF LUBUAGAN, KALINGA</t>
  </si>
  <si>
    <t>MALAYBALAY CITY WATER DISTRICT</t>
  </si>
  <si>
    <t>PROVINCE OF CEBU</t>
  </si>
  <si>
    <t>SAN MIGUEL ELEMENTARY SCHOOL</t>
  </si>
  <si>
    <t>DEPARTMENT OF SOCIAL WELFARE AND DEVELOPMENT - REGION X</t>
  </si>
  <si>
    <t>TALIBON WATER DISTRICT</t>
  </si>
  <si>
    <t>BARANGAY GUINSORONGAN, CATBALOGAN, SAMAR</t>
  </si>
  <si>
    <t>BARANGAY LAWANG PARE, SAN JOSE DEL MONTE CITY</t>
  </si>
  <si>
    <t>BARANGAY SAN JOSE SICO, BATANGAS CITY, BATANGAS</t>
  </si>
  <si>
    <t>BARANGAY CAYUCAY, ALAMINOS, PANGASINAN</t>
  </si>
  <si>
    <t>BARANGAY POBLACION, BAYUGAN, AGUSAN DEL SUR</t>
  </si>
  <si>
    <t>MUNICIPALITY OF TAYTAY, PALAWAN</t>
  </si>
  <si>
    <t>MUNICIPALITY OF DUEÑAS, ILOILO</t>
  </si>
  <si>
    <t>BARANGAY 30-A SUYO, LAOAG CITY, ILOCOS NORTE</t>
  </si>
  <si>
    <t>BARANGAY DUMANTAY, BATANGAS CITY</t>
  </si>
  <si>
    <t>BARANGAY 8, SAN VICENTE, LAOAG CITY</t>
  </si>
  <si>
    <t>BARANGAY IBOL, CATBALOGAN CITY, SAMAR</t>
  </si>
  <si>
    <t>BARANGAY PUPUA, CATBALOGAN CITY, SAMAR</t>
  </si>
  <si>
    <t>BARANGAY POBLACION, MAHAYAG, ZAMBOANGA DEL SUR</t>
  </si>
  <si>
    <t>BARANGAY RIZAL - JIMENEZ MISAMIS OCCIDENTAL</t>
  </si>
  <si>
    <t>BARANGAY CAPACUAN, PARACALE, CAMARINES NORTE</t>
  </si>
  <si>
    <t>BARANGAY BACJAO - BUENAVISTA, GUIMARAS</t>
  </si>
  <si>
    <t>MUNICIPALITY OF SAN MATEO - ISABELA</t>
  </si>
  <si>
    <t>BARANGAY DEL NORTE -  PANDAN, CATANDUANES</t>
  </si>
  <si>
    <t>BARANGAY SAN MIGUEL ARAKAN COTABATO</t>
  </si>
  <si>
    <t>MUNICIPALITY OF SAN ILDEFONSO, ILOCOS SUR</t>
  </si>
  <si>
    <t>BUREAU OF INTERNAL REVENUE - REVENUE REGION NO. 5</t>
  </si>
  <si>
    <t>BARANGAY NABAG-O, VALENCIA CITY</t>
  </si>
  <si>
    <t>BARANGAY MULAY - CALAUAG QUEZON</t>
  </si>
  <si>
    <t>NABUNTURAN WATER DISTRICT</t>
  </si>
  <si>
    <t>BARANGAY LUYAHAN, LIAN BATANGAS</t>
  </si>
  <si>
    <t>MAHAYAG ELEMENTARY SCHOOL</t>
  </si>
  <si>
    <t>PHILIPPINE CARABAO CENTER - KABACAN COTABATO</t>
  </si>
  <si>
    <t>MUNICIPALITY OF LEGANES, ILOILO</t>
  </si>
  <si>
    <t>SK OF BARANGAY BAYUYAN - ESTANCIA ILOILO</t>
  </si>
  <si>
    <t>MUNICIPALITY OF BANGA, AKLAN</t>
  </si>
  <si>
    <t>MUNICIPAL GOVERNMENT OF ATOK, BENGUET</t>
  </si>
  <si>
    <t>SAN GUILLERMO WATER DISTRICT</t>
  </si>
  <si>
    <t>BARANGAY LAWAGAN, LABASON, ZAMBOANGA DEL NORTE</t>
  </si>
  <si>
    <t>MUNICIPALITY OF ASIPULO, IFUGAO</t>
  </si>
  <si>
    <t>AYUGAN ELEMENTARY SCHOOL - OCAMPO CAMARINES SUR</t>
  </si>
  <si>
    <t>RICARDO P. CRUZ SR. ELEMENTARY SCHOOL</t>
  </si>
  <si>
    <t>BARANGAY TUBILI, PALUAN, OCCIDENTAL MINDORO</t>
  </si>
  <si>
    <t>DEPARTMENT OF PUBLIC WORKS AND HIGHWAYS - NEGROS ORIENTAL 3R</t>
  </si>
  <si>
    <t>TAWANTAWAN ELEMENTARY SCHOOL</t>
  </si>
  <si>
    <t>DEPARTMENT OF PUBLIC WORKS AND HIGHWAYS - MISAMIS OCCIDENTAL</t>
  </si>
  <si>
    <t>BARANGAY IBACA - PRESIDENT ROXAS, CAPIZ</t>
  </si>
  <si>
    <t>MUNICIPALITY OF PAOMBONG, BULACAN</t>
  </si>
  <si>
    <t>MUNICIPALITY OF POLILLO, QUEZON</t>
  </si>
  <si>
    <t>BARANGAY POLOPINA, CONCEPCION, ILOILO</t>
  </si>
  <si>
    <t>MUNICIPALITY OF INDANG, CAVITE</t>
  </si>
  <si>
    <t>BARANGAY RAILWAY, LAPAZ, ILOILO CITY</t>
  </si>
  <si>
    <t>MUNICIPALITY OF PLACER, SURIGAO DEL NORTE</t>
  </si>
  <si>
    <t>BARANGAY SAN FRANCISCO, LABO, CAMARINES NORTE</t>
  </si>
  <si>
    <t>BARANGAY NANGALISAN - BACNOTAN, LA UNION</t>
  </si>
  <si>
    <t>CAVITE STATE UNIVERSITY</t>
  </si>
  <si>
    <t>DEPARTMENT OF EDUCATION - REGION XI</t>
  </si>
  <si>
    <t>HUPI ELEMENTARY SCHOOL</t>
  </si>
  <si>
    <t>BARANGAY LAMPUTONG - CULASI ANTIQUE</t>
  </si>
  <si>
    <t>LUSOK ELEMENTARY SCHOOL</t>
  </si>
  <si>
    <t>BALOGO ELEMENTARY SCHOOL</t>
  </si>
  <si>
    <t>SK OF BARANGAY SILANGAN UNO - ROSARIO CAVITE</t>
  </si>
  <si>
    <t>SK OF BARANGAY SAPA DOS - ROSARIO CAVITE</t>
  </si>
  <si>
    <t>BARANGAY MACABAYAO, JIMENEZ, MISAMIS OCCIDENTAL</t>
  </si>
  <si>
    <t>BARANGAY PANIPUAN, MEXICO, PAMPANGA</t>
  </si>
  <si>
    <t>CAUAYAN CITY WATER DISTRICT</t>
  </si>
  <si>
    <t>BARANGAY ZONE I, STA. CRUZ, DAVAO DEL SUR</t>
  </si>
  <si>
    <t>BARANGAY BULIASNIN, BOAC, MARINDUQUE</t>
  </si>
  <si>
    <t>BANGKO SENTRAL NG PILIPINAS - CAGAYAN DE ORO CITY</t>
  </si>
  <si>
    <t>BARANGAY GAUNAN - MLANG COTABATO</t>
  </si>
  <si>
    <t>BARANGAY PINAGTUNG-ULAN, SAN JOSE, BATANGAS</t>
  </si>
  <si>
    <t>MUNICIPALITY OF MAGSAYSAY, DAVAO DEL SUR</t>
  </si>
  <si>
    <t>TIGLAWIGAN NATIONAL HIGH SCHOOL SENIOR HIGH SCHOOL</t>
  </si>
  <si>
    <t>BARANGAY POBLACION A -  ROSARIO, BATANGAS</t>
  </si>
  <si>
    <t>BARANGAY SAN SEBASTIAN, LUNA, APAYAO</t>
  </si>
  <si>
    <t>DEPARTMENT OF EDUCATION - SCHOOLS DIVISION OF MT. PROVINCE</t>
  </si>
  <si>
    <t>BARANGAY PATAG, MANTICAO, MISAMIS ORIENTAL</t>
  </si>
  <si>
    <t>BARANGAY 565 ZONE 55 DISTRICT IV MANILA</t>
  </si>
  <si>
    <t>BARANGAY 830 ZONE 90 DISTRICT 6 MANILA</t>
  </si>
  <si>
    <t>MUNICIPALITY OF CANTILAN, SURIGAO DEL SUR</t>
  </si>
  <si>
    <t>BARANGAY PARANG, CALAPAN, ORIENTAL MINDORO</t>
  </si>
  <si>
    <t>MUNICIPALITY OF CLAVERIA, CAGAYAN</t>
  </si>
  <si>
    <t>MUNICIPALITY OF JASAAN , MISAMIS ORIENTAL</t>
  </si>
  <si>
    <t>BARANGAY CANAOALAN, BINMALEY, PANGASINAN</t>
  </si>
  <si>
    <t>BARANGAY LA FORTUNA VERUELA AGUSAN DEL SUR</t>
  </si>
  <si>
    <t>BARANGAY SAWAGAN, VERUELA, AGUSAN DEL SUR</t>
  </si>
  <si>
    <t>MUNICIPALITY OF SAN RICARDO - SOUTHERN LEYTE</t>
  </si>
  <si>
    <t>BARANGAY STA. CRUZ, SAN FERNANDO, CAMARINES SUR</t>
  </si>
  <si>
    <t>BOARD OF INVESTMENTS - MAKATI CITY METRO MANILA</t>
  </si>
  <si>
    <t>BARANGAY CABCABON, BUTUAN CITY</t>
  </si>
  <si>
    <t>BARANGAY BACAY II-VERUELA AGUSAN DEL SUR</t>
  </si>
  <si>
    <t>BARANGAY DON MATEO VERUELA AGUSAN DEL SUR</t>
  </si>
  <si>
    <t>BARANGAY NAPANGAN, DON VICTORIANO CHIONGBIAN</t>
  </si>
  <si>
    <t>BARANGAY 699, ZONE 76 DISTRICT V, MANILA</t>
  </si>
  <si>
    <t>PHILIPPINE INFORMATION AGENCY - REGION VII</t>
  </si>
  <si>
    <t>BARANGAY VALENCIA, QUEZON CITY</t>
  </si>
  <si>
    <t>BARANGAY SISIMON VERUELA AGUSAN DEL SUR</t>
  </si>
  <si>
    <t>BARANGAY 7 POBLACION, LUCENA CITY</t>
  </si>
  <si>
    <t>KIDALI ELEMENTARY SCHOOL</t>
  </si>
  <si>
    <t>BARANGAY DAGATAN, LIPA CITY, BATANGAS</t>
  </si>
  <si>
    <t>BARANGAY SABANGAN - SAN JUAN, ILOCOS SUR</t>
  </si>
  <si>
    <t>BARANGAY LIRA, SAN JUAN, ILOCOS SUR</t>
  </si>
  <si>
    <t>BARANGAY LUMBANG, LIPA CITY</t>
  </si>
  <si>
    <t>BARANGAY 209 ZONE 19 DISTRICT 2 TONDO,MANILA</t>
  </si>
  <si>
    <t>DEPARTMENT OF EDUCATION - DIVISION OF LEYTE</t>
  </si>
  <si>
    <t>BARANGAY AWAO STA. JOSEFA AGUSAN DEL SUR</t>
  </si>
  <si>
    <t>BARANGAY AMONTAY - PITOGO QUEZON</t>
  </si>
  <si>
    <t>BARANGAY SAN VICENTE, HINDANG, LEYTE</t>
  </si>
  <si>
    <t>MUNICIPALITY OF DONSOL, SORSOGON</t>
  </si>
  <si>
    <t>LUIS UY CHIAT ELEMENTARY SCHOOL</t>
  </si>
  <si>
    <t>BARANGAY SUNGGIAM - ILOCOS SUR</t>
  </si>
  <si>
    <t>BARANGAY SAN FRANCISCO, LIPA CITY, BATANGAS</t>
  </si>
  <si>
    <t>PHILIPPINE FIBER INDUSTRY DEVELOPMENT AUTHORITY</t>
  </si>
  <si>
    <t>BARANGAY SAN ISIDRO, PASUQUIN, ILOCOS NORTE</t>
  </si>
  <si>
    <t>BARANGAY 617 ZONE 61</t>
  </si>
  <si>
    <t>NAGA ANGELA ELEMENTARY SCHOOL</t>
  </si>
  <si>
    <t>BARANGAY PUSPUS - SAN FERNANDO CITY, LA UNION</t>
  </si>
  <si>
    <t>MUNICIPALITY OF BIRI, NORTHERN SAMAR</t>
  </si>
  <si>
    <t>BARANGAY SAHUD-ULAN, TANZA CAVITE</t>
  </si>
  <si>
    <t>BARANGAY 26 SALPAD, PASUQUIN, ILOCOS NORTE</t>
  </si>
  <si>
    <t>BARANGAY TIBOLO, STA. CRUZ, DAVAO DEL SUR</t>
  </si>
  <si>
    <t>BARANGAY PAGDARAOAN, SAN FERNANDO CITY, LA UNION</t>
  </si>
  <si>
    <t>BARANGAY 12 PUYUPUYAN, PASUQUIN, ILOCOS NORTE</t>
  </si>
  <si>
    <t>PIG-AWAKAN ELEMENTARY SCHOOL</t>
  </si>
  <si>
    <t>CITY OF TACURONG, SULTAN KUDARAT</t>
  </si>
  <si>
    <t>SK OF  BARANGAY MAGALLANES - MAKATI CITY</t>
  </si>
  <si>
    <t>MUNICIPALITY OF DIMASALANG, MASBATE</t>
  </si>
  <si>
    <t>BARANGAY BALOCAWEHAY, ABUYOG, LEYTE</t>
  </si>
  <si>
    <t>MUNICIPALITY OF BUGASONG, ANTIQUE</t>
  </si>
  <si>
    <t>DEPARTMENT OF PUBLIC WORKS AND HIGHWAYS - SAMAR 2ND DEO</t>
  </si>
  <si>
    <t>BARANGAY DICAYAS DIPOLOG CITY ZAMBOANGA DEL NORTE</t>
  </si>
  <si>
    <t>MUNICIPALITY OF CLAVERIA, MASBATE</t>
  </si>
  <si>
    <t>BARANGAY BINGAY, BORBON, CEBU</t>
  </si>
  <si>
    <t xml:space="preserve">BUREAU OF PLANT INDUSTRY-DAVAO </t>
  </si>
  <si>
    <t>DEPARTMENT OF AGRARIAN REFORM - ZAMBOANGA DEL SUR PO</t>
  </si>
  <si>
    <t>BARANGAY BUCAYAO, CALAPAN, ORIENTAL MINDORO</t>
  </si>
  <si>
    <t>BARANGAY LUMANGBAYAN</t>
  </si>
  <si>
    <t>BARANGAY SAGUA ANINI-Y ANTIQUE</t>
  </si>
  <si>
    <t>MUNICIPALITY OF ABRA DE ILOG, OCCIDENTAL MINDORO</t>
  </si>
  <si>
    <t>BARANGAY MATINA 74-A - MATINA, DAVAO CITY</t>
  </si>
  <si>
    <t>MUNICIPALITY OF STO. TOMAS, DAVAO DEL NORTE</t>
  </si>
  <si>
    <t>MINISTRY OF LABOR AND EMPLOYMENT - COTABATO CITY MAGUINDANAO</t>
  </si>
  <si>
    <t>BARANGAY 14 BINSANG, PASUQUIN, ILOCOS NORTE</t>
  </si>
  <si>
    <t>DEPARTMENT OF EDUCATION - DIVISION OF SIPALAY CITY</t>
  </si>
  <si>
    <t>BARANGAY TAM-IS - MAASIN CITY SOUTHERN LEYTE</t>
  </si>
  <si>
    <t>BARANGAY II - SAN FERNANDO CITY, LA UNION</t>
  </si>
  <si>
    <t>BACOLOR WATER DISTRICT</t>
  </si>
  <si>
    <t>FRANCISCO BANGOY CENTRAL ELEMENTARY SCHOOL SPED CENTER</t>
  </si>
  <si>
    <t>PHIL. INSTITUTE OF TRADITIONAL &amp; ALTERNATIVE HEALTH CARE</t>
  </si>
  <si>
    <t>BARANGAY 7, LIPA CITY, BATANGAS</t>
  </si>
  <si>
    <t>MUNICIPALITY OF DANAO, BOHOL</t>
  </si>
  <si>
    <t>MUNICIPALITY OF ROSARIO, AGUSAN DEL SUR</t>
  </si>
  <si>
    <t>MUNICIPALITY OF AGUILAR, PANGASINAN</t>
  </si>
  <si>
    <t>BALON ELEMENTARY SCHOOL</t>
  </si>
  <si>
    <t>BARANGAY SAN PEDRO II - GUINAYANGAN QUEZON</t>
  </si>
  <si>
    <t>MUNICIPALITY OF PANDI, BULACAN</t>
  </si>
  <si>
    <t>MUNICIPALITY OF CONNER, APAYAO</t>
  </si>
  <si>
    <t>MUNICIPALITY OF ALABEL, SARANGANI PROVINCE</t>
  </si>
  <si>
    <t>BARANGAY WILFREDO AQUINO - DAVAO CITY DAVAO DEL SUR</t>
  </si>
  <si>
    <t>BARANGAY BABUYAN, PUERTO PRINCESA CITY, PALAWAN</t>
  </si>
  <si>
    <t>SUGAR REGULATORY ADMINISTRATION - VISAYAS</t>
  </si>
  <si>
    <t>CEBU TECHNOLOGICAL UNIVERSITY</t>
  </si>
  <si>
    <t>BALINGASAG WATER DISTRICT</t>
  </si>
  <si>
    <t>SANGGUNIANG KABATAAN NG BRGY. F. DE CASTRO</t>
  </si>
  <si>
    <t>BARANGAY GUN-OB - LAPU-LAPU CITY</t>
  </si>
  <si>
    <t>PHILIPPINE NATIONAL POLICE - REGION XI</t>
  </si>
  <si>
    <t>BARANGAY COLOCONTO - SAN JUAN BATANGAS</t>
  </si>
  <si>
    <t>MUNICIPALITY OF VILLAREAL, SAMAR</t>
  </si>
  <si>
    <t>ISABELA STATE UNIVERSITY - ILAGAN CAMPUS</t>
  </si>
  <si>
    <t>BARANGAY TIBANG - SAN ANDRES, CATANDUANES</t>
  </si>
  <si>
    <t>DEPARTMENT OF PUBLIC WORKS AND HIGHWAYS - AGUSAN DEL SUR 2ND</t>
  </si>
  <si>
    <t>MUNICIPALITY OF LABASON, ZAMBOANGA DEL NORTE</t>
  </si>
  <si>
    <t>BARANGAY CALBAYOG, MALILIPOT, ALBAY</t>
  </si>
  <si>
    <t>DEPARTMENT OF TRADE AND INDUSTRY - REGION III  NUEVA ECIJA</t>
  </si>
  <si>
    <t>BARANGAY BALETE, BATANGAS CITY, BATANGAS</t>
  </si>
  <si>
    <t>BARANGAY STA. CRUZ, BALLESTEROS, CAGAYAN</t>
  </si>
  <si>
    <t>BARANGAY BASUG - SANTA ILOCOS SUR</t>
  </si>
  <si>
    <t>BARANGAY MAKILAS, IPIL, ZAMBOANGA SIBUGAY</t>
  </si>
  <si>
    <t>MUNICIPALITY OF SILAGO, SOUTHERN LEYTE</t>
  </si>
  <si>
    <t>BARANGAY CALUNGBOYAN, SANTA, ILOCOS SUR</t>
  </si>
  <si>
    <t>DEPARTMENT OF PUBLIC WORKS AND HIGHWAYS - PAMPANGA 3RD DEO</t>
  </si>
  <si>
    <t>NATIONAL IRRIGATION ADMINISTRATION - DAVAO DEL NORTE IMO</t>
  </si>
  <si>
    <t>MUNICIPALITY OF SAN ROQUE - NORTHERN SAMAR</t>
  </si>
  <si>
    <t>MUNICIPALITY OF BUGUIAS, BENGUET</t>
  </si>
  <si>
    <t>BARANGAY MATANDANG SABANG KANLURAN - CATANAUAN, QUEZON</t>
  </si>
  <si>
    <t>BARANGAY 09 POBLACION, CATBALOGAN CITY</t>
  </si>
  <si>
    <t>MUNICIPALITY OF JULITA, LEYTE</t>
  </si>
  <si>
    <t>BARANGAY PORO - SAN FERNANDO CITY, LA UNION</t>
  </si>
  <si>
    <t>MUNICIPALITY OF SANTOL, LA UNION</t>
  </si>
  <si>
    <t>BARANGAY BEL-AIR, MAKATI CITY</t>
  </si>
  <si>
    <t>BARANGAY LIGPIT BANTAYAN -  GUINAYANGAN QUEZON</t>
  </si>
  <si>
    <t>BARANGAY  PONDANG - DARAM SAMAR</t>
  </si>
  <si>
    <t>NATIONAL POWER CORPORATION - SPUG PALAWAN</t>
  </si>
  <si>
    <t>BARANGAY SOONG - DARAM SAMAR</t>
  </si>
  <si>
    <t>MUNICIPALITY OF TAYUG, PANGASINAN</t>
  </si>
  <si>
    <t>CADIZ EAST ELEMENTARY SCHOOL II</t>
  </si>
  <si>
    <t>DENR-PENRO CAMARINES SUR</t>
  </si>
  <si>
    <t>BARANGAY QUIRINO, TAGUDIN, ILOCOS SUR</t>
  </si>
  <si>
    <t>BARANGAY ZONE 6, LIBON, ALBAY</t>
  </si>
  <si>
    <t>MUNICIPALITY OF LUPI, CAMARINES SUR</t>
  </si>
  <si>
    <t>BARANGAY KALANDAGAN, TACURONG, SULTAN KUDARAT</t>
  </si>
  <si>
    <t>BARANGAY PALOLA, LUCBAN, QUEZON</t>
  </si>
  <si>
    <t>MUNICIPALITY OF CANDONI, NEGROS OCCIDENTAL</t>
  </si>
  <si>
    <t>MUNICIPALITY OF MANKAYAN, BENGUET</t>
  </si>
  <si>
    <t>BARANGAY 667 ZONE 72 DISTRICT V, MANILA</t>
  </si>
  <si>
    <t>BARANGAY NARANGASAN, MILAGROS, MASBATE</t>
  </si>
  <si>
    <t>BARANGAY BUGTONG KAWAYAN - BARILI CEBU</t>
  </si>
  <si>
    <t>PAARALANG ELEMENTARYA NG TIMOG SILAY</t>
  </si>
  <si>
    <t>MUNICIPALITY OF TAMBULIG, ZAMBOANGA DEL SUR</t>
  </si>
  <si>
    <t>BARANGAY OLYMPIA - MAKATI CITY</t>
  </si>
  <si>
    <t>MUNICIPALITY OF LIBON, ALBAY</t>
  </si>
  <si>
    <t>LIGAO CITY WATER DISTRICT</t>
  </si>
  <si>
    <t>BARANGAY SAN ROQUE, STO. TOMAS, BATANGAS</t>
  </si>
  <si>
    <t>MINDANAO STATE UNIVERSITY - MARAWI CITY</t>
  </si>
  <si>
    <t>SULTAN KUDARAT WATER DISTRICT</t>
  </si>
  <si>
    <t>BARANGAY POBLACION, BOSTON, DAVAO ORIENTAL</t>
  </si>
  <si>
    <t>BARANGAY ANUS, SAN JOSE, BATANGAS</t>
  </si>
  <si>
    <t>ASSOCIATION OF BARANGAY COUNCIL, IBAAN, BATANGAS CHAPTER</t>
  </si>
  <si>
    <t>DEPARTMENT OF EDUCATION - DIVISION OF BATAC CITY</t>
  </si>
  <si>
    <t>BARANGAY HIMBUBULO ESTE GUINAYANGAN QUEZON</t>
  </si>
  <si>
    <t>MUNICIPALITY OF MABINI, PANGASINAN</t>
  </si>
  <si>
    <t>MUNICIPALITY OF CARAMORAN, CATANDUANES</t>
  </si>
  <si>
    <t>BARANGAY BATI-AWAN, TAFT EASTERN SAMAR</t>
  </si>
  <si>
    <t>BARANGAY INGORE, LAPAZ, ILOILO CITY</t>
  </si>
  <si>
    <t>DIPOLOG CITY WATER DISTRICT</t>
  </si>
  <si>
    <t>BARANGAY SAN AGUSTIN, BAUAN, BATANGAS</t>
  </si>
  <si>
    <t>MUNICIPALITY OF LALA,  LANAO DEL NORTE</t>
  </si>
  <si>
    <t>BARANGAY 217, ZONE 20, DISTRICT 2, MANILA</t>
  </si>
  <si>
    <t>PHILIPPINE NATIONAL POLICE - POLICE REGIONAL OFFICE 2</t>
  </si>
  <si>
    <t>NATIONAL IRRIGATION ADMINISTRATION - REGION VI</t>
  </si>
  <si>
    <t>BARANGAY DATU TUMANGGONG - TUNGAWAN ZAMBOANGA SIBUGAY</t>
  </si>
  <si>
    <t>DEPARTMENT OF PUBLIC WORKS AND HIGHWAYS - TARLAC 2ND-DEO</t>
  </si>
  <si>
    <t>MUNICIPALITY OF GUIMBA, NUEVA ECIJA</t>
  </si>
  <si>
    <t>BARANGAY CLAUDIO, CASTILLA, EL-98 -JARO ILOILO</t>
  </si>
  <si>
    <t>MUNICIPALITY OF COMPOSTELA, CEBU</t>
  </si>
  <si>
    <t>CADIZ VIEJO NATIONAL HIGH SCHOOL</t>
  </si>
  <si>
    <t>MUNICIPALITY OF TUKURAN, ZAMBOANGA DEL SUR</t>
  </si>
  <si>
    <t>BARANGAY LIBERTAD-STA. ISABEL,  JARO, ILOILO CITY</t>
  </si>
  <si>
    <t>BARANGAY TABON-TABON, SIBAGAT, AGUSAN DEL SUR</t>
  </si>
  <si>
    <t>MUNICIPALITY OF GUINSILIBAN, CAMIGUIN</t>
  </si>
  <si>
    <t>TORRIJOS POBLACION SCHOOL OF ARTS AND TRADES - TESDA</t>
  </si>
  <si>
    <t>PAGADIAN WATER DISTRICT</t>
  </si>
  <si>
    <t>BARANGAY ARINGIT - PASTRANA LEYTE</t>
  </si>
  <si>
    <t>MUNICIPALITY OF STA. JOSEFA, AGUSAN DEL SUR</t>
  </si>
  <si>
    <t>BARANGAY CANSUAGUIT, LOON, BOHOL</t>
  </si>
  <si>
    <t>BARANGAY NUEVA VIDA, LOON, BOHOL</t>
  </si>
  <si>
    <t>DEPARTMENT OF PUBLIC WORKS AND HIGHWAYS - ISABELA 3RD DEO</t>
  </si>
  <si>
    <t>OSPITAL NG PALAWAN</t>
  </si>
  <si>
    <t>MUNICIPALITY OF DINAGAT, DINAGAT ISLANDS</t>
  </si>
  <si>
    <t>MUNICIPALITY OF AGUINALDO, IFUGAO</t>
  </si>
  <si>
    <t>BARANGAY MASAO - TUNGAWAN ZAMBOANGA SIBUGAY</t>
  </si>
  <si>
    <t>BARANGAY SALINGOGON - MINALABAC, CAMARINES SUR</t>
  </si>
  <si>
    <t>BARANGAY COMUNAL, CALAPAN CITY, ORIENTAL MINDORO</t>
  </si>
  <si>
    <t>BAGONG TANYAG ELEMENTARY SCHOOL</t>
  </si>
  <si>
    <t>CEBU NORMAL UNIVERSITY</t>
  </si>
  <si>
    <t>WESTERN MINDANAO STATE UNIVERSITY</t>
  </si>
  <si>
    <t>DEPARTMENT OF PUBLIC WORKS AND HIGHWAYS - QUEZON CITY 2ND ED</t>
  </si>
  <si>
    <t>LOBO WATER DISTRICT</t>
  </si>
  <si>
    <t>BARANGAY REMEDIOS - DANAO BOHOL</t>
  </si>
  <si>
    <t>DEPARTMENT OF PUBLIC WORKS AND HIGHWAYS - RIZAL II DEO</t>
  </si>
  <si>
    <t>BARANGAY LANAUAN - PASTRANA LEYTE</t>
  </si>
  <si>
    <t>BARANGAY LANAG, LEON, ILOILO</t>
  </si>
  <si>
    <t>MUNICIPALITY OF ALAMADA, COTABATO</t>
  </si>
  <si>
    <t>BARANGAY BANICE, BANTON, ROMBLON</t>
  </si>
  <si>
    <t>CITY OF TANGUB</t>
  </si>
  <si>
    <t>BARANGAY AMBAGO, BUTUAN CITY</t>
  </si>
  <si>
    <t>BARANGAY DISTRICT III - PASTRANA, LEYTE</t>
  </si>
  <si>
    <t>BARANGAY  BAGTIC - SILAY CITY</t>
  </si>
  <si>
    <t>MUNICIPALITY OF PIAT, CAGAYAN</t>
  </si>
  <si>
    <t>MUNICIPALITY OF DAMULOG, BUKIDNON</t>
  </si>
  <si>
    <t>PROVINCE OF PANGASINAN</t>
  </si>
  <si>
    <t>MATI WATER DISTRICT</t>
  </si>
  <si>
    <t>WESTERN VISAYAS SANITARIUM - DOH</t>
  </si>
  <si>
    <t>BARANGAY 594, ZONE 59, DISTRICT VI, MANILA</t>
  </si>
  <si>
    <t>MUNICIPALITY OF IVISAN, CAPIZ</t>
  </si>
  <si>
    <t>MUNICIPALITY OF LUNA, ISABELA</t>
  </si>
  <si>
    <t>BARANGAY OTSO - MAMBURAO OCCIDENTAL MINDORO</t>
  </si>
  <si>
    <t>MUNICIPALITY OF MALINAO, AKLAN</t>
  </si>
  <si>
    <t>BARANGAY TABING DAGAT, ODIONGAN, ROMBLON</t>
  </si>
  <si>
    <t>NATIONAL IRRIGATION ADMINISTRATION - REGION IV-B</t>
  </si>
  <si>
    <t>BARANGAY TALAYONG BADIAN CEBU</t>
  </si>
  <si>
    <t>MUNICIPALITY OF ALIMODIAN, ILOILO</t>
  </si>
  <si>
    <t>MUNICIPALITY OF VINZONS, CAMARINES NORTE</t>
  </si>
  <si>
    <t>SICABA NATIONAL HIGH SCHOOL</t>
  </si>
  <si>
    <t>MUNICIPALITY OF PILAR, ABRA</t>
  </si>
  <si>
    <t>MUNICIPALITY OF BORBON, CEBU</t>
  </si>
  <si>
    <t>MUNICIPALITY OF ITOGON, BENGUET</t>
  </si>
  <si>
    <t>BARANGAY PINAGKAISAHAN, MAKATI CITY</t>
  </si>
  <si>
    <t>BARANGAY MOMBON - PALAPAG NORTHERN SAMAR</t>
  </si>
  <si>
    <t>BARANGAY UPPER BAGONG TUDELA, JOSEFINA, ZAMBOANGA DEL SUR</t>
  </si>
  <si>
    <t>ENERGY REGULATORY COMMISSION</t>
  </si>
  <si>
    <t>DEPARTMENT OF PUBLIC WORKS AND HIGHWAYS - LEYTE 3RD DEO</t>
  </si>
  <si>
    <t>BARANGAY MACABUG, AROROY, MASBATE</t>
  </si>
  <si>
    <t>MUNICIPALITY OF PANTUKAN, COMPOSTELA VALLEY</t>
  </si>
  <si>
    <t>BARANGAY NORTE, DON CARLOS, BUKIDNON</t>
  </si>
  <si>
    <t>BOHOL ISLAND STATE UNIVERSITY - MAIN CAMPUS</t>
  </si>
  <si>
    <t>DUNGGOAN ELEMENTARY SCHOOL - DANAO CITY CEBU</t>
  </si>
  <si>
    <t>BARANGAY AGBATUAN, ANILAO,ILOILO</t>
  </si>
  <si>
    <t>MUNICIPALITY OF LEON, ILOILO</t>
  </si>
  <si>
    <t>BARANGAY ALANGILAN, BATANGAS CITY, BATANGAS</t>
  </si>
  <si>
    <t>BARANGAY CROSSING - SAN ISIDRO LEYTE</t>
  </si>
  <si>
    <t>BARANGAY POBLACION - SAN JOAQUIN, ILOILO</t>
  </si>
  <si>
    <t>SAMPAGUITA HIGH SCHOOL (JUNIOR)</t>
  </si>
  <si>
    <t>DEPARTMENT OF ENVIRONMENT AND NATURAL RES. - PENRO S. KUDARA</t>
  </si>
  <si>
    <t>BARANGAY 39 - JASMIN CAVITE CITY CAVITE</t>
  </si>
  <si>
    <t>BARANGAY PANUNGYAN II</t>
  </si>
  <si>
    <t>MUNICIPALITY OF PIGCAWAYAN, COTABATO</t>
  </si>
  <si>
    <t>DEPARTMENT OF EDUCATION - DIVISION OF MASBATE CITY</t>
  </si>
  <si>
    <t>MUNICIPALITY OF BALIWAG, BULACAN</t>
  </si>
  <si>
    <t>MUNICIPALITY OF SAN JUAN, BATANGAS</t>
  </si>
  <si>
    <t>WEST VISAYAS STATE UNIVERSITY MEDICAL CENTER - REGION VI</t>
  </si>
  <si>
    <t>MUNICIPALITY OF TIAONG, QUEZON</t>
  </si>
  <si>
    <t>METRO ILOILO WATER DISTRICT</t>
  </si>
  <si>
    <t>BARANGAY CARROMATA, SAN MIGUEL, SURIGAO DEL SUR</t>
  </si>
  <si>
    <t>MUNICIPALITY OF BUENAVISTA, AGUSAN DEL NORTE</t>
  </si>
  <si>
    <t>PROVINCE OF ANTIQUE</t>
  </si>
  <si>
    <t>BUREAU OF INTERNAL REVENUE - REVENUE REGION NO. 9B-LAQUEMAR</t>
  </si>
  <si>
    <t>BARANGAY 3-A POBLACION - DAVAO CITY, DAVAO DEL SUR</t>
  </si>
  <si>
    <t>MUNICIPALITY OF SANTA FE, ROMBLON</t>
  </si>
  <si>
    <t>BARANGAY BITADTON SUR - CULASI ANTIQUE</t>
  </si>
  <si>
    <t>MUNICIPALITY OF LAGAWE, IFUGAO</t>
  </si>
  <si>
    <t>BANGKO SENTRAL NG PILIPINAS - BUTUAN BRANCH</t>
  </si>
  <si>
    <t>BARANGAY PIIS, LUCBAN, QUEZON</t>
  </si>
  <si>
    <t>CALAMBA WATER DISTRICT</t>
  </si>
  <si>
    <t>DEPARTMENT OF EDUCATION - DIVISION OF CAMARINES SUR</t>
  </si>
  <si>
    <t>BARANGAY ATOTES - BINDOY NEGROS ORIENTAL</t>
  </si>
  <si>
    <t>MUNICIPALITY OF LIBUNGAN, COTABATO</t>
  </si>
  <si>
    <t>BARANGAY MALUBIBIT NORTE FLORA APAYAO</t>
  </si>
  <si>
    <t>BARANGAY STO. NIÑO 1ST, SAN JOSE CITY, NUEVA ECIJA</t>
  </si>
  <si>
    <t>MUNICIPALITY OF IMPASUGONG, BUKIDNON</t>
  </si>
  <si>
    <t>BARANGAY DAANGHARI, NAVOTAS CITY</t>
  </si>
  <si>
    <t>MUNICIPALITY OF BATAN, AKLAN</t>
  </si>
  <si>
    <t>JOSE RIZAL MEMORIAL STATE UNIVERSITY - SIOCON CAMPUS</t>
  </si>
  <si>
    <t>BARANGAY TIGBAO, AROROY, MASBATE</t>
  </si>
  <si>
    <t>MUNICIPALITY OF ZAMBOANGUITA, NEGROS ORIENTAL</t>
  </si>
  <si>
    <t>MUNICIPALITY OF LOS BAÑOS, LAGUNA</t>
  </si>
  <si>
    <t>TALAVERA GENERAL HOSPITAL</t>
  </si>
  <si>
    <t>BUREAU OF JAIL MANAGEMENT AND PENOLOGY XI</t>
  </si>
  <si>
    <t>MUNICIPALITY OF LANUZA, SURIGAO DEL SUR</t>
  </si>
  <si>
    <t>MUNICIPALITY OF ADAMS, ILOCOS NORTE</t>
  </si>
  <si>
    <t>CITY OF TALISAY, NEGROS OCCIDENTAL</t>
  </si>
  <si>
    <t>BARANGAY MAYAO PARADA, LUCENA CITY</t>
  </si>
  <si>
    <t>PROVINCE OF DAVAO DEL NORTE</t>
  </si>
  <si>
    <t>MUNICIPALITY OF SAN ISIDRO, BOHOL</t>
  </si>
  <si>
    <t>BARANGAY CALAMIGAN, CONCEPCION, ILOILO</t>
  </si>
  <si>
    <t>MINES AND GEO-SCIENCES BUREAU</t>
  </si>
  <si>
    <t>BARANGAY POBLACION - STO. NIÑO SOUTH COTABATO</t>
  </si>
  <si>
    <t>DEPARTMENT OF PUBLIC WORKS AND HIGHWAYS - CEBU 1ST DEO</t>
  </si>
  <si>
    <t>UNIVERSITY OF SOUTHEASTERN PHIL.  - TAGUM MABINI CAMPUS</t>
  </si>
  <si>
    <t>CITY OF MASBATE, MASBATE</t>
  </si>
  <si>
    <t>LIANGA WATER DISTRICT</t>
  </si>
  <si>
    <t>MUNICIPALITY OF CATEEL, DAVAO ORIENTAL</t>
  </si>
  <si>
    <t>FOOD AND DRUG ADMINISTRATION</t>
  </si>
  <si>
    <t>BARANGAY CARMEN, JIMENEZ, MISAMIS OCCIDENTAL</t>
  </si>
  <si>
    <t>MUNICIPALITY OF MAYOYAO, IFUGAO</t>
  </si>
  <si>
    <t>VILLACIN NATIONAL HIGH SCHOOL (JUNIOR HIGH)</t>
  </si>
  <si>
    <t>MUNICIPALITY OF MANAOAG, PANGASINAN</t>
  </si>
  <si>
    <t>BARANGAY SANTIAGO SANCHEZ MIRA CAGAYAN</t>
  </si>
  <si>
    <t>MUNICIPALITY OF TUPI, SOUTH COTABATO</t>
  </si>
  <si>
    <t>MUNICIPALITY OF PANUKULAN, QUEZON</t>
  </si>
  <si>
    <t>MUNICIPALITY OF LIBJO, DINAGAT ISLANDS</t>
  </si>
  <si>
    <t>LOCAL GOVERNMENT UNIT-MULANAY, QUEZON</t>
  </si>
  <si>
    <t>MINDANAO STATE UNIVERSITY - GENERAL SANTOS CITY CAMPUS</t>
  </si>
  <si>
    <t>DEPARTMENT OF PUBLIC WORKS AND HIGHWAYS - CEBU 3RD DEO</t>
  </si>
  <si>
    <t>BARANGAY SAN ISIDRO - GALAS, QUEZON CITY</t>
  </si>
  <si>
    <t>BARANGAY BAYABAS AURORA ZAMBOANGA DEL SUR</t>
  </si>
  <si>
    <t>DEPARTMENT OF PUBLIC WORKS AND HIGHWAYS - CAMARINES NORTE ED</t>
  </si>
  <si>
    <t>WANGAN ELEMENTARY SCHOOL</t>
  </si>
  <si>
    <t>BARANGAY MASAPANG, VICTORIA, LAGUNA</t>
  </si>
  <si>
    <t>RAMON M. DURANO SR. MEMORIAL NATIONAL HIGH SCHOOL - DANAO CI</t>
  </si>
  <si>
    <t>MUNICIPALITY OF BENITO SOLIVEN, ISABELA</t>
  </si>
  <si>
    <t>MUNICIPALITY OF AGDANGAN, QUEZON</t>
  </si>
  <si>
    <t>BARANGAY MAYAPYAP SUR, CABANATUAN CITY ,NUEVA ECIJA</t>
  </si>
  <si>
    <t>BARANGAY MAGSAYSAY - PATNONGON ANTIQUE</t>
  </si>
  <si>
    <t>MUNICIPALITY OF ARINGAY, LA UNION</t>
  </si>
  <si>
    <t>AGRICULTURAL TRAINING INSTITUTE - REGION III</t>
  </si>
  <si>
    <t>BASES CONVERSION AND DEVELOPMENT AUTHORITY - MAIN</t>
  </si>
  <si>
    <t>ALIMATOC ELEMENTARY SCHOOL</t>
  </si>
  <si>
    <t>DEPARTMENT OF PUBLIC WORKS AND HIGHWAYS - PALAWAN 2ND DEO</t>
  </si>
  <si>
    <t>AKLAN STATE UNIVERSITY - KALIBO CAMPUS</t>
  </si>
  <si>
    <t>DEPARTMENT OF EDUCATION - DIVISION OF BUKIDNON</t>
  </si>
  <si>
    <t>SUBIC BAY METROPOLITAN AUTHORITY</t>
  </si>
  <si>
    <t>MUNICIPALITY OF AMADEO, CAVITE</t>
  </si>
  <si>
    <t>BARANGAY POBLACION NORTE - SIGMA CAPIZ</t>
  </si>
  <si>
    <t>BARANGAY LOWER BICUTAN, TAGUIG CITY</t>
  </si>
  <si>
    <t>BARANGAY CRESENCIA VILLAGE, BENGUET, BAGUIO CITY</t>
  </si>
  <si>
    <t>DUALE ELEMENTARY SCHOOL - LIMAY BATAAN</t>
  </si>
  <si>
    <t>MUNICIPALITY OF SAN NICOLAS, BATANGAS</t>
  </si>
  <si>
    <t>PHILIPPINE NATIONAL POLICE - INTELLIGENCE GROUP</t>
  </si>
  <si>
    <t>CITY OF VICTORIAS, NEGROS OCCIDENTAL</t>
  </si>
  <si>
    <t>BARANGAY COGON - KAPUTIAN</t>
  </si>
  <si>
    <t>CITY OF TOLEDO, CEBU</t>
  </si>
  <si>
    <t>BARANGAY PISAAN - SAN FRANCISCO AGUSAN DEL SUR</t>
  </si>
  <si>
    <t>BARANGAY STA. FE, ABUYOG, LEYTE</t>
  </si>
  <si>
    <t>MUNICIPALITY OF QUEZON, QUEZON</t>
  </si>
  <si>
    <t>CAPT. H. FRANCISCO ELEMENTARY SCHOOL (MAIN) PATEROS</t>
  </si>
  <si>
    <t>GHQ BAC1 SECRETARIAT, AFP PROCUREMENT SERVICE</t>
  </si>
  <si>
    <t>MUNICIPALITY OF ALUBIJID, MISAMIS ORIENTAL</t>
  </si>
  <si>
    <t>BARANGAY PALMA GIL, TALAINGOD, DAVAO DEL NORTE</t>
  </si>
  <si>
    <t>BARANGAY APALIT, FLORIDABLANCA, PAMPANGA</t>
  </si>
  <si>
    <t>BARANGAY BIBINCAHAN, SORSOGON CITY</t>
  </si>
  <si>
    <t>MUNICIPALITY OF MADRID ,  SURIGAO DEL SUR</t>
  </si>
  <si>
    <t>MUNICIPALITY OF SAN ILDEFONSO, BULACAN</t>
  </si>
  <si>
    <t>BARANGAY DEMAPACO - LIBUNGAN COTABATO</t>
  </si>
  <si>
    <t>BARANGAY 1 MAON, BUTUAN CITY</t>
  </si>
  <si>
    <t>PROVINCE OF NORTHERN SAMAR</t>
  </si>
  <si>
    <t>MUNICIPALITY OF JOSE PANGANIBAN, CAMARINES NORTE</t>
  </si>
  <si>
    <t>BARANGAY UGAC SUR - UGAC SUR TUGUEGARAO CITY</t>
  </si>
  <si>
    <t>MUNICIPALITY OF JONES, ISABELA</t>
  </si>
  <si>
    <t>MUNICIPALITY OF SAN MIGUEL, BOHOL</t>
  </si>
  <si>
    <t>MUNICIPALITY OF QUINAPONDAN, EASTERN SAMAR</t>
  </si>
  <si>
    <t>BUENAVISTA WATER DISTRICT - GUIMARAS</t>
  </si>
  <si>
    <t>BARANGAY TANZA 2 - NAVOTAS CITY</t>
  </si>
  <si>
    <t>BARANGAY MOMBON - ZUMARRAGA SAMAR</t>
  </si>
  <si>
    <t>TANGALAN NATIONAL HIGH SCHOOL</t>
  </si>
  <si>
    <t>MUNICIPALITY OF MACALELON, QUEZON</t>
  </si>
  <si>
    <t>BARANGAY CAGLAYAG, CARRASCAL, SURIGAO DEL SUR</t>
  </si>
  <si>
    <t>DEPARTMENT OF PUBLIC WORKS AND HIGHWAYS - LOWER KALINGA DEO</t>
  </si>
  <si>
    <t>LIGA NG MGA BARANGAY, BANSALAN, DAVAO DEL SUR</t>
  </si>
  <si>
    <t>MAGALLANES ELEMENTARY SCHOOL</t>
  </si>
  <si>
    <t>MUNICIPALITY OF PATNOÑGON, ANTIQUE</t>
  </si>
  <si>
    <t>BARANGAY CAPURICTAN, SOLSONA, ILOCOS NORTE</t>
  </si>
  <si>
    <t>BARANGAY ILVITA, SABLAYAN, OCCIDENTAL MINDORO</t>
  </si>
  <si>
    <t>MUNICIPALITY OF DON VICTORIANO CHIONGBIAN, MIS. OCCIDENTAL</t>
  </si>
  <si>
    <t>DEPARTMENT OF PUBLIC WORKS AND HIGHWAYS - CAMIGUIN DEO</t>
  </si>
  <si>
    <t>BARANGAY DON MANUEL - QUEZON CITY</t>
  </si>
  <si>
    <t>BARANGAY MAPULO - TAYSAN, BATANGAS</t>
  </si>
  <si>
    <t xml:space="preserve">DEPARTMENT OF EDUCATION, DIVISION OF DAVAO DEL SUR </t>
  </si>
  <si>
    <t>MUNICIPALITY OF SAN TEODORO, ORIENTAL MINDORO</t>
  </si>
  <si>
    <t>BARANGAY CANAMUCAN, COMPOSTELA, CEBU</t>
  </si>
  <si>
    <t>ILOILO SCIENCE AND TECHNOLOGY UNIVERSITY BN CAMPUS</t>
  </si>
  <si>
    <t>MUNICIPALITY OF KIBUNGAN, BENGUET</t>
  </si>
  <si>
    <t>MUNICIPALITY OF ANINI-Y, ANTIQUE</t>
  </si>
  <si>
    <t>CADIZ WEST I ELEMENTARY SCHOOL</t>
  </si>
  <si>
    <t>CARLOS HILADO MEMORIAL STATE COLLEGE</t>
  </si>
  <si>
    <t>DAVAO REGIONAL MEDICAL CENTER</t>
  </si>
  <si>
    <t>SOUTHERN LUZON STATE UNIVERSITY</t>
  </si>
  <si>
    <t>BOHOL ISLAND STATE UNIVERSITY - CALAPE</t>
  </si>
  <si>
    <t>MUNICIPALITY OF VINCENZO SAGUN, ZAMBOANGA DEL SUR</t>
  </si>
  <si>
    <t>MUNICIPALITY OF BURGOS, ILOCOS SUR</t>
  </si>
  <si>
    <t>BUSCO ELEMENTARY SCHOOL</t>
  </si>
  <si>
    <t>DEPARTMENT OF PUBLIC WORKS AND HIGHWAYS - SAMAR 1ST DEO</t>
  </si>
  <si>
    <t>BARANGAY STO.ROSARIO,ANILAO,ILOILO</t>
  </si>
  <si>
    <t>BARANGAY NATO, ANINI-Y, ANTIQUE</t>
  </si>
  <si>
    <t>MUNICIPALITY OF CORTES, SURIGAO DEL SUR</t>
  </si>
  <si>
    <t>MUNICIPALITY OF VILLABA, LEYTE</t>
  </si>
  <si>
    <t>MUNICIPALITY OF HINIGARAN, NEGROS OCCIDENTAL</t>
  </si>
  <si>
    <t>BARANGAY APITONG - NAUJAN, ORIENTAL MINDORO</t>
  </si>
  <si>
    <t>MUNICIPALITY OF INFANTA, QUEZON</t>
  </si>
  <si>
    <t>MUNICIPALITY OF JAGNA, BOHOL</t>
  </si>
  <si>
    <t>MUNICIPALITY OF SAN FRANCISCO, QUEZON</t>
  </si>
  <si>
    <t>MUNICIPALITY OF SOGOD, CEBU</t>
  </si>
  <si>
    <t>BARANGAY SAN CARLOS,ANILAO,ILOILO</t>
  </si>
  <si>
    <t>METRO KALIBO WATER DISTRICT</t>
  </si>
  <si>
    <t>DEPARTMENT OF PUBLIC WORKS AND HIGHWAYS - DAVAO ORIENTAL 1ST</t>
  </si>
  <si>
    <t>LUNUCAN ELEMENTARY SCHOOL - MANOLO FORTICH BUKIDNON</t>
  </si>
  <si>
    <t>DEPARTMENT OF PUBLIC WORKS AND HIGHWAYS - TARLAC 1ST DEO</t>
  </si>
  <si>
    <t>DEPARTMENT OF PUBLIC WORKS AND HIGHWAYS - CAGAYAN DE ORO CIT</t>
  </si>
  <si>
    <t>BARANGAY GUIBUANGAN - POTOTAN, ILOILO</t>
  </si>
  <si>
    <t>DEPARTMENT OF PUBLIC WORKS AND HIGHWAYS - PANGASINAN 2ND</t>
  </si>
  <si>
    <t>BARANGAY TAGUSTUSAN, BALILIHAN, BOHOL</t>
  </si>
  <si>
    <t>DEPARTMENT OF AGRARIAN REFORM - NORTHERN SAMAR</t>
  </si>
  <si>
    <t>MUNICIPALITY OF SANTA IGNACIA, TARLAC</t>
  </si>
  <si>
    <t>PILI NATIONAL HIGH SCHOOL</t>
  </si>
  <si>
    <t>BARANGAY ABELLA NAGA CITY CAMARINES SUR</t>
  </si>
  <si>
    <t>DEPARTMENT OF PUBLIC WORKS AND HIGHWAYS - BATANGAS IV DEO</t>
  </si>
  <si>
    <t>UNIVERSITY OF THE PHILIPPINES - MINDANAO</t>
  </si>
  <si>
    <t>BARANGAY ANTONGALON, BUTUAN CITY</t>
  </si>
  <si>
    <t>BARANGAY CAHAGUIKICAN, POTOTAN, ILOILO</t>
  </si>
  <si>
    <t>BARANGAY MURITULA, SAN LUIS, AGUSAN DEL SUR</t>
  </si>
  <si>
    <t>BARANGAY MALIMATOC 1, MABINI, BATANGAS</t>
  </si>
  <si>
    <t>POLOMOLOK WATER DISTRICT</t>
  </si>
  <si>
    <t>BARANGAY CASALSAGAN, POTOTAN, ILOILO</t>
  </si>
  <si>
    <t>DEPARTMENT OF AGRARIAN REFORM - NEGROS ORIENTAL PROV'L OFF.</t>
  </si>
  <si>
    <t>MUNICIPALITY OF SAN VICENTE, PALAWAN</t>
  </si>
  <si>
    <t>MUNICIPALITY OF TUBA, BENGUET</t>
  </si>
  <si>
    <t>DEPARTMENT OF AGRARIAN REFORM - EASTERN SAMAR</t>
  </si>
  <si>
    <t>MUNICIPALITY OF MALABUYOC, CEBU</t>
  </si>
  <si>
    <t>DEPARTMENT OF PUBLIC WORKS AND HIGHWAYS - LAGUNA 1ST ED</t>
  </si>
  <si>
    <t>MUNICIPALITY OF SINAIT, ILOCOS SUR</t>
  </si>
  <si>
    <t>MUNICIPALITY OF TRINIDAD, BOHOL</t>
  </si>
  <si>
    <t>BARANGAY BALUCANAD, CAPOOCAN, LEYTE</t>
  </si>
  <si>
    <t>MUNICIPALITY OF MARAMAG, BUKIDNON</t>
  </si>
  <si>
    <t>BARANGAY A. BONIFACIO SUR, LLANERA, NUEVA ECIJA</t>
  </si>
  <si>
    <t>MUNICIPALITY OF LIDLIDDA, ILOCOS SUR</t>
  </si>
  <si>
    <t>CITY OF OLONGAPO, ZAMBALES</t>
  </si>
  <si>
    <t>DEPARTMENT OF ENERGY - MAIN</t>
  </si>
  <si>
    <t>BARANGAY  PANAMOREN - LAAK COMPOSTELA VALLEY</t>
  </si>
  <si>
    <t>DEPARTMENT OF PUBLIC WORKS AND HIGHWAYS - BENGUET 2ND DEO</t>
  </si>
  <si>
    <t>MUNICIPALITY OF MALANGAS, ZAMBOANGA SIBUGAY</t>
  </si>
  <si>
    <t>CITY OF CABUYAO, LAGUNA</t>
  </si>
  <si>
    <t>DEPARTMENT OF AGRICULTURE - REGION IV-B (MIMAROPA)</t>
  </si>
  <si>
    <t>DEPARTMENT OF PUBLIC WORKS AND HIGHWAYS - NEGROS ORIENTAL 1S</t>
  </si>
  <si>
    <t>CARCAR CENTRAL NATIONAL HIGH SCHOOL - CARCAR CEBU</t>
  </si>
  <si>
    <t>BARANGAY NEW LOWER BICUTAN, TAGUIG CITY</t>
  </si>
  <si>
    <t>MUNICIPALITY OF PILAR, SURIGAO DEL NORTE</t>
  </si>
  <si>
    <t>BANGKO SENTRAL NG PILIPINAS - GEN. SANTOS BRANCH</t>
  </si>
  <si>
    <t>MUNICIPALITY OF BANSALAN, DAVAO DEL SUR</t>
  </si>
  <si>
    <t>BARANGAY BATUG, MACARTHUR, LEYTE</t>
  </si>
  <si>
    <t>PHILIPPINE NATIONAL POLICE - CRIME LABORATORY</t>
  </si>
  <si>
    <t>MUNICIPALITY OF GIPORLOS, EASTERN SAMAR</t>
  </si>
  <si>
    <t>BARANGAY TAYAMAAN - MAMBURAO, OCCIDENTAL MINDORO</t>
  </si>
  <si>
    <t>BARANGAY POBLACION - BANATE ILOILO</t>
  </si>
  <si>
    <t>MUNICIPALITY OF SILVINO LOBOS, NORTHERN SAMAR</t>
  </si>
  <si>
    <t>DEPARTMENT OF PUBLIC WORKS AND HIGHWAYS - COTABATO SUB-DEO</t>
  </si>
  <si>
    <t>BARANGAY AMAMBUCALE - MARABUT SAMAR</t>
  </si>
  <si>
    <t>NATIVIDAD HIGH SCHOOL</t>
  </si>
  <si>
    <t>BARANGAY MANGA - TAGBILARAN CITY</t>
  </si>
  <si>
    <t>PHILIPPINE CARABAO CENTER - REGION III</t>
  </si>
  <si>
    <t>BARANGAY KATIPUNAN, KAPALONG, DAVAO DEL NORTE</t>
  </si>
  <si>
    <t>MUNICIPALITY OF RIZAL, CAGAYAN</t>
  </si>
  <si>
    <t>MUNICIPALITY OF FLORIDABLANCA, PAMPANGA</t>
  </si>
  <si>
    <t>MUNICIPALITY OF DAGUIOMAN, ABRA</t>
  </si>
  <si>
    <t>MUNICIPALITY OF BAMBANG, NUEVA VIZCAYA</t>
  </si>
  <si>
    <t>MUNICIPALITY OF PASIL, KALINGA</t>
  </si>
  <si>
    <t>BARANGAY SUMALILI - ARAKAN COTABATO</t>
  </si>
  <si>
    <t xml:space="preserve">DEPARTMENT OF PUBLIC WORKS AND HIGHWAYS - CAMARINES SUR 1ST </t>
  </si>
  <si>
    <t>MUNICIPALITY OF GUIGUINTO, BULACAN</t>
  </si>
  <si>
    <t>DEPARTMENT OF PUBLIC  WORKS AND HIGHWAYS - APAYAO 2ND DEO</t>
  </si>
  <si>
    <t>DEPARTMENT OF AGRARIAN REFORM - PANGASINAN PROVINCIAL OFFICE</t>
  </si>
  <si>
    <t>CNHS-ANDRES BONIFACIO EXTENSION HIGH SCHOOL - CADIZ CITY NEG</t>
  </si>
  <si>
    <t>BARANGAY HOLY REDEEMER, BUTUAN CITY</t>
  </si>
  <si>
    <t>MUNICIPALITY OF MUTIA, ZAMBOANGA DEL NORTE</t>
  </si>
  <si>
    <t>PHILIPPINE STATISTICS AUTHORITY - REGION II</t>
  </si>
  <si>
    <t>BUREAU OF INTERNAL REVENUE, REVENUE REGION NO. 7B EAST NCR</t>
  </si>
  <si>
    <t>BARANGAY TALADONG - CAMALIG, ALBAY</t>
  </si>
  <si>
    <t>BARANGAY MABUHAY, KADINGILAN, BUKIDNON</t>
  </si>
  <si>
    <t>CITY OF MAASIN, SOUTHERN LEYTE</t>
  </si>
  <si>
    <t>BARANGAY GILOTONGAN, CAWAYAN, MASBATE</t>
  </si>
  <si>
    <t>MUNICIPALITY OF SAN AGUSTIN , SURIGAO DEL SUR</t>
  </si>
  <si>
    <t>MUNICIPALITY OF REMEDIOS T. ROMUALDEZ, AGUSAN DEL NORTE</t>
  </si>
  <si>
    <t>MUNICIPALITY OF PANDAN , CATANDUANES</t>
  </si>
  <si>
    <t>BARANGAY LIBAS TANTANGAN SOUTH COTABATO</t>
  </si>
  <si>
    <t>MUNICIPALITY OF BOLJOON, CEBU</t>
  </si>
  <si>
    <t>MUNICIPALITY OF ZUMARRAGA, SAMAR</t>
  </si>
  <si>
    <t>BARANGAY CADINGLIAN, OTON, ILOILO</t>
  </si>
  <si>
    <t>NATIONAL COMMISSION ON INDIGENOUS PEOPLES - REGION XII</t>
  </si>
  <si>
    <t>MUNICIPALITY OF KIAMBA, SARANGANI</t>
  </si>
  <si>
    <t>MUNICIPALITY OF KITCHARAO , AGUSAN DEL NORTE</t>
  </si>
  <si>
    <t>BARANGAY MACTAN, CAWAYAN, MASBATE</t>
  </si>
  <si>
    <t>MUNICIPALITY OF PASACAO, CAMARINES SUR</t>
  </si>
  <si>
    <t>BARANGAY MINSAPINIT GINGOOG CITY MISAMIS ORIENTAL</t>
  </si>
  <si>
    <t>BARANGAY CABUNGAHAN - CAWAYAN, MASBATE</t>
  </si>
  <si>
    <t>BARANGAY TABERNA, CAWAYAN, MASBATE</t>
  </si>
  <si>
    <t>MUNICIPALITY OF HINUNDAYAN, SOUTHERN LEYTE</t>
  </si>
  <si>
    <t>BARANGAY SAN VICENTE, PANABO CITY, DAVAO DEL NORTE</t>
  </si>
  <si>
    <t>BARANGAY GUIOM, CAWAYAN, MASBATE</t>
  </si>
  <si>
    <t>BARANGAY MALBUG, CAWAYAN, MASBATE</t>
  </si>
  <si>
    <t>BARANGAY NARO, CAWAYAN, MASBATE</t>
  </si>
  <si>
    <t>MUNICIPALITY OF SIBUTAD, ZAMBOANGA DEL NORTE</t>
  </si>
  <si>
    <t>JOHN HAY MANAGEMENT CORPORATION</t>
  </si>
  <si>
    <t>MUNICIPALITY OF JOMALIG, QUEZON</t>
  </si>
  <si>
    <t>BARANGAY MAGACAN SANCHEZ MIRA CAGAYAN</t>
  </si>
  <si>
    <t>MUNICIPALITY OF PINTUYAN, SOUTHERN LEYTE</t>
  </si>
  <si>
    <t>BARANGAY SAN JOSE, CAWAYAN, MASBATE</t>
  </si>
  <si>
    <t>BARANGAY CALAPAYAN, CAWAYAN, MASBATE</t>
  </si>
  <si>
    <t>MUNICIPALITY OF NASUGBU, BATANGAS</t>
  </si>
  <si>
    <t>BARANGAY NAGATTATAN, PAMPLONA, CAGAYAN</t>
  </si>
  <si>
    <t>MUNICIPALITY OF CORTES, BOHOL</t>
  </si>
  <si>
    <t>MUNICIPALITY OF ALCALA, CAGAYAN</t>
  </si>
  <si>
    <t>BARANGAY MINTAL, DAVAO CITY</t>
  </si>
  <si>
    <t>BARANGAY 29, PEMBO, MAKATI CITY</t>
  </si>
  <si>
    <t>BARANGAY BANGKAL, COUNCIL</t>
  </si>
  <si>
    <t>MUNICIPALITY OF LABRADOR, PANGASINAN</t>
  </si>
  <si>
    <t>DEPARTMENT OF AGRARIAN REFORM - COMVAL</t>
  </si>
  <si>
    <t>BARANGAY LIBERTAD - CAWAYAN, MASBATE</t>
  </si>
  <si>
    <t>BARANGAY RAWIS, VIRAC, CATANDUANES</t>
  </si>
  <si>
    <t>PHILIPPINE AMUSEMENT AND GAMING CORPORATION - ANGELES</t>
  </si>
  <si>
    <t>UNIVERSITY OF NORTHERN PHILIPPINES</t>
  </si>
  <si>
    <t>DEPARTMENT OF PUBLIC WORKS AND HIGHWAYS - PANGASINAN 1ST DEO</t>
  </si>
  <si>
    <t>BARANGAY CONCEPCION PEQUEÑA, NAGA CITY</t>
  </si>
  <si>
    <t>ZAMBOANGA CITY STATE POLYTECHNIC COLLEGE</t>
  </si>
  <si>
    <t>BARANGAY POBLACION - SIBAGAT, AGUSAN DEL SUR</t>
  </si>
  <si>
    <t>MUNICIPALITY OF LIBONA, BUKIDNON</t>
  </si>
  <si>
    <t>BARANGAY NAMABBALAN NORTE - TUGUEGARAO CITY CAGAYAN</t>
  </si>
  <si>
    <t>BARANGAY TOMADO - ALEOSAN COTABATO</t>
  </si>
  <si>
    <t>BARANGAY NEW VISAYAS, PANABO CITY, DAVAO DEL NORTE</t>
  </si>
  <si>
    <t>DEPARTMENT OF PUBLIC WORKS AND HIGHWAYS - CAGAYAN 3RD DEO</t>
  </si>
  <si>
    <t>NATIONAL IRRIGATION ADMINISTRATION - MAGUINDANAO</t>
  </si>
  <si>
    <t>SK OF BARANGAY  POBLACION - MAKATI CITY</t>
  </si>
  <si>
    <t>MUNICIPALITY OF BACLAYON, BOHOL</t>
  </si>
  <si>
    <t>DEPARTMENT OF ENVIRONMENT AND NATURAL RES. - PENRO TARLAC</t>
  </si>
  <si>
    <t>MUNICIPALITY OF MAJAYJAY, LAGUNA</t>
  </si>
  <si>
    <t>MUNICIPALITY  OF BANATE, ILOILO</t>
  </si>
  <si>
    <t>MUNICIPALITY OF SAN LORENZO RUIZ, CAMARINES NORTE</t>
  </si>
  <si>
    <t>PHILIPPINE STATISTICS AUTHORITY - REGION XIII</t>
  </si>
  <si>
    <t>MUNICIPALITY OF SIBUNAG, GUIMARAS</t>
  </si>
  <si>
    <t>PHILIPPINE HEALTH INSURANCE CORPORATION - REGION - IV A</t>
  </si>
  <si>
    <t>MUNICIPALITY OF LA PAZ, ABRA</t>
  </si>
  <si>
    <t>MUNICIPALITY OF LILOAN, SOUTHERN LEYTE</t>
  </si>
  <si>
    <t>MUNICIPALITY OF BILIRAN, BILIRAN</t>
  </si>
  <si>
    <t>VISAYAS STATE UNIVERSITY - MAIN CAMPUS</t>
  </si>
  <si>
    <t>NATIONAL FOOD AUTHORITY - REGION XI</t>
  </si>
  <si>
    <t>PHILIPPINE ECONOMIC ZONE AUTHORITY</t>
  </si>
  <si>
    <t>MUNICIPALITY  OF KABAYAN, BENGUET</t>
  </si>
  <si>
    <t>BARANGAY ALASASIN, MARIVELES, BATAAN</t>
  </si>
  <si>
    <t>MINES AND GEOSCIENCES BUREAU - MIMAROPA REGION</t>
  </si>
  <si>
    <t>DEPARTMENT OF SCIENCE AND TECHNOLOGY - REGION II</t>
  </si>
  <si>
    <t>BARANGAY ZONE IV POBLACION, ATIMONAN, QUEZON</t>
  </si>
  <si>
    <t>PROFESSIONAL REGULATION COMMISSION</t>
  </si>
  <si>
    <t>DEPARTMENT OF EDUCATION - DIVISION OF PAGADIAN CITY</t>
  </si>
  <si>
    <t>DEPARTMENT OF PUBLIC WORKS AND HIGHWAYS - BACOLOD CITY DEO</t>
  </si>
  <si>
    <t>DEPARTMENT OF TRANSPORTATION (DOTR) MAIN</t>
  </si>
  <si>
    <t>MUNICIPALITY OF SAN JOSE, OCCIDENTAL MINDORO</t>
  </si>
  <si>
    <t>MUNICIPALITY OF SAN MANUEL, TARLAC</t>
  </si>
  <si>
    <t>BARANGAY 5 - MAMBURAO OCCIDENTAL MINDORO</t>
  </si>
  <si>
    <t>GENERAL HEADQUARTERS BAC 3, AFP PROCUREMENT SERVICE</t>
  </si>
  <si>
    <t>BARANGAY POBLACION SOUTH EAST ZONE - LEMERY, ILOILO</t>
  </si>
  <si>
    <t>BARANGAY CITY HEIGHTS, GENERAL SANTOS CITY, SOUTH COTABATO</t>
  </si>
  <si>
    <t>DEPARTMENT OF PUBLIC WORKS AND HIGHWAYS - REGION V</t>
  </si>
  <si>
    <t>MARITIME INDUSTRY AUTHORITY - REGION V</t>
  </si>
  <si>
    <t>BARANGAY SAPANG, STA. BARBARA, PANGASINAN</t>
  </si>
  <si>
    <t>TESDA REGIONAL TRAINING CENTER - DAVAO</t>
  </si>
  <si>
    <t>STA. MARIA WATER DISTRICT</t>
  </si>
  <si>
    <t>MUNICIPALITY OF PAGUDPUD, ILOCOS NORTE</t>
  </si>
  <si>
    <t>BARANGAY MALOLOY-ON, MOLAVE, ZAMBOANGA DEL SUR</t>
  </si>
  <si>
    <t>MUNICIPALITY OF NARRA, PALAWAN</t>
  </si>
  <si>
    <t>CENTER FOR HEALTH DEVELOPMENT - REGION III</t>
  </si>
  <si>
    <t>BARANGAY SAN DIONISIO 1, MADDELA, QUIRINO</t>
  </si>
  <si>
    <t>BARANGAY LUSOD, MADDELA, QUIRINO</t>
  </si>
  <si>
    <t>PROVINCE OF COMPOSTELA VALLEY</t>
  </si>
  <si>
    <t>BARANGAY CABONG - BUENAVISTA QUEZON</t>
  </si>
  <si>
    <t>MUNICIPALITY OF MABINI, BATANGAS</t>
  </si>
  <si>
    <t>MUNICIPALITY OF CALAPE, BOHOL</t>
  </si>
  <si>
    <t>MUNICIPALITY OF TAMPAKAN, SOUTH COTABATO</t>
  </si>
  <si>
    <t>MUNICIPALITY OF BASAY, NEGROS ORIENTAL</t>
  </si>
  <si>
    <t>BANI WATER DISTRICT</t>
  </si>
  <si>
    <t xml:space="preserve">DEPARTMENT OF PUBLIC WORKS AND HIGHWAYS - NUEVA VIZCAYA 1ST </t>
  </si>
  <si>
    <t>MUNICIPALITY OF DUMANJUG, CEBU</t>
  </si>
  <si>
    <t>MUNICIPALITY OF IGUIG, CAGAYAN</t>
  </si>
  <si>
    <t>BARANGAY CABID-AN, SORSOGON CITY</t>
  </si>
  <si>
    <t>LEONA DURANO ZAMORA ELEMENTARY SCHOOL - DANAO CITY CEBU</t>
  </si>
  <si>
    <t>MUNICIPALITY OF TAYSAN, BATANGAS</t>
  </si>
  <si>
    <t>BARANGAY BABAG, CEBU CITY, CEBU</t>
  </si>
  <si>
    <t>SAN ROQUE CENTRAL ELEMNETARY SCHOOL</t>
  </si>
  <si>
    <t>BARANGAY PALY, TAYTAY, PALAWAN</t>
  </si>
  <si>
    <t>MUNICIPALITY OF RIZAL, KALINGA</t>
  </si>
  <si>
    <t>MUNICIPALITY OF MAHAYAG, ZAMBOANGA DEL SUR</t>
  </si>
  <si>
    <t>MUNICIPALITY OF BAROTAC NUEVO, ILOILO</t>
  </si>
  <si>
    <t>NATIONAL PRINTING OFFICE</t>
  </si>
  <si>
    <t>BARANGAY LAYONG MABILOG - MARAGONDON CAVITE</t>
  </si>
  <si>
    <t>MUNICIPALITY OF MAGSAYSAY, MISAMIS ORIENTAL</t>
  </si>
  <si>
    <t>MUNICIPALITY OF KOLAMBUGAN, LANAO DEL NORTE</t>
  </si>
  <si>
    <t>MABINI WATER DISTRICT</t>
  </si>
  <si>
    <t>MUNICIPALITY OF SAGUDAY, QUIRINO</t>
  </si>
  <si>
    <t>BARANGAY FREEDOM - CABANGLASAN, BUKIDNON</t>
  </si>
  <si>
    <t>BARANGAY POBLACION, TOLOSA, LEYTE</t>
  </si>
  <si>
    <t>DEPARTMENT OF EDUCATION - REGION VI</t>
  </si>
  <si>
    <t>BARANGAY VILLAPOGADO, CATAINGAN, MASBATE</t>
  </si>
  <si>
    <t>BARANGAY DAO, NAUJAN, ORIENTAL MINDORO</t>
  </si>
  <si>
    <t>DEPARTMENT OF HEALTH - NCR REGIONAL OFFICE(DOH-NCRO)</t>
  </si>
  <si>
    <t>BARANGAY LIGTONG II  - ROSARIO CAVITE</t>
  </si>
  <si>
    <t>BARANGAY BUNGA, MAMBUSAO, CAPIZ</t>
  </si>
  <si>
    <t>BARANGAY BUNGA - LANUZA SURIGAO DEL SUR</t>
  </si>
  <si>
    <t>DEPARTMENT OF AGRARIAN REFORM - SULTAN KUDARAT</t>
  </si>
  <si>
    <t>ENVIRONMENTAL MANAGEMENT BUREAU - REGION II</t>
  </si>
  <si>
    <t>MUNICIPALITY OF MAGSINGAL, ILOCOS SUR</t>
  </si>
  <si>
    <t>MUNICIPALITY OF BADIAN, CEBU</t>
  </si>
  <si>
    <t>DEPARTMENT OF PUBLIC WORKS AND HIGHWAYS - CATANDUANES ED</t>
  </si>
  <si>
    <t>BARANGAY LAGASIT, SAN QUINTIN, PANGASINAN</t>
  </si>
  <si>
    <t xml:space="preserve">DEPARTMENT OF PUBLIC WORKS AND HIGHWAYS - MOUNTAIN PROVINCE </t>
  </si>
  <si>
    <t>BARANGAY IBAYO-TIPAS TAGUIG CITY</t>
  </si>
  <si>
    <t>PHILIPPINE RURAL DEVELOPMENT PROJECT-MINDANAO CLUSTER</t>
  </si>
  <si>
    <t>BARANGAY GRACEVILLE, SAN JOSE DEL MONTE, BULACAN</t>
  </si>
  <si>
    <t>NATIONAL IRRIGATION ADMINISTRATION - REGION V</t>
  </si>
  <si>
    <t>AGUSAN DEL SUR STATE COLLEGE OF AGRICULTURE AND TECHNOLOGY</t>
  </si>
  <si>
    <t>NATIONAL IRRIGATION ADMINISTRATION - ZAMBOANGA SIBUGAY</t>
  </si>
  <si>
    <t>BARANGAY PINEDA, PASIG CITY</t>
  </si>
  <si>
    <t>BARANGAY BUHANGIN BUTUAN CITY AGUSAN DEL NORTE</t>
  </si>
  <si>
    <t>BRGY.SAN JUAN ACCFA,CABANATUAN CITY,NUEVA ECIJA</t>
  </si>
  <si>
    <t>KORONADAL WATER DISTRICT</t>
  </si>
  <si>
    <t>MUNICIPALITY OF BAYOMBONG - NUEVA VISCAYA</t>
  </si>
  <si>
    <t>ENVIRONMENTAL MANAGEMENT BUREAU - REGION III</t>
  </si>
  <si>
    <t>MUNICIPALITY OF MOGPOG, MARINDUQUE</t>
  </si>
  <si>
    <t>MUNICIPALITY OF CAVINTI, LAGUNA</t>
  </si>
  <si>
    <t>DEPARTMENT OF TOURISM - INTRAMUROS ADMINISTRATION</t>
  </si>
  <si>
    <t>BARANGAY ABONG - CARLES,ILOILO</t>
  </si>
  <si>
    <t>ASSOCIATION OF BARANGAY COUNCIL CEBU CITY</t>
  </si>
  <si>
    <t>MUNICIPALITY OF LIBERTAD, ANTIQUE</t>
  </si>
  <si>
    <t>NEW ORMOC CITY NATIONAL HIGH SCHOOL</t>
  </si>
  <si>
    <t>DEPARTMENT OF PUBLIC WORKS AND HIGHWAYS - MARINDUQUE DEO</t>
  </si>
  <si>
    <t>MUNICIPALITY OF PIDIGAN, ABRA</t>
  </si>
  <si>
    <t>MUNICIPALITY OF SULAT, EASTERN SAMAR</t>
  </si>
  <si>
    <t>CITY OF SIPALAY, NEGROS OCCIDENTAL</t>
  </si>
  <si>
    <t>EASTERN VISAYAS STATE UNIVERSITY-TANAUAN CAMPUS</t>
  </si>
  <si>
    <t>MUNICIPALITY OF MADALAG, AKLAN</t>
  </si>
  <si>
    <t>METRO KIDAPAWAN WATER DISTRICT</t>
  </si>
  <si>
    <t>NATIONAL FOOD AUTHORITY - REGION VIII</t>
  </si>
  <si>
    <t>BARANGAY BUENAVISTA DARAM SAMAR</t>
  </si>
  <si>
    <t>BUREAU OF FIRE PROTECTION - REGION X</t>
  </si>
  <si>
    <t>BARANGAY KASILAWAN, MAKATI CITY</t>
  </si>
  <si>
    <t>BARANGAY  LUHONG - ANTIPAS, COTABATO</t>
  </si>
  <si>
    <t>BARANGAY GAHIT, CATAINGAN, MASBATE</t>
  </si>
  <si>
    <t>BARANGAY POBLACION - SOMINOT ZAMBOANGA DEL SUR</t>
  </si>
  <si>
    <t>MABINI NATIONAL HIGH SCHOOL - JUNIOR HIGH SCHOOL</t>
  </si>
  <si>
    <t>MUNICIPALITY  OF CALAUAN, LAGUNA</t>
  </si>
  <si>
    <t>MUNICIPALITY OF LINAMON, LANAO DEL NORTE</t>
  </si>
  <si>
    <t>CITY GOVERNMENT OF DASMARIÑAS CAVITE</t>
  </si>
  <si>
    <t>MUNICIPALITY OF SAMPALOC, QUEZON</t>
  </si>
  <si>
    <t>MUNICIPALITY OF KIBAWE , BUKIDNON</t>
  </si>
  <si>
    <t xml:space="preserve">DEPARTMENT OF PUBLIC WORKS AND HIGHWAYS - CAMARINES SUR 4TH </t>
  </si>
  <si>
    <t>MAYOR HILARION A. RAMIRO SR. REGIONAL TRNG &amp; TEACHING HOSP.</t>
  </si>
  <si>
    <t>PROVINCE OF ZAMBOANGA SIBUGAY</t>
  </si>
  <si>
    <t>BARANGAY SAN JOSE - ALAMINOS, PANGASINAN</t>
  </si>
  <si>
    <t>DAVAO PRISON AND PENAL FARM - BRAULIO E. DUJALI</t>
  </si>
  <si>
    <t>MUNICIPALITY OF ORION, BATAAN</t>
  </si>
  <si>
    <t>BARANGAY POBLACION, PINAMUNGAJAN, CEBU</t>
  </si>
  <si>
    <t>BARANGAY CABARASAN-GUTI, TANAUAN, LEYTE</t>
  </si>
  <si>
    <t>MUNICIPALITY OF  DATU ABDULLAH SANGKI- MAGUINDANAO</t>
  </si>
  <si>
    <t>MUNICIPALITY OF MAGSAYSAY, OCCIDENTAL MINDORO</t>
  </si>
  <si>
    <t>TONDO MEDICAL CENTER</t>
  </si>
  <si>
    <t>TANZA WATER DISTRICT</t>
  </si>
  <si>
    <t>MUNICIPALITY OF KANANGA, LEYTE</t>
  </si>
  <si>
    <t>MUNICIPALITY OF TUBAO, LA UNION</t>
  </si>
  <si>
    <t>NATIONAL IRRIGATION ADMINISTRATION - LAMISCA IMO</t>
  </si>
  <si>
    <t>JUSTICE EMILIO ANGELES GANCAYCO MEMORIAL HIGH SCHOOL</t>
  </si>
  <si>
    <t>PROVINCE OF LA UNION</t>
  </si>
  <si>
    <t>BARANGAY DORULOMAN ARAKAN COTABATO</t>
  </si>
  <si>
    <t>BARANGAY NAGSUROT, BURGOS, ILOCOS NORTE</t>
  </si>
  <si>
    <t>DEPARTMENT OF PUBLIC WORKS AND HIGHWAYS - APAYAO 1ST DEO</t>
  </si>
  <si>
    <t>ISABELA STATE UNIVERSITY - JONES CAMPUS</t>
  </si>
  <si>
    <t>BARANGAY WEST BALABAG, VALENCIA, NEGROS ORIENTAL</t>
  </si>
  <si>
    <t>BARANGAY 18 - CABAGÑAN WEST, LEGAZPI CITY, ALBAY</t>
  </si>
  <si>
    <t>BARANGAY BATO - GAMAY NORTHERN SAMAR</t>
  </si>
  <si>
    <t>MUNICIPALITY OF BALAYAN, BATANGAS</t>
  </si>
  <si>
    <t>BARANGAY MAGALLANES, MAKATI CITY</t>
  </si>
  <si>
    <t>PHILIPPINE SCIENCE HIGH SCHOOL - SOCCSKSARGEN REGION CAMPUS</t>
  </si>
  <si>
    <t>CITY OF PASAY</t>
  </si>
  <si>
    <t>MUNICIPALITY OF MARILAO, BULACAN</t>
  </si>
  <si>
    <t>MUNICIPAL GOVERNMENT OF PALIMBANG</t>
  </si>
  <si>
    <t>BARANGAY CENTRO (SAN JUAN), AGDAO, DAVAO CITY</t>
  </si>
  <si>
    <t>MUNICIPALITY OF BALETE, BATANGAS</t>
  </si>
  <si>
    <t>PHILIPPINE COMPETITION COMMISSION</t>
  </si>
  <si>
    <t>MUNICIPALITY OF MALLIG, ISABELA</t>
  </si>
  <si>
    <t>BARANGAY SALVACION, PANABO CITY</t>
  </si>
  <si>
    <t>BARANGAY BON-OT, CARRASCAL, SURIGAO DEL SUR</t>
  </si>
  <si>
    <t>BARANGAY BALANGOBONG -  ALAMINOS, PANGASINAN</t>
  </si>
  <si>
    <t>MUNICIPALITY OF BACOLOR, PAMPANGA</t>
  </si>
  <si>
    <t>BARANGAY 3, PALUAN, OCCIDENTAL MINDORO</t>
  </si>
  <si>
    <t>MUNICIPALITY OF CONCEPCION, ROMBLON</t>
  </si>
  <si>
    <t>DEPARTMENT OF HEALTH - CENTER FOR HEALTH DEVELOPMENT BICOL</t>
  </si>
  <si>
    <t>DEPARTMENT OF AGRARIAN REFORM - CAVITE PROVINCIAL OFFICE</t>
  </si>
  <si>
    <t>MUNICIPALITY OF SAN BENITO, SURIGAO DEL NORTE</t>
  </si>
  <si>
    <t>MUNICIPALITY OF CARMEN, CEBU</t>
  </si>
  <si>
    <t>MUNICIPALITY OF SAN JUAN, ILOCOS SUR</t>
  </si>
  <si>
    <t>BARANGAY MILIGAN, MOLAVE, ZAMBOANGA DEL SUR</t>
  </si>
  <si>
    <t>MUNICIPALITY OF ISULAN, SULTAN KUDARAT</t>
  </si>
  <si>
    <t>PROVINCE OF BATANGAS</t>
  </si>
  <si>
    <t>BARANGAY YANGTA DARAM SAMAR</t>
  </si>
  <si>
    <t>MUNICIPALITY OF ARGAO, CEBU</t>
  </si>
  <si>
    <t>DEPARTMENT OF ENVIRONMENT AND NATURAL RES. - PENRO, ILOILO</t>
  </si>
  <si>
    <t>MUNICIPALITY OF BALASAN, ILOILO</t>
  </si>
  <si>
    <t>PEDRO PITOGO ELEMENTARY SCHOOL</t>
  </si>
  <si>
    <t>ENVIRONMENTAL MANAGEMENT BUREAU REGION VI</t>
  </si>
  <si>
    <t>DEPARTMENT OF PUBLIC WORKS AND HIGHWAYS - QUEZON CITY 1ST ED</t>
  </si>
  <si>
    <t>MUNICIPALITY OF MERCEDES, CAMARINES NORTE</t>
  </si>
  <si>
    <t>BARANGAY TUBIGAGMANOK, ASTURIAS, CEBU</t>
  </si>
  <si>
    <t>MUNICIPALITY OF LAPUYAN, ZAMBOANGA DEL SUR</t>
  </si>
  <si>
    <t>NATIONAL FOOD AUTHORITY - NCR</t>
  </si>
  <si>
    <t>MUNICIPALITY LINAPACAN, PALAWAN</t>
  </si>
  <si>
    <t>BARANGAY MUZON, SAN JOSE DEL MONTE CITY, BULACAN</t>
  </si>
  <si>
    <t>MUNICIPALITY OF SAN DIONISIO, ILOILO</t>
  </si>
  <si>
    <t>ENVIRONMENTAL MANAGEMENT BUREAU - REGION VIII</t>
  </si>
  <si>
    <t>MUNICIPALITY OF AGLIPAY, QUIRINO</t>
  </si>
  <si>
    <t>MUNICIPALITY OF DAUIN, NEGROS ORIENTAL</t>
  </si>
  <si>
    <t>NATIONAL STATISTICS OFFICE - REGION V</t>
  </si>
  <si>
    <t>PHILIPPINE AIR FORCE</t>
  </si>
  <si>
    <t>BARANGAY 642, ZONE 66, DISTRICT VI MANILA</t>
  </si>
  <si>
    <t>BARANGAY STA. ISABEL, STA. JOSEFA, AGUSAN DEL SUR</t>
  </si>
  <si>
    <t>INDUSTRIAL TECHNOLOGY DEVELOPMENT INSTITIUTE</t>
  </si>
  <si>
    <t>DEPARTMENT OF PUBLIC WORKS AND HIGHWAYS - PALAWAN 3RD DEO</t>
  </si>
  <si>
    <t>BARANGAY CATUGAY, BAGGAO, CAGAYAN</t>
  </si>
  <si>
    <t>MUNICIPALITY OF RIZAL,PALAWAN</t>
  </si>
  <si>
    <t>BARANGAY DALIN, BAGGAO, CAGAYAN</t>
  </si>
  <si>
    <t>BARANGAY TOYUNGAN - CALINOG ILOILO</t>
  </si>
  <si>
    <t>LAND TRANSPORTATION AND FRANCHISING REGULATORY BOARD - MAIN</t>
  </si>
  <si>
    <t>BARANGAY BUENAVISTA, PURA, TARLAC</t>
  </si>
  <si>
    <t>BARANGAY LANDUSAN - CAPUL NORTHERN SAMAR</t>
  </si>
  <si>
    <t>MUNICIPALITY OF KASIBU, NUEVA VIZCAYA</t>
  </si>
  <si>
    <t>BARANGAY RIZAL, PALOMPON, LEYTE</t>
  </si>
  <si>
    <t>BARANGAY CENTRAL 3, PALOMPON, LEYTE</t>
  </si>
  <si>
    <t>DEPARTMENT OF PUBLIC WORKS AND HIGHWAYS - CEBU 2ND DEO</t>
  </si>
  <si>
    <t>DEPARTMENT OF PUBLIC WORKS AND HIGHWAYS - LAGUNA III DISTRIC</t>
  </si>
  <si>
    <t>MUNICIPALITY OF PANGANIBAN, CATANDUANES</t>
  </si>
  <si>
    <t>MUNICIPALITY OF CORELLA, BOHOL</t>
  </si>
  <si>
    <t>BARANGAY CATULIN -  BUENAVISTA QUEZON</t>
  </si>
  <si>
    <t>FRANCES NATIONAL HIGH SCHOOL - CALUMPIT BULACAN</t>
  </si>
  <si>
    <t>ESCOLASTICA ELEMENTARY SCHOOL</t>
  </si>
  <si>
    <t>BARANGAY LISAP, BONGABONG, ORIENTAL MINDORO</t>
  </si>
  <si>
    <t>DEPARTMENT OF TRADE AND INDUSTRY - REGION IV-B(MIMAROPA)</t>
  </si>
  <si>
    <t>MUNICIPALITY OF LINGIG, SURIGAO DEL SUR</t>
  </si>
  <si>
    <t>UNIVERSITY OF RIZAL SYSTEM</t>
  </si>
  <si>
    <t>DEPARTMENT OF PUBLIC WORKS AND HIGHWAYS - LAGUNA II DEO</t>
  </si>
  <si>
    <t>MUNICIPALITY OF QUIRINO, ISABELA</t>
  </si>
  <si>
    <t>MUNICIPALITY OF AGONCILLO, BATANGAS</t>
  </si>
  <si>
    <t>PHILIPPINE PORTS AUTHORITY - PMO WESTERN LEYTE/BILIRAN</t>
  </si>
  <si>
    <t>BARANGAY SANDOVAL, TAYTAY, PALAWAN</t>
  </si>
  <si>
    <t>BARANGAY NAMNAMA, CABATUAN, ISABELA</t>
  </si>
  <si>
    <t>NATIONAL IRRIGATION ADMINISTRATION - AKLAN</t>
  </si>
  <si>
    <t>PHILIPPINE AMUSEMENT AND GAMING CORPORATION-BACOLOD</t>
  </si>
  <si>
    <t>MUNICIPALITY OF  PANAON, MISAMIS OCCIDENTAL</t>
  </si>
  <si>
    <t>BALAYAN WATER DISTRICT</t>
  </si>
  <si>
    <t>PHILIPPINE PORTS AUTHORITY - PMO ILIGAN</t>
  </si>
  <si>
    <t>CALABANGA WATER DISTRICT</t>
  </si>
  <si>
    <t>MUNICIPALITY OF TUBLAY, BENGUET</t>
  </si>
  <si>
    <t>MUNICIPALITY OF KABACAN, COTABATO</t>
  </si>
  <si>
    <t>MUNICIPALITY OF SALLAPADAN, ABRA</t>
  </si>
  <si>
    <t>MUNICIPALITY OF LEMERY, ILOILO</t>
  </si>
  <si>
    <t>NATIONAL IRRIGATION ADMINISTRATION - LEYTE IMO</t>
  </si>
  <si>
    <t>POLANCO WATER DISTRICT</t>
  </si>
  <si>
    <t>DEPARTMENT OF SOCIAL WELFARE AND DEVELOPMENT - REGION II</t>
  </si>
  <si>
    <t>DEPARTMENT OF EDUCATION - DIVISION OF GUIMARAS</t>
  </si>
  <si>
    <t>MUNICIPALITY OF NUEVA ERA, ILOCOS NORTE</t>
  </si>
  <si>
    <t>PHILIPPINE NATIONAL POLICE - REGION VII</t>
  </si>
  <si>
    <t>BARANGAY CAWAYAN (EXTENSION) - MASBATE CITY</t>
  </si>
  <si>
    <t>MUNICIPALITY OF SIGAY, ILOCOS SUR</t>
  </si>
  <si>
    <t>MUNICIPALITY OF LORETO, AGUSAN DEL SUR</t>
  </si>
  <si>
    <t>COTABATO SANITARIUM</t>
  </si>
  <si>
    <t>MUNICIPALITY OF LABO, CAMARINES NORTE</t>
  </si>
  <si>
    <t>DANGEROUS DRUGS BOARD</t>
  </si>
  <si>
    <t>BUREAU OF FIRE PROTECTION - REGION XII</t>
  </si>
  <si>
    <t>BARANGAY MANAUL, MANSALAY, ORIENTAL MINDORO</t>
  </si>
  <si>
    <t>BARANGAY SILAWE, POLANCO, ZAMBOANGA DEL NORTE</t>
  </si>
  <si>
    <t>MUNICIPALITY OF CAGDIANAO, DINAGAT ISLAND</t>
  </si>
  <si>
    <t>MUNICIPALITY OF GAMU, ISABELA</t>
  </si>
  <si>
    <t>PHILIPPINE AMUSEMENT AND GAMING CORPORATION - ILOCOS NORTE</t>
  </si>
  <si>
    <t>MUNICIPALITY OF LILOY, ZAMBOANGA DEL NORTE</t>
  </si>
  <si>
    <t>MUNICIPALITY OF GALIMUYOD, ILOCOS SUR</t>
  </si>
  <si>
    <t>BARANGAY NEW LAWAAN - M'LANG COTABATO</t>
  </si>
  <si>
    <t>DEPARTMENT OF PUBLIC WORKS AND HIGHWAYS - MIS. OCC. SUB-DEO</t>
  </si>
  <si>
    <t>NAVAL INSTITUTE OF TECHNOLOGY</t>
  </si>
  <si>
    <t>INSTITUTE FOR LABOR STUDIES - MANILA METRO MANILA</t>
  </si>
  <si>
    <t>BARANGAY TUBAC MUTIA ZAMBOANGA DEL NORTE</t>
  </si>
  <si>
    <t>BARANGAY 19-B, DAVAO CITY</t>
  </si>
  <si>
    <t>MUNICIPALITY OF PEREZ, QUEZON</t>
  </si>
  <si>
    <t>MUNICIPALITY OF CALUYA, ANTIQUE</t>
  </si>
  <si>
    <t>MUNICIPALITY OF PAMPLONA, CAMARINES SUR</t>
  </si>
  <si>
    <t>BARANGAY TAGBONGABONG - R.T. ROMUALDEZ, AGUSAN DEL NORTE</t>
  </si>
  <si>
    <t>MUNICIPALITY OF SANTA, ILOCOS SUR</t>
  </si>
  <si>
    <t>BARANGAY KAHAPONAN, VALENCIA CITY</t>
  </si>
  <si>
    <t>BARANGAY OWAK, ASTURIAS, CEBU</t>
  </si>
  <si>
    <t>MUNICIPALITY OF QUEZON, ISABELA</t>
  </si>
  <si>
    <t>DEPARTMENT OF PUBLIC WORKS AND HIGHWAYS - CAGAYAN 1ST DEO</t>
  </si>
  <si>
    <t>MUNICIPALITY OF MARIA AURORA, AURORA</t>
  </si>
  <si>
    <t>MUNICIPALITY OF BUGUEY, CAGAYAN</t>
  </si>
  <si>
    <t>BARANGAY PINPIN, TUBOD, LANAO DEL NORTE</t>
  </si>
  <si>
    <t>MUNICIPALITY OF PONTEVEDRA, CAPIZ</t>
  </si>
  <si>
    <t>BARANGAY PITOGO, CATAINGAN, MASBATE</t>
  </si>
  <si>
    <t>BARANGAY TUGAS - LEMERY,ILOILO</t>
  </si>
  <si>
    <t>MUNICIPALITY OF CALUBIAN, LEYTE</t>
  </si>
  <si>
    <t>BARANGAY PARI-AN - ENRIQUE VILLANUEVA SIQUIJOR</t>
  </si>
  <si>
    <t>ENVIRONMENTAL MANAGEMENT BUREAU - REGION VII</t>
  </si>
  <si>
    <t>MUNICIPALITY OF CARMEN COTABATO</t>
  </si>
  <si>
    <t>BARANGAY BALISONG, ARGAO, CEBU</t>
  </si>
  <si>
    <t>MUNICIPALITY OF MANAPLA, NEGROS OCCIDENTAL</t>
  </si>
  <si>
    <t>MUNICIPALITY OF STA. FE, LEYTE</t>
  </si>
  <si>
    <t>BARANGAY BALZAIN WEST - TUGUEGARAO CITY, CAGAYAN</t>
  </si>
  <si>
    <t>MUNICIPALITY OF ISABEL, LEYTE</t>
  </si>
  <si>
    <t>MUNICIPALITY OF JAVIER, LEYTE</t>
  </si>
  <si>
    <t>MUNICIPALITY OF MINGLANILLA, CEBU</t>
  </si>
  <si>
    <t>COMMISSION ON APPOINTMENTS</t>
  </si>
  <si>
    <t>DEPARTMENT OF TRADE AND INDUSTRY - REGION II, CAGAYAN VALLEY</t>
  </si>
  <si>
    <t>MUNICIPALITY OF PAGSANGHAN, SAMAR</t>
  </si>
  <si>
    <t>MUNICIPALITY OF VIGA, CATANDUANES</t>
  </si>
  <si>
    <t xml:space="preserve">DEPARTMENT OF PUBLIC WORKS AND HIGHWAYS - ZAMBOANGA DEL SUR </t>
  </si>
  <si>
    <t>DEPARTMENT OF PUBLIC WORKS AND HIGHWAYS - NCR</t>
  </si>
  <si>
    <t>MUNICIPALITY OF MALUNGON, SARANGANI</t>
  </si>
  <si>
    <t>DEPARTMENT OF ENVIRONMENT AND NATURAL RES. - PENRO, ANTIQUE</t>
  </si>
  <si>
    <t>DR. JOSE FABELLA MEMORIAL HOSPITAL</t>
  </si>
  <si>
    <t>MUNICIPALITY OF SUDIPEN, LA UNION</t>
  </si>
  <si>
    <t>MUNICIPALITY OF GAMAY, NORTHERN SAMAR</t>
  </si>
  <si>
    <t>BARANGAY IMELDA - BAYBAY CITY LEYTE</t>
  </si>
  <si>
    <t>TARLAC STATE UNIVERSITY</t>
  </si>
  <si>
    <t>MUNICIPALITY OF CULASI, ANTIQUE</t>
  </si>
  <si>
    <t>MUNICIPALITY OF SANTO DOMINGO, ILOCOS SUR</t>
  </si>
  <si>
    <t>BARANGAY DAS, TOLEDO CITY</t>
  </si>
  <si>
    <t>BARANGAY BANGON - PINABACDAO SAMAR</t>
  </si>
  <si>
    <t>MUNICIPALITY OF MATUNGAO, LANAO DEL NORTE</t>
  </si>
  <si>
    <t>NATIONAL TOBACCO ADMINISTRATION</t>
  </si>
  <si>
    <t>DEPARTMENT OF PUBLIC WORKS AND HIGHWAYS - BULACAN 2ND DEO</t>
  </si>
  <si>
    <t>MUNICIPALITY OF USON, MASBATE</t>
  </si>
  <si>
    <t>MUNICIPALIY OF PANITAN, CAPIZ</t>
  </si>
  <si>
    <t>DEPARTMENT OF SCIENCE AND TECHNOLOGY - REGION IV-A</t>
  </si>
  <si>
    <t>MUNICIPALITY OF KINOGUITAN , MISAMIS ORIENTAL</t>
  </si>
  <si>
    <t>MUNICIPALITY OF STA. MARIA, PANGASINAN</t>
  </si>
  <si>
    <t>BARANGAY SINONOC, SINACABAN, MISAMIS OCCIDENTAL</t>
  </si>
  <si>
    <t>BARANGAY STO. NINO - QUINAPONDAN EASTERN SAMAR</t>
  </si>
  <si>
    <t>MUNICIPALITY OF DIFFUN, QUIRINO</t>
  </si>
  <si>
    <t>MUNICIPALITY OF BINALBAGAN, NEGROS OCCIDENTAL</t>
  </si>
  <si>
    <t>MUNICIPALITY OF MANOLO FORTICH, BUKIDNON</t>
  </si>
  <si>
    <t>MUNICIPALITY OF INOPACAN, LEYTE</t>
  </si>
  <si>
    <t>MUNICIPALITY OF SAMBOAN, CEBU</t>
  </si>
  <si>
    <t>BARANGAY PALIPARAN III - DASMARIÑAS CITY CAVITE</t>
  </si>
  <si>
    <t>BARANGAY BUKAL SUR, CANDELARIA, QUEZON</t>
  </si>
  <si>
    <t>MUNICIPALITY OF NABUA, CAMARINES SUR</t>
  </si>
  <si>
    <t>PHILIPPINE NORMAL UNIVERSITY</t>
  </si>
  <si>
    <t>BARANGAY NBBS DAGAT-DAGATAN NAVOTAS CITY METRO MANILA</t>
  </si>
  <si>
    <t>BARANGAY CAU-AYAN, POTOTAN, ILOILO</t>
  </si>
  <si>
    <t>BARANGAY CARIDAD - BAYBAY CITY LEYTE</t>
  </si>
  <si>
    <t>BARANGAY CALLAN - POTOTAN, ILOILO</t>
  </si>
  <si>
    <t>BARANGAY TUBOD SAN JUAN SIQUIJOR</t>
  </si>
  <si>
    <t>BARANGAY PAPPAT - ANGADANAN ISABELA</t>
  </si>
  <si>
    <t>BARANGAY UBANG, POTOTAN, ILOILO</t>
  </si>
  <si>
    <t>BARANGAY POLOT-AN, POTOTAN, ILOILO</t>
  </si>
  <si>
    <t>NATIONAL IRRIGATION ADMINISTRATION - BANE-IMO</t>
  </si>
  <si>
    <t>DEPARTMENT OF PUBLIC WORKS AND HIGHWAYS - BUKIDNON 2ND DEO</t>
  </si>
  <si>
    <t>SAGAY WATER DISTRICT</t>
  </si>
  <si>
    <t>MUNICIPALITY OF BACARRA, ILOCOS NORTE</t>
  </si>
  <si>
    <t>MUNICIPALITY OF CABATUAN, ISABELA</t>
  </si>
  <si>
    <t>MUNICIPALITY OF LA PAZ, AGUSAN DEL SUR</t>
  </si>
  <si>
    <t>MUNICIPALITY OF MABINAY, NEGROS ORIENTAL</t>
  </si>
  <si>
    <t>NATIONAL FOOD AUTHORITY - REGION I</t>
  </si>
  <si>
    <t>MUNICIPALITY OF BURGOS, LA UNION</t>
  </si>
  <si>
    <t>FOREST MANAGEMENT BUREAU ,DENR</t>
  </si>
  <si>
    <t>DEPARTMENT OF PUBLIC WORKS AND HIGHWAYS - SULTAN KUDARAT 1ST</t>
  </si>
  <si>
    <t>MINISTRY OF SOCIAL SERVICES, BARMM</t>
  </si>
  <si>
    <t>NATIONAL IRRIGATION ADMINISTRATION - REGION I</t>
  </si>
  <si>
    <t>LAGUNA STATE POLYTECHNIC UNIVERSITY - STA. CRUZ CAMPUS</t>
  </si>
  <si>
    <t>AGRICULTURAL TRAINING INSTITUTE</t>
  </si>
  <si>
    <t>DEPARTMENT OF ENVIRONMENT AND NATURAL RESOURCES - ILOCOS NOR</t>
  </si>
  <si>
    <t>EASTERN SAMAR STATE UNIVERSITY - BORONGAN CITY</t>
  </si>
  <si>
    <t>BARANGAY AMOT, BURDEOS, QUEZON</t>
  </si>
  <si>
    <t>CITY OF TAGAYTAY, CAVITE</t>
  </si>
  <si>
    <t>NATIONAL BUREAU OF INVESTIGATION</t>
  </si>
  <si>
    <t>MUNICIPALITY OF ALLEN, NORTHERN SAMAR</t>
  </si>
  <si>
    <t>NATIONAL DAIRY AUTHORITY</t>
  </si>
  <si>
    <t>NATIONAL IRRIGATION ADMINISTRATION - CARAGA</t>
  </si>
  <si>
    <t>PHILIPPINE PUBLIC SAFETY COLLEGE</t>
  </si>
  <si>
    <t>BARANGAY KIWALO, DARAGA, ALBAY</t>
  </si>
  <si>
    <t>BARANGAY JAMABALUD, POTOTAN, ILOILO</t>
  </si>
  <si>
    <t>PHILIPPINE HEALTH INSURANCE CORPORATION - REGION VI</t>
  </si>
  <si>
    <t>BARANGAY CABUGAO SUR, PAVIA, ILOILO</t>
  </si>
  <si>
    <t>MUNICIPALITY OF MAASIN, ILOILO</t>
  </si>
  <si>
    <t>MUNICIPALITY OF BALENO, MASBATE</t>
  </si>
  <si>
    <t>UNIVERSITY OF ANTIQUE - TARIO-LIM MEMORIAL CAMPUS</t>
  </si>
  <si>
    <t>BARANGAY AMAGBAGAN, POZORRUBIO, PANGASINAN</t>
  </si>
  <si>
    <t>MUNICIPALITY OF SAN ISIDRO, DAVAO ORIENTAL</t>
  </si>
  <si>
    <t>MUNICIPALITY OF VILLAVICIOSA, ABRA</t>
  </si>
  <si>
    <t>MUNICIPALITY OF BARUGO, LEYTE</t>
  </si>
  <si>
    <t>BARANGAY POBLACION, INFANTA, PANGASINAN</t>
  </si>
  <si>
    <t>BARANGAY BUSO, MATI CITY</t>
  </si>
  <si>
    <t>MUNICIPALITY OF NAGBUKEL, ILOCOS SUR</t>
  </si>
  <si>
    <t>MUNICIPALITY OF KIBLAWAN, DAVAO DEL SUR</t>
  </si>
  <si>
    <t>BARANGAY GASANG, MABINI, BATANGAS</t>
  </si>
  <si>
    <t>OROQUIETA AGRO-INDUSTRIAL SCHOOL</t>
  </si>
  <si>
    <t>COMPOSTELA WATER DISTRICT</t>
  </si>
  <si>
    <t>BUREAU OF FIRE PROTECTION - NATIONAL HEADQUARTERS</t>
  </si>
  <si>
    <t>MUNICIPALITY OF CALANASAN, APAYAO</t>
  </si>
  <si>
    <t>CITY OF TAYABAS, QUEZON</t>
  </si>
  <si>
    <t>PANGASINAN STATE UNIVERSITY - MAIN</t>
  </si>
  <si>
    <t>MUNICIPALITY OF PAVIA, ILOILO</t>
  </si>
  <si>
    <t>MARAMAG WATER DISTRICT</t>
  </si>
  <si>
    <t>BARANGAY TALOY SUR - TUBA BENGUET</t>
  </si>
  <si>
    <t>BUREAU OF JAIL MANAGEMENT AND PENOLOGY - REGION VII</t>
  </si>
  <si>
    <t>MUNICIPALITY OF PATNANUNGAN, QUEZON</t>
  </si>
  <si>
    <t>MUNICIPALITY OF SAGBAYAN, BOHOL</t>
  </si>
  <si>
    <t>BARANGAY BULACAN, MABINI, BATANGAS</t>
  </si>
  <si>
    <t>DEPARTMENT OF PUBLIC WORKS AND HIGHWAYS - CEBU 6TH DEO</t>
  </si>
  <si>
    <t>BARANGAY SOLO, MABINI, BATANGAS</t>
  </si>
  <si>
    <t>MUNICIPALITY OF BINDOY, NEGROS ORIENTAL</t>
  </si>
  <si>
    <t>MUNICIPALITY OF CABUGAO, ILOCOS SUR</t>
  </si>
  <si>
    <t>MUNICIPALITY OF BOBON, NORTHERN SAMAR</t>
  </si>
  <si>
    <t>DEPARTMENT OF TRADE AND INDUSTRY - CAR</t>
  </si>
  <si>
    <t>MUNICIPALITY OF ALEGRIA, CEBU</t>
  </si>
  <si>
    <t>MUNICIPALITY OF GUIMBAL, ILOILO</t>
  </si>
  <si>
    <t>BARANGAY PINAGSAMA - TAGUIG CITY</t>
  </si>
  <si>
    <t>DEPARTMENT OF EDUCATION - DIVISION OF SAMAR</t>
  </si>
  <si>
    <t>MUNICIPALITY OF BALO-I, LANAO DEL NORTE</t>
  </si>
  <si>
    <t>DON LUIS CONSING ELEMENTARY SCHOOL</t>
  </si>
  <si>
    <t>MUNICIPALITY OF CAJIDIOCAN, ROMBLON</t>
  </si>
  <si>
    <t xml:space="preserve">CADIZ EAST ELEMENTARY SCHOOL </t>
  </si>
  <si>
    <t>MUNICIPALITY OF BANAYOYO, ILOCOS SUR</t>
  </si>
  <si>
    <t>BARANGAY TONGONAN, KANANGA, LEYTE</t>
  </si>
  <si>
    <t>BARANGAY CONAYNAY, SANTA BARBARA, ILOILO</t>
  </si>
  <si>
    <t>NATIONAL IRRIGATION ADMINISTRATION - UPRIIS, DIVISION I</t>
  </si>
  <si>
    <t>BARANGAY IMBALBALATONG, POZORRUBIO, PANGASINAN</t>
  </si>
  <si>
    <t>MUNICIPALITY OF TIGAON, CAMARINES SUR</t>
  </si>
  <si>
    <t>BARANGAY SAN ISIDRO, SORSOGON CITY</t>
  </si>
  <si>
    <t>BARANGAY CENTRO 11 - TUGUEGARAO CITY</t>
  </si>
  <si>
    <t>MUNICIPALITY OF SAN JUAN, SIQUIJOR</t>
  </si>
  <si>
    <t>MUNICIPALITY OF BALANGKAYAN, EASTERN SAMAR</t>
  </si>
  <si>
    <t>CITY OF BACOLOD, NEGROS OCCIDENTAL</t>
  </si>
  <si>
    <t>MUNICIPALITY OF JAMINDAN, CAPIZ</t>
  </si>
  <si>
    <t>BARANGAY LOWER DIMOROK - MOLAVE ZAMBOANGA DEL SU</t>
  </si>
  <si>
    <t>MUNICIPALITY OF SIBULAN, NEGROS ORIENTAL</t>
  </si>
  <si>
    <t>MUNICIPALITY OF DATU BLAH T. SINSUAT - UPI MAGUINDANAO</t>
  </si>
  <si>
    <t>MUNICIPALITY OF LEYTE, LEYTE</t>
  </si>
  <si>
    <t>BARANGAY 151 ZONE 13 DISTRICT 2, MANILA CITY</t>
  </si>
  <si>
    <t>BARANGAY CONCEPCION -  MABINI BOHOL</t>
  </si>
  <si>
    <t>MUNICIPALITY OF ENRILE, CAGAYAN</t>
  </si>
  <si>
    <t>MUNICIPALITY OF SAN CLEMENTE, TARLAC</t>
  </si>
  <si>
    <t>DEPARTMENT OF SCIENCE AND TECHNOLOGY - REGION V</t>
  </si>
  <si>
    <t>MUNICIPALITY OF ARACELI, PALAWAN</t>
  </si>
  <si>
    <t>DEPARTMENT OF ENVIRONMENT AND NATURAL RESOURCES - COMPOSTELA</t>
  </si>
  <si>
    <t>LIGA NG MGA BARANGAY, MAGSINGAL, ILOCOS SUR CHAPTER</t>
  </si>
  <si>
    <t>PHILIPPINE HEALTH INSURANCE CORPORATION - REGION XI</t>
  </si>
  <si>
    <t>BARANGAY IGBON, CONCEPCION, ILOILO</t>
  </si>
  <si>
    <t>BARANGAY KATIPUNAN, SINACABAN, MISAMIS OCCIDENTAL</t>
  </si>
  <si>
    <t>PHILIPPINE STATISTICS AUTHORITY - ZAMBOANGA CITY</t>
  </si>
  <si>
    <t>PHILIPPINE SCIENCE HIGH SCHOOL - REGION XI</t>
  </si>
  <si>
    <t>BARANGAY WACK-WACK GREENHILLS EAST,</t>
  </si>
  <si>
    <t>DEPARTMENT OF ENVIRONMENT AND NATURAL RES. - PENRO-LOS BANOS</t>
  </si>
  <si>
    <t>DEPARTMENT OF AGRARIAN REFORM - MAIN</t>
  </si>
  <si>
    <t>PEOPLE'S TELEVISION NETWORK, INC.</t>
  </si>
  <si>
    <t>DEPARTMENT OF AGRARIAN REFORM - MISAMIS ORIENTAL</t>
  </si>
  <si>
    <t>BARANGAY SAN ISIDRO, CANDELARIA, QUEZON</t>
  </si>
  <si>
    <t>BARANGAY KINATIHAN 1, CANDELARIA, QUEZON</t>
  </si>
  <si>
    <t>DEPARTMENT OF SCIENCE AND TECHNOLOGY - CAR</t>
  </si>
  <si>
    <t>BARANGAY DALAOIG, ALCALA, CAGAYAN</t>
  </si>
  <si>
    <t>BOHOL ISLAND STATE UNIVERSITY - CLARIN CAMPUS</t>
  </si>
  <si>
    <t>BARANGAY TALOTO-AN, CONCEPCION, ILOILO</t>
  </si>
  <si>
    <t>BATANES GENERAL HOSPITAL</t>
  </si>
  <si>
    <t>AGRICULTURAL TRAINING INSTITUTE - REGION XI</t>
  </si>
  <si>
    <t>MUNICIPALITY OF SIRAWAI, ZAMBOANGA DEL NORTE</t>
  </si>
  <si>
    <t>MUNICIPALITY OF SAN VICENTE, ILOCOS SUR</t>
  </si>
  <si>
    <t>DEPARTMENT OF EDUCATION - DIVISION OF CALAMBA CITY</t>
  </si>
  <si>
    <t>PHILIPPINE HEALTH INSURANCE CORPORATION</t>
  </si>
  <si>
    <t>SOUTHERN LEYTE STATE UNIVERSITY - TOMAS OPPUS</t>
  </si>
  <si>
    <t>PHILIPPINE AMUSEMENT AND GAMING CORPORATION-DAVAO</t>
  </si>
  <si>
    <t>MUNICIPALITY OF SANTA BARBARA, PANGASINAN</t>
  </si>
  <si>
    <t>PHILIPPINE AMUSEMENT AND GAMING CORPORATION-ANGELES</t>
  </si>
  <si>
    <t>CABIAO NATIONAL HIGH SCHOOL - CABIAO NUEVA ECIJA</t>
  </si>
  <si>
    <t>CITY OF SANTA ROSA, LAGUNA</t>
  </si>
  <si>
    <t>DEPARTMENT OF FOREIGN AFFAIRS - MAIN</t>
  </si>
  <si>
    <t>DEPARTMENT OF EDUCATION - DIVISION OF LANAO DEL NORTE</t>
  </si>
  <si>
    <t>NATIONAL HOUSING AUTHORITY REGION 4 - QUEZON CITY METRO MANI</t>
  </si>
  <si>
    <t>COMMISSION ON ELECTIONS</t>
  </si>
  <si>
    <t>TALISAY DISTRICT HOSPITAL</t>
  </si>
  <si>
    <t>BUREAU OF FIRE PROTECTION - REGION I</t>
  </si>
  <si>
    <t>BARANGAY CATO-OGAN TOBIAS FORNIER ANTIQUE</t>
  </si>
  <si>
    <t>BUREAU OF QUARANTINE</t>
  </si>
  <si>
    <t>PROVINCE OF BASILAN</t>
  </si>
  <si>
    <t>PILI INTEGRATED SCHOOL - DANAO CITY CEBU</t>
  </si>
  <si>
    <t>CREDIT INFORMATION CORPORATION</t>
  </si>
  <si>
    <t>medical supplies</t>
  </si>
  <si>
    <t>Supply &amp; Delivery of Various Sporting Goods for Donations to Various Barangays, Himamaylan City</t>
  </si>
  <si>
    <t>medical and dental equipment</t>
  </si>
  <si>
    <t>Supply &amp; Delivery of Various Air-condition for Donations to Various Schools &amp; Barangays, Himamaylan City</t>
  </si>
  <si>
    <t>Ballpen  black (ordinary) etc. PR-2020-1081-0015</t>
  </si>
  <si>
    <t>Supply &amp; Delivery of Various Furniture’s use for Mayor's Office, Himamaylan City</t>
  </si>
  <si>
    <t>FOR THE CONSULTANCY SERVICES FOR THE CONDUCT OF PARCELLARY SURVEY PLAN FOR THE CONSTRUCTION OF BYPASS AND DIVERSION ROAD, PAGBILAO – TAYABAS – LUCBAN DIVERSION ROAD, QUEZON PROVINCE</t>
  </si>
  <si>
    <t>FOR THE CONSULTANCY SERVICES FOR THE CONDUCT OF HIGHWAY DETAILED ENGINEERING DESIGN AND TOPOGRAPHIC SURVEY FOR THE CONSTRUCTION OF BYPASS AND DIVERSION ROAD, PAGBILAO – TAYABAS – LUCBAN DIVERSION ROAD</t>
  </si>
  <si>
    <t>Automated Door System at Hostel and Flores Hall Building</t>
  </si>
  <si>
    <t>Supply and Deliver of Office Supplies, Photocopier Toner and Ink Supplies for the First Quarter of 2020 (January to March 2020)</t>
  </si>
  <si>
    <t>Supply &amp; Delivery of Various Furniture’s for Donations to Various Schools &amp; Barangays, Himamaylan City</t>
  </si>
  <si>
    <t>US Bond paper (long 8.5x14) PR-0452-032520</t>
  </si>
  <si>
    <t>SUPPLY AND DELIVERY OF UAV DRONE FOR DIGITALIZATION OF AGRICULTURE VALUE CHAIN IN CACAO AND COFFEE PRODUCTIVITY IN ZAMBOANGA DEL SUR”</t>
  </si>
  <si>
    <t>invitation to bid</t>
  </si>
  <si>
    <t>Procurement of Materials for the repair and maintenance of various government facilities</t>
  </si>
  <si>
    <t>office supplies and equipment</t>
  </si>
  <si>
    <t>CONSTRUCTION OF DAIRY FARM FACILITY</t>
  </si>
  <si>
    <t>Supply &amp; Delivery of Thirty (30) sets Solar Kit for Donations to Various Schools, Himamaylan City</t>
  </si>
  <si>
    <t>Disinfection Service (2020-445)</t>
  </si>
  <si>
    <t>Emergency Equipment for Operation Center	(2020-444)</t>
  </si>
  <si>
    <t>MOOE REQUEST</t>
  </si>
  <si>
    <t>Procurement of Medical Supplies Lot 2</t>
  </si>
  <si>
    <t>Procurement of Medical Supplies Lot 1</t>
  </si>
  <si>
    <t>Procurement of Garbage Bins</t>
  </si>
  <si>
    <t>INVITATION TO BID FOR REHABILITATION SUPPLIES  02-2020-05R</t>
  </si>
  <si>
    <t>Solar Light Panel</t>
  </si>
  <si>
    <t>Bond paper 216x330 mm/500 sheets/70g/m2 etc. PR-2020-1021-0042</t>
  </si>
  <si>
    <t>Procurement of 6 unit of Epson Printer L3150</t>
  </si>
  <si>
    <t>Purchase of 1 Unit 3TR FLOOR MOUNTED AIRCON</t>
  </si>
  <si>
    <t>Procurement of Tuberculosis Personal Protective Equipment</t>
  </si>
  <si>
    <t>Purchase of Food Commodities  for Supplementary Feeding</t>
  </si>
  <si>
    <t>Construction of Canal Lining and Pathway at Dreamland,Evangelista St.Brgy. Muzon II,Rosario, Cavite</t>
  </si>
  <si>
    <t>Supply and Delivery of General Merchandise</t>
  </si>
  <si>
    <t>Purchase of medical, dental and laboratory supplies for regular use of Municipal Health Office</t>
  </si>
  <si>
    <t>P.R. # 20-0051 - Supply &amp; delivery of Asphalt Cement and Emulsified Asphalt for Engineering and Construction Department.</t>
  </si>
  <si>
    <t>Supply &amp; Delivery of Various Appliance for Donations to Various Schools &amp; Barangays, Himamaylan City</t>
  </si>
  <si>
    <t>AGR-20-0594-B-Rebid Purchase of Construction Supplies and Materials</t>
  </si>
  <si>
    <t>Completion of Manpower Development Center at Purok Bulaong Phase 2, Brgy. Labangal</t>
  </si>
  <si>
    <t>Procurement of stair railings, wooden steps, tables, chairs and electrical fixtures for LGU Multi-Purpose Hall</t>
  </si>
  <si>
    <t>Purchase of 249PCS CUSTOMIZED POLO SHIRTS W/ EMBROIDERED BRGY. LOGO</t>
  </si>
  <si>
    <t>INVITATION TO BID</t>
  </si>
  <si>
    <t>Procurement of Qualitative Fit Test Kit for N95</t>
  </si>
  <si>
    <t>Purchasing of Common Use Office Supplies for 2nd Quarter</t>
  </si>
  <si>
    <t>Office Supplies of the Municipal Agriculture Office</t>
  </si>
  <si>
    <t>P.R. # 20-0089 - Supply &amp; delivery of Poly ALuminum Chloride (PAC) Powder for use in water treatment.</t>
  </si>
  <si>
    <t>Supply and Delivery of General Merchandise (Shoes)</t>
  </si>
  <si>
    <t>Procurement of Personal Protective Equipment</t>
  </si>
  <si>
    <t>MOOE for Cawayan E/S, Pangyan E/S Lorenzo E/S (Clustered Schools)</t>
  </si>
  <si>
    <t>Completion of Manpower Development Center at Purok Doña Soledad Phase 1-East, Brgy. Labangal</t>
  </si>
  <si>
    <t>P.R. # 20-0062 - Supply &amp; delivery of Hardware Materials for Subdivision Interconnection Works for Fatima Homes Subdivision, San Roque.</t>
  </si>
  <si>
    <t>General Repair and Maintenance Services</t>
  </si>
  <si>
    <t>Procurement of Fetal Doppler</t>
  </si>
  <si>
    <t>Procurement of Disinfection Equipment Package</t>
  </si>
  <si>
    <t>PROCUREMENT OF OFFICE EQUIPMENT</t>
  </si>
  <si>
    <t>Supply and delivery animal supplies/supplements to be used for the implementation of the Organic Agriculture Program with PR#2020-06-18-222 and ABC of P83,000.00</t>
  </si>
  <si>
    <t>74633_Supply &amp; Delivery of Hand Held Radio</t>
  </si>
  <si>
    <t>purchase of dash cam</t>
  </si>
  <si>
    <t>2hp aircon wall mounted split type with installation PR-2020-9999-1635</t>
  </si>
  <si>
    <t>Reflectorized paint white PR-2020-1011-0238</t>
  </si>
  <si>
    <t>SUPPLY DELIVERY OF MEALS &amp; SNACKS</t>
  </si>
  <si>
    <t>Procurement of General Equipment Package Lot 4</t>
  </si>
  <si>
    <t>Mandaue Pin PR-2020-9999-0858</t>
  </si>
  <si>
    <t>SUPPLY AND DELIVERY OF CONSTRUCTION MATERIALS</t>
  </si>
  <si>
    <t>Procurement of General Equipment Package Lot 3</t>
  </si>
  <si>
    <t>Type A uniform (customized fit to individual) etc. PR-2020-1011-0218</t>
  </si>
  <si>
    <t>Purchase of Storage boxes</t>
  </si>
  <si>
    <t>For Flexible Learning use.</t>
  </si>
  <si>
    <t>Package 1 Construction of Various Infrastructure Projects</t>
  </si>
  <si>
    <t>Sweatshirt etc. PR-2020-6542-0013</t>
  </si>
  <si>
    <t>Package 2 Construction of Various Infrastructure Projects</t>
  </si>
  <si>
    <t>Floor mounted airconditioner etc. PR-2020-9999-1401</t>
  </si>
  <si>
    <t>Procurement of Radiologic Package</t>
  </si>
  <si>
    <t>Procurement of Civil works for the Construction of Boundary Fence Municipal Agriculture Nursery Site, Poblacion A, Mlang, Cotabato.</t>
  </si>
  <si>
    <t>RAPAIR AND MAINTENANCE OF LGU GARBAGE TRUCK</t>
  </si>
  <si>
    <t>Procurement of General Equipment Package Lot 2</t>
  </si>
  <si>
    <t>Supply and delivery of seeds, fertilizers and top soil to be used for the projects of Research Division with PR#2020-06-25-326 and ABC of P124,970.00</t>
  </si>
  <si>
    <t>ADH-20-0303-B PURCHASE OF OFFICE SUPPLIES</t>
  </si>
  <si>
    <t>Supply and Delivery of Printing Supplies</t>
  </si>
  <si>
    <t>ADH-20-0304-B PURCHASE OF HOUSEKEEPING SUPPLIES</t>
  </si>
  <si>
    <t>Procurement of O2 Equipment Lot</t>
  </si>
  <si>
    <t>Procurement of Laboratory Equipment Lot 1</t>
  </si>
  <si>
    <t>ADH-20-0210-B PURCHASE OF MEDICAL SUPPLIES</t>
  </si>
  <si>
    <t>Procurement of Hepa Filter</t>
  </si>
  <si>
    <t>Procurement of General Equipment Package Lot 1</t>
  </si>
  <si>
    <t>Procurement of General Equipment Package Lot 6</t>
  </si>
  <si>
    <t>Procurement of General Equipment Package Lot 5</t>
  </si>
  <si>
    <t>Procurement of Newborn Hearing Screening Test Kit</t>
  </si>
  <si>
    <t>SUPPLY AND DELIVERY OF INTEGRATED EARLY WARNING SYSTEM PHASE 1</t>
  </si>
  <si>
    <t>ADH-20-0209-B PURCHASE OF MEDICAL SUPPLIES</t>
  </si>
  <si>
    <t>SUPPLY AND DELIVERY OF SCHOOL SUPPLIES</t>
  </si>
  <si>
    <t>ADH-20-0299-B(REBID) PURCHASE OF LABORATORY SUPPLIES</t>
  </si>
  <si>
    <t>Purchase of Response Vehicle</t>
  </si>
  <si>
    <t>SUPPLY OF RICE</t>
  </si>
  <si>
    <t>Purchase of Patient Transport Vehicle</t>
  </si>
  <si>
    <t>Procurement of Laboratory Equipment Lot 2</t>
  </si>
  <si>
    <t>Procurement of Ultrasound Machine 4D</t>
  </si>
  <si>
    <t>Supply and delivery of animal feeds to be used for the projects of Research Division under Regular R&amp;D with PR#2020-06-25-327 and ABC of P143,910.00</t>
  </si>
  <si>
    <t>PRB-Supply and Delivery of Office Supplies and Forms CY 2020</t>
  </si>
  <si>
    <t>PRB-Supply and Delivery of Office Tables &amp; Chairs (Pavilion 2) CY 2019</t>
  </si>
  <si>
    <t>Procurement of Medical Instrument Package</t>
  </si>
  <si>
    <t>Subsurface Exploration/Geotechnical Survey of Proposed FY @2021 Bridges Projects, Bataan 1st District</t>
  </si>
  <si>
    <t>Procurement of Special Equipment Package Lot 3</t>
  </si>
  <si>
    <t>Supply and Delivery of 95 packs Plastic bags 20x30x.002 and 200 boxes Rubber band small for use in the fingerling dispersal distribution regionwide</t>
  </si>
  <si>
    <t>SUPPLY AND DELIVERY OF OUTBOARD MACHINE</t>
  </si>
  <si>
    <t>Procurement of Special Equipment Package Lot 2</t>
  </si>
  <si>
    <t>Procurement of Special Equipment Package Lot 1</t>
  </si>
  <si>
    <t>020-GOODS-032 / CONSTRUCTION PROJECTS</t>
  </si>
  <si>
    <t>Supply and delivery of AGRICULTURAL MACHINERIES</t>
  </si>
  <si>
    <t>Request for Quotation for 20 pieces Patient Satisfaction Survey Boxes 0385</t>
  </si>
  <si>
    <t>INFR-20-019– CONSTRUCTION OF BRIDGE (LENGTH 55.00 m) PHASE II, CONNECTING BARANGAY SANTIAGO TO BARANGAY BUENAVISTA I, CITY OF GEN. TRIAS, CAVITE</t>
  </si>
  <si>
    <t>Request for Quotation for IV Extension Tubings and Perfusor Tubings 20-06-0384</t>
  </si>
  <si>
    <t>Bond paper short etc. PR-2020-9999-1583</t>
  </si>
  <si>
    <t>Procurement of School and Office Supples</t>
  </si>
  <si>
    <t>106CO-6IB, 6ID, PA-2020-461</t>
  </si>
  <si>
    <t>Procurement of Special Equipment Package Lot 4</t>
  </si>
  <si>
    <t>Supply/Delivery for Laboratory Equipment of Automotive  Isulan Campus</t>
  </si>
  <si>
    <t>ADH-20-0208-B PURCHASE OF DRUGS AND MEDICINES</t>
  </si>
  <si>
    <t>Improvement/Rehabilitation of Local Road at Silangan, Santa Maria, Bulacan</t>
  </si>
  <si>
    <t>RFQ / PR 20-06-0296 / PROCUREMENT OF CONSTRUCTION MATERIALS FOR PROPOSED SERVER AND RECORDS ROOM</t>
  </si>
  <si>
    <t>Various Infrastructure Projects in Las Piñas City</t>
  </si>
  <si>
    <t>Supply and delivery of OFFICE FURNITURES</t>
  </si>
  <si>
    <t>Improvement/Rehabilitation of Local Road at San Vicente, Santa Maria, Bulacan</t>
  </si>
  <si>
    <t>RFQ for Diesel</t>
  </si>
  <si>
    <t>Rehabilitation &amp; improvement of Barangay Waterworks System at Barangay San Pablo, Bauan, Batangas</t>
  </si>
  <si>
    <t>Widening of road at Barangay Sinala, Bauan, Batangas</t>
  </si>
  <si>
    <t>Concreting of road at Barangay Alagao, Bauan, Batangas</t>
  </si>
  <si>
    <t>020-GOODS-030 / CONSTRUCTION PROJECTS</t>
  </si>
  <si>
    <t>Improvement/Rehabilitation of Local Road at Catmon, Santa Maria, Bulacan</t>
  </si>
  <si>
    <t>NCR-2007-001: PROCUREMENT OF STEEL OPEN SHELVES</t>
  </si>
  <si>
    <t>NBC-0220-083</t>
  </si>
  <si>
    <t>020-GOODS-053 / GENERAL MERCHANDISE</t>
  </si>
  <si>
    <t>Consultancy Services</t>
  </si>
  <si>
    <t>2020-017 Provision of meals, snacks, and accommodation for the conduct of Product Development Training on Processing, Packaging and Labelling of Proponent Groups of I-REAP subprojects</t>
  </si>
  <si>
    <t>20GB0127 - Construction of 1 Storey Two (2) Classroom School Building at  Cabunga-an ES, San Remigio, Antique</t>
  </si>
  <si>
    <t>20GB0126 - Construction of 1 Storey Two (2) Classroom School Building at  Maybunga PS, Laua-an, Antique</t>
  </si>
  <si>
    <t>2020-020 Provision of meals, snacks, and accommodation for the conduct of Training on proper Handling of Food and Food Safety Awareness and Introduction to Hazard Analysis and Critical Control Points</t>
  </si>
  <si>
    <t>20GB0125 - Construction of 1 Storey Three (3) Classroom School Building at  Capnayan PS, Laua-an, Antique</t>
  </si>
  <si>
    <t>PURCHASE OF MAINTENANCE MEDICINE TO BE USED AT THE MUNICIPAL HEALTH OFFICE</t>
  </si>
  <si>
    <t>20GB0124 - Construction of 1 Storey Two (2) Classroom School Building at  Alberto Siasat ES (Casalngan ES), Hamtic, Antique</t>
  </si>
  <si>
    <t>PR NO. 122-20 MEDICAL SUPPLIES FOR COVID-19 PREPAREDNESS AND REAPONSE (DRRM)</t>
  </si>
  <si>
    <t>PROCUREMENT OF GOODS FOR THE CONSTRUCTION OF CANAL ALONG PRECILLO BAWINGAN TO MOISES DOMEPNAS AT PATIACAN, QUIRINO, ILOCOS SUR</t>
  </si>
  <si>
    <t>OFFICE SUPPLIES</t>
  </si>
  <si>
    <t>2020-018 Provision of meals, snacks, and accommodation for the conduct of RPCO 1-PPMIU-PG Coordination Meeting re. Discuss Updates on the Implementation of PRDP in Region 1</t>
  </si>
  <si>
    <t>20GB0133 - Construction of 2 Units Unique Workshop (9x22.5m) School Building  at  Gen. Leandro Fullon NS, Hamtic, Antique</t>
  </si>
  <si>
    <t>20GB0132 - Construction of 3 Storey Nine (9) Classroom School Building  at  Igburi National High School, Patnongon, Antique</t>
  </si>
  <si>
    <t>2020-019 Provision of meals, snacks, and accommodation for the conduct of Taxation and Records Management Training for Small and Medium Enterprises under IREAP subprojects</t>
  </si>
  <si>
    <t>20GB0131 - Construction of 4 Storey Twenty (20) Classroom School Building  at  Belison NHS, Belison, Antique</t>
  </si>
  <si>
    <t>1 J.O. Supply of Labor and Materials for Repair of Motor Vehicle with Plate No. XR150/1101-209346</t>
  </si>
  <si>
    <t>Supply and Delivery of Calibration of Laboratory Equipments</t>
  </si>
  <si>
    <t>Improvement/Rehabilitation of Local Road at J. Barcial St., Mag-asawang Sapa, Santa Maria, Bulacan</t>
  </si>
  <si>
    <t>PR No. 20061132 – Supply and Delivery of Police, Military&amp; Security Equipment for CNPJ Security Supplies Use</t>
  </si>
  <si>
    <t>20L00057 : Construction of Police Station 12 Building, Marilog, Davao City</t>
  </si>
  <si>
    <t>20GB0128 - Construction of 2 Units 1 Storey Two (2) Classroom School Building  at  Apong Elementary School, Sibalom, Antique</t>
  </si>
  <si>
    <t>Meals and Snacks for the Fourth Level Training on 2020 Census of Population and Housing at the Municipality of Calauan</t>
  </si>
  <si>
    <t>Rehabilitation of Solar Streetlights, Cory Aquino Boulevard, Camarines Norte</t>
  </si>
  <si>
    <t>SUPPLY &amp; DELIVERY OF IT EQUIPMENT</t>
  </si>
  <si>
    <t>Meals and Snacks for the Fourth Level Training on 2020 Census of Population and Housing at the Municipality of Victoria</t>
  </si>
  <si>
    <t>Supply / Delivery of Tubeless Tires 27 x 8.5 R14 AT and Tire with Flap &amp; Tube 700-15</t>
  </si>
  <si>
    <t>20GB0130 - Construction of 2 Units 1 Storey Two (2) Classroom School Building  at  Lawigan ES, Tobias Fornier (DAO), Antique</t>
  </si>
  <si>
    <t>Supply / Delivery of 24 pcs. Cellcards 300</t>
  </si>
  <si>
    <t>Supply and Delivery of Laboratory Supplies for Development of Seaweed-based Bioplastic</t>
  </si>
  <si>
    <t>20L00142 : Construction of Concrete Bridge – Talomo Bridge 4, Davao City</t>
  </si>
  <si>
    <t>Tires for CDH-2020-0091</t>
  </si>
  <si>
    <t>Meals and Snacks for the Fourth Level Training on 2020 Census of Population and Housing at the Municipality of Alaminos</t>
  </si>
  <si>
    <t>VARIOUS ELECTRICAL SUPPLIES</t>
  </si>
  <si>
    <t>Improvement/Rehabilitation of Local Road at Main Road, Mag-asawang Sapa, Santa Maria, Bulacan</t>
  </si>
  <si>
    <t>20GB0129 - Construction of 1 Storey Two (2) Classroom School Building at Tigbaboy PS, Tibiao, Antique</t>
  </si>
  <si>
    <t>"Procurement of Software and equipment to be use as additional resources for laboratory and research activities in various courses of the Straight Bachelors-Master(SBM) and Straight Master- Doctorate</t>
  </si>
  <si>
    <t>20GB0134 - Construction of 4 Units 1 Storey Three (3) Classroom School Building  at  Kawit Integrated School, Culasi, Antique</t>
  </si>
  <si>
    <t>Construction of Flag Pole and Tables in Provincial Training Center - Candon City</t>
  </si>
  <si>
    <t>Meals and Snacks for the Fourth Level Training on 2020 Census of Population and Housing at the Municipalities of Siniloan and Famy</t>
  </si>
  <si>
    <t>Construction Material for the Installation of Street Lights at Brgy. Pogonlomboy, Mangatarem, Pangasinan</t>
  </si>
  <si>
    <t>Package 3 Construction of Various Infrastructure Projects</t>
  </si>
  <si>
    <t>Construction of Drainage Canal at Mag-asawang Sapa, Santa Maria, Bulacan</t>
  </si>
  <si>
    <t>VARIOUS HARDWARE SUPPLIES</t>
  </si>
  <si>
    <t>Construction of Drainage Canal at Buenavista, Santa Maria, Bulacan</t>
  </si>
  <si>
    <t>Meals and Snacks for the Fourth Level Training on 2020 Census of Population and Housing at the Municipalities of Magdalena and Majayjay</t>
  </si>
  <si>
    <t>Construction of Drainage Canal at Poblacion, Santa Maria, Bulacan</t>
  </si>
  <si>
    <t>SUPPLY AND DELIVERY OF AUDIO VIDEO EQUIPMENT PLUS</t>
  </si>
  <si>
    <t>Construction of Drainage Canal at Bulac, Santa Maria, Bulacan</t>
  </si>
  <si>
    <t>Supply and Delivery of Global Navigation Satellite System (GNSS) Equipment for Use of Various District Engineering Offices (CY 2020)</t>
  </si>
  <si>
    <t>SUPPLY AND DELIVERY OF VARIOUS IT EQUIPMENT</t>
  </si>
  <si>
    <t>Request for Quotation of Construction Supplies</t>
  </si>
  <si>
    <t>CONSTRUCTION OF TWO STOREY TANOD OUTPOST (PHASE 1)</t>
  </si>
  <si>
    <t>Improvement of Multi-Purpose Covered Court at Sta. Cruz, Santa Maria, Bulacan</t>
  </si>
  <si>
    <t>SUPPLY DELIVERY AND INSTALLATION OF ACU</t>
  </si>
  <si>
    <t>Meals and Snacks for the Fourth Level Training on 2020 Census of Population and Housing at the Municipalities of Pakil and Pangil</t>
  </si>
  <si>
    <t>ROAD CONCRETING OF 2.0m x 0.2m x 72m ROAD</t>
  </si>
  <si>
    <t>Construction of Drainage Canal at San Vicente, Santa Maria, Bulacan</t>
  </si>
  <si>
    <t>Meals and Snacks for the Fourth Level Training on 2020 Census of Population and Housing at the Municipalities of Luisiana and Cavinti</t>
  </si>
  <si>
    <t>Concreting of Brgy. Road</t>
  </si>
  <si>
    <t>Improvement of Multi-Purpose Covered Court at Guyong, Santa Maria, Bulacan</t>
  </si>
  <si>
    <t>Purchase of Asphalt for Patching of Potholes around Vigan City</t>
  </si>
  <si>
    <t>Construction of Diversion Dams, Main Canals, Lateral A, Lateral B, Lateral B-1 &amp; Appurtenant Structures &amp; Access Roads of Mapantao, Mapantao-Lubo, Bararay &amp; Tungcopan CIS (Cluster1)</t>
  </si>
  <si>
    <t>Purchase of Two (2) Units Garbage Truck for LGU - Santa Maria, Bulacan</t>
  </si>
  <si>
    <t>Rehabilitation of Municipal Gymnasium</t>
  </si>
  <si>
    <t>G-2020-408 Supply and Delivery of Furniture &amp; Fixtures, City Schools Division</t>
  </si>
  <si>
    <t>Construction of Guinobatan Fire Station, Albay</t>
  </si>
  <si>
    <t>School Office Supplies &amp; COVID-19 Response Items</t>
  </si>
  <si>
    <t>Supply and Delivery of Fuel for the use of Governor’s Office</t>
  </si>
  <si>
    <t>G-2020-413 Supply and Installation of Modular Partition, City Human Resource And Management Office</t>
  </si>
  <si>
    <t>THE WEBINAR SERIES: WHOLE BRAIN LITERACY SELF-MASTERY CAPABILITY BUILDING PROGRAM</t>
  </si>
  <si>
    <t>Construction of Lavatories in Provincial Training Center - Candon City</t>
  </si>
  <si>
    <t>Supply and Delivery of Various Garden Tools &amp; Materials</t>
  </si>
  <si>
    <t>Procurement of materials for the Installation of Combat wire at perimeter Fence and electrical supplies for the Lightnings and electricity of offices and tower at tarlac Provinvial Jail</t>
  </si>
  <si>
    <t>G-2020-389 Supply and Delivery of I.T. Equipment, City Schools Division</t>
  </si>
  <si>
    <t>20BC0167 re-adv.- Construction of 1 Storey 3 Classroom with CR, Canayun Elementary School, Canayun, Abulug, Cagayan</t>
  </si>
  <si>
    <t>Purchase of Air-conditioning units for Quarantine Facility use at Playa De Oro Resort</t>
  </si>
  <si>
    <t>Construction of Pasacao Fire Station, Camarines Sur</t>
  </si>
  <si>
    <t>Supply and Delivery of Various Medicines at Municipal Health Office, Santa Maria, Bulacan</t>
  </si>
  <si>
    <t>DIGITAL COPIER, PRINTER/SCANER FUNCTION, HEAVY DUTY</t>
  </si>
  <si>
    <t>CONSTRUCTION OF OPEN CANAL</t>
  </si>
  <si>
    <t>20BC0160 re-adv.- Construction of 1 Storey 3 Classroom with CR (Building 1), Abulug Central Elementary School, Abulug, Cagayan</t>
  </si>
  <si>
    <t>SUPPLY AND DELIVERY OF ADMINISTRATIVE FACILITIES AT NFA PALAWAN PROVINCIAL OFFICE, PUERTO PRINCESA CITY</t>
  </si>
  <si>
    <t>Construction of Viga Fire Station, Catanduanes</t>
  </si>
  <si>
    <t>Construction of  Irrigation Facilities/Sta. Paz</t>
  </si>
  <si>
    <t>Purchase of Canopies to be Distributed at Brgy. Caoile Olegario, Parian and Suaco, Mangatarem, Pangasinan</t>
  </si>
  <si>
    <t>Contract ID No. 19K00461 - Construction of Brgy. Bubong Camalig FMR, Brgy. Bubing Camalig, Marantao, Lanao del Sur (RE-ITB)</t>
  </si>
  <si>
    <t>PROCUREMENT OF CONFERENCE SYSTEM AND ICT EQUIPMENT</t>
  </si>
  <si>
    <t>Procurement of Information and Communication Technology Equipment for the GIS mapping for CMGP/PGRR projects</t>
  </si>
  <si>
    <t>BangUN : 9,400	Set	Eating Utensils To be used for Bangun feeding in provinces of Sulu, Basilan, and Tawi-Tawi for 2020</t>
  </si>
  <si>
    <t>REHABILITATION OF POBLACION WATER WORKS SYSTEM, POBLACION,BALBALAN,KALINGA</t>
  </si>
  <si>
    <t>SVP PUR20-06-0523 Procurement of Disposable non-woven isolation gown, etc., DOPS</t>
  </si>
  <si>
    <t>PROVISION OF FOOD, VENUE AND ACCOMMODATION FOR THE CONDUCT OF TRAINING ON ADVANCE DIVING COURSE IN PUERTO GALERA</t>
  </si>
  <si>
    <t>SUPPLY AND DELIVERY OF MICROSCOPE</t>
  </si>
  <si>
    <t>POWDERED MILK</t>
  </si>
  <si>
    <t>PROCUREMENT OF ICT EQUIPMENT SUPPLIES</t>
  </si>
  <si>
    <t>S1-OMS20-030 - Supply, Delivery and Test of Handheld On-Line Partial Discharge Tester and Power Quality Analyzer &amp; Energy Meter</t>
  </si>
  <si>
    <t>PROVISION OF SERVICES FOR THE 6-DAY TRAINING ON ADVANCE DIVING COURSE</t>
  </si>
  <si>
    <t>ITB No. 2020-07-25 Supply and Delivery of Various Agricultural Supplies</t>
  </si>
  <si>
    <t>Supply of Labor, Materials and Equipment for the Laying including Tapping of New Two (2) Units Water Line of the Hospital to the Provincial Water Works Main Line with Two (2) Inches in Diameter Pipe a</t>
  </si>
  <si>
    <t>PURCHASE OF SUPPLIES FOR THE REPAIR AND MAINTENANCE OF WATER SYSTEM</t>
  </si>
  <si>
    <t>Purchase of Additional Office Furniture and Fixture for Regional Office</t>
  </si>
  <si>
    <t>Purchase of Flood Light</t>
  </si>
  <si>
    <t>PROCUREMENT OF IT EQUIPMENT FOR IMPROVEMENT OF NETWORK SECURITY, CONNECTIVITY, AND LAN OF VARIOUS UTLITY SYSTEM AND SPARE EQUIPMENT FOR WIRELESS CONNECTIONS OF ACWD MAIN AND POGO OFFICES</t>
  </si>
  <si>
    <t>20BC0214 - Construction of Multi-Purpose Building at Barangay Simayung, Abulug, Cagayan</t>
  </si>
  <si>
    <t>Supply and Delivery of Diesel Fuel</t>
  </si>
  <si>
    <t>RFQ-DVO-PR.NO. 2006220 CAT. AUDIO VIDEO EQUIPMENT</t>
  </si>
  <si>
    <t>SDH-20-0769-B MEDICAL EQUIPMENT</t>
  </si>
  <si>
    <t>PR-2020-1550 Tent, Steel Frame-PGO</t>
  </si>
  <si>
    <t>20BC0213 - Construction of Multi-Purpose Building at Barangay Simayung, Abulug, Cagayan</t>
  </si>
  <si>
    <t>BangUN : 188	SET	COOKING UTENSILS FOR BANGUN FEEDING IN 3 PROVINCES OF ARMM (BASILAN, SULU AND TAWI-TAWI)</t>
  </si>
  <si>
    <t>SDH-20-0771-B MEDICAL EQUIPMENT</t>
  </si>
  <si>
    <t>S2-B2020-005 - Supply, Delivery and Installation of Auxiliary Equipment for Power Barge 120</t>
  </si>
  <si>
    <t>Rehabilitation of Day Care Center at Bgy. Mamlad, Jovellar, Albay</t>
  </si>
  <si>
    <t>Medical and Equipment</t>
  </si>
  <si>
    <t>Construction of Pathway at Bgy. Quitinday, Jovellar, Albay</t>
  </si>
  <si>
    <t>Negotiated Procurement - Small Value Procurement - Tiles, Tile Adhesive and Tile Grout</t>
  </si>
  <si>
    <t>ITB-CONSTRUCTION OF BARANGAY STREET LIGHTS</t>
  </si>
  <si>
    <t>procurement and installation of closed circuit television (cctv)</t>
  </si>
  <si>
    <t>Rehabilitation of Multi-Purpose Hall at Bgy. Estrella, Jovellar, Albay</t>
  </si>
  <si>
    <t>Rehabilitation of Multi-Purpose Hall at Bgy. Maogog, Jovellar, Albay</t>
  </si>
  <si>
    <t>POWDERED MILK AND PACKAGING MATERIALS</t>
  </si>
  <si>
    <t>Supply and Delivery of Orthopedic Implants</t>
  </si>
  <si>
    <t>Rehabilitation of Health Center at Bgy. Calzada, Jovellar, Albay</t>
  </si>
  <si>
    <t>Rehabilitation of Multi-Purpose Hall at Bgy. San Vicente, Jovellar, Albay</t>
  </si>
  <si>
    <t>SDH-20-0770-B MEDICAL EQUIPMENT</t>
  </si>
  <si>
    <t>Project: Procurement of Hardware Materials used for Construction of Slaughterhouse @ Brgy. Honrado Socorro, SDN</t>
  </si>
  <si>
    <t>Technical Consultant for the Documentation and Development of the Manual of Operation for the Registry of Barangay Inhabitants and Migrants (RBIM)</t>
  </si>
  <si>
    <t>Construction of Health Center (Phase 5) at Bgy. Florista, Jovellar, Albay</t>
  </si>
  <si>
    <t>Construction of Footbridge at Purok 6, Bgy. Bautista, Jovellar, Albay</t>
  </si>
  <si>
    <t>Rehabilitation of Multi-Purpose Hall at Bgy. Florista, Jovellar, Albay</t>
  </si>
  <si>
    <t>Estimation of the Effect of the COVID-19 Pandemic on Preventable Maternal Deaths and Unplanned Pregnancy thru a Research Institution Duration July to September 2020 (See attached Term of Reference TOR</t>
  </si>
  <si>
    <t>Procurement of Office Supplies</t>
  </si>
  <si>
    <t>PROCUREMENT OF MEDICAL SUPPLIES &amp; PARAPHERNALIA</t>
  </si>
  <si>
    <t>Rehabilitation of Multi-Purpose Hall at Bgy. Villa Paz, Jovellar, Albay</t>
  </si>
  <si>
    <t>Construction of Pathway at Bgy. Mamlad, Jovellar, Albay</t>
  </si>
  <si>
    <t>20BC0184 re-adv. - Construction of 2 Storey 2 Classroom 2 Laboratory, Abulug National Rural Vocational High School, Abulug, Cagayan</t>
  </si>
  <si>
    <t>Construction of Pathway and Footbridge leading to Sinagaran Elementary School, Bgy. Sinagaran, Jovellar, Albay</t>
  </si>
  <si>
    <t>Construction of Pathway leading to San Vicente Elementary School, Bgy. San Vicente, Jovellar, Albay</t>
  </si>
  <si>
    <t>Procurement of Thermal Scanner and Face Masks</t>
  </si>
  <si>
    <t>Construction of Pathway leading to Multi-Purpose Hall at Bgy. Bagacay, Jovellar, Albay</t>
  </si>
  <si>
    <t>purchase and installation of roll up blinds</t>
  </si>
  <si>
    <t>Construction of Pathway at Bgy. Bautista, Jovellar, Albay</t>
  </si>
  <si>
    <t>Construction of Pathway at Purok 5, Bgy. Bagacay, Jovellar, Albay</t>
  </si>
  <si>
    <t>Construction of Footbridge at Purok 4, Bgy. Bautista, Jovellar, Albay</t>
  </si>
  <si>
    <t>Provision of Group Handwashing Facility with Flat Roofing , counter and tile finish at bldg.2</t>
  </si>
  <si>
    <t>Printing and Sorting of Learning Packets</t>
  </si>
  <si>
    <t>PRB-Supply and Delivery of Psychological Testing Forms &amp; Booklets (Lot) CY 2019</t>
  </si>
  <si>
    <t>Repair of Handwashing and Drinking Facility at Bldg. 1</t>
  </si>
  <si>
    <t>Construction of Main Canals, LMC, RMC, Lateral A, Lateral B &amp; Appurtenant Structures and Access of Niogpolo and Kianodan CIS (Cluster 3)</t>
  </si>
  <si>
    <t>Construction of Pathway Phase II at Sitio Monreal West, Bgy. Del Rosario, Jovellar, Albay</t>
  </si>
  <si>
    <t>G-2020-390 Supply and Delivery of Emergency Rescue Truck with Rubber Boat, Local Disaster Risk Reduction Management Division</t>
  </si>
  <si>
    <t>Construction Materials and Supplies</t>
  </si>
  <si>
    <t>Procurement of Printers for Modules</t>
  </si>
  <si>
    <t>Learners Packet for Junior High School Students (Learning Modules) of SFMNHS for SY 2020-2021</t>
  </si>
  <si>
    <t>Construction of Main Canals, LMC, RMC, Lateral A, Lateral B, Lateral C, Lateral D &amp; Appurtenant Structures of Pangadapun, Gamot, Karigongan and Kilugay CIS (Cluster 2)</t>
  </si>
  <si>
    <t>Construction of Pathway Phase II at Sitio Monreal East, Bgy. Del  Rosario, Jovellar, Albay</t>
  </si>
  <si>
    <t>REHABILITATION OF LINED CANAL AT PUROK 1, BARANGAY SAN CARLOS, LIPA CITY, BATANGAS</t>
  </si>
  <si>
    <t>Construction of Pathway at Bgy. Salvacion, Jovellar, Albay</t>
  </si>
  <si>
    <t>2020-06-0129 - PROCUREMENT OF VEHICLES FOR UE IN THE FIELD OPERATION OF MAINTENANCE SECTION WITHIN THE JURISDICTION OF DPWH BUKIDNON 3RD DISTRICT ENGINEERING OFFICE, DICKLUM, MANOLO FORTICH, BUKIDNON</t>
  </si>
  <si>
    <t>Installation of Streetlights</t>
  </si>
  <si>
    <t>Road Concreting</t>
  </si>
  <si>
    <t>CONSTRUCTION SUPPLIES</t>
  </si>
  <si>
    <t>Purchase of medical supplies for use in the disinfection and protection amidst COVID pandemic to be utilized at DPWH Quezon II DEO, Lucena City</t>
  </si>
  <si>
    <t>SHS Provision of Printer For Modules</t>
  </si>
  <si>
    <t>SHS Provision of Office Supplies</t>
  </si>
  <si>
    <t>SHS Provision of Thermal Scanner</t>
  </si>
  <si>
    <t>SUPPLY AND DELIVERY OF ELECTRICAL SUPPLIES</t>
  </si>
  <si>
    <t>Procurement of Lumber &amp; Aggregates used for Construction of Brgy. Road @ P-1 Brgy. Dona Helene, Socorro, SDN</t>
  </si>
  <si>
    <t>Procurement of Tarpaulin used for Construction of P-1 Brgy. Street @ Brgy. Del Pilar, Socorro, SDN</t>
  </si>
  <si>
    <t>Procurement of Lumber &amp; Aggregates used for Construction of P-1 Brgy. Street @ Brgy. Del Pilar, Socorro, SDN</t>
  </si>
  <si>
    <t>Provision of Agricultural Tools for Seminar on Organic Vegetable Production with Provision of Starter Kits (7 Batches)</t>
  </si>
  <si>
    <t>Procurement of Tarpaulin used for Construction of Brgy. Road @ P-1 Brgy. Dona Helene, Socorro, SDN</t>
  </si>
  <si>
    <t>CONCRETING OF BARANGAY ROADS AT SITIO DUHAT BACAO, TAYSAN BATANGAS</t>
  </si>
  <si>
    <t>Procurement of Hardware Materials used for Construction of Brgy. Road @ P-1 Brgy. Dona Helene, Socorro, SDN</t>
  </si>
  <si>
    <t>CONCRETING OF ROAD AT SITIO LOURDES</t>
  </si>
  <si>
    <t>SUPPLY AND DELIVERY OF OFFICE SUPPLIES</t>
  </si>
  <si>
    <t>Procurement of Billboard used for Construction of Slaughterhouse @ Brgy. Honrado Socorro, SDN</t>
  </si>
  <si>
    <t>Procurement of Consolidated Agricultural Supplies of RICE Program for the month of August 2020</t>
  </si>
  <si>
    <t>Procurement of Training Materials for the conduct of 2 Batches of FSTP Phase 1 and 1 Batch for FSTP Phase III</t>
  </si>
  <si>
    <t>SUPPLY/DELIVERY OF CONSTRUCTION MATERIALS FOR REPAIR/REHABILITATION OF CHECKGATE # 2 &amp; CANALIZATION WORKS OF YABO FRANCIA CIS, Milaor, Camarines Sur (REBID 2)</t>
  </si>
  <si>
    <t>2020-07-156</t>
  </si>
  <si>
    <t>Purchase of vehicle parts and accessories</t>
  </si>
  <si>
    <t>Office Equipment Supplies and consumables</t>
  </si>
  <si>
    <t>Procurement of Training Supplies for the conduct of Training on Animal Health Care and Management for BAHW</t>
  </si>
  <si>
    <t>RFQ FOR OFFICE EQUIPMENT FOR AGRI-OFFICE</t>
  </si>
  <si>
    <t>Provision of Agricultural Tools for Seminar on Urban Agriculture with Provision of Starter Kits</t>
  </si>
  <si>
    <t>Office Supplies from APP Amendment Batch 3</t>
  </si>
  <si>
    <t>Provision of Agricultural Inputs for Seminar on Organic Vegetable Production with Provision of Starter Kits (7 Batches)</t>
  </si>
  <si>
    <t>procurement of Agricultural Machineries &amp; Equipment  ( RICE MILL for MAMFIC)</t>
  </si>
  <si>
    <t>PURCHASE OF MEDICAL SUPPLIES</t>
  </si>
  <si>
    <t>FRT-20-0275-B - LABORATORY SUPPLIES</t>
  </si>
  <si>
    <t>Supply &amp; Delivery of One (1) Lot IT Equipment</t>
  </si>
  <si>
    <t>A.) Construction of Road w/ Drainage at Purok 5, Brgy. 39-D    B.) Construction of Pathways w/ Drainage at Purok 5, Brgy. 39-D</t>
  </si>
  <si>
    <t>CLUSTER 2-2020-002(CONSTRUCTION OF MULTIPURPOSE BUILDING (PHASE 2), IMPROVEMENT OF MADDAKIT FMR &amp; IMPROVEMENT OF LABAY-ASILAP FMR</t>
  </si>
  <si>
    <t>procurement of materials</t>
  </si>
  <si>
    <t>PURCHASE OF 1 UNIT DESKTOP COMPUTER</t>
  </si>
  <si>
    <t>Supply and Delivery of Gold Rings (R.I.S. No.: 20-12-019)</t>
  </si>
  <si>
    <t>PARTITIONING OF LEGAL OFFICE AND SUPPLY AND INSTALLATION OF CUBICLES OF COA'S OFFICE</t>
  </si>
  <si>
    <t>Concreting of Walkway</t>
  </si>
  <si>
    <t>LUMPSUM MATERIALS, LABOR &amp; EQUIPMENT FOR THE PROVISION OF COVERED SHED AS ADDITIONAL PRE DEPARTURE AREA TO COMPLY WITH SOCIAL DISTANCING MEASURES AT PTB, PORT OF DAPA, SIARGAO ISLAND, SURIGAO DEL NORT</t>
  </si>
  <si>
    <t>Provision of Catering Services for the conduct of Extension Initiatives focused in marginalized groups/special concern(Training on OA for OA Organization) Mushroom Production</t>
  </si>
  <si>
    <t>Purchase of 90 cans Lysol Disinfectant</t>
  </si>
  <si>
    <t>Concreting of road</t>
  </si>
  <si>
    <t>Repair and Rehabilitation of SDO Pathwalk (Left Wing)</t>
  </si>
  <si>
    <t>Procurement of Hardware Materials used for Construction of P-1 Brgy. Street @ Brgy. Del Pilar, Socorro, SDN</t>
  </si>
  <si>
    <t>Annual Publication for Public Information</t>
  </si>
  <si>
    <t>Supply and Delivery of 15 Pieces of New SEC Flag</t>
  </si>
  <si>
    <t>Procurement of OKI Printer Consumables and Supplies for OKI Printer to be used for Printing of IEC Materials of OA Program for 2020</t>
  </si>
  <si>
    <t>6 length Angle Bar 2”x2”x20’x1/4” thick, etc. - 003</t>
  </si>
  <si>
    <t>2020 18th Public Bidding: Procurement of Laboratory Supplies &amp; Respiratory Therapy Supplies for 2nd Semester Consumption</t>
  </si>
  <si>
    <t>200 pcs RSB, 10mm x 6m etc...</t>
  </si>
  <si>
    <t>For City Accountant Use.</t>
  </si>
  <si>
    <t>RFQ for the Supply and Delivery of Anti-Bacterial Soap</t>
  </si>
  <si>
    <t>Purchase of materials for use in maintenance of Barangay Facilities in various barangays as requested by City Engineering Office (PR#379)</t>
  </si>
  <si>
    <t>SUPPLY &amp; DELIVERY OF 200 PCS. WASHABLE FACEMASK PER MUNICIPALITIES FOR PRODUCTION OF IEC MATERIALS ON STI-HIV (SEXUALLY TRANSMITTED INFECTION-HUMAN IMMUNODEFICIENCY VIRUS) -PGO</t>
  </si>
  <si>
    <t>SUPPLY &amp; DELIVERY OF HOSPITAL/MEDICAL EQUIPMENT</t>
  </si>
  <si>
    <t>Procurement of Office Supplies for Provincial Governors Office.</t>
  </si>
  <si>
    <t>Supply/Delivery of Office Supplies</t>
  </si>
  <si>
    <t>20DG0050: 2.	Repair and Maintenance of Drainage System along Tagaytay-Taal Lake Road, K0057+795 – K0057+724 and K0057+657 – K0057+552 (Phase II); Project I.D No. 20DG0050</t>
  </si>
  <si>
    <t>1 lot Hauling of nine (9) units 100KVA Wagner Distribution Transformers</t>
  </si>
  <si>
    <t>Provision of Catering Services for the conduct of Seminar on Organic Vegetable Production (7 Batches)</t>
  </si>
  <si>
    <t>20GSDG0018: 1.	Furnishing Labor for the Repair and Maintenance of Damaged In-Ground Survey Site at Tanza-Trece Matires City-Indang Road (SV41069LZ_AC km. 52+000)</t>
  </si>
  <si>
    <t>RFPQ - CONCRETING OF HITOOG BRGY. ROAD (hitoog)</t>
  </si>
  <si>
    <t>Printing of Flyers</t>
  </si>
  <si>
    <t>Repainting of SDO Conference Room</t>
  </si>
  <si>
    <t>Procurement of Goods</t>
  </si>
  <si>
    <t>RFQ - Fuels for Various Municipal Vehicles</t>
  </si>
  <si>
    <t>Supply and Delivery of Wristwatch (R.I.S. No.: 20-12-018)</t>
  </si>
  <si>
    <t>Nephrostomy catheter for percutaneous</t>
  </si>
  <si>
    <t>Procurement of Promotional Materials for the conduct of 2 Batches of FSTP Phase I and 1 Batch of FSTP Phase III</t>
  </si>
  <si>
    <t>Purchase of Electrical Supplies</t>
  </si>
  <si>
    <t>Purchase of GRATOUR TM MPV</t>
  </si>
  <si>
    <t>Purchase of Construction and Painting materials for use in maintenance of Barangay Facilities at Purok II, Brgy. Dalahican as requested by City Engineering Office (PR#377)</t>
  </si>
  <si>
    <t>Supply and Delivery of Furnitures and Fixtures to be used in the Operation of Minisipyo at Distrct 7, Naujan, Oriental Mindoro</t>
  </si>
  <si>
    <t>RFQ for the Supply and Delivery of Alcohol</t>
  </si>
  <si>
    <t>SUPPLY &amp; DELIVERY OF HARDWARE SUPPLIES &amp; EQUIPMENT</t>
  </si>
  <si>
    <t>Educational and Office Supply</t>
  </si>
  <si>
    <t>Supply and Delivery of Monoblock Chairs for BM Reyes</t>
  </si>
  <si>
    <t>Supply of Labor and Materials in the Procurement of 150 pieces PPE Long Sleeve w/ Hood</t>
  </si>
  <si>
    <t>Road Concreting at Barangay Mahongkog,Magpet,Cotabato</t>
  </si>
  <si>
    <t>Waste Water Analysis as per PR # 2020-06-1417</t>
  </si>
  <si>
    <t>SUPPLY AND DELIVERY OF  COMPUTER DESKTOP FOR DSWD OFFICE</t>
  </si>
  <si>
    <t>Delivery of submersible pump and pipes</t>
  </si>
  <si>
    <t>Procurement of 396 sets of Wooden Classroom Chairs with Tablet for CEAFA Main I and II for use of Freshmen Engineering for AY 2019-2020</t>
  </si>
  <si>
    <t>REPAINTING OF MUNICIPAL GYMNASIUM</t>
  </si>
  <si>
    <t>PR NO. 2020-06-157 REPAIR/MAINTENANCE OF DEFECTIVE SPARE PARTS OF MITSUBISHI ADVENTURE SFJ-376</t>
  </si>
  <si>
    <t>procurement of spape parts</t>
  </si>
  <si>
    <t>20DG0049: Repair/Maintenance of Bureau of Fire Protection Building at Mendez, Cavite; Project I.D No. 20DG0049</t>
  </si>
  <si>
    <t>Supply / Delivery of 3,813.90 liters Diesel &amp; 215 liters Gasoline Premium</t>
  </si>
  <si>
    <t>For Youth Home Admissions/residents (Transfered at White House).</t>
  </si>
  <si>
    <t>RFQ for the Supply and Delivery of Toner Cartridge for HP M607(37A)</t>
  </si>
  <si>
    <t>Installation of Waiting Shed (2 Units)</t>
  </si>
  <si>
    <t>Cell cards and Supplies for Conduct of Pilot Testing of Blended/Distance Learning Delivery</t>
  </si>
  <si>
    <t>SUPPLY AND DELIVERY OF CONSTRUCTION MATERIALS FOR THE CONSTRUCTION AND REPAIR OF IA TRAINING CENTER AND STORAGE AT PULA BANSUD RIS</t>
  </si>
  <si>
    <t>PURCHASE OF OFFICE SUPPLIES</t>
  </si>
  <si>
    <t>GOGGLES, GOWN ETC. FOR CSR</t>
  </si>
  <si>
    <t>Security Surveilance System</t>
  </si>
  <si>
    <t>procurement of spare parts</t>
  </si>
  <si>
    <t>Logistics Services (Hauling and Trucking) Door to Port</t>
  </si>
  <si>
    <t>Supply / Delivery of 1 unit Motorcycle (Sports Type)</t>
  </si>
  <si>
    <t>ITB - CONSTRUCTION OF MULTI-PURPOSE BLDG. PHASE IX (Continuation of Item IV of Whole POW) -tigbao</t>
  </si>
  <si>
    <t>50 J.O. Supply of Labor and Materials for book binding (hardbound) of Provincial Development &amp; Physical Framework Plan (PFPFP)</t>
  </si>
  <si>
    <t>SUPPLY &amp; DELIVERY OF MEDICAL SUPPLIES</t>
  </si>
  <si>
    <t>20CN0155 - Construction of Multi-Purpose Building, Brgy. Dibaraybay, Dinalungan, Aurora</t>
  </si>
  <si>
    <t>Purchase of Mini-Floor Mounted Aorcondition for the Office of the Municipal Mayor</t>
  </si>
  <si>
    <t>Acquisition of Laptop (for Engineering Design)</t>
  </si>
  <si>
    <t>JANITORIAL SUPPLIES</t>
  </si>
  <si>
    <t>Supply and Delivery of Grocery Item for Provincial Governor's Office</t>
  </si>
  <si>
    <t>Purchase of Janitorial Supplies as requested by City Budget Office (PR#366)</t>
  </si>
  <si>
    <t>Malaybalay Integrated Survey System (MISS)-Poverty Profiling 2020 Enumerator's Training (46 Barangays).</t>
  </si>
  <si>
    <t>20CN0156 - Retrofitting/Strengthening of Permanent Bridge – Aguang Br. (B03015LZ) along Baler – Casiguran Rd (Baler – Dinadiawan)</t>
  </si>
  <si>
    <t>Supply and Delivery of Emergency Medical Kit for BM Reyes</t>
  </si>
  <si>
    <t>SUPPLY AND DELIVERY OF MEDICAL/SURGICAL SUPPLIES</t>
  </si>
  <si>
    <t>Procurement of Tarpaulin</t>
  </si>
  <si>
    <t>1 J.O. Supply of Materials and Labor for the Repair of Toyota Pick-Up (SDD-209)</t>
  </si>
  <si>
    <t>Procurement of High Volume  Low Speed Fan</t>
  </si>
  <si>
    <t>REQUEST FOR QUOTATION FOR USE OF SCIMO PROJECTS (KORONADAL PROPER, MAGPOL CIS, SILWAY 7 CIS, GLAMANG CIS, LUAYAN CIS, BOLO AND LAMBUSONG CIS</t>
  </si>
  <si>
    <t>RFQ (Disposable Grounding Pad)</t>
  </si>
  <si>
    <t>Invitation to Bid for Contract No. 4AQ-LPA-20-019C</t>
  </si>
  <si>
    <t>Procurement of Construction Materials for the Construction of Multi-Purpose Building Toilet (4 unit Rooms)</t>
  </si>
  <si>
    <t>Procurement of Laboratory Supplies and Reagents</t>
  </si>
  <si>
    <t>DOUBLE LUMEN TUBE FOR CSR</t>
  </si>
  <si>
    <t>Purchase of Office Supplies as requested by City Budget Office (PR#365)</t>
  </si>
  <si>
    <t>Supply &amp; delivery of Office Supplies for use at the CMO-Department of Public Safety for 1st, 2nd &amp; 3rd quarter, Laoag City</t>
  </si>
  <si>
    <t>request for quotation of garments</t>
  </si>
  <si>
    <t>IT Parts and Accessories</t>
  </si>
  <si>
    <t>OTHER STRUCTURES(EXTENSION OF TEACHER OFFICE</t>
  </si>
  <si>
    <t>Supply and Delivery of Meals and Snacks, Office and ICT supplies for the Conduct of Webinar Writeshop of SDSSU Tandag Campus</t>
  </si>
  <si>
    <t>Supply / Delivery of the Fisihing Gear Nylon, C.W. Nail, Bolo (Sundang) and Safety Hand Gloves</t>
  </si>
  <si>
    <t>Lead Gown with Thyroid 0.25mmPb</t>
  </si>
  <si>
    <t>SUPPLY &amp; DELIVERY OF COMPUTER SET &amp; ACCESSORIES</t>
  </si>
  <si>
    <t>Supply, Delivery and Installation of Nine (9) Airconditioning Units</t>
  </si>
  <si>
    <t>PR 20-05-0070 Supply and Delivery of Common Construction Materials Supplies, Maintenance Section, DPWH-Bohol III DEO</t>
  </si>
  <si>
    <t>20GPJ0001:PR No. 2020-02-001 Procurement of Security Services for Day and Night Shift of DPWH-Ifugao Second District Engineering Office Main Office,Potia Sub-Office &amp; Banaue Satellite Office/Resthouse</t>
  </si>
  <si>
    <t>Request for Quotation (Refurbishment of Leased Property at Sta. Maria Bulacan)</t>
  </si>
  <si>
    <t>procurement of construction materials &amp; supplies (Sustainable Livelihood Support Component Materials for Improvement " Rice Mill"</t>
  </si>
  <si>
    <t>MEDICAL OXYGEN FOR QUOTATION</t>
  </si>
  <si>
    <t>SUPPLIES AND MATERIALS FOR COVID 19 OF SDO ISABELA FOR JULY 2020 TO DECEMBER 2020</t>
  </si>
  <si>
    <t>DRUGS AND MEDICINES(RHU)</t>
  </si>
  <si>
    <t>SUPPLY AND DELIVERY OF WOODEN ARMCHAIRS</t>
  </si>
  <si>
    <t>Purchase of Office Equipment - MO</t>
  </si>
  <si>
    <t>Procurement of Materials for Installation of the  Streetlights (16 Units)</t>
  </si>
  <si>
    <t>Purchase of One(1) unit Television as requested by PNP (PR#362)</t>
  </si>
  <si>
    <t>One (1) Lot Calibration of Various Medical Equipment, as per BSP Specifications and Terms of Reference</t>
  </si>
  <si>
    <t>Supply and Delivery of 540 Liters Hand Cleaner</t>
  </si>
  <si>
    <t>Procurement of Unmanned Aerial Vehicle (Drone) for Official Use of Mount Kanlaon Natural Park Personnel</t>
  </si>
  <si>
    <t>Procurement of Materials for Installation of the Streetlights (14  units)</t>
  </si>
  <si>
    <t>SUPPLY AND DELIVERY OF LAPTOP COMPUTERS</t>
  </si>
  <si>
    <t>SUPPLY AND DELIVERY OF SUPPLIES FOR ICTC</t>
  </si>
  <si>
    <t>DES -SANDWICH BAG &amp; 1 OTHER (3RD POSTING)</t>
  </si>
  <si>
    <t>USE FOR MAYOR'S  OFFICE</t>
  </si>
  <si>
    <t>Supply / Delivery of Fusing Frame: Hot Roller, Stripper Pawls, Stripper Pawls Spring, Drum, Developer, Cleaning Blade and Slider Assy</t>
  </si>
  <si>
    <t>Procurement of Materials for Proposed Installation of Fire Hydrant,Municipality of Malapatan,SP</t>
  </si>
  <si>
    <t>REPAIR AND MAINTENANCE OF VEHICLE (MMO)</t>
  </si>
  <si>
    <t>Request for quotation of general merchandise</t>
  </si>
  <si>
    <t>RFQ - Motorpool Equipment &amp; Machinery</t>
  </si>
  <si>
    <t>Procurement of Petroleum, Oil and Lubricants for Collection and Hauling of Solid Waste  - MENRO</t>
  </si>
  <si>
    <t>request for quotation of office equipment</t>
  </si>
  <si>
    <t>PURCHASE OF HARDWARE MATERIALS</t>
  </si>
  <si>
    <t>CONSTRUCTION/IMPROVEMENT OF GRAND TERMINAL</t>
  </si>
  <si>
    <t>SCHOOL AND OFFICE SUPPLIES, FOODS SUPPLIES AND CONSTRUCTION MATERIALS</t>
  </si>
  <si>
    <t>Acquisition of Tubeless Tire</t>
  </si>
  <si>
    <t>Construction Materials(20-06-281GSO)</t>
  </si>
  <si>
    <t>Procurement of Aircondition One (1) unit 1.5 HP Split Type and Two (2) units 3TR Mounted</t>
  </si>
  <si>
    <t>Purchase of Various supplies as requested by PNP (PR#373)</t>
  </si>
  <si>
    <t>ICT Materials for use of Pantawid Pamilya</t>
  </si>
  <si>
    <t>Purchase of various furnitures for use in CMO and other attached offices as requested by City Mayor's Office (PR#360)</t>
  </si>
  <si>
    <t>1  lot    SUPPLY AND INSTALLATION OF COMBI BLINDS</t>
  </si>
  <si>
    <t>GOODS-2020-07-89 PROCUREMENT OF LED SMART TV AND TV STAND FOR EXECUTIVE FUNCTION HALL.</t>
  </si>
  <si>
    <t>Radio Communication</t>
  </si>
  <si>
    <t>1. Other Supplies/PCC 2. Office Supplies &amp; Other Supplies/Assessor's Office 3. Office Supplies &amp; Other Supplies/Agriculture's Office</t>
  </si>
  <si>
    <t>Improvement of Road at Puro</t>
  </si>
  <si>
    <t>PATHO -DISTILLED WATER REFILL (1ST POSTING)</t>
  </si>
  <si>
    <t>UPLB-RQ-7-137-20-RES SUPPLY AND DELIVERY OF FOOD STUFF FOR BIOTECH</t>
  </si>
  <si>
    <t>Procurement of Grocery Items</t>
  </si>
  <si>
    <t>PRINTING OF LEARNING KITS OF KINDER, GRADE 1 TO 6</t>
  </si>
  <si>
    <t>Supply and Delivery of ICT Equipment to be used in preparation of various reports and participation in official meetings organized via online platform.</t>
  </si>
  <si>
    <t>INFORMATION TECHNOLOGY PARTS &amp; ACCESORIES</t>
  </si>
  <si>
    <t>Supply and Delivery of Various Laboratory Supplies (PR#20-06-0825)</t>
  </si>
  <si>
    <t>Purchase of 1 unit assembled desktop unit,1 unit brand new desktop</t>
  </si>
  <si>
    <t>Quotation No.20-07-0401 - Procurement of Medical supplies &amp; PPE</t>
  </si>
  <si>
    <t>Request for Quotation (Refurbishment of Portion of Ground Floor at Boac, Marinduque)</t>
  </si>
  <si>
    <t>2 Set Camera</t>
  </si>
  <si>
    <t>Supply and Delivery of Three (3) units Smart Television for Official Use of Mount Kanlaon Natural Park (MKNP) Personnel</t>
  </si>
  <si>
    <t>Catering Service</t>
  </si>
  <si>
    <t>Purchase of Various Materials for the Repair and Maintenance of Service Vehicle Assigned in the Provincial Veterinary  Office</t>
  </si>
  <si>
    <t>Supply and Delivery of Supplies for Registrar's Office - Mainit Campus</t>
  </si>
  <si>
    <t>NEGOTIATED PROCUREMENT FOR PRINTING OF DEPED FORMS AND TARPAULIN</t>
  </si>
  <si>
    <t>Request for Quotation for the Provision of Advertising agency services to be used for the "Getting a Grip of the Rice Tarrification Law or RA 11203: A Radio Broadcast" at Bukidnon on July 2020</t>
  </si>
  <si>
    <t>TIRE SET FOR TOYOTA HILUX AND FORD RANGER</t>
  </si>
  <si>
    <t>Supply / Delivery of 1 pc. Battery 12volts 13 plates (3SM)</t>
  </si>
  <si>
    <t>Supply and Delivery of Steel Cabinet for use of CPLRC/ Library</t>
  </si>
  <si>
    <t>SUPPLY AND INSTALLATION OF FORTY EIGHT (48) PCS FINE BUBBLE AERATION DIFFUSER</t>
  </si>
  <si>
    <t>Procurement of Laboratory Supplies for Marihatag District Hospital Laboratory.</t>
  </si>
  <si>
    <t>FOR  OFFICE SUPPLIES</t>
  </si>
  <si>
    <t>PROCUREMENT OF CAN GOODS FOR EMERGENCY &amp; STOCKPILE</t>
  </si>
  <si>
    <t>MO_Food Supply for the Month of June  2020</t>
  </si>
  <si>
    <t>INVITATION TO BID FOR PURCHASE OF RESCUE VEHICLE</t>
  </si>
  <si>
    <t>AFRDC, 2024 T3 Aluminum Alloy (0.040"x4'x8") &amp; 3 L/I</t>
  </si>
  <si>
    <t>Procurement of materials and rental of equipment for Construction of Covered Court</t>
  </si>
  <si>
    <t>procurement of electrical supplies</t>
  </si>
  <si>
    <t>127 bags Portland Cement 40 kgs and other items for rehabilitation/Improvement of Office and Women Center and other facilities of CSWDO (Phase I) at Barangay Poblacion 1.</t>
  </si>
  <si>
    <t>PURCHASE OF LIGHTING MATERIALS</t>
  </si>
  <si>
    <t>1 Unit Photocopier</t>
  </si>
  <si>
    <t>Supply / Delivery of Gypsum Board, Cross Tee and Main Runner</t>
  </si>
  <si>
    <t>One LOT Repair of One (1) Unit Police Car of Gov. Generoso Municipal Police Station</t>
  </si>
  <si>
    <t>353 box Ascorbic 500mg tablet 100’s and other items for CHO Pharmacy Use.</t>
  </si>
  <si>
    <t>Materials for the Concreting of Farm to Market Road, Brgy. Tupol Oeste, Cabatuan, Iloilo</t>
  </si>
  <si>
    <t>Supply/Delivery of Drugs and Medicines</t>
  </si>
  <si>
    <t>Purchase of One (1) Unit 125 Dual Sport Motorcycle for Barangay Osukan:</t>
  </si>
  <si>
    <t>Supply and Delivery of Services-Appraisal of various lot</t>
  </si>
  <si>
    <t>Supply, Delivery and Installatin of Aircondition Unit for the Data Center at the MIS and ROTC Office.</t>
  </si>
  <si>
    <t>Supply and Delivery of Materials to be given as Assistance for the Installation of Streetlights at  Barangay Arangin, Naujan, Oriental Mindoro under CBMS Program</t>
  </si>
  <si>
    <t>Procurement of Medical-Surgical Supplies</t>
  </si>
  <si>
    <t>SUPPLY AND DELIVERY OF VARIOUS CALIBRATION STANDARDS UNDER EMB-ERLSD-ENVIRONMENTAL LABORATORY SERVICES SECTION (ELSS) ORGANICS AND ORGANICS LABORATORY UNIT</t>
  </si>
  <si>
    <t>Supply and Delivery of  3 in 1 Printer</t>
  </si>
  <si>
    <t>PROCUREMENT OF INFORMATION MANAGEMENT SYSTEM</t>
  </si>
  <si>
    <t>GOODS-2020-07-90 PROCUREMENT OF MACHINERY &amp; EQUIPMENT FOR SLAUGHTERHOUSE DIVISION USE.</t>
  </si>
  <si>
    <t>Dredging of Puguludan River</t>
  </si>
  <si>
    <t>PROCUREMENT OF OFFICE SUPPLIES</t>
  </si>
  <si>
    <t>Supply and Delivery of Motorcycle</t>
  </si>
  <si>
    <t>PROCUREMENT OF CONSTRUCTION OF ONE (1) PRODUCTION WELL WITH 150M DEPTH X 200mmØ CASING</t>
  </si>
  <si>
    <t>Purchase of Tables and Chairs for Accounting Office</t>
  </si>
  <si>
    <t>Printing of Learning Modules</t>
  </si>
  <si>
    <t>Purchase of Office Supplies</t>
  </si>
  <si>
    <t>Techno Kit on Rice Production for Patria IA at Patria, Pandan, Antique</t>
  </si>
  <si>
    <t>EBMS -PM &amp; CALIBRATION OF ANESTHESIA MACHINE W/ VAPORIZER (2ND POSTING)</t>
  </si>
  <si>
    <t>Catering Services for the conduct of Training Workshop on Enhancement of Manual of Operation and Strategic Plan for Pantabangan-Carranglan Watershed Forest Reserve(PCWFR) on July 15-17, 2020</t>
  </si>
  <si>
    <t>OFFICE SUPPLIES AND CONSUMABLES</t>
  </si>
  <si>
    <t>Foods and Accommodation for Halal Nicer</t>
  </si>
  <si>
    <t>Supply and Delivery of Various Office Supplies (PR Reference number 2020-05-0269)</t>
  </si>
  <si>
    <t>Procurement of materials for the maintenance of gov't vehicle</t>
  </si>
  <si>
    <t>Supply/Delivery of Janitorial Supplies</t>
  </si>
  <si>
    <t>Catering Services</t>
  </si>
  <si>
    <t>Supply and Delivery of Medicine to MHO  Lavezares, N. Samar</t>
  </si>
  <si>
    <t>PROCUREMENT OF DPWH SECURITY SERVICES REQUIREMENT OF SIX (6) SECURITY PERSONNEL FOR DEPLOYMENT TO DPWH – BULACAN 1ST DISTRICT ENGINEERING OFFICE TIKAY, CITY OF MALOLOS, BULACAN</t>
  </si>
  <si>
    <t>Video Conferencing Devices, Interactive Touch Screen Display etc.</t>
  </si>
  <si>
    <t>Modular set (computer set) table and chair, Under-Desk Filing Cabinet with Caster Wheels</t>
  </si>
  <si>
    <t>Supply/Delivery of Sports Equipment for  Ched Project</t>
  </si>
  <si>
    <t>Meals and snacks for Mid-Year Assessment</t>
  </si>
  <si>
    <t>Materials for the Concreting of Farm to Market Road, Brgy. Cadoldolan, Cabatuan, Iloilo</t>
  </si>
  <si>
    <t>Materials for the installation of protective plastic with wooden frame.</t>
  </si>
  <si>
    <t>OFFICE SUPPLIES PR 0216</t>
  </si>
  <si>
    <t>MATERIALS FOR THE CONCRETING OF ROAD PHASE 1 &amp; 2</t>
  </si>
  <si>
    <t>Contruction of Caluya shoreline/seawall protection pahse I at Brgy. Caluya, Sapang Dalaga, Mis. Occ.</t>
  </si>
  <si>
    <t>Procurement of materials (travel motor)</t>
  </si>
  <si>
    <t>Materials for the Concreting of Farm to Market Road, Brgy. Janipaan Central, Cabatuan, Iloilo</t>
  </si>
  <si>
    <t>PURCHASE OF ELECTRICAL MATERIALS</t>
  </si>
  <si>
    <t>PURCHASE OF MEDICINES</t>
  </si>
  <si>
    <t>Procurement of Laboratory Supplies for the Use of Rural Health Unit, Tagudin, Ilocos Sur</t>
  </si>
  <si>
    <t>Procurement of Water Treatment Supplies</t>
  </si>
  <si>
    <t>Purchase and delivery of IT equipment to be used by CHUSD</t>
  </si>
  <si>
    <t>Supply/Delivery of Equipment Tools for ICT</t>
  </si>
  <si>
    <t xml:space="preserve">Request for Quotation for the Provision of Advertising agency services to be used for the "Getting a Grip of the Rice Tarrification Law or RA 11203: A Radio Broadcast" at Misamis Occidental on August </t>
  </si>
  <si>
    <t>Supply and Delivery of Diesel Fuel for use of provincial roads (Northwestern Cagayan)</t>
  </si>
  <si>
    <t>Supply &amp; Delivery of Various HP Toner Cartridges (for the UPM-OC)</t>
  </si>
  <si>
    <t>PROCUREMENT OF SCHOOL  BAGS WITH SCHOOL KITS</t>
  </si>
  <si>
    <t>Supply and Delivery Cement for Repair &amp; Maintenance of Roads &amp; Bridges @ Bislig City</t>
  </si>
  <si>
    <t>Hiring of Assisting Professional on Enterprise Development for official use of FMP of DENR-PENRO Nueva Ecija</t>
  </si>
  <si>
    <t>Procurement of MEDALS</t>
  </si>
  <si>
    <t>Procurement of Fuel by LOT for Use in Provincial Governor’s Office Operation</t>
  </si>
  <si>
    <t>Supply &amp; Delivery of 1 unit Transmission JAck (1.5 ton) &amp; other item, OCPS - for Motorpool use.</t>
  </si>
  <si>
    <t>LABOR FOR THE COVERING CANAL IN FRONT OF BARANGAY CHAPEL, CONCRETING OF ACCESS ROAD AT P-1, CONCRETING OF CATWALK W/ RIPRAP AT 4</t>
  </si>
  <si>
    <t>106CO-5SFBN-2020-466</t>
  </si>
  <si>
    <t>Quotation No.20-07-0400- Food and Catering Service</t>
  </si>
  <si>
    <t>Procurement of Office Equipment for Mayor's Office, Sapang Dalaga, Misamis Occidental</t>
  </si>
  <si>
    <t>Purchase of various ink for Canon IPF 60</t>
  </si>
  <si>
    <t>Materials for the installation of CHRMD partition wall, executive building, new city hall, Guinobatan, Calapan City</t>
  </si>
  <si>
    <t>Replacement and Repair of Compressor</t>
  </si>
  <si>
    <t>Quotation No. 20-06-0390-OFFICE SUPPLIES FOR THE USE OF ACCOUNTING SECTION</t>
  </si>
  <si>
    <t>Purchase of Medical, Dental &amp; Laboratory Supplies for Biliran Provincial Health Office (Reposting)</t>
  </si>
  <si>
    <t>Supply &amp; Delivery of Agricultural Supplies for the use in Municipal Nursery</t>
  </si>
  <si>
    <t>Supply and Delivery of Ambulance (FB BODY WITH DUAL AIRCON) at Brgy. San Antonio I, San Pablo City.</t>
  </si>
  <si>
    <t>Supply and Delivery of Office Supplies</t>
  </si>
  <si>
    <t>Purchase of Purified Drinking Water for Vice Mayor's Office, SP &amp; Library Office - SPO</t>
  </si>
  <si>
    <t>4 Set Computer</t>
  </si>
  <si>
    <t>Supply, Delivery, Installation and Commissioning of 1 set of Chlorine Gas Leak Detector and Neutralizing System for Macaguiling 1 Pumping Station</t>
  </si>
  <si>
    <t>Construction of Billboard with Tarpaulin</t>
  </si>
  <si>
    <t>Materials for the Construction of concrete Hand-Washing Facility</t>
  </si>
  <si>
    <t>FOR THE INSTALLATION OF VISITOR HOLDING AREA AND DISINFECTION OF BFAR VI OFFICE</t>
  </si>
  <si>
    <t>Supply and delivery of Working clothes to be used in field monitoring and data collection of PRIME project w/ an ABC of P140,000.00 and PR#2020-06-22-279.</t>
  </si>
  <si>
    <t>REQUEST FOR QUOTATION OF CONSTRUCTION MATERIALS AND SUPPLIES FOR CONSTRUCTION OF BOX CULVERT (FOOT BRIDGE APPROACH)</t>
  </si>
  <si>
    <t>Concreting of Local Access Road, Bonboneg 2nd, Brgy. Sinigpit, Paniqui, Tarlac</t>
  </si>
  <si>
    <t>Supply and Delivery of Materials for Improvement of Waterworks System (Brgy. Bagtingon)</t>
  </si>
  <si>
    <t>GOODS-2020-07-91 PROCUREMENT OF OFFICE EQUIPMENT FOR CITY TREASURER'S OFFICE USE.</t>
  </si>
  <si>
    <t>PROCUREMENT OF OFFICE &amp; JANITORIAL SUPPLIES FY 2020</t>
  </si>
  <si>
    <t>Proposed Street Lighting</t>
  </si>
  <si>
    <t>NEGOTIATED PROCUREMENT FOR HYGIENE KIT</t>
  </si>
  <si>
    <t>Procurement of supplies to be used in modular learning #1.doc</t>
  </si>
  <si>
    <t>Procurement of Office Equipment</t>
  </si>
  <si>
    <t>Materials for the construction of CHUSD warehouse</t>
  </si>
  <si>
    <t>Procurement of Iodized Salt &amp; Powdered Milk</t>
  </si>
  <si>
    <t>RFQ-DVO-PR.NO. 2006108 CAT. 14 CONSTRUCTION SUPPLIES AND MATERIALS</t>
  </si>
  <si>
    <t>PROCUREMENT OF EQUIPMENT (GRASS CUTTER)</t>
  </si>
  <si>
    <t>Cost of acquisition of PPEs to be used by medical workers</t>
  </si>
  <si>
    <t>SUPPLY AND DELIVERY OF FURNITURE AND FIXTURES EQUIPMENT</t>
  </si>
  <si>
    <t>KASALAN NG BAYAN 2020</t>
  </si>
  <si>
    <t>Procurement of DAR Regional Office IT Innovations under the New Normal</t>
  </si>
  <si>
    <t>Installation of Street Lights (20 UNITS)</t>
  </si>
  <si>
    <t>Supply and Delivery of Assorted Other Supplies and Materials</t>
  </si>
  <si>
    <t>Maintenance of Mun. Fish Port and Calabogo Landing Center - FISHPORT</t>
  </si>
  <si>
    <t>20GGB0012-Procurement of Tires, Batteries, Lubricants and Spare Parts</t>
  </si>
  <si>
    <t>Purchase and delivery of washable face mask to be distributed to city residents</t>
  </si>
  <si>
    <t>Construction of Two (2) Storey Multi-Purpose Building, Brgy. Cabayaoasan, Paniqui, Tarlac</t>
  </si>
  <si>
    <t>Supply and Delivery of Labor and Materials for the Construction of MPAC MK-III Berthing Facility</t>
  </si>
  <si>
    <t>RFQ-2020-180 Procurement of Supply &amp; Delivery of Automotive Equipment for TESDA Use</t>
  </si>
  <si>
    <t>Supply/Delivery of Medical Supplies</t>
  </si>
  <si>
    <t>Distribution Line from Corner Roxas St., to LISDOM</t>
  </si>
  <si>
    <t>Procurement of Load Cards</t>
  </si>
  <si>
    <t>Procurement of Construction Materials</t>
  </si>
  <si>
    <t>20GGB0013 - Procurement of IT Consumables for use in the Planning and Design  Section, DPWH, San Jose, Antique</t>
  </si>
  <si>
    <t>Purchase of parts/supplies for the repair and maintenance of Fire Truck SHT491 and Isuzu Elf SHW648</t>
  </si>
  <si>
    <t>Procurement of School and Office Supply</t>
  </si>
  <si>
    <t>NEGOTIATED PROCUREMENT FOR REFILL OF FIRE EXTINGUISHER</t>
  </si>
  <si>
    <t>Quotation No.20-07-0399	- Food and Catering Service July 13, 2020 , Zamboanga del norte</t>
  </si>
  <si>
    <t>SUPPLY AND DELIVERY OF EXECUTIVE CHAIR</t>
  </si>
  <si>
    <t>Purchase of various office supplies</t>
  </si>
  <si>
    <t>Procurement of Laboratory Supplies</t>
  </si>
  <si>
    <t>SUPPLY &amp; DELIVERY OF OFFICE SUPPLIES</t>
  </si>
  <si>
    <t>PROCUREMENT AND INSTALLATION OF SUBMERSIBLE PUMP AND MOTOR AT QUIBUAR I PRODUCTION PLANT</t>
  </si>
  <si>
    <t>RFQ-2020-179 Procurement of Supply &amp; Delivery of Automotive Equipment for TESDA use.</t>
  </si>
  <si>
    <t>PROC-2000103-INK EPSON</t>
  </si>
  <si>
    <t>DPWH-MS-2020-05-020 -Act. 65x- Bridge Repainting along Maingaran Bridge 1, Maingaran Bridge 2, Usab Bridge, Asid Bridge, Tugbo Bridge, Cancahorao Bridge, Lipata Bridge, Sagawsawan Bridge, Mabato-bato</t>
  </si>
  <si>
    <t>Procurement of Communication Equipment Parts/Accessories</t>
  </si>
  <si>
    <t>Purchase of IT Equipment</t>
  </si>
  <si>
    <t>1 set 3D Ground Scanner Pro</t>
  </si>
  <si>
    <t>PURCHASE OF OFFICE EQUIPMENT FOR THE USE OF MUNICIPAL SANGGUNIANG BAYAN OFFICE</t>
  </si>
  <si>
    <t>Procurement of various Supplies for Cemetery Operations - BPCCO</t>
  </si>
  <si>
    <t>GRINDING MACHINE - MSWMO</t>
  </si>
  <si>
    <t>Procurement of Supplies and Materials for Various Repair at the College of Teacher Education</t>
  </si>
  <si>
    <t>CONSTRUCTION OF ADVENTURE PARK PHASE V</t>
  </si>
  <si>
    <t>ECG CABLE, ECG CHEST ELECTRODE BULB ETC. FOR ER</t>
  </si>
  <si>
    <t>Procurement of Catering Services</t>
  </si>
  <si>
    <t>Supply and Delivery of Labor and Materials for the Construction of MPAC MK-III Slipway</t>
  </si>
  <si>
    <t>Request for Quotation (MPRSD-2020-07-0314 Battery)</t>
  </si>
  <si>
    <t>Supply and Delivery of Materials for Improvement of Waterworks System (Brgy. Lipata-Tungib)</t>
  </si>
  <si>
    <t>Quotation No.20-07-0398 - Food and Catering Service July 13, 2020 , Zamboanga Sibugay</t>
  </si>
  <si>
    <t>Request for Quotation (MPRSD-2020-07-0313 Fuel)</t>
  </si>
  <si>
    <t>PR#20-07-0315 Purified Drinking Water for July to September (CGSO)</t>
  </si>
  <si>
    <t>Training Expense-Php70,000.00 OESPA</t>
  </si>
  <si>
    <t>Materials for the rehab of slope protection. Tawagan</t>
  </si>
  <si>
    <t>PAINTING WORKS OF FARMERS MULTI-PURPOSE HALL</t>
  </si>
  <si>
    <t>Purchase of Air Conditioners</t>
  </si>
  <si>
    <t>ROAD CONCRETING AT CIUDAD DE ESPERANZA PHASE 3</t>
  </si>
  <si>
    <t>Procurement of Essential Items for the Webinar on Health and Wellness Protocols in response to COVID-19 Pandemic</t>
  </si>
  <si>
    <t>Purchase of Meals &amp; Snacks for SAP Distribution</t>
  </si>
  <si>
    <t>Materials for Improvement of Ginablan Bird Sanctuary and Mangroves - MEO</t>
  </si>
  <si>
    <t>CLEARING OF BARANGAY ROAD</t>
  </si>
  <si>
    <t>PROCUREMENT OF VARIOUS MATERIALS FOR ALL	 LGU OWNED PHYSICAL FACILITIES 2020</t>
  </si>
  <si>
    <t>INSTALLATION OF 16 UNITS SOLAR STREET LIGHT AT BARANGAY 54-M, SAN ROQUE, CAVITE CITY</t>
  </si>
  <si>
    <t>SUPPLY &amp; DELIVERY OF R/M BUILDING AND OTHER STRUCTURES</t>
  </si>
  <si>
    <t>Purchase of Office Supplies to be used for different offices of LGU of the Municipality of Tabuelan, Cebu</t>
  </si>
  <si>
    <t>CONCRETING OF BARANGAY STREET, Brgy. Malogo, Can-avid Eastern Samar</t>
  </si>
  <si>
    <t>RFQ-2020-172 Supply &amp; Delivery of Vehicle equipment for TESDA use.</t>
  </si>
  <si>
    <t>INSTALLATION OF SOLAR STREET LIGHTS</t>
  </si>
  <si>
    <t>Purchase of Various Items for the Safety of Personnel @ Solid Waste Management, San Antonio</t>
  </si>
  <si>
    <t>PR#20-07-0316 Megaphone for information dissemination of PNP City of Sto. Tomas, Batangas</t>
  </si>
  <si>
    <t>RFQ - Procurement of Goods: Supply &amp; Installation of Fixed Glass for Miniature Display (Enhancement of Multi-purpose Bldg. - Kagikan Museum Exhibition) (PR#100-20-01-0412)</t>
  </si>
  <si>
    <t>GENERAL BODY REPAIR AND GENERAL BODY REPAINTING WITH UNDER CHASSIS PAINTING OF RIMS OF MOTOR VEHICLE</t>
  </si>
  <si>
    <t>PURCHASE OF OTHER SUPPLIES</t>
  </si>
  <si>
    <t>Acquisition of Smart TV for EGH use</t>
  </si>
  <si>
    <t>Rpr &amp; Maint Motor Vehicles (52,520.00) OESPA</t>
  </si>
  <si>
    <t>Request for Quotation (Supreme Court Ring)</t>
  </si>
  <si>
    <t>UPGRADING/IMPROVEMENT OF ROAD, CALBAYAN, CALBAYAN</t>
  </si>
  <si>
    <t>Purchase of Office Supplies - MHO</t>
  </si>
  <si>
    <t>PURCHASE AND DELIVERY OF 1 UNIT 6- WHEELER GARBAGE COMPACT TRUCK</t>
  </si>
  <si>
    <t>Information Dessemination for National Heritage Month, Surigao City</t>
  </si>
  <si>
    <t>RQF-2020-176 Supply &amp; Delivery of  Vehicle accessories for TESDA use.</t>
  </si>
  <si>
    <t>Supply/Delivery of Electric Sub-meter for Atrium Area at the Palo Public Market, Palo, Leyte.</t>
  </si>
  <si>
    <t>RFQ-2020-171 Supply &amp; Delivery of  Printer / copier for TESDA use</t>
  </si>
  <si>
    <t>Request for Quotation (MPRSD-2020-06-0307 Vehicle Repair)</t>
  </si>
  <si>
    <t>Feeds for ItikPINAS Project</t>
  </si>
  <si>
    <t>Retaining Wall for Multi-Purpose Embankment (Materials)</t>
  </si>
  <si>
    <t>Supply and Delivery of Relief Goods</t>
  </si>
  <si>
    <t>Purchase of Medical Supplies to be used for Rural Health Unit – RHU of the Municipality of Tabuelan, Cebu</t>
  </si>
  <si>
    <t>Vehicle Spare Parts</t>
  </si>
  <si>
    <t>Anti-Rabies Vaccine for Animal Bites</t>
  </si>
  <si>
    <t>SUPPLY AND DELIVERY OF CHEMICALS FOR ORGANICS ANALYSES UNDER EMB-ERLSD-ENVIRONMENTAL LABORATORY SERVICES SECTION</t>
  </si>
  <si>
    <t>Procurement of 201 Sack Rice to Grant of Additional Benefits for DA Skeletal Workforce in the form of (1) sack of Rice (25kgs), as per the memorandum of Secretary dated 20 April 2020</t>
  </si>
  <si>
    <t>Procurement of Plumbing Supplies &amp; Materials</t>
  </si>
  <si>
    <t>Telephone Mobile Expenses (OESPA-57,200.00)</t>
  </si>
  <si>
    <t>Procurement for the Calibration and Preventive Maintenance of Equipment of Analytical Laboratory and Testing Services</t>
  </si>
  <si>
    <t>NEGOTIATED PROCUREMENT FOR MATERIALS FOR REPAIR AND INSTALLATION OF ELECTRICAL FACILITIES</t>
  </si>
  <si>
    <t>Procurement of Construction Materials and Supplies</t>
  </si>
  <si>
    <t>Supply and Delivery of Batteries to be used for the various Service Vehicles in the City of San Fernando, Pampanga</t>
  </si>
  <si>
    <t>SUPPLY &amp; DELIVERY OF FUEL, OIL AND LUBRICANTS</t>
  </si>
  <si>
    <t>EBMS -FLUORESCENT TUBE &amp; 14 OTHERS (5TH POSTING)</t>
  </si>
  <si>
    <t>SUPPLY AND DELIVERY OF SAMPLE GRINDER MILL</t>
  </si>
  <si>
    <t>REPAIR AND MAINTENANCE OF DRAINAGE CANAL AT BRGY. CORONG CORONG</t>
  </si>
  <si>
    <t>Aircon, 2HP, Window Type for Iligan Branch</t>
  </si>
  <si>
    <t>GOODS-2020-07-92 PROCUREMENT OF HARDWARE AND OTHER SUPPLIES FOR THE MAINTENANCE OF CITY ROADS ALLEYS.</t>
  </si>
  <si>
    <t>Purchase of Sports Utility Vehicle for official use of Office of the Sangguniang Panlalawigan BM Godofredo Galicia, Jr.</t>
  </si>
  <si>
    <t>RFQ-2020-170 Supply &amp; Delivery of medical supplies for COVID for TESDA use</t>
  </si>
  <si>
    <t>ITB FOR PROCUREMENT OF UNINTERRUPTED POWER SUPPLY</t>
  </si>
  <si>
    <t>Purchase of Various Materials for the Operation of CHB Machine and Water Supply System @ Dumpsite, San Antonio</t>
  </si>
  <si>
    <t>1 Lot Provision of Labor, Materials and Equipment for the Installation of Solar Streetlights in Brgy. Sapsap, Pastrana, Leyte. ABC PHP707,652.49</t>
  </si>
  <si>
    <t>Office supplies for BWS Office use</t>
  </si>
  <si>
    <t>CONSTRUCTION OF SHED FOR MOBILE DRIER EQUIPMENT</t>
  </si>
  <si>
    <t>CONSTRUCTION OF RICE &amp; CORN MILL BUILDING</t>
  </si>
  <si>
    <t>SUPPLY AND DELIVERY OF UV GERMICIDAL TUBE LIGHT</t>
  </si>
  <si>
    <t>Supply and Delivery of Labor and Materials for the Improvement of MPAC Crew Barracks and Office</t>
  </si>
  <si>
    <t>SUPPLY AND DELIVERY OF ONE (1) UNIT 6" MECHANICAL FLOW METER FLANGE TYPE</t>
  </si>
  <si>
    <t>Purchase of Lever Arch Folder of LCR</t>
  </si>
  <si>
    <t>Procurement of Materials for Installation of Solar Streetlights of Barangay Bacsay Cataraoan Norte, CLaveria, Cagayan Valley</t>
  </si>
  <si>
    <t>Installation of St. Lighting System (Solar Panel) at Sitio Cacatiw, Barangay Laguit Padilla, Bugallon, Pangasinan</t>
  </si>
  <si>
    <t>Supply and Delivery of Mist Blower (Covid19 Isolation Unit)</t>
  </si>
  <si>
    <t>Dengue NS1 Rapid Diagnostic Test Kits</t>
  </si>
  <si>
    <t>Meals and Snacks for the Fourth Level Training on 2020 Census of Population and Housing at City of Cabuyao</t>
  </si>
  <si>
    <t>LABOR AND MATERIALS FOR THE INSTALLATION OF STRUCTURED NETWORK CABLING AT THE NEW OFFICE OF THE REGULATORY DIVISION</t>
  </si>
  <si>
    <t>Supply/Delivery of Spare Parts for Maintenance and Replacement of Damaged Spare Parts of Various Vehicle  (PR# 20-07-0667)</t>
  </si>
  <si>
    <t>Procurement of Various Office Supplies, GSO</t>
  </si>
  <si>
    <t>NEGOTIATED PROCUREMENT FOR REPAIR AND MAINTENANCE OF OFFICE AND ICT EQUIPMENT/ ELECTRICAL MATERIALS</t>
  </si>
  <si>
    <t>PR 20-05-0071 Supply and Delivery of Common Construction Materials Supplies, Maintenance Section, DPWH-Bohol III DEO</t>
  </si>
  <si>
    <t>Supply and Delivery of Toner Cartridge , HP CE285A (PR Reference number 2020-05-0274)</t>
  </si>
  <si>
    <t>Cleaning and Commissioning of Underground Fuel Tank and  ENE Gasoline Pump 2 Hoses</t>
  </si>
  <si>
    <t>Purchase of Spare parts for Municipal Service</t>
  </si>
  <si>
    <t>SUPPLY AND DELIVERY OF GENERAL ENGINEERING SERVICE</t>
  </si>
  <si>
    <t>SUPPLY AND DELIVERY OF PHOTOCOPYING MACHINE</t>
  </si>
  <si>
    <t>request for supply and delivery of general merchandise</t>
  </si>
  <si>
    <t>Construction of Perimeter Fence for Mango Processing Plant and Tumauini Nursery</t>
  </si>
  <si>
    <t>Supply &amp; delivery of Janitorial Supplies for use at the CMO-Department of Public Safety for 1st, 2nd &amp; 3rd quarter, Laoag City</t>
  </si>
  <si>
    <t>Construction of Livelihood &amp; Enterpreneur Center (Pasalubong Center)</t>
  </si>
  <si>
    <t>Supply and Delivery of 32 pcs Steam Seal Valve, 16 pcs Gasket and other Materials for use in Completion of Repair Works of GenSet No. 3 at Taguig Pumping Station (N)</t>
  </si>
  <si>
    <t>CONSTRUCTION OF STORM DRAINAGE CANAL AT ABDULLA STREET AND RIZAL STREET</t>
  </si>
  <si>
    <t>EBMS -ELECTRONIC CONTROL BOARD &amp; 10 OTHERS (5TH POSTING)</t>
  </si>
  <si>
    <t>50 kgs. Welding Electrodes 1100B 3.2MM 1/8" AWS E6011</t>
  </si>
  <si>
    <t>Request for Quotation (Laptop Computers)</t>
  </si>
  <si>
    <t>PURCHASE OF TEN (10) UNITS PHOTOCOPIER &amp; ONE (1) UNIT RISOGRAPH MACHINE</t>
  </si>
  <si>
    <t>Purchase of Laptop of Agriculture Office</t>
  </si>
  <si>
    <t>PROCUREMENT OF OFFICE SUPPLIES FOR COA USE</t>
  </si>
  <si>
    <t>Supply and Delivery of Office Equipment- Php52,000.00</t>
  </si>
  <si>
    <t>Medical Supplies - (2nd) BANDAGE GAUZE 2"X10 YARDS ROLLED W/ EDGING, NON STERILE</t>
  </si>
  <si>
    <t>BID BULLETIN 1 - Clerical Correction of Scope of Work and Resetting the Schedule of Procurement Activities for Construction of Multi-Purpose Open Gym</t>
  </si>
  <si>
    <t>Purchase of New Born Screening Filter for Rural Health Unit – RHU of the Municipality of Tabuelan, Cebu</t>
  </si>
  <si>
    <t>purchase of office supplies and device</t>
  </si>
  <si>
    <t>3,000 ltrs Diesel Fuel for various vehicle and equipments assigned to the different offices/general services office</t>
  </si>
  <si>
    <t>Office Supplies for CVAARD Consortium</t>
  </si>
  <si>
    <t>240 bags Portland Cement, etc.-003</t>
  </si>
  <si>
    <t>PR 20-06-0073 Supply and Delivery of Common Maintenance Equipment's, Maintenance Section, DPWH-Bohol III DEO</t>
  </si>
  <si>
    <t>GIGLI WIRE, KELLY PAD ETC. FOR CSR</t>
  </si>
  <si>
    <t>Purchase of Rack/Shelves</t>
  </si>
  <si>
    <t>Procurement of Educational Materials/Supplies</t>
  </si>
  <si>
    <t>Supply and Delivery of Reflectorized Thermoplastic Pavement Markings for the use of MMIIDEO along Various National Roads (CY-2020-2nd Quarter).</t>
  </si>
  <si>
    <t>Refill of Fire Extinguisher</t>
  </si>
  <si>
    <t>2020-05-0614 ALL-IN-ONE PRINTER (Print, Copy, Scan,Wireless)</t>
  </si>
  <si>
    <t>SUPPLY &amp; DELIVERY OF R/M MOTOR VEHICLE</t>
  </si>
  <si>
    <t>1 Lot Provision of Labor, Materials and Equipment for the Construction of Basketball Court's Perimeter Fence in Brgy. Bunacan, Calubian, Leyte. ABC PHP971,753.37</t>
  </si>
  <si>
    <t>Procurement of Various Construction Supplies and Materials-06-394(O)PEO</t>
  </si>
  <si>
    <t>INVITATION TO BID FOR PROCUREMENT OF 8 LAPTOP UNITS, 1 HIGH-END VIDEO EDITING LAPTOP AND 20 DESKTOP UNITS</t>
  </si>
  <si>
    <t>Negotiated Procurement - Small Value Procurement - Toner Cartridges</t>
  </si>
  <si>
    <t>FREIGHT CARGO</t>
  </si>
  <si>
    <t>Supply and Delivery of 29,000 pcs Plastic Bags for Currency Notes, as per BSP Technical Specifications and Terms and Conditions</t>
  </si>
  <si>
    <t>CONSTRUCTION OF RIPRAP FRONT OF WESTERN KALINGA NHS, BUAYA</t>
  </si>
  <si>
    <t>MEALS AND VENUE</t>
  </si>
  <si>
    <t>Construction of Barangay Hand Washing Counter for Covid-19</t>
  </si>
  <si>
    <t>SUPPLY AND DELIVERY OF ONE (1) UNIT 8" MECHANICAL FLOW METER FLANGE TYPE</t>
  </si>
  <si>
    <t>SUPPLY &amp; DELIVERY OF FURNITURE &amp; FIXTURE</t>
  </si>
  <si>
    <t>CRRCF : 2 SERVICE -SITE ENGINEER FOR THE MONTH OF AUGUST TO DECEMBER 2020 (AVRC III AND DSWD FO IX)</t>
  </si>
  <si>
    <t>CONSTRUCTION OF DRAINAGE CANAL, P3, RAMIREZ ST.,  BULANAO NORTE</t>
  </si>
  <si>
    <t>Drugs and Medicines</t>
  </si>
  <si>
    <t>Rehabilitation of Day Care Center</t>
  </si>
  <si>
    <t>Third Party Laboratory Analysis</t>
  </si>
  <si>
    <t>SECURITY SERVICES FOR 2020-2021</t>
  </si>
  <si>
    <t>Supply/Delivery of Tire for Replacement Damaged Tire for Fire Truck (PR# 20-07-0668)</t>
  </si>
  <si>
    <t>Supply and Delivery of Tilapia Fingerlings</t>
  </si>
  <si>
    <t>LAYING OF CONCRETE PAVERS AT MUNINICIPAL HALL COMPOUND &amp; CONSTRUCTION OF WINGWALL, HEADWALL AND APRON SLAB OF PIPE CULVERT AT BARANGAY MALLABO,  SAN MARIANO, ISABELA</t>
  </si>
  <si>
    <t>COMMUNICATION EQUIPMENT</t>
  </si>
  <si>
    <t>Materials for the Construction of Artificial Reef</t>
  </si>
  <si>
    <t>NOTICE FOR NEGOTIATED PROCUREMENT</t>
  </si>
  <si>
    <t>CP 2020-33 REBIDDING FOR THE SUPPLY AND DELIVERY OF ONE UNIT SERVICE VEHICLE C/O DEPED</t>
  </si>
  <si>
    <t>Purchase of Tactical Operations Response Vehicle</t>
  </si>
  <si>
    <t>Negotiated Procurement - Small Value Procurement - Expanded Polystyrene (EPS) or Styrofoam</t>
  </si>
  <si>
    <t>Supply and Delivery of 293 Sets Raincoat w/ Pants &amp; Jacket w/ Printed MMDA SCOG Logo in Preparation of Rainy Season (L)</t>
  </si>
  <si>
    <t>Procurement of Various Construction Supplies and Materials-07-399(O)PEO</t>
  </si>
  <si>
    <t>Procurement of Various General Merchandise-07-031(P)PSWDO</t>
  </si>
  <si>
    <t>CONSTRUCTION OF DEEPWELL WITH ELEVATED TANK, AGBANNAWAG NATIONAL HIGH SCHOOL, AGBANNAWAG</t>
  </si>
  <si>
    <t>PR NO. 1597 Calibration of the equipment</t>
  </si>
  <si>
    <t>Medical, Dental &amp; Laboratory Supplies for CDH-2020-0039, 0042, 0058, HOD-2020-0109, 0110, 0145, 0148, 0326-0329, 0356, 0404-0407, 0409, 0410, 0412, LZDH-2020-0042, NFBC-2020-0012, OPA-2020-0363, PHO-2</t>
  </si>
  <si>
    <t>Purchase of Desktop and Laptop</t>
  </si>
  <si>
    <t>Procurement of Office Equipment (Binocular and Camera) for Mt. Kitanglad Range Natural Park</t>
  </si>
  <si>
    <t>SUPPLY AND DELIVERY OF FURNITURES AND FIXTURES</t>
  </si>
  <si>
    <t>Procurement of Hardware Materials used for Construction of Brgy. Road (phase II) @ Brgy. Pamosaingan, Socorro, SDN</t>
  </si>
  <si>
    <t>RFQ - Procurement of Goods: Const'n Materials &amp; Supplies for the use of CMO (Repair &amp; Maintenance of New City Hall of Tagum Building) (PR#100-20-06-0278)</t>
  </si>
  <si>
    <t>PROCUREMENT OF FUEL (JULY TO DECEMBER 2020)</t>
  </si>
  <si>
    <t>NEGOTIATED PROCUREMENT FOR MATERIALS FOR THE IMPROVEMENT OF CLASSROOM WINDOW GRILLS</t>
  </si>
  <si>
    <t>Supply and Delivery of Office Supplies for the Annual Routine Maintenance Program (CY-2020-2nd Quarter).</t>
  </si>
  <si>
    <t>Establishment of Apiculture</t>
  </si>
  <si>
    <t>Purchase of Computer peripherals</t>
  </si>
  <si>
    <t>Purchase of Construction Materials used for the Improvement of Pathwalk at Villa 6 to Valerio St., Brgy. Dulongbayan II, San Mateo, Rizal</t>
  </si>
  <si>
    <t>Procurment of Labor and Equipment for the Clearing of Obstruction Along Public Roads</t>
  </si>
  <si>
    <t>Procurement of construction materials for Concreting of Municipal Road at Ngileb</t>
  </si>
  <si>
    <t>Negotiated Procurement - Small Value Procurement - Various Supplies for Orthopaedics - Implants</t>
  </si>
  <si>
    <t>Improvement of Materials Recovery Facility</t>
  </si>
  <si>
    <t>Supply and Delivery of Construction Materials for Routine Maintenance (Construction Materials / Hand Tools ) (Roads) (CY-2020-2nd Quarter).</t>
  </si>
  <si>
    <t>CONCRETING OF BARANGAY ROAD  AT BRGY. SAG-ANG</t>
  </si>
  <si>
    <t>Supply and Delivery of Labor and Materials for the Improvement of Storage and Maintenance Facility</t>
  </si>
  <si>
    <t xml:space="preserve">Goods2020-06-008 -Purchase of Materials for Act. 63x- Resurfacing of Unpaved Shoulder for Rectification of Low Shoulder; Act. 41x- Emergency Projects- Bridge for the Replacement/Repair of Damage Deck </t>
  </si>
  <si>
    <t>Negotiated Procurement - Small Value Procurement - Isopropanol 2.5L</t>
  </si>
  <si>
    <t>Procurement of Materials for Repair &amp; Maintenance of Streetlights of Barangay Bacsay Cataraoan  Norte, Claveria, Cagayan Valley</t>
  </si>
  <si>
    <t>Procurement of Conference Name Plate Holder Double Sided</t>
  </si>
  <si>
    <t>Solar Electrification Project at Rizal and Poblacion, Jordan, Guimaras</t>
  </si>
  <si>
    <t>UPGRADING/IMPROVEMENT/REHABILITATION OF NGIBAT-TULGAO PROVINCIAL ROAD, TULGAO</t>
  </si>
  <si>
    <t>Procurement of Instructional Materials and Office Supplies</t>
  </si>
  <si>
    <t>0403 Advocacy and Lubricant Dispensers</t>
  </si>
  <si>
    <t>Purchase of Medical, Dental and Laboratory Supplies for the use of  PHO, Bataan</t>
  </si>
  <si>
    <t>ROAD CONCRETING AT COUNTRY HOMES AT THE BACK OF CNHS</t>
  </si>
  <si>
    <t>Vehicle Supplies for NV 350</t>
  </si>
  <si>
    <t>RFQ#2020-07-0032-Purchase of LPG Tanks with refill for use of Maintenance Section on the repainting of various centerlines and edgelines of National Roads and Bridges within DPWH-UKDEO</t>
  </si>
  <si>
    <t>SUPPLY &amp; DELIVERY OF OTHER EQUIPMENT &amp; MACHENIRIES</t>
  </si>
  <si>
    <t>Supply and Delivery of Equipment / Equipment Accessories and Services for Routine Maintenance for (Roads).</t>
  </si>
  <si>
    <t>PURCHASE OF MEDICAL SUPPLIES TO BE USED FOR VACCINATION, EUTHANASIA, SPAY/ CASTRATION AND TREATMENT OF SICK ANIMALS - CVSO</t>
  </si>
  <si>
    <t>SUPPLY &amp; DELIVERY OF RICE &amp; CORN MILL</t>
  </si>
  <si>
    <t>2020-GOODS-04 RE-AD; SUPPLY OF DIESEL FUEL FOR USE IN THE SERVICE VEHICLES OF DPWH REGIONAL OFFICE XIII FOR 3RD QUARTER AND 4TH QUARTER OF CY 2020, J. ROSALES AVENUE, BUTUAN CITY</t>
  </si>
  <si>
    <t>Purchase of Construction Supplies</t>
  </si>
  <si>
    <t>P.R. No. 20-184-076 "Office Equipment/Furniture and Supplies for the TES Office under Scholarship and Finance Program"</t>
  </si>
  <si>
    <t>PROCUREMENT OF VARIOUS VEHICLE SPARE PARTS (RE-BID)</t>
  </si>
  <si>
    <t>ROAD CONCRETING AT HOLY TRINITY</t>
  </si>
  <si>
    <t>CP 2020-34 REBIDDING FOR THE SUPPLY, DELIVERY AND INSTALLATION OF WATER PUMPS C/O CADMO</t>
  </si>
  <si>
    <t>Drugs &amp; Medicines for CDH-2020-0036, 0060, 0067, HOD-2020-0160, 0165, IPRH-2020-0314, LZDH-2020-0062, 0065, PHO-2020-0396-0398, TJPH-2020-0106, 0107, 0111, 0114</t>
  </si>
  <si>
    <t>Procurement of 9 heads Cattle for Livestock Assistance of CALABARZON</t>
  </si>
  <si>
    <t>Supply and delivery of 2 units Electric Stand Fan and 1 unit 55 Smart TV UHD for Admin. Building, Candahug, Palo, Leyte. ABC PHP34,900.00</t>
  </si>
  <si>
    <t>PROCUREMENT AND DELIVERY OF ANTI-RABIES VACCINE</t>
  </si>
  <si>
    <t>Supply and Delivery of Labor and Materials for the Installation of Transformer and Power Transmission Line for MPAC Slipway</t>
  </si>
  <si>
    <t>Procurement of materials for the repainting, extension of drainage manhole and replacement of damaged door jamb at City Hall Building</t>
  </si>
  <si>
    <t>CONTINUATION OF DRAINAGE CANAL PULIDO ST., CENTRO 2, SANCHEZ MIRA, CAGAYAN</t>
  </si>
  <si>
    <t>CONSTRUCTION OF DRAINAGE CANAL, DANGOY</t>
  </si>
  <si>
    <t>CRCF-2020-07-0242 : 2 SERVICE -SITE ENGINEER FOR THE MONTH OF AUGUST TO DECEMBER 2020 (2 CENTERS: RSCC AND HOME FOR WOMEN)</t>
  </si>
  <si>
    <t>INVITATION TO BID-VEHICLE</t>
  </si>
  <si>
    <t>Color Document Scanner</t>
  </si>
  <si>
    <t>PURCHASE OF SIX (6) UNITS AIRCON USE IN VARIOUS OFFICES AT MUNICIPALITY OF CAUAYAN, NEGROS OCCIDENTAL</t>
  </si>
  <si>
    <t>Provision of Snacks for the Conduct of Gen. Assy. of Senior Citizens</t>
  </si>
  <si>
    <t>WELFARE GOODS</t>
  </si>
  <si>
    <t>NEGOTIATED PROCUREMENT FOR CONSTRUCTION OF HANDWASHING AND TOOTHBRUSHING FACILITIES</t>
  </si>
  <si>
    <t>Office &amp; Housekeeping Supplies for CDH-2020-0032, 0043-0045, GOV-2020-0170, IADH-2020-0116-0120, 0124, ICTD-2020-0020, LZDH-2020-0052, NFBC-2020-015, OPA-2020-0336, 0374, 0378, PBO-2020-0019, PEMO-202</t>
  </si>
  <si>
    <t>Procurement of office equipment for MTO Office use</t>
  </si>
  <si>
    <t>PROCUREMENT AND DELIVERY OF ANTI-PSYCHOTIC MEDICINES</t>
  </si>
  <si>
    <t>Purchase of Books for Department of Education, Kabankalan City for various Elementary Schools use</t>
  </si>
  <si>
    <t>20M0031 - Purchase of Spare Parts for use in the Repair of SBS-599, SBF-876, SCK-687 and SBF-892 as service vehicle assigned in Construction Section, this district</t>
  </si>
  <si>
    <t>BIDDING FOR SUPPLY &amp; DELIVERY OF LABORATORY SUPPLIES – IMMUNOLOGY/SEROLOGY REAGENT – IV</t>
  </si>
  <si>
    <t>Fuel and Lubricants For the Rehabilitation of  Barangay Roads( Purok Bayanihan to Malipayon) 	 Balansag, R. T. Lim, Zamboanga Sibugay</t>
  </si>
  <si>
    <t>20AC0058 - Construction of Seawall at Paratong Sitio Mindanao, Sta. Catalina, Ilocos Sur</t>
  </si>
  <si>
    <t>Supply and delivery of fertilizer, seeds and other farm materials in Conner, Apayao</t>
  </si>
  <si>
    <t>Supply and Delivery of Vehicle Tires</t>
  </si>
  <si>
    <t>Supply and Delivery of Various Materials for Plotting, Printing and storage of detailed plans of Flood Control Projects</t>
  </si>
  <si>
    <t>Procurement of Tarpaulin used for Repair/ Improvement of Tourism Hub / Waiting Area @ Brgy. Navarro, Socorro, SDN</t>
  </si>
  <si>
    <t>PR NO. MG-ISD20-016, CONTINUOUS FORMS</t>
  </si>
  <si>
    <t>Procurement of 25 Sacks of Rice for Use in Burial Assistance to Different Sectors</t>
  </si>
  <si>
    <t>Purchase of various construction supplies for different Barangays use</t>
  </si>
  <si>
    <t>2020-06-319 CANVASS FOR VEHICLE REPAIR AND MAINTENANCE</t>
  </si>
  <si>
    <t>PR 20-06-0074 Supply and Delivery of Common Construction Materials Supplies, Maintenance Section, DPWH-Bohol III DEO</t>
  </si>
  <si>
    <t>Procurement for the Printing of CABEIHM GS Journal</t>
  </si>
  <si>
    <t>Procurement of Meals and Snacks</t>
  </si>
  <si>
    <t>BIDDING FOR SUPPLY &amp; DELIVERY OF NUTRITION &amp; DIETETIC SUPPLIES - COMMERCIAL FORMULA MILK - II</t>
  </si>
  <si>
    <t>S/D OF TEN (10) EA AIR OUTLET AND ELEVEN (11) OTHER LI OF AVNR(P), PA (PHP 970,000.00)</t>
  </si>
  <si>
    <t>Purchase of Hardware Supplies and Materials</t>
  </si>
  <si>
    <t>Purchase of Micro Organism Solution Spray (for the Treatment of Solid Waste) for ECO</t>
  </si>
  <si>
    <t>Procurement of Pulse Oximeter for Covid-19 Quick Response</t>
  </si>
  <si>
    <t>PROCUREMENT AND DELIVERY OF MEDICAL AND LABORATORY SUPPLIES</t>
  </si>
  <si>
    <t>For Digital Modules for Junior &amp; Senior High School Students</t>
  </si>
  <si>
    <t>MG-PHP20-004 - PENETRATING OIL 16 OZ, 63 CANS (RE-BID)</t>
  </si>
  <si>
    <t>Procurement of Materials in RAC Servicing Domrac NA II for training use 1st batch 2020</t>
  </si>
  <si>
    <t>Lumpsum Services for Live Coverage, Surigao City</t>
  </si>
  <si>
    <t>Supply and delivery of Airconditioning Units with installation for BDD and PRISM Project</t>
  </si>
  <si>
    <t>PR NO. MG-MFI20-001, VARIOUS OFFICE SUPPLIES</t>
  </si>
  <si>
    <t>Supply and Delivery of Labor and Materials for the Construction of MPAC Crew Barracks (Modular Type)</t>
  </si>
  <si>
    <t>NEGOTIATED PROCUREMENT FOR MATERIALS FOR REPAIR OF WATERLINES</t>
  </si>
  <si>
    <t>GOODS-OE-23-2020</t>
  </si>
  <si>
    <t>Purchase of Drugs and Medicines for the use of  PHO, Bataan</t>
  </si>
  <si>
    <t>2020-06-298 CANVASS FOR OFFICE SUPPLIES CONSUMABLES</t>
  </si>
  <si>
    <t>RB2020-07-214 Janitorial supplies</t>
  </si>
  <si>
    <t>PR NO. MG-MFI20-004, OFFICIAL RECEIPT</t>
  </si>
  <si>
    <t>SERVICES (MM0)</t>
  </si>
  <si>
    <t>Purchase of 1-unit Mini Van with Roof Rack</t>
  </si>
  <si>
    <t>Delivery of Construction Supplies and Materials of Matalaba National High School for the month of April 2020</t>
  </si>
  <si>
    <t>Office Renovation for Additional electrical works on Cebu North Lending Center</t>
  </si>
  <si>
    <t>REQUEST FOR QUOTATION ON COMMUNICATION PARTS AND ACCESSORIES</t>
  </si>
  <si>
    <t>SUPPLY AND DELIVERY OF OFFICE EQUIPMENTS</t>
  </si>
  <si>
    <t>Supply and Delivery Hardware Materials for Repair &amp; Maintenance of Roads &amp; Bridges @ Bislig City</t>
  </si>
  <si>
    <t>Catering services for the conduct of Training on Rice Mechanization in Bacoor, Cavite on July 13-16, 2020</t>
  </si>
  <si>
    <t>Tobramycin Eye Drops Solution: 0.3% 5ml bottle</t>
  </si>
  <si>
    <t>Training Expenses (03-368)</t>
  </si>
  <si>
    <t>Procurement for the body repair/paint/upholstery/tint/lette-ring inclusive of labor of Suzuki Mini Ambulance</t>
  </si>
  <si>
    <t>Procurement of one (1) set computer with printer for City Administrator's Office use</t>
  </si>
  <si>
    <t>Request for Quotation for Various Medical Supplies for CATHLAB 0137</t>
  </si>
  <si>
    <t>Supply and Delivery of Assorted Vegetable Seeds: Germination Test Date must be after December 2019</t>
  </si>
  <si>
    <t>SUPPLY AND DELIVERY 3 UNITS DESKTOP COMPUTERS</t>
  </si>
  <si>
    <t>CRCF: 1 SERVICE -ARCHITECT FOR THE MONTH OF AUGUST TO DECEMBER 2020</t>
  </si>
  <si>
    <t>2020-06-285 CANVASS FOR HOSPITAL/MEDICAL EQUIPMENT</t>
  </si>
  <si>
    <t>Purchase of Agricultural Production and Post-harvest Machinery and Equipment</t>
  </si>
  <si>
    <t>REQUEST FOR QUOTATION-FURNITURE</t>
  </si>
  <si>
    <t>Concreting of Brgy. Road, at So. Naga, Brgy. Sta Agueda, Pamplona  Negros Oriental(S-33-2020)</t>
  </si>
  <si>
    <t>supply and delivery of antirabies vaccines to be used in the conduct of Gender and Development Program Activities of the RADDL with PR#211 dated 6/17/2020 with ABC 99,960</t>
  </si>
  <si>
    <t>RE-BIDDING FOR SUPPLY &amp; DELIVERY OF LABORATORY SUPPLIES - BACTERIOLOGY REAGENTS - I</t>
  </si>
  <si>
    <t>RFQ - Computer Software and Equipment</t>
  </si>
  <si>
    <t>SUPPLY &amp; DELIVERY OF OTHER SUPPLIES EXP.</t>
  </si>
  <si>
    <t>Purchase of 1 System Unit, Drone &amp; UPS</t>
  </si>
  <si>
    <t>PROCUREMENT OF MEDICAL EQUIPMENT FOR SPECIAL CARE</t>
  </si>
  <si>
    <t>Purchase of 1 Unit 5T Air Conditioning Unit for use at Sangguniang Panlalawigan ng Albay PR No. (100(01)20-06-1241)</t>
  </si>
  <si>
    <t>Procurement of Lumber &amp; Aggregates used for Repair/ Improvement of Tourism Hub / Waiting Area @ Brgy. Navarro, Socorro, SDN</t>
  </si>
  <si>
    <t>Supply and Delivery of Office Supplies &amp; Devices</t>
  </si>
  <si>
    <t>Procurement of Vegetable Seeds</t>
  </si>
  <si>
    <t>CONSTRUCTION OF SLOPE PROTECTION ALONG PROVINCIAL ROAD, PANTIKIAN</t>
  </si>
  <si>
    <t>Supply and Delivery of Equipment for Repair &amp; Maintenance of Roads &amp; Bridges @ Bislig City</t>
  </si>
  <si>
    <t>Rehabilitation &amp; Improvement of Inawasan - Bahi - an Pal-ew - Sto. Niño Ali-is Provincial Road Tanjay City Negros Oriental (S-22-2020</t>
  </si>
  <si>
    <t>NEGOTIATED PROCUREMENT FOR PRINTER</t>
  </si>
  <si>
    <t>Purchase of Towel and Soap Dispensers</t>
  </si>
  <si>
    <t>Supply and Delivery of NEWBORN HEARING SCREENING MACHINE</t>
  </si>
  <si>
    <t>SUPPLY &amp; DELIVERY OF ADVERTISING EXPENSES</t>
  </si>
  <si>
    <t>Diesel Fuel(SBO)</t>
  </si>
  <si>
    <t>Supply and delivery of various Fertilizers to different Municipalities in Leyte, ABC PHP66,883,150.00</t>
  </si>
  <si>
    <t>Water treatment Facility Dapdap</t>
  </si>
  <si>
    <t>Fuel, Oil &amp; Lub. Expense-Fire Station Service Vehicles</t>
  </si>
  <si>
    <t>PROCUREMENT OF FUEL, OIL AND LUBRICANT</t>
  </si>
  <si>
    <t>HD Pro Webcam,Headphone,Wireless Speaker</t>
  </si>
  <si>
    <t>RB2020-07-215 Uniform of Security forces</t>
  </si>
  <si>
    <t>OTHER SUPPLIES &amp; MATERIALS</t>
  </si>
  <si>
    <t>Supply and delivery of ducks to Namnama, Alfonso Lista, Ifugao</t>
  </si>
  <si>
    <t>Transport Box (National Immunization Program)</t>
  </si>
  <si>
    <t>Acquisition of Brand New Garbage Truck</t>
  </si>
  <si>
    <t>Procurement of Tarpaulin used for Construction of Brgy. Road (phase II) @ Brgy. Pamosaingan, Socorro, SDN</t>
  </si>
  <si>
    <t>Supply and Delivery of Various Materials for the use of Public Safety Division for uniform of personnel during Operations</t>
  </si>
  <si>
    <t>SUPPLY AND DELIVERY OF NITRILE DISPOSABLE GLOVES</t>
  </si>
  <si>
    <t>Supply and Delivery of Fertilizers</t>
  </si>
  <si>
    <t>SUPPLY AND DELIVERY OF PORTABLE DENTAL HVE SYSTEM</t>
  </si>
  <si>
    <t>SUPPLY AND DELIVERY OF HARDWARE MATERIALS FOR CONSTRUCTION OF BARANGAY HEALTH STATION BUILDING</t>
  </si>
  <si>
    <t>Procurement-Supply &amp; Delivery of Office Supplies</t>
  </si>
  <si>
    <t>Procurement of Data Folder</t>
  </si>
  <si>
    <t>Supply and delivery of 600 tanks of Medical Oxygen, standard refill for use in Western Leyte Provincial Hospital. ABC PHP456,000.00</t>
  </si>
  <si>
    <t>Lumpsum Services for Airing Information Dissemination on City City's Development News Program "</t>
  </si>
  <si>
    <t>REPAIR AND MAINTENANCE OF PMWS (PURCHASE OF ALTERNATE/RESERVE PUMP)</t>
  </si>
  <si>
    <t>20AC0057 - Construction of Seawall at Paratong, Sta. Catalina, Ilocos Sur</t>
  </si>
  <si>
    <t>10% Alphacypermethrin Suspension Concentrate to be used for Dengue Prevention &amp; Control at Various Barangays in Mangatarem, Pangasinan</t>
  </si>
  <si>
    <t>LOT 1-CONCRETE BLEACHER</t>
  </si>
  <si>
    <t>Supply and Delivery of Aircon for Municipal Agriculture Office</t>
  </si>
  <si>
    <t>Purchase of HUmidifier Oil scents</t>
  </si>
  <si>
    <t>20FF0102 - Work Category 10: Pavement Maintenance at Pili-Tigaon-Albay Road, Pili and Ocampo, Camarines Sur</t>
  </si>
  <si>
    <t>Fuel, Oil &amp; Lub. Expense - Mayor's</t>
  </si>
  <si>
    <t>REPAIR AND MAINTENANCE OF VEHICLE (MDRRMO)</t>
  </si>
  <si>
    <t>Purchase of School Supplies</t>
  </si>
  <si>
    <t>Supply and delivery of Poultry Feeds to Various Farmer-Association in Leyte, ABC PHP5,064,000.00</t>
  </si>
  <si>
    <t>RFQ / 20-06-1400 / PROCUREMENT OF AUTOMOBILE HEADLIGHT RFID TAG</t>
  </si>
  <si>
    <t>RE-BIDDING FOR SUPPLY &amp; DELIVERY OF LABORATORY SUPPLIES - BLOOD BANK REAGENT - I</t>
  </si>
  <si>
    <t>Invitation to Bid</t>
  </si>
  <si>
    <t>20M0032 - Purchase of Materials for use in the Repair/Maintenance of Paved Road Surfaces along National Road, within the district</t>
  </si>
  <si>
    <t>Request for Quotation for LABOR AND MATERIALS FOR FABRICATION AND INSTALLATION OF GATES PANAFLEX SIGNAGES 0392</t>
  </si>
  <si>
    <t>Procurement of electric bike</t>
  </si>
  <si>
    <t>NEGOTIATED PROCUREMENT FOR MAINTENANCE OF COMFORT ROOMS</t>
  </si>
  <si>
    <t>Purchase of various office supplies for SP Office use</t>
  </si>
  <si>
    <t>Supply and Delivery of Laptop Computer</t>
  </si>
  <si>
    <t>Indelible Ink Markers</t>
  </si>
  <si>
    <t>RFQ - Drugs and Medicine (Anti-rabies Vaccine)</t>
  </si>
  <si>
    <t>Request for Quotation for Various Airconditoners for PDCCU 0319</t>
  </si>
  <si>
    <t>Supply and delivery for the operation and maintenance of PMU-Rosario</t>
  </si>
  <si>
    <t>IT Supplies (Internet at HEMS &amp; ASEC New Office)</t>
  </si>
  <si>
    <t>Purchase of 1 Unit Photocopier Machine for use of APSEMO PR No. (100(01)20-05-1143)</t>
  </si>
  <si>
    <t>RFQ20-07-49 ENGG SERVICES</t>
  </si>
  <si>
    <t>Rehabilitation and Improvement of Tayasan - Tambulan Provincial Road, Tayasan, Negros Oriental(S-23-2020)</t>
  </si>
  <si>
    <t>PROCUREMENT AND DELIVERY OF FURNITURE AND FIXTURE</t>
  </si>
  <si>
    <t>Consultant on Political Affairs</t>
  </si>
  <si>
    <t>Supply and Delivery of Batteries and Battery Charger (PR reference number 2020-05-0271 and 2020-05-0270</t>
  </si>
  <si>
    <t>SUPPLY OF AGRICULTURAL SEEDS FOR THE IMPLEMENTATION OF THE YOLANDA REHABILITATION AND RECONSTRUCTION PROGRAM (YRRP) OF THE MUNICIPALITY OF LIMASAWA, SOUTHERN LEYTE</t>
  </si>
  <si>
    <t>CRCF : DRAFTSMEN  FOR THE MONTH OF AUGUST TO DECEMBER 2020</t>
  </si>
  <si>
    <t>Supply and Delivery of Materials  for the Replacement of Old Batteries of PRFS Fleet (F-01, F-09, F-14, T-05, T-06,Trash Skimmer and Shore Conveyor</t>
  </si>
  <si>
    <t>Procurement of Services</t>
  </si>
  <si>
    <t>MOTOR VEHICLE</t>
  </si>
  <si>
    <t>Rehabilitation and Improvement  of San Francisco - Hingles Provincial Road Sta. Catalina, Negros Oriental(S-29-2020)</t>
  </si>
  <si>
    <t>Barangay Facility Enhancement Project</t>
  </si>
  <si>
    <t>CATERING SERVICES ON JULY 13-17, 2020</t>
  </si>
  <si>
    <t>Furnishing and Delivery of Office Supplies</t>
  </si>
  <si>
    <t>CRCF : ELECTRICAL  ENGINEER FOR THE MONTH OF AUGUST TO DECEMBER 2020</t>
  </si>
  <si>
    <t>Procurement of Hardware Materials used for Repair/ Improvement of Tourism Hub / Waiting Area @ Brgy. Navarro, Socorro, SDN</t>
  </si>
  <si>
    <t>Supply/Delivery of 1 unit Desktop Computer with Printer</t>
  </si>
  <si>
    <t>RFQ / 20-06-1401 / PROCUREMENT OF ID WITH BEEP FUNCTIONALITY</t>
  </si>
  <si>
    <t>PROCUREMENT OF TASK FORCE UNIFORM</t>
  </si>
  <si>
    <t>Supply and Delivery of Printers and Printing Materials for the Offline Learning in Response for COVID-19 Pandemic (by Lot)</t>
  </si>
  <si>
    <t>Medical Supplies for the Bantay Eskwela Network Project</t>
  </si>
  <si>
    <t>74759_Supply &amp; Delivery of Main Pump assembly with Main Pump Coupling</t>
  </si>
  <si>
    <t>Supply and delivery of various Injectable Medicines for Leyte Provincial Hospital, ABC PHP4,849,000.00</t>
  </si>
  <si>
    <t>Installation of Public Address</t>
  </si>
  <si>
    <t>Purchase of Supplies for Women and Children Crisis Intervention Center</t>
  </si>
  <si>
    <t>Procurement of Electrical System</t>
  </si>
  <si>
    <t>PROCUREMENT FOR MEDICAL SUPPLIES PR NO. 0565 S.2020</t>
  </si>
  <si>
    <t>Drugs &amp; Medicines (Fluids) for TJPH-2020-0113</t>
  </si>
  <si>
    <t>Procurement of One (1) Lot Laboratory and One (1) Lot Agricultural Supplies</t>
  </si>
  <si>
    <t>RFQ - Office Supplies (Childhood Development Program)</t>
  </si>
  <si>
    <t>RFQ-PR NO. 2020-06-070 - PROCUREMENT OF SUPPLIES FOR USE IN THE REPAIR OF NATIONAL ROADS WITHIN THE DISTRICT</t>
  </si>
  <si>
    <t>Procurement of Lumber &amp; Aggregates used for Construction of Brgy. Road (phase II) @ Brgy. Pamosaingan, Socorro, SDN</t>
  </si>
  <si>
    <t>PR#20-07-0317 Water Meter for maintenance services of City Waterworks Office</t>
  </si>
  <si>
    <t>DPWH-PDS-2020-021 -Purchase of Diesel for Service Vehicles assigned in the Planning &amp; Design Section</t>
  </si>
  <si>
    <t>SUPPLY AND DELIVERY OF AEROSOL SUCTION</t>
  </si>
  <si>
    <t>Acquisition of Brand New Mini Dump Truck</t>
  </si>
  <si>
    <t>Procurement of Loyalty Bracelets, Rings and Pins</t>
  </si>
  <si>
    <t>Purchase of Office Equipments to be used at Budget Office and General Services Office, LGU-Mangatarem, Pangasinan</t>
  </si>
  <si>
    <t>PURCHASE and DELIVERY of various VACCINE, BIOLOGICS and VETERINARY EQUIPMENTS  LGU, Bagabag, Nueva Vizcaya</t>
  </si>
  <si>
    <t>Construction of Child Development Center (Day Care Center) PR No. (100(01)20-06-1223)</t>
  </si>
  <si>
    <t>Supply and delivery of 1,000 Pieces Wooden School Arm Chair with Book Tray, ABC PHP2,600,000.00</t>
  </si>
  <si>
    <t>BACKFILLING OF MUNICIPAL LOT AT BUGALLON PROPER, RAMON, ISABELA</t>
  </si>
  <si>
    <t>Purchase and Installation of Rotavator Blades</t>
  </si>
  <si>
    <t>PURCHASE OF BRAND NEW BARANGAY VEHICLE AMBULANCE W/ COMPLETE ACCESSORIES</t>
  </si>
  <si>
    <t>Rehabilitation of Valencia National High School 2 Storey 4 Classroom Building at Brgy. Valencia, Ormoc City</t>
  </si>
  <si>
    <t>SCREEN -JULY</t>
  </si>
  <si>
    <t>Purchase of Office Supplies for this Municipality</t>
  </si>
  <si>
    <t>Consultant on Legal Affairs</t>
  </si>
  <si>
    <t>Purchase of Office Supplies/Equipment for use at the DepEd-Antequera District Office</t>
  </si>
  <si>
    <t>Procurement of Office and IT Equipment for VM and Accounting Office</t>
  </si>
  <si>
    <t>Acquisition of Brand New Ambulance</t>
  </si>
  <si>
    <t>Procurement of Various Supplies in response to COVID 19#1.doc</t>
  </si>
  <si>
    <t>Construction of Street Lights</t>
  </si>
  <si>
    <t>Purchase of Materials for the Maintenance of Public Market - LGU</t>
  </si>
  <si>
    <t>PROCUREMENT FOR MEDICAL EQUIPMENT PR NO. 0564 S.2020</t>
  </si>
  <si>
    <t>for the use in the office of the Municipal Treasurer</t>
  </si>
  <si>
    <t>Supply/Delivery of Personal Protective Gear FOR MDRRM Rescue Supplies for 24/7 Operation (PR# 20-07-0664)</t>
  </si>
  <si>
    <t>Supply and delivery of various Drugs and Medicines for Western Leyte Provincial Hospital, ABC PHP2,491,545.00</t>
  </si>
  <si>
    <t>RFQ-PR NO. 2020-06-071 - PROCUREMENT OF COMMON OFFICE SUPPLIES FOR USE AT LEYTE 4TH DEO</t>
  </si>
  <si>
    <t>Covered Pathway for Senior High School at NOCNHS, Ormoc City</t>
  </si>
  <si>
    <t>SUPPLY &amp; DELIVERY OF MEALS &amp; SNACKS</t>
  </si>
  <si>
    <t>INVITATION TO BID FOR THE PURCHASE/INSTALLATION OF CCTV CAMERA AT BARANGAY WAWA</t>
  </si>
  <si>
    <t>RSS NO. 41-43</t>
  </si>
  <si>
    <t>Cellcards (Aftercare Program)</t>
  </si>
  <si>
    <t>Rehabilitation/Improvement of Barangay Roads</t>
  </si>
  <si>
    <t>20AC0060 - Construction of Seawall at Paratong-Subec, Sta. Catalina, Ilocos Sur</t>
  </si>
  <si>
    <t>PROCUREMENT AND DELIVERY OF HARDWARE MATERIAL</t>
  </si>
  <si>
    <t>Various Office Supplies for TAS 3rd Quarter</t>
  </si>
  <si>
    <t>Procurement of Desktop w/ Accessories</t>
  </si>
  <si>
    <t>Procurement of Fire Extinguisher-Refill</t>
  </si>
  <si>
    <t>Supply and Delivery of Supplies and Materials to be used for the Improvement of Water Line and Sewer Line.</t>
  </si>
  <si>
    <t>MATERIALS FOR REPAIR AND ENHANCEMENT OF HAND WASHING FACILITIES (TILES)</t>
  </si>
  <si>
    <t>RFQ-L-PROCUREMENT OF BASE RADIO STATION FOR THE USE OF CTPMO-NAVOTAS CITY</t>
  </si>
  <si>
    <t>LOT 2-CONSTRUCTION OF WOODEN BLEACHER (COVERED COURT) PHASE 4</t>
  </si>
  <si>
    <t>PROCUREMENT AND DELIVERY OF DRUGS AND MEDICINES</t>
  </si>
  <si>
    <t>Repair &amp; Maintenance: Building &amp; Other Structures: Other Structures (Gable End Roof/Canopy) at Brgy. Curva Covered Court, Ormoc City</t>
  </si>
  <si>
    <t>RFQ / 20-06-0320 / PROCUREMENT OF 1 LOT FORTIWEB-600D 24X7 STANDARD BUNDLE AND FORTIGATE-800D UTM BUNDLE</t>
  </si>
  <si>
    <t>NEGOTIATED PROCUREMENT FOR MATERIALS FOR REPAIR AND INSTALLATION OF WATER STORAGE</t>
  </si>
  <si>
    <t>P.R. No. 2020-07-0039 - Procurement of Uniforms &amp; PPE for Maintenance Personnel (1st Semester CY-2020)</t>
  </si>
  <si>
    <t>Supply and delivery of 266 Pieces 6-inch dia. High Density Polyethylene Pipe &amp; Tubing (HDPE), ABC PHP2,420,600.00</t>
  </si>
  <si>
    <t>SUPPLY AND DELIVERY OF ONE (1) UNIT 4" MECHANICAL FLOW METER FLANGE TYPE</t>
  </si>
  <si>
    <t>lot1 - office conference equipment &amp; accessories audio system; lot 2- IT equipment &amp; accessories for session hall visual system</t>
  </si>
  <si>
    <t>Materials for the rehabilitation of SP Session Hall</t>
  </si>
  <si>
    <t>RFQ - Procurement of Goods: Const'n Materials &amp; Supplies for the use of CEEO - Admin (Repair &amp; Maintenance of City Government Building) (PR#100-20-06-0297)</t>
  </si>
  <si>
    <t>Supply/Delivery of Complete Set of  Personal Protective Gear for MDRRM Rescue Supplies for 24/7 Operation (PR# 20-07-0664)</t>
  </si>
  <si>
    <t>REQUEST FOR QUOTATION FOR THE  RENTAL OF ACCOMMODATION FOR FRONTLINERS</t>
  </si>
  <si>
    <t>Medical Oxygen for CDH-2020-0047 &amp; HOD-2020-0108</t>
  </si>
  <si>
    <t>Purchase of  Office Supplies for Various Offices R.  T. Lim, Zamboanga Sibugay</t>
  </si>
  <si>
    <t>Repair &amp; Maintenance Building &amp; Other Structure</t>
  </si>
  <si>
    <t>RFQ / 20-06-1399 / PROCUREMENT OF 1 UNIT FLATBED DOCUMENT SCANNER AND 4 OTHER LINE ITEMS</t>
  </si>
  <si>
    <t>Luggage &amp; Polo Shirt (IHOMIS &amp; DOH Information System)</t>
  </si>
  <si>
    <t>Repair and Improvement of Gov. FGR Sports Complex</t>
  </si>
  <si>
    <t>Concreting of road - Mun. compound</t>
  </si>
  <si>
    <t>Construction and Painting of Tool Cabinets in Provincial Training Center - Candon City</t>
  </si>
  <si>
    <t>Supply and delivery of office supplies for official use of PENRO Agusan del Sur for 2nd quarter of CY2020</t>
  </si>
  <si>
    <t>20M0034 - Purchase of Materials use in the Vegetation Control along National Road, this district</t>
  </si>
  <si>
    <t>Supply and delivery of various laboratory Supplies for Leyte Provincial Hospital, ABC PHP2,458,245.00</t>
  </si>
  <si>
    <t>Construction of Three (3) Temporary Learning Spaces at Donghol Integrated School, Ormoc City</t>
  </si>
  <si>
    <t>Vehicle Hire</t>
  </si>
  <si>
    <t>ONE (1) LOT LABOR, MATERIALS AND PARTS FOR THE REPAIR OF BRANCH SERVICE VEHICLE (NOL627) OF LBP TAGAYTAY BRANCH (SUCH AS PREVENTIVE MAINTENANCE /GENERAL OVERHAUL AND CHANGE TRANSMISSION GEAR )</t>
  </si>
  <si>
    <t>SUPPLY AND INSTALLATION OF ONE (SET) VENTILATOR FOR LIMAY SPORTS COMPLEX</t>
  </si>
  <si>
    <t>Replacement of Steel Plate of Gov't. Vehicle w/ Plate No.SEY 926</t>
  </si>
  <si>
    <t>2020-07-Rehabilitation of Barangay Health Center - Phase IV.</t>
  </si>
  <si>
    <t>Purchase of Construction Materials and Supplies with Labor on pakyaw or takay basis supplied by local laborers for the Fabrication of Steel Bleacher</t>
  </si>
  <si>
    <t>SUPPLY &amp; DELIVERY OF OTHER MACHENIRIES &amp; EQUIPMENT</t>
  </si>
  <si>
    <t>Purchase of Computers for PNP Personnel</t>
  </si>
  <si>
    <t>Purchase of Vehicle Tires and Batteries</t>
  </si>
  <si>
    <t>Purchase of Materials for Mainline at Public Market, Poblacion, Padre Garcia, Batangas</t>
  </si>
  <si>
    <t>Installation of One Set (3) Three Channel CCTV</t>
  </si>
  <si>
    <t>Supply and Delivery of Construction Materials for Repair of City Halls Basement Offices</t>
  </si>
  <si>
    <t>Supply &amp; delivery of 1 unit Airconditioning Unit (Split Type) 2.5 HP with installation for use at the Laoag City Public Market &amp; Commercial Complex</t>
  </si>
  <si>
    <t>Replacement and Maintenance of ICT Equipment</t>
  </si>
  <si>
    <t>SUPPLY AND DELIVERY OF LABORATORY ITEMS UNDER EMB-ERLSD-ESRS</t>
  </si>
  <si>
    <t>RFQ-PR NO. 2020-06-062-PROCUREMENT OF MATERIALS FOR USE IN THE REPAINTING OF DPWH BUILDING, LEYTE IV DEO</t>
  </si>
  <si>
    <t>Fuel, Oil &amp; Lub. Expense - Vice Mayor's Office</t>
  </si>
  <si>
    <t>BARANGAY ANNUAL INVESTMENT PLAN WORKSHOP 2020</t>
  </si>
  <si>
    <t>Request for quotation for installation of comfort rooms, clinic and feeding room</t>
  </si>
  <si>
    <t>Supply and Delivery of Spareparts</t>
  </si>
  <si>
    <t>Request for Quotation -office supplies</t>
  </si>
  <si>
    <t>Supply and Delivery of Tires and Spare Parts for Repair &amp; Maintenance of Roads &amp; Bridges @ Bislig City</t>
  </si>
  <si>
    <t>Purchase of Spare parts for Kubota L5018</t>
  </si>
  <si>
    <t>SUPPLY &amp; DELIVERY OF OTHER MOOE</t>
  </si>
  <si>
    <t>PR NO. 1600 Air Conditioning Units</t>
  </si>
  <si>
    <t>NNP-2020-VIV-06-01 FARM TO MARKET ROAD</t>
  </si>
  <si>
    <t>Purchase of forms for Building Permit use</t>
  </si>
  <si>
    <t>Supply/delivery and installation of Air-conditioning Units</t>
  </si>
  <si>
    <t>Kitchen Tools &amp; Equipment (ASEC Office)</t>
  </si>
  <si>
    <t>PROCUREMENT OF UNIFORM</t>
  </si>
  <si>
    <t>for different offices use ( Registrar, VIS, Assessment, Admin and VSA)</t>
  </si>
  <si>
    <t>additional rice packs for affected of Covid19</t>
  </si>
  <si>
    <t>LOT 3-REHABILITATION OF TENNIS COURT</t>
  </si>
  <si>
    <t>Supply and delivery of 27 Units High Bay 300 Watts LED Flood Light ABC PHP1,344,600.00</t>
  </si>
  <si>
    <t>CONSTRUCTION OF SOLAR DRIER</t>
  </si>
  <si>
    <t>HAULING AND TIPPING FEES OF RESIDUAL WASTE FOR PERIOD COVERING FEB. 6-12, 2020</t>
  </si>
  <si>
    <t>Improvement of DOTS at Municipal Health Center</t>
  </si>
  <si>
    <t>Concreting of Hilltop Panantuleng Road</t>
  </si>
  <si>
    <t>JANITORIAL SUPPLIES AND OTHERS (COVID-19 RESPONSE ITEMS)</t>
  </si>
  <si>
    <t>Siphoning of Septic Tank Sludge at TNHS Evacuation Center, Tabaco City</t>
  </si>
  <si>
    <t>UPLB-RQ-7-082-20-GOODS SUPPLY AND DELIVERY OF INTERNET SERVICES FOR CEM</t>
  </si>
  <si>
    <t>Supply and Delivery of 2 units Brand New 4-Wheeler Modernized Jeep (Bus Type).</t>
  </si>
  <si>
    <t>Request for Quotation -PRINTING SERVICES</t>
  </si>
  <si>
    <t>Purchase of Office Supplies for use at Provincial Accountant's Office PR No. (100(01)20-02-0366)</t>
  </si>
  <si>
    <t>For Construction of Nursery E/S Stage Brgy. Bantayan, Kabankalan City</t>
  </si>
  <si>
    <t>PR NO. 1606, 1607, 1608 &amp; 1609  PRINTING SERVICES</t>
  </si>
  <si>
    <t>PR NO. 1578 Improvement of ground perimeter</t>
  </si>
  <si>
    <t>20AC0061 - Construction of Seawall, Sitio Mindanao, Barangay Paratong, Sta. Catalina, Ilocos Sur</t>
  </si>
  <si>
    <t>UPLB-RQ-7-083-20-GOODS SUPPLY AND DELIVERY OF INFORMATION TECHNOLOGY FOR CVM</t>
  </si>
  <si>
    <t>ESTABLISHMENT OF READING CENTER</t>
  </si>
  <si>
    <t>DRMD- WING VAN 20 TONNER TO TRANSPORT FFP TO LILOY ZDN</t>
  </si>
  <si>
    <t>INVITATION TO BID 0N FUEL</t>
  </si>
  <si>
    <t>CONSTRUCTION OF MPH KITCHEN-BARANGAY BUENAVISTA</t>
  </si>
  <si>
    <t>Supply &amp; Delivery of Construction Materials &amp; Supplies for the Construction of New Water System at Bantayan National High School</t>
  </si>
  <si>
    <t>TM LICENSE KEY DONGLE FOR COBOT</t>
  </si>
  <si>
    <t>Rehabilitation of Sanitary Landfill</t>
  </si>
  <si>
    <t>Purchase of Streetlights for use at the Camalig By-Pass Road, Camalig Albay PR No. (100(01)20-06-1260)</t>
  </si>
  <si>
    <t>Supply and Delivery of Materials for Concreting of Barangay Road @ Brgy. Mudan, Glan, Sarangani Province.</t>
  </si>
  <si>
    <t>Supply and Delivery of 1 unit 15 Seater Service Vehicle.</t>
  </si>
  <si>
    <t>RFQ and Notice of Procurement for PR No. 2020-06-0012 - Procurement of Disinfectant and Surgical Mask for use in the DPWH Regional Office No. III</t>
  </si>
  <si>
    <t>P.R. No. 2020-07-0041 - Purchase/Supply of Materials for the Preliminary Detailed Engineering Budget for CY-2021 Project</t>
  </si>
  <si>
    <t>CONSTRUCTION OFADDITIONAL FACILITY FORDOG CRIB W/ ROAD (Construction of Caretaker, Doctor, Storage and Euthanasia Room)</t>
  </si>
  <si>
    <t>SUPPLY AND DELIVERY OF LABORATORY CONSUMABLES UNDER EMB-ERLSD-ENVIRONMENTAL LABORATORY SERVICES SECTION (ELSS) INORGANICS AND ORGANICS LABORATORY UNIT</t>
  </si>
  <si>
    <t>Upgrading and Maintenance of Lighting facilities, EMBXI Bldg.</t>
  </si>
  <si>
    <t>Supply of Labor and Materials for the Servicing of Turbocharger (Model VTR 304) at POWER BARGE 120</t>
  </si>
  <si>
    <t>ITB-SVP03-2020</t>
  </si>
  <si>
    <t>Supply and Delivery of Corn Seeds.</t>
  </si>
  <si>
    <t>P.R. No. 2020-07-0040 - Procurement of Materials for Activity 301: Sign Maintenance (3rd &amp; 4th Quarter CY2020)</t>
  </si>
  <si>
    <t>CONSTRUCTION OF HEALTH CENTER</t>
  </si>
  <si>
    <t>Purchase of Tires use by PNP</t>
  </si>
  <si>
    <t>Procurement of Furniture and Fixtures</t>
  </si>
  <si>
    <t>Supply and Delivery of Cement for Rehabilitation of San Antonio Road and Slope Protection at P3 San Antonio</t>
  </si>
  <si>
    <t>Request for Quotation -Office supplies(ALCOHOL &amp; DISPENSER)</t>
  </si>
  <si>
    <t>Labor and Materials for Construction of Multi-Purpose Building G.I.T Campus, Brgy. Calabanit, Glan, Sarangani Province.</t>
  </si>
  <si>
    <t>Supply and Delivery of Grass cutter for BM Hachuela Office</t>
  </si>
  <si>
    <t>Procurement of Medicine</t>
  </si>
  <si>
    <t>SUPPLY, DELIVERY AND INSTALLATION OF TYPHOON-RESILIENT VERTICAL INDOOR FARMING SYSTEM AT ASCOT BAZAL CAMPUS</t>
  </si>
  <si>
    <t>Medical Supplies - (2nd) ECG ELECTRODES</t>
  </si>
  <si>
    <t>07-008-20 CASSAVA STALKS (DA-IX, SAAD)</t>
  </si>
  <si>
    <t>Supply and Delivery of Appliances for Official Use of the SP Official - Secretariat</t>
  </si>
  <si>
    <t>INVITATION TO BID FOR THE PURCHASE OF ONE UNIT SIX-WHEELER MINI DUMP TRUCK FOR THE USE OF MATERIAL RECOVERY FACILITY AT MUNICIPALITY OF LINGAYEN AND PURCHASE OF ONE UNIT TEN-WHEELER DUMP TRUCK FOR THE</t>
  </si>
  <si>
    <t>Supply and Delivery of Vehicle Parts of 86IB (P170,570.00)</t>
  </si>
  <si>
    <t>REQUEST FOR DISINFECTANT CONCENTRATE</t>
  </si>
  <si>
    <t>Supply and Delivery of Potable Water for POWER BARGE 120</t>
  </si>
  <si>
    <t>UPLB-RQ-7-084-20-GOODS SUPPLIES &amp; DELIVERY OF HOSPITAL / MEDICAL EQUIPMENT  FOR UHS</t>
  </si>
  <si>
    <t>HEAVY DUTY SUCTION MACHINE</t>
  </si>
  <si>
    <t>Repair and Maintenance of 911 Vehicles</t>
  </si>
  <si>
    <t>Picanan NHS Various Materials</t>
  </si>
  <si>
    <t>Construction of  Multi-Purpose Hall</t>
  </si>
  <si>
    <t>07-007-20 Vegetable Seeds</t>
  </si>
  <si>
    <t>Purchase of Tires for Municipal Garbage Dumptruck for Municipal Sanitation Office (SKD 923) &amp; Engineering Office (SKM 597) Gumaca, Quezon</t>
  </si>
  <si>
    <t>PURCHASE AND DELIVERY OF MATERIALS FOR THE CONSTRUCTION OF FOOTBRIDGE (PHASE I)</t>
  </si>
  <si>
    <t>RFQ#2020-07-0033-Purchase of Cartridge-HP Ink and Toner-MPC2503 for use of DPWH-UKDEO</t>
  </si>
  <si>
    <t>To transport one (1) unit of TOYOTA Hi- Ace Van from DepEd Central Office- Meralco Bldg., Pasig City to DepEd City of Naga, Cebu Division Office.</t>
  </si>
  <si>
    <t>Supply and Delivery of Electronic Control Module for CASIGURAN DPP</t>
  </si>
  <si>
    <t>Procurement of Printer and Desktop Computer for Office Automation</t>
  </si>
  <si>
    <t>MRPS SPED CENTER MOOE APR MAY 2020 SUPPLIES</t>
  </si>
  <si>
    <t>Supply of Automotive Diesel Fuel (EURO IV Compliant) for POWER BARGE 120</t>
  </si>
  <si>
    <t>Use in the Information and Communication Technology Staff and D.E. Office (Sub-Office Azagra) in encoding documents</t>
  </si>
  <si>
    <t>Supply of Services for the Conduct of Smoke Emission Test of TORRIJOS DPP</t>
  </si>
  <si>
    <t>Procurement of Drugs and Medicine for Medical and Dental Services</t>
  </si>
  <si>
    <t>Chess Clock, etc - CapSU Pilar</t>
  </si>
  <si>
    <t>Procurement of computer server and Accessories,Labor for installation and Laptop for Office Automation</t>
  </si>
  <si>
    <t>Request for Quotation -SUPPLIES-COVID-RELATED</t>
  </si>
  <si>
    <t>20GFF0002 - Procurement of Fuel/LPG for use in Maintenance Equipment for CY-2020 (2nd &amp; 3rd Quarter) Camarines Sur 3rd District</t>
  </si>
  <si>
    <t>Supply and Delivery of Heavy Equipment Spare Parts to be used for Municipal Heavy Equipment, Brooke’s Point, Palawan</t>
  </si>
  <si>
    <t>Purchase of 30 sacks Commercial Rice for Kabankalan City District Jail Inmates Food Subsistence Allowance for July 2020</t>
  </si>
  <si>
    <t>Additional 700 load for communication purposes#1.doc</t>
  </si>
  <si>
    <t>Supply and Delivery of Safety Shoes (Midcut,Leather, Steel Toe Heavy Duty) for CALAYAN DPP</t>
  </si>
  <si>
    <t>Supply And Delivery of Various Groceries to be used for National Disability Prevention and rehabilitation Week of Person with Disability, Brooke’s Point, Palawan</t>
  </si>
  <si>
    <t>Request for Quotation -SUPPLIES-VEHICLE PARTS</t>
  </si>
  <si>
    <t>RFQ-PR NO.2020-03-075 - PROCUREMENT OF SPARE PARTS FOR USE OF SERVICE VEHICLE AND HEAVY EQUIPMENT OF LEYTE IV DEO</t>
  </si>
  <si>
    <t>requst for quotation of Paradise embac E/S</t>
  </si>
  <si>
    <t>CRCF: 2 SERVICES -SITE ENGINEER FOR THE MONTH OF AUGUST TO DECEMBER 2020 (HFE AND PCDP)</t>
  </si>
  <si>
    <t>Journals&amp;Magazine Subscription - CapSU Pontevedra</t>
  </si>
  <si>
    <t>PURCHASE OF CONSTRUCTION MATERIALS FOR THE REHABILITATION/ IMPROVEMENT OF BRGY OFFICE</t>
  </si>
  <si>
    <t>Procurement of Printer &amp; Supplies</t>
  </si>
  <si>
    <t>ONE (1) YEAR INTERNET SUBSCRIPTION - PRIMARY LEASED LINE INTERNET</t>
  </si>
  <si>
    <t>PROCUREMENT OF ONE (1) UNIT A3 BLACK AND WHITE DIGITAL COPIER</t>
  </si>
  <si>
    <t>Request for Quotation -OIL</t>
  </si>
  <si>
    <t>Hard Hat, Etc - CapSU Tapaz</t>
  </si>
  <si>
    <t>Construction of Bottle House Inside the Municipal Recovery Facility</t>
  </si>
  <si>
    <t>IMPROVEMENT OF DRAINAGE SYSTEM-P. LAYGO ST., BARANGAY SABANG, LIPA CITY</t>
  </si>
  <si>
    <t>Supply And Delivery of Fuel (lot #3) Labor (Lot #5) for Proposed Road Concreting from Old Highway Sta. 00+350 to Sta. 00+760m leading to Kilala Elem. School, Bgy. Malis, Brooke’s Point, Palawan</t>
  </si>
  <si>
    <t>Purchase of 1 unit laptop and 1 unit printer for the office of the Municipal Assessor.</t>
  </si>
  <si>
    <t>Creation of LGU Paniqui Website, Municipal Government of Paniqui, Tarlac</t>
  </si>
  <si>
    <t>Supply of Electrical Equipment and Parts for POWER BARGE 120</t>
  </si>
  <si>
    <t>Procurement of Various Agricultural Supplies</t>
  </si>
  <si>
    <t>Supply and Delivery of O/M Materials, Tools and Equipment for BOAC DPP</t>
  </si>
  <si>
    <t>PROCUREMENT OF CONSULTANCY SERVICES FOR THE PREPARATION OF  ENVIROMENTAL IMPACT STATEMENT (EIS) REPORT FOR THE  ENVIRONMENTAL COMPLIANCE CERTIFICATE (ECC) OF THE PROPOSED  PORT AREA RECLAMATION EXPANS</t>
  </si>
  <si>
    <t>( PR NO. 20-06-04-0081 SUPPLY AND DELIVERY OF 15 pcs Tires(205/65R15), 15 pcs Tires(7.00-16), 10 pcs Tires(8.25-16))</t>
  </si>
  <si>
    <t>07-006-20 Agricultural Supplies (Corn Bran, Cron Grits, Cracked Corn and Rice Bran)</t>
  </si>
  <si>
    <t>PURCHASE OF IT EQUIPMENTS</t>
  </si>
  <si>
    <t>Procurement of Various Food Stuff-07-373(A)PGO</t>
  </si>
  <si>
    <t>Purchase &amp; Delivery of Janitorial &amp; Other Supplies for the Office of SPM Constante T. Oandasan</t>
  </si>
  <si>
    <t>Quotation No.20-07-0403	- PROCUREMENT OF HARDWARES AND CONSTRUCTION SUPPLIES</t>
  </si>
  <si>
    <t>RFQ NO. 2020-171 "2-IN-1 NOTEBOOK/TABLET"</t>
  </si>
  <si>
    <t>Delivery of ICT, Other Machinery Equipment for I.T. Section (Php 1,214,000.00) Delivery of IC Equipment for CDRRMO (Php358,000.00) (ITB 20-077)</t>
  </si>
  <si>
    <t>Supply And Delivery of Fuel (lot #3) Labor (Lot #4) for Proposed Road Concreting from National Highway Sta. 00+400 to Sta. 00+990m leading to Tagpirara Elem. School, Bgy. Saraza, Brooke’s Point, Palaw</t>
  </si>
  <si>
    <t>Medical Supplies - (2nd) SYRINGE HYPODRMIC DISP &amp; SYRINGE INSULIN DISP</t>
  </si>
  <si>
    <t>Purchase of Office Supplies and Consumables</t>
  </si>
  <si>
    <t>Purchase of Grocery Item For Aid to Mentally ill Under P.R. No. 100-20-04-093</t>
  </si>
  <si>
    <t>Request for Quotation for the Provision of Catering services to be served during the conduct of Farmer Scientist Training Program (FSTP) Phase I held on July to December, 2020 at Impasug.ong, Bukidnon</t>
  </si>
  <si>
    <t>Supply and Delivery of Plastic Fittings</t>
  </si>
  <si>
    <t>PR 2020-04-056 Leasing of One (1) Unit Service Vehicle Chargeable to Preliminary and Detailed Engineering (PDE)/ Rocond Survey: *Surigao – Davao Coastal Road (S001376MN) 40.855 km Davao De Oro</t>
  </si>
  <si>
    <t>Van Rental - Month July 2020 (DOH-DCHD, SPMC, COVID-19 Facilities)</t>
  </si>
  <si>
    <t>SUPPLY AND DELIVERY OF PHOTOCOPYING MACHINE FOR THE OFFICE OF THE VICE MAYOR /SANGGUNIANG BAYAN, PINAMALAYAN ORIENTAL MINDORO</t>
  </si>
  <si>
    <t>Repair of University Vehicle (SGC 628) - CapSU Pontevedra</t>
  </si>
  <si>
    <t>Supply of Materials for  School Building Repair District of Consolacion, Consolacion, Cebu</t>
  </si>
  <si>
    <t>Purchase of Streamers for MDRRMO</t>
  </si>
  <si>
    <t>Procurement of Meals and snacks</t>
  </si>
  <si>
    <t>PROCUREMENT OF TEMEPHOS GRANULES 250g/btl for Sanitary Office in Dengue Prevention and Control Program in the City of Naga, Cebu.</t>
  </si>
  <si>
    <t>Hardware materials</t>
  </si>
  <si>
    <t>07-005-20 (Fertilizers and Fungicides)</t>
  </si>
  <si>
    <t>CONSTRUCTION OF DRAINAGE CANAL WITH CONCRETE COVER @ SITIO SABANG-PUROK 4, BRGY. CATO, INFANTA, PANGASINAN</t>
  </si>
  <si>
    <t>PR 2020-04-055 Leasing of One (1) Unit Service Vehicle Chargeable to Preliminary and Detailed Engineering (PDE)/ use for Survey Works *3 Projects under FY 2021 Convergence (DOT) 1.) Bongkiloton Road l</t>
  </si>
  <si>
    <t>REQUEST FOR SUBDIVISION SURVEY LOT 7-CSI-2020(NL)</t>
  </si>
  <si>
    <t>Supply and Delivery of Materials, Equipment and Tools of POWER BARGE 120</t>
  </si>
  <si>
    <t>Procurement of Various Housekeeping Supplies-07-374(A)PGO</t>
  </si>
  <si>
    <t>Medical Supplies for RHU</t>
  </si>
  <si>
    <t>PR 2020-04-057 Leasing of One (1) Unit Service Vehicle Chargeable to Preliminary and Detailed Engineering (PDE)/ Validation and Reconnaissance Survey of Project/ EIA Project *4 project under FY 2021 R</t>
  </si>
  <si>
    <t>RFQ-PR NO. 2020-06-072-PROCUREMENT OF HANDHELD RADIO FOR USE OF DPWH-LEYTE IV DEO</t>
  </si>
  <si>
    <t>Medical Supplies - (2nd) LINEN UNDERPADS DISP</t>
  </si>
  <si>
    <t>20CF0133 Construction/Rehabilitation of Water Supply/Septage and Sewerage/Rain Water Collectors</t>
  </si>
  <si>
    <t>Repair of Auditor's Office</t>
  </si>
  <si>
    <t>Supply &amp; Delivery of Furnitures &amp; Fixtures and Appliances for use at Various Offices at City Government of Urdaneta</t>
  </si>
  <si>
    <t>General Cleaning of Nine (9) Unit Computer Deskop-MBO</t>
  </si>
  <si>
    <t>SUPPLY AND DELIVERY OF BASIC FOOD COMMODITIES FOR COVID-19 OPERATIONS, (JUNE 14-20, 2020) LGU SFADS</t>
  </si>
  <si>
    <t>Supply And Delivery of Fuel (lot #3) Labor (Lot #5) for Proposed Road Concreting from National Highway Sta. 00+015 to Sta. 00+246m leading to Maasin National Highway, Bgy. Maasin, Brooke’s Point, Pala</t>
  </si>
  <si>
    <t>PURCHASE OF FOOD SUPPLIES FOR QUARANTINE INDIVIDUAL (MMO)</t>
  </si>
  <si>
    <t>LaptopICT2020</t>
  </si>
  <si>
    <t>Supply and Delivery of Various Materials/Goods for CALAYAN DPP</t>
  </si>
  <si>
    <t>Improvement of LGU-Owned Water System at Barangay Aguinaldo, Naga</t>
  </si>
  <si>
    <t>concreting of road-limcoma village, sona</t>
  </si>
  <si>
    <t>Commonly-Used Supplies</t>
  </si>
  <si>
    <t>19 inch rack mount cable wire manager with removable cover, etc. - CapSU Roxas</t>
  </si>
  <si>
    <t>Various Office Supplies for CDO HBC 3rd Quarter</t>
  </si>
  <si>
    <t>Procurement of Computer with printer &amp; Un-interrupted Power Supply</t>
  </si>
  <si>
    <t>PROCUREMENT OF TV LED (42" &amp; 32") WITH TV PLUS BLAK BOX FOR LIMAY DIALYSIS CLINIC</t>
  </si>
  <si>
    <t>Procurement of Various Construction Supplies and Materials-07-398(O)PEO</t>
  </si>
  <si>
    <t>Supply and Delivery of 2T oil,Chain oil,Long arm pruner saw blade and Chainsaw blade for official use of CENRO</t>
  </si>
  <si>
    <t>Procurement of Various Construction Supplies and Materials-07-395(O)PEO</t>
  </si>
  <si>
    <t>Supply and Delivery of Fitting &amp; Valves (Lot #1) for the use of Water System Office, Brooke’s Point, Palawan</t>
  </si>
  <si>
    <t>TELEVISION</t>
  </si>
  <si>
    <t>PURCHASE OF 2 UNITS HELIFAN HVLS WITH SINGLE PHASE MOTOR</t>
  </si>
  <si>
    <t>Office Supplies-BFP</t>
  </si>
  <si>
    <t>SUPPLY AND DELIVERY OF  BOOKS AND OTHER REFERENCES FOR AMC_2nd Posting</t>
  </si>
  <si>
    <t>Medical Supplies - (3rd) CAHTETER RECTAL FIRM PLASTIC MATERIAL FR 22</t>
  </si>
  <si>
    <t>for office use</t>
  </si>
  <si>
    <t>Supply and Delivery of Free Range Chickens</t>
  </si>
  <si>
    <t>SUPPLY &amp; DELIVERY OF OFFICE EQUIPMENT</t>
  </si>
  <si>
    <t>06-017-20 (Printing and Binding) DA-Research Division</t>
  </si>
  <si>
    <t>ISO Consultancy</t>
  </si>
  <si>
    <t>Purchase of Office Equipment For Office Use. Under P.R. No. 80-20-06-086</t>
  </si>
  <si>
    <t>Hardscape and Landscape of Veterans Park Phase 3</t>
  </si>
  <si>
    <t>1 LOT: Procurement of Supplies, Materials and Fabrication Thereof of Steel Main Gate, Man Gate, Window Grills</t>
  </si>
  <si>
    <t>Refresher Training Course on Inbred Rice Seed Production and Certification for Seed Growers</t>
  </si>
  <si>
    <t>05-036-20 (76 pcs of PLASTIC CRATES)</t>
  </si>
  <si>
    <t>Various Customized Linens and Towels</t>
  </si>
  <si>
    <t>PURCHASE OF ESSENTIAL GOODS FOR STOCK FILING (LDRRMO)</t>
  </si>
  <si>
    <t>Procurement of materials for the Improvement of multi-purpose building</t>
  </si>
  <si>
    <t>ONE JOB ORDER FOR LEASE OF LAPTOP FOR 3 MONTHS (B5-20-12)</t>
  </si>
  <si>
    <t>Supply and Delivery of Galaxy Tab S6 for DEP-ED Marikina</t>
  </si>
  <si>
    <t>RFQ - LOGISTIC SERVICE (HAULING AND TRUCKING/PASSENGER VAN SHIPMENT)</t>
  </si>
  <si>
    <t>Supply of Materials for the Rehabilitation of Multipurpose Building</t>
  </si>
  <si>
    <t>Procurement of Television Set for Various Offices</t>
  </si>
  <si>
    <t>CONSTRUCTION OF BRGY. HALL/MULTI-PURPOSE BUILDING (PHASE II)</t>
  </si>
  <si>
    <t>Request for Quotation for the Provision of Catering services to be served during the conduct of Farmer Scientist Training Program (FSTP) Phase I held on July to December, 2020 at Don Carlos, Bukidnon</t>
  </si>
  <si>
    <t>Aircon Repair/Cleaning-Legislative</t>
  </si>
  <si>
    <t>2020-06-0975 Rubber Tubing 1/4 x 1/8 x 50 ft, 100% rubber, hypoallergenic</t>
  </si>
  <si>
    <t>Supply/Delivery of Grocery Items for Peace and Order Activity (Provision of Support to Auxilliary Army Group)(PR# 20-07-0672)</t>
  </si>
  <si>
    <t>Purchase of Grocery Items For Food For Work (FFW) Under P.R. No. 100-20-06-145</t>
  </si>
  <si>
    <t>20AC0103 - Construction of Classrooms, Two (2) Storey, Six (6) Classroom (Standard) School Building, Cabugao North Central School, Cabugao, Ilocos Sur</t>
  </si>
  <si>
    <t>RENTAL OF GENERATOR,WELDING AND CUTTING MACHINE (rfq#2020-03-1,625)-(p.e.o.)</t>
  </si>
  <si>
    <t>Purchase of 18 Units Modular Tent for the Isolation Facility @ Brgy. Batancaoa, Urbiztondo, Pang.</t>
  </si>
  <si>
    <t>Various Computer Supplies for HBC 3rd Quarter 2020</t>
  </si>
  <si>
    <t>Printing Services - Posters (IEC - AFP Outbreak)</t>
  </si>
  <si>
    <t>Certified Rice Seeds-MAO</t>
  </si>
  <si>
    <t>RFQ for the Supply and Delivery of Electric Ultra Low Volume Sprayer (Misting Machine)</t>
  </si>
  <si>
    <t>CONSTRUCTION OF BIO-ORGANIC LABORATORY BUILDING AND CONSTRUCTION OF VERMI SHED</t>
  </si>
  <si>
    <t>PR 2020-04-058 Leasing of One (1) Unit Service Vehicle Chargeable to Preliminary and Detailed Engineering (PDE)/ use for Parcellary Survey - *Projects under FY 2021 Regular Infra/ DND Projects FY 2021</t>
  </si>
  <si>
    <t>Improvement of Barangay Road, T-Hill Guihulngan  City, Negros Oriental(S-14-2020)</t>
  </si>
  <si>
    <t>Hiring of Consultancy Services for the Development of Revised Guidebook on Child Participation in the Philippines</t>
  </si>
  <si>
    <t>IMPROVEMENT OF LOCAL ROADS PACKAGE 1-2020</t>
  </si>
  <si>
    <t>07-004-20 (5 units of Computer Printer)</t>
  </si>
  <si>
    <t>RECONSTRUCTION OF CANAL W/ COVER @ SABALAS ST., WAWA I, ROSARIO, CAVITE</t>
  </si>
  <si>
    <t>20HC0185- MODIFIED STANDARD DPWH-DEPED TWO (2) STOREY SIX (6) CLASSROOM SCHOOL BUILDING (REGULAR WORKSHOP) AT GUINOBATAN ELEMENTARY SCHOOL, TRINIDAD, BOHOL</t>
  </si>
  <si>
    <t>EBMS -SLOAN FLUSH VALVE &amp; 5 OTHERS (5TH POSTING)</t>
  </si>
  <si>
    <t>Folding Bed</t>
  </si>
  <si>
    <t>Construction of 2Units Fire Hydrant.</t>
  </si>
  <si>
    <t>PURCHASE OF PPE's FOR LDRRM VOLUNTEERS (LDRRMO)</t>
  </si>
  <si>
    <t>RHU USE</t>
  </si>
  <si>
    <t>CONSTRUCTION OF DRAINAGE SYSTEM AT BRGY. BUDA, MARILOG DISTRICT</t>
  </si>
  <si>
    <t>Supply and Delivery of Construction Materials for Improvement of Multi-Purpose Center</t>
  </si>
  <si>
    <t>INVITATION TO BID FOR THE PROCUREMENT OF IT EQUIPMENT FOR VARIOUS OFFICES</t>
  </si>
  <si>
    <t>NIFEM-019-20 Support to Operational Repair Fund for Special Purpose Vehicles(SPV)-NIFEM</t>
  </si>
  <si>
    <t>PURCHASE OF DIETARY SUPPLEMENTATION FEEDING/MILK FEEDING (MNO)</t>
  </si>
  <si>
    <t>Purchase of Hardware Materials, LGU-Isabela, Neg. Occ.</t>
  </si>
  <si>
    <t>20CF0134 Construction of 2STY8CL, Jaen West Elementary School, Jaen, Nueva Ecija</t>
  </si>
  <si>
    <t>Supply and Delivery of Various Materials to be used for the Construction of the PWD Office at the Lobby Area Main Bldg.</t>
  </si>
  <si>
    <t>Purchase of One (1) Unit KYOCERA Toner to be used at the Sangguniang Bayan Office</t>
  </si>
  <si>
    <t>Procurement of Tax Consultancy Services for six (6) months</t>
  </si>
  <si>
    <t>Request for Price Quotation for Delivery of materials for repair of Library of the college</t>
  </si>
  <si>
    <t>RECONSTRUCTION OF CANAL W/ COVER @ NEWYORK COMPOUND., WAWA I, ROSARIO, CAVITE</t>
  </si>
  <si>
    <t>PURCHASE OF SPORTS FACILITIES AND EQUIPMENT (MSWDO/GAD)</t>
  </si>
  <si>
    <t>Procurement of Office Furniture and Equipment for NC Kalawit Launching</t>
  </si>
  <si>
    <t>RFQ / 20-06-1402 / PROCUREMENT OF CANON THEREFORE - DOCUMENT SOLUTION ADDITIONAL USER AND CAPTURE CLIENT</t>
  </si>
  <si>
    <t>for communication purpose for July-December 2020</t>
  </si>
  <si>
    <t>Fertilizers-MAO</t>
  </si>
  <si>
    <t>Animal Zoological Supplies-MAO</t>
  </si>
  <si>
    <t>PURCHASE &amp; DELIVERY OF SUPPLIES AND MATERIALS OF VARIOUS OFFICE</t>
  </si>
  <si>
    <t>Telephone Mobile Expenses (OSPS-50,400.00)</t>
  </si>
  <si>
    <t>WOT REPAIR</t>
  </si>
  <si>
    <t>RSQ - SUPPLIES FOR DISINFECTION OF SCHOOL BUILDING AND FACILITIES</t>
  </si>
  <si>
    <t>Procurement of Tires for Various Garbage Trucks of MENRO Office</t>
  </si>
  <si>
    <t>Request for Quotation for the Provision of Catering services to be served during the conduct of Farmer Scientist Training Program (FSTP) Phase I held on July to December, 2020 at Maalaybalay City, Buk</t>
  </si>
  <si>
    <t>construction materials for the project construction of Legislative Building (kitchen)</t>
  </si>
  <si>
    <t>PROVISION OF WATER SUPPLY AT MUNICIPAL NURSERY (Construction Materials)</t>
  </si>
  <si>
    <t>Medical Supplies: HFG Resident's Use CY 2020 (sTOCKPILE)</t>
  </si>
  <si>
    <t>PROCUREMENT OF CONSTRUCTION SUPPLIES AND MATERIALS FOR THE CONCRETING OF BARANGAY ROAD @ PUROK HAPPY VALLEY (340 SQ.M.)</t>
  </si>
  <si>
    <t>CORN20-06-10-0171 Supply and Delivery of Agricultural Product (Corn Seeds).</t>
  </si>
  <si>
    <t>One (1) Unit Computer with Complete Accessories</t>
  </si>
  <si>
    <t>PROCUREMENT OF 2020 QUADRIVALENT INFLUENZA VACCINE (INACTIVATED TYPES A AND B, SUBVIRION) 2020 SOUTHERN HEMISPHERE STRAINS, in INDIVIDUAL SYRINGES</t>
  </si>
  <si>
    <t>20FE0137 – CONSTRUCTION OF CLASSROOMS, STA. CRUZ ES, SAN FERNANDO, CAMARINES SUR</t>
  </si>
  <si>
    <t>SUPPLY AND DELIVERY OF TWO (2) UNITS DUPLICATOR WITH WHITE AND BLACK COPIER WITH INKS AND OPERATIONAL ACCESSORIES</t>
  </si>
  <si>
    <t>1	LOT	Procurement of Professional and Technical Services for Transfer of Serviceable Airconditioning Units and Removal of All Unserviceable Units</t>
  </si>
  <si>
    <t>Supply/Delivery of NUC and Webcam for the Sangguniang Bayan Office of Palo, Leyte.</t>
  </si>
  <si>
    <t>RFQ:  LOAF BREAD, BIG SIZE; FRESHLY BAKED. GOOD FOR 4 MONTHS   CONSUMPTION. FOR WEEKENDS CONSUMPTION   1000 PAX/ 8SERVINGS PER PACKS = 125 PACKS PER DAY* 35DAYS IN    4 MONTHS  AND  PANDESAL (BREAD),3</t>
  </si>
  <si>
    <t>Other Supplies-MAO</t>
  </si>
  <si>
    <t>Planting Materials</t>
  </si>
  <si>
    <t>Concreting of Bindoy - Poblacion Provincial Road, Bindoy, Negros Oriental(S-32-2020)</t>
  </si>
  <si>
    <t>20CF0135 Construction of 2STY8CL, San Anton ES, San Leonardo, Nueva Ecija</t>
  </si>
  <si>
    <t>Improvement of Building (Mayor's Office)</t>
  </si>
  <si>
    <t>SNACKS-MCO(GAD)</t>
  </si>
  <si>
    <t>CONDUCT OF DOLE AND DTI JOINT MONITORING (RISO)</t>
  </si>
  <si>
    <t>Fan Belt-Meedo-Slaughterhouse</t>
  </si>
  <si>
    <t>Supply &amp; Delivery of Desktop Computers, Laptop &amp; Printers for use at HRM Office and CDRRM Office, Urdaneta City</t>
  </si>
  <si>
    <t>01-030-20 Agricultural Chemicals</t>
  </si>
  <si>
    <t>SUPPLY AND DELIVERY OF FARM MACHINERIES AND EQUIPMENT(FMEs) FOR THE PROJECT BENEFICIARY ARBO OF NCOT UNDER CRFPSP</t>
  </si>
  <si>
    <t>Request for Quotation (Sodium Ascorbate)</t>
  </si>
  <si>
    <t>RUBBER BOOTS &amp; RAINCOAT FOR POSO</t>
  </si>
  <si>
    <t>Global Navigation Satellite System</t>
  </si>
  <si>
    <t>Supply and Delivery of Various Materials for use of PRFS Boat Fleet</t>
  </si>
  <si>
    <t>Supply and Delivery of materials for repair of MPDO Roofing</t>
  </si>
  <si>
    <t>Other Supplies-HRMO</t>
  </si>
  <si>
    <t>Procurement of Vehicle Spare Parts and Accessories</t>
  </si>
  <si>
    <t>20FE0138 – CONSTRUCTION OF CLASSROOMS, ALIANZA ES, SAN FERNANDO, CAMARINES SUR</t>
  </si>
  <si>
    <t>VArious Supplies &amp; MAterials</t>
  </si>
  <si>
    <t>PROCUREMENT OF SERVICE PROVIDER FOR THE PRIVATE AUTOMATIC BRANCH EXCHANGE UPGRADE OF ICTMS</t>
  </si>
  <si>
    <t>SERVICES FOR REPAIR, REHABILITATION OF MARAMAG MESSAGE CENTER</t>
  </si>
  <si>
    <t>PURCHASE OF ONE (1) UNIT MOTOR VEHICLE, BRGY. BAYAMBANG, INFANTA, PANGASINAN</t>
  </si>
  <si>
    <t>G-2020-0063 Supply/Delivery of Construction Accessories for use in the Repair/Maintenance of National Roads within South Cotabato 2nd District Engineering Office along Surallah-Lake Sebu-Maitum Road u</t>
  </si>
  <si>
    <t>Printing of office Newsletter</t>
  </si>
  <si>
    <t>20CF0136 Construction of 2STY8CL, Sto. Tomas North ES</t>
  </si>
  <si>
    <t>Procurement of Electrical Supplies</t>
  </si>
  <si>
    <t>SUPPLIES AND MATERIALS FOR THE CONSTRUCTION OF 12 UNITS MOVABLE HAND WASHING FACILITY</t>
  </si>
  <si>
    <t>STRAIGHT CONTRACT - PROVISION/INSTALLATION OF CUBICLES FOR CONSULTATION OF SUSPECTED COVID-19 PATIENTS</t>
  </si>
  <si>
    <t>Supplies and Delivery of General Merchandise YDF (Sports Material and Anti-drug Abuse)</t>
  </si>
  <si>
    <t>Procurement of Office Supplies (Ink, Toner and Cartridges)</t>
  </si>
  <si>
    <t>Supply &amp; Delivery of Construction Materials for the Painting of Sidewalk Along Maharlika Highway (from Timbayog to Adovis)</t>
  </si>
  <si>
    <t>Supply and delivery of meals and snacks serve to various office functionaries of Mayor's Office.</t>
  </si>
  <si>
    <t>20HC0186- MODIFIED STANDARD DPWH-DEPED TWO (2) STOREY FOUR (4) CLASSROOM SCHOOL BUILDING (REGULAR WORKSHOP) AT MAHAGBU ELEMENTARY SCHOOL, TRINIDAD, BOHOL</t>
  </si>
  <si>
    <t>Concreting of Mustang Road</t>
  </si>
  <si>
    <t>100 LITERS ALBENDAZOLE</t>
  </si>
  <si>
    <t>RIS# 20-13-194 PURCHASE OF DIESEL FUEL</t>
  </si>
  <si>
    <t>20FE0140 – CONSTRUCTION OF CLASSROOMS, CALAWAT ES, PAMPLONA, CAMARINES SUR</t>
  </si>
  <si>
    <t>Procurement of Aicondition</t>
  </si>
  <si>
    <t>Supply &amp; Delivery of One (1) Unit DSLR Camera for use at the Office of the City Mayor, Urdaneta City</t>
  </si>
  <si>
    <t>FURNISHING AND DELIVERY OF ELECTRIC SEWING MACHINE FOR TEXTILE WASTE RECYCLING FOR MENRO</t>
  </si>
  <si>
    <t>Rehabilitation and Improvement of Dumaguete - Palinpinon Provincial Road, Valencia, Negros Oriental(S-26-2020)</t>
  </si>
  <si>
    <t>CONSTRUCTION OF 2 STOREY MULTI-PURPOSE BUILDING (PHASE I) BRGY. SILAE, MALAYBALAY CITY.</t>
  </si>
  <si>
    <t>PR 20-03-0453</t>
  </si>
  <si>
    <t>INVITATION TO BID FOR THE PROCUREMENT OF CATERING SERVICES</t>
  </si>
  <si>
    <t>DRUGS AND MEDICINE-MEED MARKET</t>
  </si>
  <si>
    <t>Supply and Delivery of Various Materials for Medical Use</t>
  </si>
  <si>
    <t>Purchase of Plastic Chairs</t>
  </si>
  <si>
    <t>REPAIR AND MAINTENANCE OF DUMP TRUCK NO. 4 AND MINI BACKHOE</t>
  </si>
  <si>
    <t>Supply and delivery of various journals and reference materials (University Library 2020)</t>
  </si>
  <si>
    <t>1 UNIT LAPTOP COMPUTER FOR CVMO</t>
  </si>
  <si>
    <t>Maintenance of Street Lights - MO</t>
  </si>
  <si>
    <t>Supply and delivery of various spare parts for the repair of service vehicle ( SAA-5311)</t>
  </si>
  <si>
    <t>RFQ / 20-06-0316 / PROCUREMENT OF SUPPLIES FOR THE 3RD QUARTER OF 2020</t>
  </si>
  <si>
    <t>Refill of fire extinguisher for various offices of Tanauan City Hall.</t>
  </si>
  <si>
    <t>Procurement of Office supplies</t>
  </si>
  <si>
    <t>PG-2020-0025: Request for Quotation - Furnishing and Delivery of of Personal Protective Equipment (Raincoat and Hard Hat) for Maintenance section, DPWH-LUED I, Lingsat, San Fernando City, La Union</t>
  </si>
  <si>
    <t>20NE0090 - Repair/Maintenance of Don Ruben Drainage along Dinagat-Loreto Road, Brgy. Don Ruben, San Jose, Province of Dinagat Islands</t>
  </si>
  <si>
    <t>P.R. NO. 20-06-136</t>
  </si>
  <si>
    <t>Repair &amp; Maintencance of Other Structures</t>
  </si>
  <si>
    <t>REHAB/IMPROVEMENT OF BRIDGE AT KALINGKINGAN-MARZAN, SANCHEZ MIRA, CAGAYAN</t>
  </si>
  <si>
    <t>Supply and Delivery of Backhoe Travel Motor</t>
  </si>
  <si>
    <t>Repair and Maintenance - Infrastructure Assets (Provincial Roads &amp; Bridges), Province of Negros Oriental(S-28-2020)</t>
  </si>
  <si>
    <t>Construction of Multi-Purpose Building Tambo, Ayungon, Negros Oriental(S-20-2020)</t>
  </si>
  <si>
    <t>Purchase of materials for concreting of Anahaw Access Road (Phase I) at Brgy. Anahaw, Hindang, Leyte</t>
  </si>
  <si>
    <t>Repair and maintenance 0f L-300 SJT- 190 Service Vehicle of FAB Campus</t>
  </si>
  <si>
    <t>Supply &amp; Delivery of Rice</t>
  </si>
  <si>
    <t>Purchase of Motor Supplies for maintenance of various R.P Vehicles</t>
  </si>
  <si>
    <t>Procurement of Hospital/Medical Equipment</t>
  </si>
  <si>
    <t>Procurement of Construction Materials for the Roofing of Waiting Area and Concreting of Pathway of the Division Office</t>
  </si>
  <si>
    <t>INVITATION TO BID FOR THE PROCUREMENT OF FOOD SUPPLIES FOR NUTRITION PROGRAM (2nd Sem.)</t>
  </si>
  <si>
    <t>Procurement for the Repair and Maintenance Expense re: Upgrade and Replacement of NCs Laptops HDD</t>
  </si>
  <si>
    <t>Meals and Snacks for Tax Mapping &amp; Appraisal of Real Properties (Central Barangays of Bontoc) and Bontoc Differently Abled Persons Meeting</t>
  </si>
  <si>
    <t>PROCUREMENT OF CENTRIFUGE</t>
  </si>
  <si>
    <t>Procurement of Desktop Computer with Solid State Drive</t>
  </si>
  <si>
    <t>PURCHASE OF MATERIAL FOR CONSTRUCTION OF FIBER GLASS BOAT (MAO)</t>
  </si>
  <si>
    <t>Supply and Delivery of Office Supplies for Municipal Mayor (HR), Vice-Mayor, SB Legislative, Municipal Fire Station and Local Civil Registrar Office</t>
  </si>
  <si>
    <t>INVITATION TO BID FOR THE PROCUREMENT OF CONSTRUCTION MATERIALS FOR REPAIR OF PUBLIC MARKET</t>
  </si>
  <si>
    <t>FURNISHING AND DELIVERY OF TIRES FOR MUNICIPAL DUMPTRUCK MAINTENANCE</t>
  </si>
  <si>
    <t>Supply and Delivery of Business/Franchise Plates and Installation and Fabrication of NO SMOKING SIGNBOARD</t>
  </si>
  <si>
    <t>Live Animals for Broiler Demo Farm in Support to Broiler Industry in Ipil-MAO</t>
  </si>
  <si>
    <t>Purchase of IT parts and accessories for official use in the Sambat Birthing Home.</t>
  </si>
  <si>
    <t xml:space="preserve">2020-0177-PR2020-0466 Procurement of Desktop, Laptop, Fire Extinguisher, Multi Function Printer, Dome Type Camera, Patch Panel, Floor Mounted Air Conditioning Unit, Computer Cubicles &amp; Chairs, Switch </t>
  </si>
  <si>
    <t>Supplies and Materials for WinS / COVID-19 Response</t>
  </si>
  <si>
    <t>LABOR AND MATERIALS FOR THE CONSTRUCTION OF MULTI-SPECIES MARINE HATCHERY AT BRGY. KOREO, SULTAN NAGA DIMAPORO, LANAO DEL NORTE</t>
  </si>
  <si>
    <t>Procurement for the Network and Biometric Cabling Equipment needed to be used and installed at CHRMO Office</t>
  </si>
  <si>
    <t>20CF0137 Construction of 2STY4CL, Sta. Cruz, Gapan City, Nueva Ecija</t>
  </si>
  <si>
    <t>CONSTRUCTION OF YOUTH HOME CARE/REFORMATORY CENTER AT KASUWAGAN, LANAO DEL NORTE</t>
  </si>
  <si>
    <t>Procurement of Camera (dslr)</t>
  </si>
  <si>
    <t>PROCUREMENT OF CONSTRUCTION SUPPLIES AND MATERIALS FOR THE CONCRETING OF BARANGAY ROAD @ PUROK PARADAHAN (340 SQ.M.)</t>
  </si>
  <si>
    <t>AIRCON SPECS to be used in GADRCC Office		 (N-428-2020)</t>
  </si>
  <si>
    <t>2020-04-466 "Meals and Snacks for the Coordination Meeting w/ the Provincial Governor at Function Hall"</t>
  </si>
  <si>
    <t>Procurement of Supplies and Materials for Mayor's Conference Room</t>
  </si>
  <si>
    <t>PR 20-06-0659</t>
  </si>
  <si>
    <t>Air Condition Unit, Floor Mounted, 3 tons, Inverter Type</t>
  </si>
  <si>
    <t>Live Animals for Egg Production Livelihood-MAO</t>
  </si>
  <si>
    <t>CONSTRUCTION OF WAITING AREA @ ATM BUILDING</t>
  </si>
  <si>
    <t>Food Stuff</t>
  </si>
  <si>
    <t>PR 20-06-0647</t>
  </si>
  <si>
    <t>RFQ / 20-06-1397 / PROCUREMENT OF ALL-IN-ONE TOUCHSCREEN MONITORS</t>
  </si>
  <si>
    <t>Procurement of Face Mask, Surgical, protective, disposable, earloop, 3 ply</t>
  </si>
  <si>
    <t>Purchase of meals to be served during the commemoration of the 2nd Death Anniversary of Mayor Antonio C. Halili.</t>
  </si>
  <si>
    <t>CSR SUPPLIES (PR#20-06-70609)</t>
  </si>
  <si>
    <t>RE-BIDDING FOR SUPPLY &amp; DELIVERY OF LABORATORY SUPPLIES - GENERAL SUPPLIES</t>
  </si>
  <si>
    <t>S &amp; D of Medical Equipment (PGO)</t>
  </si>
  <si>
    <t>Procurement  of medical supplies for the Advocacy on increasing the contraceptive prevalence rate</t>
  </si>
  <si>
    <t>Supply and Delivery of Various Sizes of PE Tubings</t>
  </si>
  <si>
    <t>20NE0092 - Reflectorized Thermoplastic Pavement Markings (Centerline and Edgeline) along Dinagat-Loreto Road (K0063+000-K0065+000, K0067+000-K0068+581.79)</t>
  </si>
  <si>
    <t>Supply and delivery of various books and reference materials (University Library 2020)</t>
  </si>
  <si>
    <t>Purchase of Generator</t>
  </si>
  <si>
    <t>Medical Supplies</t>
  </si>
  <si>
    <t>20NE0091 - Repair/Maintenance of Navarro Bridge II Revetment along Dinagat-Loreto Road, Brgy. Navarro, Tubajon, Dinagat Islands</t>
  </si>
  <si>
    <t>20AC0104 - Construction of Classrooms, Two (2) Storey, Four (4) Classroom (Modified Standard) School Building, Puro National High School, Caoayan, Ilocos Sur</t>
  </si>
  <si>
    <t>Purchase of Furniture and Fixtures</t>
  </si>
  <si>
    <t>Procurement of Vehicle Parts and Accessories</t>
  </si>
  <si>
    <t>Construction Materials for the Proposed Barangay Day Care Renovation</t>
  </si>
  <si>
    <t>20FE0139 – CONSTRUCTION OF CLASSROOMS, BICAL ES, SAN FERNANDO, CAMARINES SUR</t>
  </si>
  <si>
    <t>20HC0187- MODIFIED STANDARD DPWH-DEPED TWO (2) STOREY EIGHT (8) CLASSROOM SCHOOL BUILDING (REGULAR WORKSHOP) AT TRINIDAD CENTRAL ELEMENTARY SCHOOL, TRINIDAD, BOHOL</t>
  </si>
  <si>
    <t>2020 18TH PUBLIC BIDDING:  LABORATORY AND RESPIRATORY THERAPY SUPPLIES FOR 2020 2ND SEMESTER CONSUMPTION</t>
  </si>
  <si>
    <t>Procurement of 3,000 box of Crayons (B3-20-20)</t>
  </si>
  <si>
    <t>20FE0141 – CONSTRUCTION OF CLASSROOMS, SAN RAMON ES, PAMPLONA, CAMARINES SUR</t>
  </si>
  <si>
    <t>Purchase of Hardware Supplies for demolition and restoration</t>
  </si>
  <si>
    <t>PREVENTIVE MAINTENANCE, VALIDATION, AND DECONTAMINATION OF ONE (1) BIOLOGICAL SAFETY CABINET (S/N: 2017-T10148) UNDER EMB-ERLSD-ELSS-ECMU</t>
  </si>
  <si>
    <t>PROPOSED ROAD IMPROVEMENT SAN GABRIEL</t>
  </si>
  <si>
    <t>Purchase of Executive Table for Office use of HHRO</t>
  </si>
  <si>
    <t>DESIGN &amp; CONSTRUCTION OF TANJAY WATER DISTRICT SUPPLY SYSTEM</t>
  </si>
  <si>
    <t>IMPROVEMENT OF EXISTING DRUG REHABILITATION CENTER AT KAUSWAGAN, LANAO DEL NORTE</t>
  </si>
  <si>
    <t>Purchase of Air conditioner units for Municipal Trial Court.</t>
  </si>
  <si>
    <t>Supply and delivery of  Wreath.</t>
  </si>
  <si>
    <t>Purchase of school and office supplies.</t>
  </si>
  <si>
    <t>Purchasing of Medical Supplies Project: Katawan OK</t>
  </si>
  <si>
    <t>Office Supplies for PGO- JOINT TASK FORCE ON SECURITY (S-217-2020)</t>
  </si>
  <si>
    <t>Supply and Delivery of Brass SEC Seal</t>
  </si>
  <si>
    <t>PURCHASE OF FLU VACCINE</t>
  </si>
  <si>
    <t>Improvement of Steel Stage Plaza</t>
  </si>
  <si>
    <t>RFQ / 20-06-0299 / PROCUREMENT OF PALO ALTO 3020 RENEWAL</t>
  </si>
  <si>
    <t>Fuels for PGO - Task Force on Security	(N-424-2020)</t>
  </si>
  <si>
    <t>Other Supplies-Accounting Office</t>
  </si>
  <si>
    <t>Construction of Drainage Canal Diamond Crest Subd., Brgy. San Manuel, City of San Jose Del Monte, Bulacan</t>
  </si>
  <si>
    <t>20FE0142 – CONSTRUCTION OF CLASSROOMS, HUBO ES, PASACAO, CAMARINES SUR</t>
  </si>
  <si>
    <t>1st rfq extension - Various Office Supplies (6 items)</t>
  </si>
  <si>
    <t>Supply &amp; delivery of Meals and Snacks during the conduct of Social Pension Payout.</t>
  </si>
  <si>
    <t>Provision of SDS Office</t>
  </si>
  <si>
    <t>BEEF (UNOD)</t>
  </si>
  <si>
    <t>RFQ / 20-06-0302 / PROCUREMENT OF MATERIALS FOR REPAINTING</t>
  </si>
  <si>
    <t>to Furnish labor and materials for the Printing and Binding  (N-432-2020)</t>
  </si>
  <si>
    <t>PROPOSED PARKING AT MUNICIPAL COMPOUND</t>
  </si>
  <si>
    <t>PR 20-06-0666</t>
  </si>
  <si>
    <t>Procurement of  One Job Order for Lease of DSLR Camera (for 3 months) (B5-20-13)</t>
  </si>
  <si>
    <t>office supplies</t>
  </si>
  <si>
    <t>CAN CONSO CTO-819 CPO 827 PRINTING</t>
  </si>
  <si>
    <t>Procurement of Office Supplies for Official Use of PENRO Aklan for 3rd Quarter of CY 2020</t>
  </si>
  <si>
    <t>20GCH0004- MATERIALS FOR USE IN THE REPAIR/MAINTENANCE OF NATIONAL ROADS ALONG TAGBILARAN EAST ROAD (S0099BH)(TRINIDAD-ILIHAN UBAY SECTION) K0122+(-076)- K0153+569 (INTERMITTENT SECTION).</t>
  </si>
  <si>
    <t>Alcohol, 68%-72% ethanol(ethyl) &amp; etc. for the use of Canlaon District Hospital (S-213-2020)</t>
  </si>
  <si>
    <t>2020-SG-020 Supply and Delivery of Concrete Manhole Covers along various national roads</t>
  </si>
  <si>
    <t>Repair &amp; Maint. of MAO Office Equipment-MAO</t>
  </si>
  <si>
    <t>Insect Spray, 600 ml, Scented, water based	 &amp; etc. for 	PGO TASK FORCE SECURITY	 (N-426-2020)</t>
  </si>
  <si>
    <t>Medical Supplies to Frontliners (Workers &amp; Volunteers,Senior Citizen) as Precautionary to Prevent the Spread of Covid-19 Virus in this Municipality of Santa Cruz Laguna</t>
  </si>
  <si>
    <t>Supply and delivery of Exterior Tire [SSU Vehicle (SINO Truck) 2020]</t>
  </si>
  <si>
    <t>Construction of Gazeebo</t>
  </si>
  <si>
    <t>DIGITAL VIDEO MIXER</t>
  </si>
  <si>
    <t>PR 20-06-0668</t>
  </si>
  <si>
    <t>Procurement of Materials and Supplies for task Force COVID 19 Pandemic and Semi Expandable Medical Equipment</t>
  </si>
  <si>
    <t>Office Supplies for bindoy district hospital	 (S-186-2020)</t>
  </si>
  <si>
    <t>Provision of Division Comfort Room at Main Building, DTC, Hallway Ceiling, Ground Floor Slab, Sliding Door &amp; Window and Gutter</t>
  </si>
  <si>
    <t>SUPPLY AND DELIVERY OF OFFICE FURNITURE AND TENT</t>
  </si>
  <si>
    <t>Subscription of Internet Services (Dedicated/Leased Line) for NAPOLCOM Central Office</t>
  </si>
  <si>
    <t>PROCUREMENT OF TWO (2) UNITS LAPTOP, ONE (1) UNIT PRINTER L120 AND TWO (2) UNITS EXTERNAL HARD DRIVE FOR LIMAY MUNICIPAL POLICE STATION</t>
  </si>
  <si>
    <t>PROCUREMENT OF HARDWARE AND CONSTRUCTION SUPPLIES FOR THE REHABILITATION OF MULTI-PURPOSE HALL (OLD BARANGAY HALL)</t>
  </si>
  <si>
    <t>Supply and Delivery of fittings</t>
  </si>
  <si>
    <t>Procurement of  150 box Blood Glucose Test Strips (B6-20-97)</t>
  </si>
  <si>
    <t>Supply and Delivery of High Speed Scanner for Website</t>
  </si>
  <si>
    <t>20CF0138 Construction of 2STY4CL, Sto. Cristo ES, San Isidro, Nueva Ecija</t>
  </si>
  <si>
    <t>Other Supplies-MSWDO Admin</t>
  </si>
  <si>
    <t>PROVISION OF FOOD DURING THE CONDUCT OF IEC AND CWG ORGANIZATION RELATIVE TO THE ADSDPP ENHANCEMENT IN OCAMPO, CAMARINES SUR</t>
  </si>
  <si>
    <t>ITB - Supply, Delivery and Testing of Rice Reapers (PHilMech 20-06-06)</t>
  </si>
  <si>
    <t>Provision of materials for handwashing area for DepEd Elementary School</t>
  </si>
  <si>
    <t>SUPPLY AND DELIVERY OF CATTLE (HEIFER) 3RD POSTING</t>
  </si>
  <si>
    <t>PROCUREMENT OF VARIOUS WATER SERVICE MATERIALS USE IN CONSTRUCTION OF WATER SYSTEM @ DILAWA NATIONAL HIGH SCHOOL (PHASE II)</t>
  </si>
  <si>
    <t>SUPPLY, DELIVERY AND INSTALLATION OF MATERIALS FOR MODULAR WORKSTATION INCLUDING ELECTRICAL WORKS AND FURNITURE FOR THE RENOVATION OF THE FINANCIAL MANAGEMENT DEPARTMENT OFFICE</t>
  </si>
  <si>
    <t>20CSCG001 - Conduct of Parcellary Survey for the Proposed Bypass Roads on Various Municipalities of the 3rd and 4th Legislative Districts of Pampanga, Apalit, Arayat, Candaba, Macabebe, Masantol, Mexi</t>
  </si>
  <si>
    <t>COMPLETION OF DAY CARE CENTER AT CENTRO BANCALAAN, BALABAC, PALAWAN</t>
  </si>
  <si>
    <t>Procurement of Civil Works for the Construction/Rehab of Barangay Water System</t>
  </si>
  <si>
    <t>SUPPLY AND DELIVERY OF FUEL FOR THE MOBILITY OF MEO-MOTORPOOL EQUIPMENT UNITS/VEHICLES IN DELIVERING SERVICES TO THE CONSTITUENTS, LGU-SFADS</t>
  </si>
  <si>
    <t>20FE0143 – CONSTRUCTION OF CLASSROOMS, PAMUKID NATIONAL HIGH SCHOOL, SAN FERNANDO, CAMARINES SUR</t>
  </si>
  <si>
    <t>Toner Cartridge, HP CF 283A &amp; etc. for BIDS AND AWARDS COMMITTEE	 (S-219-2020)</t>
  </si>
  <si>
    <t>PR 20-06-0683</t>
  </si>
  <si>
    <t>INVITATION TO BID FOR THE PROCUREMENT OF LABOR &amp; MATERIALS FOR THE PROJECT OF RETROFITTING OF MDRRMC BUILDING (PHASE 1), POBLACION, MONKAYO, DAVAO DE ORO</t>
  </si>
  <si>
    <t>Supply and Delivery of Hardware Supplies and Materials for the Food Processing Center of MSC Gasan</t>
  </si>
  <si>
    <t>Spareparts (Grader Tiangong PY160M)/Motorpool</t>
  </si>
  <si>
    <t>RFQ 03-0341-20 COE SUPPLY AND DELIVERY OF EQUIPMENT</t>
  </si>
  <si>
    <t>PURCHASE OF ELECTRICAL SUPPLIES - CANTUOD, BALAMBAN, CEBU</t>
  </si>
  <si>
    <t>PURCHASE OF MATERIALS FOR THE REPAIR OF MUNICIPAL VEHICLE</t>
  </si>
  <si>
    <t>Procurement of TABLE, PLASTIC, RECTANGULAR</t>
  </si>
  <si>
    <t>PROCUREMENT FOR MEDICAL EQUIPMENT PR NO. 0568 S.2020</t>
  </si>
  <si>
    <t>Photocopy of Various Documents- Accounting Office</t>
  </si>
  <si>
    <t>COMPLETION OF BARANGAY HEALTH STATION/BIRTHING HOME AT BARANGAY SALANG, BALABAC, PALAWAN</t>
  </si>
  <si>
    <t>Improvement of Office Building (Motorpool)</t>
  </si>
  <si>
    <t>20BC0158 re-adv. - Local Program-Continuation of the Access Road going to Mingay CIADP Road in the Sta. Praxedes, Cagayan</t>
  </si>
  <si>
    <t>20CSCG002 - Conduct of Parcellary Survey for the Proposed Bypass Roads on Various Municipalities of the 3rd and 4th Legislative Districts of Pampanga , Candaba, Mexico and San Luis, Pampanga</t>
  </si>
  <si>
    <t>Raw Carabao's Milk</t>
  </si>
  <si>
    <t>50 CV (cases) - Jumbo tissue, 2-ply, 200m (12 roll/case), 90mm min. diameter</t>
  </si>
  <si>
    <t>CONSTRUCTION OF TAMBAYAN</t>
  </si>
  <si>
    <t>PR 20-06-0684</t>
  </si>
  <si>
    <t>pr for thermal and impact dot matrix printer under PR# 2020-06-2672</t>
  </si>
  <si>
    <t>COMPLETION OF DAY CARE CENTER AT POBLACION 5, BALABAC, PALAWAN</t>
  </si>
  <si>
    <t>Trophies -Small &amp; etc. for use in the Office of the Governor/for Donation to Brgys, Schools,national Offices, Provincewide (N-438-2020)</t>
  </si>
  <si>
    <t>Gasoline, Oil &amp; Lubricants-MSWDO-PDAO</t>
  </si>
  <si>
    <t>Repair and Maintenance of Mitsubishi Adventure Vehicle- Replacement of Air Conditioning Unit</t>
  </si>
  <si>
    <t>CONSTRUCTION OF DAY CARE CENTER II (COMPLETION) AT PUROK GASAJAS, COMON, ARITAO, NUEVA VIZCAYA</t>
  </si>
  <si>
    <t>ITB - Supply, Delivery and Testing of Mechanical Rice Transplanters (PHilMech RCEF 20-06-05)</t>
  </si>
  <si>
    <t>COMPLETION OF BARANGAY HEALTH STATION/BIRTHING HOME AT TIMBAYAN BANCALAAN, BALABAC, PALAWAN</t>
  </si>
  <si>
    <t>VEHICLE PARTS AND ACCESSORIES FOR REPAIR AND MAINTENANCE OF LIGHT VEHICLE</t>
  </si>
  <si>
    <t>Repair And Repainting Of Slope Protection At Both Ends Of Runway Of Naga Airport</t>
  </si>
  <si>
    <t>2020-160-I Procurement of  LABORATORY  Supplies (RE-AGENT) RE: African Swine Fever  Disease Control and  Prevention in Region XI</t>
  </si>
  <si>
    <t>Improvement of Road going to Brgy. Banog Jimalalud Negros Oriental(S-12-2020)</t>
  </si>
  <si>
    <t>to purchase office equipment and accessories</t>
  </si>
  <si>
    <t>Procurement of  130 BOX of GLOVES (B6-20-95)</t>
  </si>
  <si>
    <t>RE-BIDDING FOR SUPPLY &amp; DELIVERY OF LABORATORY SUPPLIES - HISTOPATHOLOGY REAGENTS- I</t>
  </si>
  <si>
    <t>Supply and Delivery of various Computer Peripherals and accessories</t>
  </si>
  <si>
    <t>MATERIALS FOR THE CONCRETING OF BARANGAY ROAD</t>
  </si>
  <si>
    <t>CSR SUPPLIES (PR#20-06-70616)</t>
  </si>
  <si>
    <t>COMPLETION OF BARANGAY HEALTH STATION/BIRTHING HOME AT BARANGAY MELVILLE, BALABAC, PALAWAN</t>
  </si>
  <si>
    <t>Manhole Improvement for the Multi – Purpose Embankment (Materials)</t>
  </si>
  <si>
    <t>FRT-20-0732-B - MEDICAL EQUIPMENT</t>
  </si>
  <si>
    <t>Photocopy of Various Documents- MPDC</t>
  </si>
  <si>
    <t>PROCUREMENT OF MATERIALS FOR REHABILITATION OF MULTI-PURPOSE BUILDING</t>
  </si>
  <si>
    <t>20GCG0001 - Purchase of One (1) Unit Pick-up, One (1) unit Manlift Truck and One (1) unit Compressor with Jackhammer</t>
  </si>
  <si>
    <t>PR 20-06-0663</t>
  </si>
  <si>
    <t>Supply and Delivery of Various Disaster Risk Reduction and Management and Rescue Equipment</t>
  </si>
  <si>
    <t>Apheresis Kit (Double Platelet) / Plasma 1 SBT (Single Bag Transfusion) with ACD (Anti-coangulant Citrate Dextrose)</t>
  </si>
  <si>
    <t>Rehabilitation of Health Center</t>
  </si>
  <si>
    <t>Request for Quotation (Various Tires and Battery)</t>
  </si>
  <si>
    <t>Trophies  - Small &amp; etc. for Provincial Governor's Office					 (N-437-2020)</t>
  </si>
  <si>
    <t>Supply and Delivery of Other Supplies and Materials (5020399000-07-20-01)</t>
  </si>
  <si>
    <t>Supply and Delivery of Lidocaine 10%, 50 mL Spray ( as hydrochloride)</t>
  </si>
  <si>
    <t>Purchase of Agisoft Software</t>
  </si>
  <si>
    <t>Concreting of FTMR , Barangay Atotes, Bindoy, Negros Oriental(S-06-2020)</t>
  </si>
  <si>
    <t>1 Set Office Divider, marine plywood</t>
  </si>
  <si>
    <t>CHO;2020-5-1300; TF-MICROSCOPE (DENGUE)</t>
  </si>
  <si>
    <t>Procurement of Stone Tile Roofing used for Repair/ Improvement of Tourism Hub / Waiting Area @ Brgy. Navarro, Socorro, SDN</t>
  </si>
  <si>
    <t>S1-BAS20-010 - Supply and Delivery of Mechanical Security Spare Parts for Unit No.12- 600kW Cummins Diesel Engine Generating Set, Model: KTAG3-G1, Serial No. So66414, 12 Cylinder - V Type and Rated Po</t>
  </si>
  <si>
    <t>Installation of Fixed Glass with Swing Door</t>
  </si>
  <si>
    <t>PROCUREMENT OF MATERIALS FOR THE REHABILITATION/EXTENSION OF MAIN HEALTH CENTER</t>
  </si>
  <si>
    <t>Tarpaulin-MTO</t>
  </si>
  <si>
    <t>UVC Medical Trolley for OR</t>
  </si>
  <si>
    <t>CONSTRUCTION OF BARANGAY INNER ROAD AT BARANGAY COMON, ARITAO, NUEVA VIZCAYA</t>
  </si>
  <si>
    <t>Purchase of Medical/Dental Supplies</t>
  </si>
  <si>
    <t>Purchase of Hardware supplies for the Food processing center of MSC Gasan</t>
  </si>
  <si>
    <t>MEALS FOR CONDUCT OF PROGRAM IMPLEMENTATION REVIEW ( PIR )FOR THE FRIST SEMESTER OF CY 2020  ON JULY 14 - 16, 2020</t>
  </si>
  <si>
    <t>SUPPLY &amp; DELIVERY OF FURNITURE</t>
  </si>
  <si>
    <t>Resealing Of Seismic Joints And Cracks On The Apron Of Naga Airport</t>
  </si>
  <si>
    <t>20JA0087 - CONCRETING OF BRGY. BALUNO FMR, BRGY. BALUNO, ZAMBOANGA CITY, ZAMBOANGA</t>
  </si>
  <si>
    <t>COMPLETION OF BARANGAY HEALTH STATION/BIRTHING HOME AT CATAGUPAN, BALABAC, PALAWAN</t>
  </si>
  <si>
    <t>PROCUREMENT OF MATERIALS FOR THE REHABILITATION/IMPROVEMENT OF FMR AND SLOPE PROTECTION AT BRGY. IGMASANDIG, VALDERRAMA, ANTIQUE</t>
  </si>
  <si>
    <t>Purcahse of Equipment and Supplies for Module Making</t>
  </si>
  <si>
    <t>ITB-GS-20200403-01 - Supply, Delivery and Installation of E-mail Gateway Security Appliance with Software with Three (3) Years Warranty and License for LANDBANK Disaster Recovery Site</t>
  </si>
  <si>
    <t>2 Unit Laptop</t>
  </si>
  <si>
    <t>Rehabilitation of Bleacher</t>
  </si>
  <si>
    <t>Purchase of various supplies and equipment for the Native Pig R&amp;D Program</t>
  </si>
  <si>
    <t>FRT-20-0733-B - MEDICAL EQUIPMENT</t>
  </si>
  <si>
    <t>Mid-Year Reconciliation, Preparation and Submission of Financial and Budgetary Reports 2020</t>
  </si>
  <si>
    <t>CHO;2020-4-1037;LFP-LAB.SUPPLIES (MCH)</t>
  </si>
  <si>
    <t>COMPLETION OF BARANGAY HEALTH STATION/BIRTHING HOME AT MARABON BARANGAY BANCALAAN, BALABAC, PALAWAN</t>
  </si>
  <si>
    <t>PROCUREMENT OF SUPPLIES AND MATERIALS FOR REPAIR AND MAINTENANCE OF MUNICIPAL AMBULANCE SAA-2031</t>
  </si>
  <si>
    <t>20GAE0009: Supply and Delivery of Laboratory Equipment/Apparatus and Replacement of Old Equipment/Apparatus for the Improvement of DPWH La Union First District Engineering Office Laboratory (Phase II)</t>
  </si>
  <si>
    <t>SUPPLY AND INSTALLATION OF AIRCON 2.5HP INVERTER SPLIT TYPE - 2ND POSTING</t>
  </si>
  <si>
    <t>Janitorial and Industrial Supplies for Replenishment of Stocks</t>
  </si>
  <si>
    <t>COMPLETION OF DAY CARE CENTER AT MATANGULE BARANGAY BANCALAAN, BALABAC, PALAWAN</t>
  </si>
  <si>
    <t>Construction of Proposed RCPC Canal Lining at Purok 7. Poblacion Nabunturan</t>
  </si>
  <si>
    <t>Procurement of Garments</t>
  </si>
  <si>
    <t>Purchase of Agricultural Products for SK Backyard Gardening</t>
  </si>
  <si>
    <t>Purchase of 2,000 Liters Premium Gasoline</t>
  </si>
  <si>
    <t>PROCUREMENT OF ELECTRICAL SUPPLIES FOR THE INSTALLATION OF STREET LIGHTING SYSTEM</t>
  </si>
  <si>
    <t>Package V: Const. of Multi-Purpose Hall, Brgy. Nagbunga; Const. of Drainage Canal, Brgy. San Nicolas and Const.of Lanipan Bridge, Sitio Kanaynayan, Brgy. San Pablo; all in Castillejos</t>
  </si>
  <si>
    <t>Procurement of Office Table and Chairs to be used at CPDC Office</t>
  </si>
  <si>
    <t>20GDF0019 (By Admin) - Purchasing of Heavy Equipment for the use of the Maintenance Section under Cavite 1st District Engineering Office</t>
  </si>
  <si>
    <t>SUPPLY &amp; DELIVERY OF TV WITH CABLE</t>
  </si>
  <si>
    <t>CONSTRUCTION OF MULTIPURPOSE BUILDING PHASE I</t>
  </si>
  <si>
    <t>PROVISION OF FOOD DURING THE CONDUCT OF IEC AND OTHER ACTIVITIES RELATIVE TO THE ENHANCEMENT OF ADSDPP OF BUHI, CAMARINES SUR</t>
  </si>
  <si>
    <t>Supply and Delivery of Network Cables and Connectors</t>
  </si>
  <si>
    <t>IT Equipment-Accounting Office</t>
  </si>
  <si>
    <t>SUPPLY AND DELIVERY OF 15 UNITS THERMOMETER/ALARM/TIMER UNDER EMB-ERLSD-ELSS-ORGANICS LABORATORY UNIT</t>
  </si>
  <si>
    <t>Supply and Delivery of the following Rechargeable Batteries (4 items), as per BSP Technical Specifications and Terms and Conditions</t>
  </si>
  <si>
    <t>Purchase of Laptop Computer Set with accessories for Accounting Office at Laur, Nueva Ecija</t>
  </si>
  <si>
    <t>Purchase of Camera</t>
  </si>
  <si>
    <t>Supply and Delivery of Equipment for MSU-TCTO Multi-Species Hatchery</t>
  </si>
  <si>
    <t>Rehabilitation of Child Development Center, Dona Josefa, Ipil, ZSP.</t>
  </si>
  <si>
    <t>Supply &amp; Delivery of Office Supplies &amp; Materials</t>
  </si>
  <si>
    <t>SUPPLY AND DELIVERY OF CONSTRUCTION MATERIALS TO BE USED FOR THE REHABILITATION OF TIMBER WHARF AT BARANGAY MANGSEE, BALABAC, PALAWAN</t>
  </si>
  <si>
    <t>Random Drug Testing for the Employees of the Local Government of San Mateo, Rizal</t>
  </si>
  <si>
    <t>PROCUREMENT OF MATERIALS FOR THE CONSTRUCTION OF PROTECTIVE DIKE AT BRGY. BULUANGAN 1, VALDERRAMA, ANTIQUE</t>
  </si>
  <si>
    <t>ITB and Bid Docs for Procurement ID/Contract ID:    20C00051  Contract Name:      Construction of the DENR-Environmental Management Bureau Region 3 Building (Extension Offices @ Roof Deck), Diosdado M</t>
  </si>
  <si>
    <t>CONSTRUCTION OF HOLDING AREA FOR CHILDREN (OCES)</t>
  </si>
  <si>
    <t>BODE Eurodispenser 1</t>
  </si>
  <si>
    <t>3 Set Desktop Computer</t>
  </si>
  <si>
    <t>Microphone, Speaker, Camera &amp; Wifi Adapter</t>
  </si>
  <si>
    <t>ITB and Bid Docs for Procurement ID/Contract ID:    20C00050  Contract Name:      Rehabilitation of Pampanga River (including Pulo) at Arayat and Macabebe, Pampanga</t>
  </si>
  <si>
    <t>SDH-20-0420-NP(SV) LABORATORY SUPPLIES</t>
  </si>
  <si>
    <t>Supply and Delivery of Compressor Motor</t>
  </si>
  <si>
    <t>GENSET WITH SYNCHRONIZING PANEL (300KVA), BUTUAN AIRPORT</t>
  </si>
  <si>
    <t>Portland Cement</t>
  </si>
  <si>
    <t>GENERAL MERCHANDISE</t>
  </si>
  <si>
    <t>Procurement of Materials for the Improvement of School Canteen (SJIS)</t>
  </si>
  <si>
    <t>Purchase of One (1) Unit Grader (Brand New) at Laur, Nueva Ecija</t>
  </si>
  <si>
    <t>Repair and Maintenance of Vehicle of Provincial Auditor Office</t>
  </si>
  <si>
    <t>Heavy Duty/ Ultra Rugged Cellphones 126</t>
  </si>
  <si>
    <t>PROCUREMENT OF VARIOUS VEHICLE PARTS &amp; ACCESSORIES / OIL &amp; LUBRICANTS USE FOR MAINTENANCE AND REHABILITATION OF THE FOLLOWING; FOR ISUZU ELF PLATE #H1308, FOR AMBULANCE AECID, MAINTENANCE OF HEAVY EQU</t>
  </si>
  <si>
    <t>Procurement of Office Equipment (SJIS)</t>
  </si>
  <si>
    <t>PROCUREMENT OF MATERIALS FOR THE REHABILITATION/IMPROVEMENT OF FMR AT BRGY. ALON, VALDERRAMA, ANTIQUE</t>
  </si>
  <si>
    <t>Rehabilitation of Child Development Center, Buluan, Ipil, ZSP.</t>
  </si>
  <si>
    <t>Pick-up of and transportation of DepEd Vehicle-Tagbilaran Division</t>
  </si>
  <si>
    <t>PROCUREMENT OF IT SUPPLIES</t>
  </si>
  <si>
    <t>PURCHASE OF PPE (Personal Protective Equipment), HYGIENE KIT, DISINFECTING SUPPLIES, MEDICAL SUPPLIES AND OTHER EQUIPMENT FOR COVID-19</t>
  </si>
  <si>
    <t>20JA0088 - CONCRETING OF BRGY. DULIAN FMR, BRGY. DULIAN, ZAMBOANGA CITY, ZAMBOANGA</t>
  </si>
  <si>
    <t>Rehabilitation of Child Development Center, Tomitom, Ipil, ZSP.</t>
  </si>
  <si>
    <t>RFQ-APRIL 2020-05</t>
  </si>
  <si>
    <t>Purchase of Drone</t>
  </si>
  <si>
    <t>Construction of Multi-Purpose Building (Phase II) @ Brgy. Proper, Brgy. Zone 4, Cadiz City</t>
  </si>
  <si>
    <t>IMPROVEMENT OF WATER SYSTEM</t>
  </si>
  <si>
    <t>Rehabilitation of Child Development Center, Timalang, Ipil, ZSP.</t>
  </si>
  <si>
    <t>CONSTRUCTION AND MAINTENANCE OF LOCAL ROAD</t>
  </si>
  <si>
    <t>IMPROVEMENT OF ARANAS MULTI-PURPOSE HALL (COVERED COURT)</t>
  </si>
  <si>
    <t>Supply &amp; Installation of Signage used for Repair/ Improvement of Tourism Hub / Waiting Area @ Brgy. Navarro, Socorro, SDN</t>
  </si>
  <si>
    <t>CONTRACT OF LABOR SERVICES FOR THE RENOVATION/CONSTRUCTION OF AGTA MUSEUM IN PALAUI ISLAND, SAN VICENTE, STA. ANA, CAGAYAN CHARGED UNDER THE PARA EL MAR PRIZE WFP FUND</t>
  </si>
  <si>
    <t>INVITATION TO BID FOR THE PROCUREMENT OF CONSTRUCTION MATERIALS FOR THE REPAIR OF DAMAGE WATER CONNECTION</t>
  </si>
  <si>
    <t>PURCHASE OF MINI DUMPTRUCK</t>
  </si>
  <si>
    <t>Food and Accommodation for Evaluation on Content, Language, Layout and Copyright of Modules Assigned to Cotabato Division (First and Second Quarter)</t>
  </si>
  <si>
    <t>PROCUREMENT OF LABORATORY EQUIPMENT - MHO</t>
  </si>
  <si>
    <t>INSTALLATION OF PRIMARY LINES AND ACCESSORIES INCLUDING TRANSFORMER 1 UNIT (50KVA-2019), BISLIG AIRPORT</t>
  </si>
  <si>
    <t>Supply and delivery of Office Supplies of RSTC batch 2 to be delivered at PhilRice Batac, City of Batac, Ilocos Norte, Region I</t>
  </si>
  <si>
    <t>Rehabilitation of Road at Bgy. Sto. Nino, Jovellar, Albay</t>
  </si>
  <si>
    <t>PROCUREMENT OF HAND DRYER</t>
  </si>
  <si>
    <t>Procurement of Diesel</t>
  </si>
  <si>
    <t>Construction of Pathway at Sitio Nayle, Bgy. San Roque, Jovellar, Albay</t>
  </si>
  <si>
    <t>Procurement of Materials for thr Improvement of School Building (BES)</t>
  </si>
  <si>
    <t>SUPPLY &amp; DELIVERY OF MATERIALS FOR THE CONSTRUCTION OF DRAINAGE CANAL @ PUROK 1, BRGY. BAYAMBANG, INFANTA, PANGASINAN</t>
  </si>
  <si>
    <t>Supply &amp; Installation of Wooden Doors &amp; Aluminum Glass Window used for Repair/ Improvement of Tourism Hub / Waiting Area @ Brgy. Navarro, Socorro, SDN</t>
  </si>
  <si>
    <t>Procurement of Transmission Assembly</t>
  </si>
  <si>
    <t>Electric Concrete Breaker 147</t>
  </si>
  <si>
    <t>20GAF0030SVP – REPAIR/MAINTENANCE OF VARIOUS NATIONAL ROADS WITHIN LA UNION SECOND ENGINEERING DISTRICT (SUPPLY/PURCHASE OF HOT ASPHALT 60/70), DPWH-LUSDEO, NATIVIDAD, NAGUILIAN, LA UNION</t>
  </si>
  <si>
    <t>PROCUREMENT OF MATERIALS/ SUPPLIES FOR MODULE REPRODUCTION</t>
  </si>
  <si>
    <t>Rehabilitation of Road at Bgy. Mabini, Jovellar, Albay</t>
  </si>
  <si>
    <t>Concreting of Barangay Road (Phase II) @ Tiglawigan Relocation Site, Brgy. Tiglawigan, Cadiz City</t>
  </si>
  <si>
    <t>Desktop Computer</t>
  </si>
  <si>
    <t>P.R. NO. 20-06-139</t>
  </si>
  <si>
    <t>SUPPLY AND DELIVERY OF ELEVEN (11) UNITS LAPTOP AND TWO (2) UNITS DESKTOP, SANGGUNIANG BAYAN, SFADS</t>
  </si>
  <si>
    <t>Procurement of 3 unit Computer Desktop,etc. under P.R.No. 2173-2020-5% City Disaster Risk Reduction and Management Fund(Continuing)-2nd Bidding</t>
  </si>
  <si>
    <t>FUEL, OIL &amp; LUBRICANTS</t>
  </si>
  <si>
    <t>DESKTOP COMPUTERS PR 0220</t>
  </si>
  <si>
    <t>Procurement of Office Equipment (PEQNHS)</t>
  </si>
  <si>
    <t>20JA0089 - CONCRETING OF SITIO STA. FE FMR, BRGY. VITALI, ZAMBOANGA CITY, ZAMBOANGA</t>
  </si>
  <si>
    <t>WIDENING AND CONCRETING OF BULAOEN EAST-CASIONAN JUNCTION ROAD , BRGY. BULAOEN EAST, SISON, PANGASINAN</t>
  </si>
  <si>
    <t>Supply and Delivery of Construction Materials for Improvement of Multi-Purpose Hall</t>
  </si>
  <si>
    <t>INVITATION TO BID FOR CONSTRUCTION OF VEGETABLE SECTION AREA AT PUBLIC MARKET</t>
  </si>
  <si>
    <t>PURCHASE OF MOBILE GARBAGE BIN FOR TUGUEGARAO AIRPORT</t>
  </si>
  <si>
    <t>CONCRETING OF PATHWAYS, BRGY. IGCABUGAO, IGBARAS, ILOILO</t>
  </si>
  <si>
    <t>20JA0091 - CONCRETING OF APASAN, BRGY. DULIAN FMR, BRGY. DULIAN, ZAMBOANGA CITY, ZAMBOANGA</t>
  </si>
  <si>
    <t>S1-BRS20-016 - Supply and Delivery of 300kW Cummins KTA19-G2 Spare Parts to San Pascual DPP</t>
  </si>
  <si>
    <t>Purchase of Office Equipment for Senior Citizen Center at Laur, Nueva Ecija</t>
  </si>
  <si>
    <t>Concreting of Barangay Road From Bangga Pepito to So. Alimatoc Public Cemetery (Phase II), Brgy. C.S. Villacin, Cadiz City</t>
  </si>
  <si>
    <t>RFQ-DVO-PR.NO. 2006066 CAT. 18 ELECTRICAL EQUIPMENT AND APPLIANCES</t>
  </si>
  <si>
    <t>Catering Services for the Local Partnership Convergence on July 9-10, 2020</t>
  </si>
  <si>
    <t>CONSTRUCTION OF SOLAR STREETLIGHTS(BRGY.POB.ZONE V. VILLASIS, PANGASINAN)</t>
  </si>
  <si>
    <t>PURCHASE OF ITEM 200 (AGGREGATE SUB-BASE COURSE) FOR THE  IMPROVEMENT OF ROAD AT SITIO BARAS BRGY. TRAPICHE OTON</t>
  </si>
  <si>
    <t>SUPPLY AND DELIVERY OF FUEL, OIL AND LUBRICANTS TO BE USED BY SBO SEA CRAFT AT BALABAC, PALAWAN</t>
  </si>
  <si>
    <t>INVITATION TO BID FOR THE PROCUREMENT OF FUEL FOR MOBILIZATION OF VARIOUS OFFICES</t>
  </si>
  <si>
    <t>Polo Shirt</t>
  </si>
  <si>
    <t>Invitation to Bid for the Procurement of Labor and Materials for the Construction of Line Canal at Barangay 5- Poblacion, Malilipot, Albay</t>
  </si>
  <si>
    <t>Procurement of 1 Lot Const. Materials (Construction of Bleacher Mini Gym (15m) at Tubison ES)</t>
  </si>
  <si>
    <t>Purchase of office equipment and fixtures of Ajuy PNP</t>
  </si>
  <si>
    <t>Catering Services for the Conduct of Training for the Preparation of the Learning Modules for the College of Arts and Sciences</t>
  </si>
  <si>
    <t>supply and delivery of office supplies to be used in encoding of RSBSA forms with PR # 325 dated 6-25-2020 with an ABC 60,400.00</t>
  </si>
  <si>
    <t>Concreting of Multi-Purpose Pavement (Pavilion) at Bgy. Maogog, Jovellar, Albay</t>
  </si>
  <si>
    <t>Concreting of FTMR, Barangay Atotes  Bindoy , Negros Oriental (S-18-2020)</t>
  </si>
  <si>
    <t>Road Improvement (0.15mx6.0mx800m) at Sitio Atipo, Adela-Sta. Rita, Poro, Cebu</t>
  </si>
  <si>
    <t>Common Construction Materials</t>
  </si>
  <si>
    <t>Pre-Engineering Survey for Improvement of Road Network and Drainage Phase 2 (Surveying)</t>
  </si>
  <si>
    <t>Rehabilitation of Road at Bgy. Rizal</t>
  </si>
  <si>
    <t>Purchase of Various Supplies for Webinar (PR Nos. 20-06-176 / 177)</t>
  </si>
  <si>
    <t>INVITATION TO BID FOR CONSTRUCTION OF TWO UNITS PUBLIC TOILET</t>
  </si>
  <si>
    <t>INVITATION TO BID - PROCUREMENT OF CORPORATE BUDGET SYSTEM</t>
  </si>
  <si>
    <t>PROCUREMENT OF FERTILIZERS AND FEEDS</t>
  </si>
  <si>
    <t>20J00205 - Concreting of Brgy. Angilan FMR, Brgy. Angilan, Omar Sulu</t>
  </si>
  <si>
    <t>Purchase of Supplies for the opening of Sindangan Cultural &amp; Sports Center as 2nd Temporary Treatment and Monitoring Facility of the municipality</t>
  </si>
  <si>
    <t>Catering Services for 125 pax</t>
  </si>
  <si>
    <t>Supplies and Personal Protective Equipment against Covid 19 to be used by PSA Laguna personnel</t>
  </si>
  <si>
    <t>Rehabilitation/Improvement of Flood Control Project at Bgy. Aurora, Jovellar, Albay</t>
  </si>
  <si>
    <t>Procurement of 2 unit 55" TV with bracket, installation and accessories</t>
  </si>
  <si>
    <t>PURCHASE OF FUEL, OIL AND LUBRICANTS FOR THE CONSTRUCTION OF BRGY. INDALUYON-PINAOPAWAN-IGPIGUS ROAD SECTION (RE-BID)</t>
  </si>
  <si>
    <t>Purchase of Laptop (PR Nos. 20-06-179 / 180 / 181)</t>
  </si>
  <si>
    <t>Purchase of Fire Extinguisher Refill</t>
  </si>
  <si>
    <t>Request for Quotation For Office Supplies and Devices</t>
  </si>
  <si>
    <t>Supply and Delivery of Valve for MMWD Water Sources</t>
  </si>
  <si>
    <t>Improvement of Limbo - Pinocawan Road Vallehermoso,  Negros Oriental(s-05-2020)</t>
  </si>
  <si>
    <t>RFQ-L-PROCUREMENT OF MONOBLOCK TABLES AND CHAIRS FOR THE USE IN THE COMMUNITY ISOLATION FACILITY (CIF)-NAVOTAS CITY</t>
  </si>
  <si>
    <t>SUPPLY, DELIVERY AND INSTALLATION OF CCTV CAMERA</t>
  </si>
  <si>
    <t>Purchase and Delivery of Rescue and Safety Equipments for the Municipal Disaster Risk Reduction and Management Office of LGU-Mayorga, Leyte</t>
  </si>
  <si>
    <t>SUPPLY AND DELIVERY OF FUEL, OIL AND LUBRICANTS TO BE USED BY THE MUNICIPAL ENGINEERING OFFICE AT BALABAC, PALAWAN</t>
  </si>
  <si>
    <t>Repair/Maintenance of Ditch line along Davao-Cotabato Road (Saguing Section), k1612+689 – k1612+923 (R/S)</t>
  </si>
  <si>
    <t>20J00204 - Repair/Maintenance of DPWH Building Annex A &amp; B Phase II DPWH Compound, Veterans Avenue Extension, Tetuan, Zamboanga City</t>
  </si>
  <si>
    <t>SK Council Management (Office enhancement program)</t>
  </si>
  <si>
    <t>“SUPPLY AND DELIVERY OF PAYAO ACCESSORIES AND  7.5HP MARINE DIESEL ENGINE AND 5.5HP MARINE GASOLINE ENGINE FOR THE CONSTRUCTION OF FRP BOATS IN THE PROVINCE OF ANTIQUE.”</t>
  </si>
  <si>
    <t>Rehab. of Drainage Culvert</t>
  </si>
  <si>
    <t>Procurement of Petroleum (Diesel and Engine Oil)</t>
  </si>
  <si>
    <t>Labor and Materials for the Provision of Emergency Exits at DILG Regional Office 10</t>
  </si>
  <si>
    <t>Construction Materials</t>
  </si>
  <si>
    <t>Purchase of Spare Parts for use in the Repair of Nissan Pick Up with Temp. Plate # 122610</t>
  </si>
  <si>
    <t>20GAF0031SVP – REPAIR/MAINTENANCE OF VARIOUS NATIONAL ROADS AND BRIDGES WITHIN LA UNION SECOND ENGINEERING DISTRICT (SUPPLY/PURCHASE OF THERMOPLASTIC PAVEMENT MARKINGS - YELLOW), DPWH-LUSDEO, NATIVIDA</t>
  </si>
  <si>
    <t>PURCHASE OF FUEL, OIL &amp; LUBRICANTS FOR THE OPENING OF ROAD (BRGY. 6 -BRGY. 4 POBLACION), IGBARAS, ILOILO</t>
  </si>
  <si>
    <t>Construction of 20 Barrel Box Culvert Brgy. Iyagan, Baao, Camarines Sur</t>
  </si>
  <si>
    <t>Procurement of Electrical Supplies and Materials for the Installation of UV Disinfecting E27 LED 60W UV Germicidal Lamp with Remote Control UVC (Ultraviolet Corn Bulb)- PPF OMSC Labangan</t>
  </si>
  <si>
    <t>INVITATION TO BID FOR DEVELOPMENT OF TOURISM SPOT</t>
  </si>
  <si>
    <t>Installation of Solar Street Lighting System at Bgy. Calzada, Jovellar, Albay</t>
  </si>
  <si>
    <t>Procurement of two (2) units Laptop</t>
  </si>
  <si>
    <t>1 Lot	Customized flags ABC: 88,450.00php</t>
  </si>
  <si>
    <t>Procurement of Petroleum (Diesel and Unleaded Gas)</t>
  </si>
  <si>
    <t>20J00206 - Concreting of Brgy. Bohe Biti FMR, Brgy. Bohe Biti, Tipo-Tipo, Basilan</t>
  </si>
  <si>
    <t>Supply and Delivery of Various Vehicles for Resource Generation and Management Service (RGMS)</t>
  </si>
  <si>
    <t>PURCHASE OF VARIUS IT EQUIPMENT AND SUPPLIES FOR USE OF THE SANGGUNIANG PANGLUNSOD, CAVITE CITY</t>
  </si>
  <si>
    <t>Vehicle Parts</t>
  </si>
  <si>
    <t>20JA0090 - CONCRETING OF SITIO LINDUMAN TO SITIO KANSILAYAN, BRGY. TICTAPUL FMR, BRGY. TICTAPUL, ZAMBOANGA CITY</t>
  </si>
  <si>
    <t>20CF0140 Construction of 2STY4CL, Tambo North E/S, San Leonardo, Nueva Ecija</t>
  </si>
  <si>
    <t>20J00207 - Concreting of Brgy. Lambayong FMR, Brgy. Lambayong, Indanan, Sulu</t>
  </si>
  <si>
    <t>Purchase of Tablet (PR No. 20-06-161-D)</t>
  </si>
  <si>
    <t>Purchase of One (1) Unit Water Tanker (Brand New) at Laur, Nueva Ecija</t>
  </si>
  <si>
    <t>invitation to bid bid for the Proposed Construction of Multi-Purpose Building(Exposition Building), Airport Road, Legazpi City</t>
  </si>
  <si>
    <t>Purchase of Medical Supplies - M.H.O.</t>
  </si>
  <si>
    <t>PROCUREMENT OF DIESOLINE FOR COVID OPERATIONS AND OTHER DRRM RELATED ACTIVITIES -2ND POSTING</t>
  </si>
  <si>
    <t>AIRCONDITIONING UNIT FOR ENVIRONMENTAL SCIENCE LABORATORY AT PSU TINAMBAC</t>
  </si>
  <si>
    <t>Linggo ng Kabataan</t>
  </si>
  <si>
    <t>Procurement of Sala Set with Center Table (for various Primary Schools in LSB-North District)</t>
  </si>
  <si>
    <t>Rehabilitation of Road at Bgy. Plaza, Jovellar, Albay</t>
  </si>
  <si>
    <t>HIV Ag-Ab, CMIA/CLIA, 100 tests</t>
  </si>
  <si>
    <t>Barangay Road Rehabilitation (0.10mX5.0mX200m) at Sitio Bagakay Sta. Rita, Poro, Cebu</t>
  </si>
  <si>
    <t>SUPPLY AND DELIVERY OF LABORATORY STANDARDS UNDER EMB-ERLSD-ENVIRONMENTAL LABORATORY SERVICES SECTION (ELSS) INORGANICS LABORATORY UNIT</t>
  </si>
  <si>
    <t>Preparation of ISO 9001:2015 Year 2020 Surveillance Audit on August 19, 2020</t>
  </si>
  <si>
    <t>Supply and Delivery of Common Supplies at MPW- Maguindanao Second District Engineering Office</t>
  </si>
  <si>
    <t>Supply and Delivery of Materials for Installation of Zero Waste Store</t>
  </si>
  <si>
    <t>Procurement of Modular Table to be used by the City Human Resource Management Office</t>
  </si>
  <si>
    <t>Purchase of Lightning Arrester</t>
  </si>
  <si>
    <t>Supply and Delivery of Breeder Stocks: Goat and Native Chicken</t>
  </si>
  <si>
    <t>Supply and Delivery of One (1) lot Various Office Supplies and Materials per PR# 2020-06-0327</t>
  </si>
  <si>
    <t>Installation of Solar Street Lighting System at Bgy. Quitinday, Jovellar, Albay</t>
  </si>
  <si>
    <t>PR2020-06-00077</t>
  </si>
  <si>
    <t>2020-154-I Procurement of  ICT Supplies</t>
  </si>
  <si>
    <t>20GAF0033SVP – SUPPLY/PURCHASE OF FUELS FOR  THE OPERATION OF VARIOUS EQUIPMENTS AND SERVICE VEHICLES, DPWH-LUSDEO, NATIVIDAD, NAGUILIAN, LA UNION</t>
  </si>
  <si>
    <t>Supplies for Drop in Center for 2nd Quarter 2020</t>
  </si>
  <si>
    <t>For the use in the equipping, and maintenance of Gitagum Ligtas Covid Center in line with the Mitigation, Infection Prevention and Control of COVID-19 in the Municipality of Gitagum</t>
  </si>
  <si>
    <t>Supply, Delivery and Installation of Rolled Carpet and Blinds</t>
  </si>
  <si>
    <t>Procurement of LPG Cooking Gas 50kgs/cylinder (for the month of August 2020)</t>
  </si>
  <si>
    <t>CONSULTANCY SERVICES ON INFRASTRUCTURE AND PUBLIC WORKS</t>
  </si>
  <si>
    <t>Construction/Installation of Jetmatic Pumps at Various Barangays of Mayorga, Leyte</t>
  </si>
  <si>
    <t>PROCUREMENT OF MEALS FOR THE FRONTLINERS (MDRMMO)</t>
  </si>
  <si>
    <t>20J00209 - Concreting of Brgy. Panglima Alari FMR, Brgy. Panglima Alari, Sitnagkai, Tawi-Tawi</t>
  </si>
  <si>
    <t>Barangay Road Rehabilitation (0.10mX5.0mX200m) at Sitio Ilihan, Cansabusab, Poro, Cebu</t>
  </si>
  <si>
    <t>Procurement of Gasoline (for 1st and 2nd Quarter Utilization)</t>
  </si>
  <si>
    <t>RFQ 109-06-2020 TIRE FOR BOOMTRUCK</t>
  </si>
  <si>
    <t>Purchase of Water Heater</t>
  </si>
  <si>
    <t>IMPROVEMENT OF MULTI-PURPOSE BUILDING (INSTALLATION OF DOORS&amp; WINDOWS) BRGY. MULANGAN, IGBARAS, ILOILO</t>
  </si>
  <si>
    <t>Installation of Solar Street Lighting System at Bgy. San Isidro, Jovellar, Albay</t>
  </si>
  <si>
    <t>CONSULTANCY ON HOUSING CONCERNS</t>
  </si>
  <si>
    <t>School supplies and other supplies</t>
  </si>
  <si>
    <t>Repair/Maintenance of Bridge Approaches  along Paco-Roxas-Arakan Valley Road (Mateo Bridge), k1626+730 (Equipment Rental Only)</t>
  </si>
  <si>
    <t>Supply and Delivery of Motor Vehicle</t>
  </si>
  <si>
    <t>URBAN GARDEN MATERIALS</t>
  </si>
  <si>
    <t>Supply and Delivery of Office Supplies (5020301000-07-20-01)</t>
  </si>
  <si>
    <t>20GAF0032SVP – REPAIR/MAINTENANCE OF VARIOUS NATIONAL ROADS AND BRIDGES WITHIN LA UNION SECOND ENGINEERING DISTRICT (SUPPLY/PURCHASE OF MEASURING TOOLS), DPWH-LUSDEO, NATIVIDAD, NAGUILIAN, LA UNION</t>
  </si>
  <si>
    <t>RFQ for Hardware Supplies of IGP &amp; P</t>
  </si>
  <si>
    <t>Const./Opening of FTMR,Barangay  Salong, Bindoy, Negros Oriental(S-11-2020)</t>
  </si>
  <si>
    <t>RE-BIDDING FOR SUPPLY &amp; DELIVERY OF NUTRITION &amp; DIETETIC SUPPLIES - COMMERCIAL FORMULA MILK</t>
  </si>
  <si>
    <t>RFQ / PR 20-02-0058 / PROCUREMENT OF OP ID CARDS WITH BIOMETRIC</t>
  </si>
  <si>
    <t>Installation of Solar Street Lighting System at Bgy. Cabraran, Jovellar, Albay</t>
  </si>
  <si>
    <t>Procurement of Commercial Rice, 50kgs/bag</t>
  </si>
  <si>
    <t>SUPPLIES AND MATERIALS FOR THE CONSTRUCTION OF ENTRANCE AND EXIT SIGNAGE IN ADMIN BUILDING</t>
  </si>
  <si>
    <t>Hauling Services of Garbage from different Mainland Barangays  to Sanitary Landfill, Morong, Rizal</t>
  </si>
  <si>
    <t>Labor, Automotive Spare Parts GB3665</t>
  </si>
  <si>
    <t>Catering Services for the conduct of Webenar on Coaching and Mentoring Workshop on July 7-9, 2020 at DENR Regional Office</t>
  </si>
  <si>
    <t>CK-MB, 4 x 62.5 ml</t>
  </si>
  <si>
    <t>Procurement of Fire Extinguisher</t>
  </si>
  <si>
    <t>Repair/Maintenance of Guardrail along Paco-Roxas-Arakan Valley Road (Greenhills Section-Doroluman Section) k1643+200-k1672+000 (selected portion) (Equipment Rental Only)</t>
  </si>
  <si>
    <t>RFQ for DFLP, screw and Bone Cement</t>
  </si>
  <si>
    <t>PROCUREMENT OF INFORMATION, COMMUNICATION AND TECHNOLOGY EQUIPMENT FO USE AT MUNICIPAL BUDGET OFFICE</t>
  </si>
  <si>
    <t>2020-155-I Labor and Materials for Printing and Production of Tarpaulin</t>
  </si>
  <si>
    <t>Procurement of Materials for the Rehabilitation/Improvement of Municipal Roads</t>
  </si>
  <si>
    <t>Purchase of MTO I.T. Equipments and Supply</t>
  </si>
  <si>
    <t>Supply and Delivery of BNS/BHW Office Supplies</t>
  </si>
  <si>
    <t>SUPPLY AND DELIVERY OF 40KVA STANDBY GENERATOR FOR BARANGAY 26 PUMPING STATION OF GINGOOG CITY WATER DISTRICT</t>
  </si>
  <si>
    <t>Rehabilitation and improvement of Jimalalud - Bangcal Provincial Road Jimalalud Negros Oriental(s-13-2020)</t>
  </si>
  <si>
    <t>Barangay Road Rehabilitation (0.10mX5.0mX200m) at Sitio Melendres, Esperanza, Poro, Cebu</t>
  </si>
  <si>
    <t>FABRICATION / INSTALLATION OF PLAYGROUND EQUIPMENT, NCDC BUILDING, IGBARAS CENTRAL ELEM. SCHOOL</t>
  </si>
  <si>
    <t>SUPPLY AND DELIVERY OF FUEL, OIL AND LUBRICANTS TO BE USED BY MMO SEA CRAFT BALABAC, PALAWAN</t>
  </si>
  <si>
    <t>Hauling &amp; Trucking of Commuter Van from DepEd-Central Office to Dumaguete City Port</t>
  </si>
  <si>
    <t>RFQ - Preventive Maintenance</t>
  </si>
  <si>
    <t>Installation of Fixed Glass with Swing Door and Counter Window (Registrar Office)</t>
  </si>
  <si>
    <t>Supply and Delivery of Doorknob, Heavy Duty</t>
  </si>
  <si>
    <t>PROCUREMENT OF JANITORIAL SUPPLIES FOR THE MAINTENANCE OF VARIOUS COMFORT ROOMS.</t>
  </si>
  <si>
    <t>Barangay Road Rehabilitation (0.10mX5.0mX200m) at Mahayahay San Jose, Poro, Cebu</t>
  </si>
  <si>
    <t>Improvement of Water System</t>
  </si>
  <si>
    <t>Construction of WWS,Barangay Owacan, Jimalalud,Negros Oriental(N-09-2020)</t>
  </si>
  <si>
    <t>2020-156-I Procurement of Various Boots</t>
  </si>
  <si>
    <t>PROCUREMENT OF MATERIALS FOR THE REHABILITATION/IMPROVEMENT OF ROAD AT BRGY. LUBLUB, VALDERRAMA, ANTIQUE</t>
  </si>
  <si>
    <t>COMPLETION OF DAY CARE CENTER AT PANAAN BARANGAY CATAGUPAN, BALABAC, PALAWAN</t>
  </si>
  <si>
    <t>RFQ for THA Ceramic on Ceramic</t>
  </si>
  <si>
    <t>Installation of Solar Street Lighting System at Bgy. Villa Paz, Jovellar, Albay</t>
  </si>
  <si>
    <t>SUPPLY &amp; DELIVERY OF MOTORCYCLE WITH SIDECAR (KULONG-KULONG)</t>
  </si>
  <si>
    <t>Rehabilitation of Multi Purpose Gym</t>
  </si>
  <si>
    <t>Supply and delivery of grass cutter</t>
  </si>
  <si>
    <t>SUPPLY AND DELIVERY OF HDPE PIPES AND G.I. FITTINGS FOR REHABILITATION MATERIALS STOCKING</t>
  </si>
  <si>
    <t>PURCHASE OF AIR-CONDITIONING UNITS FOR TUGUEGARAO AIRPORT</t>
  </si>
  <si>
    <t>Purchase of Mag Wheels for Vehicle Nissan Urvan</t>
  </si>
  <si>
    <t>Procurement of Construction Materials and Supplies for the Improvement of Public Plaza (Bayuyan Proper) in Brgy. Bayuyan, President Roxas, Capiz</t>
  </si>
  <si>
    <t>INVITATION TO BID FOR REPAIR OF MUNICIPAL GYMNASIUM</t>
  </si>
  <si>
    <t>RFQ for PFN short and PHLP</t>
  </si>
  <si>
    <t>Construction of Concrete Road at Mun. Cemetery Brgy. Sulib 	Concreting of Road L-90.00mts. W-3.00 mts. T-0.10mts</t>
  </si>
  <si>
    <t>20J00212 - Concreting of Brgy. Tubig Puti (Sitio Kan Simba) to Brgy. Niyog-Niyog (Sittio Kan Pahaw) FMR, Brgy. Tubig Puti and Brgy. Niyog-Niyog, Luuk, Sulu</t>
  </si>
  <si>
    <t>Barangay Road Rehabilitation (0.10mX5.0mX200m) at Sitio Kambangon, Adela, Poro, Cebu</t>
  </si>
  <si>
    <t>Two (2) units of Laptop to be used in Main Health Center</t>
  </si>
  <si>
    <t>Purchase of Spareparts for DT Forward(1,2 and 3)</t>
  </si>
  <si>
    <t>Rubberized Disinfection Mat (Carpet Ribbed Matting)</t>
  </si>
  <si>
    <t>RE-BIDDING OF MEDICAL SUPPLIES 2020</t>
  </si>
  <si>
    <t>SUPPLY AND DELIVERY OF PROPOSED  ADDITIONAL DEVELOPMENT OF ONE(1)SPRING SOURCE  AND TRANSMISSION PIPELINE AT SAN ISIDRO SITIO CIVULEG,  BARANGAY LUNOTAN  , GINGOOG CITY ( NEW DISCOVERED SPRING SOURCE</t>
  </si>
  <si>
    <t>Installation of Solar Street Lighting System at Bgy. Bagacay, Jovellar, Albay</t>
  </si>
  <si>
    <t>Supply and Delivery of TLE ( Bread and Pastry ) Supplies &amp; Materials</t>
  </si>
  <si>
    <t>RFQ for Pedicle Screws and Crosslink</t>
  </si>
  <si>
    <t>RFQ for ACL Reconstruction</t>
  </si>
  <si>
    <t>Request for Price Quotation - Supply, Delivery and Installation of Roller Shades</t>
  </si>
  <si>
    <t>brand new multi-purpose vehicle</t>
  </si>
  <si>
    <t>PRINTING OF MODULAR INSTRUCTION</t>
  </si>
  <si>
    <t>Repair of Flood Control</t>
  </si>
  <si>
    <t>Purchase of Various Office Equipment and Materials for Sangguniang Bayan and Vice Mayor’s Office.</t>
  </si>
  <si>
    <t>Procurement of Fertilizer, corn seeds and sprayer distribution to farmers</t>
  </si>
  <si>
    <t>Salin-based Concentrated Wash Solution, 12 x 125 ml</t>
  </si>
  <si>
    <t>Procurement of Printing Supplies</t>
  </si>
  <si>
    <t>Purchase of Construction Materials and Supplies with Labor on pakyaw or takay basis supplied by local laborers for the Steet Light in Purok 1 Don Ricardo G. Macias, Sind., ZN.</t>
  </si>
  <si>
    <t>RFQ / PR 20-06-0280 / PROCUREMENT OF CONSTRUCTION MATERIALS FOR THE PROPOSED GUARD POST AT GATE 6</t>
  </si>
  <si>
    <t>Procurement of 1,000 Vial Rabies Vaccine(10 Dose/Vial),etc. under P.R.No. 1408-2020-Office of the City Veterinarian.</t>
  </si>
  <si>
    <t>RE-BIDDING FOR SUPPLY &amp; DELIVERY OF NUTRITION &amp; DIETETIC SUPPLIES - KITCHEN UTENSILS</t>
  </si>
  <si>
    <t>20JC0082 - Concreting of Brgy. New Dapitan to Brgy. Farmington FMR, Brgy. New Dapitan and Brgy. Farmington, Tampilisan, Zamboanga del Norte</t>
  </si>
  <si>
    <t>20J00213 Concreting of Brgy. Tubig Parang FMR, Brgy. Tubig Parang, Indanan, Sulu</t>
  </si>
  <si>
    <t>Food Supplies (5020305000-07-20-01)</t>
  </si>
  <si>
    <t>Medical Supplies - (2nd) IV SET ADULT &amp; PEDIA</t>
  </si>
  <si>
    <t>Supply and Delivery of Flu Vaccine for City Health Office in the Implementation of Health and Wellness program.</t>
  </si>
  <si>
    <t>RFQ for IM Nail, Kwire and Cerclage wire</t>
  </si>
  <si>
    <t>REFORESTATION PLAN WITHIN MISAMIS OCCIDENTAL</t>
  </si>
  <si>
    <t>Proposed Rehabilitation/Improvement of BPSO Headquarters</t>
  </si>
  <si>
    <t>Construction of 63 cu.m. Food Court Drainage and Septic Tank</t>
  </si>
  <si>
    <t>RFQ 052-03-2020 PROCUREMENT AND INSTALLATION OF 25KVA TRANSFORMER FOR COA SUB-OFFICE</t>
  </si>
  <si>
    <t>Rehabilitation/Improvement of Multi-Purpose Hall (ABC Hall) at Bgy. Plaza, Jovellar, Albay</t>
  </si>
  <si>
    <t>ABSORBABLE HAEMOSTAT, ABSORBENT HEMOSTATIC SPONGE ETC. FOR CSR</t>
  </si>
  <si>
    <t>RFQ for THA (Cementless)</t>
  </si>
  <si>
    <t>RFQ / PR 20-05-1394 / PROCUREMENT OF CONSTRUCTION MATERIALS FOR THE REPAINTING OF NEB POWER HOUSE EXTERIOR WALLS AND WATER TANK HOUSE EXTERIOR WALLS</t>
  </si>
  <si>
    <t>Supply and Delivery of Various Dietary Supplies and Materials</t>
  </si>
  <si>
    <t>Medical Supplies - (3rd) LANCING DEVICE</t>
  </si>
  <si>
    <t>RFQ for Kwire and Variable Angle Lock Plate</t>
  </si>
  <si>
    <t>RE-BIDDING FOR SUPPLY &amp; DELIVERY OF ENGINEERING SUPPLIES – MASONRY &amp; CARPENTRY</t>
  </si>
  <si>
    <t>20MH0109 - Repair/Maintenance of Drainage along Isulan Junction- Sen. Ninoy Aquino Road (K1829+897 - K1830+247)</t>
  </si>
  <si>
    <t>ACCOUNT ADMINISTRATION AND MANAGEMENT OF NHA NCR-NORTH SECTOR OFFICE’S VARIOUS PROJECTS UNDER SERVICE PROVIDER</t>
  </si>
  <si>
    <t>Supply and Delivery of Fry Through and other materials use on establishment of intensive tilapia hatchery system for registered hatcheries under ALPAS Project CY 2020</t>
  </si>
  <si>
    <t>RFQ for PFN Long</t>
  </si>
  <si>
    <t>05-037-20 (Cellcard Prepaid)</t>
  </si>
  <si>
    <t>Procurement of One (1) Unit Laptop Computer</t>
  </si>
  <si>
    <t>2nd Invitation for the Supply and Delivery of Manual and Self-Propelled Forklift</t>
  </si>
  <si>
    <t>Purchase of Various Dental Supplies (2020-06-097)</t>
  </si>
  <si>
    <t>REQUEST FOR QUOTATION (RFQ) FOR VARIOUS CONSTRUCTION PROJECT</t>
  </si>
  <si>
    <t>2 units brand new pick-up vehicle 4x4</t>
  </si>
  <si>
    <t>Medical and Dental Laboratory Supplies</t>
  </si>
  <si>
    <t>SUPPLY AND DELIVERY OF CONSOLIDATED OFFICE SUPPLIES 2nd QUARTER 2020</t>
  </si>
  <si>
    <t>2nd Invitation for the Supply and Delivery of 4 units Multiple Extracting Machine</t>
  </si>
  <si>
    <t>Procurement of 1 Lot Const. Materials (for Construction of Perimeter Fence at Sibulan ES)</t>
  </si>
  <si>
    <t>Supply &amp; Delivery of Meals and Snacks to be used for the State of the Municipality Address on July 9, 2020</t>
  </si>
  <si>
    <t>Procurement and Delivery of Various Goods (Rebid)</t>
  </si>
  <si>
    <t>Purchase of Furniture &amp; Fixture at Barangay Mabini, Tanauan City, Batangas</t>
  </si>
  <si>
    <t>Drugs - Piperacillin 4Gm/Tazobactam 500mg Inj. Per Vial (as sodium salt) (IM,IV) IV Infusion) (3rd Posting)</t>
  </si>
  <si>
    <t>RFQ-GS-20200622-03 - 1 Lot Supply, Deivery, Installation of Signages, Acrylic Frame Panel, Acrylic Enclosure &amp; Sunshades including Dismantling &amp; Hauling-out of existing units when necessary at 6 LANDB</t>
  </si>
  <si>
    <t>PROCUREMENT OF VEHICLE TIRES, BATTERY AND VARIOUS PARTS</t>
  </si>
  <si>
    <t>CONSTRUCTION OF ADDITIONAL MULTI-PURPOSE BLDG (PHASE 1</t>
  </si>
  <si>
    <t>RE-BIDDING FOR ONE (1) LOT OPERATION AND PREVENTIVE MAINTENANCE OF OXYGEN GENERATING PLANT  WITH PROVISION FOR SUPPLY &amp; DELIVERY OF CONSUMABLES (MAINTENANCE PARTS)</t>
  </si>
  <si>
    <t>Drugs - Ceftriaxone Inj. 1GM + 10ml Diluent (as sodium/sodium) (3rd Posting)</t>
  </si>
  <si>
    <t>Procurement of Smart LED TV (for Almendras ES, Langan ES, Tudaya ES, Coronon ES)</t>
  </si>
  <si>
    <t>Supply and Delivery of Various Food Supplies for the Month of September 2020</t>
  </si>
  <si>
    <t>RFQ 123-06-2020 FOR CHILDREN WITH CEREBRAL PALSY</t>
  </si>
  <si>
    <t>Supply &amp; Delivery of Meals and Snacks to be used for Launching of Balik Probinsya, Bagong Pag -asa Program on July 8, 2020</t>
  </si>
  <si>
    <t>PURCHASE AND INSTALLATION OF SPLIT TYPE AIRCONDITIONER</t>
  </si>
  <si>
    <t>Catering Services Re: Celebration of San Julian Founding Anniversary</t>
  </si>
  <si>
    <t>Supply &amp; delivery of materials for the Cementing of Pathway at Brgy. Gonzales, Tanauan City, Batangas</t>
  </si>
  <si>
    <t>REPAIR AND MAINTENANCE OF VEHICLE, LABOR AND MATERIALS FOR STAREX VAN (101708)</t>
  </si>
  <si>
    <t>Procurement of Plastic Monobloc Chairs (for Jose Rizal ES, Coronon ES, Almendras ES)</t>
  </si>
  <si>
    <t xml:space="preserve">Supply and Delivery of Lot 1- Airvent Type Greenhouse with Anteroom and Supply, Delivery and Installation of Pre-Fabricated Rain Shelter, Lot 2- Split Type Aircon, Lot 3-Steel Upright 4 Doors Chiller </t>
  </si>
  <si>
    <t>20JC0083 - Concreting of Brgy. Lopoc to Brgy. Dansalan FMR, Brgy. Lopoc and Brgy. Dansalan, Labason, Zamboanga del Norte</t>
  </si>
  <si>
    <t>PROCUREMENT OF HEAVY DUTY CORRUGATED BOX WITH PMS PRINT</t>
  </si>
  <si>
    <t>RFQ-GS-20200622-05 - 1 Lot Supply, Delivery and Installation of Office Furniture at LANDBANK Las Pinas Branch</t>
  </si>
  <si>
    <t>Services (Delivery truck) for the distribution of Free Range Chicken of Back to Basic Activity on July 8, 2020</t>
  </si>
  <si>
    <t>Procurement of 1 Lot Const. Materials (for Construction of Perimeter Fence at Astorga ES)</t>
  </si>
  <si>
    <t>purchase of items/supplies for use of 11 public elementary school</t>
  </si>
  <si>
    <t>Purchase of Various Office Supplies and Materials for Sangguniang Bayan and Vice Mayor’s Office</t>
  </si>
  <si>
    <t>SUPPLY AND DELIVERY OF TONER CARTRIDGE (40 CARTS), HP285A (HP85A) BLACK</t>
  </si>
  <si>
    <t>purchase of projector for conference office at Mayor's Office</t>
  </si>
  <si>
    <t>Procurement of Mini - Converters</t>
  </si>
  <si>
    <t>Med, Dental &amp; Lab Supplies  (5020308000-07-20-01)</t>
  </si>
  <si>
    <t>Supply and delivery of various materials to be used for Enhance Aquaculture Project Implementation and distribution regionwide</t>
  </si>
  <si>
    <t>RE-BIDDING FOR SUPPLY &amp; DELIVERY OF ENGINEERING SUPPLIES – PAINTING</t>
  </si>
  <si>
    <t>Supply and Delivery of Garbage Compactor Truck</t>
  </si>
  <si>
    <t>FUEL CONSUMPTION OF AREA XII FOR JULY, AUGUST AND SEPTEMBER 2020</t>
  </si>
  <si>
    <t>SUPPLY, DELIVERY &amp; INSTALLATION OF 20 UNITS CABINET- OPEN STEEL SHELVES FOR SSS ZAMBOANGA BRANCH</t>
  </si>
  <si>
    <t>REPAIR OF BATCH-TYPE MECHANICAL DRYERS (5 UNITS) IN SIGMA AND DUMALAG, CAPIZ</t>
  </si>
  <si>
    <t>RFQ for DTLP, 1/3 Tubular Plate, Fowler Regular Plate and 4.5 Cannulated Screw</t>
  </si>
  <si>
    <t>ISOPROPYL ALCOHOL PR 0222</t>
  </si>
  <si>
    <t>Regular Maintenance Services for Air-conditioning Units (ACUs) for one (1) year</t>
  </si>
  <si>
    <t>Renovation of 2-Storey 4-Rooms President’s Cottage</t>
  </si>
  <si>
    <t>RFQ for Polo Shirt &amp; Office Curtains</t>
  </si>
  <si>
    <t>LARYNGOSCOPE BLADES FOR ER</t>
  </si>
  <si>
    <t>Repair/Maintenance of CHED Building, Main Building Anahaw Village, Legazpi City, Albay</t>
  </si>
  <si>
    <t>Repair/Maintenance of Water System of Barangays of Jovellar, Albay</t>
  </si>
  <si>
    <t>Supply and Delivery of Handheld Radios</t>
  </si>
  <si>
    <t>PROCUREMENT AND DELIVERY OF PRINTING SERVICES FOR PROMOTION OF NON-COMMISSIONED OFFICER 1ST SEM OF BFP R4A FOR FY 2020</t>
  </si>
  <si>
    <t>RFQ-GS-20200623-04 - Subscription and Installation of IP VSAT C-Band Link at Two (2) LANDBANK Offices</t>
  </si>
  <si>
    <t>Repair/Maintenance of DepEd Building, RO-V Regional Education Learning Center (RELC) Building</t>
  </si>
  <si>
    <t>Procurement of Diesel (Use for Government Vehicle)</t>
  </si>
  <si>
    <t>4PS : FOR 3rd TO 4rt QUARTER OFFICE EQUIPMENT SUPPIES OF LILOY (POO STAFF AND MOO STAFF) OF CLUSTER 1C &amp; 1D OF LILOY ZDN</t>
  </si>
  <si>
    <t>IMPROVEMENT OF RADC CEMETERY - Matacon, Polangui, Albay</t>
  </si>
  <si>
    <t>Supply and Delivery of Materials for the Construction of Residual Containment Area (RCA) for Cluster-1</t>
  </si>
  <si>
    <t>PROCUREMENT AND DELIVERY OF OFFICE SUPPLIES FOR PROMOTION OF NON COMMISSIONED OFFICER 1ST SEM FY 2020 OF BFP R4A FOR FY 2020</t>
  </si>
  <si>
    <t>20NE0093 - Repair/Maintenance of DPWH Building Motorpool Dinagat Islands District Engineering Office San Jose, Dinagat Islands</t>
  </si>
  <si>
    <t>Concreting of Roads: Centro West(Roads and Canals)</t>
  </si>
  <si>
    <t>Supply &amp; delivery of materials for the Improvement of Brgy. Hall at Barangay Boot, Tanauan City, Batangas</t>
  </si>
  <si>
    <t>RE-BIDDING FOR SUPPLY &amp; DELIVERY OF NUTRITION &amp; DIETETIC SUPPLIES - GROCERIES</t>
  </si>
  <si>
    <t>SUPPLY AND INSTALLATION OF 2.0 HP SUBMERSIBLE PUMP, SUCTION PIPE AND WIRINGS, BRGY. TIPOLO, DUENAS, ILOILO</t>
  </si>
  <si>
    <t>RFQ / PR 20-06-0319 / PROCUREMENT FOR SECURITY APPLIANCES FOR 8888 SYSTEMS</t>
  </si>
  <si>
    <t>RFQ for DHLP</t>
  </si>
  <si>
    <t>Paper Bond 11 x 17, 70gsm, Subs 20</t>
  </si>
  <si>
    <t>RFQ for Turtle Engine, etc</t>
  </si>
  <si>
    <t>BARANGAY ROAD CONCRETING, Sitio Pantalan, Talisay, Santa Fe, Cebu - Barangay</t>
  </si>
  <si>
    <t>Purchase of construction materials for the Improvement of Multi Purpose Farmers/Hall</t>
  </si>
  <si>
    <t>89IB-2020-02-0010 Vehicle Parts and Accessories</t>
  </si>
  <si>
    <t>RFQ-GS-20200625-02 - 1 Lot Supply and Delivery of Every Day Carry (EDC) Basic First Aid &amp; Emergency Sling/Kit Bag with Emergency Supplies</t>
  </si>
  <si>
    <t>Purchase of Medical Equipment for Barangay Magsaysay, Jovellar, Albay</t>
  </si>
  <si>
    <t>Procurement of Gasoline and Diesel</t>
  </si>
  <si>
    <t>2LSSM2020A-284 Office Supplies</t>
  </si>
  <si>
    <t>One (1) Lot Supply of Labor and Materials for the Construction of PCMC's New Building (Phase 2)</t>
  </si>
  <si>
    <t>Construction/ Repair/ Rehabilitation/ Improvement of Various Infrastructure Including Local Projects - Rehabilitation of Multi-Purpose Building (Senior Citizens' Center), Baguio City</t>
  </si>
  <si>
    <t>RFQ for Pocket Wifi</t>
  </si>
  <si>
    <t>Propose Conversion of CHD Office into Covid-19 Testing Laboratory</t>
  </si>
  <si>
    <t>PROCUREMENT OF VARIOUS SUPPLIES FOR DARPO SP</t>
  </si>
  <si>
    <t>Supply and Delivery of Materials for the Construction of Residual Containment Area (RCA) for Cluster-3</t>
  </si>
  <si>
    <t>Support for Third Quarter MOOE</t>
  </si>
  <si>
    <t>Procurement of Hygiene Supplies for COVID - 19 for the prevention of MBHTE Units/Offices</t>
  </si>
  <si>
    <t>Purchase of Medical Equipment for Barangay Plaza, Jovellar, Albay</t>
  </si>
  <si>
    <t>PROCUREMENT AND DELIVERY OF CATERING SERVICES FOR PROMOTION OF NON COMMISIONED OFFICER 1ST SEM FY 2020 OF BFP R4A FOR FY 2020</t>
  </si>
  <si>
    <t>Supply and Delivery of Materials for the Construction of Residual Containment Area (RCA) for Cluster-2</t>
  </si>
  <si>
    <t>REPAIR OF BATCH-TYPE MECHANICAL DRYERS (5 UNITS) IN JARO AND DUMANGAS, ILOILO</t>
  </si>
  <si>
    <t>RFQ 122-06-2020 REHABILITATION OF BAYWALK</t>
  </si>
  <si>
    <t>Supply and Delivery of Office Furniture and Fixtures</t>
  </si>
  <si>
    <t>Supplies and Materials for Ramp Railings Construction of New Admin Building and Tourism</t>
  </si>
  <si>
    <t>HbsAg II Reagent, 100 tests, Qual II</t>
  </si>
  <si>
    <t>20J00211 - Concreting of Brgy. Tongehat FMR, Brgy. Tongehat, Sibuto, Tawi-Tawi</t>
  </si>
  <si>
    <t>2LSSM2020A-285 Other Supplies and Materials</t>
  </si>
  <si>
    <t>CCTV CAMERA</t>
  </si>
  <si>
    <t>BARANGAY ROAD CONCRETING, Marigomen St., Talisay, Santa Fe, Cebu - Barangay</t>
  </si>
  <si>
    <t>Improvement of Road, Brgy. Talongon, Bais City, Negros Oriental(S-17-2020)</t>
  </si>
  <si>
    <t>BARANGAY ROAD REPAIR FROM SITIO NATAS-AN TO BARRIO PROPER, HILANTAGAAN, SANTA FE, CEBU - BARANGAY</t>
  </si>
  <si>
    <t>Supply and Delivery of Spare parts &amp; Labor services for repair/maintenance of Vehicle with plate no. SGG 938, This Municipality</t>
  </si>
  <si>
    <t>Procurement of Rescue Equipment for DRRM Operations</t>
  </si>
  <si>
    <t>2LSSM2020A-283 Office Supplies</t>
  </si>
  <si>
    <t>Purchase of Medical Equipment for Barangay Aurora, Jovellar, Albay</t>
  </si>
  <si>
    <t>Rehabilitation of Seven (7) Purok Reading Center, Brgy. Okoy, Santa Fe, Cebu - Barangay</t>
  </si>
  <si>
    <t>RFQ-GS-20200626-02 - 1 Lot Printing and Delivery of 40,000 Sets Welcome Letters and Envelopes for OFBank Visa Debit &amp; Paywave Debit Cards</t>
  </si>
  <si>
    <t>2LSSM2020A-286 Other Supplies and Materials</t>
  </si>
  <si>
    <t>2LSSM2020A-287 Other Supplies and Materials</t>
  </si>
  <si>
    <t>Activity Sheets for Summer Intervention Project for Tabaqueño Learners</t>
  </si>
  <si>
    <t>Purchase of Medical Equipment for Barangay Calzada, Jovellar, Albay</t>
  </si>
  <si>
    <t>PROCUREMENT OF FERTILIZER FOR CACAO PRODUCTION INTENSIFICATION PROJECT</t>
  </si>
  <si>
    <t>Construction of Barangay Nursery, Brgy. Okoy, Santa Fe, Cebu - Barangay</t>
  </si>
  <si>
    <t>PR NO. 142-20 MEALS AND SNACKS FOR QUALITY ASSURANCE ON MAPEH EVALUATION</t>
  </si>
  <si>
    <t>Construction/ Repair/ Rehabilitation/ Improvement of Various Infrastructure Including Local Projects - Rehabilitation of Multi-Purpose Building (Day Care Center for Health, Nutrition and Sanitation Of</t>
  </si>
  <si>
    <t>Construction/ Repair/ Rehabilitation/ Improvement of Various Infrastructure Including Local Projects - Rehabilitation of Road at Barangay Irisan and Pinsao Proper, Baguio City</t>
  </si>
  <si>
    <t>FRONT LOAD COMBO WASHER-DRYER FOR HOSTEL</t>
  </si>
  <si>
    <t>ITB-GS-20200311-01 - One (1) Lot Supply, Delivery and Installation of Office Furniture at LANBBANK Buendia Branch</t>
  </si>
  <si>
    <t>Purchase of Military, Police and Security Equipment for the use of Laboratory Activities of BS Criminology Program of the Zamboanga Del Sur Provincial Government College, Aurora, ZDS</t>
  </si>
  <si>
    <t>purchase of I.T equipment for Office use</t>
  </si>
  <si>
    <t>PROCUREMENT FOR MEDICAL EQUIPMENT PR NO. 0569 S.2020</t>
  </si>
  <si>
    <t>MEALS CONDUCT OF PROGRAM IMPLEMENTATION REVIEW ( PIR)FOR THE FRIST SEMESTER OF 2020 									 ON JULY 6,7,9,10,13, 2020  the Request for Quotation must be email at thebpibac@yahoo.com</t>
  </si>
  <si>
    <t>Subdivision Survey of  Lot  1,714.29 Square mete</t>
  </si>
  <si>
    <t>20CF0139 Construction of 2STY4CL, Cabiao Central School, Cabiao, Nueva Ecija</t>
  </si>
  <si>
    <t>Purchase of Rice for Inmates Consumption of BJMP</t>
  </si>
  <si>
    <t>Procurement of Office Supplies and Devices</t>
  </si>
  <si>
    <t>PR 20-06-0669</t>
  </si>
  <si>
    <t>Construction of Pathways Sitio Bandera</t>
  </si>
  <si>
    <t>Purchase of various materials for the repair/repainting of bleacher &amp; canopy shed at  football field</t>
  </si>
  <si>
    <t>15 pcs BP Apparatus &amp; etc. for Bais District Hospital		 (S-214-2020)</t>
  </si>
  <si>
    <t>2LSSM2020A-288 Other Supplies and Materials</t>
  </si>
  <si>
    <t>Procurement of CIGNAL Load</t>
  </si>
  <si>
    <t>Re-connection of water system from entrance gate to the school buildings SY 2020-2021</t>
  </si>
  <si>
    <t>Labor for the Rehabilitation of FMR (Lilit to Sadsalan)</t>
  </si>
  <si>
    <t>2LSSM2020A-292 Food Supplies</t>
  </si>
  <si>
    <t>Medical supplies (surgical mask, cloth face mask etc)-HRMD</t>
  </si>
  <si>
    <t>2LSSM2020A-291 Other Supplies and Materials</t>
  </si>
  <si>
    <t>Purchase of Various Dental Supplies for the RHU Use</t>
  </si>
  <si>
    <t>PURCHASE OF SCHOOL AND OFFICE SUPPLIES</t>
  </si>
  <si>
    <t>Procurement of Electrical Supplies and Materials for the installation of the Proposed Electric Transformer of PENRO Quirino.</t>
  </si>
  <si>
    <t>Construction of Materials for the Recovery Facility @ Barangay Darasa, Tanauan City, Batangas</t>
  </si>
  <si>
    <t>urchase of Diesel Fuel and Special Gasoline for the End Local Communist Armed Conflict (ELCAC) Program of the Provincial Government of Zamboanga del Sur</t>
  </si>
  <si>
    <t>ROAD CONCRETING, Purok Kalmbuan, Poblacion, Santa Fe, Cebu - Municipal</t>
  </si>
  <si>
    <t>20BC0179 re-adv. - Construction of 1 Storey 3 Classroom with CR, Piat Central School, Piat, Cagayan</t>
  </si>
  <si>
    <t>Purchase of Medical Equipment for Barangay Cabraran, Jovellar, Albay</t>
  </si>
  <si>
    <t>PORK (BONELESS, LESS FAT)</t>
  </si>
  <si>
    <t>Office Supplies-Accounting Office</t>
  </si>
  <si>
    <t>PROCUREMENT OF OFFICE EQUIPMENT FOR INTEGRITY MONITORING AND ENFORCEMENT GROUP (IMEG)</t>
  </si>
  <si>
    <t>Purchase of Supplies for Transient Homes at Livestock Auction Market</t>
  </si>
  <si>
    <t>( PR NO. 20-05-01A-0002 SUPPLY AND DELIVERY OF 50 kgs 1/4" Rubber Gasket, 22 pcs 100mmØ(4"Ø) Rubber Gasket O-Ring, 50 pcs 150mmØ(6"Ø) Rubber Gasket O-Ring, 10 pcs 200mmØ(8"Ø) Rubber Gasket O-Ring, 6 p</t>
  </si>
  <si>
    <t>Delivery of 10,000 liters of Diesel</t>
  </si>
  <si>
    <t>G-2020-391 Repair &amp; Maintenance of Cistern/Pump Room &amp; Control Panel of Fire Hydrant, City Engineering and Infrastructure Development Department</t>
  </si>
  <si>
    <t>Purchase of IT Equipment for Office use of Office of the City Mayor</t>
  </si>
  <si>
    <t>Purchase of one (1) Unit Multi-Cab for Solid Waste Collection, Poblacion, Santa Fe, Cebu - Municipal</t>
  </si>
  <si>
    <t>Supply and Delivery of Rental of Heavy Equipment and Construction Materials (Rehab. FMR)</t>
  </si>
  <si>
    <t>CONSTRUCTION OF TOURISM CENTER AT BARANGAY POBLACION 1, BALABAC, PALAWAN</t>
  </si>
  <si>
    <t>2LSSM2020A-289 Other Supplies and Materials</t>
  </si>
  <si>
    <t>RE-BIDDING FOR SUPPLY &amp; DELIVERY OF LABORATORY SUPPLIES - HEMATOLOGY REAGENTS – II</t>
  </si>
  <si>
    <t>2LSSM2020A-290 Other Supplies and Materials</t>
  </si>
  <si>
    <t>Supply and Delivery of Laboratory Equipment</t>
  </si>
  <si>
    <t>Construction/ Installation of 9 Units of Solar Double Arms LED Street Lights  (100 Led)</t>
  </si>
  <si>
    <t>Construction of the Perimeter Fence Extension of the Science High School</t>
  </si>
  <si>
    <t>2LSSM2020A-294 Food Supplies</t>
  </si>
  <si>
    <t>2LSSM2020B-295 Office Supplies</t>
  </si>
  <si>
    <t>2LSSM2020A-293 Food Supplies</t>
  </si>
  <si>
    <t>G-2020-392 Supply and Delivery of Cleaning Materials, Rainboots &amp; Raincoats, City Environment and Natural Resources Department</t>
  </si>
  <si>
    <t>Purchase of various materials for construction of two classroom at Agusipan Elementary School</t>
  </si>
  <si>
    <t>Procurement of Other Supplies and Materials</t>
  </si>
  <si>
    <t>2LSSM2020B-297 Food Supplies</t>
  </si>
  <si>
    <t>Homelife supplies 2nd Qtr. 2020-Adult Diaper &amp; Underpads-HE</t>
  </si>
  <si>
    <t>Procurement of Shredder for Biodegrable Materials with Chipper Machine</t>
  </si>
  <si>
    <t>G-2020-393 Supply and Delivery of Rice, Office of the City Mayor</t>
  </si>
  <si>
    <t>2LSSM2020B-296 Other Supplies and Materials</t>
  </si>
  <si>
    <t>I-2020-012 Construction of 4-Sty 20 Cl. School Building, Lecheria NHS (Right Side), Barangay Lecheria</t>
  </si>
  <si>
    <t>PR No. 1000033226 dated 23 June 2020</t>
  </si>
  <si>
    <t>Invitation to Bid for the Procurement of Assorted Technical and Scientific Equipment-REFERENCE # 2020-06-05</t>
  </si>
  <si>
    <t>Procurement of Flu Vaccine Quadrivalent &amp; Prefilled Syringe</t>
  </si>
  <si>
    <t>Procurement of 234,000 pieces Bangus Fingerlings, 3-4 inches</t>
  </si>
  <si>
    <t>I-2020-017 Concreting of Road, Kapayapaan Road, Barangay Canlubang</t>
  </si>
  <si>
    <t>I-2020-016 Construction of Senior Citizen Building, Villa Palao, Barangay Banlic</t>
  </si>
  <si>
    <t>Purchase of Office Supplies and Other Materials</t>
  </si>
  <si>
    <t>Termite Treatment and Rehabilitation of Principal's Office</t>
  </si>
  <si>
    <t>Supply and Delivery of Construction Materials for Multi-Purpose Hall</t>
  </si>
  <si>
    <t>Supply and delivery of aircon</t>
  </si>
  <si>
    <t>CONSTRUCTION OF CITY TOURISM OFFICE</t>
  </si>
  <si>
    <t>Installation of Hand Washing Area FY 2020</t>
  </si>
  <si>
    <t>CID No. 20LE0066 CONSTRUCTION OF MODIFIED STANDARD DPWH – DEPED TWO (2) STOREY, FOUR (4) CLASSROOM SCHOOL BUILDING AT CUMASI ELEMENTARY SCHOOL, SANTA MARIA, DAVAO OCCIDENTAL</t>
  </si>
  <si>
    <t>Supply and delivery of materials for the construction of Luparan PWS</t>
  </si>
  <si>
    <t>Rehabilitation/Improvement of Level II Waterworks Systems</t>
  </si>
  <si>
    <t>PRINTING OF LEARNING PACKETS OR MODULES FOR INSTRUCTION</t>
  </si>
  <si>
    <t>Invitation to Bid for the Procurement of Assorted Laboratory Supplies-REFERENCE # 2020-06-06</t>
  </si>
  <si>
    <t>Rental of One (1) unit Service Vehicle for Pag-IBIG Fund San Pablo City Branch</t>
  </si>
  <si>
    <t>MG-PHP20-018 - CLIPBOARD #120 &amp; 9 OTHER ITEMS</t>
  </si>
  <si>
    <t>PREVENTIVE MAINTENANCE AND CALIBRATION SERVICES OF ONE (1) UNIT NIC MERCURY ANALYZER MA-3000 (S/N:13740229) WITH SUPPLY AND DELIVERY OF SPAREPARTS UNDER EMB-ERLSD-ELSS–ECMU</t>
  </si>
  <si>
    <t>SUPPLY &amp; DELIVERY OF MEALS &amp; SNACKS FOR THE USE OF QMS DOCUMENTATION TEAM ON THE PRINTING &amp; PACKAGING OF QMS MANUAL</t>
  </si>
  <si>
    <t>PROPOSED CONCRETING OF PATHWAYS/CATWALK AT SITIO PALANAS, SITIO SUBOK,  SITIO CENTRO</t>
  </si>
  <si>
    <t>NOTICE OF INVITATION TO BID FOR THE PROCUREMENT OF 2020 CAPITAL OUTLAY PROJECTS FOR NFA REGION VII (REPAIR OF FLOORING OF GID WAREHOUSE  IN NFA TAGBILARAN, BOHOL)</t>
  </si>
  <si>
    <t>PB2020-07-006 GAA Procurement of Service Provider for Shuttle Services for CHED Employees for Three (3) Months</t>
  </si>
  <si>
    <t>REFURBISHMENT OF INSTRUCTIONAL LIVE MEDIA PRODUCTION (NEGOTIATED)</t>
  </si>
  <si>
    <t>SUPPLY &amp; DELIVERY OF MEALS &amp; SNACKS FOR THE USE OF QMS MEMBERS &amp; SECTOR REPRESENTATIVES DURING CONSOLIDATION &amp; FINALIZATION OF SECTORAL OUTPUT</t>
  </si>
  <si>
    <t>MG-PLM20-101 - FABRICATION AND INSTALLATION OF THE CONCRETE PERMANENT MONUMENT AT THE BOUNDARY OF PULANGI IV HEP PERIPHERY</t>
  </si>
  <si>
    <t>Pipe Laying at Calumpang Cerca, Indang, Cavite</t>
  </si>
  <si>
    <t>MG-PAT20-032 - PIN, TAPERED 10 X 70 WITH INTERNAL THREAD</t>
  </si>
  <si>
    <t>SUPPLY &amp; DELIVERY OF MEALS &amp; SNACKS FOR THE USE OF QMS DOCUMENTATION TEAM</t>
  </si>
  <si>
    <t>SUPPLY &amp; DELIVERY OF MEALS &amp; SNACKS FOR THE USE FOR THE FINAL REVIEW &amp; IMPROVEMENT OF THE QMS MANUAL</t>
  </si>
  <si>
    <t>Purchase of Fuel for Concreting of M. Aquino Street</t>
  </si>
  <si>
    <t>Purchase of Fuel for Concreting of A. Bonifacio Street</t>
  </si>
  <si>
    <t>SUPPLY &amp; DELIVERY OF MEALS FOR THE CONDUCT OF LEGAL ISO MEETING</t>
  </si>
  <si>
    <t>SUPPLY &amp; DELIVERY OF MEALS &amp; SNACKS FOR THE CONDUCT OF LEGAL ISO MEETINGS</t>
  </si>
  <si>
    <t>CID No. 20LE0068 CONSTRUCTION OF MODIFIED STANDARD DPWH – DEPED ONE (1) STOREY, TWO (2) CLASSROOM SCHOOL BUILDING AT JOSE ABAD SANTOS NHS (MANGILI EXTENSION), JOSE ABAD SANTOS (TRINIDAD), DAVAO OCCIDE</t>
  </si>
  <si>
    <t>PROCUREMENT  OF ONE  (1) UNIT  BRAND NEW NON- REFRIGERATED CLOSE MEAT DELIVERY VAN   (2ND CALL)</t>
  </si>
  <si>
    <t>LEASE OF ROOM ACCOMMODATION FOR THE USE OF REGIONAL ISO TEAM FOR THE FINAL REVIEW &amp; IMPROVEMENT OF THE QMS MANUAL</t>
  </si>
  <si>
    <t>PROCUREMENT OF OFFICE SUPPLIES FOR THE USE FOR WORKSHOPS &amp; EXERCISE ON QMS DOCUMENTATION &amp; OTHER RELATED ACTIVITIES</t>
  </si>
  <si>
    <t>Public Bidding for the Supply and Delivery of Visitor Chair and Computer Table for Human Resource Management Office (HRMO) under ITB No. 2020-018</t>
  </si>
  <si>
    <t>Public Bidding of 3 Lots for the Supply and Delivery of Office Supplies, Computer Inks &amp; Cartridges and Janitorial Supplies for the use of Various Offices in the Roxas City Government (2nd Qtr) under</t>
  </si>
  <si>
    <t>Purchase of Fuel for Municipal Ambulance</t>
  </si>
  <si>
    <t>MG-PHP20-024 - INSULATING VARNISH, RED</t>
  </si>
  <si>
    <t>SUPPLY &amp; DELIVERY OF MEALS &amp; SNACKS FOR THE CONDUCT OF PULONG-PULONG / CONSULTATION ON GOL AREA AT  BRGY MIASONG, TUPI</t>
  </si>
  <si>
    <t>Public Bidding for the Procurement of Security Service for various facilities of the Roxas City Government under ITB No. 2020-016</t>
  </si>
  <si>
    <t>MG-PLM20-136 - GENERAL SERVICES OF 13 FIRE EXTINGUISHERS AND OTHER ACTIVITIES</t>
  </si>
  <si>
    <t>Procurement of Junior Executive Table</t>
  </si>
  <si>
    <t>PROCUREMENT OF VARIOUS CONSTRUCTION MATERIALS FOR THE REPAIR &amp; IMPROVEMENT OF EXISTING GENERAL KITCHEN AT MAXIMUM SECURITY COMPOUND</t>
  </si>
  <si>
    <t>SUPPLY &amp; DELIVERY OF MEALS &amp; SNACKS FOR THE CONDUCT OF PULONG-PULONG / CONSULTATION ON GOL AREA AT  BRGY SAN JOSE, KORONADAL CITY</t>
  </si>
  <si>
    <t>20CSDB01 Conduct of Feasibility Study/Pre-Feasibility Study/Preliminary and Detailed Engineering Activities</t>
  </si>
  <si>
    <t>MG-PLM20-118 - REMOVAL OF ACCUMULATED SEDIMENTS OF CANAL AT DAM AREA WITH A TOTAL DISTANCE OF 180 METERS AND COMPLETE CLEARING, CUTTING AND UPROOTING OF SHRUBS AROUND EMERGENCY SPILLWAY AREA WITH AN E</t>
  </si>
  <si>
    <t>MG-PLM20-135 - GRAVELLING OF POWER CHANNEL ACCESS ROAD RIGHT SIDE PORTION FACING UPSTREAM WITH A TOTAL VOLUME OF 310 CU. M.</t>
  </si>
  <si>
    <t>Procurement of Various Furniture and Fixture of RDO28-Novaliches QC</t>
  </si>
  <si>
    <t>JOBE ORDER: TARPAULIN PRINTING</t>
  </si>
  <si>
    <t>MG-PAT20-037 - ENVELOPE, EXPANDED, LONG WITH TIE, COLORED GARTERIZED &amp; 16 OTHER ITEMS</t>
  </si>
  <si>
    <t>HO-PAW20-008 - DEVELOPER PART #DV 116 (FOR MINOLTA BIZHUB 215) &amp; 7 OTHER ITEMS</t>
  </si>
  <si>
    <t>Public Bidding of 2 Lots for the Supply and Delivery of Detachable Tablet Laptops, Shredder and Printer for City Administrator’s Office and City Mayor’s Office under ITB No. 2020-017</t>
  </si>
  <si>
    <t>SUPPLY &amp; DELIVERY OF MEALS &amp; SNACKS FOR THE CONDUCT OF PULONG-PULONG / CONSULTATION ON GOL AREA AT  BRGY. POLONULING, SURALLAH</t>
  </si>
  <si>
    <t>Learners Packet (Learning Modules) for SHS Students of SFMNHS for SY 2020-2021</t>
  </si>
  <si>
    <t>Design and Build for the Preparation of Detailed Engineering Design and Construction of the Proposed Central Materials Recovery Facility of Marawi City at Brgy. Malimono, Marawi City</t>
  </si>
  <si>
    <t>WATER SYSTEM</t>
  </si>
  <si>
    <t>PCCAHS BOTANICAL GARDEN</t>
  </si>
  <si>
    <t>CID No. 20LE0125 REPAIR / MAINTENANCE OF DILG BUILDING PNP BUILDING 1, POBLACION, STA. MARIA, DAVAO OCCIDENTAL</t>
  </si>
  <si>
    <t>THERMAL PAPER</t>
  </si>
  <si>
    <t>Supply and Delivery of Alcohol and Disposable Facemask for SBO</t>
  </si>
  <si>
    <t>SUPPLY AND DELIVERY OF ONE (1) SET  PRINTING PRESS SET-UP</t>
  </si>
  <si>
    <t>“Procurement of Various Materials for the Improvement of Multi-Purpose Building”</t>
  </si>
  <si>
    <t>Procurement of 1 lot supply  of labor and materials for the repair/improvement of SAMPALOC Post Office. Mega Manila</t>
  </si>
  <si>
    <t>SUPPLY AND DELIVERY OF SEVEN (7) UNITS DIGITAL PRINTING/DUPLICATING  MACHINE FOR VARIOUS COLLEGES (FOR  INSTRUCTIONAL DELIVERY VIA FLEXIBLE  LEARNING MODALITIES)</t>
  </si>
  <si>
    <t>PR No. 1000033132 dated 15 June 2020</t>
  </si>
  <si>
    <t>ICT Equipment</t>
  </si>
  <si>
    <t>Procurement of 1 lot supply of labor &amp; materials for the repair/improvement of STA. MESA Post Office, Mega Manila</t>
  </si>
  <si>
    <t>Supply and Delivery of One (1) unit Printer Coding Machine, as per BSP Technical Specifications and Terms and Conditions</t>
  </si>
  <si>
    <t>Procurement of Supplies and Materials for COVID 19 Preparedness and Response</t>
  </si>
  <si>
    <t>CONSTRUCTION OF MULTI-PURPOSE FACILITIES</t>
  </si>
  <si>
    <t>SUPPLY AND DELIVERY OF LABORATORY CONSUMABLES UNDER EMB-ERLSD-ENVIRONMENTAL LABORATORY SERVICES SECTION (ELSS) INORGANICS LABORATORY UNIT</t>
  </si>
  <si>
    <t>Procurement of Alcohol for COVID 19 Preparedness and Response</t>
  </si>
  <si>
    <t>Proposed Various Drainage Maintenance (De-clogging and Clearing) Located at Barangay Plaza Aldea,Tabing-Ilog,Mag-Ampon,Kat-Bayani,Kay-buto and Tandang-Kutyo, Tanay,Rizal</t>
  </si>
  <si>
    <t>Procurement of 1 lot supply of labor and materials for the repair/improvement of SAN ANDRES Post Office, Mega Manila</t>
  </si>
  <si>
    <t>PROCUREMENT OF ALCOHOL</t>
  </si>
  <si>
    <t>Supply and Delivery of One(1) unit Turbo Assembly</t>
  </si>
  <si>
    <t>CID No. 20LE0124 REPAIR / MAINTENANCE OF DA BUILDING DA OFFICE BUILDING, POBLACION, STA. MARIA, DAVAO OCCIDENTAL</t>
  </si>
  <si>
    <t>Construction of Pathways Sitio Palawan</t>
  </si>
  <si>
    <t>CONCRETING OF BARANGAY ROAD</t>
  </si>
  <si>
    <t>Cost of school supplies to be distributed by the Local Council for the Protection of Children for the upcoming Grade 1 students in selected public elementary schools For year 2020</t>
  </si>
  <si>
    <t>AMP SVP-D NO: 20-07-0299B: Benchtop Vortex Mixer and Accessories</t>
  </si>
  <si>
    <t>Procurement of 1 unit 6-wheeler Dumptruck</t>
  </si>
  <si>
    <t>“Procurement of Various Materials for the Construction of One (1) Unit Palay Shed”</t>
  </si>
  <si>
    <t>Rehabilitation/ Improvement of Muti-purpose center</t>
  </si>
  <si>
    <t>Supply and Delivery of Petroleum for FY 2020</t>
  </si>
  <si>
    <t>REQUEST FOR QUOTATION (RFQ)  PROCUREMENT FOR INKS (ORD) RFQ No.052 -2020</t>
  </si>
  <si>
    <t>Request for Quotation for Module / Learning Packet</t>
  </si>
  <si>
    <t>SUPPLY AND DELIVERY OF IT EQUIPMENT &amp; SUPPLIES FOR FACULTY AND STUDENTS OF VARIOUS COLLEGES (FOR INSTRUCTIONAL DELIVERY VIA FLEXIBLE LEARNING MODALITIES)</t>
  </si>
  <si>
    <t>REQUEST FOR QUOTATION (RFQ)  PROCUREMENT FOR INKS (FAD) RFQ No.051 -2020</t>
  </si>
  <si>
    <t>INSTALLATION OF STREETLIGHTS</t>
  </si>
  <si>
    <t>Supply and Delivery of Customized Movable Waste Collection Facility with Plastic Bins/Containers</t>
  </si>
  <si>
    <t>SUPPLY AND DELIVERY OF 5 UNITS CORN HUSKER-SHELLER TO MINIMIZE POST-HARVEST LOSSES AND INCREASE POST HARVEST EFFICIENCY UNDER CORN PROGRAM FOR CY 2020</t>
  </si>
  <si>
    <t>Procurement of 1 lot supply of labor and materials for the repair/improvement of Tondo Post Office, Mega Manila</t>
  </si>
  <si>
    <t>REQUEST FOR QUOTATION (RFQ)  PROCUREMENT FOR INKS (CPD) RFQ No.053 -2020</t>
  </si>
  <si>
    <t>procurement of 45 pieces Pushcarts (including plastic tray)</t>
  </si>
  <si>
    <t>Printing Services: Brown Environment Report</t>
  </si>
  <si>
    <t>Supply and Delivery of Spare parts for Various Vehicles</t>
  </si>
  <si>
    <t>OFFICE SUPPLIES-PRINTER TONER</t>
  </si>
  <si>
    <t>REPAIR AND MAINTENANCE-BDRRMC VEHICLE</t>
  </si>
  <si>
    <t>Purchase of 77 units customized E-Trike units for the Legacy Projects of the City of Imus of Imus</t>
  </si>
  <si>
    <t>SUPPLY AND DELIVERY OF LABORATORY CHEMICALS UNDER EMB-ERLSD-ENVIRONMENTAL LABORATORY SERVICES SECTION (ELSS) ORGANICS LABORATORY UNIT</t>
  </si>
  <si>
    <t>Meals &amp; Snacks for the Online Capability Building on Math Investigation and Math Modelling</t>
  </si>
  <si>
    <t>Supply and Delivery of Various ICT Equipment for 2020 MITHI Program (DOST IX-20-003B)</t>
  </si>
  <si>
    <t>20M0103</t>
  </si>
  <si>
    <t>Purchase of Health &amp; Sanitation Materials/Supplies &amp; Equipment</t>
  </si>
  <si>
    <t>Procurement of One (1) unit Multi-Purpose Vehicle</t>
  </si>
  <si>
    <t>Supply &amp; Delivery of Fixtures/Appliances for Distribution to Barangay Halls of Brgy. Nancalobasaan, Palina West, P.T. Orata, Bactad East, Camanang &amp; Tulong, Urdaneta City</t>
  </si>
  <si>
    <t>Fabrication/Construction of 50 footer Patrol Boat including engine and accessories</t>
  </si>
  <si>
    <t>REQUEST FOR QUOTATION (RFQ)  PROCUREMENT FOR 5 FILTER MASS CAL. VERIFICATION KIT RFQ No.056 -2020</t>
  </si>
  <si>
    <t>Procurement of Hardware Materials for the Proposed Artificial Insemination Center</t>
  </si>
  <si>
    <t>REQUEST FOR QUOTATION (RFQ)  PROCUREMENT FOR XENON LAMP TYPE B,150 w for DOAS RFQ No.047 -2020</t>
  </si>
  <si>
    <t>Purchase of Vegetable Seeds for Crop Production Enhancement Program</t>
  </si>
  <si>
    <t>CONSTRUCTION OF WATER SUPPLY SYSTEM</t>
  </si>
  <si>
    <t>Truck Rental for Delivery of Relief Goods</t>
  </si>
  <si>
    <t>Procurement of 1 lot supply  of labor and materials for the repair/improvement of PANDACAN Post Office. Mega Manila</t>
  </si>
  <si>
    <t>Procurement of hardware materials for the Construction of Temporary Motorpool</t>
  </si>
  <si>
    <t>PROCUREMENT OF SESSION TABLE, CHAIRS AND SOFA BED</t>
  </si>
  <si>
    <t>AMP SVP-S 20-07-0094B: Supply, Delivery and Installation of Furniture and Fixture for Renovation of Room 2A and 3A (PAEP OFFICE) of Fonacier Hall</t>
  </si>
  <si>
    <t>REQUEST FOR QUOTATION (RFQ)  PROCUREMENT FOR DISPOSABLE FILTER UNIT FOR MALABON ANALYZER RFQ No.055 -2020</t>
  </si>
  <si>
    <t>PROCUREMENT OF DRUGS AND MEDICINES FOR USE AT KALINGA PROVINCIAL HOSPITAL, 20-05-804</t>
  </si>
  <si>
    <t>SVP-20-0500, Supply and Delivery of Tire for the use of  Sangguniang Panlalawigan (SP)</t>
  </si>
  <si>
    <t>REQUEST FOR QUOTATION (RFQ)  PROCUREMENT FOR PRINTER, MICRO SD,POWER BANK RFQ No.054 -2020</t>
  </si>
  <si>
    <t>SVP-20-0498, Supply and Delivery of Plastic crates for the use of  Provincial general Service Office (PGSO)</t>
  </si>
  <si>
    <t>Purchase of meals and snacks to be serve during the training on IFED</t>
  </si>
  <si>
    <t>VARIOUS OFFICE SUPPLIES</t>
  </si>
  <si>
    <t>SVP-20-0502, Supply and Delivery of Heavy Equipment Parts for the use of Provincial Engieer's office (PEO)</t>
  </si>
  <si>
    <t>Procurement of Personal Protective Equipment and Supplies for Covid19 Protection for the month of July and onwards for the use of BFP Region 9 CY 2020</t>
  </si>
  <si>
    <t>REQUEST FOR QUOTATION (RFQ)  PROCUREMENT FOR PUMP REBUILT KIT RFQ No.060 -2020</t>
  </si>
  <si>
    <t>SVP-20-0495, Supply and Delivery of Tarpaulin for the use of various activities of Provincial Agriculturist Office (OPAg)</t>
  </si>
  <si>
    <t>Procurement of Pick-up Vehicles</t>
  </si>
  <si>
    <t>Improvement of Roadway</t>
  </si>
  <si>
    <t>Procurement of Office Supplies 3rd Quarter 2020 for the use of BFP Regional Office 9</t>
  </si>
  <si>
    <t>SVP-20-0488, Supply  and Delivery of Meals and Snacks for the use of  Cotabato Provincial Hospital (CPH)</t>
  </si>
  <si>
    <t>HIRE OF VAN</t>
  </si>
  <si>
    <t>Procurement of Fuel Products for the 3rd Quarter CY 2020 for the use of BFP Regional Office 9</t>
  </si>
  <si>
    <t>Rehabilitation &amp; Improvement of Level II Water System</t>
  </si>
  <si>
    <t>Procurement of Equipment for Slaughterhouse Operation</t>
  </si>
  <si>
    <t>Supply &amp; Delivery of One (1) Unit Laptop Computer &amp; Six (6) Units Uninterruptible Power Supply for use at Business Permit &amp; Licensing Office, Urdaneta City</t>
  </si>
  <si>
    <t>Construction of Diversion Dam, LMC (Sta. 0+000 – 1+200), RMC (Sta. 0+000 – 0+770), Lat. A (Sta. 0+000 – 0+240) &amp; Appurtenant Structures, and Access Roads of Dulay CIS</t>
  </si>
  <si>
    <t>improvement of day care center</t>
  </si>
  <si>
    <t>construction of footbridge</t>
  </si>
  <si>
    <t>IMPROVEMENT OF MULTI-PURPOSE BUILDING</t>
  </si>
  <si>
    <t>SUPPLY &amp; DELIVERY OF MEALS &amp; SNACKS FOR THE CONDUCT OF ARBDSP ASSESSMENT FOR ARBOLD PROJECT IMPLEMENTATION</t>
  </si>
  <si>
    <t>SUPPLY AND DELIVERY OF NUTRITIONAL SUPPLEMENTS</t>
  </si>
  <si>
    <t>OFFICE SUPPLIES- NCMF LETTERHEAD</t>
  </si>
  <si>
    <t>Cost of Various Medical Equipment, Supplies and Consumables to be used in Ospital ng Imus Dialysis Center</t>
  </si>
  <si>
    <t>SVP-20-0493, Procurement of Labor Services for the repair  and installation of Shimadzu Radspeed MF of Dr. Amado Diaz Provincial Foundation Hospital (DADPFH)</t>
  </si>
  <si>
    <t>106CO-33IB, 6ID, PA-2020-469</t>
  </si>
  <si>
    <t>Various Production Equipment and Accessories</t>
  </si>
  <si>
    <t>SVP-20-0503, Supply and Delivery of Photocopier  for the use of Provincial Engieer's office (PEO)</t>
  </si>
  <si>
    <t>Supply and Delivery of Office Equipment</t>
  </si>
  <si>
    <t>20CSDB02 Conduct of Feasibility Study/Pre-Feasibility Study/Preliminary and Detailed Engineering Activities</t>
  </si>
  <si>
    <t>20CSA008: Consultancy Services for the Conduct of Feasibility Study of Proposed Construction of By-Passes/Diversion Roads, Bani-Bolinao Bypass Road (Region I)</t>
  </si>
  <si>
    <t>SVP-20-0499, Supply and Delivery of Flower Wreath/Bouquet for the use of  Provincial Governor's Office (PGO)</t>
  </si>
  <si>
    <t>106CO-40IB, 6ID, PA-2020-475</t>
  </si>
  <si>
    <t>Procurement of 1 lot Labor and materials for the repair/improvement of ERMITA Post Office, Mega Manila</t>
  </si>
  <si>
    <t>Procurement of Consulting Services of a Media Planning and Placement Agency for the Philippine Tourism Branding for Opportunity and Emerging Markets</t>
  </si>
  <si>
    <t>MG-PLM20-137 - POWER TOOL KIT COMPLETE POWER/ELECTRICAL KIT</t>
  </si>
  <si>
    <t>Supply and Delivery of various laboratory equipments</t>
  </si>
  <si>
    <t>Upgrading of Local Access Road in Poblacion (Concreting of Atilano St. to Paragas St. to Lopez Jaena St.) - Construction of line canal with concrete cover</t>
  </si>
  <si>
    <t>Supply of Labor and Equipment for the Cutting of Sixteen (16) Benguet Pine Trees and One Cypress Tree posing imminent danger within PEZA-BCEZ premises</t>
  </si>
  <si>
    <t>106CO-33IB, 6ID,PA-2020-468</t>
  </si>
  <si>
    <t>Starter kit for School on the air on rice based farming</t>
  </si>
  <si>
    <t>106CO-40IB, 6ID, PA-2020-474</t>
  </si>
  <si>
    <t>Request for Quotation of Garbage Can</t>
  </si>
  <si>
    <t>Purchase and Delivery of Construction Materials for the Construction of Water System in Camambugan Elementary School, Brgy. Camambugan, Dingle, Iloilo</t>
  </si>
  <si>
    <t>106CO-33IB, 6ID, PA-2020-467</t>
  </si>
  <si>
    <t>Procurement of one unit desktop</t>
  </si>
  <si>
    <t>Supply and Delivery of Medical Equipment</t>
  </si>
  <si>
    <t>Procurement of Tourism Destination Marketing Company for Vietnam</t>
  </si>
  <si>
    <t>First quarter Procurement 2020</t>
  </si>
  <si>
    <t>PROCUREMENT OF MEDICAL SUPPLIES</t>
  </si>
  <si>
    <t>3159-20 Procurement of Drugs and Medicines</t>
  </si>
  <si>
    <t>3189-20 Procurement of Office Supplies</t>
  </si>
  <si>
    <t>3187-20 Procurement of Laboratory and Xray Supplies</t>
  </si>
  <si>
    <t>Procurement of Fluids</t>
  </si>
  <si>
    <t>Procurement of Supplies</t>
  </si>
  <si>
    <t>Supply &amp; Delivery of Desktop Computers &amp; Laptop Computer for use at AVR and Mayor's Office, Urdaneta City</t>
  </si>
  <si>
    <t>PROCUREMENT OF ALL-IN-ONE DESKTOP COMPUTER WITH PRINTER</t>
  </si>
  <si>
    <t>20CSA007 (Rebid): GEOTECHNICAL AND GEOLOGICAL SURVEY (SOIL BORING EXPLORATION) OF VARIOUS BUILDINGS IN LA UNION</t>
  </si>
  <si>
    <t>20CSB004: Consulting Services for the Geotechnical Investigation for Proposed Flood Control Projects, Provinces of Isabela and Nueva Vizcaya</t>
  </si>
  <si>
    <t>School and Office supplies Jan-Mar 2020</t>
  </si>
  <si>
    <t>Procurement of air coolers</t>
  </si>
  <si>
    <t>2020 Learning Session Corporate Notepad</t>
  </si>
  <si>
    <t>Masking tape</t>
  </si>
  <si>
    <t>20CSB005: Consulting Services for the Geotechnical Investigation for Proposed Flood Control Projects, Provinces of Cagayan</t>
  </si>
  <si>
    <t>3198-20 Procurement of Office Supplies</t>
  </si>
  <si>
    <t>Fluorescent Lamp</t>
  </si>
  <si>
    <t>Masking tape 48mm</t>
  </si>
  <si>
    <t>Glue</t>
  </si>
  <si>
    <t>Paper multipurpose 70gsm legal</t>
  </si>
  <si>
    <t>Paper multipurpose A4</t>
  </si>
  <si>
    <t>Paper,multicopy 80gsm legal</t>
  </si>
  <si>
    <t>Light Bulb</t>
  </si>
  <si>
    <t>Cartolina</t>
  </si>
  <si>
    <t>PROCUREMENT OF GOODS- Vitamin C plus</t>
  </si>
  <si>
    <t>Alcohol</t>
  </si>
  <si>
    <t>Supply &amp; Delivery of Hardware and Construction Supplies (GOODS2020-09)</t>
  </si>
  <si>
    <t>20CSB003: Consulting Services for the Feasibility Study of Proposed Baybayog Bypass Road at Alcala in the Province of Cagayan</t>
  </si>
  <si>
    <t>Face maSk</t>
  </si>
  <si>
    <t>3185-20 Procurement of Office Supplies</t>
  </si>
  <si>
    <t>Acetate</t>
  </si>
  <si>
    <t>Thermal scanner/Gun</t>
  </si>
  <si>
    <t>Water container</t>
  </si>
  <si>
    <t>Cleaner,toilet bowl</t>
  </si>
  <si>
    <t>Megaphone</t>
  </si>
  <si>
    <t>Scale tape</t>
  </si>
  <si>
    <t>Epson ink T664</t>
  </si>
  <si>
    <t>Calculator</t>
  </si>
  <si>
    <t>Tape dispenser</t>
  </si>
  <si>
    <t>Paper,multicopy 80gsm A4</t>
  </si>
  <si>
    <t>Hand soap liquid</t>
  </si>
  <si>
    <t>Flash drive</t>
  </si>
  <si>
    <t>Hard drive</t>
  </si>
  <si>
    <t>Rewritable CD</t>
  </si>
  <si>
    <t>Dust pan</t>
  </si>
  <si>
    <t>Disinfectant Spray</t>
  </si>
  <si>
    <t>Detergent powder</t>
  </si>
  <si>
    <t>Folder FancyA4</t>
  </si>
  <si>
    <t>Broom soft</t>
  </si>
  <si>
    <t>Improvement of Multi-Purpose Facility ( Perimeter Fence)</t>
  </si>
  <si>
    <t>Improvement of Multi-Purpose Hall (Extension Building)</t>
  </si>
  <si>
    <t>Procurement of Materials for the Repair of Fire Truck</t>
  </si>
  <si>
    <t>Epson ink 003</t>
  </si>
  <si>
    <t>3242-20 Procurement of Office Supplies</t>
  </si>
  <si>
    <t>SUPPLIES AND DELIVERY OF REPAIR AND MAINTENANCE AND OFFICE SUPPLIES, SEMI-EXPENDABLE ICT EQUIPMENT</t>
  </si>
  <si>
    <t>Procurement of 1 unit Vehicle</t>
  </si>
  <si>
    <t>Floorwax</t>
  </si>
  <si>
    <t>MOOE, BDF &amp; RRMF 2020 - Office Supplies, Refill of Fire Ext., CCTV Camera, supplies, devices &amp; gen. mdse.</t>
  </si>
  <si>
    <t>Broom,stick</t>
  </si>
  <si>
    <t>Footbath</t>
  </si>
  <si>
    <t>Reproduction of IEC Materials</t>
  </si>
  <si>
    <t>Procurement of Swimming Pool Equipment and supplies to be used at Jose V. Yap Sports and Recreational Complex</t>
  </si>
  <si>
    <t>Supply and Delivery of Steel Cabinet (PR No. 20-05-0212)</t>
  </si>
  <si>
    <t>Supply and Delivery of various construction materials for the construction of Health Center Extension, Brgy Puelay, Villasis, Pangasinan</t>
  </si>
  <si>
    <t>Repair and maintenance of (1) Unit For Ranger with Plate No. (SHH 451) and (1) unit Mitsubishi L300 FB van with CS no. (NJ9096)</t>
  </si>
  <si>
    <t>Preventive Maintenance Services for Various Hospital Equipment for 2020</t>
  </si>
  <si>
    <t>Materials for the Proposed Multi Purpose Hall</t>
  </si>
  <si>
    <t xml:space="preserve">Procurement of PMS for the repair and maintenance of (1) unit Ford Everest with plate no. (SLF 376) and (5) units Foton Ambulance/Gratour Midi Truck/Mini van with CS no. (GB7605, GC1824,GC1790, GC113 </t>
  </si>
  <si>
    <t>Supply and Delivery of Snacks for the implementation of Kits for Kids 7th Wave</t>
  </si>
  <si>
    <t>Labor and Materials for the Provision of Shelves for Bids and Awards Committee Stock Room at Tarlac Capitol, San Vicente, Tarlac City</t>
  </si>
  <si>
    <t>Supply and Delivery of Toothbrush (PR No. 20-05-0209)</t>
  </si>
  <si>
    <t>Supply and Delivery of   Medical and Laboratory Supplies (PR No. 20-06-0228)</t>
  </si>
  <si>
    <t>Supply and Delivery of T-shirts for Identified Learners of different qualification of Project HOPE and PGT Skills Training ans Assessment Centers</t>
  </si>
  <si>
    <t>AMP SVP-S NO: 20-06-0159D Supply, Delivery and Installation of Furniture for Various PGC Offices</t>
  </si>
  <si>
    <t>Supply and Delivery of Field Supplies (PR No. 20-05-0218)</t>
  </si>
  <si>
    <t>Supply and Delivery of Training Materials and Consumables for the different qualification of Community-Based Training Program, Project Hope and PGT Skills Training and Assessment Center</t>
  </si>
  <si>
    <t>Supply and Delivery of Office Supplies (PR No. 20-06-0232)</t>
  </si>
  <si>
    <t>Procurement of 5 roll Adhesive Tape etc.</t>
  </si>
  <si>
    <t>Detergent bar</t>
  </si>
  <si>
    <t>Supply and Delivery of various construction materials for the construction of Barraca Multi-Purpose Hall Phase IV, Brgy. Barraca, Villasis, Pangasinan</t>
  </si>
  <si>
    <t>Procurement of Various IT Equipment-06-389(O)PEO</t>
  </si>
  <si>
    <t>Rehabilitation of All Gabaldon Building at Hibao-an Elementary School, Mandurriao, Iloilo City (Bid No. 20-107)</t>
  </si>
  <si>
    <t>Procurement of Various Spare Parts-06-385(O)PEO</t>
  </si>
  <si>
    <t>Procurement of Supplies and Clinical Materials for use at the Provincial Veterinary Offices Implementation of the 1-7-10 Protocol during Outbreaks of African Swine Fever (ASF)</t>
  </si>
  <si>
    <t>Construction/Rehabilitation of Existing Drainage System at Brgy. Taft North, Mandurriao, Iloilo City (Bid No. 20-126)</t>
  </si>
  <si>
    <t>Vehicle Parts and Accessories for use of Various Provincial Equipment</t>
  </si>
  <si>
    <t>Procurement of Various Construction Supplies and Materials-06-374(O)PEO</t>
  </si>
  <si>
    <t xml:space="preserve">Construction Materials and Supplies for use in the Construction of Water System at Brgy. Burbuli, Baco, Oriental Mindoro/ Brgy. Poblacion Baco, Oriental Mindoro/ Brgy. Panggalaan, Calapan City/ Brgy. </t>
  </si>
  <si>
    <t>Procurement of Various Construction Supplies and Materials-04-218(O)PEO</t>
  </si>
  <si>
    <t>Construction/Rehabilitation of Existing Drainage System at Brgy. Tabucan, Mandurriao, Iloilo City (Bid No. 20-133)</t>
  </si>
  <si>
    <t>Procurement of Vehicle-06-388(O)PEO</t>
  </si>
  <si>
    <t>Procurement of Various Spare Parts-06-386(O)PEO</t>
  </si>
  <si>
    <t>Procurement of Various Construction Supplies and Materials-06-387(O)PEO</t>
  </si>
  <si>
    <t>Procurement of Various Aggregates Supplies-03-153(O)PEO</t>
  </si>
  <si>
    <t>Procurement of Various Aggregates Supplies-05-291(O)PEO</t>
  </si>
  <si>
    <t>Supply and Delivery of Various Equipments (PR No. 20-04-0164)</t>
  </si>
  <si>
    <t>Construction/Rehabilitation of Existing Drainage System at Brgy. Kahirupan, City Proper, Iloilo City (Bid No. 20-134)</t>
  </si>
  <si>
    <t>Supply of Fuel for the Heavy Equipment Operation Training  and Competency Assesment of PGT Skills Training and Assesment Center</t>
  </si>
  <si>
    <t>Purchase of 28 pcs. wheelchair for use of Persons with Disabilities (PWDs) of the Municipality of Dingras, Ilocos Norte.</t>
  </si>
  <si>
    <t>Procurement of Hospital equipment for official use at Congressman Enrique "Henry"M. Cojuangco Memorial District Hospital</t>
  </si>
  <si>
    <t>Printing of Learner Packets for Grade 7-10</t>
  </si>
  <si>
    <t>ITB No. 20 - 26: Procurement of Medical Surgical Supplies</t>
  </si>
  <si>
    <t>Procurement of Solid State Drive (SSD) for FY 2020</t>
  </si>
  <si>
    <t>Procurement of Printer for FY 2020</t>
  </si>
  <si>
    <t>CONSTRUCTION OF SAN ROQUE RIVER CONTROL</t>
  </si>
  <si>
    <t>Procurement of  Computer equipment for official use of the Provincial Administrator Office</t>
  </si>
  <si>
    <t>Procurement of Various Housekeeping Supplies-06-024(V)PDH</t>
  </si>
  <si>
    <t>Provision of Materials &amp; Labor for Drilling Works of Potable Water Supply (PWS) at Libertad National High School, Barangay Libertad, Surallah</t>
  </si>
  <si>
    <t>GENERAL PEST CONTROL AND TERMITE CONTROL SERVICES FOR SELECTED PUBLIC SCHOOLS (CLUSTER 8 TO CLUSTER 10) IN THE CITY OF DASMARIÑAS, CAVITE</t>
  </si>
  <si>
    <t>REHABILITATION OF MADALAG RIVER CONTROL</t>
  </si>
  <si>
    <t>Printing of Stickers for delivery trucks and vans for use at Treasury  Office</t>
  </si>
  <si>
    <t>Procurement of 13,518 Liters of Fuel (Diesel)</t>
  </si>
  <si>
    <t>Supply and Delivery of C.I Fittings - 2nd Quarter 2020</t>
  </si>
  <si>
    <t>Maintenance Work at the Museo ni Jose Rizal-Calamba in Calamba, Laguna</t>
  </si>
  <si>
    <t>CONSTRUCTION OF CONCRETE PIPES CULVERT</t>
  </si>
  <si>
    <t>IB NO. 06-2020 - TREATMENT, STORAGE AND DISPOSAL OF HAZARDOUS WASTES</t>
  </si>
  <si>
    <t>IMPROVEMENT OF SB BUILDING PHASE II</t>
  </si>
  <si>
    <t>DELIVERY OF ICT EQUIPMENT</t>
  </si>
  <si>
    <t>SUPPLIES/MATERIALS FOR THE MAINTENANCE OF VARIOUS RP VEHICLES (VOLVO DUMP TRUCKS)</t>
  </si>
  <si>
    <t>Supply and Delivery of Brass Fittings - 2nd Quarter 2020</t>
  </si>
  <si>
    <t>6-UNITS FLANGE IMMERSION HEATER FOR EEMO-REBID</t>
  </si>
  <si>
    <t>SUPPLY AND DELIVERY OF SURVEYING INSTRUMENTS &amp; ACCESSORIES</t>
  </si>
  <si>
    <t>SUPPLY AND DELIVERY OF FLOW METERS FOR REPLACEMENT OF MALFUNCTIONING UNITS IN SHALLOW 1, SAN AGUSTIN AND SHALLOW WELL 2  AND 3, SAN PABLO.</t>
  </si>
  <si>
    <t>Supply and Delivery of Polyethylene Tubing - 2nd Quarter 2020</t>
  </si>
  <si>
    <t>CONSTRUCTION OF COVERED CANAL AT JUAN REYES STREET AND JASMIN STREET, BALUYOT SUBDIVISION</t>
  </si>
  <si>
    <t>2869-20 Procurement of Other Supplies and Materials</t>
  </si>
  <si>
    <t>RFQ 2020-06-0099 (DATA FOLDER)</t>
  </si>
  <si>
    <t>Tires for PEO-2020-0130</t>
  </si>
  <si>
    <t>Supply and Delivery of various construction materials for the concreting of Farm to Market Road w/ const. of CHB Lined Canal &amp; Installation of 24” RC Pipes for cross drainage system, Tondo Loop Rd, Br</t>
  </si>
  <si>
    <t>Tires for TJPH-2020-0023</t>
  </si>
  <si>
    <t>2630-20 Procurement of Medical, Dental and Laboratory Supplies</t>
  </si>
  <si>
    <t>2870-20 Procurement of Other Supplies and Materials</t>
  </si>
  <si>
    <t>Repair of One (1) unit Fumehood - Repost</t>
  </si>
  <si>
    <t>Supply and Delivery of Water Meter 1/2" - 2nd Quarter</t>
  </si>
  <si>
    <t>Supply and Delivery of Flow Meter - 2nd Quarter 2020</t>
  </si>
  <si>
    <t>Purchase of Ambulance</t>
  </si>
  <si>
    <t>ITB20-6(goods)</t>
  </si>
  <si>
    <t>20BE0091 - REPAIR/MAINTENANCE OF FUEL STATION BUILDING AT DPWH-ISABELA FIRST DISTRICT ENGINEERING OFFICE, OSMEÑA, CITY OF ILAGAN, ISABELA</t>
  </si>
  <si>
    <t>Supply and Delivery of G.I Fittings - 2nd Quarter 2020</t>
  </si>
  <si>
    <t>Procurement of Construction Supplies &amp; Materials ( Repair/Maintenace of Barangay Road)</t>
  </si>
  <si>
    <t>Procurement of Electrical Supplies-06-391(O)PEO</t>
  </si>
  <si>
    <t>Procurement of Various Spare Parts-06-369(A)PGO</t>
  </si>
  <si>
    <t>Supply and Materials for the Conduct of Recruitment for Officers and EP Pre-Entry Trainees</t>
  </si>
  <si>
    <t>RFQ-2020-06-2015 RDE PHOTOCOPIER WITH PRINTER AND SCANNER</t>
  </si>
  <si>
    <t>Purchase of Commercial Rice</t>
  </si>
  <si>
    <t>PROCUREMENT OF CONST. MATERIALS AND SUPPLIES FOR IMPROV. OF MULTI-PURPOSE HALL SAN JOSE</t>
  </si>
  <si>
    <t>PR 31-20-06-0728, FO THE USE OF PUBLIC SCHOOLS STUDENTS, TEACHERS OF DEPED DIVISION OF SAN CARLOS CITY, NEG. OCC.</t>
  </si>
  <si>
    <t>Procurement of Office Supplies and T-Shirts (for Office use)</t>
  </si>
  <si>
    <t>Procurement of Early Warning Communication Equipment (for MDRRMC)</t>
  </si>
  <si>
    <t>Procurement of Various Spare Parts-06-371(A)PGO</t>
  </si>
  <si>
    <t>Procurement of Various Spare Parts-06-370(A)PGO</t>
  </si>
  <si>
    <t>Exhaust Fan</t>
  </si>
  <si>
    <t>PR 1-20-06-0760, FOR USE IN THE OFFICE OF THE CITY TREASURER, THIS CITY.</t>
  </si>
  <si>
    <t>Procurement of Board and Lodging with Catering Services (for PWDs 42nd NDPR Week Celebration  on July 13-17, 2020)</t>
  </si>
  <si>
    <t>Brand New Pick-Up for Laguna Traffic Management Office (LTMO) Operations Division</t>
  </si>
  <si>
    <t>RFQ: Motorcycle (PR #20-06-568)</t>
  </si>
  <si>
    <t>Construction of IPEd Center in Betwagan, Sadanga, Mountain Province</t>
  </si>
  <si>
    <t>Procurement of DNA Sequencing and PCR Product Purifcation</t>
  </si>
  <si>
    <t>Pick-Up Rescue Vehicle for Emergency Response Operations of Provincial Disaster Risk Reduction Management Office (PDRRMO)</t>
  </si>
  <si>
    <t>Supply and Delivery of Construction Materials for the Repair of District Auditorium</t>
  </si>
  <si>
    <t>PROCUREMENT OF DRUGS AND MEDICINES</t>
  </si>
  <si>
    <t>Supply/Delivery for LAb. Equipt for Criminology</t>
  </si>
  <si>
    <t>Air Conditioning Units for Legislative Building (New Sangguniang Panlalawigan Building)</t>
  </si>
  <si>
    <t>PURCHASE OF BEDDING FOR ISOLATION AREA OF PUI/PUM</t>
  </si>
  <si>
    <t>RFQ-ADMIN. FACILITIES FOR NFA NORTH COTABATO P.O.</t>
  </si>
  <si>
    <t>Procurement of Assorted Books</t>
  </si>
  <si>
    <t>Cross bearing etc. (06-0634) Operation of Public Motorpool</t>
  </si>
  <si>
    <t>Procurement of Supplies and materials of Anislag Elementary School</t>
  </si>
  <si>
    <t>Titling of Municipal Lots (Surveying Services)</t>
  </si>
  <si>
    <t>Catering Services for PHO-2020-0211</t>
  </si>
  <si>
    <t>Maintenance Work at the Museo ni Emilio Aguinaldo in Kawit, Cavite</t>
  </si>
  <si>
    <t>PGO-RICE</t>
  </si>
  <si>
    <t>Construction of Female Toilet and Lavatory at the Barangay Hall</t>
  </si>
  <si>
    <t>Flash Drive</t>
  </si>
  <si>
    <t>ADH-20-0302-B PURCHASE OF MEDICAL SUPPLIES</t>
  </si>
  <si>
    <t>Supply and Delivery of Supplies and Materials to be used at PSAU Library</t>
  </si>
  <si>
    <t>Procurement of Vegetables Seeds /Seedlings, SAN JOSE CITY NUEVA ECIJA</t>
  </si>
  <si>
    <t>Supply and Delivery of Electrical Supplies for 2nd Quarter 2020.</t>
  </si>
  <si>
    <t>Construction of Senior Citizen PWD Office, Cataggaman Viejo, Tuguegarao City</t>
  </si>
  <si>
    <t>Realignment of MOOE</t>
  </si>
  <si>
    <t>CONCRETING OF SUGPANG STREET</t>
  </si>
  <si>
    <t>Concreting of Farm to Market Road at Brgy. Pong-oy</t>
  </si>
  <si>
    <t>Procurement of Motorcycle (Scooter), SAN JOSE CITY NUEVA ECIJA</t>
  </si>
  <si>
    <t>RFQ-ADMIN. FACILITIES FOR NFA SULTAN KUDARAT AND SOUTH COTABATO P.O.</t>
  </si>
  <si>
    <t>RFQ-ADMIN. FACILITIES FOR NFA REGIONAL OFFICE XII</t>
  </si>
  <si>
    <t>PURCHASE OF MEDICINE</t>
  </si>
  <si>
    <t>20-06-0086 - PROCUREMENT OF VARIOUS IT SUPPLIES FOR USE IN THE CONSTRUCTION SECTION - DPWH-SURGAO DEL NORTE 2ND DISTRICT ENGINEERING OFFICE, SURIGAO CITY</t>
  </si>
  <si>
    <t>PROCUREMENT OF FERTILIZER FOR LUBAO FARMERS</t>
  </si>
  <si>
    <t>SUPPLY &amp; DELIVERY OF FEMALE CARABAO</t>
  </si>
  <si>
    <t>ROAD CONCRETING FROM NATIONAL HIGHWAY TO PANGASE PROCESSING CENTER</t>
  </si>
  <si>
    <t>Supply and Delivery of Equipments for SSCT Laboratory for Instructional Use</t>
  </si>
  <si>
    <t>20-06-0088 - PROCUREMENT OF DIESEL FUEL FOR USE IN THE OPERATION OF VARIOUS EQUIPMENT, UTILIZED IN CONNECTION WITH THE MAINTENANCE SECTION OF NATIONAL ROADS AND BRIDGES</t>
  </si>
  <si>
    <t>SUPPLY AND DELIVERY OF BARANGAY RESCUE VEHICLE</t>
  </si>
  <si>
    <t>LAPTOP AND PRINTER</t>
  </si>
  <si>
    <t>SUPPLY &amp; DELIVERY OF FURNITURES AND FIXTURES (OFFICE TABLES &amp; CHAIRS)</t>
  </si>
  <si>
    <t>Supply and Delivery of Other Machinery and Equipment</t>
  </si>
  <si>
    <t>0378 FP-HIV Condom and Lubricant Dispenser</t>
  </si>
  <si>
    <t>Procurement of Laptop Computer, SAN JOSE CITY NUEVA ECIJA</t>
  </si>
  <si>
    <t>RFQ - Cabinet</t>
  </si>
  <si>
    <t>CCTV Camera</t>
  </si>
  <si>
    <t>PBD 20-067A CELL CULTURE CONSUMABLE PLASTICWARES</t>
  </si>
  <si>
    <t>20-05-0084 - PROCUREMENT OF TRANSFER BELT AND DRUM CARTRIDGE ASSEMBLY FOR USE IN THE CONSTRUCTION SECTION/DPWH-SDN 2ND DISTRICT ENGINEERING OFFICE, SURIGAO CITY</t>
  </si>
  <si>
    <t>Procurement of Construction Materials and Supplies, SAN JOSE CITY NUEVA ECIJA</t>
  </si>
  <si>
    <t>Procurement of Executive Chair, SAN JOSE CITY NUEVA ECIJA</t>
  </si>
  <si>
    <t>SUPPLY &amp; DELIVERY OF GARBAGE COMPACTOR &amp; DROP SIDE TRUCK (BRAND NEW)</t>
  </si>
  <si>
    <t>Drilling and Installation of New Deep Well Water System located at MSU Fresh Water Hatchery Maguindanao</t>
  </si>
  <si>
    <t>AMP SVP-D NO: 20-06-0371 Science Books</t>
  </si>
  <si>
    <t>PR 1-20-05-0602, FOR USE OF SANGGUNIANG PANLUNGSOD OFFICE THIS CITY.</t>
  </si>
  <si>
    <t>RFQ - FREIGHT AND DELIVERY SERVICES JULY-DEC 2020 - GSIS BACOLOD BRANCH OFFICE</t>
  </si>
  <si>
    <t>CONCRETING OF MUNICIPAL ST. (MACAPAGAL ST., POB. RIZAL ILAWOD, CALINOG)</t>
  </si>
  <si>
    <t>Supply and Delivery of Construction Material for the Construction of makeshift building at Tabayon National High School</t>
  </si>
  <si>
    <t>RFQ / PR 20-06-0303 / PROCUREMENT OF CUSTOM MADE DINING CHAIRS</t>
  </si>
  <si>
    <t>20-05-0082 - PROCUREMENT OF TIRE FOR USE IN THE CORRECTIVE MAINTENANCE OF MITSUBISHI STRADA ABC-1352 IN CONNECTION WITH THE CONSTRUCTION SECTION</t>
  </si>
  <si>
    <t>SUPPLY &amp; DELIVERY OF DISASTER RESPONSE AND RESCUE EQUIPMENT</t>
  </si>
  <si>
    <t>Procurement of various tires for City government vehicles (City ambulance,Mitsubishi L300 and City bus (ATM 128),SAA 6292,Garbage truck #3),Alaminos City</t>
  </si>
  <si>
    <t>Medical Supplies for VET-2020-0329</t>
  </si>
  <si>
    <t>PROCUREMENT OF 1 UNIT DIGITAL COPIER TO BE USED IN PROVIDING INFORMATION AS A RESPONSE TO THE GROWING CONCERN OVER THE OUTBREAK OF THE PANDEMIC 2019 NOVEL CORONAVIRUS</t>
  </si>
  <si>
    <t>Printing Services for VET-2020-0328</t>
  </si>
  <si>
    <t>Termite and Pest Control Services in the Public Market, Concepcion, Tarlac</t>
  </si>
  <si>
    <t>20CSBF0003: Soil Testing/Exploration for the Construction of Bridges at 1. San Manuel, Isabela 2. Quezon, Isabela 3. Quezon, Isabela 4. Mallig, Isabela</t>
  </si>
  <si>
    <t>BID - Various Hospital Equipment - ONMMC PR No. 24</t>
  </si>
  <si>
    <t>Supply and Delivery of UPS 650VA</t>
  </si>
  <si>
    <t>20CSBF0002: Soil Testing/Exploration for the Construction of School Building, Roxas, Isabela</t>
  </si>
  <si>
    <t>Meals, snacks and accommodation for AMAS-AMAD Year-end assessment (PR 191)</t>
  </si>
  <si>
    <t>Supply and Delivery of Air Conditioning Unit</t>
  </si>
  <si>
    <t>AMP SVP-D NO: 20-03-0295 Supply of work and Parts for the Repair of Midea VRF Units at the NIP Auditorium</t>
  </si>
  <si>
    <t>BID - five (5) units ECG Machine and two (2) units Infant Incubator - ONT PR No. 27</t>
  </si>
  <si>
    <t>Supply and Delivery of CCTV Camera &amp; others including installation</t>
  </si>
  <si>
    <t>Supply and Delivery of Alcohol</t>
  </si>
  <si>
    <t>IMPROVEMENT OF NURSING RESEARCH OFFICE</t>
  </si>
  <si>
    <t>SUPPLY &amp; DELIVERY OF ICT EQUIPMENT FOR VARIOUS OFFICES</t>
  </si>
  <si>
    <t>LOT Procurement of SPAREPARTS for the Use of ISUZU ELF</t>
  </si>
  <si>
    <t>Furniture for GOV-2020-0316</t>
  </si>
  <si>
    <t>PROCUREMENT OF VARIOUS OFFICE SUPPLIES FOR 2020 SECOND QUARTER (ADMIN/DEPT)</t>
  </si>
  <si>
    <t>Supply and Delivery of Furniture &amp; Fixtures</t>
  </si>
  <si>
    <t>SUPPLY &amp; DELIVERY OF IBC TANK FOR WATER SUPPLY IMPROVEMENT</t>
  </si>
  <si>
    <t>Repair and Maintenance of Vehicle</t>
  </si>
  <si>
    <t>Various Supplies of LGU-Boac</t>
  </si>
  <si>
    <t>LOT Procurement of SPAREPARTS for the Use Mitsubishi Estrada of PCSU</t>
  </si>
  <si>
    <t>Supply and Delivery of Desktop Computers</t>
  </si>
  <si>
    <t>Purchase of Anapog Binder (Excluding Hauling Cost) for the Regravelling of Roads @ LGU-Carmen, Bohol</t>
  </si>
  <si>
    <t>PROCUREMENT OF LABORATORY REAGENTS AND SUPPLIES</t>
  </si>
  <si>
    <t>Procurement of Desktop, Laptop and Printer</t>
  </si>
  <si>
    <t>Procurement of Tilapia Fingerlings, Size #17</t>
  </si>
  <si>
    <t>Supply and Delivery of Low Flux Treatment and others</t>
  </si>
  <si>
    <t>Purchase of one unit laptop with printer at SB SEcretariat Office</t>
  </si>
  <si>
    <t>ITB 2020-06-102 Supply and Installation of One (1) unit Digital Radiography Machine for SAH</t>
  </si>
  <si>
    <t>CONCRETING OF FARM TO MARKET ROAD AT BRGY. CABAGIAO</t>
  </si>
  <si>
    <t>Supply and Delivery of Medicines</t>
  </si>
  <si>
    <t>LOT Procurement of SPAREPARTS for Use in Mitsubishi L300 Ambulance of DOPH LUPON</t>
  </si>
  <si>
    <t>Supply and Delivery of One (1) Unit Brand New 4x2 Pick Up (Japanese/European/American Standard)</t>
  </si>
  <si>
    <t>PR# 20-1449- To supply labor, materials and necessary equipment for the Construction of Two (2) Storey Ward Building, Jose Songco Lapid District Hospital, Porac, Pampanga</t>
  </si>
  <si>
    <t>One (1) Lot Janitorial Services</t>
  </si>
  <si>
    <t>LOT Procurement of MATERIALS for Use in the Repair and Maintenance of PEO Building (Phase 1), at Capitol Compound, Brgy. Central, City of Mati, Davao Oriental</t>
  </si>
  <si>
    <t>SUPPLY AND DELIVERY OF OFFICE SUPPLIES AND CONSUMABLES FOR 1ST QUARTER (CY 2020)</t>
  </si>
  <si>
    <t>LOT Procurement of MATERIALS for Use in the Rehabilitation of Multi-Purpose Hall at Brgy. Dahican, City of Mati, Davao Oriental</t>
  </si>
  <si>
    <t>PROCUREMENT OF  VCM FOR ROAD IMPROVEMENT</t>
  </si>
  <si>
    <t>Construction of Two(2)-Storey Four(4)-Classroom School Building at Malibago ES Mulanay, Quezon</t>
  </si>
  <si>
    <t>Majada In IS RFQ for July - Supplies</t>
  </si>
  <si>
    <t>Re-bidding Supply and Delivery of Tablet Pro for IQAO</t>
  </si>
  <si>
    <t>Small Value Procurement - Preventive maintenance of CT scan machine</t>
  </si>
  <si>
    <t>Construction of Two(2)-Storey Four(4)-Classroom School Building at Binagbag ES Agdangan, Quezon</t>
  </si>
  <si>
    <t>rehabilitation of evacuatio center cum brgy quarantine facility (second floor)</t>
  </si>
  <si>
    <t>ITB - Supply, Delivery and Testing of Four-Wheel Tractors</t>
  </si>
  <si>
    <t>ITB 2020-06-99 Supply and Installation of one (1) unit Ultrasound Machine (General Use) for GABMMC</t>
  </si>
  <si>
    <t>Supply and Delivery of Face Mask, Isopropyl Alcohol and Disinfectant Spray</t>
  </si>
  <si>
    <t>FOD-R-20-2813: Procurement of HYBRID RICE SEEDS (*1,357 bags @ 15 kgs/bag of NSIC Rc 132H (Mestiso 6) and NSIC Rc 540H (Mestiso 97) and *769 bags @ 15 kgs/bag of NSIC Rc 548H (Mestiso 101)</t>
  </si>
  <si>
    <t>ITB - Supply, Delivery and Testing of Rice Combine Harvesters</t>
  </si>
  <si>
    <t>PROVISION OF LABOR, MATERIALS, EQUIPMENT RENTALS AND OTHER INCIDENTALS NEEDED FOR THE REHABILITATION AND ENHANCEMENT OF MULTIPURPOSE BUILDING AT DA-PREC, SUAL, PANGASINAN</t>
  </si>
  <si>
    <t>PROVISION OF LABOR, MATERIALS, EQUIPMENT RENTALS AND OTHER INCIDENTALS NEEDED FOR THE REHABILITATION AND ENHANCEMENT OF ADMINISTRATIVE BUILDING AT DA-PREC, SUAL, PANGASINAN</t>
  </si>
  <si>
    <t>RFQ No.: 	2020-06-0539 Purchase of Office Supplies for the use of TARA for CY2020</t>
  </si>
  <si>
    <t>Purchase of Construction Materials for Water system at the Sanitary Landfill, Municipality of San Andres, Quezon</t>
  </si>
  <si>
    <t>Construction of Roofing Multi-Purpose Hall Alley, Barangay Langcuas</t>
  </si>
  <si>
    <t>RFQ HARDWARE AND CONSTRUCTION SUPPLIES	7</t>
  </si>
  <si>
    <t>LOT Procurement of MEDICAL FLUIDS for the Use of DOPH LUPON</t>
  </si>
  <si>
    <t>ROAD CONCRETING ( CONTINUATION ) AT PUROK 5-B, MARIETTA SUBD., BRGY. TIBUNGCO, BUNAWAN DIST., DAVAO CITY</t>
  </si>
  <si>
    <t>LABORATORY SUPPLIES AND EQUIPMENTS</t>
  </si>
  <si>
    <t>Procurement of Live Animals (Large Ruminant) for the conduct of SOA on Large Ruminants</t>
  </si>
  <si>
    <t>RFQ GENERAL MERCHANDISE 6-2</t>
  </si>
  <si>
    <t>020-INFRA-002 / CONSTRUCTION PROJECTS</t>
  </si>
  <si>
    <t>Procurement of Consolidated Agricultural Supplies of RICE Program</t>
  </si>
  <si>
    <t>Barangay Supplies &amp; Equipment</t>
  </si>
  <si>
    <t>RFQ DRUGS AND MEDICINES</t>
  </si>
  <si>
    <t>ITB 2020-06-98 Supply and Installation of one (1) unit CT Scan 128 Slices for GABMMC</t>
  </si>
  <si>
    <t>ITB NO. GOP-20-DSWD-2020-06-04 Procurement of Various Welfare Goods as Raw Materials for Family Food Packs Production of DRMD for CY2020</t>
  </si>
  <si>
    <t>4PS : 30	PCS.	FRAME CERTIFICATE UP TO 1	PCS.	DIGITAL AUDIO RECORDER	 OFFICE EQUIPMENT AND  MATERIALS FOR PANTAWID PILIPINO PROGRAM AND OTHER  DSWD-RELATED PROGRAM AND SERVICES.</t>
  </si>
  <si>
    <t>4PS SWADT LILOY : 1 LOT OFFICE SUPPLIES FOR THE 3rd AND 4th QUARTER OFFICE  SUPPLIES OF LILOY CLUSTER (POO STTAFF AND MOO STAFF) OF CLUSTER 1C &amp; 1D OF LILOY ZDN FOR CY 2020</t>
  </si>
  <si>
    <t>Procurement of medical supplies and equipment</t>
  </si>
  <si>
    <t>SOCTECH : 32	SACKS	RICE  (COMMERCIAL) FORTIFIED IRON---MACARONI PASTA  FOR SUPPLEMENTAL FEEDING OF THE SAMA BADJAU CHILDREN IN BRGY. MAMPANG ZAMBOANGA CITY</t>
  </si>
  <si>
    <t>MUSICAL INSTRUMENTS</t>
  </si>
  <si>
    <t>SOCPEN: 1 LOT OFFICE SUPPLIES FOR THE USE OF SOCIAL PENSION STAFF.</t>
  </si>
  <si>
    <t>PURCHASE OF 5 UNITS FIX SLIDING WINDOWS and 2 UNIT FIX WINDOWS WITH ALUMINUM FRAME  USE IN THE LEGISLATIVE BUILDING DAMAGED BY TYPHOON TISOY</t>
  </si>
  <si>
    <t>Meals and Snacks on Integrative Health Training</t>
  </si>
  <si>
    <t>PROVISION OF LABOR, MATERIALS, EQUIPMENT RENTALS AND OTHER INCIDENTALS NEEDED FOR THE RECONSTRUCTION OF PERIMETER FENCE WITH GATE AT DA-INREC, DINGRAS, ILOCOS NORTE</t>
  </si>
  <si>
    <t>One (1) lot Appraisal by Third Party Service Provider for Landbank Sta. Rosa Branch Proposed Relocation Site</t>
  </si>
  <si>
    <t>4PS: PRINTING SUPPLIES FOR THEE ADVOCACY MATERIALS FOR PANTAWID PILIPINO PROGRAM AND OTHER  DSWD-RELATED PROGRAM AND SERVICES.</t>
  </si>
  <si>
    <t>20FK0057-Construction/Rehabilitation of  Water Supply/Septage and Sewerage/Rain Water Collectors-Rain Water Collectors in Public Facilities First District of Sorsogon</t>
  </si>
  <si>
    <t>PROCUREMENT OF  VCM SUPPLIES FOR SPRING DEVELOPMENT (PHASE 1)</t>
  </si>
  <si>
    <t>Construction Materials for VGAT-2020-0180</t>
  </si>
  <si>
    <t>Supply and Delivery of Laboratory Supplies</t>
  </si>
  <si>
    <t>Supply and Delivery of IT Equipment</t>
  </si>
  <si>
    <t>ROAD CONCRETING AT BLOCK 42, PUROK 3-B, KABAYAN RELOCATION, BRGY. TIBUNGCO,BUNAWAN DIST5., DAVAO CITY</t>
  </si>
  <si>
    <t>Procurement of One (1) Unit 4x4 DOUBLE CAB UTILITY VEHICLE in Support to Pagkain at Kita SAVE Program</t>
  </si>
  <si>
    <t>PROCUREMENT OF SPAREPARTS FOR REPAIR AND MAINTENANCE OF PAYLOADER</t>
  </si>
  <si>
    <t>PURCHASE OF RICE FOR RELIEF GOODS FOR GENERAL COMMUNITY QUARANTINE (6 WAVE)</t>
  </si>
  <si>
    <t>Procurement  of Starter Kits for Chicken Egg Production under Component 3: Livelihood Support for Women in Crisis Situation pursuant to ARBold Move for Deliverance of ARBs from COVID 19 Pandemic as Pr</t>
  </si>
  <si>
    <t>LOT Procurement of OFFICE EQUIPMENT for the Use of Brgy. Buso, City of Mati, Davao Oriental</t>
  </si>
  <si>
    <t>SUPPLY, DELIVERY AND INSTALLATION OF GLASS PARTITIONS FOR THE OFFICE OF THE BRANCH MANAGER</t>
  </si>
  <si>
    <t>PROVISION OF FUEL FOR VEHICLES AND GENSET FOR P240,000.00 JULY-DEC 2020 - BACOLOD OFFICE</t>
  </si>
  <si>
    <t>Supply and Delivery of Janitorial Supplies</t>
  </si>
  <si>
    <t>BATTERIES FOR VARIOUS RP HEAVY EQUIPMENT</t>
  </si>
  <si>
    <t>Supply and Delivery for Cultural Activity</t>
  </si>
  <si>
    <t>improvement of farm to market road</t>
  </si>
  <si>
    <t>Supply and Delivery of Sports Equipment</t>
  </si>
  <si>
    <t>Supply and Delivery oF TLE Equipment</t>
  </si>
  <si>
    <t>Procurement of Catering Services-06-372(A)PGO</t>
  </si>
  <si>
    <t>Concreting of Barangay Road</t>
  </si>
  <si>
    <t>Supply and Delivery of Drugs and Medicines</t>
  </si>
  <si>
    <t>purchase of projector</t>
  </si>
  <si>
    <t>Supply and Delivery of Common Office Supplies</t>
  </si>
  <si>
    <t>Supply and Delivery for Reproduction of Test Materials</t>
  </si>
  <si>
    <t>RFQ GENERAL MERCHANDISE 6-4</t>
  </si>
  <si>
    <t>BID - one (1) unit Ophthalmic Operating Microscope and two (2) units ECG Machine - ONMMC PR No. 37</t>
  </si>
  <si>
    <t>RFQ GENERAL MERCHANDISE 6-3</t>
  </si>
  <si>
    <t>purchase of laptop</t>
  </si>
  <si>
    <t>For BAC office use.</t>
  </si>
  <si>
    <t>RFQ OFFICE SUPPLIES 7-2</t>
  </si>
  <si>
    <t>improvement of water system</t>
  </si>
  <si>
    <t>Supply and Delivery of Instructional Materials</t>
  </si>
  <si>
    <t>For use in operation of KIA SEB-541, STAKE TRUCK SHH-839 DT-12 &amp; DT-08 &amp; DT-11 assigned at City Engineer's Office.</t>
  </si>
  <si>
    <t>SUPPLY AND DELIVERY OF VARIOUS MATERIALS FOR PROPOSED MATERIALS RECOVERY FACILITY</t>
  </si>
  <si>
    <t>NBC-0220-076</t>
  </si>
  <si>
    <t>Procurement of SK Office Supplies</t>
  </si>
  <si>
    <t>NBC-0220-082</t>
  </si>
  <si>
    <t>delivery of portable trolley speaker and filling cabinet at MAyor's Office</t>
  </si>
  <si>
    <t>General Merchandise PF-0620-621</t>
  </si>
  <si>
    <t>NBC-0220-118</t>
  </si>
  <si>
    <t>Food Stuff-PF-0620-619</t>
  </si>
  <si>
    <t>Supply and Delivery for Janitorial Expenses</t>
  </si>
  <si>
    <t>Cluster A. Concreting of Road, Purok Damayan 2, Brgy. Iba.Iyam, B. Concreting of Road, Purok Masagana Brgy. Ibabang Iyam, Lucena City</t>
  </si>
  <si>
    <t>Supply and Delivery of Construction Materials ( Brigada )</t>
  </si>
  <si>
    <t>Supply and Delivery for Repair and Maintenance ( Brigada Eskuwela )</t>
  </si>
  <si>
    <t>ROAD CONCRETING AT BLOCK 39, PUROK 3-B, KABAYAN RELOCATION, BRGY. TIBUNGCO, BUNAWAN DIST., DAVAO CITY</t>
  </si>
  <si>
    <t>AMP SVP-D NO: 20-03-0304A Supply and Installation of Carpet at the Aldaba Hall</t>
  </si>
  <si>
    <t>Procurement of Supplies and Materials for School Improvement</t>
  </si>
  <si>
    <t>Land Development of NHA - Butuan City New Villages 3B, Brgy. Baan Km. 3, Butuan City</t>
  </si>
  <si>
    <t>PROCUREMENT ON SUPPLY AND DELIVERY OF VARIOUS OFFICE SUPPLIES (1st and 2nd Quarter)</t>
  </si>
  <si>
    <t>concreting of farm to market road</t>
  </si>
  <si>
    <t>GROCERY ITEMS</t>
  </si>
  <si>
    <t>20-05-0581 Supplies/materials for the repair of MCS substation Carigara, Leyte sleeping quarters repair and receiving area for administrative works</t>
  </si>
  <si>
    <t>RFQ GENERAL MERCHANDISE 6</t>
  </si>
  <si>
    <t>PROC-200101 - ATM VISA CHIP CARD WELCOME LETTER, CUSTOMIZED PER APPROVED DESIGN/SPECIFICATIONS</t>
  </si>
  <si>
    <t>ITB -Procurement of Meals and Snacks (Rebid)</t>
  </si>
  <si>
    <t>GENERATOR SET RENTAL</t>
  </si>
  <si>
    <t>Procurement of Janitorial and Medical Supplies</t>
  </si>
  <si>
    <t>Supply of Uniterruptible Power Supply_PR 9805</t>
  </si>
  <si>
    <t>Procurement of construction supplies for the month of May</t>
  </si>
  <si>
    <t>UPLB-RQ-6-136-20-RES SUPPLY AND DELIVERY OF CHEMICALS &amp; CHEMICAL PRODUCTS FOR BIOTECH</t>
  </si>
  <si>
    <t>For use in operation of Motorpool Shop assigned at City Engineer's Office.</t>
  </si>
  <si>
    <t>Procurement of office supplies and consumables for the month of April-July</t>
  </si>
  <si>
    <t>Janitorial Supplies and Protective Equipment for use of RRCY for 3rd Quarter CY 2020</t>
  </si>
  <si>
    <t>Purchase of Office furnitures</t>
  </si>
  <si>
    <t>Procurement of mats. for Road Shouldering</t>
  </si>
  <si>
    <t>CONCRETING OF BARANGAY ROAD AT KALABAYLABAY, EL SALVADOR CITY - 2019</t>
  </si>
  <si>
    <t>CONSTRUCTION OF RAMP AT THE FRONTAGE OF SCHOOL CLINIC</t>
  </si>
  <si>
    <t>PROCUREMENT OF ONE (1) LOT OFFICE SUPPLIES &amp; EQUIPMENT</t>
  </si>
  <si>
    <t>Supply/Delivery of Laboratory Equipment for Engineering</t>
  </si>
  <si>
    <t>Supply and Delivery of Fetal Monitor</t>
  </si>
  <si>
    <t>STEEL CABINET</t>
  </si>
  <si>
    <t>Air Conditioners</t>
  </si>
  <si>
    <t>2020-06-330 CANVASS ON LABORATORY REAGENTS &amp; SUPPLIES</t>
  </si>
  <si>
    <t>Bid No. 20-0285 - PROCUREMENT OF JANITORIAL SUPPLIES - MO/DXLM SECTIO</t>
  </si>
  <si>
    <t>Bid No. 20-0284 - PROCUREMENT OF FURNITURE &amp; FIXTURES - MO/RADIO ROOM SECTION</t>
  </si>
  <si>
    <t>Repair of Perimeter Fence of Cemetery at Tomolin</t>
  </si>
  <si>
    <t>CONCRETING OF BARANGAY ROAD AT HINIGDAAN, EL SALVADOR CITY - 2019</t>
  </si>
  <si>
    <t>PR #6927 EMERGENCY LAMPS</t>
  </si>
  <si>
    <t>Supply and Delivery of Weighing Scale</t>
  </si>
  <si>
    <t>Procurement of Hardware &amp; Construction Materials</t>
  </si>
  <si>
    <t>DISINFECTANT SPRAY - MOLEC LAB</t>
  </si>
  <si>
    <t>Procurement of Alcohol 70% for frontliners &amp; Various offices</t>
  </si>
  <si>
    <t>CONSTRUCTION OF BLEACHER, Multi-Purpose Building, Silonay, Calapan City</t>
  </si>
  <si>
    <t>(KMH) 2nd REQUEST FOR QUOTATION (RFQ)  For the Procurement of One (1) unit Pharmacy Biomedical Ref</t>
  </si>
  <si>
    <t>Procurement of 3 sets of genset (3rd Posting)</t>
  </si>
  <si>
    <t>Supply and Delivery of Medical Supplies for PSAU COVID-19 Safety Measures</t>
  </si>
  <si>
    <t>Supply &amp; Delivery  of Food Stuff</t>
  </si>
  <si>
    <t>INFORMATION TECHNOLOGY - TONER CARTRIDGES</t>
  </si>
  <si>
    <t>Procurement of various construction supplies for the construction of bougainvillea plant boxes at Pilgrimage, Ramos and Sandal Island, Alaminos City</t>
  </si>
  <si>
    <t>Office Supplies and Devices - Purchase of Office Supplies - Duero, Bohol</t>
  </si>
  <si>
    <t>AMP SVP-D NO: 20-06-0372 Various Books</t>
  </si>
  <si>
    <t>DSWD Center and Residential Care Facilities Grocery for CY 2020 (Re-Advertisement)</t>
  </si>
  <si>
    <t>Completion of Tago Multi-purpose Hall (Phase II)</t>
  </si>
  <si>
    <t>Supply/Delivery of Laboratory Equipment for Electrical Isulan Campus</t>
  </si>
  <si>
    <t>2020-06-336 CANVASS FOR MEDICAL SUPPLIES</t>
  </si>
  <si>
    <t>Other Supplies &amp; Materials ( INSET )</t>
  </si>
  <si>
    <t>INSTALLATION OF STREETLIGHTS, City Hall Complex, Calapan City</t>
  </si>
  <si>
    <t>LGU-AL-32-2020 CONSTRUCTION OF CONCRETE BRIDGE PHASE-II BRGY. HAMPIPILA ABUYOG, LEYTE</t>
  </si>
  <si>
    <t>Supply and Delivery of Electrical Materials needed for the Power Requirement of the Innovation Center</t>
  </si>
  <si>
    <t>20OI0120:Construction of  Drainage System, Barangay Tunasan, Muntinlupa City</t>
  </si>
  <si>
    <t>Bid No. 20-0286 - PROCUREMENT OF OFFICE SUPPLIES - MPDO/BDP REVISION AND PACKAGING OF BARANGAY DEVELOPMENT PLAN</t>
  </si>
  <si>
    <t>Supply and Delivery of Materials to be used for the Construction of Vehicle Spraying/Misting Area, Foot Bath and Hand Washing Area</t>
  </si>
  <si>
    <t>Printing Services</t>
  </si>
  <si>
    <t>Request for Quotation for the Provision of Live Animals for Extension Support to beneficiaries under the Back to Basics Program</t>
  </si>
  <si>
    <t>delivery of one unit laptop and one unit printer at Accounting Office</t>
  </si>
  <si>
    <t>Procurement of raincoat and rainboots to be used by POSO personnel, Alaminos City</t>
  </si>
  <si>
    <t>Purchase of Laboratory Supplies to replenish stocks in the Municipal Health Office</t>
  </si>
  <si>
    <t>Purchase of Laptop and Printer for Municipal Agriculture Office</t>
  </si>
  <si>
    <t>Bid No. 20-0287 - PROCUREMENT OF OFFICE SUPPLIES - MPDO (MUNICIPAL PLANNING AND DEVELOPMENT OFFICE)</t>
  </si>
  <si>
    <t>Catering Services during a DIVISION TRAINING OF TRAINERS ON LEARNING &amp; DEVELOPMENT (L&amp;D) SYSTEM</t>
  </si>
  <si>
    <t>PURCHASE OF VARIOUS PRINTING FORMS</t>
  </si>
  <si>
    <t>Purchase of Sofa Set and Office Table for the Office of the Mayor</t>
  </si>
  <si>
    <t>CONSTRUCTION OF PERIMETER FENCE IN PNP BUILDING</t>
  </si>
  <si>
    <t>PURCHASE OF OFFICE SUPPLIES FOR 1ST AND 2ND QUARTER 2020</t>
  </si>
  <si>
    <t>Purchase of Chlorine &amp; Powdered Soap for Disinfectant of Tabunok Public Market</t>
  </si>
  <si>
    <t>Semi Expendable Equipment ( INSET )</t>
  </si>
  <si>
    <t>Supply and Delivery of Container Van 40 STD 2nd hand ( 12m x 2.44m x 2. 59m)</t>
  </si>
  <si>
    <t>Delivery of Brand New Vehicle needed City Administrator's Office (ITB 20-076)</t>
  </si>
  <si>
    <t>PR # 6985 RM-MV 362</t>
  </si>
  <si>
    <t>RFQ DRYBATH</t>
  </si>
  <si>
    <t>CONSTRUCTION OF MULTI-PURPOSE BUILDING, Mahal na Pangalan, Calapan City</t>
  </si>
  <si>
    <t>PURCHASE OF ONE (1) UNIT BRAND NEW HYDRAULIC EXCAVATOR</t>
  </si>
  <si>
    <t>PROCUREMENT OF PHOTOCOPIER MACHINE</t>
  </si>
  <si>
    <t>Office Equipment- Purchase of Office Equipment (DepEd School) - Duero, Bohol</t>
  </si>
  <si>
    <t>SUPPLY AND DELIVERY OF CONSTRUCTION MATERIALS FOR THE  REHABILITATION OF CARROMATA WATER SYSTEM,  CARROMATA, SAN MIGUEL, SURIGAO DEL SUR</t>
  </si>
  <si>
    <t>Bid No. 20-0288 - PROCUREMENT OF OFFICE SUPPLIES - MO/SPORTS OPERATIONS</t>
  </si>
  <si>
    <t>Purchase of (1) One unit Laptop with complete accessories</t>
  </si>
  <si>
    <t>20OIO128:Construction/Rehabilitation of Water Supply /Septage and Sewerage/Rainwater Collectors System-Rain Water Collectors in Public Facilities at Las Pinas and Muntinlupa City</t>
  </si>
  <si>
    <t>Purchase of 1 unit Thermal Scanner and 2 boxes of disposable  face mask</t>
  </si>
  <si>
    <t>Supply and Delivery of Cellphone</t>
  </si>
  <si>
    <t>20OI0130:Completion of Drainage System including other improvement, Alabang Elementary School, Barangay Alabang, Muntinlupa City</t>
  </si>
  <si>
    <t>20ME0143 - Repair/Maintenance of Sarangani – Davao del  Sur Coastal Road (Concrete Barrier), K1730+187-K1730+234; Glan, Sarangani Province</t>
  </si>
  <si>
    <t>Office Supplies and Office consumables</t>
  </si>
  <si>
    <t>CONSTRUCTION / REHABILITATION OF CATEGORY 2 SANITARY LANDFILL CELL, Batino, Calapan City</t>
  </si>
  <si>
    <t>Supply/Delivery of Communication Card for Mangrove</t>
  </si>
  <si>
    <t>(PAO) REQUEST FOR QUOTATION (RFQ)  For the Procurement of Filing Cabinet, Office Table, etc. For the Provincial Agricultural Office--61,000.00</t>
  </si>
  <si>
    <t>supply &amp; del. of lap top comp.</t>
  </si>
  <si>
    <t>RFQ VORTEX</t>
  </si>
  <si>
    <t>Supply and Delivery of various CONSTRUCTION MATERIALS AND SUPPLIES for the Proposed Road Repair &amp; Sidewalk Improvement at Various Streets within Marikina City</t>
  </si>
  <si>
    <t>20OI0129: Rehabilitation of Road including Drainage, Brgy. Manuyo 1, Las Pinas City</t>
  </si>
  <si>
    <t>Procurement of Electrical Equipment and Supplies</t>
  </si>
  <si>
    <t>SUPPLY AND DELIVERY OF ASSORTED SERVICE CONNECTION MATERIALS</t>
  </si>
  <si>
    <t>DELIVERY OF HARDWARE SUPPLIES &amp; MATERIALS</t>
  </si>
  <si>
    <t>Purchase of Inks and Toners</t>
  </si>
  <si>
    <t>Procurement of Dual Capability Drone w/ Smart Controller &amp; Fly More Kit for Aerial Survey, Assessment, Search &amp; Locate capability for low-light conditions &amp; remote access areas.</t>
  </si>
  <si>
    <t>Supply and Delivery of Equipments for SSCT Laboratory for Instructional use</t>
  </si>
  <si>
    <t>for the use of anti rabies program</t>
  </si>
  <si>
    <t>Labor and Additional Tubing for the 12 Aircon Units at PSAU Innovation Center</t>
  </si>
  <si>
    <t>Purchase of Five (5) Units Motor Vehicle</t>
  </si>
  <si>
    <t>Procurement of Sieves</t>
  </si>
  <si>
    <t>CATERING SERVICES FOR THE PRESENTATION OF SCHOOL LEARNING CONTINUITY PLAN</t>
  </si>
  <si>
    <t>0379 FP-HIV Condom Mascot</t>
  </si>
  <si>
    <t>SMART TV ( Semi Expendable - ICT )</t>
  </si>
  <si>
    <t>Purchase of Various Medicines</t>
  </si>
  <si>
    <t>REHABILITATION OF BASKETBALL COURT</t>
  </si>
  <si>
    <t>SUPPLY AND DELIVERY OF ONE (1) UNIT RECONDITIONED RESCUE VEHICLE/AMBULANCE WITH RESCUE AND PROTECTIVE EQUIPMENT</t>
  </si>
  <si>
    <t>20OI0131:Construction  of Multi-Purpose Building, Brgy. Putatan, Muntinlupa City</t>
  </si>
  <si>
    <t>Procurement of Emergency and Medical Equipment and Supplies</t>
  </si>
  <si>
    <t>SUPPLY OF PLUMBING SUPPLIES &amp; MATERIALS</t>
  </si>
  <si>
    <t>60IB-2020-02-001 Office Supplies</t>
  </si>
  <si>
    <t>Supply and Delivery of Tarpaulin, Office of the Municipal Mayor, San Jose, Batangas</t>
  </si>
  <si>
    <t>Replacement of 18 units Capacitor Bank</t>
  </si>
  <si>
    <t>Supplies for Module Printing</t>
  </si>
  <si>
    <t>PR # 2020-06-118 - Supply and Delivery of Tires to be used for the Repair/Maintenance of Man Diesel Dumptruck with DPWH No. H3-6480</t>
  </si>
  <si>
    <t>20ME0144 – Cluster 4 - 1. Repair/Maintenance of Pavement (Resealing)  along Sarangani-Sultan Kudarat Coastal Road, K1731+300-K1732+000 (w/ exceptions) 2. Repair/Maintenance of Pavement (Resealing)  al</t>
  </si>
  <si>
    <t>Pest Control Services</t>
  </si>
  <si>
    <t>CONSTRUCTION OF STREETLIGHTS</t>
  </si>
  <si>
    <t>Supply of Nitrile Gloves_PR 10124</t>
  </si>
  <si>
    <t>Provision of Supplies for COVID-19</t>
  </si>
  <si>
    <t>Bid No. 20-0289 - PROCUREMENT OF OFFICE SUPPLIES - MPDO/MDC REPRODUCTION OF AIP, PROJECT PROPOSAL AND PROJECT PROFILE</t>
  </si>
  <si>
    <t>Supplies and Consumables for the Use in Unified ID System, LGU-Cabatuan, Iloilo</t>
  </si>
  <si>
    <t>Concreting of Road, St. Agnes, Purok Masagana, Barangay Ibabang Iyam, Lucena City</t>
  </si>
  <si>
    <t>for the use of the office of the municipal agriculturist/livestock immunization rabies control and animal health management/develop climate resilient livestock production system and technologies liv</t>
  </si>
  <si>
    <t>2020-06-0134 - SUPPLY AND DELIVERY OF VARIOUS OFFICE SUPPLIES FOR THE 2ND QUARTER OF THE YEAR 2020 FOR USE AT QAS OFFICE</t>
  </si>
  <si>
    <t>Supply and Delivery of Agricultural Supplies and Equipment - ITB 043-2020 GQ</t>
  </si>
  <si>
    <t>RFQ PRINTER 3-IN-1, COLORED</t>
  </si>
  <si>
    <t>Medical Health Service at Barangay Silangan I, Rosario, Cavite</t>
  </si>
  <si>
    <t>Bid No. 20-0290 - PROCUREMENT OF OFFICE SUPPLIES - MPDO OPERATIONS (CONDUCT OF FPIC TO ALL PROJECTS WITHIN CADT AREA)</t>
  </si>
  <si>
    <t>Topography Survey of Iloilo Science and Technology University (ISAT U CAMPUS with a total Area of 61, 340 Sq.M.</t>
  </si>
  <si>
    <t>Procurement of Bulldozer and /or Loader , Purchase of Dump Truck</t>
  </si>
  <si>
    <t>Supply and delivery of 1 unit chassis and water tank</t>
  </si>
  <si>
    <t>Handwashing Facility</t>
  </si>
  <si>
    <t>Labor and Materials for the Construction of Drainage Canal (Riprap Lining) Phase IV and Filter at Perpetual Help, Iriga City</t>
  </si>
  <si>
    <t>Supply and Delivery of Construction Materials - ITB 038B-2020 GQ</t>
  </si>
  <si>
    <t>20GL0092 - CONCRETING OF BRGY. MAHALANG FMR, BRGY. MAHALANG, HIMAMAYLAN CITY, NEGROS OCCIDENTAL</t>
  </si>
  <si>
    <t>Water Supply System</t>
  </si>
  <si>
    <t>0380 Service</t>
  </si>
  <si>
    <t>Vehicle Repair and Maintenance</t>
  </si>
  <si>
    <t>SUPPLY OF HARDWARE SUPPLIES &amp; MATERIALS</t>
  </si>
  <si>
    <t>NCR-2007-002: PROCUREMENT OF VARIOUS IT SUPPLIES</t>
  </si>
  <si>
    <t>20ME0145 - Repair/Maintenance of Road Safety Facilities  along Sarangani District Engineering Office, Sarangani Province</t>
  </si>
  <si>
    <t>Construction of Concrete Pathway Purok-1 Barangay Malaya Labo Camarines Norte</t>
  </si>
  <si>
    <t>RENTAL OF TRUCKS (HAULING FROM NFA-SORSOGON TO IROSIN RICE MILLERS)</t>
  </si>
  <si>
    <t>Supply and Delivery of 1 Lot Various Office Equipment (Chairs/cabinet) of PMO ZDN</t>
  </si>
  <si>
    <t>20% EDF CY 2020 Projects</t>
  </si>
  <si>
    <t>PR # 6987 RM-MV SHS-362</t>
  </si>
  <si>
    <t>PR # 2020-06-121 - Supply and Delivery of Materials to be used for the Fabrication of ROW Monument along BCIR (Sugbongcogon-Lagonglong Section)</t>
  </si>
  <si>
    <t>PURCHASE OF 100 SETS LED STREET LIGHTS WITH INSTALLATION 30W STREETLIGHTS ARM 8FT W/ BOLT &amp; NUT STRAP MACHINE BOLT W/ INSULATOR PHOTOCEL EXTREME</t>
  </si>
  <si>
    <t>Supply and Delivery of IT Equipment’s for Engineering Office</t>
  </si>
  <si>
    <t>Office Devices</t>
  </si>
  <si>
    <t>Supply and Delivery of Evacuation Cubicle for the Improvement of Quarantine Isolation Facilities</t>
  </si>
  <si>
    <t>PR # 2020-05-067 - Supply and Delivery of Consumable Supplies to be used for Kyocera Printers at BAC, Supply, Cash Unit, Construction, PDS and Maintenance Section</t>
  </si>
  <si>
    <t>Provision of Uniform</t>
  </si>
  <si>
    <t>PURCHASE  OF MOTOR VEHICLE</t>
  </si>
  <si>
    <t>Supply and delivery of Construction Materials for Drainage and Hand washing Facilities</t>
  </si>
  <si>
    <t>Supply and Delivery of Materials to be used in the Multi- Purpose Hall (Chapel) and Planning &amp; Design Section</t>
  </si>
  <si>
    <t>ECO-BAG FOR LEARNING MATERIALS</t>
  </si>
  <si>
    <t>HEMATOLOGY ANALYZER</t>
  </si>
  <si>
    <t>IT equipment Desk Top</t>
  </si>
  <si>
    <t>Supply and Delivery of Carpentry Supplies to be used for the Repair Work at Pomelo and Bamboo Villas</t>
  </si>
  <si>
    <t>PURCHASE OF PLUMBING SUPPLIES</t>
  </si>
  <si>
    <t>MATLS FOR THE MAINTENANCE OF LIGHTINGS AT PUBLIC PLAZA</t>
  </si>
  <si>
    <t>Purchase of various Medical Supplies</t>
  </si>
  <si>
    <t>Procurement of Window TYpe Airconditioner w/ Installation</t>
  </si>
  <si>
    <t>Supply and Delivery of Meals and Snacks, Office of the Municipal Budget Officer, San Jose, Batangas</t>
  </si>
  <si>
    <t>CONSTRUCTION OF TWO CLASSROOM GABALDON, Sta. Cruz, Calapan City</t>
  </si>
  <si>
    <t>PROC-2000102 - SMART SATELLITE TOP-UP CARD (250 UNITS EACH)</t>
  </si>
  <si>
    <t>FOR OFFICE PURPOSES</t>
  </si>
  <si>
    <t>ROAD REHABILITATION FROM NATIONAL HIGHWAY TO ECOLOGICAL SOLID WASTE MANAGEMENT</t>
  </si>
  <si>
    <t>Students Hygiene Kit</t>
  </si>
  <si>
    <t>Supply and Delivery of Traffic Barriers and Traffic Cone of PMO ZDN</t>
  </si>
  <si>
    <t>Supply &amp; Delivery of Materials for Installation &amp; Upgrade of Street Lights (GOODS2020-10)</t>
  </si>
  <si>
    <t>RFQ MINIFUGE</t>
  </si>
  <si>
    <t>Bid No. 20-0291 - PROCUREMENT OF OFFICE SUPPLIES - MPDO/MPRC OPERATIONS</t>
  </si>
  <si>
    <t>Repair and Change oil of RKV-726 Garbage Compactor</t>
  </si>
  <si>
    <t>Supply and Delivery of Steel Rack, 5-Tier Steel Rack Shelving of PMO ZDN</t>
  </si>
  <si>
    <t>Bid No. 20-0292 - PROCUREMENT OF OFFICE SUPPLIES - MPDO/MPWDC OPERATIONS</t>
  </si>
  <si>
    <t>CONSTRUCTION AND REHABILITATION OF CLIMATE RESILIENT ROADS AND BRIDGES</t>
  </si>
  <si>
    <t>Supply &amp; Delivery of Medical Equipment, Medicine &amp; Medical Supplies @ MHO, Rodriguez, Rizal</t>
  </si>
  <si>
    <t>Purchase of Airconditioning Units of CFOS DEAN ( RFQ 2020-4136)</t>
  </si>
  <si>
    <t>REPAIR AND MAINTENANCE OF MUNICIPAL DUMPTRUCK</t>
  </si>
  <si>
    <t xml:space="preserve">PR# 20-1430- To supply labor, materials and necessary equipment for the Construction of Two (2) Storey – Six(6) Classroom School Building with Comfort Rooms at Sta. Cruz Elementary School, Sta. Cruz, </t>
  </si>
  <si>
    <t>Supply and delivery of thermoplastic materials for the pavement markings along Plaridel By-pass Road, Plaridel Section, Plaridel Bulacan</t>
  </si>
  <si>
    <t>REPRODUCTION OF SUPPLEMENTARY MATERIALS OF BEGINNING READING FOR GRADE 1 LEARNERS</t>
  </si>
  <si>
    <t>IT Parts &amp; Equipment</t>
  </si>
  <si>
    <t>bcnhs summer inset 2020</t>
  </si>
  <si>
    <t>RFQ CENTRIFUGE (96 PLATE PLACER)</t>
  </si>
  <si>
    <t>Materials for Rehabilitation of Health Center</t>
  </si>
  <si>
    <t>0381 Laboratory Air-Conditioning Unit</t>
  </si>
  <si>
    <t>Supply and Delivery of Agricultural Supplies &amp; Equipment - ITB 044-2020 GQ</t>
  </si>
  <si>
    <t>Supply &amp; Delivery of Construction Materials for the Construction of Igang CIS</t>
  </si>
  <si>
    <t>STAINLESS FOOT PEDAL HAND WASH</t>
  </si>
  <si>
    <t>Re-bid, Purchase of Multi-Purpose Vehicle for the use of Ilog Rural Health Unit. Ilog, Negros Occidental</t>
  </si>
  <si>
    <t>Supply &amp; Delivery of Various Equipment and Medicines @ Philpost, GSO, OMM, DAR, MEDO, MHO, Library &amp; SB, Rodriguez, Rizal</t>
  </si>
  <si>
    <t>PR# 20-1432- To supply labor, materials and necessary equipment for the Construction of Two (2) Storey- Four (4) Classroom School Building with Comfort Rooms at San Vicente Elementary School, San Vice</t>
  </si>
  <si>
    <t>Supply &amp; Delivery of Construction Materials for the Construction of Dagami SWIP</t>
  </si>
  <si>
    <t>Purchase of Fuel for the Second Quarter</t>
  </si>
  <si>
    <t>20GL0093 - CONCRETING OF SITIO FERIA, BRGY. ODIONG FMR, BRGY. ODIONG, MOISES PADILLA, NEGROS OCCIDENTAL</t>
  </si>
  <si>
    <t>Supply and Delivery of 135 Sacks of Rice (25kgs)</t>
  </si>
  <si>
    <t>Delivery of Supplies and Materials to Support the Repair and Maintenance of Quartermaster Equipment of NSEO 3rd Qtr 20</t>
  </si>
  <si>
    <t>REQUEST FOR QUOTATION-OFFICE SUPPLIES-prepaid cards</t>
  </si>
  <si>
    <t>Concreting of Acess Road Malaya Integrated School</t>
  </si>
  <si>
    <t>Supply and delivery of various Construction Materials to be used for the markings along Baliuag-Candaba Road &amp; Baliuag-Bustos Road,&amp; Bustos Bulacan</t>
  </si>
  <si>
    <t>Pakyaw Labor for the Contrcustion of CDEK Sch. Library</t>
  </si>
  <si>
    <t>CHECKING, SIGNING AND SEALING OF STRUCTURAL, PLUMBING AND ELECTRICAL WITH ANALYSIS OF SEVENTEEN  (17) UNITS BINMALEY RESETTLEMENT PROJECT</t>
  </si>
  <si>
    <t>Completion of Repair/Improvement of PSAU Food Center Ceiling Works</t>
  </si>
  <si>
    <t>Supply &amp; delivery of various laboratory supplies in Barcenaga, Naujan, Oriental Mindoro</t>
  </si>
  <si>
    <t>Purchase and Deliver of Materials for Personal Protective Gear</t>
  </si>
  <si>
    <t>CONSTRUCTION OF REINFORCED CONCRETE DECK GRIDER BRIDGE, PHASE II</t>
  </si>
  <si>
    <t>PR# 20-1448- To supply labor, materials and necessary equipment for the Construction of Two (2) Storey- Four (4) Classroom School Building with Comfort Rooms at Sucad National High School, Sucad, Apal</t>
  </si>
  <si>
    <t>Procurement of Radiology Supply and Equipment</t>
  </si>
  <si>
    <t>Supply &amp; Delivery of Fittings &amp; Valves for San Juan to Bigajo Norte pipe laying expansion (Distribution line).</t>
  </si>
  <si>
    <t>SUPPLY &amp; DELIVERY OF FUEL  FOR RESCUE OPERATION</t>
  </si>
  <si>
    <t>Electrical System and Components</t>
  </si>
  <si>
    <t>Construction Supplies and Hardware and Delivery</t>
  </si>
  <si>
    <t>PR# 20-1429- To supply labor, materials and necessary equipment for the Construction of Two (2) Storey- Four (4) Classroom School Building with Comfort Rooms at Balantacan Elementary School, Balantaca</t>
  </si>
  <si>
    <t>REPAIR AND MAINTENANCE OF OFFICE BUILDING</t>
  </si>
  <si>
    <t>PR #6986 RM-MV 589</t>
  </si>
  <si>
    <t>Supply and delivery of  (6) pcs Ribbon LQ590 &amp; various toners HP 204A for HP Laserjet Pro MFP M181fw Printer - Koronadal Branch</t>
  </si>
  <si>
    <t>26,400 liters Diesel Fuel</t>
  </si>
  <si>
    <t>Purchase of Quadrivalent flu vaccine for the Ilog employees FLU Vaccination. Ilog, Neg. Occ.</t>
  </si>
  <si>
    <t>Supply and Delivery of T-Shirt, Office of the Municipal Health Officer, San Jose, Batangas</t>
  </si>
  <si>
    <t>Various IT Equipment for Engineering Office</t>
  </si>
  <si>
    <t>Supply and Delivery of 5 Units Laptop</t>
  </si>
  <si>
    <t>Purchase of Office Supplies for Sanggunian Bayan Members at Calasiao, Pangasinan</t>
  </si>
  <si>
    <t>1 unit Corn Planter Implement, etc.</t>
  </si>
  <si>
    <t>Procurement of Vendor to conduct psychological appraisal services</t>
  </si>
  <si>
    <t>4,000 ltrs Diesel Fuel for bulldozer used/CMO-ENRO</t>
  </si>
  <si>
    <t>RAPID TEST KIT</t>
  </si>
  <si>
    <t>Purchase of DRRM Response and Mitigation Supplies for COVID 19</t>
  </si>
  <si>
    <t>MEDICAL EQUIPMENT</t>
  </si>
  <si>
    <t>Provision of Food (meals &amp; snacks) ABC:151,200.00</t>
  </si>
  <si>
    <t>PR# 20-1551- To supply labor, materials and necessary equipment for the Construction/Installation of Elevator at Municipal Building of Lubao, Sta. Catalina, Lubao, Pampanga</t>
  </si>
  <si>
    <t>Bid No. 20-0293 - PROCUREMENT OF OFFICE SUPPLIES - MPDO/MINSAAD PROGRAM</t>
  </si>
  <si>
    <t>Split Type Basic Inverter 2.0Hp</t>
  </si>
  <si>
    <t>Construction and Installation of Street lighting  System</t>
  </si>
  <si>
    <t>20GL0094 - CONCRETING OF BRGY. SANTOL FMR, BRGY. SANTOL, BINALBAGAN,  NEGROS OCCIDENTAL</t>
  </si>
  <si>
    <t>Purchase of hardware and construction supplies</t>
  </si>
  <si>
    <t>Supply and Delivery of BDRRM Supplies</t>
  </si>
  <si>
    <t>Construction Materials (Improvement of Multi-Purpose Bldg)</t>
  </si>
  <si>
    <t>OFFICE SUPPLIES (DIPLOMA)</t>
  </si>
  <si>
    <t>20AC0053 - Construction of Tamurong Seawall, Brgy. Tamurong, Sta. Catalina, Ilocos Sur</t>
  </si>
  <si>
    <t>Anti-Polio Campaign / Sabayang Patak Kontra Polio</t>
  </si>
  <si>
    <t>Supply &amp; Delivery of Construction Materials for the Construction of Coline CIS</t>
  </si>
  <si>
    <t>SUPPLY AND DELIVERY OF MATERIALS FOR THE CONSTRUCTION OF LINE CANAL IN MAPA STREET @ SITIO PANDAYAN, BRGY. PATIMA, INFANTA, PANGASINAN</t>
  </si>
  <si>
    <t>Purchase of Water meter Brand Class B (ISO 4064)and fittings</t>
  </si>
  <si>
    <t>IT Parts and accessories</t>
  </si>
  <si>
    <t>Delivery of Supplies to Support the Local AGI/Pre-AGI Activities of NSEO 2nd Qtr 20</t>
  </si>
  <si>
    <t>Provision of airtime</t>
  </si>
  <si>
    <t>PR#20-06-0305 Coffee &amp; Creamer (SP)</t>
  </si>
  <si>
    <t>ITB-2020-018 - Supply and delivery of Laboratory Equipment</t>
  </si>
  <si>
    <t>MATLS FOR WATER IMPOUNDING FOR GULAYAN PROJECT AT MASALASA, STA BARBARA, BULO, BACULONG &amp; SAN JACINTO</t>
  </si>
  <si>
    <t>PCDP : 50	sacks	COMMERCIAL RICE AND 20	tray	EGG  FOR THE CONSUMPTION OF PCDP CLIENT</t>
  </si>
  <si>
    <t>Supply &amp; Delivery of Construction Materials for the Construction of Cabunga-an Caboloan CIP</t>
  </si>
  <si>
    <t>Supply, Delivery &amp; Installation of Air Conditioning Units for the use of NIA-RO9 Building, NIA-Regional Office, Labangan, Zamboanga del Sur</t>
  </si>
  <si>
    <t>Supply and Delivery of Drugs and Medicines for MHO use</t>
  </si>
  <si>
    <t>Medical Health Service at Barangay Ligtong III, Rosario, Cavite</t>
  </si>
  <si>
    <t>Procurement of Various Office Supplies for CY 2020</t>
  </si>
  <si>
    <t>1 unit JOB ORDER, Labor and Materials Repair of one (1) unit  Mitsubishi with plate no. SJF-313</t>
  </si>
  <si>
    <t>Office improvement</t>
  </si>
  <si>
    <t>Delivery of Supplies and Materials to Support the Upkeep of Various Buildings of NBCO 3rd Qtr 20</t>
  </si>
  <si>
    <t>20FM0052 Construction of  One(1) Storey – Four(4) Classrooms  School Building at Cogon Elementary School, Cogon, Mac-Arthur, Monreal, Masbate</t>
  </si>
  <si>
    <t>Office Equipment, Supplies and Consumables</t>
  </si>
  <si>
    <t>2020-107 VARIOUS FERTILIZERS</t>
  </si>
  <si>
    <t>Purchase of Drugs and Medicines</t>
  </si>
  <si>
    <t>PROCUREMENT OF Exciting Bicol Video Production Services Package for DOT V AVP/TVC</t>
  </si>
  <si>
    <t>Supply &amp; Delivery of Forage Chopper ABC:200,000.00</t>
  </si>
  <si>
    <t>Procurement of DARRO I 2nd quarter Office Supplies, IT Equipments, Furnitures &amp; other consumables not available @ PS DBM</t>
  </si>
  <si>
    <t>Reproduction of ALS Learning Materials</t>
  </si>
  <si>
    <t>2 units Motorcycle 125cc</t>
  </si>
  <si>
    <t>Office Equipment Supplies and Consumables</t>
  </si>
  <si>
    <t>SUPPLY, DELIVERY AND INSTALLATION OF TONERS WITH FREE USE OF MULTIFUNCTION PRINTERS FOR THE USE OF VARIOUS OFFICES IN BFAR CENTRAL OFFICE  FOR ONE (1) YEAR</t>
  </si>
  <si>
    <t>PROCUREMENT OF 1 UNIT JUMPER TYPE MOTOR CYCLE FOR MUNICIPAL DISASTER RISK REDUCTION AND MANAGEMENT OFFICE</t>
  </si>
  <si>
    <t>ITB-2020-019 - Supply and delivery of laboratory machine and supplies</t>
  </si>
  <si>
    <t>Construction of Pathway</t>
  </si>
  <si>
    <t>Land Development of NHA-Butuan City New Villages 4B, Brgy. Taguibo, Butuan City</t>
  </si>
  <si>
    <t>Request for Quotation of TOR Printing at NORSU Siaton Campus</t>
  </si>
  <si>
    <t>Request for Quotation (RDTD-2020-02-0128 Office supplies)</t>
  </si>
  <si>
    <t>lot b.) provision of marketing, advertising and advocacy scheme through tarpaulin with printing "bayanihan sa paaralan, brigada eskwela and oplan balik eskwela 2020"</t>
  </si>
  <si>
    <t>1 unit Job Order: Labor and Materials  Aircondition 3 tonner, Koppel, serial No.GC248197, PN: 16850, etc.</t>
  </si>
  <si>
    <t>20CSFK03-Consulting Services for the Sub-Soil Exploration  for FY-2021 Bridges &amp; Building Projects,  First District of Sorsogon</t>
  </si>
  <si>
    <t>1 unit NETWORK SWITCH-64 PORTS, etc.</t>
  </si>
  <si>
    <t>Provision of Food (meals &amp; snacks) for 3 batches ABC:52,500.00</t>
  </si>
  <si>
    <t>MAINTENANCE AND IMPROVEMENT OF STREET LIGHT</t>
  </si>
  <si>
    <t>Office Equipment, Supplies, and Consumables</t>
  </si>
  <si>
    <t>Provision of Food &amp; Accommodation for 2 days ABC:132,000.00</t>
  </si>
  <si>
    <t>RFQ - Supplies and Materials</t>
  </si>
  <si>
    <t>SUPPLY AND DELIVERY OF GROCERY KIT FOR DAILY WAGE EARNER OF WOMEN-GAD</t>
  </si>
  <si>
    <t>SUPPLY AND DELIVERY OF DIGNITY KIT FOR DAILY WAGE EARNER OF WOMEN-GAD</t>
  </si>
  <si>
    <t>One Job Supply of Materials and  Labor for Construction of a Rainwater Catchment Facility) at Existing Green Restrooms in Brgy. Navalas, Buenavista and Nueva Valencia</t>
  </si>
  <si>
    <t>Purchase of office table and chairs for use of UCT staff</t>
  </si>
  <si>
    <t>Procurement of Construction Materials and Supplies of ARMOR, DIV, PA amounting to Php 200,000.00</t>
  </si>
  <si>
    <t>Supply and Delivery of  LCD Projector - SBO</t>
  </si>
  <si>
    <t>Other Supplies &amp; Materials for Disinfection Against COVID19</t>
  </si>
  <si>
    <t>1 unit resque Vehicle</t>
  </si>
  <si>
    <t>PR# 20-1456- To supply labor, materials and necessary equipment for the Concreting of Barangay Road at Sta. Lucia Anac, Masantol, Pampanga</t>
  </si>
  <si>
    <t>Supply &amp; Delivery of 150 length uPVC Pipe 6" x 6m</t>
  </si>
  <si>
    <t>PR # 6988 RM-MV SJC-190 TOLEDO</t>
  </si>
  <si>
    <t>Printing and Delivery of "Research Journal Volume 7 July 2019"</t>
  </si>
  <si>
    <t>office equipment</t>
  </si>
  <si>
    <t>Purchase of various Medicine</t>
  </si>
  <si>
    <t>1 unit Job-Order: Labor and Materials-Open Type Garbage Truck, Hino (SKZ-523), etc.</t>
  </si>
  <si>
    <t>Procurement Supply and Delivery of Environmental Health Sanitary Materials</t>
  </si>
  <si>
    <t>Printing of LGU Employees Identification Cards</t>
  </si>
  <si>
    <t>GOODS-OE-21-2020</t>
  </si>
  <si>
    <t>Delivery of Supplies and Materials to Support the Dental Dispensary Service 3rd Qtr 20</t>
  </si>
  <si>
    <t>1 unit Job Order: Labor and Materials-Caterpillar, Bulldozer (D7R) Check up and repair under Chassis and Engine, Engine Tune up, Overhauling of Radiator</t>
  </si>
  <si>
    <t>Improvement of Pallua Elementary Gymnasium (Pallua Elementary School, Pallua Sur, Tuguegarao City)</t>
  </si>
  <si>
    <t>Procurement of Garden Tools for the City Environment and Natural Resources Office (CENRO)</t>
  </si>
  <si>
    <t>PRINTING AND LAY OUT OF TERMINAL REPORT BOOK</t>
  </si>
  <si>
    <t>PR# 20-0135- To supply labor, materials and necessary equipment for the Upgrading/Concreting of Barangay Road, Sta. Rita, Lubao, Pampanga. (Re-bidding).</t>
  </si>
  <si>
    <t>GOODS-OE-22-2020</t>
  </si>
  <si>
    <t>CONSTRUCTION OF SIX (6) UNITS RESIDENTIAL BUILDING</t>
  </si>
  <si>
    <t>SUPPLY AND DELIVERY OF MATERIALS FOR THE CONSTRUCTION OF LINE CANAL IN MANUEL STREET @ SITIO PANDAYAN, BRGY. PATIMA, INFANTA, PANGASINAN</t>
  </si>
  <si>
    <t>Provision of Food (meals &amp; snacks) for 10 sites ABC:105,000.00</t>
  </si>
  <si>
    <t>Office Equipment part and Accessories</t>
  </si>
  <si>
    <t>Supply and Delivery of Medical and Laboratory Equpment of CMFDCSH (P550,000.00)</t>
  </si>
  <si>
    <t>CONSTRUCTION OF MULTI-PURPOSE DRYING PAVEMENT</t>
  </si>
  <si>
    <t>3,930  liters Diesel, etc.</t>
  </si>
  <si>
    <t>Furnishing labor, materials and equipment rental for the Rehab./Improvement of  Waterworks System, Brgy. Bagong Silang, Sta. Cruz, Marinduque (REBIDDING)</t>
  </si>
  <si>
    <t>IT’s (COA)</t>
  </si>
  <si>
    <t>ID ID Lace with Print and ID Jacket</t>
  </si>
  <si>
    <t>20GCB0005: Repair of Sideslope Protection &amp; Drainage Canal along EPZA By Pass Road (SO1349LZ) Right Side, Mariveles, Bataan, KO159+(-022) - KO159+000 w/ exception</t>
  </si>
  <si>
    <t>CONSTRUCTION OF POTABLE WATER SYSTEM LEVEL I</t>
  </si>
  <si>
    <t>RFQ No.06-0434-20 COE SUPPLY AND DELIVERY OF GENERATOR SUPPLIES AND EQUIPMENT</t>
  </si>
  <si>
    <t>PROCUREMENT of Health &amp; Wellness Facility re: 2020 Gender and Development Program</t>
  </si>
  <si>
    <t>Delivery of Supplies and Materials to Support the Upkeep of Various Buildings of NSEO 3rd Qtr 20</t>
  </si>
  <si>
    <t>1 unit HIGH-END Multi-Functional Copier for A3 Format</t>
  </si>
  <si>
    <t>Construction/Improvement/Widening of Box Culvert at Purok 4 in Brgy. San Miguel</t>
  </si>
  <si>
    <t>Supply &amp; Delivery of Transformer	 ABC:90,000.00</t>
  </si>
  <si>
    <t>PR# 20-0589- To supply labor, materials and necessary tools and equipment for the Construction of Administrative and School Building Including Fabrication and Installation of Elevated Water Tank (Phas</t>
  </si>
  <si>
    <t>Purchase of Laboratory Supplies of Mussel Biotechnology ( RFQ 2020-4145)</t>
  </si>
  <si>
    <t>lot a.) provision of marketing, advertising and advocacy scheme through tarpaulin with printing "bayanihan sa paaralan, brigada eskwela and oplan balik eskwela 2020"</t>
  </si>
  <si>
    <t>Furnishing labor, materials and equipment for the Improvement of Brgy. Waterworks System at Brgy. Pili, Boac, Marinduque (REBIDDING)</t>
  </si>
  <si>
    <t>CONSTRUCTION OF MULTI-PURPOSE COVERED COURT/EVACUATION CENTER AT BRGY. PALDIT, SISON, PANGASINAN</t>
  </si>
  <si>
    <t>Concreting of Parking Area at DepEd Office Division of Butuan City</t>
  </si>
  <si>
    <t>Supply and Delivery of Diesel Fuel for LGU use</t>
  </si>
  <si>
    <t>4 units COMPUTER WITH COMPLETE ACCESSORIES</t>
  </si>
  <si>
    <t>PR# 20-0137- To supply labor, materials and necessary tools and equipment for the Construction of Irrigation Canal (Extension) at Sta. Rita, Lubao, Pampanga. (Re-bidding)</t>
  </si>
  <si>
    <t>Installation of Street Lights (National Road, Libag-Gosi Norte, Tuguegarao City)</t>
  </si>
  <si>
    <t>Procurement of ceiling fans and lights for the ventilation and lightings of the college library</t>
  </si>
  <si>
    <t>Delivery of Supplies and Materials to Support the Planned Maintenance System of FB L300 Van (SKA-767) NBCO 3rd Qtr 20</t>
  </si>
  <si>
    <t>RFQ for April 2020 jhs - Hardware and Construction Supplies</t>
  </si>
  <si>
    <t>PATHWAY PHASE II</t>
  </si>
  <si>
    <t>construction of Drainage Canal along T. Pasion</t>
  </si>
  <si>
    <t>Provide Labor &amp; Materials for RP Vehicle Repair (Plate # SAA-5044) ABC:156,460.00</t>
  </si>
  <si>
    <t>PROCUREMENT OF INSECTICIDE</t>
  </si>
  <si>
    <t>20GA0230-Standard One (1) Storey Two (2) Classroom School Building Tomas SM Bautista Elementary School, New Washington, Aklan</t>
  </si>
  <si>
    <t>Supply &amp; Delivery of Training Supplies ABC:95,934.00</t>
  </si>
  <si>
    <t>Procurement of 4 loader tire</t>
  </si>
  <si>
    <t>Provision of Solar Panel for damaged units at barangay Poblacion (1)</t>
  </si>
  <si>
    <t>Supply and Delivery of 2 units Computer Desktop</t>
  </si>
  <si>
    <t>To produce advocacy of RA. 10868 " Centenarian Act of 2016 " through foldable fans, tshirts, polo shirts and AVP as a means for information dissemination to increase awareness of partners / stakeholde</t>
  </si>
  <si>
    <t>10 pieces Ballast, Electronic, single - 40watts, 240volts, etc.</t>
  </si>
  <si>
    <t>Purchase of Various Office Supplies</t>
  </si>
  <si>
    <t>Land Development (Larion Bajo, Tuguegarao City)</t>
  </si>
  <si>
    <t>Construction Project (MEO)</t>
  </si>
  <si>
    <t>2020-06-0105 Supply and delivery of Various Office Supplies for DOH - Drug Abuse Treatment and Rehabilitation Center, Centro San Antonio, City of Ilagan, Isabela</t>
  </si>
  <si>
    <t>Purchase of Information Technology Parts and Accessories &amp; Perip</t>
  </si>
  <si>
    <t>Procurement of Furniture and Fixtures to be used in Mabalacat City College</t>
  </si>
  <si>
    <t>Acquisition For Maintenance</t>
  </si>
  <si>
    <t>One (1) Lot - Supply/Engagement of Services to Conduct Workshops on Capacity Building towards Development of BSP Digital Transformation Roadmap, as per BSP Terms of Reference</t>
  </si>
  <si>
    <t>PR. 20-06-230 (2020-07-221) PROCUREMENT OF WATER SERVICE CONNECTIONS/FITTINGS</t>
  </si>
  <si>
    <t>Proposed Repair and Improvement of SAMAPA Child Development / Day Care Center Located at Brgy. Moonwalk, Paranaque City</t>
  </si>
  <si>
    <t>purchase of hardware materials for rehab of Multipurpose  hall phase 1</t>
  </si>
  <si>
    <t>Supply and Delivery of 1 unit Air Conditioner</t>
  </si>
  <si>
    <t>Supply and Delivery of Materials/Supplies to be used for the San Fernando Rescue Unit for COVID-19 Monitoring and Response in the City of San Fernando, Pampanga</t>
  </si>
  <si>
    <t>SUPPLY AND DELIVERY OF MATERIALS FOR THE REPAIR OF THE COLLEGE OF INDUSTRIAL TECHNOLOGY BUILDING</t>
  </si>
  <si>
    <t>Supply and Delivery of Laptop</t>
  </si>
  <si>
    <t>CONSTRUCTION OF NEW COVERED COURT</t>
  </si>
  <si>
    <t>1 roll Acetate, transparent - gauge # 8, etc.</t>
  </si>
  <si>
    <t>Improvement of Multipurpose Building</t>
  </si>
  <si>
    <t>Fuel for City Meat delivery van to deliver meat from City Abbatoir to city Public Market, this city.</t>
  </si>
  <si>
    <t>Supply and Delivery of Glass Partition</t>
  </si>
  <si>
    <t>Procurement of Subdivision Survey Project for Davao del Norte.</t>
  </si>
  <si>
    <t>Supply &amp; Delivery of Construction Materials for San Juan to Bigajo Norte pipe laying expansion (Distribution line).</t>
  </si>
  <si>
    <t>Farm to Market Road - Sitio Tubigdaku, Basacdacu, Alburquerque, Bohol</t>
  </si>
  <si>
    <t>30 bottles Fenthion, 100 ml., etc.</t>
  </si>
  <si>
    <t>Rehabilitation of Municipal Road in Brgy. Guisijan with Climate Resilient Design</t>
  </si>
  <si>
    <t>RIS# 20-83-119 SUPPLY &amp; DELIVERY OF FABRICATED ALUMINUM FAN BLADE AND FAN DECK AT MIAA ADMIN BLDG.</t>
  </si>
  <si>
    <t>INSET Toner</t>
  </si>
  <si>
    <t>Supply and Delivery of Airconditoners for Tarlac City BPLD use</t>
  </si>
  <si>
    <t>RFQ for the Procurement of Construction Materials</t>
  </si>
  <si>
    <t>SERVICES ON TAX MAPPING WITH CADASTRAL MAP OVERLAY WITH DRONE MAP OVERLAY</t>
  </si>
  <si>
    <t>Acquisition For Repair &amp; Maintenance</t>
  </si>
  <si>
    <t>PR # 6989 RM-MV SKK-589 LAD</t>
  </si>
  <si>
    <t>Rehabilitation of Barangay Hall, Barangay Saoay</t>
  </si>
  <si>
    <t>Provision of Food  for 4 batches ABC:63,000.00</t>
  </si>
  <si>
    <t>Furnishing labor, materials and equipment rental for the Rehabilitation/Improvement of  Brgy. Waterworks System at Balanacan, Mogpog, Marinduque (REBIDDING)</t>
  </si>
  <si>
    <t>Supply &amp; Delivery of Animals ABC:120,000.00</t>
  </si>
  <si>
    <t>2020-234 VARIOUS FERTILIZERS</t>
  </si>
  <si>
    <t>Supply &amp; Delivery of Various Supplies ABC:169,500.00</t>
  </si>
  <si>
    <t>20-01-0038 materials for two (2) units Solar Seaweed Dryer to be given to identified beneficiaries of Villaba and San Miguel, Leyte, under SAAD Program 2020</t>
  </si>
  <si>
    <t>Procurement of service for the disposal of hazardous waste at BatstateU Main Campus I</t>
  </si>
  <si>
    <t>Supply and Delivery of Various Modules</t>
  </si>
  <si>
    <t>Materials for the Improvement of Columbio Infirmary (Augmentation) (2)</t>
  </si>
  <si>
    <t>REQUEST FOR QUOTATION (RFQ)  PROCUREMENT FOR SUPPLY OF LABOR AND MATERIALS FOR  FABRICATION OF CLIENT/VISITORS SHED/TENT RFQ No.048 -2020</t>
  </si>
  <si>
    <t>Purchase of ICT Equipment for Provincial Staff of Supplementary Feeding Program</t>
  </si>
  <si>
    <t>Supply &amp; Delivery of  Laboratory  Supplies (for molecular test (polymerase chain reaction for African Swine fever) ABC:73,100.00</t>
  </si>
  <si>
    <t>Projector</t>
  </si>
  <si>
    <t>Concreting of Farm-to-Market Road at Brgy. Leon with Climate Resilient Design</t>
  </si>
  <si>
    <t>RFQ: Supply &amp; Delivery of IT Equipment, Parts &amp; Accessories for the use of Sangguniang Bayan Office (PR No.2020-0089).</t>
  </si>
  <si>
    <t>7 pieces Ball Valve, stainless - 1/2 inch, etc.</t>
  </si>
  <si>
    <t>PROCUREMENT OF RENEWAL OF (1) YEAR CONTRACT FOR AIR-CONDITIONING UNIT MAINTENANCE AND REPAIR SERVICES</t>
  </si>
  <si>
    <t>Purchase of CCTV Camera</t>
  </si>
  <si>
    <t>Purchase of Laboratory Supplies of Mangrove Crab ( RFQ 2020-4131)</t>
  </si>
  <si>
    <t>Delivery of materials for Construction of San Vicente Water Supply System.</t>
  </si>
  <si>
    <t>30 Pcs. Car Batteries</t>
  </si>
  <si>
    <t>One (1) Lot Stack Emission Testing</t>
  </si>
  <si>
    <t>RFQ MICROCENTRIFUGE</t>
  </si>
  <si>
    <t>PURCHASE OF BUSINESS PLATE &amp; VINYL STICKER FOR BPLO</t>
  </si>
  <si>
    <t>Supply &amp; Delivery of Laboratory Supplies ABC:121,625.00</t>
  </si>
  <si>
    <t>RIS# 20-96-032 PURCHASE OF FOOT BATH CARPET MATTINGS</t>
  </si>
  <si>
    <t>5 units Battery, 12 volts, 13 plates - N70 (Maintenance Free), etc.</t>
  </si>
  <si>
    <t>Acquisition For Official Use</t>
  </si>
  <si>
    <t>2 units Battery, 12 volts (for XRM 125), etc.</t>
  </si>
  <si>
    <t>Supply and Delivery of Various Other Supplies and Materials</t>
  </si>
  <si>
    <t>Furnishing labor, materials and equipment rental for the Construction of Waterworks System Phase 1, Brgy. Mongpong, Sta. Cruz, Marinduque (REBIDDING).</t>
  </si>
  <si>
    <t>2020-06-0117 Supply and delivery of Various Janitorial Supplies for DOH - Drug Abuse Treatment and Rehabilitation Center, San Antonio, City of Ilagan, Isabela</t>
  </si>
  <si>
    <t>RFQ for April 2020 jhs - Sports Equipment</t>
  </si>
  <si>
    <t>Supply and Delivery of Medical Oxygen</t>
  </si>
  <si>
    <t>RFQ LAMINAR HOOD</t>
  </si>
  <si>
    <t>Supply and Delivery of CCNET (Double) for Distribution to MILF Combatant in Region 12</t>
  </si>
  <si>
    <t>Furnishing labor, materials and equipment for the Construction of Gender Sensitive Toilet Facilities at Mogpog Central School at Mogpog, Marinduque (REBIDDING)</t>
  </si>
  <si>
    <t>Tarpaulin Printing</t>
  </si>
  <si>
    <t>Proposed Repair and Improvement of SMGI (Gulayan) Child Development / Day Care Center Located at Brgy. Moonwalk, Paranaque City</t>
  </si>
  <si>
    <t>Supply &amp; Delivery of Common Office Supplies ABC:112,000.00</t>
  </si>
  <si>
    <t>Construction of 50units Street lighting System</t>
  </si>
  <si>
    <t>Supply and Delivery of Various Materials</t>
  </si>
  <si>
    <t>Fuel, Oil &amp; Lub. Expense- CVO</t>
  </si>
  <si>
    <t>RIS# 20-83-124  PURCHASE OF POLYURETHANE COATED BALL BEARING AT TERMINAL 2.</t>
  </si>
  <si>
    <t>Labor and materials for the supply, delivery, installation, and energizing of various air conditioning units for Polomolok Branch</t>
  </si>
  <si>
    <t>Majada In IS RFQ for July - Construction Supplies</t>
  </si>
  <si>
    <t>PURCHASE OF COMPUTER SET AND PRINTERS FOR TREASURY OFFICE USE</t>
  </si>
  <si>
    <t>Procurement of Food for the Mock Audit and Surveillance of IS0 9001:2015 Certification</t>
  </si>
  <si>
    <t>Purchase of various spare parts for the Repair &amp; Maint. of UD Truck No. 1 of the Municipality of San Enrique, Iloilo.</t>
  </si>
  <si>
    <t>Supply and Delivery of Two unit Computer Laptop - POPDEV OFFICE</t>
  </si>
  <si>
    <t>PR NO. 2020-07-014 PROCUREMENT OF 120 DAYS SUPPLEMENTAL FEEDING PROGRAM ( RICE, VIAND, FISH, CHICKEN, VEGETABLES &amp; OTHER GROCERY ITEMS), MNAO, MAPANAS, N. SAMAR</t>
  </si>
  <si>
    <t>Procurement of Subdivision Survey Project for Davao City.</t>
  </si>
  <si>
    <t>Tire</t>
  </si>
  <si>
    <t>PR #6990 RM-MV 4404-1304</t>
  </si>
  <si>
    <t>Procurement of Various Toners, Ink Cartridges and Ribbons for CY 2020</t>
  </si>
  <si>
    <t>SUPPLY AND DELIVERY OF DRUGS AND MEDICINES</t>
  </si>
  <si>
    <t>20GFK0004-Supply &amp; Delivery of 34,000 ltrs. Diesel Fuel, 15,000 ltrs. Unleaded Gasoline, Oil and Lubricants DPWH Sorsogon 1st DEO</t>
  </si>
  <si>
    <t>Provision of Fuel Consumption &amp; Lubricants ABC:52,950.00</t>
  </si>
  <si>
    <t>Construction of Streetlights</t>
  </si>
  <si>
    <t>Labor and materials for the repair and installation of vineyard tunnel</t>
  </si>
  <si>
    <t>Supply and delivery Gate Motor and Controller</t>
  </si>
  <si>
    <t>20GCB0006: Concreting of Shoulder &amp; Slope Protection (1st &amp; 2nd APP) of various National Bridges along Gov. J.J. Linao Road (SO4822LZ), Bagac, Bataan, KO148+807 - KO155+095 w/ exception</t>
  </si>
  <si>
    <t>Procurement of various electrical supplies to be used for the repair and maintenance of city streetlights at CBD, Alaminos City</t>
  </si>
  <si>
    <t>REPAIR ND MAINTENANCE OF BARANGAY PATROL</t>
  </si>
  <si>
    <t>RIS# 20-83-126 SUPPLY AND DELIVERY OF FABRICATED TUNNEL-C UPPER ROLLER BEARINGS FOR PASSENGER BOARDING BRIDGES AT NAIA T3</t>
  </si>
  <si>
    <t>PR #6992 RM-WATER CRAFT SPEEDBO</t>
  </si>
  <si>
    <t>VEHICLE PARTS FOR STRADA L200</t>
  </si>
  <si>
    <t>Delivery of Supplies and Materials to Support the Medical Team Dispatches of NIFNL 3rd Qtr 20</t>
  </si>
  <si>
    <t>Invitation to Bid for the Purchase of Gas Refill (Liquefied Petroleum Gas) for the month of August 2020-December 2020 at Slaughterhouse, Barangay Domalandan West, Lingayen, Pangasinan</t>
  </si>
  <si>
    <t>Procurement of Water System Materials</t>
  </si>
  <si>
    <t>Rice</t>
  </si>
  <si>
    <t>Supply and Delivery of 20,000 pcs Carp Fingerlings in the Province of Sultan Kudarat</t>
  </si>
  <si>
    <t>Provision of Food &amp; Accommodation for 2 days ABC:102,500.00</t>
  </si>
  <si>
    <t>CONCRETING OF LAO PROPER-LOOC PROPER ROAD</t>
  </si>
  <si>
    <t>Acquisition For Materials Caipilan</t>
  </si>
  <si>
    <t>Supply and delivery of sala set, dining set, devan,  refrigerator and laptop to be used by T. Camacho Sr.  Elementary School as part of their PTA SY 2019-2020</t>
  </si>
  <si>
    <t>Supply and Delivery of Vannamei Frymash, Vannamei Crumble, Vannamei Starter and Vannamei Grower for PFO- South Cotabato</t>
  </si>
  <si>
    <t>20NF0077-CLUSTER: A. INSTALLATION/APPLICATION OF ROAD SIGN AND ROAD SAFETY DEVICES ALONG ALL NATIONAL ROAD, SIARGAO ISLAND, SURIGAO DEL NORTE B. REPAIR/MAINTENANCE OF MAASIN BRIDGE AT JCT. OSMEÑA-PILA</t>
  </si>
  <si>
    <t>Construction of Loreto Fire Station Building, Loreto, Dinagat Islands</t>
  </si>
  <si>
    <t>RFQ for May 2020 jhs - Office Supplies</t>
  </si>
  <si>
    <t>Procurement of Materials for water system at Slaughterhouse</t>
  </si>
  <si>
    <t>RFQ-062-2020-SH2 - Supply and Delivery of Office Supplies for 3rd quarter-2020 of Regional Office</t>
  </si>
  <si>
    <t>Proposed Repair &amp; Improvement of Manggahan Child Development / Day Care Center Located at Brgy. Moonwalk, Paranaque City</t>
  </si>
  <si>
    <t>Negotiated Procurement 2 Failed Biddings for 5 Infrastructure Projects (N2FB-47-2020(A)</t>
  </si>
  <si>
    <t>River Slope Protection</t>
  </si>
  <si>
    <t>SUPPLY AND DELIVERY OF DRUGS AND MEDICINES FOR USE AT THE MUNICIPAL HEALTH OFFICE, LGU, SANCHEZ MIRA, CAGAYAN</t>
  </si>
  <si>
    <t>Purchase of Office Equipment for various schools and offices (Fund 164)</t>
  </si>
  <si>
    <t>Procurement of module and LED dead lamp for the repair of existing LED display at Don Leopoldo Sison Convention Center, Alaminos City</t>
  </si>
  <si>
    <t>Construction of Chapel Cemetery</t>
  </si>
  <si>
    <t>Supply and Delivery of Tilapia Pre-Starter, Tilapia Starter and Tilapia Grower for PFO- South Cotabato</t>
  </si>
  <si>
    <t>Provision of 20 sets of tables with chair</t>
  </si>
  <si>
    <t>20NF0078:INSTALLATION OF ROAD SAFETY DEVICES AND ROAD SIGNAGES ALONG DAPA-UNION-GENERAL LUNA ROAD (S00366SG)_(Re-Ad)</t>
  </si>
  <si>
    <t>Negotiated Procurement 2 Failed Biddings for 3 Infrastructure Projetcs (N2FB-90-2019(2020)(A)</t>
  </si>
  <si>
    <t>Supply and Delivery of Air Condition unit and Furniture and Fixtures for Tarlac City Information Office use</t>
  </si>
  <si>
    <t>Supply and Delivery of Medical and Laboratory Equpment of CMFDCSH (P600,000.00)</t>
  </si>
  <si>
    <t>Personal Protective Equipment for DOT VI Personnel</t>
  </si>
  <si>
    <t>RFQ PCR HOOD (TABLE TOP)</t>
  </si>
  <si>
    <t>1,260 ltrs Diesel for construction of materials recovery facility (MRF) at Barangay Candau-ay/City Engineer's Office</t>
  </si>
  <si>
    <t>Supply and Delivery of 21 Units 2.5HP Non-Inverter iCool Green with Remote and other various appliances.REBID</t>
  </si>
  <si>
    <t>Procurement of equipments for CTE and CIT Department of Batangas State U Rosario Campus</t>
  </si>
  <si>
    <t>Provision of Food (meals &amp; snacks) ABC:50,000.00</t>
  </si>
  <si>
    <t>2020-06-0116 Supply and delivery of Various Office Supplies for 2nd &amp; 3rd QTR of  DOH - Drug Abuse Treatment and Rehabilitation Center, San Antonio, City of Ilagan, Isabela</t>
  </si>
  <si>
    <t>Proposed Additional Work at Two (2) Storey Day Care Center at Salvador Estate, Brgy. San Isidro, Paranaque City</t>
  </si>
  <si>
    <t>Procurement of Constructions Materials and Supplies</t>
  </si>
  <si>
    <t>SMALL VALUE PROCUREMENT FOR FOOD SUPPLIES EXPENSES</t>
  </si>
  <si>
    <t>Acquisition For Materials Banban</t>
  </si>
  <si>
    <t>Purchase and Installation of Children's Playground</t>
  </si>
  <si>
    <t>Procurement of various janitorial supplies to be used by the City Government of Alaminos, Pangasinan</t>
  </si>
  <si>
    <t>RFQ No. 20-06-068 Purchase of Face Recognition with fever detection, UPS and Automatic Alcohol Dispenser</t>
  </si>
  <si>
    <t>Supply &amp; Delivery of Other Supplies ABC:58,000.00</t>
  </si>
  <si>
    <t>Supply and Delivery of Materials for Implementation of Techno-Demo on Shellfish Program/Collection of Shellfish Seed and Caulerpa</t>
  </si>
  <si>
    <t>Purchase of Lab Supplies of Mangrove Crab ( RFQ 2020-4132)</t>
  </si>
  <si>
    <t>To hire contractor to provide materials, labor, and equipment for the “Additional Appropriation for the Construction of Multi-Purpose Evacuation Center, Barangay Olandao, Basay, Negros Oriental” (B-96</t>
  </si>
  <si>
    <t>SMALL VALUE PROCUREMENT FOR MED, DENTAL &amp; LAB SUPPLIES EXPENSES</t>
  </si>
  <si>
    <t>Re-certification Audit for ISO 9001:2015</t>
  </si>
  <si>
    <t>RFQ for May 2020 jhs - Educational Materials</t>
  </si>
  <si>
    <t>Supply and Delivery of Medical Supplies.</t>
  </si>
  <si>
    <t>RFQ for May 2020 jhs - Hardware and Construction Supplies</t>
  </si>
  <si>
    <t>PROCUREMENT OF EIGHTY (80) PIECES OFFICE CHAIR WITH ARMREST FOR THE CORPORATE PLANNING DIVISION</t>
  </si>
  <si>
    <t>Improvement of Multipurpose Hall</t>
  </si>
  <si>
    <t>PROCUREMENT OF MEALS AND SNACKS FOR VARIOUS HEARING  AND PUBLIC HEARING</t>
  </si>
  <si>
    <t>Procurement of Laptop, Desktop &amp; Printer for Bids and Awards Committee to be Used  During BAC Meetings, Seminars and Conferences of DepEd, Division of Bacolod City</t>
  </si>
  <si>
    <t>Provide labor &amp; materials for parts replacement of Toyota, Hi-Lux SGX 411 ABC:58,006.00</t>
  </si>
  <si>
    <t>Office Supplies</t>
  </si>
  <si>
    <t>Provision of Van Rentals ABC:55,000.00</t>
  </si>
  <si>
    <t>Supply and Delivery of 1 Lot 5 Units Floor Standing Type 3.0 tons Inverter Air Conditioner and 10 units window type aircon.REBID</t>
  </si>
  <si>
    <t>Construction of Two (2) Storey Multi-Purpose Building, Brgy. Patalan, Paniqui, Tarlac</t>
  </si>
  <si>
    <t>Procurement of Electronic Parts and Components</t>
  </si>
  <si>
    <t>Bidding for 5 Infrastructure Projects (B-99-2020)</t>
  </si>
  <si>
    <t>For use of different vehicles for the month of August - September 2020 and suceeding months(s), Bago City</t>
  </si>
  <si>
    <t>Various Office Supplies for use in the Office of the Governor, Province of Negros Oriental (B-95-2020)</t>
  </si>
  <si>
    <t>WINDOW EXHAUST FAN 12 INCHES (STANDARD)</t>
  </si>
  <si>
    <t>RFQ for May 2020 jhs - Ink and Printing Supplies</t>
  </si>
  <si>
    <t>Bidding for 2 Infrastructure Projects (B-98-2020)</t>
  </si>
  <si>
    <t>PURCHASE OF ELECTRICAL SUPPLIES - ARPILI, BALAMBAN, CEBU</t>
  </si>
  <si>
    <t>Supply and Delivery of Two unit Computer Desktop - MCRO</t>
  </si>
  <si>
    <t>THERMOMETER, NON CONTACT, NON MERCURIAL FOREHEAD (2nd Posting)</t>
  </si>
  <si>
    <t>To hire contractor to provide materials, labor, and equipment for the “Construction of Solar Powered Dormitory Type Building at Mabinay Spring Resort, Mabinay, Negros Oriental”  (B-97-2020)</t>
  </si>
  <si>
    <t>Office supplies</t>
  </si>
  <si>
    <t>Procurement of materials for Internet connection of LGU-Aurora, Isabela</t>
  </si>
  <si>
    <t>PROCUREMENT OF VARIOUS ICT EQUIPMENT</t>
  </si>
  <si>
    <t>LAbor &amp; MAterials for Repair of Various Equipments</t>
  </si>
  <si>
    <t>For use of different vehicles for the month of August 2020 and suceeding months, Bago City</t>
  </si>
  <si>
    <t>SMALL VALUE PROCUREMENT FOR OFFICE SUPPLIES EXPENSES</t>
  </si>
  <si>
    <t>Purchase of Office Equipment for Mayor's Office</t>
  </si>
  <si>
    <t>Rehab/Improvement of Birthing Station @ Samal, Bataan</t>
  </si>
  <si>
    <t>Purchase of Fertlizers for RSP Use</t>
  </si>
  <si>
    <t>20CSH023 - Consulting Services for the Conduct of Appraisal of Lots for the Project Construction of  Asturias-Danao Road, Station 0+000 - Station 6+435, Cebu Province</t>
  </si>
  <si>
    <t>Procurement of SHS Cleaning Equipment &amp; Supplies</t>
  </si>
  <si>
    <t>WATERWORKS DEVELOPMENT ( Rotary Well Drilling Procedure)</t>
  </si>
  <si>
    <t>Procurement of various office equipment to be given to barangay constituents and school of various barangays, Alaminos City</t>
  </si>
  <si>
    <t>SUPPLY AND DELIVERY OF LAPTOP COMPUTER - MMO-MNC</t>
  </si>
  <si>
    <t>MATERIALS FOR REPRODUCTION OF MODULE</t>
  </si>
  <si>
    <t>Delivery of office equipments  (MPDO)</t>
  </si>
  <si>
    <t>Procurement of Office Tables  at SB Office</t>
  </si>
  <si>
    <t>Security Force Uniforms</t>
  </si>
  <si>
    <t>Procurement of Construction Materials for Construction of Rehabilitation/Repair of Municipal Building.</t>
  </si>
  <si>
    <t>School Supplies Consumables</t>
  </si>
  <si>
    <t>For use at Bago City Hospital, Bago City (Laboratory Supplies)</t>
  </si>
  <si>
    <t>PROCUREMENT OF VARIOUS OTHER SUPPLIES</t>
  </si>
  <si>
    <t>SMALL VALUE PROCUREMENT FOR OTHER SUPPLIES &amp; MATERIALS EXPENSES</t>
  </si>
  <si>
    <t>Printed Canvas Bag (Katsa type) for the Distribution of Learning Pockets of Paranaque Elementary School Central</t>
  </si>
  <si>
    <t>Delivery, installation and testing of variable frequency drive for 50 hp, 460 VAC, 3-phase, 60hz submersible motor</t>
  </si>
  <si>
    <t>RFQ for May 2020 jhs - Kitchenware</t>
  </si>
  <si>
    <t>20GA0231-Standard One (1) Storey Four (4) Classroom School Building Tambak Elementary School, New Washington, Aklan</t>
  </si>
  <si>
    <t>SUPPLY AND DELIVERY OF ANTI-DENGUE KITS FOR SCHOOL CHILDREN (ANTI- MOSQUITO REPELLANT LOTION - CLEAR POUCH)</t>
  </si>
  <si>
    <t>TIME STAMP MACHINE (2nd Posting)</t>
  </si>
  <si>
    <t>SUPPLY AND DELIVERY OF FOOD SUPPLIES FOR FOOD ASSISTANCE, NUTRI-BATA PROJECT, MAKATI YOUTH HOME AND SOCIAL DEVELOPMENT CENTER</t>
  </si>
  <si>
    <t>CID NO. 20IF0141 - Construction of Health Isolation Facilities for COVID - 19 Patients and Health Care Professionals, Brgy. Dolores, Ormoc City</t>
  </si>
  <si>
    <t>Supply and Delivery of Seedlings (Cacao &amp; Banana Com) - MAO</t>
  </si>
  <si>
    <t>PURCHASE OFFICE SUPPLIES - ARPILI, BALAMBAN, CEBU</t>
  </si>
  <si>
    <t>Hiring of Consultancy to Conduct the Mid-Term (MTR) of the 3rd National Plan of Action for Children (NPAC) and Philippine Plan of Action to End Violence Against Children (PPAEVAC)</t>
  </si>
  <si>
    <t>Procurement of SHS General Merchandise</t>
  </si>
  <si>
    <t>Labor &amp; materials for the repair and maintenance of Legislative building, Alaminos City, Pangasinan</t>
  </si>
  <si>
    <t>One (1) Lot Supply and installation of Motorized Roll Up door</t>
  </si>
  <si>
    <t>Procurement of Fuel and Oil for the of July 11 to August 10, 2020</t>
  </si>
  <si>
    <t>ICT Devices for Free Public Wireless Hot Spots</t>
  </si>
  <si>
    <t>Request for Quotation (WD-2020-02-0164 Supply, Delivery &amp; Installation of Laminated Walls with Hard wood doors)</t>
  </si>
  <si>
    <t>Provide labor &amp; materials for parts replacement of Nissan Frontier- SGA 519 ABC:63,598.00</t>
  </si>
  <si>
    <t>Use for the Division Prevention from COVID-19</t>
  </si>
  <si>
    <t>PROVISION OF NEGATIVE PRESSURE FOR NEW COVID-19 LABORATORY</t>
  </si>
  <si>
    <t>Completion of Day Care Center - San Jose</t>
  </si>
  <si>
    <t>Construction of Multi-Purpose Hall, Barangay Sta. Isabel, Naujan, Oriental Mindoro</t>
  </si>
  <si>
    <t>Waterproofing works and leak repairs at PSTC-LU Building</t>
  </si>
  <si>
    <t>TERMITE ERADICATION AND PREVENTIVE PROGRAM FOR MAKATI CITY HALL OLD BUILDING, MAKATI POST OFFICE AND VARIOUS DAY CARE CENTERS AT DISTRICT I AND II, MAKATI CITY</t>
  </si>
  <si>
    <t>Procurement of Reagent Refrigerator with AVR</t>
  </si>
  <si>
    <t>Realignment of MOOE- Supplies for Reroduction of Learning Modules</t>
  </si>
  <si>
    <t>2020 16th Public Bidding for Procurement  of IT Supplies and Equipment</t>
  </si>
  <si>
    <t>Labor and materials for the application of water proofing of existing roof deck slab at City Division Office, Brgy. Poblacion, ALaminos City</t>
  </si>
  <si>
    <t>SUPPLY, DELIVERY AND INSTALLATION OF FURNITURE AND FIXTURES FOR THE OFFICE OF THE MAYOR</t>
  </si>
  <si>
    <t>Health Check-Up for San Juan National High School Personnel SY20-21</t>
  </si>
  <si>
    <t>REHABILITATION WATER SYSTEM</t>
  </si>
  <si>
    <t>Construction of Two (2) Storey Multi-Purpose Building, Brgy. San Juan De Milla, Paniqui, Tarlac</t>
  </si>
  <si>
    <t>Additional Labor of the Construction of Supply Warehouse 01D(GASS) G01-2020</t>
  </si>
  <si>
    <t>Procurement of SHS Manufacturing Components and Supplies</t>
  </si>
  <si>
    <t>SUPPLY AND DELIVERY OF CUSTOMIZED WASHABLE/REUSABLE CLOTH FACE MASKS WITH POUCH FOR ALL CITY EMPLOYEES</t>
  </si>
  <si>
    <t>Realignment of MOOE- Printers</t>
  </si>
  <si>
    <t>SUPPLY AND DELIVERY OF GOODS FOR THE NUTRITION MONTH FEEDING PROGRAM</t>
  </si>
  <si>
    <t>Procurment of Painting Materials for Nampicuan Water System</t>
  </si>
  <si>
    <t>FURNISHING OF CONSTRUCTION MATERIALS OF BARANGAY BUSAC, LIGAO CITY</t>
  </si>
  <si>
    <t>Construction of Water System and Fabrication of Hand Wash</t>
  </si>
  <si>
    <t>Supply and Delivery of Electrical Materials for the Extension of Secondary Lines @ POSO Motorize Tricycle Inspection Office @ Brgy. San Nicolas, Tarlac City</t>
  </si>
  <si>
    <t>Request for Quotation</t>
  </si>
  <si>
    <t>Supply and Delivery of Various Office, Janitorial and Disinfectant Supplies and Materials for Vice- Mayor’s Office, Sangguniang Bayan Office and SB Secretary’s Office</t>
  </si>
  <si>
    <t>Supply &amp; Delivery of Riso Machine Digital Duplicator</t>
  </si>
  <si>
    <t>Supply &amp; Delivery of One (1) Unit Motor Vehicle with Boom Crane</t>
  </si>
  <si>
    <t>Provision of Other Supplies and Materials</t>
  </si>
  <si>
    <t>SUPPLY AND DELIVERY OF BIODEGRADABLE BAGS FOR DES FIELD PERSONNEL</t>
  </si>
  <si>
    <t>Additional Aircon for Admin Office</t>
  </si>
  <si>
    <t>PROCUREMENT OF VARIOUS TARPAULINS FOR POSO USE</t>
  </si>
  <si>
    <t>SUPPLY AND DELIVERY OF ELECTRICAL AND PAINTING MATERIALS FOR THE PREVENTIVE MAINTENANCE OF ALL MAKATI CITY GOVERNMENT EXISTING STREET LIGHTS WITHIN DISTRICT I AND II, MAKATI CITY THROUGH AN ORDERING A</t>
  </si>
  <si>
    <t>Repair of Roofing at the PNP Building, MTC-PWD’s Building and Covered Road for Tabo in Barangay Guindapunan and Cavite East, Palo, Leyte  JR No. 20-06-115</t>
  </si>
  <si>
    <t>MONOBLOCK SQUARE TABLE: WIDTH 36 INCH; LENGTH 36 INCH  &amp; MONOBLOCK ARMCHAIR (2nd Posting)</t>
  </si>
  <si>
    <t>20GDB0025 Supply of Materials for the Repair &amp; Maintenance of Damaged Slope Protection along Diokno Highway, K0088+037-K0088+057, Dayapan Section, Lemery, Batangas</t>
  </si>
  <si>
    <t>Supply and Delivery of Equipments for SSCT Laboratory Instructional use</t>
  </si>
  <si>
    <t>Materials for making Handwashing Area @ Terminal and Bagsakan Center</t>
  </si>
  <si>
    <t>PROCUREMENT OF CONST. MATERIALS AND SUPPLIES FOR IMPROVEMENT OF MULTI-PURPOSE HALL-MABUHAY</t>
  </si>
  <si>
    <t>Realignment of MOOE- Materials for Repair of Handwashing Facility</t>
  </si>
  <si>
    <t>0392 Office Equipment</t>
  </si>
  <si>
    <t>Improvement of Multi-Purpose Hall, Barangay Abo-abo, Mauban, Quezon</t>
  </si>
  <si>
    <t>REQUEST FOR QUOTATION (Sodium Hypochlorite)</t>
  </si>
  <si>
    <t>PROCUREMENT OF SHUTTLE BUS</t>
  </si>
  <si>
    <t>FURNISHING OF MATERIALS FOR THE RE-PAINTING OF BARANGAY HALL</t>
  </si>
  <si>
    <t>0391 Office Equipment</t>
  </si>
  <si>
    <t>0393 Office Equipment</t>
  </si>
  <si>
    <t>SUPPLY AND DELIVERY OF POLY ALUMINUM CHLORIDE</t>
  </si>
  <si>
    <t>RFQ/ Printing of Modules</t>
  </si>
  <si>
    <t>Supply and Delivery of Communication Equipment’s (Cellphone) -MMO-ABC</t>
  </si>
  <si>
    <t>BDRRM - Repair and maintenance rescue vehicles</t>
  </si>
  <si>
    <t>Labor Charge for Cleaning of 2 units Aircon at Municipal Treasurer's Office</t>
  </si>
  <si>
    <t>Supply &amp; Delivery of Assorted Sizes CI Tee and Other Fittings (w/ requirements)</t>
  </si>
  <si>
    <t>INVITATION TO BID FOR NEGOTIATED PROCUREMENT SUPPLY AND DELIVERY OF ONE (1)  UNIT MOTOR VEHICLE (PASSENGER  VAN)</t>
  </si>
  <si>
    <t>Procurement of Medical Supplies and Medicines of City Veterinary Office</t>
  </si>
  <si>
    <t>Procurement of Laptop for RHU 2</t>
  </si>
  <si>
    <t>Procurement of 1 unit laptop computer,mouse,USB hub &amp; multi card reader to be used City Mayors Office, Alaminos City</t>
  </si>
  <si>
    <t>20CB-GSC-384 PURCHASE OF DRUGS &amp; MEDICINES FOR POP</t>
  </si>
  <si>
    <t>WIDENING OF ROAD</t>
  </si>
  <si>
    <t>Procurement of LED Television for City Mayor's Office</t>
  </si>
  <si>
    <t>SUPPLIES FOR THE USED OF FMD STAFF FOR 3RD QUARTER</t>
  </si>
  <si>
    <t>Procurement of meals and snacks for the session day at SP Session Hall ( July 2020)</t>
  </si>
  <si>
    <t>Purchase of office supplies-Mayor's Office, San Fabian, Pangasinan</t>
  </si>
  <si>
    <t>Procurement of Furniture for MBCC</t>
  </si>
  <si>
    <t>2000 pcs Pillow Case 22.5 x 31</t>
  </si>
  <si>
    <t>0394 Office Supplies</t>
  </si>
  <si>
    <t>PCDP : 300	KLS.	FISH YELLOW PIN TO 200	KLS.	BEEF BONES FOR THE CONSUMPTION OF DEPORTEES/PCDP CLIENT FOR JULY AND AUGUST 2020</t>
  </si>
  <si>
    <t>Contract ID No. 20FA0061: CLUSTER 34 - CONSTRUCTION OF 2-STOREY SCHOOL BUILDINGS UNDER DEPED CY 2020 BEFF IN THE FIRST DISTRICT OF ALBAY</t>
  </si>
  <si>
    <t>20CB-GSC-382 PURCHASE OF GENERAL MERCHANDISE</t>
  </si>
  <si>
    <t>Procurement of Signage to be Installed in Bulanao and Dagupan - POSO</t>
  </si>
  <si>
    <t>PURCHASED OF OFFICE SUPPLIES</t>
  </si>
  <si>
    <t>Procurement of Insecticides of CENRO</t>
  </si>
  <si>
    <t>PURCHASE AND INSTALLATION OF SOLAR PANEL FOR STREET LIGHT</t>
  </si>
  <si>
    <t>20CB-GSC-383 PURCHASE OF FOOD SUPPLIES</t>
  </si>
  <si>
    <t>CONCRETING OF BRGY. ROAD</t>
  </si>
  <si>
    <t>Purchase of supplies for Learning Materials reproduction of Pisaan CES</t>
  </si>
  <si>
    <t>Procurement of Tires for Hilux Pick-Up A8K672</t>
  </si>
  <si>
    <t>Procurement of Motorcycle for Official Use of PENRO Negros Occidental</t>
  </si>
  <si>
    <t>Vehicle Rental for the technical assistance and monitoring of the program and services implementation to LGU's</t>
  </si>
  <si>
    <t>Procurement of Unmanned Aerial Vehicle (Drone) for Official Use of PENRO Negros Occidental</t>
  </si>
  <si>
    <t>Bid No. 20-0294 - PROCUREMENT OF OFFICE SUPPLIES - MDRRMO (FOR DISTRIBUTION OF FAMILY PREPAREDNESS GUIDE)</t>
  </si>
  <si>
    <t>DOCPPO-PGO-RICE</t>
  </si>
  <si>
    <t>Procurement of Catering Services for the conduct of 2020 Census of Population  and Housing (CPH) 4th Level Training in Dao, Capiz of PSA Capiz PSO</t>
  </si>
  <si>
    <t>Procurement of Materials for the Construction of Drainage Barangay Matatag Phase-1</t>
  </si>
  <si>
    <t>SUPPLY AND DELIVERY OF OFFICE EQUIPMENT AND SUPPLIES FOR VARIOUS DEPARTMENTS/OFFICES OF THE CITY GOVERNMENT OF MAKATI</t>
  </si>
  <si>
    <t>PROCUREMENT OF EQUIPMENT'S, REAGENTS, AND KITS FOR COVID-19 TESTING</t>
  </si>
  <si>
    <t>PROCUREMENT OF T-SHIRTS FOR 2020 LFS AND APIS</t>
  </si>
  <si>
    <t>Supply and Delivery of SDR 11PVC blue 1''dia.x100m for use of PFSATC ,Anquiray Amulung,Cagayan</t>
  </si>
  <si>
    <t>PURCHASE OF LAPTOP FOR MSWDO OFFICE</t>
  </si>
  <si>
    <t>Bid No. 20-0298 -  PROCUREMENT OF OFFICE SUPPLIES - MEEDO/CEMETERY OPERATIONS</t>
  </si>
  <si>
    <t>Procurement of Catering Services for the conduct of 2020 Census of Population  and Housing (CPH) 4th Level Training in Dumarao, Capiz of PSA Capiz PSO</t>
  </si>
  <si>
    <t>20GA0233-Standard One (1) Storey Two (2) Classroom School Building Mantiguib Elementary School, Makato, Aklan</t>
  </si>
  <si>
    <t>PR2020-EIM-01</t>
  </si>
  <si>
    <t>Purchase of Medicines and Medical supplies to be used by Women about to give birth in Ajuy Birthing Center</t>
  </si>
  <si>
    <t>Dengue Prevention &amp; Control</t>
  </si>
  <si>
    <t>Purchase of materials for school pergola, Landscaping &amp; hand washing facility of New Visayas NHS</t>
  </si>
  <si>
    <t>Supply and Delivery of Diesel Fuel for use in the maintenance of provincial roads at Southern Cagayan</t>
  </si>
  <si>
    <t>Bid No. 20-0297 -  PROCUREMENT OF JANITORIAL SUPPLIES - GSO OPERATIONS</t>
  </si>
  <si>
    <t>Agricultural Supplies for Backyard Urban Gardening</t>
  </si>
  <si>
    <t>Supply and Delivery of Medical and Laboratory Equpment of CMFDCSH (P595,000.00)</t>
  </si>
  <si>
    <t>Vehicle Rental_OPAPP Cotabato</t>
  </si>
  <si>
    <t>Procurement of 1 Unit Motorcycle for RHU 2</t>
  </si>
  <si>
    <t>FURNISHED LABOR AND MATERIALS FOR THE CONSTRUCTION OF WATER SYSTEM LEVEL 2</t>
  </si>
  <si>
    <t>20GA0232-Standard One (1) Storey Two (2) Classroom School Building Agbago Elementary School, Ibajay, Aklan</t>
  </si>
  <si>
    <t>NCR-2007-003: PROCUREMENT OF VARIOUS OFFICE SUPPLIES</t>
  </si>
  <si>
    <t>RFQ PCR RACK FOR 96 TUBES AND MICROTUBE RACK</t>
  </si>
  <si>
    <t>Bid No. 20-0300 -  PROCUREMENT OF OFFICE SUPPLIES - MEEDO OPERATIONS</t>
  </si>
  <si>
    <t>BDRRM - Supplies &amp; Materials</t>
  </si>
  <si>
    <t>UV Air Purifier</t>
  </si>
  <si>
    <t>Purchase of various spareparts and repair of Municipal Pick-up Toyota Hi-Lux (Old)</t>
  </si>
  <si>
    <t>Procurement of Rimo Blend and Curls for Supplemental Feed of CHO</t>
  </si>
  <si>
    <t>Procurement of IT Equipment and Software for CENRO</t>
  </si>
  <si>
    <t>Procurement of Catering Services for the conduct of 2020 Census of Population  and Housing (CPH) 4th Level Training in Ivisan, Capiz of PSA Capiz PSO</t>
  </si>
  <si>
    <t>Procurement of Refill of LPG Tank PR # 2020-06-19-206</t>
  </si>
  <si>
    <t>Procurement of Protective Gear of CENRO</t>
  </si>
  <si>
    <t>Procurement of IT Equipment and Software for City Mayor's Office</t>
  </si>
  <si>
    <t>Bid No. 20-0303 - PROCUREMENT OF OFFICE EQUIPMENT - MEO OPERATIONS</t>
  </si>
  <si>
    <t>Supply and Delivery of Brochure (Tipid Tips ni Gov) for Cagayanos on how to spend wisely during the pandemic</t>
  </si>
  <si>
    <t>PURCHASE AND DELIVERY OF ONE (1) UNIT OF MOTOR VEHICLE (ASIAN UTILITY VEHICLE) TO BE USED BY MAYORS OFFICE</t>
  </si>
  <si>
    <t>PURCHASE OF ID SUPPLIES</t>
  </si>
  <si>
    <t>Bid No. 20-0302 - PROCUREMENT OF OFFICE EQUIPMENT - MOTORPOOL &amp; MEO OPERATIONS</t>
  </si>
  <si>
    <t>CEMENTING OF PATHWAY AT PUROK I</t>
  </si>
  <si>
    <t>Procurement of Catering Services for the conduct of 2020 Census of Population  and Housing (CPH) 4th Level Training in Jamindan, Capiz of PSA Capiz PSO</t>
  </si>
  <si>
    <t>SOLID WASTE MGT. PROGRAM -  SUPPLIES &amp; materials 2nd qtr</t>
  </si>
  <si>
    <t>Procurement of ICT Equipment for Various Offices</t>
  </si>
  <si>
    <t>Bid No. 20-0301 - PROCUREMENT OF OFFICE EQUIPMENT - MEO OPERATIONS</t>
  </si>
  <si>
    <t>Proposed additional Riprapping of Sampalok Lake Coast and Improvement of Sampalok Lake Coastal Habitat at San Pablo City.</t>
  </si>
  <si>
    <t>Supply/Delivery of Thermal Cameras for the Session Hall and Sangguniang Bayan Office of Palo, Leyte.</t>
  </si>
  <si>
    <t>Purchase of hardware materials used for enhancement of school gate,handwashing facilities and repainting flower boxes and school peremeter fence for La Purisima ES</t>
  </si>
  <si>
    <t>Paraphernalia for Brgy Police Force, Traffic Officers, BSF Volunteers</t>
  </si>
  <si>
    <t>MUSHROOM HOUSE @ POBLACION, LA LIBERTAD, ZN.</t>
  </si>
  <si>
    <t>Procurement of Feeds of OCAS</t>
  </si>
  <si>
    <t>ASSISTIVE DEVICE PERSONS WITH DISABILITIES AND SENIOR CITIZENS</t>
  </si>
  <si>
    <t>Bid No. 20-0299 -  PROCUREMENT OF JANITORIAL SUPPLIES - MEEDO/CEMETERY OPERATIONS</t>
  </si>
  <si>
    <t>Improvement of HE/TLE Room</t>
  </si>
  <si>
    <t>Procurement of 1 Unit Motorcycle for SP Office</t>
  </si>
  <si>
    <t>School and Office Supplies 2020</t>
  </si>
  <si>
    <t>Invitation to Bid (Construction of Kayapa Fire Station)</t>
  </si>
  <si>
    <t>Bid No. 20-0305 - PROCUREMENT OF OFFICE EQUIPMENT - MO/RADIO ROOM SECTIONS</t>
  </si>
  <si>
    <t>Concreting of Road</t>
  </si>
  <si>
    <t>RFQ for June 2020 jhs - Common Office Supplies</t>
  </si>
  <si>
    <t>RFQ AIR COOLER</t>
  </si>
  <si>
    <t>Procurement of Roll up PR # 2020-06-19-206</t>
  </si>
  <si>
    <t>SOCIAL FUND - 1ST QTR</t>
  </si>
  <si>
    <t>Procurement of BATTERY, 12V, 13 PLATES</t>
  </si>
  <si>
    <t>PURCHASE OF UV LAMP W/ REMOTE &amp; UV CAR W/ REMOTE FOR LGU-BURAUEN</t>
  </si>
  <si>
    <t>Procurement of Books of CSWD</t>
  </si>
  <si>
    <t>Food Assistance for Frontliners</t>
  </si>
  <si>
    <t>Procurement of Isopropyl Alcohol</t>
  </si>
  <si>
    <t>Bid No. 20-0308 - PROCUREMENT OF OFFICE EQUIPMENT - PESO/CTEC OPERATIONS</t>
  </si>
  <si>
    <t>Procurement of Materials for the Construction of Madrasa Sitio Magsagad, Barangay Baas, Lamitan City</t>
  </si>
  <si>
    <t>PR NO. 20-06-231 (2020-07-223) PROCUREMENT OF PRIMARY FUSE CUT-OUT ASSEMBLY AND HOTLINE CLAMP</t>
  </si>
  <si>
    <t>Bid No. 20-0304 -  PROCUREMENT OF JANITORIAL SUPPLIES - MPDO OPERATIONS</t>
  </si>
  <si>
    <t>Procurement of Catering Services for the conduct of 2020 Census of Population  and Housing (CPH) 4th Level Training in Maayon, Capiz of PSA Capiz PSO</t>
  </si>
  <si>
    <t>0396 ARV Medicine Cabinet</t>
  </si>
  <si>
    <t>Installation of Water System</t>
  </si>
  <si>
    <t>Supply and Delivery of Vaccines for Anti-Rabies Vaccination</t>
  </si>
  <si>
    <t>Purchase and delivery of Laptop Computer use for DepEd Gabaldon District Office</t>
  </si>
  <si>
    <t>Bid No. 20-0307 -  PROCUREMENT OF OFFICE EQUIPMENT - MENRO OPERATIONS</t>
  </si>
  <si>
    <t>RFQ for May 2020 jhs-Office Equipment</t>
  </si>
  <si>
    <t>PGO-FOOD STUFF</t>
  </si>
  <si>
    <t>purchase of office supplies</t>
  </si>
  <si>
    <t>Procurement of Audio Visual and IT Equipment for ICT</t>
  </si>
  <si>
    <t>0395 ICT Equipment</t>
  </si>
  <si>
    <t>Bid No. 20-0306 - PROCUREMENT OF OFFICE EQUIPMENT - MENRO</t>
  </si>
  <si>
    <t>Procurement of Monitor for Drone Remote Controller for Official use of PENRO Negros Occidental</t>
  </si>
  <si>
    <t>CIVIL WORKS FOR CONCRETING OF V.C. ACAAC STREET</t>
  </si>
  <si>
    <t>SUPPLY AND DELIVERY OF VARIOUS CONSTRUCTION MATERIALS FOR REPAIR AND REHAB OF BARANGAY HALL, STO. NIÑ0, MAGALLANES, AGUSAN DEL NORTE</t>
  </si>
  <si>
    <t>20CB-GSC-385 PURCHASE OF IT EQUIPMENT</t>
  </si>
  <si>
    <t>OFFICE SUPPLIES &amp; MATERIALS 2ND QTR</t>
  </si>
  <si>
    <t>Cementing of the Floor Area near the Entrance/Exit Gate and Repair of Gate</t>
  </si>
  <si>
    <t>PROCUREMENT OF OFFICE AND JANITORIAL SUPPLIES FOR VARIOUS LGU OFFICES-1ST HALF 2020</t>
  </si>
  <si>
    <t>PROCUREMENT OF COMPUTER SUPPLIES FOR VARIOUS LGU OFFICES-1ST HALF 2020</t>
  </si>
  <si>
    <t>Bid No. 20-0310 -  PROCUREMENT OF OFFICE EQUIPMENT - MO/MTC OPERATIONS</t>
  </si>
  <si>
    <t>RFQ TUBERCULIN, PURIFIED PROTEIN DERIVATIVE AND IPRATROPIUM + SALBUTAMOL MDI</t>
  </si>
  <si>
    <t>CONSTRUCTION OF TWO BARREL BOX CULVERT/WITH 2 SPAN PAVEMENT AT BARANGAY MARZAN, SANCHEZ MIRA, CAGAYAN</t>
  </si>
  <si>
    <t>C.O., BDF &amp; RRMF 2020</t>
  </si>
  <si>
    <t>2020-06-324 CANVASS FOR MEDICAL SUPPLIES</t>
  </si>
  <si>
    <t>Procurement of Materials for Improvement of PhilCeramics Building at Brgy. Putsan</t>
  </si>
  <si>
    <t>Procurement of Catering Services for the conduct of 2020 Census of Population  and Housing (CPH) 4th Level Training in Panitan, Capiz of PSA Capiz PSO</t>
  </si>
  <si>
    <t>EQUIPMENT RENTAL FOR 15 DAYS</t>
  </si>
  <si>
    <t>0397 Paper Shredder</t>
  </si>
  <si>
    <t>Procurement of materials for the Improvement of Slope Protection at Casilagan Integrated National High School</t>
  </si>
  <si>
    <t>Bid No. 20-0309 - PROCUREMENT OF OFFICE SUPPLIES - MPDO/SMPS OPERATIONS</t>
  </si>
  <si>
    <t>REHABILITATION OF STREET LIGHTS</t>
  </si>
  <si>
    <t>RFQ for June 2020 jhs - Office Equipment</t>
  </si>
  <si>
    <t>BPSU:AC-DEAN OFFICE EQUIPMENT</t>
  </si>
  <si>
    <t>Training Expenses</t>
  </si>
  <si>
    <t>Procurement of Vitamin C- Sodium Ascorbate</t>
  </si>
  <si>
    <t>Repair and Maintenance of Day Care Center</t>
  </si>
  <si>
    <t>CONSTRUCTION OF RESERVOIR @ BRGY. LOWER SANG AN, LABANGAN ZDS</t>
  </si>
  <si>
    <t>Procurement of Catering Services for the conduct of 2020 Census of Population  and Housing (CPH) 4th Level Training in Pilar, Capiz of PSA Capiz PSO</t>
  </si>
  <si>
    <t>Purchase of Hardware for pergula improvement, installation of handwashing facilities,beautification of school ground and enhancement of school signage for Manuel J. Labindao ES</t>
  </si>
  <si>
    <t>0400 Hygiene Kit</t>
  </si>
  <si>
    <t>Request for Quotation for the Provision of Catering services to be served during the conduct of Two batches of Training on GAP Corn-Based Farming System held on July 29-31, 2020 at Kibawe, Bukidnon</t>
  </si>
  <si>
    <t>Procurement of Catering Services for the conduct of 2020 Census of Population  and Housing (CPH) 4th Level Training in Mambusao, Capiz of PSA Capiz PSO</t>
  </si>
  <si>
    <t>Construction Materials and Supplies JRMPII-053-2020</t>
  </si>
  <si>
    <t>Furniture Parts and Accessories</t>
  </si>
  <si>
    <t>Request for Quotation (FRAME FOR THE ENLARGE PHOTO,etc.)</t>
  </si>
  <si>
    <t>Procurement of 90 Kilogram Rice, etc. under P.R.No. 1531-2020-City Social Welfare Development Office</t>
  </si>
  <si>
    <t>Bid No. 20-0312 - PROCUREMENT OF OFFICE SUPPLIES - MO/ADMIN SECTION</t>
  </si>
  <si>
    <t>COUNTERPART FOR THE REHABILITATION AND MAINTENANCE OF BARANGAY ROAD @ BRGY. LOWER SANG AN, LABANGAN ZDS</t>
  </si>
  <si>
    <t>Repair and Maintenance of Day Care Center @ Brgy. Proper</t>
  </si>
  <si>
    <t>Purchase of Rice - LGU</t>
  </si>
  <si>
    <t>Procurement of Geotagging Equipment for Official Use of PENRO Negros Occidental</t>
  </si>
  <si>
    <t>Supply and Delivery of Videoke MAchine</t>
  </si>
  <si>
    <t>PGO-TOURISM-TECHNICAL &amp; SCIENTIFIC EQUIPMENT</t>
  </si>
  <si>
    <t>Procurement of Ambulance</t>
  </si>
  <si>
    <t>Procurement of Catering Services for the conduct of 2020 Census of Population  and Housing (CPH) 4th Level Training in Pontevedra, Capiz of PSA Capiz PSO</t>
  </si>
  <si>
    <t>1.	Supply and delivery of fuel for  LGU owned vehicles and equipment for the 3rd  Quarter of  2020.</t>
  </si>
  <si>
    <t>Invitation to Bid (Construction of Alfonso Castaneda Fire Station)</t>
  </si>
  <si>
    <t>PTC INABANGA EIM ASSESSMENT</t>
  </si>
  <si>
    <t>Purchase of 1 set desktop computer,1 unit netbook, 1 unit printer</t>
  </si>
  <si>
    <t>20CB-GSC-389 PURCHASE OF FUSE BOX FOR CEO (RE-BID)</t>
  </si>
  <si>
    <t>RFQ-20-017 - Procurement/Purchase of Various Office Supplies for use in the DPWH, Leyte 5th District Engineering Office, Baybay City, Leyte</t>
  </si>
  <si>
    <t>RFQ-DVO. PR NO. 2005213 CAT. 32 JANITORIAL SUPPLIES AND MATERIALS</t>
  </si>
  <si>
    <t>PURCHASE OF GARBAGE TRUCK @ BRGY. LOWER SANG AN, LABANGAN, ZDS</t>
  </si>
  <si>
    <t>RFQ for July 2020 jhs - DRRM Supplies</t>
  </si>
  <si>
    <t>Procurement of Catering Services for the conduct of 2020 Census of Population  and Housing (CPH) 4th Level Training in Pres. Roxas, Capiz of PSA Capiz PSO</t>
  </si>
  <si>
    <t>Const. Supplies &amp; Materials for the Continuation of Rehab of Brgy. Road to Rangkayan</t>
  </si>
  <si>
    <t>Water System at brgy. Samay</t>
  </si>
  <si>
    <t>CONSTRUCTION OF EVACUATION CENTER @ NEW BATAAN, LA LIBERTAD, ZN.</t>
  </si>
  <si>
    <t>FRQ No.:2020-022-JULY (PR No.:2020-06-022) - Construction Materials and Supplies</t>
  </si>
  <si>
    <t>REQUEST FOR QUOTATION - STEEL FITTINGS</t>
  </si>
  <si>
    <t>PURCHASE OF FUEL, OIL AND LUBRICANTS</t>
  </si>
  <si>
    <t>Suppy and Delivery of office supplies  for the Office of the Municipal Mayor</t>
  </si>
  <si>
    <t>Purchase of One (1) unit Backhoe Excavator with Hydraulic Quick Coupler</t>
  </si>
  <si>
    <t>Request for Quotation for use of NOPOL CIS CY2020</t>
  </si>
  <si>
    <t>RFQ-064-2020-SVP - Supply and Delivery of Mobile Phone for Project Monitoring using FGIS Software</t>
  </si>
  <si>
    <t>Supply, Delivery and Installation of Split Type Air Conditioner</t>
  </si>
  <si>
    <t>Procurement of Vegetables Seeds</t>
  </si>
  <si>
    <t>Supply and Delivery of Materials for the Native Chicken Production of SDSSU San Miguel Campus</t>
  </si>
  <si>
    <t>Request for Quotation for the supply and delivery of 2 sets of read and bill device</t>
  </si>
  <si>
    <t>Purchase of Motorcycle</t>
  </si>
  <si>
    <t>ESTABLISHMENT OF BARANGAY CENTRAL COMPOST PIT @ BRGY. LOWER SANG AN, LABANGAN ZDS</t>
  </si>
  <si>
    <t>PURCHASE &amp; INSTALLATION OF CCTV CAMERA</t>
  </si>
  <si>
    <t>RFQ-DVO-PR.NO. 2006188 CAT. 92 UMBRELLA</t>
  </si>
  <si>
    <t>Procurement of Catering Services for the conduct of 2020 Census of Population  and Housing (CPH) 4th Level Training in Panay, Capiz of PSA Capiz PSO</t>
  </si>
  <si>
    <t>Supply and Delivery of Equipment for SSCT Laboratory Instructional use</t>
  </si>
  <si>
    <t>1 UNIT DENTAL CHAIR</t>
  </si>
  <si>
    <t>20NA0063 (Re-ad) Repair/Maintenance of Cabadbaran Revetment, Brgy. 3 Poblacion (Downstream L/S), Cabadbaran City, Agusan del Norte (Sta. 0+000 - Sta. 0+041; Sta. 0+102 - Sta. 0+122)</t>
  </si>
  <si>
    <t>Bid No. 20-0317 - PROCUREMENT OF AGRICULTURAL PRODUCTS (SEEDLINGS) - MENRO/ REFORESTATION PROGRAM</t>
  </si>
  <si>
    <t>CellCard and Supply for Training workshop of MAPEH teachers on Development of ADM in Mapeh Quarter 2, Grades 1-12, Online-Offline Batch 2</t>
  </si>
  <si>
    <t>RFQ/ Printing of Modules Senior High School</t>
  </si>
  <si>
    <t>REHABILITATION OF MULTI-PURPOSE HALL AT SALCEDO, LUNA, LA UNION</t>
  </si>
  <si>
    <t>Procurement of Materials for the Integrated Community Food Production (ICFP) Project</t>
  </si>
  <si>
    <t>Supply and Delivery of Food Supplies</t>
  </si>
  <si>
    <t>RFQ-20-022 - Procurement of Various Materials, for use in the AUTOMATED TRAFFIC DATA COLLECTION PROGRAM CY 2020 within the Fifth District of Leyte</t>
  </si>
  <si>
    <t>For Building Maintenance.CMO-Non-Office</t>
  </si>
  <si>
    <t>Request for Quotation for the Provision of Catering services to be served during the conduct of Two batches of Training on GAP Corn-Based Farming System held on August 12-14, 2020 at Naawan, Misamis O</t>
  </si>
  <si>
    <t>Procurement of Catering Services for the conduct of 2020 Census of Population  and Housing (CPH) 4th Level Training in Roxas City, Capiz of PSA Capiz PSO</t>
  </si>
  <si>
    <t>Bid No. 20-0339 - PROCUREMENT OF CONSTRUCTION MATERIALS - MEEDO (REPAIR AND MAINTENANCE FOR PUBLIC MARKET SITE 3RD QUARTER)</t>
  </si>
  <si>
    <t>RFQ-20-021 - Procurement of Various Equipment and Materials, for the Conduct Roadside Unit Operation of NRTSP CY 2020 within the Fifth District of Leyte</t>
  </si>
  <si>
    <t>Purchase of school and office supplies for Tagapua ES</t>
  </si>
  <si>
    <t>RFQ-DVO-PR.NO. 2006212 CAT. 87 OXYGEN AND ACETYLENE</t>
  </si>
  <si>
    <t>Purchase of P.E. Water Tank</t>
  </si>
  <si>
    <t>RFQ for July 2020 jhs - Office Equipment</t>
  </si>
  <si>
    <t>PCDP : 50 box DISPOSABLE MASK UP TO 1  box ASCORBIC ACID TABLETS PROTECTIVE EQUIPMENT AND MEDICAL SUPPLIES TO BE USE FOR THE UPCOMING ARRIVAL OF DEPORTEES</t>
  </si>
  <si>
    <t>PROCUREMENT OF VARIOUS VEHICLE PARTS FOR NISSAN NAVARA (4X4, 2012 MODEL)</t>
  </si>
  <si>
    <t>Supply &amp; Delivery of Airconditioning Unit</t>
  </si>
  <si>
    <t>Purchase of Fire Extinguisher</t>
  </si>
  <si>
    <t>IMPROVEMENT OF MULTI PURPOSE BUILDING</t>
  </si>
  <si>
    <t>RFQ-20-019 - Procurement of Genuine Parts, Supplies and Materials for use in the Preventive Maintenance of 2 unit Mitsubishi Strada GL 2.5D, 4WD, MY-2017 with DPWH # H1-6287 and H1-6862 assigned at Pl</t>
  </si>
  <si>
    <t>Procurement of IT Equipment</t>
  </si>
  <si>
    <t>20BA0054: CONSTRUCTION OF MULTI-PURPOSE BUILDING (COVERED COURT), BRGY. SAN ANTONIO, BASCO, BATANES</t>
  </si>
  <si>
    <t>Slope protection (riprapping of Evacuation Center) Phase III</t>
  </si>
  <si>
    <t>Bid No. 20-0341 - PROCUREMENT OF 1 UNIT WATER DISPENSER - MEEDO/SLAUGHTER HOUSE 3RD QUARTER</t>
  </si>
  <si>
    <t>License Upgrading for Perpetual Backup and Recovery Software with 1 Year Support</t>
  </si>
  <si>
    <t>Supply and Delivery of Digital Type Clamp Meter</t>
  </si>
  <si>
    <t>TANOD SUPPLIES</t>
  </si>
  <si>
    <t>Supply and Delivery of Office Supplies for Municipal Mayor, MSWD, DILG and Municipal Assessor's Office</t>
  </si>
  <si>
    <t>Purchase and Installation of CCTV Camera</t>
  </si>
  <si>
    <t>Procurement of Catering Services for the conduct of 2020 Census of Population  and Housing (CPH) 4th Level Training in Sapian, Capiz of PSA Capiz PSO</t>
  </si>
  <si>
    <t>Construction Materials for the Improvement of Sewerlines of City Wastewater Treatment Facility</t>
  </si>
  <si>
    <t>RFQ-DVO-PR.NO. 2006237 CAT. 80 FUEL, OIL, LUBRICANTS AND SERVICING</t>
  </si>
  <si>
    <t>RFQ-DVO-PR.NO. 2006281 CAT. 80 FUEL, OIL, LUBRICANTS AND SERVICING</t>
  </si>
  <si>
    <t>Supply and Delivery of Electrical Supplies for SPFIDO (ESAO/PR 20-06-130)</t>
  </si>
  <si>
    <t>Construction of Covered Court Talisayan National High School, Talisayan, Misamis Oriental</t>
  </si>
  <si>
    <t>1 LOT PAINTING MATERIALS</t>
  </si>
  <si>
    <t>RFQ-20-020 - Procurement of Genuine Parts, Supplies and Materials for use in the Preventive Maintenance of Mitsubishi Strada GL 2.5D, 2WD MT-2017MY with DPWH # H1-6286 assigned at Construction Section</t>
  </si>
  <si>
    <t>MEDICAL SUPPLIES FOR CVAC SA BARANGAY PROGRAM</t>
  </si>
  <si>
    <t>Repair of Rescue Vehicle</t>
  </si>
  <si>
    <t>Bid No. 20-0340 - PROCUREMENT OF CONSTRUCTION MATERIALS - MEEDO (REPAIR &amp; MAINTENANCE OF MARKET BUILING 3RD QUARTER)</t>
  </si>
  <si>
    <t>Toilet Bowls</t>
  </si>
  <si>
    <t>RFQ-20-018 - Procurement/Purchase of Various Office Supplies for use in the office, DPWH, Leyte 5th District Engineering Office, Baybay City, Leyte</t>
  </si>
  <si>
    <t>Supply and delivery of 1 set Conference Table, 12 seaters with 12 pcs. high back chairs for use at Day Center for the Senior Citizen's Program. ABC PHP92,000.00</t>
  </si>
  <si>
    <t>RFQ-DVO-PR.NO. 2006187 CAT. 80 FUEL, OIL, LUBRICANTS AND SERVICING</t>
  </si>
  <si>
    <t>Bid No. 20-0316 - PROCUREMENT OF CONSTRUCTION MATERIALS - MEO (COMPLETION OF DAY CENTER - MUNICIPAL COMPOUND, MARAGUSAN DAVAO DE ORO)</t>
  </si>
  <si>
    <t>Construction of Mangansag Road Leading to Mangansag Port</t>
  </si>
  <si>
    <t>Procurement of Catering Services for the conduct of 2020 Census of Population  and Housing (CPH) 4th Level Training in Sigma, Capiz of PSA Capiz PSO</t>
  </si>
  <si>
    <t>Supply &amp; Installation 3 units 37.5 KVA Dist. Transformer INC. Pole Line Materials</t>
  </si>
  <si>
    <t>Bid No. 20-0315 - PROCUREMENT OF INDUSTRIAL EQUIPMENT - MEO &amp; MOTORPOOL OPERATIONS</t>
  </si>
  <si>
    <t>Repair of Anaesthesia Machine</t>
  </si>
  <si>
    <t>MATERIAL FOR STREET LIGHT FACILITIES BRGY. CABINUANGAN, NEW BATAAN</t>
  </si>
  <si>
    <t>Supply and Delivery of Medical and Laboratory Equpment of CMFDCSH (P750,000.00)</t>
  </si>
  <si>
    <t>RFQ for April 2020 shs - Office Equipment</t>
  </si>
  <si>
    <t>FLASH DRIVE</t>
  </si>
  <si>
    <t>Purchase of hardware materials for entrance gate and washing facilities for Tagapua ES</t>
  </si>
  <si>
    <t>Procurement of hardware materials for Slaughterhouse</t>
  </si>
  <si>
    <t>Information Technology Parts and Accessories &amp; Perip</t>
  </si>
  <si>
    <t>Furnishing Office Furniture for Various Offices (BPLO,MO &amp; MBO) in this Municipality of Santa Cruz Laguna</t>
  </si>
  <si>
    <t>LAbor &amp; MAterials for REpair of VArious Equipments</t>
  </si>
  <si>
    <t>Office Equipment - MAO</t>
  </si>
  <si>
    <t>Construction of Drainage Canal along M.S. Evangelista St. (Phase II)</t>
  </si>
  <si>
    <t>Procurement of Catering Services for the conduct of 2020 Census of Population  and Housing (CPH) 4th Level Training in Tapaz, Capiz of PSA Capiz PSO</t>
  </si>
  <si>
    <t>Supply &amp; Delivery of Consolidated Office Furniture &amp; Fixture 2nd Quarter</t>
  </si>
  <si>
    <t>20NA0065 (Re-ad) Repair/Maintenance of Baleguian Flood Control (Tamping Creek), Brgy. Baleguian, Jabonga, Agusan del Norte (Sta. 0+050 - Sta. 0+132)</t>
  </si>
  <si>
    <t>PROCUREMENT OF PHOTOCOPYING MACHINE</t>
  </si>
  <si>
    <t>Purchase of Medical and Dental Supplies</t>
  </si>
  <si>
    <t>SUPPLY AND DELIVERY OF HARDWARE MATERIALS FOR THE CONSTRUCTION OF BRGY. HEALTH STATION BUILDING</t>
  </si>
  <si>
    <t>R&amp;M of Communication Equipment</t>
  </si>
  <si>
    <t>Procurement of Steel Cabinet</t>
  </si>
  <si>
    <t>CELLCARDS:ALLOCATION FOR SLP REGULAR STAFF FOR 2ND QUARTER CY 2020</t>
  </si>
  <si>
    <t>Supply of Materials for the Construction of Multipurpose Building Phase 2</t>
  </si>
  <si>
    <t>LGU-COR. 2020-34</t>
  </si>
  <si>
    <t>Procurement of construction materials for Concreting of Road @ Villa Carmen-Pinion Road, San Juan</t>
  </si>
  <si>
    <t>DESKTOP COMPUTER FOR NEWS PRINTING AND OTHER PURPOSES</t>
  </si>
  <si>
    <t>VARIOUS AIRCON FOR USE OF BRGY. MANGGAHAN</t>
  </si>
  <si>
    <t>Procurement of various Furnishings &amp; Fixtures for Higher Education Department</t>
  </si>
  <si>
    <t>Provision for Integrated Research Information System of University of Antique</t>
  </si>
  <si>
    <t>P.R NO. 100-2020-05-0322 REPAIR OF TOYOTA HILUX SJC 535</t>
  </si>
  <si>
    <t>Procurement of construction materials for Concreting of Road @ Purok 5 Delos Reyes Portion, San Marcos</t>
  </si>
  <si>
    <t>Construction of Flooring Pavement (Dog Cage) at Eco Park @ Samal,Bataan</t>
  </si>
  <si>
    <t>RFQ-DVO-PR.NO. 2006115 CAT. 73 CONSTRUCTION REPAIR</t>
  </si>
  <si>
    <t>CONSTRUCTION OF SITIO LUMAMBAO PATHWAY -PHASEVI</t>
  </si>
  <si>
    <t>Office Supplies Expenses</t>
  </si>
  <si>
    <t>Supply and Delivery of Laptop Computer for SPFIDO (ESAO/PR 20-06-132)</t>
  </si>
  <si>
    <t>Bid No. 20-0314 -  PROCUREMENT OF OFFICE SUPPLIES - MDRRMO OPERATIONS</t>
  </si>
  <si>
    <t>RFQ for July 2020 jhs - Common Office Supplies</t>
  </si>
  <si>
    <t>20CSKK0005 - Conduct of Soil Testing/Exploration for Multi-Storey School Buildings and Preliminary Detailed Engineering (PDE) CY 2020 Basic Educational Facilities Fund (New Construction of Classrooms)</t>
  </si>
  <si>
    <t>Supply and Delivery of Laptop Memory (PR No. 2020-434)</t>
  </si>
  <si>
    <t>Provision of meals and snacks for the meeting of the Newly COllege Graduate and Outh of School Youth with the Municipal Mayor</t>
  </si>
  <si>
    <t>Procurement of Prepaid cell card</t>
  </si>
  <si>
    <t>20CB-GSC-388 PURCHASE OF SPARE PARTS FOR VOLVO EQUIPMENTS (RE-BID)</t>
  </si>
  <si>
    <t>Bid No. 20-0313 -  PROCUREMENT OF OFFICE SUPPLIES - BFP (BUREAU OF FIRE) DEPARTMENT</t>
  </si>
  <si>
    <t>P.R NO. 100-2020-06-0032 PURCHASE OF OFFICE EQUIPMENT USE FOR BFP ABUYOG STATION</t>
  </si>
  <si>
    <t>Purchase of Airconditioning Systtem &amp; Steel Filing Cabinets</t>
  </si>
  <si>
    <t>Repair and Maintenance-Watercrafts</t>
  </si>
  <si>
    <t>PURCHASE OF LABORATORY EQUIPMENT FOR THE SCHOOL OF ENGINEERING</t>
  </si>
  <si>
    <t>Purchase of materials for the Fabrication of Hands Free Wash Station (for COVID), Lambunao, Iloilo</t>
  </si>
  <si>
    <t>0399 Table Set</t>
  </si>
  <si>
    <t>300 Graphic Design, Creative and Printing Services for ECC 2019 Annual Report</t>
  </si>
  <si>
    <t>20GA0235-Standard One (1) Storey Two (2) Classroom School Building Jawili Integrated School, Tangalan, Aklan</t>
  </si>
  <si>
    <t>12 sacks Rice and other items for malnourished Pre-schooler children and pregnant women from 25 Barangay of the City Of Dumaguete for CY 2020.</t>
  </si>
  <si>
    <t>20CSJD01(ReAdvertisement) -  Consultancy Services for the Geotechnical and Geological Survey/Investigation for the Proposed Construction/Extension of Three (3) Flood Control Structures (CLUSTER BATCH</t>
  </si>
  <si>
    <t>Provision of pakyaw services of two (2) Project Assistant I for the implementation of Rice Resiliency Project under Rice Banner Program for July-December 2020 in the province of Ilocos Norte</t>
  </si>
  <si>
    <t>Supply and Delivery of Laptop (PR No. 2020-432)</t>
  </si>
  <si>
    <t>Supply and Delivery of CARIS Project Chart Composer Software</t>
  </si>
  <si>
    <t>Rehabilitation of Covered Court</t>
  </si>
  <si>
    <t>SUPPLY AND DELIVERY OF ONE (1) UNIT WATER PUMP AND MOTOR ASSEMBLY/SUPPLY AND DELIVERY OF THREE (3) UNITS FOUNTAIN WATER PUMP</t>
  </si>
  <si>
    <t>Asphalt Overlay at C.P. Romulo Street</t>
  </si>
  <si>
    <t>Supply and Delivery of uPVC Flexible Conduit Pipe and Electrical Wire</t>
  </si>
  <si>
    <t>RFQ for May 2020 shs - Hardware and Construction Supplies</t>
  </si>
  <si>
    <t>20CB-GSC-387 PURCHASE OF FURNITURE &amp; FIXTURES (TRUST FUND)</t>
  </si>
  <si>
    <t>Food Supplies Expenses</t>
  </si>
  <si>
    <t>Procurement of Materials for the Improvement of eCenter at Brgy. Joroan</t>
  </si>
  <si>
    <t>Bid No. 20-0311 - PROCUREMENT OF OFFICE SUPPLIES - MEO OPERATIONS</t>
  </si>
  <si>
    <t>Purchase of Material Recovery Facility (MRF) Equipment - San Fabian, Pangasinan</t>
  </si>
  <si>
    <t>Supply and delivery of 240 cu. m. earthfill</t>
  </si>
  <si>
    <t>0398 Other Supplies and Materials</t>
  </si>
  <si>
    <t>Improvement of Multi-Purpose Building (Fab. 7 Installation of Grills)</t>
  </si>
  <si>
    <t>20GA0234-Standard One (1) Storey Two (2) Classroom School Building Nabas Elementary School, Nabas, Aklan</t>
  </si>
  <si>
    <t>RFQ FOR OFFICE SUPPLIES</t>
  </si>
  <si>
    <t>Improvement of health center/Extention of RHU</t>
  </si>
  <si>
    <t>RFQ for June 2020 jhs - Ink and Printing Supplies</t>
  </si>
  <si>
    <t>Procurement of Office Supplies for CSWDO</t>
  </si>
  <si>
    <t>Bid No. 20-0342 -  PROCUREMENT OF OFFICE EQUIPMENT - MACCO OPERATIONS</t>
  </si>
  <si>
    <t>NEWSPAPER ADVERTISEMENT IN MAJOR DAILY  FOR THE 2020 NAST AWARDS</t>
  </si>
  <si>
    <t>Procurement of Materials for the Construction of Madrasa Sitio Lipag, Cabobo, Lamitan City</t>
  </si>
  <si>
    <t>purchase of construction materials</t>
  </si>
  <si>
    <t>20CB-GSC-386 PURCHASE OF DIESEL AND GASOLINE</t>
  </si>
  <si>
    <t>Procurement of Camera for ICT</t>
  </si>
  <si>
    <t>Bid No. 20-0296 - PROCUREMENT OF OFFICE SUPPLIES - MO/MCMC OPERATIONS</t>
  </si>
  <si>
    <t>PROCUREMENT OF MATERIALS FOR THE IMPROVEMENT OF MULTI-PURPOSE HALL</t>
  </si>
  <si>
    <t>Supply and Delivery of Equipment, Furniture and Other Supplies for Guidance Office Use of SDSSU San Miguel Campus</t>
  </si>
  <si>
    <t>Procurement of Aircon Compressor</t>
  </si>
  <si>
    <t>FOR EXAMPLE- PRINTER</t>
  </si>
  <si>
    <t>Supply and Delivery of Hot Dip Galvanized Bolt with Nut</t>
  </si>
  <si>
    <t>Purchase HandHeld Radio</t>
  </si>
  <si>
    <t>20CSJD02(Readvertisement) - Consultancy Services for the Geotechnical and Geological Survey/Investigation for the Proposed Construction of Four (4) Bridges (CLUSTER BATCH 1)</t>
  </si>
  <si>
    <t>VARIOUS SETS OF COMPUTER W/ PRINTER</t>
  </si>
  <si>
    <t>RFQ for May 2020 shs - Office Equipment</t>
  </si>
  <si>
    <t>20AA0352 - CONSTRUCTION OF MULTI-PURPOSE BUILDING, PARANG ELEMENTARY SCHOOL, BACARRA, ILOCOS NORTE</t>
  </si>
  <si>
    <t>COST OF SUPPLY, DELIVERY AND INSTALLATION OF SOLAR STREET LIGHT AT SOUTHVILLE 9, BARANGAY PINUGAY, BARAS, RIZAL</t>
  </si>
  <si>
    <t>PURCHASE OF 2 UNITS LAPTOP</t>
  </si>
  <si>
    <t>Bid No. 20-0345 -  PROCUREMENT OF OFFICE SUPPLIES - DILG/SK SECTION</t>
  </si>
  <si>
    <t>INVITATION TO BID FOR THE INSTALLATION/CONSTRUCTION OF SLOPE PROTECTION AT PALARIS, BARANGAY POBLACION, LINGAYEN, PANGASINAN</t>
  </si>
  <si>
    <t>LGU-COR. 2020-070</t>
  </si>
  <si>
    <t>Various Laboratory Supplies_PR 11140</t>
  </si>
  <si>
    <t>SUPPLY AND DELIVERY OF EQUIPMENT, PAINTS AND OTHER MATERIALS FOR TRAFFIC SIGNAGE AND ROAD PEDXING (2ND POSTING)</t>
  </si>
  <si>
    <t>Purchase of Flashlight</t>
  </si>
  <si>
    <t>PURCHASE OF ICT EQUIPMENT AND SUPPLIES (FUND 164)</t>
  </si>
  <si>
    <t>Preventive Maintenance Services for Ford Escort Van unit 2448, per BSP TOR</t>
  </si>
  <si>
    <t>Materials for De-Clogging of Drainage Lines, etc</t>
  </si>
  <si>
    <t>Provision of One (1) Unit Automatic Weather Station</t>
  </si>
  <si>
    <t>OFFICE SUPPLIES AND CONSUMABLE</t>
  </si>
  <si>
    <t>COMPLETION OF KALASAG CENTER</t>
  </si>
  <si>
    <t>Bid No. 20-0344 - PROCUREMENT OF CONSTRUCTION MATERIALS - MEO (CONSTRUCTION OF MP HALL - MUNICIPAL COMPOUND, MARAGUSAN, DAVAO DE ORO PROVINCE)</t>
  </si>
  <si>
    <t>PROCUREMENT OF IT EQUIPMENT FOR OFFICE OF THE MUNICIPAL CIVIL REGISTRAR</t>
  </si>
  <si>
    <t>Medical, Dental and Laboratory Supplies Expenses</t>
  </si>
  <si>
    <t>Purchase of Complete Fertilizer for Rice Production of Municipal Agriculture Office Gumaca, Quezon</t>
  </si>
  <si>
    <t>OVERHEAD DOOR-CLOSER	GSD M-20-110</t>
  </si>
  <si>
    <t>Purchase of IT Equipment, Parts &amp; Accessories</t>
  </si>
  <si>
    <t>PURCHASE OF VARIOUS PRINTER &amp; PRINTER SCANNER</t>
  </si>
  <si>
    <t>CONSTRUCTION MATERIALS FOR IMPROVEMENT OF VARIOUS STRUCTURES</t>
  </si>
  <si>
    <t>Construction Supplies</t>
  </si>
  <si>
    <t>Semi Expendable Machinery &amp; Equip-Sports Equip-PKOC-PhP93,000.00)</t>
  </si>
  <si>
    <t>Construction of Pathway-so Pulo</t>
  </si>
  <si>
    <t>SUPPLY AND DELIVERY OF VARIOUS ITEMS TO BE USED FOR COVID-19 OPERATION, LGU-SFADS</t>
  </si>
  <si>
    <t>RFQ-DVO-PR.NO. 2006265 CAT. 10 COMPUTER EQUIPMENT AND ACCESSORIES</t>
  </si>
  <si>
    <t>RENOVATION OF ADMINISTRATIVE BUILDING</t>
  </si>
  <si>
    <t>Temporary Isolation Facility</t>
  </si>
  <si>
    <t>Office Supplies - MAO</t>
  </si>
  <si>
    <t>Bid No. 20-0346 -  PROCUREMENT OF OFFICE SUPPLIES - DILG/ABC SECTION</t>
  </si>
  <si>
    <t>Supply and Delivery of GI and 3/4 Crushed Gravel</t>
  </si>
  <si>
    <t>Procurement of 150 Pax Meal(1) and Snack(2) without Venue under P.R No. 2530-2020 -City Planning and Development Office</t>
  </si>
  <si>
    <t>Materials for Improvement of Multi-Purpose Building Brgy. Maybato North San Jose dB, Antique</t>
  </si>
  <si>
    <t>Purchase of office supplies for MPDO</t>
  </si>
  <si>
    <t>Construction/Rehabilitation of Breakwater</t>
  </si>
  <si>
    <t>Materials for the Construction of Cloning Bin and Shed at Brgy. Sucob</t>
  </si>
  <si>
    <t>Procurement of I.T. Equipment, SAN JOSE CITY NUEVA ECIJA</t>
  </si>
  <si>
    <t>Request for Quoation - Chargeable against Information Technology Equipment-Capital Outlay of 2020 Budget</t>
  </si>
  <si>
    <t>General Merchandise</t>
  </si>
  <si>
    <t>Materials for the Construction of Day Care Center at Brgy. Poblacion</t>
  </si>
  <si>
    <t>Website Development-LGU Alfonso Lista</t>
  </si>
  <si>
    <t>RFQ CRYO-STORAGE RACK IN HINGED BOX</t>
  </si>
  <si>
    <t>RENOVATION AND REPAIR WORKS AT LIMAY ELEMENTARY SCHOOL</t>
  </si>
  <si>
    <t>Procurement of Photographic Equipment for Various Offices</t>
  </si>
  <si>
    <t>PURCHASE AND DELIVERY OF 810 SETS OF BOOKLETS USED FOR PROGRAM IMPLEMENTATION FOR DIETARY SUPPLEMENTATION  FOR PREGNANT WOMEN IN ECCD F1k PROGRAM ------Php 1,215,000.00</t>
  </si>
  <si>
    <t>Materials for Extension of Drainage Brgy.3 San Jose dB, Antique</t>
  </si>
  <si>
    <t>Other Supplies and Materials Expenses</t>
  </si>
  <si>
    <t>Provision of pakyaw services of two (2) Project Assistant I for the implementation of Rice Resiliency Project under Rice Banner Program for July-December 2020 in the province of Ilocos Sur</t>
  </si>
  <si>
    <t>Preventive Maintenance Services for Ford Escort Van unit 2449, per BSP TOR</t>
  </si>
  <si>
    <t>Online Subscriptions and Licensed Software</t>
  </si>
  <si>
    <t>PROCUREMENT OF MATERIALS FOR THE IMPROVEMENT OF BENCH PAVEMENT OF MULTI-PURPOSE BUILDING</t>
  </si>
  <si>
    <t>Proc of 04 pairs Paleta &amp; 21 other LI</t>
  </si>
  <si>
    <t>INVITATION TO BID FOR THE PURCHASE OF CONSTRUCTION MATERIALS &amp; SUPPLIES FOR THE COMPLETION OF BRGY EVACUATION  CENTER.  VICTORIA, TAGO, SURIGAO DEL SUR</t>
  </si>
  <si>
    <t>RFQ-DVO-PR.NO. 2006253 CAT. 10 COMPUTER EQUIPMENT AND ACCESSORIES</t>
  </si>
  <si>
    <t>Temporary Medical Tent</t>
  </si>
  <si>
    <t>PURCHASE OF PERSONAL PROTECTIVE EQUIPMENT (PPE)</t>
  </si>
  <si>
    <t>LABOR AND INSTALLATION OF UPVC AND C.I. FITTINGS</t>
  </si>
  <si>
    <t>Supply of 22 pieces D.I. Gate Valve, Flange Type, 75mm. (3")</t>
  </si>
  <si>
    <t>Proc of 03 kls Common Wire Nail 1" &amp; 44 other LI</t>
  </si>
  <si>
    <t>20NA0075 Rehabilitation/ Reconstruction of Roads with Slips, Slope Collapse, and Landslide - Primary Roads, BCIR, K1265+373.3 - K1265+471.30 (R/S), K1265+507.70 - K1265+675.30 (L/S), K1265+725.30 - K1</t>
  </si>
  <si>
    <t>Request for Quotation for use of SARGEN-RSO-Engineering Unit</t>
  </si>
  <si>
    <t>RFQ for July 2020 shs - Common Office Supplies</t>
  </si>
  <si>
    <t>PURCHASE OF MATERIALS FOR THE REPLACEMENT OF DUAL GEAR AND COUPLING OF FARM TRACTOR #1 OFFICE OF THE MUNICIPAL AGRICULTURIST</t>
  </si>
  <si>
    <t>RFQ / PR 20-06-0298 / PROCUREMENT OF SESSION INITIATION PROTOCOL (SIP) FOR ONE (1) YEAR SUBSCRIPTION</t>
  </si>
  <si>
    <t>Purchase of Gasoline - MAO</t>
  </si>
  <si>
    <t>RFQ-DVO-PR.NO. 2006128 CAT. 10 COMPUTER EQUIPMENT AND ACCESSORIES</t>
  </si>
  <si>
    <t>COST OF 810 FOOD PACKS FOR 90 DAYS PROGRAM IMPLEMENTATION FOR DIETARY SUPPLEMENTATION   FOR PREGNANT WOMEN IN ECCD F1k PROGRAM ------Php 7,290,000.00</t>
  </si>
  <si>
    <t>Rehabilitation/Improvement of FMR</t>
  </si>
  <si>
    <t>INVITATION TO BID FOR THE PURCHASE OF CONSTRUCTION MATERIALS &amp; SUPPLIES FOR REHABILITATION OF BRGY. HALL OF BRGY.  UNABAN, TAGO, SURIGAO DEL SUR</t>
  </si>
  <si>
    <t>PROCUREMENT OF THE SUPPLY OF LABOR AND MATERIALS FOR THE PREVENTIVE MAINTENANCE OF SIX (6) UNITS OF 20TR PACKAGED TYPED CENTRALIZED AIRCON AT THE GROUND, 6TH, 7TH, 8TH, 9TH AND 12TH FLOOR OF THE NDC B</t>
  </si>
  <si>
    <t>CADO- FUEL TO BE USED BY CTTMD COMPOSITE TEAM</t>
  </si>
  <si>
    <t>PURCHASE OF PARTS OF BARANGAY AMBULANCE W/ PLATE NO. (GA 9022)</t>
  </si>
  <si>
    <t>Supply of one (1) unit Generator Set</t>
  </si>
  <si>
    <t>PROPOSED REPAIR AND MAINTENANCE OF VARIOUS SCHOOL FACILITIES AT CITY OF MALABON UNIVERSITY, LOCATED AT PAMPANO ST., KAUNLARAN VILLAGE, BRGY. LONGOS, CITY OF MALABON</t>
  </si>
  <si>
    <t>Procurement of Medical Supplies  PR # 2020-06-25-217</t>
  </si>
  <si>
    <t>Repair and Maintenance-Watercrafts (Jan-Mar)</t>
  </si>
  <si>
    <t>RFQ for June 2020 shs - Common Office Supplies</t>
  </si>
  <si>
    <t>RFQ for July 2020 shs - Medical Supplies</t>
  </si>
  <si>
    <t>van rental (PR No. 2020-430)</t>
  </si>
  <si>
    <t>20AC0054 - Concreting of Roads, Brgy. Poblacion East, San Ildefonso, Ilocos Sur</t>
  </si>
  <si>
    <t>Procurement of Mobile Prepaid Cell cards for official use of D.A. RFO IV-A employees for 6 Months</t>
  </si>
  <si>
    <t>RFQ-DVO-PR.NO. 2006024 CAT. 10 COMPUTER EQUIPMENT AND ACCESSORIES</t>
  </si>
  <si>
    <t>FOG NSPRDC 2020-06-028 - Supply of labor and materials for the repair of Isuzu Pick-up w/ plate number SFD 362 assigned at NSPRDC, Brgy. Lagalag, Tiaong, Quezon</t>
  </si>
  <si>
    <t>HOME-BASED LEARNING THROUGH MODULAR DISTANCE EDUCATION.</t>
  </si>
  <si>
    <t>1 unit Laptop computer-CPU-i3 and other items for the use of City Planning Office.</t>
  </si>
  <si>
    <t>Supply and Delivery of Type 1 Portland Cement and Screened Sand</t>
  </si>
  <si>
    <t>INVITATION TO BID FOR THE PURCHASE OF CONSTRUCTION MATERIALS FOR COMPLETION HEALTH CENTER OF BRGY. JUBANG, TAGO,  SURIGAO DEL SUR</t>
  </si>
  <si>
    <t>CADO/ICT- PRINTER FOR CHO USE</t>
  </si>
  <si>
    <t>LGU-COR. 2020-071</t>
  </si>
  <si>
    <t>Supply and Delivery of Livestock E-Loading Kit for LSP NSB Recipients</t>
  </si>
  <si>
    <t>Construction of Day Care Center (Phase 1)</t>
  </si>
  <si>
    <t>MAINTENANCE OF TANOD OUTPOST</t>
  </si>
  <si>
    <t>PIKCOT-002020-018 (SUPPLY AND DELIVERY OF FERTILIZERS)</t>
  </si>
  <si>
    <t>Procurement of Office Supplies  PR # 2020-06-24-212</t>
  </si>
  <si>
    <t>Purchase of Equipment, Supplies and Materials for PVC ID of Division Personnel</t>
  </si>
  <si>
    <t>RFQ-DVO-PR.NO. 2006327 CAT. 62 VEHICLE AND ACCESSORIES</t>
  </si>
  <si>
    <t>PURCHASE OF PIPE AND PIPE LAYING - PHASE III</t>
  </si>
  <si>
    <t>PIKCOT-002020-019 (SUPPLY AND DELIVERY OF KNAPSACK SPRAYERS)</t>
  </si>
  <si>
    <t>Preventive Maintenance Services for Ford Escort Van unit 2470, per BSP TOR</t>
  </si>
  <si>
    <t>Rehabilitation/Improvement of FRM</t>
  </si>
  <si>
    <t>SUPPLY AND DELIVERY OF GOODS FOR THE PROCUREMENT OF MATERIALS FOR CONSTRUCTION OF SCHOOL FOOTBRIDGE (PHASE II)</t>
  </si>
  <si>
    <t>Construction of Evacuation Center Phase 3</t>
  </si>
  <si>
    <t>Bid No. 20-0347 - PROCUREMENT OF OFFICE SUPPLIES - MENRO/REFORESTATION PROGRAM</t>
  </si>
  <si>
    <t>Repair and Maintenance-Watercrafts (Apr-June)</t>
  </si>
  <si>
    <t>cleaning mop</t>
  </si>
  <si>
    <t>RFQ-DVO-PR.NO. 2006124 CAT. 65 VETERINARY SUPPLIES AND MATERIALS</t>
  </si>
  <si>
    <t>Construction of New Hand Washing Facility</t>
  </si>
  <si>
    <t>Procurement of Office Equipment  PR # 2020-06-25-218</t>
  </si>
  <si>
    <t>Concreting of Garcia Road at Brgy. Bituag, Urbiztondo, Pangasinan</t>
  </si>
  <si>
    <t>SUPPLY AND DELIVERY OF DENTAL EQUIPMENTS &amp; MATERIALS PER REF#0SEC-7-19-4674</t>
  </si>
  <si>
    <t>Concreting of Pilar-Sitio Talisay Road</t>
  </si>
  <si>
    <t>PROCUREMENT OF OFFICE SUPPLIES AND EQUIPMENT</t>
  </si>
  <si>
    <t>DOCPPO-PGO-DIESOLINE</t>
  </si>
  <si>
    <t>RFQ No.: 2020 – 110 - Liquefied Petroleum Gas</t>
  </si>
  <si>
    <t>Supply &amp; delivery of construction  materials  for the repair &amp; maintenance  of various infrastructure project, various brgys., Rosario, Batangas.</t>
  </si>
  <si>
    <t>Purchase of Xerox Machine &amp; Toner</t>
  </si>
  <si>
    <t>Supply of 76 pieces D.I. Gate Valve, Flange Type, 50mm. (2")</t>
  </si>
  <si>
    <t>Supply and Delivery of Office Fixtures use at the Dauis Central Elenmentary School at Dauis, Bohol.</t>
  </si>
  <si>
    <t>Purchase of Materials for the Road Concreting of Farm to Market Road, Brgy. Alugmawa, Lambunao, Iloilo</t>
  </si>
  <si>
    <t>Procurement of Supplies for Brigada Eskwela 2020</t>
  </si>
  <si>
    <t>Supply of ten (10) units Handheld Radio</t>
  </si>
  <si>
    <t>Procurement of Rice Seeds</t>
  </si>
  <si>
    <t>IT EQUIPMENT FOR YOUTH</t>
  </si>
  <si>
    <t>Bid No. 20-0348 - PROCUREMENT OF OFFICE SUPPLIES - MENRO/ENVIRONMENTAL AWARENESS CAMPAIGN PROGRAM</t>
  </si>
  <si>
    <t>Lot1-Construction of 1 span concrete bridge (7-LN.M) at Sitio Lappao, San Antonio, Baggao, Cagayan</t>
  </si>
  <si>
    <t>CEFIXIME 200MG CAPS (ZEMFIX / TERGECEF)</t>
  </si>
  <si>
    <t>Procurement of Construction Materials (Improvement of Multi-purpose Hall Brgy. Office)</t>
  </si>
  <si>
    <t>PRINTING OF BMB NEWSLETTER (MAIDEN ISSUE)</t>
  </si>
  <si>
    <t>REQUEST FOR QUOTATION (RFQ)  PROCUREMENT FOR DIGITAL/ELECTRONIC SIGNATURE PAD (WITH SYSTEM) RFQ No.050 -2020</t>
  </si>
  <si>
    <t>proc of 02 Ea Diaphragm Gasket &amp; 11 other nLI</t>
  </si>
  <si>
    <t>RFQ-DVO-PR.NO. 2006123 CAT. 8 BREEDING ANIMALS</t>
  </si>
  <si>
    <t>Supply of 45 pieces Corporation Stop, F700 50mm (2"), Brass Compression Type</t>
  </si>
  <si>
    <t>LBP ROXAS BLVD BRANCH RENOVATION (CONCRETE CORING)</t>
  </si>
  <si>
    <t>Elevator at Clark Museum (Civil Works)</t>
  </si>
  <si>
    <t>Procurement of various Sound System for Furnishing of Higher Educ Department</t>
  </si>
  <si>
    <t>Procurement of Sanitizers, etc.</t>
  </si>
  <si>
    <t>Office Equipment</t>
  </si>
  <si>
    <t>Procurement of Electrical Supplies for Various Offices</t>
  </si>
  <si>
    <t>VLD-LSD 2020-06-085 - Supply and delivery of Pirani Gauge for use to measure vacuum pressure during freeze drying operation of vaccine production at VVBPL</t>
  </si>
  <si>
    <t>RFQ-DVO-PR.NO. 2006240 CAT. 6 AUTO REPAIR SHOP</t>
  </si>
  <si>
    <t>Sari-Sari Store</t>
  </si>
  <si>
    <t>Installation of Solar Powered Street Lights (Purok 1-3)</t>
  </si>
  <si>
    <t>Bid No. 20-0349 - PROCUREMENT OF OFFICE SUPPLIES - MENRO/ADOPT A CREEK PROGRAM</t>
  </si>
  <si>
    <t>ROAD CONCRETING OF 2.5m x 0.2m x 92m ROAD</t>
  </si>
  <si>
    <t>PURCHASE OF MEDALS</t>
  </si>
  <si>
    <t>Supply and Delivery of Goods for R&amp;M Other Structures of 9IB,9ID,PA (106,500.00)</t>
  </si>
  <si>
    <t>Supply of CCTV Equipment</t>
  </si>
  <si>
    <t>Supply and Delivery of 3 Units All in One video Conferencing Camera with Mic &amp; Speakers PMED-60000</t>
  </si>
  <si>
    <t>PROPOSED TINSMITHRY WORK FOR MATERIAL RECOVERY FACILITY AT HIMAYA, EL SALVADOR CITY</t>
  </si>
  <si>
    <t>RFQ CLEAR-LOCK MICROTUBES</t>
  </si>
  <si>
    <t>Medical/Dental Laboratory Supplies Expences</t>
  </si>
  <si>
    <t>WATER METERS AND TEFLON TAPE</t>
  </si>
  <si>
    <t>Construction /Extension of Multi-Purpose Covered Court</t>
  </si>
  <si>
    <t>proc of 30 gals Paint, Gloss Latex Masonry &amp; 15 Other LI</t>
  </si>
  <si>
    <t>CONST. OF FENCING (7SPAN OF 3MTRS)</t>
  </si>
  <si>
    <t>Bid No. 20-0350 - PROCUREMENT OF OFFICE SUPPLIES - MENRO (SOLID WASTE MANAGEMENT BOARD OPERATION)</t>
  </si>
  <si>
    <t>CONTINUATION OF MULTI PURPOSE CENTER</t>
  </si>
  <si>
    <t>For Maintenance/Sanitation use (1st-2nd quarter).CEEDMO</t>
  </si>
  <si>
    <t>Procurement of Supplies and Materials to be used in the Program: Tuloy and Edukasyon sa New Normal na Sitwasyon - Finalization and Reproduction of SRMs</t>
  </si>
  <si>
    <t>PR#2020-06-086</t>
  </si>
  <si>
    <t>PR. 20-06-232 (2020-07-224) PROCUREMENT OF HYPOCHLORINATOR DOSING PUMP WITH SELF DEAERATOR</t>
  </si>
  <si>
    <t>20CG0200 - Repair/ Maintenance of Bank Protection along San Isidro Creek City of San Fernando, Pampanga</t>
  </si>
  <si>
    <t>Supply of 548 pieces Cellcard Prepaid</t>
  </si>
  <si>
    <t>Supply and Delivery of construction materials for cementing PCW's motorcycle and bicycle parking</t>
  </si>
  <si>
    <t>20GNA0002 PROCUREMENT OF SURVEYING INSTRUMENT (UNMANNED AERIAL VEHICLE/SYSTEM (UAV/UAS/RPA))</t>
  </si>
  <si>
    <t>20AC0055 - Construction of Road From Brgy. Cuta - Brgy. Tamag, Vigan City, Ilocos Sur</t>
  </si>
  <si>
    <t>Concreting of Delos Santos Road at Brgy. Malibong, Urbiztondo, Pangasinan</t>
  </si>
  <si>
    <t>SLOPE PROTECTION FOR BONTUD, CLARIN, BOHOL</t>
  </si>
  <si>
    <t>COST OF SUPPLY, DELIVERY AND INSTALLATION OF CCTV CAMERA AT SOUTHVILLE 9, BARANGAY PINUGAY, BARAS, RIZAL</t>
  </si>
  <si>
    <t>400 BOX PARACETAMOL 300MG AMPS 2ML 150MG/ML (AEKNIL / FEBRINIL / RANITEMP)</t>
  </si>
  <si>
    <t>Rehabilitation of Multi-Purpose Hall</t>
  </si>
  <si>
    <t>Bid No. 20-0352 - PROCUREMENT OF OFFICE SUPPLIES - MEO/LANDSCAPING COMMITTEE</t>
  </si>
  <si>
    <t>Kalabugao CES RFQ- Construction Supplies</t>
  </si>
  <si>
    <t>WOMEN'S MONTH CELEBRATION</t>
  </si>
  <si>
    <t>Concreting of Access Road to Pilar Barangay Hall</t>
  </si>
  <si>
    <t>Procurement of Electronic Device/Equipment (Fondleslab) for the Schools Division Superintendent</t>
  </si>
  <si>
    <t>Procurement of meals and snacks for use in the Provincial Quarantine Facility for the arrival of Locally - Stranded Individual (LSI) drivers and staff</t>
  </si>
  <si>
    <t>Live Animals (Native Goat)</t>
  </si>
  <si>
    <t>20CG0201 - Construction/ Repair/ Rehabilitation/ Improvement of Various Infrastructure including Local Projects: Local Roads and Bridges – Local Roads – Construction of Road, Sto. Tomas, Pampanga</t>
  </si>
  <si>
    <t>SUPPLY AND DELIVERY OF LOT 1- OFFICE SUPPLIES AND LOT 2- OTHER SUPPLIES AND MATERIALS FOR USE IN THE IMPLEMENTATION OF CORN PROGRAM</t>
  </si>
  <si>
    <t>Repair &amp; Maintenance Other Structures (PKOC-86,400.00)</t>
  </si>
  <si>
    <t>Supply and Delivery of Radio Communication Equipment use for the communication to the Island Barangay where no net signal in the Municipality of Calayan, Province of  Cagayan.</t>
  </si>
  <si>
    <t>Procurement for the Cleaning Services of Airconditioning Units in DepEd MIMAROPA Region</t>
  </si>
  <si>
    <t>DRUGS AND MEDICINES</t>
  </si>
  <si>
    <t>401-20-06-RFQ0729 - USE IN DISASTER RISK REDUCTION PROJECT AND ACTIVITIES</t>
  </si>
  <si>
    <t>Bid No. 20-0351 - PROCUREMENT OF OFFICE SUPPLIES - MENRO/DEVELOPMENT AND OPERATIONS OF ESWM-PARK</t>
  </si>
  <si>
    <t>COMPLETION OF BARANGAY HALL - PHASE V</t>
  </si>
  <si>
    <t>INFORMATION &amp; COMMUNICATION TECHNOLOGY</t>
  </si>
  <si>
    <t>20-06-203 - Various IT Equipments</t>
  </si>
  <si>
    <t>20CG0203 - Construction/ Repair/ Rehabilitation/ Improvement  of Various Infrastructure including Local Projects – Flood Control and Drainage – Flood Control Structures/ Facilities – Construction of R</t>
  </si>
  <si>
    <t>Purchase of Various Medicines and Medical Supplies for Philhealth Beneficiaries of Calasiao, Pangasinan</t>
  </si>
  <si>
    <t>Spare PArts</t>
  </si>
  <si>
    <t>Construction of Streetlights System</t>
  </si>
  <si>
    <t>Delivery of Hygiene Materials and Equipment</t>
  </si>
  <si>
    <t>Supply, Delivery and Installation of Brand New Closed-Circuit Television (CCTV) System at the NAPOLCOM-NCR Regional Office, Makati City</t>
  </si>
  <si>
    <t>5 bot Xylazine 100mg/ml 10% Injection and other items for use as maintenance supplies for operation of the City Pound building in Barangay Camanjac, Dumaguete City.</t>
  </si>
  <si>
    <t>Rebid on Cluster 3: CY 2019 Dental Health Facility Program Repair of Classrooms/Conversion of Classroom to Dental Clinics for Banisilan CES and Malinao CES, Banisilan, Cotabato</t>
  </si>
  <si>
    <t>101-20-06-RFQ0730 - MTO SUPPLIES FOR 1ST QUARTER 2020</t>
  </si>
  <si>
    <t>Purchase of Office Equipment - AIAS</t>
  </si>
  <si>
    <t>PR No. 2020-05-091 (Office supplies for July to August)</t>
  </si>
  <si>
    <t>Supply and Delivery of Ten (10) pieces Wireless Dual Band Gigabit Router</t>
  </si>
  <si>
    <t>Disinfecting rug tray w/ rubber foot mat</t>
  </si>
  <si>
    <t>20CG0205 - Construction/ Repair/ Rehabilitation/ Improvement  of Various Infrastructure including Local Projects – Local Roads and Bridges – Local Roads – Construction of Road, Candaba, Pampanga</t>
  </si>
  <si>
    <t>Construction of Concrete Covered Canal</t>
  </si>
  <si>
    <t>Procurement of Supply, Delivery and Administration of Vaccines for PSALM Corporation for CY 2020</t>
  </si>
  <si>
    <t>Procurement of Construction Supplies for Use in the General Rewiring of Electrical System of Buildings A and B</t>
  </si>
  <si>
    <t>RFQ-DVO-PR.NO. 2003475 CAT. 2 AUDIO VIDEO EQUIPMENT</t>
  </si>
  <si>
    <t>Labor and Materials for Transmission Overhauling and Replacement of Defective Bearings for SFP 779 AFD-100000</t>
  </si>
  <si>
    <t>Supply and Delivery of Materials for the Improvement of Street Light at Brgy. Bignay 1, Sariaya, Quezon</t>
  </si>
  <si>
    <t>Quotation No. 20-07-0397-CATERING SERVICES for the Orientation of Regional Monitoring/Vaccinators/Data Management Team at Zamboanga City</t>
  </si>
  <si>
    <t>Feed Ingredients (Cowpea)</t>
  </si>
  <si>
    <t>SUBM#2020 -07-02 - To purchase  Office Supplies and Equipment for use in the Procurement Unit, DPWH, Negros Occidental 2nd District Engineering Office, Binalbagan Negros Occidental</t>
  </si>
  <si>
    <t>Supply and Delivery of Furniture and Fixture for Local Civil Registrar Office, Office Equipment for Municipal Assessor's Office, Tires for MDRRM Office and Sound Proofing for Radyo Kamalindig</t>
  </si>
  <si>
    <t>Purchase and Delivery of Cellcards of SB for the month of July</t>
  </si>
  <si>
    <t>Request for Quotation - For official use of the LO - OH Office under MOOE</t>
  </si>
  <si>
    <t>DOPAMINE HCL 200MG AMP (DOPAMINE / DOCARD / DOPAZEF)</t>
  </si>
  <si>
    <t>Construction of Box Culvert along Mayor's Boulevard, Asingan, Pangasinan.</t>
  </si>
  <si>
    <t>CONCRETING OF PATHWALK</t>
  </si>
  <si>
    <t>20CG0206 - Construction/ Repair/ Rehabilitation/ Improvement  of Various Infrastructure including Local Projects: Local Roads and Bridges – Local Roads – Construction of Road, San Simon, Pampanga</t>
  </si>
  <si>
    <t>REPAIR AND RE-PAINTING OF DUALE ELEMENTARY SCHOOL</t>
  </si>
  <si>
    <t>PR #1635 TO PROVIDE MATERIALS FOR THE IMPROVEMENT OF ADC (DA-SCRC)</t>
  </si>
  <si>
    <t>INVITATION TO BID FOR SECURITY SERVICES</t>
  </si>
  <si>
    <t>OFFICE EQUIPMENT (PWD)</t>
  </si>
  <si>
    <t>Supply and Delivery of Materials for the Improvement of Barangay Road at Talaan Pantoc, Sariaya, Quezon</t>
  </si>
  <si>
    <t>Anti-Rabies Supplies and Materials - MAO</t>
  </si>
  <si>
    <t>proc of 04 pcs Angle Valve 1/2" x 1/2" dia double &amp; 44 other LI</t>
  </si>
  <si>
    <t>Supply and Delivery of Materials for the Improvement of Senior Citizen Office</t>
  </si>
  <si>
    <t>Purchase &amp; delivery of  Agricultural tools fof HVCDP (CBM) additional</t>
  </si>
  <si>
    <t>Latex Gloves</t>
  </si>
  <si>
    <t>Rehab of Day Care Center</t>
  </si>
  <si>
    <t>Completion of City Hospital - Tablon (Phase II); SN 133 - 2020</t>
  </si>
  <si>
    <t>proc of 180 pcs 4" CHB &amp; 4 other LI</t>
  </si>
  <si>
    <t>Representation Expenses</t>
  </si>
  <si>
    <t xml:space="preserve">Request for Quotation for the Provision of Agricultural Products to be used during the conduct of Two batches of Training on GAP Corn-Based Farming System held on July 29-31, 2020 at Kibawe, Bukidnon </t>
  </si>
  <si>
    <t>20CG0202 - Local Program: Construction/ Repair/ Rehabilitation/ Improvement of Various Infrastructure including Local Projects – Local Roads and Bridges – Local Roads – Construction of Road, Apalit, P</t>
  </si>
  <si>
    <t>Procurement of Service for the Ambient Air Sampling and Laboratory Analysis of Selected Poultry Farms in San Jose Batangas</t>
  </si>
  <si>
    <t>Airconditioning Unit, 2HP Window Type for Butuan Branch</t>
  </si>
  <si>
    <t>SUPPLY &amp; DELIVERY OF ICT EQUIPMENT</t>
  </si>
  <si>
    <t>CONSTRUCTION OF MULTI PURPOSE BUILDING</t>
  </si>
  <si>
    <t>CONSTRUCTION OF BALBALAN BRGY. HALL PROTECTION WALL, BALBALAN PROPER</t>
  </si>
  <si>
    <t>Intended for Supplies and Materials for COVID-19  Related</t>
  </si>
  <si>
    <t>20CG0204 - Local Infrastructure Program: Buildings and Other Structures – Multipurpose/ Facilities – Construction of Multi-Purpose Building, San Antonio, Mexico, Pampanga</t>
  </si>
  <si>
    <t>Health and Wellness Lunch Kit and Sports Paraphernalia for NEDA RO1 Staff</t>
  </si>
  <si>
    <t>RFQ-DVO-PR.NO. 2006334 CAT. CONSTRUCTION TOOLS AND EQUIPMENT</t>
  </si>
  <si>
    <t>INVITATION TO BID FOR THE  COMPLETION OF EVACUATION CENTER AT BARANGAY TUMBAR, LINGAYEN, PANGASINAN</t>
  </si>
  <si>
    <t>Construction of Residual Containment</t>
  </si>
  <si>
    <t>Procurement of Medical Equipment</t>
  </si>
  <si>
    <t>Repair &amp; Maintenance Other Structures (PKOC-76,292.00)</t>
  </si>
  <si>
    <t>SUPPLY AND DELIVERY OF  EVACUATION MODULAR TENT</t>
  </si>
  <si>
    <t>invitation to bid for the Construction of perimeter fence at Barangay Poblacion West, Sta. Maria, Pangasinan</t>
  </si>
  <si>
    <t>Live Animals (Native Chicken)</t>
  </si>
  <si>
    <t>RFQ-DVO-PR.NO. 2006211 CAT. 15 CONSTRUCTION TOOLS AND EQUIPMENT</t>
  </si>
  <si>
    <t>Supply of 500 pcs Corrugated Package Boxes _PR 11098</t>
  </si>
  <si>
    <t>Feed Ingredients (OPV Corn)</t>
  </si>
  <si>
    <t>Repost: Supply and Delivery of Fire Extinguisher for Kawayanan Village (Kubotel)</t>
  </si>
  <si>
    <t>20GGM0012 - Procurement of Office Supplies and Consumables for use in various offices, DPWH, Negros Occidental 3rd District Engineering Office, Kabankalan City.</t>
  </si>
  <si>
    <t>SVP PUR19-10-1204 SUPPLY,DELIVERY,TESTING AND COMMISSIONING OF VARIOUS ORTHOPEDIC EQUIPMENT FOR THE PGH</t>
  </si>
  <si>
    <t>Supply and Delivery of Materials for the Improvement of Day Care Center at Lutucan Malabag, Sariaya, Quezon</t>
  </si>
  <si>
    <t>Purchase of Laboratory Equipment for use of BSFT</t>
  </si>
  <si>
    <t>LRDD 2020-06-098 - Supply and delivery of Personal Protective Equipment (PPE) for distribution to staff, resource persons and livestock raisers during the distribution and installation of biogas diges</t>
  </si>
  <si>
    <t>Supply and Delivery of Materials for the Improvement of Multi-Purpose Hall at Guis-guis Talon, Sariaya, Quezon</t>
  </si>
  <si>
    <t>REQUEST FOR QUOTATION (RFQ)R.I.S. No.: 20-82-028 Supply of Labor and Materials for the Replacement of Defective Dry Type Transformer</t>
  </si>
  <si>
    <t>Procurement of Catering Services and Supplies of MO-HRMO</t>
  </si>
  <si>
    <t>RFQ-PNR-2020-002 CATEGORY I – DRUGS AND MEDICINES</t>
  </si>
  <si>
    <t>Kalabugao Central ES- RFQ- Office Supplies</t>
  </si>
  <si>
    <t>Procurement of Electrical Works</t>
  </si>
  <si>
    <t>Supply and Delivery of Materials for the Improvement of Water System at Brgy. Janagdong 2, Sariaya, Quezon</t>
  </si>
  <si>
    <t>CONTINUATION OF MULTIPURPOSE BUILDING</t>
  </si>
  <si>
    <t>CAR DASH CAMERA GSD J-20-301</t>
  </si>
  <si>
    <t>50 bags Cement and other items for materials use in the repair and maintenance of the Marine Sanctuaries from coastal Barangays.</t>
  </si>
  <si>
    <t>proc of  40 mtrs Window Screen  &amp; 20 other nLI</t>
  </si>
  <si>
    <t>REHABILITATION OF JHS MT. BUILDING STUDENT'S WASH AREA (ROOFING)</t>
  </si>
  <si>
    <t>Supply and Delivery of Printer Inks for the Official Use of SDO Tayabas City</t>
  </si>
  <si>
    <t>Request for Quotation for the Provision of Office supplies and devices to be used during the conduct of Two batches of Training on GAP Corn-Based Farming System held on July 29-31, 2020 at Kibawe, Buk</t>
  </si>
  <si>
    <t>Purchase of P.E Pipe for Sitio Saklet,Kinam,MSP</t>
  </si>
  <si>
    <t>Procurement of various Supplies to fight against COVID 19 for PPC Campus</t>
  </si>
  <si>
    <t>Purchase of P.E Pipe for Sitio Alwayan,Kinam,MSP</t>
  </si>
  <si>
    <t>Supply and Delivery of Filling Materials for the Parking Lot of Mini Auditorium of SDSSU Lianga Campus</t>
  </si>
  <si>
    <t>Purchase of One (1) Unit Transformer to be used at the Malayo Water System, Urbiztondo, Pangasinan</t>
  </si>
  <si>
    <t>Production and Printing Services</t>
  </si>
  <si>
    <t>Supply and Delivery of Materials for the Improvement of Water System at Brgy. Sto. Cristo Sariaya, Quezon</t>
  </si>
  <si>
    <t>Concreting of Pathway at Brgy. Jamoog, Rosario, Northern Samar</t>
  </si>
  <si>
    <t>Procurement of Catering Services For CLUP Refinement/Assessment with PLUC of MPDC</t>
  </si>
  <si>
    <t>Repair &amp; Maintenance of Buildings (PKOC-PhP66,460.00)</t>
  </si>
  <si>
    <t>Concreting of Alley Roads</t>
  </si>
  <si>
    <t>Continuation of Water System</t>
  </si>
  <si>
    <t>Purchase of Office Supplies - Trial Court</t>
  </si>
  <si>
    <t>50 pax Morning Snacks serve during Kick Of Ceremony of PCR Month</t>
  </si>
  <si>
    <t>Construction of Farm to Market Road at Zone 2, Brgy. San Vicente East, Asingan, Pangasinan.</t>
  </si>
  <si>
    <t>Procurement of Goods Catering Services</t>
  </si>
  <si>
    <t>71IB-2020-06-15 Office Supplies</t>
  </si>
  <si>
    <t>Procurement of All In One Printer</t>
  </si>
  <si>
    <t>RFQ PIPETTE AND PIPETTE STAND</t>
  </si>
  <si>
    <t>REQUEST FOR QUOTATION FOR NEGOTIATED PROCUREMENT  FOR THE PROCUREMENT AND DELIVERY OF TUMBLER FOR  2020 CENSUS OF POPULATION AND HOUSING (CPH)</t>
  </si>
  <si>
    <t>Supply &amp; Delivery of ICT 01D GASS G02-2020</t>
  </si>
  <si>
    <t>Supply Labor and Materials for the Rehabilitation and Repair of Pump Impeller with Dynamic Balancing</t>
  </si>
  <si>
    <t>Supply and Delivery of various goods (PR No. 2020-433)</t>
  </si>
  <si>
    <t>Purchase of office equipment- Mayor's Office, San Fabian, Pangasinan</t>
  </si>
  <si>
    <t>Purchase of Tax Mapping Supplies - Assessor</t>
  </si>
  <si>
    <t>Purchase of Appliances for Women and Children Crisis Intervention Center</t>
  </si>
  <si>
    <t>Procurement of Goods for  Office Equipment</t>
  </si>
  <si>
    <t>CONTINUATION FOR THE CONSTRUCTION OF LOWER POBLACION ACCESS ROAD (PHASE III)</t>
  </si>
  <si>
    <t>Pocurement of Catering Services for HLURB assessment of CLUP</t>
  </si>
  <si>
    <t>SUPPLY AND DELIVERY OF OFFICE EQUIPMENT FOR SCADA OFFICE USE</t>
  </si>
  <si>
    <t>Purchase of Medical Supplies for Disinfection in Covid Protection @ Samal, Bataan</t>
  </si>
  <si>
    <t>SK Office Renovation</t>
  </si>
  <si>
    <t>20CB-GSC-390 PURCHASE OF ENGINE OIL FOR CITY VET</t>
  </si>
  <si>
    <t>Purchase of 12 units printer, 9 units Laptop, 2 units printer, 3 pcs. external drive</t>
  </si>
  <si>
    <t>Subcription for Adobe Creative Cloud as per PR # 2020-06-1410</t>
  </si>
  <si>
    <t>Aircondition unit with Installation for the Special Projects Office</t>
  </si>
  <si>
    <t>Purchase of Office Supplies - Assessor</t>
  </si>
  <si>
    <t>Construction of Solar Drinking Station in Various Barangays, Asingan, Pangasinan.</t>
  </si>
  <si>
    <t>Medical Kit</t>
  </si>
  <si>
    <t>Procurement of Construction Materials for the construction of DARMO Imelda Improvement (19.99 SQM.)</t>
  </si>
  <si>
    <t>NCR-2007-004: PROCUREMENT OF FIRE EXTINGUISHER REFILL 10LBS</t>
  </si>
  <si>
    <t>20CG0208 - Local Infrastructure Program: Local Roads and Bridges – Local Roads – Construction of Road, Candaba, Pampanga</t>
  </si>
  <si>
    <t>PRAS NO. 2020-06-045 CATERING SERVICES</t>
  </si>
  <si>
    <t>Delivery of Roll-up Blinds Double H02-004 and Vertical Blinds</t>
  </si>
  <si>
    <t>25 pax Lunch and Snacks serve during 2nd District Intelliegence Monthly Meeting</t>
  </si>
  <si>
    <t>Procurement of Goods for Fuel</t>
  </si>
  <si>
    <t>Purchase of Commodities (PDAO)</t>
  </si>
  <si>
    <t>Medical Supplies - (4th)BANDAGE GAUZE 2"X10 YARDS &amp; COLOSTOMY BAG</t>
  </si>
  <si>
    <t>Supply Labor and Materials for the Fabrication and Installation of Canopy for COMELEC Receiving Area</t>
  </si>
  <si>
    <t>CONSTRUCTION OF BALETE WATER WORKS SYSTEM (PHASE I), BALANTOY,</t>
  </si>
  <si>
    <t>Supply and Delivery of Materials for the Fabrication of Collapsible Tent for Brgy. Guisguis Talon, Sto. Cristo, Sampaloc 2, Janagdong 1, Janagdong 2, Lutucan Malabag, Bucal, Morong, Canda and Guisguis</t>
  </si>
  <si>
    <t>Improvement of Multi-Purpose Hall at Palawig</t>
  </si>
  <si>
    <t>Procurement of Catering Services for CLUP Public Hearing of MPDC</t>
  </si>
  <si>
    <t>Supply and Delivery of Lights for PPA Head Office Hallways and Common Areas</t>
  </si>
  <si>
    <t>Purchase of Mapping-Grade Handheld Geohazard Processing Equipment with ArcPad</t>
  </si>
  <si>
    <t>Job Order: (Lumpsum) for rehabilitation/Improvement of Office and Women Center and other facilities of CSWDO (Phase I) at Barangay Poblacion 1.</t>
  </si>
  <si>
    <t>Medicines for GWBVMH, Guihulngan City, Negros Oriental		(S-220-2020)</t>
  </si>
  <si>
    <t>CONSTRUCTION OF PUROK 4B ILANG-ILANG ST., PHASE III CABINUANGAN, NEW BATAAN, DAVAO DE ORO</t>
  </si>
  <si>
    <t>SUPPLY AND DELIVERY OF VEHICLE PARTS AND ACCESSORIES FOR VARIOUS GOVERNMENT VEHICLES AND EQUIPMENT</t>
  </si>
  <si>
    <t>Supply and Delivery of 7 Sets of Sari-Sari Store/Groceries Kit for the Implementation of Pangkabuhayan sa Pag Bangon at Ginhawa (PBG) Project</t>
  </si>
  <si>
    <t>RFQ for ACL</t>
  </si>
  <si>
    <t>SUPPLY AND DELIVERY OF TOILET BOWL</t>
  </si>
  <si>
    <t>Renovation/Improvement of Existing Material Recovery Facility (MRF) at Brgy. Bantog, Asingan, Pangasinan.</t>
  </si>
  <si>
    <t>Construction of Spillway at Brgy. Mamala 2, Sariaya, Quezon</t>
  </si>
  <si>
    <t>NP 099-20: Printing and Production of the National Convergence Initiative for Sustainable Rural Development (NCI-SRD) Envelope and Folder to be used for the upcoming NCI-SRD activities.  Delivery date</t>
  </si>
  <si>
    <t>Procurement of ICT Equipment for BatStateU Lobo Campus</t>
  </si>
  <si>
    <t>RFQ for 1-unit Agisoft software</t>
  </si>
  <si>
    <t>Procurement of Laboratory Supplies for MHO Laboratory</t>
  </si>
  <si>
    <t>Construction of Drainage System at A Banzon Street, Barangay Central, City of Balanga, Bataan</t>
  </si>
  <si>
    <t>Procurement of Goods for Fuel Supply</t>
  </si>
  <si>
    <t>Proposed Construction of Stone Masonry</t>
  </si>
  <si>
    <t>Procurement of Office Supplies 2020 - DOLE Bohol Field Office</t>
  </si>
  <si>
    <t>RIP RAPPING OF CREEK BANK</t>
  </si>
  <si>
    <t>SUPPLY AND DELIVERY OF CONSTRUCTION MATERIALS FOR THE IMPROVEMENT OF EVACUATION CENTER (KITCHEN &amp; MESS HALL)</t>
  </si>
  <si>
    <t>Subscription of Unified Threat Management (UTM) Solution for CY 2020 (ITB 02-2020)</t>
  </si>
  <si>
    <t>2 rolls Electrical Wire #14 THHN (Black) and other items for rehabilitation/Improvement of Office and Women Center and other facilities of CSWDO (Phase I) at Barangay Poblacion 1.</t>
  </si>
  <si>
    <t>Supply and Delivery of Goods for R&amp;M Building of 9IB,9ID,PA (100,000.00)</t>
  </si>
  <si>
    <t>Improvement of Pathways along NRRES, L. Millan and P. Ramos St., Brgy. Poblacion West, Asingan, Pangasinan.</t>
  </si>
  <si>
    <t>Purchase of Medicines</t>
  </si>
  <si>
    <t>20CG0207 - Network Development Program: Off – Carriageway Improvement – Tertiary Roads – Baliwag – Candaba – Sta. Ana Rd – K0071+030 – K0071+894, K0072+501 – K0073+144, Candaba, Pampanga</t>
  </si>
  <si>
    <t>CONCRETING OF PAVEMENT</t>
  </si>
  <si>
    <t>CONSTRUCTION OF LINE CANAL</t>
  </si>
  <si>
    <t>RFQ-NP-SVP-265-2020- Procurement for  Preventive Maintenance for Elevators.</t>
  </si>
  <si>
    <t>20CG0209 - Local Infrastructure Program: Buildings and other Structures – Multipurpose/ Facilities – Extension/ Improvement of the Fish Port, Brgy. Bebe Anac, Masantol, Pampanga</t>
  </si>
  <si>
    <t>REPAIR &amp; MAINTENANCE FOR CAT BACKHOE M313D - MEO (NP-20-0972)</t>
  </si>
  <si>
    <t>Construction of Spillway at Brgy. Manggalang Tulo-tulo, Sariaya, Quezon</t>
  </si>
  <si>
    <t>Procurement of Alcohol &amp; Facemask</t>
  </si>
  <si>
    <t>CONSTRUCTION OF DRAINAGE STRUCTURE Along Salazar St. – Athletic Road (Near EVSU Main Campus), Tacloban City</t>
  </si>
  <si>
    <t>SUPPLY AND DELIVERY OF 1 UNIT SPLIT TYPE AIRCON, GENERAL SERVICES OFFICE, LGU CANDELARIA, QUEZON</t>
  </si>
  <si>
    <t>PR NO. 2020-07-060: For use in the Rehabilitation/Improvement of 53 ln.m. Slope Protection of NVSDEO Main Building</t>
  </si>
  <si>
    <t>RFQ No.06-0437-20 COT CATERING SERVICES</t>
  </si>
  <si>
    <t>REI_20CSE011: Consulting Services for the Conduct of Environmental Impact Assessment (EIA), Preparation of Environmental Impact Assessment Statement (EIS) and Application of Environmental Compliance C</t>
  </si>
  <si>
    <t>face mask</t>
  </si>
  <si>
    <t>Construction of Pathway W/ Concrete Wall on Bothsides</t>
  </si>
  <si>
    <t>purchased of food packs distribution</t>
  </si>
  <si>
    <t>RFQ-NP-SVP-266-2020-Procurement of  Supplies and Materials for Electrical &amp; Mechanical Repair and Maintenance.</t>
  </si>
  <si>
    <t>Office Supplies &amp; Other Materials Expenses</t>
  </si>
  <si>
    <t>REQUEST FOR QUOTATION FOR NEGOTIATED PROCUREMENT  FOR THE PROCUREMENT AND DELIVERY OF RAINCOAT FOR  2020 CENSUS OF POPULATION AND HOUSING (CPH)</t>
  </si>
  <si>
    <t>Improvement of Stage</t>
  </si>
  <si>
    <t>Other Supplies &amp; Materials Expenses (OSPS-70,630.00)</t>
  </si>
  <si>
    <t>Street Cementing (Phase II)</t>
  </si>
  <si>
    <t>RFQ CRYOTUBE (500 PIECES/BAG)</t>
  </si>
  <si>
    <t>Supply, Delivery and Installation of CCTV Based Video Surviellance System at Municipal Annex Building at Poblacion, dauis, Bohol.</t>
  </si>
  <si>
    <t>13 cu.m Sand std. specs and other items for rehabilitation/Improvement of Office and Women Center and other facilities of CSWDO (Phase I) at Barangay Poblacion 1.</t>
  </si>
  <si>
    <t>Supply and Delivery of Common-Use Office Supplies for Covid 19 Safety Measures</t>
  </si>
  <si>
    <t>Powerlines and Transformer</t>
  </si>
  <si>
    <t>RFQ-DVO-PR.NO. 2006280 CAT. 10.1 COMPUTER PERIPHERALS AND ACCESSORIES</t>
  </si>
  <si>
    <t>Construction of Multi-Purpose Building with Storage Room and Public Comfort Room at Barangay Tumbaga 1, Sariaya, Quezon</t>
  </si>
  <si>
    <t>RFQ-NP-SVP-267-2020-Procurement of  Supplies and Materials for Generators.</t>
  </si>
  <si>
    <t>Procurement of Computer Set</t>
  </si>
  <si>
    <t>Procurement of materials  for  flooring of  multi-purpose  building at barangay Madaguing</t>
  </si>
  <si>
    <t>Repair of Electric Safety Breaker in New Admin. Building. (Fund 101)</t>
  </si>
  <si>
    <t>Repost: Supply and Delivery of Motorcycle to be used by Municipal Agriculture Office</t>
  </si>
  <si>
    <t>Supply of Chromatography Paper_PR 11247</t>
  </si>
  <si>
    <t>Lab Supplies - Microhematocrit Capillary Tubes (Heparinized) 75MM x 1.1 to 1.2MM Diameter Internal (0 Internal) 1.5 to 1.6MM Diameter External (0 External) 1000's (4th Posting)</t>
  </si>
  <si>
    <t>Repair and Maintenance of Power Spray @ Barangay Talaibon, Ibaan, Batangas</t>
  </si>
  <si>
    <t>Construction of Barangay Marker</t>
  </si>
  <si>
    <t>Labor &amp; Materials for the Emergency Repair of Spring Development System, Brgy. Boboy, MUNICIPALITY OF SAN LUIS, BATANGAS</t>
  </si>
  <si>
    <t>SUPPLY AND DELIVERY OF VEHICLE PARTS AND ACCESSORIES FOR VARIOUS GOVERNMENT VEHICLES</t>
  </si>
  <si>
    <t>MATERIALS FOR PRODUCTION OF PPE’S (Livelihood project funded by CHED)</t>
  </si>
  <si>
    <t>150 BOX NITROGLYCERIN 10MG/10ML AMPS (NITROSAN / NITRONAL / PERLINGANIT)</t>
  </si>
  <si>
    <t>RFQ-DVO-PR.NO. 2005171 CAT. 2 AUDIO-VIDEO EQUIPMENT</t>
  </si>
  <si>
    <t>Supply of Purified Drinking water (5 Liters)_PR 11237</t>
  </si>
  <si>
    <t>Improvement of Multi-Purpose Hall at Marede</t>
  </si>
  <si>
    <t>20-06-202 - Semi-Expendable Equipments</t>
  </si>
  <si>
    <t>Purchase of Const. Materials for Eco Park @ Samal, Bataan</t>
  </si>
  <si>
    <t>Procurement of Goods Information &amp; Communication Technology Equipment</t>
  </si>
  <si>
    <t>REI_20CSE012: Consulting Services for the Conduct of Environmental Impact Assessment (EIA), Preparation of Environmental Impact Assessment Statement (EIS) and Application of Environmental Compliance C</t>
  </si>
  <si>
    <t>RFQ-DVO-PR.NO. 2006278 CAT. 41 OFFICE EQUIPMENT</t>
  </si>
  <si>
    <t>RFQ No.06-0438-20 COT CATERING SERVICES</t>
  </si>
  <si>
    <t>Labor &amp; Materials for the Construction of Packing and Storage House, Brgy. Balagtasin, MUNICIPALITY OF SAN LUIS, BATANGAS</t>
  </si>
  <si>
    <t>MATERIALS AND LABOR FOR INSTALLATION OF WATER PUMP AND HANDWASH AT HALL JUSTICE, MONDRAGON, N. SAMAR</t>
  </si>
  <si>
    <t>SUPPLY AND DELIVERY OF CASKET FOR BESPREN SA KALANGITAN USE</t>
  </si>
  <si>
    <t>Purchase of One (1) Unit split type Aircon</t>
  </si>
  <si>
    <t>Procurement of Services – Publication of Plans and Programs of Mayor Lani Mercado Revilla and the City Government of Bacoor (Batch 2) - CIO</t>
  </si>
  <si>
    <t>PROCUREMENT OF VARIOUS OFFICE SUPPLIES</t>
  </si>
  <si>
    <t>20ID0076 - Supply/Delivery with Installation of Internally Illuminated (Solar) Pavement Levelled Marker/Stud,Flush Type,Type GI05                Bi-Directional, along Palo-Carigara-Ormoc Road,K0942+(-</t>
  </si>
  <si>
    <t>Purchase and Delivery Construction of Proposed Handwashing Area Municipal Ground</t>
  </si>
  <si>
    <t>Supply and Delivery of Janitorial Supplies for the Official Use of SDO Tayabas City</t>
  </si>
  <si>
    <t>AMENITIES FOR COVID 19 FACILITY</t>
  </si>
  <si>
    <t>Procurement of SHS Measuring &amp; Observing &amp; Testing Equipment</t>
  </si>
  <si>
    <t>OFFICE SUPPLIES - MARKET (NP-20-0973)</t>
  </si>
  <si>
    <t>Purchase of Test Strips for Tutok Buntis</t>
  </si>
  <si>
    <t>MDRRMO Battery Pack</t>
  </si>
  <si>
    <t>rehabilitation of farm to market road-dassun</t>
  </si>
  <si>
    <t>Concreting of Barangay Road at Barangay Gibanga, Sariaya, Quezon</t>
  </si>
  <si>
    <t>PROCUREMENT OF MATERIALS FOR THE REHABILITATION OF FLOORING OF MULTI PURPOSE BUILDING</t>
  </si>
  <si>
    <t>Purchase of 1 unit laptop, 1 printer and 1 monitor</t>
  </si>
  <si>
    <t>SUPPLY, DELIVERY WITH INSTALLATION FLOOR MOUNTED AIRCON (5 TONNER)</t>
  </si>
  <si>
    <t>RFQ-PNR-2020-002 CAT III–MED/LAB SUPPLIES &amp; REAGENTS</t>
  </si>
  <si>
    <t>Procurement of Foodstuffs and Supplies for Dugtong Buhay Para Kay Nanay</t>
  </si>
  <si>
    <t>Tokens Given to Investors @ Samal, Bataan</t>
  </si>
  <si>
    <t>Purchase of Office Equipment to be used in the Office of the Sangguniang Bayan, MUNICIPALITY OF SAN LUIS, BATANGAS</t>
  </si>
  <si>
    <t>Fuel for City Vice Mayor's Office, Surigao City</t>
  </si>
  <si>
    <t>PURCHASE OF AUTOMATIC VERTICAL FORM FILL SEAL MACHINE</t>
  </si>
  <si>
    <t>REQUEST FOR QUOTATION (INK – Free WiFi)</t>
  </si>
  <si>
    <t>Purchase of bottled mineral water- PTA, San Fabian, Pangasinan</t>
  </si>
  <si>
    <t>20CG0211 - Construction/ Repair/ Rehabilitation/ Improvement of Various Infrastructure including Local Projects: Local Roads – Construction of Road, Minalin, Pampanga</t>
  </si>
  <si>
    <t>Purchase of One (1) Unit non-inverter  floor mounted Aircon</t>
  </si>
  <si>
    <t>RFQ-PNR-2020-002 CATEGORY II – MEDICAL EQUIPMENT</t>
  </si>
  <si>
    <t>Repair and Maintenance for Garbage Truck SGM 419</t>
  </si>
  <si>
    <t>To Support the Logistical Requirements of 554EBDE,55EBDE,PA</t>
  </si>
  <si>
    <t>PURCHASE OF THE MATERIALS FOR THE CONSTRUCTION OF WATER SYSTEM PUROK 1</t>
  </si>
  <si>
    <t>ITB No. 2020-07-24 SUPPLY AND DELIVERY OF  VARIOUS LIVESTOCK</t>
  </si>
  <si>
    <t>20FE0132 – CONSTRUCTION OF CLASSROOMS, CAIMA ES, LIBMANAN, CAMARINES SUR</t>
  </si>
  <si>
    <t>Supply and Delivery of Paper Shredder for BCEZ EAD</t>
  </si>
  <si>
    <t>To Furnish Labor and Materials for Repair and Waterproofing of Roofs at Aqua Center Gym (N-425-2020)</t>
  </si>
  <si>
    <t>PR# 20-0716 - Furniture and Fixtures</t>
  </si>
  <si>
    <t>RFQ / PR 20-06-0307 / PROCUREMENT OF BACKPACK MISTBLOWERS</t>
  </si>
  <si>
    <t>SUPPLY &amp; DELIVERY OF FOOD STUFF</t>
  </si>
  <si>
    <t>Procurement of hardware materials</t>
  </si>
  <si>
    <t>20ID0077 - Supply and Installation of Thermoplastic Pavement Markings along Bagahupi-Babatngon-Sta. Cruz-Barugo-Carigara Rd.K0935+(-076)-K0938+700</t>
  </si>
  <si>
    <t>Medical Supplies - SUCTION LINER DISP 3000ML COLLECTING CAP</t>
  </si>
  <si>
    <t>Procurement of SHS Office Equipment &amp; Accessories &amp; Supplies</t>
  </si>
  <si>
    <t>20CG0212 - Construction/ Repair/ Rehabilitation/ Improvement of Various Infrastructure including Local Projects – Local Roads and Bridges – Local Roads – Construction of Road, Macabebe, Pampanga</t>
  </si>
  <si>
    <t>improvement of sampaguita public market (comfort room)</t>
  </si>
  <si>
    <t>Purchase of Medicines for RHU Tampilisan, ZN</t>
  </si>
  <si>
    <t>Procurement of Vehicle Parts</t>
  </si>
  <si>
    <t>20CG0213 - Construction/ Repair/ Rehabilitation/ Improvement of Various Infrastructure including Local Projects: Local Roads – Construction of Quezon Road – Jose Abad Santos Avenue Bypass Road, Mexico</t>
  </si>
  <si>
    <t>MATERIALS FOR THE PROPOSED ROOFING OF  STAGE</t>
  </si>
  <si>
    <t>1,097 pcs Drug Testing Kits for use in the Office Of the Governor/Augmentation to Support Aftercare reintegration (CSAR) Program for Drug Surrenderers	 (N-436-2020)</t>
  </si>
  <si>
    <t>RFQ-DVO-PR.NO. 2006130 CAT. 35 GROCERIES</t>
  </si>
  <si>
    <t>Procurement of Long Bondpaper</t>
  </si>
  <si>
    <t>RFQ-20-07-024</t>
  </si>
  <si>
    <t xml:space="preserve">20CG0210 - Construction/ Repair/ Rehabilitation/ Improvement of Various Infrastructure including Local Projects: Local Roads – Concreting of Road, San Nicolas (Olivas/Sta. Monica) to McArthur Hi-Way, </t>
  </si>
  <si>
    <t>Procurement of Additional Laboratory and Research Equipment for EIM Department</t>
  </si>
  <si>
    <t>Concreting of Farm to Market Road, Brgy. Janipa-an East, Mina, Iloilo.</t>
  </si>
  <si>
    <t>Rpr &amp; Maint Motor Vehicles (91,910.00) OSSM</t>
  </si>
  <si>
    <t>Concreting of Barangay Road at Brgy. Canda, Sariaya, Quezon</t>
  </si>
  <si>
    <t>Concreting of Barangay Road at Brgy. Lutucan 1, Sariaya, Quezon</t>
  </si>
  <si>
    <t>PR NO. 1545 MAINTENANCE OF VEHICLE</t>
  </si>
  <si>
    <t>Medical Supplies - (4th) VELCRO CUFF OBESE SIZE</t>
  </si>
  <si>
    <t>SUPPLY, DELIVERY ON SITE, COMMISSIONING AND TESTING OF 20 UNITS FLOATING TILLER MUDBOAT WITH ENGINE AND COMPLETE SET OF ACCESSORIES FOR FARM MECHANIZATION PROGRAM.</t>
  </si>
  <si>
    <t>purchase of second hand ten wheeler truck</t>
  </si>
  <si>
    <t>Procurement of Agricultural Supplies (Bamboo butts &amp; poles) for SAAD Program/Project implementation in the province of Misamis Occidental for CY 2020</t>
  </si>
  <si>
    <t>Supply and Delivery of Office Supplies for the Official Use of SDO Tayabas City</t>
  </si>
  <si>
    <t>Procurement of Services – Printing and Publication of Newsletter Releases of the City Government of Bacoor Various Programs and Activities or 3rd Quarter - CIO</t>
  </si>
  <si>
    <t>RFQ-NP-SVP-263-2020- Procurement of  ICT Equipment for Senior High School.</t>
  </si>
  <si>
    <t>REPAIR/ MAINTENANCE OF SERVICE VEHICLES, LGU-Buruanga, Aklan</t>
  </si>
  <si>
    <t>Supply and Delivery of Office Supplies for MPDC Office</t>
  </si>
  <si>
    <t>Continuation  Development Center</t>
  </si>
  <si>
    <t>RFQ-DVO-PR.NO. 2006267 CAT. 39 MEDICAL SUPPLIES AND MATERIALS</t>
  </si>
  <si>
    <t>Supply and Delivery of Hardware Materials for the Re-Piping of Water System of SDSSU San Miguel Campus</t>
  </si>
  <si>
    <t>Procurement of Closed Circuit Television (CCTV)</t>
  </si>
  <si>
    <t>Procurement of Office Supplies for CNHS use</t>
  </si>
  <si>
    <t>Fabrication of Cabinets and Shelves at Municipal Health Office</t>
  </si>
  <si>
    <t>Supply &amp; Delivery of 9 units Non-Contract Thermometer &amp; other items, CHO - Items use in the Isolation Area for the Persons Under Monitoring (PUM).</t>
  </si>
  <si>
    <t>Purchase of Plumbing / Electrical Supplies and Materials for the Water / Electrical Supply of Bucit</t>
  </si>
  <si>
    <t>NP 097-20: REPLACEMENT OF WORN-OUT TIRES OF NISSAN BUS WITH PLATE NO. AYP-169</t>
  </si>
  <si>
    <t>Concreting of Sitio Bega, Pisuac-Galarin Roadline @ Brgy. Pisuac, Galarin, Urbiztondo, Pangasinan</t>
  </si>
  <si>
    <t>Installation of Solar Streetlights at Brgy. Palaris, Asingan, Pangasinan.</t>
  </si>
  <si>
    <t>Supply of 131 pieces Corporation Stop, F-700, 25mm. Brass Compression Type</t>
  </si>
  <si>
    <t>Procurement of Construction Materials for the repair and improvement of DARMO Alicia ZSP</t>
  </si>
  <si>
    <t>SUPPLY AND DELIVERY OF MEDICAL SUPPLIES</t>
  </si>
  <si>
    <t>Purchase of one (1) set of Long table- Mayor's Office, San Fabian, Pangasinan</t>
  </si>
  <si>
    <t>PRINTING SERVICES, SUPPLY AND DELIVERY OF PLASTIC ENVELOPES AND PHOTOCOPIER MACHINE FOR THE PROJECT "HOME-BASED LEARNING THROUGH MODULAR DISTANCE EDUCATION"</t>
  </si>
  <si>
    <t>Supply &amp; delivery of construction materials for the Construction of 3-units Spillway, Brgy. San Isidro, Rosario, Batangas</t>
  </si>
  <si>
    <t>Rebidding: Job Order: (Lumpsum) for completion of the 2nd Floor 2 classroom building at Taclobo National High School at Barangay Batinguel.</t>
  </si>
  <si>
    <t>CMO- ELECTRICAL MATERIALS INTENDED FOR VALENCIA SCHOOL AT BRGY. SAN ISIDRO, VALENCIA CITY</t>
  </si>
  <si>
    <t>Rpr &amp; Maint Transportation Equip-Motor Vehicles (70,575.00) OSPS</t>
  </si>
  <si>
    <t>Supply and Delivery of Office Chairs, Tables and Refrigerator</t>
  </si>
  <si>
    <t>Procurement of Servces of Certifying Body for the Port of Iloilo, ICPC</t>
  </si>
  <si>
    <t>Bid No. 20-0343 - PROCUREMENT OF CONSTRUCTION MATERIALS - MEO (CONSTRUCTION OF MP HALL - MUNICIPAL COMPOUND , MARAGUSAN, DAVAO DE ORO PROVINCE)</t>
  </si>
  <si>
    <t>Procurement of Catering Services for the conduct of 2020 Census of Population  and Housing (CPH) 4th Level Training in Dumalag, Capiz of PSA Capiz PSO</t>
  </si>
  <si>
    <t>PGO-DIESEL</t>
  </si>
  <si>
    <t>PR NO. 2020-07-059 : For use in the Conduct of Feasibility Study/Pre-Feasibility Study/Preliminary Detailed Engineering (PDE)</t>
  </si>
  <si>
    <t>Purchase of CLEC2 Equipment for Monitoring and Documentation</t>
  </si>
  <si>
    <t>Delivery of Other Supplies for Sports Development &amp; Other Amusement Program Grassroots Sports Clinic for 1st Quarter.(SVP 20-0563)</t>
  </si>
  <si>
    <t>Supply and Delivery of I.T. Equipment and Peripherals</t>
  </si>
  <si>
    <t>Bid No. 20-0295 -  PROCUREMENT OF OFFICE SUPPLIES - MO/TOURISM OPERATIONS</t>
  </si>
  <si>
    <t>Procurement of Water Tanks,Motor Pump,Fittings,Accessories and Appurtenances and Plumbing Materials.</t>
  </si>
  <si>
    <t>Preventive Maintenance Services for Ford Armored Truck unit 590, per BSP TOR</t>
  </si>
  <si>
    <t>PROCUREMENT OF VEHICLE ACCESSORIES - GSO</t>
  </si>
  <si>
    <t>PURCHASE OF OFFICE EQUIPMENT FOR  FOR BURAUEN COMMUNITY COLLEGE</t>
  </si>
  <si>
    <t>Training Expense-Php72,600.00 OTSG</t>
  </si>
  <si>
    <t>Procurement of Oscilloscopes</t>
  </si>
  <si>
    <t>PB-PROCUREMENT OF HOSPITAL BEDS  TB No. 2020-18</t>
  </si>
  <si>
    <t>RFQ-DVO-PR.NO. 2006285 CAT. 32 JANITORIAL SUPPLIES AND MATERIALS</t>
  </si>
  <si>
    <t>Native Bees (Stingless Bees)</t>
  </si>
  <si>
    <t>PIKCOT-002020-020 (SUPPLY AND DELIVERY OF PESTICIDE)</t>
  </si>
  <si>
    <t>Procurement of IT Equipment for the BSU-International Relation Office (IRO)</t>
  </si>
  <si>
    <t>Office Supplies for CSO and Livelihood Office</t>
  </si>
  <si>
    <t>Supply and Delivery of Various CCTV Supplies</t>
  </si>
  <si>
    <t>REHAB/IMPROV. OF DRAINAGE CANAL</t>
  </si>
  <si>
    <t>Procurement of Materials for Water System Level III @ Kinam,MSP</t>
  </si>
  <si>
    <t>20CG0214 - Construction/ Repair/ Rehabilitation/ Improvement of Various Infrastructure including Local Projects: Local Roads – Construction/ Improvement of Mapalad- Candating Road, Arayat, Pampanga</t>
  </si>
  <si>
    <t>PROCUREMENT OF ANIMAL / ZOOLOGICAL SUPPLIES</t>
  </si>
  <si>
    <t>CONSTRUCTION OF TAMBUNAC MP BUILDING (COVERED GYM) PHASE IV</t>
  </si>
  <si>
    <t>20GFO0022 - Purchase of Survey Equipment for Use in the Conduct of Feasibility Study/Pre-Feasibility Study and Preliminary Detailed Engineering Activities for Projects in Region V</t>
  </si>
  <si>
    <t>Procurement of 1 Unit Motorcycle for CIO</t>
  </si>
  <si>
    <t>LEARNING PACKETS</t>
  </si>
  <si>
    <t>PURCHASE OF XEROX MACHINE W/ STAND</t>
  </si>
  <si>
    <t>Procurement of Catering Services for the conduct of 2020 Census of Population  and Housing (CPH) 4th Level Training in Cuartero, Capiz of Capiz PSO</t>
  </si>
  <si>
    <t>CONSTRUCTION OF DRAINAGE CANAL  along BAGAIPO ST.</t>
  </si>
  <si>
    <t>Procurement of IT Equipment for CIO</t>
  </si>
  <si>
    <t>PROCUREMENT OF ONE HUNDRED SIXTY (160) BAGS OF RICE (25 KILOS)</t>
  </si>
  <si>
    <t>PURCHASE OF AIR-CONDITION W/ INVERTER</t>
  </si>
  <si>
    <t>OUTSOURCING OF IMAGING SERVICES FOR VULNERABLE GROUPS THROUGH AN ORDERING AGREEMENT</t>
  </si>
  <si>
    <t>PURCHASE OF HARDWARE MATERIALS FOR THE ENHANCEMENT OF SCHOOL HANDWASHING FACILITY COVID-19 FREE NEW NORMAL OF PISAAN ES</t>
  </si>
  <si>
    <t>Request for Quotation for use of NIA-SARGEN-RSO</t>
  </si>
  <si>
    <t>RFQ BIOLOGICAL SAFETY CABINET CLASS II</t>
  </si>
  <si>
    <t>Installation of Artesian Well</t>
  </si>
  <si>
    <t>Rental of Storage Facility for the period of August to December 2020 of the City Government of Tarlac</t>
  </si>
  <si>
    <t>PROCUREMENT OF BRAND NEW MOTORCYCLE FOR MONITORING, INSPECTION, AND COLLECTION OF GARBAGE OF STREETSWEEPERS</t>
  </si>
  <si>
    <t>Supply and Delivery of various goods (PR No. 2020-428)</t>
  </si>
  <si>
    <t>CONST. OF 1 UNIT - 4 SEATER COMFORT ROOM</t>
  </si>
  <si>
    <t>Purchase &amp; Delivery of Office Supplies &amp; Consumables for the Office of SPM Constante T. Oandasan</t>
  </si>
  <si>
    <t>SUPPLY AND DELIVERY OF VARIOUS COMPUTER SUPPLIES</t>
  </si>
  <si>
    <t>PURCHASE OF CERTIFIED RICE SEEDS FOR LGU, MONDRAGON, NORTHERN SAMAR</t>
  </si>
  <si>
    <t>PROCUREMENT OF CONSTRUCTION SUPPLIES AND MATERIALS FOR THE EXPANSION OF ORGANIC AGRICULTURAL BUILDING</t>
  </si>
  <si>
    <t>Procurement of Kitchenwares PR # 2020-06-19-206</t>
  </si>
  <si>
    <t>Municipal Dump-truck Maintenance Purposes</t>
  </si>
  <si>
    <t>20CG0216 - Local Program: Local Roads – Construction of Aquino By-Way Extension Bay, Brgy. Anao, Mexico, Pampanga</t>
  </si>
  <si>
    <t>RFQ-DVO-PR.NO. 2006249 CAT. 32 JANITORIAL SUPPLIES AND MATERIALS</t>
  </si>
  <si>
    <t>Procurement of various Supplies for WPU-TBI Project</t>
  </si>
  <si>
    <t>20FE0133 – CONSTRUCTION OF CLASSROOMS, VILLA SOCORRO ES, LIBMANAN, CAMARINES SUR</t>
  </si>
  <si>
    <t>SUPPLY AND DELIVERY OF PAINTING MATERIALS FOR THE PERIMETER FENCE AT THE COMMUNITY HOSPI</t>
  </si>
  <si>
    <t>Medical Supplies - (7th) GIGLI SAW WIRE FINE 6 TWISTED WIRES , 5 WIRES / TUBE 500MM, 20"</t>
  </si>
  <si>
    <t>20CG0215 - Asset Preservation: Preventive Maintenance – Primary Roads – Manila North Rd – K0052+(-585) – K0052+340, K0056+000 – K0057+571, Apalit, Pampanga</t>
  </si>
  <si>
    <t>Procurement of 1 Unit Motorcycle for OCAS</t>
  </si>
  <si>
    <t>Supply and Delivery of Office Supplies for 2nd Quarter 2020</t>
  </si>
  <si>
    <t>Procurement of IT and Office Equipment for City Assessor's Office</t>
  </si>
  <si>
    <t>FAB./INSTALLATION OF ST. LIGHTS (18UNITS)</t>
  </si>
  <si>
    <t>Procurement of Office Furniture and Fixture for CSWDO</t>
  </si>
  <si>
    <t>Procurement of IT Equipment for CSWDO</t>
  </si>
  <si>
    <t>Procurement of IT Equipment (MacBook Pro 13-inch) for SPO</t>
  </si>
  <si>
    <t>Supply and Delivery of Vehicle Parts and Accessories for Backhoe/Loader Case 580K F19-137</t>
  </si>
  <si>
    <t>Request for Quotation (AD-2020-07-0309 Water dispenser)</t>
  </si>
  <si>
    <t>Procurement of Battery, Dry Cell, AAA</t>
  </si>
  <si>
    <t>REPAIR OF DRAINAGE SYSTEM OF MAIN ACADEMIC BLDG. PHASE1</t>
  </si>
  <si>
    <t>AdmD20-07-042_Security Personnel Locker</t>
  </si>
  <si>
    <t>Semi Expendable Machinery &amp; Equip-Books-OSSSM-65,750.00</t>
  </si>
  <si>
    <t>Purchase of various office supplies at Brgy. POb. IV, Tanauan City, Batangas</t>
  </si>
  <si>
    <t>Fuel</t>
  </si>
  <si>
    <t>Procurement of Printer</t>
  </si>
  <si>
    <t>REHABILITATION OF GAWAAN SUSPENSION FOOTBRIDGE, SALTAN</t>
  </si>
  <si>
    <t>20FE0134 – CONSTRUCTION OF CLASSROOMS, PINAMASAGAN NATIONAL HIGH SCHOOL,  SAN FERNANDO, CAMARINES SUR</t>
  </si>
  <si>
    <t>Motor Vehicle Enhancement</t>
  </si>
  <si>
    <t>Supply and Delivery of Basic LED Television for the replacement of CCTV Monitors</t>
  </si>
  <si>
    <t>Procurement of various Sanitizing Supplies for WPU-TBI Project</t>
  </si>
  <si>
    <t>TONER CARTRIDGE</t>
  </si>
  <si>
    <t>Procurement of SHS Solvents</t>
  </si>
  <si>
    <t>RFQ for Construction Materials to be used for concreting of 840 LM Sidewalk at CAg</t>
  </si>
  <si>
    <t>Procurement of heavy snacks in relation with the conduct of Thanksgiving Acitvity in Commemoration of the 13th Charter Day Anniversary of the City of Carcar</t>
  </si>
  <si>
    <t>Maintenance of Municipal Equipement at Motorpool</t>
  </si>
  <si>
    <t>ASF 2020-06-039 - Supply and delivery of Pipettor/Pipette Controller for viral vaccine production laboratory use</t>
  </si>
  <si>
    <t>Vegetable Seeds for Magsaysay Lower Free Farmers Organization Livelihood Project</t>
  </si>
  <si>
    <t>Procurement of Live Poultry Animals and Agricultural Chemicals</t>
  </si>
  <si>
    <t>RFQ Supply &amp; Delivery of Brass Check Valve &amp; Brass Ball valve</t>
  </si>
  <si>
    <t>Supply &amp; Delivery of Office Supplies for Project Development of Grade 4 to 12 Worksheet for Learners</t>
  </si>
  <si>
    <t>Repair of Mitsubishi ABB 6306 Mini Dump Truck</t>
  </si>
  <si>
    <t>System Upgrade for Property Plant, &amp; Equipment (PPE) Inventory of CGSO</t>
  </si>
  <si>
    <t>IMPROVEMENT OF PATHWALK/WAITING SHED</t>
  </si>
  <si>
    <t>PROCUREMENT OF LOGISTIC SUPPLIES FOR RABBIES CONTROL PROGRAM OF THE MUNICIPAL AGRICULTURE OFFICE FOR THE 1ST QUARTER OF THE YR 2020 (re-post)</t>
  </si>
  <si>
    <t>REPAIR &amp; MAINTENANCE OF TOYOYA HI-LUX (SKJ-950) - PNP (NP-20-0981)</t>
  </si>
  <si>
    <t>PURCHASE OF ONE (1) UNIT AED (AUTOMATED EXTERNAL DEFIBRILLATOR PLUS) FOR MDRRM EMERGENCY RESPONSE OPERATION</t>
  </si>
  <si>
    <t>RFQ for Dry Scale Cleaner and Grader for ERDT Scholar</t>
  </si>
  <si>
    <t>Procurement of Office Equipment for the used of Mayor's Office</t>
  </si>
  <si>
    <t>Lab Supplies - Flask, Erlenmeyer, Narrow-Mouth, Graduated, Glass, 2000-ML Capacity, Autoclave (4th Posting)</t>
  </si>
  <si>
    <t>PROCUREMENT OF LABOR AND MATERIALS FOR INSTALLATION OF CARPET AT ACWD SERVER ROOM/COA ROOM</t>
  </si>
  <si>
    <t>Construction of Leachate Pond, Municipal Landfill, Maoasoas Norte, Pugo, La Union</t>
  </si>
  <si>
    <t>PURCHASE OF STAINLESS MILK PAILS</t>
  </si>
  <si>
    <t>Purchase &amp; Delivery of Office Supplies &amp; Consumables for the Provincial Veterinary Office</t>
  </si>
  <si>
    <t>Materials for provision of handwashing facilities &amp; equipments</t>
  </si>
  <si>
    <t>Purchase of uniform ( Brgy. Officials ) at Barangay Pob. IV, Tanauan City, Batangas</t>
  </si>
  <si>
    <t>Office Equipment Enhancement Program</t>
  </si>
  <si>
    <t>Procurement of Office Equipment for CSWDO</t>
  </si>
  <si>
    <t>71IB-2020-06-17 Food Supplies</t>
  </si>
  <si>
    <t>Supply and delivery of meals and snacks for Responders and monitoring team members (COVID19 Status Monitoring And Respond)</t>
  </si>
  <si>
    <t>Consulting Services for Food Processing Industries in Region 1</t>
  </si>
  <si>
    <t>Wheelchair to be distributed for person with Disability in the Municipality of Maco</t>
  </si>
  <si>
    <t>Purchase of Chemical and Filtering Supplies for use at Provincial Engineer's Office PR No. (100(01)20-06-1218)</t>
  </si>
  <si>
    <t>Procurement of Medical Supplies, Drug, and Medicines</t>
  </si>
  <si>
    <t>Provision of 160 pax Meals and Snacks for the conduct of Corn-Livestock Integrated Farming System Training cum Village Type Feed Mixing and Silage Processing (Refocus)</t>
  </si>
  <si>
    <t>Layer Feeds(crumble) AND booster feeds(mash/crumble)</t>
  </si>
  <si>
    <t>Medical Supplies - (3rd) KLEINSASSER SCISSORS &amp; NE FIBER OPTIC</t>
  </si>
  <si>
    <t>Extension of Kitchen and Laundry Area at 3-Bedroom Single-Detached (Formerly Espiritu's Unit) at PhilRice Central Experiment Station (PR#2020-06-1296)</t>
  </si>
  <si>
    <t>Computer Printers</t>
  </si>
  <si>
    <t>Renewal of Architectural Eng. &amp; Const.</t>
  </si>
  <si>
    <t>Procurement of SHS Paper Materials &amp; Products</t>
  </si>
  <si>
    <t>REPAIR/REHAB. OF POTABLE WATER SYSTEM &amp; FACILITIES (VARIOUS SCHOOLS)</t>
  </si>
  <si>
    <t>Medical Supplies - (3rd) KLEINSASSER CUTTING FORCEPS &amp; 3 OTHERS</t>
  </si>
  <si>
    <t>Procurement of Various Office Equipment</t>
  </si>
  <si>
    <t>procurement of pipe</t>
  </si>
  <si>
    <t>PR NO. 1544 VEHICLE MAINTENANCE</t>
  </si>
  <si>
    <t>CONSTRUCTION OF ALEGRIA MP BUILDING (COVERED GYM) PHASE III</t>
  </si>
  <si>
    <t>Purchase of Audio Visual Equipment for Mayor's Conference Office Use</t>
  </si>
  <si>
    <t>PROCUREMENT OF VARIOUS COMMUNICATION EQUIPMENTS</t>
  </si>
  <si>
    <t>PROCUREMENT OF OFFICE EQUIPMENT FOR THE LOCAL GOVERNMENT UNIT COMPUTERIZATION PROGRAM</t>
  </si>
  <si>
    <t>74 pcs cellcards (globe, TM, smart and TNT)</t>
  </si>
  <si>
    <t>20FE0135 – CONSTRUCTION OF CLASSROOMS, GÑARAN ES, SAN FERNANDO, CAMARINES SUR</t>
  </si>
  <si>
    <t>Printing Services for Various City Ordinance, SAN JOSE CITY, NUEVA ECIJA</t>
  </si>
  <si>
    <t>ESTABLISHMENT OF CHILDREN'S MINI-PARK</t>
  </si>
  <si>
    <t>Purchase &amp; Delivery of Disinfectant (Active Ingredient: Benzalkonium Chloride) for the Provincial Health Office</t>
  </si>
  <si>
    <t>Supply and Delivery of Hybrid Corn Seeds</t>
  </si>
  <si>
    <t>Repainting of Treasury, Accounting, Budget &amp; Assessor's Office</t>
  </si>
  <si>
    <t>Medical Supplies -(3rd)  INSULATED CANNULA, KLEINSASSER NEEDLE HOLDER, BIOPSY FORCEPS, KLEINSASSER ALLIGATOR FORCEPS AND SCISSORS</t>
  </si>
  <si>
    <t>PROCUREMENT OF VARIOUS FURNITURE &amp; FIXTURES TO BE USED AT CITY TREASURY OFFICE</t>
  </si>
  <si>
    <t>Construction of Lined Canal, Purok Bagong Sikat, Brgy. General Paulino Santos (GPS), City of Koronadal</t>
  </si>
  <si>
    <t>RFQ for Chemicals and Reagents fpor the PCHRD-DOST Project</t>
  </si>
  <si>
    <t>20NI0081 - Repair/Maintenance of Tabon Flood Control Structures, Tabon, Bislig City, Surigao del Sur (K0+000-K0+320)</t>
  </si>
  <si>
    <t>REPLACEMENT OF KACHILAN SLAB-FOOT-BRIDGE (POSA), POBLACION, KACHILAN</t>
  </si>
  <si>
    <t>Construction of Evacuation Center in Barangay Guinobatan, Calapan City</t>
  </si>
  <si>
    <t>2020-06-1053 BARCODE LABEL AND RIBBON; COMPATIBLE WITH EXISTING BARCODE PRINTER, PER SET</t>
  </si>
  <si>
    <t>WIFI Duplex All-in-One Ink Tank Computer Printer with ADF.		for use in the Office Of the provincial Treasurer	 (N-389-2020)</t>
  </si>
  <si>
    <t>Office Supplies Expense-PGMC-P105,150.00</t>
  </si>
  <si>
    <t>Acquisition of Additional CCTV</t>
  </si>
  <si>
    <t>RFQ-DVO-PR.NO. 2006231 CAT. 29 FURNITURE AND FIXTURES</t>
  </si>
  <si>
    <t>Purchase of various office supplies at Brgy. Sala, Tanauan City, Batangas</t>
  </si>
  <si>
    <t>Purchase of Office Equipment for Various Offices</t>
  </si>
  <si>
    <t>SUPPLY AND DELIVERY OF MATERNAL KIT</t>
  </si>
  <si>
    <t>Procurement of Supplies, Materials, &amp; Labor for Repair and Maintenance of Division Offices</t>
  </si>
  <si>
    <t>Supply and Delivery of Materials for Installation of Solar Panel at Operation Center and Repair and Installation of VHF Repeater Tower</t>
  </si>
  <si>
    <t>Purchase of Firewood for Use at Slaughterhouse</t>
  </si>
  <si>
    <t>Rental of truck to haul white sand to be used as filler to the newly built Porac PNP Station located at Brgy Jalung Porac Pampanga</t>
  </si>
  <si>
    <t>20FE0136 – CONSTRUCTION OF CLASSROOMS, CALASCAGAS PS, SAN FERNANDO, CAMARINES SUR</t>
  </si>
  <si>
    <t>PROCUREMENT OF ASSORTED ITEMS FOR MEALS AND SNACKS</t>
  </si>
  <si>
    <t>SUPPLY AND DELIVERY OF MATERIALS FOR OPERATION AND MAINTENANCE OF WATER SYSTEM</t>
  </si>
  <si>
    <t>IMPROVEMENT/ REHAB. OF MANPOWER DEVELOPMENT CENTER/MPB_LOOC PROPER</t>
  </si>
  <si>
    <t>Supply and Installation of Surveillance Cameras</t>
  </si>
  <si>
    <t>PROCUREMENT OF VARIOUS TARPAULINS FOR CMO USE</t>
  </si>
  <si>
    <t>Purchase &amp; Delivery of Office &amp; Janitorial Supplies for the General Services Office</t>
  </si>
  <si>
    <t>Purchase of Beddings - PTA, San Fabian, Pangasinan</t>
  </si>
  <si>
    <t>Rehabilitation of Farm to Market Road, Saytan, Pugo, La Union</t>
  </si>
  <si>
    <t>Rehabilitation of Streetlights</t>
  </si>
  <si>
    <t>Supply and delivery of fuels, oils and lubricants</t>
  </si>
  <si>
    <t>PROCUREMENT OF MILITARY, POLICE, &amp; TRAFFIC SUPPLIES FOR PUBLIC ORDER AND SAFETY OFFICE (POSO) PERSONNEL USE</t>
  </si>
  <si>
    <t>Augmentation Bantay Bayan Outpost</t>
  </si>
  <si>
    <t>Purchase of Diesel fuel for use at APSEMO PR No. (100(01)20-01-0295)</t>
  </si>
  <si>
    <t>90 pax Meals and Snacks for 1-day for the ISO surveillance</t>
  </si>
  <si>
    <t>Supply and Delivery of Diesel Fuel for use in the service vehicles in the office of the vice governor</t>
  </si>
  <si>
    <t>RFQ for Cacao Bean Hulling Machine for the ERDT Scholar</t>
  </si>
  <si>
    <t>supply and delivery of rescue equipment's</t>
  </si>
  <si>
    <t>Laboratory Supplies and Equipment</t>
  </si>
  <si>
    <t>Request for Quotation (PRSD-2020-06-0306 Tires)</t>
  </si>
  <si>
    <t>Procurement of I.T. Equipment for the Scholars of the City Government of Tarlac under the Distance Learning Program. B2020-083-A</t>
  </si>
  <si>
    <t>Procurement of Drugs and Medicines</t>
  </si>
  <si>
    <t>Purchase of medical supplies at Barangay Sala, Tanauan City, Batangas</t>
  </si>
  <si>
    <t>20EI0183 - Repair/Maintenance of DPWH Building Main Building – Various Offices (Construction, Maintenance, Procurement, Office of the District Engineer, Finance &amp; Accounting), Southern Mindoro, Distri</t>
  </si>
  <si>
    <t>Meals and Snacks for Various Activities and Meetings of Legislative Office</t>
  </si>
  <si>
    <t>Procurement of COVID-19 PPE's and RELATED EXPENSES (Procurement of Materials Complete PPE's and CLean Gloves Medium/Large &amp; Multivitamins) of MHO for the Municipality of Lugait, Misamis Oriental.</t>
  </si>
  <si>
    <t>Procurement of Sofa and Portable Speaker for Vice Mayor's Office use</t>
  </si>
  <si>
    <t>Assorted Materials for the Improvement of Langlangca 1st MP Hall</t>
  </si>
  <si>
    <t>Procurement of Motor Vehicle Battery for maintenance of BFAR 1 RP Vehicle</t>
  </si>
  <si>
    <t>Construction of Pathwalk at Purok 2</t>
  </si>
  <si>
    <t>Providing of Meals for PUM's in Negros Oriental High School.(NP 20-0755).</t>
  </si>
  <si>
    <t>CONSTRUCTION OF MULTI-PURPOSE HALL (PHASE I), TALALANG,</t>
  </si>
  <si>
    <t>Local Access Road Upgrading</t>
  </si>
  <si>
    <t>Povidone Iodine Oral, 120ml &amp; etc. for the use of the PHO - Technical Division	NOPH (S-211-2020)</t>
  </si>
  <si>
    <t>Consulting Services for Furniture Industries in Region 3</t>
  </si>
  <si>
    <t>Detailed Assessment and Plan Design for the Structural Integrity of the SDO Building</t>
  </si>
  <si>
    <t>RFQ-DVO-PR.NO. 2006260 CAT. 61 TIRE, BATTERIES AND ACCESSORIES</t>
  </si>
  <si>
    <t>RFQ-DVO-PR.NO. 2006182 CAT. 61 TIRE, BATTERIES AND ACCESSORIES</t>
  </si>
  <si>
    <t>RHU SERVICES AND PROGRAM (Annual Physical Exam, of Municipal Employees)</t>
  </si>
  <si>
    <t>Supply and delivery of materials for the proposed installation of wall partition for MIT Office</t>
  </si>
  <si>
    <t>Purchase of Office supplies &amp; Other supplies for Brgy. Health Center at Barangay Altura Matanda, Tanauan City, Batangas</t>
  </si>
  <si>
    <t>20NI0082 - Repair/Maintenance of Flood Control Structure at Mangagoy River (Mangagoy River Dike), Mangagoy, Bislig City, Surigao del Sur (K0+000+K0+0156)</t>
  </si>
  <si>
    <t>Repair &amp; Maintenance ICT Equipment (PGMC-P100,000.00)</t>
  </si>
  <si>
    <t>PROCUREMENT OF 3Ton, Non-INVENTER, FLOOR MOUNTED AIRCONDITIONING UNIT</t>
  </si>
  <si>
    <t>PROCUREMENT OF SUBMERSIBLE PUMP FOR CDRRMC DISASTER RESPONSE AND RESCUE EQUIPMENT</t>
  </si>
  <si>
    <t>TOWEM-1142-2020-0003 Other Supplies and Materials</t>
  </si>
  <si>
    <t>CONSTRUCTION OF TANOD OUTPOST AT BRGY. HINABANGAN, MONDRAGON, N. SAMAR</t>
  </si>
  <si>
    <t>Supply and Delivery of Two (2) units Laptop Computer for City Disaster Risk Reduction and Management Office</t>
  </si>
  <si>
    <t>Supply and Delivery of Construction Materials and Supplies for the Proposed Development and Laying of Gravel Bed, River Parks Authority</t>
  </si>
  <si>
    <t>SW-1008-2020-0287</t>
  </si>
  <si>
    <t>RFQ for Agricultural Supplies and Materials for LWRMC</t>
  </si>
  <si>
    <t>Procurement of Building Lighting/ Electrical Management</t>
  </si>
  <si>
    <t>Repair/Improvement of Covered Court</t>
  </si>
  <si>
    <t>Consulting Services for Metals and Engineering Industries in NCR</t>
  </si>
  <si>
    <t>Supply and Delivery of Infrared Thermometer</t>
  </si>
  <si>
    <t>1 lot Provincial  of NIP Polo shirt, T-shirt with print Including labor And Materials (N-435-2020)</t>
  </si>
  <si>
    <t>REHABILITATION OF PASINGAN WATER WORK SYSTEM</t>
  </si>
  <si>
    <t>Purchase of spare parts for the repair and maintenance of Ambulance BC1403</t>
  </si>
  <si>
    <t>Request for Quotation (ODA-OS-2020-07-0310 Battery)</t>
  </si>
  <si>
    <t>Fabrication of Tarpaulin Frame @ Samal, Bataan</t>
  </si>
  <si>
    <t>Consulting Services for Gifts, Decors and Handicrafts Industries in Region 7</t>
  </si>
  <si>
    <t>Detailed Engineering Design for the Construction of Multi-Purpose Building at Brgy. Old Zaniga, Mandaluyong City</t>
  </si>
  <si>
    <t>Construction Supplies-1008-2020-0081</t>
  </si>
  <si>
    <t>Purchase of Diesel Fuel for use at ENRO-Albay PR No. (100(01)20-03-0739)</t>
  </si>
  <si>
    <t>RFQ-20-07-025</t>
  </si>
  <si>
    <t>20NI0083 - Repair/Maintenance of Flood Control Stucture (Lingig River Dike) at Sabang, Lingig, Surigao del Sur (K0+000-K0+300)</t>
  </si>
  <si>
    <t>Supply and delivery of various parts and accessories for the repair and maintenance of Mun. Vehicle</t>
  </si>
  <si>
    <t>20GAD0006 : Supply and delivery of materials for the Repair and Maintenance along Jct. Santiago-Banayoyo-Lidlidda-San Emilio-Quirino Road</t>
  </si>
  <si>
    <t>PROCUREMENT OF  BABY  KITS (MATERNAL HEALTH AND CHILD CARE)</t>
  </si>
  <si>
    <t>Bantay Lansangan</t>
  </si>
  <si>
    <t>Completion of Provincial Road Gap @ Upper Ladol, Brgy. Assumption, City of Koronadal</t>
  </si>
  <si>
    <t>Procurement Materials for the Fabrication &amp; Installation of Roof Canopy for Cultural Center</t>
  </si>
  <si>
    <t>RFQ for Drip Irrigation System for the use of LWRMC</t>
  </si>
  <si>
    <t>Purchase of Solar Lights</t>
  </si>
  <si>
    <t>Supply, Delivery, and Installation of ICT Software to Support the Command, Control, and Communications Information System (C3IS)</t>
  </si>
  <si>
    <t>PROCUREMENT OF DRUGS AND MEDICINES FOR CHO USE</t>
  </si>
  <si>
    <t>PURCHASE AND DELIVERY OF FOOD SUPPLIES FOR SFP FOR BOLINEY,ABRA</t>
  </si>
  <si>
    <t>Office Supplies Exps (03-366)</t>
  </si>
  <si>
    <t>20AC0102 - Repair / Maintenance of DILG Building PNP - Barrack Officer's Quarter Building (P-05), Camp Quirino, Bulag, Bantay, Ilocos Sur</t>
  </si>
  <si>
    <t>Improvement of Water System at Adamson Elementary School @ Samal, Bataan</t>
  </si>
  <si>
    <t>Procurement of Ventilator Corrugated Tubings, Neonatal</t>
  </si>
  <si>
    <t>PURCHASE AND DELIVERY OF IT EQUIPMENT AND ACCESSORIES</t>
  </si>
  <si>
    <t>IMPROVEMENT OF CONCRETE PAVEMENT AT AMBUGAO ROAD</t>
  </si>
  <si>
    <t>S/D OF ONE (1) SET TINT AND TWENTY EIGHT (28) OTHER LI OF HHSBN,AVNR(P), PA (PHP 140,000.00)</t>
  </si>
  <si>
    <t>Meals, Snacks and Accommodation for PLGU/MLGU Assessment on July (PR 422)</t>
  </si>
  <si>
    <t>Procurement of Catering Services for the conduct of 2020 Census of Population  and Housing (CPH) 4th Level Training in Altavas, Aklan of PSA Aklan PSO</t>
  </si>
  <si>
    <t>Procurement of other supplies to be use by the garbage collectors during their everyday collection of garbage in the municipality</t>
  </si>
  <si>
    <t>Medical Supplies - (3rd) ENTERAL FEEDING CONTAINER &amp; CODAN SPIKE</t>
  </si>
  <si>
    <t>Supply and Delivery of Sampling Paraphernalia for the 2020 Surveillance Program for Import Meat</t>
  </si>
  <si>
    <t>Procurement of COVID-19 PPE's and RELATED EXPENSES (Procurement of Materials Complete PPE's and LYSOL &amp; Medical Apron) of MHO for the Municipality of Lugait, Misamis Oriental.</t>
  </si>
  <si>
    <t>REQUEST FOR QUOTATION TO PURCHASE A OFFICE SUPPLIES USED FOR TEACH, REACH AND FLY PROGRAM.</t>
  </si>
  <si>
    <t>PROCUREMENT OF MEDICAL SUPPLIES USE FOR THE PIÑAN FIRE STATION PERSONNEL</t>
  </si>
  <si>
    <t>Supply and delivery of Foodstuff (Fish) for use at the dietary section of Tarlac Provincial Hospital</t>
  </si>
  <si>
    <t>CONSTRUCTION OF LUMBAN EMERGENCY OPERATION CENTER</t>
  </si>
  <si>
    <t>Purchase of Engine Oil for use at Provincial Engineer's Office PR No. (100(01)20-02-0619)</t>
  </si>
  <si>
    <t>Provision of services for the appraisal/valuation of Guagua Water District properties</t>
  </si>
  <si>
    <t>Supply and Delivery for Computer Supplies</t>
  </si>
  <si>
    <t>Procurement Materials for the Installation of 10 unit Solar Lamp Post</t>
  </si>
  <si>
    <t>Procurement of Vehicle Part &amp; Accessories for ARMOR DIV,  PA amounting to Php 400,000.00</t>
  </si>
  <si>
    <t>Detailed Engineering Design for the Construction of Multi-Purpose Building Eastern Police District, Brgy. Corazon De Jesus, San Juan City</t>
  </si>
  <si>
    <t>Supply and Delivery of Diesel</t>
  </si>
  <si>
    <t>Supply and Delivery for Hardware Supplies</t>
  </si>
  <si>
    <t xml:space="preserve">20NI0084 - Package 22 - Construction of Multi-Purpose Building Brgy. Campbagang, Barobo, Surigao del Sur - Construction of Multipurpose Building Bingcongan, Brgy. Bigaan, Hinatuan, Surigao del Sur  - </t>
  </si>
  <si>
    <t>Procurement for the Supply and Delivery of Construction Materials for the Various Projects of the City Government of Koronadal – SET B - REBID</t>
  </si>
  <si>
    <t>Purchase of 320 Box Surgical Mask &amp; 100 Gallon Alcohol</t>
  </si>
  <si>
    <t>Supply and Delivery of Laboratory Supplies for Veterinary Drug Residue Monitoring</t>
  </si>
  <si>
    <t>Procurement of Catering Services for the conduct of 2020 Census of Population  and Housing (CPH) 4th Level Training in Balete, Aklan of PSA Aklan PSO</t>
  </si>
  <si>
    <t>Purchase &amp; Delivery of Veterinary Products &amp; Supplies for different Farmers/Livestock &amp; Poultry Raisers of the Province</t>
  </si>
  <si>
    <t>Repair and Rehabilitation of Water Pumping Station, Isabela, Neg. Occ.</t>
  </si>
  <si>
    <t>Request for Quotation (ETSD-2020-07-0312 Tires)</t>
  </si>
  <si>
    <t>CONTINUATION OF TANAP – CANAO FOOTPATH (PHASE II), MABACA</t>
  </si>
  <si>
    <t>Construction of Public Alley</t>
  </si>
  <si>
    <t>PROCUREMENT OF FLYERS/ BROCHURES FOR INFORMATION DISSEMINATION CAMPAIGN OF THE GOVERNMENT OF BACOOR AND/OR MAYOR LANI MERCADO REVILLA - CIO</t>
  </si>
  <si>
    <t>PROCUREMENT OF OFFICE SUPPLIES FOR THE SANGUNIANG BAYAN OFFICE</t>
  </si>
  <si>
    <t>Purchase of Cellcards</t>
  </si>
  <si>
    <t>PURCHASE OF THE MATERIALS FOR THE REHABILITATION OF DAY CARE CENTER P-13</t>
  </si>
  <si>
    <t>Purchase of materials for the repair of Temporary Shed (Municipal Bldg. Roof Deck) @ San Jose, Baggao, Cagayan</t>
  </si>
  <si>
    <t>Suppy &amp; Delivery of Purchase Booklet</t>
  </si>
  <si>
    <t>IT Supplies and Materials</t>
  </si>
  <si>
    <t>Purchase of Beds-PTA, San Fabian, Pangasinan</t>
  </si>
  <si>
    <t>Expansion of Evacuation Center</t>
  </si>
  <si>
    <t>Supply and Delivery for IT Equipment</t>
  </si>
  <si>
    <t>RFQ-DVO-PR.NO. 2003409 CAT. 61 TIRE, BATTERIES AND ACCESSORIES</t>
  </si>
  <si>
    <t>RFQ-DVO-PR.NO. 2006234 CAT. 49 PRINTED FORMS AND PRINTING SERVICES</t>
  </si>
  <si>
    <t>Vehicle Parts and accessories</t>
  </si>
  <si>
    <t>PROCUREMENT OF LAYOUTING AND PRINTING OF INFORMATION PANEL BOARDS - CIO</t>
  </si>
  <si>
    <t>IMPROVEMENT OF FMR NEAR SIMEON AREA</t>
  </si>
  <si>
    <t>Procurement of Catering Services for the conduct of 2020 Census of Population  and Housing (CPH) 4th Level Training in Banga, Aklan of PSA Aklan PSO</t>
  </si>
  <si>
    <t>RFQ-DVO-PR.NO. 2006216 CAT. 41.1 ELECTRONIC CONSUMABLES</t>
  </si>
  <si>
    <t>Filing Cabinet for baranagy Hall @ pangao, Ibaan, Batangas</t>
  </si>
  <si>
    <t>Supply and Delivery of 16,000 grams Tertiary Butyl Peroxy Benzoate, as per BSP Technical Specifications and Terms and Conditions</t>
  </si>
  <si>
    <t>RFQ for Kitchenware for the use of Entrepreneurship Laboratory of the CAg</t>
  </si>
  <si>
    <t>Purchase of Diesel Fuel for use at PTCAO PR No. (100(01)20-05-1119)</t>
  </si>
  <si>
    <t>Purchase of Unleaded Gasoline for use at PEO PR No. (100(01)20-05-1093)</t>
  </si>
  <si>
    <t>PROCUREMENT OF PUBLICATION OF MUNICIPAL ORDINANCE NO. 2020-010, SERIES OF 2020 FOR THE PUBLICATION OF TRAFFIC RELATED ENACTMENT</t>
  </si>
  <si>
    <t>2020-05-0913  Multi-Channel Pipettes 12 Channel</t>
  </si>
  <si>
    <t>DRUGS AND MEDICINES - VITAMIN C</t>
  </si>
  <si>
    <t>CONSTRUCTION OF BOX CULVERT</t>
  </si>
  <si>
    <t>Procurement of Materials for use in the Office of Maintenance personnel of the General Services</t>
  </si>
  <si>
    <t>20 pcs PPE Cover-All Level 1</t>
  </si>
  <si>
    <t>Upgrade of Dell Inspiron 15 (5000 series) Laptop assigned to COA ROIX RTU Personnel</t>
  </si>
  <si>
    <t>Supply and Delivery of Office Supplies 2020</t>
  </si>
  <si>
    <t>DISPOSABLE GOWN AND DRAPES LAPAROTOMY PACK</t>
  </si>
  <si>
    <t>UPLB-RES-028-07-20  SUPPLY AND DELIVERY OF BRANDED AND BRAND NEW ENGINEERING AND LABORATORY TESTING EQUIPMENT FOR CEAT-AMTEC</t>
  </si>
  <si>
    <t>Medical Supplies - (3rd) CAP BOUFFANT TYPE &amp;  TUBE STOMACH</t>
  </si>
  <si>
    <t>Procurement of Catering Services for the conduct of 2020 Census of Population  and Housing (CPH) 4th Level Training in Batan, Aklan of PSA Aklan PSO</t>
  </si>
  <si>
    <t>PLUMBING SUPPLIES (PR#20-04-70393)</t>
  </si>
  <si>
    <t>RFQ-DVO-PR.NO. 2006258 CAT. 56 SPARE PARTS FOR LIGHT &amp; HEAVY EQUIPMENT</t>
  </si>
  <si>
    <t>RFQ-20-07-014</t>
  </si>
  <si>
    <t>Supply and Delivery of 11 units Manual Pallet Lifter (PR Reference number 2020-07-0393)</t>
  </si>
  <si>
    <t>Purchase of Office and Janitorial Supplies</t>
  </si>
  <si>
    <t>RFQ / PR 20-06-0279 / PROCUREMENT OF SUPPLY AND INSTALLATION OF BLOCK-OUT COMBI BLINDS WINDOW COVERINGS</t>
  </si>
  <si>
    <t>Drugs and Medicines for Senior Citizens (20-07-464)</t>
  </si>
  <si>
    <t>PROCUREMENT OF TARPAULINS FOR BARANGAY INFORMATION DISSEMINATION CAMPAIGN - CIO</t>
  </si>
  <si>
    <t>BP Apparatus for barangay Health Center @ Pangao, Ibaan, Batangas</t>
  </si>
  <si>
    <t>Supply &amp; Delivery of Construction Materials for the Construction of San Pascual Barangay Hall</t>
  </si>
  <si>
    <t>VIDEO PRODUCTION WITH VOICE AND MUSICAL SCORE FOR THE NAST VIRTUAL AWARDING CEREMONY</t>
  </si>
  <si>
    <t>Fabrication of Concrete Canal Cover  at Brgy. Cavite East,Palo, Leyte</t>
  </si>
  <si>
    <t>Purchase of Smart Television for Cabilao National High School</t>
  </si>
  <si>
    <t>RFQ - 4pcs. Tire, 10.00-R20 (w/inner tube &amp; flap) for use for GFH-682/H1-6395 Isuzu Dump Truck (Maintenance Section)</t>
  </si>
  <si>
    <t>Supply &amp; Delivery of Vehicle Repair &amp; Maintenance for the use of Hydraulic Excavator Volvo EW145B, NIA-Regional Office, Labangan, Zamboanga del Sur</t>
  </si>
  <si>
    <t>PROCUREMENT OF OFFICE SUPPLIES FOR DEVELOPMENT AND VALIDATION OF LEARNING RESOURCE MATERIALS</t>
  </si>
  <si>
    <t>Purchase of Computer Set for LWS Office Use.</t>
  </si>
  <si>
    <t>Supply and Delivery of Traffic Citation Tickets for Tarlac City CTTMG/POSO use</t>
  </si>
  <si>
    <t>SH 037-20: ICT EQUIPMENT: PORTABLE EXTERNAL SSD</t>
  </si>
  <si>
    <t>Improvement/Rehabilitation of Evacuation Center</t>
  </si>
  <si>
    <t>Procurement of 13 units UPS 900 watts / 1500 VA (Pro BX1500M)</t>
  </si>
  <si>
    <t>PURCHASE OF FILING CABINET FOR INDEX CARDS OF THE CITY ASSESSOR'S OFFICE</t>
  </si>
  <si>
    <t>RFQ: Medical Supplies (PR #20-06-570)</t>
  </si>
  <si>
    <t>Procurement of Catering Services for the conduct of 2020 Census of Population  and Housing (CPH) 4th Level Training in Buruanga, Aklan of PSA Aklan PSO</t>
  </si>
  <si>
    <t>RFQ for Fire Extinguisher for the use of the University</t>
  </si>
  <si>
    <t>Procurement of ICT and Office Equipment for Official Use of Division Office Personnel</t>
  </si>
  <si>
    <t>BANANA (PR#20-06-70560)</t>
  </si>
  <si>
    <t>Office Supplies for Enkantadya Office</t>
  </si>
  <si>
    <t>PROCUREMENT OF CATERING SERVICES FOR FOOD PROVISION MANNING THE BORDER CHECKPOINT @ TOLON, RIZAL, ZN</t>
  </si>
  <si>
    <t>Procurement of Medical Supplies and Toner</t>
  </si>
  <si>
    <t>Procurement of various office supplies</t>
  </si>
  <si>
    <t>PREVENTIVE MAINTENANCE SERVICES OF TRANSCO MINDANAO MITSUBISHI STRADA (NS-3511)</t>
  </si>
  <si>
    <t>30 gallons Alcohol</t>
  </si>
  <si>
    <t>Supply and Delivery of Various Filters for 400 KVA Generator Set</t>
  </si>
  <si>
    <t>CONSTRUCTION/REHABILITATION OF LOCAL ROADS @ BARANGAY SAMBAT, SAN PASCUAL, BATANGAS</t>
  </si>
  <si>
    <t>ELECTRICAL SUPPLIES (PR#20-04-70398)</t>
  </si>
  <si>
    <t>20AC0056 - Construction of Revetment Wall, Barangay Quibit-quibit, Sinait, Ilocos Sur</t>
  </si>
  <si>
    <t>Procurement of various office equipment</t>
  </si>
  <si>
    <t>20GI0100 - Construction of 1 Unit 1STY5CL School Building Don Benjamin Jalandoni Sr. MNHS, Zarraga, Iloilo</t>
  </si>
  <si>
    <t>To be used as Learning Instructional Materials for Day Care Centers in the Province of Romblon</t>
  </si>
  <si>
    <t>Data Folder</t>
  </si>
  <si>
    <t>Procurement for the Supply and Delivery of One (1) Unit Four Wheeled Vehicle (Pick-Up) for CSU Operations, City of Koronadal - REBID</t>
  </si>
  <si>
    <t>HEAD CAPS DISPOSABLE GREEN GOOD FIT GARTERIZED 100’S (BOUFFANT CAPS 24”)</t>
  </si>
  <si>
    <t>Catering Services for the LNP Boot Camp 2020</t>
  </si>
  <si>
    <t>IT Equipment and other supplies for Provincial Budget Office</t>
  </si>
  <si>
    <t>CONSTRUCTION OF CONFERENCE ROOM MUNICIPAL HALL BUILDING</t>
  </si>
  <si>
    <t>TOWEM-1142-2020-0006 Vehicle Parts and Accessories</t>
  </si>
  <si>
    <t>HOUSEKEEPINJG SUPPLIES AND MATERIALS FOR SANITATION PURPOSES</t>
  </si>
  <si>
    <t>PURCHASE OF REPLACEMENT PARTS OF VARIOUS VEHICLES - SPO</t>
  </si>
  <si>
    <t>Procurement of Catering Services for the conduct of 2020 Census of Population  and Housing (CPH) 4th Level Training in Ibajay, Aklan of PSA Aklan PSO</t>
  </si>
  <si>
    <t>Supply of labor and material for the Improvement of Third Floor (RCPC) of Livestock Building</t>
  </si>
  <si>
    <t>Procurement of Philhealth Electronic Claims System</t>
  </si>
  <si>
    <t>PRINTING OF INFORMATION MATERIALS - BROCHURES</t>
  </si>
  <si>
    <t>Purchase of Materials for the Installation of Street Lighting</t>
  </si>
  <si>
    <t>CONSTRUCTION OF COVERED WALKWAY AT TRANSPORT TERMINAL</t>
  </si>
  <si>
    <t>Landscaping of Mayor's Boulevard Center Island, Asingan, Pangasinan.</t>
  </si>
  <si>
    <t>20CSM004-Feasibility Study of Maligang-Tudok-T'boli Road, T'boli South Cotabato and Kiamba, Sarangani</t>
  </si>
  <si>
    <t>PROCUREMENT OF MEDICINES AND MEDICAL SUPPLIES FOR PATIENTS AND RHU USE</t>
  </si>
  <si>
    <t>Supply and Delivery of proper search ,rescue and retrieval equipment for Philippine Marine Corps  - Headquarters Marine Batallion landing Team 10 located at Sitio Burubur ,Barangay Magapit Lallo</t>
  </si>
  <si>
    <t>ITB 20-002-A - Supply and Delivery of 84 Loads of Sand &amp; Gravel Dirty Mix (14cu.m. per load) with prohibition of Scraping.</t>
  </si>
  <si>
    <t>PURCHASE AND DELIVERY OF FOUR (4) UNITS OF RISOGRAPH MACHINES FOR BARAS ELEMENTARY SCHOOL ------Php 1,120,000.00</t>
  </si>
  <si>
    <t>Procurement of PVC Pipes for distribution to different Barangays Province wide, Province of Romblon</t>
  </si>
  <si>
    <t>SVP 20-0094-A - Purchase of 6 pcs BROOM , Soft &amp; etc.</t>
  </si>
  <si>
    <t>Request for Quotation (ETSD-2020-07-0311 Agent CFAS)</t>
  </si>
  <si>
    <t>PURCHASE OF VITAMINS FOR COVID-19</t>
  </si>
  <si>
    <t>Purchase and Delivery of Office Equipment</t>
  </si>
  <si>
    <t>Supply and Delivery of Food Items use for the Isolation Facilities</t>
  </si>
  <si>
    <t>PURCHASE OF REPLACEMENT PARTS OF VARIOUS VEHICLES - OVM</t>
  </si>
  <si>
    <t>Procurement for the Supply &amp; Delivery of Two (2) Units Brand New Four (4) Wheeled Vehicles for City Accounting Office &amp; City Planning &amp; Development Office, City of Koronadal – Negotiated</t>
  </si>
  <si>
    <t>SVP 20-0150-A - Purchase of 330 meters TEXTILE , Chinese Cotton, White &amp; etc.</t>
  </si>
  <si>
    <t>MAINTENANCE/RE-GRAVELLING OF ROADS AT TONDOL (CANIOGAN) ROAD</t>
  </si>
  <si>
    <t>CONSTRUCTION OF DRAINAGE CANAL @ CENTRAL BUYAGAN</t>
  </si>
  <si>
    <t>Joaquin Elementary School MOOE</t>
  </si>
  <si>
    <t>PROCUREMENT OF VARIOUS EQUIPMENT USE FOR RESCUE VEHICLE WASHING</t>
  </si>
  <si>
    <t>Purchase of Printed Forms use for at Accounting Office, Calasiao, Pangasinan</t>
  </si>
  <si>
    <t>INVITATION FOR QUOTATION OF PR 2020-163</t>
  </si>
  <si>
    <t>Purchase of Construction Materials used for Fabrication of Wooden Mosquito Frames of LGU-San Andres, Quezon.</t>
  </si>
  <si>
    <t>Supply and Delivery of Air Conditioning Units for BU IPESR</t>
  </si>
  <si>
    <t>RFQ - Uninterrupted Power Supply</t>
  </si>
  <si>
    <t>NP 100-20: ICT EQUIPMENT</t>
  </si>
  <si>
    <t>Procurement of Catering Services for the conduct of 2020 Census of Population  and Housing (CPH) 4th Level Training in Kalibo, Aklan of PSA Aklan PSO</t>
  </si>
  <si>
    <t>Procurement of Catering Services for the conduct of 2020 Census of Population  and Housing (CPH) 4th Level Training in Madalag, Aklan of PSA Aklan PSO</t>
  </si>
  <si>
    <t>Purchase of materials for the repair and maintenance of OLD RHU Building @ San Jose, Baggao, Cagayan</t>
  </si>
  <si>
    <t>CONSTRUCTION OF SPILLWAY AT PUROK LAGYO, BRGY. LUBAYAT, REAL, QUEZON</t>
  </si>
  <si>
    <t>PURCHASE OF FEEDS</t>
  </si>
  <si>
    <t>Procurement of Catering Services for the conduct of 2020 Census of Population  and Housing (CPH) 4th Level Training in Libacao, Aklan of PSA Aklan PSO</t>
  </si>
  <si>
    <t>Procurement of COVID-19 PPE's and RELATED EXPENSES (Procurement of Materials Complete PPE's (Thermometer) for the Municipality of Lugait, Misamis Oriental.</t>
  </si>
  <si>
    <t>Construction/ Repair/ Rehabilitation/ Improvement of Various Infrastructure Including Local Projects – Rehabilitation of Balenben Road at Purok 9A, Balenben, Baguio City</t>
  </si>
  <si>
    <t>ADDITIONAL SUPPLIES AND MATERIALS FOR THE NO TOUCH SOAP DISPENCER (COVID 19 PANDEMIC)</t>
  </si>
  <si>
    <t>SVP 20-0294 - Purchase of 2 units HEPA FILTER.</t>
  </si>
  <si>
    <t>Pag-IBIG Fund TAS NCR South (SUPPLY AND DELIVERY OF VARIOUS MATERIALS FOR THE ADDITIONAL PROTECTIVE BARRIERS OF NCR SOUTH BRANCHES)</t>
  </si>
  <si>
    <t>Rehabilitation of Picocobuan Wharf</t>
  </si>
  <si>
    <t>Construction of Class “AA” Slaughter House with Holding Pen at Barangay San Pedro, Luisiana, Laguna</t>
  </si>
  <si>
    <t>20CSM005 - Sub-Surface Exploration of the proposed five (5) bridges:  a) Banga-Tupi-Malungo Road (Tupi-Malungon Section) Package A b) Jct. NHW (Marbel-Makar Road) Kipalbig-Maltana-Poblacion Tampakan R</t>
  </si>
  <si>
    <t>PMD IT EQUIPMENT</t>
  </si>
  <si>
    <t>Office Supplies for Vice Mayor’s Office</t>
  </si>
  <si>
    <t>For TESDA Muntiparlastapat District Office use</t>
  </si>
  <si>
    <t>Meals, Snacks and Accommodation for PLGU/MLGU Assessment on December (PR 422)</t>
  </si>
  <si>
    <t>TOWEM-1142-2020-0007 Vehicle Parts and Accessories</t>
  </si>
  <si>
    <t>Construction of Slope Protection/Retaining Wall</t>
  </si>
  <si>
    <t>CONSTRUCTION OF FLOOD CONTROL SYSTEM @ PUROK 4 BAYANAN, SAN PASCUAL, BATANGAS</t>
  </si>
  <si>
    <t>PURCHASE OF RICE FOR COVID-19</t>
  </si>
  <si>
    <t>Procurement of Medical Oxygen refill for use of Sibuyan District Hospital, Cajidiocan, Romblon</t>
  </si>
  <si>
    <t>Hardware and Construction Supplies for Installation of Handwash Area Facilities at School Grounds 16cm x 16cm Granite Tiles Finish</t>
  </si>
  <si>
    <t>Procurement of Supplies (Construction/Plumbing and Electrical Materials)  for the Improvement of Camiguin General Hospital Facilities and Health Care Services</t>
  </si>
  <si>
    <t>Procurement of Drugs &amp; Medicines</t>
  </si>
  <si>
    <t>SVP 20-0296 - Purchase of 2 units AIRCONDITIONER , 1.5 HP &amp; etc.</t>
  </si>
  <si>
    <t>Food Sufficiency Program in Support to Organic Farming in IP Areas</t>
  </si>
  <si>
    <t>1 Lot Catering Services for Mental Health Awareness seminar for 240 participants on various dates from July 8, 2020 to July19, 2020 by the Ormoc District Hospital. ABC PHP156,000.00</t>
  </si>
  <si>
    <t>Pag-IBIG Fund-CHQ (SUPPLY AND DELIVERY OF VARIOUS OFFICE EQUIPMENT)</t>
  </si>
  <si>
    <t>SVP 20-0295 - Purchase of 1 unit GRAIN MOISTURE METER , Portable &amp; etc.</t>
  </si>
  <si>
    <t>SVP 20-0297 - Purchase of 5 units PHOTOCOPIER.</t>
  </si>
  <si>
    <t>Procurement for the Supply and Delivery of 11,100 Sets Educational School Supplies for Public School Grades 1-3 Students of the City-REBID.</t>
  </si>
  <si>
    <t>Procurement of Catering Services for the conduct of 2020 Census of Population  and Housing (CPH) 4th Level Training in Makato, Aklan of PSA Aklan PSO</t>
  </si>
  <si>
    <t>Procurement for the Supply and Delivery of 11,653 Sets Educational School Supplies for Public School Grades 4-6 Students of the City-REBID</t>
  </si>
  <si>
    <t>INVITATION FOR QUOTATION OF PR 2020-129</t>
  </si>
  <si>
    <t>SVP 20-0299 - 1 lot LABOR AND MATERIALS , General Overhauling - Engine and Suspension of Canter, Hauling Truck, plate no.123002.</t>
  </si>
  <si>
    <t>20GGF0020 – Procurement of Construction Materials for use in Repair/Maintenance of National roads within the jurisdiction of Iloilo 1st DEO, Fort San Pedro, Iloilo City.</t>
  </si>
  <si>
    <t>Supply and delivery of office equipment for SAAD (PR 1343)</t>
  </si>
  <si>
    <t>Supply and Delivery of Various Construction Materials and Supplies for the Proposed Maintenance of Infrastructure Assets, River Parks Authority</t>
  </si>
  <si>
    <t>SVP 20-0298 - Purchase of 20 pcs DOORMAT , Cloth, Cotton &amp; etc.</t>
  </si>
  <si>
    <t>Training Expense-Php99,837.50 PDO</t>
  </si>
  <si>
    <t>NP 101-20: Supply and Delivery of Anniversary Polo Shirts Provision for the Secretary</t>
  </si>
  <si>
    <t>SVP 20-0302 - Purchase of 150 btls FORMULA MILK &amp; etc.</t>
  </si>
  <si>
    <t>Procurement of Medical, Dental &amp; Laboratory Supplies</t>
  </si>
  <si>
    <t>REFURBISH MATERIALS USED IN COVID GROUND FOR PEARLIES DEMOLITION</t>
  </si>
  <si>
    <t>Construction/ Repair/ Rehabilitation/ Improvement of Various Infrastructure Including Local Projects – Widening of Roads Including Drainages and Canals along Purok 2 and 3, Crystal Cave, Baguio City</t>
  </si>
  <si>
    <t>SUPPLY AND DELIVERY OF LABORATORY SUPPLIES</t>
  </si>
  <si>
    <t>20AB0131 : CONSTRUCTION OF TWO (2) STOREY-SIX (6) CLASSROOM SCHOOL BUILDING, (100120) DINGRAS CENTRAL ES, DINGRAS, ILOCOS NORTE</t>
  </si>
  <si>
    <t>PROCUREMENT OF CUBICLE TABLE &amp; DRAWER</t>
  </si>
  <si>
    <t>20GM0008 - PROCUREMENT OF DRYDOCKING AND REPAIR OF DPWH K3-22 (WASTEMASTER 4) STATIONED AT MOTHER BRGY. KALANGANAN I, COTABATO CITY</t>
  </si>
  <si>
    <t>20CSM006-Sub-Surface Exploration of the proposed seven (7) bridges:  a) Tacurong East By-Pass Road from Brgy. San Antonio – D’Ledema-San Pablo connecting to Brgy. Kalandagan b) Kidapawan City Circumfe</t>
  </si>
  <si>
    <t>SVP 20-0301 - Purchase of 4 sets TIRE , Tubeless, 185 R14, Branded &amp; etc.</t>
  </si>
  <si>
    <t>REQUEST FOR QUOTATION</t>
  </si>
  <si>
    <t>20AB0130 : CONSTRUCTION OF TWO (2) STOREY-SIX (6) CLASSROOM SCHOOL BUILDING, (100037) PALTIT ELEMENTARY SCHOOL BADOC, ILOCOS NORTE</t>
  </si>
  <si>
    <t>Request for Quotation for the Repair and Maintenance of Mitsubishi Pajero (SDC-360)</t>
  </si>
  <si>
    <t>Supply &amp; Delivery of Construction Materials for the Improvement of OSCA Building at Sta. Cruz</t>
  </si>
  <si>
    <t>Supply and Delivery of Various Construction Materials and Supplies for the Proposed Mooring Base &amp; Concreting of Stairs Approaching Floating Restaurant, River Parks Authority</t>
  </si>
  <si>
    <t>Installation of Table Shields</t>
  </si>
  <si>
    <t>2FAB-2020-004 Construction Materials and Supplies</t>
  </si>
  <si>
    <t>20GM0009 - SUPPLY AND DELIVERY OF DREDGE EQUIPMENT AND EQUIPMENT SUPPORT FOR USE OF EQUIPMENT MANAGEMENT DIVISION, DPWH REGION XII, KORONADAL CITY</t>
  </si>
  <si>
    <t>Completion of Motorpool- Bulanao Campus</t>
  </si>
  <si>
    <t>20AB0133 : CONSTRUCTION OF TWO (2) STOREY-SIX (6) CLASSROOM SCHOOL BUILDING, (100252) BARABAR ES, SAN NICOLAS, ILOCOS NORTE</t>
  </si>
  <si>
    <t>SVP 20-0303 - Purchase of 5 boxes 3ML UTM MEDIUM IN 16X100MM TUBE &amp; etc.</t>
  </si>
  <si>
    <t>Lease of Various Printing Machines and Equipment with Operational and Technical Support System</t>
  </si>
  <si>
    <t>Construction/ Repair/ Rehabilitation/ Improvement of Various Infrastructure Including Local Projects – Construction of Concrete Road along Pedro Fuentes St., Dominican Mirador, Baguio City</t>
  </si>
  <si>
    <t>Purchase of various plumbing materials for use in the repair of water system at the ECCD Building, Brgy. Bagongbayan, Bato, Leyte</t>
  </si>
  <si>
    <t>Procurement of Geological tools with complete accessories</t>
  </si>
  <si>
    <t>20AB0132 : CONSTRUCTION OF TWO (2) STOREY-SIX (6) CLASSROOM SCHOOL BUILDING, (100158) TABUCBUC ELEMENTARY SCHOOL MARCOS, ILOCOS NORTE</t>
  </si>
  <si>
    <t>Supply and Delivery of Goods and Services: Medical Supplies for use of Health and Nutrition Personnel (103)</t>
  </si>
  <si>
    <t>Representation Expenses (PDO-PhP461,590.00)</t>
  </si>
  <si>
    <t>FLOOD CONTROL PROJECT AT POBLACION 61 &amp; POBLACION 1, REAL, QUEZON</t>
  </si>
  <si>
    <t>Procurement of Catering Services for the conduct of 2020 Census of Population  and Housing (CPH) 4th Level Training in Nabas, Aklan of PSA Aklan PSO</t>
  </si>
  <si>
    <t>DECLOGGING</t>
  </si>
  <si>
    <t>Supply and Delivery of Materials for the Provision of Potable Water System</t>
  </si>
  <si>
    <t>DELIVERY OF MIXED GRAVEL FOR STOCK PILLING FOR MAINTENANCE OF ROADS</t>
  </si>
  <si>
    <t>Procurement of Catering Services for the conduct of 2020 Census of Population  and Housing (CPH) 4th Level Training in Malinao, Aklan of PSA Aklan PSO</t>
  </si>
  <si>
    <t>INVITATION FOR QUOTATION OF PR 2020-190</t>
  </si>
  <si>
    <t>SUPPLY &amp; DELIVERY OF TWO (2) UNITS OF SMART TELEVISION FOR MEETINGS, CONFERENCES AND PRESENTATIONS</t>
  </si>
  <si>
    <t>Supply and Delivery various Video Streaming Equipment use by CFO</t>
  </si>
  <si>
    <t>Municipal Crisis Intervention Center Completion</t>
  </si>
  <si>
    <t>Procurement of Catering Services for the conduct of 2020 Census of Population  and Housing (CPH) 4th Level Training in Malay, Aklan of PSA Aklan PSO</t>
  </si>
  <si>
    <t>Pag-IBIG Fund-CHQ (SUPPLY AND DELIVERY OF VARIOUS PREPAID CARDS)</t>
  </si>
  <si>
    <t>Materials for IPCRF, Portfolio and Other Reports for Senior High School</t>
  </si>
  <si>
    <t>Supply and Delivery of Various Construction Materials and Supplies for the Proposed Concreting of Pavement, River Parks Authority</t>
  </si>
  <si>
    <t>SUPPLY AND DELIVERY OF  OFFICE SUPPLIES</t>
  </si>
  <si>
    <t>Supply and delivery of Vehicle Parts &amp; Accessories (Tires and Automotive Battery) for use in Western Leyte Provincial Hospital. ABC PHP58,200.00</t>
  </si>
  <si>
    <t>Materials for IPCRF, Portfolio and Other Reports for Junior High School</t>
  </si>
  <si>
    <t>UPLB-RES-032-07-20  SUPPLY AND DELIVERY OF BRANDED AND BRAND NEW VEHICLES FOR CEAT-AMTEC</t>
  </si>
  <si>
    <t>Supply and Delivery of Goods and Services: Fuel and Oil Lubricants for Deped Vehicle use (104)</t>
  </si>
  <si>
    <t>20GM0010 - PROCUREMENT OF SHOP TOOLS AND EQUIPMENT FOR THE USE OF EQUIPMENT MANAGEMENT DIVISION AND ITS AREA EQUIPMENT SHOP, DPWH REGION XII, KORONADAL CITY</t>
  </si>
  <si>
    <t>Procurement of Catering Services for the conduct of 2020 Census of Population  and Housing (CPH) 4th Level Training in Numancia, Aklan of PSA Aklan PSO</t>
  </si>
  <si>
    <t>CONSTRUCTION OF DRAINAGE CANAL</t>
  </si>
  <si>
    <t>SVP 20-0306 - Purchase of 10 pcs CHARGEABLE LITHIUM ION BATTERIES</t>
  </si>
  <si>
    <t>PROCUREMENT OF TEN (10) SETS WORKSTATION TABLE WITH ACRYLLIC PARTITION AND EIGHTY (80) PIECES MOBILE PEDESTAL FOR THE CORPORATE PLANNING DIVISION</t>
  </si>
  <si>
    <t>INSTALLATION OF CULVERTS &amp; RATIONALIZATION OF DRAINAGE CANAL IN BARANGAY GUIMBAWIAN</t>
  </si>
  <si>
    <t>Ocular (Site) Inspection and Appraisal of Various BSP Properties, as per BSP Terms of References</t>
  </si>
  <si>
    <t>Procurement of Catering Services for the conduct of 2020 Census of Population  and Housing (CPH) 4th Level Training in New Washington, Aklan of PSA Aklan PSO</t>
  </si>
  <si>
    <t>Procurement of Catering Services for the conduct of 2020 Census of Population  and Housing (CPH) 4th Level Training in Tangalan, Aklan of PSA Aklan PSO</t>
  </si>
  <si>
    <t>Supply, Delivery and Installation of Outdoor LED Monitor for CFO</t>
  </si>
  <si>
    <t>Office Supplies &amp; Consumable for PBO-2020-0019, VDH-0155 &amp; 0158</t>
  </si>
  <si>
    <t>CONSTRUCTION OF BASKETBALL COURT IN SITIO LAGBANGON BRGY. ANISLAG (with Fabrication &amp; Installation of 1 pair goals, boards &amp; rings)</t>
  </si>
  <si>
    <t>Supply and Delivery of Air Purifiers use to manage public health Pandemic for CFO Manila Office</t>
  </si>
  <si>
    <t>PR 2020-451 Supply and Delivery of Plumbing Supplies</t>
  </si>
  <si>
    <t>SUPPLY &amp; DELIVERY OF THREE (3) UNITS OF MOTORCYCLE FOR OPERATIONS OF TRAFFIC MANAGEMENT TEAM</t>
  </si>
  <si>
    <t>Storage Box</t>
  </si>
  <si>
    <t>Printer for Principal's Office</t>
  </si>
  <si>
    <t>CONSTRUCTION OF BASKETBALL COURT  (with Fabrication &amp; Installation of 1 pair goals, boards &amp; rings), Sitio Rattan, Brgy. Sacsac</t>
  </si>
  <si>
    <t>AMP SVP-D NO: 20-07-0378 Copy Paper</t>
  </si>
  <si>
    <t>CONSTRUCTION OF MULTI-PURPOSE BUILDING</t>
  </si>
  <si>
    <t>Fuel for VMO</t>
  </si>
  <si>
    <t>REQUEST FOR QUOTATION FOR THE PROVISION OF SURVEYING INSTRUMENTS FOR OFFICIAL USE OF THE MONITORING AND ENFORCEMENT SECTION (MES) WITH AN ABC OF PHP330,000.00</t>
  </si>
  <si>
    <t>ITB 07-01-2020 Item B</t>
  </si>
  <si>
    <t>ITB 07-01-2020 Item C</t>
  </si>
  <si>
    <t>Supply and delivery of Construction and Hardware Supplies for use in Western Leyte Provincial Hospital. ABC PHP51,250.00</t>
  </si>
  <si>
    <t>Supply and Delivery of Food and Beverages for Casino Customers, Players and Guests for Three (3) Years for Ronquillo Satellite under ITB No. PB20-06-035COR</t>
  </si>
  <si>
    <t>Procurement of supply and delivery of POCKET WIFI</t>
  </si>
  <si>
    <t>Spare Parts with Installation for OPA-2020-0083</t>
  </si>
  <si>
    <t>ACQUISITION/FABRICATION OF FORTY (40) UNITS 3.60M X 3.60M TENTS FOR MARKET DAY</t>
  </si>
  <si>
    <t>Office Supplies 2LSSM2020A-302</t>
  </si>
  <si>
    <t>CONSTRUCTION OF CONCRETE PAVEMENT AT PUROK 1 LAUBAN</t>
  </si>
  <si>
    <t>ITB - Supply, Delivery and Testing of Float Assisted Walking -Type Agricultural Tractors (PHilMech 20-06-03)</t>
  </si>
  <si>
    <t>Procurement of supply and delivery of Molasses and vermicast</t>
  </si>
  <si>
    <t>PROCUREMENT OF PLASTIC TABLE WITH METAL LEGS</t>
  </si>
  <si>
    <t>ITB_Construction of Campus Perimeter Fence (Phase 1)</t>
  </si>
  <si>
    <t>Supply and Delivery of Spare parts for the repair/maintenance of Municipal Service Vehicle Bongo, this Municipality of Mabini, Davao De Oro</t>
  </si>
  <si>
    <t>Supply and Delivery of Various Construction Materials and Supplies for the Proposed Development of Drainage with Manhole &amp; Cover (120 L.M.), River Parks Authority</t>
  </si>
  <si>
    <t>SUPPLY AND DELIVERY OF GENERAL MERCHANDISER</t>
  </si>
  <si>
    <t>ITB - Supply, Delivery and Testing of  Rice Precision Seeders (PHilMech 20-06-04)</t>
  </si>
  <si>
    <t>PROCUREMENT OF VARIOUS BRANDED AND BRAND NEW CAVING INSTRUMENTS/GEARS for OFFICIAL USE OF CDS-Biodiversity Management Unit of PENRO MARINDUQUE</t>
  </si>
  <si>
    <t>Supply and Delivery of DND-Wide Petroleum, Oil and Lubricant (POL) Requirements for CY 2020 (DND/AFP-POL-Lot1-2020-001)</t>
  </si>
  <si>
    <t>Request For Quotation-CATERING SERVICES FOR THE OPERATIONALIZATION OF THE 9 SUB-COMMITTEES 3RD QTR FOR CY 2020-Php90,000.00</t>
  </si>
  <si>
    <t>IT Equipment for VGOV-2020-0036</t>
  </si>
  <si>
    <t>For the use of Solar Light Training re: toolkit</t>
  </si>
  <si>
    <t>Other Supplies and Materials 2LSSM2020A-307</t>
  </si>
  <si>
    <t>For Learners w/ Special Educational Needs Lot A</t>
  </si>
  <si>
    <t>Request For Quotation-CATERING SERVICES FOR THE OPERATIONALIZATION OF THE 9 SUB-COMMITTEES FOR CY 2020-Php90,000.00</t>
  </si>
  <si>
    <t>Spare Part for OPA-2020-0166,0281, 0282, 0167</t>
  </si>
  <si>
    <t>Other Supplies and Materials 2LSSM2020A-306</t>
  </si>
  <si>
    <t>Food Supplies 2LSSM2020A-305</t>
  </si>
  <si>
    <t>RFQ-GS-20200615-01 - 1 Lot Supply, Delivery, Installation, Testing &amp; Commissioning of Airconditioning Units at LANDBANK Calamba City Hall Branch</t>
  </si>
  <si>
    <t>Office Supplies 2LSSM2020A-303</t>
  </si>
  <si>
    <t>NP 102-20: SUPPLY AND DELIVERY OF DRINKING WATER (5 GAL./BOTTLE) WITH FREE USE OF 107 UNITS OF HOT AND COLD WATER DISPENSER FOR CY 2020</t>
  </si>
  <si>
    <t>Supply and Delivery of Various Construction Materials and Supplies for the Proposed Fabrication &amp; Installation of G.I. Pipe for Stair (8 Units) Railings, River Parks Authority</t>
  </si>
  <si>
    <t>PRINTING OF LEARNERS MODULE FOR SENIOR HIGH SCHOOL</t>
  </si>
  <si>
    <t>Tires for SP-2020-0016</t>
  </si>
  <si>
    <t>ITB 07-01-2020 Item A</t>
  </si>
  <si>
    <t>Furniture for VGOV-2020-0035</t>
  </si>
  <si>
    <t>Electrical System for PEMO-2020-2104</t>
  </si>
  <si>
    <t>Supply and Delivery of Various Medical Supplies/Supplies and Materials  for protection of  COVID 19– “The Bayanihan to Heal as One Act”</t>
  </si>
  <si>
    <t>20GF0105 - Repair/Maintenance of National Roads and Bridges (Emergency Project (Roads) – ACT 41X)</t>
  </si>
  <si>
    <t>OFFICE SUPPLIES PR 0214</t>
  </si>
  <si>
    <t>Procurement of Catering Services for the Conduct of Training of Trainers on Psychological First Aid  (PFA)</t>
  </si>
  <si>
    <t>FLOOD CONTROL PROJECT FOR BRGY. STO.NINO, ALANGALANG, LEYTE</t>
  </si>
  <si>
    <t>RENTAL/LEASE of MOTOR SERVICE VEHICLE (July 13-22, 2020)</t>
  </si>
  <si>
    <t>Purchase of Semi Expendables Furnitures</t>
  </si>
  <si>
    <t>RFQ-GS-20200610-01 - 1 Lot Supply and Delivery of Steel Cabinets at Various LANDBANK Branches</t>
  </si>
  <si>
    <t>Procurement of Various Office Supplies</t>
  </si>
  <si>
    <t>Improvement of Drainage Canal with Steel Gratings at Barangay Cupang West, City of Balanga, Bataan</t>
  </si>
  <si>
    <t>Plastic Products for PEMO-2020-2107</t>
  </si>
  <si>
    <t>SVP-Supply and Delivery of Dietary Supplies (Housekeeping &amp; Miscellaneous) LOT CY 2020</t>
  </si>
  <si>
    <t>Office Equipment for VET-2020-0333</t>
  </si>
  <si>
    <t>Installation of Streetlights at Barangay Cupang West, City of Balanga, Bataan</t>
  </si>
  <si>
    <t>IT Equipment for PEMO-2020-2031</t>
  </si>
  <si>
    <t>Improvement of Drainage System at Barangay Bagumbayan, City of Balanga, Bataan</t>
  </si>
  <si>
    <t>Information Technology Equipment for VET-2020-0334</t>
  </si>
  <si>
    <t>Improvement of Draiange System at P. Roman Street, Barangay Poblacion, City of Balanga, Bataan</t>
  </si>
  <si>
    <t>SUPPLY AND DELIVERY OF ELECTRICAL SUPPLIES FOR THE MAINTENANCE OF TANAUAN PUBLIC PLAZA, PUBLIC MARKET, SLAUGHTER HOUSE AND MUNICIPAL BUILDINGS</t>
  </si>
  <si>
    <t>Food Supplies 2LSSM2020A-304</t>
  </si>
  <si>
    <t>Supply and Delivery of DND-Wide POL Requirements for CY 2020 (DND/AFP-POL-Lot 3-2020-001)</t>
  </si>
  <si>
    <t>Request For Quotation-CATERING SERVICES-FOR THE CONDUCT OF SEAGRASS ASSESSMENT_MONITORING 2ND QTR 2020-Php54,000.00</t>
  </si>
  <si>
    <t>Construction of Covered Pathwalk at Cupang Elementary School at Barangay Cupang, City of Balanga, Bataan</t>
  </si>
  <si>
    <t>Request For Quotation-CATERING SERVICES-FOR THE CONDUCT OF MANGROVE ASSESSMENT_MONITORING 2ND QTR 2020-Php54,000.00</t>
  </si>
  <si>
    <t>Purchase of Cell Phone</t>
  </si>
  <si>
    <t>OFFICE SUPPLIES PR 0218</t>
  </si>
  <si>
    <t>20GG0046-G - Procurement of 160 Drums Asphalt Cement Pen. Grade 60/70 (200 Liters/Drum) for Use in the Repair/Maintenance of Paved Road along Various National Roads of DPWH Iloilo 2nd DEO, Balabag, Du</t>
  </si>
  <si>
    <t>RFQ-GS-20200622-02 - 1 Lot Supply, Delivery and Installation of Sunscreen/Roller Blinds at Four (4) LANDBANK Branches</t>
  </si>
  <si>
    <t>Procurement of Catering Services for the Conduct of Bank Accounts on Non-Implementing Unit (Non-IU) Schools Relative to the Implementation of the DepED Order No. 29, 2019</t>
  </si>
  <si>
    <t>Other Supplies and Materials 2LSSM2020A-308</t>
  </si>
  <si>
    <t>Livestock for VET-2020-0122</t>
  </si>
  <si>
    <t>Improvement of Drainage System at Barangay Sibacan, City of Balanga, Bataan</t>
  </si>
  <si>
    <t>OFFICE SUPPLIES PR 0219</t>
  </si>
  <si>
    <t>RENOVATION OF BARANGAY HALL</t>
  </si>
  <si>
    <t>Construction of Revetment Slope Protection at Maite River along cloverville subd., at Barangay Upper Tuyo, City of Balanga, Bataan</t>
  </si>
  <si>
    <t>Purchase of Medical Supplies</t>
  </si>
  <si>
    <t>Other Supplies and Materials 2LSSM2020A-313</t>
  </si>
  <si>
    <t>SUPPLY AND DELIVERY OF PVC FLOOR MAT (HEAVY DUTY)</t>
  </si>
  <si>
    <t>Meals and Snack for Mothers Class Activity</t>
  </si>
  <si>
    <t>Photographic Equipment for NOTD-2020-0157</t>
  </si>
  <si>
    <t>20KF0123 - Repair/Rehabilitation of DENR Building Main Building at Brgy. Tubod, Iligan City</t>
  </si>
  <si>
    <t>20GG0047-G - Procurement of Toner for use in the office of DPWH Iloilo 2nd DEO, Balabag, Dumangas, Iloilo</t>
  </si>
  <si>
    <t>Supply and  Delivery of Office Supplies</t>
  </si>
  <si>
    <t>20KF0122 - Repair/Maintenance of DOTR Building LTO Building 1st East</t>
  </si>
  <si>
    <t>Office Supplies 2LSSM2020A-311</t>
  </si>
  <si>
    <t>Hospital Equipment for DSBH-2020-0149</t>
  </si>
  <si>
    <t>Fertilizer for ORG-2020-0015</t>
  </si>
  <si>
    <t>Purchase of Various Drugs and Medicines</t>
  </si>
  <si>
    <t>Information Technology Equipment for NOTD-2020-0156</t>
  </si>
  <si>
    <t>LOWER USUGAN ES MOOE MARCH AND APRIL 2020</t>
  </si>
  <si>
    <t>Construction of Multi-purpose Facility@ IP Village</t>
  </si>
  <si>
    <t>Meals and Snack for convocation Program</t>
  </si>
  <si>
    <t>Procurement of Fuel Supply for the Government Vehicle Transportation Used</t>
  </si>
  <si>
    <t>PURCHASE OF 200 PIECES RAPID TESTING KIT - COVID 19</t>
  </si>
  <si>
    <t>Purchase of Office Supply</t>
  </si>
  <si>
    <t>Office Supplies 2LSSM2020A-312</t>
  </si>
  <si>
    <t>Construction of Multi-purpose Facility@ sitio Napanlahan</t>
  </si>
  <si>
    <t>RFQ-GS-20200206-06(2) - Supply and Delivery of Correction Tape and Tracing Paper</t>
  </si>
  <si>
    <t>Rehabilitation of Multi-purpose Facility( Barangay Health Center)</t>
  </si>
  <si>
    <t>Purchase of Carpentry Maintenance Materials for Improvement Works at Terminal 1 (Re-Bidding) [ris 20-88-013]</t>
  </si>
  <si>
    <t>Procurement of Materials for the Construction of Fire Garage</t>
  </si>
  <si>
    <t>FIRE FIGHTING &amp; RESCUE AND SAFETY SUPPLIES</t>
  </si>
  <si>
    <t>Military, Police &amp; Traffic Supplies 2LSSM2020A-317</t>
  </si>
  <si>
    <t>Contract ID No.: 20OB0245 Contract Name: Construction of Mandaluyong City College (Administrative Building), Mandaluyong City</t>
  </si>
  <si>
    <t>P.R NO. 100-2020-06-0332 INFORMATION TECHNOLOGY AND ACCESSORIES USE FOR RHU 1</t>
  </si>
  <si>
    <t>Other Supplies and Materials 2LSSM2020A-316</t>
  </si>
  <si>
    <t>Non-contact Thermal Facial Recognition with Hand Sanitizer Dispenser PR 0217</t>
  </si>
  <si>
    <t>FABIAN ES MOOE (MAR &amp; APR 2020)</t>
  </si>
  <si>
    <t>Catering for Field Trainings</t>
  </si>
  <si>
    <t>Supply &amp; Delivery of office supplies 01D GASS G04-2020</t>
  </si>
  <si>
    <t>Provision of Redundancy Direct Internet Connection Service Connection to BJMP National Headquarters</t>
  </si>
  <si>
    <t>Procurement for Repair and Improved School Fencing</t>
  </si>
  <si>
    <t>Construction of Multi-purpose Bldg. DCC-TIKULPA</t>
  </si>
  <si>
    <t>Construction and Repair</t>
  </si>
  <si>
    <t>Rehabilitation of Multi-purpose Bldg. ( Barangay Hall)</t>
  </si>
  <si>
    <t>Supply and Delivery of Various Government Forms</t>
  </si>
  <si>
    <t>Procurement of Construction Materials for Maintenance of Spillway-KALAHI-CIDSS PROJECT</t>
  </si>
  <si>
    <t>MAINTENANCE/REGRAVELLING OF LOCAL ROADS (PUROK MAALIGWAS, KARIRIKTAN, LIWA-LIWA)</t>
  </si>
  <si>
    <t>2020 LIAS KANLURAN INFRA CLUSTER 1</t>
  </si>
  <si>
    <t>Contract ID No.: 20OB0301 Contract Name: Rehabilitation of Multi-Purpose Building at Pedro P. Cruz Elementary School, Mandaluyong City</t>
  </si>
  <si>
    <t>Provision of LED TV for Instructional Use</t>
  </si>
  <si>
    <t>Water System Development for Centro A&amp;B</t>
  </si>
  <si>
    <t>SUPPLY &amp; DELIVERY OF DRUGS AND MEDICINES (MHO)</t>
  </si>
  <si>
    <t>BALURAN ES MOOE MARCH-APRIL 2020</t>
  </si>
  <si>
    <t>Improvement of Government Offices Building (2nd floor)</t>
  </si>
  <si>
    <t>Purchase of Food Supplies for Relief Goods</t>
  </si>
  <si>
    <t>Single Phase Primary Line Construction, Transformer and Metering Installation for Streetlights</t>
  </si>
  <si>
    <t>REPAIR/REHABILITION OF HANDWASHING FACILITY</t>
  </si>
  <si>
    <t>Supply and Delivery of Office supplies and consumables</t>
  </si>
  <si>
    <t>Procurement for Repainting of School Building</t>
  </si>
  <si>
    <t>Contract ID No.: 20OB0284 Contract Name: Rehabilitation of Multi-Purpose Building (Covered Court) at Block 39, Brgy. Addition Hills, Mandaluyong City</t>
  </si>
  <si>
    <t>SUPPLY AND DELIVERY OF VARIOUS OFFICE EQUIPMENT OF THE LGU LAOANG</t>
  </si>
  <si>
    <t>P.R NO. 100-2020-06-0344 REPAIR OF GARBAGE COMPACTOR</t>
  </si>
  <si>
    <t>Supply and delivery of printing supplies</t>
  </si>
  <si>
    <t>Supply and Delivery of Rescue Equipment and Paraphernalias</t>
  </si>
  <si>
    <t>Rehabilitation of Multi Purpose Hall</t>
  </si>
  <si>
    <t>Field Fertilizer&amp; chemicals for the 1st half of 2020</t>
  </si>
  <si>
    <t>Supply and Delivery of Digital Duplicator Machine</t>
  </si>
  <si>
    <t>GEOTECHNICAL INVESTIGATION AND TOPOGRAPHICAL SURVEY IN NFA LOT BAGUER, LIBUNGAN, NORTH COTABATO</t>
  </si>
  <si>
    <t>IMPROVEMENT OF BUILDING 2,5, 13 (PUTTING OF HAND WASHING FACILITIES)</t>
  </si>
  <si>
    <t>SUPPLY AND DELIVERY OF MATERIALS FOR THE BACKFILLING OF NAVAL WET MARKET BACK-UP AREA</t>
  </si>
  <si>
    <t>FIANAT FOOTPATH WITH FOOTBRIDGE</t>
  </si>
  <si>
    <t>PROCUREMENT OF OTHER SUPPLIES, ICT SUPPLIES AND OFFICE SUPPLIES OF SOUTHVILLE IV ES</t>
  </si>
  <si>
    <t>2020 LIAS SILANGAN INFRA CLUSTER 1</t>
  </si>
  <si>
    <t>Installation of Handwash Area</t>
  </si>
  <si>
    <t>Contract ID No.: 20OB0283 Contract Name: Rehabilitation of Multi-Purpose Building (Covered Court) at Block 38, Brgy. Addition Hills, Mandaluyong City</t>
  </si>
  <si>
    <t>Construction and Repair Materials</t>
  </si>
  <si>
    <t>Procurement of Supply and Delivery of  Diesel Oil for Malaya Thermal Power Plant  for CY 2020</t>
  </si>
  <si>
    <t>PROCUREMENT OF VARIOUS PERSONAL PROTECTIVE EQUIPMENTS FOR HONDAGUA ENGINEERING PERSONNEL</t>
  </si>
  <si>
    <t>Cluster XLIV</t>
  </si>
  <si>
    <t>RFQ Janitorial and Laboratory Supplies 20-06-077-A</t>
  </si>
  <si>
    <t>2020 MUNICIPAL INFRA CLUSTER 3</t>
  </si>
  <si>
    <t>SUPPLY AND DELIVERY OF 1 UNIT HAULING TRUCK FOR OFFICIAL USE IN THE MONITORING &amp; EVALUATION OF PROGRAM ACTIVITIES UNDER REGULATORY DIVISION FOR CY 2020</t>
  </si>
  <si>
    <t>Cluster XLVII</t>
  </si>
  <si>
    <t>PIKCOT-SUPP-002020-00146 (SUPPLY AND DELIVERY OF CHEMICALS)</t>
  </si>
  <si>
    <t>Supply and delivery of office equipment supplies and consumables</t>
  </si>
  <si>
    <t>SUPPLY &amp; DELIVERY OF MOTORCYCLES</t>
  </si>
  <si>
    <t>Cluster XLVI</t>
  </si>
  <si>
    <t>Construction of Drainage Canal, Cabittaogan, SCIS</t>
  </si>
  <si>
    <t>SUPPLY AND DELIVERY OF ONE (1) PACKAGE TRUCK WITH SOLID WASTE MACHINERIES (SOLID WASTE ON WHEELS) 6 WHEELER</t>
  </si>
  <si>
    <t>cluster L</t>
  </si>
  <si>
    <t>SUPPLY AND DELIVERY OF BAGS FOR STUDENT’S MODULES</t>
  </si>
  <si>
    <t>Supply and delivery of hardware and construction supplies</t>
  </si>
  <si>
    <t>SUPPLY &amp; DELIVERY OF ICT EQUIPMENT FOR DepEd</t>
  </si>
  <si>
    <t>SUPPLY AND DELIVERY OF 2 UNITS HAULING TRUCK TO BE USED IN EXTENSION SERVICES UNDER PLANNING DIVISION FOR CY 2020</t>
  </si>
  <si>
    <t>Contract ID No.: 20OB0347 Contract Name: Construction of SPED Facilities, Brgy. Calzada, Tipas, Taguig City</t>
  </si>
  <si>
    <t>Supply and Delivery of Laptops</t>
  </si>
  <si>
    <t>Procurement of Food Stuff ( Rice)</t>
  </si>
  <si>
    <t>CONSTRUCTION OF FLOOD CONTROL, RIVERSIDE, JUNCTION, PINUKPUK</t>
  </si>
  <si>
    <t>Contract ID No.: 20OB0334 Contract Name: Construction of Multi-Purpose Building and Site Development, Brgy. Lower Bicutan, Taguig City</t>
  </si>
  <si>
    <t>Cluster XLVIII</t>
  </si>
  <si>
    <t>Construction/Repair of Lined Canal at Purok 3, Barangay San Carlos, Lipa City, Batangas</t>
  </si>
  <si>
    <t>Contract ID No.: 20OB0277 Contract Name: Construction of Multi-Purpose Building, Brgy. Plainview, including Site Development, Mandaluyong City</t>
  </si>
  <si>
    <t>CONSTRUCTION OF ABOWOK BANK PROTECTION, JUNCTION, PINUKPUK</t>
  </si>
  <si>
    <t>FOOD COMMODITIES</t>
  </si>
  <si>
    <t>Procurement of Laptop &amp; Desktop (Set) Computers - 2nd post</t>
  </si>
  <si>
    <t>PR No. 6.047 PR AGENCY FOR TOURISM PROMOTIONS BOARD</t>
  </si>
  <si>
    <t>Cluster XLV</t>
  </si>
  <si>
    <t>Procurement of Surgical with Orthopedic Implants and others</t>
  </si>
  <si>
    <t>Service Maintenance for FM-200 and FDAS, as per BSP Terms of Reference</t>
  </si>
  <si>
    <t>Logistics Service</t>
  </si>
  <si>
    <t>Cluster XLIX</t>
  </si>
  <si>
    <t>Procurement of Supply and Delivery of   Industrial Fuel Oil for Malaya Thermal Power Plant  for CY 2020</t>
  </si>
  <si>
    <t>Procurement of Maintenance and Housekeeping Supplies (Electrical)</t>
  </si>
  <si>
    <t>DIgital Event Production, PR, Marketing and Branding Service for DTI-7 Online Programs-(48 sessions of Digital Conferences, Trainings and Workshops).</t>
  </si>
  <si>
    <t>Construction of 2 Storey 4 Classrooms School Building at Tawantawan ES, Davao City</t>
  </si>
  <si>
    <t>20GD00004:PURCHASE OF DREDGING EQUIPMENTS IN REGIONAL OFFICE NO. IV-A, EDSA, QUEZON CITY</t>
  </si>
  <si>
    <t>Supply and Delivery of IT supply</t>
  </si>
  <si>
    <t>Construction of 2 Storey 4 Classrooms School Building at Malagos ES SPED Center, Davao City</t>
  </si>
  <si>
    <t>Repair of Hanging Foot Bridges Sitio Basak</t>
  </si>
  <si>
    <t>Personal Protective Equipment for Traininig of Trainers on Production of High-Quality Inbred Rice and Seeds, and Farm Mechanization</t>
  </si>
  <si>
    <t>PROCUREMENT OF VARIOUS V-BELT FOR A-19 TYPE TRACTION MOTOR &amp; A-15 TYPE TRACTION MOTOR</t>
  </si>
  <si>
    <t>CONSTRUCTION OF EVACUATION CENTER, JUNCTION, PINUKPUK</t>
  </si>
  <si>
    <t>One (1) lot – Workshop on International Standard on Assurance Engagements (ISAE 3000), as per BSP Terms of Reference</t>
  </si>
  <si>
    <t>Construction of Cross Drain Box Type at Poblacion, Manicahan</t>
  </si>
  <si>
    <t>Supply and Delivery of 2 pcs  Heavy-Duty Scanners</t>
  </si>
  <si>
    <t>PROCUREMENT OF SEVENTY-TWO (72) PIECES BOLT AND LOCKWASHER (1” X 6”) AND SEVENTY-TWO (72) PIECES BOLT AND LOCKWASHER (1 1/2” X 4”) FOR A-19 TYPE TRACTION MOTOR &amp; A-15 TYPE TRACTION MOTOR</t>
  </si>
  <si>
    <t>Procurement of MedicalSupplies</t>
  </si>
  <si>
    <t>Supply and Delivery of Prepaid Callcards for the 3rd Qtr. of 2020</t>
  </si>
  <si>
    <t>REPAIR OF AIR CONDITIONING UNIT</t>
  </si>
  <si>
    <t>Construction of Satellite City Hall At San Rafael Rural Service Center (RSC)</t>
  </si>
  <si>
    <t>Construction of 2 Storey 4 Classrooms School Building at Angalan NHS, Davao City</t>
  </si>
  <si>
    <t>NALA ELEMENTARY SCHOOL OFFICE SUPPLIES</t>
  </si>
  <si>
    <t>Construction of 2 Storey 4 Classrooms School Building at Baracayo Integrated School, Davao City</t>
  </si>
  <si>
    <t>Construction of 2 Storey 4 Classrooms School Building at Wangan National High School, Davao City</t>
  </si>
  <si>
    <t>Consultancy Service for Research Institution/Individual Consultant to conduct the Further Analysis of the 2018 National Migration Survey on the Trends and Patterns of Migration</t>
  </si>
  <si>
    <t>Construction of 2 Storey 4 Classrooms School Building at Salaysay Elementary School, Davao City</t>
  </si>
  <si>
    <t>Contract ID No.: 20OB0274 Contract Name: Construction of Multi-Purpose Building, Brgy. Barangka Drive, Mandaluyong City</t>
  </si>
  <si>
    <t>PB-202001-2 One (1) Lot - Procurement for the Maintenance of Motor Vehicles (2nd Posting)</t>
  </si>
  <si>
    <t>FURNITURES AND OTHER ACCESSORIES FOR BIRTHING FACILITY</t>
  </si>
  <si>
    <t>19CSZ016- Capacity Development of DPWH Staff in Tunnel Operation and Maintenance and Preparation of Tender Documents for Procurement of Services for the Operation and Maintenance of the Davao City Byp</t>
  </si>
  <si>
    <t>Construction of 2 Storey 4 Classrooms School Building at Lacson ES, Davao City</t>
  </si>
  <si>
    <t>SIREN</t>
  </si>
  <si>
    <t>AMP SVP-S NO: 20-07-0379 Video Conferencing and Livestreaming Equipment Upgrade</t>
  </si>
  <si>
    <t>Polo shirt with embroidered for TOT on Production of Hogh-Quality Inbred Rice and Seeds, and Farm Mechanization</t>
  </si>
  <si>
    <t>PB 2020-07: Public Bidding for the Annual Subscription and Preventive Maintenance of Security Firewall Infrastructure for the Office of the Ombudsman</t>
  </si>
  <si>
    <t>Construction of 1 Storey 2 Classroom School Building at Darila ES, Davao City</t>
  </si>
  <si>
    <t>Construction of 1 Storey 2 Classroom School Building at Tagurano ES, Davao City</t>
  </si>
  <si>
    <t>UPLB-I-022-07-20 SUPPLY, DELIVERY, INSTALLATION, TESTING AND COMMISSIONING OF BRANDED AND BRAND NEW STANDBY GENERATOR SET FOR CAFS-PHTRC</t>
  </si>
  <si>
    <t>Construction of Sidewalk at Purok 4, Barangay San Carlos, Lipa City, Batangas</t>
  </si>
  <si>
    <t>Construction of 1 Storey 2 Classroom School Building at Tibuloy ES, Davao City</t>
  </si>
  <si>
    <t>20OH0087 Re-ads-Convergence  and  Special  Support Program - Construction/ Improvement  of  Various Infrastructure in support of National Security - Construction of Typhoon Shelter Hangar for Rotary A</t>
  </si>
  <si>
    <t>Consultancy Service for Research Institution/Individual Consultant to conduct Further Analysis of 2018 National Migration Survey on the Intra and Inter Regional Trends and Patterns of Migration</t>
  </si>
  <si>
    <t>PES PURCHASE OF CONTACTLESS HANDWASHING FACILITY  2020- Supplemental</t>
  </si>
  <si>
    <t>INVITATION TO BID FOR PROCUREMENT OF OFFICE SUPPLIES AND CONSUMABLES</t>
  </si>
  <si>
    <t>Supply &amp; Installation of Deep Well Drilling for the Establishment of Solar Pump (P. Agri.)</t>
  </si>
  <si>
    <t>Construction of 2 Storey 4 Classrooms School Building at Dalagdag ES, Davao City</t>
  </si>
  <si>
    <t>S &amp; D of Dump Truck (PDRRMO)</t>
  </si>
  <si>
    <t>CONSTRUCTION OF CONCRETE PATHWAY AT ZONE 1 BRGY. BALIUAG VIEJO</t>
  </si>
  <si>
    <t>Construction of 1 Storey 2 Classroom School Building at Lamanan ES, Davao City</t>
  </si>
  <si>
    <t>Rehabilitation of Evacuation Center</t>
  </si>
  <si>
    <t>PURCHASE OF CONSTRUCTION MATERIALS</t>
  </si>
  <si>
    <t>Purchase of 2 units laptop for use in the Mapping and Formulation of Comprehensive Development Plan, Forest Land Use Plan and CLUP of the Municipality of Dingras, Ilocos Norte</t>
  </si>
  <si>
    <t>General Administrative Program - Capital Outlay</t>
  </si>
  <si>
    <t>Procurement of Motor Vehicles</t>
  </si>
  <si>
    <t>Peace And Order Personality Development Program</t>
  </si>
  <si>
    <t>CONCRETING OF LOCAL ROAD PHASE 11 BARANGAY BALIUAG VIEJO</t>
  </si>
  <si>
    <t>20CSFI02- Consulting Services for the Sub-Soil Investigation for the Rehabilitation/Reconstruction of National Roads with Slips, Slope Collapse and Landslide along Jct Milagros-Baleno-Lagta Rd, K0038+</t>
  </si>
  <si>
    <t>20CSFI01- Consulting Services for the Sub-Soil Investigation for the Proposed Construction of New Permanent Bridges and Widening of Permanent Bridges under regular Infrastructure Bridge Program</t>
  </si>
  <si>
    <t>CONSTRUCTION OF CONCRETE PATHWAY AT ZONE 5 BRGY. BALIUAG VIEJO</t>
  </si>
  <si>
    <t>IMPROVEMENT/REBLOCKING/ OF LOCAL ROAD</t>
  </si>
  <si>
    <t>Concreting of Malicay Road and Market Area</t>
  </si>
  <si>
    <t>Supply and delivery of various office supplies for use in official activities in the Records Unit for CY 2020 with PR #234-03-16-2020 and ABC of Php 193,951.00</t>
  </si>
  <si>
    <t>Supply and Delivery of Housekeeping Supplies/Janitorial Supplies</t>
  </si>
  <si>
    <t>SUPPLY AND DELIVERY OF UNIFORM FOR MUNICIPAL EMPLOYEES</t>
  </si>
  <si>
    <t>PES Purchase of COVID-19 Response Item</t>
  </si>
  <si>
    <t>Construction of Multi - Purpose Building (PNP Building Extension)</t>
  </si>
  <si>
    <t>Construction of New Tampilisan Public Market Building</t>
  </si>
  <si>
    <t>PURCHASE OF MEDICINE AND MEDICAL SUPPLIES FOR USE IN RURAL HEALTH UNIT, LAOANG, N. SAMAR</t>
  </si>
  <si>
    <t>PURCHASE OF VARIOUS ELECTRICAL SUPPLIES FOR THE INSTALLATION OF AIRCONDITIONING AT CIVIC CENTER AS TEMPORARY ISOLATION TREATMENT AND MONITORING FACILITY</t>
  </si>
  <si>
    <t>Supply and Delivery of Office Equipment.</t>
  </si>
  <si>
    <t>Construction of National Child Development Center</t>
  </si>
  <si>
    <t>Construction of One Unit Poultry House (Farm Demo)</t>
  </si>
  <si>
    <t>PURCHASE OF JANITORIAL SUPPLIES-3RD QUARTER FOR TUGUEGARAO AIRPORT F.Y. 2020</t>
  </si>
  <si>
    <t>INVITATION TO BID FOR PROCUREMENT OF ICT EQUIPMENT (SUPPLY AND DELIVERY)</t>
  </si>
  <si>
    <t>Construction of Drainange Canal</t>
  </si>
  <si>
    <t>AGR-20-0128-B Purchase of Office Equipment</t>
  </si>
  <si>
    <t>Construction of Two (2) Storey-Eight (8) Classroom School Building, Layac Elementary School,Dinalupihan, Bataan</t>
  </si>
  <si>
    <t>Construction of Two (2) Storey-Four (4) Classroom School Building, Bayan-Bayanan Elementary School, Dinalupihan, Bataan</t>
  </si>
  <si>
    <t>Purchase of 3 sets Brand New Desktop Computer w/ complete accessories and 2 sets printer, WIFI Integrated Ink Tank of the Mayor's Office, San Enrique, Iloilo.</t>
  </si>
  <si>
    <t>Construction/Repair/Rehabilitation/Improvement of Various Infrastructure including Local Projects- Buildings and Other Structures- Multi-Purpose/Facilities-Construction of Multi-Purpose Building, Brgy</t>
  </si>
  <si>
    <t>Concreting of Sitio Grego to Sitio Pinagpatayan Barangay Calaylayan FMR, Barangay Calaylayan, Abucay, Bataan</t>
  </si>
  <si>
    <t>SUPPLY AND DELIVERY OF MEDICINES FOR RHU</t>
  </si>
  <si>
    <t>Public Market at Irawan Agricultural Center</t>
  </si>
  <si>
    <t>PURCHASE OF OFFICE SUPPLIES-3RD QUARTER FOR TUGUEGARAO AIRPORT F.Y.2020</t>
  </si>
  <si>
    <t>HFE: 10	UNIT	EVAPORATIVE AIR COOLER HEAVY DUTY  FOR THE HOME FOR THE ELDERLY OPERATION , 2nd SEM OF 2020</t>
  </si>
  <si>
    <t>Proposed Repair and Improvement of IP Multi-Purpose Building(Rehabilitation of Existing Building(Earthquake Damaged)Additional Improvement Glass Works(Cubicle) and Filing Cabinets) at City Plaza, Brgy</t>
  </si>
  <si>
    <t>Construction of Four (4)  Storey-Sixteen (16) Classroom School Building, Nagbalayong National High School, Morong, Bataan</t>
  </si>
  <si>
    <t>IMPROVEMENT OF VARIOUS OFFICES</t>
  </si>
  <si>
    <t>INVITATION TO BID FOR CONSTRUCTION OF TOURISM MULTIPURPOSE ENVIRONMENTAL PROTECTION &amp; SANITARY FACILITY AT KAPUKA FALLS</t>
  </si>
  <si>
    <t>CONSTRUCTION OF 45 L.M CHB LINE CANAL ALONG ESQUEDA STREET (sta.0+000-0+045) PUROK 4, PHASE 1 …</t>
  </si>
  <si>
    <t>Concreting of Irawan Agricultural Center Road Network</t>
  </si>
  <si>
    <t>INVITATION TO BID FOR CONSTRUCTION OF COMMUNITY LEARNING CENTER AT SAN JOSE, CARAGA, DAVAO ORIENTAL</t>
  </si>
  <si>
    <t>Plumbing Repairs of the CTL Classroom</t>
  </si>
  <si>
    <t>INVITATION TO BID FOR REHABILITATION OF DAY CARE CENTER AT SAN JOSE, CARAGA, DAVAO ORIENTAL</t>
  </si>
  <si>
    <t>Procurement of Disinfection Spray and Disinfectant Solution</t>
  </si>
  <si>
    <t>Invitation to Bid Construction of Gate Shed</t>
  </si>
  <si>
    <t>Supply and Delivery of Vehicle Parts and Accessories</t>
  </si>
  <si>
    <t>INVITATION TO BID FOR CONSTRUCTION/REHABILITATION OF DAY CARE CENTER POBLACION,CARAGA, DAVAO ORIENTAL</t>
  </si>
  <si>
    <t>PHO-20-0749-B INSTANT MORINGA, RICE AND MONGO FOOD BLEND</t>
  </si>
  <si>
    <t>Procurement of Materials for the Repair of Municipal Building</t>
  </si>
  <si>
    <t>Procurement of Medical, Dental and Laboratory Supplies</t>
  </si>
  <si>
    <t>CTL Classroom Rewiring</t>
  </si>
  <si>
    <t>Concreting of Purok 3 Road (Lublub) (INFRA2020-07)</t>
  </si>
  <si>
    <t>Request for Quotation for the Provision of Animal feeds for Extension Support to beneficiaries under the Back to Basics Program</t>
  </si>
  <si>
    <t>Enhancement of Packaging House</t>
  </si>
  <si>
    <t>Supply and Delivery of Drugs and Medicines.</t>
  </si>
  <si>
    <t>Construction of Satellite City Hall At Luzviminda Rural Service Center (RSC)</t>
  </si>
  <si>
    <t>DRRM Communication Tower Project</t>
  </si>
  <si>
    <t>Installation of 40 streetlight (Bolocaue to Angas)</t>
  </si>
  <si>
    <t>Supply and Delivery of Diesel Fuel for the Graveling of 2 Kilometers Barangay Roads</t>
  </si>
  <si>
    <t>Purchase of Materials for Construction of Two Signages in Entrance from Barangay Kinatarkan &amp; Entrance from Brgy. Langub, Purok Pagsinabtanay, Hagdan, Santa Fe, Cebu - Barangay</t>
  </si>
  <si>
    <t>Janitorial Supplies of LBP Naga Rotunda branch</t>
  </si>
  <si>
    <t>Purchase of collapsible tents</t>
  </si>
  <si>
    <t>Purchase of 4x4 Multi-cab (van type mini ambulance)</t>
  </si>
  <si>
    <t>Supply and Delivery of Isolation Transformer</t>
  </si>
  <si>
    <t>Construction of Fire Station Phase - 3</t>
  </si>
  <si>
    <t>Construction of CHB Canal Lining at Casilagan-Balacong CIS</t>
  </si>
  <si>
    <t>Expansion &amp; Improvement of Dalaguete Farmers &amp; Fishermen's Training Center &amp; MANRO Bldg. (Phase II)</t>
  </si>
  <si>
    <t>PROCUREMENT OF GOODS AND SERVICES FOR REPAIRMENT OF RP VEHICLE ISUZU ALTERA SHE-440, MALAPATAN, SARANGANI PROVINCE</t>
  </si>
  <si>
    <t>Accreditation Documents Cabinet</t>
  </si>
  <si>
    <t>Purchase of computer sets and printers for various offices</t>
  </si>
  <si>
    <t>Purchase of Kitchen Tools and Equipment for Mayors Office</t>
  </si>
  <si>
    <t>Purchase of Commodities for CAA 1 and CAA 2 (MPOC)</t>
  </si>
  <si>
    <t>Supply and Delivery of 14 cu. ft., No-Frost Upright Freezer</t>
  </si>
  <si>
    <t>20FJ0036 - Construction of One(1) Unit One(1) Storey Four(4) Classroom School Building at  Pedro A. Basas ES, Palanas, Masbate</t>
  </si>
  <si>
    <t>Rental of 2 Units Equipment (Dumptruck 3cu.m) for Site Development of Relocation Site</t>
  </si>
  <si>
    <t>20FJ0035 - Construction of One(1) Unit One(1) Storey Four(4) Classroom School Building at  Calumpang ES, Placer, Masbate</t>
  </si>
  <si>
    <t>Supply and Delivery of Medical  Supplies</t>
  </si>
  <si>
    <t>P.R NO. 100-2020-06-0342 PURCHASE OF TOILET BOWLS TO DISTRIBUTE TO INDIGENT ABUYOGNONS</t>
  </si>
  <si>
    <t>Supply and delivery of laboratory Supplies</t>
  </si>
  <si>
    <t>Other Supplies and Materials 2LSSM2020A-315</t>
  </si>
  <si>
    <t>Provision of meals for the conduct of 2 webinars</t>
  </si>
  <si>
    <t>20FJ0034 - Construction of One(1) Unit One(1) Storey Four(4) Classroom School Building at  Villa Elementary School, Esperanza, Masbate</t>
  </si>
  <si>
    <t>20KF0124 - Repair/Maintenance of DOJ Building-Hall of Justice, Tubod, Iligan City</t>
  </si>
  <si>
    <t>Other Supplies and Materials 2LSSM2020A-314</t>
  </si>
  <si>
    <t>RSPB Interview of Applicants</t>
  </si>
  <si>
    <t>PR 20-07-014 Clutch Disk Isuzu Hi Lander</t>
  </si>
  <si>
    <t>Purchase of RCCP for Construction of Drainage System</t>
  </si>
  <si>
    <t>Negotiated Procurement (Two Failed Biddings) for the Supply and Delivery of COA Service Vehicle</t>
  </si>
  <si>
    <t>Supply and  Delivery of Steel Cabinet, Office Supplies &amp; Disposable Mask</t>
  </si>
  <si>
    <t>Supply and Delivery of Motorcycle for Revenue Generation Activities</t>
  </si>
  <si>
    <t>REPAIR OF ROOFING FOR MUNICIPAL POLICE STATION AT MONDRAGON, NORTHERN SAMAR</t>
  </si>
  <si>
    <t>Construction of Temporary Learning Space Including Realignment to other Schools affected by Typhoon Ursula</t>
  </si>
  <si>
    <t>Supply and Delivery of DND-Wide POL Requirements for CY 2020 (DND/AFP-POL-Lot 2-2020-001)</t>
  </si>
  <si>
    <t>Office Supplies 2LSSM2020A-310</t>
  </si>
  <si>
    <t>Fabrication and Installation of Equipment for Luisiana Class "AA" Slaughter House</t>
  </si>
  <si>
    <t>RFQ-GS-20200127-04(2) - Supply and Delivery of Various Consumables</t>
  </si>
  <si>
    <t>Rehabilitation of School Building, M. Delos Reyes Elementary School at Barangay Pto. Rivas Itaas, City of Balanga, Bataan</t>
  </si>
  <si>
    <t>Proposed Covered Court Portable Fence</t>
  </si>
  <si>
    <t>Other Supplies and Materials 2LSSM2020A-309</t>
  </si>
  <si>
    <t>Request for Quotation for the Provision of Advertising Agency Services to be used during the conduct of "Wais na Wais sa Mais": Radio Program on Cacao Production and Vegetable Integration in Misamis O</t>
  </si>
  <si>
    <t>SERVICE RESCUE VEHICLE OF BRGY. MANAPAO</t>
  </si>
  <si>
    <t>CONCRETING OF ROAD AT PUROK PROPER, BARANGAY KINAM, MALAPATAN, SARANGANI PROVINCE</t>
  </si>
  <si>
    <t>PROCUREMENT OF MATERIALS FOR WATER SYSTEM MAINTENANCE, MALAPATAN, SARANGANI PROVINCE</t>
  </si>
  <si>
    <t>CONSTRUCTION OF FOOTBRIDGE AT BARANGAY KIHAN, MALAPATAN, SARANGANI PROVINCE</t>
  </si>
  <si>
    <t>Procurement of Electrical Supplies PR # 2020-06-25-219</t>
  </si>
  <si>
    <t>Purchase of Office Equipment (MO, Assessor)</t>
  </si>
  <si>
    <t>Supply and Delivery of Diesel and Gasoline</t>
  </si>
  <si>
    <t>Concreting of Purok 6B Road (Lublub) (INFRA2020-08)</t>
  </si>
  <si>
    <t>Proposed Street Light Extension</t>
  </si>
  <si>
    <t>Concreting of Various Streets (Phase IV) ITB NO: SFZ-INFRA 2020-005</t>
  </si>
  <si>
    <t>INVITATION TO BID FOR COMPLETION OF SAN ANTONIO MULTI-PURPOSE DAY HALL</t>
  </si>
  <si>
    <t>Supply and Delivery of COVID-19 Test KIt</t>
  </si>
  <si>
    <t>Airconditioning System for DSBH-2020-0133</t>
  </si>
  <si>
    <t>01-032-20 (Egg Tray, Waterer, Feed), Support for Native, Broiler &amp; Layer Chicken Production</t>
  </si>
  <si>
    <t>INVITATION TO BID FOR CONSTRUCTION OF DRINKING AND HAND WASHING FACILITY AT PANTUYAN NATIONAL HIGH SCHOOL</t>
  </si>
  <si>
    <t>YOUTH ENHANCEMENT AND DEVELOPMENT PROGRAM</t>
  </si>
  <si>
    <t>Spare Parts for CDH-2020-0093</t>
  </si>
  <si>
    <t>Supply and Delivery of Dog Food and Supplies</t>
  </si>
  <si>
    <t>Supply and Delivery of Office Supplies for different offices in this Municipality</t>
  </si>
  <si>
    <t>SUPPLY AND DELIVERY OF HEALTH AND SAFETY PROTECTION</t>
  </si>
  <si>
    <t>S &amp; D of Materials - Rehabilitation of Basco Cottage at Batanes Resort (PGO-Tourism)</t>
  </si>
  <si>
    <t>INVITATION TO BID FOR CONSTRUCTION OF DAY CARE CENTER/MULTI-PURPOSE DAY HALL AT DANGILAS,PM SOBRECAREY, CARAGA, DAVAO ORIENTAL</t>
  </si>
  <si>
    <t>REHABILITATION/ REPAIR OF STREETLIGHTS</t>
  </si>
  <si>
    <t>INVITATION TO BID FOR CONSTRUCTION OF MULTI-PURPOSE DRYING PAVEMENT AT RELOCATION SITE,PAPAG</t>
  </si>
  <si>
    <t>Tires 12 R 22.5</t>
  </si>
  <si>
    <t>INVITATION TO BID FOR CONSTRUCTION OF LIVESTOCK BREEDING DEMO FARM FOR PIGGERY PRODUCTION</t>
  </si>
  <si>
    <t>Tires for PEO-2020-0107</t>
  </si>
  <si>
    <t>INFR-20-015– CONSTRUCTION OF SIXTY-FIVE (65) UNITS HOUSING AT BARANGAY SANTIAGO, CITY OF GEN. TRIAS, CAVITE</t>
  </si>
  <si>
    <t>FURNISHING AND DELIVERING LABOR AND MATERIALS FOR THE CONSTRUCTION OF MULTI PURPOSE HALL (PHASE II), BRGY. SINULATAN 1ST, CAMILING, TARLAC</t>
  </si>
  <si>
    <t>FURNISHING AND DELIVERING LABOR AND MATERIALS FOR THE CONCRETING OF FARM-TO-MARKET  ROAD,  BRGY. PINDANGAN 1ST, CAMILING, TARLAC</t>
  </si>
  <si>
    <t>FURNISHING AND DELIVERING LABOR AND MATERIALS FOR THE CONCRETING OF BARANGAY ROAD, BRGY. PALIMBO PROPER, CAMILING, TARLAC</t>
  </si>
  <si>
    <t>SUPPLY AND DELIVERY OF 1,718 LENGTHS OF  uPVC PIPE CLASS 100 WITH SIZES RANGING FROM ,2" ID TO 4" ID</t>
  </si>
  <si>
    <t>FURNISHING AND DELIVERING LABOR AND MATERIALS FOR THE CONCRETING OF FARM-TO-MARKET  ROAD,  BRGY. MANUPEG, CAMILING, TARLAC</t>
  </si>
  <si>
    <t>Proposed Road Concreting</t>
  </si>
  <si>
    <t>FURNISHING AND DELIVERING LABOR AND MATERIALS FOR THE CONCRETING OF BARANGAY ROAD, BRGY. PALIMBO CAAROSIPAN, CAMILING, TARLAC</t>
  </si>
  <si>
    <t>Supply and Delivery of Various Supplies including Installation of Cubicle Set for the use of Planning and Design Section, BFDEO</t>
  </si>
  <si>
    <t>SUPPLY &amp; DELIVERY OF ONE HEAVY DUTY PAPER SHREDDER MACHINE</t>
  </si>
  <si>
    <t>INVITATION TO BID FOR THE   SUPPLY AND DELIVERY OF VARIOUS PLUMBING MATERIALS (Rehab of CARAGA WATERWORKS SYTEM)</t>
  </si>
  <si>
    <t>FURNISHING AND DELIVERING LABOR AND MATERIALS FOR THE CONCRETING OF FARM-TO-MARKET  ROAD,  BRGY. LIBUEG, CAMILING, TARLAC</t>
  </si>
  <si>
    <t>FURNISHING AND DELIVERING LABOR AND MATERIALS FOR THE CONCRETING OF FARM-TO-MARKET  ROAD,  BRGY. CAYAOAN, CAMILING, TARLAC</t>
  </si>
  <si>
    <t>FURNISHING AND DELIVERING LABOR AND MATERIALS FOR THE CONCRETING OF FARM-TO-MARKET  ROAD,  BRGY. BOBON CAAROSIPAN, CAMILING, TARLAC</t>
  </si>
  <si>
    <t>Kwarto Kalinga</t>
  </si>
  <si>
    <t>FURNISHING AND DELIVERING LABOR AND MATERIALS FOR THE CONCRETING OF FARM-TO-MARKET  ROAD,  BRGY. BOBON 2ND, CAMILING, TARLAC</t>
  </si>
  <si>
    <t>20GCE0009: Procurement of Security Services for use of DPWH, Nueva Ecija 1st District Engineering Office</t>
  </si>
  <si>
    <t>Supply and Delivery of Stainless  Chair, Monoblock Chair and Computer Table</t>
  </si>
  <si>
    <t>Procurement of Motor Vehicle</t>
  </si>
  <si>
    <t>Supply and Delivery of Diesoline</t>
  </si>
  <si>
    <t>INVITATION TO BID FOR THE  SUPPLY AND DELIVERY OF VARIOUS PLUMBING MATERIALS (for the Installation of Distribution Pipelines)</t>
  </si>
  <si>
    <t>FURNISHING AND DELIVERING LABOR AND MATERIALS FOR THE CONCRETING OF BARANGAY ROAD, BRGY. STA. MARIA, CAMILING, TARLAC</t>
  </si>
  <si>
    <t>SURVEYING SERVICES FOR THE PROPOSED DEVELOPMENT OF BACONG INTERNATIONAL AIRPORT</t>
  </si>
  <si>
    <t>Rehab of sidewalk at Upper Market, Balanga Public Market  Brgy. San Jose, Balanga City, Bataan</t>
  </si>
  <si>
    <t>Procurement of One (1) unit 10 Wheelers dumptruck</t>
  </si>
  <si>
    <t>Repair/Renovation and Extension of PVAO Field Service Extension Office Building located at NOLCOM, Camp. Gen. Servillano Aquino, Brgy. San Miguel, Tarlac City</t>
  </si>
  <si>
    <t>Supply of Drugs and Medicines for Bontoc General Hospital</t>
  </si>
  <si>
    <t>FURNISHING AND DELIVERING LABOR AND MATERIALS FOR THE CONCRETING OF BARANGAY ROAD, BRGY. SURGUI 1ST, CAMILING, TARLAC</t>
  </si>
  <si>
    <t>P.R. No. 20-101-041 "Office Supplies for the First Quarter"</t>
  </si>
  <si>
    <t>Procurement of Improvement of TCES District Office</t>
  </si>
  <si>
    <t>FURNISHING AND DELIVERING LABOR AND MATERIALS FOR THE CONSTRUCTION OF STE 2 CLASSROOM, BILAD HS, CAMILING, TARLAC</t>
  </si>
  <si>
    <t>Installation of tiles @ Slaughter House Brgy. San Jose,  Balanga City, Bataan</t>
  </si>
  <si>
    <t>Supply and Delivery of Tire</t>
  </si>
  <si>
    <t>FURNISHING AND DELIVERING LABOR AND MATERIALS FOR THE CONCRETING OF BARANGAY ROAD, BRGY. TAMBUGAN, CAMILING, TARLAC</t>
  </si>
  <si>
    <t>SUPPLY AND DELIVERY OF MATERIALS FOR THE INSTALLATION OF SOLAR LIGHTING FACILITIES</t>
  </si>
  <si>
    <t>Purchase of Laboratory Supplies for Dr. Florentino C. Doble Memorial Hospital (formerly Kainomayan Primary Hospital) for laboratory testing of CBC, Blood Chemistry, and Serum Electrolytes, Botolan,Zam</t>
  </si>
  <si>
    <t>PROCUREMENT OF RESCUE VEHICLE</t>
  </si>
  <si>
    <t>Procurement of Construction of Concreting of Barangay Road @ Palanas Sitio D.K. Brgy. Libertad</t>
  </si>
  <si>
    <t>FURNISHING AND DELIVERING LABOR AND MATERIALS FOR THE CONTINUATION OF MULTI PURPOSE HALL (FINISHING WORKS), BRGY. MANAQUEM, CAMILING, TARLAC</t>
  </si>
  <si>
    <t>School ID of Teachers for SY 2020-2021</t>
  </si>
  <si>
    <t>Supply, Delivery and Installation of Pump and Engine for DTRIS CY 2020, Daet, Camarines Norte</t>
  </si>
  <si>
    <t>Purchase of Construction Materials for the Expansion of Streetlights</t>
  </si>
  <si>
    <t>20GMD0034 Purchase of Fuel and Lubricants for use in Planning and Design Section (3rd Quarter of 2020)</t>
  </si>
  <si>
    <t>Supply and Delivery of 1 unit Generator Set</t>
  </si>
  <si>
    <t>20GMD0032  Purchase of Materials use for Fabrication of Kilometer Post, Right of Way Marker and Drainage Marker</t>
  </si>
  <si>
    <t>106CO-602ND BDE,6ID, PA-2020-458</t>
  </si>
  <si>
    <t>20GMD0031 Purchase of Materials use for Act. #122 Crack and Joint Sealing of Concrete Pavement Along Various Road Section</t>
  </si>
  <si>
    <t>FURNISHING AND DELIVERING LABOR AND MATERIALS FOR THE CONCRETING OF BARANGAY ROAD, BRGY. CACAMILINGAN SUR, CAMILING, TARLAC</t>
  </si>
  <si>
    <t>Rehab of sledge trail</t>
  </si>
  <si>
    <t>One (1) Lot - Supply and Delivery of Scrub Suit and White Blazer, as per BSP Terms of Reference and Design</t>
  </si>
  <si>
    <t>PURCHASE OF FURNITURE AND FIXTURES</t>
  </si>
  <si>
    <t>20GEE0040-Supply and Delivery of Emulsified Asphalt (SS-1) and Asphalt Sealant for the Repair/Maintenance of Bato-Paglaum Road Section and Jct Taytay-Taytay Pob Road Section S00048PW, S00052PW, Bato-P</t>
  </si>
  <si>
    <t>20GMD0033 Purchase of Materials use for Manual Repair of Deck Slab at Datu Sahid Piang Bridge, Olandang, Midsayap, Cotabato</t>
  </si>
  <si>
    <t>Purchase of Vehicle</t>
  </si>
  <si>
    <t>BLGU-STALUCIA-AL-01-2020 CONCRETING OF BARANGAY ROAD PHASE II</t>
  </si>
  <si>
    <t>Renovation of Omar Municipal Hall</t>
  </si>
  <si>
    <t>Supply and Delivery of WaterPump set, Portable Waterpump, and Nursery Thresher (PR reference # 2020-06-0382, 2020-06-0380)</t>
  </si>
  <si>
    <t>20GEE0039-Supply and Delivery of Tires for Stake Truck H2-367 use at Coron Sub Office, Coron, Palawan</t>
  </si>
  <si>
    <t>20GEE0037-Supply and Delivery of Asphalt Sealant for the Repair/Maintenance of Coron- Busuanga Road and F.B. Reyes Road, Coron - Busuanga Road and F.B. Reyes Road</t>
  </si>
  <si>
    <t>Contract ID No. 20FA0060: CLUSTER 33 - CONCRETING OF FARM TO MARKET ROADS IN THE FIRST DISTRICT OF ALBAY</t>
  </si>
  <si>
    <t>20GEE0035-Supply and Delivery of Lubricants and Parts for Various Service Vehicle for use of Planning &amp; Design Section, Roxas, Palawan</t>
  </si>
  <si>
    <t>Lease of Printer for BJMP NHQ (2nd Qtr 2020)</t>
  </si>
  <si>
    <t>20GEE0038-Supply and Delivery of Emulsified Asphalt (SS-1) for the Rapair/Maintenance of Coron- Busuanga Road and F.B. Reyes Road, Coron - Busuanga Road and F.B. Reyes Road</t>
  </si>
  <si>
    <t>PURCHASE OF ONE (1) UNIT BRAND NEW CRAWLER EXCAVATOR WITH BREAKER LINE AND BUCKET CAPACITY OF 0.50 CU.M.</t>
  </si>
  <si>
    <t>ELECTRIC STAND FAN (2nd Posting)</t>
  </si>
  <si>
    <t>Repair / Maintenance of Motor Vehicle</t>
  </si>
  <si>
    <t>REHABILITATION &amp; IMPROVEMENT OF BRGY HALL</t>
  </si>
  <si>
    <t>CONSTRUCTION OF PATHWAYS PUROK 1,3 &amp; 5</t>
  </si>
  <si>
    <t>ID CARD PRINTER, RETRANSFER, DUAL SIDED, HEAVY DUTY</t>
  </si>
  <si>
    <t>ELECTRIC DEEP FLOOR FRYER, 15 ½” W, FREE STANDING, STAINLESS STEEL CABINET AND 14 1/8” X 15 ½” FRY TANK, 50 LB. SHORTENING CAPACITY, SOLID STATE ANALOG KNOB CONTROL WITH MELT CYCLES, TWIN BASKET, LEGS</t>
  </si>
  <si>
    <t>SUPPLY AND DELIVERY OF VARIOUS CONSTRUCTION MATERIALS</t>
  </si>
  <si>
    <t>STRAIGHT FORWARD TELESCOPE 0 ENLARGED VIEW, DIAMETER 4MM LENGTH 18 CM, FIBER OPTIC LIGHT TRANSMISSION INCORPORATED, GREEN (3rd Posting)</t>
  </si>
  <si>
    <t>Base Radio and Antenna Tower</t>
  </si>
  <si>
    <t>Procurement of VAWC Table</t>
  </si>
  <si>
    <t>Supply of Plumbing Materials</t>
  </si>
  <si>
    <t>20GEE0036-Supply and Delivery of Various Maintenance Tools for use along Puerto Princesa North Road (PPNR) and Coron-Busuanga National Road (CBNR), Roxas and Coron, Palawan</t>
  </si>
  <si>
    <t>Procurement of Water Dispenser</t>
  </si>
  <si>
    <t>Refill of Fire Extinguishers</t>
  </si>
  <si>
    <t>106CO-602BDE,6ID, PA-2020-459</t>
  </si>
  <si>
    <t>Completion of Lower Sabangan Footbridge</t>
  </si>
  <si>
    <t>2 pcs Philips-Respironics Alice 6 Body Position Sensor</t>
  </si>
  <si>
    <t>PURCHASE OF PHOTOCOPIER TONER AND DRUM FOR VARIOUS OFFICES</t>
  </si>
  <si>
    <t>Purchase of Laboratory Supplies for Biliran Provincial Hospital</t>
  </si>
  <si>
    <t>PURCHASE OF VARIOUS MATERIALS FOR THE CONVERSION OF TRANSIT MIXER TO FLATBED</t>
  </si>
  <si>
    <t>CHAIR, MONOBLOCK</t>
  </si>
  <si>
    <t>3 sets Computer System</t>
  </si>
  <si>
    <t>INVITATION TO BID FOR THE SALE OF UNSERVICEABLE PROPERTY OF DENR RIV-A (CALABARZON) "As is Where is" BASIS</t>
  </si>
  <si>
    <t>Request for the pirchase of various furnitures for the use of City Mayor's Office, Pasig City.</t>
  </si>
  <si>
    <t>Opening of Pappa-Bayayeng-Saddul Access Road</t>
  </si>
  <si>
    <t>Request for the purchase of bag for the use of City Mayors Office, Pasig City.</t>
  </si>
  <si>
    <t>CONSTRUCTION OF MULTI-PURPOSE HALL (PHASE IV) AT BARANGAY BUCAL</t>
  </si>
  <si>
    <t>MATERIALS FOR THE THREE-ROOM ISOLATION FACILITY</t>
  </si>
  <si>
    <t>Communication Equipment PF-0220-169</t>
  </si>
  <si>
    <t>brand new vehicle, 4 x 2 SUV</t>
  </si>
  <si>
    <t>Communication Equipment PF-0220-168</t>
  </si>
  <si>
    <t>CONSTRUCTION OF TWO LAYER OPEN CANAL</t>
  </si>
  <si>
    <t>Request for Quotation of Apalili and Datu Manlangan ES</t>
  </si>
  <si>
    <t>Procurement of Supplies and Materials for the Rehabilitation of Water System</t>
  </si>
  <si>
    <t>Provision of IT equipment and software</t>
  </si>
  <si>
    <t>General Merchandise PF-0620-617</t>
  </si>
  <si>
    <t>PROCUREMENT OF SOUND SYSTEM, OFFICE FURNITURES &amp; EQUIPMENT (2ND BID)</t>
  </si>
  <si>
    <t>Procurement of FUEL Supply for COVID-19 Activities</t>
  </si>
  <si>
    <t>Delivery of Office Supplies and Consumables</t>
  </si>
  <si>
    <t>Purchase of Construction Materials for the Expansion and roof repair of Multi-Purpose Hall</t>
  </si>
  <si>
    <t>20GMD0030  Purchase of Fuel and Lubricants for use in Construction Section (3rd Quarter of 2020)</t>
  </si>
  <si>
    <t>2ND INVITATION TO BID FOR THE PROCUREMENT OF VARIOUS IT EQUIPMENT AND ACCESSORIES FOR BUSINESS ONE-STOP SHOP CENTER (BOSS CENTER),  CITY OF ALAMINOS, PANGASINAN</t>
  </si>
  <si>
    <t>Continuation of river bank protection</t>
  </si>
  <si>
    <t>One Lot–Multi-year Hardware Maintenance, Software Subscription and Technical Support Services for the BSP Web Application Firewall-Secondary Site, as per BSP Terms of Reference and SLA</t>
  </si>
  <si>
    <t>CONSULTANCY SERVICES FOR THE APPRAISAL OF LAND AND IMPROVEMENT OF THE PROPOSED DEVELOPMENT OF BACONG INTERNATIONAL AIRPORT</t>
  </si>
  <si>
    <t>Educational and Office supply</t>
  </si>
  <si>
    <t>SUPPLY AND DELIVERY OF FUEL AND LUBRICANTS FOR VICE MAYOR’S OFFICE</t>
  </si>
  <si>
    <t>CONSTRUCTION OF MULTI-PURPOSE HALL-PHASE V AT BARANGAY SAMBUNGAN</t>
  </si>
  <si>
    <t>PURCHASE OF MESH NETS TO BE USED IN THE CONSTRUCTION OF NETHOUSES FOR THE DA-ACEF PROJECT</t>
  </si>
  <si>
    <t>PROCUREMENT OF IT EQUIPMENT (COMPUTER SET), DR. JOSE RIZAL MEMORIAL HOSPITAL</t>
  </si>
  <si>
    <t>106CO-CSSH,6ID,PA-2020-457</t>
  </si>
  <si>
    <t>Procurement of Supplies &amp; PPE</t>
  </si>
  <si>
    <t>CONSTRUCTION OF BDRRM OFFICE PHASE I</t>
  </si>
  <si>
    <t>ITB No. (INF) 2020-06-093 OPENING OF ROAD, BRGY. CAN-ILAY – BRGY. SALVACION, Can-avid, Eastern Samar</t>
  </si>
  <si>
    <t>REHABILITATION OF CITY ROADS (CONCRETING), FERRYBOAT ENTRANCE KINAWITNON BABAK DIST. under PR# 2020-05-2404.</t>
  </si>
  <si>
    <t>Procurement of Facemask and Shirt</t>
  </si>
  <si>
    <t>SUPPLY AND DELIVERY OF CONSTRUCTION MATERIALS FOR THE CONSTRUCTION OF MULTI-PURPOSE PAVEMENT</t>
  </si>
  <si>
    <t>PURCHASE OF CONSTRUCTION MATERIALS FOR THE REHABILITATION OF ROAD SHOULDER AND REHABILITATION OF MPH NEW AND OLD</t>
  </si>
  <si>
    <t>CONSTRUCTION OF PERIMETER FENCE OF MULTI-PURPOSE HALL AT BARANGAY STA. ANA</t>
  </si>
  <si>
    <t>CONSTRUCTION OF UNDERGROUND WATER COLLECTOR (SUMP) under PR# 2020-05-2377</t>
  </si>
  <si>
    <t>Kabuhayan Mo, Alalayan Ko</t>
  </si>
  <si>
    <t>catering services july 6-10, 2020</t>
  </si>
  <si>
    <t>REQUEST FOR QUOTATION FOR USE OF CONSTRUCTION/REPAIR OF D/S APRON (DAMAGE) AT LAKE SEBU CIS</t>
  </si>
  <si>
    <t>Request for the purchase of various office supplies for the use of HRDO, Pasig City.</t>
  </si>
  <si>
    <t>PURCHASE OF ONE (1) UNIT BRAND NEW 4X4 MINI DUMPTRUCK WITH 5-6 CU.M. CAPACITY</t>
  </si>
  <si>
    <t>ACID AND BICARBONATE FOR QUOTATION</t>
  </si>
  <si>
    <t>RE BIDDING - MATERIALS AND APPARATUS NEEDED IN THE CMS CENTRALIZE MONITORING SYSTEM</t>
  </si>
  <si>
    <t>Construction of FMR-Brgy. Villafranca Gigaquit, Surigao del Norte ,Bgys. San Isidro &amp; Villafranca, Gigaquit, Surigao del Norte</t>
  </si>
  <si>
    <t>PURCHASE AND INSTALLATION OF SOLAR POWERED STREETLIGHT SYSTEM</t>
  </si>
  <si>
    <t>20GEE0034-Supply and Delivery of Materials for use in Survey Activities, Roxas, Palawan</t>
  </si>
  <si>
    <t>FILTER, DIASAFE PLUS FOR QUOTATION</t>
  </si>
  <si>
    <t>RFQ No. 20-0602 Shopping B (Supply and Delivery of Supplies for Printer/Facsimile or Photocopier of DRMB )</t>
  </si>
  <si>
    <t>Supply and Delivery of Semi gloss paint for donation</t>
  </si>
  <si>
    <t>Improvement of Road Leading to the Municipal MRF</t>
  </si>
  <si>
    <t>Concreting of Road, Purok Baybayin, Barangay Ibabang Dupay, Lucena City</t>
  </si>
  <si>
    <t>PROCUREMENT OF SOUND SYSTEM</t>
  </si>
  <si>
    <t>COLD STORAGE FACILITY AT PENAPLATA, SAMAL DISTRICT, IGACOS under PR# 2020-05-2430.</t>
  </si>
  <si>
    <t>PURCHASE AND DELIVERY OF HARDWARE MATERIALS FOR THE PROPOSED REHABILITATION OF WATER SYSTEM PIPELINES, Brgy.  Guibuangan, Can-avid Eastern Samar</t>
  </si>
  <si>
    <t>Water System Development - Purok 6 San Vicente, Aundanao under PR# 2020-03-1944.</t>
  </si>
  <si>
    <t>ITB FOR THE REPAIR &amp; MAINTENANCE OF WATER SUPPLY SYSTEM</t>
  </si>
  <si>
    <t>Printer for NC COC office</t>
  </si>
  <si>
    <t>PR NO. 20-06-235 (i.1, 3-11) (2020-06-219) PROCUREMENT OF OFFICE SUPPLIES</t>
  </si>
  <si>
    <t>Procurement of ICT Equipment</t>
  </si>
  <si>
    <t>SUPPLY, DELIVERY AND INSTALLATION OF SOLAR POWERED IRRIGATION SYSTEM IN THE TWO (2) SITES OF PROVINCIAL PLANT NURSERY</t>
  </si>
  <si>
    <t>Procurement of Laptop</t>
  </si>
  <si>
    <t>Concreting of Tubigan-Bobutan Farm-to-Market Road</t>
  </si>
  <si>
    <t>Procurement of IT equipment</t>
  </si>
  <si>
    <t>Procurement and Deliveries of Construction Materials for use in 71x-Traffic Safety Management,Purchase and Installation of Road Safety Devices along DM-Leg.Sto-Dpomingo-Tabaco-Cam.Sur Bdry.,KO572+000-</t>
  </si>
  <si>
    <t>Purchase of Construction Material for Palong to Mambulo Pipe Laying Expansion (CIP 19-0004)</t>
  </si>
  <si>
    <t>Purchase of 1 Set CAESARIAN SECTION INTRUMENT SET WITH STERILIZING TRAY for Biliran Provincial Hospital</t>
  </si>
  <si>
    <t>2020-06-0667 Repacking Materials for the stockpile in the Province of Palawan</t>
  </si>
  <si>
    <t>Provision of labor (pakyaw services) for Rice Seed Production project (1.0 hectare) at DA-INREC Satellite Station, San Juan, Ilocos Sur</t>
  </si>
  <si>
    <t>PURCHASE OF MOUNTAIN AND SEARCH &amp; RESCUE EQUIPMENT &amp; UNIFORM (LDRRMO)</t>
  </si>
  <si>
    <t>Clinical Laboratory use</t>
  </si>
  <si>
    <t>ITB No. 20-052   ONE (1) LOT SUPPLY AND DELIVERY OF LABOR, TOOLS, MATERIALS, CONSUMABLES, SUPERVISION AND TECHNICAL EXPERTISE FOR THE INSTALLATION, TESTING AND COMMISSIONING OF ONE (1) UNIT TRIPLEX OI</t>
  </si>
  <si>
    <t>SLOPE PROTECTION</t>
  </si>
  <si>
    <t>ITB NO. (GDS)  2019-06-015 PROCUREMENT OF COMPACT CT SCANNER, Province of Eastern Samar</t>
  </si>
  <si>
    <t>REQUEST FOR QUOTATION - LABORATORY SUPPLIES &amp; EQUIPMENTS</t>
  </si>
  <si>
    <t>PROCUREMENT OF GOODS: CLINDAMYCIN (SVP 2020-138)</t>
  </si>
  <si>
    <t>Purchase of Drugs &amp; Medicines for Biliran Provincial Hospital</t>
  </si>
  <si>
    <t>PROCUREMENT FOR JANITORIAL SUPPLIES PR NO. 0549 S.2020</t>
  </si>
  <si>
    <t>Construction of Picnic Sheds at Macalong Fishing Ground (SWIP area), Asingan, Pangasinan.</t>
  </si>
  <si>
    <t>CONSTRUCTION OF MUNICIPAL QUARANTINE AND ISOLATION FACILITY</t>
  </si>
  <si>
    <t>SUPPLY AND DELIVERY OF MATERIALS FOR BOOKBINDING OF CLUP VOLUME 1, 2 &amp; 3, CIDRA AND MUN. INTEGRATED WATER, SANITATION AND HYGIENE PLAN &amp; PRINTING OF CLUP MAPS (TARPAULIN)</t>
  </si>
  <si>
    <t>ITB No. GOP/20-DSWD-043 - Supply, Delivery and Installation of Local Network Infrastructure for DSWD Field Offices</t>
  </si>
  <si>
    <t>Sound System-SB-Legislative</t>
  </si>
  <si>
    <t>Supply and Delivery of Four (4) Units Submersible Pump</t>
  </si>
  <si>
    <t>Procurement of Materials for Installation of the Solar Streetlights</t>
  </si>
  <si>
    <t>Supply &amp; Delivery 6 units Jetmatic Pump and other items for use in various water services activities.</t>
  </si>
  <si>
    <t>IB No. 2006-327 Proc. of Goods (Medicines)</t>
  </si>
  <si>
    <t>ITB NO. (GDS)  2020-06-016 PROCUREMENT OF BROADCAST SERVICE, Province of Eastern Samar</t>
  </si>
  <si>
    <t>PROVISION OF BREASTFEEDING ROOM</t>
  </si>
  <si>
    <t>PHO-NC-2020-129 REQUEST FOR QUOTATION FOR THE PROCUREMENT OF VARIOUS IT SOFTWARE, EQUIPMENT, AND MATERIALS</t>
  </si>
  <si>
    <t>Purchase of Anti- Rabies vaccine for RHU I use, Botolan, Zambales</t>
  </si>
  <si>
    <t>Repalcement of Boulevard Lights along Pandan Ave. Mapandan, Pangasinan</t>
  </si>
  <si>
    <t>REQUEST FOR QUOTATION FOR USE VARIOUS EQUIPMENT ASSIGNED AT SCIMO</t>
  </si>
  <si>
    <t>IB No. 2006-310 Proc. of Goods (Supply and Installation of Close Circuit Television Security)(Rebid)</t>
  </si>
  <si>
    <t>Supply and Delivery of Diesel at NIA IAAPIS Baculud Amulung Cagayan</t>
  </si>
  <si>
    <t>Construction of Multi-Purpose Hall at So. Catama, Bgy. Ilian, Dumaran, Palawan</t>
  </si>
  <si>
    <t>01 unit Motor Vehicle</t>
  </si>
  <si>
    <t>INVITATION FOR NEGOTIATED PROCUREMENT OF STREETLIGHTS AND ACCESSORIES FOR THE MAINTENANCE OF STREET LIGHTING SYSTEM After Two Failed Bidding</t>
  </si>
  <si>
    <t>Construction of Laying House</t>
  </si>
  <si>
    <t>SUPPLY AND DELIVERY OF THREE (3) UNITS BRAND NEW 3-IN-1 PRINTERS  FOR Pag-IBIG FUND, TUGUEGARAO HUB</t>
  </si>
  <si>
    <t>Supply and Delivery of Hardware Materials for Brigada Eskwela 2020</t>
  </si>
  <si>
    <t>Purchase of Janitorial Supplies</t>
  </si>
  <si>
    <t>Pre- Fabricated Movable Basketball Board</t>
  </si>
  <si>
    <t>Supply and Delivery of Construction Materials for Repair and Maintenance of Different Offices of the PGOM</t>
  </si>
  <si>
    <t>MAINT 2020-06-0020 - Purchase of Materials for the Special Maintenance (Centerline &amp; Lane Line Repainting) along Masbate-Cataingan-Placer Road &amp; Buenavista-Cawayan Road</t>
  </si>
  <si>
    <t>Purchase of Tools &amp; Equipments for Repair and Maintenance of BatStateU-ARASOF Nasugbu</t>
  </si>
  <si>
    <t>IT Equipment-Vice Mayor's Office</t>
  </si>
  <si>
    <t>CONCRETING OF MUNICIPAL STREET  ( MIGUEL TUBLE ST-  T. NOMBREDA ST.)</t>
  </si>
  <si>
    <t>PROVISION OF KID'S PLAY AREA</t>
  </si>
  <si>
    <t>Improvement of Mambajao Evacuation Center</t>
  </si>
  <si>
    <t>PROCUREMENT OF MEDICAL EQUIPMENT</t>
  </si>
  <si>
    <t>OPA-RASS-NC-2020-0344 REQUEST FOR QUOTATION FOR THE PROCUREMENT OF PVC PIPES, PVC PIPE CLEAN OUT SET, PVC ELBOW, AND PVC PIPE SOLVENT</t>
  </si>
  <si>
    <t>INVITATION FOR NEGOTIATED PROCUREMENT OF OFFICE SUPPLIES (BATCH 2) After Two Failed Bidding</t>
  </si>
  <si>
    <t>Repair materials for School Canopy</t>
  </si>
  <si>
    <t>Supply and Delivery of Fuels at NIA ZRIS, Lasam &amp; Gattaran, Cagayan</t>
  </si>
  <si>
    <t>AB-2020-0019:Supply and Delivery of  Diesel Fuel, Premium and Unleaded Gasoline for various Maintenance activities within Ilocos Norte 2nd District</t>
  </si>
  <si>
    <t>Supply and Delivery of Vehicle Spare Parts at NIA CBIMO Maddarulug, Solana, Cagayan</t>
  </si>
  <si>
    <t>Procurement of Various Janitorial Supplies</t>
  </si>
  <si>
    <t>INSTALLATION OF WATER SYSTEM, ESTABLISHMENT OF WASH AREA, REPAIR OF ELECTRICAL LINES AT MULTI-PURPOSE HALL</t>
  </si>
  <si>
    <t>PURCHASE OF EVACUATION SHELTER SUPPLIES (LDRRMO)</t>
  </si>
  <si>
    <t>Construction of Sanitary Toilet &amp; Hygiene Facility</t>
  </si>
  <si>
    <t>40 units Battery, 12 volts, 11 plates – N70 (MF), 49 sets Tire w/ Inner Tube &amp; Flap – 7.50 x 16 x 14 Ply – Traction Lug, etc.</t>
  </si>
  <si>
    <t>Delivery of Hardware and Construction Supplies</t>
  </si>
  <si>
    <t>IT Equipment-SB Legislative</t>
  </si>
  <si>
    <t>Procurement of IT Equipment &amp; Office Equipment (Smoke Free Program )-RHU ,Lopez Jaena</t>
  </si>
  <si>
    <t>Supply &amp; Delivery of Printing Supplies @ NIA CBIMO Maddarulug, Solana, Cagayan</t>
  </si>
  <si>
    <t>PROCUREMENT OF DRUGS AND MEDICINES (COMBINED GLUCOSE-AMINO ACID SOLUTION)- REBID, DR. JOSE RIZAL MEMORIAL HOSPITAL</t>
  </si>
  <si>
    <t>Repair and replacement of plumbing accessories for LGU own building toilet</t>
  </si>
  <si>
    <t>RFQ 16816</t>
  </si>
  <si>
    <t>MAINT 2020-06-0018 - Purchase of Materials for Premix Patching  Bituminous Pavements along Masbate-Cataingan-Placer Road</t>
  </si>
  <si>
    <t>Procurement of Personal Protective Equipment Sets and Other Relevant Materials, for Use of Security Guards, Utility Workers, and Liaison Officer</t>
  </si>
  <si>
    <t>Procurement of Materials for the Construction of Comfort Room</t>
  </si>
  <si>
    <t>1 unit Vaccine Refrigerator</t>
  </si>
  <si>
    <t>SUPPLY &amp; DELIVERY OF AIRCONDITIONER</t>
  </si>
  <si>
    <t>BUGO CENTRAL SCHOOL PROCUREMENT OF SCHOOL  DISASTER RISK REDUCTION MATERIALS</t>
  </si>
  <si>
    <t>01 unit Portable Water Quality Instrument, 02 units Underwater Camera with Casing, etc.</t>
  </si>
  <si>
    <t>PEO-NC-2020-0343 REQUEST FOR QUOTATION FOR THE PROCUREMENT OF AGGREGATE SUBBASE COURSE (ANAPOG)</t>
  </si>
  <si>
    <t>Supply and Delivery of Fertilizer</t>
  </si>
  <si>
    <t>Request for Quotation - Supply and Delivery of Gasoline for Stock (GSO)</t>
  </si>
  <si>
    <t>MAINT 2020-06-0019 - Purchase of Materials for the Special Maintenance (Guardrail Maintenance) along Buenavista-Cawayan &amp; Masbate-Cataingan-Placer Road</t>
  </si>
  <si>
    <t>BEMO-NC-2020-0342 REQUEST FOR QUOTATION FOR THE PROCUREMENT OF LABOR, MATERIALS, AND EQUIPMENT FOR THE CONSTRUCTION OF NURSERY AND VERMI SHED HOUSES AT BIO-DIVERSITY COMPLEX, ROXAS, BILAR, BOHOL</t>
  </si>
  <si>
    <t>SUPPLY OF MEDICINE &amp; MEDICAL SUPPLIES FOR  WALK IN CLIENT</t>
  </si>
  <si>
    <t>Food Commodities for the Affected Populace of COVID-19</t>
  </si>
  <si>
    <t>Procurement of Consulting Services: Training Institution to Conduct Training on International Financial Accounting Standards for ECC Employees</t>
  </si>
  <si>
    <t>PR#20-06-0313 Face Mask for SPES program (PESO)</t>
  </si>
  <si>
    <t>PEO-NC-2020-0341 REQUEST FOR QUOTATION FOR THE PROCUREMENT OF AGGREGATE SUBBASE COURSE (ANAPOG)</t>
  </si>
  <si>
    <t>MAINT 2020-06-0021 - Purchase of Materials for the Supply and Delivery of fabricated Stainless Steel Signage of Masbate 3rd DEO</t>
  </si>
  <si>
    <t>Plaza and Municipal Ground Beautification</t>
  </si>
  <si>
    <t>Purchase of 1 set Major Surgery Instrument set with sterilizing tray for Biliran Provincial Hospital</t>
  </si>
  <si>
    <t>Laboratory Instrument (Isoprophyl Alcohol)</t>
  </si>
  <si>
    <t>Construction of New Main Gate at Carosucan Sur National High School, Asingan, Pangasinan.</t>
  </si>
  <si>
    <t>Purchase of Construction Materials (Library)</t>
  </si>
  <si>
    <t>Purchase of goods for Improvement of Tupsan Public Cemetery</t>
  </si>
  <si>
    <t>Procurement of One Unit Brand New Pick-Up Type Vehicle</t>
  </si>
  <si>
    <t>Request for quotation for covid supplies</t>
  </si>
  <si>
    <t>REPAIR/IMPROVEMENT OF LNU SCHOOL CLASS ROOM @ BRGY. CROSSING, SAN ISIDRO, LEYTE</t>
  </si>
  <si>
    <t>Rehabilitation of Water Supply Project at Bgy. Magsaysay, Dumaran, Palwan</t>
  </si>
  <si>
    <t>Procurement of PTZ High Definition Camera (monitor accident prone areas)-MDRRMO,Lopez Jaena</t>
  </si>
  <si>
    <t>Construction of Barangay Road at Brgy. Doña Brigida, Tolosa, Leyte</t>
  </si>
  <si>
    <t>Procurement of Construction Supplies for Drainage  Repair at Division Office.</t>
  </si>
  <si>
    <t>Construction of Manpower Development Center at Bgy. Itangil, Dumaran, Palawan</t>
  </si>
  <si>
    <t>Purchase of Safety precaution materials against Covid-19</t>
  </si>
  <si>
    <t>Swine Feeds (Livestock &amp; Poultry Production)</t>
  </si>
  <si>
    <t>RFQ 16817</t>
  </si>
  <si>
    <t>Repair of LDRRMO Rescue Vehicle (Colorado), Isabela, Neg. Occ.</t>
  </si>
  <si>
    <t>Rental of Equipment for the Improvement of Paulo M. Lasco Garbage Memorial Containment Facility</t>
  </si>
  <si>
    <t>Construction of Multi-Purpose Hall at Bgy. Catep, Dumaran, Palawan</t>
  </si>
  <si>
    <t>SECTIONAL REPAIR OF PAVEMENT AT NFA COMPOUND IN BARANGAY SAN IGNACIO, SAN PABLO CITY, LAGUNA</t>
  </si>
  <si>
    <t>Procurement of 200 bags Cement</t>
  </si>
  <si>
    <t>20CB-GSC-377- PURCHASE OF TARPAULIN FOR BPLD</t>
  </si>
  <si>
    <t>Airconditioning and Airconditioning System JRMPII-122-2020</t>
  </si>
  <si>
    <t>CONCRETING OF LANIPGA FARM TO MARKET ROAD PANAY CAPIZ</t>
  </si>
  <si>
    <t>Materials (Fabrication of Waste Collection Point for the Implementation of “No Segregation, No Collection Policy” (Model II)</t>
  </si>
  <si>
    <t>RFQ No. 20-0604 Shopping B (Supply and Delivery of 2nd quarter 2020 supplies (toner and ink) of PMB</t>
  </si>
  <si>
    <t>Supply and Delivery of Medical, Dental, X-ray and Laboratory Supplies of San Pablo City General Hospital 2nd Quarter.</t>
  </si>
  <si>
    <t>PURCHASE OF LAMINATED GLASS PARTITION OF GE</t>
  </si>
  <si>
    <t>Construction of Concrete Bridge</t>
  </si>
  <si>
    <t>Rice (Burial Assistance)</t>
  </si>
  <si>
    <t>Construction of Multi-Purpose Hall at Samahang Nayon Bantog, Asingan, Pangasinan.</t>
  </si>
  <si>
    <t>#2020-06-030 - Purchase of Diesel Fuel for Quality Assurance Section</t>
  </si>
  <si>
    <t>Purchase of hardware supplies  to be given to Barangay Janopol Occidental for the cementing of pathway.</t>
  </si>
  <si>
    <t>Concreting of Farm to Market Road at Zone 6, Brgy. Oltama, Urdaneta City</t>
  </si>
  <si>
    <t>Rehabilitation of Multi-Purpose Hall at Brgy. Macalong, Asingan, Pangasinan.</t>
  </si>
  <si>
    <t>Procurement of Agricultural supplies use for urban gardening</t>
  </si>
  <si>
    <t>Meals for Frontliners from June 22-28</t>
  </si>
  <si>
    <t>Tanod Paraphernalia</t>
  </si>
  <si>
    <t>27,780 liters Diesel and 4,980 liters Gasoline</t>
  </si>
  <si>
    <t>REPAIR AND RE-PAINTING OF KINARAGAN ELEMENTARY SCHOOL</t>
  </si>
  <si>
    <t>Purchase of Hand Pump for the Rehab. of Water Supply System, Brgy. 5 (Poblacion), Isabela, Neg. Occ.</t>
  </si>
  <si>
    <t>CONCRETING OF BAGO CHIQUITO FARM TO MARKET ROAD</t>
  </si>
  <si>
    <t>PURCHASE OF AIR CONDITION FOR VARIOUS OFFICES</t>
  </si>
  <si>
    <t>2020-06-318 CANVASS ON LABORATORY REAGENTS &amp; SUPPLIES</t>
  </si>
  <si>
    <t>SUPPLY AND DELIVERY OF VARIOUS CI SADDLE CLAMP FOR POTABLE WATER</t>
  </si>
  <si>
    <t>Improvement and Installation of Additional CCTV at Municipal Office Building and Municipal Health Office</t>
  </si>
  <si>
    <t>RFQ No. 20-07-016 7,200 containers of Mineral Water</t>
  </si>
  <si>
    <t>Supply and Delivery of Office Supplies and Consumables per RFQ-121-2020-CDD</t>
  </si>
  <si>
    <t>VEHICLE REPAIR AND MAINTENANCE</t>
  </si>
  <si>
    <t>Rehabilitation of Child Development Center, Lumbia, Ipil, ZSP.</t>
  </si>
  <si>
    <t>FURNISHING AND DELIVERING LABOR AND MATERIALS FOR THE CONCRETING OF BARANGAY ROAD, BRGY. SURGUI 3RD, CAMILING, TARLAC</t>
  </si>
  <si>
    <t>Purchase of Palit Bigas Program</t>
  </si>
  <si>
    <t>Procurement of LED fluorescent bulbs  for the replacement of busted lamps at Division Office.</t>
  </si>
  <si>
    <t>SUPPLY, DELIVERY AND INSTALLATION OF ONE (1) UNIT DUAL PHASE SIGNAGE FOR FOR Pag-IBIG FUND, TUGUEGARAO BRANCH</t>
  </si>
  <si>
    <t>Construction of Pavement along Purok Cappia at Brgy. Domanpot, Asingan, Pangasinan</t>
  </si>
  <si>
    <t>Supply and Delivery of Office Supplies and Consumables per RFQ-151-2020-CDD</t>
  </si>
  <si>
    <t>IMPROVEMENT OF MULTI-PURPOSE HALL</t>
  </si>
  <si>
    <t>FURNISHING AND DELIVERING LABOR AND MATERIALS FOR THE CONCRETING OF BARANGAY ROAD, BRGY. SURGUI 2ND, CAMILING, TARLAC</t>
  </si>
  <si>
    <t>2020-06-323 CANVASS ON WELL DRILLING SERVICES</t>
  </si>
  <si>
    <t>PURCHASE OF SCHOOL SUPPLIES (MSWDO/LCPC)</t>
  </si>
  <si>
    <t>Supply and Deliver of Various Ink Cartridges and Toner for PRDP CY 2020 (PRAS No. 2020-041 &amp; SH-017-2020)</t>
  </si>
  <si>
    <t>Purchase of Commercial Rice for Barangay Constituents COVID-19</t>
  </si>
  <si>
    <t>Procurement of Suture, Black silk 3/0 regular cutting/reverse cutting needle</t>
  </si>
  <si>
    <t>Security Guard Services of City Slaughterhouse, Ormoc Slaughterhouse, Ormoc City</t>
  </si>
  <si>
    <t>Purchase of 2 Sets O.R. INSTRUMENTS</t>
  </si>
  <si>
    <t>Concreting of Nangkaon-Talagusok Farm-to-Market Road</t>
  </si>
  <si>
    <t>Laptop for Office of the President for Academic Affairs</t>
  </si>
  <si>
    <t>Document Camera</t>
  </si>
  <si>
    <t>CONSTRUCTION/REHABILITATION OF MULTI PURPOSE HALL AT POBLACION, SAN QUINTIN, ABRA</t>
  </si>
  <si>
    <t>Purchase of various printed forms at Accounting Office</t>
  </si>
  <si>
    <t>ICT EQUIPMENT</t>
  </si>
  <si>
    <t>To Support the Logistical Requirements of 4MECH,MID,PA</t>
  </si>
  <si>
    <t xml:space="preserve">Request for Quotation for the Provision of Catering Services to be served during the Conduct of Collaborative Extension Project with LGU/Season-Long Farmers Field School (FFS) on July to October 2020 </t>
  </si>
  <si>
    <t>RFQ No. 20-07-017 Medical Supplies and Laboratory Instrument</t>
  </si>
  <si>
    <t>Fabrication of Tables for Vendors at Public Market, Asingan, Pangasinan.</t>
  </si>
  <si>
    <t>procurement of Supplies and Materials for the printing of modules in different subject areas from kinder to Grade VI, Quarter 1</t>
  </si>
  <si>
    <t>OPV-2020-0176 PR2020-0458 INVITATION TO BID FOR THE PROCUREMENT OF VARIOUS OFFICE EQUIPMENT, FURNITURE AND FIXTURES</t>
  </si>
  <si>
    <t>2020-06-331 CANVASS FOR OFFICE SUPPLIES CONSUMABLES</t>
  </si>
  <si>
    <t>Procurement of Electrical Supplies (PR No. 2006887)</t>
  </si>
  <si>
    <t>CONSTRUCTION OF BUS TERMINAL PHASE I</t>
  </si>
  <si>
    <t>Proposed concreting of road at Brgy. Santiago I, San Pablo City.</t>
  </si>
  <si>
    <t>Supply and delivery of IT Equipment and paraphernalia for use in the college of education.</t>
  </si>
  <si>
    <t>Labor &amp; Materials for the Existing Service Patrol Vehicle of OCPO, City Mayor's Office, Ormoc City</t>
  </si>
  <si>
    <t>Supply and Delivery of Medical Supplies to be used for the San Fernando Rescue Unit Ambulance for COVID-19 Monitoring and Response in the City of San Fernando, Pampanga</t>
  </si>
  <si>
    <t>Supply and Delivery of Acrylic Sheets</t>
  </si>
  <si>
    <t>Procurement of Office Equipment and Furniture</t>
  </si>
  <si>
    <t>PURCHASE OF MATERIALS FOR THE  BARANGAY STAGE</t>
  </si>
  <si>
    <t>SUPPLY AND DELIVERY OF SINGLE GLASS DOOR AND FIX GLASS (RLED)</t>
  </si>
  <si>
    <t>Supply and delivery of Blaan Dictionary</t>
  </si>
  <si>
    <t>Purchase of Office Equipment fo GAD Office</t>
  </si>
  <si>
    <t>RFQ 16799 Repair and Maintenance</t>
  </si>
  <si>
    <t>PROPOSED PROVISION OF TEMPORARY PARTITION FOR VARIOUS ISOLATION AREA AT VARIOUS BARANGAYS</t>
  </si>
  <si>
    <t>2020-06-335 CANVASS FOR MEDICAL SUPPLIES</t>
  </si>
  <si>
    <t>Purchase of Diesel for Cabanglasan MPS</t>
  </si>
  <si>
    <t>PURCHASE OF BOOKS</t>
  </si>
  <si>
    <t>PURCHASE OF ONE (1) UNIT SLIDING GLASS DOOR FILING CABINET WITH COMPUTER TABLE FOR SB OFFICE</t>
  </si>
  <si>
    <t>Outsourcing of physico chemical, heavy metal and microbiological analyses for industrial waste</t>
  </si>
  <si>
    <t>Purchase of Second Hand Vehicle for use as Barangay Ambulance of Upper Malinao, Padada, Davao del Sur</t>
  </si>
  <si>
    <t>Furnishing and Delivery of 9 Units Laptop for Principals of Siniloan District</t>
  </si>
  <si>
    <t>Rehabilitation of Child Development Center, Logan, Ipil, ZSP.</t>
  </si>
  <si>
    <t>Supply and Delivery of Various Building Materials, (11 Items) as per BSP Technical Specifications and Terms and Conditions:</t>
  </si>
  <si>
    <t>Purchase of Indigenous Microorganism Making</t>
  </si>
  <si>
    <t>ITB-2020-06-051 2nd Public Bidding: Construction of Water Tower in PCDP, HFW, RSCC, and Upgrade of Water System in HE</t>
  </si>
  <si>
    <t>Catering Services (Contribution of Food Packs of Brgy. Kuden, with Theme: "KAPWA KO MAHAL KO"</t>
  </si>
  <si>
    <t>PROCUREMENT OF SUPPLIES/MATERIALS FOR THE PRINTING OF MODULES IN DIFFERENT SUBJECT AREAS FROM KINDER TO GRADE VI</t>
  </si>
  <si>
    <t>PROVISION OF SUPPORT INSTRUCTIONAL &amp; LEARNERS MATERIALS FOR TAMALAGON INTEGRATED SCHOOL (ELEMENTARY)</t>
  </si>
  <si>
    <t>Procurement of Infrastructure Projects for Implementation of Various Municipal Development Projects III</t>
  </si>
  <si>
    <t>Construction of Calasgaan SIP</t>
  </si>
  <si>
    <t>request for quotation</t>
  </si>
  <si>
    <t>Supply and Delivery of Surveying Instruments at NIA CBIMO HEad Office Maddarulug, Solana, Cagayan</t>
  </si>
  <si>
    <t>GOODS-PRNO.-2020-06-285</t>
  </si>
  <si>
    <t>Repair of 2D Echo Machine</t>
  </si>
  <si>
    <t>Completion of Four (4) Units Barangay Health Station (Apaya, Apang, Kiat, Daddaay)</t>
  </si>
  <si>
    <t>Procurement of Labor Services (PR. No 2006889)</t>
  </si>
  <si>
    <t>Supplies &amp; Delivery of Various Hardware &amp; Construction Supplies for Consumables of Different Qualification, SMAW NC I, NC II, EIM NC II, &amp; GTAW NC II, Ormoc TESDA Management Office, Ormoc City</t>
  </si>
  <si>
    <t>CONSTRUCTION EQUIPMENT RENTAL FOR ROAD CONSTRUCTION</t>
  </si>
  <si>
    <t>CONSTRUCTION AND REHABILITATION OF MARINE PROTECTED AREA AT PAYAO, ZAMBOANGA SIBUGAY</t>
  </si>
  <si>
    <t>833 vials Anti-Rabies Vaccine, Purified Chick Embryo Cell, etc.</t>
  </si>
  <si>
    <t>Procurement of Forage Chopper</t>
  </si>
  <si>
    <t>Video Conference System (Enhancement of Virtual Meetings)</t>
  </si>
  <si>
    <t>SUPPLY AND DELIVERY OF SINGLE GLASS DOOR AND FIX GLASS (HR AND PLANNING)</t>
  </si>
  <si>
    <t>Procurement of Construction Materials and Supplies for the Improvement of Barangay Street Lights in Brgy. Badiangon, President Roxas, Capiz</t>
  </si>
  <si>
    <t>ITB No. 20-053   SUPPLY AND DELIVERY OF LABOR, TOOLS, MATERIALS, CONSUMABLES, SUPERVISION AND TECHNICAL EXPERTISE FOR THE INSTALLATION OF BUILT-IN SOUND SYSTEM WITH ACCESSORIES FOR ATRIUM LOBBY MAIN B</t>
  </si>
  <si>
    <t>PURCHASE OF SUPPLY FOR FIELD STAFF DURING LISTAHANAN 3 HOUSEHOLD VALIDATION</t>
  </si>
  <si>
    <t>(2) PROCUREMENT OF CONSULTING SERVICES FOR SUBDIVISION SURVEY OF 247 HECTARES NEW LANDS</t>
  </si>
  <si>
    <t>Purchase of Four (4) units Airconditioning Units for Various Offices</t>
  </si>
  <si>
    <t>Procurement of Hybrid Vegetable Seeds for Agriculture</t>
  </si>
  <si>
    <t>Supply and Delivery of Five Thousand (5,000) Heads Mallard Ducks Ready-to-Lay for the Municipality of Roxas, Isabela</t>
  </si>
  <si>
    <t>INVITATION TO APPLY FOR ELIGIBILITY AND TO BID FOR THE EQUIPMENT, TOOLS AND RAW MATERIALS FOR DOLE INTEGRATED LIVELIHOOD PROGRAM – STARTER KIT PROJECT.</t>
  </si>
  <si>
    <t>Office, Med supplies</t>
  </si>
  <si>
    <t>Procurement of Corn Sheller</t>
  </si>
  <si>
    <t>Office Supplies (Ballpen with Flashdrive)</t>
  </si>
  <si>
    <t>Request for Quotation for the Provision of Catering Services to be served during the Conduct of Collaborative Extension Project with LGU/Season-Long Farmers Field School (FFS) on July to October 2020</t>
  </si>
  <si>
    <t>MULTICAB FOR BRGY.SANDAYONG NORTE,DANAO CITY</t>
  </si>
  <si>
    <t>OFFICE EQUIPMENT (AIRCONDITIONING)</t>
  </si>
  <si>
    <t>Supply &amp; Delivery of Office Equipment Supplies and Consumables</t>
  </si>
  <si>
    <t>Agricultural  Supplies</t>
  </si>
  <si>
    <t>MUNICIPAL AND BARANGAY ROAD MAINTENANCE</t>
  </si>
  <si>
    <t>Procurement of Vegetable Seeds for distribution</t>
  </si>
  <si>
    <t>Purchase of Office Supplies and Devices</t>
  </si>
  <si>
    <t>Delivery of gas refill for the month of July 2020 at Sluagtherhouse, Lingayen, Pangasinan</t>
  </si>
  <si>
    <t>SUPPLY &amp; DELIVERY OF MATERIALS FOR THE CONSTRUCTION OF BAGSAKAN CENTER @ BRGY. WEST KILIKILI, WAO, LANAO DEL SUR</t>
  </si>
  <si>
    <t>Delivery of Janitorial Supplies</t>
  </si>
  <si>
    <t>PURCHASE OF OFFICE EQUIPMENT FOR NHTS</t>
  </si>
  <si>
    <t>FURNISHING OF CONSTRUCTION MATERIALS OF BRGY LAYON, LIGAO CITY</t>
  </si>
  <si>
    <t>Supply of School and office supplies</t>
  </si>
  <si>
    <t>20GJI0041-Procurement of Aggregate Subbase Course Material for use in the Repair of Sever Road Damaged Portion of PCCP Carriageway along Lanao-Pagadian-Zamboanga City Road, Lumbog K1742+900-K1742+913.</t>
  </si>
  <si>
    <t>PGBH-C-NC-2020-095 PR2020-111 REQUEST FOR QUOTATION FOR THE PROCUREMENT OF MEALS DURING BID OPENING FOR BAC MEMBERS AND BAC SECRETARIAT STAFF</t>
  </si>
  <si>
    <t>PROCUREMENT OF TEN (1) UNITS EXECUTIVE CHAIR FOR USE IN MSWD OFFICE AND MUN. TREASURER'S OFFICE AT MUNICIPALITY OF AYUNGON</t>
  </si>
  <si>
    <t>Procurement of VARIOUS PRESSURE GAUGES</t>
  </si>
  <si>
    <t>Purchase of Office Supplies and Materials</t>
  </si>
  <si>
    <t>PROCUREMENT OF PSP HOG FEEDS &amp; ANIMAL MEDICINE FOR THE MONTH OF AUGUST TO SEPTEMBER 2020</t>
  </si>
  <si>
    <t>Led TV July</t>
  </si>
  <si>
    <t>OE-56-06-25-2020: Supply and Delivery of Office Equipment for ISO Audit works and activities</t>
  </si>
  <si>
    <t>Installation of Street Lighting Facilities</t>
  </si>
  <si>
    <t>Purchase of Fruits Seedlings</t>
  </si>
  <si>
    <t>01 unit Whiteprint Laser Printer</t>
  </si>
  <si>
    <t>05 boxes COMPUTER CONTINUOUS FORMS, 2 ply, 11" x 14-7/8", 1000 sets/box, etc.</t>
  </si>
  <si>
    <t>OFFICE EQUIPMENT (PORTABLE SPEAKER, DSLR CAMERA, EXECUTIVE CHAIR AND FLOOR MOUNTED TYPE AIRCON 3T)</t>
  </si>
  <si>
    <t>Completion of Four (4) Units Barangay Health Station (Kiat, Marmarsang, Guilong, Dagdag)</t>
  </si>
  <si>
    <t>TRAINING EXPENSE  (OESPA-Php50,000.00)</t>
  </si>
  <si>
    <t>RFQ 16810</t>
  </si>
  <si>
    <t>01 pc. G. Driver (Driver Board), etc.</t>
  </si>
  <si>
    <t>PROCUREMENT OF MEDICAL SUPPLIES AND INSTRUMENTS</t>
  </si>
  <si>
    <t>INSTALLATION OF 4 PCS. ROLL BLINDS CURTAIN</t>
  </si>
  <si>
    <t>PROCUREMENT OF CONSTRUCTION MATERIAL FOR THE COMPLETION OF MULTI-PURPOSE HALL- BARANGAY SAN VICENTE</t>
  </si>
  <si>
    <t>04 units Ambulance with Complete Accessories</t>
  </si>
  <si>
    <t>Food for INSET July</t>
  </si>
  <si>
    <t>Construction of concrete perimeter fence (Phase 2)</t>
  </si>
  <si>
    <t>Supply &amp; Delivery of Construction Materials Package I for Various Projects</t>
  </si>
  <si>
    <t>Motorcycle Vehicle (Field Service Vehicle) for CaPenro</t>
  </si>
  <si>
    <t>OFFICE EQUIPMENT (PHOTOCOPIER)</t>
  </si>
  <si>
    <t>pURCHASE OF ONE (1) UNIT MOTORCYCLE WITH STAINLESS SIDE CAR</t>
  </si>
  <si>
    <t>1 LOT OFFICE SUPPLIES</t>
  </si>
  <si>
    <t>Procurement of furniture and fixture (Hon. Nilo Tan Pates)</t>
  </si>
  <si>
    <t>SVP PUR20-06-0488 Supply &amp; delivery of  Television 32" LED TV for DPPS</t>
  </si>
  <si>
    <t>Construction of Drainage Canal (GAD) All Puroks, Agbannawag</t>
  </si>
  <si>
    <t>Food and Room Accommodation for Committee en Banc on revision of Municipal Tax Code and Book of Umayamnon</t>
  </si>
  <si>
    <t>SUPPLIES/MATERIALS</t>
  </si>
  <si>
    <t>Concreting of Road (GAD) Bangad, Agbannawag</t>
  </si>
  <si>
    <t>LSI MEALS (EMERGENCY FOR COVID-19)</t>
  </si>
  <si>
    <t>Basketball Backboard/Fiberglass</t>
  </si>
  <si>
    <t>20GJI0042-Procurement of Tire Tubeless and Tire Rim for use in replacement of worn-out tire and rim of Mitsubishi Center with Temp.Plate No.091204 assigned in the Maintenance Section</t>
  </si>
  <si>
    <t>Rehabilitation of Child Development Center,Maasin,Ipil, ZSP.</t>
  </si>
  <si>
    <t>Land Development - New Puntaville</t>
  </si>
  <si>
    <t>Supply and Delivery of One (1) Lot COVID19 Health and Safety Supplies</t>
  </si>
  <si>
    <t>Procurement of Office Supplies and Consumables</t>
  </si>
  <si>
    <t>Information Technology JRMPII-089-2020</t>
  </si>
  <si>
    <t>Procurement of BOOSTER PUMP, CENTRIFUGAL</t>
  </si>
  <si>
    <t>Request for Quotation of Diesel Fuel intended for the Heavy Equipment Maintenance</t>
  </si>
  <si>
    <t>20CSAB02 - Package 2: CONDUCT OF SOIL TESTING/EXPLORATION FOR THE PROPOSED FLOOD CONTROL PROJECTS, DINGRAS, PAOAY, BADOC, BANNA, CITY OF BATAC, SOLSONA, MARCOS &amp; NUEVA ERA, ILOCOS NORTE</t>
  </si>
  <si>
    <t>Construction of Canal Cover (GAD) Purok 4, Bulanao</t>
  </si>
  <si>
    <t>“SUPPLY AND DELIVERY OF VEHICLE PARTS AND VEHICLE OIL”</t>
  </si>
  <si>
    <t>Construction of Deep Well w. Submersible Pump at Block 2 (GAD) Purok 7, Bulanao</t>
  </si>
  <si>
    <t>IMPROVEMENT OF BARANGAY MULTI-PURPOSE HALL</t>
  </si>
  <si>
    <t>Procurement of One (1) Unit Photocopier</t>
  </si>
  <si>
    <t>Laboratory Analysis</t>
  </si>
  <si>
    <t>SUPPLY AND DELIVERY OF PHOTOCOPIER MACHINE</t>
  </si>
  <si>
    <t>Diagnostic and Laboratory Services JRMPII-284-19</t>
  </si>
  <si>
    <t>Procurement of Coffee Pulper</t>
  </si>
  <si>
    <t>Procurement of Equipment for CCTV Security System</t>
  </si>
  <si>
    <t>Supply &amp; Delivery of Various Equipment &amp; Supplies @ MDRRMO</t>
  </si>
  <si>
    <t>19 PCS. CUSTOMIZED PLAQUE 8"</t>
  </si>
  <si>
    <t>399.93 SQ.M ROLL BLINDS CURTAIN</t>
  </si>
  <si>
    <t>Information Technology JRMPII-291-19</t>
  </si>
  <si>
    <t>Improvement of Road @ Various Puroks, Cabaritan</t>
  </si>
  <si>
    <t>Construction of Canal Lining @ Purok 1, Cabaritan</t>
  </si>
  <si>
    <t>Improvement of Road going to Burayukan Elem School (GAD) Balong</t>
  </si>
  <si>
    <t>PROCUREMENT OF LABORATORY SUPPLIES/REAGENTS</t>
  </si>
  <si>
    <t>Procurement of Ink Cartridges</t>
  </si>
  <si>
    <t>Support for the Enhancement of St. Vincent Chapel of TRADOC, PA amounting to Php 980,000.00</t>
  </si>
  <si>
    <t>Request for Quotation (NLPRSD-2020-06-0303 Smart TV)</t>
  </si>
  <si>
    <t>JOB ORDER: INSTALLATION OF CABLE TELEVISION AT SIARGAO DORMITORY</t>
  </si>
  <si>
    <t>Procurement of Pest Control Service of AVRC 1</t>
  </si>
  <si>
    <t>SUPPY AND DELIVERY OF CONSTRUCTION MATERIALS - MMO</t>
  </si>
  <si>
    <t>Procurement of Fuel</t>
  </si>
  <si>
    <t>Construction of Canal Cover (GAD) Northern Balacang &amp; Waterlily St, Casigayan</t>
  </si>
  <si>
    <t>Construction of Mini of Park w/ Rehabilitation of Street Light</t>
  </si>
  <si>
    <t>Purchase of 150 Pcs Goggles Maesk (Full Face Protective Sheild) for COVID-19 Frontliners</t>
  </si>
  <si>
    <t>DRILLING OF DEEPWELL AT BARANGAY SAN ANDRES, BALUNGAO, PANGASINAN</t>
  </si>
  <si>
    <t>Procurement of FILTER BAG, HOUSING, INLET 1-12", PVC</t>
  </si>
  <si>
    <t>HARDWARE MATERIALS</t>
  </si>
  <si>
    <t>20CSAB03 - Package 3: CONDUCT OF SOIL TESTING/EXPLORATION FOR THE PROPOSED SLOPE PROTECTION, ILOCOS NORTE-ABRA RD - K0527+330 - K0527+ 358,  K0532+275 - K0532+290, K0533+175 - K0533+191, K0533+324 - K</t>
  </si>
  <si>
    <t>RFQ 16811 Pest Products</t>
  </si>
  <si>
    <t>Coral Assessment and Photo Transect Method</t>
  </si>
  <si>
    <t>Procurement of 1 Pakyaw Remote Sensing Services for Groundwater Availability Exploration(GEO-Resistivity Survey) under 0700-2020-OCA-Support to Quality Corn Development(Trust Fund).</t>
  </si>
  <si>
    <t>Supply &amp; Delivery of Office Supplies @ Budget, MSD, MHO, MPO, Rodriguez, Rizal</t>
  </si>
  <si>
    <t>Delivery, commissioning and Installation of Office Equipment</t>
  </si>
  <si>
    <t>ITB-2020-06-052 2nd Public Bidding: Construction of Covered Path Walk, Kitchen and Laundry Area for AVRC III</t>
  </si>
  <si>
    <t>Improvement of Road @ Makilo, Calaccad</t>
  </si>
  <si>
    <t>SVP PUR20-04-0318 Procurement of Cable Remote Control for OR Table (Trumpf),  ORMAT</t>
  </si>
  <si>
    <t>To Conduct Verification/Subdivision survey and provide complete docucments as provided in the Survey Return for submittal at LMS-DENR</t>
  </si>
  <si>
    <t>20CSPA001 (Re-advertisement) : DETAILED ENGINEERING DESIGN OF ABRA COLISEUM AND  CONVENTION CENTER, La Paz, Abra</t>
  </si>
  <si>
    <t>Procurement of Motorcycle with side car</t>
  </si>
  <si>
    <t>Supply and delivery of it equipment for use in the self-directed learning module system of the campus.</t>
  </si>
  <si>
    <t>Purchase of Supplies for Nutrition office for supplemental feeding for underwieght childred of 15 barangays</t>
  </si>
  <si>
    <t>20DL0226 - CONVERGENCE AND SPECIAL SUPPORT PROGRAM, CONSTRUCTION/ IMPROVEMENT OF ACCESS ROADS LEADING TO DECLARED TOURISM DESTINATIONS 4. ACCESS ROAD LEADING TO LAMESANG BATO, CALAUAG, QUEZON</t>
  </si>
  <si>
    <t>300 PCS. BROCHURE</t>
  </si>
  <si>
    <t>Improvement of Road (GAD) Lower Sumadel, Ipil</t>
  </si>
  <si>
    <t>supply and delivery of 2nd quarter fuel, oils and lubricants</t>
  </si>
  <si>
    <t>rfq of ink supplies</t>
  </si>
  <si>
    <t>Apartment Rental for the Month of July - December 2020 for Lodging of DOH Staff during disaster response</t>
  </si>
  <si>
    <t>REHABILITATION OF BARANGAY ROADS OF 14 BARANGAYS [2ND BID]</t>
  </si>
  <si>
    <t>RFQ No. 20-081 Supply and Delivery of Eight (8) Kits Aspergillus Galactomannan Ag</t>
  </si>
  <si>
    <t>Construction of Water Tank w/ Motor (GAD) Daram, Cudal</t>
  </si>
  <si>
    <t>Improvement of Barangay Road @ Purok 5, Calanan</t>
  </si>
  <si>
    <t>CONSTRUCTION OF SEAWEEDS NURSERY (MAO)</t>
  </si>
  <si>
    <t>For the use of Aeropioneer  ( PhilSCA FAB Campus, Lipa City, Batangas)</t>
  </si>
  <si>
    <t>2nd Quarter Office Supplies</t>
  </si>
  <si>
    <t>Purchase for Signage</t>
  </si>
  <si>
    <t>Supply and Delivery of Office supplies of 2RCDG (P301,538.40)</t>
  </si>
  <si>
    <t>2020 17TH PUBLIC BIDDING for PROCUREMENT OF MEDICAL IMAGING SUPPLIES FOR 2020 2ND SEMESTER CONSUMPTION</t>
  </si>
  <si>
    <t>PURCHASE OF ONE (1) UNIT MOTORCYLE</t>
  </si>
  <si>
    <t>Acquisition Of Station</t>
  </si>
  <si>
    <t>SJES-MOOE-2020-0002</t>
  </si>
  <si>
    <t>Procurement of Various Supplies</t>
  </si>
  <si>
    <t>UPGRADING OF FM STATION TO 1000 WATTS (LDRRMO)</t>
  </si>
  <si>
    <t>20DL0227 - CONVERGENCE AND SPECIAL SUPPORT PROGRAM, CONSTRUCTION/ IMPROVEMENT OF ACCESS ROADS LEADING TO TRADES, INDUSTRIES AND ECONOMIC ZONES 5. ACCESS ROADS IN SUPPORT OF HANDICRAFTS, FOODS, COCONUT</t>
  </si>
  <si>
    <t>Materials for IMPROVEMENT/REPAIR OF ROADS (Provision of 34 LnM Concrete Barrier Protection of Roads near Roro Port)</t>
  </si>
  <si>
    <t>20JF0109 - Construction of 1 Unit - Two (2) Storey Eight (8) Classroom Yolanda Type School Building at Pangi Elementary School, Pangi, Ipil, Zamboanga Sibugay</t>
  </si>
  <si>
    <t>Construction of Deep Well w/ Submersible Pump (GAD) National H/S, Tuga</t>
  </si>
  <si>
    <t>Improvement of Road, Balani-Bantay-Magnao Road</t>
  </si>
  <si>
    <t>1 LOT BUILDING STRUCTURAL ASSESSMENT</t>
  </si>
  <si>
    <t>Request for Quotation (NLPRSD-2020-06-0304 Refrigerator)</t>
  </si>
  <si>
    <t>Supply and Delivery of Furnitures &amp; Fixtures for the use of COVID-19 Emergency Operation Center Staff</t>
  </si>
  <si>
    <t>Rehabilitation of Various Deep Well  (GAD) Purok 4, Tuga</t>
  </si>
  <si>
    <t>Construction of One Classroom in Brgy. Tabao-Ambil</t>
  </si>
  <si>
    <t>PROCUREMENT OF I.T. EQUIPMENT (ITB No. 2020-161)-(provl government of bukidnon offices)</t>
  </si>
  <si>
    <t>100 PCS. T-SHIRT WITH PRINT</t>
  </si>
  <si>
    <t>APPLIANCES</t>
  </si>
  <si>
    <t>Fire Extinguisher</t>
  </si>
  <si>
    <t>Agricultural Supplies</t>
  </si>
  <si>
    <t>Procurement of Electric Sewer/Bagger</t>
  </si>
  <si>
    <t>Construction of Covered Walk (GAD) STCS, Bulanao</t>
  </si>
  <si>
    <t>20DL0225 - CONVERGENCE AND SPECIAL SUPPORT PROGRAM, CONSTRUCTION/ IMPROVEMENT OF VARIOUS INFRASTRUCTURE IN SUPPORT OF NATIONAL SECURITY 1. ACCESS ROAD LEADING TO 85TH INFANTRY BATTALION MABUNGA-CASASA</t>
  </si>
  <si>
    <t>Rehabilitation of Health Center/Flordeliz, Macrohon, Southern Leyte</t>
  </si>
  <si>
    <t>PURCHASE OF MOTORCYCLES FOR BARANGAYS (1ST BID)</t>
  </si>
  <si>
    <t>PROCUREMENT OF LABORATORY SUPPLIES</t>
  </si>
  <si>
    <t>SVP PUR20-06-0475 Procurement of SPO2 Extension Cable for M3A Patient monitor Neonate, NICU</t>
  </si>
  <si>
    <t>Supply &amp; Delivery of Brooders &amp; Hatchery &amp; Incubator with Hatcher for Distribution to Various Farmers/Fisherfolk Association, City Agriculture's Office, Ormoc City</t>
  </si>
  <si>
    <t>Construction of Canal Lining &amp; Protection Wall @ Purok 2, Lanna</t>
  </si>
  <si>
    <t>Catering Services for Meals and Snacks during conduct of Budget Forum and Workshop and Technical Budget Hearing</t>
  </si>
  <si>
    <t>Improvement of Road @ Gawidan, Bagumbayan</t>
  </si>
  <si>
    <t>FURNISHING LABOR AND MATERIALS FOR THE IMPROVEMENT OF PUBLIC MARKET OFFICE BAC OFFICE AND MAYORS OFFICE</t>
  </si>
  <si>
    <t>20CSAB01 - Package 1: CONDUCT OF SOIL TESTING/EXPLORATION FOR THE PROPOSED BRIDGE WIDENING, BADOC BR. (B00564LZ), QUIAOIT BR. (B00571LZ),  ALONG MANILA NORTH ROAD, CABARUAN BR. (B02770LZ), QUIOM BR. (</t>
  </si>
  <si>
    <t>Office Supplies for DILG Office</t>
  </si>
  <si>
    <t>Supply and Delivery of Various Brother Ink</t>
  </si>
  <si>
    <t>Construction of Canal Lining @ Bangan, Bagumbayan</t>
  </si>
  <si>
    <t>Delivery of Office Supplies and Accessories</t>
  </si>
  <si>
    <t>Prepaid Cards (Communication Supplies)</t>
  </si>
  <si>
    <t>SVP 1049-2020 Desktop and printer</t>
  </si>
  <si>
    <t>For Laboratory use on the ELISA testing project</t>
  </si>
  <si>
    <t>SUPPLY AND DELIVERY OF CONSTRUCTION MATERIALS (READY MIXED)</t>
  </si>
  <si>
    <t>Supply and Delivery of Maintenance and Refill of Fire Extinguisher (PR#20-05-0651)</t>
  </si>
  <si>
    <t>MEALS AND SNACKS</t>
  </si>
  <si>
    <t>PROCUREMENT OF CONST. MATERIALS AND SUPPLIES IMPROV. OF MPH COVERED COURT DALAHICAN</t>
  </si>
  <si>
    <t>SUPPLY, DELIVERY AND INSTALLATION OF CSUCC ELECTRONICS SWINGS GATE SYSTEM</t>
  </si>
  <si>
    <t>Supply and Delivery of Various Construction Materials for the Extension of Barangay Road Concreting of 132.50 Linear x 5 meter width and 15 cm. thickness, Barangay Aras-asan, Cagwait, Surigao del Sur</t>
  </si>
  <si>
    <t>Laptop, Inkjet Printer 3n1, RAM 8GB DDR3L NON-ECC SODIMM 1600MHZ for the use of RESDRU Staff during epidemiologic or field investigation/ for the use of Planning Unit</t>
  </si>
  <si>
    <t>6 Set Tire 7.50 x 16, 14 ply, CT 163, mixed lug with inner tube and flap</t>
  </si>
  <si>
    <t>Hardware Supplies</t>
  </si>
  <si>
    <t>Supply of Labor, Tools and Materials in the Installation of Gravity Roller for Conveyor at Southwing, Terminal 2 (R.I.S. No.: 20-83-125)</t>
  </si>
  <si>
    <t>Construction of Cambaguio SIP</t>
  </si>
  <si>
    <t>Procurement of Cellcards of Barangay Cadcadir East, Claveria, Cagayan Valley</t>
  </si>
  <si>
    <t>PURCHASE OF OFFICE SUPPLIES FOR RHU OPD AND LYING-IN</t>
  </si>
  <si>
    <t>20MG0149-Construction of 4sty-16cl (2SL, 2ICT, &amp; 4RW) Lab Workshop, Koronadal NCHS, Koronadal City</t>
  </si>
  <si>
    <t>CONSTRUCTION OF MULTI-PURPOSE BLDG. PHASE 2</t>
  </si>
  <si>
    <t>FINISHING OF BARANGAY MULTI-PURPOSE BUILDING AT BARANGAY ABGAYAN SUR, BALUNGAO, PANGASINAN</t>
  </si>
  <si>
    <t>RPQ - 2020-06-001</t>
  </si>
  <si>
    <t>ITB No. 014-2020-Second Posting-Supply and Delivery of NPL-322+ Prismless Total Station for the Municipal Assessment Office of LGU-Hingyon, Ifugao.</t>
  </si>
  <si>
    <t>Purchase of Animal Feeds</t>
  </si>
  <si>
    <t>Purchase of Brand New Utility Vehicle</t>
  </si>
  <si>
    <t>Delivery of labor and materials for the Construction/Rehabilitation of Open Canal at Barangay Sta. Cruz, Bay, Laguna for their implementation of 20% Economic Development Fund  (C.Y. 2020)</t>
  </si>
  <si>
    <t>PRINTING SERVICES (T-SHIRT AND TARPAULINS)</t>
  </si>
  <si>
    <t>20MG0150-Concreting of Brgy. Lamlahak to Brgy. Lamdalag FMR, Brgy. Lamlahak and Brgy. Lamdalag, Lake Sebu, South Cotabato</t>
  </si>
  <si>
    <t>Rehabilitation of Canal @ Putic St, Dilag</t>
  </si>
  <si>
    <t>REPAIR AND REPLACEMENT OF MOTHERBOARD OF 1 UNIT CPU</t>
  </si>
  <si>
    <t>20MG0151-Concreting of Brgy. Sinolon FMR, Brgy. Sinolon, T’boli, South Cotabato</t>
  </si>
  <si>
    <t>ANIMAL FEEDS -POULTRY</t>
  </si>
  <si>
    <t>Procurement of Various Goods for Supplementary Feeding of 15 Barangays in  Bay, Laguna</t>
  </si>
  <si>
    <t>Purchase of Hand Tools and Equipment</t>
  </si>
  <si>
    <t>Supply and Delivery of Hydraulic and Cyclo Motor Oil for PBB at Terminal 2 (R.I.S. No.: 20-83-121)</t>
  </si>
  <si>
    <t>Procurement of Air Conditioner for LGU Manito</t>
  </si>
  <si>
    <t>Floor Tapping of Multi-Purpose Hall (Perimeter) at Barangay Angarian, Bugallon, Pangasinan</t>
  </si>
  <si>
    <t>Construction Materials (Rehabilitation of Multi-Purpose Hall)</t>
  </si>
  <si>
    <t>PROCUREMENT ON SUPPLY AND DELIVERY OF CONSTRUCTION MATERIALS AND SUPPLIES</t>
  </si>
  <si>
    <t>Procurement of Materials for the Replacement of broken floor tiles of RELC</t>
  </si>
  <si>
    <t>SUPPLY AND DELIVERY OF CONSTRUCTION SUPPLIES (rfq#2020-06-2,610)-(p.e.o.)</t>
  </si>
  <si>
    <t>Installation of glass panel</t>
  </si>
  <si>
    <t>Materials for WASH Program</t>
  </si>
  <si>
    <t>Installation of Jetmatic Hsnd Pumps</t>
  </si>
  <si>
    <t>REPAIR OF GID WAREHOUSE DAMAGED BY TYPHOON TISOY IN BRGY. LAYLAY, BOAC, MARINDUQUE</t>
  </si>
  <si>
    <t>Infrastructure Project (Phase II) for Oriental Mindoro Rehabilitation and Recovery Center, Brgy. Ilaya, Calapan City, Oriental Mindoro</t>
  </si>
  <si>
    <t>PROCUREMENT ON SUPPLY AND DELIVERY OF VARIOUS OFFICE SUPPLIES (CONSUMABLES)</t>
  </si>
  <si>
    <t>RFQ No. 002-2020 - Second Posting - Supply and Delivery of Construction Supplies for the SB Building Improvement in the Municipality of Hingyon, Ifugao</t>
  </si>
  <si>
    <t>Purchase of Medical Supplies for the use of Ospital ng Lungsod ng San Jose Del Monte</t>
  </si>
  <si>
    <t>RFQ VACUUM CLEANER</t>
  </si>
  <si>
    <t>INFORMATION TECHNOLOGY</t>
  </si>
  <si>
    <t>use for the repair and maintenance of DRRM Vehicle Bongo Truck, Mitsubishi L300 Ambulance and Government vehicle Foton ambulance</t>
  </si>
  <si>
    <t>5 Tons Floor Mounted Non-Inverter (For Lease) - 6 Months for the use of EOC at PopCom Office</t>
  </si>
  <si>
    <t>REPAIR &amp; IMPROVEMENT OF SCHOOL CLINIC</t>
  </si>
  <si>
    <t>Procurement of gardening tools</t>
  </si>
  <si>
    <t>Purchase of Supplies and Materials for Flood Control Program Declogging and Navotas Ko Love Ko (Clean-up Drive)</t>
  </si>
  <si>
    <t>PURCHASE OF DESKTOP COMPUTER, FULL ACCESSORIES WITH 3 AND 1 PRINTER AND UPS.</t>
  </si>
  <si>
    <t>PROCUREMENT OF ICT EQUIPMENT for use in the Preparation of LUDIP</t>
  </si>
  <si>
    <t>Materials for the Construction of Drainage Canal</t>
  </si>
  <si>
    <t>SUPPLY AND DELIVERY OF MATERIALS FOR REPAIR AND INSTALLATION OF WATER SUPPLY.</t>
  </si>
  <si>
    <t>PR-2020-1392 Drugs &amp; Medicines-NDH</t>
  </si>
  <si>
    <t>Rehabilitation of Child Development Center, Domondan, Ipil, ZSP.</t>
  </si>
  <si>
    <t>INK CARTIDGES</t>
  </si>
  <si>
    <t>Graduation.Supply</t>
  </si>
  <si>
    <t>LABOR SERVICES FOR THE COMPLETION OF bRGY. BIBILIK MULTI-PURPOSE BUILDING</t>
  </si>
  <si>
    <t>CONSTRUCTION OF WELCOME ARCH</t>
  </si>
  <si>
    <t>Purchase of Agricultural Chemicals</t>
  </si>
  <si>
    <t>Reproduction of Learning Packets for Quarter 1 All Subjects JHS &amp; SHS</t>
  </si>
  <si>
    <t>REPAIR OF CCHAMS BUILDING</t>
  </si>
  <si>
    <t>RFQ No. 20-090 One (1) Lot Supply and Delivery of Various Phenotyping Reagents (Tube Method)</t>
  </si>
  <si>
    <t>Concreting of Brgy Road</t>
  </si>
  <si>
    <t>REPAINTING OF CCHAMS BUILDING</t>
  </si>
  <si>
    <t>Procurement of Office Supplies - MO</t>
  </si>
  <si>
    <t>Purchase off Base Coarse for barangay @ Dayapan, Ibaan, Batangas</t>
  </si>
  <si>
    <t>20GCF0002 Procurement of Materials for use in Repair/Maintenance of National Roads and Bridges within Third and Forth District of Nueva Ecija. (2nd Quarter)</t>
  </si>
  <si>
    <t>CATERING SERVICES FOR LIGTAS COVID CENTER</t>
  </si>
  <si>
    <t>CONSTRUCTION OF BARANGAY ISOLATION UNIT</t>
  </si>
  <si>
    <t>REPAIR &amp; MAINTENANCE BUILDING (AFPREO-322,814.12)</t>
  </si>
  <si>
    <t>PR-2020-1434 One Job Order-Labor Charges- Demolition and Clearing of Existing Structure-PSWDO</t>
  </si>
  <si>
    <t>Purchase of Hardware and Air-Conditioning Supplies</t>
  </si>
  <si>
    <t>Delivery of labor and materials for the  Construction/Rehabilitation of Pathway at Barangay Sto. Domingo, Bay, Laguna for their implementation of 20% Economic Development Fund (C.Y. 2020)</t>
  </si>
  <si>
    <t>rfq of printer and notebook</t>
  </si>
  <si>
    <t>Straight Contract for the Construction and Rehabilitation of Bancal Slope Protection, Purok Rosal</t>
  </si>
  <si>
    <t>PURCHASE OF VARIOUS FORM FOR INVENTORY PURPOSES OF GSO</t>
  </si>
  <si>
    <t>Purchase of 1,803 units of ICT Equipment (Laptop) for the Teachers in DepEd Malolos Division</t>
  </si>
  <si>
    <t>Office Supplies for Tourism Office</t>
  </si>
  <si>
    <t>SUPPLY AND DELIVERY OF MATERIALS FOR CONSTRUCTION OF GAD/BCPC OFFICE</t>
  </si>
  <si>
    <t>PROCUREMENT OF CONST. MATERIALS AND SUPPLIES FOR REHAB. OF DRAINAGE CANAL AT SITIO ILIWAN</t>
  </si>
  <si>
    <t>Purchase of Powdered Milk for Adults &amp; Kids</t>
  </si>
  <si>
    <t>Supply and Delivery of Office Equipment for CGCRS Basic Training Course Class 1-2020</t>
  </si>
  <si>
    <t>Supply and Delivery of Pre-painted Metal Roofing Sheet Ga. 26</t>
  </si>
  <si>
    <t>Furnishing of Construction Materials for the Const. of Lined Canal &amp; Canal Structures of Hibale SRIP</t>
  </si>
  <si>
    <t>Purchase of Toilet Bowl</t>
  </si>
  <si>
    <t>REPAIR &amp; MAINTENANCE BUILDING (AFPREO-155,009.35)</t>
  </si>
  <si>
    <t>Procurement of Furniture and Fixtures for the use of Different Offices</t>
  </si>
  <si>
    <t>Supply, Delivery of Network Devices and Installation Service</t>
  </si>
  <si>
    <t>Procurement of Motorized Projector Lift</t>
  </si>
  <si>
    <t>rfq of toilitress</t>
  </si>
  <si>
    <t>Rehabilitation of Child Development Center, Bacalan, Ipil, ZSP.</t>
  </si>
  <si>
    <t>Procurement of Supply &amp; Delivery of Banana Plantlet (rebid)</t>
  </si>
  <si>
    <t>REPAIR/REHABILITATION OF HANDWASHING FACILITY</t>
  </si>
  <si>
    <t>Supply and Delivery of Office Supplies for CGCRS Basic Training Course Class 1-2020</t>
  </si>
  <si>
    <t>Supply &amp; Delivery of Real Property Ownership Card for Assessor's Office, Ormoc City</t>
  </si>
  <si>
    <t>Delivery of labor and materials for the Construction of open canal (Drainage System) of Brgy. Masaya, Bay, Laguna for their implementation of 20% Economic  Development Fund (C.Y. 2020)</t>
  </si>
  <si>
    <t>RFQ COLD BLOCKS</t>
  </si>
  <si>
    <t>PROVISION OF CATERING SERVICES ON THE CONDUCT OF QUALITY-ASSURANCE OF LEARNING MATERIALS/MODULES ALIGNED WITH THE MELCS AT THE DIVISION OFFICE LEVEL</t>
  </si>
  <si>
    <t>Delivery of labor and materials for the Construction of open canal (Drainage System) of Brgy. Puypuy, Bay, Laguna for their implementation of 20% Economic  Development Fund (C.Y. 2020)</t>
  </si>
  <si>
    <t>PR-2020-1636 Rice 50kg-PGO</t>
  </si>
  <si>
    <t>PR-2020-0454 Office Equipment &amp; Furniture-PDRRMO</t>
  </si>
  <si>
    <t>4PS: 7	MONTH	OFFICE RENTAL COMMERCIAL OFFICE SPACE</t>
  </si>
  <si>
    <t>UPVC AND C.I. FITTINGS</t>
  </si>
  <si>
    <t>rfq of handwashing facility</t>
  </si>
  <si>
    <t>Spare parts for service vehicle of Provincial Legal Services Office</t>
  </si>
  <si>
    <t>SUPPLY &amp; DELIVERY OF FUEL  FOR PROVINCIAL SHUTTLE BUS - PGSO</t>
  </si>
  <si>
    <t>20DL0228 - ORGANIZATIONAL OUTCOME 2 : PROTECT LIVES AND PROPERTIES AGAINST MAJOR FLOODS, FLOOD MANAGEMENT PROGRAM, CONSTRUCTION/ MAINTENANCE OF FLOOD MITIGATION STRUCTURES AND DRAINAGE SYSTEMS 6. CONS</t>
  </si>
  <si>
    <t>Supply &amp; Delivery of 300 pcs of LED Bulbs (11 watts) for GSO-RMD use, City General Services Office, Ormoc City</t>
  </si>
  <si>
    <t>Repair of CGDSTL Headquarters Building</t>
  </si>
  <si>
    <t>PR-2020-1579 Medical Supplies-PHO</t>
  </si>
  <si>
    <t>PR-2020-1440 Animal Feeds-PAO</t>
  </si>
  <si>
    <t>Meals &amp; Snacks for Different Environmental Activities of Environment &amp; Natural Resources Office, Ormoc City</t>
  </si>
  <si>
    <t>Purchase of Tires for SFB-265</t>
  </si>
  <si>
    <t>Procurement of Fuels and Lubricants for Use in the College Vehicle and Other Machinery of the College</t>
  </si>
  <si>
    <t>SUPPLY AND DELIVERY OF 7 SETS CLERICAL TABLES FOR PVD - LUHBC</t>
  </si>
  <si>
    <t>Catering Services for the conduct of Orientation/workshop Cost-sharing Mechanism, Drafting of the cost-sharing Mechanism Guidelines or User's Fee System for Pantabangan Carranglan Protected Area Manag</t>
  </si>
  <si>
    <t>Presentation of Learning Continuity Plans of Public Elementary &amp; Secondary Schools for SY 2020-2021</t>
  </si>
  <si>
    <t>PHO-SC-2020-003 PR2020-168 REQUEST FOR QUOTATION FOR THE PROCUREMENT OF IV FLUIDS AND STERILE WATER</t>
  </si>
  <si>
    <t>PHO-SC-2020-004 PR2020-175 REQUEST FOR QUOTATION FOR THE PROCUREMENT OF IV FLUIDS</t>
  </si>
  <si>
    <t>Meals &amp; Snacks for CDC Meeting, City Planning &amp; Development Office, Ormoc City</t>
  </si>
  <si>
    <t>Purchase of Generator Set to for the use of Municipal Slaughterhouse, Brgy. Pandan, Lambunao, Iloilo</t>
  </si>
  <si>
    <t>Spare parts for service vehicles of Laguna Provincial Jail</t>
  </si>
  <si>
    <t>Construction of Comfort Room</t>
  </si>
  <si>
    <t>Rehabilitation of Solar Lights</t>
  </si>
  <si>
    <t>Supply &amp; Delivery of Delivery Receipts for Ormoc City Mining Tax Collection, Environment &amp; Natural Resources Office, Ormoc City</t>
  </si>
  <si>
    <t>Spare parts for service vehicles of Office of the Provincial Social Welfare and Development  (OPSWD)</t>
  </si>
  <si>
    <t>PR-2020-0403 Rescue Supplies (Evacuation Tents)-PDRRMO</t>
  </si>
  <si>
    <t>PURCHASE OF CENTRIFUGAL PUMP 2HP</t>
  </si>
  <si>
    <t>PROVISION OF CATERING SERVICES ON THE CONDUCT OF FOURTH DIVISION MANAGEMENT COMMITTEE MEETING</t>
  </si>
  <si>
    <t>Repair of Line canal   2nd Posting</t>
  </si>
  <si>
    <t>Spare parts for service vehicles of Provincial Disaster Risk Reduction and Management Office</t>
  </si>
  <si>
    <t>20DL0229 - ORGANIZATIONAL OUTCOME 2 : PROTECT LIVES AND PROPERTIES AGAINST MAJOR FLOODS, FLOOD MANAGEMENT PROGRAM, CONSTRUCTION/ MAINTENANCE OF FLOOD MITIGATION STRUCTURES AND DRAINAGE SYSTEMS 13. REH</t>
  </si>
  <si>
    <t>Spare parts for service vehicles of Governor’s Office – Executive</t>
  </si>
  <si>
    <t>supply and delivery of aircon</t>
  </si>
  <si>
    <t>Food, Venue and Accommodation for the 3rd Level Training on 2020 CPH in Tagum City</t>
  </si>
  <si>
    <t>ONE JOB (INSTALLATION OF WATER SYSTEM LABOR &amp; MATERIALS)</t>
  </si>
  <si>
    <t>CHECK UP TRANSMISSION AND REPAIR OF TOYOTA FORTUNER</t>
  </si>
  <si>
    <t>Purchase of Office Equipment</t>
  </si>
  <si>
    <t>Request for Quotation for the implementation of School Improvement Plan</t>
  </si>
  <si>
    <t>Construction of Children's Playground and Installation of Amenities</t>
  </si>
  <si>
    <t>GLASS SUPPLY</t>
  </si>
  <si>
    <t>ANNUAL SUBSCRIPTION PROGRAM 2020 - 1ST Quarter -Malabon City Library</t>
  </si>
  <si>
    <t>PHO-SC-2020-005 PR2020-177 REQUEST FOR QUOTATION FOR THE PROCUREMENT OF DRUGS AND MEDICINES</t>
  </si>
  <si>
    <t>SUPPLY, DELIVERY &amp; INSTALLATION OF VARIOUS OFFICE EQUIPMENT</t>
  </si>
  <si>
    <t>SUPPLY AND DELIVERY OF PREPAID CARD PLAN 500 AND POCKET WIFI TO ATS FACILITIES OF CAAP AREA 6 FOR 12 MONTHS</t>
  </si>
  <si>
    <t>LGU-AL-31-2020 CONSTRUCTION/OPENING OF BARANGAY ROAD WITH RIPRAP BRGY. CADAC-AN ABUYOG, LEYTE</t>
  </si>
  <si>
    <t>PROCUREMENT OF DRONES &amp; OTHER EQUIPMENT</t>
  </si>
  <si>
    <t>Catering Services for the 4th Level Training on 2020 Census of Population and Housing (2020 CPH) - Mun. of Asuncion</t>
  </si>
  <si>
    <t>THREE (3) UNITS MANAGED PRINT SERVICES FOR THE USE OF TRAVEL TAX DEPARTMENT-PAD, TEZ FRONTLINE SERVICE AND OFFICE OF THE JOINT VENTURE SELECTION COMMITTEE (RENTAL FOR ONE (1) YEAR)</t>
  </si>
  <si>
    <t>Computer Supplies and Equipment for PWD Printing Services Project</t>
  </si>
  <si>
    <t>PROCUREMENT OF OFFICE SUPPLIES FOR THE OFFICE OF THE MUNICIPAL HUMAN RESOURCE MANAGEMENT OFFICER</t>
  </si>
  <si>
    <t>PR-2020-0706 Laptop Notebook-PGO/ENRD</t>
  </si>
  <si>
    <t>Purchase of Materials for Construction of Stairway in Hagdan Coast Way, Purok Malipayon, Brgy. Hagdan, Santa Fe, Cebu - Barangayu</t>
  </si>
  <si>
    <t>PHO-NC-2020-127 PR2020-174 REQUEST FOR QUOTATION FOR THE PROCUREMENT OF CERTIFICATE FOR GALLONERS (11"x14" FRAMES INCLUSIVE OF THE CERTIFICATE)</t>
  </si>
  <si>
    <t>FURNISHING AND DELIVERY OF MATERIALS FOR THE IMPROVEMENT OF A. BONIFACIO ST. NORTH POBLACION JUBAN SORSOGON</t>
  </si>
  <si>
    <t>Contract I.D. No. 20OE0207 - Installation of Road Safety Devices on MC Arthur Bridge &amp; Plaza Lacson, Manila City</t>
  </si>
  <si>
    <t>SMARTPHONE</t>
  </si>
  <si>
    <t>Construction of Two (2) Storey Six (6) Classroom School Building at Sapa Dulian Elementary School, Calabasa</t>
  </si>
  <si>
    <t>SUPPLY AND DELIVERY OF DRONE CAMERA AND VOICE RECORDER FOR THE USE OF TIEZA REGULATORY OFFICE</t>
  </si>
  <si>
    <t>GENSERV : 12 PCS.- 12 VOLTS BATTERY 11 PLATE ADVANCE -GOOD QUALITY MAINTENANCE FREE</t>
  </si>
  <si>
    <t>Construction (Completion) of Multi-purpose Building</t>
  </si>
  <si>
    <t>Installation Radio Tower and Antenna and Relocation of Radio Station,Sibagat,Agusan del Sur</t>
  </si>
  <si>
    <t>SUPPLY AND DELIVERY OF PRINTER AND BARCODE SCANNER</t>
  </si>
  <si>
    <t>SUPPLY AND DELIVERY OF VAULT FOR TRAVEL TAX DEPARTMENT</t>
  </si>
  <si>
    <t>Construction of 665 x 0.20m thk. Community Access Road</t>
  </si>
  <si>
    <t>Construction/Rehabilitation/Improvement of Multi-Purpose Pavement at Kasanyangan (Revised)</t>
  </si>
  <si>
    <t>rfq of laborer</t>
  </si>
  <si>
    <t>Supply and Delivery of CCTV and Other Goods</t>
  </si>
  <si>
    <t>SUPPLY OF VARIOUS CONSTRUCTION MATERIALS FOR THE IMPROVEMENT OF BAC OFFICE, MUNICIPAL HALL BUILDING</t>
  </si>
  <si>
    <t>Procurement of various office supplies w/ PR # 814</t>
  </si>
  <si>
    <t>REQUEST FOR QUOTATION Ordinary Plywood for Class Repair and Refurbish</t>
  </si>
  <si>
    <t>For the use of Accounting Section for the year 2020</t>
  </si>
  <si>
    <t>FABRICATION &amp; INSTALLATION OF BUILDING COMMEMORATION PLAQUE FOR 3 RESETTLEMENT SITES</t>
  </si>
  <si>
    <t>Catering Services for the 4th Level Training on 2020 Census of Population and Housing (2020 CPH) - Mun. of New Corella</t>
  </si>
  <si>
    <t>Rehabilitation/Improvement of Road at Guiwan</t>
  </si>
  <si>
    <t>PR-2020-1012 Laboratory Supplies (Reagents)-PHO</t>
  </si>
  <si>
    <t>Purchase &amp; Delivery of Furniture, Fixtures &amp; Appliances for the Provincial Veterinary Office, 3 Quarantine Checkpoints, Breeding Station &amp; Dairy Production Center</t>
  </si>
  <si>
    <t>Computer Desktop for Budget  Office</t>
  </si>
  <si>
    <t>PHO-NC-2020-128 PR2020-176 REQUEST FOR QUOTATION FOR THE PROCUREMENT OF ANTI-RABIES SERUM AND PURIFIED RABIES VACCINE</t>
  </si>
  <si>
    <t>Supply and Delivery of Assistive Device for PWD use</t>
  </si>
  <si>
    <t>DOCUMENTATION AND REGISTRATION OF MUNICIPAL CEMETERY INCLUDING SITE DEVELOPMENT PLAN</t>
  </si>
  <si>
    <t>Procurement of Fuels for SB Legislative Office of LGU-Naga</t>
  </si>
  <si>
    <t>PURCHASE OF SUPPLIES AND MATERIALS TO BE USED DURING RESPONSE OPERATIONS OF CDRRMO</t>
  </si>
  <si>
    <t>Spare parts for service vehicles of Provincial Engineering Office</t>
  </si>
  <si>
    <t>MPS Service and Repair of PDRRMC Loader  JCB 455 ZX</t>
  </si>
  <si>
    <t>PUROK 5A MULTIPURPOSE CENTER</t>
  </si>
  <si>
    <t>Rehabilitation/Improvement of Curuan Gymnasium at Curuan (Additional)</t>
  </si>
  <si>
    <t>ROAD CONCRETING, Sitio Sampaguita, Okoy, Santa Fe, Cebu - Municipal</t>
  </si>
  <si>
    <t>Purchase of materials for the prevention of COVID-19</t>
  </si>
  <si>
    <t>PR-2020-1583 Diesel, Gasoline &amp; Oil-PEO</t>
  </si>
  <si>
    <t>Improvement of Slope Protection at Sta. Maria</t>
  </si>
  <si>
    <t>Construction of Waiting Shed with Steel Bench / Improvement of Building (Cluster)</t>
  </si>
  <si>
    <t>SUPPLY OF 3 PCS. ROLLING DOOR MOTOR under PR No. RS-0120-004 and ITB No. 2002-012-01</t>
  </si>
  <si>
    <t>Purchase of Construction Materials for the Improvement of Drainage Canal with Steel Grating located Queenscourt Brgy. Malanday, San Mateo, Rizal</t>
  </si>
  <si>
    <t>Procurement of Solane for the use of Dr. Rafael S. Tumbokon Memorial Hospital-EEDD, Kalibo, Aklan</t>
  </si>
  <si>
    <t>General Engine Overhaul of Municipal Mini Dump Truck (SJA-715)</t>
  </si>
  <si>
    <t>PURCHASE OF FURNITURE AND EQUIPMENT FOR FIELD AND OFFICE STAFF</t>
  </si>
  <si>
    <t>Board and Lodging: For Workshop on Mapping of HCPN</t>
  </si>
  <si>
    <t>Catering Services for the 4th Level Training on 2020 Census of Population and Housing (2020 CPH) - City of Panabo.</t>
  </si>
  <si>
    <t>COMPLETION OF CIVIC CENTER</t>
  </si>
  <si>
    <t>Construction/Maintenance of Flood Mitigation Structures and  Drainage Systems – Construction of Slope Protection along  Porac River (Upstream), Valdez, Floridablanca, Pampanga</t>
  </si>
  <si>
    <t>PURCHASE OF HEAVY DUTY PAYLOADER EQUIPMENT TO BE USED DURING RESPONSE, CLEARING &amp; DISASTER OPERATIONS OF CDRRMO</t>
  </si>
  <si>
    <t>Materials and supplies for Covid Preparation.</t>
  </si>
  <si>
    <t>Site Development at Talisayan National High School, Talisayan</t>
  </si>
  <si>
    <t>CONSTRUCTION OF FLOOD CONTROL at Lucbuban, Salcedo, Ilocos Sur</t>
  </si>
  <si>
    <t>CCTV Camera at Pag-IBIG Fund JR Borja</t>
  </si>
  <si>
    <t>Procurement of Services of Certifying Body for the Port of Ozamiz</t>
  </si>
  <si>
    <t>Office Equipment Supplies and Consumables (Ink Epson)</t>
  </si>
  <si>
    <t>SERVICE VAN RENTAL</t>
  </si>
  <si>
    <t>Advocacy Shirt with 2020 NM Theme</t>
  </si>
  <si>
    <t>GATE</t>
  </si>
  <si>
    <t>SUPPLY AND DELIVERY OF PPE,HYGIENE KIT &amp; VITAMINS (Support of AFP) -PPDO</t>
  </si>
  <si>
    <t>PIKCOT-SUPP-002020-00144 (SUPPLY AND DELIVERY OF CONSTRUCTION MATERIALS )</t>
  </si>
  <si>
    <t>Purchase of 2 units Fabricated Counter-top rack w/ 10 units of chairs (hardwood) @Local Civil Registrar, Gingoog City. Under P.R. No. 20-20-06-213</t>
  </si>
  <si>
    <t>Purchase of Construction Materials used for the Improvement of Drainage Canal with Steel Grating located at Queensland Subd., Brgy. Malanday, San Mateo, Riizal</t>
  </si>
  <si>
    <t>Supply &amp; Delivery of Various Disaster &amp; Emergency Equipment &amp; Accessories for the use of NIA-RO9, NIA-Regional Office, Labangan, Zamboanga del Sur</t>
  </si>
  <si>
    <t>Provision of Major Crop-Based Farm Equipment Support</t>
  </si>
  <si>
    <t>Construction of Day Care Center at Tigtabon (Revised 2)</t>
  </si>
  <si>
    <t>PURCHASE OF 15 TELEVISION SETS AS PART OF THE E-LEARNING PROGRAM OF THE DISTRICT FOR THE 15 GRADE 1 CLASSES</t>
  </si>
  <si>
    <t>PROCUREMENT OF TEN (10) UNITS MOBILE PHONES FOR OFFICE USE</t>
  </si>
  <si>
    <t>Covering of Gymnasium Gable End</t>
  </si>
  <si>
    <t>Procurement of Communication Equipment</t>
  </si>
  <si>
    <t>CONSTRUCTION OF FLOATING DRYER (MAO)</t>
  </si>
  <si>
    <t>PROCUREMENT OF IT EQUIPMENT ENGINEERING PULARIS</t>
  </si>
  <si>
    <t>PROCUREMENT OF THREE (3) UNITS BIOMETRIC MACHINE</t>
  </si>
  <si>
    <t>Procurement of Fuels for Vice Mayor's Office of LGU-Naga</t>
  </si>
  <si>
    <t>20CSFN0001 Conduct of Topographic Survey and Hydrographic Survey along Waras and Barit River, Buhi, Iriga City, Nabua, Baao, Camarines Sur</t>
  </si>
  <si>
    <t>PIKCOT-SUPP-002020-00143 (SUPPLY AND DELIVERY OF CONSTRUCTION MATERIALS )</t>
  </si>
  <si>
    <t>Fabrication and Installation of Repeater, MDRRMO, Isabela, Neg. Occ.</t>
  </si>
  <si>
    <t>SUPPLY AND DELIVERY OF HIGH-GAIN LTE WIRELESS BROADBAND INTERNET ROUTER IN PREPARATION FOR ONLINE LEARNING MANAGEMENT SYSTEM</t>
  </si>
  <si>
    <t>Purchase of Office Equipment For SP Office use. Under P.R. No. 80-20-06-078</t>
  </si>
  <si>
    <t>Supply and Delivery of Digital Copier Machine and Digital Risograph Copier Machine</t>
  </si>
  <si>
    <t>Catering Services for the 4th Level Training on 2020 Census of Population and Housing (2020 CPH) - City of Tagum</t>
  </si>
  <si>
    <t>Procurement of Goods for Office Equipment</t>
  </si>
  <si>
    <t>MPS Service of PDRRMC Backhoe Long Arm XCMG</t>
  </si>
  <si>
    <t>RFQ</t>
  </si>
  <si>
    <t>Supply and Delivery of Bleaching Solution and Other Goods</t>
  </si>
  <si>
    <t>Sabayang Patak Polio Tarpaulin Under New Normal (Minimum Health Standard) Visibility IEC for Sabayang Patak Polio</t>
  </si>
  <si>
    <t>Supply and Delivery of Const. Materials for the Const. of Open Concrete Drainage Canal Lining Beside Barangay Hall and along Simimbaan Integrated School, Simimbaan, Roxas, Isabela</t>
  </si>
  <si>
    <t>ITB-2020-06-046 Embankment in PCDP Compound</t>
  </si>
  <si>
    <t>PIKCOT-SUPP-002020-00145 (SUPPLY AND DELIVERY OF OFFICE SUPPLIES)</t>
  </si>
  <si>
    <t>Catering Services for the 4th Level Training on 2020 Census of Population and Housing (2020 CPH) - Mun. of Talaingod.</t>
  </si>
  <si>
    <t>Procurement of Grass Cutter</t>
  </si>
  <si>
    <t>MPS Service of PDRRMC Tractor Head Model A7 420 HP</t>
  </si>
  <si>
    <t>Production and Development of PSHC Interactive Virtual Tour</t>
  </si>
  <si>
    <t>PURCHASE OF VARIOUS MEDICAL SUPPLIES AND MATERIALS TO BE USED DURING RESPONSE OPERATIONS OF CDRRMO</t>
  </si>
  <si>
    <t>Supply and Delivery of Signages, PR Reference#2020-06-0385</t>
  </si>
  <si>
    <t>PURCHASE OF VARIOUS EQUIPMENTS TO BE USED DURING RESPONSE OPERATIONS OF CDRRMO</t>
  </si>
  <si>
    <t>SUPPLY AND DELIVERY OF ELECTRICAL COMPONENTS FOR THE INSTALLATION OF ORBIT AND CEILING FANS</t>
  </si>
  <si>
    <t>240 pack Disposable Nurse Cap, 100's/pack</t>
  </si>
  <si>
    <t>Purchase of Drugs and Medicines for RHU-Sapang Dalaga, Misamis Occidental</t>
  </si>
  <si>
    <t>Purchase of Electrical System and Lighting Components For Installation of Solar Street Lights @ Brgy. Sangalan, Gingoog City Under P.R. No. 20-20-04-147</t>
  </si>
  <si>
    <t>Supply and Delivery of Various Furniture and Fixtures for the College of Human Ecology and Food Sciences</t>
  </si>
  <si>
    <t>RFQ for PR 2020-06-0062 (Aircon and Water Dispenser)</t>
  </si>
  <si>
    <t>COMPLETION OF MULAWIN HIGH SCHOOL BUILDING, (CONSTRUCTION OF COMFORT ROOM), BRGY. FRANCISCO HOMES- MULAWIN, CITY OF SAN JOSE DEL MONTE, BULACAN</t>
  </si>
  <si>
    <t>PROCUREMENT OF SUPPLY AND INSTALLATION OF ONE YEAR ORACLE SUPPORT LICENSE TO EXISTING TREASURY MANAGEMENT SYSTEM FOR THE BUREAU OF THE TREASURY</t>
  </si>
  <si>
    <t>Catering Services for the 4th Level Training on 2020 Census of Population and Housing (2020 CPH) - Mun. of San Isidro.</t>
  </si>
  <si>
    <t>CONSTRUCTION OF ESWM PROCESSING PLANT PHASE 2</t>
  </si>
  <si>
    <t>COMPLETION OF SAN RAFAEL HIGH SCHOOL BUILDING (CONSTRUCTION OF COMFORT ROOM), BRGY. SAN RAFAEL III, CITY OF SAN JOSE DEL MONTE, BULACAN</t>
  </si>
  <si>
    <t>Construction of Concrete Tire Path</t>
  </si>
  <si>
    <t>Supply and Delivery of Various Laboratory Equipment for Food Processing Nutrition and Dietetics Department</t>
  </si>
  <si>
    <t>REQUEST FOR QUOTATION- Office Computer, Supplies and Accessories</t>
  </si>
  <si>
    <t>PROCUREMENT OF MATERIALS AND EQUIPMENT FOR SCHOOL NETWORK MANAGEMENT</t>
  </si>
  <si>
    <t>Improvement of Health Center</t>
  </si>
  <si>
    <t>Spare parts for immediate minor repair of PNP Patrol Jeep (Hilux New)-</t>
  </si>
  <si>
    <t>Supply and Delivery of 12 rolls Polyethylene Pipes # 1</t>
  </si>
  <si>
    <t>Invitation to Bid for Contract No. 4AQ-SIP-20-018</t>
  </si>
  <si>
    <t>Catering Services for the 4th Level Training on 2020 Census of Population and Housing (2020 CPH)- Mun. of Kapalong.</t>
  </si>
  <si>
    <t>Purchase of Electrical System and Lighting Components For Installation of Solar Street Lights @ Brgy. Tagpako, Gingoog City Under P.R. No. 20-20-04-146</t>
  </si>
  <si>
    <t>PROCUREMENT OF ONE (1) LOT OFFICE SUPPLIES</t>
  </si>
  <si>
    <t>Supply, Delivery and Installation of Various Furniture and Fixtures for Geographic Information System &amp; Indigenous Crops Laboratory</t>
  </si>
  <si>
    <t>Installation and Rehabilitation of Street Lights</t>
  </si>
  <si>
    <t>Inang may Gabay at Pagsasanay sa Sakuna ay Maaasahan</t>
  </si>
  <si>
    <t>Supply of Labor and Materials for the Rehabilitation of Lateral Line 1 1/4"</t>
  </si>
  <si>
    <t>Electrical Supplies for Rewiring of Mun.Line Electrical Facilities of LGU</t>
  </si>
  <si>
    <t>PURCHASE OF HIV MOBILE CLINIC FOR THE USE OF HIV –AIDS PROGRAM OF CITY HEALTH OFFICE</t>
  </si>
  <si>
    <t>CONCRETING OF FMR SAN VICENTE - AN ANONAS ROAD, BRGY. SAN VICENTE, SAN MANUEL, PANGASINAN</t>
  </si>
  <si>
    <t>PROCUREMENT OF MEDICAL SUPPLIES AND DENTAL EQUIPMENT</t>
  </si>
  <si>
    <t>Installation of Streetlights (Additional) at IBT Divisoria (Revised) [Alternative Mode of Procurement]</t>
  </si>
  <si>
    <t>Petroleum consumption of PNP Patrol Jeep HILUX Plate No. A4-S370</t>
  </si>
  <si>
    <t>Rehabilitation of Farm to Market Road, Nalipay and Galo, Brgy. 5, Isabela, Neg. Occ.</t>
  </si>
  <si>
    <t>SUPPLY AND DELIVERY OF PPE,HYGIENE KIT &amp; VITAMINS (MUSLIM Religious Leaders and CSO) -PPDO</t>
  </si>
  <si>
    <t>Catering Services for the 4th Level Training on 2020 Census of Population and Housing (2020 CPH) - Mun. of Carmen.</t>
  </si>
  <si>
    <t>REQUEST FOR QUOTATION (RFQ)R.I.S. No.: 20-82-027 Prefocus Halogen Lamp 200Watts 6.6 Amp for Approach &amp; PAPI Lights</t>
  </si>
  <si>
    <t>Supply and Delivery of Office Equipment for RPHD</t>
  </si>
  <si>
    <t>Communication Load (Globe) for the use of Disease Surveillance officers deployed in the provinces, cities, hospitals and EOC</t>
  </si>
  <si>
    <t>Purchase of Electrical System and Lighting Components For Installation of Solar Street Lights @ Brgy. 18-A, Gingoog City	Under P.R. No. 20-20-04-150</t>
  </si>
  <si>
    <t>Procurement of Printing Supplies for the Reproduction of Modules</t>
  </si>
  <si>
    <t>Procurement of 2 Sets of Desktop with complete Accessories</t>
  </si>
  <si>
    <t>SUPPLY AND DELIVERY OF MATERIALS FOR THE REPAIR AND REHABILITATION OF RESIDENCE HALLS FURNITURES AND FIXTURES</t>
  </si>
  <si>
    <t>Supply and Delivery of Various I.T. and Office Equipment for Geographic Information System and Indigenous Crops Laboratory</t>
  </si>
  <si>
    <t>Food Stuff (meals and snacks)</t>
  </si>
  <si>
    <t>Supply and Delivery of Rescue Equipments</t>
  </si>
  <si>
    <t>Construction of Basketball Court @ Zone A, Brgy. San Miguel, Tarlac City</t>
  </si>
  <si>
    <t>Supply &amp; Delivery of Various Information Technology Peripherals for used for City Slaughterhouse Office, Ormoc City</t>
  </si>
  <si>
    <t>Spare parts for the repair of Grasscutter-MO</t>
  </si>
  <si>
    <t>RFQ: Computer Set and Printer (PR #20-05-520)</t>
  </si>
  <si>
    <t>PURCHASE OF ANTIBACTERIAL DRUGS AND MEDICINES FOR THE USE OF OSPITAL NG LUNGSOD NG SAN JOSE DEL MONTE</t>
  </si>
  <si>
    <t>Construction/Rehabilitation/Improvement of Fence at Zamboanga Central School, SPED Center, Zone I [Alternative Mode of Procurement]</t>
  </si>
  <si>
    <t>SUPPLY AND DELIVERY OF PPE,HYGIENE KIT &amp; VITAMINS (ADVOCACY ON SAFETY DRIVING)-PPDO</t>
  </si>
  <si>
    <t>Proposed Concrete Pavement of Access/ Farm to Market Road at Barangay Mananum Daan to Sitio Labas Pagsama, San Isidro, Medina, Misamis Oriewntal</t>
  </si>
  <si>
    <t>PURCHASE OF LABORATORY REAGENT FOR THE USE OF OSPITAL NG LUNGSOD NG SAN JOSE DEL MONTE</t>
  </si>
  <si>
    <t>Procurement of Thermal Scanners for use of DepEd Health Personnel in response to Pandemic COVID-19</t>
  </si>
  <si>
    <t>PURCHASE OF RAIN BOOTS AND RAIN COATS</t>
  </si>
  <si>
    <t>Purchase of Electrical System and Lighting Components For Installation of Solar Street Lights @ Brgy. 6, Gingoog City Under P.R. No. 20-20-04-151</t>
  </si>
  <si>
    <t>Meals &amp; Snacks Pack Meal Foods &amp; Drinks for 1st &amp; 2nd Semester of Social Pension Distribution 2020, Office of the Senior Citizen, Ormoc City</t>
  </si>
  <si>
    <t>Procurement of Mimeographing Paper for the Reproduction of Modules</t>
  </si>
  <si>
    <t>Procurement of insecticides (Aqua Resigen) for indoor residual spraying/Misting operation for schools, market and barangays</t>
  </si>
  <si>
    <t>PURCHASE OF I.V. FLUIDS FOR THE USE OF OSPITAL NG LUNGSOD NG SAN JOSE DEL MONTE</t>
  </si>
  <si>
    <t>REHABILITATION OF STAGE AT SAN ROQUE ELEMENTARY SCHOOL BARANGAY SAN ROQUE</t>
  </si>
  <si>
    <t>SUPPLY AND DELIVERY OF FUEL (DIESEL AND GASOLINE) FOR PNP PATROL VEHICLES</t>
  </si>
  <si>
    <t>SUPPLY AND DELIVERY OF TIRES FOR LGU VEHICLES</t>
  </si>
  <si>
    <t>SUPPLY AND DELIVERY OF CLEANING AND SANITIZING SOLUTIONS / AGENTS</t>
  </si>
  <si>
    <t>PURCHASE OF VARIOUS MEDICINES FOR THE USE OF CITY HEALTH CENTERS</t>
  </si>
  <si>
    <t>20-06-217 Procurement of Various Drugs and Medicines</t>
  </si>
  <si>
    <t>Supply and Delivery of Various Office Equipment for the College of Human Ecology and Food Science</t>
  </si>
  <si>
    <t>PROCUREMENT OF MAINTENANCE MATERIALS FOR THE SECOND QUARTER- 2020</t>
  </si>
  <si>
    <t>Procurement of Computer and Printer w/ PR # 848</t>
  </si>
  <si>
    <t>REQUEST FOR QUOTATION (RFQ)R.I.S. No.: 20-83-111 Chain Drive Pin and Bushing Lubricant</t>
  </si>
  <si>
    <t>Supply of labor, chemicals, equipment incl. the technical supervision for the disinfection services of LLDA bldg.</t>
  </si>
  <si>
    <t>Purchase of Electrical System and Lighting Components For Installation of Solar Street Lights along the highway (Osmeña-Quirino), Brgy. San Luis, Gingoog City	Under P.R. No. 20-20-04-144</t>
  </si>
  <si>
    <t>PROPOSED TEMPORARY REROUTING OF PIPELINE BRIDGE CROSSING DUE TO DPWH BRIDGE WIDENING AT LUNAO BRIDGE, BARANGAY  LUNAO, GINGOOG CITY</t>
  </si>
  <si>
    <t>RFQ: Janitorial Supplies (PR #20-06-563)</t>
  </si>
  <si>
    <t>RFQ for the Supply and Delivery of Toner Cartridges (20-020-B)</t>
  </si>
  <si>
    <t>Security Services for Bataan General Hospital, City of Balanga, Bataan for the period covered from August to December 2020</t>
  </si>
  <si>
    <t>Supply and Delivery of Various Laboratory Equipment for the College of Human Ecology and Food Sciences - Food Technology Department</t>
  </si>
  <si>
    <t>Supply and Delivery of CM for the improvement of Pangawan-Balangabang and Tidang Village-Amelong Road, Kayapa NV</t>
  </si>
  <si>
    <t>SUPPLY AND DELIVERY OF CORN SEEDS (HYBRID) FOR CORN PRODUCTION PROGRAM</t>
  </si>
  <si>
    <t>Launching of Kabataan Kontra Droga at Terorismo (KKDAT)</t>
  </si>
  <si>
    <t>Purchase of Audio and Visual Equipment, LGU - Isabela, Neg. Occ.</t>
  </si>
  <si>
    <t>Various Medical Equipment for Pag-IBIG Fund JR Borja</t>
  </si>
  <si>
    <t>Catering Services for the 4th Level Training on 2020 Census of Population and Housing (2020 CPH) - Mun. of B.E. Dujali.</t>
  </si>
  <si>
    <t>ROAD CONCRETING, Purok Aquarius, Talisay, Santa Fe, Cebu - Municipal</t>
  </si>
  <si>
    <t>RFQ 3-0620-053</t>
  </si>
  <si>
    <t>SUPPLY AND DELIVERY OF I.T. EQUIPMENT (HRMO)</t>
  </si>
  <si>
    <t>SUPPLY AND DELIVERY OF THREE (3) UNITS SINGLE MOTORCYCLE W/ ACCESSORIES FOR VARIOUS OFFICES</t>
  </si>
  <si>
    <t>Supply and Delivery of Furnitures and Fixtures at the Pre-Fabricated Office and Warehouse</t>
  </si>
  <si>
    <t>Purchase of Electrical System and Lighting Components For Installation of Solar Street Lights @ Brgy. Murallon, Gingoog City Under P.R. No. 20-20-04-148</t>
  </si>
  <si>
    <t>PURCHASE OF VARIOUS MEDICINES</t>
  </si>
  <si>
    <t>PURCHASE OF ONE UNIT AIR CONDITIONED</t>
  </si>
  <si>
    <t>Catering Services for the 4th Level Training on 2020 Census of Population and Housing (2020 CPH) - Babak District, Is. Garden City of Samal.</t>
  </si>
  <si>
    <t>Construction of Covered Walk at Don Gregorio Evangelista Memorial School, Sta. Catalina [Alternative Mode of Procurement]</t>
  </si>
  <si>
    <t>CTG Tracing Paper (OB-Gyn)</t>
  </si>
  <si>
    <t>Supply &amp; Delivery of Diesel &amp; Gasoline</t>
  </si>
  <si>
    <t>Supply and Delivery of Social Amelioration Program (SAP) Forms for City Government of Tarlac use</t>
  </si>
  <si>
    <t>Information Technology Equipment</t>
  </si>
  <si>
    <t>SUPPLY AND DELIVERY OF IT EQUIPMENTS (COMPUTER, LAPTOP, PRINTER) FOR VARIOUS OFFICES</t>
  </si>
  <si>
    <t>Supply/Delivery for Lab Equipt for INdustrial - Isulan</t>
  </si>
  <si>
    <t>Construction Materials for July 2020</t>
  </si>
  <si>
    <t>Purchase/Acquisition of Fuel for the Maintenance of Municipal Vehicles &amp; Heavy Equipment</t>
  </si>
  <si>
    <t>REQUEST FOR QUOTATION - Sound System for Extension Services Activities</t>
  </si>
  <si>
    <t>Contract ID: 20GOE0014 - Procurement of Construction Materials to be used for Various Routine Maintenance Activities within NMDEO Jurisdiction</t>
  </si>
  <si>
    <t>Purchase of Electrical System and Lighting Components For Installation of Solar Street Lights @ Brgy. 22-A, Gingoog City	Under P.R. No. 20-20-04-145</t>
  </si>
  <si>
    <t>Preventive Maintenance and Calibration of Shock Wave</t>
  </si>
  <si>
    <t>Construction of Covered Court in Tabao-Ambil</t>
  </si>
  <si>
    <t>PURCHASE OF EMERGENCY VEHICLE TO BE USED DURING RESPONSE OPERATIONS OF CDRRMO</t>
  </si>
  <si>
    <t>CONSTRUCTION OF GUARDHOUSE IN SIMACOLONG</t>
  </si>
  <si>
    <t>PURCHASE OF VARIOUS NUTRI-MILK/ OATS PRODUCTS FOR THE FEEDING SUPPLEMENTATION PROGRAM OF THE CITY HEALTH OFFICE</t>
  </si>
  <si>
    <t>Catering Services for the 4th Level Training on 2020 Census of Population and Housing (2020 CPH) - Samal District, Is. Garden City of Samal.</t>
  </si>
  <si>
    <t>PR No. 2020-06-130 Upgrade of DLL Internet Access Service - Lot 2</t>
  </si>
  <si>
    <t>SUPPLY AND DELIVERY OF RETRACTABLE STANCHIONS</t>
  </si>
  <si>
    <t>Procurement of One (1) Lot Information and Communications Technology (ICT) Equipment for National Police Clearance System- PNPTR-DIDM-DP-20-06</t>
  </si>
  <si>
    <t>Laboratory Supplies</t>
  </si>
  <si>
    <t>PURCHASE OF ONE UNIT FLAT TV</t>
  </si>
  <si>
    <t>For the use of Budget Section</t>
  </si>
  <si>
    <t>PR No. 2020-06-129 Upgrade of DLL Internet Access Service - Lot 1</t>
  </si>
  <si>
    <t>PROCUREMENT OF HEALTH AND SAFETY MATERIALS AND EQUIPMENT</t>
  </si>
  <si>
    <t>SUPPLY AND DELIVERY OF AIR CONDITIONING UNITS (FLOOR MOUNTED AND WINDOW-TYPE) FOR VARIOUS OFFICES</t>
  </si>
  <si>
    <t>Repair &amp; Maintenance - MAchinery &amp; Equipment (Agricultural &amp; Fishery)</t>
  </si>
  <si>
    <t>Concreting of Road at Sitio Hanapi Drive, Kasanyangan, (Revised) [Alternative Mode of Procurement]</t>
  </si>
  <si>
    <t>PRDP-RPCOXI-SIC-013-2020 Hiring of Personnel Finance Analyst I</t>
  </si>
  <si>
    <t>ROAD CONCRETING, Sitio Kalambuan, Poblacion, Santa Fe, Cebu - Municipal</t>
  </si>
  <si>
    <t>Catering Services for the 4th Level Training on 2020 Census of Population and Housing (2020 CPH )- Kaputian District, Is. Garden City of Samal.</t>
  </si>
  <si>
    <t>Improvement of Mambanuoy Road,Guincalaban at Brgy. Guincalaban, Tayasan, Neg. Or.</t>
  </si>
  <si>
    <t>Procurement of Printer Ink</t>
  </si>
  <si>
    <t>Procurement of various Supplies and Materials for TTMF</t>
  </si>
  <si>
    <t>Procurement of Trash Bin</t>
  </si>
  <si>
    <t>SUPPLY AND DELIVERY OF MATERIALS FOR THE CONSTRUCTION OF COAST GUARD AUXILIARY OFFICE AT GREEN ISLAND</t>
  </si>
  <si>
    <t>ROAD CONCRETING, Sitio Pasil, Langub, Santa Fe, Cebu - Municipal</t>
  </si>
  <si>
    <t>Security Services for Capitol Compound for the period covered from August to December 2020, Bataan</t>
  </si>
  <si>
    <t>Supply of Office Equipment for PASSO</t>
  </si>
  <si>
    <t>Supply &amp; Delivery of Various Agricultural Equipment's for City Agriculture Office use on Agri - Vegetable Related Activities &amp; Others, City Agriculture's Office, Ormoc City</t>
  </si>
  <si>
    <t>GENERAL ADMINISTRATION AND SUPPORT: OFFICE SUPPLIES</t>
  </si>
  <si>
    <t>Supply &amp; Delivery of Oil &amp; Lubricants for the use of Different Government Vehicles, City General Services Office, Ormoc City</t>
  </si>
  <si>
    <t>CONSTRUCTION OF MULTI-PURPOSE CENTER – PUROK 11-C, SAN MIGUEL, TAGUM CITY</t>
  </si>
  <si>
    <t>for Blended - learning and Video Conferencing for CSU Carig Administration, faculty and students.</t>
  </si>
  <si>
    <t>Purchase of Disinfection sprayer for school buildings and facilities</t>
  </si>
  <si>
    <t>PROCUREMENT OF  BUSINESS PLATES  AND TRICYCLE STICKERS</t>
  </si>
  <si>
    <t>Catering Services for the 4th Level Training on 2020 Census of Population and Housing (2020 CPH) - Mun. of Sto. Tomas.</t>
  </si>
  <si>
    <t>Various Office and School Supplies</t>
  </si>
  <si>
    <t>PURCHASE OF 3 IN 1 PRINTER FOR THE EBEIS ROOM OF CONCEPCION CENTRAL SCHOOL</t>
  </si>
  <si>
    <t>Procurement of Knapsack Sprayer for use of selected Schools in response to Pandemic COVID-19</t>
  </si>
  <si>
    <t>PURCHASE OF ANTI-RABIES VACCINE FOR THE USE OF OSPITAL NG LUNGSOD NG SAN JOSE DEL MONTE</t>
  </si>
  <si>
    <t>20OA0075: Construction of Four (4) Storey Eight (8) Classroom School Building, Santulan Elementary School, Malabon City</t>
  </si>
  <si>
    <t>Invitation to Bid for Contract No. 4AQ-LPA-20-019B</t>
  </si>
  <si>
    <t>Refurbished Photocopying Machine 12 Units for Siniloan Elementary School</t>
  </si>
  <si>
    <t>Supply and Delivery of T-shirts for Provincial Governor's Office</t>
  </si>
  <si>
    <t>Construction of Open Stage and Comfort Room at Sinunuc Elementary School, Tumalutab (Revised) [Alternative Mode of Procurement]</t>
  </si>
  <si>
    <t>Supply and Delivery of 4 units Laptop for ALS Dumaran Implementers use</t>
  </si>
  <si>
    <t>PREVENTIVE MAINTENANCE AND CALIBRATION FOR THE FOLLOWING MEDICAL EQUIPMENT FOR THE YEAR 2020</t>
  </si>
  <si>
    <t>60000 pcs Paper Soup Bowl with Flat Lid, Plain 320cc</t>
  </si>
  <si>
    <t>Construction of Fence at Taloptap Elementary School, Vitali [Alternative Mode of Procurement]</t>
  </si>
  <si>
    <t>SUPPLY AND DELIVERY OF ORBIT AND WALL FANS</t>
  </si>
  <si>
    <t>Supply,Delivery,Installation of 2 units Split Type Aircon</t>
  </si>
  <si>
    <t>Procurement of Corn Seeds</t>
  </si>
  <si>
    <t>20GME0047 –	Lease of One (1) Unit Service Vehicle for Eleven (11)  days for inspection/supervision of infrastructure projects within Sarangani Engineering District for the period of July 16-31, 2020,</t>
  </si>
  <si>
    <t>Office Supplies for PESO (2nd Quarter 2020).</t>
  </si>
  <si>
    <t>Fencing of Garbage Dump Site</t>
  </si>
  <si>
    <t>Specimen Transport Box (Small &amp; Medium) for specimen storage and transport</t>
  </si>
  <si>
    <t>20OA0074: Construction of Four (4) Storey, Eight (8) Classroom School Building, Malabon National High School, Malabon City</t>
  </si>
  <si>
    <t>Supply and Delivery of Office Equipment PR/RFQ# 2020-06-121</t>
  </si>
  <si>
    <t>ITB No. 20-057  ONE (1) LOT SUPPLY AND DELIVERY OF LABOR, TOOLS, EQUIPMENT, MATERIALS, CONSUMABLES, SUPERVISION AND TECHNICAL EXPERTISE FOR THE CLEAN ROOM VALIDATION AND REPLACEMENT OF HIGH EFFICIENCY</t>
  </si>
  <si>
    <t>Security Services for Provincial Government of Bataan for the period	covered from August to December 2020</t>
  </si>
  <si>
    <t>20GME0048 –	Lease of One (1) Unit Service Vehicle for Ten (10)  days for inspection/supervision of infrastructure  projects within Sarangani Engineering District for  the period of August 1-15, 2020,</t>
  </si>
  <si>
    <t>Construction of Slope Protection at Candido, Tetuan [Alternative Mode of Procurement</t>
  </si>
  <si>
    <t>DILP PROJECT PRODUCTION OF MEAT &amp; EGGS OF NATIVE CHICKEN AND DUCK (LIVELIHOOD ENHANCEMENT FOR BARANGAY BOBOK-BISAL)</t>
  </si>
  <si>
    <t>Repair of Plain Paper Copier</t>
  </si>
  <si>
    <t>Purchase of Office Supplies and Consumables to be used in LGU- Baco for 2nd Quarter of 2020</t>
  </si>
  <si>
    <t>Waterworks Materials</t>
  </si>
  <si>
    <t>Construction of Solar Street Lights</t>
  </si>
  <si>
    <t>Petroleum consumption of PNP Patrol Jeep HILUX Plate No. SJA 358</t>
  </si>
  <si>
    <t>SUPPLY &amp; DELIVERY OF MATERIALS FOR THE REPAIR OF CLASSROOM @ BUGCAON ELEM SCHOOL</t>
  </si>
  <si>
    <t>CATERING SERVICES</t>
  </si>
  <si>
    <t>Public Bidding re: Procurement of Laptops and Printers</t>
  </si>
  <si>
    <t>Purchase of Desktop Computer and Bottomless Printer</t>
  </si>
  <si>
    <t>REQUEST FOR QUOTATION FOR VARIOUS OFFICE SUPPLIES</t>
  </si>
  <si>
    <t>Printing of DA RFU5 ANNUAL REPORT 2019 FOR DISTRIBUTION TO TARGET CLIENT</t>
  </si>
  <si>
    <t>Supply and Delivery of Household Materials for the meals of COVID-19 Personnel on Duty/ For the use of RESDRU Staff for disinfection after specimen collection and packing</t>
  </si>
  <si>
    <t>Procurement of Vehicles Parts And Accessories</t>
  </si>
  <si>
    <t>PURCHASE OF PHOTOCOPYING MACHINE FOR THE SCHOOL OF INDUSTRIAL TECHNOLOGY</t>
  </si>
  <si>
    <t>Procurement of Various Laboratory Chemicals and Supplies</t>
  </si>
  <si>
    <t>CONSTRUCTION OF 2-STOREY SCHOOL BUILDING</t>
  </si>
  <si>
    <t>RE-PAINTING OF BANTAY BAYAN HEADQUARTERS AT BRGY. NIUGAN CITY OF CABUYAO,LAGUNA</t>
  </si>
  <si>
    <t>Contract ID: 20GOE0015 - Procurement of Tools and Materials to be used in Routine Maintenance Activities within NMDEO Jurisdiction</t>
  </si>
  <si>
    <t>Purchase of Office Supplies not available at PS DBM X</t>
  </si>
  <si>
    <t>Procurement of Hybrid Corn Seeds</t>
  </si>
  <si>
    <t>Proc. of Cleaning Materials-MSWMO</t>
  </si>
  <si>
    <t>Construction of Fence at Dita Elementary School, Dita [Alternative Mode of Procurement]</t>
  </si>
  <si>
    <t>Lot1-Purchase of 29,350 liters Diesel fuel for Service Vehicles &amp; equipment (2nd quarter of 2020) and Lot2-Purchase of 23,500 liters Diesel fuel for Heavy Equipment</t>
  </si>
  <si>
    <t>Contract ID: 20GOE0016 - Procurement of Traffic Paint Materials to be used in Routine Maintenance Activities within NMDEO Jurisdiction</t>
  </si>
  <si>
    <t>Manual Chemical Sprayer</t>
  </si>
  <si>
    <t>20GME0049 –	Lease of One (1) Unit Service Vehicle for Nine (09)  days for inspection/supervision of infrastructure projects within Sarangani Engineering District for the period of August 16-31, 2020,</t>
  </si>
  <si>
    <t>Construction of Cataraan Farm to Market Road at Brgy. Guincalaban, Tayasan, Neg. Or.</t>
  </si>
  <si>
    <t>Procurement of Janitorial Supplies for use of Romblon Provincial Hospital, Odiongan, Romblon</t>
  </si>
  <si>
    <t>Invitation to Bid for Contract No. 4AQ-LPQ-20-020SP</t>
  </si>
  <si>
    <t>SUPPLY &amp; DELIVERY OF TIRES</t>
  </si>
  <si>
    <t>20GG00020 - Procurement of Diesel Fuel for use of Various Service Vehicle and Equipment of DPWH Regional Office VI, Iloilo City</t>
  </si>
  <si>
    <t>Provision and Installation</t>
  </si>
  <si>
    <t>Supply and Delivery of Air Purifier</t>
  </si>
  <si>
    <t>ROAD CONCRETING, Sitio Barjes, Hilantagaan, Santa Fe, Cebu - Municipal</t>
  </si>
  <si>
    <t>PANANDALIANG SAYA, SAKIT ANG DALA</t>
  </si>
  <si>
    <t>IT SUPPLIES AND DELIVERY</t>
  </si>
  <si>
    <t>PROCUREMENT OF MATERIALS FOR WATER SYSTEM DEVELOPMENT (RE-BID)</t>
  </si>
  <si>
    <t>Installation of Handwashing Facilities</t>
  </si>
  <si>
    <t>20DQ0129 - Local Program - Construction / Repair / Rehabilitation / Improvement of Various Infrastructure including Local Projects – Buildings and Other Structures – Multipurpose / Facilities - Constr</t>
  </si>
  <si>
    <t>Procurement of Furniture for Various Offices</t>
  </si>
  <si>
    <t>20GME0050 –	Lease of One (1) Unit Service Vehicle for Eleven (11)  days for inspection/supervision of infrastructure projects within Sarangani Engineering District for the period of September 1-15, 20</t>
  </si>
  <si>
    <t>PROCUREMENT OF PRINTING SERVICES FOR DIFFERENT OFFICES PURPOSES.</t>
  </si>
  <si>
    <t>Office supplies and office consumables</t>
  </si>
  <si>
    <t>Procurement of Memento, Philippine Flag and Plaques</t>
  </si>
  <si>
    <t>RFQ - Procurement of Goods: Various Supplies for the use of CMO (Support to Brigada Eskwela 2020) (PR#100-20-06-0290)</t>
  </si>
  <si>
    <t>REHABILITATION AND IMPROVEMENT OF WATER SUPPLY DISTRIBUTION SYSTEM, BRGY. PALDIT, SISON, PANGASINAN</t>
  </si>
  <si>
    <t>Procurement of spare parts for use for the maintenance o 2 units 4-units 4-Wheeled Tractor of OPAG, Province of Romblon</t>
  </si>
  <si>
    <t>20GME0051 –	Lease of One (1) Unit Service Vehicle for Eleven (11)  days for inspection/supervision of infrastructure projects within Sarangani Engineering District for the period of September 16-30, 2</t>
  </si>
  <si>
    <t>CONSTRUCTION OF MULTI-PURPOSE CENTER – PUROK 3-B, SAN MIGUEL, TAGUM CITY</t>
  </si>
  <si>
    <t>PROC-200100 - UTP CABLES</t>
  </si>
  <si>
    <t>Seed Inspectors Kit (Back pack with wheels)</t>
  </si>
  <si>
    <t>SHIPMENT OF OFFICE EQUIPMENT TO BTR REGIONAL/PROVINCIAL OFFICES</t>
  </si>
  <si>
    <t>Procurement of Computer Netbook</t>
  </si>
  <si>
    <t>IB NO. 07-2020- PROCUREMENT OF MEDICAL EQUIPMENT FOR NICU (CARE FOR SMALL BABIES)</t>
  </si>
  <si>
    <t>PURCHASE OF ADVOCACY MATERIALS</t>
  </si>
  <si>
    <t>REPAIR AND MAINTENANCE OF CLASSROOM</t>
  </si>
  <si>
    <t>Procurement of One (1) Lot Information and Communications Technology (ICT) Equipment for the PNP DIDM (PNPTR-DIDM-DP-20-05)</t>
  </si>
  <si>
    <t>Supply and Delivery of IT Equipment to be used at the Department of Interior and Local Government in the City of San Fernando, Pampanga</t>
  </si>
  <si>
    <t>Supply of Office Supplies for BoGH for Covid</t>
  </si>
  <si>
    <t>20GME0053 –	Lease of One (1) Unit Service Vehicle for Eleven (11)  days for inspection/supervision of infrastructure projects within Sarangani Engineering District for the period of October 16-31, 202</t>
  </si>
  <si>
    <t>Procurement of Extrication Kit</t>
  </si>
  <si>
    <t>REQUEST FOR QUOTATION FOR USE OF SUMITOMO EXCAVATOR WITH PROP # F21-130 ASSIGNED AT ALARIS</t>
  </si>
  <si>
    <t>Lease of Real Property and Venue for the Lease of Storage Space for  Office Files and Unserviceable Equipment of BFP Region 6</t>
  </si>
  <si>
    <t>Hog Fattening</t>
  </si>
  <si>
    <t>ITB-2020-017 - Supply of Labor and Materials for the Rehabilitation of APDC Toilets and Septic Tank, Drainages System and Water Lines at APDS, Marulas Valenzuela City</t>
  </si>
  <si>
    <t>Senior Citizen's Office Enhancement Program</t>
  </si>
  <si>
    <t>Supply and Delivery of Medical Supplies</t>
  </si>
  <si>
    <t>Construction of Star Women's Building @ Sto. Nino, Talaingod, DDN-</t>
  </si>
  <si>
    <t>Vehicle Parts  and Accessories</t>
  </si>
  <si>
    <t>Lot1-Purchase of medical &amp; laboratory supplies for the 1st &amp;  2nd  quarter</t>
  </si>
  <si>
    <t>20GG00021 - Procurement of 24-Channel Seismograph for use in the Planning and Design Division, DPWH Regional Office VI, Iloilo City</t>
  </si>
  <si>
    <t>Procurement of Meal Tray</t>
  </si>
  <si>
    <t>Construction of Fence at Taguiti Elementary School, Taguiti [Alternative Mode of Procurement]</t>
  </si>
  <si>
    <t>20GME0052 –	Lease of One (1) Unit Service Vehicle for Eleven (11)  days for inspection/supervision of infrastructure projects within Sarangani Engineering District for the period of October 1-15, 2020</t>
  </si>
  <si>
    <t>CONSTRUCTION OF NURSES QUARTER AND DOCTOR'S QUARTER</t>
  </si>
  <si>
    <t>20GME0054 –	Lease of One (1) Unit Service Vehicle for Nine (09)  days for inspection/supervision of infrastructure projects within Sarangani Engineering District for the period of November 1-15, 2020,</t>
  </si>
  <si>
    <t>20OA0076: Construction of Four (4) Storey Eight (8) Classroom School Building San Roque Elementary School, Navotas City</t>
  </si>
  <si>
    <t>PROVISION OF MEDICAL SUPPLIES &amp; PARAPHERNALIAS</t>
  </si>
  <si>
    <t>REQUEST FOR QUOTATION - IT &amp; OFFICE SUPPLIES</t>
  </si>
  <si>
    <t>Supply &amp; Delivery of Office Supplies</t>
  </si>
  <si>
    <t>20GME0055 –	Lease of One (1) Unit Service Vehicle for Ten (10)  days for inspection/supervision of infrastructure projects within Sarangani Engineering District for the period of November 16-30, 2020,</t>
  </si>
  <si>
    <t>Supply and Delivery of Grafted Lanzones (Longkong Variety)</t>
  </si>
  <si>
    <t>Printing of The Way Forward. Vol 3</t>
  </si>
  <si>
    <t>Procurement of Copying Machine w/ PR # 851</t>
  </si>
  <si>
    <t>Invitation to Bid for the Procurement of Various Water Meters, Class B and Materials for New Service Connections</t>
  </si>
  <si>
    <t xml:space="preserve">20GME0056 –	Lease of One (1) Unit Service Vehicle for Ten (10)  days for inspection/supervision of infrastructure projects within Sarangani Engineering District for the period of December 1-15, 2020, </t>
  </si>
  <si>
    <t>Food Assistance And other Relief Goods</t>
  </si>
  <si>
    <t>Rehabilitation of Flood Mitigation Structures along Pasig – Potrero  River Upstream of SCTEX Bridge (Phase 1), Sta. 0+000 –  Sta. 0+275.95, Porac, Pampanga</t>
  </si>
  <si>
    <t>Rental of Service Vehicle for Bi-ethanol Project</t>
  </si>
  <si>
    <t>RFQ - Procurement of Goods: IT Equipment (Desktop Computer &amp; Printer) for the use of CDRRMO Operation Center (PR#100-20-06-0289)</t>
  </si>
  <si>
    <t>Purchase of Materials used in Establishment Facility for COVID 19 Positive and PUI and KABAKA in LGU Maragondon, Cavite</t>
  </si>
  <si>
    <t>RFQ - Office Equipment</t>
  </si>
  <si>
    <t>Supply and Delivery of Material for Meter Clustering of New Commercial Building at Barangay Rizal</t>
  </si>
  <si>
    <t>SUPPLY AND DELIVERY OF ADDITIONAL IRON AERATION FILTER FOR PANGASIHAN PUMPING STATION OF GINGOOG CITY WATER DISTRICT</t>
  </si>
  <si>
    <t>Supply and Delivery of Fabricated Handwash Sink, Alcohol Dispenser Stand and Foot Bath for COVID Mitigation</t>
  </si>
  <si>
    <t>Purchase of Window Type Aircon</t>
  </si>
  <si>
    <t>Supply and Delivery of Various Medical Equipment &amp; Instruments PR/RFQ# 2020-06-123</t>
  </si>
  <si>
    <t>SUPPLY AND DELIVERY OF DRUGS AND MEDICINES FOR  CALOOCAN CITY MEDICAL CENTER</t>
  </si>
  <si>
    <t>SUPPLY &amp; DELIVERY OF PHOTOCOPIER</t>
  </si>
  <si>
    <t>Request for Quotation for Drugs and Medicines (493,900.00)</t>
  </si>
  <si>
    <t>GO-FIT SK</t>
  </si>
  <si>
    <t>Supply and Delivery of Female Cattle</t>
  </si>
  <si>
    <t>Construction of Fence at Cadalagan Elementary School, La Paz (Revised) [Alternative Mode of Procurement]</t>
  </si>
  <si>
    <t>TPB-PR 2020.06.193 SERVICES OF A TOUR OPERATOR (BAGUIO CITY AND BENGUET)</t>
  </si>
  <si>
    <t>20GME0045 - Supply &amp; Delivery of Janitorial Supplies for use of DPWH- Sarangani District Engineering Office, Sarangani Province</t>
  </si>
  <si>
    <t>Improvement of Barangay Plaza at Barangay Gualsic, Alcala, Pangasinan</t>
  </si>
  <si>
    <t>Office Supplies for Regional Trial Court Branch 65</t>
  </si>
  <si>
    <t>20GME0057 –	Lease of One (1) Unit Service Vehicle for Nine (09)  days for inspection/supervision of infrastructure projects within Sarangani Engineering District for the period of December 16-31, 2020</t>
  </si>
  <si>
    <t>CONSTRUCTION OF KITCHEN IN THE MUNICIPAL EVACUATION CENTER (SOCIAL CENTER) WITH NECESSARY FIXTURES</t>
  </si>
  <si>
    <t>REPAIR AND MAINTENANCE OF WATER SUPPLY</t>
  </si>
  <si>
    <t>Lot1-Construction of Box Culvert at San Antonio connecting Brgy. Dalla-Revised No.01 at San Antonio, Baggao, Cagayan</t>
  </si>
  <si>
    <t>Construction and Rehabilitation of Drainage Canal @ Piggery Area, Sto. Nino, Talaingod, DDN</t>
  </si>
  <si>
    <t>Deliberation of PCG Selection Boards for CY 2020</t>
  </si>
  <si>
    <t>NOTICE OF AWARD, PR 289-20</t>
  </si>
  <si>
    <t>DRUGS AND MEDICINES EXPENSES (FIRST QUARTER)</t>
  </si>
  <si>
    <t>Hiring of Warehouse Manager/Pharmacist for Supply Chain Management from July 6 to December 31, 2020</t>
  </si>
  <si>
    <t>Public Bidding re: Procurement of Anti-Virus Software (AVS) Licenses Renewal for 1,500 Workstations  at the CSC Central and Regional Offices</t>
  </si>
  <si>
    <t>REHABILITATION OF MUNICIPAL ROAD (RIZAL STREET)</t>
  </si>
  <si>
    <t>Construction Materials (Road Rehabilitation-From Sitio Kaylawan, Sto. Nino and Central Baugan, Palma Gil, Talaingod, DDN)</t>
  </si>
  <si>
    <t>20GME0046 - Supply &amp; Delivery of Vehicle Parts for use of  Service Vehicle LAA 7982 assigned at 	Construction Section, Sarangani Province</t>
  </si>
  <si>
    <t>Contract ID: 20GOE0017 - Procurement of Materials to be used for the Repair / Replacement of Missing Catchbasins and Circular Manholes along National Roads within NMDEO Jurisdiction</t>
  </si>
  <si>
    <t>PROCUREMENT FOR FOOD SUPPLY</t>
  </si>
  <si>
    <t>Labor and Materials for the Construction of Public Toilets at Sindalan Sports Complex, Sindalan in the City of San Fernando, Pampanga</t>
  </si>
  <si>
    <t>Feeds</t>
  </si>
  <si>
    <t>Request for Price Quotation</t>
  </si>
  <si>
    <t>Supply &amp; Delivery of Construction Materials &amp; Supplies for the Improvement of Food Park</t>
  </si>
  <si>
    <t>Purchase of 2 units Computer Desktop Branded w/ complete package. For City Civil Registrar’s Office Use.</t>
  </si>
  <si>
    <t>PURCHASE OF PROPERTY, PLANT &amp; EQUIPMENT (PPE), SEMI-EXPENDABLE EQUIPMENT (ICT EQUIPMENT) AND FURNITURE AND FIXTURES TO BE USED BY VARIOUS OFFICES/PROGRAMS OF DSWD FO III FOR THE 1ST SEMESTER OF 2020</t>
  </si>
  <si>
    <t>Construction of Fence at Dulian Bunguiao Elementary School, Dulian Bunguiao [Alternative Mode of Procurement]</t>
  </si>
  <si>
    <t>Lunch of Persons with Disability (PWD) during the conduct of Advocacy on Early Detection and Prevention of Disability in line with National Disability Prevention &amp; Rehabilitation (NDPR) Week Celebrati</t>
  </si>
  <si>
    <t>Procurement of Medical Supplies, DepEd (for Various School Clinic), Baybay City, Leyte</t>
  </si>
  <si>
    <t>Supply and Delivery of various goods (PR No. 2020-462)</t>
  </si>
  <si>
    <t>RFQ for the Supply and Delivery of UV Germicidal Light</t>
  </si>
  <si>
    <t>Regravelling of Farm-to-Market Road at Barangay Atainan, Alcala, Pangasinan</t>
  </si>
  <si>
    <t>Supply and Delivery of Fertilizers (MURIATE OF POTASH)</t>
  </si>
  <si>
    <t>Supply and Delivery of Pharmaceutical Refrigerator for Animal Bite Treatment Center</t>
  </si>
  <si>
    <t>Contract ID: 20GOE0018 - Procurement of Supplies and Materials for NMDEO Roadside Maintenance Activities</t>
  </si>
  <si>
    <t>Purchase of (1) unit Split Type Aircon 2.5HP Including Installation (Capital Outlay 20% Realignment)</t>
  </si>
  <si>
    <t>Supply and Delivery Purchase of Supplies &amp; Materials for CONCRETING OF FARM TO MARKET ROAD (SITIO BALUGUINAN)</t>
  </si>
  <si>
    <t>Laboratory Supplies (Vellum, Plastic cellophane)</t>
  </si>
  <si>
    <t>Oral Health/Dental supplies</t>
  </si>
  <si>
    <t>Labor and Materials for the Completion/Improvement of Carmen Municipal College</t>
  </si>
  <si>
    <t>55 Pax Meals for Monitoring/Screening Team and Frontliners at Biliran Bridge for COVID-19 Crisis from July 8, 2020 to July 31, 2020</t>
  </si>
  <si>
    <t>Various Information Technology Materials and Office Supplies</t>
  </si>
  <si>
    <t>20GME0058 - Supply &amp; Delivery of Consumables for use of  Develop Ineo 226 at Maintenance Section, Sarangani District Engineering Office, Alabel, Sarangani Province</t>
  </si>
  <si>
    <t>Public Bidding re: Procurement of CSC Central Office Primary Internet Services Leased Line</t>
  </si>
  <si>
    <t>Purchase of materials for rehabilitation of Motor Vehicle of Barangay Tungal San Luis Batangas</t>
  </si>
  <si>
    <t>Purchase of EPI Supplies</t>
  </si>
  <si>
    <t>SUPPLY AND DELIVERY OF TECATHERAPY MACHINE FOR  CALOOCAN CITY MEDICAL CENTER</t>
  </si>
  <si>
    <t>Regravelling of Farm-to-Market Road at Barangay Anulid, Alcala, Pangasinan</t>
  </si>
  <si>
    <t>Supply / Delivery of Catering Services</t>
  </si>
  <si>
    <t>FOR REPAIR AND MAINTENANCE AND MACHINERY EQUIPMENT</t>
  </si>
  <si>
    <t>Supply and Delivery of Mixed Sand and Gravel for the Regravelling of Farm-to-Market Road at Barangay San Juan, Alcala, Pangasinan</t>
  </si>
  <si>
    <t>SUPPLY, DELIVERY, INSTALLATION AND COMMISSIONING OF FIREWALL APPLIANCE FOR THE USE OF TIEZA (TWO (2) YEARS LICENSE SUBSCRIPTION)</t>
  </si>
  <si>
    <t>Concreting of Barangay Road at Brgy. Sampaloc 2, Sariaya, Quezon</t>
  </si>
  <si>
    <t>PURCHASE OF 10 UNITS CELLPHONE &amp; 10 UNITS LAPTOP</t>
  </si>
  <si>
    <t>Purchase of office equipment</t>
  </si>
  <si>
    <t>PURCHASE OF UTENSILS AND VARIOUS ACCESSORIES UTILIZED FOR ISOLATION CENTER</t>
  </si>
  <si>
    <t>1 unit Scanner, A5 to A3, 11 x 17, photocopy, print with Pedestral/Table and other items for use in the City Assesor's Office/City Assesors Office</t>
  </si>
  <si>
    <t>Contract ID: 20GOE0019 - Uniform Requirement for Roadside Maintenance Workers of the District</t>
  </si>
  <si>
    <t>Procurement of Boar Engine</t>
  </si>
  <si>
    <t>Supply and Delivering of Materials for the Improvement of Waterworks System</t>
  </si>
  <si>
    <t>Supply and Delivery of Construction Materials for Concrete Pavement of Farm-to-Market Road and Multi-Purpose Building at Barangay Vacante, Alcala, Pangasinan</t>
  </si>
  <si>
    <t>Purchase of materials for rehabilitation of streetlights of Barangay Taliba San Luis Batangas</t>
  </si>
  <si>
    <t>20GME0059 - Supply &amp; Delivery of Consumables for use of  Construction Section, Sarangani District  Engineering Office Alabel, Sarangani Province</t>
  </si>
  <si>
    <t>Supply and delivery of Chicken for livelihood assistance (PR 1341)</t>
  </si>
  <si>
    <t>PROCUREMENT OF VARIOUS MATERIALS FOR THE INSTALLATION OF NEW WATER SUPPLY FROM WATER SOFTENER TO I.M., HMOD AND FOR CONDENSER &amp; COOLING TOWER OF PFDA-ZFPC</t>
  </si>
  <si>
    <t>Procurement of Early Warning Signages &amp; Flood Warning System</t>
  </si>
  <si>
    <t>Provision Of Runway Markers And Markings At Bulan Airport – 2nd SVP</t>
  </si>
  <si>
    <t>RFQ - GCMS Spare Parts</t>
  </si>
  <si>
    <t>RFQ QUALITATIVE FIT TEST APPARATUS</t>
  </si>
  <si>
    <t>PURCHASE OF TOOLS, PPE, HANDHELD RADIOS AND OTHER COMMUNICATION EQUIPMENT</t>
  </si>
  <si>
    <t>Purchase of Supplies for Dengue Control</t>
  </si>
  <si>
    <t>PURCHASE OF THE CONSTRUCTION MATERIALS FOR THE EXTENSION &amp; RENOVATION OF BARANGAY HALL OF BARANGAY BONGOL</t>
  </si>
  <si>
    <t>Invitation to Bid for Take-Over of Contract for the Construction of Advanced Science and Technology Building (ASTB) Phase 1 of PSHS Central Luzon Campus Lily Hill, Clark Freeport Zone, Pampanga</t>
  </si>
  <si>
    <t>FABRICATION - FOOD LANDING COUNTER</t>
  </si>
  <si>
    <t>Contract ID: 20GOE0020 - Procurement of Lubricants, Welding Alloys, Mechanical Repair Sealants and Cleaners to be used in Maintenance Fabrication Works, Equipment Repair and Mechanical Maintenance Act</t>
  </si>
  <si>
    <t>RE-PAINTING OF MULTI-PURPOSE BUILDING AT BRGY. NIUGAN CITY OF CABUYAO, LAGUNA</t>
  </si>
  <si>
    <t>Supply and Delivery of aggregates for the Construction/Expansion of VF Gustilo CIP</t>
  </si>
  <si>
    <t>Procurement of Office Equipment/Paraphernalia, DepEd )City Division Office), Baybay City,Leyte</t>
  </si>
  <si>
    <t>Contract ID: 20GOE0021 - Procurement of Painting Materials to be used in Routine Maintenance Activities within NMDEO Jurisdiction</t>
  </si>
  <si>
    <t>SUPPLY &amp; DELIVERY OF HDPE PIPE 3" &amp; PE TUBE 1"</t>
  </si>
  <si>
    <t>Procurement of Vehicle Rental (July 1-31, 2020) for Regions X, XI and XIII</t>
  </si>
  <si>
    <t>Maintenance of Municipal Building (Renovation and Repair of Various Offices)</t>
  </si>
  <si>
    <t>Labor and Materials for the Construction of Public Toilets at New Barrio, Calulut in the City of San Fernando, Pampanga</t>
  </si>
  <si>
    <t>Procurement of Medical Supplies</t>
  </si>
  <si>
    <t>Supply and Delivery of Brand New 4 x 4 wheel Drive Automatic and Manual Transmission</t>
  </si>
  <si>
    <t>Procurement of Laptop -MTO,Lopez Jaena</t>
  </si>
  <si>
    <t>RFQ - Drug Test Materials</t>
  </si>
  <si>
    <t>CONCRETING OF SABARICOS STREET</t>
  </si>
  <si>
    <t>Improvement/Renovation of Municipal Hall, Gerona, Tarlac</t>
  </si>
  <si>
    <t>Lease of Various 6-Color Continuous Forms Press, Various Sheet Fed Press Machines and Finishing Equipment with Technical and Operational Support System (PB-05-20)</t>
  </si>
  <si>
    <t>Use for Bike Fun Ride 2020 in Celebration of 72nd Founding Anniversary</t>
  </si>
  <si>
    <t>SUPPLIES AND MATERIALS FOR TESDA PSAT COMMUNITY GARDEN/FAMILY GARDEN/ORGANIC FARM</t>
  </si>
  <si>
    <t>2 units All in one Computer...</t>
  </si>
  <si>
    <t>Supply and Delivery of 2 Unit Aircondition of PDRRMO Disaster Operation Center</t>
  </si>
  <si>
    <t>Supply &amp; Delivery of Food Packs &amp; Hygiene Kits o fthe City Disaster Risk Reduction Office as Welfare Goods for Prepositioning in Ormoc City, CDRRMO, Ormoc City</t>
  </si>
  <si>
    <t>RFQ-NP-SVP-262-2020-Procurement of  Materials for  Renovation Improvement of the Registrar, Assessment and Cashier's Office for Oroquieta.</t>
  </si>
  <si>
    <t>FOR TELEPHONE EXPENSES</t>
  </si>
  <si>
    <t>20FJ0029 - Construction of One(1) Unit One(1) Storey One(1) Classroom School Building at Bagumbayan ES, Cataingan, Masbate</t>
  </si>
  <si>
    <t>Contract ID: 20GOE0022 - Procurement of Supply and Delivery of Materials for Road Safety – Fixation of Concrete Barriers at Del Pan Bridge and Fly-Over</t>
  </si>
  <si>
    <t>PURCHASE OF OFFICE EQUIPMENTS</t>
  </si>
  <si>
    <t>Purchase and delivery of Personal Protective Equipment - Face Shield to be distributed to frontliners</t>
  </si>
  <si>
    <t>Improvement of Farm-to-Market Road at Busay (Revised) [Alternative Mode of Procurement]</t>
  </si>
  <si>
    <t>Procurement of drugs and medicines to be use at MHO for the 2nd quarter of 2020</t>
  </si>
  <si>
    <t>REFURBISHING OF CONTAINERS FOR CUSTOMER CARE CENTER</t>
  </si>
  <si>
    <t>Bidding for the Supply &amp; Delivery of Spare Parts &amp; Lubricants for the Repair &amp; Maintenance of Municipal Vehicle &amp; Heavy Equipments</t>
  </si>
  <si>
    <t>PROCUREMENT  OF HARDWARE MATERIALS AND EQUIPMENT RENTAL FOR THE EXPANSION OF BAGSAKAN ROOFING (TEMPORARY STRUCTURE), PUBLIC MARKET, CALABANAGA, CAMARINES SUR</t>
  </si>
  <si>
    <t>RFQ for the Supply and Delivery WebCam</t>
  </si>
  <si>
    <t>Purchase of Uninterruptible Power Supply</t>
  </si>
  <si>
    <t>Labor and Materials (Backhoe)</t>
  </si>
  <si>
    <t>PROCUREMENT OF 500 TABLET ZINC 30 MG TABLET (B4-20-131)</t>
  </si>
  <si>
    <t>109.2020 GSRS</t>
  </si>
  <si>
    <t>PURCHASE OF ACCESSORIES FOR ISOLATION AREA</t>
  </si>
  <si>
    <t>Lease of Various Paper Printing Machine, In-Line Digital Numbering and Bar Coding and Finishing Equipment with Operational and Technical Support System (PB-06-20)</t>
  </si>
  <si>
    <t>Supply and Delivery of One (1) lot Various Computer Supplies and Peripherals per PR# 2020-06-0283</t>
  </si>
  <si>
    <t>Purchase &amp; Delivery of Various Medical Supplies for DCMMH (Re-bid)</t>
  </si>
  <si>
    <t>Procurement of medical, dental and laboratory supplies to be use at MHO for the 2nd quarter of 2020</t>
  </si>
  <si>
    <t>Opening of sitio Abibling Road, Tiongson, Ligao City</t>
  </si>
  <si>
    <t>Provision Of Runway Markers And Markings At Bacon Airport – 2nd SVP</t>
  </si>
  <si>
    <t>SUPPLY AND DELIVERY OF BASIC FOOD COMMODITIES FOR COVID-19 OPERATIONS, LGU SFADS</t>
  </si>
  <si>
    <t>Purchase of Office Supplies - MPDC</t>
  </si>
  <si>
    <t>20FJ0030 - Construction of One(1) Unit One(1) Storey One(1) Classroom School Building at San Isidro Elementary School, Cataingan, Masbate</t>
  </si>
  <si>
    <t>FOR REPAIR OF DEFECTIVE WATER PIPELINE LEAKAGE AT SUGBONGCOGON RESERVOIR	GSD J-20-308</t>
  </si>
  <si>
    <t>Opening of sitio Boundary to sitio Pasto Road, Balanac, Ligao City</t>
  </si>
  <si>
    <t>Procurement of I.T equipment to be use at Sangguniang Bayan Secretariat</t>
  </si>
  <si>
    <t>RFQ-NP-SVP-re246-2020- Procurement of   Development of Twin-Screw Extruder Machine with Filling Injector.</t>
  </si>
  <si>
    <t>Procurement of Security Services (Contract No. RO-PG2020-001)</t>
  </si>
  <si>
    <t>Procurement of Electrical Supplies for Installation of Electrical Facility</t>
  </si>
  <si>
    <t>Procurement of One (1) unit Utility Van for Provincial Government of Surigao del Sur (PGSO).</t>
  </si>
  <si>
    <t>PROCUREMENT OF FULLY-EQUIPPED RESCUE VEHICLE</t>
  </si>
  <si>
    <t>Procurement of the supply of labor and materials for the rehabilitation of air-conditioning ducting system at 4th floor of industry and investment building</t>
  </si>
  <si>
    <t>Purchase and delivery of brand new modern jeepney to be used by the City Government of Calapan</t>
  </si>
  <si>
    <t>REACH IN FREEZER</t>
  </si>
  <si>
    <t>FOR FIELD OFFICE CLEANING SUPPLIES</t>
  </si>
  <si>
    <t>190 pc FOUR LUMEN THERMODILUTION CATHETER F7</t>
  </si>
  <si>
    <t>DES -NAPKIN PAPER &amp; 2 OTHERS (2ND POSTING)</t>
  </si>
  <si>
    <t>Supply and Delivery of Brand New 4 x 4 wheel Drive Automatic Transmission</t>
  </si>
  <si>
    <t>RFQ-NP-SVP-re258-2020-Procurement of  Office  Equipment for Balubal Campus.</t>
  </si>
  <si>
    <t>20FJ0031 - Construction of One(1) Unit One(1) Storey One(1) Classroom School Building at Calabad ES, Dimasalang, Masbate</t>
  </si>
  <si>
    <t>Request for Quotation - COMPUTER SUPPLIES FOR THE SECOND QUARTER OF Y2020 - HBC &amp; OVP</t>
  </si>
  <si>
    <t>2020-06-0168  Supply and delivery of materials for the for use in the painting/repainting activities along Kapalong-Talaingod-Valencia and Jct. SH Aglayan-Zamboanguita road section</t>
  </si>
  <si>
    <t>Supply &amp; Installation of Protective Structures of the City Agriculture Office for Distribution to Various Barangays in Ormoc City, City Agriculture's Office, Ormoc City</t>
  </si>
  <si>
    <t>Photo Copier Machine for Local School Board use</t>
  </si>
  <si>
    <t>Supply and Delivery of Office Equipment for Provincial Governor's Sub-Office, Buenavista Sablayan Occidental Mindoro</t>
  </si>
  <si>
    <t>Supply of services in the Structural Design and Analysis...</t>
  </si>
  <si>
    <t>Messengerial Services for SSS Iba Branch for the year 2020</t>
  </si>
  <si>
    <t>Procurement of Agricultural Supplies, LGU-CAO, Baybay City, Leyte</t>
  </si>
  <si>
    <t>2800 PC NITRILE EXAMINATION GLOVES, MEDIUM, HYPOALLERGENIC LATEX FREE AND POWDER FREE</t>
  </si>
  <si>
    <t>Food Supplies (Office Supplies (Custody, Safekeeping &amp; Development of Inmates CY 2020)</t>
  </si>
  <si>
    <t>Expenses to be used for the virtual workshop and sports clinic 2020</t>
  </si>
  <si>
    <t>Improvement of Multi-Purpose Hall located at Barangay Jona, Tubungan, Iloilo</t>
  </si>
  <si>
    <t>Procurement of ICT Equipment and Printers for HRAO (PNPTR-HRAO-DP-20-07)</t>
  </si>
  <si>
    <t>SUPPLY OF LABOR AND MATERIALS FOR THE CONSTRUCTION OF ATM BOOTH (LGU AJUY)</t>
  </si>
  <si>
    <t>Supply and Delivery of P. E.  Equipment and Supplies - Ref.  PR 3314 CSS</t>
  </si>
  <si>
    <t>Procurement of Chairs</t>
  </si>
  <si>
    <t>Rebidding of Construction of Multi-Purpose Building with Storage Room and Two Public Comfort Room at Brgy. Tumbaga 1, Sariaya, Quezon</t>
  </si>
  <si>
    <t>Procurement of spare parts and accessories for Nissan Frontier</t>
  </si>
  <si>
    <t>Purchase of various office supplies of different offices of the Municipality of San Enrique, Iloilo</t>
  </si>
  <si>
    <t>Supply and delivery of Goods for R&amp;M Building of 83IB,9ID,PA (204,500.00)</t>
  </si>
  <si>
    <t>Request for Quotation (9mm Pistol)</t>
  </si>
  <si>
    <t>Expenses for MPA Assessment of FMO</t>
  </si>
  <si>
    <t>EBMS -ADO WITH PUMP (2ND POSTING)</t>
  </si>
  <si>
    <t>Polyethylene Plastic Drum, Used</t>
  </si>
  <si>
    <t>Purchase &amp; Delivery of Various Medical Supplies  for PVET</t>
  </si>
  <si>
    <t>Provision of Potable Water System</t>
  </si>
  <si>
    <t>SUPPLY AND DELIVERY OF HIGH SPEED BLACK INKJET PRINTING MACHINES  FOR DIVISION OF CITY SCHOOLS</t>
  </si>
  <si>
    <t>Bidding for delivery of drugs and medicines to be distributed to different barangays</t>
  </si>
  <si>
    <t>Supply / Delivery of Hospital Supplies</t>
  </si>
  <si>
    <t>8 BOX HEMOSIL APTT-SP (LIQUID)</t>
  </si>
  <si>
    <t>SUPPLYING VARIOUS ICT TOOLS AND EQUIPMENT</t>
  </si>
  <si>
    <t>Supply, Delivery and Installation of Railings @ Gate 2</t>
  </si>
  <si>
    <t>Supply and Delivery of Grader Tire for use in this Municipality</t>
  </si>
  <si>
    <t>Training and Assessment on Motorcyle/Small Engine NCII (Inclusive of Materials)</t>
  </si>
  <si>
    <t>Supply &amp; Delivery of Printing Supplies for Budget Office</t>
  </si>
  <si>
    <t>Security Services - 1 Licensed Security Guard</t>
  </si>
  <si>
    <t>School Supplies</t>
  </si>
  <si>
    <t>PURCHASE AND DELIVERY OF HARDWARE MATERIALS FOR THE PROVISION OF SANITARY TOILETS WITH SEPTIC TANK, Can-avid Eastern Samar</t>
  </si>
  <si>
    <t>Supply &amp; Delivery of Three (3) Units Brand New Service Vehicles of the City Engineer's Office, Ormoc City</t>
  </si>
  <si>
    <t>2020-06-0165  Supply and delivery of Toner for use in the operation of Develop Ineo +226 printer with SN:A90H141000168 of Records management unit, Administrative section, DPWH-Malaybalay City</t>
  </si>
  <si>
    <t>Improvement of Multi-Purpose Building, (Civic Center), Brgy. Maslug, Baybay City, Leyte</t>
  </si>
  <si>
    <t>Materials for the repair/rehab of streetlights at Biga</t>
  </si>
  <si>
    <t>60 PC RESUSCITATOR BAG, DISPOSABLE, ADULT</t>
  </si>
  <si>
    <t>20GJC0216 – Equipment Rental: 12.5 days Cargo truck/Delivery Truck etc.</t>
  </si>
  <si>
    <t>JOB REQUEST OF GENERAL PEST CONTROL AND TREATMENT FOR MAINTENANCE OF EMB V SORROUNDINGS</t>
  </si>
  <si>
    <t>PROCUREMENT OF  VARIOUS HARDWARE MATERIALS FOR THE REPAIR OF ICE STORAGE ROOM OF PFDA-ZFPC</t>
  </si>
  <si>
    <t>RFQ: Supplies for Fabrication of Side Car (PR #20-06-569)</t>
  </si>
  <si>
    <t>Labor and Materials for the Continuation of Development/Rehabilitation of Public Market</t>
  </si>
  <si>
    <t>Procurement of Spare Parts for Construction and Heavy Equipment (2nd Qtr) - MOTORPOOL</t>
  </si>
  <si>
    <t>Supply &amp; Delivery of Two (2) Units Brand New Service Vehicles of the City Mayor's Office, Ormoc City</t>
  </si>
  <si>
    <t>Request for Quotation (Medicine for Acute Illnesses)</t>
  </si>
  <si>
    <t>Supply, Delivery, Installation, Testing, And Commissioning  Of Airconditioning Units At CAAP Legazpi Airport</t>
  </si>
  <si>
    <t>PURCHASE OF COMPUTER WITH PRINTER AND LAPTOP, CMO-ADMIN, CALBAYOG CITY</t>
  </si>
  <si>
    <t>SUPPLY &amp; DELIVERY OF HDPE PIPE 6"</t>
  </si>
  <si>
    <t>Purchase and delivery of supplies and materials of Calapan Public Market</t>
  </si>
  <si>
    <t>Materials for nursery construction at Calapan City Sanitary Landfill</t>
  </si>
  <si>
    <t>Request for Quotation (External Hard Drive, etc.)</t>
  </si>
  <si>
    <t>Supply and Delivery of Personalized Inventory Sticker for PPE Tagging</t>
  </si>
  <si>
    <t>Construction of Line Canal @ Barangay. Poblacion 6, Sariaya, Quezon</t>
  </si>
  <si>
    <t>J.O. Labor and materials for the Fabrication and installation of modular partition of accounting and budget section at FITC Bldg. (second floor) BFAR-RO2</t>
  </si>
  <si>
    <t>Rebidding of Procurement of Two (2) Units of Water Tank Truck</t>
  </si>
  <si>
    <t>20GJC0217 – Equipment Rental: 11.25 days Cargo Truck/Delivery Truck etc.</t>
  </si>
  <si>
    <t>Purchase &amp; Delivery of One (1) Unit Service Utility Vehicle for PGO-PSG</t>
  </si>
  <si>
    <t>EBMS -AIRCON OUTLET &amp; 1 OTHER (3RD POSTING)</t>
  </si>
  <si>
    <t>medical dental lab supplu amounting PHP500,000.00</t>
  </si>
  <si>
    <t>06-020-20 Soil Sampling Apparatus and Stainless Steel Mesh Sieve Set</t>
  </si>
  <si>
    <t>ITB-GS-20200608-01 - Two (2) Years Subscription of Dark Fiber Facility</t>
  </si>
  <si>
    <t>Request for Quotation (Laboratory and PT Supplies)</t>
  </si>
  <si>
    <t>Supply and deliver of office cartridges (PR 453)</t>
  </si>
  <si>
    <t>SUPPLY &amp; DELIVERY OF MATERIALS FOR THE REPAIR OF CLASSROOM @ BANTUANON ELEM SCHOOL</t>
  </si>
  <si>
    <t>2020-06-0161  Supply and delivery of various spareparts for use in the replacement of worn-out parts of Toyota Hilux ACU-4072 W/ dpwh No. HI-7771. Assigned in the Construction section, DPWH-Malaybalay</t>
  </si>
  <si>
    <t>PROCUREMENT OF PREPAID LOAD CARDS</t>
  </si>
  <si>
    <t>materials for Construction of Solar Drier Purok San Roque Kinuban, Maco Davao de Oro</t>
  </si>
  <si>
    <t>PUNONG ES RFQ (APRIL 2020)</t>
  </si>
  <si>
    <t>600 PC VENTILATOR CIRCUIT (ADULT) W/O EXHALATION VALVE</t>
  </si>
  <si>
    <t>Concreting of Municipal Streets</t>
  </si>
  <si>
    <t>20AB0122 : CONSTRUCTION OF TWO (2) STOREY - FOUR (4) CLASSROOM SCHOOL BUILDING, (305491) CITY OF BATAC NHS RAYURAY, BATAC CITY</t>
  </si>
  <si>
    <t>Supply and delivery of various veterinary supplies for Livestock Program (PR 460)</t>
  </si>
  <si>
    <t>Supply and delivery of Materials for Concreting of Road (Improvement) in Pansacola St., Barangay Bagong Bayan, Mauban, Quezon</t>
  </si>
  <si>
    <t>REPAIR OF PILAR ELEM SCHOOL BUILDING, BRGY, PILAR, CALBAYOG CITY</t>
  </si>
  <si>
    <t>160 PC ADULT SOMASENSOR INVOS ELECTRODES</t>
  </si>
  <si>
    <t>20GJC0218 – Equipment Rental: 5.93 days One Bagger Mixer etc.</t>
  </si>
  <si>
    <t>Supply and Delivery of Construction Materials Tools and Equipment for Maintenance of Paluan - Pamutusin P/R</t>
  </si>
  <si>
    <t>Purchase of Surgical Mask &amp; N95 Mask</t>
  </si>
  <si>
    <t>Electronic System Development and Maintenance Program under PR#2020-06-2565</t>
  </si>
  <si>
    <t>Purchase and delivery of Evacuation Modular Tent for Isolation Areas</t>
  </si>
  <si>
    <t>Request for Quotation (Nursing Supplies)</t>
  </si>
  <si>
    <t>2020-06-0159  Supply and Delivery of materials for the use in the improvement of earth canal along JCT SH-Aglayan-Alanib-Ticalaan Road (Sta. K1557+250, K1529+099, and K1559+180)</t>
  </si>
  <si>
    <t>PUNONG ES RFQ (MAY 2020)</t>
  </si>
  <si>
    <t>RFQ - Proposed Eight (8) Classrooms Temporary Learning Shelter (Labi-Labi NHS)</t>
  </si>
  <si>
    <t>ORIENTATION AND TRAINING ON PEACEKEEPING AND THEIR ROLES - MEALS&amp;SNAKS</t>
  </si>
  <si>
    <t>Purchase of Office Equipments for LGU 1st &amp; 2nd Quarter</t>
  </si>
  <si>
    <t>Ref. No. 2020-06-392 : Procurement of Two (2) External Real Estate Appraisal-Service Providers (EREASPs) for the Land Appraisal of the Commercial Area within Madayaw Residences located in Brgy. Bangka</t>
  </si>
  <si>
    <t>Request for Quotation for Office Supplies (219,100.00)</t>
  </si>
  <si>
    <t>Supply and Delivery of Various Tarpaulin for Various Projects</t>
  </si>
  <si>
    <t>Procurement of CY 2020 Fuel, Oil and Lubricants Requirements for TFBL Project</t>
  </si>
  <si>
    <t>500 GAL ANTIBACTERIAL LIQUID HAND SOAP</t>
  </si>
  <si>
    <t>Improvement/Construction of Old Public Market (Public Market Roof Extension), Gerona, Tarlac</t>
  </si>
  <si>
    <t>Procurement of Garbage Compactor, LGU, Baybay City, Leyte</t>
  </si>
  <si>
    <t>Construction of Safe Closure and Rehabilitation of Open Dumpsite (MO/ESWMP)</t>
  </si>
  <si>
    <t>Procurement of Server for the Epidemiology Bureau (EB) Emergency Operation Center (EOC) System under IB No. 2020-227</t>
  </si>
  <si>
    <t>SUPPLY &amp; DELIVERY OF VARIOUS SPAREPARTS</t>
  </si>
  <si>
    <t>POTABLE WATER SUPPLY</t>
  </si>
  <si>
    <t>EBMS -STAPLE WIRE &amp; 2 OTHERS (3RD POSTING)</t>
  </si>
  <si>
    <t>Printer/IT equipment</t>
  </si>
  <si>
    <t>Procurement of Biometric</t>
  </si>
  <si>
    <t>Installation of 4-units handwashing facilities</t>
  </si>
  <si>
    <t>PR NO. 1598 DOOR LOCK SYTEM</t>
  </si>
  <si>
    <t>REPAIR AND MAINTENANCE OF SERVICE VEHICLE</t>
  </si>
  <si>
    <t>RFQ 2019-11-0854-DORMITORY SUPPLIES</t>
  </si>
  <si>
    <t>EBMS -GREASE &amp; 9 OTHERS (5TH POSTING)</t>
  </si>
  <si>
    <t>Supply and delivery of Vehicle Parts &amp; Accessories for the Repair &amp; Maintenance of MU-X with Plate No. CP-9165</t>
  </si>
  <si>
    <t>PURCHASE OF DIESEL/FUEL</t>
  </si>
  <si>
    <t>Supply and delivery of Vehicle Parts &amp; Accessories for the Repair &amp; Maintenance of Garbage Truck with Plate No. SKU-652</t>
  </si>
  <si>
    <t>SUPPLY &amp; DELIVERY OF HDPE PIPE 6" &amp; 4"</t>
  </si>
  <si>
    <t>Supply and Delivery of Chemical Storage Cabinet, PR# 2020-06-0389</t>
  </si>
  <si>
    <t>RFQ - Procurement of Goods: Const'n Materials &amp; Supplies for the use of CEEO-Admin (Repair &amp; Maintenance of City Gov't Bldg.) (PR#100-20-06-0298)</t>
  </si>
  <si>
    <t>Procurement of Marine/Fisheries Equipment, LGU-CMMRO, Baybay City, Leyte</t>
  </si>
  <si>
    <t>PROCUREMENT OF VARIOUS MATERIALS FOR THE INSTALLATION OF NEW SETS OF HERRING BONE COILS OF ICE MAKING NO.2 OF PFDA-ZFPC</t>
  </si>
  <si>
    <t>Procurement of One (1) Lot Service Provider for Development and Maintenance of Online Systems for DOLE XI Programs</t>
  </si>
  <si>
    <t>PUCHASE OF MULTI PURPOSE VEHICLE FOR THE USE OF BARANGAY PAKIAD OTON,ILOILO</t>
  </si>
  <si>
    <t>SUPPLY AND DELIVERY OF COMPUTER FOR THE CAFA</t>
  </si>
  <si>
    <t>PROCUREMENT OF VARIOUS MATERIALS FOR THE REPAIR OF MOTOR DRIVEN ICE CRUSHER OF PFDA-ZFPC</t>
  </si>
  <si>
    <t>RFQ: Office Supplies (PR #20-06-591)</t>
  </si>
  <si>
    <t>Purchase of Various Medical Supplies</t>
  </si>
  <si>
    <t>06-016-20 (Supply and Delivery of Various REGISTERED RICE SEEDS)</t>
  </si>
  <si>
    <t>Supply and delivery of Vehicle Parts, Accessories &amp; Labor Cost for the Repair &amp; Maintenance of MU-X with Plate No. CP-9165</t>
  </si>
  <si>
    <t>Supply and Delivery of One Lot Heavy Equipment</t>
  </si>
  <si>
    <t>Fabrication of Hospital Bench, Wood</t>
  </si>
  <si>
    <t>20JI0067-Construction of One (1) Unit Two (2) Storey Six (6) Classroom School Building at Balangao ES, Diplahan, Zamboanga Sibugay</t>
  </si>
  <si>
    <t>Procurement of Various Supplies for COVID 19 Response</t>
  </si>
  <si>
    <t>20AB0124 : CONCRETING OF SITIO KAPPIA TO SITIO MURMURAY, BRGY. NAGBACALAN FMR, BRGY. NAGBACALAN, PAOAY, ILOCOS NORTE</t>
  </si>
  <si>
    <t>ICTMU : ICT DEVICES AND EQUIPMENT TO BE USE FOR VIDEO CONFERENCE</t>
  </si>
  <si>
    <t>Supply And Delivery Of Range Finder For SMO Of Legazpi Airport</t>
  </si>
  <si>
    <t>Concreting of Road at Juan Ambat Road, Barangay Parang, Bagac, Bataan</t>
  </si>
  <si>
    <t>CONCRETING OF FARM TO MARKET ROAD, BRGY. LAOAG, SAN AGUSTIN, ISABELA</t>
  </si>
  <si>
    <t>(DDH) INVITATION TO BID FOR THE SUPPLY AND DELIVERY OF ONE (1) UNIT DEFIBRILLATOR WITH PADDLE</t>
  </si>
  <si>
    <t>20AB0126 : CONCRETING OF BUROK BARANIW, BRGY. PARATONG FMR, BRGY. PARATONG, PAOAY, ILOCOS NORTE</t>
  </si>
  <si>
    <t>WWS_Submersible Pump Motor with Accessories</t>
  </si>
  <si>
    <t>Purchase of Aircondition</t>
  </si>
  <si>
    <t>20HM0090 (Re-IB)-MOOE – Maintenance, Repair and Rehabilitation of Infrastructure Facilities and Other Related Activities – Repair and Maintenance of Road Safety Facilities</t>
  </si>
  <si>
    <t>Supply and delivery of Food for RHU Personnel during Covid-19 duty</t>
  </si>
  <si>
    <t>TOPOGRAPHIC AND RELOCATION SURVEY OF VARIOUS LGU OWNED LOTS</t>
  </si>
  <si>
    <t>20JI0111-Construction of One (1) Unit One (1) Storey Three (3) Classroom School Building at Kauswagan ES, Diplahan, Zamboanga Sibugay</t>
  </si>
  <si>
    <t>ROAD CONCRETING, Purok Panagdait, Balidbid, Santa Fe, Cebu - Municipal</t>
  </si>
  <si>
    <t>20FJ0032 - Construction of One(1) Unit One(1) Storey One(1) Classroom School Building at  N.B. Cabrera ES, Dimasalang, Masbate</t>
  </si>
  <si>
    <t>STREET LIGHTING, NHA, Marikaban, Santa Fe, Cebu - Municipal</t>
  </si>
  <si>
    <t>Construction of Bleacher</t>
  </si>
  <si>
    <t>Construction of Additional One (1) Span of Multi-Purpose Open Space</t>
  </si>
  <si>
    <t>Supply and delivery of Vehicle Parts, Accessories &amp; Labor Cost for the Repair &amp; Maintenance (Change Oil) of Ford Ranger (MDRRMC Vehicle)</t>
  </si>
  <si>
    <t>Purchase of Rapid Anti-body Test for COVID-19.</t>
  </si>
  <si>
    <t>Construction of Lambunao Fire Station Building</t>
  </si>
  <si>
    <t>Labor and materials for the proposed repair of perimeter fence located at CBTOS, Pata, Claveria Cagayan</t>
  </si>
  <si>
    <t>2020-06-0146   Supply and delivery of 7 units Smartphone for use in the documentation of various construction projects, includes Geo-Tagging, for pcma (project and contract management application), bi</t>
  </si>
  <si>
    <t>Supply and delivery of Survey Equipment for K2MIPP Survey Personnel</t>
  </si>
  <si>
    <t>SUPPLY AND DELIVERY OF RISOGRAPH PRINTING INKS AND  CONSUMABLES FOR DIVISION OF CITY SCHOOLS</t>
  </si>
  <si>
    <t>Repair &amp; Maintenance of Other Structure (OESPA-PhP50,000.00)</t>
  </si>
  <si>
    <t>RFQ: Construction Supplies (PR #20-05-535)</t>
  </si>
  <si>
    <t>Invitation to Bid for the Construction of Pathways at Quinastillojan, Tabaco City</t>
  </si>
  <si>
    <t>Improvement of Multi-purpose Building</t>
  </si>
  <si>
    <t>06-021-20 Veterinary Supplies for LIVESTOCK (Animal Health Program)</t>
  </si>
  <si>
    <t>Rehabilitation of Drainage Canal along Purok Sunrise, Saranay, Bonifacio St. Phase 1 of Poblacion, Kabacan,Cotabato</t>
  </si>
  <si>
    <t>DES -WATER, PURIFIED, REFILL (1ST POSTING)</t>
  </si>
  <si>
    <t>Supply and Delivery of i unit Mini Elf/Multicab for use in the delivery of farm inputs, equipment and materials</t>
  </si>
  <si>
    <t>Procurement of Various Supplies for Learners</t>
  </si>
  <si>
    <t>Supply and Delivery of Various Filing Cabinet</t>
  </si>
  <si>
    <t>Completion of Slaughter House</t>
  </si>
  <si>
    <t>EBMS -CALIBRATION OF PIPETTORS (1ST POSTING)</t>
  </si>
  <si>
    <t>20AB0125 : CONCRETING OF BRGY. POBLACION 1-PANGIL FMR, BRGY. 1 AND BRGY. PANGIL, CURRIMAO, ILOCOS NORTE</t>
  </si>
  <si>
    <t>2020-05-0087 - SUPPLY AND DELIVERY OF 400 SETS OF RAPID TEST KITS TO BE USED IN DETECTING EMPLOYEES POSSIBLY INFECTED WITH THE CORONA VIRUS DISEASE 2019 (COVID 19)</t>
  </si>
  <si>
    <t>Procurement of Computer with Complete Accessories- MO  .Lopez Jaena</t>
  </si>
  <si>
    <t>20FJ0033 - Construction of One(1) Unit One(1) Storey One(1) Classroom School Building at  Chimenea ES, Cataingan, Masbate</t>
  </si>
  <si>
    <t>PROCUREMENT AND DELIVERY OF  ONE (1) UNIT AMBULANCE</t>
  </si>
  <si>
    <t>Rehabilitation of Old City Hall Building (Comfort Room)</t>
  </si>
  <si>
    <t>cellphone card</t>
  </si>
  <si>
    <t>Construction of Multi-purpose Buildings/Feeding Centers</t>
  </si>
  <si>
    <t>20AB0123 : CONSTRUCTION OF ONE (1) STOREY - FOUR (4) CLASSROOM SCHOOL BUILDING, (100241) DON MARIANO MEMORIAL SCHOOL, PINILI, ILOCOS NORTE</t>
  </si>
  <si>
    <t>Rehabilitation of Department of Health (DOH) Campus Wide Network under IB No. 2020-228</t>
  </si>
  <si>
    <t>Supply and installation of Panel Board to be used in Tanauan City Sports Academy.</t>
  </si>
  <si>
    <t>MO-PNP_Fuel</t>
  </si>
  <si>
    <t>PURCHASE OF BILOGICS IN SUPPORT TO FREE RANGE CHICKEN PRODUCTION</t>
  </si>
  <si>
    <t>supply and delivery of laboratory supplies to be used at Regional Soils Laboratory with PR# 310 dated 6/24/2020 with an ABC 445,200.00</t>
  </si>
  <si>
    <t>Supply and Delivery of Various Carpentry Supplies as per PR 20-01-0065A</t>
  </si>
  <si>
    <t>ITB 06-02-2020 Item A</t>
  </si>
  <si>
    <t>CONSTRUCTION OF SLOPE PROTECTION AND CONCRETE PAVEMENT</t>
  </si>
  <si>
    <t>2020-06-150</t>
  </si>
  <si>
    <t>Rehabilitation of Drainage Canal along Bonifacio St. Phase II, Poblacion, Kabacan, Cotabato</t>
  </si>
  <si>
    <t>06-022-20 Supply and Delivery of RUBBER BOOTS</t>
  </si>
  <si>
    <t>RFQ for MOOE for the Month of MAY 2020</t>
  </si>
  <si>
    <t>Procurement of Animal feeds (PCC)</t>
  </si>
  <si>
    <t>Purchase of Emergency Response Vehicle</t>
  </si>
  <si>
    <t>ITB 06-02-2020 Item B</t>
  </si>
  <si>
    <t>Improvement of Facilities - PNP</t>
  </si>
  <si>
    <t>Procurement of Basic Advance Flight &amp; Training Course</t>
  </si>
  <si>
    <t>labor for the construction of solar dreyer prk san roque, maco davao de oro</t>
  </si>
  <si>
    <t>Telephone Mobile Expenses (PDO-88,100.00)</t>
  </si>
  <si>
    <t>Purchase of Meals to be served to the Visitors Of Sangguniang Bayan Office and Budget Forum 2021 in the Municipality of Maragondon, Cavite</t>
  </si>
  <si>
    <t>FURNISHING AND DELIVERY OF SEEDLINGS FOR ON-FARM AGROFORESTRY AT  SANGUIT AND GANAO</t>
  </si>
  <si>
    <t>Continuation of Walling of the Multi-Purpose Hall/Gym</t>
  </si>
  <si>
    <t>PROCUREMENT OF SUPPLIES AND MATERIALS FOR IM WRITING SEMINAR WORKSHOP</t>
  </si>
  <si>
    <t>Procuremt of Various Appliances</t>
  </si>
  <si>
    <t>CONCRETING OF FARM TO MARKET ROAD, QUIMALABASA NORTE, SAN AGUSTIN, ISABELA</t>
  </si>
  <si>
    <t>Spare Parts for Mini Dump  Truck</t>
  </si>
  <si>
    <t>Supply and Delivery of 2 units Air condition (Window Type) with an ABC of P132,714.00 &amp; PR#DA3-6-16-192</t>
  </si>
  <si>
    <t>Purchase of Office supplies for CGSO stock purposes.</t>
  </si>
  <si>
    <t>REPAIR/REHABILITATION OF TIMBER BRIDGE @ PUROK STA. CRUZ,SAN PABLO 1 &amp; SAN PABLO 2 (PACKAGE 01-2020)</t>
  </si>
  <si>
    <t>Table &amp; Chairs- ileac</t>
  </si>
  <si>
    <t>2020-06-289 PROCUREMENT OF VEHICLE PARTS AND ACCESSORIES - PGO</t>
  </si>
  <si>
    <t>RFQ 2020-02-0164-BOOKS</t>
  </si>
  <si>
    <t>RFQ PR NO. 933_SINGLE MOTORCYLE</t>
  </si>
  <si>
    <t>Risograph Long for SAP intended for Covid 19 Pandemic.</t>
  </si>
  <si>
    <t>Supply and Delivery of Various Plumbing Supplies as per PR 20-01-0078A</t>
  </si>
  <si>
    <t>Motorpool_Diesel Fuel_0039</t>
  </si>
  <si>
    <t>20HH0145-Repair / Rehabilitation of Roadslips, Slope Collapse and Landslide – Secondary Roads – Cebu – Balamban Transcentral Highway – K0019+700 - KM0019+730, Cebu City</t>
  </si>
  <si>
    <t>20AB0128 : CONCRETING OF SITIO BUGA TO SITIO BING-IT, BRGY. STA. RITA FMR, BRGY. STA. RITA, PAOAY, ILOCOS NORTE</t>
  </si>
  <si>
    <t>Purchase of hardware supplies  to be used in Sambat Birthing Home Generator set housing.</t>
  </si>
  <si>
    <t>PROVISION OF CATERING SERVICES AND ACCOMMODATION ON THE CONDUCT OF WORKSHOP ON THE QUALITY MANAGEMENT SYSTEM MANUAL</t>
  </si>
  <si>
    <t>Procurement of Office Supplies  Supplies &amp; Devices</t>
  </si>
  <si>
    <t>ICT for Blended Learning</t>
  </si>
  <si>
    <t>Supply and Delivery of Water Hand Pump ITB No. 2020-163</t>
  </si>
  <si>
    <t>AMP SVP-D NO: 20-06-0323C Medals</t>
  </si>
  <si>
    <t>06-018-20 (Testing Kits for Agricultural Engineers for Agricultural Machinery and Equipments)</t>
  </si>
  <si>
    <t>LABOR AND MATERIALS FOR THE CONSTRUCTION OF PERIMETER FENCE @ VALLEHERMOSO HIGH SCHOOL, VALLEHERMOSO, CARMEN, BOHOL AND CONSTRUCTION OF COVERED COURT (PHASE I) @ GUADALUPE ELEMENTARY SCHOOL, GUADALUPE</t>
  </si>
  <si>
    <t>20AB0129 : CONCRETING OF SITIO USAT, BRGY. BOMITOG FMR, BRGY. BOMITOG, BANNA, ILOCOS NORTE</t>
  </si>
  <si>
    <t>Notice of Procurement &amp; RFQ for 2020-06-0013 - Procurement of Automatic Temperature Induction and Disinfection AIO (All-in-One) Machine for use in the DPWH Regional Office No. III</t>
  </si>
  <si>
    <t>20AB0127 : CONCRETING OF SITIO BUGA TO CURRIMAO ROAD FMR, BRGY. SIDEG, PAOAY, ILOCOS NORTE</t>
  </si>
  <si>
    <t>Purchase of Tshirt with Print used in Womens Month Celebration of LGU Maragondon, Cavite</t>
  </si>
  <si>
    <t>Construction of San Jose Fire Station Building</t>
  </si>
  <si>
    <t>MDRRMO_Food Supplies_0093</t>
  </si>
  <si>
    <t>REHABILITATION/IMPROVEMENT OF DISTRIBUTION PIPES</t>
  </si>
  <si>
    <t>Completion of Multi-Purpose Center 20% 2020</t>
  </si>
  <si>
    <t>PIPELAYING PROJECT IN BACAG WEST</t>
  </si>
  <si>
    <t>Request for Quotation for the Purchase of Construction Materials for the Repair of Day Care Center at San Isidro-Iraya, Malilipot, Albay</t>
  </si>
  <si>
    <t>Supply and Delivery of Goods for R&amp;M Motor Vehicle of 83IB,9ID,PA (269,000.00)</t>
  </si>
  <si>
    <t>DRILLING AND PIPELAYING PROJECT IN BARANGAY LIPAY</t>
  </si>
  <si>
    <t>Repair of Drainage at Ipil National High School, Brgy. Ipil, JICA-Lao Elementary School, Linao Elementary School, Brgy. Linao, Curva Elementary School, Brgy. Curva, San Juan Elemetary School, Brgy. Sa</t>
  </si>
  <si>
    <t>Request For Quotation-SCUBA DIVING TRAINING FOR DENR PERSONNEL FOR 2ND QTR CY 2020 OF PASU-SIPLAS-Php80,000.00</t>
  </si>
  <si>
    <t>Supply and Delivery of four (4) units stair chair for the use of CDRRMO for Emergency Response Operations before, during and after disaster</t>
  </si>
  <si>
    <t>Construction of Barotac Viejo Fire Station Building</t>
  </si>
  <si>
    <t>Procurement of Printing Supplies (Toners &amp; Ink )</t>
  </si>
  <si>
    <t>Ordering agreement for Printing of Various Tarpaulin/Streamers, Posters, Stickers, Flyers for Various Activities (August – December 2020)</t>
  </si>
  <si>
    <t>Gravelling of FMR and Concreting of FMR Purok 3</t>
  </si>
  <si>
    <t>Gravelling of FMR, Concreting of FMR and Installation RCPC Purok 4</t>
  </si>
  <si>
    <t>Supply &amp; Delivery of Construction Materials &amp; Supplies for the Construction of Basketball Pavement at Brgy., Matagbac Tabaco City</t>
  </si>
  <si>
    <t>Supply and Delivery of Vehicle Parts of 50IB (P106,050.00)</t>
  </si>
  <si>
    <t>Supply and Delivery of Construction Materials - ITB 032B-2020 GQ</t>
  </si>
  <si>
    <t>Supply of Senior Citizen and PWD Medicine Booklet</t>
  </si>
  <si>
    <t>Supply &amp; Delivery of Eating Utensils for F1K Beneficiaries, Municipal Health Office, Buenavista, Quezon</t>
  </si>
  <si>
    <t>One (1) Lot – Supply and Delivery of Various air-conditioning for Various Offices</t>
  </si>
  <si>
    <t>CONSTRUCTION OF MRF MULTI-PURPOSE BUILDING (COVERED COURT)</t>
  </si>
  <si>
    <t>Purchase of Citation Ticket for used in traffic violation in LGU Maragondon, Cavite</t>
  </si>
  <si>
    <t>Procurement of Medicines and Vitamins for the use of RHU and FP Center</t>
  </si>
  <si>
    <t>Notice of PRocurement and RFQ for 2020-06-0011 - Procurement of Tires for Service Vehicle, Toyota Hi-Ace, Conduction Sticker No. YW 5708, DPWH No. H1-5833</t>
  </si>
  <si>
    <t>Purchase of Computer Laptop with Accessories</t>
  </si>
  <si>
    <t>Proposed Earthfilling</t>
  </si>
  <si>
    <t>One (1) lot Supply and Delivery of Five (5) Units of Steel Open Shelves for Landbank Boac Accounting Unit - Boac, Marinduque</t>
  </si>
  <si>
    <t>LABOR AND MATERIALS FOR THE 2-UNIT FOOD CART AT CHOCOLATE HILLS COMPLEX, BUENOS AIRES, CARMEN, BOHOL</t>
  </si>
  <si>
    <t>Purchase of COVID-19 swabbing booth</t>
  </si>
  <si>
    <t>FRONT LOAD WASHING MACHINE</t>
  </si>
  <si>
    <t>One (1) - Supply of labor, tools, materials (Supply of Labor, Tools and Materials for (6) Months Operation and Basic Maintenance Servicing (OBMS) of the Electro-Mechanical System of BSP Cebu Regional</t>
  </si>
  <si>
    <t>PROCUREMENT OF WATER SERVICE CONNECTION MATERIALS USE FOR INPROVEMENT OF WATER SOURCE @ BARANGAY CALICAN, PIÑAN, ZN</t>
  </si>
  <si>
    <t>Supply and Delivery of Construction Materials - ITB 034B-2020 GQ</t>
  </si>
  <si>
    <t>Technical Consultant</t>
  </si>
  <si>
    <t>Invitation to Bid for the Procurement of Materials for the Fencing of Barangay Health Center at San Isidro-Iraya, Malilipot, Albay</t>
  </si>
  <si>
    <t>Supply and Delivery of Materials for Repair and Enhancement of CHU II TB Dots Facilities at Sta. Cruz Viejo, Tanjay City</t>
  </si>
  <si>
    <t>Procurement of Printing services</t>
  </si>
  <si>
    <t>Improvement of Multi-Purpose Building @ Brgy Manibaug Pasig, Porac, Pampanga</t>
  </si>
  <si>
    <t>PROCUREMENT AND DELIVERY OF DESKTOP COMPUTERS OF BFP R4A FY 2020</t>
  </si>
  <si>
    <t>PROCUREMENT OF SPAREPARTS FOR 6D17 FUSO FIGHTER DUMPTRUCK AND 6D15 MITSUBISHI DUMPTRUCK</t>
  </si>
  <si>
    <t>MOOE PROCUREMENT OF LIPAWAN ELEMENTARY SCHOOL FOR THE MONTHS OF JANUARY, FEBRUARY &amp; MARCH 2020</t>
  </si>
  <si>
    <t>Supply and Delivery of Materials for  Garments Production of SDSSU Cantilan Campus</t>
  </si>
  <si>
    <t>Installation of Solar Street Light</t>
  </si>
  <si>
    <t>Supply and Delivery of Construction Materials - ITB 033B-2020 GQ</t>
  </si>
  <si>
    <t>Supply and Delivery of Materials for The Installation of Early Warning System-Various Barangay,Kapalong (MEO)</t>
  </si>
  <si>
    <t>Request For Quotation-SERVICE VEHICLE MAINTENANCE FOR 3RD QTR CY 2020 OF PASU-SIPLAS-Php60,000.00</t>
  </si>
  <si>
    <t>Video service for the including filming of five story telling videos</t>
  </si>
  <si>
    <t>CONCRETING OF DABUBU PEQUEÑO-DABUBU GRANDE FTMR, DAB. GRANDE &amp; PEQUEÑO, SAN AGUSTIN, ISA.</t>
  </si>
  <si>
    <t>NEGOTIATED PROCUREMENT-School Supplies and Equipment</t>
  </si>
  <si>
    <t>INTERCONNECTION WORKS AT POBLACION PS VI</t>
  </si>
  <si>
    <t>Request for Price Quotation (Construction Supplies)</t>
  </si>
  <si>
    <t>Supply and Delivery of Construction Materials - ITB 036B-2020 GQ</t>
  </si>
  <si>
    <t>Installation of Transformer - MDRRMO</t>
  </si>
  <si>
    <t>Purchase of grocery items</t>
  </si>
  <si>
    <t>Opening of Tubura-Calzada-Bonga FMR Phase II</t>
  </si>
  <si>
    <t>school and office supplies</t>
  </si>
  <si>
    <t>DSWD4B-2020-12 Supply and Delivery of Micronutrient Powder for the Implementation of Supplementary Feeding Program during Community Quarantine (9th Cycle Continuation)</t>
  </si>
  <si>
    <t>Proposed Pathwalk</t>
  </si>
  <si>
    <t>Procurement of fuels for use of the Office of the Governor, Romblon, Romblon</t>
  </si>
  <si>
    <t>Request for Price Quotation (School Supplies)</t>
  </si>
  <si>
    <t>Supply and Delivery of Construction Materials - ITB 035B-2020 GQ</t>
  </si>
  <si>
    <t>Procurement of acrylic covers for NCCA Ground Floor</t>
  </si>
  <si>
    <t>Proposed Road Reblocking</t>
  </si>
  <si>
    <t>Request For Quotation-CONSULTANCY_CONTRACT OF SERVICE MAINTENANCE OF 8 PA FACILITIES IN SIPLAS FOR 3RD QTR 2020-Php920,000.00</t>
  </si>
  <si>
    <t>One (1) lot – Supply and Delivery of supplies for street maintenance for City Engineering</t>
  </si>
  <si>
    <t>Procurement of Personal Protective Equipment for the use of New RHU and FP Center</t>
  </si>
  <si>
    <t>Supply and Delivery of Goods for R&amp;M Motor Vehicle of H9ID,PA (317,550.00)</t>
  </si>
  <si>
    <t>SUPPLY AND DELIVERY OF TIRES  FOR  MONTERO OF VICE-MAYOR’S OFFICE</t>
  </si>
  <si>
    <t>One (1) Lot – Supply and Delivery of one hundred five (105) units of  Bike  for San Juan City Employees</t>
  </si>
  <si>
    <t>Eco bag with print used for Womens Welfare Program</t>
  </si>
  <si>
    <t>One (1) Lot – Supply and Delivery of various supplies and materials for the SY 2019 – 2020 Commencement Exercises</t>
  </si>
  <si>
    <t>SUPPLY AND DELIVERY OF TRAINING SUPPLIES AND MATERIALS FOR THE LSP-NSB ACTIVITIES IN THE PROVINCE OF BOHOL</t>
  </si>
  <si>
    <t>NMC &amp; PASUQUIN EXTENSION RIS, PACKAGE 3; REMAINING WORKS ; CLIMATE CHANGE ADAPTATION WORKS (CCAW) FUND; CY 2019</t>
  </si>
  <si>
    <t>Procurement of Security Surveillance System and Accessories - Package I</t>
  </si>
  <si>
    <t>MOLAVE RPS SPED CENTER - PROCUREMENT OF SCHOOL/ OFFICE SUPPLIES</t>
  </si>
  <si>
    <t>PROVISION OF 10 MBPS INTERNET SERVICES WITH COMMITTED INFORMATION RATE TO MSU-TCTO</t>
  </si>
  <si>
    <t>Construction of One Town One Product (OTOP) and Organic Trading Port (OTP)</t>
  </si>
  <si>
    <t>Supply &amp; Delivery of Commercial Feeds for Bangus and Vannamei Production</t>
  </si>
  <si>
    <t>Supply of Labor and Materials for the Replacement of Two (2) Units Four (4) MVA 4160/440 Oil Type Transformer, Main Electrical Room NAIA Terminal 1</t>
  </si>
  <si>
    <t>Procurement of Health Emergency Response Equipment and Supplies</t>
  </si>
  <si>
    <t>CONSTRUCTION OF NEW MUNICIPAL CEMETERY</t>
  </si>
  <si>
    <t>REBIDDING OF SUPPLY AND DELIVERY OF VARIOUS LABORATORY SUPPLIES AND CONSUMABLES (32 items)</t>
  </si>
  <si>
    <t>PURCHASE OF VARIOUS CONSTRUCTION MATERIALS AS THE ADDITIONAL SUPPLIES FOR THE CONSTRUCTION OF DSWD SHELTER</t>
  </si>
  <si>
    <t>Procurement of Powered Air Purifying Respirator</t>
  </si>
  <si>
    <t>Request For Quotation-CONSULTANCY_CONTRACT OF SERVICE ON UPDATING OF SIPLAS GENERAL MANAGMENT PLAN FOR 3RD QTR 2020-Php200,000.00</t>
  </si>
  <si>
    <t>Supply &amp; Delivery of Photocopier Machine for CTAS, RDE, QA, Registrar &amp; Admin.</t>
  </si>
  <si>
    <t>One (1) lot Labor and Materials for the Construction of COA Records Room at Landbank Lucena Branch</t>
  </si>
  <si>
    <t>INSTALLATION OF ENERGIZATION OF STREET LIGHTING SYSTEM</t>
  </si>
  <si>
    <t>REPRODUCTION OF MODULES FOR SHS</t>
  </si>
  <si>
    <t>Fabrication of Improvised Pedal Operated Handwashing Bins for Faculty and Students Hand Sanitation- OMSC Collegewide</t>
  </si>
  <si>
    <t>One (1) Lot – Supply and Delivery of Laboratory Reagents for the use of SJMC</t>
  </si>
  <si>
    <t>SUPPLY &amp; DELIVERY OF FITTINGS (5 ITEMS) FOR REHABILITATION OF DISTRIBUTION LINE</t>
  </si>
  <si>
    <t>SUPPLY AND DELIVERY OF CARTRIDGE KIT FOR BARNSTEAD E-PURE SYSTEM</t>
  </si>
  <si>
    <t>KC : 24 can AIR FRESHENER UP TO 9 roll TWINE PLASTIC;OFFICE SUPPLIES AND CONSUMABLES FOR THE USE OF KC -PAMANA FOR RPMO STAFF</t>
  </si>
  <si>
    <t>Procurement of Emergency Equipment and Supplies</t>
  </si>
  <si>
    <t>STREET LIGHTING, Hagdan, Santa Fe, Cebu - Municipal</t>
  </si>
  <si>
    <t>Improvement of Barangay Health Center, Kinatarkan, Santa Fe, Cebu - Municipal</t>
  </si>
  <si>
    <t>Procurement of various Materials to be used for the Installation of Pipe-in Oxygen for Hemodialysis Unit</t>
  </si>
  <si>
    <t>106CO-6IB,6ID, PA-2020-456</t>
  </si>
  <si>
    <t>Printing Services for the 2020 CPH</t>
  </si>
  <si>
    <t>Furniture and Fixtures, Ceiling Fan for LPH-Majayjay District Hospital-Pharmacy, Supply Room, Medical Records Section</t>
  </si>
  <si>
    <t>Supply &amp; Delivery of Airconditioning System</t>
  </si>
  <si>
    <t>PROCUREMENT OF FUELS FOR USE IN THE DREDGING AT QUIAOIT RIVER AND OTHER MAJOR WATERWAYS</t>
  </si>
  <si>
    <t>Rpr &amp; Maint Motor Vehicles (57,550.00) PDO</t>
  </si>
  <si>
    <t>PUNONG ES RFQ (JUNE 2020)</t>
  </si>
  <si>
    <t>ONE (1) YEAR CONTRACT FOR JANITORIAL SERVICES FOR 2020</t>
  </si>
  <si>
    <t>CONSTRUCTION OF TRIBAL CENTER</t>
  </si>
  <si>
    <t>Clipboard for the 2020 CPH</t>
  </si>
  <si>
    <t>Training Expense-Php153,025.00 PDO</t>
  </si>
  <si>
    <t>Supply &amp; Delivery of Office Equipment for CTAS &amp; CTE</t>
  </si>
  <si>
    <t>Purchase of goods for Improvement of Agoho Public Cemetery</t>
  </si>
  <si>
    <t>Pag-IBIG Fund TAS NCR South ( SUPPLY OF LABOR AND MATERIALS FOR THE INSTALLATION OF STRUCTURE CABLING OF MAKATI BUENDIA II BRANCH)</t>
  </si>
  <si>
    <t>Relocation of Indoor Airconditioning Units</t>
  </si>
  <si>
    <t>Purchase of Medicine Supplies</t>
  </si>
  <si>
    <t>Renovation of GEBA GYMNASIUM'S STAGE</t>
  </si>
  <si>
    <t>PUNONG ES RFQ (JULY 2020)</t>
  </si>
  <si>
    <t>Purchase of Maintenance Materials for Vinyl Roll Type Flooring at Terminal 1 (ris 20-88-081)</t>
  </si>
  <si>
    <t>REBIDDING OF SUPPLY AND DELIVERY OF VARIOUS LABORATORY CHEMICALS AND SUPPLIES (3 items)</t>
  </si>
  <si>
    <t>PROCUREMENT OF UTILITY VEHICLE</t>
  </si>
  <si>
    <t>QUARTERLY PREVENTIVE MAINTENANCE SERVICES OF CLOSED CIRCUIT TELEVISION (CCTV) FOR 3rd AND 4th QUARTERS AT VARIOUS SSS BRANCH OFFICES UNDER LUZON CENTRAL 2 DIVISION</t>
  </si>
  <si>
    <t>CONCRETING OF ROAD OF 150M X 4M X. 15LM FARM TO MARKET ROAD</t>
  </si>
  <si>
    <t>PURCHASE OF MOVABLE TENTS</t>
  </si>
  <si>
    <t>Supply of labor and materials in the Installation of Waterline at Nursery, Crash Gate 2 Area (Re-Bidding) [ris 20-88-047)</t>
  </si>
  <si>
    <t>03-003-20 Supply and Delivery of Various Laboratory Supplies (RAFAL)</t>
  </si>
  <si>
    <t>Supply and Delivery of Medical /Medical Instrument</t>
  </si>
  <si>
    <t>Office Supplies for the 2020 CPH</t>
  </si>
  <si>
    <t>106CO-6IB, 6ID, PA-2020-455</t>
  </si>
  <si>
    <t>Forklift Rental for the period July 1, 2020 to August 31, 2020</t>
  </si>
  <si>
    <t>20GN0093 - Concreting of Brgy. Dulao FMR, Brgy. Dulao, Bago City, Negros Occidental</t>
  </si>
  <si>
    <t>Purchase of Heavy Equipment (Mini Dump truck)</t>
  </si>
  <si>
    <t>Medical Supplies for Laguna Chest Center</t>
  </si>
  <si>
    <t>NOTICE OF INVITATION TO SUBMIT PRICE QUOTATION FOR THE 2020 REPAIR OF PERIMETER FENCE (PHASE I) OF NFA COMPOUND, LARENA, SIQUIJOR</t>
  </si>
  <si>
    <t>Completion of Local Access Road at Government Center</t>
  </si>
  <si>
    <t>20GN0092-Concreting of Brgy. General Malvar FMR, Brgy. General Malvar, Pontevedra, Negros Occidental</t>
  </si>
  <si>
    <t>SHIPPING OF NFP CHARTS (STM, BBT, CMM, REVISED FORM1) TO THE REGIONAL OFFICE</t>
  </si>
  <si>
    <t>Purchase of One (1) Unit Vehicle Bongo for Disaster Preparedness</t>
  </si>
  <si>
    <t>CONSTRCUTION OF TRIBAL CENTER</t>
  </si>
  <si>
    <t>PROCUREMENT OF HONDA XRM MOTORCYCLE 125CC</t>
  </si>
  <si>
    <t>Procurement Purchase of Communication Load</t>
  </si>
  <si>
    <t>Procurement for the Provision of Calibration Services of Various Science Laboratory Equipment for SY 2020-2021 of PSHS-CLC</t>
  </si>
  <si>
    <t>Supply and Delivery of 3,612 sets of Peerless Box for Pag-IBIG Fund</t>
  </si>
  <si>
    <t>CONSTRUCTION OF MULTI-PURPOSE DRYING PAVEMENT (BRGY. LUCBAN)</t>
  </si>
  <si>
    <t>Purchase of sala set</t>
  </si>
  <si>
    <t>Supply and Delivery of Personal Care Products</t>
  </si>
  <si>
    <t>CATERING SERVICES FOR THE DISTRIBUTION OF FARMERS ASSISTANCE</t>
  </si>
  <si>
    <t>Repair and Maintenance of D7G Bulldozer</t>
  </si>
  <si>
    <t>REQUEST FOR QUOTATION FOR THE Supply and Delivery of One (1) Lot Medical Supplies</t>
  </si>
  <si>
    <t>020-INFRA-001 / COMPLETION OF MULTI-PURPOSE BUILDING</t>
  </si>
  <si>
    <t>ESTABLISHMENT OF ROAD RETAINING WALL (BRGY. PINILI)</t>
  </si>
  <si>
    <t>Procurement Provision of Internet Subscription Expenses</t>
  </si>
  <si>
    <t>Construction of Seawall Phase 1</t>
  </si>
  <si>
    <t>Purchase of Garbage Truck(Dump Truck)</t>
  </si>
  <si>
    <t>Painting &amp; various materials for fabrication of counter for Malasakit Center Laguna Medical Center Compound</t>
  </si>
  <si>
    <t>PROCUREMENT OF FUEL &amp; LUBRICANTS</t>
  </si>
  <si>
    <t>Request For Quotation-INTERNET SERVICES-INFRA. NETWORK POINT TO POINT WIRELESS CONNECTION-Php60,000.00</t>
  </si>
  <si>
    <t>REQUEST FOR QUOTATION (RFQ) PROCUREMENT FOR LAPTOP FOR WORK FROM HOME PERSONNEL RFQ No.049 -2020</t>
  </si>
  <si>
    <t>Rehabilitation/Extension of MIAA Buildings (MIAA Records Center, PMD Office, T3 Satellite Office) NAIA Complex, Pasay City</t>
  </si>
  <si>
    <t>One (1) lot Labor and Materials for the Proposed Transfer of Landbank UPLB Branch Sub-COU to Landbank Sta. Cruz (Laguna) Branch</t>
  </si>
  <si>
    <t>Purchase of ambulance</t>
  </si>
  <si>
    <t>REPAIR OF FLGC WAREHOUSE DAMAGED BY TYPHOON TISOY IN NAPO, STA. CRUZ, MARINDUQUE</t>
  </si>
  <si>
    <t>Supply and Delivery of Construction Materials - ITB 037B-2020 GQ</t>
  </si>
  <si>
    <t>BALULANG ELEMENTARY SCHOOL PURCHASED OF COVID RESPONSE ITEMS</t>
  </si>
  <si>
    <t>SUPPLIES FOR WINS (WASH IN SCHOOL)PROGRAM FOR JHS</t>
  </si>
  <si>
    <t>106CO-6IB, 6ID, PA-2020-460</t>
  </si>
  <si>
    <t>Procurement of Fuel Supply for LCT Barge</t>
  </si>
  <si>
    <t>RENOVATION OF BRGY. MANPOWER DEV`T CENTER (GYM) TO BE USED AS QUARANTINE FACILITY FOR PATIENTS UNDER MONITORING (PUM) OF COVID-19</t>
  </si>
  <si>
    <t>CONSTRUCTION OF GOVERNMENT BUILDING/STRUCTURE - PROCURMENT OF MATERIALS</t>
  </si>
  <si>
    <t>Maintenance, Repair and Rehabilitation of Infrastructure Facilities and Other Related Activities - Public Buildings: Repair/ Maintenance of DOJ Building National Bureau Investigation Office Building N</t>
  </si>
  <si>
    <t>RFQ GEn.mdse2020</t>
  </si>
  <si>
    <t>Procurement of Paint Conduct Brigada Eskwela Plus</t>
  </si>
  <si>
    <t>CONCRETING / REHABILITATION OF BARANGAY CANUBAY ROAD-Hayo Street</t>
  </si>
  <si>
    <t>NOTICE OF INVITATION TO SUBMIT PRICE QUOTATION FOR THE SMALL VALUE PROCUREMENT OF 2020 CAPITAL OUTLAY RMT PROJECTS OF NFA COMPOUND, CIP COMPLEX, NRA, CEBU CITY</t>
  </si>
  <si>
    <t>PURCHASE OF ONE (1)   RESCUE VEHICLE (MULTICAB) WITH ESSENTIAL RESCUE EQUIPMENT</t>
  </si>
  <si>
    <t>Proposed Construction of Concrete Pedestal, Supply and Installation of Lighting Facilities of F.B. Harrison St., Pasay City</t>
  </si>
  <si>
    <t>Installation of Solar Streetlights</t>
  </si>
  <si>
    <t>PURCHASE OF ONE (1)    FIRETRUCK ( MULTICAB) WITH FIRE RESCUE EQUIPMENT</t>
  </si>
  <si>
    <t>PROCUREMENT OF MATERIALS FOR REHABILITATION OF WATER SYSTEM AND PLUMBING TOOLS</t>
  </si>
  <si>
    <t>Printing of Progestin Sub-Dermal Implant (PSI) Individual Box Sticker Label</t>
  </si>
  <si>
    <t>ROAD CONCRETING (BRGY. SIMAYUNG)</t>
  </si>
  <si>
    <t>PROCUREMENT AND DELIVERY OF GENERATOR SETS OF BFP R4A FY 2020</t>
  </si>
  <si>
    <t>CONSTRUCTION OF MULTI-PURPOSE DRYING PAVEMENT (BRGY. STO.TOMAS)</t>
  </si>
  <si>
    <t>REPAIR OF MULTI-PURPOSE BUILDING FLOORING (BRGY. CALOG NORTE)</t>
  </si>
  <si>
    <t>R&amp;M of HNETDC Building</t>
  </si>
  <si>
    <t>Training Supplies and Materials to be used for TCP.</t>
  </si>
  <si>
    <t>Supply and Delivery spare parts for the Repair/Maintenance of Municipal Grader, this Municipality of Mabini, Davao De Oro</t>
  </si>
  <si>
    <t>REQUEST FOR QUOTATION FOR THE Supply and Delivery of 12,000 Liters of Diesel Fuel</t>
  </si>
  <si>
    <t>Printing of Module/ Learning Packets</t>
  </si>
  <si>
    <t>Contract ID: 20JH0036 Isabela City Public Market, Isabela City, Basilan</t>
  </si>
  <si>
    <t>Xerox Copier</t>
  </si>
  <si>
    <t>For use at DPWH Quezon 1st District Engineering Office (Planning and Design Section) Lucban, Quezon</t>
  </si>
  <si>
    <t>Procurement of Rapid Covid Testing Kit</t>
  </si>
  <si>
    <t>For use at DPWH Quezon 1st District Engineering Office, Lucban, Quezon</t>
  </si>
  <si>
    <t>PURCHASE OF ONE (1)   MULTIPURPOSE (MULTICAB)  VEHICLE</t>
  </si>
  <si>
    <t>procurment of materials for rehabilitation of water system</t>
  </si>
  <si>
    <t>Supply and delivery of various materials for the repair and upgrade of ICT equipments for BFAR Region Office</t>
  </si>
  <si>
    <t>Purchase of Rescue Equipment</t>
  </si>
  <si>
    <t>Procurement of Various Inks and Toners</t>
  </si>
  <si>
    <t>Contract ID: 20JH0030 Const. of Public Market, Brgy. Marketsite, Isabela City, Basilan</t>
  </si>
  <si>
    <t>Invitation to Bid for PROCUREMENT OF OFFICE SUPPLIES AND EQUIPMENT (MPDO)</t>
  </si>
  <si>
    <t>PROCUREMENT OF TIRES &amp; SPAREPARTS</t>
  </si>
  <si>
    <t>RFQ# 2020-05-025-Supply/Delivery of IT (Information Technology &amp; Printing Supplies/    Common Office Supplies) for use in the Planning &amp; Design Section, DPWH-NSFDEO, Catarman, N. Samar</t>
  </si>
  <si>
    <t>Printing of Module/ Learning Packets SHS</t>
  </si>
  <si>
    <t>20CE0233: Construction of Multi-Purpose Building (Phase 1), Brgy. Saint John, Guimba, Nueva Ecija</t>
  </si>
  <si>
    <t>Catering Services for the Briefing/Orientation of Different AgStat Activities in the 2nd Semester of 2020</t>
  </si>
  <si>
    <t>ENHANCEMENT OF BRGY. HEALTH STATION FOR COVID-19 PREPAREDNESS</t>
  </si>
  <si>
    <t>PROCUREMENT OF ICT EQUIPMENT</t>
  </si>
  <si>
    <t>Procurement of cytoral spray and other laboratory supplies</t>
  </si>
  <si>
    <t>Supply of Materials/Parts for the Drydocking and Other Related Repairs of BRP Heracleo Alano (PC376), BRP Anastacio Cacayorin (PC387) &amp; BRP Teotimo Figuracion(PC389) - LOT 1</t>
  </si>
  <si>
    <t>Contract ID: 20JH0033 Const. of Multi-Purpose Building, Isabela City, Basilan</t>
  </si>
  <si>
    <t>PURCHASE OF 11 UNITS COMMUNICATION EQUIPMENT OF BRGY. SAGRADA FAMILIA</t>
  </si>
  <si>
    <t>General Cleaning and Check-up of 2 Wall-mounted, 3 Cassette-type and 1 Window-type Aircon for 12 months</t>
  </si>
  <si>
    <t>20CE0235: Widening of Permanent Bridges Manicla Br. (B01968LZ) along Daang Maharlika (LZ)</t>
  </si>
  <si>
    <t>PROCUREMENT OF CONSTRUCTION SUPPLIES</t>
  </si>
  <si>
    <t>Procurement of ethyl alcohol disinfectant</t>
  </si>
  <si>
    <t>Procurement of Materials for the Construction of Multi - Purpose Building (Phase I) at Brgy. San Isidro, Mahaplag, Leyte</t>
  </si>
  <si>
    <t>RFQ hARDWARE2020</t>
  </si>
  <si>
    <t>RFQ office supplies2020</t>
  </si>
  <si>
    <t>Supply and Delivery of Materials for Maintenance of Hull, Machinery and Electrical Repair Services' Watercraft: YD204, YD205, YU206, YU207 and YT271</t>
  </si>
  <si>
    <t>PROCUREMENT OF FURNITURE AND FIXTURES AND OTHER EQUIPMENT</t>
  </si>
  <si>
    <t>RENOVATION OF BRGY. MULTI-PURPOSE BUILDING TO BE USED AS ISOLATION ROOM FOR COVID-19 PATIENTS</t>
  </si>
  <si>
    <t>Purchase of Rice Planter use to Support Rice Production for the Municipality of Bunawan</t>
  </si>
  <si>
    <t>20CE0234: Construction of Multi-Purpose Building with Covered Court, Zaragoza, Nueva Ecija</t>
  </si>
  <si>
    <t>PROCUREMENT OF MUSICAL INSTRUMENT</t>
  </si>
  <si>
    <t>PROCUREMENT OF IT AND OTHER OFFICE EQUIPMENT</t>
  </si>
  <si>
    <t>INSTALLATION OF STREET LIGHTS</t>
  </si>
  <si>
    <t>Purchase of Organic Fertilizer – Granules use to Support to Organic Agriculture Program</t>
  </si>
  <si>
    <t>PROCUREMENT OF MATERIALS FOR REHABILITATION OF CRISIS INTERVENTION CENTER BUILDING, MUNICIPAL SITE, BARANGAY POBLACION, MALAPATAN, SARANGANI PROVINCE</t>
  </si>
  <si>
    <t>Procurement of COVID-19 Response Items (70% Ethyl Alcohol) for BJMP-NCR</t>
  </si>
  <si>
    <t>Contract ID: 20JH0032 Const. of Multi-Purpose Building (Yakan Weavers Multi Purpose Hall), Brgy. Parangbasak, Lamitan City, Basilan</t>
  </si>
  <si>
    <t>20CE0236: Replacement of Permanent Weak Bridges Amawinan Br. (B01981LZ) along Daang Maharlika (LZ)</t>
  </si>
  <si>
    <t>PROCUREMENT OF SUPPLY AND INSTALLATION 50KVA SILENT TYPE  GENERATOR SET</t>
  </si>
  <si>
    <t>Procurement of COVID-19 Response Items (Surgical Face Masks and Surgical Gloves) for BJMP-NCR</t>
  </si>
  <si>
    <t>CONSTRUCTION OF QUARANTINE CENTER</t>
  </si>
  <si>
    <t>Supply and Delivery of 100 rolls, Scouring Pad (Super Fine, White), as per BSP Technical Specifications</t>
  </si>
  <si>
    <t>PROCURMENT OF MATERIALS FOR REPAIR/MAINTENANCE OF STREET LIGHT</t>
  </si>
  <si>
    <t>Purchase of Organic Foliar Fertilizer use to Support to Organic Agriculture Program</t>
  </si>
  <si>
    <t>Procurement of Materials for the Road Reblocking at Brgy. Campin, Mahaplag, Leyte</t>
  </si>
  <si>
    <t>PURCHASE OF DIESEL, GASOLINE USE FOR DISASTER PREPAREDNESS AND EMERGENCY RESPONSE</t>
  </si>
  <si>
    <t>CONSTRUCTION MATERIALS</t>
  </si>
  <si>
    <t>PURCHASE OF SCHOOL SUPPLIES AND BAGS</t>
  </si>
  <si>
    <t>SUPPLY AND DELIVERY OF DRUGS AND MEDICINES, MHO - UNISAN, QUEZON</t>
  </si>
  <si>
    <t>CONSTRUCTION OF DRAINAGE SYSTEM PUROK 7</t>
  </si>
  <si>
    <t>Installation of Brgy. Street Light</t>
  </si>
  <si>
    <t>R&amp;M of Blain Theater</t>
  </si>
  <si>
    <t>Supply and Delivery of DRRM Rescue Vehicles</t>
  </si>
  <si>
    <t>TRANSPORTATION, LABOR, HAULING OF 4,000 SACKS NFA RICE FROM RAWIS WAREHOUSE TO COVERED COURT POBLACION LAOANG</t>
  </si>
  <si>
    <t>Rehabilitation of Poblacion Water System</t>
  </si>
  <si>
    <t>WATERWORKS (ELECTRIFICATION )@ BRGY. BAGALANGIT, MABINI, BATANGAS</t>
  </si>
  <si>
    <t>Rehabilitation of Concrete Flood Control Structure and Construction of Perimeter Fence @ Salabat Building for BLRSHOA</t>
  </si>
  <si>
    <t>Procurement of Construction Supplies &amp; Materials; Semi-Expendable Other Machineries &amp; Equipments</t>
  </si>
  <si>
    <t>Purchase of Medicine</t>
  </si>
  <si>
    <t>20CSDD02 - Consultancy Services for the Conduct of Geotechnical Investigation/Soil Exploration, (1) Sala – Looc Bridge (Along Taal Lake Circumferential Road Balete Section) (65.00 lm.), (2) Lipote Bri</t>
  </si>
  <si>
    <t>Procurement of Supplies to be used in Modular Learning</t>
  </si>
  <si>
    <t>20CSDD01 - Consultancy Service for the Conduct of Parcellary Survey of Malvar – Balete Rd (Length 8.80 Kms.)</t>
  </si>
  <si>
    <t>Procurement of Semi-Expandable Equipment</t>
  </si>
  <si>
    <t>OTHER PROPERTY EQUIPMENT FOR PHO(SIGNAGES)</t>
  </si>
  <si>
    <t>Supply and delivery of various office supplies for official use on the operation of Regional Research Development and Extension Network (RRDEN)</t>
  </si>
  <si>
    <t>Supply and Delivery of Office Supplies, Medical Supplies and Equipments</t>
  </si>
  <si>
    <t>PURCHASE OF GARBAGE TRUCK</t>
  </si>
  <si>
    <t>Procurement of Foot Pedal Hand Sanitizer with drying mat &amp; disinfectant</t>
  </si>
  <si>
    <t>Counting Machine</t>
  </si>
  <si>
    <t>RFQ for Emergency Purchase of Surgical Mask- LGU-Lawaan, Eastern Samar</t>
  </si>
  <si>
    <t>Repair/Rehabilitation of Railings and Pathway from Sitio School Site to Barangay Proper</t>
  </si>
  <si>
    <t>Procurement of Various Supplies used for Repair and Renovation of Water System Facilities</t>
  </si>
  <si>
    <t>LED Bulbs and T8 for FAB Electrical Maintenance</t>
  </si>
  <si>
    <t>Procurement of Thermal Scanner</t>
  </si>
  <si>
    <t>Construction of Comfort Rooms at Sitio School Site</t>
  </si>
  <si>
    <t>Procurement of Semi-Expandable Equipment to be used in Installing the Water System of the School</t>
  </si>
  <si>
    <t>Procurement of Medical Supplies of the Division Office of Island Garden City of Samal.</t>
  </si>
  <si>
    <t>R&amp;M for the Upkeep of Bootcamp II Facility</t>
  </si>
  <si>
    <t>Procurement of Office and Other Supplies</t>
  </si>
  <si>
    <t>Supply of Materials/Parts for the Drydocking and Other Related Repairs of BRP Heracleo Alano (PC376), BRP Anastacio Cacayorin (PC387) &amp; BRP Teotimo Figuracion(PC389) LOT 2</t>
  </si>
  <si>
    <t>Procurement of Office supplies for school year 2020-2021 - limao NHS</t>
  </si>
  <si>
    <t>Furnish and Delivery of Item 104 Material for RTC Branch 27 and IBP - Cotabato Building</t>
  </si>
  <si>
    <t>Procurement of Materials for Makeshift Classroom at Cogon NHS</t>
  </si>
  <si>
    <t>PROCUREMENT OF MATERIALS FOR CONSTRUCTION OF WATER SYSTEM</t>
  </si>
  <si>
    <t>Supply and Delivery of Laptop (PR No. 2020-439)</t>
  </si>
  <si>
    <t>Supply and delivery of Urea and Ammonium Phosphate as Support to Provincial Satellite Hatchery of Nueva Ecija</t>
  </si>
  <si>
    <t>Installation/Construction of Concrete Perimeter Post at Sitio Kasidlakan</t>
  </si>
  <si>
    <t>Supply and Delivery of Office Supplies, Medical Supplies, Mobile Load, Agricultural Seeds and Equipments</t>
  </si>
  <si>
    <t>Rehabilitation/ Improvement of River Bed along the vicinity of Brgy. Mapangpang, Science City of Muñoz, Nueva Ecija</t>
  </si>
  <si>
    <t>R&amp;M of SBS Facility</t>
  </si>
  <si>
    <t>Construction of Multipurpose Shed - MEO</t>
  </si>
  <si>
    <t>Supply of Materials for the Repair of Movable Sheds</t>
  </si>
  <si>
    <t>Supply and Delivery of various goods (PR No. 2020-429)</t>
  </si>
  <si>
    <t>GOODS 2020-015(NP) Supply and Delivery of  120 vials Rabbies Vaccine (10ml)</t>
  </si>
  <si>
    <t>RFQ for April 2020 jhs - common office supplies</t>
  </si>
  <si>
    <t>CONCRETING OF MILITAR ROAD @ BRGY. MILITAR PALAYAN CITY</t>
  </si>
  <si>
    <t>CONSTRUCTION OF BARANGAY TANOD OUTPOST</t>
  </si>
  <si>
    <t>SUPPLY AND DELIVERY OF DIESEL</t>
  </si>
  <si>
    <t>TPB SECURITY SERVICES FOR SIX (6) – MONTH CONTRACT PERIOD for 2020</t>
  </si>
  <si>
    <t>Supply and Delivery of Construction Materials for CY 2020 Projects-Package 5</t>
  </si>
  <si>
    <t>R&amp;M of PEU, NSSG, HSSG Building</t>
  </si>
  <si>
    <t>RFQ GEn.mdse may2020</t>
  </si>
  <si>
    <t>Supply and delivery of various materials as support to Provincial Satellite Tilapia Hatchery of Nueva Ecija</t>
  </si>
  <si>
    <t>Installation of Street Lights</t>
  </si>
  <si>
    <t>Philippine National Police as Irawan  Agricultural Center</t>
  </si>
  <si>
    <t>CONCRETING OF BARANGAY ROAD, VILLAFLOR, LOBOC, BOHOL</t>
  </si>
  <si>
    <t>Contract No.: 20-007    PROCUREMENT OF INFRASTRUCTURE FOR THE CONSTRUCTION OF CONCRETE PATHWALK FROM BRGY. CANATU-AN TO BRGY. PAMAMAS-AN</t>
  </si>
  <si>
    <t>R&amp;M of Jurado Hall</t>
  </si>
  <si>
    <t>RFQ - Supply and Delivery  Of 150 pc Printing of the 2019 DOST Caraga Annual Report Magazine</t>
  </si>
  <si>
    <t>RFQ for April 2020 jhs - DRRM Supplies</t>
  </si>
  <si>
    <t>SUPPLY &amp; DELIVERY OF 7 UNITS COMPUTER LAPTOP - GOVERNOR'S OFFICE</t>
  </si>
  <si>
    <t>PROCUREMENT OF GEODETIC SERVICES FOR THE RELOCATION SURVEY OF THE PNR PROPERTY LOCATED AT EDSA MANDALUYONG METRO MANILA</t>
  </si>
  <si>
    <t>R&amp;M of NOSC Building</t>
  </si>
  <si>
    <t>SUPPLY &amp; DELIVERY OF MEALS AND SNACKS OF THE LAUNCHING OF WOMEN’S MONTH CELEBRATION - PGO</t>
  </si>
  <si>
    <t>PROCUREMENT OF ONE (1) UNIT FIRETRUCK FOR BUREAU OF FIRE PROTECTION, MALAPATAN, SARANGANI PROVINCE</t>
  </si>
  <si>
    <t>R&amp;M of buildings</t>
  </si>
  <si>
    <t>Supply and delivery of Lona/Trapal for use in the FRP boat fabrication area</t>
  </si>
  <si>
    <t>FURNITURES AND FIXTURES</t>
  </si>
  <si>
    <t>Purchase of ONE (1)  Airconditioning Unit</t>
  </si>
  <si>
    <t>SUPPLY &amp; DELIVERY OF MEALS &amp; SNACKS FOR THE 4TH BATCH DISTRIBUTION OF BARANGAY RESCUE VEHICLE AT PROVINCIAL CAPITOL, BULUAN, MAGUINDANAO - PGO</t>
  </si>
  <si>
    <t>SUPPLY &amp; DELIVERY OF FUEL IN THE JOINT MEETING OF PPOC, PADAC, AND LOCAL IATF AT PROVINCIAL CAPITOL, BULUAN, MAGUINDANAO - PGO</t>
  </si>
  <si>
    <t>Contract No.: 20-009   PROCUREMENT OF INFRASTRUCTURE FOR THE CONCRETING OF PATHWAY FROM PUROK 8 BRGY. CALAPI TO MAYDAYA (SARAO)</t>
  </si>
  <si>
    <t>Supply and delivery of Physical Fitness Test Gear for official use in the monitoring and surveillance activity</t>
  </si>
  <si>
    <t>Purchase/Acquisition of one (1) unit Photocopier/Printer Machine</t>
  </si>
  <si>
    <t>SUPPLY &amp; DELIVERY OF MEALS AND SNACKS FOR THE JOINT MEETING OF PPOC, PADAC, AND LOCAL IATF AT PROVINCIAL CAPITOL, BULUAN, MAGUINDANAO -PGO</t>
  </si>
  <si>
    <t>SUPPLY &amp; DELIVERY OF MEALS AND SNACKS FOR WOMEN'S MONTH CULMINATION - GOVERNOR'S OFFICE</t>
  </si>
  <si>
    <t>SUPPLY &amp; DELIVERY OF THREADS AND OTHER MATERIALS - GOVERNOR'S OFFICE</t>
  </si>
  <si>
    <t>OFFICE SUPPLIES AND DEVICES</t>
  </si>
  <si>
    <t>INVITATION TO BID FOR GOODS 2020-015 SUPPLY AND DELIVERY OF ONE (1) UNIT BRAND NEW VECHICLE</t>
  </si>
  <si>
    <t>Contract No.: 20-008   PROCUREMENT OF INFRASTRUCTURE FOR THE CONSTRUCTION OF CONCRETE PATHWALK FROM BRGY. MALOBAGO TO BRGY. BARAYONG</t>
  </si>
  <si>
    <t>SUPPLY &amp; DELIVERY OF SUPPLIES IN THE JOINT MEETING OF PPOC, PADAC, AND LOCAL IATF AT PROVINCIAL CAPITOL, BULUAN, MAGUINDANAO - PGO</t>
  </si>
  <si>
    <t>SUPPLY &amp; DELIVERY OF WEAVING MACHINE - GOVERNOR'S OFFICE</t>
  </si>
  <si>
    <t>HFW-2020-04-0147 : MEDICAL SUPPLIES AND EQUIPMENT OF HOME FOR WOMEN.</t>
  </si>
  <si>
    <t>Procurement of Construction Materials for Water Works System, Barangay Dinawehan, Gingoog City</t>
  </si>
  <si>
    <t>SUPPLY &amp; DELIVERY OF FUEL FOR WOMEN'S MONTH CULMINATION - GOVERNOR'S OFFICE</t>
  </si>
  <si>
    <t>PURCHASE OF TARPAULIN AND TOKENS FOR WOMEN'S MONTH CULMINATION - GOVERNOR'S OFFICE</t>
  </si>
  <si>
    <t>Supply and delivery of replacement items of Copier for official use in the Office of the Regional Director</t>
  </si>
  <si>
    <t>2020-RFQ-029 "PURCHASE OF DIGITAL DRY BATH FOR ANIMAL HEALTH LABORATORY"</t>
  </si>
  <si>
    <t>Supply and for pickup of feeds as support to Provincial Satellite Tilapia Hatchery of Nueva Ecija</t>
  </si>
  <si>
    <t>AIRCONDITIONING UNIT</t>
  </si>
  <si>
    <t>100-2019-02-240 Supply and delivery of 1 unit multi-purpose vehicle (MPV), etc.</t>
  </si>
  <si>
    <t>100-2019-10-1682 Supply and delivery of 1 unit sport utility vehicle (SUV)</t>
  </si>
  <si>
    <t>Supply in response to COVID 19</t>
  </si>
  <si>
    <t>PB-202003 – Supply and Delivery of Printers, Shredder and I.T Equipment’s</t>
  </si>
  <si>
    <t>PROCUREMENT OF CONSTRUCTION MATERIALS FOR WOMENS CRISIS CENTER</t>
  </si>
  <si>
    <t>100-2019-10-1615 Supply and delivery of 1 unit pick up vehicle</t>
  </si>
  <si>
    <t>RFQ office suppliesmay2020</t>
  </si>
  <si>
    <t>CONDUCT OF SONAR SURVEY</t>
  </si>
  <si>
    <t>20CSPH02 - Geotechnical Investigation for Slope Protection Projects along Various Road Sections and Construction of Bridge in Mountain Province for FY 2021</t>
  </si>
  <si>
    <t>PURCHASE OF EMERGENCY RESCUE VEHICLE</t>
  </si>
  <si>
    <t>Supply, Delivery and Installation of Five (5) Seater Workstation for PSI Office at Philsports Complex</t>
  </si>
  <si>
    <t>Geo-Resistivity Survey/Scanning of Proposed well sites and to determine ground water level.</t>
  </si>
  <si>
    <t>PROCUREMENT OF GEODETIC SERVICES FOR THE RELOCATION SURVEY OF THE PNR PROPERTY LOCATED AT BRGY. MALVAR, SANTIAGO CITY, ISABELA</t>
  </si>
  <si>
    <t>SUPPLY &amp; DELIVERY OF EQUIPMENT FOR WOMEN'S MONTH CULMINATION - GOVERNOR'S OFFICE</t>
  </si>
  <si>
    <t>Supply &amp; Delivery of Vehicle (REPOST)</t>
  </si>
  <si>
    <t>Completion of Food Terminal, Capitol Site, Maasin City, Southern Leyte</t>
  </si>
  <si>
    <t>20CSPH01 - Geotechnical Investigation for Slope Protection Projects along Various Road Sections in Mountain Province for FY 2020</t>
  </si>
  <si>
    <t>Construction of Cambite River Control, Barangay Cambite, Tomas Oppus, Southern Leyte</t>
  </si>
  <si>
    <t>Completion of 0.40 Km. PCCP Poblacion District 2 Circumferential Road, Pob. District 2, Silago, So. Leyte</t>
  </si>
  <si>
    <t>Rehabilitation of Armando B. Macasantos Sr. Hall at Preparatory High School</t>
  </si>
  <si>
    <t>Concreting of 400m. Barangay Road, Barangay Hingatungan, Silago, Southern Leyte</t>
  </si>
  <si>
    <t>PURCHASE OF ONE UNIT RESCUE VEHICLE  FOR MDRRM  USE</t>
  </si>
  <si>
    <t>PURCHASE OF 1 UNIT ESWM MINI DUMP TRUCK VEHICLE FOR BLGU-DUIT</t>
  </si>
  <si>
    <t>Supply &amp; Delivery of Vehicle (10 Wheeler Dumptruck)</t>
  </si>
  <si>
    <t>ORD PABAC 018-20 Lot 1 (Re-bid) Procurement of 21,347,558 rds Ctg, 5.56mm Ball M855</t>
  </si>
  <si>
    <t>Supply and Delivery of One(1) Unit Vibratory Micro Mill with Complete Parts and Accessories for the MSU-TCTO Research Office</t>
  </si>
  <si>
    <t>PR No. 20061189 – Supply and Delivery of One (1) unit Emergency Vehicle</t>
  </si>
  <si>
    <t>BUB-RICE PROCESSING COMPLEX</t>
  </si>
  <si>
    <t>Procurement of Various Office Supplies, Aluminum Ladder &amp; Furniture - Lot 3 - Furniture - PASSO</t>
  </si>
  <si>
    <t>SUPPLY AND DELIVERY OF MECHANICAL SHAKER</t>
  </si>
  <si>
    <t>Procurement of Various Office Supplies, Aluminum Ladder &amp; Furnitures - Lot 1 - Various Office Supplies - PASSO</t>
  </si>
  <si>
    <t>ITB INSTALLATION OF FLOOR TILES</t>
  </si>
  <si>
    <t>Completion of Multi-Purpose Livelihood &amp; Training Center/Covered Court, Brgy. Imelda, Silago, So. Leyte</t>
  </si>
  <si>
    <t>Construction of Records, Medicines &amp; Supply Storage Room, PHSO, Dongon, Maasin City, Southern Leyte</t>
  </si>
  <si>
    <t>Procurement of Air condition with Installation, Camera with complete Accessories &amp; Computer Set - Lot 1 - Air Condition with Installation - TOURISM</t>
  </si>
  <si>
    <t>Concreting of Road, Brgy. Poblacion, General Nakar, Quezon</t>
  </si>
  <si>
    <t>Relocation / Reinstallation of Street Lighting Phase I, Brgy. Anoling, General Nakar, Quezon</t>
  </si>
  <si>
    <t>ORD PABAC 023-20  Procurement of 12,100 rds RPG, 40mm, HE</t>
  </si>
  <si>
    <t>Supply and Delivery of Gold Bracelet Jewelry</t>
  </si>
  <si>
    <t>Procurement of Construction Materials for the Repair and Improvement of Barangay Hall and Repair and Improvement of Barangay Stage, Barangay Kalipay, Gingoog City</t>
  </si>
  <si>
    <t>One Job Supply of materials and Labor for the Construction of Agri-Fishery Center</t>
  </si>
  <si>
    <t>ORD PABAC 022-20  Procurement of 1,120 rds Ctg, 105mm, HE-ERBB</t>
  </si>
  <si>
    <t>ORD PABAC 020-20  Procurement of 1,150 rds Ctg, 76mm HE-T</t>
  </si>
  <si>
    <t>INVITATION TO BID FOR MANPOWER SERVICE</t>
  </si>
  <si>
    <t>Procurement of Air condition with Installation, Camera with complete Accessories &amp; Computer Set - Lot 2 - Camera with complete Accesories - TOURISM</t>
  </si>
  <si>
    <t>ORD PABAC 018-20 Lot 2  Procurement of 1,036,900 rds Ctg, 5.56mm Ball M855</t>
  </si>
  <si>
    <t>Development of Multi-Purpose People’s Park and Plaza</t>
  </si>
  <si>
    <t>PEO-20-0618 B (REBID) - Procurement of Diesel Fuel for use in the truck team operation for the repair and maintenance of Provincial roads and bridges in the Province of Iloilo</t>
  </si>
  <si>
    <t>CONSTRUCTION OF CANAL LININGS AT BRGY. AGUADO, TMC</t>
  </si>
  <si>
    <t>Supply, delivery and Installation of Split Type Aircon for the use of the Liga ng mga Barangay Office and Hall, Kidapawan City.</t>
  </si>
  <si>
    <t>Supply and delivery of Veterinary Supplies and animal feeds to be used for the Animal Health Services of the Office of the City Veterinarian, Kidapawan City.</t>
  </si>
  <si>
    <t>ORD PABAC 021-20  Procurement of 55,000 rds Ctg, 40x46mm, HE for 11ID, PA</t>
  </si>
  <si>
    <t>Supply and delivery of office and janitorial supplies for the use of BAC Office and CHRMO, Kidapawan City.</t>
  </si>
  <si>
    <t>Procurement of Various Vehicle Spareparts - OSP</t>
  </si>
  <si>
    <t>Procurement of Air condition with Installation, Camera with complete Accessories &amp; Computer Set - Lot 3 - IT Equipment (Coputer Set) - TOURISM</t>
  </si>
  <si>
    <t>WIDENING OF BARANGAY ROAD, POBLACION 2, BARANGAY MABINI, BURDEOS, QUEZON</t>
  </si>
  <si>
    <t>BRGY. MPB IMPROVEMENT</t>
  </si>
  <si>
    <t>Raincoat Heavy Duty etc. (06-0643) CENRO</t>
  </si>
  <si>
    <t>Portland Cement etc. (06-0649) CEO</t>
  </si>
  <si>
    <t>PROCUREMENT OF FURNITURE AND FIXTURE</t>
  </si>
  <si>
    <t>Construction of Multi-Purpose Building (Ballot Box Storage) Municipal Compound, Brgy. Anoling, General Nakar, Quezon</t>
  </si>
  <si>
    <t>CONSTRUCTION OF CANAL LININGS AT TRES CRUSES ROAD ( TRANSPORT MARKET-GOLD CREST VILLAS BRRGY. SAN AGU</t>
  </si>
  <si>
    <t>Const. of Local Road at Brgy. Poblacion Diplahan Zambo. Sibugay</t>
  </si>
  <si>
    <t>SUPPLY &amp; DELIVERY OF THREE (3) PIECES OF 4” (100MM) AND ONE (1) PIECE OF 6” (150MM) FLOW METER TO BE USED IN THE PUMPING STATIONS OF CABIAO WATER DISTRICT</t>
  </si>
  <si>
    <t>Procurement of 1 lot  Meals &amp; Snack;PR No. 20-1449 dated February 11, 2020</t>
  </si>
  <si>
    <t>SUPPLY AND DELIVERY OF  GIANT BAMBOO</t>
  </si>
  <si>
    <t>Supply &amp; Delivery 18 crtg Optimum Toner &amp; other item; PR No. 20-1452 dated June 1, 2020</t>
  </si>
  <si>
    <t>Procurement of 1 lot Replacement of under chassis water tank flooring;PR No. 20-1450 dated March 5, 2020</t>
  </si>
  <si>
    <t>Procurement of Various Office Supplies, Aluminum Ladder &amp; Furnitures - Lot 2 - Aluminum Ladder - PASSO</t>
  </si>
  <si>
    <t>Concreting of Junction Road - Lipuga Road (INFRA2020-03)</t>
  </si>
  <si>
    <t>PROCUREMENT OF MEALS AND SNACKS</t>
  </si>
  <si>
    <t>Construction Materials for the Construction of Sidewalk/Cross-Drainage along Hornachos Street</t>
  </si>
  <si>
    <t>SUPPLY AND DELIVERY OF OFFICE SUPPLIES FOR 2ND QUARTER OF 2020</t>
  </si>
  <si>
    <t>20EB0126: Repair and Maintenance of Road Safety Facilities along National Roads (Intermittent Section), Mainland</t>
  </si>
  <si>
    <t>PURCHASE OF SOLAR PANEL, ELECTRICAL SUPPLIES &amp; APPLIANCES / SOUND SYSTEM FOR KALIPI / MEDICAL SUPPLIES / TOYS AND SCHOOL SUPPLIES / SIGNAGE &amp; TARPAULIN, BARANGAY HALL OF MABINI, BURDEOS, QUEZON</t>
  </si>
  <si>
    <t>Construction Materials for the Construction of Sidewalk/Cross-Drainage along Hijosa Street</t>
  </si>
  <si>
    <t>MATERIALS, EQUIPMENT EXPENSES &amp; FREIGHT AND HANDLING FOR CONSTRUCTION OF SOLAR DRIER @ Prk. Lasar, Calabanit, Glan, Sarangani Province</t>
  </si>
  <si>
    <t>Procurement of two (2) units of Motorcycle Vehicles</t>
  </si>
  <si>
    <t>Supply, Delivery, Installation, Configuration, Migration, and Testing of Additional Servers for BTMS Infrastructure</t>
  </si>
  <si>
    <t>20EB0127: Repair and Maintenance of Road Safety Facilities along National Roads (Intermittent Section), Lubang Island</t>
  </si>
  <si>
    <t>Concreting of Purok 2 Road (Lublub) (INFRA2020-06)</t>
  </si>
  <si>
    <t>20GP003CS-Consulting Services for the Conduct of Soil Subsurface Exploration for the Enhancement of Level 1.50 Bed Cap Hospital-PA Health Service, Camp Macario B. Peralta, Jamindan, Capiz; Enhancement</t>
  </si>
  <si>
    <t>Concreting of Purok 2 Road-Batu (Lublub) (INFRA2020-05)</t>
  </si>
  <si>
    <t>Diesel Fuel for the Maintenance of Farm to Market Road</t>
  </si>
  <si>
    <t>Boga for the Maintenance of Farm to Market Road</t>
  </si>
  <si>
    <t>PURCHASE OF 1 UNIT HEAVY EQUIPMENT (CONVERTIBLE INTO GARBAGE TRUCK)</t>
  </si>
  <si>
    <t>CONSTRUCTION OF COMFORT ROOM AT PSAU GATE 2 -2nd Posting</t>
  </si>
  <si>
    <t>Laptop and Projector</t>
  </si>
  <si>
    <t>PURCHASE OF RELIEF PACKS FOR THE RESIDENTS OF BARANGAY BARAOAS SUR TO BE DISTRIBUTED DURING THE PERIOD OF LOCKDOWN.</t>
  </si>
  <si>
    <t>PURCHASE OF ONE (1) BRAND NEW VEHICLE INTENDED FOR THE MUNICIPAL ENVIRONMENTAL NATURAL RESOURCES OFFICE (MENRO) TO BE USE FOR THE SOLID WASTE MANAGEMENT POGRAM OF THE MUNICIPALITY OF PATEROS</t>
  </si>
  <si>
    <t>20GP001CS-Consulting Services for the Conduct of Soil Subsurface Exploration for the Construction of River Control along Panay River Basin at Brgy. Poblacion Ilaya, Dumalag, Capiz; Brgy. Poblacion Ila</t>
  </si>
  <si>
    <t>CONSTRUCTION OF THREE (3) BARREL RCBC  (BGY. MINARA, ROXAS, PALAWAN)</t>
  </si>
  <si>
    <t>Procurement of 130pcs. 15 mm Brass Body Water Meter for second semester of 2020</t>
  </si>
  <si>
    <t>SUPPLY AND DELIVERY OF AIRCON UNITS AND OTHER OFFICE EQUIPMENT TO BE USED FOR THE DARFO 3 SOCIO ECONOMIC PRODUCTION IN MARKETING- 2nd Posting</t>
  </si>
  <si>
    <t>CONSTRUCTION OF HANGING BRIDGE (SAN JUAN, ABORLAN, PALAWAN)</t>
  </si>
  <si>
    <t>CONSTRUCTION OF SPILLWAY  (SITIO KALAMPINAY, EL NIDO, PALAWAN)</t>
  </si>
  <si>
    <t>CONSTRUCTION/REHABILITATION OF RCBC WITH SLOPE PROTECTION (NATIONAL HIGHWAY-TABUD ROAD, BGY. PANITIAN, QUEZON, PALAWAN)</t>
  </si>
  <si>
    <t>PROPOSED DEVELOPMENT OF OPEN – AIR AUDITORIUM GROUNDS TONDALIGAN BLUE BEACH, BONUAN GUESET, DAGUPAN CITY</t>
  </si>
  <si>
    <t>Additional Network Components for BTMS Infrastructure</t>
  </si>
  <si>
    <t>AGR-20-0767-B Purchase of Weighing Scale</t>
  </si>
  <si>
    <t>SUPPLY AND DELIVERY OF RESCUE VEHICLE</t>
  </si>
  <si>
    <t>CONSTRUCTION/REHABILITATION OF HOSPITAL BUILDINGS AND FACILITIES-QUEZON MEDICARE HOSPITAL, PHASE III   (MUNICIPALITY OF QUEZON, PALAWAN)</t>
  </si>
  <si>
    <t>CONSTRUCTION OF ONE (1) BARREL RCBC LEADING TO BORAC PORT  (BGY. BORAC, CORON, PALAWAN)</t>
  </si>
  <si>
    <t>Invitation to Bid (Multicab Patrol Car Type)</t>
  </si>
  <si>
    <t>Purchased of Flu Vaccine for SK Barangay Silangan 2 Rosario, Cavite</t>
  </si>
  <si>
    <t>Procurement of Mini Dump Truck</t>
  </si>
  <si>
    <t>Procurement of Materials for the Upgrading of Meter Stand of Maslog Water District, Maslog, Eastern Samar</t>
  </si>
  <si>
    <t>Procurement of One (1) Unit Digital Photocopier - SDH</t>
  </si>
  <si>
    <t>Procurement of Various Vehicle Spare Parts - PGO</t>
  </si>
  <si>
    <t>REHABILITATION / IMPROVEMENT OF MULTI-PURPOSE CENTER</t>
  </si>
  <si>
    <t>PR No.2020-05-58– PURCHASE OF ICT EQUIPMENTS for official use of DENR-CAR, PENRO Mountain Province</t>
  </si>
  <si>
    <t>Procurement of Office Supplies, LGU-Maslog, E. Samar</t>
  </si>
  <si>
    <t>Retrofitting of Suspension Bridge I @ Maslog, Eastern Samar</t>
  </si>
  <si>
    <t>Procurement of Premium Gasoline - PGO</t>
  </si>
  <si>
    <t>Procurement of Various Housekeeping Supplies and Office Supplies - PEO - MOTORPOOL</t>
  </si>
  <si>
    <t>Procurement of Materials for the Demolition of Dilapidated Multi-Purpose Gymnasium @ Maslog, Eastern Samar</t>
  </si>
  <si>
    <t>Concreting of Marikit East Circumferential Road (INFRA2020-04)</t>
  </si>
  <si>
    <t>ADDITIONAL FUND FOR THE COMPLETION OF COVERED COURT @ BRGY. GUINHALINAN</t>
  </si>
  <si>
    <t>ADDITIONAL FUND FOR THE COMPLETION OF COVERED COURT @ BRGY. BINAY</t>
  </si>
  <si>
    <t>Procurement of Materials for the Repair of Farm Equipment Facilities @ Pob. 01 and 02, Maslog, Eastern Samar</t>
  </si>
  <si>
    <t>Procurement of Vehicle Spare parts - PGO</t>
  </si>
  <si>
    <t>Procurement of Publication of SP Ordinance - OSP</t>
  </si>
  <si>
    <t>Procurement of Spare parts and Services - OVG</t>
  </si>
  <si>
    <t>Purchase of One (1) unit 4x4 Pick- Up Vehicle (Brand New) at Dinapigue, Isabela</t>
  </si>
  <si>
    <t>REHAB.OF ROAD (INCL.BOX CULVERT) AT JCTN.NATL HWAY   MAHOGANY LEADING TO SCHOOL SITE, BUENAVISTA     DF19-8000- B1-b13</t>
  </si>
  <si>
    <t>CONC./IMPVT.OF ROAD AT SUNRISE VILLAGE, TIGUMA     2SAIP20-8000-C1a4</t>
  </si>
  <si>
    <t>CONSTRUCTION OF DRAINAGE ALONG F.S. PAJARES AVE. (JCT.SANSON ST. - CABRERA ST.) WESTERN SIDE    DRRMF20-1000-2-b10</t>
  </si>
  <si>
    <t>Procurement of Various Office Supplies - SDH</t>
  </si>
  <si>
    <t>Construction of Multipurpose Building of Ihan, Kiblawan, Davao del sur</t>
  </si>
  <si>
    <t>AB MOOE ,RRMF AND SK PROJECT 2020 PORJECT-PURCHASE OF CCTV CAMERA, SUPPLIES,DEVICES AND GENERAL MERCHANDISE</t>
  </si>
  <si>
    <t>PR 9-20-06-0671, FOR THE USE OF SAN CARLOS CITY HOSPITAL, THIS CITY.</t>
  </si>
  <si>
    <t>PR 1-20-06-0680, FOR USE OF CITY ENGINEERING DEPARTMENT ASSIGNED AT CED, THIS CITY.</t>
  </si>
  <si>
    <t>CONSTRUCTION OF 	TRIBAL CENTER</t>
  </si>
  <si>
    <t>Procurement of Banana Cardava Plantlets - PAGSO</t>
  </si>
  <si>
    <t>20GP002CS-Consulting Services for the Conduct of Soil Subsurface Exploration for the Construction of River Control along Panay River Basin at Brgy. Angub, Cuartero, Capiz; Poblacion Ilaya, Cuartero, C</t>
  </si>
  <si>
    <t>Procurement of Various Office Supplies - PSWDO</t>
  </si>
  <si>
    <t>Purchase of Motorcycles (Brand New)1.Two (2) units of Motorcycles - ₱ 100,000.00 2.One (1) unit of Motorcycle - ₱ 74,200.00 at Dinapigue, Isabela</t>
  </si>
  <si>
    <t>Purchase of One (1) unit Motorcycle (Brand New) at Dinapigue, Isabela</t>
  </si>
  <si>
    <t>Procurement of Various Laboratory Supplies - SDH</t>
  </si>
  <si>
    <t>Procurement of One (1) Unit Rescue Vehicle - PDRRMO</t>
  </si>
  <si>
    <t>PR 1-20-06-0681, FOR USE OF THE SAN CARLOS CITY POLICE STATION AND REGIONAL MOBILE FORCE BATTALION 6, ASSIGNED IN THIS CITY.</t>
  </si>
  <si>
    <t>Procurement of GOODS FOR THE Installation of RAIN WATER HARVESTER</t>
  </si>
  <si>
    <t>Purchase of Heavy Equipment (Brand New) 1. Boom Truck (Hydraulic) at Dinapigue, Isabela</t>
  </si>
  <si>
    <t>2LSSM2020A-277 Other Supplies and Materials</t>
  </si>
  <si>
    <t>PR 9-20-03-0415, FOR THE REPLACEMENT OF AIRCON UNIT FOR DELIVERY ROOM, LABOR ROOM, &amp; PHARMACY SECTION OF THE CITY HOSPITAL.</t>
  </si>
  <si>
    <t>PR 4-20-06-0643, FOR USE OF THE CWD IN THE THREADING OF GI PIPES DURING THE TRANSFERRING OF STUBOUTS FOR THE INSTALLATION OF ENCLOSURES IN THE WHOLE CITY.</t>
  </si>
  <si>
    <t>2LSSM2020A-276 Office Supplies</t>
  </si>
  <si>
    <t>PR 1-20-06-0733, FOR USE OF REPAIR &amp; MAINTENANCE FOR VARIOUS ROADS OF BRGY QUEZON.</t>
  </si>
  <si>
    <t>PR 1-20-06-0699, FOR USE OF WIDENING &amp; IMPROVEMENT ALONG LEFT SIDE OF CIRCUMFERENTIAL ROAD (C-2) (FROM JUNCTION ECO-TOURISM HIGHWAY TO BATICULAN CREEK) 2ND REVISION.</t>
  </si>
  <si>
    <t>PR 1-20-06-0683, FOR USE OF  REP. AND MAINT. OF CITY ROADS.</t>
  </si>
  <si>
    <t>PR 1-20-06-0659, FOR USE IN ANIMAL DISEASE CONTROL PROGRAM, CITY AGRICULTURE OFFICE, THIS CITY.</t>
  </si>
  <si>
    <t>Procurement of Various Office Supplies - PAGSO</t>
  </si>
  <si>
    <t>PR 9-20-06-0695, FOR THE USE OF SAN CARLOS CITY HOSPITAL, THIS CITY.</t>
  </si>
  <si>
    <t>Procurement of Window Grills - SLPL</t>
  </si>
  <si>
    <t>2LSSM2020A-278 Other Supplies and Materials</t>
  </si>
  <si>
    <t>PR 1-20-06-0732, FOR USE OF REPAIR &amp; MAINTENANCE FOR VARIOUS ROADS OF BRGY CODCOD.</t>
  </si>
  <si>
    <t>PR 9-20-04-0533, FOR THE USE OF SAN CARLOS CITY HOSPITAL, THIS CITY.</t>
  </si>
  <si>
    <t>PR 1-20-03-0482, FOR USE AT THE OFFICE OF THE CITY AGRICULTURIST, THIS CITY.</t>
  </si>
  <si>
    <t>Procurement of Various Office Supplies - PHSO</t>
  </si>
  <si>
    <t>PR 1-20-03-0487, FOR USE OF OFFICE OF THE BUILDING OFFICIAL, CITY ENGINEERING DEPARTMENT.</t>
  </si>
  <si>
    <t>PR 1-20-03-0497, FOR THE USE OF GUESTS, FACILITATORS AND VISITORS OF THE PUBLIC EMPLOYMENT SERVICE OFFICE, THIS CITY.</t>
  </si>
  <si>
    <t>FURNISHING OF LABOR AND MATERIALS FOR THE IMPROVEMENT OF MULTI-PURPOSE HALL</t>
  </si>
  <si>
    <t>PR 401-20-03-0453, FOR USE OF THE VARIOUS WATER INFRASTUCTURE PROJECTS OF THE CITY IN COMPLIANCE TO EXISTING ENVIRONMENTAL LAWS AND ADMINISTRATIVE ORDERS.</t>
  </si>
  <si>
    <t>FURNISHING OF LABOR AND MATERIALS FOR THE CONSTRUCTION OF DRAINAGE CANAL</t>
  </si>
  <si>
    <t>FURNISHING OF LABOR AND MATERIALS FOR THE CONCRETING OF BARANGAY ROAD</t>
  </si>
  <si>
    <t>Office Equipment's</t>
  </si>
  <si>
    <t>Supply and Delivery of Catering Services for the Updating of MDRRM Plan and Formulation of BDRRM Plans</t>
  </si>
  <si>
    <t>PR 9-20-06-0676, FOR USE OF THE SAN CARLOS CITY HOSPITAL, THIS CITY.</t>
  </si>
  <si>
    <t>PR 9-20-06-0740, FOR USE OF THE SAN CARLOS CITY HOSPITAL, THIS CITY.</t>
  </si>
  <si>
    <t>PR 9-20-06-0739, FOR THE USE OF SAN CARLOS CITY HOSPITAL, THIS CITY.</t>
  </si>
  <si>
    <t>PR 1-20-06-0649, FOR USE IN THE  ELECTRICAL SERVICES, (CED ) THIS CITY.</t>
  </si>
  <si>
    <t>2LSSM2020A-279 Procurement of Equipment</t>
  </si>
  <si>
    <t>Flood Control (Malico)</t>
  </si>
  <si>
    <t>Provision of food supplies</t>
  </si>
  <si>
    <t>Supply and Delivery of desktop computers-engineering</t>
  </si>
  <si>
    <t>2LSSM2020A-282 Military, Police &amp; Traffic Supplies</t>
  </si>
  <si>
    <t>Provision of meals and snacks</t>
  </si>
  <si>
    <t>2LSSM2020A-281 Printing and Publication</t>
  </si>
  <si>
    <t>IMPROVEMENT OF BARANGAY STREETLIGHT - 20% EDF 2019</t>
  </si>
  <si>
    <t>Supply &amp; Delivery of FURNITURE &amp; FIXTURES</t>
  </si>
  <si>
    <t>20CE0231: Asset Preservation – Preventive Maintenance – Secondary Roads - Bongabon – Rizal – Aurora Rd K0153+819 – K0153+1000</t>
  </si>
  <si>
    <t>PR 1-20-04-0532, FOR USE OF TRAFFIC ENFORCER’S UNIFORM SAN CARLOS CITY NEG. OCC.</t>
  </si>
  <si>
    <t>Supply and Delivery of Various Construction Materials (Manpower Center)</t>
  </si>
  <si>
    <t>2LSSM2020A-280 Procurement of Furniture &amp; Fixtures</t>
  </si>
  <si>
    <t>OTHER SUPPLIES, 1ST QUARTER - MAYOR'S OFFICE</t>
  </si>
  <si>
    <t>Purchase of CCTV with Installation</t>
  </si>
  <si>
    <t>MG-LGD20-002..FUEL, GASOLINE, DIESEL</t>
  </si>
  <si>
    <t>10 pcs Auto Bulb 24 volts (double big) and other items for stop light and signal light of vaccum trucks 1-8 used.</t>
  </si>
  <si>
    <t>Purchase of Assorted Medicines</t>
  </si>
  <si>
    <t>20CE0230: Network Development – Construction of By-Pass and Diversion Roads - San Roque – Bacayao Road, Guimba By-Pass, Package 2, Nueva Ecija</t>
  </si>
  <si>
    <t>PR 9-20-06-0734, FOR USE OF THE SAN CARLOS CITY HOSPITAL, THIS CITY.</t>
  </si>
  <si>
    <t>Procurement of Various Aggregates Supplies-06-383(O)PEO</t>
  </si>
  <si>
    <t>PURCHASED OF BRGY PATROL CAR ( MOTORCYCLE W/ SIDECAR)</t>
  </si>
  <si>
    <t>FURNISHING OF MATERIALS FOR THE SECONDARY LINE P.E PIPE WATER SYSTEM</t>
  </si>
  <si>
    <t>Rehabilitation/Improvement of Multi-Purpose Building Phase II</t>
  </si>
  <si>
    <t>Referee Services</t>
  </si>
  <si>
    <t>SUPPLY AND DELIVERY OF MATERIALS FOR THE EXTENSION OF MULTI PURPOSE HALL (SLAB), BRGY. TUBIGAN, UNISAN, QUEZON</t>
  </si>
  <si>
    <t>Purchase of Medal and Trophies</t>
  </si>
  <si>
    <t>OFFICE EQUIPMENT SUPPLIES &amp; CONSUMABLES</t>
  </si>
  <si>
    <t>Provision/Improvement of Hand Wash Area - San Miguel, Puraran, Guinsaanan, Moning, Abihao (rebid)</t>
  </si>
  <si>
    <t>1 unit Photocopier</t>
  </si>
  <si>
    <t>20CE0232: Asset Preservation – Rehabilitation/Reconstruction/Upgrading of Damaged Paved Roads – Primary Roads - Sn Jose – Lupao Rd - K0172+192 – K0172+259</t>
  </si>
  <si>
    <t>BEAUTIFICATION OF BOULEVARD ROAD (PLANT BOX AND LANDSCAPING)</t>
  </si>
  <si>
    <t>Materials for the Concreting of Footwalk, Brgy. Zone 10, Cabatuan, Iloilo</t>
  </si>
  <si>
    <t>SUPPLY OF LABOR AND MATERIALS FOR THE HAULING, TRANSPORT AND TREATMENT of various BIOLOGICAL, CHEMICAL, ELECTRICAL and ELECTRONICS EQUIPMENT WASTES</t>
  </si>
  <si>
    <t>Installation of Isolation Booth for PUM &amp; PUI @ San Pedro National High School, San Pedro</t>
  </si>
  <si>
    <t>20DN0145 - CONSTRUCTION OF PEDESTRIAN OVERPASS, MAMBUGAN, ANTIPOLO CITY, RIZAL</t>
  </si>
  <si>
    <t>INSTALLATION OF SOLAR STREETLIGHTS AT BIAC NA BATO ST., BRGY. SILANGAN I, ROSARIO, CAVITE</t>
  </si>
  <si>
    <t>Procurement of Various Construction Supplies and Materials-06-378(O)PEO</t>
  </si>
  <si>
    <t>RFQ FOR CONSTRUCTION SUPPLIES</t>
  </si>
  <si>
    <t>PR 18-20-06-0646, CONSTRUCTION AND DEVELOPMENT OF LAND CIRCUMFERENTIAL ROAD (C-1 BOULEVARD) PORT AREA, BRGY VI, SAN CARLOS CITY (FILLING FOR EMBANKMENT).</t>
  </si>
  <si>
    <t>Concreting of Farm to Market Road with Slope Protection at Sitio San Julian-Caniogan, Brgy. Escoda, Marcos, Ilocos Norte</t>
  </si>
  <si>
    <t>Procurement of Various Construction Supplies and Materials-06-379(O)PEO</t>
  </si>
  <si>
    <t>REHABILITATION OF DRAINAGE</t>
  </si>
  <si>
    <t>PROCUREMENT OF SACKS OF RICE (Including Freight &amp; handling) FOR THE MENACE OF N-COVID 19 UNDER BGCM</t>
  </si>
  <si>
    <t>SUPPLY  AND DELIVERY OF IT EQUIPMENT AND ACCESSORIES FOR THE CITY HEALTH OFFICE - TWO FAILED BIDDING</t>
  </si>
  <si>
    <t>Airconditioning Unit for the Use of Isolation Facility, LGU-Cabatuan, Iloilo</t>
  </si>
  <si>
    <t>Supply and Delivery Water System Materials &amp; Fittings</t>
  </si>
  <si>
    <t>Supply and Delivery of Two (2) units Brand New MOTORCYCLE for MCDRRMO/OPSS, City Government of Marikina</t>
  </si>
  <si>
    <t>PROCUREMENT ON THE DELIVERY OF MATERIALS FOR THE PROPOSED SOLAR STREET LIGHTING</t>
  </si>
  <si>
    <t>CONSTRUCTION OF RIP RAP - 20% EDF 2019</t>
  </si>
  <si>
    <t>Installation of  Street light at Pob. Diplahan ZSP.</t>
  </si>
  <si>
    <t>UPGRADING OF LEVEL III WATER SUPPLY SYSTEM (PHASE IV)</t>
  </si>
  <si>
    <t>Procurement of Various Electrical Supplies-06-380(O)PEO</t>
  </si>
  <si>
    <t>46 Books Local Guiding Services, etc.</t>
  </si>
  <si>
    <t>PRE-BID CONFERENCE 7/July/2020 - Procurement of Goods: Const'n Materials for the use of CMO-Const'n of Parks &amp; Plaza's in Brgy's &amp; Subd. (Arena Stage Rear) at City Gov't Center (PR#100-20-06-0214)</t>
  </si>
  <si>
    <t>For acquisition of 85 spineboards for the use of the public schools in the City School Division.</t>
  </si>
  <si>
    <t>Fuels/fuel Additives and Lubricants and Anti Corrisive</t>
  </si>
  <si>
    <t>Procurement of Various Construction Supplies and Materials-06-382(O)PEO</t>
  </si>
  <si>
    <t>Procurement of Various Spare Parts-06-375(O)PEO</t>
  </si>
  <si>
    <t>Materials for the Concreting of Farm to Market Road, Brgy. Anuang, Cabatuan, Iloilo</t>
  </si>
  <si>
    <t>20DN0146 - CONSTRUCTION/ REHABILITATION OF MULTI - PURPOSE BUILDING, BRGY. BAGONG NAYON, ANTIPOLO CITY, RIZAL</t>
  </si>
  <si>
    <t>P.R. # 20-06-067 For the repair and maintenance of National roads &amp; bridges within Caloocan City &amp; Valenzuela City, For Work Category No. 18-Repainting of Faded Pavement Markings for the Month of July</t>
  </si>
  <si>
    <t>Procurement of Various Construction Supplies and Materials-06-100(Q)ZNMC</t>
  </si>
  <si>
    <t>Purchase and delivery of One (1) Unit Motor Vehicle - Patrol Vehicle</t>
  </si>
  <si>
    <t>Procurement of One (1) Unit Rescue Vehicle</t>
  </si>
  <si>
    <t>FOR THE CONSTRUCTION OF BODEGA AT MUNICIPAL NURSERY AS TOCK ROOM FOR PROCESSING EQUIPMENT</t>
  </si>
  <si>
    <t>CONSTRUCTION REHABILITATION OF CONCRETE ROAD</t>
  </si>
  <si>
    <t>PROCUREMENT OF VARIOUS EQUIPMENT FOR C.E. LABORATORY</t>
  </si>
  <si>
    <t>SUPPLY AND INSTALLATION OF CLOSED CIRCUIT TELEVISION (CCTV) SYSTEM CAMERA</t>
  </si>
  <si>
    <t>MG-TSE20-018..METER MULTIFUNCTION</t>
  </si>
  <si>
    <t>20DN0147 - REHABILITATION OF ROAD WITH DRAINAGE, BLUE BELLS ST., BRGY. MAYAMOT, ANTIPOLO CITY</t>
  </si>
  <si>
    <t xml:space="preserve">P.R. # 20-06-066 For the repair and maint. of National roads and bridges within Caloocan City &amp; Valenzuela City, C.Y. 2020 Routine Maintenance (For the month of July to September) for Work Categories </t>
  </si>
  <si>
    <t>Construction of Gymnasium (Phase VI) at Bauang North Central School, Central East, Bauang</t>
  </si>
  <si>
    <t>PROCUREMENT OF MATERIALS FOR FABRICATION OF FIBERGLASS PUMP BOAT</t>
  </si>
  <si>
    <t>Supply and Delivery of Two (2) units Brand New PATROL VAN for MCDRRMO/OPSS, City Government of Marikina</t>
  </si>
  <si>
    <t>20DN0148 - REHABILITATION OF ROAD WITH DRAINAGE, ORCHID ST., BRGY. MAYAMOT, ANTIPOLO CITY</t>
  </si>
  <si>
    <t>Supply and delivery of office and janitorial Supplies for the various Offices(SP Office, Mayor’s Office, TMU,CENRO) of the City Government of Kidapawan.</t>
  </si>
  <si>
    <t>P.R. # 20-06-069 For the repair and maintenance of National roads &amp; bridges within Caloocan City &amp; Valenzuela City, C.Y. 2020 Routine Maintenance for the Purchase of Asphaltic Materials (Cold Laid) fo</t>
  </si>
  <si>
    <t>Catering services including room accommodation during 2-day training on business enterprise management</t>
  </si>
  <si>
    <t>BILLING NOTICE WITH STATEMENT OF ACCOUNT</t>
  </si>
  <si>
    <t>Construction of Brgy. Multi-purpose Building, Brgy. Ninoy Aquino, Canlaon City</t>
  </si>
  <si>
    <t>Amdalagan – Binag-il Road Improvement</t>
  </si>
  <si>
    <t>Construction of Temporary Facility (Toilet) for Frontliners Barangay San Jose, Malaybalay City.</t>
  </si>
  <si>
    <t>Supplies and Equipment for Coconut By-Products Processing</t>
  </si>
  <si>
    <t>Supply and Delivery of water supply Fittings and Materials</t>
  </si>
  <si>
    <t>Construction of Multi Purpose Building Phase I</t>
  </si>
  <si>
    <t>Purchase of Motorcycle for Brgy. Canroma, Pontevedra, Neg. Occ.</t>
  </si>
  <si>
    <t>STO20-06-24-0325 Provision for Catering Services, good for  30 pax for the Conduct of CY 2020 Program Level  3rd Quarter Assessment.</t>
  </si>
  <si>
    <t>Cocoy – Natpugan Road Improvement</t>
  </si>
  <si>
    <t>Street Lighting</t>
  </si>
  <si>
    <t>150 pcs. Polo shirt with print back to back printing</t>
  </si>
  <si>
    <t>CONCRETING OF 150 L-METERS SIEMBRE-SAN FRANCISCO FARM TO MARKET ROAD</t>
  </si>
  <si>
    <t>Acquisition of Multi-Cultivator</t>
  </si>
  <si>
    <t>SUPPLY AND DELIVERY OF 1 UNIT DIGITAL DUPLICATOR MACHINE</t>
  </si>
  <si>
    <t>Purchase of Construction materials and supplies for Community Isolation Unit for Covid-19</t>
  </si>
  <si>
    <t>P.R. # 20-06-079 Ink for Printer Wf-C5790 for use of MMIIIDEO</t>
  </si>
  <si>
    <t>20GK0226 - Concreting of Brgy. General Luna to Brgy. Barrera FMR, Brgy. General Luna and Brgy. Barrera, Sagay City, Negros Occidental</t>
  </si>
  <si>
    <t>20DN0149 - REHABILITATION OF ROAD WITH DRAINAGE, CAROLINA VILLAGE, STA. CRUZ, ANTIPOLO CITY, RIZAL</t>
  </si>
  <si>
    <t>REHABILITATION OF LINED CANAL AND DRAINAGE (PARTIAL)</t>
  </si>
  <si>
    <t>Emergency Purchase to prevent spread of covid 19 (PRN2020-4-112)</t>
  </si>
  <si>
    <t>PROCUREMENT OF ONE (1) UNIT BRAND NEW VEHICLE (VAN) TO BE USED FOR MASS TRANSPORT OF  LGU-MOLAVE</t>
  </si>
  <si>
    <t>CONSTRUCTION OF DEEPWELL, MADOPDOP, LACNOG</t>
  </si>
  <si>
    <t xml:space="preserve">P.R. # 20-06-070 For the repair and maintenance of national roads and bridges within Caloocan City and Valenzuela City, For work Category No. 18-Repainting of Faded Pavement Markings for the Month of </t>
  </si>
  <si>
    <t>MG-TSE20-021..PROTECTION RELAY, DIGITAL</t>
  </si>
  <si>
    <t>MG-TSE20-022..SWITCH, ISOLATION, METERING PROTECTION SYSTEM</t>
  </si>
  <si>
    <t>PROCUREMENT OF VACUUM PACK SEALER</t>
  </si>
  <si>
    <t>Procurement of construction materials for Road Improvement ( Concrete)@ Purok 1,Inggo Agus Street, San Jose</t>
  </si>
  <si>
    <t>20GK0227 - Concreting of Brgy. Lagaan FMR, Brgy. Lagaan, Calatrava, Negros Occidental</t>
  </si>
  <si>
    <t>Repair and Rehabilitation of Municipal Streets Roads</t>
  </si>
  <si>
    <t>PURCHASE OF MEAT VAN VEHICLE</t>
  </si>
  <si>
    <t>“Supply and delivery of office supplies for the month of May 2020 for Kasiglahan Village Elementary School”</t>
  </si>
  <si>
    <t>120 tube Epson L120 ink black</t>
  </si>
  <si>
    <t>Supply and delivery of various office supplies as per PR# 2020-02-0454 etc.</t>
  </si>
  <si>
    <t>2020-06-0154 - SUPPLY AND DELIVERY OF PLASTIC BARRIERS AND TRAFFIC CONES WITH DPWH LOGO FOR USE IN THE TRAFFIC RE-DIRECTION OR ADVANCED WARNING HAZARDS AND DANGERS IN THE IMPLEMENTATION OF ROAD MAINTE</t>
  </si>
  <si>
    <t>Job Request_01_Tilling Works of Solar Room</t>
  </si>
  <si>
    <t>Supply and Delivery of One (1) unit Brand New PICK-UP  for MCDRRMO, City Government of Marikina</t>
  </si>
  <si>
    <t>P.R. # 20-06-068 For the repair and maintenance of National roads &amp; bridges within Caloocan City &amp; Valenzuela City, C.Y. 2020 Routine Maintenance 3rd Quarter (July to September)</t>
  </si>
  <si>
    <t>MG-TSE20-024..TESTER, INSULATION AT 10 KV</t>
  </si>
  <si>
    <t>PRE-BID CONFERENCE 7/July/2020 - Procurement of Goods: 120 Units of LAPTOP COMPUTER for the use of DEPED - For Various Schools (PR#200-20-06-0125)</t>
  </si>
  <si>
    <t>Construction of Municipal Slaughterhouse (Phase-1)</t>
  </si>
  <si>
    <t>SUPPLY &amp; DELIVERY OF CONSTRUCTION SUPPLIES TO BE USE BY CPSH</t>
  </si>
  <si>
    <t>Supply and Delivery of Vehicle Parts and Accessories for replacement of worn-out parts of Planning and Design Section Vehicles</t>
  </si>
  <si>
    <t>1 unit Desktop Computer, etc.</t>
  </si>
  <si>
    <t>Purchase of Consolidated office supplies for the 1st Quarter CY 2020 to be used in this municipality</t>
  </si>
  <si>
    <t>Supply and Delivery of Four (4) units Brand New ALUMINUM VAN  for MCDRRMO/GSO, City Government of Marikina</t>
  </si>
  <si>
    <t>CONSTRUCTION OF CONCRETE PATHWAY @ BRGY. DAJA DAKU</t>
  </si>
  <si>
    <t>Quotation No.20-06-360 = PROCUREMENT OF COMMON OFFICE SUPPLIES (Infectious Cluster)</t>
  </si>
  <si>
    <t>Supply and Delivery of Spare Parts (5 pcs Battery &amp; 30 Tires) for Bukidnon IMO Vehicle</t>
  </si>
  <si>
    <t>20DN0150 - ASPHALT OVERLAY, PINAGMISAHAN ST., BRGY. DELA PAZ, ANTIPOLO CITY</t>
  </si>
  <si>
    <t>Various Drugs And Medicines</t>
  </si>
  <si>
    <t>Rehabilitation/Improvement of Farm to Market Road</t>
  </si>
  <si>
    <t>Repair and Maintenance Emergency Vehicles 2nd Qtr.</t>
  </si>
  <si>
    <t>Supply and Delivery of ICT Equipment/Devices (GADGET for Good Governance with Enhanced Technology)</t>
  </si>
  <si>
    <t>PROCUREMENT OF DENTAL EQUIPMENT</t>
  </si>
  <si>
    <t>MG-TSE20-032..REHAB/REPAIR OF VARIOUS DEFECTIVE LOW/MEDIUM/HIGH VOLTAGE EQUIPMENT</t>
  </si>
  <si>
    <t>Tupaan – Bileng Road Construction</t>
  </si>
  <si>
    <t>PRE-BID CONFERENCE 7/July/2020 - Procurement of Goods: Const'n Materials &amp; Supplies for the use of CMO - Rehabilitation of Multi-purpose Pavement at CDRRMO Complex, Canocotan, T.C. (PR#100-20-06-0167)</t>
  </si>
  <si>
    <t>20DN0151 - REHABILITATION OF ROAD WITH DRAINAGE, BRGY. MUNTINDILAW, ANTIPOLO CITY</t>
  </si>
  <si>
    <t>Computer Monitor and Accessories</t>
  </si>
  <si>
    <t>Job Request_02_Wall Partition of TESDA RTC Canteen</t>
  </si>
  <si>
    <t>Supply and Delivery of Materials for Replacement of Submersible Pump (KALAHI Water System)</t>
  </si>
  <si>
    <t>RENOVATION OF FEMALE COMFORT ROOM</t>
  </si>
  <si>
    <t>Supply and Delivery of Office Equipment (10 units closed circuit television including labor, materials and installation) for NIA - Bukidnon IMO Compound</t>
  </si>
  <si>
    <t>P.R. # 20-06-080 Mylar Film for use of Planning &amp; Design Section</t>
  </si>
  <si>
    <t>Emergency Purchase to prevent spread of  covid19 (PRN2020-4-113) 2b</t>
  </si>
  <si>
    <t>CONSTRUCTION OF BAMBOO GREEN HOUSE/NURSERY, MAPAWAY</t>
  </si>
  <si>
    <t>Purchase of CCTV</t>
  </si>
  <si>
    <t>Procurement of Office Furnitures for LGU Manito</t>
  </si>
  <si>
    <t>STO20-06-24-0324 Provision of Catering Services, good for  30 pax for the Conduct of CY 2020 Program Level  Fourth Quarter Assessment.</t>
  </si>
  <si>
    <t>10 rms Book paper short</t>
  </si>
  <si>
    <t>SUPPLY AND DELIVERY OF 100 PCS VOLUMETRIC WATER METER</t>
  </si>
  <si>
    <t>Site Development of Municipal Sta. Rita Housing Project (Phase III)</t>
  </si>
  <si>
    <t>Job Request_03_Wall Partition of Staff House</t>
  </si>
  <si>
    <t>PROCUREMENT FOR THE PROPOSED DORMITORY AND FUNCTION HALL  AT THE ROOF DECK OF THE THREE STOREY BUILDING, PHASE I, DR. JOSE RIZAL MEMORIAL HOSPITAL</t>
  </si>
  <si>
    <t>Pakyaw labor for the opening/gravelling of  Farm  to Market Road  @ Brgy, Kipit, Titay, ZSP.</t>
  </si>
  <si>
    <t>4 unit Desktop Computer</t>
  </si>
  <si>
    <t>SUPPLY AND DELIVERY OF OFFICE SUPPLIES (P.R. NO. 100-20-04-0169)</t>
  </si>
  <si>
    <t>Palintaang – Kulili Road Improvement</t>
  </si>
  <si>
    <t>GAD Information and Dissemination Campaign</t>
  </si>
  <si>
    <t>Procurement of Various Plumbing Materials</t>
  </si>
  <si>
    <t>PROCUREMENT OF OFFICE EQUIPMENTS FOR USE IN DEVELOPMENT TRAININGS AND SEMINARS</t>
  </si>
  <si>
    <t>PROCUREMENT OF MOTOR VEHICLE (PASSENGER VAN)-REBID, DR. JOSE RIZAL MEMORIAL HOSPITAL</t>
  </si>
  <si>
    <t>Procurement of IT and Office Equipment for LGU Manito</t>
  </si>
  <si>
    <t>REPAIR OF 36 UNITS CCTV CAMERAS AND INSTALLATION OF 7 UNITS CCTV CAMERAS</t>
  </si>
  <si>
    <t>Procurement of Toyota HILUX Spare Parts</t>
  </si>
  <si>
    <t>PROCUREMENT OF FUEL &amp; LUBRICANTS UNDER BGCM</t>
  </si>
  <si>
    <t>Procurement of Office Equipment to be distributed in selected Barangays, Province of Surigao del Sur.</t>
  </si>
  <si>
    <t>Supply, delivery, installation &amp; commissioning of 5KVA, 10HP Watercooled, silent type, diesel, portable Inverter Power Generator set w/ complete accessories.</t>
  </si>
  <si>
    <t>PRINTING OF IDs</t>
  </si>
  <si>
    <t>1 set Desktop Computer, etc.</t>
  </si>
  <si>
    <t>Package 01: A. Bawi – Lebeng Concrete Pathway Extension, B. Ambuyeng CIS Improvement, C. Gaday – Huyukto FMR Improvement</t>
  </si>
  <si>
    <t>Purchase of spareparts for the maintenance of Heavy Equipment &amp; various materials for motorpool use</t>
  </si>
  <si>
    <t>Supply and delivery of agricultural supplies as per PR # 2020-02-0537 etc.</t>
  </si>
  <si>
    <t>Construction of Deep well, Purok Narra</t>
  </si>
  <si>
    <t>PURCHASE OF CONSTRUCTION MATERIALS &amp; SUPPLIES FOR THE IMPROVEMENT OF MANPOWER DEVELOPMENT CENTER AND ELECTRICAL MATERIALS  FOR THE INSTALLATION OF STREETLIGHTS</t>
  </si>
  <si>
    <t>Procurement of IT Equipment, Peripherals &amp; Other Office Equipment</t>
  </si>
  <si>
    <t>INVITATION TO BID FOR THE PROJECT: CONCRETING OF BANGCOL-LOMBOY ROAD, BANGCOL, STA. CRUZ, ZAMBALES</t>
  </si>
  <si>
    <t>Emergency Purchaseto prevent spread covid19 (PRN2020-4-114)</t>
  </si>
  <si>
    <t>Supply and Delivery of Various Replacement of Defective Parts of Esser/gent Fire Alarm System</t>
  </si>
  <si>
    <t>Rehab./Improvement of Multi-Purpose Building</t>
  </si>
  <si>
    <t>Quotation No.20-06-361 = Procurement of IT Equipment/ Parts/Accessories/Consumables/ Memory Storage</t>
  </si>
  <si>
    <t>Supply and Delivery of One (1) Lot Vegetable Seeds (Re-Bid).</t>
  </si>
  <si>
    <t>Procurement of ID Card Printer</t>
  </si>
  <si>
    <t>Supply and Delivery of Medicine (Lot 1)</t>
  </si>
  <si>
    <t>Expansion of Hernani Cultural Stage and Construction of Comfort Room</t>
  </si>
  <si>
    <t>(PGSO) INVITATION TO BID FOR THE SUPPLY AND DELIVERY OF CONSTRUCTION MATERIALS  FOR THE  PROVINCIAL GENERAL SERVICES OFFICE (PGSO)</t>
  </si>
  <si>
    <t>Purchase of Diesel fuel oil and Lubricants for the Vehicle detiled at Mayor's office.</t>
  </si>
  <si>
    <t>Purchase of Sparparts for Heavy Equipment.</t>
  </si>
  <si>
    <t>PROCUREMENT OF OTHER SUPPLIES AND MATERIALS</t>
  </si>
  <si>
    <t>To Support the Logistical Requirements of 42IB,9ID, PA</t>
  </si>
  <si>
    <t>Supply and Delivery of Two (2) units Brand New COMPACT PASSENGER VAN for MSO-BHHRD, City Government of Marikina</t>
  </si>
  <si>
    <t>(PVSO)  INVITATION TO BID FOR THE SUPPLY AND DELIVERY OF ANIMAL FEEDS  AND VETERINARY SUPPLIES   FOR THE  PROVINCIAL VETERINARY SERVICES OFFICE (PVSO)</t>
  </si>
  <si>
    <t>Procurement of PC Antivirus, Licensed OS (Microsoft) Windows 10 and Mobile Phone</t>
  </si>
  <si>
    <t>Improvement of Multi-Purpose Hall at Cagwang, G-Hernandez, Bohol</t>
  </si>
  <si>
    <t>Maintenance of St Lights</t>
  </si>
  <si>
    <t>Repair and Maintenance of Breastfeeding Room</t>
  </si>
  <si>
    <t>Invitation to Bid for PROCUREMENT OF OFFICE SUPPLIES AND EQUIPMENT</t>
  </si>
  <si>
    <t>Purchase of Drum DR312, Transfer Roller, Desktop Computer Monitor, Barcode Scanner Handheld etc. (for office  use)</t>
  </si>
  <si>
    <t>PURCHASE OF THE MATERIALS FOR THE IMPROVEMENT OF WATER SYSTEM FROM PUROK 2 TO 7</t>
  </si>
  <si>
    <t>20DN0152 - CONSTRUCTION AND/ OR REPAIR/ REHABILITATION OF MULTI - PURPOSE BUILDING, BRGY. SAN JUAN, CAINTA, RIZAL</t>
  </si>
  <si>
    <t>(PVSO)  2ND INVITATION TO BID FOR THE SUPPLY AND DELIVERY OF AGRICULTURAL MACHINERY AND SUPPLIES FOR THE  PROVINCIAL VETERINARY SERVICES OFFICE (PVSO)</t>
  </si>
  <si>
    <t>QRF-URDUJA20-06-23-0011 Supply labor and materials for the Repair of plant Nursery Shed (Net Shade).</t>
  </si>
  <si>
    <t>QRF-URDUJA20-06-23-0010 Supply labor and materials for the Repair Scion Grove Perimeter Fence.</t>
  </si>
  <si>
    <t>Supply &amp; Delivery of Office Supplies @ Accounting Office, Rodriguez, Rizal</t>
  </si>
  <si>
    <t>To Purchase Computer Package RHU Off</t>
  </si>
  <si>
    <t>Supply/ Delivery of Hardware &amp; Construction Materials for Construction of Solar Drying Pavement at Alimot Cogonon, Brgy. Salvacion, Trento, Agusan del Sur</t>
  </si>
  <si>
    <t>Delivery of Materials</t>
  </si>
  <si>
    <t>ONE (1) YEAR SUBSCRIPTION OF ONLINE VIDEO CONFERENCING APPLICATION FOR ENTERPRISE (15 HOST)</t>
  </si>
  <si>
    <t>Procurement of Consultancy Services for the conduct of Detailed Engineering Design of the Expansion of Passenger Terminal Bldg (PTB) at Davao International Airport (Re-Bid)</t>
  </si>
  <si>
    <t>Herbicide (Round Up)</t>
  </si>
  <si>
    <t>Supply and Delivery of Office Supplies for Different Offices of LGU Calauag, Quezon for the year 2020</t>
  </si>
  <si>
    <t>PROCUREMENT OF CONSTRUCTION SUPPLIES AND MATERIALS FOR THE ESTABLISHMENT OF ONE (1) UNIT MATERIAL RECOVERY FACILITY (MRF) AND PROCUREMENT OF ONE (1) UNIT PLASTIC AND GLASS BOTTLE SHREDDER/PULVERIZER-G</t>
  </si>
  <si>
    <t>Supply and Delivery of Additional High Amperage Cables Intended for Twelve (12) Units Generator Sets with Automatic Transfer Switch (ATS) for PMO-Mindoro</t>
  </si>
  <si>
    <t>P.R. # 20-06-063 For the repair and maintenance of national roads and bridges within Caloocan City and Valenzuela City, C.Y. 2020 Routine Maintenance 3rd Quarter (July to September)</t>
  </si>
  <si>
    <t>Purchase of Diesel fuel oil and Lubricants for the opening and Graveling of Barangay San Juan Road connecting to Barangay Tiniapan.</t>
  </si>
  <si>
    <t>Emergency Purchase to prevent spread of  covid19 (PRN2020-4-116) 5b</t>
  </si>
  <si>
    <t>SUPPLY OF LABOR AND MATERIALS FOR THE PREVENTIVE MAINTENANCE AND CALIBRATION VARIOUS LABORATORY EQUIPMENT</t>
  </si>
  <si>
    <t>Supply and delivery of materials for the completion of barangay gym at Brgy. Donganpekong, Matanao, Davao del Sur</t>
  </si>
  <si>
    <t>INFORMATION AND COMMUNICATION TECHNOLOGY EQUIPMENT - OFFICE OF THE CITY MAYOR</t>
  </si>
  <si>
    <t>Balukok Water System Construction</t>
  </si>
  <si>
    <t>Procurement of Various Electrical Supplies-06-376(O)PEO</t>
  </si>
  <si>
    <t>SUPPLY AND DELIVERY OF PORTABLE MICROBIOLOGICAL TEST FOR WATER</t>
  </si>
  <si>
    <t>emergency pruchase to prevent spread of covid 19 (PRN2020-4-115)</t>
  </si>
  <si>
    <t>PROCUREMENT OF VARIOUS BOOKS</t>
  </si>
  <si>
    <t>Supply and Delivery of Motorcycle for Traffic Management of this Municipality</t>
  </si>
  <si>
    <t>Supply/ Delivery of Hardware &amp; Construction Materials for Construction of Solar Dryer at Sitio San Marcos, Brgy. Salvacion, Trento, Agusan del Sur</t>
  </si>
  <si>
    <t>Supply of Medical Oxygen Refill</t>
  </si>
  <si>
    <t>PURCHASE OF MATERIALS FOR THE REHABILITATION OF BARANGAY ROAD (MALINAO WEST)</t>
  </si>
  <si>
    <t>Consturction of Buntis Lounge</t>
  </si>
  <si>
    <t>Procurement of Various Electrical Supplies-06-377(O)PEO</t>
  </si>
  <si>
    <t>COLLECTION AND DISPOSAL OF COVID-19 INFECTIOUS WASTES OF THE ILOILO CITY (P.R. 100-20-04-0174)</t>
  </si>
  <si>
    <t>COMMON AND NON COMMON SUPPLIES</t>
  </si>
  <si>
    <t>5 Units Duplicating Machine, 5 Units Photocopier Machines for LGU-Cabatuan, Iloilo</t>
  </si>
  <si>
    <t>20DN0153 - CONSTRUCTION OF MULTI - PURPOSE BUILDING (BARANGAY HALL EXTENSION), BRGY. STA. CRUZ, ANTIPOLO CITY, RIZAL</t>
  </si>
  <si>
    <t>PRINTING SUPPLIES</t>
  </si>
  <si>
    <t>Purchase of Diesel fuel oil and Lubricants for Graveling of Purok 4 to Purok 54 at Barangay Villakapa.</t>
  </si>
  <si>
    <t>Procurement of Agricultural Products (Seeds)</t>
  </si>
  <si>
    <t>Purchase of PVC ID Card Printer</t>
  </si>
  <si>
    <t>10 roll Cling Film, Fermosa etc...</t>
  </si>
  <si>
    <t>Construction of 120 Meters Open Canal Channel</t>
  </si>
  <si>
    <t>proposed purchase of (3) units computer desktop with accessories</t>
  </si>
  <si>
    <t>BARANGAY 849 MOOE/CO 2020</t>
  </si>
  <si>
    <t>Sustaining the Implementation of Privatized Segregated Collection of Solid Wastes, Operation and Management of Materials Recovery Facility.</t>
  </si>
  <si>
    <t>Hydrocollator Tank  (Rehab)</t>
  </si>
  <si>
    <t>PRINTING SERVICES</t>
  </si>
  <si>
    <t>Clustered Project (Concreting of Barangay Road) located at Sitio III, Barangay Bagumbayan, Santa Cruz, Laguna</t>
  </si>
  <si>
    <t>2 Unit Desktop Computer etc..</t>
  </si>
  <si>
    <t>Procurement of Veterinary Products and Supplies</t>
  </si>
  <si>
    <t>Supply and Delivery of One (1) Unit All-in one Machine Copier</t>
  </si>
  <si>
    <t>Supply and Delivery of Construction Materials for the Construction of Lined Canal with Cover at Sitio 4, Barangay San Nicolas, City of San Fernando, Pampanga</t>
  </si>
  <si>
    <t>Purchase &amp; Delivery of Assorted Materials for the maintenance of various sections at Ilocos Sur District Hospital-Narvacan</t>
  </si>
  <si>
    <t>Rehabilitation of Municipal Building, Municipal Compound, Panilao, Pilar, Bataan</t>
  </si>
  <si>
    <t>improvement of Multi-purpose Building</t>
  </si>
  <si>
    <t>PURCHASE OF MATERIALS FOR THE REHABILITATION OF BARANGAY ROAD (MACALINGAN)</t>
  </si>
  <si>
    <t>PROCUREMENT OF PIPES, VALVES AND FITTINGS FOR INSTALLATION OF DISTRIBUTION LINE AT PUROK 23,P.A.D.S</t>
  </si>
  <si>
    <t>PURCHASE OF MATERIALS FOR THE REHABILITATION OF BARANGAY ROAD (JAMBAWAN)</t>
  </si>
  <si>
    <t>20DN0154 - REHABILITATION OF ROAD BROOKSIDE AVE., BRGY. MUNTINDILAW, ANTIPOLO CITY</t>
  </si>
  <si>
    <t>Establishment of Fish and Cacao Processing Project in Zamboanga Del Norte</t>
  </si>
  <si>
    <t>Supply, Delivery and Installation of Materials for the repair of the Wastewater Line and Plumbing Accessories of the Revenue District Office No. 110, General Santos City</t>
  </si>
  <si>
    <t>HVCDP20-06-02-0562 Supply and Delivery of Vehicle Parts and Accessories.</t>
  </si>
  <si>
    <t>Stationary Bike (Rehab)</t>
  </si>
  <si>
    <t>PROCUREMENT OF DIESEL</t>
  </si>
  <si>
    <t>Purchase of office equipments for Community Learning Center and various schools</t>
  </si>
  <si>
    <t>Hauling of hazardous waste</t>
  </si>
  <si>
    <t>2 Unit Water Tank etc..</t>
  </si>
  <si>
    <t>Purchase of Spare parts for Engineering Equipment (OPE Dump-truck)</t>
  </si>
  <si>
    <t>PURCHASE OF MATERIALS FOR THE REHABILITATION OF BARANGAY ROAD (MALINAO EAST)</t>
  </si>
  <si>
    <t>2LSSM2020A-243 Office Supplies</t>
  </si>
  <si>
    <t>20DN0155 - CONCRETING OF ROAD WITH DRAINAGE, COGEO PH. 1, BAGONG NAYON, ANTIPOLO CITY, RIZAL</t>
  </si>
  <si>
    <t>20DN0157 - IMPROVEMENT/ CONSTRUCTION OF FLOOD CONTROL STRUCTURES OF KAMIAS CREEK (COGEO GATE 1), ANTIPOLO CITY, RIZAL</t>
  </si>
  <si>
    <t>Hydraulic Pinch Gauge (Rehab)</t>
  </si>
  <si>
    <t>PURCHASE OF MATERIALS FOR THE REHABILITATION OF BARANGAY ROAD (BONKOKAN UBOS)</t>
  </si>
  <si>
    <t>20DN0156 - CONSTRUCTION OF MULTI - PURPOSE BUILDING, CIVIC CENTER, BRGY. INARAWAN, ANTIPOLO CITY, RIZAL</t>
  </si>
  <si>
    <t>PURCHASE OF SOFTWARE AND VARIOUS EQUIPMENTS OF DENR-PENRO PALAWAN</t>
  </si>
  <si>
    <t>Procurement of construction materials for Sitio Galibaca Road Concreting, Calupaan</t>
  </si>
  <si>
    <t>PURCHASE OF VEGETABLE PRODUCTION MATERIALS AND EQUIPMENT</t>
  </si>
  <si>
    <t>COMPLETION OF BARANGAY MULTI-PURPOSE BUILDING</t>
  </si>
  <si>
    <t>2LSSM2020A-244 Office Supplies</t>
  </si>
  <si>
    <t>20DN0158 - CONSTRUCTION/ REHABILITATION OF MULTI - PURPOSE BUILDING, BRGY. DOLORES, TAYTAY, RIZAL</t>
  </si>
  <si>
    <t>Hibale SRIP, Package 2 (Const. of Lined Canal and Canal Structure)</t>
  </si>
  <si>
    <t>Asphalt Overlay at Along Tarlac City Plazuela Perimeter, Brgy. Poblacion, Tarlac City. B2020-076-A</t>
  </si>
  <si>
    <t>Supply and delivery of AIRCON</t>
  </si>
  <si>
    <t>SUPPLY OF GASOLINE FOR GOVERNMENT VEHICLES FOR 3RD QTR CY 2020</t>
  </si>
  <si>
    <t>2LSSM2020A-242 Office Supplies</t>
  </si>
  <si>
    <t>Procurement of construction materials for Concreting of Road at Sitio Bangar, Sta. Maria</t>
  </si>
  <si>
    <t>ROAD CONCRETING (PUROK 4)</t>
  </si>
  <si>
    <t>SUPPLY AND DELIVERY OF ROLLER SHADE (P.R. NO. 100-20-02-0069)</t>
  </si>
  <si>
    <t>LIVELIHOOD PROJECT - CATTLE FATTENING</t>
  </si>
  <si>
    <t>Supply and Delivery : Surveying instrument- insfrastructure multi-purpose design system- integrated RTK GNSS hardware and software with training</t>
  </si>
  <si>
    <t>Supply, Installation and Activation of IP CCTV (Lot 1)</t>
  </si>
  <si>
    <t>PURCHASE OF VARIOUS MEDICAL AND DENTAL SUPPLIES FOR USE IN THE CHO AND PUERICULTURE CENTER FOR THE 2ND QUARTER</t>
  </si>
  <si>
    <t>Construction/Rehabilitation of Drainage Canal at Brgy. Capehan, Brgy. Balete and Brgy. Buenavista, Tarlac City. B2020-078-A</t>
  </si>
  <si>
    <t>Stainless Steel Goniometer (Rehab)</t>
  </si>
  <si>
    <t>Bid of Supplies</t>
  </si>
  <si>
    <t>Purchase and Delivery of 11 Units of Laptop for the Sangguniang Bayan Office</t>
  </si>
  <si>
    <t>PROCUREMENT OF MEDICAL, DENTAL AND LABORATORY SUPPLIES</t>
  </si>
  <si>
    <t>Supply, Delivery and Installation of Vehicle Accessories, PR# 2020-03-0982 and 2020-03-0983</t>
  </si>
  <si>
    <t>Purchase &amp; Delivery of Covid-19 Antibody Rapid Testing Kits for the Province</t>
  </si>
  <si>
    <t>20-02-0181</t>
  </si>
  <si>
    <t>PURCHASE OF ELECTRIC BULB, OFFICE TABLES AND CONSTRUCTION OF BOW-LARD (HARBOR POST), BRGY POBLACION, BURDEOS, QUEZON</t>
  </si>
  <si>
    <t>20DN0159 - CONSTRUCTION OF MULTI - PURPOSE BUILDING, BRGY. MUZON,TAYTAY, RIZAL</t>
  </si>
  <si>
    <t>Meal Allowance of Frontliners</t>
  </si>
  <si>
    <t>Improvement of Multi-Purpose Covered Court &amp; Evacuation Center</t>
  </si>
  <si>
    <t>Hardware Supplies and Materials</t>
  </si>
  <si>
    <t>Construction of Drainage Canal</t>
  </si>
  <si>
    <t>Supply and Delivery of One (1) unit MPV L300 FB Van Body Dual AC M/T  to be used at Barangay Del Pilar, City of San Fernando, Pampanga</t>
  </si>
  <si>
    <t>2LSSM2020A-245 Office Supplies</t>
  </si>
  <si>
    <t>20BA0065: CONSTRUCTION OF MULTI - PURPOSE BUILDING, BRGY. UVOY, MAHATAO, BATANES</t>
  </si>
  <si>
    <t>MAINTENANCE OF MUNICIPAL BULLDOZER.</t>
  </si>
  <si>
    <t>Office Supplies for the use of RSCC for CY 2020</t>
  </si>
  <si>
    <t>Procurement of Various Tire Wheel - Lot 1 - Tire Wheel for PEO Equipment</t>
  </si>
  <si>
    <t>Trainer's Kit for the 2020 CPH 2nd, 3rd &amp; 4th Training</t>
  </si>
  <si>
    <t>Rehab of Health Center</t>
  </si>
  <si>
    <t>Hibale SRIP, Package 1 (Const. of Lined Canal and Canal Structure)</t>
  </si>
  <si>
    <t>Procurement of Spare Parts</t>
  </si>
  <si>
    <t>Supply &amp; Delivery of Office Supplies &amp; Equipment @ Accounting Office, Rodriguez, Rizal</t>
  </si>
  <si>
    <t>Supply and Delivery of Electrical Materials to be used for the Repair and Installation of Christmas Lantern 2019 at Various Puroks of Barangay San Agustin, City of San Fernando, Pampanga</t>
  </si>
  <si>
    <t>MEALS AND SNACKS FOR COMMITTEE MEETING OF  SBO- PR. NO:	2020-06-102</t>
  </si>
  <si>
    <t>Purchase of Supplies and Equipments for Covid-19 Prevention</t>
  </si>
  <si>
    <t>Purchase of Bond Paper, Multi Purpose Copy, Legal Size for Reproduction of Learners Module 2020-2021</t>
  </si>
  <si>
    <t>Purchase of Construction Materials for the Proposed Construction of RAN-FAR Drainage Canal, Centro 1, San Guillermo, Isabela</t>
  </si>
  <si>
    <t>INSTALLATION OF ST.LIGHTS IN STRATEGIC AREA OF VARIOUS BRGYS.( WESTPLAIN, bRGY. S.A,LLANA, &amp; LUCIANO</t>
  </si>
  <si>
    <t>Procurement of Materials for the Construction of Drainage Canal, Barangay Garitan, Tagudin, Ilocos Sur</t>
  </si>
  <si>
    <t>RFQ20-6-47 Electrical System Phase 1</t>
  </si>
  <si>
    <t>Request for Quotation of Paquibato Elementary School</t>
  </si>
  <si>
    <t>20DN0160 - CONSTRUCTION OF MULTI - PURPOSE BUILDING, SITIO PINAGMISAHAN, BARANGAY DELA PAZ, ANTIPOLO CITY</t>
  </si>
  <si>
    <t>Bolster (Rehab)</t>
  </si>
  <si>
    <t>Procurement of Various Tire Wheel - Lot 2 - Tire Wheel - Pintuyan District Hospital</t>
  </si>
  <si>
    <t>UPGRADING/IMPROVEMENT/REHABILITATION OF KALINGA DISTRICT HOSPITAL</t>
  </si>
  <si>
    <t>Tractor Repair &amp; Maintenance</t>
  </si>
  <si>
    <t>REPAIR AND MAINTENANCE OF BUILDING AND OTHER STRUCTURES, MUNICIPAL GROUND POBLACION, MAWAB, DAVAO DE ORO- PR NO. 2020-06-100</t>
  </si>
  <si>
    <t>CONSTRUCTION OF DEEPWELL BLISS DILAG</t>
  </si>
  <si>
    <t>SUPPLY AND DELIVERY OF VARIOUS LABORATORY EQUIPMENTS</t>
  </si>
  <si>
    <t>SUPPLY AND DELIVERY OF OFFICE SUPPLIES (P.R. NO. 100-20-06-0233)</t>
  </si>
  <si>
    <t>CONSTRUCTION OF WATER WORKS P2 DUGPA</t>
  </si>
  <si>
    <t>CONCRETING OF MAYOR ALEJO STREET, Brgy. 10 Poblacion, Can-avid Eastern Samar</t>
  </si>
  <si>
    <t>Supply and Delivery of Materials, Labor and Construction/Improvement of Multi-Purpose Building at Barangay Lajala, Coron, Palawan.</t>
  </si>
  <si>
    <t>Installation of Fixed Glass Partition of Radio Control Program at DOH CHD I Conference Room</t>
  </si>
  <si>
    <t>MEALS AND SNACKS FOR PUBLIC  HEARING AND COMMITTEE MEETING OF  SBO- PR. NO:	2020-06-103</t>
  </si>
  <si>
    <t>20J00197 - Construction of Multi-Purpose Building (Grandstand), Brgy. Lawm Maimbung, Maimbung, Sulu</t>
  </si>
  <si>
    <t>Delivery of Sea Urchin Juveniles</t>
  </si>
  <si>
    <t>PURCHASE AND INSTALLATION OF WATER PIPE LINES FOR BARANGAY WATER SYSTEM Barangay Pualas, Tubod, Lanao del Norte</t>
  </si>
  <si>
    <t>PURCHASE OF INFORMATION TECHNOLOGY EQUIPMENT AND PARAPHERNALIA FOR THE DIFFERENT OFFICES OF THE MUNICIPAL GOVERNMENT OF NAGUILIAN, LA UNION (NOT AVAILABLE AT PS-DBM).</t>
  </si>
  <si>
    <t>Concreting of Sitio Bato/Penac Road (Kakawayanan) Brgy. Baug, Urbiztondo, Pangasinan</t>
  </si>
  <si>
    <t>PURCHASE OF MUTLI-PURPOSE TRUCK(BRGY.UNZAD, VILLASIS, PANGASINAN)</t>
  </si>
  <si>
    <t>20J00198 - Rehabilitation of Jolo Mainland Water District, Brgy. Asturias, Jolo, Sulu</t>
  </si>
  <si>
    <t>PR 1-20-06-0763, FOR USE OF BAC SECRETARIAT &amp; PROCUREMENT DIVISION OF CITY MAYOR'S OFFICE, THIS CITY.</t>
  </si>
  <si>
    <t>CONSTRUCTION OF FLOOD CONTROL SYSTEM @ SITIO AYALA, POBLACION SAN PASCUAL, BATANGAS</t>
  </si>
  <si>
    <t>Procurement of materials</t>
  </si>
  <si>
    <t>GIS ist and 2nd quarter repair of office equipment.</t>
  </si>
  <si>
    <t>3.0TR Ceiling Mounted, Non-inverter with complete installation</t>
  </si>
  <si>
    <t>IMPROVEMENT OF BARANGAY HALL</t>
  </si>
  <si>
    <t>Purchase of Construction Materials for the Proposed Construction of RAN-FAR Drainage Canal (Phase II), Centro 1, San Guillermo, Isabela</t>
  </si>
  <si>
    <t>20DN0161 - CONSTRUCTION OF PEDESTRIAN OVERPASS, SUN VALLEY (BARANGAY BAGONG NAYON TO DELA PAZ), ANTIPOLO CITY</t>
  </si>
  <si>
    <t>20J00199 - Buildings and Other Structures - School Buildings - Construction of Three-Storey School Building, Tandu-Bato Elementary School, Brgy. Tandu-Bato, Luuk, Sulu</t>
  </si>
  <si>
    <t>20DN0168 - CONSTRUCTION OF FLOODGATE, CAINTA RIVER, SAN FRANCISCO, MANGGAHAN FLOODWAY, BRGY. SAN JUAN (PHASE 2), CAINTA, RIZAL</t>
  </si>
  <si>
    <t>CONCRETING OF FARM TO MARKET ROAD Purok 3 &amp; 4, Barangay Pualas, Tubod, Lanao del Norte</t>
  </si>
  <si>
    <t>CONSTRUCTION OF PATHWAY, POBLACION</t>
  </si>
  <si>
    <t>GASS20-06-04-0035 Repost Supply and Delivery of Plastic Product.</t>
  </si>
  <si>
    <t>Supply / Delivery of 5,200 pcs Abaca Seedlings &amp; 10,000 pcs Durian Seedlings (Grafted)</t>
  </si>
  <si>
    <t>SOIL TEST ANALYSIS (SOIL SUB-SURFACE INVESTIGATION) (P.R. NO. 100-20-06-0231)</t>
  </si>
  <si>
    <t>Construction of Drainage Canal at Relocation Site,Purok 5 Brgy. 9, Malaybalay City.</t>
  </si>
  <si>
    <t>CONSTRUCTION OF WWS ISLA BADO DANGWA</t>
  </si>
  <si>
    <t xml:space="preserve">20J00203 - Repair Maintenance of DPWH RO-IX Bldg. Maintenance Division Pantry DPWH Compound Veterans Avenue Extension, Tetuan, Z.C. and Repair/Maintenance of DPWH Bldg. Covered Equipark Phase II DPWH </t>
  </si>
  <si>
    <t>Wedge Board (Rehab)</t>
  </si>
  <si>
    <t>Supply and Delivery of Construction Materials for Concreting of Brgy. Road</t>
  </si>
  <si>
    <t>Purchase of Correction Tape, Tape Dispenser, Inks, etc. for Office Supplies use</t>
  </si>
  <si>
    <t>Supplies for National Tuberculosis Program</t>
  </si>
  <si>
    <t>PURCHASE AND INSTALLATION OF 1 SET BASKETBALL BOARD Barangay Pualas, Tubod, Lanao del Norte</t>
  </si>
  <si>
    <t>2LSSM2020A-246 Office Supplies</t>
  </si>
  <si>
    <t>PROPOSED MAINTENANCE OFFICE WITH ELEVATED WATER TANK AT LUCAP PARK, BRGY. LUCAP, CITY OF ALAMINOS, PANGASINAN</t>
  </si>
  <si>
    <t>For use in operation of Road Grader 05, DT 2, DT3, Toyota Hilux AAG 1146 DT 12,DT 14, 15 &amp; 16,Boom Truck, DT07, Isuzu Trooper Backhoe-02 assigned at City Engineer's Office.</t>
  </si>
  <si>
    <t>RICE20-02-12-0414 Supply and Delivery of Office Equipment.</t>
  </si>
  <si>
    <t>CONSTRUCTION OF MALINGAO BIRTHING FACILITY  Barangay Malingao, Tubod, Lanao del Norte</t>
  </si>
  <si>
    <t>Supply &amp; delivery of materials for the Improvement of Senior Citizen's Building at Brgy. Pob. 5, Tanauan City, Batangas</t>
  </si>
  <si>
    <t>20DN0169 - CONSTRUCTION OF FLOODGATE, CAINTA RIVER, SAN FRANCISCO MANGGAHAN FLOODWAY, PHASE 3, BRGY. SAN JUAN, CAINTA, RIZAL</t>
  </si>
  <si>
    <t>CONSTRUCTION/REHABILITATION/IMPROVEMENT OF LOCAL GOVERNMENT-OWNED POTABLE WATER SUPPLY SYSTEM @ BARANGAY RESPLANDOR, SAN PASCUAL, BATANGAS</t>
  </si>
  <si>
    <t>20J00200 - Construction of Bud Sibalo Multi-Purpose Center, Sitio Sibalo, Brgy. Punay, Panglima Estino, Sulu</t>
  </si>
  <si>
    <t>Repair/Rehabilitation of Handwashing Facility</t>
  </si>
  <si>
    <t>20J00201 - Construction of Multi-purpose Building, Brgy. Tandu Bato, Luuk, Sulu</t>
  </si>
  <si>
    <t>PURCHASED OF DIFFERENT SCHOOL SUPPLIES AND OTHER SERVICES OF SAN PABLO INTEGRATED SCHOOL2020</t>
  </si>
  <si>
    <t>Computer Equipment and Supplies - Legal Division</t>
  </si>
  <si>
    <t>PR2020-06-028 - Purchase and delivery of vehicle parts and accessories</t>
  </si>
  <si>
    <t>20J00202 - Construction/Concreting of Kan Izquierdo-Junction Sucuban Road, Luuk, Sulu</t>
  </si>
  <si>
    <t>20JI0109 - Concreting of Brgy. Basalem FMR, Barangay Basalem, Buug, Zamboanga Sibugay</t>
  </si>
  <si>
    <t>Construction of Ambato High School Stage</t>
  </si>
  <si>
    <t>NCB Publication No. 2020- 20 (First Publication)- Improvement of Ubao- Haitan Road</t>
  </si>
  <si>
    <t>Construction of Dananao Multi-purpose building</t>
  </si>
  <si>
    <t>Purchase of Vehicle for the Use of Bocaue Police</t>
  </si>
  <si>
    <t>Procurement of Library Online Databases and References</t>
  </si>
  <si>
    <t>Procurement of Catering Service for the conduct of 2020 Census of Population and Housing (CPH) 4th Level Training at Anini-y for PSA Antique PSO.</t>
  </si>
  <si>
    <t>PURCHASE OF 2,200 PCS. HOUSE PLATE NUMBERING AT BRGY. STO. ANGEL, SAN PABLO CITY</t>
  </si>
  <si>
    <t>NCB Publication No. 2020- 21 (First Publication)- Improvement of Ubao- Lubuan Road</t>
  </si>
  <si>
    <t>20DN0171 - CONSTRUCTION/ REHABILITATION OF MULTI - PURPOSE BUILDING (PRITIL MEDICAL CENTER INCLUDING SITE DEVELOPMENT), BRGY. LIBIS, BINANGONAN, RIZAL</t>
  </si>
  <si>
    <t>CONSTRUCTION OF MULTI-PURPOSE BUILDING - TUBAJON, DINAGAT ISLANDS</t>
  </si>
  <si>
    <t>Supply and Delivery of CM for the construction of of Barangay Health Station @ Pinayag</t>
  </si>
  <si>
    <t>Procurement of Catering Service for the conduct of 2020 Census of Population and Housing (CPH) 4th Level Training at Caluya for PSA Antique PSO</t>
  </si>
  <si>
    <t>Concreting of Local Road (Phase III) at Brgy. Binauganan, Tarlac City. B2020-080-A</t>
  </si>
  <si>
    <t>CONSTRUCTION OF 2 UNITS MULTI-PURPOSE DRYING PAVEMENT PUROK 1, BRGY. SINANGLANAN/ PUROK 7, BRGY. SAN MARTIN, MALAYBALAY CITY.</t>
  </si>
  <si>
    <t>Procurement of Catering Service for the conduct of 2020 Census of Population and Housing (CPH) 4th Level Training at Bugasong for PSA Antique PSO</t>
  </si>
  <si>
    <t>IMPROVEMENT OF HEALTH CENTER</t>
  </si>
  <si>
    <t>Concreting/Rehabilitation of Local Road at Brgy. Balibago I, Brgy. Salapungan and Brgy. Tariji, Tarlac City. B2020-079-A</t>
  </si>
  <si>
    <t>Procurement of Various Tire Wheel - Lot 3 - Tire Wheel - PAGSO</t>
  </si>
  <si>
    <t>Desilting</t>
  </si>
  <si>
    <t>Purchase of Service Vehicle for Government Use of the Municipality of Bocaue</t>
  </si>
  <si>
    <t>Procurement of Catering Service for the conduct of 2020 Census of Population and Housing (CPH) 4th Level Training at Belison for PSA Antique PSO</t>
  </si>
  <si>
    <t>CONSTRUCTION OF 2 UNITS MULTI- PURPOSE DRYING PAVEMENT PUROK 4 &amp; PUROK 8, BRGY. LINABO, MALAYBALAY CITY.</t>
  </si>
  <si>
    <t>FIRE EXTINGUISHER</t>
  </si>
  <si>
    <t>Barangay Day-Anti-Covid- 19 Kits</t>
  </si>
  <si>
    <t>Procurement of Catering Service for the conduct of 2020 Census of Population and Housing (CPH) 4th Level Training at Barbaza for PSA Antique PSO</t>
  </si>
  <si>
    <t>IMPROVEMENT OF SAN MARTIN, CONCRETE CANAL PUROK 3, BRGY. SAN MARTIN, MALAYBALAY CITY.</t>
  </si>
  <si>
    <t>NCB Publication No. 2020- 19 (First Publication)- Improvement of Sta. Maria- Quarentinas Road</t>
  </si>
  <si>
    <t>Procurement of computer continuous forms</t>
  </si>
  <si>
    <t>CONSTRUCTION OF COVERED CANAL - TRAMO SILANGAN AND MP CONTI RD.</t>
  </si>
  <si>
    <t>Negotiated Procurement – Two (2) Failed Biddings for the Procurement of Consulting Services for the Review and Updating of the Study on the Fluctuation Factors (K) and Parametric Formula under the Rev</t>
  </si>
  <si>
    <t>PR2020-06-029 - Purchase and Delivery of Construction Equipment, Materials and Supplies</t>
  </si>
  <si>
    <t>Repair/Renovation of DAO</t>
  </si>
  <si>
    <t>BARANGAY WATER SYSTEM BRGY. MALIGAYA, MALAYBALAY CITY.</t>
  </si>
  <si>
    <t>Procurement of Catering Service for the conduct of 2020 Census of Population and Housing (CPH) 4th Level Training at Laua-an for PSA Antique PSO</t>
  </si>
  <si>
    <t>Procurement of Various Tire Wheel - Lot 4 - Tire Wheel - PHSO</t>
  </si>
  <si>
    <t>2LSSM2020A-249 Office Supplies</t>
  </si>
  <si>
    <t>Supply and Delivery of Agricultural Supplies, Seeds, Seedlings and Fertilizers ITB No. 2020-160</t>
  </si>
  <si>
    <t>Procurement of Catering Service for the conduct of 2020 Census of Population and Housing (CPH) 4th Level Training at Hamtic for PSA Antique PSO</t>
  </si>
  <si>
    <t>2LSSM2020A-248 Office Supplies</t>
  </si>
  <si>
    <t>CONSTRUCTION/REHABILITATION/IMPROVEMENT OF LOCAL GOVERNMENT-OWNED POTABLE WATER SUPPLY SYSTEM @ BARANGAY KAINGIN, SAN PASCUAL, BATANGAS</t>
  </si>
  <si>
    <t>CONSTRUCTION OF MULTI-PURPOSE DRYING PAVEMENT PUROK 2, BRGY. STO. NIÑO, MALAYBALAY CITY.</t>
  </si>
  <si>
    <t>2LSSM2020A-250 Office Supplies</t>
  </si>
  <si>
    <t>Supply and delivery of various Chemical and filtering supplies and materials</t>
  </si>
  <si>
    <t>2LSSM2020A-247 Office Supplies</t>
  </si>
  <si>
    <t>Concreting/Rehabilitation of Local Road at Brgy. Alvindia and Balibago II, Tarlac City. B2020-081-A</t>
  </si>
  <si>
    <t>Road Maintenance of Public Cemetery</t>
  </si>
  <si>
    <t>PROCUREMENT OF TIRES FOR THE REPAIR AND MAINTENANCE OF TRANSPORTATION EQUIPMENT</t>
  </si>
  <si>
    <t>SUPPLY AND DELIVERY OF JANITORIAL SUPPLIES (P.R. NO. 100-20-06-0214)</t>
  </si>
  <si>
    <t>CONSOLIDATED  OFFICE SUPPLIES FOR  MSWDO ( DIFFERENT PROGRAM) AND HRD SECTION- PR. NO:	2020-06-104</t>
  </si>
  <si>
    <t>Concreting/Rehabilitation of Local Road at Brgy. Balanti and Brgy. San Jose de Urquico, Tarlac City. B2020-082-A</t>
  </si>
  <si>
    <t>PROCUREMENT OF 1 UNIT SELF-LOADING PRIME MOVER (SURPLUS)</t>
  </si>
  <si>
    <t>IMRPOVEMENT OF SINGLANAN CONCRETE CANAL BRGY. SINANGLANAN, MALAYBALAY CITY.</t>
  </si>
  <si>
    <t>SUPPLY, DELIVERY &amp; INSTALLATION OF FIFTY-SEVEN (57) UNITS TELLERING ALARM SYSTEM FOR VARIOUS SSS BRANCH OFFICES</t>
  </si>
  <si>
    <t>Supply and Delivery of Construction Materials for VSU-Villaba</t>
  </si>
  <si>
    <t>Procurement of Catering Service for the conduct of 2020 Census of Population and Housing (CPH) 4th Level Training at Culasi for PSA Antique PSO</t>
  </si>
  <si>
    <t>Procurement of Catering Service for the conduct of 2020 Census of Population and Housing (CPH) 4th Level Training at Patnongon for PSA Antique PSO</t>
  </si>
  <si>
    <t>Supply and Delivery of CM-for the improvement of Besong-Amelong Labeng Road</t>
  </si>
  <si>
    <t>PROPOSED CONSTRUCTION OF BASE WI-FI RADIO ANTENNA VIDEO TRANSCEIVER COMMUNICATION FOR CCTV TRAFFIC MONITORING SYSTEM AND INSTALLATION OF PERIMETER SECURITY CAMERA IN POSO OFFICE, POOLSIDE COMPOUND POB</t>
  </si>
  <si>
    <t>2LSSM2020A-251 Office Supplies</t>
  </si>
  <si>
    <t>Concreting of Pathway Sun-ok (Pruok 6, Bogo)</t>
  </si>
  <si>
    <t>Construction of Elevated Pathway at Dasmariñas St.  Phase I</t>
  </si>
  <si>
    <t>Procurement of CW-Improvement of SLF (Phase I), Construction of SLF Protection _@ Tidang Village</t>
  </si>
  <si>
    <t>Purchase of 1 Computer Set</t>
  </si>
  <si>
    <t>Purchased of laptop computer with printer</t>
  </si>
  <si>
    <t>Purchase of 1 unit Office Vault (steel)</t>
  </si>
  <si>
    <t>Procurement of Catering Service for the conduct of 2020 Census of Population and Housing (CPH) 4th Level Training at Pandan for PSA Antique PSO</t>
  </si>
  <si>
    <t>Purchase of Spareparts for the Municipal Government Vehicle</t>
  </si>
  <si>
    <t>Construction of Trapezoidal Concrete Canal Lining (Sta. 9+998-Sta. 10+545) of LARIS Lateral E, Rectangular Concrete Canal Lining (Sta. 5+640-Sta. 6+141) of LARIS CD-1-6 and Drain Inlet (Sta. 27+590) o</t>
  </si>
  <si>
    <t>Procurement of Catering Service for the conduct of 2020 Census of Population and Housing (CPH) 4th Level Training at Libertad for PSA Antique PSO</t>
  </si>
  <si>
    <t>PURCHASE OF RICE FOR BASURA PALIT BIGAS PROGRAM</t>
  </si>
  <si>
    <t>PR 6.035 ITB No. 2020-031 TOURIST PHILCARE KIT</t>
  </si>
  <si>
    <t>Procurement of 1 Package Improvement of City Accountants Office under P.R.Nos. 2561-2020-Office of the City Accountant</t>
  </si>
  <si>
    <t>PROPOSED UPGRADING OF PCC PAVEMENT AND DRAINAGE SYSTEM AT BARANGAY HERRERO-PEREZ (INFRONT OF CHO AND RED CROSS), DAGUPAN CITY - PHASE I</t>
  </si>
  <si>
    <t>2LSSM2020A-253 Office Supplies</t>
  </si>
  <si>
    <t>2LSSM2020A-252 Office Supplies</t>
  </si>
  <si>
    <t>PROCUREMENT OF VARIOUS CONSTRUCTION MATERIALS FOR THE IMPROVENT OF MULTI-PURPOSE HALL (IP OFFICE AT MUNICIPAL SITE BUILDING) BSK</t>
  </si>
  <si>
    <t>CONSOLIDATED DRUGS AND MEDICINES FOR DIFFERENT  PROGRAMS OF MHO- PR. NO:	2020-06-107</t>
  </si>
  <si>
    <t>Supply of Civil Works for Construction of Lipata Brgy. Health Station</t>
  </si>
  <si>
    <t>ENGINE ASSEMBLY FOR DUMPTRUCK</t>
  </si>
  <si>
    <t>Procurement of Catering Service for the conduct of 2020 Census of Population and Housing (CPH) 4th Level Training at San Jose for PSA Antique PSO</t>
  </si>
  <si>
    <t>Procurement of Cleaning and Beautification Materials</t>
  </si>
  <si>
    <t>IT-Equipment - MTO</t>
  </si>
  <si>
    <t>Procurement of Consulting Services</t>
  </si>
  <si>
    <t>REHABILITATION OF BARANGAY ROADS</t>
  </si>
  <si>
    <t>COMPLETION OF THE SEVEN (7) STOREY OB-GYNE AND PEDIATRIC WARD BUILDING (4TH-6TH FLOOR)</t>
  </si>
  <si>
    <t>1 unit Motor Vehicle for Disaster &amp; Emergency Response</t>
  </si>
  <si>
    <t>TO SUPPLY AND DELIVERY OF VARIOUS FILTERS INTENDED FOR BATAG DPP</t>
  </si>
  <si>
    <t>Purchase of Ladder</t>
  </si>
  <si>
    <t>SUPPLY OF ONE (1) UNIT OF TRANSPORT VAN W/ DUAL AIRCON, 2.3L TO 2.6L, EURO 4 DIESEL ENGINE</t>
  </si>
  <si>
    <t>UPGRADING/ IMPROVEMENT/ REHABILITATION OF TANUDAN MUNICIPAL HOSPITAL (TMH), BANAGAO</t>
  </si>
  <si>
    <t>Communication Equipment - DepEd Maasim 1 District</t>
  </si>
  <si>
    <t>Concreting/Rehabilitation of Tan-awan to Guimotan Road</t>
  </si>
  <si>
    <t>STO20-05-26-0247 Supply and Delivery of Planting Materials.</t>
  </si>
  <si>
    <t>Procurement of Catering Service for the conduct of 2020 Census of Population and Housing (CPH) 4th Level Training at Sebaste for PSA Antique PSO</t>
  </si>
  <si>
    <t>PURCHASE OF REFILL OF FIRE EXTINGUISHER  FOR MDRRMO- PR. NO:	2020-06-118</t>
  </si>
  <si>
    <t>PROCUREMENT OF VARIOUS CONSTRUCTION MATERIALS FOR THE IMPROVENT AND INSTALLATION OF LIGHTING FACILITIES (ELECTRACATION AND REWIRING OF MUNICIPAL PLAZA, GRANSTAND CHILDRENS PARK) AT MUNCIPAL SITE BSK</t>
  </si>
  <si>
    <t>PROCUREMENT/ PURCHASE OF AMBULANCE</t>
  </si>
  <si>
    <t>2LSSM2020A-255 Office Supplies</t>
  </si>
  <si>
    <t>SUPPLY AND DELIVERY OF I.T. SUPPLIES (rfq#2019-10-3,059)-(pgo-pdrrmd)</t>
  </si>
  <si>
    <t>Procurement of CW-Construction of Embankment Protection @ Balangabang KNV</t>
  </si>
  <si>
    <t>2LSSM2020A-254 Office Supplies</t>
  </si>
  <si>
    <t>PROCUREMENT OF VARIOUS CONSTRUCTION MATERIALS FOR THE IMPROVENT OF MULTI-PURPOSE HALL (SENIOR CITIZEN) AT MUNICIPAL SITE BSK</t>
  </si>
  <si>
    <t>PURCHASE OF AIRCON SPLIT TYPE</t>
  </si>
  <si>
    <t>Procurement of Catering Service for the conduct of 2020 Census of Population and Housing (CPH) 4th Level Training at San Remigio for PSA Antique PSO</t>
  </si>
  <si>
    <t>Chlorine dioxide Powder</t>
  </si>
  <si>
    <t>Water Service Connection Materials and Fittings</t>
  </si>
  <si>
    <t>SUPPLY OF EIGHT (8) UNITS OF TWO-WAY HANDHELD RADIO TRANSCEIVER</t>
  </si>
  <si>
    <t>PURCHASE OF OFFICE, COMPUTER AND JANITORIAL SUPPLIES FOR MPDO, TOURISM AND  MCR- PR. NO:	2020-06-119</t>
  </si>
  <si>
    <t>70TH ARAW NG LABANGAN 2020</t>
  </si>
  <si>
    <t>Communication Equipment - DepEd Maasim 3 District</t>
  </si>
  <si>
    <t>Construction of  pavement Dasmariñas Phase II</t>
  </si>
  <si>
    <t>Materials - For the installation of distribution mains at Bryg. San Juan, Provincial Road, San Manuel, Pang.</t>
  </si>
  <si>
    <t>PURCHASE OF OFFICE  SUPPLIES FOR MCOW- PR. NO:	2020-06-112</t>
  </si>
  <si>
    <t>Procurement of Catering Service for the conduct of 2020 Census of Population and Housing (CPH) 4th Level Training at Sibalom for PSA Antique PSO</t>
  </si>
  <si>
    <t>PROPOSED UPGRADING OF PCC PAVEMENT AND DRAINAGE SYSTEM AT GALVAN ST., BARANGAY IV, DAGUPAN CITY</t>
  </si>
  <si>
    <t>20CSIB08 : 2.	Subsurface Soil exploration works for proposed Rehabilitation/Construction of 2-Storey Quality Assrurance and Maintenance Building</t>
  </si>
  <si>
    <t>Therapy Mat  (Rehab)</t>
  </si>
  <si>
    <t>PROCUREMENT OF VARIOUS CONSTRUCTION MATERIALS FOR THE CONSTRUCTION OF DRING PAVEMENT AT PRK.KANULOY BRGY. BAI SARIPINANG BSK</t>
  </si>
  <si>
    <t>Procurement of Catering Service for the conduct of 2020 Census of Population and Housing (CPH) 4th Level Training at Tibiao for PSA Antique PSO</t>
  </si>
  <si>
    <t>2LSSM2020A-256 Food Supplies</t>
  </si>
  <si>
    <t>Communication Equipment - DepEd Maasim 2 District</t>
  </si>
  <si>
    <t>INSTALLATION OF SOLAR STREET LIGHTS, BARANGAY MACPAC, CATANAUAN, QUEZON</t>
  </si>
  <si>
    <t>Supply and Delivery of CM for the improvement of CIS Soriano and Lopez Residence @ Baan KNV</t>
  </si>
  <si>
    <t>Purchase of Food Supplies for Nutrition</t>
  </si>
  <si>
    <t>2LSSM2020A-257 Food Supplies</t>
  </si>
  <si>
    <t>2020-06-01</t>
  </si>
  <si>
    <t>2	unit	Computer set w/ printer, etc. PR # 09-20</t>
  </si>
  <si>
    <t>PROCUREMENT OF CELLPHONE ( brgy council )</t>
  </si>
  <si>
    <t>PURCHASE  OF CUSTOMIZED  UMBRELLA'S FOR MAYORS OFFICE- PR. NO:	2020-06-120</t>
  </si>
  <si>
    <t>Purchase of disaster equipment (cutter and spreader portable)</t>
  </si>
  <si>
    <t>INSTALLATION OF ELECTRIC LINES SERVICE DROP @ HIGHWAY FOOD COURT</t>
  </si>
  <si>
    <t>TO SUPPLY LABOR, TOOLS &amp;  MATERIALS FOR THE REWINDING OF MAIN GENERATOR STATOR INTENDED FOR STO. NINO DPP</t>
  </si>
  <si>
    <t>2LSSM2020A-259 Other Supplies and Materials</t>
  </si>
  <si>
    <t>Supply and delivery of 1 set Computer Desktop and 1 unit computer Printer, 3-in-1 for use in the Prov'l. Gov's Office. ABC PHP74,530.00</t>
  </si>
  <si>
    <t>CONSOLIDATED OFFICE SUPPLIES FOR SB SEC., SBO, MACCO, ADMIN OFFICE AND SLAUGHTERHOUSE- PR. NO:	2020-06-124</t>
  </si>
  <si>
    <t>2	Units	Printer 3in1 with built-in CISS, etc. PR # 769-19</t>
  </si>
  <si>
    <t>Procurement of Catering Service for the conduct of 2020 Census of Population and Housing (CPH) 4th Level Training at Tobias Fornier for PSA Antique PSO</t>
  </si>
  <si>
    <t>Fence</t>
  </si>
  <si>
    <t>Construction of 4-Classroom School Building (Municipal Counterpart)</t>
  </si>
  <si>
    <t>Purchase of Tires</t>
  </si>
  <si>
    <t>Procurement of Meals</t>
  </si>
  <si>
    <t>SUPPLY AND DELIVERY OF LAPTOPS FOR TEACHERS OF LIMAY'S VARIOUS SCHOOLS</t>
  </si>
  <si>
    <t>CONSTRUCTION OF CANAL AT BARANGAY POBLACION I</t>
  </si>
  <si>
    <t>Procurement of Catering Service for the conduct of 2020 Census of Population and Housing (CPH) 4th Level Training at Valderrama for PSA Antique PSO</t>
  </si>
  <si>
    <t>TO SUPPLY AND DELIVERY OF MINIATURE CIRCUIT BREAKER &amp; 7 OTHERS INTENDED FOR LIMASAWA DPP</t>
  </si>
  <si>
    <t>CONCRETING OF BARANGAY STREET, Brgy. Canteros, Can-avid Eastern Samar</t>
  </si>
  <si>
    <t>Construction of Storage Facility</t>
  </si>
  <si>
    <t>SUPPLY AND DELIVERY OF VAN, 2.8L, DIESEL, 4 CYLINDER DOHC, M/T, WITH 3 YEARS LTO REGISTRATION</t>
  </si>
  <si>
    <t>SUPPLY &amp; DELIVERY OF FUEL, OIL &amp; LUBRICANTS</t>
  </si>
  <si>
    <t>2LSSM2020A-258 Food Supplies</t>
  </si>
  <si>
    <t>Purchase of Food Supplies for Pregnant &amp; Lactating Women</t>
  </si>
  <si>
    <t>Repair/Replacement of Dilapidated Roofings, Sidings and Support at Agro-Industrial Building, Barangay Bersamin, Alcala, Pangasinan</t>
  </si>
  <si>
    <t>Labor - For the installation of distribution mains at Brgy. San Juan, Provincial Road, San Manuel, Pangasinan</t>
  </si>
  <si>
    <t>Regular Bidding 7/July/2020 - Procurement of Goods: Const'n Materials &amp; Supplies for the use of CHLMO(Patubig Dev't Program-Const'n of Jetmatic Pump at Prk. Mangga, Mankilam, T.C.) (PR#100-20-06-0223)</t>
  </si>
  <si>
    <t>Supply of Materials, Labor and Installation of 30Mbps Dedicated Fiber Optic Leased Line 2020</t>
  </si>
  <si>
    <t>Procurement of Snacks and Drinks</t>
  </si>
  <si>
    <t>PURCHASE OF DRUGS &amp; MEDICINES</t>
  </si>
  <si>
    <t>Supply of Civil Works for the Renovation/Repair of San Miguel Brgy. Health Station</t>
  </si>
  <si>
    <t>PURCHASE OF OFFICE EQUIPMENT OF MDRRMO- PR. NO:	2020-06-125</t>
  </si>
  <si>
    <t>20JI0110-Concreting of Brgy. Bulawan FMR, Barangay Bulawan, Payao, Zamboanga Sibugay</t>
  </si>
  <si>
    <t>Purchase of Two way radio</t>
  </si>
  <si>
    <t>MEALS AND SNACKS FOR THE YEAR ROUND WOMEN EMPOWERNMENT ORIENTATIONS AND FREE LEGAL ASSISTANCE</t>
  </si>
  <si>
    <t>Construction of Covered Court/ Evacuation Center at Barangay San Vicente, Alcala, Pangasinan</t>
  </si>
  <si>
    <t>SUPPLY &amp; DELIVERY OF FUEL, OIL &amp; LUBRICANTS(MEO)</t>
  </si>
  <si>
    <t>Delivery of various Medical, Dental &amp; Laboratory supplies and Veterinary Supplies (1st Semester 2020) (ITB 20-075)</t>
  </si>
  <si>
    <t>Expansion of Students Athletic Ground (Lot 2-Savings)</t>
  </si>
  <si>
    <t>Cardiac Board, whole plastic</t>
  </si>
  <si>
    <t>SUPPLY AND DELIVERY OF FUEL &amp; OIL FOR THE DESILTING/DREDGING OF WATERWAYS (SAN JUAN &amp; CONSUELO)</t>
  </si>
  <si>
    <t>Rehabilitation of San Vicente (Poblacion) Port Restroom</t>
  </si>
  <si>
    <t>PROCUREMENT OF VARIOUS CONSTRUCTION MATERIALS FOR THE IMPROVENT OF CHILDRENS PARK, PLAZA &amp; MONUMENTS AT MUNICIPAL SITE BSK</t>
  </si>
  <si>
    <t>PURCHASE OF ANTI FLU VACCINE</t>
  </si>
  <si>
    <t>Supply and Delivery of One Lot Office Supplies ITB No. 2020-152A</t>
  </si>
  <si>
    <t>Procurement of Catering Service for the conduct of 2020 Census of Population and Housing (CPH) 4th Level Training at Buenavista for PSA Guimaras PSO</t>
  </si>
  <si>
    <t>ROAD CONCRETING</t>
  </si>
  <si>
    <t>2LSSM2020A-261 Food Supplies</t>
  </si>
  <si>
    <t>Invitation to bid for Rehabilitation of Manpower &amp; Multi-Purpose Development Center</t>
  </si>
  <si>
    <t>2LSSM2020A-262 Other Supplies and Materials</t>
  </si>
  <si>
    <t>Procurement of Lechon</t>
  </si>
  <si>
    <t>Improvement of Mechanical Dryer (Concrete Pavement) at Agro-Industrial Building, Barangay Bersamin, Alcala, Pangasinan</t>
  </si>
  <si>
    <t>SUPPLY AND DELIVERY OF TONER, CARTRIDGE INTENDED FOR MINI GRID ALMAGRO</t>
  </si>
  <si>
    <t>450	kilos	Hybrid Rice Seeds (Bigante plus), etc. PR 163-20</t>
  </si>
  <si>
    <t>Procurement of Vehicle-06-368(A)PGO</t>
  </si>
  <si>
    <t>3	units	 Printer, PR # 33-20</t>
  </si>
  <si>
    <t>SUPPLY AND DELIVERY OF TIRE (rfq#2020-05-2,333)-(pgo-benro)</t>
  </si>
  <si>
    <t>Emergency Purchase in resp to covid19 mayor's off 47A</t>
  </si>
  <si>
    <t>Procurement of Fuel and Lubricants (For Consumption of Peace and Order Monitoring)</t>
  </si>
  <si>
    <t>SUPPLY &amp; DELIVERY OF VEHICLE PARTS &amp; ACCESSORIES</t>
  </si>
  <si>
    <t>2LSSM2020A-263 Other Supplies and Materials</t>
  </si>
  <si>
    <t>Service Vehicle (AUV)</t>
  </si>
  <si>
    <t>Procurement of Maintenance of Heavy Equipment (1 unit Kumatsu Grader)</t>
  </si>
  <si>
    <t>ELECTRIFICATION OF NEW CLASSROOM BUILDING  (INSTALLATION OF ELECTRICITY OF THE EIGHT CLASSROOM OF NEW SCHOOL BUILDING)</t>
  </si>
  <si>
    <t>Concrete Paving of Farm-to-Market Road at Barangay Atainan, Alcala, Pangasinan</t>
  </si>
  <si>
    <t>PRODUCTION OF DLPs FOR THE NEW NORMAL</t>
  </si>
  <si>
    <t>PURCHASE OF EMERGENCY LIGHTS</t>
  </si>
  <si>
    <t>20JA0085  - CONSTRUCTION OF RAINWATER COLLECTION SYSTEM (RCWS) AT TAMION ELEMENTARY SCHOOL, TICTAPUL ELEMENTARY SCHOOL, TICTAPUL NATIONAL HIGH SCHOOL, SINUNUC ELEMENTARY SCHOOL, NANGKA ELEMENTARY ...</t>
  </si>
  <si>
    <t>2LSSM2020A-260 Food Supplies</t>
  </si>
  <si>
    <t>Repair/Rehabilitation of Ceiling (Planning Office, Budget Office, Accounting Office, MSWDO Office, 1st Floor Hallway &amp; Municipal Trial Circuit Office) at Municipal &amp; Legislative Building, Barangay Pob</t>
  </si>
  <si>
    <t>RIPRAPPING AT BRGY. POBLACION 5, MAGALLANES, CAVITE</t>
  </si>
  <si>
    <t>20CB-GSC-370 PURCHASE OF GRASS CUTTER AND MOWER (RE-BID)</t>
  </si>
  <si>
    <t>140	bags	Synthetic Complete fertilizer (14-14-14), etc. PR # 164-20</t>
  </si>
  <si>
    <t>Cloth for the Sewing Craft Cloth with a materials for the use of HFGW residents for their productivity skills development</t>
  </si>
  <si>
    <t>TO SUPPLY LABOR, TOOLS, MATERIALS, EQUIPMENT AND TECHNICAL SKILLS FOR REWINDING OF MAIN STATOR INTENDED FOR MARIPIPI DPP</t>
  </si>
  <si>
    <t>Concrete Paving of Farm-to-Market Road at Barangay San Pedro Ili, Alcala, Pangasinan.</t>
  </si>
  <si>
    <t>TO SUPPLY LABOR, TOOLS AND MATERIALS HAULING OF FG WILSON CONTROL PANEL INTENDED FOR MINI GRID STO. NINO</t>
  </si>
  <si>
    <t>Construction of Footbridge - Purok 1</t>
  </si>
  <si>
    <t>Supply and delivery of 4 pcs. Tubeless Tire (205/65 R 15) for service vehicle: Toyota Innova SLB-190 of PGO-DYMP. ABC PHP48,000.00</t>
  </si>
  <si>
    <t>PURCHASE OF DISASTER EQUIPMENT</t>
  </si>
  <si>
    <t>PURCHASE OF PORTABLE RADIO TRANCEIVER FOR DISASTER AND EMERGENCY RESPONSE (MDRRMO)- PR NO. 2020-06-126</t>
  </si>
  <si>
    <t>2020-06-0037 (Maint. Section)</t>
  </si>
  <si>
    <t>PURCHASE OF MEDICINE SUPPLIES FOR RHU</t>
  </si>
  <si>
    <t>Regular Bidding 7/July/2020 - Procurement of Goods: Const'n Materials &amp; Supplies for the use of CHLMO (Patubig Dev't Program-Const'n of Jetmatic Pump at Prk. 6A, Apokon, T.C.) (PR#100-20-06-0224)</t>
  </si>
  <si>
    <t>20GIL0043(SUPPLY/DELIVERY OF IT EQUIPMENT,DPWH-SLDEO, MAASIN CITY, SOUTHERN LEYTE)</t>
  </si>
  <si>
    <t>IMPROVEMENT OF DAY CARE CENTER</t>
  </si>
  <si>
    <t>SUPPLY &amp; DELIVERY OF ASSORTED GOODS</t>
  </si>
  <si>
    <t>Purchase of Rapid Test Kit for COVID-19</t>
  </si>
  <si>
    <t>2020-06-0039 ( Maint. Sectio)</t>
  </si>
  <si>
    <t>GASS20-06-29-0046 Supply and Delivery of Office Equipment</t>
  </si>
  <si>
    <t>Regular Bidding 7/July/2020 - Procurement of Goods: Const'n Materials for the use of DEPED (Const'n of School Stage at Pandapan Integrated School) (PR#200-20-06-0253)</t>
  </si>
  <si>
    <t>2LSSM2020A-265 Other Supplies and Materials</t>
  </si>
  <si>
    <t>Proposed Construction/Establishment of Municipal Recovery Facility(MRF)</t>
  </si>
  <si>
    <t>CONCRETING OF BARANGAY STREET, Brgy. Camantang, Can-avid Eastern Samar</t>
  </si>
  <si>
    <t>Purchase of Rescue Vehicle at Laur, Nueva Ecija</t>
  </si>
  <si>
    <t>Supply and delivery of Appliances needed for the Pangkabuhayan Starter Kits Beneficiaries of the City Government of Kidapawan.</t>
  </si>
  <si>
    <t>Concrete Paving of Farm-to-Market Road at Barangay Kisikis, Alcala, Pangasinan</t>
  </si>
  <si>
    <t>2LSSM2020A-264 Office Supplies</t>
  </si>
  <si>
    <t>Water Truck for Rescue of MDRRMO</t>
  </si>
  <si>
    <t>SUPPLY AND DELIVERY OF PICK-UP, 4X4, 2.4L, DIESEL, 4 CYLINDER DOHC, M/T WITH 3 YEARS LTO REGISTRATION</t>
  </si>
  <si>
    <t>INVITATION TO BID FOR THE PROCUREMENT OF MATERIALS FOR THE REHABILITATION OF ROAD BETWEEN BSC AND BFAR</t>
  </si>
  <si>
    <t>SUPPLY &amp; DELIVERY OF FUEL, OIL &amp; LUBRICANTS(SBO)</t>
  </si>
  <si>
    <t>SUPPLY &amp; DELIVERY OF OFFICE FIXTURES</t>
  </si>
  <si>
    <t>PURCHASE OF PORTABLE AMPLIFIER</t>
  </si>
  <si>
    <t>Purchase and Delivery of 150 Vials (Speeda)</t>
  </si>
  <si>
    <t>PURCHASE OF ANTI DENGUE CHEMICALS</t>
  </si>
  <si>
    <t>Supply and Delivery of Office Supplies to be used at RPCO3 I-SUPPORT Office</t>
  </si>
  <si>
    <t>CONSOLIDATED OFFICE, JANITORIAL AND OTHER SUPPLIES FOR DIFFERENT PROGRAMS OF  MHO- PR. NO:	2020-06-129</t>
  </si>
  <si>
    <t>FOR ENHANCEMENT OF CACAO PRODUCTION THRU PROVISION OF ACCREDITED VARIETY OF CACAO GRAFTED PLANTING MATERIAL</t>
  </si>
  <si>
    <t>INVITATION TO BID FOR THE PROCUREMENT OF FUEL, OIL AND LUBRICANT</t>
  </si>
  <si>
    <t>Procurement of Fireworks Display</t>
  </si>
  <si>
    <t>Quotation No.20-06-362 = PROCUREMENT OF COMMON OFFICE SUPPLIES</t>
  </si>
  <si>
    <t>Concreting of Buyog Barangay Road</t>
  </si>
  <si>
    <t>Regular Bidding 7/July/2020 - Procurement of Goods: Const'n Materials for the use of DEPED (Const'n Perimeter Fence at Tagum City Nat'n High School, Mankilam, T.C.) (PR#200-20-06-0273)</t>
  </si>
  <si>
    <t>PROCUREMENT OF FUEL</t>
  </si>
  <si>
    <t>Procurement of Catering Service for the conduct of 2020 Census of Population and Housing (CPH) 4th Level Training at Nueva Valencia, Guimaras for PSA Guimaras PSO</t>
  </si>
  <si>
    <t>SAAD20-06-18-0225 Supply and Delivery of ICT Supplies.</t>
  </si>
  <si>
    <t>2LSSM2020A-266 Other Supplies and Materials</t>
  </si>
  <si>
    <t>PURCHASE SCHOOL SUPPLIES</t>
  </si>
  <si>
    <t>CONSTRUCTION OF BARANGAY HALL PHASE 1</t>
  </si>
  <si>
    <t>Supply and Delivery of Purified Drinking Water 2020</t>
  </si>
  <si>
    <t>Installation of Solar Powered Street Lights</t>
  </si>
  <si>
    <t>FURNISHING OF LABOR AND MATERIALS FOR THE CONSTRUCTION OF SLOPE PROTECTION AT BRGY. TABUCAN, DUMANGAS, ILOILO</t>
  </si>
  <si>
    <t>Finishing Interiors of Engineering Building</t>
  </si>
  <si>
    <t>Purchase and Delivery of Materials for the Construction of Additional Hand-washing Facility and Foot Baths</t>
  </si>
  <si>
    <t>Supply and Delivery of General Merchandise for the Month of April SY 2019- 2020</t>
  </si>
  <si>
    <t>20PJ0034: LOCAL INFRASTRUCTURE PROGRAM - IMPROVEMENT OF MULTI-PURPOSE BUILDING, POSNAAN, AGUINALDO, IFUGAO</t>
  </si>
  <si>
    <t>PROCUREMENT OF ONE (1) UNIT LAPTOP FOR IMO DAVAO DE ORO OPERATION &amp; MAINTENANCE SECTION</t>
  </si>
  <si>
    <t>IMPROVEMENT OF DELOSO TYPE BLDG. AT STO ROSARIO INTEGRATED SCHOOL TO A TWO (2) STOREY BUILDING</t>
  </si>
  <si>
    <t>Procurement of Catering Service for the conduct of 2020 Census of Population and Housing (CPH) 4th Level Training at San Lorenzo for PSA Guimaras PSO</t>
  </si>
  <si>
    <t>SUPPLY &amp; DELIVERY OF ELECTRICAL SUPPLIES</t>
  </si>
  <si>
    <t>Supply and Delivery of Construction Materials for the Concreting of Brgy. Road</t>
  </si>
  <si>
    <t>INVITATION TO BID FOR THE PROCUREMENT OF TOOLS AND EQUIPMENT OF THE MUNICIPAL WATERWORKS SYSTEM</t>
  </si>
  <si>
    <t>FURNISHING OF LABOR AND MATERIALS FOR THE CONSTRUCTION OF DRAINAGE AND SIDEWALK- SOUTHBOUND TERMINAL AT BRGY. TABUCAN, DUMANGAS, ILOILO</t>
  </si>
  <si>
    <t>Safe Vault for the use of Social Pension Unit for the implementation of its program</t>
  </si>
  <si>
    <t>One (1) unit Tying Machine</t>
  </si>
  <si>
    <t>Procurement of Office Equipment for the Regional Trial Court Branch 27-Tandag.</t>
  </si>
  <si>
    <t>Maintenance &amp; Improvement of Day Care Center</t>
  </si>
  <si>
    <t>PURCHASE OF FOOD AND OTHER SUPPLIES FOR LOGICTICAL SUPPORT TO RESPONDERS AND VOLUNTEERS RETRIEVAL OPERATIONS INCLUDING COVID-19  OPERATION ( MDRRMO)- PR. NO:	2020-06-133</t>
  </si>
  <si>
    <t>Completion of Municipal Building South Wing (PHASE II)</t>
  </si>
  <si>
    <t>Procurement of Kitchen Supplies &amp; Equipment</t>
  </si>
  <si>
    <t>2LSSM2020A-267 Other Supplies and Materials</t>
  </si>
  <si>
    <t>20AC0101 - Construction of Classrooms, Four (4) Storey, Twelve (12) Classroom (Modified Standard) School Building, San Vicente Integrated School, San Vicente, Ilocos Sur</t>
  </si>
  <si>
    <t>MEALS AND SNACKS FOR PARTICIPANTS ( REC- ECHO TRAINING ON COLLAPSED STRUCTURE SEARCH AND RESCUE TRAINING  FOR MDRRMO- PR. NO:	2020-06-135</t>
  </si>
  <si>
    <t>INVITATION TO BID FOR THE PROCUREMENT OF OFFICE SUPPLIES OF BASCO CENTRAL SCHOOL, TUKON BARRIO SCHOOL AND DIPTAN ELEMENTARY SCHOOL</t>
  </si>
  <si>
    <t>INVITATION TO BID FOR THE PROCUREMENT OF Supplies for Communicable Disease, Medical and Laboratory Supplies of the Municipal Health Office and Supplies for the Home Care Services of the Mun. Social We</t>
  </si>
  <si>
    <t>PRE-BID CONFERENCE 7/July/2020 - Procurement of Goods: Const'n Materials for the use of CMO (Enhancement of Multi-purpose Bldg. at Mabini St., Magugpo Poblacion, T.C.) (PR#100-20-06-0271)</t>
  </si>
  <si>
    <t>Supply and Delivery of Assorted Office Supplies</t>
  </si>
  <si>
    <t>RFQ 2020-06-026 - PR 2020-06-035 Procurement of One (1) Job Order, L&amp;M for Preventive Maintenance of AAG-4646 Mitsubishi Strada Pick-Up</t>
  </si>
  <si>
    <t>FOR ENHANCEMENT OF CACAO PRODUCTION THRU PROVISION OF FERTILIZER SUBSIDY</t>
  </si>
  <si>
    <t>Procurement of Catering Service for the conduct of 2020 Census of Population and Housing (CPH) 4th Level Training at Sibunag for PSA Guimaras PSO</t>
  </si>
  <si>
    <t>TO SUPPLY AND DELIVERY OF BELT, RADIATOR FAN &amp; 11 OTHERS INTENDED FOR STO. NINO DPP</t>
  </si>
  <si>
    <t>Sewing Craft Materials for the use of HFGW Residents for their Productivity Skills Development</t>
  </si>
  <si>
    <t>SUPPLY AND DELIVERY OF RECONDITIONED MINI-DUMP TRUCK</t>
  </si>
  <si>
    <t>Laptop</t>
  </si>
  <si>
    <t>Supply &amp; Delivery 2 units Motorcycle; PR No. 20-0697 dated February 20, 2020</t>
  </si>
  <si>
    <t>Tube and Flap Tire Brand New for Loader</t>
  </si>
  <si>
    <t>Procurement of Catering Service for the conduct of 2020 Census of Population and Housing (CPH) 4th Level Training at Jordan for PSA Guimaras PSO</t>
  </si>
  <si>
    <t>Supply of parts and labor for the general overhauling of starboard CAT 3126 Marine Engine of DA-BFAR MCS 1104 Patrol Vessel</t>
  </si>
  <si>
    <t>PURCHASE OF SPARE PARTS FOR REPAIR AND MAINTENANCE FOR FOROKAWA LOADER 325 (MOTORPOOL)- PR. NO:	2020-06-138</t>
  </si>
  <si>
    <t>HP CF219A - Original Laser Jet Imaging Drum - 2020</t>
  </si>
  <si>
    <t>Purchased of Flu Vaccine for Barangay Wawa 1</t>
  </si>
  <si>
    <t>FURNISHING OF LABOR AND MATERIALS FOR THE IMPROVEMENT OF TASK FORCE PUERTO AT BRGY. SAPAO, DUMANGAS, ILOILO</t>
  </si>
  <si>
    <t>PC 20-001 Labor for the Repair of Old SP Building for the Establishment of PWD Comfort Room, Old SP Building, Provincial Capitol Compound, Alunan Avenue, Koronadal City, South Cotabato</t>
  </si>
  <si>
    <t>Procurement of One (1) Unit Service Vehicle - PSWDO</t>
  </si>
  <si>
    <t>2020-06-350  Procurement of Various Printed Materials</t>
  </si>
  <si>
    <t>PURCHASE OF  OFFICE EQUIPMENT  2 UNITS AIRCONDITION FOR PEACE AND ORDER PROGRAM FOR MAYORS OFFICE- PR. NO:	2020-06-131</t>
  </si>
  <si>
    <t>PRE-BID CONFERENCE 7/July/2020 - Procurement of Goods: Const'n Materials for the use of CMO - (Const'n of Multi-purpose Pavement-Tagum City Aquaculture at Liboganon, T.C.) (PR#100-20-06-0252)</t>
  </si>
  <si>
    <t>PURCHASE OF MATERIALS FOR CONSTRUCTION COVERED COURT</t>
  </si>
  <si>
    <t>IMPROVEMENT OF MULTIPURPOSE HALL STA. ROSA</t>
  </si>
  <si>
    <t>FURNISHING OF MATERIALS FOR THE CONCRETING OF BARANGAY ROAD</t>
  </si>
  <si>
    <t>PURCHASE OF SPARE PARTS FOR REPAIR AND MAINTENANCE FOR FARM TRUCTOR, KOBELCO SK225SR AND KOBELCO SK115SR FOR MOTORPOOL- PR. NO:	2020-06-136</t>
  </si>
  <si>
    <t>Supply and Delivery of 45 Toner Cartridges HP CE505A with free use of corresponding HP Laserjet Printer</t>
  </si>
  <si>
    <t>Supply and Delivery of Various Food Items for People with disabilities</t>
  </si>
  <si>
    <t>Invitation to Bid for Drilling of  Exploratory Well for Tiaong Water District</t>
  </si>
  <si>
    <t>20CB-GSC-372 PRINTING SERVICES (RE-BID)</t>
  </si>
  <si>
    <t>Supply and Delivery of Office Supply and Consumables for the Month of April SY 2019- 2020</t>
  </si>
  <si>
    <t>Rehabilitation of Multi-Purpose Building</t>
  </si>
  <si>
    <t>Provision of Security Services</t>
  </si>
  <si>
    <t>Air Safety Valve etc. (06-0632) Operation of Public Motorpool</t>
  </si>
  <si>
    <t>SUPPLY AND DELIVERY OF CONSTRUCTION MATERIALS for Imprvt. of MPP</t>
  </si>
  <si>
    <t>Motor Vehicle</t>
  </si>
  <si>
    <t>Office Supplies 2020</t>
  </si>
  <si>
    <t>PURCHASE OF AGRICULTURAL SUPPLIES FOR MAGRO- PR. NO:	2020-06-139</t>
  </si>
  <si>
    <t>Construction of Multi-Purpose Hall (PHASE 1)</t>
  </si>
  <si>
    <t>ITB No. 013-2020-First Posting-Construction of Various Infrastructure Projects in the Municipality of Hingyon, Ifugao.</t>
  </si>
  <si>
    <t>Supply and Delivery of General Merchandise for the Month of May SY 2019-2020</t>
  </si>
  <si>
    <t>Procurement of Laboratory Equipment &amp; Farm Machineries</t>
  </si>
  <si>
    <t>20PJ0057: Local Infrastructure Program - Construction of Roads, Mongol Talboc, Mayoyao, Ifugao</t>
  </si>
  <si>
    <t>Computer Desktop</t>
  </si>
  <si>
    <t>FURNISHING AND DELIVERY OF GROCERY ITEMS FOR FOOD ASSISTANCE TO ROFs AND LSI</t>
  </si>
  <si>
    <t>20CB-GSC-371 LANDLINE SUBSCRIPTION W/ INTERNET (RE-BID)</t>
  </si>
  <si>
    <t>2020-06-03</t>
  </si>
  <si>
    <t>INVITATION TO BID FOR THE PROCUREMENT OF MATERIALS FOR THE REPAIR OF MUNICIPAL BUILDING GROUND FLOOR-HALLWAY</t>
  </si>
  <si>
    <t>Purchase of Fuel (Gasoline &amp; Diesel)</t>
  </si>
  <si>
    <t>Piston Assy. etc. (06-0622) Operation of Public Motorpool</t>
  </si>
  <si>
    <t>PROCUREMENT OF OTHER SUPPLIES</t>
  </si>
  <si>
    <t>MOOE/BDF/RRMF 2020</t>
  </si>
  <si>
    <t>Use for the augmentation of Secondary Transmission Line to Main Tank at Bong Borlasa source Kabangkalan, Villahermosa, Tudela, Cebu</t>
  </si>
  <si>
    <t>CONCRETING OF FARM TO MARKET ROAD/ACCESS ROAD AT DAIT (MATERIALS)</t>
  </si>
  <si>
    <t>Tire Set,HD SAE 10W,etc....</t>
  </si>
  <si>
    <t>2LSSM2020A-268 Other Supplies and Materials</t>
  </si>
  <si>
    <t>20CB-GSC-379 PURCHASE OF IT EQUIPMENT</t>
  </si>
  <si>
    <t>Diesel,Gasoline</t>
  </si>
  <si>
    <t>SUPPLY &amp; DELIVERY OF COMMUNICATION EQUIPMENT</t>
  </si>
  <si>
    <t>RENOVATION OF THE CUSTOMER CARE CENTER (CCC)</t>
  </si>
  <si>
    <t>CONSOLIDATED OFFICE SUPPLIES FOR MIO,MO,MDRRMO AND NUTRITION OFFICE- PR. NO:	2020-06-140</t>
  </si>
  <si>
    <t>Const. of VAWCS Center</t>
  </si>
  <si>
    <t>20CB-GSC-374 PURCHASE OF ENGINE OIL FOR CTO</t>
  </si>
  <si>
    <t>Rehabilitation of Water System</t>
  </si>
  <si>
    <t>Supply and delivery of supplies and materials for National School Building Inventory SY 2019-2020</t>
  </si>
  <si>
    <t>2020-06-02</t>
  </si>
  <si>
    <t>CONSTRUCTION OF MULTI-PURPOSE HALL BRGY VICTORY JIABONG SAMAR</t>
  </si>
  <si>
    <t>20CB-GSC-373 PURCHASE OF SPARE PARTS FOR MOTOR VEHICLE (RE-BID)</t>
  </si>
  <si>
    <t>20CB-GSC-381 PURCHASE OF HOUSE NUMBER PLATES (RE-BID)</t>
  </si>
  <si>
    <t>SUPPLY AND DELIVERY OF POLISHED RICE</t>
  </si>
  <si>
    <t>20CB-GSC-380 PURCHASE OF MEDICAL SUPPLIES FOR DRRM</t>
  </si>
  <si>
    <t>Glass wall partition/cubicle</t>
  </si>
  <si>
    <t>SUPPLY AND DELIVERY OF TIRE AND BATTERY FOR MOTORCYCLE (rfq#2020-06-2,570)-(pgo-livelihood)</t>
  </si>
  <si>
    <t>Quotation No.20-06-363 = PROCUREMENT OF COMMON OFFICE SUPPLIES (BUDGET SECTION)</t>
  </si>
  <si>
    <t>Purchase of drugs and medicines for CDRRMD Personnel under PR#2020-06-2568</t>
  </si>
  <si>
    <t>IMPROVEMENT OF WATERSYSTEM (CANTOMOGCAD)</t>
  </si>
  <si>
    <t>Signpen and Ballpen 2020</t>
  </si>
  <si>
    <t>CONCRETING OF FARM TO MARKET ROAD/ACCESS ROAD AT DAIT (EQUIPMENT)</t>
  </si>
  <si>
    <t>Procurement of One (1) Unit Ambulance for the Use of Rural Health Unit, LGU-Tagudin, Ilocos Sur</t>
  </si>
  <si>
    <t>SUPPLY AND DELIVERY OF DIESEL AND GASOLINE (rfq#2020-05-2,446)-(pgo-pnp)</t>
  </si>
  <si>
    <t>SUPPLY AND DELIVERY OF OFFICE SUPPLIES (rfq#2020-06-2,626)-(pgo-bac secretariat)</t>
  </si>
  <si>
    <t>20PJ0058: Local Infrastructure Program - Construction of Roads, Palaad- Ayangan, Mayoyao, Ifugao</t>
  </si>
  <si>
    <t>FURNISHING AND DELIVERY OF RICE FOR FOOD ASSISTANCE TO ROFS AND LSI</t>
  </si>
  <si>
    <t>Procurement of 23 TL Screened Sand</t>
  </si>
  <si>
    <t>2LSSM2020A-269 Other Supplies and Materials</t>
  </si>
  <si>
    <t>Procurement of ICT Equipment of Naval Operating Reporting System (NORS)</t>
  </si>
  <si>
    <t>CONSTRUCTION OF MULTI-PURPOSE CENTER – PUROK 12, SAN MIGUEL, TAGUM CITY</t>
  </si>
  <si>
    <t>CONSTRUCTION OF FLOOD CONTROL AND MITIGATION STRUCTURE (BURIASAN BRIDGE OF MALABANG-MASIBAY-MAITOMAIG PROVINCIAL ROAD)</t>
  </si>
  <si>
    <t>Procurement of water connection and fittings to be used in the rehabilitation of water system at Malolos</t>
  </si>
  <si>
    <t>Rehab of Togong Proper Road</t>
  </si>
  <si>
    <t>Quotation No.20-06-364 = PROCUREMENT OF COMMON OFFICE SUPPLIES</t>
  </si>
  <si>
    <t>Supply and Delivery of One (1) unit Brand New TRACTOR WITH MOWER  for Mayor’s Office , City Government of Marikina</t>
  </si>
  <si>
    <t>Construction of Hanging Bridge at Brgy. Mataywanak, Tuy</t>
  </si>
  <si>
    <t>Procurement of IT Equipment (Printer)</t>
  </si>
  <si>
    <t>PROCUREMENT OF TIRES, SPARE PARTS AND OIL FILTER FOR THE REPAIR AND MAINTENANCE OF TRANSPORTATION EQUIPMENT</t>
  </si>
  <si>
    <t>Toner Cartridge, Canon 337, Black - 2020</t>
  </si>
  <si>
    <t>One (1) unit contract for the Construction/improvement of Mabini National High School Multi Purpose, Cuambog, Mabini, Davao De Oro</t>
  </si>
  <si>
    <t>INVITATION TO BID FOR THE SUPPLY AND DELIVERY OF 1 LOT PIPES AND FITTINGS; AND 1 LOT 500 PIECES OF  ½” MULTI-DIRECTIONAL, CLASS B, BRASS WATER METERS</t>
  </si>
  <si>
    <t>To Hire Auto-Mechanic For Repair of the Municipal Government Vehicle</t>
  </si>
  <si>
    <t>Supply and delivery of maintenance parts of port and starboard CAT 3126 Marine Engine for DA-BFAR MCS 1104 Patrol Vessel</t>
  </si>
  <si>
    <t>Construction of 9 Units Led Streetlights</t>
  </si>
  <si>
    <t>Purchase of Purified Drinking Water</t>
  </si>
  <si>
    <t>Repair of Tuy Rural Health Unit</t>
  </si>
  <si>
    <t>MOTOR CYCLE BIKE-XRM 125 DUAL SPORT</t>
  </si>
  <si>
    <t>REPAIR/REHABILITATION OF MULTI-PURPOSE HALL</t>
  </si>
  <si>
    <t>Public Competitive Bidding for the Supply and Delivery of Various Mental Health Medicines of the Department of Health – Re-Bid</t>
  </si>
  <si>
    <t>Reference No. 20GKG0033 (PR No. 20-06-033)- Procurement of 253 pails Cold Mix for use in the operation at the Maintenance Section in the Patching of Potholes along Iligan City-Marawi City National and</t>
  </si>
  <si>
    <t>RFQ PURCHASE &amp; DELIVERY OF MEDICAL SUPPLIES AND EQUIPMENT</t>
  </si>
  <si>
    <t>Construction of Spillway and Concreting of Access Road at Brgy. Malibu</t>
  </si>
  <si>
    <t>PURCHASE OF FIRE EXTINGUISHERS AND PUMP</t>
  </si>
  <si>
    <t>TO SUPPLY LABOR, TOOLS AND MATERIALS FOR THE REPAIR/CALIBRATION OF FUEL INJECTION PUMP OF UNIT 2- 750 KW MITSUBISHI OF POWER BARGE 113</t>
  </si>
  <si>
    <t>Supply of maintenance parts of CAT 3412E Marine Engine &amp; CAT 3054NA Marine Genset of DA-BFAR MCS 3006 Patrol Vessel</t>
  </si>
  <si>
    <t>CONSTRUCTION OF CONCRETE PAVEMENT (BRGY. ROAD)</t>
  </si>
  <si>
    <t>Purchase of Materials for the Concreting of Road</t>
  </si>
  <si>
    <t>RFQ for Emergency Purchase for Isolation Area Construction Materials</t>
  </si>
  <si>
    <t>Supply and Delivery of Ordinary Earth Filling Materials</t>
  </si>
  <si>
    <t>Improvement of Multi-Purpose Hall</t>
  </si>
  <si>
    <t>PURCHASE OF CONSTRUCTION MATERIALS FOR THE REHABILITATION/IMPROVEMENT OF BRGY ROAD</t>
  </si>
  <si>
    <t>Supply and Delivery of Materials for the Repair/Maintenance of Children's Playground at Brgy. Poblacion Tres, Calauag, Quezon</t>
  </si>
  <si>
    <t>STEEL CABINET (4 DRAWERS WITH LOCK)</t>
  </si>
  <si>
    <t>GENERATOR SET</t>
  </si>
  <si>
    <t>2LSSM2020A-270 Other Supplies and Materials</t>
  </si>
  <si>
    <t>Envelope, Documentary with BI Logo - 2020</t>
  </si>
  <si>
    <t>Supply and Delivery of One (1) Lot Tires with tube and flaps for Municipal Garbage Trucks</t>
  </si>
  <si>
    <t>Procurement of ICT Equipment of Logistics Management System (LogMS) Enhancement Project</t>
  </si>
  <si>
    <t>Procurement of Furnitures &amp; Fixtures</t>
  </si>
  <si>
    <t>Card Printer Ribbon - YMCKO 400 Prints - 2020</t>
  </si>
  <si>
    <t>CONSTRUCTION OF TWO (2) STOREY, FOUR (4) CLASSROOMS BUILDING AT PETRON SCHOOL</t>
  </si>
  <si>
    <t>SUPPLY AND DELIVERY OF ELECTRICAL SPARE PARTS FOR 750 KW MITSUBISHI AND 600KW PERKINS INTENDED FOR POWER BARGE 113</t>
  </si>
  <si>
    <t>PROCUREMENT OF OFFICE SUPPLIES  (Non-PS)</t>
  </si>
  <si>
    <t>Purchase of Office Tables</t>
  </si>
  <si>
    <t>2LSSM2020A-271 Other Supplies and Materials</t>
  </si>
  <si>
    <t>Procurement of Office Supplies ( Continuous Form &amp; Ribbons)</t>
  </si>
  <si>
    <t>Procurement of Security Services for CSC RO IV Located at 139 Panay Ave., Barangay South Triangle, Quezon City</t>
  </si>
  <si>
    <t>REHABILITATION/CONSTRUCTION OF DRAINAGE CANALS– PUROK 11-A, SAN MIGUEL, TAGUM CITY</t>
  </si>
  <si>
    <t>RFQ NO. 2020-06-0420 DSWD KC Year-End  Forum</t>
  </si>
  <si>
    <t>improvement of concrete pavement and construction of drainage canal brgy malobago</t>
  </si>
  <si>
    <t>20CG0178 - Construction/ Repair/ Rehabilitation/ Improvement  of Various Infrastructure including Local Projects – Buildings and Other Structures – Multipurpose/ Facilities – Rehabilitation of Mandasi</t>
  </si>
  <si>
    <t>Purchase of computer set desktop for info. &amp; communication technology equipment under PR#2020-03-2047</t>
  </si>
  <si>
    <t>Purchase of Laptop for Early Childhood care and development under PR#2020-03-1989</t>
  </si>
  <si>
    <t>PB-Procurement of Ortho Instruments &amp; Equipment (ITB No. 2020-17)</t>
  </si>
  <si>
    <t>20CG0179 - Local Infrastructure Program: Multipurpose/ Facilities – Construction of Multi-Purpose Building, Sta. Cruz, Macabebe, Pampanga</t>
  </si>
  <si>
    <t>RFQ-Medals</t>
  </si>
  <si>
    <t>Communication CCTV</t>
  </si>
  <si>
    <t>Procurement of Maintenance Tools and Equipment</t>
  </si>
  <si>
    <t>One (1) contract for the construction/Improvement of TAGCO Multi-Purpose Building, Tagnanan, Davao De Oro</t>
  </si>
  <si>
    <t>PURCHASE &amp; DELIVERY OF OFFICE SUPPLIES &amp; CONSUMABLES</t>
  </si>
  <si>
    <t>CONCRETING OF BARANGAY ROADS AT P3 BALILA (2ND BID)</t>
  </si>
  <si>
    <t>Supply of maintenance parts of CAT 3412E Marine Engine, CAT 3054 NA &amp; CAT C4.4 Marine Genset of DA-BFAR MCS 3004 Patrol Vessel</t>
  </si>
  <si>
    <t>UPGRADING/CONCRETING OF ROAD M. SANTIAGO ST. (J.P. RIZAL-RHU-MARKET SECTION)</t>
  </si>
  <si>
    <t>invitation to bid for the supply and delivery of materials and labor for the improvement of Mt. Kelleb Road (FTMR)</t>
  </si>
  <si>
    <t>Provision of Janitorial Services for the  Sandiganbayan Centennial Building for One (1) Year (Re-advertisement)</t>
  </si>
  <si>
    <t>Furnishing of Labor and Materials of Cold Storage Doors</t>
  </si>
  <si>
    <t>FOR THE COMPLETION OF FIBER GLASS PATROL BOAT AS LGU COUNTERPART TO BFAR.</t>
  </si>
  <si>
    <t>20FE0129 – CONSTRUCTION OF CLASSROOMS, ODOC ES, LIBMANAN, CAMARINES SUR</t>
  </si>
  <si>
    <t>PROCUREMENT OF CONSTRUCTION MATERIALS  (FOR CONSTRUCTION OF RCA, BASAK, DAGUNDALAHON, LANTUD, LIRONGAN, SAN RAFAEL, LIGURON)</t>
  </si>
  <si>
    <t>IMPROVMENT OF DIALYSIS ROOM, OBS, PALIWAS, OBANDO, BULACAN</t>
  </si>
  <si>
    <t>20LC0130 Construction of Concrete Road, Brgy. Apokon, Tagum City, Davao del Norte</t>
  </si>
  <si>
    <t>Mattress 2020</t>
  </si>
  <si>
    <t>SUPPLY &amp; DELIVERY OF FOOD SUBSIDY FOR INMATES OF MUNTINLUPA CITY</t>
  </si>
  <si>
    <t>Glass work for the installation of glass partition for the repair of BFAR-13 Regional Office at Surigao City.</t>
  </si>
  <si>
    <t>2LSSM2020A-272 Other Supplies and Materials</t>
  </si>
  <si>
    <t>IMPROVEMENT/REHABILITATION OF POBLACION WATER SYSTEM</t>
  </si>
  <si>
    <t>Supply and delivery of pallets for use on research on diversified corn- based farming systems (PR 363)</t>
  </si>
  <si>
    <t>Concreting of Tinigban to Raang Seashore</t>
  </si>
  <si>
    <t>Philippine Information Agency Vehicle Repair and Maintenance</t>
  </si>
  <si>
    <t>Purchase of printer for SICC-research &amp; development program use under PR#2020-03-2042</t>
  </si>
  <si>
    <t>Procurement of ICT Equipment of Naval Systems Engineering MIS (NSEMIS) Project</t>
  </si>
  <si>
    <t>Supply of maintenance parts of CAT 3412E Marine Engine, CAT 3054 NA &amp; CAT C4.4 Marine Genset of DA-BFAR MCS 3003 Patrol Vessel</t>
  </si>
  <si>
    <t>PURCHASE OF USB</t>
  </si>
  <si>
    <t>PURCHASE OF  COMPUTER DESKTOP  USE AT BARANGAY SANTIAGO CITY OF GENERAL TRIAS</t>
  </si>
  <si>
    <t>REFILL OF SPECIALIZED GAS FOR CSR STOCKING/ SALES PURPOSES</t>
  </si>
  <si>
    <t>SUPPLY AND DELIVERY OF  COMPUTER DESKTOP</t>
  </si>
  <si>
    <t>Supples &amp; Equipment for PWD Printing Services Project</t>
  </si>
  <si>
    <t>SUPPLY AND DELIVERY OF CIRCUIT BREAKER FOR MAIN ENGINE OF POWER BARGE 113</t>
  </si>
  <si>
    <t>IMPROVEMENT OF 2ND FLOOR LEVEL OF EVACUATION CENTER</t>
  </si>
  <si>
    <t>SUPPLY AND DELIVERY OF VARIOUS GOODS INTENDED FOR BOHOL 1 MINI GRID</t>
  </si>
  <si>
    <t>PRE-BID CONFERENCE 7/July/2020 - Procurement of Goods: Const'n Materials for the use of CMO - Cons'tn of Multi-Purpose Bldg. at Laureta Elem. School, San Miguel, T.C. (PR#100-20-06-0277)</t>
  </si>
  <si>
    <t>UPDATING OF CLUP, FLUP, ELCCAP</t>
  </si>
  <si>
    <t>Procurement of one hundred fifty (150) heads piglets for dispersal.</t>
  </si>
  <si>
    <t>Proposed installation of railings with concreting at Barangay IV-C</t>
  </si>
  <si>
    <t>GPG-B1-2020-427-SUPPLY, DELIVERY, INSTALLATION, TESTING &amp; COMMISSIONING OF SOLID WASTE MGT EQPT CONSISTING OF FIVE (5) LOTS OF BRAND-NEW SET OF PLASTIC RECYCLING EQPT WITH BRAND NEW PLASTIC CHAIR MOLD</t>
  </si>
  <si>
    <t>PURCHASE OF COMPUTER DESKTOP USE AT BARANGAY BUENAVIST 1  CITY OF GENERAL TRIAS</t>
  </si>
  <si>
    <t>ITB and Bid Docs for Procurement ID/Contract ID:    20C00048  Contract Name:      Local Program – Local Infrastructure Program – Local Roads and Bridges – Local Roads – Concreting of Roads from Casigu</t>
  </si>
  <si>
    <t>2LSSM2020A-273 Other Supplies and Materials</t>
  </si>
  <si>
    <t>NCB Publication No. 2020- 22 (First Publication)- Construction of Additional Building for COVID-19 at Panopdopan District  Hospital</t>
  </si>
  <si>
    <t>Procurement of Paper Materials &amp; Products</t>
  </si>
  <si>
    <t>invitation to bid for the supply and delivery of materials and labor for the construction of drainage canal along provincial road at purok 3</t>
  </si>
  <si>
    <t>SUPPLY AND DELIVERY OF OPERATION AND MAINTENANCE SUPPLIES INTENDED FOR DOONG DPP</t>
  </si>
  <si>
    <t>2LSSM2020B-274 Other Supplies and Materials</t>
  </si>
  <si>
    <t>SUPPLY AND DELIVERY OF CEILING FAN AT DUMAGUETE AIRPORT</t>
  </si>
  <si>
    <t>Repair &amp; Maintenance of Multi-Purpose Building</t>
  </si>
  <si>
    <t>Purchase of Rice</t>
  </si>
  <si>
    <t>2LSSM2020B-275 Office Supplies</t>
  </si>
  <si>
    <t>To Improve the Comfort of Library Users and To Preserve the Collections of the Library.</t>
  </si>
  <si>
    <t>20CG0180 - Construction/ Repair/ Rehabilitation/ Improvement  of Various Infrastructure including Local Projects – Buildings and Other Structures – Multipurpose/ Facilities – Construction of Multi-Pur</t>
  </si>
  <si>
    <t>20CG0182 - Local Infrastructure Program: Multipurpose/ Facilities – Construction of Multi-Purpose Covered Area with Reinforced Concrete Slab, Sta. Lutgarda, Macabebe, Pampanga</t>
  </si>
  <si>
    <t>SUPPLY AND DELIVERY OF AGRICULTURAL SUPPLIES</t>
  </si>
  <si>
    <t>Construction Materials for Perimeter Fence at Minimum Security Compound Use</t>
  </si>
  <si>
    <t>REHABILITATION/CONSTRUCTION OF DRAINAGE CANALS ALONG LAURETA NATIONAL HIGH SCHOOL,  SAN MIGUEL TAGUM CITY</t>
  </si>
  <si>
    <t>CONSTRUCTION OF TWO (2) STOREY, FOUR (4) CLASSROOM SCHOOL BUILDING, SAN QUINTIN CENTRAL SCHOOL AT SAN QUINTIN, PANGASINAN</t>
  </si>
  <si>
    <t>Construction of Concrete Pathway</t>
  </si>
  <si>
    <t>Improvement of Access Foot Trails to Badi Falls (w/ Handrails)</t>
  </si>
  <si>
    <t>20LC0148 Construction of Multi-Purpose Building (Fish Landing Facility) Brgy. Peñaplata. Samal District, Island Garden City of Samal, Davao del Norte</t>
  </si>
  <si>
    <t>Supply and delivery of maintenance parts of port and starboard CAT 3126 Marine Engine for DA-BFAR MCS 1103 Patrol Vessel</t>
  </si>
  <si>
    <t>Supply and delivery of Animal Feeds (PR 363)</t>
  </si>
  <si>
    <t>Procurement of ICT Equipment of PN Email Enhancement Project</t>
  </si>
  <si>
    <t>Payment of materials for the maintenance of Capt. Fulgencio Road-Don Dimas Querubin, Caoayan, Ilocos Sur</t>
  </si>
  <si>
    <t>SUPPLY &amp; DELIVERY OF  VARIOUS MATERIALS FOR CONSOLIDATED PROJECT AT DIST. 1 &amp; 2, MUNTINLUPA CITY</t>
  </si>
  <si>
    <t>Purchase of Bush cutter for CENRO use under PR#2020-03-1611</t>
  </si>
  <si>
    <t>20CG0184 - Construction/ Repair/ Rehabilitation/ Improvement  of Various Infrastructure Including Local Projects: Buildings and Other Structures – Multipurpose/ Facilities – Rehabilitation of Multi-Pu</t>
  </si>
  <si>
    <t>CONSTRUCTION/ IMPROVEMENT OF MULTI-PURPOSE BUILDING, POBLACION, MAWAB, DAVAO DE ORO- Purchase Request No.2020-06-106</t>
  </si>
  <si>
    <t>LCWD-2020-052 20 KVA Generator Set</t>
  </si>
  <si>
    <t>20CG0185 - Construction/ Repair/ Rehabilitation/ Improvement  of Various Infrastructure Including Local Projects: Multipurpose/ Facilities – Rehabilitation of Multi-Purpose Building San Antonio, Araya</t>
  </si>
  <si>
    <t>Construction of Two (2) Storey, Six (6) Classroom School Building, San Juan Elementary School at San Manuel, Pangasinan</t>
  </si>
  <si>
    <t>Procurement of Audio and Visual Equipment for Proincial Governors Office.</t>
  </si>
  <si>
    <t>PURCHASE OF FUEL ( DIESEL AND GASOLINE) FOR ALL GOVERNMENT VEHICLE USE- Purchase Request No.2020-06-110</t>
  </si>
  <si>
    <t>REPAIR/RENOVATION OF RURAL HEALTH UNIT BUILDING</t>
  </si>
  <si>
    <t>Construction of River Dike</t>
  </si>
  <si>
    <t>Upgrading of Brgy. Balatero Road</t>
  </si>
  <si>
    <t>PURCHASE OF VEHICLE SUPPLIES AND MATERIALS</t>
  </si>
  <si>
    <t>PROVISION OF MEALS AT THE ISOLATION UNIT</t>
  </si>
  <si>
    <t>REHABILITATION OF MDRRMO OPERATION CENTER             ( GARRAGE)- Purchase Request No.2020-06-108</t>
  </si>
  <si>
    <t>CONSTRUCTION OF BARAY  INDOANAN SANG KATIGMAN NANG MANSAKA</t>
  </si>
  <si>
    <t>Supply and Delivery of One (1) Unit Brand New 225hp Outboard Motor</t>
  </si>
  <si>
    <t>Electrical and Plumbing Supplies</t>
  </si>
  <si>
    <t>NCB Publication No. 2020- 23 (First Publication)- Construction of Additional Building for COVID-19 at Potia District Hospital</t>
  </si>
  <si>
    <t>REQUEST FOR QUOTATION FOR THE PROCUREMENT OF GOODS: SPLIT TYPE AIRCON, 2.5HP FOR BLOOD BANK AND HEMATOLOGY</t>
  </si>
  <si>
    <t>SUPPLY AND DELIVERY OF HARDWARE MATERIALS FOR THE CONSTRUCTION OF WATER SYSTEM OF SITIO DANDANON, BARANGAY KOLAMBUGAN,SIBAGAT,AGUSAN DEL SUR</t>
  </si>
  <si>
    <t>invitation to bid for the supply and delivery of materials and labor for the construction of drainage canal along provincial road in front of paniki high school</t>
  </si>
  <si>
    <t>20CG0183 - Local Infrastructure Program: Buildings and Other Structures – Multipurpose/ Facilities – Construction of Multi-Purpose Building, Mapaniqui, Candaba, Pampanga</t>
  </si>
  <si>
    <t>20KL0137 - Construction of Standard Two-Storey (4 Classrooms) School Building (9.5m x 23.00m)</t>
  </si>
  <si>
    <t>Procurement of IT Equipment for the use of DILG</t>
  </si>
  <si>
    <t>MOOE 2020</t>
  </si>
  <si>
    <t>Centennial Year Projects (Improvement of Museum)</t>
  </si>
  <si>
    <t>For use in operation of DT 03, RG 01,DR 01,PL 03, Dt08,Hilux AAG 1146 PAYLOADER, DT 03, KIA 269, PL 01,DT 12 assigned at City Engineer's office.</t>
  </si>
  <si>
    <t>PURCHASE OF FOOT BATH AT BRGY. PEÑAPLATA, SAMAL DIST., IGACOS under PR#2020-03-1991</t>
  </si>
  <si>
    <t>Supply and delivery of supplies for research on diversified corn-based farming systems (PR 363)</t>
  </si>
  <si>
    <t>PURCHASE OF TIRE FOR REPAIR AND MAINTENANCE OF  GRADER MG 331- Purchase Request No.2020-06-137</t>
  </si>
  <si>
    <t>20CB-GSC-375 PURCHASE OF PORTABLE SPEAKER</t>
  </si>
  <si>
    <t>20CG0186 - Local Infrastructure Program: Multipurpose/ Facilities – Construction of Public Safety Office Building, Sitio Tagulud, Brgy. Sampaloc, Apalit, Pampanga</t>
  </si>
  <si>
    <t>CID No. 20GI00006 - Procurement of Security Services Requirement of DPWH Regional Office VIII for CY 2020-2021</t>
  </si>
  <si>
    <t>20KL0136 - Construction of Standard Two-Storey (4 Classrooms) School Building (9.5m x 23.00m)</t>
  </si>
  <si>
    <t>20LC0150 Repair and Maintenance of National Roads &amp; Bridges along Agusan-Davao Road (Daang Maharlika) K1452+480 – K1482+(-300), Tagum City Diversion Road Km. 1459+765 – K1460+153.5, Tagum Panabo Circu</t>
  </si>
  <si>
    <t>PURCHASE OF BASED  DISASTER AND EMERGENCY MONITORING  SYSTEM (CCTV AND PUBLIC ADDRESS SYSTEM)- Purchase Request No.2020-06-127</t>
  </si>
  <si>
    <t>Supply of Labor and Materials in the Installation of Office Partitions with Accessories, CON lOUNGE, 4/f ETC Bldg.</t>
  </si>
  <si>
    <t>Upgrading of Brgy. Dulangan Road</t>
  </si>
  <si>
    <t>20FE0131 – CONSTRUCTION OF CLASSROOMS, BAGAMELON ES, LIBMANAN, CAMARINES SUR</t>
  </si>
  <si>
    <t>Installation of Solar Power System</t>
  </si>
  <si>
    <t>20CG0181 - Local Infrastructure Program: Buildings and Other Structures – Multipurpose/ Facilities – Construction of Multi-Purpose Building, Pulung Bulu, San Fernando, Pampanga</t>
  </si>
  <si>
    <t>SUPPORT TO EDUCATIONAL DEVELOPMENT PROGRAM (SUPPORT TO GRADUATION CEREMONIES OF PUBLIC ELEMENTARY AND SECONDARY SCHOOLS) - MEDALS - MAYOR'S OFFICE</t>
  </si>
  <si>
    <t>Purchase of printer and laptop for CVET use under PR#2020-04-2119</t>
  </si>
  <si>
    <t>REPAIR/RENOVATION OF DELFIN ALBANO MEMORIAL HOSPITAL</t>
  </si>
  <si>
    <t>20CB-GSC-378 PURCHASE OF AGRICULTURAL SUPPLIES</t>
  </si>
  <si>
    <t>Procurement of IT Equipment for the use of LIGA Office</t>
  </si>
  <si>
    <t>PROCUREMENT OF MEDICAL EQUIPMENT FOR OPERATING ROOM</t>
  </si>
  <si>
    <t>SUPPLY &amp; INSTALLATION OF STREET LIGHTS IN VARIOUS PUROKS, BARANGAYS AND SITIOS (1ST BID)</t>
  </si>
  <si>
    <t>Supply and Delivery of Three Units Floor Mounted Airconditioner for Conference Room of Annex Building</t>
  </si>
  <si>
    <t>ITB FOR CONSTRUCTION MATERIALS TO BE USED FOR CONSTRUCTION OF 109 METERS IRRIGATION CANAL AT P-6, KABUNGA-AN BRGY. HIMAMA-UG, TSDN.</t>
  </si>
  <si>
    <t>medical equipment</t>
  </si>
  <si>
    <t>Supply and delivery of maintenance parts of port and starboard CAT 3126 Marine Engine for DA-BFAR MCS 1102 Patrol Vessel</t>
  </si>
  <si>
    <t>CY 2020 QRF REPAIR &amp; REHABILITATION OF CL LOT 1 - Canila ES</t>
  </si>
  <si>
    <t>Supply and delivery of maintenance parts of port and starboard CAT 3126 Marine Engine for DA-BFAR MCS 1101 Patrol Vessel</t>
  </si>
  <si>
    <t>Construction of Farmer's Muti-Purpose Hall Located at Sta. Monica, Agoo, La Union</t>
  </si>
  <si>
    <t>PURCHASE OF TIRE FOR VY 0643- PR. NO:	2020-06-143</t>
  </si>
  <si>
    <t>Improvement of the Luis Hora Gym</t>
  </si>
  <si>
    <t>20FE0130 – CONSTRUCTION OF CLASSROOMS, SALVACION ES, LIBMANAN, CAMARINES SUR</t>
  </si>
  <si>
    <t>AIRCONDITIONER (SERVER ROOM)  GSD-J-20-288</t>
  </si>
  <si>
    <t>SUPPLY AND DELIVERY OF GENERAL PLANT EQUIPMENT FOR BURIAS (SAN PASCUAL DPP)</t>
  </si>
  <si>
    <t>SUPPLY &amp; INSTALLATION OF STREET LIGHTS AT POBLACION, BALILA HIGHWAY ROAD AND P-3 &amp; P-5 BALILA (1ST BID)</t>
  </si>
  <si>
    <t>20LC0157 Repair/Maintenance of DENR Building CENRO Office Building – New Corella, Brgy. Salvacion, Panabo City, (Brgy. Magdum, Tagum City), Davao del Norte</t>
  </si>
  <si>
    <t>20CB-GSC-376 PURCHASE OF TARPAULIN AND TOKEN (RE-BID)</t>
  </si>
  <si>
    <t>Supply, Delivery, Installation, Testing and Commissioning of 40 HP Submersible Pump and Motor complete appurtenances, discharge and column pipes</t>
  </si>
  <si>
    <t>Philippine Information Agency Purchase TV set and Printer</t>
  </si>
  <si>
    <t>Procurement BY LOT of Various Filters, Oil and Lubricants for Use of 79 Units Light and Heavy Equipment</t>
  </si>
  <si>
    <t>CONSTRUCTION OF LINE CANAL (IBABA SECTOR)</t>
  </si>
  <si>
    <t>Purchase of laptop for CMO-ADMIN under PR#2020-06-2490</t>
  </si>
  <si>
    <t>CY 2020 QRF REPAIR &amp; REHABILITATION OF CL LOT 2 - Uson ES</t>
  </si>
  <si>
    <t>SUPPLY AND DELIVERY  FOR THE PURCHASE OF GINGER RHIZOMES LGU,SIBAGAT, AGUSAN DEL SUR</t>
  </si>
  <si>
    <t>Supply of maintenance parts of CAT 3412E Marine Engine &amp; CAT 3054NA Marine Genset of DA-BFAR MCS 3001 Patrol Vessel</t>
  </si>
  <si>
    <t>R/M Building and other structure under PR#2020-05-2378</t>
  </si>
  <si>
    <t>20CG0188 - Local Infrastructure Program: MultiPurpose/ Facilities – Construction of Multi-Purpose Building (Covered Court) Brgy. Camuning, Mexico, Pampanga</t>
  </si>
  <si>
    <t>CY 2020 QRF REPAIR &amp; REHABILITATION OF CL LOT 3 - Acaban ES</t>
  </si>
  <si>
    <t>PR 1-20-06-0748, FOR USE OF THE CITY GOV'T OF SAN CARLOS CITY.</t>
  </si>
  <si>
    <t>SUPPLY AND DELIVERY OF MATERIALS FOR THE OPERATIONS AND MAINTENANCE ACTIVITIES OF SAN PASCUAL (BURIAS) DPP</t>
  </si>
  <si>
    <t>TANDUBUAY ELEMENTARY SCHOOL</t>
  </si>
  <si>
    <t>Continuation of Rehab of St. Agustin Road</t>
  </si>
  <si>
    <t>CONSTRUCTION OF POTABLE DEEPWELL WATER SUPPLY   PHASE II – MARKET SITE, SAN ISIDRO</t>
  </si>
  <si>
    <t xml:space="preserve">20LC0158 Repair/Maintenance of DPWH Building Various Buildings, Km. 48, Canocotan, Tagum City, Davao del Norte a.	MQC Building b.	MQC Laboratory c.	Tesda Training &amp; Assessment Center d.	Guard Quarter </t>
  </si>
  <si>
    <t>Procurement of Internet - Lagawe Campus</t>
  </si>
  <si>
    <t>LOT Procurement of MEDICAL SUPPLIES for the Use of DOPMC</t>
  </si>
  <si>
    <t>20CG0191 - Local Infrastructure Program: Local Roads – Concreting of Brgy. Road Tabuan, Arayat, Pampanga</t>
  </si>
  <si>
    <t xml:space="preserve">20CG0190 - Local Program: Construction/ Repair/ Rehabilitation/ Improvement of Various Infrastructure including Local Projects – Local Roads And Bridges – Rehabilitation of Candelaria Dilapidated Box </t>
  </si>
  <si>
    <t>Bid No. 20-003-A-Procurement of Construction Materials for the Rehabilitation of  Multipurpose Stage</t>
  </si>
  <si>
    <t>Bid No.20-003-B -Supply of Lumber for the Rehabilitation of Multiprpose Stage</t>
  </si>
  <si>
    <t>Meals, Snacks and Accommodation for Cost benefit analysis of climate smart (PR 473)</t>
  </si>
  <si>
    <t>Purchase of materials for perimeter fence at Cagro, Maag Peñaplata, IGACOS under PR#2020-05-2405</t>
  </si>
  <si>
    <t>Purchase of Various Food Stuff for Underweight Children</t>
  </si>
  <si>
    <t>SUPPLY AND DELIVERY OF BUNTIS FAIR KITS - TWO FAILED BIDDING</t>
  </si>
  <si>
    <t xml:space="preserve">20CG0189 - Construction/ Repair/ Rehabilitation/ Improvement of Various Infrastructure including Local Projects: Local Roads and Bridges – Local Roads – Rehabilitation of Sto. Niño Barangay Road, San </t>
  </si>
  <si>
    <t>Supply and delivery of live animals for research on diversified corn based farming systems (PR 363)</t>
  </si>
  <si>
    <t>SUPPLY AND DELIVERY OF DISTRIBUTION LINE SPARE PARTS OF BALATUBAT DPP</t>
  </si>
  <si>
    <t>SUPPLY, DELIVERY AND INSTALLATION OF CCTV CAMERAS ALONG BARANGAY ROAD OF SAN GABRIEL</t>
  </si>
  <si>
    <t>20KL0138 - Construction of Standard Two-Storey (4 Classrooms) School Building (9.5m x 23.00m)</t>
  </si>
  <si>
    <t>SUPPLY AND DELIVERY OF MATERIALS FOR THE REHABILITATION OF MULTI-PURPOSE HALL, BARANGAY 06 POBLACION, CATANAUAN, QUEZON</t>
  </si>
  <si>
    <t>Construction of Pathwalk - Purok 1</t>
  </si>
  <si>
    <t>20CG0192 - Local Infrastructure Program: Local Roads – Concreting of Local Road at Purok 7, San Jose, Mesulo, Arayat, Pampanga</t>
  </si>
  <si>
    <t>20KL0139 - Construction of Standard Two-Storey (4 Classrooms) School Building (9.5m x 23.00m)</t>
  </si>
  <si>
    <t>GPG-B1-2020-426-SUPPLY, DELIVERY, INSTALLATION, TESTING &amp; COMMISSIONING OF EIGHT (8) LOTS SOLID WASTE MGT EQPT CONSISTING OF BRAND NEW BIODEGRADABLE WASTE SHREDDER &amp; BRAND NEW COMPOSTER FOR THE DEPT O</t>
  </si>
  <si>
    <t>REPAIR OF THE ABC BUILDING</t>
  </si>
  <si>
    <t>SUPPLY AND DELIVERY OF VARIOUS IT EQUIPMENT FOR THE PROVINCIAL EPIDEMIOLOGY AND SURVEILLANCE UNIT OF CAVITE</t>
  </si>
  <si>
    <t>Purchase of construction materials and supplies for improv't. of water system @ nature's park, Bandera, Kaputian under PR#2020-02-1448</t>
  </si>
  <si>
    <t>20LC0156 Repair/Maintenance of DPWH Building DPWH-Talaingod Bunkhouse Sto. Niño, Talaingod Davao del Norte</t>
  </si>
  <si>
    <t>CY 2020 QRF REPAIR &amp; REHABILITATION OF CL LOT 4 - Ungale I ES</t>
  </si>
  <si>
    <t>SUPPLY AND DELIVERY FOR THE PROCUREMENT OF ONE (1) UNIT FARM TRACTOR WITH COMPLETE ACCESSORIES FOR THE LIVELIHOOD ASSISTANCE OF PEREZ ABACA FARMERS ASSOCIATION,SIBAGAT,AGUSAN DEL SUR</t>
  </si>
  <si>
    <t>PROPOSED BARANGAY HALL EXTENSION OF BARANGAY MANGHANOY</t>
  </si>
  <si>
    <t>PIKCOT-002020-0016 (IMPROVEMENT OF BALUNGIS TO BALABAK FMR PHASE II)</t>
  </si>
  <si>
    <t>Supply of maintenance parts of CAT 3412E Marine Engine &amp; CAT 3054NA Marine Genset of DA-BFAR MCS 3005 Patrol Vessel</t>
  </si>
  <si>
    <t>Bid No. 20-002-B -Procurement of Diesel &amp; Gasoline for the Rehabilitation of Multiprpose Pavement</t>
  </si>
  <si>
    <t>20LC0133 Construction of Road, Brgy. Canocotan, Tagum City, Davao del Norte</t>
  </si>
  <si>
    <t>INSTALLATION OF 12-UNITS SOLAR STREET LIGHT AND 3-UNITS STREET LIGHT AT BARANGAY #20, CARIDAD, CAVITE CITY</t>
  </si>
  <si>
    <t>Vehicle Rentals- PRIME Data Collection (PR 283)</t>
  </si>
  <si>
    <t>Rehabilitation of Brgy. Road</t>
  </si>
  <si>
    <t>SUPPLY AND DELIVERY OF ONE (1) UNIT DB COMPRESSOR FOR RESPONSE OPERATIONS - 2ND BIDDING</t>
  </si>
  <si>
    <t>Supply of Labor &amp; Materials in the Renovation of CSM Library, 3/F CSM Building</t>
  </si>
  <si>
    <t>3 Construction Projects (B-92-2020)</t>
  </si>
  <si>
    <t>SUPPLY AND DELIVERY OF LABOR AND MATERIALS FOR THE PROJECT PARTIAL CONSTRUCTION OF SAN ANTONIO PALA MULTI PURPOSE HALL, BARANGAY SAN ANTONIO PALA, CATANAUAN, QUEZON</t>
  </si>
  <si>
    <t>VARIOUS PROJECTS AT SSS BRANCH OFFICES</t>
  </si>
  <si>
    <t>20GID0021 - Supply and Delivery of Bituminous Asphalt Mix (Item 310) for use in the Maintenance of National Roads and Bridges within the District</t>
  </si>
  <si>
    <t>20CG0187 - Local Infrastructure Program: Multipurpose/ Facilities – Construction of Covered Court, Sitio Mindanao, Brgy. Esteban, Macabebe, Pampanga</t>
  </si>
  <si>
    <t>ROAD CONCRETING AT MUNICIPAL MARKET EXTENSION, POBLACION, LANTAPAN (1ST BID)</t>
  </si>
  <si>
    <t>Construction of GSO Warehouse,San Isidro Sur, Luna, Apayao</t>
  </si>
  <si>
    <t>Supply of Labor &amp; Materials in the Renovation OVCAF Conference Room, 2/F Administration Building...</t>
  </si>
  <si>
    <t>Purchase of 1 unit Mirrorless Camera (MMO)</t>
  </si>
  <si>
    <t>Bid No. 20-002-A -Procurement of Diesel for the Rehabilitation of Multiprpose Pavement</t>
  </si>
  <si>
    <t>CY 2020 QRF REPAIR &amp; REHABILITATION OF CL LOT 6 -Calumpang ES</t>
  </si>
  <si>
    <t>Purchase of Camera for CMO-PUBLIC INFO under PR#2020-05-2302</t>
  </si>
  <si>
    <t>Water Treatment Facility for Mangansag</t>
  </si>
  <si>
    <t>Supply of Materials/ Parts for the PMS and COBS of PHILFLEET Vessels (Auxiliary Machineries)</t>
  </si>
  <si>
    <t>CONDUCT OF THE 2020 NATIONWIDE DETAILED SURVEY FOR SSS</t>
  </si>
  <si>
    <t>Rehabilitation of Basketball Court</t>
  </si>
  <si>
    <t>SUPPLY AND DELIVERY OF MATERIALS AND SUPPLIES FOR THE  ESTABLISHMENT OF SANKTWARYO PARK/MANGROVE WALKWAYS AND COTTAGE</t>
  </si>
  <si>
    <t>Supply and Delivery of Common Used Items</t>
  </si>
  <si>
    <t>CY 2020 QRF REPAIR &amp; REHABILITATION OF CL LOT 5 -Larrazabal ES</t>
  </si>
  <si>
    <t>Rehabilitation of youth building @ Sitio Pasig Peñaplata, IGACOS UNDER PR#2020-03-1590</t>
  </si>
  <si>
    <t>Supply and delivery of facemask and gloves (PR 469)</t>
  </si>
  <si>
    <t>RFQ NO. J2020-06-0418 Procurement of Security Services to be Assigned at KC RPMO with contract duration during June 16, 2020- August 15, 2020)</t>
  </si>
  <si>
    <t>R/M of office building (CPPO) @ District Hall, Babak, IGACOS under PR#2020-03-1591</t>
  </si>
  <si>
    <t>Bid No.20-002-C-Procurement of Construction Materials for the Rehabilitation of  Multiprpose Pavement</t>
  </si>
  <si>
    <t>Supply &amp; Delivery of ID Card Printer &amp; Accessories, Office of the Municipal Mayor, Buenavista, Quezon</t>
  </si>
  <si>
    <t>20CSCE006 - CONSULTING SERVICES FOR THE CONDUCT OF SOIL/GEOTECHNICAL INVESTIGATION FOR THE PROPOSED CONSTRUCTION/REHABILITATION/REPLACEMENT OF VARIOUS BRIDGES PROJECTS</t>
  </si>
  <si>
    <t>20LC0134 Concreting of Brgy. Nueva Fuerza Road Leading to FIA Park and Recreation, Tagum City, Davao del Norte</t>
  </si>
  <si>
    <t>Purchase of construction materials and supplies for R/M Office bldg.(NBI Office @ Babak Dist.) UNDER PR#2020-03-1801</t>
  </si>
  <si>
    <t>Janitorial Supplies 2nd Quarter</t>
  </si>
  <si>
    <t>1 pc 4x4 Membrane Keypad...etc</t>
  </si>
  <si>
    <t>SUPPLY AND DELIVERY OF 68 UNITS TRIBIKE WITH ACCESSORIES - 2ND BIDDING</t>
  </si>
  <si>
    <t>Bid No. 20-002-D-Procurement of Lumber for the Rehabilitation of Multiprpose Pavement</t>
  </si>
  <si>
    <t>Improvement of Batbato Water System</t>
  </si>
  <si>
    <t>CY 2020 QRF REPAIR &amp; REHABILITATION OF CL LOT 7 -Kawayan NHS</t>
  </si>
  <si>
    <t>Construction of water tank at drop in center-Licup UNDER PR#2020-02-1455</t>
  </si>
  <si>
    <t>VIDEO PRODUCTION OF DA-RFO 5 BANNER PROGRAM FOR INFORMATION ADVOCACY/CAMPAIGN</t>
  </si>
  <si>
    <t>For Comfort Room @ PMO NCR South Canteen</t>
  </si>
  <si>
    <t>Construction of Powerhouse with Transformer Pad</t>
  </si>
  <si>
    <t>PIKCOT-002020-0017 (REHABILITATION AND IMPROVEMENT OF PIKIT MAIN DRAINAGE CANAL)</t>
  </si>
  <si>
    <t>PROVISION OF LABOR, MATERIALS, EQUIPMENT AND OTHER INCIDENTALS NEEDED FOR THE IMPROVEMENT OF BUBUOS CAPURICTAN DIVERSION DAM (DD) AT BRGY. BUBUOS, SOLSONA, ILOCOS NORTE</t>
  </si>
  <si>
    <t>Supply and Delivery of Various Office Supplies for the Office of the Municipal Treasurer</t>
  </si>
  <si>
    <t>SUPPLY AND DELIVERY OF MATERIALS AND SUPPLIES FOR THE  INSTALLATION OF SPORTS FACILITIES</t>
  </si>
  <si>
    <t>Meals, Snacks and Accommodation CRVA-CRAC-CBA Ifugao (PR 474)</t>
  </si>
  <si>
    <t>Vehicle Rentals (PR 474)</t>
  </si>
  <si>
    <t xml:space="preserve">Opening/Construction/Improvement/Rehabilitation of Dagupan-Salvacion-San Mariano-San Jose-Lydia-Doña Loreta-Capannikkian Provincial Road (Dagupan-Salvacion Section) Limits : 002+275 to 003+800, Luna, </t>
  </si>
  <si>
    <t>Supply &amp; Delivery of Oven for Uraro Cookies Production, Office of the Municipal Mayor, Buenavista, Quezon</t>
  </si>
  <si>
    <t>Rehabilitation, Modification and Improvement of Villamor Campus Covered Court</t>
  </si>
  <si>
    <t>Supply and Delivery of Six (6) Units of Service Vehicle, this city</t>
  </si>
  <si>
    <t>Labor and Materials for the Construction of Toilet for Disable (Female Rest Room with PWD Railings) at Municipal Hall San Nicolas Poblacion, Concepcion, Tarlac</t>
  </si>
  <si>
    <t>Meals, Snacks and Accommodation for CRVA-CRAC-CBA Kalinga (PR 474)</t>
  </si>
  <si>
    <t>SUPPLY AND DELIVERY OF MATERIALS AND SUPPLIES FOR THE  IMPROVEMENT OF PUBLIC MARKET</t>
  </si>
  <si>
    <t>IMPROVEMENT OF OLD EXISTING BARANGAY MULTI-PURPOSE HALL</t>
  </si>
  <si>
    <t>Meals, Snacks and Accommodation CRVA-CRAC-CBA Apayao (PR 474)</t>
  </si>
  <si>
    <t>IMPROVEMENT ALONG PAKAWAN-GAWA FT W/ RAILINGS &amp; FOOTBRIDGE</t>
  </si>
  <si>
    <t>Supply and Delivery of Airconditioning Unit for the Municipal Circuit Trial Court</t>
  </si>
  <si>
    <t>LABOR AND MATERIALS FOR THE REPAIR OF 4-UNITS GOAT HOUSE AT MBS, ASID MASBATE</t>
  </si>
  <si>
    <t>Supply of Labor and Materials in the Renovation of CR and Pantry at Registrar's Office</t>
  </si>
  <si>
    <t>Supply and Delivery of Mechanical Fittings and Plumbing Materials for the 2000Meters Pipeline Extension</t>
  </si>
  <si>
    <t>Procurement of Workbooks for Day Care Children</t>
  </si>
  <si>
    <t>VEHICLE RENTAL IN SUPPORT TO THE IMPLEMENTATION OF KADIWA NI ANI AT KITA AND PRICE MONITORING ACTIVITIES</t>
  </si>
  <si>
    <t>Purchase of BRAND NEW GARBAGE COMPACTOR TRUCK to collect solid waste and transport it to  a solid waste treatment facility,  for the safe and efficient collection of waste, in compliance, Silay City.</t>
  </si>
  <si>
    <t>PURCHASE OF ONE (1) UNIT BRAND NEW 6 WHEELERS GARBAGE COMPACTOR</t>
  </si>
  <si>
    <t>Procurement of Vehicle Car Accessories  RFQ No. 440</t>
  </si>
  <si>
    <t>Labor and Materials for the General Improvement of Legislative Building, Concepcion, Tarlac</t>
  </si>
  <si>
    <t>Procurement and Installation of NAVSENS and COMMELEX Equipment for LD602 and LC290 - LOT 2</t>
  </si>
  <si>
    <t>ITB-B14-2020</t>
  </si>
  <si>
    <t>2020 Census of Population and Housing</t>
  </si>
  <si>
    <t>50 pcs DSB 12mm dia x 6m...etc</t>
  </si>
  <si>
    <t>Purchase of materials for the Repair and Maintenance of Water Supply @ Brgy. Pangao, Ibaan, Batangas</t>
  </si>
  <si>
    <t>Improvement of Multi Purpose Hall</t>
  </si>
  <si>
    <t>Supply/Delivery &amp; Reproduction of Distance Learning Materials, DepEd Buenavista District I &amp; II, Buenavista, Quezon</t>
  </si>
  <si>
    <t>20DE0118 (Re-advertised) Local Infrastructure Program – Construction of Multi-Purpose Building (Phase 2), Lobo Municipal Compound, Lobo, Batangas</t>
  </si>
  <si>
    <t>Procurement of Goods in Support to the Harvest Festival under RICE Program 2019 Fund</t>
  </si>
  <si>
    <t>PR No. 6.038 TPB-PR.2020.06.195SERVICES OF VIRTUAL PLATFORM DEVELOPER FOR VIRTUAL PHITEX 2020</t>
  </si>
  <si>
    <t>PB-I-2020-05-618: "Procurement of Civil Works for the Construction of Slope Protection at Estante-Dampalan" (Php. 2,279,023.16)</t>
  </si>
  <si>
    <t>INVITATION TO BID FOR THE RENOVATION/IMPROVEMENT OF BARANGAY HALL (PHASE 1),  BARANGAY DULAPO, OROQUIETA CITY (SECOND NOTICE)</t>
  </si>
  <si>
    <t>12 units Desktop Computer....etc</t>
  </si>
  <si>
    <t>Reproduction of Modules 2nd Posting</t>
  </si>
  <si>
    <t>IB NO. 2020-06-45 Procurement of Flat Panel Detector (Wireless)</t>
  </si>
  <si>
    <t>PB-I-2020-05-616 "Procurement of Civil Works for the Construction of 2 Units PNP Garage for Patrol Cars Phase 1" (Php. 1,998,247.49)</t>
  </si>
  <si>
    <t>SUPPLY AND DELIVERY OF OR TABLE (ELECTRO HYDRAULIC) (2 UNITS)</t>
  </si>
  <si>
    <t>Construction of Break Water</t>
  </si>
  <si>
    <t>Regravelling Barangay Road</t>
  </si>
  <si>
    <t>Upgrading of NART Building (CY 2020)</t>
  </si>
  <si>
    <t>Supply &amp; Delivery of Construction Materials for the Construction of Material Recovery Facility, Brgy. Caraudan, Janiuay, Iloilo</t>
  </si>
  <si>
    <t>IB NO. 2020-06-44 Procurement of Infant Radiant Warmer with Resuscitator</t>
  </si>
  <si>
    <t>INVITATION TO BID FOR THE SUPPLY AND DELIVERY OF VARIOUS  INFORMATION AND COMMUNICATION TECHNOLOGY EQUIPMENT FOR THE OFFICE OF THE CITY MAYOR, OROQUIETA CITY</t>
  </si>
  <si>
    <t>50 Tubes Waterproofing roof sealant, 250g</t>
  </si>
  <si>
    <t>SUPPLY AND DELIVERY OF GPE ITEMS FOR THE OPERATION OF NARO DPP</t>
  </si>
  <si>
    <t>20EI0182 - Construction of Evacuation Center, Barangay San Juan,  Bongabong, Oriental Mindoro_063</t>
  </si>
  <si>
    <t>SUPPLY OF LABOR AND MATERIALS FOR THE CONSTRUCTION OF ATM BOOTH ( LGU SAN DIONISIO )</t>
  </si>
  <si>
    <t>75 pcs Marine Plywood, 3/4'' thk x 4' x 8'</t>
  </si>
  <si>
    <t>IB NO. 2020-06-46 INSTALLATION AND COMMISSIONING OF OPERATING TABLE</t>
  </si>
  <si>
    <t>350 pcs 9W Led Bulb...etc</t>
  </si>
  <si>
    <t>DRILLING OF 3 (THREE) UNITS EXPLORATORY/PRODUCTION WELL FOR GAMU WATER DISTRICT</t>
  </si>
  <si>
    <t>Transportation services (Vehicle rental-Van/SUV for RCEF) for Aug to Dec 2020</t>
  </si>
  <si>
    <t>One (1) Lot Supply, Delivery and Installation of CCTV Components for PCMC Main Building</t>
  </si>
  <si>
    <t>1000 Caps Mefenamic Acid, 500mg...etc</t>
  </si>
  <si>
    <t>1 unit Clevenger Trap...etc</t>
  </si>
  <si>
    <t>Supply and Delivery of Laboratory Equipment for the College of Engineering</t>
  </si>
  <si>
    <t>20DE0125 (Re-advertised) Local Infrastructure Program – Construction of the Lobo Municipal Hall Phase 1, Lobo, Batangas</t>
  </si>
  <si>
    <t>20EI0181 - Construction of Evacuation Center, Barangay Poblacion, Bulalacao, Oriental Mindoro_062</t>
  </si>
  <si>
    <t>1 unit Copier Machine..</t>
  </si>
  <si>
    <t>Improvement of Municipal Cemetery (Road Concreting), Janiuay Municipal Cemetery, Janiuay, Iloilo</t>
  </si>
  <si>
    <t>PB-I-2020-05-619: "Procurement of Civil Works for the Construction of Access Road and Parking Area" (Php. 4,999,998.41)</t>
  </si>
  <si>
    <t>Construction o f 3 Units Jetmatic pump</t>
  </si>
  <si>
    <t>Rehabilitation of Sea Wall</t>
  </si>
  <si>
    <t>1 unit Desktop Computer...etc</t>
  </si>
  <si>
    <t>1 bot Hexane, anyhydrous...etc</t>
  </si>
  <si>
    <t>Purchase of Gasoline</t>
  </si>
  <si>
    <t>Supply and Delivery of heavy equipment (3-units 6 wheeler dumptruck, 1 unit single drum vibratory roller and 1 unit motor grader, this municipality</t>
  </si>
  <si>
    <t>Supply &amp; Delivery of 5 lgths. 3"Ø G.I. Pipe Sched 40 &amp; other items, For use in Construction Holding Facilities for Covid-19</t>
  </si>
  <si>
    <t>Procurement and Installation of NAVSENS and COMMELEX Equipment for LD602 and LC290 - LOT 1</t>
  </si>
  <si>
    <t>P.R. No. 20-101-043 "Materials to be used in the Ampitheater Aircondition (Replacement of PCB Board"</t>
  </si>
  <si>
    <t>SUPPLY AND DELIVERY OF MATERIALS AND SUPPLIES FOR THE  IMPROVEMENT OF OVERLAND TERMINAL (TRICYCLE PARKING AREA)</t>
  </si>
  <si>
    <t>CONSTRUCTION OF POTABLE WATER SYSTEM (PHASE 2) AT BASAC &amp; KIBANGAY (1ST BID)</t>
  </si>
  <si>
    <t>SUPPLY AND DELIVERY OF GARBAGE BINS FOR WASTE SEGREGATION / DISPOSAL PROGRAM - 2ND BIDDING</t>
  </si>
  <si>
    <t>Repair of Mangcoybot Hanging Footbridge (Widening)</t>
  </si>
  <si>
    <t>10 pcs Universal Diamon Cutting Disc, 4-1/2'' dia.</t>
  </si>
  <si>
    <t>Rehabilitation of Comfort Rooms at BLSB Type II Bldg.</t>
  </si>
  <si>
    <t>SUPPLY AND DELIVERY OF GPE ITEMS FOR NORTHERN PALAWAN T/L &amp; SS</t>
  </si>
  <si>
    <t>Meals, Snacks and Accommodation CRVA-CRAC-CBA Mountain Province (PR 474)</t>
  </si>
  <si>
    <t>P.R. No. 20-184-044 "Materials for the Improvement of the Criminology Laboratory"</t>
  </si>
  <si>
    <t>20LB0256 - Reconstruction to Concrete Pavement along Roxas Avenue - Padre Gomez St. - Palma Gil St. - Camus St. - Legaspi St., Davao City</t>
  </si>
  <si>
    <t>Invitation To Bid for Reproduction of Test Papers 1st &amp; 2nd Quarter 2020 of VES</t>
  </si>
  <si>
    <t>Procurement of One (1) Lot Generator Set and Housing System</t>
  </si>
  <si>
    <t>IB NO. 2020-06-47 Procurement of High Definition  Endoscopy System</t>
  </si>
  <si>
    <t>PROCUREMENT AND DELIVERY OF ICT AND OFFICE EQUIPMENT</t>
  </si>
  <si>
    <t>Procurement of Consultancy Services (Individual as Digital Artist/Illustrator) for Illustration Inspired by Stock Photos in the Diversion Toolkit</t>
  </si>
  <si>
    <t>ITB 20-0061-A - 1 lot Job Order, Disassembly, Assembly &amp; Commissioning of EX 04 Crawler Excavator, Hitachi ZAXIS 200-3F.</t>
  </si>
  <si>
    <t>Construction of Slope Protection at Central MP Hall Compound</t>
  </si>
  <si>
    <t>ITB 20-0046-A - Supply and Delivery of 141 packs Coffee, 3 in 1 Coffee Mix, Original &amp; etc.</t>
  </si>
  <si>
    <t>20LB0252 - Construction of Revetment Along Davao River, Sta. 2+680, Sta. 2+687 to Sta. 2+782, Sta. 2+850, Davao City</t>
  </si>
  <si>
    <t>20LB0311 - Construction of Seven-Storey Office Building with Roof Deck (Phase 2), DOLE Region XI, Davao City</t>
  </si>
  <si>
    <t>20CG0194 - Local Infrastructure Program: Local Roads and Bridges – Local Roads – Concreting of Brgy. Road, Pulong Palazan, Candaba, Pampanga</t>
  </si>
  <si>
    <t>20CG0197 - Local Infrastructure Program: Local Roads – Construction/Improvement/ Rehabilitation of Local Road in Brgy. Palinlang, Arayat, Pampanga</t>
  </si>
  <si>
    <t>20LB0279 - Concreting to Sitio Nursery to Sitio Binaton to Sitio Mahayahay, Brgy. Malabog (Phase II) FMR, Brgy. Malabog, Paquibato District, Davao City</t>
  </si>
  <si>
    <t>Repair of Biosafety Cabinet</t>
  </si>
  <si>
    <t>Proposed Replacement of Roof and Gutter of Building – B</t>
  </si>
  <si>
    <t>PURCHASE OF ENVIRONMENTAL HEALTH/SAFETY EQUIPMENT</t>
  </si>
  <si>
    <t>LOCAL ROAD OPENING: CONSTRUCTION OF STO. NIÑO –  SAN SEBASTIAN –  SAN AGUSTIN DIVERSION ROAD</t>
  </si>
  <si>
    <t>20DE0137 (Re-advertised) Local Infrastructure Program – Construction of Multi-Purpose Building (Phase 6, Bauan Sports Coliseum), Bauan, Batangas</t>
  </si>
  <si>
    <t>Augmentation of Barangay Hall</t>
  </si>
  <si>
    <t>HFW: 1 LOT GROCERY ITEMS/FOOD SUPPLIES FOR THE CONSUMPTION OF HOME FOR WOMEN FOR 2nd SEM. 2020</t>
  </si>
  <si>
    <t>20LB0313 - Construction of Road, Juna Subdivision, Brgy. Matina Crossing, Davao City</t>
  </si>
  <si>
    <t>20LB0312 - Construction of Flood Mitigation Structure along Bago River, Bago Aplaya Section, Both Bank, Davao City</t>
  </si>
  <si>
    <t>Module Reproduction</t>
  </si>
  <si>
    <t>REPAIR/IMPROVEMENT OF HEAVILY DAMAGED FLGC III 10TCC WAREHOUSE AT SAN PABLO,DUMINGAG, ZAMBOANGA DEL SUR</t>
  </si>
  <si>
    <t>PROCUREMENT OF A LEASE OF REAL PROPERTY TO BE USED AS OFFICE SPACE OF THE DBP LEASING CORPORATION (DBP-LC)</t>
  </si>
  <si>
    <t>20CG0195 - Local Infrastructure Program: Local Roads – Concreting of Brgy. Road, San Vicente - Pangatlan, Mexico, Pampanga</t>
  </si>
  <si>
    <t>20LB0280 - Concreting of Sitio Surayan, Brgy. Colosas FMR, Brgy. Colosas, Paquibato District, Davao City</t>
  </si>
  <si>
    <t>20DE0136 (Re-advertised) Construction/Repair/Rehabilitation/Improvement of Various Infrastructure including Local Projects – Construction of Multi-Purpose Building (Bauan Coliseum), Phase V, Bauan, Ba</t>
  </si>
  <si>
    <t>20CG0193 - Local Infrastructure Program: Local Roads and Bridges – Local Roads – Construction and Upgrading of Road with Drainage, Brgy. Santa Maria, Minalin, Pampanga</t>
  </si>
  <si>
    <t>Procurement of Aircondition 3.0 Toner floor mounted with installation</t>
  </si>
  <si>
    <t>Repair/Rehabilitation of Comfort Rooms At Ground Floor Charlie Del Rosario, A. Mabini Campus, Sta. Mesa, Manila</t>
  </si>
  <si>
    <t>Procurement of Various Medical Supplies/Response Items for COVID-19</t>
  </si>
  <si>
    <t>Procurement of Semi-Expandable Equipment for modular Learning</t>
  </si>
  <si>
    <t>Procurement of Motor Vehicle (Passenger Van)</t>
  </si>
  <si>
    <t>20CG0198 - Construction/ Repair/ Rehabilitation/ Improvement of Various Infrastructure including Local Projects: Local Roads and Bridges – Local Roads – Rehabilitation of Barangay Dela Paz Road, San S</t>
  </si>
  <si>
    <t>PROCUREMENT OF VARIANCE  WORKS INCLUDES MATERIALS WITH LABOR FOR VISITOR'S CENTER OF BKPLS-LANAO DEL NORTE</t>
  </si>
  <si>
    <t>Repair/Rehabilitation of Comfort Rooms At 3rd Floor, North And West Wing, Academic Bldg.</t>
  </si>
  <si>
    <t>Supply and Delivery of High Purity Helium (refill)</t>
  </si>
  <si>
    <t>Procurement of Security Services (5 Guards)</t>
  </si>
  <si>
    <t>ADDITIONAL SUPPLY, DELIVERY AND INSTALLATION OF CCTV CAMERAS ALONG BARANGAY ROAD OF SAN GABRIEL</t>
  </si>
  <si>
    <t>Construction of Academic and Office Building Phase I,  PUP  Rizal  Campus,  S.H.  Loyola  Street,  Sampaloc,  Manila  (Using  a  Design  and Build  Scheme)</t>
  </si>
  <si>
    <t>20CG0196 - Construction/ Repair/ Rehabilitation/ Improvement of Various Infrastructure including Local Projects: Local Roads – Construction of Malino Road, Malino, San Fernando, Pampanga</t>
  </si>
  <si>
    <t>SUPPLY OF FILLING MATERIALS</t>
  </si>
  <si>
    <t>INVITATION TO BID FOR THE SUPPLY AND DELIVERY OF VARIOUS CONSTRUCTION MATERIALS (For the Construction of Perimeter Fence, Control and Generator Set Room  at Metropolis Ground Reservoir)</t>
  </si>
  <si>
    <t>barangay construction</t>
  </si>
  <si>
    <t>SUPPLY AND DELIVERY OF DIGITAL X-RAY MOBILE MACHINE (2 UNITS)</t>
  </si>
  <si>
    <t>INVITATION TO BID FOR CONSTRUCTION OF RIVER WALL</t>
  </si>
  <si>
    <t>Solar Power for Public Market</t>
  </si>
  <si>
    <t>Rip-rapping of Canal Located at San Jose Norte, Agoo, La Union</t>
  </si>
  <si>
    <t>20CG0199 - Construction of Three Storey Academic Building at Extension Lot at Main Campus, DHVSU, Bacolor, Pampanga</t>
  </si>
  <si>
    <t>Supply and Delivery of Various Ammunitions</t>
  </si>
  <si>
    <t>SUPPLY AND DELIVERY OF BRONCHOSCOPE WITH VIDEO INFORMATION SYSTEM</t>
  </si>
  <si>
    <t>PROCUREMENT OF IT EQUIPMENT</t>
  </si>
  <si>
    <t>SUPPLY AND DELIVERY OF NEONATAL AND PEDIATRIC VIDEO LARYNGOSCOPE</t>
  </si>
  <si>
    <t>Procurement of Fleece blanket and other medical supplies</t>
  </si>
  <si>
    <t>Procurement of Various Supplies/Medical supplies in Response to COVID19</t>
  </si>
  <si>
    <t>Rip-rapping of Canal Located at San Julian Central, Agoo, La Union</t>
  </si>
  <si>
    <t>Procurement of ceftazidime and other drugs and medicine</t>
  </si>
  <si>
    <t>Invitation to Bid for Procurement office supplies for modular Learning</t>
  </si>
  <si>
    <t>SUPPLY AND DELIVERY OF OPERATING ROOMS LIGHTS DUO CEILING MOUNTED (2 UNITS)</t>
  </si>
  <si>
    <t>Procurement of Signal Cable UD-40 and GSC2002 Sheet Key Assy</t>
  </si>
  <si>
    <t>Completion  of  Multi-Purpose  Building and  Sports  Development Facility, Phase  3,  Mabini  Campus,  Sta.  Mesa,  Manila</t>
  </si>
  <si>
    <t>Construction/Improvement of Kilkiling-Tibunek FMR, Phase I</t>
  </si>
  <si>
    <t>Construction of 18 Units LED Streetlights @ Purok 1-5, Bacong, Ligao, City</t>
  </si>
  <si>
    <t>PURCHASE OF LABORATORY AND RADIOLOGIC SUPPLIES FOR THE USE OF RURAL HEALTH UNIT AT ALITAGTAG, BATANGAS</t>
  </si>
  <si>
    <t>20LB0206 - Construction of Pedestrian Overpass along Davao City Diversion Road, Davao City</t>
  </si>
  <si>
    <t>Improvement of Camaa Farm-to-Market Road</t>
  </si>
  <si>
    <t>Construction of Demo Farm Training Center</t>
  </si>
  <si>
    <t>Road concreting of access road to Farm Tourism Site</t>
  </si>
  <si>
    <t>Office Services 2020</t>
  </si>
  <si>
    <t>SUPPLY AND DELIVERY OF FETAL CENTRAL MONITORING SYSTEM / CTG MONITOR</t>
  </si>
  <si>
    <t>SUPPLY AND DELIVERY OF DIGITAL VIDEO COLPOSCOPE</t>
  </si>
  <si>
    <t>Supply and Delivery of Various Materials for the Maintenance of Waterworks System</t>
  </si>
  <si>
    <t>Construction of concrete line canal with cover</t>
  </si>
  <si>
    <t>Improvement of Manpower develoment Center</t>
  </si>
  <si>
    <t>Patag Improvement of Multipurpose Building</t>
  </si>
  <si>
    <t>SUPPLY AND DELIVERY OF GYNECOLOGY LAPAROSCOPY TOWER WITH GYNE INSTRUMENTS, BIPOLAR, HYSTEROSCOPY TELEPACK SET WITH OPERATIVE HYSTEROSCOPIC INSTRUMENTS</t>
  </si>
  <si>
    <t>20LB0182 - Construction of Drainage along Daang Maharlika (MN) - K1510 + 201, K1510 + 625</t>
  </si>
  <si>
    <t>Construction of Sanitary Landfills &amp; Materials Recovery Facilities, Calanasan, Apayao</t>
  </si>
  <si>
    <t>S4-BPD19-018 - Rehabilitation of BNPP Local Warehouse Roofing</t>
  </si>
  <si>
    <t>INVITATION TO BID FOR THE  PROCUREMENT OF SCIENCE LABORATORY FURNITURE AND FIXTURES IN THE ADVANCED SCIENCE AND TECHNOLOGY BUILDING OF  PSHS CALABARZON REGION CAMPUS/GOODS-2020-03</t>
  </si>
  <si>
    <t>Road Concreting of Access Road to Magsaysay National High School</t>
  </si>
  <si>
    <t>S1-BRS20-012 - Supply and Delivery of Spare Parts for 500kW Volvo Engine Model: TAD1641GE Camshaft and 2 Others to San Pascual DPP</t>
  </si>
  <si>
    <t>Construction of two storey four classroom – Borol 2nd Elementary School, Balagtas, Bulacan</t>
  </si>
  <si>
    <t>(Re-advertised) Improvement of Grandstands</t>
  </si>
  <si>
    <t>20DE0140 (Re-advertised) Local Infrastructure Program – Construction of Multi-Purpose Covered Court with Slope Protection at Brgy. Sta. Ana, Mabini, Batangas</t>
  </si>
  <si>
    <t>Supply and Delivery of Office Supplies for City Mayor's Office</t>
  </si>
  <si>
    <t>Widening and Improvement of Alilem-Batbato-Suyo Road</t>
  </si>
  <si>
    <t>Supply and Delivery of Laptops For Use at Kolehiyo ng Lungsod ng Lipa</t>
  </si>
  <si>
    <t>Improvement of Street Lights</t>
  </si>
  <si>
    <t>CONSTRUCTION OF 1 UNIT TRIBAL HALL</t>
  </si>
  <si>
    <t>Paniangan Road Concreting at purok 5</t>
  </si>
  <si>
    <t>S1-SID20-016 - Supply and Delivery of Spare Parts for 500kW CXZ-MAN China Engine of Sibuyan Diesel Power Plant</t>
  </si>
  <si>
    <t>S1-CUL20-012 - Supply and Delivery of Mechanical Spare Parts for Dale Perkins 2006 TGI for Culion Diesel Power Plant</t>
  </si>
  <si>
    <t>Supply of Labor, Materials and Equipment for the Improvement of Boardwalk Stall (2 unit – 4 stalls) at Brgy. East Pob., City of Naga, Cebu</t>
  </si>
  <si>
    <t>Prcocurement of 12-Units Laptop Computer</t>
  </si>
  <si>
    <t>Road Concreting at Purok 4, Pagawan</t>
  </si>
  <si>
    <t>INVITATION TO BID FOR THE  PURCHASE OF COMPUTERS AND COMPUTER PERIPHERALS/GOODS-2020-04</t>
  </si>
  <si>
    <t>CONCRETING OF ROAD</t>
  </si>
  <si>
    <t>SUPPLY AND DELIVERY OF OFFICE, JANITORIAL AND ELECTRICAL SUPPLIES AND DEVICES  FOR VARIOUS OFFICES OF THE CITY GOVERNMENT (@CALOOCAN CITY HALL, 8TH ST. COR. 8TH AVE. GRACE PARK, CALOOCAN CITY)</t>
  </si>
  <si>
    <t>Road Concreting at Bagares Street</t>
  </si>
  <si>
    <t>RFQ NO. J2020-06-0432 REPAIR OF OLD BUILDING GROUND FLOOR DREAM U, CIU BUILDING</t>
  </si>
  <si>
    <t>Supply and Delivery of Android Tablets For Use at Kolehiyo ng Lungsod ng Lipa</t>
  </si>
  <si>
    <t>SUPPLY AND DELIVERY OF 3 CRANK MANUAL HOSPITAL BED (50 UNITS)</t>
  </si>
  <si>
    <t>SUPPLY AND DELIVERY OF SUCTION MACHINE (20 UNITS)</t>
  </si>
  <si>
    <t>Construction of Waiting Shed at Barangay Anticala, Butuan City</t>
  </si>
  <si>
    <t>Construction of Drainage Canal, Poblacion</t>
  </si>
  <si>
    <t>SUPPLY AND DELIVERY OF MOTORIZED FISHING BOAT</t>
  </si>
  <si>
    <t>Supply of Labor, Materials and Equipment for the Proposed Brgy. Road Concreting and Improvement of Drainage System (Concrete Cover) at Purok II Lavender, Brgy. Colon, City of Naga, Cebu</t>
  </si>
  <si>
    <t>Road Concreting at Purok 2, Patag</t>
  </si>
  <si>
    <t>SUPPLY AND DELIVERY OF ULTRASONIC HANDPROBE</t>
  </si>
  <si>
    <t>SUPPLY AND DELIVERY OF OFFICE, JANITORIAL AND ELECTRICAL SUPPLIES AND DEVICES  FOR CALOOCAN CITY MEDICAL CENTER (@A.MABINI ST., CALOOCAN CITY)</t>
  </si>
  <si>
    <t>BAGS for LEARNERS</t>
  </si>
  <si>
    <t>PROCUREMENT OF IT EQUIPMENT FOR THE OFFICE OF MCR</t>
  </si>
  <si>
    <t>INSTALLATION OF BOOKSHELVES FOR BUB FUNDED SCHOOL LIBRARY @ SAN NARCISO CENTRAL ELEMENTARY SCHOOL</t>
  </si>
  <si>
    <t>PROCUREMENT OF CONSTRUCTION MATERIALS FOR CONCRETING OF DORONGAN ROAD</t>
  </si>
  <si>
    <t>Provision of One (1) Year Subscription of Active Cloud-Based Learning Management System for Use at Kolehiyo ng Lungsod ng Lipa</t>
  </si>
  <si>
    <t>Supply of Labor, Materials and Equipment for the Brgy. Road Concreting at Sitio Proper I, Brgy. Cantao-an, City of Naga, Cebu</t>
  </si>
  <si>
    <t>SUPPLY AND DELIVERY OF MATERIALS FOR THE REHABILITATION OF PIPE LINE @ BRGY. BUENAVISTA AND POBLACION</t>
  </si>
  <si>
    <t>Installation of Solar Street Lights</t>
  </si>
  <si>
    <t>Supply of Labor, Materials and Equipment for the Proposed Slope Protection at Purok Atis, Sitio Tabtuy, Brgy.Tuyan, City of Naga, Cebu</t>
  </si>
  <si>
    <t>PROPOSED IMPROVEMENT  OF DAY CARE CENTER</t>
  </si>
  <si>
    <t>Improvement/Rehab of Farmers Post Harvest Facility/Bodega</t>
  </si>
  <si>
    <t>SUPPLY AND DELIVERY OF DELIVERY BED</t>
  </si>
  <si>
    <t>SUPPLY AND DELIVERY OF PATIENT MONITOR WITH CENTRAL STATION (20 UNITS WITH 2 CENTRAL STATION)</t>
  </si>
  <si>
    <t>Purchase of Duplicating Machine and Toners for the City Division Office of City of Naga, Cebu BAC Office, 2F, City Hall Bldg., City of Naga, Cebu</t>
  </si>
  <si>
    <t>SUPPLY AND DELIVERY OF ITEM 201 FOR THE REHABILITATION OF PUROK 4 POBLACION-TAMBAK FMR, TULUNAN, COTABATO</t>
  </si>
  <si>
    <t>Day Care Center Construction at Poblacion</t>
  </si>
  <si>
    <t>SUPPLY AND DELIVERY OF TRANSFER STRETCHER (22 UNITS)</t>
  </si>
  <si>
    <t>SUPPLY AND DELIVERY OF CONSTRUCTION MATERIALS FOR THE INSTALLATION OF WATER SYSTEM AT TULUNAN CENTRAL ELEMENTARY SCHOOL, POBLACION, TULUNAN, COTABATO</t>
  </si>
  <si>
    <t>IMPROVEMENT OF STREETLIGHTS</t>
  </si>
  <si>
    <t>Procurement of Service Vehicle for Sangguniang Bayan Office</t>
  </si>
  <si>
    <t>Improvement of Multi-Purpose Building (Bleacher)</t>
  </si>
  <si>
    <t>Construction /Concreting of FMR  Zone 6 Cogon</t>
  </si>
  <si>
    <t>CONSTRUCTION OF SOLAR STREET LIGHT (27 PCS)</t>
  </si>
  <si>
    <t>Supply and Delivery of Contraceptives</t>
  </si>
  <si>
    <t>PROCUREMENT OF CONSTRUCTION MATERIALS FOR VILLA FRIA DRAINAGE SYSTEM</t>
  </si>
  <si>
    <t>Furnishing/Delivery of office furniture and equipment</t>
  </si>
  <si>
    <t>Supply of Labor, Materials and Equipment for the Proposed Construction of Passenger Transport Terminal at Sitio Bayong, Brgy. Inayagan, City of Naga, Cebu</t>
  </si>
  <si>
    <t>PROCUREMENT OF CONSTRUCTION MATERIALS FOR CONCRETING OF BANCAL ROAD</t>
  </si>
  <si>
    <t>Construction of Tobacco Display Shed</t>
  </si>
  <si>
    <t>Furnishing/Delivery of office equipment</t>
  </si>
  <si>
    <t>Furnishing/Delivery of Water Tank materials and fittings</t>
  </si>
  <si>
    <t>Fabrication of Fabric Glass Partition at Accounting Office and Repair of Various Office in the Schools Division Office</t>
  </si>
  <si>
    <t>Supply and Delivery of Computer Printers</t>
  </si>
  <si>
    <t>Construction of Bus Terminal Building (Pasalubong Center) Phase 3</t>
  </si>
  <si>
    <t>Furnishing/Delivery of Safety-gear</t>
  </si>
  <si>
    <t>Supply of Labor, Materials and Equipment for the Proposed Construction of Drainage System at Purok Manggahan I, Brgy. Tangke, City of Naga, Cebu</t>
  </si>
  <si>
    <t>Supply and Delivery of Risograph Machines</t>
  </si>
  <si>
    <t>PROPOSE CONCRETING OF BRGY. ROAD AT PUROK 2</t>
  </si>
  <si>
    <t>PROPOSED CONSTRUCTION OF BRGY.HALL SECOND FLOOR AT PUROK 2</t>
  </si>
  <si>
    <t>Purchase of contactless handwashing facility</t>
  </si>
  <si>
    <t>Supply and delivery of various Vehicle Parts &amp; Accessories for use in Prov'l. Governor's Office -DYMP. ABC PHP123,870.00</t>
  </si>
  <si>
    <t>Improvement of hand washing facility</t>
  </si>
  <si>
    <t>COMPLETION OF MULTI-PURPOSE HALL @ BRGY. PINAMARBUHAN, MOBO, MASBATE</t>
  </si>
  <si>
    <t>Repair/Rehabilitation of Building and Structure (Improvement of Physical Planning and Development Office, Bids and Awards Committee &amp; Procurement Management Office)</t>
  </si>
  <si>
    <t>PURCHASE OF MATERIALS  FOR THE IMPROVEMENT OF SCHOOL MULTI-PURPOSE HALL</t>
  </si>
  <si>
    <t>Supplies to be used in modular learning for office supplies</t>
  </si>
  <si>
    <t>Construction /Concreting of FMR Zone 7 Ulab</t>
  </si>
  <si>
    <t>PROCUREMENT OF CONSTRUCTION MATERIALS FOR CONCRETING OF INTERMITTENT ROAD (ABAGAT-VILLA SOL RD)</t>
  </si>
  <si>
    <t>Construction of Public Market (Phase IV)</t>
  </si>
  <si>
    <t>Supplies to be used in modular learning for Printer</t>
  </si>
  <si>
    <t>HAULING OF MUNICIPAL SOLID WASTE AT MUNICIPALITY OF JAEN, NUEVA ECIJA</t>
  </si>
  <si>
    <t>PURCHASE OF MATERIALS FOR THE CONSTRUCTION OF OSCA BUILDING - PHASE VI</t>
  </si>
  <si>
    <t>Furnishing/Delivery of tables and chairs</t>
  </si>
  <si>
    <t>Procurement of Various Surgical Sutures for CY 2020</t>
  </si>
  <si>
    <t>Various Kitchen Appliances</t>
  </si>
  <si>
    <t>SUPPLY AND DELIVERY OF DEFIBRILATOR WITH CARDIAC MONITOR</t>
  </si>
  <si>
    <t>INVITATION TO APPLY FOR ELIGIBILITY AND TO BID</t>
  </si>
  <si>
    <t>RFQ-TPB-PR.2020.06.194 CORRECTIVE MAINTENANCE SERVICE OF KOPPEL CEILING CASSETTE SPLITTYPE AIRCONDITIONING NON-INVERTER UNIT</t>
  </si>
  <si>
    <t>Construction /Concreting of FMR Zone 7 Kilangit</t>
  </si>
  <si>
    <t>Supply and Delivery of Two (2) units Hydraulic Hand Pallet Trucks, as per BSP Technical Specifications and Terms and Conditions</t>
  </si>
  <si>
    <t>Construction /Concreting of FMR Zone 6 Poblacion</t>
  </si>
  <si>
    <t>8918-20-110) CONSTRUCTION OF CANAL FROM CHULYAO RESIDENCE AT PUROK 4 GOING DOWN TO VALLES RESIDENCE AT PUROK 3, LOAKAN APUGAN C/O CEO</t>
  </si>
  <si>
    <t>Upgrading /Concreting of FMR Zone 8 Poblacion</t>
  </si>
  <si>
    <t>8918-20-086)  CONSTRUCTION OF BOX CULVERT FROM CORNOAN GOING DOWN TO GONZALO RESIDENCE AT PUROK 3, HOLYGHOST EXT. C/O CEO</t>
  </si>
  <si>
    <t xml:space="preserve">8918-20-076/8918-20-075/8918-20-062)  A. IMPROVEMENT OF PATHWAYS AT PUROK 5 FROM GIBRALTAR ROAD TO OSBUCAN'S RESIDENCE, GIBRALTAR, B. CONSTRUCTION OF CANAL NEAR BASKETBALL COURT (PUROK 3), GIBRALTAR, </t>
  </si>
  <si>
    <t>8918-19-094) REHABILITATION AND IMPROVEMENT OF CONCRETE ROAD FROM JEAN ORDEN'S RESIDENCE TO BROOKSPOINT ELEM. SCHOOL AT BROOKSPOINT C/O CEO</t>
  </si>
  <si>
    <t>8918-20-131) REHABILITATION OF OLD SEWERLINES ALONG PUROK I HERRERIA AND DIZON ALLEY AT MARCOVILLE C/O CEPMO</t>
  </si>
  <si>
    <t>Request for Quotation - Cacaon Elementary School</t>
  </si>
  <si>
    <t>8918-20-108) REHABILITATION OF THE MULTI-PURPOSE PAVEMENT AT BONTOC VILLAGE, PUROK ONGASAN, LOAKAN PROPPER C/O CEO</t>
  </si>
  <si>
    <t>2020-006 Supply &amp; Delivery of Const Materials for Brgy Mosque</t>
  </si>
  <si>
    <t>SHOPPING OF SCHOOL AND OFFICE SUPPLIES</t>
  </si>
  <si>
    <t>8918-20-050)  IMPROVEMENT OF PARISA'S ROAD, PUROK 3, CAMP 7 C/O CEO</t>
  </si>
  <si>
    <t>INVITATION TO BID FOR CONSTRUCTION OF COVERED COURT’S STAGE – BRGY. GANASI</t>
  </si>
  <si>
    <t>INVITATION TO BID FOR CONSTRUCTION OF COVERED COURT – TUKA ELEMENTARY SCHOOL</t>
  </si>
  <si>
    <t>Supply and Delivery of Materials for Construction/Rehabilitation of Drainage System</t>
  </si>
  <si>
    <t>INVITATION TO BID FOR CONSTRUCTION OF POTABLE WATER SYSTEM – TINUNGKASAN</t>
  </si>
  <si>
    <t>PBG-2020-06-18 PROCUREMENT OF ONE (1) UNIT BRAND NEW TEN WHEELER TRUCK AIR CONDITIONED MOUNTED WITH DRILLING MACHINE FOR VARIOUS BARANGAYS ACCESS TO POTABLE WATER.</t>
  </si>
  <si>
    <t>Purchase of Drugs &amp; Medicines, Fluids &amp; Electrolytes</t>
  </si>
  <si>
    <t>Purchase of ICT Equipment for the City Division Office of City of Naga, Cebu</t>
  </si>
  <si>
    <t>rehabilitation of school multi-purpose hall</t>
  </si>
  <si>
    <t>SUPPLY AND DELIVERY OF OFFICE AND IT EQUIPMENT AND FURNITURE  FOR  VARIOUS OFFICES OF THE CITY GOVERNMENT</t>
  </si>
  <si>
    <t>SUPPLY AND DELIVERY OF CYSTOSCOPY SET</t>
  </si>
  <si>
    <t>Electrification of Cattle Breeding Center</t>
  </si>
  <si>
    <t>Supply of Labor, Materials and Equipment for the Proposed Perimeter Fence at Brgy. Uling, City of Naga, Cebu</t>
  </si>
  <si>
    <t>Supply of Labor, Materials and Equipment for the Proposed Water System at Balirong Elementary and Secondary School, Balirong, City of Naga, Cebu</t>
  </si>
  <si>
    <t>8918-20-112) CONSTRUCTION OF DRAINAGE CANAL AT PUROK 2 BELOW THE RESIDENCES OF NATY AYPEW, HENRY PITOL, DINA RIVERA, CHERYL BISLINGIN AND CRESENCIO DUCUSIN DOWN TO THE CREEK AT LOAKAN APUGAN C/O CO</t>
  </si>
  <si>
    <t>Concreting of Cemetery Road (Purok 15)</t>
  </si>
  <si>
    <t>Construction of Small Ruminant Barn, Payanan, Luna, Apayao</t>
  </si>
  <si>
    <t>Purchase of Instructional Books and Materials for the City Division Office of City of Naga, Cebu</t>
  </si>
  <si>
    <t>Supply and Delivery of Aluminum Glass Sliding Door and Window to be used for the Repair of Feeder Port Terminal</t>
  </si>
  <si>
    <t>Production Meter</t>
  </si>
  <si>
    <t>Improvement of Abatan-Daddaay Proper FMR</t>
  </si>
  <si>
    <t>Proposed Purchase of Various Medicine at Brgy San Francisco San Pablo City</t>
  </si>
  <si>
    <t>B-038-2020 PROCUREMENT OF TRAINING EQUIPMENT FOR THE COMPLETED THREE (3) STOREY BUILDING OF THE ZSCMST REGIONAL MARITIME TRAINING CENTER FOR BASIC TRAINING (FORMERLY SOLAS)</t>
  </si>
  <si>
    <t>Construction of four storey twelve classroom – Mapulang Lupa Elementary School, Pandi, Bulacan</t>
  </si>
  <si>
    <t>SUPPLY AND DELIVERY OF VACUUM ASSISTED CLOSURE DEVICE</t>
  </si>
  <si>
    <t>S1-SID20-015 - Supply and Delivery of Spare Parts for 600kW Cummins Engine, Model: KTA38-G1 of Sibuyan Diesel Power Plant</t>
  </si>
  <si>
    <t>20LB0188 -Rehabilitation/Reconstruction/Upgrading of Damaged Paved Roads (Asphalt to Concrete) along Davao-Bukidnon Rd - K1698+(-629) - K1701+200</t>
  </si>
  <si>
    <t>Procurement of Motorcycle w/ sidecar</t>
  </si>
  <si>
    <t>8918-20-109/8918-20-113)  A. CONSTRUCTION OF CANAL FROM CABANSI'S RESIDENCE GOING TO BUGTONG'S RESIDENCE AT PUROK 3, LOAKAN APUGAN, B. IMPROVEMENT OF THE RIPRAP SLOPE PROTECTION IN SPRINGHILLS ELEM. S</t>
  </si>
  <si>
    <t>Procurement of Clean and Beautification</t>
  </si>
  <si>
    <t>Procurement of  Sound System</t>
  </si>
  <si>
    <t>Procurement of CCTV Procurement of Retractable Awning</t>
  </si>
  <si>
    <t>CONSTRUCTION OF REST  ROOMS AT PLAZA LUZ  GAD19-8000-B1 AND 1SAIP20-RF8000-B2</t>
  </si>
  <si>
    <t>8918-20-176/8918-20-174/8918-20-143) A. SLOPE PROTECTION NEAR BITAG RESIDENCE AT PUCSUSAN, B. REHABILITATION OF RIPRAP PUROK 3 NEAR THE RESIDENCE OF WINSTON BASILIO AT PUCSUSAN, C. CONSTRUCTION OF COV</t>
  </si>
  <si>
    <t>Installation of Brgy. Balayagmanok Street Lighting System</t>
  </si>
  <si>
    <t>Acquisition Of PUM</t>
  </si>
  <si>
    <t>Concreting of Sagbang Road</t>
  </si>
  <si>
    <t>WANGAN ELEMENTARY SCHOOL MOOE REQUEST</t>
  </si>
  <si>
    <t>CONC/IMPVT OF ROAD @ PACIGEA SITE LEADING TO BUENAOBRA RES., BUENAVISTA      DF20-8000-B1j</t>
  </si>
  <si>
    <t>IB Construction of One (1) Barrel Box Culvert with Slope Protection at Barangay Manaol, Pozorrubio, Pangasinan</t>
  </si>
  <si>
    <t>IB Construction of Multi-Purpose Hall  (Phase II) at Barangay Casanfernandoan, Pozorrubio, Pangasinan</t>
  </si>
  <si>
    <t>8918-20-022)  SLOPE PROTECTION ALONG LOAKAN CREEK AT THE BACK OF THE LOAKAN BAPTIST CHURCH AND RESIDENTIAL HOUSES AND ROAD ALREADY AT RISK FOR THE WELFARE OF THE CHILDREN, PWDS, ELDERLIES, WOMEN, IPs,</t>
  </si>
  <si>
    <t>Supply and Delivery of 1 Lot Replacement of under chasis water tank flooring (labor and materials); PR No. 20-1451 dated March 5, 2020</t>
  </si>
  <si>
    <t>Improvement of Multi-Purpose Hall (Repair of MDRRM Office)</t>
  </si>
  <si>
    <t>IB Construction of Lined Canal at Purok II, Barangay Cablong, Pozorrubio, Pangasinan</t>
  </si>
  <si>
    <t>SUPPLY AND DELIVERY OF DRUGS AND MEDICINES FOR RHU 3RD QTR 2020</t>
  </si>
  <si>
    <t>8918-20-185)  REHABILITATION OF DRAINAGE CANAL AT PUROK 2 AND 3, STA. ESCOLASTICA VILLAGE C/O CEO</t>
  </si>
  <si>
    <t>MEDICAL SUPPLIES (1st – 3rd Quarter) RHU</t>
  </si>
  <si>
    <t>Concreting of Barangay Road @ Brgy Planas, Porac, Pampanga</t>
  </si>
  <si>
    <t>8918-20-125) DRAINAGE CANAL GOING TO TABORA ST., LOWER QUIRINO HILL C/O CEO</t>
  </si>
  <si>
    <t>MG-A5M20-106 ( FLOODLIGHT, LED 100 WATTS ASSEMBLY )</t>
  </si>
  <si>
    <t>Photography and Videography Services 	IB NO.2020-041</t>
  </si>
  <si>
    <t>Rental of LED Wall and Audio System         IB NO.2020-040</t>
  </si>
  <si>
    <t>Supply and Delivery of 35 Crtg. Ink for Brother Printer MFC-J3530,LC3617M Magenta &amp; Other Items; PR No. 20-1453 dated June 1, 2020</t>
  </si>
  <si>
    <t>SUPPLY AND DELIVERY OF DRUGS AND MEDICINES FOR RMIU 3RD QTR 2020</t>
  </si>
  <si>
    <t>Purchase of Laptops to be used by Porac Model Comm. High School</t>
  </si>
  <si>
    <t>IB Road Concreting at Barangays Villegas &amp; Bantugan, Pozorrubio, Pangasinan</t>
  </si>
  <si>
    <t>Purchase of Fuel (Diesel) –  Municipal Health Office</t>
  </si>
  <si>
    <t>MEDICAL EQUIPMENT (for Laboratory) RHU</t>
  </si>
  <si>
    <t>Supply and Delivery of 55 Shts. Ordinary Plywood 1/2 thck. X 4' x 8' &amp; Other Items; PR No. 20-1444 dated April 6, 2020</t>
  </si>
  <si>
    <t>CONCRETING OF NEWAGAC BARANGAY ROAD</t>
  </si>
  <si>
    <t>REHABILITATION OF BARANGAY STREET LIGHTS</t>
  </si>
  <si>
    <t>Procurement of ICT Equipment for DOST8 CY 2020 MITHI Program</t>
  </si>
  <si>
    <t>INVITATION TO BID FOR CONSTRUCTION OF COVERED COURT - BRGY. KATIDTUAN</t>
  </si>
  <si>
    <t>RABIES VACCINE (for Animal Bite Treatment Center) RHU</t>
  </si>
  <si>
    <t>Concreting of Road at Bagumbayan St., Centro Sur, Gattaran, Cagayan</t>
  </si>
  <si>
    <t>PACKAGE 2020-01:IMPROVEMENT OF ECCD BUILDING, POBLACION</t>
  </si>
  <si>
    <t>Purchase of Oil Proof Performance Sprayer        IB NO.2020-051</t>
  </si>
  <si>
    <t>Purchase of Fuel (Diesel) –  Office of the Municipal Mayor</t>
  </si>
  <si>
    <t>Purchase of IT Supplies, Peripherals and Equipment    IB NO.2020-042</t>
  </si>
  <si>
    <t>SUPPLY AND DELIVERY OF ONE (1) UNIT FORWARD TRUCK, ONE (1) UNIT CLOSED VAN AND ONE (1) UNIT REEFER VAN FOR USE IN THE IMPLEMENTATION OF CAMARINES NORTE PINEAPPLE TRADING AND PROCESSING PROJECT</t>
  </si>
  <si>
    <t>Purchase of Drugs and Medicines for the use of City Health Office(PR# 195)</t>
  </si>
  <si>
    <t>Purchase of Bond Paper        IB NO.2020-049</t>
  </si>
  <si>
    <t>Printing of Two Thousand Five Hundred (2500) pieces of Student Handbook for the use of Dalubhasaan ng Lungsod ng Lucena(PR# 178)</t>
  </si>
  <si>
    <t>Freight and Handling Services        IB No. 2020-050</t>
  </si>
  <si>
    <t>Purchase of One (1) unit Multi - Purpose Vehicle for the use of Frontline Services of the City Government of Lucena as requested by City Mayor's Office(PR# 180)</t>
  </si>
  <si>
    <t>Radio Plugging            IB NO.2020-048</t>
  </si>
  <si>
    <t>Purchase of IT Software        IB NO.2020-046</t>
  </si>
  <si>
    <t>Purchase of Printers, Desktop and Laptop Computers for use in the Office of the Schools Superintendent, Supply Office and Division Office of DepEd - Lucena(PR# 173)</t>
  </si>
  <si>
    <t>Supply and Delivery of Various Water Meters</t>
  </si>
  <si>
    <t>SUPPLY AND DELIVERY OF VARIOUS FOODSTUFF, SUBSISTENCE ALLOCATED FOR 1,749 CPDRC INMATES COVERING THE PERIOD JULY 1, 2020 TO DECEMBER 31, 2020</t>
  </si>
  <si>
    <t>Purchase of Ten (10) sets of Double Deck Beds with Foam, One (1) unit Massage Bed and Sewing Machine for use in the Recovery Wellness Center as requested by CADAC(PR# 192)</t>
  </si>
  <si>
    <t>Procurement of Hygiene Kit and Collapsible Water Drinking Container        IB No. 2020-045</t>
  </si>
  <si>
    <t>3-Phase Primary Line Extension and Transformer Installation (3x50 KVA BN)</t>
  </si>
  <si>
    <t>Contract ID No. 19CSK00051 - Real Property Appraisal Services for Properties Affected by the following projects: 1. 14K00270, 15K00273, 17K00110, 16K00190, 18K00251 – Construction of Malaybalay By-Pas</t>
  </si>
  <si>
    <t>Rehabilitation of Post-Harvest Facility (PHF) at Brgy. Guinbanga-an, Laua-an, Antique</t>
  </si>
  <si>
    <t>Purchase of Sound System with Complete Accessories for use in the various programs, events and activities of the City Government as requested by CGSO(PR# 158)</t>
  </si>
  <si>
    <t>Purchase of One (1) unit Multi - Purpose Vehicle for use in the operations at City Agriculture Office (Slaughterhouse) as requested by City Agriculturist's Office(PR# 197)</t>
  </si>
  <si>
    <t>Improvement / Concreting (portion) of Road at Sitio Yapak, Brgy. Lagundi, Morong, Rizal</t>
  </si>
  <si>
    <t>Construction of Fence, Riprap &amp; Concreting of School Ground at Taytay Senior High School, Brgy. Dolores, Taytay, Rizal</t>
  </si>
  <si>
    <t>Construction of 15x30m Ynares Multi-Purpose Covered Court at Taytay Senior High School, Brgy. Dolores, Taytay, Rizal</t>
  </si>
  <si>
    <t>Project 2020-16: Purchase of 225mm dia. uPVC Pipes Series 8, Fixed Seal</t>
  </si>
  <si>
    <t>Upgrading of Maria Clara St. (B. Pag-Asa - Rizal Avenue), Brgy. Sta. Ana &amp; Brgy. San Isidro, Taytay, Rizal</t>
  </si>
  <si>
    <t>MOOE JANUARY TO JUNE2020</t>
  </si>
  <si>
    <t>Asphalt Overlaying/Concrete Reblocking (portion) of J.P. Burgos St., Sitio Sambungan, Brgy. Bagumbong, Jalajala, Rizal</t>
  </si>
  <si>
    <t>Supply and Delivery of 4 Pcs. Battery, 21 plates, 12 volts, low maintenance &amp; Other Item; PR No. 20-1427 dated March 5, 2020</t>
  </si>
  <si>
    <t>rebidding for purchase and delivery of supplies for Bahay Silungan use</t>
  </si>
  <si>
    <t>Construction of 2-Storey Ynares Multi-Purpose Building at Palmera 1, Brgy. Dolores, Taytay, Rizal</t>
  </si>
  <si>
    <t>Acquisition Of Office Supplies</t>
  </si>
  <si>
    <t>Construction / Extension of Jalajala Municipal Building, Brgy. First District, Jalajala, Rizal</t>
  </si>
  <si>
    <t>CONSTRUCTION OF NEW ONE CLASSROOM BUILDING (Biasong Nat’l. High School, Biasong, Balamban, Cebu) Materials</t>
  </si>
  <si>
    <t>VETERINARY SUPPLIES (for Livelihood Project) MAO</t>
  </si>
  <si>
    <t>MEDICINES (for Mental Health Program) RHU</t>
  </si>
  <si>
    <t>Construction of Elevated Water Tank, Installation of Water Distribution Lines &amp; Construction of Artesian Well at Brgy. Bombong &amp; Brgy. Rayap, Binangonan, Rizal; a) Construction of 4,000 gallons Elevat</t>
  </si>
  <si>
    <t>5 sets decktop computer</t>
  </si>
  <si>
    <t>SUPPLY AND DELIVERY OF VARIOUS MATERIALS/FITTINGS TO BE USED FOR UPGRADING OF TRANSMISSION AND DISTRIBUTION LINE</t>
  </si>
  <si>
    <t>SUPPLY &amp; DELIVERY OF GOODS/SERVICES-EQUIPMENT RENTAL (30 UNITS MOTORCYCLE)</t>
  </si>
  <si>
    <t>CONSTRUCTION OF PERIMETER FENCE</t>
  </si>
  <si>
    <t>Repair/Repainting of Ynares School Bldg. at Virgilio B. Melendres Elem. School, Brgy. Takungan, Pililla, Rizal</t>
  </si>
  <si>
    <t>Contract ID No. 19CSK00050 - Real Property Appraisal Services for Properties Affected by the following projects: 1. 19K00032 – Construction of By-Pass &amp; Diversion Road, CDO-New Western Diversion Road,</t>
  </si>
  <si>
    <t>Asphalt Overlaying and Concrete Reblocking (portion) of Sitio Lipat-Lipat Road, Brgy. Hulo, Pililla, Rizal</t>
  </si>
  <si>
    <t>Contract ID No. 19CSK00052 - Real Property Appraisal Services for Properties Affected by the following projects: 1. 19K00072-Construction of Puerto-Claveria By-pass Road, (Claveria Section) Package 4,</t>
  </si>
  <si>
    <t>Asphalt Overlaying and Concrete Reblocking (portion) of P. Oleta St., Brgy. Wawa, Pililla, Rizal</t>
  </si>
  <si>
    <t>Asphalt Overlaying and Concrete Reblocking (portion) of Sitio Ligua Road, Brgy. Hulo, Pililla, Rizal</t>
  </si>
  <si>
    <t>Purchase of Fuel (Diesel) –  Office of the Municipal Vice Mayor</t>
  </si>
  <si>
    <t>Asphalt Overlaying and Concrete Reblocking (portion) of Sitio Bulacan 1 Road, Brgy. Bagumbayan, Pililla, Rizal</t>
  </si>
  <si>
    <t>Procurement of Emergency Newborn Kits         IB No. 2020-054</t>
  </si>
  <si>
    <t>Procurement of 5 units hand tractor with complete accessories</t>
  </si>
  <si>
    <t>CONSTRUCTION OF TUPLAC CIS Located at Dulli, Ambaguio, Nueva Vizcaya</t>
  </si>
  <si>
    <t>Procurement of Labor and Materials for the Installation of Solar Streetlights at Brgy. Cayucay, Alaminos City, Pangasinan</t>
  </si>
  <si>
    <t>Purchase of  Construction Supplies (June)</t>
  </si>
  <si>
    <t>Construction of Stone Masonry Headwall (portion) of Wawa Boulevard, Brgy. Wawa, Pililla, Rizal</t>
  </si>
  <si>
    <t>4 units laptop computer</t>
  </si>
  <si>
    <t>CONSTRUCTION OF CONCRETE PAVEMENT AROUND BARANGAY SITE</t>
  </si>
  <si>
    <t>Purchase of IT Consumables       IB NO.2020-053</t>
  </si>
  <si>
    <t>WATER SERVICE CONNECTION MATERIALS/FITTING</t>
  </si>
  <si>
    <t>Construction of Water System Level III &amp; Upgrading of Electrical Sevice Entrance at Sapang Elementary School, Brgy. Sapang, Binangonan, Rizal</t>
  </si>
  <si>
    <t>Procurement of One (1) Unit Brand New Sports Utility Vehicle (SUV)</t>
  </si>
  <si>
    <t>construction of slope protection and concrete pavement</t>
  </si>
  <si>
    <t>( PR NO. 20-05-07-0182 SUPPLY AND DELIVERY OF 489 bags Portland Cement 40kg, 2 bags Non-Shrink Cement)</t>
  </si>
  <si>
    <t>CONSTRUCTION OF BIOGAS TANK &amp; HALLWAY SLAB (Slaughterhouse Bldg., Poblacion, Balamban, Cebu) Materials</t>
  </si>
  <si>
    <t>construction of box culvert and canal lining</t>
  </si>
  <si>
    <t>Installation of Floor Tiles and Stage Ceiling of Pijanga Hall</t>
  </si>
  <si>
    <t>purchase of 1 unit brand new thermoplastic road marker</t>
  </si>
  <si>
    <t>Purchase of New Power Distribution Transformers for new DOH Building      IB NO.2020-052</t>
  </si>
  <si>
    <t>TV Plugging       IB NO.2020-044</t>
  </si>
  <si>
    <t>Construction of Ynares Multi-Purpose Covered Court (Rafter Type) at Carissa Homes East-1, Brgy. Bagumbayan, Teresa, Rizal</t>
  </si>
  <si>
    <t>Asphalt overlaying of Various Roads at Bancom Life Homes, Brgy. Gulod Malaya, San Mateo, Rizal</t>
  </si>
  <si>
    <t>Installation of Floor Tiles and Fabrication of Shelves of Agricultural Training Center</t>
  </si>
  <si>
    <t>REHABILITATION OF COMFORT ROOM-TERMINAL BLDG. (Poblacion, Balamban, Cebu) Materials</t>
  </si>
  <si>
    <t>Purchase of Audio &amp; Equipment</t>
  </si>
  <si>
    <t>Procurement of Materials and Rental of Equipment for Riprapping / Road Shouldering</t>
  </si>
  <si>
    <t>Procurement of Customized Tower Mast and Enclosure Stainless Steel for SIGAW Project</t>
  </si>
  <si>
    <t>Purchase of Chair</t>
  </si>
  <si>
    <t>IMPROVEMENT OF GANAO-BIRUK ROAD Located at Dupax del Sur, Nueva Vizcaya</t>
  </si>
  <si>
    <t>CONSTRUCTION OF FLOOD CONTROL STRUCTURE- Phase II (Tubod, Pondol, Balamban, Cebu) Materials</t>
  </si>
  <si>
    <t>Procurement of Alarm Sounder for SIGAW Project</t>
  </si>
  <si>
    <t>WIDENING OF BARANGAY ROAD, POBLACION 1, BARANGAY MABINI, BURDEOS, QUEZON</t>
  </si>
  <si>
    <t>REPAIR OF ONE CLASSROOM BUILDING (Nangka Nat’l. High School, Nangka, Balamban, Cebu) Materials</t>
  </si>
  <si>
    <t>Installation of More Enegery Efficient Barangay Street Light</t>
  </si>
  <si>
    <t>COMPLETION OF EXISTING CLASSROOM (Biasong Nat’l. High School, Biasong, Balamban, Cebu) Materials</t>
  </si>
  <si>
    <t>purchase of brand new concrete mixer</t>
  </si>
  <si>
    <t>IMPROVEMENT OF NV BENGUET JCT.-KAYAPA CENTRAL-KAYAPA PROPER ROAD Located at Kayapa, Nueva Vizcaya</t>
  </si>
  <si>
    <t>2nd ITB for the  CONSTRUCTION OF CUTAR FARMERS ASSOCIATION CIS Located at Aritao, Nueva Vizcaya</t>
  </si>
  <si>
    <t>Purchase of Refrigerator</t>
  </si>
  <si>
    <t>Purchase of Laptop and Printer for Barangay Used</t>
  </si>
  <si>
    <t>IMPROVEMENT OF DRAINAGE SYSTEM AT DEH Located at DEH, Diadi, Nueva Vizcaya</t>
  </si>
  <si>
    <t>I.T. EQUIPMENT (Desktop, Printer, Hard Drive, Server &amp; Keyboard) Accounting Office</t>
  </si>
  <si>
    <t>Purchase of Supplies &amp; Materials</t>
  </si>
  <si>
    <t>IMPROVEMENT OF CVR BATU-STO. DOMINGO-MANAMTAM ROAD Located at Bambang, Nueva Vizcaya</t>
  </si>
  <si>
    <t>I.T. EQUIPMENT (Desktop &amp; Printer) Office of the Mayor</t>
  </si>
  <si>
    <t>Laptop/Computer</t>
  </si>
  <si>
    <t>Purchase Native Chicken and Feeds</t>
  </si>
  <si>
    <t>Procurement of ICT equipment and other supplies of the VPRDE office</t>
  </si>
  <si>
    <t>IMPROVEMENT OF OYAO-GANAO ROAD Located at Dupax del Norte and Dupax del Sur, Nueva Vizcaya</t>
  </si>
  <si>
    <t>I.T. EQUIPMENT (Desktop &amp; Printer) RHU I</t>
  </si>
  <si>
    <t>Procurement of supplies for the installation of Wifi Connectivity</t>
  </si>
  <si>
    <t>IMPROVEMENT OF MAKATBENG-KIMBUTAN-BELANCE ROAD Located at Dupax del Sur, Nueva Vizcaya</t>
  </si>
  <si>
    <t>Purchase of Chairs</t>
  </si>
  <si>
    <t>I.T. EQUIPMENT (Desktop &amp; Printer) RHU III</t>
  </si>
  <si>
    <t>IB-05-0400-20VPAA,2020-06-04-095TC SUPPLY &amp; DELIVERY OF COMPUTER EQUIPMENT (VPAA/TC)</t>
  </si>
  <si>
    <t>FURNITURE (Office Chair and Mobile Pedestal) Accounting Office</t>
  </si>
  <si>
    <t>VEHICLE PARTS AND ACCESSORIES</t>
  </si>
  <si>
    <t>Procurement of Supply and Delivery of Office  Supplies &amp; Equipment</t>
  </si>
  <si>
    <t>Supply of Materials and Installation of Office Partitions</t>
  </si>
  <si>
    <t>CONSTRUCTION MATERIALS AND SUPPLIES</t>
  </si>
  <si>
    <t>Power Supply,Comcolor Black,Comcolor Yellow</t>
  </si>
  <si>
    <t>Procurement of service for the calibration of laboratory equipment to comply with ISO</t>
  </si>
  <si>
    <t>20AA0351 - REPAIR OF BALUDAVID BRIDGE ALONG ILOCOS NORTE-APAYAO ROAD (B02391LZ), SARRAT, ILOCOS NORTE</t>
  </si>
  <si>
    <t>Diesel Fuel</t>
  </si>
  <si>
    <t>2,000 bags cement &amp; 50 drums asphalt, cold mix</t>
  </si>
  <si>
    <t>CONSTRUCTION/IMPROVEMENT OF PUROK 7, BUSILAC FTMR Located at Bayombong, Nueva Vizcaya</t>
  </si>
  <si>
    <t>PURCHASE OF MATERIALS FOR THE CONSTRUCTION OF OSCA BUILDING PHASE VIII</t>
  </si>
  <si>
    <t>PURCHASE OF MATERIALS FOR THE CONSTRUCTION OF WOMEN'S BUILDING PHASE IV</t>
  </si>
  <si>
    <t>PURCHASE OF MATERIALS FOR THE REHABILITATION OF SCHOOL MULTI-PURPOSE HALL</t>
  </si>
  <si>
    <t>Supply and Delivery of Various Construction Materials (Construction of Multi-Purpose Hall)</t>
  </si>
  <si>
    <t>2 units wooden chairs, etc</t>
  </si>
  <si>
    <t>SUPPLY &amp; DELIVERY OF CONSTRUCTION MATERIALS FOR THE CONSTRUCTION OF SANITATION FACILITIES PROJECT Y ADMIN</t>
  </si>
  <si>
    <t>AGRICULTURAL SUPPLIES (Vegetable Seeds and Fertilizer) MAO</t>
  </si>
  <si>
    <t>Procurement of Various Supplies and Materials, OMMC-PR-702</t>
  </si>
  <si>
    <t>CONSTRCUTION OF PERIMETER FENCE AND CONCRETING OF DRIVEWAY WITH DRAINAGE CANAL AT BUSIING ELEMENTARY SCHOOL SAN ILDEFONSO, ILOCOS SUR</t>
  </si>
  <si>
    <t>Procurement of Printed Materials, OMMC-PR-710</t>
  </si>
  <si>
    <t>Invitation to Bid - Procurement of Toners &amp; Photoconductor kits for CY 2020</t>
  </si>
  <si>
    <t>20CSCE005  - CONSULTING SERVICES FOR THE CONDUCT OF a.) PARCELLARY SURVEY b.) DETAILED ENGINEERING SURVEY c.) STRUCTURAL/UTILITY/FACILITIES SURVEY d.) MONUMENTING e.) RESEARCH WORKS for the CONSTRUCTI</t>
  </si>
  <si>
    <t>CONSTRUCTION OF MULTI-PURPOSE HALL (SO. NALBOT, BGY. POBLACION, TAYTAY, PALAWAN)</t>
  </si>
  <si>
    <t>CONSTRUCTION EQUIPMENT (Bagger Concrete Mixer) Office of the Mun. Engineer</t>
  </si>
  <si>
    <t>SUPPLY AND DELIVERY OF GARBAGE BIN</t>
  </si>
  <si>
    <t>CONSTRUCTION OF MULTI-PURPOSE HALL (SO. MALINAO, BGY. LIBERTAD, TAYTAY, PALAWAN)</t>
  </si>
  <si>
    <t>Procurement of Various Dietary and Linen Supplies, OMMC &amp; JJASGH</t>
  </si>
  <si>
    <t>SUPPLY AND DELIVERY OF MATERIALS FOR THE IMPROVEMENT OF PUBLIC CEMETERY (TOILET)</t>
  </si>
  <si>
    <t>CONSTRUCTION/REHABILITATION OF BRGY. PATHWAY</t>
  </si>
  <si>
    <t>Procurement of supply and delivery of Full Kit</t>
  </si>
  <si>
    <t>FARM EQUIPMENT (Egg Laying Machine) MAO</t>
  </si>
  <si>
    <t>Supply and Delivery of Brass Water Meter</t>
  </si>
  <si>
    <t>Installation of Solar Street Lightning System</t>
  </si>
  <si>
    <t>Procurement of  1 Misting Machine for Control of Dengue and Other Vector Borne Disease</t>
  </si>
  <si>
    <t>CONSTRUCTION OF DAY CARE CENTER (Nangka, Balamban, Cebu) Materials</t>
  </si>
  <si>
    <t>EGG LAYERING MACHINE &amp; LAYERING MASH</t>
  </si>
  <si>
    <t>Contract ID No. 19CSK00057 – Cluster - Consultancy Services for the Conduct of Feasibility Study for Region X Priority Road Infrastructure Projects-26 (REXPRIP-26), Total Length = 56.62 km:  a.) Quezo</t>
  </si>
  <si>
    <t>020-GOODS-051 / GENERAL MERCHANDISE</t>
  </si>
  <si>
    <t>ITB 06-001-20 Supply and Delivery of Various Laboratory Supplies (DA-RADDL IX)</t>
  </si>
  <si>
    <t>20GGM0008 - Procurement of Vehicle parts and accessories for various motor vehicles and equipment, DPWH, Negros Occidental 3rd District Engineering Office, Kabankalan City, Negros Occidental. (Re-bidd</t>
  </si>
  <si>
    <t>Supply and Delivery of Catering Services</t>
  </si>
  <si>
    <t>AGRICULTURAL PRODUCT (SEEDS, SEEDLINGS, PLANTS)</t>
  </si>
  <si>
    <t>PURCHASED OF LOP TOP &amp; 3 in 1 Printer</t>
  </si>
  <si>
    <t>Purchase of Office Chairs and Tables to be used by Vice Mayors Office</t>
  </si>
  <si>
    <t>Purchase of Thirteen (13) Units Brand New Laptop</t>
  </si>
  <si>
    <t>MDRRMF CLUSTER 4-2020 PROJECTS AT CATTUBO, CALIKING AND PAOAY, ATOK, BENGUET</t>
  </si>
  <si>
    <t>DRILLING OF TWO (2) EXPLORATORY/PRODUCTION WELLS</t>
  </si>
  <si>
    <t>Construction of Covered Canal</t>
  </si>
  <si>
    <t>Procurement of Diesoline, Gasoline and other Petroleum Products for the use of Aklan Provincial Police Office (APPO) Vehicles, Province of Aklan/ITB No: 2020-370</t>
  </si>
  <si>
    <t>MDF CLUSTER 13-2020 PROJECTS AT CALIKING AND TOPDAC, ATOK, BENGUET</t>
  </si>
  <si>
    <t>IMPROVEMENT,REPAIR AND MAINTENANCE OF ECCD CENTERS, VARIOUS BARANGAYS SAN ILDEFONSO,ILOCOS SUR</t>
  </si>
  <si>
    <t>PR 2.033 ITB No. 2020-030 PRODUCTION, SUPPLY, AND DELIVERY OF TEN (10) THOUSAND PIECES CORPORATE TOTE BAG WITH SEVEN (7) DIFFERENT WEAVE CLOTH DESIGN</t>
  </si>
  <si>
    <t>IMPROVEMENT OF DIFFUDAY-BONIFACIO ROAD Located at Quezon, Nueva Vizcaya</t>
  </si>
  <si>
    <t>PROCUREMENT OF ONE (1) UNIT PASSENGER VAN FOR THE OFFICIAL USE OF MUNICIPAL OFFICIALS AND EMPLOYEES, ATOK, BENGUET</t>
  </si>
  <si>
    <t>Purchase of Construction Materials for the Comfort Room Phase - I at Lawagan, Labason, ZN:</t>
  </si>
  <si>
    <t>Construction and Improvement of Various Municipal Projects (Package 2020-05)</t>
  </si>
  <si>
    <t>Lot I - Use in Act. 302 - Centerline and Lane Line Repainting and Tablas Island and Lot II - Use in Act. 122 - Crack and Joint Sealing of Concrete Pavement along Tablas Island</t>
  </si>
  <si>
    <t>CONSTRUCTION OF MULTI-PURPOSE HALL (BARANGAY SAN JOSE, TAYTAY, PALAWAN)</t>
  </si>
  <si>
    <t>supply  of Office Equipment Supplies and Consumables</t>
  </si>
  <si>
    <t>CONSTRUCTION OF MULTI-PURPOSE HALL (BARANGAY LIMINANGCONG, TAYTAY, PALAWAN)</t>
  </si>
  <si>
    <t>PURCHASED OF PERSONAL PROTECTIVE EQUIPMENT (PPE)</t>
  </si>
  <si>
    <t>SUPPLY AND DELIVERY OF 153 UNITS MINI DUMP TRUCK, ENGINE DISPLACEMENT: 2.7L, 4 X 2, 4 CYLINDER, 109HP, EURO 4 ENGINE, WITH 3 YEARS LTO REGISTRATION</t>
  </si>
  <si>
    <t>Procurement of supply and delivery of Agricultural Supplies/Seeds</t>
  </si>
  <si>
    <t>FOR LGU BANTAY COVID-19 USE</t>
  </si>
  <si>
    <t>VETERINARY SUPPLIES AND MATERIALS (MAO)</t>
  </si>
  <si>
    <t>Use in (Act. 71X – Special Maintenance) Rehab./Replacement of Existing Shattered Concrete Pavement along Tablas Circum. Road, k0003+500 – k0102+100 (int. section.</t>
  </si>
  <si>
    <t>Purchase of Disaster Response Vehicle (Delta Tricycle with Customized Fiber Glass Body) Gumaca, Quezon</t>
  </si>
  <si>
    <t>Printing of Quarantine Passes w/ Layout</t>
  </si>
  <si>
    <t>Procurement of Diesel  and Oil for the use of Government Vehicles and Equipments for the maintenance of Barangay roads, Province of Aklan /ITB no: 2020-369</t>
  </si>
  <si>
    <t>Invitation to Bid for Rehabilitation of Multi-Purpose Hall/Tinangra</t>
  </si>
  <si>
    <t>FOR DENGUE PREVENTION USE</t>
  </si>
  <si>
    <t>SUPPLY AND DELIVERY OF WATER PUMP MATERIALS</t>
  </si>
  <si>
    <t>Supply and Delivery of Additional Requirements for Innovative Document</t>
  </si>
  <si>
    <t xml:space="preserve">PR No. 2020-06-0054 - Supply and delivery of 4 rolls 8.0 mm² THW Wire (#8 AWG), (2-Black, 2-White) and nine (9) other items for use in the replacement of electrical wiring supplying Shop, Guard House </t>
  </si>
  <si>
    <t>Purchase of Franklin Motor Water Pump for Barangay Babo Sacan</t>
  </si>
  <si>
    <t>Rosalia Aglay Ayag Elementary School-Printing supllies</t>
  </si>
  <si>
    <t>20GDKJ0076</t>
  </si>
  <si>
    <t>Supply and Delivery of Tool Box for use in the Repair and Maintenance of Various Pumping Station</t>
  </si>
  <si>
    <t>Procurement of Construction Materials and Supplies for the Construction of Farm to Market Road</t>
  </si>
  <si>
    <t>2020-E001</t>
  </si>
  <si>
    <t>SUPPLY AND DELIVERY OF 2 UNITS 3 TONNER FLOOR STANDING AIRCONDITIONER</t>
  </si>
  <si>
    <t>Supply &amp; Delivery of Starter Kits for DOLE Program Beneficiaries</t>
  </si>
  <si>
    <t>Purchase of Pocket Wifi with Sim and Load</t>
  </si>
  <si>
    <t>IMPROVEMENT &amp; BACKFILLING OF CFLC COMPOUND</t>
  </si>
  <si>
    <t>SUPPLY AND DELIVERY OF OFFICE EQUIPMENT &amp; DEVICES (PPE Capital Outlay) LGU Polillo, Quezon</t>
  </si>
  <si>
    <t>Invitation to Bid for the Consultancy Services for the Training Needs Assessment, Design, Development and Pilot Implementation of Training Programs on MSMEs Resiliency for the Creative Industries Sect</t>
  </si>
  <si>
    <t>Medical and Lab Supplies</t>
  </si>
  <si>
    <t>PR NO. 1603 FOOD GRADE</t>
  </si>
  <si>
    <t>Improvement of Multi-Purpose Pavement (Stage)</t>
  </si>
  <si>
    <t>PBG-2020-07-21 PURCHASE OF CELLCARDS FOR 3RD QUARTER 2020 FOR EXECUTIVE AND LEGISLATIVE DEPARTMENT</t>
  </si>
  <si>
    <t>SUPPLY &amp; DELIVERY OF VARIOUS SUPPLIES</t>
  </si>
  <si>
    <t>PR NO. 1574 INDOOR P3</t>
  </si>
  <si>
    <t>Procurement of DRUGS AND MEDICINES</t>
  </si>
  <si>
    <t>Procurement of Supply &amp; Delivery of Printing of IEC Materials</t>
  </si>
  <si>
    <t>Procurement of Supply &amp; Delivery of Organic Fertilizer</t>
  </si>
  <si>
    <t>Delivery of meals &amp; snacks for Clustered Leader Forum in Line with Community Mobilization Project</t>
  </si>
  <si>
    <t>Improvement / Construction of Multi Purpose Hall</t>
  </si>
  <si>
    <t>Repair of Three (3) Units Sinamics Variable Frequency Drive of Pump No. 5, 7, and 8  of Taguig Pumping Station</t>
  </si>
  <si>
    <t>Purchase of One (1) Unit X-Ray Machine w/ CR System (Brand New) - MDRRMO</t>
  </si>
  <si>
    <t>PR NO. 1602 SEEDLING</t>
  </si>
  <si>
    <t>Supply of Fiberglass Reinforced Plastic Pontoon with Polycarbonate Canopy for the use of Escolta-Pasig River Ferry</t>
  </si>
  <si>
    <t>Procurement of Supply &amp; Delivery of NSIC Approved Hybrid Rice Seeds</t>
  </si>
  <si>
    <t>8918-20-010/8751-20-010) A.  IMPROVEMENT OF SIDEWALK FROM CEO TO CITY HALL, B.  IMPROVEMENT OF SIDEWALK GOING TO CITY HALL FROM CITY ENGINEERING OFFICE C/O CEO</t>
  </si>
  <si>
    <t>PR NO. 1504 OFFICE EQUIPMENT</t>
  </si>
  <si>
    <t>SUPPLY, INSTALLATION AND DELIVERY OF EQUIPMENT FOR THE NEWLY CONSTRUCTED PSAU INNOVATION CENTER- 2nd Posting</t>
  </si>
  <si>
    <t>MUNICIPAL LANDFILL DEVELOPMENT (SUPPLY AND INSTALLATION OF ELECTRICAL CONNECTION, HARDWARE &amp; ACCESSORIES FOR THE OPERATION OF MUNICIPAL LANDFILL)</t>
  </si>
  <si>
    <t>Purchase of 1 Generator Set</t>
  </si>
  <si>
    <t>Improvement, Extension/Expansion of the CWSPP1</t>
  </si>
  <si>
    <t>Supply and Delivery of Various Motor Vehicles Two (2) Units Brand-new 4x4 Pick up A/T and One (1) Unit Brand-new Passenger Van A/T for 2020</t>
  </si>
  <si>
    <t>Supply and Delivery of Two (2) Units Brand-new Heavy Equipment Excavator for Bangon Marawi Project for 2020</t>
  </si>
  <si>
    <t>Construction Brgy. Drainage Canal</t>
  </si>
  <si>
    <t>8918-20-222)  CONTINUATION OF SEWERLINE FROM THE TURNING POINT TO ACCOS RESIDENCE AT PUROK 4, HOLYGHOST EXTENSION C/O CEPMO</t>
  </si>
  <si>
    <t>SUPPLY, DELIVERY AND INSTALLATION OF AIRCON UNITS AT THE GS BUILDING-2nd Posting</t>
  </si>
  <si>
    <t>CONSTRUCTION OF MULTI-PURPOSE COVERED HALL AT MATALANGAO ELEMENTARY SCHOOL, CANDELARIA ELEMENTARY SCHOOL AND NEW CUYO ELEMENTARY SCHOOL</t>
  </si>
  <si>
    <t>SUPPLY AND DELIVERY OF MATERIALS FOR THE REHABILITATION OF SHARED FACILITY AT SITIO CALAETEN, BARANGAY MALCAMPO, ROXAS, PALAWAN</t>
  </si>
  <si>
    <t>SUPPLY AND DELIVERY OF TIRES FOR VARIOUS VEHICLES</t>
  </si>
  <si>
    <t>UPGRADING OF BITUEN-LACUB ROAD</t>
  </si>
  <si>
    <t>Package IV: Const. of Multi-Purpose Hall with Comfort Rooms for Male, Female and PWDs and Solar Panel Roofing and Const. of Water System with Overhead Tank at Zambales Provincial Jail, Iba</t>
  </si>
  <si>
    <t>Labor for Repair and Improvement of Ecumenical Chapel at CvSU Indang Campus</t>
  </si>
  <si>
    <t>UPGRADING OF AGUIBO-MALIBCONG ROAD</t>
  </si>
  <si>
    <t>Supply and Delivery of various Construction Materials for the Construction/Expansion of Hilabangan IP</t>
  </si>
  <si>
    <t>SUPPLY AND DELIVERY OF MATERIALS FOR THE INSTALLATION OF WATER TANKS AND LATRINES FOR EVACUATION CENTERS IN ROXAS, PALAWAN</t>
  </si>
  <si>
    <t>ITB NO. 003-06-2020 - PROCUREMENT OF THE FIBER OPTIC INTERNET ENTERPRISE CONNECTION TO UPGRADE DEPED REGION XI OFFICE INTERNET NETWORK</t>
  </si>
  <si>
    <t>MDF CLUSTER 14-2020 PROJECTS AT CATTUBO, ATOK, BENGUET</t>
  </si>
  <si>
    <t>1 unit desktop computer (server)</t>
  </si>
  <si>
    <t>Purchase of Laptop</t>
  </si>
  <si>
    <t>REQUEST FOR QUOTATION (RFQ) FOR THE SUPPLY, DELIVERY AND INSTALLATION OF FIFTEEN (15) UNITS DRINKING WATER FOUNTAIN WITH COMPLETE ACCESSORIES</t>
  </si>
  <si>
    <t>Supply &amp; Delivery of Jetmatic Pumps and Toilet Bowls</t>
  </si>
  <si>
    <t>RFQ 2020-06-364 Procurement of 600 pcs. Placemat for DTCAM</t>
  </si>
  <si>
    <t>Installation of Water Tank/Concrete Reservoir at NHA, San Antonio Barangay Maparat</t>
  </si>
  <si>
    <t>Invitation to Bid for the Consultancy Services for the Training Needs Assessment, Design, Development and Pilot Implementation of Training Programs on MSMEs Resiliency for the Lifestyle Sector: Clothi</t>
  </si>
  <si>
    <t>Supply and Delivery of Various Supplies, Materials and Equipment for Research Center</t>
  </si>
  <si>
    <t>4411-18-020)  CONSTRUCTION OF GENERATOR ROOM/HOUSE (PHASE II) AT HEALTH SERVICES OFFICE C/O CBAO (RE-BIDDING)</t>
  </si>
  <si>
    <t>Supply and Delivery of Various Semi-Expendable Equipment for CvSU Silang Campus</t>
  </si>
  <si>
    <t>Invitation to Bid for the Consultancy Services for the Training Needs Assessment, Design, Development and Pilot Implementation of Training Programs on MSMEs Resiliency for the Food Manufacturing Secto</t>
  </si>
  <si>
    <t>Supply and Delivery of Materials for Construction of Bee House for CvSU Bee Program</t>
  </si>
  <si>
    <t>Supply and Delivery of ICT Equipment for Research Center</t>
  </si>
  <si>
    <t>Acquisition of Air Conditioner</t>
  </si>
  <si>
    <t>Supply and Delivery of Materials for Repair and Improvement of Ecumenical Chapel at CvSU Indang Campus</t>
  </si>
  <si>
    <t>Labor for Construction of Bee House for CvSU Bee Program</t>
  </si>
  <si>
    <t>Procurement of Various Housekeeping Supplies-06-366(A)PGO</t>
  </si>
  <si>
    <t>COMMUNICATION EQUIPMENT (Projector) Office of the Mayor</t>
  </si>
  <si>
    <t>Purchase of Twenty Five (25) sets Desktop and One (1) unit External Hard Drive for the use of Dalubhasaan ng Lungsod ng Lucena(PR# 174)REBID</t>
  </si>
  <si>
    <t>Purchase of Office Supplies for the use of OSCA as requested by City Social Welfare and Development Office(PR# 324)REBID</t>
  </si>
  <si>
    <t>Purchased of Flu Vaccine for SK Barangay Silangan 1 Rosario, Cavite</t>
  </si>
  <si>
    <t>Purchase of Food/Meals to be served during In-House Reformation Program (Kanlungan ng Pagbabago - Balay Silangan) as requested by CADAC(PR# 251)REBID</t>
  </si>
  <si>
    <t>Purchase of One (1) set Planetary Gear Assy. for use in the Repair and Maintenance of CGSO Backhoe Loader as requested by CGSO(PR# 245)REBID</t>
  </si>
  <si>
    <t>Installation and Purchase of Venetian Blinds for use in the Recovery Wellness Center of CADAC(PR# 234)REBID</t>
  </si>
  <si>
    <t>Purchase of various Disposable Kitchenware and Plastic Bags for the use of Medical Emergency Response as requested by LCDRRMO(PR# 219)REBID</t>
  </si>
  <si>
    <t>Purchase of Complete Set of Uniform (T-Shirt, Polo and Pants) for the use of Traffic Enforcement Section(PR# 371)</t>
  </si>
  <si>
    <t>Supply and Delivery of Various Construction Materials (Construction of Drainage System)</t>
  </si>
  <si>
    <t>Purchase of various Furniture and Fixtures for use of City Mayor's Office and other attached offices at the Old City Hall Building as requested by CMO(PR# 357)</t>
  </si>
  <si>
    <t>Purchase of Nine Hundred Twenty Six (926) pieces of Hard Bound Cover for the use of City Civil Registrar's Office(PR# 338)REBID</t>
  </si>
  <si>
    <t>Rehabilitation / Construction of Drainage System</t>
  </si>
  <si>
    <t>Purchase of Desktop Computers with Complete Accessories, Printers and UPS for the use of Slaughterhouse as requested by City Agriculturist's Office(PR# 337)REBID</t>
  </si>
  <si>
    <t>Purchase of Bond Papers (Letter, Folio and A4) for the use of City General Services Office(PR# 330)REBID</t>
  </si>
  <si>
    <t>Purchase of various Steel / Metal Cabinets, Rubber Boots Rack and Computer Tables for the use of Slaughterhouse as requested by City Agriculturist's Office(PR# 328)REBID</t>
  </si>
  <si>
    <t>Purchase of Goods (Food and Non-Food) for Stockpile of LCDRRMO(PR# 200)REBID</t>
  </si>
  <si>
    <t>Improvement and Installation of the communication &amp; Internet System of the PMO-CRPIP</t>
  </si>
  <si>
    <t>Purchase of Laptops and Desktop Computers with complete accessories , Printer(CISS), UPS, UHD Smart TV with Complete accessories and Smartphone for the use of City Mayor's Office and Other attached of</t>
  </si>
  <si>
    <t>nvitation to Bid for the Consultancy Services for the Training Needs Assessment, Design, Development and Pilot Implementation of Training Programs on MSMEs Resiliency for the Creative Industries Secto</t>
  </si>
  <si>
    <t>Purchase of One (1) unit Passenger Van for the use of Executive Department of the Lucena City Government as requested by City Mayor's Office(PR# 181)REBID</t>
  </si>
  <si>
    <t>Purchased of Flu Vaccine for SK Sapa2 Rosario, Cavite</t>
  </si>
  <si>
    <t>Purchase of Materials for use in the establishment of Hydroponic Rooftop Gardening Project as requested by City Agriculturist's Office(PR# 203)REBID</t>
  </si>
  <si>
    <t>Supply and Delivery of Materials for Construction of Hazardous Facility and Storage Room at CvSU Indang Campus</t>
  </si>
  <si>
    <t>Purchase of Goods (Food and Non-Food) for Stockpile of LCDRRMO(PR# 198)REBID</t>
  </si>
  <si>
    <t>Procurement of materials for Construction of VAWC Office</t>
  </si>
  <si>
    <t>Purchase of Various Chairs and Tables for use in the Office of the Commission on Election, Lucena City as requested by CMO(PR# 381)</t>
  </si>
  <si>
    <t>Procurement of Security Services.</t>
  </si>
  <si>
    <t>NP 2020-24 (Request for Quotation) SUPPLY, DELIVERY AND INSTALLATION OF SOUND SYSTEM C/O CBAO</t>
  </si>
  <si>
    <t>NP 2020-20 (Request for Quotation) Supply and Delivery of various Construction Materials c/o CVAO</t>
  </si>
  <si>
    <t>ROAD CONCRETING WITH OPEN CANAL AT PUROK 12, BRGY. TIBUNGCO, BUNAWAN DIST., DAVAO CITY</t>
  </si>
  <si>
    <t>ROAD CONCRETING ( CONTINUATION ) AT PUR0K 8-A, SAN JOSE VILLAGE, BRGY. TIBUNGCO, BUNAWAN DIST., DAVAO CITY</t>
  </si>
  <si>
    <t>Procurement of supply and delivery of Agricultural Supplies and Materials (fertilizers)</t>
  </si>
  <si>
    <t>ROAD CONCRETING AT PUROK 2 C/O KAGAWAD CALVO, BRGY. TIBUNGCO, BUNAWAN DIST., DAVAO CITY</t>
  </si>
  <si>
    <t>CAN-JJASGH675 677 675: MLA 705 703 OFF SUPPLIES</t>
  </si>
  <si>
    <t>Procurement of supply and delivery of corn mill</t>
  </si>
  <si>
    <t>20GGF0017 – Procurement of Oxygen (content only) and Acetylene (content only) for use in the repair of various service vehicle and equipment of this district, Iloilo 1st District Engineering Office, F</t>
  </si>
  <si>
    <t>2020-06-366 Procurement of IT Equipment, Camera and Front Binder Machine</t>
  </si>
  <si>
    <t>NP 19-104 (Request for Quotation) SUPPLY AND DELIVERY OF MULTI-PURPOSE TRUCK C/O CEO</t>
  </si>
  <si>
    <t>Procurement of Laboratory Supplies for use at the Laboratory Section of the IPHO-TPH - B-G-2020-096</t>
  </si>
  <si>
    <t>20GGF0019 – Procurement of Consumables/Spare parts of various printers for use in the Planning and Design section at DPWH, Iloilo 1st DEO, Fort San Pedro, Iloilo City.</t>
  </si>
  <si>
    <t>Procurement of Drugs and Medicines for use at the Pharmacy Section of the IPHO-TPH - B-G-2020-095</t>
  </si>
  <si>
    <t>fence and gate</t>
  </si>
  <si>
    <t>Pag-IBIG Fund-CHQ (CONSULTING SERVICES TO CONDUCT REVIEW AND UPDATING OF INFORMATION SECURITY MANUALS BASED ON ISO27000 FAMILY OF STANDARDS)</t>
  </si>
  <si>
    <t>Construction of Front Perimeter Fence with Transformer Pad - Alicaocao</t>
  </si>
  <si>
    <t>MINI DUMP TRUCK, 4 Cylinders inline, water cooling,CDRI,15” Tire, inclusive of GSIS Insurance and LTO Registration</t>
  </si>
  <si>
    <t>20GGF0018 – Procurement of various Office Supplies for use in the Planning and Design section at DPWH, Iloilo 1st DEO, Fort San Pedro, Iloilo City.</t>
  </si>
  <si>
    <t>SUPPLY AND DELIVERY OF MATERIALS FOR THE IMPROVEMENT OF WATER WORKS</t>
  </si>
  <si>
    <t>CONSTRUCTION OF DRAINAGE ALONG F.S. PAJARES AVE. (JCT. DABLO ST. - BOULEVARD) WESTERN SIDE   DRRMF20-1000-2-b15</t>
  </si>
  <si>
    <t>NP 2020-19 (Request for Quotation) SUPPLY AND DELIVERY OF SERVICE VEHICLE C/O CBO</t>
  </si>
  <si>
    <t>Supplies &amp; Materials in Stock</t>
  </si>
  <si>
    <t>Construction of Multi-Purpose Building</t>
  </si>
  <si>
    <t>CONC./IMPVT.OF LA SUERTE BRGY.ROAD (NEAR BARANGAY HALL SITE)     2SAIP20-8000-C1a6</t>
  </si>
  <si>
    <t>Installation of Complete CCTV Lines with Internet (2nd Publication) of Magsaysay, Davao del Sur</t>
  </si>
  <si>
    <t>CONC./IMPVT OF KAGAWASAN TO ALEGRIA BRGY. ROAD DF20-8000-B1e</t>
  </si>
  <si>
    <t>Construction of Solar Drier</t>
  </si>
  <si>
    <t>Revenue Operation Modernization Project Tax Administration System (eRPTAS) at LGU-Gattaran</t>
  </si>
  <si>
    <t>New Construction of Level II Potable Water Supply System (Clusters A &amp; B) Acacia, San Isidro to Poblacion, Magsaysay, Davao del Sur</t>
  </si>
  <si>
    <t>Concreting of Farm to Market Road from Poblacion to Sitio Akasya, San Miguel, Magsaysay, Davao del Sur</t>
  </si>
  <si>
    <t>Supply and Delivery of 1,620 Pails Aluminum Sulfate</t>
  </si>
  <si>
    <t>Procurement for Internet Subscription</t>
  </si>
  <si>
    <t>IMPROVEMENT OF KAGAWASAN -ALEGRIA BARANGAY ROAD, ALEGRIA    DF18-8000- B4-b4</t>
  </si>
  <si>
    <t>PROCUREMENT OF DRINKING WATER</t>
  </si>
  <si>
    <t>PROCUREMENT FOR ID CORD</t>
  </si>
  <si>
    <t>PROCUREMENT FOR OFFICE SUPPLIES</t>
  </si>
  <si>
    <t>Procurement of Four (4) units Brand New Motorcycle for use of the Provincial Government of Tarlac - B-G-2020-097</t>
  </si>
  <si>
    <t xml:space="preserve">One (1) Lot Supply of Labor, Tools, Materials, Equipment, and Technical Supervision for the Preventive Maintenance of Variable Refrigerant Volume (VRV) System and Split Type Air-Conditioning Units at </t>
  </si>
  <si>
    <t>Construction of Various Projects - Package VIII</t>
  </si>
  <si>
    <t>Supply of materials for the Construction of Public Comfort Room for Evacuation Center (Phase II)</t>
  </si>
  <si>
    <t>Construction of Double Barrel Box Culvert @ Barangay Glamang, Magsaysay, Davao del Sur</t>
  </si>
  <si>
    <t>Supply and Delivery of Materials for the Concreting of Farm To Market Road at Purok Sadiri Connected to Purok Saniata</t>
  </si>
  <si>
    <t>Online meeting of SPED and Regular Teachers RE: Proposed Actions for the REgional Implementation of SPED</t>
  </si>
  <si>
    <t>CONC./IMPVT.OF BRGY.LOURDES ROAD (PORTION AFTER THE BRIDGE)     2SAIP20-8000-C1a7</t>
  </si>
  <si>
    <t>Site Development at Centro Organico - Phase III (Improvement of Centro Diwa) at San Vicente, Tarlac City - B-CW-2020-025</t>
  </si>
  <si>
    <t>Construction of Covered Court Stage</t>
  </si>
  <si>
    <t>PROCUREMENT OF OFFICE SUPPLIES FOR LEARNING MODULES</t>
  </si>
  <si>
    <t>Improvement of IT Center at Tibag, Tarlac City - B-CW-2020-024</t>
  </si>
  <si>
    <t>Purchase of two (2) units Split Type Airconditioning Unit for Barangay Manipis, Talisay City, Cebu</t>
  </si>
  <si>
    <t>AB BDF 2020 CLEAN AND BEAUTIFICATION PROJECT- SUPPLIES,DEVICES AND GENERAL MERCHANDISE</t>
  </si>
  <si>
    <t>AB C'O 2020 PROJECT, PURCHASE OF MOTORCYCLE ONLY - SUPPLIES DEVICES AND GENERAL MERCHANDISE</t>
  </si>
  <si>
    <t>Supply &amp; Delivery of Bangus Fingerlings</t>
  </si>
  <si>
    <t>Improvement of Concepcion District Hospital at Brgy. Alfonso, Concepcion, Tarlac - B-CW-2020-030</t>
  </si>
  <si>
    <t>Concreting of Road at Brgy. Lilibangan, Concepcion, Tarlac - B-CW-2020-028</t>
  </si>
  <si>
    <t>NP 2020-29 (Request for Quotation) SUPPLY AND DELIVERY OF TRAFFIC CONES, BARRIERS AND BOLLARDS C/O CEO</t>
  </si>
  <si>
    <t>Procurement of NVBSP Collaterals</t>
  </si>
  <si>
    <t>RFQ 2020-06-024 - PR 2020-06-032 - For use in the operations of Maintenance Section</t>
  </si>
  <si>
    <t>Improvement of Multi Purpose Building at Parang, Calapan City</t>
  </si>
  <si>
    <t>Request for Quotation for Utility Vehicle</t>
  </si>
  <si>
    <t>Procurement of Malaria Test Kit (Antigen Assay) with Machine Tie-up under IB No. 2020-226</t>
  </si>
  <si>
    <t>NP 2020-18 (Request for Quotation) SUPPLY AND DELIVERY OF FOUR (4) UNITS SERVICE VEHICLES C/O CEO</t>
  </si>
  <si>
    <t>Procurement of 100 Watts LED Adjustable Lights</t>
  </si>
  <si>
    <t>20GLH0014 (P.R. No. 2020-06-030 dated 06/10/2020) - For use in Maintenance Section in connection with repair/maintenance of National Roads, 3rd Congressional District, Davao City</t>
  </si>
  <si>
    <t>Supply and Delivery of Various Brand New Tires</t>
  </si>
  <si>
    <t>Procurement of Drugs and Medicines (Mayor's Office)</t>
  </si>
  <si>
    <t>ITB NO. GOP/20-DSWD-033-A: Provision of Multi-Year Contract for the Procurement of Fuel for DSWD Vehicles Using Fleet Card Distributor/ Credit Facility for CY 2020-2022</t>
  </si>
  <si>
    <t>Supply of Labor And Materials For The Development Of Deployable And Collapsible Food Hub Including Fabrication Of Chassis Components, Food Hub Framing, Electrical and Automation Works-Rebidding</t>
  </si>
  <si>
    <t>Concreting of Road at Brgy. Bobon 2nd, Camiling, Tarlac - B-CW-2020-027</t>
  </si>
  <si>
    <t>Improvement of IT Park II and Dormitory (Landscaping Works at IT Park II) at IT Park II, Tibag, Tarlac City - B-CW-2020-029</t>
  </si>
  <si>
    <t>Supply &amp; Delivery of Two Units Rescue Vehicle</t>
  </si>
  <si>
    <t>PURCHASE OF 12 UNIT CELLPHONES</t>
  </si>
  <si>
    <t>20GLH0015 (P.R. No. 2020-06-031 dated 06/10/2020) - Repair/Rehabilitation/Improvement of Concrete Pavement along Calinan-Baguio-Cadalian Road (71X-Asphalt Overlay) (Materials Only)</t>
  </si>
  <si>
    <t>Procurement of INFRASTRUCTURE PROJECTS  CONSTRUCTION OF CHILD DEVELOPMENT CENTER</t>
  </si>
  <si>
    <t>PB 2020-03 (INFRA) Supply and Installation of the Two (2) Assembly Brand New Modular/Scalable 200 KVA Uninterruptible Power Supply (UPS) each connected in N+1 Configuration including Cables/Feeders, P</t>
  </si>
  <si>
    <t>Supply of Labor &amp; Materials for Establishment of Two Storey Cantilan Emergency Operation Center with Accessories</t>
  </si>
  <si>
    <t>Procurement of Test Paper</t>
  </si>
  <si>
    <t>Improvement of IT Park II and Dormitory (Installation of Tiles of Stairway) at IT Park II, Tibag, Tarlac City - B-CW-2020-031</t>
  </si>
  <si>
    <t>PB 2020-02 (INFRA) Supply and Installation of Two (2) Units Brand New PCB Free, 3,000 KVA Stepdown Transformer and Two (2) Units High Voltage Switchgears Including XLPE Cables at the Indoor Power Subs</t>
  </si>
  <si>
    <t>Purchase of Sixteen (16) unit Android Tablet with Back-up Charger (Battery Pack) for CBMS Program/Data Gathering</t>
  </si>
  <si>
    <t>CONCRETING OF BARANGAY STREET, Brgy. Cansangaya, Can-avid Eastern Samar</t>
  </si>
  <si>
    <t>One (1) Lot Preventive Maintenance of the Radio Communication System for BSP Head Office and Security Plant Complex, as per BSP Terms of Reference</t>
  </si>
  <si>
    <t>ITB-PURCHASE OF CONSTRUCTION MATERIALS FOR THE IMPROVEMENT OF BRGY. HEALTH CENTER PHASE III Project</t>
  </si>
  <si>
    <t>Invitaion to BId: Replacement of Old Productivity Equipement: Supply and Delivery of Computer Laptops for the Board of Investments</t>
  </si>
  <si>
    <t>Gravelling of Roads at Purok 1, 2 and 6 Brgy. Cabcabon, Butuan City</t>
  </si>
  <si>
    <t>Procurement of INFRASTRUCTURE PROJECTS  CONSTRUCTION OF PATHWAY</t>
  </si>
  <si>
    <t>CONSTRUCTION OF MULTI-PURPOSE BUILDING Phase-II(Procurement of Construction Materials)</t>
  </si>
  <si>
    <t>REHABILITATION OF COMMUNITY KITCHEN FOR EVACUATION CENTER AT BARANGAY HALL COMPOUND, BANGANAN, ARITAO, NUEVA VIZCAYA</t>
  </si>
  <si>
    <t>Procurement of Firetruck with Complete Accessories</t>
  </si>
  <si>
    <t>IMPROVEMENT OF BUCAY-MANABO ROAD</t>
  </si>
  <si>
    <t>CONCRETING OF BARANGAY STREET, Brgy. Balagon, Can-avid Eastern Samar</t>
  </si>
  <si>
    <t>ICT Equpments</t>
  </si>
  <si>
    <t>CONSTRUCTION OF SEPARATE PUBLIC TOILET FOR MEN &amp; WOMEN AT BARANGAY HALL COMPOUND, PUROK SAMPAGUITA, BANGANAN, ARITAO, NUEVA VIZCAYA</t>
  </si>
  <si>
    <t>UPLB-I-020-07-20 SUPPLY, DELIVERY, INSTALLATION, TESTING AND COMMISSIONING OF FIVE (5) AIRCONDITIONING UNITS AND TWO (2) UNITS AIR CURTAIN FOR OICA</t>
  </si>
  <si>
    <t>Purchase of Various Equipment</t>
  </si>
  <si>
    <t>Procurement of INFRASTRUCTURE PROJECTS  Construction of One Unit - Two Classroom  School Building</t>
  </si>
  <si>
    <t>Concreting of Road at Brgy. Cubcub, Capas, Tarlac - B-CW-2020-026</t>
  </si>
  <si>
    <t>Construction/Rehabilitation of Sidewalk, Various Purok, Barangay VII, Lucena City</t>
  </si>
  <si>
    <t>MOOE Request April to June 2020</t>
  </si>
  <si>
    <t>Purchase of Hand Tractor with Trailer</t>
  </si>
  <si>
    <t>Purchase of Supplies and Materials for Livelihood and Entrepreneurship Program</t>
  </si>
  <si>
    <t>PURCHASE OF HAND TRACTOR</t>
  </si>
  <si>
    <t>Preventive Maintenance Services for One (1) unit Digital Radiographic System P.R. No. 182 - SAH</t>
  </si>
  <si>
    <t>CONSTRUCTION OF PATHWAYS</t>
  </si>
  <si>
    <t>Purchase of Information and Communication Technology Equipment</t>
  </si>
  <si>
    <t>Purchase of Furniture and Fixture</t>
  </si>
  <si>
    <t>mooe 2020</t>
  </si>
  <si>
    <t>Purchase of Supplies and Materials for Mass Greening</t>
  </si>
  <si>
    <t>Supply and delivery of Laptop</t>
  </si>
  <si>
    <t>CONSTRUCTION OF TUGDAN SEAWALL</t>
  </si>
  <si>
    <t>REHABILITATION OF WATER SUPPLY SYSTEM</t>
  </si>
  <si>
    <t>cctv camera</t>
  </si>
  <si>
    <t>Construction of Acces Road (Pathway)</t>
  </si>
  <si>
    <t>Procurement of Personal Protective Equipment for MDRRMO</t>
  </si>
  <si>
    <t>Rehabilitation/Reconstruction/Upgrading of Damaged Paved National Roads, Famy-Real-Infanta-Dinahican Port Road, K0102+204-K0103+000</t>
  </si>
  <si>
    <t>ITB for PROCUREMENT OF SUPPLIES TO BE USED FOR MODULAR LEARNING 2020</t>
  </si>
  <si>
    <t>Supply and installation of Signages at the Leyte Division Office</t>
  </si>
  <si>
    <t>20BF0061: Construction of Legislative Building in Roxas, Isabela, Brgy. Rizal, Roxas, Isabela</t>
  </si>
  <si>
    <t>Construction/Repair/Rehabilitation/Improvement of various Infrastructure including Local Projects Multi-Purpose Facilities-Construction of Cagbalete Island Port, Mauban, Quezon</t>
  </si>
  <si>
    <t>CONSTRUCTION OF PATHWAYS PUROK 1 &amp; 3</t>
  </si>
  <si>
    <t>Construction of Multi-Purpose Building, Barangay Alupay, Sampaloc, Quezon</t>
  </si>
  <si>
    <t>TFB 19-304D Office Equipment and Furniture</t>
  </si>
  <si>
    <t>Construction of Maapon River Flood Control, Sampaloc, Quezon</t>
  </si>
  <si>
    <t>Purchase of Brand New Networking Accessories</t>
  </si>
  <si>
    <t>Upgrading of Barangay Sports Center.</t>
  </si>
  <si>
    <t>Purchase of Construction Materials for the Construction of Animal Crossing and Walkway</t>
  </si>
  <si>
    <t>Fabrication, Accession of Furniture and Fixtures</t>
  </si>
  <si>
    <t>Concreting/Construction of Local Road, Barangay Kanlurang Domoit-Calumpang Road, Tayabas City-Quezon</t>
  </si>
  <si>
    <t>CONSTRUCTION OF PATHWAYS PUROK 1B</t>
  </si>
  <si>
    <t>Materials for Office Supplies, Refill of Fire Extinguisher and Generator</t>
  </si>
  <si>
    <t>Fabrication/Installation of Floating Dock (Pontoon)</t>
  </si>
  <si>
    <t>SVP of Office Supplies and Other Supplies and Materials for 2020</t>
  </si>
  <si>
    <t>One (1) unit Contract for the Improvement of Multi-Purpose Building at Barangay Anitapan, Mabini, Davao De Oro</t>
  </si>
  <si>
    <t>20GID0017 - Supply and Delivery of AutoCAD/cIVIL 3D for use in Planning and Design Section of DPWH 2nd DEO, Carigara, LEyte</t>
  </si>
  <si>
    <t>Rehabilitation of Health Center Barangay Puspus</t>
  </si>
  <si>
    <t>Local Footbridge construction Phase 2 connecting Barangay Kauswagan and Barangay MacArthur, all in the municipality of Biri, Northern Samar</t>
  </si>
  <si>
    <t>20GID0018 - Supply and Delivery of 2 Desktop Computer for use in Planning and Design Section of DPWH 2nd DEO, Carigara, Leyte</t>
  </si>
  <si>
    <t>REHABILITATION OF DAY CARE CENTER AT SITIO POSTEMA, BARANGAY SAHUD-ULAN, TANZA CAVITE</t>
  </si>
  <si>
    <t>Purchase of Construction Materials for the Construction of MRF and Continuation of the Construction of Senior Citizens Building</t>
  </si>
  <si>
    <t>PROCUREMENT OF 1 LOT 4X2 CLOSED-VAN TYPE RESCUE VEHICLE</t>
  </si>
  <si>
    <t>Rehabilitation of Multi-Purpose Hall Barangay Pagdaraoan</t>
  </si>
  <si>
    <t>PB-20-326, Supply of Petroleum Products for Provincial Social Welfare and Development Office, Amas, Kidapawan City</t>
  </si>
  <si>
    <t>Supply and Delivery, Installation and Commissioning of One (1) Unit Brand New AC Diesel Generating Set and Standard Accessories</t>
  </si>
  <si>
    <t>PB-20-211, Supply &amp; Delivery of Engineering Laboratory Equipment for Provincial Engineer’s Office, Amas, Kidapawan City</t>
  </si>
  <si>
    <t>Procurement of AGRICULTURAL PRODUCTS (SEEDLINGS)</t>
  </si>
  <si>
    <t>Procurement Delivery of Various</t>
  </si>
  <si>
    <t>PB-20-345, Supply &amp; Delivery of IV Fluids for Pres. Roxas Provincial Community Hospital, Pres. Roxas, Cotabato</t>
  </si>
  <si>
    <t>PB-20-340, Supply &amp; Delivery of IV Fluids for Dr. Amado Diaz Provincial Foundation Hospital, Midsayap, Cotabato</t>
  </si>
  <si>
    <t>Other Supplies/Janitorial Supplies</t>
  </si>
  <si>
    <t>Purchase of Supplies and Materials for Sagip Batis</t>
  </si>
  <si>
    <t>Procurement of Anti-flu vaccines for the youth of Barangay Magallanes for CY 2020</t>
  </si>
  <si>
    <t>Installation of Rain Water Collectors</t>
  </si>
  <si>
    <t>PB-20-341, Supply &amp; Delivery of Medical Supplies for Dr. Amado Diaz Provincial Foundation Hospital, Midsayap, Cotabato</t>
  </si>
  <si>
    <t>Rehabilitation of Roads and Bridges for June 2020</t>
  </si>
  <si>
    <t>Proposed Construction of Seaweeds Multi-Purpose Building</t>
  </si>
  <si>
    <t>3120-20 Procurement of Medical, Dental and Laboratory Supplies</t>
  </si>
  <si>
    <t>PB-20-320, Supply &amp; Delivery of Vibrating Screen for Asphalt Plant, Pag-asa, Mlang, Cotabato</t>
  </si>
  <si>
    <t>3131-20 Procurement of Drugs and Medicines</t>
  </si>
  <si>
    <t>Supply, Delivery &amp; Testing of One (1) Unit 50kva Brand New Diesel Generator Set</t>
  </si>
  <si>
    <t>Construction/Improvement of Water System (Construction of Additional Intake Box)</t>
  </si>
  <si>
    <t>Construction of 1 Unit Community Learning Center</t>
  </si>
  <si>
    <t>3119-20 Procurement of Medical, Dental and Laboratory Supplies</t>
  </si>
  <si>
    <t>PB-20-248, Supply &amp; Delivery of Food Processing Equipment to be given to Coffee and Cacao qualified planters in the Province of Cotabato</t>
  </si>
  <si>
    <t>Purchase of Materials for Installation of Street Lighting</t>
  </si>
  <si>
    <t>Purchase of One (1) Unit Ambulance/Emergency Medical Transport</t>
  </si>
  <si>
    <t>20IK0098- Const. of Modified Design w/ Parapet of 4- Storey, Twenty (20)Cl. School Bldg., Catbalogan II Central Elem. School, Catbalogan City</t>
  </si>
  <si>
    <t>3118-20 Procurement of Medical, Dental and Laboratory Supplies</t>
  </si>
  <si>
    <t>Construction of Talipapa public market with two (2) Comfort rooms</t>
  </si>
  <si>
    <t>Procurement of Medicines &amp; Medical Supplies PR # 2020-06-15-193</t>
  </si>
  <si>
    <t>Invitation to Apply for Eligibility and to Bid for the Construction of Construction of One (1) Storey, 474 Square  Meters DRRM Building</t>
  </si>
  <si>
    <t>CONSTRUCTION OF PERIMETER FENCE &amp; BLENCHERS OF MULTI-PURPOSE PAVEMENT</t>
  </si>
  <si>
    <t>For Municipal Crisis Intervention Center</t>
  </si>
  <si>
    <t>20GG00019 - Procurement of Office Furniture for use in the Planning and Design Division, DPWH Regional Office VI, Iloilo City</t>
  </si>
  <si>
    <t>2506-20 Procurement of Other Supplies</t>
  </si>
  <si>
    <t>2300-20 Procurement of Other Supplies</t>
  </si>
  <si>
    <t>2571-20 Procurement of Assorted Fertilizers</t>
  </si>
  <si>
    <t>2290-20 Procurement of Other Supplies</t>
  </si>
  <si>
    <t>2232-20 Purchase of Other Supplies</t>
  </si>
  <si>
    <t>2481-20 Procurement of Assorted Vegetable Seeds</t>
  </si>
  <si>
    <t>2269-20 Procurement of Other Supplies</t>
  </si>
  <si>
    <t>CONSTRUCTION OF DRAINAGE CANAL Portion along Osmeña Street (Kalye Daku)</t>
  </si>
  <si>
    <t>Installation of Solar Panel in Barangay Health Facility</t>
  </si>
  <si>
    <t>Tires for MEO Heavy Equipment</t>
  </si>
  <si>
    <t>1122-20 Purchase of Office Supplies</t>
  </si>
  <si>
    <t>Procurement of Consulting Services for the Consumer Insights Survey of Target Markets</t>
  </si>
  <si>
    <t>Concreting of Barangay Road, Phase I</t>
  </si>
  <si>
    <t>2267-20 Procurement of Assorted Fertilizer</t>
  </si>
  <si>
    <t>INVITATION TO BID FOR THE SUPPLY AND DELIVERY OF VARIOUS CONSTRUCTION MATERIALS AND SUPPLIES FOR THE REPAIR AND CONSTRUCTION OF GARLIC-RELATED FACILITIES</t>
  </si>
  <si>
    <t>PROCUREMENT OF PROVINCIAL VALUE CHAIN SPECIALIST (PROVINCE OF ZAMBOANGA DEL SUR)</t>
  </si>
  <si>
    <t>2242-20 Purchase of Agricultural and Forestry Equipment</t>
  </si>
  <si>
    <t>CONCRETING OF BARANGAY STREET, Brgy. Boco, Can-avid Eastern Samar</t>
  </si>
  <si>
    <t>2285-20 Procurement of Coffee Seeds</t>
  </si>
  <si>
    <t>Construction of Fence</t>
  </si>
  <si>
    <t>Construction of Lumangbayan Barangay Road</t>
  </si>
  <si>
    <t>INSTALLATION AND UPGRADE OF NORSU ICT DATABASE CENTER INFRASTRUCTURE FOR NORSU MAIN CAMPUSES I &amp; II</t>
  </si>
  <si>
    <t>ProcuConcreting of Barangay Road</t>
  </si>
  <si>
    <t>Supply and Delivery of UGT (Upper Ground Tank) for Fuel</t>
  </si>
  <si>
    <t>2020-159-I PROCUREMENT AND SUBSCRIPTION OF INTERNET CONNECTIVITY FOR THE PERIOD OF JUNE TO DECEMBER 2020</t>
  </si>
  <si>
    <t>Supply and Delivery of Materials for the Construction of Concrete Canal (Additional Works)</t>
  </si>
  <si>
    <t>Supply and Delivery of Goods for Day Care Children of Abra de Ilog, Occ. Mindoro</t>
  </si>
  <si>
    <t>Supply and Delivery of Materials for the Construction of Barangay Multi-Purpose Hall, Sta. Maria</t>
  </si>
  <si>
    <t>2020-06-0108 - PROCUREMENT OF INFORMATION TECHNOLOGY PARTS &amp; ACCESSORIES FOR USE AT THE PLANNING AND DESIGN SECTION (1ST QUARTER).</t>
  </si>
  <si>
    <t>Purchase of Ten (10) units Handheld Radio</t>
  </si>
  <si>
    <t>PROCUREMENT OF ONE (1) UNIT SURPLUS ELF TRUCK (16 FT)</t>
  </si>
  <si>
    <t>Purchase of Petroleum, Oil and Lubricants for MO, SBO, MENRO and MTO use</t>
  </si>
  <si>
    <t>Purchase of Office Furniture</t>
  </si>
  <si>
    <t>INSTALLATION OF SOLAR POWERED INTEGRATED LED STREET LIGHTING</t>
  </si>
  <si>
    <t>Office Supplies &amp; Other Supplies - Office of the City Mayor (Tourism Section)</t>
  </si>
  <si>
    <t>Office Supplies (Various Offices)</t>
  </si>
  <si>
    <t>Installation of 7 units of 2.5HP split type air conditioner</t>
  </si>
  <si>
    <t>Purchase of Materials for the Various Barangay Projects</t>
  </si>
  <si>
    <t>Delivery and Supply of medical,Dental &amp; Laboratory Supplies</t>
  </si>
  <si>
    <t xml:space="preserve">20GID0019 - Supply and Delivery of 7.50 R16 Tire and 5.50F16 Tire Rim for use in replacement of worn out parts of Coaster Bus with Plate No SJZ-320 assigned at Adminsitrative Section of DPWH 2nd DEO, </t>
  </si>
  <si>
    <t>Sports Equipment- Fiber Glass Boards</t>
  </si>
  <si>
    <t>2253-20 Purchase of Other Supplies</t>
  </si>
  <si>
    <t>One (1) lot Supply, Delivery and Installation of Multi-Layered Ballistic Resistant Glass for five (5) units Ford F550 Escort Vans, as per BSP Terms of Reference</t>
  </si>
  <si>
    <t>Procurement and Delivery of One (1) Unit Brand New Motorcycle.</t>
  </si>
  <si>
    <t>Supply and Delivery of Common Office Supplies and Equipment for 1st Semester of CY 2020-DENR1</t>
  </si>
  <si>
    <t>Pipe Laying of 6" Diameter Water Line at San Antonio, Bacolor, Pampanga</t>
  </si>
  <si>
    <t>Supply and Delivery of ICT Supplies and Consumables for 1st Semester of CY 2020-DENR-1</t>
  </si>
  <si>
    <t>VHSES</t>
  </si>
  <si>
    <t>CONSTRUCTION OF PATHWAYS PUROK 5 &amp; 7</t>
  </si>
  <si>
    <t>REQUEST FOR QUOTATION OF ONE (1) UNIT OF VACUUM PACK SEALER</t>
  </si>
  <si>
    <t>CONSTRUCTION OF 3 ROOM TEMPORARY SCHOOL BLDG. at CRS Bagacay, Tacloban City</t>
  </si>
  <si>
    <t>20GID0020 - Supply and Delivery of Diesel Fuel for operational use of service vehicle with Plate # BOZ-493 assigned at Administrative Section of DPWH 2nd DEO, Carigara, Leyte</t>
  </si>
  <si>
    <t>Supply and Delivery of Various Soap Production Requirements of the Davao and Cagayan Valley Herbal Processing Plants</t>
  </si>
  <si>
    <t>Procurement of Laboratory Equipment for the Aviation Maintenance Department of the College of Industrial Technology NORSU Main Campus (Negotiated)</t>
  </si>
  <si>
    <t>Catering Services  PR # 2020-06-18-205</t>
  </si>
  <si>
    <t>PB-20-047, Supply &amp; Delivery of Swine for distribution to qualified beneficiaries provincewide</t>
  </si>
  <si>
    <t>Procurement of Electrical Supplies PR # 2020-06-23-210</t>
  </si>
  <si>
    <t>Procurement of Fabricated Office Equipment PR # 2020-06-19-206</t>
  </si>
  <si>
    <t>Procurement of Wheelchair &amp; Reading Glasses PR # 2020-06-23-209</t>
  </si>
  <si>
    <t>Construction of Open Drainage Canal</t>
  </si>
  <si>
    <t>Procurement of IT Equipment PR # 2020-06-17-203</t>
  </si>
  <si>
    <t>PROCUREMENT OF ONE (1) UNIT SURPLUS DUMP TRUCK</t>
  </si>
  <si>
    <t>Procurement of IT Equipment PR # 2020-06-19-206</t>
  </si>
  <si>
    <t>Procurement of Office Equipment PR # 2020-06-19-206</t>
  </si>
  <si>
    <t>20KA0097 (Readvertisement) Construction of one (1) Storey two (2) Classroom School Building,  Apo Macote National High School, Malaybalay City, Bukidnon (School ID: 325505) Brgy. Apo Macote, Malaybala</t>
  </si>
  <si>
    <t>Procurement of Office Supplies  PR # 2020-06-27-207</t>
  </si>
  <si>
    <t>CONCRETING OF BARANGAY STREET, Brgy. Rawis, Can-avid Eastern Samar</t>
  </si>
  <si>
    <t>Procurement of Animal/Zoological Supplies (Dog Vaccines) for Agriculture Office of LGU-Naga</t>
  </si>
  <si>
    <t>IMPROVEMENT OF BARANGAY COVERED COURT, BRGY. MAGTANGTANG</t>
  </si>
  <si>
    <t>IMPROVEMENT / REHABILITATION OF LOCAL ACCESS ROAD OF BARANGAY HIBALE</t>
  </si>
  <si>
    <t>Repair and Maintenance of Sportivo (SUV Plate No. SHE 433)</t>
  </si>
  <si>
    <t>CID No. 20OD0203 - Construction of Box Culvert at Brgy. Marulas, Valenzuela City</t>
  </si>
  <si>
    <t>IMPROVEMENT / REHABILITATION OF LOCAL ACCESS ROAD FROM SAN CARLOS TO DAGOHOY ROAD</t>
  </si>
  <si>
    <t>Purchase of spray Chemical for Mosquito</t>
  </si>
  <si>
    <t>2nd PUBLIC BIDDING FOR LOT 1 OF THE PROCUREMENT OF  RANDOM ACCESS MEMORY AND VARIOUS DATA STORAGE DEVICES</t>
  </si>
  <si>
    <t>CID No. 20OD0200 - Improvement of Roads and Drainage along Nadurata Street, Caloocan City</t>
  </si>
  <si>
    <t>School Medical Supplies</t>
  </si>
  <si>
    <t>Improvement of Multi-Purpose Building</t>
  </si>
  <si>
    <t>SUPPLY DELIVERY OF JANITORIAL AND OTHER SUPPLIES</t>
  </si>
  <si>
    <t>Road Concreting at Zone 6</t>
  </si>
  <si>
    <t>MALIMPIN 04-2020 - construction of mini-park phase1</t>
  </si>
  <si>
    <t>Construction of Pathwalk/Pathway</t>
  </si>
  <si>
    <t>CONSTRUCTION OF CONCRETE FENCE @ PADDIG ES (PHASE II)</t>
  </si>
  <si>
    <t>CONSTRUCTION OF CALAOAN MULTI PURPOSE BUILDING BUILING (PHASE I)</t>
  </si>
  <si>
    <t>20DF0191 (By Contract) - Construction/Rehabilitation of Water Supply/Septage and Sewerage/Rain Water Collectors –  Rain Water Collectors in Public Facilities</t>
  </si>
  <si>
    <t>Road Concreting, Bacalso Purok 8, Brgy. Catalunan Pequeño, Talomo District, Davao City</t>
  </si>
  <si>
    <t>Improvement of Admission Office, Waiting Area and Generator House</t>
  </si>
  <si>
    <t>REHABILITATION OF MUTI-PURPOSE DRYING PAVEMENT AT PUROK 3 MANAG E/S</t>
  </si>
  <si>
    <t>Expansion of Potable Water System Level II</t>
  </si>
  <si>
    <t>IMPROVEMENT OF SACPIL NATIONAL HIGH SCHOOL ACCESS ROAD</t>
  </si>
  <si>
    <t>Drainage System Improvement at Limousine St. At Purok Bulakan, Brgy. Wilfredo Aquino, Agdao District, Davao City</t>
  </si>
  <si>
    <t>REHBILITATION OF WATER SYSTEM</t>
  </si>
  <si>
    <t>IMPROVEMENT OF MULTI-PURPOSE BUILDING (GYMNASIUM)</t>
  </si>
  <si>
    <t>Supply and Delivery of 23 units 8.0 inch tablet w/Pen 2019 Edition</t>
  </si>
  <si>
    <t>Improvements of Barangay Health Center</t>
  </si>
  <si>
    <t>IMPROVEMENT OF FAR-TO-MARKET ROAD @ SITIO APAYA, ALLANGIGAN</t>
  </si>
  <si>
    <t>SUPPLY DELIVERY OF ICT and OFFICE EQUIPMENT</t>
  </si>
  <si>
    <t>Purchase of Spare Parts for the Preventive Maintenance of the different Machineries of MEO</t>
  </si>
  <si>
    <t>Umblical Cable</t>
  </si>
  <si>
    <t>Supply, Delivery and Configuration of Unified Threat Management Devices</t>
  </si>
  <si>
    <t>Supply, Deliver, Provision, Configuration of CTU Online Platform Subscription</t>
  </si>
  <si>
    <t>NOTICE TO CONDUCT FOR  PROCUREMENT OF LOT # 3 AND LOT # 4 OF REPAIR AND MAINTENANCE MATERIALS FOR BALINGASAG WATER DISTRICT</t>
  </si>
  <si>
    <t>INVITATION TO BID FOR SUPPLY AND DELIVERY FOR SK E-LEARNING CENTER EQUIPMENT'S</t>
  </si>
  <si>
    <t>nyg2020-05</t>
  </si>
  <si>
    <t>nyg2020-04</t>
  </si>
  <si>
    <t>Procurement of M16 Rifle Magazine</t>
  </si>
  <si>
    <t>IMROVEMENT OF MANAG TO SIMUD FMR</t>
  </si>
  <si>
    <t>Flood Control Program/Projects(Riprapping)</t>
  </si>
  <si>
    <t>CONSTRUCTION OF COVERED DRAINAGE CANAL (PHASE 2) AT BRGY BURABOD, VILLAREAL, SAMAR</t>
  </si>
  <si>
    <t>Civil Engineering Laboratory Equipment</t>
  </si>
  <si>
    <t>20CSJ003 - Consulting Services for the Sub-Surface Exploration Thru Calyx Drilling and Laboratory Works/Analysis for Replacement of Nine (9) Bridges for Sulu 1st BARMM</t>
  </si>
  <si>
    <t>20CSJ002 - Consulting Services for the Sub-Surface Exploration Thru Calyx Drilling and Laboratory Works/Analysis for Widening of Five Bridges for Sulu 2nd, BARMM</t>
  </si>
  <si>
    <t>19CSJ013 - Sub-Surface Exploration Thru Calyx Drilling and Laboratory Works/Analysis for the Construction of Two (2) Bridges and One (1) Multi-Purpose Building for Region IX</t>
  </si>
  <si>
    <t>Proposed Basketball Court Flooring</t>
  </si>
  <si>
    <t>CONSTRUCTION OF DRAINAGE SYSTEM  - PROCUREMENT OF MATERIALS</t>
  </si>
  <si>
    <t>Contract ID No. 20NC0134 - Construction of Local Road (Phase II), Brgy. Panagangan, La Paz, Agusan del Sur</t>
  </si>
  <si>
    <t>Consulting Services for the Relocation, Topographic and Subdivision Survey of Various LGU Owned Lots</t>
  </si>
  <si>
    <t>Procurement of M193 Ammunition</t>
  </si>
  <si>
    <t>Purchase of IT Equipments for the Different Schools at Labason District ,Labason,ZN :</t>
  </si>
  <si>
    <t>HO-WMD20-006 - Supply and Delivery of Shower Electric Water Heater and Stainless Steel Water Tank for Camarin Lake Resort, Cavinti, Laguna</t>
  </si>
  <si>
    <t>20KA0099 (Readvertisement) Construction of One (1) Storey Three (3) Classroom School Building, Dagat-Kidavao Integrated School, Valencia City, Bukidnon (School ID: 500703) Brgy. Dagat-Kidavao, Valenci</t>
  </si>
  <si>
    <t>One(1) unit contract: Labor &amp; Materials for the construction of  Public Stalls besides Public Terminal Four (4) units with Toilet, Mabini, Public Terminal Site, Cuambog, Mabini, Davao De Oro</t>
  </si>
  <si>
    <t>CIVIL WORKS FOR THE ROAD CONCRETING OF P-3, BRGY. STO. ROSARIO</t>
  </si>
  <si>
    <t>Contract ID No. 20NC0135 - Construction of Multi-Purpose Building, Brgy. San Francisco, Bunawan, Agusan del Sur</t>
  </si>
  <si>
    <t>CIVIL WORKS FOR THE COMPLETION OF ROAD CONCRETING OF TORRALBA-BUYAN ST. LEADING TO CUENCA AVE.</t>
  </si>
  <si>
    <t>IMPROVEMENT/ CONSTRUCTION OF DAKLAN POTABLE WATER SYSTEM , DAKLAN ,   BOKOD, BENGUET</t>
  </si>
  <si>
    <t>Electrical Engineering Science Laboratory Equipment</t>
  </si>
  <si>
    <t>Contract ID No. 20NC0136 - Construction of Multi-Purpose Building, Brgy. San Marcos, Bunawan, Agusan del Sur</t>
  </si>
  <si>
    <t>PROCUREMENT OF MICRO-INFRA PROJECTS CLUSTER 07-2020 (MDF 2020) NAWAL &amp; TIKEY, BOKOD, BENGUET</t>
  </si>
  <si>
    <t>SUPPLY AND DELIVERY OF MATERIALS - Improvement of Water System (2nd Notice)</t>
  </si>
  <si>
    <t>Office Furniture for 18 Negosyo Center sa Barangay</t>
  </si>
  <si>
    <t>Renovation of Evacuation Center at Balete Relocation Site, Batangas City</t>
  </si>
  <si>
    <t>Procurement of Various Materials for the Installation of Solar Street Lights</t>
  </si>
  <si>
    <t>20KA0098 (Readvertisement) Construction of One (1) Storey Three (3) Classroom School Building, Mabuhay Elementary School, Valencia City, Bukidnon (School ID: 126875) Brgy. Mabuhay, Valencia City, Buki</t>
  </si>
  <si>
    <t>ITB - Fertilizers (COB)</t>
  </si>
  <si>
    <t>PURCHASE OF MOTOR VEHICLE</t>
  </si>
  <si>
    <t>Purchase of Construction Materials for Renovation of Day Care Center at Malintuboan, Lab. ZN:</t>
  </si>
  <si>
    <t>PROCUREMENT OF COMMERCIAL RICE</t>
  </si>
  <si>
    <t>Supply and Delivery of Canon Ink (Black and Colored) for Canon Pixma TR4570S Printer</t>
  </si>
  <si>
    <t>Bid No. 20-0325 - PROCUREMENT OF JANITORIAL SUPPLIES - MENRO OPERATIONS</t>
  </si>
  <si>
    <t>Purchase of CCTV.</t>
  </si>
  <si>
    <t>PURCHASE OF F.O.L. FOR VARIOUS OFFICES</t>
  </si>
  <si>
    <t>Procurement-Supply &amp; Delivery of Fuel</t>
  </si>
  <si>
    <t>INSTALLATION OF STREETLIGHTS ALONG DIVERSION ROAD</t>
  </si>
  <si>
    <t>PROCUREMENT OF FARM INPUTS FOR FILP PROGRAM</t>
  </si>
  <si>
    <t>CCJE RADIO COMMUNICATION</t>
  </si>
  <si>
    <t>SUPPLY AND DELIVERY OF 1 LOT COMMON OFFICE SUPPLIES</t>
  </si>
  <si>
    <t>Procurement of Repair and Calibration of Electronic Injector of Ferry Boat 11 and Ferry Boat 10</t>
  </si>
  <si>
    <t>Supply and Delivery of Three (3) Units of Stainless Steel Propeller for the Repair and Calibration of Electronic Injector of Ferry Boat  11, 14, and 15</t>
  </si>
  <si>
    <t>Supply of Various Material for use in Repair and Rehabilitation of Infrastructure Facilities and other Related Activities – Repair and Maintenance of Road Safety Facilities within 1st District of Pamp</t>
  </si>
  <si>
    <t>DDN GDSI 2020-17</t>
  </si>
  <si>
    <t>Construction of Footbridge (Rebidding)</t>
  </si>
  <si>
    <t>Purchase of one (1) unit Vehicle</t>
  </si>
  <si>
    <t>Purchase of Office Supplies for SBO use</t>
  </si>
  <si>
    <t>PROCUREMENT OF MATERIALS FOR THE REPAIR/MAINTENANCE OF PARKS, PLAZAS &amp; MONUMENTS</t>
  </si>
  <si>
    <t>263 pax meals and Snacks</t>
  </si>
  <si>
    <t>SUPPLY AND DELIVERY OF PPE’S/GEAR FOR DRRM</t>
  </si>
  <si>
    <t>PROCUREMENT OF MATERIALS FOR THE ROAD CONCRETING OF BRGY. OWAK</t>
  </si>
  <si>
    <t>Bid No. 20-0328 - PROCUREMENT OF OFFICE SUPPLIES - MO/TOURISM (INVESTMENT &amp; PROMOTION PROGRAM)</t>
  </si>
  <si>
    <t>PURCHASE OF FURNITURE &amp; FIXTURES</t>
  </si>
  <si>
    <t>Procurement of Food Stuff for Welfare Goods Expense due to COVID-19</t>
  </si>
  <si>
    <t>Bid No. 20-0324 - PROCUREMENT OF JANITORIAL SUPPLIES - MO/MCOW SECTION</t>
  </si>
  <si>
    <t>Rehabilitation of Farm to Market Road</t>
  </si>
  <si>
    <t>Tall Cabinet, etc.</t>
  </si>
  <si>
    <t>SUPPLY AND DELIVERY OF COMPUTER</t>
  </si>
  <si>
    <t>Purchase of Various Electrical Supplies to be Used for the Rehabilitation of Street Lights at Mabini Street</t>
  </si>
  <si>
    <t>Labor and Materials for the Development of Eco-Park Phase I(Embankment) at Lara, City of San Fernando, Pampanga</t>
  </si>
  <si>
    <t>Bid No. 20-0327 - PROCUREMENT OF OFFICE SUPPLIES - MENRO OPERATIONS</t>
  </si>
  <si>
    <t>DDN GDSI 2020-18</t>
  </si>
  <si>
    <t>Bid No. 20-0326 - PROCUREMENT OF OFFICE SUPPLIES - MENRO OPERATIONS (MINING DEVELOPMENT AND MANAGEMENT PROGRAM)</t>
  </si>
  <si>
    <t>INSTALLATION OF STAINLESS STEEL RAILINGS</t>
  </si>
  <si>
    <t>Purchase of Office Equipments</t>
  </si>
  <si>
    <t>Labor and Materials for the Construction of Underground Powerlines at City Civic Center, San Isidro, City of San Fernando, Pampanga</t>
  </si>
  <si>
    <t>Construction of Drainage Canal, Upper Banks to Tawi-Tawi, Barangay Poro</t>
  </si>
  <si>
    <t>Catering Services Batch 2</t>
  </si>
  <si>
    <t>Supply/Delivery of Grocery Item for Relief Packs to be given to Senior Citizen. (PR # 20-06-0636)</t>
  </si>
  <si>
    <t>1,000 sachet Fabric conditioner</t>
  </si>
  <si>
    <t>Bid No. 20-0330 - PROCUREMENT OF OFFICE SUPPLIES - MO/DXLM SECTION</t>
  </si>
  <si>
    <t>PURCHASE OF MINI-DUMPTRUCK</t>
  </si>
  <si>
    <t>DDN GDSI 2020-16</t>
  </si>
  <si>
    <t>Labor and Materials for the Improvement/Embankment of Civic Center Parking at San Isidro, City of San Fernando, Pampanga</t>
  </si>
  <si>
    <t>DDN GDSI 2020-21</t>
  </si>
  <si>
    <t>Construction of Cabaroan Diversion Dam, Phase-II</t>
  </si>
  <si>
    <t>DDN GDSI 2020-19</t>
  </si>
  <si>
    <t>Labor and Materials for the Improvement of Road at Dolores, City of San Fernando, Pampanga</t>
  </si>
  <si>
    <t>Office chair</t>
  </si>
  <si>
    <t>DDN GDSI 2020-20</t>
  </si>
  <si>
    <t>DDN GDSI 2020-22</t>
  </si>
  <si>
    <t>Construction of Alukon Diversion Dam, Phase-II</t>
  </si>
  <si>
    <t>Procurement-Supply &amp; Delivery of School and Office Supplies</t>
  </si>
  <si>
    <t>Supply &amp; Delivery of Nutrition Supplement for Pregnant and Lactating Mothers</t>
  </si>
  <si>
    <t>CONSTRUCTION OF NALAY-AN PIS Located at Ambaguio, Nueva Vizcaya</t>
  </si>
  <si>
    <t>Purchase of Office Supplies for various Offices use</t>
  </si>
  <si>
    <t>Labor and Materials for the Installation of 10m x 10m x 4m Bamboo Frame Cage with Net Top Cover</t>
  </si>
  <si>
    <t>30 reams Bond paper long</t>
  </si>
  <si>
    <t>SUPPLY AND DELIVERY OF EMBROIDERY MACHINE &amp; SUPPLIES FOR DTI-BUB EMBROIDERY MACHINE TRAINING</t>
  </si>
  <si>
    <t>Construction and Renovation of Teen Center, Barangay Poro</t>
  </si>
  <si>
    <t>Purchase of Pneumonia Vaccine for Barangay Constituents</t>
  </si>
  <si>
    <t>Bid No. 20-0333 - PROCUREMENT OF OFFICE SUPPLIES - MPDO/PMC OPERATIONS</t>
  </si>
  <si>
    <t>Construction &amp; Repair of Brgy. Road</t>
  </si>
  <si>
    <t>Bid No. 20-0332 - PROCUREMENT OF OFFICE SUPPLIES - MEEDO/MAETC</t>
  </si>
  <si>
    <t>S1-JPR20-008 SUPPLY AND DELIVERY OF GENERAL PLANT EQUIPMENT (GPE) FOR JP RIZAL DPP.</t>
  </si>
  <si>
    <t>DDN GDSI 2020-25</t>
  </si>
  <si>
    <t>Labor and Materials for the Construction of Day Care Center in Maimpis, City of San Fernando, Pampanga</t>
  </si>
  <si>
    <t>Procurement-Supply &amp; Delivery of Printed T-Shirts &amp; Tarpaulin</t>
  </si>
  <si>
    <t>Purchase of Token Mugs for LGU Employees</t>
  </si>
  <si>
    <t>Bid No. 20-0334 - PROCUREMENT OF JANITORIAL SUPPLIES - BAC SECRETARIAT OFFICE</t>
  </si>
  <si>
    <t>Bid No. 20-0331 - PROCUREMENT OF OFFICE SUPPLIES - MO/MCOW SECTION</t>
  </si>
  <si>
    <t>Repair and maintenance of dump truck assigned to CENRD</t>
  </si>
  <si>
    <t>Labor and Materials for the Improvement/Construction of Road at Del Rosario, City of San Fernando, Pampanga</t>
  </si>
  <si>
    <t>50 reams Mimeograhing paper, legal size</t>
  </si>
  <si>
    <t>Provision of Food &amp; venue for 60 persons in the Joint Local Finance Committee, Department Heads &amp; Leyte Economics Team Coordination Meeting on July 13, 20-20 @ Candahug, Palo, Leyte. ABC PHP65,000.00</t>
  </si>
  <si>
    <t>Construction Materials for the Rehabilitation of Brgy. Basketball Court @ Guindacpan, Talibon, Bohol</t>
  </si>
  <si>
    <t>Purchase of Varicella-Zoster Vaccine Live</t>
  </si>
  <si>
    <t>Purchas of Influenza Trivalent Vaccines for Barangay Constituents</t>
  </si>
  <si>
    <t>Construction Materials for the Concreting of Brgy. Road @ Purok 6, Bagacay, Talibon, Bohol</t>
  </si>
  <si>
    <t>Construction of Multi-purpose Hall (Phase 2)</t>
  </si>
  <si>
    <t>Bid No. 20-0336 - PROCUREMENT OF OFFICE EQUIPMENT - MENRO OPERATIONS</t>
  </si>
  <si>
    <t>Construction of Retaining Wall</t>
  </si>
  <si>
    <t>INSTALLATION/REHABILITATION OF STREETLIGHTS – NATIONAL HIGHWAY</t>
  </si>
  <si>
    <t>100 pcs. Printed T-shirt</t>
  </si>
  <si>
    <t>ITB for Additional Office Supplies for 2020</t>
  </si>
  <si>
    <t>Bid No. 20-0335 - PROCUREMENT OF OFFICE EQUIPMENT - MO/TOURISM SECTION</t>
  </si>
  <si>
    <t>Repair and maintenance of outboard motor - CPSD</t>
  </si>
  <si>
    <t>RFQ No. 20-06-056 - Purchase of Office Supplies for the 1st and 2nd Quarter</t>
  </si>
  <si>
    <t>Improvement of Holding Area of PENRO Camarines Sur (COVID 19 Protocol)</t>
  </si>
  <si>
    <t>Purchase of Portable Handheld Radio</t>
  </si>
  <si>
    <t>Purchase of Sofa for OMA use</t>
  </si>
  <si>
    <t>Procurement of Materials for the Construction of Canal Cover, Barangay Quirino, Tagudin, Ilocos Sur</t>
  </si>
  <si>
    <t>improvement of daycare center</t>
  </si>
  <si>
    <t>Purchase of Body Camera for Tanod/Bantay-Bayan use</t>
  </si>
  <si>
    <t>Bid No. 20-0337 - PROCUREMENT OF OFFICE SUPPLIES - MACCO OPERATIONS FOR THE 2ND QTR.</t>
  </si>
  <si>
    <t>Procurement of Meals &amp; 2 Snacks For the Participants of Health Summit &amp; Buntis Congress 2020</t>
  </si>
  <si>
    <t>Rehabilitation of Water System, Uson</t>
  </si>
  <si>
    <t>Procurement of Hardware and Construction Supplies for CASAY</t>
  </si>
  <si>
    <t>REHABILITATION OF MPBLDG FOR VAWC/BCPC OFFICE</t>
  </si>
  <si>
    <t>Bid No. 20-0329 - PROCUREMENT OF OFFICE EQUIPMENT - MO/HRDP SECTION</t>
  </si>
  <si>
    <t>Measuring tape, etc.</t>
  </si>
  <si>
    <t>CONTINUATION OF FABRICATION OF CANAL GRILLS</t>
  </si>
  <si>
    <t>Office chair and Visitor's chair</t>
  </si>
  <si>
    <t>Bid No. 20-0338 - PROCUREMENT OF OFFICE EQUIPMENT - SB/LEGISLATIVE SECTION</t>
  </si>
  <si>
    <t>CONSTRUCTION OF SLOPE POTECTION ON CRITCAL AREAS AT GAWAD KALINGA HOUSING SITE</t>
  </si>
  <si>
    <t>Shelf/Cabinet</t>
  </si>
  <si>
    <t>Improvement of Drainage Canal</t>
  </si>
  <si>
    <t>Procurement of Tractor Implement Harrow And Discplow for Agriculture Office</t>
  </si>
  <si>
    <t>IMPROVEMENT OF CABACAB-BILA ROAD, BALILI, MANKAYAN, BENGUET</t>
  </si>
  <si>
    <t>Construction of Intake Box &amp; Water Distribution Line, Uson</t>
  </si>
  <si>
    <t>DDN GDSI 2020-24</t>
  </si>
  <si>
    <t>Procurement-Supply &amp; Delivery of Hardware Materials</t>
  </si>
  <si>
    <t>PURCHASE AND DELIVERY OF IT EQUIPMENTS</t>
  </si>
  <si>
    <t>Spare Parts (Tire, Batteries &amp; Other Parts) for various motorcycles of MASSO</t>
  </si>
  <si>
    <t>DDN GDSI 2020-23</t>
  </si>
  <si>
    <t>ON-GOING CONSTRUCTION OF MULTI-PURPOSE HALL</t>
  </si>
  <si>
    <t>Rehabilitation of Fish Sanctuary, Brgy. Uson</t>
  </si>
  <si>
    <t>For use in operation of L-300, Toyota Hilux AAG 1146, backhoe 02, DT 08, Payloader 03, DT 03, assigned at City Engineer's Office.</t>
  </si>
  <si>
    <t>Supply and Delivery of Common Used Office Supplies for the year 2020 to be used by CadminO - City Market Operation Division, CAVO, CGSO – MPD, CGSO – PMD, CGSO – PSMD, CGSO – RAMD, CGSO – RMAD, CGSO –</t>
  </si>
  <si>
    <t>For use in operation of DT-10, STRADA BIX-804, BOOM TRUCK, DT-7,8 &amp; 3, PRIME MOVER,TOYOTA HILUX AAG-1145 &amp;DT 01 assigned at CityEngineer's Office.</t>
  </si>
  <si>
    <t>For use in the operation of various City Equipment assigned in the City Engineer's Office.</t>
  </si>
  <si>
    <t>SUPPLY AND DELIVERY OF VARIOUS MECHANICAL SPARE PARTS FOR 163 KW PERKINS INTENDED FOR CALUYA DPP</t>
  </si>
  <si>
    <t>REQUEST FOR QUOTATION OF SCHOOL AND OFFICE SUPPLIES</t>
  </si>
  <si>
    <t>Purchase of Construction Materials and Supply for use of Ceiling Maintenance of Various Offices in the City Hall of Silay City in Preparation for Rainy Season.</t>
  </si>
  <si>
    <t>7 rms Book paper long</t>
  </si>
  <si>
    <t>PUBLICATION OF MUNICIPAL ORDINANCE</t>
  </si>
  <si>
    <t>Purchase of Medical Supplies for use of GAD (Family Planning), City Health Office, Silay City.</t>
  </si>
  <si>
    <t>SUBM#2020 -07-01 - To purchase IT Equipment to be used in the Construction Section, DPWH, Negros Occidental 2nd District Engineering Office, Binalbagan Negros Occidental</t>
  </si>
  <si>
    <t>SUPPLY AND DELIVERY OF VARIOUS ELECTRICAL SPARE PARTS FOR 163KW PERKINS INTENDED FOR CALUYA DPP</t>
  </si>
  <si>
    <t>74374_Supply &amp; Delivery of 1 unit Computer set w/ high specs</t>
  </si>
  <si>
    <t>Purchase of Laptop to be used of the Secretariat during the Local School Board, Silay City (REBID).</t>
  </si>
  <si>
    <t>Procurement of Subdivision Survey Project for Davao de Oro.</t>
  </si>
  <si>
    <t>Procurement of 900 pax Snack(1) under P.R No. 0586-2020- Mayor's Special Fund</t>
  </si>
  <si>
    <t>CONSTRUCTION OF ACCESS ROAD, P-6 BARANGAY CALAMBA, CABADBARAN CITY</t>
  </si>
  <si>
    <t>SUPPLY AND DELIVERY OF AGRICULTURAL PRODUCTS FOR FISHERFOLK BENEFICIARIES UNDER SPECIAL AREAS FOR AGRICULTURAL DEVELOPMENT (SAAD) PROGRAMS CY 2020 IN LANAO DEL NORTE</t>
  </si>
  <si>
    <t>IB 2020-07-21(07) Medical Equipment</t>
  </si>
  <si>
    <t>20FN0107 Construction of Two (2) Storey Four (4) Classroom School Building, San Miguel Elementary School, Bato, Camarines Sur</t>
  </si>
  <si>
    <t>Procurement-Supply &amp; Delivery of Office Supplies &amp; Equipment</t>
  </si>
  <si>
    <t>SUPPLY AND DELIVERY OF VARIOUS MECHANICAL SPARE PARTS FOR 300 KW CUMMINS INTENDED FOR GIGANTES DPP</t>
  </si>
  <si>
    <t>Procurement of Furniture &amp; fixture for 2nd Qtr. 2020</t>
  </si>
  <si>
    <t>Change Oil of Generator Set</t>
  </si>
  <si>
    <t>Materials for Livelihood Program for fisher folks (Fish Aggregating Device-Payao)</t>
  </si>
  <si>
    <t>INVITATION TO BID FOR SANITATION PROGRAM OF LGU, SAN FRANCISCO, CEBU.</t>
  </si>
  <si>
    <t>Procurement-Supply &amp; Delivery of Food Commodities</t>
  </si>
  <si>
    <t>Procurement of Motorized Boat with Complete Set of Gillnet</t>
  </si>
  <si>
    <t>Purchase of Four (4) units Motorcycle</t>
  </si>
  <si>
    <t>Labor and Materials for the Construction of Steel Gates and CHB Fence at Mansgold Cemetery, Sta. Lucia, City of San Fernando, Pampanga</t>
  </si>
  <si>
    <t>20KG0095: Concreting of Purok Sta. Cruz to Sitio Kaluwagan, Brgy. Inagongan FMR, Brgy. Inagongan, Tagoloan, Lanao del Norte, Sta.0+000-0+700</t>
  </si>
  <si>
    <t>PROGRAM FOR CALAMITY RELATED SUPPLIES AND MATERIALS</t>
  </si>
  <si>
    <t>Purchase of One Unit Rescue Vehicle</t>
  </si>
  <si>
    <t>Reactivation of Deepwell</t>
  </si>
  <si>
    <t>Spare parts and labor for different dump trucks used by CEPWD</t>
  </si>
  <si>
    <t>Supply and Delivery of Diesel-Fuel for Use of General Services Office</t>
  </si>
  <si>
    <t>SUPPLY AND DELIVERY OF VARIOUS ELECTRICAL SPARES FOR 163 KW PERKINS INTENTED FOR GUINTARCAN DPP</t>
  </si>
  <si>
    <t>Purchase of Supplies and Materials for Firetruck Garage</t>
  </si>
  <si>
    <t>Supply and delivery of Drugs and Medicines to be used by the various Birthing Station Services for the year 2020 in the City of San Fernando, Pampanga</t>
  </si>
  <si>
    <t>Negotiation for the Procurement of  Various Medical and Surgical Supplies</t>
  </si>
  <si>
    <t>PURCHASE OF BRGY. OFFICIALS AND STAFF UNIFORMS</t>
  </si>
  <si>
    <t>Rental of Service Vehicle for use in the Supervision of Maintenance  Activities along Makilala-Ala Valley Rd. and Kidapawan-Calunasan-Mlang Road (Makilala-Sinkatulan Sect.; Kidapawan-Calunasan Sect.)</t>
  </si>
  <si>
    <t>Construction/Repair/Rehabilitation of University Infirmary, MSU-Main Campus, Marawi City</t>
  </si>
  <si>
    <t>SUPPLY AND DELIVERY OF BRASS, GI, CI FITTINGS, HDPE PIPES &amp; TEFLON TAPE</t>
  </si>
  <si>
    <t>SUPPLY AND DELIVERY OF VARIOUS MECHANICAL SPARE PARTS FOR 38 KW PERKINS INTENDED FOR BOHOL 2 MINI GRID</t>
  </si>
  <si>
    <t>Procurement of solar street lamp</t>
  </si>
  <si>
    <t>Purchase of I.C. T. Equipment</t>
  </si>
  <si>
    <t>20KG0094 : Concreting of Brgy. Matampay FMR, Brgy. Matampay, Matungao, Lanao del Norte, Sta.0+000-0+465; Sta. 0+665-Sta. 1+100</t>
  </si>
  <si>
    <t>74136_One (1) unit Floor Mounted Motor Controller VFD Type 90kw w/ enclosure</t>
  </si>
  <si>
    <t>Construction of Mabantad Multi-purpose Hall, Cauayan City, Isabela</t>
  </si>
  <si>
    <t>Repair of Water Tank Flooring at Milagros Albano District Hospital, Cabagan, Isabela</t>
  </si>
  <si>
    <t>20FN0108 Construction of Three (3) Storey Fifteen (15) Classroom School Building, Nabua National High School, Nabua, Camarines Sur</t>
  </si>
  <si>
    <t>Renovation of Provincial Treasurer’s Office,  Alibagu, City of Ilagan, Isabela</t>
  </si>
  <si>
    <t>Improvement  of Brgy. Hall, Brgy. Palanay</t>
  </si>
  <si>
    <t>Improvement of Multi-Purpose Hall at Brgy. Balanga, Ibaan, Batangas</t>
  </si>
  <si>
    <t>Procurement of Office Supplies for LGU-Danao, Bohol 2nd Quarter of FY 2020</t>
  </si>
  <si>
    <t>PETAL 06-2020 - construction of concrete fence at brgy hall</t>
  </si>
  <si>
    <t>S1-ADP20-013   SUPPLY AND DELIVERY OF AIRCONDITIONING UNIT, INVERTER TYPE.</t>
  </si>
  <si>
    <t>IMPROVEMENT OF FARM TO MARKET ROADS-SITIO TOLEDO &amp; CABATUAN, BRGY. BARCELONA, SOLSONA, ILOCOS NORTE</t>
  </si>
  <si>
    <t>Procurement of Tyrosine Kinase Inhibitor</t>
  </si>
  <si>
    <t>Acquisition of Hook and Line (200 sets) for marginals fishermen of Pinamalayan</t>
  </si>
  <si>
    <t>Procurement of Air-Condition System for Municipal Treasurer's Office of LGU-Naga</t>
  </si>
  <si>
    <t>20HC0184- CONCRETING OF BRGY. CAMBANSAG FMR (LEADING TO BRGY. BAUNOS), BRGY. CAMBANSAG, SAN ISIDRO, BOHOL</t>
  </si>
  <si>
    <t>Procurement of Office table and office chair</t>
  </si>
  <si>
    <t>Negotiation for the Procurement of various Drugs and Medicines</t>
  </si>
  <si>
    <t>CONSTRUCTION / REPAIR / REHABILITATION OF THE DEPED DIVISION OFFICE OF THE CITY OF BATAC</t>
  </si>
  <si>
    <t>Construction of Open Canal</t>
  </si>
  <si>
    <t>PURCHASE OF MEDICAL SUPPLIES FOR INFIRMARY USE</t>
  </si>
  <si>
    <t>S1-END20-009    SUPPLY AND DELIVERY OF MATERIALS/SUPPLIES FOR EL NIDO DPP.</t>
  </si>
  <si>
    <t>Rental of Service Vehicle for use in the Supervision of Maintenance Activities along Paco-Roxas-Arakan Valley Rd. (Antipas-Katipunan Sect.) (July 20 - 31, 2020) (Equipment Rental Only)</t>
  </si>
  <si>
    <t>20HC0183- CONCRETING OF BRGY. MAGSAYSAY FMR, BRGY. MAGSAYSAY, TALIBON, BOHOL</t>
  </si>
  <si>
    <t>Procurement of Coupled Diesel Water Pump for establishment of water impounding system/small farm reservior</t>
  </si>
  <si>
    <t>Labor and Materials for the Repair of Flooring in CRM Building</t>
  </si>
  <si>
    <t>Rental of Service Vehicle for use in the Supervision of Maintenance Activities along Kidapawan-Ilomavis Tourist Rd and Kidapawan-Magpet-Pangao-an Rd.  (Kidapawan-Sayaban Sect.; Kidapawan-Magpet Sect.)</t>
  </si>
  <si>
    <t>Drilling Project at Tress Marias Spring</t>
  </si>
  <si>
    <t>MO Office Supplies</t>
  </si>
  <si>
    <t>SUPPLY AND DELIVERY OF VARIOUS ELECTRICAL SPARE PARTS FOR 336 KW CUMMINS INTENDED FOR DOONG DPP</t>
  </si>
  <si>
    <t>DIETARY SUPPLEMENTATION FOR PREGNANT WOMEN</t>
  </si>
  <si>
    <t>Purchase of Lubricants for Government Vehicles</t>
  </si>
  <si>
    <t>Supply of one (1) lot Anti-Virus Subscription</t>
  </si>
  <si>
    <t>Construction of Multi-Purpose Building -Maui, Caramoran, Catanduanes</t>
  </si>
  <si>
    <t>PURCHASE OF MEDICAL SUPPLIES FOR RHU OPD AND LYING-IN</t>
  </si>
  <si>
    <t>Materials for the Fencing and Landscaping of the Regional Evacuation Center/MDRRMO-Brgy. Poblacion</t>
  </si>
  <si>
    <t>Improvement of Multi-Purpose Hall at Brgy. Coliat, Ibaan, Batangas</t>
  </si>
  <si>
    <t>Procurement of Cacao Processing Equipment</t>
  </si>
  <si>
    <t>PURCHASE AND DELIVERY OF ONE UNIT CARGO TYPE TRICYCLE (For Garbage Collection and other Miscellaneous Utilization in the Barangay Activities)</t>
  </si>
  <si>
    <t>Rental of Service Vehicle for use in the Supervision of Routine Maintenance  Activities along Davao-Cotabato Rd. (Bulatukan – East Patadon Section) (July 20 - 30, 2020) (Equipment Rental Only)</t>
  </si>
  <si>
    <t>S1-JPR20-010   SUPPLY OF LABOR, TOOL AND EQUIPMENT FOR THE FABRICATION/MACHINING/RECONDITIONING OF PARTS AND AUXILLIARIES.</t>
  </si>
  <si>
    <t>SUPPLY AND DELIVERY OF VARIOUS MECHANICAL SPARE PARTS FOR 56KW PERKINS INTENDED FOR BOHOL 2 MINI GRID</t>
  </si>
  <si>
    <t xml:space="preserve">Rental of Service Vehicle for use in the Supervision of Maintenance Activities along Paco-Roxas-Arakan Valley Road and Matalam- Lampayan-Antipas Rd. (Paco-Antipas Section and Antipas Sect. (July 20 - </t>
  </si>
  <si>
    <t>S1-ADP20-014    SUPPLY OF LABOR, TOOLS AND EQUIPMENT FOR PCB TESTING OF TRANSFORMER OIL.</t>
  </si>
  <si>
    <t>OTHER SUPPLIES &amp; MATERIALS EXPENSES</t>
  </si>
  <si>
    <t>Rental of Service Vehicle for use in the Supervision of Maintenance Activities along Pob.Magpet-Nowa-Basak-Greenfield Rd. (Pob.Magpet-Greenfield Sect.) (July 20 - 30, 2020) (Equipment Rental Only)</t>
  </si>
  <si>
    <t>SUPPLY AND DELIVERY OF VARIOUS ELECTRICAL SPARES FOR 600 KW PERKINS INTENDED FOR POWER BARGE 113</t>
  </si>
  <si>
    <t>Supply and delivery of Office supplies &amp; Device for use in the Tabango Community Hospital. ABC PHP90,326.00</t>
  </si>
  <si>
    <t>Rental of Service Vehicle for Supervision/Implementation of Regular Infra Projects (July 16 - 30, 2020) (Equipment Rental Only), (4x4 Pick-Up type A/T)</t>
  </si>
  <si>
    <t>SUPPLY AND DELIVERY OF VARIOUS MECHANICAL SPARE PARTS FOR 163 KW PERKINS INTENDED FOR GIGANTES DPP</t>
  </si>
  <si>
    <t>Supply and Delivery of Various size of Ci Butterfly Valve and Various Pumps ( D-032-0284-20 )</t>
  </si>
  <si>
    <t>Construction of Mayor's Office Building</t>
  </si>
  <si>
    <t>Supply &amp; Delivery of One (1) Unit Type II Wide Body Rescue Ambulance with complete accessories</t>
  </si>
  <si>
    <t>Publication of City Ordinances PR # 2020-06-22-208</t>
  </si>
  <si>
    <t>Construction of Water Tank at Barangay San Agustin, Bauan, Batangas</t>
  </si>
  <si>
    <t>ISOLATION FACILITY-MDRRMO</t>
  </si>
  <si>
    <t>Procurement of CCTV Cameras and Medical Equipment</t>
  </si>
  <si>
    <t>Road Concreting at Zone 1</t>
  </si>
  <si>
    <t>Supply and Delivery of  9MM Ammunition for the month of July 2020</t>
  </si>
  <si>
    <t>SUPPLY AND DELIVERY OF LABORATORY AND HOSPITAL EQUIPMENT</t>
  </si>
  <si>
    <t>RFQ -Supply and Delivery  of Various Bond Papers (PR No. 2020-03-053)</t>
  </si>
  <si>
    <t>Procurement of Construction Materials for Construction of Barangay Stage</t>
  </si>
  <si>
    <t>Supply of one (1) unit Pipette Washer Ultrasonic</t>
  </si>
  <si>
    <t>PURCHASE OF MISTING MACHINE</t>
  </si>
  <si>
    <t>Supply of four (4) units Chlorine Residual Analyzer</t>
  </si>
  <si>
    <t>PURCHASE OF 1 UNIT BARANGAY PATROL VEHICLE</t>
  </si>
  <si>
    <t>MO Office Supplies (2)</t>
  </si>
  <si>
    <t>Rental of Service Vehicle for Use in the Soil Survey &amp; Supervision of  Various Projects within the District (July 16 - 30, 2020) (Equipment Rental Only)</t>
  </si>
  <si>
    <t>Rental of service Vehicle for RBIA Survey Activities charge to PDE fund 2020 (July 16 - 30, 2020)</t>
  </si>
  <si>
    <t>20DQ0118 - MOOE – Maintenance, Repair and Rehabilitation of Infrastructure Facilities and Other Related Activities – Public Buildings – Repair/ Maintenance of DILG Building, PNPA Forensic Science Buil</t>
  </si>
  <si>
    <t>ROAD CONCRETING AT STO. DOMINGO ST., PUROK MALINAWON, BRGY. CALUMPANG, GSC</t>
  </si>
  <si>
    <t>20DQ0120 - LOCAL PROGRAM – Local Infrastructure Program – Local Roads and Bridges - Local Roads – Asphalt Overlay, Barangay Iba, Silang, Cavit</t>
  </si>
  <si>
    <t>MO Office Supplies (3)</t>
  </si>
  <si>
    <t>Rental of Service Vehicle for Supervision various Projects, Makilala, Cotabato (July 16 - 30, 2020) (Equipment Rental Only), (4x4 Pick-Up)</t>
  </si>
  <si>
    <t>20CK0094 - Concreting of Brgy. San Vicente FMR, Brgy. San Vicente, Concepcion, Tarlac</t>
  </si>
  <si>
    <t>PURCHASE OF OFFICE EQUIPMENT (GCH)</t>
  </si>
  <si>
    <t>Supply of seven (7) pieces Headset with Noise Cancelling</t>
  </si>
  <si>
    <t>LOT Procurement of MATERIALS for Use in Urban Greening and Landscaping of the TOURISM PREMISES</t>
  </si>
  <si>
    <t>FURNISHING AND DELIVERY OF 1 UNIT MULTI-SHREDDER/PULVERIZER MACHINE FOR LGU SWM</t>
  </si>
  <si>
    <t>Procurement of 15 pcs. TOA Ceiling Speaker and 15 pcs. TOA Volume Control</t>
  </si>
  <si>
    <t>Purchase of Office Supplies for use in all the different Units of Administrative  Section of this Office for 2nd Quarter of CY 2020</t>
  </si>
  <si>
    <t>FABRICATION AND CONSTRUCTION OF SOLAR STREETLIGHTS</t>
  </si>
  <si>
    <t>PURCHASE OF KNAPSACK POWER NEBULIZER (RHU)</t>
  </si>
  <si>
    <t>Supply Labor and Materials for the Rehabilitation of 120 ft. Monopole Tower and Replacement of some parts</t>
  </si>
  <si>
    <t>Installation of Structured Cabling</t>
  </si>
  <si>
    <t>REPRODUCTION OF LEARNING MODULES</t>
  </si>
  <si>
    <t>PURCHASE OF MATERIALS FOR IMPROVEMENT OF LGU BEACH</t>
  </si>
  <si>
    <t>Supply and Delivery of Various Food Commodities</t>
  </si>
  <si>
    <t>PURCHASE OF WEIGHING SCALE FOR PREGNANT AND LACTATING WOMEN</t>
  </si>
  <si>
    <t>MTO Operation of BPLS</t>
  </si>
  <si>
    <t>HO-EMA20-019 - Supply and Delivery of Digital Multimeter 10A ACDC 1000V ACDC</t>
  </si>
  <si>
    <t>SUPPLY AND DELIVERY OF VARIOUS MECHANICAL SPARE PARTS FOR 106KW CUMMINS INTENDED FOR BOHOL 2 MINI GRID</t>
  </si>
  <si>
    <t>Supply and delivery of Construction Supplies &amp; Materials for use in Leyte Provincial Hospital. ABC PHP123,369.00</t>
  </si>
  <si>
    <t>Procurement of UPS Battery</t>
  </si>
  <si>
    <t>BAC Office Supplies</t>
  </si>
  <si>
    <t>Repair/Rehabilitation of Old BFP Building (for Balay Silangan use)</t>
  </si>
  <si>
    <t>20DQ0122 - LOCAL PROGRAM – Local Infrastructure Program – Buildings and Other Structures – Multipurpose/Facilities – Rehabilitation/ Improvement of Multi-Purpose Building, Brgy. Talaba V, Bacoor City,</t>
  </si>
  <si>
    <t>SUPPLY &amp; DELIVERY OF THE CONSTRUCTION SUPPLIES FOR THE RENOVATION OF OLD BRGY HALL TURN INTO WOMEN AND CHILDREN BUILDING PHASE II AT BARANGAY TABONTABON,SIBAGAT,AGUSAN DEL SUR</t>
  </si>
  <si>
    <t>20DQ0121 - LOCAL PROGRAM – Local Infrastructure Program – Local Roads and Bridges – Local Roads – Widening of Congressional Avenue, GMA, Cavite</t>
  </si>
  <si>
    <t>20DQ0124 - LOCAL PROGRAM – Local Infrastructure Program – Buildings and Other Structures – Multipurpose / Facilities – Construction of Multi-Purpose Building, Brgy. Mambog I, Bacoor City, Cavite; Cons</t>
  </si>
  <si>
    <t>20CK0095 - Concreting of Sitio Bulusan Troso to Sitio Mauricia, Brgy. Anupul FMR, Brgy. Anupul, Bamban, Tarlac</t>
  </si>
  <si>
    <t>RFQ -Supply and Delivery of 3-in 1 Printer and Portable External Hard Drive (PR No. 2020-01-005)</t>
  </si>
  <si>
    <t>Purchase of One Unit Dumptruck</t>
  </si>
  <si>
    <t>Const. Supplies &amp; Materials for the Rehab of Gabriel Fabella St.</t>
  </si>
  <si>
    <t>TRAINING AND ASSESSMENT SUPPLIES AND MATERIALS FOR HARD TRADE SECTOR</t>
  </si>
  <si>
    <t>RFQ– Submersible pump assy.</t>
  </si>
  <si>
    <t>Procurement of DRR Emergency Equipment &amp; Supplies and Cooking Utensils for Evacuation Center</t>
  </si>
  <si>
    <t>TAMBOBONG 04-2020 - installation of LED solar lights</t>
  </si>
  <si>
    <t>RE-INVITATION FOR THE    Provision of Design Services : Architectural Plan, Civil/Structural Plan, Electrical Plan, Sanitary/Plumbing Plan, Mechanical Plan, Electronic Plan (Duly Signed and sealed</t>
  </si>
  <si>
    <t>Construction of Housing and Fencing and Installation of Water Treatment Facility -Icanbato, Caramoran, Catanduanes</t>
  </si>
  <si>
    <t>TRAINING AND ASSESSMENT SUPPLIES AND MATERIALS FOR TOURISM SECTOR</t>
  </si>
  <si>
    <t>RFQ– Submersible motor</t>
  </si>
  <si>
    <t>Contract for the Concreting of Road Section at Purok 16, Bulahan, San Isidro, Barangay TIbal-og, Santo Tomas, Davao del Norte</t>
  </si>
  <si>
    <t>System Upgrade of Radio Communication (including Repair and Maintenance)</t>
  </si>
  <si>
    <t>20DQ0128 - LOCAL PROGRAM – Construction / Repair / Rehabilitation / Improvement of Various Infrastructure including Local Projects – Flood Control and Drainage – Flood Control Structures/Facilities –</t>
  </si>
  <si>
    <t>PURCHASE AND INSTALLATION OF ONE (1) SET OF PUBLIC ADDRESS</t>
  </si>
  <si>
    <t>SUPPLIES &amp; DELIVERY OF THE ONSTRUCTION MATERIALS &amp; SUPPLIES FOR THE CONSTRUCTION OF MANPOWER/YOUTH DEVELOPMENT CENTER,PHASE XIII AT BARANGAY TABONTABON,SIBAGAT,AGUSAN DEL SUR</t>
  </si>
  <si>
    <t>SJADS INFRA 20-06: CONSTRUCTION OF LATRINE FOR DESIGNATED EVACUATION CENTER</t>
  </si>
  <si>
    <t>RFQ -Supply and Delivery of Desktop Computer  and Microsoft Office Software License (PR No. 2020-02-039)</t>
  </si>
  <si>
    <t>20DQ0119 - LOCAL PROGRAM – Local Infrastructure Program – Buildings and Other Structures – Multipurpose/Facilities – Construction of Multi-Purpose Building and other improvements at Springville Execut</t>
  </si>
  <si>
    <t>GAIS-GUIPE 05-2020 - repair &amp; maint of streetlights</t>
  </si>
  <si>
    <t>Contract for the Rehabilitation of Riverbank, P3A, Tagaytay, Barangay Bobongon, Santo Tomas, Davao del Norte</t>
  </si>
  <si>
    <t>FURNISHING AND DELIVERY OF COMPUTER FURNITURE FOR ENGINEERING OFFICE</t>
  </si>
  <si>
    <t>20DQ0127 - ORGANIZATIONAL OUTCOME 2: Protect Lives and Properties Against Major Floods - Flood Management Program - Construction/ Maintenance of Flood Mitigation Structures and Drainage Systems - Cons</t>
  </si>
  <si>
    <t>RE-INVITATION FOR THE FURNISHING AND DELIVERY OF CONSTRUCTION MATERIALS FOR THE CONSTRUCTION OF TALBEK WATER SYSTEM</t>
  </si>
  <si>
    <t>SUPPLY AND DELIVERY OF VARIOUS MECHANICAL SPARE PARTS FOR 20 KW PERKINS INTENDED FOR BOHOL 2 MINI GRID</t>
  </si>
  <si>
    <t>PURCHASE OF IT EQUIPMENT FOR SPECIAL PROGRAM IN ICT</t>
  </si>
  <si>
    <t>Purchase of Disasters Equipment(To better equipped the LDRRM Council and LGU Responders &amp; provide documentation equipment)</t>
  </si>
  <si>
    <t>20BG0148-Local Program-Construction/Repair/Rehabilitation /Improvement of Various Infrastructure Including Local Projects-Local Roads and Bridges-Local Bridges-Construction of Over-Pass (Phase 3), Nag</t>
  </si>
  <si>
    <t>Procurement of Medical and Laboratory Supplies under IB-GOODS-2020-11</t>
  </si>
  <si>
    <t>S1-NPS20-019   SUPPLY AND DELIVERY OF SPARE PARTS FOR VEHICLES.</t>
  </si>
  <si>
    <t>S1-LIN20-004    SUPPLY AND DELIVERY OF MATERIALS/SUPPLIES INTENDED FOR OPERATION AND MAINTENANCE USE.</t>
  </si>
  <si>
    <t>Concreting of Local Road at Brgy. San Vicente</t>
  </si>
  <si>
    <t>KALAHI-CIDSS NCDP oPERATIONALIZATION</t>
  </si>
  <si>
    <t>S1-SVD20-014   SUPPLY AND DELIVERY OF MATERIALS/SUPPLIES FOR OPERATION AND MAINTENANCE USE.</t>
  </si>
  <si>
    <t>KALAHI-CIDSS NCDDP Operationalization</t>
  </si>
  <si>
    <t>S1-TAY20-005    SUPPLY AND DELIVERY OF MATERIALS/SUPPLIES FOR OPERATION AND MAINTENANCE USE.</t>
  </si>
  <si>
    <t>Supply / Delivery of 6,768 liters Diesel &amp; 500 liters Gasoline (Unleaded)</t>
  </si>
  <si>
    <t>Drugs and Medicines Expenses</t>
  </si>
  <si>
    <t>PURCHASE OF VARIOUS IT EQUIPMENT</t>
  </si>
  <si>
    <t>PURCHASE OF CONSTRUCTION MATERIALS FOR THE DUMPING SITE ACCESS ROAD</t>
  </si>
  <si>
    <t>S1-END20-012   SUPPLY AND DELIVERY OF MATERIALS AND SUPPLIES INTENDED FOR OPERATION AND MAINTENANCE.</t>
  </si>
  <si>
    <t>Procurement of Construction Materials for Improvement of New Barangay Hall</t>
  </si>
  <si>
    <t>PURCHASE OF AUTOMATIC TRANSMISSION (for Ambulance)</t>
  </si>
  <si>
    <t>20DQ0126 - Major Floods – Flood Management Program – Construction/ Maintenance of Flood Mitigation Structures and Drainage Systems – Construction of Revetment from Baluctot River, East side, Cavite</t>
  </si>
  <si>
    <t>SJADS GOODS 20-10: PROCUREMENT OF SPAREPARTS FOR HEAVY EQUIPMENT</t>
  </si>
  <si>
    <t>Negotiated Procurement for Supply and Delivery 1,200 head Free Range Chicken- Male and 6,000 head Free Range Chicken- Female</t>
  </si>
  <si>
    <t>RFQ# 2021-02-RRHF</t>
  </si>
  <si>
    <t>SUPPLY, DELIVERY, INSTALLATION, PROGRAMMING, TESTING AND COMMISSIONING OF EQUIPMENT AND APPURTENANCES FOR THE UPGRADING OF INLINE BOOSTER FOR LARION BAJO PUMPING STATION</t>
  </si>
  <si>
    <t>One Lot Rackmount Firewall Appliance with 3-Year License (Re-Bid) No. 20-01-047</t>
  </si>
  <si>
    <t>Supply and Delivery of Various IT Equipment for the University</t>
  </si>
  <si>
    <t>SUPPLY AND DELIVERY OF BRASS WATER METER</t>
  </si>
  <si>
    <t>CONCRETING OF SILOY-MAMALAD ROAD</t>
  </si>
  <si>
    <t>20DC0213 - LOCAL PROGRAM, Local Infrastructure Program, Buildings and Other Structures, Multipurpose/Facilities, Construction/Completion/Rehab/Improvement of Multi Purpose Building (Municipal Building</t>
  </si>
  <si>
    <t>Supply and Delivery of 1,800 pcs. Impression Cambric Blanket, as per BSP Technical Specifications</t>
  </si>
  <si>
    <t>Repair / Maintenance of DOJ Building Land Registration Authority Building, Quezon City</t>
  </si>
  <si>
    <t>Structural Improvement of Public Buildings and Construction of Evacuation Center, National Capital Region: Batino Elementary School - DPWH DECS Building, Quezon City</t>
  </si>
  <si>
    <t>20DC0216 - LOCAL PROGRAM, Local Infrastructure Program, Buildings and Other Structures, Multipurpose/Facilities, Construction and/or Repair/Rehabilitation of Multi-Purpose Building, Brgy. Poblacion, S</t>
  </si>
  <si>
    <t xml:space="preserve">20DC0215 - LOCAL PROGRAM, Const./Repair/Rehab./Improvement of Various Infrastructure including Local Projects, Buildings and Other Structures, Multipurpose/Facilities, Rehabilitation of Multi-Purpose </t>
  </si>
  <si>
    <t>Drilling of One (1) Production Well in Brgy. Biga, Lobo, Batangas</t>
  </si>
  <si>
    <t>20DC0212 - LOCAL PROGRAM, Local Infrastructure Program, Local Roads and Bridges, Local Roads, Construction of Road with Slope Protection, Brgy. Don Juan-Calumayin, Cuenca, Batangas</t>
  </si>
  <si>
    <t>Supply and Delivery of Various Office Equipemtn and Materials for the Various Offices &amp; Colleges</t>
  </si>
  <si>
    <t xml:space="preserve">20DC0211 - LOCAL PROGRAM, Construction/Repair/Rehabilitation/Improvement of Various Infrastructure including Local Projects, Buildings And Other Structures, Multipurpose/Facilities, Rehabilitation of </t>
  </si>
  <si>
    <t>Supply and Delivery of Various Furnitures &amp; Fixtures for the University</t>
  </si>
  <si>
    <t>Improvement/Opening of Access Road San Carlos</t>
  </si>
  <si>
    <t>20DC0214 - LOCAL PROGRAM, Local Infrastructure Program, Buildings and Other Structures, Multipurpose/Facilities, Construction of Multi-Purpose Building at Brgy. Poblacion, in front of Taal Lake, besid</t>
  </si>
  <si>
    <t>Structural Improvement of Public Buildings and Construction of Evacuation Center, National Capital Region: National Defense College of the Philippines - Staff Room, Quezon City</t>
  </si>
  <si>
    <t>Chemicals, Fertilizers, Farm Tools &amp; Equipment and Seedlings/Corm (Oplan Ahon-Banana Production Project)</t>
  </si>
  <si>
    <t>20-DO-0086: Construction/Rehabilitation of Water Supply/Septage and Sewerage/ Rain Water Collectors – Rain Water Collectors in Public Facilities – Construction of Rain Water Collectors at Rodriguez, R</t>
  </si>
  <si>
    <t>20-DO-0085: Repair/Rehabilitation of Flood Control Structure at Malaya, Pililla, Rizal</t>
  </si>
  <si>
    <t>SJADS INFRA 20-04: ESTABLISHMENT OF ECO-PARK (SCRAPING AND EMBANKMENT)</t>
  </si>
  <si>
    <t>CID No. 20OD0202 - Construction of Flood Control Wall along Marulas Creeks (from McArthur Highway to Tullahan River), Brgy. Marulas, Valenzuela City</t>
  </si>
  <si>
    <t>CID No. 20OD0201 - Improvement of Drainage and Rehabilitation of Roads along 6th Avenue, Caloocan City</t>
  </si>
  <si>
    <t>RENOVATION OF HEALTH CENTER</t>
  </si>
  <si>
    <t>Maintenance, Repair and Rehabilitation of Infrastructure Facilities and Other Related Activities - Repair and Maintenance of Road Safety Facilities, Quezon City</t>
  </si>
  <si>
    <t>20DB0139 Rehabilitation/Major Repair of Permanent Bridges along Palico-Balayan-Batangas Rd.,Lemery,Batangas–Calbangan Bridge B00053LZ–Palanas Bridge B01291LZ Along Lemery-Taal Diversion Rd.,Taal,Batan</t>
  </si>
  <si>
    <t>20-DO-0084: Repair/Rehabilitation of Slope Protection along Nagsandig to Sampad, Brgy. Nagsandig &amp; Brgy. Sampad, Cardona, Rizal</t>
  </si>
  <si>
    <t>20-05-385 Purchase of Fuel for the Office of the Municipal Mayor (2nd Quarter)</t>
  </si>
  <si>
    <t>Supply and Delivery of LCD Projector, Laptop, Recorder and Tablet for the College of Forestry</t>
  </si>
  <si>
    <t>20-05-394 Purchase of Furniture and Fixtures for Office Use (COMELEC) 1st Quarter 2020</t>
  </si>
  <si>
    <t>Repair / Maintenance of DPWH Building DPWH - BRS - Administrative Building Region IV -B Compound, EDSA, Quezon City</t>
  </si>
  <si>
    <t>Const. Supplies &amp; Materials for the Concreting of Cote-Boybo Road</t>
  </si>
  <si>
    <t>Supply and Delivery of Various Office Equipment, Furnitures and Fixtures for the RESEL</t>
  </si>
  <si>
    <t>IMPROVEMENT OF PAPAYA-CABINUANGAN-RUNRUNO ROAD Located at Kasibu, Nueva Vizcaya</t>
  </si>
  <si>
    <t>Fabrication of Slaughtering Equipment</t>
  </si>
  <si>
    <t>CLEARING OF AKAN CREEK OF BRGY. SAN FELIPE-SANTIAGO</t>
  </si>
  <si>
    <t>Construction of Capitol in the South at Bagumbayan, Roxas, Oriental Mindoro</t>
  </si>
  <si>
    <t>Purchase of 1 Unit Motor Vehicle</t>
  </si>
  <si>
    <t>IB 2020-07-010 PLPG Procurement of LPG 50 Kgs 2020-10</t>
  </si>
  <si>
    <t>REI_20CSE008: Consulting Services for the Conduct of Feasibility Study of the Proposed Coron-Culion Bridge, Palawan</t>
  </si>
  <si>
    <t>Procurement of Office and IT Equipment</t>
  </si>
  <si>
    <t>CONSTRUCTION OF CONCRETE PATHWALK OF BRGY. SAN JOSE</t>
  </si>
  <si>
    <t>G-2020-281 Supply and Delivery of Rice, Office of the City Mayor</t>
  </si>
  <si>
    <t>Repair / Maintenance of DOF Building Bureau of Internal Revenue Building, Brgy. Piñahan, Quezon City</t>
  </si>
  <si>
    <t>IB 2020-07-009 POC Procurement of Oxygen Cylinder 1800 PSI and Installation of Oxygen Manifold with Oxygen Pipe-in 2020-09</t>
  </si>
  <si>
    <t>CLEARING/DE-CLOGGING OF QUIRIAON CREEK OF BRGY. SAN FELIPE-SANTIAGO</t>
  </si>
  <si>
    <t>G-2020-210 Supply and Delivery of Portable Pressure Washer, City Schools Division</t>
  </si>
  <si>
    <t>Repair / Maintenance of DPWH Building DPWH – BRS CARP Building Region IV-B Compound, EDSA, Quezon City</t>
  </si>
  <si>
    <t>Supply and Delivery of Laptop, Stereo Headset and USB Hub for the WESMAARRDEC</t>
  </si>
  <si>
    <t>G-2020-387 Supply and Delivery of Generator, City Schools Division</t>
  </si>
  <si>
    <t>Purchase of Multi purpose vehicle</t>
  </si>
  <si>
    <t>PROCUREMENT OF FERTILIZER</t>
  </si>
  <si>
    <t>CONCRETING OF MUNICIPAL STREETS (jct. Jose Rizal St. to Gregorio del Pilar St. to jct. Manlabao St.)</t>
  </si>
  <si>
    <t>Construction of Multi-Purpose Building, Brgy. Dogongan, Daet, Camarines Norte</t>
  </si>
  <si>
    <t>20EI0179 - Repair/Rehab. Of Scoured Shoulder with Slope Protection along CSR K0164+800 – K0164+860, Brgy. Manaul, Mansalay, Oriental Mindoro_059</t>
  </si>
  <si>
    <t>Supply and Delivery of Various Construction Materials and Agricultural Equipment</t>
  </si>
  <si>
    <t>Construction of Three Classroom, Brgy. Poblacion, Sta. Elena, Camarines Norte</t>
  </si>
  <si>
    <t>PROCUREMENT OF SLIPPERS (SANDAL TYPE) FOR AGE 6-12 YEARS</t>
  </si>
  <si>
    <t>Construction of Material Recovery Facilities at Lingayen District Hospital</t>
  </si>
  <si>
    <t>20EI0180 -  Repair/Rehab. Of Scoured Shoulder with Slope Protection along CSR K0181+164 – K0181+210, Brgy. Nasucob, Bulalacao, Oriental Mindoro_060</t>
  </si>
  <si>
    <t>Supply and Delivery of 832 MT Asphalt Pre-Mix and 36 drums Emulsified Asphalt</t>
  </si>
  <si>
    <t>20HL0111 - Repair/ Maintenance of Flood Control &amp; Drainage Structures: Datag 1 River Control Upstream "A", Datag, Siaton, Negros Oriental</t>
  </si>
  <si>
    <t>Improvement of Calinan Well and Installation of Discharge Pipeline</t>
  </si>
  <si>
    <t>Fabrication and Setting/Deployment of Concrete Artificial reef</t>
  </si>
  <si>
    <t>Completion of 10 Classroom Two-Storey School Building with Multi-Purpose Covered Court Phase 1, Amungan High School, Iba</t>
  </si>
  <si>
    <t>G-2020-197 Supply and Delivery of School Supplies, City Schools Division</t>
  </si>
  <si>
    <t>Supply and Delivery of One (1) Lot Various Materials for the for Installation of Brick Tiles of Wet Market Frontage Area</t>
  </si>
  <si>
    <t>Supply and Delivery of One (1) lot of Various Materials for Construction of Dryer Building</t>
  </si>
  <si>
    <t>Supply and Delivery of One (1) Lot Various Materials for the Construction of Material Recovery Facility (MRF)</t>
  </si>
  <si>
    <t>Supply and Delivery of 837 MT Asphalt Pre-Mix and 36 drums Emulsified Asphalt</t>
  </si>
  <si>
    <t>20BE0090 - REPAIR AND MAINTENANCE OF DELFIN ALBANO ROAD (ASPHALT OVERLAY 30MM THK.) KO417+(-200)-KO417+680, KO418+360-KO418+960, PILITAN TO PARAGU, TUMAUINI, ISABELA</t>
  </si>
  <si>
    <t>20HL0110 - Repair and Maintenance of Road Safety Facilities - Installation of New Traffic Signs along Dumaguete South Road, Dumaguete City-Valencia-Bacong Road, Sta. Catalina-Pamplona-Tanjay City Road</t>
  </si>
  <si>
    <t>G-2020-361 Labor &amp; Materials for the Repair &amp; Maintenance of Water Supply, City Engineering and Infrastructure Development Department</t>
  </si>
  <si>
    <t>G-2020-283 Supply and Delivery of Medical Equipment, City Health Services Department</t>
  </si>
  <si>
    <t>G-2020-372 Supply and Delivery of Agricultural Inputs: Organic Swine Production, Gender and Development</t>
  </si>
  <si>
    <t>G-2020-370 Supply and Delivery of Wheelchair, Office of the City Mayor</t>
  </si>
  <si>
    <t>Construction of Provincial Youth Development Center at Lingayen, Pangasinan</t>
  </si>
  <si>
    <t>G-2020-322 Supply and Delivery of Drugs and Medicines, City Health Services Department</t>
  </si>
  <si>
    <t>Procurement of Various Office Supplies,  Customized Logbooks &amp; Forms and ICT Consumables</t>
  </si>
  <si>
    <t>Upgrading of Poblacion-Cabalaoangan-Guiling Road, Rosales, Pangasinan</t>
  </si>
  <si>
    <t>20CE0210: Construction of 2STY6CL, Mamandil PS, Talavera, Nueva Ecija</t>
  </si>
  <si>
    <t>SUPPLY AND DELIVERY OF SPECTROPHOTOMETER AND ITS ACCESSORIES FOR MSU-TCTO RESEARCH OFFICE</t>
  </si>
  <si>
    <t>PROJ. 594 - YDP 2020</t>
  </si>
  <si>
    <t>Purchase of office supplies</t>
  </si>
  <si>
    <t>G-2020-369 Supply and Delivery of Advance Life Support Ambulance, Local Disaster Risk Reduction Management Division</t>
  </si>
  <si>
    <t>Supply and Delivery of One (1) Lot Various Materials for the Construction of Vegetable Stall</t>
  </si>
  <si>
    <t>Procurement of Emergency First Aid Kits for Schools</t>
  </si>
  <si>
    <t>REHABILITATION OF FARM TO MARKET ROAD (FMR) - SAN MIGUEL SECTION, LUNA, ISABELA</t>
  </si>
  <si>
    <t>G-2019-1080 Supply and Delivery of Pick-Up Patrol Vehicle, Public Order and Safety Office</t>
  </si>
  <si>
    <t>20GP016G-Procurement of Global Navigation Satellite System (GNSS) Survey Equipment (1 Base, 2 Rover per set) to be used in the Preliminary Detailed Engineering (PDE) for the Proposed FY 2020 Projects</t>
  </si>
  <si>
    <t>20GA0142-Construction of Multi-Purpose Building (Covered Court) Brgy. Poblacion, Tangalan, Aklan</t>
  </si>
  <si>
    <t>Construction of MCC-HOTEL WAREHOUSE BUILDING</t>
  </si>
  <si>
    <t>Bid No. 20-0320 - PROCUREMENT OF OFFICE SUPPLIES - MO/HRDP SECTION</t>
  </si>
  <si>
    <t>CONCRETING OF KAWIT-PAITON-INUDARAN-DELABAYAN PROVINCIAL ROAD Sta. 6+345.00 - Sta. 7+430.00</t>
  </si>
  <si>
    <t>CONCRETING OF MAIGO-MENTRING-INOMA PROVINCIAL ROAD Sta. 10+470.00 - Sta. 11+485.00</t>
  </si>
  <si>
    <t>20CE0229: Repair /Maintenance of DILG Building, Lupao Fire Station Building, Lupao, Nueva Ecija</t>
  </si>
  <si>
    <t>20CE0228: Repair /Maintenance of DILG Building Bureau of Fire Protection – Rizal Fire Station, Rizal, Nueva Ecija</t>
  </si>
  <si>
    <t>20CE0227: Repair /Maintenance of DILG Building Bureau of Fire Protection – Talavera Fire Station Building, Brgy. Sampaloc, Talavera, Nueva Ecija</t>
  </si>
  <si>
    <t>20CE0226: Repair/Maintenance of DPWH Building Covered Court, Nueva Ecija I District Engineering Office, La Torre, Talavera, Nueva Ecija</t>
  </si>
  <si>
    <t>20CE0225: Repair/Maintenance of River Bank Protection along Rio Chico River, Brgy. Mapangpang, Lupao, Nueva Ecija</t>
  </si>
  <si>
    <t>20CE0224: Repair/Maintenance of Collapsed Slope Protection, Cadaclan Bridge 2, along Pantabangan - Canili - Basal - Baler Road, K0181+600, Brgy. Cadaclan, Pantabangan, Nueva Ecija</t>
  </si>
  <si>
    <t>20CE0222: Construction of 1STY2CL, Salvacion 2nd ES, Lupao, Nueva Ecija</t>
  </si>
  <si>
    <t>Rehabilitation of Secondary Building</t>
  </si>
  <si>
    <t>20CE0221: Construction of 1STY2CL, Maragol IS, Science City of Muñoz, Nueva Ecija</t>
  </si>
  <si>
    <t>20CE0220: Construction of 2STY4CL, Muñoz National High School (Annex), Science City of Muñoz, Nueva Ecija</t>
  </si>
  <si>
    <t>20CE0219: Construction of 3STY15CL, Cuyapo CS, Cuyapo, Nueva Ecija</t>
  </si>
  <si>
    <t>Construction of Materials and Supplies</t>
  </si>
  <si>
    <t>20CE0216: Construction of 2STY4CL, Cabaruan ES, Guimba, Nueva Ecija</t>
  </si>
  <si>
    <t>20CE0214: Construction of 2STY6CL, Don Emiliano Soriano ES, Aliaga, Nueva Ecija</t>
  </si>
  <si>
    <t>20CE0223: Construction of 1STY2CL, Camanggahan ES, Carranglan, Nueva Ecija</t>
  </si>
  <si>
    <t>20CE0212: Construction of 2STY8CL, Minabuyok ES, Talavera, Nueva Ecija</t>
  </si>
  <si>
    <t>G-2020-280 Supply and Delivery of Rice &amp; Personalized Sacks, Office of the City Mayor</t>
  </si>
  <si>
    <t>20CE0211: Construction of 2STY6CL, Homestead I ES, Talavera, Nueva Ecija</t>
  </si>
  <si>
    <t>20CE0218: Construction of 2STY6CL, Doroteo R. Jose Elementary School, Cuyapo, Nueva Ecija</t>
  </si>
  <si>
    <t>ROAD CONCRETING @ PALANCA VILLAGE</t>
  </si>
  <si>
    <t>Concreting of Road from Circumferential Road San Miguel to Cemetery Pahulayan (Re-Bidding) under PR No. 2020-01-139</t>
  </si>
  <si>
    <t>20CE0213: Construction of 2STY6CL, Collado ES, Talavera, Nueva Ecija</t>
  </si>
  <si>
    <t>20CE0215: Construction of 2STY6CL, Concepcion ES, Santo Domingo, Nueva Ecija</t>
  </si>
  <si>
    <t>Supply and Delivery of Various Flyers and Brochures Under FishCORAL Project</t>
  </si>
  <si>
    <t>Completion of Perimeter Fence at Slaughterhouse, San Agustin Babak District, IGACOS (Re-Bidding) under PR No. 2020-02-1518</t>
  </si>
  <si>
    <t>INVITATION TO BID FOR THE PROCUREMENT OF MATERIALS FOR THE PROJECT OF CONSTRUCTION OF FLOOD CONTROL DRAINAGE SYSTEM (REPROGRAMMED) LOCATED @ PUROK 7 &amp; PUROK 7A, POBLACION, MONKAYO, DAVAO DE ORO</t>
  </si>
  <si>
    <t>INVITATION FOR NEGOTIATED  PROCUREMENT (SMALL VALUE PROCUREMENT) OF DRUGS AND MEDICINES</t>
  </si>
  <si>
    <t>CONSTRUCTION OF LINE CANAL  ALONG SAN JOSE JUNCTION-TONDOL ROAD</t>
  </si>
  <si>
    <t>SUPPLY, DELIVERY, INSTALLATION INTO OPERATIONAL STATE, AND MAINTENANCE OF AN INVESTMENT MANAGEMENT SYSTEM (IMS) (RE-ADVERTISEMENT)</t>
  </si>
  <si>
    <t>INVITATION TO BID FOR THE PROCUREMENT OF LABOR &amp; MATERIALS FOR THE PROJECT OF MULTI-PURPOSE HALL IMPROVEMENT-BARANGAY OLAYCON, MONKAYO, DAVAO DE ORO</t>
  </si>
  <si>
    <t>Completion of Evacuation Center at Brgy. San Miguel,  Samal District IGaCOS under PR No. 2020-06-2449</t>
  </si>
  <si>
    <t>CONSTRUCTION OF GARBAGE PIT FOR TOXIC WASTE</t>
  </si>
  <si>
    <t>20GA0176-Re-Invitation-Rehabilitation of MPB (Makato Municipal Hall) Brgy. Poblacion, Makato, Aklan</t>
  </si>
  <si>
    <t>CONSTRUCTION OF PATHWAY PUROK 6</t>
  </si>
  <si>
    <t>Procurement of Payment for Electrical Expenses</t>
  </si>
  <si>
    <t>SUPPLY AND DELIVERY OF CONSTRUCTION  MATERIALS FOR THE RENOVATION OF TRAINING CENTER (PHASE II)</t>
  </si>
  <si>
    <t>Construction of Interment Vault at Pahulayan, San Miguel,  Samal District IGaCoS under PR No. 2020-05-2433.</t>
  </si>
  <si>
    <t>Installation of solar street lights</t>
  </si>
  <si>
    <t>Chicken Meat Production  for food sufficiency amidst the threat of Covid-19 Pandemic</t>
  </si>
  <si>
    <t>20GIA006 Procure,ment of DPWH Equipment</t>
  </si>
  <si>
    <t>Construction of Gym AVCES Miranda, Babak District IGaCoS  under PR No. 2020-06-2478</t>
  </si>
  <si>
    <t>20CE0217: Construction of 2STY8CL, Guimba West CS, Guimba, Nueva Ecija</t>
  </si>
  <si>
    <t>Construction of Proposed 3 Units Day Care Center located at Sitio Dimalama, Bugos, Aringay and Villa Rose, San Guillermo, Isabela</t>
  </si>
  <si>
    <t>OIL DISPERSANT</t>
  </si>
  <si>
    <t>20GA0161-Construction of Multi-Purpose Building In Brgy. Habana, Nabas, Aklan</t>
  </si>
  <si>
    <t>Purchase/Delivery of NBS Testing Kits</t>
  </si>
  <si>
    <t>Cannon G2010 (Cartrage Black) and Office Supplies (JHS)</t>
  </si>
  <si>
    <t>Supply and Delivery of Network Equipment and Supplies for Provincial Wide Networking Connectivity and Direct Corporate Internet of Provl. Govt.</t>
  </si>
  <si>
    <t>Expansion and Rehabilitation of Level III Water System</t>
  </si>
  <si>
    <t>Supply and Delivery of Survey Instrument for Use of Provincial Engineer’s Office</t>
  </si>
  <si>
    <t>Construction of Gym at Mambago-B National High School,  Babak District, IGACOS (Re-Bidding) under PR No. 2020-03-1594</t>
  </si>
  <si>
    <t>Construction of Multi-Purpose Building/Evacuation Center at  Anonang NHS, Anonang, Kaputian District, IGACOS (Re-Bidding)  under PR No. 2019-11-4214</t>
  </si>
  <si>
    <t>REQUEST FOR MEDICINES AND SUPPLIES TO IMPROVE THE DELIVERY OF BASIC SERVICES OF THE CONSTITUENTS OF THE MUNICIPALITY OF BORBON</t>
  </si>
  <si>
    <t>INVITATION TO BID FOR THE PROCUREMENT OF LABOR &amp; MATERIALS FOR THE PROJECT OF REHABILITATION/IMPROVEMENT OF DRY MARKET @ BLOCK-1 BUILDING BLOCK 1, MARKET SITE, POBLACION, MONKAYO, DAVAO DE ORO</t>
  </si>
  <si>
    <t>Various Infrastructure Projects at Pasig City-PB-07-17-2020</t>
  </si>
  <si>
    <t>procurrement of aircon</t>
  </si>
  <si>
    <t>Rebidding of Const. Supply &amp; Materials for the Repair/Maint. of Port Facilities</t>
  </si>
  <si>
    <t>ILD-20-0613(R1): Procurement of Chemical and Filtering Supplies to be used at Regional Soils Laboratory</t>
  </si>
  <si>
    <t>20CF0132 Repair/Maintenance of Sta. Rosa Flood Control, Sta. Rosa, Nueva Ecija</t>
  </si>
  <si>
    <t>Cont. Ref. No. 071-20: Construction of Canal at Upper Ucab (below M. Tiangao Residence) at Ucab, Itogon, Benguet</t>
  </si>
  <si>
    <t>20GP015G-Procurement of Crushed Aggregates (Choker ¼), Fine Aggregates (Sand), Item 104- Common Borrow, and Washed Gravel to be used in the Resealing of Concrete/Asphalt Road, Embankment of Eroded Sho</t>
  </si>
  <si>
    <t>procurrement of diesel fuel</t>
  </si>
  <si>
    <t>Cont. Ref. No. 070-20: Construction of Concrete Covered Canal along Bua Cemetery (behind AMPMNHS to Livelihood) at Tuding, Itogon, Benguet</t>
  </si>
  <si>
    <t>Construction of Niche Apartment Type at Brgy. Sampaloc 1, Sariaya, Quezon</t>
  </si>
  <si>
    <t>Construction of Multi-Purpose Hall (Phase-1) at BJMP, Toril,  Babak District, IGACOS (Re-Bidding) under PR No. 2020-03-2092</t>
  </si>
  <si>
    <t>Cont. Ref. No. 069-20: Construction of Retaining Wall along Labilab Road (near Fr. Solang) at Loacan, Itogon, Benguet</t>
  </si>
  <si>
    <t>Purchase of 1 Unit Laptop for Assessor's Office</t>
  </si>
  <si>
    <t>G-2020-371 Supply and Delivery of Blood Bank Refrigerator &amp; Plasma Freezer, City Health Services Department</t>
  </si>
  <si>
    <t>INVITATION TO BID FOR THE PROCUREMENT OF LABOR &amp; MATERIALS FOR THE PROJECT OF CONSTRUCTION OF MULTI-PURPOSE HALL-BABAG, MONKAYO, DAVAO DE ORO</t>
  </si>
  <si>
    <t>SUPPLY AND DELIVERY OF COMMERCIAL FERTILIZERS</t>
  </si>
  <si>
    <t>20CF0131 Repair/Maintenance of Asan Flood Control, Gabaldon, Nueva Ecija</t>
  </si>
  <si>
    <t>Development of Water Supply System and Facilities at Tambo Babak District under PR No. 2020-05-2406.</t>
  </si>
  <si>
    <t>Purchase of Communication Load</t>
  </si>
  <si>
    <t>Cont. Ref. No. 073-20: Rehabilitation of Pathway at Upper Samoyao at Ampucao, Itogon, Benguet</t>
  </si>
  <si>
    <t>ILD-20-0754(R1): Procurement of Deionized Water to be used at Regional Soils Laboratory</t>
  </si>
  <si>
    <t>INVITATION TO BID FOR THE PROCUREMENT OF LABOR &amp; MATERIALS FOR THE PROJECT OF CONSTRUCTION OF MULTI-PURPOSE HALL-UPPER ULIP, MONKAYO, DAVAO DE ORO</t>
  </si>
  <si>
    <t>INVITATION TO BID FOR THE PROCUREMENT OF DOCUMENT READER FOR ALCUCOA ACCREDITION PURPOSES</t>
  </si>
  <si>
    <t>Purchase of Gulayan Repair Tools</t>
  </si>
  <si>
    <t>Procurement supply and Delivery of 1 unit 4 x 2 AT Pick Up</t>
  </si>
  <si>
    <t>Rebidding of Const. Supply &amp; Materials for the Maint. of BCR, Various Section</t>
  </si>
  <si>
    <t>BACKFILLING/ WIDENING OF BARANGAY ROADS</t>
  </si>
  <si>
    <t>Construction of Line Canal at Brgy. Poblacion 4, Sariaya, Quezon Area of Delivery Quezon</t>
  </si>
  <si>
    <t>Invitation to Bid for The Procurement of Labor &amp; Materials for The Project of Rehabilitation/ Improvement of Evacuation Center 1- Poblacion, Monkayo, Davao De Oro</t>
  </si>
  <si>
    <t>Rehabilitation of PHRDC Building at Catagman,  Samal District IGaCoS under PR No. 2020-06-2501</t>
  </si>
  <si>
    <t>Purchase of Non PS Module Materials</t>
  </si>
  <si>
    <t>Cont. Ref. No. 072-20: Construction of Canal from Provincial Road down to Balanza’s Residence at Bontoc Village at Virac, Itogon, Benguet</t>
  </si>
  <si>
    <t>Impv’t. of City Road (Re-Blocking) at Mambago-B,  Babak IGaCoS District under PR No. 2020-05-2435</t>
  </si>
  <si>
    <t>Purchase of 1 Unit Projector HDMI and Refrigerator</t>
  </si>
  <si>
    <t>Construction of Wheelbath at Villarica Wharf,  Babak District IGaCoS under PR No. 2020-04-2236.</t>
  </si>
  <si>
    <t>Procurement of Materials for the Rehabilitation of Water Source Pipeline from Intake Boxes to BPT to Reservoir Including Replacement of Ball Valve Defects</t>
  </si>
  <si>
    <t>Construction of Open Canal at Burgos St. to Balagtas St., Poblacion 1, Sariaya, Quezon</t>
  </si>
  <si>
    <t>WIRE</t>
  </si>
  <si>
    <t>Const. of Multipurpose Bldg. AMAVILL Subdivision at  Brgy. San Miguel, Samal District IGaCOS  under PR No. 2020-06-2450</t>
  </si>
  <si>
    <t>SUPPLY AND DELIVERY OF HYBRID PALAY SEEDS</t>
  </si>
  <si>
    <t>OFFICE ENHANCEMENT PROGRAM</t>
  </si>
  <si>
    <t>Purchase of 100 Pcs Water Meter</t>
  </si>
  <si>
    <t>Public Bidding for the Supply &amp; Delivery of Recombinant Human Erythropoietin for Roxas Memorial Provincial Hospital under ITB No. 2020-007H</t>
  </si>
  <si>
    <t>Supply and delivery of Diesel Fuel for various service vehicles and equipment use during covid-19 Mitigation activities.</t>
  </si>
  <si>
    <t>DELIVERY AND SUPPLY OF BDRRM EQUIPMENTS</t>
  </si>
  <si>
    <t>Procurement supply and Delivery of One (1) Set Rescue Boat with Outboard Motor Engine and Trailer</t>
  </si>
  <si>
    <t>Const. Supplies &amp; Materials for the Rehab of Togbongan Multi-Purpose Hall</t>
  </si>
  <si>
    <t>Cont. Ref. No. 077-20:Rehabilitation and Improvement of Kawa Footpath at Gumatdang, Itogon, Benguet</t>
  </si>
  <si>
    <t>LOT Procurement of TIRES and AIRCON COMPRESSOR for the Use of the PNP Vehicles in Support to Peace and Public Safety Operation</t>
  </si>
  <si>
    <t>CONSTRUCTION OF MULTI-PURPOSE BUILDING PHASE II (EMILIANA)</t>
  </si>
  <si>
    <t>19GSK00052– Supply &amp; Installation of mobile column lift, post lift and Filtration System for use in the upgrading of Base Overhaul Shop in this Office and the Area Shops within the Region</t>
  </si>
  <si>
    <t>Bid No. 20-0281 - PROCUREMENT OF CONSTRUCTION MATERIALS - MEO (CONSTRUCTION OF COVERED COURT - BRGY. TALIAN, MARAGUSAN, DAVAO DE ORO)</t>
  </si>
  <si>
    <t>INVITATION TO BID FOR THE PROCUREMENT OF LABOR &amp; MATERIALS FOR THE PROJECT OF REHABILITATION OF DRY MARKET @ BLOCK-2 (PHASE 2) BLACK 2, MARKET SITE, POBLACION, MONKAYO, DAVAO DE ORO</t>
  </si>
  <si>
    <t>Cont. Ref. No. 076-20: Construction of Millsite Child Development Center at Virac, Itogon, Benguet</t>
  </si>
  <si>
    <t>Cont. Ref. No. 075-20: Construction of Slope Protection at Camp Suerte at Virac, Itogon, Benguet</t>
  </si>
  <si>
    <t>INSTALLATION OF PAVEMENT BLOCKS, PAINTING OF CURB AT AMPHITHEATER AND DRYWALL PARTITIONS AT THE ARCHIVE ROOM IN THE PROVINCIAL CAPITOL BUILDING</t>
  </si>
  <si>
    <t>20GKI0015 (Public Bidding) Contract Name: Supply of WF-6869R Ink for use in the DPWH Office</t>
  </si>
  <si>
    <t>Widening of Road at Kinawitnon - Villarica Road Section  (Re-Bidding) under PR No. 2020-01-1386.</t>
  </si>
  <si>
    <t>ILD-20-0805(R1): Procurement of Autoclavable Plastic to be used in Metarhizium Production</t>
  </si>
  <si>
    <t>Purchase of Maternity Kit for Nutrition Month Celebration</t>
  </si>
  <si>
    <t>Supply and Delivery of IT Equipment for use of Sangguniang Panlalawigan Office</t>
  </si>
  <si>
    <t>Supply and delivery of customized sports uniform</t>
  </si>
  <si>
    <t>Supply and Delivery of Various Painting Materials ( F-063-0428-20 )</t>
  </si>
  <si>
    <t>IMPROVEMENT OF BARANGAY ROAD</t>
  </si>
  <si>
    <t>20GEI0019 - Furnishing and Delivery of Materials for use in the Concrete and Asphalt Pavement along CSR KM123+000-KM193+000 (Intermittent Section), Bongabong-Bulalacao, Oriental Mindoro_061</t>
  </si>
  <si>
    <t>20GSK00009 - Re-ITB – Supply and delivery of Office Supplies &amp; Consumables for use in the Office of the Regional Director, 1st quarter of 2020</t>
  </si>
  <si>
    <t>Procurement of Unified Threat Management (UTM) License Renewal and Support Maintenance (Main , VFO, MFO)</t>
  </si>
  <si>
    <t>PROCUREMENT OF ONE (1) SET THERMOPLASTIC ROAD LANE</t>
  </si>
  <si>
    <t>UPGRADING AND REHABILITATION OF POWERLINES AT SITIO TALISAY, SAN REMEGIO, KAPUTIAN DISTRICT, IGACOS (Rebidding)</t>
  </si>
  <si>
    <t>SUPPLY AND DELIVERY OF VARIOUS CONSTRUCTION MATERIALS FOR CONSTRUCTION OF BITAOG FENCE</t>
  </si>
  <si>
    <t>PROPOSED REHABILITATION OF SWIMMING POOL, GUINTUBDAN PAVILLION, BARANGAY ARA-AL, LA CARLOTA CITY”</t>
  </si>
  <si>
    <t>CONCRETING OF BARANGAY KANGHAAS-TALISAY-TABUNOK-TUGUIPA-SAN AGUSTIN FARM-TO-MARKET ROAD</t>
  </si>
  <si>
    <t>Invitation to Rebid for REBIDDING  OF SUPPLY AND DELIVERY OF MATERIALS  FOR REPLACEMENT &amp; EXPANSION OF PIPELINES</t>
  </si>
  <si>
    <t>20GIE0014 - Purchase of Laboratory Apparatus at Quality Assurance Section DPWH, Leyte Third Engineering District Office, Villaba, Leyte</t>
  </si>
  <si>
    <t>Livelihood dispersal (carabao)</t>
  </si>
  <si>
    <t>Fabrication of Steel Goal- Tagugpo, Pantukan</t>
  </si>
  <si>
    <t>LOT Procurement of SLIDING WINDOWS for Use in the Repair of RSDC Windows</t>
  </si>
  <si>
    <t>Supply &amp; Delivery of Various Construction Materials intended for Construction of Drainage Canal (Complete Bid)</t>
  </si>
  <si>
    <t>ILD-20-0809(R1): Preventive Maintenance and Calibration of Atomic Absorption Spectrophotometer</t>
  </si>
  <si>
    <t>CONSTRUCTION OF PATHWAY AT BRGY. LUMBANG, PILAR, SORSOGON</t>
  </si>
  <si>
    <t>Construction of Wheelbath at Caliclic, Babak Dist.,  IGACOS (Re-Bidding) under PR No. 2020-04-2281.</t>
  </si>
  <si>
    <t>Rebidding:5 cu.m Sand std. and specs and other items for improvement of Barangay 8 Lupa Day Care Center at Barangay 8.</t>
  </si>
  <si>
    <t>PROCUREMENT OF ONE (1) UNIT LIFTING PLATFORM FOR MAINTENANCE OF SPORTS COMPLEX AND OTHER SCHOOL FACILITIES</t>
  </si>
  <si>
    <t>Re-bidding: Supply and Delivery of IT Parts and Accessories (PR No. 2020-02-0120, 2020-02-0312, 2020-02-0203, 2020-02-0337, 2020-01-0034, 2020-01-0053, 2020-02-0225, 2020-02-0271, 2020-02-0308, 2020-0</t>
  </si>
  <si>
    <t>ELECTRIFICATION  AT SITIO BUCAWE TORIL BABAK DISTRICT (Rebidding) under PR#2020-05-2343</t>
  </si>
  <si>
    <t>Construction of Public Market Roadway Concreting.</t>
  </si>
  <si>
    <t>Provision of Security Services From March 1- December 31, 2020</t>
  </si>
  <si>
    <t>Upgrading of Urdaneta – Asingan via Calepaan Road, Urdaneta &amp; Asingan, Pangasinan</t>
  </si>
  <si>
    <t>FOD-L-20-2349: Procurement of Animal/Zoological Supplies to be given to the Cooperatives or Farmers Associations in support to Covid-19 Response Program in the Region</t>
  </si>
  <si>
    <t>PROPOSED CONSTRUCTION/REHABILITATION OF DRAINAGE SYSTEM PHASE II (SOUTH SIDE) ALONG OGATIS STREET, LA CARLOTA CITY</t>
  </si>
  <si>
    <t>Rental of 4 Units of 3-in-1 Photocopy Machine</t>
  </si>
  <si>
    <t>CONSTRUCTION OF NICHES AT NEW PUBLIC CEMETERY, PHASE VII-B OF 2020, LA CARLOTA CITY</t>
  </si>
  <si>
    <t>REHABILITATION OF MULTI-PURPOSE BUILDING</t>
  </si>
  <si>
    <t>Supply and delivery of fuel for the use of LGU ambulance</t>
  </si>
  <si>
    <t>Repiar of Supervisor's Office San pablo Central School.</t>
  </si>
  <si>
    <t>DEVELOPMENT OF WATER SUPPLY SYSTEM AND FACILITIES AT BRGY. SAN MIGUEL, SAMAL (Rebidding) under PR# 2020-03-2030</t>
  </si>
  <si>
    <t>Const/Rehab.of Local Core Roads</t>
  </si>
  <si>
    <t>PROCUREMENT OF OFFICE RENTAL</t>
  </si>
  <si>
    <t>Supply and Delivery of Handset Radio Transceiver</t>
  </si>
  <si>
    <t>Supply and Delivery of T-shirt w/ print intended for the Mun. Officilas, Employeesand Punong Barangays</t>
  </si>
  <si>
    <t>COMPLETION OF MULTI PURPOSE HALL CUM EVACUATION CENTER</t>
  </si>
  <si>
    <t>CONSTRUCTION OF CARRASCAL FISH LANDING</t>
  </si>
  <si>
    <t>REPAIR AND MAINTENANCE OF MOTOR VEHICLE</t>
  </si>
  <si>
    <t>20GSK00013– Supply &amp; delivery of Desktop Computer &amp; Laser Projector for use in the Administrative Division</t>
  </si>
  <si>
    <t>Construction of Municipal Terminal.</t>
  </si>
  <si>
    <t>SAAD-20-2364: Procurement of Office Supplies for the DA SAAD PPMSO Bohol</t>
  </si>
  <si>
    <t>Supply and Delivery of One (1) unit Vehicle</t>
  </si>
  <si>
    <t>Purchase of two sets of collapsible tent and one unit ambulance Stretcher</t>
  </si>
  <si>
    <t>Complete Construction of DPWH Standard Two-Storey Four-Classroom School Building at Magalang Central School, Magalang, Pampanga</t>
  </si>
  <si>
    <t>PROPOSED EXTENSION OF LOCK-UP CELL</t>
  </si>
  <si>
    <t>PROCUREMENT OF GOODS FOR THE VARIOUS LIVELIHOOD PROJECTS OF LGU-VALDERRAMA, ANTIQUE</t>
  </si>
  <si>
    <t>AMP SVP-D NO: 20-06-0367 Sampling and Determination of Polychlorinated Biphenyls (PCB) Content of CMO Transformer Oil</t>
  </si>
  <si>
    <t>PURCHASE OF CONSTRUCTION MATERIALS FOR DEVELOPMENT OF WATER SUPPLY SYSTEM AND FACILITIES AT PUROK 10, SAN ISIDRO, BABAK DISTRICT, IGACOS (Rebidding)</t>
  </si>
  <si>
    <t>Complete Construction of DPWH Standard Four-Storey Twenty-Classroom School Building at EPZA Resettlement Elementary School, Angeles City, Pampanga</t>
  </si>
  <si>
    <t>Complete Construction of DPWH Standard Four-Storey Twenty-Four-Classroom School Building at Lourdes Northwest Elementary School, Angeles City, Pampanga</t>
  </si>
  <si>
    <t>Construction of Perimeter Fence with Drainage</t>
  </si>
  <si>
    <t>Supply and delivery of materials for the construction of four (4) classrooms at sitio Sultana, Donganpekong, Matanao, Davao del Sur</t>
  </si>
  <si>
    <t>DPWH Standard Four-Storey Twelve-Classroom School Building at Gueco Elementary School, Angeles City, Pampanga</t>
  </si>
  <si>
    <t>Eggs, chicken, medium size, 30 pcs/tray</t>
  </si>
  <si>
    <t>Bid No. 20-0321 - PROCUREMENT OF PLUMBING MATERIALS - MEO (IMPROVEMENT OF POTABLE WATER SYSTEM - BRGY. PAMINTARAN, MARAGUSAN, DAVAO DE ORO)</t>
  </si>
  <si>
    <t>CONSTRUCTION OF CONCRETE CANAL  OVER</t>
  </si>
  <si>
    <t>Construction of Two (2) Storey Multi-Purpose Building (for BSP Eastern Pangasinan Council)</t>
  </si>
  <si>
    <t>CONSTRUCTION OF MARKER, Brgy. Oluangan, Leon, Iloilo</t>
  </si>
  <si>
    <t>SUPPLY AND DELIVERY OF MATERIALS FOR SPECIAL AREAS FOR AGRICULTURAL DEVELOPMENT (SAAD) PROGRAM/PROJECT IMPLEMENTATION IN THE PROVINCE OF MISAMIS OCCIDENTAL FOR CY 2020</t>
  </si>
  <si>
    <t>Cont. Ref. No. 086-20: Rehabilitation of Canal below Gym down to Ambalanga River at Poblacion, Itogon, Benguet</t>
  </si>
  <si>
    <t>Cont. Ref. No. 085-20: Construction of Waterworks at Lumbag at Ampucao, Itogon, Benguet</t>
  </si>
  <si>
    <t>REHABILITATION OF MULTI-PURPOSE CENTER</t>
  </si>
  <si>
    <t>Construction of Drainage System/ Drainage System  Kinawitnon, Babak District under PR No. 2020-05-2409</t>
  </si>
  <si>
    <t>Expansion of Potable Water System at So. EEA, So. Carumbac and Mulawin Proper</t>
  </si>
  <si>
    <t>Repair/Rehabilitation of Students Comfort Room #2</t>
  </si>
  <si>
    <t>CONSTRUCTION OF CONCRETE PATHWAY</t>
  </si>
  <si>
    <t>PURCHASE OF LIQUID DISINFECTANT AND DEODORIZER</t>
  </si>
  <si>
    <t>Construction Works (Perimeter Fence, Guard House, Power House and Storage Room(</t>
  </si>
  <si>
    <t>Repair/Rehabilitation of Students Comfort Room #1</t>
  </si>
  <si>
    <t>PURCHASE OF 1 UNIT BRAND NEW VEHICLE</t>
  </si>
  <si>
    <t>Cont. Ref. No. 081-20: Rehabilitation along Baloy Road Household Waterworks at Tinongdan, Itogon, Benguet</t>
  </si>
  <si>
    <t>INSTALLATION AND REHABILITATION OF STREET LIGHTS AT BARANGAY 39, CARIDAD, CAVITE CITY</t>
  </si>
  <si>
    <t>Cont. Ref. No. 080-20: Rehabilitation of Communal Irrigation System at Co-og at Tinongdan, Itogon, Benguet</t>
  </si>
  <si>
    <t>Cont. Ref. No. 083-20: Construction of Protection Wall at the Basketball Court at Pasiday at Ampucao, Itogon, Benguet</t>
  </si>
  <si>
    <t>Cont. Ref. No. 082-20: Improvement of Footpath from Cayoco to Tinongdan Proper at Tinongdan, Itogon, Benguet</t>
  </si>
  <si>
    <t>Cont. Ref. No. 079-20: Rehabilitation of Canal from Upper to Lower Camanggaan Comfort Room at Virac, Itogon, Benguet</t>
  </si>
  <si>
    <t>Procurement of Food Packs for the use of Crisis Intervention Section of DSWD FO XI</t>
  </si>
  <si>
    <t>Complete Construction of DPWH Standard Two-Storey Four-Classroom School Building at Balitucan National High School, Magalang, Pampanga</t>
  </si>
  <si>
    <t>Procurement of ICT Equipment and Office Supplies</t>
  </si>
  <si>
    <t>Construction and Expansion of Potable Water System Level II at Brgy. Lumangbayan,     Poblacion I and II, STCOM</t>
  </si>
  <si>
    <t>CONSTRUCTION OF STREETLIGHTS, Brgy. Carolina, Leon, Iloilo</t>
  </si>
  <si>
    <t>Training Shirts and Uniform for MNC during Nutrition Month Celebration</t>
  </si>
  <si>
    <t>UPLB-RQ-6-079-20-GOODS SUPPLY AND DELIVERY OF LABORATORY SUPPLIES &amp; EQUIPMENT FOR IMSP</t>
  </si>
  <si>
    <t>20GAD0007 : Purchase of 9 units desktop computers for use in Ilocos Sur 2nd DEO, Candon City, Ilocos Sur</t>
  </si>
  <si>
    <t>Procurement of Pre-fab Fiber Glass Board</t>
  </si>
  <si>
    <t>Installation of Street LightingSystem (8Units)</t>
  </si>
  <si>
    <t>Supply of Labor, Tools and Equipment for the Drilling of One (1) Unit Exploratory/Production Well at Arcon, Tumauini, Isabela</t>
  </si>
  <si>
    <t>2nd round distribution of relief goods of barangay Sta. Filomena</t>
  </si>
  <si>
    <t>Procurement of Service Vehicle ( Bicycle)</t>
  </si>
  <si>
    <t>REPLACEMENT OF ELECTRICAL INSTALLATION IN COVERED COURT</t>
  </si>
  <si>
    <t>Autoclavable Pipettors</t>
  </si>
  <si>
    <t>Supply and Delivery of Portable Turbidity Meter</t>
  </si>
  <si>
    <t>•	Package 3 – Supply and Delivery of Materials for the construction of Solar Drier under Local Development Projects for the following barangays; Balacayon, Buricain and New Culasi, all located at Pigc</t>
  </si>
  <si>
    <t>CONSTRUCTION OF BARANGAY LIPUGA CIS Located at Alfonso Castañeda, Nueva Vizcaya</t>
  </si>
  <si>
    <t>Supply and Delivery of One (1) Lot Various Printing Consumables under ITB No. FB20-02-004CORa-06</t>
  </si>
  <si>
    <t>Digital Water Bath</t>
  </si>
  <si>
    <t>Procurement of Technical Scientific Laboratory Equipment for CAFF and CNPAHS at NORSU Pamplona and Main Campuses (Batch 1)</t>
  </si>
  <si>
    <t>SUPPLY AND DELIVERY OF HYGIENE DISINFECTANT SUPPLIES AND MEDICAL SUPPLIES FOR DEPED DIVISION OFFICE</t>
  </si>
  <si>
    <t>•	Package 2 – Supply and Delivery of Materials for the construction of drainage canal under Local Development Projects for the following barangays; Balogo, Capayuran, Poblacion 2 and Upper Baguer, all</t>
  </si>
  <si>
    <t>•	Package 1 – Supply and delivery of materials for the Improvement of Multi-Purpose Building under Local Development Projects for the following barangays; Anick, Banucagon, Buluan, Bulucaon, Cabpangi,</t>
  </si>
  <si>
    <t>PRINTING OF LOCALIZED BOOKS FOR BALIWAG NORTH AND SOUTH DISTRICT</t>
  </si>
  <si>
    <t>CONSTRUCTION/IMPROVEMENT OF TANDOK-LOCOS-KASERREK FTMR Located at Mabuslo, Bambang, Nueva Vizcaya</t>
  </si>
  <si>
    <t>Purchase of Two Units Brand New Garbage Dumptruck under PR No. 2020-03-1612 (Re-bidding)</t>
  </si>
  <si>
    <t>Cont. Ref. No. 064-20: Improvement of Saddle – Hartwell Feeder Road at Ampucao, Itogon, Benguet</t>
  </si>
  <si>
    <t>LABOR AND MATERIALS FOR THE CONSTRUCTION OF FIBERGLASS REINFORCED PLASTIC (FRP) BOATS FOR SPECIAL AREAS FOR AGRICULTURAL DEVELOPMENT (SAAD) PROGRAM/PROJECT IMPLEMENTATION IN THE PROVINCE OF MISAMIS OC</t>
  </si>
  <si>
    <t>Supply/Delivery of 6 units Multicab Full Body Type</t>
  </si>
  <si>
    <t>CONCRETING OF BRGY. ROAD,  &amp; CONSTRUCTION OF BOX CULVERT- BRGY. PALINGOWAK</t>
  </si>
  <si>
    <t>Cont. Ref. No. 088-20: Improvement of Sayo Road at Dalupirip, Itogon, Benguet</t>
  </si>
  <si>
    <t>CONCRETING OF BRGY. ROAD,  &amp; CONSTRUCTION OF BOX CULVERT- BRGY. SUBUKIN</t>
  </si>
  <si>
    <t>Drainage at Zone 5 Bgy. Abella, Naga City</t>
  </si>
  <si>
    <t>Laminar Flow Hood and Fume Hood</t>
  </si>
  <si>
    <t>Cont. Ref. No. 087-20: Construction of Concrete Covered Canal along Ucab Provincial Road (below M. Tauli Residence towards Barangay Hall) at Ucab, Itogon, Benguet</t>
  </si>
  <si>
    <t>CONCRETING OF BRGY. ROAD,  &amp; CONSTRUCTION OF BOX CULVERT- BRGY. SAPANGAN</t>
  </si>
  <si>
    <t>Establishment and Equipping of TTMF for COVID-19 Cases</t>
  </si>
  <si>
    <t>Construction of Commercial Stall.</t>
  </si>
  <si>
    <t>CONCRETING OF BANGANAN-TUCANON-TABUENG ROAD Located at Aritao, Nueva Vizcaya</t>
  </si>
  <si>
    <t>CONSTRUCTION OF COLINTINAFTMR Located at Imugan, Sta. Fe, Nueva Vizcaya</t>
  </si>
  <si>
    <t>Benchtop pH Meter</t>
  </si>
  <si>
    <t>SUPPLY AND DELIVERY OF PASSENGER TYPE VAN (ITB No. 2020-130-B)-(pgo-pdrc)</t>
  </si>
  <si>
    <t>One Lot Repair/ Rehabilitation/ Improvement/ Renovation of Ultrasound Unit (with Provision Against Covid 19 and other Emerging Highly Infectious Diseases)</t>
  </si>
  <si>
    <t>IMPROVEMENT OF MUNICIPAL PLAZA (CONSTRUCTION OF COMFORT ROOM)</t>
  </si>
  <si>
    <t>Improvement of Brgy. Multi-purpose Building, Brgy. Ninoy Aquino, Canlaon City (AIP 2018)</t>
  </si>
  <si>
    <t>Procurement of Various Electrical Supplies-03-028(N)PEMO</t>
  </si>
  <si>
    <t>RIPRAPPING/SLOPE PROTECTION OF LAWAYE RIVER</t>
  </si>
  <si>
    <t>Supply and Delivery of Volumetric Flask</t>
  </si>
  <si>
    <t>PROCUREMENT OF PATIENT TRANSPORT VEHICLE (RE-BID) CDRRMO, MALAYBALAY CITY.</t>
  </si>
  <si>
    <t>Procurement of Various Electrical Supplies-03-024(N)PEMO</t>
  </si>
  <si>
    <t>Acid Storage Cabinet</t>
  </si>
  <si>
    <t>CONSTRUCTION OF 2 STOREY GOVERNMENT OFFICE/BUILDING (UTILITY/KALIPI/4P's) PHASE  1</t>
  </si>
  <si>
    <t>CONSTRUCTION/IMPROVEMENT/REHABILITATION OF MUN. BUILDING &amp; FACILITIES (REHAB. OF ELEVATED STEEL TANK)</t>
  </si>
  <si>
    <t>Procurement of Laboratory Reagents and Dental for the use of Godofredo P. Ramos Hospital, Altavas, Aklan/ITB no: 2020-365</t>
  </si>
  <si>
    <t>PROCUREMENT OF ACTIVITY BOOK FOR KINDERGARTEN OF BALIWAG NORTH  AND SOUTH DISTRICT</t>
  </si>
  <si>
    <t>Request for Quotation for Four (4) units Laptop Computers with Wireless Mouse</t>
  </si>
  <si>
    <t>Procurement of Various Spare Parts-06-364(A)PGO</t>
  </si>
  <si>
    <t>Supply and Delivery of Diesel Fuel and Oil Lubricants for Farm to Market Road - Purok 5 to Purok 6 &amp; Purok 7</t>
  </si>
  <si>
    <t>SUPPLY AND DELIVERY OF BRAND NEW MINI DUMP TRUCK (ITB No. 2020-133-B)-(bpmc)</t>
  </si>
  <si>
    <t>SUPPLY AND DELIVERY OF IT EQUIPMENT AND STEEL CABINET</t>
  </si>
  <si>
    <t>CONCRETING OF UNAON-STA. LUCIA ROAD Located at Bagabag, Nueva Vizcaya</t>
  </si>
  <si>
    <t>IB. No. HS-2020-001</t>
  </si>
  <si>
    <t>Water Bath</t>
  </si>
  <si>
    <t>Supply and Delivery of Toners, Imaging and Photoconductor Kit for Multifunction (Copier, Scanner, Printer) Machine &amp; Laser Printers of BIR-RR No. 9B LaQueMar, San Pablo City</t>
  </si>
  <si>
    <t>Procurement of Various Spare Parts-06-363(A)PGO</t>
  </si>
  <si>
    <t>Cont. Ref. No. 084-20: Rehabilitation of Karil Barangay Road at Dalupirip, Itogon, Benguet</t>
  </si>
  <si>
    <t>Janitorial Services</t>
  </si>
  <si>
    <t>Procurement of Various Spare Parts-06-362(A)PGO</t>
  </si>
  <si>
    <t>Supply &amp; Delivery of Materials for the Assistance of BDRRMC in Establishing Barangay Disaster Operations Center (BDOC) - Barangay Guinbirayan</t>
  </si>
  <si>
    <t>Purchase of Materials for the Construction of Watersystem (GAD)  for Barangays Linao,Jilabangan,Dalaupon,Saying,Pinalubngan,Tanlad and Lag-it,Tayasan Neg. Or.</t>
  </si>
  <si>
    <t>Rescue Equipment</t>
  </si>
  <si>
    <t>B-037-2020 PROCUREMENT OF 1 LOT VARIOUS SANITATION AND HYGIENE SUPPLIES- SVP</t>
  </si>
  <si>
    <t>SAAD-20-2356: Procurement of 3,000 sachets Dewormer to be used for the DA SAAD Native Chicken Production Project in Bohol Province</t>
  </si>
  <si>
    <t>Supply of 2,080 pieces Cellcard Prepaid</t>
  </si>
  <si>
    <t>Acid Cabinet</t>
  </si>
  <si>
    <t>Request for Quotation for Various Construction Materials - P.R. No. 13811</t>
  </si>
  <si>
    <t>ITB No. 2020-I-P6-01: Concreting/Construction/Iprovement of Various Infra Projects</t>
  </si>
  <si>
    <t>Purchase of Veterinary Medicine, Feeds and Pet ID Tag</t>
  </si>
  <si>
    <t>One (1) Lot Diesel Fuel for Generators</t>
  </si>
  <si>
    <t>SAAD-20-2357: Procurement of Cellcards to be used by the DA SAAD RPMSO, PPMSO Negros Oriental, PPMSO Siquijor and PPMSO Bohol Staff</t>
  </si>
  <si>
    <t>Construction of Multi-Purpose Building,  (Agricultural Training and Tourism Center), Hungduan, Ifugao</t>
  </si>
  <si>
    <t>2nd Invitation to Bid for the  CONSTRUCTION/IMPROVEMENT OF SITIO CAINO FTMR Located at Banila, Dupax del Sur, Nueva Vizcaya</t>
  </si>
  <si>
    <t>Procurement of Various Spare Parts-06-365(A)PGO</t>
  </si>
  <si>
    <t>Supply &amp; Delivery of Materials for the Assistance of BDRRMC in Establishing Barangay Disaster Operations Center (BDOC) - Barangay Tabugon</t>
  </si>
  <si>
    <t>Installation of Secondary Lines Sitio Maapon, Sitio Pulang Lupa and Sitio Kabilang Piis Barangay Piis Lucban, Quezon</t>
  </si>
  <si>
    <t>Procurement of Drugs &amp; Medicines for the use of Dr. Rafael S. Tumbokon Memorial Hospital-EEDD, Kalibo, Aklan – Re Bidding/ITB no: 2020-366</t>
  </si>
  <si>
    <t>Supply of Labor and Materials for the Restoration Works at Different Areas located in Calamba City (Rebidding)</t>
  </si>
  <si>
    <t>SUPPLY AND DELIVERY OF IT SUPPLIES &amp; EQUIPMENT AND OFFICE SUPPLIES FOR THE DIVISION OFFICE FOR 2ND QUARTER OF 2020 (LOT 1-2)</t>
  </si>
  <si>
    <t>Covered Court at Sabang High School, Bgy. Sabang, Naga City</t>
  </si>
  <si>
    <t>Supply &amp; Delivery of 200 Mbps Leased Line Internet Connection for JHCSC (1 Year)</t>
  </si>
  <si>
    <t>ITB No. 2020-I-P7-01:Continuation/Iprovement/ Construction/Concreting/ Rehab of Various Infra Projects</t>
  </si>
  <si>
    <t>FLOOD CONTROL PROJECT- BRGY. PALINGOWAK</t>
  </si>
  <si>
    <t>Various Medicines for Rural Health Unit of Hinobaan</t>
  </si>
  <si>
    <t>Concreting of Katitisan - Gumaga Road</t>
  </si>
  <si>
    <t>One (1) Lot Transport &amp; Hauling of Shredded Banknote</t>
  </si>
  <si>
    <t>Supply and Delivery of Office Equipment for use of Different Offices of the PGOM</t>
  </si>
  <si>
    <t>Procurement of Various Food Stuff-06-002(AI)PNO</t>
  </si>
  <si>
    <t>Supply and Delivery of Flame-Resistant Chemical Storage Cabinet</t>
  </si>
  <si>
    <t>Rebidding of Improvement of Nueva Fuerza Water System</t>
  </si>
  <si>
    <t>Rebidding: 8 pack Water Proofing Compound and other items for improvement of Barangay 8 Lupa Day Care Center at Barangay 8.</t>
  </si>
  <si>
    <t>Rebidding: 20 bags Tile Adhesive 25 kgs/bag and other items for improvement of Candau-ay Habitat Day Care Center at Barangay Candau-ay.</t>
  </si>
  <si>
    <t>Electric Sterilizer</t>
  </si>
  <si>
    <t>CORN20-06-23-0191 Supply and Delivery of Plastic Pallets.</t>
  </si>
  <si>
    <t>Supply and Delivery of 1,800 Pcs of Transparent Hygiene Kit Pouch for Students</t>
  </si>
  <si>
    <t>Supply of 980 pieces Cellcard Prepaid</t>
  </si>
  <si>
    <t>IMPROVEMENT OF CVR BAMBANG-SALINAS-SAN FABIAN-PINGKIAN ROAD Located at Kayapa, Nueva Vizcaya</t>
  </si>
  <si>
    <t>Procurement of Various Construction Supplies and Materials-06-371(O)PEO</t>
  </si>
  <si>
    <t>pH Meter</t>
  </si>
  <si>
    <t>COMPLETION OF SCHOOL BUILDING (Lusacan NHS, Brgy. Lusacan)</t>
  </si>
  <si>
    <t>SUPPLY, DELIVERY AND INSTALLATION OF EQUIPMENT FOR SDO CAMARINES SUR IT SECTION (LOT 1-3)</t>
  </si>
  <si>
    <t>CONCRETING OF JCT. NATIONAL BATU-BALINTUGON ROAD Located at Alfonso Castañeda, Nueva Vizcaya</t>
  </si>
  <si>
    <t>Supply and Delivery of Chlorine Dioxide (Liquid Solution) (Rebidding)</t>
  </si>
  <si>
    <t>ITB No. 2020-I-P5-01: Continuation/Construction/Concreting of Various Infra Projects</t>
  </si>
  <si>
    <t>LOCAL ACCESS ROAD REHABILITATION/IMPROVEMENT, Brgy. Bucari-Cagay-Ingay Road</t>
  </si>
  <si>
    <t>Bid No. 20-0322 - PROCUREMENT OF OFFICE SUPPLIES - MEO &amp; MOTORPOOL OPERATIONS</t>
  </si>
  <si>
    <t>IMPROVEMENT OF BARANGAY ROADS</t>
  </si>
  <si>
    <t>ITB No. 2020-G-06-01: Purchase of Transformer w/ Installation and Metering</t>
  </si>
  <si>
    <t>Supply and Delivery of Two-Way Radio for Security Guard</t>
  </si>
  <si>
    <t>B-036-2020 PROCUREMENT OF 1 LOT VARIOUS OFFICE SUPPLIES - SVP</t>
  </si>
  <si>
    <t>ITB No. 2020-G-04-02: Purchase of Glass Crusher &amp; Plastic shredder/Granulator</t>
  </si>
  <si>
    <t>Development of Public Cemetery of Hinobaan</t>
  </si>
  <si>
    <t>Two (2) Units Piston Arm Motor Assembly</t>
  </si>
  <si>
    <t>Construction for Extension of Multi-Purpose Pavement 1.</t>
  </si>
  <si>
    <t>Concreting of Montay Road</t>
  </si>
  <si>
    <t>LOCAL ACCESS ROAD REHABILITATION/IMPROVEMENT, Brgy. Ligtos-Gines-Tunguan Road</t>
  </si>
  <si>
    <t>REHABILITATION OF DRAINAGE ZONE 5</t>
  </si>
  <si>
    <t>PROCUREMMENT OF 1 UNIT ANDROIND PHONE FOR MDRRM USE</t>
  </si>
  <si>
    <t>ESTABLISHMENT OF TRAFFIC WARNING SIGNS ALONG NATIONAL ROADS, PROVINCIAL ROADS &amp; MUNICIPAL ROADS @ BUENAVISTA AGUSAN DEL NORTE</t>
  </si>
  <si>
    <t>CONSTRUCTION OF RESIDUAL CONTAINMENT FACILITY – SANITARY LANDFILL, SAN JUAN, LA FORTUNA, IMPASUGONG, BUKIDNON</t>
  </si>
  <si>
    <t>Concreting of Batiocan - Demapaco Road</t>
  </si>
  <si>
    <t>REPAIR &amp; MAINTENANCE OF BRGY. VEHICLE/S - 2020</t>
  </si>
  <si>
    <t>INSTALLATION OF STREETLIGHTS BARANGAY AMBOLONG-PALAY (PHASE 2)</t>
  </si>
  <si>
    <t>UPLB-IF-014-07-20 rebid IMPROVEMENT OF ACCOUNTING OFFICE, A.G. SAMONTE HALL BUILDING, UPLB, COLLEGE, LAGUNA rebid.</t>
  </si>
  <si>
    <t>Supply and Delivery of Architectural Design of a Proposed Construction of 2-Storey Midwifery Building</t>
  </si>
  <si>
    <t>Rebidding: Lot 1- Supply and Delivery of Laboratory Equipment for Food Technology Instruction (PR No. 2020-02-0292) Lot 2- Supply and Delivery of Tools and Materials for Food Technology Instruction (P</t>
  </si>
  <si>
    <t>INSTALLATION OF SOLAR LIGHTS</t>
  </si>
  <si>
    <t>20FK0056-Repair/Maintenance of Mauhang River Control (Downstream Left) F40095LZ, Brgy. Sta. Cruz Casiguran Sorsogon</t>
  </si>
  <si>
    <t>PROCUREMENT OF 2 UNITS OF WINDOW TYPE AIRCON WITH ACCESSORIES  AND CURTAIN</t>
  </si>
  <si>
    <t>UPLB-IF-017-07-20 PROPOSED GEN-SET HOUSE AND TRANSFORMER ENCLOSURE WITH FIELD STAFF FACILITY, UPLB CAMPUS, COLLEGE LAGUNA</t>
  </si>
  <si>
    <t>Procurement of Drugs &amp; Medicines for the use of HIV/Aids Clinic -Dr. Rafael S. Tumbokon Memorial Hospital-EEDD, Kalibo, Aklan – Re Bidding /ITB no: 2020-368</t>
  </si>
  <si>
    <t>Repair/Maintenance of DILG Building Lagawe Municipal Police Station, Lagawe, Ifugao</t>
  </si>
  <si>
    <t>Construction of Access Road at Sitio Kalangitan, Brgy. Cutcut II, Capas, Tarlac 647184</t>
  </si>
  <si>
    <t xml:space="preserve">PB-2020-0009 Supply/Delivery of Technical and Scientific Equipment for use of the Quality Assurance Section Laboratory Unit, DPWH-South Cotabato 2nd District Engineering Office, Koronadal City, South </t>
  </si>
  <si>
    <t>Construction of Covered Court</t>
  </si>
  <si>
    <t>INFRASTRUCTURE WORKS FOR THE ROAD CONCRETING OF BARANGAY ROAD AT BARANGAY NAJANDIG,ZAMBOANGUITA, NEGROS ORIENTAL</t>
  </si>
  <si>
    <t>Procurement of Fuel and Oil (2nd and 3rd quarter 2020)</t>
  </si>
  <si>
    <t>INFRA-REHABILITATION OF MUNICIPAL ROAD, BASIL-LEMON GRASS ST., DEMARSES SUBD., BATONG MALAKE, LOS BANOS, LAGUNA</t>
  </si>
  <si>
    <t>Supply and Delivery of Various Medical, Laboratory, Dental and Radiology Equipment</t>
  </si>
  <si>
    <t>UPLB-RQ-6-134-20-I SUPPLY AND DELIVERY OF CONSTRUCTION PROJECTS FOR CEAT - LIBRARY</t>
  </si>
  <si>
    <t>Construction for Extension of Fence for Multi-Purpose Pavement 1.</t>
  </si>
  <si>
    <t>Supply and Delivery of Laptop for Official Use of All Public Schools – DEPED San Pedro Laguna</t>
  </si>
  <si>
    <t>REPAIR/REHABILITATION OF TIMBER BRIDGE</t>
  </si>
  <si>
    <t>Procurement of 1 Lot Repair and Maintenance of Office Equipment (Printers) for the 3rd Quarter of 2020</t>
  </si>
  <si>
    <t>INFRASTRUCTURE WORKS FOR THE ROAD CONCRETING OF BARANGAY ROAD AT BARANGAY MAYABON, ZAMBOANGUITA, NEGROS ORIENTAL</t>
  </si>
  <si>
    <t>PROCUREMENT OF SMART TV FOR SCHOOL INSTRUCTIONAL MATERIALS FOR TEACHING AND LEARNING</t>
  </si>
  <si>
    <t>PROCUREMENT OF ASSORTED MDRRM EQUIPMENTS</t>
  </si>
  <si>
    <t>INSTALLATION OF STREET LIGHTS AT BARANGAY MANDONG</t>
  </si>
  <si>
    <t>20GA0152-Re-Invitation-Construction of Multi-Purpose Building Brgy. Baybay, Tangalan, Aklan</t>
  </si>
  <si>
    <t>INFRASTRUCTURE WORKS FOR THE ROAD CONCRETING OF BARANGAY ROAD AT BARANGAY LUTOBAN, ZAMBOANGUITA, NEGROS ORIENTAL</t>
  </si>
  <si>
    <t>Procurement of 1 Lot Repair and Maintenance of Office Equipment (Desktop Computer) for the 3rd Quarter of 2020</t>
  </si>
  <si>
    <t>CONSTRUCTION OF IRRIGATION FACILITIES-LOWER AKKI</t>
  </si>
  <si>
    <t>Chemical Reagents for RHU</t>
  </si>
  <si>
    <t>Road Construction with Drainage System (widening of Magsaysay Road from Heaven’s Gate Cemetery onwards east) located at Magsaysay Street</t>
  </si>
  <si>
    <t>Procurement of 1 Lot Repair and Maintenance of Office Equipment (Air-condition) for the 3rd Quarter of 2020</t>
  </si>
  <si>
    <t>B20200232 - CONST. MATERIALS FOR INSTALLATION OF TEMPORARY HOUSE COMPONENTS FOR VICTIMS OF ARMED CONFLICT PH. 3 CUAMBUGAN, TAGUM CITY</t>
  </si>
  <si>
    <t>Procurement of Consultancy Services for Updating of Comprehensive Land Use Plan 2020-2029</t>
  </si>
  <si>
    <t>20ND0066 - REPAIR/MAINTENANCE OF DPWH BLDG. MULTI-PURPOSE HALL BUTUAN CITY DISTRICT ENGINEERING OFFICE</t>
  </si>
  <si>
    <t>Supply &amp; Delivery of Materials for Upgrading of Seaweeds Processing Center</t>
  </si>
  <si>
    <t>Construction of Multi-Purpose Pavement (Phase IV)</t>
  </si>
  <si>
    <t>One (1) Lot Lease and Rental of Property</t>
  </si>
  <si>
    <t>Procurement of materials and labor for the Installation of 9 units Solar Streetlights</t>
  </si>
  <si>
    <t>20GHD0002 - Supply and delivery of Emulsified Asphalt Cationic-SS1 and Asphalt Cement Penetration Grade 85-100 for the Repair/Maintenance (Joints &amp; Cracks Sealing and Pothole Patching) along Cebu Nort</t>
  </si>
  <si>
    <t>20ND0067 - Construction of Multi-Purpose Building, Brgy. Poblacion, Las Nieves, Agusan del Norte</t>
  </si>
  <si>
    <t>Supply and Delivery of Digital Duplicator Machine and Consumables for Official Use of All Public Schools – DEPED San Pedro Laguna</t>
  </si>
  <si>
    <t>Supply of Security Services for 2020-2021</t>
  </si>
  <si>
    <t>Contract ID: 20JH0044 Const. of One (1) Unit Rain Water Collector @ Basilan General Hospital</t>
  </si>
  <si>
    <t>Supply and Delivery of Licensed Statistical Package for the Research Office</t>
  </si>
  <si>
    <t>20FO0104 - Expansion of Municipal Hall, Guinobatan, Albay</t>
  </si>
  <si>
    <t>20-05-183 Procurement of Biosafety Cabinet Type II</t>
  </si>
  <si>
    <t>Supply of Janitorial Services</t>
  </si>
  <si>
    <t>Supply and Delivery of ICT Supplies 3rd Quarter.</t>
  </si>
  <si>
    <t>UPLB-RQ-6-080-20-GOODS SUPPLY AND DELIVERY OF VETERINARY PRODUCTS AND SUPPLIES FOR VTH</t>
  </si>
  <si>
    <t>Contract ID: 20JH0047 Construction of One (1) Unit Rain Water Collector @ Basilan National High  School 2STRY 10-CL (Unit-1)</t>
  </si>
  <si>
    <t>Procurement of 1 Lot Repair and Maintenance of Office Equipment (Photocopier) for the 3rd Quarter of 2020</t>
  </si>
  <si>
    <t>Contract ID: 20JH0043 Construction of One (1) Unit Rain Water Collector @ Isabela City District  Engineering Office (ICDEO)</t>
  </si>
  <si>
    <t>Procurement of Consultancy Services (Individual) for the Cost-Benefit Analysis of Community-Based and Center-Based Intervention for Children in Conflict with the Law.</t>
  </si>
  <si>
    <t>B20200233 - CONSTRUCTION MATERIALS FOR INSTALLATION OF TEMPORARY HOUSE COMPONENTS FOR VICTIMS OF ARMED CONFLICT PH. 1, CUAMBUGAN, TAGUM CTIY</t>
  </si>
  <si>
    <t>Supply and Delivery of Steel Fence Materials (Hardware Supplies (3rd Quarter)</t>
  </si>
  <si>
    <t>Purchase of Materials/Fittings for Waterworks Maintenance</t>
  </si>
  <si>
    <t>Supply and Delivery of Force Load Cell/Strain Amplifier with Data Acquisition System, Laptop Control System for Tractor Drawbar Test</t>
  </si>
  <si>
    <t>20MC-INFRA-030 Concreting/Rehabilitation of Roads @ Brgy. Nursery, Masbate City</t>
  </si>
  <si>
    <t>Construction of Farmer’s Dormitory Building and Construction of PVET Admin Building, Zitanga, Ballesteros, Cagayan</t>
  </si>
  <si>
    <t>20GFN0009 Furnishing and delivery of Furnishing and Delivery of Spare Parts for use in the Repair and Preventive Maintenance of Service Vehicles and Equipment assigned at DPWH Camarines Sur 5th Distri</t>
  </si>
  <si>
    <t>Request for Quotation No. 04-2020-01 (Chlorine Dioxide Component)</t>
  </si>
  <si>
    <t>20GFN0010 FURNISHING AND DELIVERY OF MATERIALS FOR USE IN THE TRAFFIC SERVICES MAINTENANCE (CENTERLINE &amp; LANE LINE REPAINTING, GUARDRAILS MAINTENANCE, &amp; OTHER TRAFFIC SERVICES)</t>
  </si>
  <si>
    <t>PROCUREMENT OF ONE (1) UNIT RESCUE VEHICLE 2.2 L 4x4 Manual Transmission</t>
  </si>
  <si>
    <t>Procurement of Fuel &amp; Lubricants</t>
  </si>
  <si>
    <t>Invitation to a Negotiation Meeting_Planetary Mixer</t>
  </si>
  <si>
    <t>ITB No. 2020-004-PROVISION OF SECURITY SERVICES  FOR FDA-REGIONAL FIELD OFFICES AND CEBU TESTING  AND QUALITY ASSURANCE LABORATORY</t>
  </si>
  <si>
    <t>20MC-GOODS-032 Procurement of Carabaos for LGU - Masbate City</t>
  </si>
  <si>
    <t>Purchase of Street Lights/Bulb and Electrical Materials to be Installed at Brgy. Poblacion, San Andres, Quezon.</t>
  </si>
  <si>
    <t>Contract ID: 20JH0046 Construction of One (1) Unit Rain Water Collector @ Isabela East Central  Elementary School (IECES)</t>
  </si>
  <si>
    <t>Toner Cart and Drum Cart for Brother Printers</t>
  </si>
  <si>
    <t>INFRA-REHABILITATION OF MUNICIPAL ROAD, SITIO IBABA TO TULAY, BRGY. MAAHAS, LOS BANOS, LAGUNA</t>
  </si>
  <si>
    <t>20FO0105 - Construction of Multi-Purpose Building (ALS Building), San Pedro Street, Brgy. Zone 3, Poblacion, Libon, Albay</t>
  </si>
  <si>
    <t>Procurement of materials for Construction of Hanging Bridge</t>
  </si>
  <si>
    <t>20MC-GOODS-031 Supply &amp; Delivery of Shirts &amp; PPE's for LGU - Masbate City</t>
  </si>
  <si>
    <t>CONSTRUCTION OF IRRIGATION FACILITIES-MALAGGAO</t>
  </si>
  <si>
    <t>INSTALLATION OF STREET LIGHTS AT BARANGAY LUPIT- MAN-UP (PHASE 2)</t>
  </si>
  <si>
    <t>Construction of Water Lines &amp; Reservoirs located at Barangay Cabatangan</t>
  </si>
  <si>
    <t>SUPPLY &amp; DELIVERY OF HARDWARE/MATERIALS AS ASSISTANCE to VARIOUS SCHOOLS - LOCAL SCHOOL BOARD</t>
  </si>
  <si>
    <t>Procurement of Cellcards</t>
  </si>
  <si>
    <t>Supply &amp; Delivery of IT Equipment and Semi-Expendable Machinery &amp; Equipment</t>
  </si>
  <si>
    <t>UPLB-RQ-6-081-20-GOODS SUPPLY AND DELIVERY OF CHEMICALS &amp; CHEMICAL PRODUCTS FOR VTH</t>
  </si>
  <si>
    <t>SUPPLY AND DELIVERY OF VARIOUS MECHANICAL SPARE PARTS FOR 163 KW PERKINS, ENGINE MODEL NO.:2006-TG1, SERIAL NO.: 8B27396U86337V INTENDED FOR SAN ANTONIO DPP</t>
  </si>
  <si>
    <t>Construction of Material Recovery Facility (Cluster 1)</t>
  </si>
  <si>
    <t>Procurement of Fabrication Supplies</t>
  </si>
  <si>
    <t>Contract ID: 20JH0045 Construction of One (1) Unit Rain Water Collector @ Isabela Central Elementary Pilot School (ES)</t>
  </si>
  <si>
    <t>20FN0106 71x Special Maintenance, Pavement Maintenance Rehabilitation/Reconstruction/ Upgrading of Damaged Paved Roads Tertiary Roads - Nabua - Bato - Libon Road and Nabua - Balatan Road, Nabua and Ba</t>
  </si>
  <si>
    <t>CONSTRUCTION OF EVACUATION CENTER PHASE II IN PAG-ASA ISLAND</t>
  </si>
  <si>
    <t>Sanchez Mira District Hospital Perimeter Fence San Andres , Sanchez Mira, Cagayan</t>
  </si>
  <si>
    <t>SUPPLY AND DELIVERY OF TWO (2) UNITS PATIENT TEMPERATURE MANAGEMENT UNIT (REBID)</t>
  </si>
  <si>
    <t>Purchase of office equipments</t>
  </si>
  <si>
    <t>CONSTRUCTION OF BOX CULVERT- Sitio Cotta, Brgy. Lalig</t>
  </si>
  <si>
    <t>Ref. No. 2020-016 Procurement of Additional Fully Developed Lots and Completed Housing Units Under NHA's Yolanda Permanent Housing Program - Tabontabon, Leyte (Re-Bid)</t>
  </si>
  <si>
    <t>General Repair and Rehabilitation of Baggao District Hospital , Baggao Cagayan</t>
  </si>
  <si>
    <t>LOT 21 CONDUCT MEETING WITH PTA &amp; STAKEHOLDERS , QUARTERLY CARD DAY AND ALUMNI HOMECOMING</t>
  </si>
  <si>
    <t>Rebidding: 37 cu.m Sand (std. specs) and other items for improvement and rehabilitation of various drainage canal with cover (Along Cervantes street and San Jose street) at Barangay Poblacion 7”.</t>
  </si>
  <si>
    <t>20MC-INFRA-029 Concreting of Malinta - Sinalongan - Cagay Road @ Brgy. Sinalongan, Masbate City</t>
  </si>
  <si>
    <t>Construction of TFLC Building Sanchez Mira, Cagayan</t>
  </si>
  <si>
    <t>Purchase of IT equipments and steel cabinet for BAC office</t>
  </si>
  <si>
    <t>20FN0105 Repair and Rehabiliation of Infrastructure Facilities and Other Related Activities - Repair anf Maintenance of Road Safety Facilities along National Roads (Daang Maharlika Highway, Nabua - Ba</t>
  </si>
  <si>
    <t>Procurement of Construction Materials for the Construction of Drainage Canal Open Type</t>
  </si>
  <si>
    <t>20GHL0002 with PR No. 2020-06-0046 - Supply and delivery of 100 drums Penetration Asphalt 60/70 and three (3) other items for use in the correction of minor scaling/raveling, potholes, alligator crack</t>
  </si>
  <si>
    <t>Construction of Material Recovery Facility (Cluster 2)</t>
  </si>
  <si>
    <t>Concreting of Santiago- San Isidro, Claveria, Cagayan</t>
  </si>
  <si>
    <t>Bid No. 20-0323 - PROCUREMENT OF OFFICE SUPPLIES - MCRO OPERATIONS</t>
  </si>
  <si>
    <t>Supply and Delivery of Steel Ladder (Pilipino Bldg.) Materials. (Hardware supplies 3Q)</t>
  </si>
  <si>
    <t>Completion of Peace and Security Multi-Purpose Building at PNP (Police Provincial Office, Camp Vicente L. Pimentel Jr., Telaje,  Tandag City,  Surigao del Sur  ).</t>
  </si>
  <si>
    <t>CONSTRUCTION OF RETAINING WALLS and DRAINAGE SYSTEM-Tangkeng Tihaya, Brgy. Ayusan II</t>
  </si>
  <si>
    <t>Ref. No. 2020-018 Procurement of Additional Fully Developed Lots and Completed Housing Units Under NHA's Yolanda Permanent Housing Program - Kawayan, Biliran (Re-Bid)</t>
  </si>
  <si>
    <t>SUPPLY AND DELIVERY OF VARIOUS ELECTRICAL SPARE PARTS FOR 2 X 163KW DALE PERKINS, MODEL NO.: 2006 TG1, SERIAL NO,: 45 &amp; 46 INTENDED FOR MARIPIPI DPP</t>
  </si>
  <si>
    <t>Construction of Multi-Purpose Hall Brgy. Calingag</t>
  </si>
  <si>
    <t>Construction/Improvement of Concrete Covered Drainage Canal with  Concrete Manhole at Sitio Caspellan, Barangay Parian, Manaoag, Pangasinan</t>
  </si>
  <si>
    <t>Cluster 8 Concreting of Gaggabutan West Barangay Road Rizal, Cagayan and Concreting of Poblacion Barangay Road Rizal, Cagayan</t>
  </si>
  <si>
    <t>SUPPLY AND DELIVERY OF TWO (2) MULTI PARAMETER MONITOR with CAPNOGRAPH (RE-BID)</t>
  </si>
  <si>
    <t>Supply and Delivery of Cleaning and Disinfecting Products for 3rd Quarter</t>
  </si>
  <si>
    <t>Construction of Public Market Afusing Daga, Alcala, Cagayan</t>
  </si>
  <si>
    <t>UPGRADING</t>
  </si>
  <si>
    <t>PROPOSED DECOMPOSER SHED AT SITIO HINIWA-AN,BRGY. MANGHANOY</t>
  </si>
  <si>
    <t>THE SUPPLY AND DELIVERY OF CONSTRUCTION MATERIALS FOR THE CONCRETING OF POBLACION-BUNAO FARM TO MARKET ROAD</t>
  </si>
  <si>
    <t>Construction of Semi Private Room Building Lasam District Hospital, Lasam, Cagayan</t>
  </si>
  <si>
    <t>Purchase of Office Supplies of LGU, San Andres, Quezon.</t>
  </si>
  <si>
    <t>Ref. No. 2020-017 Procurement of Additional Fully Developed Lots and Completed Housing Units Under NHA's Yolanda Permanent Housing Program - Burauen, Leyte (Re-Bid)</t>
  </si>
  <si>
    <t>REPAIR/IMPROVEMENT OF RHU, TB DOTS BUILDING</t>
  </si>
  <si>
    <t>Alcala Municipal Hospital Construction of Laundry Area, Ambulance Bay, Bantay Waiting Area, Isolation Room, Covered Walk, Septic Tank and Power House</t>
  </si>
  <si>
    <t>SUPPLY AND DELIVERY OF VARIOUS ELECTRICAL SPARE PARTS FOR 336KW CUMMINS, MODEL NO.: KTA19-G2, ENGINE NO.: 41233013 INTENDED FOR BIRI DPP</t>
  </si>
  <si>
    <t>Supply of Materials for Construction of Slope Protection and Erosion Control (GAD Building)</t>
  </si>
  <si>
    <t>Supply and Delivery of Office Supplies for 3QR 2020</t>
  </si>
  <si>
    <t>IMPROVEMENT OF PANUKULAN WATER SYSTEM (Construction of Additional Water Source)</t>
  </si>
  <si>
    <t>CONSTRUCTION OF SOLAR LIGTHINGS-BARANGAY CAHAYAG</t>
  </si>
  <si>
    <t>SUPPLY AND DELIVERY OF MATERIALS AND FITTINGS (GOODS-2020-005) - REBID</t>
  </si>
  <si>
    <t>Procurement of Selected Borrow for the Rehabilitation of Farm to Market Road</t>
  </si>
  <si>
    <t>SUPPLY AND DELIVERY OF VARIOUS MECHANICAL SPARE PARTS FOR UNIT NO. 1 163KW PERKINS, MODEL NO. 2006-TG1, SERIAL NO.: 52 INTENDED FOR SAN VICENE DPP</t>
  </si>
  <si>
    <t>PROCUREMENT OF EQUIPMENT/ITEMS FOR TUNA RESEARCH PROGRAM</t>
  </si>
  <si>
    <t>Materials for Maintenance of Municipal Street Lights, San Jose de Buenavista, Antique</t>
  </si>
  <si>
    <t>Provision of Courier Services</t>
  </si>
  <si>
    <t>SUPPLY AND DELIVERY OF WOODEN ARMCHAIRS FOR BALIWAG POLYTECHNIC COLLEGE</t>
  </si>
  <si>
    <t>Construction/Improvement of C.H.B.  Covered Drainage Canal with Concrete Slab &amp; Manhole  at Nearby Barangay Hall, Barangay Inamotan, Manaoag, Pangasinan</t>
  </si>
  <si>
    <t>Improvement of ETRACS Database and Server of San Jose de Buenavista, Antique</t>
  </si>
  <si>
    <t>SUPPLY AND DELIVERY OF VALVES, RUBBER EXPANSION JOINT, AND PRESSURE GAUGE (GOODS-2020-006) - REBID</t>
  </si>
  <si>
    <t>Supply and Delivery of snacks for training participants (Junior High Teachers) on the use of online -offline Software Applications in making Instructional and supplemental materials for new normal del</t>
  </si>
  <si>
    <t>20EE0139-Rehabilitation/Improvement of Multi-Purpose Building (El Nido Municipal Complex and Covered Court), Brgy. Poblacion, El Nido, Palawan</t>
  </si>
  <si>
    <t>Procurement of Information Communication Technology (ICT) Laboratory Equipment for CEA and CIT at NORSU Main Campus (Batch 1)</t>
  </si>
  <si>
    <t>ITB-Road Concreting to Central MRF (Phase 2)</t>
  </si>
  <si>
    <t>SUPPLY AND DELIVERY OF VARIOUS MECHANICAL SPARE PARTS FOR UNIT 40KW PERKINS, ENGINE MODEL NO. P44E1, SERIAL NO: AG51041*U645631M* INTENDED FOR MINI GRID STO. NINO</t>
  </si>
  <si>
    <t>20HF0099 Construction of Rain Water Collectors in Public Facilities</t>
  </si>
  <si>
    <t>SUPPLY AND DELIVERY OF VARIOUS MECHANICAL SPARE PARTS FOR UNIT NO. 2 100 KW DALE PERKINS, MODEL NO.: 2008, SERIAL NO.: YB-998195 INTEDED FOR SAN VICENTE DPP</t>
  </si>
  <si>
    <t>Construction / Repair/ Rehab of Vice Governor’s Office, Capitol Hills Peñblanca, Cagayan</t>
  </si>
  <si>
    <t>PROCUREMENT OF 135 UNITS ALL-IN-ONE DESKTOP COMPUTERS</t>
  </si>
  <si>
    <t>Construction of School Multi – Purpose Building Don Mariano High School, Gattaran, Cagayan</t>
  </si>
  <si>
    <t>Procurement of Two (2) Units Service Van for Provincial Government Office use</t>
  </si>
  <si>
    <t>Provision of tourism livelihood to Brgy. Ranzo, Banilad, Pili &amp; Lumambayan</t>
  </si>
  <si>
    <t>Supply and Delivery of Materials  for the Concreting of Pavement</t>
  </si>
  <si>
    <t>CONSTRUCTION OF CENTRALIZED MATERIAL RECOVERY FACILITY (MRF) PHASE 2</t>
  </si>
  <si>
    <t>Construction of School Multi – Purpose Building Gattaran National Trade School, Gattaran, Cagayan</t>
  </si>
  <si>
    <t>ROAD CONCRETING OF WILSON ST., BRGY SAN VICENTE</t>
  </si>
  <si>
    <t>Construction/Improvement of Concrete Covered Drainage Canal with      Concrete Slab &amp; Manhole, Padilla St, Barangay Calaocan, Manaoag</t>
  </si>
  <si>
    <t>Procurement of Thirty (30) Units 4x4 Pick-up (Brand New) for Provincial Governor’s Office, PNP &amp; AFP use</t>
  </si>
  <si>
    <t>cleaning and beautification</t>
  </si>
  <si>
    <t>PROCUREMENT OF CONSTRUCTION SUPPLIES AND MATERIALS</t>
  </si>
  <si>
    <t>INSTALLATION OF BASKETBALL FIBER GLASS BOARD WITH RING (BARANGAY LONGMOT, TIGBAO ZDS)</t>
  </si>
  <si>
    <t>Purchase of Ten (10) Bottles of Stericool Concentrated Hydrogen Peroxide Sterilant for Sterilization of ZDSMC OR Instruments</t>
  </si>
  <si>
    <t>PROCUREMENT OF PUMPBOAT FOR TAGABULI BAY CRUISE-2ND POSTING</t>
  </si>
  <si>
    <t>Purchase of Materials for Road Concreting, Purok Malinawon, Barangay Hagdan, Santa Fe, Cebu - Barangay</t>
  </si>
  <si>
    <t>SUPPLY AND DELIVERY OF VARIOUS ELECTRICAL SPARE PARTS FOR TAGAPUL-AN DPP</t>
  </si>
  <si>
    <t>20AE0072: Construction of 2 Storey TechVoc Workshop Buildings/Laboratories for Senior High School at La Union National High School - Sacyud Annex, San Fernando City, La Union</t>
  </si>
  <si>
    <t>Purchase of Materials for Construction of Seven (7) Purok Centers, Barangay Hagdan, Santa Fe, Cebu - Barangay</t>
  </si>
  <si>
    <t>Supply and Delivery of materials for 500m WINS facilities and electrical repair at room 39, 40, and 41.</t>
  </si>
  <si>
    <t>20GI0099 - Construction of Hanging Foot Bridge, Brgy. Balabag, Sta. Barbara, Iloilo</t>
  </si>
  <si>
    <t>20GFN0011 FURNISHING AND DELIVERY OF MATERIALS FOR USE IN MAINTENANCE SECTION, DPWH CAMARINES SUR 5TH DISTRICT ENGINEERING OFFICE, STA. TERESITA, BAAO, CAMARINES SUR</t>
  </si>
  <si>
    <t>20FC0129 : REPAIR/ MAINTENANCE OF RIVER CONTROL, TAWIG SECTION, Brgy. Tawig, Paracale, Camarines Norte</t>
  </si>
  <si>
    <t>Supply and Delivery of Supplies and Materials to be used for the Rehabilitation of FMR</t>
  </si>
  <si>
    <t>20FC0128 : REPAIR/ MAINTENANCE OF DPWH BUILDING MAINTENANCE CREW QUARTER, Brgy. Magsaysay, Capalonga, Camarines Norte</t>
  </si>
  <si>
    <t>20FC0126 : REPAIR/ MAINTENANCE OF RIVER CONTROL STRUCTURE, MABULAO CREEK REVETMENT 1, Brgy. I, Daet, Camarines Norte</t>
  </si>
  <si>
    <t>20FC0127 : REPAIR/ MAINTENANCE OF DPWH BUILDING DPWH GUESTHOUSE, Brgy. Gahonon, Daet, Camarines Norte</t>
  </si>
  <si>
    <t>20FC0124 : REPAIR/ MAINTENANCE OF DPWH BUILDING, AREA EQUIPMENT SERVICE BAY BUILDING (PHASE II), Brgy. II, Daet, Camarines Norte</t>
  </si>
  <si>
    <t>SUPPLY, DELIVERY, TESTING AND COMMISSIONING OF ON-LINE MULTI-PARAMETER ANALYZER AND WATER LEVEL SENSOR (GOODS-2020-010) - REBID</t>
  </si>
  <si>
    <t>20DE0103 (Re-advertised) Local Infrastructure Program – Construction/Rehabilitation of Flood Control Structures along Lobo River (downstream), Fabrica, Lobo, Batangas</t>
  </si>
  <si>
    <t>REI_20CSE010: Consulting Services for the Conduct of Environmental Impact Assessment (EIA), Preparation of Environmental Impact Assessment Statement (EIS) and Application of Environmental Compliance C</t>
  </si>
  <si>
    <t>REWIRING OF GMAC BUILDING - MULTI PURPOSE BUILDING</t>
  </si>
  <si>
    <t>20FC0125 : REPAIR/ MAINTENANCE OF DOJ BUILDING, HALL OF JUSTICE (PHASE II), Brgy. Camambugan, Daet, Camarines Norte</t>
  </si>
  <si>
    <t>Watchman Services</t>
  </si>
  <si>
    <t>Supply and Delivery of Supplies and  Materials  to be used for the Construction of SK Office Building</t>
  </si>
  <si>
    <t>PRINT, SUPPLY AND DELIVERY OF MTWD 2021 CALENDAR</t>
  </si>
  <si>
    <t>REI_20CSE009:Consulting Services for the Conduct of Environmental Impact Assessment (EIA), Preparation of Environmental Impact Assessment Statement (EIS) and Application of Environmental Compliance Ce</t>
  </si>
  <si>
    <t>REPAIR AND RENOVATION OF THE CUSTOMER CARE CENTER OF THE BUREAU OF CUSTOMS PORT OF CEBU</t>
  </si>
  <si>
    <t>Procurement of 6-cylinder Diesel Engine Inline Injection for Grader</t>
  </si>
  <si>
    <t>Contract ID: 20JH0052 Construction of One (1) Unit Rain Water Collector @ Begang National High  School</t>
  </si>
  <si>
    <t>Contract ID No.: 20OB0350 Contract Name: Construction of Box Culvert and Site Development, Brgy. Hagonoy, Taguig City</t>
  </si>
  <si>
    <t>Purchase of kitchen utensils and other materials for the use at the Evacuation Center</t>
  </si>
  <si>
    <t>Purchase of Resograph Machine Digital Printer</t>
  </si>
  <si>
    <t>Purchase of goods for the stock pile of the Municipality</t>
  </si>
  <si>
    <t>Contract ID No.: 20OB0365 Contract Name: Improvement of Roads and Drainage System, Barangay Sta. Ana,   Taguig City</t>
  </si>
  <si>
    <t>Contract ID No.: 20OB0348 Contract Name: Construction/Rehabilitation of Multi-Purpose Building at Brgy. Bagumbayan, Taguig City</t>
  </si>
  <si>
    <t>Purchase of Office supplies</t>
  </si>
  <si>
    <t>Proposed Construction of Concrete Bleacher with Roofing at Old Damulog National High School (ODNHS) at Damulog, Bukidnon</t>
  </si>
  <si>
    <t>Contract ID: 20JH0049 Construction of One (1) Unit Rain Water Collector @ East Terminal</t>
  </si>
  <si>
    <t>Procurement of Technology Laboratory Equipment for NORSU Bayawan- Sta. Catalina, Guihulngan and Main Campuses (Batch 1)</t>
  </si>
  <si>
    <t>Contract ID: 20JH0051 Construction of One (1) Unit Rain Water Collector @ Begang National High  School 2STRY 6-CL</t>
  </si>
  <si>
    <t>Contract ID No.: 20OB0324 Contract Name: Construction of Multi-Level Multi-Purpose Building, Brgy. Aguho, Pateros</t>
  </si>
  <si>
    <t>Repainting Multi Purpose Hall &amp; Daycare Center</t>
  </si>
  <si>
    <t>Office Equipment Supplies Consumables</t>
  </si>
  <si>
    <t>Public Competitive Bidding for the Supply and Delivery of Various Cancer Medicines of the Department of Health</t>
  </si>
  <si>
    <t>20DE0139 (Re-advertised) Local Infrastructure Program – Construction of Multi-Purpose Building, San Pascual, Batangas</t>
  </si>
  <si>
    <t>20BK0147  Repair/Maintenance along Jct. Victoria-Maddela-Alicia-kasibu Bdry. Rd., K0358+097, (S04747LZ), K0371+374, (S04748LZ)    Maddela &amp; Aglipay, Quirino</t>
  </si>
  <si>
    <t>Contract ID: 20JH0048 Construction of One (1) Unit Rain Water Collector @ Basilan National High  School 2STRY 10-CL (Unit-2)</t>
  </si>
  <si>
    <t>Supply and Delivery of Bacti-Cinerator</t>
  </si>
  <si>
    <t>Contract ID No.: 20OB0294 Contract Name: Rehabilitation of Multi-Purpose Building at Ilaya Barangka Integrated School, Mandaluyong City</t>
  </si>
  <si>
    <t>PURCHASE OF BOOKS/READING MATERIALS/MODULE FOR DAYCARE CHILDREN- MSWDO</t>
  </si>
  <si>
    <t>CONCRETING OF KINACAO-KURASAY-KINALABASA ROAD Located at Bagabag, Nueva Vizcaya</t>
  </si>
  <si>
    <t>20DE0122 (Re-advertised) Construction/Repair/Rehabilitation/Improvement of Various Infrastructure including Local Projects – Road Widening of Lobo-Malabrigo-San Juan Rd (K0161+736 - K0163+626), Batang</t>
  </si>
  <si>
    <t>FOD-L-20-2350: Procurement of Animal/Zoological Supplies to be given to the Cooperatives or Farmers Associations in support to the COVID-19 Response Program in the Region</t>
  </si>
  <si>
    <t>Contract ID: 20JH0050 Construction of One (1) Unit Rain Water Collector @ West Terminal</t>
  </si>
  <si>
    <t>20DE0138 (Re-advertised) Local Infrastructure Program – Rehabilitation of Road along San Isidro - Sto. Niño Rd, Batangas City, Batangas</t>
  </si>
  <si>
    <t>CONCRETING OF CALDAAN-MONGKOL-MAPAINA ROAD Located at Solano, Nueva Vizcaya</t>
  </si>
  <si>
    <t>CONCRETING OF BRGY. ROAD,  &amp; IMPROVEMENT OF OPEN CANAL- BRGY. PALAHANAN 1.0</t>
  </si>
  <si>
    <t>Flat Rotary Shaker</t>
  </si>
  <si>
    <t>•	Package 4 – Supply and Delivery of Materials for the Improvement of Water System under Local Development Projects for the following barangays; Maluao and Midpapan 2, all located at Pigcawayan, Cotab</t>
  </si>
  <si>
    <t>Purchase of Office Supplies and Equipments for printing of modules for the delivery of flexible learning through provision of Printed Modules for College Students, AY 2020-2021, Polytechnic College of</t>
  </si>
  <si>
    <t>Procurement of Various Construction Supplies and Materials-10-1317(O)PEO</t>
  </si>
  <si>
    <t>Procurement of Various Aggregates Supplies-06-373(O)PEO</t>
  </si>
  <si>
    <t>MG-PAT20-025 - NON-RETURN VALVE, VALVE, NON-RETURN, STEEL</t>
  </si>
  <si>
    <t>MG-PAT20-026 - HIGH PRESSURE PISTON PUMP ASSY, MOTOR WITH PUMP ASSEMBLY (3 UNITS), HIGH PRESSURE</t>
  </si>
  <si>
    <t>MG-PAT20-023 - HOSE, HYDRAULIC</t>
  </si>
  <si>
    <t>Supply of Labor, Tools and Equipment for the Drilling of One (1) Unit Exploratory/Production Well at Fermeldy, Tumauini, Isabela</t>
  </si>
  <si>
    <t>MG-PLM20-094 - TO SUPPLY LABOR, MATERIALS, TOOLS, EQUIPMENT, CONSUMABLES &amp; TECHNICAL SUPERVISION FOR THE REPLACEMENT OF OLD TUBES OF SHELL &amp; TUBES HEAT EXCHANGER</t>
  </si>
  <si>
    <t>Contract ID No.: 20OB0398 Contract Name: Construction of Justice Hall, Marikina City</t>
  </si>
  <si>
    <t>19FC0239 : REPAIR/ REHABILITATION/IMPROVEMENT ALONG DAANG MAHARLIKA, K0255+840-K0255+858, Brgy. Plaridel, Sta. Elena, Camarines Norte</t>
  </si>
  <si>
    <t>MG-PHP20-010 - OIL HYDROTUR #46, 10 DRUMS, OIL LUBRICATION</t>
  </si>
  <si>
    <t>MG-PHP20-007 - TRANSFORMER OIL SHELL DIALA B FOR TAKE-OFF TRANSFORMER</t>
  </si>
  <si>
    <t>20GMH050 - Supply/Delivery Of  Diesel Fuel For Use Of Assistant District Engineer’s Office, DPWH Sultan Kudarat 2nd District Engineering Office</t>
  </si>
  <si>
    <t>Materials for improvement of comfort rooms</t>
  </si>
  <si>
    <t>20DC0210 - Repair/Maintenance of DILG Building, BFP Agoncillo Fire Station Building, Agoncillo, Batangas</t>
  </si>
  <si>
    <t>Invitation to Bid for PROCUREMENT OF AGRICULTURAL MACHINERY AND EQUIPMENT</t>
  </si>
  <si>
    <t>MG-PAT20-035 - XLPE WIRE FOR 13.8KV BURIAL TYPE POWER CABLE, EU / US</t>
  </si>
  <si>
    <t>CONSTRUCTION/IMPROVEMENT OF PUROK 5 POBLACION FTMR Located at Diadi, Nueva Vizcaya</t>
  </si>
  <si>
    <t>Contract ID: 20JH0053 Const. of One (1) Unit Rain Water Collector @ Geras Integrated School</t>
  </si>
  <si>
    <t>Invitation to Bid for PROCUREMENT OF OFFICE EQUIPMENT (DepED – Sual District Office)</t>
  </si>
  <si>
    <t xml:space="preserve">INVITATION TO BID FOR THE SUPPLY AND DELIVERY OF DIESEL FUEL AND OIL LUBRICANTS FOR ROAD GRAVELLING OF FARM TO MARKET ROAD FROM PUROK5 TO PUROK 6 &amp; PUROK 7 BARANGAY CARROMATA, SAN MIGUEL, SURIGAO DEL </t>
  </si>
  <si>
    <t>Supplies for Nutrition Month Celebration</t>
  </si>
  <si>
    <t>20DC0208 - Construction/Rehabilitation of Water Supply/Septage and Sewerage/Rain Water Collectors - Rain Water Collectors in Public Facilities</t>
  </si>
  <si>
    <t>Proposed Upgrading of LPGH&amp;STC Sewer Treatment Plant (in accordance to DAO 2016-08)</t>
  </si>
  <si>
    <t>Provision of live animals for the AI sa Barangay Project</t>
  </si>
  <si>
    <t>20DC0209 - Repair/Maintenance of Ambulong Bridge II Revetment, K0075+851, Tanauan, Batangas</t>
  </si>
  <si>
    <t>Procurement of Books (2 lots)</t>
  </si>
  <si>
    <t>FOD-L-20-2348: Procurement of Free-Range Chicken Grower Crumble to be given to the Cooperatives or Farmers Associations in support to Covid-19 response Program in the Region</t>
  </si>
  <si>
    <t>MG-PLM20-011 - SUPPLY TOOLS, LABOR AND MATERIALS FOR THE REPLACEMENT OF SIX (6) SELECTED FIBER GLASS SKYLIGHT DOME AT POWERHOUSE</t>
  </si>
  <si>
    <t>PURCHASE OF FOOD AND NON-FOOD ITEMS FOR STOCKPILE OF FAMILY FOOD PACKS (FFP)</t>
  </si>
  <si>
    <t>Package 1 of 7 - Supply and Delivery of Two (2)-Units Brand New 6x4, 10-Wheeler Self-Loading Truck</t>
  </si>
  <si>
    <t>Contract ID No.: 20OB0383 Contract Name: Rehabilitation of Roads, Barangay Santa Ana, Taguig City</t>
  </si>
  <si>
    <t>20AE0073: Construction of 2 Storey 4 Classroom School Building at Pagudpud Integrated School, San Fernando City, La Union</t>
  </si>
  <si>
    <t>Contract ID: 20JH0055 Construction of One (1) Unit Rain Water Collector @ Ismael Elementary School (ES)</t>
  </si>
  <si>
    <t>ITB for Communication Load</t>
  </si>
  <si>
    <t>20GMH058 - Supply/Delivery of Diesel Fuel for use of Finance Section, Sultan Kudarat 2nd District Engineering Office</t>
  </si>
  <si>
    <t>20GMH057 - Supply/Delivery of Office Supplies for Use of Finance Section, DPWH Sultan Kudarat 2nd District Engineering Office</t>
  </si>
  <si>
    <t>P.R No. 20-05-0620: 1,000 Vials Purified Vero Cell Rabies Vaccine</t>
  </si>
  <si>
    <t>Invitation to Bid for PROCUREMENT OF FURNITURES, FIXTURES, &amp; CONSTRUCTION SUPPLIES</t>
  </si>
  <si>
    <t>20GMH056 - Supply/Delivery of UPS (Unterruptible Power Supply) for use of Finance Section, Sultan Kudarat 2nd District Engineering Office</t>
  </si>
  <si>
    <t>Contract ID: 20JH0054 Construction of One (1) Unit Rain Water Collector @ Wahab Akbar   Elementary School (ES)Contract Location: Isabela City, Basilan Province</t>
  </si>
  <si>
    <t>Invitation to Bid for the Construction of Farm to Market Road at Sitio Riverside, San Juan East, Aringay, La Union.</t>
  </si>
  <si>
    <t>Package 3 of 7 - Supply and Delivery of 13-Units High Speed Scanner</t>
  </si>
  <si>
    <t>Contract ID: 20JH0062 Const.of One (1) Unit Rain Water Collector @ Badjao Floating Elementary School (ES)</t>
  </si>
  <si>
    <t>Contract ID: 20JH0061  Contract Name: Construction of One (1) Unit Rain Water Collector @ Tampalan Elementary School New Site</t>
  </si>
  <si>
    <t>Contract ID: 20JH0060 Const. of One (1) Unit Rain Water Collector @ Bernardo Elementary  School (ES)</t>
  </si>
  <si>
    <t>Supply and Delivery of Agricultural Supplies to be distributed to the participants of the Blended Course on  Organic Vegetable Production under the Regular Program on June 15-19, 2020</t>
  </si>
  <si>
    <t>ITB for Materials for Module</t>
  </si>
  <si>
    <t>P.R No. 20-05-0584: Office Supplies</t>
  </si>
  <si>
    <t>Procurement of the Annual Subscription of BCDA Email System</t>
  </si>
  <si>
    <t>Package 2 of 7 - Supply and Delivery of 3-units Heavy Duty Welding Machine with Trailer</t>
  </si>
  <si>
    <t>MG-PAT20-007 - ELECTRONIC MODULE FOR UNIT 1, 2 &amp; 3, HMI FOR EXCITATION SYSTEM AT CONTROL ROOM</t>
  </si>
  <si>
    <t>Contract ID: 20JH0058 Construction of One (1) Unit Rain Water Collector @ Kawa-Kawa Elementary School (ES)</t>
  </si>
  <si>
    <t>RFQ for Emergency Purchase of RICE-LGU-Lawaan, Eastern Samar (COVID 19 Pandemic related)</t>
  </si>
  <si>
    <t>PURCHASE OF EQUIPMENT for the Technology Design and Prototyping Center</t>
  </si>
  <si>
    <t>Contract ID: 20JH0056 Construction of One (1) Unit Rain Water Collector @ Campo-Barn Elementary School</t>
  </si>
  <si>
    <t>ITB for IEC on proper Hygiene and COVID-19 Precautionary Measures</t>
  </si>
  <si>
    <t>(PR No. 20-06-07-0136) 1 Lot Rehabilitation of Water Supply System of Barangay Tagpangi, Cagayan De Oro City</t>
  </si>
  <si>
    <t>ITB for the Provision of Fire Alarm</t>
  </si>
  <si>
    <t>Invitation to Bid for the Construction of Slope Protection at Zone 1, San Eugenio, Aringay, La Union.</t>
  </si>
  <si>
    <t>Contract ID: 20JH0057 Const. of One (1) Unit Rain Water Collector @ Lunot Elem. School (ES)</t>
  </si>
  <si>
    <t>Package 6 of 7 - Supply and Delivery of 10-Pieces 150mmØ Electromagnetic Flow Meter</t>
  </si>
  <si>
    <t>ITB for the Replacement of Water Tank</t>
  </si>
  <si>
    <t>Contract ID: 20JH0059 Const. of One (1) Unit Rain Water Collector @ Calvario Elem. School (ES)</t>
  </si>
  <si>
    <t>Construction of Various Projects - Package VII</t>
  </si>
  <si>
    <t>Supply and Delivery of Biosafety Cabinet</t>
  </si>
  <si>
    <t>Improvement/ Construction of Facade/Face Lifting of Municipal Hall</t>
  </si>
  <si>
    <t>Proposed Rehabilitation of Building 1 Ground Floor Comfort Rooms at Wet &amp; Dry Laboratory, UPV Miag-ao, Iloilo (ITB 2020-006)</t>
  </si>
  <si>
    <t>20GDB0016 Supply of Fuel &amp; Lubricants for use in Maintenance Sections's Service Vehicles &amp; Heavy Equipment in DPWH-Batangas I DEO (Sub-Office), Lemery, Batangas</t>
  </si>
  <si>
    <t>1ST POSTING IMPROVEMENT OF KINDERGARTEN COMFORTROOM</t>
  </si>
  <si>
    <t>Supply of Construction Materials for: 1.	CFOS – IA 2.	CDMO (STAFF HOUSING) (ITB 2020-005)</t>
  </si>
  <si>
    <t>Procurement of 4-Cylinder Diesel Turbo Engine for Loader 9-in-1</t>
  </si>
  <si>
    <t>Proposed Rehabilitation of College Union Building, UPV Miag-ao, Iloilo”;(ITB 2020-005)</t>
  </si>
  <si>
    <t>1ST POSTING OF MEDICAL SUPPLIES</t>
  </si>
  <si>
    <t>Construction of 300mmØ Steel Pipe Crossing Beside Piedad Bridge</t>
  </si>
  <si>
    <t>Supply of Airconditioning Units (ACU) for the following: 1.  SOTECH for CM 2.  Div. of Social Sciences, CAS</t>
  </si>
  <si>
    <t>PROCUREMENT OF SEVENTY – FIVE (75) LAPTOP UNITS FOR TOURISM PROMOTIONS BOARD EMPLOYEES</t>
  </si>
  <si>
    <t>Pipelaying of Distribution Line From Indangan Elevated Steel Tank to Junction Indangan-Malagamot Road (Under TSWDP PART B)</t>
  </si>
  <si>
    <t>Package 4 of 7 - Supply and Delivery of 30-Pieces 50mmØ Electromagnetic Flow Meter</t>
  </si>
  <si>
    <t>20CSEF05	Parcellary Survey for the Construction of Various Roads and Bridges - Palawan Circumferential Road Quezon-Aramaywan Road (S00015PW), Palawan</t>
  </si>
  <si>
    <t>Procurement of 6-cylinder Diesel Engine for Dump Truck</t>
  </si>
  <si>
    <t>20CSEF04	Parcellary Survey for the Construction of Various Roads and Bridges - Palawan Circumferential Road PPSR Jct. Poblacion Brooke’s Point Road (S00011PW), Palawan</t>
  </si>
  <si>
    <t>20CSEF02	Parcellary Survey for the Construction of Various Roads and Bridges - Palawan Circumferential Road Rio Tuba-Buliluyan (S00063PW)</t>
  </si>
  <si>
    <t>20CSEF01-Parcellary Survey for the Construction of Various Roads and Bridges - Palawan Circumferential Road Panalingaan-Tagbita-Latud (S00041PW &amp; S00042PW)</t>
  </si>
  <si>
    <t>Supply and Delivery of Various Office Supplies and Materials for the University Press</t>
  </si>
  <si>
    <t>Supply and Delivery of Various Medicines for the Dental Clinic</t>
  </si>
  <si>
    <t>Supply and Delivery of Various Office Equipment, Furnitures &amp; Fixtures for the University</t>
  </si>
  <si>
    <t>Supply and Delivery of Various Medicines for the University Health Services</t>
  </si>
  <si>
    <t>Procurement of Infrastructure for Concreting of Road Going to Evacuation Center</t>
  </si>
  <si>
    <t>Package 5 of 7 - Supply and Delivery of 22-Pieces 100mmØ Electromagnetic Flow Meter</t>
  </si>
  <si>
    <t>20CSEF03	Parcellary Survey for the Construction of Various Roads and Bridges - Palawan Circumferential Road Quezon-Punta Baja Road, Palawan</t>
  </si>
  <si>
    <t>20CSEF07	Parcellary Survey for the Construction of Various Roads and Bridges - Palawan Circumferential Road Aramaywan-Berong-Puerto Princesa Road (S00064PW), Palawan</t>
  </si>
  <si>
    <t>PURCHASE OF TENTS</t>
  </si>
  <si>
    <t>Purchase of Plumbing Materials for PWA</t>
  </si>
  <si>
    <t>RFQ 064 ICT EQUIPMENT (OSA)</t>
  </si>
  <si>
    <t>20CSEF06	Parcellary Survey for the Construction of Various Roads and Bridges - Palawan Circumferential Road Quezon-Punta Baja Road (S00022PW) Phase II, Palawan</t>
  </si>
  <si>
    <t>Procurement of Infrastructure for Completion of Concreting of School Fence(TCC)</t>
  </si>
  <si>
    <t>Procurement/Acquisition of Boom Truck</t>
  </si>
  <si>
    <t>Procurement of Infrastructure for Concreting of Road Public Market Area</t>
  </si>
  <si>
    <t>Construction of Water Impounding System intended for Municipal Water Supply System Brgy. Minahan Sur,  General Nakar, Quezon</t>
  </si>
  <si>
    <t>Supply and Delivery of Medical, Dental and Labarotary Supplies (Lot No. and Lot No. 2); PR No. 20-1412 dated 29 May 2020; SN 130 - 2020</t>
  </si>
  <si>
    <t>PBD 20-078 LED Smart TV</t>
  </si>
  <si>
    <t>Supply and Delivery of Aircondition Units for the College of Liberal Arts</t>
  </si>
  <si>
    <t>Supply and Delivery of Various Office Supplies &amp; Materials for the University</t>
  </si>
  <si>
    <t>WMSU Water Refilling Station</t>
  </si>
  <si>
    <t>Supply and Delivery of Various Furniture and Fixtures for the ESU</t>
  </si>
  <si>
    <t>Procurement of Security Services</t>
  </si>
  <si>
    <t>Supply and Delivery of Various Materials and Equipment for the ESU</t>
  </si>
  <si>
    <t>20CSEF08	Parcellary Survey for the Construction of Various Roads and Bridges - Palawan Circumferential Road Culandanum-Panalingaan Cross Country Road (S00065PW), Palawan</t>
  </si>
  <si>
    <t>Supply and Delivery of Various Printer Ink for Various Colleges and Offices of the University</t>
  </si>
  <si>
    <t>20CSD002 : CONSULTANCY SERVICES FOR THE PREPARATION OF RIGHT-OF-WAY ACTION PLAN (RAP) FOR THE PREPARATION OF THE CALAMBA-LOS BAÑOS-BAY BYPASS ROAD</t>
  </si>
  <si>
    <t>General Administrative Service - Office Supplies</t>
  </si>
  <si>
    <t>(SBMA-BAC-GOODS-NP-14-20) ONE (1) YEAR CONTRACT OF FUEL SUPPLY (NEGOTIATED PROCUREMENT UNDER TWO-FAILED BIDDINGS)</t>
  </si>
  <si>
    <t>CONSTRUCTION OF MULTI-PURPOSE FACILITY at Cambitala National High School, Cambitala, Pantabangan, Nueva Ecija</t>
  </si>
  <si>
    <t>Invitation to Bid for REPAIR OF CLASSROOMS UNDER CY 2020 QUICK RESPONSE FUND (QRF) (Lots 4,9, 11, 22 and 32 – Rebid)</t>
  </si>
  <si>
    <t>1st posting of 2 sets 3 in 1 printer</t>
  </si>
  <si>
    <t>20GMH055 - Supply/Delivery of Construction Materials for the Maintenance/Improvement of DPWH Building, DPWH Sultan Kudarat 2nd District Engineering Office</t>
  </si>
  <si>
    <t>Supply and Delivery of Various Janitorial Supplies and Materials for the University</t>
  </si>
  <si>
    <t>PIPELINEIMPROVEMENT  ALONG ELIONG ROAD FROM TIBUNGCO RESERVOIR DOWN TO DAVAO-AGUSAN ROAD (UNDER TSWDP PART B)</t>
  </si>
  <si>
    <t>CONSTRUCTION OF MULTI-PURPOSE FACILITY at Pias Elementary School, Pias, Gen. Tinio, Nueva Ecija</t>
  </si>
  <si>
    <t>MG-PLM20-088 - SUPPLY OF MATERIALS, TOOLS, EQUIPMENT, LABOR AND INCLUDING TECHNICAL EXPERTISE FR THE RESTORATION TO NORMAL OPERATING CONDITION OF 30 TR CENTRALIZED AIR CONDITION UNIT</t>
  </si>
  <si>
    <t>Package 7 of 7 - Supply and Delivery of 1-unit Ultrasonic Flow Meter</t>
  </si>
  <si>
    <t>Purchase of one (1) unit Firetruck</t>
  </si>
  <si>
    <t>20GMH052 - Supply/Delivery of Toner Cartridge for use of Administrative Section (Records Management Unit, Cash Unit, Gen. Services Unit, Human Resource Management and Development Unit), DPWH Sultan Ku</t>
  </si>
  <si>
    <t>20GMH054 - Supply/Delivery of Maintenance Tools/Equipments for Use of Routine/Roadside Maintenance, Sultan Kudarat 2nd District Engineering Office</t>
  </si>
  <si>
    <t>(Rebidding) Upgrading and Rehabilitaion of Powerlines of Different Barangays in IGACOS</t>
  </si>
  <si>
    <t>Cont. Ref. No. 078-20: Construction of Water Tank at Upper Mangga Spring  at Tuding, Itogon, Benguet</t>
  </si>
  <si>
    <t>20L00159 : Construction of Asphalt Road – Davao City Coastal Bypass Road (Bago Aplaya – Times Beach – Roxas Avenue), Package 22, Davao City</t>
  </si>
  <si>
    <t>20GMH053 - Supply/Delivery of Aggregate Base Course for the Resurfacing of Unpaved Shoulder along Sen. Ninoy Aquino-Lebak-Kalamansig Road, Km.1884+100-Km.1885+500 w/ exception</t>
  </si>
  <si>
    <t>PURCHASE OF OFFICE SUPPLIES TO BE USED BY DIFFERENT OFFICES</t>
  </si>
  <si>
    <t>20GMH051 - Supply/Delivery of Senior Executive Chair for use of Assistant District Engineer’s Office, DPWH Sultan Kudarat 2nd District Engineering Office</t>
  </si>
  <si>
    <t>P.R No. 20-06-0642: Medicines and Medical Supplies</t>
  </si>
  <si>
    <t>FABRICATION AND INSTALLATION OF BARANGAY DAGATAN STREETLIGHTING LOCATED @ BRGY. DAGATAN, AMADEO, CAVITE</t>
  </si>
  <si>
    <t>INSTALLATION OF CCTV CAMERA @ VARIOUS BARANGAY LOCATED @ AMADEO, CAVITE</t>
  </si>
  <si>
    <t>PURCHASE OF BUSINESS PLATES, 2020 STICKER AND TODA STICKER FOR THE USE OF BPLO</t>
  </si>
  <si>
    <t>Supply and Delivery of Various Office Supplies and Materials for the MISTO, HRMO &amp; Finance Office</t>
  </si>
  <si>
    <t>20L00158 : Construction of Asphalt Road – Davao City Coastal Bypass Road (Bago Aplaya – Times Beach – Roxas Avenue), Package 21, Davao City</t>
  </si>
  <si>
    <t>PURCHASE OF IT EQUIPMENTS TO BE USED BY LGU-AMADEO</t>
  </si>
  <si>
    <t>PURCHASE OF FORMS TO BE USED BY ASSESSOR'S OFFICE</t>
  </si>
  <si>
    <t>20L00138 : Reconstruction of Concrete Road Along Bypass Road at Jct. Davao – Cotabato Rd. (Matina Crossing Section) – Matina Aplaya Rd. – Jct. Tulip Drive (Davao – Cotabato Rd.) – Ecoland Drive – Jct.</t>
  </si>
  <si>
    <t>PURCHASE OF JANITORIAL SUPPLIES TO BE USED BY DIFFERENT OFFICES</t>
  </si>
  <si>
    <t>IMPROVEMENT OF MULTI-PURPOSE BUILDING (Escolta)</t>
  </si>
  <si>
    <t>IMPROVEMENT/WIDENING OF ENSOMO STREET (White Beach)</t>
  </si>
  <si>
    <t>Supply, Delivery and Installation of Brand New Repeater Radio Equipment and Accessories for the Enhancement of Communication System of CDRRMO</t>
  </si>
  <si>
    <t>20L00146 : Construction of Concrete Road – Bypass Road at Ma-a Radio Station – Datu Loho St. – Riverside – Jct. Bacaca Road, Davao City</t>
  </si>
  <si>
    <t>20L00157 : Construction of Asphalt Road – Davao City Coastal Bypass Road (Bago Aplaya – Times Beach – Roxas Avenue), Package 20, Davao City</t>
  </si>
  <si>
    <t>Const. supply &amp; Materials for the Const. of Argao Road</t>
  </si>
  <si>
    <t>ITB for the Repair and Provision of Additional Hand washing Facilities</t>
  </si>
  <si>
    <t>20L00164 : Construction of Asphalt Road – Davao City Coastal Bypass Road (Bago Aplaya – Times Beach – Roxas Avenue), Package 27, Davao City</t>
  </si>
  <si>
    <t>20L00156 : Construction of Bridge Approach – Davao City Coastal Bypass Road (Bago Aplaya –Times Beach – Roxas Avenue), Package 4A, Davao City</t>
  </si>
  <si>
    <t>20L00155 : Construction of Concrete Bridge (Substructure Only) - Davao City Coastal Bypass Road (Bago Aplaya - Times Beach - Roxas Avenue), Package 5B, Davao City</t>
  </si>
  <si>
    <t>Procurement of 1 unit Mini-Truck for Rescue Program</t>
  </si>
  <si>
    <t>Registry of Barangay Inhabitant (RBI), Certifications, Cases,and Website</t>
  </si>
  <si>
    <t>20EE0134 Cluster 2-Construction of Rainwater Collection System (RWCS): 1. Tagumpay Elementary School, Tagumpay, Coron 2. Tagum Elementary School, Tagum, Coron 3. Claudio Sandoval Elementary School, Po</t>
  </si>
  <si>
    <t>20EE0132 Repair/Maintenance of DPWH Building Super Area (Storage Room) Brgy. III, Roxas, Palawan</t>
  </si>
  <si>
    <t>20L00166 : Construction of Esplanade (Times Beach Section) Along Davao City Coastal Bypass Road (Bago Aplaya – Times Beach – Roxas Avenue), Davao City</t>
  </si>
  <si>
    <t>20EE0126 Repainting of Concrete Bridges along El Nido - Jct. New Ibajay Road Section, K0276+268 - K0329+005 (S00059PW) and Jct Paglaum-Bato Road Section K0189+138 - K0198+910 (S00045PW) Taytay &amp; El Ni</t>
  </si>
  <si>
    <t>CONCRETING OF TALYER ROAD LOCATED @ BRGY. SALABAN, AMADEO, CAVITE</t>
  </si>
  <si>
    <t>PURCHASE OF MEDICAL SUPPLIES TO BE USED BY RHU</t>
  </si>
  <si>
    <t>PROCUREMENTS OF OFFICE EQUIPMENTS</t>
  </si>
  <si>
    <t>20EE0128 Repair/Maintenance of DPWH Building, Langogan Resthouse, Bgy. Langogan Brgy Langogan, Puerto Princesa City, Palawan</t>
  </si>
  <si>
    <t>PURCHASE OF WHEEL CLAMP TO BE USED FOR BALIK KALSADA PROGRAM OF PNP</t>
  </si>
  <si>
    <t>20L00165 : Construction of Asphalt Road – Davao City Coastal Bypass Road (Bago Aplaya – Times Beach – Roxas Avenue), Package 28, Davao City</t>
  </si>
  <si>
    <t>20L00160 : Construction of Asphalt Road – Davao City Coastal Bypass Road (Bago Aplaya – Times Beach – Roxas Avenue), Package 23, Davao City</t>
  </si>
  <si>
    <t>IMPROVEMENT OF AMADEO POLICE STATION LOCATED @ AMADEO, CAVITE</t>
  </si>
  <si>
    <t>20L00163 : Construction of Asphalt Road – Davao City Coastal Bypass Road (Bago Aplaya – Times Beach – Roxas Avenue), Package 26, Davao City</t>
  </si>
  <si>
    <t>20GM0063 (RE-BIDDING) - Upgrading/Improvement/Expansion of Lorenzo D. Zayco, District Hospital, Kabankalan City, Negros Occidental.</t>
  </si>
  <si>
    <t>Dredging of Maricaban Creek, at the Back of Magallanes Village, Makati City and Villamor Barangay 183 Pasay City</t>
  </si>
  <si>
    <t>Supply and Delivery of  One (1) Lot of Various Materials for Improvement of Drainage System</t>
  </si>
  <si>
    <t>Drainage Improvement / Declogging along J. Luna St., H. Lopez Blvd., C-2 Road and Vicinity, Tondo, District II, Manila</t>
  </si>
  <si>
    <t>PROCUREMENT AND RESTORATION OF RADIO COMMUNICATION</t>
  </si>
  <si>
    <t>Purchase of  Dump Truck to be used in Solid Waste Management at the Municipality of San Nicolas, Batangas</t>
  </si>
  <si>
    <t>Drainage Improvement and Concreting at Barangay Vasra, District I, Quezon City</t>
  </si>
  <si>
    <t>Drainage Improvement and Concreting at Barangay Sauyo, District VI, Quezon City</t>
  </si>
  <si>
    <t>Drainage Improvement / Declogging along R-10, Pacheco St. and Vicinity, Tondo, District I, Manila City</t>
  </si>
  <si>
    <t>Drainage Improvement along Esperanza St. and Vicinities, District II, Valenzuela City</t>
  </si>
  <si>
    <t>CONSTRUCTION OF CANAL LINING LOCATED @ BRGY. #7, AMADEO, CAVITE</t>
  </si>
  <si>
    <t>Improvement / Deepening of Estero De Concordia, Pandacan,  District VI, Manila</t>
  </si>
  <si>
    <t>Drainage Improvement and Concreting at Barangay BagongSilangan, District II, Quezon City</t>
  </si>
  <si>
    <t>Improvement of Malabon-Tullahan River, Muzon-Concepcion,  Malabon City</t>
  </si>
  <si>
    <t>20L00161 : Construction of Asphalt Road – Davao City Coastal Bypass Road (Bago Aplaya – Times Beach – Roxas Avenue), Package 24, Davao City</t>
  </si>
  <si>
    <t>Construction/Rehabilitation/Improvement of Multi-Purpose Hall at Brgy. Rizal Pala-Pala I, City Proper, Iloilo City (Bid No. 20-137)</t>
  </si>
  <si>
    <t>Construction of Four (4) Storey Sixteen (16) Classroom Building at Lapaz National High School, Lapaz, Iloilo City (Bid No. 20-125)</t>
  </si>
  <si>
    <t>Rehabilitation / Improvement and Maintenance of Drainage System along Beata St., and Vicinity, Pandacan, District VI, Manila City</t>
  </si>
  <si>
    <t>Construction/Rehabilitation/Improvement of Multi-Purpose Hall at Brgy. Bakhaw, Mandurriao, Iloilo City (Bid No. 20-135)</t>
  </si>
  <si>
    <t>Construction/Rehabilitation of Existing Drainage System at Brgy. Pali-Benedicto, Mandurriao, Iloilo City (Bid No. 20-132)</t>
  </si>
  <si>
    <t>Fabrication and Installation of Grills in Classrooms of PAGCOR Building and Four (4) Storey BEEF Building at Iloilo City National High School, Molo, Iloilo City (Bid No. 20-131)</t>
  </si>
  <si>
    <t>PURCHASE OF IT EQUIPMENTS TO BE USED BY DIFFERENT OFFICES</t>
  </si>
  <si>
    <t>Rehabilitation of All Gabaldon Building at Montes I Elementary School, City Proper, Iloilo City (Bid No. 20-130)</t>
  </si>
  <si>
    <t>Construction/Rehabilitation of Existing Drainage System at Brgy. Tacas, Jaro, Iloilo City (Bid No. 20-136)</t>
  </si>
  <si>
    <t>Construction/Rehabilitation of Existing Drainage System at Brgy. Navais, Mandurriao, Iloilo City (Bid No. 20-129)</t>
  </si>
  <si>
    <t>Repair and Maintenance of LGU Service Vehicles, MGSO, San Jose, Batangas</t>
  </si>
  <si>
    <t>PURCHASE OF FURNITURE AND FIXTURES TO BE USED BY DIFFERENT OFFICES</t>
  </si>
  <si>
    <t>Supply and Delivery of One (1) Various Materials for the Construction of RCA (residual Containment Area )Building</t>
  </si>
  <si>
    <t>Rehabilitation/Construction of Roads at Brgy. Bakhaw, Mandurriao, Iloilo City (Bid No. 20-128)</t>
  </si>
  <si>
    <t>PURCHASE OF AUDIO AND VISUAL EQUIPMENT TO BE USED BY DIFFERENT OFFICES</t>
  </si>
  <si>
    <t>Procurement of ENVIRONMENTAL HEALTH/SAFETY EQUIPMENT</t>
  </si>
  <si>
    <t>20L00162 : Construction of Asphalt Road – Davao City Coastal Bypass Road (Bago Aplaya – Times Beach – Roxas Avenue), Package 25, Davao City</t>
  </si>
  <si>
    <t>Procurement of Construction Materials and Supplies use for the maintenance of NRJ (Trento) Pulang-lupa-Upper New Visayas-Monkayo Boundary Road at Trento ADS</t>
  </si>
  <si>
    <t xml:space="preserve">Procurement of Construction Materials and Supplies USE FOR THE ESTABLISHMENT OF 1 RESIDUAL CONTAINMENT AREA (RCA) AT SITIO BACLISE, BARANGAY ANGAS, STA. JOSEFA, ADS UNDER THE PROJECT ESTABLISHMENT OF </t>
  </si>
  <si>
    <t>Procurement of Construction Materials and Supplies  USE FOR THE ESTABLISHMENT OF 1 RESIDUAL CONTAINMENT AREA (RCA) AT ECO PARK, PULANG LUPA, TRENTO, ADS UNDER THE PROJECT ESTABLISHMENT OF PROVINCIAL E</t>
  </si>
  <si>
    <t>Supply and Delivery of One (1)  Lot Various Materials for the Construction of Vermiculture Production Building</t>
  </si>
  <si>
    <t>Public Bidding of 2 Lots for the Supply and Delivery of Office Supplies &amp; Janitorial Supplies for Mambusao District Hospital, under ITB No. 2020-012R</t>
  </si>
  <si>
    <t>Procurement of General Merchandise</t>
  </si>
  <si>
    <t>Fabrication of Tables and Cabinets of Different Offices, Naic, Cavite</t>
  </si>
  <si>
    <t>PURCHASE OF MEDICINE TO BE USED BY RHU</t>
  </si>
  <si>
    <t>Repair/Maintenance of Public Elementary Schools, Naic, Cavite</t>
  </si>
  <si>
    <t>G-2020-15: SERVICE PROVIDER FOR BANKWIDE GENERAL SUPPORT SERVICES OF THE DEVELOPMENT BANK OF THE PHILIPPINES</t>
  </si>
  <si>
    <t>PURCHASE OF OFFICE EQUIPMENT TO BE USED BY DIFFERENT OFFICES</t>
  </si>
  <si>
    <t>Procurement of Construction Materials and Supplies use for the Establishment of 1 Residual Containment Area (RCA) at Sitio Kalimutan, San Vicente,Loreto, ADS</t>
  </si>
  <si>
    <t>PBD 20-072A Equipment for Recombinant Expression of Bioactive Compounds</t>
  </si>
  <si>
    <t>REHABILITATION OF BITUEN-LACUB ROAD</t>
  </si>
  <si>
    <t>Concreting of Road (Ph.3) at Dumpsite, Brgy. Sabang, Naic, Cavite</t>
  </si>
  <si>
    <t>Repair and Maintenance-Motor Vehicles</t>
  </si>
  <si>
    <t>CONSTRUCTION OF EVACUATION CENTER(Brgy. Magsaysay, Culasi, Antique)/IB. NO. K-2020-060(SC)</t>
  </si>
  <si>
    <t>20IE0101 - REPAIR/MAINTENANCE OF DILG BUILDING LEYTE POLICE STATION Paz St., Poblacion, Leyte, Leyte</t>
  </si>
  <si>
    <t>CONCRETE PAVEMENT AT CALINOG TERMINAL COMPLEX</t>
  </si>
  <si>
    <t>Construction of Veterinary Clinic at CPSU Campus, Brgy XIV, Victorias City</t>
  </si>
  <si>
    <t>CONCRETING OF FARM TO MARKET ROAD AT BRGY. LAMPAYA</t>
  </si>
  <si>
    <t>PROCUREMENT OF WOODEN ARMCHAIRS FOR BCC, BUENAVISTA, BOHOL</t>
  </si>
  <si>
    <t>Construction of Building to Accommodate COVID 19 Patients at Brgy. Lydia (Phase 02)</t>
  </si>
  <si>
    <t>Supply and Delivery of Construction Materials - ITB 024B-2020 GQ</t>
  </si>
  <si>
    <t>PROPOSED GREENING AND BEAUTIFICATION OF LETRE CENTER ISLAND, SIDEWALK AND EASEMENT, LOCATED AT BRGY. TONSUYA, CITY OF MALABON</t>
  </si>
  <si>
    <t>Repair/Maintenance of Revetment along Porac River, San Isidro, Floridablanca, Pampanga</t>
  </si>
  <si>
    <t>Supply and Delivery of Office Equipment - ITB 023B-2020  GQ</t>
  </si>
  <si>
    <t>Supply and Delivery of Construction Materials for the Improvement of Water System at Brgy Cogon, Talicud Island, Kaputian Dist., IGaCoS under PR No. 003</t>
  </si>
  <si>
    <t>CIVIL WORKS FOR THE CONCRETING OF COASTAL ROAD BRGY. STO NIÑO TO BRGY. CALOC-AN (CONTINUATION), MAGALLANES, AGUSAN DEL NORTE</t>
  </si>
  <si>
    <t>Procurement of 1 unit 4WD Double Cab / Multi-Purpose Vehicle, Isabela, Neg. Occ.</t>
  </si>
  <si>
    <t>Purchase Request of Hospital Equipments for Toledo City Hospital (DOH Standard)</t>
  </si>
  <si>
    <t>Outside Labor (with necessary tools/equipment and materials for fabrication including installation/ mounting of tempered glass window with sliding window and fixed grills for BMC Cashier office at 8 S</t>
  </si>
  <si>
    <t>construction of pathway</t>
  </si>
  <si>
    <t>PURCHASE OF SOIL AMELIORANT</t>
  </si>
  <si>
    <t>Construction of Perimeter Fence at School Grounds at Hillview, Brgy. Timalan Balsahan, Naic, Cavite</t>
  </si>
  <si>
    <t>PURCHASE OF POST HARVEST AND FARM MACHINERY EQUIPMENT</t>
  </si>
  <si>
    <t>CONSTRUCTION OF MULTI-PURPOSE COVERED PAVEMENT</t>
  </si>
  <si>
    <t>Supply and Delivery of Advocacy Jacket, Longsleeves and Washable Face Masks Under FishCORAL Project</t>
  </si>
  <si>
    <t>SUPPLY AND DELIVERY OF CONSTRUCTION MATERIALS FOR BARANGAY STREETLIGHTS, PISAAN, SAN FRANCISCO, AGUSAN DEL SUR</t>
  </si>
  <si>
    <t>PURCHASE OF ANTI-RABIES VACCINE (ARV) TO CLIENTS OF THE MUNICIPALITY OF BORBON</t>
  </si>
  <si>
    <t>PBD 20-046A Light Absorption  Apparatus with Accessories</t>
  </si>
  <si>
    <t>Purchase Request of Medical Equipments for Toledo City Hospital (DOH Standard)</t>
  </si>
  <si>
    <t>Procurement of Various Electrical Supplies-06-357(O)PEO</t>
  </si>
  <si>
    <t>PROCUREMENT OF SERVICE VEHICLE</t>
  </si>
  <si>
    <t>Supply and Delivery of Laboratory Reagents - ITB 028B-2020 GQ</t>
  </si>
  <si>
    <t>Supply and Delivery of Two (2) Units Emergency Transport Vehicle to be used in the Office of the Municipal Mayor (satellite office in Aurora), Naujan, Oriental Mindoro</t>
  </si>
  <si>
    <t>UPGRADING OF FIRE DETECTION ALARM SYSTEM</t>
  </si>
  <si>
    <t>BLGU-STAFE-AL-G-01-2020 PURCHASE/INSTALLATION SOLAR STREET LIGHT BRGY. STA. FE, ABUYOG, LEYTE</t>
  </si>
  <si>
    <t>Construction of Line Canal, Barangay 5</t>
  </si>
  <si>
    <t>HANDWASHING FACILITY</t>
  </si>
  <si>
    <t>Construction of Sanitary Landfill, Category 1</t>
  </si>
  <si>
    <t>Procurement of 1 unit Manlift Truck, Isabela, Neg. Occ.</t>
  </si>
  <si>
    <t>Procurement of Two (2) Units New Elevator of AFP Health Service COmmand</t>
  </si>
  <si>
    <t>Bid No. 20-0275 - PROCUREMENT OF OFFICE SUPPLIES - MCR (MUNICIPAL CIVIL REGISTRAR)</t>
  </si>
  <si>
    <t>Weaving Looms, 50" x 50" and warping</t>
  </si>
  <si>
    <t>20GIB0035: Procurement of Security Services for Eastern Samar District Engineering Office (ESDEO) Borongan City</t>
  </si>
  <si>
    <t>Concreting of Farm to Market Road with Slope Protection at Sitio 4, Brgy. Tabucbuc</t>
  </si>
  <si>
    <t>EXPANSION OF DRAINAGE CANAL SYSTEM ( LAPU- LAPU STREET, QUIRINO &amp; HARADA BUTAI, PADADA, DAVAO DEL SUR )</t>
  </si>
  <si>
    <t>Construction/Rehabilitation of Water Supply/Septage and  Sewerage/Rain Water Collectors – Rain Water Collectors  in Public Facilities  2nd District Pampanga</t>
  </si>
  <si>
    <t>CONSTRUCTION OF FLOOD AND EROSION CONTROL PROJECT AT THE BACK OF PUBLIC MARKET, BRGY. PALDIT, SISON, PANGASINAN</t>
  </si>
  <si>
    <t>Purchase of Construction Materials for Renovation of Day Care Center at Gil Sanchez, Lab. ZN:</t>
  </si>
  <si>
    <t>CONSTRUCTION OF MULTI-PURPOSE CENTER (Phase 2)(Baghari, Barbaza, Antique)/IB. NO. K-2020-063(SC)</t>
  </si>
  <si>
    <t>(Re-bidding)  Procurement of Multi-Purpose Vehicle for Office of the Mayor</t>
  </si>
  <si>
    <t>Procurement of 1 unit Dump Truck, Isabela, Neg. Occ.</t>
  </si>
  <si>
    <t>Procurement of Construction Materials and Supplies use for the Maintenance of NRJ (San Francisco) Lapinigan-Mate-Cabantao Road at San Francisco, ADS</t>
  </si>
  <si>
    <t>Procurement of Construction Materials and Supplies Use for the Maintenance of NRJ (Loreto) Sto. Nino-Bugdangan-Ferdinand Comval Boundary Road at Loreto ADS</t>
  </si>
  <si>
    <t>Procurement of Construction Materials  for the  Concreting of  Pathway</t>
  </si>
  <si>
    <t>CONSTRUCTION OF MULTI-PURPOSE CENTER(San Antonio ES, Brgy. San Antonio, Barbaza, Antique)/IB. NO. K-2020-064(SC)</t>
  </si>
  <si>
    <t>PROCUREMENT OF MONO BLOCK CHAIR</t>
  </si>
  <si>
    <t>Supply and Delivery of One (1) Lot Various Materials for the Improvement of Tourist Facilities</t>
  </si>
  <si>
    <t>Construction/Rehabilitation/Improvement of Multi-Purpose Hall at Brgy. Rizal , Lapaz, Iloilo City (Bid No. 20-138)</t>
  </si>
  <si>
    <t>Construction of Apartment Type Tomb, Barangay 5</t>
  </si>
  <si>
    <t>purchase of construction/Fab./Installation of Solar Streetlights</t>
  </si>
  <si>
    <t>SUPPLY, INSTALLATION AND COMMISSIONING OF MATERIALS, EQUIPMENT, PUMPING UNIT AND DISCHARGE LINE FOR CUTUD PUMPING STATION, BARANGAY CUTUD, ANGELES CITY</t>
  </si>
  <si>
    <t>Repair of Classroom at Melchor L. Nava National High School, Calaparan, Arevalo, Iloilo City (Bid No. 20-127)</t>
  </si>
  <si>
    <t>SUPPLY, DELIVERY AND INSTALLATION OF CCTV</t>
  </si>
  <si>
    <t>ROAD CONCRETING AT BARANGAY MAKAPILAPIL</t>
  </si>
  <si>
    <t>CONSTRUCTION OF POTABLE WATER SYSTEM LEVEL II</t>
  </si>
  <si>
    <t>Supply &amp; Delivery of various Medicine, Medical, Dental &amp; Laboratory  Supplies for RHU-I,  RHU-II and PGH, LGU-Paniqui, Tarlac</t>
  </si>
  <si>
    <t>SUPPLY OF LABOR AND MATERIALS FOR THE DRILLING OF ONE (1) UNIT PRODUCTION WELL LOCATED AT VILLA CZARINA SUBDIVISION, BARANGAY CUAYAN, ANGELES CITY</t>
  </si>
  <si>
    <t>Security Services for the Provincial Government of Ilocos Sur</t>
  </si>
  <si>
    <t>Tobacco Farmers/Cooperatives' Hybrid Corn Seed Subsidy for Alternative Farming Livelihood Project</t>
  </si>
  <si>
    <t>Procurement of Linens Requirement of VLMC, AFPHSC</t>
  </si>
  <si>
    <t>ROAD CONCRETING AT BARANGAY MALIPAMPANG</t>
  </si>
  <si>
    <t>ROAD CONCRETING AT BARANGAY MATAAS NA PARANG</t>
  </si>
  <si>
    <t>Bid No. 20-0277 - PROCUREMENT OF OFFICE SUPPLIES - MAGRO/FYDP</t>
  </si>
  <si>
    <t>Foods</t>
  </si>
  <si>
    <t>Improvement of Barangay Hall Phase II</t>
  </si>
  <si>
    <t>Proposed Opening/Improvement of Toledo City Hospital Circumferential Road @ Brgy. Poblacion, Toledo City</t>
  </si>
  <si>
    <t>Acquisition of Rural Health Unit Service Van</t>
  </si>
  <si>
    <t>To hire contractor to provide materials, labor, and equipment for the “Additional Appropriation for the improvement of LDRRMD Multi-Purpose Evacuation and Operation Center, Capitol Area, Dumaguete Cit</t>
  </si>
  <si>
    <t>Construction of 10 Post Solar Street Lights at Brgy. New Rizal, Catarman, Northern Samar</t>
  </si>
  <si>
    <t>REBLOCKING OF MUNICIPAL ROAD AND RECONSTRUCTION OF SLOPE PROTECTION (BRGY CALERO)</t>
  </si>
  <si>
    <t>Supply of various construction materials for Road Rehabilitation at Rizal Street, Padada Davao del Sur</t>
  </si>
  <si>
    <t>Supply and Delivery of One (1) Unit Multi Cab (Rebuilt/Reconditioned), Ugac Sur, Tuguegarao City</t>
  </si>
  <si>
    <t>Supply/Delivery of Latex Paint, 7 Liter</t>
  </si>
  <si>
    <t>Purchase of Construction Materials for Perimeter Fencing of 330 Lm Gulayan sa Paaralan at KAFHS, Kipit, Lab. ZN:</t>
  </si>
  <si>
    <t>Concreting of Irrigation Service Road in Daramuangan Norte</t>
  </si>
  <si>
    <t>Bid No. 20-0276 - PROCUREMENT OF OFFICE SUPPLIES - MHO OPERATIONS</t>
  </si>
  <si>
    <t>Supply of Materials, Labor and Equipment for the Concreting and Continuation of Bridge Approach with Stone Masonry and Guard Railings at Dicamay I, Jones, Isabela.</t>
  </si>
  <si>
    <t>Supply/Delivery of  Rice for Provision of Support to Auxilliary Army Group  (PR# 20-06-0604)</t>
  </si>
  <si>
    <t>Proposed Road Opening (Hospital-Hinulawan Road) Brgy. Poblacion, Toledo City (L=162.00m.; W=15.00m.)</t>
  </si>
  <si>
    <t>Rehabilitation of Drainage Canal</t>
  </si>
  <si>
    <t>Improvement/ Concreting of Access Road</t>
  </si>
  <si>
    <t>Supply of Materials, Labor and Equipment for the Rehabilitation/Construction of Sports Complex</t>
  </si>
  <si>
    <t>Supply and Delivery of Assorted Farm and Garden Tools for the establishment of Barangay Level Vegetable Technology Demonstration Farm/YRRP ESSETS</t>
  </si>
  <si>
    <t>Bid No. 20-0278 - PROCUREMENT OF OFFICE SUPPLIES - MAGSO</t>
  </si>
  <si>
    <t>Continuation of Barangay Community Center</t>
  </si>
  <si>
    <t>Procurement of Water Meter 1/2" Class C</t>
  </si>
  <si>
    <t>ROAD CONCRETING AT BARANGAY PASONG BANGKAL</t>
  </si>
  <si>
    <t>FILLING CABINET</t>
  </si>
  <si>
    <t>20CSHG0002 - Consultancy Services for the Conduct of Appraisal of Lots involving Organizational Outcome 1: Ensure Safe and Reliable National Road System; Network Development Program, Construction of M</t>
  </si>
  <si>
    <t>REHABILITATION / IMPROVEMENT OF POBLACION AND MAUSOC FARM TO MARKET ROAD</t>
  </si>
  <si>
    <t>REPAIR/ REHABILITATION OF STREET LIGHTS OF BARANGAY MOMBON, ZUMARRAGA, SAMAR</t>
  </si>
  <si>
    <t>DepED-RO6-D1- “TNHS” PURCHASE OF TRANSFORMER FOR JUNIOR HIGH SCHOOL (GAD)-001-2020</t>
  </si>
  <si>
    <t>4 bags pre starter feed, 50 kgs etc.</t>
  </si>
  <si>
    <t>ROAD UPGRADING/CONCRETE PAVING P. HERRERA FMR</t>
  </si>
  <si>
    <t>REHABILITATION &amp; PRESERVATION OF CULTURAL AND HISTORICAL SITES, POBLACION, IMPASUGONG, BUKIDNON</t>
  </si>
  <si>
    <t>COMPLETION OF BARANGAY OFFICE</t>
  </si>
  <si>
    <t>20GIE0011 -  Supply and Delivery of Wire and Accessories for 150KVA Generator, Supply and Procurement of Materials Only. DPWH, Leyte Third District Engineering Office, Villaba, Leyte</t>
  </si>
  <si>
    <t>20PL0123 - Concreting of Brgy. Magnao FMR, Brgy. Magnao, Tabuk City, Kalinga</t>
  </si>
  <si>
    <t>Repair and Maintenance of Barangay Farm to Market Road</t>
  </si>
  <si>
    <t>Construction of Access Road at Allen Transport Terminal Allen, Northern Samar</t>
  </si>
  <si>
    <t>MES-Education Materials And Supplies/Basic Services</t>
  </si>
  <si>
    <t>BARANGAY MULTI PURPOSE CENTER CONSTRUCTION FOR VILLA ELIOT AT VILLA ELIOT, PATNONGON, ANTIQUE</t>
  </si>
  <si>
    <t>Rehabilitation of Multi- Purpose Hall</t>
  </si>
  <si>
    <t>REPAIR IMPROVEMENT OF MULTI-PURPOSED BUILDING</t>
  </si>
  <si>
    <t>PROPOSED MATERIAL RECOVERY FACILITY (MRF)</t>
  </si>
  <si>
    <t>Bid No. 20-0279 - PROCUREMENT OF OFFICE SUPPLIES - MAGRO/RIC</t>
  </si>
  <si>
    <t>PROCUREMENT OF MULTI-PURPOSE SHREDDER/PULVERIZER</t>
  </si>
  <si>
    <t>4 units diamond core, drill bit</t>
  </si>
  <si>
    <t>20CN0101 - Construction of Municipal Slaughterhouse, Baler, Aurora</t>
  </si>
  <si>
    <t>Lot 2 Supply &amp; Delivery of IT Equipment for the use of Procurement Unit</t>
  </si>
  <si>
    <t>Upgrading of 2-way Radio Communication System</t>
  </si>
  <si>
    <t>PROCUREMENT OF CONTAINER VAN</t>
  </si>
  <si>
    <t>UPLB-RQ-6-131-20-RES SUPPLY AND DELIVERY OF INFORMATION TECHNOLOGY FOR BIOTECH</t>
  </si>
  <si>
    <t>REPAIR AND MAINTENANCE OF BARANGAY HALL OF BRGY. MAPULO -002</t>
  </si>
  <si>
    <t>UNIVERSAL REFRIGERATION TRAINING SYSTEM</t>
  </si>
  <si>
    <t>Procurement of Supply and Materials for the Construction of 39 TLS within the Municipality of Bansalan, Davao del Sur</t>
  </si>
  <si>
    <t>Invitation to Bid for the Construction of Lined Canal at Sitio Agsambalilo, Calsapa</t>
  </si>
  <si>
    <t>Supply, Delivery and Configuration of LTE CPE Broadband Device for CTU Flexible Learning System (FLS) with Globe Telecom Network</t>
  </si>
  <si>
    <t>BRGY. ROAD CONCRETING EXPANSION (PUROK TABAY)</t>
  </si>
  <si>
    <t>MATERIALS FOR THE CONSTRUCTION OF BODEGA(WAREHOUSE) WITH AN OPEN SPACE AREA-2ND FLOOR at Benigwayan, Alubijid, Misamis Oriental</t>
  </si>
  <si>
    <t>1 set  coring machine</t>
  </si>
  <si>
    <t>PROCUREMENT OF ENGINE FOR FOTON AMBULANCE</t>
  </si>
  <si>
    <t>Proposed Road Rehabilitation/Improvement @ Sitio Dakit, Brgy. Cambang-ug, Toledo City</t>
  </si>
  <si>
    <t>RIPRAPPING OF SLOPE PROTECTION</t>
  </si>
  <si>
    <t>Concreting of Tagaytay Barangay Road</t>
  </si>
  <si>
    <t>CONSTRUCTION OF MULTI-PURPOSE BUILDING (GEN SET HOUSING - PHASE I)(BRGY NORTH POBLACION)</t>
  </si>
  <si>
    <t>PROCUREMENT OF INFORMATION TECHNOLOGY (IT) EQUIPMENT</t>
  </si>
  <si>
    <t>Procurement of Supply and Materials for the Construction of 65 TLS to be delivered within the Municipality of Magsaysay, Davao del Sur</t>
  </si>
  <si>
    <t>Local Access Road-Road Upgrading (Concrete Paving of Barangay Amontay FMR)</t>
  </si>
  <si>
    <t>Concreting of Lisub-B Barangay Road</t>
  </si>
  <si>
    <t>20GIE0012 - Purchase of Toner for use in the Photocopier Machine in Planning and Design Section. DPWH, Leyte Third District Engineering Office, Villaba, Leyte</t>
  </si>
  <si>
    <t>20CN0153 - Asset Preservation Program – Rehabilitation/Reconstruction/Upgrading of Damaged Paved Roads – Secondary Roads, Baler-Casiguran Rd (Baler-Dinadiawan) - K0232+609 - K0232+773, K0239+773 – K02</t>
  </si>
  <si>
    <t>LGU-MLPT-2020-02</t>
  </si>
  <si>
    <t>20GIE0013 - Purchase of -10,000- liters of Diesel Fuel for use in Planning and Design Section. DPWH, Leyte Third District Engineering Office, Villaba, Leyte</t>
  </si>
  <si>
    <t>RENOVATION AND IMPROVEMENT OF THE MAIN BUILDING WITH MULTI-PURPOSE HALL AND EVACUATION CENTER</t>
  </si>
  <si>
    <t>Supply of Fuel of various DPWH Vehicles &amp; other Equipment for the 3rd Quarter CY 2020</t>
  </si>
  <si>
    <t>Catering Services 2020</t>
  </si>
  <si>
    <t>UPLB-RQ-6-133-20-I SUPPLY AND DELIVERY OF GENERAL CONTRACTOR FOR IC</t>
  </si>
  <si>
    <t>Purchase of Construction Materials for Renovation of Day Care Center at Ubay, Lab. ZN:</t>
  </si>
  <si>
    <t>Proposed Bahay Pag-asa Building (Phase II-A) - (Maitum, Upper Puerto); SN 129 - 2020</t>
  </si>
  <si>
    <t>Supply and Installation of Hospital Information Management System</t>
  </si>
  <si>
    <t>PROCUREMENT OF CONSTRUCTION MATERIALS FOR THE CONSTRUCTION OF SOLAR DRIER AT UPPER PUROK 2- POBLACION, SUMILAO, BUKIDNON</t>
  </si>
  <si>
    <t>EPSON L360 printer</t>
  </si>
  <si>
    <t>Purchase &amp; Delivery of Various Medical, Dental &amp; Laboratory Supplies for Maitum MH (Re-bid)</t>
  </si>
  <si>
    <t>Procurement of Various Consumables for Printers and Photocopier of the Four (4) Campuses (2nd Pub)</t>
  </si>
  <si>
    <t>Supply, Delivery and Configuration of LTE CPE Broadband Device for CTU Flexible Learning System (FLS) with Smart/PLDT Telecom Network</t>
  </si>
  <si>
    <t>Purchase of trash bin</t>
  </si>
  <si>
    <t>purchase of goods for water supply</t>
  </si>
  <si>
    <t>CONCRETING OF ACCESS ROAD (BRGY STA ELENA)</t>
  </si>
  <si>
    <t>20CN0154- Network Development Program, Off-Carriageway Improvement – Secondary Roads, Baler – Casiguran Road (Dinadiawan – Casiguran Section), K0322+404 – K0323+617, K0332+000 – K0333+725, K0334+732 –</t>
  </si>
  <si>
    <t>Purchase of CCTV with Installation for PNP Labason Station Surveillance:</t>
  </si>
  <si>
    <t>PROCUREMENT OF OFFICE SUPPLIES FOR THE 2ND QUARTER OF YEAR 2020</t>
  </si>
  <si>
    <t>20GIE0010 - Purchase of Tires and Accessories for Nissan Navarra with Plate Number SJW-290, Supply and Procurement of Equipment Parts Only. DPWH, Leyte Third District Engineering Office, V</t>
  </si>
  <si>
    <t>SUPPLY AND DELIVERY OF TWO (2) UNITS MULTI-PURPOSE RESCUE VEHICLE, MDRRMO, LGU CANDELARIA, QUEZON</t>
  </si>
  <si>
    <t>ELECTRO-MECHANICAL AND INDUSTRIAL MOTOR CONTROL TRAINING SYSTEM</t>
  </si>
  <si>
    <t>EXTENSION OF LOCAL RISK REDUCTION MANAGEMENT OFFICE</t>
  </si>
  <si>
    <t>Supply, Delivery, Installation &amp; Commissioning of Brand New Digital Radiography/Fluoroscopy X-ray Machine</t>
  </si>
  <si>
    <t>Computer Set</t>
  </si>
  <si>
    <t>purchase of construction materials for repair of tanod outpost SPPVS</t>
  </si>
  <si>
    <t>20GM0080 - Upgrading/Improvement/Expansion of Candoni RHU, Negros Occidental.</t>
  </si>
  <si>
    <t>To hire contractor to provide materials, labor and equipment for two (2) Infrastructure Projects, viz: 1) Construction of River Control Barangay Cabugan Bindoy, Negros Oriental; 2) Concreting of Baran</t>
  </si>
  <si>
    <t>Drainage Improvement along C5, District II, Makati City</t>
  </si>
  <si>
    <t>RE-BIDDING- PROCUREMENT OF 1 LOT VARIOUS LABORATORY REAGENTS</t>
  </si>
  <si>
    <t>Drainage Improvement along Kalayaan Avenue, District II, Makati City</t>
  </si>
  <si>
    <t>PROCUREMENT OF DIRECT DIGITAL RADIOGRAPHY SYSTEM</t>
  </si>
  <si>
    <t>PROCUREMENT OF ANTHROPOMORHIC PHANTOM FOR BS RADIOLOGIC TECHNOLOGY</t>
  </si>
  <si>
    <t>Purchase of Business Plate for LGU Labason:</t>
  </si>
  <si>
    <t>Procurement of Supply and Materials for the Construction of 17 TLS to be delivered at Municipality of Sta. Cruz</t>
  </si>
  <si>
    <t>Supply and Delivery of Construction Materials - ITB 031B-2020 GQ</t>
  </si>
  <si>
    <t>Concreting of Access Road to Police and health Station</t>
  </si>
  <si>
    <t>20GKK0032 – Supply and Delivery of Fuel to be used by DPWH-MOFDEO Service Vehicle and Equipment of All Section</t>
  </si>
  <si>
    <t>Invitation to Bid for the Procurement of Stainless Steel Demonstration Tables and Sink for Food Laboratory</t>
  </si>
  <si>
    <t>Installation of Street Lighting System</t>
  </si>
  <si>
    <t>Various Infrastructure Projects (Infra-20-09), Kabankalan City, Negros Occidental</t>
  </si>
  <si>
    <t>Supply and Materials for the Construction of 68 Classroom TLS to be delivered to Municipality of Matanao</t>
  </si>
  <si>
    <t>Supply/Delivery of Food Packs</t>
  </si>
  <si>
    <t>Invitation to Bid for the Procurement of I.T. Equipment</t>
  </si>
  <si>
    <t>Supply of various construction materials for the Expansion of Drainage Canal ( U-Type Drainage System )</t>
  </si>
  <si>
    <t>Package 58: Supply and Delivery of Catering Services (Live-Out) in Cagayan de Oro City</t>
  </si>
  <si>
    <t>Improvement of Multi-Purpose Pavement (Bleachers) - Callitong</t>
  </si>
  <si>
    <t>Supply and Delivery of Construction Materials - ITB 029B-2020 GQ</t>
  </si>
  <si>
    <t>Initial Construction of Standard Day Care Center, Brgy. San Pablo, Buenavista, Quezon</t>
  </si>
  <si>
    <t>Repair Extension of Multi-Purpose Hall (Stairs) - Callitong</t>
  </si>
  <si>
    <t>CONSTRUCTION OF TRANSPORT TERMINAL (COMPLETION) - (CONSTRUCTION OF PUBLIC TOILET)</t>
  </si>
  <si>
    <t>1st Quarter Supply ( BUSCO CES) 2020</t>
  </si>
  <si>
    <t>Improvement/Concreting of Cadlit Road, Brgy. Cadlit, Buenavista, Quezon</t>
  </si>
  <si>
    <t xml:space="preserve">Installation and Implementation of pre-developed and customized Application Systems for establishment of centralized Data Banking System Website for International Connection of the City Government of </t>
  </si>
  <si>
    <t>Construction of Multi-Purpose Building (New Building Phase I), Ugac Sur, Tuguegarao City</t>
  </si>
  <si>
    <t>CID NO. 20IF0139-CY 2020 BEFF, CONSTRUCTION OF CLASSROOMS, LILOAN NATIONAL HIGH SCHOOL (ANNEX), BARANGAY SALVACION, ORMOC CITY</t>
  </si>
  <si>
    <t>35 heads Piglets, black, mixed breed, 2 months old etc.</t>
  </si>
  <si>
    <t>CID NO. 20IF0140-CY 2020 BEFF, CONSTRUCTION OF CLASSROOMS, ORMOC CITY CENTRAL SCHOOL, ORMOC CITY</t>
  </si>
  <si>
    <t>CONTRACT ID 20GIJ-0002 SUPPLY OF 40,000 LITRES DIESEL FUEL, 10,000 LITRES PREMIUM GASOLINE &amp; 40,000 LITRES UNLEADED GASOLINE FOR THE 2ND &amp; 3RD QUARTER PROCUREMENT OF F.Y. 2020.</t>
  </si>
  <si>
    <t>Package 59: Supply and Delivery of Catering Services for COVID-19 Emergency Operation Center in Cagayan de Oro City</t>
  </si>
  <si>
    <t>20PL0122 - Concreting of Brgy. Wagud to Brgy. Ballayangon FMR, Brgy. Wagud and Brgy. Ballayangon, Pinukpuk, Kalinga</t>
  </si>
  <si>
    <t>INVITATION TO BID FOR THE SUPPLY AND DELIVERY OF BRAND NEW SIX WHEELER MEAT VAN TRUCK</t>
  </si>
  <si>
    <t>Hog Fattening ( Feeds, Dewormer &amp; Vitamins)</t>
  </si>
  <si>
    <t>B20200215 - MEDICAL SUPPLIES FOR DDNH-KAPALONG ZONE</t>
  </si>
  <si>
    <t>Improvement/Concreting of Cawa-Cabong Road, Brgy. Cawa - Cabong, Buenavista, Quezon</t>
  </si>
  <si>
    <t>Construction of Multi-Purpose Hall</t>
  </si>
  <si>
    <t>20CB-GSC-359 PURCHASE OF IT EQUIPMENT</t>
  </si>
  <si>
    <t>B20200216 - POULTRY BREEDER PARENT STOCK (MALE &amp; FEMALE) FOR PVO USE</t>
  </si>
  <si>
    <t>Initial Construction of Standard Day Care Center, Brgy. Masaya, Buenavista, Quezon</t>
  </si>
  <si>
    <t>Procurement of Coco Lumber for the Construction of 65 TLS to be delivered at Municipality of Magsaysay</t>
  </si>
  <si>
    <t>PES Printing of Tarpaulin</t>
  </si>
  <si>
    <t>20CB-GSC-356 REPAIR OF MITSUBISHI ESTRADA FOR CEO</t>
  </si>
  <si>
    <t>20CB-GSC-361 PURCHASE OF GENERAL MERCHANDISE</t>
  </si>
  <si>
    <t>Electrical Supplies</t>
  </si>
  <si>
    <t>B20200217 - TIRES FOR VARIOUS PROVINCIAL EQUIPMENT FOR PEO POOL USE</t>
  </si>
  <si>
    <t>20CB-GSC-358 PURCHASE OF VARIOUS OFFICE EQUIPMENT</t>
  </si>
  <si>
    <t>PES Purchase of Mobile Load Card 2020-Supplemental</t>
  </si>
  <si>
    <t>Supply and Delivery of Various Drugs and Medicines</t>
  </si>
  <si>
    <t>Procurement of Coco Lumber for the Construction of 39 TLS to be delivered within the Municipality of Bansalan</t>
  </si>
  <si>
    <t>20CB-GSC-365 PURCHASE OF DRUGS AND MEDICINES FOR DJPRH (RE-BID)</t>
  </si>
  <si>
    <t>B20200228 - TIRE, OIL FILTER AND FUEL FILTER FOR FOTON TRUCK OF PDRRMD</t>
  </si>
  <si>
    <t>PES Purchase of Printer (Epson) 2020-Supplemental</t>
  </si>
  <si>
    <t>B20200227 - TRUCK TIRE AND CLUTCH LINING FOR WATER TANKER OF PDRRMD</t>
  </si>
  <si>
    <t>20CB-GSC-360 CATERING SERVICES</t>
  </si>
  <si>
    <t>Equipment to be use in the Computerization Program (RPTAS) Phase 1</t>
  </si>
  <si>
    <t>SUPPLY/INSTALLATION OF LIGHT @ COVERED COURT, BRGY. TAGBUBUNGA, VILLABA, LEYTE : SOURCE OF FUND- BRGY. FUND 20% EDF CY2020</t>
  </si>
  <si>
    <t>20CB-GSC-364 PURCHASE OF FOOD SUPPLIES FOR OSCA</t>
  </si>
  <si>
    <t>Purchase of One (1) unit Ambulance for the use of LGU-Hinigaran, Negros Occidental.</t>
  </si>
  <si>
    <t>PES Purchase of Office Supplies 2020-Supplemental</t>
  </si>
  <si>
    <t>Procurement of Coco Lumbers for the Construction of 68 TLS to be delivered at the Municipality of Matanao</t>
  </si>
  <si>
    <t>Supply of Labor, Materials and Equipment for the Construction/Improvement of Birthing Clinic (Phase II), Brgy. Lalayat, San Jose, Batangas</t>
  </si>
  <si>
    <t>20CB-GSC-357 PURCHASE OF PURIFIED DRINKING WATER</t>
  </si>
  <si>
    <t>Purchase to be used in Military, Police, and Security Equipment</t>
  </si>
  <si>
    <t>B20200226 - TIRE, OIL FILTER AND FUEL FILTER FOR FOTON TRUCK</t>
  </si>
  <si>
    <t>Bid No. 20-0280 - PROCUREMENT OF OFFICE SUPPLIES - MAGRO/MCDC</t>
  </si>
  <si>
    <t>Supply &amp; Delivery of Phacoemulsification-Vitrectomy Machine</t>
  </si>
  <si>
    <t>PROCUREMENT OF SECURITY SERVICES FOR THE MUNICIPAL GOVERNMENT OF INFANTA, QUEZON</t>
  </si>
  <si>
    <t>HFW : 1 LOT PERSONAL APPARELS FOR THE USE OF CLIENT AT HOME FOR WOMEN FOR 2nd SEM 2020.</t>
  </si>
  <si>
    <t>20CB-GSC-363 PURCHASE OF MEDALS AND SPORT SUPPLIES</t>
  </si>
  <si>
    <t>PROVISION OF OLD AGE ADVANTAGE BONUS BIRTHDAY GIFT ( CAKE) FOR SENIOR CITIZENS</t>
  </si>
  <si>
    <t>20CB-GSC-355 PURCHASE OF ENGINE OIL FOR CITY AGRI</t>
  </si>
  <si>
    <t>Supply/Delivery of Standard ISO PE Pipes</t>
  </si>
  <si>
    <t>Construction of Multi-Purpose Hall (Phase II) at Barangay Huyon-Uyon, San Francisco, Quezon</t>
  </si>
  <si>
    <t>CONSTRUCTION OF NATIONAL CHILD DEVELOPMENT CENTER : SOURCE OF FUND- EARLY CHILDHOOD CARE AND DEVELOPMENT COUNCIL TRUST FUND</t>
  </si>
  <si>
    <t>Construction of Covered Court (Phase II) at Barangay Silongin, San Francisco, Quezon</t>
  </si>
  <si>
    <t>Supply &amp; Delivery of Medical Equipment &amp; Instruments for Orthopedic Use</t>
  </si>
  <si>
    <t>20CB-GSC-362 PURCHASE OF FURNITURE AND FIXTURES</t>
  </si>
  <si>
    <t>PURCHASE OF FOOD PACKS FOR MODERATELY ACUTE MALNOURISHED CHILDREN</t>
  </si>
  <si>
    <t>Construction of Two (2) Storey Multi-purpose Building (Phase III)</t>
  </si>
  <si>
    <t>INFRA2020-AG2-007 Supply of Labor and Materials for Repair of Employees Housing Quarter Two (2) Units at NPC Compound, Pawak, Saguiaran, Lanao del Sur and MRSQ, Maria Cristina, Iligan City</t>
  </si>
  <si>
    <t>Const/Rehab.of Local Core Roads and Ripraping</t>
  </si>
  <si>
    <t>Iprovement/Concreting of Sitio Yabaan Road, Brgy. Maligaya, Buenavista, Quezon</t>
  </si>
  <si>
    <t>20CB-GSC-366 PURCHASE OF VARIOUS MEDICAL, DENTAL &amp; LABORATORY</t>
  </si>
  <si>
    <t>Supply and Delivery of Various Water Service Connection Materials for Installation of 75mm dia. uPVC Distribution Line for Expansion Projects at Kalibo, Banga &amp; New Washington Areas</t>
  </si>
  <si>
    <t>20FN0103 Concreting of Brgy. Masoli Farm to Market Road, Brgy. Masoli, Bato, Camarines Sur Sta. 0+000.00 – Sta. 1+253.00</t>
  </si>
  <si>
    <t>(20LF0143) San Luis NHS Two (2) Storey Ten (10) Classroom, Caraga, Davao Oriental</t>
  </si>
  <si>
    <t>Construction of Multi-Purposed Building Damayuhan National High School, Magsaysay, Misamis Oriental</t>
  </si>
  <si>
    <t>20CB-GSC-367 PURCHASE OF MEDICAL DENTAL &amp; LABORATORY SUPPLIES FOR DJPRH (RE-BID)</t>
  </si>
  <si>
    <t>MOOE2020-01</t>
  </si>
  <si>
    <t>Fuel and Lubricants for the Maintenace of Barangay Raod Palmera,  R. T. Lim, Zamboanga Sibugay</t>
  </si>
  <si>
    <t>COMPLETION OF VIEW DECK TREEPARK</t>
  </si>
  <si>
    <t>20CB-GSC-368 PURCHASE OF ANTIBACTERIALS (PARENTERALS) FOR DJPRH (RE-BID)</t>
  </si>
  <si>
    <t>Rehabilitation of Multi-Purpose Hall, Barangay Cagbalogo</t>
  </si>
  <si>
    <t>Supply of Labor, Materials and Equipment for the Construction of Daycare Center, Brgy. Banaybanay I, San Jose, Batangas</t>
  </si>
  <si>
    <t>IB 20CJ0154  Repair/ Maintenance of DPWH Building Water System Tarlac I District Engineering Office, Gerona, Tarlac</t>
  </si>
  <si>
    <t>PROCUREMENT OF TWO (2) UNITS PASSENGER VAN AND ONE (1) UNIT PICK UP VEHICLE FOR DISASTER RESPONSE</t>
  </si>
  <si>
    <t>Procurement of Supply and Materials for the Construction of 55 TLS to be delivered at the Municipalities of Malalag, Padada, Hagonoy, Sulop and Kiblawan</t>
  </si>
  <si>
    <t>PR# 20-1487- 11,682 PACKS FORTIFIED POWDERED MILK DRINK</t>
  </si>
  <si>
    <t>20KD0065: Fabrication and Installation of Road Right-of-Way Markers along National Roads</t>
  </si>
  <si>
    <t>Upgrading of Health Center</t>
  </si>
  <si>
    <t>Construction of River Protection-Barangay Magsino</t>
  </si>
  <si>
    <t>20AH0217	Concreting of Brgy. Oraan East FMR, Brgy. Oraan East, Manaoag, Pangasinan</t>
  </si>
  <si>
    <t>20AH0216	Concreting of Brgy. San Juan FMR, Brgy. San Juan, San Jacinto, Pangasinan</t>
  </si>
  <si>
    <t>(20LF0144)Maylaya IS Bldg. 2 One (1) Storey Two (2) Classroom with Toilet at Each Classroom, Cateel, Davao Oriental</t>
  </si>
  <si>
    <t>Fuel and Lubricants for the Rehabilitation of FMR from Little MArgos to Pres. Roxas Junction  Calula,  R. T. Lim, Zamboanga Sibugay</t>
  </si>
  <si>
    <t>Procurement of Medical Oxygen for Camiguin Genral Hospital</t>
  </si>
  <si>
    <t>SUBDIVISION SURVEY OF LANDHOLDING UNDER MODULE NO. 2020 CC-01 CY 2020</t>
  </si>
  <si>
    <t>Rehab./ Improvement of Old Public Market</t>
  </si>
  <si>
    <t>Supply, Delivery &amp; Installation of 11-unit Aircon for the New Mayor's Office &amp; Executive Hall</t>
  </si>
  <si>
    <t>Construction of Drainage System (Petron - Fairbank)</t>
  </si>
  <si>
    <t>Project PROTECT</t>
  </si>
  <si>
    <t>Procurement of Various Semi-Expendables</t>
  </si>
  <si>
    <t>20FN0104 Concreting of Brgy. La Victoria to Brgy. Taisan Farm to Market Road, Brgy. La Victoria and Brgy. Taisan, Bula, Camarines Sur Sta. 8+000.00 – Sta. 9+020.00</t>
  </si>
  <si>
    <t>20DD0359 Local Program, Local Infrastructure Program, Buildings and Other Structures, Multipurpose/ Facilities, Construction of Multi-Purpose Building (Auditorium) including Site Development at Brgy.</t>
  </si>
  <si>
    <t>Purchase of  Office Equipment for IP  Legislative Office R.  T. Lim, Zamboanga Sibugay</t>
  </si>
  <si>
    <t>Procurement of Coco Lumber for the Construction of 55 TLS to be delivered at the Municipality of Malalag, Padada, Hagonoy, Sulop and Kiblawan</t>
  </si>
  <si>
    <t>Supply, Delivery and Installation of Equipment for the Bioactive Extracts Project – Dual Channel Flash Chromatograph</t>
  </si>
  <si>
    <t>Construction of Drainage System (Gemilina - Fairbank)</t>
  </si>
  <si>
    <t>Cementing of Footwalk</t>
  </si>
  <si>
    <t>PROCUREMENT OF TWO (2) UNITS SPORTS UTILITY VEHICLE AND ONE (1) UNIT CROSSOVER UTILITY VEHICLE FOR PATROL OPERATIONS</t>
  </si>
  <si>
    <t>Fabrication of Movable Stage</t>
  </si>
  <si>
    <t>Supply and Delivery of Self-Learning Kits Reproduction Machines</t>
  </si>
  <si>
    <t>20DD0364 Local Program, Local Infrastructure Program, Local Roads and Bridges, Local Bridges, Construction of Pedestrian Overpass at Tambo Elementary School, Brgy. Tambo, Lipa City, Batangas</t>
  </si>
  <si>
    <t>20DD0363 Local Program, Local Infrastructure Program, Local Roads and Bridges, Local Bridges, Construction/Improvement of Bridge at Brgy. Pangao, Lipa City, Batangas</t>
  </si>
  <si>
    <t>Supply and Delivery of Anti Rabies Vaccine</t>
  </si>
  <si>
    <t>B20200222 - IMPROVEMENT OF POTABLE WATER SYSTEM AT BRGY. MAGSAYSAY, CARMEN, DDN</t>
  </si>
  <si>
    <t>Construction of Operation Center Building (MDRRMO)</t>
  </si>
  <si>
    <t>Proposed Construction of Canopy Lagtang Elementary School, Alubijid, Misamis Oriental</t>
  </si>
  <si>
    <t>20DD0362 Local Program, Construction/ Repair/ Rehabilitation/ Improvement of Various Infrastructure Including Local Projects, Buildings and Other Structures, Multipurpose/ Facilities, Rehabilitation/I</t>
  </si>
  <si>
    <t>Construction of Drainage System</t>
  </si>
  <si>
    <t>Supply and Delivery of Goods for Integrated Community Food Production</t>
  </si>
  <si>
    <t>Improvement of Gamut Public Market and Parking Area</t>
  </si>
  <si>
    <t>Construction of Dipacamo Bridge Phase I, Dipacamo, San Guillermo, Isabela</t>
  </si>
  <si>
    <t>CONCRETING OF MULTI-PURPOSE BLDG.</t>
  </si>
  <si>
    <t>repair /widening of brgy. road</t>
  </si>
  <si>
    <t>Rebidding of Drugs and Medicines,  IB No. SB-2020-013</t>
  </si>
  <si>
    <t>Supply and Delivery of 500pcs. Toilet Bowl &amp; 500pcs. Plastic Blue Drums</t>
  </si>
  <si>
    <t>widening of barangay road- sitio parang</t>
  </si>
  <si>
    <t>20DD0360 Local Program, Local Infrastructure Program, Buildings and Other Structures, Multipurpose/ Facilities, Construction of Multi-Purpose Building with facilities at Brgy. Plaridel, Lipa City, Bat</t>
  </si>
  <si>
    <t>Installation of Street Light from Crossing Victoria – Purisima Road section w/ center Island</t>
  </si>
  <si>
    <t>20DD0361 Local Program, Local Infrastructure Program, Local Roads and Bridges, Local Bridges, Rehabilitation/Improvement of Overpass (along Calabarzon) at Brgy. Pangao, Lipa City, Batangas</t>
  </si>
  <si>
    <t>PR# 20-1488- Multivitamins Supplementation Program to targeted stunted children</t>
  </si>
  <si>
    <t>Supply, Delivery and Commissioning of Generator Sets and Automatic Transfer Switch for PS No. 9 and No 9A</t>
  </si>
  <si>
    <t>20DD0365 Local Program, Construction/ Repair/ Rehabilitation/ Improvement of Various Infrastructure Including Local Projects, Local Roads and Bridges, Local Bridges, Construction of Pedestrian Overpas</t>
  </si>
  <si>
    <t>Construction of Street Lights, Barangay Villa Mercedes</t>
  </si>
  <si>
    <t>Procurement of MEDICAL SUPPLIES</t>
  </si>
  <si>
    <t>B20200230 - EQUIPMENT RENTAL FOR PROPOSED ROAD OPENING OF TAWINIAN - TAPAYANON ROAD SECTION, KAPALONG</t>
  </si>
  <si>
    <t>B20200223 - CONST. OF MULTI-PURPOSE/EVACUATION CENTER PHASE 1 AT DUTERTE ST. POBLACION, NEW CORELLA</t>
  </si>
  <si>
    <t>Construction of Multi-Purpose Bldg. (Phase I)</t>
  </si>
  <si>
    <t>Procurement of Farm Machineries and Equipment for Major Crop Based Block Farm Productivity for DAR in Negros Oriental (North) Rebidding for Lots No.2 &amp; 3</t>
  </si>
  <si>
    <t>Supply and Delivery of One (1) Unit Sports Utility Vehicle (SUV) for official use of the Office of the Municipal Mayor</t>
  </si>
  <si>
    <t>20AH0215	Concreting of Brgy. Malabobo to Brgy. Lawak Langka FMR, Brgy. Malabobo and Brgy. Lawak Langka, Mangatarem, Pangasinan</t>
  </si>
  <si>
    <t>Concreting of Mabbayad - San Miguel FMR</t>
  </si>
  <si>
    <t>Construction of Line Canal, Barangay 1</t>
  </si>
  <si>
    <t>20DD0367 Local Program, Local Infrastructure Program, Local Roads and Bridges, Local Bridges, Improvement of Bridge at Brgy. Pinagkawitan, Lipa City, Batangas</t>
  </si>
  <si>
    <t>Improvement of Public Cemetery (Veterans), Brgy. Bayanihan, Dolores, Quezon</t>
  </si>
  <si>
    <t>ITB - Construction of NEAP Communal Comfort Room</t>
  </si>
  <si>
    <t>Rehabilitation of Paulin Road</t>
  </si>
  <si>
    <t>20DD0366 Local Program, Construction/ Repair/ Rehabilitation/ Improvement of Various Infrastructure Including Local Projects, Local Roads and Bridges, Local Bridges, Construction of Pedestrian Overpas</t>
  </si>
  <si>
    <t>20FO0103 - Concreting of Caratagan FMR, Brgy. Caratagan, Pioduran, Albay</t>
  </si>
  <si>
    <t>ITB - Supply and Delivery of Various Office Equipment for NEAP ELC Extension Building</t>
  </si>
  <si>
    <t>Const./Rehab. of Brgy. StreetLights (22Units)</t>
  </si>
  <si>
    <t>Procurement of Coco Lumber for the Construction of 17 TLS to be delivered at the Municipality of Sta. Cruz, Davao del Sur</t>
  </si>
  <si>
    <t>20DD0368 Local Program, Local Infrastructure Program, Local Roads and Bridges, Local Bridges, Improvement of Bridge at Brgy. Antipolo del Sur, Lipa City, Batangas</t>
  </si>
  <si>
    <t>20AH0214	Concreting of Brgy. Bongalon FMR, Brgy. Bongalon, Labrador, Pangasinan</t>
  </si>
  <si>
    <t>20CB-GSC-369 PURCHASE OF STORYBOOKS FOR EECD (SEF)</t>
  </si>
  <si>
    <t>20DD0369 Local Program, Local Infrastructure Program, Local Roads and Bridges, Local Bridges, Improvement of Bridge at Brgy. Tangob, Lipa City, Batangas</t>
  </si>
  <si>
    <t>Proposed Construction of Perimeter Fence Manticao National High School, Manticao, Misamis Oriental</t>
  </si>
  <si>
    <t>Supply of Labor, Materials and Equipment for the Construction/Rehabilitation of Line Canal, Drainage System, Pipe Culvert/Box Culvert, Brgy. Banaybanay II, San Jose, Batangas</t>
  </si>
  <si>
    <t>SUPPLY AND DELIVERY OF SOLID WASTE MANAGEMENT EQUIPMENT/MACHINERY FOR THE OPERATION OF MATERIAL RECOVERY FACILITY (MRF) IN BGY. POBLACION,  THIS MUNICIPALITY /2020-006.</t>
  </si>
  <si>
    <t>Concreting of Turod Sur-Malapat-Cadaanan FMR</t>
  </si>
  <si>
    <t>EPSON PRINTER</t>
  </si>
  <si>
    <t>20NI0077 - Construction of Multi-Purpose Building Purok 7A, Mangagoy, Bislig City, Surigao del Sur</t>
  </si>
  <si>
    <t>20DD0373 Local Program, Local Infrastructure Program, Flood Control and Drainage, Flood Control Structures / Facilities, Construction of Box Culvert at Villa Sa Riles, Brgy. Banay- Banay, Lipa City, B</t>
  </si>
  <si>
    <t>Purchase and Delivery of Cell Cards for the Month of July to December 2020</t>
  </si>
  <si>
    <t>Construction of Covered Court (Phase II) at Barangay Nasalaan, San Francisco, Quezon</t>
  </si>
  <si>
    <t>Procurement of Subdivision Survey Project for Davao Oriental, Mati City.</t>
  </si>
  <si>
    <t>20CG0158 - Local Infrastructure Program: Multipurpose/ Facilities – Rehabilitation of Multi-Purpose Building, San Pedro High School, San Simon, Pampanga</t>
  </si>
  <si>
    <t>Purchase of Ambulance for Brgy. Motibot, Sindangan, Zamboanga del Norte</t>
  </si>
  <si>
    <t>OFFICE SUPPLIES 2020</t>
  </si>
  <si>
    <t>To purchase and Deliver Agricultural Farm input</t>
  </si>
  <si>
    <t>Completion of Barangay Health Station @ Barangay Tolosa, Malabuyoc, Cebu</t>
  </si>
  <si>
    <t>B20200229 - FURNITURES AND FIXTURES FOR DDNH-KAPALONG ZONE</t>
  </si>
  <si>
    <t>Concreting of Divinan (Phase 1) FMR</t>
  </si>
  <si>
    <t>Purchase of various Agricultural Materials and Equipment for the Pre Post Harvest Facilities of the City Agriculture Office</t>
  </si>
  <si>
    <t>Procurement of Farm Machineries and Equipment or Major Crop Based Block Farm Productivity for DAR in Negros Oriental (South) - Rebidding</t>
  </si>
  <si>
    <t>20CG0161 - Local Infrastructure Program: Multipurpose/ Facilities – Improvement of Masantol Civic Center Multi-Purpose Building, Kalsadang Bayu, San Nicolas, Masantol, Pampanga</t>
  </si>
  <si>
    <t>Procurement of NAAT – LAMP Reagents and Consumables, IB No. SB-2020-022</t>
  </si>
  <si>
    <t>S2-CAM20-004 - Supply and Delivery of Mechanical Spare Parts for 500kW MAN B&amp;W Diesel Engine Model: 8L 20/27 of Camotes DPP</t>
  </si>
  <si>
    <t>CATERING SERVICES FOR RESPONSE OPERATION – 2ND BIDDING</t>
  </si>
  <si>
    <t>20DD0376 Repair/Rehabilitation of Damaged PCCP (Intermittent Sections) along Lipa-Rosario Road and Batangas- Quezon Road</t>
  </si>
  <si>
    <t>Repair and Maintenance of River Control along Sta. Cruz River, Brgy. Sto. Angel Sur, Sta. Cruz, Laguna</t>
  </si>
  <si>
    <t>20CG0162 - Local Infrastructure Program: Multi-Purpose/ Facilities – Construction of Multi-Purpose Building, Bulacus, Masantol, Pampanga</t>
  </si>
  <si>
    <t>MOBILE LOAD</t>
  </si>
  <si>
    <t>Repair of Public Market Roofing @ Barangay Poblacion Uno, Malabuyoc, Cebu</t>
  </si>
  <si>
    <t>20DD0372 Local Program, Local Infrastructure Program, Buildings and Other Structures, Multipurpose/ Facilities, Construction of School Gym at Anangi Elementary School, Brgy. Malitlit, Lipa City, Batan</t>
  </si>
  <si>
    <t>CLUSTER DF-01 (Completion, Improvement &amp; Rehabilitation of various Buildings)- Sinait, Ilocos Sur</t>
  </si>
  <si>
    <t>Quotation No.20-06-356 = PROCUREMENT OF COMMON OFFICE SUPPLIES (RLED)</t>
  </si>
  <si>
    <t>Supply and Delivery of Office Equipment  - ITB 042-2020  GQ</t>
  </si>
  <si>
    <t>20CG0160 - Local Infrastructure Program: Multi-Purpose Building/ Facilities – Rehabilitation of Multi-Purpose Building, San Isidro, Sta. Ana, Pampanga</t>
  </si>
  <si>
    <t>20GFC0021: Purchase of Materials for the Repair/Rehabilitation of Grouted Riprap/Stone Masonry Daang Maharlika K0346+030, Basud, Camarines Norte</t>
  </si>
  <si>
    <t>Purchase of IT Equipment, Nine (9) Units Laptop, Santa Fe, Cebu - Municipal</t>
  </si>
  <si>
    <t>Repair and Maintenance of River Control along Sta. Cruz River, Brgy. Santisima, Sta. Cruz, Laguna</t>
  </si>
  <si>
    <t>SUPPLY &amp; INSTALLATION OF INDUSTRIAL CEILING FAN</t>
  </si>
  <si>
    <t>Procurement of ambulance/emergency Response Vehicle</t>
  </si>
  <si>
    <t>20NI0080 - Repair/Maintenance of DPWH Building Res. Sub Area Building, Poblacion, Bislig City, Surigao del Sur</t>
  </si>
  <si>
    <t>TO PROVIDE ESSENTIAL MEDICINES FOR MENTALLY CHALLENGED PERSONS</t>
  </si>
  <si>
    <t>Re-bidding of Lot 1: Supply, Delivery and Installation of Garments Technology Equipment for CTE Extension Program (PR No. 2020-02-0281) Lot 2: Supply and Delivery of Laboratory Supplies for Garments T</t>
  </si>
  <si>
    <t>20NI0078 - Repair/Maintenance of DTI Building DTI Main Building, Mangagoy, Bislig City, Surigao del Sur</t>
  </si>
  <si>
    <t>SUPPLY AND DELIVERY OF ONE (1) UNIT SERVICE AMBULANCE</t>
  </si>
  <si>
    <t>PR# 20-0852- Office Furnitures</t>
  </si>
  <si>
    <t>(20LF0145)Maylaya IS Bldg. 1 One (1) Storey Two (2) Classroom with Toilet at Each Classroom, Cateel, Davao Oriental</t>
  </si>
  <si>
    <t>20DD0375 Repair/Rehabilitation of Damaged Paved National Road along Batangas-Lobo Road and Batangas-Quezon Road (Intermittent Sections)</t>
  </si>
  <si>
    <t>Supply &amp; Delivery of Medical Equipment for Neuro-Spine Surgery Use</t>
  </si>
  <si>
    <t>SUPPLY AND DELIVERY OF FUEL (DIESEL &amp; GASOLINE) FOR THE CITY ENGINEER’S OFFICE – 2ND BIDDING</t>
  </si>
  <si>
    <t>Quotation No.20-06-359 = PROCUREMENT OF COMMON OFFICE SUPPLIES (FHU)</t>
  </si>
  <si>
    <t>INSTALLATION OF STREET LIGHTS IN PUROK 1 AND 3, BARANGAY MAHABA – 2ND BIDDING</t>
  </si>
  <si>
    <t xml:space="preserve">Proposed Concreting of municipal street, Maramag Avenue (from Jct. Pine Street to National Highway) with a total length of 1,108 linear meter with 0.15m thick of item 200, 0.15m thick of item 201 and </t>
  </si>
  <si>
    <t>Supply and Delivery of Construction Materials</t>
  </si>
  <si>
    <t>Bid No. 20-0319 - PROCUREMENT OF OFFICE EQUIPMENT - GSO OPERATIONS</t>
  </si>
  <si>
    <t>20GFC0023: Purchase of Asphalt Aggregates, Daang Maharlika (S03784LZ) – Daang Maharlika (S03789LZ)</t>
  </si>
  <si>
    <t>Procurement of Hepa Filter Machines (1 lot) (ITB No. 2020-16)</t>
  </si>
  <si>
    <t>ESTABLISHMENT OF LIVELIHOOD PROJECT (POULTRY LAYER PRODUCTION) PHASE 2</t>
  </si>
  <si>
    <t>Proposed Concreting of municipal street, Toribio Coruña Street (from Jct. Quezon Avenue to Sto. Niño street) with a total length of 273.196 linear meter with 0.15m thick of item 200, 0.15m thick of it</t>
  </si>
  <si>
    <t>Proposed Concreting of municipal street, Molave Street (from Jct. Quezon Avenue to Sto. Niño street) with a total length of 276.200 linear meter with 0.15m thick of item 200, 0.15m thick of item 201 a</t>
  </si>
  <si>
    <t>IMPROVEMENT OF RHU II</t>
  </si>
  <si>
    <t>PROCUREMENT FOR THE SUPPLY AND DELIVERY OF IT SUPPLIES FOR DEPED</t>
  </si>
  <si>
    <t>INVITATION TO BID FOR THE PROCUREMENT AND DELIVERY OF FUEL TO SUPPORT OPERATIONAL REQUIREMENTS FOR COVID-19 AND OTHER ACTIVITIES FOR 2ND SEMESTER (RHQ, CAVITE, LAGUNA AND RIZAL) OF BFP REGION IV-A</t>
  </si>
  <si>
    <t>Quotation No.20-06-358 = PROCUREMENT OF COMMON OFFICE SUPPLIES (RESU)</t>
  </si>
  <si>
    <t>Procurement of double cubicle with mobile cabinet for LGU Multi-Purpose Hall</t>
  </si>
  <si>
    <t>INVITATION TO BID FOR THE Procurement of Supply and Delivery  of EUMB-AFETD “Emergency Preparedness Kit” as Promotional Materials under the CY2020 Regular Budget</t>
  </si>
  <si>
    <t>INVITATION TO BID FOR THE Procurement of Supply and Delivery of ICT Equipment: Laptops &amp; Office Equipment: Lateral Filing Cabinets under The DOE Locally Funded Project - Total Electrification Program</t>
  </si>
  <si>
    <t>PURCHASE AND DELIVERY OF ELECTRO MECHANICAL SIREN WITH METAL HOUSING (EARLY WARNING SYSTEM)</t>
  </si>
  <si>
    <t>Contract Labor and Materials for the Construction of Concrete Reservoir - BLGU Kaligutan, Laak, Davao De Oro</t>
  </si>
  <si>
    <t>Supply and Delivery of Various ICT Equipment to Support the Command, Control, and Communications Information System (C3IS)</t>
  </si>
  <si>
    <t>20GFC0025: Purchase of Reflectorized Traffic Paint, DPWH-CNDEO Maintenance Section</t>
  </si>
  <si>
    <t>Supply of Labor and Materials for the Construction of Proposed Waterline Extension at Barangay Cutud, Angeles City</t>
  </si>
  <si>
    <t>PROCUREMENT OF ABG REAGENTS AND PROVISION OF ANALYZER</t>
  </si>
  <si>
    <t>20GFC0024: Purchase of Fuel and Lubricants for Use in Various Service Vehicle and Equipment, Purchase of Fuel and Lubricants for Use in Various Service Vehicle and Equipment</t>
  </si>
  <si>
    <t>20PF0067: Construction / Rehabilitation of Flood Mitigation Facilities within Major River Basins &amp; Principal Rivers: Construction of Baney Flood Control</t>
  </si>
  <si>
    <t xml:space="preserve">Proposed Concreting of municipal street, Tamarind Street (from Jct. Toribio Coruña street to Pine Street) with a total length of 272.502 linear meter with 0.15m thick of item 200, 0.15m thick of item </t>
  </si>
  <si>
    <t>Cluster DF-02 (Construction of Slaughterhouse Phase II &amp; Construction of Public Comfort Rooms)</t>
  </si>
  <si>
    <t>REHABILITATION/IMPROVEMENT OF LABUT-BINMONTON ACCESS ROAD PHASE I</t>
  </si>
  <si>
    <t>INVITATION TO BID FOR THE Procurement of Supply and Delivery of EUMB-AFETD COVID-19 Health Kit as Promotional Materials under the CY2020 Locally Funded Project</t>
  </si>
  <si>
    <t>Supply and Delivery of Brand New Six Wheeler Dump Truck for Garbage Collection and Disposal (Solid Waste Management Program) - MENRO</t>
  </si>
  <si>
    <t>Provision of Meals and Snacks for OCD Personnel and Detailed Duty Officers (Ordering Agreement)</t>
  </si>
  <si>
    <t>REHABILITATION (Concreting) OF ACCESS ROAD LEADING TO TWS WATER SOURCE</t>
  </si>
  <si>
    <t>REHABILITATION OF CARCARABASA-LAGPAT-IRRIGATION CANAL</t>
  </si>
  <si>
    <t>UPGRADING AND REHABILITATION OF DAMAGED PAVED ROADS AND DRAINAGE CANAL</t>
  </si>
  <si>
    <t>Contract Labor and Materials for the Construction of Concrete Reservoir located at Sitio 27 - BLGU Kaligutan, Laak, Davao De Oro</t>
  </si>
  <si>
    <t>Invitation to Bid for Various Repairs and Maintenance of the School’s Infrastructures</t>
  </si>
  <si>
    <t>Proposed Concreting of municipal street, Cabinta &amp; Real Street (from Jct. Dionesio Micayabas street) with a total length of 310.915 linear meter with 0.15m thick of item 200, 0.15m thick of item 201 a</t>
  </si>
  <si>
    <t>RENOVATION/RETROFITTING OF PUBLIC MARKET BUILDING-PHASE I- DESIGN AND BUILD</t>
  </si>
  <si>
    <t>Procurement of Drugs Medicines for Botika ng Bayan IB No. SB-2020-024</t>
  </si>
  <si>
    <t>Quotation No.20-06-357 = PROCUREMENT OF COMMON OFFICE SUPPLIES (RESU)</t>
  </si>
  <si>
    <t>Installation of New Chevron along Rizal Bdry.-Famy-Quezon Bdry. Road, K0082 + 000 – K0088 + 000, Siniloan, Laguna</t>
  </si>
  <si>
    <t>Purchase of Uniform for CENRO Personnel - CENRO</t>
  </si>
  <si>
    <t>Completion of Barangay Health Station @ Barangay Salmeron, Malabuyoc, Cebu</t>
  </si>
  <si>
    <t>Proposed Concreting of municipal street, Toribio Coruña Street (from Jct. Mabini Street to Pine street) with a total length of 306.594 linear meter with 0.15m thick of item 200, 0.15m thick of item 20</t>
  </si>
  <si>
    <t>Installation of New Chevron along Rizal Bdry.-Famy-Quezon Bdry. Road, K0090 + 000 – K0092 + 377, Siniloan, Laguna</t>
  </si>
  <si>
    <t>ROAD REHABILITATION (ASPHALT OVERLAY &amp; RE-BLOCKING) AT BRGY.BANLIC</t>
  </si>
  <si>
    <t>20GFC0022: Purchase of Materials for Regravelling of Shoulder, Sta. Elena – Capalonga Bypass Coastal Road (Section 1)</t>
  </si>
  <si>
    <t>Proposed Proposed Concreting of municipal street, Mabini Street (from Jct. T. Coruña street to Pine Street) with a total length of 389.957 linear meter with 0.15m thick of item 200, 0.15m thick of ite</t>
  </si>
  <si>
    <t>20CG0163 - Local Infrastructure Program: Multipurpose/ Facilities – Rehabilitation of Multi – Purpose Building, Baliti and Batasan, Arayat, Pampanga</t>
  </si>
  <si>
    <t>20CG0169 - Local Infrastructure Program: Multipurpose/ Facilities – Construction of Multi-Purpose Covered Court Area with Reinforced Concrete Slab, San Roque, Sta. Ana, Pampanga</t>
  </si>
  <si>
    <t>20CG0167 - Local Infrastructure Program: Multipurpose/ Facilities – Construction of Multi-Purpose Building, San Mateo, Arayat, Pampanga</t>
  </si>
  <si>
    <t>20DD0374 Local Program, Local Infrastructure Program, Buildings and Other Structures, Multipurpose/ Facilities, Construction of Multi-Purpose Building at Brgy. Bolbok, Lipa City, Batangas</t>
  </si>
  <si>
    <t>20CG0166 - Local Infrastructure Program: Multipurpose/ Facilities – Construction of Multi-Purpose Building, San Nicolas, Arayat, Pampanga</t>
  </si>
  <si>
    <t>Supply and Delivery of Smart TV for Official Use of All Public Schools – DEPED San Pedro Laguna</t>
  </si>
  <si>
    <t>20NI0079 - Package 21 - Repair/Maintenance of DPWH Building Property &amp; Storage Building Poblacion, Bislig City, Surigao del Sur - Repair/Maintenance of DPWH Building DITSO Building Poblacion, Bislig C</t>
  </si>
  <si>
    <t>PR# 20-0661- Roller Shades and Roll Up Shades Blinds</t>
  </si>
  <si>
    <t>Purchase of Medicines for MHO use</t>
  </si>
  <si>
    <t>CID No. 20IO0091: Construction of Evacuation Center, Brgy. Larrazabal, Naval, Biliran</t>
  </si>
  <si>
    <t>20CG0165 - Local Infrastructure Program: Multipurpose/ Facilities – Construction of Multi-Purpose Building, Sto. Rosario, Sta. Ana, Pampanga</t>
  </si>
  <si>
    <t>SUPPLY AND DELIVERY OF LOT 1: 56,827 BAGS UREA FERTILIZER (46-0-0) - SECOND POSTING</t>
  </si>
  <si>
    <t>SUPPLY AND DELIVERY OF LOT 11: 9,256 BAGS COMPLETE FERTILIZER (14-14-14) FOR OCCIDENTAL MINDORO – SECOND POSTING</t>
  </si>
  <si>
    <t>INVITATION TO BID FOR THE Procurement of Supply and Delivery of Various ICT Equipment under the DOE Locally Funded Biofuels Program</t>
  </si>
  <si>
    <t>INVITATION TO BID FOR THE PROCUREMENT AND DELIVERY OF FUEL TO SUPPORT OPERATIONAL REQUIREMENTS FOR COVID-19 AND OTHER ACTIVITIES FOR 2ND SEMESTER (BATANGAS AND QUEZON) OF BFP REGION IV-A FOR CY 202</t>
  </si>
  <si>
    <t>20CG0159 - Local Infrastructure Program: Multipurpose/ Facilities – Rehabilitation of Multi-Purpose Building, Sto. Niño Elementary School, San Luis, Pampanga</t>
  </si>
  <si>
    <t>CONSTRUCTION OF CABUYAO CITY HOSPITAL PHASE 2 (SITE DEVELOPMENT)</t>
  </si>
  <si>
    <t>CONSTRUCTION OF PANTAR-ANUPOL FMR LEADING TO FARMLANDS</t>
  </si>
  <si>
    <t>Procurement of Drugs and Medicines for Outreach Activities, IB No. SB-2020-023</t>
  </si>
  <si>
    <t>B20200224 - REHAB. OF STA. FELOMINA-SAN ROQUE PROVINCIAL ROAD AT THE MUNICIPALITY OF ASUNCION-NEW CORELLA, DDN</t>
  </si>
  <si>
    <t>Purchase of Aggregate Base Course to be used in the Repair and Maintenance of Unpaved Shoulder (resurfacing) along various  Rizal Bdry.-Famy-Quezon Bdry. Road, K0089 + 500 to K0092 + 377 (Intermittent</t>
  </si>
  <si>
    <t>20DD0371 Local Program, Local Infrastructure Program, Buildings and Other Structures, Multipurpose/ Facilities, Completion of Multi-Purpose Building at Brgy. San Benito, Lipa City, Batangas</t>
  </si>
  <si>
    <t>INFRA2020-AG6-008 A6 Construction of Concrete Barrier Below Access Road Area, Agus 6/7 HEPC, Fuentes, Maria Cristina, Iligan City</t>
  </si>
  <si>
    <t>Repair and Rehabilitation of Infrastructure Facilities and other Related Activities-Routine Maintenance of National Roads and Bridges-Tertiary Roads along Mabinay-Ayungon Rd. K0131+422 – K0131+494 (LS</t>
  </si>
  <si>
    <t>20DD0370 Local Program, Local Infrastructure Program, Flood Control and Drainage, Drainage / Protection Works, Construction/ Rehabilitation/ Improvement of Drainage System at Brgy. Quezon, Lipa City,</t>
  </si>
  <si>
    <t>Invitation to Bid for the Procurement of Office Supplies for Instructional Materials</t>
  </si>
  <si>
    <t>20CG0168 - Local Infrastructure Program: Multi-Purpose/ Facilities – Rehabilitation of Multi-Purpose Building, Maimpis IS, Maimpis City of San Fernando, Pampanga</t>
  </si>
  <si>
    <t>20-06-449 Purchase of Rice Mill (Static Rice Mill) with Installation for Rice Production, Milling and Marketing Enterprise under DAR-MinSAAD Project</t>
  </si>
  <si>
    <t>Purchase of Construction Materials for use in the Repair and Maintenance of National Road along Daang Maharlika, K0 513+(-544) - K0 539+452, DM Jct. Legazpi Sto. Domingo Tabaco Cam. Sur brdy. Road, K0</t>
  </si>
  <si>
    <t>VARIOUS CONSTRUCTION AT DA-RIARC - SECOND POSTING</t>
  </si>
  <si>
    <t>Request for Quotation-Office Supplies</t>
  </si>
  <si>
    <t>CONSTRUCTION OF ROADS</t>
  </si>
  <si>
    <t>20CG0170 - Local Infrastructure Program: Multipurpose/ Facilities – Construction of Multi-Purpose Building, Brgy. San Matias, Santo Tomas, Pampanga</t>
  </si>
  <si>
    <t>Procurement of Soil Conditioner with Plant Growth Stimulant (Repost)</t>
  </si>
  <si>
    <t>Invitation to Bid for the Procurement of Outsourcing of Manpower Services for CY 2020-REFERENCE # 2020-06-04</t>
  </si>
  <si>
    <t>G-2020-18: LEASE OF ONE THOUSAND (1,000) POINT OF SALE (POS) WITH TERMINAL DRIVING MODULE FOR THE DEVELOPMENT BANK OF THE PHILIPPINES (DBP)</t>
  </si>
  <si>
    <t>(20LF0147)Nursery ES Bldg. 2 One (1) Storey  Three (3) Classroom with Toilet at Each Classroom, Baganga, Davao Oriental</t>
  </si>
  <si>
    <t>G-2020-17: SUPPLY AND DELIVERY OF ONE HUNDRED NINETEEN (119) UNITS CROSS OVER UTILITY VEHICLE FOR THE DEVELOPMENT BANK OF THE PHILIPPINES-REBID</t>
  </si>
  <si>
    <t>Construction of Canal and Pathway at Padilla Compound</t>
  </si>
  <si>
    <t>B20200225 - IMPROVEMENT OF POTABLE WATER SYSTEM PHASE II AT BRGY. TAGBITAN-AG, SAMAL DIST. IGACOS, DDN</t>
  </si>
  <si>
    <t>One (1) lot Supply, Delivery, Installation, and Make Operational Package Air-conditioning Systems, including the Dismantling of Existing Units, at the BSP Head Office, as per BSP Terms of Reference</t>
  </si>
  <si>
    <t>20CG0174 - Local Infrastructure Program: Multipurpose/ Facilities – Repair and Rehabilitation of Multi-Purpose Building (Covered Court) San Carlos, Mexico, Pampanga</t>
  </si>
  <si>
    <t>20CG0164 - Local Infrastructure Program: Multipurpose/ Facilities –Construction of Multi-Purpose Building, Sta. Maria, Mexico, Pampanga</t>
  </si>
  <si>
    <t>20CG0173 - Local Infrastructure Program: Buildings and Others Structures – Multipurpose/ Facilities – Construction of Multi-Purpose Building San Nicolas San Fernando, Pampanga</t>
  </si>
  <si>
    <t>20CG0177 - Construction/ Repair/ Rehabilitation/ Improvement of Various Infrastructure including Local Projects: Multipurpose/ Facilities – Construction of Multi-Purpose Building, Sta. Maria, Sta. Ana</t>
  </si>
  <si>
    <t>20CG0171 - Local Infrastructure Program: Multipurpose/ Facilities – Construction of Multi-Purpose Covered Area with Reinforced Concrete Slab, Bagang, Masantol, Pampanga</t>
  </si>
  <si>
    <t>INSTALLATION OF THIRTY SIX STREET LIGHT, BRGY. PUNTA, UNISAN, QUEZON</t>
  </si>
  <si>
    <t>PB-Procurement of Cardiac Surgery Instruments (ITB No. 2020-15)</t>
  </si>
  <si>
    <t>20CG0176 - Construction/ Repair/ Rehabilitation/ Improvement of Various Infrastructure including Local Projects: Multipurpose/ Facilities – Construction (Completion) of Multi-Purpose Building at Purok</t>
  </si>
  <si>
    <t>REQUEST FOR MEDICAL AMD BIRTHING SUPPLIES TO IMPROVE THE DELIVERY OF BASIC SERVICES OF THE CONSTITUENTS OF THE MUNICIPALITY OF BORBON</t>
  </si>
  <si>
    <t>(20LF0146)Nursery ES Bldg. 1 One (1) Storey  Two (2) Classroom with Toilet at Each Classroom, Baganga, Davao Oriental</t>
  </si>
  <si>
    <t>Rehabilitation of Public Market</t>
  </si>
  <si>
    <t>20CG0175 - Local Infrastructure Program: Buildings and Other Structures – Multipurpose/ Facilities – Construction of Multi-Purpose Building, Brgy. San Jose, San Luis, Pampanga</t>
  </si>
  <si>
    <t>Supply and Delivery of Diesel and Unleaded Gasoline Including Installation of Petroleum Underground Storage Tanks and Fuel Dispensers; PR No. 20-1431 dated 16 June 2020; SN 132 - 2020</t>
  </si>
  <si>
    <t>Procurement of Six (6) units Brand New Pickup Trucks for the Subic-Clark Railway Project (SCRP)</t>
  </si>
  <si>
    <t>LGU PROGRAMS/PROJECTS/ACTIVITIES</t>
  </si>
  <si>
    <t>II.T. EQUIPMENT</t>
  </si>
  <si>
    <t>Digital Clock</t>
  </si>
  <si>
    <t>Supply and Delivery of 2 Units 3 Tons Floor Mounted Aircon with Installation</t>
  </si>
  <si>
    <t>Proposed Supply and Installation of Additional Airconditioning Units Located at the Rizal Provincial Hospital System Tanay-Annex, Sagbat-Pililla Diversion Road, Brgy. Tandang Kutyo, Tanay,Rizal</t>
  </si>
  <si>
    <t>Supply and Delivery of Fuel, Oil and Lubricants</t>
  </si>
  <si>
    <t>Purchase of free School Supplies 2020</t>
  </si>
  <si>
    <t>Construction of 45 L.M. Permanent Concrete Bridge</t>
  </si>
  <si>
    <t>Const./Expansion of Open Drainage Canal along Local Roads</t>
  </si>
  <si>
    <t>Procurement of Health Care Service Provider for the Bases Conversion and Development Authority (BCDA) CY 2020-2021</t>
  </si>
  <si>
    <t>FURNITURE &amp; FIXTURES</t>
  </si>
  <si>
    <t>ITB# 99-2020 Food Supplies Expenses</t>
  </si>
  <si>
    <t>ITB# 98-2020 Office Supplies Expenses</t>
  </si>
  <si>
    <t>ITB# 97-2020 Office Supplies Expenses</t>
  </si>
  <si>
    <t>Procurement of Office School Supplies</t>
  </si>
  <si>
    <t>ITB# 96-2020 Office Supplies Expenses</t>
  </si>
  <si>
    <t>Supply, Delivery, Installation and Configuration of Active Directory License and Related Components</t>
  </si>
  <si>
    <t>ITB# 94-2020 Office Supplies Expenses</t>
  </si>
  <si>
    <t>REPAIR &amp; MAINTENANCE</t>
  </si>
  <si>
    <t>Rehabilitation of Local Access Road (Portion) and Construction of Multi-Purpose Building (Phase 2)</t>
  </si>
  <si>
    <t>Procurement of Materials for Repair of 3 Door WatSan Comfort Room</t>
  </si>
  <si>
    <t>Purchase of Materials for Repair and Renovation of Water System Facilities</t>
  </si>
  <si>
    <t>Construction of Equipment</t>
  </si>
  <si>
    <t>Production and Development Servers for the following in-house information system: (SEC Website, New Cashiering System, Capital Markets Participant Registry System, National Numbering System Certificat</t>
  </si>
  <si>
    <t>Supply and Delivery of Various Office Supplies; PR No. 20-1432 dated 11 June 2020; SN 131 - 2020</t>
  </si>
  <si>
    <t>Installation of Brgy. Solar Street Lights (Phase2), Brgy. Poblacion Banate, Iloilo</t>
  </si>
  <si>
    <t>CONSTRUCTION OF  POTABLE WATER  SUPPLY SYSTEM  LEVEL III</t>
  </si>
  <si>
    <t>CONCRETING OF MUNICIPAL  ROAD: RENOVATION  /WIDENING OF FELICIANA  STREET SEGMENT</t>
  </si>
  <si>
    <t>GEOTECHNICAL SUB SURFACE EXPLORATION: PACKAGE No. 2020-01, MLANG AND TULUNAN, NORTH COTABATO</t>
  </si>
  <si>
    <t>Purchase of Supplies and Material for the construction of 2 waiting shed</t>
  </si>
  <si>
    <t>Electrical rewiring</t>
  </si>
  <si>
    <t>1 lot Maintenance Support and Upgrade of Network and User Activity Monitoring System for 600 User Licenses</t>
  </si>
  <si>
    <t>20CG0172 - Local Infrastructure Program: Multipurpose/ Facilities – Rehabilitation of Multi-Purpose Building (Covered Court), Gulap Elementary School, Candaba, Pampanga</t>
  </si>
  <si>
    <t>ITB# 101-2020 Food Supplies Expenses</t>
  </si>
  <si>
    <t>ITB# 110-2020 Other Supplies and Materials Expenses</t>
  </si>
  <si>
    <t>ITB# 108-2020 Other Supplies and Materials Expenses</t>
  </si>
  <si>
    <t>ITB# 107-2020 Other Supplies and Materials Expenses</t>
  </si>
  <si>
    <t>ITB# 106-2020 Other Supplies and Materials Expenses</t>
  </si>
  <si>
    <t>IB No. 2020 - 05 Procurement of Infra (Road Concreting of Saco St. ( Sta. 00+000 – Sta. 00+212.11 )</t>
  </si>
  <si>
    <t>ITB# 103-2020 Medical, Dental &amp; Laboratory Supplies</t>
  </si>
  <si>
    <t>ITB# 100-2020 Food Supplies Expenses</t>
  </si>
  <si>
    <t>ITB# 109-2020 Other Supplies and Materials Expenses</t>
  </si>
  <si>
    <t>ITB# 104-2020 Medical, Dental &amp; Laboratory Supplies</t>
  </si>
  <si>
    <t>ITB# 111-2020 Other Supplies and Materials Expenses</t>
  </si>
  <si>
    <t>ITB# 102-2020 Food Supplies Expenses</t>
  </si>
  <si>
    <t>AGRICULTURAL SUPPLIES</t>
  </si>
  <si>
    <t>Supply and Delivery of 3,710 Bags Inorganic Fertilizers (26- 0- 0), Bid Lot 2</t>
  </si>
  <si>
    <t>Procurement of Medical Supplies for the Conduction of Patients</t>
  </si>
  <si>
    <t>ITB# 105-2020 Medical, Dental &amp; Laboratory Supplies</t>
  </si>
  <si>
    <t>ITB# 95-2020 Office Supplies Expenses</t>
  </si>
  <si>
    <t>40	pcs.	2" x 2" x 10', G.melina, etc. PR # 775-19 rebid</t>
  </si>
  <si>
    <t>SUPPLY AND DELIVERY OF LIQUID NITROGEN TANKS</t>
  </si>
  <si>
    <t>30	sht	6mm x 1.2m x 2.4m Marine Plywood, PR # 623-19 rebid</t>
  </si>
  <si>
    <t>20	pcs.	2" x 6" x 10' G.melina, etc. PR # 460-20</t>
  </si>
  <si>
    <t>SUPPLIES AND MATERIASL FOR THE CONSTRUCTION OF CONCRETE DRAINAGE</t>
  </si>
  <si>
    <t>SDH-20-0734-B MEDICAL EQUIPMENT</t>
  </si>
  <si>
    <t>SDH-20-0735-B MEDICAL EQUIPMENT</t>
  </si>
  <si>
    <t>CONSTRUCTION OF ANTIQUE DAIRY BOX (DAIRY PROCESSING PLANT AND PRODUCT OUTLET) REBID</t>
  </si>
  <si>
    <t>20GDC0004 (Readvertised) - Purchase of Fuel and Lubricants of Service Vehicles and Equipments for the Month of July to September 2020</t>
  </si>
  <si>
    <t>Concreting/ Improvement of Linao-Maghaway Road Section, Talisay City, Cebu</t>
  </si>
  <si>
    <t>Purchase of Materials for Construction/Installation of Jetmatic Pumps</t>
  </si>
  <si>
    <t>Supply and Delivery of Two (2) Units Brand New Dump Truck to be used in the repair and maintenance of roads and for municipal infrastructure projects at Naujan, Oriental Mindoro</t>
  </si>
  <si>
    <t>Concreting/ Improvement of Bolinawan-Dunguan Road Section, Carcar City, Cebu</t>
  </si>
  <si>
    <t>Concreting/ Improvement of Mainit Spring Road Section, Carcar City, Cebu</t>
  </si>
  <si>
    <t>Concreting/ Improvement of San Isidro-Ilaya-Cabatbatan Road Section, San Fernando, Cebu</t>
  </si>
  <si>
    <t>Concreting/ Improvement of Linao-Mojon Road Section, Talisay City, Cebu</t>
  </si>
  <si>
    <t>Concreting/ Improvement of Sangat-Lantawan Road Section, San Fernando, Cebu</t>
  </si>
  <si>
    <t>Concreting/ Improvement of Panadtaran-Tongo Road Section, San Fernando, Cebu</t>
  </si>
  <si>
    <t>SUPPLY AND DELIVERY OF CROSSBRED/PUREBRED BUFFALOES  (82 HEADS) REBID PCC-CSU</t>
  </si>
  <si>
    <t>Dredging of Creek</t>
  </si>
  <si>
    <t>35	pcs.	2" x 2" x 10' G.melina, etc. PR # 647-19 (rebid)</t>
  </si>
  <si>
    <t>PROCUREMENT OF ELECTRICAL/PLUMBING/CARPENTRY/PAINTING SUPPLIES ITB No. 2020-14</t>
  </si>
  <si>
    <t>SUPPLY AND DELIVERYSUPPLY AND DELIVERY OF CROSSBRED/PUREBRED BUFFALOES  (40 HEADS)</t>
  </si>
  <si>
    <t>235	pcs.	2" x 2" x 10',Coco Lumber, etc. PR # 171-20</t>
  </si>
  <si>
    <t>5	pcs.	Silicon gun, etc. PR # 112-20</t>
  </si>
  <si>
    <t>VEHICLES</t>
  </si>
  <si>
    <t>67	shts.	6mm x 1.2m x 2.4m Marine Plywood, etc. PR # 101-20</t>
  </si>
  <si>
    <t>SUPPLY AND DELIVERY OF ULTRA-PORTABLE ULTRASOUND MACHINE AND GEL ELECTROPHORESIS</t>
  </si>
  <si>
    <t>370	pcs.	11 W, LED lamp, day light, etc. PR # 292-20</t>
  </si>
  <si>
    <t>Construction of 8 Units Sea Base Seaweeds Solar Dryer in Surigao del Sur (A FishCORAL Project)</t>
  </si>
  <si>
    <t>200	bags	Portland Cement, 40 kg./bag, etc. PR # 74-20</t>
  </si>
  <si>
    <t>15	pcs.	G-Melina Lumber- 2" x 2" x 10', PR # 839-19 rebid</t>
  </si>
  <si>
    <t>Purchase of One (1) Unit Mobile Multi-Purpose Shredder with Diesel Engine to be used at the MENRO Office of this Municipality</t>
  </si>
  <si>
    <t>SJADS INFRA 20-03: CONSTRUCTION OF MUNICIPAL MRF (RCA)</t>
  </si>
  <si>
    <t>SJADS GOODS 20-09: PROCUREMENT OF PRUNING SHEAR AND FERTILIZER</t>
  </si>
  <si>
    <t>SJADS GOODS 20-08: PROCUREMENT OF PATIENT TRANSPORTATION VEHICLE (VAN TYPE 18 SEATERS)</t>
  </si>
  <si>
    <t>Enhancement of ICT Infrastructure with internet connectivity of SDO-San Pablo City.</t>
  </si>
  <si>
    <t>Supply and Delivery of 24,223 Bags Inorganic Fertilizers (46- 0- 0), Bid Lot 1</t>
  </si>
  <si>
    <t>CONSTRUCTION OF ACCESS ROAD TO SANITARY LANDFILL</t>
  </si>
  <si>
    <t>Various Projects of Municipality of Bugallon.</t>
  </si>
  <si>
    <t>120	sets	LED, Street Lighting Luminaire, daylight, 90 watts, 9450 lumens, etc. PR # 115-20</t>
  </si>
  <si>
    <t>REHAB. OF ISAIAS COLITA STREET</t>
  </si>
  <si>
    <t>Purchase of One (1) Unit Passenger Van to be used for Response, Rescue and Rehabilitation Efforts During and on Aftermath of Disaster and Calamities</t>
  </si>
  <si>
    <t>Road Concreting of FMR at Bagsak, Aumbay to Anonang  Road Section under PR No. 2020-05-2432.</t>
  </si>
  <si>
    <t>Concreting/ Improvement of Vito-Cadulawan Road Section, Minglanilla, Cebu</t>
  </si>
  <si>
    <t>Cont. Ref. No. 074-20: Installation of Guard Rails along Mangga to Luneta Elementary School Footpath at Tuding, Itogon, Benguet</t>
  </si>
  <si>
    <t>SUPPLY AND DELIVERY OF INFORMATION TECHNOLOGY (IT) AND OFFICE EQUIPMENT</t>
  </si>
  <si>
    <t>REQUEST FOR EXPRESSION OF INTEREST (REI) FOR THE CONSULTANCY SERVICES FOR THE CONDUCT SUBSURFACE SOIL EXPLORATION AND ENGINEERING SERVICES FOR THE CONSTRUCTION OF FLOOD CONTROL STRUCTURES ALONG AREA I</t>
  </si>
  <si>
    <t>20DL0220 - CY 2020 BASIC EDUCATION FACILITIES FUND, CONSTRUCTION OF CLASSROOMS  2STY4CL ATIMONAN CES, ATIMONAN, QUEZON</t>
  </si>
  <si>
    <t>300	pc.	2" x 4" x 12' Coco Lumber, etc. PR 195-20</t>
  </si>
  <si>
    <t>Supply and Delivery of 298 Bags Hybrid Corn Seeds (Yellow)- GMO.</t>
  </si>
  <si>
    <t>30	pcs.	2" x 2" x 10' G.melina, etc. PR # 428-20</t>
  </si>
  <si>
    <t>15	pcs.	2" x 4" x 10' G.melina, etc. PR # 399-20</t>
  </si>
  <si>
    <t>Office Improvement (Installation of Three (3) units Floor Mounted Aircondition System</t>
  </si>
  <si>
    <t>8	pcs.	2" x 6" x 12' G.melina, etc. PR # 398-20</t>
  </si>
  <si>
    <t>Concreting/ Improvement of Guiwang-Cabalongan Road Section, Alcoy, Cebu</t>
  </si>
  <si>
    <t>128	drum	Asphalt Cement Penetration 60-70, etc. PR # 45-20</t>
  </si>
  <si>
    <t>20CSDN01 - CONSULTANCY SERVICES FOR THE GEOTECHNICAL INVESTIGATION OF CY 2020 PROJECTS</t>
  </si>
  <si>
    <t>13	rolls	1/2"Ø x 300m/roll Polyethelene Pipe, etc. PR # 397-20</t>
  </si>
  <si>
    <t>FOD-R-20-2127 (R1): Procurement of 6 units of Desktop Computer</t>
  </si>
  <si>
    <t>SUPPLY OF TOOLS, JIGS, EQUIPMENT AND RAW MATERIALS</t>
  </si>
  <si>
    <t>20-06-467 Construction Materials for the Repair of Classroom at Alamada East District, Bao, Alamada, Cotabato</t>
  </si>
  <si>
    <t>Concreting/ Improvement of Basak-Bae Road Section, Sibonga, Cebu</t>
  </si>
  <si>
    <t>FOD-R-20-2128 (R1): Procurement of 20 units of Laptop</t>
  </si>
  <si>
    <t>Concreting/ Improvement of Yati-Tayud Road Section, Liloan, Cebu</t>
  </si>
  <si>
    <t>Concreting/ Improvement of Ocana-Napo-Guadalupe-Puesto Road Section, Carcar City, Cebu</t>
  </si>
  <si>
    <t>Proposed Public Restroom with Rainwater Tank, Lake Danao Park, San Francisco, Camotes Island</t>
  </si>
  <si>
    <t>Concreting/ Improvement of Perrelos-Can-asujan Road Section, Carcar City, Cebu</t>
  </si>
  <si>
    <t>20DL0222 - CY 2020 BASIC EDUCATION FACILITIES FUND, CONSTRUCTION OF CLASSROOMS  2STY4CL DOÑA AURORA ES, CALAUAG, QUEZON</t>
  </si>
  <si>
    <t>20HH0142-Concreting of Brgy. Sapang Dako FMR, Brgy. Sapang Dako, Cebu City, Cebu</t>
  </si>
  <si>
    <t>Purchase &amp; Delivery of Brand New Standby Power Generator 100 KVA 240 VAC (Silent Type),  LTPC, Surigao City</t>
  </si>
  <si>
    <t>Improvement of Barangay Apolong Multi-Purpose Building</t>
  </si>
  <si>
    <t>Construction of Flood and Erosion Control Structures Along River &amp; Waterways</t>
  </si>
  <si>
    <t>Concreting/ Improvement of Awayan-Can-asujan-Pit-os Road Section, Carcar City, Cebu</t>
  </si>
  <si>
    <t>20DL0221 - CY 2020 BASIC EDUCATION FACILITIES FUND, CONSTRUCTION OF CLASSROOMS  2STY6CL CARIDAD IBABA ES, ATIMONAN, QUEZON</t>
  </si>
  <si>
    <t>IB No. 2006-323 Proc. of Infra [Fabrication and Installation of City Traffic Signage with Post (400 units)]</t>
  </si>
  <si>
    <t>315	pcs.	Ceramic Floor Tiles (200mm x 200mm) White, etc. PR # 396-20</t>
  </si>
  <si>
    <t>Construction of Apolong Multi-Purpose Building</t>
  </si>
  <si>
    <t>Concreting/ Improvement of Ocana Beach Road Section, Carcar City, Cebu</t>
  </si>
  <si>
    <t>Contract ID Number 20FD0069 CONSTRUCTION OF WATER SYSTEM LEVEL II, BRGY. ALDEZAR, SIPOCOT, CAMARINES SUR</t>
  </si>
  <si>
    <t>concreting of municipal road</t>
  </si>
  <si>
    <t>20PC0001G SUPPLY &amp; DELIVERY OF MATERIALS FOR THE REPAINTING OF BRIDGES ALONG VARIOUS ROAD SECTION PUDTOL, LUNA, CALANASAN, STA. MARCELA &amp; FLORA, APAYAO</t>
  </si>
  <si>
    <t>PB-Supply, Delivery, Installation &amp; Commissioning of 12 units Modular Patient Monitor (1 Lot) (ITB No. 2020-13).</t>
  </si>
  <si>
    <t>Procurement of Ammunition Packaging</t>
  </si>
  <si>
    <t>Reblocking of Provincial Road along Brgy. Maghubas-Libas (Burauen, Leyte) - Cambucao (Tabontabon, Leyte) Road Section, ABC PHP19,200,292.68</t>
  </si>
  <si>
    <t>HMO-DIGITAL B&amp;W MULTI FUNCTION COPIER/PRINTER/COLOR SCANNER WITH BUILT IN DUPLEX</t>
  </si>
  <si>
    <t>Construction/Rehabilitation of Local Access Road at Batchelor West</t>
  </si>
  <si>
    <t>Contract ID Number 20FD0067 CONSTRUCTION OF WATER SYSTEM LEVEL II, BRGY. BAGONG SIRANG, SIPOCOT, CAMARINES SUR</t>
  </si>
  <si>
    <t>20GOH0004-Proposed  Purchase of Uniforms for Maintenance Workers along Various National Roads within SMDEO Jurisdiction</t>
  </si>
  <si>
    <t>Purchase of Two (2) Units E – Trike – Barangay Patrol Electronic Vehicle Civil Security Office Catarman, Northern Samar</t>
  </si>
  <si>
    <t>Design and Build for the Improvement of Water Supply System Level III</t>
  </si>
  <si>
    <t>Sustainable Livelihood Support to Disaster Affected Areas under CRFPS</t>
  </si>
  <si>
    <t>20FF0101 - Construction  of Barangay Road, Barangay Pinit, Ocampo, Camarines Sur</t>
  </si>
  <si>
    <t>Construction of Multi-Purpose Bldg. (Phase 2) in Matag-ob, Leyte, ABC PHP19,998,728.19</t>
  </si>
  <si>
    <t>(20-0108) SUPPLY AND DELIVERY OF REFLECTORIZED TRAFFIC PAINTS</t>
  </si>
  <si>
    <t>SIC-96 Hiring of Consultancy Services (Individual Consultant), i.e, Financial Analyst 1</t>
  </si>
  <si>
    <t>Contract ID Number 20FD0066 CONSTRUCTION/REHABILITATION OF WATER SUPPLY/SEPTAGE AND SEWERAGE/RAIN WATER COLLECTORS – RAIN WATER COLLECTORS IN PUBLIC FACILITIES, SAN VICENTE E/S, MANTILA E/S, SAN ISIDR</t>
  </si>
  <si>
    <t>MODULE PRINTING JHS</t>
  </si>
  <si>
    <t>278	bags	Portland Cement, etc. PR # 429-20</t>
  </si>
  <si>
    <t>MODULE PRINTING SHS</t>
  </si>
  <si>
    <t>Procurement of Design, Supply, Installation, and Commissioning of Cinema Equipment and Audio Systems, Acoustic Treatment and Theatre Curtains for the Metropolitan Theatre</t>
  </si>
  <si>
    <t>20HH0143-Concreting of Brgy. Adlaon FMR, Brgy. Adlaon, Cebu City, Cebu</t>
  </si>
  <si>
    <t>PURCHASE OF ONE UNIT VEHICLE (AMBULANCE) FOR MUNICIPAL HEALTH OFFICE USE</t>
  </si>
  <si>
    <t>RE-POST: Proposed Drainage Canal at Purok 3-A, Brgy. Holy Redeemer, Butuan City</t>
  </si>
  <si>
    <t>SIC-97 Hiring of Consultancy Services (Individual Consultant), i.e, Monitoring &amp; Evaluation Officer</t>
  </si>
  <si>
    <t>20HH0141-Concreting of Brgy. Kalunasan FMR, Brgy. Kalunasan, Cebu City, Cebu</t>
  </si>
  <si>
    <t>20FF0100 - Construction of Barangay Road, Barangay Carangcang, Magarao, Camarines Sur</t>
  </si>
  <si>
    <t>20HH0144-Repair and Maintenance of Drainage System along Legaspi Extension, Brgy. San Roque, Cebu City</t>
  </si>
  <si>
    <t>RE-POST: Proposed Drainage Canal at Barangay Covered Court, Brgy. Holy Redeemer, Butuan City</t>
  </si>
  <si>
    <t>REQUEST FOR EXPRESSION OF INTEREST (REI) FOR THE CONSULTANCY SERVICES FOR THE CONDUCT SUBSURFACE SOIL EXPLORATION AND ENGINEERING SERVICES FOR THE REHABILITATION/RECONSTRUCTION OF ROADS WITH SLIPS, SL</t>
  </si>
  <si>
    <t>SIC-98 Hiring of Consultancy Services (Individual Consultant), i.e, Business Development Officer</t>
  </si>
  <si>
    <t>Repair / Maintenance of DITC Building Nat'l Telecommunication Main Building, Quezon City</t>
  </si>
  <si>
    <t>Repair / Maintenance of DOJ Building Parole &amp; Probation Administration Building, Brgy. Piñahan, Quezon City</t>
  </si>
  <si>
    <t>20DL0223 - CY 2020 BASIC EDUCATION FACILITIES FUND, CONSTRUCTION OF CLASSROOMS  2STY4CL MUNICIPAL SECTOR ES, CALAUAG, QUEZON</t>
  </si>
  <si>
    <t>REQUEST FOR EXPRESSION OF INTEREST (REI) FOR THE CONSULTANCY SERVICES FOR THE CONDUCT SUBSURFACE SOIL EXPLORATION AND ENGINEERING SERVICES FOR THE WIDENING OF PERMANENT BRIDGES ALONG – LUCENA – TAYABA</t>
  </si>
  <si>
    <t>Repair / Maintenance of DILG Building DILG Office Building Camp Karingal, Quezon City</t>
  </si>
  <si>
    <t>Purchase of IT Equipment [MDRRMO]</t>
  </si>
  <si>
    <t>20DB0137 – Repair/Rehabilitation of Diokno Highway, K0087+000 – K0090+100 (Intermittent Section) Lemery, Batangas</t>
  </si>
  <si>
    <t>Supply and Delivery of Various Laboratory Equipment for the College of Forestry</t>
  </si>
  <si>
    <t>PBGOODS-2020-02: SUPPLY AND DELIVERY OF ADDITIONAL SUPPLIES AND MATERIALS FOR THE 2020 CENSUS OF POPULATION AND HOUSING (CPH)</t>
  </si>
  <si>
    <t>SJADS GOODS 20-11: PROCUREMENT OF IT EQUIPMENT</t>
  </si>
  <si>
    <t>20DB0138 – Repair/Rehabilitation of Lemery-Taal Diversion Road, K0128+(-1045) – K0131+765 (Intermittent Section) Taal and Lemery, Batangas</t>
  </si>
  <si>
    <t>Supply and Installation of Office Fit-Out Works for the Regional Leased Office of RR7B, East NCR at the West Podium, Mandaluyong City</t>
  </si>
  <si>
    <t>Re-Bidding for the Supply, Installation and Commissioning of One (1) Unit Earthquake Recording Instrument (ERI)</t>
  </si>
  <si>
    <t>Security Services (Rebid)</t>
  </si>
  <si>
    <t>20DB0136 – Repair/Rehabilitation of Palico-Balayan-Batangas Road, K0120+100 – K0129+400 (Intermittent Section) Taal, and Lemery</t>
  </si>
  <si>
    <t>Repair/Improvement of Multi-Purpose Building</t>
  </si>
  <si>
    <t>Contract ID Number 20FD0068 CONSTRUCTION OF WATER SYSTEM LEVEL II, BRGY. POBLACION, DEL GALLEGO, CAMARINES SUR</t>
  </si>
  <si>
    <t>S1-END20-010   SUPPLY AND DELIVERY OF MATERIALS/SUPPLIES FOR OPERATION USE.</t>
  </si>
  <si>
    <t>Procurement of Consulting Services under Convergence on Value Chain Enhancement for Rural Growth and Empowerment</t>
  </si>
  <si>
    <t>Supply and Delivery of Various Hardware Supplies and Materials for the Admin Office and Utility Services of the University</t>
  </si>
  <si>
    <t>Construction of Footbridge</t>
  </si>
  <si>
    <t>RFQ -Supply and Delivery of Desktop and Laptop Computers,  Microsoft Office Software License and Voice Recorder (PR No. 2020-02-040)</t>
  </si>
  <si>
    <t>REHABILITATION OF MUNICIPAL BUILDING ROOF</t>
  </si>
  <si>
    <t>Reblocking of Road along MacArthur-Palale-San Antonio Provincial Road Section in MacArthur, Leyte, ABC PHP9,969,583.12</t>
  </si>
  <si>
    <t>Supply and Delivery of CM for the construction of tire path @ Kellet -Ba-neng phase II</t>
  </si>
  <si>
    <t>SUPPLY AND DELIVERY OF VARIOUS ELECTRICAL SPARE PARTS FOR FOR 30 KW AND 36 KW PERKINS INTENDED FOR PANAY MINI GRID</t>
  </si>
  <si>
    <t>SUPPLY AND DELIVERY OF ANIMAL FEEDS, DRUGS &amp; VITAMINS USE FOR ORGANIC SWINE FOR 3rd &amp; 4th QUARTER 2020</t>
  </si>
  <si>
    <t>Rehabilitation of Dirty Kitchen</t>
  </si>
  <si>
    <t>Construction of Multi-Purpose Bldg. with Slope Protection in Brgy. Lanoy, Kananga, Leyte, ABC PHP4,955,494.22</t>
  </si>
  <si>
    <t>Construction of 2 Units 3-Chamber Septic Vault Beside Prov’l Budget &amp;Tourism Offices, New Capitol Bldg. Brgy. Dalakit, Catarman, N. Samar</t>
  </si>
  <si>
    <t>CONSTRUCTION OF MULTI-PURPOSE HALL - PHASE II AT HINIGDAAN, EL SALVADOR CITY</t>
  </si>
  <si>
    <t>CONSTRUCTION OF ONE ROOM AT NARRA BARANGAY HEALTH CENTER, BRGY. NARRA, SAN MANUEL, PANGASINAN</t>
  </si>
  <si>
    <t>Procurement of Diesel and Gasoline for maintenance of Garbage Trucks, Services Vehicles &amp; Heavy Equipments (CGSO)</t>
  </si>
  <si>
    <t>Repair/ Improvement of Multi-purpose Bldg.</t>
  </si>
  <si>
    <t>Construction of Suspension Support and Crossover Pipeline along Cogon-San Joaquin Bridge in Palo, Leyte, ABC PHP5,776,634.39</t>
  </si>
  <si>
    <t>CONSTRUCTION OF FIVE-STOREY CED LABORATORY BUILDING (Phase-II)  MSU-IIT  PROPERTY,  Hinaplanon, Iligan City</t>
  </si>
  <si>
    <t>Construction Of Hanging Bridge From Brgy. Canal to Brgy. Bislig in Carigara, Leyte, ABC PHP5,999,929.43</t>
  </si>
  <si>
    <t>20GA0226-Construction of (15) Fifteen School Site and Public Building Rainwater Collector System Province of Aklan</t>
  </si>
  <si>
    <t>SUPPLY AND DELIVERY OF VARIOUS MECHANICAL SPARE PARTS FOR 300 KW CUMMINS INTENDED FOR CALUYA DPP</t>
  </si>
  <si>
    <t>REHABILITATION OF CABADBARAN DISTRICT HOSPITAL (REHAB / REPAIR / IMPROVEMENT OF CDH)</t>
  </si>
  <si>
    <t>MDH-FOOD SUPPLIES</t>
  </si>
  <si>
    <t>Improvement of Road in Brgy. Uguisan, MacArthur, Leyte, ABC PHP9,999,195.07</t>
  </si>
  <si>
    <t>Improvement of Road along Tagadtaran-Calao-Villa Aurora Road Section in Burauen, Leyte, ABC PHP9,999,200.55</t>
  </si>
  <si>
    <t>20DL0224 - CY 2020 BASIC EDUCATION FACILITIES FUND, CONSTRUCTION OF CLASSROOMS  2STY6CL STO. NIÑO ILAYA NHS, LOPEZ, QUEZON</t>
  </si>
  <si>
    <t>Rebidding: 1 roll #14 THW Wire-Black and other items for improvement of Loc-oc Day Care Center (School Based) at Barangay Lo-oc.</t>
  </si>
  <si>
    <t>20DQ0123 - LOCAL PROGRAM – Local Infrastructure Program – Buildings and Other Structures – Multipurpose/Facilities – Construction of Multi-Purpose Building, Barangay Molino, Bacoor, Cavite</t>
  </si>
  <si>
    <t>Construction of Multi-Purpose Bldg. (Phase 2) in Brgy. Potot, Capoocan, Leyte, ABC PHP3,899,090.61</t>
  </si>
  <si>
    <t>Improvement of Flood Control and Single Box Culvert in Brgy. Calao, Burauen, Leyte, ABC PHP7,018,489.20</t>
  </si>
  <si>
    <t>For the use in the establishment and maintenance of Gitagum Ligtas Covid Center in line with mitigation, infection prevention and control of COVID-19 in the Municipality of Gitagum</t>
  </si>
  <si>
    <t>Purchase of Fishing Gears and Other Fishing Paraphernalia for Subsidized Assistance Project Provincial Agriculture Office Province of Northern Samar</t>
  </si>
  <si>
    <t>Concreting of Road along JNR Rizal-Cambinoy-San Pedro Cancosme San Guillermo Provincial Road Section in Palompon, Leyte, ABC PHP4,999,751.78</t>
  </si>
  <si>
    <t>SJADS INFRA 20-05: COMPLETION OF MOTORPOOL</t>
  </si>
  <si>
    <t>FURNISHING AND DELIVERY OF RECONDITIONED MULTI-PURPOSE CAB/PICK-UP FOR MENRO</t>
  </si>
  <si>
    <t>CONSTRUCTION OF 1-UNIT SEPTIC VAULT BRGY. GATA</t>
  </si>
  <si>
    <t>REHABILITATION OF DAMAGED ROADS/BRIDGES/SLOPE PROTECTION OF BRIDGE APPROACHES/ OTHER STRUCTURES</t>
  </si>
  <si>
    <t>Civil Works by Contract for the Improvement of Water Supply System Level III (Damula-an)</t>
  </si>
  <si>
    <t>20DQ0125 - ORGANIZATIONAL OUTCOME 2: Protect Lives and Properties Against Major Floods – Flood Management Program – Construction/ Maintenance of Flood Mitigation Structures and Drainage Systems - Cons</t>
  </si>
  <si>
    <t>Rehabilitation of LGU Owned Potable Water System - M.O</t>
  </si>
  <si>
    <t>COMPLETION OF DORMITORY AND CAFETERIA OF FARM TECHNOLOGY TRAINING CENTER FOR PAMPLONA CAMPUS</t>
  </si>
  <si>
    <t>Concreting of Farm-to-Market Road in Brgy. Bitanhuan, Baybay City, Leyte, ABC PHP3,525,816.55</t>
  </si>
  <si>
    <t>Supply and Delivery of Construction Materials and Supplies for the Construction of Additional Air Ventilation</t>
  </si>
  <si>
    <t>Construction of Seawall (between Guitna and Bonbon) P-I</t>
  </si>
  <si>
    <t>ITB 2020-GS-009A HFEP EQUIPMENT (PACKAGE 1)</t>
  </si>
  <si>
    <t>Supply and Delivery of Various Office Equipment and Paraphernalia</t>
  </si>
  <si>
    <t>PURCHASE OF DRUGS AND MEDICINES FOR MUNICIPAL HEALTH OFFICE</t>
  </si>
  <si>
    <t>PROCUREMENT OF DIESEL FUEL</t>
  </si>
  <si>
    <t>Improvement of Multipurpose Hall/Concreting Drainage System &amp; Barangay Site</t>
  </si>
  <si>
    <t>Purchase of One (1) unit Brand New 4-wheeler Vehicle, 10 feet w/ Aircon (Back to Back). For use of Kabankalan City Police Station.</t>
  </si>
  <si>
    <t>PURCHASE OF MEDICAL SUPPLIES OF MUNICIPAL HEALTH OFFICE 2020</t>
  </si>
  <si>
    <t>Purchase of medicines &amp; Family Planning Supplies</t>
  </si>
  <si>
    <t>PURCHASE OF IT EQUIPMENTS FOR LGU OFFICES AND FOR CBMS SURVEY</t>
  </si>
  <si>
    <t>Construction of Footwalk</t>
  </si>
  <si>
    <t>Catering Services and Accommodation</t>
  </si>
  <si>
    <t>Supply and Delivery of Multifarious Hardware Materials</t>
  </si>
  <si>
    <t>Construction of 38 Units Temporary Shelter</t>
  </si>
  <si>
    <t>Proposed Kapate Tribal Village (IP Housing Project) @ Brgy. Kapate, Kiamba, Sarangani Province</t>
  </si>
  <si>
    <t>Motorpool Construction Phase I</t>
  </si>
  <si>
    <t>CONCRETING OF PATHWAY AT PUROK 2 TO 3</t>
  </si>
  <si>
    <t>INSTALLATION OF SOLAR PANEL STREET LIGHTS</t>
  </si>
  <si>
    <t>Supply and Delivery of 1 Unit Brandnew FORKLIFT, 4 x 2, 10 tons, diesel engine, 4 cycle water.</t>
  </si>
  <si>
    <t>Repair/Improvement of Portion of PSWDO Building &amp; Construction of 1 Unit 3-Chamber Septic Vault Brgy. Dalakit, Catarman, Northern Samar</t>
  </si>
  <si>
    <t>Supply and Installation of Fire Detection, Alarm and Suppression for Three (3) Storey New Municipal Hall Bldg.</t>
  </si>
  <si>
    <t>CONCRETING OF PATHWAY AT PUROK 1</t>
  </si>
  <si>
    <t>Repair of Mulit-purpose Hall</t>
  </si>
  <si>
    <t>EXTENSION OF RHU WAITING AREA AND PHARMACY EXTENSION, LGU CAMPUS, VILLABA, LEYTE - PHILHEALTH CAPITATION</t>
  </si>
  <si>
    <t>PURCHASE OF DRUGS AND MEDICINES</t>
  </si>
  <si>
    <t>Supply and Delivery of Materials for Replacement of Early Warning Device Wiring</t>
  </si>
  <si>
    <t>Procurement of Veterinary Products for Deworming of Large &amp; Small Animals, Anti-Rabies Vaccination for Dogs &amp; Cats and to Treat Diseases of Animals.</t>
  </si>
  <si>
    <t>CONSTRUCTION OF TWO(2)-STOREY PROCESSING BUILDING WITH WAREHOUSE IN SUPPORT TO THE GEONET PRODUCTION AND MARKETING ENTERPRISES</t>
  </si>
  <si>
    <t>INSTALLATION OF WATER LINE AND TWO(2) UNITS OUTDOOR LAVATORY AT PRK. 25 - BRGY. HEALTH CENTER &amp; DAY CARE CENTER IV</t>
  </si>
  <si>
    <t>CONCRETING OF PATHWAY AT PUROK 5</t>
  </si>
  <si>
    <t>Supply and Delivery of 1 Unit 2020 Commuter Van 2.8L M/T and 2 units Automatic Motorcycle 150i.</t>
  </si>
  <si>
    <t>CONCRETING OF MULTI-PURPOSE PAVEMENT</t>
  </si>
  <si>
    <t>Rehabilitation of Multi-Purpose Hall, Barangay Cometa</t>
  </si>
  <si>
    <t>REHAB./REPAIR OF BALITE TENNIS COURT, BRGY. BALITE, VILLABA, LEYTE - BRGY. FUND</t>
  </si>
  <si>
    <t>20CN0067 - Construction of Slope Protection Along A. Castañeda – Ma. Aurora San Luis Road, (K0198+120 – K0198+171.84), Aurora</t>
  </si>
  <si>
    <t>Jaliobong Cluster Access Road Concreting Phase I</t>
  </si>
  <si>
    <t>CID No. 20OD0194 - Construction of 4-Storey 8-Classroom School Building Caruhatan East ES, Valenzuela City</t>
  </si>
  <si>
    <t>CONCRETING OF PATHWAY AT PUROK 3 TO 2</t>
  </si>
  <si>
    <t>IMPROVEMENT OF PIÑAHON ISLAND FACILITIES SIBUTAD, ZAMBOANGA DEL NORTE</t>
  </si>
  <si>
    <t>Facilitator, Documentor and Writer (2020-148)</t>
  </si>
  <si>
    <t>Civil Works by Contract for the Construction of Two Storey Evacuation Center (Damula-an)</t>
  </si>
  <si>
    <t>20CN0066 - Construction of Slope Protection along Madela – Dinadiawan Road, K0410+100 – K0410+146, Aurora</t>
  </si>
  <si>
    <t>Supply and Delivery of Materials to be used in the Concreting of Roads in different barangays, Naujan, Oriental Mindoro</t>
  </si>
  <si>
    <t>20CN0068 - Construction of Slope Protection Along A. Castañeda – Ma. Aurora San Luis Road, (K0211+175 – K0211+310), Aurora</t>
  </si>
  <si>
    <t>Procurement of One (1) Units Service Vehicle (Patient Transport Vehicle)</t>
  </si>
  <si>
    <t>RFQ No. 2020-031: Procurement of Four (4) CPUs  (2nd Posting)</t>
  </si>
  <si>
    <t>Purchase of Medicine for the 1st and 2nd Quarter</t>
  </si>
  <si>
    <t>Procurement of Office and IT Equipment for Mayor's and KALAHI Office</t>
  </si>
  <si>
    <t>REHAB./IMPROVEMENT OF ISOLATION ROOM, BRGY. BALITE, VILLABA, LEYTE - BRGY. FUND</t>
  </si>
  <si>
    <t>Procurement of One (1) Units Service Vehicle</t>
  </si>
  <si>
    <t>PROCUREMENT OF INFORMATION TECHNOLOGY (IT) EQUIPMENT OF THE MUNICIPALITY OF LIMASAWA, SOUTHERN LEYTE</t>
  </si>
  <si>
    <t>Concreting of Pathway at Purok 2</t>
  </si>
  <si>
    <t>Procurement of Multi-Shredding &amp; Pulveriser Machine for MENRO</t>
  </si>
  <si>
    <t>Supply and delivery of Materials for the Improvement of Existing Evacuation @ Municipal Compound, Nagcarlan, Laguna</t>
  </si>
  <si>
    <t>CID No. 20OD0197 - Construction/Rehabilitation of Multi-purpose Building Brgy. 18, Caloocan City</t>
  </si>
  <si>
    <t>Construction of River Landing Brgy. Matelarag, Las Navas Northern Samar</t>
  </si>
  <si>
    <t>Procurement of Civil Works ITB 20-08</t>
  </si>
  <si>
    <t>20CN0070 - Construction of Slope Protection Along Baler – Casiguran Road (Dinadiawan – Casiguran Section), K0292+910 – K0292+988, Aurora</t>
  </si>
  <si>
    <t>SUPPLY AND DELIVERY OF ARM CHAIRS AND SALA SETS (PR NO. 2020-02-0376, 2020-02-0240, 2020-02-0371)</t>
  </si>
  <si>
    <t>CONCRETING OF MULTI-PURPOSE PAVEMENT AT PUROK 4</t>
  </si>
  <si>
    <t>PROCUREMENT OF ANTI-RABIES VACCINE</t>
  </si>
  <si>
    <t>Purchase of Fuel, Oil and Lubricants 1st and 2nd Quarter</t>
  </si>
  <si>
    <t>Purchase of electrical supplies</t>
  </si>
  <si>
    <t>20CN0126 - Slope Protection along Nueva Ecija – Aurora Road, (K0190+740 – K0190+890), (K0191+211 – K0191+260)</t>
  </si>
  <si>
    <t>20CN0069 - Construction of Slope Protection Along Baler – Casiguran Road (Baler – Dinadiawan Section), (K0259+735 – K0259+775), Casiguran, Aurora</t>
  </si>
  <si>
    <t>20CN0124 - Slope Protection along Nueva Ecija – Aurora Road, K0176+200 – K0176+360</t>
  </si>
  <si>
    <t>20CN0075 - Construction of Slope Protection along Nueva Ecija – Aurora Road, K0204+325 – K0204+386, Aurora</t>
  </si>
  <si>
    <t>Procurement of Seven (7) Units Ambulance Vehicle</t>
  </si>
  <si>
    <t>20CN0074 - Construction of Slope Protection along Nueva Ecija – Aurora Road, K0196+230 – K0196+277, Aurora</t>
  </si>
  <si>
    <t>20CN0125 - Slope Protection along Nueva Ecija – Aurora Road, K0184+800 – K0184+880, K0184+980 – K0185+090</t>
  </si>
  <si>
    <t>CID No. 20OD0196 - Construction of Multi-purpose Building Brgy. Parada, Valenzuela City (Phase 2)</t>
  </si>
  <si>
    <t>Spareparts</t>
  </si>
  <si>
    <t>Veterinary Medical Supplies</t>
  </si>
  <si>
    <t>CID No. 20OD0198 - Repair/Maintenance/Rehabilitation along Mac Arthur Highway, Valenzuela City</t>
  </si>
  <si>
    <t>20CN0073 - Construction of Slope Protection along Nueva Ecija – Aurora Road, K0212+155 – K0212+203, Aurora</t>
  </si>
  <si>
    <t>Construction of River Dike in Brgy. Caghalo, Carigara, Leyte, ABC PHP3,506,084.15</t>
  </si>
  <si>
    <t>CONTINUATION OF STREETLIGHTS-SOLAR</t>
  </si>
  <si>
    <t>Additional Backfilling and Construction of Retaining Wall (Ripraps) of Slaughterhouse Premises, Sitio Asiotes, Barangay Polo</t>
  </si>
  <si>
    <t>Barangay Road Concreting - Seven (7) Barangays - LGU Cortes Bohol</t>
  </si>
  <si>
    <t>Concreting of Ochoa St. Extension</t>
  </si>
  <si>
    <t>Supply and delivery of School Equipment for use in Implementation of new learning and teaching methods under new normal condition (due to Covid-19 Pandemic) in all public elementary and High School in</t>
  </si>
  <si>
    <t>Procurement of Vehicle (6-Wheeler Dump Truck)</t>
  </si>
  <si>
    <t>20DD0350 Local Program, Local Infrastructure Program, Local Roads and Bridges, Local Roads, Concreting of Local Road, Brgy. Salaban I, Ibaan, Batangas</t>
  </si>
  <si>
    <t>CONSTRUCTION OF LOCAL  ROAD- Sitio Panghulan 2, Brgy. Bula</t>
  </si>
  <si>
    <t>20DD0349 Local Program, Local Infrastructure Program, Flood Control and Drainage, Drainage/ Protection Works, Rehabilitation/ Construction of Drainage at District III (Pookan), Marawoy, Lipa City, Bat</t>
  </si>
  <si>
    <t>Supply and Delivery of Electrical Materials &amp; Supplies ( D-025-0277-20 )</t>
  </si>
  <si>
    <t>Construction of the Tanjay City Evacuation Center (Phase III)</t>
  </si>
  <si>
    <t>GENERAL ADMINISTRATION AND SUPPORT</t>
  </si>
  <si>
    <t>20CN0123 - Construction of Slope Protection along Baler - Casiguran Road (Dinadiawan-Casiguran Section), K0297+060 – K0297+143, K0297+190 – K0297+300, Casigura, Aurora</t>
  </si>
  <si>
    <t>CCTV Cameras</t>
  </si>
  <si>
    <t>FABRICATION AND INSTRALLATION OF STEEL GRILLS AND STEEL GATE IN FRONT OF PERIMETER FENCE OF KADAMPAT GYMANASIUM @ SITIO KADAMPAT, BOLO, LABRADOR, PANGAS1NAN</t>
  </si>
  <si>
    <t>REPAINTING OF ROOF, INTERIOR &amp; EXTERIOR CEILING AND WALL OF BUILDINGS AT LIMAY PARK</t>
  </si>
  <si>
    <t>Repair/Maintenance of DOF Building RO V - Main Building Bureau of Local Government Finance, Rawis, Legazpi City</t>
  </si>
  <si>
    <t>CONSTRUCTION OF MULTI - PURPOSE BUILDING @ BRGY. OLD LABANGAN, LABANGAN, ZDS</t>
  </si>
  <si>
    <t>Procurement of Flash Hoods, Gloves, and Inflatable Life Jackets</t>
  </si>
  <si>
    <t>Various Office Enhancement</t>
  </si>
  <si>
    <t>ITB No. 2020-06-23 Provision of Security Services for DA-RFO 02 and its Research Centers and Experiment Stations and other Facilities</t>
  </si>
  <si>
    <t>Reblocking/Concreting of Road from Brgy. Los Martires to Brgy. San Antonio Dist. 5 in Dagami, Leyte, ABC PHP3,517,944.70</t>
  </si>
  <si>
    <t>20CN0071 - Construction of Slope Protection Along Baler – Casiguran Road (Dinadiawan – Casiguran Section), (K0302+490 – K0302+570), Casiguran, Aurora</t>
  </si>
  <si>
    <t>20DD0304 (Re-Advertised) Local Program, Local Infrastructure Program, Buildings and Other Structures, Multipurpose/ Facilities, Improvement of Multi-Purpose Building in Various Barangays, San Jose, Ba</t>
  </si>
  <si>
    <t>PROCUREMENT OF INFORMATION AND COMMUNICATION TECHNOLOGY EQUIPMENTS</t>
  </si>
  <si>
    <t>CID No. 20OD0199 - Repair/Maintenance/Rehabilitation along Mac Arthur Highway, Valenzuela City</t>
  </si>
  <si>
    <t>CONCRETING OF PATHWAY AT PUROK 3 to PUROK 5</t>
  </si>
  <si>
    <t>Improvement of Motorpool</t>
  </si>
  <si>
    <t>Road Rehabilitation (0.2mX5.0mX18km) at Tugas, Riverside, Kanmangasang, Caipe, Cagcagan-Adela &amp; Sta. Rita, Poro, Cebu</t>
  </si>
  <si>
    <t>Rebidding of Concreting of Barangay Road at Brgy. Morong, Sitio Purok 7, Sariaya, Quezon</t>
  </si>
  <si>
    <t>20DD0353 Local Program, Local Infrastructure Program, Buildings and Other Structures, Multipurpose/ Facilities, Improvement and Rehabilitation of Multi-Purpose Hall, Brgy. Poblacion, Ibaan, Batangas</t>
  </si>
  <si>
    <t>Supply of Autodelfia Neonatal Kit/Solutions/Reagents (Rebid)</t>
  </si>
  <si>
    <t>Concreting of Sanitary Landfill Access Road Phase I</t>
  </si>
  <si>
    <t>Construction of Welcome Arch Sign-Barangay 1</t>
  </si>
  <si>
    <t>20DD0356 Local Program, Local Infrastructure Program, Local Roads and Bridges, Local Roads, Rehabilitation/Improvement of Road at Brgy. Plaridel, Lipa City, Batangas</t>
  </si>
  <si>
    <t>Purchase of Machinery and Equipment for White Corn  Processing Center</t>
  </si>
  <si>
    <t>CONCRETING OF PATHWAY- PROCUREMENT OF MATERIALS</t>
  </si>
  <si>
    <t>Concreting of Farm to Market Road (Tobrehon Road Section)</t>
  </si>
  <si>
    <t>Slope Protection (Binagasbasan, Paraiso)</t>
  </si>
  <si>
    <t>Rehabilitation of Pussian SWIP Access Road</t>
  </si>
  <si>
    <t>Construction of Nagattatan-Utan Retailing Wall</t>
  </si>
  <si>
    <t>Construction of River Protection-Barangay Mascarina</t>
  </si>
  <si>
    <t>20DD0352 Local Program, Local Infrastructure Program, Buildings and Other Structures, Multipurpose/ Facilities, Construction/ Completion of Multi-Purpose Building, Brgy. Laiya Ibabao, San Juan, Batang</t>
  </si>
  <si>
    <t>ITB NO. SV20-06-002ANG SUPPLY AND DELIVERY OF VARIOUS PRINTED FORMS</t>
  </si>
  <si>
    <t>20CN0072 - Construction of Slope Protection along Nueva Ecija – Aurora Road, K0171+150 – K0171+195.52, Aurora</t>
  </si>
  <si>
    <t>Concreting of Farm-To-Market Road (Brgy. Bonifacio - Brgy. Burgos Road Section) in Mayorga, Leyte, ABC PHP3,184,316.98</t>
  </si>
  <si>
    <t>ITB and Bid Docs for Contract ID:    19GC00091   Contract Name:      Procurement of Reflectorized Thermoplastic (Yellow and White) and other Related Materials for Application and Improvement of Traffi</t>
  </si>
  <si>
    <t>CONSTRUCTION  CLOSURE OF OPEN DUMPSITE</t>
  </si>
  <si>
    <t>Rehabilitation/Improvement of Municipal Public Market Incorporating w/ Disaster Resilient Design at Brgy. Guisijan, Laua-an, Antique</t>
  </si>
  <si>
    <t>SUPPLY OF VARIOUS MATERIAL FOR USE IN REPAIR/MAINTENANCE ALONG VARIOUS NATIONAL ROADS WITHIN 1ST DISTRICT OF PAMPANGA (3rd QUARTER)</t>
  </si>
  <si>
    <t>Rehabilitation/improvement of Water System in Brgy. Hinabuyan, Villaba, Leyte, ABC PHP2,884,283.42</t>
  </si>
  <si>
    <t>Construction of Multi-Purpose Hall in Balugo, Albuera, Leyte, ABC PHP3,098,838.91</t>
  </si>
  <si>
    <t>Supply And  Delivery of Food Supplies for Indigent Family</t>
  </si>
  <si>
    <t>Procurement of Diesel  and Oil for maintenance of Various Provincial Roads &amp; Bridges, Province of Aklan /ITB no: 2020-364</t>
  </si>
  <si>
    <t>20DD0351 Local Program, Construction/ Repair/ Rehabilitation/ Improvement of Various Infrastructure Including Local Projects, Water Management Facilities, Water Supply, Construction/Completion of Wate</t>
  </si>
  <si>
    <t>Supply and Delivery of Materials for the Application of Traffic Lane Markings on Various Locations within Metro Manila</t>
  </si>
  <si>
    <t>Construction of Multi-Purpose Bldg. (Phase 1) in Brgy. Borseth, Alangalang, Leyte, ABC PHP2,510,675.73</t>
  </si>
  <si>
    <t>Construction of Multi-Purpose Bldg. (Phase 1) in Brgy. Don Luis, Calubian, Leyte, ABC PHP2,531,475.87</t>
  </si>
  <si>
    <t>SUPPLY OF DIESEL FOR USE IN SERVICE VEHICLES, HEAVY EQUIPMENTS AND MINOR EQUIPMENTS OF MAINTENANCE SECTION</t>
  </si>
  <si>
    <t>OFFICE SUPPLIES, JANITORIAL AND CONSUMABLE SUPPLIES</t>
  </si>
  <si>
    <t>I.T. EQUIPMENT</t>
  </si>
  <si>
    <t>ITB-SUPPLY AND DELIVERY OF 1250 PIECES MULTI-JET WATER METERS</t>
  </si>
  <si>
    <t>20DD0358 Local Program, Local Infrastructure Program, Water Management Facilities, Water Supply, Construction of Water System at Padre Valerio Malabanan Elementary School, Brgy. 1, Lipa City, Batangas</t>
  </si>
  <si>
    <t>20DD0357 Local Program, Local Infrastructure Program, Buildings and Other Structures, Multipurpose/ Facilities, Construction and/or Repair/Rehabilitation of Multi-Purpose Building (Phase 2), Brgy. Ban</t>
  </si>
  <si>
    <t>Concreting of Barangay Road at Sitio Macagpo (Phase 2) in Brgy. Cambalading, Albuera, Leyte, ABC PHP3,005,619.74</t>
  </si>
  <si>
    <t>Rehabilitation of Multi-Purpose Hall, Barangay Silangan</t>
  </si>
  <si>
    <t>SERVICES: Health and Accident Insurance for Barangay Peacekeeping Action Team (BPATs)</t>
  </si>
  <si>
    <t>20DD0355 Local Program, Local Infrastructure Program, Water Management Facilities, Water Supply, Construction/ Completion of Water System at Brgy. Halang, Lipa City Batangas (Phase 2)</t>
  </si>
  <si>
    <t>Construction of River Protection-Barangay Del Pilar</t>
  </si>
  <si>
    <t>20DD0354 Local Program, Local Infrastructure Program, Flood Control and Drainage, Flood Control Structures / Facilities, Rehabilitation/Improvement of Flood Control Structure at Brgy. Tambo, Lipa City</t>
  </si>
  <si>
    <t>20M00080-Repair/Maintenance of DPWH Building (former Utility Building), DPWH Region 12 Compound, Corner Alunan-Mabini Street, Koronadal City, South Cotabato</t>
  </si>
  <si>
    <t>20AG0125-Construction of Modified Standard Two-Storey (4 Classrooms) School Building AT San Vicente ES,  Alaminos City, Pangasinan</t>
  </si>
  <si>
    <t>20KK0128 - Construction of 2 STY 6 CL, Sangalan Integrated School, Brgy. Sangalan, Gingoog City, Misamis Oriental</t>
  </si>
  <si>
    <t>2020-07_ITB - Proposed Pathwalk/Covered Drainage at Zone 4-A, Saint Claire, Concepcion Pequeña, Naga City</t>
  </si>
  <si>
    <t>20KK0129 - Construction of 3 STY 12 CL, Binitinan ES, Brgy. Binitinan, Balingasag, Misamis Oriental</t>
  </si>
  <si>
    <t>20GKD0003: PURCHASE OF HOT ASPHALT 60/70 FOR MAINTENANCE SECTION, CDOC END DEO, MACABALAN, CAGAYAN DE ORO CITY</t>
  </si>
  <si>
    <t>Q-098-20 PROCUREMENT OF HARDWARE AND CONSTRUCTION SUPPLIES</t>
  </si>
  <si>
    <t>Supply of High Performance Liquid Chromatography (HPLC)</t>
  </si>
  <si>
    <t>Construction of Drainage</t>
  </si>
  <si>
    <t>ITB-SUPPLY AND DELIVERY OF ONE (1) UNIT  BRAND NEW PASSENGER VAN</t>
  </si>
  <si>
    <t>Construction of Local Access Road @ Brgy. Cogon</t>
  </si>
  <si>
    <t>Senior Citizen Agri Supply Store Project</t>
  </si>
  <si>
    <t>REHABILITATION OF MULTI-PURPOSE HALL – CAWAYAN, IMPASUGONG, BUKIDNON</t>
  </si>
  <si>
    <t>20KK0130 - Repair and Rehabilitation of Multi-Purpose Building (Covered Court), Brgy. Panabol, Kinoguitan, Misamis Oriental</t>
  </si>
  <si>
    <t>Supply and Delivery of One (1) Unit Brand New 4 x 4 Pick-up</t>
  </si>
  <si>
    <t>Construction of Multi-Purpose Bldg. (Phase 1) in Brgy. Rizal, Javier, Leyte, ABC PHP2,499,134.05</t>
  </si>
  <si>
    <t>PROCUREMENT OF 5 UNITS COLLAPSIBLE TENT OF THE MUNICIPALITY OF LIMASAWA, SOUTHERN LEYTE</t>
  </si>
  <si>
    <t>SUPPLY AND DELIVERY OF LOT 7: 83 HEADS CARABAO (CARAHEIFER) - SECOND POSTING</t>
  </si>
  <si>
    <t>MG-TSE20-034</t>
  </si>
  <si>
    <t>Procurement of Reference Books and Instructional Materials for College of Engineering Library</t>
  </si>
  <si>
    <t>INVITATION TO BID FOR THE CONSTRUCTION OF MOTORPOOL PHASE-I</t>
  </si>
  <si>
    <t>SUPPLY AND DELIVERY FOR THE INSTALLATION OF STREETLIGHTS AT PUROK 14 &amp; 15,POBLACION,SIBAGAT,AGUSAN DEL SUR</t>
  </si>
  <si>
    <t>SUPPLY AND DELIVERY OF IT PARAPHERNALIA FOR REPAIR AND MAINTENANCE OF ICT EQUIPMENT</t>
  </si>
  <si>
    <t>Bid No. 20-0263 - PROCUREMENT OF CATERING SERVICES - MO (LGU ACTIVITIES-3RD QUARTER 2020)</t>
  </si>
  <si>
    <t>Supply and Delivery of Office Equipment and Appliances, rebid</t>
  </si>
  <si>
    <t>PURCHASE OF I.V. FLUIDS-JCH-20-0224-B</t>
  </si>
  <si>
    <t>DRUGS &amp; MEDICINES - MHO (20-06-0946)</t>
  </si>
  <si>
    <t>PROCUREMENT OF INFORMATION AND COMMUNICATION TECHNOLOGY EQUIPMENT (ICT)</t>
  </si>
  <si>
    <t>MG-TSE20-009</t>
  </si>
  <si>
    <t>SUPPLY AND DELIVERY OF LOT 10: 4,885 BAGS CERTIFIED PALAY SEEDS IN ROMBLON AND MARINDUQUE – SECOND POSTING</t>
  </si>
  <si>
    <t>Supply and Delivery of Thermoplastic Pavement Marking Materials for the Periodic Maintenance of Existing Truck Lanes and Motorcycle Lanes at Various Locations within Metro Manila</t>
  </si>
  <si>
    <t>Construction of a 2-Classroom School Building at Jones Elem. School in Pastrana, Leyte, ABC PHP2,111,096.82</t>
  </si>
  <si>
    <t>Construction of Multi-Purpose Bldg. (Phase 2) in Brgy. Uguis, Mahaplag, Leyte, ABC PHP2,403,455.26</t>
  </si>
  <si>
    <t>Construction of Double Barrel Box Culvert in Brgy. Herrera, Calubian, Leyte, ABC PHP2,374,493.61</t>
  </si>
  <si>
    <t>Procurement of CCTV</t>
  </si>
  <si>
    <t>SUPPLIES FOR STI AND HIV TESTING KIT FOR PREGNANT MOTHERS - MHO (20-03-0642X)</t>
  </si>
  <si>
    <t>Construction of a 2-Classroom School Building at Campin Elem. School in Mahaplag, Leyte, ABC PHP2,109,050.00</t>
  </si>
  <si>
    <t>SUPPLY AND DELIVERY OF LOT 9: 467 HEADS UPGRADED GOATS - SECOND POSTING</t>
  </si>
  <si>
    <t>20AG0126-Construction of Modified Standard Two-Storey (4 Classrooms) School Building AT Centro Toma ES,  Bani, Pangasinan</t>
  </si>
  <si>
    <t>MG-TSE20-015</t>
  </si>
  <si>
    <t>SUPPLY AND DELIVERY OF 2,016 HEADS READY TO LAY CHICKEN (PULLETS) IN OCCIDENTAL MINDORO - SECOND POSTING</t>
  </si>
  <si>
    <t>Procurement of one (1) lot Blowing and Percussion Instruments for the use of MMDA Band – Public Affairs Office</t>
  </si>
  <si>
    <t>MG-TSE20-010</t>
  </si>
  <si>
    <t>Construction of Masonry Drainage, Along National Highway, Namabbalan Norte, Tuguegarao City, Cagayan</t>
  </si>
  <si>
    <t>Supply and Delivery of Materials for the In-House Installation of Traffic Signal Facilities as per Request of Various LGUs</t>
  </si>
  <si>
    <t>20G00102 - Construction/Rehabilitation of Water Supply/Septage and Sewerage/Rain Water Collectors – Rainwater Collector in Public Facilities in Region VI – Ten (10) units at NEGROS OCCIDENTAL AREA</t>
  </si>
  <si>
    <t>SUPPLY AND DELIVERY OF ONE-UNIT 4X4 CUSTOMIZED UTILITY RESCUE VEHICLE WITH AMENITIES</t>
  </si>
  <si>
    <t>MG-TSE20-019</t>
  </si>
  <si>
    <t>ITB 2020-GS-009B HFEP EQUIPMENT PACKAGE 2</t>
  </si>
  <si>
    <t>PURCHASE INDOOR CCTV</t>
  </si>
  <si>
    <t>SUPPLY AND DELIVERY OF LOT 8: 379 HEADS SWINE (GILT) - SECOND POSTING</t>
  </si>
  <si>
    <t>Repair of Multi-Purpose Center</t>
  </si>
  <si>
    <t>20G00103 - Construction/Rehabilitation of Water Supply/Septage and Sewerage/Rain Water Collectors – Rainwater Collector in Public Facilities in Region VI – Nine (9) units at ILOILO AREA for Various Na</t>
  </si>
  <si>
    <t>SUPPLY AND DELIVERY OF LOT 4: 5,800 LITERS MICRONUTRIENT FOLIAR/SOIL FERTILIZER - SECOND POSTING</t>
  </si>
  <si>
    <t>MG-TSE20-006</t>
  </si>
  <si>
    <t>PROCUREMENT OF ONE (1) UNIT PATIENT TRANSPORT VEHICLE</t>
  </si>
  <si>
    <t>INSTALLATION OF 15KVA TRANSFORMER @ EVACUATION CENTER, SITIO CAYANGIAN, BRGY. TINGHUB, VILLABA, LEYTE</t>
  </si>
  <si>
    <t>PURCHASE OF MEDICAL EQUIPMENT-JCH-20-0306-B</t>
  </si>
  <si>
    <t>FURNITURE &amp; FIXTURES - MHO -(20-0082X)</t>
  </si>
  <si>
    <t>Construction of Multi-Purpose Bldg. (Phase 1) in Brgy. Rizal II, Babatngon, Leyte, ABC PHP2,499,999.84</t>
  </si>
  <si>
    <t>MG-CEN20-008</t>
  </si>
  <si>
    <t>MG-CEN20-019</t>
  </si>
  <si>
    <t>MG-CEN20-013</t>
  </si>
  <si>
    <t>Completion of Barangay Evacuation Center - Katipunan</t>
  </si>
  <si>
    <t>Procurement of One Lot Network Firewall</t>
  </si>
  <si>
    <t>SUPPLY AND DELIVERY OF VARIOUS INSECTICIDES IN ORIENTAL MINDORO, PALAWAN, ROMBLON &amp; MARINDUQUE PROVINCES</t>
  </si>
  <si>
    <t>Construction Multi-Purpose Bldg. at San Pedro Elem. School in Albuera, Leyte, ABC PHP2,071,838.60</t>
  </si>
  <si>
    <t>PURCHASE OF 1,150 CERTIFIED SEEDS (40 KGS/BAG)</t>
  </si>
  <si>
    <t>20BD0126 – CONSTRUCTION OF TWO (2) STOREY EIGHT (8) CLASSROOM, CAPATAN ELEMENTARY SCHOOL, TUGUEGARAO CITY, CAGAYAN</t>
  </si>
  <si>
    <t>20JD0109 - Construction of 1 Unit Two Storey (8) Classrooms School Building Sicayab ES, Sicayab, Dapitan City, Zambaonga del Norte</t>
  </si>
  <si>
    <t>ITB 2020-GS-009C HFEP EQUIPMENT PACKAGE 3</t>
  </si>
  <si>
    <t>MG-CEN20-020</t>
  </si>
  <si>
    <t>Individual Consultant for the Improvement and Project Management/Supervision on Repair of POPCOM CO/NCR/Region IV Building Complex and its Facilities</t>
  </si>
  <si>
    <t>ITB 2020-GS-009D HFEP EQUIPMENT PACKAGE 4</t>
  </si>
  <si>
    <t>20BD0128 – CONSTRUCTION OF TWO (2) STOREY SIX (6) CLASSROOM, LEMU ELEMENTARY SCHOOL, ENRILE, CAGAYAN</t>
  </si>
  <si>
    <t>SAPALAN RIP CY 2020 PACKAGE 7</t>
  </si>
  <si>
    <t>Procurement of Reference Books and Instructional Materials for PUP Branches and Campuses</t>
  </si>
  <si>
    <t>20BD0127 – CONSTRUCTION OF TWO (2) STOREY SIX (6) CLASSROOM, NAMABBALAN ELEMENTARY SCHOOL, TUGUEGARAO CITY</t>
  </si>
  <si>
    <t>ITB 2020-GS-009F HFEP EQUIPMENT LINE ITEM 2</t>
  </si>
  <si>
    <t>Concreting of Road Infront of Municipal Hall</t>
  </si>
  <si>
    <t>SUPPLY AND DELIVERY 1 (ONE) UNIT 35-44HP 4WD TRACTOR WITH IMPLEMENTS</t>
  </si>
  <si>
    <t>PURCHASE OUTDOOR CCTV</t>
  </si>
  <si>
    <t>PR-2020-1393 Drugs &amp; Medicines-Fluids-PHO</t>
  </si>
  <si>
    <t>MG-CEN20-023</t>
  </si>
  <si>
    <t>ITB 2020-GS-009E HFEP EQUIPMENT LINE ITEM 1</t>
  </si>
  <si>
    <t>Procurement of Ten (10) units AED Plus Defibrillator with Complete set Accessories for the use of Road Emergency Group</t>
  </si>
  <si>
    <t>Construction of Multi-Purpose Bldg. (Phase 2) in Brgy. Mohon, Tabontabon, Leyte, ABC PHP2,056,768.58</t>
  </si>
  <si>
    <t>TALAYAN RIS EXTENSION PROJECT CY 2020</t>
  </si>
  <si>
    <t>RENOVATION OF ROXAS AMUSEMENT CENTER PHASE I</t>
  </si>
  <si>
    <t>Purchase of Electrical Supplies for Sindangan Municipal Hall Annex Building</t>
  </si>
  <si>
    <t>20AG0127-Construction of Modified Standard Two-Storey (4 Classrooms) School Building AT Patar ES,  Bolinao, Pangasinan</t>
  </si>
  <si>
    <t>Rehabilitation of Water System - Balatohan</t>
  </si>
  <si>
    <t>MG-CEN20-021</t>
  </si>
  <si>
    <t>20BD0129 – CONSTRUCTION OF TWO (2) STOREY SIX (6) CLASSROOM, ALIBAGO ELEMENTARY SCHOOL, ENRILE</t>
  </si>
  <si>
    <t>SK ENHANCEMENT PROGRAM</t>
  </si>
  <si>
    <t>Improvement of Multi Purpose Hall (materials only)</t>
  </si>
  <si>
    <t>CONSTRUCTION OF ROAD IMPROVEMENT OF CM RECTO AND ESPAÑOLA AVE. WITH SOLAR LIGHT COMPONENT PHASE IV</t>
  </si>
  <si>
    <t>20AG0128-Construction of Modified Standard Two-Storey (4 Classrooms) School Building AT Sual Central School,  Sual, Pangasinan</t>
  </si>
  <si>
    <t>PR-2020-1130 Medical Supplies-PHO</t>
  </si>
  <si>
    <t>Construction of Multi-Purpose Bldg. at Waterloo National High School in Matalom, Leyte, ABC PHP1,985,283.28</t>
  </si>
  <si>
    <t>20BD0131 – CONSTRUCTION OF TWO (2) STOREY SIX (6) CLASSROOM, AMULUNG NATIONAL HIGH SCHOOL, AMULUNG, CAGAYAN</t>
  </si>
  <si>
    <t>SUPPLY AND DELIVERY OF 35 UNITS PUMPS &amp; ENGINE SETS WITH COMPLETE ACCESSORIES</t>
  </si>
  <si>
    <t>MG-CEN20-028</t>
  </si>
  <si>
    <t>Construction of 2-Storey Multi-Purpose Bldg. in Brgy. Mabunga, Mahaplag, Leyte, ABC PHP1,889,118.96</t>
  </si>
  <si>
    <t>Construction of Climate Proof Multi-Purpose/Evacuation Center at Lugta, Laua-an, Antique</t>
  </si>
  <si>
    <t>SUPPLY AND DELIVERY OF COCO PEAT FOR OFFICIAL USE OF MECHANIZED AND MODERNIZED FOREST NURSERY (MMFN) AT TRP, SAN JUAN DE VALDEZ, SAN JOSE, TARLAC</t>
  </si>
  <si>
    <t>20IE0097 -  REPAIR/MAINTENANCE OF DPWH BUILDING, MOTORPOOL/BODEGA, LEYTE III DISTRICT ENGINEERING OFFICE  Brgy. Suba, Villaba, Leyte</t>
  </si>
  <si>
    <t>Rehabilitation of Water System - Pagsangahan</t>
  </si>
  <si>
    <t>20AG0129-Construction of Modified Standard Two-Storey (6 Classrooms) School Building AT Alaminos City Central School, Alaminos City, Pangasinan</t>
  </si>
  <si>
    <t>MG-CMT20-014</t>
  </si>
  <si>
    <t>Construction of Flood Control Structure in Brgy. District III, Babatngon, Leyte, ABC PHP1,996,389.20</t>
  </si>
  <si>
    <t>Construction of Access Road to Core Shelter Area in Brgy. Pinamonoan, Mahaplag, Leyte, ABC PHP1,695,126.59</t>
  </si>
  <si>
    <t>MG-CEN20-024</t>
  </si>
  <si>
    <t>20IE0098 - REPAIR/MAINTENANCE OF DPWH BUILDING, MAINTENANCE SECTION BUILDING, LEYTE III DISTRICT ENGINEERING OFFICE Brgy. Suba, Villaba, Leyte</t>
  </si>
  <si>
    <t>Supply and Delivery of One (1) Unit Brand New 4x4 Pick-up</t>
  </si>
  <si>
    <t>Purchase of Double Arm Steel Tapered Lamp Post for Rehabilitation/ Improvement of Center Island and Street Lights, San Teodoro, Bunawan, Agusan del Sur</t>
  </si>
  <si>
    <t>Procurement of Various Drugs and Medicines-06-097(Q)ZNCM</t>
  </si>
  <si>
    <t>CONSTRUCTION OF MUNICIPAL DISASTER RISK AND MANAGEMENT OFFICE BUILDING</t>
  </si>
  <si>
    <t>Extension of Multi-Purpose Hall, Barangay 4</t>
  </si>
  <si>
    <t>Improvement of Multi-Purpose Bldg. at Matlang National High School in Isabel, Leyte, ABC PHP1,253,752.35</t>
  </si>
  <si>
    <t>MG-IPP20-007</t>
  </si>
  <si>
    <t>20BD0132 – CONSTRUCTION OF TWO (2) STOREY SIX (6) CLASSROOM, MANAOAG ELEMENTARY SCHOOL, IGUIG</t>
  </si>
  <si>
    <t>Repair and Rehabilitation of the Hall of Justice Building in Villaba, Leyte, ABC PHP1,278,839.87</t>
  </si>
  <si>
    <t>MG-COM20-021</t>
  </si>
  <si>
    <t>PURCHASE OF ONE (1) UNIT MUNICIPAL VEHICLE (Sports Utility Vehicle), Banate, Iloilo</t>
  </si>
  <si>
    <t>Construction of Health Center in Brgy. Malbog, Tolosa, Leyte, ABC PHP1,003,799.13</t>
  </si>
  <si>
    <t>20IE0100 - REPAIR/MAINTENANCE OF DOJ BUILDING, HALL OF JUSTICE, VILLABA TRIAL COURT, Brgy. Poblacion del Sur, Villaba, Leyte</t>
  </si>
  <si>
    <t>SUPPLY AND DELIVERY OF GENERATOR SET ( INC. MECHANICAL AND ELECTRICAL INSTALLATION) OF LGU-CATANAUAN, QUEZON</t>
  </si>
  <si>
    <t>Construction of Two-Storey Four Classroom School Building (Phase 1)</t>
  </si>
  <si>
    <t>RIVER DREDGING, PUROK 4, LAYA WEST</t>
  </si>
  <si>
    <t>Improvement of MPP Training Center cum mess Hall to be used for isolation facility during Pandemic</t>
  </si>
  <si>
    <t>20IE0099 - REPAIR/MAINTENANCE OF DAR BUILDING SAN ISIDRO AGRARIAN REFORM OFFICE BUILDING San Isidro, Leyte</t>
  </si>
  <si>
    <t>CONSTRUCTION OF THREE (3) – UNITS FARMER CENTERS AT BRGY. MERCED, BRGY.CARMELO &amp; BRGY.LIBERTAD, BANATE, ILOILO</t>
  </si>
  <si>
    <t>Supply and Delivery of Information Communication Technology (ICT) Equipments CY 2020</t>
  </si>
  <si>
    <t>PROCUREMENT OF CATERING SERVICES FOR THE 4TH LEVEL TRAINING OF 2020 CENSUS OF POPULATION AND HOUSING (2020 CPH) IN CARAGA REGION-SECOND BIDDING</t>
  </si>
  <si>
    <t>Supply and Delivery of Various Office Supplies</t>
  </si>
  <si>
    <t>For Fencing of Sitio Barangbang, Millan Water System</t>
  </si>
  <si>
    <t>CY 2020 Quick Response Fund Repair/Rehabilitation of Classrooms (Cluster 4 – Suqui ES, Guinobatan ES &amp; N. Aboboto MS)</t>
  </si>
  <si>
    <t>Concreting of Pathwalk in Brgy. Calugtugan, Dagami, Leyte, ABC PHP1,888,784.09</t>
  </si>
  <si>
    <t>TRANSFORMER OIL</t>
  </si>
  <si>
    <t>20IE0102 - REHABILITATION/IMPROVEMENT ALONG CABUNGAAN-TABUNOK-CONSUEGRA ROAD K1028+465-K1030+047; TABANGO-CATMON-LA FORTUNA-MANLAWAAN-GIMARCO ROAD K1038+810-K1040+783; CALUBIAN-SAN ISIDRO-TABANGO-VILL</t>
  </si>
  <si>
    <t>Extension/Construction of SLR Covered Court as Evacuation Center</t>
  </si>
  <si>
    <t>20FE0127 – CONSTRUCTION OF CLASSROOMS, SAN JUAN NATIONAL HIGH SCHOOL, LIBMANAN, CAMARINES SUR</t>
  </si>
  <si>
    <t>Supply and Delivery of Various Furniture and Fixtures for PRO IVA</t>
  </si>
  <si>
    <t>SUPPLY AND DELIVERY OF HOUSEHOLD PLATES</t>
  </si>
  <si>
    <t>Rehabilitation/ Improvement of Two (2) Storey 8 Classroom Academic Bldg. (Phase II) LSPU Siniloan Campus, Siniloan, Laguna</t>
  </si>
  <si>
    <t>Public Bidding for Engagement of Mailing Service for PRO IVA for CY 2020</t>
  </si>
  <si>
    <t>Construction of RHU Building</t>
  </si>
  <si>
    <t>Procurement of Consultancy Services (Firm) for the JJWC Knowledge Management Portal</t>
  </si>
  <si>
    <t>20AJ0105-Construction of Two (2) Storey Six (6) Classroom School Building, Balite Sur E/S, San Carlos City, Pangasinan</t>
  </si>
  <si>
    <t>Purchase of one (1) unit Multi-purpose vehicle</t>
  </si>
  <si>
    <t>(PVSO) 2ND INVITATION TO BID FOR THE SUPPLY AND DELIVERY OF VETERINARY MEDICAL SUPPLIES (VACUUM BLOOD COLLECTION TUBE, ETC.) FOR THE  PROVINCIAL VETERINARY SERVICES OFFICE--263,975.00</t>
  </si>
  <si>
    <t>Procurement of CONSULTING SERVICES</t>
  </si>
  <si>
    <t>Supply and Delivery of One (1) Unit Brand New 4x2 SUV</t>
  </si>
  <si>
    <t>RFQ2020-06-037_SUPPLY &amp; DELIVERY OF TWENTY-FIVE (25) PAILS CALCIUM HYPOCHLORITE GRANULES (45KGS. /PAIL, 70% CHLORINE CONTENT) FOR WATER TREATMENT USE</t>
  </si>
  <si>
    <t>Bid No. 20-0268 - PROCUREMENT OF FOOD SUPPLIES - MO/MPOC (CAFGU) FOR THE MONTH OF OCTOBER 2020</t>
  </si>
  <si>
    <t>Construction/Rehabilitation/Renovation of the Existing Capitol Building located at the Provincial Capitol Compound, Province of Laguna, Sta. Cruz, Laguna</t>
  </si>
  <si>
    <t>Supply and Delivery of General Medicines for Municipal Health Office</t>
  </si>
  <si>
    <t>PRINTER</t>
  </si>
  <si>
    <t>Bid No. 20-0266 - PROCUREMENT OF AGRICULTURAL EQUIPMENT - MENRO (DEVELOPMENT AND OPERATIONS OF ESWM-PARK)</t>
  </si>
  <si>
    <t>Purchase of Electrical Fixtures and Accessories</t>
  </si>
  <si>
    <t>Office Supplies of MHO</t>
  </si>
  <si>
    <t>CONSTRUCTION OF MULTI-PURPOSE HALL AT PEDRO SA BACULIO, EL SALVADOR CITY</t>
  </si>
  <si>
    <t>URBAN GREENING/LANDSCAPING BRGY SAN ISIDRO, BILIRAN, BILIRAN</t>
  </si>
  <si>
    <t>Construction of Camiguin Gymnasium, Poblacion, Mambajao, Camiguin</t>
  </si>
  <si>
    <t>Bid No. 20-0267 - PROCUREMENT OF FOOD SUPPLIES - MO/MPOC (CAFGU) FOR THE MONTH OF SEPTEMBER 2020</t>
  </si>
  <si>
    <t>Bid No. 20-0273 - PROCUREMENT OF CONSTRUCTION MATERIALS - MEO (CONSTRUCTION OF COVERED COURT - BRGY. TUPAS, MARAGUSAN, DAVAO DE ORO)</t>
  </si>
  <si>
    <t>Supply and Delivery of Inorganic Fertilizer</t>
  </si>
  <si>
    <t>REHAB OF BREAK WATER/SEAWALL BRGY SAN ROQUE, BILIRAN, BILIRAN</t>
  </si>
  <si>
    <t>Procurement and Installation/fabrication of Digital / Analog Repeater, Portable Handheld Radios, Base Station, Monopole Mast Tower, Lightning Arrrester Equipment and Concrete Communication Shelter</t>
  </si>
  <si>
    <t>20IE0103 - REPAIR/MAINTENANCE OF DOJ BUILDING HALL OF JUSTICE Brgy. Veloso, Calubian, Leyte</t>
  </si>
  <si>
    <t>Supply and Delivery of Farm Supplies and Equipment</t>
  </si>
  <si>
    <t>Bid No. 20-0271 - PROCUREMENT OF OFFICE SUPPLIES - MO/MTC</t>
  </si>
  <si>
    <t>PR 6.031  ITB TPB 2020-029 Janitorial Services for 6 months</t>
  </si>
  <si>
    <t>CONSTRUCTION OF BULLETIN BOARD AND SIGNAGES, BANATE, ILOILO</t>
  </si>
  <si>
    <t>Contract for the Improvement of Water System, Barangay Bobongon, Santo Tomas</t>
  </si>
  <si>
    <t>CONSTRUCTION/DEVELOPMENT OF SANITARY LANDFILL   Barangay Tubaran, Tubod, Lanao del Norte</t>
  </si>
  <si>
    <t>Supply and Delivery of Incubator</t>
  </si>
  <si>
    <t>Supply and Delivery of Distillation Set-up</t>
  </si>
  <si>
    <t>PROPOSED BRGY. SUNG-AN &amp; BRGY. SAN JOSE ECO-PARK DEVELOPMENT (PHASE 1)</t>
  </si>
  <si>
    <t>Construction Projects -Upgrading of Barangay Water System (Macalibre Alto)-MEO,Lopez Jaena</t>
  </si>
  <si>
    <t>Supply and Delivery of Information Education Campaign (IEC) Materials, Manuals, and Administrative Forms for the 2020 Census of Population and Housing (2020 CPH) of PSA Region 7 - Reposting</t>
  </si>
  <si>
    <t>Supply and Delivery of Heating Mantle</t>
  </si>
  <si>
    <t>Supply &amp; Delivery of Ten (10) Heads Pregnant Holstein X Jersey Heifers Crosses (50:50)</t>
  </si>
  <si>
    <t>Supply and Delivery of Waterbath</t>
  </si>
  <si>
    <t>Procurement of Various Swimming Pool Supplies</t>
  </si>
  <si>
    <t>Procurement of Trucking Services for the Intra-Regional Transfer of Grains of NFA Region XI for the Year 2020</t>
  </si>
  <si>
    <t>ITB No. GOP/20-DSWD-040 - PROVISION OF MULTI-YEAR CONTRACT FOR  SUBSCRIPTION TO A WATER TESTING AND ANALYSIS FOR THE WATER SUPPLY OF DSWD-CENTRAL OFFICE FOR CY 2020-2022</t>
  </si>
  <si>
    <t>20IE0104 - REPAIR/MAINTENANCE OF TABANGO FLOOD CONTROL Brgy. Poblacion, Tabango, Leyte</t>
  </si>
  <si>
    <t>Bid No. 20-0274 - PROCUREMENT OF CONSTRUCTION MATERIALS - MEO (CONSTRUCTION OF COVERED COURT - BRGY. TUPAS, MARAGUSAN, DAVAO DE ORO)</t>
  </si>
  <si>
    <t>PURCHASE AND DELIVERY OF CASSAVA GRATER AND DRESSER</t>
  </si>
  <si>
    <t>Procurement of  Volt Meter Data Logger</t>
  </si>
  <si>
    <t>Renovation of University Students Services Office</t>
  </si>
  <si>
    <t>Bid No. 20-0270 - PROCUREMENT OF OFFICE SUPPLIES - MHO (USE FOR HIV/AIDS/STD PROGRAM)</t>
  </si>
  <si>
    <t>20FE0128 – CONSTRUCTION OF CLASSROOMS, MANTALISAY ES, LIBMANAN, CAMARINES SUR</t>
  </si>
  <si>
    <t>Procurement of Moving Services</t>
  </si>
  <si>
    <t>Bid No. 20-0269 - PROCUREMENT OF OFFICE SUPPLIES - MO/RADIO ROOM SECTION</t>
  </si>
  <si>
    <t>20PC0060 CONCRETING OF BRGY. CADACLAN FMR, CADACLAN, CALANASAN, APAYAO</t>
  </si>
  <si>
    <t>Extension of Pan aw - Ballay FMR</t>
  </si>
  <si>
    <t>ROAD CONCRETING (LOCAL ACCESS ROAD FROM BARANGAY TABUNAN TO BARANGAY BAGACAY)</t>
  </si>
  <si>
    <t>IMPROVEMENT ALONG DINAMILI - TINALEB - ALTA FARM TO MARKET ROAD (TINALEB-ALTA SECTION)</t>
  </si>
  <si>
    <t>Procurement of Diesel Fuel-06-360(A)PGO</t>
  </si>
  <si>
    <t>IMPROVEMENT ALONG DINAMILI - TAKITAK - MOGAO FARM TO MARKET ROAD</t>
  </si>
  <si>
    <t>CONSTRUCTION OF EXTENSION OF MB/TODA TERMINAL</t>
  </si>
  <si>
    <t>IMPROVEMENT ALONG HIPITAN - BALLAY PROPER FARM TO MARKET ROAD</t>
  </si>
  <si>
    <t>IMPROVEMENT ALONG MINAC - PADAGAN FARM TO MARKET ROAD</t>
  </si>
  <si>
    <t>(PEO) 2ND INVITATION TO BID FOR THE SUPPLY AND DELIVERY OF CONSTRUCTION MATERIALS    FOR THE  PROVINCIAL ENGINEERING OFFICE (PEO)</t>
  </si>
  <si>
    <t>IMPROVEMENT ALONG TENEBTEB FARM TO MARKET ROAD, PHASE II</t>
  </si>
  <si>
    <t>IMPROVEMENT OF BESANG FARM TO MARKET ROAD</t>
  </si>
  <si>
    <t>CONSULTANCY SERVICES FOR THE CONDUCT OF FEASIBILITY STUDY, PLANNING AND STRUCTURAL DESIGN FOR THE CONSTRUCTION OF GABION DAM IN MOGPOG RIVER, BRGY. BOCBOC MARINDUQUE</t>
  </si>
  <si>
    <t>IMPROVEMENT OF ADAOAY PROPER POTABLE WATER SYSTEM</t>
  </si>
  <si>
    <t>IMPROVEMENT OF BATENGAN - APONAN FOOTPATH</t>
  </si>
  <si>
    <t>Supply of Labor, Equipment and Restoration Materials for the Installation, Testing and Commissioning of 300mm Dia. And 150mm Dia. Transmission Line Along Main Avenue, San Gabriel, Tuguegarao City Phas</t>
  </si>
  <si>
    <t>IMPROVEMENT OF TAWANGAN DAY CARE CENTER GROUNDS</t>
  </si>
  <si>
    <t>IMPROVEMENT OF PACSO BARANGAY HEALTH STATION</t>
  </si>
  <si>
    <t>Supply, Delivery and Installation of Furniture and Fixtures for Workstation of OVPRE-PCAARRD-IP-TBM SUSTAIN Project</t>
  </si>
  <si>
    <t>IMPROVEMENT OF TINALEB ELEMENTARY SCHOOL GROUNDS</t>
  </si>
  <si>
    <t>PURCHASE AND DELIVERY OF WATER PIPES</t>
  </si>
  <si>
    <t>Supply and Delivery of Agricultural Fishery Machineries and Equipment</t>
  </si>
  <si>
    <t>Construction and/or Repair/Rehabilitation of Multi Purpose Building, Brgy. Gonzales Poblacion, Pakil, Laguna</t>
  </si>
  <si>
    <t>Supply and Delivery of Misting Machine for Anti-Dengue(Brand New and Branded)</t>
  </si>
  <si>
    <t>Acquisition of One (1) Unit 4x4 Brand New Rescue Vehicle - Rebid</t>
  </si>
  <si>
    <t>SUPPLY OF FERTILIZER</t>
  </si>
  <si>
    <t>INSTALLATION OF EMERGENCY EXIT DOOR / PANTRY AT AGUS 7 CONTROL ROOM</t>
  </si>
  <si>
    <t>INVITATION TO BID for the Purchase of Seven (7) Units Vending Machine for OneStore Project</t>
  </si>
  <si>
    <t>IMPROVEMENT ALONG DANAS - IDIAN FARM TO MARKET ROAD</t>
  </si>
  <si>
    <t>IMPROVEMENT ALONG SADOL - APONAN FARM TO MARKET ROAD</t>
  </si>
  <si>
    <t>20GFC0020: Purchase of Office Supplies, DPWH-CNDEO Maintenance Section</t>
  </si>
  <si>
    <t>IMPROVEMENT OF COLONG MULTI-PURPOSE HALL (BUILDING 2)</t>
  </si>
  <si>
    <t>Construction Supervision and Management Consultancy Services for the Two (2) Storey Office Building With Records Room and Warehouse Located RGC Compound, Carig Sur, Tuguegarao City</t>
  </si>
  <si>
    <t>Contract ID No. 20NC0132 - Rehabilitation of Santa Josefa Public Memorial Park, Sta. Josefa, Agusan del Sur</t>
  </si>
  <si>
    <t>HFW: 1 LOT  FURNITURE AND FIXTURE FOR THE USE OF HOME FOR WOMEN.</t>
  </si>
  <si>
    <t>IMPROVEMENT OF UJOSAN FARM TO MARKET ROAD</t>
  </si>
  <si>
    <t>Contract ID No. 20NC0131 - Repair/Rehabilitation of Concrete Pavement (Reblocking of Pumping and Depression) along Daang Maharlika (Agusan – Davao Road)(See attached Station Limits)</t>
  </si>
  <si>
    <t>IMPROVEMENT OF BASHOY - NANBUSHUSAN FARM TO MARKET ROAD</t>
  </si>
  <si>
    <t>20GFC0019: Purchase of Brush Cutter, Blade, Piles and Accessories, DPWH-CNDEO Maintenance Section</t>
  </si>
  <si>
    <t>20GFC0018: Purchase of Paint for the Repainting of Bridges and Guardrails, DPWH-CNDEO Maintenance Section</t>
  </si>
  <si>
    <t>IMPROVEMENT ALONG BALANGABANG - LUHONG - PEGLEYTO FARM TO MARKET ROAD</t>
  </si>
  <si>
    <t>PRN 052-WORKTEXT 2020-LSB-GOODS-2020</t>
  </si>
  <si>
    <t>CONSTRUCTION OF SADENGSENGAN - SAWAY FARM TO MARKET ROAD, PHASE II</t>
  </si>
  <si>
    <t>20GFC0016: Purchase of Lakbay Alalay Uniform PPE for DPWH Budgetary Personnel, DPWH-CNDEO Maintenance Section</t>
  </si>
  <si>
    <t>Procurement of Supply, Delivery, Installation, Testing, Applications Training and Commissioning of Various Medical Equipment (Batch 3)</t>
  </si>
  <si>
    <t>PRN 006-MODULE NANAY TEACHER-LSB-GOODS-2020</t>
  </si>
  <si>
    <t>Supply and Delivery of Multi-Purpose Truck</t>
  </si>
  <si>
    <t>IMPROVEMENT OF LOWER BESOCOL FARM TO MARKET ROAD</t>
  </si>
  <si>
    <t>IMPROVEMENT OF TAAW FARM TO MARKET ROAD</t>
  </si>
  <si>
    <t>20AB0121: REPAIR/ REHABILITATION OF SLOPE PROTECTION ALONG ILOCOS NORTE - APAYAO ROAD AT K0517+817 TO K0517+842</t>
  </si>
  <si>
    <t>20AG0131-Construction of Modified Standard Two-Storey (6 Classrooms) School Building AT Barlo Integrated School, Mabini, Pangasinan</t>
  </si>
  <si>
    <t>CY 2020 Quick Response Fund /Rehabilitation of Classrooms (Cluster 3 – Masipit ES, Tawagan ES)</t>
  </si>
  <si>
    <t>IMPROVEMENT  ALONG MINAC - BATOAN FARM TO MARKET ROAD</t>
  </si>
  <si>
    <t>Supply and Delivery of Maintenance Medicines for Municipal Health Office</t>
  </si>
  <si>
    <t>Construction of Perimeter Fence-Brgy. Lekep-Butao, San Fabian, Pangasinan</t>
  </si>
  <si>
    <t>20GFC0017: Purchase of Cold Mix Asphalt Materials, DPWH – CNDEO Maintenance Section</t>
  </si>
  <si>
    <t>THE SUPPLY AND DELIVERY OF ONE (1) UNIT ASIAN UTILITY VEHICLE (AUV) (RE-BID)</t>
  </si>
  <si>
    <t>CONSTRUCTION OF DRAINAGE CANAL AT SITIO ASOKONG</t>
  </si>
  <si>
    <t>CONSTRUCTION OF DRAINAGE CANAL AT SITIO CHALEKONG</t>
  </si>
  <si>
    <t>Supply, Printing and Delivery of PERRC</t>
  </si>
  <si>
    <t>PROCUREMENT OF HYGIENE KIT AND OTHER FOR KINDER LEARNER OF AGUTAYA</t>
  </si>
  <si>
    <t>Contract ID No.: 20OE0202 - Completion of Four (4) Storey Eight (8) Classroom School Building at Andres Bonifacio Elementary School (Based on 2017 Plan, Revised 3-24-17)</t>
  </si>
  <si>
    <t>IMPROVEMENT OF MUNICIPAL MATERIALS RECOVERY FACILITY POTABLE WATER SYSTEM</t>
  </si>
  <si>
    <t>Contract ID No.: 20OE0203 - Construction of Four (4) Storey Twelve (12) Classroom School Building at P. Guevarra Elementary School, Manila City (Based on 2017 Plan, Revised 3-24-17)</t>
  </si>
  <si>
    <t>IMPROVEMENT ALONG BESANG - PACSO ACCESS ROAD</t>
  </si>
  <si>
    <t>CONSTRUCTION OF PACSO PROPER - DAKET ACCESS ROAD</t>
  </si>
  <si>
    <t>IMPROVEMENT ALONG PONGIL ACCESS ROAD, PHASE II</t>
  </si>
  <si>
    <t>20AG0130-Construction of Modified Standard Two-Storey (6 Classrooms) School Building AT Magsaysay ES, Alaminos City, Pangasinan</t>
  </si>
  <si>
    <t>IMPROVEMENT OF COLONG - AKIKIAN ACCESS ROAD, PHASE II</t>
  </si>
  <si>
    <t>CONSTRUCTION OF ASO-PAC ELEMENTARY SCHOOL ANNEX ACCESS ROAD</t>
  </si>
  <si>
    <t>Proposed Construction of Level 1 Potable Water Supply System  (2nd Publication)</t>
  </si>
  <si>
    <t>MG-ISD20-030</t>
  </si>
  <si>
    <t>Upgrading &amp; Modernization Thru Automation of Kapingkong Dam (Electrical &amp; Mechanical Aspects), Package #14 for the Rehabilitation and Improvement of Lambayong River Irrigation System</t>
  </si>
  <si>
    <t>CONTRUCTIONOF BEKES - BARAO - TOJAKAP- BODAKI ACCESS ROAD</t>
  </si>
  <si>
    <t>Contract ID No. 20NC0133 - Expansion of Rosario Public Cemetery, Rosario, Agusan del Sur</t>
  </si>
  <si>
    <t>CONSTRUCTION OF IRRIGATION FACILITIES - STA MARIA, MALAGGA, ADAMS, ILOCOS NORTE</t>
  </si>
  <si>
    <t>Supply &amp; Delivery of 1 unit Global Navigation Satellite System (GNSS) Satellite Signal Tracked Simultaneously Specification for K2MIPP</t>
  </si>
  <si>
    <t>Invitation to Bid for Procurement of Microwave Digestion System 968f-REFERENCE # 2020-06-03</t>
  </si>
  <si>
    <t>Contract ID No.: 20OE0206 - Construction of Four (4) Storey Twenty (20) Classroom School Building at Francisco Balagtas Elementary School (Based on 2018 Plan)</t>
  </si>
  <si>
    <t>Contract ID No.: 20OE0205 - Construction of Four (4) Storey Sixteen (16) Classroom School Building at Mariano Ponce Elementary School  (Based on 2017 Plan, Revised 3-24-17)</t>
  </si>
  <si>
    <t>(PT &amp; KMH) INVITATION TO BID FOR THE SUPPLY &amp; DELIVERY OF DESKTOP COMPUTERS, LAPTOP, ETC. FOR THE  PROVINCIAL TREASURY &amp; KASIBU MUNICIPAL HOSPITAL--290,000.00</t>
  </si>
  <si>
    <t>CONSTRUCTION OF HANDRAILS AT CHALEKONG</t>
  </si>
  <si>
    <t>CONSTRUCTION OF SOLAR DRYER</t>
  </si>
  <si>
    <t>CONSTRUCTION OF HANDRAILS AT ASOKONG</t>
  </si>
  <si>
    <t>CONSTRUCTION OF FOOTPATH AT BANGAO RESIDENTIAL (PHASE II)</t>
  </si>
  <si>
    <t>(PVSO) INVITATION TO BID FOR THE SUPPLY AND DELIVERY OF RABIES VACCINE,  HOG CHOLERA VACCINE, ETC.) FOR THE  PROVINCIAL VETERINARY SERVICES OFFICE--262,545.00</t>
  </si>
  <si>
    <t>IMPROVEMENT ALONG LOWER TA-AW FMR</t>
  </si>
  <si>
    <t>IMPROVEMENT OF MUNICIPAL NURSERY</t>
  </si>
  <si>
    <t>CONSTRUCTION OF TAWANGAN PROPER - SPRING CONCRETE CANAL</t>
  </si>
  <si>
    <t>Procurement of School Furniture’s and Fixtures for the identified Schools of the Division Office of Pagadian City</t>
  </si>
  <si>
    <t>IMPROVEMENT ALONG PINANCHAY - TIKET FOOTPATH</t>
  </si>
  <si>
    <t>IMPROVEMENT ALONG PROPER BASHOY - NAYBALIW FOOTPATH</t>
  </si>
  <si>
    <t>IMPROVEMENT OF BANENGBENG FMR</t>
  </si>
  <si>
    <t>Contract ID No.: 20OE0204 - Construction of Four (4) Storey Twelve (12) Classroom School Building at Laon Laan  Elementary School  (Based on 2017 Plan, Revised 3-24-17)</t>
  </si>
  <si>
    <t>20GO0102 - 71X-SPECIAL MAINTENANCE (INSTALLATION OF ROAD SAFETY FACILITIES ALONG BACOLOD CITY NATIONAL ROADS), BACOLOD CITY</t>
  </si>
  <si>
    <t>CONSTRUCTION OF OPEN DRAINAGE CANAL AT SOYSOYAN (PHASE II)</t>
  </si>
  <si>
    <t>CONSTRUCTION OF PUBLIC MARKET BASEMENT ACCESS ROAD</t>
  </si>
  <si>
    <t>TUGUEGARAO AIRPORT DEVELOPMENT PROJECT (Expansion of Apron)</t>
  </si>
  <si>
    <t>1ST POSTING MEDICAL AND DENTAL PROJECT WINS SUPPLIES</t>
  </si>
  <si>
    <t>Purchase of 4x4 Service Vehicle for Monitoring of GAD Programs and Services</t>
  </si>
  <si>
    <t>Construction of Community Health Care Center (Phase 1)</t>
  </si>
  <si>
    <t>HFW : 1 LOT  VEGETABLE SUPPLIES  FOR THE CONSUMPTION OF HFW CLIENT FOR 2nd SEMESTER OF 2020</t>
  </si>
  <si>
    <t>PURCHASE OF BRAND NEW AMBULANCE</t>
  </si>
  <si>
    <t>1ST IMPROVEMENT OF HANDWASHING AREA</t>
  </si>
  <si>
    <t>HFW: 1 LOT FROZEN GOODS OF HFW CLIENT FOR 2nd SEM OF 2020.</t>
  </si>
  <si>
    <t>ROUTE SURVEY ON LOT TRAVERSED FROM CABUDWAN TO HINUGTAN ROAD</t>
  </si>
  <si>
    <t>Supply and Delivery of Labor and Materials, and Provision of Service for the Renovation of the DTI-CITE 2020</t>
  </si>
  <si>
    <t>Retrofitting of GHQ Building (5th Rebidding)</t>
  </si>
  <si>
    <t>1ST POSTING OF SUPPLIES AND MATERIALS FOR MODULE REPRODUCTION</t>
  </si>
  <si>
    <t>100-2020-06-766 Supply and delivery of carburandum size 1x2x8inches,etc</t>
  </si>
  <si>
    <t>Invitation to Bid Construction of Multi-Purpose Building</t>
  </si>
  <si>
    <t>PROCUREMENT OF MOTOR VEHICLES</t>
  </si>
  <si>
    <t>HFW: 1 LOT PERSONAL EFFECTS	 FOR THE CLIENT AT HOME FOR WOMEN 2nd SEMESTER 2020.</t>
  </si>
  <si>
    <t>Proposed Drainage and Pathway</t>
  </si>
  <si>
    <t>Establishment of Sari-sari Store and General Merchandising</t>
  </si>
  <si>
    <t>IMPROVEMENT ALONG ABUYON - IDIAN FOOTPATH</t>
  </si>
  <si>
    <t>Procurement of Various Printed Materials, DSW-PR 690</t>
  </si>
  <si>
    <t>CONCRETING OF BARANGAY ROAD PHASE 2</t>
  </si>
  <si>
    <t>(20CSNH05) Consulting Services for the Conduct of Soil Explor. &amp;/Or Geotech'l Investigation in Prep. of the Prelim. &amp; Det. Eng'g of Prop. Various FY 2021 Reg Infra Projects(Package 3)Madrid,Tandag,Tag</t>
  </si>
  <si>
    <t xml:space="preserve">(20CSNH04) Consulting Services for the Conduct of Soil Exploration &amp;/Or Geotech'l Invest'n in Prep. of the Prelim &amp; Det. Eng'g of Prop. Various FY 2021 Reg. Infras. Proj. (Package 2)Tago, Surigao del </t>
  </si>
  <si>
    <t>20CSA006: Geotechnical and Geological Survey (Soil Boring Exploration) of Various Buildings in Region I (Package 2)</t>
  </si>
  <si>
    <t>20CSA005: Geotechnical and Geological Survey (Soil Boring Exploration) of Various Buildings in Region I (Package 1)</t>
  </si>
  <si>
    <t>1ST internet connection</t>
  </si>
  <si>
    <t>Procurement of Various Office Supplies, DSW-PR-742</t>
  </si>
  <si>
    <t>100-2020-01-130 Supply and delivery of 2 units mini bus-aircon</t>
  </si>
  <si>
    <t>100-2020-03-496 Supply and delivery of 4 units 4 wheel drive diesel tractor with trailing harrow (20x24),etc</t>
  </si>
  <si>
    <t>100-2020-03-497 Supply and delivery of 4 units trailing harrow (20x24)</t>
  </si>
  <si>
    <t>100-2020-06-738 Supply and delivery of gasoline and diesel</t>
  </si>
  <si>
    <t>100-2020-06-779 Supply and delivery of diesel</t>
  </si>
  <si>
    <t>COMPLETION OF EVACUATION CENTER</t>
  </si>
  <si>
    <t>20F00107 - Local Program – National Roads and Bridges – National Roads – Local Infrastructure Program – Rehabilitation/Reconstruction of National Roads with Slips, Slope Collapsed and Landslide Andaya</t>
  </si>
  <si>
    <t>100-2020-06-745 Supply and delivery of gasoline and diesel</t>
  </si>
  <si>
    <t>Supply and Installation of Public Address System</t>
  </si>
  <si>
    <t>100-2020-06-783 Supply and delivery of gasoline and diesel</t>
  </si>
  <si>
    <t>Emergency Purchase o in response to covid19 dswd Office 30A</t>
  </si>
  <si>
    <t>Repair and Improvement of Rockefeller #4 &amp; #5 at PhilRice Central Experiment Station (PB Infra 20-02-03)</t>
  </si>
  <si>
    <t>1 lot  Project Billboard - Construction of City Health Office Phase III (06-0631) CMO</t>
  </si>
  <si>
    <t>20GK0223 - Repair/Maintenance of Flood Control System at Sangay Bridge, Silay Lantawan Road, S00028NR, K0032+339</t>
  </si>
  <si>
    <t>(20CSNH03)Consulting Services for the Conduct of Soil Explor. And/Or Geotech. Investigation in Prep. of the Prelim. &amp; Det. Eng'g of Prop. Various FY 2021 Reg. Infras Proj(Package 1)Cantilan, Carmen &amp;</t>
  </si>
  <si>
    <t>20GK0222 - Repair/Maintenance of Flood Control and Drainage Structures of Umapog River along Bacolod North Road, Cadiz City, Negros Occidental, K0058+279 - K0058+304</t>
  </si>
  <si>
    <t>Disaster Response and Rescue Equipment for Emergency Response Operations of the Provincial Disaster Risk Reduction Management Office (PDRRMO)</t>
  </si>
  <si>
    <t>Emergency Purchase in resp to covid19 mayor's off</t>
  </si>
  <si>
    <t>Emergency Purchase o in response to covid19 RHU Office</t>
  </si>
  <si>
    <t>Supply and Delivery of Water Meters</t>
  </si>
  <si>
    <t>ITB No. GOP/20-DSWD-038 - Provision of Multi-Year Contract for the Hiring of Service Provider for the Termite Treatment and General Pest Control of DSWD - Central Office and Other Satellite Offices</t>
  </si>
  <si>
    <t>Contract ID: 20- 06 - 087 - PROCUREMENT OF LABORATORY SUPPLIES</t>
  </si>
  <si>
    <t>Proposed repair/rehabilitation of road including construction of drainage at Brgy. San Gabriel, San Pablo City.</t>
  </si>
  <si>
    <t>Supply/Delivery of One (1) Unit Police Patrol Car (20-06-0617)</t>
  </si>
  <si>
    <t>INSTALLATION OF TRANSFORMER WITH METERING ACCESSORIES AND MAIN CABLE AT CUYO DISTRICT HOSPITAL (MUNICIPALITY OF CUYO, PALAWAN)</t>
  </si>
  <si>
    <t>CONSTRUCTION OF SEWAGE TREATMENT PLANT (BATARAZA DISTRICT HOSPITAL BATARZA, PALAWAN)</t>
  </si>
  <si>
    <t>Phase VI Procurement of ICT Hardware and Equipment for Enhancement of Information and Communication Technology Information and Communication Technology Infrastructure in the Freeport Area of Bataan (F</t>
  </si>
  <si>
    <t>Construction of 13.8KV Underground Cabling System including SUpply and Installation of Metal Clad Switching Panels (Outdoor Type) Stage1</t>
  </si>
  <si>
    <t>PB-PROCUREMENT OF ONE (1) UNIT 2D-ECHO MACHINE ITB No. 2020-11</t>
  </si>
  <si>
    <t>HIRING FOR TWO (2) SECURITY GUARD</t>
  </si>
  <si>
    <t>installation of 15 units streetlights at zone 2-4</t>
  </si>
  <si>
    <t>CONSTRUCTION OF PERIMETER FENCE IN QUEZON MEDICARE HOSPITAL (MUNICIPALITY OF QUEZON, PALAWAN)</t>
  </si>
  <si>
    <t>Emergency Purchase o in response to covid19 RHU Office 28A</t>
  </si>
  <si>
    <t>PB-PROCUREMENT OF ENT EQUIPMENT &amp; INSTRUMENTS ITB No. 2020-12</t>
  </si>
  <si>
    <t>Contract ID: 20- 06 - 086- PROCUREMENT OF MOTOR PARTS VEHICLE &amp; ACCSSORIES AND FUEL, OIL &amp; LUBRICANTS</t>
  </si>
  <si>
    <t>Provision of Security Services for Technical Education and Skills Development Authority-XI (TESDA XI)</t>
  </si>
  <si>
    <t>IMPROVEMENT OF TAWANGAN PROPER - BALAT FARM TO MARKET ROAD</t>
  </si>
  <si>
    <t>CONSTRUCTION OF SEWAGE TREATMENT PLANT (EL NIDO COMMUNITY HOSPITAL, EL NIDO, PALAWAN)</t>
  </si>
  <si>
    <t>Supply and Delivery of Garbage Truck for various Barangays of San Pablo City.</t>
  </si>
  <si>
    <t>Blue Guard Security Services</t>
  </si>
  <si>
    <t>Purchase of Materials for the improvement of Level II Water System</t>
  </si>
  <si>
    <t>CLUSTER 1, 2, 3 and 4 - TEMPORARY LEARNING SPACE</t>
  </si>
  <si>
    <t>Supply and Delivery of Air Release Valves, Butterfly and Gate Valves Requirement of the SMWD for CY 2020</t>
  </si>
  <si>
    <t>Purchase of Materials for Concreting of Concrete Pavement Drier</t>
  </si>
  <si>
    <t>CONCRETING OF ROAD LEADING TO WOMEN AND CHILDREN CRISIS AND DEVELOPMENT CENTER (WCCDC), SAN JOSE</t>
  </si>
  <si>
    <t>Multi Purpose Vehicle etc. (06-0640)CMO</t>
  </si>
  <si>
    <t>CONCRETING OF ACCESS ROAD, PUROK 1 TO PUROK 4, LLAMERA, LIBJO</t>
  </si>
  <si>
    <t>Acquisition of Municipal Equipment for Engineering Office (other Machinery and Equipment)</t>
  </si>
  <si>
    <t>Purchase of Materials for the Construction of Waiting at Purok Domingo, Sudlon, Molave, Zamboanga del Sur</t>
  </si>
  <si>
    <t>SUPPLY &amp; DELIVERY OF MATERIALS FOR SERVICE LINE OF NWSS CONSUMERS FOR WATER CONNECTIONS</t>
  </si>
  <si>
    <t>CONSTRUCTION OF POTABLE WATER SYSTEM, NEW NAZARETH, BASILISA</t>
  </si>
  <si>
    <t>CONSTRUCTION OF POTABLE WATER SYSTEM, SERING, BASILISA</t>
  </si>
  <si>
    <t>Project A Rabies Vaccine</t>
  </si>
  <si>
    <t>PROCUREMENT OF 3 UNITS OF ELECTRICAL DISTRIBUTION TRANSFORMER, 100 KVA</t>
  </si>
  <si>
    <t>PURCHASE OF ECG MACHINE</t>
  </si>
  <si>
    <t>CONCRETING OF PROVINCIAL ROAD (PAMOQS SECTION)</t>
  </si>
  <si>
    <t>CONSTRUCTION OF RIVERBANK STABILIZATION-REVETMENT, Valladolid, Loboc, Bohol</t>
  </si>
  <si>
    <t>CONSTRUCTION OF SEWAGE TREATMENT PLANT (NARRA MUNICIPAL HOSPITAL, NARRA, PALAWAN)</t>
  </si>
  <si>
    <t>CONSTRUCTION OF POTABLE WATER SYSTEM, (Sitio Melody, Sitio Payo-Payo, Sitio Katipunan and Sitio Botong), SAN ANTONIO, LIBJO</t>
  </si>
  <si>
    <t>Project C- IEC Materials</t>
  </si>
  <si>
    <t>Emergency Purchase in response to covid19 dswd Office 31A</t>
  </si>
  <si>
    <t>Project B Drugs and Medicines</t>
  </si>
  <si>
    <t>Supply &amp; Delivery of Materials for the Improvement of Multi Purpose Building</t>
  </si>
  <si>
    <t>Supply &amp; Delivery of Materials for the Installation of Streetlight (SAN DIONISIO)</t>
  </si>
  <si>
    <t>Construction of Multi-Purpose Drying Pavement</t>
  </si>
  <si>
    <t>20BD0130 – CONSTRUCTION OF TWO (2) STOREY SIX (6) CLASSROOM, DASSUN ELEMENTARY SCHOOL, SOLANA, CAGAYAN</t>
  </si>
  <si>
    <t>20CSHL0001 - Consulting Services for the conduct of Geotechnical Investigation for Widening of Permanent Bridges along Dumaguete South Road:</t>
  </si>
  <si>
    <t>Construction of Seawall</t>
  </si>
  <si>
    <t>Emergency Purchase o in response to covid19 dswd Office 33A</t>
  </si>
  <si>
    <t>PROCUREMENT OF ONE (1) UNIT WATER PUMP FOR PNR EXECUTIVE BUILDING WATER PUMP CIRCUIT USE</t>
  </si>
  <si>
    <t>Procurement of the following service vehicles-B-20-0191</t>
  </si>
  <si>
    <t>Supply and Delivery of Construction Materials for Improvement of Multi-Purpose Building</t>
  </si>
  <si>
    <t>IPH-20-0166-B - PURCHASE OF MEDICAL OXYGEN</t>
  </si>
  <si>
    <t>Purchase &amp; Delivery of One (1) Unit Service Utility Vehicle for PGO</t>
  </si>
  <si>
    <t>RENTAL / LEASE OF 180 UNITS OF DESKTOP COMPUTERS (6 MONTHS) CY 2020</t>
  </si>
  <si>
    <t>CONSTRUCTION OF MULTI-PURPOSE COVERED COURT AT BRGY. NAG-IBA, MABINI, BATANGAS</t>
  </si>
  <si>
    <t>For the installation of 50 kva transfromer</t>
  </si>
  <si>
    <t>Purchase &amp; Delivery of One (1) Unit Ambulance  for DCMMH</t>
  </si>
  <si>
    <t>Purchase &amp; Delivery of One (1) Unit Service Utility Vehicle for PGSO</t>
  </si>
  <si>
    <t>20GN0091-Repair/Maintenance of DPWH Building, DPWH Field Office Laboratory &amp; Living Quarters Buildings at Brgy. Lag-asan, Bago City, Negros Occidental</t>
  </si>
  <si>
    <t>Supply and Delivery of Construction Materials for the Repair of ENS MAJINI Pier Phase-III</t>
  </si>
  <si>
    <t>CONSTRUCTION OF EVACUATION/MULTI-PURPOSE COVERED COURT (PHASE 1) AT BRGY. MAJUBEN, MABINI, BATANGAS</t>
  </si>
  <si>
    <t>COMPLETION OF ULBUJAN MULTIPURPOSE COVERED COURT (EQUIPMENT ONLY) - ULBUJAN, CALAPE, BOHOL</t>
  </si>
  <si>
    <t>The Supply and Delivery of Isolation Gate Valves and Fittings for Air Scouring Implementation</t>
  </si>
  <si>
    <t>IMPROVEMENT OF DRAINAGE SYSTEM AT GUIJO ROAD</t>
  </si>
  <si>
    <t>Procurement and Delivery of Construction Supplies and Materials for the Concreting of San Isidro-Kibalus Road</t>
  </si>
  <si>
    <t>Purchase of One (1) Unit Brand New Garbage Compactor</t>
  </si>
  <si>
    <t>Procurement of Trendmicro Interscan Messaging Security License Renewal</t>
  </si>
  <si>
    <t>CONCRETING OF PUROK 1, MALTANA ROAD</t>
  </si>
  <si>
    <t>Procurement of 400 pieces Water Meter for New Connections and Change Meter</t>
  </si>
  <si>
    <t>CONSTRUCTION/IMPROVEMENT OF MULTI-PURPOSE HALL AT BRGY. POBLACION, MABINI, BATANGAS</t>
  </si>
  <si>
    <t>Repair/Maintenance/Rehabilitation of DOF-BIR Makati, Senator Gil Puyat Ave., Makati City, Metro Manila</t>
  </si>
  <si>
    <t>Repair/Maintenance of DOTR Building, LTO Building, Parañaque City, Metro Manila</t>
  </si>
  <si>
    <t>Procurement of 4 unit meter tap, 10 meter etc. for use in the Planning &amp; Design Section</t>
  </si>
  <si>
    <t>Repair/Maintenance of DPWH Metro Manila II District Engineering Office, Sub-Office, Sucat Road, Parañaque City, Metro Manila</t>
  </si>
  <si>
    <t>PROCUREMENT OF ONE (1) UNIT BRAND NEW AMBULANCE (RE-BID)</t>
  </si>
  <si>
    <t>Procurement of 2 Units Floor Mounted Aircon for the Use of PDRRMO</t>
  </si>
  <si>
    <t>Procurement and Delivery of ICT and Office Equipment and Furniture and Fixture to Various Offices</t>
  </si>
  <si>
    <t>Emergency Purchase o in response to covid19 dswd Office 34A</t>
  </si>
  <si>
    <t>Installation of Street Lighting at 60 Poles per Barangay at Bahay, Lindogon, Tubod &amp; Simala, Sibonga, Cebu</t>
  </si>
  <si>
    <t xml:space="preserve">20NF0068:CONSTRUCTION OF RWCS (2020 CLUSTER)_Re-Ad A.	CONSTRUCTION OF RWCS @ STA. PAZ PRIMARY SCHOOL, BRGY. STA. PAZ, SAN ISIDRO, SURIGAO DEL NORTE B.	CONSTRUCTION OF RWCS @ PELAEZ ELEMENTARY SCHOOL, </t>
  </si>
  <si>
    <t>GOODS 2020-06-0005 PURCHASE OF TRANSPORT VEHICLE (AMBULANCE)</t>
  </si>
  <si>
    <t>PEST CONTROL OUTSOURCING SERVICE</t>
  </si>
  <si>
    <t>Procurement of Medicines and Medical Supplies for ILHZ Medical and Dental Activities</t>
  </si>
  <si>
    <t>Supply and Delivery of Cast Iron (CI) and Ductile Iron (DI) Fittings Requirements of the SMWD for CY 2020</t>
  </si>
  <si>
    <t>CONTINUATION FOR THE CONCRETING OF THE ACCESS ROAD TO SANITARY LANDFILL, BALANTOY</t>
  </si>
  <si>
    <t>Construction of Rainwater Collector System (RWCS), Parañaque City, Metro Manila</t>
  </si>
  <si>
    <t>Procurement of 5 cart toner, Black, Epson 9731 etc. for use in the Planning &amp; Design Section</t>
  </si>
  <si>
    <t>Bid No. 20-0283 - PROCUREMENT OF OFFICE EQUIPMENT - MO/RADIO ROOM SECTION</t>
  </si>
  <si>
    <t>CONSTRUCTION/REHABILITATION/IMPROVEMENT OF MABINI COVERED COURT (PHASE 3) AT POBLACION, MABINI, BATANGAS</t>
  </si>
  <si>
    <t>Supply and Delivery of Construction Materials for the Rehabilitation of CAPT SUAREZ Pier</t>
  </si>
  <si>
    <t>RFQ PR No. 2020-06-065 (Re-Advertised) Purchase of Fuel and Lubricants of Service Vehicles and Equipment for the month of July - September CY 2020</t>
  </si>
  <si>
    <t>Installation of Closed Circuit Television</t>
  </si>
  <si>
    <t>Procurement and Delivery of Construction Supplies and Materials for the Concreting of Cesar-Calawag Road</t>
  </si>
  <si>
    <t>Construction Of Open Line Canal</t>
  </si>
  <si>
    <t>20AA0349 - REPAINTING/MAINTENANCE OF MANGATO BRIDGE (B02760LZ) K0485+339 ALONG LAOAG-BALACAD ROAD AND SAN MATEO BRIDGE (B00769LZ) K0492+207 ALONG LAOAG-SARRAT-PIDDIG-SOLSONA ROAD, LAOAG CITY, ILOCOS N</t>
  </si>
  <si>
    <t>Purchase of Passenger Van</t>
  </si>
  <si>
    <t>Supply &amp; Delivery of Materials for the  Construction of Washing Area and Kitchen and Installation of Portable Handwashing Facility</t>
  </si>
  <si>
    <t>Construction of Multi-Purpose Hall Barangay Dulangan</t>
  </si>
  <si>
    <t>CONTRACT ID: 20-06-089 = PROCUREMENT OF HARDWARE AND CONSTRUCTION SUPPLIES (EXPANSION OF DOH-ZP-CHD WAREHOUSE)</t>
  </si>
  <si>
    <t>Repair/Maintenance of DILG Building, NAPOLCOM Building, Makati City, Metro Manila</t>
  </si>
  <si>
    <t>(SBMA-BAC-GOODS-ITB-08-20) Supply and Delivery of Various Office Supplies</t>
  </si>
  <si>
    <t>Supply of one (1) unit Multi-parameter Meter</t>
  </si>
  <si>
    <t>CONSTRUCTION OF BARANGAY HEALTH STATION (BARANGAY LOS ANGELES, MAGSAYSAY, PALAWAN)</t>
  </si>
  <si>
    <t>Emergency Purchase o in response to covid19 mdrrm Office 35A</t>
  </si>
  <si>
    <t>Supply &amp; Delivery of Materials for the  Concrete Pavement and Repair of Drainage Canal –  Puerto Galera National High School</t>
  </si>
  <si>
    <t>Supply &amp; Delivery of Materials for the  Repair of School Building – Villaflor Elementary School</t>
  </si>
  <si>
    <t>FOR MBO USED</t>
  </si>
  <si>
    <t>Bid No. 20-0282 - PROCUREMENT OF VEHICLE - SB/LEGISLATIVE OFFICE</t>
  </si>
  <si>
    <t>Procurement of one unit Emergency Rescue Vehicle</t>
  </si>
  <si>
    <t>Improvement of Brgy. Multipurpose Building, Brgy. Ninoy Aquino City (AIP 2020)</t>
  </si>
  <si>
    <t>Construction of Mati Creek Verdant Wall</t>
  </si>
  <si>
    <t>(SBMA-BAC-GOODS-ITB-12-20) SERVICES AND MATERIALS FOR THE SUPPLY, DELIVERY AND INSTALLATION OF PREMIUM QUALITY FABRIC WINDOW COMBI-BLINDS AT VARIOUS SBMA OFFICE BUILDINGS</t>
  </si>
  <si>
    <t>Healthy Lifestyle (Provision of Total Blood Chemistry to all LGU Employee</t>
  </si>
  <si>
    <t>Procurement of Sound System</t>
  </si>
  <si>
    <t>Supply and Delivery of Filling Materials (Phase 2) for Municipal Site Development, Lavezares N. Samar</t>
  </si>
  <si>
    <t>Bid No. 20-0318 - PROCUREMENT OF AGRICULTURAL PRODUCTS (SEEDLINGS) - MENRO/ ESTABLISHMENT OF ROAD GREENBELT</t>
  </si>
  <si>
    <t>Emergency Purchase in response to covid19 V.Mayor Office 36A</t>
  </si>
  <si>
    <t>Watchman Services (March 2020-Dec.2020)</t>
  </si>
  <si>
    <t>Streetlighting Project Along Provincial Road</t>
  </si>
  <si>
    <t>LAPTOP USE AT THE OFFICE OF THE MUNICIPAL CIVIL REGISTRAR</t>
  </si>
  <si>
    <t>Supply and Delivery of HDPE Tubing and Plastic Fitting Requirements of the SMWD for CY 2020</t>
  </si>
  <si>
    <t>CONSTRUCTION OF ONE(1) UNIT GPG-TYPE SCHOOL BUILDING AS SAN ISIDRO E/S -057</t>
  </si>
  <si>
    <t>for RHU Consultation</t>
  </si>
  <si>
    <t>PURCHASE AND DELIVERY OF EQUIPMENT FOR IMPLEMENTATION OF DA-BAR PROMOTION OF RECOMMENDED RICE VARIETIES PROJECT</t>
  </si>
  <si>
    <t>PORTABLE SPEAKER</t>
  </si>
  <si>
    <t>REHABILITATION OF MAGBABADIL BRIDGE I (BGY. MABINI, ABORLAN, PALAWAN)</t>
  </si>
  <si>
    <t>HO-ETD20-001 - Supply and Delivery of Toner Cartridge for Fuji Xerox Docuprint</t>
  </si>
  <si>
    <t>PROCUREMENT AND DELIVERY OF ICT EQUIPMENT FOR TOURISM OFFICE, MENR OFFICE &amp; OMM-SLAUGHTERHOUSE</t>
  </si>
  <si>
    <t>BUNDY CLOCK</t>
  </si>
  <si>
    <t>Proposed Road Concreting in Sitio Ocao - Barangay Takay, Sogod, Cebu</t>
  </si>
  <si>
    <t>EXPENSES   ON  UGNAYAN SA BARANGAY; SPECIAL LAW MEDICAL AND DENTAL MISSION, TRAINING SEMINAR  OF BARANGAY TANOD,MONTHLY MEETING OF ADAC/MADAC/BARANGAY VISITATION</t>
  </si>
  <si>
    <t>Proposed Road Concreting in Sitio Bontilao - Liki, Sogod, Cebu</t>
  </si>
  <si>
    <t>Emergency Purchase in response to covid19 RHU Office 37A</t>
  </si>
  <si>
    <t>Upgrading of Lampitak Potable Water System</t>
  </si>
  <si>
    <t>Procurement and Delivery of Construction Supplies and Materials for the Construction of  Drainage</t>
  </si>
  <si>
    <t>FURNISHING OF LABOR AND MATERIALS FOR THE REPAIR OF AGUS 6      NATURE'S PARK SPRING WATERPIPE</t>
  </si>
  <si>
    <t>Improvement of Barangay Health Station as Medical Facilities and Quarantine Area</t>
  </si>
  <si>
    <t>Supply of 30 lb Packing 3/8"</t>
  </si>
  <si>
    <t>Supply of 48 pieces Mechanical Shaft Seal (single spring)</t>
  </si>
  <si>
    <t>Replacement of Balulan Bridge along Manapla Punta Balulan Road, Manapla, Neg. Occ. PEO-2020-0722</t>
  </si>
  <si>
    <t>SUPPLY AND DELIVERY OF FUEL, OIL AND LUBRICANTS FOR THE REHABILITATION/ IMPROVEMENT OF LOCAL ROADS, MUNICIPAL WIDE ROXAS, PALAWAN</t>
  </si>
  <si>
    <t>Supply of 20 lb Packing 1/2"</t>
  </si>
  <si>
    <t>(SBMA-BAC-GOODS-ITB-11-20) SERVICES AND MATERIALS FOR THE INSTALLATION OF AUDIOVISUAL EQUIPMENT AT THE BOARDROOM</t>
  </si>
  <si>
    <t>SUPPLY, DELIVERY, INSTALLATION AND COMMISSIONING OF VARIOUS MEDICAL EQUIPMENT (HFEP)</t>
  </si>
  <si>
    <t>CONSTRUCTION OF BARANGAY HEALTH STATION (BARANGAY LAGAORIAO, CUYO, PALAWAN)</t>
  </si>
  <si>
    <t>REPRESENTATION  EXPENSES OF THE MAYOR</t>
  </si>
  <si>
    <t>Installation/Construction of Solar Powered Street Lightning Along Municipal Streets, Lavezares N. Samar</t>
  </si>
  <si>
    <t>NOTICE FOR NEGOTIATED PROCUREMENT OF PROGRAMMING EQUIPMENT AND MATERIALS</t>
  </si>
  <si>
    <t>Supply and Delivery of Communication Equipment</t>
  </si>
  <si>
    <t>DON FRANCISCO S. DIZON SR. ELEMENTARY SCHOOL</t>
  </si>
  <si>
    <t>Supply and Installation of Military, Police and Security Equipment</t>
  </si>
  <si>
    <t>CONSTRUCTION OF TWO (2) BARREL RCBC W/ CONCRETE SLOPE PROTECTION (BGY. MAGSAYSAY, MUNICIPALITY OF DUMARAN, PALAWAN)</t>
  </si>
  <si>
    <t>Purchase of food packs</t>
  </si>
  <si>
    <t>Proposed Road Concreting in Pansoy - Mohon Barangay Road - Sitio Mangalao Section</t>
  </si>
  <si>
    <t>CONCRETING OF MAGARA BGY. ROAD PHASE II (MUNICIPALITY OF ROXAS, PALAWAN)</t>
  </si>
  <si>
    <t>Supply of two (2) units Vertical Multi-Stage Centrifugal Pumps and Control with Complete Accessories</t>
  </si>
  <si>
    <t>ACQUISITION OF PROCUREMENT AND INVENTORY MANAGEMENT SYSTEM (SUPPLY, DELIVERY, INSTALLATION AND CONFIGURATION INTO OPERATIONAL STATE)</t>
  </si>
  <si>
    <t>Grocer Items</t>
  </si>
  <si>
    <t>Completion of Benguet Sports Gymnasium, Wangal, La Trinidad, Benguet</t>
  </si>
  <si>
    <t>Concreting of Brgy. Gonzalo to Brgy. Carayacan FMR, Brgy. Gonzalo and Brgy. Carayacan, San Quintin, Pangasinan</t>
  </si>
  <si>
    <t>Procurement of Vehicle for Vice Mayor's Office</t>
  </si>
  <si>
    <t>20AE0071: Construction of 2 Storey 4 Classroom School Building at Butubut National High School, Balaoan, La Union</t>
  </si>
  <si>
    <t>CONSTRUCTION OF BAJEN-BUMAGAT FARM TO MARKET ROAD</t>
  </si>
  <si>
    <t>Procurement of Wireless CCTV Installation w/ NTC License, 16 Channel Network Vedio Recording, 4mp Bullet Camera Big, 2mp BullerCamera %, CCTV HD 4 TB, LED TV Monitor 50'', Lite Power Beam, Toughtcable</t>
  </si>
  <si>
    <t>Purchase of Office Supplies for 2nd Quarter Commonly used Supplies CY-2020</t>
  </si>
  <si>
    <t>Concreting of Brgy. San Roque to Brgy. Barangobong FMR, Brgy. San Roque (San Nicolas) and Brgy. Barangobong (Natividad, Pangasinan)</t>
  </si>
  <si>
    <t>Purchase and Installation Surveillance Camera</t>
  </si>
  <si>
    <t>Concrete Paving of Canroma-Buenavista Road, Rural Access (Road Upgrading), Brgy.Canroma-Buenavista, Pontevedra, Neg. Occ./PEO-2020-0964</t>
  </si>
  <si>
    <t>Procurement of VArious Vehicle Parts &amp; Accessories(Tractor)-DA,Lopez Jaena</t>
  </si>
  <si>
    <t>Installation of Electrical Facilities( Streetlights), Brgy. Palaciawan, Barotac Nuevo, Iloilo</t>
  </si>
  <si>
    <t>Farm Inputs &amp; Machinery Assistance for Livelihood on Tobacco Production</t>
  </si>
  <si>
    <t>Supply and Delivery of Construction Materials and Equipment:Rehabilitation of Barangay Road</t>
  </si>
  <si>
    <t>Procurement of 15 units Cellular Phone (TouchScreen)</t>
  </si>
  <si>
    <t>Concrete Pavement of New Municipal Building, Brgy. Tabucan, Barotac Nuevo, Iloilo</t>
  </si>
  <si>
    <t>Construction/Extension of Road Concreting at Brgy. Urdaneta, Lavezares N. Samar</t>
  </si>
  <si>
    <t>ITB FOR PROCUREMENT OF OFFICE  SUPPLIES FOR MODULAR LEARNING 2020</t>
  </si>
  <si>
    <t>Procurement of Construction IP Housing (Labor)</t>
  </si>
  <si>
    <t>PRE-BID CONFERENCE 30/June/2020 - Procurement of Goods: Furniture &amp; Fixture for the use of CMO (Tagum City Police Station) (PR#100-20-06-0175)</t>
  </si>
  <si>
    <t>Supply of 26 units Hard Disk External</t>
  </si>
  <si>
    <t>Shouldering of Municipal Streets, E Biron Street, Brgy. Ilaya Poblacion, Barotac Nuevo, Iloilo</t>
  </si>
  <si>
    <t>Procurement of Construction IP Housing (Materials)</t>
  </si>
  <si>
    <t>INVITATION TO BID FOR HEAVY EQUIPMENT (BID NO. 200716-02)</t>
  </si>
  <si>
    <t>PES Purchase of Various Office Supplies available to PS 2020.</t>
  </si>
  <si>
    <t>Supply, Delivery &amp; Installation of 20 Units Complete Set of Computers and 30 Units Adobe Creative Cloud (CC) ALL APPS_July 14, 2020</t>
  </si>
  <si>
    <t>PROCUREMENT OF MEDICINE</t>
  </si>
  <si>
    <t>INVITATION TO BID FOR VEHICLE (4 WHEELS) AND ACCESSORIES (BID NO. 200716-05)</t>
  </si>
  <si>
    <t>Supply and Delivery of Emergency Response Equipment and Supplies</t>
  </si>
  <si>
    <t>cONSTRUCTION OF pUBLIC Market ( Phase 1)</t>
  </si>
  <si>
    <t>ITB No. 19-DSWD-059-A - Supply and Delivery of Workstation Computer for DSWD-UCT NPMO</t>
  </si>
  <si>
    <t>PURCHASE OF RAPID ELECTRIC VEHICLE CHARGER (FOR  E-TRIKE)</t>
  </si>
  <si>
    <t>Provision of Internet Service and Domestic Multi-Protocol Label Switching Services for Bicol University (3rd Publication)</t>
  </si>
  <si>
    <t>Supply and Delivery of Medicine To MHO, Lavezares N. Samar</t>
  </si>
  <si>
    <t>INVITATION TO BID FOR NO CATEGORY - (VARIOUS LECHON) (BID NO. 200716-04)</t>
  </si>
  <si>
    <t>construction materials and supplies</t>
  </si>
  <si>
    <t>PB BAC1-20-006 SUPPLY AND DELIVERY OF VARIOUS CONSTRUCTION SUPPLIES - PABX –  FOR 2020</t>
  </si>
  <si>
    <t>Improvement Kolambugan Level III Water System Project</t>
  </si>
  <si>
    <t>IMPROVEMENT ALONG NRJ, BANAO-BESOCOL-MOGAO ACCESS ROAD (BESOCOL SECTION)</t>
  </si>
  <si>
    <t>Construction Materials (Construction of Drainage Canal(EMBARCADERO Continuation))</t>
  </si>
  <si>
    <t>Supply and Delivery of 600 Cavans Well Milled Rice 50 kilos/cavan (2nd quarter)</t>
  </si>
  <si>
    <t>Construction of Residual Containment Facility (RCF) Phase 2, Barangay Lico-an, Barotac Nuevo, Iloilo</t>
  </si>
  <si>
    <t>PURCHASE OF TOILET BOWL (UNDER SUSTAINABLE SANITATION PROGRAM)</t>
  </si>
  <si>
    <t>DRILLING OF ONE (1) PRODUCTION WELL  AT BRGY. P. LUPA, MABINI, BATANGAS</t>
  </si>
  <si>
    <t>SUPPLY AND DELIVERY OF SPARE PARTS OF MUNICIPAL ROAD GRADER AND BULLDOZER</t>
  </si>
  <si>
    <t>PROCUREMENT OF  CONSTRUCTION MATERIALS FOR CONCRETING OF ALGECIRAS FMR</t>
  </si>
  <si>
    <t>Construction of Residual Containment Facility ( RCF) Phase 1, Barangay Lico-an, Dump Site, Barotac Nuevo, Iloilo</t>
  </si>
  <si>
    <t>ITB20-5(infra)</t>
  </si>
  <si>
    <t>Procurement of Supply &amp; Delivery of 64 heads Cattle (Typhoon Ursula)</t>
  </si>
  <si>
    <t>Materials for Construction of Proposed Fence of San Jose de Buenavista Municipal Fish Port</t>
  </si>
  <si>
    <t>INSTALLATION OF CLOSE CIRCUIT TELEVISION CAMERA (CCTV)</t>
  </si>
  <si>
    <t>Purchase of Materials for Construction of Multi-Purpose Pavement Phase 1</t>
  </si>
  <si>
    <t>Purchase of Construction Materials (for various Program of Local Governemtn od San Matel</t>
  </si>
  <si>
    <t>Sand And Gravel</t>
  </si>
  <si>
    <t>Roof and Grills of the Paglaum Building ( Jalaud), Brgy. Jalaud, Barotac Nuevo, Iloilo</t>
  </si>
  <si>
    <t>Supply and Installation of Solar Streetlights at Brgy. Poblacion, Tolosa, Leyte</t>
  </si>
  <si>
    <t>CY 2019 Repair/Rehabilitation of Department of Education  Regional Office VI, Duran Street, Iloilo City (Rebid)</t>
  </si>
  <si>
    <t>INVITATION TO BID FOR FABRICATION (BID NO. 200716-10)</t>
  </si>
  <si>
    <t>INVITATION TO BID FOR LABORATORY REAGENTS AND CHEMICALS (BID NO. 200716-12)</t>
  </si>
  <si>
    <t>20HG0176 - Construction/Rehabilitation of Water Supply/Septage and Sewerage/Rain Water Collectors – Rain Water Collectors in Public Facilities at (1) Obo ES, Dalaguete, (2) Cangcabalong ES, Dalaguete,</t>
  </si>
  <si>
    <t>INVITATION TO BID FOR OIL AND LUBRICANTS (BID NO. 200716-11)</t>
  </si>
  <si>
    <t>INVITATION TO BID FOR SPARE PARTS FOR LIGHT &amp; HEAVY EQUIPMENT (BID NO. 200716-08)</t>
  </si>
  <si>
    <t>REHAB./IMPROVEMENT OF BIRTHING CLINIC</t>
  </si>
  <si>
    <t>Supply and Delivery of Various Spare Parts for Heavy Equipment</t>
  </si>
  <si>
    <t>Procurement of IT Equipment -  MEO ,Lopez Jaena,Misamis Occidental</t>
  </si>
  <si>
    <t>SUPPLY AND DELIVERY OF MATERIALS TO BE USED FOR THE INSTALLATION OF STREET LIGHTS, DIFFERENT SITIOS</t>
  </si>
  <si>
    <t>PROPOSED REHABILITATION OF MUNICIPAL ROADS</t>
  </si>
  <si>
    <t>Procurement of 46,700 bottles Rifampicin 200mg/5ml (REBID)</t>
  </si>
  <si>
    <t>FLU VACCINATION</t>
  </si>
  <si>
    <t>Procurement of Supply &amp; Delivery of Piglets (Typhoon Ursula)</t>
  </si>
  <si>
    <t>One (1) Job Order for the Supply of Labor and Materials for Construction of Perimeter Fence at Brgy. Bunga, Mambusao, Capiz</t>
  </si>
  <si>
    <t>INVITATION TO BID FOR OFFICE SUPPLIES AND MATERIALS (BID NO. 200716-14)</t>
  </si>
  <si>
    <t>Procurement of Supply &amp; Delivery of Goat (Typhoon Ursula)</t>
  </si>
  <si>
    <t>Construction of Drainage System ( Back side of Mun. Building), Brgy. Tabucan, Barotac Nuevo, Iloilo</t>
  </si>
  <si>
    <t>Procurement of Supply &amp; Delivery of 56 heads Caracows (Typhoon Ursula)</t>
  </si>
  <si>
    <t>Supply and Delivery, Installation and Commissioning of a Web Based Total Information Systems Management with Citizen Mobile App (Phase 2)</t>
  </si>
  <si>
    <t>20GKG0029 (PR No. 20-06-088)- Procurement of Construction Materials and Supplies for use in the Construction of  DPWH Materials Quality Control Building, DPWH-Lanao del Norte 1st District Engineering</t>
  </si>
  <si>
    <t>INVITATION TO BID FOR COMPUTER SUPPLIES AND MATERIALS (BID NO. 200716-15)</t>
  </si>
  <si>
    <t>PROCUREMENT OF HARDWARE MATERIALS FOR REHABILITATION OF EXISTING BUSANAMCO RATTAN PROCESSING CENTER AT BARANGAY BUNGA, LANUZA, SURIGAO DEL SUR</t>
  </si>
  <si>
    <t>One (1) Lot Laboratory Equipment</t>
  </si>
  <si>
    <t>Procurement of ICT Equipment for the use of Different Offices</t>
  </si>
  <si>
    <t>One (1) Lot Provision of Security Services for 2020 (August-December)</t>
  </si>
  <si>
    <t>Supply and On Site Delivery of Farm Machineries</t>
  </si>
  <si>
    <t>20GKG0030 (PR No. 20-06-089)- Procurement of Construction Materials and Supplies for use in the Construction of DPWH Building Praying Center , DPWH-Lanao del Norte 1st District Engineering Office, 005</t>
  </si>
  <si>
    <t>PROCUREMENT OF PROFESSIONAL CONSULTING SERVICE FOR THE CONDUCT OF FEASIBILITY STUDY ON THE SOLID WASTE MANAGEMENT FACILITY (LGU SANITARY LANDFILL) FOR LOCAL GOVERNMENT UNIT-CLUSTER (LGU CLUSTER)</t>
  </si>
  <si>
    <t>“EVENT MANAGEMENT - VENUE RENTAL, FOOD AND ACCOMMODATION”</t>
  </si>
  <si>
    <t>Office supplies and other consumables</t>
  </si>
  <si>
    <t>CONSTRUCTION OF SLF SORTING AREA</t>
  </si>
  <si>
    <t>One (1) Lot Information and Technology</t>
  </si>
  <si>
    <t>CONSTRUCTION OF TWO (2) STOREY, FOUR (4) CLASSROOM SCHOOL BUILDING, MABURAC ELEMENTARY SCHOOL, AT VILLASIS, PANGASINAN</t>
  </si>
  <si>
    <t>CONCRETING OF BRGY. TUMANA WEST FMR, BRGY. TUMANA WEST, ROSALES, PANGASINAN</t>
  </si>
  <si>
    <t>CONCRETING OF BRGY. SAN PEDRO APARTADO FMR, BRGY. SAN PEDRO APARTADO, ALCALA, PANGASINAN</t>
  </si>
  <si>
    <t>Procurement of 600 bottles Immersion Oil</t>
  </si>
  <si>
    <t>Procurement of 1,700 pcs. Etonogestrel Subdermal Implant</t>
  </si>
  <si>
    <t>Supply and Delivery of Various Audio and Visual  Accessories</t>
  </si>
  <si>
    <t>Construction of Slope Protection at Manzante Beach Road Adjacent to Farmlands</t>
  </si>
  <si>
    <t>PB BAC1-20-008 SUPPLY AND DELIVERY OF VARIOUS CONSTRUCTION SUPPLIES - PAINTING  FOR 2020</t>
  </si>
  <si>
    <t>PROCUREMENT OF THREE (3) UNIT PRINTER AND THREE (3) UNITS AUTOMATIC VOLTAGE REGULATOR FOR LEGAL DIVISION</t>
  </si>
  <si>
    <t>Procurement of Various Drugs/Medicines to be used during emergencies and disasters</t>
  </si>
  <si>
    <t>PROJECT 2 – Procurement and Delivery of Various Medical Equipment for the use of District Hospitals in Region 1</t>
  </si>
  <si>
    <t>Construction of Administrative Office at Palo National High School</t>
  </si>
  <si>
    <t>LABOR AND MATERIALS FOR THE CONSTRUCTION OF MUNICIPAL AGRICULTURE OFFICE AT POBLACION,BADIAN,CEBU</t>
  </si>
  <si>
    <t>Procurement of 528,635 cap. Cefalexin 500mg capsule</t>
  </si>
  <si>
    <t>Procurement of 3,061 kits Hygiene Kit</t>
  </si>
  <si>
    <t>Repair and Maintenance of Various Heavy Equipment</t>
  </si>
  <si>
    <t>Installationof Streetlights( Fronting &amp; Beside Mun. BLDG. &amp; DENR Bldg.)</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</si>
  <si>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</si>
  <si>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</si>
  <si>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20CG0144 - Construction/ Repair/ Rehabilitation/ Improvement of Various Infrastructure including Local Projects: Multi-purpose/ Facilities – Construction of Multi-Purpose Building Sindalan, San Fernan</t>
  </si>
  <si>
    <t>Procurement of Catering Services for the 4th Level Training of the 2020 Census of Population and Housing (2020 CPH) of PSA Region 7 – Reposting (Failed Items)</t>
  </si>
  <si>
    <t>PROCUREMENT / INSTALLATION OF REPEATER ANTENNA ( HANDHELD RADIO )</t>
  </si>
  <si>
    <t>Emergency Purchase in response to covid19 mayor's Office 42A</t>
  </si>
  <si>
    <t>20CG0143 - Local Infrastructure Program: Multipurpose/ Facilities – Construction of Multi-Purpose Building, Brgy. Bulacus Masantol, Pampanga</t>
  </si>
  <si>
    <t>REHABILITATION OF FENCE (SOUTH SIDE) AT LAMAO ELEMENTARY SCHOOL</t>
  </si>
  <si>
    <t>20CG0142 - Local Infrastructure Program: Multipurpose/ Facilities – Construction of Multi-Purpose Building (Evacuation Center), Brgy. Plazang Luma, Arayat, Pampanga</t>
  </si>
  <si>
    <t>20GKG0031 (PR No. 20-06-090)- Procurement of Construction Materials and Supplies for use in the Repair/Reconstruction of of DAR Office Building, Sapad, Lanao del Norte</t>
  </si>
  <si>
    <t>Supply and Delivery of Acrylic name plate, information holder, wall displayer, wall clock, white board, glass board magnetic, white board wall mount.</t>
  </si>
  <si>
    <t>PROJECT 1 - Procurement and Delivery of Various Medical Equipment for the use of Rural Health Unit (RHU) in Region 1</t>
  </si>
  <si>
    <t>SUPPLY AND DELIVERY OF DAY CARE PRE-SCHOOLER SUPPLIES</t>
  </si>
  <si>
    <t>20GKG0032 (PR No. 20-06-091)- Procurement of Construction Materials and Supplies for use in the Construction of DPWH Building Guardhouse, 0054 Seminary Drive , Del Carmen, Iligan City</t>
  </si>
  <si>
    <t>PURCHASE OF CONSTRUCTION MATERIALS FOR REPAIR AND MAINTENANCE OF ROAD SAFETY FACILITIES</t>
  </si>
  <si>
    <t>20GFH0012 SUPPLY AND DELIVERY OF SPARE PARTS FOR USE IN THE REPLACEMENT OF WORN-OUT PARTS OF SERVICE VEHICLE ASSIGNED  IN THE DPWH-PLANNING &amp; DESIGN SECTION, VIRAC, CATANDUANES (PR#20-05-021 DATED 5/2</t>
  </si>
  <si>
    <t>INVITATION TO BID FOR  SUPPLY, DELIVERY, INSTALLATION, TESTING AND COMMISSIONING OF MEDICAL EQUIPMENT FOR FY2020</t>
  </si>
  <si>
    <t>CONTRACT ID: 20-06-088- PROCUREMENT OF VARIOUS DRUGS AND MEDICINES</t>
  </si>
  <si>
    <t>Construction of Mango Processing Center</t>
  </si>
  <si>
    <t>20CG0148 - Local Infrastructure Program: Buildings and Other Structures – Multipurpose/ Facilities – Construction of Multi-Purpose Covered San Matias, Sto. Tomas, Pampanga</t>
  </si>
  <si>
    <t>Emergency Purchase in response to covid19 dswd Office 39Af</t>
  </si>
  <si>
    <t>CONSTRUCTION OF VARIOUS INFRASTRUCTURE PROJECTS FOR THE CITY OF NAVOTAS UNDER OTHER INFRASTRUCTURE ASSETS</t>
  </si>
  <si>
    <t>REHABILITATION OF FENCE (NORTH SIDE) AT LAMAO ELEMENTARY SCHOOL</t>
  </si>
  <si>
    <t>Construction/ Rehabilitation of Drainage Canal and Concrete Cover</t>
  </si>
  <si>
    <t>20GL00008; P.R. No. 2020-05-057 DATED 05/26/2020: PROCUREMENT OF VARIOUS CONSTRUCTION SUPPLIES &amp; MATERIALS, FOR USE IN THE CONVERSION OF U.P. MINDANAO MULTI-PURPOSE HUMAN KINETICS BUILDING, BAGO OSHIR</t>
  </si>
  <si>
    <t>Purchase of Tires to be used in the Service Vehicles of Maintenance Section of Laguna I District Engineering Office, Santa Cruz, Laguna</t>
  </si>
  <si>
    <t>OFFICE SUPPLIES 1ST &amp; 2ND QUARTER</t>
  </si>
  <si>
    <t>Procurement of Office Supplies Intended for the 3rd Quarter of CY 2020</t>
  </si>
  <si>
    <t>Emergency Purchase in response to covid19 mdrrmOffice 40A</t>
  </si>
  <si>
    <t>IMPROVEMENT OF MULTI-PURPOSE SITE (NUEVA MONTANA)</t>
  </si>
  <si>
    <t>IMPROVEMENT / REHABILITATION OF DAY CARE CENTER</t>
  </si>
  <si>
    <t>20CG0146 - Construction/ Repair/ Rehabilitation/ Improvement of Various Infrastructure Including Local Projects: Multipurpose/ Facilities – Rehabilitation of Multi-Purpose Buildings, Del Carmen and Al</t>
  </si>
  <si>
    <t xml:space="preserve">Purchase of Materials (Nylon Line) to be used in the Maintenance activities, vegetation control  (grass cutters) along various national roads within Laguna I District Engineering Office,  Santa Cruz, </t>
  </si>
  <si>
    <t>Conduct of  Surface and Subsurface Geological and Geotechnical Investigation of OCAMPO SRIP (rebid), Ocampo, Camarines Sur</t>
  </si>
  <si>
    <t>Emergency Purchase in response to covid19 mayor's Office 41A</t>
  </si>
  <si>
    <t>INSTALLATION OF ELECTRICAL LINES FOR WATER WORKS SYSTEM AT SITIO CENTRO, BRGY. MAPULO -001</t>
  </si>
  <si>
    <t>20HC0182- CONSTRUCTION &amp; IMPROVEMENT OF THE MUNICIPAL HALL OF SAN MIGUEL, BOHOL</t>
  </si>
  <si>
    <t>SUPPLY &amp; DELIVERY OF CONSTRUCTION MATERIALS AND SUPPLIES</t>
  </si>
  <si>
    <t>REPAIR/IMPROVEMENT OF NFA PROVINCIAL OFFICE INCLUDING CONSTRUCTION FOR ONE SEPTIC VAULT, SELECTIVE REPAIR &amp; REPLACEMENT OF G.I. CORRUGATED ROOF, GUTTER, FASCIA COVER, DOWNSPOUT AND CATCH BASIN GRILL A</t>
  </si>
  <si>
    <t>Emergency Purchase in response to covid19 mayor's Office 38A</t>
  </si>
  <si>
    <t>Procurement of Flexible Learning and Working Arrangement Supplies and Equipment for Digital Infrastructure (Rebidding)</t>
  </si>
  <si>
    <t>INVITATION TO BID FOR THE PROCUREMENT OF LABOR &amp; MATERIALS FOR THE PROJECT OF CONSTRUCTION FOR KABANGKALAN ELEM. SCHOOL MULTI-PURPOSE HALL, LOCATED @ SCHOOL SITE, KABANGKALAN ELEM. SCHOOL, CASOON, MON</t>
  </si>
  <si>
    <t>20CG0147 - Local Infrastructure Program: Multipurpose/ Facilities – Rehabilitation/ Improvement of Multi – Purpose Building (Covered Court) Bulaon Resettlement Center, Brgy. Bulaon, San Fernando City,</t>
  </si>
  <si>
    <t>Re-Bidding of Supply and Delivery of Various Medical and Hospital Supplies for January 1 to December 31, 2020</t>
  </si>
  <si>
    <t>RIPRAPPING OF AMBOLONG CREEK</t>
  </si>
  <si>
    <t>20FO0101 - Construction of Multi-Purpose Building, Albay Provincial Hospital, Out Patient Dept., Ligao, Albay</t>
  </si>
  <si>
    <t>20CG0152 - Local Infrastructure Program: Multipurpose/ Facilities – Construction of Multi-Purpose Building, Brgy. San Juan, San Luis, Pampanga</t>
  </si>
  <si>
    <t>20GFH0014 - SUPPLY AND DELIVERY OF TIRES FOR USE IN THE OPERATION OF SERVICE VEHICLE NISSAN NAVARA FI-X700, NISSAN NAVARA FI-X440, ALTERA NJQ-720 AND TOYOTA HI-LUX POA 227, DPWH SAN ISIDRO VILLAGE, VI</t>
  </si>
  <si>
    <t>CONSTRUCTION OF DAY CARE CENTER</t>
  </si>
  <si>
    <t>20CG0151 - Local Infrastructure Program: Multipurpose/ Facilities – Construction of Multi-Purpose Building (Covered Court) San Jose Malino, Mexico, Pampanga</t>
  </si>
  <si>
    <t>Procurement of Supply &amp; Delivery of Various Fertilizers (Rebid)</t>
  </si>
  <si>
    <t>20CG0145 - Local Infrastructure Program: Multipurpose/ Facilities – Construction and /or Repair/ Rehabilitation of Multi-Purpose Building, Telebastagan Integrated School, City of San Fernando, Pampang</t>
  </si>
  <si>
    <t>Supply &amp; Delivery of  Construction Equipment for   Sibuguey Valley Irrigation System, Bayog, Zamboanga del Sur</t>
  </si>
  <si>
    <t>Purchase of Paint Materials  to be used in the Maintenance  activities, (repainting of traffic  safety devices, bridge and road markings) of DPWH- Laguna I District Engineering Office, Santa Cruz, Lag</t>
  </si>
  <si>
    <t>Supply and Delivery of 14 Units Laptop, Intel Core i5-7200 for the Municipality of Binangonan</t>
  </si>
  <si>
    <t>20CG0149 - Local Infrastructure Program: Multipurpose/ Facilities – Construction of Multi-Purpose Building, Sta. Monica Elementary School, Brgy. Sta. Monica, San Luis, Pampanga</t>
  </si>
  <si>
    <t>(SBMA-BAC-GOODS-ITB-09-20) SBMA MOTOROLA TRUNKED RADIO COMMUNICATION SYSTEM UPGRADE</t>
  </si>
  <si>
    <t>SANGGUNIANG KABATAAN MOBILE SCHOOL</t>
  </si>
  <si>
    <t>Purchase of CCTV System for use at the PNP Station and Municipal Town Hall</t>
  </si>
  <si>
    <t>Spare Parts and Motor Vehicles</t>
  </si>
  <si>
    <t>Procurement of 433 pcs. Advocacy Jacket, reversible</t>
  </si>
  <si>
    <t>LABOR AND MATERIALS FOR THE CONSTRUCTION OF MUNICIPAL WAREHOUSE AT POBLACION,BADIAN,CEBU</t>
  </si>
  <si>
    <t>20CG0150 - Local Infrastructure Program: Multipurpose/ Facilities – Construction/ Rehabilitation of Multi-Purpose Building, Brgy. San Pedro, Minalin, Pampanga</t>
  </si>
  <si>
    <t>PB BAC1-20-010 SUPPLY AND DELIVERY OF VARIOUS CONSTRUCTION SUPPLIES – MECHANICAL/CMGVS - FOR 2020</t>
  </si>
  <si>
    <t>Fabrication &amp; Installation of Basketball Goal at Mohon Sports Complex</t>
  </si>
  <si>
    <t>Supply &amp; Delivery of Trash Racks and Intake Gates for Gandiangan SIP</t>
  </si>
  <si>
    <t>CONTRACT ID: 19-12-272 2ND REBID-PROCUREMENT OF VARIOUS LABORATORY REAGENTS, MEDICAL DEVICES, DENTAL SUPPLIES AND INSTRUMENTS</t>
  </si>
  <si>
    <t>RE-POST: Rehabilitation of Footbridge at Purok 4, Brgy. Buhangin, Butuan City</t>
  </si>
  <si>
    <t>Supply and Delivery of Tablets to be Used by Department of Education</t>
  </si>
  <si>
    <t>Procurement of 1,091 cannister Effervescent Chlorine Tablet 1.7 g</t>
  </si>
  <si>
    <t>CONSTRUCTION OF RAILINGS</t>
  </si>
  <si>
    <t>Construction of Pagsanaan Sur Post Harvest Facility</t>
  </si>
  <si>
    <t>20FO0102 - Repair/Maintenance of Road Safety Facilities along Daang Maharlika, Albay West Coast Road, Ligao-Pioduran Road, and Dancalan-Sta. Cruz, Donsol-Pioduran Road</t>
  </si>
  <si>
    <t>PROCUREMENT OF FORTY (40) PIECES PRISMATIC DIFFUSER 2.7mmx24”x48” FOR PNR EXECUTIVE BUILDING USE</t>
  </si>
  <si>
    <t>Contract ID: 20-06-090- PROCUREMENT OF INFORMATION TECHNOLOGY AND PERIPHERALS</t>
  </si>
  <si>
    <t>20CG0157 - Bridge Program – Replacement of Permanent Weak Bridge Mexico Br. (B01478LZ) along Jose Abad Santos Ave. (JASA) Rd., Mexico, Pampanga</t>
  </si>
  <si>
    <t>Purchase of Hygienic Materials for Employees of DPWH- Laguna I District Engineering Office, Santa Cruz, Laguna</t>
  </si>
  <si>
    <t>Construction of Drainage canal</t>
  </si>
  <si>
    <t>PROCUREMENT OF VARIOUS OFFICE EQUIPMENT FOR THE OPERATIONS DEPARTMENT</t>
  </si>
  <si>
    <t>20CG0156 - Construction/ Repair/ Rehabilitation/ Improvement of Various Infrastructure Including Local Projects: Local Roads – Construction of Buensuceso Road, Buensuceso Arayat, Pampanga</t>
  </si>
  <si>
    <t>Expansion/Installation of Wireless Automesh Infrastructure and Video Surveillance System (Phase IV)</t>
  </si>
  <si>
    <t>CCTV EQUIPMENT AND ACCESORIES</t>
  </si>
  <si>
    <t>Supply and Delivery of Laptops to be Used by Department of Education</t>
  </si>
  <si>
    <t>Installation of Lighting System at Visitacion</t>
  </si>
  <si>
    <t>Supply, Delivery and Installation of Air Conditioning Units</t>
  </si>
  <si>
    <t>Supply and Delivery of Tires and Batteries</t>
  </si>
  <si>
    <t>CONSTRUCTION OF 2 UNITS DEEP WELL</t>
  </si>
  <si>
    <t>Invitation to Bid for  Supply and Delivery of Various uPVC Pipes for Service Expansion Project 2020</t>
  </si>
  <si>
    <t>Invitation to Bid for  Supply and Delivery of Various Fittings for Pipelines Service Expansion 2020</t>
  </si>
  <si>
    <t>Invitation to Bid for  PROVISION OF TWO-YEAR CONTRACT SECURITY SERVICES</t>
  </si>
  <si>
    <t>NEGOTIATED PROCUREMENT ON THE PROVISION OF LABOR, MATERIALS, EQUIPMENT AND OTHER INCIDENTALS NEEDED FOR THE REHABILITATION/IMPROVEMENT OF SAMAC SMALL WATER IMPOUNDING PROJECT (SWIP) AT BRGY. SAMAC, SA</t>
  </si>
  <si>
    <t>REBIDDING ON THE PROVISION OF LABOR, MATERIALS, EQUIPMENT AND OTHER INCIDENTALS NEEDED FOR THE IMPROVEMENT OF NAGPATPATAN CANAL LINING AT BRGY. NAGPATPATAN, SOLSONA, ILOCOS NORTE</t>
  </si>
  <si>
    <t>SUPPLY &amp; DELIVERY OF COMMON USED OFFICE  SUPPLIES, 1ST QUARTER, CY 2020, LGU, Bayombong, Nueva Vizcaya</t>
  </si>
  <si>
    <t xml:space="preserve">NEGOTIATED PROCUREMENT ON THE PROVISION OF LABOR, MATERIALS, EQUIPMENT AND OTHER INCIDENTALS NEEDED FOR THE IMPROVEMENT OF NAGTRIGOAN SMALL WATER IMPOUNDING PROJECT (SWIP) AT BRGY. NAGTRIGOAN PINILI, </t>
  </si>
  <si>
    <t>Installation of CCTV Cameras with Wireless AutoMesh Technology (Phase V)</t>
  </si>
  <si>
    <t>20GFO0016 - Purchase of Fuel to be Used in Various Equipments/Service Vehicles Assigned at Albay 3rd DEO for the 2nd &amp; 3rd Quarters, CY 2020</t>
  </si>
  <si>
    <t>RE-BID: Supply and Delivery of Five Thousand Five Hundred (5,500) Ltrs. Gasoline and Fifty-Two  Thousand (52,000) Ltrs. Diesel for next six (6) months or from July 2020 to December 2020 and with a pro</t>
  </si>
  <si>
    <t>REHABILITATION OF WATER SYSTEM</t>
  </si>
  <si>
    <t>PROCUREMENT OF FOUR (4) PIECES TIRES 235/70 R15 FOR REPLACEMENT OF OLD TIRES OF SERVICE VEHICLE ISUZU CROSSWIND CN6155</t>
  </si>
  <si>
    <t>SUPPLY OF LABOR, EQUIPMENT AND RESTORATION MATERIALS FOR THE INSTALLATION, TESTING AND COMMISSIONING OF 250MM DIA. TRANSMISSION LINE ALONG AMULUNG SOLANA ROAD, BASI, SOLANA, CAGAYAN (CALAMAGUI UPGRADI</t>
  </si>
  <si>
    <t>20GFC0015: Regravelling of Roadway along Sta. Elena – Capalonga By-Pass Coastal Road (Section 3), Regravelling of Roadway along Sta. Elena – Capalonga By-Pass Coastal Road (Section 3)</t>
  </si>
  <si>
    <t>Construction of Bulacan Birthing Facility</t>
  </si>
  <si>
    <t>20GFC0014: Regravelling of Shoulder along Daang Maharlika Road (K0294+500 – K0309+110), Brgy. Malatap, Labo, Camarines Norte</t>
  </si>
  <si>
    <t>PROCUREMENT OF VARIOUS SPARE PARTS FOR PNR ENGINEERING DEPARTMENT SERVICE TRUCK (ISUZU ELF) SHX 627 (ENGINE # 4JB1-NHR/ISUZO ELF TRUCK DROPSIDE/4 WHEELS)</t>
  </si>
  <si>
    <t>20GFC0013: Purchase of Maintenance Small Field Equipment, DPWH-CNDEO, Daet, Camarines Norte</t>
  </si>
  <si>
    <t>20GFC0012: Purchase of Spare Parts Accessories for Service Vehicle and Equipment, Purchase of Spare Parts Accessories for Service Vehicle and Equipment</t>
  </si>
  <si>
    <t>20GFC0011: Purchase of Materials for the Fabrication of Road Right-of-Way Marker, Primary and Secondary National Road, Sta. Elena – Basud, Camarines Norte</t>
  </si>
  <si>
    <t>PROCUREMENT OF MATERIALS FOR THE CONSTRUCTION OF 26 UNITS SANITARY LATRINE</t>
  </si>
  <si>
    <t>PROCUREMENT AND INSTALLATION OF SIX (6) SETS FLOOR MOUNTED 6HP AIRCON FOR THE VARIOUS PNR OFFICES</t>
  </si>
  <si>
    <t>PB BAC1-20-004 SUPPLY AND DELIVERY OF CHEMICALS AND REAGENTS – REAL TIME POLYMERASE CHAIN REACTION (RT-PCR) REAGENTS - CY 2020</t>
  </si>
  <si>
    <t>PROCUREMENT OF ONE (1) LOT PROFESSIONAL/ CONSULTING SERVICE FOR THE CONDUCT OF WATER POLLUTION LOAD ASSESSMENT FOR SEVEN (7) RIVERS IN REGION III</t>
  </si>
  <si>
    <t>CONSTRUCTION OF MRF</t>
  </si>
  <si>
    <t>Purchase of Brand New Mini Dump Truck, Mogpogf</t>
  </si>
  <si>
    <t>CONCRETING OF PROVINCIAL ROAD(Brgy. San Isidro, Tibiao, Antique)/IB. NO. K-2020-062(SC)</t>
  </si>
  <si>
    <t>Procurement of Various PPE and Laparatomy Packs for COVID-19 Patients Use</t>
  </si>
  <si>
    <t>Dumping Fee of Municipal Waste</t>
  </si>
  <si>
    <t>CID No. 20GI00002 - Purchase/Delivery/Installation of RTIA Traffic Count Equipment of Planning Section, Planning and Design Division, DPWH Regional Office VIII, Baras, Palo, Leyte</t>
  </si>
  <si>
    <t>Concreting of Brgy. Tarcan FMR, Brgy. Tarcan, Baliuag, Bulacan</t>
  </si>
  <si>
    <t>PB BAC1-20-005 SUPPLY AND DELIVERY OF VARIOUS CONSTRUCTION SUPPLIES - BIOMEDICAL –  FOR 2020</t>
  </si>
  <si>
    <t>Construction of three storey six classroom – Batia Elementary School, Bocaue, Bulacan</t>
  </si>
  <si>
    <t>CONSTRUCTION OF FLOOD CONTROL/RIVER WALL PROJECT (Sitio Camangahan, Brgy. Buluangan I, Valderrama, Antique)/IB. NO. K-2020-061(SC)</t>
  </si>
  <si>
    <t>PB BAC1-20-011 Supply and Delivery of Various Construction Supplies  PLUMBING - for 2020</t>
  </si>
  <si>
    <t>PB BAC1-20-014 SUPPLY AND DELIVERY OF VARIOUS CONSTRUCTION SUPPLIES –  TRANSPORTATION - FOR 2020</t>
  </si>
  <si>
    <t>RIPRAPPING OF STEEP ROAD SIDE(Brgy. Codiong, Libertad, Antique)/IB. NO. K-2020-059(SC)</t>
  </si>
  <si>
    <t>Procurement of Construction Materials for the Construction of Sanitary Latrine</t>
  </si>
  <si>
    <t>Procurement of Misting Machine for Dengue Prevention</t>
  </si>
  <si>
    <t>Construction of Flood Control Structure along Bocaue River and Its Tributaries, Bunlo-Lolomboy Section, Bocaue, Bulacan</t>
  </si>
  <si>
    <t>Upgrading of Barangay Road, Brgy. Sta. Ines, Bulakan, Bulacan</t>
  </si>
  <si>
    <t>Goods 2020-02 - Procurement of Dump Truck</t>
  </si>
  <si>
    <t>Construction of Concrete Bridge  (2.0m x 40.0 ln.m. bridge with railings, 2.0m x 6.0 ln.m. x 0.15 thick PCCP  extended along the concrete bridge)</t>
  </si>
  <si>
    <t>ITB NO. GOP/19-DSWD-058-A Supply and Delivery of Motor Vehicles for DSWD-Unconditional Cash Transfer (UCT) National Program Management Office (NPMO)</t>
  </si>
  <si>
    <t>Design and Development of Intramuros Administration Integrated Information System</t>
  </si>
  <si>
    <t>PB BAC1-20-012 FOR THE SUPPLY AND DELIVERY OF VARIOUS CONSTRUCTION SUPPLIES –  REFRIGERATION &amp; AIRCON - FOR 2020</t>
  </si>
  <si>
    <t>PB BAC1-20-009 SUPPLY AND DELIVERY OF VARIOUS CONSTRUCTION SUPPLIES - ELECTRICAL FOR 2020</t>
  </si>
  <si>
    <t>Goods 2020-01 - Procurement of Ambulance</t>
  </si>
  <si>
    <t>Procurement of Medicines for the Operations of the Rural Health Unit</t>
  </si>
  <si>
    <t>20DE0146 Concreting of Brgy. San Jose Sico FMR, Brgy. San Jose Sico, Batangas City, Batangas</t>
  </si>
  <si>
    <t>Contract ID No.: 20GOE0013 - Procurement / Acquisition of Portable Weigh-In-Motion (WIM) Axle Weigher Set for NMDEO ATOME Operations</t>
  </si>
  <si>
    <t>20DE0145 Concreting of Brgy. Tulo FMR, Brgy. Tulo, Batangas City, Batangas</t>
  </si>
  <si>
    <t>Construction Materials - Repair and Extension of Barangay Hall for VAWC Office and Tanod Outpost</t>
  </si>
  <si>
    <t>Magnetic Stirrer and Heater; Vortex Mixer</t>
  </si>
  <si>
    <t>PB PUR20-02-0135 SUPPLY AND DELIVERY OF CHARGE SLIP AND STICK-ON LABEL FOR 2020</t>
  </si>
  <si>
    <t>Purchase of supplies and equipment for covid 19 operation</t>
  </si>
  <si>
    <t>Construction of Community Activity Center (Negotiated)</t>
  </si>
  <si>
    <t>INVITATION TO BID FOR CONSTRUCTION OF MULTI PURPOSE BUILDING – BRGY. SAPAD</t>
  </si>
  <si>
    <t>INVITATION TO BID FOR CONSTRUCTION OF MULTI PURPOSE BUILDING – BRGY. MINABAY</t>
  </si>
  <si>
    <t>Construction of Water Tank</t>
  </si>
  <si>
    <t>INVITATION TO BID FOR CONSTRUCTION OF MULTI PURPOSE BUILDING – BRGY. LADIA</t>
  </si>
  <si>
    <t>Purchase of Office Equipment Supplies and Consumables</t>
  </si>
  <si>
    <t>20EA0054 - Repainting of Mangamnan Bridges</t>
  </si>
  <si>
    <t>INVITATION TO BID FOR CONSTRUCTION OF MULTI PURPOSE BUILDING – BRGY. GANG</t>
  </si>
  <si>
    <t>INVITATION TO BID FOR CONSTRUCTION OF MULTI PURPOSE BUILDING – BRGY. CROSSING SIMUAY</t>
  </si>
  <si>
    <t>INVITATION TO BID FOR CONSTRUCTION OF MULTI PURPOSE BUILDING – BRGY. BANATIN</t>
  </si>
  <si>
    <t>IMPROVEMENT OF KAKOTONAN-MATEDTEDTED FMR</t>
  </si>
  <si>
    <t>CONSTRUCTION OF BANAY BRIDGE</t>
  </si>
  <si>
    <t>IMPROVEMENT OF NAGDAINGAN-ISSAYOT FMR</t>
  </si>
  <si>
    <t>20DE0147 Concreting of Brgy. San Vicente FMR, Brgy. San Vicente, Bauan, Batangas</t>
  </si>
  <si>
    <t>Construction of Proposed Slaughterhouse – San Teodoro</t>
  </si>
  <si>
    <t>IMPROVEMENT OF POB. WEST COMMUNAL IRRIGATION SYSTEM</t>
  </si>
  <si>
    <t>Livelihood Assistance to Tricycle Drivers</t>
  </si>
  <si>
    <t>Livelihood Assistance to Farmers in the form of Fertilizer</t>
  </si>
  <si>
    <t>INVITATION TO BID FOR CONSTRUCTION OF MULTI PURPOSE BUILDING – BRGY. CENTRAL LANGCONG</t>
  </si>
  <si>
    <t>Completion of Alfonso Castañeda Rural Health Unit Building (INFRA2020-02)</t>
  </si>
  <si>
    <t>Procurement of Various Drugs and Medicines</t>
  </si>
  <si>
    <t>INVITATION TO BID FOR CONSTRUCTION OF MULTI PURPOSE BUILDING – BRGY. MATAYA</t>
  </si>
  <si>
    <t>Procurement of One (1) Unit Brand New Pickup FX Vehicle</t>
  </si>
  <si>
    <t>Procurement of One (1) Unit Brand New Pickup Vehicle</t>
  </si>
  <si>
    <t>LOCAL BRIDGE IN MABONGTOT</t>
  </si>
  <si>
    <t>IB-2020-VII-13-02 FARM TO MARKET ROAD OF VARIOUS BARANGAY</t>
  </si>
  <si>
    <t>IMPROVEMENT/UPGRADING OF SAN ISIDRO TO BRGY. STO. TOMAS FMR, BRGY. SAN ISIDRO, SULAT, EASTERN SAMAR</t>
  </si>
  <si>
    <t>IMPROVEMENT OF MATEDTED-BANAY FMR</t>
  </si>
  <si>
    <t>Supply and Delivery of Dump Trucks for the use of the City Government of Kidapawan.</t>
  </si>
  <si>
    <t>INVITATION TO BID FOR OPENING OF FARM TO MARKET ROAD AT BRGY. PINGGUIAMAN</t>
  </si>
  <si>
    <t>PURCHASE OF EQUIPMENT FOR VEGETABLE  PRODUCTION OF DA</t>
  </si>
  <si>
    <t>IB-2020-VII-13-01-Office Supplies Inks &amp; Toners (Legislative)</t>
  </si>
  <si>
    <t>REPAIRS OF THE INFORMATION TECHNOLOGY (FELIPE AGONCILLO) BLDG., ORGANIC CENTER (MRF BLDG.) AND 2-STOREY LABORATORY (PEDRO PATERNO) BLDG.  AT OMSC LABANGAN DAMAGED BY TYPHOON URSULA</t>
  </si>
  <si>
    <t>PURCHASE OF MULTI CULTIVATOR MACHINE FOR  LIVELIHOOD PROGRAM OF AMIA</t>
  </si>
  <si>
    <t>CONSTRUCTION OF MATANA CREEK SLOPE PROTECTION SLOPE PROTECTION, SITIO MATANA, BRGY. TAPUAC</t>
  </si>
  <si>
    <t>Package 1 of 1: Supply of Services and Materials for the Printing and Delivery of 2021 DCWD Wall Calendars - 240,000 sets Medium Size (17" x 22”) and 10,000 sets Large Size (22” x 34")</t>
  </si>
  <si>
    <t>ITB FOR PROCUREMENT OF INTERNET LOAD</t>
  </si>
  <si>
    <t>INVITATION TO BID FOR CONSTRUCTION OF MULTI PURPOSE BUILDING – BRGY. NARRA</t>
  </si>
  <si>
    <t>Procurement of the Upgrade of Existing fiber Optic backbone to a gigabit Passive Optical Network (GPON) with IP-PABX and CCTV Services, Province of Aklan-Re Bidding /ITB no: 2020-359</t>
  </si>
  <si>
    <t>Procurement of Medicines</t>
  </si>
  <si>
    <t>Construction/Completion of Multi-Purpose Gymnasium</t>
  </si>
  <si>
    <t>purchase of emergency vehicle</t>
  </si>
  <si>
    <t>CONSTRUCTION/REHABILITATION OF CONCRETE PAVEMENT, BRGY. LAPU-LAPU, UNISAN, QUEZON</t>
  </si>
  <si>
    <t>PROCUREMENT AND DELIVERY OF FERTILIZERS</t>
  </si>
  <si>
    <t>Contract ID No. 20K00353 - Construction of 2-Lane PCCP Pantar (Lanao del Norte)-Marawi City (Lanao del Sur) Road</t>
  </si>
  <si>
    <t>Supply and Delivery of Fuel to be used on Service Vehicles of City of Sipalay, Negros Occidental</t>
  </si>
  <si>
    <t>Procurement of Spare Parts for Various Motor Vehicles</t>
  </si>
  <si>
    <t>Procurement of One (1) Unit Brand New Combined Rice Harvester with Corn Kit &amp; Heavy Duty Trailer</t>
  </si>
  <si>
    <t>PROVISION OF FOOD COURT ALUMINUM FRAMED GLASS WALL-2ND FLOOR NEW WET MARKET, BRGY. NORTH POBLACION, MASINLOC, ZAMBALES</t>
  </si>
  <si>
    <t>Procurement of One (1) Unit Brand New Ambulance</t>
  </si>
  <si>
    <t>Purchase of heavy equipment for the Livestock Development of the City Government of Kidapawan</t>
  </si>
  <si>
    <t>Supply and delivery of heavy equipments for the use of the City Government of Kidapawan.</t>
  </si>
  <si>
    <t>PROJECT 2 - Construction of Isic-Isic BHS, Brgy. Isic, Vintar, Ilocos Norte</t>
  </si>
  <si>
    <t>NEGOTIATED PROCUREMENT  FOR THE  Fabrication and Delivery of  Prisoner’s Vehicle (PR-2020-9999-0185)</t>
  </si>
  <si>
    <t>Local Bridges in Logohon-Singay, Brgy. Logohon and Singay, Madalag, Aklan</t>
  </si>
  <si>
    <t>INVITATION TO BID FOR CONSTRUCTION OF MULTI PURPOSE BUILDING – BRGY. DARUGAO</t>
  </si>
  <si>
    <t>PROVISION OF ALUMINUM FRAMED GLASS WALL - MASINLOC MALL/LIBRARY HUB/FOOD COURT</t>
  </si>
  <si>
    <t>Construction of Sanitary Toilet &amp; Hygiene Facility, Poblacion, Sta. Catalina, Ilocos Sur</t>
  </si>
  <si>
    <t>PROJECT 1 – Expansion of Balaoan District Hospital, Brgy. Bungol, Balaoan, La Union</t>
  </si>
  <si>
    <t>Contract ID No. 20K00352 - Reconstruction/ Rehabilitation of Bridge along Barangay Road at Kurmatan Matampay</t>
  </si>
  <si>
    <t>INVITATION TO BID FOR CONSTRUCTION OF MULTI PURPOSE BUILDING – BRGY. NANGI</t>
  </si>
  <si>
    <t>Rehabilitation of Local Access Road, Subec, Sta. Catalina, Ilocos Sur</t>
  </si>
  <si>
    <t>INVITATION TO BID FOR THE PROCUREMENT OF SUPPLY AND INSTALLATION OF VARIOUS EQUIPMENT AND FACILITIES</t>
  </si>
  <si>
    <t>Hire of Vehicle for Various DSWD-CAR Activities to All Provinces of Cordillera Administrative Region (CAR) from August to December 2020</t>
  </si>
  <si>
    <t>Construction of Brgy. S.M.H. Multi-Purpose Hall</t>
  </si>
  <si>
    <t>20BG0120 - Local Infrastructure Program – Local Roads – Concreting of Brgy. Dimalicu-lico, Palanan, Isabela</t>
  </si>
  <si>
    <t>Invitation to Bid for   Supply, Delivery and Commissioning  of  One (1) unit Brand New Portable Air Compressor</t>
  </si>
  <si>
    <t>ITB NO. GOP/20-DSWD-039 Provision of Multi-Year Contract for the Hiring of Service Provider for the Preventive Maintenance and Service Repair of Generator Sets of DSWD – Central Office (DSWD-CO) and N</t>
  </si>
  <si>
    <t>Procurement of ICT Supplies and Equipment</t>
  </si>
  <si>
    <t>INVITATION TO BID FOR THE REPAIR OF POST-HARVEST FACILITIES BUILDING IN NAVAL, BILIRAN</t>
  </si>
  <si>
    <t>20EA0053 - Application of Thermoplastic Pavement Markings along Marinduque Circumferential Road (S00001MQ), Dr. Damian Reyes Memorial Road (Boac Side) (S00029MQ), Dr. Damian Reyes Memorial Road (Torri</t>
  </si>
  <si>
    <t>RIPRAPPING AT GOVERNMENT CENTER (PHASE II)</t>
  </si>
  <si>
    <t>Procurement of Oil and Lubricants</t>
  </si>
  <si>
    <t>SECURITY SERVICES</t>
  </si>
  <si>
    <t>INVITATION TO BID FOR CONSTRUCTION OF MULTI PURPOSE BUILDING – BRGY. BUGCASAN NORTE</t>
  </si>
  <si>
    <t>NEGOTIATED PROCUREMENT ON THE PROVISION OF LABOR, MATERIALS, EQUIPMENT AND OTHER INCIDENTALS NEEDED FOR THE REHABILITATION/IMPROVEMENT OF BUNGRO DIVERSION DAM (DD) AT BRGY. BUNGRO, PINILI, ILOCOS NORT</t>
  </si>
  <si>
    <t>20CG0153 - Local Infrastructure Program: Multipurpose/ Facilities – Construction of Multi-Purpose Building (Covered Court) Brgy. Calibutbut, Bacolor, Pampanga</t>
  </si>
  <si>
    <t>Supply, Delivery, Installation and Commissioning of Various Material Handling Units, as per BSP Technical Specifications and Terms of Reference, including Equipment Handling/Safety Seminar/Training of</t>
  </si>
  <si>
    <t>OTHER SUPPLIES AND MATERIALS</t>
  </si>
  <si>
    <t>20CG0154 - Local Infrastructure Program: Local Roads – Improvement/ Rehabilitation of Brgy. Road, Laug Mexico, Pampanga</t>
  </si>
  <si>
    <t>MOBILE RICE MILL</t>
  </si>
  <si>
    <t>20FF0095 - Construction of Multi-Purpose Building, Barangay Binaliw, Calabanga, Camarines Sur</t>
  </si>
  <si>
    <t>20HM0091- Capital Outlay – Construction/Rehabilitation of Water Supply/Septage and Sewerage/Rain Water Collectors – Rain Water Collectors in Public Facilities – Region VII</t>
  </si>
  <si>
    <t>Supply, Delivery and Commissioning  of  One (1) unit Brand New Portable Generator Set</t>
  </si>
  <si>
    <t>INVITATION TO BID FOR  QUARTERLY COMPREHENSIVE MAINTENANCE PROGRAM FOR PHILIPS ALLURA FD 10/10 CARDIAC CATH. LAB MACHINE FOR ONE YEAR IB NO. GS 2020-003</t>
  </si>
  <si>
    <t>Procurement of Surgical Supply for the OR use of Dr. Rafael S. Tumbokon Memorial Hospital-EEDD, Kalibo, Aklan- /ITB no: 2020-361</t>
  </si>
  <si>
    <t>Procurement of HIV Rapid Diagnostic Test-2 (For rHIVda Confirmation) Re-Bid under IB No. 2020-208-A</t>
  </si>
  <si>
    <t>20CG0155 - Local Infrastructure Program: Local Roads – Concreting of Brgy. Road, Batasan, Arayat, Pampanga</t>
  </si>
  <si>
    <t>INFORMATION AND COMMUNICATION TECHNOLOGY EQUIPMENT</t>
  </si>
  <si>
    <t>MILITARY POLICE AND SECURITY EQUIPMENT</t>
  </si>
  <si>
    <t>PURCHASE OF ONE UNIT COMPACT FIRE FIGHTING PUMP FOR BFP VICTORIA USE</t>
  </si>
  <si>
    <t>Supply of Labor, Equipment and Restoration Materials for the Installation, Testing and Commissioning of 250mm Dia. Transmission Line along Amulung Solana Road, Centro, Solana, Cagayan (Calamagui Upgra</t>
  </si>
  <si>
    <t>Proposed Improvement of Day Care Center, Brgy. San Antonio, San Enrique, Iloilo</t>
  </si>
  <si>
    <t>NOTICE FOR NEGOTIATED PROCUREMENT OF INTERNET MODEM</t>
  </si>
  <si>
    <t>1.ON-GOING CONSTRUCTION OF MULTI-PURPOSE HALL 2.REHAB./IMPROVEMENT OF BRGY. PLAZA3.INSTALLATION OF STREET LIGHTS 4IMPROVEMENT OF PERIMETER FENCE.</t>
  </si>
  <si>
    <t>Construction of Two (2) Storey, Four (4) Classrooms School Building, Cal-litang Elmentary School at Sta. Maria, Pangasinan</t>
  </si>
  <si>
    <t>Procurement of 42 set CD4 Machine Control (Rebid)</t>
  </si>
  <si>
    <t>Supply and Delivery of School Equipment</t>
  </si>
  <si>
    <t>Procurement of Supply &amp; Delivery of Native Chicken (Typhoon Ursula)</t>
  </si>
  <si>
    <t>INVITATION TO BID FOR VETERINARY DRUGS AND MEDICINES (BID NO. 200716-13)</t>
  </si>
  <si>
    <t>PB BAC1-20-007 SUPPLY AND DELIVERY OF VARIOUS CONSTRUCTION SUPPLIES - CARPENTRY –  FOR 2020</t>
  </si>
  <si>
    <t>Procurement of Office Supplies for the use of Different Offices</t>
  </si>
  <si>
    <t>NEGOTIATED PROCUREMENT FOR THE PURCHASE OF MATERIALS FOR INSTALLATION OF 48" RCCP AT RIZAL STREET</t>
  </si>
  <si>
    <t>INVITATION TO BID FOR ROAD CONSTRUCTION MATERIALS (BID NO. 200716-09)</t>
  </si>
  <si>
    <t>Construction of Mabasa Potable Water Supply System (Level II)</t>
  </si>
  <si>
    <t>Construction of Two – Storey Six (6) Classroom PAGCOR Design  School Building at Panitan NHS, Panitan, Capiz Affected by  Typhoon Yolanda (Rebid)</t>
  </si>
  <si>
    <t>20GCE0007: Procurement of Materials for use in the Activity 309 - Other Traffic Services (Centerline and Laneline Repainting) and in the Repair and Maintenance of Various National Roads</t>
  </si>
  <si>
    <t>SUPPLY AND DELIVERY OF OFFICE SUPPLIES, FURNITURE AND EQUIPMENT FOR LGU-ROXAS, PALAWAN</t>
  </si>
  <si>
    <t>PURCHASE OF CERTIFIED SEEDS FOR LGU SUBSIDY PROGRAM (RE-BID)</t>
  </si>
  <si>
    <t>Improvement of Bagongbong "B" Elementary School, Bagongbong, Barotac Nuevo, Iloilo</t>
  </si>
  <si>
    <t>Hauling and disposal of Municipal Residual Waste at Material Recovery Facility (MRF), Brgy. Balayhangin, Calauan, Laguna</t>
  </si>
  <si>
    <t>PURCHASE OF MEDICAL SUPPLIES FOR SPECIAL PROGRAMS OF RHU 1 &amp; RHU 2 (1st &amp; 2nd Qtr)</t>
  </si>
  <si>
    <t>INVITATION TO BID FOR ELECTRICAL EQUIPMENT AND APPLIANCES -A (BID NO. 200716-07)</t>
  </si>
  <si>
    <t>PURCHASE OF SUPPLIES FOR BIRTHING STATION AT RHU 1(1st &amp; 2nd qtr 2020)</t>
  </si>
  <si>
    <t>MES - Educational Materials and Supplies, Services</t>
  </si>
  <si>
    <t>CW20-032-1 lot Road and Bridge Improvement of Alegria - Panag - Camanlangan (Fatima and Camanlangan Section) (Concreting of 3.392kms. road, installation of 2 lines - 910mmØ RCPC with headwall, constru</t>
  </si>
  <si>
    <t>INVITATION TO BID FOR VEHICLES (4 WHEELS) AND ACCESSORIES (BID NO. 200716-06)</t>
  </si>
  <si>
    <t>Procurement and Implementation of Personnel Management Information with Centralized Payroll System</t>
  </si>
  <si>
    <t>Procurement of One (1) unit Hydraulic Wheel Type Excavator with Hydraulic Breaker unit</t>
  </si>
  <si>
    <t>Procurement of One (1) Unit Brand New Tractor Head for the use in projects, repair and maintenance of various Provincial Roads, Province of Aklan/ITB no: 2020-362</t>
  </si>
  <si>
    <t>Construction of Perimeter Fence Ticket Booth and Movable Basketball Goal at Evacuation Center, Brgy. Camansi, Kabankalan City, Negros Occidental</t>
  </si>
  <si>
    <t>CW20-026-Rebid-1 Lot Construction of Water System, Liwanag Center, Brgy. Libasan (Construction of elevated tank, well drilling, installation of pipelines and 1 set 5.0Hp single phase submersible pump)</t>
  </si>
  <si>
    <t>SUPPLY OF LABOR &amp; MATLS FOR THE CONSTRUCTION OF MRF BUILDING</t>
  </si>
  <si>
    <t>Proposed Water Supply Rehabilitation</t>
  </si>
  <si>
    <t>CW20-031-1 lot Improvement of Hijo - Dumlan - Libay-libay - Sangab - Limbo Provincial Road(New Visayas - Sangab Section)(Concreting of 2.12kms. road,</t>
  </si>
  <si>
    <t>PURCHASE OF MEDICINE SUPPLIES FOR RHU 1 &amp; RHU 2 (1st &amp; 2nd qtr 2020)</t>
  </si>
  <si>
    <t>IMPROVEMENT OF PUBLIC MARKET</t>
  </si>
  <si>
    <t>CONSTRUCTION OF ENCLOSED PATHWAY WITH SCREEN AT VICTORIA PROCESSING PLANT AT BULO</t>
  </si>
  <si>
    <t>20FF0096 - Construction of Multi-Purpose Building (Covered Court), Barangay Lugsad, Calabanga,, Camarines Sur</t>
  </si>
  <si>
    <t>20FF0097 - Construction of Multi-Purpose Building, Brgy. San Felipe, Naga City</t>
  </si>
  <si>
    <t>CW20-030- 1 lot Improvement of Gabi - Cabacungan - Sto. Niño Provincial Road (Cabacungan Section) (Concreting of 2.47kms. road, installation of 3 lines - 910mmØ RCPC with headwall, 1 line - 1220mmØ RC</t>
  </si>
  <si>
    <t>INVITATION TO BID FOR SUPPLY AND DELIVERY OF CONSTRUCTION MATERIALS FOR THE PROPOSED ROAD CONCRETING (PHASE 1) AT POBLACION, LINAMON, LANAO DEL NORTE</t>
  </si>
  <si>
    <t>IMPROVEMENT OF FENCING &amp; GATE  AT MUNICIPAL COMPOUND</t>
  </si>
  <si>
    <t>CONCRETING OF ROAD AT SITIO MAROCCO STA BARBARA</t>
  </si>
  <si>
    <t>20FF0098 - Construction of Multi-Purpose Building, Brgy. San Isidro, Magarao, Camarines Sur</t>
  </si>
  <si>
    <t>RENOVATION/IMPROVEMENT OF OPEN SPACE AND MULTI-FUNCTION HALL AT CITY HOMES, BRGY. SAMPALOC IV, CITY OF DASMARIÑAS, CAVITE</t>
  </si>
  <si>
    <t>Ref. No. 2020-011 Procurement of Fully Developed Lots and Completed Housing Units Under NHA's Yolanda Permanent Housing Program - Las Casas Del Flor Phase 1,2,3,4 &amp; Matlang Heights Subd. Sites 1 &amp; 2</t>
  </si>
  <si>
    <t>Procurement of Multi-Purpose Shredder (200-300 kls/hr capacity)</t>
  </si>
  <si>
    <t>Supply &amp; Delivery of Hardware &amp; Construction Materials for Salvacion-Union CIS (CY 2020 FAW)</t>
  </si>
  <si>
    <t>20FF0099 - Construction of Multi-Purpose Building (Covered Court), Brgy. San Francisco, Calabanga, Camarines Sur</t>
  </si>
  <si>
    <t>Purchase of Various Medicines for RHU</t>
  </si>
  <si>
    <t>Opening of Barangay Road, Mahabang Tanaw to CSAP Site, Barangay Taquico</t>
  </si>
  <si>
    <t>PURCHASE OF FARM MACHINERIES</t>
  </si>
  <si>
    <t>Purchase of Mini Dump Truck 6 Wheeler 4 ton Garbage Truck High Side (Refurbish)</t>
  </si>
  <si>
    <t>20BE0048 (re-adv.) - CONSTRUCTION OF TWO-STOREY  (4 -CLASSROOMS) SCHOOL BUILDING CANSAN ES, CABAGAN, ISABELA</t>
  </si>
  <si>
    <t>CONCRETING OF PALAGAO-SUR-TAGUMAY ROAD (CONTINUATION) AT GATTARAN, CAGAYAN</t>
  </si>
  <si>
    <t>INVITATION TO BID FOR SUPPLY AND DELIVERY OF CONSTRUCTION MATERIALS FOR THE PROPOSED TWO-STOREY MULTI-PURPOSE BUILDING (PHASE 1) AT SITIO MANADI, BRGY. PURAKAN, LINAMON, LANAO DEL NORTE</t>
  </si>
  <si>
    <t>20BE0047 (re-adv.) - CONSTRUCTION OF TWO-STOREY  (6-CLASSROOMS) SCHOOL BUILDING SAN FELIPE E/S, CITY OF ILAGAN, ISABELA</t>
  </si>
  <si>
    <t>CONSTRUCTION OF HANGING BRIDGE PHASE II</t>
  </si>
  <si>
    <t>REHABILITATION OF BARANGAY ROADS OF 7 BARANGAYS AT KIBAWE (UPPER  PULANGI AREA) 2020</t>
  </si>
  <si>
    <t>20FG0101 - Site Development of DPWH Camarines Sur 4th Engineering District Complex Caraycayon, Tigaon, Camarines Sur</t>
  </si>
  <si>
    <t>INFRA2020-CDD-001/ MG-COM20-002 Repair/Rehab of Wharf with Integrated Elevation 702 masl. Marker at Brgy. Maindig, Binidayan, Lanao del Sur</t>
  </si>
  <si>
    <t>CONSTRUCTION OF MULTI-PURPOSE BUILDING LOCATED AT BRGY. SAMPALOC IV, CITY OF DASMARIÑAS, CAVITE</t>
  </si>
  <si>
    <t>INVITATION TO BID FOR GROCERIES (BID NO. 200716-03)</t>
  </si>
  <si>
    <t>Procurement of Garbage Compactor (5 cum capacity)</t>
  </si>
  <si>
    <t>Drugs &amp; Medicines 2020</t>
  </si>
  <si>
    <t>20FH0085 - LOCAL ROADS AND BRIDGES-LOCAL ROADS-CONSTRUCTION/REHABILITATION/IMPROVEMENT OF BRGY. DUGUI TOO TO DUGUI WALA, VIRAC, CATANDUANES</t>
  </si>
  <si>
    <t>Fencing of School Building ( 8 Spans) of Bagongbong Elementary School, Barangay Bagongbong, Barotac Nuevo, Iloilo</t>
  </si>
  <si>
    <t>Communication and Response Enhancement Program-Installation of Public Address System (Phase 2)</t>
  </si>
  <si>
    <t>20BE0049 (re-adv.) - CONSTRUCTION OF ONE-STOREY   (3 -CLASSROOMS) SCHOOL BUILDING SAN JUAN E/S , CABAGAN, ISABELA</t>
  </si>
  <si>
    <t>COMPLETION OF GYMNASIUM/EVACUATION CENTER</t>
  </si>
  <si>
    <t>Procurement of Cacao Planting Materials &amp; Soil Enhancer-DA,Lopez Jaena,Misamis Occidental</t>
  </si>
  <si>
    <t>Purchase of Dairy Goat &amp; Cattle, Dairy Buffalo, and Meat-type goat including animal feeds</t>
  </si>
  <si>
    <t>Construction of Multi-Purpose Building @ Brgy. New Canaan, Titay, Zamboanga Sibugay (INFR-2020-034)</t>
  </si>
  <si>
    <t>Construction of Water System (Drilling) @ Brgy. Tupilac, R.T. Lim, Zamboanga Sibugay (INFR-2020-031)</t>
  </si>
  <si>
    <t>Ref. No. 2020-012 Procurement of Fully Developed Lots and Completed Housing Units Under NHA's Yolanda Permanent Housing Program - Our Lady of Assumption, Tanauan</t>
  </si>
  <si>
    <t>INFRA2020-CDD-002/ MG-COM20-003 Construction of Wharf with Integrated Elevation 702 masl. Marker at Brgy. Taliogon, Ganassi, Lanao del Sur</t>
  </si>
  <si>
    <t>Construction of Brgy Evacuation Center @ Brgy. Casacon, R.T. Lim, Zamboanga Sibugay (No. INFR-2020-029)</t>
  </si>
  <si>
    <t>Construction of Mangrove Boardwalk @ Brgy. Buluan, Ipil, Zamboanga Sibugay (INFR-2020-030)</t>
  </si>
  <si>
    <t>Construction of Water System (Drilling) @ Brgy. San Pedro, Tungawan, Zamboanga Sibugay (INFR-2020-032)</t>
  </si>
  <si>
    <t>Ref. No. 2020-015 Procurement of Fully Developed Lots and Completed Housing Units Under NHA's Yolanda Permanent Housing Program - Tingib Homes, Pandan</t>
  </si>
  <si>
    <t>CONSTRUCTION OF THREE CLASSROOM SCHOOL BUILDING AT SITIO PINUTULAN, CAPISSAYAN NORTE, GATTARAN, CAGAYAN</t>
  </si>
  <si>
    <t>INVITATION TO BID FOR LABOR AND MATERIALS FOR THE CONSTRUCTION OF TINAGO FALLS DEVELOPMENT PROJECT (MULTI-PURPOSE HALL) PHASE 2</t>
  </si>
  <si>
    <t>Construction of Multi-Purposed Building (Tourism Information and Assistance Center) @ Brgy Sapang Uwak, Porac, Pampanga</t>
  </si>
  <si>
    <t>Repair of Lined Canal, Agan Road, Brgy. Sta.Cruz, City of Koronadal</t>
  </si>
  <si>
    <t>Construction of Water System (Drilling) @ Brgy. Tilasan Roseller R.T. Lim, Zamboanga Sibugay (INFR-2020-033)</t>
  </si>
  <si>
    <t>Construction of Multi-Purpose Hall for Livelihood for Barangay Lim-ao Resettlement Site Home Owners Association (BLRSHOA)</t>
  </si>
  <si>
    <t>Construction of Boat / Fish Landing (Phase I) @ Brgy. Buluan, Ipil, Zamboanga Sibugay (INFR-2020-028)</t>
  </si>
  <si>
    <t>Installation of Airconditioned unit at Multi Purpose Hal, Child Development Center &amp; Barangay Health Center at Brgy. San Jose, Alaminos City, Pangasinan</t>
  </si>
  <si>
    <t>PB2020-06-005 GAA Modernization of Two (2) Units Passenger Elevators in the Higher Education Development Center (HEDC) Building</t>
  </si>
  <si>
    <t>SUPPLY AND DELIVERY OF FUEL FOR CY 2020</t>
  </si>
  <si>
    <t>Labor and Materials for the Construction of Office Cabinet and Pantry at New RHU, Wawa, Orion, Bataan</t>
  </si>
  <si>
    <t>Construction of Deep Wells Potable Water 5 Sitio's ( Quarry, Apalili, Centro, Hantud &amp; Kagisukan)</t>
  </si>
  <si>
    <t>Concreting of Brgy, Road @ Sitio Targetan</t>
  </si>
  <si>
    <t>Peace Keeping Action Team Assistance Program</t>
  </si>
  <si>
    <t>Ref. No. 2020-014 Procurement of Fully Developed Lots and Completed Housing Units Under NHA's Yolanda Permanent Housing Program - Sta. Fe Residences, Pandan</t>
  </si>
  <si>
    <t>Maintenance &amp; Upgrading of CCTV Units</t>
  </si>
  <si>
    <t>INVITATION TO BID PROCUREMENT OF WAREHOUSE HANDLING (AND ALLIED) SERVICES FOR GRAINS FOR NFA EASTERN VISAYAS REGION (REGION VIII) FOR CALENDAR YEAR 2020</t>
  </si>
  <si>
    <t>Pathway</t>
  </si>
  <si>
    <t>Improvement of Child Friendly Park</t>
  </si>
  <si>
    <t>Construction of Multi-Purpose Building @ Lindang, Diplahan, Zamboanga Sibugay (INFR-2020-035)</t>
  </si>
  <si>
    <t>ACQUISITION OF HEAVY EQUIPMENT</t>
  </si>
  <si>
    <t>VARIOUS TONER CARTRIDGE  FOR EPSON WORKFORCE PRINTERS</t>
  </si>
  <si>
    <t>PROCUREMENT OF SURGICAL AND WOUND CARE SUPPLIES</t>
  </si>
  <si>
    <t>PBS 20-073A STRUCTURED CABLING FOR UP ITDC</t>
  </si>
  <si>
    <t>Construction of Multi-Purpose Building (Evacuation Center)</t>
  </si>
  <si>
    <t>SUPPLY OF LABOR AND MATERIALS FOR THE ESTABLISHMENT OF FARM MACHINERY SHED OF (BPI-LBNCRDPSC, LOS BAÑOS, LAGUNA</t>
  </si>
  <si>
    <t>P.B. No. 2020-31 (GOODS) Sustainability of Document Processing Division Back-end Infrastructure</t>
  </si>
  <si>
    <t>NOTICE FOR NEGOTIATED PROCUREMENT OF ICT EQUIPMENT AND MATERIALS</t>
  </si>
  <si>
    <t>Provision of Security Services to the various District Hospitals of the Provincial Government of Cagayan (PGC)</t>
  </si>
  <si>
    <t>Municipal Drainage System Plan at Dinapigue, Isabela</t>
  </si>
  <si>
    <t>PROCUREMENT OF SUPPLY AND DELIVERY OF SPORTS EQUIPMENTS</t>
  </si>
  <si>
    <t>SUPPLY AND DELIVERY OF CHLORINE DIOXIDE FOR WATER TREATMENT OF TANZA WATER   DISTRICT (TWD)</t>
  </si>
  <si>
    <t>SUPPLY &amp; DELIVERY OF MATERIALS FOR GENERATION, TRANSMISSION AND DISTRIBUTION OF NWSS SERVICES 2ND QTR CY 2020</t>
  </si>
  <si>
    <t>Ceiling Board Acoustic</t>
  </si>
  <si>
    <t>CONSTRUCTION OF STAGE AT RIZAL NATIONAL HIGH SCHOOL, BRGY. RIZAL, KANANGA, LEYTE - REPOST</t>
  </si>
  <si>
    <t>SUPPLY &amp; DELIVERY OF MATERIALS FOR THE CONSTRUCTION OF MULTIPURPOSE STALLS (PAVILION)-B</t>
  </si>
  <si>
    <t>SUPPLY &amp; DELIVERY OF MATERIALS FOR THE CONSTRUCTION OF MULTIPURPOSE STALLS (PAVILION)</t>
  </si>
  <si>
    <t>PROCUREMENT OF OFFICE OR SCHOOL SUPPLIES AND EQUIPMENTS</t>
  </si>
  <si>
    <t>PURCHASE OF ONE (1) UNIT PATROL CAR</t>
  </si>
  <si>
    <t>PROCUREMENT OF ASSORTED GOODS</t>
  </si>
  <si>
    <t>INVITATION TO BID FOR SUPPLY AND DELIVERY OF VARIOUS MATERIALS  FOR THE CONSTRUCTION OF THE MAIN OFFICE BUILDING EXTENSION</t>
  </si>
  <si>
    <t>SUPPLY AND DELIVERY  OF CORRUGATED   GI SHEET FOR THE IDENTIFIED PARTIALLY DAMAGED OF TYPHOON TISOY IN THE CITY OF SORSOGON (2ND CALL)</t>
  </si>
  <si>
    <t>Procurement of Drugs and Medicines to be used by City Health Office</t>
  </si>
  <si>
    <t>Invitation to Bid - Supply and Delivery of Limestone for Embankment/Site Development/Construction of Motorpool Building at Barangay Cambanay, Danao City</t>
  </si>
  <si>
    <t>Procurement of Drugs and Medicines to be used by Central Pharmacy</t>
  </si>
  <si>
    <t>Procurement of Various Janitorial and Other Maintenance Supplies for the use of the Departments of LGU- Mabalacat City</t>
  </si>
  <si>
    <t>supply and Delivery of Medicines and Medical Supplies for the 1st and 2nd quarter 2020</t>
  </si>
  <si>
    <t>Garbage Collection at Barangay Bel-Air for CY 2020</t>
  </si>
  <si>
    <t>CONSTRUCTION OF LOCAL ROADS- CAOIGUE</t>
  </si>
  <si>
    <t>CONCRETING OF BARANGAY STREET, Brgy. Can-ilay, Can-avid Eastern Samar</t>
  </si>
  <si>
    <t>Procurement of Water Filter and Purifier for Child Development Center</t>
  </si>
  <si>
    <t>PROCUREMENT OF LABORATORY EQUIPMENT</t>
  </si>
  <si>
    <t>One (1) Lot - Supply of Forty-three (43) Minimum Wage Personnel and Related Services, as per BSP Terms of Reference</t>
  </si>
  <si>
    <t>Road Concreting at Barangay Balliao</t>
  </si>
  <si>
    <t>Supply and Delivery of the following Security Uniforms, as per  BSP Terms of Reference, Specifications and Drawings</t>
  </si>
  <si>
    <t>Concreting of Core Local Access Road of Barangay Villaluz to New Magsaysay</t>
  </si>
  <si>
    <t>PROCUREMENT OF CIVIL WORKS FOR BALINGASAG RIS 2020 CCAW (SUPP)</t>
  </si>
  <si>
    <t>Shielded metal arc welding</t>
  </si>
  <si>
    <t>Supply and Delivery of Poulty Animal</t>
  </si>
  <si>
    <t>SUPPLY AND DELIVERY OF 1,175 BOTTLES SPINETORAM AND 1,000 BOTTLES CHLORANTRANILIPROLE PESTICIDES TO BE USED FOR THE PREVENTION AND CONTROL MANAGEMENT AGAINST FALL ARMYWORM UNDER CORN PROGRAM FOR CY 20</t>
  </si>
  <si>
    <t>PURCHASE, DELIVERY &amp; INSTALLATION OF 2 UNITS HIGH VOLUME LOW   SPEED (HVLS) CEILING FAN</t>
  </si>
  <si>
    <t>PROCUREMENT OF EXPENDABLE MEDICAL SUPPLIES (RE-BID)</t>
  </si>
  <si>
    <t>STREETLIGHTS PROJECT FOR BLACK SPOT LOCATIONS (GAD PROJECT) Along Aurora Blvd. / Marcos Highway (Katipunan Ave. To Marikina Bridge 1.20 Kilometers)</t>
  </si>
  <si>
    <t>Supply and Replacement of LED Streetlights at the following locations: Along Buendia Ave., (Taft Ave. to Tramo St.), Makati City along Mayor Ignacio Diaz St. (N. Domingo St. to EDSA), Quezon City alon</t>
  </si>
  <si>
    <t>Supply &amp; Delivery of Materials for Installation of Deep &amp; Shallow Payao</t>
  </si>
  <si>
    <t>Supply &amp; Delivery of Materials for Establishment of Vermi Culture</t>
  </si>
  <si>
    <t>Supply &amp; Delivery of Agricultural Supplies for Establishment of Rice Model Farm</t>
  </si>
  <si>
    <t>SUPPLY AND DELIVERY OF 4,000 PACKS FALL ARMY-LURE (PHEROMONE LURE) TO BE USED FOR THE PREVENTION AND CONTROL MANAGEMENT AGAINST FALL ARMYWORM UNDER CORN PROGRAM FOR CY 2020</t>
  </si>
  <si>
    <t>20-05-0564 Supply and Delivery of Materials for Tilapia Culture in Fish Cage as Livelihood Support Project of BFAR 8 under the “Ahon Lahat, Pagkaing Sapat Kontra sa Covid-19 (ALPAS)” in the Region</t>
  </si>
  <si>
    <t>3134-20 Procurement of Drugs and Medicines</t>
  </si>
  <si>
    <t>20-04-0511 Supply and Delivery of Materials for the Intensive Tilapia Culture in Pond (with Life Support System) as Livelihood Support Project of BFAR 8 under the “Ahon Lahat, Pagkaing Sapat Kontra sa</t>
  </si>
  <si>
    <t>20-03-0414 Supply and Delivery of Feeds and Fingerlings for Bangus Production in Cage Project for the Municipalities of Tabango, Calubian and San Isidro, Leyte under SAAD Program 2020</t>
  </si>
  <si>
    <t>Construction of Rimos National High School Pavilion and Completion of School Perimeter Fence, Luna</t>
  </si>
  <si>
    <t>Construction of Luna Farmers Trading Center, Luna</t>
  </si>
  <si>
    <t>Construction of Pagdildilan Farm to Market Road, San Juan</t>
  </si>
  <si>
    <t>Rehabilitation and Improvement of Bacnotan-San Gabriel Road (San Juan Section), San Juan</t>
  </si>
  <si>
    <t>Repair/Maintenance of DPWH Building, Main Building, QAS and Others</t>
  </si>
  <si>
    <t>Supply and Replacement of LED Solar Powered Streetlights along Quirino Highways 3.75 Kilometers (from Quezon City / Caloocan Boundary to Malaria St.)</t>
  </si>
  <si>
    <t>Supply of Fuel (Gasoline and Diesel) – Part2</t>
  </si>
  <si>
    <t>Supply and Delivery of Construction Materials for Routine Maintenance (Construction Materials / Hand Tools &amp; Paints) (Bridges) (CY-2020-2nd Quarter).</t>
  </si>
  <si>
    <t>SUPPLY AND DELIVERY TRAINING MATERIALS with 8-units SEWING MACHINE and STARTER-KIT FOR THE BASIC SKILLS TRAINING IN DRESSMAKING AND BEADS MAKING</t>
  </si>
  <si>
    <t>20-04-0503 Supply and Delivery of Tilapia Feeds for Tilapia Culture Livelihood and Techno Demo Projects of BFAR 8 under the “Ahon Lahat, Pagkaing Sapat Kontra sa Covid-19 (ALPAS)” in the Region</t>
  </si>
  <si>
    <t>Supply of Item 310 (FD) for the use of MMIIDEO for Various 	National Roads (CY-2020-2nd Quarter).</t>
  </si>
  <si>
    <t>PURCHASE AND DELIVERY OF MACHINERY AND EQUIPMENT FOR OMM-OPERATION OF SLAUGHTERHOUSE</t>
  </si>
  <si>
    <t>PURCHASE OF PICK UP WITH CANOPY</t>
  </si>
  <si>
    <t>SUPPLY AND DELIVERY OF CONSTRUCTION SUPPLIES FOR THE REHABILITATION OF MAYOR’S OFFICE PHASE 2</t>
  </si>
  <si>
    <t>Construction of Covered Court Phase I</t>
  </si>
  <si>
    <t>SOIL TESTING/EXPLORATION (FOR CY 2021 REGULAR INFRASTRUCTURE PROJECTS, BATCH 2)</t>
  </si>
  <si>
    <t>BID OPENING - PROCUREMENT OF 1 UNIT BRAND NEW 12 SEATER VAN</t>
  </si>
  <si>
    <t>Repair/Maintenance of : A. Nabuangan Flood Control , Ripang, Conner Sta. o+000-Sta 0+050 &amp; Sta 0+053-Sta 0+171, Apayao B. Karikitan Flood Control, Conner, Apayao Sta. 000+000-Sta.000+018</t>
  </si>
  <si>
    <t>SUPPLY AND DELIVERY OF CONSTRUCTION SUPPLIES FOR THE IMPROVEMENT OF ACCOUNTING OFFICE PHASE 2</t>
  </si>
  <si>
    <t>Repair/Maintenance of National Road (Activity 411-Emergency Project) along Conner - Kabugao Road, K0588+(-130) - K0588+(-100) Kabugao, Apayao</t>
  </si>
  <si>
    <t>Purchase of Emergency Rescue Vehicle, Brgy. Caidiocan</t>
  </si>
  <si>
    <t>IMPROVEMENT OF PANAAD BOOTH AT THE PANAAD PARK,BRGY. ALIJIS, BACOLOD CITY</t>
  </si>
  <si>
    <t>Invitation to Bid - Supply and Delivery of Eighteen (18) Units Computer Laptop (SP)</t>
  </si>
  <si>
    <t>CONSTRUCTION/COMPLETION OF MULTI-PURPOSE HALL</t>
  </si>
  <si>
    <t>20GAD0005 : Purcahse of Road/Traffic Warning Signs for use along Manila North Road, Tagudin-Santa Section ( accident blackspot), K0313+(-103)-K0395+149</t>
  </si>
  <si>
    <t>20DN0174 - REHABILITATION OF NHA ROAD WITH DRAINAGE, BRGY. SAN ISIDRO, ANTIPOLO CITY</t>
  </si>
  <si>
    <t>20GDN0003 - REPAIR AND MAINTENANCE OF VARIOUS NATIONAL ROADS (REFLECTORIZED THERMOPLASTIC PAVEMENT MARKINGS), DPWH – RIZAL I DISTRICT ENGINEERING OFFICE BINANGONAN, RIZAL</t>
  </si>
  <si>
    <t>Concreting of Sta. Maria Street to Bernardo Street at 100 meters at Brgy. Bato, Gamay, Northern Samar</t>
  </si>
  <si>
    <t>20GAD0004: Supply and Delivery of materials for the Repair and Maintenance, along Tagudin-Cervantes Road</t>
  </si>
  <si>
    <t>20DN0175 - REHABILITATION OF MULTI - PURPOSE BUILDING SITIO GUMAMELA, BRGY. STA. CRUZ, ANTIPOLO CITY</t>
  </si>
  <si>
    <t>SUPPLY AND DELIVERY OF MEDICINES</t>
  </si>
  <si>
    <t>20DN0173 - CONSTRUCTION OF SPORTS FACILITY BUILDING AT BLUEBELLS, BRGY. MAYAMOT, ANTIPOLO CITY, RIZAL</t>
  </si>
  <si>
    <t>20DN0172 - CONSTRUCTION OF MULTI-PURPOSE BUILDING BRGY. TAYUMAN, BINANGONAN, RIZAL</t>
  </si>
  <si>
    <t>20DN0170 - REHABILITATION OF MULTI - PURPOSE BUILDING (ANTIPOLO SPORTS HUB), SITIO ORETA, BARANGAY SAN ISIDRO, ANTIPOLO CITY</t>
  </si>
  <si>
    <t>Contract for the Concreting of Road Section at Cosmos St. to Fd. Rd. #4, Phase 2</t>
  </si>
  <si>
    <t>Establishment of Passenger's Terminal Phase 1 at Barangay Poblacion, Biri, Northern Samar</t>
  </si>
  <si>
    <t>20DN0166 - CONSTRUCTION AND/OR REPAIR/REHABILITATION OF MULTI - PURPOSE BUILDING, BRGY. SAN ISIDRO, ANGONO, RIZAL</t>
  </si>
  <si>
    <t>20DN0134 (Re-bid) - REHABILITATION OF ROADS WITH DRAINAGE SYSTEM, PUROK 4, COLLEGE VIEW PARK, BRGY. CUPANG, ANTIPOLO CITY, RIZAL</t>
  </si>
  <si>
    <t>20DN0130 (Re-Schedule) - REHABILITATION OF ROAD WITH DRAINAGE AT ORCHID ST., GREENHEIGHTS SUBD., MAYAMOT , ANTIPOLO CITY, RIZAL</t>
  </si>
  <si>
    <t>Establishment of Passenger's Terminal at Barangay Sto. Nino, Biri, Northern Samar</t>
  </si>
  <si>
    <t>Repair &amp; Maintenance of School Building &amp; Facilities</t>
  </si>
  <si>
    <t>20DN0128 (Re-Schedule) - CONCRETING OF ROAD, BRGY. SAN JUAN, ANTIPOLO CITY, RIZAL</t>
  </si>
  <si>
    <t>20DN0167 - CONSTRUCTION/ REHABILITATION OF WATER SUPPLY/ SEPTAGE AND SEWERAGE/RAINWATER COLLECTORS – RAINWATER COLLECTORS IN PUBLIC FACILITIES, RIZAL 1ST LEGISLATIVE DISTRICT</t>
  </si>
  <si>
    <t>Supply &amp; Delivery of Materials for Fencing of Municipal Agriculture Office Compound</t>
  </si>
  <si>
    <t>Repair/Maintenance of DILG Building NAPOLCOM RO-V Main Building Rawis, Legazpi City, Albay</t>
  </si>
  <si>
    <t>Supply &amp; Delivery of Materials for Rehabilitation of Julve Street, Cantilan</t>
  </si>
  <si>
    <t>Collection, Transportation, Treatment and Proper Disposal of Hazardous and Toxic Health Care Wastes Generated using Non-burn Technology for the 5 District Hospitals</t>
  </si>
  <si>
    <t>Supply and Delivery of Various Office Equipment for MDRRM Office</t>
  </si>
  <si>
    <t>Procurement/Installation of CCTV</t>
  </si>
  <si>
    <t>20DN0129 (Re-Schedule) - CONSTRUCTION/ REHABILITATION OF MULTI - PURPOSE BUILDING, ANTIPOLO CITY, RIZAL</t>
  </si>
  <si>
    <t>Procurement of Office Supplies of Barangay Magallanes</t>
  </si>
  <si>
    <t>Supply, Delivery and Installation of Office Furnitures and Fixtures</t>
  </si>
  <si>
    <t>CONCRETING OF ROADS MUNICIPAL WIDE AT  BRGY. POBLACION, KANANGA, LEYTE</t>
  </si>
  <si>
    <t>SUPPLY AND DELIVERY OF MEALS AND SNACKS and FACILITATOR’S ACCOMMODATION FOR THE BASIC SKILLS TRAINING IN DRESSMAKING AND BEADS MAKING</t>
  </si>
  <si>
    <t>Supply &amp; Delivery of Materials for Rehabilitation of Brgy. Road at Toog to Hibjok (Timber Bridge)</t>
  </si>
  <si>
    <t>20GDN0004 - SUPPLY OF 5.10 DRUMS BITUMINOUS TACK COAT AND 298.41 M.T. BITUMINOUS CONCRETE SURFACE COURSE ALONG CAINTA KAYTIKLING ANTIPOLO ROAD, K0021+730 – K0021+973 (S01598LZ), TAYTAY, RIZAL</t>
  </si>
  <si>
    <t>20DN0135 (Re-Schedule) - CONSTRUCTION AND/ OR REPAIR/ REHABILITATION OF MULTI - PURPOSE BUILDING, BRGY. KALAWAAN, BINANGONAN, RIZAL</t>
  </si>
  <si>
    <t>Procurement of Comprehensive Maintenance Service Agreement for Virtualization Software</t>
  </si>
  <si>
    <t>Procurement of One (1) Unit Boom truck w/ complete Accessories  PR # 20-06-992</t>
  </si>
  <si>
    <t>INSTALLATION OF POWER,  DISTRIBUTION LINE AND COMMUNICATION SYSTEMS</t>
  </si>
  <si>
    <t>Supply and delivery of Various DRUGS AND MEDICINES - for various programs of the City Health Office</t>
  </si>
  <si>
    <t>20DN0144 (Re-Schedule) - CONSTRUCTION OF PEDESTRIAN OVERPASS, BRGY. MAMBUGAN, ANTIPOLO CITY</t>
  </si>
  <si>
    <t>20DN0143 (Re-Schedule) - CONSTRUCTION OF MULTI - PURPOSE BUILDING, BRGY. TATALA, BINANGONAN, RIZAL</t>
  </si>
  <si>
    <t>20DN0142 (Re-Schedule) - CONSTRUCTION OF MULTI - PURPOSE BUILDING, BRGY. LIBID, BINANGONAN, RIZAL</t>
  </si>
  <si>
    <t>Supply, delivery &amp; installation of TV, Speaker and Microphones (Mayor's Office - Conf. Room)</t>
  </si>
  <si>
    <t>CONSTRUCTION OF ADDITIONAL TOMBS / BONE VAULTS AT MUNICIPAL CEMETERY, BRGY. MONTEBELLO, KANANGA, LEYTE</t>
  </si>
  <si>
    <t>20DN0141 (Re-Schedule) - ASPHALT OVERLAY, BRGY.MAYAMOT, ANTIPOLO CITY</t>
  </si>
  <si>
    <t>PROCUREMENT OF  ONE (1) UNIT MOTOR VEHICLE (PASSENGER VAN)</t>
  </si>
  <si>
    <t>20DN0139 (Re-Schedule) - CONSTRUCTION OF PEDESTRIAN OVERPASS, BRGY. DELA PAZ, ANTIPOLO CITY</t>
  </si>
  <si>
    <t>20DN0138 (Re-Schedule) - REHABILITATION OF ROAD AND DRAINAGE SYSTEM AT BROOKSIDE HILLS, BRGY. SAN JUAN, CAINTA, RIZAL</t>
  </si>
  <si>
    <t>Straight Contract for Construction of Multi-Purpose Building - Dialysis Center at City Health Compound, Brgy. I-Pob., Himamaylan City</t>
  </si>
  <si>
    <t>CONSTRUCTION OF FLOOD CONTROL AND RETAINING WALL AT BRGY. MAHAWAN, KANANGA, LEYTE</t>
  </si>
  <si>
    <t>Supply &amp; Delivery of Five (5) units Mini Dump truck - Surplus Reconditioned for use of Various Barangays, Himamaylan City</t>
  </si>
  <si>
    <t>Proposed Construction of Four (4) Storey-Forty Eight (48) Rooms – School Building and Facilities at PNSB - Phase 2</t>
  </si>
  <si>
    <t>Straight Contract for Improvement of Commission House, Brgy. Aguisan, Himamaylan City</t>
  </si>
  <si>
    <t>Straight Contract for Rehabilitation of Covered Court, Brgy. Sara-et, Himamaylan City</t>
  </si>
  <si>
    <t>20DN0140 (Re-Schedule) - CONSTRUCTION OF PEDESTRIAN OVERPASS, BRGY. STA. CRUZ, ANTIPOLO CITY</t>
  </si>
  <si>
    <t>ADDITIONAL ROAD CONCRETING, CANAL AND PATHWALK AT LIWASANG PANGKALIKASAN, PRENZA I</t>
  </si>
  <si>
    <t>FILLING MATERIAL FOR ROADWAY FROM VILLA MONTEVERDE TO TABON CREEK, NAGBALON</t>
  </si>
  <si>
    <t>20DN0131 (Re-Schedule) - REHABILITATION OF ROAD AND DRAINAGE SYSTEM, ANTIPOLO HILLS MUNICIPAL ROAD, BRGY. SAN LUIS, ANTIPOLO CITY</t>
  </si>
  <si>
    <t>Supply &amp; Delivery of Materials for Construction of Open Canal at Poblacion Cantilan</t>
  </si>
  <si>
    <t>PROCUREMENT FOR DEPED RO8 CY 2020 GENERAL SUPPLIES</t>
  </si>
  <si>
    <t>Straight Contract for Water Project (Bingig, Valencia, Verde), Brgy. III-Poblacion, Himamaylan City</t>
  </si>
  <si>
    <t>Straight Contract for Installation of Street Lights (Phase 2) Along National Highway, Brgy. Talaban to So. Naga, Brgy. Su-ay, Himamaylan City</t>
  </si>
  <si>
    <t>SUPPLY AND DELIVERY OF ONE (1) – UNIT RESCUE VEHICLE</t>
  </si>
  <si>
    <t>PACKAGE OF PROJECTS, IMPROVEMENT OF DRAINAGE SYSTEM AT PUROK SAN MARCUS AND REHABILITATION AND CONSTRUCTION OF CONCRETE CANAL COVER FOR THE EXISTING CONCRETE CANAL FROM MINTRADE DRIVE TO PUROK FATIMA</t>
  </si>
  <si>
    <t>REI NO. GOP/20-DSWD-001- HIRING OF CONSULTANCY FIRM FOR THE CONDUCT OF EXTERNAL SPOT CHECK OF THE PANTAWID PAMILYANG PILIPINO PROGRAM OPERATIONS (SPOT CHECK 2020)</t>
  </si>
  <si>
    <t>DEEP WELL (SUBMERSIBLE) FOR LIWASANG PANGKALIKASAN PRENZA I</t>
  </si>
  <si>
    <t>PREVENTIVE MAINTENANCE for one (1) lot Various MEDICAL EQUIPMENT of the Radiology Department of the PCGH (August to December 2020)</t>
  </si>
  <si>
    <t>20CSFM0001 Consulting Services for Sub-Soil Investigation for FY 2021 Proposed Bridge, Flood Control/Shore Protection and Slope Protection Projects, Ticao Island and Burias Island, Masbate</t>
  </si>
  <si>
    <t>20DN0137 (Re-Schedule) - CONSTRUCTION/ IMPROVEMENT OF CLIFFSIDE AND ROAD WIDENING WITH DRAINAGE SYSTEM, BRGY. MACAMOT, BINANGONAN, RIZAL</t>
  </si>
  <si>
    <t>20DN0136 (Re-Schedule) - REPAIR/ REHABILITATION OF DRAINAGE SYSTEM, A. RODRIGUEZ AVE.,  BRGY. SAN ANDRES, CAINTA, RIZAL</t>
  </si>
  <si>
    <t>SUPPLY AND DELIVERY OF 2,000 BOTTLES ORGANIC PESTICIDES TO BE USED FOR THE PREVENTION AND CONTROL MANAGEMENT AGAINST FALL ARMYWORM UNDER CORN PROGRAM FOR CY 2020</t>
  </si>
  <si>
    <t>IMPROVEMENT OF MAIN ELECTRICAL POWER SUPPLY LINES - LGU BALETE (MATAERIALSONLY) RE-BID</t>
  </si>
  <si>
    <t>Consulting Service for the National Survey on the Awareness of Private Firms on the Philippine Competition Act and the Philippine Competition Commission</t>
  </si>
  <si>
    <t>Design and Construction of Housing Facilities for Waste Granulator and Brick Making Equipment at Vitas Pumping Station, Tondo, Manila</t>
  </si>
  <si>
    <t>Invitation to Bid for Concreting of San Pedro Farm to Market Road</t>
  </si>
  <si>
    <t>SUPPLY &amp; DELIVERY OF MATERIALS FOR WATER METER AND GATE VALVES FOR WATER CONNECTIONS OF NWSS CONSUMERS</t>
  </si>
  <si>
    <t>ITB Laboratory Equipment and Field Monitoring Equipment</t>
  </si>
  <si>
    <t>CONCRETING OF ROAD WITH COVERED CANALS BOTH SIDES AT PUROK SAN FRANCISCO ENTRANCE ROAD, BARANGAY CENTRO (SAN JUAN), AGDAO DISTRICT DAVAO CITY</t>
  </si>
  <si>
    <t>PURCHASE OF BARANGAY DISASTER RISK REDUCTION MANAGEMENT COMMITTEE RESCUE VEHICLE (BONGO) OF BRGY. SALVACION, PANABO CITY.</t>
  </si>
  <si>
    <t>IMPROVEMENT OF MULTI-PURPOSE BUILDING AT PUROK SAN MIGUEL, BARANGAY CENTRO, AGDAO DISTRICT, DAVAO CITY</t>
  </si>
  <si>
    <t>Procurement for the Supply and Delivery of 200 Units Printer (3 in 1) for DepEd City Division, City of Koronadal</t>
  </si>
  <si>
    <t>ROAD CONCRETING AT BRGY. MULTI PURPOSE GYM GROUND</t>
  </si>
  <si>
    <t>Procurement for the Supply and Delivery of Various Construction Materials Lot 1, 2 &amp; 3, City of Koronadal</t>
  </si>
  <si>
    <t>Installation of Airconditioned Unit and Electrical Works at Multi Purpose Hall, Brgy. Balangobong, Alaminos City, Pangasinan</t>
  </si>
  <si>
    <t>IMPROVEMENT/CONCRETING OF SAN VICENTE BRGY. ROAD</t>
  </si>
  <si>
    <t>Supply and Delivery of Vehicle for National Capital Regional Office</t>
  </si>
  <si>
    <t>Improvement of Barangay Health Center at Brgy. Ipil Heights, Ipil, Zamboanga Sibugay (INFR-2020-009) -REBID</t>
  </si>
  <si>
    <t>Construction of Foot Bridge at Brgy. Gandaan - Brgy. Galas, Olutanga, Zamboanga Sibugay (INFR-2020-037)</t>
  </si>
  <si>
    <t>20FH0087 - CONSTRUCTION OF FOUR (4) STOREY SIXTEEN (16) CLASSROOM – TWO (2) UNITS (7X18) SCIENCE LABORATORY, TWO (2) UNITS (7X18) ICT LABORATORY AND FOUR (4) UNITS (7X18) REGULAR WORKSHOP SCHOOL BUILD</t>
  </si>
  <si>
    <t>Invitation to Bid for Service Vehicle (Chariot)</t>
  </si>
  <si>
    <t>INVITATION TO BID FOR LABOR AND MATERIALS FOR THE IMPROVEMENT/ENHANCEMENT OF HISTORICAL SITES</t>
  </si>
  <si>
    <t>Ref. No. 2020-013 Procurement of Fully Developed Lots and Completed Housing Units Under NHA's Yolanda Permanent Housing Program - Prime Town IV, Tanauan</t>
  </si>
  <si>
    <t>Procurement for the Supply and Delivery of Thirteen (13) Units Duplicating Machine for DepEd City Division, City of Koronadal</t>
  </si>
  <si>
    <t>SUPPLY AND DELIVERY OF 1 UNIT BRAND NEW MOBILE X-RAY MACHINE TRUCK</t>
  </si>
  <si>
    <t>Concreting of Tomitom Brgy. Road @ Brgy. Tomitom, Ipil, Zamboanga Sibugay (INFR-2020-036)</t>
  </si>
  <si>
    <t>Procurement for the Supply and Delivery of 40 Units Laptop Computers for DepEd City Division, City of Koronadal</t>
  </si>
  <si>
    <t>Procurement of Beractant Suspension</t>
  </si>
  <si>
    <t>Straight Contract for Construction of Health Center, GIDA Area, Brgy. Buenavista, Himamaylan City</t>
  </si>
  <si>
    <t>20L00137 : Construction of Concrete Bridge – Matina Aplaya Bridge, Davao City</t>
  </si>
  <si>
    <t>Procurement of Office Supplies (Printer ink)</t>
  </si>
  <si>
    <t>20L00043 : Construction of Concrete Road – Bypass Road at Jct. Daang Maharlika Road – Carmelite Road – Mahayag St. – Jct. Davao City Diversion Road, Davao City</t>
  </si>
  <si>
    <t>Supply &amp; Delivery of Seven (7) units Motorcycles use for Mayor's Office &amp; Barangay Buenavista, Himamaylan City</t>
  </si>
  <si>
    <t>Straight Contract for Water Project Level 3, Brgy. Cabanbanan (Bakyas), Himamaylan City</t>
  </si>
  <si>
    <t>Straight Contract for Water Project Level 2, Brgy. Cabanbanan (Old Mojon), Himamaylan City</t>
  </si>
  <si>
    <t>Straight Contract for Construction of Health Center, GIDA Area, Brgy. Carabalan, Himamaylan City</t>
  </si>
  <si>
    <t>SUPPLY &amp; DELIVERY OF INFANT INCUBATOR</t>
  </si>
  <si>
    <t>Tires for the use of LGU Vehicles, Cabatuan, Iloilo</t>
  </si>
  <si>
    <t>School Forms JHS</t>
  </si>
  <si>
    <t>CRFPS-MOKUSAKU RICE - FARM MACHINERIES AND EQUIPMENT (FME)</t>
  </si>
  <si>
    <t>Straight Contract for Water Project Level 3, Brgy. Cabanbanan (Balanggaan), Himamaylan City</t>
  </si>
  <si>
    <t>CRFPS-MUSHROOM PRODUCTION - FARM MACHINERIES AND EQUIPMENT (FME)</t>
  </si>
  <si>
    <t>SUPPLY AND DELIVERY OF VARIOUS MATERIALS FOR CAPTURE FISHERIES LIVELIHOOD PROJECTS</t>
  </si>
  <si>
    <t>Oils and Lubricants for the Use of LGU Vehicles, Cabatuan, Iloilo</t>
  </si>
  <si>
    <t>Purchase of Communication Equipment</t>
  </si>
  <si>
    <t>20AH0212  Construction of Modified Standard Two (2) Storey, Four (4) Classroom School Building at Basing Elementary School, Binmaley, Pangasinan</t>
  </si>
  <si>
    <t>20AH0211  Construction of Modified Standard One (1) Storey, Two (2) Classroom School Building at Lipit Elementary School, Manaoag, Pangasinan</t>
  </si>
  <si>
    <t>20AH0213  Construction of Modified Standard Three (3) Storey, Six (6) Classroom School Building at Sta. Rosa Elementary School, Binmaley, Pangasinan</t>
  </si>
  <si>
    <t>Materials for the Construction of Mausoleum, Municipal Cemetery, Brgy. Banguit, Cabatuan, Iloilo</t>
  </si>
  <si>
    <t>Road Concreting (half-lane) and RCBC at Sta. Cruz HS Access Road, Bgy. Sta. Cruz, Naga City</t>
  </si>
  <si>
    <t>SUPPLY, DELIVERY, AND INSTALLATION OF X-RAY MACHINE</t>
  </si>
  <si>
    <t>Completion of Earthfilling and Rip-rap at Sta. Cruz HS Access Road, Bgy. Sta. Cruz, Naga City</t>
  </si>
  <si>
    <t>20OI0123:Construction of Multi-Purpose Building and other Improvement at Brgy. Talon 2, Las Pinas City</t>
  </si>
  <si>
    <t>SUPPLY &amp; DELIVERY OF HOSPITAL EQUIPMENT AND FURNITURE</t>
  </si>
  <si>
    <t>SUPPLY &amp; DELIVERY OF WEIGHING SCALE (ADULT AND INFANT)</t>
  </si>
  <si>
    <t>20AF0078, CONCRETING OF BRGY. GALLANO FMR, BRGY. GALLANO ARINGAY LA UNION</t>
  </si>
  <si>
    <t>Supply and Delivery of One (1) Lot Various Garbage Bins for the Implementation of Waste Segregation in the Solid Waste Management Program</t>
  </si>
  <si>
    <t>20AH0210  Construction of Modified Standard Two (2) Storey, Four (4) Classroom School Building at Matalava Elementary School, Lingayen, Pangasinan</t>
  </si>
  <si>
    <t>Construction Of San Benito Multi-purpose Building</t>
  </si>
  <si>
    <t>Improvement of JMR Museum at J. Miranda Avenue corner Taal Avenue, Bgy. Concepcion Pequena, Naga City</t>
  </si>
  <si>
    <t>Materials for the Construction of Footwalk with Shed along San Agustin Street, Public Plaza, Cabatuan, Iloilo</t>
  </si>
  <si>
    <t>SUPPLY &amp; DELIVERY OF VARIOUS LABORATORY  AND DIAGNOSTIC EQUIPMENT</t>
  </si>
  <si>
    <t>SUPPLY &amp; DELIVERY OF IUD INSERTION SET</t>
  </si>
  <si>
    <t>Purchase of 56 units Jet-type Pitcher Location: Pura, Tarlac ABC: Php150,000.00</t>
  </si>
  <si>
    <t>Procurement of Trendmicro Portal Protect License Renewal</t>
  </si>
  <si>
    <t>ASPHALTING OF ROAD AT CLIMACO ST., POBLACION-BARING, CARMEN, CEBU</t>
  </si>
  <si>
    <t>Supply and Delivery of Cleaning Materials and Tools to be used for "Oplan Linis Daan 2020" in the City of San Fernando, Pampanga subject to Ordering Agreement</t>
  </si>
  <si>
    <t>SUPPLY &amp; DELIVERY OF OPERATING ROOM LED LIGHT, AND OPERATING ROOM TABLE</t>
  </si>
  <si>
    <t>Slope Protection and PCCP at Yabo River, Bgy. Carolina</t>
  </si>
  <si>
    <t>IMPROVEMENT OF MULTI-PURPOSE BUILDING - PANDAYAN (SLAUGHTERHOUSE), SAN  JUAN, ILOCOS SUR</t>
  </si>
  <si>
    <t>CONCRETING OF LOCAL CORE ACCESS ROAD ALONG BARANGAY 3 TO BARANGAY STA. ANA, SFADS</t>
  </si>
  <si>
    <t>IMPROVEMENT OF MULTI-PURPOSE BUILDING (Repainting &amp; Equipping Hanging &amp; Steel Cabinets)</t>
  </si>
  <si>
    <t>Supply and Delivery of One (1) lot Various Furniture &amp; Fixtures</t>
  </si>
  <si>
    <t>CONSTRUCTION OF OYSTER MUSHROOM BUILDING (PHASE 1), MUNICIPAL AGRICULTURE’S OFFICE, BARANGAY 3, SFADS</t>
  </si>
  <si>
    <t>Supply and Delivery of Construction Materials, Tools and Equipment to be used for the Flood Mitigation Projects 2020 in the City of San Fernando, Pampanga subject to Ordering Agreement</t>
  </si>
  <si>
    <t>SUPPLY AND DELIVERY OF LABORATORY SUPPLIES (APHERESIS KIT FOR RED CELL-PLASMA EXCHANGE-APHERESIS KIT FOR PLATELET)</t>
  </si>
  <si>
    <t>20OI0127: Construction  of Multi-Purpose Building, Brgy. Putatan, Muntinlupa City</t>
  </si>
  <si>
    <t>Procurement of Kaspersky Endpoint Security AV Renewal (Kaspersky AV Renewal)</t>
  </si>
  <si>
    <t>20OI0125: Drainage Improvement including Rehabilitation of Road, Brgy. CAA,  Las Pinas City</t>
  </si>
  <si>
    <t>Supply of Fuel for the Third Quarter</t>
  </si>
  <si>
    <t>Supply and Delivery of Plumbing Materials to be used at Various Barangay for 2020 in the City of San Fernando, Pampanga</t>
  </si>
  <si>
    <t>Supply and Delivery of Medical Supplies and CBC Reagents to be used at City Health Office for 1st Semester of 2020 in the City of San Fernando, Pampanga</t>
  </si>
  <si>
    <t>7.	Construction of Barangay / Farm to Market Road at Brgy. Durungao, San Luis, Batangas</t>
  </si>
  <si>
    <t>6.	Construction of Street Lighting System at Brgy. Magahis, Tuy, Batangas</t>
  </si>
  <si>
    <t>Materials for the Concreting of Farm to Market Road, Brgy. Acao, Cabatuan, Iloilo</t>
  </si>
  <si>
    <t>INVITATION TO BID FOR THE PURCHASE OF BRANDNEW EMERGENCY TRANSPORT VEHICLE</t>
  </si>
  <si>
    <t>Supply &amp; Delivery of 2-sets High Volume Low Speed Fan</t>
  </si>
  <si>
    <t>Construction of Water System</t>
  </si>
  <si>
    <t>5.	Construction of Barangay / Farm to Market Road at Brgy. Caloocan, Balayan, Batangas</t>
  </si>
  <si>
    <t>SUPPLY &amp; DELIVERY OF ULTRASOUND SCANNER MACHINE  WITH TRANS-VAGINAL PROBE</t>
  </si>
  <si>
    <t>4.	Construction of Water Supply System, Drilling of Production Well, Installation of Submersible Pump and Construction of Elevated Water Tank at Brgy. Mataas na Bayan, Lemery, Batangas</t>
  </si>
  <si>
    <t>3.	Construction of Barangay / Farm to Market Road at Brgy. Catandaan, Nasugbu, Batangas</t>
  </si>
  <si>
    <t>SUPPLY OF MATERIALS FOR THE PROPOSED ROAD CONCRETING AT SITIO-DALANAWAN, BARANGAY CATANG, ARGAO, CEBU</t>
  </si>
  <si>
    <t>Drilling of Water System</t>
  </si>
  <si>
    <t>CONSTRUCTION OF PANURAN-SITIO AGILAN-TABULWANG ACCESS ROAD OF PENRO, ILOILO</t>
  </si>
  <si>
    <t>Procurement of Three(3) units Motorcycles to be used for Mayor's/Engineering/Building Office and Municipal Agriculturist Office, Municipality of Balasan</t>
  </si>
  <si>
    <t>15.	Construction of Multi-Purpose Covered Court at Brgy. San Pedro, Bauan, Batangas</t>
  </si>
  <si>
    <t>SUPPLY &amp; DELIVERY OF VARIOUS MEDICAL EQUIPMENT</t>
  </si>
  <si>
    <t>14.	Construction of Multi-Purpose Hall at Brgy. Tejero, San Luis, Batangas</t>
  </si>
  <si>
    <t>16.	Construction of Multi-Purpose Covered Court at Brgy. Tayuman, Lobo, Batangas</t>
  </si>
  <si>
    <t>13.	Construction of Evacuation Center at Brgy. Aplaya (Phase III), Bauan, Batangas</t>
  </si>
  <si>
    <t>Supply and Delivery of One (1) lot  Various Materials for the Rehabilitation of Fish Sanctuaries</t>
  </si>
  <si>
    <t>Supply and Delivery of IT Equipment to be used for the Preparation of Schedule of Market Values and Conduct of General Revision of Real Property Assessments in the City of San Fernando, Pampanga</t>
  </si>
  <si>
    <t>SUPPLY &amp; DELIVERY OF PHOTOTHERAPY UNIT</t>
  </si>
  <si>
    <t>Drilling Service for the Construction / Rehabilitation of Potable Water System</t>
  </si>
  <si>
    <t>Purchase of Printer</t>
  </si>
  <si>
    <t>20GFN0006 Furnishing of Fuel Oil &amp; Lubricants for use in Service Vehicles and Equipment assigned in Maintenance, Planning &amp; Design, Construction, Quality Assurance Section &amp; Gender and Development (GA</t>
  </si>
  <si>
    <t>RE-INVITATION TO BID FOR THE CONSTRUCTION OF ATIMONAN IRRIGATION PIPELINE SYSTEM OF PENRO, ILOILO</t>
  </si>
  <si>
    <t>27.	Construction of Canal/Drainage System, Seawall, Riprapping at Brgy. Pag-olingin Bata, Lipa City, Batangas</t>
  </si>
  <si>
    <t>20OI0126:Construction  of Multi-Purpose Building, Putatan Elem. School, Brgy. Putatan, Muntinlupa City</t>
  </si>
  <si>
    <t>FOR THE SUPPLY AND DELIVERY OF ICT SUPPLIES AND OTHER PERIPHERALS OF EMB REGION VI CY 2020 (RE-BID)</t>
  </si>
  <si>
    <t>26.	Construction of Barangay / Farm to Market Road at Brgy. Maalas-as, Rosario, Batangas</t>
  </si>
  <si>
    <t>20GFN0005 Furnishing and delivery of Materials for use in the Planning &amp; Design Section – CY 2020 Gender and Development (GAD) Expenditures in DPWH Camarines Sur 5th DEO, Sta. Teresita, Baao, Camarine</t>
  </si>
  <si>
    <t>HAULING, TRANSFER AND DISPOSAL OF SOLID WASTE FROM TRANSFER STATION TO A LICENSED SANITARY LANDFILL FACILITY INCLUDING OPERATION AND MAINTENANCE OF TRANSFER STATION AT STA ROSA II. (FOR THE MONTH OF J</t>
  </si>
  <si>
    <t>23.	Construction of Barangay / Farm to Market Road at Brgy. Cahigam, Rosario, Batangas</t>
  </si>
  <si>
    <t>Negotiated Procurement for Multi-Purpose Vehicle</t>
  </si>
  <si>
    <t>20GG00018 - Procurement of Pest Control Treatment of DPWH Buildings and Disinfection Premises and Working Area, DPWH Regional Office VI, Iloilo City</t>
  </si>
  <si>
    <t>21.	Construction of Barangay / Farm to Market Road at Brgy. Bulihan, Rosario, Batangas</t>
  </si>
  <si>
    <t>Supply and Delivery of Office Supplies for VSU External Campuses-REBID</t>
  </si>
  <si>
    <t>28.	Construction of Canal/Drainage System, Seawall, Riprapping at Brgy. Pangao, Lipa City, Batangas</t>
  </si>
  <si>
    <t>20L00140 : Construction of Concrete Bridge (Substructure Only) – Ma-a Bridge II, Davao City</t>
  </si>
  <si>
    <t>25.	Construction of Barangay / Farm to Market Road at Brgy. San Roque, Rosario, Batangas</t>
  </si>
  <si>
    <t>22.	Construction of Barangay / Farm to Market Road at Brgy. Malaya, Rosario, Batangas</t>
  </si>
  <si>
    <t>20OF0319 Construction of four (4) storey twelve (12) classroom School Building at Placido Del Mundo E/S, Q.C.</t>
  </si>
  <si>
    <t>SUPPLY &amp; DELIVERY OF WHEELED STRETCHER</t>
  </si>
  <si>
    <t>SUPPLY AND DELIVERY OF WALL FANS FOR ALL PUBLIC ELEMENTARY AND SECONDARY SCHOOLS IN MAKATI CITY</t>
  </si>
  <si>
    <t>PURCHASE OF ONE (1) UNIT BRAND NEW HIGH LEVEL MODEL AMBULANCE WITH COMPLETE EQUIPMENT AND ACCESSORIES- 2nd POSTING</t>
  </si>
  <si>
    <t>32.	Construction of Street Lighting System at Brgy. Inosluban, Lipa City, Batangas</t>
  </si>
  <si>
    <t>20GFN0008 FURNISHING AND DELIVERY OF COMMON OFFICE DEVICE AND EQUIPMENT FOR USE AT THE EMPLOYEES QUARTER AND LOBBY IN DPWH, CAMARINES 5TH DISTRICT ENGINEERING OFFICE, STA. TERESITA, BAAO, CAMARINES SU</t>
  </si>
  <si>
    <t>SUPPLY AND DELIVERY OF CUSTOMIZED ON-THE-GO (OTG) FLASHDRIVES FOR DISTRIBUTION TO ALL PUBLIC ELEMENTARY AND SECONDARY STUDENTS, TEACHERS AND TEACHING RELATED PERSONNEL IN MAKATI CITY</t>
  </si>
  <si>
    <t>20OF0318 Construction of four (4) storey twelve (12) classroom School Building at Lucas R. Pascual E/S, Q.C.</t>
  </si>
  <si>
    <t>Provision of agricultural supplies for Back to Basics: Scientific and Sustainable Livestock and Poultry Production Livelihood Program (Siquijor)</t>
  </si>
  <si>
    <t>31.	Construction of Street Lighting System at Brgy. Marawoy, Lipa City, Batangas</t>
  </si>
  <si>
    <t>SUPPLY AND DELIVERY OF CUSTOMIZED WASHABLE/REUSABLE CLOTH FACE MASKS WITH POUCH FOR DISTRIBUTION TO ALL PUBLIC ELEMENTARY AND SECONDARY STUDENTS IN MAKATI CITY</t>
  </si>
  <si>
    <t>Package 03 -2020: Vehicle Rental Services of Eighteen (18) Units Vehicle with Tracker (Global Positioning System) for the Year 2020</t>
  </si>
  <si>
    <t>36.	Construction of Street Lighting System at Brgy. Sabang, Ibaan, Batangas</t>
  </si>
  <si>
    <t>20OF0320 Construction of Retaining Wall at Kaligayahan E/S, Q.C.</t>
  </si>
  <si>
    <t>Negotiated Procurement for Passenger Van</t>
  </si>
  <si>
    <t>35.	Construction of Street Lighting System at Brgy. Masaya, Rosario, Batangas</t>
  </si>
  <si>
    <t>CRN 029- CONST/SPORTS PARK-WPULO-TF-INFRA-2020</t>
  </si>
  <si>
    <t>20AF0079, CONCRETING OF SITIO TIMMORE, BRGY. SAN FERMIN FMR, CABA, BRGY. SAN FERMIN, CABA, LA UNION</t>
  </si>
  <si>
    <t>20OF0323 Construction of Multi-Purpose Building and Integrated Learning Facilities at Brgy. Santa Monica, Q.C.</t>
  </si>
  <si>
    <t>20FE0125 – CONSTRUCTION OF CLASSROOMS, TINANQUIHAN PS, LIBMANAN, CAMARINES SUR</t>
  </si>
  <si>
    <t>20.	Construction of Barangay / Farm to Market Road at Brgy. Inosluban, Lipa City, Batangas</t>
  </si>
  <si>
    <t>Purchase of Multicab</t>
  </si>
  <si>
    <t>20OF0322 Construction of Multi-Purpose Building (Novaliches Convention and Sports Center), Phase I, Brgy. Fairview, Q.C.</t>
  </si>
  <si>
    <t>Supply and Delivery of Filling Materials to be used for the Land Development of the City Town Center (Embankment) Phase III at Calulut, City of San Fernando, Pampanga</t>
  </si>
  <si>
    <t>ROAD CONCRETING OF PUROK 2</t>
  </si>
  <si>
    <t>PRINTING/REPRODUCTION OF SELF-DIRECTED LEARNER'S MODULES FOR ALL PUBLIC ELEMENTARY AND SECONDARY SCHOOLS IN MAKATI CITY</t>
  </si>
  <si>
    <t>PUBLIC BIDDING FOR THE SUPPLY AND DELIVERY OF FAMILY PLANNING COMMODITIES (LINE ITEM)</t>
  </si>
  <si>
    <t>33.	Construction of Street Lighting System at Brgy. San Celestino, Lipa City, Batangas</t>
  </si>
  <si>
    <t>43.	Repair of PSWDO at Provincial Capitol Compound, Brgy. Kumintang Ibaba, Batangas City</t>
  </si>
  <si>
    <t>CONSTRUCTION MATERIALS FOR 7-UNITS HOUSING PROJECT</t>
  </si>
  <si>
    <t>SUPPLY, DELIVERY AND COMMISSIONING OF ENDOSCOPIC VIDEO INFORMATION SYSTEM WITH BUILT-IN NARROW BAND IMAGING SYSTEM</t>
  </si>
  <si>
    <t>20GFG0019 - Procurement of Manual Total Station for use in the Survey Works at DPWH, Camarines Sur 4th District Engineering Office DPWH, Camarines Sur 4th DEO, Caraycayon, Tigaon, Camarines Sur</t>
  </si>
  <si>
    <t>20OF0321 Construction/Rehabilitation of Multi-Purpose Building, Vargas Compound, Brgy. Culiat, Q.C.</t>
  </si>
  <si>
    <t>Labor and Materials for the Construction of the City of San Fernando Town Center Esplanade at City Town Center, Calulut, City of San Fernando, Pampanga</t>
  </si>
  <si>
    <t>CIVIL WORKS FOR THE COMPLETION OF ROAD CONCRETING OF DIGAL ST. EXTENSION LEADING TO P-4 STO. NIÑO, MAGALLANES, A.D.N</t>
  </si>
  <si>
    <t>HYDRAULIC OIL</t>
  </si>
  <si>
    <t>SUPPLY AND DELIVERY OF CONSTRUCTION MATERIALS FOR THE REPAIR OF RADIO STATION BUILDING (PB-LAP-2020-067)</t>
  </si>
  <si>
    <t>34.	Construction of Street Lighting System at Brgy. Pag-olingin East, Lipa City, Batangas</t>
  </si>
  <si>
    <t>PURCHASE OF FARM INPUTS AND EQUIPMENTS</t>
  </si>
  <si>
    <t>PROCUREMENT OF WAREHOUSE HANDLING (AND ALLIED) SERVICES FOR GRAINS FOR NFA-NCR AND BATANES FOR AUGUST 1 TO DECEMBER 31, 2020</t>
  </si>
  <si>
    <t>20FE0126 – CONSTRUCTION OF CLASSROOMS, MALITBOG ES, MINALABAC, CAMARINES SUR</t>
  </si>
  <si>
    <t>42.	Repair of Salaban Bridge Approach along Poblacion 3, San Jose - Poblacion, Ibaan Provincial Road, San Jose, Batangas</t>
  </si>
  <si>
    <t>SUPPLY AND DELIVERY OF CONSTRUCTION MATERIALS FOR THE CONSTRUCTION OF VIEW DECK PHASE II (PB-LAP-2020-066)</t>
  </si>
  <si>
    <t>Improvement of Multi-Purpose Building, Brgy. Binalbagan, Canlaon City</t>
  </si>
  <si>
    <t>24.	Construction of Barangay / Farm to Market Road at Brgy. Natu, Rosario, Batangas</t>
  </si>
  <si>
    <t>ROAD CONCRETING (PCCP) at Bgy. New Colaylayan</t>
  </si>
  <si>
    <t>41.	Repair of Poblacion - Dagatan Provincial Road, Taysan, Batangas</t>
  </si>
  <si>
    <t>COMPLETION OF ULBUJAN MULTIPURPOSE COVERED COURT (LABOR ONLY) - ULBUJAN, CALAPE, BOHOL</t>
  </si>
  <si>
    <t>REPAIR / REPLACEMENT OF DEFECTIVE CCTV CAMERA</t>
  </si>
  <si>
    <t>Improvement/Rehabilitation of Administrative Building, City Engineering, Brgy. Pabnubigan, Canlaon City</t>
  </si>
  <si>
    <t>SUPPLY AND DELIVERY OF OFFICE, COMPUTER, JANITORIAL SUPPLIES &amp; OTHERS SUPPLIES, MACHINERIES AND FURNITURES &amp; FIXTURES OF LGU-CATANAUAN, QUEZON</t>
  </si>
  <si>
    <t>Proposed Basement of HRMO Office located at New City Hall Building</t>
  </si>
  <si>
    <t>20G00101 - Construction of Revetment Wall along Cangaranan River at Cangaranan Bridge (Abutment A), Bugasong, Antique</t>
  </si>
  <si>
    <t>Procurement of Desktop and Laptop Computers with Accessories - (Rebid)</t>
  </si>
  <si>
    <t>SUPPLY AND DELIVERY OF LABOR AND MATERIALS OF THE PROJECT CONSTRUCTION/REHABILITATION OF DRAINAGE  SYSTEM, BRGY POBLACION &amp; BRGY. MADULAO, CATANAUAN, QUEZON</t>
  </si>
  <si>
    <t>ROAD CONCRETING (PCCP) at Bgy. Cabunlawan</t>
  </si>
  <si>
    <t>PURCHASE OF VARIOUS RESCUE SUPPLIES</t>
  </si>
  <si>
    <t>LGU-COR. 2020-065</t>
  </si>
  <si>
    <t>Riprapping of Arman Creek at Purok Pikaw</t>
  </si>
  <si>
    <t>Construction of Organic Fertilizer Production Center</t>
  </si>
  <si>
    <t>Supply &amp; Delivery of Heavy Duty Shredder with Trailer</t>
  </si>
  <si>
    <t>Procurement of One (1) Unit thimble-Type Ionization Chamber with Electrometer and Water Proofing Sleeves - (Rebid)</t>
  </si>
  <si>
    <t>20GJI0035 - Procurement of materials and supplies for use in the pavement maintenance (Installation of Guardrails) Routine     Maintenance 71x Special Maintenance Project along Lanao-    Pagadian-Zamb</t>
  </si>
  <si>
    <t>PROPOSED SERVICE ENTRANCE COLLEGE OF MEDICINE UNIVERSITY OF THE PHILIPPINES MANILA</t>
  </si>
  <si>
    <t>LGU-COR. 2020-066</t>
  </si>
  <si>
    <t>ROAD CONCRETING (PCCP) at Bgy. Calibangbangan</t>
  </si>
  <si>
    <t>Supply and Delivery of Water Meter of Various Sizes for Replenishment of Stocks</t>
  </si>
  <si>
    <t>Construction of Barangay Health Center (ONE JOB)</t>
  </si>
  <si>
    <t>Procurement of Materials and installation of office cubicle and glass partition of RPIMU and RFIMC internet network system/storage room.</t>
  </si>
  <si>
    <t>20AE0069: Construction of 2 Storey 4 Classroom School Building at Corrooy Elementary School, Santol, La Union</t>
  </si>
  <si>
    <t>CONSTRUCTION OF CABAMBANGAN CHB LINED CANAL</t>
  </si>
  <si>
    <t>Repair of Footbridge, Proper &amp; Sitio banban, Brgy. Bucalan, Canlaon City</t>
  </si>
  <si>
    <t>20AE0068: Construction of 2 Storey 6 Classroom School Building at Duplas National High School, Sudipen, La Union</t>
  </si>
  <si>
    <t>20AE0070: Construction of 2-Storey 4-Classroom School Building at Lipay Integrated School, San Gabriel, La Union</t>
  </si>
  <si>
    <t>Concreting of Pathway, Po. Greenhills, Brgy. Mabigo, Canlaon City</t>
  </si>
  <si>
    <t>EMB-NCB-GOODS-05-2020 (Supply and Delivery of Information and Communication Equipment)</t>
  </si>
  <si>
    <t>20G00100 - Construction of Concrete Road – Barangay Comon – San Pedro Coastal Road leading to San Jose Port and Beaches, Resorts and Sunset Viewing, San Jose, Antique</t>
  </si>
  <si>
    <t>ROAD CONCRETING (PCCP) at Bgy. Barangonan</t>
  </si>
  <si>
    <t>Concreting of Roads in Different Barangays  (Malinao, San Nicolas, General Esco, Mahabang Parang, San Luis, Inarawan, Banuton, Caburo &amp; Tagumpay), Naujan, Oriental Mindoro</t>
  </si>
  <si>
    <t>MAINTENANCE OF CCTV CAMERAS</t>
  </si>
  <si>
    <t>IMPROVEMENT OF MUNICIPAL HALL STAIR AND STAIR COVER</t>
  </si>
  <si>
    <t>PROCUREMENT OF CAB AND CHASIS EURO 4 VEHICLE</t>
  </si>
  <si>
    <t>COMPLETION OF ULBUJAN MULTIPURPOSE COVERED COURT (MATERIALS ONLY) - ULBUJAN, CALAPE, BOHOL</t>
  </si>
  <si>
    <t>Emergency Quick Response for CY 2020 (Ambulance Rescue)</t>
  </si>
  <si>
    <t>Bulaklakan Farm to Market Road (FMR) Concreting</t>
  </si>
  <si>
    <t>37.	Repair of Putat - Papaya Provincial Road (Cavite Bdry.), Nasugbu, Batangas (Bridge approach and Riprapping)</t>
  </si>
  <si>
    <t>Gasoline/ Diesoline for use of the Municipal Vehicles during the official transactions of the Municipality for the period of 2nd - 4th Quarter of 2020. (RE-BID)</t>
  </si>
  <si>
    <t>Reproduction of Modules</t>
  </si>
  <si>
    <t>Rehabilitation of Water System, Brgy. Bayog, Canlaon City</t>
  </si>
  <si>
    <t>40.	Repair of Poblacion, Rosario - Mahanadiong, Taysan Provincial Road, Rosario, Batangas</t>
  </si>
  <si>
    <t>38.	Repair of Brgy. 6 - Madalunot Provincial Road, Calaca, Batangas (Asphalt Overlay)</t>
  </si>
  <si>
    <t>CID No. 20OD0195 - Construction of 4-Storey 12-Classroom School Building Barrio San Jose ES, Caloocan City</t>
  </si>
  <si>
    <t>CID No. 20OD0193 - Construction of 4-Storey 16-Classroom School Building Caruhatan East ES, Valenzuela City</t>
  </si>
  <si>
    <t>20G00099 - Repair/Maintenance of DPWH Buildings, Regional Office</t>
  </si>
  <si>
    <t>20MH0107 - Construction of Two(2)-Storey, Six(6)-Classrooms School Building at Sen. Ninoy Aquino National High School, Sen. Ninoy Aquino, Sultan Kudarat</t>
  </si>
  <si>
    <t>CID No. 20OD0192 - Construction of 4-Storey 12-Classroom School Building Caruhatan East ES, Valenzuela City</t>
  </si>
  <si>
    <t>39.	Repair of San Pedro - Sta. Cruz Provincial Road, Sto. Tomas, Batangas</t>
  </si>
  <si>
    <t>20OF0317 Construction of four (4) storey sixteen (16) classroom School Building at Rosa L. Susano E/S, Q.C.</t>
  </si>
  <si>
    <t>Completion of Concrete Bridge/Bongolanon-Kinarum Road Leading to Kirungdong Waterfalls and Wildlife Rescue Center, Brgy. Kinarum, Magpet, North Cotabato</t>
  </si>
  <si>
    <t>CONSTRUCTION OF HAZARDOUS WASTE SEPTIC VAULT AT MUNICIPAL DUMPSITE, DAMILAG, BARANGAY PISAAN, SFADS</t>
  </si>
  <si>
    <t>Procurement of Catering Services, Venue, and Accommodation for 2020 Census of Population and Housing (Re-Bidding)</t>
  </si>
  <si>
    <t>20MH0105 - Construction of Two(2)-Storey, Six(6)-Classrooms School Building at Bagumbayan National High School, Bagumbayan, Sultan Kudarat</t>
  </si>
  <si>
    <t>Spares and Services for the Installation of Multi-Function Display of S-211 Aircraft Nr 008 and 802</t>
  </si>
  <si>
    <t>20MH0104 - Construction of Two(2)-Storey, Six(6)-Classrooms School Building at Bagumbayan Central Elementary School, Bagumbayan, Sultan Kudarat</t>
  </si>
  <si>
    <t>PROCUREMENT OF MATERIALS FOR TEMPORARY HOLDING FACILITY</t>
  </si>
  <si>
    <t>20MH0106 - Construction of Two(2)-Storey, Six(6)-Classrooms School Building at Esperanza National High School, Esperanza, Sultan Kudarat</t>
  </si>
  <si>
    <t>BUAGAO SIP/REMAINING WORKS SMALL IRRIGATION PROJECTS FUND/CY 2019</t>
  </si>
  <si>
    <t>Spares for the Scheduled Maintenance of FA-50PH Aircraft</t>
  </si>
  <si>
    <t>20GMH049 - Rental of Service Vehicle for use in the Conduct of Environmental Impact Assessment (EIA) and Inspection/Validation of Regional Budget Proposal (RBP) along Awang-Upi-Lebak-Kalamansig-Palimb</t>
  </si>
  <si>
    <t>S1-CAT20-004 - Supply and Delivery of Electrical Security Parts for Various Gensets under Bicol Operations Division</t>
  </si>
  <si>
    <t>Contract ID No.: 20OB0382 Contract Name: Rehabilitation of Roads, Barangay North Daanghari, Taguig City</t>
  </si>
  <si>
    <t>Contract ID No.: 20OB0435 Contract Name: Construction of Four (4) Storey, Sixteen (16) Classroom at Oranbo Elementary School, Pasig City</t>
  </si>
  <si>
    <t>Contract ID No.: 20OB0349 Contract Name: Rehabilitation of Maharlika Trade Center including Site Development, Brgy. Maharlika, Taguig City</t>
  </si>
  <si>
    <t>Contract ID No.: 20OB0343 Contract Name: Construction of Multi-Purpose Building, Brgy. Sta. Ana, Taguig City</t>
  </si>
  <si>
    <t>Contract ID No.: 20OB0336 Contract Name: Construction of Multi-Purpose Building and Site Development, Brgy. New Lower Bicutan, Taguig City</t>
  </si>
  <si>
    <t>20GG0181 - CONSTRUCTION OF ONE (1) UNIT ONE (1) STOREY THREE (3) CLASSROOMS WITH TOILET, DOMINADOR ABANG MNHS, SAN ENRIQUE, ILOILO</t>
  </si>
  <si>
    <t>Contract ID No.: 20OB0434 Contract Name: Construction of Four (4) Storey, Sixteen (16) Classroom with Roofdeck at Buting SHS, Brgy. Buting, Pasig City</t>
  </si>
  <si>
    <t>Contract ID No.: 20OB0433 Contract Name: Construction of Four (4) Storey Twelve (12) Classroom with Roofdeck, Aguho Elementary School, Pateros, Metro Manila</t>
  </si>
  <si>
    <t>20GG0179 - CONSTRUCTION OF ONE (1) UNIT ONE (1) STOREY THREE (3) CLASSROOMS WITH TOILET, AYUYAN ELEMENTARY SCHOOL,  CITY OF PASSI, ILOILO</t>
  </si>
  <si>
    <t>2020-143-I PROCUREMENT AND DELIVERY OF FEEDS FOR SAAD PROGRAM CY 2020</t>
  </si>
  <si>
    <t>Contract ID No.: 20OB0328 Contract Name: Construction of Multi-Purpose Building (Senior Citizens Center), Brgy. Sta. Ana, Taguig City</t>
  </si>
  <si>
    <t>20GG0177 - CONSTRUCTION OF ONE (1) UNIT ONE (1) STOREY TWO (2) CLASSROOMS, AGCAROPE ELEMENTARY SCHOOL, JANIUAY II, ILOILO</t>
  </si>
  <si>
    <t>Contract ID No.: 20OB0318 Contract Name: Construction (Completion) of Multi-Purpose Building (TUP Hostel), Brgy. Western Bicutan, Taguig City</t>
  </si>
  <si>
    <t>Construction of Command Operation Center (Public Safety Building) P1- MEO</t>
  </si>
  <si>
    <t>Procurement of Equipment for Search, rescue and retrieval team -MDRRMO</t>
  </si>
  <si>
    <t>20GG0180 - CONSTRUCTION OF ONE (1) UNIT ONE (1) STOREY TWO (2) CLASSROOMS WITH TOILET, TRANGKA INTEGRATED SCHOOL, MAASIN, ILOILO</t>
  </si>
  <si>
    <t>Spares and Services for the Repair and Overhaul of the Engine System of MD-520MG #395, 410 and 417</t>
  </si>
  <si>
    <t>Proposed Construction of Malimono District Hospital Admin Building, Surigao del Norte</t>
  </si>
  <si>
    <t>PROJ. 642 - MOOE, BDF &amp; RRMF 2020</t>
  </si>
  <si>
    <t>Contract ID No.: 20OB0436 Contract Name: Construction of Four (4) Storey, Eight (8) Classroom at Kalawaan Elementary School, Brgy. Kalawaan, Pasig City</t>
  </si>
  <si>
    <t>Proposed Construction of Cadaver Holding, Lianga District Hospital, Surigao del Sur</t>
  </si>
  <si>
    <t>PROCUREMENT OF MEDICINES/ SUPPLEMENTS</t>
  </si>
  <si>
    <t>20GG0178 - CONSTRUCTION OF ONE (1) UNIT TWO (2) STOREY FOUR (4) CLASSROOMS, PUGHANAN INTEGRATED SCHOOL, LAMBUNAO WEST, ILOILO</t>
  </si>
  <si>
    <t>STA ISABEL GOODS: INCIDENT COMMAND CENTER (PHASE 2)</t>
  </si>
  <si>
    <t>Proposed Upgrading of Talacogon District Hospital (Construction of Isolation Building), Talacogon District Hospital, Agusan del Sur</t>
  </si>
  <si>
    <t>Proposed Upgrading of  Bunawan District Hospital (Construction of Additional Ward Building), Bunawan District Hospital, Agusan del Sur</t>
  </si>
  <si>
    <t>20MH0108 - Repair/Maintenance of River Bank Protection at Magon Bridge along Sen. Ninoy Aquino-Lebak-Kalamansig Road, K1881 + 940</t>
  </si>
  <si>
    <t>AMP SVP-D NO: 20-05-0269B  One (1) Lot	 Molecular Biology Reagents</t>
  </si>
  <si>
    <t>Supply and Delivery of Brand New Service Vehicle (MPV)</t>
  </si>
  <si>
    <t>ITDI-PB-INFRA-2020-CO-01 EBD - REPAIR/RENOVATION OF SELECTED OFFICES/STAFF ROOMS, LABORATORIES &amp; FACILITIES OF ENVIRONMENT &amp; BIOTECHNOLOGY DIVISION (EBD)</t>
  </si>
  <si>
    <t>AMP SVP-D NO: 20-05-0290B One (1) Lot Calibration and Cleaning of Laboratory Equipment</t>
  </si>
  <si>
    <t>Invitation to Bid for Concreting of Centro 2 Farm to Market Road</t>
  </si>
  <si>
    <t xml:space="preserve">20CSEG01-Geotechnical Investigation for the Proposed  FY 2021 Infrastructure Program-Bridges Replacement of Weak Bridge – Tanabag Bridge 1 (B00100PW), K0065+179, Puerto  Princesa North Road, Widening </t>
  </si>
  <si>
    <t>Invitation to Bid for Concreting of Centro 1 Farm to Market Road (Road 2)</t>
  </si>
  <si>
    <t>Purchase of  materials for the construction of perimeter fence at Catugay, Baggao, Cagayan</t>
  </si>
  <si>
    <t>PROCUREMENT OF 1 LOT FURNITURE PARTS AND ACCESSORIES</t>
  </si>
  <si>
    <t>Completion of Evacuation Center at M. Adriatico, Gloria, Or. Mindoro</t>
  </si>
  <si>
    <t>PROCUREMENT OF 1 LOT INFORMATION TECHNOLOGY PARTS AND ACCESSORIES</t>
  </si>
  <si>
    <t>Courier Service</t>
  </si>
  <si>
    <t>Procurement of Medical Equipment (BHS Package)</t>
  </si>
  <si>
    <t>20EE0138 Construction of Slope Protection for 2 Storey 8 Classroom Bucana Elementary School, El Nido, Palawan</t>
  </si>
  <si>
    <t>2020-151-I PROCUREMENT AND DELIVERY OF VERMICAST AND  MOLASSES UNDER OAP CY 2020</t>
  </si>
  <si>
    <t>Invitation to Bid for Concreting of San Jose Norte 2 to Casili Farm to Market Road</t>
  </si>
  <si>
    <t>Procurement of HIV Test Kits</t>
  </si>
  <si>
    <t>PROCUREMENT OF POWER GENERATION &amp; MACHINERY EQUIPMENT</t>
  </si>
  <si>
    <t>Supply &amp; Delivery of Two (2) Units Passenger Van</t>
  </si>
  <si>
    <t>Concreting of Balite-Pachoca-Lalud Road, Calapan City, Or. Mindoro</t>
  </si>
  <si>
    <t>IB 2020-007-008 POSE Procurement of Office Supplies &amp; Equipment, Furnitures &amp; Fixtures 2020-08</t>
  </si>
  <si>
    <t>Procurement of Various Drugs and Medicines-06-096(Q)ZNMC</t>
  </si>
  <si>
    <t>Construction of Water System at Panikian, Naujan, Oriental Mindoro</t>
  </si>
  <si>
    <t>Supply and delivery of Drugs and Medicines for 48 Barangays and City Health Office use.  (1st and 2nd Quarter) Re- Bid</t>
  </si>
  <si>
    <t>Proposed construction of line canal at Brgy. San Nicolas, San Pablo City.</t>
  </si>
  <si>
    <t>PROCUREMENT OF 1 LOT WATER &amp; WASTE WATER TREATMENT SUPPLY &amp; DISPOSAL</t>
  </si>
  <si>
    <t>Purchase of materials for the construction of canal lining (zone 1) at Dalin, Baggao, Cagayan</t>
  </si>
  <si>
    <t>Proposed concreting of road at Patria Village, Brgy. Del Remedio, San Pablo City.</t>
  </si>
  <si>
    <t>Purchase of  materials for the construction of canal lining at Catugay, Baggao, Cagayan</t>
  </si>
  <si>
    <t>PROCUREMENT OF 1 LOT VEHICLE PARTS &amp; ACCESSORIES</t>
  </si>
  <si>
    <t>PROCUREMENT OF 6 LOTS FUEL, OIL AND LUBRICANTS</t>
  </si>
  <si>
    <t>PROCUREMENT OF SECURITY SURVEILLANCE &amp; DETECTION EQUIPMENT (CCTV CAMERAS)</t>
  </si>
  <si>
    <t>PROCUREMENT OF 1 LOT  JANITORIAL SUPPLIES</t>
  </si>
  <si>
    <t>REHABILITION OF MULIT-PURPOSE HALL Phase II</t>
  </si>
  <si>
    <t>Concreting of Road Network with Line Drainage Tuao District Hospital, Tuao, Cagayan</t>
  </si>
  <si>
    <t>Concreting of Road at Sta. Maria, Mansalay, Or. Mindoro</t>
  </si>
  <si>
    <t>AMP SVPD NO: 20-06-0352 IT Equipment</t>
  </si>
  <si>
    <t>Purchase of  materials for the construction/completion of Multi-Purpose Building at Catugay, Baggao, Cagayan</t>
  </si>
  <si>
    <t>SUPPLY AND DELIVERY OF ONE (1) UNIT BRAND NEW DISASTER MONITORING VEHICLE (SPORTS UTILITY VEHICLE) FOR CITY DISASTER RISK REDUCTION AND MANAGEMENT OFFICE</t>
  </si>
  <si>
    <t>Nassiping Eco Park Development Project Construction of Water System (Tanks and Distribution Lines) Nassiping, Gattaran, Cagayan</t>
  </si>
  <si>
    <t>PROCUREMENT OF 2 LOTS DRUGS AND MEDICINES</t>
  </si>
  <si>
    <t>Cluster 6 Anquiray Farm Tourism Development Project (Farm Service Area Network Development, Farm Utilities Development (Construction of Tanks and Pipelines), Farm Utilities Development (Electrical Sys</t>
  </si>
  <si>
    <t>DRYDOCKING AND REPAIR WORKS OF VARIOUS BFAR PATROL VESSELS.</t>
  </si>
  <si>
    <t>Concreting of Culung – Bugnay Farm to Market Road at Tuao, Cagayan</t>
  </si>
  <si>
    <t>PROCUREMENT OF SECURITY SURVEILLANCE &amp; DETECTION EQUIPMENT (DRONE)</t>
  </si>
  <si>
    <t>Cluster 3 a – (Dev’t of Ballesteros Agri – Eco Tourism Park Project) Animal Farm Development (Cagayan Breeding Farm) and Forage and Pasture Development Zitanga, Ballesteros, Cagayan</t>
  </si>
  <si>
    <t>Concreting of Road at Roma, Mansalay, Oriental Mindoro</t>
  </si>
  <si>
    <t>PROCUREMENT OF SAFETY &amp; OCCUPATIONAL PRODUCTS</t>
  </si>
  <si>
    <t>Concreting of Road at Wasig, Mansalay, Oriental Mindoro</t>
  </si>
  <si>
    <t>LABOR SERVICES AND OTHER ENVIRONMENTAL AND SANITARY SERVICES FOR THE MAINTENANCE OF CLEANLINESS OF NAGA CITY PREMISES AMD OTHER CITY FACILITIES</t>
  </si>
  <si>
    <t>INVITATION TO BID FOR THE SUPPLY AND DELIVERY OF 16 AIR-CONDITIONING UNITS FOR CY 2020</t>
  </si>
  <si>
    <t>MACHINERIES &amp; EQUIPMENT</t>
  </si>
  <si>
    <t>Construction of PENRO Admin Building Nassiping, Gattaran, Cagayan</t>
  </si>
  <si>
    <t>PURCHASE OF VEHICLE</t>
  </si>
  <si>
    <t>Construction of Second Floor of Cagayan Provincial Jail Grid Line A-G, 1-10, Tuguegarao City</t>
  </si>
  <si>
    <t>Improvement of Multi Purpose Tuao Central Elementary School (Repair of Roof – School) Gymnasium</t>
  </si>
  <si>
    <t>REHABILITATION/IMPROVEMENT OF ROAD</t>
  </si>
  <si>
    <t>100-2020-01-069 Supply and delivery of 55cu.m. ready mixed concrete (3500psi)</t>
  </si>
  <si>
    <t>CONSTRUCTION OF MULTIPURPOSE BUILDING AND COVERED COURT</t>
  </si>
  <si>
    <t>procurement for reproduction of learning modules</t>
  </si>
  <si>
    <t>PROCUREMENT OF WATCHES under SVP NO. 2020-034</t>
  </si>
  <si>
    <t>EXPANSION OF EVACUATION CENTER</t>
  </si>
  <si>
    <t>100-2020-01-068 Supply and delivery of 55 cu.m. ready mixed concrete 3500psi</t>
  </si>
  <si>
    <t>DIS-19-1554-B - Purchase of Construction Materials</t>
  </si>
  <si>
    <t>Construction of OPA Admin Building Anquiray, Amulung, Cagayan</t>
  </si>
  <si>
    <t>PPD-20-0661-B - Purchase of Office Equipment</t>
  </si>
  <si>
    <t>CONSTRUCTION OF COVERED COURT-NANTAWAKAN</t>
  </si>
  <si>
    <t>Completion of Multi Purpose Building (Back of Aranz Granstand) Cagayan Sports Complex, Tuguegarao City</t>
  </si>
  <si>
    <t>Development of Eco Park at Cagayan Sports Complex, Tuguegarao City Cagayan</t>
  </si>
  <si>
    <t>SUPPLY AND DELIVERY OF TWENTY (20) UNITS BRAND NEW MULTI-PURPOSE VEHICLES (MULTICAB) FOR DISASTER PREPARED BARANGAYS</t>
  </si>
  <si>
    <t>LOCAL ACCESS ROAD-PAQUET</t>
  </si>
  <si>
    <t>Concreting of Road Leading to Parola at Brgy. San Jose, Roxas, Oriental Mindoro</t>
  </si>
  <si>
    <t>Construction of Multi Purpose Building Sub Capitol Bangag Lallo Cagayan</t>
  </si>
  <si>
    <t>Concreting of Road at Sitio Proper West II, Nag-iba II, Naujan, Oriental Mindoro</t>
  </si>
  <si>
    <t>1.0km Boardwalk (Phase 01) 96 Spans x 3.00m (Cagayan Eco Tourism Forest Park) Nassiping, Gattaran, Cagayan</t>
  </si>
  <si>
    <t>Fence Repair, Entrance Arch, Gates and Signages Cagayan Farm School and Agri – Tourism Center, Anquiray, Amulung, Cagayan</t>
  </si>
  <si>
    <t>SUPPLY AND DELIVERY OF HOTEL PROPERTY MANAGEMENT SYSTEM SOFTWARE PR NO. 2020-03-0474)</t>
  </si>
  <si>
    <t>Procurement of HIV Supplies</t>
  </si>
  <si>
    <t>Medical Supplies, Rescue Materials and Evacuation Facilities for DRRM Operations</t>
  </si>
  <si>
    <t>Meals and Accommodation during the conduct of 2nd Quarter BIFIRDEN Meeting on August 19-21, 2020 in Sorsogon City</t>
  </si>
  <si>
    <t>Supply of Materials for Construction of Multi-Purpose Building, Phase V</t>
  </si>
  <si>
    <t>Rehabilitation of Drainage Canal (Magallanes St. &amp; San Francisco St.)</t>
  </si>
  <si>
    <t>Concreting of Road at Brgy. Mabuhay, Roxas, Or. Mindoro</t>
  </si>
  <si>
    <t>20HE0119 Repair and Maintenance of Road Safety Facility – 1. Installation of Internally Illuminated (Solar) Pavement Levelled Marker/Stud Flush Type (Bi-Directional) along Natalio Bacalso Avenue at K0</t>
  </si>
  <si>
    <t>20EE0137 Construction of Bridge, So. Dimachikchik Barangay Salvacion, Busuanga, Palawan</t>
  </si>
  <si>
    <t>20DP0042-R1: Network Development Program – Road Widening - Primary Road - San Pablo- Calauan Rd. – K0081 + 095 - K0081 + 586, K0081 + 593 – K0082 + 000</t>
  </si>
  <si>
    <t>LOCAL ACCESS ROAD-TADJI</t>
  </si>
  <si>
    <t>Procurement of Materials and supplies for Municipal MRF &amp; Other SWW program</t>
  </si>
  <si>
    <t>SUPPLY &amp; DELIVERY OF DRESSING CART WITH DRESSING SET</t>
  </si>
  <si>
    <t>PROCUREMENT OF MICRO-INFRA PROJECTS CLUSTER 04-2020 (MDF 2020), DAKLAN, BENGUET</t>
  </si>
  <si>
    <t>PROCUREMENT OF MICRO-INFRA PROJECTS CLUSTER 06-2020 (MDF 2020), KARAO, BENGUET</t>
  </si>
  <si>
    <t>Purchase of Medicines and Medical Supplies</t>
  </si>
  <si>
    <t>COMPLETION OF MULTI PURPOSE BUILDING AT PITO, BOKOD, BENGUET (MDF 2020)</t>
  </si>
  <si>
    <t>Repair/Maintenance of Mabinit River 1 Revetment 2, Legazpi (F40032LZ)</t>
  </si>
  <si>
    <t>SUPPLY &amp; DELIVERY OF DEFIBRILLATOR WITH MONITOR</t>
  </si>
  <si>
    <t>20GA0220-Concreting of Brgy. Guinatuan to Sitio Datag Brgy. Tigbawan FMR Brgy. Guinatuan and Brgy. Tigbawan, Madalag, Aklan</t>
  </si>
  <si>
    <t>PROCUREMENT OF  TWO (2) UNITS 6 WHEELER MINI DUMP TRUCK</t>
  </si>
  <si>
    <t>INVITATION TO BID FOR: CONSTRUCTION OF MANPOWER TRAINING CENTER PHASE III – CORELLA, BOHOL</t>
  </si>
  <si>
    <t>PROCUREMENT OF 4 WHEELER MULTI PURPOSE VEHICLE (MPV)</t>
  </si>
  <si>
    <t>REPAIR AND MAINTENANCE OF FARM TO MARKET ROADS</t>
  </si>
  <si>
    <t>Procurement of Fertilizers, Insecticides and Dessuckerides</t>
  </si>
  <si>
    <t>Procurement of Medicines for use at RHU I and II.</t>
  </si>
  <si>
    <t>Procurement of Agricultural Supply (Livestock and Feeds), LGU (various brgys), Baybay City, Leyte</t>
  </si>
  <si>
    <t>Repair/Maintenance of Malabog River Revetment 12, Malabog, Daraga, Albay (F40141LZ)</t>
  </si>
  <si>
    <t>SUPPLY, DELIVERY AND REPAIR OF SPAREPARTS OF HEAVY EQUIPMENT (VIBRATORY COMPACTOR), LGU ALEOSAN, COTABATO</t>
  </si>
  <si>
    <t>Procurement-Supply &amp; Delivery Veterinary Supplies</t>
  </si>
  <si>
    <t>Supply and Delivery of Construction Materials for the Rehabilitation of Farm to Market Road</t>
  </si>
  <si>
    <t>office and other supplies - SHS</t>
  </si>
  <si>
    <t>PROVISION FOR SUPPORT FACILITIES AT CAUAYAN CITY SPORTS COMPLEX (PHASE 1)</t>
  </si>
  <si>
    <t>Labor Cost for Demolition &amp; Reconstruction of MPB</t>
  </si>
  <si>
    <t>Procurement of Aircon</t>
  </si>
  <si>
    <t>BRIGADA</t>
  </si>
  <si>
    <t>Supply &amp; Delivery of Learning Materials - ITB 040-2020 GQ</t>
  </si>
  <si>
    <t>SUPPLY &amp; DELIVERY OF AUTOCLAVE</t>
  </si>
  <si>
    <t>Labor Cost for Repair of Facilities</t>
  </si>
  <si>
    <t>Supply and Delivery of Construction Materials and Supplies for the Concreting of Barangay Road (So. Siange)</t>
  </si>
  <si>
    <t>Extension of Boardwalk, Construction of Shed and Entrance Pavement - ITB 041-2020 GQ</t>
  </si>
  <si>
    <t>SUPPLY &amp; DELIVERY GENERATOR SET</t>
  </si>
  <si>
    <t>Fabrication, Delivery, and Installation of SSF Signage for New and Existing SSF Cooperators in MIMAROPA</t>
  </si>
  <si>
    <t>Supply and Delivery of Construction Materials and Supplies for the Installation of Solar Streetlights (So. Hingin I &amp; Alyanon)</t>
  </si>
  <si>
    <t>Supply and Delivery of Construction Materials and Supplies for the Concreting of Barangay Road (So. Alyanon)</t>
  </si>
  <si>
    <t>Repair/Maintenance of Big Mateo Bridge Revetment along Kidapawan-Magpet-Pangao-an Road, Big Mateo Bridge approach “B” (Downstream) (Re-Published)</t>
  </si>
  <si>
    <t>SUPPLY &amp; DELIVERY OF VEGETABLE SEEDS</t>
  </si>
  <si>
    <t>CONSTRUCTION OF DISASTER OPERATION CENTER (PHASE IV) Poblacion, Lingig, Surigao Del Sur</t>
  </si>
  <si>
    <t>Construction of Tourism Multi-Purpose Building with Complete Facilities</t>
  </si>
  <si>
    <t>Street Illumination at the Municipal Plaza</t>
  </si>
  <si>
    <t>Invitation to Bid for the Provision of Security Services for URS Antipolo City, Angono, Binangonan, Cainta, Cardona, Morong, Pililla, Rodriguez, Tanay and Taytay Campuses, 2nd Bidding</t>
  </si>
  <si>
    <t>Construction of Typical Fire Station with Mezzanine of Alubijid Fire Station</t>
  </si>
  <si>
    <t>Supply and Delivery of Supplies to be used for production of learning modules, worksheets, activity and lesson exemplars</t>
  </si>
  <si>
    <t>Supply and Delivery of Various Processing Equipment for MSC Gasan</t>
  </si>
  <si>
    <t>PROVISION OF MEDICAL SUPPLIES</t>
  </si>
  <si>
    <t>PRINTING OF TARPAULINS</t>
  </si>
  <si>
    <t>Supply and Delivery of Bond Paper to be used for production of learning modules, worksheets, activity and lesson exemplars</t>
  </si>
  <si>
    <t>Construction of Multi-Purpose Building (Storage Room)</t>
  </si>
  <si>
    <t>Supply and Delivery of Risograph Machine to be used for production of learning modules, worksheets, activity and lesson exemplars</t>
  </si>
  <si>
    <t>PAYMENT FOR INTERNET LOAD</t>
  </si>
  <si>
    <t>Repair/Maintenance of DILG Building Cotabato Police Prov’l Office Building, Amas, Kidapawan City (Re-Published)</t>
  </si>
  <si>
    <t>20GA0222-Concreting of Brgy. Pang-itan to Brgy. San Jose FMR  Brgy. Pang-itan and Brgy. San Jose, Madalag, Aklan</t>
  </si>
  <si>
    <t>CONCRETING OF BARANGAY ACCESS ROAD (CRITICAL SECTION) Sitio Bentigan, Barangay Pagtilaan, Lingig, Surigao Del Sur</t>
  </si>
  <si>
    <t>CONDUCT OF PROFESSIONAL MEETING</t>
  </si>
  <si>
    <t>ICT Equipments</t>
  </si>
  <si>
    <t>PHOTOCOPY OF LIQUIDATION &amp; OTHER SCHOOL REPORTS</t>
  </si>
  <si>
    <t>20DI0160- Repair/ Maintenance of DENR Building, CENRO – Records Building, Brgy. Lalakay, Los Baños, Laguna</t>
  </si>
  <si>
    <t>20GA0223-Concreting of Brgy. Sta. Cruz FMR Brgy. Sta. Cruz, Lezo, Aklan</t>
  </si>
  <si>
    <t>CONDUCT WORLD TEACHERS DAY</t>
  </si>
  <si>
    <t>20DB0135 Construction/Rehabilitation of Water Supply/Septage and Sewerage/Rain Water Collectors-Rain Water Collectors in Public Facilities</t>
  </si>
  <si>
    <t>CAUAYAN CITY FREEDOM PARK</t>
  </si>
  <si>
    <t>COMPLETION OF BUILDING 4 OF THE QUIRINO MUNICIPAL MARKET</t>
  </si>
  <si>
    <t>Supply and Delivery of Assorted Gate Valves</t>
  </si>
  <si>
    <t>20IL0195 (REPAIR/MAINTENANCE OF SAN JOSE FLOOD CONTROL ALONG BDRY. SO. LEYTE-MAASIN-MACROHON-SOGOD-DAANG MAHARLIKA (S00194LT), MAASIN CITY, SOUTHERN LEYTE Contract Location	: BRGY. SAN JOSE, MAASIN CI</t>
  </si>
  <si>
    <t>(20NH0092)Construction/ Rehabilitation of Multi-Purpose Building in Cantilan, Surigao del Sur</t>
  </si>
  <si>
    <t>Supply and Delivery of One (1) Lot of Construction Materials for the Installation of transmission and distribution of Pipe Line (Phase 2) Tabuelan, Cebu (7-Upland Barangays)</t>
  </si>
  <si>
    <t>Procurement of Agricultural and Marine Supplies, LGU (for various brgys), Baybay City, Leyte</t>
  </si>
  <si>
    <t>RM Electrical Wiring</t>
  </si>
  <si>
    <t>PROVISIONS OF TEST PAPERS</t>
  </si>
  <si>
    <t>PROVISIONS OF SCHOOL ID &amp; CORD</t>
  </si>
  <si>
    <t>PROVISION OF SPORTS MATERIALS</t>
  </si>
  <si>
    <t>Improvement of Manpower Development Center @ Poblacion Including Acquisition of Transformer</t>
  </si>
  <si>
    <t>REHABILITATION OF SAN ISIDRO BARANGAY HEALTH STATION (BHS)</t>
  </si>
  <si>
    <t>PROVISION OF SCHOOL SUPPLIES</t>
  </si>
  <si>
    <t>Provisions of Office Supplies</t>
  </si>
  <si>
    <t>Supply and Delivery of Deodorizer for the Municipality</t>
  </si>
  <si>
    <t>RM Library Hub</t>
  </si>
  <si>
    <t>(20NH0075 (RE-AD))Rehabilitation of Park, Brgy. Poblacion, Lianga, Surigao del Sur</t>
  </si>
  <si>
    <t>20DI0163- Repair/ Maintenance of DILG Building, Anti-Cybercrime Building Camp Vicente Lim, Calamba City, Laguna</t>
  </si>
  <si>
    <t>Supply and Delivery of Medical, Dental and Laboratory Supplies for Municipal Health Office</t>
  </si>
  <si>
    <t>Hospital/Medical Equipment for use of OMSDH/ for the Covid &amp; Non Covid patients of OMSDH</t>
  </si>
  <si>
    <t>SUPPLY, DELIVERY AND INSTALLATION OF 3-75KVA TRANSFORMERS, INCLUDING ACCESORIES, PORT OF ORMOC, LEYTE</t>
  </si>
  <si>
    <t>(20NH0091)Construction of Multi-Purpose Building, Municipality of Cantilan, Surigao del Sur</t>
  </si>
  <si>
    <t>Supply and Delivery of Assorted Materials for the Establishment of District Metering Area</t>
  </si>
  <si>
    <t>CONSTRUCTION OF RIVER CONTROL</t>
  </si>
  <si>
    <t>SUPPLY &amp; DELIVERY OF ELECTROLYTE ANALYZER</t>
  </si>
  <si>
    <t>20IL0196 (CONCRETING OF BRGY. POBLACION-SITIO COOT, BRGY. DINAHUGAN FMR (PHASE II) Contract Location	: BRGY. POBLACION &amp; DINAHUGAN, PADRE BURGOS, SOUTHERN LEYTE)</t>
  </si>
  <si>
    <t>20DI0161- Repair/Maintenance of DPWH Building, Area Equipment Services Building, Los Baños, Laguna</t>
  </si>
  <si>
    <t>Agricultural Products (Seeds, Seedlings, Plants…) for Distribution under Binhian sa Barangay and Mindoro Dinorado Rice Production Program-Agro Technology Resource and Management Services Division</t>
  </si>
  <si>
    <t>Supply and Delivery of Assorted Service Connection Materials</t>
  </si>
  <si>
    <t>20DI0162- Repair/ Maintenance of DND Building MESS Hall Building Camp Gen. Macario Sakay, Los Baños, Laguna</t>
  </si>
  <si>
    <t>Agricultural Products (Seeds, Seedlings, Plants…) for Distribution of Fruit tress high quality Planting Materials to qualified Organization/Association/Cooperators of different Municipalities under Hi</t>
  </si>
  <si>
    <t>Goods</t>
  </si>
  <si>
    <t>CONSTRUCTION OF THE COMMUNITY CENTER OF TOBACCO PRODUCING BARANGAY (SANTIAGO - PHASE II)</t>
  </si>
  <si>
    <t>Supply and Delivery of Construction Materials for Construction of VAWC Office Phase 2</t>
  </si>
  <si>
    <t>Furnishing of materials for the Construction of Perimeter Fence</t>
  </si>
  <si>
    <t>Retainer Fee for Medical and Dental Services for CY 2020.</t>
  </si>
  <si>
    <t>CONCRETING OF BARANGAY ACCESS ROAD, BARANGAY HANDAMAYAN, LINGIG, SURIGAO DEL SUR</t>
  </si>
  <si>
    <t>Procurement of Improvement/ Cleaning and Maintenance of Drainage Canal (Materials)</t>
  </si>
  <si>
    <t>20KK0125 - Construction of 2 STY 4 CL, Talisay Elementary School, Gingoog City, Misamis Oriental</t>
  </si>
  <si>
    <t>SUPPLY &amp; INSTALLATION OF VARIOUS FURNITURE, STEEL SIGNAGE &amp; COMBI. BLINDS AT HEALTH SERVICES, Contract ID No. SVP-13-20</t>
  </si>
  <si>
    <t>CONSTRUCTION OF LOCAL ROADS</t>
  </si>
  <si>
    <t>Supply &amp; Delivery of Medical Oxygen</t>
  </si>
  <si>
    <t>CONSTRUCTION OF MULTI-PURPOSE COVERED COURT/EVACUATION CENTER PHASE 2, @ DUNGON INTEGRATED SCHOOL, BRGY. DUNGON, SISON, PANGASINAN</t>
  </si>
  <si>
    <t>CONSTRUCTION OF BARANGAY HEALTH STATION AT BARANGAY BARBAR</t>
  </si>
  <si>
    <t>RM Feeding Center</t>
  </si>
  <si>
    <t>20AG0121-Construction of Modified Standard One-Storey (2 Classrooms) School Building at Patar ES, Agno, Pangasinan</t>
  </si>
  <si>
    <t>CONCRETING OF BARANGAY ACCESS ROAD, BARANGAY SAN ROQUE, LINGIG, SURIGAO DEL SUR</t>
  </si>
  <si>
    <t>RM Kindergarten</t>
  </si>
  <si>
    <t>BPSU Abucay Campus: Supply, Delivery and Installation of Hybrid Soil and Plant Laboratory Equipment for the Rehabilitation of BSA/BTVTE Building</t>
  </si>
  <si>
    <t>20AG0123-Construction of Modified Standard One-Storey (2 Classrooms) School Building at Uli ES, Dasol,  Pangasinan</t>
  </si>
  <si>
    <t>Procurement of Various Aggregates Supplies-06-346(O)PEO</t>
  </si>
  <si>
    <t>CONSTRUCTION OF STANDARD DAY CARE CENTER</t>
  </si>
  <si>
    <t>Supply and Delivery of Construction Materials for Tina II PCIP</t>
  </si>
  <si>
    <t>SUPPLY &amp; DELIVERY OF CARDIAC MONITOR WITH PULSE OXIMETER</t>
  </si>
  <si>
    <t>20KK0127 - Construction of 2 UNITS 1 STY 2 CL, Lantad IS, Balingasag, Misamis Oriental</t>
  </si>
  <si>
    <t>20GIA005 Procurement of Road Signs</t>
  </si>
  <si>
    <t>Procurement of Marine Supplies.</t>
  </si>
  <si>
    <t>CONSTRUCTION OF ENTRANCE GATE &amp; GUARD HOUSE</t>
  </si>
  <si>
    <t>CONSTRUCTION OF TUBURAN, TUNGA-TUNGA RIVER CONTROL</t>
  </si>
  <si>
    <t>Procurement of Cafeteria Concessionaire for CF-Iloilo Employees for a period of Two (2) Years</t>
  </si>
  <si>
    <t>Procurement of Medical Supply (Medicines), CHO/TB-DOTS, Baybay City, Leyte</t>
  </si>
  <si>
    <t>Supply and Delivery of Plastic Barriers, Rubberized Traffic Cones and Plastic Pedestrian Barriers to be used along the City's Major Thoroughfares for the 1st Semester of 2020 in the City of San Fernan</t>
  </si>
  <si>
    <t>1. Spareparts (for the use of DAEWOO DE12TIS)/CMO-Motorpool 2.Spareparts (for the use of Transit Mixer)/CMO-Motorpool</t>
  </si>
  <si>
    <t>Road Concreting located starting at Approach Hacienda Manaul, Barangay Matab-ang</t>
  </si>
  <si>
    <t>Supply and Delivery of Materials for Footbridge Construction at Sitio Sinatalan to Sitio Sumibang</t>
  </si>
  <si>
    <t>B20200218 - CONDUCT OF ENGINEERING GEOLOGICAL &amp; GEO-HAZARD ASSESSMENT (EGGA)</t>
  </si>
  <si>
    <t>Procurement of Construction of Multi-purpose Building (DSWD)</t>
  </si>
  <si>
    <t>Supply and Delivery of Construction Materials for Mambusao RIS</t>
  </si>
  <si>
    <t>Procurement of One (1) Unit K2500 Double Cab (Procurement of Goods)</t>
  </si>
  <si>
    <t>Procurement of Construction of Multi-purpose Building Phase III</t>
  </si>
  <si>
    <t>Procurement of Expansion/ Improvement of Level III Water System</t>
  </si>
  <si>
    <t>SUPPLY AND DELIVERY OF 245 BAGS HYBRID PALAY SEEDS</t>
  </si>
  <si>
    <t>Procurement of supply and delivery of Office Supplies</t>
  </si>
  <si>
    <t>Procurement of F&amp;B Concessionaire for CF-Bacolod Customers, Guests and Officers for a Period of Three (3) Years</t>
  </si>
  <si>
    <t>Procurement of ordinary plastic water meters</t>
  </si>
  <si>
    <t>Procuremement of Concreting of 120 meters Unpaved road</t>
  </si>
  <si>
    <t>Procurement of Veterinary drugs for Livestock Services -OMA</t>
  </si>
  <si>
    <t>20DD0342 Local Program, Local Infrastructure Program, Buildings and Other Structures, Multipurpose/ Facilities, Rehabilitation/ Improvement of Multi-Purpose Facilities at Sen. Claro M. Recto Integrate</t>
  </si>
  <si>
    <t>20DD0341 Local Program, Local Infrastructure Program, Buildings and Other Structures, Multipurpose/ Facilities, Construction and Completion of Padre Garcia Community Hospital, Padre Garcia, Batangas</t>
  </si>
  <si>
    <t>20DD0340 Local Program, Local Infrastructure Program, Buildings and Other Structures, Multipurpose/ Facilities, Construction/ Improvement of Multi-Purpose Building including facilities (Plaza Independ</t>
  </si>
  <si>
    <t>20DD0339 Local Program, Local Infrastructure Program, Buildings and Other Structures, Multipurpose/ Facilities, Construction of a Multi-Purpose Building (Municipal Hall) at Brgy. Poblacion, Padre Garc</t>
  </si>
  <si>
    <t>Construction of RC Culvert &amp; Concreting of Brgy. Road., Brgy. Hibunawan, Baybay City, Leyte</t>
  </si>
  <si>
    <t>Up keeping and Maintenance of the Port Physical Facilities for a period of  Eleven (11) Months, Port of Iligan, Iligan City</t>
  </si>
  <si>
    <t>CONSTRUCTION OF SLOPE (LUGSAD SPRING INCLUDING INTAKE BOX) - LABOR AND MATERIALS</t>
  </si>
  <si>
    <t>Procurement of Construction of DRRM Operations Center Phase I</t>
  </si>
  <si>
    <t>20FJ0027 - Repair/ Maintenance of DPWH Building, Motorpool, Masbate III District Engineering Office</t>
  </si>
  <si>
    <t>20DD0263 (Re-Advertised) Local Program, Local Infrastructure Program, Buildings and Other Structures, Multipurpose/ Facilities, Rehabilitation/ Improvement of M.B. Medrano Plaza, Brgy. Poblacion, Ibaa</t>
  </si>
  <si>
    <t>IMPROVEMENT OF SAPUAN FARM-TO-MARKET ROAD AT AMBASSADOR, TUBLAY, BENGUET</t>
  </si>
  <si>
    <t>Procurement of Feeds, Minerals and Fertilizers  for Provincial Veterinary Office</t>
  </si>
  <si>
    <t>Concreting of Pavement at Bukang Liwayway St. - Abellera Extension, Brgy. Poblacion</t>
  </si>
  <si>
    <t>Procurement of 400 Pcs ARAD Water System</t>
  </si>
  <si>
    <t>RFQ-GS-20200616-01 - Subscription and Installation of IP VPN Lines using 2Mbps Bandwidth for Various LANBBANK Sites</t>
  </si>
  <si>
    <t>LGU201820%DFGoods-002</t>
  </si>
  <si>
    <t>Invittion to Bid Purchase of Office Supplies</t>
  </si>
  <si>
    <t>Equipment Rental</t>
  </si>
  <si>
    <t>20GPI0005 - PURCHASE OF SPARE PARTS AND LABOR SERVICES: A.) For use on the repair of fuel system and replacement of wornout tires of HI-7377, Ford Everest 3.0, 2011 	B.) For use of 141204 (HI-5871) an</t>
  </si>
  <si>
    <t>Procurement of Supplies and Materials for OMA Programs</t>
  </si>
  <si>
    <t>Construction of Multi-Purpose Building Kagitingan, Magay, Brgy. Don Martin Marundan</t>
  </si>
  <si>
    <t>BNLSL-LCB-04A-2019 – Construction of Canal System of Sto. Niño CIP, Babatngon, Leyte</t>
  </si>
  <si>
    <t>Construction of Residual Containment Area (RCA)</t>
  </si>
  <si>
    <t>20GDJ0008/N-2020-06-066 Provision of Three (3) Security Guards at DPWH Quezon II DEO, Lucena City</t>
  </si>
  <si>
    <t>20AJ0102-Construction of Four (4) Storey Eight (8) Classroom School Building, Botao NHS, Sta. Barbara, Pangasinan</t>
  </si>
  <si>
    <t>Procurement of Construction of Community Police Assistance Center (COMPAC)</t>
  </si>
  <si>
    <t>Rehab./Improvement of Junction National Road to San Vicente, Sitio San Vicente, Sitio Centro, Brgy. Kilim, Baybay City, Leyte</t>
  </si>
  <si>
    <t>PROCUREMENT OF ONE (1) UNIT RESCUE VEHICLE</t>
  </si>
  <si>
    <t>20AJ0101-Construction of Four (4) Storey Eight (8) Classroom School Building, Primicias NHS, Mapandan, Pangasinan</t>
  </si>
  <si>
    <t>Procurement of Medicine for Botika ng Bayan and Other Programs</t>
  </si>
  <si>
    <t>20DD0348 Local Program, Local Infrastructure Program, Buildings and Other Structures, Multipurpose/ Facilities, Construction of Footbridge at Brgy. Balintawak, Lipa City, Batangas</t>
  </si>
  <si>
    <t>Project 2020-15: Purchase of Assorted Sizes uPVC Pipes S-8 &amp; S-10, Fixed Seal</t>
  </si>
  <si>
    <t>Printing and Delivery of Tarpaulins to be used for the various programs and projects of the City Government of San Fernando, Pampanga</t>
  </si>
  <si>
    <t>Procurement of Purchase of Medicines for MMH</t>
  </si>
  <si>
    <t>Labor and Materials for the Construction of Slope Protection (Phase II) at San Agustin, City of San Fernando, Pampanga</t>
  </si>
  <si>
    <t>Procurement of 4 Units Aircon Floor Standing 3HP with Installation</t>
  </si>
  <si>
    <t>20DD0345 Local Program, Local Infrastructure Program, Buildings and Other Structures, Multipurpose/ Facilities, Construction of Multi-Purpose Building at Plaridel National High School, Lipa City, Bata</t>
  </si>
  <si>
    <t>20DD0343 Local Program, Local Infrastructure Program, Local Roads and Bridges, Local Roads, Rehabilitation/Improvement of Road including Drainage System at Brgy. 7, Lipa City, Batangas</t>
  </si>
  <si>
    <t>20DD0347 Local Program, Construction/ Repair/ Rehabilitation/ Improvement of Various Infrastructure Including Local Projects, Buildings and Other Structures, Multipurpose/ Facilities, Construction of</t>
  </si>
  <si>
    <t>INVITATION TO BID FOR SUPPLY, DELIVERY, INSTALLATION &amp; COMMISSIONING OF ELECTRO-MECHANICAL EQUIPMENT FOR PUMP STATION 6, INCLUDING INTERCONNECTION TO TRANSMISSION MAIN.</t>
  </si>
  <si>
    <t>2ND ITB SUPPLY AND DELIVERY 7 UNITS MECHANICAL RICE TRANSPLANTER UNDER 2020 RICE PROGRAM</t>
  </si>
  <si>
    <t>20DD0346 Local Program, Local Infrastructure Program, Local Roads and Bridges, Local Roads, Concreting of Local Road at Brgy. Tulay na Patpat, Ibaan, Batangas</t>
  </si>
  <si>
    <t>For the Procurement of uPVC Pipes for Mati Water District, City of Mati, Davao Oriental</t>
  </si>
  <si>
    <t>20AG0124-Construction of Modified Standard One-Storey (2 Classrooms) School Building at Viga ES, Dasol, Pangasinan</t>
  </si>
  <si>
    <t>Purchase of Two (2) units of Water pump with complete set of Accessories and Black Hose for the Irrigation Support Assistance and Cacao Development Project of the City of Talisay</t>
  </si>
  <si>
    <t>20KK0126 - Construction of 1 STY 2 CL, Damayuhan NHS, Magsaysay (Linugos), Misamis Oriental</t>
  </si>
  <si>
    <t>SUPPLY AND DELIVERY OF OFFICE SUPPLIES, MATERIALS AND EQUIPMENT</t>
  </si>
  <si>
    <t>Improvement of Concrete Pavement, Brgy. Candadam, Baybay City, Leyte</t>
  </si>
  <si>
    <t>Procurement of Medical Supplies - MHO</t>
  </si>
  <si>
    <t>PROVISION OF LABOR, MATERIALS, EQUIPMENT RENTALS AND OTHER INCIDENTALS NEEDED FOR THE RECONSTRUCTION OF (2 UNITS) GOAT HOUSE IN PREC-SUAL, PANGASINAN</t>
  </si>
  <si>
    <t>20CB0072: Construction of Two(2) Storey Four(4) Classroom at Capunitan ES, Orion, Bataan</t>
  </si>
  <si>
    <t>20DD0344 Local Program, Local Infrastructure Program, Buildings and Other Structures, Multipurpose/ Facilities, Rehabilitation/ Improvement of Multi-Purpose Facilities at Brgy. Bugtong, Lipa City, Bat</t>
  </si>
  <si>
    <t>Labor and Materials for the Desilting/ Declogging of Alasas Creek (Solana Bridge to Alasas Bridge) at San Agustin and Alasas, City of San Fernando, Pampanga</t>
  </si>
  <si>
    <t>Construction of 3 Type Public Market Building No.3-C</t>
  </si>
  <si>
    <t>Procurement of Supply, Delivery, Installation, Testing, Applications Training and Commissioning of Various Medical Equipment (Batch 2)</t>
  </si>
  <si>
    <t>SUPPLY, DELIVERY AND COMMISSIONING OF LITHOTRIPTOR SET FOR STONE SURGERIES</t>
  </si>
  <si>
    <t>SUPPLY AND DELIVERY OF CONSTRUCTION MATERIALS FOR THE CONSTRUCTION OF APARTMENT TYPE NICHES (CONTINUING PROJECT)</t>
  </si>
  <si>
    <t>Procurement of Health Equipment, 1 set Prestan Mannequin 3 pack w/ CPR Monitor</t>
  </si>
  <si>
    <t>CONSTRUCTION OF EARLY CHILDHOOD CARE AND  DEVELOPMENT CENTER</t>
  </si>
  <si>
    <t>USE FOR THE INSTALLATION OF TRENCH MAINTENANCE BOX-18 UNIT &amp; SAFETY COVER OF EXISTING BOXES AT BONG SOURCE, KABANGKALAN, VILLAHERMOSA, TUDELA, CEBU</t>
  </si>
  <si>
    <t>RFQ-GS-20200616-05 - 1 Lot Supply, Delivery and Installation of 1 Unit Synchronizing Control Panel for the Generation Set located at LANDBANK Plaza Building</t>
  </si>
  <si>
    <t>Purchase of Various Office Supplies (Various Offices)</t>
  </si>
  <si>
    <t>Contract of Service for the Termite Treatment and Control to be used at City Hall Compound, City Health Office and RHU's and Birthing Stations in the City of San Fernando, Pampanga</t>
  </si>
  <si>
    <t>Procurement of Medical Supplies for MMH</t>
  </si>
  <si>
    <t>Supply and Delivery of Toners and Inks, 1 Lot, for the Utilization of Pantawid Pamilya staff in RPMO, POO1, POO2, POO3, POO4 and Its municipalities</t>
  </si>
  <si>
    <t>20AJ0103-Construction of Four (4) Storey, Eight (8) Classroom School Building, Mabuletic I.S., Malasiqui, Pangasinan</t>
  </si>
  <si>
    <t>20CB0073: Construction of Two(2) Storey Four(4) Classroom at Mariveles SHS-Sitio Mabuhay, Mariveles, Bataan</t>
  </si>
  <si>
    <t>20AJ0104-Construction of Two (2) Storey Six (6) Classroom School Building at Tuliao E/S, Sta. Barbara, Pangasinan</t>
  </si>
  <si>
    <t>FOR THE SUPPLY AND DELIVERY OF ICT EQUIPMENT OF EMB REGION VI CY 2020 (RE-BID)</t>
  </si>
  <si>
    <t>20CB0078: Construction of Two(2) Storey Ten(10) Classroom at Bilolo ES, Orion, Bataan</t>
  </si>
  <si>
    <t xml:space="preserve">2nd Invitation for the Supply &amp; Delivery of Lot 3- 5 units Copier for use in the office and staff of RPMSO and PPMSO Sorsogon, Catanduanes and Masbate Special Area for Agricultural Development (SAAD) </t>
  </si>
  <si>
    <t>Construction of Temporary Learning Space in Various Schools</t>
  </si>
  <si>
    <t>Supply and Delivery of Office Supplies for Various Offices of the Municipality</t>
  </si>
  <si>
    <t>Repair/Renovation and Demolition/Dismantling</t>
  </si>
  <si>
    <t>20AG0122-Construction of Modified Standard One-Storey (2 Classrooms) School Building at San Jose ES, Anda, Pangasinan</t>
  </si>
  <si>
    <t>CawExt2020-002 Supply and Delivery of Materials for the Construction of Line Canal</t>
  </si>
  <si>
    <t>Supply and delivery of Materials for the Roofing Repair of Barikir Day Care Center</t>
  </si>
  <si>
    <t>PROVISION OF LABOR, MATERIALS, EQUIPMENT RENTALS AND OTHER INCIDENTALS NEEDED FOR THE REHABILITATION AND ENHANCEMENT OF DORMITORY BUILDING AT DA-PREC, SUAL, PANGASINAN</t>
  </si>
  <si>
    <t>20CB0077: Construction of Two(2) Storey Eight(8) Classroom at Balanga City National Science High School, Balanga City, Bataan</t>
  </si>
  <si>
    <t>RFQ2020-05-029_SUPPLY AND DELIVERY OF VARIOUS WATER SERVICE CONNECTION MATERIALS FOR MAINTENANCE USE FOR 2ND QUARTER PROCUREMENT OF CY 2020_2ND PUBLICATION</t>
  </si>
  <si>
    <t>Construction/Renovation</t>
  </si>
  <si>
    <t>20CB0076: Construction of Three(3) Storey Six(6) Classroom at City of Balanga National High School, Balanga City, Bataan</t>
  </si>
  <si>
    <t>20CB0071: Construction of Two(2) Storey Four(4) Classroom at Bantan ES, Orion, Bataan</t>
  </si>
  <si>
    <t>20CB0075: Construction of Two(2) Storey Four(4) Classroom at Mariveles NHS Malaya, Mariveles, Bataan</t>
  </si>
  <si>
    <t>Supply and Delivery of Assorted Oil and Crude Oil</t>
  </si>
  <si>
    <t>20CB0074: Construction of Two(2) Storey Four(4) Classroom at Sabatan ES, Orion, Bataan</t>
  </si>
  <si>
    <t>Procurement of Improvement/ Cleaning and Maintenance of Drainage Canal (Labor)</t>
  </si>
  <si>
    <t>BNLSL-LCB-34-2020 – Construction of Diversion Works, Canal and Farm Level System of Tabion SIP, Leyte, Leyte</t>
  </si>
  <si>
    <t>20GBC0007 - Furnishing/Delivery of Pavement Marking Materials for use along National Roads (Thermoplastic Paint Yellow)</t>
  </si>
  <si>
    <t>20GGF0014 – Procurement of five (5) pcs. Tires 255/70/R16 and one (1) pc. Aircon Filter for use in the Planning and Design Section, Iloilo 1st District Engineering Office, Fort San Pedro Iloilo City.</t>
  </si>
  <si>
    <t>CONSTRUCTION OF CULTURAL AND RECREATION PARK</t>
  </si>
  <si>
    <t>PROCUREMENT OF VARIOUS HARDWARE AND CONSTRUCTION MATERIALS AND SUPPLIES TO BE USED FOR THE IMPROVEMENT OF MUNICIPAL GYMNASIUM</t>
  </si>
  <si>
    <t>Concreting of Pavement at MH del Pilar St, Purok Masagana, Brgy. Poblacion</t>
  </si>
  <si>
    <t>Construction of Shoulder &amp; Concrete Line Canal at Cumadcad-Canjela Road</t>
  </si>
  <si>
    <t>Construction/Improvement</t>
  </si>
  <si>
    <t>CLUSTER II - Donsol, Sorsogon</t>
  </si>
  <si>
    <t>Medical Equipment</t>
  </si>
  <si>
    <t>Supply &amp; Delivery of 7,179 liters Foliar Fertilizer for distribution to affected farmers of Typhoon Tisoy</t>
  </si>
  <si>
    <t>“SUPPLY AND DELIVERY OF VARIOUS SCUBA DIVING GEARS FOR 10 UNITS 30m. MCS PATROL VESSELS, 4 UNITS OF 11m. MCS PATROL VESSELS, 2 UNITS MMOV, F/V TAMBAKOL AND MRG TECHNICIANS”</t>
  </si>
  <si>
    <t>Construction of 1 Unit 1 Classroom at Gutalid E/S, Kitaotao</t>
  </si>
  <si>
    <t>IB-Goods-2020-10- Procurement of Medical Equipment under HFEP 2020</t>
  </si>
  <si>
    <t>PROVISION OF LABOR, MATERIALS, EQUIPMENT RENTALS AND OTHER INCIDENTALS NEEDED FOR THE RECONSTRUCTION OF PERIMETER FENCE WITH GATE AT DA-PREC, SUAL, PANGASINAN</t>
  </si>
  <si>
    <t>Contract ID No. 20NC0130 - Construction of Bunawan-Veruela Road, Veruela, Agusan del Sur</t>
  </si>
  <si>
    <t>Contract ID No.: 20OB0315 Contract Name: Completion of Multi-Purpose Building (Health Center) at Barangay Ligid Tipas, Taguig City</t>
  </si>
  <si>
    <t>CLUSTER I - Bulan, Sorsogon</t>
  </si>
  <si>
    <t>Bidding (Infra Project)</t>
  </si>
  <si>
    <t>Contract ID No.: 20OB0399 Contract Name: Construction/Rehabilitation of Multi-Purpose Building including Site Development, Marikina City</t>
  </si>
  <si>
    <t>20GPF0012: Supply and Delivery of Lubricants, Tires, various vehicle and heavy equipment parts &amp; accessories for use of Maintenance Section of DPWH-BSDEO (CLUSTER I-2020 GOODS).</t>
  </si>
  <si>
    <t>CONSTRUCTION OF PIG PEN</t>
  </si>
  <si>
    <t>19CSZ014- Consulting Services for the Construction Supervision of Davao City Bypass Construction Project - Package I-1 and Tender Assistance for Packages I-2 and I-3 (JICA Loan Agreement No. PH-P261)</t>
  </si>
  <si>
    <t>Contract ID No.: 20OB0393 Contract Name: Improvement of Amang Rodriguez Memorial Medical Center,   Marikina City</t>
  </si>
  <si>
    <t>Supply and Delivery SPARE PARTS OF HEAVY EQUIPMENT - MEO</t>
  </si>
  <si>
    <t>Contract ID No.: 20OB0381 Contract Name: Rehabilitation of Roads, Barangay Bambang, Taguig City</t>
  </si>
  <si>
    <t>Contract ID No.: 20OB0380 Contract Name: Rehabilitation of Roads, Barangay Bagumbayan, Taguig City</t>
  </si>
  <si>
    <t>PROCUREMENT FOR INSTALLATION OF NETWORK AND INFORMATION TECHNOLOGY INFRASTRUCTURE FOR DANGEROUS DRUGS BOARD-MANAGEMENT INFORMATION SYSTEM UNIT</t>
  </si>
  <si>
    <t>Contract ID No.: 20OB0378 Contract Name: Rehabilitation of Roads at Brgy. South Daanghari, Taguig City  Contract Location: Taguig City</t>
  </si>
  <si>
    <t>Supply &amp; Delivery of 7,179 packs Plant Growth Enhancer for distribution to affected farmers of Typhoon Tisoy</t>
  </si>
  <si>
    <t>Supply and Delivery of FOOD SUPPLIES FOR THE CONSUMPTION IN ESTABLISHMENT FOR MAINTENANCE OF INTEGRATED DEFENSE SYSTEM FOR MPOC</t>
  </si>
  <si>
    <t>Contract ID No.: 20OB0413 Contract Name: Construction/Rehabilitation of Concepcion Uno Multi-Purpose Buildings, Marikina City</t>
  </si>
  <si>
    <t>Contract ID No. 20NC0129 - Concreting of Sitio Gasa - Brgy. Tudela Road, Brgy. Basa, Trento, Agusan del Sur</t>
  </si>
  <si>
    <t>COMPLETION OF 5 BARANGAYS PUBLIC TOILETS</t>
  </si>
  <si>
    <t>20FJ0028 - Repair/ Maintenance of DPWH Building, Area Equipment Quarter, Airport Road, Brgy. Kalipay, Masbate City</t>
  </si>
  <si>
    <t>CONSTRUCTION OF BARANGAY HEALTH STATION</t>
  </si>
  <si>
    <t>Supply and Delivery of FOOD SUPPLIES FOR THE CONSUMPTION OF MILITARY COMBAT/INTEL OPERATION (2ND QUARTER 2020)</t>
  </si>
  <si>
    <t>Construction of 1 Building 1 Classroom at Bacbacon E/S, Kadingilan</t>
  </si>
  <si>
    <t>PB-I-2020-05-615 "Procurement of Civil Works for the Rehabilitation of Capitol Drive Front Road and Improvement of Capitol Park and Street Lights</t>
  </si>
  <si>
    <t>BID FOR THE REPARATION OF MUNICIPAL GYMNASIUM at Bgy. San Miguel</t>
  </si>
  <si>
    <t>PROVISION OF LABOR, MATERIALS, EQUIPMENT RENTALS AND OTHER INCIDENTALS NEEDED FOR THE REHAB AND ENHANCEMENT OF FIELD OPERATIONS UNIT BUILDING AT DA-INREC STATION, BATAC CITY STATION, ILOCOS NORTE</t>
  </si>
  <si>
    <t>PROPOSED SOLAR POWERED IRRIGATION SYSTEM</t>
  </si>
  <si>
    <t>SUPPLY AND DELIVERY OF OFFICE AND JANITORIAL SUPPLIES &amp; CONSUMABLES</t>
  </si>
  <si>
    <t>Concreting of Pavement (continuation) at Sitio Liton, Brgy. Kayaga</t>
  </si>
  <si>
    <t>Construction of Pigcawayan Fire Station Building</t>
  </si>
  <si>
    <t>Construction of Norala Fire Station Building</t>
  </si>
  <si>
    <t>Concreting of Pavement at Bonifacio St. (Lugares Compound), Brgy. Poblacion</t>
  </si>
  <si>
    <t>Concreting of Pavement at  Villanueva Village Road 1 (junction Mercado St - Abellera St.), Brgy. Poblacion</t>
  </si>
  <si>
    <t>Concreting of Pavement at Kabacan National H/S to Brgy. Kilagasan</t>
  </si>
  <si>
    <t>Concreting of Pavement at Osias National H/S - Junction Bonifacio St.</t>
  </si>
  <si>
    <t>Purchase &amp; Delivery of Const. &amp; Electrical Supplies for the  project Install./Improvement of Street Lights at Seven (7) Barangays of Arellano District, Surigao City</t>
  </si>
  <si>
    <t>Rehabilitation of Parug-parug Diversion Dam</t>
  </si>
  <si>
    <t>CONSTRUCTION OF BOX CULVERT BESIDE AMBONGDOLAN BARANGAY HALL</t>
  </si>
  <si>
    <t>Improvement of Multi Purpose Hall Phase III</t>
  </si>
  <si>
    <t>Construction of Damutan Irrigation Project, Brgy. Damutan, Hinoba-an, Negros Occidental (Negotiated Procurement)/(OPA-2019-1262)</t>
  </si>
  <si>
    <t>CLUSTER 2 REPAIR AND REHABILITATION OF CLASSROOMS DAMAGED BY FIRE INCIDENTS AND VARIOUS CALAMITIES AND CONSTRUCTION OF SLOPE PROTECTION OF SCHOOL BUILDINGS (CY 2020 QUICK RESPONSE FUND)</t>
  </si>
  <si>
    <t>Purchase of anti-rabies vaccines</t>
  </si>
  <si>
    <t>CLUSTER 1 REPAIR AND REHABILITATION OF CLASSROOMS DAMAGED BY FIRE INCIDENTS AND VARIOUS CALAMITIES AND CONSRTUCTION OF SLOPE PROTECTION OF SCHOOL BUILDINGS (CY 2020 QUICK RESPONSE FUND)</t>
  </si>
  <si>
    <t>Purchase of office supplies (MPDO)</t>
  </si>
  <si>
    <t>SUPPLY AND DELIVERY OF DENTAL SUPPLIES FOR USE IN LIBRENG PUSTISO PROGRAM OF THE PROVINCIAL GOVERNMENT OF CAVITE</t>
  </si>
  <si>
    <t>ITB-GS-20200408-01 - Three (3) Years Hardware Maintenance and License Subscription of Axway Secure Transport Server</t>
  </si>
  <si>
    <t>SUPPLY AND DELIVERY OF MEDICAL OXYGEN AND COMPRESSED AIR FOR USE OF GEAMH</t>
  </si>
  <si>
    <t>SUPPLY AND DELIVERY OF VARIOUS HOSPITAL SUPPLIES FOR USE OF KPFP</t>
  </si>
  <si>
    <t>Purchase of Plastic Bag ( Slaughterhouse)</t>
  </si>
  <si>
    <t>Contract ID No. 20NC0128 - Concreting of NRJ-Bunawan Brook (Rock Island), Brgy. Bunawan Brook, Bunawan, Agusan del Sur</t>
  </si>
  <si>
    <t>Purchase of medical,dental and laboratory supplies</t>
  </si>
  <si>
    <t>Construction of Magpet Fire Station Building</t>
  </si>
  <si>
    <t>IMPROVEMENT AND EXTENSION OF CHAGAO-ANTAHAY ROAD AT DACLAN, TUBLAY, BENGUET</t>
  </si>
  <si>
    <t>PURCHASE OF BRAND NEW AMBULANCE FOR USE IN DISASTER PREPAREDNESS PROGRAM OF PDRRMO</t>
  </si>
  <si>
    <t>ITB-GS-20200227-02 - One (1) Year Support and Maintenance of Single Back-up Systems Solution for Midrange and Enterprise Platforms</t>
  </si>
  <si>
    <t>Purchase of office supplies ( SPorts Office)</t>
  </si>
  <si>
    <t>Supply and Delivery of Other Supplies and Materials (Insecticide), Office of the Municipal Health Officer, San Jose, Batangas</t>
  </si>
  <si>
    <t>Procurement of Rescue/Emergency Vehicle</t>
  </si>
  <si>
    <t>SAAD-20-2039:Procurement of One Hundred Eighty-Eight (188) Units Plow (Manual Cultivator Plow)</t>
  </si>
  <si>
    <t>FOD-R-20-0232: Supply of Labor and Materials for the Construction of Cangkue Diversion Dam located at Brgy. Sto. Niño, Tanjay City, Negros Oriental</t>
  </si>
  <si>
    <t>CLUSTER 9 REPAIR AND REHABILITATION OF CLASSROOMS DAMAGED BY FIRE INCIDENTS AND VARIOUS CALAMITIES AND CONSTRUCTION OF SLOPE PROTECTION OF SCHOOL BUILDINGS (CY 2020 QUICK RESPONSE FUND)</t>
  </si>
  <si>
    <t>Supply of Labor, Materials and Equipment for the Improvement of Multi-Purpose Building, Brgy. Banaybanay I, San Jose, Batangas</t>
  </si>
  <si>
    <t>CONSTRUCTION OF SLOPE PROTECTION DIKE AT SITIO GARRETA</t>
  </si>
  <si>
    <t>FOD-R-20-2346 : Procurement of Forty  (40) Units of  Pump  Irrigation  System  for Open Source ( PISOS)</t>
  </si>
  <si>
    <t>CLUSTER 5 REPAIR AND REHABILITATION OF CLASSROOMS DAMAGED BY FIRE INCIDENTS AND VARIOUS CALAMITIES AND CONSTRUCTION OF SLOPE PROTECTION OF SCHOOL BUILDINGS (CY 2020 QUICK RESPONSE FUND)</t>
  </si>
  <si>
    <t>CLUSTER 8 REPAIR AND REHABILITATION OF CLASSROOMS DAMAGED BY FIRE INCIDENTS AND VARIOUS CALAMITIES AND CONSTRUCTION OF SLOPE PROTECTION OF SCHOOL BUILDINGS (CY 2020 QUICK RESPONSE FUND)</t>
  </si>
  <si>
    <t>CLUSTER 7 REPAIR AND REHABILITATION OF CLASSROOMS DAMAGED BY FIRE INCIDENTS AND VARIOUS CALAMITIES AND CONSTRUCTION OF SLOPE PROTECTION OF SCHOOL BUILDINGS (CY 2020 QUICK RESPONSE FUND)</t>
  </si>
  <si>
    <t>Concreting of Brgy. Maatas Street</t>
  </si>
  <si>
    <t>Purchase of  office supplies ( BAC)</t>
  </si>
  <si>
    <t>20DP0077 : Construction of Four (4) Storey Twenty (20) Classroom at Col. Lauro D. Dizon Memorial National High School, San Pablo City, Laguna</t>
  </si>
  <si>
    <t>Supply of Labor, Materials and Equipment for the Improvement of Multi-Purpose Building, Brgy. Salaban, San Jose, Batangas</t>
  </si>
  <si>
    <t>20DP0074 : Construction of Four (4) Storey Twelve (12) Classroom at San Francisco Elementary School, Nagcarlan, Laguna</t>
  </si>
  <si>
    <t>CDH-19-1114-B (Re-Bid) Renovation of Rehab of Dr. Ricardo S. Provido Memorial District Hospital (Phase 1) Calinog, Iloilo</t>
  </si>
  <si>
    <t>20DP0073 : Construction of Four (4) Storey Sixteen (16) Classroom at Alaminos Central School, Alaminos, Laguna</t>
  </si>
  <si>
    <t>Rehabilitation of various Brgy. Roads</t>
  </si>
  <si>
    <t>CDH-19-1003-B (Re-Bid) Proposed Concreting of Parking Area of Dr. Ricardo S. Provido Sr. Memorial District Hospital, Calinog, Iloilo</t>
  </si>
  <si>
    <t>CLUSTER 6 REPAIR AND REHABILITATION OF CLASSROOMS DAMAGED BY FIRE INCIDENTS AND VARIOUS CALAMITIES AND CONSTRUCTION OF SLOPE PROTECTION OF SCHOOL BUILDINGS (CY 2020 QUICK RESPONSE FUND)</t>
  </si>
  <si>
    <t>Concreting of Union Brgy. Road</t>
  </si>
  <si>
    <t>CONSTRUCTION OF BURAUEN COMMUNITY COLLEGE BUILDING (ADMINISTRATION BUILDING) BURAUEN SPORTS COMPLEX, BURAUEN, LEYTE</t>
  </si>
  <si>
    <t>Procurement of PSA Security Guard Services for Two (2) Years under ITB No.PB20-06-003ILO</t>
  </si>
  <si>
    <t>CONSTRUCTION AND/ OR REPAIR/ REHABILITATION OF MULTI-PURPOSE BUILDING, BRGY. POBLACION, URDANETA CITY, PANGASINAN</t>
  </si>
  <si>
    <t>Procurement of Toilet Bowl</t>
  </si>
  <si>
    <t>Medical Oxygen etc. (06-0599)</t>
  </si>
  <si>
    <t>Establishment of Tricycle Terminals and Rehabilitation of Municipal Fence</t>
  </si>
  <si>
    <t>REBIDDING OF THE SUPPLY AND DELIVERY OF VARIOUS LABORATORY REAGENTS AND SUPPLIES</t>
  </si>
  <si>
    <t>Constrution of Rizal Mourning Shed</t>
  </si>
  <si>
    <t>CLUSTER 3 REPAIR AND REHABILITATION OF CLASSROOMS DAMAGED BY FIRE INCIDENTS AND VARIOUS CALAMITIES AND CONSTRUCTION OF SLOPE PROTECTION OF SCHOOL BUILDINGS (CY 2020 QUICK RESPONSE FUND)</t>
  </si>
  <si>
    <t>ITB-GS-20200609-01 - Online Competency Assessment</t>
  </si>
  <si>
    <t>CLUSTER 4 REPAIR AND REHABILITATION OF CLASSROOMS DAMAGED BY FIRE INCIDENTS AND VARIOUS CALAMITIES AND CONSTRUCTION OF SLOPE PROTECTION OF SCHOOL BUILDINGS (CY 2020 QUICK RESPONSE FUND)</t>
  </si>
  <si>
    <t>Completion of  Irrigation System,    Sitio Dacuman, Brgy. Ipil, Surigao City</t>
  </si>
  <si>
    <t>Completion of  Irrigation System,  Brgy. Trinidad, Surigao City</t>
  </si>
  <si>
    <t>ITB-GS-20200604-01 - 1 Lot Supply, Delivery and Installation of Signages, Acrylic Frame Panels, ATM Sunshade &amp; Thru-the-Wall ATM Enclosure, including Dismantling of existing signages, when necessary,</t>
  </si>
  <si>
    <t>20OH0049 Re-ads-Local Program-Local Infrastructure Program-Flood Control and Drainage-Drainage / Protection Works-Rehabilitation of Estero with Footbridge, Estero Tripa de Gallina, Paco, Manila</t>
  </si>
  <si>
    <t>Supply and Delivery of   6-Wheeler Truck (PR No. 20-03-0121)</t>
  </si>
  <si>
    <t>Rafael Lacson box culvert</t>
  </si>
  <si>
    <t>Construction of Multi-Purpose Building - Sapang, Galimuyod, Ilocos Sur</t>
  </si>
  <si>
    <t>Supply and Delivery of Janitorial and Garbage Collection Services at Naval Base Rafael Ramos (NBRR)</t>
  </si>
  <si>
    <t>CONSTRUCTION OF DRAINAGE CANAL FOR TEN (10) BARANGAYS</t>
  </si>
  <si>
    <t>ROAD REHABILITATION</t>
  </si>
  <si>
    <t>20KJ0151: Construction/Completion of 10 units Multi-Purpose Building, Tangub City, Misamis Occidental</t>
  </si>
  <si>
    <t>Procurement of Tires for Service Vehicles and Heavy Equipment Province of Northern Samar</t>
  </si>
  <si>
    <t>Supplies of Materials for Training Requirements of Naval Enlisted Personnel Schools Center Courses (NEPSC)</t>
  </si>
  <si>
    <t>Engagement of Service Provider for Group Life and Accident Insurance Plan (GLAIP) for PNOC EC (Rebid)</t>
  </si>
  <si>
    <t>Supply of Labor, Materials and Equipment for the Construction of Line Canal, Brgy. Aya, San Jose, Batangas</t>
  </si>
  <si>
    <t>Procurement of Office Equipment/Furniture and Fixture</t>
  </si>
  <si>
    <t>ARPA-RADAR Simulator  (Full Mission Ship Bridge Simulator) with complete accessories (1 Instructor Station and 6 Students Station) including installation and training orientation.</t>
  </si>
  <si>
    <t>Procurement for various Information Technology Equipment</t>
  </si>
  <si>
    <t>PB-C-2020-05-620 "Procurement Consulting Services for the Architectural Design, Detailed Engineering Design and Conceptual Design of the New Doña Maria D. Tan Memorial Hospital (DMDTMH)" (P 9,000,000.</t>
  </si>
  <si>
    <t>20FM0051 Repair/Maintenance of Various Flood Control  Structures at Alcantara Bridge, Buyo River, and  San Fernando East Dike along Brgy. Baybay Dagat Section, Monreal, and San Fernando, Masbate</t>
  </si>
  <si>
    <t>CONSTRUCTION OF 2 UNITS MATERIALS RECOVERY FACILITY</t>
  </si>
  <si>
    <t>20DP0075 : Construction of Four (4) Storey Eight (8) Classroom at Masapang Elementary School, Victoria, Laguna</t>
  </si>
  <si>
    <t>Procurement of Ink for Computer Printers</t>
  </si>
  <si>
    <t>2020 - B4- Project A - Various Hospital and Medical Equipment for the Province of Bulacan (LGU2020 Hospitals) - P4,000,000.00</t>
  </si>
  <si>
    <t>20FM0050 Repair/Maintenance of Various Buildings of DPWH  Masbate 1st District Engineering Office, Barangay Bayanihan, San Fernando, Masbate</t>
  </si>
  <si>
    <t>Purchase of Rescue Ambulance for the PDRRMO  Province of Northern Samar</t>
  </si>
  <si>
    <t>Purchase of All New Pick-up 4 x 2 E 2.4L Diesel Manual Transmission, CSWD, Surigao City</t>
  </si>
  <si>
    <t>SUPPLY &amp; DELIVERY OF ANESTHESIA MACHINE</t>
  </si>
  <si>
    <t>INF-ITB 20-031 Construction of Water System at Sitio Tanting, Tantangan, South Cotabato</t>
  </si>
  <si>
    <t>Supply and Delivery of Janitorial and Garbage Collection Services of NIF-Eastern Mindanao</t>
  </si>
  <si>
    <t>Supply and Delivery of Four (4) units Brand New DUMP TRUCK 8x4 for MCDRRMO, City Government of Marikina</t>
  </si>
  <si>
    <t>SUPPLY &amp; DELIVERY OF I.T. EQUIPMENT, PERIPHERALS AND CONSUMABLES</t>
  </si>
  <si>
    <t>PROCUREMENT OF ONE (1) UNIT OF BRAND NEW MINI DUMP TRUCK (3 CUBIC)</t>
  </si>
  <si>
    <t>20FM0049 Construction of  Various Rainwater Collection System  (RWCS), Ticao Island, Masbate</t>
  </si>
  <si>
    <t>SUPPLY &amp; DELIVERY OF ELECTROCAUTERY MACHINE WITH ARGON PLASMA COAGULATOR</t>
  </si>
  <si>
    <t>Construction of Drainage Canal for Various Barangays</t>
  </si>
  <si>
    <t>INVITATION TO BID FOR THE CONSTRUCTION OF DRAINAGE CANAL AT P-2 CASTILLO VILLAGE</t>
  </si>
  <si>
    <t>Supply and Delivery of Four (4) units Brand New AMBULANCE for MCDRRMO, City Government of Marikina</t>
  </si>
  <si>
    <t>20DP0076 : Construction of Four (4) Storey Eight (8) Classroom at Guerilla Elementary School, San Pablo City, Laguna</t>
  </si>
  <si>
    <t>Procurement of Various Construction Supplies and Materials-06-336(O)PEO</t>
  </si>
  <si>
    <t>SUPPLY &amp; DELIVERY OF BLOOD CULTURE SENSITIVITY MACHINE</t>
  </si>
  <si>
    <t>IB No. 2001-22 Proc. of Goods (Books)(Rebid)</t>
  </si>
  <si>
    <t>SUPPLY &amp; DELIVERY OF LABORATORY REAGENTS  IB NO. 20-10</t>
  </si>
  <si>
    <t>SUPPLY &amp; DELIVERY OF ADVOCACY MATERIALS (T-SHIRTS, BAGS, UMBRELLAS, ETC)</t>
  </si>
  <si>
    <t>2020 - B4 - Project C - Various Hospital and Medical Equipment for the Province of Pampanga (LGU2020 Hospitals) - P15,000,000.00</t>
  </si>
  <si>
    <t>Purchase of Biotek-M Dengue Package and Biotek-M Lamp Heater With Easyview LED Transilluminator for NSPH and District Hospitals Province of Northern Samar</t>
  </si>
  <si>
    <t>Procurement of Various Live Animals-06-027(AA)ProVet</t>
  </si>
  <si>
    <t>SUPPLY OF ONE UNIT PICK-UP VEHICLE FOR PROVINCIAL INTERNAL AUDIT OFFICE</t>
  </si>
  <si>
    <t>One (1) Lot Repair and Maintenance – Infrastructure Assets (Provincial Roads &amp; Bridges), Province of Negros Oriental (B-85-2020)</t>
  </si>
  <si>
    <t>One (1) Lot Cluster Bidding (Pamplona) (B-84-2020)</t>
  </si>
  <si>
    <t>Construction of 1 Unit 2 Classrooms at Sitio Sinaca, Barangay Anticala, Butuan City</t>
  </si>
  <si>
    <t>2020 - B4- Project B - Various Hospital and Medical Equipment for the Province of Nueva Ecija (LGU2020 Hospitals)  - P18,000,000.00</t>
  </si>
  <si>
    <t>Rehabilitation/Improvement of Various Local Roads</t>
  </si>
  <si>
    <t>Purchase of (1) one unit Multicab</t>
  </si>
  <si>
    <t>Supply and Delivery of OPTAR Requirements of PMC LOT 3 - Other Supplies &amp; Materials Expenses</t>
  </si>
  <si>
    <t>20GKJ0004: Supply and Delivery of Materials for Activity 111 – Premix Patching Bituminous Pavement, Misamis Occidental 2nd</t>
  </si>
  <si>
    <t>20KJ0180: Construction of Convention Center, Ozamis City, Misamis Occidental</t>
  </si>
  <si>
    <t>Concreting of Salvacion-Balat Balud Farm to Market Road Bobon Northern Samar</t>
  </si>
  <si>
    <t>IB 2020-07-08(06) Goods Cat II Med/Lab Supplies &amp; Reagents</t>
  </si>
  <si>
    <t>SUPPLY AND DELIVERY OF THREE (3) UNITS MOTORCYCLE</t>
  </si>
  <si>
    <t>Concreting of Refazo Street Extension (Materials)</t>
  </si>
  <si>
    <t>Procurement of Various Medicines for COVID-19 Prevention</t>
  </si>
  <si>
    <t>PROCUREMENT OF DIESEL FUEL AND GASOLINE FOR ENERGIZATION PROGRAM  CONSUMPTION OF LGU-CALUYA FOR THE MONTH OF JUNE TO AUGUST 2020</t>
  </si>
  <si>
    <t>20BK0145  Construction/Rehabilitation of Water Supply/Septage and Sewerage/Rain Water Collectors a)Mariano Gadingan Sr. Elementary School,Maddela; b)San Bernabe Elementary School,Maddela; c)San Salvad</t>
  </si>
  <si>
    <t>DRILLING &amp; CONST. OF TWO (2) TEST/PRODUCTION WELL FOR THE PAMPLONA WATER DISTRICT</t>
  </si>
  <si>
    <t>Procurement of Water Supply Accessories and Materials for the Improvement of Water System of Barangay Tagbongabong</t>
  </si>
  <si>
    <t>t One (1) Lot Cluster Bidding (Jimalalud) (B-83-2020)</t>
  </si>
  <si>
    <t>SUPPLY &amp; DELIVERY OF FOOD SUPPLIES (REBID)</t>
  </si>
  <si>
    <t>CY 2020 QUICK RESPONSE FUND (QRF) REPAIR/REHABILITATION OF CLASSROOMS DAMAGED BY VARIOUS CALAMITIES</t>
  </si>
  <si>
    <t>INF-ITB 20-032 Construction of Multipurpose Drying Pavement with Warehouse, Brgy. Miasong, Tupi, South Cotabato</t>
  </si>
  <si>
    <t>20BK0144  Construction/ Rehabilitation of Water Supply/Septage and Sewerage/Rain Water Collectors a)DepEd Division Office NEAP Building, Cabarroguis; b)DepEd Division Office CID Building, Cabarroguis;</t>
  </si>
  <si>
    <t>Extension of Manlogon Street (Brgy. Bagong Silang) (Materials)</t>
  </si>
  <si>
    <t>PURCHASE AND DELIVERY OF TWO (2) UNITS COMPUTER LAPTOP AND OTHER EQUIPMENT AND ACCESSORIES</t>
  </si>
  <si>
    <t>PURCHASE AND DELIVERY OF OFFICE SUPPLIES</t>
  </si>
  <si>
    <t>Re-Blocking of Feeder Road with Canal Improvement, Brgy. Sangirin (Materials)</t>
  </si>
  <si>
    <t>Purchase of Materials for the Completion of Spring Development Project</t>
  </si>
  <si>
    <t>IB 2020-07-08(06) Goods Cat I Drugs and Meds</t>
  </si>
  <si>
    <t>Improvement/expansion LGU (Fatima Purok 5) Water System</t>
  </si>
  <si>
    <t>Procurement of Various Construction Supplies and Materials-06-332(O)PEO</t>
  </si>
  <si>
    <t>20KJ0179: Construction/Maintenance of Flood Mitigation Structures and Drainage Systems, Construction of Ozamis City Drainage System, Package 1, Misamis Occidental</t>
  </si>
  <si>
    <t>ITB # 20ODGS-0001 For the Repair/Maintenance/Repainting of Faded Reflectorized Pavement Markings along various road in Caloocan City &amp; Valenzuela City (C.Y. 2020 Routine / Special Maintenance)</t>
  </si>
  <si>
    <t>Street Concreting Brgy. Magsaysay Bobon Northern Samar</t>
  </si>
  <si>
    <t>2020- B4 - Project D - Various Hospital and Medical Equipment for the Province of Zambales (LGU2020 Hospitals) - P 5,000,000.00</t>
  </si>
  <si>
    <t>Procurement of Ceramic Toilet Bowls</t>
  </si>
  <si>
    <t>Supplies/Materials for PMC CCIE</t>
  </si>
  <si>
    <t>CDH-18-2436-B (Re-Bid) Concreting of Access Road of Dr. Ricardo S. Provido Sr. Memorial District Hospital, Calinog, Iloilo</t>
  </si>
  <si>
    <t>IMPROVEMENT OF PALANCA-SALAKSAK FARM-TO-MARKET ROAD AT AMBASSADOR, TUBLAY, BENGUET</t>
  </si>
  <si>
    <t>IMPROVEMENT OF KAKAIWAN-TABEYO FARM-TO-MARKET ROAD AT AMBASSADOR, TUBLAY, BENGUET</t>
  </si>
  <si>
    <t>Construction of Student Food Processing Innovation Center</t>
  </si>
  <si>
    <t>SUPPLY &amp; DELIVERY OF CHEMISTRY ANALYZER;  AND HEMATOLOGY ANALYZER</t>
  </si>
  <si>
    <t>RM Portable Handwashing</t>
  </si>
  <si>
    <t>IMPROVEMENT OF LOWER COROZ FARM-TO-MARKET ROAD AT AMBASSADOR, TUBLAY, BENGUET</t>
  </si>
  <si>
    <t>Contract ID No.: 20OB0415 Contract Name: Construction/Rehabilitation of Multi-Purpose Building, Second District, Marikina City</t>
  </si>
  <si>
    <t>SUPPLY AND DELIVERY OF CONSTRUCTION MATERIALS FOR REHABILITATION OF WATER SYSTEM AT BARANGAY UNION, LINGIG, SURIGAO DEL SUR</t>
  </si>
  <si>
    <t>Construction of Solar Dryer</t>
  </si>
  <si>
    <t>20DI0165- Repair and Maintenance of Road Safety Facilities (Overhead Signages and Stud Flash Type),  Along Manila South Road</t>
  </si>
  <si>
    <t>CDH-19-1151-B (Re-Bid) Proposed Ward Extension of Dr. Ricardo S. Provido Sr. Memorial district Hospital  Calinog, Iloilo</t>
  </si>
  <si>
    <t>LANDSCAPING OF BAYWALK AT BARANGAY BARANAYAN</t>
  </si>
  <si>
    <t>Supply and Delivery of Android Phone for Barangay Officials of Kahaponan, City of Valencia, Bukidnon</t>
  </si>
  <si>
    <t>Construction of Manpower &amp; Training w/GSO Building City Hall Site, Brgy. Awasian, Tandag City</t>
  </si>
  <si>
    <t>Procurement of 1 Unit Self-Bailing Raft of CDRRMC</t>
  </si>
  <si>
    <t>Construction of Tanod's Outpost under the Covered Court Bleacher (Materials)</t>
  </si>
  <si>
    <t>CONDUCT OF INSET</t>
  </si>
  <si>
    <t>PROCUREMENT OF ONE (1) UNIT BRAND NEW RESCUE VEHICLE</t>
  </si>
  <si>
    <t>Procurement of 1 unit Ambulance for City Mayor's Office</t>
  </si>
  <si>
    <t>Supply and Delivery of Materials for Concreting of Road, MSSD to Wet Public Market, Poblacion Malalag Davao del Sur</t>
  </si>
  <si>
    <t>Enhancement of Engineering and Technology Green Building (ETGB) Roof Skirting (Labor and Materials) - Talisay Campus, Brgy. Zone 1, Mabini St., Talisay City, Negros Occidental</t>
  </si>
  <si>
    <t>Procurement of Medicines for CHO, RHU 1, RHU 2 and RHU 3</t>
  </si>
  <si>
    <t>Personal Protective Equipment (PPE) for Laguna Medical Center</t>
  </si>
  <si>
    <t>Construction of Masonry Drainage, Along Atal Street, Cataggaman Viejo, Tuguegarao City</t>
  </si>
  <si>
    <t>for INF-ITB 20-034 Construction of Multipurpose Drying Pavement with Warehouse, Brgy. Cabuling, Tantangan, South Cotabato</t>
  </si>
  <si>
    <t>RENT OF PRINTER WITH CONTINUOUS INK TO BE USED AT OSPITAL NG MUNTINLUPA</t>
  </si>
  <si>
    <t>INF-ITB 20-033 Construction of Multipurpose Drying Pavement with Warehouse, Brgy. Lamsalome, T'boli, South Cotabato</t>
  </si>
  <si>
    <t>small value procurement for the School Landscaping</t>
  </si>
  <si>
    <t>SUPPLY &amp; DELIVERY OF IV FLUIDS IN BAG TO BE USED AT OSPITAL NG MUNTINLUPA</t>
  </si>
  <si>
    <t>Purchase of ICT Equipment  (Desktop, Laptop &amp; Printer)</t>
  </si>
  <si>
    <t>Supply &amp; delivery of materials for the opening/gravelling of Farm to Market Road  @ Brgy. Kipit, Titay, Zamboanga Sibugay</t>
  </si>
  <si>
    <t>CONSTRUCTION OF UBAY OPEN MARKET STORE BAGSAKAN CENTER</t>
  </si>
  <si>
    <t>COMPLETION WORKS FOR THE SITE DEVELOPMENT &amp; CONSTRUCTION OF FLOOD CONTROL SYSTEM AT COLEGIO DE MUNTINLUPA, POSADAS AVE., BRGY. SUCAT, MUNTINLUPA CITY</t>
  </si>
  <si>
    <t>20DI0164- Repair/ Maintenance of Flood Control Structures, Biñan City, Laguna</t>
  </si>
  <si>
    <t>Supply &amp; Delivery of Medicines (Second Bidding)</t>
  </si>
  <si>
    <t>CONSTRUCTION OF MULTI-PURPOSE COVERED STAGE, BLEACHER, AND PERIMETER FENCE AT VILLA CAROLINA 2, BRGY. TUNASAN, MUNTINLUPA CITY</t>
  </si>
  <si>
    <t>Supply and Delivery of GSM/SMS Data Logger (Flow Pressure) and Accessories</t>
  </si>
  <si>
    <t>Purchase of Training Equipment for Livelihood Program – CLDO</t>
  </si>
  <si>
    <t>SMALL VALUE PROCUREMENT FOR LAWN MOWER</t>
  </si>
  <si>
    <t>SUPPLY AND DELIVERY OF HARDWARE MATERIALS FOR THE CONSTRUCTION OF SHED FOR 2 UNITS CONTAINER VAN,  THIS MUNICIPALITY /2020-003</t>
  </si>
  <si>
    <t>Concreting of Furao Brgy. Road (San Enrique St., Purok 4)</t>
  </si>
  <si>
    <t>Invitation to Bid for The Improvement of Barangay Health Station</t>
  </si>
  <si>
    <t>PROCUREMENT OF WHEEL TYPE BACKHOE (BRAND NEW)</t>
  </si>
  <si>
    <t>SUPPLY AND DELIVERY OF HARDWARE MATERIALS FOR THE CONSTRUCTION OF STANDARD COMFORT ROOM LOCATED AT MUNICIPAL GROUND CENTER,  THIS MUNICIPALITY /2020-004</t>
  </si>
  <si>
    <t>SMALL VALUE PROCUREMENT OF WATER SUPPLY</t>
  </si>
  <si>
    <t>SUPPLY AND DELIVERY OF MEDICINES INTENDED FOR PSYCHE, ANIMAL BITE TREATMENT CENTER AND PULMONARY TUBERCULOSIS PATIENTS, THIS MUNICIPALITY /2020-002</t>
  </si>
  <si>
    <t>Improvement/Rehabilitation of Farm to Market Roads (Package IV) of the Municipality of Dingras, Ilocos Norte.</t>
  </si>
  <si>
    <t>Retrofitting/Repair of Pier No. 2 Urungan Bridge K0552+069 (B) 1082LZ along Cagayan Valley Road, Gattaran, Cagayan</t>
  </si>
  <si>
    <t>ORD PABAC 046-19 (Re-bid) Procurement of 186,538 rds Ctg, 7.62x51mm, Ball</t>
  </si>
  <si>
    <t>UPGRADING OF CVR BATU-MAGAPUY-PAITAN ROAD Located at Bayombong, Nueva Vizcaya</t>
  </si>
  <si>
    <t>Supply and Delivery of Farm Supplies for PCC</t>
  </si>
  <si>
    <t>Construction of Perimeter Fence at the Municipal Engineered Sanitary Landfill ( Phase I) at brgy. Suyo, Dingras, Ilocos Norte.</t>
  </si>
  <si>
    <t>PURCHASE &amp; DELIVERY  OF CUSTOMIZED RESCUE AMBULANCE</t>
  </si>
  <si>
    <t>UPGRADING OF DIFFUDAY-BONIFACIO ROAD Located at Quezon, Nueva Vizcaya</t>
  </si>
  <si>
    <t>20H00068 - Construction/Rehabilitation/Improvement of Facilities for Persons with Disabilities (PWD) and Elderlies/Senior Citizens, including Gender-Responsive Facilities, DPWH Regional Office VII and</t>
  </si>
  <si>
    <t>PROCUREMENT OF ONE (1) UNIT PATROL CAR</t>
  </si>
  <si>
    <t>Supply and Delivery of Medical, Dental and laboratory Equipment and Supplies at Bgy. San Miguel, Linapacan, Palawan</t>
  </si>
  <si>
    <t>Concreting of Guibang Brgy. Road (Vidania and Busto St., Purok3)</t>
  </si>
  <si>
    <t>Supply and Delivery of 2 sets Digital Scoreboard with Shoot Clock and Buzzer ,3x4( with free installation)</t>
  </si>
  <si>
    <t>UPGRADING OF JCT. NATIONAL BUA-BULALA-MUTA-MACABENGA ROAD Located at Kasibu, Nueva Vizcaya</t>
  </si>
  <si>
    <t>SUPPLY AND DELIVERY OF OFFICE SUPPLIES AND EQUIPMENT NOT AVAILABLE AT PROCUREMENT SERVICE (PS)-DEPOT INTENDED FOR DIFFERENT OFFICES FOR CY 2020, THIS MUNICIPALITY /2020-005</t>
  </si>
  <si>
    <t>PURCHASE OF TOILET BOWLS</t>
  </si>
  <si>
    <t>Supplying  one (1) unit SWAT Patrol Vehicle, AUV or CUV, Manual Transmission, Diesel Fed, Displacement not exceeding 2500cc, Brand New, Government Plate for use in PNP Patrol Operation in the province</t>
  </si>
  <si>
    <t>SUPPLY &amp; DELIVERY OF CERVICAL INSPECTION SET</t>
  </si>
  <si>
    <t>Construction of Perimeter Fence of Slaughterhouse (Phase I) at brgy. Cali, Dingras, Ilocos Norte.</t>
  </si>
  <si>
    <t>PROCUREMENT OF GOODS AND SERVICES: SUPPLY, DELIVERY AND INSTALLATION OF DATA MANAGEMENT SYSTEM WITH  PAPERLESS SESSION SET-UP INCLUDING ITS HARDWARE AND SOFTWARE REQUIREMENTS  FOR SANGGUNIANG BAYAN OF</t>
  </si>
  <si>
    <t>SUPPLY &amp; DELIVERY OF VARIOUS MEDICAL SUPPLIES TO BE USED AT OSPITAL NG MUNTINLUPA</t>
  </si>
  <si>
    <t>Procurement of One Unit Brand New SUV for LGU Operations</t>
  </si>
  <si>
    <t>BARANGAY ROAD REHABILITATION (FARM TO MARKET ROAD)   PUROK 5, 6 &amp; 7 SITIO CAMP 13, BRGY. PINPIN, TUBOD, LANAO DEL NORTE</t>
  </si>
  <si>
    <t>SUPPLY AND DELIVERY OF MATERIALS AND FITTINGS OF WATERWORKS MAINTENANCE FOR 3RD QUARTER REQUIREMENT, THIS MUNICIPALITY /2020-001</t>
  </si>
  <si>
    <t>CONCRETING OF JCT. CALAOCAN-DIFFUNCIAN ROAD Located at Quezon, Nueva Vizcaya</t>
  </si>
  <si>
    <t>SUPPLY AND DELIVERY OF TWO (2) UNITS MOTORCYCLE</t>
  </si>
  <si>
    <t>Construction of Rizal Barangay Health Station</t>
  </si>
  <si>
    <t>Supplying  one (1) unit Brand New Asian/Cross Over Utility Vehicle (AUV/CUV) not exceeding 2500cc engine displacement, diesel fed, 4 cylinder, a four wheel enclosed vehicle having dual side doors, a m</t>
  </si>
  <si>
    <t>Supply and Delivery of Laboratory Supplies and Equipment</t>
  </si>
  <si>
    <t>SUPPLY AND DELIVERY OF BUNTIS KIT</t>
  </si>
  <si>
    <t>Maintenance/Improvement of Municipal Hall (Upgrading of Electrical System-Phase III) of the Municipality of Dingras, Ilocos Norte.</t>
  </si>
  <si>
    <t>CONCRETING OF BARESBES-BOLIWAO-INATUB ROAD Located at Quezon, Nueva Vizcaya</t>
  </si>
  <si>
    <t>CONTINUATION OF ABBOT CALBAYAN FMR, CATABBOGAN</t>
  </si>
  <si>
    <t>Excavation and Riprapping of Ilaya-Malag-it Creek</t>
  </si>
  <si>
    <t>UPLB-RQ-6-128-20-I SUPPLY AND DELIVERY OF CONSTRUCTION PROJECTS FOR IPB</t>
  </si>
  <si>
    <t>Improvement /Rehabilitation of Farm to Market Roads (Repair of Bridge Abutment/Approach) at sitio Birucao, Suyo, Dingras, Ilocos Norte.</t>
  </si>
  <si>
    <t>INSTALLATION OF SOLAR LIGHTS (S.K FUND)</t>
  </si>
  <si>
    <t>CONCRETING OF JCT. NATIONAL-GALINTUJA-DELACTAN-MAGINO ROAD Located at Alfonso Catañeda, Nueva Vizcaya</t>
  </si>
  <si>
    <t>20NF0079:REPAIR/MAINTENANCE OF DPWH BUILDING VARIOUS OFFICES/BUILDING (ROOFTOP) BRGY. 12, DAPA, SURIGAO DEL NORTE</t>
  </si>
  <si>
    <t>SUPPLY AND DELIVERY OF BHW KIT</t>
  </si>
  <si>
    <t>G-2020-19: SUPPLY AND DELIVERY OF ONE HUNDRED FIFTY (150) UNITS OF BRAND-NEW 2KVA UNINTERRUPTIBLE POWER SUPPLY (UPS) FOR THE DEVELOPMENT BANK OF THE PHILIPPINES - REBID</t>
  </si>
  <si>
    <t>Construction of Flood Control along Poblacion Areas (Phase III) of the Municipality of Dingras, Ilocos Norte.</t>
  </si>
  <si>
    <t>MATERIALS FOR REHABILITATION OF IRRIGATION SYSTEM at Atabay, Salcedo, Ilocos Sur</t>
  </si>
  <si>
    <t>SUPPLY &amp; DELIVERY OF SEVOFLURANE (WET FORMULATION) TO BE USED AT OSPITAL NG MUNTINLUPA</t>
  </si>
  <si>
    <t>PROCUREMENT OF MATERIALS FOR THE CONSTRUCTION OF K-9 HOUSE (ADDITIONAL WITH FENCE &amp; LIGHT)</t>
  </si>
  <si>
    <t>20BB0125 - Repair/Maintenance of DoTr Building LTO-Administration Building, Minanga, Aparri, Cagayan</t>
  </si>
  <si>
    <t>REHAB./IMPROVEMENT OF BRGY. PLAZA (ON-GOING) S.K FUND</t>
  </si>
  <si>
    <t>INVITATION TO BID FOR PACKAGE – XIII A.) REBLOCKING OF F. CLAR STREET B.) CONCRETING OF ROAD @ PUROK 4 HERSANA STREET CARAMCAM DISTRICT</t>
  </si>
  <si>
    <t>Construction of Concrete Footbridge  (Connecting to Multipurpose Building)</t>
  </si>
  <si>
    <t>Procurement of Uniforms for the POSO Personnel</t>
  </si>
  <si>
    <t>SUPPLY &amp; DELIVERY OF DRUGS AND MEDICINES</t>
  </si>
  <si>
    <t>INF-ITB 20-035 Construction of Multipurpose Drying Pavement with Warehouse, Brgy. Lampitak, Tampakan, South Cotabato</t>
  </si>
  <si>
    <t>Purchase of fuel &amp; lubricants  for the opening/gravelling of Farm to Market Road  @ Brgy. Kipit, Titay, Zamboanga Sibugay</t>
  </si>
  <si>
    <t>Procurement of Laptops of ICT</t>
  </si>
  <si>
    <t>SUPPLY AND DELIVERY OF SIX (6) UNIT MOTORCYCLE</t>
  </si>
  <si>
    <t>Goat Dispersal Livelihood Program in Barangay Mabini, Malalag Davao del Sur</t>
  </si>
  <si>
    <t>IMPROVEMENT OF BARANGAY ROAD, SAN JUAN</t>
  </si>
  <si>
    <t>Fabrication and Installation of 88 Units Streetlights in Various Barangays</t>
  </si>
  <si>
    <t>20PJ0052: Construction/ Rehabilitation of water Supply/ Rain Water Collectors</t>
  </si>
  <si>
    <t>Rehabilitation of SB Session Hall</t>
  </si>
  <si>
    <t>Procurement of 60,088 cans of Canned Tuna Flakes and 149,770 sachets of Powdered Cereal Drinks as Raw Materials for Family Food Packs Production under ITB NO. GOP-20-DSWD-2020-05-03 (2nd Posting)</t>
  </si>
  <si>
    <t>Construction of Water System, Brgy. Bucalan, (So. Inomolan) Canlaon City</t>
  </si>
  <si>
    <t>PROCUREMENT OF BLDG MAINTENANCE - PLUMBING AND CARPENTRY (RFQ 030-2020)</t>
  </si>
  <si>
    <t>20LB0185 - Jct. Davao-Cotabato Old Road (Bago Gallera Section) Leading to Philippine Coconut Authority (PCA), Davao City</t>
  </si>
  <si>
    <t>20LB0193 - Shoulder Paving along Davao - Cotabato Rd. (Davao City - Jct Digos Sect) - K1514+265 - K1514+530, K1521+235 - K1521+415</t>
  </si>
  <si>
    <t>Labor and Materials for the Construction of Slope Protection at Malpitic, City of San Fernando, Pampanga.</t>
  </si>
  <si>
    <t>20LB0187 - Reconstruction to Concrete Pavement along Daang Maharlika (MN) - K1510 + 617</t>
  </si>
  <si>
    <t>2nd ITB for the  UPGRADING OF NVPH WATER SYSTEM Located at Bambang, Nueva Vizcaya</t>
  </si>
  <si>
    <t>Invitation to Bid Supply and Installation of Streetlights</t>
  </si>
  <si>
    <t>Road Re-blocking</t>
  </si>
  <si>
    <t>20LB0257 - Reconstruction to Concrete Pavement along Jct. R. Magsaysay Ave. - L. Ma. Guerrero St. - Guzman St. - Vinzon St. - T. Palma Gil St. - Jct. Dacudao - Jct. J.P. Cabaguio Ave., (Phase 1) Davao</t>
  </si>
  <si>
    <t>Construction of Barangay Pari-an Multi-Purpose Hall and its Facilities Phase 1</t>
  </si>
  <si>
    <t>Supply, Delivery and Installation of 1 Lot 645KVA Generator Set of Bukidnon State University</t>
  </si>
  <si>
    <t>20LB0235 - Construction / Rehabilitation of Ecoland Creek Protecting ABS-CBN Diversion Rd up to Davao River Outfall, Davao City</t>
  </si>
  <si>
    <t>Proposed Design and Build for the Construction of Covered Court (Phase-1) - Binalbagan Campus, Brgy. Enclaro, Binalbagan City, Negros Occidental (2nd Publication)</t>
  </si>
  <si>
    <t>Supply, Delivery and Installation of 1 Lot Skills Laboratory Equipment for New Nursing Laboratory of Bukidnon State University</t>
  </si>
  <si>
    <t>INVITATION TO BID FOR EMB-REGION VII STANDARD SOURCE EMISSION TESTING EQUIPMENT</t>
  </si>
  <si>
    <t>seeds</t>
  </si>
  <si>
    <t>FURNISHING OF LABOR AND MATERIALS FOR THE REHABILITATION OF SOLID WASTE MANAGEMENT ECOLOGICAL CENTER AT BRGY. CAPALIZ, DUMANGAS, ILOILO (REBIDDING)</t>
  </si>
  <si>
    <t>20LB0304 - Repair/Maintenance of DAR Building RO-XI-Kalayaan Building, Phase 3, Catalunan Pequeño, Davao City</t>
  </si>
  <si>
    <t>Repair/Maintenance of Liliongan Cave road - Sitio Matingao Malapag Road</t>
  </si>
  <si>
    <t>Removal and Replacement of Sidewalk &amp; Drainage at Orchid St.</t>
  </si>
  <si>
    <t>GENERAL OVERHAULING OF EXISTING GENERATOR SET AT BRDRL</t>
  </si>
  <si>
    <t>CONSTRUCTION OF TWO STOREY BUILDING (PHASE-1)</t>
  </si>
  <si>
    <t>Rebidding - Office Table for the Use of the Presiding Officer and SB Members, San Jose de Buenavista</t>
  </si>
  <si>
    <t>PROCUREMENT OF FUEL FOR OPERATION AND MAINTENANCE OF FARM TO MARKET ROAD (FMR)-CONCEPCION-BAGUMBAYAN-HAMPANGAN</t>
  </si>
  <si>
    <t>INVITATION TO BID FOR BARANGAY ROAD CONCRETING</t>
  </si>
  <si>
    <t>Procurement of Relief/Search and Rescue Operations Vehicle/Equipment - (Rescue Utility Van)</t>
  </si>
  <si>
    <t>CONSTRUCTION OF MAMBUAYA TRAINING CENTER</t>
  </si>
  <si>
    <t>20LB0302 - Repair/Maintenance of DENR Building CENRO – Land Management Section Building Bangkal, Davao City</t>
  </si>
  <si>
    <t>Procurement of one unit Mini-Ambulance</t>
  </si>
  <si>
    <t>Supply and Delivery of One (1) lot Various Office  Equipment</t>
  </si>
  <si>
    <t>Supply and Delivery of 1 Lot Consolidated ICT Printing Consumables (Main Campus) of Bukidnon State University</t>
  </si>
  <si>
    <t>Construction of MDRRM Ofice, Mogpog</t>
  </si>
  <si>
    <t>Concreting of Road at Carmen Eco Tourism Park and Spring Rosort</t>
  </si>
  <si>
    <t>cultivator</t>
  </si>
  <si>
    <t>fertilizers</t>
  </si>
  <si>
    <t>Supply and Delivery of Brand New 6 Wheeler Dump Truck - ITB 015-2020 GQ</t>
  </si>
  <si>
    <t>PROCUREMENT OF BREEDED CHICKEN (MALE &amp; FEMALE) FOR CHICKEN DISPERSAL PROGRAM OF MUNICIPAL AGRICULTURE</t>
  </si>
  <si>
    <t>INVITATION TO BID FOR THE SUPPLY AND DELIVERY OF 1 UNIT SURPLUS REFRIGERATED MEAT VAN FOR CEEDO, OROQUIETA CITY  (SECOND NOTICE)</t>
  </si>
  <si>
    <t>Labor and Materials for the Construction of Day Care Center at Magliman, City of San Fernando, Pampanga</t>
  </si>
  <si>
    <t>Supply and Delivery of 16 rolls AWG ACSR Duplex Wire #2 (1000m/roll) to be used for expansion/installation of NEW Electrical Lines of different Barangays, Brooke’s Point, Palawan</t>
  </si>
  <si>
    <t>Concreting of Ilang-Ilang St. (From Cadena de Amor - Everlasting St. and From Caimito - Lawaan St.)</t>
  </si>
  <si>
    <t>20A00070: Construction of By-pass and Diversion Roads, Laoag-San Nicolas Bypass Road (San Nicolas Section), Ilocos Norte</t>
  </si>
  <si>
    <t>Land Scaping in-front of Multi-purpose Hall, Brgy. Mabigo, Canlaon City</t>
  </si>
  <si>
    <t>Procurement of Materials for Rehabilitation of Spring box and pipelines</t>
  </si>
  <si>
    <t>Design And Build For The Construction Of New Manapla Public Market</t>
  </si>
  <si>
    <t>PUBLIC BIDDING / PR 20-02-0095  /  NEWSPAPER PUBLICATION SERVICES</t>
  </si>
  <si>
    <t>20KA0143 Reblocking of Damaged Portland Cement Concrete Pavement (PCCP)  along Sayre Highway Kisolon - Lumbo Road km1490+000 -km 1491+000 (Selected Section) Malaybalay City, Bukidnon</t>
  </si>
  <si>
    <t>20A00021: Construction of By-Pass and Diversion Roads, Bauang-San Fernando-San Juan Bypass Road (Bauang Section), La Union</t>
  </si>
  <si>
    <t>Labor and Materials for the Desilting/ Declogging of St. Jude Creek (Maniknik Creek to Solana Bridge) at San Agustin, City of San Fernando, Pampanga</t>
  </si>
  <si>
    <t>SUPPLY AND DELIVERY OF LAPTOP COMPUTERS FOR MAIN CAMPUS</t>
  </si>
  <si>
    <t>CONSTRUCTION OF THREE UNITS COMMUNAL TOILET &amp; WASHING AREA</t>
  </si>
  <si>
    <t>INVITATION TO BID FOR THE  PROCUREMENT OF 13 PCS SWIVEL CHAIR STA. FE, LEYTE (BDG-2020-03)</t>
  </si>
  <si>
    <t>CONSTRUCTION OF DRAINAGE CANAL WITH CONCRETE COVER</t>
  </si>
  <si>
    <t>RFQ-20-06-023</t>
  </si>
  <si>
    <t>RFQ-20-06-022</t>
  </si>
  <si>
    <t>REHABILITATION OF PERIMETER FENCE AT PANGLAO PUBLIC MARKET, POBLACION, PANGLAO, BOHOL</t>
  </si>
  <si>
    <t>Supplying various medical oxygen for use of the three (3) hospitals owned by the Marinduque Provincial Government, SCDH/TMH/MPH, Boac, Marinduque</t>
  </si>
  <si>
    <t>PROCUREMENT OF GOATS UPGRADED (FEMALE, 100 HEADS) FOR GOAT DISPERSAL PROGRAM OF MUNICIPAL AGRICULTURE; (2ND BIDDING)</t>
  </si>
  <si>
    <t>Supply and Delivery of 40 rolls AWG ACSR Duplex Wire #6 (1000m/roll) for Electrification Project Expansion of different Barangays, Brooke’s Point, Palawan</t>
  </si>
  <si>
    <t>Installation of Solar Panel Street Lights, Along Zone 01, 02 &amp; 03, Centro 12, Balzain West, Tuguegarao City</t>
  </si>
  <si>
    <t>REHABILITATION/IMPROVEMENT OF PIPELINES OF PANGLAO WATERWORKS SYSTEM, PANGLAO, BOHOL</t>
  </si>
  <si>
    <t>Various medical and laboratory supplies</t>
  </si>
  <si>
    <t>Supply and Delivery of Medical Equipment and Facilities for BEmONC in the Municipality of Victoria, Oriental Mindoro</t>
  </si>
  <si>
    <t>PROCUREMENT FOR THE SUPPLY AND DELIVERY OF NINETY (90) CONTAINERS OF BIO-ENZYME FOR SANITARY LANDFILL</t>
  </si>
  <si>
    <t>REHABILITATION OF ACCESS ROAD at Boguibog, Salcedo, Ilocos Sur</t>
  </si>
  <si>
    <t>Labor and Materials for the Construction of Slope Protection at Saguin, City of San Fernando, Pampanga.</t>
  </si>
  <si>
    <t>REHABILITATION OF BURBUR DAM LOCATED AT BRGY. PAYAC</t>
  </si>
  <si>
    <t>Procurement of Two (2)  Units Brand New  Ambulance to be Utilized as Emergency Vehicle for Probable/Suspect and/or Confirmed COVID - 19 case  and for other Health and/or Emergency Related Activities @</t>
  </si>
  <si>
    <t>SUPPLY AND DELIVERY OF VARIOUS VEGETABLE SEEDS</t>
  </si>
  <si>
    <t>Construction of Reservoir</t>
  </si>
  <si>
    <t>IMPROVEMENT  OF BRGY. LINAO COVERED COURT/ MULTI-PURPOSE HALL AT LINAO, MINGLANILLA, CEBU</t>
  </si>
  <si>
    <t>Supply and Delivery of Chemicals for Use in the Management of Fall Army Worm under 2020 STO - QRF FAW</t>
  </si>
  <si>
    <t>Supply and Delivery of 2,000 Bottles of Organic Neem Insecticide for Use in the Management of Fall Army Worm under 2020 STO - QRF FAW</t>
  </si>
  <si>
    <t>SUPPLY AND DELIVERY OF ONE (1) UNIT MOBILE CLINIC BUS</t>
  </si>
  <si>
    <t>IMPROVEMENT/ CONSTRUCTION OF DRAINAGE SYSTEM AT BRGY. TULAY, MINGLANILLA, CEBU</t>
  </si>
  <si>
    <t>PROCUREMENT FOR THE SUPPLY AND DELIVERY OF VARIOUS SUPPLIES FOR 1ST AND 2ND QUARTER CY 2020 (2ND BATCH)</t>
  </si>
  <si>
    <t>Supplying various breeder animals to be dispersed to Marginalized farmers, solo parents, unemployed parents, parents with children with disability, families of person in conflict w/ the law and batter</t>
  </si>
  <si>
    <t>Invitation to Bid for Health Care Benefits</t>
  </si>
  <si>
    <t>Instructional Learning Materials and office Supplies</t>
  </si>
  <si>
    <t>PROCUREMENT OF TWO (2) UNITS FOUR WHEELED TRACTOR FOR RICE AND CORN PRODUCTION SUPPORT MACHINERIES (BOTH PADDY AND DRY LAND) OF THE MUNICIPAL AGRICULTURE; (2ND BIDDING)</t>
  </si>
  <si>
    <t>Supply and Delivery of 6,000 Packs of Lure (Pheromone) for Use in the Management of Fall Army Worm under 2020 STO - QRF FAW</t>
  </si>
  <si>
    <t>Supply and Delivery of Livelihood Kits for Livelihood Seeding Program – Negosyo Serbisyo sa Barangay (LSP-NSB) Beneficiaries of Department of Trade and Industry in the Province of Isabela</t>
  </si>
  <si>
    <t>Supply and Delivery of Additional Subsistence Allowance (ASA) / Food Support Meals of Military Personnel / Security for Cotabato Airport Development Project CY-2018 (Runway Strip Grade Correction)</t>
  </si>
  <si>
    <t>Supply and Delivery of Responders Kit</t>
  </si>
  <si>
    <t>farm tools</t>
  </si>
  <si>
    <t>CONSTRUCTION OF DRAINAGE CANAL WITH COVER AT TUNGKIL, MINGLANILLA, CEBU</t>
  </si>
  <si>
    <t>20D00076 - CONSTRUCTION OF EVACUATION CENTER AT LOBO, BATANGAS</t>
  </si>
  <si>
    <t>Supply and Delivery of Consolidated ICT Equipment, IT Supplies and Photocopier (Sub-lot) of Bukidnon State University</t>
  </si>
  <si>
    <t>20CSMH01 - SUB-SURFACE EXPLORATION (SOIL EXPLORATION) OF BRIDGES ALONG AWANG-UPI-LEBAK-KALAMANSIGPALIMBANG- SARANGANI RD. AND ALONG SNA-LEBAK-KALAMANSIG RD. (CLUSTER A), LEBAK AND KALAMANSIG, SULTAN K</t>
  </si>
  <si>
    <t>Purchase of Medical Supplies for Laboratory, RHU-Pagsanghan, Samar</t>
  </si>
  <si>
    <t>PURCHASE OF INORGANIC FERTILIZERS</t>
  </si>
  <si>
    <t>Supply and Delivery of Anti-Scale, Anti-Foam and Calcium Chloride</t>
  </si>
  <si>
    <t>20CSMH02 - SUB-SURFACE EXPLORATION (SOIL EXPLORATION) OF SARMIENTO BR. (B00609MN) ALONG ISULAN JCT. - NINOY AQUINO RD (CLUSTER B), BAGUMBAYAN, SULTAN KUDARAT</t>
  </si>
  <si>
    <t>20LB0303 - Repair/Maintenance of DENR Building CENRO – Forestry Building Bangkal, Davao City</t>
  </si>
  <si>
    <t>CONSTRUCTION OF SAN GASPAR WAREHOUSE</t>
  </si>
  <si>
    <t>CONSTRUCTION OF CONCRETE PERIMETER FENCE WITH PLASTER BACK TO BACK AT TAWALA ELEMENTARY SCHOOL</t>
  </si>
  <si>
    <t>20FC0118 : CONCRETING OF BRGY. SAN ISIDRO FMR, Brgy. San Isidro, San Lorenzo Ruiz, Camarines Norte</t>
  </si>
  <si>
    <t>20FC0117 : CONCRETING OF BRGY. MATANGO FMR, Brgy. Matango, Vinzons, Camarines Norte</t>
  </si>
  <si>
    <t>SMALLVALUE PROCUREMENT OF REPRODUCTION OF TEST PAPERS</t>
  </si>
  <si>
    <t>Construction of Crisis Center</t>
  </si>
  <si>
    <t>Improvement of RHU Buiding ( Isolation Room)</t>
  </si>
  <si>
    <t>Improvement of Water System @ Mabini- Salintubig 2019</t>
  </si>
  <si>
    <t>20D00078 - CONSTRUCTION OF EVACUATION CENTER AT PLARIDEL, QUEZON</t>
  </si>
  <si>
    <t>Supply and Delivery of Dump Truck</t>
  </si>
  <si>
    <t>20CSMH04 - SUB-SURFACE EXPLORATION (SOIL EXPLORATION) OF BRIDGES ALONG ISULAN JCT.- NINOY AQUINO RD. (CLUSTER D), SEN. NINOY AQUINO, SULTAN KUDARAT</t>
  </si>
  <si>
    <t>Procurement of Security Services for Bulacan State University</t>
  </si>
  <si>
    <t>Construction/ Rehabilitation of Water Supply/ Septage and Sewerage/ Rain Water Collectors - Rain Water Collectors in Public Facilities 1. Baguio City National High School (Main), Gov. Pack Rd., Baguio</t>
  </si>
  <si>
    <t>20CSMH05 - SUB-SURFACE EXPLORATION (SOIL EXPLORATION) OF CONSTRUCTION OF RIVER BANK PROTECTION/FLOOD CONTROL (UPSTREAM SIDE) AT LIMULAN RIVER (CLUSTER E), KALAMANSIG, SULTAN KUDARAT</t>
  </si>
  <si>
    <t>Safe Closure and Rehabilitation of Existing Disposal Site</t>
  </si>
  <si>
    <t>Provision of Information Technology (IT) equipments for the Education Technology laboratory and for the conduct of mobile laboratory assessment for computer subject of BSIT &amp; SHS-CSS Track of the Poly</t>
  </si>
  <si>
    <t>20D00077 -CONSTRUCTION OF EVACUATION CENTER AT STO.TOMAS, BATANGAS</t>
  </si>
  <si>
    <t>Construction of Day Care Center @ Botinagan</t>
  </si>
  <si>
    <t>20JG0084 - Repair/Maintenance of DPWH Building ( Guardhouse ), Zamboanga del Sur II District Engineering Office, Poblacion, Guipos, Zamboanga del Sur</t>
  </si>
  <si>
    <t>20JG0076 - Repair/Maintenance of Pantad River Control, Brgy. Pantad, Dumalinao, Zamboanga del Sur</t>
  </si>
  <si>
    <t>20JG0075 - Repair/Maintenance of Bayog River Control, Poblacion, Bayog, Zamboanga del Sur, Sta.1+550 - Sta.1+608.01 R/S</t>
  </si>
  <si>
    <t>Supply and Delivery of Materials, Labor and Equipment for the Construction/Completion of Public Market in Brgy. Poblacion, Padre Garcia, Batangas</t>
  </si>
  <si>
    <t>20JG0086 - Repair/Maintenance of DND Building, Phil. Army - 53rd Infantry Battalion ( Officer's Quarter), Brgy.Poblacion, Guipos, Zamboanga del Sur</t>
  </si>
  <si>
    <t>SMALL VALUE FOR PROCUREMENT OF TARPAULINS</t>
  </si>
  <si>
    <t>CID NO. 20LE0122 REPAIR / MAINTENANCE OF BUHANGIN FLOOD CONTROL, MALITA, DAVAO OCCIDENTAL (STA. 0+000.00 - STA. 0+045.00)</t>
  </si>
  <si>
    <t>20JG0085 - Repair/Maintenance of DA Building, Betinan, San Miguel, Zamboanga del Sur</t>
  </si>
  <si>
    <t>20JG0082 - Repair/Maintenance of DPWH Motorpool Building (Mezzanine Floor), Zamboanga del Sur II District Engineering Office, Poblacion, Guipos, Zamboanga del Sur</t>
  </si>
  <si>
    <t>20JG0080 - Repair/Maintenance of DPWH Main Building, Zamboanga del Sur II District Engineering Office, Poblacion, Guipos, Zamboanga del Sur</t>
  </si>
  <si>
    <t>20CSMH03 - SUB-SURFACE EXPLORATION (SOIL EXPLORATION) OF BARANAYAN BR. ALONG AWANG-UPI-LEBAK-KALAMANSIGPALIMBANG- SARANGANI RD (CLUSTER C), PALIMBANG, SULTAN KUDARAT</t>
  </si>
  <si>
    <t>20JG0079 - Repair/Maintenance of DPWH Building (Planning &amp; Design Section), Zamboanga del Sur II District Engineering Office, Poblacion, Guipos, Zamboanga del Sur</t>
  </si>
  <si>
    <t>SMALL VALUE FOR PROCUREMENT OF OFFICE AND SCHOOL FORMS</t>
  </si>
  <si>
    <t>20JG0083 - Repair/Maintenance of DPWH Building, Warehouse Building (Warehouse - Mezzanine Floor), Zamboanga del Sur 2nd District Engineering Office, Brgy.Poblacion, Guipos, Zamboanga del Sur</t>
  </si>
  <si>
    <t>20FC0123 : CONCRETING OF BRGY. BULALA FMR, Brgy. Bulala, Sta. Elena, Camarines Norte</t>
  </si>
  <si>
    <t>Construction of Flood Control Structures along Bayanan River, Brgy. Bayanan, Muntinlupa City,  Sta. 0+000 to Sta. 0+325 (Contract ID No. 20O00059)</t>
  </si>
  <si>
    <t>20FC0121 : CONCRETING OF BRGY. ITOK FMR, Brgy. Itok, Capalonga, Camarines Norte</t>
  </si>
  <si>
    <t>20JG0078 - Repair/Maintenance of DPWH Building (Finance Section), Zamboanga del Sur II District Engineering Office, Poblacion, Guipos, Zamboanga del Sur</t>
  </si>
  <si>
    <t>20FC0120 : CONCRETING OF BRGY. GUISICAN FMR, Brgy. Guisican, Labo, Camarines Norte</t>
  </si>
  <si>
    <t>ELECTRIFICATION OF 2 STOREY, 16 CLASS ROOMS</t>
  </si>
  <si>
    <t>20D00075 - CONSTRUCTION OF EVACUATION CENTER AT BAUAN, BATANGAS</t>
  </si>
  <si>
    <t>20JG0077 - Repair/Maintenance of DPWH Building (Maintenance Section), Zamboanga del Sur II District Engineering Office, Poblacion, Guipos, Zamboanga del Sur</t>
  </si>
  <si>
    <t>20FC0122 : CONCRETING OF BRGY. BINAWANGAN FMR, Brgy. Binawangan, Capalonga, Camarines Norte</t>
  </si>
  <si>
    <t>small value procurement of printer</t>
  </si>
  <si>
    <t>20FC0119 : CONCRETING OF BRGY. MABILO I FMR, Brgy. Mabilo I, Labo, Camarines Norte</t>
  </si>
  <si>
    <t>PB INFRA 20-043_Construction of Multi-Purpose Drying Pavement, Sinawilan, Libungan, Malagap, Banisilan, Magallon, Mlang, Malagakit, Pigcawwayan, New Pontevedra, Antipas, Cotabato</t>
  </si>
  <si>
    <t>Procurement of Supplies and Materials for the Conduct of Vegetable Demo Farm</t>
  </si>
  <si>
    <t>PB INFRA 20-042_Construction of Box Culvert, Sta. Cruz, Midsayap, Cotabato</t>
  </si>
  <si>
    <t>PB INFRA 20-041_Construction of Covered Court with Stage, Buliok Elementary School, Sitio Katipunan, Buliok , Pikit, Cotabato</t>
  </si>
  <si>
    <t>SMALL VALUE FOR PROCUREMENT OF COVERED FOOTWALK</t>
  </si>
  <si>
    <t>FURNISHED LABOR &amp; MATERIALS FOR THE NEW CONSTRUCTION OF MUNICIPAL DRUG REHABILITATION FACILITY-MEO-PHP 9,852,000.00-1ST POSTING</t>
  </si>
  <si>
    <t>Construction of Municipal Disaster Risk Reduction and Management Office Building</t>
  </si>
  <si>
    <t>20DE0144 Construction of Evacuation Center in Bolbok, Batangas City, Batangas</t>
  </si>
  <si>
    <t>PB INFRA 20-039_Completion of Covered Court, College of Agriculture, University of Southern Mindanao, Kabacan, Cotabato</t>
  </si>
  <si>
    <t>Procurement of MDRRM Protective Equipment</t>
  </si>
  <si>
    <t>PB INFRA 20-038_Construction of Multi-Purpose Building (Birthing Center), Lepaga, Mlang, Cotabato</t>
  </si>
  <si>
    <t>Procurement of ICT Equipment (Desktop Computers and Laptops)</t>
  </si>
  <si>
    <t>CONSTRUCTION OF FOOTBRIDGE AT BRGY. TUNGKIL, MINGLANILLA, CEBU</t>
  </si>
  <si>
    <t>Purchase of Two(2) Sets of Abaca Stripping Machine for IP's in GIDA Barangays</t>
  </si>
  <si>
    <t>ITB - Supply and Delivery of Linen Supplies and Materials for CY 2020</t>
  </si>
  <si>
    <t>100-2019-10-1635 Supply and delivery of multi-purpose vehicle (brand new single cab with FB body dual AC with response accessories</t>
  </si>
  <si>
    <t>FURNISHED LABOR &amp; MATERIALS FOR THE IMPROVEMENT OF MALUNGON PUBLIC MARKET-MEO-PHP 4,000,000.00-1ST POSTING</t>
  </si>
  <si>
    <t>PB INFRA 20-040_Construction of Covered Court with Stage, Bleachers &amp; Basketball Rings, Lower Paatan, Kabacan, Cotabato</t>
  </si>
  <si>
    <t>100-2019-11-1714 Supply and delivery of passenger van with response accessories 2.5L diese-fed, engine displacement 2494cc,etc, (RDANA)</t>
  </si>
  <si>
    <t>100-2020-01-015 Supply and delivery of 1 unit light cargo truck 11 ft</t>
  </si>
  <si>
    <t>REHABILITATION OF FARM TO MARKET ROAD (SITIO BITTAO) LOCATED AT BARANGAY DUPLAS, SUDIPEN, LA UNION</t>
  </si>
  <si>
    <t>100-2020-02-308 Supply and delivery of 4 units ambulance</t>
  </si>
  <si>
    <t>20AH0192 (republished)  Repainting of Bridge along Pangasinan-Zambales Road, Padilla Bridge (B02144LZ), K0359+504, Bugallon, Pangasinan</t>
  </si>
  <si>
    <t>100-2020-01-129 Supply and delivery of 1 unit truck (light cargo truck) with open/drop-side cargo hol, 18 ft.</t>
  </si>
  <si>
    <t>20AH0209  Installation/Application of Road Safety Devices along Judge Jose De Venecia Boulevard Extension Road, Island Section, Dagupan City, Pangasinan</t>
  </si>
  <si>
    <t>20AH0206	Repair/Maintenance of Asphalt Overlay (Thin Overlay) along Pangasinan-Tarlac Road, K0196+827-K0197+018, Bugallon, Pangasinan</t>
  </si>
  <si>
    <t>Procurement of Supply &amp; Delivery of Pheromone Lure</t>
  </si>
  <si>
    <t>20JG0081 - Maintenance, Repair and Rehabilitation of Materials Quality Control Building of DPWH Building Zamboanga del Sur II DEO (Phase 4)</t>
  </si>
  <si>
    <t>Contract ID No. 19CSK00041 – Consultancy Services for the Conduct of Geotechnical &amp; Geological Investigation and Survey Works for the Proposed Construction of Sabo Dam on Upper and Lower Dinanggasan R</t>
  </si>
  <si>
    <t>REHABILITATION OF FARM TO MARKET ROAD LOCATED AT BARANGAY BIGBIGA, SUDIPEN, LA UNION</t>
  </si>
  <si>
    <t>20AH0207  Repair/Maintenance of Lateral Drainage along Mangaldan-Manaoag-Binalonan Road, K0205+917-K0206+000 w/ exception, San Jacinto, Pangasinan</t>
  </si>
  <si>
    <t>REHABILITATION OF FARM TO MARKET ROAD LOCATED AT BARANGAY SAN FRANCISCO NORTE, SUDIPEN, LA UNION</t>
  </si>
  <si>
    <t>19GF00031 - Procurement of Hydraulic Breaker and Hydraulic Grapple for use at EMD (PR No. 20-05-103 dated 5/29/2020), DPWH Regional Office No. V, Rawis, Legazpi City</t>
  </si>
  <si>
    <t>Procurement of Supply &amp; Delivery of Organic and Inorganic Insecticide (By Lot)</t>
  </si>
  <si>
    <t>Supply labor and materials for the Improvement of Activity Center in Barangay Tigbawan of the Municipality of Tabuelan, Cebu</t>
  </si>
  <si>
    <t>REHABILITATION OF FARM TO MARKET ROAD (NAMALTUGAN – UP-UPLAS ROAD) LOCATED AT BARANGAY UP-UPLAS, SUDIPEN, LA UNION</t>
  </si>
  <si>
    <t>AGR-20-0338-B Purchase of Kitchenware</t>
  </si>
  <si>
    <t>Purchase of One (1) Unit Dump Truck to be used in this Municipality</t>
  </si>
  <si>
    <t>20AH0208  Repair/Restoration of Slope Protection along Lingayen-Labrador Road, K0368+430-K0368+495, Labrador, Pangasinan</t>
  </si>
  <si>
    <t>REPAIR /REHABILITATION OF DAMAGED DRAINAGE FACILITY AT BRGY. CENTRAL, GAMAY, NORTHERN SAMAR</t>
  </si>
  <si>
    <t>PROCUREMENT OF PLANTING MATERIALS</t>
  </si>
  <si>
    <t>Establishment of Governor’s Satellite Office at GADTC</t>
  </si>
  <si>
    <t>PROCUREMENT OF OFFICE SUPPLIES FOR DIFFERENT OFFICES (1st – 2nd Quarter), MALAPATAN, SARANGANI PROVINCE</t>
  </si>
  <si>
    <t>SDH-20-0361-B DRUGS AND MEDICINES</t>
  </si>
  <si>
    <t>MODERNIZATION OF LABORATORY EQUIPMENT FOR BACHELOR OF SCIENCE IN ELECTRICAL ENGINEERING</t>
  </si>
  <si>
    <t>Purchase of One (1) Unit Bottle and Glass Crusher to be used at the MENRO Office of this Municipality</t>
  </si>
  <si>
    <t>Construction of Duangan Multi Purpose Center</t>
  </si>
  <si>
    <t>Supply and Delivery of Various Office Supplies for Various Offices in the Municipality (2nd &amp; 3rd Quarter)</t>
  </si>
  <si>
    <t>20CSDM06 – Conduct of Geotechnical Investigation along Piris River and Mulanay River in Buenavista and Mulanay, Quezon</t>
  </si>
  <si>
    <t>PROJECT: CONTINUATION OF EVACUATION CENTER</t>
  </si>
  <si>
    <t>20GEB0023: Procurement/Supply/Delivery of IT for use of DPWH-Mindoro Occidental DEO Planning and Design Section</t>
  </si>
  <si>
    <t>20GEB0058: Procurement/Supply/Delivery of Traffic Counting Machine Accessories for use in Conduct of NRTSP, DPWH – Mindoro Occidental DEO Planning and Design Section (Lubang Field Office)</t>
  </si>
  <si>
    <t>Supply &amp; Delivery of One (1) Unit Brand New Emergency Medical Service Vehicle for the Ormoc Bureau of Fire Protection, CDRRMO, Ormoc City</t>
  </si>
  <si>
    <t>100-2019-11-1710 Supply and delivery of 245.50 cu.m. ready mixed concrete 3500psi</t>
  </si>
  <si>
    <t>20GEB0093: Procurement/Supply/Delivery of Desktop Computer for use of DPWH – Mindoro Occidental DEO Administrative Section (Records Unit)</t>
  </si>
  <si>
    <t>20GEB0021: Procurement/Supply/Delivery of Office Equipment Supplies and Consumables for use in DPWH – Mindoro Occidental DEO  Planning and Design Section</t>
  </si>
  <si>
    <t>Supply &amp; Delivery of One (1) Unit Brand New Service Vehicle for the City Veterinary Office, Ormoc City</t>
  </si>
  <si>
    <t>PROCUREMENT OF OFICE EQUIPMENT FOR MUNICIPAL INFORMATION OFFICE, MALAPATAN, SARANGANI PROVINCE</t>
  </si>
  <si>
    <t>Supply &amp; Delivery of Drugs &amp; Medicines for the Responsible Parenting &amp; Reproductive Health Program of the City Health Office, Ormoc City</t>
  </si>
  <si>
    <t>Supply &amp; Delivery of Medical, Dental &amp; Laboratory Supplies for City Health Office-OPD, Dental, Laboratory Section &amp; Six (6) District Health Center in Ormoc City, Ormoc City</t>
  </si>
  <si>
    <t>Concreting of Makato-Cayangwan-Libang Road (Cayangwan Segment), Makato, Akla</t>
  </si>
  <si>
    <t>PROPOSED CONSTRUCTION OF DRAINAGE SYSTEM @ PUROK dascc</t>
  </si>
  <si>
    <t>Concreting of Venturanza Road, Banga, Aklan</t>
  </si>
  <si>
    <t>Reblocking of Man-up-Lupit-Ambolong-Batan Road, Batan, Aklan</t>
  </si>
  <si>
    <t>SAAD-20-1237 (REBID 2): Procurement of 3,600 heads of Native Chicken</t>
  </si>
  <si>
    <t>Reblocking of Alegria-Balusbos-Habana Road, Buruanga, Aklan</t>
  </si>
  <si>
    <t>1-LOT SUPPLY OF LABOR &amp; MATERIALS FOR THE  IMPROVEMENT SAGAY PUBLIC PLAZA-PHASE 2</t>
  </si>
  <si>
    <t>ILD-20-2316: Procurement of *571 bottles of Azadirahtin (1 liter/bot. Organic Pesticide) and *100 boxes of Bacillus Thuringiensis (5 x 100 gram/box)</t>
  </si>
  <si>
    <t>Rehabilitation and Improvement of Laguinbanua-Bagacay-Unat-Agdugayan Road, Ibajay, Aklan</t>
  </si>
  <si>
    <t>Repair of Gazebo Building Canopy at the Municipal Hall Compound of Palo, Leyte  JR No. 20-06-112</t>
  </si>
  <si>
    <t>SUPPLY AND DELIVERY OF ONE (1) LOT OF VARIOUS ELECTRICAL SUPPLIES FOR THE USE OF THE IMPROVEMENT OF LIGHTING SYSTEM IN THE ASTRODOME MUNICIPALITY OF TABUELAN</t>
  </si>
  <si>
    <t>Construction of Salug Multi Purpose Center</t>
  </si>
  <si>
    <t>PROCUREMENT OF MATERIALS FOR THE MAINTENANCE AND DEVELOPMENT OF HRIS SYSTEM, MALAPATAN, SARANGANI PROVINCE</t>
  </si>
  <si>
    <t>SAAD-20-1185 (REBID 2): Procurement of Assorted Feeds</t>
  </si>
  <si>
    <t>CONSTRUCTION OF CONCRETE BLEACHER &amp; CONCRETE FLOORING @ BRGY. MARINTOC, MOBO, MASBATE</t>
  </si>
  <si>
    <t>ITB 2020-06-89 Procurement of 92,500 pcs. Birthday Cake for the period July to December 31, 2020 for OM-OSCA</t>
  </si>
  <si>
    <t>HMO-20-0354-B - PURCHASE OF AMBULANCE WITH COMPLETE MEDICAL EQUIPMENT</t>
  </si>
  <si>
    <t>SAAD-20-0992 (REBID 2): Procurement of Various Feeds</t>
  </si>
  <si>
    <t>ILD-20-2315: Procurement of *3,600 packs of PHROMONE LURE (5 sachets/pack)</t>
  </si>
  <si>
    <t>20CSDM05 – Conduct of Geotechnical Investigation of San Andres - San Narciso Road</t>
  </si>
  <si>
    <t>20GEB0012: Procurement/Supply/Delivery of Grass Cutter, Accessories and Spare parts for use in the Repair/Maintenance of National Roads and Bridges (1st to 4th quarter)- Maintenance Section</t>
  </si>
  <si>
    <t>20CSAE01: SUBSURFACE EXPLORATION FOR THE PROPOSED 2021 PROJECTS WITHIN THE FIRST DISTRICT OF LA UNION</t>
  </si>
  <si>
    <t>Improvement of Odiong Circumferential Road, Altavas, Aklan</t>
  </si>
  <si>
    <t>REHABILITATION OF SAN JOSE - CASTRO ROAD (SAN JOSE SECTION) LOCATED AT BARANGAY SAN JOSE, SUDIPEN, LA UNION</t>
  </si>
  <si>
    <t>REHABILITATION OF CASTRO – PORPORIKET ROAD LOCATED AT BARANGAY CASTRO &amp; PORPORIKET, SUDIPEN, LA UNION</t>
  </si>
  <si>
    <t>20CSDM04 – Conduct of Geotechnical Investigation for Basiao Seawall, Agdangan River, Poblacion and Pansoy Seawall, Talisay River, in Quezon III L.D</t>
  </si>
  <si>
    <t>SDH-20-0364-B I.V. FLUIDS</t>
  </si>
  <si>
    <t>CONSTRUCTION OF MULTI-PURPOSE BUILDING AT BRGY. SAMPALOC I, CITY OF DASMARIÑAS, CAVITE</t>
  </si>
  <si>
    <t>One (1) Lot – Supply and delivery of 5,000 Learning Experience Platform (LXP) subscriptions, including customization, implementation, maintenance, technical support, and user training, as per BSP Term</t>
  </si>
  <si>
    <t>Construction of Landmark</t>
  </si>
  <si>
    <t>Purchase of Twenty (20) Sets of Looms for IP's in GIDA Barangays</t>
  </si>
  <si>
    <t>CONCRETE PAVING OF FARM TO MARKET ROAD (SITIO GUDEL) LOCATED AT BARANGAY NAMALTUGAN, SUDIPEN, LA UNION</t>
  </si>
  <si>
    <t>ILD-20-2314: Procurement of Various Chmical and Filtering Supplies (450 bottles Lambda Cyhalothrin (500ml/bot) et al...)</t>
  </si>
  <si>
    <t>20BC0206-Repair/Maintenance of DILG Building Provincial Public Safety Company 2nd Maneuver Platoon Building</t>
  </si>
  <si>
    <t>20L00148 : Construction of Concrete Road – Jct. R. Magsaysay Ave. – L. Ma. Guerrero St. - Guzman St. – Vinzon St. – T. Palma Gil St. – Jct. Dacudao – Jct. J.P. Cabaguio Ave., Davao City</t>
  </si>
  <si>
    <t>20BC0208-Repair/Maintenance of DOJ Building Regional Trial Court Main Building</t>
  </si>
  <si>
    <t>CONCRETE PAVING OF FARM TO MARKET ROAD (SITIO MINDANAO) LOCATED AT BARANGAY NAMALTUGAN, SUDIPEN, LA UNION</t>
  </si>
  <si>
    <t>Completion of Evacuation Center, Guinbaliwan, New Washington, Aklan</t>
  </si>
  <si>
    <t>20GEB0010: Procurement/Supply of Personnel Protective Equipment for use of Maintenance Crew for the Repair/Maintenance of  National Roads and Bridges (1st to 4th Quarter)- Maintenance Section</t>
  </si>
  <si>
    <t>Improvement of Sewerage Treatment Plant at Tarlac Provincial Hospital, San Vicente, Tarlac City (Rebid) - B-CW-2020-022</t>
  </si>
  <si>
    <t>INVITATION TO BID CONCRETING OF 0.670 KM BARANGAY POBLACION TO COMPRA ROAD at Barangay Poblacion-Barangay Puntod, Matungao, Lanao del Norte</t>
  </si>
  <si>
    <t>Supply &amp; Delivery of 100 Heads of F1 Meat Type Hogs for Kadiwa Ani at Kita Project</t>
  </si>
  <si>
    <t>FOD-L-20-2347: Procurement of Assorted Feeds</t>
  </si>
  <si>
    <t>Repair/Rehabilitation of Valenzuela-Obando-Meycauayan Flood Control Structures along Palasan River (Panghulo to Paliwas Sec.) Obando, Bulacan</t>
  </si>
  <si>
    <t>Const. of Multi-Purpose Building located at Lais Capitol Complex (Motorpool), Malita, Davao Occidental</t>
  </si>
  <si>
    <t>20L00032 : Reconstruction to Concrete Pavement – Jct. R. Magsaysay Ave. – L. Ma. Guerrero St. - Guzman St. – Vinzon St. – T. Palma Gil St. – Jct. Dacudao – Jct. J.P. Cabaguio Ave., Davao City</t>
  </si>
  <si>
    <t>PURCHASE OF MEDICAL SUPPLIES (2ND SEMESTER-2020) FOR THE MUNICIPALITY OF SUDIPEN, LA UNION</t>
  </si>
  <si>
    <t>IMPROVEMENT OF DRAINAGE CANAL (BOQUET ST.)</t>
  </si>
  <si>
    <t>PROCUREMENT OF ONE (1) SET BUTT FUSION MACHINE</t>
  </si>
  <si>
    <t>Healthcare Waste Management Program (Rehabilitation of Sewerage Treatment Plant) at GOTMH, Malacampa, Camiling, Tarlac (Rebid) - B-CW-2020-023</t>
  </si>
  <si>
    <t>Concreting of Farm to Market Road (Sitio 3-Market Road</t>
  </si>
  <si>
    <t>20GM0064 (RE-BIDDING) - Improvement of Bridge, Sit-an Creek at Brgy. East, Candoni, Negros Occidental</t>
  </si>
  <si>
    <t>Proposed Construction of Pathways  at Purok QCRO</t>
  </si>
  <si>
    <t>PURCHASE OF MEDICINES (2ND SEMESTER-2020) FOR THE MUNICIPALITY OF SUDIPEN, LA UNION</t>
  </si>
  <si>
    <t>Invitation to bid for the supply and delivery of one (1) set brand new garbage granulator with brick making machine</t>
  </si>
  <si>
    <t>INSTALLATION OF CONCRETE DRAINAGE SYSTEM OF TAMBUNAN - STA. LUCIA TOURISM ROAD</t>
  </si>
  <si>
    <t>Construction of Day Care Center at Brgy Calamay</t>
  </si>
  <si>
    <t>Improvement of Dadivas Civic Center, Pob. Ilawod, Panitan, Capiz (20% IRA 2020)</t>
  </si>
  <si>
    <t>PEO-2020-0173 PR2020-0436 INVITATION TO BID FOR THE PROCUREMENT OF LABOR, MATERIALS, AND EQUIPMENT FOR THE REHABILITATION AND IMPROVEMENT OF PEO BUILDING</t>
  </si>
  <si>
    <t>Procurement of 450 liters of Insecticide for use to control the fall army worm (FAW) in the flint corn production project</t>
  </si>
  <si>
    <t>Medium-Term Information and Communication Technology Harmonization Initiative (MITHI)</t>
  </si>
  <si>
    <t>Construction of Sumalag School Road &amp; Construction of Road to Water Reservoir – Bolisong</t>
  </si>
  <si>
    <t>PROCUREMENT OF PHOTOCOPIER AND DOCUMENT MANAGEMENT SYSTEM WITH CAPTURE SCANNER (ITB No. 2020-158)-(bpmc)</t>
  </si>
  <si>
    <t>SPLIT TYPE AIRCON</t>
  </si>
  <si>
    <t>Const. of Gym/Evacuation Center located at Buca, Sta. Maria, Davao Occidental</t>
  </si>
  <si>
    <t>Proposed Development of Municipal Cemetery in Norte, Don Carlos, Bukidnon – Phase II (Straight Contract)</t>
  </si>
  <si>
    <t>Rehabilitation of Local Road – Perimeter Road along Public Market, Poblacion Sur, Don Carlos, Bukidnon (Straight Contract)</t>
  </si>
  <si>
    <t>CONSTRUCTION OF RESIDUAL CONTAINMENT AREA</t>
  </si>
  <si>
    <t>20FF0094 - Expansion of Bombon Public Market, San Jose, Bombon, Camarines Sur</t>
  </si>
  <si>
    <t>Const. of Gymnasium located at Sitio Kilongag, Brgy. Bolila, Malita, Davao Occidental</t>
  </si>
  <si>
    <t>Rehabilitation of Multi-Purpose Building at Lake Pinamaloy Area  In Don Carlos, Bukidnon (Straight Contract)</t>
  </si>
  <si>
    <t>PURCHASE OF BOOKS / LEARNING MATERIALS FOR KINDERGARTEN PUPILS</t>
  </si>
  <si>
    <t>Supply/Delivery of  Tubeless Tire</t>
  </si>
  <si>
    <t>MUNICIPAL ROAD CONCRETING OF PUROK 2(ALONG MORESCA RESIDENCE TO SERRANO RESIDENCE)</t>
  </si>
  <si>
    <t>SMALL VALUE PROCUREMENT OF SCHOOL STAGE</t>
  </si>
  <si>
    <t>Improvement of Sinonoc Public Buildings</t>
  </si>
  <si>
    <t>PROCUREMENT OF PNP RESPONSE VEHICLE, MALAPATAN, SARANGANI PROVINCE</t>
  </si>
  <si>
    <t>SUPPLY AND DELIVERY OF MATERIALS FOR THE IMPLEMENTATION OF AQUAPONICS SYSTEM IN URBAN AREAS USING RENEWABLE ENERGY</t>
  </si>
  <si>
    <t>Repainting (including Roof Farming) and Repair of Gutter for Covered Court (Re-Bid)</t>
  </si>
  <si>
    <t>Procurement of Rescue Equipment and Supplies</t>
  </si>
  <si>
    <t>Procurement of Agricultural Machinery and Equipment for Establishment of Flint Corn Processing Center</t>
  </si>
  <si>
    <t>PURCHASE OF BOOKS / LEARNING MATERIALS FOR CHILD DEVELOPMENT CENTER (DAYCARE PUPILS)</t>
  </si>
  <si>
    <t>Improvement of ECO-PARK Peripheral Fencing (28-Span), Brgy. Intampilan, Panitan, Capiz (20% 2018)</t>
  </si>
  <si>
    <t>Supply and delivery of one (1) unit Dump truck for LGU Pilar, Bataan</t>
  </si>
  <si>
    <t>PROCUREMENT FOR THE 30,260 LITERS OF DIESOLINE FOR THE REHABILITATION OF LOCAL ROADS (3RD QUARTER).</t>
  </si>
  <si>
    <t>Concreting &amp; Improvement of Municipal Streets/Roads,  EDSA Portion from Hipolito St., Diffun, Quirino</t>
  </si>
  <si>
    <t>SUPPLY AND DELIVERY OF OUTDOOR LED DISPLAY, OFFICE OF THE MAYOR, LGU CANDELARIA, QUEZON (REBID)</t>
  </si>
  <si>
    <t>Establishment of Stock Room for Livestock and Poultry Multiplier Farm</t>
  </si>
  <si>
    <t>Farm Mechanization as Climate Change Adaptation Measures to Build the Resiliency of the ARBs under SLSDAA-CFFPS</t>
  </si>
  <si>
    <t>Concreting &amp; Improvement of Municipal Streets/Roads,  Pimentel Drive Extension, Diffun, Quirino</t>
  </si>
  <si>
    <t>PROCUREMENT OF MULTI-FUNCTIONAL COPIER FOR VARIOUS SCHOOLS IN THE MUNICIPALITY OF BINALBAGAN (DISTRICT 1 &amp; 2) NEGROS OCCIDENTAL</t>
  </si>
  <si>
    <t>Upgading of MDRRMC operation center, Dadivas Civic Center, Poblacion Ilawod, Panitan, Capiz (MDDRM Fund 2020)</t>
  </si>
  <si>
    <t>REHABILITATION OF ROAD, BRGY. MANGILAG SUR, CANDELARIA, QUEZON</t>
  </si>
  <si>
    <t>SUPPLY AND DELIVERY OF SERVICE VEHICLE, MUNICIPAL ENGINEERING OFFICE, LGU CANDELARIA, QUEZON</t>
  </si>
  <si>
    <t>Construction of Two-Storey Hall of Justice Building,  Don Carlos, Bukidnon – Phase II (Straight Contract)</t>
  </si>
  <si>
    <t>CONSTRUCTION/REHABILITATION/MAINTENANCE OF SANITARY LANDFILL (COMPLETION WORKS ), BRGY. MASALUKOT III, CANDELARIA, QUEZON</t>
  </si>
  <si>
    <t>Concreting of Suarez – Salubsob FMR and Buko By-pass road</t>
  </si>
  <si>
    <t>Leachate Pond Completion at Sanitary Landfill</t>
  </si>
  <si>
    <t>Concreting &amp; Improvement of Municipal Streets/Roads,  Municipal Hall Access Road, Diffun, Quirino</t>
  </si>
  <si>
    <t>CONSTRUCTION OF TWO  (2 ) STOREY OFFICE AND TRAINING CENTER, BRGY. MASALUKOT III, CANDELARIA, QUEZON</t>
  </si>
  <si>
    <t>Supply of Materials for the Rehabilitation of Public Market (Awning)</t>
  </si>
  <si>
    <t>Supply and Delivery of Influenza Vaccine to Increase the Immunity and Protection of the Elderly Against Flu Wherein Can Minimize the Effect of Covid 19 if Vaccinated</t>
  </si>
  <si>
    <t>Purchase of Diesel and Lubricants for Rehabilitation of Barangay Roads, Hilop Poblacion, Cabanglasan, Bukidnon Lot 1,2</t>
  </si>
  <si>
    <t>OPENING OF FARM TO MARKET ROAD, Barangay Mabilbila Sur, SANTA</t>
  </si>
  <si>
    <t>Supply and delivery of one (1) unit backhoe for LGU Pilar, Bataan</t>
  </si>
  <si>
    <t>CONSTRUCTION OF MULTI-PURPOSE BUILDING, BRGY. MAYABOBO, CANDELARIA, QUEZON</t>
  </si>
  <si>
    <t>CONSTRUCTION /INSTALLATION OF STREET LIGHTING SYSTEM @ GELERANG KAWAYAN</t>
  </si>
  <si>
    <t>Purchase of Materials for Maintenance of Roads and Bridges at Cabanglasan Area 2020 Lot 1,2,3</t>
  </si>
  <si>
    <t>PVC CARD PRINTER AND LAMINATOR</t>
  </si>
  <si>
    <t>ITB No. 20-24 Procurement of Maintenance Supplies</t>
  </si>
  <si>
    <t>Concrete Pav. Construction Dawis - San Sebastian</t>
  </si>
  <si>
    <t>Procurement of Internet Connection Service</t>
  </si>
  <si>
    <t>OPENING OF FARM TO MARKET ROAD, Barangay Bucalag, SANTA</t>
  </si>
  <si>
    <t>OPV-2020-0174 PR2020-0440 INVITATION TO BID FOR THE PROCUREMENT OF OFFICE FURNITURE AND FIXTURES</t>
  </si>
  <si>
    <t>Purchase &amp; Delivery of Medical Equipment for Ilocos District Hospitals-Tagudin, Sta. Lucia &amp; Narvacan Ilocos Sur</t>
  </si>
  <si>
    <t>CONSTRUCTION OF COMFORT ROOM BUILDING (PROGRESSIVE TYPE) AT ALEOSAN PUBLIC MARKET, LGU ALEOSAN, COT.</t>
  </si>
  <si>
    <t>PROCUREMENT OF VARIOUS CONSTRUCTION MATERIALS FOR THE IMPROVENT OF MULTI-PURPOSE HALL SITE AT BRGY. DAGUMA BSK</t>
  </si>
  <si>
    <t>ITB No. 20-25 Negotiated Procurement of Calibration Services for Medical Equipment (Lot Bidding)</t>
  </si>
  <si>
    <t>PURCHASE OF RELIEF SUPPLIES FOR THE MDRRM OPERATION CENTER OF THE MUNICIPALITY OF SUDIPEN, LA UNION</t>
  </si>
  <si>
    <t>Purchase of Materials for Construction of Market Stalls (Phase II) Market Site Poblacion Lot 1,2</t>
  </si>
  <si>
    <t>BALIK ESKWELA PROGRAM</t>
  </si>
  <si>
    <t>Improvement of Health Center at Phase 3 Site, Brgy. Paliparan III, City of Dasmarinas, Cavite</t>
  </si>
  <si>
    <t>INSTALLATION OF PUBLIC ADDRESS SYSTEM</t>
  </si>
  <si>
    <t>Bidding for the Supply &amp; Delivery of Medicines for MHO use</t>
  </si>
  <si>
    <t>Bidding for the Supply &amp; Delivery of Medical Supplies for MHO use</t>
  </si>
  <si>
    <t>SUPPLY AND DELIVERY OF VARIOUS PHARMACEUTICAL DRUGS, MEDICINES AND CONTRAST MEDIA (NEGOTIATED PROCUREMENT- TWO FAILED BIDDING)</t>
  </si>
  <si>
    <t>Enhancing Rice Productivity through the Provision of Agei-extension and Farm Mechanization to DAR Assisted ARBs under MCBFPS-CRFPS</t>
  </si>
  <si>
    <t>Purchase of Hospital/Medical Equipment of CSTH for Level 1 (Medical Waste Decomposer Thermal Insulation), Ciriaco S. Tirol Hospital, Boracay Island, Malay, Aklan</t>
  </si>
  <si>
    <t>Road Concreting at Brgy. Valencia, Ormoc City</t>
  </si>
  <si>
    <t>Provision of Pedicab (Small Transport) Sewing Machine &amp; Motorboat Engines to Selected Informal Sector Workers</t>
  </si>
  <si>
    <t>Installation of 7 units Purok Signages</t>
  </si>
  <si>
    <t>FOD-H-20-2345: Procurement of 4,185 kilos of Ginger (Planting Materials)</t>
  </si>
  <si>
    <t>SMALL VALUE PROCUREMENT OF SCHOOL FORMS</t>
  </si>
  <si>
    <t>Procurement of 1-Unit Brand New Ambulance</t>
  </si>
  <si>
    <t>SAAD-20-2131: Procurement of 100 rolls of Range Nets</t>
  </si>
  <si>
    <t>STOCK FILE</t>
  </si>
  <si>
    <t>Construction of Evacuation Center, Arcanghel, Balete, Aklan</t>
  </si>
  <si>
    <t>PURCHASE OF OFFICE EQUIPMENT</t>
  </si>
  <si>
    <t>Proposed Patching and Asphalt Overly Along Hernandez St. Purok 7 Pulo, Brgy. Landayan</t>
  </si>
  <si>
    <t>RFQ-GS-20200608-04 - 1 Lot Supply, Delivery &amp; Installation of Acrylic Frame Panels, Wrap Around Stickers, Signages, Merchandising Materials &amp; Glass Panel Perforated Stickers at 7 LANDBANK Branches</t>
  </si>
  <si>
    <t>Supply and Delivery of Laboratory Equipment for the Native Pig NICER project</t>
  </si>
  <si>
    <t>Completion of Supply Room, Family Planning and Social Hygiene Clinic @ Godofredo P. Ramos Hospital, Poblacion, Altavas, Aklan (Re-biding)</t>
  </si>
  <si>
    <t>Purchase of Materials for Construction of Multi-Purpose C Poblacion, Cabanglasan, Bukidnon</t>
  </si>
  <si>
    <t>CIVIL WORKS FOR THE CONCRETING OF ROAD GAP BETWEEN P-3 AND P-4 BRGY. STO. NIÑO, MAGALLANES, AGUSAN DEL NORTE</t>
  </si>
  <si>
    <t>Proposed Road Concreting/Rehabilitation Abad St,Chrysanthemum, Brgy. Chrysanthemum</t>
  </si>
  <si>
    <t>BID 2020-06-90- DCS VARIOUS TABLETS</t>
  </si>
  <si>
    <t>Purchase &amp; Delivery of Food Packs for Adults &amp; Nutri Packs for Children for distribution Provincewide</t>
  </si>
  <si>
    <t>Supply &amp; Delivery of Mini Dumptruck (Brand New)</t>
  </si>
  <si>
    <t>Purchase of Materials for Construction of Multi-Purpose Building T Imbatug,Cabanglasan, Bukidnon</t>
  </si>
  <si>
    <t>Purchase of Materials for Construction of Multi-Purpose Building U Canangaan,Cabanglasan, Bukidnon Lot 1,2</t>
  </si>
  <si>
    <t>GD2020-06-008_Supply and Delivery of Ninety (90) Cylinders Liquid Gas Chlorine (68kgs./cylinder) for Water Treatment Use</t>
  </si>
  <si>
    <t>BID-2020-06-92 DCS SIM CARDS</t>
  </si>
  <si>
    <t>Purchase &amp; Delivery of Medical Equipment for Ilocos Sur Provincial Hospital-Gabriela Silang &amp; Ilocos District Hospitals-Sinait &amp; Magsingal Ilocos Sur</t>
  </si>
  <si>
    <t>SUPPLIES FOR WINS (WASH IN SCHOOL)PROGRAM JHS</t>
  </si>
  <si>
    <t>CONSTRUCTION OF MULTI-PURPOSE BUILDING FOR SOLID WASTE MANAGEMENT EQUIPMENT AND MOTOR VEHICLES AT BRGY. BURABOD, GAMAY, NORTHERN SAMAR</t>
  </si>
  <si>
    <t>CID NO. 20LE0123 REPAIR / MAINTENANCE OF LAWA FLOOD CONTROL, DON MARCELINO, DAVAO OCCIDENTAL  (STA. 0+000.00 - STA. 0+083.00 LS)</t>
  </si>
  <si>
    <t>PURCHASE OF BRAND-NEW PICKUP TYPE MOTOR VEHICLES (REBID)</t>
  </si>
  <si>
    <t>Supply and Delivery of Agricultural Supplies and Materials for the NICER Project</t>
  </si>
  <si>
    <t>Purchase of Materials for Construction of Multi-Purpose Building X Poblacion ,Cabanglasan, Bukidnon</t>
  </si>
  <si>
    <t>Supplying various breeder animals to be dispersed to Solo Parents of Torrijos Municipality, Provincial Veterinary Office, Boac, Marinduque</t>
  </si>
  <si>
    <t>BID 2020-06-91 DCS LAPTOP</t>
  </si>
  <si>
    <t>Concreting of Local Road Zone 5, Angustia, Nabua, Camarines Sur</t>
  </si>
  <si>
    <t>Purchase of Solar Lights at Buso/P11 Poblacion/Jasaan/Salimbobonog Capinonan &amp; Calagutay Capinonan, Cabanglasan, Bukidnon Lot 1,2</t>
  </si>
  <si>
    <t>Construction of Access Road to Bayongon Housing Site</t>
  </si>
  <si>
    <t>IMPROVEMENT  OF BRGY. WARD I COVERED COURT/ MULTI-PURPOSE BUILDING (PHASE III) AT BRGY. WARD I, MINGLANILLA, CEBU</t>
  </si>
  <si>
    <t>20KI0090 Contract Name	: Concreting of Brgy. Small Potongan FMR,  			  Brgy. Small Potongan, Concepcion, Misamis Occidental</t>
  </si>
  <si>
    <t>20KI0089 Contract Name	: Concreting of Brgy. Roxas FMR,  			  Brgy. Roxas, Aloran, Misamis Occidental</t>
  </si>
  <si>
    <t>Concreting of Farm to Market Road at Sitio Malamig, Barangay Leido, Victoria, Oriental Mindoro</t>
  </si>
  <si>
    <t>Purchase of Materials for Construction Steel Goal at Pangian, Tagawili, Bawa Cabanglasan, Bukidnon</t>
  </si>
  <si>
    <t>SUPPLY, DELIVERY, INSTALLATION AND COMMISSIONING OF CCTV CAMERAS</t>
  </si>
  <si>
    <t>20KI0088 Contract Name	: Concreting of Brgy. Usocan to Brgy. Bato FMR,  			  Brgy. Usocan and Brgy. Bato, Plaridel, Misamis Occidental</t>
  </si>
  <si>
    <t>CONSTRUCTION OF NATIONAL CHILD DEVELOPMENT CENTER</t>
  </si>
  <si>
    <t>Rebidding for the Repair and Renovation of Second Floor Bonifacio P. Sibayan Hall</t>
  </si>
  <si>
    <t>LABOR &amp; MATERIALS FOR UPGRADING OF ALLEY WITH IMPROVEMENT OF DRAINAGE CANAL, BLK. 27A PHASE 2 AREA 1, BRGY. NBBS DAGAT-DAGATAN, NAVOTAS CITY</t>
  </si>
  <si>
    <t>Purchase of Materials for Construction Calacapan Swimming Pool (Additional) Cabanglasan, Bukidnon</t>
  </si>
  <si>
    <t>LABOR &amp; MATERIALS FOR UPGRADING OF ALLEY WITH IMPROVEMENT OF DRAINAGE CANAL, BLK. 33 PHASE 2 AREA 2, BRGY. NBBS DAGAT-DAGATAN, NAVOTAS CITY</t>
  </si>
  <si>
    <t>(PEO) INVITATION TO BID FOR THE SUPPLY AND DELIVERY OF VEHICLE PARTS (III) FOR   HEAVY EQUIPMENT   FOR THE PROVINCIAL ENGINEERING OFFICE (PEO)</t>
  </si>
  <si>
    <t>LABOR &amp; MATERIALS FOR UPGRADING OF ALLEY WITH IMPROVEMENT OF DRAINAGE CANAL, BLK. 32A PHASE 2 AREA 2, BRGY. NBBS DAGAT-DAGATAN, NAVOTAS CITY</t>
  </si>
  <si>
    <t>20GDC0005 - Supply, Delivery and Installation of New Traffic Signs (7x) along Various National Roads</t>
  </si>
  <si>
    <t>Construction of Ticket Booth Barangay Cau-ayan, Pototan, Iloilo</t>
  </si>
  <si>
    <t>165 gallons Acid, muriatic, etc.</t>
  </si>
  <si>
    <t>SUPPLY &amp; DELIVERY OF PICK UP TYPE VEHICLE</t>
  </si>
  <si>
    <t>IMPROVEMENT OF BRGY HALL &amp; LUPON OFFICE (TILES, PAINTING &amp; ROOFING)</t>
  </si>
  <si>
    <t>CONSTRUCTION / ESTABLISHMENT OF TOURISM INFORMATION AND PASALUBONG CENTER</t>
  </si>
  <si>
    <t>CONCRETING OF BARANGAY ROAD AT BARANGAY SAWANG</t>
  </si>
  <si>
    <t>72 heads Swine (Gilts and Boars), etc.</t>
  </si>
  <si>
    <t>Supply/Delivery of Tire with Tube</t>
  </si>
  <si>
    <t>200 sets Drift Gill Net</t>
  </si>
  <si>
    <t>Construction of Multi-purpose Hall</t>
  </si>
  <si>
    <t>20HC0181- CONSTRUCTION/COMPLETION OF WATER SYSTEM (LEVEL III), BRGY. LOMANGOG, UBAY, BOHOL</t>
  </si>
  <si>
    <t>Construction of Covered Court, Barangay Apasan</t>
  </si>
  <si>
    <t>Purchase of Construction materials</t>
  </si>
  <si>
    <t>20H00062 - Construction/Repair/Rehabilitation/Improvement of Various Infrastructure including Local Projects-Structural Improvement of Public Buildings and Construction of Evacuation Centers-Construct</t>
  </si>
  <si>
    <t>Procurement of Reference Books &amp; Professional Journals (Lot 1-2)</t>
  </si>
  <si>
    <t>Purchase of Ambulance (Hi-Roof), Lambunao, Iloilo</t>
  </si>
  <si>
    <t>Design and Build for the Construction of Alternative Water Supply (Level III)</t>
  </si>
  <si>
    <t>20GFH0011 - SUPPLY AND DELIVERY OF OFFICE EQUIPMENT FOR USE IN THE DPWH-DEO CATANDUANES, VIRAC, CATANDUANES (PR#20-06-025 DATED 6/8/2020)</t>
  </si>
  <si>
    <t>Drilling of one Deep Well through Percussion Drilling Method</t>
  </si>
  <si>
    <t>IB No. 2003-206 Proc. of Goods (Operational Tent)(Rebid)</t>
  </si>
  <si>
    <t>LOT 1 - MOBILE POSTPAID PLAN OF THE PROCUREMENT OF TWO (2) YEAR SUBSCRIPTION FOR TWO (2) LOTS OF MOBILE POSTPAID AND PREPAID PLAN FOR PAGCOR OFFICERS AND KEY PERSONNEL - ITB NO. PB20-04-034COR</t>
  </si>
  <si>
    <t>Purchase of Materials for Pasalubong Center Lot 1,2</t>
  </si>
  <si>
    <t>Invitation to bid for Completion of Public Toilet</t>
  </si>
  <si>
    <t>Sari-sari Store</t>
  </si>
  <si>
    <t>Supply and Delivery of Brand New Electric Generator Set (Trailer Mounted)</t>
  </si>
  <si>
    <t>Purchase and Delivery of 2 unit Mini Elf(Multi-Purpose Vehicle)</t>
  </si>
  <si>
    <t>IB No. 2005-299 Proc. of Goods (Water Meter and Others)(Rebid)</t>
  </si>
  <si>
    <t>20PF0068: Construction / Rehabilitation of Flood Mitigation Facilities within Major River Basins &amp; Principal Rivers: Construction of Copias Flood Control</t>
  </si>
  <si>
    <t>Construction of Rain Water Collectors in Public Facilities</t>
  </si>
  <si>
    <t>LOT 2 - MOBILE PREPAID PLAN OF THE PROCUREMENT OF TWO (2) YEAR SUBSCRIPTION FOR TWO (2) LOTS OF MOBILE POSTPAID AND PREPAID PLAN FOR PAGCOR OFFICERS AND KEY PERSONNEL - ITB NO. PB20-04-034COR</t>
  </si>
  <si>
    <t>Concreting of Local Road at Barangay Angustia Going to Brgy. Salvacion Que Gatos, Nabua, Camarines Sur</t>
  </si>
  <si>
    <t>20H00067 - Construction/Repair/Rehabilitation/Improvement of Various Infrastructure including Local Projects-Structural Improvement of Public Buildings and Construction of Evacuation Centers-Construct</t>
  </si>
  <si>
    <t>20H00066 - Construction/Repair/Rehabilitation/Improvement of Various Infrastructure including Local Projects-Structural Improvement of Public Buildings and Construction of Evacuation Centers-Construct</t>
  </si>
  <si>
    <t>Supply and Delivery of One (1) Lot Various Materials for the Improvement of Municipal Building</t>
  </si>
  <si>
    <t>SUPPLY AND DELIVERY OF CONSTRUCTION MATERIALS FOR THE CONSTRUCTION OF RIC BUILDING</t>
  </si>
  <si>
    <t>Procurement of Service Vehicle for the Municipal Engineering Office</t>
  </si>
  <si>
    <t>PHO-2020-038 PR2020-0150 INVITATION TO BID FOR THE PROCUREMENT OF BASIC LIFE SUPPORT AMBULANCE</t>
  </si>
  <si>
    <t>Supply and Delivery of One (1) Lot Other Machineries and Equipment</t>
  </si>
  <si>
    <t>Completion of Road Concreting at Sitio Ruston, San Antonio Ogbon to La Opinion, Sitio Ruston San Antonio Ogbon, Nabua, Camarines Sur</t>
  </si>
  <si>
    <t>SUPPLY AND DELIVERY OF VARIOUS MECHANICAL SPARE PARTS FOR UNIT 3 - 336 KW CUMMINS INTENDED FOR DOONG DPP</t>
  </si>
  <si>
    <t>20AD0096 : Construction (Completion) of Candon City Hospital        (Satellite ITRMC) Buildings, Candon City, Ilocos Sur</t>
  </si>
  <si>
    <t>20H00064 - Construction/Repair/Rehabilitation/Improvement of Various Infrastructure including Local Projects-Structural Improvement of Public Buildings and Construction of Evacuation Centers-Construct</t>
  </si>
  <si>
    <t>Supply and Delivery of Laboratory Equipment for VSU Main Campus</t>
  </si>
  <si>
    <t>Concrete Pav. Construction Cambalidyo-San Sebastian</t>
  </si>
  <si>
    <t>Improvement of  Day Care Center</t>
  </si>
  <si>
    <t>20FH0096 - REPAIR/MAINTENANCE OF DPWH BUILDING, MAIN OFFICE BUILDING, CATANDUANES DEO, VIRAC, CATANDUANES</t>
  </si>
  <si>
    <t>Supply and Delivery Construction Materials for the Safe Closure and Rehabilitation of Existing open Dump site at Brgy. San Pedro, Quinapondan, Eastern Samar (Re-bid)</t>
  </si>
  <si>
    <t>20H00065 - Construction/Repair/Rehabilitation/Improvement of Various Infrastructure including Local Projects-Structural Improvement of Public Buildings and Construction of Evacuation Centers-Construct</t>
  </si>
  <si>
    <t>SUPPLY AND DELIVERY OF VARIOUS MECHANICAL SPARE PARTS FOR 163 KW DALE PERKINS INTENDED FOR DOONG DPP</t>
  </si>
  <si>
    <t>Supply, Installation and Commissioning of One (1) Unit Plasma Sterilizer</t>
  </si>
  <si>
    <t>Improvement of Water Supply System (Intake Box, Pipe Concrete Blanket) Brgy. Bagte - Buenavista, Relocation Site, Quinapondan E. Samar (Re-bid)</t>
  </si>
  <si>
    <t>SUPPLY &amp; DELIVERY OF VARIOUS MECHANICAL SPARE PARTS FOR 163KW PERKINS GENSET MODEL: 2006-TGI, ENGINE NO.: 8B27396U86225V INTENDED FOR LIMASAWA DPP</t>
  </si>
  <si>
    <t>Job Order: Supply and planting of Bermuda Grass and others for site grading, stabilization and final cover of Dumpsite (Closure Plan) Phase I, Barangay Candau-ay.</t>
  </si>
  <si>
    <t>AU 64 - Suppy &amp; Delivery of Car Parts for TOYOTA Pick-up plate number WSO 333 w/ PN NO-I1-1805</t>
  </si>
  <si>
    <t>20KB0168   Construction of Multi-Purpose Building (Kibawe Sports Complex) Brgy. East Kibawe, Kibawe, Bukidnon</t>
  </si>
  <si>
    <t>Removal of collapsed retaining wall and replacing it with gabion wall (Road width incl. shoulder, 9.1m; Carriage width, 6.1m; Pavement thickness, 0.23m)</t>
  </si>
  <si>
    <t>DRILLING OF ONE (1) EXPLORATORY /PRODUCTION WELL AT BRGY. RAFAELA BARRERA</t>
  </si>
  <si>
    <t>20KB0173   Construction/Completion of the Development of Municipal Ground/Plaza, Anahawon, Maramag, Bukidnon</t>
  </si>
  <si>
    <t>Job Order: Equipment rental for site grading, stabilization and final cover of Dumpsite (Closure Plan) Phase I, Barangay Candau-ay.</t>
  </si>
  <si>
    <t>IMPROVEMENT OF STA. MARCELA MULTI-PURPOSE BUILDING (EVACUATION CENTER)</t>
  </si>
  <si>
    <t>Concrete Pav. Construction Canorong Tuka Road</t>
  </si>
  <si>
    <t>20KB0167   Construction of Multi-Purpose Building (Municipal Risk Reduction Management Office), Maramag, Bukidnon</t>
  </si>
  <si>
    <t>Purchase of Equipment for the Establishment of 21st Century Classroom at BCES</t>
  </si>
  <si>
    <t>Concrete Pav. Construction Canorong Bulangsuran Road</t>
  </si>
  <si>
    <t>20KB0172   Rehabilitation of Multi-Purpose Building (Day Care Center) Brgy. Kianggat, Dangcagan, Bukidnon</t>
  </si>
  <si>
    <t>Purchase of t-shirts</t>
  </si>
  <si>
    <t>Concrete Pav. Construction Monteverde Barangay Road</t>
  </si>
  <si>
    <t>20KB0171   Improvement of Public Plaza, Brgy. Poblacion, Dangcagan, Bukidnon</t>
  </si>
  <si>
    <t>Supply, Installation and Commissioning of Two (2) units Ultraviolet Germicidal Irradiction Disinfection System</t>
  </si>
  <si>
    <t>Supply, Installation and Commissioning  of One (1) Operating Light (LED dual ceiling mounted with camera and pendant surgical monitor)</t>
  </si>
  <si>
    <t>20KB0170   Construction of Multi-Purpose Building, Mindanaw Tribal School Inc., Purok 6A, Panadtalan, Maramag, Bukidnon</t>
  </si>
  <si>
    <t>Supply and Delivery of One (1) Lot Various Construction Materials &amp; Supplies for the Improvement of Tourist Facilities</t>
  </si>
  <si>
    <t>SUPPLY &amp; DELIVERY OF VARIOUS MECHANICAL SPARE PARTS FOR 163KW PERKINS, MODEL NO.: 2006-TGI. SERIAL NO.: 52/ ENGINE NO.: 8B27396U86224V INTENDED FOR SAN VICENTE DPP</t>
  </si>
  <si>
    <t>Supply, Installation and Commissioning of One (1) unit Operating Table (Electric-Motorized Type)</t>
  </si>
  <si>
    <t>Procurement of Office Equipment, Supplies and Consumables</t>
  </si>
  <si>
    <t>20KB0178   Construction/Completion of Multi-Purpose Building, Brgy. Libertad, Quezon, Bukidnon</t>
  </si>
  <si>
    <t>Procurement of Construction Materials for Multipurpose Drying Pavement (MPDP)</t>
  </si>
  <si>
    <t>Concrete Pav. Construction Kalatagan-Tangbo Barangay Road</t>
  </si>
  <si>
    <t>SUPPLY &amp; DELIVERY OF VARIOUS MECHANICAL SPARE PARTS FOR 100KW PERKINS, MODEL NO.: 1006-TAG; ENGINE TYPE: 2330/1500; SERIAL NO.: YB37574 INTENDED FOR ALMAGRO DPP</t>
  </si>
  <si>
    <t>Procurement of Fuel and Oil</t>
  </si>
  <si>
    <t>SUPPLY AND DELIVERY OF VARIOUS ELECTRICAL SPARES INTENDED FOR BOHOL MINI GRID I</t>
  </si>
  <si>
    <t>3 units Negative Pressure Wound Therapy</t>
  </si>
  <si>
    <t>20KB0175   Construction of Covered Court, Brgy. Kalumihan, Kitaotao, Bukidnon</t>
  </si>
  <si>
    <t>SUPPLY &amp; DELIVERY OF VARIOUS MECHANICAL SPARE PARTS FOR 163KW PERKINS, MODEL NO.: 2006-TGI, SERIAL NO.: 48 INTENDED FOR STO NINO DPP</t>
  </si>
  <si>
    <t>Supply and Delivery of Laboratory Equipment for VSU External Campuses</t>
  </si>
  <si>
    <t>Purchase of 1-Unit Tractor with complete accessories</t>
  </si>
  <si>
    <t>Rehabilitation of Barangay and Municipal Roads</t>
  </si>
  <si>
    <t>1 unit High Speed Drill System</t>
  </si>
  <si>
    <t>Supply and Delivery of One (1) Lot Wireless CCTV System (including installation)</t>
  </si>
  <si>
    <t>20GB00013 (re-ad): Purchase, Delivery and Installation of One (1) Unit Bridge Design Software</t>
  </si>
  <si>
    <t>20DI0152- Construction of Multi-purpose Building, Brgy. Dita, Sta. Rosa City, Laguna</t>
  </si>
  <si>
    <t>Construction of Multipurpose Building</t>
  </si>
  <si>
    <t>SUPPLY &amp; DELIVERY OF VARIOUS MECHANICAL SPARE PARTS FOR 300KW CUMMINS, MODEL NO.: KTA19-G2; SERIAL NO.: 41232997 INTENDED FOR SAN ANTONIO DPP</t>
  </si>
  <si>
    <t>20PL0121 - Rehabilitation of National road, K0534+056 - K0534+106 (Babalag-Kinama-San Francisco Section), Rizal, Kalinga</t>
  </si>
  <si>
    <t>20DI0150- Construction of Trash Trap along Biñan River, Brgy. Sto. Tomas, Biñan, Laguna</t>
  </si>
  <si>
    <t>SUPPLY AND DELIVERY OF  VARIOUS MECHANICAL SPARES INTENDED PANAY MINIGRID</t>
  </si>
  <si>
    <t>20KB0176   Construction of Multi-Purpose Building, Brgy. Minsalagan, Don Carlos, Bukidnon</t>
  </si>
  <si>
    <t>SUPPLY AND DELIVERY OF VARIOUS ELECTRICAL SPARE PARTS FOR 300 KW CUMMINS INTENDED FOR GIGANTES DPP</t>
  </si>
  <si>
    <t>20KB0177   Construction of Multi-Purpose Building, Brgy. Poblacion, Kadingilan, Bukidnon</t>
  </si>
  <si>
    <t>20DI0151- Construction of Multi-Purpose Building, Brgy. Macabling, Sta. Rosa City, Laguna</t>
  </si>
  <si>
    <t>20DI0146- Construction of Multi-Purpose Building, Brgy. Pacita I, San Pedro, Laguna</t>
  </si>
  <si>
    <t>20DI0149- Construction of Multi-Purpose Building, San Pedro, Laguna</t>
  </si>
  <si>
    <t>20DI0145- Rehabilitation of Drainage Canal, Juana Complex VI, Brgy. San Francisco, Biñan, Laguna</t>
  </si>
  <si>
    <t>20PL0119 - Improvement of Shoulder Structure and Repair of Cross Drainage along Mt. Province-Boundary-Calanan-Pinukpuk-Abbut Road (Cagaluan-Calanan Section), K0484+550-K0485+590, Tabuk City, Kalinga</t>
  </si>
  <si>
    <t>20DI0148- Construction of Multi-purpose Building (Basketball Court), Juana Complex III, Brgy. San Francisco, Biñan, Laguna</t>
  </si>
  <si>
    <t>20PL0118 - Improvement of Roadside Structures and Shoulder along Mt. Province-Boundary-Calanan-Pinukpuk-Abbut Road (Cagaluan-Calanan Section), K0483+790-K0483+870, Tabuk City, Kalinga</t>
  </si>
  <si>
    <t>Supply and Delivery of Assorted and Common Office Supplies and Devices (Re-bid)</t>
  </si>
  <si>
    <t>Concrete Pav. Construction Cambigong &amp; Canorong Brgy Road</t>
  </si>
  <si>
    <t>20KB0174   Construction of Multi-Purpose Building (Kibawe Sports Complex), Brgy. East Kibawe, Kibawe, Bukidnon</t>
  </si>
  <si>
    <t>Concrete Pav. Construction Camburoy Barangay Road</t>
  </si>
  <si>
    <t>Purchase of Clinical Equipment for the use of Lambunao MHO-Laboratory, Lambunao, Iloilo</t>
  </si>
  <si>
    <t>20DI0155- Construction of Multi-Purpose Building (A), Sta. Rosa City, Laguna</t>
  </si>
  <si>
    <t>Procurement of communication Equipment</t>
  </si>
  <si>
    <t>Rehab/Improvement of Various Barangay Road(San Roque-Catigahan-Hinagbuan)</t>
  </si>
  <si>
    <t>20DI0147- Construction of Multi-Purpose Building, Brgy. Aplaya, Sta. Rosa City, Laguna</t>
  </si>
  <si>
    <t>Concrete Pav. Construction Suba Cambigong Barangay Road</t>
  </si>
  <si>
    <t>20PL0120 - Repair of Cross Drainage Inlet and Canal Lining along Mt. Province-Boundary-Calanan-Pinukpuk-Abbut Road (Cagaluan-Calanan Section), K0485+710-K0485+780, Tabuk City, Kalinga</t>
  </si>
  <si>
    <t>SUPPLY &amp; DELIVERY OF VARIOUS MECHANICAL SPARE PARTS FOR 150KW CUMMINS.  MODEL 6CT, 6CTA 8.3; SERIAL NO.: 21283036 INTENDED FOR MARIPIPI DPP</t>
  </si>
  <si>
    <t>SUPPLY &amp; DELIVERY OF VARIOUS MECHANICAL SPARE PARTS FOR 315KW FG WILSON PERKINS, MODEL 2506A-E15TAG3; SERIAL NO.: MGDF7150U10595A INTENDED FOR MARIPIPI DPPD</t>
  </si>
  <si>
    <t>PROCUREMENT OF DATABASE SERVER</t>
  </si>
  <si>
    <t>20DI0159- Construction of Multi-purpose Building (C), Sta. Rosa City, Laguna</t>
  </si>
  <si>
    <t>PROCUREMENT OF NFA - REGION 1 2020 PESTICIDES REQUIREMENT (LEFT-OUT LOTS) (REBIDDING)</t>
  </si>
  <si>
    <t>PR No. 2020-02-0277-MAIN-Supply and Delivery of Steel Filing Cabinets for the different offices</t>
  </si>
  <si>
    <t>SUPPLY &amp; DELIVERY OF VARIOUS MECHANICAL SPARE PARTS FOR 100KW CUMMINS.  MODEL 6BTA59G2; SERIAL NO.: 78333492 INTENDED FOR LIMASAWA DPP</t>
  </si>
  <si>
    <t>20DI0158- Construction of Multi-Purpose Building (Laboratory Building) JZGM School of Arts and Trade, Brgy. San Antonio, Biñan, Laguna</t>
  </si>
  <si>
    <t>20DI0156- Construction of Multi-purpose Building (B), Sta. Rosa City, Laguna</t>
  </si>
  <si>
    <t>PR No. 2020-06-0561-MAIN-Supply and Delivery of Inks and Toners for Existing Printers of the different BISU Offices</t>
  </si>
  <si>
    <t>Procurement of One (1) Unit Brand New Fully Equipped Van Rescue Ambulance</t>
  </si>
  <si>
    <t>INVITATION TO BID FOR THE Procurement of Energy Various ICT Equipment and Corel Draw Graphics Software under the DOE Locally Funded Philippine Conventional Energy Contracting Program</t>
  </si>
  <si>
    <t>SUPPLY &amp; DELIVERY OF VARIOUS MECHANICAL SPARE PARTS FOR 163KW PERKINS, MODEL NO.: 2006-TGI, SERIAL NO.: 8B27396U86337U INTENDED FOR SAN ANTONIO DPP</t>
  </si>
  <si>
    <t>20CF0130 Repair/Maintenance of Public Buildings</t>
  </si>
  <si>
    <t>Procurement of Audio Visual Production Set-up Bundle</t>
  </si>
  <si>
    <t>INVITATION TO BID FOR THE Procurement Of Energy Various ICT Equipment under the DOE CY2020 ISSP</t>
  </si>
  <si>
    <t>Supply, Delivery and Commissioning of Submersible Pumps and Motors, Motor Controller (VFD) and Accessories for PS No. 7</t>
  </si>
  <si>
    <t>SUPPLY AND DELIVERY OF DEVICES AND EQUIPMENTS FOR MUNICIPAL BIRTHING HOME, ALEOSAN, COTABATO</t>
  </si>
  <si>
    <t>ESTABLISHMENT OF ECO-TOURISM FACILITIES (IMPROVEMENT OF MP BUILDING)</t>
  </si>
  <si>
    <t>20DI0157- Construction of Multi-purpose Building, Brgy. Tagapo, Sta. Rosa City, Laguna</t>
  </si>
  <si>
    <t>REHABILITATION/IMPROVEMENT OF LEVEL II POTABLE WATER SYSTEM</t>
  </si>
  <si>
    <t>(KMH) 2ND INVITATION TO BID FOR THE SUPPLY AND DELIVERY OF HOSPITAL EQUIPMENT</t>
  </si>
  <si>
    <t>CONSTRUCTION OF FMR LOCATED AT SAN JUAN, AGOO, LA UNION</t>
  </si>
  <si>
    <t>PR No. 2020-02-0182-MAIN-Supply and Delivery of Stenograph Machine for Stenograph Laboratory of CBAS</t>
  </si>
  <si>
    <t>OPENING OF FMR LOCATED AT SAN JOSE NORTE, AGOO, LA UNION</t>
  </si>
  <si>
    <t>HO-IST20-009 - Subscription of Messaging and Collaboration Services</t>
  </si>
  <si>
    <t>SUPPLY AND DELIVERY OF IT EQUIPMENT: LARGE FORMAT SCANNER</t>
  </si>
  <si>
    <t>Supply and Delivery of Pick-up Truck</t>
  </si>
  <si>
    <t>Road Opening of Baribi-Pasmacanan Road (Phase-I)</t>
  </si>
  <si>
    <t>20OH0152-Local Program - Local   Infrastructure  Program - Buildings  and  other  Structures - Multi-Purpose/Facilities-Construction/Rehabilitation of Various Multi-purpose Building, Baseco Port Area,</t>
  </si>
  <si>
    <t>Procurement of ICT Equipment for the Relocation of the Servers to the New Server Room (Rebid) - B-G-2020-085</t>
  </si>
  <si>
    <t>Upgrading of BiPSU Electrical System Main Campus and Biliran Campus</t>
  </si>
  <si>
    <t>20CF0002-Geotechnical Survey/Soil Exploration of Fourteen (14) Construction of Flood Mitigation Structure and Three (3) Widening of Bridge</t>
  </si>
  <si>
    <t>Procurement of Laboratory Supplies for use at the Laboratory Section of GOTMH, Camiling, Tarlac (Rebid) - B-G-2020-086</t>
  </si>
  <si>
    <t>Procurement of Various Surveying, Printing and Geotagging Equipment for PRDP Project Preparation (Rebid) - B-G-2020-084</t>
  </si>
  <si>
    <t>Engagement of Consulting Services for PCC Market Study on Philippine Construction Industry</t>
  </si>
  <si>
    <t>20GKA0005 / 2020-06-0136  Supply and delivery of Office supplies not available in PS DBM for the 2nd Quarter of CY 2020 DPWH Bukidnon 1st DEO, Malaybalay City</t>
  </si>
  <si>
    <t>Supply, Delivery and Commissioning of Submersible Pumps and Motors with Accessories for PS No. 4, PS N0. 9 and PS No. 9A</t>
  </si>
  <si>
    <t>Supply of Fuel for the Repair and Maintenance of Dueg, San Clemente Labney, Mayantoc Provincial Road - B-G-2020-087</t>
  </si>
  <si>
    <t>Supply, Delivery and Commissioning of Submersible Pumps and Motors, Motor Controller (VFD) and Accessories for PS No. 8</t>
  </si>
  <si>
    <t>HFEP ITB 2020-001 Equipment</t>
  </si>
  <si>
    <t>INVITATION TO BID: PROCUREMENT (SUPPLY AND DELIVERY) OF BRAND NEW MOTOR VEHICLES</t>
  </si>
  <si>
    <t>Procurement of medical Supplies</t>
  </si>
  <si>
    <t>Supply of Fuel for the Repair and Maintenance of Mababanaba, San Jose-Sta. Ines West, Sta. Ignacia Provincial Road - B-G-2020-088</t>
  </si>
  <si>
    <t>PRE-BID CONFERENCE 23/June/2020 - Procurement of Goods: Supply and Installation of Panoramic/Scenic ELEVATOR for the use of CMO (Const'n &amp; Maint. of City Hall Bldg. of Tagum) (PR#100-20-06-0032)</t>
  </si>
  <si>
    <t>Consulting Services for Cabacanan Small Reservoir Irrigation Project-Detailed Engineering</t>
  </si>
  <si>
    <t>Procurement of Drugs and Medicines for use at the Pharmacy Section of the IPHO-TPH (Rebid) - B-G-2020-083</t>
  </si>
  <si>
    <t>PROCUREMENT OF VARIOUS MEDICAL EQUIPMENT (DIGITAL MASS CHEST RADIOGRAPHY, NAVIGATIONAL BRONCHOSCOPE, ELECTROSURGICAL MACHINE WITH ADVANCED VESSEL SEALING MODULE, CARDIOPULMONARY EXERCISE TEST MACHINE,</t>
  </si>
  <si>
    <t>Hiring of 2 Agency Security Guards</t>
  </si>
  <si>
    <t>Procurement of Siren and Installation for early warning system - MDRRMO</t>
  </si>
  <si>
    <t>Procurement of Meals and Snacks for meetings, visitors and other activity - MO</t>
  </si>
  <si>
    <t>Procurement of Hygiene Kits with Pouch Bag for use during the implementation of Kits for Kids 7th Wave - B-G-2020-093</t>
  </si>
  <si>
    <t>Improvement and Installation of Slaughter House Facility – MEO 2nd Bid</t>
  </si>
  <si>
    <t>Procurement of Reading Materials for use during the implementation of Library on Wheels - B-G-2020-092</t>
  </si>
  <si>
    <t>20GFO0015 - Supply and Delivery of Materials for Work Cat. 10: Activity 122 - Cracks and Joint of Concrete Pavement along National Roads within the 3rd District of Albay</t>
  </si>
  <si>
    <t>20GFO0014 - Purchase of One (1) Set - Portable Weigh-in-Motion (WIM) Axle Weigher, for Use in Axle Load Survey Program of DPWH Albay 3rd DEO, Paulog, Ligao City</t>
  </si>
  <si>
    <t>Rehabilitation of Brgy. Madanding FMR</t>
  </si>
  <si>
    <t>Implementation of Essential Health Care Program - B-G-2020-094</t>
  </si>
  <si>
    <t>Procurement of Laboratory Supplies for use of the IPHO-TPH (Rebid) - B-G-2020-082</t>
  </si>
  <si>
    <t>Concreting of Soro-Soro-Hanginan Barangay Road, Maasin City, Southern Leyte</t>
  </si>
  <si>
    <t>Reblocking of St. Bernard Municipal Road, Barangay Himatagon, St. Bernard, Southern Leyte</t>
  </si>
  <si>
    <t>Completion/Concreting of Barangay Road, Brgy. Lumbog, Hinunangan, Southern Leyte</t>
  </si>
  <si>
    <t>Garbage hauling services for August 01, 2020 - December 31, 2020</t>
  </si>
  <si>
    <t>Completion of Cabul-anonan Seawall, Barangay Cabul-anonan, Malitbog, Southern Leyte</t>
  </si>
  <si>
    <t>Concreting of Pandan Road, Barangay Pandan, Sogod, Southern Leyte</t>
  </si>
  <si>
    <t>Procurement of Fuel, Oil and Lubricants for Construction of Brash Dam - MEO</t>
  </si>
  <si>
    <t>Rehabilitation of Spring Development Project, Barangay Mahayag, St. Bernard, Southern Leyte</t>
  </si>
  <si>
    <t>Rehabilitation of Barangay Pandan Multi-Purpose Building, Barangay Pandan, Liloan, Southern Leyte</t>
  </si>
  <si>
    <t>CONSTRUCTION OF EVACUATION CENTER PHASE 4</t>
  </si>
  <si>
    <t>Fabrication &amp; Installation of PAIASO Shelves, Capitol Site, Asuncion, Maasin City, Southern Leyte</t>
  </si>
  <si>
    <t>Construction of San Ramon CHB Canal, Barangay San Ramon, Bontoc, Southern Leyte</t>
  </si>
  <si>
    <t>Construction of Ilihan Concrete Pavement, Barangay Ilihan, Macrohon, Southern Leyte</t>
  </si>
  <si>
    <t>INVITATION TO BID FOR THE PROCUREMENT OF BOOKS FOR THE UNIVERSITY LIBRARY OF THE LAGUNA STATE POLYTECHNIC UNIVERSITY MAIN CAMPUS</t>
  </si>
  <si>
    <t>Procurement of Medical/Hospital Equipment  - ADH</t>
  </si>
  <si>
    <t>Procurement of Various Office Supplies  - SOYMPH</t>
  </si>
  <si>
    <t>Procurement of Kitchen Equipment - SOYMPH</t>
  </si>
  <si>
    <t>Procurement of Vehicle Spare Parts - SDH</t>
  </si>
  <si>
    <t>Procurement of Vehicle Spare Parts - PEO ENGINEERING</t>
  </si>
  <si>
    <t>Concreting of Dagsa Barangay Road, Barangay Dagsa, Sogod, Southern Leyte</t>
  </si>
  <si>
    <t>Procurement of Electrical Supplies  - PENRMO</t>
  </si>
  <si>
    <t>Procurement of Engine Oil, Oil Filter &amp; Labor - PGO</t>
  </si>
  <si>
    <t>Procurement of Vehicle Spare Parts &amp; Labor - PDRRMO</t>
  </si>
  <si>
    <t>Procurement of Catering Services &amp; Venue - Lot 2 - Venue - PDRRMO</t>
  </si>
  <si>
    <t>Procurement of Various IT Equipment - ADMIN &amp; PSAO</t>
  </si>
  <si>
    <t>Procurement of Vehicle Spare Parts &amp; Labor - PGO</t>
  </si>
  <si>
    <t>INVITATION TO BID FOR THE PROVISION OF AGRICULTURAL SUPPLIES FOR THE CONDUCT OF URBAN AGRICULTURE, GLAMOURIZING YOUTH IN AGRICULTURE, ESTABLISHMENT OF COMMUNITY GARDENS IN EIGHT SITES/BARANGAYS, AND M</t>
  </si>
  <si>
    <t>Construction of Canopy of Covered Court, Barangay Cantutang, Padre Burgos, Southern Leyte</t>
  </si>
  <si>
    <t>Construction of Magaupas River Control, Barangay Magaupas, Liloan, Southern Leyte</t>
  </si>
  <si>
    <t>SUPPLY &amp; DELIVERY OF VEGETABLE SEEDS FOR THE ESTABLISHMENT OF HOPE GARDENS</t>
  </si>
  <si>
    <t>PROCUREMENT OF FIFTY- FIVE (55) PIECES SEALED BEAM PAR 56 FOR HEADLIGHT ON DIESEL ELECTRIC LOCOMOTIVE</t>
  </si>
  <si>
    <t>Concrete Pavement of Access Road to the Existing Waste Disposal Area</t>
  </si>
  <si>
    <t>Procurement of IT and Office Equipment - Lot 1 - IT Equipment - PAIASSO</t>
  </si>
  <si>
    <t>Procurement of Various Housekeeping Supplies - PLSO</t>
  </si>
  <si>
    <t>Construction of Multi-Purpose Hall, Barangay San Antonio, Tomas Oppus, Southern Leyte, Southern Leyte</t>
  </si>
  <si>
    <t>Procurement of Various Housekeeping Supplies - OVG</t>
  </si>
  <si>
    <t>PROCUREMENT OF TWENTY (20) PIECES INVERTER – TYPE SV008iG5A-2</t>
  </si>
  <si>
    <t>Procurement of Office Supplies - PGO</t>
  </si>
  <si>
    <t>Procurement of Greenhouse-Materials &amp; Installation  with complete Accessories &amp; Irrigation Facilities - PAGSO</t>
  </si>
  <si>
    <t>LAND EXPANSION OF MOBO PORT @ BRGY. PINAMARBUHAN, MOBO, MASBATE</t>
  </si>
  <si>
    <t>Procurement of Vehicle Spare Parts - PENRMO</t>
  </si>
  <si>
    <t>PROCUREMENT OF VEHICLE (SB)</t>
  </si>
  <si>
    <t>Procurement of Various IT Equipment and Supplies - OVG</t>
  </si>
  <si>
    <t>Procurement of Catering Services &amp; Venue - Lot 1 - Catering services - PDRRMO</t>
  </si>
  <si>
    <t>Procurement of Vehicle Spare Parts - OSP</t>
  </si>
  <si>
    <t>Procurement of Housekeeping Supplies - PDH</t>
  </si>
  <si>
    <t>Procurement of Catering Services - PPO</t>
  </si>
  <si>
    <t>INVITATION TO BID FOR PURCHASE OF COMMON OFFICE SUPPLIES FOR F.Y. 2020</t>
  </si>
  <si>
    <t>ITB-140 Installation of Fire Sprinkler, Fire Detection and Alarm System,  Nasipit District Hospital, Nasipit, Agusan del Norte (REBID)</t>
  </si>
  <si>
    <t>20CSN012; CONSULTING SERVICES FOR THE GEOTECHNICAL AND GEOLOGICAL SURVEY/ INVESTIGATIONS FOR THE CONSTRUCTION OF STA. JOSEFA BRIDGE (PARALLEL) ALONG NRJ CUEVAS- SAMPAGUITA ROAD, AGUSAN DEL SUR</t>
  </si>
  <si>
    <t>Procurement of Lynestrenol</t>
  </si>
  <si>
    <t>REHABILITATION OF EVACUATION CENTER</t>
  </si>
  <si>
    <t>Procurement of 1 Unit Chest Type Freezer - ADH</t>
  </si>
  <si>
    <t>Construction of Fence for Tenement Housing Project, Barangay Marketview, Lucena City</t>
  </si>
  <si>
    <t>Procurement of Vehicle Spare Parts &amp; Labor - OVG/OSP</t>
  </si>
  <si>
    <t>DENR-CENRO Bangui, 3 Year Comprehensive Site Development at Brgy. Balaoi, Pagudpud, Ilocos Norte</t>
  </si>
  <si>
    <t>Construction Of Multi-Purpose Building, Brgy. Ditaelen, Maria Aurora, Aurora</t>
  </si>
  <si>
    <t>PROCUREMENT OF BACKHOE FOR MENRO/SLF OPERATION (Rebid)</t>
  </si>
  <si>
    <t>Supply and Installation of Renewable, Clean Solar Powered Streetlights &amp; Other Related Works Along Lipa-Alaminos Road (80 Watts LED, Integrated Solar Streetlights)</t>
  </si>
  <si>
    <t>INVITATION TO BID FOR PROVISION OF SECURITY SERVICES FOR 2020</t>
  </si>
  <si>
    <t>Procurement of Machinery &amp; Equipment for ESSU Can-Avid use PR#20-06-091</t>
  </si>
  <si>
    <t>Procurement of Various Animal Feeds-06-026(AA)ProVet</t>
  </si>
  <si>
    <t>ITB No. (INF) 2020-06-091REHABILITATION/CONSTRUCTION OF BRGY. HALL/MULTI-PURPOSE BUILDING, Brgy. Mara-mara, Sulat, Eastern Samar</t>
  </si>
  <si>
    <t>ITB No. (INF) 2020-06-090 CONSTRUCTION OF MULTI-PURPOSE BUILDING (PHASE II), Brgy. Abucay, Sulat, Eastern Samar</t>
  </si>
  <si>
    <t>ITB No. (INF) 2020-06-092 CONSTRUCTION OF TRIPLE BARREL BOX CULVERT (DRAINAGE SYSTEM), Brgy. Siha, Borongan City, Eastern Samar</t>
  </si>
  <si>
    <t>Proposed Box Culvert at Public Plaza, Brgy. III-Poblacion, Hinigaran, Negros Occidental.</t>
  </si>
  <si>
    <t>Construction Of Multi-Purpose Building , Brgy. Dikildit, Maria Aurora, Aurora</t>
  </si>
  <si>
    <t>Procurement of Various Office Supplies - PGO</t>
  </si>
  <si>
    <t>SUPPLY &amp; DELIVERY OF CONSTRUCTION MATERIALS FOR THE CONSTRUCTION OF SLAUGHTER HOUSE BLDG. @ BRGY. PILINTANGAN, WAO, LANAO DEL SUR</t>
  </si>
  <si>
    <t>Construction of Niches, Lucena Public Cemetery, Barangay Marketview, Lucena City</t>
  </si>
  <si>
    <t>Procurement of Logbook - PDH</t>
  </si>
  <si>
    <t>CONSTRUCTION OF IGANG BRIDGE ALONG CASIGURAN – DILASAG PROVINCIAL ROAD, Casiguran-Dilasag, Auraora</t>
  </si>
  <si>
    <t>PURCHASE OF MATERIALS FOR THE CONSTRUCTION OF CONCRETE PAVEMENT AROUND BARANGAY SITE</t>
  </si>
  <si>
    <t>COMPLETION OF ARCHITECTURE BUILDING, PSU MAIN CAMPUS</t>
  </si>
  <si>
    <t>CONSTRUCTION OF BARANGAY STAGE (PAHASE I), BARANGAY AMOT, BURDEOS, QUEZON</t>
  </si>
  <si>
    <t>Construction of Sewer Treatment Plant and Drying Area at Slaughter House, Brgy. Guinhawa North, Tagaytay City</t>
  </si>
  <si>
    <t>Construction of Slope Protection for Tenement Housing Project, Barangay Marketview, Lucena City</t>
  </si>
  <si>
    <t>Construction supplies</t>
  </si>
  <si>
    <t>“Acquisition of One (1) Lot Health Care Services through Health Maintenance Organization"</t>
  </si>
  <si>
    <t>Procurement of IT and Office Equipment - Lot 2 - Office Equipment - PAIASO</t>
  </si>
  <si>
    <t>“Acquisition of One (1) Lot Supply and Delivery of Various Security Equipment”</t>
  </si>
  <si>
    <t>SUPPLY &amp; DELIVERY OF CONSTRUCTION MATERIALS FOR THE COMPLETION OF SECOND FLOOR OF WAO MUNICIPAL HALL, MUNICIPAL SITE, BRGY. WESTERN, WAO, LANAO DEL SUR</t>
  </si>
  <si>
    <t>“Acquisition of One (1) Unit Supply, Delivery and Installation of Gas Chromatography-Mass Spectrometry (GCMS)”</t>
  </si>
  <si>
    <t>20ID0073 - Concreting of Poblacion District 9 to Brgy. Gamay FMR, Brgy. Gamay,Burauen, Leyte</t>
  </si>
  <si>
    <t>Rehabilitation of Concrete Pavement</t>
  </si>
  <si>
    <t>ITB No. (INF) 2020-06-089 CONCRETING OF CAROLINA – HINOLASO PROVINCIAL ROAD, Can-avid &amp; Dolores, Eastern Samar</t>
  </si>
  <si>
    <t>Procurement of Office Supplies for use of different offices of the Provincial Government of Tarlac - B-G-2020-091</t>
  </si>
  <si>
    <t>IMPROVEMENT AND UPGRADING OF DINGALAN UMIRAY- PROVINCIAL ROAD, DINGALAN, AURORA</t>
  </si>
  <si>
    <t>Procurement of Sevoflurane Inhalation for use at the Operating Room of the IPHO-TPH - B-G-2020-090</t>
  </si>
  <si>
    <t>REHABILITATION OF BARANGAY ROAD</t>
  </si>
  <si>
    <t>Procurement of Automated Immunoassay System for use at the Bloodbank Section of the IPHO-TPH - B-G-2020-089</t>
  </si>
  <si>
    <t>(PA) INVITATION TO BID FOR THE SUPPLY &amp; DELIVERY OF DESKTOP COMPUTERS, LAPTOP, NETWORK SWITCH, ETC. FOR THE  PROVINCIAL ADMINISTRATOR’S OFFICE--401,500.00</t>
  </si>
  <si>
    <t>Filling at ESSU Mini Park at ESSU Main Campus</t>
  </si>
  <si>
    <t>PROCUREMENT OF FOOD PACKS FOR DISTRIBUTION TO HOUSEHOLDS IN THE MUNICIPALITY SEVERELY AFFECTED BY THE ONSLAUGHT OF TYPHOON TISOY IN DECEMBER 2019</t>
  </si>
  <si>
    <t>Supply, Delivery and Commissioning of Generator Set for PS No. 7 and No. 8</t>
  </si>
  <si>
    <t>Supply and Delivery of ICT Equipment for 2020</t>
  </si>
  <si>
    <t>PROCUREMENT OF VARIOUS FRUITS SEEDLINGS FOR THE SUSTAINABLE LAND RESOURCE MANAGEMENT APPROACH (SLRMA) FOR AGRI-ENVIRONMENTAL DEVELOPMENT OF UPLANDS AND HILLY LANDS AT SITIO NANGKA, PUNTIAN, SUMILAO, B</t>
  </si>
  <si>
    <t>Supply, Delivery and Implementation of HIMS of Tarlac Provincial Hospital (Rebid) - B-G-2020-081</t>
  </si>
  <si>
    <t>HO-IST20-003 - Supply, Delivery, Installation, Configuration, Testing and Commissioning of CPU Hyper-Converged Integrated System (HCIS) Servers</t>
  </si>
  <si>
    <t>Rehabilitation of Old Municipal Cemetery (Phase II), San Antonio, Agoo, La Union</t>
  </si>
  <si>
    <t>Construction of Overhead Hoist</t>
  </si>
  <si>
    <t>CONSTRUCTION OF MULTI-PURPOSE BUILDING, BRGY. SUGUIT ,MARIA AURORA, AURORA</t>
  </si>
  <si>
    <t>CY 2020 Basic Educational Facilities Fund (BEFF) - Construction of 4 Storey, 8 Classrooms, San Vicente Elementary School, Camp 8, San Vicente, Baguio City</t>
  </si>
  <si>
    <t>INVITATION TO BID FOR THE PROCUREMENT OF DOE INTERNET SUBSCRIPTION (POCKET-WIFI) UNDER THE DOE REGULAR FUND</t>
  </si>
  <si>
    <t>PROCUREMENT AND INSTALLATION OF AIR-CONDITIONING UNITS FOR THE OFFICES &amp; CLASSROOMS OF THE NFSTI</t>
  </si>
  <si>
    <t>19GL00111; P.R. No. 2020-06-061 DATED 06/04/2020: PROCUREMENT OF VARIOUS TIRES, FOR USE IN THE CORRECTIVE &amp; PREVENTIVE MAINTENANCE OF VARIOUS SERVICE VEHICLES ASSIGNED AT DPWH R.O. XI, UNDER THE EQUIP</t>
  </si>
  <si>
    <t>Construction of Access Road from P-2 to Brgy Road</t>
  </si>
  <si>
    <t>Procurement of Male Condom</t>
  </si>
  <si>
    <t>20DI0154- Construction of Multi-purpose Building, Brgy. Sinalhan, Sta. Rosa City, Laguna</t>
  </si>
  <si>
    <t>20B00052 (re-ad): Construction of Evacuation Center, Brgy. Lublub, Alfonso Castañeda, Nueva Vizcaya</t>
  </si>
  <si>
    <t>20KB0169   Construction of Municipal Jail, Municipal Compound, Brgy. Libertad, Quezon, Bukidnon   :	Brgy. Libertad, Quezon, Bukidnon</t>
  </si>
  <si>
    <t>SUPPLY AND DELIVERY OF CONSTRUCTION SUPPLIES FOR THE COMPLETION OF PRESIDENT'S HOUSING</t>
  </si>
  <si>
    <t>PROCUREMENT OF VARIOUS VACCINES COBAC IB NO. 003 (G) S. 2020</t>
  </si>
  <si>
    <t>Barangay Road Concreting at Barangay LIbo, Bahay, Guimbangco-an, Dugo-an, Cagay, Banlot, Lamacan-Magcagong, Tubod, Mangyan, Sayao, Cantularoy, Bagacay and Bato, Sibonga, Cebu</t>
  </si>
  <si>
    <t>Procurement of Materials for the support to Brigada Eskwela 2020</t>
  </si>
  <si>
    <t>Procurement and Deployment of Artificial Reef (Phase VI)</t>
  </si>
  <si>
    <t>20GCF0001 Procurement of Fuel/Fuel Additives &amp; Anti-Corrosive for use in Desilting of Digmala River, Bongabon, Nueva Ecija and for use in Transporting Medical Workers in Relation with COVID-19 and Typ</t>
  </si>
  <si>
    <t>SUPPLY AND DELIVERY OF ONE (1) UNIT PICK-UP AND ONE (1) UNIT PASSENGER VAN</t>
  </si>
  <si>
    <t>PROCUREMENT OF CONSTRUCTION MATERIALS AND SUPPLIES USE FOR CONSTRUCTION OF PERIMETER FENCE – WATER SOURCE @ BARANGAY CALICAN</t>
  </si>
  <si>
    <t>Completion of Covered Court</t>
  </si>
  <si>
    <t>Supply Labor and Materials for the Concreting of Roads at Different Sitios of the Municipality of Tabuelan, Cebu</t>
  </si>
  <si>
    <t>1 LOT IT SUPPLIES FOR CY 2020</t>
  </si>
  <si>
    <t>20H00063 - Construction/Repair/Rehabilitation/Improvement of Various Infrastructure including Local Projects-Structural Improvement of Public Buildings and Construction of Evacuation Centers-Construct</t>
  </si>
  <si>
    <t>Supply and delivery of Plumbing Materials to be used in the Improvement of Waterworks System at Nagcarlan, Laguna</t>
  </si>
  <si>
    <t>Supply and Delivery of One (1) Lot Various Materials for Repair and Maintenance of Artesian Wells, Reservoir, Pumping Stations and Conduits</t>
  </si>
  <si>
    <t>PUrchase of Materials for the Concreting of Municipal Streets (DELMES Access Road and New Govt Center), Pob. Ilawod, Lambunao, Iloilo</t>
  </si>
  <si>
    <t>Supply and Delivery of Materials and Fittings  for Service Connections and Maintenance of GMAWD’s Water Supply System</t>
  </si>
  <si>
    <t>Procurement of Various Medicines and Vitamins - PHSO</t>
  </si>
  <si>
    <t>One (1) Lot Information Technology</t>
  </si>
  <si>
    <t>Hospital/Medical Equipment for the use of Naujan Community Hospital</t>
  </si>
  <si>
    <t>ITB 20-0064 - Supply and Delivery of 71 units Television, LED, Smart TV.</t>
  </si>
  <si>
    <t>Payment for Janitorial Service for the period of July 2020 to December 2020 at San Pablo City General Hospital, San Pablo City.</t>
  </si>
  <si>
    <t>Construction Of Senior Citizen Hall (Phase II), Brgy Dikildit , Maria Aurora, Aurora</t>
  </si>
  <si>
    <t>Furniture to be used/installed in the executive building</t>
  </si>
  <si>
    <t>Concreting of Pathway with Line Canal - ITB 039-2020 GQ</t>
  </si>
  <si>
    <t>PROCUREMENT OF EQUIPMENT FOR COE PHYSICS &amp; CHEMISTRY LABORATORY</t>
  </si>
  <si>
    <t>ITB 20-0063 - Supply and Delivery of 5 drums Hydraulic Oil, AW 68 &amp; etc.</t>
  </si>
  <si>
    <t>Payment for Security Service for the period of July 2020 to December 2020 at San Pablo City General Hospital, San Pablo City.</t>
  </si>
  <si>
    <t>PROCUREMENT OF DIESOLINE (FOR LGU USE)</t>
  </si>
  <si>
    <t>Books, Maps and Other Publications for Distribution to all Barangays of Oriental Mindoro</t>
  </si>
  <si>
    <t>ITB 20-0065 - Supply and Delivery of 1 unit X-Ray Machine.</t>
  </si>
  <si>
    <t>PROCUREMENT OF SUPPLIES/MATERIALS FOR THE IMPROVEMENT OF ELIAS K. BULUT MEMORIAL GYMNASIUM (ELECTRICAL WIRING, LIGHTING, MAIN SERVICE)</t>
  </si>
  <si>
    <t>Construction of Multipurpose Bldg. (Mini-Gym)</t>
  </si>
  <si>
    <t>Construction Materials and Supplies for Provision of Cement and Painting Materials to Various Schools Provincewide</t>
  </si>
  <si>
    <t>CONSTRUCTION OF MULTI-PURPOSE HALL AT BRGY STA. CRUZ</t>
  </si>
  <si>
    <t>CONCRETING OF A. BONIFACIO ST. JCT QUIRINO ST. AND ROXAS ST.</t>
  </si>
  <si>
    <t>Procurement of Survey Equipment - PEO</t>
  </si>
  <si>
    <t>Installation of Street Lights along E-Poblacion - Manaba, Garcia-Hernandez, Bohol</t>
  </si>
  <si>
    <t>CATTLE FATTENING PROJECT</t>
  </si>
  <si>
    <t>Sporting Goods for distribution to Outstanding pupils and students in public and private schools in Oriental Mindoro</t>
  </si>
  <si>
    <t>Construction Of Multi-Purpose Building, Brgy. Decoliat, Maria Aurora, Aurora</t>
  </si>
  <si>
    <t>Procurement of Various Housekeeping Supplies - ADMIN</t>
  </si>
  <si>
    <t>Acquisition of 6 units Motorcycle</t>
  </si>
  <si>
    <t>FURNISHING AND DELIVERY OF MEDICAL SUPPLIES FOR MHO</t>
  </si>
  <si>
    <t>Procurement of Various Catering Services - PGO</t>
  </si>
  <si>
    <t>Purchase of Payloader - LGU-Maasin, Iloilo</t>
  </si>
  <si>
    <t>20BE0089: CLUSTER: (1) REPAIR/MAINTENANCE OF ALINGUIGAN 2ND FLOOD CONTROL (2) REPAIR/MAINTENANCE OF UGAD FLOOD CONTROL, ALINGUIGAN 2ND, CITY OF ILAGAN, ISABELA  &amp; CABAGAN (UGAD, SAN PABLO), ISABELA</t>
  </si>
  <si>
    <t>Hospital supplies and equipment</t>
  </si>
  <si>
    <t>CONCRETING OF BARANGAY STREET, Brgy. 08, Can-avid Eastern Samar</t>
  </si>
  <si>
    <t>CONCRETING OF ROAD,  SO. PULO BRGY. ZARAH, SAN LUIS, AURORA</t>
  </si>
  <si>
    <t>Procurement of Food Stuff PR # 2020-06-04-178</t>
  </si>
  <si>
    <t>Procurement of Various Equipment and Furniture and Fixtures for Instructional use of BSHM - Talisay Campus</t>
  </si>
  <si>
    <t>Procurement of Brand New Backhoe</t>
  </si>
  <si>
    <t>CONSTRUCTION OF SIKLING FOOTBRIDGE BARANGAY LATANG</t>
  </si>
  <si>
    <t>Concreting of Gattac Road</t>
  </si>
  <si>
    <t>20GA0191-Re-Invitation-Construction of Revetment Wall (Flood Control) in Brgy. Poblacion Tangalan, Aklan Brgy. Poblacion, Tangalan, Aklan</t>
  </si>
  <si>
    <t>20BC0205-Repair/Maintenance of DOJ Building Regional Trial Court Main Building</t>
  </si>
  <si>
    <t xml:space="preserve">20BC0212-Repair/Improvement of carriageway along Manila North road and Claveria-Diabalio-Luzon Cagayan boundary road                                                                                    </t>
  </si>
  <si>
    <t>Procurement of Ten (10) Units Laptop for Online Classes of Brgy San Lorenzo</t>
  </si>
  <si>
    <t>Invitation to Apply for Eligibility and to Bid for IMPROVEMENT OF BGRY. POBLACION LEVEL II WATER SYSTEM, BALENO, MASBATE</t>
  </si>
  <si>
    <t>PROCUREMENT OF HRIS AND PAYROLL SYSTEM</t>
  </si>
  <si>
    <t>CONCRETING OF BURGOS – QUIRINO PROVINCIAL ROAD @ BURGOS, ISABELA</t>
  </si>
  <si>
    <t>20GA0199-Re-Invitation-Concreting of Barangay Road Brgy. Tondog, Tangalan, Aklan</t>
  </si>
  <si>
    <t>20BE0088: REPAIR AND MAINTENANCE OF DRAINAGE STRUCTURES ALONG CALAMAGUI-ILAGAN ROAD  KO398+(-250)-KO399+(-200), KO398+220-KO398+320 (RS),KO399+400-KO399+515(LS), KO399+542.70(LS), KO400+000-KO400+050</t>
  </si>
  <si>
    <t>Supply and Delivery of Outer Tire with Inner Tube and Flap.</t>
  </si>
  <si>
    <t>Procurement of Various IT Supplies  - ADH</t>
  </si>
  <si>
    <t>CONSTRUCTION OF PROPER KALEO DRAINAGE</t>
  </si>
  <si>
    <t>CONSTRUCTION OF FENCE</t>
  </si>
  <si>
    <t>IB-05-0399-20HRND SUPPLY AND DELIVERY OF ESPRESSO MACHINE (HRND)</t>
  </si>
  <si>
    <t>20ID0075	- Repair/ Rehabilitation of Damaged Concrete Pavement along Dulag-Julita-Burauen Road, K0946+000-K0947+500 with exceptions</t>
  </si>
  <si>
    <t>CONCRETING OF ROAD, PUROK I, DITEKI, SAN LUIS, AURORA</t>
  </si>
  <si>
    <t>PROCUREMENT OF TECHNICAL AND SCIENTIFIC EQUIPMENT FOR RESEARCH AND DEVELOPMENT ACTIVITIES</t>
  </si>
  <si>
    <t>Construction of Multipurpose Bldg.-Nanginan</t>
  </si>
  <si>
    <t>PRINTING OF UNIVERSITY YEARBOOK (COCOON 2018)</t>
  </si>
  <si>
    <t>Procurement of ICT Resources for Geospatial Information and System Management Use</t>
  </si>
  <si>
    <t>Procurement of Technical and Scientific Equipment (Lot 1. Water bath/holding tank with thermometer heater stainless steel bracing pan, etc</t>
  </si>
  <si>
    <t>Concreting of Road w/ Line Canal, Brgy. Caragsacan, Dingalan, Aurora</t>
  </si>
  <si>
    <t>Procurement of Window Blinds and Glass Sticker - Lot 1 - Window Blinds - OVG</t>
  </si>
  <si>
    <t>Invitation to Apply for Eligibility and to Bid for INSTALLATION OF LIGHTINGS FOR STORM-SURGE-PREVENTING BREAKWATER AND SEA WALL    (PHASE II)</t>
  </si>
  <si>
    <t>Construction of Multi-Purpose Building and Stage, Brgy. Bangco, Maria Aurora, Aurora</t>
  </si>
  <si>
    <t>REPOSTING  FOR MACHINERY  &amp;  EQUIPMENT OUTLAY FOR THE PURCHASE OF ONE UNIT NURSING SIMULATOR FOR THE USE OF COLLEGE OF HEALTH SCIENCES</t>
  </si>
  <si>
    <t>20GA0054-Construction of Bridge (Local Bridge) from Malandayon to  Lilo-an in Brgy. Malandayon, Malinao, Aklan Brgy. Malandayon, Malinao, Aklan</t>
  </si>
  <si>
    <t>PROPOSED RENOVATION OF CAMPUS PLANNING  DEVELOPMENT AND MAINTENANCE OFFICE UNIVERSITY OF THE PHILIPPINES MANILA</t>
  </si>
  <si>
    <t>Supply and Delivery of Live Animals and feeds</t>
  </si>
  <si>
    <t>One (1) Lot – Operation and Maintenance Services of Air-conditioning System at ITIOD Data Center, BSP Head Office, as per BSP Terms of Reference</t>
  </si>
  <si>
    <t>Invitation to Apply for Eligibility and to Bid for IMPROVEMENT OF VALDEMORO SPORTS COMPLEX: CONSTRUCTION OF MUSIC ROOM</t>
  </si>
  <si>
    <t>20BC0157 re-adv.-Local Infrastructure Program-Local Roads and Bridges-Concreting of Road Brgy. Balatubat, Calayan, Cagayan</t>
  </si>
  <si>
    <t>Purchase of Construction &amp; Other Materials for use in the rehabilitation of former City Engineering Office at Brgy. Ibabang Dupay, Lucena City for the use of City Engineering Office as requested by CM</t>
  </si>
  <si>
    <t>Construction of Mini-Library</t>
  </si>
  <si>
    <t>20GA0203-Construction of Bridge (Local Bridge) in Brgy. Laguinbanua, Ibajay, Aklan  Brgy. Laguinbanua, Ibajay, Aklan</t>
  </si>
  <si>
    <t>Procurement of Technical and Scientific Equipment (Lot 3. Automated rain gauge and Water level monitoring)</t>
  </si>
  <si>
    <t>Construction of Multi-Purpose Building (Phase II), Brgy. Dibut,San Luis, Aurora</t>
  </si>
  <si>
    <t>Lease of Office and IT Equipment</t>
  </si>
  <si>
    <t>PROC. OF VCM&amp;S FOR ROAD REHABILITATION AT KABAISANAN, PUROK PERLAS, BATOBATO, SAN ISIDRO, DAVAO ORIENTAL</t>
  </si>
  <si>
    <t>CONSTRUCTION OF LOCAL ACCESS ROAD</t>
  </si>
  <si>
    <t>Procurement of Technical and Scientific Equipment (Lot 2. Spectrophotometer, Digital sugar refractometer, etc.)</t>
  </si>
  <si>
    <t>REPOSTING  FOR MACHINERY  &amp;  EQUIPMENT OUTLAY FOR THE PURCHASE OF VARIOUS EQUIPMENT FOR THE SCIENCE LABORATORY SKSU-KALAMANSIG CAMPUS</t>
  </si>
  <si>
    <t>IMPROVEMENT OF TAMAC DALIT FARM TO MARKET ROAD</t>
  </si>
  <si>
    <t>PURCHASE OF STOCK PILES</t>
  </si>
  <si>
    <t>CONSTRUCTION OF PACKAGE 1: 20% LDF CY 2020</t>
  </si>
  <si>
    <t>Concreting of Perlita Road</t>
  </si>
  <si>
    <t>Procurement of One (1) Unit Evacuation and Relief Vehicle  (Customized Stake Truck) (Brand New) Local Government Unit, Barugo, Leyte</t>
  </si>
  <si>
    <t>CONSTRUCTION OF WATER SYSTEM @ SITIO SINAMBAG, BARANGAY DAJA DAKU</t>
  </si>
  <si>
    <t>Procurement of Technical and Scientific Equipment (Lot 7. Chest type freezer/chiller, Ice cream machine, etc.)</t>
  </si>
  <si>
    <t>Procurement of Various Catering Services &amp; Training Materials - Lot 2 - Training Materials</t>
  </si>
  <si>
    <t>Procurement of Troclosene Sodium under IB No. 2020-176</t>
  </si>
  <si>
    <t>Consultancy and Training for Comprehensive Land Use Plan (CLUP) and Zoning Ordinance Formulation/Revision</t>
  </si>
  <si>
    <t>Supply and Delivery of One (1) Unit Brand New Rescue Vehicle (Ambulance)</t>
  </si>
  <si>
    <t>CONSTRUCTION AND IMPROVEMENT OF CANAL LINING AT JULUGAN I</t>
  </si>
  <si>
    <t>REPOSTING  FOR MACHINERY  &amp;  EQUIPMENT OUTLAY FOR THE PURCHASE OF VARIOUS EQUIPMENT FOR THE USE OF SCIENCE LABORATORY - SKSU TACURONG CAMPUS</t>
  </si>
  <si>
    <t>REHABILITATION / IMPROVEMENT OF POTABLE WATER SYSTEM - LEVEL II AT CORONON, DAVAO DEL SUR</t>
  </si>
  <si>
    <t>CONCRETING OF ROAD AT CASANUEVA-BIGA (PHASE 4)</t>
  </si>
  <si>
    <t>Procurement of Technical and Scientific Equipment (Lot 5. Dual powered solar dryer)</t>
  </si>
  <si>
    <t>CONSTRUCTION OF MULTI-PURPOSE HALL BRGY CANTONGTONG JIABONG SAMAR</t>
  </si>
  <si>
    <t>CONSTRUCTION OF CORE LOCAL ACCESS ROAD @ KAUSWAGAN ST., BRGY. CROSSING, SAN ISIDRO, LEYTE</t>
  </si>
  <si>
    <t>Procurement of Various Agricultural Supplies - PAGSO</t>
  </si>
  <si>
    <t>Procurement of Various Catering Services &amp; Training Materials - Lot 1 - Catering Services - PAGSO</t>
  </si>
  <si>
    <t>20NA0070 Concreting of Brgy. Sangay FMR, Buenavista, Agusan del Norte</t>
  </si>
  <si>
    <t>Procurement of Technical and Scientific Equipment (Lot 4. Small smoke house)</t>
  </si>
  <si>
    <t>REHABILITATION OF DAM, BARANGAY CALABUGAO</t>
  </si>
  <si>
    <t>ITB-B13-2020</t>
  </si>
  <si>
    <t>Purchase of Laboratory Equipment  and Reagents for the Official Use of MHO</t>
  </si>
  <si>
    <t>CONCRETING OF ACCESS ROAD @ SAN ROQUE ST., POBLACION, INFANTA, PANGASINAN</t>
  </si>
  <si>
    <t>20GA0221-Concreting of Sitio Liong to Sitio Tacube, Brgy. Calimbajan FMR Brgy. Calimbajan, Makato, Aklan</t>
  </si>
  <si>
    <t>Procurement of Technical and Scientific Equipment (Lot 2. Science Laboratory Equipment)</t>
  </si>
  <si>
    <t>CONSTRUCTION OF SLOPE PROTECTION PUROK 1,2,3,4 &amp; 6, BARANGAY SANTIAGO NORTE</t>
  </si>
  <si>
    <t>Procurement of Technical and Scientific Equipment (Lot 6. Water retort chamber with accessories)</t>
  </si>
  <si>
    <t>Construction of Bridge ( Phase I &amp; Phase II) at Antipolo Old, Nabua, Camarines Sur</t>
  </si>
  <si>
    <t>Design and Build of 3-Storey Solar Powered Gender-Neutral Student Dormitory Building</t>
  </si>
  <si>
    <t>CONSTRUCTION OF FARM TO MARKET ROAD, PUROK 3, BARANGAY PACPACO, CITY OF SAN FERNANDO</t>
  </si>
  <si>
    <t>Procurement of Catering Services, Venue/Rental, Training Supplies &amp; Materials and Agricultural Supplies - Lot 2 - Venue/Rental</t>
  </si>
  <si>
    <t>PRE-BID CONFERENCE 23/June/2020 - Procurement of Goods: Consolidated Office Supplies 2020 (2nd Quarter) (PR#100-20-05-0095, 100-20-05-0110, 100-20-05-0111, 100-20-05-0182)</t>
  </si>
  <si>
    <t>Procurement of Catering Services, Venue/Rental, Training Supplies &amp; Materials and Agricultural Supplies - Lot 3 - Training Supplies - PAGSO</t>
  </si>
  <si>
    <t>SUPPLY, DELIVERY AND COMMISSIONING OF OPHTHALMIC ULTRASOUND A/B SCAN WITH UBM</t>
  </si>
  <si>
    <t>1 Lot Fit Out Works of 2nd Floor Sun Plaza Building</t>
  </si>
  <si>
    <t>Design and Build for the Construction of the Proposed Sewerage Treatment Plant of the Municipality of Coron.</t>
  </si>
  <si>
    <t>Procurement of Red Evacuated Tube under IB No. 2020-189</t>
  </si>
  <si>
    <t>Upgrading of Staboardside Main Engine of BRP Hydrographer Ventura</t>
  </si>
  <si>
    <t>PROC. OF WORKS FOR THE CONST'N OF 1 UNIT - 67.20 SQ.M. AND 3 UNITS - 25.5 SQ.M. MRF AT BRGY BATOBATO, TALISAY AND CAMBALEON</t>
  </si>
  <si>
    <t>Procurement of Technical and Scientific Equipment (Lot 1. Speech Lab. [additional])</t>
  </si>
  <si>
    <t>SUPPLY, DELIVERY, INSTALLATION OF SOLAR STREET LIGHTS FOR VARIOUS BARANGAY'S OF BUKIDNON (ITB No. 2020-157)-(sp-maramara, sp dinlayan and sp-gayon)</t>
  </si>
  <si>
    <t>Supply and Delivery of Two (2) Units Brand New Elf Trucks of the Municipality of Tabuelan, Cebu</t>
  </si>
  <si>
    <t>Completion of Concreting of Local Road, Inapatan to Angustia, Nabua, Camarines Sur</t>
  </si>
  <si>
    <t>Procurement of Catering Services, Venue/Rental, Training Supplies &amp; Materials and Agricultural Supplies - Lot 1 - Catering Services - PAGSO</t>
  </si>
  <si>
    <t>Purchase of construction materials and supplies with labor on pakyaw or takay basis supplied by local laborers for the Repair/Improvement/Construction of Metro Sindangan Canal Phase 2</t>
  </si>
  <si>
    <t>CONSTRUCTION OF EVACUATION CENTER (COMPLETION) @ MUNICIPAL COMPOUND, BURGOS, ISABELA</t>
  </si>
  <si>
    <t>Procurement of Catering Services, Venue/Rental, Training Supplies &amp; Materials and Agricultural Supplies - Lot 4 - Agricultural Supplies - PAGSO</t>
  </si>
  <si>
    <t>20PJ0056: Repair/ Maintenance of DPWH Building Satellite Building, Gate and Perimeter Wall, Banaue, Ifugao</t>
  </si>
  <si>
    <t>Procurement of Various Catering Services - PAGSO</t>
  </si>
  <si>
    <t>Installation of 167 KVA Transformer, Brgy. Caragsacan, Dingalan, Aurora</t>
  </si>
  <si>
    <t>CONSTRUCTION OF RUBBLE-MOUND SEAWALL</t>
  </si>
  <si>
    <t>IMPROVEMENT OF POB. EAST ACCESS ROAD</t>
  </si>
  <si>
    <t>Procurement of Window Blinds and Glass Sticker - Lot 2 - Glass Sticker</t>
  </si>
  <si>
    <t>RIPRAPPING OF FLOOD CONTROL @ SITIO KATAGBAKAN BRGY. GASANG, MABINI, BATANGAS</t>
  </si>
  <si>
    <t>20PJ0055: Repair/ Maintenance of DPWH Building, Alfonso Lista, Ifugao</t>
  </si>
  <si>
    <t>Procurement of Air-Conditioner (City Engineering Office)</t>
  </si>
  <si>
    <t>20PJ0054: Repair/ Rehabilitation of Damage Existing Portland Cement Concrete Pavement (PCCP) along Banaue- Mayoyao- Alfonso Lista- Isabela Boundary Road, K0430+400- K0431+500, (Intermittent Section)</t>
  </si>
  <si>
    <t>DREDGING OF CAYAPA RIVER</t>
  </si>
  <si>
    <t>20PJ0053: Repair/ Rehabilitation of National Road along Nueva Vizcaya- Ifugao Mt. Province Boundary Road, K0335+550- K0351+187 (Intermitent Section)</t>
  </si>
  <si>
    <t>Supply and Delivery of  DENTAL EQUIPMENT/FACILITY</t>
  </si>
  <si>
    <t>CONSTRUCTION OF CONCRETE FLUME TYPE DRAINAGE CANAL, PUROK 2 &amp; 3, BARANGAY DALLANGAYAN ESTE</t>
  </si>
  <si>
    <t>Supply and Delivery of Various IT Training Tools &amp; Equip. (2)</t>
  </si>
  <si>
    <t>Supply, Delivery and Installation of Electro-Mechanical Equipment and Design for Pump Station, Construction of Pump House and Installation of Medium/Voltage for Pumping Station Power Supply</t>
  </si>
  <si>
    <t>REHABILITATION OF BARANGAY ROAD, PUROK 2, BARANGAY PAO SUR</t>
  </si>
  <si>
    <t>SUPPLY AND DELIVERY OF SUPPLIES AND MATERIALS  FOR BARANGAY ROAD CONCRETING-Ilihan Public Market</t>
  </si>
  <si>
    <t>ITB NO. GOP/20-DSWD-041 - Provision of Multi-Year Contract for the Hiring of Service Provider for the Preventive Maintenance of the Passenger Elevator at DSWD - Central Office for CY 2020-2022</t>
  </si>
  <si>
    <t>PROCUREMENT OF CCTV  INSTALLATION</t>
  </si>
  <si>
    <t>City Projects</t>
  </si>
  <si>
    <t>SO-OPD20-012 - Seven (7) New Areas in Bohol under the Off-Grid Electrification Project</t>
  </si>
  <si>
    <t>CONSTRUCTION OF MULTI-PURPOSE ALL WEATHER FACILITY</t>
  </si>
  <si>
    <t>CONSTRUCTION OF MULTI-PURPOSE HALL (Brgy. Inabasan Sur, Hamtic, Antique )/IB. NO. K-2020-028(SC)</t>
  </si>
  <si>
    <t>REHABILITATION OF FARM TO MARKET ROAD, PUROK 1, BARANGAY NAGYUBUYUBAN</t>
  </si>
  <si>
    <t>Construction of San Miguel Fire Station Building, San Miguel, Surigao del Norte, Caraga Region</t>
  </si>
  <si>
    <t>Procurement of Various Planting Materials and Fertilizers - Lot 1 - Planting Materials - PAGSO</t>
  </si>
  <si>
    <t>20PL0117 - Construction/Concreting of the Tabuk City, Kalinga - Tuao, Cagayan Road via the Burayugan-San Francisco-Naruangan Section, Cagayan Road, Tabuk City, Kalinga</t>
  </si>
  <si>
    <t>DETAILED ENGINEERING  STUDY/DESIGN  OF WARAS  SRIP,  IRIGA CITY, CAMARINES SUR</t>
  </si>
  <si>
    <t>Procurement of Various Medical Equipment for CY 2020</t>
  </si>
  <si>
    <t>Construction of Flood Control, Barangay San Jose (Additional Allocation)</t>
  </si>
  <si>
    <t>CONSTRUCTION OF MULTI-PURPOSE CENTER/EVACUATION CENTER IN BARANGAY MANLACBO, VALDERRAMA (Brgy. Manlacbo, Valderrama, Antique)/IB. NO. K-2020-024(SC)</t>
  </si>
  <si>
    <t>PROC. OF WORKS FOR THE CONST'N OF CRISIS CENTER INCL. MADAC DRUG TREATMENT OFFICE</t>
  </si>
  <si>
    <t>PRE-PRINTED ID CARDS (CY2020)</t>
  </si>
  <si>
    <t>CONSTRUCTION OF MULTI-PURPOSE CENTER/EVACUATION CENTER IN BARANGAY BINANOGAN, VALDERRAMA (Brgy. Binanogan, Valderrama, Antique)/IB. NO. K-2020-023(SC)</t>
  </si>
  <si>
    <t>REPAIR AND IMPROVEMENT OF BFP-NHQ MAIN BUILDING (Rehabilitation of Sanitary Line System)</t>
  </si>
  <si>
    <t>SO-SPU20-006 - Supply and Delivery of Various Personnel Protective Equipment (PPE) for SPUG Plant Personnel</t>
  </si>
  <si>
    <t>Procurement of Various Housekeeping Supplies  - PGO</t>
  </si>
  <si>
    <t>SUPPLY, DELIVERY, INSTALLATION, CABLING, CONFIGURATION AND COMMISSIONING OF ICT EQUIPMENT FOR OPERATION CENTERS, REGION 2, 10, 12 AND CARAGA</t>
  </si>
  <si>
    <t>S3-B0820-002 - Supply of Labor, Special Tools, Consumable Materials and Equipment with Specialized Technicians/Mechanic for the On-site Restoration of Unit No.1 Daihatsu 6DK-32 Engine of PB 108</t>
  </si>
  <si>
    <t>the Procurement of Various Planting Materials and Fertilizers - Lot 2 - Fertilizers - PAGSO</t>
  </si>
  <si>
    <t>SUPPLY AND DELIVERY OF OFFICE SUPPLIES (2nd Bidding)</t>
  </si>
  <si>
    <t>Improvement of Slaughter House</t>
  </si>
  <si>
    <t>Procurement of Fuel and Lubricants' Fleet Card for Official use of BFAR-13 July-December CY 2020</t>
  </si>
  <si>
    <t>PURCHASE OF MONOBLOC CHAIRS</t>
  </si>
  <si>
    <t>20GD00003: PROVSION OF 14 SECURITY SERVICES AT DPWH REGIONAL OFFICE NO. IV-A, EDSA, QUEZON CITY FOR   SIX (6) MONTHS</t>
  </si>
  <si>
    <t>Construction of Second Floor Food Court  Phase 2</t>
  </si>
  <si>
    <t>Local Infrastructure Program – Renovation of PFVR Building, Department of Education Division Office, Brgy. Military Cut Off, Baguio City, Benguet</t>
  </si>
  <si>
    <t>Construction/ Repair/ Rehabilitation/ Improvement of Various Infrastructure Including Local Projects – Rehabilitation of Road Teodora Alonzo, Baguio City</t>
  </si>
  <si>
    <t>Procurement of Various Catering Services, Venue &amp; Accommodation - Lot 3 - Accommodation - PVET</t>
  </si>
  <si>
    <t>Procurement of OR Equipment (HFEP)</t>
  </si>
  <si>
    <t>PROCUREMENT OF OFFICE SUPPLIES, IT SUPPLIES AND JANITORIAL SUPPLIES</t>
  </si>
  <si>
    <t>Procurement of Various Catering Services, Venue &amp; Accommodation - Lot 2 - Venue - PVET</t>
  </si>
  <si>
    <t>Construction/ Repair/ Rehabilitation/ Improvement of Various Infrastructure Including Local Projects - Rehabilitation of Road at Purok 2 and 3, Brgy. Sta. Escolastica Village, Baguio City</t>
  </si>
  <si>
    <t>CONSTRUCTION OF FLUE CURING BARN</t>
  </si>
  <si>
    <t>REHABILITATION OF CALANASAN SPORTS &amp; CULTURAL/EVACUATION CENTER</t>
  </si>
  <si>
    <t>Construction/ Repair/ Rehabilitation/ Improvement of Various Infrastructure Including Local Projects - Rehabilitation of Multi-Purpose Hall, Baguio City</t>
  </si>
  <si>
    <t>PROJECT # 20-043 – PROCUREMENT OF MOTOR VEHICLE (RESCUE VEHICLE CUSTOMIZED PICK-UP) -LDRRMO</t>
  </si>
  <si>
    <t>20GMH047 - Supply/Delivery of Diesel Fuel and Engine Oil for use of service vehicle assigned at the Planning and Design Section, DPWH-Sultan Kudarat 2nd District Engineering Office</t>
  </si>
  <si>
    <t>PROJECT # 20-039 - PROCUREMENT OF ICT EQUIPMENT FOR TEACHING AND LEARNING PURPOSES – CITY SCHOOL DIVISION OFFICE</t>
  </si>
  <si>
    <t>2020-GOODS-035_Upgrading of Engineering and Technology Laboratories of the Pangasinan State University</t>
  </si>
  <si>
    <t>Invitation to Bid for the Improvement of School at Pagsanga-an Elementary School (Repair of Ceiling and Electrical Wiring in Library and Computer Room, Improvement of H.E. Room and Extension of School</t>
  </si>
  <si>
    <t>Drilling of One (1) Production Well</t>
  </si>
  <si>
    <t>Procurement of Various Catering Services, Venue &amp; Accommodation - Lot 1 - Catering Services - PVET</t>
  </si>
  <si>
    <t>Invitation to Bid for the Purchase of  Brand New Motor Vehicle for the use of SB Office</t>
  </si>
  <si>
    <t>INVITATION TO BID FOR SUPPLY AND DELIVERY OF TEXTBOOKS AND REFERENCES FOR CY 2020 (REBIDDING)</t>
  </si>
  <si>
    <t>Invitation to Bid for the Purchase of one (1) unit Fully Reconditioned Double Cab Fire Truck of the MDRRM Office</t>
  </si>
  <si>
    <t>Invitation to Bid for the Improvement of School at Aganan-Ungka Elementary School (Elevation of Classroom, Canteen and Pathways)</t>
  </si>
  <si>
    <t>Supply of Services for the Conduct of Various In-House Trainings/Courses, as per BSP Terms of References:</t>
  </si>
  <si>
    <t>IMPROVEMENT OF FARM TO MARKET ROAD AT PALINA BALINSAWANG</t>
  </si>
  <si>
    <t>CONSTRUCTION OF SEBIT-CAUCALAN WATER WORKS SYSTEM (PHASE 2)</t>
  </si>
  <si>
    <t>CONSTRUCTION OF MULTIPURPOSE HALL= TALOY SUR, TUBA, BENGUET</t>
  </si>
  <si>
    <t>PURCHASE OF MEDICINES AND MEDICAL SUPPLIES</t>
  </si>
  <si>
    <t>REPAIR AND IMPROVEMENT OF PERIMETER FENCE,SEPARATOR WALL,MAIN GATE AND PEDESTRIAN GATE</t>
  </si>
  <si>
    <t>Contract ID No. 20NC0127 - Construction of Multi-Purpose Building, Brgy. San Isidro, San Francisco, Agusan del Sur</t>
  </si>
  <si>
    <t>Invitation to Bid for the Improvement of School at Pandac Elementary School (Extension of Covered Court, Roofing and Ceiling of Classrooms)</t>
  </si>
  <si>
    <t>PROCUREMENT OF VARIOUS INFRASTRUCTURE PROJECTS</t>
  </si>
  <si>
    <t>20GMH048 - Supply/Delivery of Diesel Tire and Battery for use of Service Vehicle assigned at the Planning and Design Section, DPWH-Sultan Kudarat 2nd District Engineering Office</t>
  </si>
  <si>
    <t>Contract ID No. 20NC0126 - Construction of Satellite Materials Laboratory Building, Agusan del Sur 2nd District Engineering Office, San Francisco, Agusan del Sur</t>
  </si>
  <si>
    <t>Procurement of Various Brand New Aircondition with Installation  - SOYMPH, PAIASO, SDH &amp; ADH</t>
  </si>
  <si>
    <t>20MH0103 - Concreting Local Road, Purok Narra, Brgy.Poblacion, Sultan Kudarat</t>
  </si>
  <si>
    <t>20MH0085 - Concreting of Upper Balayan to Kinadao, Barangay Badiangon, Palimbang, Sultan Kudarat</t>
  </si>
  <si>
    <t xml:space="preserve">INVITATION TO BID FOR Supply, Delivery, Installation, Configuration, Documentation and User’s Training of Firewall Appliance with UTM Subscription and User’s Training of Classroom Management Solution </t>
  </si>
  <si>
    <t>Procurement of One (1) Unit Motor Service Vehicle - PHSO</t>
  </si>
  <si>
    <t>IMPROVEMENT OF BRGY. BALAWEG-MAPISI CIS</t>
  </si>
  <si>
    <t>CONCRETING OF POJO-HATAY-HATAY ROAD (Bugasong, Antique)/IB. NO. K-2020-056(SC)</t>
  </si>
  <si>
    <t>Procurement of One (1) Unit Service Veicle for use of the City Government of Tarlac. B2020-075-A</t>
  </si>
  <si>
    <t>Procurement of Various Food Stuff - PHSO</t>
  </si>
  <si>
    <t>CONSTRUCTION OF WATER PUMPING SYSTEM</t>
  </si>
  <si>
    <t>CONTSRUCTION/IMPROVEMENT/REHABILITATION OF LINE CANAL &amp; PATHWA7Y @ BRGY. BULACAN, MABINI, BATANGAS</t>
  </si>
  <si>
    <t>20PL0116 - Concreting of Sitio Turod to Sitio Burubur (Phase II) FMR, Brgy. Bulo, Tabuk City, Kalinga</t>
  </si>
  <si>
    <t>IMPROVEMENT ALONG ILOCOS SUR-ABRA ROAD</t>
  </si>
  <si>
    <t>ESTABLISHMENT OF A CENTRALIZED EEM CCTV: AUXILIARY WET MARKET AND DRY MARKET</t>
  </si>
  <si>
    <t>Supply and Delivery of Various construction Materials</t>
  </si>
  <si>
    <t>CONSTRUCTION OF BANIWAS RCDG BRIDGE AT BARANGAY CABARUYAN</t>
  </si>
  <si>
    <t>2860-20 Construction of Convention Center, Phase 2, (Northern Quezon Auditorium), Brgy. Comon, Infanta, Quezon - PEO</t>
  </si>
  <si>
    <t>Supply and Delivery of Construction Supplies and Materials</t>
  </si>
  <si>
    <t>SUPPLY AND DELIVERY OF TWO (2) UNITS EXAMINATION TABLE WITH STIRRUPS</t>
  </si>
  <si>
    <t>Invitation to Bid for the Catering Services for Various Activities of the HRM Office and Mayor’s Office</t>
  </si>
  <si>
    <t>Procurement of Battery (12 Volts 9 Plates) - SOYMPH</t>
  </si>
  <si>
    <t>SUPPLY AND DELIVERY OF ONE (1) UNIT ANESTHESIA MACHINE</t>
  </si>
  <si>
    <t>PROCUREMENT OF THE CONSTRUCTION  OF DOH REGIONAL OFFICE VI BUILDING, PHASE 2 DOH-REGIONAL OFFICE VI BRGY. BOLONG OESTE, STA. BARBARA, ILOILO IB NO.2020-06-001I</t>
  </si>
  <si>
    <t>CONSTRUCTION OF SAFIANGON-CHALLOS FOOTBRIDGE</t>
  </si>
  <si>
    <t>Procurement of Fuel, Oil and Lubricants - PAGSO</t>
  </si>
  <si>
    <t>CONSTRUCTION OF PESKONG DRAINAGE</t>
  </si>
  <si>
    <t>One (1) Lot – Subscription to e-Learning Program on Bankwide and Leadership &amp; Management (L&amp;M) Courseware, as per BSP Terms of Reference</t>
  </si>
  <si>
    <t>SUPPLY AND DELIVERY OF ONE (1) UNIT LED OR LIGHT</t>
  </si>
  <si>
    <t>Purchase of Two (2) units Rescue Vehicle for the use of Emergency response</t>
  </si>
  <si>
    <t>Purchase of One (1) unit Ambulance for MDRRM use</t>
  </si>
  <si>
    <t>PROCUREMENT OF  FUEL FOR 3rd QUARTER OF 2020 , SAN ISIDRO, DAVAO ORIENTAL</t>
  </si>
  <si>
    <t>Procurement of Security Services (1 Year Contract)</t>
  </si>
  <si>
    <t>Invitation to Bid for the Purchase of Furniture and Fixtures for Mayor’s Office and MENR Office</t>
  </si>
  <si>
    <t>CONCRETING OF SITIO ALIGTUS-IGPALGE ROAD, BARBAZA (Barbaza, Antique)/IB. NO. K-2020-049(SC)</t>
  </si>
  <si>
    <t>PROJECT # 20-055 – PROCUREMENT OF RESPONSE / VEHICLE 4 WHEELER -LDRRMO</t>
  </si>
  <si>
    <t>20PL0104 - Construction of Pinukpuk-Balbalan Road (Bal - Aba-Aba Section), Brgy. Ballayangon, Pinukpuk, Kalinga</t>
  </si>
  <si>
    <t>ROAD CONSTRUCTION WITH DRAINAGE CANAL AT PUROK 8A, BACACA, BARANGAY 19-B, POBLACION DISTRICT, DAVAO CITY</t>
  </si>
  <si>
    <t>CONTINUATION OF FARM TO MARKET ROAD, BARANGAY PAO NORTE LEADING TO SACYUD</t>
  </si>
  <si>
    <t>Rehabilitation of 10 Child Development Centers</t>
  </si>
  <si>
    <t>Procurement of Various Catering Services - OVG/OSP</t>
  </si>
  <si>
    <t>PROC of HARDWARE/SOFTWARE EQIPEMENTS FOR AUTOMATION OF PERMITS &amp; LICENSES (EASE OF DOIMG BUSINESS</t>
  </si>
  <si>
    <t>SUPPLY AND DELIVERY OF VARIOUS CONSTRUCTION MATERIALS FOR TRUCK GARAGE AND BODEGA</t>
  </si>
  <si>
    <t>20HN0083 (Re-advertisement) -LP: Construction/Repair/ Rehabilitation/Improvement of  Various Infrastructure including Local Projects - Local Roads  and Bridges - Local Roads - Construction of Local Ro</t>
  </si>
  <si>
    <t>PROJECT # 20-053 - PROCUREMENT OF CCTV CAMERA WITH TV MONITOR SYSTEM AND NETWORK INFRASTRUCTURE – CITY SCHOOL DIVISION OFFICE</t>
  </si>
  <si>
    <t>20GA0195-Re-Invitation-Concreting of Barangay Road Brgy. Dumatad, Tangalan, Aklan</t>
  </si>
  <si>
    <t>Cocreting of Gecobe Road</t>
  </si>
  <si>
    <t>20ID0074	- Concreting of Sitio Diyo to Sitio Kapitugan Brgy. Libo FMR,Brgy. Libo,Carigara,Leyte</t>
  </si>
  <si>
    <t>Extension of the Provincial Treasury Office, Brgy. Suklayin, Baler, Aurora</t>
  </si>
  <si>
    <t>PACKAGE 2020:26:CONSTRUCTION OF ACCESS ROAD GOING TO CHICO RIVER</t>
  </si>
  <si>
    <t>20GGF0016 – Procurement  of Global Navigation Satellite System (GNSS) Equipment (1 base, 2 rovers) with Complete Accessories for use in the Planning and Design Section, Iloilo 1st District Engineering</t>
  </si>
  <si>
    <t>Re-Bidding for the Supply &amp; Delivery of Medical Supplies for MDRRMO use</t>
  </si>
  <si>
    <t>CONSTRUCTION OF SA-ONG COVERED DRAINAGE</t>
  </si>
  <si>
    <t>Supply of Labor and Materials for the Installation of New Cooling Coils for Air Handling Units at NAIA Terminal 3</t>
  </si>
  <si>
    <t>8918-20-017) CONCRETING AND SIDEWALK IMPROVEMENT AT M. H. DEL PILAR ST, BURNHAM-LEGARDA C/O CEO</t>
  </si>
  <si>
    <t>20GJC0193 – 8 units Desktop Computer etc.</t>
  </si>
  <si>
    <t>PACKAGE I- CONSTRUCTION  &amp; RIPRAPPING OF BARANGAY ROAD  @ SITIO HULO WEST, RIPRAPPING OF BARANGAY ROAD AT SITIO LOOBAN, BRGY. SOLO, MABINI, BATANGAS&amp;</t>
  </si>
  <si>
    <t>Procurement of Supply and Delivery of Eight (8) units Rice Transplanter (Ride-on) Rebid</t>
  </si>
  <si>
    <t>CY 2020 Quick Response Fund (QRF) Repair and Rehabilitation of School Building – Lot 1 – Repair and Rehabilitation of  Classrooms at Buruanga Elementary School, Buruanga, Aklan and Din-ut Elementary S</t>
  </si>
  <si>
    <t>Concreting &amp; Drainage Rehabilitation of J.M. Ceniza St., Looc, Mandaue City (21-2020)</t>
  </si>
  <si>
    <t>AGR-19-1448-B  Construction of Crab Hatchery</t>
  </si>
  <si>
    <t>Multi purpose vehicle(surplus)</t>
  </si>
  <si>
    <t>SUPPLY, DELIVERY, INSTALLATION AND COMMISSIONING OF ONE (1) UNIT ENT-HNS DIGITAL VIDEO STROBOSCOPE</t>
  </si>
  <si>
    <t>Security Services for CTU Tuburan Campus</t>
  </si>
  <si>
    <t>COMPLETION OF COMMERCIAL BUILDING - GOA</t>
  </si>
  <si>
    <t>8 sets Surgical Instruments for Caesarian Section</t>
  </si>
  <si>
    <t>AGR-20-0668-B Purchase of Water Supply Accessories</t>
  </si>
  <si>
    <t>Construction of Multi-Purpose Pavement</t>
  </si>
  <si>
    <t>4 set Surgical Instruments for Gynecology Major</t>
  </si>
  <si>
    <t>Procurement of Supply and Delivery of Nine (9) units Rice Combine Harvester (Rebid)</t>
  </si>
  <si>
    <t>Construction of Teen Activity Center at Poblacion, Nabunturan, Davao de Oro</t>
  </si>
  <si>
    <t>IB No. 2020-221 PROCUREMENT OF BEDAQUILINE FUMARATE</t>
  </si>
  <si>
    <t>SUPPLY AND DELIVERY OF ONE (1) UNIT PULMONARY FUNCTION TEST MACHINE</t>
  </si>
  <si>
    <t>eMail Infrastructure Technology Refresh</t>
  </si>
  <si>
    <t>CONTRACT ID: 20-06-084 - SUPPLY, DELIVERY,INSTALLATION, TESTING AND COMMISSIONING OF VARIOUS MEDICAL EQUIPMENT</t>
  </si>
  <si>
    <t>CONTRACT ID: 20-06-085 - PROCUREMENT OF POLYETHYLENE NET / SCREEN</t>
  </si>
  <si>
    <t xml:space="preserve">20CSKG01 :Sub-Surface Exploration for the 1) Construction of New SINDIG Bridge (35 Lin.m.) Chainage 3700  along LDNICR (S0097MN), 2) Construction of 1-NEW Concrete Bridge, Chainage 22054 of S00963MN, </t>
  </si>
  <si>
    <t>Non-Prod Infrastructure Technology Refresh</t>
  </si>
  <si>
    <t>Supply and Delivery of 165 m.t. Bituminous Concrete Surface Course (FD-Sandmix) 416 m.t. Bituminous Concrete  Surface Course (FD) to be used in the repair  and maintenance of various national roads in</t>
  </si>
  <si>
    <t>PROCUREMENT FOR THE SUPPLY AND DELIVERY OF VARIOUS LABORATORY EQUIPMENT FOR USE OF CENTRAL POST ENTRY QUARANTINE STATION OF NATIONAL PLANT QUARANTINE SERVICES DIVISION (NPQSD)</t>
  </si>
  <si>
    <t>CONSTRUCTION PROJECT (LOCAL ACCESS ROADS, SO. LAKE DANAO, BGY. POBLACION, TAYTAY, PALAWAN)</t>
  </si>
  <si>
    <t>REHABILITATION OF MULTI-PURPOSE BUILDING - CAMINDOROAN - SAN  JUAN, ILOCOS SUR</t>
  </si>
  <si>
    <t>ITB - Supply and Delivery of Laboratory Supplies for CY 2020 (Supplemental)</t>
  </si>
  <si>
    <t>SUPPLY OF DIESOLINE AND SPL GAS FOR THE CONSUMPTION OF THE DIFFERENT VEHICLE/OFFICES OF LGU-MOLAVE, ZDS</t>
  </si>
  <si>
    <t>Supply and Delivery of Laptops for various Public Schools.</t>
  </si>
  <si>
    <t>Procurement of High Speed Drill System for Neuro and ENT Surgery (HFEP)</t>
  </si>
  <si>
    <t>Supply and Delivery of Thermoplastic Paint to be used in Lane Markings in Various national roads in Quezon City (Dist. III &amp; IV)</t>
  </si>
  <si>
    <t>Improvement of Municipal Waterworks System</t>
  </si>
  <si>
    <t>Delivery of various ICT Equipment needed for various offices (Consolidated) (ITB 20-072)</t>
  </si>
  <si>
    <t>Invitation to Bid for the Construction of Multi-Purpose Drying Pavement (MPDP) @ Brgy. Quezon, Cabugao, Ilocos Sur</t>
  </si>
  <si>
    <t>Invitation to Bid for the Construction of Multi-Purpose Building @ Brgy. Carusipan (Proper), Cabugao, Ilocos Sur</t>
  </si>
  <si>
    <t>Concrete Paving of Farm to Market Road, Cambalo, Cajidiocan, Romblon</t>
  </si>
  <si>
    <t>Concrete Paving of Farm to Market Road, Gutivan, Cajidiocan, Romblon</t>
  </si>
  <si>
    <t>Completion of Food Court    Poblacion, Cajidiocan, Romblon</t>
  </si>
  <si>
    <t>6 set Surgical Instruments for NSD</t>
  </si>
  <si>
    <t>4 set Surgical Instruments for Gynecology Minor</t>
  </si>
  <si>
    <t>Repair of Sitio Sinongtan Bridge Brgy. Lanas, San Jose, Romblon</t>
  </si>
  <si>
    <t>Repair of Sitio Tinap-an Bridge Brgy. Lanas, San Jose, Romblon</t>
  </si>
  <si>
    <t>Proposed Asphalt overlay at Brgy. Sta. Ana, San Pablo City.</t>
  </si>
  <si>
    <t>Construction of Perimeter Fence (Phase I) for the Bureau of Jail Management and Penology (BJMP) Facility at Barangay Lonos (Sitio Wireless) Romblon, Romblon</t>
  </si>
  <si>
    <t>Concrete Paving of Poblacion-Jao-asan Provincial Road, Magdiwang, Romblon</t>
  </si>
  <si>
    <t>Concrete Paving of Provincial Road to Public Cemetery (Additional Fund), Looc, Romblon</t>
  </si>
  <si>
    <t>Invitation to Bid for the Concreting of Farm to Market Road @ Brgy. Pug-os (Balay-oac), Cabugao, Ilocos Sur</t>
  </si>
  <si>
    <t>8918-20-002)CONSTRUCTION OF SEWERLINE FROM PORTA VAGA AREA TO POST OFFICE AT KABAYANIHAN C/O CEPMO</t>
  </si>
  <si>
    <t>Procurement &amp; Distribution of 576 Head Chicken to the TD-Usman affected Farmers in Bobon, Northern Samar</t>
  </si>
  <si>
    <t>Improvement/Repair of Bobon Integrated Food and Transport Terminal (Damaged by Typoon Tisoy)</t>
  </si>
  <si>
    <t>Riprapping of Provincial Road Poblacion, Sta. Fe, Romblon</t>
  </si>
  <si>
    <t>Invitation to Bid for the Construction of Multi-Purpose Drying Pavement (MPDP) @ Brgy. Bato, Cabugao, Ilocos Sur</t>
  </si>
  <si>
    <t>Repair/Rehabilitation of Main Building and Completion of Wards at Tablas Island District Hospital (TIDH) San Agustin, Romblon</t>
  </si>
  <si>
    <t>COFFEE PROCESSING PROJECT OF THE LUBU-ONG BIMMOBLE ORGANIZATION – LOT 2</t>
  </si>
  <si>
    <t>COFFEE PROCESSING PROJECT OF THE LUBU-ONG BIMMOBLE ORGANIZATION – LOT 1</t>
  </si>
  <si>
    <t>STRENGTHENING OF THE WEAVING PROJECT OF HUNGDUAN WEAVER’S ASSOCIATION – LOT 2</t>
  </si>
  <si>
    <t>STRENGTHENING OF THE WEAVING PROJECT OF HUNGDUAN WEAVER’S ASSOCIATION – LOT 1</t>
  </si>
  <si>
    <t>Developing the Handicraft Industry of the Agayap Agriculture and Livelihood Organization – Lot 2</t>
  </si>
  <si>
    <t>Construction of Access Road From Brgy. Poblacion to Brgy. Guadalupe</t>
  </si>
  <si>
    <t>DEVELOPING THE HANDICRAFT INDUSTRY OF THE AGAYAP AGRICULTURE AND LIVELIHOOD ORGANIZATION – LOT 1</t>
  </si>
  <si>
    <t>Developing the Food Processing Industry of the Baang Women’s Organization and Rural Improvement Club – Lot 2</t>
  </si>
  <si>
    <t>COFFEE PROCESSING PROJECT OF THE LUBU-ONG BIMMOBLE ORGANIZATION – LOT 3</t>
  </si>
  <si>
    <t>DEVELOPING THE FOOD PROCESSING INDUSTRY OF THE BAANG WOMEN’S ORGANIZATION AND RURAL IMPROVEMENT CLUB – LOT 1</t>
  </si>
  <si>
    <t>Invitation to Bid for the Improvement of Water System @ Cabugao, Ilocos Sur</t>
  </si>
  <si>
    <t>Invitation to Bid for the Construction of Slope Protection @ Brgy. Quezon, Cabugao, Ilocos Sur</t>
  </si>
  <si>
    <t>PROCUREMENT FOR THE SUPPLY AND DELIVERY OF GC COLUMNS FOR USE IN LABORATORIES OF PLANT PRODUCT SAFETY SERVICES DIVISION (PPSSD)</t>
  </si>
  <si>
    <t>DEVELOPING THE HANDICRAFT INDUSTRY OF THE AGAYAP AGRICULTURE AND LIVELIHOOD ORGANIZATION – LOT 3</t>
  </si>
  <si>
    <t>IB No. 2006-320 Proc. of Infra (Road Concreting of F. Dagohoy Circumferential Road (J.A. Clarin St. – C. Darunday St.)</t>
  </si>
  <si>
    <t>Completion of Cajidiocan Sports Complex Concrete Bleacher Cajidiocan, Romblon</t>
  </si>
  <si>
    <t>CONSTRUCTION OF WATER SYSTEM FOR DOMESTIC USE</t>
  </si>
  <si>
    <t>Procurement of Various Machinery and Equipment - PEO ENGINEERING</t>
  </si>
  <si>
    <t>Invitation to Bid for the Concreting of Farm to Market Road @ Brgy. Pug-os (Inanama Norte), Cabugao, Ilocos Sur</t>
  </si>
  <si>
    <t>SUPPLY OF LABOR AND MATERIALS FOR INSTALLATION OF TOP ROOFING OF NPQSD-CENTRAL OFFICE BUILDING (NPQSD)</t>
  </si>
  <si>
    <t>INVITATION TO BID FOR CONSTRUCTION OF SENDITAN - SAMBOLAWAN ROAD</t>
  </si>
  <si>
    <t>Procurement of Ultrasonic Assisted Generators and Debridement thru low frequency ultrasound cavitation (25kHz and 35kHz) (HFEP)</t>
  </si>
  <si>
    <t>INVITATION TO BID FOR CONCRETING OF REBUKEN ROAD – TESDA ROAD</t>
  </si>
  <si>
    <t>Invitation to Bid for the Concreting of Farm to Market Road @ Brgy. Pug-os (Inanama Sur), Cabugao, Ilocos Sur</t>
  </si>
  <si>
    <t>CONSTRUCTION OF ISOLATION FACILITY BUILDING</t>
  </si>
  <si>
    <t>Slope Protection at Sitio Bagulayag, Tubigon, Ferrol, Romblon</t>
  </si>
  <si>
    <t>Provision of Coffee Pre-Processing Facilities</t>
  </si>
  <si>
    <t>Provision of Coffee Processing Center and Facilities</t>
  </si>
  <si>
    <t>PROVISION OF VEGETABLE BREAD PROCESSING FACILITIES</t>
  </si>
  <si>
    <t>PROVISION OF CITRUS PROCESSING EQUIPMENT AND FACILITIES</t>
  </si>
  <si>
    <t>DEVELOPING THE ROOT CROPS INDUSTRY OF THE AHIN FARMERS DEVELOPMENT ORGANIZATION INCORPORATED – LOT 4</t>
  </si>
  <si>
    <t>Site Development for Municipal Housing Project at Brgy. Poblacion San Agustin, Romblon</t>
  </si>
  <si>
    <t>DEVELOPING THE ROOT CROPS INDUSTRY OF THE AHIN FARMERS DEVELOPMENT ORGANIZATION INCORPORATED – LOT 3</t>
  </si>
  <si>
    <t>Completion of Educ’l Facilities (Completion of Stage) at Tampayan Elementary School Magdiwang, Romblon</t>
  </si>
  <si>
    <t>DEVELOPING THE ROOT CROPS INDUSTRY OF THE AHIN FARMERS DEVELOPMENT ORGANIZATION INCORPORATED – LOT 1</t>
  </si>
  <si>
    <t>PROVISION OF COFFEE PRE-PROCESSING FACILITIES</t>
  </si>
  <si>
    <t>Enhancing the Livelihood of Ay-aywanan Organization Incorporated Through the Provision of Food Processing Facilities and Equipment</t>
  </si>
  <si>
    <t>Construction of Maternity Half-Way House, San Jose District Hospital, Poblacion, San Jose, Romblon</t>
  </si>
  <si>
    <t>INVITATION TO BID FOR CONSTRUCTION OF PIGKALAGAN – MATENGEN ROAD</t>
  </si>
  <si>
    <t>4411-19-022) IMPROVEMENT AND EXTENSION OF THE EXISTING SCOUT BARRIO HEALTH CENTER AT SCOUT BARRIO C/O CBAO</t>
  </si>
  <si>
    <t>CONSTRUCTION OF MULTI-PURPOSE HALL AT BRGY SISIMON</t>
  </si>
  <si>
    <t>PROCUREMENT OF TRAVELLING RICE MILL  (FOR SAN ISIDRO RICE FARMER ASSOCIATION, BUB 2015)</t>
  </si>
  <si>
    <t>Agricultural Machinery and Equipment for subsidy/assistance to Local Government Units,  Other (Farmers Association/Cooperative)</t>
  </si>
  <si>
    <t>Slope/Shore Protection of Barangay Pandan, Sta. Fe, Romblon</t>
  </si>
  <si>
    <t>SUPPLIES AND MATERIALS FOR MAGSAYSAY COLLEGE</t>
  </si>
  <si>
    <t>Q-092-20 UPGRADING OF FIBER LINE WITH WI-FI AND VOICE OVER IP WITH HARDWARE</t>
  </si>
  <si>
    <t>Concreting of Lacangan Road</t>
  </si>
  <si>
    <t>Vehicle for use of Bulalacao Community Hospital (BCH)</t>
  </si>
  <si>
    <t>IMPROVEMENT OF MUNICIPAL IP HALL GROUND</t>
  </si>
  <si>
    <t>Concreting of Municipal Roads</t>
  </si>
  <si>
    <t>ITB 20-0062 - Supply and Delivery of 7,000 bags Cement, Portland, Quick Dry &amp; etc.</t>
  </si>
  <si>
    <t>Supply and Installation of CCTV Fiber Optic</t>
  </si>
  <si>
    <t>CONSTRUCTION OF MAKESHIFT ELEVEN (11) – CLASSROOM TEMPORARY LEARNING SHELTER FOR BURABOD ELEMENTARY SCHOOL, LIBON, ALBAY (RE-BID)</t>
  </si>
  <si>
    <t>LOT 9 - CY2020 Repair and Rehabilitation Program</t>
  </si>
  <si>
    <t>LOT 6 - CY2020 Repair and Rehabilitation Program</t>
  </si>
  <si>
    <t>Completion of Paagan Water System</t>
  </si>
  <si>
    <t>Repair/Improvement of Brgy. Water System Bachawan, San Agustin, Romblon</t>
  </si>
  <si>
    <t>LOT 3 - CY2020 Repair and Rehabilitation Program</t>
  </si>
  <si>
    <t>Purchase of 12 Units Portable Generator set</t>
  </si>
  <si>
    <t>LOT 5 - CY2020 Repair and Rehabilitation Program</t>
  </si>
  <si>
    <t>LOT 2 - CY2020 Repair and Rehabilitation Program</t>
  </si>
  <si>
    <t>Procurement of Office Supplies for Different Offices</t>
  </si>
  <si>
    <t>LOT 1 - CY2020 Repair and Rehabilitation Program</t>
  </si>
  <si>
    <t>DEVELOPING THE ROOT CROPS INDUSTRY OF THE AHIN FARMERS DEVELOPMENT ORGANIZATION INCORPORATED – LOT 2</t>
  </si>
  <si>
    <t>One (1) Lot – Hardware and Software Maintenance and Technical Support Services for the Endpoint Data Leakage Protection, as per BSP Terms of Reference and Service Level Agreement</t>
  </si>
  <si>
    <t>INVITATION TO BID FOR OPENING/REHABILITATION OF FARM TO MARKET ROAD</t>
  </si>
  <si>
    <t>INVITATION TO BID FOR CONSTRUCTION OF MAGNO – BRGY. RENTI ROAD</t>
  </si>
  <si>
    <t>LOT 4 - CY2020 Repair and Rehabilitation Program</t>
  </si>
  <si>
    <t>Construction of River Walk/Promenade, Poblacion, Madiwang, Romblon</t>
  </si>
  <si>
    <t>8918-20-014)  REHABILITATION OF DRAINAGE AT EAST QUIRINO HILL TOWARDS MAGSAYSAY AVENUE, EAST QUIRINO HILL C/O CEO</t>
  </si>
  <si>
    <t>SUPPLY, DELIVERY &amp; INSTALLATION OF CALAMITY RELATED ALARM &amp; SECURITY MONITORING SYSTEM</t>
  </si>
  <si>
    <t>PROCUREMENT OF HARDWARE MATERIALS FOR CONSTRUCTION OF 83.95 LM. OPEN CANAL ALONG THE NATIONAL HIGHWAY AT ZONE II, LANUZA SURIGAO DEL SUR</t>
  </si>
  <si>
    <t>CY 2020 Quick Response Fund (QRF) Repair and Rehabilitation of School Building – Lot 17 – Repair and Rehabilitation of Classrooms at Cabatanga Elementary School, Makato, Aklan, Castillo Elementary Sch</t>
  </si>
  <si>
    <t>One (1) Lot – Software Subscription for the existing 3,560 HCL Domino Enterprise Processor Value Unit (PVU) licenses, as per BSP Terms of Reference</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</si>
  <si>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</si>
  <si>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16 – Repair and Rehabilitation of Classrooms at Catabana Primary School, Madalag, Aklan, Banay Banay Elementary Sch</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</si>
  <si>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</si>
  <si>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15 – Repair and Rehabilitation of Classrooms at San Isidro Elementary School, Ibajay, Aklan, New Buswang Elementary</t>
  </si>
  <si>
    <t>Construction of Roofing in the Parking Area</t>
  </si>
  <si>
    <t>LOT 7 - CY2020 Repair and Rehabilitation Program</t>
  </si>
  <si>
    <t>CY 2020 Quick Response Fund (QRF) Repair and Rehabilitation of School Building – Lot 14 – Repair and Rehabilitation of Classrooms at Cabugao Primary School, Ibajay, Aklan, Naisud Central School, Ibaja</t>
  </si>
  <si>
    <t>INVITATION TO BID FOR CONSTRUCTION OF TUDOK - PALAO ROAD</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</si>
  <si>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</si>
  <si>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7 – Repair and Rehabilitation of  Classrooms at Guanko Elementary School, Balete, Aklan, Pepe Elementary School, Bu</t>
  </si>
  <si>
    <t>PB BAC1-20-003 MANNING OF EXISTING CCTV MONITORING STATION – ONE (1) YEAR CONTRACT</t>
  </si>
  <si>
    <t>COMPLETION OF MULTI-PURPOSE HALL (CES), CAMBALO, CAJIDIOCAN, ROMBLON</t>
  </si>
  <si>
    <t>PB PUR20-04-0356 SUPPLY AND DELIVERY OF STEEL CABINET, BOOK SHELF TYPE for Medical Records Div., PGH</t>
  </si>
  <si>
    <t>CY 2020 Quick Response Fund (QRF) Repair and Rehabilitation of School Building – Lot 6 – Repair and Rehabilitation of  Classrooms at Rizal Elementary School, Ibajay, Aklan and Muguing Elementary Schoo</t>
  </si>
  <si>
    <t>PB BAC1-20-013 SUPPLY AND DELIVERY OF CHEMICALS AND REAGENTS FOR 2020</t>
  </si>
  <si>
    <t>PB PUE20-03-0274 SUPPLY, DELIVERY, INSTALLATION AND TESTING OF ELECTROCARDIOGRAPH MACHINE, DIGITAL, MULTI- CHANNEL FOR ADULT AND  PEDIATRIC PATIENTS</t>
  </si>
  <si>
    <t>CY 2020 Quick Response Fund (QRF) Repair and Rehabilitation of School Building – Lot 9 – Repair and Rehabilitation of  Classrooms at Unidos Elementary School, Nabas, Aklan</t>
  </si>
  <si>
    <t>PROCUREMENT OF HABAL-HABAL MINI SPAREPARTS STORE WITH CARWASH WELDING AND VULCANIZING SHOP AT BARANGAY MAMPI, LANUZA, SURIGAO DEL SUR</t>
  </si>
  <si>
    <t>LOT 8 - CY2020 Repair and Rehabilitation Program</t>
  </si>
  <si>
    <t>CY 2020 Quick Response Fund (QRF) Repair and Rehabilitation of School Building – Lot 26 – Repair and Rehabilitation of Classrooms at Union National High School, Nabas, Aklan</t>
  </si>
  <si>
    <t>Furnishing of Construction Materials for Carol-an Dagyangaw SIP, Ayungon, Neg. Or.</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</si>
  <si>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</si>
  <si>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27 – Repair and Rehabilitation of Classrooms at Tamalagon Integrated School, Tangalan, Aklan and San Roque Integrat</t>
  </si>
  <si>
    <t>PB PUR20-03-0341  SUPPLY AND DELIVERY OF VARIOUS COMPUTERS AND PRINTERS</t>
  </si>
  <si>
    <t>Furnishing of Construction Materials for Carol-an Dagyangaw SIP (CY 2019), Ayungon, Neg. Or.</t>
  </si>
  <si>
    <t>CY 2020 Quick Response Fund (QRF) Repair and Rehabilitation of School Building – Lot 22 – Repair and Rehabilitation of Classrooms at Solido Elementary School, Nabas, Aklan, Union Elementary School, Na</t>
  </si>
  <si>
    <t>SUPPLY AND DELIVERY OF MOTORCYCLE VEHICLES</t>
  </si>
  <si>
    <t>PB PUR20-03-0308 SUPPLY, DELIVERY, COMMISSIONING AND INSTALLATION OF TELEPHONE VOICE AND DATA, VOICE BACKBONE AND NEW MAIN DISTRIBUTION FRAME (MDF) AT P-01 OBAS-ER AND DRUG TESTING FACILITY</t>
  </si>
  <si>
    <t>Procurement of Janitorial Services</t>
  </si>
  <si>
    <t>Supply and Delivery of Disaster Equipment</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</si>
  <si>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</si>
  <si>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25 – Repair and Rehabilitation of Classrooms at Malinao School for Phlippine Craftsmen, Malinao, Aklan, Toledo Nati</t>
  </si>
  <si>
    <t>furnishing/delivery of fuel, oil and lubricants</t>
  </si>
  <si>
    <t>PURCHASE OF OFFICE SUPPLIES LGU, CAJIDIOCAN, ROMBLON</t>
  </si>
  <si>
    <t>payments under the contract for the project CY 2020 Quick Response Fund (QRF) Repair and Rehabilitation of School Building – Lot 10 – Repair and Rehabilitation of Classrooms at Tayhawan Elementary Sch</t>
  </si>
  <si>
    <t>IMPROVEMENT OF MULTI-PURPOSE HALL PHASE II- MUNICIPAL BUILDING, POBLACION, CAJIDIOCAN, ROMBLON</t>
  </si>
  <si>
    <t>Supply of Gasoline and Diesel through Fleet Card Technology System for Two (2) Years under ITB NO. PB20-01-015CORa-06</t>
  </si>
  <si>
    <t>REHABILITATION OF CAMBICANG MULTI-PURPOSE HALL, MARIGONDON, CAJIDIOCAN, ROMBLON</t>
  </si>
  <si>
    <t>Procurement of Security Services (For the Energy regulatory Commission's Main Office, Visayas Area Operations Service and Mindanao Area Operations Service)</t>
  </si>
  <si>
    <t>CONSTRUCTION OF FMR- SITIO SAED, TAGUILOS, CAJIDIOCAN, ROMBLON</t>
  </si>
  <si>
    <t>REHABILITATION OF WATER SUPPLY SYSTEM LUMBANG WESTE, CAJIDIOCAN, ROMBLON</t>
  </si>
  <si>
    <t>REHABILITATION OF MULTI-PURPOSE HALL LUMBANG WESTE, CAJIDIOCAN, ROMBLON</t>
  </si>
  <si>
    <t>CONSTRUCTION FOR COCONUT PROCESSING CENTER FOR LIVELIHOOD PHASE II, LUMBANG ESTE, CAJIDIOCAN, ROMBLON</t>
  </si>
  <si>
    <t>Supply and Delivery of Office Equipment for MDRRM  Office</t>
  </si>
  <si>
    <t>CONSTRUCTION OF FMR-ILAYA MARIGONDON, CAJIDIOCAN, ROMBLON</t>
  </si>
  <si>
    <t>REHABILITATION OF MULTI-PURPOSE HALL, LICO, CAJIDIOCAN, ROMBLON</t>
  </si>
  <si>
    <t>CY 2020 Quick Response Fund (QRF) Repair and Rehabilitation of School Building – Lot 20 – Repair and Rehabilitation of Classrooms at Libertad Elementary School, Nabas, Aklan, Nagustan Elementary Schoo</t>
  </si>
  <si>
    <t>PROCUREMENT OF HARDWARE MATERIALS FOR PROPOSED NURSERY ESTABLISHMENT</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</si>
  <si>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</si>
  <si>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18 – Repair and Rehabilitation of Classrooms at Mantiguib Elementary School, Makato, Aklan, Argao Elementary School</t>
  </si>
  <si>
    <t>REHABILITATION OF MULTI-PURPOSE HALL LUMBANG ESTE, CAJIDIOCAN, ROMBLON</t>
  </si>
  <si>
    <t>CY 2020 Quick Response Fund (QRF) Repair and Rehabilitation of School Building – Lot 5 – Repair and Rehabilitation of  Classrooms at Gibon Elementary School, Nabas, Aklan and Jose F. Meñez Memorial Na</t>
  </si>
  <si>
    <t>CY 2020 Quick Response Fund (QRF) Repair and Rehabilitation of School Building – Lot 4 – Repair and Rehabilitation of  Classrooms at Bakhaw Norte Integrated School, Kalibo, Aklan and Naile Elementary</t>
  </si>
  <si>
    <t>Supply and Delivery of 10pcs Water Resistant 2-way Radio</t>
  </si>
  <si>
    <t>PB PM20-010 COMPREHENSIVE PREVENTIVE MAINTENANCE SUPPORT SERVICES OF THE PGH SIEMENS HI-PATH 4000 IP-PBX EQUIPMENT</t>
  </si>
  <si>
    <t>Supply and Delivery of Low Bed Truck</t>
  </si>
  <si>
    <t>CY 2020 Quick Response Fund (QRF) Repair and Rehabilitation of School Building – Lot 2 – Repair and Rehabilitation of  Classrooms at Cayangwan Elementary School, Makato, Aklan and Rosal Elementary Sch</t>
  </si>
  <si>
    <t>Purchase of Materials for Construction of Multi-Purpose Building P Poblacion, Cabanglasan, Bukidnon</t>
  </si>
  <si>
    <t>One (1) Lot – Maintenance Support for Enterprise Storage Systems and Storage Area Network Devices, as per BSP Terms of Reference and Service Level Agreement (Multi-Year Contract)</t>
  </si>
  <si>
    <t>PROCUREMENT OF CORN SEEDS &amp; FERTILIZERS FOR THE SUSTAINABLE LAND RESOURCE MANAGEMENT APPROACH (SLRMA) FOR AGRI-ENVIRONMENTAL DEVELOPMENT OF UPLANDS AND HILLY LANDS AT SITIO NANGKA, PUNTIAN, SUMILAO, B</t>
  </si>
  <si>
    <t>Proposed Road Concreting / Rehabilitation Main Road, Brgy. Riverside</t>
  </si>
  <si>
    <t>Purchase of Materials for Construction of Multi-Purpose Building V (Perimeter Fence) Mandaing, Cabanglasan, Bukidnon</t>
  </si>
  <si>
    <t>Purchase of Materials for Construction of Multi-Purpose Building W (Perimeter Fence) Mauswagon, Cabanglasan, Bukidnon</t>
  </si>
  <si>
    <t>Supplying labor and materials on the installation of Local Area Network (LAN) at Marinduque Provincial Hospital ICT Division, MPH, Boac, Marinduque</t>
  </si>
  <si>
    <t>Concreting of Sampaguita ave. (from San Francisco St. - Violita St.</t>
  </si>
  <si>
    <t>Purchase of Materials for Construction of Multi-Purpose Building Q (Perimeter Fence)Cabulohan, Cabanglasan, Bukidnon</t>
  </si>
  <si>
    <t>Labor and Materials for the Improvement/Construction of Road at Panipuan, City of San Fernando, Pampanga</t>
  </si>
  <si>
    <t>Supply and Delivery of Construction Materials for the Cotabato Airport Development Project CY 2018 (Runway Strip Grade Correction)</t>
  </si>
  <si>
    <t>CY 2020 Quick Response Fund (QRF) Repair and Rehabilitation of School Building – Lot 21 – Repair and Rehabilitation of Classrooms at Rizal Elementary School, Nabas, Aklan, Badio Elementary School, Num</t>
  </si>
  <si>
    <t>Rehabilitation/Construction of Lined Canals, Curbs &amp; Gutter at Brgy. Pinagtalleran/Baclaran/Pob.Cinco/Pob.Cuatro, Calauag, Quezon</t>
  </si>
  <si>
    <t>Procurement of One unit Dump Truck (Brand new)</t>
  </si>
  <si>
    <t>INVITATION TO BID FOR Drugs and Medicines 01-2020-06</t>
  </si>
  <si>
    <t>Supply And Delivery of One (1) unit Meat Van (Brand New) and Two (2) units LED TV CCTV Monitor to be used for delivery of dressed meat from slaughter house to Public Market and Market Satey and Securi</t>
  </si>
  <si>
    <t>ACQUISITION OF FORENSIC TOOLS AND EQUIPMENT FOR CYBERCRIME DIVISION (CCD)</t>
  </si>
  <si>
    <t>One (1) Lot – BSP Web Security and Content Filtering System Enhancement Project, consisting of Supply, Delivery, Installation, Configuration, Testing and Commissioning of Blue Coat Secure Gateway (PRO</t>
  </si>
  <si>
    <t>PROJECT COVID-MODULES</t>
  </si>
  <si>
    <t>Supply and Delivery of Air Conditioner  for Sangguniang Bayan Office and Session Hall</t>
  </si>
  <si>
    <t>Continuation of Farmers' Multi-Purpose Hall-Lintic</t>
  </si>
  <si>
    <t>Construction of Payocpoc Sur Slope Protection, Bauang</t>
  </si>
  <si>
    <t>Supply and Delivery of Materials for Repair of Agriculture Office</t>
  </si>
  <si>
    <t>Construction of Ambaracao Farmers Multi-Purpose Center, Naguilian</t>
  </si>
  <si>
    <t>CY 2020 Quick Response Fund (QRF) Repair and Rehabilitation of School Building – Lot 3 – Repair and Rehabilitation of  Classrooms at Tangalan National High School, Tangalan, Aklan</t>
  </si>
  <si>
    <t>Supply and Delivery of Materials for Installation of Municipal Streetlighting System</t>
  </si>
  <si>
    <t>Improvement of Barangay I Farm to Market Road, San Fernando City</t>
  </si>
  <si>
    <t>Purchase of Fertilizer</t>
  </si>
  <si>
    <t>Rehabilitation and Improvement of Pagbennecan - Tallaoen Road, Luna</t>
  </si>
  <si>
    <t>REPAIR OF MULTI PURPOSE BUILDING (GYM)</t>
  </si>
  <si>
    <t>20CSA004: LIDAR DATA MAPPING AND PARCELLARY/ UTILITIES, FACILITIES/ TOPOGRAPHIC SURVEY FOR THE PROPOSED CONSTRUCTION OF MISSING LINK/NEW ROADS, SAN MANUEL (PANGASINAN)- ITOGON (BENGUET) ROAD</t>
  </si>
  <si>
    <t>CY 2020 Quick Response Fund (QRF) Repair and Rehabilitation of School Building – Lot 11 – Repair and Rehabilitation of Classrooms at Cabugao Primary School, Buruanga, Aklan, Katipunan Elementary Schoo</t>
  </si>
  <si>
    <t>20CSA003: LIDAR DATA MAPPING AND PARCELLARY/ UTILITIES, FACILITIES/ TOPOGRAPHIC SURVEY FOR THE PROPOSED CONSTRUCTION OF MISSING LINK/NEW ROADS, BOLINAO-DASOL COASTAL ROAD, PANGASINAN</t>
  </si>
  <si>
    <t>PROCUREMENT OF VARIOUS ICT</t>
  </si>
  <si>
    <t>20CSDM03 – Conduct of Preliminary Detailed Engineering (Parcellary Survey) along San Francisco-San Andres-San Narciso Road, Quezon Province</t>
  </si>
  <si>
    <t>Construction of Farmers' Multi-Purpose Hall-Naguimba</t>
  </si>
  <si>
    <t>REHABILITATION OF MULTI PURPOSED BUILDING (GYM) THRU REPAIR AND WATER COLLECTION FOR ENVIRONMENT PROTECTION</t>
  </si>
  <si>
    <t>INVITATION TO BID NO. UPRIIS-DI-CW-2020-04</t>
  </si>
  <si>
    <t>Finishing Wokrs of Brgy. Imbalbalatong Multi-Purpose Hall</t>
  </si>
  <si>
    <t>CONSTRUCTION OF VARIOUS INFRA PROJECTS</t>
  </si>
  <si>
    <t>Retrofitting/Strengthening of Bridge 1 and Bridge 4, Caba and Naguilian</t>
  </si>
  <si>
    <t>HO-MSD20-005 - Supply and Delivery of Heat Treatment Equipment</t>
  </si>
  <si>
    <t>Concreting of 100 Linear Meter Brgy. Buenavista Farm to Market Road</t>
  </si>
  <si>
    <t>Improvement of Slaughter Building at Barangay Sto Nino 1st</t>
  </si>
  <si>
    <t>Concreting of 700 Linear Meter Barangay Sigayan Farm to Market Road</t>
  </si>
  <si>
    <t>2583-20 Purchase of Assorted Palay Seeds</t>
  </si>
  <si>
    <t>Public Bidding for the Supply and Delivery of Construction Materials for the Repair/Rehab of Board Member’s Office at 3rd Floor Annex Building, Capiz Provincial Capitol, under ITB No. 2020-011R</t>
  </si>
  <si>
    <t>Concreting of 100 Linear Meter Soriano Street</t>
  </si>
  <si>
    <t>Construction of Slope Protection - (Balot Section) Pila</t>
  </si>
  <si>
    <t>SUPPLY AND DELIVERY OF OFFICE EQUIPMENT</t>
  </si>
  <si>
    <t>Concreting of Road at Zone 5 Barangay Tondod</t>
  </si>
  <si>
    <t>Provision of Corn Mill with Storage Facility</t>
  </si>
  <si>
    <t>2265-20 Purchase of Transformer, etc.</t>
  </si>
  <si>
    <t>2484-20 Procurement of Other Suppplies and Materials</t>
  </si>
  <si>
    <t>Concreting of Violita St. (from Sampaguita Ave. - Orchid St.)</t>
  </si>
  <si>
    <t>PROCUREMENT OF VARIOUS MEDICINE SUPPLIES</t>
  </si>
  <si>
    <t>Improvement / Rehab of Water System</t>
  </si>
  <si>
    <t>Supply, Delivery and Installation of 1 Lot Heavy Duty Variable Perfect Binder with Built-in Automatic/Digital Thickness Caliper and Fully Automatic Laminator of Bukidnon State University</t>
  </si>
  <si>
    <t>CONSTRUCTION OF THREE STOREY (9-CLASSROOM) SCHOOL BUILDING (PHASE 1)</t>
  </si>
  <si>
    <t>Supply and Delivery of IT Equipment for RHU</t>
  </si>
  <si>
    <t>Completion/Expansion of Vinegar Processing Center, Maragayap, Bacnotan</t>
  </si>
  <si>
    <t>20LB0233 - Construction of Drainage Along Jct. F. Torres – Mt. Mayon – E. Quirino Road, Davao City</t>
  </si>
  <si>
    <t>Rehabilitation of FMR- (Cudiamat Section), Bagbagotot</t>
  </si>
  <si>
    <t>Materials for Construction of Multi-Purpose Building, Tradetown Dalipe, San Jose Antique</t>
  </si>
  <si>
    <t>20LB0261 - Road Widening &amp; Replacement of Bridge along Jct. Davao-Cotabato Old Road (Bago Gallera Section) Leading to Philippine Coconut Authority (PCA), Davao City</t>
  </si>
  <si>
    <t>CONSTRUCTION OF BRIDGE at Balidbid, Salcedo, Ilocos Sur</t>
  </si>
  <si>
    <t>Construction of Pathway, Po. Rose A Brgy. Malaiba, Canlaon City</t>
  </si>
  <si>
    <t>Labor and Materials for the Desilting/Declogging of Alasas - Del Rosario Creek (Alasas Bridge to Del Rosario Bridge) at Alasas and Del Rosario, City of San Fernando, Pampanga</t>
  </si>
  <si>
    <t>20LB0166 - Construction of Flood Mitigation Structure, El Rio Vista Village Section, Davao River, Brgy. 19-B, Davao City</t>
  </si>
  <si>
    <t>Supply, Delivery and Installation of 1 Lot IPGC Solar Street Light with Pole (60watts) of Bukidnon State University</t>
  </si>
  <si>
    <t>Labor and Materials for the Declogging/Desilting of Calulut Creek at Calulut, City of San Fernando, Pampanga</t>
  </si>
  <si>
    <t>SUPPLY AND DELIVERY OF VARIOUS SUPPLIES AND EQUIPMENT MDRRMO OPERATION</t>
  </si>
  <si>
    <t>Procurement of Supply, Delivery, Installation, Testing, Applications Training, And Commissioning of Various Medical Equipment (Batch 1)</t>
  </si>
  <si>
    <t>SUPPLY AND DELIVERY OF VARIOUS MATERIALS FOR RESCUE EQUIPMENTS</t>
  </si>
  <si>
    <t>20LB0157 - Construction of Drainage along Pagatpat St. S.I.R., PH. 1, New Matina, Brgy. 76-A, Davao City</t>
  </si>
  <si>
    <t>Supply and Delivery of One (1) lot Various Information Communication and Technology Equipment</t>
  </si>
  <si>
    <t>Supply and Delivery of One (1) Unit Fabricated Plastic and Cellophane Pulverizer Equipment</t>
  </si>
  <si>
    <t>Installation of Water Rain Catchment</t>
  </si>
  <si>
    <t>Supply and Delivery of Materials for the Const/Rehab. of Potable Watersystem, Ibo Malalag Davao del Sur</t>
  </si>
  <si>
    <t>REHABILITATION OF ACCESS ROAD at Baybayading, Salcedo, Ilocos Sur</t>
  </si>
  <si>
    <t>INVITATION TO BID FOR THE CONSTRUCTION OF MULTI-PURPOSE OPEN GYM</t>
  </si>
  <si>
    <t>PROCUREMENT OF MATERIALS FOR IMPROVEMENTS OF WATER SYSTEM</t>
  </si>
  <si>
    <t>Construction of Masonry Drainage Structure, Along Soriano Street, Centro 11, Balzain East, Tuguegarao City</t>
  </si>
  <si>
    <t>REPRODUCTION &amp; DELIVERY OF BLOOD BAG LABER STICKER WITH PROVISION OF 1 UNIT BARCODE PRINTER</t>
  </si>
  <si>
    <t>Rehabilatation of various FMRs</t>
  </si>
  <si>
    <t>Improvement of Public Cemetery, Brgy. Sangirin (Materials)</t>
  </si>
  <si>
    <t>20BK0146  Construction of 2 Units 1STY3CL Aglipay East CS 	  Aglipay, Quirino</t>
  </si>
  <si>
    <t>20LB0224 - Construction (Completion) of Multi-Purpose Building (Brgy. Hall), Brgy. Malabog, Davao City</t>
  </si>
  <si>
    <t>Office and Other Supplies</t>
  </si>
  <si>
    <t>Procurement of Business and Tricycle Plate of Mayor's Office</t>
  </si>
  <si>
    <t>Local Access Road/Upgrading</t>
  </si>
  <si>
    <t>BIDDING (VEHICLE)</t>
  </si>
  <si>
    <t>Repair/Maintenance of DPWH Building (Rediras Building) Albay II District Engineering Office, Airport Site, Legazpi City, Albay</t>
  </si>
  <si>
    <t>Ozone Generator</t>
  </si>
  <si>
    <t>SUPPLY &amp; DELIVERY OF DELIVERY LIGHT,  DELIVERY SET &amp; DELIVERY TABLE</t>
  </si>
  <si>
    <t>ITB No. 2020-06-22 Supply and Delivery of Seventy-one (71) sets - Brand New, Four Stroke cycle, diesel engine, 6.0 - 7.0 hp., air cooled, 3,000-3,600 rpm belt driven to high pressure Horizontal Triple</t>
  </si>
  <si>
    <t>SUPPLY &amp; DELIVERY OF EXAMINING TABLE WITH STIRRUPS</t>
  </si>
  <si>
    <t>PROCUREMENT OF MICRO-INFRA PROJECTS CLUSTER 05-2020 (MDF 2020), PITO, BENGUET</t>
  </si>
  <si>
    <t>Invitation to Bid for Purchase of Materials for Brigada Eskuela 2020</t>
  </si>
  <si>
    <t>Supply and Delivery of Commercial Feeds for Tilapia (Floating Type)</t>
  </si>
  <si>
    <t>Construction of MEO Building, Phase 1</t>
  </si>
  <si>
    <t>SUPPLY &amp; DELIVERY OF FETAL DOPPLER AND FETAL MONITOR</t>
  </si>
  <si>
    <t>PROOCUREMENT OF MICRO-INFRA PROJECTS CLUSTER 03-2020 (MDF 2019/2020), BILA/ BOBOK-BISAL, BENGUET</t>
  </si>
  <si>
    <t>PURCHASE OF HIGH SPEED FULL COLOR INKJET PRINTER</t>
  </si>
  <si>
    <t>SUPPLY &amp; DELIVERY OF HOSPITAL BED</t>
  </si>
  <si>
    <t>SUPPLY &amp; DELIVERY OF ECG MACHINE WITH ANALYZER</t>
  </si>
  <si>
    <t>Repair &amp; Maintenance of Machinery &amp; Equipment (Tools &amp; Parts- Ambulance, Nissan Van, Volvo Truck, Pay Loader)</t>
  </si>
  <si>
    <t>SUPPLY &amp; DELIVERY OF MEDICAL EQUIPMENT/ INSTRUMENT PACKAGES</t>
  </si>
  <si>
    <t>PURCHASE OF 1 UNIT MPV(MULTI-PURPOSE VEHICLE) 2.8L G DIESEL AT</t>
  </si>
  <si>
    <t>PURCHASE OF MOTOR VEHICLE FOR CITY ADMINISTRATOR'S OFFICE USE</t>
  </si>
  <si>
    <t>bangus fingerlings</t>
  </si>
  <si>
    <t>PURCHASE OF BRAND NEW SERVICE VEHICLE FOR USE AS SERVICE VEHICLE OF PUBLIC WORK DIVISION, CEO</t>
  </si>
  <si>
    <t>animal feeds</t>
  </si>
  <si>
    <t>CONSTRUCTION OF FACILITY (FUNCTION HALL) in Suhoton Cave, Brgy. Agcagay, Jamindan, Capiz</t>
  </si>
  <si>
    <t>PURCHASE OF ONE(1)UNIT MINI-DUMP TRUCK SURPLUS</t>
  </si>
  <si>
    <t>20CN0149 - Retrofitting/Strengthening of Permanent Bridge – Aguang Br. (B03015LZ) along Baler – Casiguran Rd (Baler – Dinadiawan)</t>
  </si>
  <si>
    <t>security services</t>
  </si>
  <si>
    <t>Purchase and Delivery of Medical, Dental and Laboratory Supplies - MHO</t>
  </si>
  <si>
    <t>IB-01-0206-20 VPAFEA SUPPLY, DELIVERY AND INSTALLATION OF GENERATOR SET</t>
  </si>
  <si>
    <t>IB-01-0186-20 COE-CE SUPPLY AND DELIVERY OF LABORATORY EQUIPMENT</t>
  </si>
  <si>
    <t>PROCUREMENT AND DELIVERY OF OFFICE AND IT EQUIPMENT</t>
  </si>
  <si>
    <t>fishing gears</t>
  </si>
  <si>
    <t>Rehab/Maintenance of Manlin-Pamintayan &amp; Delmonte Road</t>
  </si>
  <si>
    <t>PURCHASE OF MATERIALS – CONSTRUCTION OF MUNICIPAL HALL ANNEX BUILDING</t>
  </si>
  <si>
    <t>PURCHASE OF ONE MOTOR VEHICLE (AUV-BRAND NEW) FOR CITY MAYOR’S OFFICE USE</t>
  </si>
  <si>
    <t>Procurement of PRDP Vehicle Tires Intended for Year 2020</t>
  </si>
  <si>
    <t>Delivery of various Agricultural supplies (1st Semester 2020 - Consolidated) (re-bid) (ITB 20-073)</t>
  </si>
  <si>
    <t>Purchase and Delivery of Automated External Defibrillator (AED) Complete Set - MO-MDRRMO</t>
  </si>
  <si>
    <t>Delivery of Oil and Lubricants (1st, 2nd &amp; 3rd Quarter 2020) (ITB 20-074)</t>
  </si>
  <si>
    <t>REBIDDING OF LOT 1: SUPPLY AND DELIVERY OF VARIOUS MEDICAL AND SURGICAL SUPPLIES</t>
  </si>
  <si>
    <t>Procurement of Various Materials, Fuel and Lubricants for the Implementation of Road Rehabilitation Program.</t>
  </si>
  <si>
    <t>CONCRETING OF SAN RAMON BARANGAY ROAD (PUROK 3)</t>
  </si>
  <si>
    <t>Construction of 1-Unit Municipal Motor Pool Facility with Basic Amenities, Equipment and Concrete Perimeter Fence</t>
  </si>
  <si>
    <t>Proposed Upgrading of Nasipit District Hospital (Construction of Laundry Building and Repair Renovation of BEMONC Building)</t>
  </si>
  <si>
    <t>Construction of Farm-to-Market Road (Sta.1+505-Sta.1+575)</t>
  </si>
  <si>
    <t>Construction of Farm-to-Market Road (Sta.1+575-Sta.1+645)</t>
  </si>
  <si>
    <t>Contract ID No.: 20OB0437 Contract Name: Construction of Four (4) Storey, Eight (8) Classroom at San Miguel Elementary School, Brgy. San Miguel, Pasig City</t>
  </si>
  <si>
    <t>PROJ. 151 - C.O 2020</t>
  </si>
  <si>
    <t>CONCRETING OF BARANGAY ROAD (BANAYBANAY)</t>
  </si>
  <si>
    <t>Liferaft</t>
  </si>
  <si>
    <t>Supply and delivery for the Construction of Waterworks System at Purok 1, Concepcion, Mabini, Bohol</t>
  </si>
  <si>
    <t>2020 15TH PUBLIC BIDDING FOR PROCUREMENT OF MEDICAL EQUIPMENT</t>
  </si>
  <si>
    <t>Improvement of Local Access Roads/Drainage Canal with Paved Shoulders</t>
  </si>
  <si>
    <t>29.	Construction/Completion of Multi-Purpose                           Covered Court at Brgy. San Isidro (Phase II), Rosario, Batangas</t>
  </si>
  <si>
    <t>Procurement of One-Shot Assistance for the Marginalized Families</t>
  </si>
  <si>
    <t>19.	Construction of Barangay / Farm to Market Road at Brgy. Marawoy, Lipa City, Batangas</t>
  </si>
  <si>
    <t>30.	Construction of Street Lighting System at Brgy. Quezon, Lipa City, Batangas</t>
  </si>
  <si>
    <t>20GFN0007 FURNISHING AND DELIVERY OF CONSTRUCTION SUPPLIES, CONSTRUCTION EQUIPMENT/DEVICE, MEDICAL SUPPLIES, OTHER SUPPLIES &amp; CONSTRUCTION TOOLS FOR USE IN THE MAINTENANCE SECTION, DPWH, CAMARINES 5TH</t>
  </si>
  <si>
    <t>12.	Construction of Footbridge at Brgy. Tabangao-Ambulong (Phase II), Batangas City</t>
  </si>
  <si>
    <t>18.	Construction of Canal/Drainage System, Seawall, Riprapping at Brgy. Luyos, Tanauan City, Batangas</t>
  </si>
  <si>
    <t>CONSTRUCTION OF CARATAGAN IRRIGATION PIPELINE SYSTEM OF PENRO, ILOILO</t>
  </si>
  <si>
    <t>11.	Construction/Completion of Multi-Purpose Covered Court at Brgy. San Martin (Phase II), San Luis, Batangas</t>
  </si>
  <si>
    <t xml:space="preserve">Printing and Delivery of Newsletter to be used for Information Dissemination of the City's Projects, Programs and Activities for the 1st Semester of 2020 in the City of San Fernando, Pampanga subject </t>
  </si>
  <si>
    <t>17.	Construction of Barangay / Farm to Market Road at Brgy. Cale (Asphalt Overlay), Tanauan City, Batangas</t>
  </si>
  <si>
    <t>SUPPLY &amp; DELIVERY OF VENTILATOR</t>
  </si>
  <si>
    <t>small value procuremnet of Faulty Electrical Wirings</t>
  </si>
  <si>
    <t>10.	Construction/Completion of Multi-Purpose Covered Court at Brgy. Dulangan (Phase II),                                      San Luis, Batangas</t>
  </si>
  <si>
    <t>CONSTRUCTION OF CANAUILLIAN HANGING BRIDGE OF PENRO, Iloilo</t>
  </si>
  <si>
    <t>2.	Construction of Barangay / Farm to Market Road at Brgy. Prenza, Lian, Batangas</t>
  </si>
  <si>
    <t>1.	Rehabilitation/Improvement of Provincial Road at Brgy. Dalima, Tuy, Batangas</t>
  </si>
  <si>
    <t>8.	Construction of Barangay / Farm to Market Road at Brgy. Banaba West, Batangas City</t>
  </si>
  <si>
    <t>INVITATION TO BID FOR: SUPPLY, DELIVERY AND INSTALLATION OF AIR-CONDITIONING SYSTEM FOR GROUND FLOOR OFFICES (MUNICIPAL BUILDING – LEGISLATIVE WING) - CORELLA, BOHOL</t>
  </si>
  <si>
    <t>9.	Construction of Barangay / Farm to Market Road at Brgy. Balete, Batangas City</t>
  </si>
  <si>
    <t>Hygiene Kit Assistance for Senior Citizens</t>
  </si>
  <si>
    <t>20OI0124: Construction/Rehabilitation of Multi-Purpose Building, Pulanglupa 1, Las Pinas City</t>
  </si>
  <si>
    <t>SUPPLY AND DELIVERY OF DENTAL SET, AND DENTAL UNIT</t>
  </si>
  <si>
    <t>20FE0124 – CONSTRUCTION OF CLASSROOMS, PAMPLONA NHS, PAMPLONA, CAMARINES SUR</t>
  </si>
  <si>
    <t>Provision of Motor Vehicle, and Motorcycle (G-20-03-A)</t>
  </si>
  <si>
    <t>Supply and Delivery of Tilapia Feeds at Buhi Freshwater Fishery Farm, Sta. Clara, Buhi, Camarines Sur</t>
  </si>
  <si>
    <t>small value for procurement of medecines and wash in school</t>
  </si>
  <si>
    <t>Rehabilitation/Expansion of Water System</t>
  </si>
  <si>
    <t>PURCHASE OF 4 WHEELER-TRUCK FOR SOCIO ECONOMIC ENTERPRISE UNIT-MARKETS USE</t>
  </si>
  <si>
    <t>Supply and Delivery of Various I.T. and Office Equipment for IMEAS</t>
  </si>
  <si>
    <t>Supply and Delivery of Various I.T. Equipment for UTDC</t>
  </si>
  <si>
    <t>2020-MS-101 Compressed Air (Rebid)</t>
  </si>
  <si>
    <t>Supply and Delivery of One (1) lot Sealed Lead Acid Battery</t>
  </si>
  <si>
    <t>SUPPLY AND DELIVERY OF ONE (1) UNIT RING NET (2nd Publication</t>
  </si>
  <si>
    <t>consultancy services</t>
  </si>
  <si>
    <t>MUNICIPAL BUILDING FACADE &amp; RELOCATION OF FLAGPOLE at Brgy. Poblacion, Jamindan, Capiz</t>
  </si>
  <si>
    <t>Rehabilitation/Improvement of Brgy. Malino, Jiabong, Samar</t>
  </si>
  <si>
    <t>Development of Cold Spring Resort</t>
  </si>
  <si>
    <t>Procurement of Labor, Materials and Spare Parts for the Repair of Various Office Air Conditions</t>
  </si>
  <si>
    <t>Cluster XXXXII</t>
  </si>
  <si>
    <t>Repair and Rehabilitation of Tarangnan Community Hospital</t>
  </si>
  <si>
    <t>Supply and Delivery of Printing Supplies for different departments (Non-PS) (PR No. 2020-06-0560)</t>
  </si>
  <si>
    <t>DESIGN AND BUILD FOR THE CONSTRUCTION OF 2-STOREY PASSENGER TERMINAL BUILDING AT MALATAPAY, BARANGAY MALUAY, ZAMBOANGUITA, NEGROS ORIENTAL</t>
  </si>
  <si>
    <t>(Cluster IX) Local Program; Construction/ Repair/ Rehabilitation/ Improvement of Building and other Structures; Multi-Purpose/ Facilities: Construction of Multi-Purpose Building in Various Barangays a</t>
  </si>
  <si>
    <t>Local Infrastructure Program; Building and other Structures; Multi-Purpose/ Facilities: Improvement/Rehabilitation of City Hall, Brgy. Tabon, Mabalacat City, Pampanga</t>
  </si>
  <si>
    <t>Local Infrastructure Program; Building and other Structures; Multi-Purpose/ Facilities: Construction and/or Repair/ Rehabilitation of Multi-Purpose Building, Brgy. Balibago, Angeles City, Pampanga</t>
  </si>
  <si>
    <t>ITB - Vehicles (SIDA)</t>
  </si>
  <si>
    <t>PROCUREMENT OF GENUINE HP TONER CARTRIDGES (For Existing units of HP Printers) (ITB # M20-06-01)</t>
  </si>
  <si>
    <t>Supply and Delivery of Various Chairs for SEC Head Office and Extension Offices.</t>
  </si>
  <si>
    <t>Lease Contract for 32 units of Digital Copier Machines for SEC Head Office and Extension Offices for a period of one (1) year.</t>
  </si>
  <si>
    <t>INFRASTRUCTURE WORKS FOR THE CONSTRUCTION OF LINE CANAL AT BARANGAY CALANGO, ZAMBOANGUITA, NEGROS ORIENTAL</t>
  </si>
  <si>
    <t>Concreting of Lupang Tagalog Farm to Market Road (217 meters)</t>
  </si>
  <si>
    <t>IMPROVEMENT/CONCRETING OF MACABAKLE BRGY. ROAD</t>
  </si>
  <si>
    <t>Procurement of Plumbing and Hardware Supplies</t>
  </si>
  <si>
    <t>Purchase of IT Equipment as Subsidy to PNP by the Provincial Government of Zamboanga del Sur</t>
  </si>
  <si>
    <t>Cluster XXXX</t>
  </si>
  <si>
    <t>Procurement of Supply &amp; Delivery of Farm Inputs (Typhoon Ursula)</t>
  </si>
  <si>
    <t>Stock Room, Concoction Center, Vermi Compositing and Plant Nursery</t>
  </si>
  <si>
    <t>INVITATION TO APPLY FOR ELIGIBILITY AND TO BID FOR THE SCIENCE RESEARCH FACILITY UNDER DESIGN AND BUILD SCHEME (REBIDDING)</t>
  </si>
  <si>
    <t>Construction of Vermi Culture Facility and Wood Vinegar Facility</t>
  </si>
  <si>
    <t>Supply and Delivery of Robotics Kit (Re-Post)</t>
  </si>
  <si>
    <t>Cluster XXXXIII</t>
  </si>
  <si>
    <t>INSTALLATION OF LINED CANALS AND SLOPE PROTECTION AT SITIO UPPER CABACUNGAN TO BOUNDARY SITIO WALO, BARANGAY BULACAN, MALALAG, DAVAO DEL SUR all in accordance to plans, specifications and scope of wor</t>
  </si>
  <si>
    <t>Procurement of Office Supplies (1st and 2nd Quarter of 2020)</t>
  </si>
  <si>
    <t>20EF0120 Cluster III – 1. Construction of Rain Water Collection System (RWCS) New Panay Elementary School 2. Construction of Rain Water Collection System (RWCS) Irader Elementary School 3. Constructio</t>
  </si>
  <si>
    <t>20EF0119 Cluster II – 1. Construction of Rain Water Collection System (RWCS) El Salvador Elementary School 2. Construction of Rain Water Collection System (RWCS) Olympic Elementary School 3. Construct</t>
  </si>
  <si>
    <t>Rehabilitation/Improvement of Brgy. Bagacay-Concord Road</t>
  </si>
  <si>
    <t>20HH0136-Local Program: Local Infrastructure Program – Buildings and other Structure – Multi Purpose / Facilities – Construction of Multi – Purpose Building, Barangay Labangon, Cebu City</t>
  </si>
  <si>
    <t>20EF0118 Cluster I – 1. Construction of Rain Water Collection System (RWCS) Batang-Batang Beach Elementary School 2. Construction of Rain Water Collection System (RWCS) Cabuluan Elementary School 3. C</t>
  </si>
  <si>
    <t>HFEP ITB 2020-002 Infrastructure</t>
  </si>
  <si>
    <t>20GEF009 (Re-bid 1) Cluster IV – 1. Supply and Delivery of Office Equipment for use of Maintenance Section 2. Supply and Delivery of I.T. Equipment for use of Maintenance Section Palawan 2nd DEO, Narr</t>
  </si>
  <si>
    <t>Procurement of 1 Lot Rehabilitation Supplies for the 3rd Quarter of 2020</t>
  </si>
  <si>
    <t xml:space="preserve">CONSTRUCTION OF JUNCTIONS FOR THE REHABILITATION OF SAN ISIDRO, HAGONOY TO KM. 67, MATANAO FMR all in accordance to plans, specifications and scope of work and the Green Procurement Policy as adopted </t>
  </si>
  <si>
    <t>Procurement of 1 Lot Various Office Supplies for the 3rd Quarter of 2020</t>
  </si>
  <si>
    <t>Procurement of 1 Lot Fuel, Oil and Lubricant Expenses for the 3rd Quarter of 2020</t>
  </si>
  <si>
    <t>Procurement of 1 Lot Various Drugs and Medicines for the 3rd Quarter of 2020</t>
  </si>
  <si>
    <t>Procurement of 313, 150 Liters Diesel Fuel</t>
  </si>
  <si>
    <t>Supply and Delivery of One (1) Unit Brand New Big Bus, 6 Wheeler, Completely Build Unit (CBU)</t>
  </si>
  <si>
    <t>Supply and Delivery of Two (2) Units Brand New Mini Bus, 4x2 M/T Diesel</t>
  </si>
  <si>
    <t>Development  and Deployment of the Philippines Anti-Illegal Drugs Strategy – Agency Reporting and Monitoring System (PADS-ARMS)</t>
  </si>
  <si>
    <t>PURCHASE OF BRAND NEW MULTI-PURPOSE STAINLESS WATER TANKER FOR THE MUNICIPALITY OF ALEGRIA USE</t>
  </si>
  <si>
    <t>Supply, Delivery and Installation of 4 Units High Volume Low Speed Fan</t>
  </si>
  <si>
    <t>Supply and Delivery of Fuel, Oil and Lubricants use for the Construction/Rehab. of Local Roads.</t>
  </si>
  <si>
    <t>Purchase of Various Materials for the Cacao Nursery Program of the Provincial Government of Zamboanga del Sur</t>
  </si>
  <si>
    <t>Purchase of One (1) Unit 4x4 Pick up Vehicle</t>
  </si>
  <si>
    <t xml:space="preserve">20EF0121 Cluster IV – 1. Construction of Rain Water Collection System (RWCS) Mangkongon Elementary School 2. Construction of Rain Water Collection System (RWCS) Amas Elementary School 3. Construction </t>
  </si>
  <si>
    <t>20CSKK0004 -  Conduct of Relocation Survey of Road-Right-of-Way (RROW) of Municipalities of Kinoguitan, Balingoan and Talisayan, All Barangays along Butuan-Cagayan de Oro-Iligan Road (BCIR) within Mun</t>
  </si>
  <si>
    <t>Procurement of 1 Lot Printing and Publication for the 3rd Quarter of 2020</t>
  </si>
  <si>
    <t>10	boxes	Aciclovir 400mg tablet, 100's, etc. PR # 231-20</t>
  </si>
  <si>
    <t>RE-BIDDING FOR THE COMPLETION OF ROXAS RURAL HEALTH UNIT (TB DOTS AND BIRTHING FACILITY) &amp; SAN VICENTE RURAL HEALTH UNIT (TB DOTS BUILDING) IN ROXAS AND SAN VICENTE, PALAWAN - PHASE 2 (LOT 2)</t>
  </si>
  <si>
    <t>Cluster XXXXI</t>
  </si>
  <si>
    <t>Invitation to bid for the purchase of 20 units seafood stall</t>
  </si>
  <si>
    <t>Invitation to bid for the purchase of 165 pails paint and 1,000 sacks cement</t>
  </si>
  <si>
    <t>SUPPLY AND DELIVERY OF THIRTY FOUR (34) UNITS BRAND NEW TRACTOR WITH IMPLEMENTS</t>
  </si>
  <si>
    <t>Purchase of 6 units Multicab and 3 Units Prisoner’s Van Province of Northern Samar</t>
  </si>
  <si>
    <t>Supply and Delivery of Multi-Purpose Vehicles</t>
  </si>
  <si>
    <t>20CW-GSC-022 ESTABLISHMENT OF ORGANIC TRADING POST CITY OF GENERAL SANTOS CITY</t>
  </si>
  <si>
    <t>construction of water reservoir(Macatcatud)</t>
  </si>
  <si>
    <t>2020-17 “SUPPLY, DELIVERY AND INSTALLATION OF MARINE SPARE PARTS AND AIR-CONDITIONING SYSTEM TO BFAR VESSELS”</t>
  </si>
  <si>
    <t>Delivery of Integrated Water Supply (Pipes) needed for Construction of Tayawan-Minaba Water System (ITB 20-070)</t>
  </si>
  <si>
    <t>SOIL/ GEOTECHNICAL INVESTIGATION FOR THE PROPOSED CONSTRUCTION OF VARIOUS FLOOD CONTROL PROJECTS AND PROPOSED CONSTRUCTION OF BUILDING PROJECT WITHIN 5TH AND 6TH DISTRICT OF PANGASINAN</t>
  </si>
  <si>
    <t>Purchase of Equipments, Furniture and Fixtures for the Teen Center of Luca National High Schoo</t>
  </si>
  <si>
    <t>Procurement of Furniture &amp; Fixtures for PRO XI CY 2020</t>
  </si>
  <si>
    <t>PR No. 20030903 – Supply and Delivery of Two (2) units Truck Dropside 6 Wheeler</t>
  </si>
  <si>
    <t>Negotiated Lease of Office Space for PRO XI LHIO Nabunturan through MYOA</t>
  </si>
  <si>
    <t>Procurement of 1 Lot Military Supplies (Ammunition) for the 3rd Quarter of 2020</t>
  </si>
  <si>
    <t>INFRA 2K20-39 CONSTRUCTION OF DAGUM-MATALANG ROAD</t>
  </si>
  <si>
    <t>INFRA 2K20-41 REHAB. &amp; IMPROVEMENT OF ZAMBO. DEL SUR PROVINCIAL COLLEGE</t>
  </si>
  <si>
    <t>Improvement of Water System (Phase 2)</t>
  </si>
  <si>
    <t>CONSTRUCTION AND INSTALLATION OF MUNICIPAL SOLAR STREET LIGHTING Poblacion, Tubod, Lanao del Norte</t>
  </si>
  <si>
    <t>Invitation to bid for the construction of 130 meters concrete pathway at Purok 1, Buenavista, Uson, Masbate</t>
  </si>
  <si>
    <t>Invitation to bid for the barangay road concreting at Purok 5 to 6, Armenia, Uson, Masbate</t>
  </si>
  <si>
    <t>HO-GRF20-001 - Split Type Metal Enclosure (STME) and Other Accessories Needed for the Reinforcement of the Buckle Anomaly and Damaged Flange Connection of Ilijan Natural Gas Pipeline</t>
  </si>
  <si>
    <t>Procurement of External Hard Disk</t>
  </si>
  <si>
    <t>Supply &amp; Delivery of White Bookpaper_July 7, 2020</t>
  </si>
  <si>
    <t>PROCUREMENT FOR THE SUPPLY, DELIVERY AND INSTALLATION OF VARIOUS LABORATORY EQUIPMENT FOR USE OF NATIONAL PLANT QUARANTINE SERVICES DIVISION (NPQSD)</t>
  </si>
  <si>
    <t>INFRA 2K20-50 CONCRETING OF ROAD FROM JOSEFINA TO BALINTAWAK, MARGOSATUBIG (PHASE I)</t>
  </si>
  <si>
    <t>C-2020-01: ENGAGEMENT OF AN ADVERTSING /DESIGN AGENCY FOR THE DESIGN, CONTENT DEVELOPMENT, PRINTING AND DELIVERY OF THE 2019 ANNUAL REPORT OF THE DEVELOPMENT BANK OF THE PHILIPPINES (DBP)</t>
  </si>
  <si>
    <t>Supply/Delivery of Grocery Item for Relief Packs to be given to Senior Citizen. (PR # 20-06-0603)</t>
  </si>
  <si>
    <t>Negotiated Lease of Office Space for PRO XI LHIO Tagum through MYOA</t>
  </si>
  <si>
    <t>ITB-GS-20200313-01 - Supply and Delivery of 11,360 bundles Clear Plastic Jacket for Savings, Signature Card  and 10,400 reams Whitewove Paper Mimeo</t>
  </si>
  <si>
    <t>20CSA001: CCONSULTANCY SERVICES FOR THE CONDUCT OF FEASIBILITY STUDY OF PROPOSED CONSTRUCTION OF MISSING LINKS AND NEW ROADS CERVANTES (ILOCOS SUR) - BESAO-SAGADA (MT. PROVINCE) ROAD VIA LAYLAYA (REGI</t>
  </si>
  <si>
    <t>PROCUREMENT OF MEDICAL/SURGICAL/LABORATORY/DENTAL &amp; X-RAY SUPPLIES FOR USE AT KALINGA PROVINCIAL HOSPITAL, 20-05-940</t>
  </si>
  <si>
    <t>20H00061 - Cluster Project: Construction of Rain Water Supply/Septage and Sewerage/Rain Water Collectors-Rain Water Collectors in Public Facilities-19 Units</t>
  </si>
  <si>
    <t>Invitation to bid for the barangay road concreting at Candelaria, Uson, Masbate</t>
  </si>
  <si>
    <t>3 lots Strapping and Bundling Materials and Band Rolls</t>
  </si>
  <si>
    <t>Supply of Materials for the Repair Parts of M &amp; R: Communication Equipment of LMSs</t>
  </si>
  <si>
    <t>RFQ / 20-06-0273 / PROCUREMENT OF CERAMIC FLOOR TILES, 30 X 60CM AND 7 OTHER LINE ITEMS</t>
  </si>
  <si>
    <t>Negotiated Lease of Office Space for PRO XI Annex Building 1 through MYOA</t>
  </si>
  <si>
    <t>Supply of Materials for the Repair Parts of M &amp; R: Power System of LMSs</t>
  </si>
  <si>
    <t>Concreting of Farm to Market Road (Roma Norte-Batu Road)</t>
  </si>
  <si>
    <t>Construction Projects-Concreting of Access Road (Rizal,Lopez Jaena)-MEO,Lopez Jaena</t>
  </si>
  <si>
    <t>20CSA002: CONSULTANCY SERVICES FOR THE CONDUCT OF FEASIBILITY STUDY OF PROPOSED CONSTRUCTION OF MISSING LINKS AND NEW ROADS NAGUILIAN-BAGULIN (LA UNION) - KAPANGAN (BENGUET) ROAD (REGION I)</t>
  </si>
  <si>
    <t>Construction of Rural Access Road</t>
  </si>
  <si>
    <t>Rehabilitation/Maintenance of Farm to Market Road</t>
  </si>
  <si>
    <t>Procurement of Fully Automated Digital Radiography Ceiling Mounted with Design and Build with Integrated Radiololy Information System (RIS)</t>
  </si>
  <si>
    <t>Procurement of Catering Services for the 4th Level Training 2020 CPH of PSA RSSO IX and the Provinces</t>
  </si>
  <si>
    <t>Equipment for Banana Tissue Culture Laboratory</t>
  </si>
  <si>
    <t>Concrete Paving along River Park 100LM(Phase 1) (06-0592)CPDO</t>
  </si>
  <si>
    <t>Pasalubong Center</t>
  </si>
  <si>
    <t>Procurement of Dental Digital Panoramic X-ray Machine with Complete Accessories and Installation</t>
  </si>
  <si>
    <t>REHABILITATION OF MULTI-PURPOSE HALL (OLD MUNICIPAL BUILDING)</t>
  </si>
  <si>
    <t>Diesel Fuel etc. (05-0543) CMO</t>
  </si>
  <si>
    <t>Procurement of Consultancy Services for the “Implementation of the 2020 PhilHealth Client Awareness and Satisfaction Survey”</t>
  </si>
  <si>
    <t>Contract ID No. 20NC0125 - Construction of Agusan River Flood Control Sta. 0+000-0+050.00, Veruela, Agusan del Sur</t>
  </si>
  <si>
    <t>Contract ID No. 20NC0124 - Construction of Riverbank Protection of Ihawan River Sta. 0+000-0+060.00, Loreto, Agusan del Sur</t>
  </si>
  <si>
    <t>Supply, Delivery, Installation and Commissioning of Air-Conditioning System for the Bureau of Quarantine</t>
  </si>
  <si>
    <t>HO-DMD20-005 - Supply and Delivery of Heavy Duty Stapler and OTG Flashdrive</t>
  </si>
  <si>
    <t>Supply and Delivery of 40 Units Brand New Customized Police Patrol Vehicle</t>
  </si>
  <si>
    <t>INVITATION TO BID FOR THE  NEGOTIATED PROCUREMENT OF RESEARCH LABORATORY EQUIPMENT FOR CY 2020</t>
  </si>
  <si>
    <t>Completion of Covered Court of VSU Villaba</t>
  </si>
  <si>
    <t>BID - Various Manila Aide Uniforms, Supplies and Materials - DPS 2nd qtr</t>
  </si>
  <si>
    <t>HO-AWA20-004 - Supply and Delivery of Waterproof Hiking Shoes</t>
  </si>
  <si>
    <t>One (1) Lot Preventive Maintenance of Integrated Electronic Security System for BSP Head Office 2020, as per BSP Terms of Reference and Service Level Agreement</t>
  </si>
  <si>
    <t>RE-BID FOR THE PURCHASE OF SERVICE BUS FOR OFFICIAL TRANSACTIONS OF THE COLLEGE</t>
  </si>
  <si>
    <t>Consulting Services for the Detailed Architectural And Engineering Design for the Proposed Construction of the Multi-Purpose Building (Barangay Hall and Fire and Rescue Brigade Headquarters) for Baran</t>
  </si>
  <si>
    <t>RFQ / PR 20-05-0268 / PROCUREMENT OF DSLR CAMERA WITH 18-105MM KIT LENS AND BAG</t>
  </si>
  <si>
    <t>20-DO-0083: Repair/Maintenance of Flood Control &amp; Drainage Structures along Manila East Road, Halayhayin Bridge, Pililla, Rizal</t>
  </si>
  <si>
    <t>PROCUREMENT FOR THE EXPANSION OF EXISTING SOLID STATE DRIVE (SSD) IB NO. 2020-222</t>
  </si>
  <si>
    <t>20NA0072 Completion of Conference/Seminar Building, Brgy. Poblacion, Jabonga, Agusan del Norte</t>
  </si>
  <si>
    <t>INFRA 2K20-49 CONCRETING OF BINUAY TO BALUNO ROAD SECTION</t>
  </si>
  <si>
    <t>Fabrication and installation of Six (6) Trash Trap  along San Cristobal River, San Juan River, Cabuyao River and Binan River in the Province of Laguna</t>
  </si>
  <si>
    <t>PROCUREMENT OF CONSULTING SERVICES FOR THE DEVELOPMENT OF COMPETENCY MODELLING, PROFILING AND ASSESSMENT OF TECHNICAL JOB POSITIONS IN THE PHILIPPINE NATIONAL RAILWAYS (PNR)</t>
  </si>
  <si>
    <t>PR No. 2020-02-0384-MAIN-Supply and Delivery of Cheque Paper for Registrar’s Office</t>
  </si>
  <si>
    <t>INVITATION TO BID FOR PROCUREMENT OF ONE (1) CROSSOVER UTILITY VEHICLE AND ONE (1) PASSENGER VAN</t>
  </si>
  <si>
    <t>Rebidding of 3 Projects Construction Materials (B-82-2020)</t>
  </si>
  <si>
    <t>INFRA 2K20-46 REHABILITATION OF POB. LAKEWOOD – BAKING – DAGUM ROAD</t>
  </si>
  <si>
    <t>Invitation to bid for the barangay road concreting at Arado, Uson, Masbate</t>
  </si>
  <si>
    <t>HO-WMD20-001 - Supply and Delivery of Desktop Computer and Laptop</t>
  </si>
  <si>
    <t>PR No. 2020-02-0190-MAIN-Supply and Delivery of Hotel Housekeeping Instructional and Laboratory Materials for the College of Business Arts and Sciences</t>
  </si>
  <si>
    <t>Invitation to bid for the barangay road concreting at Purok 4, Buenavista, Uson, Masbate</t>
  </si>
  <si>
    <t>Purchase of Emergency Medical Service for Rural Health Unit Use</t>
  </si>
  <si>
    <t>Invitation to bid for the construction of circumferential concrete pathway at Campana, Uson, Masbate</t>
  </si>
  <si>
    <t>REQUEST FOR QUOTATION -One Year Lease of Network Performance monitoring System</t>
  </si>
  <si>
    <t>Procurement of Reference Books (Lot 1-7)</t>
  </si>
  <si>
    <t>20CSHN09 -Appraisal Services for Road-Right-of-Way Acquisition – Road Widening - Secondary Roads - Consolacion-Tayud-Liloan  Road - Chainage 1920 - Chainage 2823, Consolacion, Cebu</t>
  </si>
  <si>
    <t>Procurement of One (1) Lot Cremation Equipment for Small Animals and One (1) Lot Individually Ventilated Caging (IVC) System for Mice</t>
  </si>
  <si>
    <t>Purchase of Emergency Medical Service for MDRR Use</t>
  </si>
  <si>
    <t>PR No. 2020-02-0293-MAIN-Supply, Delivery and Installation of Laboratory Equipment for Garments Technology Instruction for the College of Teacher Education</t>
  </si>
  <si>
    <t>Contract ID No. 19CSK00053 – Consulting Services for the Conduct of Soil Testing/Exploration for Bridge Projects - Geotechnical Investigation - Construction of Pigsuotan Bridge, Brgy. Mandulog, Iligan</t>
  </si>
  <si>
    <t>ITB NO. 2020-0012 Design, Supply, Fabrication of Mounting Brackets and Installation and Testing of Antenna Panels for the Zamboanga Transmitter Station of the People’s Television Network Inc. (PTNI)</t>
  </si>
  <si>
    <t>Upgrading of the Tissue Culture Laboratory, Area: 315.0 Sq.M. at  Isabela State University, Cabagan, Isabela</t>
  </si>
  <si>
    <t>PR# MG-MGE20-008 - BEDDINGS &amp; 13 OTHER ITEMS</t>
  </si>
  <si>
    <t>PR No. 2020-02-0192-MAIN-Supply and Delivery of Audio and Visual Equipment (TV Sets) for Instructional Purposes of CTAS</t>
  </si>
  <si>
    <t>Supply and Delivery of One Hundred Fifty (150) units Smart Television</t>
  </si>
  <si>
    <t>PH-NPC-162238-GO-RFB - Solar Home Systems (SHS) for Access to Sustainable Energy Project Philippines, Window 2</t>
  </si>
  <si>
    <t>REI 20CSCJ01 Consulting Services for the Conduct of Sub-surface Soil Exploration and Geotechnical Investigation for the  Construction of various Buildings and Other Structures in Tarlac.</t>
  </si>
  <si>
    <t>Evaporation Kettle</t>
  </si>
  <si>
    <t>Procurement of Carabao</t>
  </si>
  <si>
    <t>Purchase of Personal Protective Equipment (PPE) For Electrical Division Personnel</t>
  </si>
  <si>
    <t>RE-BID SUPPLY AND DELIVERY OF TWO HUNDRED SIXTY FOUR (264) UNITS WEIGHING SCALE AND 4,000 BOTTLES MULTI-VITAMINS</t>
  </si>
  <si>
    <t>REPAIR OF BRGY. COMMUNITY CENTER FLOORING (portion only)</t>
  </si>
  <si>
    <t>Contract ID No. 19CSK00055 – Consulting Services for the Conduct of Soil Testing/Exploration for Bridge Projects - Geotechnical Investigation - Construction of Concrete Bridge, Impasug-ong Bdry. Bukid</t>
  </si>
  <si>
    <t>INSTALLATION OF CCTV</t>
  </si>
  <si>
    <t>Contract ID No. 19CSK00054 – Consulting Services for the Conduct of Soil Testing/Exploration for Bridge Projects - Geotechnical Investigation - Construction of Concrete Bridge, Magsaysay-Butuan City C</t>
  </si>
  <si>
    <t>Contract ID No. 19CSK00056 – Consulting Services for the Conduct of Soil Testing/Exploration for Bridge Projects - Geotechnical Investigation - Construction of Bridge, Cagayan de Oro Diversion Road, J</t>
  </si>
  <si>
    <t>PROCUREMENT OF DRUGS AND MEDICINES FOR USE AT KALINGA PROVINCIAL HOSPITAL, 20-05-941</t>
  </si>
  <si>
    <t>CONTRACT ID: 19-10-208 REBID- SUPPLY, DELIVERY, TESTING AND COMMISSIONING OF BRAND NEW AMBULANCE (TYPE I)</t>
  </si>
  <si>
    <t>SUPPLY, DELIVERY, AND INSTALLATION  OF VARIOUS ICT EQUIPMENT UNDER THE 2020 MITHI PROJECT</t>
  </si>
  <si>
    <t>Proc of various MTPB uniforms, supplies and materials</t>
  </si>
  <si>
    <t>Concreting of Alley Road  at Sitio Batog</t>
  </si>
  <si>
    <t>INVITATION TO RE-BID FOR THE  SUPPLY, DELIVERY, AND INSTALLATION OF LOCAL AREA NETWORK (LAN) STRUCTURED CABLING IN THE NEW MSSD BUILDING, TALAMBAN, CEBU CITY PR No. 27608-001</t>
  </si>
  <si>
    <t>INVITATION TO RE-BID FOR THE  SUPPLY AND DELIVERY OF GIS DESKTOP SOFTWARE PR No. 27611-001</t>
  </si>
  <si>
    <t>PR-2020-05-116 Supply &amp; Delivery of ICT Equipment for the Laboratory Rooms &amp; Offices</t>
  </si>
  <si>
    <t>SUPPLY AND INSTALLATION OF CCTV CAMERA IN ADMIN AND ACADEMIC BUILDING</t>
  </si>
  <si>
    <t>INVITATION TO RE-BID FOR THE  SUPPLY, DELIVERY, AND INSTALLATION OF FIRE SUPRESSION SYSTEM PR No. 27388-001</t>
  </si>
  <si>
    <t>Contract ID No. 20NC0119 -Road Widening, Daang Maharlika (Agusan-Davao Section),</t>
  </si>
  <si>
    <t>Supply and Delivery of One (1) Unit Passenger Van</t>
  </si>
  <si>
    <t>Livelihood Project, Hog Fattening (Sitio Guinmisahan)</t>
  </si>
  <si>
    <t>SUPPLY AND DELIVERY OF MATERIALS FOR THE OPERATION AND MAINTENANCE OF MONGPONG DPP</t>
  </si>
  <si>
    <t>Procurement of Calibration Services</t>
  </si>
  <si>
    <t>SUPPLY AND DELIVERY OF VARIOUS WATER SERVICE CONNECTION MATERIALS FOR 2ND QUARTER PROCUREMENT OF CY 2020</t>
  </si>
  <si>
    <t>ITB NO. 2020-0013 Supply, Delivery, Installation, Testing, Commissioning and Training of Six (6) Units of  Audio Processors for the Manila, Zamboanga, Guimaras, Naga, and Cotabato Transmitter  Station</t>
  </si>
  <si>
    <t>CONSULTANCY SERVICES FOR SAMAR URBAN DEVELOPMENT PLAN</t>
  </si>
  <si>
    <t>ITB NO. 2020-0011  Provision of Security  Services of People’s Television Network, Inc. Manila Office and its Provincial Station</t>
  </si>
  <si>
    <t>Supply &amp; Delivery of Various Materials for the Installation of Solar Street Light</t>
  </si>
  <si>
    <t>INVITATION TO RE-BID FOR THE  SUPPLY AND DELIVERY OF COMPUTER NOTEBOOK PR Nos. 27619-001 to 27619-003</t>
  </si>
  <si>
    <t>Rehabilitation of Rizal – Villa Pascua Road</t>
  </si>
  <si>
    <t>PROCUREMENT FOR THE SUPPLY AND DELIVERY OF PURITY WORKBOARD, DIAPHANOSCOPE, AND CIRCLINE MAGNIFIER FOR USE IN SEED TESTING AND SEED CERTIFICATION OF NATIONAL SEED QUALITY CONTROL SERVICES DIVISION (NS</t>
  </si>
  <si>
    <t>SUPPLY OF LABOR AND MATERIALS FOR THE ESTABLISHMENT OF PROCESSING AND SOLAR DRYING FACILITY OF BPI-LGNCRDPSC, LA CARLOTA CITY, NEGROS OCCIDENTAL</t>
  </si>
  <si>
    <t>THE PROCUREMENT FOR THE SUPPLY AND DELIVERY OF PRECISION DIVIDER FOR USE IN SEED TESTING AND SEED CERTIFICATION OF NATIONAL SEED QUALITY CONTROL SERVICES DIVISION (NSQCSD)</t>
  </si>
  <si>
    <t>Rehabilitation of Maria Clara-San Isidro Road</t>
  </si>
  <si>
    <t>PROPOSED CONSTRUCTION OF COLUMBARIUM COMPLEX LOCATED AT KALAYAAN AVENUE CORNER N. GARCIA STREET, BARANGAY VALENZUELA, MAKATI CITY</t>
  </si>
  <si>
    <t>SUPPLY OF LABOR AND MATERIALS FOR THE CONSTRUCTION OF SEED STORAGE OF BPI-LGNCRDPSC, LA CARLOTA CITY, NEGROS OCCIDENTAL</t>
  </si>
  <si>
    <t>SUPPLY OF LABOR SERVICE, SUPPLIES, AND MATERIALS FOR THE ESTABLISHMENT OF 20KW GRID-TIED SOLAR PV ENERGY SYSTEM FOR TISSUE CULTURE LABORATORY OF BPI-DNCRDPSC, BAGO OSHIRO, DAVAO CITY</t>
  </si>
  <si>
    <t>PROCUREMENT FOR THE SUPPLY AND DELIVERY OF ELECTRIC HEAVY DUTY CUTTER FOR USE IN SEED TESTING AND SEED CERTIFICATION OF NATIONAL SEED QUALITY CONTROL SERVICES DIVISION (NSQCSD)</t>
  </si>
  <si>
    <t>Construction of Two Units Makeshift Building for Livelihood Project in Sitio Limite, Brgy. Daja Daku, San Isidro, Leyte, ABC PHP1,318,234.84</t>
  </si>
  <si>
    <t>PROCUREMENT FOR THE SUPPLY AND DELIVERY OF ANALYTICAL AND TOP LOADING BALANCE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</si>
  <si>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</si>
  <si>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20CE0208: Replacement of Permanent Weak Bridges Amawinan Br. (B01981LZ) along Daang Maharlika (LZ)</t>
  </si>
  <si>
    <t>Rehabilitation of Diffun – Liwayway - Sitio Pallutan Road</t>
  </si>
  <si>
    <t>20F00123 - OO1: Ensure Safe and Reliable National Road System – Bridge Program – Widening of Permanent Bridges – Pili Airport Br. (B00418LZ) along Pili Airport Road, Pili, Camarines Sur 3rd Legislativ</t>
  </si>
  <si>
    <t>Supply and Installation of Additional Split Type – Inverter Airconditioner at PBB Fixed Link, NAIA Terminal 3</t>
  </si>
  <si>
    <t>20CE0207: Widening of Permanent Bridges Manicla Br. (B01968LZ) along Daang Maharlika (LZ)</t>
  </si>
  <si>
    <t>COMPLETION OF BUAYA BARANGAY HEALTH CLINIC, MAPITPITA,BUAYA, BALBALAN</t>
  </si>
  <si>
    <t>20GB0123 - Concreting of Brgy. Maybunga FMR, Brgy. Maybunga, Laua-an, Antique</t>
  </si>
  <si>
    <t>Concreting of Alley Road at Sitio Capacuan</t>
  </si>
  <si>
    <t>PR# 20-0843- 6,500 prefilled syringe epoetin ALFA 4000iu 1ml 5,000 prefilled syringe epoetin BETA 5000iu 3ml 500 prefilled syringe INSULIN GLARGINE 100iu/ml 3ml 250 vials ISOPHANE INSULIN HUMAN (Recom</t>
  </si>
  <si>
    <t>FERTILIZERS AND SEEDS FOR URBAN AGRICULTURE GARDENING</t>
  </si>
  <si>
    <t>PURCHASE TABLES AND CHAIRS</t>
  </si>
  <si>
    <t>WDDSP-TWD-IFB-G03b</t>
  </si>
  <si>
    <t>20FO0092 - Construction of Covered Court, Brgy. La Medalla, Polangui, Albay</t>
  </si>
  <si>
    <t>74462 - Procurement of Airconditioning Check-up and Cleaning Services</t>
  </si>
  <si>
    <t>SUPPLY OF DELIVERY OF TOOLS AND EQUIPMENT FOR OM MQNL</t>
  </si>
  <si>
    <t>ITB-GS-20200323-01 - 1 Lot Supply, Delivery and Installation of Systems Furniture for LANDBANK Malolos Highway Office Building</t>
  </si>
  <si>
    <t>20BF0052: Concreting of Road, Brgy. Bannawag, Aurora, Isabela</t>
  </si>
  <si>
    <t>Two (2) Years and Six (6) Months Contract for Janitorial Services (July 2020 to December 2022)</t>
  </si>
  <si>
    <t>Purchase of Eleven (11) Units Laptop for the Use of Sangguniang Bayan</t>
  </si>
  <si>
    <t>RFQ / 20-03-0226 / PROCUREMENT OF 24 GALS RED OXIDE PRIMER AND 6 OTHER LINE ITEMS</t>
  </si>
  <si>
    <t>20BF0054: Concreting of Katuday-Simimbaan Road, Brgy. Bantug and Brgy. Simimbaan, Sta. 0+000 to Sta. 3+600, Roxas, Isabela</t>
  </si>
  <si>
    <t>ITB-GS-20200402-01 - Supply and Delivery of 250 Units Gigabit Ethernet Switch</t>
  </si>
  <si>
    <t>RFQ / PR 20-03-0182 / PROCUREMENT OF CONSTRUCTION MATERIALS FOR WALK-IN CLOSET</t>
  </si>
  <si>
    <t>20BF0053: Concreting of Road, Brgy. San Antonio, Roxas, Isabela</t>
  </si>
  <si>
    <t>(19Z00043) Contract Package -2, Design and Build of the Ambal-Simuay River and Rio Grande De Mindanao Flood Control Projects</t>
  </si>
  <si>
    <t>Supply and Delivery of Various Personal Protective Equipment (PPE)</t>
  </si>
  <si>
    <t>Supply and Delivery of Tilapia Feeds</t>
  </si>
  <si>
    <t>(19Z00042) Contract Package -1, Design and Build of the Ambal-Simuay River and Rio Grande De Mindanao Flood Control Projects</t>
  </si>
  <si>
    <t>ITB-GS-20200407-01 - Supply, Delivery, Installation &amp; Configuration of Privileged Access Management (PAM) Solution  with Hardware Appliance with Three (3) Years Warranty</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</si>
  <si>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</si>
  <si>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</si>
  <si>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20KA0142 Construction of Multi Purpose Building - Construction of Multi-Purpose  Building, Brgy. Iba, Cabanglasan, Bukidnon (Phase II) Cabanglasan, Bukidnon</t>
  </si>
  <si>
    <t>(20P00017)-(BLISTT), Labey – Lacamen Provincial Road (Section 4A of BLISTT Outer Ring Circumferential Road), Sta. 0 + 317 – Sta. 1 + 378, Sta.  4 + 632 - Sta. 5 + 250, Sta. 6 + 014 - Sta. 6 + 518</t>
  </si>
  <si>
    <t>ITB-GS-20200325-01 - One (1) Year Courier Services for LANDBANK Credit Cards, Statement of Accounts and Other Credit Card Related Parcels</t>
  </si>
  <si>
    <t>Handheld Radios</t>
  </si>
  <si>
    <t>ITB and Bid Docs for Procurement ID/Contract ID:    20C00036  Contract Name:      Local Program – Local Infrastructure Program – Buildings and Other Structures – Multi Purpose Facilities – Constructio</t>
  </si>
  <si>
    <t>20KA0139 Road Widening along Jct SH Aglayan-Zamboanguita Rd (S00631MN) - K1523 + 850 - K1525 + 500 (Package 2 - K1525 + 340 - K1525 + 500) Malaybalay City, Bukidnon</t>
  </si>
  <si>
    <t>Purchase of spareparts</t>
  </si>
  <si>
    <t>20HG0161 (RE-BID) - Local Program, Local Roads and Bridges, Local Bridge, Construction of Canbantug-Linut-od Bridge</t>
  </si>
  <si>
    <t>2020-GOODS-03; SUPPLY/DELIVERY AND INSTALLATION OF COMPUTER DESKTOP, CORE I7/ AND CORE I5, LAPTOP COMPUTERS CORE i7 AND CORE i5,  W/ COMPLETE ACCESSORIES, UPS- UINTERRUPTABLE POWER SUPPLY, AND PRINTER</t>
  </si>
  <si>
    <t>Supply and Delivery of One (1) Lot Test Sieve Calibration Standards</t>
  </si>
  <si>
    <t>20KA0138 Construction of Multi Purpose Building - Construction of Multi-Purpose  Building, Brgy. Iba, Cabanglasan, Bukidnon (Phase I) Cabanglasan, Bukidnon</t>
  </si>
  <si>
    <t>20KA0135 Road Widening along Jct SH Aglayan-Zamboanguita Rd (S00631MN) - K1523 + 850 - K1525 + 500 (Package 1 - K1523 + 850 - K1525 + 340) Malaybalay City, Bukidnon</t>
  </si>
  <si>
    <t>SUPPLY OF LABOR, MATERIALS, MATERIALS AND EXPERTISE FOR THE REPAIR OF 600KW CUMMINS RADIATOR OF TICAO DPP</t>
  </si>
  <si>
    <t>PROCUREMENT OF DELTAMETHRIN – REBID  UNDER IB NO. 2020-172-A</t>
  </si>
  <si>
    <t>(20P00006)- (BLISTT), Labey – Lacamen Provincial Road (Section 4B of BLISTT Outer Ring Circumferential Road), Package 1 and 2, Sta. 2 + 324 – Sta. 2 + 494, Sta. 2 + 510 - Sta. 2 + 880</t>
  </si>
  <si>
    <t>20KA0137 Paving of Unpaved Roads with Construction of Road Slope Protection Structure along Jct SH Aglayan-Zamboanguita Rd (S00631MN) - K1569 + 187 - K1570 + 092 (Package 1 - K1569 + 187 - K1569 + 607</t>
  </si>
  <si>
    <t>20HG0162 (RE-BID) - Local Program, Local Roads and Bridges, Local Bridge, Construction of Lanao Bridge</t>
  </si>
  <si>
    <t>20KA0136 Paving of Unpaved Roads with Construction of Road Slope Protection Structure along Kapalong-Talaingod-Valencia (Bukidnon) Rd (S00641MN) -  K1582 + 587 - K1582 + 734 (Package 1 - K1582 + 680 -</t>
  </si>
  <si>
    <t>PROCUREMENT OF THREE (3) UNITS OF DIESEL WELDING GENERATOR FOR BRIDGE MAINTENANCE IN MANILA DIVISION – AREA 1</t>
  </si>
  <si>
    <t>(20P00005)- (BLISTT) Taloy Norte Jct. - San Pascual Brgy. Hall Jct. (Section 7 of BLISTT Outer Ring Circumferential Road)</t>
  </si>
  <si>
    <t>Concreting of 1KM Culasian-Motong Farm to Market Road.</t>
  </si>
  <si>
    <t>Conduct of  Feasibility Study of BOSIGON  IRRIGATION PROJECT, Labo, Vinzons, &amp; Paracale, Camarines Norte</t>
  </si>
  <si>
    <t>Lot 1: One (1) Lot Application of Polyurethane Foam on all BSP Buildings of BSP Cebu RO (see attached Scope of Work and Specifications)                                                                L</t>
  </si>
  <si>
    <t>Procurement of Printing Services</t>
  </si>
  <si>
    <t>(20P00009)- (BLISTT), Asin - Nangalisan Jct. - Bayabas - Monglo Jct. (Section 1 of BLISTT Outer Ring Circumferential Road), Benguet</t>
  </si>
  <si>
    <t>20BG0137-Local Infrastructure Program - Buildings and Other Structures - Multipurpose/Facilities - Construction of Multi-Purpose Building (San Mariano Evacuation Center-Phase 2), Brgy. Minanga, San Ma</t>
  </si>
  <si>
    <t>Lot 1: One (1) Unit Motor Vehicle for BSP Bacolod Branch, as per attached specifications  Lot 2: One (1) Unit Motor Vehicle for BSP Dumaguete Branch, as per attached specifications  Lot 3: One (1) Uni</t>
  </si>
  <si>
    <t>20BG0131-Local Infrastructure Program - Buildings and Other Structures - Multipurpose/ Facilities - Construction of Multi-purpose Building, Barangay Napaccu Pequeño, Reina Mercedes, Isabela</t>
  </si>
  <si>
    <t>Local Program: Construction/ Repair/ Rehabilitation/ Improvement of Buildings and Other Structures; Multi-Purpose/ Facilities; Construction of Multi-Purpose Building (Auditorium) at Brgy. Sto. Nino, M</t>
  </si>
  <si>
    <t>RFQ / 20-03-0221 / PROCUREMENT OF AIRCON REPAIR</t>
  </si>
  <si>
    <t>Profession Services (Highly Technical)</t>
  </si>
  <si>
    <t>20BG0136-Local Infrastructure Program - Buildings and Other Structures - Multipurpose/Facilities - Construction of Multi-Purpose Building (Municipal Building), Brgy. Napaccu Pequeño, Reina Mercedes, I</t>
  </si>
  <si>
    <t>20BG0135-Local Infrastructure Program - Buildings and Other Structures - Multipurpose/Facilities - Construction of Multi-Purpose Building (Terminal Building), Brgy. Napaccu Pequeño, Reina Mercedes, Is</t>
  </si>
  <si>
    <t>20J00176 - Construction of Concrete Road -  Concreting of Road along Gulangin Ipil Road, Maimbung, Sulu</t>
  </si>
  <si>
    <t>UPS</t>
  </si>
  <si>
    <t>Technical and Scientific Equipment</t>
  </si>
  <si>
    <t xml:space="preserve">20CSH020 - Procurement of  Consultancy Services for the Detailed Engineering Design (DED) Activities for various projects, Construction of Interchange along F. Sotto St., cor. Gorordo Ave., Cebu City </t>
  </si>
  <si>
    <t>20J00177 - Construction of Concrete Road -  Concreting of Road along Langhub Road, Patikul, Sulu</t>
  </si>
  <si>
    <t>20CSH019 - Procurement of  Consultancy Services for the Detailed Engineering Design (DED) Activities for various projects, Construction of Underpass along Juan Luna Ave. from the junction of Archbisho</t>
  </si>
  <si>
    <t>ITB and Bid Docs for Procurement ID/Contract ID:    20C00042 - Local Program-Construction/Repair/Rehabilitation/Improvement of various Infrastructure including Local Projects – Flood Control &amp; Drainag</t>
  </si>
  <si>
    <t>20CSH018 - Procurement of Consultancy Services for the Detailed Engineering Design (DED) Activities for Various Infrastructure Projects, Construction of Guadalupe- Lahug Bypass Road, Cebu City</t>
  </si>
  <si>
    <t>(19Z00001) Arterial Road Bypass Project (Plaridel Bypass), Phase III, Contract Packages 1 &amp; 2, KO0034+900.00 to KO0047+400.00, JICA Loan Agreement No. PH-P266</t>
  </si>
  <si>
    <t>Other Machinery and Equipment</t>
  </si>
  <si>
    <t>Installation of CCTV's in Various Barangays</t>
  </si>
  <si>
    <t>ITB- Upgrading Central Agriculture Laboratory Building (ASIST Lagangilang)</t>
  </si>
  <si>
    <t>20CSH022 - Procurement of  Consultancy Services for the Detailed Engineering Design (DED) Activities for various projects, Construction of Elevated Highway along Gen. Maxilom Ave. covering the junctio</t>
  </si>
  <si>
    <t>Supply and Delivery of FRP Materials, Underwater Fittings and Marine Engine</t>
  </si>
  <si>
    <t>Procurement of supply and delivery of Laboratory Supplies</t>
  </si>
  <si>
    <t>Supply and Delivery of 700 Box Personalized Accountable Forms 51 (Continuous FOrm) (500sets/box) and other items.</t>
  </si>
  <si>
    <t>20CSH017 - Procurement of Consultancy Services for the Detailed Engineering Design (DED) Activities for Various Infrastructure Projects, Construction of Service Road, along A.C. Cortes Ave. covering t</t>
  </si>
  <si>
    <t>Procurement of Consultancy Services as Systems Integrator for the Supply, Delivery, Installation, and Maintenance of the Philippine Identification System</t>
  </si>
  <si>
    <t>20CSH016 - Procurement of Consultancy Services for the Detailed Engineering Design (DED) Activities for Various Infrastructure Projects, Construction of Interchange (Tri-Level) along M.C. Briones St.</t>
  </si>
  <si>
    <t>20CSH021 - Procurement of Consultancy Services for the Detailed Engineering Design (DED) Activities for various projects, Construction of Flyover along P. del Rosario St. from the junction of Osmena B</t>
  </si>
  <si>
    <t>Consulting Service for the Support and Maintenance of the Business Name Registration System Next Generation (BNRSNextGEN)</t>
  </si>
  <si>
    <t>Supply and Delivery of Seaweed Propagules/Seedlings intended for the Fisherfolks in the Province of Masbate</t>
  </si>
  <si>
    <t>Purchase &amp; Installation of Communications Equipment for Bicol ( New Legazpi) International Airport (Re-Bid)</t>
  </si>
  <si>
    <t>20J00179 - Construction of  Road along Langgal Maas Matatal to Anak Jatih, Maimbung, Sulu</t>
  </si>
  <si>
    <t>20J00178 - Construction of Concrete Road -  Concreting of Road along Taboh Bato Maimbung, Sulu</t>
  </si>
  <si>
    <t>Water Quality Analysis</t>
  </si>
  <si>
    <t>CY 2020 BASIC EDUCATIONAL FACILITIES FUND (BEFF) ELECTRICAL UPGRADE OF MAKILING NATIONAL HIGH SCHOOL (ITB 2020-Infra-006)</t>
  </si>
  <si>
    <t>CY 2020 BASIC EDUCATIONAL FACILITIES FUND (BEFF) REPAIR/IMPROVEMENT OF VARIOUS SCHOOL BUILDINGS – ULANGO ES (ITB 2020-Infra-005)</t>
  </si>
  <si>
    <t>20J00188 - Construction of Concrete Road -  Concreting of Road along Pagasinan to Luuk Tulay, Pata, Sulu</t>
  </si>
  <si>
    <t>CY 2020 BASIC EDUCATIONAL FACILITIES FUND (BEFF) REPAIR/IMPROVEMENT OF VARIOUS SCHOOL BUILDINGS – SAN JUAN ES (ITB 2020-Infra-004)</t>
  </si>
  <si>
    <t>CY 2020 BASIC EDUCATIONAL FACILITIES FUND (BEFF) REPAIR/IMPROVEMENT OF VARIOUS SCHOOL BUILDINGS – LOOC ES (ITB 2020-Infra-002)</t>
  </si>
  <si>
    <t>CY 2020 BASIC EDUCATIONAL FACILITIES FUND (BEFF) REPAIR/IMPROVEMENT OF VARIOUS SCHOOL BUILDINGS – JOSE PLATON MS (ITB 2020-Infra-001)</t>
  </si>
  <si>
    <t>BIDDING FOR THE PROCUREMENT OF ONE (1) LOT INTEGRATED SECURITY SUITE FOR TWO (2) YEARS</t>
  </si>
  <si>
    <t>Supply and Delivery of Hardware Materials intended for the Operation and Maintenance of Tiwi Fry Bank</t>
  </si>
  <si>
    <t>CY 2020 BASIC EDUCATIONAL FACILITIES FUND (BEFF) ELECTRICAL UPGRADE OF BUBUYAN NATIONAL HIGH SCHOOL (ITB 2020-Infra-007)</t>
  </si>
  <si>
    <t>CY 2020 BASIC EDUCATIONAL FACILITIES FUND (BEFF) REPAIR/IMPROVEMENT OF VARIOUS SCHOOL BUILDINGS – PUNTA ES (ITB 2020-Infra-003)</t>
  </si>
  <si>
    <t>Upgrading of Desktop Computer</t>
  </si>
  <si>
    <t>SUPPLY AND DELIVERY OF CPU SERVER, ROUTER AND CABINET</t>
  </si>
  <si>
    <t>Supply and Delivery of FSP Computer Equipment</t>
  </si>
  <si>
    <t>Supply and Delivery of Ink and Printer</t>
  </si>
  <si>
    <t>20AC0087 - Rehabilitation of Tamorong Road with Slope Protection and Culvert, Brgy. Tamorong, Sta. Catalina, Ilocos Sur</t>
  </si>
  <si>
    <t>20AC0089 - Construction / Rehabilitation of Multi-Purpose Building, Poblacion East, San Ildefonso, Ilocos Sur</t>
  </si>
  <si>
    <t>20AC0080 - Construction of Drainage Canal Along Sta. Elena Creek to Mestizo River, Brgy. VIII, Vigan City, Ilocos Sur</t>
  </si>
  <si>
    <t>20HM0083 (Re-IB) - Local Program, Local Infrastructure Program, Buildings And Other Structures, Multipurpose/Facilities, Construction of Multi-Purpose Building, Brgy. Candanay Norte, Siquijor, Siquijo</t>
  </si>
  <si>
    <t>20AC0084 -Construction of River Control Along Bical River, San Juan, Ilocos Sur</t>
  </si>
  <si>
    <t>20AC0083 - Construction of Flood Control Structure Along Mestizo River, Brgy. Pandan-Manangat, Caoayan, Ilocos Sur</t>
  </si>
  <si>
    <t>20AC0081 - Rehabilitation of Rivero Street, Including Construction of Drainage Canal, Brgy. Sta. Elena, Vigan City, Ilocos Sur</t>
  </si>
  <si>
    <t>20AC0090 - Construction of Multi-Purpose Building, Magsingal, Ilocos Sur</t>
  </si>
  <si>
    <t>ITB-GS-20200212-01 - Supply and Delivery of 600 Units Passbook Printer</t>
  </si>
  <si>
    <t>20AC0079 - Construction of Don Dimas - Don Alejandro Road, Caoayan, Ilocos Sur</t>
  </si>
  <si>
    <t>ITB-GS-20191202-01 - Additional License for the Existing Solarwinds Servers, Networks, Database and Application Monitoring Tool</t>
  </si>
  <si>
    <t>SUPPLY AND DELIVERY OF PARTS NEEDED TO REPLACE DEFECTIVE ITEMS OF 163KW DALE PERKINS GENSET OF AGUTAYA DPP</t>
  </si>
  <si>
    <t>20FO0077 - Rehabilitation/Improvement of Marocmoc Bridge Flood Control Structure (Right Side Facing Upstream and Left Facing Downstream of Marocmoc Bridge) in Libon, Albay</t>
  </si>
  <si>
    <t>20AC0091 - Construction of Multi-Purpose Building, Brgy. San Vicente, Magsingal, Ilocos Sur</t>
  </si>
  <si>
    <t>20AC0088 - Construction of Multi-Purpose Building, Brgy. Bungro, San Ildefonso, Ilocos Sur</t>
  </si>
  <si>
    <t>20FO0074 - Improvement of Albay-Camsur Diversion Rd. (Ligao Section), Ligao City, Albay</t>
  </si>
  <si>
    <t>Contract ID No. 20K00347 - Construction of By-Pass and Diversion Road Jct. CDO-Talakag Road/ Macapagal Drive-Upper Carmen-Patag-Jct. BCIR/Kauswagan, Cagayan de Oro City</t>
  </si>
  <si>
    <t>20J00183 - Construction/Reblocking of Seit-Tayungan National Road Sulu KM38+000 - 41+000</t>
  </si>
  <si>
    <t>20FO0075 - Improvement of Albay-Camsur Diversion Rd. (Ligao Section) Phase 2, Ligao City, Albay</t>
  </si>
  <si>
    <t>20FO0076 - Rehabilitation of Muladbukad Flood Control Dike (Phase II), Brgy. Muladbukad, Guinobatan, Albay</t>
  </si>
  <si>
    <t>20J00180 - Construction of slope protection along Camp Andres Romandier National Road KM 29+000-KM 34+000 [with exemption], Sulu</t>
  </si>
  <si>
    <t>Supply, Delivery &amp; Installation of Science Laboratories and Research Facilities</t>
  </si>
  <si>
    <t>CID No. 20CSIO09: Consultancy Services for the Conduct of Feasibility Study of the Proposed Construction of Tacloban – Palo Diversion Road (Brgy. 89 San Jose, Brgy. 82, Marasbaras and Brgy. Calanipawa</t>
  </si>
  <si>
    <t>20J00181 - Construction of Slope Protection Along Seit-Tayungan National Road Km 38+000 - 41+000 (with exemption), Sulu</t>
  </si>
  <si>
    <t>Supply and Delivery of Six (6) Units of Cellphone</t>
  </si>
  <si>
    <t>PURCHASE OF STRONG MOTION ACCELEROGRAPH FOR SEISMIC MONITORING</t>
  </si>
  <si>
    <t>ITB-GS-20200217-01 - Three (3) Years ATM Cash Loading and First Level Maintenance Services for 600 LANDBANK ATM Units</t>
  </si>
  <si>
    <t>CID No. 20CSIO13: Consultancy Services for the Feasibility Study of the Proposed Calbayog Coastal Diversion Road, Calbayog City, Western Samar</t>
  </si>
  <si>
    <t>GSO-20-0202-B / JANITORIAL SERVICES</t>
  </si>
  <si>
    <t>20AC0077 - Construction of Multi-Purpose Building (Covered Court), Brgy. Malingeb, Bantay, Ilocos Sur</t>
  </si>
  <si>
    <t>Supply and Delivery of Bangus Fry at BFAR-MAP, San Roque, Mercedes, Camarines Norte</t>
  </si>
  <si>
    <t>20AC0078 - Construction of Multi-Purpose Building (Covered Court), Brgy. Paing, Bantay, Ilocos Sur</t>
  </si>
  <si>
    <t>Reblocking of Concrete Road at Sawaga Bridge Approach Brgy. Bangcud, Malaybalay City.</t>
  </si>
  <si>
    <t>UPLB-IF-016-03-20 CONSTRUCTION OF AREA DRAIN WITH INTERCEPTOR CANAL, DEPARTMENT OF MILITARY SCIENCE AND TACTICS, UPLB, COLLEGE, LAGUNA</t>
  </si>
  <si>
    <t>Procurement of supply and delivery of ICT Supplies</t>
  </si>
  <si>
    <t>Procurement of One (1) Lot, Three (3) Years Janitorial Services for CF-Davao and Apo View Satellite</t>
  </si>
  <si>
    <t>Construction of Sta. Barbara Arena, Phase I under Design and Build Scheme</t>
  </si>
  <si>
    <t>20CE0203: Construction of Multi-Purpose Buildings (Covered Court), Talavera National High School, Talavera, Nueva Ecija</t>
  </si>
  <si>
    <t>20CE0202: Construction of Multi-Purpose Building (Gymnasium), Talavera National High School, Talavera, Nueva Ecija</t>
  </si>
  <si>
    <t>UPLB-IF-015-03-20 IMPROVEMENT OF SITE ORNAMENTAL CROPS NURSERY, LUZ ONATE ST., UPLB CAMPUS</t>
  </si>
  <si>
    <t>CID No. 20OD0188 - Improvement of Pamantasan ng Lungsod ng Valenzuela, Brgy. Malinta, Valenzuela City</t>
  </si>
  <si>
    <t>SUPPLY AND DELIVERY OF ELECTRICAL SPARE PARTS FOR 600 KW FG WILSON AND 600 CUMMINS GENERATING SET OF ROMBLON DPP</t>
  </si>
  <si>
    <t>CID No. 20CSIO11: Consultancy Services for the Conduct of Feasibility Study of the Proposed Tanauan Bypass Road, San Miguel – Santol – Tunga Road, Tolosa – San Victor – Tabontabon Road and Dapdap – Al</t>
  </si>
  <si>
    <t>Procurement of Detailed Engineering Design for Lucac Water Supply System Project of San Francisco Water District</t>
  </si>
  <si>
    <t>CID No. 20CSIO08: Consultancy Services for the Conduct of Feasibility Study of the Proposed Construction of Bypasses/Diversion Roads along Brgy. Kilim – Sitio Tipay Road junction Ormoc – Baybay – Sout</t>
  </si>
  <si>
    <t>20AC0076 - Construction of Multi-Purpose Building (Covered Court), Brgy. San Julian, Bantay, Ilocos Sur</t>
  </si>
  <si>
    <t>Procurement of Two (2) Units Brand New 4 x 2 Pick –Up Vehicle Diesel Engine M/T, EURO 4 Emission Standard</t>
  </si>
  <si>
    <t>74126_Submersible Motor 100HP</t>
  </si>
  <si>
    <t>20AC0065 - Construction of Flood Control Brgy. Nagsabaran Bical River, San Juan, Ilocos Sur</t>
  </si>
  <si>
    <t>20AC0064 - Construction of River Control Along Parsua River, Magsingal, Ilocos Sur</t>
  </si>
  <si>
    <t>20-DO-0075: LOCAL PROGRAM - Local Infrastructure Program - Building and Other Structures - Multipurpose/Facilities - Construction of Multi-Purpose Building at Gen. Luna St. Brgy. Dulong Bayan 1, San M</t>
  </si>
  <si>
    <t>Rehabilitation of Barnhouses (Renovation of Building 2089 including Studio Room)</t>
  </si>
  <si>
    <t>BUKIDNON AIRPORT DEVELOPMENT PROJECT (Construction of Landing Area)</t>
  </si>
  <si>
    <t>ITB No. 20-049 ONE (1) LOT SUPPLY AND DELIVERY OF ONE (1) COMPLETE VIDEO LARYNGOSCOPE SYSTEM INCLUSIVE OF TWO (2) BLADES WITH CONNECTORS AND MAGILL FORCEPS AND TWO (2) UNITS COMPATIBLE FLEXIBLE VIDEOS</t>
  </si>
  <si>
    <t>20AC0075 - Construction of Multi-Purpose Building, Fuerte, Caoayan, Ilocos Sur</t>
  </si>
  <si>
    <t>20AC0074 - Construction of Multi-Purpose Building (Covered Court), Brgy. San Clemente, Magsingal, Ilocos Sur</t>
  </si>
  <si>
    <t>Contract I.D. No. 20OE0197 - Construction and / or Repair / Rehabilitation of Multi – Purpose Building Brgy. 72, Zone 6, Tondo Manila</t>
  </si>
  <si>
    <t>Supply, Delivery, Installation, Testing and Commissioning of Fire Suppression System, 5-KW Aircon, UPS, Door Access Control, Temperature and Humidity Monitoring System, Server Rack and Retrofitting of</t>
  </si>
  <si>
    <t>ITB-GS-20191023-01(2) - 1 Lot Supply, Delivery &amp; Installation of 50 Units Thru-The-Wall Cash Deposit Machine with Four (4) – Year Maintenance Package and Spare Parts</t>
  </si>
  <si>
    <t>Supply &amp; Delivery of  Digital Color Copier  (UPM - OVCPD)</t>
  </si>
  <si>
    <t>Asphalt Overlay at Clark Musem Area</t>
  </si>
  <si>
    <t>20AC0066 - Construction of Revetment Wall, Cadanglaan, Sinait, Ilocos Sur</t>
  </si>
  <si>
    <t>2020 OFF-CAMUS STUDENTS TOUR IN SUBIC, ZAMBALES</t>
  </si>
  <si>
    <t>HO-IST20-006 - Subscription of Data Analytics License and Partner Support for NPC Head Office, Diliman, Quezon City</t>
  </si>
  <si>
    <t>Contract ID No. 20FA0050: REHABILITATION/RECONSTRUCTION OF NATIONAL ROADS W/SLIPS, SLOPE COLLAPSE AND LANDSLIDE-SECONDARY ROADS, DM JCT-LEGAZPI-STO. DOMINGO-TABACO-CAMARINES SUR BDRY. RD- K0582+330-K0</t>
  </si>
  <si>
    <t>Supply &amp; Delivery of  Plastic Filler and Ring Binder   (UPM - OVCPD)</t>
  </si>
  <si>
    <t>20D00066 - Local Roads and Bridges, Local Roads Local Infrastructure Program CONSTRUCTION OF STAR TOLLWAY–PINAMUCAN BYPASS ROAD, BRGY. PINAMUCAN, BATANGAS CITY</t>
  </si>
  <si>
    <t>20D00065 - CONSTRUCTION OF CONCRETE ROAD (PACKAGE II) LOBO-MALABRIGO–LAIYA–SAN JUAN ROAD, LOBO BATANGAS</t>
  </si>
  <si>
    <t>Supply &amp; Delivery of  Office Tables &amp; Chairs  (UPM - COA)</t>
  </si>
  <si>
    <t>Contract I.D. No. 20OE0091 - Construction of Retention Basin at Estero de Sampaloc, Manila City</t>
  </si>
  <si>
    <t>HO-DMD20-002 - Supply and Delivery of Hiking Bag and Jacket</t>
  </si>
  <si>
    <t>Supply and Delivery of Manual Thermosonic Wedge and Ball Bonder for UP Cebu</t>
  </si>
  <si>
    <t>Contract ID No. 19CSK00047 – Consulting Services for the Conduct of Feasibility Study for Region X Priority Road Infrastructure Projects-27 (REXPRIP-27) a.	PIA Bypass Road, Misamis Oriental 2nd Legisl</t>
  </si>
  <si>
    <t>Supply &amp; Delivery of  Computers &amp;  Battery for UPS  (UPM - Accounting Office)</t>
  </si>
  <si>
    <t>Completion of VIP Cottages, Payanan, San Gregorio, Luna, Apayao</t>
  </si>
  <si>
    <t>Construction of Retaining Wall at Alem-Poblacion Provincial Road, Pudtol, Apayao</t>
  </si>
  <si>
    <t>Construction of Tourism Stalls, Lussok, Dagupan, Luna, Apayao</t>
  </si>
  <si>
    <t>Pocurement of IBM SPSS Statistics Standard Campus Edition Authorized User License for UP Cebu</t>
  </si>
  <si>
    <t>Improvement/Rehabilitation/Repair of Apayao Child Development Center, San Isidro Sur, Luna, Apayao</t>
  </si>
  <si>
    <t>Supply and Delivery of High Voltage Power Supply for Surge Test Apparatus</t>
  </si>
  <si>
    <t>Restoration, Repair and Maintenance of Data Center (Information Technology)</t>
  </si>
  <si>
    <t>Contract I.D. No. 20OE0196 - Installation of Pumping Station (Mini Pump) at Barangay 598 Zone 59, Manila City</t>
  </si>
  <si>
    <t>CID No. 20CSIO10: Consultancy Services for the Conduct of Feasibility of the Proposed Road Opening/Construction of Junction Himay-angan – Silago – Abuyog Boundary Road (Bagacay – Tib-o), Abuyog, Leyte</t>
  </si>
  <si>
    <t>20IL0175 (LOCAL – BUILDINGS AND OTHER STRUCTURES – MULTI-PURPOSE/FACILITIES – LOCAL INFRASTRUCTURE PROGRAM, CONSTRUCTION/REHABILITATION OF DISTRICT ENGINEER’S OFFICE Contract Location	: IBARRA, MAASIN</t>
  </si>
  <si>
    <t>Improvement of Caglayan-Ripang-Paddaoan-Talifugo-Manag Provincial Road (Paddaoan Section) Sta. 0+000-Sta. 9+800, Conner, Apayao</t>
  </si>
  <si>
    <t>CONSTRUCTION OF WATER SYSTEM ( PHASE IV ) AT BARANGAY ENCARNACION</t>
  </si>
  <si>
    <t>CONSTRUCTION OF MULTI-PURPOSE HALL-PHASE IV AT BARANGAY GULOD</t>
  </si>
  <si>
    <t>20J00182 - Concreting of Lower Patibulan-Lubhang Road, Phase 1, Old Panamao, Sulu</t>
  </si>
  <si>
    <t>CONSTRUCTION OF MULTI-PURPOSE HALL-PHASE III AT BARANGAY TALISAY</t>
  </si>
  <si>
    <t>Supply and Delivery of Office Supplies intended for printing and processing of FRMS official documents</t>
  </si>
  <si>
    <t>S3-B1920-002 - Furnishing of Labor and Materials for Dry Docking and Ship Repair of PB 119</t>
  </si>
  <si>
    <t>Contract ID No. 20FA0049: REPLACEMENT AND CONCRETING OF TRAMO BRIDGE WHICH CONNECTS BRGYS. STO. CRISTO AND SAN ROQUE TO BRGY. TAGAS AND NEIGHBORING BARANGAYS IN TABACO CITY, ALBAY</t>
  </si>
  <si>
    <t>CONSTRUCTION REHAB PROVISION OF AMENTIES OF DETENTION CELL</t>
  </si>
  <si>
    <t>Construction of Ammo Dump for Special Action Force (SAF), Brgy. Santo Domingo</t>
  </si>
  <si>
    <t>74122 - 1 UNIT SINGLE STAGE VERTICAL IN-LINE CENTRIFUGAL PUMP 15 LPS</t>
  </si>
  <si>
    <t>Improvement of Multi-Purpose Hall at Grand Riverstone, Brgy. Dita</t>
  </si>
  <si>
    <t>Procurement of Full Retrofitting, Rehabilitation, and Renovation of the DFA Building</t>
  </si>
  <si>
    <t>HO-PIC20-001 (PB3) - 3 x 50 kW Modular Diesel Gensets, Associated Electrical Equipment and Balance of Plant for the Electrification of New Area in Sulu under Package 11A</t>
  </si>
  <si>
    <t>Proposed Completion of Perimeter Fence at Open Space, Brgy. Aplaya</t>
  </si>
  <si>
    <t>ITB-GS-20200218-01 - One (1) Lot Supply and Delivery of EMV VISA Debit Card and Paywave Debit Card for OFBANK</t>
  </si>
  <si>
    <t>ITB-GS-20200224-01 - Three (3) Years Managed Laser Print Services with Consumables</t>
  </si>
  <si>
    <t>SUPPLY AND DELIVERY OF ELECTRICAL SPARE PARTS FOR FG WILSON &amp; DALE PERKINS GENERATING SETS OF PALANAN DPP</t>
  </si>
  <si>
    <t>INVITATION TO BID-SECURITY SERVICE PROVIDER FOR A PERIOD OF ONE (1) YEAR</t>
  </si>
  <si>
    <t>Proposed Construction of Slope Protection Along Villa Caceres, Brgy. Dila</t>
  </si>
  <si>
    <t>ITB-GS-20200219-01 - Supply and Delivery of 1,100 Units Desktop Computer</t>
  </si>
  <si>
    <t>20D00072-Construction of Flyovers / Interchanges / Underpasses / Long Span Bridges ACCESS ROAD CONNECTING SAN LORENZO ROAD TO SLEX, LAGUNA</t>
  </si>
  <si>
    <t>HO-PIB20-007 - Design, Supply, Delivery, Test and Commissioning of Two (2) Units of 5MW Power Barge at Mooring Facility, Bo. Obrero, Iloilo City</t>
  </si>
  <si>
    <t>Contract ID No. 20FA0047: CLUSTER 26 WIDENING AND CONCRETING OF BANAO-BICAL ROAD, BACACAY AND STO. DOMINGO, ALBAY AND REHABILITATION OF PAWA-TULIW-LABNIG-ESTANCIA-PARAPUTO ROAD, MALINAO AND TABACO CIT</t>
  </si>
  <si>
    <t>Supply, Delivery &amp; Installation of Equipment and Furniture and Fixture for Theater Lot 2 &amp; Lot 3</t>
  </si>
  <si>
    <t>Supply &amp; Delivery of  Tabulating File Cabinet (UPM - OUR)</t>
  </si>
  <si>
    <t>Pag-IBIG Fund CHQ (Consulting Services for the Implementation of Philippine Financial Reporting Standard (PFRS 9) - Financial Instruments))</t>
  </si>
  <si>
    <t>Improvement of Multi-purpose Building (Second Bidding)</t>
  </si>
  <si>
    <t>20GO0038 - WIDENING/IMPROVEMENT/ UPGRADING OF HONORATA MANALO (BURI ROAD), BRGY. MANDALAGAN , BACOLOD CITY</t>
  </si>
  <si>
    <t>Procurement for the Repair of Classrooms at Lanao del Norte Provincial Science and Technology High School under CY 2020 BEFF - Lot 6 (Rebid)</t>
  </si>
  <si>
    <t>Contract ID No. 20FA0048: CLUSTER 27 CONSTRUCTION OF WATER SYSTEM IN THE FIRST DISTRICT OF ALBAY</t>
  </si>
  <si>
    <t>UPLB-S-044-03-20, SUPPLY, DELIVERY AND INSTALLATION OF BRANDED AND BRAND NEW VARIOUS LABORATORY EQUIPMENT</t>
  </si>
  <si>
    <t>Procurement of One (1) Lot, Three (3) Years Private Security Agency (PSA) Services for CF-Davao and Apo View Satellite</t>
  </si>
  <si>
    <t>Proposed Construction of Drainage Canal at Purok 2, Brgy. Caingin</t>
  </si>
  <si>
    <t>CONSTRUCTION OF MULTI-PURPOSE BUILDING AT BRGY. TANGCARANG, CITY OF ALAMINOS, PANGASINAN</t>
  </si>
  <si>
    <t>R4-INFRA2020-01-003 Construction of 1-Unit Multi-Purpose Livelihood and Training Center located at Southville 8B Housing Project - Phase 2, Brgy. San Isidro, Rodriguez, Rizal</t>
  </si>
  <si>
    <t>CONSTRUCTION OF MUYLTI-PURPOSE HALL-PHASE IV AT BARANGAY BIGA</t>
  </si>
  <si>
    <t>REHABILITATION / UPGRADING OF FARM TO MARKET ROAD (SABANGAN PORTION) AT BRGY. SABANGAN, CITY OF ALAMINOS, PANGASINAN</t>
  </si>
  <si>
    <t>Lease of Various Printing Machines and Equipment with Operational and Technical Support System (Davao Area) (PB-04-20)</t>
  </si>
  <si>
    <t>EXTENSION OF MULTI-PURPOSE BUILDING AT BRGY. MACATIW, CITY OF ALAMINOS, PANGASINAN</t>
  </si>
  <si>
    <t>PR NO. MG-MGE20-003, CAMERA &amp; 2 OTHER ITEMS</t>
  </si>
  <si>
    <t>20CE0199: Rehabilitation of Municipal Health Center, Lupao, Nueva Ecija</t>
  </si>
  <si>
    <t>UPLB-S-038-03-20, SUPPLY AND DELIVERY OF BRANDED AND BRAND NEW VARIOUS WINDOW TYPE AIRCONDITIONING UNITS</t>
  </si>
  <si>
    <t>Provision of Sidewalk and Drainage along IE-5 Service Road (Second Bidding)</t>
  </si>
  <si>
    <t>CONSTRUCTION OF DEL GALLEGO FIRE STATION, CAMARINES SUR</t>
  </si>
  <si>
    <t>Road Improvement along R. Magsaysay Avenue</t>
  </si>
  <si>
    <t>INVITATION TO BID to the 4th Public Bidding of the Procurement for the Site Development Works for the NDC Industrial Estate (NDCIE)Project in Brgy. Langkaan, Dasmariñas City, Cavite</t>
  </si>
  <si>
    <t>CONSTRUCTION OF BARCELONA FIRE STATION, SORSOGON</t>
  </si>
  <si>
    <t xml:space="preserve">20-DO-0068: LOCAL PROGRAM - Local Infrastructure Program – Buildings and Other Structures – Multipurpose/Facilities – Construction of Multi-Purpose Building (Barangay Health Center), Dela Costa Homes </t>
  </si>
  <si>
    <t>Supply and Delivery of Microsoft Office Home and Business for Installation in the Computers with Installed Ubuntu Operating System in the Main and Field Offices of the Commission – 2nd Bidding</t>
  </si>
  <si>
    <t>Construction of Fire Truck Shed</t>
  </si>
  <si>
    <t>Purchase of Solid Waste Management Equipments</t>
  </si>
  <si>
    <t>Procurement and Delivery of ICT Equipment</t>
  </si>
  <si>
    <t>R4-INFRA2020-01-004 Construction of 1-Unit Materials Recovery Facility (MRF) &amp; 1-Unit, 2-Classroom Day Care Center, Package 1 located at Southville 9 Housing Project - Phase 4, Brgy. Pinugay, Baras, R</t>
  </si>
  <si>
    <t>20BG0116-Repair of Overflow Bridge in Turod-Banquero, Reina Mercedes, Isabela</t>
  </si>
  <si>
    <t>CONSTRUCTION OF SIPOCOT FIRE STATION, CAMARINES SUR</t>
  </si>
  <si>
    <t>Contract ID No. 20K00285 - Construction of Multi-Purpose Building, Brgy. Ranao-Baning, Amai Manabilang, Lanao del Sur</t>
  </si>
  <si>
    <t>Supply and Delivery of Brand New Thirteen (13) Units Service  Vehicles</t>
  </si>
  <si>
    <t>Contract I.D. No. 20OE0114 - Rehabilitation of School Building at Gen. Licerio Geronimo School, Barangay 412, Manila</t>
  </si>
  <si>
    <t>Contract I.D. No. 20OE0108 - Rehabilitation of School Building at P. Burgos Elementary School, Barangay 581, Manila</t>
  </si>
  <si>
    <t>UPLB-S-030-03-20, PROCUREMENT OF SIPHONING SERVICES OF SEPTIC TANKS FOR UPLB DORMITORIES (NEW DORMITORY, VETMED DORMITORY, FORESTRY RESIDENCE HALL, NEW FORESTRY RESIDENCE HALL)</t>
  </si>
  <si>
    <t>Proposed Two-Storey Four Classrooms at the Meneses Campus (INFRA-2020-12)</t>
  </si>
  <si>
    <t>One Job Order for the Supply and Delivery of Rapid Quantitative Fluorescence Immunochromatographic Assay Test kits and Consumables with free use of One (1) Unit Fluorescence Immunochromatographic Anal</t>
  </si>
  <si>
    <t>Asphalt Overlay along Cardinal Santos Street</t>
  </si>
  <si>
    <t>Renovation of Classrooms at the College of Information and Communications Technology Building (INFRA-2020-11)</t>
  </si>
  <si>
    <t>One Job Order for the Supply and Delivery of Immunoassay Test kits and Consumables with free use of One (1) Unit Fully Automated Chemiluminescent Immunoassay (CLIA) Analyzer (BAC 2020-019)</t>
  </si>
  <si>
    <t>CONSTRUCTION OF GOA FIRE STATION, CAMARINES SUR</t>
  </si>
  <si>
    <t>Supply and Delivery of Brand New Three (3) Units Pick Up  Patrol Vehicles</t>
  </si>
  <si>
    <t>Contract ID No. 20K00282 - Construction of Multi-Purpose Building, Barangay Gadongan, Marawi City, Lanao del Sur</t>
  </si>
  <si>
    <t>Contract ID No. 20K00275 - Construction of Multi-Purpose Building, Katogonan, Buadiposo Buntong, Lanao del Sur</t>
  </si>
  <si>
    <t>INVITATION TO BID  FOR THE CONSTRUCTION OF 4-STOREY W/ ROOF DECK ACADEMIC BUILDING (PHASE II-STRUCTURE)</t>
  </si>
  <si>
    <t>Widening and Improvement of Prince Balagtas Avenue (Package I) (STA. 0+000 to STA. 3+988)</t>
  </si>
  <si>
    <t>Re-bidding for the Renovation of the College of Social Sciences and Philosophy (I-2020-08)</t>
  </si>
  <si>
    <t>Contract I.D. No. 20OE0195 - Re – Development of Estero de Binondo, Dasmariñas St., Brgy. 282, Zone 26, District 3, Manila</t>
  </si>
  <si>
    <t>Contract I.D. No. 20OE0194 - Construction of Multi – Purpose Buildings ( Daycare Centers), Manila City</t>
  </si>
  <si>
    <t>Procurement of Various Cellcards</t>
  </si>
  <si>
    <t>Contract I.D. No. 20OE0193 - Improvement of Multi – Purpose Facilities, Brgy. 617, Manila City</t>
  </si>
  <si>
    <t>Contract I.D. No. 20OE0191 - Rehabilitation / Reconstruction / Improvement of Multi – Purpose Building, Patricia Paraiso Complex, Brgy. 177, Tondo, Manila</t>
  </si>
  <si>
    <t>Contract I.D. No. 20OE0189 - Rehabilitation of Multi – Purpose Building, Brgy 636, Sta. Mesa, Manila</t>
  </si>
  <si>
    <t>Re-bidding for the Proposed Audio Visual Room at Meneses Campus (I-2020-06)</t>
  </si>
  <si>
    <t>PRINTING &amp; DELIVERY OF FIRE SAFETY INSPECTION CERTIFICATE FOR THE USE OF BFP REGION 1, CY 2020 (REBIDDING)</t>
  </si>
  <si>
    <t>Contract I.D. No. 20OE0190 - Continuation of Multi – Purpose Building, Brgy. 259, Tondo, Manila</t>
  </si>
  <si>
    <t>Purchase of Automated Defibrillator for the use of various CAAP Airports and facilities</t>
  </si>
  <si>
    <t>Slope Protection of Drainage at the back of MSK/Nayong Pilipino</t>
  </si>
  <si>
    <t>Procurement of Certification Services for CAAP under ISO 9001:2015 Quality Management System</t>
  </si>
  <si>
    <t>CID No. 20OD0131 - Construction of Flood Control Wall along Purok 4 Orosco, Brgy. Mapulang Lupa, Valenzuela City</t>
  </si>
  <si>
    <t>Supply and Delivery of One (1) unit Backup and Replication (installer)</t>
  </si>
  <si>
    <t>20KA0101(Readvertisement) Cluster 2 1.) Construction of Flood Control Structure along Malaybalay -Gingoog Road (Kulaman Br.), Malaybalay City, Bukidnon 2.) Construction of Flood Control Structure alon</t>
  </si>
  <si>
    <t>Contract I.D. No. 20OE0138 - Rehabilitation of Roads and Drainage at Cordillera St. and Ext., Manila</t>
  </si>
  <si>
    <t>HO-PIG20-004 (SO-OPD19-005) (PB3) - Supply, Delivery, Installation, Test and Commissioning of Eight (8) Units of 50KW Modular Diesel Gensets, Associated Electrical Equipment and Balance of Plant for D</t>
  </si>
  <si>
    <t>20HD0079 - Construction of Multi-Purpose Building, Cebu Normal University-Medellin Campus, Medellin, Cebu</t>
  </si>
  <si>
    <t>Contract I.D. No. 20OE0173 - Rehabilitation / Reconstruction / Improvement of Multi-purpose Building, Brgy. 152, Tondo, Manila</t>
  </si>
  <si>
    <t>One (1) Year Garbage Collection, Transport and Disposal Services</t>
  </si>
  <si>
    <t>20HD0075 - Construction of Multi-Purpose Building, Brgy. San Vicente, Tabogon, Cebu</t>
  </si>
  <si>
    <t>CID No. 20OD0126 - Construction of Multi-Purpose Building (Phase I), Brgy. Malinta, Valenzuela City</t>
  </si>
  <si>
    <t>20HD0055 - Construction of School Building at PHILSCA Brgy. Curva, Medellin, Cebu</t>
  </si>
  <si>
    <t>Provision of Data Privacy Services (Phase I)</t>
  </si>
  <si>
    <t>IT Equipment EXPO DUBAI</t>
  </si>
  <si>
    <t>PB No. 19-341-7 Engineering, Procurement, Construction and Commissioning (EPCC) Contract for the Subic-Clark Railway Project for the Department of Transportation (DOTr)</t>
  </si>
  <si>
    <t>Construction of Tourist Visitor Center I (Second Bidding)</t>
  </si>
  <si>
    <t>Contract I.D. No. 20OE0166 - Construction of 3 Storey Multi – purpose Building, Brgy. 282, Manila</t>
  </si>
  <si>
    <t>CONSTRUCTION OF WINGS OF MULTI-PURPOSE BUILDING AT BRGY. TELBANG, CITY OF ALAMINOS, PANGASINAN</t>
  </si>
  <si>
    <t>Construction of Road within Hollywood Park</t>
  </si>
  <si>
    <t>Construction of Multi-Purpose Building, Brgy. Anahawon, Maramag, Bukidnon</t>
  </si>
  <si>
    <t>20J00092 - Replacement of Permanent Weak Bridges - Ukilan Bridge along Jolo - Taglibi - Tiptipon Road K 19+830 - K 19+839</t>
  </si>
  <si>
    <t>Contract I.D. No. 20OE0192 - Construction of Multi – Purpose Building at the Department of Social Welfare and Development – National Cpital Region, Manila</t>
  </si>
  <si>
    <t>20J00089 - Replacement of Permanent Weak Bridges - Binuang Bridge along Jolo - Taglibi - Tiptipon Road K 17+040 - K 17+051</t>
  </si>
  <si>
    <t>Consulting Services for the Conduct of Detailed Site Development Plan of Areas included under Phase 1-A of the CFZ Master Development Plan and Business Plan</t>
  </si>
  <si>
    <t>Contract ID No. 20K00270 - Construction of Multi-Purpose Building (Public Market) Butig, Lanao del Sur</t>
  </si>
  <si>
    <t>CDC Group Life Insurance (Second Bidding)</t>
  </si>
  <si>
    <t>Contract ID No. 20FA0040: CLUSTER 22 - REHABILITATION/CONSTRUCTION/IMPROVEMENT OF VARIOUS RIVER CONTROL AT STO. DOMINGO, MALINAO AND MALILIPOT, ALBAY</t>
  </si>
  <si>
    <t>Contract I.D. No. 20OE0187 - Preventive Maintenance – Secondary Roads – Plaza Sta. Cruz – (S02423LZ) (FLR) Chainage 000 – Chainage 104, Manila City</t>
  </si>
  <si>
    <t>Upgrading of Electrical System and Submetering of the DENR Main Building per Bid Ref. No. DENR-CO-2020-002 Rebid</t>
  </si>
  <si>
    <t>Network Development – Road Widening – Primary Roads, Manila North Road, K0087+701 – K0089+402, K0090+854 – K0091+104, Mabalacat City, Pampanga</t>
  </si>
  <si>
    <t>20J00090 - Replacement of Permanent Weak Bridges - Lubluban Gadja Bridge along Jolo - Taglibi - Tiptipon Road K 15+010 - K 15+020</t>
  </si>
  <si>
    <t>ITB-CW-20200124-01 - LANDBANK Marawi (Lanao del Sur) Building Construction</t>
  </si>
  <si>
    <t>Construction of Drainage Facility</t>
  </si>
  <si>
    <t>Procurement of Various Office Supplies (BAC 2020-018)</t>
  </si>
  <si>
    <t>20J00091 - Replacement of Permanent Weak Bridges - Tuburan Bridge along Jolo - Taglibi - Tiptipon Road K 17+340 - K 17+351</t>
  </si>
  <si>
    <t>Contract I.D. No. 20OE0185 - Construction of Multi-Purpose Building (Rizal Covered Court), City of Manila</t>
  </si>
  <si>
    <t>Contract I.D. No. 20OE0188 - Rehabilitation of Multi – Purpose Building (Bacood Health Center), Manila</t>
  </si>
  <si>
    <t>Supply and Delivery of Sheet Fed Scanners for the Document Management System (DMS) Project of the Commission</t>
  </si>
  <si>
    <t>19CSFC03 : CONDUCT OF GEOTECHNICAL INVESTIGATION FOR VARIOUS INFRASTRUCTURE PROJECTS, Camarines Norte</t>
  </si>
  <si>
    <t>UPLB-CSLT-002-03-20 DETAILED ARCHITECTURAL AND ENGINEERING DESIGN (DAED) OF THE PROPOSED CONSTRUCTION OF THE ELECTRICAL ENGINEERING BUILDING PHASE 2.</t>
  </si>
  <si>
    <t>UPLB-CSLT-001-03-20 DETAILED ARCHITECTURAL AND ENGINEERING DESIGN (DAED) OF THE PROPOSED PILOT PLANT AND SCREENHOUSES FOR BIOFERTILIZERS, BIOSTIMULANTS AND BIOPESTICIDES AT BIOTECH-UPLB</t>
  </si>
  <si>
    <t>Asset Preservation / Rehabilitation / Reconstruction / Upgrading of Quirino avenue – K0010+867 – K0011+467 Parañaque City, Metro Manila</t>
  </si>
  <si>
    <t>PROCUREMENT OF VARIOUS LABORATORY SUPPLIES (BAC 2020-016)</t>
  </si>
  <si>
    <t>Supply, Delivery and Installation of Attendance Capturing Machines under ITB No. PB20-01-017COR</t>
  </si>
  <si>
    <t>Contract ID No. 19CSK00049 – Consultancy Services for the Conduct of Feasibility Study for Misamis Occidental Economic Zone Diversion Road (ReXPRIP-29), Misamis Occidental 1st and 2nd Legislative Dist</t>
  </si>
  <si>
    <t>One Job Order for the Supply and Delivery of ABG Reagent Kits with Free Use of One (1) Unit ABG Analyzer for a Period of One (1) Year (BAC 2020-015)</t>
  </si>
  <si>
    <t>Contract ID No. 19CSK00048 – Consultancy Services for the Conduct of Feasibility Study for Tubod-Kapatagan Bypass Road, Sapad-Pualas Road, Kauswagan-Poona Piagapo-Marantao Road, Balo-i Bypass Road, (R</t>
  </si>
  <si>
    <t>Widening of J. Abad Santos Extension</t>
  </si>
  <si>
    <t>Procurement of Various IT Supplies and Equipment (BAC 2020-012)</t>
  </si>
  <si>
    <t>Procurement of Service Vehicles for the Official Use of Associate Justices of the Supreme Court (Six [6] Units of Van)</t>
  </si>
  <si>
    <t>Supply and Delivery of Printer Toner Cartridges for Replenishment of Stocks for 1st Quarter FY 2020</t>
  </si>
  <si>
    <t>CONSTRUCTION OF LINE CANAL AT BARANGAY LUCSUHIN</t>
  </si>
  <si>
    <t>PR NO. MG-MGE20-005, COFFEE MAKER &amp; 8 OTHER ITEMS</t>
  </si>
  <si>
    <t>CONSTRUCTION OF RETAINING WALL WITH CANAL AT THE PROPOSED SAMBUNGAN NHS</t>
  </si>
  <si>
    <t>CONSTRUCTION OF MULTI-PURPOSE HALL AT BARANGAY HUKAY</t>
  </si>
  <si>
    <t>One (1) Lot – Supply, Delivery, Installation, Configuration, Customization, Testing and Implementation of the Appropriate Hardware, Software, Database Management System, All Associated Licenses and Re</t>
  </si>
  <si>
    <t>Continuation of the Terminated Renovation of  former Cyber City Buildings (Phase II) (Package IV)</t>
  </si>
  <si>
    <t>CONSTRUCTION OF CANAL AT BARANGAY STA. ANA</t>
  </si>
  <si>
    <t>REHABILITATION OF LIVELIHOOD CENTER AT CALATAGAN PUBLIC MARKET</t>
  </si>
  <si>
    <t>CONCRETING OF BARANGAY ROAD AT LUYA</t>
  </si>
  <si>
    <t>Provision of Garbage Hauling Services</t>
  </si>
  <si>
    <t>Rehabilitation/Upgrading and Improvement along 14th Avenue and its Vicinity, Brgy. East Rembo Makati City, Metro Manila</t>
  </si>
  <si>
    <t>Procurement of Syringes for Immunization Section</t>
  </si>
  <si>
    <t>Improvement of Municipal Hall, Conner, Apayao</t>
  </si>
  <si>
    <t>Improvement of Tanglagan-Bucarot Provincial Road, Calanasan, Apayao</t>
  </si>
  <si>
    <t>20DE0129 Local Infrastructure Program – Construction of Multi-Purpose Covered Court at Brgy. Mainit, Mabini, Batangas</t>
  </si>
  <si>
    <t>20AC0059 - Construction of Multi-Purpose Building, Bahet, San Ildefonso, Ilocos Sur</t>
  </si>
  <si>
    <t>20DE0127 Local Infrastructure Program – Construction of Multi-Purpose Covered Court/Evacuation Center, Brgy. Saguing, Mabini, Batangas</t>
  </si>
  <si>
    <t>20AC0062 - Construction of Multi-Purpose Building (Covered Court), Brgy. Cabaroan, Magsingal, Ilocos Sur</t>
  </si>
  <si>
    <t>20AC0063: Concreting of Roads, Baclig-Margaay-Salapasap, Cabugao, Ilocos Sur</t>
  </si>
  <si>
    <t>20DE0128 Local Infrastructure Program – Construction of Multi-Purpose Covered Court/Evacuation Center at Brgy. Saguing, Mabini, Batangas</t>
  </si>
  <si>
    <t>20AC0069 - Construction of Multi-Purpose Building (Covered Court), Brgy. An-annam, Bantay, Ilocos Sur</t>
  </si>
  <si>
    <t>20AC0068 - Construction of Flood Control of Catabeng Brook Along Brgy. San Clemente, San Julian, San Basilio and Bacar, Magsingal, Ilocos Sur</t>
  </si>
  <si>
    <t>20AC0067 - Construction of Seawall, Brgy. Solot-solot, San Juan, Ilocos Sur</t>
  </si>
  <si>
    <t>73549_1 Lot Supply &amp; Delivery of Assorted Common-use Office Supplies</t>
  </si>
  <si>
    <t>Construction of Multi-Purpose Building (Public Auditorium/Gym), San Nicolas, Pangasinan</t>
  </si>
  <si>
    <t>PROCUREMENT OF OTHER SUPPLIES AND MATERIALS (SUPPLIES AND TOOLS ON SHIELDED METAL ARTS &amp; WELDING) FOR SAN ROQUE NHS (UNDER SCHOOLS DIVISION OFFICE)</t>
  </si>
  <si>
    <t>Construction of Multi-Purpose Building (Covered Court) Brgy. Bensican, San Nicolas, Pangasinan</t>
  </si>
  <si>
    <t>20AC0072 - Construction of Multi-Purpose Building (Covered Court), Brgy. Lingsat, Bantay, Ilocos Sur</t>
  </si>
  <si>
    <t>ITB-CW-20200121-01 - LANDBANK Baguio Corporate Center Building Construction</t>
  </si>
  <si>
    <t>PUBLIC BIDDING / PR 19-10-0950 Re-Bid / VIDEO WALL PROJECT FOR SECURITY OPERATION</t>
  </si>
  <si>
    <t>20CF0128 Act. 71x – Special Maintenance – Replacement of Concrete Pavement along Sta. Rosa – Fort Magsaysay Road, Sta. Rosa, Nueva Ecija</t>
  </si>
  <si>
    <t>Renovation of TFD Office (Second Bidding)</t>
  </si>
  <si>
    <t>RFQ for ICT Spareparts</t>
  </si>
  <si>
    <t>SUPPLY OF LABOR AND MATERIALS FOR REPAIR OF EQUIPMENT CALIBRATOR (BOARD POWER SUPPLY) OF WMTSD</t>
  </si>
  <si>
    <t>MA-A2H20-006..BATTERY BANK, STATION BATTERY, AGUS 1 HEP</t>
  </si>
  <si>
    <t>Supply &amp; Delivery of One (1) Unit Brand New Sea Ambulance for Emergency Rescue which Transport Patients to the Treatment Facility</t>
  </si>
  <si>
    <t>20AC0071 - Construction of Drainage Canal Along Barangay Road Going to Tamag Elementary School, Tamag, Vigan City, Ilocos Sur</t>
  </si>
  <si>
    <t>20AC0073 - Construction of Flood Control Structure Along Mestizo River, Brgy. Fuerte (Sabangan), Caoayan, Ilocos Sur</t>
  </si>
  <si>
    <t>SUPPLY OF LABOR AND MATERIALS FOR THE REPAIR OF RADIATOR FOR UNIT NO.5 1000KW CUMMINS GENERATING SET OF MARINAWA DPP</t>
  </si>
  <si>
    <t>Supply, Delivery, Installation and Commissioning of One (1) Unit Automatic Coin Measuring Machine, including Consumables and Training of Personnel, as per BSP Technical Specifications and Terms of Ref</t>
  </si>
  <si>
    <t>Lease of Various Paper Printing Machine/s and Finishing Equipment with Technical and Operational Support System (Lot 1 for Luzon Area and Lot 2 for Mindanao Area) (PB-03-20)</t>
  </si>
  <si>
    <t>ITB-GS-20200304-01 - One (1) Lot Supply and Delivery of 65,500 pcs. EMV VISA Debit Card with Personalization</t>
  </si>
  <si>
    <t>Procurement of Garments	(polo shirts) PR # 2020-03-19-076</t>
  </si>
  <si>
    <t>ITB-GS-20200305-03 - Supply &amp; Delivery of 4,300 Pcs. Ribbon for EPSON Printer FX2190 &amp; 440 Pcs.  Genuine Burroughs Black Multiline Print Inkjet Cartridge</t>
  </si>
  <si>
    <t>20AC0082 - Construction of Box Culvert and Improvement of Drainage Canal Along Cabasaan Creek, Brgy. VIII, Vigan City, Ilocos Sur</t>
  </si>
  <si>
    <t>PROVISION OF WATCHMAN SERVICES FROM MARCH 1-DECEMBER 31, 2020</t>
  </si>
  <si>
    <t>ITB-GS-20190703-01 (2) - One (1) Lot Supply, Delivery, Installation, Testing and Commissioning of Variable Refrigerant Flow (VRF) Air-Conditioning Units at LANDBANK Sta. Cruz Office Building</t>
  </si>
  <si>
    <t>Procurement of Managed Security Services</t>
  </si>
  <si>
    <t>Negros Occidental</t>
  </si>
  <si>
    <t>Quezon</t>
  </si>
  <si>
    <t>Bulacan</t>
  </si>
  <si>
    <t>Pampanga</t>
  </si>
  <si>
    <t>Zamboanga Del Sur</t>
  </si>
  <si>
    <t>Samar</t>
  </si>
  <si>
    <t>Pangasinan</t>
  </si>
  <si>
    <t>Isabela</t>
  </si>
  <si>
    <t>Metro Manila</t>
  </si>
  <si>
    <t>Davao Del Sur</t>
  </si>
  <si>
    <t>Laguna</t>
  </si>
  <si>
    <t>Marinduque</t>
  </si>
  <si>
    <t>Bukidnon</t>
  </si>
  <si>
    <t>South Cotabato</t>
  </si>
  <si>
    <t>Cavite</t>
  </si>
  <si>
    <t>Sorsogon</t>
  </si>
  <si>
    <t>Batangas</t>
  </si>
  <si>
    <t>Iloilo</t>
  </si>
  <si>
    <t>Antique</t>
  </si>
  <si>
    <t>Tarlac</t>
  </si>
  <si>
    <t>Davao Del Norte</t>
  </si>
  <si>
    <t>Biliran</t>
  </si>
  <si>
    <t>Camarines Sur</t>
  </si>
  <si>
    <t>Cotabato</t>
  </si>
  <si>
    <t>Zamboanga Sibugay</t>
  </si>
  <si>
    <t>Agusan Del Norte</t>
  </si>
  <si>
    <t>Bataan</t>
  </si>
  <si>
    <t>Cagayan</t>
  </si>
  <si>
    <t>Catanduanes</t>
  </si>
  <si>
    <t>Maguindanao</t>
  </si>
  <si>
    <t>Sultan Kudarat</t>
  </si>
  <si>
    <t>Albay</t>
  </si>
  <si>
    <t>Ifugao</t>
  </si>
  <si>
    <t>Ilocos Sur</t>
  </si>
  <si>
    <t>Leyte</t>
  </si>
  <si>
    <t>Camarines Norte</t>
  </si>
  <si>
    <t>Palawan</t>
  </si>
  <si>
    <t>Lanao Del Sur</t>
  </si>
  <si>
    <t>Misamis Oriental</t>
  </si>
  <si>
    <t>Nueva Ecija</t>
  </si>
  <si>
    <t>Ilocos Norte</t>
  </si>
  <si>
    <t>Surigao Del Norte</t>
  </si>
  <si>
    <t>Kalinga</t>
  </si>
  <si>
    <t>Oriental Mindoro</t>
  </si>
  <si>
    <t>Mountain Province</t>
  </si>
  <si>
    <t>Philippines</t>
  </si>
  <si>
    <t>Nueva Vizcaya</t>
  </si>
  <si>
    <t>Northern Samar</t>
  </si>
  <si>
    <t>Cebu</t>
  </si>
  <si>
    <t>Eastern Samar</t>
  </si>
  <si>
    <t>Tawi-Tawi</t>
  </si>
  <si>
    <t>Aklan</t>
  </si>
  <si>
    <t>Zamboanga Del Norte</t>
  </si>
  <si>
    <t>Surigao Del Sur</t>
  </si>
  <si>
    <t>Negros Oriental</t>
  </si>
  <si>
    <t>Benguet</t>
  </si>
  <si>
    <t>Rizal</t>
  </si>
  <si>
    <t>Capiz</t>
  </si>
  <si>
    <t>Bohol</t>
  </si>
  <si>
    <t>Quirino</t>
  </si>
  <si>
    <t>La Union</t>
  </si>
  <si>
    <t>Aurora</t>
  </si>
  <si>
    <t>Compostela Valley</t>
  </si>
  <si>
    <t>Sarangani</t>
  </si>
  <si>
    <t>Misamis Occidental</t>
  </si>
  <si>
    <t>Davao Oriental</t>
  </si>
  <si>
    <t>Davao Occidental</t>
  </si>
  <si>
    <t>Occidental Mindoro</t>
  </si>
  <si>
    <t>Lanao Del Norte</t>
  </si>
  <si>
    <t>Zambales</t>
  </si>
  <si>
    <t>Southern Leyte</t>
  </si>
  <si>
    <t>(Independent City)</t>
  </si>
  <si>
    <t>Romblon</t>
  </si>
  <si>
    <t>Camiguin</t>
  </si>
  <si>
    <t>Siquijor</t>
  </si>
  <si>
    <t>Masbate</t>
  </si>
  <si>
    <t>Guimaras</t>
  </si>
  <si>
    <t>Agusan Del Sur</t>
  </si>
  <si>
    <t>Abra</t>
  </si>
  <si>
    <t>Basilan</t>
  </si>
  <si>
    <t>Apayao</t>
  </si>
  <si>
    <t>Dinagat Island</t>
  </si>
  <si>
    <t>Sulu</t>
  </si>
  <si>
    <t>Biliran,Eastern Samar,Leyte,Northern Samar,Samar,Southern Leyte</t>
  </si>
  <si>
    <t>Metro Manila,Misamis Occidental</t>
  </si>
  <si>
    <t>Batanes</t>
  </si>
  <si>
    <t>Bohol,Negros Oriental</t>
  </si>
  <si>
    <t>Compostela Valley,Cotabato</t>
  </si>
  <si>
    <t>Aklan,Antique,Capiz,Iloilo</t>
  </si>
  <si>
    <t>Pangasinan,Philippines</t>
  </si>
  <si>
    <t>Marinduque,Occidental Mindoro,Oriental Mindoro,Palawan</t>
  </si>
  <si>
    <t>Aklan,Antique,Capiz,Guimaras,Iloilo,Negros Occidental</t>
  </si>
  <si>
    <t>Antique,Negros Occidental</t>
  </si>
  <si>
    <t>Aklan,Antique,Capiz,Iloilo,Negros Occidental</t>
  </si>
  <si>
    <t>Batangas,Nueva Ecija</t>
  </si>
  <si>
    <t>Agusan Del Norte,Agusan Del Sur,Surigao Del Norte,Surigao Del Sur,Dinagat Island</t>
  </si>
  <si>
    <t>Antique,Capiz,Guimaras,Iloilo,Negros Occidental</t>
  </si>
  <si>
    <t>Batanes,Cavite,Metro Manila,Rizal</t>
  </si>
  <si>
    <t>Albay,Camarines Norte,Camarines Sur,Catanduanes,Masbate,Sorsogon</t>
  </si>
  <si>
    <t>Bohol,Cebu,Negros Oriental</t>
  </si>
  <si>
    <t>Batangas,Bukidnon,Cagayan,Camarines Sur,Cotabato,Davao Del Sur,Isabela,Pampanga,Tarlac</t>
  </si>
  <si>
    <t>002</t>
  </si>
  <si>
    <t>05-00690</t>
  </si>
  <si>
    <t>001</t>
  </si>
  <si>
    <t>05-00691</t>
  </si>
  <si>
    <t>PR-2020-1081-0015</t>
  </si>
  <si>
    <t>05-00665</t>
  </si>
  <si>
    <t>20CSDK07</t>
  </si>
  <si>
    <t>20CSDK06</t>
  </si>
  <si>
    <t>G-2020-06-0290</t>
  </si>
  <si>
    <t>PR043020-01</t>
  </si>
  <si>
    <t>05-00695</t>
  </si>
  <si>
    <t>PR-0452-032520</t>
  </si>
  <si>
    <t>DOST IX-20-004</t>
  </si>
  <si>
    <t>2020-Barangay darahuway daco-001</t>
  </si>
  <si>
    <t>2020-Barangay darahuway-001</t>
  </si>
  <si>
    <t>2020-06-424</t>
  </si>
  <si>
    <t>003</t>
  </si>
  <si>
    <t>2020-35</t>
  </si>
  <si>
    <t>05-00694</t>
  </si>
  <si>
    <t>DENR-NCR, PR No. 2020-445 dtd 06/26/2020</t>
  </si>
  <si>
    <t>2020-Barangay 10 Poblacion-003</t>
  </si>
  <si>
    <t>DENR-NCR, PR No. 2020-444 dtd 06/26/2020</t>
  </si>
  <si>
    <t>MS2020-07-029.5</t>
  </si>
  <si>
    <t>MS2020-07-029.4</t>
  </si>
  <si>
    <t>2020-06-423</t>
  </si>
  <si>
    <t>02-2020-05R</t>
  </si>
  <si>
    <t>01-2020</t>
  </si>
  <si>
    <t>PR-2020-1021-0042</t>
  </si>
  <si>
    <t>20-06-001</t>
  </si>
  <si>
    <t>BL-07-23-2020-A</t>
  </si>
  <si>
    <t>MS2020-06-029.3</t>
  </si>
  <si>
    <t>2020-16</t>
  </si>
  <si>
    <t>muzon 2-2020-07</t>
  </si>
  <si>
    <t>20-02-227</t>
  </si>
  <si>
    <t>2020-24</t>
  </si>
  <si>
    <t>P.R. No. 20-0051</t>
  </si>
  <si>
    <t>05-00686</t>
  </si>
  <si>
    <t>AGR-20-0594-B-Rebid Purchase of Construction Suppl</t>
  </si>
  <si>
    <t>BL-07-23-2020-C</t>
  </si>
  <si>
    <t>2020-06-097</t>
  </si>
  <si>
    <t>BL-07-23-2020-B</t>
  </si>
  <si>
    <t>bac-20-0630b</t>
  </si>
  <si>
    <t>MS2020-07-029.1</t>
  </si>
  <si>
    <t>2020-006-008</t>
  </si>
  <si>
    <t>23-06-20-8711</t>
  </si>
  <si>
    <t>P.R. No. 20-0089</t>
  </si>
  <si>
    <t>20-03-488</t>
  </si>
  <si>
    <t>20-04-547</t>
  </si>
  <si>
    <t>MS2020-07-029.2</t>
  </si>
  <si>
    <t>12345</t>
  </si>
  <si>
    <t>BL-07-23-2020-D</t>
  </si>
  <si>
    <t>P.R. No. 20-0062</t>
  </si>
  <si>
    <t>bac-20-0630d</t>
  </si>
  <si>
    <t>20-03-508</t>
  </si>
  <si>
    <t>MS2020-06-030.2</t>
  </si>
  <si>
    <t>bac-20-0630e</t>
  </si>
  <si>
    <t>MS2020-06-030.1</t>
  </si>
  <si>
    <t>NFA-R02-RFQ-F-03-2020</t>
  </si>
  <si>
    <t>DA3-2020-06-18-222</t>
  </si>
  <si>
    <t>PR 74633</t>
  </si>
  <si>
    <t>0011-2020</t>
  </si>
  <si>
    <t>PR-2020-9999-1635</t>
  </si>
  <si>
    <t>PR-2020-1011-0238</t>
  </si>
  <si>
    <t>2020-6-1603</t>
  </si>
  <si>
    <t>MS2020-06-030.6</t>
  </si>
  <si>
    <t>PR-2020-9999-0858</t>
  </si>
  <si>
    <t>107</t>
  </si>
  <si>
    <t>MS2020-06-030.5</t>
  </si>
  <si>
    <t>bac-20-0630a</t>
  </si>
  <si>
    <t>PR-2020-1011-0218</t>
  </si>
  <si>
    <t>0029-2020</t>
  </si>
  <si>
    <t>2020060278</t>
  </si>
  <si>
    <t>20-07-01</t>
  </si>
  <si>
    <t>PR-2020-6542-0013</t>
  </si>
  <si>
    <t>20-07-02</t>
  </si>
  <si>
    <t>PR-2020-9999-1401</t>
  </si>
  <si>
    <t>MS2020-06-030.15</t>
  </si>
  <si>
    <t>PR-2006-678</t>
  </si>
  <si>
    <t>TAL-07-08-2020</t>
  </si>
  <si>
    <t>MS2020-06-030.4</t>
  </si>
  <si>
    <t>bac-20-0630m</t>
  </si>
  <si>
    <t>DA3-2020-06-25-326</t>
  </si>
  <si>
    <t>ADH-20-0303-B</t>
  </si>
  <si>
    <t>20-01-68</t>
  </si>
  <si>
    <t>ADH-20-0304-B</t>
  </si>
  <si>
    <t>MS2020-06-030.14</t>
  </si>
  <si>
    <t>MS2020-06-030.10</t>
  </si>
  <si>
    <t>ADH-20-0210-B</t>
  </si>
  <si>
    <t>MS2020-06-030.9</t>
  </si>
  <si>
    <t>MS2020-06-030.3</t>
  </si>
  <si>
    <t>MS2020-06-030.8</t>
  </si>
  <si>
    <t>MS2020-06-030.7</t>
  </si>
  <si>
    <t>MS2020-06-030.13</t>
  </si>
  <si>
    <t>111</t>
  </si>
  <si>
    <t>ADH-20-0209-B</t>
  </si>
  <si>
    <t>110</t>
  </si>
  <si>
    <t>ADH-20-0299-B(REBID)</t>
  </si>
  <si>
    <t>2020-099</t>
  </si>
  <si>
    <t>109</t>
  </si>
  <si>
    <t>2020-098</t>
  </si>
  <si>
    <t>MS2020-06-030.11</t>
  </si>
  <si>
    <t>MS2020-06-030.20</t>
  </si>
  <si>
    <t>DA3-2020-06-25-327</t>
  </si>
  <si>
    <t>PRB-OFFICE SUPPLIES AND FORMS CY 2020</t>
  </si>
  <si>
    <t>PRB-OFFICE TABLES AND CHAIRS (PAV 2) CY 2019</t>
  </si>
  <si>
    <t>MS2020-06-030.12</t>
  </si>
  <si>
    <t>20CSCA0001</t>
  </si>
  <si>
    <t>MS2020-06-030.18</t>
  </si>
  <si>
    <t>BAC 20-45 Repost</t>
  </si>
  <si>
    <t>108</t>
  </si>
  <si>
    <t>MS2020-06-030.17</t>
  </si>
  <si>
    <t>MS2020-06-030.16</t>
  </si>
  <si>
    <t>LGULAGONOY-BAC-020-GOODS-032</t>
  </si>
  <si>
    <t>CRN 2020-05</t>
  </si>
  <si>
    <t>20-06-0385</t>
  </si>
  <si>
    <t>INFR-20-019</t>
  </si>
  <si>
    <t>20-06-0384</t>
  </si>
  <si>
    <t>PR-2020-9999-1583</t>
  </si>
  <si>
    <t>001-2020</t>
  </si>
  <si>
    <t>MS2020-06-030.19</t>
  </si>
  <si>
    <t>0048-20</t>
  </si>
  <si>
    <t>ADH-0208-B</t>
  </si>
  <si>
    <t>SMB-20I039-0723</t>
  </si>
  <si>
    <t>20-06-0296</t>
  </si>
  <si>
    <t>LP-CEO-2020-03</t>
  </si>
  <si>
    <t>CRN 2020-04</t>
  </si>
  <si>
    <t>SMB-20I038-0723</t>
  </si>
  <si>
    <t>SV-GF-94</t>
  </si>
  <si>
    <t>BInfr-2020-10</t>
  </si>
  <si>
    <t>BInfr-2020-09</t>
  </si>
  <si>
    <t>BInfr-2020-08</t>
  </si>
  <si>
    <t>LGULAGONOY-BAC-020-GOODS-030</t>
  </si>
  <si>
    <t>SMB-20I040-0723</t>
  </si>
  <si>
    <t>NCR-2007-001</t>
  </si>
  <si>
    <t>LGULAGONOY-BAC-020-GOODS-053</t>
  </si>
  <si>
    <t>100-2006-1131</t>
  </si>
  <si>
    <t>PRDP-RPCO 1-2020-017</t>
  </si>
  <si>
    <t>20GB0127</t>
  </si>
  <si>
    <t>20GB0126</t>
  </si>
  <si>
    <t>PRDP-RPCO 1-2020-020</t>
  </si>
  <si>
    <t>20GB0125</t>
  </si>
  <si>
    <t>G-072020-00852</t>
  </si>
  <si>
    <t>20GB0124</t>
  </si>
  <si>
    <t>122-20 MEDICAL SUPPLIES(DRRM)</t>
  </si>
  <si>
    <t>PAT-01</t>
  </si>
  <si>
    <t>PR-TAC-3601-20</t>
  </si>
  <si>
    <t>PRDP-RPCO 1-2020-018</t>
  </si>
  <si>
    <t>20GB0133</t>
  </si>
  <si>
    <t>20GB0132</t>
  </si>
  <si>
    <t>PRDP-RPCO 1-2020-019</t>
  </si>
  <si>
    <t>20GB0131</t>
  </si>
  <si>
    <t>0676</t>
  </si>
  <si>
    <t>20-03-458</t>
  </si>
  <si>
    <t>SMB-20I041-0723</t>
  </si>
  <si>
    <t>ITB-2020-PR1132</t>
  </si>
  <si>
    <t>20L00057</t>
  </si>
  <si>
    <t>20GB0128</t>
  </si>
  <si>
    <t>20-07-019</t>
  </si>
  <si>
    <t>ITB-2020-045</t>
  </si>
  <si>
    <t>2020-475</t>
  </si>
  <si>
    <t>20-07-020</t>
  </si>
  <si>
    <t>0737</t>
  </si>
  <si>
    <t>20GB0130</t>
  </si>
  <si>
    <t>0727</t>
  </si>
  <si>
    <t>490</t>
  </si>
  <si>
    <t>20L00142</t>
  </si>
  <si>
    <t>CDH-2020-0091</t>
  </si>
  <si>
    <t>20-07-018</t>
  </si>
  <si>
    <t>EARIST-PQ-2020-020</t>
  </si>
  <si>
    <t>SMB-20I042-0723</t>
  </si>
  <si>
    <t>20GB0129</t>
  </si>
  <si>
    <t>BSU Project No.2020-223</t>
  </si>
  <si>
    <t>bac-20-0701f</t>
  </si>
  <si>
    <t>20GB0134</t>
  </si>
  <si>
    <t>SSP-2020-06-015</t>
  </si>
  <si>
    <t>20-07-021</t>
  </si>
  <si>
    <t>2020-01-20</t>
  </si>
  <si>
    <t>20-07-03</t>
  </si>
  <si>
    <t>SMB-20I045-0723</t>
  </si>
  <si>
    <t>EARIST-PQ-2020-022</t>
  </si>
  <si>
    <t>SMB-20I047-0723</t>
  </si>
  <si>
    <t>20-07-024</t>
  </si>
  <si>
    <t>SMB-20I046-0723</t>
  </si>
  <si>
    <t>EARIST-PQ-2020-027</t>
  </si>
  <si>
    <t>SMB-20I043-0723</t>
  </si>
  <si>
    <t>20GZ00001</t>
  </si>
  <si>
    <t>EARIST-PQ-2020-028</t>
  </si>
  <si>
    <t>bac-20-0701g</t>
  </si>
  <si>
    <t>RFQ2020-07-063</t>
  </si>
  <si>
    <t>2019-009-001</t>
  </si>
  <si>
    <t>SMB-20I049-0723</t>
  </si>
  <si>
    <t>EARIST-PQ-2020-031</t>
  </si>
  <si>
    <t>20-07-022</t>
  </si>
  <si>
    <t>20200701</t>
  </si>
  <si>
    <t>SMB-20I044-0723</t>
  </si>
  <si>
    <t>20-07-023</t>
  </si>
  <si>
    <t>SF Goods 005</t>
  </si>
  <si>
    <t>SMB-20I048-0723</t>
  </si>
  <si>
    <t>07062020-102</t>
  </si>
  <si>
    <t>NIA10-2020-004</t>
  </si>
  <si>
    <t>SMB-20G010-0723</t>
  </si>
  <si>
    <t>svp 2020-14</t>
  </si>
  <si>
    <t>G-2020-408</t>
  </si>
  <si>
    <t>2020-019</t>
  </si>
  <si>
    <t>2020-1</t>
  </si>
  <si>
    <t>07-02-2020-02</t>
  </si>
  <si>
    <t>G-2020-413</t>
  </si>
  <si>
    <t>2020-110</t>
  </si>
  <si>
    <t>SSP-2020-06-016</t>
  </si>
  <si>
    <t>07-02-2020-01</t>
  </si>
  <si>
    <t>305-2020</t>
  </si>
  <si>
    <t>G-2020-389</t>
  </si>
  <si>
    <t>20BC0167 re-adv.</t>
  </si>
  <si>
    <t>07062020-101</t>
  </si>
  <si>
    <t>2020-021</t>
  </si>
  <si>
    <t>SMB-20G009-0723</t>
  </si>
  <si>
    <t>EARIST-PQ-2020-030</t>
  </si>
  <si>
    <t>pluma_infras2020-07-002</t>
  </si>
  <si>
    <t>20BC0160 re-adv.</t>
  </si>
  <si>
    <t>PWN-2020-G-004</t>
  </si>
  <si>
    <t>2020-020</t>
  </si>
  <si>
    <t>ITB-ASDI-SDN-2020-24</t>
  </si>
  <si>
    <t>2020-02-25</t>
  </si>
  <si>
    <t>19K00461</t>
  </si>
  <si>
    <t>C-041-2020</t>
  </si>
  <si>
    <t>153-2020</t>
  </si>
  <si>
    <t>BangUN-2020-06-0236</t>
  </si>
  <si>
    <t>2020-02-INFRA-JULY-POBLACION-01</t>
  </si>
  <si>
    <t>PUR20-06-0523</t>
  </si>
  <si>
    <t>DENR-ORMIN-021-2020</t>
  </si>
  <si>
    <t>EARIST-PQ-2020-021</t>
  </si>
  <si>
    <t>G22-2020</t>
  </si>
  <si>
    <t>C-040-2020</t>
  </si>
  <si>
    <t>BCS-2020-0151</t>
  </si>
  <si>
    <t>DENR-ORMIN-020-2020</t>
  </si>
  <si>
    <t>2020-07-25</t>
  </si>
  <si>
    <t>07012003</t>
  </si>
  <si>
    <t>035-07-2020</t>
  </si>
  <si>
    <t>RFQ No. 2020-026</t>
  </si>
  <si>
    <t>2020-06</t>
  </si>
  <si>
    <t>14171-062320</t>
  </si>
  <si>
    <t>20BC0214</t>
  </si>
  <si>
    <t>SVP202007-008</t>
  </si>
  <si>
    <t>SDH-20-0769-B</t>
  </si>
  <si>
    <t>PR-2020-1550</t>
  </si>
  <si>
    <t>20BC0213</t>
  </si>
  <si>
    <t>BangUN-2020-06-0237</t>
  </si>
  <si>
    <t>SDH-20-0771-B</t>
  </si>
  <si>
    <t>BCS-2020-0150</t>
  </si>
  <si>
    <t>01 July 2020</t>
  </si>
  <si>
    <t>2020.07.020</t>
  </si>
  <si>
    <t>2020-SVP-052</t>
  </si>
  <si>
    <t>svp 2020-15</t>
  </si>
  <si>
    <t>G24-2020</t>
  </si>
  <si>
    <t>2020-0066</t>
  </si>
  <si>
    <t>SDH-20-0770-B</t>
  </si>
  <si>
    <t>92-20</t>
  </si>
  <si>
    <t>BAC-20-07-070 (PADD)</t>
  </si>
  <si>
    <t>BAC-20-07-071 (PADD)</t>
  </si>
  <si>
    <t>07012020</t>
  </si>
  <si>
    <t>20-07013</t>
  </si>
  <si>
    <t>20BC0184 re-adv.</t>
  </si>
  <si>
    <t>svp 2020-08</t>
  </si>
  <si>
    <t>2020-07-001</t>
  </si>
  <si>
    <t>PRB-PSYCHOLOGICAL TESTING FORMS &amp; BOOKLETS (LOT) C</t>
  </si>
  <si>
    <t>2020-05</t>
  </si>
  <si>
    <t>20-07-001</t>
  </si>
  <si>
    <t>NIA10-2020-006</t>
  </si>
  <si>
    <t>G-2020-390</t>
  </si>
  <si>
    <t>DepED-RO6-D1-CONSTRUCTION MATERIALS-001-2020</t>
  </si>
  <si>
    <t>2020-07-001 JHS</t>
  </si>
  <si>
    <t>NIA10-2020-005</t>
  </si>
  <si>
    <t>28-2020</t>
  </si>
  <si>
    <t>2020-06-0129</t>
  </si>
  <si>
    <t>2020-003</t>
  </si>
  <si>
    <t>2020-002</t>
  </si>
  <si>
    <t>110035-20-5</t>
  </si>
  <si>
    <t>110035-20-4</t>
  </si>
  <si>
    <t>2020-004</t>
  </si>
  <si>
    <t>LSPU SPCC ELECTRICAL SUPPLIES</t>
  </si>
  <si>
    <t>97-20</t>
  </si>
  <si>
    <t>96-20</t>
  </si>
  <si>
    <t>94-20</t>
  </si>
  <si>
    <t>20060458</t>
  </si>
  <si>
    <t>99-20</t>
  </si>
  <si>
    <t>2020-BC-001R</t>
  </si>
  <si>
    <t>98-20</t>
  </si>
  <si>
    <t>080120A</t>
  </si>
  <si>
    <t>1078-20BAC</t>
  </si>
  <si>
    <t>93-20</t>
  </si>
  <si>
    <t>20060467</t>
  </si>
  <si>
    <t>20060506</t>
  </si>
  <si>
    <t>RRECIS20-CS-032-20</t>
  </si>
  <si>
    <t>2020-012</t>
  </si>
  <si>
    <t>110035-20-5-1</t>
  </si>
  <si>
    <t>2020-010</t>
  </si>
  <si>
    <t>20060479</t>
  </si>
  <si>
    <t>2020-07-035</t>
  </si>
  <si>
    <t>20060464</t>
  </si>
  <si>
    <t>RFQ#2020-026</t>
  </si>
  <si>
    <t>20060461</t>
  </si>
  <si>
    <t>20060459</t>
  </si>
  <si>
    <t>2020-06-038PBDD</t>
  </si>
  <si>
    <t>20-150</t>
  </si>
  <si>
    <t>FRT-20-0275-B</t>
  </si>
  <si>
    <t>DS-G-2020-18</t>
  </si>
  <si>
    <t>09997</t>
  </si>
  <si>
    <t>ITB2020-07-002</t>
  </si>
  <si>
    <t>101-2020-06-303</t>
  </si>
  <si>
    <t>2020-53</t>
  </si>
  <si>
    <t>R.I.S. No.: 20-12-019</t>
  </si>
  <si>
    <t>20-JOPS-016</t>
  </si>
  <si>
    <t>101-2020-06-304</t>
  </si>
  <si>
    <t>2020-07</t>
  </si>
  <si>
    <t>INFRA-SMV-07-2020</t>
  </si>
  <si>
    <t>20060527</t>
  </si>
  <si>
    <t>RIS # 20-03-069</t>
  </si>
  <si>
    <t>20060523</t>
  </si>
  <si>
    <t>2020-07-I02</t>
  </si>
  <si>
    <t>95-20</t>
  </si>
  <si>
    <t>100-2003-274-GF</t>
  </si>
  <si>
    <t>RFQ No. 2020-SVP-18</t>
  </si>
  <si>
    <t>101-2020-06-302</t>
  </si>
  <si>
    <t>20060520</t>
  </si>
  <si>
    <t>cam2020-003</t>
  </si>
  <si>
    <t>BGHMCPB-2020-18-001</t>
  </si>
  <si>
    <t>SV-0747-2020</t>
  </si>
  <si>
    <t>20201070</t>
  </si>
  <si>
    <t>R3-2020-06-004</t>
  </si>
  <si>
    <t>2020-379</t>
  </si>
  <si>
    <t>2020-GOODS-274</t>
  </si>
  <si>
    <t>2020-07-329-01</t>
  </si>
  <si>
    <t>2020-06-0370</t>
  </si>
  <si>
    <t>0739</t>
  </si>
  <si>
    <t>20DG0050</t>
  </si>
  <si>
    <t>06-JO-112</t>
  </si>
  <si>
    <t>20060531</t>
  </si>
  <si>
    <t>20GSDG0018</t>
  </si>
  <si>
    <t>brgy.-003</t>
  </si>
  <si>
    <t>2020-07-031</t>
  </si>
  <si>
    <t>2020-07-I01</t>
  </si>
  <si>
    <t>102CO-2020-250</t>
  </si>
  <si>
    <t>2020-07-01-061</t>
  </si>
  <si>
    <t>R.I.S. No.: 20-12-018</t>
  </si>
  <si>
    <t>BMC-N-20-0217</t>
  </si>
  <si>
    <t>20060508</t>
  </si>
  <si>
    <t>2020-011</t>
  </si>
  <si>
    <t>2020-001</t>
  </si>
  <si>
    <t>2020-377</t>
  </si>
  <si>
    <t>AMP-RFQ 2020-048</t>
  </si>
  <si>
    <t>R3-2020-05-006 / R3-2020-06-017</t>
  </si>
  <si>
    <t>2020-07-330-02</t>
  </si>
  <si>
    <t>2</t>
  </si>
  <si>
    <t>BR-20-01</t>
  </si>
  <si>
    <t>DA 8 SVP Goods 2020-07-0086 (Rice 20-07-01-0853 )</t>
  </si>
  <si>
    <t>PB001-20</t>
  </si>
  <si>
    <t>2020-06-1417</t>
  </si>
  <si>
    <t>100-2020-Goods-407</t>
  </si>
  <si>
    <t>pr2020-0464</t>
  </si>
  <si>
    <t>BSU Project No. 2020-228</t>
  </si>
  <si>
    <t>2020-017</t>
  </si>
  <si>
    <t>RFQ NO. 2020-06-157</t>
  </si>
  <si>
    <t>101-2020-06-298</t>
  </si>
  <si>
    <t>20DG0049</t>
  </si>
  <si>
    <t>0677</t>
  </si>
  <si>
    <t>20201293</t>
  </si>
  <si>
    <t>R3-2020-06-012</t>
  </si>
  <si>
    <t>20-132</t>
  </si>
  <si>
    <t>PB# MOMARO-024-2020</t>
  </si>
  <si>
    <t>20-151</t>
  </si>
  <si>
    <t>CN-2020-03-023</t>
  </si>
  <si>
    <t>CG-1-137-2020</t>
  </si>
  <si>
    <t>101-2020-06-291</t>
  </si>
  <si>
    <t>0028-06-2020</t>
  </si>
  <si>
    <t>20-04-38</t>
  </si>
  <si>
    <t>0759</t>
  </si>
  <si>
    <t>brgy.-004</t>
  </si>
  <si>
    <t>0765</t>
  </si>
  <si>
    <t>2020-07-331-03</t>
  </si>
  <si>
    <t>20CN0155</t>
  </si>
  <si>
    <t>PR NO. 100-1011-20-06-0760</t>
  </si>
  <si>
    <t>2020 Caib 107</t>
  </si>
  <si>
    <t>110035-20-5-2</t>
  </si>
  <si>
    <t>67</t>
  </si>
  <si>
    <t>2020-366</t>
  </si>
  <si>
    <t>20201296</t>
  </si>
  <si>
    <t>20CN0156</t>
  </si>
  <si>
    <t>BE-20-02</t>
  </si>
  <si>
    <t>2020-devmh-080</t>
  </si>
  <si>
    <t>2020-07-032</t>
  </si>
  <si>
    <t>0761</t>
  </si>
  <si>
    <t>EQPT-2020-12</t>
  </si>
  <si>
    <t>073-2020</t>
  </si>
  <si>
    <t>20-07-0438</t>
  </si>
  <si>
    <t>006-07-2020</t>
  </si>
  <si>
    <t>20-04-42</t>
  </si>
  <si>
    <t>CN-2020-03-021</t>
  </si>
  <si>
    <t>2020-365</t>
  </si>
  <si>
    <t>2020-002J</t>
  </si>
  <si>
    <t>20-07-153</t>
  </si>
  <si>
    <t>TAL-07-09-2020</t>
  </si>
  <si>
    <t>261</t>
  </si>
  <si>
    <t>0732</t>
  </si>
  <si>
    <t>CN-2020-01-077</t>
  </si>
  <si>
    <t>2020-07-333-05</t>
  </si>
  <si>
    <t>2020-07-014</t>
  </si>
  <si>
    <t>PR 20-05-0070</t>
  </si>
  <si>
    <t>20GPJ0001</t>
  </si>
  <si>
    <t>PR NO. 2019-01-095</t>
  </si>
  <si>
    <t>2020-06-039PBDD</t>
  </si>
  <si>
    <t>20-190</t>
  </si>
  <si>
    <t>2020-07-02-01</t>
  </si>
  <si>
    <t>2020-06-274</t>
  </si>
  <si>
    <t>SAR-GOODS-07-007-2020</t>
  </si>
  <si>
    <t>2020-362</t>
  </si>
  <si>
    <t>BAC HO GS NO. 2020--0370</t>
  </si>
  <si>
    <t>BSPMD PR No. 1000032835</t>
  </si>
  <si>
    <t>penrneg2020-gs11</t>
  </si>
  <si>
    <t>1222-20BAC</t>
  </si>
  <si>
    <t>2020-06-273</t>
  </si>
  <si>
    <t>DES 1217-20</t>
  </si>
  <si>
    <t>TAL-07-10-2020</t>
  </si>
  <si>
    <t>0757</t>
  </si>
  <si>
    <t>2020-06-378</t>
  </si>
  <si>
    <t>2020-07-002</t>
  </si>
  <si>
    <t>2020-07-01-059</t>
  </si>
  <si>
    <t>PR NO. 100-8731-20-06-0749</t>
  </si>
  <si>
    <t>2020-07-034</t>
  </si>
  <si>
    <t>G03-2020</t>
  </si>
  <si>
    <t>ITB 2020-0018</t>
  </si>
  <si>
    <t>6781002</t>
  </si>
  <si>
    <t>2020-07-033</t>
  </si>
  <si>
    <t>2020-07-332-04</t>
  </si>
  <si>
    <t>2020 Caib 108</t>
  </si>
  <si>
    <t>20-06-281GSO</t>
  </si>
  <si>
    <t>EQPT-2020-13</t>
  </si>
  <si>
    <t>2020-373</t>
  </si>
  <si>
    <t>2006-0542-PP</t>
  </si>
  <si>
    <t>2020-360</t>
  </si>
  <si>
    <t>20-VI-23</t>
  </si>
  <si>
    <t>GOODS-2020-07-89</t>
  </si>
  <si>
    <t>CG-1-138-2020</t>
  </si>
  <si>
    <t>SV-52-2020</t>
  </si>
  <si>
    <t>Philgeps07022020</t>
  </si>
  <si>
    <t>PATHO 1326-20</t>
  </si>
  <si>
    <t>UPLB-RQ-7-137-20-RES FOOD STUFF</t>
  </si>
  <si>
    <t>APR No. 300-20-06-437</t>
  </si>
  <si>
    <t>2020-07-01</t>
  </si>
  <si>
    <t>2020 DHVSU - 030</t>
  </si>
  <si>
    <t>DARFO2.CVRC.115.REC.2020-06-827.00</t>
  </si>
  <si>
    <t>20-06-0825</t>
  </si>
  <si>
    <t>2020-76</t>
  </si>
  <si>
    <t>Quotation No.20-07-0401</t>
  </si>
  <si>
    <t>PR NO. 2019-03-0181</t>
  </si>
  <si>
    <t>SV-0760-2020</t>
  </si>
  <si>
    <t>penrneg2020-gs12</t>
  </si>
  <si>
    <t>3Q2020-001</t>
  </si>
  <si>
    <t>SVP-2020-07-109</t>
  </si>
  <si>
    <t>PR# 20-03-0392</t>
  </si>
  <si>
    <t>2020-03-0002</t>
  </si>
  <si>
    <t>ATI2020-07-173</t>
  </si>
  <si>
    <t>2020-DVO-040</t>
  </si>
  <si>
    <t>0738</t>
  </si>
  <si>
    <t>SVP0023-2020</t>
  </si>
  <si>
    <t>2020-54</t>
  </si>
  <si>
    <t>2020-06-0371</t>
  </si>
  <si>
    <t>TAL-07-11-2020</t>
  </si>
  <si>
    <t>RFQ 2020-0031</t>
  </si>
  <si>
    <t>GD-SH-2020-07-0256</t>
  </si>
  <si>
    <t>2020-100-05-414</t>
  </si>
  <si>
    <t>AFRDC-2020-0132</t>
  </si>
  <si>
    <t>2020-05-007</t>
  </si>
  <si>
    <t>101-2020-06-287</t>
  </si>
  <si>
    <t>0020-0201-1091-2020</t>
  </si>
  <si>
    <t>G04-2020</t>
  </si>
  <si>
    <t>SV-0759-2020</t>
  </si>
  <si>
    <t>0766</t>
  </si>
  <si>
    <t>PR0062-20 PGO NEGO</t>
  </si>
  <si>
    <t>0015-0031-1080-2020</t>
  </si>
  <si>
    <t>2020-07-03</t>
  </si>
  <si>
    <t>G-MDH-051-20</t>
  </si>
  <si>
    <t>2020-0617-1G</t>
  </si>
  <si>
    <t>0311</t>
  </si>
  <si>
    <t>2020 DHVSU - 029</t>
  </si>
  <si>
    <t>AMP-RFQ 2020-049</t>
  </si>
  <si>
    <t>20-04-35</t>
  </si>
  <si>
    <t>RFQ NO. EMB-S-ERLSD-ELSS-OLU CALIBRATION STANDARDS</t>
  </si>
  <si>
    <t>PR-2020</t>
  </si>
  <si>
    <t>C-039-2020</t>
  </si>
  <si>
    <t>GOODS-2020-07-90</t>
  </si>
  <si>
    <t>2020 - 024</t>
  </si>
  <si>
    <t>7-20-03</t>
  </si>
  <si>
    <t>SN-2020-40</t>
  </si>
  <si>
    <t>07022020</t>
  </si>
  <si>
    <t>07046320</t>
  </si>
  <si>
    <t>2020-07-00001</t>
  </si>
  <si>
    <t>SJPES-RQF 07-02-2020</t>
  </si>
  <si>
    <t>a.20.06.19</t>
  </si>
  <si>
    <t>EBMS 0784-20</t>
  </si>
  <si>
    <t>DENR N.Ecija-2020-042</t>
  </si>
  <si>
    <t>RESO 043-2020</t>
  </si>
  <si>
    <t>0483-20</t>
  </si>
  <si>
    <t>2020-05-0269</t>
  </si>
  <si>
    <t>2020-07-07-01</t>
  </si>
  <si>
    <t>0767</t>
  </si>
  <si>
    <t>2020-SVP-294</t>
  </si>
  <si>
    <t>itb07022020</t>
  </si>
  <si>
    <t>20GSCC02</t>
  </si>
  <si>
    <t>2020-07-334-06</t>
  </si>
  <si>
    <t>0481-20</t>
  </si>
  <si>
    <t>BUE-07022020-01</t>
  </si>
  <si>
    <t>2020-07-05</t>
  </si>
  <si>
    <t>2020-070202</t>
  </si>
  <si>
    <t>TESDA PR-0216</t>
  </si>
  <si>
    <t>0000181-007-002-2020</t>
  </si>
  <si>
    <t>2020-07-07-02</t>
  </si>
  <si>
    <t>2020-07-04</t>
  </si>
  <si>
    <t>G05-2020</t>
  </si>
  <si>
    <t>2020-06-RFQ04</t>
  </si>
  <si>
    <t>ICWS-20-013(NP/SV)</t>
  </si>
  <si>
    <t>2020-070203</t>
  </si>
  <si>
    <t>0077-20</t>
  </si>
  <si>
    <t>ATI2020-07-174</t>
  </si>
  <si>
    <t>101-2020-06-307</t>
  </si>
  <si>
    <t>SVP024-2020</t>
  </si>
  <si>
    <t>UPM-CAD2020-06</t>
  </si>
  <si>
    <t>20-07014</t>
  </si>
  <si>
    <t>100-2006-039-20%</t>
  </si>
  <si>
    <t>DENR N.Ecija-2020-043</t>
  </si>
  <si>
    <t>2020-07-011</t>
  </si>
  <si>
    <t>PR0065-20 PGO NEGO</t>
  </si>
  <si>
    <t>100-06-20-01674</t>
  </si>
  <si>
    <t xml:space="preserve">LABOR-COVERING CANAL IN FRONT OF BARANGAY CHAPEL, </t>
  </si>
  <si>
    <t>Quotation No.20-07-0400</t>
  </si>
  <si>
    <t>0000180-007-002-2020</t>
  </si>
  <si>
    <t>RIS 20-02-054</t>
  </si>
  <si>
    <t>ICWS-20-050A(NP/SV)</t>
  </si>
  <si>
    <t>2020-070201</t>
  </si>
  <si>
    <t>EQPT-JO-2020-01</t>
  </si>
  <si>
    <t>Quotation No. 20-06-0390</t>
  </si>
  <si>
    <t>PR# 20-0549</t>
  </si>
  <si>
    <t>2020-06-191-RFQ</t>
  </si>
  <si>
    <t>07-02-2020</t>
  </si>
  <si>
    <t>2020-07-005</t>
  </si>
  <si>
    <t>2003-01M10-06</t>
  </si>
  <si>
    <t>SV-0748-2020</t>
  </si>
  <si>
    <t>PR#20-06-0343</t>
  </si>
  <si>
    <t>ITB2020-06-15</t>
  </si>
  <si>
    <t>20-07-078</t>
  </si>
  <si>
    <t>ICWS-20-013A(NP/SV)</t>
  </si>
  <si>
    <t>DA3-2020-06-22-279</t>
  </si>
  <si>
    <t>810</t>
  </si>
  <si>
    <t>I-2020-017</t>
  </si>
  <si>
    <t>044-2020</t>
  </si>
  <si>
    <t>GOODS-2020-07-91</t>
  </si>
  <si>
    <t>20-07015</t>
  </si>
  <si>
    <t>2020-03-0003</t>
  </si>
  <si>
    <t>69</t>
  </si>
  <si>
    <t>2020-06-364</t>
  </si>
  <si>
    <t>2020-070205</t>
  </si>
  <si>
    <t>APR No. 100-20-06-450</t>
  </si>
  <si>
    <t>RFQ-DVO-PR.NO. 2006108 CAT. 14 CONSTRUCTION SUPPLI</t>
  </si>
  <si>
    <t>7-20-04</t>
  </si>
  <si>
    <t>2020-070204</t>
  </si>
  <si>
    <t>1240-20BAC</t>
  </si>
  <si>
    <t>20-249</t>
  </si>
  <si>
    <t>DAR5-2020-07-Q028</t>
  </si>
  <si>
    <t>SN-2020-41</t>
  </si>
  <si>
    <t>PR No. 2006-123</t>
  </si>
  <si>
    <t>20GGB0012</t>
  </si>
  <si>
    <t>2020-070207</t>
  </si>
  <si>
    <t>I-2020-018</t>
  </si>
  <si>
    <t>INFRA-PNBAC2-2020-08</t>
  </si>
  <si>
    <t>RFQ-2020-180</t>
  </si>
  <si>
    <t>G-MDH-052-20</t>
  </si>
  <si>
    <t>2020-06-275</t>
  </si>
  <si>
    <t>2020-07-004</t>
  </si>
  <si>
    <t>GOODS-032-2020</t>
  </si>
  <si>
    <t>20-06-RES0436</t>
  </si>
  <si>
    <t>20GGB0013</t>
  </si>
  <si>
    <t>ASTGOODS13</t>
  </si>
  <si>
    <t>003-2020</t>
  </si>
  <si>
    <t>2020-03-0004</t>
  </si>
  <si>
    <t>Quotation No.20-07-0399</t>
  </si>
  <si>
    <t>1176-20BAC</t>
  </si>
  <si>
    <t>RIS# 20-01-081</t>
  </si>
  <si>
    <t>ICWS-20-039A(NP/SV)</t>
  </si>
  <si>
    <t>2020-476</t>
  </si>
  <si>
    <t>14192-062920</t>
  </si>
  <si>
    <t>RFQ-20-179</t>
  </si>
  <si>
    <t>proc-2000103-INK EPSON</t>
  </si>
  <si>
    <t>DPWH-MS-2020-05-020</t>
  </si>
  <si>
    <t>RFQ-2020-06-0862</t>
  </si>
  <si>
    <t>2020-0190</t>
  </si>
  <si>
    <t>PR#20-02-0040</t>
  </si>
  <si>
    <t>DSB-2020-021</t>
  </si>
  <si>
    <t>2001-07M01</t>
  </si>
  <si>
    <t>PR No. 2006-142</t>
  </si>
  <si>
    <t>BSU Project No. 2020-229</t>
  </si>
  <si>
    <t>Invitation to Bid 20-38</t>
  </si>
  <si>
    <t>CN-2020-02-102</t>
  </si>
  <si>
    <t>SP(LEGIS)20-172(NP/SV)</t>
  </si>
  <si>
    <t>INFRA-PNBAC2-2020-09</t>
  </si>
  <si>
    <t>MPRSD-2020-07-0314</t>
  </si>
  <si>
    <t>045-2020</t>
  </si>
  <si>
    <t>Quotation No.20-07-0398</t>
  </si>
  <si>
    <t>MPRSD-2020-07-0313</t>
  </si>
  <si>
    <t>GSO-20-07-0290</t>
  </si>
  <si>
    <t>GHQPC-OESPA-TRNG-1364-20</t>
  </si>
  <si>
    <t>7-20-05</t>
  </si>
  <si>
    <t>101-2020-06-300</t>
  </si>
  <si>
    <t>2020-070208</t>
  </si>
  <si>
    <t>2020-009MTN</t>
  </si>
  <si>
    <t>07-83-2020</t>
  </si>
  <si>
    <t>2020-07-093-GS</t>
  </si>
  <si>
    <t>Nego/SVP 2020-07-043</t>
  </si>
  <si>
    <t>PR No. 2006-138</t>
  </si>
  <si>
    <t>2020 -</t>
  </si>
  <si>
    <t>SP(ONG)20-014(NP/SV)</t>
  </si>
  <si>
    <t>20-07016</t>
  </si>
  <si>
    <t>2020-B54M-01</t>
  </si>
  <si>
    <t>PURCHASE REQUEST NO. 101-2020-06-121</t>
  </si>
  <si>
    <t>2020-486</t>
  </si>
  <si>
    <t>BAC2020-07-025</t>
  </si>
  <si>
    <t>07-102-2020</t>
  </si>
  <si>
    <t>RFQ-2020-172</t>
  </si>
  <si>
    <t>20-224</t>
  </si>
  <si>
    <t>GSO-20-07-0291</t>
  </si>
  <si>
    <t>100-20-01-0412</t>
  </si>
  <si>
    <t>SVP 40</t>
  </si>
  <si>
    <t>20-07-273</t>
  </si>
  <si>
    <t>pmma-svp-44-20</t>
  </si>
  <si>
    <t>GHQPC-OESPA-TRNG-1366-20</t>
  </si>
  <si>
    <t>Posting-016-20</t>
  </si>
  <si>
    <t>8918-5-1632-20 LDF-2020</t>
  </si>
  <si>
    <t>SAR-GOODS-07-002-2020</t>
  </si>
  <si>
    <t>2020-AP-07-25</t>
  </si>
  <si>
    <t>pgeps#279-2020</t>
  </si>
  <si>
    <t>RFQ-20-176</t>
  </si>
  <si>
    <t>200036</t>
  </si>
  <si>
    <t>RQF-2020-171</t>
  </si>
  <si>
    <t>MPRSD-2020-06-0307</t>
  </si>
  <si>
    <t>7022020</t>
  </si>
  <si>
    <t>2020-23</t>
  </si>
  <si>
    <t>BAC2020-07-026</t>
  </si>
  <si>
    <t>2020-ANT-GOODS-0127</t>
  </si>
  <si>
    <t>2020-06-2411</t>
  </si>
  <si>
    <t>RFQ NO. EMB-S-ERLSD-ELSS-OLU CHEMICALS 2020-0546</t>
  </si>
  <si>
    <t>RFQ-203-2020</t>
  </si>
  <si>
    <t>APR No. 100-20-07-454</t>
  </si>
  <si>
    <t>GHQPC-OESPA-TELM-1367-20</t>
  </si>
  <si>
    <t>BSU Project No. 2020-230</t>
  </si>
  <si>
    <t>2020-03-0007</t>
  </si>
  <si>
    <t>CGSO-20-047(NP/SV)</t>
  </si>
  <si>
    <t>V1-20-1455</t>
  </si>
  <si>
    <t>2020-478</t>
  </si>
  <si>
    <t>EBMS 0267-20</t>
  </si>
  <si>
    <t>1259-20BAC</t>
  </si>
  <si>
    <t>2020-05-254</t>
  </si>
  <si>
    <t>ILI 20-06-004</t>
  </si>
  <si>
    <t>GOODS-2020-07-92</t>
  </si>
  <si>
    <t>Goods-029A-2020</t>
  </si>
  <si>
    <t>RFQ-2020-170</t>
  </si>
  <si>
    <t>20-223</t>
  </si>
  <si>
    <t>SVP20-519</t>
  </si>
  <si>
    <t>BUE-07022020-02</t>
  </si>
  <si>
    <t>2020-07-32</t>
  </si>
  <si>
    <t>3164</t>
  </si>
  <si>
    <t>PR 2020-06-1921</t>
  </si>
  <si>
    <t>INFRA-PNBAC2-2020-10</t>
  </si>
  <si>
    <t>067-2020</t>
  </si>
  <si>
    <t>20-041 (Re-bid)</t>
  </si>
  <si>
    <t>2020-BCN-002</t>
  </si>
  <si>
    <t>2020-07-02</t>
  </si>
  <si>
    <t>2020-06-2408</t>
  </si>
  <si>
    <t>20-07-025</t>
  </si>
  <si>
    <t>SVP 41</t>
  </si>
  <si>
    <t>PR# 20-07-0667</t>
  </si>
  <si>
    <t>DAS2020-049</t>
  </si>
  <si>
    <t>2020-03-0008</t>
  </si>
  <si>
    <t>PR 20-05-0071</t>
  </si>
  <si>
    <t>2020-05-0274</t>
  </si>
  <si>
    <t>RFQ-2020-116-GOODS-PRFS</t>
  </si>
  <si>
    <t>100200600894</t>
  </si>
  <si>
    <t>PR 2020-06-1922</t>
  </si>
  <si>
    <t>1322-20BAC</t>
  </si>
  <si>
    <t>brtth n-20-07-120</t>
  </si>
  <si>
    <t>2020-07-019</t>
  </si>
  <si>
    <t>2020-003J</t>
  </si>
  <si>
    <t>046-2020</t>
  </si>
  <si>
    <t>RFQ-2020-117-FCSMO</t>
  </si>
  <si>
    <t>2020-04-236</t>
  </si>
  <si>
    <t>EBMS 0464-20</t>
  </si>
  <si>
    <t>PR#20-06-0305</t>
  </si>
  <si>
    <t>PR No.: 2020-07-0318</t>
  </si>
  <si>
    <t>Goods 2020-02</t>
  </si>
  <si>
    <t>20-042 (Re-bid)</t>
  </si>
  <si>
    <t>PR 2020-052</t>
  </si>
  <si>
    <t>PROE-06-01-2020</t>
  </si>
  <si>
    <t>NS 1180-20</t>
  </si>
  <si>
    <t>07022020A</t>
  </si>
  <si>
    <t>BAC2020-07-027</t>
  </si>
  <si>
    <t>0003-0089-1115-2020</t>
  </si>
  <si>
    <t>brgy12020-003</t>
  </si>
  <si>
    <t>PR 20-06-0073</t>
  </si>
  <si>
    <t>CN-2020-03-022</t>
  </si>
  <si>
    <t>0015-2020</t>
  </si>
  <si>
    <t>CMO(CDI)-20-019(NP/SV)</t>
  </si>
  <si>
    <t>2020-07-0013</t>
  </si>
  <si>
    <t>DAS2020-050</t>
  </si>
  <si>
    <t>DSWD 4B 2020-05-0614 NP-SVP</t>
  </si>
  <si>
    <t>2020-481</t>
  </si>
  <si>
    <t>SVP20-523</t>
  </si>
  <si>
    <t>100(18)20-06-394(O)</t>
  </si>
  <si>
    <t>2020 GDS JUN</t>
  </si>
  <si>
    <t>0003-0088-1114-2020</t>
  </si>
  <si>
    <t>2020-SVP-053</t>
  </si>
  <si>
    <t>0003-0090-1116-2020</t>
  </si>
  <si>
    <t>002-2020</t>
  </si>
  <si>
    <t>1326-20BAC</t>
  </si>
  <si>
    <t>BSPMD PR No. 1000032849</t>
  </si>
  <si>
    <t>6911-03-1054-19</t>
  </si>
  <si>
    <t>014-2020-081</t>
  </si>
  <si>
    <t>PG-RFQ-2020-15</t>
  </si>
  <si>
    <t>068-2020</t>
  </si>
  <si>
    <t>2020-480</t>
  </si>
  <si>
    <t>CRCF-2020-07-0241</t>
  </si>
  <si>
    <t>6911-01-1453-19 / LDRRM</t>
  </si>
  <si>
    <t>2020-ANT-GOODS-0128</t>
  </si>
  <si>
    <t>S20-02-0110</t>
  </si>
  <si>
    <t>2020-07-09</t>
  </si>
  <si>
    <t>PR# 20-07-0668</t>
  </si>
  <si>
    <t>BFAR5BAC-2020-113</t>
  </si>
  <si>
    <t>INFRA-ETG-C-20-07-013</t>
  </si>
  <si>
    <t>MILAGROSA 2020-02</t>
  </si>
  <si>
    <t>20-044</t>
  </si>
  <si>
    <t>2020-02-099</t>
  </si>
  <si>
    <t>CP 2020-33 RB</t>
  </si>
  <si>
    <t>06-012-371-20</t>
  </si>
  <si>
    <t>2020-SVP-054</t>
  </si>
  <si>
    <t>RFQ-2020-118-GOODS-HPSEPO</t>
  </si>
  <si>
    <t>100(18)20-07-399(O)</t>
  </si>
  <si>
    <t>100(01)20-07-031(P)</t>
  </si>
  <si>
    <t>6911-2-872-20</t>
  </si>
  <si>
    <t>1597</t>
  </si>
  <si>
    <t>CDH-2020-0039, 0042, 0058, HOD-2020-0109, 0110, 01</t>
  </si>
  <si>
    <t>20-043</t>
  </si>
  <si>
    <t>PENRO-BUK.-20-041</t>
  </si>
  <si>
    <t>PURCHASE REQUEST NO. 101-2020-07-130</t>
  </si>
  <si>
    <t>102-20</t>
  </si>
  <si>
    <t>100-20-06-0278</t>
  </si>
  <si>
    <t>2020-19</t>
  </si>
  <si>
    <t>2020-03-0009</t>
  </si>
  <si>
    <t>2020-07-0015</t>
  </si>
  <si>
    <t>2020070201</t>
  </si>
  <si>
    <t>0034-35-36-2020</t>
  </si>
  <si>
    <t>100200600925</t>
  </si>
  <si>
    <t>2020-482</t>
  </si>
  <si>
    <t>DAS2020-051</t>
  </si>
  <si>
    <t>242</t>
  </si>
  <si>
    <t>2020-SVP-056</t>
  </si>
  <si>
    <t>PB-12-07-2020-Infra</t>
  </si>
  <si>
    <t>2020-07-0014</t>
  </si>
  <si>
    <t>2020-67</t>
  </si>
  <si>
    <t>INFRA-PNBAC2-2020-11</t>
  </si>
  <si>
    <t>Goods2020-06-008</t>
  </si>
  <si>
    <t>2020-SVP-055</t>
  </si>
  <si>
    <t>2020-BCN-003</t>
  </si>
  <si>
    <t>RFQ-2020-054</t>
  </si>
  <si>
    <t>20-045</t>
  </si>
  <si>
    <t>8918-23-1569-20(SUPPLEMENTAL #01-2020)</t>
  </si>
  <si>
    <t>bcnhs00158</t>
  </si>
  <si>
    <t>0403</t>
  </si>
  <si>
    <t>Goods-029B-2020</t>
  </si>
  <si>
    <t>07-84-2020</t>
  </si>
  <si>
    <t>2020-07-0032</t>
  </si>
  <si>
    <t>2020-479</t>
  </si>
  <si>
    <t>2020-483</t>
  </si>
  <si>
    <t>2020-07-0016</t>
  </si>
  <si>
    <t>2020-01M02-02</t>
  </si>
  <si>
    <t>3165</t>
  </si>
  <si>
    <t>2020-GOODS-04 RE-AD</t>
  </si>
  <si>
    <t>109937-2020-04A</t>
  </si>
  <si>
    <t>20-184-046</t>
  </si>
  <si>
    <t>2020-20</t>
  </si>
  <si>
    <t>07-85-2020</t>
  </si>
  <si>
    <t>2020-06-363</t>
  </si>
  <si>
    <t>CP 2020-34 RB</t>
  </si>
  <si>
    <t>CDH-2020-0036, 0060, 0067, HOD-2020-0160, 0165, IP</t>
  </si>
  <si>
    <t>RFQ-204-2020</t>
  </si>
  <si>
    <t>SVP20-524</t>
  </si>
  <si>
    <t>2020-06-334</t>
  </si>
  <si>
    <t>INFRA-PNBAC2-2020-12</t>
  </si>
  <si>
    <t>2020-320</t>
  </si>
  <si>
    <t>ITB-2020-12-INFRA</t>
  </si>
  <si>
    <t>6911-05-1237-19</t>
  </si>
  <si>
    <t>CRCF-2020-07-0242</t>
  </si>
  <si>
    <t>INVITATION TO BID 2020-005</t>
  </si>
  <si>
    <t>RFQ 20-07-411</t>
  </si>
  <si>
    <t>20-07-204</t>
  </si>
  <si>
    <t>SAZ-2020-07-003</t>
  </si>
  <si>
    <t>N2006-397</t>
  </si>
  <si>
    <t>2020-03-0010</t>
  </si>
  <si>
    <t>CDH-2020-0032, 0043-0045, GOV-2020-0170, IADH-2020</t>
  </si>
  <si>
    <t>BUE-07022020-03</t>
  </si>
  <si>
    <t>2020-06-333</t>
  </si>
  <si>
    <t>BAC-2020-668</t>
  </si>
  <si>
    <t>20M0031</t>
  </si>
  <si>
    <t>2020-C8-01</t>
  </si>
  <si>
    <t>101-2020-06-294</t>
  </si>
  <si>
    <t>PR072000641</t>
  </si>
  <si>
    <t>20AC0058</t>
  </si>
  <si>
    <t>2020 - 072</t>
  </si>
  <si>
    <t>062020-0126</t>
  </si>
  <si>
    <t>RFQ-2020-120-GOODS-FCSMO</t>
  </si>
  <si>
    <t>103-20</t>
  </si>
  <si>
    <t>PR0122-20 PEO</t>
  </si>
  <si>
    <t>BAC-2020-669</t>
  </si>
  <si>
    <t>2020-devmh-081</t>
  </si>
  <si>
    <t>PR 20-06-0074</t>
  </si>
  <si>
    <t>BSU Project No. 2020-231</t>
  </si>
  <si>
    <t>DAS2020-052</t>
  </si>
  <si>
    <t>2020-C8-02</t>
  </si>
  <si>
    <t>S2005-328</t>
  </si>
  <si>
    <t>AVNR-SPL-30.2-20</t>
  </si>
  <si>
    <t>P20-02-010</t>
  </si>
  <si>
    <t>032-MIF20</t>
  </si>
  <si>
    <t>PR# 100-20-06-477</t>
  </si>
  <si>
    <t>2020-06-317</t>
  </si>
  <si>
    <t>MG-PHP20-004</t>
  </si>
  <si>
    <t>2020-283</t>
  </si>
  <si>
    <t>pgeps#280-2020</t>
  </si>
  <si>
    <t>2020-06-1458 &amp; 2020-06-1477</t>
  </si>
  <si>
    <t>INFRA-PNBAC2-2020-13</t>
  </si>
  <si>
    <t>2020-03-0011</t>
  </si>
  <si>
    <t>Goods-029C-2020</t>
  </si>
  <si>
    <t>2020-devmh-082</t>
  </si>
  <si>
    <t>RB2020-07-214</t>
  </si>
  <si>
    <t>2020-07-003</t>
  </si>
  <si>
    <t>06-020-376-20</t>
  </si>
  <si>
    <t>RFQ No. 2020-04-01</t>
  </si>
  <si>
    <t>2020-485</t>
  </si>
  <si>
    <t>CNLC2019-076</t>
  </si>
  <si>
    <t>2020-036</t>
  </si>
  <si>
    <t>20-080</t>
  </si>
  <si>
    <t>RFQ No. R-20-07-68</t>
  </si>
  <si>
    <t>BMC-N-20-0219</t>
  </si>
  <si>
    <t>2020-03-368</t>
  </si>
  <si>
    <t>2020-296</t>
  </si>
  <si>
    <t>2020-304</t>
  </si>
  <si>
    <t>20-02-0137</t>
  </si>
  <si>
    <t>GS-GF-2019-0280</t>
  </si>
  <si>
    <t>S 20-06-116</t>
  </si>
  <si>
    <t>CRCF-2020-07-0243</t>
  </si>
  <si>
    <t>2020-devmh-083</t>
  </si>
  <si>
    <t>Goods-029D-2020</t>
  </si>
  <si>
    <t>REQUEST FOR QUOTATION -2020-006</t>
  </si>
  <si>
    <t>s-33-2020</t>
  </si>
  <si>
    <t>2020-6-17-211</t>
  </si>
  <si>
    <t>2020-C8-03</t>
  </si>
  <si>
    <t>2020-07-01-060</t>
  </si>
  <si>
    <t>2020-484</t>
  </si>
  <si>
    <t>2020-41</t>
  </si>
  <si>
    <t>2020-08</t>
  </si>
  <si>
    <t>100(01)20-06-1241</t>
  </si>
  <si>
    <t>104-20</t>
  </si>
  <si>
    <t>GS-GF-2019-0283</t>
  </si>
  <si>
    <t>AMP-020-2020</t>
  </si>
  <si>
    <t>6911-02-1059-19 CONTINUING 2019</t>
  </si>
  <si>
    <t>s-22-2020</t>
  </si>
  <si>
    <t>2020-03-0012</t>
  </si>
  <si>
    <t>0014-2020</t>
  </si>
  <si>
    <t>GS-GF-2019-0282</t>
  </si>
  <si>
    <t>2020-071-16-1</t>
  </si>
  <si>
    <t>960</t>
  </si>
  <si>
    <t>PR# 100-20-06-288</t>
  </si>
  <si>
    <t>2020-04-214</t>
  </si>
  <si>
    <t>2020-07-0019</t>
  </si>
  <si>
    <t>RB2020-07-215</t>
  </si>
  <si>
    <t>M2006-423</t>
  </si>
  <si>
    <t>2020-073</t>
  </si>
  <si>
    <t>PR 20-06-1772-A</t>
  </si>
  <si>
    <t>39-2020</t>
  </si>
  <si>
    <t>RFQ-2020-119-GOODS-PSD</t>
  </si>
  <si>
    <t>PR 2020-06-1932</t>
  </si>
  <si>
    <t>GS-GF-2019-0279</t>
  </si>
  <si>
    <t>PR 2020-06-1912</t>
  </si>
  <si>
    <t>ITB  2020-001</t>
  </si>
  <si>
    <t>101-2020-06-342</t>
  </si>
  <si>
    <t>RFQ-2020-049</t>
  </si>
  <si>
    <t>SVP20-522</t>
  </si>
  <si>
    <t>pgeps#281-2020</t>
  </si>
  <si>
    <t>PURCHASE REQUEST NO. 101-2020-04-087</t>
  </si>
  <si>
    <t>20AC0057</t>
  </si>
  <si>
    <t>2020-02-26</t>
  </si>
  <si>
    <t>44</t>
  </si>
  <si>
    <t>047-2020</t>
  </si>
  <si>
    <t>0013-2020</t>
  </si>
  <si>
    <t>20FF0102</t>
  </si>
  <si>
    <t>PR#100-20-06-026</t>
  </si>
  <si>
    <t>109937-2020-04B</t>
  </si>
  <si>
    <t>2020-071-16-2</t>
  </si>
  <si>
    <t>20-06-1400</t>
  </si>
  <si>
    <t>2020-C8-04</t>
  </si>
  <si>
    <t>2020-Barangay San Pablo-003</t>
  </si>
  <si>
    <t>20M0032</t>
  </si>
  <si>
    <t>20-06-0392</t>
  </si>
  <si>
    <t>2020-03-0013</t>
  </si>
  <si>
    <t>BAC-2020-670</t>
  </si>
  <si>
    <t>SHO-06-07-2020-Goods</t>
  </si>
  <si>
    <t>07-0002-20</t>
  </si>
  <si>
    <t>2020-07-01-062</t>
  </si>
  <si>
    <t>20-05-0319</t>
  </si>
  <si>
    <t>RFQ 075</t>
  </si>
  <si>
    <t>PR 20-06-1714</t>
  </si>
  <si>
    <t>100(01)20-05-1143</t>
  </si>
  <si>
    <t>20-7-49</t>
  </si>
  <si>
    <t>s-23-2020</t>
  </si>
  <si>
    <t>2020-02-137</t>
  </si>
  <si>
    <t>PALG-03-2020</t>
  </si>
  <si>
    <t>2020-05-0271, 2020-05-0270</t>
  </si>
  <si>
    <t>08-2020</t>
  </si>
  <si>
    <t>CRCF-2020-07-0244</t>
  </si>
  <si>
    <t>RFQ-2020-121-GOODS-PRFS</t>
  </si>
  <si>
    <t>CMO(PASALUBONG)18-001(NP/SV)</t>
  </si>
  <si>
    <t>T2006-431</t>
  </si>
  <si>
    <t>S-29-2020</t>
  </si>
  <si>
    <t>2020-008</t>
  </si>
  <si>
    <t>20-07-906</t>
  </si>
  <si>
    <t>41-2020</t>
  </si>
  <si>
    <t>CRCF-2020-07-0245</t>
  </si>
  <si>
    <t>105-20</t>
  </si>
  <si>
    <t>0675</t>
  </si>
  <si>
    <t>20-06-1401</t>
  </si>
  <si>
    <t>C-037-2020</t>
  </si>
  <si>
    <t>2020-G-089</t>
  </si>
  <si>
    <t>2020-SVP-296</t>
  </si>
  <si>
    <t>PR 74759</t>
  </si>
  <si>
    <t>2020-071-16-3</t>
  </si>
  <si>
    <t>2020-487</t>
  </si>
  <si>
    <t>20200702</t>
  </si>
  <si>
    <t>SAR-GOODS-07-001-2020</t>
  </si>
  <si>
    <t>BGH - 07 - 0109</t>
  </si>
  <si>
    <t>102CO-2020-251</t>
  </si>
  <si>
    <t>PR NO. 0565 S.2020</t>
  </si>
  <si>
    <t>TJPH-2020-0113</t>
  </si>
  <si>
    <t>RFQ 538</t>
  </si>
  <si>
    <t>M2006-435</t>
  </si>
  <si>
    <t>2020-07-01-063</t>
  </si>
  <si>
    <t>RFQ-PR NO. 2020-06-070</t>
  </si>
  <si>
    <t>101-20</t>
  </si>
  <si>
    <t>2020-477</t>
  </si>
  <si>
    <t>GSO-20-07-0292</t>
  </si>
  <si>
    <t>DPWH-PDS-2020-021</t>
  </si>
  <si>
    <t>PR 2020-06-1911</t>
  </si>
  <si>
    <t>40-2020</t>
  </si>
  <si>
    <t>GA-BAC-AM # 2020-023-R</t>
  </si>
  <si>
    <t>2020-02-27</t>
  </si>
  <si>
    <t>ITB-2020-16a</t>
  </si>
  <si>
    <t>100(01)20-06-1223</t>
  </si>
  <si>
    <t>2020-071-16-4</t>
  </si>
  <si>
    <t>2020-13</t>
  </si>
  <si>
    <t>SAZ-2020-07-004</t>
  </si>
  <si>
    <t>2020-SNPO-0002</t>
  </si>
  <si>
    <t>RFQ 6 - 2020</t>
  </si>
  <si>
    <t>109937-2020-05A</t>
  </si>
  <si>
    <t>248</t>
  </si>
  <si>
    <t>109937-2020-07</t>
  </si>
  <si>
    <t>100200600802</t>
  </si>
  <si>
    <t>PALG-04-2020</t>
  </si>
  <si>
    <t>2020-07-26</t>
  </si>
  <si>
    <t>6070</t>
  </si>
  <si>
    <t>42-2020</t>
  </si>
  <si>
    <t>70</t>
  </si>
  <si>
    <t>109937-2020-06</t>
  </si>
  <si>
    <t>G-07022020-Maintenance of Public Market - LGU</t>
  </si>
  <si>
    <t>PR NO. 0564 S.2020</t>
  </si>
  <si>
    <t>2020-04-213</t>
  </si>
  <si>
    <t>100-20-06-0798</t>
  </si>
  <si>
    <t>PR# 20-07-0664</t>
  </si>
  <si>
    <t>2020-071-16-5</t>
  </si>
  <si>
    <t>RFQ-PR NO. 2020-06-071</t>
  </si>
  <si>
    <t>RFQ 7 - 2020</t>
  </si>
  <si>
    <t>2020-488</t>
  </si>
  <si>
    <t>wawa2020-01</t>
  </si>
  <si>
    <t>2020-14</t>
  </si>
  <si>
    <t>PR 20-06-1771</t>
  </si>
  <si>
    <t>20AC0060</t>
  </si>
  <si>
    <t>004-2020</t>
  </si>
  <si>
    <t>2020-04-235</t>
  </si>
  <si>
    <t>TAS 20-06-098B</t>
  </si>
  <si>
    <t>AMP-021-2020</t>
  </si>
  <si>
    <t>SVP No. 2019-033</t>
  </si>
  <si>
    <t>109937-2020-05B</t>
  </si>
  <si>
    <t>2020 DHVSU - 031</t>
  </si>
  <si>
    <t>2020-07-001  REPAIR AND ENHANCEMENT OF HAND WASHIN</t>
  </si>
  <si>
    <t>RFQ-L-PROCUREMENT OF BASE RADIO STATION FOR THE US</t>
  </si>
  <si>
    <t>45</t>
  </si>
  <si>
    <t>2020-06-335</t>
  </si>
  <si>
    <t>RFQ 5 - 2020</t>
  </si>
  <si>
    <t>20-06-0320</t>
  </si>
  <si>
    <t>2020-03-0006</t>
  </si>
  <si>
    <t>P.R. No. 2020-07-0039</t>
  </si>
  <si>
    <t>2020-071-16-7</t>
  </si>
  <si>
    <t>066-2020</t>
  </si>
  <si>
    <t>B-07-26-20</t>
  </si>
  <si>
    <t>2020-070206</t>
  </si>
  <si>
    <t>100-20-06-0297</t>
  </si>
  <si>
    <t>PR# 20-07-0663</t>
  </si>
  <si>
    <t>LGULILA-06-2020</t>
  </si>
  <si>
    <t>CDH-2020-0047 &amp; HOD-2020-0108</t>
  </si>
  <si>
    <t>PR072000642</t>
  </si>
  <si>
    <t>PR #00714</t>
  </si>
  <si>
    <t>20-06-1399</t>
  </si>
  <si>
    <t>PR 20-03-1362</t>
  </si>
  <si>
    <t>RFQ-TFB-12-2020</t>
  </si>
  <si>
    <t>Concreting of road Mun. compound</t>
  </si>
  <si>
    <t>SSP-2020-06-017</t>
  </si>
  <si>
    <t>P2020-06-131</t>
  </si>
  <si>
    <t>20M0034</t>
  </si>
  <si>
    <t>2020-071-16-6</t>
  </si>
  <si>
    <t>RFQ 8 - 2020</t>
  </si>
  <si>
    <t>T2006-412</t>
  </si>
  <si>
    <t>2020-007</t>
  </si>
  <si>
    <t>G-TLDH-053-20</t>
  </si>
  <si>
    <t>SEF-G-029-2020</t>
  </si>
  <si>
    <t>PR #00713</t>
  </si>
  <si>
    <t>2020-07-Rehabilitation of Barangay Health Center -</t>
  </si>
  <si>
    <t>2020-06-003</t>
  </si>
  <si>
    <t>2020-047</t>
  </si>
  <si>
    <t>100200600793</t>
  </si>
  <si>
    <t>LGU-RFQ-2020-62</t>
  </si>
  <si>
    <t>PG-2020-053</t>
  </si>
  <si>
    <t>20-MC-MOOE-2</t>
  </si>
  <si>
    <t>2020-004J</t>
  </si>
  <si>
    <t>RFQ No. 2020-027</t>
  </si>
  <si>
    <t>RFQ NO. EMB-S-ERLSD-ESRS LABORATORY ITEMS 2020-050</t>
  </si>
  <si>
    <t>RFQ-PR NO. 2020-06-062</t>
  </si>
  <si>
    <t>PR# 100-20-06-107</t>
  </si>
  <si>
    <t>MEALS FOR BRGY. INVESTMENT PLAN WORKSHOP 07022020</t>
  </si>
  <si>
    <t>2020-RFQ-027G</t>
  </si>
  <si>
    <t>101-2020-06-169</t>
  </si>
  <si>
    <t>100200300364</t>
  </si>
  <si>
    <t>2020-458</t>
  </si>
  <si>
    <t>2020-294</t>
  </si>
  <si>
    <t>1600</t>
  </si>
  <si>
    <t>NNP-2020-VII-06-01 FARM TO MARKET ROAD</t>
  </si>
  <si>
    <t>07062020-103</t>
  </si>
  <si>
    <t>20-07-129</t>
  </si>
  <si>
    <t>PR 20-06-1773</t>
  </si>
  <si>
    <t>C-036-2020</t>
  </si>
  <si>
    <t>20-07-317</t>
  </si>
  <si>
    <t>2020-10</t>
  </si>
  <si>
    <t>2020-071-16-8</t>
  </si>
  <si>
    <t>2020-02</t>
  </si>
  <si>
    <t>LGU-100-2020-07-512</t>
  </si>
  <si>
    <t>ITB-2020-015</t>
  </si>
  <si>
    <t>QNV-012-2020</t>
  </si>
  <si>
    <t>2020-07-0093</t>
  </si>
  <si>
    <t>UPLB-RQ-7-082-20-GOODS INTERNET SERVICES</t>
  </si>
  <si>
    <t>ITB 100-2020-07-01</t>
  </si>
  <si>
    <t>101-2020-06-168</t>
  </si>
  <si>
    <t>100(01)20-02-0366</t>
  </si>
  <si>
    <t>BAC-2020-667</t>
  </si>
  <si>
    <t>1606,1607,1608  &amp; 1609</t>
  </si>
  <si>
    <t>1578</t>
  </si>
  <si>
    <t>20AC0061</t>
  </si>
  <si>
    <t>UPLB-RQ-7-083-20-GOODS INFORMATION TECHNOLOGY</t>
  </si>
  <si>
    <t>DRMD-2020-07-0247</t>
  </si>
  <si>
    <t>101-2020-06-185</t>
  </si>
  <si>
    <t>ITB 20-07-001</t>
  </si>
  <si>
    <t>2020-07-0091</t>
  </si>
  <si>
    <t>20060259</t>
  </si>
  <si>
    <t>ITB2020-01-01</t>
  </si>
  <si>
    <t>100(01)20-06-1260</t>
  </si>
  <si>
    <t>ITB 100-2020-07-03</t>
  </si>
  <si>
    <t>ITB 300-2020-07-02</t>
  </si>
  <si>
    <t>2020-06-0012</t>
  </si>
  <si>
    <t>P.R. No. 2020-07-0041</t>
  </si>
  <si>
    <t>2020_GOODS_016</t>
  </si>
  <si>
    <t>RFQ NO. EMB-S-ERLSD-ELSS LABORATORY CONSUMABLES 20</t>
  </si>
  <si>
    <t>EMBXI2020-008</t>
  </si>
  <si>
    <t>RFQ-2020-072</t>
  </si>
  <si>
    <t>ITB 100-2020-07-05</t>
  </si>
  <si>
    <t>P.R. No. 2020-07-0040</t>
  </si>
  <si>
    <t>TF - 001</t>
  </si>
  <si>
    <t>100200600940</t>
  </si>
  <si>
    <t>GOODS-2020-017</t>
  </si>
  <si>
    <t>300-2001-004-TF</t>
  </si>
  <si>
    <t>101-2020-07-199</t>
  </si>
  <si>
    <t>ITB 100-2020-07-04</t>
  </si>
  <si>
    <t>BH-20-02</t>
  </si>
  <si>
    <t>2020-02-106</t>
  </si>
  <si>
    <t>2020-06-215</t>
  </si>
  <si>
    <t>NS 1282-20</t>
  </si>
  <si>
    <t>07-008-20</t>
  </si>
  <si>
    <t>100-2006-406-GF</t>
  </si>
  <si>
    <t>epslingayen2020-60</t>
  </si>
  <si>
    <t>105CO-11454-86IB-2020</t>
  </si>
  <si>
    <t>CSI-2020-019</t>
  </si>
  <si>
    <t>RFQ-2020-070</t>
  </si>
  <si>
    <t>UPLB-RQ-7-084-20-GOODS HOSPITAL / MEDICAL EQUIPMEN</t>
  </si>
  <si>
    <t>2020-02-0416 HEAVY DUTY SUCTION MACHINE</t>
  </si>
  <si>
    <t>100-2002-172-GF</t>
  </si>
  <si>
    <t>pnhs-2020-002</t>
  </si>
  <si>
    <t>07-007-20</t>
  </si>
  <si>
    <t>2020-0080</t>
  </si>
  <si>
    <t>2020-07-0033</t>
  </si>
  <si>
    <t>2020-02-104</t>
  </si>
  <si>
    <t>PR No. 2020-07-0180</t>
  </si>
  <si>
    <t>RFQ-2020-074</t>
  </si>
  <si>
    <t>100-20-06-353</t>
  </si>
  <si>
    <t>2020-06-001</t>
  </si>
  <si>
    <t>RFQ-2020-071</t>
  </si>
  <si>
    <t>20-05-027</t>
  </si>
  <si>
    <t>RFQ-2020-073</t>
  </si>
  <si>
    <t>BSU Project No. 2020-232</t>
  </si>
  <si>
    <t>20-07-85</t>
  </si>
  <si>
    <t>100-20-06-354</t>
  </si>
  <si>
    <t>101-2020-07-198</t>
  </si>
  <si>
    <t>20GFF0002</t>
  </si>
  <si>
    <t>2020-083</t>
  </si>
  <si>
    <t>BAC-2020-653</t>
  </si>
  <si>
    <t>71</t>
  </si>
  <si>
    <t>RFQ-2020-079</t>
  </si>
  <si>
    <t>2020-084</t>
  </si>
  <si>
    <t>RFQ2020-07-0205 (PR#8918-20-06-0291)</t>
  </si>
  <si>
    <t>101-2020-07-195</t>
  </si>
  <si>
    <t>RFQ-PR NO. 2020-06-075</t>
  </si>
  <si>
    <t>CRCF-2020-07-0246</t>
  </si>
  <si>
    <t>20-07-86</t>
  </si>
  <si>
    <t>RFQ2020-07-0210 (PR#1011-20-06-0296)</t>
  </si>
  <si>
    <t>DPFPURCH2020-057</t>
  </si>
  <si>
    <t>SEF-G-030-2020</t>
  </si>
  <si>
    <t>101-2020-07-197</t>
  </si>
  <si>
    <t>20-07-87</t>
  </si>
  <si>
    <t>2020-07-080</t>
  </si>
  <si>
    <t>2020-085</t>
  </si>
  <si>
    <t>ppn-100-2020</t>
  </si>
  <si>
    <t>RFQ-2020-013</t>
  </si>
  <si>
    <t>RFQ-2020-069</t>
  </si>
  <si>
    <t>RFQ 539</t>
  </si>
  <si>
    <t>RFQ-2020-077</t>
  </si>
  <si>
    <t>ITB 2020 - 083</t>
  </si>
  <si>
    <t>20-06-04-0081</t>
  </si>
  <si>
    <t>2020-Barangay Silanga-001</t>
  </si>
  <si>
    <t>07-006-20</t>
  </si>
  <si>
    <t>2020-07-006</t>
  </si>
  <si>
    <t>100(01)20-07-373(A)</t>
  </si>
  <si>
    <t>07-02-2020-249</t>
  </si>
  <si>
    <t>Quotation No.20-07-0403</t>
  </si>
  <si>
    <t>RFQ NO. 2020-171</t>
  </si>
  <si>
    <t>ITB 20-077</t>
  </si>
  <si>
    <t>2020-86</t>
  </si>
  <si>
    <t>NS 1281-20</t>
  </si>
  <si>
    <t>109924-2020-15</t>
  </si>
  <si>
    <t>100-20-04-093</t>
  </si>
  <si>
    <t>ATI2020-07-176</t>
  </si>
  <si>
    <t>2020-21</t>
  </si>
  <si>
    <t>PR 2020-04-056</t>
  </si>
  <si>
    <t>PR 20-06-1772</t>
  </si>
  <si>
    <t>RFQ 2020-57</t>
  </si>
  <si>
    <t>20-07-88</t>
  </si>
  <si>
    <t>RFQ20-127</t>
  </si>
  <si>
    <t>100200700950</t>
  </si>
  <si>
    <t>2020-05-279</t>
  </si>
  <si>
    <t>PR#05-080-20</t>
  </si>
  <si>
    <t>20-0639-1181</t>
  </si>
  <si>
    <t>07-005-20</t>
  </si>
  <si>
    <t>2020-07-01 CW</t>
  </si>
  <si>
    <t>PR 2020-04-055</t>
  </si>
  <si>
    <t>CSI-2020-020</t>
  </si>
  <si>
    <t>RFQ-2020-075</t>
  </si>
  <si>
    <t>100(01)20-07-374(A)</t>
  </si>
  <si>
    <t>2020-088</t>
  </si>
  <si>
    <t>PR 2020-04-057</t>
  </si>
  <si>
    <t>RFQ-PR NO. 2020-06-072</t>
  </si>
  <si>
    <t>NS 1280-20</t>
  </si>
  <si>
    <t>20CF0133</t>
  </si>
  <si>
    <t>ppn-101-2020</t>
  </si>
  <si>
    <t>N-G-2020-112</t>
  </si>
  <si>
    <t>2020-466</t>
  </si>
  <si>
    <t>20-07-965</t>
  </si>
  <si>
    <t>2020-087</t>
  </si>
  <si>
    <t>PR2020-07-01-085</t>
  </si>
  <si>
    <t>RFQ-2020-078</t>
  </si>
  <si>
    <t>N20-MO-108</t>
  </si>
  <si>
    <t>2020-07-084</t>
  </si>
  <si>
    <t>LPP-20-037</t>
  </si>
  <si>
    <t>20-07-89</t>
  </si>
  <si>
    <t>TAS 20-06-097B</t>
  </si>
  <si>
    <t>GF-G-60-2020</t>
  </si>
  <si>
    <t>100(18)20-07-398(O)</t>
  </si>
  <si>
    <t>0515</t>
  </si>
  <si>
    <t>100(01)20-07-395(O)</t>
  </si>
  <si>
    <t>2020-06-1060 TELEVISION</t>
  </si>
  <si>
    <t>LSPUSinC-2020-024A</t>
  </si>
  <si>
    <t>ITB 2020 - 084</t>
  </si>
  <si>
    <t>NS 1232-20</t>
  </si>
  <si>
    <t>2020-165</t>
  </si>
  <si>
    <t>DA8-Goods-2020-43 (PR No. NLP 20-05-14-0249)</t>
  </si>
  <si>
    <t>2020-07-335-07</t>
  </si>
  <si>
    <t>06-017-20</t>
  </si>
  <si>
    <t>20-07-0001</t>
  </si>
  <si>
    <t>80-20-06-086</t>
  </si>
  <si>
    <t>20-06-046</t>
  </si>
  <si>
    <t>RFQ-7-2-2020</t>
  </si>
  <si>
    <t>05-036-20</t>
  </si>
  <si>
    <t>gsis/npsvp-232-20</t>
  </si>
  <si>
    <t>PR2020-07-01-086</t>
  </si>
  <si>
    <t>RFQ2020-25</t>
  </si>
  <si>
    <t>B5-20-12 3RD RECANVASS</t>
  </si>
  <si>
    <t>Mkna-GSO-20-303</t>
  </si>
  <si>
    <t>RSQ20-07-062</t>
  </si>
  <si>
    <t>CAB-2020-007-001</t>
  </si>
  <si>
    <t>BSU Project No. 2020-233</t>
  </si>
  <si>
    <t>GAAS202002</t>
  </si>
  <si>
    <t>ATI2020-07-177</t>
  </si>
  <si>
    <t>2020-217</t>
  </si>
  <si>
    <t>2020-06-0975 Rubber Tubing 1/4 x 1/8 x 50 ft, 100%</t>
  </si>
  <si>
    <t>PR# 20-07-0672</t>
  </si>
  <si>
    <t>100-20-06-145</t>
  </si>
  <si>
    <t>20AC0103</t>
  </si>
  <si>
    <t>rfq#2020-03-1,625-p.e.o.</t>
  </si>
  <si>
    <t>goods2020049</t>
  </si>
  <si>
    <t>TAS 20-06-097A</t>
  </si>
  <si>
    <t>PR 20-02-1074</t>
  </si>
  <si>
    <t>2020-103</t>
  </si>
  <si>
    <t>R3-2020-06-020</t>
  </si>
  <si>
    <t>09-2020</t>
  </si>
  <si>
    <t>PR 2020-04-058</t>
  </si>
  <si>
    <t>S-14-2020</t>
  </si>
  <si>
    <t>2020-LID-03</t>
  </si>
  <si>
    <t>FLGU-CW-2020-12</t>
  </si>
  <si>
    <t>2020-05-251</t>
  </si>
  <si>
    <t>07-004-20</t>
  </si>
  <si>
    <t>20HC0185</t>
  </si>
  <si>
    <t>EBMS 0584-20</t>
  </si>
  <si>
    <t>2020-0174</t>
  </si>
  <si>
    <t>ppn-102-2020</t>
  </si>
  <si>
    <t>PR2020-07-01-087</t>
  </si>
  <si>
    <t>2006-090</t>
  </si>
  <si>
    <t>Dom12</t>
  </si>
  <si>
    <t>20-175</t>
  </si>
  <si>
    <t>NIFEM-019-20</t>
  </si>
  <si>
    <t>PR2020-07-01-089</t>
  </si>
  <si>
    <t>2020-07-089</t>
  </si>
  <si>
    <t>20CF0134</t>
  </si>
  <si>
    <t>RFQ-2020-122-GOODS-ADMIN. SVC</t>
  </si>
  <si>
    <t>goods2020050</t>
  </si>
  <si>
    <t>RFQ#058-07-20</t>
  </si>
  <si>
    <t>20NMSC23-G</t>
  </si>
  <si>
    <t>PR2020-07-01-088</t>
  </si>
  <si>
    <t>DTI-IX-2020-07-01 (F17)</t>
  </si>
  <si>
    <t>20-06-1402</t>
  </si>
  <si>
    <t>2020-166</t>
  </si>
  <si>
    <t>2020-108</t>
  </si>
  <si>
    <t>2020-265</t>
  </si>
  <si>
    <t>07-006-2020</t>
  </si>
  <si>
    <t>GHQPC-OSPS-TELM-1369-20</t>
  </si>
  <si>
    <t>20-06-401</t>
  </si>
  <si>
    <t>RSQ20-07-059</t>
  </si>
  <si>
    <t>RFQ-2020-06-018</t>
  </si>
  <si>
    <t>ATI2020-07-178</t>
  </si>
  <si>
    <t>2020-167</t>
  </si>
  <si>
    <t>PG-20-07-013</t>
  </si>
  <si>
    <t>20-crg-20-07-1064</t>
  </si>
  <si>
    <t>GEPS(SAN JUAN DE MATA)2020-07-001</t>
  </si>
  <si>
    <t>20-45675</t>
  </si>
  <si>
    <t>20-0054</t>
  </si>
  <si>
    <t>PROCUREMENT OF 2020 QUADRIVALENT INFLUENZA VACCINE</t>
  </si>
  <si>
    <t>20FE0137</t>
  </si>
  <si>
    <t>2020-0017</t>
  </si>
  <si>
    <t>20-06-045</t>
  </si>
  <si>
    <t>200035</t>
  </si>
  <si>
    <t>2020_06_297</t>
  </si>
  <si>
    <t>2020-149</t>
  </si>
  <si>
    <t>RFQ 2020-06-206</t>
  </si>
  <si>
    <t>s-32-2020</t>
  </si>
  <si>
    <t>20CF0135</t>
  </si>
  <si>
    <t>Sip-2020-082</t>
  </si>
  <si>
    <t>2020-435</t>
  </si>
  <si>
    <t>2020-07-RISOFORMS</t>
  </si>
  <si>
    <t>2020-0095</t>
  </si>
  <si>
    <t>N-G-2020-113</t>
  </si>
  <si>
    <t>01-030-20</t>
  </si>
  <si>
    <t>PR No.: 2020-07-0317</t>
  </si>
  <si>
    <t>20gso_440</t>
  </si>
  <si>
    <t>20-0055</t>
  </si>
  <si>
    <t>RFQ-2020-124-GOODS-PRFS</t>
  </si>
  <si>
    <t>PR 136-2020</t>
  </si>
  <si>
    <t>2020_06_296</t>
  </si>
  <si>
    <t>2020-224</t>
  </si>
  <si>
    <t>CMO(PSD)-20-007(NP/SV)</t>
  </si>
  <si>
    <t>20FE0138</t>
  </si>
  <si>
    <t>2020-0175</t>
  </si>
  <si>
    <t>20200702-31</t>
  </si>
  <si>
    <t>2020-04</t>
  </si>
  <si>
    <t>ITB-2020-07-02 bayambang</t>
  </si>
  <si>
    <t>G-2020-0063</t>
  </si>
  <si>
    <t>2020-07-139</t>
  </si>
  <si>
    <t>20CF0136</t>
  </si>
  <si>
    <t>Goods2020-029</t>
  </si>
  <si>
    <t>RFQ 2020-243</t>
  </si>
  <si>
    <t>PURCHASE REQUEST NO. 101-2020-06-114</t>
  </si>
  <si>
    <t>2020-90-04</t>
  </si>
  <si>
    <t>20-02-026</t>
  </si>
  <si>
    <t>2020-SVP-019</t>
  </si>
  <si>
    <t>PR-2007-705</t>
  </si>
  <si>
    <t>20HC0186</t>
  </si>
  <si>
    <t>QNV-011-2020</t>
  </si>
  <si>
    <t>20gso_432</t>
  </si>
  <si>
    <t>RIS# 20-13-194</t>
  </si>
  <si>
    <t>20FE0140</t>
  </si>
  <si>
    <t>RFQ - 2020-06 - 061</t>
  </si>
  <si>
    <t>N-G-2020-114</t>
  </si>
  <si>
    <t>2020-7-02-1</t>
  </si>
  <si>
    <t>s-26-2020</t>
  </si>
  <si>
    <t>2020-031</t>
  </si>
  <si>
    <t>20-03-0453</t>
  </si>
  <si>
    <t>20-174</t>
  </si>
  <si>
    <t>2020-187</t>
  </si>
  <si>
    <t>RFQ-2020-125-GOODS-PRFS</t>
  </si>
  <si>
    <t>2020-06-031-RFQ</t>
  </si>
  <si>
    <t>20gso_441</t>
  </si>
  <si>
    <t>Sip-2020-083</t>
  </si>
  <si>
    <t>PR-2007-722</t>
  </si>
  <si>
    <t>20-06-0316</t>
  </si>
  <si>
    <t>CGT- Goods- 2020- 00108</t>
  </si>
  <si>
    <t>Goods2020-030</t>
  </si>
  <si>
    <t>PG-2020-0025: Request for Quotation - Furnishing a</t>
  </si>
  <si>
    <t>20NE0090</t>
  </si>
  <si>
    <t>BESI2019-07-035</t>
  </si>
  <si>
    <t>ITB-2020-13-INFRA</t>
  </si>
  <si>
    <t>RFQ 10-2020</t>
  </si>
  <si>
    <t>S-28-2020</t>
  </si>
  <si>
    <t>S-20-2020</t>
  </si>
  <si>
    <t>6523-2020-034</t>
  </si>
  <si>
    <t>2020-06-0069</t>
  </si>
  <si>
    <t>NCIP V-07022020</t>
  </si>
  <si>
    <t>20-06-0057</t>
  </si>
  <si>
    <t>ADS-0473-20</t>
  </si>
  <si>
    <t>20-06058</t>
  </si>
  <si>
    <t>20-173</t>
  </si>
  <si>
    <t>DTI-IX-2020-07-02 (F18)</t>
  </si>
  <si>
    <t>RFQ 13-2020</t>
  </si>
  <si>
    <t>20-0093</t>
  </si>
  <si>
    <t>07022001</t>
  </si>
  <si>
    <t>PR2020-07-01-091</t>
  </si>
  <si>
    <t>048-2020</t>
  </si>
  <si>
    <t>20-171</t>
  </si>
  <si>
    <t>2020-7-02-2</t>
  </si>
  <si>
    <t>RFQ 12-2020</t>
  </si>
  <si>
    <t>2020-266</t>
  </si>
  <si>
    <t>CGT- Goods- 2020- 00109</t>
  </si>
  <si>
    <t>2020-0177-PR2020-0466</t>
  </si>
  <si>
    <t>AdaoayNHS-Abucot</t>
  </si>
  <si>
    <t>2020-05-218</t>
  </si>
  <si>
    <t>20200702-01-G</t>
  </si>
  <si>
    <t>20CF0137</t>
  </si>
  <si>
    <t>2020-0018</t>
  </si>
  <si>
    <t>RFQ - 2020-06 - 062</t>
  </si>
  <si>
    <t>GEPS(SAN JUAN DE MATA)2020-07-002</t>
  </si>
  <si>
    <t>N-428-2020</t>
  </si>
  <si>
    <t>2020-04-466</t>
  </si>
  <si>
    <t>2020-06-389</t>
  </si>
  <si>
    <t>20-06-0659</t>
  </si>
  <si>
    <t>20-07-241</t>
  </si>
  <si>
    <t>2020-264</t>
  </si>
  <si>
    <t>FLGU-CW-2020-13</t>
  </si>
  <si>
    <t>HHSSG-OSM-20-0107-40109</t>
  </si>
  <si>
    <t>20-06-0647</t>
  </si>
  <si>
    <t>20-06-1397</t>
  </si>
  <si>
    <t>07022002</t>
  </si>
  <si>
    <t>CGT- Goods- 2020- 00110</t>
  </si>
  <si>
    <t>20-07-004</t>
  </si>
  <si>
    <t>2020-C8-05</t>
  </si>
  <si>
    <t>2020-489</t>
  </si>
  <si>
    <t>2020-469-06</t>
  </si>
  <si>
    <t>ADS-0468-A-20</t>
  </si>
  <si>
    <t>RFQ2020-26</t>
  </si>
  <si>
    <t>ITB 07-2020-010</t>
  </si>
  <si>
    <t>20NE0092</t>
  </si>
  <si>
    <t>2020-06-032-RFQ</t>
  </si>
  <si>
    <t>20-0605-4421</t>
  </si>
  <si>
    <t>20NE0091</t>
  </si>
  <si>
    <t>20AC0104</t>
  </si>
  <si>
    <t>CMO(RM-HE)20-017(NP/SV)</t>
  </si>
  <si>
    <t>20FE0139</t>
  </si>
  <si>
    <t>20HC0187</t>
  </si>
  <si>
    <t>BGHMCPB-2020-18-002</t>
  </si>
  <si>
    <t>B3-20-20</t>
  </si>
  <si>
    <t>20FE0141</t>
  </si>
  <si>
    <t>20-06-0061</t>
  </si>
  <si>
    <t>RFQ NO. EMB-SVP-ERLSD-ECMU BSC PM 2020-0625</t>
  </si>
  <si>
    <t>078</t>
  </si>
  <si>
    <t>20-02-0015</t>
  </si>
  <si>
    <t>WDDSP-TWD-IFB-CW03d</t>
  </si>
  <si>
    <t>2020-0019</t>
  </si>
  <si>
    <t>CGT- Goods- 2020- 00111</t>
  </si>
  <si>
    <t>PR-2007-704</t>
  </si>
  <si>
    <t>760-000-620-96000</t>
  </si>
  <si>
    <t>2020-007-009</t>
  </si>
  <si>
    <t>S-217-2020</t>
  </si>
  <si>
    <t>RFQ No. 2020-SVP-38</t>
  </si>
  <si>
    <t>bk- 2020-03</t>
  </si>
  <si>
    <t>SVP 02-2020</t>
  </si>
  <si>
    <t>20-06-0299</t>
  </si>
  <si>
    <t>N-424-2020</t>
  </si>
  <si>
    <t>2020-471</t>
  </si>
  <si>
    <t>20-06-0007</t>
  </si>
  <si>
    <t>20FE0142</t>
  </si>
  <si>
    <t>1000032318</t>
  </si>
  <si>
    <t>PR-2007-721</t>
  </si>
  <si>
    <t>20-07-005</t>
  </si>
  <si>
    <t>20-06-0302</t>
  </si>
  <si>
    <t>N-432-2020</t>
  </si>
  <si>
    <t>079</t>
  </si>
  <si>
    <t>20-06-0666</t>
  </si>
  <si>
    <t>B5-20-13</t>
  </si>
  <si>
    <t>2020-0003</t>
  </si>
  <si>
    <t>2020-07-381</t>
  </si>
  <si>
    <t>20GHC0004</t>
  </si>
  <si>
    <t>S-213-2020</t>
  </si>
  <si>
    <t>2020-SG-020</t>
  </si>
  <si>
    <t>20-06-0055</t>
  </si>
  <si>
    <t>2020-401</t>
  </si>
  <si>
    <t>N-426-2020</t>
  </si>
  <si>
    <t>STC-GOOD- NO. 2020-0045</t>
  </si>
  <si>
    <t>109878-20-04</t>
  </si>
  <si>
    <t>2020-06-045-RFQ</t>
  </si>
  <si>
    <t>2020-120</t>
  </si>
  <si>
    <t>2019was</t>
  </si>
  <si>
    <t>20-06-0668</t>
  </si>
  <si>
    <t>2020-00-010</t>
  </si>
  <si>
    <t>S-186-2020</t>
  </si>
  <si>
    <t>RFQ 2020-0280</t>
  </si>
  <si>
    <t>RSPQ NO. 2020-06-039</t>
  </si>
  <si>
    <t>2020-0176</t>
  </si>
  <si>
    <t>GF-G-61-2020</t>
  </si>
  <si>
    <t>GEPS(PARAISO)2020-07-001</t>
  </si>
  <si>
    <t>B6-20-97</t>
  </si>
  <si>
    <t>RFQ No. 2020-SVP-31 (Reposting)</t>
  </si>
  <si>
    <t>20CF0138</t>
  </si>
  <si>
    <t>2020-442</t>
  </si>
  <si>
    <t>NCIP V-07022020A</t>
  </si>
  <si>
    <t>PHilMech RCEF 20-06-06</t>
  </si>
  <si>
    <t>2020-053</t>
  </si>
  <si>
    <t>2020-07-036</t>
  </si>
  <si>
    <t>2020-07-076</t>
  </si>
  <si>
    <t>BS-002-2020</t>
  </si>
  <si>
    <t>20CSCG0001</t>
  </si>
  <si>
    <t>017-MUN-INFRA-20</t>
  </si>
  <si>
    <t>SF-20-11</t>
  </si>
  <si>
    <t>20-06-943</t>
  </si>
  <si>
    <t>20FE0143</t>
  </si>
  <si>
    <t>S-219-2020</t>
  </si>
  <si>
    <t>20-06-0683</t>
  </si>
  <si>
    <t>20-172</t>
  </si>
  <si>
    <t>Grants-20-06-39</t>
  </si>
  <si>
    <t>109878-20-05</t>
  </si>
  <si>
    <t>N-21-2020</t>
  </si>
  <si>
    <t>RFQ 03-0341-20 COE</t>
  </si>
  <si>
    <t>2020-07-Cantuod</t>
  </si>
  <si>
    <t>LGU LAUREL 20-07-002</t>
  </si>
  <si>
    <t>27853-001</t>
  </si>
  <si>
    <t>PR NO. 0568 S.2020</t>
  </si>
  <si>
    <t>2020-376</t>
  </si>
  <si>
    <t>020-MUN-INFRA-20</t>
  </si>
  <si>
    <t>2020-121</t>
  </si>
  <si>
    <t>20BC0158 re-adv.</t>
  </si>
  <si>
    <t>20CSCG002</t>
  </si>
  <si>
    <t>2020-PR-113</t>
  </si>
  <si>
    <t>100033384</t>
  </si>
  <si>
    <t>2020_GOODS_015</t>
  </si>
  <si>
    <t>20-06-0684</t>
  </si>
  <si>
    <t>2020-07-2039</t>
  </si>
  <si>
    <t>019-MUN-INFRA-20</t>
  </si>
  <si>
    <t>N-438-2020</t>
  </si>
  <si>
    <t>2020-126</t>
  </si>
  <si>
    <t>RFQ 2020-07-006</t>
  </si>
  <si>
    <t>ITB-DAY CARE CENTER II-20-07-001</t>
  </si>
  <si>
    <t>PHilMech RCEF 20-06-05</t>
  </si>
  <si>
    <t>018-MUN-INFRA-20</t>
  </si>
  <si>
    <t>101-20-06-471</t>
  </si>
  <si>
    <t>AREA V- 2020- SVP-030</t>
  </si>
  <si>
    <t>2020-160-I</t>
  </si>
  <si>
    <t>s-12-2020</t>
  </si>
  <si>
    <t>20-07-002</t>
  </si>
  <si>
    <t>B6-20-95</t>
  </si>
  <si>
    <t>2020-C8-07</t>
  </si>
  <si>
    <t>2020-07-061RFQ</t>
  </si>
  <si>
    <t>2020-07-016</t>
  </si>
  <si>
    <t>021-MUN-INFRA-20</t>
  </si>
  <si>
    <t>2020-45</t>
  </si>
  <si>
    <t>FRT-20-0732-B</t>
  </si>
  <si>
    <t>2020-210</t>
  </si>
  <si>
    <t>Imelda 2020-1</t>
  </si>
  <si>
    <t>20GCG0001</t>
  </si>
  <si>
    <t>20-06-0663</t>
  </si>
  <si>
    <t>Goods-2020-003</t>
  </si>
  <si>
    <t>2020-06-1105</t>
  </si>
  <si>
    <t>2020-006-2</t>
  </si>
  <si>
    <t>PR No.: 2020-06-0299</t>
  </si>
  <si>
    <t>N-437-2020</t>
  </si>
  <si>
    <t>502039000-07-20-01</t>
  </si>
  <si>
    <t>109878-20-06A</t>
  </si>
  <si>
    <t>2020-06-1013</t>
  </si>
  <si>
    <t>2020-18</t>
  </si>
  <si>
    <t>S-06-2020</t>
  </si>
  <si>
    <t>SV-0761-2020</t>
  </si>
  <si>
    <t>CHO; 2020-5-1300; TF- MICROSCOPE (DENGUE)</t>
  </si>
  <si>
    <t>106-20</t>
  </si>
  <si>
    <t>BCS-2020-0152</t>
  </si>
  <si>
    <t>2020-122</t>
  </si>
  <si>
    <t>20-020</t>
  </si>
  <si>
    <t>2020-245</t>
  </si>
  <si>
    <t>CN-2020-05-195</t>
  </si>
  <si>
    <t>ITB-INNER ROAD-20-07-002</t>
  </si>
  <si>
    <t>109878-20-06B</t>
  </si>
  <si>
    <t>109878-20-07</t>
  </si>
  <si>
    <t>Grants-20-06-49</t>
  </si>
  <si>
    <t>PR No. 1352 - 20BAC</t>
  </si>
  <si>
    <t>RFQ2020-07-04</t>
  </si>
  <si>
    <t>AREA V- 2020- SVP-031</t>
  </si>
  <si>
    <t>20JA0087</t>
  </si>
  <si>
    <t>022-MUN-INFRA-20</t>
  </si>
  <si>
    <t>20-021</t>
  </si>
  <si>
    <t>ITB-GS-20200403-01</t>
  </si>
  <si>
    <t>SV-0766-2020</t>
  </si>
  <si>
    <t>2020-039I</t>
  </si>
  <si>
    <t>Grants-20-06-38</t>
  </si>
  <si>
    <t>FRT-20-0733-B</t>
  </si>
  <si>
    <t>023-MUN-INFRA-20</t>
  </si>
  <si>
    <t>6-20-07</t>
  </si>
  <si>
    <t>20GAE0009: Supply and Delivery of Laboratory Equip</t>
  </si>
  <si>
    <t>2020-005</t>
  </si>
  <si>
    <t>PR-FAS01-20-07-00048</t>
  </si>
  <si>
    <t>025-MUN-INFRA-20</t>
  </si>
  <si>
    <t>CW20-04</t>
  </si>
  <si>
    <t>CMO-ALTF-20-003(NP/SV)</t>
  </si>
  <si>
    <t>TABUNOKSVPSK2020-003</t>
  </si>
  <si>
    <t>PR# 20-0812</t>
  </si>
  <si>
    <t>GEPS(PARAISO)2020-07-002</t>
  </si>
  <si>
    <t>2020-490</t>
  </si>
  <si>
    <t>Infra EDF 10-2020</t>
  </si>
  <si>
    <t>20200702-02-G</t>
  </si>
  <si>
    <t>20GDF0019</t>
  </si>
  <si>
    <t>RFQ2020-07-05</t>
  </si>
  <si>
    <t>OGDS 07-2-20</t>
  </si>
  <si>
    <t>NCIP V-07022020B</t>
  </si>
  <si>
    <t>AMP-014-20 (SVP)</t>
  </si>
  <si>
    <t>2020-472</t>
  </si>
  <si>
    <t>RFQ NO. EMB-S-ERLSD-ELSS THERMOMETER 2020-0163</t>
  </si>
  <si>
    <t>DGS PR No. 1000032962</t>
  </si>
  <si>
    <t>L-16-2020</t>
  </si>
  <si>
    <t>Negotiated-2020-050</t>
  </si>
  <si>
    <t>2020-G-090</t>
  </si>
  <si>
    <t>026-BAC-02-MEO-20</t>
  </si>
  <si>
    <t>100200600917</t>
  </si>
  <si>
    <t>20-022</t>
  </si>
  <si>
    <t>20C00051</t>
  </si>
  <si>
    <t>CN-2020-03-197</t>
  </si>
  <si>
    <t>SV-0767-2020</t>
  </si>
  <si>
    <t>20-07-278</t>
  </si>
  <si>
    <t>20C00050</t>
  </si>
  <si>
    <t>SDH-20-0420-NP(SV)</t>
  </si>
  <si>
    <t>CA-20-07-52</t>
  </si>
  <si>
    <t>28-2020-03</t>
  </si>
  <si>
    <t>2020-07-2449</t>
  </si>
  <si>
    <t>DARFO2.CVRC.115.REC.2020-06-801.00</t>
  </si>
  <si>
    <t>AGGDS2020-0703B</t>
  </si>
  <si>
    <t>L-17-2020</t>
  </si>
  <si>
    <t>405-2020</t>
  </si>
  <si>
    <t>PR# 20-06-126</t>
  </si>
  <si>
    <t>2020-07-077</t>
  </si>
  <si>
    <t>AGGDS2020-0703A</t>
  </si>
  <si>
    <t>20-023</t>
  </si>
  <si>
    <t>2020-07-010</t>
  </si>
  <si>
    <t>NP346-ITSUPPLIES-MO</t>
  </si>
  <si>
    <t>2020-62</t>
  </si>
  <si>
    <t>20JA0088</t>
  </si>
  <si>
    <t>2020-009</t>
  </si>
  <si>
    <t>RFQ APRIL 2020-05</t>
  </si>
  <si>
    <t>Negotiated-2020-051</t>
  </si>
  <si>
    <t>072120-05</t>
  </si>
  <si>
    <t>I.T.B-2020-02</t>
  </si>
  <si>
    <t>ITB 2020-07-001</t>
  </si>
  <si>
    <t>20-004-I</t>
  </si>
  <si>
    <t>108-20</t>
  </si>
  <si>
    <t>20-176</t>
  </si>
  <si>
    <t>bl4-2020-004</t>
  </si>
  <si>
    <t>2020SINEGSHS03-26</t>
  </si>
  <si>
    <t>7-20-08</t>
  </si>
  <si>
    <t>38-2020-02</t>
  </si>
  <si>
    <t>PRRI-2020-034</t>
  </si>
  <si>
    <t>02 July 2020</t>
  </si>
  <si>
    <t>20-0094</t>
  </si>
  <si>
    <t>2020-MDRRMO-005-416</t>
  </si>
  <si>
    <t>AGGDS2020-0703C</t>
  </si>
  <si>
    <t>ITB-2020-07-03 bayambang</t>
  </si>
  <si>
    <t>107-20</t>
  </si>
  <si>
    <t>AMP-022-2020</t>
  </si>
  <si>
    <t>PR# 20-06-147</t>
  </si>
  <si>
    <t>20GAF0030SVP</t>
  </si>
  <si>
    <t>2020-491</t>
  </si>
  <si>
    <t>PR-2020-07-009</t>
  </si>
  <si>
    <t>072120-04</t>
  </si>
  <si>
    <t>prs#8843</t>
  </si>
  <si>
    <t>2020-06-836-SBO</t>
  </si>
  <si>
    <t>2020-100</t>
  </si>
  <si>
    <t>M2006-392</t>
  </si>
  <si>
    <t>TESDA PR-0220</t>
  </si>
  <si>
    <t>AGGDS2020-0703D</t>
  </si>
  <si>
    <t>20JA0089</t>
  </si>
  <si>
    <t>300-2020-Infr-015</t>
  </si>
  <si>
    <t>San Joaquin-Goods-2020-03</t>
  </si>
  <si>
    <t>DP-08</t>
  </si>
  <si>
    <t>07022020-1</t>
  </si>
  <si>
    <t>BAC 2020-26</t>
  </si>
  <si>
    <t>20JA0091</t>
  </si>
  <si>
    <t>BCS-2020-0153</t>
  </si>
  <si>
    <t>L-19-2020</t>
  </si>
  <si>
    <t>072120-03</t>
  </si>
  <si>
    <t>RFQ-DVO-PR.NO. 2006066 CAT. 18 ELECTRICAL EQUIPMEN</t>
  </si>
  <si>
    <t>BCD-2020-040</t>
  </si>
  <si>
    <t>001-07-2020(BRGY.POB.ZONE V, VILLASIS,PANGASINAN)</t>
  </si>
  <si>
    <t>NP-SV - 2020-41</t>
  </si>
  <si>
    <t>027-BAC-01-SBO-20</t>
  </si>
  <si>
    <t>20-177</t>
  </si>
  <si>
    <t>2020-06-40</t>
  </si>
  <si>
    <t>2020-06-025</t>
  </si>
  <si>
    <t>597</t>
  </si>
  <si>
    <t>PR. NO. 2020-07-000002</t>
  </si>
  <si>
    <t>2020-G-094</t>
  </si>
  <si>
    <t>2020-6-25-325</t>
  </si>
  <si>
    <t>s-18-2020</t>
  </si>
  <si>
    <t>PR. NO. 2019060707</t>
  </si>
  <si>
    <t>SUC 2020-07-001</t>
  </si>
  <si>
    <t>20-04-50</t>
  </si>
  <si>
    <t>bl4-2020-005</t>
  </si>
  <si>
    <t>CHD4-2020-SH-055</t>
  </si>
  <si>
    <t>DP-09</t>
  </si>
  <si>
    <t>2020-01</t>
  </si>
  <si>
    <t>20J00205</t>
  </si>
  <si>
    <t>2020-06-173</t>
  </si>
  <si>
    <t>2020-06-51</t>
  </si>
  <si>
    <t>230-07-026</t>
  </si>
  <si>
    <t>AMP-RFQ-2020-101</t>
  </si>
  <si>
    <t>BAC 2020-27</t>
  </si>
  <si>
    <t>CHD4-2020-SH-054</t>
  </si>
  <si>
    <t>NP-SVP-315-2020</t>
  </si>
  <si>
    <t>PR# 20-06-050</t>
  </si>
  <si>
    <t>s-05-2020</t>
  </si>
  <si>
    <t>RFQ-L-PROCUREMENT OF MONOBLOCK TABLES AND CHAIRS F</t>
  </si>
  <si>
    <t>029-BAC-03-MEO-20</t>
  </si>
  <si>
    <t>20GMC0118</t>
  </si>
  <si>
    <t>20J00204</t>
  </si>
  <si>
    <t>DARFO2.CVRC.115.REC.2020-06-823.00</t>
  </si>
  <si>
    <t>SKER-2020-06-002</t>
  </si>
  <si>
    <t>2020-22</t>
  </si>
  <si>
    <t>NP-SVP-317-2020</t>
  </si>
  <si>
    <t>20-06-333</t>
  </si>
  <si>
    <t>2020-07-0021</t>
  </si>
  <si>
    <t>20GMC0119</t>
  </si>
  <si>
    <t>20GAF0031SVP</t>
  </si>
  <si>
    <t>BAC 2020-20</t>
  </si>
  <si>
    <t>CW-300-2020</t>
  </si>
  <si>
    <t>OMSC RFQ 20-028</t>
  </si>
  <si>
    <t>DP-10</t>
  </si>
  <si>
    <t>CNIMO-0703-2020</t>
  </si>
  <si>
    <t>2020-06-1096</t>
  </si>
  <si>
    <t>NP-SVP-316-2020</t>
  </si>
  <si>
    <t>20J00206</t>
  </si>
  <si>
    <t>DTI PB-20-012</t>
  </si>
  <si>
    <t>GOODS #2020-329</t>
  </si>
  <si>
    <t>2020-06-11</t>
  </si>
  <si>
    <t>20JA0090</t>
  </si>
  <si>
    <t>20CF0140</t>
  </si>
  <si>
    <t>20J00207</t>
  </si>
  <si>
    <t>CHD4A-2020-SH-053</t>
  </si>
  <si>
    <t>L-18-2020</t>
  </si>
  <si>
    <t>100-20-06-751</t>
  </si>
  <si>
    <t>PR #79</t>
  </si>
  <si>
    <t>20-Goods-2020</t>
  </si>
  <si>
    <t>RFQ 080 441</t>
  </si>
  <si>
    <t>SKER-2020-06-001</t>
  </si>
  <si>
    <t>595</t>
  </si>
  <si>
    <t>2020-06-1102</t>
  </si>
  <si>
    <t>PR. NO. 2020060703</t>
  </si>
  <si>
    <t>RFQ NO. EMB-S-ERLSD-ELSS LABORATORY STANDARDS 2020</t>
  </si>
  <si>
    <t>2020-90</t>
  </si>
  <si>
    <t>20-OS-003</t>
  </si>
  <si>
    <t>202007124</t>
  </si>
  <si>
    <t>20200702-03-G</t>
  </si>
  <si>
    <t>NP-SVP-318-2020</t>
  </si>
  <si>
    <t>GOODS-2020-06</t>
  </si>
  <si>
    <t>DENR10 2020-06-0327</t>
  </si>
  <si>
    <t>2020-154-I</t>
  </si>
  <si>
    <t>20GAF0033SVP</t>
  </si>
  <si>
    <t>Project Reference No. 2020-289-RFQ</t>
  </si>
  <si>
    <t>26</t>
  </si>
  <si>
    <t>AMP-RFQ-2020-102</t>
  </si>
  <si>
    <t>2020-91</t>
  </si>
  <si>
    <t>2020-234</t>
  </si>
  <si>
    <t>lgumambu_g_june_2020_011</t>
  </si>
  <si>
    <t>20J00209</t>
  </si>
  <si>
    <t>PR. NO. 2020060706</t>
  </si>
  <si>
    <t>593</t>
  </si>
  <si>
    <t>RFQ 109-06-2020</t>
  </si>
  <si>
    <t>NP-SVP-319-2020</t>
  </si>
  <si>
    <t>BAC 2020-21</t>
  </si>
  <si>
    <t>2020-235</t>
  </si>
  <si>
    <t>GEPS-20-0004</t>
  </si>
  <si>
    <t>20GMC0120</t>
  </si>
  <si>
    <t>GOODS-2020-05</t>
  </si>
  <si>
    <t>2020-07-0022</t>
  </si>
  <si>
    <t>5020301000-07-20-01</t>
  </si>
  <si>
    <t>20GAF0032SVP</t>
  </si>
  <si>
    <t>202006027</t>
  </si>
  <si>
    <t>s-11-2020</t>
  </si>
  <si>
    <t>2020-C8-08</t>
  </si>
  <si>
    <t>20-02-0058</t>
  </si>
  <si>
    <t>2020-92</t>
  </si>
  <si>
    <t>RFQ 2020-245</t>
  </si>
  <si>
    <t>ITB - 01 JULY 2020</t>
  </si>
  <si>
    <t>NP-SVP-320-2020</t>
  </si>
  <si>
    <t>2020-06-1103</t>
  </si>
  <si>
    <t>008-07-2020</t>
  </si>
  <si>
    <t>20GMC0121</t>
  </si>
  <si>
    <t>20-07-0069</t>
  </si>
  <si>
    <t>2020-07-017 SVP</t>
  </si>
  <si>
    <t>2020-155-I</t>
  </si>
  <si>
    <t>goods-2020-001</t>
  </si>
  <si>
    <t>Project Reference No. 2020-287-RFQ</t>
  </si>
  <si>
    <t>20-07-22</t>
  </si>
  <si>
    <t>S-13-2020</t>
  </si>
  <si>
    <t>PR. NO. 2020060705</t>
  </si>
  <si>
    <t>BAC 2020-23</t>
  </si>
  <si>
    <t>028-BAC-02-MMO-20</t>
  </si>
  <si>
    <t>BCD-2020-039</t>
  </si>
  <si>
    <t>2020-123</t>
  </si>
  <si>
    <t>2020-06-1015</t>
  </si>
  <si>
    <t>PR# 04-249-20</t>
  </si>
  <si>
    <t>PR. NO. 2020060704</t>
  </si>
  <si>
    <t>2020-007-008</t>
  </si>
  <si>
    <t>s-09-2020</t>
  </si>
  <si>
    <t>2020-156-I</t>
  </si>
  <si>
    <t>20-024</t>
  </si>
  <si>
    <t>024-MUN-INFRA-20</t>
  </si>
  <si>
    <t>20-07-0062</t>
  </si>
  <si>
    <t>RFQ2020-07-06</t>
  </si>
  <si>
    <t>CA-20-07-51</t>
  </si>
  <si>
    <t>20-07-21</t>
  </si>
  <si>
    <t>20-07-SO113</t>
  </si>
  <si>
    <t>ITB-2020-001</t>
  </si>
  <si>
    <t>DP-11</t>
  </si>
  <si>
    <t>20-07-0067</t>
  </si>
  <si>
    <t>NP-2020-018</t>
  </si>
  <si>
    <t>20J00212</t>
  </si>
  <si>
    <t>PR. NO. 2020060702</t>
  </si>
  <si>
    <t>RFQ-2020-023</t>
  </si>
  <si>
    <t>2020-77</t>
  </si>
  <si>
    <t>NVQSD 2020-06-110</t>
  </si>
  <si>
    <t>2020-93</t>
  </si>
  <si>
    <t>20-07-23</t>
  </si>
  <si>
    <t>RFQ-2020-301536-08-SHS</t>
  </si>
  <si>
    <t>20-07-0061</t>
  </si>
  <si>
    <t>20-07-0055</t>
  </si>
  <si>
    <t>20NMSC24-G</t>
  </si>
  <si>
    <t>NP-06-35-20</t>
  </si>
  <si>
    <t>PB 2020-07-001</t>
  </si>
  <si>
    <t>116-2020</t>
  </si>
  <si>
    <t>lgu-es-20-07-149</t>
  </si>
  <si>
    <t>2020-06-1104</t>
  </si>
  <si>
    <t>DVO-2020-06-025</t>
  </si>
  <si>
    <t>2020-06-002</t>
  </si>
  <si>
    <t>20-06-0280</t>
  </si>
  <si>
    <t>2020-101</t>
  </si>
  <si>
    <t>2020-C8-10</t>
  </si>
  <si>
    <t>20JC0082</t>
  </si>
  <si>
    <t>20J00213</t>
  </si>
  <si>
    <t>5020305000-07-20-01</t>
  </si>
  <si>
    <t>NS 1279-20</t>
  </si>
  <si>
    <t>CGT- Goods- 2020- 00112</t>
  </si>
  <si>
    <t>20-07-0051</t>
  </si>
  <si>
    <t>PENROMISOCC-559</t>
  </si>
  <si>
    <t>07-20-001</t>
  </si>
  <si>
    <t>2020-018</t>
  </si>
  <si>
    <t>RFQ 052-03-2020</t>
  </si>
  <si>
    <t>CN-2020-03-019</t>
  </si>
  <si>
    <t>20-07-0045</t>
  </si>
  <si>
    <t>20-05-1394</t>
  </si>
  <si>
    <t>112</t>
  </si>
  <si>
    <t>2020-06-1019</t>
  </si>
  <si>
    <t>NS 1233-20</t>
  </si>
  <si>
    <t>20-06-0046</t>
  </si>
  <si>
    <t>2020-C8-11</t>
  </si>
  <si>
    <t>DPWH-SK2DEO-20MH0109</t>
  </si>
  <si>
    <t>2020-NSC-002</t>
  </si>
  <si>
    <t>20-06-465</t>
  </si>
  <si>
    <t>20-07-0048</t>
  </si>
  <si>
    <t>05-037-20</t>
  </si>
  <si>
    <t>PR#2020-07-099</t>
  </si>
  <si>
    <t>29-GOODS-CORN-2020</t>
  </si>
  <si>
    <t>RFQ-7-01</t>
  </si>
  <si>
    <t>NP-06-36-20</t>
  </si>
  <si>
    <t>409TH CO-GHQ &amp; HSC-MDS-147-20</t>
  </si>
  <si>
    <t>2020-07-037</t>
  </si>
  <si>
    <t>28-GOODS-HVCDP-2020</t>
  </si>
  <si>
    <t>599</t>
  </si>
  <si>
    <t>2020-AMP-065</t>
  </si>
  <si>
    <t>CARC- 2020-GS-02</t>
  </si>
  <si>
    <t>2020-066</t>
  </si>
  <si>
    <t>PHS-1226-20</t>
  </si>
  <si>
    <t>RFQ-GS-20200622-03</t>
  </si>
  <si>
    <t>PR No. 20-06-539</t>
  </si>
  <si>
    <t>2020-C8-13</t>
  </si>
  <si>
    <t>PHS-1223-20</t>
  </si>
  <si>
    <t>608</t>
  </si>
  <si>
    <t>2020-06-1020</t>
  </si>
  <si>
    <t>RFQ 123-06-20</t>
  </si>
  <si>
    <t>2020-AMP-066</t>
  </si>
  <si>
    <t>NFA-QIA-GOODS-2020-05</t>
  </si>
  <si>
    <t>SJ 2020-26-SERVICE</t>
  </si>
  <si>
    <t>2020-067</t>
  </si>
  <si>
    <t>PR 2020-01-2638</t>
  </si>
  <si>
    <t>607</t>
  </si>
  <si>
    <t>27-GOODS-HVCDP-2020</t>
  </si>
  <si>
    <t>20JC0083</t>
  </si>
  <si>
    <t>PR 2020-07-0239</t>
  </si>
  <si>
    <t>RFQ-GS-20200622-05</t>
  </si>
  <si>
    <t>2020-07-02-0134</t>
  </si>
  <si>
    <t>602</t>
  </si>
  <si>
    <t>2020-07-10</t>
  </si>
  <si>
    <t>117-2020</t>
  </si>
  <si>
    <t>2020-06-041stcwo</t>
  </si>
  <si>
    <t>2020-07-11</t>
  </si>
  <si>
    <t>2020-06-139a</t>
  </si>
  <si>
    <t>5020308000-07-20-01</t>
  </si>
  <si>
    <t>20-07-489</t>
  </si>
  <si>
    <t>2020-C8-12</t>
  </si>
  <si>
    <t>MH-GOODS-SWM-GARBAGE-TRUCK-857</t>
  </si>
  <si>
    <t>41-2020-02</t>
  </si>
  <si>
    <t>2020-07-06 ZAMBOANGA</t>
  </si>
  <si>
    <t>RO6-2020-17</t>
  </si>
  <si>
    <t>20-07-0050</t>
  </si>
  <si>
    <t>20-07-0059</t>
  </si>
  <si>
    <t>TESDA PR-0222</t>
  </si>
  <si>
    <t>2006183A</t>
  </si>
  <si>
    <t>Project ID No. INFR-001-20</t>
  </si>
  <si>
    <t>RFQ-STF-61</t>
  </si>
  <si>
    <t>CN-2020-02-103</t>
  </si>
  <si>
    <t>20FB0157</t>
  </si>
  <si>
    <t>AMP-015-20</t>
  </si>
  <si>
    <t>BFPRHQSR4A-047</t>
  </si>
  <si>
    <t>RFQ-GS-20200623-04</t>
  </si>
  <si>
    <t>20FB0158</t>
  </si>
  <si>
    <t>612</t>
  </si>
  <si>
    <t>4PS-2020-06-0248</t>
  </si>
  <si>
    <t>202007125</t>
  </si>
  <si>
    <t>BFPRHQSR4A-051</t>
  </si>
  <si>
    <t>20NE0093</t>
  </si>
  <si>
    <t>2020-78</t>
  </si>
  <si>
    <t>2020-068</t>
  </si>
  <si>
    <t>2020-C8-09</t>
  </si>
  <si>
    <t>B-ITB-2020-001</t>
  </si>
  <si>
    <t>20-06-0319</t>
  </si>
  <si>
    <t>20-07-0053</t>
  </si>
  <si>
    <t>gsis/shpg-233-20</t>
  </si>
  <si>
    <t>RFQ-STF-59</t>
  </si>
  <si>
    <t>SN No 2020-003</t>
  </si>
  <si>
    <t>89IB-2020-02-0010 Vehicle Parts &amp; Accessories</t>
  </si>
  <si>
    <t>RFQ-GS-20200625-02</t>
  </si>
  <si>
    <t>PCMT 2020 - 057</t>
  </si>
  <si>
    <t>2LSSM2020A-284</t>
  </si>
  <si>
    <t>IB-2020-078</t>
  </si>
  <si>
    <t>20PD0075</t>
  </si>
  <si>
    <t>RFQ-STF-62</t>
  </si>
  <si>
    <t>PB-INFRA-202-004</t>
  </si>
  <si>
    <t>PR No. 20-02-122</t>
  </si>
  <si>
    <t>202007127</t>
  </si>
  <si>
    <t>ITB #038-14JULY2020-NFA 413-170 and Others</t>
  </si>
  <si>
    <t>MBHTE-BARMM-B028-2020</t>
  </si>
  <si>
    <t>BFPRHQSR4A-052</t>
  </si>
  <si>
    <t>202007126</t>
  </si>
  <si>
    <t>RO6-2020-21</t>
  </si>
  <si>
    <t>RFQ 122-06-200</t>
  </si>
  <si>
    <t>2020-07-0226</t>
  </si>
  <si>
    <t>2020-06-0201</t>
  </si>
  <si>
    <t>2020-06-1101</t>
  </si>
  <si>
    <t>20J00211</t>
  </si>
  <si>
    <t>2LSSM2020A-285</t>
  </si>
  <si>
    <t>s-17-2020</t>
  </si>
  <si>
    <t>100-20-01-046</t>
  </si>
  <si>
    <t>2020-1011-069-416</t>
  </si>
  <si>
    <t>PCMT 2020 - 058</t>
  </si>
  <si>
    <t>2LSSM2020A-283</t>
  </si>
  <si>
    <t>RFQ-GS-20200626-02</t>
  </si>
  <si>
    <t>2LSSM2020A-286</t>
  </si>
  <si>
    <t>2LSSM2020A-287</t>
  </si>
  <si>
    <t>2020-07-0094</t>
  </si>
  <si>
    <t>07-20-012</t>
  </si>
  <si>
    <t>142-20</t>
  </si>
  <si>
    <t>20PD0084</t>
  </si>
  <si>
    <t>20PD0094</t>
  </si>
  <si>
    <t>G-2020-07-0321</t>
  </si>
  <si>
    <t>ITB-GS-20200311-01</t>
  </si>
  <si>
    <t>GOODS-2020-135</t>
  </si>
  <si>
    <t>RFQ2020-27</t>
  </si>
  <si>
    <t>PR NO. 0569 S.2020</t>
  </si>
  <si>
    <t>20-06-0056</t>
  </si>
  <si>
    <t>PR No. 354 -20BAC</t>
  </si>
  <si>
    <t>PG-RFQ-2020-10</t>
  </si>
  <si>
    <t>20CF0139</t>
  </si>
  <si>
    <t>2020-201</t>
  </si>
  <si>
    <t>20-06-0067</t>
  </si>
  <si>
    <t>2020-DepEd-01-417</t>
  </si>
  <si>
    <t>20-06-0669</t>
  </si>
  <si>
    <t>San Francisco 2020-001</t>
  </si>
  <si>
    <t>2020-07-162</t>
  </si>
  <si>
    <t>S-214-2020</t>
  </si>
  <si>
    <t>2020-07-336-08</t>
  </si>
  <si>
    <t>2LSSM2020A-288</t>
  </si>
  <si>
    <t>2020-1091-016-420</t>
  </si>
  <si>
    <t>2020-1091-015-419</t>
  </si>
  <si>
    <t>JO2020-06-002</t>
  </si>
  <si>
    <t>lam-bac-227-020</t>
  </si>
  <si>
    <t>2LSSM2020A-292</t>
  </si>
  <si>
    <t>2020-081</t>
  </si>
  <si>
    <t>2LSSM2020A-291</t>
  </si>
  <si>
    <t>2020-07-160</t>
  </si>
  <si>
    <t>2020-4411-021-418</t>
  </si>
  <si>
    <t>2020-12</t>
  </si>
  <si>
    <t>GOODS-2020-136</t>
  </si>
  <si>
    <t>20BC0179 re-adv.</t>
  </si>
  <si>
    <t>20-07-007</t>
  </si>
  <si>
    <t>2020-345</t>
  </si>
  <si>
    <t>6-20-06</t>
  </si>
  <si>
    <t>PG-2020-054</t>
  </si>
  <si>
    <t>20-05-01A-0002</t>
  </si>
  <si>
    <t>6/25/2020</t>
  </si>
  <si>
    <t>G-2020-391</t>
  </si>
  <si>
    <t>20-06-0065</t>
  </si>
  <si>
    <t>lam-bac-226-020</t>
  </si>
  <si>
    <t>016-MUN-INFRA-20</t>
  </si>
  <si>
    <t>2LSSM2020A-289</t>
  </si>
  <si>
    <t>2020-C8-06</t>
  </si>
  <si>
    <t>2LSSM2020A-290</t>
  </si>
  <si>
    <t>2020-1101-05-425</t>
  </si>
  <si>
    <t>ICWS-16-001(CB)</t>
  </si>
  <si>
    <t>2020-I-092</t>
  </si>
  <si>
    <t>Food Supplies</t>
  </si>
  <si>
    <t>2LSSM2020B-295</t>
  </si>
  <si>
    <t>2LSSM2020A-293</t>
  </si>
  <si>
    <t>G-2020-392</t>
  </si>
  <si>
    <t>2020-07-159</t>
  </si>
  <si>
    <t>2020-1101-06-426</t>
  </si>
  <si>
    <t>2LSSM2020B-297</t>
  </si>
  <si>
    <t>2020-082</t>
  </si>
  <si>
    <t>gabuyan07022020</t>
  </si>
  <si>
    <t>G-2020-393</t>
  </si>
  <si>
    <t>2LSSM2020B-296</t>
  </si>
  <si>
    <t>I-2020-012</t>
  </si>
  <si>
    <t>2020-07-097</t>
  </si>
  <si>
    <t>2020-GD-06-07</t>
  </si>
  <si>
    <t>BFAR IV-A.PR20-0359</t>
  </si>
  <si>
    <t>I-2020-016</t>
  </si>
  <si>
    <t>2020-04-06-001</t>
  </si>
  <si>
    <t>07-1-2020</t>
  </si>
  <si>
    <t>cb-20-06-b-01</t>
  </si>
  <si>
    <t>CW 2020-007-022</t>
  </si>
  <si>
    <t>JO2020-06-003</t>
  </si>
  <si>
    <t>CID NO. 20LE0066</t>
  </si>
  <si>
    <t>cb-20-06-c-01</t>
  </si>
  <si>
    <t>2020-infra-002</t>
  </si>
  <si>
    <t>PB2020-07-001</t>
  </si>
  <si>
    <t>2020-07-098</t>
  </si>
  <si>
    <t>2020-06-021</t>
  </si>
  <si>
    <t>MG-PHP20-018</t>
  </si>
  <si>
    <t>RFQ NO. EMB-ERLSD-SVP-NIC MA-3000 PM 2020-0515</t>
  </si>
  <si>
    <t>06272020</t>
  </si>
  <si>
    <t>RVII-2020-07-001</t>
  </si>
  <si>
    <t>PB2020-07-006 GAA</t>
  </si>
  <si>
    <t>2020-07-NI-066</t>
  </si>
  <si>
    <t>6262020</t>
  </si>
  <si>
    <t>MG-PLM20-101</t>
  </si>
  <si>
    <t>P.R. No. 2020-07-0108</t>
  </si>
  <si>
    <t>MG-PAT20-032</t>
  </si>
  <si>
    <t>06252020</t>
  </si>
  <si>
    <t>06292020</t>
  </si>
  <si>
    <t>2020-07-144</t>
  </si>
  <si>
    <t>2020-07-143</t>
  </si>
  <si>
    <t>06232020</t>
  </si>
  <si>
    <t>06242020</t>
  </si>
  <si>
    <t>CID No. 20LE0068</t>
  </si>
  <si>
    <t>GS 2020-006-018</t>
  </si>
  <si>
    <t>06282020</t>
  </si>
  <si>
    <t>06322020</t>
  </si>
  <si>
    <t>2020-008-A</t>
  </si>
  <si>
    <t>2020-07-142</t>
  </si>
  <si>
    <t>MG-PHP20-024</t>
  </si>
  <si>
    <t>06192020</t>
  </si>
  <si>
    <t>ITB No. 2020-016</t>
  </si>
  <si>
    <t>MG-PLM20-136</t>
  </si>
  <si>
    <t>G-2020-07-01</t>
  </si>
  <si>
    <t>2020-059</t>
  </si>
  <si>
    <t>06182020</t>
  </si>
  <si>
    <t>20CSDB01</t>
  </si>
  <si>
    <t>MG-PLM20-118</t>
  </si>
  <si>
    <t>06332020</t>
  </si>
  <si>
    <t>MG-PLM20-135</t>
  </si>
  <si>
    <t>06302020</t>
  </si>
  <si>
    <t>MG-PAT20-037</t>
  </si>
  <si>
    <t>HO-PAW20-008</t>
  </si>
  <si>
    <t>ITB No. 2020-017</t>
  </si>
  <si>
    <t>06172020</t>
  </si>
  <si>
    <t>2020-07-001 SHS</t>
  </si>
  <si>
    <t>2020-04-06-001-SHS</t>
  </si>
  <si>
    <t>PUBLIC BIDDING PR NO. 119-2020</t>
  </si>
  <si>
    <t>Barangay Marangog 2020-06-02</t>
  </si>
  <si>
    <t>2020-BGP1</t>
  </si>
  <si>
    <t>CID No. 20LE0125</t>
  </si>
  <si>
    <t>DR - 2020 - 06 - 023</t>
  </si>
  <si>
    <t>2020-07-145</t>
  </si>
  <si>
    <t>SSU-20-07-02</t>
  </si>
  <si>
    <t>ITB 02-2020</t>
  </si>
  <si>
    <t>RFQ#036-02-20</t>
  </si>
  <si>
    <t>SSU-20-07-03</t>
  </si>
  <si>
    <t>0702202002</t>
  </si>
  <si>
    <t>PR-2020-07-002</t>
  </si>
  <si>
    <t>RFQ#034-02-20</t>
  </si>
  <si>
    <t>SPC PR No. 1000033015</t>
  </si>
  <si>
    <t>202007028</t>
  </si>
  <si>
    <t>07-03-2020-03</t>
  </si>
  <si>
    <t>202007027</t>
  </si>
  <si>
    <t>2020-034</t>
  </si>
  <si>
    <t>RFQ#040-02-20</t>
  </si>
  <si>
    <t>07-03-2020-02</t>
  </si>
  <si>
    <t>20-0096</t>
  </si>
  <si>
    <t>2020-07-146</t>
  </si>
  <si>
    <t>CID No. 20LE0124</t>
  </si>
  <si>
    <t>San Francisco 2020-002</t>
  </si>
  <si>
    <t>INFRA 2020-07-001</t>
  </si>
  <si>
    <t>2020-702-2</t>
  </si>
  <si>
    <t>AMP SVP-D NO: 20-07-0299B</t>
  </si>
  <si>
    <t>2020-G-02</t>
  </si>
  <si>
    <t>ITB 03-2020</t>
  </si>
  <si>
    <t>06301974</t>
  </si>
  <si>
    <t>2020-033</t>
  </si>
  <si>
    <t>RFQ No.052 -2020</t>
  </si>
  <si>
    <t>PVES-2020-07-002</t>
  </si>
  <si>
    <t>SSU-20-07-05</t>
  </si>
  <si>
    <t>RFQ No.051 -2020</t>
  </si>
  <si>
    <t>Public Bidding PR no. 126-2020</t>
  </si>
  <si>
    <t>DA3-2020-03-03-21</t>
  </si>
  <si>
    <t>RFQ#041-02-20</t>
  </si>
  <si>
    <t>RFQ No.053 -2020</t>
  </si>
  <si>
    <t>RFQ#019-02-20</t>
  </si>
  <si>
    <t>EMBCAR-2020-7-34</t>
  </si>
  <si>
    <t>2020-07-147</t>
  </si>
  <si>
    <t>RFQ NO. 2020-042</t>
  </si>
  <si>
    <t>PR-2020-07-02-001</t>
  </si>
  <si>
    <t>2020-L702-1</t>
  </si>
  <si>
    <t>RFQ NO. EMB-S-ERLSD-ELSS LABORATORY CHEMICALS 2020</t>
  </si>
  <si>
    <t>DEPED-BOHOL-2020-07-088</t>
  </si>
  <si>
    <t>DOST IX-20-003B</t>
  </si>
  <si>
    <t>2020-G-06</t>
  </si>
  <si>
    <t>N-G-2020-117</t>
  </si>
  <si>
    <t>ASTGOODS15</t>
  </si>
  <si>
    <t>RFQ No.056 -2020</t>
  </si>
  <si>
    <t>2020-G-05</t>
  </si>
  <si>
    <t>RFQ No.047 -2020</t>
  </si>
  <si>
    <t>ASTGOODS14</t>
  </si>
  <si>
    <t>UBC 2020-001</t>
  </si>
  <si>
    <t>PR No. 2020-309</t>
  </si>
  <si>
    <t>RFQ#039-02-20</t>
  </si>
  <si>
    <t>2020-G-11</t>
  </si>
  <si>
    <t>Brgy 2020 - 002</t>
  </si>
  <si>
    <t>AMP SVP-S 20-07-0094B</t>
  </si>
  <si>
    <t>RFQ No.055 -2020</t>
  </si>
  <si>
    <t>PR# 20-05-804</t>
  </si>
  <si>
    <t>SVP-20-0500</t>
  </si>
  <si>
    <t>RFQ No.054 -2020</t>
  </si>
  <si>
    <t>SVP-20-0498</t>
  </si>
  <si>
    <t>2020-151</t>
  </si>
  <si>
    <t>RFQ 2020-041</t>
  </si>
  <si>
    <t>SVP-20-0502</t>
  </si>
  <si>
    <t>BFP9-2020-20</t>
  </si>
  <si>
    <t>RFQ No.060 -2020</t>
  </si>
  <si>
    <t>SVP-20-0495</t>
  </si>
  <si>
    <t>2020-G-13</t>
  </si>
  <si>
    <t>2020-Infra-04</t>
  </si>
  <si>
    <t>BFP9-2020-19</t>
  </si>
  <si>
    <t>SVP-20-0488</t>
  </si>
  <si>
    <t>G27-2020</t>
  </si>
  <si>
    <t>BFP9-2020-18</t>
  </si>
  <si>
    <t>2020-Infra-05</t>
  </si>
  <si>
    <t>2020-G-04</t>
  </si>
  <si>
    <t>N-G-2020-116</t>
  </si>
  <si>
    <t>NIA10-2020-007</t>
  </si>
  <si>
    <t>infra 2020-07-002</t>
  </si>
  <si>
    <t>07-03-2020-01</t>
  </si>
  <si>
    <t>06372020</t>
  </si>
  <si>
    <t>ND - 2020 - 06 - 0003</t>
  </si>
  <si>
    <t>RFQ NO. 2020-043</t>
  </si>
  <si>
    <t>2020-702-1</t>
  </si>
  <si>
    <t>SVP-20-0493</t>
  </si>
  <si>
    <t>gsis/npsvp-234-20</t>
  </si>
  <si>
    <t>SVP-20-0503</t>
  </si>
  <si>
    <t>2020-06-029</t>
  </si>
  <si>
    <t>20CSDB02</t>
  </si>
  <si>
    <t>20CSA008</t>
  </si>
  <si>
    <t>SVP-20-0499</t>
  </si>
  <si>
    <t>RFQ#035-02-20</t>
  </si>
  <si>
    <t>DOT-BAC-REI NO. 2020-004</t>
  </si>
  <si>
    <t>MG-PLM20-137</t>
  </si>
  <si>
    <t>PR No. 1-19</t>
  </si>
  <si>
    <t>MZDS-BAC-CW-2020-08</t>
  </si>
  <si>
    <t>PR20-06-48</t>
  </si>
  <si>
    <t>106CO-33IB, 6ID, PA-2020-468</t>
  </si>
  <si>
    <t>RFQ2020-07-062</t>
  </si>
  <si>
    <t>PEO-20-0697-B</t>
  </si>
  <si>
    <t>106CO-33IB,6ID, PA-2020-467</t>
  </si>
  <si>
    <t>2020-06-0040</t>
  </si>
  <si>
    <t>2020-06-333 Re-bid</t>
  </si>
  <si>
    <t>DOT BAC REI No. 2020-006</t>
  </si>
  <si>
    <t>2020-006</t>
  </si>
  <si>
    <t>3159-20</t>
  </si>
  <si>
    <t>3189-20</t>
  </si>
  <si>
    <t>3187-20</t>
  </si>
  <si>
    <t>0709</t>
  </si>
  <si>
    <t>N-G-2020-115</t>
  </si>
  <si>
    <t>20CSA007</t>
  </si>
  <si>
    <t>20CSB004</t>
  </si>
  <si>
    <t>1267152020</t>
  </si>
  <si>
    <t>SVP-2020-06-010</t>
  </si>
  <si>
    <t>20200634</t>
  </si>
  <si>
    <t>20CSB005</t>
  </si>
  <si>
    <t>3198-20</t>
  </si>
  <si>
    <t>20200635</t>
  </si>
  <si>
    <t>20200633</t>
  </si>
  <si>
    <t>20200632</t>
  </si>
  <si>
    <t>20200631</t>
  </si>
  <si>
    <t>20200636</t>
  </si>
  <si>
    <t>20200629</t>
  </si>
  <si>
    <t>20200627</t>
  </si>
  <si>
    <t>GOODS2020-09</t>
  </si>
  <si>
    <t>20CSB003</t>
  </si>
  <si>
    <t>20200652</t>
  </si>
  <si>
    <t>3185-20</t>
  </si>
  <si>
    <t>20200628</t>
  </si>
  <si>
    <t>20200650</t>
  </si>
  <si>
    <t>20200649</t>
  </si>
  <si>
    <t>20200638</t>
  </si>
  <si>
    <t>20200648</t>
  </si>
  <si>
    <t>20200646</t>
  </si>
  <si>
    <t>20200630</t>
  </si>
  <si>
    <t>20200651</t>
  </si>
  <si>
    <t>20200645</t>
  </si>
  <si>
    <t>20200644</t>
  </si>
  <si>
    <t>20200643</t>
  </si>
  <si>
    <t>20200641</t>
  </si>
  <si>
    <t>20200640</t>
  </si>
  <si>
    <t>20200639</t>
  </si>
  <si>
    <t>20200637</t>
  </si>
  <si>
    <t>2020-03</t>
  </si>
  <si>
    <t>20200647</t>
  </si>
  <si>
    <t>3242-20</t>
  </si>
  <si>
    <t>2020-06-026</t>
  </si>
  <si>
    <t>20200642</t>
  </si>
  <si>
    <t>20200653</t>
  </si>
  <si>
    <t>2020-07-0090</t>
  </si>
  <si>
    <t>291-2020</t>
  </si>
  <si>
    <t>20-05-0212</t>
  </si>
  <si>
    <t>2006096</t>
  </si>
  <si>
    <t>293-2020</t>
  </si>
  <si>
    <t>2020-06-104</t>
  </si>
  <si>
    <t>BGRY-2020-001</t>
  </si>
  <si>
    <t>294-2020</t>
  </si>
  <si>
    <t>292-2020</t>
  </si>
  <si>
    <t>20-05-0209</t>
  </si>
  <si>
    <t>20-06-0228</t>
  </si>
  <si>
    <t>295-2020</t>
  </si>
  <si>
    <t>AMP SVP-S NO: 20-06-0159D</t>
  </si>
  <si>
    <t>20-06-0218</t>
  </si>
  <si>
    <t>296-2020</t>
  </si>
  <si>
    <t>20-06-0232</t>
  </si>
  <si>
    <t>ADS-1484-20</t>
  </si>
  <si>
    <t>2006092</t>
  </si>
  <si>
    <t>100(01)20-06-389(O)</t>
  </si>
  <si>
    <t>20-107</t>
  </si>
  <si>
    <t>100(01)20-06-385(O)</t>
  </si>
  <si>
    <t>300-2020</t>
  </si>
  <si>
    <t>20-126</t>
  </si>
  <si>
    <t>IB No. GS-2020 – 084</t>
  </si>
  <si>
    <t>100(18)20-06-374(O)</t>
  </si>
  <si>
    <t>IB No. GS-2020 – 058-A</t>
  </si>
  <si>
    <t>100(18)20-04-218(O)</t>
  </si>
  <si>
    <t>20-133</t>
  </si>
  <si>
    <t>100(01)20-06-388(A)</t>
  </si>
  <si>
    <t>100(01)20-06-386(O)</t>
  </si>
  <si>
    <t>100(01)20-06-387(O)</t>
  </si>
  <si>
    <t>100(18)20-03-153(O)</t>
  </si>
  <si>
    <t>100(18)20-05-291(O)</t>
  </si>
  <si>
    <t>20-04-0164</t>
  </si>
  <si>
    <t>20-134</t>
  </si>
  <si>
    <t>301-2020</t>
  </si>
  <si>
    <t>2020-06-279</t>
  </si>
  <si>
    <t>302-2020</t>
  </si>
  <si>
    <t>123456</t>
  </si>
  <si>
    <t>ITB No. 20 - 26</t>
  </si>
  <si>
    <t>RFQ2020-07-03</t>
  </si>
  <si>
    <t>RFQ2020-07-02</t>
  </si>
  <si>
    <t>304-2020</t>
  </si>
  <si>
    <t>TF-20-06-024(V)</t>
  </si>
  <si>
    <t>553-2020</t>
  </si>
  <si>
    <t>GEPS-15-2020</t>
  </si>
  <si>
    <t>303-2020</t>
  </si>
  <si>
    <t>GOODS-2-2020-006</t>
  </si>
  <si>
    <t>PLAWD 2020-06-047</t>
  </si>
  <si>
    <t>NHCP-2020-06-104</t>
  </si>
  <si>
    <t>IB NO. 06-2020- TREATMENT, STORAGE AND DISPOSAL OF</t>
  </si>
  <si>
    <t>ESP-INFRA-12-2020</t>
  </si>
  <si>
    <t>117382</t>
  </si>
  <si>
    <t>LGU-Sagay-4752</t>
  </si>
  <si>
    <t>PLAWD 2020-06-048</t>
  </si>
  <si>
    <t>LGU-Sagay-4751</t>
  </si>
  <si>
    <t>2020-G011</t>
  </si>
  <si>
    <t>CSWD-SSVP-RFQ2020-06-003</t>
  </si>
  <si>
    <t>PLAWD 2020-06-049</t>
  </si>
  <si>
    <t>GF-I-41-2020</t>
  </si>
  <si>
    <t>2869-20</t>
  </si>
  <si>
    <t>PEO-2020-0130</t>
  </si>
  <si>
    <t>2006097</t>
  </si>
  <si>
    <t>TJPH-2020-0023</t>
  </si>
  <si>
    <t>2630-20</t>
  </si>
  <si>
    <t>2870-20</t>
  </si>
  <si>
    <t>RFQ2020-07-01</t>
  </si>
  <si>
    <t>PLAWD 2020-06-052</t>
  </si>
  <si>
    <t>PLAWD 2020-06-051</t>
  </si>
  <si>
    <t>PB-09-2020</t>
  </si>
  <si>
    <t>20BE0091</t>
  </si>
  <si>
    <t>PLAWD 2020-06-050</t>
  </si>
  <si>
    <t>100(18)20-06-391(O)</t>
  </si>
  <si>
    <t>100(01)20-06-369(A)</t>
  </si>
  <si>
    <t>540</t>
  </si>
  <si>
    <t>GS-PNBAC2-2020-32</t>
  </si>
  <si>
    <t>PR-2020-06-2015</t>
  </si>
  <si>
    <t>PG-TFB-20-001</t>
  </si>
  <si>
    <t>ITB 2020-0016</t>
  </si>
  <si>
    <t>PR 31-20-06-0728 - DEPED</t>
  </si>
  <si>
    <t>579, 579-A</t>
  </si>
  <si>
    <t>588</t>
  </si>
  <si>
    <t>100(01)20-06-371(A)</t>
  </si>
  <si>
    <t>100(01)20-06-370(A)</t>
  </si>
  <si>
    <t>BMC-N-20-0214</t>
  </si>
  <si>
    <t>PR 1-20-06-0760 - CTO</t>
  </si>
  <si>
    <t>580</t>
  </si>
  <si>
    <t>PGL 20-081</t>
  </si>
  <si>
    <t>2020-150</t>
  </si>
  <si>
    <t>RFQ-2020-62</t>
  </si>
  <si>
    <t>EM-20-093</t>
  </si>
  <si>
    <t>PGL 20-082</t>
  </si>
  <si>
    <t>2020-46</t>
  </si>
  <si>
    <t>RFQ NO. 2020-06-26-(8098)</t>
  </si>
  <si>
    <t>0050-20</t>
  </si>
  <si>
    <t>PGL 20-080</t>
  </si>
  <si>
    <t>2020-06-013</t>
  </si>
  <si>
    <t>RBAC12-2020-SVP-F-052</t>
  </si>
  <si>
    <t>RFQ No 2020-0021</t>
  </si>
  <si>
    <t>100-20-06-0634</t>
  </si>
  <si>
    <t>NIU-071-2020</t>
  </si>
  <si>
    <t>msj-2020-19</t>
  </si>
  <si>
    <t>PHO-2020-0211</t>
  </si>
  <si>
    <t>NHCP-2020-06-103</t>
  </si>
  <si>
    <t>000344</t>
  </si>
  <si>
    <t>0003</t>
  </si>
  <si>
    <t>2020-GE06-0014</t>
  </si>
  <si>
    <t>ADH-20-0302-B</t>
  </si>
  <si>
    <t>SV-2020-163-033</t>
  </si>
  <si>
    <t>SVP-2020-07-01-03</t>
  </si>
  <si>
    <t>072-2020</t>
  </si>
  <si>
    <t>PB-INF-006-2020</t>
  </si>
  <si>
    <t>2020-RA-1</t>
  </si>
  <si>
    <t>20-03-38</t>
  </si>
  <si>
    <t>msj-2020-20</t>
  </si>
  <si>
    <t>SVP-2020-07-01-02</t>
  </si>
  <si>
    <t>RBAC12-2020-SVP-F-054</t>
  </si>
  <si>
    <t>RBAC12-2020-SVP-F-055</t>
  </si>
  <si>
    <t>2020-06-014</t>
  </si>
  <si>
    <t>20-06-0086</t>
  </si>
  <si>
    <t>2020-056</t>
  </si>
  <si>
    <t>GOODS-2020-PB-025</t>
  </si>
  <si>
    <t>3163</t>
  </si>
  <si>
    <t>PR# 20-06-0791</t>
  </si>
  <si>
    <t>20-06-0088</t>
  </si>
  <si>
    <t>20-06-178</t>
  </si>
  <si>
    <t>SUPPLY AND DELIVERY OF FURNITURES &amp; FIXTURES (OFFI</t>
  </si>
  <si>
    <t>PR No. 20030882</t>
  </si>
  <si>
    <t>0378</t>
  </si>
  <si>
    <t>SVP-2020-07-01-05</t>
  </si>
  <si>
    <t>2020-06-271</t>
  </si>
  <si>
    <t>06302020-07</t>
  </si>
  <si>
    <t>PBD 20-067A</t>
  </si>
  <si>
    <t>20-05-0084</t>
  </si>
  <si>
    <t>SVP-2020-07-01-01</t>
  </si>
  <si>
    <t>SVP-2020-07-01-04</t>
  </si>
  <si>
    <t>GOODS-2020-PB-024</t>
  </si>
  <si>
    <t>MAFAR-07-95-2020</t>
  </si>
  <si>
    <t>20-06-0371</t>
  </si>
  <si>
    <t>PR 1-20-05-0602 - SP</t>
  </si>
  <si>
    <t>BCD1902101012-0601</t>
  </si>
  <si>
    <t>06302020A</t>
  </si>
  <si>
    <t>20-03-037</t>
  </si>
  <si>
    <t>20-06-0303</t>
  </si>
  <si>
    <t>20-05-0082</t>
  </si>
  <si>
    <t>GOODS-2020-PB-013</t>
  </si>
  <si>
    <t>20060492,20060502</t>
  </si>
  <si>
    <t>VET-2020-0329</t>
  </si>
  <si>
    <t>01562</t>
  </si>
  <si>
    <t>VET-2020-0328</t>
  </si>
  <si>
    <t>Budget Certificate No. 245-2020</t>
  </si>
  <si>
    <t>20CSBF0003</t>
  </si>
  <si>
    <t>2020-06-101</t>
  </si>
  <si>
    <t>PR No. 20061222</t>
  </si>
  <si>
    <t>20CSBF0002</t>
  </si>
  <si>
    <t>PR No. 20061242</t>
  </si>
  <si>
    <t>2020-02-191</t>
  </si>
  <si>
    <t>PR No. 20061217</t>
  </si>
  <si>
    <t>20-03-0295</t>
  </si>
  <si>
    <t>2020-06-103</t>
  </si>
  <si>
    <t>PR No. 20061164</t>
  </si>
  <si>
    <t>PR No. 20061237</t>
  </si>
  <si>
    <t>20-001</t>
  </si>
  <si>
    <t>GOODDS-2020-PB-020</t>
  </si>
  <si>
    <t>PR0053-20 MotorPool</t>
  </si>
  <si>
    <t>GOV-2020-0316</t>
  </si>
  <si>
    <t>PR No. 20061255</t>
  </si>
  <si>
    <t>DWD 2020-006</t>
  </si>
  <si>
    <t>PR No. 20061254</t>
  </si>
  <si>
    <t>RFQ 2020-031</t>
  </si>
  <si>
    <t>PR0014-20 CSU</t>
  </si>
  <si>
    <t>PR No. 20061253</t>
  </si>
  <si>
    <t>PR No. 20061251</t>
  </si>
  <si>
    <t>2020 ITB - 030</t>
  </si>
  <si>
    <t>RFQ 20-06-041</t>
  </si>
  <si>
    <t>ADMIN RFQ-01</t>
  </si>
  <si>
    <t>BFAR IV-A.PR20-0363</t>
  </si>
  <si>
    <t>PR No. 20061266</t>
  </si>
  <si>
    <t>PR No. 20061256</t>
  </si>
  <si>
    <t>epslingayen2020-54</t>
  </si>
  <si>
    <t>2020-06-102</t>
  </si>
  <si>
    <t>PR No. 20061265</t>
  </si>
  <si>
    <t>06302020B</t>
  </si>
  <si>
    <t>PR No. 20061262</t>
  </si>
  <si>
    <t>PR0078-20 DOPH LUPON</t>
  </si>
  <si>
    <t>PB-G-2020-003</t>
  </si>
  <si>
    <t>PR No. 1000032422</t>
  </si>
  <si>
    <t>PR0109-20 PEO</t>
  </si>
  <si>
    <t>20-03-040</t>
  </si>
  <si>
    <t>PR0108-20 PEO</t>
  </si>
  <si>
    <t>PR-2020-02-04 (2ND BIDDING)</t>
  </si>
  <si>
    <t>20DM0070</t>
  </si>
  <si>
    <t>Re-bidding Supply and Delivery of Tablet Pro for I</t>
  </si>
  <si>
    <t>2020 - 07 - 06 (20 - Small Value Procurement)</t>
  </si>
  <si>
    <t>20DM0069</t>
  </si>
  <si>
    <t>pinya 2020</t>
  </si>
  <si>
    <t>PHilMech-RCEF-20-06-01</t>
  </si>
  <si>
    <t>2020-06-99</t>
  </si>
  <si>
    <t>ERD 20-002</t>
  </si>
  <si>
    <t>DA7-07-FOD-R-20-2813</t>
  </si>
  <si>
    <t>PHilMech-RCEF-20-06-07</t>
  </si>
  <si>
    <t>DA RFO-1-2019-INFRA-080</t>
  </si>
  <si>
    <t>DA RFO-1-2019-INFRA-081</t>
  </si>
  <si>
    <t>RFQ No.: 	2020-06-0539</t>
  </si>
  <si>
    <t>Langcuas-001-20</t>
  </si>
  <si>
    <t>301562-07-2020</t>
  </si>
  <si>
    <t>PR0083-20 DOPHLUPON</t>
  </si>
  <si>
    <t>07-01-2020-04</t>
  </si>
  <si>
    <t>20050395</t>
  </si>
  <si>
    <t>301562-06-2020</t>
  </si>
  <si>
    <t>LGULAGONOY-BAC-020-INFRA-002</t>
  </si>
  <si>
    <t>20050421</t>
  </si>
  <si>
    <t>458</t>
  </si>
  <si>
    <t>2020-06-98</t>
  </si>
  <si>
    <t>ITB NO. GOP-20-DSWD-2020-06-04</t>
  </si>
  <si>
    <t>4PS-2020-06-0230</t>
  </si>
  <si>
    <t>4PS-2020-06-0229</t>
  </si>
  <si>
    <t>07-01-2020</t>
  </si>
  <si>
    <t>SOCTECH-2020-06-0228</t>
  </si>
  <si>
    <t>SOCPEN-2020-06-0232</t>
  </si>
  <si>
    <t>044- LGU-LAOANG-2020</t>
  </si>
  <si>
    <t>202006123</t>
  </si>
  <si>
    <t>DA RFO-1-2019-INFRA-079</t>
  </si>
  <si>
    <t>2020-06-016</t>
  </si>
  <si>
    <t>20FK0057</t>
  </si>
  <si>
    <t>PR-2020-02-05 (2ND BIDDING)</t>
  </si>
  <si>
    <t>VGAT-2020-0180</t>
  </si>
  <si>
    <t>PR No. 20061257</t>
  </si>
  <si>
    <t>PR No. 20061252</t>
  </si>
  <si>
    <t>07-01-2020-05</t>
  </si>
  <si>
    <t>PR0076-20 PAGRO</t>
  </si>
  <si>
    <t>2020-057</t>
  </si>
  <si>
    <t>RFQ-2020-G-144</t>
  </si>
  <si>
    <t>2020-S-06-054</t>
  </si>
  <si>
    <t>PR0004-20 BSSS</t>
  </si>
  <si>
    <t>MLY1902104092-1N-2020289</t>
  </si>
  <si>
    <t>BCD1902101012-0602</t>
  </si>
  <si>
    <t>RFQ-2020-301536-14</t>
  </si>
  <si>
    <t>LGU-Sagay-4755</t>
  </si>
  <si>
    <t>RFQ-2020-301536-13</t>
  </si>
  <si>
    <t>mal 4 2020</t>
  </si>
  <si>
    <t>RFQ-2020-301536-11</t>
  </si>
  <si>
    <t>RFQ-2020-301536-09</t>
  </si>
  <si>
    <t>100(01)20-06-372(A)</t>
  </si>
  <si>
    <t>04</t>
  </si>
  <si>
    <t>RFQ-2020-301536-10</t>
  </si>
  <si>
    <t>mal 01 2020</t>
  </si>
  <si>
    <t>RFQ-2020-301536-08</t>
  </si>
  <si>
    <t>RFQ-2020-301536-07</t>
  </si>
  <si>
    <t>RFQ-2020-301536-12</t>
  </si>
  <si>
    <t>2020-06-100</t>
  </si>
  <si>
    <t>mal 2 2020</t>
  </si>
  <si>
    <t>20201288</t>
  </si>
  <si>
    <t>mal 3 2020</t>
  </si>
  <si>
    <t>RFQ-2020-301536-05-SHS</t>
  </si>
  <si>
    <t>20201282</t>
  </si>
  <si>
    <t>PR NO. 20-06-018</t>
  </si>
  <si>
    <t>epslingayen2020-55</t>
  </si>
  <si>
    <t>PF-0620-621</t>
  </si>
  <si>
    <t>PF-0620-619</t>
  </si>
  <si>
    <t>RFQ-2020-301536-07-SHS</t>
  </si>
  <si>
    <t>H01-July-20</t>
  </si>
  <si>
    <t>RFQ-2020-301536-06</t>
  </si>
  <si>
    <t>RFQ-2020-301536-04-SHS</t>
  </si>
  <si>
    <t>07-01-2020-06</t>
  </si>
  <si>
    <t>20-06-012</t>
  </si>
  <si>
    <t>AMP SVP-D NO: 20-03-0304A</t>
  </si>
  <si>
    <t>BAC-BNHS-003-2020</t>
  </si>
  <si>
    <t>R13-2020-001</t>
  </si>
  <si>
    <t>2020-69</t>
  </si>
  <si>
    <t>mal 5 2020</t>
  </si>
  <si>
    <t>PR No. 20061269</t>
  </si>
  <si>
    <t>20-05-0581</t>
  </si>
  <si>
    <t>2020-06A</t>
  </si>
  <si>
    <t>PR No. 20061271</t>
  </si>
  <si>
    <t>PROC-200101 - ATM VISA CHIP CARD WELCOME LETTER, C</t>
  </si>
  <si>
    <t>lgumat-2020-0029</t>
  </si>
  <si>
    <t>rfq-2020-3</t>
  </si>
  <si>
    <t>PR No. 20061270</t>
  </si>
  <si>
    <t>9805</t>
  </si>
  <si>
    <t>rfq-2020-2</t>
  </si>
  <si>
    <t>UPLB-RQ-6-136-20-RES CHEMICALS &amp; CHEMICAL PRODUCTS</t>
  </si>
  <si>
    <t>20201283</t>
  </si>
  <si>
    <t>rfq-2020-1</t>
  </si>
  <si>
    <t>2006-0546-RRCY</t>
  </si>
  <si>
    <t>SMN-2020-003</t>
  </si>
  <si>
    <t>2020-07-01-001</t>
  </si>
  <si>
    <t>PR No. 20061279</t>
  </si>
  <si>
    <t>lgu-es-20-06-147</t>
  </si>
  <si>
    <t>20-007</t>
  </si>
  <si>
    <t>2020-07-0302</t>
  </si>
  <si>
    <t>0044-20</t>
  </si>
  <si>
    <t>GS-GF-2019-0277</t>
  </si>
  <si>
    <t>CLS - 2020 -06 -115</t>
  </si>
  <si>
    <t>009</t>
  </si>
  <si>
    <t>2020-devmh-077</t>
  </si>
  <si>
    <t>Bid No. 20-0285</t>
  </si>
  <si>
    <t>1099-2020-07</t>
  </si>
  <si>
    <t>109920-2020-05</t>
  </si>
  <si>
    <t>Bid No. 20-0284</t>
  </si>
  <si>
    <t>2020-06B</t>
  </si>
  <si>
    <t>INFRA-NP-2019-058</t>
  </si>
  <si>
    <t>lgu-es-20-06-146</t>
  </si>
  <si>
    <t>RFQ-2020-301536-06-SHS</t>
  </si>
  <si>
    <t>07012020-57</t>
  </si>
  <si>
    <t>GS-GF-2020-0065 (repost)</t>
  </si>
  <si>
    <t>109920-2020-04</t>
  </si>
  <si>
    <t>2020-02-147</t>
  </si>
  <si>
    <t>CLS - 2020 - 06 - 118</t>
  </si>
  <si>
    <t>PR#100-20-06-469</t>
  </si>
  <si>
    <t>2020-070102</t>
  </si>
  <si>
    <t>070120-H01</t>
  </si>
  <si>
    <t>RFQ 022 -2020</t>
  </si>
  <si>
    <t>SV-2020-101-034</t>
  </si>
  <si>
    <t>2020-06-10</t>
  </si>
  <si>
    <t>109902-2020-05</t>
  </si>
  <si>
    <t>109920-2020-06</t>
  </si>
  <si>
    <t>S-ITP-2007-053</t>
  </si>
  <si>
    <t>20060490</t>
  </si>
  <si>
    <t>2020-44</t>
  </si>
  <si>
    <t>20-06-0372</t>
  </si>
  <si>
    <t>109902-2020-04</t>
  </si>
  <si>
    <t>20-DSWDFO1-01A</t>
  </si>
  <si>
    <t>TAG-SDS-060-2020</t>
  </si>
  <si>
    <t>0047-20</t>
  </si>
  <si>
    <t>2020-devmh-076</t>
  </si>
  <si>
    <t>2020-070101</t>
  </si>
  <si>
    <t>LGU-AL-32-2020</t>
  </si>
  <si>
    <t>SV-2020-184-035</t>
  </si>
  <si>
    <t>20OI0120</t>
  </si>
  <si>
    <t>2020-Barangay 01-001</t>
  </si>
  <si>
    <t>Bid No. 20-0286</t>
  </si>
  <si>
    <t>109902-2020-06</t>
  </si>
  <si>
    <t>SV-2020-101-036</t>
  </si>
  <si>
    <t>20-06-696</t>
  </si>
  <si>
    <t>109902-2020-05B</t>
  </si>
  <si>
    <t>ATI2020-07-163</t>
  </si>
  <si>
    <t>epslingayen2020-56</t>
  </si>
  <si>
    <t>SH-5417-20</t>
  </si>
  <si>
    <t>20060480</t>
  </si>
  <si>
    <t>POG/VWS/51-2020</t>
  </si>
  <si>
    <t>POG/CO/49-2020</t>
  </si>
  <si>
    <t>Bid No. 20-0287</t>
  </si>
  <si>
    <t>109902-2020-07</t>
  </si>
  <si>
    <t>RFQ 2020-07-01</t>
  </si>
  <si>
    <t>2020-31</t>
  </si>
  <si>
    <t>POG/CO/50-2020</t>
  </si>
  <si>
    <t>2020-016</t>
  </si>
  <si>
    <t>2020-015</t>
  </si>
  <si>
    <t>PR# 100-20-06-421</t>
  </si>
  <si>
    <t>SVP0022-2020</t>
  </si>
  <si>
    <t>ITB 20-076</t>
  </si>
  <si>
    <t>07012020-58</t>
  </si>
  <si>
    <t>RFQ 2020-06-0133</t>
  </si>
  <si>
    <t>2020-07-08</t>
  </si>
  <si>
    <t>2020-070103</t>
  </si>
  <si>
    <t>070120</t>
  </si>
  <si>
    <t>100-20-04-185</t>
  </si>
  <si>
    <t>Bid No. 20-0288</t>
  </si>
  <si>
    <t>SK DULACAC-2020-07-001</t>
  </si>
  <si>
    <t>20OI0128</t>
  </si>
  <si>
    <t>SK DULACAC-2020-07-002</t>
  </si>
  <si>
    <t>100-20-06-366</t>
  </si>
  <si>
    <t>20OI0130</t>
  </si>
  <si>
    <t>20ME0143</t>
  </si>
  <si>
    <t>100-20-06-140</t>
  </si>
  <si>
    <t>DARFO2.CVRC.115.REC.2020-06-808.00</t>
  </si>
  <si>
    <t>2020-070104</t>
  </si>
  <si>
    <t>0480-20</t>
  </si>
  <si>
    <t>070120-R1</t>
  </si>
  <si>
    <t>-07-007-2020</t>
  </si>
  <si>
    <t>RFQ 2020-06-0134</t>
  </si>
  <si>
    <t>Mkna-GSO-20-296</t>
  </si>
  <si>
    <t>20OI0129</t>
  </si>
  <si>
    <t>SVP-99</t>
  </si>
  <si>
    <t>RFQ 2020-07-017</t>
  </si>
  <si>
    <t>pmma-svp-42-20</t>
  </si>
  <si>
    <t>PR# 100-20-06-473</t>
  </si>
  <si>
    <t>PR# 20-06-0792</t>
  </si>
  <si>
    <t>100-20-03-0434</t>
  </si>
  <si>
    <t>SV-2020-184-037</t>
  </si>
  <si>
    <t>GOODS-20-19</t>
  </si>
  <si>
    <t>SVP-103</t>
  </si>
  <si>
    <t>0379</t>
  </si>
  <si>
    <t>BM 2020-GOODS-02</t>
  </si>
  <si>
    <t>20-003-G</t>
  </si>
  <si>
    <t>20OI0131</t>
  </si>
  <si>
    <t>LGU Nasipit-2020-061</t>
  </si>
  <si>
    <t>SanJoseBatsAeb2020-106</t>
  </si>
  <si>
    <t>2020-11</t>
  </si>
  <si>
    <t>2020-06-001 COVID 19</t>
  </si>
  <si>
    <t>2020-06-118</t>
  </si>
  <si>
    <t>20ME0144-Cluster 4</t>
  </si>
  <si>
    <t>zam2020-07-009</t>
  </si>
  <si>
    <t>apollo_infras2020-07-001</t>
  </si>
  <si>
    <t>10124</t>
  </si>
  <si>
    <t>2020.07.01</t>
  </si>
  <si>
    <t>Bid No. 20-0289</t>
  </si>
  <si>
    <t>100-20-03-0429</t>
  </si>
  <si>
    <t>2020-06-0134</t>
  </si>
  <si>
    <t>ITB No. 043-2020 GQ</t>
  </si>
  <si>
    <t>RFQ 2020-07-0135</t>
  </si>
  <si>
    <t>silangan1-FV2020</t>
  </si>
  <si>
    <t>Bid No. 20-0290</t>
  </si>
  <si>
    <t>SVP-105</t>
  </si>
  <si>
    <t>1011-20-07-01</t>
  </si>
  <si>
    <t>2020-06-003 COVID 19</t>
  </si>
  <si>
    <t>ICRFQ07012020A</t>
  </si>
  <si>
    <t>ITB No. 038B-2020 GQ</t>
  </si>
  <si>
    <t>20GL0092</t>
  </si>
  <si>
    <t>1</t>
  </si>
  <si>
    <t>0380</t>
  </si>
  <si>
    <t>20-06-694</t>
  </si>
  <si>
    <t>3166</t>
  </si>
  <si>
    <t>NCR-2007-002</t>
  </si>
  <si>
    <t>20ME0145</t>
  </si>
  <si>
    <t>1234511</t>
  </si>
  <si>
    <t>BAC-0046-2020</t>
  </si>
  <si>
    <t>BAC-ZDN-No. 2020-009</t>
  </si>
  <si>
    <t>Mananao202001</t>
  </si>
  <si>
    <t>07012020-60</t>
  </si>
  <si>
    <t>2020-06-121</t>
  </si>
  <si>
    <t>2020-07-015</t>
  </si>
  <si>
    <t>RFQ 2020-070</t>
  </si>
  <si>
    <t>100-20-03-056</t>
  </si>
  <si>
    <t>LGU Nasipit-2020-062</t>
  </si>
  <si>
    <t>2020-05-067</t>
  </si>
  <si>
    <t>Barangay Balugohin Atimonan, Quezon 2020-07</t>
  </si>
  <si>
    <t>073-2020-RFQ</t>
  </si>
  <si>
    <t>PR NO. 20-06-053</t>
  </si>
  <si>
    <t>2020-07-1A</t>
  </si>
  <si>
    <t>ROSAL 0355-2020</t>
  </si>
  <si>
    <t>100-20-06-125</t>
  </si>
  <si>
    <t>SV-2020-164-038</t>
  </si>
  <si>
    <t>pmma-svp-43-2020</t>
  </si>
  <si>
    <t>RFQ-2020-GI-15</t>
  </si>
  <si>
    <t>Bac-Pg-001-20</t>
  </si>
  <si>
    <t>PR# 100-20-06-015</t>
  </si>
  <si>
    <t>SanJoseBatsAeb2020-108</t>
  </si>
  <si>
    <t>2020-070105</t>
  </si>
  <si>
    <t>PROC-2000102 - SMART SATELLITE TOP-UP CARD (250 UN</t>
  </si>
  <si>
    <t>3167</t>
  </si>
  <si>
    <t>GOODS2020-10</t>
  </si>
  <si>
    <t>RFQ 2020-07-0136</t>
  </si>
  <si>
    <t>Bid No. 20-0291</t>
  </si>
  <si>
    <t>2020-06-520</t>
  </si>
  <si>
    <t>BAC-ZDN-NO.2020-009</t>
  </si>
  <si>
    <t>Bid No. 20-0292</t>
  </si>
  <si>
    <t>GOODS-2020-040</t>
  </si>
  <si>
    <t>RFQ 2020-4136</t>
  </si>
  <si>
    <t>101-020-006-067</t>
  </si>
  <si>
    <t>ITB 2020-21</t>
  </si>
  <si>
    <t>PR NO. 20-06-052</t>
  </si>
  <si>
    <t>HAG-2020-06-019</t>
  </si>
  <si>
    <t>100-20-06-144</t>
  </si>
  <si>
    <t>bcnhs00155</t>
  </si>
  <si>
    <t>RFQ 2020-07-0137</t>
  </si>
  <si>
    <t>0381</t>
  </si>
  <si>
    <t>ITB No. 044-2020 GQ</t>
  </si>
  <si>
    <t>NIA.IGIMO-IGANG CIS-MATERIALS-G06-20</t>
  </si>
  <si>
    <t>2020-07-2A</t>
  </si>
  <si>
    <t>GOODS-2020-041</t>
  </si>
  <si>
    <t>NIA.IGIMO-DAGAMI SWIP-MATERIALS-G07-20</t>
  </si>
  <si>
    <t>07012020-032</t>
  </si>
  <si>
    <t>100-20-06-124</t>
  </si>
  <si>
    <t>20GL0093</t>
  </si>
  <si>
    <t>20-06-699</t>
  </si>
  <si>
    <t>NIFNL4-0620-0127</t>
  </si>
  <si>
    <t>REQUEST FOR QUOTATION 2020</t>
  </si>
  <si>
    <t>Barangay Guindapunan-001-2020</t>
  </si>
  <si>
    <t>1234512</t>
  </si>
  <si>
    <t>PR NO. 20-06-051</t>
  </si>
  <si>
    <t>2020-88</t>
  </si>
  <si>
    <t>101-020-007-068</t>
  </si>
  <si>
    <t>SV-2020-101-039</t>
  </si>
  <si>
    <t>034 20-694-1</t>
  </si>
  <si>
    <t>2020-0056</t>
  </si>
  <si>
    <t>P.R. No. 2020-359</t>
  </si>
  <si>
    <t>2020-05-0075</t>
  </si>
  <si>
    <t>777</t>
  </si>
  <si>
    <t>2020-09</t>
  </si>
  <si>
    <t>2020 - 04-01</t>
  </si>
  <si>
    <t>2020-0302</t>
  </si>
  <si>
    <t>01-01-2020-06-646</t>
  </si>
  <si>
    <t>07012020-61</t>
  </si>
  <si>
    <t>KOR20-06-022</t>
  </si>
  <si>
    <t>0282R</t>
  </si>
  <si>
    <t>2020-07-020</t>
  </si>
  <si>
    <t>SanJoseBatsAeb2020-109</t>
  </si>
  <si>
    <t>2020-06-0621 TDG</t>
  </si>
  <si>
    <t>ATI2020-07-164</t>
  </si>
  <si>
    <t>0010-RFQ-2020</t>
  </si>
  <si>
    <t>2020-106</t>
  </si>
  <si>
    <t>0272R</t>
  </si>
  <si>
    <t>RSW-2020-018</t>
  </si>
  <si>
    <t>109899-2020-07</t>
  </si>
  <si>
    <t>0001-0147-1078-2020</t>
  </si>
  <si>
    <t>20-06-196</t>
  </si>
  <si>
    <t>2020-06-122</t>
  </si>
  <si>
    <t>RFQ-2019-310-ABC</t>
  </si>
  <si>
    <t>RFQ-DARFO12-2020-0580</t>
  </si>
  <si>
    <t>Bid No. 20-0293</t>
  </si>
  <si>
    <t>2020-04-0437 TDG</t>
  </si>
  <si>
    <t>20GL0094</t>
  </si>
  <si>
    <t>2020-069</t>
  </si>
  <si>
    <t>PR No. 2020-05</t>
  </si>
  <si>
    <t>07-01-20-115MLUC</t>
  </si>
  <si>
    <t>20AC0053</t>
  </si>
  <si>
    <t>OHS-2020-105</t>
  </si>
  <si>
    <t>NIA.IGIMO-COLINE CIS-MATERIALS-G05-20</t>
  </si>
  <si>
    <t>ATI2020-07-165</t>
  </si>
  <si>
    <t>2020-06-076</t>
  </si>
  <si>
    <t>100-20-06-130</t>
  </si>
  <si>
    <t>NIFNL4-0620-0131</t>
  </si>
  <si>
    <t>2020-06-0088</t>
  </si>
  <si>
    <t>GSO-20-060289</t>
  </si>
  <si>
    <t>ITB-2020-018</t>
  </si>
  <si>
    <t>RFG-2020-G-171</t>
  </si>
  <si>
    <t>PCDP-2020-06-0233</t>
  </si>
  <si>
    <t>NIA.IGIMO-CABUNGA-AN CABOLOAN CIP-MATERIALS-G08-20</t>
  </si>
  <si>
    <t>NIAREG9-06-2020-COBCY2019-082 (SH)</t>
  </si>
  <si>
    <t>NG-GOODS-2020-17</t>
  </si>
  <si>
    <t>L3-2020-002</t>
  </si>
  <si>
    <t>BIDSTAC # NP-SVP 114-2020</t>
  </si>
  <si>
    <t>20-029</t>
  </si>
  <si>
    <t>0286R</t>
  </si>
  <si>
    <t>092-CIVIL2020-002</t>
  </si>
  <si>
    <t>NIFNL4-0520-0119</t>
  </si>
  <si>
    <t>20FM0052</t>
  </si>
  <si>
    <t>2020 - 05 - 01</t>
  </si>
  <si>
    <t>2020-107 FERTILIZERS</t>
  </si>
  <si>
    <t>Pagcolbon202001</t>
  </si>
  <si>
    <t>RFQ-DARFO12-2020-0581</t>
  </si>
  <si>
    <t>20-07-07</t>
  </si>
  <si>
    <t>2020-06-063</t>
  </si>
  <si>
    <t>0284R</t>
  </si>
  <si>
    <t>NFW-07-032-20</t>
  </si>
  <si>
    <t>2020 MDRRMO</t>
  </si>
  <si>
    <t>ITB-2020-019</t>
  </si>
  <si>
    <t>Pagcolbon202002</t>
  </si>
  <si>
    <t>R13-2020-002</t>
  </si>
  <si>
    <t>RFQ739-20</t>
  </si>
  <si>
    <t>RDTD-2020-02-0128</t>
  </si>
  <si>
    <t>bcnhs00156</t>
  </si>
  <si>
    <t>20CSFK03</t>
  </si>
  <si>
    <t>0312</t>
  </si>
  <si>
    <t>RFQ-DARFO12-2020-0583</t>
  </si>
  <si>
    <t>SF-2020-044</t>
  </si>
  <si>
    <t>2020 - 06 - 01</t>
  </si>
  <si>
    <t>RFQ-DARFO12-2020-0582</t>
  </si>
  <si>
    <t>2020-06-242</t>
  </si>
  <si>
    <t>2020-GOODS-273</t>
  </si>
  <si>
    <t>2020-GOODS-272</t>
  </si>
  <si>
    <t>2020-06-380</t>
  </si>
  <si>
    <t>ATI2020-07-166</t>
  </si>
  <si>
    <t>NF 2006-0244</t>
  </si>
  <si>
    <t>UPR No ARMOR DIV-SPF2-AMBn-001</t>
  </si>
  <si>
    <t>NFW-07-033-20</t>
  </si>
  <si>
    <t>2020 - 07 - 01</t>
  </si>
  <si>
    <t>1234513</t>
  </si>
  <si>
    <t>07012020-62</t>
  </si>
  <si>
    <t>7001012020</t>
  </si>
  <si>
    <t>Bac-Pg-002-20</t>
  </si>
  <si>
    <t>0313</t>
  </si>
  <si>
    <t>LGU-BALINGASAG-9005-20-065</t>
  </si>
  <si>
    <t>NFW-07-03-20</t>
  </si>
  <si>
    <t>NIFNL4-0520-0109</t>
  </si>
  <si>
    <t>0315</t>
  </si>
  <si>
    <t>PB-INF-2020-033</t>
  </si>
  <si>
    <t>RFQ-20-014</t>
  </si>
  <si>
    <t>RFQ 014 TF</t>
  </si>
  <si>
    <t>2020-I07-10</t>
  </si>
  <si>
    <t>RFQ-DARFO12-2020-0584</t>
  </si>
  <si>
    <t>BIDSTAC # SB 029-2020</t>
  </si>
  <si>
    <t>NFW-07-037-20</t>
  </si>
  <si>
    <t>105CO-11349-CMFDCSH-2020</t>
  </si>
  <si>
    <t>3168</t>
  </si>
  <si>
    <t>0314</t>
  </si>
  <si>
    <t>infra 033A-2020</t>
  </si>
  <si>
    <t>ATI2020-07-167</t>
  </si>
  <si>
    <t>2020-06-024</t>
  </si>
  <si>
    <t>20GCB0005</t>
  </si>
  <si>
    <t>RFQ No.06-0434-20 COE</t>
  </si>
  <si>
    <t>G-2020-06-019</t>
  </si>
  <si>
    <t>NIFNL4-0520-0115</t>
  </si>
  <si>
    <t>0317</t>
  </si>
  <si>
    <t>115-2020</t>
  </si>
  <si>
    <t>RFQ-DARFO12-2020-0586</t>
  </si>
  <si>
    <t>RFQ 2020-4145</t>
  </si>
  <si>
    <t>bcnhs00157</t>
  </si>
  <si>
    <t>infra 034A-2020</t>
  </si>
  <si>
    <t>100-2020-Infa-399</t>
  </si>
  <si>
    <t>2020-06-071</t>
  </si>
  <si>
    <t>TCMO 20-147</t>
  </si>
  <si>
    <t>0316</t>
  </si>
  <si>
    <t>PB-INF-2020-36</t>
  </si>
  <si>
    <t>20200701-01-G</t>
  </si>
  <si>
    <t>NIFNL4-0620-0100</t>
  </si>
  <si>
    <t>301545-2020-04</t>
  </si>
  <si>
    <t>BARANGAY TAGNATE</t>
  </si>
  <si>
    <t>2020-06-0089</t>
  </si>
  <si>
    <t>RFQ-DARFO12-2020-0587</t>
  </si>
  <si>
    <t>2020-06-328</t>
  </si>
  <si>
    <t>20GA0230</t>
  </si>
  <si>
    <t>RFQ-DARFO12-2020-0585</t>
  </si>
  <si>
    <t>gd-220701</t>
  </si>
  <si>
    <t>GOODS-20-S182</t>
  </si>
  <si>
    <t>20-07-SO111</t>
  </si>
  <si>
    <t>0318</t>
  </si>
  <si>
    <t>2020-128</t>
  </si>
  <si>
    <t>PB-INF-2020-037</t>
  </si>
  <si>
    <t>2020-06-0105</t>
  </si>
  <si>
    <t>05-20-A104</t>
  </si>
  <si>
    <t>20200701-02-G</t>
  </si>
  <si>
    <t>Goods-119-2020</t>
  </si>
  <si>
    <t>BAC-HO GS No. 2020-0366 dated 18 June 2020 (BSPI)</t>
  </si>
  <si>
    <t>PR. 20-06-230 (2020-07-221)</t>
  </si>
  <si>
    <t>RFQ-20-015</t>
  </si>
  <si>
    <t>2020-06-24-5</t>
  </si>
  <si>
    <t>GOODS-20-S184</t>
  </si>
  <si>
    <t>G6-20-1433</t>
  </si>
  <si>
    <t>02.2020.0102</t>
  </si>
  <si>
    <t>05-20-A103</t>
  </si>
  <si>
    <t>PR 2020-07-010</t>
  </si>
  <si>
    <t>0319</t>
  </si>
  <si>
    <t>108997</t>
  </si>
  <si>
    <t>pgeps#277-2020</t>
  </si>
  <si>
    <t>GOODS-20-S185</t>
  </si>
  <si>
    <t>REI-07-01-2020</t>
  </si>
  <si>
    <t>150000</t>
  </si>
  <si>
    <t>2020-05-0076</t>
  </si>
  <si>
    <t>20-07-01-22</t>
  </si>
  <si>
    <t>0321</t>
  </si>
  <si>
    <t>RIS# 20-83-119</t>
  </si>
  <si>
    <t>07012020-02</t>
  </si>
  <si>
    <t>0236-2020</t>
  </si>
  <si>
    <t>20-24-06-872</t>
  </si>
  <si>
    <t>20-03-163</t>
  </si>
  <si>
    <t>Goods-120-2020</t>
  </si>
  <si>
    <t>ATI2020-07-168</t>
  </si>
  <si>
    <t>Saoay 001</t>
  </si>
  <si>
    <t>RFQ-DARFO12-2020-0589</t>
  </si>
  <si>
    <t>infra 035A-2020</t>
  </si>
  <si>
    <t>RFQ-DARFO12-2020-0590</t>
  </si>
  <si>
    <t>2020-234 ONION SEEDS</t>
  </si>
  <si>
    <t>RFQ-DARFO12-2020-0588</t>
  </si>
  <si>
    <t>20-01-0038</t>
  </si>
  <si>
    <t>BSU Project No. 2020-220</t>
  </si>
  <si>
    <t>GOODS-20-S183</t>
  </si>
  <si>
    <t>RFQ No.048 -2020</t>
  </si>
  <si>
    <t>20-07-SO112</t>
  </si>
  <si>
    <t>RFQ-DARFO12-2020-0591</t>
  </si>
  <si>
    <t>2020-06-023</t>
  </si>
  <si>
    <t>PR No.2020-0089</t>
  </si>
  <si>
    <t>0320</t>
  </si>
  <si>
    <t>339-2006-101</t>
  </si>
  <si>
    <t>RFQ 2020-4131</t>
  </si>
  <si>
    <t>San Vicente 01-2020</t>
  </si>
  <si>
    <t>20-03-192</t>
  </si>
  <si>
    <t>PR No. 1000032057</t>
  </si>
  <si>
    <t>RFQ 2020-07-0138</t>
  </si>
  <si>
    <t>2020-07-01-181</t>
  </si>
  <si>
    <t>RFQ-DARFO12-2020-0592</t>
  </si>
  <si>
    <t>RIS# 20-96-032</t>
  </si>
  <si>
    <t>PR#100-20-06-014</t>
  </si>
  <si>
    <t>0322</t>
  </si>
  <si>
    <t>Goods-118-2020</t>
  </si>
  <si>
    <t>0323</t>
  </si>
  <si>
    <t>GOODS-20-S186</t>
  </si>
  <si>
    <t>infra 036A-2020</t>
  </si>
  <si>
    <t>2020-06-0117</t>
  </si>
  <si>
    <t>2020-06-381</t>
  </si>
  <si>
    <t>RFQ 2020-07-0139</t>
  </si>
  <si>
    <t>PR#480</t>
  </si>
  <si>
    <t>infra 017A-2020</t>
  </si>
  <si>
    <t>07012020-01</t>
  </si>
  <si>
    <t>RFQ-20-016</t>
  </si>
  <si>
    <t>RFQ-DARFO12-2020-0593</t>
  </si>
  <si>
    <t>GOODS-20-S187</t>
  </si>
  <si>
    <t>PR# 100-20-06-457</t>
  </si>
  <si>
    <t>RIS# 20-83-124</t>
  </si>
  <si>
    <t>POL20-06-036</t>
  </si>
  <si>
    <t>20-07-0002</t>
  </si>
  <si>
    <t>100-2020-Goods-116</t>
  </si>
  <si>
    <t>PR NO. 2020-07-0221</t>
  </si>
  <si>
    <t>20-072</t>
  </si>
  <si>
    <t>PR N0. 2020-07-014</t>
  </si>
  <si>
    <t>2020-0168</t>
  </si>
  <si>
    <t>07012020-63</t>
  </si>
  <si>
    <t>20-030</t>
  </si>
  <si>
    <t>2020-devmh-078</t>
  </si>
  <si>
    <t>20GFK0004</t>
  </si>
  <si>
    <t>RFQ-DARFO12-2020-0594</t>
  </si>
  <si>
    <t>2020-06-0081</t>
  </si>
  <si>
    <t>PR No. lGP-2020-024</t>
  </si>
  <si>
    <t>20GCB0006</t>
  </si>
  <si>
    <t>20060489</t>
  </si>
  <si>
    <t>RIS# 20-83-126</t>
  </si>
  <si>
    <t>SS-2020-00010</t>
  </si>
  <si>
    <t>NIFNL4-0420-0108</t>
  </si>
  <si>
    <t>epslingayen2020-57</t>
  </si>
  <si>
    <t>2020-06-0135</t>
  </si>
  <si>
    <t>PR#474</t>
  </si>
  <si>
    <t>RFQ-DARFO12-2020-0595</t>
  </si>
  <si>
    <t>2020-PLA-065</t>
  </si>
  <si>
    <t>Goods-121-2020</t>
  </si>
  <si>
    <t>RFQ 2020-96</t>
  </si>
  <si>
    <t>PR#475</t>
  </si>
  <si>
    <t>20NF0077</t>
  </si>
  <si>
    <t>BFP Caraga 2020-06-010</t>
  </si>
  <si>
    <t>301545-2020-05</t>
  </si>
  <si>
    <t>GOODS-NP-2020-100</t>
  </si>
  <si>
    <t>RFQ-062-2020-SH2</t>
  </si>
  <si>
    <t>RFQ-20-017</t>
  </si>
  <si>
    <t>N2FB-47-2020(A)</t>
  </si>
  <si>
    <t>2020 25</t>
  </si>
  <si>
    <t>ITB-2020-10-GOODS</t>
  </si>
  <si>
    <t>164-20-01-10</t>
  </si>
  <si>
    <t>20060485</t>
  </si>
  <si>
    <t>PR#476</t>
  </si>
  <si>
    <t>20NF0078</t>
  </si>
  <si>
    <t>N2FB-90-2019(2020)(A)</t>
  </si>
  <si>
    <t>0237-2020</t>
  </si>
  <si>
    <t>105CO-11361-CMFDCSH-2020</t>
  </si>
  <si>
    <t>2020-07-13</t>
  </si>
  <si>
    <t>RFQ 2020-07-0140</t>
  </si>
  <si>
    <t>0020-0200-1090-2020</t>
  </si>
  <si>
    <t>20-02-00139</t>
  </si>
  <si>
    <t>BSU Project No. 2020-222</t>
  </si>
  <si>
    <t>RFQ-DARFO12-2020-0597</t>
  </si>
  <si>
    <t>2020-06-0116</t>
  </si>
  <si>
    <t>RFQ-20-018</t>
  </si>
  <si>
    <t>CGWCEISC 20-02-003</t>
  </si>
  <si>
    <t>2020-50M</t>
  </si>
  <si>
    <t>Goods-122-2020</t>
  </si>
  <si>
    <t>20050551</t>
  </si>
  <si>
    <t>20060500-0501</t>
  </si>
  <si>
    <t>RFQ No. 20-06-069</t>
  </si>
  <si>
    <t>RFQ-DARFO12-2020-0596</t>
  </si>
  <si>
    <t>PR#479</t>
  </si>
  <si>
    <t>RFQ 2020-4132</t>
  </si>
  <si>
    <t>B-96-2020</t>
  </si>
  <si>
    <t>2020-51M</t>
  </si>
  <si>
    <t>JR No. 010-2020-OGM</t>
  </si>
  <si>
    <t>2020-06-369</t>
  </si>
  <si>
    <t>RFQ NO. SVP-024-2020</t>
  </si>
  <si>
    <t>105103</t>
  </si>
  <si>
    <t>20-06-089</t>
  </si>
  <si>
    <t>r6bcd06302020-1</t>
  </si>
  <si>
    <t>RFQ-DARFO12-2020-0599</t>
  </si>
  <si>
    <t>07-01-01</t>
  </si>
  <si>
    <t>RFQ-DARFO12-2020-0600</t>
  </si>
  <si>
    <t>20-03-00221</t>
  </si>
  <si>
    <t>I-2020-015</t>
  </si>
  <si>
    <t>CGWCEISC 20-05-008</t>
  </si>
  <si>
    <t>B-99-2020</t>
  </si>
  <si>
    <t>BAGO-BAC-2020-0156</t>
  </si>
  <si>
    <t>B-95-2020</t>
  </si>
  <si>
    <t>DFM&amp;OPS-1292-20</t>
  </si>
  <si>
    <t>102CO-2020-248</t>
  </si>
  <si>
    <t>B-98-2020</t>
  </si>
  <si>
    <t>2020-07-Arpili</t>
  </si>
  <si>
    <t>DMD-1188-20</t>
  </si>
  <si>
    <t>B-97-2020</t>
  </si>
  <si>
    <t>K-020-017</t>
  </si>
  <si>
    <t>2020-06-560</t>
  </si>
  <si>
    <t>20-06-091</t>
  </si>
  <si>
    <t>2020-0169</t>
  </si>
  <si>
    <t>BAGO-BAC-2020-0155</t>
  </si>
  <si>
    <t>2020-49M</t>
  </si>
  <si>
    <t>DAPA-081-2020</t>
  </si>
  <si>
    <t>mos-20-0265</t>
  </si>
  <si>
    <t>ISPSC-2020-G-K012</t>
  </si>
  <si>
    <t>20CSH023</t>
  </si>
  <si>
    <t>2020-07-064</t>
  </si>
  <si>
    <t>20060496,20060503</t>
  </si>
  <si>
    <t>WEST II</t>
  </si>
  <si>
    <t>173-2020</t>
  </si>
  <si>
    <t>LP2020LG</t>
  </si>
  <si>
    <t>K-020-018</t>
  </si>
  <si>
    <t>RFQ 006-042-2020</t>
  </si>
  <si>
    <t>2020-01-0030</t>
  </si>
  <si>
    <t>BAGO-BAC-2020-0157</t>
  </si>
  <si>
    <t>20-06-094</t>
  </si>
  <si>
    <t>2020-52M</t>
  </si>
  <si>
    <t>PR No. 20-06-042</t>
  </si>
  <si>
    <t>20GA0231</t>
  </si>
  <si>
    <t>BS20-06-0688</t>
  </si>
  <si>
    <t>DO-1286-20</t>
  </si>
  <si>
    <t>BS20-06-FS001</t>
  </si>
  <si>
    <t>CID NO. 20IF0141</t>
  </si>
  <si>
    <t>2020-PPD-015</t>
  </si>
  <si>
    <t>20060497</t>
  </si>
  <si>
    <t>PR No. LGP-2020-022</t>
  </si>
  <si>
    <t>2020-89</t>
  </si>
  <si>
    <t>2020-SVP-289</t>
  </si>
  <si>
    <t>07-01-02</t>
  </si>
  <si>
    <t>WD-2020-02-0164</t>
  </si>
  <si>
    <t>RFQ-DARFO12-2020-0598</t>
  </si>
  <si>
    <t>050-GSA50-CY2020</t>
  </si>
  <si>
    <t>Sealed Bid No. 2020-06-0746</t>
  </si>
  <si>
    <t>G-BRGY-07012020-Completion of Day Care Center - Sa</t>
  </si>
  <si>
    <t>INFRA 2020-008</t>
  </si>
  <si>
    <t>DOSTR01-RFQ2020-29</t>
  </si>
  <si>
    <t>BS20-06-0687</t>
  </si>
  <si>
    <t>VMC-2020-068</t>
  </si>
  <si>
    <t>2020-RA-3</t>
  </si>
  <si>
    <t>BGHMCPB-2020-16-001</t>
  </si>
  <si>
    <t>20060478</t>
  </si>
  <si>
    <t>BS20-06-0681</t>
  </si>
  <si>
    <t>2020-0001</t>
  </si>
  <si>
    <t>POMPONAN202001</t>
  </si>
  <si>
    <t>QSU-BAC-G-01-2020</t>
  </si>
  <si>
    <t>2020-70</t>
  </si>
  <si>
    <t>BS20-06-0690</t>
  </si>
  <si>
    <t>2020-RA-2</t>
  </si>
  <si>
    <t>2020-06-593</t>
  </si>
  <si>
    <t>BUSAC 2020-001</t>
  </si>
  <si>
    <t>PHILGEPS 2020-06-79</t>
  </si>
  <si>
    <t>0238-2020</t>
  </si>
  <si>
    <t>1000032613</t>
  </si>
  <si>
    <t>2020-033 VMSBSEC</t>
  </si>
  <si>
    <t>072120-02</t>
  </si>
  <si>
    <t>SVP-20-37</t>
  </si>
  <si>
    <t>BS20-06-0689</t>
  </si>
  <si>
    <t>20-07-044</t>
  </si>
  <si>
    <t>20-06-100</t>
  </si>
  <si>
    <t>BS20-06-0683</t>
  </si>
  <si>
    <t>200033</t>
  </si>
  <si>
    <t>DPS-1293-20</t>
  </si>
  <si>
    <t>20GDB0025</t>
  </si>
  <si>
    <t>1000032614</t>
  </si>
  <si>
    <t>PR# 20-06-0793</t>
  </si>
  <si>
    <t>proc123</t>
  </si>
  <si>
    <t>ITB 2020-0017</t>
  </si>
  <si>
    <t>2020-RA-4</t>
  </si>
  <si>
    <t>0392</t>
  </si>
  <si>
    <t>2020-06-373</t>
  </si>
  <si>
    <t>DICT2020.07.0021</t>
  </si>
  <si>
    <t>PR-193-100-2020</t>
  </si>
  <si>
    <t>CULLIAT 2020-001</t>
  </si>
  <si>
    <t>0391</t>
  </si>
  <si>
    <t>0393</t>
  </si>
  <si>
    <t>PR NO. 018-06-20</t>
  </si>
  <si>
    <t>07-03-2020</t>
  </si>
  <si>
    <t>2020-07-0101</t>
  </si>
  <si>
    <t>Contract No. 2020-147</t>
  </si>
  <si>
    <t>2020-02-036d</t>
  </si>
  <si>
    <t>211460</t>
  </si>
  <si>
    <t>211464</t>
  </si>
  <si>
    <t>1000032615</t>
  </si>
  <si>
    <t>PR#20-06-0336</t>
  </si>
  <si>
    <t>2020-06-055</t>
  </si>
  <si>
    <t>211463</t>
  </si>
  <si>
    <t>BUDGET-2020-06-0235</t>
  </si>
  <si>
    <t>P006-2020</t>
  </si>
  <si>
    <t>sfbac2020</t>
  </si>
  <si>
    <t>211462</t>
  </si>
  <si>
    <t>0394</t>
  </si>
  <si>
    <t>PCDP-2020-06-0234</t>
  </si>
  <si>
    <t>20FA0061</t>
  </si>
  <si>
    <t>211471</t>
  </si>
  <si>
    <t>2020-03-002</t>
  </si>
  <si>
    <t>211470</t>
  </si>
  <si>
    <t>2020-06-053</t>
  </si>
  <si>
    <t>20-07211PR</t>
  </si>
  <si>
    <t>penrneg2020-gs07</t>
  </si>
  <si>
    <t>2020-06-0467 TARA</t>
  </si>
  <si>
    <t>penrneg2020-gs08</t>
  </si>
  <si>
    <t>Bid No. 20-0294</t>
  </si>
  <si>
    <t>000339</t>
  </si>
  <si>
    <t>PSA-RSSO6-2020-0036</t>
  </si>
  <si>
    <t>2020-Lamitan-31</t>
  </si>
  <si>
    <t>BS 20-06-OE006-1</t>
  </si>
  <si>
    <t>EMERGENCY 023-2020</t>
  </si>
  <si>
    <t>PSA-NCR-RO-20-08</t>
  </si>
  <si>
    <t>P007-2020</t>
  </si>
  <si>
    <t>PG-Shopping- 049-2020</t>
  </si>
  <si>
    <t>Bid No. 20-0298</t>
  </si>
  <si>
    <t>PSA-RSSO6-2020-0038</t>
  </si>
  <si>
    <t>20GA0233</t>
  </si>
  <si>
    <t>1000033175</t>
  </si>
  <si>
    <t>PR. NO. 2020-07-000001</t>
  </si>
  <si>
    <t>2020 13</t>
  </si>
  <si>
    <t>P008-2020</t>
  </si>
  <si>
    <t>Bid No. 20-0297</t>
  </si>
  <si>
    <t>105CO-11368-CMFDCSH-2020</t>
  </si>
  <si>
    <t>6907443</t>
  </si>
  <si>
    <t>211475</t>
  </si>
  <si>
    <t>001-JUNE-INFRA-SANJUAN</t>
  </si>
  <si>
    <t>20GA0232</t>
  </si>
  <si>
    <t>NCR-2007-003</t>
  </si>
  <si>
    <t>RFQ 2020-07-0142</t>
  </si>
  <si>
    <t>Bid No. 20-0300</t>
  </si>
  <si>
    <t>2020-07-0102</t>
  </si>
  <si>
    <t>2020-UV Air Purifier</t>
  </si>
  <si>
    <t>PR. NO. 2020-06-000033</t>
  </si>
  <si>
    <t>211472</t>
  </si>
  <si>
    <t>211478</t>
  </si>
  <si>
    <t>PSA-RSSO6-2020-0039</t>
  </si>
  <si>
    <t>2020178</t>
  </si>
  <si>
    <t>211482</t>
  </si>
  <si>
    <t>211479</t>
  </si>
  <si>
    <t>Bid No. 20-0303</t>
  </si>
  <si>
    <t>BARASRIZAL2020-024</t>
  </si>
  <si>
    <t>DANG-20-020</t>
  </si>
  <si>
    <t>Bid No. 20-0302</t>
  </si>
  <si>
    <t>PSA-RSSO6-2020-040</t>
  </si>
  <si>
    <t>2020-07-0103</t>
  </si>
  <si>
    <t>BSU Project No. 2020-210</t>
  </si>
  <si>
    <t>Bid No. 20-0301</t>
  </si>
  <si>
    <t>PB NO. 2020-046</t>
  </si>
  <si>
    <t>200034</t>
  </si>
  <si>
    <t>109882-2020-06</t>
  </si>
  <si>
    <t>211481</t>
  </si>
  <si>
    <t>20-06-0989</t>
  </si>
  <si>
    <t>Bid No. 20-0299</t>
  </si>
  <si>
    <t>mhs-2020-005</t>
  </si>
  <si>
    <t>211480</t>
  </si>
  <si>
    <t>001-20</t>
  </si>
  <si>
    <t>I-2020-02</t>
  </si>
  <si>
    <t>Bid No. 20-0305</t>
  </si>
  <si>
    <t>San Vicente 2020-01</t>
  </si>
  <si>
    <t>301545-2020-06</t>
  </si>
  <si>
    <t>RFQ 2020-07-0143</t>
  </si>
  <si>
    <t>2020179</t>
  </si>
  <si>
    <t>2020-07-0105</t>
  </si>
  <si>
    <t>27841-001</t>
  </si>
  <si>
    <t>109882-2020-07</t>
  </si>
  <si>
    <t>PG-Shopping- 050-2020</t>
  </si>
  <si>
    <t>211483</t>
  </si>
  <si>
    <t>PR No. 100-20-07-190</t>
  </si>
  <si>
    <t>LTO-SU-20-043</t>
  </si>
  <si>
    <t>Bid No. 20-0308</t>
  </si>
  <si>
    <t>2020-Lamitan-33</t>
  </si>
  <si>
    <t>PR. 20-06-231 (2020-07-223)</t>
  </si>
  <si>
    <t>Bid No. 20-0304</t>
  </si>
  <si>
    <t>PSA-RSSO6-2020-041</t>
  </si>
  <si>
    <t>0396</t>
  </si>
  <si>
    <t>7-2-20</t>
  </si>
  <si>
    <t>20-06-146</t>
  </si>
  <si>
    <t>Bid No. 20-0307</t>
  </si>
  <si>
    <t>000345</t>
  </si>
  <si>
    <t>147-2020</t>
  </si>
  <si>
    <t>211484</t>
  </si>
  <si>
    <t>0395</t>
  </si>
  <si>
    <t>Bid No. 20-0306</t>
  </si>
  <si>
    <t>penrneg2020-gs09</t>
  </si>
  <si>
    <t>Civil Works 025-2020</t>
  </si>
  <si>
    <t>Supplies 303-2020</t>
  </si>
  <si>
    <t>2020-07-0104</t>
  </si>
  <si>
    <t>mhs-2020-002</t>
  </si>
  <si>
    <t>Bid No. 20-0310</t>
  </si>
  <si>
    <t>RFQ 2020-07-0144</t>
  </si>
  <si>
    <t>ITB-2020-11-INFRA</t>
  </si>
  <si>
    <t>2020-894-001</t>
  </si>
  <si>
    <t>2020-devmh-079</t>
  </si>
  <si>
    <t>RFQ2020-07-0199 (PR#8918-19-10-0604)</t>
  </si>
  <si>
    <t>PSA-RSSO6-2020-044</t>
  </si>
  <si>
    <t>0397</t>
  </si>
  <si>
    <t>LGU-BLU-20-07-050</t>
  </si>
  <si>
    <t>Bid No. 20-0309</t>
  </si>
  <si>
    <t>07012020-B</t>
  </si>
  <si>
    <t>5020201000-034-2020</t>
  </si>
  <si>
    <t>LTO-SU-20-044</t>
  </si>
  <si>
    <t>2020 12</t>
  </si>
  <si>
    <t>PSA-RSSO6-2020-045</t>
  </si>
  <si>
    <t>0400</t>
  </si>
  <si>
    <t>ATI2020-07-169</t>
  </si>
  <si>
    <t>PSA-RSSO6-2020-042</t>
  </si>
  <si>
    <t>JRMPII-053-2020</t>
  </si>
  <si>
    <t>NVQSD 2020-06-106</t>
  </si>
  <si>
    <t>PR NO. 2020-06-0309</t>
  </si>
  <si>
    <t>2020-219</t>
  </si>
  <si>
    <t>Bid No. 20-0312</t>
  </si>
  <si>
    <t>G-07012020-Purchase of Rice - LGU</t>
  </si>
  <si>
    <t>penrneg2020-gs10</t>
  </si>
  <si>
    <t>GS-GF-2019-0278</t>
  </si>
  <si>
    <t>00024</t>
  </si>
  <si>
    <t>RFQ2020-07-0201 (PR#1011-19-11-0708)</t>
  </si>
  <si>
    <t>PSA-RSSO6-2020-046</t>
  </si>
  <si>
    <t>BDNG-JULY-2020-01</t>
  </si>
  <si>
    <t>I-2020-03</t>
  </si>
  <si>
    <t>2020-07-0142</t>
  </si>
  <si>
    <t>RFQ-DVO. PR NO. 2005213 CAT. 32 JANITORIAL SUPPLIE</t>
  </si>
  <si>
    <t>301545-2020-07</t>
  </si>
  <si>
    <t>PSA-RSSO6-2020-047</t>
  </si>
  <si>
    <t>2020-054</t>
  </si>
  <si>
    <t>2020-169</t>
  </si>
  <si>
    <t>FRQ No.:2020-022-JULY (PR No.:2020-06-022)</t>
  </si>
  <si>
    <t>000312</t>
  </si>
  <si>
    <t>HILONGOS 2020-196</t>
  </si>
  <si>
    <t>PR 134-2020</t>
  </si>
  <si>
    <t>goods-2020-018</t>
  </si>
  <si>
    <t>055-2020</t>
  </si>
  <si>
    <t>RFQ-064-2020-SVP</t>
  </si>
  <si>
    <t>RFQ 0620-030</t>
  </si>
  <si>
    <t>RFQ2020-07-0204 (PR#8711-20-06-0257)</t>
  </si>
  <si>
    <t>38</t>
  </si>
  <si>
    <t>RFQ-2020-07_read and bill</t>
  </si>
  <si>
    <t>GDS 20-068</t>
  </si>
  <si>
    <t>56571</t>
  </si>
  <si>
    <t>PSA-RSSO6-2020-043</t>
  </si>
  <si>
    <t>PR# 20-06-0794</t>
  </si>
  <si>
    <t>20200514</t>
  </si>
  <si>
    <t>20NA0063 (Re-ad)</t>
  </si>
  <si>
    <t>Bid No. 20-0317</t>
  </si>
  <si>
    <t>20-130</t>
  </si>
  <si>
    <t>SALCEDO, LUNA, LU 2020-07-01</t>
  </si>
  <si>
    <t>RFQ2020-07-0203 (PR#300-20-01-0003)</t>
  </si>
  <si>
    <t>20-06-109</t>
  </si>
  <si>
    <t>RFQ-20-022</t>
  </si>
  <si>
    <t>2020-07-06</t>
  </si>
  <si>
    <t>20201300</t>
  </si>
  <si>
    <t>ATI2020-07-170</t>
  </si>
  <si>
    <t>PSA-RSSO6-2020-048</t>
  </si>
  <si>
    <t>Bid No. 20-0339</t>
  </si>
  <si>
    <t>RFQ-20-021</t>
  </si>
  <si>
    <t>2020-07-008</t>
  </si>
  <si>
    <t>RFQ-DVO-PR.NO. 2006212 CAT. 87 OXYGEN AND ACETYLEN</t>
  </si>
  <si>
    <t>20-07-01-23</t>
  </si>
  <si>
    <t>PCDP-2020-06-0203</t>
  </si>
  <si>
    <t>2020-01-035</t>
  </si>
  <si>
    <t>GDS 20-069</t>
  </si>
  <si>
    <t>2020-170</t>
  </si>
  <si>
    <t>RFQ-20-019</t>
  </si>
  <si>
    <t>467-20</t>
  </si>
  <si>
    <t>20BA0054</t>
  </si>
  <si>
    <t>Bid No. 20-0341</t>
  </si>
  <si>
    <t>2020-07-074</t>
  </si>
  <si>
    <t>RFQ 0620-078</t>
  </si>
  <si>
    <t>2020-06-004</t>
  </si>
  <si>
    <t>040-2020</t>
  </si>
  <si>
    <t>2020-07-</t>
  </si>
  <si>
    <t>PSA-RSSO6-2020-049</t>
  </si>
  <si>
    <t>2020-SVP-290</t>
  </si>
  <si>
    <t>RFQ-DVO-PR.NO. 2006237 CAT. 80 FUEL, OIL, LUBRICAN</t>
  </si>
  <si>
    <t>RFQ-DVO-PR.NO. 2006281 CAT. 80 FUEL, OIL, LUBRICAN</t>
  </si>
  <si>
    <t>20-06-130</t>
  </si>
  <si>
    <t>0952-20</t>
  </si>
  <si>
    <t>20200601</t>
  </si>
  <si>
    <t>RFQ-20-020</t>
  </si>
  <si>
    <t>2020-086</t>
  </si>
  <si>
    <t>RFQ2020-07-0202 (PR#9998-20-01-0028)</t>
  </si>
  <si>
    <t>Bid No. 20-0340</t>
  </si>
  <si>
    <t>SVP20-518</t>
  </si>
  <si>
    <t>RFQ-DVO-PR.NO. 2006187 CAT. 80 FUEL, OIL, LUBRICAN</t>
  </si>
  <si>
    <t>Bid No. 20-0316</t>
  </si>
  <si>
    <t>2020-036I</t>
  </si>
  <si>
    <t>PSA-RSSO6-2020-050</t>
  </si>
  <si>
    <t>GoodSSVP-53-2020</t>
  </si>
  <si>
    <t>Bid No. 20-0315</t>
  </si>
  <si>
    <t>2020-171</t>
  </si>
  <si>
    <t>BAC-2020-356</t>
  </si>
  <si>
    <t>105CO-11378-CMFDCSH-2020</t>
  </si>
  <si>
    <t>2020-07-007</t>
  </si>
  <si>
    <t>RFQ2020-07-0208 (PR#8812-20-06-0294)</t>
  </si>
  <si>
    <t>NVQSD 2020-06-109</t>
  </si>
  <si>
    <t>STC-GOOD- NO. 2020-0044</t>
  </si>
  <si>
    <t>2020-0170</t>
  </si>
  <si>
    <t>ITB 20-147</t>
  </si>
  <si>
    <t>SAZ-2020-07-001</t>
  </si>
  <si>
    <t>PSA-RSSO6-2020-051</t>
  </si>
  <si>
    <t>20-06-828</t>
  </si>
  <si>
    <t>20NA0065 (Re-ad)</t>
  </si>
  <si>
    <t>013-SVP-2020</t>
  </si>
  <si>
    <t>ISPSC-2020-G-K013</t>
  </si>
  <si>
    <t>ITB 2020-001</t>
  </si>
  <si>
    <t>HNSLG-0608-2020</t>
  </si>
  <si>
    <t>RFQ2020-07-0206 (PR#1071-20-06-0292)</t>
  </si>
  <si>
    <t>20-CRG-20-03-0965</t>
  </si>
  <si>
    <t>DELOS-2020-006-01</t>
  </si>
  <si>
    <t>239</t>
  </si>
  <si>
    <t>BAC-2020-360</t>
  </si>
  <si>
    <t>1-s-20</t>
  </si>
  <si>
    <t>WPU-2020-038</t>
  </si>
  <si>
    <t>2020.02.417</t>
  </si>
  <si>
    <t>P.R NO. 100-2020-05-0322</t>
  </si>
  <si>
    <t>238</t>
  </si>
  <si>
    <t>mos-20-0266</t>
  </si>
  <si>
    <t>Ambulong 2020-007-001</t>
  </si>
  <si>
    <t>5020301000-040-2020</t>
  </si>
  <si>
    <t>20-06-132</t>
  </si>
  <si>
    <t>Bid No. 20-0314</t>
  </si>
  <si>
    <t>100-20-03-031</t>
  </si>
  <si>
    <t>20CSKK0005</t>
  </si>
  <si>
    <t>DENR-NCR, PR NO. 2020-434</t>
  </si>
  <si>
    <t>PR 135-2020</t>
  </si>
  <si>
    <t>20CB-GSC-388 PURCHASE OF SPARE PARTS FOR VOLVO EQU</t>
  </si>
  <si>
    <t>Bid No. 20-0313</t>
  </si>
  <si>
    <t>P.R NO. 100-2020-06-0032</t>
  </si>
  <si>
    <t>2020-172</t>
  </si>
  <si>
    <t>5021306004-039-2020</t>
  </si>
  <si>
    <t>164-20-02-036</t>
  </si>
  <si>
    <t>MPQ-070120-096</t>
  </si>
  <si>
    <t>0399</t>
  </si>
  <si>
    <t>ECC-Supply 2020-07-024</t>
  </si>
  <si>
    <t>20GA0235</t>
  </si>
  <si>
    <t>0027-0010-1082-2020</t>
  </si>
  <si>
    <t>CS-01(ReAd)</t>
  </si>
  <si>
    <t>2020-07-051</t>
  </si>
  <si>
    <t>DENR-NCR, PR NO. 2020-432</t>
  </si>
  <si>
    <t>HB 2005-025</t>
  </si>
  <si>
    <t>BIN-003</t>
  </si>
  <si>
    <t>47858/47859</t>
  </si>
  <si>
    <t>CDC 49-07-2020</t>
  </si>
  <si>
    <t>RFQ 0620-045</t>
  </si>
  <si>
    <t>20CB-GSC-387 PURCHASE OF FURNITURE &amp; FIXTURES (TRU</t>
  </si>
  <si>
    <t>5020305000-041-2020</t>
  </si>
  <si>
    <t>RFQ2020-07-0200 (PR#1011-19-10-0627)</t>
  </si>
  <si>
    <t>Bid No. 20-0311</t>
  </si>
  <si>
    <t>0398</t>
  </si>
  <si>
    <t>20GA0234</t>
  </si>
  <si>
    <t>RFQ-2020-05-C1</t>
  </si>
  <si>
    <t>211477</t>
  </si>
  <si>
    <t>Bid No. 20-0342</t>
  </si>
  <si>
    <t>2020-035</t>
  </si>
  <si>
    <t>2020-Lamitan-32</t>
  </si>
  <si>
    <t>12</t>
  </si>
  <si>
    <t>211476</t>
  </si>
  <si>
    <t>Bid No. 20-0296</t>
  </si>
  <si>
    <t>37</t>
  </si>
  <si>
    <t>RFQ2020-20-07-0209 (PR#1011-20-06-0295)</t>
  </si>
  <si>
    <t>TESDA CS PO 0001</t>
  </si>
  <si>
    <t>RFQ 0620-042</t>
  </si>
  <si>
    <t>PG-RFQ-2020-17 Bagongon</t>
  </si>
  <si>
    <t>CS-02(ReAd)</t>
  </si>
  <si>
    <t>2-S-2020</t>
  </si>
  <si>
    <t>20AA0352</t>
  </si>
  <si>
    <t>BARASRIZAL2020-025</t>
  </si>
  <si>
    <t>3-S-2020</t>
  </si>
  <si>
    <t>Bid No. 20-0345</t>
  </si>
  <si>
    <t>epslingayen2020-58</t>
  </si>
  <si>
    <t>11140</t>
  </si>
  <si>
    <t>04a-G-2020 (MEO)</t>
  </si>
  <si>
    <t>2020-173</t>
  </si>
  <si>
    <t>164-20-01-08</t>
  </si>
  <si>
    <t>RMASS-LAU-042020-434</t>
  </si>
  <si>
    <t>9-06-20-AIP</t>
  </si>
  <si>
    <t>RFQ-2020-038</t>
  </si>
  <si>
    <t>Bid No. 20-0344</t>
  </si>
  <si>
    <t>2020-07-105</t>
  </si>
  <si>
    <t>5020308000-042-2020</t>
  </si>
  <si>
    <t>2020-0079</t>
  </si>
  <si>
    <t>GSD-M-20-110</t>
  </si>
  <si>
    <t>2020-037I</t>
  </si>
  <si>
    <t>2020-174</t>
  </si>
  <si>
    <t>4-S-2020</t>
  </si>
  <si>
    <t>BAC-2020-377</t>
  </si>
  <si>
    <t>RFQ No. 2020-06-046</t>
  </si>
  <si>
    <t>GHQPC-PKOC-SEMESE-1344-20</t>
  </si>
  <si>
    <t>01</t>
  </si>
  <si>
    <t>20-08-865</t>
  </si>
  <si>
    <t xml:space="preserve">RFQ-DVO-PR.NO. 2006265 CAT. 10 COMPUTER EQUIPMENT </t>
  </si>
  <si>
    <t>HILONGOS 2020-197</t>
  </si>
  <si>
    <t>PR #00711</t>
  </si>
  <si>
    <t>ITB 20-148</t>
  </si>
  <si>
    <t>Bid No. 20-0346</t>
  </si>
  <si>
    <t>RFQ 0620-040</t>
  </si>
  <si>
    <t>2020-220</t>
  </si>
  <si>
    <t>20-06-20-AIP</t>
  </si>
  <si>
    <t>2020-49</t>
  </si>
  <si>
    <t>Tinopan202001</t>
  </si>
  <si>
    <t>SVP-2020-07-01-07</t>
  </si>
  <si>
    <t>HBC20-06-305</t>
  </si>
  <si>
    <t>LRDD 2020-06-099</t>
  </si>
  <si>
    <t>240</t>
  </si>
  <si>
    <t>RFQ 2020-07-0145</t>
  </si>
  <si>
    <t>SEF-I-56-2020</t>
  </si>
  <si>
    <t>BSU Project No. 2020-219</t>
  </si>
  <si>
    <t>BARASRIZAL2020-026</t>
  </si>
  <si>
    <t>21-06-20-AIP</t>
  </si>
  <si>
    <t>5020399000-043-2020</t>
  </si>
  <si>
    <t>2020-07-052</t>
  </si>
  <si>
    <t>RMASS-LAU-042020-437</t>
  </si>
  <si>
    <t>RFQ – 2020 – 022</t>
  </si>
  <si>
    <t>004</t>
  </si>
  <si>
    <t>NIFWM-20-05-098</t>
  </si>
  <si>
    <t>VIC-TAG-SDS-01-2020</t>
  </si>
  <si>
    <t xml:space="preserve">RFQ-DVO-PR.NO. 2006253 CAT. 10 COMPUTER EQUIPMENT </t>
  </si>
  <si>
    <t>PR #00712</t>
  </si>
  <si>
    <t>CANWD2020-JULY-002</t>
  </si>
  <si>
    <t>RQ 06-211</t>
  </si>
  <si>
    <t>NIFWM-20-04-070</t>
  </si>
  <si>
    <t>20NA0075</t>
  </si>
  <si>
    <t>G-072020-00853</t>
  </si>
  <si>
    <t>20-06-0298</t>
  </si>
  <si>
    <t>20-07-122</t>
  </si>
  <si>
    <t xml:space="preserve">RFQ-DVO-PR.NO. 2006128 CAT. 10 COMPUTER EQUIPMENT </t>
  </si>
  <si>
    <t>BARASRIZAL2020-027</t>
  </si>
  <si>
    <t>RA7171-PROV2020-01</t>
  </si>
  <si>
    <t>UNA-TAG-SDS-01-2020</t>
  </si>
  <si>
    <t>MR20-06-050</t>
  </si>
  <si>
    <t>102CO-2020-249</t>
  </si>
  <si>
    <t>20-314</t>
  </si>
  <si>
    <t>sanrafael-2020-005</t>
  </si>
  <si>
    <t>RQ 06-213</t>
  </si>
  <si>
    <t>039-20</t>
  </si>
  <si>
    <t>2020181</t>
  </si>
  <si>
    <t>5021306004-044-2020</t>
  </si>
  <si>
    <t>DENR-NCR, PR NO. 2020-430</t>
  </si>
  <si>
    <t>20AC0054</t>
  </si>
  <si>
    <t>RFQ-202-2020</t>
  </si>
  <si>
    <t xml:space="preserve">RFQ-DVO-PR.NO. 2006024 CAT. 10 COMPUTER EQUIPMENT </t>
  </si>
  <si>
    <t>FOG NSPRDC 2020-06-028</t>
  </si>
  <si>
    <t>2020-231</t>
  </si>
  <si>
    <t>0008-0001-1096-2020</t>
  </si>
  <si>
    <t>RFQ 0620-055</t>
  </si>
  <si>
    <t>JUB-TAG-SDS-01-2020</t>
  </si>
  <si>
    <t>20-307</t>
  </si>
  <si>
    <t>2020-06-186</t>
  </si>
  <si>
    <t>02-2020</t>
  </si>
  <si>
    <t>CW001-2020</t>
  </si>
  <si>
    <t>PIKCOT-002020-0018</t>
  </si>
  <si>
    <t>2020180</t>
  </si>
  <si>
    <t>NIU-072-2020</t>
  </si>
  <si>
    <t>RFQ-DVO-PR.NO. 2006327 CAT. 62 VEHICLE AND ACCESSO</t>
  </si>
  <si>
    <t>Ambulong 2020-007-002</t>
  </si>
  <si>
    <t>PIKCOT-002020-019</t>
  </si>
  <si>
    <t>RFQ-2020-05-C2</t>
  </si>
  <si>
    <t>RMASS-LAU-042020-436</t>
  </si>
  <si>
    <t>RA7171-PROV2020-02</t>
  </si>
  <si>
    <t>2020-36</t>
  </si>
  <si>
    <t>2020-038I</t>
  </si>
  <si>
    <t>Bid No. 20-0347</t>
  </si>
  <si>
    <t>5021306004-045-2020</t>
  </si>
  <si>
    <t>2020-GE06-0015</t>
  </si>
  <si>
    <t>RFQ-DVO-PR.NO. 2006124 CAT. 65 VETERINARY SUPPLIES</t>
  </si>
  <si>
    <t>2020-06-05</t>
  </si>
  <si>
    <t>2020182</t>
  </si>
  <si>
    <t>infra2020013</t>
  </si>
  <si>
    <t>100-20-06-347</t>
  </si>
  <si>
    <t>7-20-01</t>
  </si>
  <si>
    <t>000338</t>
  </si>
  <si>
    <t>RFQ 2020-110</t>
  </si>
  <si>
    <t>20-09 GOODS</t>
  </si>
  <si>
    <t>RQ 06-220</t>
  </si>
  <si>
    <t>BP-070120-020</t>
  </si>
  <si>
    <t>RFQ 006-044-2020</t>
  </si>
  <si>
    <t>RQ 06-223</t>
  </si>
  <si>
    <t>Goods2020</t>
  </si>
  <si>
    <t>OGDS 07-1-20</t>
  </si>
  <si>
    <t>Bid No. 20-0348</t>
  </si>
  <si>
    <t>CW-2020-005</t>
  </si>
  <si>
    <t>GOODS-001-2020</t>
  </si>
  <si>
    <t>BMB 20-034</t>
  </si>
  <si>
    <t>RFQ No.050 -2020</t>
  </si>
  <si>
    <t>NP-SVP-314-2020</t>
  </si>
  <si>
    <t>NIFWM-20-05-102</t>
  </si>
  <si>
    <t>RQ 06-221</t>
  </si>
  <si>
    <t>RFQ 2020-094</t>
  </si>
  <si>
    <t>CDC 50-07-2020</t>
  </si>
  <si>
    <t>WPU-2020-039</t>
  </si>
  <si>
    <t>20-07-065</t>
  </si>
  <si>
    <t>2020-SVP-291</t>
  </si>
  <si>
    <t>BSU Project No. 2020-224</t>
  </si>
  <si>
    <t>VLD-LSD 2020-06-085</t>
  </si>
  <si>
    <t>Tinopan202002</t>
  </si>
  <si>
    <t>Bid No. 20-0349</t>
  </si>
  <si>
    <t>GS-2020-020</t>
  </si>
  <si>
    <t>109CO - 06 - 2020 - 107</t>
  </si>
  <si>
    <t>A2-2020-0612</t>
  </si>
  <si>
    <t>lgu-es-20-06-148</t>
  </si>
  <si>
    <t>RFQ 2020-07-0146</t>
  </si>
  <si>
    <t>Cansi117279</t>
  </si>
  <si>
    <t>CANWD2020-JULY-003</t>
  </si>
  <si>
    <t>RA7171-PROV2020-04</t>
  </si>
  <si>
    <t>2020 - 013</t>
  </si>
  <si>
    <t>NIFWM-20-04-046</t>
  </si>
  <si>
    <t>2020-06-057</t>
  </si>
  <si>
    <t>Bid No. 20-0350</t>
  </si>
  <si>
    <t>CW002-2020</t>
  </si>
  <si>
    <t>20201125</t>
  </si>
  <si>
    <t>RFQ20-002-CLMD-S</t>
  </si>
  <si>
    <t>PR. 20-06-232 (2020-07-224)</t>
  </si>
  <si>
    <t>RA7171-PROV2020-05</t>
  </si>
  <si>
    <t>20CG0200</t>
  </si>
  <si>
    <t>LGU-LEZO-2020-011</t>
  </si>
  <si>
    <t>RQ 06-181</t>
  </si>
  <si>
    <t>2020-07-075</t>
  </si>
  <si>
    <t>20GNA0002</t>
  </si>
  <si>
    <t>20AC0055</t>
  </si>
  <si>
    <t>infra2020014</t>
  </si>
  <si>
    <t>SVP-41-20</t>
  </si>
  <si>
    <t>BARASRIZAL2020-0278</t>
  </si>
  <si>
    <t>3</t>
  </si>
  <si>
    <t>Bid No. 20-0352</t>
  </si>
  <si>
    <t>RA7171-PROV2020-06</t>
  </si>
  <si>
    <t>100-20-06-348</t>
  </si>
  <si>
    <t>AMD.ICT2020-</t>
  </si>
  <si>
    <t>2020-232</t>
  </si>
  <si>
    <t>LRDD Organic 2020-06-030</t>
  </si>
  <si>
    <t>20CG0201</t>
  </si>
  <si>
    <t>39</t>
  </si>
  <si>
    <t>GHQPC-PKOC-RMOS-1345-20</t>
  </si>
  <si>
    <t>1011-20-07-010</t>
  </si>
  <si>
    <t>RFQ20-002-ASD-SV</t>
  </si>
  <si>
    <t>BAC 3-2020-07-071</t>
  </si>
  <si>
    <t>401-20-06-RFQ0729</t>
  </si>
  <si>
    <t>Bid No. 20-0351</t>
  </si>
  <si>
    <t>M2006-430</t>
  </si>
  <si>
    <t>PR 20-06-203</t>
  </si>
  <si>
    <t>20CG0203</t>
  </si>
  <si>
    <t>2020-107</t>
  </si>
  <si>
    <t>2020-0171</t>
  </si>
  <si>
    <t>Sto Tomas 2020-1</t>
  </si>
  <si>
    <t>2020-07-G01</t>
  </si>
  <si>
    <t>RSPQ NO. 2020-06-038</t>
  </si>
  <si>
    <t>0019-0003-1103-2020</t>
  </si>
  <si>
    <t>002F-2</t>
  </si>
  <si>
    <t>101-20-06-RFQ0730</t>
  </si>
  <si>
    <t>SAR-GOODS-07-004-2020</t>
  </si>
  <si>
    <t>PR No. 2020-05-091</t>
  </si>
  <si>
    <t>520200602632</t>
  </si>
  <si>
    <t>20-06-225HS</t>
  </si>
  <si>
    <t>20CG0205</t>
  </si>
  <si>
    <t>RA7171-PROV2020-07</t>
  </si>
  <si>
    <t>2020-NP-SVP-VAC-036-01</t>
  </si>
  <si>
    <t>RFQ20-004-SV-ASD</t>
  </si>
  <si>
    <t>RFQ-DVO-PR.NO. 2003475 CAT. 2 AUDIO VIDEO EQUIPMEN</t>
  </si>
  <si>
    <t>A2-2020-3039</t>
  </si>
  <si>
    <t>SAR-GOODS-06-116-2020</t>
  </si>
  <si>
    <t>Quotation No. 20-07-0397</t>
  </si>
  <si>
    <t>LRDD Organic 2020-06-031</t>
  </si>
  <si>
    <t>SUBM#2020 -07-02</t>
  </si>
  <si>
    <t>041-2020</t>
  </si>
  <si>
    <t>2020-07-013 SB</t>
  </si>
  <si>
    <t>HBC20-06-303</t>
  </si>
  <si>
    <t>4</t>
  </si>
  <si>
    <t>LGU-130-2020</t>
  </si>
  <si>
    <t>2020-06-058</t>
  </si>
  <si>
    <t>20CG0206</t>
  </si>
  <si>
    <t>SEF-I-57-2020</t>
  </si>
  <si>
    <t>1635</t>
  </si>
  <si>
    <t>ITB 2020-03 SECURITY SERVICE</t>
  </si>
  <si>
    <t>SAR-GOODS-06-117-2020</t>
  </si>
  <si>
    <t>SVP 20-07-123</t>
  </si>
  <si>
    <t>NIFWM-20-04-076</t>
  </si>
  <si>
    <t>SAR-GOODS-06-111-2020</t>
  </si>
  <si>
    <t>2020-06-08-0115</t>
  </si>
  <si>
    <t>2020-GE06-0016</t>
  </si>
  <si>
    <t>500196-0002</t>
  </si>
  <si>
    <t>HBC20-06-304</t>
  </si>
  <si>
    <t>133 - 2020</t>
  </si>
  <si>
    <t>NIFWM-20-04-081</t>
  </si>
  <si>
    <t>T4-0620-0002</t>
  </si>
  <si>
    <t>ATI2020-07-171</t>
  </si>
  <si>
    <t>20-07-110</t>
  </si>
  <si>
    <t>20CG0202</t>
  </si>
  <si>
    <t>BSU Project No. 2020-225</t>
  </si>
  <si>
    <t>BUT20-07</t>
  </si>
  <si>
    <t>20-06-904</t>
  </si>
  <si>
    <t>Agsao 2020-007-001</t>
  </si>
  <si>
    <t>2020-02-INFRA-JULY-01</t>
  </si>
  <si>
    <t>RFQ-103-2020</t>
  </si>
  <si>
    <t>20CG0204</t>
  </si>
  <si>
    <t>20-06-103-00</t>
  </si>
  <si>
    <t>RFQ-DVO-PR.NO. 2006334 CAT. CONSTRUCTION TOOLS AND</t>
  </si>
  <si>
    <t>epslingayen2020-59</t>
  </si>
  <si>
    <t>2020-055</t>
  </si>
  <si>
    <t>RFQ 20-567</t>
  </si>
  <si>
    <t>GHQPC-PKOC-RMOS-1346-20</t>
  </si>
  <si>
    <t>2020-07-02-017</t>
  </si>
  <si>
    <t>2020-112</t>
  </si>
  <si>
    <t>LRDD Organic 2020-06-028</t>
  </si>
  <si>
    <t>2020-JUNE-018</t>
  </si>
  <si>
    <t>RA7171-PROV2020-08</t>
  </si>
  <si>
    <t xml:space="preserve">RFQ-DVO-PR.NO. 2006211 CAT. 15 CONSTRUCTION TOOLS </t>
  </si>
  <si>
    <t>11098</t>
  </si>
  <si>
    <t>LRDD Organic 2020-06-027</t>
  </si>
  <si>
    <t>RFQ-2020-012</t>
  </si>
  <si>
    <t>20GGM0012</t>
  </si>
  <si>
    <t>PUR19-10-1204</t>
  </si>
  <si>
    <t>SAR-GOODS-06-115-2020</t>
  </si>
  <si>
    <t>CIT-GDS2020-015</t>
  </si>
  <si>
    <t>LRDD 2020-06-098</t>
  </si>
  <si>
    <t>SAR-GOODS-06-114-2020</t>
  </si>
  <si>
    <t>R.I.S. No.: 20-82-028</t>
  </si>
  <si>
    <t>2020-06-441</t>
  </si>
  <si>
    <t>BACNTRFQ202006004</t>
  </si>
  <si>
    <t>SAR-GOODS-06-112-2020</t>
  </si>
  <si>
    <t>LGUTMO 2020-0752</t>
  </si>
  <si>
    <t>13</t>
  </si>
  <si>
    <t>CW003-2020</t>
  </si>
  <si>
    <t>GSD-J-20-301</t>
  </si>
  <si>
    <t>0001-0151-1093-2020</t>
  </si>
  <si>
    <t>MBAA-05-20-03</t>
  </si>
  <si>
    <t>SEHSJHS-20-06-004</t>
  </si>
  <si>
    <t>RFQ-2020-003</t>
  </si>
  <si>
    <t>ATI2020-07-172</t>
  </si>
  <si>
    <t>2020-06-447</t>
  </si>
  <si>
    <t>RA7171-PROV2020-09</t>
  </si>
  <si>
    <t>WPU-2020-042</t>
  </si>
  <si>
    <t>2020-06-446</t>
  </si>
  <si>
    <t>08</t>
  </si>
  <si>
    <t>goods2020048</t>
  </si>
  <si>
    <t>G-2020-07-001</t>
  </si>
  <si>
    <t>SAR-GOODS-06-113-2020</t>
  </si>
  <si>
    <t>RNS-2020-07-01</t>
  </si>
  <si>
    <t>2020-06-436</t>
  </si>
  <si>
    <t>RA7171-PROV2020-11</t>
  </si>
  <si>
    <t>GHQPC-PKOC-RMB-1347-20</t>
  </si>
  <si>
    <t>CW004-2020</t>
  </si>
  <si>
    <t>SAR-GOODS-07-005-2020</t>
  </si>
  <si>
    <t>LGU-131-2020</t>
  </si>
  <si>
    <t>LGUTMO BAC 2020-1037</t>
  </si>
  <si>
    <t>2020-06-0034</t>
  </si>
  <si>
    <t>RFQ 2020-07-0147</t>
  </si>
  <si>
    <t>RFQ-2020-047</t>
  </si>
  <si>
    <t>QSU-BAC-G-02-2020 01D GASS</t>
  </si>
  <si>
    <t>RQ 07-001A</t>
  </si>
  <si>
    <t>DENR-NCR, PR NO. 2020-433</t>
  </si>
  <si>
    <t>SAR-GOODS-06-119-2020</t>
  </si>
  <si>
    <t>SAR-GOODS-07-006-2020</t>
  </si>
  <si>
    <t>LGUTMO BAC 2020-0889</t>
  </si>
  <si>
    <t>2020-02-INFRA-JULY-02</t>
  </si>
  <si>
    <t>RA7171-PROV2020-12</t>
  </si>
  <si>
    <t>2020-06-432</t>
  </si>
  <si>
    <t>07-20-01</t>
  </si>
  <si>
    <t>mos-20-0268</t>
  </si>
  <si>
    <t>SK-2020-07-01</t>
  </si>
  <si>
    <t>2020-72</t>
  </si>
  <si>
    <t>2020-06-1410</t>
  </si>
  <si>
    <t>N2006-398</t>
  </si>
  <si>
    <t>2020-SVP-292</t>
  </si>
  <si>
    <t>SAR-GOODS-06-118-2020</t>
  </si>
  <si>
    <t>LGU-132-2020</t>
  </si>
  <si>
    <t>2020-0011</t>
  </si>
  <si>
    <t>NCR-2007-004</t>
  </si>
  <si>
    <t>20CG0208</t>
  </si>
  <si>
    <t>2020-06-045</t>
  </si>
  <si>
    <t>2020-07-G02</t>
  </si>
  <si>
    <t>LGUTMO BAC 2020-1008</t>
  </si>
  <si>
    <t>RFQ-2020-022</t>
  </si>
  <si>
    <t>RFQ 2020-071</t>
  </si>
  <si>
    <t>2020-02-INFRA-JULY-03</t>
  </si>
  <si>
    <t>RA7171-PROV2020-10</t>
  </si>
  <si>
    <t>PBG-2020-24</t>
  </si>
  <si>
    <t>19-2020</t>
  </si>
  <si>
    <t>2020-06-435</t>
  </si>
  <si>
    <t>BAC-PGCS-003-2020</t>
  </si>
  <si>
    <t>PBG-2020-25</t>
  </si>
  <si>
    <t>0020-0201-1091D2020</t>
  </si>
  <si>
    <t>S-220-2020</t>
  </si>
  <si>
    <t>BAC-2020-369</t>
  </si>
  <si>
    <t>07-20-02</t>
  </si>
  <si>
    <t>03</t>
  </si>
  <si>
    <t>2020-06-006</t>
  </si>
  <si>
    <t>20-06-0044</t>
  </si>
  <si>
    <t>2020-G-37</t>
  </si>
  <si>
    <t>LGU-134-2020</t>
  </si>
  <si>
    <t>PBI-2020-26</t>
  </si>
  <si>
    <t>NP 099-20</t>
  </si>
  <si>
    <t>BSU Project No. 2020-226</t>
  </si>
  <si>
    <t>PR 2019-011-095</t>
  </si>
  <si>
    <t>2020-06-403</t>
  </si>
  <si>
    <t>COB BAC INFRA 2020-004-001</t>
  </si>
  <si>
    <t>LGUTMO BAC 2020-1009</t>
  </si>
  <si>
    <t>20-3-10-OS-BFO</t>
  </si>
  <si>
    <t>2020-06-060</t>
  </si>
  <si>
    <t>2020-G-38</t>
  </si>
  <si>
    <t>0020-0201-1091A2020</t>
  </si>
  <si>
    <t>109CO - 06 - 2020 - 108</t>
  </si>
  <si>
    <t>LGU-133-2020</t>
  </si>
  <si>
    <t>20CG0207</t>
  </si>
  <si>
    <t>2020-06-059</t>
  </si>
  <si>
    <t>RFQ-NP-SVP-265-2020</t>
  </si>
  <si>
    <t>20CG0209</t>
  </si>
  <si>
    <t>NP-20-0972</t>
  </si>
  <si>
    <t>PBI-2020-27</t>
  </si>
  <si>
    <t>RFQ2020-07-0211 (PR#8980-20-06-0297)</t>
  </si>
  <si>
    <t>20-011(1)</t>
  </si>
  <si>
    <t>GOODS-07-01-2020-01</t>
  </si>
  <si>
    <t>PR NO. 2020-07-060</t>
  </si>
  <si>
    <t>RFQ No.06-0437-20 COT</t>
  </si>
  <si>
    <t>20CSE011</t>
  </si>
  <si>
    <t>2020-GE06-0019</t>
  </si>
  <si>
    <t>BRGY-COGON-2020-001</t>
  </si>
  <si>
    <t>2020-3</t>
  </si>
  <si>
    <t>RFQ-NP-SVP-266-2020</t>
  </si>
  <si>
    <t>RFQ-2020-048</t>
  </si>
  <si>
    <t>Infra-Iluluan-2020</t>
  </si>
  <si>
    <t>GHQPC-OSPS-OTSM-1351-20</t>
  </si>
  <si>
    <t>GEPS-2020-0701</t>
  </si>
  <si>
    <t>RFQ 2020-07-0148</t>
  </si>
  <si>
    <t>0020-0201-1091B2020</t>
  </si>
  <si>
    <t>2020-0061</t>
  </si>
  <si>
    <t>RFQ-DVO-PR.NO. 2006280 CAT. 10.1 COMPUTER PERIPHER</t>
  </si>
  <si>
    <t>PBI-2020-28</t>
  </si>
  <si>
    <t>RFQ-NP-SVP-267-2020</t>
  </si>
  <si>
    <t>2020-06-0046</t>
  </si>
  <si>
    <t>2020-07-01-01</t>
  </si>
  <si>
    <t>PHILGEPS 2020-06-80</t>
  </si>
  <si>
    <t>11247</t>
  </si>
  <si>
    <t>DOP-0495-20</t>
  </si>
  <si>
    <t>Ibaan/2020/243</t>
  </si>
  <si>
    <t>CW005-2020</t>
  </si>
  <si>
    <t>20-036</t>
  </si>
  <si>
    <t>07-20-03</t>
  </si>
  <si>
    <t>PR2020-395</t>
  </si>
  <si>
    <t>RFQ2020-07-0212 (PR#1061-20-06-0298)</t>
  </si>
  <si>
    <t>RFQ-DVO-PR.NO. 2005171 CAT. 2 AUDIO-VIDEO EQUIPMEN</t>
  </si>
  <si>
    <t>RFQ-2020-05-C3</t>
  </si>
  <si>
    <t>032-FTC 2020</t>
  </si>
  <si>
    <t>11237</t>
  </si>
  <si>
    <t>20-2020</t>
  </si>
  <si>
    <t>PR No. 20-06-202</t>
  </si>
  <si>
    <t>mos-20-0267</t>
  </si>
  <si>
    <t>LGUTMO BAC 2020-1113</t>
  </si>
  <si>
    <t>20CSE012</t>
  </si>
  <si>
    <t>RFQ No.06-0438-20 COT</t>
  </si>
  <si>
    <t>20-037</t>
  </si>
  <si>
    <t>19mond0701A</t>
  </si>
  <si>
    <t>07-20-04</t>
  </si>
  <si>
    <t>2020-73</t>
  </si>
  <si>
    <t>2013-01M03-02</t>
  </si>
  <si>
    <t>20-07-105</t>
  </si>
  <si>
    <t>20ID0076</t>
  </si>
  <si>
    <t>127-1011-017</t>
  </si>
  <si>
    <t>RFQ-2020-005</t>
  </si>
  <si>
    <t>NP-20-0973</t>
  </si>
  <si>
    <t>2020-06-451</t>
  </si>
  <si>
    <t>20-06-206</t>
  </si>
  <si>
    <t>2020-34</t>
  </si>
  <si>
    <t>PBI-2020-30</t>
  </si>
  <si>
    <t>005</t>
  </si>
  <si>
    <t>2020-74</t>
  </si>
  <si>
    <t>2020-06-277</t>
  </si>
  <si>
    <t>RFQ-PNR-2020-002 CAT III–MED/LAB SUPPLIES &amp; REAGEN</t>
  </si>
  <si>
    <t>500196-0003</t>
  </si>
  <si>
    <t>2020-06-405</t>
  </si>
  <si>
    <t>mos-20-0269</t>
  </si>
  <si>
    <t>20-038</t>
  </si>
  <si>
    <t>pgeps#881-2020</t>
  </si>
  <si>
    <t>06-20-034</t>
  </si>
  <si>
    <t>DICT2020.07.0022</t>
  </si>
  <si>
    <t>20CG0211</t>
  </si>
  <si>
    <t>2020-75</t>
  </si>
  <si>
    <t>126-1011-017</t>
  </si>
  <si>
    <t>P-0643</t>
  </si>
  <si>
    <t>2020-07-24</t>
  </si>
  <si>
    <t>20FE0132</t>
  </si>
  <si>
    <t>PR20-06-50</t>
  </si>
  <si>
    <t>N-425-2020</t>
  </si>
  <si>
    <t>ITB 2020-22</t>
  </si>
  <si>
    <t>20-06-0307</t>
  </si>
  <si>
    <t>M2006-424</t>
  </si>
  <si>
    <t>RFQ2020-07-0215 (PR#1061-20-06-0301)</t>
  </si>
  <si>
    <t>20ID0077</t>
  </si>
  <si>
    <t>OR 1309-20</t>
  </si>
  <si>
    <t>20CG0212</t>
  </si>
  <si>
    <t>2020 - 014</t>
  </si>
  <si>
    <t>20-06-AFD0097</t>
  </si>
  <si>
    <t>20CG0213</t>
  </si>
  <si>
    <t>2020-07-012</t>
  </si>
  <si>
    <t>N-436-2020</t>
  </si>
  <si>
    <t>2020-06-0049</t>
  </si>
  <si>
    <t>20CG0210</t>
  </si>
  <si>
    <t>BSU Project No. 2020-227</t>
  </si>
  <si>
    <t>20-07-106</t>
  </si>
  <si>
    <t>DF 20 -  0701</t>
  </si>
  <si>
    <t>GHQPC-OSSSM-RMMV-1352-20</t>
  </si>
  <si>
    <t>PBI-2020-29</t>
  </si>
  <si>
    <t>PBI-2020-31</t>
  </si>
  <si>
    <t>1545</t>
  </si>
  <si>
    <t>NS 1179-20</t>
  </si>
  <si>
    <t>PGLDN 101-20-06-1186</t>
  </si>
  <si>
    <t>14</t>
  </si>
  <si>
    <t>RFQ-2020-004</t>
  </si>
  <si>
    <t>2013-01M04-03</t>
  </si>
  <si>
    <t>RFQ-NP-SVP-263-2020</t>
  </si>
  <si>
    <t>2020-64</t>
  </si>
  <si>
    <t>20-079</t>
  </si>
  <si>
    <t>2020-15</t>
  </si>
  <si>
    <t>RFQ-DVO-PR.NO. 2006267 CAT. 39 MEDICAL SUPPLIES AN</t>
  </si>
  <si>
    <t>36</t>
  </si>
  <si>
    <t>241</t>
  </si>
  <si>
    <t>042-2020</t>
  </si>
  <si>
    <t>100-06-20-01680</t>
  </si>
  <si>
    <t>CIT-GDS2020-027</t>
  </si>
  <si>
    <t>NP 097-20</t>
  </si>
  <si>
    <t>infra2020012</t>
  </si>
  <si>
    <t>LGU-129-2020</t>
  </si>
  <si>
    <t>RQ 06-222</t>
  </si>
  <si>
    <t>2010-0010</t>
  </si>
  <si>
    <t>Request for Quotation RIS# 20-93-020</t>
  </si>
  <si>
    <t>RFQ2020-07-0213 (PR#1011-20-06-0299)</t>
  </si>
  <si>
    <t>040-20</t>
  </si>
  <si>
    <t>0020-0172-0996B2020</t>
  </si>
  <si>
    <t>20-313</t>
  </si>
  <si>
    <t>GHQPC-OSPS-RMTEMV-1357-20</t>
  </si>
  <si>
    <t>2020-06-0176</t>
  </si>
  <si>
    <t>RA7171-PROV2020-03</t>
  </si>
  <si>
    <t>BAC-PGCS-060-2020</t>
  </si>
  <si>
    <t>Bid No. 20-0343</t>
  </si>
  <si>
    <t>2020 01</t>
  </si>
  <si>
    <t>PSA-RSSO6-2020-0037</t>
  </si>
  <si>
    <t>000343</t>
  </si>
  <si>
    <t>PR NO. 2020-07-059</t>
  </si>
  <si>
    <t>20061991</t>
  </si>
  <si>
    <t>SVP 20-0563</t>
  </si>
  <si>
    <t>CBSUA-SIP-GOODS-06-2020</t>
  </si>
  <si>
    <t>Bid No. 20-0295</t>
  </si>
  <si>
    <t>200701</t>
  </si>
  <si>
    <t>RMASS-LAU-042020-435</t>
  </si>
  <si>
    <t>6-20-02</t>
  </si>
  <si>
    <t>PG-Shopping- 048-2020</t>
  </si>
  <si>
    <t>GHQPC-OTSG-TRNG-1355-20</t>
  </si>
  <si>
    <t>SVP-104</t>
  </si>
  <si>
    <t>ITB-2020-18</t>
  </si>
  <si>
    <t>RFQ-DVO-PR.NO. 2006285 CAT. 32 JANITORIAL SUPPLIES</t>
  </si>
  <si>
    <t>LRDD Organic 2020-06-029</t>
  </si>
  <si>
    <t>PIKCOT-002020-020</t>
  </si>
  <si>
    <t>RFQ 2020-407A</t>
  </si>
  <si>
    <t>114-1011-017</t>
  </si>
  <si>
    <t>RSPQ NO. 2020-06-037</t>
  </si>
  <si>
    <t>CW006-2020</t>
  </si>
  <si>
    <t>2020-06-420</t>
  </si>
  <si>
    <t>20CG0214</t>
  </si>
  <si>
    <t>019-2020</t>
  </si>
  <si>
    <t>20GFO0022</t>
  </si>
  <si>
    <t>211474</t>
  </si>
  <si>
    <t>RDJES-2020-06-001</t>
  </si>
  <si>
    <t>PSA-RSSO6-2020-0035</t>
  </si>
  <si>
    <t>211473</t>
  </si>
  <si>
    <t>032-07-2020</t>
  </si>
  <si>
    <t>BS 20-02-0192-1</t>
  </si>
  <si>
    <t>RFQ 2020-07-0141</t>
  </si>
  <si>
    <t>0239-2020</t>
  </si>
  <si>
    <t>20-07-109</t>
  </si>
  <si>
    <t>DENR-NCR, PR NO. 2020-428</t>
  </si>
  <si>
    <t>E2006-422</t>
  </si>
  <si>
    <t>07-01-2020-244</t>
  </si>
  <si>
    <t>20-06-123 to 126</t>
  </si>
  <si>
    <t>20mond0701B</t>
  </si>
  <si>
    <t>BAC RESOLUTION NO.07.22 SERIES OF 2020</t>
  </si>
  <si>
    <t>2020176</t>
  </si>
  <si>
    <t>20-06-205</t>
  </si>
  <si>
    <t>20CG0216</t>
  </si>
  <si>
    <t>RFQ-DVO-PR.NO. 2006249 CAT. 32 JANITORIAL SUPPLIES</t>
  </si>
  <si>
    <t>WPU-2020-043</t>
  </si>
  <si>
    <t>20FE0133</t>
  </si>
  <si>
    <t>2020-G-39</t>
  </si>
  <si>
    <t>OR 0438-20</t>
  </si>
  <si>
    <t>20CG0215</t>
  </si>
  <si>
    <t>211468</t>
  </si>
  <si>
    <t>OPOL 2020-060</t>
  </si>
  <si>
    <t>211467</t>
  </si>
  <si>
    <t>2020-06-056</t>
  </si>
  <si>
    <t>211465</t>
  </si>
  <si>
    <t>211461</t>
  </si>
  <si>
    <t>211469</t>
  </si>
  <si>
    <t>S2020-06-094</t>
  </si>
  <si>
    <t>AD-2020-07-0309</t>
  </si>
  <si>
    <t>LTO-SU-20-045</t>
  </si>
  <si>
    <t>20-06-272</t>
  </si>
  <si>
    <t>OSSM-SEMEB-1353-20</t>
  </si>
  <si>
    <t>RFQ#20-07-107</t>
  </si>
  <si>
    <t>2020-063</t>
  </si>
  <si>
    <t>2020-0172</t>
  </si>
  <si>
    <t>Goods2020-028</t>
  </si>
  <si>
    <t>2020-02-INFRA-JULY-04</t>
  </si>
  <si>
    <t>20FE0134</t>
  </si>
  <si>
    <t>RSPQ NO. 2020-06-036</t>
  </si>
  <si>
    <t>WPU-2020-044</t>
  </si>
  <si>
    <t>5794-clsu-2020</t>
  </si>
  <si>
    <t>2020-325</t>
  </si>
  <si>
    <t>2020-118</t>
  </si>
  <si>
    <t>ASF 2020-06-039</t>
  </si>
  <si>
    <t>2020-06-054</t>
  </si>
  <si>
    <t>DARIFU-2020-07-35</t>
  </si>
  <si>
    <t>2020-06-09</t>
  </si>
  <si>
    <t>072120-01</t>
  </si>
  <si>
    <t>UBC-027-2020</t>
  </si>
  <si>
    <t>GA 2020-06-077</t>
  </si>
  <si>
    <t>2020-06-052</t>
  </si>
  <si>
    <t>2020 11</t>
  </si>
  <si>
    <t>RFQ-20</t>
  </si>
  <si>
    <t>NP-20-0981</t>
  </si>
  <si>
    <t>2020-07-065</t>
  </si>
  <si>
    <t>5795-clsu-2020</t>
  </si>
  <si>
    <t>RFQ 006-043-2020</t>
  </si>
  <si>
    <t>DOP-0102-20</t>
  </si>
  <si>
    <t>PR No. 14167 - 062320</t>
  </si>
  <si>
    <t>06-20-046</t>
  </si>
  <si>
    <t>07-01-2020-246</t>
  </si>
  <si>
    <t>2020-064</t>
  </si>
  <si>
    <t>211466</t>
  </si>
  <si>
    <t>GOODS2020-049</t>
  </si>
  <si>
    <t>DOSTRO1-CS2020-01</t>
  </si>
  <si>
    <t>100-2020-06-0093</t>
  </si>
  <si>
    <t>100(01)20-06-1218</t>
  </si>
  <si>
    <t>MHO-RFQ-001</t>
  </si>
  <si>
    <t>2020-PR20-772-202</t>
  </si>
  <si>
    <t>20-07-209</t>
  </si>
  <si>
    <t>OTORHI 1242-20</t>
  </si>
  <si>
    <t>2020-06-1296</t>
  </si>
  <si>
    <t>GEN-5851-20</t>
  </si>
  <si>
    <t>M2006-436</t>
  </si>
  <si>
    <t>OTORHI 1243-20</t>
  </si>
  <si>
    <t>2020-008-G</t>
  </si>
  <si>
    <t>101-2020-06-306</t>
  </si>
  <si>
    <t>1544</t>
  </si>
  <si>
    <t>020-2020</t>
  </si>
  <si>
    <t>2020-06-388</t>
  </si>
  <si>
    <t>20-07-112</t>
  </si>
  <si>
    <t>034-07-2020</t>
  </si>
  <si>
    <t>pr 2020-07-042</t>
  </si>
  <si>
    <t>20FE0135</t>
  </si>
  <si>
    <t>07-01-2020-247</t>
  </si>
  <si>
    <t>DA 8 SVP Goods 2020-07-0085 (Corn 20-07-01-0205)</t>
  </si>
  <si>
    <t>RFQ-2020-02</t>
  </si>
  <si>
    <t>OTORHI 1216-20</t>
  </si>
  <si>
    <t>2020-0173</t>
  </si>
  <si>
    <t>20-07-113</t>
  </si>
  <si>
    <t>ITB - KOR: 20-07-0688 CEO</t>
  </si>
  <si>
    <t>5796-clsu-2020</t>
  </si>
  <si>
    <t>20NI0081</t>
  </si>
  <si>
    <t>2020-02-INFRA-JULY-05</t>
  </si>
  <si>
    <t>20ED0135</t>
  </si>
  <si>
    <t xml:space="preserve">2020-06-1053 BARCODE LABEL AND RIBBON; COMPATIBLE </t>
  </si>
  <si>
    <t>N-389-2020</t>
  </si>
  <si>
    <t>GHQPC-PGMC-SPOF-1358-20</t>
  </si>
  <si>
    <t>RFQ-DVO-PR.NO. 2006231 CAT. 29 FURNITURE AND FIXTU</t>
  </si>
  <si>
    <t>2020-065</t>
  </si>
  <si>
    <t>GA 2020-06-079</t>
  </si>
  <si>
    <t>RFQ-2020-G-40</t>
  </si>
  <si>
    <t>G-2020-07-020</t>
  </si>
  <si>
    <t>043-2020</t>
  </si>
  <si>
    <t>GA 2020-06-078</t>
  </si>
  <si>
    <t>2020-119</t>
  </si>
  <si>
    <t>20FE0136</t>
  </si>
  <si>
    <t>033-07-2020</t>
  </si>
  <si>
    <t>BANNA-RFQ-75(WATER SYSTEM0-2020</t>
  </si>
  <si>
    <t>2020-PLA-066</t>
  </si>
  <si>
    <t>P.R. No. 202006057</t>
  </si>
  <si>
    <t>20-06-099</t>
  </si>
  <si>
    <t>07-01-2020-245</t>
  </si>
  <si>
    <t>1011-20-07-02</t>
  </si>
  <si>
    <t>20-07-111</t>
  </si>
  <si>
    <t>2020-17</t>
  </si>
  <si>
    <t>100(01)20-01-0295</t>
  </si>
  <si>
    <t>pr 2020-07-043</t>
  </si>
  <si>
    <t>P009-2020</t>
  </si>
  <si>
    <t>101-2020-06-305</t>
  </si>
  <si>
    <t>5797-clsu-2020</t>
  </si>
  <si>
    <t>AHWD 2020-02-077</t>
  </si>
  <si>
    <t>PRSD-2020-06-0306</t>
  </si>
  <si>
    <t>B2020-083-A</t>
  </si>
  <si>
    <t>RFQ 20-457A</t>
  </si>
  <si>
    <t>064</t>
  </si>
  <si>
    <t>GA 2020-06-080</t>
  </si>
  <si>
    <t>RFQ No.30.July 1,2020.GSO.LGU-Lugait</t>
  </si>
  <si>
    <t>2020-06-383</t>
  </si>
  <si>
    <t>GA 2020-06-082</t>
  </si>
  <si>
    <t>RFQ 074</t>
  </si>
  <si>
    <t>Bantonan-Infra-01072020</t>
  </si>
  <si>
    <t>NP 20-0755</t>
  </si>
  <si>
    <t>2020-02-INFRA-JULY-06</t>
  </si>
  <si>
    <t>S-211-2020</t>
  </si>
  <si>
    <t>DOSTRO1-CS2020-02</t>
  </si>
  <si>
    <t>037-2-2020</t>
  </si>
  <si>
    <t>RFQ-DVO-PR.NO. 2006260 CAT. 61 TIRE, BATTERIES AND</t>
  </si>
  <si>
    <t>RFQ-DVO-PR.NO. 2006182 CAT. 61 TIRE, BATTERIES AND</t>
  </si>
  <si>
    <t>2020-025</t>
  </si>
  <si>
    <t>1011-20-07-03</t>
  </si>
  <si>
    <t>20NI0082</t>
  </si>
  <si>
    <t>GHQPC-PGMC-RMICTE-1359-20</t>
  </si>
  <si>
    <t>2020-PLA-067</t>
  </si>
  <si>
    <t>20-07-114</t>
  </si>
  <si>
    <t>20mond0701C</t>
  </si>
  <si>
    <t>CYN-BAC-SVP-2020-121</t>
  </si>
  <si>
    <t>Mkna-GSO-20-297</t>
  </si>
  <si>
    <t>SW-1008-2020-0080</t>
  </si>
  <si>
    <t>5798-clsu-2020</t>
  </si>
  <si>
    <t>RFQ 032-2020</t>
  </si>
  <si>
    <t>Miti-Infra-07012020</t>
  </si>
  <si>
    <t>DOSTRO1-CS2020-04</t>
  </si>
  <si>
    <t>N-435-2020</t>
  </si>
  <si>
    <t>2020-02-INFRA-JULY-07</t>
  </si>
  <si>
    <t>SV-2020-043</t>
  </si>
  <si>
    <t>ODA-OS-2020-07-0310</t>
  </si>
  <si>
    <t>mos-20-0270</t>
  </si>
  <si>
    <t>DOSTRO1-CS2020-03</t>
  </si>
  <si>
    <t>RFP-2020OB001</t>
  </si>
  <si>
    <t>SW-1008-2020-0081</t>
  </si>
  <si>
    <t>100(01)20-03-0739</t>
  </si>
  <si>
    <t>20NI0083</t>
  </si>
  <si>
    <t>GOODS2020-050</t>
  </si>
  <si>
    <t>20GAD006</t>
  </si>
  <si>
    <t>ITB-KOR: 20-07-0689 CEO</t>
  </si>
  <si>
    <t>5799-clsu-2020</t>
  </si>
  <si>
    <t>SN No 2020-001</t>
  </si>
  <si>
    <t>ITB NO. OCD 2020-08 (REPOSTING)</t>
  </si>
  <si>
    <t>20-07-115</t>
  </si>
  <si>
    <t>2020-06-427</t>
  </si>
  <si>
    <t>2020-03-366</t>
  </si>
  <si>
    <t>20AC0102</t>
  </si>
  <si>
    <t>mos-20-0271</t>
  </si>
  <si>
    <t>07012001</t>
  </si>
  <si>
    <t>LGU LAUREL 20-07-001</t>
  </si>
  <si>
    <t>POW - 8751 - 2020 - BKL - 04</t>
  </si>
  <si>
    <t>HHSBN-NEG-08-20</t>
  </si>
  <si>
    <t>2020-04-422</t>
  </si>
  <si>
    <t>PSA-RSSO6-2020-052</t>
  </si>
  <si>
    <t>LGU-Camalig-Goods-20</t>
  </si>
  <si>
    <t>NS 1235-20</t>
  </si>
  <si>
    <t>RFQ No.31.July 1,2020.GSO.LGU-Lugait</t>
  </si>
  <si>
    <t>085-2020</t>
  </si>
  <si>
    <t>2020-07-072</t>
  </si>
  <si>
    <t>306-2020</t>
  </si>
  <si>
    <t>MGL-INFR-2020-01</t>
  </si>
  <si>
    <t>100(01)20-02-0619</t>
  </si>
  <si>
    <t>GWD No. 2020-07-01</t>
  </si>
  <si>
    <t>BAYLE0720AMP0371</t>
  </si>
  <si>
    <t>UPR No 6Mech Bn-2020-0003</t>
  </si>
  <si>
    <t>REI-2020OB007</t>
  </si>
  <si>
    <t>100-20-07-375</t>
  </si>
  <si>
    <t>BAYLE0720AMP0372</t>
  </si>
  <si>
    <t>20NI0084</t>
  </si>
  <si>
    <t>2020-233</t>
  </si>
  <si>
    <t>ITB-KOR: 20-07-0670 CMO-BDP</t>
  </si>
  <si>
    <t>PR# 20-0777</t>
  </si>
  <si>
    <t>PSA-RSSO6-2020-053</t>
  </si>
  <si>
    <t>07-01-2020-248</t>
  </si>
  <si>
    <t>2020-07-088</t>
  </si>
  <si>
    <t>ETSD-2020-07-0312</t>
  </si>
  <si>
    <t>2020-02-INFRA-JULY-08</t>
  </si>
  <si>
    <t>20-01</t>
  </si>
  <si>
    <t>2013-01M02-04</t>
  </si>
  <si>
    <t>LGU-100-2020-06-451</t>
  </si>
  <si>
    <t>2020 - 023</t>
  </si>
  <si>
    <t>SV-2020-044</t>
  </si>
  <si>
    <t>GoodSSVP-54-2020</t>
  </si>
  <si>
    <t>GEN-5862-20</t>
  </si>
  <si>
    <t>BAYLE0720AMP0370</t>
  </si>
  <si>
    <t>RFQ-DVO-PR.NO. 2003409 CAT. 61 TIRE, BATTERIES AND</t>
  </si>
  <si>
    <t>RFQ-DVO-PR.NO. 2006234 CAT. 49 PRINTED FORMS AND P</t>
  </si>
  <si>
    <t>100-20-06-172</t>
  </si>
  <si>
    <t>2013-01M06-03</t>
  </si>
  <si>
    <t>POW - 8751 - 2020 - LBS - 01</t>
  </si>
  <si>
    <t>PSA-RSSO6-2020-054</t>
  </si>
  <si>
    <t>RFQ-DVO-PR.NO. 2006216 CAT. 41.1 ELECTRONIC CONSUM</t>
  </si>
  <si>
    <t>Ibaan/2020/244</t>
  </si>
  <si>
    <t>BSPMD PR No. 1000031744</t>
  </si>
  <si>
    <t>5800-clsu-2020</t>
  </si>
  <si>
    <t>BAYLE0720AMP0373</t>
  </si>
  <si>
    <t>100(01)20-05-1119</t>
  </si>
  <si>
    <t>100(01)20-05-1093</t>
  </si>
  <si>
    <t>2020-07-073</t>
  </si>
  <si>
    <t>NP-DAM-2007-054</t>
  </si>
  <si>
    <t>POW - 8751 - 2020 - PCO - 02</t>
  </si>
  <si>
    <t>307-2020</t>
  </si>
  <si>
    <t>MCIAA 07-532-20</t>
  </si>
  <si>
    <t>20-07-003</t>
  </si>
  <si>
    <t>2020-044</t>
  </si>
  <si>
    <t>2020-06-1042 DISPOSABLE GOWN AND DRAPES LAPAROTOMY</t>
  </si>
  <si>
    <t>UPLB-RES-028-07-20 ENG'G AND LAB TESTING EQUIP. FO</t>
  </si>
  <si>
    <t>NS 1238-20</t>
  </si>
  <si>
    <t>PSA-RSSO6-2020-055</t>
  </si>
  <si>
    <t>RFQ-DVO-PR.NO. 2006258 CAT. 56 SPARE PARTS FOR LIG</t>
  </si>
  <si>
    <t>2020-07-0393</t>
  </si>
  <si>
    <t>RFQ-SHP-GDS2020-07-01</t>
  </si>
  <si>
    <t>20-06-0279</t>
  </si>
  <si>
    <t>20-07-464</t>
  </si>
  <si>
    <t>2013-01M02-03</t>
  </si>
  <si>
    <t>Ibaan/2020/245</t>
  </si>
  <si>
    <t>BAYLE0720AMP0368</t>
  </si>
  <si>
    <t>202001</t>
  </si>
  <si>
    <t>20061321</t>
  </si>
  <si>
    <t>RFQ - PR No. 2020-06-0125 dated 6-23-20</t>
  </si>
  <si>
    <t>NIAREG9-07-2020-COB-083 (SVP)</t>
  </si>
  <si>
    <t>2010-019</t>
  </si>
  <si>
    <t>20061141</t>
  </si>
  <si>
    <t>0240-2020</t>
  </si>
  <si>
    <t>SH 037-12</t>
  </si>
  <si>
    <t>AMP-RFQ-2020-095</t>
  </si>
  <si>
    <t>2012-01C02-02</t>
  </si>
  <si>
    <t>2020-154</t>
  </si>
  <si>
    <t>PSA-RSSO6-2020-056</t>
  </si>
  <si>
    <t>5801-clsu-2020</t>
  </si>
  <si>
    <t>PG 20-06-092</t>
  </si>
  <si>
    <t>20-0009</t>
  </si>
  <si>
    <t>AMP-RFQ-2020-096</t>
  </si>
  <si>
    <t>MINSAT-20-96684 (ECA)</t>
  </si>
  <si>
    <t>MCIAA 07-531-20</t>
  </si>
  <si>
    <t>PR # 20-06-048</t>
  </si>
  <si>
    <t>INFRA-2020-227</t>
  </si>
  <si>
    <t>20AC0056</t>
  </si>
  <si>
    <t>AMP-RFQ-2020-098</t>
  </si>
  <si>
    <t>20GI0100</t>
  </si>
  <si>
    <t>PR NO. 669</t>
  </si>
  <si>
    <t>G-2020-06-0314</t>
  </si>
  <si>
    <t>ITB-KOR: 20-07-0671 CSU</t>
  </si>
  <si>
    <t>2020-06-1019 HEAD CAPS DISPOSABLE GREEN GOOD FIT G</t>
  </si>
  <si>
    <t>2020-SVP-293</t>
  </si>
  <si>
    <t>PGL-20 S-01-07</t>
  </si>
  <si>
    <t>NP NO:2020-07-02</t>
  </si>
  <si>
    <t>TOWEM-1142-2020-0006 Vehicle Parts &amp; Accessories</t>
  </si>
  <si>
    <t>2020-06-0036</t>
  </si>
  <si>
    <t>2003-01M08-01</t>
  </si>
  <si>
    <t>PSA-RSSO6-2020-057</t>
  </si>
  <si>
    <t>2020-05-447</t>
  </si>
  <si>
    <t>07012002</t>
  </si>
  <si>
    <t>NP-PRS-2007-055</t>
  </si>
  <si>
    <t>20020951</t>
  </si>
  <si>
    <t>IB - 2020-21 - A</t>
  </si>
  <si>
    <t>LGU-135-2020</t>
  </si>
  <si>
    <t>20CSM004-Feasibility Study of Maligang-Tudok-T'bol</t>
  </si>
  <si>
    <t>NP NO:2020-07-01</t>
  </si>
  <si>
    <t>ITB 20-002-A</t>
  </si>
  <si>
    <t>BARASRIZAL2020-029</t>
  </si>
  <si>
    <t>PR NO. 643</t>
  </si>
  <si>
    <t>SVP 20-0094-A</t>
  </si>
  <si>
    <t>ETSD-2020-07-0311</t>
  </si>
  <si>
    <t>SKJ070120</t>
  </si>
  <si>
    <t>25</t>
  </si>
  <si>
    <t>LGU Nasipit-2020-063</t>
  </si>
  <si>
    <t>2002-01M08-01</t>
  </si>
  <si>
    <t>ITB-KOR: 20-07-0672 CPDO</t>
  </si>
  <si>
    <t>SVP 20-0150-A</t>
  </si>
  <si>
    <t>NP NO:2020-07-03</t>
  </si>
  <si>
    <t>POW - 8751 - 2020 - PBN - 04</t>
  </si>
  <si>
    <t>RFQ-GOODS-ICT-20-032</t>
  </si>
  <si>
    <t>BUGASS-2020-055</t>
  </si>
  <si>
    <t>2020-07-279</t>
  </si>
  <si>
    <t>NP 100-20</t>
  </si>
  <si>
    <t>PSA-RSSO6-2020-058</t>
  </si>
  <si>
    <t>PSA-RSSO6-2020-060</t>
  </si>
  <si>
    <t>SV-2020-045</t>
  </si>
  <si>
    <t>BID20-019</t>
  </si>
  <si>
    <t>PG-TFB-20-002</t>
  </si>
  <si>
    <t>PSA-RSSO6-2020-059</t>
  </si>
  <si>
    <t>RFQ No.32.July 1,2020.GSO.LGU-Lugait</t>
  </si>
  <si>
    <t>20PD0093</t>
  </si>
  <si>
    <t>2020-07-0037</t>
  </si>
  <si>
    <t>SVP 20-0294</t>
  </si>
  <si>
    <t>INFRA-2020-008</t>
  </si>
  <si>
    <t>2020-07-01 LGU</t>
  </si>
  <si>
    <t>20CSM005-Sub-Surface Exploration of the proposed f</t>
  </si>
  <si>
    <t>111.2020</t>
  </si>
  <si>
    <t>016-1016-020</t>
  </si>
  <si>
    <t>TESDA-MPLTP 2020 07-016</t>
  </si>
  <si>
    <t>TOWEM-1142-2020-0007 Vehicle Parts &amp; Accessories</t>
  </si>
  <si>
    <t>SAZ-2020-07-002</t>
  </si>
  <si>
    <t>INFRA-2020-228</t>
  </si>
  <si>
    <t>SKJ070120-2</t>
  </si>
  <si>
    <t>PR NO. 680</t>
  </si>
  <si>
    <t>IDRES 2020-007-003</t>
  </si>
  <si>
    <t>023-2020</t>
  </si>
  <si>
    <t>HS-759-071-2020</t>
  </si>
  <si>
    <t>SVP 20-0296</t>
  </si>
  <si>
    <t>SVP-CAT20-54</t>
  </si>
  <si>
    <t>ADM-20-07-0502/20-07-0501/20-07-0504</t>
  </si>
  <si>
    <t>SVP 20-0295</t>
  </si>
  <si>
    <t>SVP 20-0297</t>
  </si>
  <si>
    <t>ITB-KOR: 20-07-0676 CMO</t>
  </si>
  <si>
    <t>PSA-RSSO6-2020-061</t>
  </si>
  <si>
    <t>ITB-KOR: 20-07-0675 CMO</t>
  </si>
  <si>
    <t>RFQ-GOODS-ICT-20-031</t>
  </si>
  <si>
    <t>SVP 20-0299</t>
  </si>
  <si>
    <t>20GGF0020</t>
  </si>
  <si>
    <t>2019-12-1343</t>
  </si>
  <si>
    <t>Mkna-GSO-20-298</t>
  </si>
  <si>
    <t>SVP 20-0298</t>
  </si>
  <si>
    <t>PDO-TRNG-1362-20</t>
  </si>
  <si>
    <t>NP 101-20</t>
  </si>
  <si>
    <t>SVP 20-0302</t>
  </si>
  <si>
    <t>HS-760-072-2020</t>
  </si>
  <si>
    <t>47823C</t>
  </si>
  <si>
    <t>20PD0098</t>
  </si>
  <si>
    <t>PR No. 1071 -20BAC</t>
  </si>
  <si>
    <t>20AB0131</t>
  </si>
  <si>
    <t>PR NO. 2020-06-61</t>
  </si>
  <si>
    <t>20GM0008</t>
  </si>
  <si>
    <t>20CSM006</t>
  </si>
  <si>
    <t>SVP 20-0301</t>
  </si>
  <si>
    <t>DARPO-CAG-2020-04</t>
  </si>
  <si>
    <t>20AB0130</t>
  </si>
  <si>
    <t>2020-058</t>
  </si>
  <si>
    <t>2020-AMP-064</t>
  </si>
  <si>
    <t>Mkna-GSO-20-299</t>
  </si>
  <si>
    <t>2020-008MTN</t>
  </si>
  <si>
    <t>2FAB-2020-004 Construction Materials &amp; Supplies</t>
  </si>
  <si>
    <t>20GM0009</t>
  </si>
  <si>
    <t>IB_CivilWorks_2020-07-035</t>
  </si>
  <si>
    <t>20AB0133</t>
  </si>
  <si>
    <t>SVP 20-0303</t>
  </si>
  <si>
    <t>948932</t>
  </si>
  <si>
    <t>20PD0104</t>
  </si>
  <si>
    <t>SVP2020-166</t>
  </si>
  <si>
    <t>CRPIP-2020-06-077</t>
  </si>
  <si>
    <t>20AB0132</t>
  </si>
  <si>
    <t>R6-D2-2020-07-103</t>
  </si>
  <si>
    <t>PDO-REPE-1363-20</t>
  </si>
  <si>
    <t>Brgy 2020 - 001</t>
  </si>
  <si>
    <t>BID20-020</t>
  </si>
  <si>
    <t>PSA-RSSO6-2020-064</t>
  </si>
  <si>
    <t>Brgy 2020 - 003</t>
  </si>
  <si>
    <t>PB NO:2020-07-26</t>
  </si>
  <si>
    <t>PSA-RSSO6-2020-063</t>
  </si>
  <si>
    <t>RFQ-GSS-JOB-20-028</t>
  </si>
  <si>
    <t>BID20-021</t>
  </si>
  <si>
    <t>2020-06-057RFQ</t>
  </si>
  <si>
    <t>BAC-07-1056</t>
  </si>
  <si>
    <t>PSA-RSSO6-2020-062</t>
  </si>
  <si>
    <t>JHV-20-07-0503</t>
  </si>
  <si>
    <t>2020-07-0018</t>
  </si>
  <si>
    <t>Mkna-GSO-20-300</t>
  </si>
  <si>
    <t>PR No. 0635 -20BAC</t>
  </si>
  <si>
    <t>SVP20-521</t>
  </si>
  <si>
    <t>2020-07-0017</t>
  </si>
  <si>
    <t>UPLB-RES-032-07-20 VEHICLES FOR CEAT - AMTEC</t>
  </si>
  <si>
    <t>R6-D2-2020-07-104</t>
  </si>
  <si>
    <t>20GM0010</t>
  </si>
  <si>
    <t>PSA-RSSO6-2020-066</t>
  </si>
  <si>
    <t>SVP 20-0306</t>
  </si>
  <si>
    <t>RFQ NO. SVP-025-2020</t>
  </si>
  <si>
    <t>MUNPINCE-2006-114</t>
  </si>
  <si>
    <t>BAC GS No. 2020-0254 dated 01 June 2020</t>
  </si>
  <si>
    <t>PSA-RSSO6-2020-065</t>
  </si>
  <si>
    <t>PSA-RSSO6-2020-067</t>
  </si>
  <si>
    <t>PR No. 1186 -20BAC</t>
  </si>
  <si>
    <t>2020-06-059RFQ</t>
  </si>
  <si>
    <t>PBO-2020-0019, VDH-2020-0155, VDH-2020-0158</t>
  </si>
  <si>
    <t>MUNPINCE-2006-116</t>
  </si>
  <si>
    <t>2020-06-060RFQ</t>
  </si>
  <si>
    <t>PR 2020-451</t>
  </si>
  <si>
    <t>BID20-022</t>
  </si>
  <si>
    <t>2020-07-0010</t>
  </si>
  <si>
    <t>MUNPINCE-2006-115</t>
  </si>
  <si>
    <t>20-07-0378</t>
  </si>
  <si>
    <t>RFQ-2020-03</t>
  </si>
  <si>
    <t>BAC-07-1055</t>
  </si>
  <si>
    <t>DENR-MRQ-2020-001-SVP</t>
  </si>
  <si>
    <t>SVP20-520</t>
  </si>
  <si>
    <t>PB20-06-035COR</t>
  </si>
  <si>
    <t>SVP 2020-378</t>
  </si>
  <si>
    <t>OPA-2020-0083</t>
  </si>
  <si>
    <t>LGU-TAN-GOODS-2020-072</t>
  </si>
  <si>
    <t>2LSSM2020A-302</t>
  </si>
  <si>
    <t>STA. CRUZ INFRA_07012020</t>
  </si>
  <si>
    <t>PHilMech RCEF 20-06-03</t>
  </si>
  <si>
    <t>SVP 2020-377</t>
  </si>
  <si>
    <t>PR 2020-07-0241</t>
  </si>
  <si>
    <t>19090292-Bilar</t>
  </si>
  <si>
    <t>100-20-05-327</t>
  </si>
  <si>
    <t>Mkna-GSO-20-301</t>
  </si>
  <si>
    <t>PR No. 0858 -20BAC</t>
  </si>
  <si>
    <t>PHilMech RCEF 20-06-04</t>
  </si>
  <si>
    <t>DENR-MRQ-2020-006-SHP</t>
  </si>
  <si>
    <t>04213531</t>
  </si>
  <si>
    <t>2020.07.019</t>
  </si>
  <si>
    <t>DENR-PENRO SDN 07-1-2020</t>
  </si>
  <si>
    <t>PR No 0857 -20 bac</t>
  </si>
  <si>
    <t>VGOV-2020-0036</t>
  </si>
  <si>
    <t>2020-07-0042</t>
  </si>
  <si>
    <t>2LSSM2020A-307</t>
  </si>
  <si>
    <t>BAC-07-1057</t>
  </si>
  <si>
    <t>OPA-2020-0166, 0281, 0282, 0167</t>
  </si>
  <si>
    <t>2LSSM2020A-306</t>
  </si>
  <si>
    <t>2LSSM2020A-305</t>
  </si>
  <si>
    <t>RFQ-GS-20200615-01</t>
  </si>
  <si>
    <t>2LSSM2020A-303</t>
  </si>
  <si>
    <t>NP 102-20</t>
  </si>
  <si>
    <t>Mkna-GSO-20-302</t>
  </si>
  <si>
    <t>12345678</t>
  </si>
  <si>
    <t>SP-2020-0016</t>
  </si>
  <si>
    <t>VGOV-2020-0035</t>
  </si>
  <si>
    <t>PEMO-2020-2104</t>
  </si>
  <si>
    <t>2020-024</t>
  </si>
  <si>
    <t>20GF0105</t>
  </si>
  <si>
    <t>TESDA PR-0214</t>
  </si>
  <si>
    <t>DepED-RO6-D1-SGOD(DRRM)-049-2020</t>
  </si>
  <si>
    <t>20-06-304</t>
  </si>
  <si>
    <t>2007185</t>
  </si>
  <si>
    <t>2020-010MTN</t>
  </si>
  <si>
    <t>RFQ-GS-20200610-01</t>
  </si>
  <si>
    <t>059-RFQ-CSCROVI COVID Supplies</t>
  </si>
  <si>
    <t>COB BAC INFRA 2020-004-005</t>
  </si>
  <si>
    <t>PEMO-2020-2107</t>
  </si>
  <si>
    <t>SVP-Dietary Supplies (Housekeeping &amp; Miscellaneous</t>
  </si>
  <si>
    <t>VET-2020-0333</t>
  </si>
  <si>
    <t>COB BAC INFRA 2020-004-004</t>
  </si>
  <si>
    <t>PEMO-2020-2031</t>
  </si>
  <si>
    <t>COB BAC INFRA 2020-004-003</t>
  </si>
  <si>
    <t>VET-2020-0334</t>
  </si>
  <si>
    <t>COB BAC INFRA 2020-004-002</t>
  </si>
  <si>
    <t>LGU-TAN-GOODS-2020-074</t>
  </si>
  <si>
    <t>2LSSM2020A-304</t>
  </si>
  <si>
    <t>COB BAC INFRA 2020-004-008</t>
  </si>
  <si>
    <t>Brgy 2020 - 004</t>
  </si>
  <si>
    <t>TESDA PR-0218</t>
  </si>
  <si>
    <t>20GG0046-G</t>
  </si>
  <si>
    <t>RFQ-GS-20200622-02</t>
  </si>
  <si>
    <t>DepED-RO6-D1-OSDS(ACCOUNTING)-048-2020</t>
  </si>
  <si>
    <t>2LSSM2020A-308</t>
  </si>
  <si>
    <t>VET-2020-0122</t>
  </si>
  <si>
    <t>COB BAC INFRA 2020-004-006</t>
  </si>
  <si>
    <t>TESDA PR-0219</t>
  </si>
  <si>
    <t>COB BAC INFRA 2020-004-007</t>
  </si>
  <si>
    <t>202001009</t>
  </si>
  <si>
    <t>2LSSM2020A-313</t>
  </si>
  <si>
    <t>LGU-TAN-GOODS-2020-073</t>
  </si>
  <si>
    <t>2020 Malibatuann</t>
  </si>
  <si>
    <t>NOTD-2020-0157</t>
  </si>
  <si>
    <t>20KF0123</t>
  </si>
  <si>
    <t>20GG0047-G</t>
  </si>
  <si>
    <t>C-076-2020</t>
  </si>
  <si>
    <t>20KF0122</t>
  </si>
  <si>
    <t>2LSSM2020A-311</t>
  </si>
  <si>
    <t>DSBH-2020-0149</t>
  </si>
  <si>
    <t>ORG-2020-0015</t>
  </si>
  <si>
    <t>202001008</t>
  </si>
  <si>
    <t>NOTD-2020-0156</t>
  </si>
  <si>
    <t>2020 Poblacion 17</t>
  </si>
  <si>
    <t>2020 Malibatuan</t>
  </si>
  <si>
    <t>101-2020-06-174-043</t>
  </si>
  <si>
    <t>045- LGU-LAOANG-2020</t>
  </si>
  <si>
    <t>2020 Poblacion 15</t>
  </si>
  <si>
    <t>2LSSM2020A-312</t>
  </si>
  <si>
    <t>2020 Poblacion 16</t>
  </si>
  <si>
    <t>RFQ-GS-20200206-06(2)</t>
  </si>
  <si>
    <t>2020 Poblacion 18</t>
  </si>
  <si>
    <t>ris 20-88-013</t>
  </si>
  <si>
    <t>101-2020-06-173-042</t>
  </si>
  <si>
    <t>2LSSM2020A-317</t>
  </si>
  <si>
    <t>20-245</t>
  </si>
  <si>
    <t>P.R NO. 100-2020-06-0332</t>
  </si>
  <si>
    <t>2LSSM2020A-316</t>
  </si>
  <si>
    <t>TESDA PR-0217</t>
  </si>
  <si>
    <t>07-002</t>
  </si>
  <si>
    <t>2020-06-112</t>
  </si>
  <si>
    <t>QSU-BAC-G-04-2020 01D GASS</t>
  </si>
  <si>
    <t>RFQ-SVP-2020-012</t>
  </si>
  <si>
    <t>20-012</t>
  </si>
  <si>
    <t>2020 Kabalantian 4</t>
  </si>
  <si>
    <t>109933 - 2020 - 04</t>
  </si>
  <si>
    <t>2020 Kulaman 1</t>
  </si>
  <si>
    <t>RFQ-SVP-2020-011</t>
  </si>
  <si>
    <t>CW50-2020</t>
  </si>
  <si>
    <t>20-301</t>
  </si>
  <si>
    <t>2020-07-28</t>
  </si>
  <si>
    <t>109933 - 2020 - 07</t>
  </si>
  <si>
    <t>2020 Tumanding 8</t>
  </si>
  <si>
    <t>GOODS-2020-PB-026</t>
  </si>
  <si>
    <t>109933 - 2020 - 06</t>
  </si>
  <si>
    <t>I.D. NO. –June30-2020-482</t>
  </si>
  <si>
    <t>2020-07-023</t>
  </si>
  <si>
    <t>MOOE KJCMES</t>
  </si>
  <si>
    <t>20-014</t>
  </si>
  <si>
    <t>20-284</t>
  </si>
  <si>
    <t>0456 LGU-LAOANG-2020</t>
  </si>
  <si>
    <t>P.R NO. 100-2020-06-0344</t>
  </si>
  <si>
    <t>109896-2020-04a</t>
  </si>
  <si>
    <t>2020-07-022</t>
  </si>
  <si>
    <t>I.D. NO. –June30-2020-485</t>
  </si>
  <si>
    <t>2019-10-473</t>
  </si>
  <si>
    <t>2020-07-096</t>
  </si>
  <si>
    <t>RBAC12-2020-SVP-F-057</t>
  </si>
  <si>
    <t>SVES-2020-008PR</t>
  </si>
  <si>
    <t>MEO-2020-67</t>
  </si>
  <si>
    <t>CW52-2020</t>
  </si>
  <si>
    <t>20-013</t>
  </si>
  <si>
    <t>SVES-2020-007PR</t>
  </si>
  <si>
    <t>CW49-2020</t>
  </si>
  <si>
    <t>2020-04-01</t>
  </si>
  <si>
    <t>20-283</t>
  </si>
  <si>
    <t>109933 - 2020 - 05</t>
  </si>
  <si>
    <t>2020-PB-DO-MTPP-035-03</t>
  </si>
  <si>
    <t>RFQ NO. SVP-026-2020</t>
  </si>
  <si>
    <t>I.D. NO. –June30-2020-477</t>
  </si>
  <si>
    <t>20-06-077-A</t>
  </si>
  <si>
    <t>CW51-2020</t>
  </si>
  <si>
    <t>DA3-2019-12-09-84(2020)</t>
  </si>
  <si>
    <t>I.D. NO. –June30-2020-480</t>
  </si>
  <si>
    <t>PIKCOT-SUPP-002020-00146</t>
  </si>
  <si>
    <t>109896-2020-06</t>
  </si>
  <si>
    <t>GOODS-2020-PB-007</t>
  </si>
  <si>
    <t>I.D. NO. –June30-2020-479</t>
  </si>
  <si>
    <t>2020-07-024</t>
  </si>
  <si>
    <t>047 LGU-LAOANG-2020</t>
  </si>
  <si>
    <t>7-001-2020</t>
  </si>
  <si>
    <t>I.D. NO. –June30-2020-484</t>
  </si>
  <si>
    <t>RFQ 2020-001</t>
  </si>
  <si>
    <t>109896-2020-04b</t>
  </si>
  <si>
    <t>GOODS-2020-PB-019</t>
  </si>
  <si>
    <t>DA3-2020-06-30-357</t>
  </si>
  <si>
    <t>20-347</t>
  </si>
  <si>
    <t>20-29 goods</t>
  </si>
  <si>
    <t>brgy 848</t>
  </si>
  <si>
    <t>20-07-01-003</t>
  </si>
  <si>
    <t>20-334</t>
  </si>
  <si>
    <t>I.D. NO. –June30-2020-481</t>
  </si>
  <si>
    <t>24-2020</t>
  </si>
  <si>
    <t>20-277</t>
  </si>
  <si>
    <t>20-07-01-002</t>
  </si>
  <si>
    <t>G23-2020</t>
  </si>
  <si>
    <t>PR No. 6.047 TPB-PR.2020.07.197SERVICES OF PR AGEN</t>
  </si>
  <si>
    <t>I.D. NO. –June30-2020-478</t>
  </si>
  <si>
    <t>GTLMH-TF-20-007 MAIP</t>
  </si>
  <si>
    <t>2020-0193 dated 11 May 2020</t>
  </si>
  <si>
    <t>2020.07.037</t>
  </si>
  <si>
    <t>I.D. NO. –June30-2020-483</t>
  </si>
  <si>
    <t>2020-PB-IFO-MTPP-001-04</t>
  </si>
  <si>
    <t>109896-2020-05</t>
  </si>
  <si>
    <t>109896-2020-07</t>
  </si>
  <si>
    <t>GTLMH-TF-20-045 MHS</t>
  </si>
  <si>
    <t>2020-07-0057</t>
  </si>
  <si>
    <t>20LH0097</t>
  </si>
  <si>
    <t>20GD00004</t>
  </si>
  <si>
    <t>20LH0096</t>
  </si>
  <si>
    <t>2020 Meocan 22</t>
  </si>
  <si>
    <t>2020-07-0088</t>
  </si>
  <si>
    <t>RFQ NO. SVP-028-2020</t>
  </si>
  <si>
    <t>20-07-01-001</t>
  </si>
  <si>
    <t>2020-0385 dated 26 June 2020 (BSPI)</t>
  </si>
  <si>
    <t>CW-0701-001</t>
  </si>
  <si>
    <t>PR No. 2020 092</t>
  </si>
  <si>
    <t>RFQ NO. SVP-027-2020</t>
  </si>
  <si>
    <t>GTLMH-20-127</t>
  </si>
  <si>
    <t>PR No. 2020 094</t>
  </si>
  <si>
    <t>20-06-032</t>
  </si>
  <si>
    <t>BAC INFRA 2020 07-02</t>
  </si>
  <si>
    <t>20LH0107</t>
  </si>
  <si>
    <t>20LH0106</t>
  </si>
  <si>
    <t>20LH0105</t>
  </si>
  <si>
    <t>BAC-20-07-069 (PADD)</t>
  </si>
  <si>
    <t>20LH0104</t>
  </si>
  <si>
    <t>20-274</t>
  </si>
  <si>
    <t>PB-202001-2</t>
  </si>
  <si>
    <t>G26-2020</t>
  </si>
  <si>
    <t>19CSZ016</t>
  </si>
  <si>
    <t>20LH0101</t>
  </si>
  <si>
    <t>G25-2020</t>
  </si>
  <si>
    <t>20-07-0379</t>
  </si>
  <si>
    <t>2020-07-0089</t>
  </si>
  <si>
    <t>PB 2020-07</t>
  </si>
  <si>
    <t>20LH0102</t>
  </si>
  <si>
    <t>20LH0098</t>
  </si>
  <si>
    <t>UPLB-I-022-07-20 SUPPLY, DELIVERY, INSTALLATION, T</t>
  </si>
  <si>
    <t>25-2020</t>
  </si>
  <si>
    <t>20LH0099</t>
  </si>
  <si>
    <t>20OH0087 Re-ads</t>
  </si>
  <si>
    <t>BAC-20-07-068 (PADD)</t>
  </si>
  <si>
    <t>024-2020 PES-of-Contactless-Handwashing-Facility-2</t>
  </si>
  <si>
    <t>OfficeSupplies2020</t>
  </si>
  <si>
    <t>2020-476-06</t>
  </si>
  <si>
    <t>20LH0100</t>
  </si>
  <si>
    <t>2020-417-05</t>
  </si>
  <si>
    <t>BV-19-20</t>
  </si>
  <si>
    <t>20LH0103</t>
  </si>
  <si>
    <t>LGU LAUREL 20-06-003</t>
  </si>
  <si>
    <t>2020-06-247</t>
  </si>
  <si>
    <t>BV-21-20</t>
  </si>
  <si>
    <t>20CSFI02</t>
  </si>
  <si>
    <t>20CSFI01</t>
  </si>
  <si>
    <t>BV-17-20</t>
  </si>
  <si>
    <t>2020 - 009</t>
  </si>
  <si>
    <t>DA3-2020-234-03-16</t>
  </si>
  <si>
    <t>SPO-20-0762-B</t>
  </si>
  <si>
    <t>GOODS-2020-02-01</t>
  </si>
  <si>
    <t>025-2020 PES Purchase of COVID-19 Response Item</t>
  </si>
  <si>
    <t>2020 - 011</t>
  </si>
  <si>
    <t>2020 - 010</t>
  </si>
  <si>
    <t>034-LGU-LAOANG-2020</t>
  </si>
  <si>
    <t>20-06-332</t>
  </si>
  <si>
    <t>2020-03-173 Re-bid</t>
  </si>
  <si>
    <t>CW06232020-5</t>
  </si>
  <si>
    <t>CW06232020-4</t>
  </si>
  <si>
    <t>ICT-2020-01</t>
  </si>
  <si>
    <t>2020 - 008</t>
  </si>
  <si>
    <t>20CA0058</t>
  </si>
  <si>
    <t>20CA0057</t>
  </si>
  <si>
    <t>20-07-011</t>
  </si>
  <si>
    <t>20CA0056</t>
  </si>
  <si>
    <t>20CA0055</t>
  </si>
  <si>
    <t>GOODS-2020-05-05</t>
  </si>
  <si>
    <t>BAC INFRA 2020 07-04</t>
  </si>
  <si>
    <t>06232020-1</t>
  </si>
  <si>
    <t>HFE-2020-06-0224</t>
  </si>
  <si>
    <t>PB2020-07-051I</t>
  </si>
  <si>
    <t>20CA0059</t>
  </si>
  <si>
    <t>TM-20-06-0044</t>
  </si>
  <si>
    <t>8751-0620-493</t>
  </si>
  <si>
    <t>PR-01_2020</t>
  </si>
  <si>
    <t>BAC INFRA 2020 07-05</t>
  </si>
  <si>
    <t>7999-0620-487</t>
  </si>
  <si>
    <t>PNU - VIS - GD 2020.06.003</t>
  </si>
  <si>
    <t>7999-0620-488</t>
  </si>
  <si>
    <t>2020-06-366</t>
  </si>
  <si>
    <t>20200626</t>
  </si>
  <si>
    <t>10</t>
  </si>
  <si>
    <t>2020-06-361</t>
  </si>
  <si>
    <t>7999-0620-463</t>
  </si>
  <si>
    <t>PHO-20-749-B</t>
  </si>
  <si>
    <t>GAMOT 200-20-06-06111</t>
  </si>
  <si>
    <t>PNU - VIS - GD 2020.06.002</t>
  </si>
  <si>
    <t>INFRA2020-07</t>
  </si>
  <si>
    <t>ATI2020-06-153</t>
  </si>
  <si>
    <t>2020-02-119 Re-bid</t>
  </si>
  <si>
    <t>2020-02-7</t>
  </si>
  <si>
    <t>2020-06-368</t>
  </si>
  <si>
    <t>BAC INFRA 2020 07-03</t>
  </si>
  <si>
    <t>2020-02-5</t>
  </si>
  <si>
    <t>2020-02-4</t>
  </si>
  <si>
    <t>20-06-03</t>
  </si>
  <si>
    <t>LBP-RBAC V-0620-149</t>
  </si>
  <si>
    <t>2020-02-2</t>
  </si>
  <si>
    <t>2020-02-1</t>
  </si>
  <si>
    <t>2020-06-370</t>
  </si>
  <si>
    <t>2020-02-6</t>
  </si>
  <si>
    <t>RFQ-INFRA-ISAIMO-06-2019</t>
  </si>
  <si>
    <t>2020-02-3</t>
  </si>
  <si>
    <t>2020-B1-06-019</t>
  </si>
  <si>
    <t>PNU - VIS - GD 2020.06.001</t>
  </si>
  <si>
    <t>2020-02-8</t>
  </si>
  <si>
    <t>2020-06-30</t>
  </si>
  <si>
    <t>RFQ NO: 2020-07-044</t>
  </si>
  <si>
    <t>2020-07-095</t>
  </si>
  <si>
    <t>20FJ0036</t>
  </si>
  <si>
    <t>101-2020-06-161-044</t>
  </si>
  <si>
    <t>20FJ0035</t>
  </si>
  <si>
    <t>2020-06-360</t>
  </si>
  <si>
    <t>P.R NO. 100-2020-06-0342</t>
  </si>
  <si>
    <t>2020-06-367</t>
  </si>
  <si>
    <t>2LSSM2020A-315</t>
  </si>
  <si>
    <t>2020-07-094</t>
  </si>
  <si>
    <t>20FJ0034</t>
  </si>
  <si>
    <t>20KF0124</t>
  </si>
  <si>
    <t>2LSSM2020A-314</t>
  </si>
  <si>
    <t>SVP-OCM-072020-137</t>
  </si>
  <si>
    <t>RFQ 07-2020-014</t>
  </si>
  <si>
    <t>2020 Poblacion 19</t>
  </si>
  <si>
    <t>07012020A</t>
  </si>
  <si>
    <t>C-072-2020</t>
  </si>
  <si>
    <t>100-2001-003-GF</t>
  </si>
  <si>
    <t>20mond0701D</t>
  </si>
  <si>
    <t>SDO-2020-06-053</t>
  </si>
  <si>
    <t>2LSSM2020A-310</t>
  </si>
  <si>
    <t>2020-07-01 (1) LGU</t>
  </si>
  <si>
    <t>RFQ-GS-20200127-04(2)</t>
  </si>
  <si>
    <t>COB BAC INFRA 2020-004-009</t>
  </si>
  <si>
    <t>SPO-20-0761-B</t>
  </si>
  <si>
    <t>2020-01-002</t>
  </si>
  <si>
    <t>2LSSM2020A-309</t>
  </si>
  <si>
    <t>ATI2020-06-152</t>
  </si>
  <si>
    <t>SB3 HDMP 200-20-05-05180</t>
  </si>
  <si>
    <t>MANA-10-20</t>
  </si>
  <si>
    <t>2020-B2-06-018</t>
  </si>
  <si>
    <t>2020-B1-06-016</t>
  </si>
  <si>
    <t>2020-B2-06-017</t>
  </si>
  <si>
    <t>ATI2020-06-159</t>
  </si>
  <si>
    <t>ATI2020-06-158</t>
  </si>
  <si>
    <t>ATI2020-06-156</t>
  </si>
  <si>
    <t>2020183</t>
  </si>
  <si>
    <t>2020-06-036</t>
  </si>
  <si>
    <t>ATI2020-06-155</t>
  </si>
  <si>
    <t>2020-03-149 Re-bid</t>
  </si>
  <si>
    <t>INFRA2020-08</t>
  </si>
  <si>
    <t>2020-01-001</t>
  </si>
  <si>
    <t>ITB NO: SFZ-INFRA 2020-005</t>
  </si>
  <si>
    <t>ATI2020-06-157</t>
  </si>
  <si>
    <t>8751-0620-492</t>
  </si>
  <si>
    <t>SUC 2020-06-011</t>
  </si>
  <si>
    <t>ATI2020-06-154</t>
  </si>
  <si>
    <t>DSBH-2020-0133</t>
  </si>
  <si>
    <t>01-032-20</t>
  </si>
  <si>
    <t>8751-0620-548</t>
  </si>
  <si>
    <t>SKPPS-001</t>
  </si>
  <si>
    <t>CDH-2020-0093</t>
  </si>
  <si>
    <t>2020-06-376</t>
  </si>
  <si>
    <t>20-06-141</t>
  </si>
  <si>
    <t>SUC 2020-06-012</t>
  </si>
  <si>
    <t>2020-544-06</t>
  </si>
  <si>
    <t>8751-0620-549</t>
  </si>
  <si>
    <t>2019-001</t>
  </si>
  <si>
    <t>8751-0620-491</t>
  </si>
  <si>
    <t>2020-06-2343</t>
  </si>
  <si>
    <t>8751-0620-494</t>
  </si>
  <si>
    <t>PEO-2020-0107</t>
  </si>
  <si>
    <t>INFR-20-015</t>
  </si>
  <si>
    <t>SF-INFRA-032-020</t>
  </si>
  <si>
    <t>SF-INFRA-031-020</t>
  </si>
  <si>
    <t>SF-INFRA-030-020</t>
  </si>
  <si>
    <t>MMWD-0020-2020</t>
  </si>
  <si>
    <t>SF-INFRA-028-020</t>
  </si>
  <si>
    <t>007119-0000-00</t>
  </si>
  <si>
    <t>SF-INFRA-029-020</t>
  </si>
  <si>
    <t>20PE0002(G)</t>
  </si>
  <si>
    <t>2020-027 CDO</t>
  </si>
  <si>
    <t>8771-0220-122</t>
  </si>
  <si>
    <t>SF-INFRA-026-020</t>
  </si>
  <si>
    <t>SF-INFRA-025-020</t>
  </si>
  <si>
    <t>SF-INFRA-024-020</t>
  </si>
  <si>
    <t>2020-03-148 Re-bid</t>
  </si>
  <si>
    <t>SF-INFRA-023-020</t>
  </si>
  <si>
    <t>20GCE0009</t>
  </si>
  <si>
    <t>2020-06-371</t>
  </si>
  <si>
    <t>SB2 LREP19 300-20-03-02986</t>
  </si>
  <si>
    <t>2020-03-166 Re-bid</t>
  </si>
  <si>
    <t>7999-0420-357</t>
  </si>
  <si>
    <t>SF-INFRA-033-020</t>
  </si>
  <si>
    <t>20-06-PM017</t>
  </si>
  <si>
    <t>BacongRFQ 2020-06</t>
  </si>
  <si>
    <t>RFQ 2020-94</t>
  </si>
  <si>
    <t>PVAO-RFQ-36-FSEOTARLAC-2020</t>
  </si>
  <si>
    <t>lgm</t>
  </si>
  <si>
    <t>SF-INFRA-039-020</t>
  </si>
  <si>
    <t>20-101-041</t>
  </si>
  <si>
    <t>100-06-20-477</t>
  </si>
  <si>
    <t>SF-INFRA-038-020</t>
  </si>
  <si>
    <t>RFQ 2020-93</t>
  </si>
  <si>
    <t>2020-06-375</t>
  </si>
  <si>
    <t>SF-INFRA-036-020</t>
  </si>
  <si>
    <t>SF-GOODS-2020-008</t>
  </si>
  <si>
    <t>2020-06-372</t>
  </si>
  <si>
    <t>GOODS 2020-06-PLA007</t>
  </si>
  <si>
    <t>100-06-20-475</t>
  </si>
  <si>
    <t>SF-INFRA-027-020</t>
  </si>
  <si>
    <t>2020-06-0001 Public Bidding</t>
  </si>
  <si>
    <t>NIS-CN-014-2020-GOODS</t>
  </si>
  <si>
    <t>20-015-001</t>
  </si>
  <si>
    <t>20GMD0034</t>
  </si>
  <si>
    <t>200629</t>
  </si>
  <si>
    <t>20GMD0032</t>
  </si>
  <si>
    <t>106CO-602ND BDE, 6ID, PA-2020-458</t>
  </si>
  <si>
    <t>20GMD0031</t>
  </si>
  <si>
    <t>SF-INFRA-037-020</t>
  </si>
  <si>
    <t>2020-30-001</t>
  </si>
  <si>
    <t>BAC-HO GS No. 2020-0119</t>
  </si>
  <si>
    <t>ICR-20GEE0040</t>
  </si>
  <si>
    <t>20GMD0033</t>
  </si>
  <si>
    <t>BLGU-STALUCIA-AL-01-2020</t>
  </si>
  <si>
    <t>2020-06-0382, 2020-06-0380</t>
  </si>
  <si>
    <t>ICR-20GEE0039</t>
  </si>
  <si>
    <t>ICR-20GEE0037</t>
  </si>
  <si>
    <t>20FA0060</t>
  </si>
  <si>
    <t>ICR-20GEE0035</t>
  </si>
  <si>
    <t>102CO-2020-244</t>
  </si>
  <si>
    <t>ICR-20GEE0038</t>
  </si>
  <si>
    <t>06302020-g</t>
  </si>
  <si>
    <t>102CO-2020-243</t>
  </si>
  <si>
    <t>DES-1196-20</t>
  </si>
  <si>
    <t>PR 2020 - 03</t>
  </si>
  <si>
    <t>2020-028</t>
  </si>
  <si>
    <t>2020-030</t>
  </si>
  <si>
    <t>HRS-1315-20</t>
  </si>
  <si>
    <t>DES-1321-20</t>
  </si>
  <si>
    <t>ISPQ 065-2020</t>
  </si>
  <si>
    <t>DORL-HNS-1252-20</t>
  </si>
  <si>
    <t>SF-G-MDRRMF16-2020-14</t>
  </si>
  <si>
    <t>Barangay Pa-a 2020 - 06</t>
  </si>
  <si>
    <t>ICR-20GEE0036</t>
  </si>
  <si>
    <t>Barangay Pa-a 2020 - 07</t>
  </si>
  <si>
    <t>2020-06-0216</t>
  </si>
  <si>
    <t>Infra 2020-07</t>
  </si>
  <si>
    <t>CGB-2020-06-013</t>
  </si>
  <si>
    <t>PR# 20-0798</t>
  </si>
  <si>
    <t>CGB-2020-06-012</t>
  </si>
  <si>
    <t>DMD-1304-20</t>
  </si>
  <si>
    <t>UNSERVICEABLE-01-2020</t>
  </si>
  <si>
    <t>Infra 2020-06</t>
  </si>
  <si>
    <t>INF-011-2020</t>
  </si>
  <si>
    <t>E20060901</t>
  </si>
  <si>
    <t>PF-0220-169</t>
  </si>
  <si>
    <t>NP-06-34-20</t>
  </si>
  <si>
    <t>PF-0220-168</t>
  </si>
  <si>
    <t>INFRA 2020-06-001</t>
  </si>
  <si>
    <t>2020-06-14</t>
  </si>
  <si>
    <t>Barangay Marangog 2020 - 03</t>
  </si>
  <si>
    <t>2020-30-002</t>
  </si>
  <si>
    <t>PF-0620-617</t>
  </si>
  <si>
    <t>ITB # 2020-06-036</t>
  </si>
  <si>
    <t>RFQ-2020-05A</t>
  </si>
  <si>
    <t>20-015-002</t>
  </si>
  <si>
    <t>20GMD0030</t>
  </si>
  <si>
    <t>Alaminos City</t>
  </si>
  <si>
    <t>2020-30-003</t>
  </si>
  <si>
    <t>BAC-ITIO-GS No. 2020-0063 dated 18 June 2020</t>
  </si>
  <si>
    <t>BacongRFQ 2020-08</t>
  </si>
  <si>
    <t>202002</t>
  </si>
  <si>
    <t>rfq 2020-07</t>
  </si>
  <si>
    <t>INF-012-2020</t>
  </si>
  <si>
    <t>2020-RFQ-017</t>
  </si>
  <si>
    <t>IB NO. N-2020-06-87</t>
  </si>
  <si>
    <t>GOODS-NP-2020-098</t>
  </si>
  <si>
    <t>TF 002</t>
  </si>
  <si>
    <t>PR 2020 - 01</t>
  </si>
  <si>
    <t>ITB No. (INF) 2020-06-093 OPENING OF ROAD, BRGY. C</t>
  </si>
  <si>
    <t>2020-06-2012</t>
  </si>
  <si>
    <t>GOODS-NP-2020-097</t>
  </si>
  <si>
    <t>2020-G-36</t>
  </si>
  <si>
    <t>RFQ-018-2020</t>
  </si>
  <si>
    <t>2020-06-2013</t>
  </si>
  <si>
    <t>20-06-899</t>
  </si>
  <si>
    <t>070-2020</t>
  </si>
  <si>
    <t>IB NO. N-2020-06-86</t>
  </si>
  <si>
    <t>bac-20-0630c</t>
  </si>
  <si>
    <t>06302020-g2</t>
  </si>
  <si>
    <t>20-189</t>
  </si>
  <si>
    <t>102CO-2020-246</t>
  </si>
  <si>
    <t>100-9919-20-339</t>
  </si>
  <si>
    <t>2020</t>
  </si>
  <si>
    <t>ICR-20GEE0034</t>
  </si>
  <si>
    <t>20-188</t>
  </si>
  <si>
    <t>RFQ No. 20-0602 Shopping B</t>
  </si>
  <si>
    <t>0506</t>
  </si>
  <si>
    <t>Infra 2020-08</t>
  </si>
  <si>
    <t>102CO-2020-245</t>
  </si>
  <si>
    <t>PR20-05-090</t>
  </si>
  <si>
    <t>2020-06-2014</t>
  </si>
  <si>
    <t>06-130-2020</t>
  </si>
  <si>
    <t>2020-06-2009</t>
  </si>
  <si>
    <t>780</t>
  </si>
  <si>
    <t>PR-2020-06-010</t>
  </si>
  <si>
    <t>PR. 20-06-235 (i.1, 3-11) (2020-06-219)</t>
  </si>
  <si>
    <t>2020-G-018</t>
  </si>
  <si>
    <t>GOODS-NP-2020-099</t>
  </si>
  <si>
    <t>6302020-030</t>
  </si>
  <si>
    <t>GOODS-NP-2020-058</t>
  </si>
  <si>
    <t>ITB PR NO. 20-06-083</t>
  </si>
  <si>
    <t>2020-06-0107</t>
  </si>
  <si>
    <t>PR# 20-0800</t>
  </si>
  <si>
    <t>DSWD 4B 2020-06-0667</t>
  </si>
  <si>
    <t>2020-06-050</t>
  </si>
  <si>
    <t>PR2020-06-29-075</t>
  </si>
  <si>
    <t>ITB No. 20-052   ONE (1) LOT SUPPLY AND DELIVERY O</t>
  </si>
  <si>
    <t>ITB No. (GDS) 2020-06-015 PROCUREMENT OF COMPACT C</t>
  </si>
  <si>
    <t>2020-06-0011</t>
  </si>
  <si>
    <t>SVP 2020-138</t>
  </si>
  <si>
    <t>PR# 20-0799</t>
  </si>
  <si>
    <t>PR NO. 0549 S.2020</t>
  </si>
  <si>
    <t>LGU-123-2020</t>
  </si>
  <si>
    <t>SAR-GOODS-06-032-2020</t>
  </si>
  <si>
    <t>Tan-04, 2020</t>
  </si>
  <si>
    <t>BANNA-RFQ-74(FOR CLUP)-2020</t>
  </si>
  <si>
    <t>ITB No. GOP/20-DSWD-043</t>
  </si>
  <si>
    <t>2020-448</t>
  </si>
  <si>
    <t>PR#2020-06-PR083</t>
  </si>
  <si>
    <t>100-06-20-01659</t>
  </si>
  <si>
    <t>2020-327</t>
  </si>
  <si>
    <t>ITB No. (GDS) 2020-06-016  PROCUREMENT OF BROADCAS</t>
  </si>
  <si>
    <t>2020-08APP20</t>
  </si>
  <si>
    <t>PHO-NC-2020-129</t>
  </si>
  <si>
    <t>SVP-2020-091</t>
  </si>
  <si>
    <t>305-06-20-101</t>
  </si>
  <si>
    <t>071-2020</t>
  </si>
  <si>
    <t>2020-310</t>
  </si>
  <si>
    <t>IAAPIS-2020-06-0342</t>
  </si>
  <si>
    <t>Solicitation No. Goods 20-0701-0056R</t>
  </si>
  <si>
    <t>GOODS 2020-19</t>
  </si>
  <si>
    <t>2020-03-202</t>
  </si>
  <si>
    <t>100-2003-213-GF</t>
  </si>
  <si>
    <t>102CO-2020-247</t>
  </si>
  <si>
    <t>SAR-GOODS-06-105-2020</t>
  </si>
  <si>
    <t>382-2020 Bidding</t>
  </si>
  <si>
    <t>MAINT 2020-06-0020</t>
  </si>
  <si>
    <t>2020-30</t>
  </si>
  <si>
    <t>2020-09APP20</t>
  </si>
  <si>
    <t>031-06-2020</t>
  </si>
  <si>
    <t>OPA-RASS-NC-2020-0344</t>
  </si>
  <si>
    <t>Solicitation No. Goods 20-0701-0059R</t>
  </si>
  <si>
    <t>GOODS 2020-20</t>
  </si>
  <si>
    <t>2020-06-04</t>
  </si>
  <si>
    <t>ZRIS-2020-06-0385</t>
  </si>
  <si>
    <t>AB-2020-0019</t>
  </si>
  <si>
    <t>HO-2020-06-0346</t>
  </si>
  <si>
    <t>RFQ 516</t>
  </si>
  <si>
    <t>PR2020-06-29-074</t>
  </si>
  <si>
    <t>2020-29</t>
  </si>
  <si>
    <t>Solicitation No. Goods 20-0701-0060R</t>
  </si>
  <si>
    <t>RFQ-2020-05B</t>
  </si>
  <si>
    <t>20-015</t>
  </si>
  <si>
    <t>HO-2020-06-0357</t>
  </si>
  <si>
    <t>IB NO. N-2020-06-85</t>
  </si>
  <si>
    <t>2020-85</t>
  </si>
  <si>
    <t>017-2020</t>
  </si>
  <si>
    <t>MAINT 2020-06-0018</t>
  </si>
  <si>
    <t>AD-GSU-20-06-344</t>
  </si>
  <si>
    <t>SV-0632-2020</t>
  </si>
  <si>
    <t>20-06-826</t>
  </si>
  <si>
    <t>Solicitation No. Goods 20-0701-0057R</t>
  </si>
  <si>
    <t>PEO-NC-2020-0343</t>
  </si>
  <si>
    <t>G065-20</t>
  </si>
  <si>
    <t>RFQ-2020-06-253</t>
  </si>
  <si>
    <t>MAINT 2020-06-0019</t>
  </si>
  <si>
    <t>BEMO-NC-2020-0342</t>
  </si>
  <si>
    <t>CAR-ADN-2020-095</t>
  </si>
  <si>
    <t>RPQ2020-06-001</t>
  </si>
  <si>
    <t>GSO-20-06-0287</t>
  </si>
  <si>
    <t>ZRIS-2020-06-0386</t>
  </si>
  <si>
    <t>PEO-NC-2020-0341</t>
  </si>
  <si>
    <t>MAINT 2020-06-0021</t>
  </si>
  <si>
    <t>PR# 20-0801</t>
  </si>
  <si>
    <t>BAC 3-2020-06-067</t>
  </si>
  <si>
    <t>LGU-124-2020</t>
  </si>
  <si>
    <t>20-06-08</t>
  </si>
  <si>
    <t>Solicitation No. Goods 20-0701-0055R</t>
  </si>
  <si>
    <t>GOODS-3-2020-007</t>
  </si>
  <si>
    <t>PR20-06-112</t>
  </si>
  <si>
    <t>BAC-2020-40</t>
  </si>
  <si>
    <t>20-076</t>
  </si>
  <si>
    <t>Concreting of Barangay Road at Brgy. Doña Brigida,</t>
  </si>
  <si>
    <t>PR No. 2020-06-0175</t>
  </si>
  <si>
    <t>2020-153</t>
  </si>
  <si>
    <t>2020 - 085</t>
  </si>
  <si>
    <t>RFQ No. 0834-20</t>
  </si>
  <si>
    <t>018-2020</t>
  </si>
  <si>
    <t>2020-06-83</t>
  </si>
  <si>
    <t>0868</t>
  </si>
  <si>
    <t>2020-152</t>
  </si>
  <si>
    <t>RO4-INFR-2020-06-A</t>
  </si>
  <si>
    <t>bcwd-2020-061</t>
  </si>
  <si>
    <t>20CB-GSC-377 PURCHASE OF TARPAULIN FOR BPLD</t>
  </si>
  <si>
    <t>JRMPII-122-2020</t>
  </si>
  <si>
    <t>006-2020</t>
  </si>
  <si>
    <t>RFQ No. 0838-20</t>
  </si>
  <si>
    <t>RFQ No. 20-0604 Shopping B</t>
  </si>
  <si>
    <t>PB NO. 2020-044</t>
  </si>
  <si>
    <t>20-03-77</t>
  </si>
  <si>
    <t>Pampango - 02</t>
  </si>
  <si>
    <t>RFQ No. 0831-20</t>
  </si>
  <si>
    <t>LGU-126-2020</t>
  </si>
  <si>
    <t>2020-06-030</t>
  </si>
  <si>
    <t>CGT- Goods- 2020- 00102</t>
  </si>
  <si>
    <t>N-I-2020-0021</t>
  </si>
  <si>
    <t>LGU-125-2020</t>
  </si>
  <si>
    <t>2020-0707-025</t>
  </si>
  <si>
    <t>2020-G-31</t>
  </si>
  <si>
    <t>Solicitation No. Goods 20-0701-0071</t>
  </si>
  <si>
    <t>Solicitation No. Goods 20-0701-0072</t>
  </si>
  <si>
    <t>SEF-I-54-2020</t>
  </si>
  <si>
    <t>2020-06-085</t>
  </si>
  <si>
    <t>007-2020</t>
  </si>
  <si>
    <t>PR2020-06-29-076</t>
  </si>
  <si>
    <t>2020-devmh-072</t>
  </si>
  <si>
    <t>MMWD-0021-2020</t>
  </si>
  <si>
    <t>100-2006-0381</t>
  </si>
  <si>
    <t>RFQ No. 20-07-016</t>
  </si>
  <si>
    <t>RFQ-121-2020-CDD</t>
  </si>
  <si>
    <t>SF-INFRA-035-020</t>
  </si>
  <si>
    <t>2020-J179</t>
  </si>
  <si>
    <t>PR No. 2020-06-0176</t>
  </si>
  <si>
    <t>2020-06-391</t>
  </si>
  <si>
    <t>RFQ-151-2020-CDD</t>
  </si>
  <si>
    <t>SF-INFRA-034-020</t>
  </si>
  <si>
    <t>2020-devmh-073</t>
  </si>
  <si>
    <t>PR2020-06-29-078</t>
  </si>
  <si>
    <t>SH-017-2020</t>
  </si>
  <si>
    <t>BLGU-SAN FRANCISCO-AL-G-01-2020</t>
  </si>
  <si>
    <t>06302001</t>
  </si>
  <si>
    <t>201638</t>
  </si>
  <si>
    <t>PR# 20-0802</t>
  </si>
  <si>
    <t>6302020-031</t>
  </si>
  <si>
    <t>G-2020-06-0311</t>
  </si>
  <si>
    <t>LGS 20 - 056</t>
  </si>
  <si>
    <t>epslingayen2020-51</t>
  </si>
  <si>
    <t>06-30-20-112MLUC</t>
  </si>
  <si>
    <t>P-0642</t>
  </si>
  <si>
    <t>ATI2020-06-160</t>
  </si>
  <si>
    <t>RFQ No. 20-07-017</t>
  </si>
  <si>
    <t>LGU-127-2020</t>
  </si>
  <si>
    <t>19</t>
  </si>
  <si>
    <t>DAG-2020-06-046</t>
  </si>
  <si>
    <t>OPV-2020-0176 PR2020-0458</t>
  </si>
  <si>
    <t>2020-devmh-074</t>
  </si>
  <si>
    <t>2006889</t>
  </si>
  <si>
    <t>PR2020-06-29-079</t>
  </si>
  <si>
    <t>PB NO. 2020-045</t>
  </si>
  <si>
    <t>201778</t>
  </si>
  <si>
    <t>M7-20-1432</t>
  </si>
  <si>
    <t>2020-02-0068</t>
  </si>
  <si>
    <t>SVP-96</t>
  </si>
  <si>
    <t>2020-06-018</t>
  </si>
  <si>
    <t>2020-021-SVP</t>
  </si>
  <si>
    <t>DSC-20-06-124</t>
  </si>
  <si>
    <t>RFQ-2020-22</t>
  </si>
  <si>
    <t>159-2020</t>
  </si>
  <si>
    <t>2020-228</t>
  </si>
  <si>
    <t>2020-devmh-075</t>
  </si>
  <si>
    <t>RFQ-2020-23</t>
  </si>
  <si>
    <t>20-05-240</t>
  </si>
  <si>
    <t>LGU ORANI RFQ 2020-03-013</t>
  </si>
  <si>
    <t>S20-108</t>
  </si>
  <si>
    <t>Upper Malinao Padada-002-06-30-2020</t>
  </si>
  <si>
    <t>92</t>
  </si>
  <si>
    <t>BLGU-STO. NIÑO-AL-G-01-2020</t>
  </si>
  <si>
    <t>200-004</t>
  </si>
  <si>
    <t>BAC-GS 2019- 169</t>
  </si>
  <si>
    <t>2020-J177</t>
  </si>
  <si>
    <t>ITB-2020-06-051</t>
  </si>
  <si>
    <t>101-20-06-146</t>
  </si>
  <si>
    <t>20</t>
  </si>
  <si>
    <t xml:space="preserve">DepED-RO6-D1-TIS-SUPPORT INSTRUCTIONAL &amp; LEARNERS </t>
  </si>
  <si>
    <t>MEO-218-20</t>
  </si>
  <si>
    <t>NOSO-LMC-SIP-21-2020</t>
  </si>
  <si>
    <t>2020-06-095</t>
  </si>
  <si>
    <t>HO-2020-06-0384</t>
  </si>
  <si>
    <t>GOODS-PR-2020-06-285</t>
  </si>
  <si>
    <t>Bidding-08-June2020</t>
  </si>
  <si>
    <t>201660</t>
  </si>
  <si>
    <t>DAG-2020-06-47</t>
  </si>
  <si>
    <t>PR2020-06-29-080</t>
  </si>
  <si>
    <t>Solicitation No. Goods 20-0701-0073</t>
  </si>
  <si>
    <t>20-02-RES10152</t>
  </si>
  <si>
    <t>RFQ-2020-06-0017</t>
  </si>
  <si>
    <t>2020-022-SVP</t>
  </si>
  <si>
    <t>ITB No. 20-053   SUPPLY AND DELIVERY OF LABOR, TOO</t>
  </si>
  <si>
    <t>2020-06-418</t>
  </si>
  <si>
    <t>TAR-2020-07</t>
  </si>
  <si>
    <t>MZDS-BAC-G-2020-04</t>
  </si>
  <si>
    <t>2007034</t>
  </si>
  <si>
    <t>LGU-ROX-SDG-06-2020</t>
  </si>
  <si>
    <t>RFQ-149-2020</t>
  </si>
  <si>
    <t>GOODS-2020-10</t>
  </si>
  <si>
    <t>06302020-04</t>
  </si>
  <si>
    <t>20-06-FOD0144</t>
  </si>
  <si>
    <t>BAC 1-2020-06-068</t>
  </si>
  <si>
    <t>ATI2020-06-161</t>
  </si>
  <si>
    <t>20-07-0</t>
  </si>
  <si>
    <t>06-30-20-113MLUC</t>
  </si>
  <si>
    <t>32020-26</t>
  </si>
  <si>
    <t>BSWM PR 2020-05-1267</t>
  </si>
  <si>
    <t>PR2020-06-29-081</t>
  </si>
  <si>
    <t>lgu-es-20-06-144</t>
  </si>
  <si>
    <t>2020-1016-06-013</t>
  </si>
  <si>
    <t>epslingayen2020-52</t>
  </si>
  <si>
    <t>goods2020_35</t>
  </si>
  <si>
    <t>RFQ-2020-05C</t>
  </si>
  <si>
    <t>2020-06-416</t>
  </si>
  <si>
    <t>LAYON 2020-002</t>
  </si>
  <si>
    <t>063020</t>
  </si>
  <si>
    <t>20GJI0041</t>
  </si>
  <si>
    <t>CMO(RM-HE)20-015(NP/SV)</t>
  </si>
  <si>
    <t>PGBH-C-NC-2020-095 PR2020-111</t>
  </si>
  <si>
    <t>27700-001</t>
  </si>
  <si>
    <t>PR 12-2020 Fundado</t>
  </si>
  <si>
    <t>CNSH-04-1st-20SEME-ME</t>
  </si>
  <si>
    <t>SPPF2020-PR182</t>
  </si>
  <si>
    <t>06302020-05</t>
  </si>
  <si>
    <t>OE-56-06-25-2020</t>
  </si>
  <si>
    <t>2020-06-</t>
  </si>
  <si>
    <t>07-01-20</t>
  </si>
  <si>
    <t>Solicitation No. Goods 20-0701-0076</t>
  </si>
  <si>
    <t>Solicitation No. Goods 20-0701-0075</t>
  </si>
  <si>
    <t>RFQ-151-2020</t>
  </si>
  <si>
    <t>Bidding-09-June2020</t>
  </si>
  <si>
    <t>OESPA-TRNG-1330-20</t>
  </si>
  <si>
    <t>160-2020</t>
  </si>
  <si>
    <t>Solicitation No. Goods 20-0701-0074</t>
  </si>
  <si>
    <t>PR No. 2020-06-013 (RAF)</t>
  </si>
  <si>
    <t>RFQ NO. 2020-06-26-(8099)</t>
  </si>
  <si>
    <t>RFQ-155-2020</t>
  </si>
  <si>
    <t>Solicitation No. Goods 20-0701-0077</t>
  </si>
  <si>
    <t>06302020-06</t>
  </si>
  <si>
    <t>DepED-RO6-D1-CONSTRUCTIONMATERIALS-001-2019</t>
  </si>
  <si>
    <t>06-30-20-114MLUC</t>
  </si>
  <si>
    <t>epslingayen2020-53</t>
  </si>
  <si>
    <t>2020-06-022</t>
  </si>
  <si>
    <t>lgu-es-20-06-145</t>
  </si>
  <si>
    <t>PUR20-06-0488</t>
  </si>
  <si>
    <t>211441</t>
  </si>
  <si>
    <t>PB-2020-24</t>
  </si>
  <si>
    <t>RFQ-153-2020</t>
  </si>
  <si>
    <t>211440</t>
  </si>
  <si>
    <t>20-06-199</t>
  </si>
  <si>
    <t>PR No. 2020-6-1579</t>
  </si>
  <si>
    <t>20GJI0042</t>
  </si>
  <si>
    <t>ITB No. 2020-78</t>
  </si>
  <si>
    <t>20-06-137</t>
  </si>
  <si>
    <t>CMO(Adm)-20-001(shopping)</t>
  </si>
  <si>
    <t>JRMPII-089-2020</t>
  </si>
  <si>
    <t>27636-002</t>
  </si>
  <si>
    <t>RFQ-2020-24</t>
  </si>
  <si>
    <t>20CSAB02 - Package 2</t>
  </si>
  <si>
    <t>211445</t>
  </si>
  <si>
    <t>211446</t>
  </si>
  <si>
    <t>RFQ-2020-06-0852</t>
  </si>
  <si>
    <t>BSWM PR 2020-05-1271</t>
  </si>
  <si>
    <t>RFQ-20-06-0517</t>
  </si>
  <si>
    <t>JRMPII-284-19</t>
  </si>
  <si>
    <t>GOODS 2020-212(SVP)</t>
  </si>
  <si>
    <t>20-06-RA0018</t>
  </si>
  <si>
    <t>2020-GOODS-NP-72</t>
  </si>
  <si>
    <t>GOODS-2020-038</t>
  </si>
  <si>
    <t>BSWM PR 2020-06-1300</t>
  </si>
  <si>
    <t>RFQ-154-2020</t>
  </si>
  <si>
    <t>RFQ-156-2020</t>
  </si>
  <si>
    <t>JRMPII-291-19</t>
  </si>
  <si>
    <t>211448</t>
  </si>
  <si>
    <t>211447</t>
  </si>
  <si>
    <t>211444</t>
  </si>
  <si>
    <t>RFQ NO. 2020-06-26-(8097)</t>
  </si>
  <si>
    <t>RFQ-2020-06-0848</t>
  </si>
  <si>
    <t>UPR No TRADOC-OG4-SR2-T115-2020</t>
  </si>
  <si>
    <t>NLPRSD-2020-06-0303</t>
  </si>
  <si>
    <t>RFQ-20-06-0516</t>
  </si>
  <si>
    <t>2006-0541-AVRC</t>
  </si>
  <si>
    <t>NG-GOODS-2020-16</t>
  </si>
  <si>
    <t>211451</t>
  </si>
  <si>
    <t>Brgystalucia-06-01-2020</t>
  </si>
  <si>
    <t>PR# 20-0807</t>
  </si>
  <si>
    <t>2020-06-29</t>
  </si>
  <si>
    <t>27729-001</t>
  </si>
  <si>
    <t>RFQ-157-2020</t>
  </si>
  <si>
    <t>20CSAB03 - Package 3</t>
  </si>
  <si>
    <t>161-2020</t>
  </si>
  <si>
    <t>TM-20-06-0048</t>
  </si>
  <si>
    <t>2020-218</t>
  </si>
  <si>
    <t>GOODS-2020-039</t>
  </si>
  <si>
    <t>CWD06-202001</t>
  </si>
  <si>
    <t>ITB-2020-06-052</t>
  </si>
  <si>
    <t>211449</t>
  </si>
  <si>
    <t>PUR20-04-0318</t>
  </si>
  <si>
    <t>BAC-20-0110</t>
  </si>
  <si>
    <t>20CSPA001</t>
  </si>
  <si>
    <t>20DL0226</t>
  </si>
  <si>
    <t>RFQ-158-2020</t>
  </si>
  <si>
    <t>211453</t>
  </si>
  <si>
    <t>20-06-FOD0142</t>
  </si>
  <si>
    <t>2020-MUN-GF-018</t>
  </si>
  <si>
    <t>49</t>
  </si>
  <si>
    <t>RFQ-0630 #1 SM-427</t>
  </si>
  <si>
    <t>ITB # 2020-06-038</t>
  </si>
  <si>
    <t>RFQ No. 20-081 Supply and Delivery of Eight (8) Ki</t>
  </si>
  <si>
    <t>211452</t>
  </si>
  <si>
    <t>211450</t>
  </si>
  <si>
    <t>PR2020-06-29-083</t>
  </si>
  <si>
    <t>2020-06-0062</t>
  </si>
  <si>
    <t>2020-0630</t>
  </si>
  <si>
    <t>2020-F051</t>
  </si>
  <si>
    <t>105CO-11267-2RCDG-2020</t>
  </si>
  <si>
    <t>BGHMCPB-2020-17-001</t>
  </si>
  <si>
    <t>101-20-06</t>
  </si>
  <si>
    <t>Goods-117-2020</t>
  </si>
  <si>
    <t>PR2020-06-29-084</t>
  </si>
  <si>
    <t>20DL0227</t>
  </si>
  <si>
    <t>2020_GOODS_013</t>
  </si>
  <si>
    <t>20JF0109</t>
  </si>
  <si>
    <t>211457</t>
  </si>
  <si>
    <t>211458</t>
  </si>
  <si>
    <t>2020-1016-02-002</t>
  </si>
  <si>
    <t>NLPRSD-2020-06-0304</t>
  </si>
  <si>
    <t>RFQ-0630 #2 SM-436/440</t>
  </si>
  <si>
    <t>211455</t>
  </si>
  <si>
    <t>PB 06-07-2020</t>
  </si>
  <si>
    <t>ITB No. 2020-161-pgb offices</t>
  </si>
  <si>
    <t>RFQ-159-2020</t>
  </si>
  <si>
    <t>DENR XII-SP-29-2020</t>
  </si>
  <si>
    <t>M-20-06-039</t>
  </si>
  <si>
    <t>BSWM PR 2020-06-1301</t>
  </si>
  <si>
    <t>20-06-FOD0143</t>
  </si>
  <si>
    <t>211456</t>
  </si>
  <si>
    <t>20DL0225</t>
  </si>
  <si>
    <t>INFRA-2020-01</t>
  </si>
  <si>
    <t>ITB # 2020-06-037</t>
  </si>
  <si>
    <t>RFQ NO. 2020-06-24-(8087)</t>
  </si>
  <si>
    <t>PUR20-06-0475</t>
  </si>
  <si>
    <t>201715</t>
  </si>
  <si>
    <t>211454</t>
  </si>
  <si>
    <t>355-2020</t>
  </si>
  <si>
    <t>211443</t>
  </si>
  <si>
    <t>2020-06-377</t>
  </si>
  <si>
    <t>20CSAB01 - Package 1</t>
  </si>
  <si>
    <t>DILG-2020-003</t>
  </si>
  <si>
    <t>211442</t>
  </si>
  <si>
    <t>RFQ-2020-05D</t>
  </si>
  <si>
    <t>BSWM PR 2020-05-1268</t>
  </si>
  <si>
    <t>SVP 1049-2020</t>
  </si>
  <si>
    <t>QN2020-05-018A</t>
  </si>
  <si>
    <t>DAG-2020-06-048</t>
  </si>
  <si>
    <t>20-05-0651</t>
  </si>
  <si>
    <t>RFQ-150-2020</t>
  </si>
  <si>
    <t>RFQ 2020-0029</t>
  </si>
  <si>
    <t>2020-65</t>
  </si>
  <si>
    <t>RFQ-0630 #3 SM-446</t>
  </si>
  <si>
    <t>SV-0780-2020</t>
  </si>
  <si>
    <t>BSWM PR 2020-06-1342</t>
  </si>
  <si>
    <t>R.I.S. No.: 20-83-125</t>
  </si>
  <si>
    <t>NOSO-LMC-SIP-22-2020</t>
  </si>
  <si>
    <t>2020-CADCADIR EAST-001</t>
  </si>
  <si>
    <t>2020-ANT-GOODS-0125</t>
  </si>
  <si>
    <t>808</t>
  </si>
  <si>
    <t>20MG0149</t>
  </si>
  <si>
    <t>BSWM PR 2020-06-1362</t>
  </si>
  <si>
    <t>ITB No. 014-2020</t>
  </si>
  <si>
    <t>06-20-A110</t>
  </si>
  <si>
    <t>2006-0783</t>
  </si>
  <si>
    <t>PROJECT ID NO. I-2020-011</t>
  </si>
  <si>
    <t>RFQ-160-2020</t>
  </si>
  <si>
    <t>20MG0150</t>
  </si>
  <si>
    <t>ITB No. PPC-20-001</t>
  </si>
  <si>
    <t>211459</t>
  </si>
  <si>
    <t>RFQ-152-2020</t>
  </si>
  <si>
    <t>20MG0151</t>
  </si>
  <si>
    <t>RFQ-2020-037</t>
  </si>
  <si>
    <t>PROJECT ID NO. G-2020-003</t>
  </si>
  <si>
    <t>NP-SVP-310-2020</t>
  </si>
  <si>
    <t>R.I.S. No.: 20-83-121</t>
  </si>
  <si>
    <t>mnto 20 0010</t>
  </si>
  <si>
    <t>2020-06-21</t>
  </si>
  <si>
    <t>2020-66</t>
  </si>
  <si>
    <t>HRDD-NEAP-20-06-358</t>
  </si>
  <si>
    <t>rfq#2020-06-2,610-peo</t>
  </si>
  <si>
    <t>BUE-06302020-01</t>
  </si>
  <si>
    <t>2020-ANT-GOODS-0126</t>
  </si>
  <si>
    <t>2020-078</t>
  </si>
  <si>
    <t>MQE-INFR-2020-001</t>
  </si>
  <si>
    <t>IB NO. CW 2020 - 102</t>
  </si>
  <si>
    <t>RFQ No. 002-2020</t>
  </si>
  <si>
    <t>20-06-0014</t>
  </si>
  <si>
    <t>RFQ 2020-06-0130</t>
  </si>
  <si>
    <t>DENR XII-SP-30-2020</t>
  </si>
  <si>
    <t>BUE-06302020-03</t>
  </si>
  <si>
    <t>RFQ-0630 #4 SM-427</t>
  </si>
  <si>
    <t>BUE-06302020-02</t>
  </si>
  <si>
    <t>2020-SRV-014</t>
  </si>
  <si>
    <t>RFQ 2020-254</t>
  </si>
  <si>
    <t>DAG-2020-06-050</t>
  </si>
  <si>
    <t>PR-2020-1392</t>
  </si>
  <si>
    <t>RFQ-20-06-010 INK CARTRIDGE</t>
  </si>
  <si>
    <t>salbac 2020 28</t>
  </si>
  <si>
    <t>06-20-A116</t>
  </si>
  <si>
    <t>20-06-263</t>
  </si>
  <si>
    <t xml:space="preserve">RFQ No. 20-090 One (1) Lot Supply and Delivery of </t>
  </si>
  <si>
    <t>20-06-264</t>
  </si>
  <si>
    <t>BSWM PR 2020-06-1363</t>
  </si>
  <si>
    <t>Sip-2020-079</t>
  </si>
  <si>
    <t>Ibaan/2020/242</t>
  </si>
  <si>
    <t>20GCF0002</t>
  </si>
  <si>
    <t>DD-2020-06-04</t>
  </si>
  <si>
    <t>2020-06-115-S</t>
  </si>
  <si>
    <t>AFPREO-RMB-1331-20</t>
  </si>
  <si>
    <t>PR-2020-1434</t>
  </si>
  <si>
    <t>NP-SVP-311-2020</t>
  </si>
  <si>
    <t>PROJECT ID NO. I-2020-010</t>
  </si>
  <si>
    <t>50</t>
  </si>
  <si>
    <t>SN# 2020-06-11</t>
  </si>
  <si>
    <t>20-06-0022</t>
  </si>
  <si>
    <t>PR-2020-06-872</t>
  </si>
  <si>
    <t>TO 2020-002</t>
  </si>
  <si>
    <t>RFQ 2020-0030</t>
  </si>
  <si>
    <t>06-2020</t>
  </si>
  <si>
    <t>300620-CRS-011-20</t>
  </si>
  <si>
    <t>RFQ2020-06-1007</t>
  </si>
  <si>
    <t>RIO-GOODS-13-2020</t>
  </si>
  <si>
    <t>006</t>
  </si>
  <si>
    <t>AFPREO-RMB-1332-20</t>
  </si>
  <si>
    <t>IB 2020-038</t>
  </si>
  <si>
    <t>SDO-Val.-2020-07-0012</t>
  </si>
  <si>
    <t>AMP-RFQ-2020-088</t>
  </si>
  <si>
    <t>51</t>
  </si>
  <si>
    <t>2020-75 (GAS)</t>
  </si>
  <si>
    <t>rep-001</t>
  </si>
  <si>
    <t>300620-CRS-012-20</t>
  </si>
  <si>
    <t>201766</t>
  </si>
  <si>
    <t>PROJECT ID NO. I-2020-014</t>
  </si>
  <si>
    <t>RFQ 2020-06-0131</t>
  </si>
  <si>
    <t>20-06-086</t>
  </si>
  <si>
    <t>PROJECT ID NO. I-2020-013</t>
  </si>
  <si>
    <t>PR-2020-1636</t>
  </si>
  <si>
    <t>PR-2020-0454</t>
  </si>
  <si>
    <t>4PS-2020-06-0225</t>
  </si>
  <si>
    <t>CANWD2020-JULY-001</t>
  </si>
  <si>
    <t>52</t>
  </si>
  <si>
    <t>PGL-20 NEGO 32-06</t>
  </si>
  <si>
    <t>2020-GOODS-258</t>
  </si>
  <si>
    <t>20DL0228</t>
  </si>
  <si>
    <t>201774</t>
  </si>
  <si>
    <t>0620010</t>
  </si>
  <si>
    <t>PR-2020-1579</t>
  </si>
  <si>
    <t>PR-2020-1440</t>
  </si>
  <si>
    <t>201593</t>
  </si>
  <si>
    <t>NP-SVP-312-2020</t>
  </si>
  <si>
    <t>RFQ 2020-248</t>
  </si>
  <si>
    <t>20-06-095</t>
  </si>
  <si>
    <t>DENR N.Ecija-2020-041</t>
  </si>
  <si>
    <t>2020-06-0054</t>
  </si>
  <si>
    <t>PHO-SC-2020-003 PR2020-168</t>
  </si>
  <si>
    <t>PHO-SC-2020-004 PR2020-175</t>
  </si>
  <si>
    <t>201797</t>
  </si>
  <si>
    <t>MP-063020-56</t>
  </si>
  <si>
    <t>PGL-20 NEGO 35-06</t>
  </si>
  <si>
    <t>ConstCR2020-July-1</t>
  </si>
  <si>
    <t>201475</t>
  </si>
  <si>
    <t>PGL-20 NEGO 34-06</t>
  </si>
  <si>
    <t>PR-2020-0403</t>
  </si>
  <si>
    <t>020</t>
  </si>
  <si>
    <t>20-06-087</t>
  </si>
  <si>
    <t>007</t>
  </si>
  <si>
    <t>PGL-20 NEGO 33-06</t>
  </si>
  <si>
    <t>20DL0229</t>
  </si>
  <si>
    <t>PGL-20 NEGO 36-06</t>
  </si>
  <si>
    <t>PSAXI-PSO1123-RFQ20-05</t>
  </si>
  <si>
    <t>RFQ NO. 20-06-003</t>
  </si>
  <si>
    <t>TIEZA-70-2020</t>
  </si>
  <si>
    <t>05-20-A105</t>
  </si>
  <si>
    <t>2020 - 012</t>
  </si>
  <si>
    <t>RFQ-2020-006</t>
  </si>
  <si>
    <t>PR# 0120-045</t>
  </si>
  <si>
    <t>2020-229</t>
  </si>
  <si>
    <t>PHO-SC-2020-005 PR2020-177</t>
  </si>
  <si>
    <t>RFQ NO.  20-06-004</t>
  </si>
  <si>
    <t>BSVP 2041</t>
  </si>
  <si>
    <t>LGU-AL-G-31-2020</t>
  </si>
  <si>
    <t>RFQ-2020-06-55</t>
  </si>
  <si>
    <t>PSAXI-PSO1123-RFQ20-06</t>
  </si>
  <si>
    <t>TIEZA-74-2020</t>
  </si>
  <si>
    <t>MH-GOODS-TLDC-PWD-PRINTING-SERVICES-EQPT-689</t>
  </si>
  <si>
    <t>S-2020-74</t>
  </si>
  <si>
    <t>PR-2020-0706</t>
  </si>
  <si>
    <t>20-06-04</t>
  </si>
  <si>
    <t>PHO-NC-2020-127 PR2020-174</t>
  </si>
  <si>
    <t>2020-06-3103</t>
  </si>
  <si>
    <t>20OE0207</t>
  </si>
  <si>
    <t>110.2020</t>
  </si>
  <si>
    <t>CW -20-0701-023</t>
  </si>
  <si>
    <t>TIEZA-73-2020</t>
  </si>
  <si>
    <t>GENSERV-2020-06-0226</t>
  </si>
  <si>
    <t>PR. NO. 2020-06-011</t>
  </si>
  <si>
    <t>TIEZA-72-2020</t>
  </si>
  <si>
    <t>TIEZA-71-2020</t>
  </si>
  <si>
    <t>060-20</t>
  </si>
  <si>
    <t>CW -20-0701-022</t>
  </si>
  <si>
    <t>rfq of laborers</t>
  </si>
  <si>
    <t>472-06-2020 (DEP-ED)</t>
  </si>
  <si>
    <t>PIN2020-084</t>
  </si>
  <si>
    <t>2020-06-359</t>
  </si>
  <si>
    <t>06-095-2020</t>
  </si>
  <si>
    <t>06-30-2020</t>
  </si>
  <si>
    <t>2020-06-394</t>
  </si>
  <si>
    <t>PSAXI-PSO1123-RFQ20-07</t>
  </si>
  <si>
    <t>CW -20-0701-033</t>
  </si>
  <si>
    <t>PR-2020-1012</t>
  </si>
  <si>
    <t>06-30-2020-240</t>
  </si>
  <si>
    <t>02-06-2020</t>
  </si>
  <si>
    <t>PHO-NC-2020-128 PR2020-176</t>
  </si>
  <si>
    <t>PR 05-3471</t>
  </si>
  <si>
    <t>BAC CONSULTING 2020-01</t>
  </si>
  <si>
    <t>N20-SBL-106</t>
  </si>
  <si>
    <t>2020-02-0208</t>
  </si>
  <si>
    <t>PGL-20 NEGO 37-06</t>
  </si>
  <si>
    <t>06-30-2020-241</t>
  </si>
  <si>
    <t>0120-171</t>
  </si>
  <si>
    <t>CW -20-0701-027</t>
  </si>
  <si>
    <t>20-06-05</t>
  </si>
  <si>
    <t>RFQ-2020-007</t>
  </si>
  <si>
    <t>PR-2020-1583</t>
  </si>
  <si>
    <t>CW -20-0701-041</t>
  </si>
  <si>
    <t>CW -20-0701-0145R</t>
  </si>
  <si>
    <t>2002-012-01</t>
  </si>
  <si>
    <t>1002000600872</t>
  </si>
  <si>
    <t>Aklan BAC RFQ 373 Series of 2020</t>
  </si>
  <si>
    <t>100-2006-0330A</t>
  </si>
  <si>
    <t>2020-06-415</t>
  </si>
  <si>
    <t>20-06-363</t>
  </si>
  <si>
    <t>PSAXI-PSO1123-RFQ20-08</t>
  </si>
  <si>
    <t>20-06-287</t>
  </si>
  <si>
    <t>20CH0076</t>
  </si>
  <si>
    <t>2020-02-0209</t>
  </si>
  <si>
    <t>CW -20-0701-045</t>
  </si>
  <si>
    <t>salbac 2020 29</t>
  </si>
  <si>
    <t>20-07</t>
  </si>
  <si>
    <t>BAC-PGCS-161-2020</t>
  </si>
  <si>
    <t>BAC 1-2020-06-069</t>
  </si>
  <si>
    <t>PR No. 1267 - 20BAC</t>
  </si>
  <si>
    <t>PR-2020-06-0019</t>
  </si>
  <si>
    <t>0120-170</t>
  </si>
  <si>
    <t>2020-GOODS-257</t>
  </si>
  <si>
    <t>PIKCOT-SUPP-002020-00144</t>
  </si>
  <si>
    <t>20-20-06-213</t>
  </si>
  <si>
    <t>100200600873</t>
  </si>
  <si>
    <t>NIAREG9-06-2020-COB-080 (SH)</t>
  </si>
  <si>
    <t>2020-06-089</t>
  </si>
  <si>
    <t>CW -20-0701-0163R</t>
  </si>
  <si>
    <t>HILONGOS 2020-194</t>
  </si>
  <si>
    <t>ITB GOODS 20-07-012</t>
  </si>
  <si>
    <t>PR. NO. 2020-05-001</t>
  </si>
  <si>
    <t>CAD(CSU)-20-015</t>
  </si>
  <si>
    <t>PR2020-06-29-082</t>
  </si>
  <si>
    <t>PR# 2020-06-0308</t>
  </si>
  <si>
    <t>RFQ No.21 - 2020</t>
  </si>
  <si>
    <t>N20-VCM-107</t>
  </si>
  <si>
    <t>20CSFN0001</t>
  </si>
  <si>
    <t>PIKCOT-SUPP-002020-00143</t>
  </si>
  <si>
    <t>2020-06-084</t>
  </si>
  <si>
    <t>2020-06-PR044</t>
  </si>
  <si>
    <t>2020-06-22</t>
  </si>
  <si>
    <t>80-20-06-078</t>
  </si>
  <si>
    <t>471-06-2020 (DEP-ED)</t>
  </si>
  <si>
    <t>PSAXI-PSO1123-RFQ20-09</t>
  </si>
  <si>
    <t>LGUTMO BAC 2020-1076</t>
  </si>
  <si>
    <t>06-30-2020-242</t>
  </si>
  <si>
    <t>2020-06-021-101</t>
  </si>
  <si>
    <t>469-06-2020 (IPHO)</t>
  </si>
  <si>
    <t>RFQ-0630 #5 SM-477</t>
  </si>
  <si>
    <t>Supply and Delivery of Construction Materials for</t>
  </si>
  <si>
    <t>ITB-2020-06-046</t>
  </si>
  <si>
    <t>PIKCOT-SUPP-002020-00145</t>
  </si>
  <si>
    <t>PSAXI-PSO1123-RFQ20-10</t>
  </si>
  <si>
    <t>06-30-2020-243</t>
  </si>
  <si>
    <t>2020-02-0212</t>
  </si>
  <si>
    <t>2020-06-0385</t>
  </si>
  <si>
    <t>2020-03-0057</t>
  </si>
  <si>
    <t>2020-06-057-1</t>
  </si>
  <si>
    <t>0000177-006-030-2020</t>
  </si>
  <si>
    <t>20-20-04-147</t>
  </si>
  <si>
    <t>141-2020</t>
  </si>
  <si>
    <t>RFQ for PR 2020-06-0062 (Air-con &amp; water dispenser</t>
  </si>
  <si>
    <t>2020-03-0067</t>
  </si>
  <si>
    <t>2020-06-0174 MISS</t>
  </si>
  <si>
    <t>PSAXI-PSO1123-RFQ20-11</t>
  </si>
  <si>
    <t>BAC-SBSL-MEO-2020-13</t>
  </si>
  <si>
    <t>2020-03-0066</t>
  </si>
  <si>
    <t>142-2020</t>
  </si>
  <si>
    <t>03-076-2020</t>
  </si>
  <si>
    <t>20-06-55</t>
  </si>
  <si>
    <t>NV 2020-225</t>
  </si>
  <si>
    <t>464-06-2020 (PGO Grants and Donation)</t>
  </si>
  <si>
    <t>4AQ-SIP-20-018</t>
  </si>
  <si>
    <t>PSAXI-PSO1123-RFQ20-13</t>
  </si>
  <si>
    <t>20-20-04-146</t>
  </si>
  <si>
    <t>2020-06-0299</t>
  </si>
  <si>
    <t>138-2020</t>
  </si>
  <si>
    <t>REC-2020-028</t>
  </si>
  <si>
    <t>PR#2020-06-094</t>
  </si>
  <si>
    <t>MH-GOODS-MEO-ELECTRICAL-MATERIALS-926</t>
  </si>
  <si>
    <t>2020-03-0076</t>
  </si>
  <si>
    <t>BIDDING20-26</t>
  </si>
  <si>
    <t>CW -20-0701-0135N</t>
  </si>
  <si>
    <t>NV 2020-226</t>
  </si>
  <si>
    <t>2020-06-086</t>
  </si>
  <si>
    <t>20-06-266</t>
  </si>
  <si>
    <t>PSAXI-PSO1123-RFQ20-12</t>
  </si>
  <si>
    <t>R.I.S. No.: 20-82-027</t>
  </si>
  <si>
    <t>NHCP-2020-105</t>
  </si>
  <si>
    <t>RFQ-0630 #6 SM-483</t>
  </si>
  <si>
    <t>20-20-04-150</t>
  </si>
  <si>
    <t>DCS-2020-16</t>
  </si>
  <si>
    <t>2020-06-061</t>
  </si>
  <si>
    <t>144-2020</t>
  </si>
  <si>
    <t>100-20-06-151</t>
  </si>
  <si>
    <t>goods 2020-001</t>
  </si>
  <si>
    <t>0233-2020</t>
  </si>
  <si>
    <t>201602</t>
  </si>
  <si>
    <t>NV 2020-224</t>
  </si>
  <si>
    <t>2020-148</t>
  </si>
  <si>
    <t>3000-200-1-2</t>
  </si>
  <si>
    <t>2020-04-0034</t>
  </si>
  <si>
    <t>CW -20-0701-017N</t>
  </si>
  <si>
    <t>2020-GOODS-259</t>
  </si>
  <si>
    <t>PR No. 300-20-06-338</t>
  </si>
  <si>
    <t>2020-04-0030</t>
  </si>
  <si>
    <t>2020-06-091-GS</t>
  </si>
  <si>
    <t>20-20-04-151</t>
  </si>
  <si>
    <t>201603</t>
  </si>
  <si>
    <t>DCS-2020-15</t>
  </si>
  <si>
    <t>2020-052</t>
  </si>
  <si>
    <t>2020-04-0033</t>
  </si>
  <si>
    <t>BIDDING2027</t>
  </si>
  <si>
    <t>2020-341</t>
  </si>
  <si>
    <t>2020-AP-06-024</t>
  </si>
  <si>
    <t>2020-06-062</t>
  </si>
  <si>
    <t>2020-06-0009</t>
  </si>
  <si>
    <t>20-06-217</t>
  </si>
  <si>
    <t>140-2020</t>
  </si>
  <si>
    <t>2020- 029 SVP</t>
  </si>
  <si>
    <t>2020-06-362</t>
  </si>
  <si>
    <t>R.I.S. No.: 20-83-111</t>
  </si>
  <si>
    <t>S20-102</t>
  </si>
  <si>
    <t>20-20-04-144</t>
  </si>
  <si>
    <t>20-06-20</t>
  </si>
  <si>
    <t>R3-2020-015B</t>
  </si>
  <si>
    <t>Goods-030A-2020</t>
  </si>
  <si>
    <t>143-2020</t>
  </si>
  <si>
    <t>2020-342</t>
  </si>
  <si>
    <t>PR. NO. 2020060739</t>
  </si>
  <si>
    <t>2020-06-087</t>
  </si>
  <si>
    <t>20-06-101</t>
  </si>
  <si>
    <t>PSAXI-PSO1123-RFQ20-16</t>
  </si>
  <si>
    <t>06-30-01</t>
  </si>
  <si>
    <t>20-06-06</t>
  </si>
  <si>
    <t>RFQ 2020-0273</t>
  </si>
  <si>
    <t>2020-343</t>
  </si>
  <si>
    <t>BOC-GOODS-2020-02</t>
  </si>
  <si>
    <t>20-20-04-148</t>
  </si>
  <si>
    <t>BAC-PG-001-20</t>
  </si>
  <si>
    <t>CW -20-0701-029N</t>
  </si>
  <si>
    <t>2020-0301</t>
  </si>
  <si>
    <t>MO-FUEL-PR2020-06-118-SVP</t>
  </si>
  <si>
    <t>0234-2020</t>
  </si>
  <si>
    <t>200-20-02-002</t>
  </si>
  <si>
    <t>2020-344</t>
  </si>
  <si>
    <t>0049-20</t>
  </si>
  <si>
    <t>MAO-PR2020-06-124-S</t>
  </si>
  <si>
    <t>00018</t>
  </si>
  <si>
    <t>PR 257-020</t>
  </si>
  <si>
    <t>02-050-2020</t>
  </si>
  <si>
    <t>RFQ2020-21</t>
  </si>
  <si>
    <t>20GOE0014</t>
  </si>
  <si>
    <t>20-20-04-145</t>
  </si>
  <si>
    <t>06-30-03</t>
  </si>
  <si>
    <t>PB 06-08-2020</t>
  </si>
  <si>
    <t>2020-06-0031</t>
  </si>
  <si>
    <t>2020-06-0038</t>
  </si>
  <si>
    <t>PSAXI-PSO1123-RFQ20-17</t>
  </si>
  <si>
    <t>PR No. 2020-06-130</t>
  </si>
  <si>
    <t>PNPTR-DIDM-DP-20-06</t>
  </si>
  <si>
    <t>06-30-02</t>
  </si>
  <si>
    <t>06-30-2020-1</t>
  </si>
  <si>
    <t>PR No. 2020-06-129</t>
  </si>
  <si>
    <t>2020-6-1473</t>
  </si>
  <si>
    <t>CW -20-0701-019N</t>
  </si>
  <si>
    <t>PRDP-RPCOXI-SIC-013-2020</t>
  </si>
  <si>
    <t>PSAXI-PSO1123-RFQ20-18</t>
  </si>
  <si>
    <t>2020-30-06-32</t>
  </si>
  <si>
    <t>20-06-PM0108</t>
  </si>
  <si>
    <t>RFQ-2020-06-0009</t>
  </si>
  <si>
    <t>008</t>
  </si>
  <si>
    <t>rfq 2020-07-02</t>
  </si>
  <si>
    <t>20-06-07</t>
  </si>
  <si>
    <t>Goods-030B-2020</t>
  </si>
  <si>
    <t>201743</t>
  </si>
  <si>
    <t>REC-2020-029</t>
  </si>
  <si>
    <t>201757</t>
  </si>
  <si>
    <t>2020/06/065</t>
  </si>
  <si>
    <t>QN2020-006-007</t>
  </si>
  <si>
    <t>DepEd.Pang2 20-006-0001</t>
  </si>
  <si>
    <t>PSAXI-PSO1123-RFQ20-14</t>
  </si>
  <si>
    <t>HILONGOS 2020-195</t>
  </si>
  <si>
    <t>2020-06-092-GS</t>
  </si>
  <si>
    <t>2020-04-0029</t>
  </si>
  <si>
    <t>ITB20OA0075</t>
  </si>
  <si>
    <t>4AQ-LPA-20-019B</t>
  </si>
  <si>
    <t>02-20</t>
  </si>
  <si>
    <t>CW -20-0701-0169N</t>
  </si>
  <si>
    <t>2020-230</t>
  </si>
  <si>
    <t>CW -20-0701-0137N</t>
  </si>
  <si>
    <t>SVP 34</t>
  </si>
  <si>
    <t>ATI2020-06-162</t>
  </si>
  <si>
    <t>20-06-FOD0147</t>
  </si>
  <si>
    <t>20GME0047</t>
  </si>
  <si>
    <t>ITB No. GOODS-20-116</t>
  </si>
  <si>
    <t>RFQ-0630 #7 SM-484</t>
  </si>
  <si>
    <t>ITB20OA0074</t>
  </si>
  <si>
    <t>PR/RFQ# 2020-06-121</t>
  </si>
  <si>
    <t>ITB No. 20-057  ONE (1) LOT SUPPLY AND DELIVERY OF</t>
  </si>
  <si>
    <t>Goods-030C-2020</t>
  </si>
  <si>
    <t>20GME0048</t>
  </si>
  <si>
    <t>CW -20-0701-0177N</t>
  </si>
  <si>
    <t>2020.06.30.01</t>
  </si>
  <si>
    <t>IBGS-2020-03</t>
  </si>
  <si>
    <t>2020-06-365</t>
  </si>
  <si>
    <t>06-30-05</t>
  </si>
  <si>
    <t>ITB 22-2020</t>
  </si>
  <si>
    <t>NV 2020-227</t>
  </si>
  <si>
    <t>RFQ # 2020-06-2041</t>
  </si>
  <si>
    <t>PR#2020-06-007-LD</t>
  </si>
  <si>
    <t>CSC-ITB No. 2020-08 (Proc. of Laptops &amp; Printers</t>
  </si>
  <si>
    <t>2020-06-331</t>
  </si>
  <si>
    <t>S-313-2020</t>
  </si>
  <si>
    <t>SVP 33</t>
  </si>
  <si>
    <t>RFQ-0630 #8 SM-485/486</t>
  </si>
  <si>
    <t>035</t>
  </si>
  <si>
    <t>2020-06-113</t>
  </si>
  <si>
    <t>1176-20-06-81</t>
  </si>
  <si>
    <t>BFAR IV-A.PR20-0349</t>
  </si>
  <si>
    <t>BALZN9-2011</t>
  </si>
  <si>
    <t>INFR-025-2020</t>
  </si>
  <si>
    <t>2020-0601</t>
  </si>
  <si>
    <t>20GOE0015</t>
  </si>
  <si>
    <t>06302020-031</t>
  </si>
  <si>
    <t>20-06-FOD0148</t>
  </si>
  <si>
    <t>SVP-093-20</t>
  </si>
  <si>
    <t>CW -20-0701-0184N</t>
  </si>
  <si>
    <t>G-2020-021</t>
  </si>
  <si>
    <t>20GOE0016</t>
  </si>
  <si>
    <t>2020.06.30</t>
  </si>
  <si>
    <t>20GME0049</t>
  </si>
  <si>
    <t>2020-30-06-33</t>
  </si>
  <si>
    <t>PR NO. 81-S</t>
  </si>
  <si>
    <t>4AQ-LPQ-20-020SP</t>
  </si>
  <si>
    <t>20GG00020</t>
  </si>
  <si>
    <t>BAC 1-2020-06-070</t>
  </si>
  <si>
    <t>2020-JUNE-017</t>
  </si>
  <si>
    <t>20-06-09</t>
  </si>
  <si>
    <t>REC-2020-030</t>
  </si>
  <si>
    <t>RFQ#2020-029</t>
  </si>
  <si>
    <t>06-30-06</t>
  </si>
  <si>
    <t>2020-26</t>
  </si>
  <si>
    <t>20DQ0129</t>
  </si>
  <si>
    <t>BSU Project No. 2020-218</t>
  </si>
  <si>
    <t>20GME0050</t>
  </si>
  <si>
    <t>PSU-SUPPLY-RFQ-2020-10(DIFFERENT OFFICES)</t>
  </si>
  <si>
    <t>100-20-02-025</t>
  </si>
  <si>
    <t>100-20-06-0290</t>
  </si>
  <si>
    <t>100-2020-Infra-398</t>
  </si>
  <si>
    <t>PR NO. 202-S</t>
  </si>
  <si>
    <t>20GME0051</t>
  </si>
  <si>
    <t>20-0672-7999-8</t>
  </si>
  <si>
    <t>2020/06/066</t>
  </si>
  <si>
    <t>026-20</t>
  </si>
  <si>
    <t>2020-06-30 HMD</t>
  </si>
  <si>
    <t>DAG-2020-06-049</t>
  </si>
  <si>
    <t>20-06-RES0435</t>
  </si>
  <si>
    <t>IB NO. 07-2020- PROCUREMENT OF MEDICAL EQUIPMENT F</t>
  </si>
  <si>
    <t>2020-06-426</t>
  </si>
  <si>
    <t>PNPTR-DIDM-DP-20-05</t>
  </si>
  <si>
    <t>I4-20-0565</t>
  </si>
  <si>
    <t>20GME0053</t>
  </si>
  <si>
    <t>ITB-2020-017</t>
  </si>
  <si>
    <t>REC-2020-031</t>
  </si>
  <si>
    <t>2020-06-06</t>
  </si>
  <si>
    <t>100-20-06-394</t>
  </si>
  <si>
    <t>06-30-07</t>
  </si>
  <si>
    <t>G-2020-022</t>
  </si>
  <si>
    <t>20GG00021</t>
  </si>
  <si>
    <t>6-39</t>
  </si>
  <si>
    <t>CW -20-0701-0134N</t>
  </si>
  <si>
    <t>20GME0052</t>
  </si>
  <si>
    <t>INFR-026-2020</t>
  </si>
  <si>
    <t>20GME0054</t>
  </si>
  <si>
    <t>ITB20OA0076</t>
  </si>
  <si>
    <t>021</t>
  </si>
  <si>
    <t>2020-07-0087</t>
  </si>
  <si>
    <t>20GME0055</t>
  </si>
  <si>
    <t>6-38-20</t>
  </si>
  <si>
    <t>2020-101-059</t>
  </si>
  <si>
    <t>2020-02-15</t>
  </si>
  <si>
    <t>20GME0056</t>
  </si>
  <si>
    <t>SJ-20-172</t>
  </si>
  <si>
    <t>20CH0073</t>
  </si>
  <si>
    <t>Grants-20-06-40</t>
  </si>
  <si>
    <t>100-20-06-0289</t>
  </si>
  <si>
    <t>NPSV46-2020</t>
  </si>
  <si>
    <t>2020-06-271a</t>
  </si>
  <si>
    <t>06044520</t>
  </si>
  <si>
    <t>06-30-08</t>
  </si>
  <si>
    <t>20-06-19</t>
  </si>
  <si>
    <t>06-30-09</t>
  </si>
  <si>
    <t>2020 DHVSU - 028</t>
  </si>
  <si>
    <t>2020 - 086</t>
  </si>
  <si>
    <t>PR/RFQ# 2020-06-123</t>
  </si>
  <si>
    <t>ITB No. 2020-07-01</t>
  </si>
  <si>
    <t>2020-06-092</t>
  </si>
  <si>
    <t>M-20-014</t>
  </si>
  <si>
    <t>6-39-20</t>
  </si>
  <si>
    <t>CW -20-0701-0120N</t>
  </si>
  <si>
    <t>TPB-PR 2020.06.193 SERVICE OF A TOUR OPERATOR</t>
  </si>
  <si>
    <t>20GME0045</t>
  </si>
  <si>
    <t>CW 2020-06-015</t>
  </si>
  <si>
    <t>NV 2020-228</t>
  </si>
  <si>
    <t>20GME0057</t>
  </si>
  <si>
    <t>CW-2020-004</t>
  </si>
  <si>
    <t>100-20-06-393</t>
  </si>
  <si>
    <t>cgb2020-236</t>
  </si>
  <si>
    <t>BAC-20-06-063 (OED)</t>
  </si>
  <si>
    <t>CSC-ITB No. 2020-09 (Proc. of AVS Licenses)</t>
  </si>
  <si>
    <t>3161</t>
  </si>
  <si>
    <t>100-20-06-387</t>
  </si>
  <si>
    <t>2020-06-379</t>
  </si>
  <si>
    <t>20GME0046</t>
  </si>
  <si>
    <t>20GOE0017</t>
  </si>
  <si>
    <t>lamak 2020-07</t>
  </si>
  <si>
    <t>C10-20-1445</t>
  </si>
  <si>
    <t>06-30-10</t>
  </si>
  <si>
    <t>20-06-002</t>
  </si>
  <si>
    <t>ITB No. GOODS-20-117</t>
  </si>
  <si>
    <t>20200630-30</t>
  </si>
  <si>
    <t>CW -20-0701-0174N</t>
  </si>
  <si>
    <t>NV 2020-229</t>
  </si>
  <si>
    <t>BAYLEGOOD0620069</t>
  </si>
  <si>
    <t>DENR-NCR, PR NO. 2020-462</t>
  </si>
  <si>
    <t>SAR-GOODS-06-067-2020</t>
  </si>
  <si>
    <t>R3-2020-06-019</t>
  </si>
  <si>
    <t>CW 2020-06-016</t>
  </si>
  <si>
    <t>20-06-0345</t>
  </si>
  <si>
    <t>0235-2020</t>
  </si>
  <si>
    <t>SAR-GOODS-06-068-2020</t>
  </si>
  <si>
    <t>20GOE0018</t>
  </si>
  <si>
    <t>2020-182</t>
  </si>
  <si>
    <t>PB 2020 - 002</t>
  </si>
  <si>
    <t>025-20</t>
  </si>
  <si>
    <t>100-20-06-143</t>
  </si>
  <si>
    <t>2020 ITB - 026</t>
  </si>
  <si>
    <t>PR# 20-0808</t>
  </si>
  <si>
    <t>2020-06-25</t>
  </si>
  <si>
    <t>20GME0058</t>
  </si>
  <si>
    <t>CSC-ITB No. 2020-10  (Proc. of Primary Internet Se</t>
  </si>
  <si>
    <t>197</t>
  </si>
  <si>
    <t>2020-184</t>
  </si>
  <si>
    <t>ITB No. 2020-07-02</t>
  </si>
  <si>
    <t>CW 2020-06-017</t>
  </si>
  <si>
    <t>G-116-20</t>
  </si>
  <si>
    <t>TAL-07-05-2020</t>
  </si>
  <si>
    <t>Goods 2020-060</t>
  </si>
  <si>
    <t>TIEZA-75-2020</t>
  </si>
  <si>
    <t>SAR-INFRA-06-098-2020</t>
  </si>
  <si>
    <t>2020-GOODS-7</t>
  </si>
  <si>
    <t>20-1022-06-14</t>
  </si>
  <si>
    <t>EMERGENCY 020-2020</t>
  </si>
  <si>
    <t>0013-0010-1047-2020</t>
  </si>
  <si>
    <t>20GOE0019</t>
  </si>
  <si>
    <t>SAR-GOODS-06-106-2020</t>
  </si>
  <si>
    <t>Goods 2020-061</t>
  </si>
  <si>
    <t>198</t>
  </si>
  <si>
    <t>20GME0059</t>
  </si>
  <si>
    <t>2019-1341</t>
  </si>
  <si>
    <t>20-0625-047</t>
  </si>
  <si>
    <t>101-20-06-01</t>
  </si>
  <si>
    <t>AREA V- 2020-SVP-026</t>
  </si>
  <si>
    <t>2020-06-20</t>
  </si>
  <si>
    <t>RFQ 2020-06-0132</t>
  </si>
  <si>
    <t>2020-183</t>
  </si>
  <si>
    <t>PSHSCLC_TAKEOVERASTBP1</t>
  </si>
  <si>
    <t>6-42</t>
  </si>
  <si>
    <t>ND - 2020 - 02 - 0002</t>
  </si>
  <si>
    <t>20GOE0020</t>
  </si>
  <si>
    <t>2020-0602</t>
  </si>
  <si>
    <t>NIA-NOIMO-2020-06-0203</t>
  </si>
  <si>
    <t>BAYLEGOOD0620070</t>
  </si>
  <si>
    <t>20GOE0021</t>
  </si>
  <si>
    <t>2020-50</t>
  </si>
  <si>
    <t>2020-185</t>
  </si>
  <si>
    <t>C10-20-1444</t>
  </si>
  <si>
    <t>6-41</t>
  </si>
  <si>
    <t>20-06-108</t>
  </si>
  <si>
    <t>20-356</t>
  </si>
  <si>
    <t>3162</t>
  </si>
  <si>
    <t>017-ECE20</t>
  </si>
  <si>
    <t>948852</t>
  </si>
  <si>
    <t>TO 2020-004</t>
  </si>
  <si>
    <t>2020-06-0035</t>
  </si>
  <si>
    <t>06-20-0450</t>
  </si>
  <si>
    <t>398-2020</t>
  </si>
  <si>
    <t>42-201630-2020</t>
  </si>
  <si>
    <t>RFQ-NP-SVP-262-2020</t>
  </si>
  <si>
    <t>RFQ 2020 536</t>
  </si>
  <si>
    <t>TAL-07-06-2020</t>
  </si>
  <si>
    <t>20FJ0029</t>
  </si>
  <si>
    <t>20GOE0022</t>
  </si>
  <si>
    <t>20-078</t>
  </si>
  <si>
    <t>2020-063001</t>
  </si>
  <si>
    <t>CW -20-0701-0159N</t>
  </si>
  <si>
    <t>LGU-Camalig-Goods-17</t>
  </si>
  <si>
    <t>2020-06-0021</t>
  </si>
  <si>
    <t>IAEB 236-253</t>
  </si>
  <si>
    <t>cal06292020-01</t>
  </si>
  <si>
    <t>R3-2020-06-018</t>
  </si>
  <si>
    <t>SAR-GOODS-06-109-2020</t>
  </si>
  <si>
    <t>lam-bac-219-020</t>
  </si>
  <si>
    <t>B4-20-131</t>
  </si>
  <si>
    <t>109.2020</t>
  </si>
  <si>
    <t>EMERGENCY 021-2020</t>
  </si>
  <si>
    <t>948853, 948854</t>
  </si>
  <si>
    <t>SAR-GOODS-06-108-2020</t>
  </si>
  <si>
    <t>DENR10 2020-06-0283</t>
  </si>
  <si>
    <t>GOODS-2020-30-2ND</t>
  </si>
  <si>
    <t>LGU-Camalig-Goods-18</t>
  </si>
  <si>
    <t>INFRA-2020-046</t>
  </si>
  <si>
    <t>AREA V- 2020- SVP-027</t>
  </si>
  <si>
    <t>20-06-884</t>
  </si>
  <si>
    <t>SAR-GOODS-06-110-2020</t>
  </si>
  <si>
    <t>20FJ0030</t>
  </si>
  <si>
    <t>GSD-J-20-308</t>
  </si>
  <si>
    <t>INFRA-2020-045</t>
  </si>
  <si>
    <t>LGU-Camalig-Goods-19</t>
  </si>
  <si>
    <t>RFQ-NP-SVP-re246-2020</t>
  </si>
  <si>
    <t>Contract No. RO-PG2020-001</t>
  </si>
  <si>
    <t>BAC 2020-06-043</t>
  </si>
  <si>
    <t>2020-06-0369</t>
  </si>
  <si>
    <t>MR19-11-199</t>
  </si>
  <si>
    <t>2020-063002</t>
  </si>
  <si>
    <t>ND - 2020 - 05 - 0001</t>
  </si>
  <si>
    <t>20-CRG-20-06-1062</t>
  </si>
  <si>
    <t>DES 1136-20</t>
  </si>
  <si>
    <t>20-06-108A</t>
  </si>
  <si>
    <t>RFQ-NP-SVP-re258-2020</t>
  </si>
  <si>
    <t>20FJ0031</t>
  </si>
  <si>
    <t>HBC20-05-231, 234 to 238 &amp; OVP20-05-085</t>
  </si>
  <si>
    <t>2020-06-0168</t>
  </si>
  <si>
    <t>43-201706-2020</t>
  </si>
  <si>
    <t>ITB-2020-014</t>
  </si>
  <si>
    <t>385-2020</t>
  </si>
  <si>
    <t>06-20-0439</t>
  </si>
  <si>
    <t>IBA-04a</t>
  </si>
  <si>
    <t>BAYLEGOOD0620071</t>
  </si>
  <si>
    <t>2020-06-2027</t>
  </si>
  <si>
    <t>2020-063004</t>
  </si>
  <si>
    <t>20-06-020B</t>
  </si>
  <si>
    <t>PNPTR-HRAO-DP-20-07</t>
  </si>
  <si>
    <t>PRF # 2020-0108</t>
  </si>
  <si>
    <t>UPC SVP2020-07-026</t>
  </si>
  <si>
    <t>010</t>
  </si>
  <si>
    <t>PBI-2020-19</t>
  </si>
  <si>
    <t>2020-0009</t>
  </si>
  <si>
    <t>20-071</t>
  </si>
  <si>
    <t>109CO - 06 - 2020 - 104</t>
  </si>
  <si>
    <t>PR No.: 2020-06-0311</t>
  </si>
  <si>
    <t>2020-063003</t>
  </si>
  <si>
    <t>EBMS 1264-20</t>
  </si>
  <si>
    <t>LRDD 2020-06-100</t>
  </si>
  <si>
    <t>GOODS-2020-63</t>
  </si>
  <si>
    <t>20-03-025</t>
  </si>
  <si>
    <t>ITB No. 2020-07-03</t>
  </si>
  <si>
    <t>2020-063006</t>
  </si>
  <si>
    <t>0658</t>
  </si>
  <si>
    <t>ICT-2020-06</t>
  </si>
  <si>
    <t>20-06-0229</t>
  </si>
  <si>
    <t>06044320</t>
  </si>
  <si>
    <t>07032020-100</t>
  </si>
  <si>
    <t>20-06-0227-A</t>
  </si>
  <si>
    <t>DSC-20-06-125</t>
  </si>
  <si>
    <t>100-20-06-141</t>
  </si>
  <si>
    <t>06-230-2020</t>
  </si>
  <si>
    <t>44-200226-2020</t>
  </si>
  <si>
    <t>2020-06-0165</t>
  </si>
  <si>
    <t>BAYLECON0620072</t>
  </si>
  <si>
    <t>EBMS 1265-20</t>
  </si>
  <si>
    <t>2020-063008</t>
  </si>
  <si>
    <t>20GJC0216</t>
  </si>
  <si>
    <t>PR No. 2020-06-087</t>
  </si>
  <si>
    <t>20-0625-048</t>
  </si>
  <si>
    <t>2020 ITB - 027</t>
  </si>
  <si>
    <t>PR NO. 100-8751-20-06-0753</t>
  </si>
  <si>
    <t>45-200738-2020</t>
  </si>
  <si>
    <t>PR No.: 2020-06-0296</t>
  </si>
  <si>
    <t>AREA V- 2020- SVP-028</t>
  </si>
  <si>
    <t>2020-03-079</t>
  </si>
  <si>
    <t>2020-51</t>
  </si>
  <si>
    <t>2020-063007</t>
  </si>
  <si>
    <t>2020-063005</t>
  </si>
  <si>
    <t>PR No.: 2020-06-0306</t>
  </si>
  <si>
    <t>397-2020</t>
  </si>
  <si>
    <t>PBI-2020-23</t>
  </si>
  <si>
    <t>BAC 20-89</t>
  </si>
  <si>
    <t>2020-68</t>
  </si>
  <si>
    <t>PBG-2020-22</t>
  </si>
  <si>
    <t>20GJC0217</t>
  </si>
  <si>
    <t>GOODS-2020-64</t>
  </si>
  <si>
    <t>EBMS 0257-20</t>
  </si>
  <si>
    <t>2020-2QTR-020</t>
  </si>
  <si>
    <t>06-020-20</t>
  </si>
  <si>
    <t>ITB-GS-20200608-01</t>
  </si>
  <si>
    <t>PR No.: 2020-06-0310</t>
  </si>
  <si>
    <t>2020-05-453</t>
  </si>
  <si>
    <t>RFQ # 2020-06-2042</t>
  </si>
  <si>
    <t>2020-06-0161</t>
  </si>
  <si>
    <t>2020-PCOO-0I-001</t>
  </si>
  <si>
    <t>PR nO. 1</t>
  </si>
  <si>
    <t>RFG PUNONG E)S (April 2020</t>
  </si>
  <si>
    <t>5</t>
  </si>
  <si>
    <t>20-03-041</t>
  </si>
  <si>
    <t>20AB0122</t>
  </si>
  <si>
    <t>2020-05-460</t>
  </si>
  <si>
    <t>2020-03-097</t>
  </si>
  <si>
    <t>7</t>
  </si>
  <si>
    <t>20GJC0218</t>
  </si>
  <si>
    <t>383-2020</t>
  </si>
  <si>
    <t>Negotiated-2020-048</t>
  </si>
  <si>
    <t>2020-06-2032</t>
  </si>
  <si>
    <t>2020-063009</t>
  </si>
  <si>
    <t>PR No.: 2020-06-0316</t>
  </si>
  <si>
    <t>2020-06-0159</t>
  </si>
  <si>
    <t>PUNONG ES (RFQ MAY 2020)</t>
  </si>
  <si>
    <t>TAL-07-07-2020</t>
  </si>
  <si>
    <t>ITB NO: 2020-007-029</t>
  </si>
  <si>
    <t>Ref. No. 2020-06-392</t>
  </si>
  <si>
    <t>Mkna-GSO-20-295</t>
  </si>
  <si>
    <t>ITB-2020-06-005</t>
  </si>
  <si>
    <t>6</t>
  </si>
  <si>
    <t>018-ECE20</t>
  </si>
  <si>
    <t>BAYLEGOOD0620073</t>
  </si>
  <si>
    <t>300-20-06-18</t>
  </si>
  <si>
    <t>IB No. 2020-227</t>
  </si>
  <si>
    <t>M2006-418</t>
  </si>
  <si>
    <t>Negotiated-2020-049</t>
  </si>
  <si>
    <t>EBMS 0254-20</t>
  </si>
  <si>
    <t>100-20-06-139</t>
  </si>
  <si>
    <t>BAC 2020-06-044</t>
  </si>
  <si>
    <t>6302020</t>
  </si>
  <si>
    <t>1598</t>
  </si>
  <si>
    <t>6-30-20</t>
  </si>
  <si>
    <t>2019-11-0854</t>
  </si>
  <si>
    <t>EBMS 0351-20</t>
  </si>
  <si>
    <t>2020-ODY-06-189</t>
  </si>
  <si>
    <t>EMERGENCY 022-2020</t>
  </si>
  <si>
    <t>BAC-MD-2020-01</t>
  </si>
  <si>
    <t>2020-ODY-06-191</t>
  </si>
  <si>
    <t>2020-52</t>
  </si>
  <si>
    <t>2020-06-0389</t>
  </si>
  <si>
    <t>100-20-06-0298</t>
  </si>
  <si>
    <t>BAYLEGOOD0620074</t>
  </si>
  <si>
    <t>20-0625-050</t>
  </si>
  <si>
    <t>TSSD-2020-06-099</t>
  </si>
  <si>
    <t>Barangay Pakiad ITB 2020-001</t>
  </si>
  <si>
    <t>EARIST-BID-2020-005</t>
  </si>
  <si>
    <t>20-0625-053</t>
  </si>
  <si>
    <t>202048</t>
  </si>
  <si>
    <t>06-016-20</t>
  </si>
  <si>
    <t>2020-ODY-06-190</t>
  </si>
  <si>
    <t>GOODS-ETG-20-06-014</t>
  </si>
  <si>
    <t>ZBSY1DEO-20-018CW</t>
  </si>
  <si>
    <t>SES 2020_018</t>
  </si>
  <si>
    <t>20AB0124</t>
  </si>
  <si>
    <t>ICTMU-2020-06-0227</t>
  </si>
  <si>
    <t>AREA V- 2020- SVP-029</t>
  </si>
  <si>
    <t>MOB-BAC-2020-06-022</t>
  </si>
  <si>
    <t>CIVIL-2020-4</t>
  </si>
  <si>
    <t>063020-H01</t>
  </si>
  <si>
    <t>20AB0126</t>
  </si>
  <si>
    <t>GD-SH-2020-06-0240</t>
  </si>
  <si>
    <t>2020-097</t>
  </si>
  <si>
    <t>20HM0090 (RE-IB)</t>
  </si>
  <si>
    <t>2020-ODY-06-193</t>
  </si>
  <si>
    <t>RFP-2020-159</t>
  </si>
  <si>
    <t>ZBSY1DEO-20-019CW</t>
  </si>
  <si>
    <t>20-06-10</t>
  </si>
  <si>
    <t>20FJ0032</t>
  </si>
  <si>
    <t>20-06-11</t>
  </si>
  <si>
    <t>2020-ODY-06-192</t>
  </si>
  <si>
    <t>LGU-128-2020</t>
  </si>
  <si>
    <t>BFP6 BAC P2020-07-01</t>
  </si>
  <si>
    <t>BAC 20-90</t>
  </si>
  <si>
    <t>2020-06-0146</t>
  </si>
  <si>
    <t>RFQ#170-2020</t>
  </si>
  <si>
    <t>ITB No. 2020-07-04</t>
  </si>
  <si>
    <t>GHQPC-OESPA-RMOS-1335-20</t>
  </si>
  <si>
    <t>BAC-MD-2020-02</t>
  </si>
  <si>
    <t>06-021-20</t>
  </si>
  <si>
    <t>DES 1310-20</t>
  </si>
  <si>
    <t>BAC 20-91</t>
  </si>
  <si>
    <t>SEHS 2020_017</t>
  </si>
  <si>
    <t>RSPQ NO. 2020-06-035</t>
  </si>
  <si>
    <t>tag-9-20</t>
  </si>
  <si>
    <t>EBMS 1311-20</t>
  </si>
  <si>
    <t>20AB0125</t>
  </si>
  <si>
    <t>2020-05-0087</t>
  </si>
  <si>
    <t>20-416</t>
  </si>
  <si>
    <t>20FJ0033</t>
  </si>
  <si>
    <t>PB - 2020 -09</t>
  </si>
  <si>
    <t>2020-018F</t>
  </si>
  <si>
    <t>100-20-06-146</t>
  </si>
  <si>
    <t>20-03-23</t>
  </si>
  <si>
    <t>20AB0123</t>
  </si>
  <si>
    <t>IB No. 2020-228</t>
  </si>
  <si>
    <t>CGT- Goods- 2020- 00103</t>
  </si>
  <si>
    <t>GD-SV-2020-06-0249</t>
  </si>
  <si>
    <t>2020-87</t>
  </si>
  <si>
    <t>2020-06-24-310</t>
  </si>
  <si>
    <t>PR NO. 20-01-0065A</t>
  </si>
  <si>
    <t>2020-40-001</t>
  </si>
  <si>
    <t>06-022-20</t>
  </si>
  <si>
    <t>GEPS-20-005</t>
  </si>
  <si>
    <t>RFQ2020-29</t>
  </si>
  <si>
    <t>Sip-2020-080</t>
  </si>
  <si>
    <t>RFQ - 2020-06 - 056</t>
  </si>
  <si>
    <t>pr no. 2</t>
  </si>
  <si>
    <t>GHQPC-PDO-TELM-1339-20</t>
  </si>
  <si>
    <t>NPSV47-2020</t>
  </si>
  <si>
    <t>2020-6-30-1</t>
  </si>
  <si>
    <t>03-2020</t>
  </si>
  <si>
    <t>BAC RESOLUTION 06-21-C SERIES OF 2020</t>
  </si>
  <si>
    <t>RFQ - 2020-06 - 057</t>
  </si>
  <si>
    <t>CIVIL-2020-5</t>
  </si>
  <si>
    <t>800</t>
  </si>
  <si>
    <t>DA3-2020-6-16-192</t>
  </si>
  <si>
    <t>CGT- Goods- 2020- 00104</t>
  </si>
  <si>
    <t>BLGUBALLUYAN-CW-2020-002</t>
  </si>
  <si>
    <t>RFQ - 2020-06 - 059</t>
  </si>
  <si>
    <t>2020-06-289</t>
  </si>
  <si>
    <t>2020-02-0164</t>
  </si>
  <si>
    <t>RFQ PR NO. 933</t>
  </si>
  <si>
    <t>CGT- Goods- 2020- 00106</t>
  </si>
  <si>
    <t>PR NO. 20-01-0078A</t>
  </si>
  <si>
    <t>GD-SV-2020-06-0250</t>
  </si>
  <si>
    <t>20HH0145</t>
  </si>
  <si>
    <t>20AB0128</t>
  </si>
  <si>
    <t>CGT- Goods- 2020- 00105</t>
  </si>
  <si>
    <t>20-06-090</t>
  </si>
  <si>
    <t>RFQ - 2020-06 - 058</t>
  </si>
  <si>
    <t>2020-05-0160-NMSF</t>
  </si>
  <si>
    <t>2020-163</t>
  </si>
  <si>
    <t>20-06-0323C</t>
  </si>
  <si>
    <t>06-018-20</t>
  </si>
  <si>
    <t>2020 ITB - 028</t>
  </si>
  <si>
    <t>20AB0129</t>
  </si>
  <si>
    <t>2020-06-0013</t>
  </si>
  <si>
    <t>20AB0127</t>
  </si>
  <si>
    <t>NPSV48-2020</t>
  </si>
  <si>
    <t>BFPR6 BAC-P2020-07-02</t>
  </si>
  <si>
    <t>GD-SH-2020-06-0251</t>
  </si>
  <si>
    <t>2020-0610</t>
  </si>
  <si>
    <t>109CO - 06 - 2020 - 105</t>
  </si>
  <si>
    <t>6-002</t>
  </si>
  <si>
    <t>2020-0611</t>
  </si>
  <si>
    <t>CGT- Goods- 2020- 00107</t>
  </si>
  <si>
    <t>37-2020</t>
  </si>
  <si>
    <t>DENR-PENRO SDN 06-30-2020</t>
  </si>
  <si>
    <t>CSJ-2020-032</t>
  </si>
  <si>
    <t>BFPR6 BAC-P2020-07-03</t>
  </si>
  <si>
    <t>RFQ - 2020-06 - 060</t>
  </si>
  <si>
    <t>20-0675-4421</t>
  </si>
  <si>
    <t>CSJ-2020-034</t>
  </si>
  <si>
    <t>105CO-11303-50IB-2020</t>
  </si>
  <si>
    <t>ITB No. 032B-2020 GQ</t>
  </si>
  <si>
    <t>6-30-2020</t>
  </si>
  <si>
    <t>RFQ-A-020-2020</t>
  </si>
  <si>
    <t>CSJ-2020-033</t>
  </si>
  <si>
    <t>INF-B003-2020</t>
  </si>
  <si>
    <t>NPSV49-2020</t>
  </si>
  <si>
    <t>LGU Nasipit-2020-057</t>
  </si>
  <si>
    <t>S - 2020 - 04</t>
  </si>
  <si>
    <t>006519-0000-00</t>
  </si>
  <si>
    <t>2020-06-015</t>
  </si>
  <si>
    <t>2020 ITB - 029</t>
  </si>
  <si>
    <t>2020-G2-018</t>
  </si>
  <si>
    <t>CLS - 2020 - 06 - 114</t>
  </si>
  <si>
    <t>4000004511</t>
  </si>
  <si>
    <t>ITB No. 034B-2020 GQ</t>
  </si>
  <si>
    <t>2020-06-0198</t>
  </si>
  <si>
    <t>CHU 24-20</t>
  </si>
  <si>
    <t>007121-0000-00</t>
  </si>
  <si>
    <t>20-0007</t>
  </si>
  <si>
    <t>2020-116</t>
  </si>
  <si>
    <t>BFPRHQSR4A-081</t>
  </si>
  <si>
    <t>ITB NO. 2020- 000011</t>
  </si>
  <si>
    <t>ITB No. 033B-2020 GQ</t>
  </si>
  <si>
    <t>KAPALONG2020114</t>
  </si>
  <si>
    <t>20-084-A</t>
  </si>
  <si>
    <t>CIVIL-2020-6</t>
  </si>
  <si>
    <t>2020-03-0068</t>
  </si>
  <si>
    <t>2020-0612</t>
  </si>
  <si>
    <t>ITB No. 036B-2020 GQ</t>
  </si>
  <si>
    <t>Sip-2020-081</t>
  </si>
  <si>
    <t>INFRA-2020-047</t>
  </si>
  <si>
    <t>DSWD4B-2020-012</t>
  </si>
  <si>
    <t>007175-0000-00</t>
  </si>
  <si>
    <t>PR NO. 554</t>
  </si>
  <si>
    <t>ITB No. 035B-2020 GQ</t>
  </si>
  <si>
    <t>20-083-A</t>
  </si>
  <si>
    <t>007154-0000-00</t>
  </si>
  <si>
    <t>CSJ-2020-035</t>
  </si>
  <si>
    <t>LGU Nasipit-2020-058</t>
  </si>
  <si>
    <t>109CO - 06 - 2020 - 106</t>
  </si>
  <si>
    <t>rfq 2020-07-03</t>
  </si>
  <si>
    <t>CSJ-2020-036</t>
  </si>
  <si>
    <t>2020-117</t>
  </si>
  <si>
    <t>SEF-2020-003</t>
  </si>
  <si>
    <t>2020-06-0056</t>
  </si>
  <si>
    <t>INIMO-2020-06-041</t>
  </si>
  <si>
    <t>2020-043</t>
  </si>
  <si>
    <t>pr-06-0001</t>
  </si>
  <si>
    <t>2020-G-087</t>
  </si>
  <si>
    <t>ITB No. 2020 – 79</t>
  </si>
  <si>
    <t>20-05-100</t>
  </si>
  <si>
    <t>2020-twg1-005 with RIS No.19-82-025</t>
  </si>
  <si>
    <t>LGU Nasipit-2020-059</t>
  </si>
  <si>
    <t>MUNPINCE-2006-113</t>
  </si>
  <si>
    <t>DA RFO-1-2020-GOODS-033-R</t>
  </si>
  <si>
    <t>NP-SV 2020-40</t>
  </si>
  <si>
    <t>06302002</t>
  </si>
  <si>
    <t>20-03-114</t>
  </si>
  <si>
    <t>948967</t>
  </si>
  <si>
    <t>JUNE 30,2020</t>
  </si>
  <si>
    <t>SHS - 2020 - 006 - 0011</t>
  </si>
  <si>
    <t>OMSC RFQ 20-027</t>
  </si>
  <si>
    <t>SJMC-2020-005</t>
  </si>
  <si>
    <t>PR-20-01-0016</t>
  </si>
  <si>
    <t>KC-2020-06-0191</t>
  </si>
  <si>
    <t>LGU Nasipit-2020-060</t>
  </si>
  <si>
    <t>20-06-12</t>
  </si>
  <si>
    <t>20-06-13</t>
  </si>
  <si>
    <t>06302003</t>
  </si>
  <si>
    <t>106CO-6IB, 6ID, PA-2020-456</t>
  </si>
  <si>
    <t>PGL-20 NEGO 38-06</t>
  </si>
  <si>
    <t>CGB-2020-06-014</t>
  </si>
  <si>
    <t>GHQPC-PDO-RMMV-1342-20</t>
  </si>
  <si>
    <t>PUNONG ES (RFQ JUNE 2020)</t>
  </si>
  <si>
    <t>NCMBCOPP-06-002-20</t>
  </si>
  <si>
    <t>2020-06-020</t>
  </si>
  <si>
    <t>GHQPC-PDO-TRNG-1341-20</t>
  </si>
  <si>
    <t>20-03-060</t>
  </si>
  <si>
    <t>2020-32</t>
  </si>
  <si>
    <t>20-06-020;20-06-021</t>
  </si>
  <si>
    <t>PUNONG ES (RFQ JULY 2020)</t>
  </si>
  <si>
    <t>ris 20-88-081</t>
  </si>
  <si>
    <t>DA RFO-1-2020-GOODS-034-R</t>
  </si>
  <si>
    <t>20-0085</t>
  </si>
  <si>
    <t>CONCRETING OF ROAD OF 150M X 4M X .15LM FARM TO MA</t>
  </si>
  <si>
    <t>2020-06-73</t>
  </si>
  <si>
    <t>20-88-047</t>
  </si>
  <si>
    <t>03-003-20</t>
  </si>
  <si>
    <t>GEPS-20-003</t>
  </si>
  <si>
    <t>106CO-6IB, 6ID,PA-2020-455</t>
  </si>
  <si>
    <t>2020-045</t>
  </si>
  <si>
    <t>CONTRACT ID NO. 20GN0093</t>
  </si>
  <si>
    <t>PGL-20 NEGO 40-06</t>
  </si>
  <si>
    <t>RVII-SQR-2020-07-001</t>
  </si>
  <si>
    <t>2020-33</t>
  </si>
  <si>
    <t>CONTRACT ID NO. 20GN0092</t>
  </si>
  <si>
    <t>BAC-20-06-065 (OED)</t>
  </si>
  <si>
    <t>GOODS_XRM_2020</t>
  </si>
  <si>
    <t>20-010</t>
  </si>
  <si>
    <t>2020-06-006-01</t>
  </si>
  <si>
    <t>2020-02-245, 192, 220, 184, 210, 209, 203, 228, 14</t>
  </si>
  <si>
    <t>SVP 2020-04</t>
  </si>
  <si>
    <t>GEPS-20-004</t>
  </si>
  <si>
    <t>2006-0784</t>
  </si>
  <si>
    <t>LGULAGONOY-BAC-020-INFRA-001</t>
  </si>
  <si>
    <t>SVP 2020-05</t>
  </si>
  <si>
    <t>20-009</t>
  </si>
  <si>
    <t>Buenavista202001</t>
  </si>
  <si>
    <t>Malobago202001</t>
  </si>
  <si>
    <t>PGL-20 NEGO 39-06</t>
  </si>
  <si>
    <t>GF-PB-20-41</t>
  </si>
  <si>
    <t>RFQ No.049 -2020</t>
  </si>
  <si>
    <t>2020-twg1-006 with RIS No.19-82-025</t>
  </si>
  <si>
    <t>2020-06-017</t>
  </si>
  <si>
    <t>2020-G2-019</t>
  </si>
  <si>
    <t>MQE-INFR-2020-002</t>
  </si>
  <si>
    <t>ITB No. 037B-2020 GQ</t>
  </si>
  <si>
    <t>COVID RESPONSE ITEMS</t>
  </si>
  <si>
    <t>CIG-0620-0002</t>
  </si>
  <si>
    <t>JHS - 2020 - 006 - 0027</t>
  </si>
  <si>
    <t>Brgy. Sta. Ana 2020-001</t>
  </si>
  <si>
    <t>2020-0166</t>
  </si>
  <si>
    <t>geps-2020-006</t>
  </si>
  <si>
    <t>20PD0124</t>
  </si>
  <si>
    <t>301562-04-2020</t>
  </si>
  <si>
    <t>20-011</t>
  </si>
  <si>
    <t>RVII-PCBU-2020-07-001</t>
  </si>
  <si>
    <t>ITB-2020-06-003</t>
  </si>
  <si>
    <t>geps-2020-002</t>
  </si>
  <si>
    <t>geps-2020-005</t>
  </si>
  <si>
    <t>BAC-20-06-067 (OED)</t>
  </si>
  <si>
    <t>SVP 2020-06</t>
  </si>
  <si>
    <t>BFPRHQSR4A-083</t>
  </si>
  <si>
    <t>SVP 2020-08</t>
  </si>
  <si>
    <t>F-0610-138</t>
  </si>
  <si>
    <t>SVP 2020-07</t>
  </si>
  <si>
    <t>HNETDC</t>
  </si>
  <si>
    <t>F-0620-130</t>
  </si>
  <si>
    <t>2020-06-PR 021</t>
  </si>
  <si>
    <t>F-0620-136</t>
  </si>
  <si>
    <t>100-20-05-328</t>
  </si>
  <si>
    <t>F-0620-137</t>
  </si>
  <si>
    <t>20-006</t>
  </si>
  <si>
    <t>Contract ID 20JH0036</t>
  </si>
  <si>
    <t>2020-0167</t>
  </si>
  <si>
    <t>20GDK0038</t>
  </si>
  <si>
    <t>MIL-GOODS-2020-06-10</t>
  </si>
  <si>
    <t>F-0620-135</t>
  </si>
  <si>
    <t>20GDK0037</t>
  </si>
  <si>
    <t>geps-2020-003</t>
  </si>
  <si>
    <t>20-06-461</t>
  </si>
  <si>
    <t>CAL-3744-20</t>
  </si>
  <si>
    <t>T3-0620-0002</t>
  </si>
  <si>
    <t>Contract ID 20JH0030</t>
  </si>
  <si>
    <t>6-20-51</t>
  </si>
  <si>
    <t>RGMO/GF-PB-20-43</t>
  </si>
  <si>
    <t>2020-05-025</t>
  </si>
  <si>
    <t>PNOCS-0620-002</t>
  </si>
  <si>
    <t>20CE0233</t>
  </si>
  <si>
    <t>0700-2020-06-025</t>
  </si>
  <si>
    <t>Brgy. Sta. Ana 2020-003</t>
  </si>
  <si>
    <t>STF-PB-20-44</t>
  </si>
  <si>
    <t>2020 - 07 - 008 (103 - Shopping)</t>
  </si>
  <si>
    <t>MR-PNBAC1-2020-32</t>
  </si>
  <si>
    <t>T4-0620-0004</t>
  </si>
  <si>
    <t>Contract ID 20JH0033</t>
  </si>
  <si>
    <t>SAG-10-20</t>
  </si>
  <si>
    <t>11164</t>
  </si>
  <si>
    <t>20CE0235</t>
  </si>
  <si>
    <t>STF-PB-20-42</t>
  </si>
  <si>
    <t>2020 - 07 - 008 (104 - Shopping)</t>
  </si>
  <si>
    <t>MR-PNBAC-2020-31</t>
  </si>
  <si>
    <t>GOODS 2020-06-PLA008</t>
  </si>
  <si>
    <t>Brgy. Sta. Ana 2020-002</t>
  </si>
  <si>
    <t>2020-06-DA-GF-0023</t>
  </si>
  <si>
    <t>20CE0234</t>
  </si>
  <si>
    <t>STF-PB-20-45</t>
  </si>
  <si>
    <t>GOODS 2020-06-PLA009</t>
  </si>
  <si>
    <t>2020-06-DA-GF-0024</t>
  </si>
  <si>
    <t>2020-B1-06-020</t>
  </si>
  <si>
    <t>BJMP NCR 2020-31</t>
  </si>
  <si>
    <t>Contract ID 20JH0032</t>
  </si>
  <si>
    <t>20CE0236</t>
  </si>
  <si>
    <t>BJMP NCR 2020-30</t>
  </si>
  <si>
    <t>Brgy. Sta. Ana 2020-004</t>
  </si>
  <si>
    <t>1000032461</t>
  </si>
  <si>
    <t>geps-2020-001</t>
  </si>
  <si>
    <t>2020-06-DA-GF-0025</t>
  </si>
  <si>
    <t>20-149</t>
  </si>
  <si>
    <t>042- LGU-LAOANG-2020</t>
  </si>
  <si>
    <t>20-148</t>
  </si>
  <si>
    <t>20-147</t>
  </si>
  <si>
    <t>REG-0620-0002</t>
  </si>
  <si>
    <t>013-2020</t>
  </si>
  <si>
    <t>T4-0620-0051</t>
  </si>
  <si>
    <t>SEHS 2020_018</t>
  </si>
  <si>
    <t>HNETDC-0620-016</t>
  </si>
  <si>
    <t>041- LGU-LAOANG-2020</t>
  </si>
  <si>
    <t>117568-2020-036</t>
  </si>
  <si>
    <t>2020-INFRA-011</t>
  </si>
  <si>
    <t>doc</t>
  </si>
  <si>
    <t>T1-0520-0008</t>
  </si>
  <si>
    <t>LIMAO-BAC-10-20</t>
  </si>
  <si>
    <t>MOOE July 2020</t>
  </si>
  <si>
    <t>2020-G-001</t>
  </si>
  <si>
    <t>BTG3-2020-CS02</t>
  </si>
  <si>
    <t>SEHS 2020_020</t>
  </si>
  <si>
    <t>BTG3-2020-CS01</t>
  </si>
  <si>
    <t>SEHS 2020_019</t>
  </si>
  <si>
    <t>05-68-20</t>
  </si>
  <si>
    <t>20-06-460</t>
  </si>
  <si>
    <t>RFQ2020_02</t>
  </si>
  <si>
    <t>PR-20-043</t>
  </si>
  <si>
    <t>32-2020</t>
  </si>
  <si>
    <t>LIMAO-BAC-11-20</t>
  </si>
  <si>
    <t>SEHS 2020_022</t>
  </si>
  <si>
    <t>RFQ-2020-06-0018</t>
  </si>
  <si>
    <t>LIMAO-BAC-13-20</t>
  </si>
  <si>
    <t>SEHS 2020_021</t>
  </si>
  <si>
    <t>G006-06-2020</t>
  </si>
  <si>
    <t>SBS-0620-002</t>
  </si>
  <si>
    <t>150 – 2020</t>
  </si>
  <si>
    <t>G004-06-2020</t>
  </si>
  <si>
    <t>20S029</t>
  </si>
  <si>
    <t>G005-06-2020</t>
  </si>
  <si>
    <t>DENR-NCR, PR NO. 2020-439</t>
  </si>
  <si>
    <t>HNSLG-0320-00014</t>
  </si>
  <si>
    <t>20-06-450</t>
  </si>
  <si>
    <t>LIMAO-BAC-12-20</t>
  </si>
  <si>
    <t>06-30-2020-01</t>
  </si>
  <si>
    <t>SBS-0620-001</t>
  </si>
  <si>
    <t>149 – 2020</t>
  </si>
  <si>
    <t>2020-049</t>
  </si>
  <si>
    <t>DENR-NCR, PR NO. 2020-429</t>
  </si>
  <si>
    <t>Goods 2020-015(NP)</t>
  </si>
  <si>
    <t>JUNE302020</t>
  </si>
  <si>
    <t>2020-06-02R</t>
  </si>
  <si>
    <t>06-30-2020-02</t>
  </si>
  <si>
    <t>ITB NO. 2020-032</t>
  </si>
  <si>
    <t>PB20-07-CM-P5</t>
  </si>
  <si>
    <t>HNSLG-0620-0029</t>
  </si>
  <si>
    <t>301562-05-2020</t>
  </si>
  <si>
    <t>20-06-449</t>
  </si>
  <si>
    <t>2020-06-007</t>
  </si>
  <si>
    <t>BAC INFRA 2020-07-01</t>
  </si>
  <si>
    <t>012020</t>
  </si>
  <si>
    <t>infra 20-007</t>
  </si>
  <si>
    <t>PEU-0622-2020</t>
  </si>
  <si>
    <t>PR No. 2020-06-266</t>
  </si>
  <si>
    <t>2020-GOODS-260</t>
  </si>
  <si>
    <t>RFQ NO. SVP-022-2020</t>
  </si>
  <si>
    <t>HNETDC-0620-0028</t>
  </si>
  <si>
    <t>HNSLG-0620-00017</t>
  </si>
  <si>
    <t>2020-GOODS-261</t>
  </si>
  <si>
    <t>2020-B1-03-007</t>
  </si>
  <si>
    <t>PEU-0620-2020</t>
  </si>
  <si>
    <t>20-06-448</t>
  </si>
  <si>
    <t>2020-06-03R</t>
  </si>
  <si>
    <t>2020-GOODS-267</t>
  </si>
  <si>
    <t>2020-GOODS-265</t>
  </si>
  <si>
    <t>infra 20-009</t>
  </si>
  <si>
    <t>20-03-246</t>
  </si>
  <si>
    <t>2020-GOODS-264</t>
  </si>
  <si>
    <t>2020-GOODS-268</t>
  </si>
  <si>
    <t>2020-GOODS-263</t>
  </si>
  <si>
    <t>GOODS 2020-OI5</t>
  </si>
  <si>
    <t>infra 20_008</t>
  </si>
  <si>
    <t>2020-GOODS-266</t>
  </si>
  <si>
    <t>2020-GOODS-262</t>
  </si>
  <si>
    <t>HFW-2020-04-0147</t>
  </si>
  <si>
    <t>2020-GOODS-271</t>
  </si>
  <si>
    <t>2020-GOODS-270</t>
  </si>
  <si>
    <t>20-03-288</t>
  </si>
  <si>
    <t>2020-RFQ 029 "Purchase of Digital Dry Bath for Ani</t>
  </si>
  <si>
    <t>20-06-451</t>
  </si>
  <si>
    <t>100-2019-02-240</t>
  </si>
  <si>
    <t>100-2019-10-1682</t>
  </si>
  <si>
    <t>PB-202003</t>
  </si>
  <si>
    <t>2020-011-1</t>
  </si>
  <si>
    <t>100-2019-10-1615</t>
  </si>
  <si>
    <t>2020-05-CS1</t>
  </si>
  <si>
    <t>20CSPH02</t>
  </si>
  <si>
    <t>PSCbac 20-06-002</t>
  </si>
  <si>
    <t>bac-azds-20-06-017</t>
  </si>
  <si>
    <t>RFQ NO. SVP-023-2020</t>
  </si>
  <si>
    <t>2020-GOODS-269</t>
  </si>
  <si>
    <t>20MADD0022</t>
  </si>
  <si>
    <t>2020-07-21-056CW</t>
  </si>
  <si>
    <t>20CSPH01</t>
  </si>
  <si>
    <t>2020-07-21-054CW</t>
  </si>
  <si>
    <t>2020-07-21-05CW</t>
  </si>
  <si>
    <t>2020-I-081</t>
  </si>
  <si>
    <t>2020-07-21-052CW</t>
  </si>
  <si>
    <t>2020087</t>
  </si>
  <si>
    <t>2020095</t>
  </si>
  <si>
    <t>20MADD0023</t>
  </si>
  <si>
    <t>ORD PABAC 018-20 Lot 1 (Re-bid)</t>
  </si>
  <si>
    <t>2020-G-088</t>
  </si>
  <si>
    <t>ITB-2020-PR1189</t>
  </si>
  <si>
    <t>PR# 20-06-0635</t>
  </si>
  <si>
    <t>2020-07-21-383PG</t>
  </si>
  <si>
    <t>PR # 20-06-790- SHAKER</t>
  </si>
  <si>
    <t>037</t>
  </si>
  <si>
    <t>2020-07-21-055CW</t>
  </si>
  <si>
    <t>2020-07-21-057CW</t>
  </si>
  <si>
    <t>2020-07-21-384PG</t>
  </si>
  <si>
    <t>PB-GE1-2020-18</t>
  </si>
  <si>
    <t>PB-SP-EE-2020-17</t>
  </si>
  <si>
    <t>ORD PABAC 023-20</t>
  </si>
  <si>
    <t>RFQ 0620-051</t>
  </si>
  <si>
    <t>ORD PABAC 022-20</t>
  </si>
  <si>
    <t>ORD PABAC 020-20</t>
  </si>
  <si>
    <t>ITB-063020</t>
  </si>
  <si>
    <t>ORD PABAC 018-20 Lot 2</t>
  </si>
  <si>
    <t>cgb2020-230</t>
  </si>
  <si>
    <t>PEO-20-0618 B (REBID)</t>
  </si>
  <si>
    <t>2020-06-358</t>
  </si>
  <si>
    <t>PB2020-07-071G</t>
  </si>
  <si>
    <t>PB2020-07-070G</t>
  </si>
  <si>
    <t>ORD PABAC 021-20</t>
  </si>
  <si>
    <t>PB2020-06-052G</t>
  </si>
  <si>
    <t>2020-07-21-385PG</t>
  </si>
  <si>
    <t>2020- 07-21-384PG</t>
  </si>
  <si>
    <t>blgumabini-2019</t>
  </si>
  <si>
    <t>100-20-06-0643</t>
  </si>
  <si>
    <t>300-20-06-0649</t>
  </si>
  <si>
    <t>C-055-2020</t>
  </si>
  <si>
    <t>PB-GB1-2020-19</t>
  </si>
  <si>
    <t>2020-06-357</t>
  </si>
  <si>
    <t>20-06-053</t>
  </si>
  <si>
    <t>APP-010A-S-2020</t>
  </si>
  <si>
    <t>20-1449</t>
  </si>
  <si>
    <t>2020-06-302</t>
  </si>
  <si>
    <t>20-1452</t>
  </si>
  <si>
    <t>20-1450</t>
  </si>
  <si>
    <t>INFRA2020-03</t>
  </si>
  <si>
    <t>C-051-2020</t>
  </si>
  <si>
    <t>Cuartero_BAC 2020-008</t>
  </si>
  <si>
    <t>EMB13-2020-06-035</t>
  </si>
  <si>
    <t>20EB0126</t>
  </si>
  <si>
    <t>Cuartero_BAC 2020-009</t>
  </si>
  <si>
    <t>PB-2020-06-002</t>
  </si>
  <si>
    <t>vinya0626</t>
  </si>
  <si>
    <t>20EB0127</t>
  </si>
  <si>
    <t>INFRA2020-06</t>
  </si>
  <si>
    <t>20GP003CS</t>
  </si>
  <si>
    <t>INFRA2020-05</t>
  </si>
  <si>
    <t>Cuartero_BAC 2020-010</t>
  </si>
  <si>
    <t>Cuartero_BAC 2020-011</t>
  </si>
  <si>
    <t>SM-20-015</t>
  </si>
  <si>
    <t>PB-2020-184-011</t>
  </si>
  <si>
    <t>GAMOT 200-20-06-06522</t>
  </si>
  <si>
    <t>GOODS2020-50</t>
  </si>
  <si>
    <t>ITB NO. 20-00001</t>
  </si>
  <si>
    <t>20GP001CS</t>
  </si>
  <si>
    <t>B2 PEO 300-20-06-07622</t>
  </si>
  <si>
    <t>SB2 POP19 300-20-02-01021</t>
  </si>
  <si>
    <t>PB-2020-184-012</t>
  </si>
  <si>
    <t>B2 PEO 300-20-06-07384</t>
  </si>
  <si>
    <t>B2 PEO 300-20-06-07382</t>
  </si>
  <si>
    <t>B2 PEO 300-20-06-07380</t>
  </si>
  <si>
    <t>ITB INFRA-024-2020</t>
  </si>
  <si>
    <t>AGR-20-0767-B</t>
  </si>
  <si>
    <t>2020-053-snq</t>
  </si>
  <si>
    <t>B2 SB3 INFRA 300-15-06-08758</t>
  </si>
  <si>
    <t>B2 PEO 300-20-06-07383</t>
  </si>
  <si>
    <t>silangan2 2020-001</t>
  </si>
  <si>
    <t>PGSO 300-20-01-00299</t>
  </si>
  <si>
    <t>09-UMSMWDMES-08072020</t>
  </si>
  <si>
    <t>2020-07-21-392PG</t>
  </si>
  <si>
    <t>2020-07-21-391PG</t>
  </si>
  <si>
    <t>GF 001</t>
  </si>
  <si>
    <t>2020-06-27-001</t>
  </si>
  <si>
    <t>06-POS-06232020</t>
  </si>
  <si>
    <t>12-RFSBIMES-08072020</t>
  </si>
  <si>
    <t>2020--07-21-388PG</t>
  </si>
  <si>
    <t>2020-052-snq</t>
  </si>
  <si>
    <t>2020-07-21-389PG</t>
  </si>
  <si>
    <t>11-DDMGMES-08042020</t>
  </si>
  <si>
    <t>INFRA2020-04</t>
  </si>
  <si>
    <t>2020-055-snq</t>
  </si>
  <si>
    <t>2020-054-snq</t>
  </si>
  <si>
    <t>10-RFEF@Pob1&amp;2MES-08042020</t>
  </si>
  <si>
    <t>2020-07-21-393PG</t>
  </si>
  <si>
    <t>2020-07-21-387PG</t>
  </si>
  <si>
    <t>2020-07-21-386PG</t>
  </si>
  <si>
    <t>INFRA-2020-07-09</t>
  </si>
  <si>
    <t>INFRA-2020-07-10</t>
  </si>
  <si>
    <t>INFRA-2020-07-08</t>
  </si>
  <si>
    <t>2020-07-21-402PG</t>
  </si>
  <si>
    <t>PR 9-20-06-0671 - CITY HOSPITAL</t>
  </si>
  <si>
    <t>PR 1-20-06-0680 - CED</t>
  </si>
  <si>
    <t>2020030013</t>
  </si>
  <si>
    <t>2020-07-21-395PG</t>
  </si>
  <si>
    <t>20GP002CS</t>
  </si>
  <si>
    <t>2020-07-21-390PG</t>
  </si>
  <si>
    <t>2020-38</t>
  </si>
  <si>
    <t>2020-07-21-401PG</t>
  </si>
  <si>
    <t>2020--07-21-398PG</t>
  </si>
  <si>
    <t>PR 1-20-06-0681 - CMO</t>
  </si>
  <si>
    <t>2020030011</t>
  </si>
  <si>
    <t>2020-37</t>
  </si>
  <si>
    <t>2LSSM2020A-277</t>
  </si>
  <si>
    <t>PR 9-20-03-0415 - CITY HOSPITAL</t>
  </si>
  <si>
    <t>PR 4-20-06-0643 - CWD</t>
  </si>
  <si>
    <t>2LSSM2020A-276</t>
  </si>
  <si>
    <t>PR 1-20-06-0733 - CED</t>
  </si>
  <si>
    <t>PR 1-20-06-0699 - CED</t>
  </si>
  <si>
    <t>PR 1-20-06-0683 - CED</t>
  </si>
  <si>
    <t>PR 1-20-06-0659 - AGRI (REBIDDING)</t>
  </si>
  <si>
    <t>2020-07-21-396PG</t>
  </si>
  <si>
    <t>PR 9-20-06-0695 - CITY HOSPITAL</t>
  </si>
  <si>
    <t>2020-07-21-403PG</t>
  </si>
  <si>
    <t>2LSSM2020A-278</t>
  </si>
  <si>
    <t>PR 1-20-06-0732 - CED</t>
  </si>
  <si>
    <t>PR 9-20-04-0533 - CITY HOSPITAL (REBIDDING)</t>
  </si>
  <si>
    <t>PR 1-20-03-0482 - AGRI (REBIDDING)</t>
  </si>
  <si>
    <t>2020-07-21-394PG</t>
  </si>
  <si>
    <t>PR 1-20-03-0487 - CED (REBIDDING)</t>
  </si>
  <si>
    <t>PR 1-20-03-0497 - PESO (REBIDDING)</t>
  </si>
  <si>
    <t>PR 401-20-03-0453 - CWD (REBIDDING)</t>
  </si>
  <si>
    <t>SL-2020-008</t>
  </si>
  <si>
    <t>2020-06-25B</t>
  </si>
  <si>
    <t>PR 9-20-06-0676 - CITY HOSPITAL</t>
  </si>
  <si>
    <t>PR 9-20-06-0740 - CITY HOSPITAL</t>
  </si>
  <si>
    <t>PR 9-20-06-0739 - CITY HOSPITAL</t>
  </si>
  <si>
    <t>PR 1-20-06-0649 - CED (REBIDDING)</t>
  </si>
  <si>
    <t>2LSSM2020A-279</t>
  </si>
  <si>
    <t>SF-CW-MDRRMF-2020-03</t>
  </si>
  <si>
    <t>2020-29-001</t>
  </si>
  <si>
    <t>20-25 goods</t>
  </si>
  <si>
    <t>2LSSM2020A-282</t>
  </si>
  <si>
    <t>2020-29-002</t>
  </si>
  <si>
    <t>2LSSM2020A-281</t>
  </si>
  <si>
    <t>2020-29-003</t>
  </si>
  <si>
    <t>2020-06-189-RFQ</t>
  </si>
  <si>
    <t>20CE0231</t>
  </si>
  <si>
    <t>PR 1-20-04-0532 - PNP (REBIDDING)</t>
  </si>
  <si>
    <t>CY 2020-20% DF (Continuing Appropriation) G-01-062</t>
  </si>
  <si>
    <t>2LSSM2020A-280</t>
  </si>
  <si>
    <t>2020-135</t>
  </si>
  <si>
    <t>0008</t>
  </si>
  <si>
    <t>MG-LGD20-002 FUEL, GASOLINE, DIESEL</t>
  </si>
  <si>
    <t>0023-0060-0838-2020</t>
  </si>
  <si>
    <t>BARANGAY BUED-2020-06-001</t>
  </si>
  <si>
    <t>20CE0230</t>
  </si>
  <si>
    <t>2020-29-004</t>
  </si>
  <si>
    <t>PR 9-20-06-0734 - CITY HOSPITAL</t>
  </si>
  <si>
    <t>2020bid001</t>
  </si>
  <si>
    <t>TF-20-06-383(O)</t>
  </si>
  <si>
    <t>BASAG 2020-002</t>
  </si>
  <si>
    <t>SKBISOCOL-2020-06-002</t>
  </si>
  <si>
    <t>BRGY 007-2020</t>
  </si>
  <si>
    <t>SKBISOCOL-2020-06-001</t>
  </si>
  <si>
    <t>LGUBaras-2020-0047</t>
  </si>
  <si>
    <t>SV-0568-2020</t>
  </si>
  <si>
    <t>20CE0232</t>
  </si>
  <si>
    <t>INFRA-BEAUTIFICATION OF BOULEVARD ROAD(PLANT BOX A</t>
  </si>
  <si>
    <t>UPB-2020-047</t>
  </si>
  <si>
    <t>20-218</t>
  </si>
  <si>
    <t>20DN0145</t>
  </si>
  <si>
    <t>silangan1-2020</t>
  </si>
  <si>
    <t>100(18)20-06-378(O)</t>
  </si>
  <si>
    <t>RFQ-2020-04</t>
  </si>
  <si>
    <t>PR 18-20-06-0646 - CED</t>
  </si>
  <si>
    <t>IB 2020-36</t>
  </si>
  <si>
    <t>100(18)20-06-379(O)</t>
  </si>
  <si>
    <t>2020-12-001</t>
  </si>
  <si>
    <t>PILAR-20-06-010</t>
  </si>
  <si>
    <t>2020-334</t>
  </si>
  <si>
    <t>2020-06-18</t>
  </si>
  <si>
    <t>T060-20</t>
  </si>
  <si>
    <t>Mkna-GSO-20-284</t>
  </si>
  <si>
    <t>ITB-2020-01</t>
  </si>
  <si>
    <t>20-06-054</t>
  </si>
  <si>
    <t>202-12</t>
  </si>
  <si>
    <t>100(18)20-06-380(O)</t>
  </si>
  <si>
    <t>SV-0451-2020</t>
  </si>
  <si>
    <t>20-24</t>
  </si>
  <si>
    <t>20201264</t>
  </si>
  <si>
    <t>TF-20-06-382(O)</t>
  </si>
  <si>
    <t>100(01)20-06-375(O)</t>
  </si>
  <si>
    <t>2020-06-19</t>
  </si>
  <si>
    <t>20DN0146</t>
  </si>
  <si>
    <t>P.R. # 20-06-067</t>
  </si>
  <si>
    <t>100(18)20-06-100(Q)</t>
  </si>
  <si>
    <t>mda128</t>
  </si>
  <si>
    <t>20-492</t>
  </si>
  <si>
    <t>INFRA-CONSTRUCTION REHABILITATION OF CONCRETE ROAD</t>
  </si>
  <si>
    <t>ITB-2020-06-12</t>
  </si>
  <si>
    <t>MG-TSE20-018..METER, MULTIFUNCTION</t>
  </si>
  <si>
    <t>20DN0147</t>
  </si>
  <si>
    <t>P.R. # 20-06-066</t>
  </si>
  <si>
    <t>LGU-BLU-20-06-049</t>
  </si>
  <si>
    <t>C-054-2020</t>
  </si>
  <si>
    <t>Mkna-GSO-20-283</t>
  </si>
  <si>
    <t>20DN0148</t>
  </si>
  <si>
    <t>PB2020-07-072G</t>
  </si>
  <si>
    <t>P.R. # 20-06-069</t>
  </si>
  <si>
    <t>300-20-06-0027</t>
  </si>
  <si>
    <t>2020-06-053-D</t>
  </si>
  <si>
    <t>Tukucan-2020-02</t>
  </si>
  <si>
    <t>20201269</t>
  </si>
  <si>
    <t>RFQ-TFB-10-2020</t>
  </si>
  <si>
    <t>T039-20</t>
  </si>
  <si>
    <t>BLGU-PBD-Behia-2020-26.1</t>
  </si>
  <si>
    <t>Brgy. Canroma-20-01</t>
  </si>
  <si>
    <t>20-46210</t>
  </si>
  <si>
    <t>Tukucan-2020-01</t>
  </si>
  <si>
    <t>INF-2020-003</t>
  </si>
  <si>
    <t>2020-2207</t>
  </si>
  <si>
    <t>RFQ-TFB-11-2020</t>
  </si>
  <si>
    <t>062920200002</t>
  </si>
  <si>
    <t>2020-06-169</t>
  </si>
  <si>
    <t>P.R. # 20-06-079</t>
  </si>
  <si>
    <t>20GK0226</t>
  </si>
  <si>
    <t>20DN0149</t>
  </si>
  <si>
    <t>INFRA-REHABILITATION OF LINED CANAL AND DRAINAGE (</t>
  </si>
  <si>
    <t>Jiab-2020-1B</t>
  </si>
  <si>
    <t>GOODS-010-2020</t>
  </si>
  <si>
    <t>6911-02-934-19</t>
  </si>
  <si>
    <t>P.R. # 20-06-070</t>
  </si>
  <si>
    <t>MG-TSE20-022..SWITCH, ISOLATION, METERING PROTECTI</t>
  </si>
  <si>
    <t>2020-06-131</t>
  </si>
  <si>
    <t>234</t>
  </si>
  <si>
    <t>20GK0227</t>
  </si>
  <si>
    <t>2020-034I</t>
  </si>
  <si>
    <t>20-077</t>
  </si>
  <si>
    <t>RFQ 2020-05-001</t>
  </si>
  <si>
    <t>2020-963</t>
  </si>
  <si>
    <t>2020-02-0454 etc.</t>
  </si>
  <si>
    <t>2020-06-0154</t>
  </si>
  <si>
    <t>Job Request_01_Admin</t>
  </si>
  <si>
    <t>Mkna-GSO-20-288</t>
  </si>
  <si>
    <t>P.R. # 20-06-068</t>
  </si>
  <si>
    <t>0002-CW-2020</t>
  </si>
  <si>
    <t>CPSH-2020-01</t>
  </si>
  <si>
    <t>20-06-0042</t>
  </si>
  <si>
    <t>SV-0649-2020</t>
  </si>
  <si>
    <t>100-2003-</t>
  </si>
  <si>
    <t>Mkna-GSO-20-289</t>
  </si>
  <si>
    <t>BAC 2020-39</t>
  </si>
  <si>
    <t>Quotation No.20-06-360</t>
  </si>
  <si>
    <t>BIMO-GOODS-SVP2020-SP-BIMOP2</t>
  </si>
  <si>
    <t>20DN0150</t>
  </si>
  <si>
    <t>Brgy. Bersamin - 2020 - 030</t>
  </si>
  <si>
    <t>ITB-2020-05</t>
  </si>
  <si>
    <t>2020-05-027</t>
  </si>
  <si>
    <t>SDO-Val.-2020-06-0011</t>
  </si>
  <si>
    <t>ITB-2020-06-13</t>
  </si>
  <si>
    <t>MG-TSE20-032...REHAB/REPAIR OF VARIOUS DEFECTIVE V</t>
  </si>
  <si>
    <t>Poblacion-2020-05</t>
  </si>
  <si>
    <t>20DN0151</t>
  </si>
  <si>
    <t>2020-06-147</t>
  </si>
  <si>
    <t>Job Request_02_Admin</t>
  </si>
  <si>
    <t>2020-06-17</t>
  </si>
  <si>
    <t>renow-001</t>
  </si>
  <si>
    <t>BIMO-GOODS-SVP2020-OE-BIMOP4</t>
  </si>
  <si>
    <t>P.R. # 20-06-080</t>
  </si>
  <si>
    <t>Jiab-2020-2B</t>
  </si>
  <si>
    <t>8919-07-1620-19</t>
  </si>
  <si>
    <t>mnto 20 0008</t>
  </si>
  <si>
    <t>20-46217</t>
  </si>
  <si>
    <t>2020-631</t>
  </si>
  <si>
    <t>2020-013</t>
  </si>
  <si>
    <t>Job Request_03_Admin</t>
  </si>
  <si>
    <t>IB NO. PB-2020-06-22</t>
  </si>
  <si>
    <t>100-2003-293</t>
  </si>
  <si>
    <t>SV-0645-2020</t>
  </si>
  <si>
    <t>100-20-04-0169</t>
  </si>
  <si>
    <t>Tukucan-2020-03</t>
  </si>
  <si>
    <t>2020-05-036</t>
  </si>
  <si>
    <t>LOG-0001G-2020</t>
  </si>
  <si>
    <t>AMP2020-029</t>
  </si>
  <si>
    <t>IB NO. PB-2020-06-21</t>
  </si>
  <si>
    <t>mnto 20 0009</t>
  </si>
  <si>
    <t>MZSP-2020-44</t>
  </si>
  <si>
    <t>PILAR-20-011</t>
  </si>
  <si>
    <t>2020-06-0366</t>
  </si>
  <si>
    <t>20-06-022</t>
  </si>
  <si>
    <t>RFQ#2020-025</t>
  </si>
  <si>
    <t>SV-0610-2020</t>
  </si>
  <si>
    <t>Wangwang-2020-01</t>
  </si>
  <si>
    <t>100-2006-592</t>
  </si>
  <si>
    <t>2020-02-0537 etc.</t>
  </si>
  <si>
    <t>2020 - 084</t>
  </si>
  <si>
    <t>2020-06-027</t>
  </si>
  <si>
    <t>Jiab-2020-3B</t>
  </si>
  <si>
    <t>PR No. 20-05-0262</t>
  </si>
  <si>
    <t>Quotation No.20-06-361</t>
  </si>
  <si>
    <t>MGCP-20G-581B</t>
  </si>
  <si>
    <t>2020 - 13</t>
  </si>
  <si>
    <t>ITB-062920-1</t>
  </si>
  <si>
    <t>ppn-097-2020</t>
  </si>
  <si>
    <t>ppn-096-2020</t>
  </si>
  <si>
    <t>CODH 200-20-06-07121</t>
  </si>
  <si>
    <t>P-0640</t>
  </si>
  <si>
    <t>Mkna-GSO-20-285</t>
  </si>
  <si>
    <t>ITB-062920-2</t>
  </si>
  <si>
    <t>20-06-0336</t>
  </si>
  <si>
    <t>2020-B-06-026</t>
  </si>
  <si>
    <t>DATA 200-20-05-05027</t>
  </si>
  <si>
    <t>2020-06-028</t>
  </si>
  <si>
    <t>Brgy. Poblacion East - 2020 - 031</t>
  </si>
  <si>
    <t>2020-05-035</t>
  </si>
  <si>
    <t>6-20-50</t>
  </si>
  <si>
    <t>20-06-148</t>
  </si>
  <si>
    <t>20DN0152</t>
  </si>
  <si>
    <t>ITB-062920-3</t>
  </si>
  <si>
    <t>20-46160</t>
  </si>
  <si>
    <t>20-46162</t>
  </si>
  <si>
    <t>RFQ-GOODS-2020-077</t>
  </si>
  <si>
    <t>Jiab-2020-6B</t>
  </si>
  <si>
    <t>PR# 16</t>
  </si>
  <si>
    <t>2020-03-03</t>
  </si>
  <si>
    <t>NCMBCOPP-06-001-20</t>
  </si>
  <si>
    <t>19-056-11 Bravo</t>
  </si>
  <si>
    <t>2020-06-0185</t>
  </si>
  <si>
    <t>013-06-2020-Rebid</t>
  </si>
  <si>
    <t>P-0641</t>
  </si>
  <si>
    <t>BAC-PGCS-179-2020</t>
  </si>
  <si>
    <t>P.R. # 20-06-063</t>
  </si>
  <si>
    <t>ppn-098-2020</t>
  </si>
  <si>
    <t>Jiab-2020-5B</t>
  </si>
  <si>
    <t>UPB-2020-048</t>
  </si>
  <si>
    <t>2020-62B-06-001</t>
  </si>
  <si>
    <t>2020-001 (Brgy. Donganpekong)(REBID)</t>
  </si>
  <si>
    <t>2020-136</t>
  </si>
  <si>
    <t>Gumhang -2020-01</t>
  </si>
  <si>
    <t>100(18)20-06-376(O)</t>
  </si>
  <si>
    <t>06292020001</t>
  </si>
  <si>
    <t>Jiab-2020-4B</t>
  </si>
  <si>
    <t>ICWS-20-050(NP/SV)</t>
  </si>
  <si>
    <t>ITB-2020-06-14</t>
  </si>
  <si>
    <t>06043520</t>
  </si>
  <si>
    <t>PR# 17</t>
  </si>
  <si>
    <t>100(18)20-06-377(O)</t>
  </si>
  <si>
    <t>100-20-04-0174</t>
  </si>
  <si>
    <t>20DN0153</t>
  </si>
  <si>
    <t>ppn-099-2020</t>
  </si>
  <si>
    <t>GOODS-031-2020</t>
  </si>
  <si>
    <t>2020 - 022</t>
  </si>
  <si>
    <t>SV-0557-2020</t>
  </si>
  <si>
    <t>baa - 20 - 07 - 005</t>
  </si>
  <si>
    <t>0614-001</t>
  </si>
  <si>
    <t>BAC 2020-G-06-010</t>
  </si>
  <si>
    <t>2020-0291</t>
  </si>
  <si>
    <t>INFRA-Bagumbayan-002-2019</t>
  </si>
  <si>
    <t>SV-0734-2020</t>
  </si>
  <si>
    <t>BAC-PG-003-20</t>
  </si>
  <si>
    <t>CVO-20-028(NP/SV)</t>
  </si>
  <si>
    <t>DJRDH 200-20-05-06027</t>
  </si>
  <si>
    <t>468-06-2020 (SP)</t>
  </si>
  <si>
    <t>2020-05-002</t>
  </si>
  <si>
    <t>06-29-2020-238</t>
  </si>
  <si>
    <t>pb-infra-2020-039</t>
  </si>
  <si>
    <t>PR#20-014</t>
  </si>
  <si>
    <t>20DN0154</t>
  </si>
  <si>
    <t>PR 2020-06-095</t>
  </si>
  <si>
    <t>20-45377</t>
  </si>
  <si>
    <t>2020-0293</t>
  </si>
  <si>
    <t>DPP 200-20-04-03433</t>
  </si>
  <si>
    <t>B-2020-018</t>
  </si>
  <si>
    <t>SV-0553-2020</t>
  </si>
  <si>
    <t>SV-0709-2020</t>
  </si>
  <si>
    <t>SVP 2020-030</t>
  </si>
  <si>
    <t>2020-43</t>
  </si>
  <si>
    <t>2LSSM2020A-243</t>
  </si>
  <si>
    <t>20DN0155</t>
  </si>
  <si>
    <t>20DN0157</t>
  </si>
  <si>
    <t>2020-0292</t>
  </si>
  <si>
    <t>20DN0156</t>
  </si>
  <si>
    <t>pal-20-06-014</t>
  </si>
  <si>
    <t>236</t>
  </si>
  <si>
    <t>InTB-PGAOPAG2020EDF-GDS1</t>
  </si>
  <si>
    <t>2LSSM2020A-244</t>
  </si>
  <si>
    <t>20DN0158</t>
  </si>
  <si>
    <t>RIO-LMC-07b-2020</t>
  </si>
  <si>
    <t>B2020-076-A</t>
  </si>
  <si>
    <t>RFQ NO. 39</t>
  </si>
  <si>
    <t>100-2020-GOODS-364</t>
  </si>
  <si>
    <t>2LSSM2020A-242</t>
  </si>
  <si>
    <t>237</t>
  </si>
  <si>
    <t>Barangay Concepcion 2020-006-04</t>
  </si>
  <si>
    <t>SP(LEGIS)20-104(SOPPING)</t>
  </si>
  <si>
    <t>100-20-02-0069</t>
  </si>
  <si>
    <t>CMO-CDRRMO(C)20-088(NP/SV)</t>
  </si>
  <si>
    <t>2020 - 14</t>
  </si>
  <si>
    <t>CGB-2020-06-010</t>
  </si>
  <si>
    <t>B2020-078-A</t>
  </si>
  <si>
    <t>2020-0294</t>
  </si>
  <si>
    <t>2020 - 001</t>
  </si>
  <si>
    <t>2006-001A</t>
  </si>
  <si>
    <t>EN 200-20-05-06084</t>
  </si>
  <si>
    <t>2020-03-0982 and 2020-03-0983</t>
  </si>
  <si>
    <t>06-29-2020-239</t>
  </si>
  <si>
    <t>blgupoblacion-2019</t>
  </si>
  <si>
    <t>20DN0159</t>
  </si>
  <si>
    <t>GOODS-003-2020</t>
  </si>
  <si>
    <t>ERVHS -2020-06-02</t>
  </si>
  <si>
    <t>2LSSM2020A-245</t>
  </si>
  <si>
    <t>20BA0065 (Cluster)</t>
  </si>
  <si>
    <t>GOODS2020-49</t>
  </si>
  <si>
    <t>2020-03-0275 RSCC</t>
  </si>
  <si>
    <t>2020-07-21-404PG</t>
  </si>
  <si>
    <t>2020-06-16</t>
  </si>
  <si>
    <t>RIO-LMC-07a-2020</t>
  </si>
  <si>
    <t>RFQ NO. 42</t>
  </si>
  <si>
    <t>RFQ-GOODS-2020-078</t>
  </si>
  <si>
    <t>2019-10-001</t>
  </si>
  <si>
    <t>RFQ No.	2020-07-085</t>
  </si>
  <si>
    <t>20-06-88</t>
  </si>
  <si>
    <t>Installation of Strrelights in Strategic Area in V</t>
  </si>
  <si>
    <t>GS - GARITAN - 2020 -01</t>
  </si>
  <si>
    <t>RFQ20-6-47</t>
  </si>
  <si>
    <t>20DN0160</t>
  </si>
  <si>
    <t>2020-0295</t>
  </si>
  <si>
    <t>GAMOT 200-20-06-06109</t>
  </si>
  <si>
    <t>4918-23-351-20</t>
  </si>
  <si>
    <t>2020-PR-111</t>
  </si>
  <si>
    <t>2020-07-083</t>
  </si>
  <si>
    <t>6911-09-938-20</t>
  </si>
  <si>
    <t>VARIOUS LABORATORY EQUIPMENT'S</t>
  </si>
  <si>
    <t>100-20-06-0233</t>
  </si>
  <si>
    <t>6911-02-690-19</t>
  </si>
  <si>
    <t>06-129-2020</t>
  </si>
  <si>
    <t>MGCP-20I-585A</t>
  </si>
  <si>
    <t>20-06-362</t>
  </si>
  <si>
    <t>RFQ No.	2020-07-086</t>
  </si>
  <si>
    <t>20J00197</t>
  </si>
  <si>
    <t>ITB202005-1</t>
  </si>
  <si>
    <t>ITB-2020-REL-001</t>
  </si>
  <si>
    <t>infra2020011</t>
  </si>
  <si>
    <t>001-06-2020(BRGY.UNZAD, VILLASIS, PANGASINAN)</t>
  </si>
  <si>
    <t>20J00198</t>
  </si>
  <si>
    <t>PR 1-20-06-0763 - BAC</t>
  </si>
  <si>
    <t>INFRA-2020-224</t>
  </si>
  <si>
    <t>SVP 2020-031</t>
  </si>
  <si>
    <t>20201266</t>
  </si>
  <si>
    <t>202004</t>
  </si>
  <si>
    <t>2020-03-01</t>
  </si>
  <si>
    <t>20DN0161</t>
  </si>
  <si>
    <t>20J00199</t>
  </si>
  <si>
    <t>20DN0168</t>
  </si>
  <si>
    <t>ITB-2020-REL-003</t>
  </si>
  <si>
    <t>8918-02-2773-20</t>
  </si>
  <si>
    <t>20-44978 (repost)</t>
  </si>
  <si>
    <t>G-115-20</t>
  </si>
  <si>
    <t>100-20-06-0231</t>
  </si>
  <si>
    <t>20201259</t>
  </si>
  <si>
    <t>6911-09-880-20</t>
  </si>
  <si>
    <t>20J00203</t>
  </si>
  <si>
    <t>2020-0298</t>
  </si>
  <si>
    <t>20-06-150</t>
  </si>
  <si>
    <t>BAC2020-06-36B-24</t>
  </si>
  <si>
    <t>ITB-2020-REL-002</t>
  </si>
  <si>
    <t>2LSSM2020A-246</t>
  </si>
  <si>
    <t>20201258</t>
  </si>
  <si>
    <t>20-43922 (REPOST)</t>
  </si>
  <si>
    <t>ITB-2020-JDL-007</t>
  </si>
  <si>
    <t>2020-062</t>
  </si>
  <si>
    <t>20DN0169</t>
  </si>
  <si>
    <t>INFRA-2020-225</t>
  </si>
  <si>
    <t>20J00200</t>
  </si>
  <si>
    <t>20J00201</t>
  </si>
  <si>
    <t>0629-2020</t>
  </si>
  <si>
    <t>RFQ M-12-20A</t>
  </si>
  <si>
    <t>PR2020-06-028</t>
  </si>
  <si>
    <t>20J00202</t>
  </si>
  <si>
    <t>ZBSY1DEO-20-016CW</t>
  </si>
  <si>
    <t>PB-CW-2020-06-22</t>
  </si>
  <si>
    <t>NCB Publication No. 2020- 20</t>
  </si>
  <si>
    <t>PB-CW-2020-06-23</t>
  </si>
  <si>
    <t>PR # 20-06-0699</t>
  </si>
  <si>
    <t>PSA-RSSO6-2020-012</t>
  </si>
  <si>
    <t>NCB Publication No. 2020- 21</t>
  </si>
  <si>
    <t>20DN0171</t>
  </si>
  <si>
    <t>INFRA2020-013</t>
  </si>
  <si>
    <t>2020-57</t>
  </si>
  <si>
    <t>PSA-RSSO6-2020-016</t>
  </si>
  <si>
    <t>B2020-080-A</t>
  </si>
  <si>
    <t>PSA-RSSO6-2020-015</t>
  </si>
  <si>
    <t>2020-03-02</t>
  </si>
  <si>
    <t>B2020-079-A</t>
  </si>
  <si>
    <t>2020-027</t>
  </si>
  <si>
    <t>PSA-RSSO6-2020-014</t>
  </si>
  <si>
    <t>2020-06-07</t>
  </si>
  <si>
    <t>PSA-RSSO6-2020-013</t>
  </si>
  <si>
    <t>NCB Publication No. 2020- 19</t>
  </si>
  <si>
    <t>ITB 2020-007</t>
  </si>
  <si>
    <t>PR2020-06-029</t>
  </si>
  <si>
    <t>ITB-2020-06-004</t>
  </si>
  <si>
    <t>PSA-RSSO6-2020-019</t>
  </si>
  <si>
    <t>BAC-PG-002-20</t>
  </si>
  <si>
    <t>2LSSM2020A-249</t>
  </si>
  <si>
    <t>2020-160</t>
  </si>
  <si>
    <t>PSA-RSSO6-2020-018</t>
  </si>
  <si>
    <t>2LSSM2020A-248</t>
  </si>
  <si>
    <t>INFRA-2020-226</t>
  </si>
  <si>
    <t>2020-029</t>
  </si>
  <si>
    <t>2LSSM2020A-250</t>
  </si>
  <si>
    <t>2019-12-1340</t>
  </si>
  <si>
    <t>2LSSM2020A-247</t>
  </si>
  <si>
    <t>B2020-081-A</t>
  </si>
  <si>
    <t>LNO 200-20-03-02450</t>
  </si>
  <si>
    <t>100-20-06-0214</t>
  </si>
  <si>
    <t>RFQ No.	2020-07-087</t>
  </si>
  <si>
    <t>B2020-082-A</t>
  </si>
  <si>
    <t>2020-164</t>
  </si>
  <si>
    <t>2020-026</t>
  </si>
  <si>
    <t>ITB-SSS-GOODS-2020-019</t>
  </si>
  <si>
    <t>PSA-RSSO6-2020-017</t>
  </si>
  <si>
    <t>PSA-RSSO6-2020-022</t>
  </si>
  <si>
    <t>2020-06-020-101</t>
  </si>
  <si>
    <t>2020-59</t>
  </si>
  <si>
    <t>ITB INFRA-025-2020</t>
  </si>
  <si>
    <t>2LSSM2020A-251</t>
  </si>
  <si>
    <t>062020</t>
  </si>
  <si>
    <t>062920</t>
  </si>
  <si>
    <t>2020-58</t>
  </si>
  <si>
    <t>SJ-20-168</t>
  </si>
  <si>
    <t>2020-G-Brgy Bucal</t>
  </si>
  <si>
    <t>SM-20-016</t>
  </si>
  <si>
    <t>PSA-RSSO6-2020-021</t>
  </si>
  <si>
    <t>SJ-20-167</t>
  </si>
  <si>
    <t>LARISIP-2020-4</t>
  </si>
  <si>
    <t>PSA-RSSO6-2020-020</t>
  </si>
  <si>
    <t>2020-037</t>
  </si>
  <si>
    <t>PR 6.035 ITB No. 2020-031 Tourist PhilCare Kit</t>
  </si>
  <si>
    <t>ITB INFRA-026-2020</t>
  </si>
  <si>
    <t>2LSSM2020A-253</t>
  </si>
  <si>
    <t>2LSSM2020A-252</t>
  </si>
  <si>
    <t>RFQ No.	2020-07-089</t>
  </si>
  <si>
    <t>2020-06-010</t>
  </si>
  <si>
    <t>PSA-RSSO6-2020-023</t>
  </si>
  <si>
    <t>062920-61</t>
  </si>
  <si>
    <t>2020-07-21-405PG</t>
  </si>
  <si>
    <t>AME-01-2020</t>
  </si>
  <si>
    <t>PASSO 200-20-05-05728/05731/05732</t>
  </si>
  <si>
    <t>2020- 09</t>
  </si>
  <si>
    <t>S2-BTG20-006</t>
  </si>
  <si>
    <t>SJ-20-169</t>
  </si>
  <si>
    <t>PB20-002</t>
  </si>
  <si>
    <t>4918-23-393-20</t>
  </si>
  <si>
    <t>062920-62</t>
  </si>
  <si>
    <t>BALZN9-2010</t>
  </si>
  <si>
    <t>20-46314</t>
  </si>
  <si>
    <t>PSA-RSSO6-2020-025</t>
  </si>
  <si>
    <t>RFQ No.	2020-07-098</t>
  </si>
  <si>
    <t>PR NO.2020-06-025</t>
  </si>
  <si>
    <t>2LSSM2020A-255</t>
  </si>
  <si>
    <t>rfq#2019-10-3,059-pgo-pdrrmd</t>
  </si>
  <si>
    <t>2020-61</t>
  </si>
  <si>
    <t>2LSSM2020A-254</t>
  </si>
  <si>
    <t>PSA-RSSO6-2020-024</t>
  </si>
  <si>
    <t>20-06-122</t>
  </si>
  <si>
    <t>2020-0055</t>
  </si>
  <si>
    <t>PB20-003</t>
  </si>
  <si>
    <t>RFQ No.	2020-07-099</t>
  </si>
  <si>
    <t>2020-050</t>
  </si>
  <si>
    <t>062920-64</t>
  </si>
  <si>
    <t>smwd06292020-7074400</t>
  </si>
  <si>
    <t>RFQ No.	2020-07-092</t>
  </si>
  <si>
    <t>PSA-RSSO6-2020-026</t>
  </si>
  <si>
    <t>ITB INFRA-027-2020</t>
  </si>
  <si>
    <t>20CSIB08</t>
  </si>
  <si>
    <t>2020-0299</t>
  </si>
  <si>
    <t>PSA-RSSO6-2020-0027</t>
  </si>
  <si>
    <t>2LSSM2020A-256</t>
  </si>
  <si>
    <t>062920-63</t>
  </si>
  <si>
    <t>101-8917-2020-06-01</t>
  </si>
  <si>
    <t>2020-60</t>
  </si>
  <si>
    <t>2020-42</t>
  </si>
  <si>
    <t>2LSSM2020A-257</t>
  </si>
  <si>
    <t>15</t>
  </si>
  <si>
    <t>cgb2020-232</t>
  </si>
  <si>
    <t>RFQ No.	2020-07-100</t>
  </si>
  <si>
    <t>B-2020-019</t>
  </si>
  <si>
    <t>2020-051</t>
  </si>
  <si>
    <t>S2-SND20-020</t>
  </si>
  <si>
    <t>2LSSM2020A-259</t>
  </si>
  <si>
    <t>SVP20-513</t>
  </si>
  <si>
    <t>RFQ No.	2020-07-104</t>
  </si>
  <si>
    <t>cgb2020-231</t>
  </si>
  <si>
    <t>PSA-RSSO6-2020-028</t>
  </si>
  <si>
    <t>2020-035I</t>
  </si>
  <si>
    <t>GF-503</t>
  </si>
  <si>
    <t>SEF-G-028-2020</t>
  </si>
  <si>
    <t>ITB-002A-2020</t>
  </si>
  <si>
    <t>PSA-RSSO6-2020-029</t>
  </si>
  <si>
    <t>S2-LIM20-014</t>
  </si>
  <si>
    <t>06-229-2020</t>
  </si>
  <si>
    <t>2020-G-017 Lot 1</t>
  </si>
  <si>
    <t>2020-468</t>
  </si>
  <si>
    <t>2LSSM2020A-258</t>
  </si>
  <si>
    <t>Infra 2020-011</t>
  </si>
  <si>
    <t>smwd06292020-7074470</t>
  </si>
  <si>
    <t>20-22</t>
  </si>
  <si>
    <t>WOR 20-003</t>
  </si>
  <si>
    <t>GF-504</t>
  </si>
  <si>
    <t>RFQ No.	2020-07-105</t>
  </si>
  <si>
    <t>ZBSY1DEO-20-017CW</t>
  </si>
  <si>
    <t>2020--06---002BDRRMF</t>
  </si>
  <si>
    <t>Infra 2020-013</t>
  </si>
  <si>
    <t>2020-467</t>
  </si>
  <si>
    <t>ITB 20-075</t>
  </si>
  <si>
    <t>2020-INFRA-05</t>
  </si>
  <si>
    <t>2020-0300</t>
  </si>
  <si>
    <t>300-20-06-008</t>
  </si>
  <si>
    <t>2020-168</t>
  </si>
  <si>
    <t>2020-152A</t>
  </si>
  <si>
    <t>PSA-RSSO6-2020-030</t>
  </si>
  <si>
    <t>2LSSM2020A-261</t>
  </si>
  <si>
    <t>INFRA -01- 2020</t>
  </si>
  <si>
    <t>2LSSM2020A-262</t>
  </si>
  <si>
    <t>GF-505</t>
  </si>
  <si>
    <t>Infra 2020-012</t>
  </si>
  <si>
    <t>S2-MGA20-009</t>
  </si>
  <si>
    <t>cgb2020-234</t>
  </si>
  <si>
    <t>100(01)20-06-368(A)</t>
  </si>
  <si>
    <t>cgb2020-233</t>
  </si>
  <si>
    <t>rfq#2020-05-2,333-pgo-benro</t>
  </si>
  <si>
    <t>Jiab-2020-47A</t>
  </si>
  <si>
    <t>100-06-20-478</t>
  </si>
  <si>
    <t>2020-469</t>
  </si>
  <si>
    <t>2LSSM2020A-263</t>
  </si>
  <si>
    <t>100-06-20-479</t>
  </si>
  <si>
    <t>Infra 2020-015</t>
  </si>
  <si>
    <t>20JA0085</t>
  </si>
  <si>
    <t>2LSSM2020A-260</t>
  </si>
  <si>
    <t>Infra 2020-014</t>
  </si>
  <si>
    <t>2020-039</t>
  </si>
  <si>
    <t>20CB-GSC-370 PURCHASE OF GRASS CUTTER AND MOWER (R</t>
  </si>
  <si>
    <t>cgb2020-235</t>
  </si>
  <si>
    <t>2020-06-0466 HFG</t>
  </si>
  <si>
    <t>S2-MPP20-015</t>
  </si>
  <si>
    <t>Infra 2020-017</t>
  </si>
  <si>
    <t>S2-MGS20-005</t>
  </si>
  <si>
    <t>DapDap202002</t>
  </si>
  <si>
    <t>SVP20-515</t>
  </si>
  <si>
    <t>RFQ No.	2020-07-106</t>
  </si>
  <si>
    <t>2020-06-0037</t>
  </si>
  <si>
    <t>2020-038</t>
  </si>
  <si>
    <t>20GIL0043</t>
  </si>
  <si>
    <t>MALIM2020-06-002</t>
  </si>
  <si>
    <t>2020-06-0039</t>
  </si>
  <si>
    <t>20-46241</t>
  </si>
  <si>
    <t>2LSSM2020A-265</t>
  </si>
  <si>
    <t>06-329-2020</t>
  </si>
  <si>
    <t>L-15-2020</t>
  </si>
  <si>
    <t>PB2020-07-073G</t>
  </si>
  <si>
    <t>Infra 2020-016</t>
  </si>
  <si>
    <t>2LSSM2020A-264</t>
  </si>
  <si>
    <t>2020-G-017 Lot 2</t>
  </si>
  <si>
    <t>GOODS 2020-23</t>
  </si>
  <si>
    <t>2020-453</t>
  </si>
  <si>
    <t>2020-474</t>
  </si>
  <si>
    <t>mda127</t>
  </si>
  <si>
    <t>011</t>
  </si>
  <si>
    <t>PRDP-RPCO3-06-29-2020-41</t>
  </si>
  <si>
    <t>RFQ No.	2020-07-108</t>
  </si>
  <si>
    <t>300-AGRICULTURAL DEV'T-20-013</t>
  </si>
  <si>
    <t>GOODS 2020-22</t>
  </si>
  <si>
    <t>GF-507</t>
  </si>
  <si>
    <t>Quotation No.20-06-362</t>
  </si>
  <si>
    <t>PASSO2 200-20-05-05390</t>
  </si>
  <si>
    <t>PSA-RSSO6-2020-032</t>
  </si>
  <si>
    <t>20-45175</t>
  </si>
  <si>
    <t>2LSSM2020A-266</t>
  </si>
  <si>
    <t>2020 - STA - 0010</t>
  </si>
  <si>
    <t>MALIM2020-06-003</t>
  </si>
  <si>
    <t>WOR 20-004</t>
  </si>
  <si>
    <t>Sagrada202003</t>
  </si>
  <si>
    <t>100-2020-06-008B</t>
  </si>
  <si>
    <t>20-06-169</t>
  </si>
  <si>
    <t>02</t>
  </si>
  <si>
    <t>PR 20-06-034</t>
  </si>
  <si>
    <t>Sagrada202004</t>
  </si>
  <si>
    <t>GEPS-2020-004</t>
  </si>
  <si>
    <t>20PJ0034</t>
  </si>
  <si>
    <t>POG DDO 2020-IT-002</t>
  </si>
  <si>
    <t>PB20200628-042</t>
  </si>
  <si>
    <t>PSA-RSSO6-2020-033</t>
  </si>
  <si>
    <t>2020-473</t>
  </si>
  <si>
    <t>GOODS 2020-26</t>
  </si>
  <si>
    <t>100-2020-06-008A</t>
  </si>
  <si>
    <t>2020-06-0475 SFP</t>
  </si>
  <si>
    <t>SPC PR No. 202004-026</t>
  </si>
  <si>
    <t>2020-06-0367</t>
  </si>
  <si>
    <t>Poblacion202003</t>
  </si>
  <si>
    <t>RFQ No.	2020-07-112</t>
  </si>
  <si>
    <t>20-06-0291</t>
  </si>
  <si>
    <t>2LSSM2020A-267</t>
  </si>
  <si>
    <t>20AC0101</t>
  </si>
  <si>
    <t>RFQ No.	2020-07-114</t>
  </si>
  <si>
    <t>GOODS 2020-25</t>
  </si>
  <si>
    <t>GOODS 2020-24</t>
  </si>
  <si>
    <t>RFQ 2020-06-026 - PR 2020-06-035</t>
  </si>
  <si>
    <t>300-AGRICULTURAL DEV'T-20-014</t>
  </si>
  <si>
    <t>PSA-RSSO6-2020-034</t>
  </si>
  <si>
    <t>S2-SND20-011</t>
  </si>
  <si>
    <t>2020-06-0463 HFG</t>
  </si>
  <si>
    <t>05-G-2020 (TWNG)</t>
  </si>
  <si>
    <t>06-29-2020</t>
  </si>
  <si>
    <t>20-0697</t>
  </si>
  <si>
    <t>BAC2020-06-36B25</t>
  </si>
  <si>
    <t>PSA-RSSO6-2020-031</t>
  </si>
  <si>
    <t>2020-21 LOT 1</t>
  </si>
  <si>
    <t>RFQ No.	2020-07-116</t>
  </si>
  <si>
    <t>2006-01</t>
  </si>
  <si>
    <t>wawa 1-2020-001</t>
  </si>
  <si>
    <t>100-2020-06-022B</t>
  </si>
  <si>
    <t>PC 20-001</t>
  </si>
  <si>
    <t>2020-07-21-406PG</t>
  </si>
  <si>
    <t>2020-06-350</t>
  </si>
  <si>
    <t>RFQ No.	2020-07-110</t>
  </si>
  <si>
    <t>Poblacion202004</t>
  </si>
  <si>
    <t>LAYON 2020-001</t>
  </si>
  <si>
    <t>RFQ No.	2020-07-115</t>
  </si>
  <si>
    <t>2020-06-044E</t>
  </si>
  <si>
    <t>BPB 2020-018</t>
  </si>
  <si>
    <t>PMRB 200-20-05-04883</t>
  </si>
  <si>
    <t>TWD-2020-003</t>
  </si>
  <si>
    <t>GEPS-2020-004-02</t>
  </si>
  <si>
    <t>Tinocawan202003</t>
  </si>
  <si>
    <t>PB2020-049</t>
  </si>
  <si>
    <t>100-20-06-0632</t>
  </si>
  <si>
    <t>2020-06-0647 TDG</t>
  </si>
  <si>
    <t>2006-02</t>
  </si>
  <si>
    <t>RFQ No.	2020-07-117</t>
  </si>
  <si>
    <t>Pul 002 2020</t>
  </si>
  <si>
    <t>ITB No. 013-2020</t>
  </si>
  <si>
    <t>GEPS-2020-005</t>
  </si>
  <si>
    <t>20PJ0057</t>
  </si>
  <si>
    <t>2020-06-0643 TDG</t>
  </si>
  <si>
    <t>2020-6-29-1</t>
  </si>
  <si>
    <t>20CB-GSC-371 LANDLINE SUBSCRIPTION W/ INTERNET (RE</t>
  </si>
  <si>
    <t>GOODS 2020-27</t>
  </si>
  <si>
    <t>PB2020-050</t>
  </si>
  <si>
    <t>100-20-06-0622</t>
  </si>
  <si>
    <t>PR 200-20-03-02545</t>
  </si>
  <si>
    <t>BUE-06292020-01</t>
  </si>
  <si>
    <t>2020-06-0646 TDG</t>
  </si>
  <si>
    <t>2LSSM2020A-268</t>
  </si>
  <si>
    <t>BOC-LMY-RFQ-01-2020</t>
  </si>
  <si>
    <t>RFQ No.	2020-07-118</t>
  </si>
  <si>
    <t>Tinocawan202004</t>
  </si>
  <si>
    <t>007-05-2020</t>
  </si>
  <si>
    <t>Jiab-2020-1C</t>
  </si>
  <si>
    <t>20CB-GSC-373 PURCHASE OF SPARE PARTS FOR MOTOR VEH</t>
  </si>
  <si>
    <t>batan202005</t>
  </si>
  <si>
    <t>20-06-003-RFQ</t>
  </si>
  <si>
    <t>20CB-GSC-381 PURCHASE OF HOUSE NUMBER PLATES (RE-B</t>
  </si>
  <si>
    <t>396</t>
  </si>
  <si>
    <t>rfq#2020-06-2,570-pgo-livelihood</t>
  </si>
  <si>
    <t>Quotation No.20-06-363</t>
  </si>
  <si>
    <t>2020-06-2568</t>
  </si>
  <si>
    <t>BUE-06292020-03</t>
  </si>
  <si>
    <t>2006-03</t>
  </si>
  <si>
    <t>BUE-06292020-02</t>
  </si>
  <si>
    <t>GS-2020-08</t>
  </si>
  <si>
    <t>rfq#2020-05-2,446-pgo-pnp</t>
  </si>
  <si>
    <t>rfq#2020-06-2,626-pgo-bac secretariat</t>
  </si>
  <si>
    <t>20PJ0058</t>
  </si>
  <si>
    <t>2020-6-29-2</t>
  </si>
  <si>
    <t>bcwd-2020-060</t>
  </si>
  <si>
    <t>2LSSM2020A-269</t>
  </si>
  <si>
    <t>C4ISR-PNBAC1-2020-26</t>
  </si>
  <si>
    <t>2020/06/062</t>
  </si>
  <si>
    <t>PGLDN INFRA MALABANG FLOOD CONTROL- 2020-01</t>
  </si>
  <si>
    <t>2020-06-Malolos-001</t>
  </si>
  <si>
    <t>Quotation No.20-06-364</t>
  </si>
  <si>
    <t>Mkna-GSO-20-294</t>
  </si>
  <si>
    <t>2020-01-0061</t>
  </si>
  <si>
    <t>RFQ - 2020-06 - 043</t>
  </si>
  <si>
    <t>PHO 200-20-05-05529</t>
  </si>
  <si>
    <t>2006-04</t>
  </si>
  <si>
    <t>100-20-05-268</t>
  </si>
  <si>
    <t>PR 2020-06-033</t>
  </si>
  <si>
    <t>batan202006</t>
  </si>
  <si>
    <t>SJ-20-170</t>
  </si>
  <si>
    <t>2020-21 LOT 2</t>
  </si>
  <si>
    <t>7073557</t>
  </si>
  <si>
    <t>2020-01-0062</t>
  </si>
  <si>
    <t>SN-20-06-006</t>
  </si>
  <si>
    <t>2020 INFRA 002</t>
  </si>
  <si>
    <t>BACPOGOODS202006008</t>
  </si>
  <si>
    <t>20GKG0033</t>
  </si>
  <si>
    <t>2020-01-0060</t>
  </si>
  <si>
    <t>1176-20-06-83</t>
  </si>
  <si>
    <t>Masaga202002</t>
  </si>
  <si>
    <t>S2-B1320-007</t>
  </si>
  <si>
    <t>2020-21 LOT 3</t>
  </si>
  <si>
    <t>2020 INFRA 001</t>
  </si>
  <si>
    <t>31-2020</t>
  </si>
  <si>
    <t>PR#20-02-017</t>
  </si>
  <si>
    <t>maasin2020-MPBrehab</t>
  </si>
  <si>
    <t>015-06-2020 Re-bid</t>
  </si>
  <si>
    <t>DRO12-061-2020</t>
  </si>
  <si>
    <t>SN-20-06-008</t>
  </si>
  <si>
    <t>2LSSM2020A-270</t>
  </si>
  <si>
    <t>2006-05</t>
  </si>
  <si>
    <t>SB1 NPPH 200-20-05-05922</t>
  </si>
  <si>
    <t>MGCP-20G-587A</t>
  </si>
  <si>
    <t>C4ISR-PNBAC1-2020-27</t>
  </si>
  <si>
    <t>RFQ - 2020-06 - 046</t>
  </si>
  <si>
    <t>2006-06</t>
  </si>
  <si>
    <t>SEF-I-53-2020</t>
  </si>
  <si>
    <t>S2-B1320-011</t>
  </si>
  <si>
    <t>SIDP 200-20-05-05864</t>
  </si>
  <si>
    <t>SJ-20-171</t>
  </si>
  <si>
    <t>2LSSM2020A-271</t>
  </si>
  <si>
    <t>RFQ - 2020-06 - 044</t>
  </si>
  <si>
    <t>CSC 2020-06-013</t>
  </si>
  <si>
    <t>2020/06/063</t>
  </si>
  <si>
    <t>2020-0199</t>
  </si>
  <si>
    <t>Jiab-2020-2C</t>
  </si>
  <si>
    <t>20CG0178</t>
  </si>
  <si>
    <t>2020-03-2047</t>
  </si>
  <si>
    <t>2020-03-1989</t>
  </si>
  <si>
    <t>ITB No. 2020-17</t>
  </si>
  <si>
    <t>20CG0179</t>
  </si>
  <si>
    <t>100-20-04-219</t>
  </si>
  <si>
    <t>2020-GEN. FUND-ITB-009</t>
  </si>
  <si>
    <t>ITB # 2020-05-025</t>
  </si>
  <si>
    <t>2020-21 LOT 4</t>
  </si>
  <si>
    <t>itb-2020-001</t>
  </si>
  <si>
    <t>02A-2020</t>
  </si>
  <si>
    <t>SV 200-20-04-04637</t>
  </si>
  <si>
    <t>20-504</t>
  </si>
  <si>
    <t>20FE0129</t>
  </si>
  <si>
    <t>ITB-20-06120</t>
  </si>
  <si>
    <t>2020-06-08</t>
  </si>
  <si>
    <t>20LC0130</t>
  </si>
  <si>
    <t>2006-07</t>
  </si>
  <si>
    <t>RFQ - 2020-06 - 047</t>
  </si>
  <si>
    <t>00747</t>
  </si>
  <si>
    <t>074</t>
  </si>
  <si>
    <t>2LSSM2020A-272</t>
  </si>
  <si>
    <t>2020-6-29-3</t>
  </si>
  <si>
    <t>2020-04-363</t>
  </si>
  <si>
    <t>PIA 2020-16</t>
  </si>
  <si>
    <t>2020-03-2042</t>
  </si>
  <si>
    <t>C4ISR-PNBAC1-2020-28</t>
  </si>
  <si>
    <t>2020-21 LOT 5</t>
  </si>
  <si>
    <t>SANTIAGO-2020-003</t>
  </si>
  <si>
    <t>NP-TP-2020-02</t>
  </si>
  <si>
    <t>363</t>
  </si>
  <si>
    <t>MH-GOODS-TLDC-PWD-PRINTING-SERVICES-688</t>
  </si>
  <si>
    <t>S2-B1320-021</t>
  </si>
  <si>
    <t>RFQ - 2020-06 - 045</t>
  </si>
  <si>
    <t>S2-BH120-016</t>
  </si>
  <si>
    <t>2020-GEN. FUND-010</t>
  </si>
  <si>
    <t>lgu-es-20-06-143</t>
  </si>
  <si>
    <t>2020-6-4c</t>
  </si>
  <si>
    <t>RFQ - 2020-06 - 048</t>
  </si>
  <si>
    <t>GPG-B1-2020-427-SOLID WASTE MGT EQPT.</t>
  </si>
  <si>
    <t>BUENAVISTA1-2020-001</t>
  </si>
  <si>
    <t>20C00048</t>
  </si>
  <si>
    <t>2LSSM2020A-273</t>
  </si>
  <si>
    <t>NCB Publication No. 2020- 22</t>
  </si>
  <si>
    <t>RFQ - 2020-06 - 049</t>
  </si>
  <si>
    <t>Villahermosa202006</t>
  </si>
  <si>
    <t>itb-2020-002</t>
  </si>
  <si>
    <t>S2-DOO20-015</t>
  </si>
  <si>
    <t>2LSSM2020B-274</t>
  </si>
  <si>
    <t>06-05 (DGT-2020-06-17)</t>
  </si>
  <si>
    <t>Villahermosa202005</t>
  </si>
  <si>
    <t>MIL-GOODS-2020-06-09</t>
  </si>
  <si>
    <t>2LSSM2020B-275</t>
  </si>
  <si>
    <t>20CG0180</t>
  </si>
  <si>
    <t>20CG0182</t>
  </si>
  <si>
    <t>000</t>
  </si>
  <si>
    <t>2020-03-086</t>
  </si>
  <si>
    <t>2020/06/064</t>
  </si>
  <si>
    <t>20AI0178</t>
  </si>
  <si>
    <t>BLGU-PBD-Magsaysay-2020-30</t>
  </si>
  <si>
    <t>KAP-20-11 (2nd Posting)</t>
  </si>
  <si>
    <t>20LC0148</t>
  </si>
  <si>
    <t>2020-21 LOT 6</t>
  </si>
  <si>
    <t>C4ISR-PNBAC1-2020-29</t>
  </si>
  <si>
    <t>philgeps06292020</t>
  </si>
  <si>
    <t>01616</t>
  </si>
  <si>
    <t>2020-03-1611</t>
  </si>
  <si>
    <t>20CG0184</t>
  </si>
  <si>
    <t>(ITB) No     2020- 07 -008</t>
  </si>
  <si>
    <t>20CG0185</t>
  </si>
  <si>
    <t>20AI0177</t>
  </si>
  <si>
    <t>2020-06-0368</t>
  </si>
  <si>
    <t>(ITB) No     2020-07-010</t>
  </si>
  <si>
    <t>01-2020-INFRA</t>
  </si>
  <si>
    <t>Guadalupe202005</t>
  </si>
  <si>
    <t>101-20-06-85</t>
  </si>
  <si>
    <t>2004-068</t>
  </si>
  <si>
    <t>(ITB) No     2020- 07 -009</t>
  </si>
  <si>
    <t>MGCP-20G-588A</t>
  </si>
  <si>
    <t>110012022019</t>
  </si>
  <si>
    <t>NCB Publication No. 2020- 23</t>
  </si>
  <si>
    <t>SVP 2020-137</t>
  </si>
  <si>
    <t>062920201</t>
  </si>
  <si>
    <t>itb-2020-003</t>
  </si>
  <si>
    <t>20CG0183</t>
  </si>
  <si>
    <t xml:space="preserve">20KL0137 - Construction of Standard Two-Storey (4 </t>
  </si>
  <si>
    <t>2020-04-0783</t>
  </si>
  <si>
    <t>20201276</t>
  </si>
  <si>
    <t>2020-03-1991</t>
  </si>
  <si>
    <t>(ITB) No     2020-07-012</t>
  </si>
  <si>
    <t>20CG0186</t>
  </si>
  <si>
    <t>INVITATION TO BID No. 2020-06-003</t>
  </si>
  <si>
    <t xml:space="preserve">20KL0136 - Construction of Standard Two-Storey (4 </t>
  </si>
  <si>
    <t>20LC0150</t>
  </si>
  <si>
    <t>(ITB) No     2020-07-011</t>
  </si>
  <si>
    <t>05-20-0397</t>
  </si>
  <si>
    <t>20FE0131</t>
  </si>
  <si>
    <t>Guadalupe202006</t>
  </si>
  <si>
    <t>20CG0181</t>
  </si>
  <si>
    <t>2020-04-2119</t>
  </si>
  <si>
    <t>02-2020-INFRA</t>
  </si>
  <si>
    <t>2020-04-0813</t>
  </si>
  <si>
    <t>IB No. 2020-07-20 (14)</t>
  </si>
  <si>
    <t>ITB # 2020-06-032</t>
  </si>
  <si>
    <t>2020-06-001-G</t>
  </si>
  <si>
    <t>110012032019</t>
  </si>
  <si>
    <t>2020-21 LOT 7</t>
  </si>
  <si>
    <t>2020.06.29</t>
  </si>
  <si>
    <t>2020-21 LOT 8</t>
  </si>
  <si>
    <t>AGINF2020-0630A</t>
  </si>
  <si>
    <t>RFQ No.	2020-07-121</t>
  </si>
  <si>
    <t>20FE0130</t>
  </si>
  <si>
    <t>GSD-J-20-288</t>
  </si>
  <si>
    <t>2006-089</t>
  </si>
  <si>
    <t>S1-BRS20-006</t>
  </si>
  <si>
    <t>ITB # 2020-06-033</t>
  </si>
  <si>
    <t>20LC0157</t>
  </si>
  <si>
    <t>20CB-GSC-376 PURCHASE OF TARPAULIN AND TOKEN (RE-B</t>
  </si>
  <si>
    <t>2020-6-006</t>
  </si>
  <si>
    <t>PIA 2020-17</t>
  </si>
  <si>
    <t>PR0045-20 MotorPool</t>
  </si>
  <si>
    <t>BRGYDITA-2020-06-001</t>
  </si>
  <si>
    <t>2020-06-2490</t>
  </si>
  <si>
    <t>2020.06.29.1</t>
  </si>
  <si>
    <t>2020-21 LOT 9</t>
  </si>
  <si>
    <t>2020-05-2378</t>
  </si>
  <si>
    <t>20CG0188</t>
  </si>
  <si>
    <t>2020.06.29.2</t>
  </si>
  <si>
    <t>PR 1-20-06-0748 - GSD</t>
  </si>
  <si>
    <t>S1-BRS20-008</t>
  </si>
  <si>
    <t>oo2</t>
  </si>
  <si>
    <t>ITB-20-06097</t>
  </si>
  <si>
    <t>20LC0158</t>
  </si>
  <si>
    <t>ITB-20-06-002</t>
  </si>
  <si>
    <t>PR0221-20 DOPMC</t>
  </si>
  <si>
    <t>20CG0191</t>
  </si>
  <si>
    <t>20CG0190</t>
  </si>
  <si>
    <t>Bid No. 20-003-A</t>
  </si>
  <si>
    <t>Bid No.20-003-B</t>
  </si>
  <si>
    <t>2020-06-473</t>
  </si>
  <si>
    <t>2020-05-2405</t>
  </si>
  <si>
    <t>PB-2020-06-006</t>
  </si>
  <si>
    <t>2020-337</t>
  </si>
  <si>
    <t>20CG0189</t>
  </si>
  <si>
    <t>S1-BMD20-003</t>
  </si>
  <si>
    <t>SG 002-20</t>
  </si>
  <si>
    <t xml:space="preserve">20KL0138 - Construction of Standard Two-Storey (4 </t>
  </si>
  <si>
    <t>101-8917-2020-06-02</t>
  </si>
  <si>
    <t>hamorawon202003</t>
  </si>
  <si>
    <t>20CG0192</t>
  </si>
  <si>
    <t xml:space="preserve">20KL0139 - Construction of Standard Two-Storey (4 </t>
  </si>
  <si>
    <t>GPG-B1-2020-426-SOLID WASTE MGT EQPT</t>
  </si>
  <si>
    <t>2020-GEN. FUND-ITB-011</t>
  </si>
  <si>
    <t>nlontoc-RFQ-194-2020</t>
  </si>
  <si>
    <t>2020-02-1448</t>
  </si>
  <si>
    <t>20LC0156</t>
  </si>
  <si>
    <t>2020.06.29.3</t>
  </si>
  <si>
    <t>062920202</t>
  </si>
  <si>
    <t>PIKCOT-002020-0016</t>
  </si>
  <si>
    <t>2020-21 LOT 10</t>
  </si>
  <si>
    <t>Bid No. 20-002-B</t>
  </si>
  <si>
    <t>20LC0133 Re-Invitation to Bid</t>
  </si>
  <si>
    <t>B20-2020-001</t>
  </si>
  <si>
    <t>2020-03-283</t>
  </si>
  <si>
    <t>2020-338</t>
  </si>
  <si>
    <t>05-20-0401</t>
  </si>
  <si>
    <t>B-92-2020</t>
  </si>
  <si>
    <t>101-8917-2020-06-03</t>
  </si>
  <si>
    <t>ITB-SSS-GOODS-2020-020</t>
  </si>
  <si>
    <t>2020-06-105</t>
  </si>
  <si>
    <t>20GID0021</t>
  </si>
  <si>
    <t>20CG0187</t>
  </si>
  <si>
    <t>ITB # 2020-06-034</t>
  </si>
  <si>
    <t>1-07-04-010-2019</t>
  </si>
  <si>
    <t>05-20-0402</t>
  </si>
  <si>
    <t>PB-2020-06-007</t>
  </si>
  <si>
    <t>2020.06.29.5</t>
  </si>
  <si>
    <t>2020-05-2302</t>
  </si>
  <si>
    <t>2020-041R</t>
  </si>
  <si>
    <t>MR-PNBAC1-2020-30</t>
  </si>
  <si>
    <t>REI-SSS-CONSULTING-2020-003</t>
  </si>
  <si>
    <t>20-06-079</t>
  </si>
  <si>
    <t>2020.06.29.4</t>
  </si>
  <si>
    <t>2020-03-1590</t>
  </si>
  <si>
    <t>2020-06-469</t>
  </si>
  <si>
    <t>2020-0200</t>
  </si>
  <si>
    <t>2020-03-1591</t>
  </si>
  <si>
    <t>Bid No.20-002-C</t>
  </si>
  <si>
    <t>BQ-Goods- 2020-007</t>
  </si>
  <si>
    <t>20CSCE006</t>
  </si>
  <si>
    <t>20LC0134 Re-Invitation to Bid</t>
  </si>
  <si>
    <t>2020-03-1801</t>
  </si>
  <si>
    <t>SH-5439-19</t>
  </si>
  <si>
    <t>03-20-0355</t>
  </si>
  <si>
    <t>2020-339</t>
  </si>
  <si>
    <t>Bid No. 20-002-D</t>
  </si>
  <si>
    <t>Bidding-02-June2020</t>
  </si>
  <si>
    <t>2020.06.29.6</t>
  </si>
  <si>
    <t>2020-02-1455</t>
  </si>
  <si>
    <t>ITB-28-2020</t>
  </si>
  <si>
    <t>SH-5448-20</t>
  </si>
  <si>
    <t>PB-2020-004</t>
  </si>
  <si>
    <t>PIKCOT-002020-0017</t>
  </si>
  <si>
    <t>DA RFO-1-2019-INFRA-078</t>
  </si>
  <si>
    <t>Goods 2020-058</t>
  </si>
  <si>
    <t>2020-06-474</t>
  </si>
  <si>
    <t>20% esivb.7-2019</t>
  </si>
  <si>
    <t>BQ-Goods-2020-010</t>
  </si>
  <si>
    <t>PB2020-Infra-01</t>
  </si>
  <si>
    <t>SCM 0629-04-2020</t>
  </si>
  <si>
    <t>Budget Certificate No. 248-2020</t>
  </si>
  <si>
    <t>2020-089</t>
  </si>
  <si>
    <t>ITB-2019-16</t>
  </si>
  <si>
    <t>KAP-20-16</t>
  </si>
  <si>
    <t>Goods 2020-059</t>
  </si>
  <si>
    <t>SVP-29-2020</t>
  </si>
  <si>
    <t>05-20-0403</t>
  </si>
  <si>
    <t>20-06213PR</t>
  </si>
  <si>
    <t>IB NO. 035-20</t>
  </si>
  <si>
    <t>GOODS#0131, ITB#0134,  PR#0413: SCG-2020</t>
  </si>
  <si>
    <t>2019-2076-10-459</t>
  </si>
  <si>
    <t>RFQ No. 440</t>
  </si>
  <si>
    <t>Gaba202003</t>
  </si>
  <si>
    <t>Budget Certificate No. 255-2020</t>
  </si>
  <si>
    <t>SWEP-PNBAC-2020-04</t>
  </si>
  <si>
    <t>05-20-0408</t>
  </si>
  <si>
    <t>Ibaan/2020/241</t>
  </si>
  <si>
    <t>Liguan202006</t>
  </si>
  <si>
    <t>BQ-Goods-2020-011</t>
  </si>
  <si>
    <t>20DE0118 (Re-advertised)</t>
  </si>
  <si>
    <t>MAFAR-06-93-2020</t>
  </si>
  <si>
    <t>PR 6.038TPB-PR.2020.06.195SERVICES OF VIRTUAL PLAT</t>
  </si>
  <si>
    <t>PB-I-2020-05-618</t>
  </si>
  <si>
    <t>INF-18-June 19, 2020</t>
  </si>
  <si>
    <t>06-20-0447</t>
  </si>
  <si>
    <t>46</t>
  </si>
  <si>
    <t>IB NO. 2020-06-45 Procurement of Flat Panel Detect</t>
  </si>
  <si>
    <t>PB-I-2020-05-616</t>
  </si>
  <si>
    <t>2020-06-OR TABLE</t>
  </si>
  <si>
    <t>Binosawan202001</t>
  </si>
  <si>
    <t>2020-06-15</t>
  </si>
  <si>
    <t>PB2020-010 (PR No. 20-06-0272)</t>
  </si>
  <si>
    <t>janiuay-2020-26</t>
  </si>
  <si>
    <t>IB NO. 2020-06-44 Procurement of Infant Radiant Wa</t>
  </si>
  <si>
    <t>100-06-20-01552</t>
  </si>
  <si>
    <t>MAFAR-06-94-2020</t>
  </si>
  <si>
    <t>05-20-0398</t>
  </si>
  <si>
    <t>S1-NDP20-008</t>
  </si>
  <si>
    <t>063</t>
  </si>
  <si>
    <t>2020-080</t>
  </si>
  <si>
    <t>05-20-0410</t>
  </si>
  <si>
    <t xml:space="preserve">IB NO. 2020-06-46 Procurement of Installation and </t>
  </si>
  <si>
    <t>05-20-0409</t>
  </si>
  <si>
    <t>GWD-TWDPA-2020-06-01</t>
  </si>
  <si>
    <t>PRRI-PB-2020-ISA-005</t>
  </si>
  <si>
    <t>IB-2020-077</t>
  </si>
  <si>
    <t>06-209-0452</t>
  </si>
  <si>
    <t>Bogtong202002</t>
  </si>
  <si>
    <t>Bogtong202001</t>
  </si>
  <si>
    <t>06-20-0440</t>
  </si>
  <si>
    <t>20-006-06BID</t>
  </si>
  <si>
    <t>20DE0125 (Re-advertised)</t>
  </si>
  <si>
    <t>062</t>
  </si>
  <si>
    <t>janiuay-2020-27</t>
  </si>
  <si>
    <t>PB-I-2020-05-619</t>
  </si>
  <si>
    <t>Linao202002</t>
  </si>
  <si>
    <t>Manila202004</t>
  </si>
  <si>
    <t>06-20-0448</t>
  </si>
  <si>
    <t>06-20-0444</t>
  </si>
  <si>
    <t>Linao202001</t>
  </si>
  <si>
    <t>47</t>
  </si>
  <si>
    <t>100-06-20-01594</t>
  </si>
  <si>
    <t>20-101-043</t>
  </si>
  <si>
    <t>ITB # 2020-06-035</t>
  </si>
  <si>
    <t>2020-340</t>
  </si>
  <si>
    <t>Bidding-03-June2020</t>
  </si>
  <si>
    <t>05-20-0399</t>
  </si>
  <si>
    <t>2020JO-06-001</t>
  </si>
  <si>
    <t>S1-NPS20-012</t>
  </si>
  <si>
    <t>20-184-044</t>
  </si>
  <si>
    <t>20LB0256</t>
  </si>
  <si>
    <t>2020-05-0001</t>
  </si>
  <si>
    <t>PB2020-011 (PR No. 19-10-1295)</t>
  </si>
  <si>
    <t>59881</t>
  </si>
  <si>
    <t xml:space="preserve">IB NO. 2020-06-47 Procurement of High Definition  </t>
  </si>
  <si>
    <t>2020-006-004</t>
  </si>
  <si>
    <t>JJWC-NNP-20-012</t>
  </si>
  <si>
    <t>ITB 20-0061-A</t>
  </si>
  <si>
    <t>KAP-20-17</t>
  </si>
  <si>
    <t>29577</t>
  </si>
  <si>
    <t>ITB 20-0046-A</t>
  </si>
  <si>
    <t>20LB0252</t>
  </si>
  <si>
    <t>20LB0311</t>
  </si>
  <si>
    <t>20CG0194</t>
  </si>
  <si>
    <t>20CG0197</t>
  </si>
  <si>
    <t>20LB0279</t>
  </si>
  <si>
    <t>PB2020-Infra-02</t>
  </si>
  <si>
    <t>2020-SVP-04</t>
  </si>
  <si>
    <t>06-29-2020-01</t>
  </si>
  <si>
    <t>20DE0137 (Re-advertised)</t>
  </si>
  <si>
    <t>HFW-2020-05-0157</t>
  </si>
  <si>
    <t>20LB0313</t>
  </si>
  <si>
    <t>2020-06-088</t>
  </si>
  <si>
    <t>20LB0312</t>
  </si>
  <si>
    <t>2020 Budget</t>
  </si>
  <si>
    <t>RO9-INFRA-2020-F-002</t>
  </si>
  <si>
    <t>20CG0195</t>
  </si>
  <si>
    <t>59847</t>
  </si>
  <si>
    <t>20LB0280</t>
  </si>
  <si>
    <t>20DE0136 (Re-advertised)</t>
  </si>
  <si>
    <t>20CG0193</t>
  </si>
  <si>
    <t>2020 - 07 - 007 (98 - Shopping)</t>
  </si>
  <si>
    <t>Repair/Rehabilitation of Comfort Rooms At Ground F</t>
  </si>
  <si>
    <t>RFQ2020-20</t>
  </si>
  <si>
    <t>2020-06-0003</t>
  </si>
  <si>
    <t>20CG0198</t>
  </si>
  <si>
    <t>030-06-2020</t>
  </si>
  <si>
    <t>Repair/Rehabilitation of Comfort Rooms At 3rd Floo</t>
  </si>
  <si>
    <t>2020-06-093</t>
  </si>
  <si>
    <t>PB2020-01</t>
  </si>
  <si>
    <t>SG 003-20</t>
  </si>
  <si>
    <t>Construction of Academic and Office Building Phase</t>
  </si>
  <si>
    <t>2020-06-091</t>
  </si>
  <si>
    <t>20CG0196</t>
  </si>
  <si>
    <t>2020-goods-01</t>
  </si>
  <si>
    <t>06-29-202006012A</t>
  </si>
  <si>
    <t>2020-06-090</t>
  </si>
  <si>
    <t>sn06292020</t>
  </si>
  <si>
    <t>GLQ-2020-13</t>
  </si>
  <si>
    <t>2020-06-XRAY</t>
  </si>
  <si>
    <t>LGUMAN-002-J-20</t>
  </si>
  <si>
    <t>AGINF2020-0630C</t>
  </si>
  <si>
    <t>20CG0199</t>
  </si>
  <si>
    <t>G-2020-006 to 008</t>
  </si>
  <si>
    <t>2020-06-BRONCHOSCOPE</t>
  </si>
  <si>
    <t>2020-LARYNGOSCOPE</t>
  </si>
  <si>
    <t>2020 - 07 - 007 (102 - Shopping)</t>
  </si>
  <si>
    <t>2020-06-0002</t>
  </si>
  <si>
    <t>AGINF2020-0630B</t>
  </si>
  <si>
    <t>2020 - 07 - 007 (101 - Shopping)</t>
  </si>
  <si>
    <t>2020-06-0004</t>
  </si>
  <si>
    <t>2020-06-OR LIGHT</t>
  </si>
  <si>
    <t>2020 - 07 - 007 (100 - Shopping)</t>
  </si>
  <si>
    <t>Completion  of  Multi-Purpose  Building and  Sport</t>
  </si>
  <si>
    <t>Bidding-04-June2020</t>
  </si>
  <si>
    <t>Bacong - 001-2020</t>
  </si>
  <si>
    <t>GOODS-2020-06-11</t>
  </si>
  <si>
    <t>20LB0206</t>
  </si>
  <si>
    <t>Bidding-05-June2020</t>
  </si>
  <si>
    <t>LGUMAN-001-J-20</t>
  </si>
  <si>
    <t>2020-06-0006</t>
  </si>
  <si>
    <t>WOR 20-005</t>
  </si>
  <si>
    <t>2020-FETAL CENTRAL</t>
  </si>
  <si>
    <t>2020-06-COLPOSCOPE</t>
  </si>
  <si>
    <t>SHOP GOODS 2020-06-14</t>
  </si>
  <si>
    <t>2020-06-0005</t>
  </si>
  <si>
    <t>LGUMAN-005-J-20</t>
  </si>
  <si>
    <t>2020-06-LAP TOWER</t>
  </si>
  <si>
    <t>20LB0182</t>
  </si>
  <si>
    <t>20% emid.1-2018</t>
  </si>
  <si>
    <t>BCS-2020-0146</t>
  </si>
  <si>
    <t>2020-05-051</t>
  </si>
  <si>
    <t>2020-06-0007</t>
  </si>
  <si>
    <t>BCS-2020-0147</t>
  </si>
  <si>
    <t>20CC0257</t>
  </si>
  <si>
    <t>PB-CW-2020-014 (Re-advertised)</t>
  </si>
  <si>
    <t>20DE0140 (Re-advertised)</t>
  </si>
  <si>
    <t>0629-001</t>
  </si>
  <si>
    <t>Bidding-07-June2020</t>
  </si>
  <si>
    <t>0045-06-2020</t>
  </si>
  <si>
    <t>2020-001-K</t>
  </si>
  <si>
    <t>LGUMAN-008-J-20</t>
  </si>
  <si>
    <t>BCS-2020-0149</t>
  </si>
  <si>
    <t>BCS-2020-0145</t>
  </si>
  <si>
    <t>ITB No. 2020-INFRA-7(01)</t>
  </si>
  <si>
    <t>AGGDS2020-0630A</t>
  </si>
  <si>
    <t>LGUMAN-007-J-20</t>
  </si>
  <si>
    <t>ITB No. 2020-06-01</t>
  </si>
  <si>
    <t>LGUMAN-010-J-20</t>
  </si>
  <si>
    <t>2020-0201</t>
  </si>
  <si>
    <t>0044-06-2020</t>
  </si>
  <si>
    <t>2020-06-HOSPITAL BED</t>
  </si>
  <si>
    <t>2020-06-SUCTION MACHINE</t>
  </si>
  <si>
    <t>LGUMAN-004-J-20</t>
  </si>
  <si>
    <t>2020-056-snq</t>
  </si>
  <si>
    <t>ITB No. 2020-INFRA-7(04)</t>
  </si>
  <si>
    <t>LGUMAN-009-J-20</t>
  </si>
  <si>
    <t>2020-ULTRASONIC HANDPROBE</t>
  </si>
  <si>
    <t>ITB No. 2020-06-03</t>
  </si>
  <si>
    <t>2020-040</t>
  </si>
  <si>
    <t>2020-058-snq</t>
  </si>
  <si>
    <t>2020-007-1</t>
  </si>
  <si>
    <t>0068-06-2020</t>
  </si>
  <si>
    <t>ITB No. 2020-INFRA-7(05)</t>
  </si>
  <si>
    <t>2020-057-snq</t>
  </si>
  <si>
    <t>LGUMAN-012-J-20</t>
  </si>
  <si>
    <t>ITB No. 2020-INFRA-7(08)</t>
  </si>
  <si>
    <t>2020-06-DELIVERY BED</t>
  </si>
  <si>
    <t>2020-06-PATIENT MONITOR</t>
  </si>
  <si>
    <t>ITB No. 2020-GOODS-7(01)</t>
  </si>
  <si>
    <t>BAC PB 2020-13</t>
  </si>
  <si>
    <t>LGUMAN-011-J-20</t>
  </si>
  <si>
    <t>2020-06-STRETCHER</t>
  </si>
  <si>
    <t>INFRA 2020-06-002</t>
  </si>
  <si>
    <t>2020-022</t>
  </si>
  <si>
    <t>INFRA-MULAWIN2020-001</t>
  </si>
  <si>
    <t>20-28 goods</t>
  </si>
  <si>
    <t>2020-009-1</t>
  </si>
  <si>
    <t>RFQ-2020-0013</t>
  </si>
  <si>
    <t>ITB No. 2020-INFRA-7(06)</t>
  </si>
  <si>
    <t>2020-008-1</t>
  </si>
  <si>
    <t>RFQ-2020-0014</t>
  </si>
  <si>
    <t>RFQ-2020-0011</t>
  </si>
  <si>
    <t>20-27 goods</t>
  </si>
  <si>
    <t>RFQ-2020-0015</t>
  </si>
  <si>
    <t>ITB No.2020-INFRA-7(07)</t>
  </si>
  <si>
    <t>20-26 goods</t>
  </si>
  <si>
    <t>022-2020</t>
  </si>
  <si>
    <t>SVP20-516</t>
  </si>
  <si>
    <t>021-2020</t>
  </si>
  <si>
    <t>2020-INFRA-001</t>
  </si>
  <si>
    <t>Repair/Rehabilitation of Building and Structure (I</t>
  </si>
  <si>
    <t>05</t>
  </si>
  <si>
    <t>2020-010-1</t>
  </si>
  <si>
    <t>LGUMAN-013-J-20</t>
  </si>
  <si>
    <t>RFQ-2020-0016</t>
  </si>
  <si>
    <t>IB No. 2020-022</t>
  </si>
  <si>
    <t>gsis/npsvp-231-20</t>
  </si>
  <si>
    <t>2020-06-DEFIBRILATOR</t>
  </si>
  <si>
    <t>006-brgy. cabaroan</t>
  </si>
  <si>
    <t>RFQ-TPB-PR.2020.06.194</t>
  </si>
  <si>
    <t>DGS PR No. 1000032961</t>
  </si>
  <si>
    <t>12-070720</t>
  </si>
  <si>
    <t>9-070720</t>
  </si>
  <si>
    <t>8-070720</t>
  </si>
  <si>
    <t>6-070720</t>
  </si>
  <si>
    <t>5-070720</t>
  </si>
  <si>
    <t>10-070720</t>
  </si>
  <si>
    <t>7-070720</t>
  </si>
  <si>
    <t>2020-INFRA-047</t>
  </si>
  <si>
    <t>2020-INFRA-046</t>
  </si>
  <si>
    <t>2020-06-013- Goods</t>
  </si>
  <si>
    <t>2020-INFRA-048</t>
  </si>
  <si>
    <t>PBG-2020-06-18</t>
  </si>
  <si>
    <t>ITB No. 2020-GOODS-7(02)</t>
  </si>
  <si>
    <t>ITB No. 2020-06-02</t>
  </si>
  <si>
    <t>2020-06-CYSTOSCOPY</t>
  </si>
  <si>
    <t>2020-Barangay Cagudalo-002</t>
  </si>
  <si>
    <t>PB-CW-2020-025</t>
  </si>
  <si>
    <t>ITB No. 2020-INFRA-7(02)</t>
  </si>
  <si>
    <t>ITB No. 2020-INFRA-7(03)</t>
  </si>
  <si>
    <t>11-070720</t>
  </si>
  <si>
    <t>LGUMAN-006-J-20</t>
  </si>
  <si>
    <t>220% csiic.2-2019</t>
  </si>
  <si>
    <t>ITB No. 2020-GOODS-7(03)</t>
  </si>
  <si>
    <t>SHOP GOODS 2020-06-15</t>
  </si>
  <si>
    <t>LGUMAN-003-J-19</t>
  </si>
  <si>
    <t>Bidding-06-June2020</t>
  </si>
  <si>
    <t>6-1-20</t>
  </si>
  <si>
    <t>B-038-2020</t>
  </si>
  <si>
    <t>20CC0258</t>
  </si>
  <si>
    <t>2020-06-VACUUM</t>
  </si>
  <si>
    <t>BCS-2020-0148</t>
  </si>
  <si>
    <t>20LB0188</t>
  </si>
  <si>
    <t>618-2020-001</t>
  </si>
  <si>
    <t>13-070720</t>
  </si>
  <si>
    <t>867-2020-001</t>
  </si>
  <si>
    <t>177-2020-002</t>
  </si>
  <si>
    <t>365-2020-001</t>
  </si>
  <si>
    <t>606-2020-002</t>
  </si>
  <si>
    <t>INFRA-2020-07-05</t>
  </si>
  <si>
    <t>16-070720</t>
  </si>
  <si>
    <t>Goods-114-2020</t>
  </si>
  <si>
    <t>20-05-0269</t>
  </si>
  <si>
    <t>INFRA-2020-07-04</t>
  </si>
  <si>
    <t>LGU-POZ 2020-0038</t>
  </si>
  <si>
    <t>LGU-POZ 2020-0037</t>
  </si>
  <si>
    <t>1-072120</t>
  </si>
  <si>
    <t>20-1451</t>
  </si>
  <si>
    <t>LGU-POZ 2020-0039</t>
  </si>
  <si>
    <t>ROSAL-0337-2020</t>
  </si>
  <si>
    <t>15-070720</t>
  </si>
  <si>
    <t>PB-20-0061</t>
  </si>
  <si>
    <t>2020-111</t>
  </si>
  <si>
    <t>14-070720</t>
  </si>
  <si>
    <t>MG-A5M20-106</t>
  </si>
  <si>
    <t>2020-041</t>
  </si>
  <si>
    <t>20-1453</t>
  </si>
  <si>
    <t>ROSAL-0346-2020</t>
  </si>
  <si>
    <t>LGU-POZ 2020-0040</t>
  </si>
  <si>
    <t>PB-20-0060</t>
  </si>
  <si>
    <t>20-1444</t>
  </si>
  <si>
    <t>AC-2020-002</t>
  </si>
  <si>
    <t>NDP06-25</t>
  </si>
  <si>
    <t>2020-INFRA-045</t>
  </si>
  <si>
    <t>PB-20-061</t>
  </si>
  <si>
    <t>2020-9</t>
  </si>
  <si>
    <t>6-15-20-ID4</t>
  </si>
  <si>
    <t>2020-042</t>
  </si>
  <si>
    <t>PRDP-IR-R005-CAN-002-000-000-2015-e</t>
  </si>
  <si>
    <t>2020-195</t>
  </si>
  <si>
    <t>2020-178</t>
  </si>
  <si>
    <t>2020-180</t>
  </si>
  <si>
    <t>2020-048</t>
  </si>
  <si>
    <t>2020-046</t>
  </si>
  <si>
    <t>06-2020-05</t>
  </si>
  <si>
    <t>2020-192</t>
  </si>
  <si>
    <t>19CSK00051</t>
  </si>
  <si>
    <t>2020-158</t>
  </si>
  <si>
    <t>2020-197</t>
  </si>
  <si>
    <t>RIZAL-17JULY2020-9</t>
  </si>
  <si>
    <t>RIZAL-17JULY2020-5</t>
  </si>
  <si>
    <t>RIZAL-17JULY2020-4</t>
  </si>
  <si>
    <t>RIZAL-17JULY2020-3</t>
  </si>
  <si>
    <t>RIZAL-17JULY2020-7</t>
  </si>
  <si>
    <t>20-1427</t>
  </si>
  <si>
    <t>RIZAL-17JULY2020-6</t>
  </si>
  <si>
    <t>Goods-115-2020</t>
  </si>
  <si>
    <t>RIZAL-17JULY2020-8</t>
  </si>
  <si>
    <t>PB-20-0064</t>
  </si>
  <si>
    <t>PB-20-0063</t>
  </si>
  <si>
    <t>PB-20-0062</t>
  </si>
  <si>
    <t>RIZAL-17JULY2020-1</t>
  </si>
  <si>
    <t>SV-0646-2020</t>
  </si>
  <si>
    <t>2020-06-00025</t>
  </si>
  <si>
    <t>2020-Barangay guinsorongan-002</t>
  </si>
  <si>
    <t>RIZAL-17JULY2020-15</t>
  </si>
  <si>
    <t>19CSK00050</t>
  </si>
  <si>
    <t>RIZAL-17JULY2020-13</t>
  </si>
  <si>
    <t>19CSK00052</t>
  </si>
  <si>
    <t>RIZAL-17JULY2020-14</t>
  </si>
  <si>
    <t>RIZAL-17JULY2020-12</t>
  </si>
  <si>
    <t>RIZAL-17JULY2020-11</t>
  </si>
  <si>
    <t>2-06262020</t>
  </si>
  <si>
    <t>caybc-2020-06-01</t>
  </si>
  <si>
    <t>109924-2020-14</t>
  </si>
  <si>
    <t>RIZAL-17JULY2020-10</t>
  </si>
  <si>
    <t>SV-0651-2020</t>
  </si>
  <si>
    <t>PB-0620-44</t>
  </si>
  <si>
    <t>RIZAL-17JULY2020-2</t>
  </si>
  <si>
    <t>20-05-07-0182</t>
  </si>
  <si>
    <t>PB-20-0066</t>
  </si>
  <si>
    <t>PB-0620-39</t>
  </si>
  <si>
    <t>ITB 19-2020</t>
  </si>
  <si>
    <t>2020-Barangay ibol-002</t>
  </si>
  <si>
    <t>2020-Barangay Pupua-02</t>
  </si>
  <si>
    <t>B-06-22-20</t>
  </si>
  <si>
    <t>PB-0620-41</t>
  </si>
  <si>
    <t>RIZAL-17JULY2020-17</t>
  </si>
  <si>
    <t>RIZAL-17JULY2020-16</t>
  </si>
  <si>
    <t>ITB 20-2020</t>
  </si>
  <si>
    <t>PB-20-0065</t>
  </si>
  <si>
    <t>BSU Project No. 2020-214</t>
  </si>
  <si>
    <t>6-06262020</t>
  </si>
  <si>
    <t>PB-20-0067</t>
  </si>
  <si>
    <t>BSU Project No. 2020-215</t>
  </si>
  <si>
    <t>PB-20-0069</t>
  </si>
  <si>
    <t>PB-20-0068</t>
  </si>
  <si>
    <t>B-06-23-2020</t>
  </si>
  <si>
    <t>7-06262020</t>
  </si>
  <si>
    <t>11-06262020</t>
  </si>
  <si>
    <t>PR No. 2020-06-013</t>
  </si>
  <si>
    <t>PR No. 2020-06-012</t>
  </si>
  <si>
    <t>10-06262020</t>
  </si>
  <si>
    <t>PB-20-0071</t>
  </si>
  <si>
    <t>5-06262020</t>
  </si>
  <si>
    <t>PB-20-0072</t>
  </si>
  <si>
    <t>06-26-2020</t>
  </si>
  <si>
    <t>PR-No.01</t>
  </si>
  <si>
    <t>9-06262020</t>
  </si>
  <si>
    <t>PB-20-0073</t>
  </si>
  <si>
    <t>BSU Project No. 2020-216</t>
  </si>
  <si>
    <t>8-06262020</t>
  </si>
  <si>
    <t>2020-06-005</t>
  </si>
  <si>
    <t>PB-20-0074</t>
  </si>
  <si>
    <t>IB-05-0400-20VPAA,2020-06-04-095TC</t>
  </si>
  <si>
    <t>PB-20-0070</t>
  </si>
  <si>
    <t>PB-0620-45</t>
  </si>
  <si>
    <t>SVP 2020-373</t>
  </si>
  <si>
    <t>Goods 2020-29</t>
  </si>
  <si>
    <t>PB-0620-46</t>
  </si>
  <si>
    <t>2020-06-0645 TDG</t>
  </si>
  <si>
    <t>BSU Project No. 2020-217</t>
  </si>
  <si>
    <t>20AA0351</t>
  </si>
  <si>
    <t>B-06-25-20</t>
  </si>
  <si>
    <t>3-06262020</t>
  </si>
  <si>
    <t>CY 2020-TF (Provincial Government Assistance Fund)</t>
  </si>
  <si>
    <t>SV-0778-2020</t>
  </si>
  <si>
    <t>SMAC-PB-2020-002</t>
  </si>
  <si>
    <t>PB-20-0078</t>
  </si>
  <si>
    <t>2020-06-312</t>
  </si>
  <si>
    <t>SAN2020-008</t>
  </si>
  <si>
    <t>2020-06-311</t>
  </si>
  <si>
    <t>PB NO. RR5BAC-2020-008</t>
  </si>
  <si>
    <t>20CSCE005</t>
  </si>
  <si>
    <t>PB-0620-49</t>
  </si>
  <si>
    <t>PB-20-0076</t>
  </si>
  <si>
    <t>06262020001</t>
  </si>
  <si>
    <t>PB-0620-48</t>
  </si>
  <si>
    <t>SVP 2020-366</t>
  </si>
  <si>
    <t>PB-20-0077</t>
  </si>
  <si>
    <t>2020-06-070</t>
  </si>
  <si>
    <t>PB-0620-32</t>
  </si>
  <si>
    <t>ITB-2020-013</t>
  </si>
  <si>
    <t>PB-20-0080</t>
  </si>
  <si>
    <t>PBDD-20-06-016</t>
  </si>
  <si>
    <t>19CSK00057</t>
  </si>
  <si>
    <t>LGULAGONOY-BAC-020-GOODS-051</t>
  </si>
  <si>
    <t>06-001-20</t>
  </si>
  <si>
    <t>20GGM0008</t>
  </si>
  <si>
    <t>20-051</t>
  </si>
  <si>
    <t>PB-0520-28</t>
  </si>
  <si>
    <t>200-2020-04-138</t>
  </si>
  <si>
    <t>PB-0620-29</t>
  </si>
  <si>
    <t>2020-05-001</t>
  </si>
  <si>
    <t>2020-113</t>
  </si>
  <si>
    <t>Infra Projects 16-2020</t>
  </si>
  <si>
    <t>Aklan BAC ITB 370 Series of 2020</t>
  </si>
  <si>
    <t>Infra Projects 15-2020</t>
  </si>
  <si>
    <t>SAN2020-009</t>
  </si>
  <si>
    <t xml:space="preserve">PR 2.033 ITB NO. 2020-030 CORPORATE TOTE BAG WITH </t>
  </si>
  <si>
    <t>4-06202020</t>
  </si>
  <si>
    <t>Goods-06-2020</t>
  </si>
  <si>
    <t>PB-0520-26</t>
  </si>
  <si>
    <t>PB-0620-43</t>
  </si>
  <si>
    <t>2020-0626-1G</t>
  </si>
  <si>
    <t>Publication no. 2020-05</t>
  </si>
  <si>
    <t>20-06-062</t>
  </si>
  <si>
    <t>PB-0620-51</t>
  </si>
  <si>
    <t>PB-0620-50</t>
  </si>
  <si>
    <t>aurpcruz 2020-006</t>
  </si>
  <si>
    <t>2020-G-016</t>
  </si>
  <si>
    <t>SVP 2020-375</t>
  </si>
  <si>
    <t>PB-20-0079</t>
  </si>
  <si>
    <t>20EHG011</t>
  </si>
  <si>
    <t>2020-0065</t>
  </si>
  <si>
    <t>PB-0620-47</t>
  </si>
  <si>
    <t>2020-114</t>
  </si>
  <si>
    <t>Aklan BAC ITB 369 Series of 2020</t>
  </si>
  <si>
    <t>GoodSSVP-52-2020</t>
  </si>
  <si>
    <t>IB-20-012-GOODS-MIS</t>
  </si>
  <si>
    <t>PR 2020-06-0054</t>
  </si>
  <si>
    <t>SVP 2020-368</t>
  </si>
  <si>
    <t>none</t>
  </si>
  <si>
    <t>IB-20-014-GOODS-FCSMO</t>
  </si>
  <si>
    <t>ITB No. 2020-01</t>
  </si>
  <si>
    <t>Goods 2020-35</t>
  </si>
  <si>
    <t>2020-115</t>
  </si>
  <si>
    <t>ITB 2020-014</t>
  </si>
  <si>
    <t>20-VI-07</t>
  </si>
  <si>
    <t>1603</t>
  </si>
  <si>
    <t>ITB-2020-08</t>
  </si>
  <si>
    <t>PBG-2020-07-21</t>
  </si>
  <si>
    <t>GoodSSVP-51-2020</t>
  </si>
  <si>
    <t>1574</t>
  </si>
  <si>
    <t>REF #044-06-2020</t>
  </si>
  <si>
    <t>2020-72 (GAS)</t>
  </si>
  <si>
    <t>2020-73 (GAS)</t>
  </si>
  <si>
    <t>20-034</t>
  </si>
  <si>
    <t>IB-20-011-GOODS-FCSMO</t>
  </si>
  <si>
    <t>PR #78</t>
  </si>
  <si>
    <t>1602</t>
  </si>
  <si>
    <t>IB-20-013-GOODS-PRFS</t>
  </si>
  <si>
    <t>2020-74 (GAS)</t>
  </si>
  <si>
    <t>3-072120</t>
  </si>
  <si>
    <t>1504</t>
  </si>
  <si>
    <t>PB-2020-101-009</t>
  </si>
  <si>
    <t>2020-06-009</t>
  </si>
  <si>
    <t>SNFPR7</t>
  </si>
  <si>
    <t>2020-06-226</t>
  </si>
  <si>
    <t>PUBLIC BIDDING PR NO. 122-2020</t>
  </si>
  <si>
    <t>PUBLIC BIDDING PR NO. 123-2020</t>
  </si>
  <si>
    <t>2-072120</t>
  </si>
  <si>
    <t>PB-2020-184-010</t>
  </si>
  <si>
    <t>itb 2020-34</t>
  </si>
  <si>
    <t>itb 2020-32</t>
  </si>
  <si>
    <t>itb 2020-31</t>
  </si>
  <si>
    <t>InTB-PGADILGPRNDPCMGP2020CW1</t>
  </si>
  <si>
    <t>Infra EDF 07-2020</t>
  </si>
  <si>
    <t>20-0114</t>
  </si>
  <si>
    <t>InTB-PGADILGPRNDPCMGP2020CW2</t>
  </si>
  <si>
    <t>NIA-NOIMO-GOODS-HILABANGAN-LFPS-07-2020</t>
  </si>
  <si>
    <t>itb 2020-33</t>
  </si>
  <si>
    <t>ITB NO. 003-06-2020</t>
  </si>
  <si>
    <t>Infra Projects 17-2020</t>
  </si>
  <si>
    <t>SV-0642-2020</t>
  </si>
  <si>
    <t>SNFPR5</t>
  </si>
  <si>
    <t>RFQ - 2020-06-01</t>
  </si>
  <si>
    <t>Goods 2020-34</t>
  </si>
  <si>
    <t>PR NO. 100-8751-20-06-0634</t>
  </si>
  <si>
    <t>2020-06-0642 TDG</t>
  </si>
  <si>
    <t>20-VI-05</t>
  </si>
  <si>
    <t>20-VI-06</t>
  </si>
  <si>
    <t>20-0125</t>
  </si>
  <si>
    <t>4-072120</t>
  </si>
  <si>
    <t>20-0124</t>
  </si>
  <si>
    <t>RFQ HUPIES JULY 2020</t>
  </si>
  <si>
    <t>20-VI-09</t>
  </si>
  <si>
    <t>20-0123</t>
  </si>
  <si>
    <t>RFQ HUPIES JUNE 2020</t>
  </si>
  <si>
    <t>RFQ LUSOK ES JUNE 2020</t>
  </si>
  <si>
    <t>20-0120</t>
  </si>
  <si>
    <t>2020 Caib 105</t>
  </si>
  <si>
    <t>RFQ BALOGO ES JULY 1 2020</t>
  </si>
  <si>
    <t>RFQ BALOGO ES JULY 2020</t>
  </si>
  <si>
    <t>RFQ BALOGO ES- JUNE 2020</t>
  </si>
  <si>
    <t>20-0115</t>
  </si>
  <si>
    <t>20-0122</t>
  </si>
  <si>
    <t>100(01)20-06-366(A)</t>
  </si>
  <si>
    <t>PB-20-0075</t>
  </si>
  <si>
    <t>2020-324</t>
  </si>
  <si>
    <t>silanganuno 2020-001</t>
  </si>
  <si>
    <t>2020-251</t>
  </si>
  <si>
    <t>2020-371</t>
  </si>
  <si>
    <t>2020-357</t>
  </si>
  <si>
    <t>2020-330</t>
  </si>
  <si>
    <t>2020-328</t>
  </si>
  <si>
    <t>2020-200</t>
  </si>
  <si>
    <t>CRPIP-2020-06-082</t>
  </si>
  <si>
    <t>2020-361</t>
  </si>
  <si>
    <t>20-VI-08</t>
  </si>
  <si>
    <t>2020-181</t>
  </si>
  <si>
    <t>sapa2-2020-003</t>
  </si>
  <si>
    <t>2020-203</t>
  </si>
  <si>
    <t>20-0119</t>
  </si>
  <si>
    <t>2020-198</t>
  </si>
  <si>
    <t>20-06-011</t>
  </si>
  <si>
    <t>2020-381</t>
  </si>
  <si>
    <t>NP 2020-24</t>
  </si>
  <si>
    <t>NP 2020-20</t>
  </si>
  <si>
    <t>07-27-2020-03</t>
  </si>
  <si>
    <t>07-27-2020-02</t>
  </si>
  <si>
    <t>SVP 2020-372</t>
  </si>
  <si>
    <t>06-27-2020=01</t>
  </si>
  <si>
    <t>SVP 2020-370</t>
  </si>
  <si>
    <t>20GGF0017</t>
  </si>
  <si>
    <t>NP 19-104</t>
  </si>
  <si>
    <t>B-G-2020-096</t>
  </si>
  <si>
    <t>20GGF0019</t>
  </si>
  <si>
    <t>B-G-2020-095</t>
  </si>
  <si>
    <t>GF 2020-06-03</t>
  </si>
  <si>
    <t>ADM-20-06-0499</t>
  </si>
  <si>
    <t>202006M</t>
  </si>
  <si>
    <t>011-2020</t>
  </si>
  <si>
    <t>20GGF0018</t>
  </si>
  <si>
    <t>INFRA-2020-07-06</t>
  </si>
  <si>
    <t>NP 2020-19</t>
  </si>
  <si>
    <t>PR 1000033118</t>
  </si>
  <si>
    <t>PR 2020-06-01</t>
  </si>
  <si>
    <t>INFRA-2020-07-03</t>
  </si>
  <si>
    <t>2020-06-29-02</t>
  </si>
  <si>
    <t>INFRA-2020-07-02</t>
  </si>
  <si>
    <t>2020-06-29-04</t>
  </si>
  <si>
    <t>2020-06-29-03</t>
  </si>
  <si>
    <t>PDA2020-003</t>
  </si>
  <si>
    <t>INFRA-2020-07-07</t>
  </si>
  <si>
    <t>B-G-2020-097</t>
  </si>
  <si>
    <t>BAC-GS No. 2020-041</t>
  </si>
  <si>
    <t>2020-06-29-01</t>
  </si>
  <si>
    <t>PR # 2020-06-110</t>
  </si>
  <si>
    <t>INFRA-2020-07-11</t>
  </si>
  <si>
    <t>B-CW-2020-025</t>
  </si>
  <si>
    <t>B-CW-2020-024</t>
  </si>
  <si>
    <t>ITB-Manipis-ACU</t>
  </si>
  <si>
    <t>ITB-2020-55</t>
  </si>
  <si>
    <t>B-CW-2020-030</t>
  </si>
  <si>
    <t>B-CW-2020-028</t>
  </si>
  <si>
    <t>NP 2020-29</t>
  </si>
  <si>
    <t>RFQ 2020-06-024 - PR 2020-06-032</t>
  </si>
  <si>
    <t>IB CW NO. 2020-001</t>
  </si>
  <si>
    <t>GOODS-RFQ-2020-06-008</t>
  </si>
  <si>
    <t>Procurement of Malaria Test Kit (Antigen Assay) wi</t>
  </si>
  <si>
    <t>NP 2020-18 (Request for Quotation) SUPPLY AND DELI</t>
  </si>
  <si>
    <t>2020-02-088</t>
  </si>
  <si>
    <t>20GLH0014 (P.R. No. 2020-06-030 dated 06/10/2020)</t>
  </si>
  <si>
    <t>Goods 0027-2020</t>
  </si>
  <si>
    <t>2020-06-0496</t>
  </si>
  <si>
    <t>ITB No. GOP/20-DSWD-033-A</t>
  </si>
  <si>
    <t>20030200</t>
  </si>
  <si>
    <t>B-CW-2020-027</t>
  </si>
  <si>
    <t>B-CW-2020-029</t>
  </si>
  <si>
    <t>ITB-2020-56</t>
  </si>
  <si>
    <t>101-20-02</t>
  </si>
  <si>
    <t>20GLH0015 (P.R. No. 2020-06-031 dated 06/10/2020)</t>
  </si>
  <si>
    <t>2020030010</t>
  </si>
  <si>
    <t>2020030008</t>
  </si>
  <si>
    <t>bir pb 2020-03 infra</t>
  </si>
  <si>
    <t>ITB-2020-57</t>
  </si>
  <si>
    <t>B-CW-2020-031</t>
  </si>
  <si>
    <t>bir pb 2020-02 infra</t>
  </si>
  <si>
    <t>06-228-2020</t>
  </si>
  <si>
    <t>BAC-HO GS No. 2020-0345 dated 11 June 2020 (SSD)</t>
  </si>
  <si>
    <t>2020030012</t>
  </si>
  <si>
    <t>2020030007</t>
  </si>
  <si>
    <t>Napangan-2020-G01</t>
  </si>
  <si>
    <t>ITB-COMMUNITY KITCHEN-20-07-001</t>
  </si>
  <si>
    <t>BRGY699 - 2020 - 03</t>
  </si>
  <si>
    <t>InTB-PGA7171PEO2020-CW5</t>
  </si>
  <si>
    <t>06-128-2020</t>
  </si>
  <si>
    <t>ITB-PUBLIC TOILET-20-07-002</t>
  </si>
  <si>
    <t>UPLB-I-020-07-20 SUPPLY, DELIVERY, INSTALLATION, T</t>
  </si>
  <si>
    <t>2020030009</t>
  </si>
  <si>
    <t>B-CW-2020-026</t>
  </si>
  <si>
    <t>06-2020-001</t>
  </si>
  <si>
    <t>2020-06-347</t>
  </si>
  <si>
    <t>2020-209-003</t>
  </si>
  <si>
    <t>2020-06-1009</t>
  </si>
  <si>
    <t>2020030006</t>
  </si>
  <si>
    <t>P.R. NO. 2020-06-004</t>
  </si>
  <si>
    <t>2020-209-002</t>
  </si>
  <si>
    <t>Barangay San Vicente 2020-06-002</t>
  </si>
  <si>
    <t>GOODS-PB-2020-004</t>
  </si>
  <si>
    <t>20DK0129 (Re-Invitation)</t>
  </si>
  <si>
    <t>2020-06-0001</t>
  </si>
  <si>
    <t>2020-06-1008</t>
  </si>
  <si>
    <t>20BF0061</t>
  </si>
  <si>
    <t>20DK0116</t>
  </si>
  <si>
    <t>20DK0106</t>
  </si>
  <si>
    <t>TFB 19-304D</t>
  </si>
  <si>
    <t>20DK0117</t>
  </si>
  <si>
    <t>PR2006233</t>
  </si>
  <si>
    <t>Barangay San Vicente 2020-06-001</t>
  </si>
  <si>
    <t>GOODS-PB-2020-006</t>
  </si>
  <si>
    <t>20DK0121</t>
  </si>
  <si>
    <t>2020-617-023</t>
  </si>
  <si>
    <t>GOODS-PB-2020-005</t>
  </si>
  <si>
    <t>20-0010</t>
  </si>
  <si>
    <t>100-20-04-218</t>
  </si>
  <si>
    <t>20GID0017</t>
  </si>
  <si>
    <t>Puspus-001-20</t>
  </si>
  <si>
    <t>ITB No. 2020-06-053</t>
  </si>
  <si>
    <t>20GID0018</t>
  </si>
  <si>
    <t>SAHUD ULAN 2020 -001</t>
  </si>
  <si>
    <t>06-Goods-2020</t>
  </si>
  <si>
    <t>PAG-001-20</t>
  </si>
  <si>
    <t>PB-20-326</t>
  </si>
  <si>
    <t>RO6-2020-12</t>
  </si>
  <si>
    <t>PB-20-211</t>
  </si>
  <si>
    <t>REF #038(1)-06-2020</t>
  </si>
  <si>
    <t>PB-20-345</t>
  </si>
  <si>
    <t>PB-20-340</t>
  </si>
  <si>
    <t>Various PR's</t>
  </si>
  <si>
    <t>306489</t>
  </si>
  <si>
    <t>ITB-06-2020-008</t>
  </si>
  <si>
    <t>PB-20-341</t>
  </si>
  <si>
    <t>BAC-06-1050</t>
  </si>
  <si>
    <t>BAC-06-1049</t>
  </si>
  <si>
    <t>3120-20</t>
  </si>
  <si>
    <t>PB-20-320</t>
  </si>
  <si>
    <t>3131-20</t>
  </si>
  <si>
    <t>ITB-06-2020-010</t>
  </si>
  <si>
    <t>BLGU-BALOCAWEHAY-AL-02-2020</t>
  </si>
  <si>
    <t>ITB-06-2020-009</t>
  </si>
  <si>
    <t>3119-20</t>
  </si>
  <si>
    <t>PB-20-248</t>
  </si>
  <si>
    <t>ITB No. 2020-07</t>
  </si>
  <si>
    <t>20IK0098</t>
  </si>
  <si>
    <t>3118-20</t>
  </si>
  <si>
    <t>PR NO. 20-06-06</t>
  </si>
  <si>
    <t>2020168</t>
  </si>
  <si>
    <t>001-06-2020</t>
  </si>
  <si>
    <t>BARANGAY BINGAY 06262020-01</t>
  </si>
  <si>
    <t>BAC-06-1052</t>
  </si>
  <si>
    <t>20GG00019</t>
  </si>
  <si>
    <t>2506-20</t>
  </si>
  <si>
    <t>2300-20</t>
  </si>
  <si>
    <t>2571-20</t>
  </si>
  <si>
    <t>2290-20</t>
  </si>
  <si>
    <t>2232-20</t>
  </si>
  <si>
    <t>2481-20</t>
  </si>
  <si>
    <t>2269-20</t>
  </si>
  <si>
    <t>BLGU-BALOCAWEHAY-AL-01-2020</t>
  </si>
  <si>
    <t>ITB-06-2020-011</t>
  </si>
  <si>
    <t>BAC-06-1051</t>
  </si>
  <si>
    <t>1122-20</t>
  </si>
  <si>
    <t>DOT BAC REI No. 2020-009</t>
  </si>
  <si>
    <t>BLGU-BALOCAWEHAY-AL-03-2020</t>
  </si>
  <si>
    <t>2267-20</t>
  </si>
  <si>
    <t>2020-02-364</t>
  </si>
  <si>
    <t>CONVERGE-0903-2020-2</t>
  </si>
  <si>
    <t>2242-20</t>
  </si>
  <si>
    <t>06-127-2020</t>
  </si>
  <si>
    <t>2285-20</t>
  </si>
  <si>
    <t>GOOD20200505</t>
  </si>
  <si>
    <t>2020-159-I</t>
  </si>
  <si>
    <t>26-2020</t>
  </si>
  <si>
    <t>27-2020</t>
  </si>
  <si>
    <t>2020-08-0108</t>
  </si>
  <si>
    <t>BAC PB 2019 - 24</t>
  </si>
  <si>
    <t>027-06-2020</t>
  </si>
  <si>
    <t>B20-20-07</t>
  </si>
  <si>
    <t>BAC PB 2020 - 43</t>
  </si>
  <si>
    <t>BARANGAY BINGAY 06262020-02</t>
  </si>
  <si>
    <t>PR NO. 0793 - 20</t>
  </si>
  <si>
    <t>015-06-2020</t>
  </si>
  <si>
    <t>2020-14-04</t>
  </si>
  <si>
    <t>20GID0019</t>
  </si>
  <si>
    <t>2253-20</t>
  </si>
  <si>
    <t>BAC GS No. 2020-0350 dated 16 June 2020</t>
  </si>
  <si>
    <t>Barangay 2-20-01</t>
  </si>
  <si>
    <t>DENR1-ITB-20-005</t>
  </si>
  <si>
    <t>BWD-2020-08</t>
  </si>
  <si>
    <t>DENR1-ITB-20-004</t>
  </si>
  <si>
    <t>2020-02-362</t>
  </si>
  <si>
    <t>20-017</t>
  </si>
  <si>
    <t>20GID0020</t>
  </si>
  <si>
    <t>DHPP 010/013/018/023 CVHPP 013/013a/013b/013c/017</t>
  </si>
  <si>
    <t>GOOD20200002</t>
  </si>
  <si>
    <t>2020175</t>
  </si>
  <si>
    <t>PB-20-047</t>
  </si>
  <si>
    <t>2020171</t>
  </si>
  <si>
    <t>2020172</t>
  </si>
  <si>
    <t>2020170</t>
  </si>
  <si>
    <t>2020169</t>
  </si>
  <si>
    <t>028-06-2020</t>
  </si>
  <si>
    <t>2020174</t>
  </si>
  <si>
    <t>2020173</t>
  </si>
  <si>
    <t>20KA0097(Readvertisement)</t>
  </si>
  <si>
    <t>2020177</t>
  </si>
  <si>
    <t>06-227-2020</t>
  </si>
  <si>
    <t>N20-MAO-105</t>
  </si>
  <si>
    <t>2020-06-148</t>
  </si>
  <si>
    <t>2020-0252</t>
  </si>
  <si>
    <t>20OD0203</t>
  </si>
  <si>
    <t>2020-06-116</t>
  </si>
  <si>
    <t>LGU-2020-168</t>
  </si>
  <si>
    <t>ITB No. 2020-06-05</t>
  </si>
  <si>
    <t>20OD0200</t>
  </si>
  <si>
    <t>BP-GOODS-2020-014</t>
  </si>
  <si>
    <t>MALIMPIN 04-2020 - construction of mini-park phase</t>
  </si>
  <si>
    <t>20MGU-040</t>
  </si>
  <si>
    <t>BP-GOODS-2020-013</t>
  </si>
  <si>
    <t>20MGU-039</t>
  </si>
  <si>
    <t>20DF0191</t>
  </si>
  <si>
    <t>PB 2020-06-11</t>
  </si>
  <si>
    <t>20MGU-042</t>
  </si>
  <si>
    <t>CIDS_PWS_L2_01_2016_03</t>
  </si>
  <si>
    <t>20MGU-038</t>
  </si>
  <si>
    <t>2020-555</t>
  </si>
  <si>
    <t>20MGU-044</t>
  </si>
  <si>
    <t>20MGU-037</t>
  </si>
  <si>
    <t>100-20-05-267</t>
  </si>
  <si>
    <t>20MGU-041</t>
  </si>
  <si>
    <t>BP-GOODS-2020-015</t>
  </si>
  <si>
    <t>B20-20-01</t>
  </si>
  <si>
    <t>SRAVIS 20-06-294</t>
  </si>
  <si>
    <t>20-ICT4</t>
  </si>
  <si>
    <t>20-ICT3</t>
  </si>
  <si>
    <t>PRO 11 2020-06</t>
  </si>
  <si>
    <t>20MGU-043</t>
  </si>
  <si>
    <t>2020062401</t>
  </si>
  <si>
    <t>2020-06-26-01</t>
  </si>
  <si>
    <t>20CSJ003</t>
  </si>
  <si>
    <t>20CSJ002</t>
  </si>
  <si>
    <t>19CSJ013</t>
  </si>
  <si>
    <t>20NC0134</t>
  </si>
  <si>
    <t>2020-01-CONS</t>
  </si>
  <si>
    <t>PRO 11 2020-05</t>
  </si>
  <si>
    <t>2020-0625-41</t>
  </si>
  <si>
    <t>BCS-2020-0142</t>
  </si>
  <si>
    <t>20KA0099(Readvertisement)</t>
  </si>
  <si>
    <t>100-20-05-306</t>
  </si>
  <si>
    <t>Civil Works 023-2020</t>
  </si>
  <si>
    <t>20NC0135</t>
  </si>
  <si>
    <t>Civil Works 024-2020</t>
  </si>
  <si>
    <t>2020.06.24.02</t>
  </si>
  <si>
    <t>2020-06-26-02</t>
  </si>
  <si>
    <t>20NC0136</t>
  </si>
  <si>
    <t>2020.06.23.01</t>
  </si>
  <si>
    <t>calbayog 2020-06-02</t>
  </si>
  <si>
    <t>DTI-NE-20-06-01</t>
  </si>
  <si>
    <t>2020- INFR- 001</t>
  </si>
  <si>
    <t>20KA0098(Readvertisement)</t>
  </si>
  <si>
    <t>SRAVIS 20-06-296</t>
  </si>
  <si>
    <t>. 2020-0625-39G</t>
  </si>
  <si>
    <t>makilas2020-01</t>
  </si>
  <si>
    <t>RFQ-2020-0105-GOODS</t>
  </si>
  <si>
    <t>Bid No. 20-0325</t>
  </si>
  <si>
    <t>2020-26-06-31</t>
  </si>
  <si>
    <t>2020-017-GDS-2</t>
  </si>
  <si>
    <t>101-2020-06-292</t>
  </si>
  <si>
    <t>2020-021-INF-2</t>
  </si>
  <si>
    <t>2020 - 113</t>
  </si>
  <si>
    <t>20200108</t>
  </si>
  <si>
    <t>RFQ 495</t>
  </si>
  <si>
    <t>RFQ-2020-106-GOODS</t>
  </si>
  <si>
    <t>RFQ-2020-104-GOODS</t>
  </si>
  <si>
    <t>20GCI0004</t>
  </si>
  <si>
    <t>BAC PB 2019 - 35</t>
  </si>
  <si>
    <t>B20-20-09</t>
  </si>
  <si>
    <t>HILONGOS 2020-190</t>
  </si>
  <si>
    <t>2020-1990</t>
  </si>
  <si>
    <t>2020-019-GDS-2</t>
  </si>
  <si>
    <t>HILONGOS 2020-191</t>
  </si>
  <si>
    <t>Bid No. 20-0328</t>
  </si>
  <si>
    <t>HILONGOS 2020-192</t>
  </si>
  <si>
    <t>388548451</t>
  </si>
  <si>
    <t>Bid No. 20-0324</t>
  </si>
  <si>
    <t>2020-2056</t>
  </si>
  <si>
    <t>2020-Brgy. 09 Poblacion-003</t>
  </si>
  <si>
    <t>EARIST-2020-BID-004</t>
  </si>
  <si>
    <t>SVP-074-2020</t>
  </si>
  <si>
    <t>C10-20-1047</t>
  </si>
  <si>
    <t>Bid No. 20-0327</t>
  </si>
  <si>
    <t>Bid No. 20-0326</t>
  </si>
  <si>
    <t>2020-06-13</t>
  </si>
  <si>
    <t>20-211</t>
  </si>
  <si>
    <t>C10-20-1249</t>
  </si>
  <si>
    <t>BP-2020-01</t>
  </si>
  <si>
    <t>2020-012-GDS-2</t>
  </si>
  <si>
    <t>PR# 20-06-0636</t>
  </si>
  <si>
    <t>2020-768</t>
  </si>
  <si>
    <t>Bid No. 20-0330</t>
  </si>
  <si>
    <t>C10-20-1049</t>
  </si>
  <si>
    <t>C10-20-0698</t>
  </si>
  <si>
    <t>SRAVIS 20-06-297</t>
  </si>
  <si>
    <t>101-2020-06-299</t>
  </si>
  <si>
    <t>2020-007-GDS-2</t>
  </si>
  <si>
    <t>1-06262020</t>
  </si>
  <si>
    <t>B20-20-08</t>
  </si>
  <si>
    <t>BFAR5BAC-2020-111</t>
  </si>
  <si>
    <t>2020-1018</t>
  </si>
  <si>
    <t>2020-009-GDS-2</t>
  </si>
  <si>
    <t>BP-2020-02</t>
  </si>
  <si>
    <t>2020-06-096</t>
  </si>
  <si>
    <t>Bid No. 20-0333</t>
  </si>
  <si>
    <t>INFRA 2020-02</t>
  </si>
  <si>
    <t>Bid No. 20-0332</t>
  </si>
  <si>
    <t>POD20-104</t>
  </si>
  <si>
    <t>C10-20-1057</t>
  </si>
  <si>
    <t>B20-20-03</t>
  </si>
  <si>
    <t>Bid No. 20-0334</t>
  </si>
  <si>
    <t>Bid No. 20-0331</t>
  </si>
  <si>
    <t>2020-062602</t>
  </si>
  <si>
    <t>C10-20-0005</t>
  </si>
  <si>
    <t>2020-883</t>
  </si>
  <si>
    <t>SVP-CAT20-53</t>
  </si>
  <si>
    <t>Bid No. 20-0336</t>
  </si>
  <si>
    <t>BLGU-PBD-Biga-2020-29</t>
  </si>
  <si>
    <t>2020-2016</t>
  </si>
  <si>
    <t>Bid No. 20-0335</t>
  </si>
  <si>
    <t>2020-062601</t>
  </si>
  <si>
    <t>RFQ NO. 20-06-056</t>
  </si>
  <si>
    <t>049A-06-2020</t>
  </si>
  <si>
    <t>B20-20-04</t>
  </si>
  <si>
    <t>GS-QUIRINO-2020-02</t>
  </si>
  <si>
    <t>Bid No. 20-0337</t>
  </si>
  <si>
    <t>20-216</t>
  </si>
  <si>
    <t>2020 Caib 100</t>
  </si>
  <si>
    <t>2020-10B</t>
  </si>
  <si>
    <t>Bid No. 20-0329</t>
  </si>
  <si>
    <t>GDS 20-063</t>
  </si>
  <si>
    <t>SRAVIS 20-06-299</t>
  </si>
  <si>
    <t>SRAVIS 20-06-298</t>
  </si>
  <si>
    <t>Bid No. 20-0338</t>
  </si>
  <si>
    <t>2020 INFRA 05</t>
  </si>
  <si>
    <t>SRAVIS 20-06-300</t>
  </si>
  <si>
    <t>BLGU-PBD-Biga-2020-28</t>
  </si>
  <si>
    <t>lgu-es-20-140</t>
  </si>
  <si>
    <t>2020 Caib 101</t>
  </si>
  <si>
    <t>2020-01-IT-01</t>
  </si>
  <si>
    <t>BRGY667 - 2020 - 06</t>
  </si>
  <si>
    <t>B20-20-02</t>
  </si>
  <si>
    <t>NARANGASAN-INFR-2020-06-01</t>
  </si>
  <si>
    <t>2020 Caib 102</t>
  </si>
  <si>
    <t>20201244</t>
  </si>
  <si>
    <t>O4-20-1178</t>
  </si>
  <si>
    <t>20201243</t>
  </si>
  <si>
    <t>BAC 20-001</t>
  </si>
  <si>
    <t>20201242</t>
  </si>
  <si>
    <t>S2-CAL20-014</t>
  </si>
  <si>
    <t>GOODS#0128, ITB#0131,  PR#0390: SCG-2020</t>
  </si>
  <si>
    <t>2020-776</t>
  </si>
  <si>
    <t>GOODS#0082, ITB#0083,  PR#0245: SCG-2020</t>
  </si>
  <si>
    <t>SUBM#2020 -07-01</t>
  </si>
  <si>
    <t>S2-CAL20-009</t>
  </si>
  <si>
    <t>PR 74374</t>
  </si>
  <si>
    <t>GOODS#0125, ITB#0127,  PR#0343: SCG-2020</t>
  </si>
  <si>
    <t>HILONGOS 2020-193</t>
  </si>
  <si>
    <t>REI-06-26-2020</t>
  </si>
  <si>
    <t>2020-216</t>
  </si>
  <si>
    <t>2020-333</t>
  </si>
  <si>
    <t>2020-06-261</t>
  </si>
  <si>
    <t>20FN0107</t>
  </si>
  <si>
    <t>101-2020-05-267, 101-2020-06-285,286,305,306</t>
  </si>
  <si>
    <t>S2-GIG20-011</t>
  </si>
  <si>
    <t>ITB-2020-23</t>
  </si>
  <si>
    <t>ITB-2020-20</t>
  </si>
  <si>
    <t>086-2020</t>
  </si>
  <si>
    <t>101-2020-02-128</t>
  </si>
  <si>
    <t>ITB-2020-19</t>
  </si>
  <si>
    <t>C10-20-1368</t>
  </si>
  <si>
    <t>20KG0095</t>
  </si>
  <si>
    <t>OLYMPIA 20-06-011</t>
  </si>
  <si>
    <t>PR No. 24-2020</t>
  </si>
  <si>
    <t>2020-062603</t>
  </si>
  <si>
    <t>381-2020</t>
  </si>
  <si>
    <t>S2-GUI20-012</t>
  </si>
  <si>
    <t>D2-20-1411</t>
  </si>
  <si>
    <t>06262001</t>
  </si>
  <si>
    <t>sanroque-2020-003</t>
  </si>
  <si>
    <t>20GMC00108 (Equiptment Rental Only)</t>
  </si>
  <si>
    <t>26-06-2020</t>
  </si>
  <si>
    <t>20-0179</t>
  </si>
  <si>
    <t>S2-BH220-005</t>
  </si>
  <si>
    <t>Procurement No.1 2020 - A</t>
  </si>
  <si>
    <t>PR 2020-06-02</t>
  </si>
  <si>
    <t>20KG0094</t>
  </si>
  <si>
    <t xml:space="preserve">PR 74136_Supply &amp; Delivery of Fllor Mounted Motor </t>
  </si>
  <si>
    <t>020-11 Lot 3</t>
  </si>
  <si>
    <t>020-11 Lot 2</t>
  </si>
  <si>
    <t>20FN0108</t>
  </si>
  <si>
    <t>020-11 Lot 1</t>
  </si>
  <si>
    <t>2020 Caib 103</t>
  </si>
  <si>
    <t>balanga 2020-008</t>
  </si>
  <si>
    <t>2020-05-089</t>
  </si>
  <si>
    <t xml:space="preserve">PETAL 06-2020 - construction of concrete fence at </t>
  </si>
  <si>
    <t>POD20-095</t>
  </si>
  <si>
    <t>2020 - 07 - 006 (97 - Shopping)</t>
  </si>
  <si>
    <t>itb-2020-21</t>
  </si>
  <si>
    <t>N20-MTO-104</t>
  </si>
  <si>
    <t>20HC0184</t>
  </si>
  <si>
    <t>2020 - 07 - 006 (96 - Shopping)</t>
  </si>
  <si>
    <t>06262002</t>
  </si>
  <si>
    <t>BAC-001-2019-0291</t>
  </si>
  <si>
    <t>803</t>
  </si>
  <si>
    <t>POD20-098</t>
  </si>
  <si>
    <t>20GMC00110 (Equiptment Rental Only)</t>
  </si>
  <si>
    <t>20HC0183</t>
  </si>
  <si>
    <t>BFAR5BAC-2020-112</t>
  </si>
  <si>
    <t>20GMC00109 (Equiptment Rental Only)</t>
  </si>
  <si>
    <t>PR No. 25-2020</t>
  </si>
  <si>
    <t>ITB 20-142 R20-134</t>
  </si>
  <si>
    <t>S2-DOO20-013</t>
  </si>
  <si>
    <t>2020-06-037</t>
  </si>
  <si>
    <t>mabpang-0626-2020-MO</t>
  </si>
  <si>
    <t>RQ 06-203</t>
  </si>
  <si>
    <t>INFRA-2020-024</t>
  </si>
  <si>
    <t>804</t>
  </si>
  <si>
    <t>NV 2020-036</t>
  </si>
  <si>
    <t>coliat 2020-009</t>
  </si>
  <si>
    <t>ITB No. 2020 – 77</t>
  </si>
  <si>
    <t>20GMC00113 (Equiptment Rental Only)</t>
  </si>
  <si>
    <t>POD20-111</t>
  </si>
  <si>
    <t>S2-BH220-006</t>
  </si>
  <si>
    <t>20GMC00112 (Equiptment Rental Only)</t>
  </si>
  <si>
    <t>POD20-096</t>
  </si>
  <si>
    <t>20GMC00111 (Equiptment Rental Only)</t>
  </si>
  <si>
    <t>S2-B1320-020</t>
  </si>
  <si>
    <t>SVP20-511</t>
  </si>
  <si>
    <t>20GMC00114 (Equiptment Rental Only)</t>
  </si>
  <si>
    <t>S2-GIG20-008</t>
  </si>
  <si>
    <t>D-032-0284-20</t>
  </si>
  <si>
    <t>20-MC-CO-01</t>
  </si>
  <si>
    <t>20-06-26</t>
  </si>
  <si>
    <t>BRGY217 - 2020 - 01</t>
  </si>
  <si>
    <t>PRO2 BAC 2020-0701</t>
  </si>
  <si>
    <t>ITB NO. 2020-06-2558</t>
  </si>
  <si>
    <t>PR No. : 2020-03-053</t>
  </si>
  <si>
    <t>100-06-20-010</t>
  </si>
  <si>
    <t>RQ 06-206</t>
  </si>
  <si>
    <t>sanroque-2020-004</t>
  </si>
  <si>
    <t>RQ 06-205</t>
  </si>
  <si>
    <t>ITB 20-143 R20-135</t>
  </si>
  <si>
    <t>20GMC00115 (Equiptment Rental Only)</t>
  </si>
  <si>
    <t>20GMC00116 (Equiptment Rental Only)</t>
  </si>
  <si>
    <t>20DQ0118</t>
  </si>
  <si>
    <t>20DQ0120</t>
  </si>
  <si>
    <t>ITB 20-144 R20-136</t>
  </si>
  <si>
    <t>18GMC0427 (Equipment Rental Only)</t>
  </si>
  <si>
    <t>20CK0094</t>
  </si>
  <si>
    <t>1-07-05-020</t>
  </si>
  <si>
    <t>RQ 06-202</t>
  </si>
  <si>
    <t>PR0033-20 - 0036-20 TOURISM</t>
  </si>
  <si>
    <t>2020-6-26-1</t>
  </si>
  <si>
    <t>PR NO. 20-03-0196</t>
  </si>
  <si>
    <t>20GMC0117</t>
  </si>
  <si>
    <t>987897</t>
  </si>
  <si>
    <t>RQ 06-072A</t>
  </si>
  <si>
    <t>G20-05</t>
  </si>
  <si>
    <t>015-2020</t>
  </si>
  <si>
    <t>V06262020-214</t>
  </si>
  <si>
    <t>56234</t>
  </si>
  <si>
    <t>382-05-2020 (IPHO) (Re-advertisement)</t>
  </si>
  <si>
    <t>V06262020-215</t>
  </si>
  <si>
    <t>ITB 20-146 R20-138</t>
  </si>
  <si>
    <t>BCS-2020-0144</t>
  </si>
  <si>
    <t>S2-BH220-002</t>
  </si>
  <si>
    <t>SVP20-512</t>
  </si>
  <si>
    <t>PR No. 20-02-0120A</t>
  </si>
  <si>
    <t>ITB 20-145 R20-137</t>
  </si>
  <si>
    <t>20DQ0122</t>
  </si>
  <si>
    <t>062620201</t>
  </si>
  <si>
    <t>20DQ0121</t>
  </si>
  <si>
    <t>20DQ0124</t>
  </si>
  <si>
    <t>20CK0095</t>
  </si>
  <si>
    <t>PR No. : 2020-01-005</t>
  </si>
  <si>
    <t>guincam2020-06-009</t>
  </si>
  <si>
    <t>20-05-064</t>
  </si>
  <si>
    <t>2020-06-034</t>
  </si>
  <si>
    <t>TAMBOBONG 04-2020 - installation of LED solar ligh</t>
  </si>
  <si>
    <t>2020-6-26-4</t>
  </si>
  <si>
    <t>INFRA-2020-025</t>
  </si>
  <si>
    <t>20-05-062</t>
  </si>
  <si>
    <t>B20-20-05</t>
  </si>
  <si>
    <t>2020-06-035</t>
  </si>
  <si>
    <t>20DQ0128</t>
  </si>
  <si>
    <t>06262020</t>
  </si>
  <si>
    <t>SJADS INFRA 20-06</t>
  </si>
  <si>
    <t>PR No. : 2020-02-039</t>
  </si>
  <si>
    <t>10000087</t>
  </si>
  <si>
    <t>20DQ0119</t>
  </si>
  <si>
    <t>GAIS-GUIPE 05-2020 - repair &amp; maint of streetlight</t>
  </si>
  <si>
    <t>B20-20-06</t>
  </si>
  <si>
    <t>2020-6-26-3</t>
  </si>
  <si>
    <t>76078</t>
  </si>
  <si>
    <t>20DQ0127</t>
  </si>
  <si>
    <t>2020-6-26-5</t>
  </si>
  <si>
    <t>S2-BH220-004</t>
  </si>
  <si>
    <t>GHS-10705030</t>
  </si>
  <si>
    <t>guincam2020-06-010</t>
  </si>
  <si>
    <t>20BG0148</t>
  </si>
  <si>
    <t>IB-GOODS-2020-11</t>
  </si>
  <si>
    <t>POD20-092</t>
  </si>
  <si>
    <t>POD20-101</t>
  </si>
  <si>
    <t>202006122</t>
  </si>
  <si>
    <t>AEE June26-2020(2)</t>
  </si>
  <si>
    <t>POD20-100</t>
  </si>
  <si>
    <t>AEE June 26-2020(1)</t>
  </si>
  <si>
    <t>POD20-089</t>
  </si>
  <si>
    <t>G-112-20</t>
  </si>
  <si>
    <t>409thCO-GHQ&amp;HSC-DME-137-20</t>
  </si>
  <si>
    <t>2020062602</t>
  </si>
  <si>
    <t>20-06-249a</t>
  </si>
  <si>
    <t>POD20-094</t>
  </si>
  <si>
    <t>100-06-20-002</t>
  </si>
  <si>
    <t>GSV2020-06-05</t>
  </si>
  <si>
    <t>20DQ0126</t>
  </si>
  <si>
    <t>SJADS GOODS 20-10</t>
  </si>
  <si>
    <t>IB NO. 2020-057/ RJVF</t>
  </si>
  <si>
    <t>RFQ #2021-02-RRHF</t>
  </si>
  <si>
    <t>SUPPLY, DELIVERY, INSTALLATION, PROGRAMMING, TESTI</t>
  </si>
  <si>
    <t>CNU 20-01-047</t>
  </si>
  <si>
    <t>Pr-20-01-011</t>
  </si>
  <si>
    <t>300-20-06-001</t>
  </si>
  <si>
    <t>2020-2076-06-252</t>
  </si>
  <si>
    <t>BTG3-2020-0213</t>
  </si>
  <si>
    <t>BAC-GS 166-2020 (PR No. 1000033086)</t>
  </si>
  <si>
    <t>20-OG-0095</t>
  </si>
  <si>
    <t>19-OG-0170</t>
  </si>
  <si>
    <t>BTG3-2020-0216</t>
  </si>
  <si>
    <t>BTG3-2020-0215</t>
  </si>
  <si>
    <t>BTG3-2020-0212</t>
  </si>
  <si>
    <t>PR-20-01-004</t>
  </si>
  <si>
    <t>BTG3-2020-0211</t>
  </si>
  <si>
    <t>PR-20-01-025</t>
  </si>
  <si>
    <t>BTG3-2020-0214</t>
  </si>
  <si>
    <t>19-OG-0169</t>
  </si>
  <si>
    <t>100-20-06-357</t>
  </si>
  <si>
    <t>20-DO-0086</t>
  </si>
  <si>
    <t>20-DO-0085</t>
  </si>
  <si>
    <t>SJADS INFRA 20-04</t>
  </si>
  <si>
    <t>20OD0202</t>
  </si>
  <si>
    <t>20OD0201</t>
  </si>
  <si>
    <t>20-OG-0102</t>
  </si>
  <si>
    <t>20DB0139</t>
  </si>
  <si>
    <t>20-DO-0084</t>
  </si>
  <si>
    <t>20-05-385</t>
  </si>
  <si>
    <t>PR-20-01-040</t>
  </si>
  <si>
    <t>20-05-394</t>
  </si>
  <si>
    <t>20-OG-0101</t>
  </si>
  <si>
    <t>PR-20-01-033</t>
  </si>
  <si>
    <t>10-06172020</t>
  </si>
  <si>
    <t>PB-06262020-1</t>
  </si>
  <si>
    <t>SFSJ-13-20</t>
  </si>
  <si>
    <t>IB NO. CW 2020 - 101</t>
  </si>
  <si>
    <t>IB 2020-07-010 PLPG</t>
  </si>
  <si>
    <t>20CSE008</t>
  </si>
  <si>
    <t>G-2020-28</t>
  </si>
  <si>
    <t>SJ-11-20</t>
  </si>
  <si>
    <t>G-2020-281</t>
  </si>
  <si>
    <t>20-OG-0100</t>
  </si>
  <si>
    <t>IB 2020-07-009 POC</t>
  </si>
  <si>
    <t>SFSJ-11-20</t>
  </si>
  <si>
    <t>G-2020-210</t>
  </si>
  <si>
    <t>20-OG-0097</t>
  </si>
  <si>
    <t>PR-20-01-047</t>
  </si>
  <si>
    <t>G-2020-387</t>
  </si>
  <si>
    <t>20200625</t>
  </si>
  <si>
    <t>17dambuk20</t>
  </si>
  <si>
    <t>ITB-2020-048</t>
  </si>
  <si>
    <t>059</t>
  </si>
  <si>
    <t>PANG-2020-0794</t>
  </si>
  <si>
    <t>ITB-2020-047</t>
  </si>
  <si>
    <t>2020-002-1</t>
  </si>
  <si>
    <t>PANG-2020-0792</t>
  </si>
  <si>
    <t>060</t>
  </si>
  <si>
    <t>PANG-2020-0800</t>
  </si>
  <si>
    <t>20HL0111</t>
  </si>
  <si>
    <t>SN-003-06-2020</t>
  </si>
  <si>
    <t>ITB202007</t>
  </si>
  <si>
    <t>Infra SEF 03-2020</t>
  </si>
  <si>
    <t>G-2020-197</t>
  </si>
  <si>
    <t>2020-06-024B</t>
  </si>
  <si>
    <t>2020-06-023B</t>
  </si>
  <si>
    <t>2020-06-022b</t>
  </si>
  <si>
    <t>PANG-2020-0793</t>
  </si>
  <si>
    <t>20BE0090</t>
  </si>
  <si>
    <t>20HL0110</t>
  </si>
  <si>
    <t>G-2020-361</t>
  </si>
  <si>
    <t>G-2020-283</t>
  </si>
  <si>
    <t>G-2020-372</t>
  </si>
  <si>
    <t>ITB 17-2020</t>
  </si>
  <si>
    <t>G-2020-370</t>
  </si>
  <si>
    <t>PANG-2020-0798</t>
  </si>
  <si>
    <t>G-2020-322</t>
  </si>
  <si>
    <t>IB No.2020-06-012-G</t>
  </si>
  <si>
    <t>PANG-2020-0791</t>
  </si>
  <si>
    <t>20CE0210</t>
  </si>
  <si>
    <t>2020-G-066</t>
  </si>
  <si>
    <t>01-594-2020</t>
  </si>
  <si>
    <t>IV-06-2020-01</t>
  </si>
  <si>
    <t>G-2020-369</t>
  </si>
  <si>
    <t>2020-06-021B</t>
  </si>
  <si>
    <t>IV-06-2020-02</t>
  </si>
  <si>
    <t>G-2019-1080</t>
  </si>
  <si>
    <t>20GP016G</t>
  </si>
  <si>
    <t>20GA0142</t>
  </si>
  <si>
    <t>PGLDN MCC HOTEL 2020-01</t>
  </si>
  <si>
    <t>Bid No. 20-0320</t>
  </si>
  <si>
    <t>PGLDN 2020-12</t>
  </si>
  <si>
    <t>PGLDN   2020-11</t>
  </si>
  <si>
    <t>20CE0229</t>
  </si>
  <si>
    <t>20CE0228</t>
  </si>
  <si>
    <t>20CE0227</t>
  </si>
  <si>
    <t>20CE0226</t>
  </si>
  <si>
    <t>20CE0225</t>
  </si>
  <si>
    <t>20CE0224</t>
  </si>
  <si>
    <t>20CE0222</t>
  </si>
  <si>
    <t>2020-I-080</t>
  </si>
  <si>
    <t>20CE0221</t>
  </si>
  <si>
    <t>20CE0220</t>
  </si>
  <si>
    <t>20CE0219</t>
  </si>
  <si>
    <t>2020-014</t>
  </si>
  <si>
    <t>20CE0216</t>
  </si>
  <si>
    <t>20CE0214</t>
  </si>
  <si>
    <t>20CE0223</t>
  </si>
  <si>
    <t>20CE0212</t>
  </si>
  <si>
    <t>G-2020-280</t>
  </si>
  <si>
    <t>20CE0211</t>
  </si>
  <si>
    <t>20CE0218</t>
  </si>
  <si>
    <t>BAC PB 2020 - 42</t>
  </si>
  <si>
    <t>2020-01-1393</t>
  </si>
  <si>
    <t>20CE0213</t>
  </si>
  <si>
    <t>20CE0215</t>
  </si>
  <si>
    <t>BFAR5BAC-2020-110</t>
  </si>
  <si>
    <t>2020-02-1518</t>
  </si>
  <si>
    <t>20-167</t>
  </si>
  <si>
    <t>SVP GOODS 2020-10</t>
  </si>
  <si>
    <t>PB NO:2020-06-25</t>
  </si>
  <si>
    <t>ITB-SSS-GOODS-2020-018</t>
  </si>
  <si>
    <t>20-165</t>
  </si>
  <si>
    <t>2020-06-2449</t>
  </si>
  <si>
    <t>PW#06-08-2020(1)</t>
  </si>
  <si>
    <t>20GA0176</t>
  </si>
  <si>
    <t>20-166</t>
  </si>
  <si>
    <t>172310</t>
  </si>
  <si>
    <t>improvement of mph 2020</t>
  </si>
  <si>
    <t>20-008</t>
  </si>
  <si>
    <t>R4B-20-06-08</t>
  </si>
  <si>
    <t>2020-05-2433</t>
  </si>
  <si>
    <t>Tal01-20</t>
  </si>
  <si>
    <t>2020-07-017</t>
  </si>
  <si>
    <t>20GIA006 Procurement of DPWH Equipment</t>
  </si>
  <si>
    <t>012-2020</t>
  </si>
  <si>
    <t>2020-06-2478</t>
  </si>
  <si>
    <t>20CE0217</t>
  </si>
  <si>
    <t>MG-A7M20-078</t>
  </si>
  <si>
    <t>20GA0161</t>
  </si>
  <si>
    <t>VIN BAC 032-2020</t>
  </si>
  <si>
    <t>ITBGF-2020-011</t>
  </si>
  <si>
    <t>371-2020 Bidding</t>
  </si>
  <si>
    <t>ITB 16-2020</t>
  </si>
  <si>
    <t>373-2020 Bidding</t>
  </si>
  <si>
    <t>2020-03-1594</t>
  </si>
  <si>
    <t>2019-11-4214</t>
  </si>
  <si>
    <t>124</t>
  </si>
  <si>
    <t>20-169</t>
  </si>
  <si>
    <t>PB-07-17-2020</t>
  </si>
  <si>
    <t>101-2020-06-277</t>
  </si>
  <si>
    <t>DA7-2020-06-ILD-20-0613(R1)</t>
  </si>
  <si>
    <t>20CF0132</t>
  </si>
  <si>
    <t>071-20</t>
  </si>
  <si>
    <t>20GP015G</t>
  </si>
  <si>
    <t>101-2020-06-282</t>
  </si>
  <si>
    <t>070-20</t>
  </si>
  <si>
    <t>PBI-2020-18</t>
  </si>
  <si>
    <t>2020-03-2092</t>
  </si>
  <si>
    <t>069-20</t>
  </si>
  <si>
    <t>2020-077</t>
  </si>
  <si>
    <t>G-2020-371</t>
  </si>
  <si>
    <t>20-163</t>
  </si>
  <si>
    <t>20CF0131</t>
  </si>
  <si>
    <t>2020-05-2406</t>
  </si>
  <si>
    <t>073-20</t>
  </si>
  <si>
    <t>DA7-2020-06-ILD-20-0754(R1)</t>
  </si>
  <si>
    <t>20-161</t>
  </si>
  <si>
    <t>20-168</t>
  </si>
  <si>
    <t>LGU-BALINGASAG-9005-20-062</t>
  </si>
  <si>
    <t>Pul 001 2020</t>
  </si>
  <si>
    <t>PBI-2020-21</t>
  </si>
  <si>
    <t>20-162</t>
  </si>
  <si>
    <t>2020-06-2501</t>
  </si>
  <si>
    <t>072-20</t>
  </si>
  <si>
    <t>2020-05-2435</t>
  </si>
  <si>
    <t>2020-076</t>
  </si>
  <si>
    <t>2020-04-2236</t>
  </si>
  <si>
    <t>ITB 18-2020</t>
  </si>
  <si>
    <t>PBI-2020-20</t>
  </si>
  <si>
    <t>MG-A7M20-077</t>
  </si>
  <si>
    <t>2020-06-2450</t>
  </si>
  <si>
    <t>MG-A7C20-028</t>
  </si>
  <si>
    <t>SN-004-06-2020</t>
  </si>
  <si>
    <t>2020-007H</t>
  </si>
  <si>
    <t>PGLDN 101-20-05 1055</t>
  </si>
  <si>
    <t>LGU-BALINGASAG-9005-20-063</t>
  </si>
  <si>
    <t>2020-39</t>
  </si>
  <si>
    <t>077-20</t>
  </si>
  <si>
    <t>PR0044-20 MOTORPOOL</t>
  </si>
  <si>
    <t>19GSK00052</t>
  </si>
  <si>
    <t>Bid No. 20-0281</t>
  </si>
  <si>
    <t>20-170</t>
  </si>
  <si>
    <t>076-20</t>
  </si>
  <si>
    <t>075-20</t>
  </si>
  <si>
    <t>PGLDN Capitol bldg. 2020-02</t>
  </si>
  <si>
    <t>20GKI0015</t>
  </si>
  <si>
    <t>2020-01-1386</t>
  </si>
  <si>
    <t>DA7-2020-06-ILD-20-0805(R1)</t>
  </si>
  <si>
    <t>SAR-GOODS-06-090-2020</t>
  </si>
  <si>
    <t>374-2020 Bidding</t>
  </si>
  <si>
    <t>07-2020</t>
  </si>
  <si>
    <t>F-063-0428-20</t>
  </si>
  <si>
    <t>061</t>
  </si>
  <si>
    <t>20GSK00009 - Re-ITB</t>
  </si>
  <si>
    <t>SEF-G-27-2020</t>
  </si>
  <si>
    <t>Supplies 302-2020</t>
  </si>
  <si>
    <t>2020-0024</t>
  </si>
  <si>
    <t>HILONGOS 2020-189</t>
  </si>
  <si>
    <t>20GIE0014 (PR# 20-06-021)</t>
  </si>
  <si>
    <t>ITB 20-06-002</t>
  </si>
  <si>
    <t>PR-2020-06-008</t>
  </si>
  <si>
    <t>PR0039-20 PSWDO</t>
  </si>
  <si>
    <t>06-01-2020</t>
  </si>
  <si>
    <t>DA7-2020-06-ILD-20-0809(R1)</t>
  </si>
  <si>
    <t>ITB02-LUMBANG-PATHWAY</t>
  </si>
  <si>
    <t>2020-04-2281</t>
  </si>
  <si>
    <t>0020-0159-0927A2020</t>
  </si>
  <si>
    <t>SEF-G-26-2020</t>
  </si>
  <si>
    <t>2020-02-0120</t>
  </si>
  <si>
    <t>2020-06-0063</t>
  </si>
  <si>
    <t>ppn-091-2020</t>
  </si>
  <si>
    <t>001-02-2020</t>
  </si>
  <si>
    <t>PANG-2020-0790</t>
  </si>
  <si>
    <t>DA7-2020-06-FOD-L-20-2349</t>
  </si>
  <si>
    <t>2020-0025</t>
  </si>
  <si>
    <t>RFQ-06262020</t>
  </si>
  <si>
    <t>2020-0026</t>
  </si>
  <si>
    <t>ppn-090-2020</t>
  </si>
  <si>
    <t>2020-06-0064</t>
  </si>
  <si>
    <t>Procurement of Office Rental- PR No. 2020-06-60</t>
  </si>
  <si>
    <t>RFQ 0620-008</t>
  </si>
  <si>
    <t>06-66-2020</t>
  </si>
  <si>
    <t>2020-331</t>
  </si>
  <si>
    <t>Invitation to Bid 20-37</t>
  </si>
  <si>
    <t>2020-06-0307</t>
  </si>
  <si>
    <t>20GSK00013</t>
  </si>
  <si>
    <t>ppn-093-2020</t>
  </si>
  <si>
    <t>DA7-2020-06-SAAD-20-2364</t>
  </si>
  <si>
    <t>Solicitation No. PANG-2020-801</t>
  </si>
  <si>
    <t>20CI0097</t>
  </si>
  <si>
    <t>075</t>
  </si>
  <si>
    <t>20-019</t>
  </si>
  <si>
    <t>20-06-0367</t>
  </si>
  <si>
    <t>2020-06-0060</t>
  </si>
  <si>
    <t>20CI0100</t>
  </si>
  <si>
    <t>20CI0099</t>
  </si>
  <si>
    <t>BALZN9-2009</t>
  </si>
  <si>
    <t>06-2020 (REBID)</t>
  </si>
  <si>
    <t>20CI0101</t>
  </si>
  <si>
    <t>BMC-N-20-0206</t>
  </si>
  <si>
    <t>Bid No. 20-0321</t>
  </si>
  <si>
    <t>BAC 2020 01</t>
  </si>
  <si>
    <t>2020-06-0314</t>
  </si>
  <si>
    <t>086-20</t>
  </si>
  <si>
    <t>085-20</t>
  </si>
  <si>
    <t>P5SJIC 2020-01</t>
  </si>
  <si>
    <t>2020-05-2409</t>
  </si>
  <si>
    <t>BAC 2020-2</t>
  </si>
  <si>
    <t>077</t>
  </si>
  <si>
    <t>2020-04-006-101-02</t>
  </si>
  <si>
    <t>076</t>
  </si>
  <si>
    <t>081-20</t>
  </si>
  <si>
    <t>B39-2020-001</t>
  </si>
  <si>
    <t>080-20</t>
  </si>
  <si>
    <t>083-20</t>
  </si>
  <si>
    <t>082-20</t>
  </si>
  <si>
    <t>079-20</t>
  </si>
  <si>
    <t>20-06-PB002</t>
  </si>
  <si>
    <t>20CI0098</t>
  </si>
  <si>
    <t>001-07-2020</t>
  </si>
  <si>
    <t>38-2020</t>
  </si>
  <si>
    <t>2020-06-0300</t>
  </si>
  <si>
    <t>SAR-GOODS-06-094-2020</t>
  </si>
  <si>
    <t>UPLB-RQ-6-079-20-GOODS LABORATORY SUPPLIES &amp; EQUIP</t>
  </si>
  <si>
    <t>20GAD0007</t>
  </si>
  <si>
    <t>BARBALZN9-2008</t>
  </si>
  <si>
    <t>TWDPR 2020-06-03</t>
  </si>
  <si>
    <t>PR No.23-2020</t>
  </si>
  <si>
    <t>BP-BPDOS-JJ-25</t>
  </si>
  <si>
    <t>SRAVIS 20-06-285</t>
  </si>
  <si>
    <t>RFQ 0620-050</t>
  </si>
  <si>
    <t>06-06-2020</t>
  </si>
  <si>
    <t>1-06252020</t>
  </si>
  <si>
    <t>FB20-02-004CORa-06</t>
  </si>
  <si>
    <t>SRAVIS 20-06-284</t>
  </si>
  <si>
    <t>GOOD20200003(a)</t>
  </si>
  <si>
    <t>ISQ 2020-06-064</t>
  </si>
  <si>
    <t>05-06-2020</t>
  </si>
  <si>
    <t>04-06-2020</t>
  </si>
  <si>
    <t>BAC-2020-0019</t>
  </si>
  <si>
    <t>2-06252020</t>
  </si>
  <si>
    <t>2020-03-1612</t>
  </si>
  <si>
    <t>064-20</t>
  </si>
  <si>
    <t>G-109-20</t>
  </si>
  <si>
    <t>sj 2020 b jul 012</t>
  </si>
  <si>
    <t>088-20</t>
  </si>
  <si>
    <t>sj 2020 b jul 011</t>
  </si>
  <si>
    <t>007034-2020-01</t>
  </si>
  <si>
    <t>SRAVIS 20-06-287</t>
  </si>
  <si>
    <t>087-20</t>
  </si>
  <si>
    <t>sj 2020 b jul 010</t>
  </si>
  <si>
    <t>2020-096</t>
  </si>
  <si>
    <t>ppn-092-2020</t>
  </si>
  <si>
    <t>5-06252020</t>
  </si>
  <si>
    <t>4-05252020</t>
  </si>
  <si>
    <t>SRAVIS 20-06-286</t>
  </si>
  <si>
    <t>ITB No. 2020-130-B-pgo-pdrc</t>
  </si>
  <si>
    <t>umcbac20-16</t>
  </si>
  <si>
    <t>sj 2020 b jul 017</t>
  </si>
  <si>
    <t>2020-06-052-D</t>
  </si>
  <si>
    <t>100(18)20-03-028(N)</t>
  </si>
  <si>
    <t>sj 2020 b jul 015</t>
  </si>
  <si>
    <t>RFQ 0620-061</t>
  </si>
  <si>
    <t>100(18)20-03-024(N)</t>
  </si>
  <si>
    <t>SRAVIS 20-06-289</t>
  </si>
  <si>
    <t>028</t>
  </si>
  <si>
    <t>sj 2020 b jul 014</t>
  </si>
  <si>
    <t>Aklan BAC ITB 365 Series of 2020</t>
  </si>
  <si>
    <t>BAC-2020-0020</t>
  </si>
  <si>
    <t>MIWD</t>
  </si>
  <si>
    <t>100(01)20-06-364(A)</t>
  </si>
  <si>
    <t>ITB No. 2020-133-B-bpmc</t>
  </si>
  <si>
    <t>LGUBTA 20-059</t>
  </si>
  <si>
    <t>7-06252020</t>
  </si>
  <si>
    <t>SRAVIS 20-06-291</t>
  </si>
  <si>
    <t>100(01)20-06-363(A)</t>
  </si>
  <si>
    <t>084-20</t>
  </si>
  <si>
    <t>3A-2020-001</t>
  </si>
  <si>
    <t>100(01)20-06-362(A)</t>
  </si>
  <si>
    <t>ITB 2020-24</t>
  </si>
  <si>
    <t>2020-25-06-30</t>
  </si>
  <si>
    <t>LGUBTA 20-060</t>
  </si>
  <si>
    <t>B-037-2020</t>
  </si>
  <si>
    <t>DA7-2020-06-SAAD-20-2356</t>
  </si>
  <si>
    <t>RQ 06-171</t>
  </si>
  <si>
    <t>SRAVIS 20-06-292</t>
  </si>
  <si>
    <t>ITB No. 2020-I-P6-01</t>
  </si>
  <si>
    <t>ITB 2020-26</t>
  </si>
  <si>
    <t>BXU-2020-29</t>
  </si>
  <si>
    <t>DA7-2020-06-SAAD-20-2357</t>
  </si>
  <si>
    <t>20PG0045</t>
  </si>
  <si>
    <t>11-06252020</t>
  </si>
  <si>
    <t>100(01)20-06-365(A)</t>
  </si>
  <si>
    <t>ITB 2020-25</t>
  </si>
  <si>
    <t>Aklan BAC ITB 366 Series of 2020</t>
  </si>
  <si>
    <t>CWD 27-2020</t>
  </si>
  <si>
    <t>ITB No. 2020-06-005</t>
  </si>
  <si>
    <t>Ato12</t>
  </si>
  <si>
    <t>007017-2020-01</t>
  </si>
  <si>
    <t>TM-20-06-0046</t>
  </si>
  <si>
    <t>ITB No. 2020-I-P7-01</t>
  </si>
  <si>
    <t>sj 2020 b jul 016</t>
  </si>
  <si>
    <t>MH-GOODS-RHU-MEDICINES-620</t>
  </si>
  <si>
    <t>77-2020</t>
  </si>
  <si>
    <t>BXU-2020-30</t>
  </si>
  <si>
    <t>378-2020 Bidding</t>
  </si>
  <si>
    <t>100(01)20-06-002(AI)</t>
  </si>
  <si>
    <t>RFQ 0620-057</t>
  </si>
  <si>
    <t>76-2020</t>
  </si>
  <si>
    <t>0020-0159-0927.2020</t>
  </si>
  <si>
    <t>0020-0160-0937.2020</t>
  </si>
  <si>
    <t>SRAVIS 20-06-293</t>
  </si>
  <si>
    <t>20-46010</t>
  </si>
  <si>
    <t>065-2020</t>
  </si>
  <si>
    <t>RQ 06-179</t>
  </si>
  <si>
    <t>10-06252020</t>
  </si>
  <si>
    <t>100(01)20-06-371(O)</t>
  </si>
  <si>
    <t>SRAVIS 20-06-290</t>
  </si>
  <si>
    <t>ITB No. 2020-06-004</t>
  </si>
  <si>
    <t>9-06252020</t>
  </si>
  <si>
    <t>CWD 25-2020</t>
  </si>
  <si>
    <t>ITB No. 2020-I-P5-01</t>
  </si>
  <si>
    <t>2020-06-0323</t>
  </si>
  <si>
    <t>Bid No. 20-0322</t>
  </si>
  <si>
    <t>BLGUNORTE-CW-2020-001</t>
  </si>
  <si>
    <t>ITB No. 2020-G-06-01</t>
  </si>
  <si>
    <t>B-036-2020</t>
  </si>
  <si>
    <t>ITB No. 2020-G-04-02</t>
  </si>
  <si>
    <t>MH-GOODS-MEO-SITE-DEVELOPMENT-CEMETERY-764</t>
  </si>
  <si>
    <t>BXU-2020-31</t>
  </si>
  <si>
    <t>2020-25-06-01</t>
  </si>
  <si>
    <t>79-2020</t>
  </si>
  <si>
    <t>2020-06-0322</t>
  </si>
  <si>
    <t>2020-005-1</t>
  </si>
  <si>
    <t>LGUBTA 20-061</t>
  </si>
  <si>
    <t>PR No. 20-1089</t>
  </si>
  <si>
    <t>78-2020</t>
  </si>
  <si>
    <t>UPLB-IF-014-07-20 rebid</t>
  </si>
  <si>
    <t>20-06-048</t>
  </si>
  <si>
    <t>2020-02-0292</t>
  </si>
  <si>
    <t>20FK0056</t>
  </si>
  <si>
    <t>2020-004-1</t>
  </si>
  <si>
    <t>UPLB-IF-017-07-20</t>
  </si>
  <si>
    <t>Aklan BAC ITB 368 Series of 2020</t>
  </si>
  <si>
    <t>20PG0050</t>
  </si>
  <si>
    <t>2020-032 Access Road 647184</t>
  </si>
  <si>
    <t>PB-2020-0009</t>
  </si>
  <si>
    <t>ITB 20-06-005</t>
  </si>
  <si>
    <t>GEPS - 2020 - 87</t>
  </si>
  <si>
    <t>002-07-2020</t>
  </si>
  <si>
    <t>LOS BANOS-20-39</t>
  </si>
  <si>
    <t>IBTGH No. 2020 – 007</t>
  </si>
  <si>
    <t>UPLB-RQ-6-134-20-I CONSTRUCTION PROJECTS</t>
  </si>
  <si>
    <t>2020-25-06-02</t>
  </si>
  <si>
    <t>ITB PR 0498</t>
  </si>
  <si>
    <t>BLGUBALLUYAN-CW-2020-001</t>
  </si>
  <si>
    <t>ITB 20-06-004</t>
  </si>
  <si>
    <t>G-28-2020</t>
  </si>
  <si>
    <t>GEPS - 2020 - 86</t>
  </si>
  <si>
    <t>101-20-06-032</t>
  </si>
  <si>
    <t>2020-006-1</t>
  </si>
  <si>
    <t>20GA0152</t>
  </si>
  <si>
    <t>GEPS - 2020 - 85</t>
  </si>
  <si>
    <t>G-26-2020</t>
  </si>
  <si>
    <t>RDD-CW 2020-16</t>
  </si>
  <si>
    <t>MH-GOODS-RHU-CHEMICAL-REAGENTS-621</t>
  </si>
  <si>
    <t>tgs 15-20</t>
  </si>
  <si>
    <t>2020-03-021</t>
  </si>
  <si>
    <t>G-27-2020</t>
  </si>
  <si>
    <t>20063756</t>
  </si>
  <si>
    <t>S001-2020</t>
  </si>
  <si>
    <t>20ND0066</t>
  </si>
  <si>
    <t>ITB 2020-63</t>
  </si>
  <si>
    <t>PG-RFQ-2020-1</t>
  </si>
  <si>
    <t>BLGUPOB-GOODS-20-01</t>
  </si>
  <si>
    <t>20GHD0002</t>
  </si>
  <si>
    <t>20ND0067</t>
  </si>
  <si>
    <t>ITB PR 0499</t>
  </si>
  <si>
    <t>2020-JUNE-015</t>
  </si>
  <si>
    <t>Contract ID 20JH0044</t>
  </si>
  <si>
    <t>20-06-049</t>
  </si>
  <si>
    <t>20FO0104</t>
  </si>
  <si>
    <t>20-05-183</t>
  </si>
  <si>
    <t>2020-JUNE-016</t>
  </si>
  <si>
    <t>UPLB-RQ-6-080-20-GOODS VETERINARY PRODUCTS &amp; SUPPL</t>
  </si>
  <si>
    <t>Contract ID 20JH0047</t>
  </si>
  <si>
    <t>bac-20-0625b</t>
  </si>
  <si>
    <t>G-29-2020</t>
  </si>
  <si>
    <t>Contract ID 20JH0043</t>
  </si>
  <si>
    <t>JJWC-NNP-20-011</t>
  </si>
  <si>
    <t>B20200233</t>
  </si>
  <si>
    <t>069-2020</t>
  </si>
  <si>
    <t>GD33-2020</t>
  </si>
  <si>
    <t>20MC-INFRA-030</t>
  </si>
  <si>
    <t>B034-2020</t>
  </si>
  <si>
    <t>20GFN0009</t>
  </si>
  <si>
    <t>Request for Quotation No. 04-2020-01</t>
  </si>
  <si>
    <t>20GFN0010</t>
  </si>
  <si>
    <t>2020-PBGOODS-06-011</t>
  </si>
  <si>
    <t>MMO-2020-06-25-001</t>
  </si>
  <si>
    <t>SPC PR No. 1000029555</t>
  </si>
  <si>
    <t>ITB No. 2020-004-RFO/CTQAL</t>
  </si>
  <si>
    <t>20MC-GOODS-032</t>
  </si>
  <si>
    <t>Contract ID 20JH0046</t>
  </si>
  <si>
    <t>BXU-2020-32</t>
  </si>
  <si>
    <t>LOS BANOS-20-40</t>
  </si>
  <si>
    <t>20FO0105</t>
  </si>
  <si>
    <t>20-04-006</t>
  </si>
  <si>
    <t>20MC-GOODS-031</t>
  </si>
  <si>
    <t>RDD CW-2020-17</t>
  </si>
  <si>
    <t>tgs 16-20</t>
  </si>
  <si>
    <t>GOOD-20-2020</t>
  </si>
  <si>
    <t>003-07-2020</t>
  </si>
  <si>
    <t>TM-20-06-0045</t>
  </si>
  <si>
    <t>UPLB-RQ-6-080-20-GOODS CHEMICALS &amp; CHEMICAL PRODUC</t>
  </si>
  <si>
    <t>S2-ANT20-004</t>
  </si>
  <si>
    <t>B035-2020</t>
  </si>
  <si>
    <t>GA-BAC-2020-IA-11</t>
  </si>
  <si>
    <t>Contract ID 20JH0045</t>
  </si>
  <si>
    <t>20FN0106</t>
  </si>
  <si>
    <t>2020-06-63</t>
  </si>
  <si>
    <t>07 - 2020 INFRA</t>
  </si>
  <si>
    <t>B039-2020</t>
  </si>
  <si>
    <t>IB 2020-075</t>
  </si>
  <si>
    <t>2020-06-62</t>
  </si>
  <si>
    <t>031</t>
  </si>
  <si>
    <t>B038-2020</t>
  </si>
  <si>
    <t>JHS-026</t>
  </si>
  <si>
    <t>0020-0152-0911A2020</t>
  </si>
  <si>
    <t>20MC-INFRA-029</t>
  </si>
  <si>
    <t>B037-2020</t>
  </si>
  <si>
    <t>2020-06-61</t>
  </si>
  <si>
    <t>20FN0105</t>
  </si>
  <si>
    <t>004-07-2020</t>
  </si>
  <si>
    <t>20GHL0002</t>
  </si>
  <si>
    <t>B036-2020</t>
  </si>
  <si>
    <t>B040-2020</t>
  </si>
  <si>
    <t>Bid No. 20-0323</t>
  </si>
  <si>
    <t>2020-06-0364</t>
  </si>
  <si>
    <t>029</t>
  </si>
  <si>
    <t>S2-MPP20-021</t>
  </si>
  <si>
    <t>ITB-2020-16</t>
  </si>
  <si>
    <t>LG2020MP</t>
  </si>
  <si>
    <t>B044-2020</t>
  </si>
  <si>
    <t>IB 2020-076</t>
  </si>
  <si>
    <t>056-2020</t>
  </si>
  <si>
    <t>B043-2020</t>
  </si>
  <si>
    <t>RE-ITB 02-2020 UPGRADING</t>
  </si>
  <si>
    <t>ITB-025-2020</t>
  </si>
  <si>
    <t>B042-2020</t>
  </si>
  <si>
    <t>B041-2020</t>
  </si>
  <si>
    <t>S2-BIR20-011</t>
  </si>
  <si>
    <t>Goods 2020-08</t>
  </si>
  <si>
    <t>ITB 20-06-001</t>
  </si>
  <si>
    <t>Goods-2020-005 - Rebid</t>
  </si>
  <si>
    <t>bolo 20-01</t>
  </si>
  <si>
    <t>S2-SVP20-012</t>
  </si>
  <si>
    <t>0VCRE-05-20</t>
  </si>
  <si>
    <t>BAC-2020-0021</t>
  </si>
  <si>
    <t>Goods-2020-006 - Rebid</t>
  </si>
  <si>
    <t>rpl-20EE0139</t>
  </si>
  <si>
    <t>GOOD20200002(a)</t>
  </si>
  <si>
    <t>2020-06-0131</t>
  </si>
  <si>
    <t>S2-MGS20-010</t>
  </si>
  <si>
    <t>20HF0099</t>
  </si>
  <si>
    <t>S2-SVP20-003</t>
  </si>
  <si>
    <t>B046-2020</t>
  </si>
  <si>
    <t>ITB-2020-06-10</t>
  </si>
  <si>
    <t>B045-2020</t>
  </si>
  <si>
    <t>GOODS-2020-119</t>
  </si>
  <si>
    <t>ITB-2020-17</t>
  </si>
  <si>
    <t>spdro 20-01</t>
  </si>
  <si>
    <t>POCW-03-2020</t>
  </si>
  <si>
    <t>B047-2020</t>
  </si>
  <si>
    <t>INFRA2020-012</t>
  </si>
  <si>
    <t>GOODS-2020-115</t>
  </si>
  <si>
    <t>ITB-2020-06-11</t>
  </si>
  <si>
    <t>ITB-001-06-2020</t>
  </si>
  <si>
    <t>GOODS-2020-134</t>
  </si>
  <si>
    <t>15-Goods-2020</t>
  </si>
  <si>
    <t>20-06-02</t>
  </si>
  <si>
    <t>S2-TAG20-010</t>
  </si>
  <si>
    <t>20AE0072: Construction of 2 Storey TechVoc Worksho</t>
  </si>
  <si>
    <t>20-06-01</t>
  </si>
  <si>
    <t>20GI0099</t>
  </si>
  <si>
    <t>20GFN0011</t>
  </si>
  <si>
    <t>20FC0129</t>
  </si>
  <si>
    <t>iba yuni 20-01</t>
  </si>
  <si>
    <t>20FC0128</t>
  </si>
  <si>
    <t>20FC0126</t>
  </si>
  <si>
    <t>20FC0127</t>
  </si>
  <si>
    <t>20FC0124</t>
  </si>
  <si>
    <t>Goods-2020-010 - Rebid</t>
  </si>
  <si>
    <t>2020-06-0174</t>
  </si>
  <si>
    <t>20DE0103 (Re-advertised)</t>
  </si>
  <si>
    <t>20CSE010</t>
  </si>
  <si>
    <t>20FC0125</t>
  </si>
  <si>
    <t>ila yuni 20-01</t>
  </si>
  <si>
    <t>Print, Supply and Delivery of MTWD 2021 Calendar</t>
  </si>
  <si>
    <t>20CSE009</t>
  </si>
  <si>
    <t>2020-06-12</t>
  </si>
  <si>
    <t>2020-06-0179</t>
  </si>
  <si>
    <t>042020674</t>
  </si>
  <si>
    <t>Contract ID 20JH0052</t>
  </si>
  <si>
    <t>20-350</t>
  </si>
  <si>
    <t>2020-095</t>
  </si>
  <si>
    <t>20-365</t>
  </si>
  <si>
    <t>20-348</t>
  </si>
  <si>
    <t>2020-08-0180</t>
  </si>
  <si>
    <t>ITB 2020-162</t>
  </si>
  <si>
    <t>Contract ID 20JH0049</t>
  </si>
  <si>
    <t>GOOD20200004(a)</t>
  </si>
  <si>
    <t>Contract ID 20JH0051</t>
  </si>
  <si>
    <t>20-324</t>
  </si>
  <si>
    <t>2020-06-0173</t>
  </si>
  <si>
    <t>BACPOGOODS202006007</t>
  </si>
  <si>
    <t>20DE0139 (Re-advertised)</t>
  </si>
  <si>
    <t>20BK0147</t>
  </si>
  <si>
    <t>Contract ID 20JH0048</t>
  </si>
  <si>
    <t>RFQ 0620-058</t>
  </si>
  <si>
    <t>20-294</t>
  </si>
  <si>
    <t>sj 2020 b jul 018</t>
  </si>
  <si>
    <t>20DE0122 (Re-advertised)</t>
  </si>
  <si>
    <t>DA7-2020-06-FOD-L-20-2350</t>
  </si>
  <si>
    <t>Contract ID 20JH0050</t>
  </si>
  <si>
    <t>20DE0138 (Re-advertised)</t>
  </si>
  <si>
    <t>6-06252020</t>
  </si>
  <si>
    <t>sj 2020 b jul 013</t>
  </si>
  <si>
    <t>SRAVIS 20-06-288</t>
  </si>
  <si>
    <t>07-06-2020</t>
  </si>
  <si>
    <t>SF-GOODS-2020-007</t>
  </si>
  <si>
    <t>100(18)19-10-1317(O)</t>
  </si>
  <si>
    <t>100(01)20-06-373(O)</t>
  </si>
  <si>
    <t>MG-PAT20-025</t>
  </si>
  <si>
    <t>MG-PAT20-026</t>
  </si>
  <si>
    <t>MG-PAT20-023</t>
  </si>
  <si>
    <t>TWDPR 2020-06-04</t>
  </si>
  <si>
    <t>MG-PLM20-094</t>
  </si>
  <si>
    <t>20-398</t>
  </si>
  <si>
    <t>19FC0239</t>
  </si>
  <si>
    <t>MG-PHP20-010</t>
  </si>
  <si>
    <t>MG-PHP20-007</t>
  </si>
  <si>
    <t>DPWH-SK2DEO-20GMH050</t>
  </si>
  <si>
    <t>BTG3-2020-0210</t>
  </si>
  <si>
    <t>6-20-44</t>
  </si>
  <si>
    <t>MG-PAT20-035</t>
  </si>
  <si>
    <t>3-06252020</t>
  </si>
  <si>
    <t>Contract ID 20JH0053</t>
  </si>
  <si>
    <t>6-20-43</t>
  </si>
  <si>
    <t>SAR-GOODS-06-093-2020</t>
  </si>
  <si>
    <t>BTG3-2020-0208</t>
  </si>
  <si>
    <t>PB-INFRA-2020-003</t>
  </si>
  <si>
    <t>RFQ-6-25-2020</t>
  </si>
  <si>
    <t>BTG3-2020-0209</t>
  </si>
  <si>
    <t>IB No. 002-2020</t>
  </si>
  <si>
    <t>DA7-2020-06-FOD-L-20-2348</t>
  </si>
  <si>
    <t>MG-PLM20-011</t>
  </si>
  <si>
    <t>20200625-23</t>
  </si>
  <si>
    <t>PR NO. 90344</t>
  </si>
  <si>
    <t>20-384</t>
  </si>
  <si>
    <t>20AE0073: Construction of 2 Storey 4 Classroom Sch</t>
  </si>
  <si>
    <t>Contract ID 20JH0055</t>
  </si>
  <si>
    <t>2020-06-0016</t>
  </si>
  <si>
    <t>DPWH-SK2DEO-20GMH058</t>
  </si>
  <si>
    <t>DPWH-SK2DEO-20GMH057</t>
  </si>
  <si>
    <t>20-05-0620</t>
  </si>
  <si>
    <t>6-20-45</t>
  </si>
  <si>
    <t>DPWH-SK2DEO-20GMH056</t>
  </si>
  <si>
    <t>Contract ID 20JH0054</t>
  </si>
  <si>
    <t>NMF INFRA 2020-29</t>
  </si>
  <si>
    <t>PR NO. 91778</t>
  </si>
  <si>
    <t>Contract ID 20JH0062</t>
  </si>
  <si>
    <t>Contract ID 20JH0061</t>
  </si>
  <si>
    <t>Contract ID 20JH0060</t>
  </si>
  <si>
    <t>ATI-RTC3-2020-0085</t>
  </si>
  <si>
    <t>2020-06-0020</t>
  </si>
  <si>
    <t>20-05-0584</t>
  </si>
  <si>
    <t>BG2020-117</t>
  </si>
  <si>
    <t>PR NO. 90805 &amp; PR 91288</t>
  </si>
  <si>
    <t>MG-PAT20-007</t>
  </si>
  <si>
    <t>Contract ID 20JH0058</t>
  </si>
  <si>
    <t>30-2020</t>
  </si>
  <si>
    <t>EARIST-2020-BID-003</t>
  </si>
  <si>
    <t>Contract ID 20JH0056</t>
  </si>
  <si>
    <t>2020-06-0019</t>
  </si>
  <si>
    <t>20-06-07-0136</t>
  </si>
  <si>
    <t>2020-06-0017</t>
  </si>
  <si>
    <t>NMF INFRA 2020-30</t>
  </si>
  <si>
    <t>Contract ID 20JH0057</t>
  </si>
  <si>
    <t>PR NO. 91415</t>
  </si>
  <si>
    <t>2020-06-0018</t>
  </si>
  <si>
    <t>Contract ID 20JH0059</t>
  </si>
  <si>
    <t>06-25-2020-01</t>
  </si>
  <si>
    <t>RFQ 0620-056</t>
  </si>
  <si>
    <t>ITB 2020-006 CR wet &amp; Dry</t>
  </si>
  <si>
    <t>20GDB0016 (Re-Advertisement)</t>
  </si>
  <si>
    <t>ITB 2020-005 Construction Materials</t>
  </si>
  <si>
    <t>042020673</t>
  </si>
  <si>
    <t>ITB 2020-005 CUB</t>
  </si>
  <si>
    <t>06-25-2020-02</t>
  </si>
  <si>
    <t>2020-023</t>
  </si>
  <si>
    <t>0101-635</t>
  </si>
  <si>
    <t>ITB 2020-004 Aircon</t>
  </si>
  <si>
    <t>ITB NO. 2020-028</t>
  </si>
  <si>
    <t>0101-000-01-24</t>
  </si>
  <si>
    <t>PR NO. 91676</t>
  </si>
  <si>
    <t>20CSEF05</t>
  </si>
  <si>
    <t>042020672</t>
  </si>
  <si>
    <t>20CSEF04</t>
  </si>
  <si>
    <t>20CSEF02</t>
  </si>
  <si>
    <t>20CSEF01</t>
  </si>
  <si>
    <t>PR-20-02-051</t>
  </si>
  <si>
    <t>06-25-2020-03</t>
  </si>
  <si>
    <t>PR-20-01-022</t>
  </si>
  <si>
    <t>PR-20-01-030</t>
  </si>
  <si>
    <t>Pr-20-01-021</t>
  </si>
  <si>
    <t>LGUTMO BAC 2020-10</t>
  </si>
  <si>
    <t>PR NO. 91414</t>
  </si>
  <si>
    <t>20CSEF03</t>
  </si>
  <si>
    <t>20CSEF07</t>
  </si>
  <si>
    <t>ITB NO: 2020-007-028</t>
  </si>
  <si>
    <t>rfq064</t>
  </si>
  <si>
    <t>20CSEF06</t>
  </si>
  <si>
    <t>PR-20-01-026</t>
  </si>
  <si>
    <t>LGUTMO BAC 2020-14</t>
  </si>
  <si>
    <t>LGUTMO BAC 2020-16</t>
  </si>
  <si>
    <t>LGUTMO BAC 2020-17</t>
  </si>
  <si>
    <t>PB-GE3-2020-16</t>
  </si>
  <si>
    <t>130 - 2020</t>
  </si>
  <si>
    <t>PBD 20-078</t>
  </si>
  <si>
    <t>PR-20-01-045</t>
  </si>
  <si>
    <t>PR-20-02-070</t>
  </si>
  <si>
    <t>PR-20-01-042</t>
  </si>
  <si>
    <t>PB-01-06-2020-0006</t>
  </si>
  <si>
    <t>PR-20-01-043</t>
  </si>
  <si>
    <t>20CSEF08</t>
  </si>
  <si>
    <t>PR-20-02-054</t>
  </si>
  <si>
    <t>20csd02</t>
  </si>
  <si>
    <t>SBMA-BAC-GOODS-NP-14-20</t>
  </si>
  <si>
    <t>06-25-2020-04</t>
  </si>
  <si>
    <t>20-06-003</t>
  </si>
  <si>
    <t>DPWH-SK2DEO-20GMH055</t>
  </si>
  <si>
    <t>PR-20-01-013</t>
  </si>
  <si>
    <t>0101-000-01-25</t>
  </si>
  <si>
    <t>06-25-2020-05</t>
  </si>
  <si>
    <t>MG-PLM20-088</t>
  </si>
  <si>
    <t>PR NO. 92014</t>
  </si>
  <si>
    <t>DPWH-SK2DEO-20GMH052</t>
  </si>
  <si>
    <t>DPWH-SK2DEO-20GMH054</t>
  </si>
  <si>
    <t>2020-06-0061</t>
  </si>
  <si>
    <t>078-20</t>
  </si>
  <si>
    <t>20L00159</t>
  </si>
  <si>
    <t>DPWH-SK2DEO-20GMH053</t>
  </si>
  <si>
    <t>1071-20-05-196</t>
  </si>
  <si>
    <t>DPWH-SK2DEO-20GMH051</t>
  </si>
  <si>
    <t>20-06-0642</t>
  </si>
  <si>
    <t>84-20-5-012</t>
  </si>
  <si>
    <t>84-20-5-011</t>
  </si>
  <si>
    <t>1091-20-02-048</t>
  </si>
  <si>
    <t>PR-20-01-015</t>
  </si>
  <si>
    <t>20L00158</t>
  </si>
  <si>
    <t>1011-20-5-198A</t>
  </si>
  <si>
    <t>1101-20-03-134</t>
  </si>
  <si>
    <t>REF #042-06-2020</t>
  </si>
  <si>
    <t>20L00138</t>
  </si>
  <si>
    <t>1071-20-05-197</t>
  </si>
  <si>
    <t>AAE JUNE22-2020(2)</t>
  </si>
  <si>
    <t>AAE JUNE22-2020(1)</t>
  </si>
  <si>
    <t>07122020-089</t>
  </si>
  <si>
    <t>20L00146</t>
  </si>
  <si>
    <t>20L00157</t>
  </si>
  <si>
    <t>2020-40</t>
  </si>
  <si>
    <t>2020-06-0015</t>
  </si>
  <si>
    <t>20L00164</t>
  </si>
  <si>
    <t>20L00156</t>
  </si>
  <si>
    <t>20L00155</t>
  </si>
  <si>
    <t>20-06-009</t>
  </si>
  <si>
    <t>20200622</t>
  </si>
  <si>
    <t>ECV-20EE0134 RE BID</t>
  </si>
  <si>
    <t>ECV-20EE0132 (RE BID)</t>
  </si>
  <si>
    <t>20L00166</t>
  </si>
  <si>
    <t>ECV-20EE0126  (RE BID)</t>
  </si>
  <si>
    <t>84-20-5-010</t>
  </si>
  <si>
    <t>4411-20-6-239</t>
  </si>
  <si>
    <t>ECV-20EE0128 RE BID</t>
  </si>
  <si>
    <t>1011-20-6-235A</t>
  </si>
  <si>
    <t>DUA2020-06-0012</t>
  </si>
  <si>
    <t>20L00165</t>
  </si>
  <si>
    <t>20L00160</t>
  </si>
  <si>
    <t>9999-20-05-005</t>
  </si>
  <si>
    <t>20L00163</t>
  </si>
  <si>
    <t>20GM0063 (RE-BIDDING)</t>
  </si>
  <si>
    <t>IB-2020-106-INFRA</t>
  </si>
  <si>
    <t>2020-06-017B</t>
  </si>
  <si>
    <t>IB-2020-103-INFRA</t>
  </si>
  <si>
    <t>1011-20-01-017A</t>
  </si>
  <si>
    <t>2020-G001</t>
  </si>
  <si>
    <t>IB-2020-101-INFRA</t>
  </si>
  <si>
    <t>IB-2020-100-INFRA</t>
  </si>
  <si>
    <t>IB-2020-104-INFRA</t>
  </si>
  <si>
    <t>IB-2020-099-INFRA</t>
  </si>
  <si>
    <t>84-20-6-14</t>
  </si>
  <si>
    <t>IB-2020-098-INFRA</t>
  </si>
  <si>
    <t>IB-2020-102-INFRA</t>
  </si>
  <si>
    <t>IB-2020-105-INFRA</t>
  </si>
  <si>
    <t>20L00161</t>
  </si>
  <si>
    <t>20-137</t>
  </si>
  <si>
    <t>20-125</t>
  </si>
  <si>
    <t>IB-2020-097-INFRA</t>
  </si>
  <si>
    <t>20-135</t>
  </si>
  <si>
    <t>20-131</t>
  </si>
  <si>
    <t>1011-20-5-198B</t>
  </si>
  <si>
    <t>20-136</t>
  </si>
  <si>
    <t>20-129</t>
  </si>
  <si>
    <t>SanJoseBatsAeb2020-104</t>
  </si>
  <si>
    <t>1011-20-5-198C</t>
  </si>
  <si>
    <t>2020-06-019B</t>
  </si>
  <si>
    <t>20-128</t>
  </si>
  <si>
    <t>1011-20-5-198E</t>
  </si>
  <si>
    <t>ADS-1354-20</t>
  </si>
  <si>
    <t>20L00162</t>
  </si>
  <si>
    <t>ADS-0970-20</t>
  </si>
  <si>
    <t>ADS-1353-20</t>
  </si>
  <si>
    <t>ADS-1352-20</t>
  </si>
  <si>
    <t>2020-06-020B</t>
  </si>
  <si>
    <t>2020-012R</t>
  </si>
  <si>
    <t>ADS-1355-20</t>
  </si>
  <si>
    <t>PB-2020-06-037</t>
  </si>
  <si>
    <t>4411-20-6-238</t>
  </si>
  <si>
    <t>PB-2020-06-036</t>
  </si>
  <si>
    <t>G-2020-15</t>
  </si>
  <si>
    <t>1011-20-5-198</t>
  </si>
  <si>
    <t>ADS-1351-20</t>
  </si>
  <si>
    <t>20-072A</t>
  </si>
  <si>
    <t>InTB-PGAPEOROADS2020EDF-CW2</t>
  </si>
  <si>
    <t>PB-2020-06-034</t>
  </si>
  <si>
    <t>5021306001-47-JFMR-20</t>
  </si>
  <si>
    <t>IB. NO. K-2020-060(SC)</t>
  </si>
  <si>
    <t>20IE0101</t>
  </si>
  <si>
    <t>5020399000-45-SRSA-20</t>
  </si>
  <si>
    <t>06232020B</t>
  </si>
  <si>
    <t>5020399000-44-ARSA-20</t>
  </si>
  <si>
    <t>5020301000-41-ARSA-20</t>
  </si>
  <si>
    <t>5020399000-43-JRSA-20</t>
  </si>
  <si>
    <t>vict-eps20-029</t>
  </si>
  <si>
    <t>06232020A</t>
  </si>
  <si>
    <t>5020305000-39-JASS-20</t>
  </si>
  <si>
    <t>5020301000-42-SRSA-20</t>
  </si>
  <si>
    <t>BUE-06242020-01</t>
  </si>
  <si>
    <t>IB 2020-035</t>
  </si>
  <si>
    <t>5020308000-46-JASRS-20</t>
  </si>
  <si>
    <t>ITB No. 024B-2020 GQ</t>
  </si>
  <si>
    <t>5020301000-40-JRSA-20</t>
  </si>
  <si>
    <t>038-20</t>
  </si>
  <si>
    <t>20CH0074</t>
  </si>
  <si>
    <t>ITB No. 023B-2020 GQ</t>
  </si>
  <si>
    <t>Civil Works 022-2020</t>
  </si>
  <si>
    <t>2020-06-012</t>
  </si>
  <si>
    <t>ITB No. G12-03-2020</t>
  </si>
  <si>
    <t>GEPS-2020-0624</t>
  </si>
  <si>
    <t>BMC-N-20-196</t>
  </si>
  <si>
    <t>bagong silang 3 pr1</t>
  </si>
  <si>
    <t>InTB-PGA7171OPAG2020-GDS2</t>
  </si>
  <si>
    <t>PB-2020-06-035</t>
  </si>
  <si>
    <t>InTB-PGA7171OPAG2020-GDS1</t>
  </si>
  <si>
    <t>InTB-PGAPEO2MBP2020EDF-CW1</t>
  </si>
  <si>
    <t>5020305000-38-JASR-20</t>
  </si>
  <si>
    <t>BFAR5BAC-2020-109</t>
  </si>
  <si>
    <t>120</t>
  </si>
  <si>
    <t>20-046A</t>
  </si>
  <si>
    <t>ITB No. G11-03-2020</t>
  </si>
  <si>
    <t>100(18)20-06-357(O)</t>
  </si>
  <si>
    <t>GOODS 2020-06-PLA005</t>
  </si>
  <si>
    <t>ITB No. 028B-2020 GQ</t>
  </si>
  <si>
    <t>GOODS 2020-018</t>
  </si>
  <si>
    <t>MG-A7T20-052</t>
  </si>
  <si>
    <t>BLGU-STAFE-AL-G-01-2020</t>
  </si>
  <si>
    <t>2020-05-11</t>
  </si>
  <si>
    <t>captmain136893-02</t>
  </si>
  <si>
    <t>2020-032</t>
  </si>
  <si>
    <t>GHQBAC1-PB-013-GHQ-20</t>
  </si>
  <si>
    <t>Bid No. 20-0275</t>
  </si>
  <si>
    <t>SV-0714-2020</t>
  </si>
  <si>
    <t>20GIB0035</t>
  </si>
  <si>
    <t>IB 2020-036</t>
  </si>
  <si>
    <t>lgu padada-0020-06-24-2020</t>
  </si>
  <si>
    <t>20CH0075</t>
  </si>
  <si>
    <t>100-2020-Infra-375</t>
  </si>
  <si>
    <t>2020-0623-34G</t>
  </si>
  <si>
    <t>IB. NO. K-2020-063(SC)</t>
  </si>
  <si>
    <t>PB-2020-06-033</t>
  </si>
  <si>
    <t>ADS-0973-20</t>
  </si>
  <si>
    <t>ADS-0965-20</t>
  </si>
  <si>
    <t>IB. NO. K-2020-064(SC)</t>
  </si>
  <si>
    <t>2020-63</t>
  </si>
  <si>
    <t>2020-06-018B</t>
  </si>
  <si>
    <t>BLGU P2</t>
  </si>
  <si>
    <t>00061</t>
  </si>
  <si>
    <t>20-138</t>
  </si>
  <si>
    <t>2020-05-12</t>
  </si>
  <si>
    <t>19-12-062-EM</t>
  </si>
  <si>
    <t>20-127</t>
  </si>
  <si>
    <t>MSDS-6-2020-G8</t>
  </si>
  <si>
    <t>INFRASIB-2020-13</t>
  </si>
  <si>
    <t>G-2020-005</t>
  </si>
  <si>
    <t>20-06-08-PO</t>
  </si>
  <si>
    <t>06-24-2020-231</t>
  </si>
  <si>
    <t>06-24-2020-230</t>
  </si>
  <si>
    <t>GHQBAC1-PB-018-GHQ-20</t>
  </si>
  <si>
    <t>INFRASIB-2020-10</t>
  </si>
  <si>
    <t>INFRASIB-2020-11</t>
  </si>
  <si>
    <t>Bid No. 20-0277</t>
  </si>
  <si>
    <t>2020-0164</t>
  </si>
  <si>
    <t>ITB No. I31-03-2020</t>
  </si>
  <si>
    <t>PR. NO. 2020060722</t>
  </si>
  <si>
    <t>B-91-2020</t>
  </si>
  <si>
    <t>NS-06-25-20-01</t>
  </si>
  <si>
    <t>20200624-001</t>
  </si>
  <si>
    <t>lgu padada-0022-06-24-2020</t>
  </si>
  <si>
    <t>PB-G-001-2020</t>
  </si>
  <si>
    <t>G-PGO-048-20</t>
  </si>
  <si>
    <t>2020-0623-38G</t>
  </si>
  <si>
    <t>INFRA 2020-12</t>
  </si>
  <si>
    <t>Bid No. 20-0276</t>
  </si>
  <si>
    <t>Infra-2020-10</t>
  </si>
  <si>
    <t>PR# 20-06-0604</t>
  </si>
  <si>
    <t>ITB No. I30-03-2020</t>
  </si>
  <si>
    <t>00063</t>
  </si>
  <si>
    <t>2020-06-24-01</t>
  </si>
  <si>
    <t>Infra-2020-09</t>
  </si>
  <si>
    <t>QES-06-024-20</t>
  </si>
  <si>
    <t>Bid No. 20-0278</t>
  </si>
  <si>
    <t>INFRASIB-2020-12</t>
  </si>
  <si>
    <t>TANZA 2 2020-10-006</t>
  </si>
  <si>
    <t>20CSHG0002</t>
  </si>
  <si>
    <t>BF 2020-001</t>
  </si>
  <si>
    <t>DepED-RO6-D1- “TNHS” PURCHASE OF TRANSFORMER FOR J</t>
  </si>
  <si>
    <t>SV-0770-2020</t>
  </si>
  <si>
    <t>2020-06-312-ME</t>
  </si>
  <si>
    <t>PR No. 20-1060</t>
  </si>
  <si>
    <t>20GIE0011</t>
  </si>
  <si>
    <t>20PL0123</t>
  </si>
  <si>
    <t>Tubod 2020-06-002</t>
  </si>
  <si>
    <t>NS-06-25-20-02</t>
  </si>
  <si>
    <t>2020-06-24</t>
  </si>
  <si>
    <t>2020- 06- 001</t>
  </si>
  <si>
    <t>DV-2020-I11</t>
  </si>
  <si>
    <t>Bid No. 20-0279</t>
  </si>
  <si>
    <t>GOODSIB-2020-03</t>
  </si>
  <si>
    <t>SV-0775-2020</t>
  </si>
  <si>
    <t>20CN0101</t>
  </si>
  <si>
    <t>20GKE0006 Lot2</t>
  </si>
  <si>
    <t>PR. NO. 2020060723</t>
  </si>
  <si>
    <t>202000206</t>
  </si>
  <si>
    <t>UPLB-RQ-6-131-20-RES INFORMATION TECHNOLOGY</t>
  </si>
  <si>
    <t>MAPULO2020-002</t>
  </si>
  <si>
    <t>0624202002</t>
  </si>
  <si>
    <t>BID NO.0620-137</t>
  </si>
  <si>
    <t>ITB No. 2020-09</t>
  </si>
  <si>
    <t>20-ICT1</t>
  </si>
  <si>
    <t>Goods - 2020 - 09</t>
  </si>
  <si>
    <t>SV-0776-2020</t>
  </si>
  <si>
    <t>PN 2020-13</t>
  </si>
  <si>
    <t>ITB No. I28-03-2020</t>
  </si>
  <si>
    <t>00062</t>
  </si>
  <si>
    <t>00064</t>
  </si>
  <si>
    <t>Tubod 2020-06-001</t>
  </si>
  <si>
    <t>20200624-003</t>
  </si>
  <si>
    <t>BID NO. 0620-138</t>
  </si>
  <si>
    <t>2020-06-314-ME</t>
  </si>
  <si>
    <t>20GIE0012</t>
  </si>
  <si>
    <t>20CN0153</t>
  </si>
  <si>
    <t>20GIE0013</t>
  </si>
  <si>
    <t>PN 11-2020</t>
  </si>
  <si>
    <t>20GKE0006 Lot1</t>
  </si>
  <si>
    <t>UPLB-RQ-6-133-20-I GENERAL CONTRACTOR</t>
  </si>
  <si>
    <t>2020-0623-35G</t>
  </si>
  <si>
    <t>129 - 2020</t>
  </si>
  <si>
    <t>I.B. No. 2020-0030</t>
  </si>
  <si>
    <t>GOODS-2020-46-2ND</t>
  </si>
  <si>
    <t>CHMSC 20-021-0624-G</t>
  </si>
  <si>
    <t>20-ICT2</t>
  </si>
  <si>
    <t>202000306</t>
  </si>
  <si>
    <t>21</t>
  </si>
  <si>
    <t>20200624-002</t>
  </si>
  <si>
    <t>20CN0154</t>
  </si>
  <si>
    <t>2020-0623-36G</t>
  </si>
  <si>
    <t>20GIE0010</t>
  </si>
  <si>
    <t>GOODS-06-24-2020-01</t>
  </si>
  <si>
    <t>0624202001</t>
  </si>
  <si>
    <t>INFRASIB-2020-14</t>
  </si>
  <si>
    <t>2020-06-0126</t>
  </si>
  <si>
    <t>2020-0165</t>
  </si>
  <si>
    <t>20GM0080</t>
  </si>
  <si>
    <t>N2FB-310-2019(2020)</t>
  </si>
  <si>
    <t>IB-2020-096-INFRA</t>
  </si>
  <si>
    <t>IB NSCV2020-03</t>
  </si>
  <si>
    <t>IB-2020-095-INFRA</t>
  </si>
  <si>
    <t>00008308</t>
  </si>
  <si>
    <t>00008312</t>
  </si>
  <si>
    <t>2020-0623-37</t>
  </si>
  <si>
    <t>BID NO. 0620-140</t>
  </si>
  <si>
    <t>ITB No. 031B-2020 GQ</t>
  </si>
  <si>
    <t>343-2020</t>
  </si>
  <si>
    <t>PRN-489-2019</t>
  </si>
  <si>
    <t>VS-2020-029</t>
  </si>
  <si>
    <t>Infra-20-09</t>
  </si>
  <si>
    <t>BID NO. 0620-139</t>
  </si>
  <si>
    <t>G-PGO-049-20</t>
  </si>
  <si>
    <t>PRN-614-2019</t>
  </si>
  <si>
    <t>lgu padada-0021-06-24-2020</t>
  </si>
  <si>
    <t>ITB-0624 #1 Package 58</t>
  </si>
  <si>
    <t>2020-0624-1</t>
  </si>
  <si>
    <t>ITB No. 029B-2020 GQ</t>
  </si>
  <si>
    <t>BQ-Infra-2020-018</t>
  </si>
  <si>
    <t>2020-0624-2</t>
  </si>
  <si>
    <t>HILONGOS 2020-188</t>
  </si>
  <si>
    <t>BQ-Infra-2020-015</t>
  </si>
  <si>
    <t>300-20-05-0496</t>
  </si>
  <si>
    <t>PB-INF-001-2020</t>
  </si>
  <si>
    <t>20IF0139</t>
  </si>
  <si>
    <t>ADS-0960-20</t>
  </si>
  <si>
    <t>SV-0745-2020</t>
  </si>
  <si>
    <t>CID NO. 20IF0140</t>
  </si>
  <si>
    <t>20GIJ-0002</t>
  </si>
  <si>
    <t>ITB-0624 #2 Package 59</t>
  </si>
  <si>
    <t>20PL0122</t>
  </si>
  <si>
    <t>100-2002-141-GF</t>
  </si>
  <si>
    <t>20053460</t>
  </si>
  <si>
    <t>BQ-Infra-2020-017</t>
  </si>
  <si>
    <t>BQ-Infra-2020-019</t>
  </si>
  <si>
    <t>BID NO. 0620-142</t>
  </si>
  <si>
    <t>023-2020 PES Printing of Tarpaulin</t>
  </si>
  <si>
    <t>ADS-0959-20</t>
  </si>
  <si>
    <t>20063692</t>
  </si>
  <si>
    <t>ADS-0958-20</t>
  </si>
  <si>
    <t>024-2020 PES Purchase of Mobile Load Card 2020-Sup</t>
  </si>
  <si>
    <t>2020-0028</t>
  </si>
  <si>
    <t>BID NO. 0620-141</t>
  </si>
  <si>
    <t>20CB-GSC-365 PURCHASE OF DRUGS AND MEDICINES FOR D</t>
  </si>
  <si>
    <t>20063834</t>
  </si>
  <si>
    <t>026-2020 PES Purchase of Printer (Epson) 2020-Supp</t>
  </si>
  <si>
    <t>20063836</t>
  </si>
  <si>
    <t>LGU PR. No.  101-186 dated  June 1, 2020</t>
  </si>
  <si>
    <t>ITB2020-07-01 TAGBUBUNGA</t>
  </si>
  <si>
    <t>100-2020-006-023</t>
  </si>
  <si>
    <t>025-2020 PES Purchase of Office Supplies 2020-Supp</t>
  </si>
  <si>
    <t>BID NO. 0620-143</t>
  </si>
  <si>
    <t>SanJoseBatsAeb2020-096</t>
  </si>
  <si>
    <t>2020-2</t>
  </si>
  <si>
    <t>20063835</t>
  </si>
  <si>
    <t>Bid No. 20-0280</t>
  </si>
  <si>
    <t>2020-06-0128</t>
  </si>
  <si>
    <t>P. R. No. 2020-0366</t>
  </si>
  <si>
    <t>HFW-2020-06-0216</t>
  </si>
  <si>
    <t>20200624</t>
  </si>
  <si>
    <t>350-2020</t>
  </si>
  <si>
    <t>G-PPDO-050-20</t>
  </si>
  <si>
    <t>ITB2020-07-03</t>
  </si>
  <si>
    <t>121</t>
  </si>
  <si>
    <t>01P-2020</t>
  </si>
  <si>
    <t>ADS-0961-20</t>
  </si>
  <si>
    <t>INFRA2020-AG2-007 Supply of Labor and Materials fo</t>
  </si>
  <si>
    <t>BQ-Infra-2020-016</t>
  </si>
  <si>
    <t>20CB-GSC-366 PURCHASE OF VARIOUS MEDICAL, DENTAL &amp;</t>
  </si>
  <si>
    <t>MKWD2020-054</t>
  </si>
  <si>
    <t>20FN0102</t>
  </si>
  <si>
    <t>20LF0143</t>
  </si>
  <si>
    <t>0953-20</t>
  </si>
  <si>
    <t>20CB-GSC-367 PURCHASE OF MEDICAL DENTAL &amp; LABORATO</t>
  </si>
  <si>
    <t>PR062000638</t>
  </si>
  <si>
    <t>20CB-GSC-368 PURCHASE OF ANTIBACTERIALS (PARENTERA</t>
  </si>
  <si>
    <t>2020-06-23</t>
  </si>
  <si>
    <t>SanJoseBatsAeb2020-098</t>
  </si>
  <si>
    <t>20CJ0154</t>
  </si>
  <si>
    <t>GOODS-2020-06-09</t>
  </si>
  <si>
    <t>BID NO. 0620-145</t>
  </si>
  <si>
    <t>BAC 2020-72</t>
  </si>
  <si>
    <t>20KD0065</t>
  </si>
  <si>
    <t>20AH0217</t>
  </si>
  <si>
    <t>20AH0216</t>
  </si>
  <si>
    <t>20LF0144</t>
  </si>
  <si>
    <t>2020-0032</t>
  </si>
  <si>
    <t>PR062000639</t>
  </si>
  <si>
    <t>REI-001-2020</t>
  </si>
  <si>
    <t>IB No. 2020-038</t>
  </si>
  <si>
    <t>100-20-06-78</t>
  </si>
  <si>
    <t>PR#20-084</t>
  </si>
  <si>
    <t>PB-2020- 003</t>
  </si>
  <si>
    <t>20FN0104</t>
  </si>
  <si>
    <t>ITB (CW-06-2020-021) 20DD0359</t>
  </si>
  <si>
    <t>PR062000640</t>
  </si>
  <si>
    <t>BID NO. 0620-146</t>
  </si>
  <si>
    <t>PR#20-085</t>
  </si>
  <si>
    <t>GOODS-2020-06-08</t>
  </si>
  <si>
    <t>2020-0029</t>
  </si>
  <si>
    <t>PR#20-088</t>
  </si>
  <si>
    <t>ITB (CW-06-2020-021) 20DD0364</t>
  </si>
  <si>
    <t>ITB (CW-06-2020-021) 20DD0363</t>
  </si>
  <si>
    <t>2020-0031</t>
  </si>
  <si>
    <t>20063670</t>
  </si>
  <si>
    <t>TAG-SDS-059-2020</t>
  </si>
  <si>
    <t>0954-20</t>
  </si>
  <si>
    <t>ITB (CW-06-2020-021) 20DD0362</t>
  </si>
  <si>
    <t>PR#20-087</t>
  </si>
  <si>
    <t>2020-ANT-GOODS-0117</t>
  </si>
  <si>
    <t>TAG-SDS-058-2020</t>
  </si>
  <si>
    <t>doc 1</t>
  </si>
  <si>
    <t>SB-2020-013</t>
  </si>
  <si>
    <t>GOODS 2020-04</t>
  </si>
  <si>
    <t>ITB (CW-06-2020-021) 20DD0360</t>
  </si>
  <si>
    <t>TAG-SDS-061-2020</t>
  </si>
  <si>
    <t>ITB (CW-06-2020-021) 20DD0361</t>
  </si>
  <si>
    <t>ITB 2020-19</t>
  </si>
  <si>
    <t>2003-55</t>
  </si>
  <si>
    <t>ITB (CW-06-2020-021) 20DD0365</t>
  </si>
  <si>
    <t>REF #043-06-2020</t>
  </si>
  <si>
    <t>20021479</t>
  </si>
  <si>
    <t>20063683</t>
  </si>
  <si>
    <t>NO 2020-011</t>
  </si>
  <si>
    <t>BPB 2020-017</t>
  </si>
  <si>
    <t>20AH0215</t>
  </si>
  <si>
    <t>20BH0143</t>
  </si>
  <si>
    <t>2020-06-26</t>
  </si>
  <si>
    <t>ITB (CW-06-2020-021) 20DD0367</t>
  </si>
  <si>
    <t>GEN-8918-11-2020</t>
  </si>
  <si>
    <t>2020-06-243</t>
  </si>
  <si>
    <t>PR#20-086</t>
  </si>
  <si>
    <t>ITB (CW-06-2020-021) 20DD0366</t>
  </si>
  <si>
    <t>20FO0103</t>
  </si>
  <si>
    <t>2020-06-257</t>
  </si>
  <si>
    <t>BID NO. 0620-144</t>
  </si>
  <si>
    <t>ITB (CW-06-2020-021) 20DD0368</t>
  </si>
  <si>
    <t>20AH0214</t>
  </si>
  <si>
    <t>ITB (CW-06-2020-021) 20DD0369</t>
  </si>
  <si>
    <t>0955-20</t>
  </si>
  <si>
    <t>SanJoseBatsAeb2020-097</t>
  </si>
  <si>
    <t>20BH0144</t>
  </si>
  <si>
    <t>55</t>
  </si>
  <si>
    <t>20NI0077</t>
  </si>
  <si>
    <t>ITB (CW-06-2020-021) 20DD0373</t>
  </si>
  <si>
    <t>ITB 2020-06-035(GOODS)</t>
  </si>
  <si>
    <t>REI-06-24-2020</t>
  </si>
  <si>
    <t>20CG0158</t>
  </si>
  <si>
    <t>56</t>
  </si>
  <si>
    <t>2020-4</t>
  </si>
  <si>
    <t>20063773</t>
  </si>
  <si>
    <t>20BH0145</t>
  </si>
  <si>
    <t>tgs 12-20</t>
  </si>
  <si>
    <t>NO 2020-012</t>
  </si>
  <si>
    <t>20CG0161</t>
  </si>
  <si>
    <t>SB-2020-022</t>
  </si>
  <si>
    <t>BCS-2020-0138</t>
  </si>
  <si>
    <t>ITB (CW-06-2020-021) 20DD0376</t>
  </si>
  <si>
    <t>Lgn1-20-DH-0086</t>
  </si>
  <si>
    <t>20CG0162</t>
  </si>
  <si>
    <t>57</t>
  </si>
  <si>
    <t>2020-6</t>
  </si>
  <si>
    <t>ITB (CW-06-2020-021) 20DD0372</t>
  </si>
  <si>
    <t>Quotation No.20-06-356</t>
  </si>
  <si>
    <t>ITB No. 042-2020 GQ</t>
  </si>
  <si>
    <t>20CG0160</t>
  </si>
  <si>
    <t>20GFC0021</t>
  </si>
  <si>
    <t>Lgn1-20-DH-0087</t>
  </si>
  <si>
    <t>SN20-06-653</t>
  </si>
  <si>
    <t>Goods-2020-PB-O2</t>
  </si>
  <si>
    <t>20NI0080</t>
  </si>
  <si>
    <t>122</t>
  </si>
  <si>
    <t>2020-02-0281</t>
  </si>
  <si>
    <t>20NI0078</t>
  </si>
  <si>
    <t>GOODS-04-2020</t>
  </si>
  <si>
    <t>ITB 2020-20</t>
  </si>
  <si>
    <t>20LF0145</t>
  </si>
  <si>
    <t>ITB (CW-06-2020-021) 20DD0375</t>
  </si>
  <si>
    <t>2020-06-0130</t>
  </si>
  <si>
    <t>2020-329</t>
  </si>
  <si>
    <t>Quotation No.20-06-359</t>
  </si>
  <si>
    <t>ITB 07-03-2020</t>
  </si>
  <si>
    <t>ABS-01-06-20-GOODS</t>
  </si>
  <si>
    <t>Bid No. 20-0319</t>
  </si>
  <si>
    <t>20GFC0023</t>
  </si>
  <si>
    <t>ITB 07-05-2020</t>
  </si>
  <si>
    <t>ITB 07-04-2020</t>
  </si>
  <si>
    <t>ABC20-06-002</t>
  </si>
  <si>
    <t>OC-67(DEPED-02) 20 GD</t>
  </si>
  <si>
    <t>Quotation No.20-06-358</t>
  </si>
  <si>
    <t>PB-07162020-C</t>
  </si>
  <si>
    <t>PB-07162020-B</t>
  </si>
  <si>
    <t>BLGU Kaligutan 2020-006-002</t>
  </si>
  <si>
    <t>ITB NO. OCD 2020-11</t>
  </si>
  <si>
    <t>20GFC0025</t>
  </si>
  <si>
    <t>20-06-013-X</t>
  </si>
  <si>
    <t>20-06-0131</t>
  </si>
  <si>
    <t>20GFC0024</t>
  </si>
  <si>
    <t>20PF0067</t>
  </si>
  <si>
    <t>ITB 07-07-2020</t>
  </si>
  <si>
    <t>PB-07162020-A</t>
  </si>
  <si>
    <t>ITB 07-08-2020</t>
  </si>
  <si>
    <t>ITB NO. OCD 2020-07 (REPOSTING)</t>
  </si>
  <si>
    <t>ABC20-06-003</t>
  </si>
  <si>
    <t>INFRA-03-2020</t>
  </si>
  <si>
    <t>BLGU Kaligutan 2020-006-001</t>
  </si>
  <si>
    <t>20-06-023</t>
  </si>
  <si>
    <t>ITB 07-01-2020</t>
  </si>
  <si>
    <t>20-06-214</t>
  </si>
  <si>
    <t>SB-2020-024</t>
  </si>
  <si>
    <t>Quotation No.20-06-357</t>
  </si>
  <si>
    <t>Lgn1-20-DH-0089</t>
  </si>
  <si>
    <t>2021-01M03</t>
  </si>
  <si>
    <t>2020-5</t>
  </si>
  <si>
    <t>ITB 07-06-2020</t>
  </si>
  <si>
    <t>Lgn1-20-DH-0088</t>
  </si>
  <si>
    <t>20GFC0022</t>
  </si>
  <si>
    <t>ITB 07-02-2020</t>
  </si>
  <si>
    <t>20CG0163</t>
  </si>
  <si>
    <t>20CG0169</t>
  </si>
  <si>
    <t>20CG0167</t>
  </si>
  <si>
    <t>ITB (CW-06-2020-021) 20DD0374</t>
  </si>
  <si>
    <t>20CG0166</t>
  </si>
  <si>
    <t>ITB PR 0473</t>
  </si>
  <si>
    <t>20NI0079</t>
  </si>
  <si>
    <t>RBG20-12-01</t>
  </si>
  <si>
    <t>CID No. 20IO0091</t>
  </si>
  <si>
    <t>20CG0165</t>
  </si>
  <si>
    <t>PG-20-57</t>
  </si>
  <si>
    <t>PG-20-56</t>
  </si>
  <si>
    <t>PB-07162020-D</t>
  </si>
  <si>
    <t>BFPRHQSR4A-082</t>
  </si>
  <si>
    <t>20CG0159</t>
  </si>
  <si>
    <t>SB-2020-023</t>
  </si>
  <si>
    <t>20063653</t>
  </si>
  <si>
    <t>Lgn1-SVP2020-07-0012</t>
  </si>
  <si>
    <t>ITB (CW-06-2020-021) 20DD0371</t>
  </si>
  <si>
    <t>INFRA2020-AG6-008 A6 Construction of Concrete Barr</t>
  </si>
  <si>
    <t>20HJ0119</t>
  </si>
  <si>
    <t>ITB (CW-06-2020-021) 20DD0370</t>
  </si>
  <si>
    <t>PRN-615-2019</t>
  </si>
  <si>
    <t>20CG0168</t>
  </si>
  <si>
    <t>20GFB04</t>
  </si>
  <si>
    <t>PW-20-17</t>
  </si>
  <si>
    <t>RDD CW-2019 LGSF-01</t>
  </si>
  <si>
    <t>20CG0170</t>
  </si>
  <si>
    <t>AGGDS2020-0625</t>
  </si>
  <si>
    <t>G-2020-18</t>
  </si>
  <si>
    <t>20LF0147</t>
  </si>
  <si>
    <t>G-2020-17</t>
  </si>
  <si>
    <t>20032279</t>
  </si>
  <si>
    <t>BAC-HO-GS No. 2020-0240 dated 27 May 2020 (FMED)</t>
  </si>
  <si>
    <t>20CG0174</t>
  </si>
  <si>
    <t>20CG0164</t>
  </si>
  <si>
    <t>20CG0173</t>
  </si>
  <si>
    <t>20CG0177</t>
  </si>
  <si>
    <t>20CG0171</t>
  </si>
  <si>
    <t>BRGY 006-2020</t>
  </si>
  <si>
    <t>ITB-2020-15</t>
  </si>
  <si>
    <t>20CG0176</t>
  </si>
  <si>
    <t>123</t>
  </si>
  <si>
    <t>20LF0146</t>
  </si>
  <si>
    <t>06-2020-961</t>
  </si>
  <si>
    <t>20CG0175</t>
  </si>
  <si>
    <t>132 - 2020</t>
  </si>
  <si>
    <t>BG2019-151</t>
  </si>
  <si>
    <t>30</t>
  </si>
  <si>
    <t>32</t>
  </si>
  <si>
    <t>RFQ-2020-13</t>
  </si>
  <si>
    <t>2020-0069</t>
  </si>
  <si>
    <t>2020-0068</t>
  </si>
  <si>
    <t>BG2020-110</t>
  </si>
  <si>
    <t>29</t>
  </si>
  <si>
    <t>Public Bidding No. 2020-017</t>
  </si>
  <si>
    <t>31</t>
  </si>
  <si>
    <t>GOODS 2020-06-004</t>
  </si>
  <si>
    <t>SES 2020_017</t>
  </si>
  <si>
    <t>SES 2020_016</t>
  </si>
  <si>
    <t>2020-06-031</t>
  </si>
  <si>
    <t>SES 2020_015</t>
  </si>
  <si>
    <t>Public Bidding No. 2019-01</t>
  </si>
  <si>
    <t>131 - 2020</t>
  </si>
  <si>
    <t>20CSM00101</t>
  </si>
  <si>
    <t>20-01-001</t>
  </si>
  <si>
    <t>Public Bidding No. 2020-016</t>
  </si>
  <si>
    <t>20CG0172</t>
  </si>
  <si>
    <t>ITB# 110-2020 Other Supplies and Materials Expense</t>
  </si>
  <si>
    <t>ITB# 108-2020 Other Supplies and Materials Expense</t>
  </si>
  <si>
    <t>ITB# 107-2020 Other Supplies and Materials Expense</t>
  </si>
  <si>
    <t>ITB# 106-2020 Other Supplies and Materials Expense</t>
  </si>
  <si>
    <t>ITB# 103-2020 Medical, Dental &amp; Laboratory Supplie</t>
  </si>
  <si>
    <t>ITB# 109-2020 Other Supplies and Materials Expense</t>
  </si>
  <si>
    <t>SES 2020_014</t>
  </si>
  <si>
    <t>ITB# 104-2020 Medical, Dental &amp; Laboratory Supplie</t>
  </si>
  <si>
    <t>ITB# 111-2020 Other Supplies and Materials Expense</t>
  </si>
  <si>
    <t>SES 2020_013</t>
  </si>
  <si>
    <t>34</t>
  </si>
  <si>
    <t>IB NO. 2020– 058/ JJL</t>
  </si>
  <si>
    <t>ITB# 105-2020 Medical, Dental &amp; Laboratory Supplie</t>
  </si>
  <si>
    <t>cgb2020-213</t>
  </si>
  <si>
    <t>ln2_2020</t>
  </si>
  <si>
    <t>cgb2020-211</t>
  </si>
  <si>
    <t>cgb2020-210</t>
  </si>
  <si>
    <t>katipunan062420</t>
  </si>
  <si>
    <t>SDH-20-0734-B</t>
  </si>
  <si>
    <t>SDH-20-0735-B</t>
  </si>
  <si>
    <t>antique_rebid2020</t>
  </si>
  <si>
    <t>BTG3-20GDC0004 (Readvertised)</t>
  </si>
  <si>
    <t>Adv. 20-043</t>
  </si>
  <si>
    <t>GOODS 2020-020</t>
  </si>
  <si>
    <t>Adv. 20-050</t>
  </si>
  <si>
    <t>Adv. 20-049</t>
  </si>
  <si>
    <t>Adv. 20-048</t>
  </si>
  <si>
    <t>Adv. 20-044</t>
  </si>
  <si>
    <t>Adv. 20-047</t>
  </si>
  <si>
    <t>Adv. 20-046</t>
  </si>
  <si>
    <t>animalscsu_rebid</t>
  </si>
  <si>
    <t>cgb2020-212</t>
  </si>
  <si>
    <t>ITB No. 2020-14</t>
  </si>
  <si>
    <t>usfanimals3_2020</t>
  </si>
  <si>
    <t>cgb2020-220</t>
  </si>
  <si>
    <t>cgb2020-218</t>
  </si>
  <si>
    <t>33</t>
  </si>
  <si>
    <t>cgb2020-217</t>
  </si>
  <si>
    <t>labequip_pigproject</t>
  </si>
  <si>
    <t>cgb2020-222</t>
  </si>
  <si>
    <t>cgb2020-216</t>
  </si>
  <si>
    <t>cgb2020-214</t>
  </si>
  <si>
    <t>ITB No. 20-06-15</t>
  </si>
  <si>
    <t>SJADS INFRA 20-03</t>
  </si>
  <si>
    <t>SJADS GOODS 20-09</t>
  </si>
  <si>
    <t>SJADS GOODS 20-08</t>
  </si>
  <si>
    <t>PB NO. 2020-042</t>
  </si>
  <si>
    <t>juneinfra04</t>
  </si>
  <si>
    <t>cgb2020-219</t>
  </si>
  <si>
    <t>DANG-20-019</t>
  </si>
  <si>
    <t>ITB No. 20-06-14</t>
  </si>
  <si>
    <t>2020-05-2432</t>
  </si>
  <si>
    <t>Adv. 20-045</t>
  </si>
  <si>
    <t>074-20</t>
  </si>
  <si>
    <t>20CSDK04</t>
  </si>
  <si>
    <t>20DL0220</t>
  </si>
  <si>
    <t>cgb2020-221</t>
  </si>
  <si>
    <t>IB NO. 2020 – 059/ JJL</t>
  </si>
  <si>
    <t>cgb2020-228</t>
  </si>
  <si>
    <t>cgb2020-227</t>
  </si>
  <si>
    <t>20CSDK05</t>
  </si>
  <si>
    <t>1011-101-2020-05-197</t>
  </si>
  <si>
    <t>cgb2020-226</t>
  </si>
  <si>
    <t>Re-Adv. No. 20-040</t>
  </si>
  <si>
    <t>cgb2020-215</t>
  </si>
  <si>
    <t>20CSDN01</t>
  </si>
  <si>
    <t>cgb2020-225</t>
  </si>
  <si>
    <t>DA7-07-FOD-R-20-2127 (R1)</t>
  </si>
  <si>
    <t>Sumalili DILP 001</t>
  </si>
  <si>
    <t>20-06-467</t>
  </si>
  <si>
    <t>Adv. 20-055</t>
  </si>
  <si>
    <t>DA7-07-FOD-R-20-2128 (R1)</t>
  </si>
  <si>
    <t>Re-Adv. No. 20-041</t>
  </si>
  <si>
    <t>Adv. 20-053</t>
  </si>
  <si>
    <t>Re-Adv. No. 20-039</t>
  </si>
  <si>
    <t>Adv. 20-051</t>
  </si>
  <si>
    <t>20DL0222</t>
  </si>
  <si>
    <t>20HH0142</t>
  </si>
  <si>
    <t>ITB No. 080-Goods-2020</t>
  </si>
  <si>
    <t>20-05-0266</t>
  </si>
  <si>
    <t>20-03-0175</t>
  </si>
  <si>
    <t>Adv. 20-052</t>
  </si>
  <si>
    <t>20DL0221</t>
  </si>
  <si>
    <t>2020-323</t>
  </si>
  <si>
    <t>cgb2020-224</t>
  </si>
  <si>
    <t>20-05-0265</t>
  </si>
  <si>
    <t>Adv. 20-054</t>
  </si>
  <si>
    <t>20FD0069</t>
  </si>
  <si>
    <t>GTO-2020-57</t>
  </si>
  <si>
    <t>20PC0001G</t>
  </si>
  <si>
    <t>ITB No. 2020-13</t>
  </si>
  <si>
    <t>GA-BAC-2020DP-11-R</t>
  </si>
  <si>
    <t>2020-062-15-2</t>
  </si>
  <si>
    <t>000262</t>
  </si>
  <si>
    <t>114-2020</t>
  </si>
  <si>
    <t>20FD0067</t>
  </si>
  <si>
    <t>20GOH0004</t>
  </si>
  <si>
    <t>NS-06-24-20-01</t>
  </si>
  <si>
    <t>2020-06-04B</t>
  </si>
  <si>
    <t>DAR-PANG-010-2020</t>
  </si>
  <si>
    <t>20FF0101</t>
  </si>
  <si>
    <t>2020-062-15-1</t>
  </si>
  <si>
    <t>00041-20-0116-0108</t>
  </si>
  <si>
    <t>SIC-96-2020-PRDP-RPCO 1</t>
  </si>
  <si>
    <t>20FD0066</t>
  </si>
  <si>
    <t>047</t>
  </si>
  <si>
    <t>cgb2020-229</t>
  </si>
  <si>
    <t>046</t>
  </si>
  <si>
    <t>PB2020-04</t>
  </si>
  <si>
    <t>20HH0143</t>
  </si>
  <si>
    <t>2020088</t>
  </si>
  <si>
    <t>SIC-97-2020-PRDP-RPCO 1</t>
  </si>
  <si>
    <t>20HH0141</t>
  </si>
  <si>
    <t>20FF0100</t>
  </si>
  <si>
    <t>20HH0144</t>
  </si>
  <si>
    <t>20CSDK02</t>
  </si>
  <si>
    <t>20CSDK01</t>
  </si>
  <si>
    <t>SIC-98-2020-PRDP-RPCO 1</t>
  </si>
  <si>
    <t>20-OG-0099</t>
  </si>
  <si>
    <t>20-OG-0098</t>
  </si>
  <si>
    <t>20DL0223</t>
  </si>
  <si>
    <t>20CSDK03</t>
  </si>
  <si>
    <t>20-OG-0096</t>
  </si>
  <si>
    <t>2020-PBG-52</t>
  </si>
  <si>
    <t>20DB0137</t>
  </si>
  <si>
    <t>PR-20-01-039</t>
  </si>
  <si>
    <t>2020-06-019</t>
  </si>
  <si>
    <t>PR-20-01-010</t>
  </si>
  <si>
    <t>SJADS GOODS 20-11</t>
  </si>
  <si>
    <t>20DB0138</t>
  </si>
  <si>
    <t>202005001</t>
  </si>
  <si>
    <t>06262003</t>
  </si>
  <si>
    <t>WOR 20-001</t>
  </si>
  <si>
    <t>20DB0136</t>
  </si>
  <si>
    <t>Taladong-Infra-06262020</t>
  </si>
  <si>
    <t>20FD0068</t>
  </si>
  <si>
    <t>POD20-093</t>
  </si>
  <si>
    <t>2020-RKMS1</t>
  </si>
  <si>
    <t>PR-20-01-006</t>
  </si>
  <si>
    <t>Taladong-Infra-06262020a</t>
  </si>
  <si>
    <t>PR No. : 2020-02-040</t>
  </si>
  <si>
    <t>POW - 8751 - 2020 - PCO - 06</t>
  </si>
  <si>
    <t>2020-062-15-5</t>
  </si>
  <si>
    <t>S2-PMG20-022</t>
  </si>
  <si>
    <t>ESP-GOODS-014-2020</t>
  </si>
  <si>
    <t>2020-062-15-10</t>
  </si>
  <si>
    <t>NS-06-24-20-03</t>
  </si>
  <si>
    <t>lgu-es-20-06-133</t>
  </si>
  <si>
    <t>BIDDING20-25</t>
  </si>
  <si>
    <t>2020-06-0255</t>
  </si>
  <si>
    <t>2020-062-15-8</t>
  </si>
  <si>
    <t>2020-062-15-7</t>
  </si>
  <si>
    <t>20GA0226</t>
  </si>
  <si>
    <t>S2-cal20-016</t>
  </si>
  <si>
    <t>000187</t>
  </si>
  <si>
    <t>2020-062-15-4</t>
  </si>
  <si>
    <t>2020-062-15-3</t>
  </si>
  <si>
    <t>20DL0224</t>
  </si>
  <si>
    <t>0020-0140-0832A2020</t>
  </si>
  <si>
    <t>20DQ0123</t>
  </si>
  <si>
    <t>2020-062-15-11</t>
  </si>
  <si>
    <t>2020-062-15-6</t>
  </si>
  <si>
    <t>NS-06-24-20-02</t>
  </si>
  <si>
    <t>2020-062-15-9</t>
  </si>
  <si>
    <t>SJADS INFRA 20-05</t>
  </si>
  <si>
    <t>2020-6-26-2</t>
  </si>
  <si>
    <t>00130-2020</t>
  </si>
  <si>
    <t>INFR-024-2020</t>
  </si>
  <si>
    <t>2020-06-016B</t>
  </si>
  <si>
    <t>20DQ0125</t>
  </si>
  <si>
    <t>PR No. 2006-135</t>
  </si>
  <si>
    <t>INFRA20200002</t>
  </si>
  <si>
    <t>2020-062-15-12</t>
  </si>
  <si>
    <t>PBgoods018-2020</t>
  </si>
  <si>
    <t>PB 06-06-2020</t>
  </si>
  <si>
    <t>DOH4A-ITB-2020-GS-009A</t>
  </si>
  <si>
    <t>2020 AIP (General Fund) G-08-06162020</t>
  </si>
  <si>
    <t>GOODS-030-2020</t>
  </si>
  <si>
    <t>00129-2020</t>
  </si>
  <si>
    <t>ITB No. GOODS-20-115</t>
  </si>
  <si>
    <t>0034/June/20</t>
  </si>
  <si>
    <t>LF 2020-028</t>
  </si>
  <si>
    <t>2020 AIP (General Fund) G-07-06162020</t>
  </si>
  <si>
    <t>PB039-20</t>
  </si>
  <si>
    <t>'023</t>
  </si>
  <si>
    <t>PRN 2020-06-009</t>
  </si>
  <si>
    <t>20-06-00394</t>
  </si>
  <si>
    <t>NS-06-24-20-04</t>
  </si>
  <si>
    <t>'024</t>
  </si>
  <si>
    <t>ITB2020 -07-01</t>
  </si>
  <si>
    <t>LF 2020-027</t>
  </si>
  <si>
    <t>062320</t>
  </si>
  <si>
    <t>LGU-115-2020</t>
  </si>
  <si>
    <t>PRDP-IR-R013-SDN-002-000-000-2016-R2</t>
  </si>
  <si>
    <t>61</t>
  </si>
  <si>
    <t>20-06-00391</t>
  </si>
  <si>
    <t>2020-05-10</t>
  </si>
  <si>
    <t>ITB2020-07-01 BALITE</t>
  </si>
  <si>
    <t>20CN0067</t>
  </si>
  <si>
    <t>20OD0194</t>
  </si>
  <si>
    <t>CA100-2020-06-005</t>
  </si>
  <si>
    <t>DENR-NCR, PR No. 2020-148 dtd 03/09/2020</t>
  </si>
  <si>
    <t>2020-06-015B</t>
  </si>
  <si>
    <t>20CN0066</t>
  </si>
  <si>
    <t>GOODS 2020-016</t>
  </si>
  <si>
    <t>20CN0068</t>
  </si>
  <si>
    <t>GTO-2020-56</t>
  </si>
  <si>
    <t>GDS-44</t>
  </si>
  <si>
    <t>MED-SUP-2020-002</t>
  </si>
  <si>
    <t>RE-ITB-2020-002</t>
  </si>
  <si>
    <t>Competitive Bidding 2020-21</t>
  </si>
  <si>
    <t>ITB2020-04-02 BALITE</t>
  </si>
  <si>
    <t>GTO-2020-55</t>
  </si>
  <si>
    <t>GTO-2020-54</t>
  </si>
  <si>
    <t>2020-ODY-06-188</t>
  </si>
  <si>
    <t>20OD0197</t>
  </si>
  <si>
    <t>NS-06-24-20-05-R3</t>
  </si>
  <si>
    <t>Nasugbu ITB 20-08</t>
  </si>
  <si>
    <t>20CN0070</t>
  </si>
  <si>
    <t>2020-02-0376</t>
  </si>
  <si>
    <t>HILONGOS 2020-187</t>
  </si>
  <si>
    <t>FUEL-SUP-2020-002</t>
  </si>
  <si>
    <t>PR#2020-06-001-E</t>
  </si>
  <si>
    <t>20CN0126</t>
  </si>
  <si>
    <t>20CN0069</t>
  </si>
  <si>
    <t>20CN0124</t>
  </si>
  <si>
    <t>20CN0075</t>
  </si>
  <si>
    <t>GTO-2020-53</t>
  </si>
  <si>
    <t>20CN0074</t>
  </si>
  <si>
    <t>20CN0125</t>
  </si>
  <si>
    <t>20OD0196</t>
  </si>
  <si>
    <t>06-23-07</t>
  </si>
  <si>
    <t>06-23-06</t>
  </si>
  <si>
    <t>20OD0198</t>
  </si>
  <si>
    <t>20CN0073</t>
  </si>
  <si>
    <t>2020-062-15-14</t>
  </si>
  <si>
    <t>BAC 06/23/20-02</t>
  </si>
  <si>
    <t>06-2020-23</t>
  </si>
  <si>
    <t>2020-0020</t>
  </si>
  <si>
    <t>2020-06-349</t>
  </si>
  <si>
    <t>ITB (CW-06-2020-020) 20DD0350</t>
  </si>
  <si>
    <t>026</t>
  </si>
  <si>
    <t>ITB (CW-06-2020-020) 20DD0349</t>
  </si>
  <si>
    <t>Pembo 20-06-067</t>
  </si>
  <si>
    <t>D-025-0277-20</t>
  </si>
  <si>
    <t>BAC 06/23/20-01</t>
  </si>
  <si>
    <t>Pembo 20-06-068</t>
  </si>
  <si>
    <t>20CN0123</t>
  </si>
  <si>
    <t>20-06-17A</t>
  </si>
  <si>
    <t>BOLO LABRADOR -06-01</t>
  </si>
  <si>
    <t>GF-I-40-2020</t>
  </si>
  <si>
    <t>20FB0156</t>
  </si>
  <si>
    <t>GS-PNBAC2-2020-31</t>
  </si>
  <si>
    <t>20-06-16A</t>
  </si>
  <si>
    <t>2020-062-15-13</t>
  </si>
  <si>
    <t>20CN0071</t>
  </si>
  <si>
    <t>ITB (CW-06-2020-020) 20DD0304 (Re-Advertised)</t>
  </si>
  <si>
    <t>2020-06-0162</t>
  </si>
  <si>
    <t>20OD0199</t>
  </si>
  <si>
    <t>PR. NO. 2020060698</t>
  </si>
  <si>
    <t>PR. NO. 2020060699</t>
  </si>
  <si>
    <t>PBI-2020-13</t>
  </si>
  <si>
    <t>ITB (CW-06-2020-020) 20DD0353</t>
  </si>
  <si>
    <t>BAC3-NIH-IHG-PR10402</t>
  </si>
  <si>
    <t>2020-0021</t>
  </si>
  <si>
    <t>2020-05-13</t>
  </si>
  <si>
    <t>ITB (CW-06-2020-020) 20DD0356</t>
  </si>
  <si>
    <t>2020-0023</t>
  </si>
  <si>
    <t>0001-2020</t>
  </si>
  <si>
    <t>06-23-05</t>
  </si>
  <si>
    <t>025-FTC 2020</t>
  </si>
  <si>
    <t>026-FTC 2020</t>
  </si>
  <si>
    <t>2020-0022</t>
  </si>
  <si>
    <t>2020-05-17</t>
  </si>
  <si>
    <t>ITB (CW-06-2020-020) 20DD0352</t>
  </si>
  <si>
    <t>ITB NO. SV20-06-002ANG SUPPLY AND AND DELIVERY OF</t>
  </si>
  <si>
    <t>20CN0072</t>
  </si>
  <si>
    <t>2020-062-15-15</t>
  </si>
  <si>
    <t>19GC00091</t>
  </si>
  <si>
    <t>6-23-20</t>
  </si>
  <si>
    <t>20GCI0002</t>
  </si>
  <si>
    <t>2020-062-15-18</t>
  </si>
  <si>
    <t>2020-062-15-16</t>
  </si>
  <si>
    <t>Goods-ETG-20-06-013</t>
  </si>
  <si>
    <t>Aklan BAC ITB 364 Series of 2020</t>
  </si>
  <si>
    <t>ITB (CW-06-2020-020) 20DD0351</t>
  </si>
  <si>
    <t>IB-20-005-GOODS-TEC</t>
  </si>
  <si>
    <t>2020-062-15-20</t>
  </si>
  <si>
    <t>2020-062-15-19</t>
  </si>
  <si>
    <t>20GCI0003</t>
  </si>
  <si>
    <t>G-2020-05</t>
  </si>
  <si>
    <t>G-2020-04</t>
  </si>
  <si>
    <t>20-01.048</t>
  </si>
  <si>
    <t>ITB (CW-06-2020-020) 20DD0358</t>
  </si>
  <si>
    <t>ITB (CW-06-2020-020) 20DD0357</t>
  </si>
  <si>
    <t>2020-062-15-17</t>
  </si>
  <si>
    <t>2020-05-14</t>
  </si>
  <si>
    <t>2020-06-352</t>
  </si>
  <si>
    <t>ITB (CW-06-2020-020) 20DD0355</t>
  </si>
  <si>
    <t>2020-05-16</t>
  </si>
  <si>
    <t>ITB (CW-06-2020-020) 20DD0354</t>
  </si>
  <si>
    <t>20M00080</t>
  </si>
  <si>
    <t>20AG0125</t>
  </si>
  <si>
    <t>20KK0128</t>
  </si>
  <si>
    <t>20KK0129</t>
  </si>
  <si>
    <t>20GKD0003</t>
  </si>
  <si>
    <t>Q-098-20</t>
  </si>
  <si>
    <t>BAC3-NIH-IHG-PR10897</t>
  </si>
  <si>
    <t>027-FTC 2020</t>
  </si>
  <si>
    <t>20-03-010</t>
  </si>
  <si>
    <t>LGU-LEZO-2020-010</t>
  </si>
  <si>
    <t>MH-GOODS-TLDC-SC-AGRI-SUPPLY-685</t>
  </si>
  <si>
    <t>PR No. 20-1036</t>
  </si>
  <si>
    <t>20KK0130</t>
  </si>
  <si>
    <t>GOODS 2020-04(PB)</t>
  </si>
  <si>
    <t>2020-062-15-22</t>
  </si>
  <si>
    <t>PG-20-64</t>
  </si>
  <si>
    <t>Procurement of Reference Books and Instructional M</t>
  </si>
  <si>
    <t>DV-2020-I10</t>
  </si>
  <si>
    <t>2020-06-264</t>
  </si>
  <si>
    <t>Bid No. 20-0263</t>
  </si>
  <si>
    <t>19-20</t>
  </si>
  <si>
    <t>JCH-20-0224-B</t>
  </si>
  <si>
    <t>20-06-0946</t>
  </si>
  <si>
    <t>PG-20-55</t>
  </si>
  <si>
    <t>IB-20-006-GOODS-TEC</t>
  </si>
  <si>
    <t>2020-062-15-25</t>
  </si>
  <si>
    <t>2020-062-15-23</t>
  </si>
  <si>
    <t>2020-062-15-24</t>
  </si>
  <si>
    <t>SJ-20-164</t>
  </si>
  <si>
    <t>20-06-0642X</t>
  </si>
  <si>
    <t>2020-062-15-26</t>
  </si>
  <si>
    <t>PG-20-61</t>
  </si>
  <si>
    <t>20AG0126</t>
  </si>
  <si>
    <t>PG-20-50</t>
  </si>
  <si>
    <t>IB-20-007-GOODS-PIO</t>
  </si>
  <si>
    <t>IB-20-008-GOODS-TEC</t>
  </si>
  <si>
    <t>20G00102</t>
  </si>
  <si>
    <t>DOH4A-ITB-2020-GS-009B</t>
  </si>
  <si>
    <t>06.24.2020</t>
  </si>
  <si>
    <t>PG-20-62</t>
  </si>
  <si>
    <t>029-FTC 2020</t>
  </si>
  <si>
    <t>20G00103</t>
  </si>
  <si>
    <t>PG-20-60</t>
  </si>
  <si>
    <t>101-20-06-087</t>
  </si>
  <si>
    <t>ITB2020-07-02</t>
  </si>
  <si>
    <t>JCH-20-0306-B</t>
  </si>
  <si>
    <t>20-06-0082</t>
  </si>
  <si>
    <t>2020-062-15-21</t>
  </si>
  <si>
    <t>028-FTC 2020</t>
  </si>
  <si>
    <t>umcbac20-15</t>
  </si>
  <si>
    <t>PG-20-67</t>
  </si>
  <si>
    <t>2020-062-15-27</t>
  </si>
  <si>
    <t>PR-2020-05-651</t>
  </si>
  <si>
    <t>20BD0126</t>
  </si>
  <si>
    <t>CW-109</t>
  </si>
  <si>
    <t>DOH4A-ITB-2020-GS-009C HFEP EQUIPMENT PACKAGE 3</t>
  </si>
  <si>
    <t>GOODS 2020-05(PB)</t>
  </si>
  <si>
    <t>BAC-20-06-056 (AMS)</t>
  </si>
  <si>
    <t>DOH4A-ITB-2020-GS-009D HFEP EQUIPMENT PACKAGE 4</t>
  </si>
  <si>
    <t>20BD0128</t>
  </si>
  <si>
    <t>20-0052</t>
  </si>
  <si>
    <t>Procurementof Reference Books and Instructional Ma</t>
  </si>
  <si>
    <t>20BD0127</t>
  </si>
  <si>
    <t>DOH4A-ITB-2020-GS-009F HFEP EQUIPMENT LINE ITEM 2</t>
  </si>
  <si>
    <t>2020-LAN-002</t>
  </si>
  <si>
    <t>PG-20-68</t>
  </si>
  <si>
    <t>06.24.2020-A</t>
  </si>
  <si>
    <t>PR-2020-1393</t>
  </si>
  <si>
    <t>DOH4A-ITB-2020-GS-009E HFEP EQUIPMENT LINE ITEM 1</t>
  </si>
  <si>
    <t>IB-20-009-GOODS-TEC</t>
  </si>
  <si>
    <t>2020-062-15-28</t>
  </si>
  <si>
    <t>20-0053</t>
  </si>
  <si>
    <t>2020-0015</t>
  </si>
  <si>
    <t>2020-06-166</t>
  </si>
  <si>
    <t>20AG0127</t>
  </si>
  <si>
    <t>030-FTC 2020</t>
  </si>
  <si>
    <t>20BD0129</t>
  </si>
  <si>
    <t>2020-POBSK-001</t>
  </si>
  <si>
    <t>AIEB 2020-023</t>
  </si>
  <si>
    <t>20AG0128</t>
  </si>
  <si>
    <t>PR-2020-1130</t>
  </si>
  <si>
    <t>2020-062-15-30</t>
  </si>
  <si>
    <t>20BD0131</t>
  </si>
  <si>
    <t>PG-20-66</t>
  </si>
  <si>
    <t>2020-062-15-31</t>
  </si>
  <si>
    <t>2020-G-011</t>
  </si>
  <si>
    <t>20IE0097</t>
  </si>
  <si>
    <t>031-FTC 2020</t>
  </si>
  <si>
    <t>20AG0129</t>
  </si>
  <si>
    <t>2020-062-15-29</t>
  </si>
  <si>
    <t>2020-062-15-33</t>
  </si>
  <si>
    <t>20IE0098</t>
  </si>
  <si>
    <t>GOODS 2020-06(PB)</t>
  </si>
  <si>
    <t>2020-06-MEO-NW-GF-0022</t>
  </si>
  <si>
    <t>TF-20-06-097(Q)</t>
  </si>
  <si>
    <t>MJJLECINFRA001-2020-02</t>
  </si>
  <si>
    <t>2020-05-15</t>
  </si>
  <si>
    <t>2020-062-15-35</t>
  </si>
  <si>
    <t>20BD0132</t>
  </si>
  <si>
    <t>2020-062-15-34</t>
  </si>
  <si>
    <t>20200623-019</t>
  </si>
  <si>
    <t>2020-062-15-36</t>
  </si>
  <si>
    <t>20IE0100</t>
  </si>
  <si>
    <t>101-1011-2020-03-80</t>
  </si>
  <si>
    <t>06-014-406-20</t>
  </si>
  <si>
    <t>6911-10-1141-20</t>
  </si>
  <si>
    <t>INFRA-2020-06</t>
  </si>
  <si>
    <t>20IE0099</t>
  </si>
  <si>
    <t>20200623-020</t>
  </si>
  <si>
    <t>ADNPR2020-05-029,ADS-017,SDN-023,SDS-023,PDI-027</t>
  </si>
  <si>
    <t>RSPQ NO. 2020-06-031</t>
  </si>
  <si>
    <t>Bid No. 2020-018</t>
  </si>
  <si>
    <t>20200623_2</t>
  </si>
  <si>
    <t>2020-062-15-32</t>
  </si>
  <si>
    <t>RSPQ NO. 2020-06-033</t>
  </si>
  <si>
    <t>MG-A7O20-005</t>
  </si>
  <si>
    <t>20IE0102</t>
  </si>
  <si>
    <t>INFRA-2020-05</t>
  </si>
  <si>
    <t>20FE0127</t>
  </si>
  <si>
    <t>2020-PB-06</t>
  </si>
  <si>
    <t>GF-G-57-2020</t>
  </si>
  <si>
    <t>LSPUSinC-2020-003PB</t>
  </si>
  <si>
    <t>2020-PB-05</t>
  </si>
  <si>
    <t>LPZ - 2020 - 008</t>
  </si>
  <si>
    <t>JJWC-NNP-20-010</t>
  </si>
  <si>
    <t>20AJ0105</t>
  </si>
  <si>
    <t>2020-03-003</t>
  </si>
  <si>
    <t>062320-B1</t>
  </si>
  <si>
    <t>EMB13-2020-06-034</t>
  </si>
  <si>
    <t>GOODS 2020-07(PB)</t>
  </si>
  <si>
    <t>MKWD2020-053</t>
  </si>
  <si>
    <t>Bid No. 20-0268</t>
  </si>
  <si>
    <t>Lgn1-20-DH-0084</t>
  </si>
  <si>
    <t>ITB - 08 JUNE 2020</t>
  </si>
  <si>
    <t>MG-A7A20-017</t>
  </si>
  <si>
    <t>Bid No. 20-0266</t>
  </si>
  <si>
    <t>GOODS-2020-29</t>
  </si>
  <si>
    <t>Bid No. 2020-017</t>
  </si>
  <si>
    <t>lgu-es-20-06-135</t>
  </si>
  <si>
    <t>IPW 2020-03-02</t>
  </si>
  <si>
    <t>20KE0064</t>
  </si>
  <si>
    <t>Bid No. 20-0267</t>
  </si>
  <si>
    <t>Bid No. 20-0273</t>
  </si>
  <si>
    <t>GOODS 2020-09(PB)</t>
  </si>
  <si>
    <t>IPW 2020-03-01</t>
  </si>
  <si>
    <t>2020-308</t>
  </si>
  <si>
    <t>20IE0103</t>
  </si>
  <si>
    <t>GOODS-20-34</t>
  </si>
  <si>
    <t>Bid No. 20-0271</t>
  </si>
  <si>
    <t>PR 6.031 ITB TPB 2020-029 JANITORIAL SERVICES</t>
  </si>
  <si>
    <t>20200623-021</t>
  </si>
  <si>
    <t>B20-19-01</t>
  </si>
  <si>
    <t>ITB-2020-JDL-006</t>
  </si>
  <si>
    <t>AMP-20-06-027</t>
  </si>
  <si>
    <t>AMP-20-06-025</t>
  </si>
  <si>
    <t>INFRA-2020-007</t>
  </si>
  <si>
    <t>0700-2020-06-020</t>
  </si>
  <si>
    <t>AMP-20-06-024</t>
  </si>
  <si>
    <t>PRDP-IR-R04A-BTG-003-TAN-001-2017</t>
  </si>
  <si>
    <t>AMP-20-06-026</t>
  </si>
  <si>
    <t>AMP-20-06-020</t>
  </si>
  <si>
    <t>NFA-RXI-2020-06</t>
  </si>
  <si>
    <t>ITB No. GOP/20-DSWD-040</t>
  </si>
  <si>
    <t>20IE0104</t>
  </si>
  <si>
    <t>Bid No. 20-0274</t>
  </si>
  <si>
    <t>PR 2020-02-06</t>
  </si>
  <si>
    <t>AMP-20-06-019</t>
  </si>
  <si>
    <t>INFRA-20-07</t>
  </si>
  <si>
    <t>Bid No. 20-0270</t>
  </si>
  <si>
    <t>20FE0128</t>
  </si>
  <si>
    <t>PEZA-HO-2020-01</t>
  </si>
  <si>
    <t>Bid No. 20-0269</t>
  </si>
  <si>
    <t>20PC0060</t>
  </si>
  <si>
    <t>INFRA JULY 2020-003</t>
  </si>
  <si>
    <t>113</t>
  </si>
  <si>
    <t>INFRA JULY 2020-017</t>
  </si>
  <si>
    <t>100(01)20-06-360(A)</t>
  </si>
  <si>
    <t>INFRA JULY 2020-016</t>
  </si>
  <si>
    <t>BA 2020-06</t>
  </si>
  <si>
    <t>INFRA JULY 2020-014</t>
  </si>
  <si>
    <t>INFRA JULY 2020-013</t>
  </si>
  <si>
    <t>ITB- 062320-1</t>
  </si>
  <si>
    <t>INFRA JULY 2020-012</t>
  </si>
  <si>
    <t>INFRA JULY 2020-011</t>
  </si>
  <si>
    <t>MGB MIMA-20-012</t>
  </si>
  <si>
    <t>INFRA JULY 2020-009</t>
  </si>
  <si>
    <t>INFRA JULY 2020-008</t>
  </si>
  <si>
    <t>Supply of Labor, Equipment and Restoration Materia</t>
  </si>
  <si>
    <t>INFRA JULY 2020-007</t>
  </si>
  <si>
    <t>INFRA JULY 2020-006</t>
  </si>
  <si>
    <t>20-0111</t>
  </si>
  <si>
    <t>INFRA JULY 2020-005</t>
  </si>
  <si>
    <t>PR 2020-02-01</t>
  </si>
  <si>
    <t>GOODS 2020-08(PB)</t>
  </si>
  <si>
    <t>Lgn1-20-DH-0085</t>
  </si>
  <si>
    <t>6-36-20</t>
  </si>
  <si>
    <t>101-20-05-126</t>
  </si>
  <si>
    <t>PIN2020-080</t>
  </si>
  <si>
    <t>MG-A7O20-013</t>
  </si>
  <si>
    <t>PR No. 2020-06-113</t>
  </si>
  <si>
    <t>INFRA JULY 2020-046</t>
  </si>
  <si>
    <t>INFRA JULY 2020-024</t>
  </si>
  <si>
    <t>20GFC0020</t>
  </si>
  <si>
    <t>INFRA JULY 2020-004</t>
  </si>
  <si>
    <t>Construction Supervision and Management Consultanc</t>
  </si>
  <si>
    <t>20NC0132</t>
  </si>
  <si>
    <t>HFW-2020-06-0214</t>
  </si>
  <si>
    <t>INFRA JULY 2020-022</t>
  </si>
  <si>
    <t>20NC0131</t>
  </si>
  <si>
    <t>INFRA JULY 2020-021</t>
  </si>
  <si>
    <t>20GFC0019</t>
  </si>
  <si>
    <t>20GFC0018</t>
  </si>
  <si>
    <t>INFRA JULY 2020-015</t>
  </si>
  <si>
    <t>PRN 052</t>
  </si>
  <si>
    <t>INFRA JULY 2020-023</t>
  </si>
  <si>
    <t>20GFC0016</t>
  </si>
  <si>
    <t>PRN 006</t>
  </si>
  <si>
    <t>Barangay Zone IV Poblacion 20-06-10b</t>
  </si>
  <si>
    <t>INFRA JULY 2020-020</t>
  </si>
  <si>
    <t>INFRA JULY 2020-019</t>
  </si>
  <si>
    <t>20AB0121</t>
  </si>
  <si>
    <t>20AG0131</t>
  </si>
  <si>
    <t>20200623</t>
  </si>
  <si>
    <t>INFRA JULY 2020-018</t>
  </si>
  <si>
    <t>ITB - 07 JUNE 2020</t>
  </si>
  <si>
    <t>sfbac2020-AIP-1000-23</t>
  </si>
  <si>
    <t>20GFC0017</t>
  </si>
  <si>
    <t>ITB-022-2020</t>
  </si>
  <si>
    <t>INFRA JULY 2020-038</t>
  </si>
  <si>
    <t>INFRA JULY 2020-037</t>
  </si>
  <si>
    <t>RFQ No. 2020-10</t>
  </si>
  <si>
    <t>2020-003-1</t>
  </si>
  <si>
    <t>20OE0202</t>
  </si>
  <si>
    <t>INFRA JULY 2020-010</t>
  </si>
  <si>
    <t>20OE0203</t>
  </si>
  <si>
    <t>INFRA JULY 2020-034</t>
  </si>
  <si>
    <t>INFRA JULY 2020-033</t>
  </si>
  <si>
    <t>INFRA JULY 2020-031</t>
  </si>
  <si>
    <t>20AG0130</t>
  </si>
  <si>
    <t>INFRA JULY 2020-030</t>
  </si>
  <si>
    <t>INFRA JULY 2020-035</t>
  </si>
  <si>
    <t>40</t>
  </si>
  <si>
    <t>ITB#25-2020</t>
  </si>
  <si>
    <t>INFRA JULY 2020-032</t>
  </si>
  <si>
    <t>20NC0133</t>
  </si>
  <si>
    <t>RDD-CW 2020-15</t>
  </si>
  <si>
    <t>ITB#24-2020</t>
  </si>
  <si>
    <t>2020-06-083</t>
  </si>
  <si>
    <t>20OE0206</t>
  </si>
  <si>
    <t>20OE0205</t>
  </si>
  <si>
    <t>062320-B2</t>
  </si>
  <si>
    <t>INFRA JULY 2020-045</t>
  </si>
  <si>
    <t>RDD-CW 2020-14</t>
  </si>
  <si>
    <t>INFRA JULY 2020-044</t>
  </si>
  <si>
    <t>INFRA JULY 2020-043</t>
  </si>
  <si>
    <t>062320-B3</t>
  </si>
  <si>
    <t>INFRA JULY 2020-041</t>
  </si>
  <si>
    <t>INFRA JULY 2020-040</t>
  </si>
  <si>
    <t>INFRA JULY 2020-039</t>
  </si>
  <si>
    <t>GEPS-009-2020</t>
  </si>
  <si>
    <t>INFRA JULY 2020-028</t>
  </si>
  <si>
    <t>INFRA JULY 2020-027</t>
  </si>
  <si>
    <t>INFRA JULY 2020-025</t>
  </si>
  <si>
    <t>20OE0204</t>
  </si>
  <si>
    <t>20GO0102</t>
  </si>
  <si>
    <t>INFRA JULY 2020-042</t>
  </si>
  <si>
    <t>INFRA JULY 2020-036</t>
  </si>
  <si>
    <t>BAC-AIR-INFR-2020-01</t>
  </si>
  <si>
    <t>sjom-goods-0013-2020</t>
  </si>
  <si>
    <t>HFW-2020-06-0217</t>
  </si>
  <si>
    <t>RDD-GO 2020-LGSF-0A1</t>
  </si>
  <si>
    <t>2020-06-008</t>
  </si>
  <si>
    <t>HFW-2020-06-0218</t>
  </si>
  <si>
    <t>DTI-BAC-20-011</t>
  </si>
  <si>
    <t>GB3-PB-002-19</t>
  </si>
  <si>
    <t>100-2020-06-766</t>
  </si>
  <si>
    <t>PB BCH 002-2020 PROCUREMENT OF MOTOR VEHICLES</t>
  </si>
  <si>
    <t>HFW-2020-06-0215</t>
  </si>
  <si>
    <t>sjom-goods-0012-2020</t>
  </si>
  <si>
    <t>INFRA JULY 2020-029</t>
  </si>
  <si>
    <t>2020-06-93</t>
  </si>
  <si>
    <t>PR# 20-06-0613</t>
  </si>
  <si>
    <t>20CSNH05</t>
  </si>
  <si>
    <t>20CSNH04</t>
  </si>
  <si>
    <t>20CSA006</t>
  </si>
  <si>
    <t>20CSA005</t>
  </si>
  <si>
    <t>2020-06-94</t>
  </si>
  <si>
    <t>100-2020-01-130</t>
  </si>
  <si>
    <t>100-2020-03-496</t>
  </si>
  <si>
    <t>100-2020-03-497</t>
  </si>
  <si>
    <t>100-2020-06-738</t>
  </si>
  <si>
    <t>100-2020-06-779</t>
  </si>
  <si>
    <t>20F00107</t>
  </si>
  <si>
    <t>100-2020-06-745</t>
  </si>
  <si>
    <t>PB-06232020-01</t>
  </si>
  <si>
    <t>100-2020-06-783</t>
  </si>
  <si>
    <t>Jiab-2020-30A</t>
  </si>
  <si>
    <t>PB Infra 20-02-03</t>
  </si>
  <si>
    <t>20-06-183</t>
  </si>
  <si>
    <t>INFRA-20-06-0631</t>
  </si>
  <si>
    <t>20GK0223</t>
  </si>
  <si>
    <t>20CSNH03</t>
  </si>
  <si>
    <t>20GK0222</t>
  </si>
  <si>
    <t>PGL 20-079</t>
  </si>
  <si>
    <t>Jiab-2020-29A</t>
  </si>
  <si>
    <t>Jiab-2020-27A</t>
  </si>
  <si>
    <t>Contract No. 03 - 2020</t>
  </si>
  <si>
    <t xml:space="preserve">ITB No. GOP/20-DSWD-038 - Provision of Multi-Year </t>
  </si>
  <si>
    <t>CONTRACT ID # 20-06-087</t>
  </si>
  <si>
    <t>PB NO. 2020-040</t>
  </si>
  <si>
    <t>PR# 20-06-0617</t>
  </si>
  <si>
    <t>B2 PEO 300-20-06-07368</t>
  </si>
  <si>
    <t>B2 PEO 300-20-06-07369</t>
  </si>
  <si>
    <t>IB07142020</t>
  </si>
  <si>
    <t>GA07142020</t>
  </si>
  <si>
    <t>ITB No. 2020-11</t>
  </si>
  <si>
    <t>B2 PEO 300-20-06-07367</t>
  </si>
  <si>
    <t>Jiab-2020-28A</t>
  </si>
  <si>
    <t>SB4 ASA 300-20-05-05805</t>
  </si>
  <si>
    <t>ITB No. 2020-12</t>
  </si>
  <si>
    <t>CONTRACT ID # 20-06-086</t>
  </si>
  <si>
    <t>2020-06-38</t>
  </si>
  <si>
    <t>INFRA JULY 2020-026</t>
  </si>
  <si>
    <t>B2 PEO 300-20-06-07371</t>
  </si>
  <si>
    <t>PB NO. 2020-041</t>
  </si>
  <si>
    <t>POP 200-20-01-00295</t>
  </si>
  <si>
    <t>ASTGOODS10</t>
  </si>
  <si>
    <t>ITB 2020-06-02</t>
  </si>
  <si>
    <t>BD2020-J-002-G</t>
  </si>
  <si>
    <t>ASTGOODS11</t>
  </si>
  <si>
    <t>DPF19 300-20-03-02964</t>
  </si>
  <si>
    <t>INFRA 2020-38</t>
  </si>
  <si>
    <t>300-20-06-0640</t>
  </si>
  <si>
    <t>INFRA 2020-34</t>
  </si>
  <si>
    <t>MGPIN 2020-017</t>
  </si>
  <si>
    <t>1-2020</t>
  </si>
  <si>
    <t>2020-WSERVICE_LINE-001</t>
  </si>
  <si>
    <t>INFRA 2020-36</t>
  </si>
  <si>
    <t>INFRA 2020-35</t>
  </si>
  <si>
    <t>07142020=A</t>
  </si>
  <si>
    <t>IB NO. 2020-07-16 (13)</t>
  </si>
  <si>
    <t>INFRA 2020-33</t>
  </si>
  <si>
    <t>028-2020</t>
  </si>
  <si>
    <t>B2 PEO 300-20-06-07370</t>
  </si>
  <si>
    <t>INFRA 2020-37</t>
  </si>
  <si>
    <t>07142020C</t>
  </si>
  <si>
    <t>Jiab-2020-31A</t>
  </si>
  <si>
    <t>07142020B</t>
  </si>
  <si>
    <t>20SANDIO002</t>
  </si>
  <si>
    <t>20SANDIO001</t>
  </si>
  <si>
    <t>20LUSOD001</t>
  </si>
  <si>
    <t>20BD0130</t>
  </si>
  <si>
    <t>20CSHL0001</t>
  </si>
  <si>
    <t>ASTCIVILGOODS619</t>
  </si>
  <si>
    <t>Jiab-2020-33A</t>
  </si>
  <si>
    <t>RFQ NO. SVP-014-2020</t>
  </si>
  <si>
    <t>PDDO-20-2125</t>
  </si>
  <si>
    <t>IPH-20-0166-B</t>
  </si>
  <si>
    <t>GOODS-2020-62</t>
  </si>
  <si>
    <t>NCMH-PB-RENTAL(180 DESKTOP COMPUTER) CY 2020</t>
  </si>
  <si>
    <t>DOC4</t>
  </si>
  <si>
    <t>Jiab-2020-32A</t>
  </si>
  <si>
    <t>GOODS-2020-61</t>
  </si>
  <si>
    <t>GOODS-2020-60</t>
  </si>
  <si>
    <t>CONTRACT ID NO. 20GN0091</t>
  </si>
  <si>
    <t>INFRA-PNBAC2-2020-06</t>
  </si>
  <si>
    <t>DOC2</t>
  </si>
  <si>
    <t>SF EQUIPMENT NO. 08- (6-22-20)</t>
  </si>
  <si>
    <t>BID 001-2020</t>
  </si>
  <si>
    <t>TAMP-PB-INFRA-06-2020</t>
  </si>
  <si>
    <t>LGU-BALINGASAG-9005-20-059</t>
  </si>
  <si>
    <t>TAMP-PB-INFRA-07-2020</t>
  </si>
  <si>
    <t>DOC3</t>
  </si>
  <si>
    <t>20OC0102</t>
  </si>
  <si>
    <t>20OC0100</t>
  </si>
  <si>
    <t>PR0212-20 DOPMC (23PRs)</t>
  </si>
  <si>
    <t>20GBI007</t>
  </si>
  <si>
    <t>20OC0101</t>
  </si>
  <si>
    <t>20-04-157</t>
  </si>
  <si>
    <t>PR0091-20 DOPMC</t>
  </si>
  <si>
    <t>MGPIN 2020-016</t>
  </si>
  <si>
    <t>Jiab-2020-34A</t>
  </si>
  <si>
    <t>IAEB 229-20</t>
  </si>
  <si>
    <t>20NF0068</t>
  </si>
  <si>
    <t>NCMH-PRB-PEST CONTROL SERVICE CY-2020</t>
  </si>
  <si>
    <t>Competitive Bidding 2020-20</t>
  </si>
  <si>
    <t>BD2020-J-003-G</t>
  </si>
  <si>
    <t>2020-02-INFRA-JUNE-08</t>
  </si>
  <si>
    <t>20OC0103</t>
  </si>
  <si>
    <t>20GBI008</t>
  </si>
  <si>
    <t>Bid No. 20-0283</t>
  </si>
  <si>
    <t>DOC1</t>
  </si>
  <si>
    <t>INFRA-PNBAC2-2020-07</t>
  </si>
  <si>
    <t>AMP 06-2020-010 (PR No. 2020-06-065) Re-Advertised</t>
  </si>
  <si>
    <t>ICCTV-14</t>
  </si>
  <si>
    <t>LGU-BALINGASAG-9005-20-060</t>
  </si>
  <si>
    <t>20AA0349</t>
  </si>
  <si>
    <t>CONTRACT ID: 20-06-089</t>
  </si>
  <si>
    <t>20OC0104</t>
  </si>
  <si>
    <t>SBMA-BAC-GOODS-ITB-08-20</t>
  </si>
  <si>
    <t>RQ 06-161</t>
  </si>
  <si>
    <t>B2 PEO 300-20-06-07372</t>
  </si>
  <si>
    <t>Jiab-2020-35A</t>
  </si>
  <si>
    <t>ITB-2020-016</t>
  </si>
  <si>
    <t>TAL-07-03-2020</t>
  </si>
  <si>
    <t>Bid No. 20-0282</t>
  </si>
  <si>
    <t>2020-06-171-B</t>
  </si>
  <si>
    <t>06-050-D</t>
  </si>
  <si>
    <t>ITB No. 2020 – 76</t>
  </si>
  <si>
    <t>SBMA-BAC-GOODS-ITB-12-20</t>
  </si>
  <si>
    <t>MGPIN 2020-015</t>
  </si>
  <si>
    <t>2020-06-154-E</t>
  </si>
  <si>
    <t>itb06222020a</t>
  </si>
  <si>
    <t>Bid No. 20-0318</t>
  </si>
  <si>
    <t>Jiab-2020-37A</t>
  </si>
  <si>
    <t>2020-02-005</t>
  </si>
  <si>
    <t>TAMP-PB-GOODS-05-2020</t>
  </si>
  <si>
    <t>MGPIN 2019-093</t>
  </si>
  <si>
    <t>BD2020-J-004-G</t>
  </si>
  <si>
    <t>TAYSAN2020-057</t>
  </si>
  <si>
    <t>2020-079</t>
  </si>
  <si>
    <t>MGPIN 2020-085</t>
  </si>
  <si>
    <t>TANZA 22020-08-06</t>
  </si>
  <si>
    <t>B2 PEO 300-20-06-07376</t>
  </si>
  <si>
    <t>BCS-2020-0135</t>
  </si>
  <si>
    <t>MGPIN 2020-002</t>
  </si>
  <si>
    <t>TANZA 2 2020-07-06</t>
  </si>
  <si>
    <t>0005-2020</t>
  </si>
  <si>
    <t>2020-06-033</t>
  </si>
  <si>
    <t>0004-2020</t>
  </si>
  <si>
    <t>TAMP-PB-GOODS-06-2020</t>
  </si>
  <si>
    <t>LGU-BALINGASAG-9005-20-061</t>
  </si>
  <si>
    <t>MG-A7C20-026</t>
  </si>
  <si>
    <t>Bidding-01-June-Amilongan2020</t>
  </si>
  <si>
    <t>RQ 06-158</t>
  </si>
  <si>
    <t>RQ 06-156</t>
  </si>
  <si>
    <t>PEO-2020-0722</t>
  </si>
  <si>
    <t>itb 2020-29</t>
  </si>
  <si>
    <t>RQ 06-157</t>
  </si>
  <si>
    <t>SBMA-BAC-GOODS-ITB-11-20</t>
  </si>
  <si>
    <t>2020-GOODS-015-01-0623</t>
  </si>
  <si>
    <t>B2 PEO 300-20-06-07373</t>
  </si>
  <si>
    <t>2020-06-032</t>
  </si>
  <si>
    <t>itb06222020b</t>
  </si>
  <si>
    <t>20-03-015</t>
  </si>
  <si>
    <t>07132020-001</t>
  </si>
  <si>
    <t>07132020-005</t>
  </si>
  <si>
    <t>B2 PEO 300-20-06-07381</t>
  </si>
  <si>
    <t>07132020-004</t>
  </si>
  <si>
    <t>Bidding-02-Amilongan-June2020</t>
  </si>
  <si>
    <t>0006-2020</t>
  </si>
  <si>
    <t>07132020-002</t>
  </si>
  <si>
    <t>B2 PEO 300-20-06-07378</t>
  </si>
  <si>
    <t>RQ 06-160</t>
  </si>
  <si>
    <t>ITB-SSS-GOODS-2020-017</t>
  </si>
  <si>
    <t>202206</t>
  </si>
  <si>
    <t>20PE0070</t>
  </si>
  <si>
    <t>20AI0171</t>
  </si>
  <si>
    <t>20AE0071: Construction of 2 Storey 4 Classroom Sch</t>
  </si>
  <si>
    <t>INFRA JULY 2020-001</t>
  </si>
  <si>
    <t>LGUPROC 2020 -133B</t>
  </si>
  <si>
    <t>2020-074</t>
  </si>
  <si>
    <t>20AI0172</t>
  </si>
  <si>
    <t>PEO-2020-0964</t>
  </si>
  <si>
    <t>20-370</t>
  </si>
  <si>
    <t>2020-02-50</t>
  </si>
  <si>
    <t>2020062302</t>
  </si>
  <si>
    <t>LGUPROC 2020 -132B</t>
  </si>
  <si>
    <t>2020-02-83</t>
  </si>
  <si>
    <t>itb06222020c</t>
  </si>
  <si>
    <t>LGUPROC 2020 -131B</t>
  </si>
  <si>
    <t>20-23</t>
  </si>
  <si>
    <t>RQ 06-159</t>
  </si>
  <si>
    <t>2020-02-48A</t>
  </si>
  <si>
    <t>DVO-200716-02</t>
  </si>
  <si>
    <t>022-2020 PES Purchase of Various Office Supplies a</t>
  </si>
  <si>
    <t>2020-060</t>
  </si>
  <si>
    <t>TANZA 2 2020-09-06</t>
  </si>
  <si>
    <t>DVO-200716-05</t>
  </si>
  <si>
    <t>QNV-034-2020</t>
  </si>
  <si>
    <t>2020--06-022-002</t>
  </si>
  <si>
    <t>ITB No. GOP/19-DSWD-059-A</t>
  </si>
  <si>
    <t>BUGASS-2020-052</t>
  </si>
  <si>
    <t>itb06222020d</t>
  </si>
  <si>
    <t>DVO-200716-04</t>
  </si>
  <si>
    <t>100-20-15-103</t>
  </si>
  <si>
    <t>BAC1-20-006</t>
  </si>
  <si>
    <t>6222020</t>
  </si>
  <si>
    <t>INFRA JULY 2020-002</t>
  </si>
  <si>
    <t>Invitation to Bid 20-36</t>
  </si>
  <si>
    <t>PR-2020-05-657</t>
  </si>
  <si>
    <t>2020-04-211</t>
  </si>
  <si>
    <t>BID REF. NO. 2020-002</t>
  </si>
  <si>
    <t>2020-06-22-01</t>
  </si>
  <si>
    <t>2020-001-2</t>
  </si>
  <si>
    <t>2020-04-193</t>
  </si>
  <si>
    <t>2020-66 (GAS)</t>
  </si>
  <si>
    <t>PB 2020-02</t>
  </si>
  <si>
    <t>PB-2020-01</t>
  </si>
  <si>
    <t>100200600906</t>
  </si>
  <si>
    <t>2020-03-013</t>
  </si>
  <si>
    <t>2020-04-192</t>
  </si>
  <si>
    <t>2020-N-005</t>
  </si>
  <si>
    <t>DVO-200716-10</t>
  </si>
  <si>
    <t>DVO-200716-12</t>
  </si>
  <si>
    <t>20HG0176</t>
  </si>
  <si>
    <t>DVO-200716-11</t>
  </si>
  <si>
    <t>DVO-200716-08</t>
  </si>
  <si>
    <t>Infra-03</t>
  </si>
  <si>
    <t>I.B. No. 2020-0024</t>
  </si>
  <si>
    <t>20-286</t>
  </si>
  <si>
    <t>INFRA-2020-004</t>
  </si>
  <si>
    <t>IB 2020 – 051</t>
  </si>
  <si>
    <t>2020-69 (GAS)</t>
  </si>
  <si>
    <t>lgumambu_brgybunga_cw_june_2020_001</t>
  </si>
  <si>
    <t>DVO-200716-14</t>
  </si>
  <si>
    <t>2020-68 (GAS)</t>
  </si>
  <si>
    <t>2020-05-277</t>
  </si>
  <si>
    <t>2020-67 (GAS)</t>
  </si>
  <si>
    <t>20GKG0029</t>
  </si>
  <si>
    <t>DVO-200716-15</t>
  </si>
  <si>
    <t>2020-05-03</t>
  </si>
  <si>
    <t>IB 2020-033</t>
  </si>
  <si>
    <t>PBDD-PR-2020-05-001; PBDD-PR-2020-05-002</t>
  </si>
  <si>
    <t>20GKG0030</t>
  </si>
  <si>
    <t>EMBR02-PB-CONSULTINGSERVICES- EMED052020-140</t>
  </si>
  <si>
    <t>2020-02-102</t>
  </si>
  <si>
    <t>100-20-03-055</t>
  </si>
  <si>
    <t>20AI0175</t>
  </si>
  <si>
    <t>20AI0174</t>
  </si>
  <si>
    <t>20AI0173</t>
  </si>
  <si>
    <t>IB 2020 – 053</t>
  </si>
  <si>
    <t>IB 2020 – 054</t>
  </si>
  <si>
    <t>100-20-06-121</t>
  </si>
  <si>
    <t>RSPQ NO. 2020-06-028</t>
  </si>
  <si>
    <t>20-06-249</t>
  </si>
  <si>
    <t>BAC1-20-008</t>
  </si>
  <si>
    <t>RFQ NO. SVP-015-2020</t>
  </si>
  <si>
    <t>IB 2020 – 059</t>
  </si>
  <si>
    <t>IB-2020-26-NEGO</t>
  </si>
  <si>
    <t>TAMP-PB-GOODS-07-2020</t>
  </si>
  <si>
    <t>OM-194-L-2020</t>
  </si>
  <si>
    <t>IB 2020 – 058</t>
  </si>
  <si>
    <t>IB 2020 – 057</t>
  </si>
  <si>
    <t>I.B. No. 2020-0025</t>
  </si>
  <si>
    <t>2020-05-257</t>
  </si>
  <si>
    <t>BUE-06222020-04</t>
  </si>
  <si>
    <t>20GFH0013</t>
  </si>
  <si>
    <t>20CG0144</t>
  </si>
  <si>
    <t>0700-2020-06-019</t>
  </si>
  <si>
    <t>Jiab-2020-42A</t>
  </si>
  <si>
    <t>20CG0143</t>
  </si>
  <si>
    <t>SEF-I-51-2020</t>
  </si>
  <si>
    <t>20CG0142</t>
  </si>
  <si>
    <t>RSPQ NO. 2020-06-029</t>
  </si>
  <si>
    <t>IB-2020-25-NEGO</t>
  </si>
  <si>
    <t>2020-06-22-04</t>
  </si>
  <si>
    <t>20GKG0032</t>
  </si>
  <si>
    <t>20GPM006</t>
  </si>
  <si>
    <t>20GFH0012</t>
  </si>
  <si>
    <t>20-06-088</t>
  </si>
  <si>
    <t>PRDP-IR-R003-NUE-035-PAL-001-2019-R1</t>
  </si>
  <si>
    <t>20CG0148</t>
  </si>
  <si>
    <t>Jiab-2020-39Af</t>
  </si>
  <si>
    <t>CONSTRUCTION OF VARIOUS INFRASTRUCTURE PROJECTS FO</t>
  </si>
  <si>
    <t>SEF-I-52-2020</t>
  </si>
  <si>
    <t>2020-05-241</t>
  </si>
  <si>
    <t>20GL00008</t>
  </si>
  <si>
    <t>SVP2020-07-0009</t>
  </si>
  <si>
    <t>PRDP-PSO-Admin 2020-05-018 (AF)</t>
  </si>
  <si>
    <t>Jiab-2020-40A</t>
  </si>
  <si>
    <t>BUE-06222020-05</t>
  </si>
  <si>
    <t>Graceville 2020-001</t>
  </si>
  <si>
    <t>20CG0146</t>
  </si>
  <si>
    <t>Lgn1-SVP2020-07-0008</t>
  </si>
  <si>
    <t>FSDE18-CS-048-20</t>
  </si>
  <si>
    <t>Jiab-2020-41A</t>
  </si>
  <si>
    <t>MAPULO-001</t>
  </si>
  <si>
    <t>20HC0182</t>
  </si>
  <si>
    <t>776</t>
  </si>
  <si>
    <t>RO9-INFRA-2020-F-001</t>
  </si>
  <si>
    <t>Jiab-2020-38A</t>
  </si>
  <si>
    <t>20-160</t>
  </si>
  <si>
    <t>20CG0147</t>
  </si>
  <si>
    <t>IBTGH No. 2020 – 006</t>
  </si>
  <si>
    <t>ITB 2020 - 080</t>
  </si>
  <si>
    <t>20FO0101</t>
  </si>
  <si>
    <t>20CG0152</t>
  </si>
  <si>
    <t>20GFH0014</t>
  </si>
  <si>
    <t>Graceville 2020-003</t>
  </si>
  <si>
    <t>20CG0151</t>
  </si>
  <si>
    <t>2020-71 (GAS)</t>
  </si>
  <si>
    <t>20CG0145</t>
  </si>
  <si>
    <t>NIAREG9-06222020-688</t>
  </si>
  <si>
    <t>Lgn1-SVP2020-07-0010</t>
  </si>
  <si>
    <t>ITB - 06 JUNE 2020</t>
  </si>
  <si>
    <t>20CG0149</t>
  </si>
  <si>
    <t>SBMA-BAC-GOODS-ITB-09-20</t>
  </si>
  <si>
    <t>2020-075</t>
  </si>
  <si>
    <t>P-10-20</t>
  </si>
  <si>
    <t>IB 2020 – 056</t>
  </si>
  <si>
    <t>OM-193-2020</t>
  </si>
  <si>
    <t>20CG0150</t>
  </si>
  <si>
    <t>BAC1-20-010</t>
  </si>
  <si>
    <t>01M-2020</t>
  </si>
  <si>
    <t>CONTRACT ID: 19-12-272 2ND REBID</t>
  </si>
  <si>
    <t>0042-06-2020</t>
  </si>
  <si>
    <t>IB 2020 – 055</t>
  </si>
  <si>
    <t>Graceville 2020-002</t>
  </si>
  <si>
    <t>20-06-248</t>
  </si>
  <si>
    <t>20FO0102</t>
  </si>
  <si>
    <t>RFQ NO. SVP-016-2020</t>
  </si>
  <si>
    <t>CONTRACT ID # 20-06-090</t>
  </si>
  <si>
    <t>20CG0157</t>
  </si>
  <si>
    <t>Lgn1-SVP2020-07-0011</t>
  </si>
  <si>
    <t>RFQ NO. SVP-017-2020</t>
  </si>
  <si>
    <t>20CG0156</t>
  </si>
  <si>
    <t>AGGDS2020-0623A</t>
  </si>
  <si>
    <t>P-09-20</t>
  </si>
  <si>
    <t>0041-06-2020</t>
  </si>
  <si>
    <t>18-2020</t>
  </si>
  <si>
    <t>Supply, Delivery and Installation of Air Condition</t>
  </si>
  <si>
    <t>I.B. No. 2020-0027</t>
  </si>
  <si>
    <t>cmd-20-01-15</t>
  </si>
  <si>
    <t>cmd-20-01-02</t>
  </si>
  <si>
    <t>agsd-2020-05-009</t>
  </si>
  <si>
    <t>DA RFO-1-2019-INFRA-040-N</t>
  </si>
  <si>
    <t>DA RFO-1-2019-INFRA-068</t>
  </si>
  <si>
    <t>GF-20-0385</t>
  </si>
  <si>
    <t>DA RFO-1-2019-INFRA-039-N</t>
  </si>
  <si>
    <t>AGGDS2020-0623B</t>
  </si>
  <si>
    <t>20GFO0016</t>
  </si>
  <si>
    <t>2020-CW-06-10</t>
  </si>
  <si>
    <t>RFQ NO. SVP-020-2020</t>
  </si>
  <si>
    <t>SUPPLY OF LABOR, EQUIPMENT AND RESTORATION MATERIA</t>
  </si>
  <si>
    <t>20GFC0015</t>
  </si>
  <si>
    <t>PB 06-05-2020</t>
  </si>
  <si>
    <t>20GFC0014</t>
  </si>
  <si>
    <t>RFQ NO. SVP-019-2020</t>
  </si>
  <si>
    <t>20GFC0013</t>
  </si>
  <si>
    <t>20GFC0012</t>
  </si>
  <si>
    <t>20GFC0011</t>
  </si>
  <si>
    <t>RFQ NO. SVP-018-2020</t>
  </si>
  <si>
    <t>BAC1-20-004</t>
  </si>
  <si>
    <t>PBD-CONSULTANCY-2020-002</t>
  </si>
  <si>
    <t>2020-CW-06-09</t>
  </si>
  <si>
    <t>IB. NO. K-2020-062(SC)</t>
  </si>
  <si>
    <t>IB No. 2020-021</t>
  </si>
  <si>
    <t>PCMT 2020-045</t>
  </si>
  <si>
    <t>ITB No. 2020-06-002</t>
  </si>
  <si>
    <t>20CC0256</t>
  </si>
  <si>
    <t>BAC1-20-005</t>
  </si>
  <si>
    <t>20CC0255</t>
  </si>
  <si>
    <t>IB. NO. K-2020-061(SC)</t>
  </si>
  <si>
    <t>BAC1-20-011</t>
  </si>
  <si>
    <t>BAC1-20-014</t>
  </si>
  <si>
    <t>IB. NO. K-2020-059(SC)</t>
  </si>
  <si>
    <t>2020-GD-06-06</t>
  </si>
  <si>
    <t>PCMT 2020-046</t>
  </si>
  <si>
    <t>20CC0199</t>
  </si>
  <si>
    <t>20CC0170</t>
  </si>
  <si>
    <t>ITB No. GOP-19-DSWD-058-A</t>
  </si>
  <si>
    <t>IA-P-2020-01</t>
  </si>
  <si>
    <t>BAC1-20-012</t>
  </si>
  <si>
    <t>BAC1-20-009</t>
  </si>
  <si>
    <t>Goods 2020-01</t>
  </si>
  <si>
    <t>PCMT 2020-044</t>
  </si>
  <si>
    <t>20DE0146</t>
  </si>
  <si>
    <t>20GOE0013</t>
  </si>
  <si>
    <t>20DE0145</t>
  </si>
  <si>
    <t>SRAVIS 20-06-283</t>
  </si>
  <si>
    <t>PUR20-02-0135</t>
  </si>
  <si>
    <t>57-2020</t>
  </si>
  <si>
    <t>N 33 C 2020</t>
  </si>
  <si>
    <t>2020-INFRA-040</t>
  </si>
  <si>
    <t>2020-INFRA-039</t>
  </si>
  <si>
    <t>55-2020</t>
  </si>
  <si>
    <t>2020-INFRA-036</t>
  </si>
  <si>
    <t>PR 2020-06-002</t>
  </si>
  <si>
    <t>20EA0054</t>
  </si>
  <si>
    <t>2020-INFRA-035</t>
  </si>
  <si>
    <t>2020-INFRA-034</t>
  </si>
  <si>
    <t>2020-INFRA-033</t>
  </si>
  <si>
    <t>506222020</t>
  </si>
  <si>
    <t>306222020</t>
  </si>
  <si>
    <t>206222020</t>
  </si>
  <si>
    <t>20DE0147</t>
  </si>
  <si>
    <t>2020-06-MEO-LGSF-FA-TF-0026</t>
  </si>
  <si>
    <t>106222020</t>
  </si>
  <si>
    <t>2020-INFRA-041</t>
  </si>
  <si>
    <t>INFRA2020-02</t>
  </si>
  <si>
    <t>IB No.2020-06-011-G</t>
  </si>
  <si>
    <t>2020-INFRA-038</t>
  </si>
  <si>
    <t>6-8-20-ID9</t>
  </si>
  <si>
    <t>IB-2020-VII-13-02 FARM TO MARKET ROAD</t>
  </si>
  <si>
    <t>PIP 007-2020</t>
  </si>
  <si>
    <t>406222020</t>
  </si>
  <si>
    <t>PB2020-07-068G</t>
  </si>
  <si>
    <t>2020-INFRA-026</t>
  </si>
  <si>
    <t>2020-07-10-06</t>
  </si>
  <si>
    <t>IB-2020-VII-13-01 Office Supplies Inks &amp; Toners (L</t>
  </si>
  <si>
    <t>B-8661-20-13</t>
  </si>
  <si>
    <t>2020-07-10-05</t>
  </si>
  <si>
    <t>PB20200618-039</t>
  </si>
  <si>
    <t>JR No. 24044</t>
  </si>
  <si>
    <t>20-06-020</t>
  </si>
  <si>
    <t>2020-INFRA-037</t>
  </si>
  <si>
    <t>Aklan BAC ITB 359 Series of 2020</t>
  </si>
  <si>
    <t>LGUPROC 2020 -129B</t>
  </si>
  <si>
    <t>CMPG-13</t>
  </si>
  <si>
    <t>58-2020</t>
  </si>
  <si>
    <t>2020-06-374</t>
  </si>
  <si>
    <t>20K00353</t>
  </si>
  <si>
    <t>CGS-2020-G020</t>
  </si>
  <si>
    <t>LGUPROC 2020 -130B</t>
  </si>
  <si>
    <t>PB20200618-041</t>
  </si>
  <si>
    <t>PB2020-07-067G</t>
  </si>
  <si>
    <t>PB2020-07-066G</t>
  </si>
  <si>
    <t>IB-2020-24-NEGO-INFRA</t>
  </si>
  <si>
    <t>PR 2020-06-10-101</t>
  </si>
  <si>
    <t>PR-2020-9999-0185</t>
  </si>
  <si>
    <t>INFRA-2020-48</t>
  </si>
  <si>
    <t>2020-INFRA-043</t>
  </si>
  <si>
    <t>PB20200618-040</t>
  </si>
  <si>
    <t>IB-2020-23-NEGO-INFRA</t>
  </si>
  <si>
    <t>20K00352</t>
  </si>
  <si>
    <t>GLQ-2020-12</t>
  </si>
  <si>
    <t>2020-INFRA-044</t>
  </si>
  <si>
    <t>MKWD-BAC-2020-053</t>
  </si>
  <si>
    <t>ITB 2020-DSWD-CAR-16</t>
  </si>
  <si>
    <t>20BG0120</t>
  </si>
  <si>
    <t>pwr-03-017</t>
  </si>
  <si>
    <t>ITB No. GOP/20-DSWD-039</t>
  </si>
  <si>
    <t>001-2020G</t>
  </si>
  <si>
    <t>2020-RBAC8-INFR-17</t>
  </si>
  <si>
    <t>20EA0053</t>
  </si>
  <si>
    <t>INFRA 2020-03</t>
  </si>
  <si>
    <t>ITB 2020 - 081</t>
  </si>
  <si>
    <t>BFPX 2020-06</t>
  </si>
  <si>
    <t>Graceville 2020-004</t>
  </si>
  <si>
    <t>2020-INFRA-042</t>
  </si>
  <si>
    <t>DA RFO-1-2019-INFRA-038-N</t>
  </si>
  <si>
    <t>20CG0153</t>
  </si>
  <si>
    <t>BAC-GS 2020-097, 2020-098, 2020-099, 2020-100, 202</t>
  </si>
  <si>
    <t>20CG0154</t>
  </si>
  <si>
    <t>LUHONG-2020-001-2</t>
  </si>
  <si>
    <t>20FF0095</t>
  </si>
  <si>
    <t>20HM0091</t>
  </si>
  <si>
    <t>pwr-03-015</t>
  </si>
  <si>
    <t>GS 2020-003 (REPOST)</t>
  </si>
  <si>
    <t>Aklan BAC ITB 361 Series of 2020</t>
  </si>
  <si>
    <t>IB No. 2020-208-A</t>
  </si>
  <si>
    <t>20CG0155</t>
  </si>
  <si>
    <t>2020-07-10-08</t>
  </si>
  <si>
    <t>Infra-01</t>
  </si>
  <si>
    <t>20AI0176</t>
  </si>
  <si>
    <t>IB 2020 – 052</t>
  </si>
  <si>
    <t>2020-ANT-GOODS-0115</t>
  </si>
  <si>
    <t>2020-70 (GAS)</t>
  </si>
  <si>
    <t>100-20-03-043</t>
  </si>
  <si>
    <t>DVO-200716-13</t>
  </si>
  <si>
    <t>BAC1-20-007</t>
  </si>
  <si>
    <t>100-20-06-128</t>
  </si>
  <si>
    <t>IB 2020-032</t>
  </si>
  <si>
    <t>DVO-200716-09</t>
  </si>
  <si>
    <t>01-0622</t>
  </si>
  <si>
    <t>2020-N-004</t>
  </si>
  <si>
    <t>20GCE0007</t>
  </si>
  <si>
    <t>itb 2020-30</t>
  </si>
  <si>
    <t>2020-07-10-07</t>
  </si>
  <si>
    <t>2020-03-110</t>
  </si>
  <si>
    <t>20-06-005</t>
  </si>
  <si>
    <t>2020-07-10-11</t>
  </si>
  <si>
    <t>DVO-200716-07</t>
  </si>
  <si>
    <t>2020-07-10-09</t>
  </si>
  <si>
    <t>None</t>
  </si>
  <si>
    <t>PDDO-20-4519</t>
  </si>
  <si>
    <t>DVO-200716-06</t>
  </si>
  <si>
    <t>Goods 0026-2020</t>
  </si>
  <si>
    <t>Aklan BAC ITB 362 Series of 2020</t>
  </si>
  <si>
    <t>ITB No. Infra-2020-01</t>
  </si>
  <si>
    <t>PDDO-20-1156</t>
  </si>
  <si>
    <t>2020-07-10-15</t>
  </si>
  <si>
    <t>PDDO-20-4515</t>
  </si>
  <si>
    <t>2020-07-10-10</t>
  </si>
  <si>
    <t>2020-07-10-12</t>
  </si>
  <si>
    <t>2020-07-10-14</t>
  </si>
  <si>
    <t>20FF0096</t>
  </si>
  <si>
    <t>20FF0097</t>
  </si>
  <si>
    <t>PDDO-20-4514</t>
  </si>
  <si>
    <t>LIN-LDN-06-19-20</t>
  </si>
  <si>
    <t>2020-07-10-16</t>
  </si>
  <si>
    <t>2020-07-10-13</t>
  </si>
  <si>
    <t>20FF0098</t>
  </si>
  <si>
    <t>GEPS-12-2020</t>
  </si>
  <si>
    <t>BAC 2020-06-007</t>
  </si>
  <si>
    <t>POG NO. DDO 2020-003-CM</t>
  </si>
  <si>
    <t>20FF0099</t>
  </si>
  <si>
    <t>Project No. 2020-25</t>
  </si>
  <si>
    <t>2020-06-074</t>
  </si>
  <si>
    <t>PR-2020-03-459</t>
  </si>
  <si>
    <t>20BE0048 (re-adv.)</t>
  </si>
  <si>
    <t>2020-7</t>
  </si>
  <si>
    <t>LIN-LDN-06-19-20A</t>
  </si>
  <si>
    <t>20BE0047 (re-adv.)</t>
  </si>
  <si>
    <t>INFR-023-2020</t>
  </si>
  <si>
    <t>20FG0101</t>
  </si>
  <si>
    <t>INFRA2020-CDD-001/ MG-COM20-002 Repair/Rehab of Wh</t>
  </si>
  <si>
    <t>GEPS-13-2020</t>
  </si>
  <si>
    <t>DVO-200716-03</t>
  </si>
  <si>
    <t>BAC 2020-06-008</t>
  </si>
  <si>
    <t>2020-00-02</t>
  </si>
  <si>
    <t>20FH0085</t>
  </si>
  <si>
    <t>2020-03-109</t>
  </si>
  <si>
    <t>20BE0049 (re-adv.)</t>
  </si>
  <si>
    <t>2020-S-8</t>
  </si>
  <si>
    <t>20-144</t>
  </si>
  <si>
    <t>2020-06-075</t>
  </si>
  <si>
    <t>INFR-2020-034</t>
  </si>
  <si>
    <t>INFR-2020-031</t>
  </si>
  <si>
    <t>INFRA2020-CDD-002/ MG-COM20-003 Construction of Wh</t>
  </si>
  <si>
    <t>INFR-2020-029</t>
  </si>
  <si>
    <t>INFR-2020-030</t>
  </si>
  <si>
    <t>INFR-2020-032</t>
  </si>
  <si>
    <t>LIN-LDN-06-19-20B</t>
  </si>
  <si>
    <t>ITB-KOR: 20-06-0683 CEO</t>
  </si>
  <si>
    <t>INFR-2020-033</t>
  </si>
  <si>
    <t>LIMAO-BAC-09-20</t>
  </si>
  <si>
    <t>INFR-2020-028</t>
  </si>
  <si>
    <t>SJBC-2020-003</t>
  </si>
  <si>
    <t>PB2020-06-005 GAA</t>
  </si>
  <si>
    <t>20-06-0004</t>
  </si>
  <si>
    <t>20ITB-INF-02-00040</t>
  </si>
  <si>
    <t>202-001</t>
  </si>
  <si>
    <t>0704-19@</t>
  </si>
  <si>
    <t>2020-NFA-RBAC-8-GOODS-02</t>
  </si>
  <si>
    <t>Cabarasan Guti-2020-06-001</t>
  </si>
  <si>
    <t>INFR-2020-035</t>
  </si>
  <si>
    <t>PB-13-2020</t>
  </si>
  <si>
    <t>2020-GSIS-PB-100</t>
  </si>
  <si>
    <t>IB No. 2020-045</t>
  </si>
  <si>
    <t>PBS 20-073A</t>
  </si>
  <si>
    <t>ITB PR No.: 0545-20BAC</t>
  </si>
  <si>
    <t>bir_pb 2020-31</t>
  </si>
  <si>
    <t>20-01-002</t>
  </si>
  <si>
    <t>Goods 0031-2020</t>
  </si>
  <si>
    <t>SBAC-PGSO-06212020-04</t>
  </si>
  <si>
    <t>2020-WTRANSMISSION-001</t>
  </si>
  <si>
    <t>2020-GSIS-PB-091</t>
  </si>
  <si>
    <t>INFRA20-06-055</t>
  </si>
  <si>
    <t>2020-PAVILION B-001</t>
  </si>
  <si>
    <t>2020-PAVILION A-001</t>
  </si>
  <si>
    <t>SBAC-PGSO-06212020-03</t>
  </si>
  <si>
    <t>SBAC-PGSO-06212020-02</t>
  </si>
  <si>
    <t>PR NO. 020-05-20</t>
  </si>
  <si>
    <t>GS 2020 -005-016</t>
  </si>
  <si>
    <t>20200619-02-G</t>
  </si>
  <si>
    <t>ITB No. 2020-77</t>
  </si>
  <si>
    <t>20200214-02-G</t>
  </si>
  <si>
    <t>20200205-01-G</t>
  </si>
  <si>
    <t>20-242</t>
  </si>
  <si>
    <t>2020-03-035</t>
  </si>
  <si>
    <t>TLU2020-007-I</t>
  </si>
  <si>
    <t>06-221-2020</t>
  </si>
  <si>
    <t>20200619-01-G</t>
  </si>
  <si>
    <t>IB NO. 2020-07-13 (11)</t>
  </si>
  <si>
    <t>BAC-HO-GS No. 2020-0347 dtd 16 June 2020 (HRDD)</t>
  </si>
  <si>
    <t>06-2020-960</t>
  </si>
  <si>
    <t>Various BAC GS Nos_SSD</t>
  </si>
  <si>
    <t>06-2020-962</t>
  </si>
  <si>
    <t>LAMISCA IMO 6-21-2020 CW</t>
  </si>
  <si>
    <t>6725474</t>
  </si>
  <si>
    <t>DA3-2020-06-10-131</t>
  </si>
  <si>
    <t>06-121-2020</t>
  </si>
  <si>
    <t>IB NO. 2020-07-15 (12)</t>
  </si>
  <si>
    <t>IB-2020-094-INFRA</t>
  </si>
  <si>
    <t>IB-2020-092-INFRA</t>
  </si>
  <si>
    <t>ITB-2020-50</t>
  </si>
  <si>
    <t>ITB-2020-49</t>
  </si>
  <si>
    <t>ITB-2020-48</t>
  </si>
  <si>
    <t>DA3-2020-06-10-130</t>
  </si>
  <si>
    <t>20-05-0564</t>
  </si>
  <si>
    <t>3134-20</t>
  </si>
  <si>
    <t>20-04-0511</t>
  </si>
  <si>
    <t>20-03-0414</t>
  </si>
  <si>
    <t>INFRA-10-20-04</t>
  </si>
  <si>
    <t>INFRA-10-20-03</t>
  </si>
  <si>
    <t>INFRA-10-20-02</t>
  </si>
  <si>
    <t>INFRA-10-20-01</t>
  </si>
  <si>
    <t>20BH0142</t>
  </si>
  <si>
    <t>IB-2020-093-INFRA</t>
  </si>
  <si>
    <t>ITB No. 2020-02-04</t>
  </si>
  <si>
    <t>20GOC0004</t>
  </si>
  <si>
    <t>2020-002-D</t>
  </si>
  <si>
    <t>20-04-0503</t>
  </si>
  <si>
    <t>20GOC0003</t>
  </si>
  <si>
    <t>2020-SRV-013</t>
  </si>
  <si>
    <t>MGPIN 2020-018</t>
  </si>
  <si>
    <t>2020-028-GDS</t>
  </si>
  <si>
    <t>PB-infra-02-2020</t>
  </si>
  <si>
    <t>20CSPB0002</t>
  </si>
  <si>
    <t>312</t>
  </si>
  <si>
    <t>20PB0033</t>
  </si>
  <si>
    <t>2020-027-GDS</t>
  </si>
  <si>
    <t>20PB0034</t>
  </si>
  <si>
    <t>20GAD0005</t>
  </si>
  <si>
    <t>20DN0174</t>
  </si>
  <si>
    <t>20GDN0003</t>
  </si>
  <si>
    <t>2020-06-20-01-I</t>
  </si>
  <si>
    <t>Public Bidding 20GAD0004</t>
  </si>
  <si>
    <t>20DN0175</t>
  </si>
  <si>
    <t>JRF-2020-030</t>
  </si>
  <si>
    <t>20DN0173</t>
  </si>
  <si>
    <t>20DN0172</t>
  </si>
  <si>
    <t>20DN0170</t>
  </si>
  <si>
    <t>B20-18-07</t>
  </si>
  <si>
    <t>ITB NO. 2020-06-051</t>
  </si>
  <si>
    <t>20DN0166</t>
  </si>
  <si>
    <t>20DN0134</t>
  </si>
  <si>
    <t>20DN0130</t>
  </si>
  <si>
    <t>ITB No. 2020-06-050</t>
  </si>
  <si>
    <t>20DN0128</t>
  </si>
  <si>
    <t>20DN0167</t>
  </si>
  <si>
    <t>ITB-2020-53</t>
  </si>
  <si>
    <t>20FB0155</t>
  </si>
  <si>
    <t>ITB-2020-51</t>
  </si>
  <si>
    <t>ITB No. 2020-02-02</t>
  </si>
  <si>
    <t>ITB GOODS 2020-06-36</t>
  </si>
  <si>
    <t>06-20-011</t>
  </si>
  <si>
    <t>20DN0129</t>
  </si>
  <si>
    <t>73511</t>
  </si>
  <si>
    <t>ITB No. 2020-02-03</t>
  </si>
  <si>
    <t>INFRA20–06–053</t>
  </si>
  <si>
    <t>2020-003-D.</t>
  </si>
  <si>
    <t>ITB-2020-52</t>
  </si>
  <si>
    <t>20GDN0004</t>
  </si>
  <si>
    <t>20DN0135</t>
  </si>
  <si>
    <t>2020-PB-VMWARE-030-01</t>
  </si>
  <si>
    <t>8th Batch 2020</t>
  </si>
  <si>
    <t>SRC INFRA 2020-06-079</t>
  </si>
  <si>
    <t>itb20-06-027A</t>
  </si>
  <si>
    <t>20DN0144</t>
  </si>
  <si>
    <t>20DN0143</t>
  </si>
  <si>
    <t>20DN0142</t>
  </si>
  <si>
    <t>itb20-06-027C</t>
  </si>
  <si>
    <t>INFRA 20–06–052</t>
  </si>
  <si>
    <t>20DN0141</t>
  </si>
  <si>
    <t>GOODS20-06-030</t>
  </si>
  <si>
    <t>20DN0139</t>
  </si>
  <si>
    <t>20DN0138</t>
  </si>
  <si>
    <t>06-00756</t>
  </si>
  <si>
    <t>INFRA 20–06–054</t>
  </si>
  <si>
    <t>06-00724</t>
  </si>
  <si>
    <t>itb20-06-027B</t>
  </si>
  <si>
    <t>06-00754</t>
  </si>
  <si>
    <t>05-00701</t>
  </si>
  <si>
    <t>20DN0140</t>
  </si>
  <si>
    <t>MGM 2020-036</t>
  </si>
  <si>
    <t>MGM 2020-035</t>
  </si>
  <si>
    <t>20DN0131</t>
  </si>
  <si>
    <t>ITB-2020-54</t>
  </si>
  <si>
    <t>AD-ITB-2020-GS-001</t>
  </si>
  <si>
    <t>06-00762</t>
  </si>
  <si>
    <t>06-00745</t>
  </si>
  <si>
    <t>PB-2020-GDS-028</t>
  </si>
  <si>
    <t>06-002-20</t>
  </si>
  <si>
    <t>REI NO. GOP/20-DSWD-001 - HIRING OF CONSULTANCY FI</t>
  </si>
  <si>
    <t>MGM 2020-034</t>
  </si>
  <si>
    <t>itb20-06-027D</t>
  </si>
  <si>
    <t>20CSFM0001</t>
  </si>
  <si>
    <t>20DN0137</t>
  </si>
  <si>
    <t>20DN0136</t>
  </si>
  <si>
    <t>DA3-2020-06-10-129</t>
  </si>
  <si>
    <t>g2020-013</t>
  </si>
  <si>
    <t>REI_2020-03-0068</t>
  </si>
  <si>
    <t>IB-2020-091-INFRA</t>
  </si>
  <si>
    <t>LGU-M-INFRA-11-20</t>
  </si>
  <si>
    <t>2020-WMETER-001</t>
  </si>
  <si>
    <t>SRAVIS 20-06-280</t>
  </si>
  <si>
    <t>2020-006-01</t>
  </si>
  <si>
    <t>06-003-20</t>
  </si>
  <si>
    <t>ITB-KOR: 20-06-0685 DEPED</t>
  </si>
  <si>
    <t>ITB-KOR: 20-06-0684 CEO</t>
  </si>
  <si>
    <t>BBC2020-004</t>
  </si>
  <si>
    <t>008-20</t>
  </si>
  <si>
    <t>DTI PB-20-009A</t>
  </si>
  <si>
    <t>INFR-2020-009</t>
  </si>
  <si>
    <t>INFR-2020-037</t>
  </si>
  <si>
    <t>20FH0087</t>
  </si>
  <si>
    <t>. 002-20</t>
  </si>
  <si>
    <t>LIN-LDN-06-19-20C</t>
  </si>
  <si>
    <t>ITB-KOR: 20-06-0686 DEPED</t>
  </si>
  <si>
    <t>106</t>
  </si>
  <si>
    <t>INFR-2020-036</t>
  </si>
  <si>
    <t>ITB-KOR: 20-06-0687 DEPED</t>
  </si>
  <si>
    <t>06-00713</t>
  </si>
  <si>
    <t>20L00137</t>
  </si>
  <si>
    <t>ITB-2020-044</t>
  </si>
  <si>
    <t>20L00043</t>
  </si>
  <si>
    <t>06-00723</t>
  </si>
  <si>
    <t>06-00770</t>
  </si>
  <si>
    <t>06-00743</t>
  </si>
  <si>
    <t>06-00715</t>
  </si>
  <si>
    <t>IB No. 20-56</t>
  </si>
  <si>
    <t>041</t>
  </si>
  <si>
    <t>DAR-CAV-RFQ-ARBDSP-2020-13</t>
  </si>
  <si>
    <t>06-00772</t>
  </si>
  <si>
    <t>DAR-CAV-RFQ-ARBDSP-2020-12</t>
  </si>
  <si>
    <t>Bid Ref. No. 2020-007; PR No. 2020-06-0178</t>
  </si>
  <si>
    <t>20AH0212</t>
  </si>
  <si>
    <t>20AH0211</t>
  </si>
  <si>
    <t>20AH0213</t>
  </si>
  <si>
    <t>007099-2020-01</t>
  </si>
  <si>
    <t>IB No. 20-53</t>
  </si>
  <si>
    <t>007116-2020-01</t>
  </si>
  <si>
    <t>20OI0123</t>
  </si>
  <si>
    <t>IB No. 20-40</t>
  </si>
  <si>
    <t>IB No. 20-61</t>
  </si>
  <si>
    <t>20AF0078</t>
  </si>
  <si>
    <t>2020-06-02B</t>
  </si>
  <si>
    <t>20AH0210</t>
  </si>
  <si>
    <t>007026-2020-01</t>
  </si>
  <si>
    <t>IB No. 20-60</t>
  </si>
  <si>
    <t>IB No. 20-41</t>
  </si>
  <si>
    <t>202045</t>
  </si>
  <si>
    <t>J3-20-0472</t>
  </si>
  <si>
    <t>IB No. 20-52</t>
  </si>
  <si>
    <t>006976-0000-00</t>
  </si>
  <si>
    <t>20-00047</t>
  </si>
  <si>
    <t>2020-06-020-MEO</t>
  </si>
  <si>
    <t>2020-06-03B</t>
  </si>
  <si>
    <t>2020-06-021-MEO</t>
  </si>
  <si>
    <t>C9-20-0212</t>
  </si>
  <si>
    <t>BS 20-06-0664</t>
  </si>
  <si>
    <t>20OI0127</t>
  </si>
  <si>
    <t>06-19-03</t>
  </si>
  <si>
    <t>20OI0125</t>
  </si>
  <si>
    <t>GFG-2020-06-018</t>
  </si>
  <si>
    <t>C9-20-0420</t>
  </si>
  <si>
    <t>M7-20-0497</t>
  </si>
  <si>
    <t>2020-001I</t>
  </si>
  <si>
    <t>2020-026-GDS</t>
  </si>
  <si>
    <t>GFG-2020-06-019</t>
  </si>
  <si>
    <t>ITB No. 20-64</t>
  </si>
  <si>
    <t>202006190001</t>
  </si>
  <si>
    <t>INFRA-2020-06-001</t>
  </si>
  <si>
    <t>202006190002</t>
  </si>
  <si>
    <t>2020-06-526</t>
  </si>
  <si>
    <t>ITB No. 20-48</t>
  </si>
  <si>
    <t>202-06-014B</t>
  </si>
  <si>
    <t>I4-20-0556</t>
  </si>
  <si>
    <t>ITB No. 20-49</t>
  </si>
  <si>
    <t>CAR-ADN-2020-094</t>
  </si>
  <si>
    <t>20GFN0006</t>
  </si>
  <si>
    <t>20OI0126</t>
  </si>
  <si>
    <t>ITB No. EMB-GOODS-NCB-2020-05-002</t>
  </si>
  <si>
    <t>20GFN0005</t>
  </si>
  <si>
    <t>MGM 2020-037</t>
  </si>
  <si>
    <t>06192020A</t>
  </si>
  <si>
    <t>20GG00018</t>
  </si>
  <si>
    <t>GOODS-20-33</t>
  </si>
  <si>
    <t>20L00140</t>
  </si>
  <si>
    <t>20OF0319</t>
  </si>
  <si>
    <t>IB No. 20-57</t>
  </si>
  <si>
    <t>BS 20-06-0677</t>
  </si>
  <si>
    <t>401-20-01-005</t>
  </si>
  <si>
    <t>20GFN0008</t>
  </si>
  <si>
    <t>BS 20-06-0676</t>
  </si>
  <si>
    <t>20OF0318</t>
  </si>
  <si>
    <t>RFQ-6-19-2020</t>
  </si>
  <si>
    <t>BS 20-06-0675</t>
  </si>
  <si>
    <t>bcwd-2020-057</t>
  </si>
  <si>
    <t>20OF0320</t>
  </si>
  <si>
    <t>06192020B</t>
  </si>
  <si>
    <t>CRN 029</t>
  </si>
  <si>
    <t>Tubigagmanok2020Goods003</t>
  </si>
  <si>
    <t>20AF0079</t>
  </si>
  <si>
    <t>20OF0323</t>
  </si>
  <si>
    <t>20FE0125</t>
  </si>
  <si>
    <t>Tubigagmanok2020Goods001</t>
  </si>
  <si>
    <t>20OF0322</t>
  </si>
  <si>
    <t>C9-20-0187</t>
  </si>
  <si>
    <t>Tubigagmanok2020Goods002</t>
  </si>
  <si>
    <t>BS 20-06-0678</t>
  </si>
  <si>
    <t>2020-020-PB</t>
  </si>
  <si>
    <t>JUNE192020-4</t>
  </si>
  <si>
    <t>HPU-2020-01-0005</t>
  </si>
  <si>
    <t>20GFG0019</t>
  </si>
  <si>
    <t>20OF0321</t>
  </si>
  <si>
    <t>C10-20-0224</t>
  </si>
  <si>
    <t>Civil Works 021-2020</t>
  </si>
  <si>
    <t>MG-A7M20-072</t>
  </si>
  <si>
    <t>PB-LAP-2020-067</t>
  </si>
  <si>
    <t>NFA-NCR-RBAC-2020-06-19-009</t>
  </si>
  <si>
    <t>20FE0126</t>
  </si>
  <si>
    <t>PB-LAP-2020-066</t>
  </si>
  <si>
    <t>2020-05-049-D</t>
  </si>
  <si>
    <t>33-20</t>
  </si>
  <si>
    <t>SF-LABOR NO. 10-(06-19-20)</t>
  </si>
  <si>
    <t>MG-A7T20-055</t>
  </si>
  <si>
    <t>2020-05-037-D</t>
  </si>
  <si>
    <t>101-1011-2020-06-138</t>
  </si>
  <si>
    <t>tgs 14-20</t>
  </si>
  <si>
    <t>20G00101</t>
  </si>
  <si>
    <t>PB2020-009 (PR No. 20-01-0105)</t>
  </si>
  <si>
    <t>31-20</t>
  </si>
  <si>
    <t>20-06-018</t>
  </si>
  <si>
    <t>POW-Yabbi</t>
  </si>
  <si>
    <t>QES-06-022-20</t>
  </si>
  <si>
    <t>GDS 20-056</t>
  </si>
  <si>
    <t>PB2020-008 (PR No. 19-10-1294)</t>
  </si>
  <si>
    <t>20JGI0035</t>
  </si>
  <si>
    <t>BACII-2020-16</t>
  </si>
  <si>
    <t>32-20</t>
  </si>
  <si>
    <t>MKWD2020-051</t>
  </si>
  <si>
    <t>20AE0069: Construction of 2 Storey 4 Classroom Sch</t>
  </si>
  <si>
    <t>009-20</t>
  </si>
  <si>
    <t>2020-05-043-D</t>
  </si>
  <si>
    <t>20AE0068: Construction of 2 Storey 6 Classroom Sch</t>
  </si>
  <si>
    <t>20AE0070: Construction of 2-Storey 4-Classroom Sch</t>
  </si>
  <si>
    <t>2020-05-047-D</t>
  </si>
  <si>
    <t>EMB-NCB-GOODS-05-2020</t>
  </si>
  <si>
    <t>20G00100</t>
  </si>
  <si>
    <t>30-20</t>
  </si>
  <si>
    <t>INFRA 2020-007</t>
  </si>
  <si>
    <t>MG-A7T20-054</t>
  </si>
  <si>
    <t>20-06-017</t>
  </si>
  <si>
    <t>ITB 13-2020</t>
  </si>
  <si>
    <t>SF-GOODS NO. 63-(6-19-20)</t>
  </si>
  <si>
    <t>2020-03-028</t>
  </si>
  <si>
    <t>03-20-94</t>
  </si>
  <si>
    <t>2020-05-046-D</t>
  </si>
  <si>
    <t>20OD0195</t>
  </si>
  <si>
    <t>20OD0193</t>
  </si>
  <si>
    <t>20G00099</t>
  </si>
  <si>
    <t>DPWH-SK2DEO-20MH0107</t>
  </si>
  <si>
    <t>20OD0192</t>
  </si>
  <si>
    <t>20OF0317</t>
  </si>
  <si>
    <t>20MC0103</t>
  </si>
  <si>
    <t>2020-06-022-MEO</t>
  </si>
  <si>
    <t>DPWH-SK2DEO-20MH0105</t>
  </si>
  <si>
    <t>PB-PAFBAC-159-20</t>
  </si>
  <si>
    <t>DPWH-SK2DEO-20MH0104</t>
  </si>
  <si>
    <t>2020-2076-06-203</t>
  </si>
  <si>
    <t>DPWH-SK2DEO-20MH0106</t>
  </si>
  <si>
    <t>INIMO-2020-06-040</t>
  </si>
  <si>
    <t>PB-PAFBAC-160-20</t>
  </si>
  <si>
    <t>DPWH-SK2DEO-20GMH049</t>
  </si>
  <si>
    <t>BCS-2020-0130</t>
  </si>
  <si>
    <t>20-382</t>
  </si>
  <si>
    <t>20-435</t>
  </si>
  <si>
    <t>20-349</t>
  </si>
  <si>
    <t>20-343</t>
  </si>
  <si>
    <t>20-336</t>
  </si>
  <si>
    <t>20GG0181</t>
  </si>
  <si>
    <t>20-434</t>
  </si>
  <si>
    <t>20-433</t>
  </si>
  <si>
    <t>20GG0179</t>
  </si>
  <si>
    <t>2020-143-I</t>
  </si>
  <si>
    <t>20-328</t>
  </si>
  <si>
    <t>20GG0177</t>
  </si>
  <si>
    <t>20-318</t>
  </si>
  <si>
    <t>147 – 2020</t>
  </si>
  <si>
    <t>146 – 2020</t>
  </si>
  <si>
    <t>20GG0180</t>
  </si>
  <si>
    <t>PB-PAFBAC-158-20</t>
  </si>
  <si>
    <t>INFRA2020-06-024.4</t>
  </si>
  <si>
    <t>01-642-2020</t>
  </si>
  <si>
    <t>20-436</t>
  </si>
  <si>
    <t>INFRA2020-06-024.1</t>
  </si>
  <si>
    <t>20GG0178</t>
  </si>
  <si>
    <t>20-02</t>
  </si>
  <si>
    <t>INFRA2020-06-024.2</t>
  </si>
  <si>
    <t>INFRA2020-06-024.3</t>
  </si>
  <si>
    <t>DPWH-SK2DEO-20MH0108</t>
  </si>
  <si>
    <t xml:space="preserve">AMP SVP-D NO: 20-05-0269B  One (1) Lot	 Molecular </t>
  </si>
  <si>
    <t>LGU-M-GOODS-05-20</t>
  </si>
  <si>
    <t>ITDI-PB-INFRA-2020-CO-01 EBD</t>
  </si>
  <si>
    <t xml:space="preserve">AMP SVP-D NO: 20-05-0290B One (1) Lot Calibration </t>
  </si>
  <si>
    <t>LGU-M-INFRA-13-20</t>
  </si>
  <si>
    <t>20CSEG01</t>
  </si>
  <si>
    <t>LGU-M-INFRA-14-20</t>
  </si>
  <si>
    <t>G-2020-044</t>
  </si>
  <si>
    <t>GO-2020-06-86</t>
  </si>
  <si>
    <t>IB NO. CW 2020 - 090</t>
  </si>
  <si>
    <t>GO-2020-06-85</t>
  </si>
  <si>
    <t>PR 36117</t>
  </si>
  <si>
    <t>MS2020-06-026.5</t>
  </si>
  <si>
    <t>MS2020-06-026.4</t>
  </si>
  <si>
    <t>20EE0138</t>
  </si>
  <si>
    <t>2020-151-I</t>
  </si>
  <si>
    <t>LGU-M-INFRA-12-20</t>
  </si>
  <si>
    <t>MS2020-06-027.3</t>
  </si>
  <si>
    <t>MS2020-06-027.2</t>
  </si>
  <si>
    <t>GO-2020-06-87</t>
  </si>
  <si>
    <t>2020-07G</t>
  </si>
  <si>
    <t>IB NO. CW 2020 - 092</t>
  </si>
  <si>
    <t>IB 2020-07-008 POSE</t>
  </si>
  <si>
    <t>TF-20-06-096(Q)</t>
  </si>
  <si>
    <t>IB NO. CW 2020-089</t>
  </si>
  <si>
    <t>CGT-Goods- 2020-00087</t>
  </si>
  <si>
    <t>PB NO. 2020-039</t>
  </si>
  <si>
    <t>GO-2020-06-97</t>
  </si>
  <si>
    <t>G-2020-047</t>
  </si>
  <si>
    <t>PB NO. 2020-038</t>
  </si>
  <si>
    <t>G-2020-046</t>
  </si>
  <si>
    <t>GO-2020-06-98</t>
  </si>
  <si>
    <t>GO-2020-06-92</t>
  </si>
  <si>
    <t>GO-2020-06-95</t>
  </si>
  <si>
    <t>GO-2020-06-90</t>
  </si>
  <si>
    <t>GO-2020-06-93</t>
  </si>
  <si>
    <t>20200616</t>
  </si>
  <si>
    <t>B027-2020</t>
  </si>
  <si>
    <t>IB NO. CW 2020 - 091</t>
  </si>
  <si>
    <t>20-06-0352</t>
  </si>
  <si>
    <t>G-2020-045</t>
  </si>
  <si>
    <t>CYN-BAC-2020-36</t>
  </si>
  <si>
    <t>B029-2020</t>
  </si>
  <si>
    <t>GO-2020-06-91</t>
  </si>
  <si>
    <t>B030-2020</t>
  </si>
  <si>
    <t>B025-2020</t>
  </si>
  <si>
    <t>GO-2020-06-88</t>
  </si>
  <si>
    <t>B024-2020</t>
  </si>
  <si>
    <t>IB NO. CW 2020 - 096</t>
  </si>
  <si>
    <t>GO-2020-06-96</t>
  </si>
  <si>
    <t>IB NO. CW 2020 - 097</t>
  </si>
  <si>
    <t>NP-NGOP-2020-02</t>
  </si>
  <si>
    <t>LTFRB-06-015</t>
  </si>
  <si>
    <t>B022-2020</t>
  </si>
  <si>
    <t>061820</t>
  </si>
  <si>
    <t>B028-2020</t>
  </si>
  <si>
    <t>B026-2020</t>
  </si>
  <si>
    <t>2020-06-001 INF</t>
  </si>
  <si>
    <t>100-2020-01-069</t>
  </si>
  <si>
    <t>71-2020</t>
  </si>
  <si>
    <t>8-2o2o</t>
  </si>
  <si>
    <t>SVP No. 2020-034</t>
  </si>
  <si>
    <t>69-2020</t>
  </si>
  <si>
    <t>100-2019-01-068</t>
  </si>
  <si>
    <t>27</t>
  </si>
  <si>
    <t>DIS-19-1554-B</t>
  </si>
  <si>
    <t>B032-2020</t>
  </si>
  <si>
    <t>PPD-20-0661-B</t>
  </si>
  <si>
    <t>67-2020</t>
  </si>
  <si>
    <t>B031-2020</t>
  </si>
  <si>
    <t>B023-2020</t>
  </si>
  <si>
    <t>CYN-BAC-2020-35</t>
  </si>
  <si>
    <t>68-2020</t>
  </si>
  <si>
    <t>IB NO. CW 2020 - 094</t>
  </si>
  <si>
    <t>B033-2020</t>
  </si>
  <si>
    <t>IB NO. CW 2020 - 093</t>
  </si>
  <si>
    <t>B020-2020</t>
  </si>
  <si>
    <t>B021-2020</t>
  </si>
  <si>
    <t>2020-03-0474</t>
  </si>
  <si>
    <t>MS2020-06-027.1</t>
  </si>
  <si>
    <t>431-06-2020 (IPHO)</t>
  </si>
  <si>
    <t>PR 06-3515</t>
  </si>
  <si>
    <t>425-06-2020 (IPHO)</t>
  </si>
  <si>
    <t>BFAR5BAC-2020-108</t>
  </si>
  <si>
    <t>2020-0707-001</t>
  </si>
  <si>
    <t>IB NO. CW 2020 - 095</t>
  </si>
  <si>
    <t>dpwh-c2-deo 20HE0119</t>
  </si>
  <si>
    <t>ECV-20EE0137</t>
  </si>
  <si>
    <t>2020DP42-R1</t>
  </si>
  <si>
    <t>70-2020</t>
  </si>
  <si>
    <t>ITB-2020-088</t>
  </si>
  <si>
    <t>IB No. 20-55</t>
  </si>
  <si>
    <t>2020.06.16.02</t>
  </si>
  <si>
    <t>16-2020</t>
  </si>
  <si>
    <t>2020.06.16.04</t>
  </si>
  <si>
    <t>PBG-2020-07</t>
  </si>
  <si>
    <t>2020.06.16.05</t>
  </si>
  <si>
    <t>20FB0154</t>
  </si>
  <si>
    <t>IB No. 20-54</t>
  </si>
  <si>
    <t>20GA0220</t>
  </si>
  <si>
    <t>CJR-007-2020</t>
  </si>
  <si>
    <t>2020-04-286</t>
  </si>
  <si>
    <t>CJR-008-2020</t>
  </si>
  <si>
    <t>ANONANG 2020-006-001</t>
  </si>
  <si>
    <t>AGGDS2020-0617C</t>
  </si>
  <si>
    <t>28</t>
  </si>
  <si>
    <t>LGU-107-2020</t>
  </si>
  <si>
    <t>BAYLEGOOD0620063</t>
  </si>
  <si>
    <t>20FB0153</t>
  </si>
  <si>
    <t>06182020001</t>
  </si>
  <si>
    <t>101-2020-05-273</t>
  </si>
  <si>
    <t>06-03-2020</t>
  </si>
  <si>
    <t>CYN-BAC-2020-38</t>
  </si>
  <si>
    <t>PB 2020-15</t>
  </si>
  <si>
    <t>ITB No. 040-2020 GQ</t>
  </si>
  <si>
    <t>IB No. 20-63</t>
  </si>
  <si>
    <t>ITB No. 041-2020 GQ</t>
  </si>
  <si>
    <t>IB No. 20-33</t>
  </si>
  <si>
    <t>BD20-06-001</t>
  </si>
  <si>
    <t xml:space="preserve">Supply and Delivery of Construction Materials and </t>
  </si>
  <si>
    <t>20MC0098(Re-Published)</t>
  </si>
  <si>
    <t>CYN-BAC-2020-37</t>
  </si>
  <si>
    <t>MO-001-06-2020</t>
  </si>
  <si>
    <t>INFR-20-012</t>
  </si>
  <si>
    <t>20-06-023-011/52</t>
  </si>
  <si>
    <t>BFPX 2020-07</t>
  </si>
  <si>
    <t>ITB - 03 JUNE 2020</t>
  </si>
  <si>
    <t>Grants 20-05-23</t>
  </si>
  <si>
    <t>ITB - 02 JUNE 2020</t>
  </si>
  <si>
    <t>ITB - 01 JUNE 2020</t>
  </si>
  <si>
    <t>20MC0100 (Re-Published)</t>
  </si>
  <si>
    <t>20GA0222</t>
  </si>
  <si>
    <t>MO-002-06-2020</t>
  </si>
  <si>
    <t>2020-11 (20DI0160)</t>
  </si>
  <si>
    <t>20GA0223</t>
  </si>
  <si>
    <t>20DB0135</t>
  </si>
  <si>
    <t>CYN-BAC-2020-39</t>
  </si>
  <si>
    <t>LGU - Quirino INFRA 2020 - 007</t>
  </si>
  <si>
    <t>2002-19-32</t>
  </si>
  <si>
    <t>20IL0195</t>
  </si>
  <si>
    <t>20NH0092</t>
  </si>
  <si>
    <t>BAYLEGOOD0620064</t>
  </si>
  <si>
    <t>015</t>
  </si>
  <si>
    <t>014</t>
  </si>
  <si>
    <t>013</t>
  </si>
  <si>
    <t>012</t>
  </si>
  <si>
    <t>2020-06-01I</t>
  </si>
  <si>
    <t>LGU - Quirino INFRA 2020 - 009</t>
  </si>
  <si>
    <t>ITB - 04 JUNE 2020</t>
  </si>
  <si>
    <t>018</t>
  </si>
  <si>
    <t>20NH0075 (RE-AD)</t>
  </si>
  <si>
    <t>2020-11 (20DI0163)</t>
  </si>
  <si>
    <t>ITB - 05 JUNE 2020</t>
  </si>
  <si>
    <t>IB No. GS-2020 – 075</t>
  </si>
  <si>
    <t>20NH0091</t>
  </si>
  <si>
    <t>2002-93</t>
  </si>
  <si>
    <t>2020-06-05 INFRA</t>
  </si>
  <si>
    <t>IB No. 20-59</t>
  </si>
  <si>
    <t>20IL0196</t>
  </si>
  <si>
    <t>2020-11 (20DI0161)</t>
  </si>
  <si>
    <t>2020-06-06 INFRA</t>
  </si>
  <si>
    <t>IB No. GS-2020 – 073</t>
  </si>
  <si>
    <t>2002-20-21-31-37</t>
  </si>
  <si>
    <t>2020-11 (20DI0162)</t>
  </si>
  <si>
    <t>IB No. GS-2020 – 074</t>
  </si>
  <si>
    <t>LGU - Quirino INFRA 2020 - 008</t>
  </si>
  <si>
    <t>2020-03-025</t>
  </si>
  <si>
    <t>MO-004-06-2020</t>
  </si>
  <si>
    <t>LGUPROC 2020 111B</t>
  </si>
  <si>
    <t>20KK0125</t>
  </si>
  <si>
    <t>Infra-2020-P11-07-09</t>
  </si>
  <si>
    <t>2020-06-10 INFRA</t>
  </si>
  <si>
    <t>200-2020-Infra-004</t>
  </si>
  <si>
    <t>PIN2020-079</t>
  </si>
  <si>
    <t>016</t>
  </si>
  <si>
    <t>20AG0121</t>
  </si>
  <si>
    <t>MO-003-06-2020</t>
  </si>
  <si>
    <t>017</t>
  </si>
  <si>
    <t>06182020-A</t>
  </si>
  <si>
    <t>20AG0123</t>
  </si>
  <si>
    <t>100(18)20-06-346(O)</t>
  </si>
  <si>
    <t>2020-06-0123</t>
  </si>
  <si>
    <t>2020-06-08 INFRA</t>
  </si>
  <si>
    <t>NIAACIMO-SIP-TINA II-GS07-20</t>
  </si>
  <si>
    <t>IB No. 20-44</t>
  </si>
  <si>
    <t>20KK0127</t>
  </si>
  <si>
    <t>Goods2019</t>
  </si>
  <si>
    <t>2020-06-09 INFRA</t>
  </si>
  <si>
    <t>2020-06-12 INFRA</t>
  </si>
  <si>
    <t>PB20-06-002BAC</t>
  </si>
  <si>
    <t>BAYLEGOOD0620067</t>
  </si>
  <si>
    <t>G6-20-0496</t>
  </si>
  <si>
    <t>B-ITB No. 44-G-2020</t>
  </si>
  <si>
    <t>tgs 13-20</t>
  </si>
  <si>
    <t>202006116</t>
  </si>
  <si>
    <t>20053386</t>
  </si>
  <si>
    <t>LGUPROC 2020 -116B</t>
  </si>
  <si>
    <t>NIAACIMO-RRENIS-MAMBUSAO-GS08-20</t>
  </si>
  <si>
    <t>2020-418</t>
  </si>
  <si>
    <t>LGUPROC 2020 112B</t>
  </si>
  <si>
    <t>LGUPROC 2020 - 117B</t>
  </si>
  <si>
    <t>RP-31-2020</t>
  </si>
  <si>
    <t>SVP 2020-357</t>
  </si>
  <si>
    <t>PB20-06-001BAC</t>
  </si>
  <si>
    <t>BWD-RFQ-2020-08</t>
  </si>
  <si>
    <t>LGUPROC 2020 -115b</t>
  </si>
  <si>
    <t>140 – 2020</t>
  </si>
  <si>
    <t>ITB (CW-06-2020-019) 20DD0342</t>
  </si>
  <si>
    <t>ITB (CW-06-2020-019) 20DD0341</t>
  </si>
  <si>
    <t>ITB (CW-06-2020-019) 20DD0340</t>
  </si>
  <si>
    <t>ITB (CW-06-2020-019) 20DD0339</t>
  </si>
  <si>
    <t>BAYLECON0620066</t>
  </si>
  <si>
    <t>CW 01-2020</t>
  </si>
  <si>
    <t>PB-2020-06-001</t>
  </si>
  <si>
    <t>LGUPROC 2020 -113B</t>
  </si>
  <si>
    <t>20FJ0027</t>
  </si>
  <si>
    <t>ITB (CW-06-2020-019) 20DD0263 (Re-Advertised)</t>
  </si>
  <si>
    <t>2020-INFRA-237</t>
  </si>
  <si>
    <t>LGUPROC 2020 - 118B</t>
  </si>
  <si>
    <t>RFQ-GS-20200616-01</t>
  </si>
  <si>
    <t>IntBLGU201820%DFGoods-002</t>
  </si>
  <si>
    <t>23</t>
  </si>
  <si>
    <t>20GPI0005</t>
  </si>
  <si>
    <t>141 – 2020</t>
  </si>
  <si>
    <t>ITB No. 2020 – 75</t>
  </si>
  <si>
    <t>BNLSL-LCB-04A-2019</t>
  </si>
  <si>
    <t>5182020</t>
  </si>
  <si>
    <t>20GDJ0008/N-2020-06-066</t>
  </si>
  <si>
    <t>20AJ0102</t>
  </si>
  <si>
    <t>LGUPROC 2020 114B</t>
  </si>
  <si>
    <t>BAYLECON0620068</t>
  </si>
  <si>
    <t>2020-PBGOODS-06-009</t>
  </si>
  <si>
    <t>20AJ0101</t>
  </si>
  <si>
    <t>142 – 2020</t>
  </si>
  <si>
    <t>ITB (CW-06-2020-019) 20DD0348</t>
  </si>
  <si>
    <t>P11-20-0231</t>
  </si>
  <si>
    <t>LGUPROC 2020 -120B</t>
  </si>
  <si>
    <t>C10-20-1041</t>
  </si>
  <si>
    <t>LGUPROC 2020 -119B</t>
  </si>
  <si>
    <t>ITB (CW-06-2020-019) 20DD0345</t>
  </si>
  <si>
    <t>ITB (CW-06-2020-019) 20DD0343</t>
  </si>
  <si>
    <t>ITB (CW-06-2020-019) 20DD0347</t>
  </si>
  <si>
    <t>RP-30-2020</t>
  </si>
  <si>
    <t>ITB (CW-06-2020-019) 20DD0346</t>
  </si>
  <si>
    <t>SN-001-06-2020</t>
  </si>
  <si>
    <t>20AG0124</t>
  </si>
  <si>
    <t>tgs 11-20</t>
  </si>
  <si>
    <t>20KK0126</t>
  </si>
  <si>
    <t>PB GOODS 2020-05</t>
  </si>
  <si>
    <t>BAYLECON0620065</t>
  </si>
  <si>
    <t>143 – 2020</t>
  </si>
  <si>
    <t>DA RFO-1-2019-INFRA-074</t>
  </si>
  <si>
    <t>20CB0072</t>
  </si>
  <si>
    <t>ITB (CW-06-2020-019) 20DD0344</t>
  </si>
  <si>
    <t>C10-20-0222</t>
  </si>
  <si>
    <t>101-20-06-431</t>
  </si>
  <si>
    <t>SUGERY-2020-02-0003</t>
  </si>
  <si>
    <t>CYN-BAC-2020-40</t>
  </si>
  <si>
    <t>LGUPROC 2020 -123B</t>
  </si>
  <si>
    <t>INFR-010-2020</t>
  </si>
  <si>
    <t>RFQ-GS-20200616-05</t>
  </si>
  <si>
    <t>PB-2020-06-004</t>
  </si>
  <si>
    <t>S5-20-1045</t>
  </si>
  <si>
    <t>LGUPROC 2020 -121B</t>
  </si>
  <si>
    <t>20-016</t>
  </si>
  <si>
    <t>20AJ0103</t>
  </si>
  <si>
    <t>20CB0073</t>
  </si>
  <si>
    <t>20AJ0104</t>
  </si>
  <si>
    <t>ITB No. EMB-GOODS-NCB-2020-05-001</t>
  </si>
  <si>
    <t>20CB0078</t>
  </si>
  <si>
    <t>2020-SAAD-27</t>
  </si>
  <si>
    <t>Project 02-2020</t>
  </si>
  <si>
    <t>MNE-G-2020-06-19</t>
  </si>
  <si>
    <t>20AG0122</t>
  </si>
  <si>
    <t>CawExt2020-002</t>
  </si>
  <si>
    <t>DA RFO-1-2019-INFRA-077</t>
  </si>
  <si>
    <t>20CB0077</t>
  </si>
  <si>
    <t>MKWD2020-050</t>
  </si>
  <si>
    <t>20CB0076</t>
  </si>
  <si>
    <t>20CB0071</t>
  </si>
  <si>
    <t>20CB0075</t>
  </si>
  <si>
    <t>101-19-08-634</t>
  </si>
  <si>
    <t>MNE-2020-G-06-19</t>
  </si>
  <si>
    <t>20CB0074</t>
  </si>
  <si>
    <t>LGUPROC 2020 -111B</t>
  </si>
  <si>
    <t>BNLSL-LCB-34-2020</t>
  </si>
  <si>
    <t>20GBC0007</t>
  </si>
  <si>
    <t>86</t>
  </si>
  <si>
    <t>20GGF0014</t>
  </si>
  <si>
    <t>GOODS PROC 009-2020</t>
  </si>
  <si>
    <t>CW20-06-036</t>
  </si>
  <si>
    <t>CW20-06-038</t>
  </si>
  <si>
    <t>2020-TS-28</t>
  </si>
  <si>
    <t>ITB 2020-069C</t>
  </si>
  <si>
    <t>IB-Goods-2020-10- Procurement of Medical Equipment</t>
  </si>
  <si>
    <t>DA RFO-1-2019-INFRA-075</t>
  </si>
  <si>
    <t>20NC0130</t>
  </si>
  <si>
    <t>20-315</t>
  </si>
  <si>
    <t>CW20-06-037</t>
  </si>
  <si>
    <t>412020A</t>
  </si>
  <si>
    <t>20-399</t>
  </si>
  <si>
    <t>20GPF0012</t>
  </si>
  <si>
    <t>402020A</t>
  </si>
  <si>
    <t>INFR-ITB NO. 011-2020</t>
  </si>
  <si>
    <t>19CSZ014</t>
  </si>
  <si>
    <t>20-393</t>
  </si>
  <si>
    <t>382020A</t>
  </si>
  <si>
    <t>20-381</t>
  </si>
  <si>
    <t>372020A</t>
  </si>
  <si>
    <t>20-380</t>
  </si>
  <si>
    <t>06-089-2020</t>
  </si>
  <si>
    <t>20-378</t>
  </si>
  <si>
    <t>2020-TS-29</t>
  </si>
  <si>
    <t>20-413</t>
  </si>
  <si>
    <t>20NC0129</t>
  </si>
  <si>
    <t>88</t>
  </si>
  <si>
    <t>20FJ0028</t>
  </si>
  <si>
    <t>87</t>
  </si>
  <si>
    <t>ITB 2020-068C</t>
  </si>
  <si>
    <t>392020A</t>
  </si>
  <si>
    <t>PB-I-2020-05-615</t>
  </si>
  <si>
    <t>10-20</t>
  </si>
  <si>
    <t>DA RFO-1-2019-INFRA-076</t>
  </si>
  <si>
    <t>InTB-PGAPEO2020CO-CW1</t>
  </si>
  <si>
    <t>InTB-PGA2020PGSO-GDS1</t>
  </si>
  <si>
    <t>bfp12-22-2020</t>
  </si>
  <si>
    <t>bfp12-21-2020</t>
  </si>
  <si>
    <t>2020-06-27</t>
  </si>
  <si>
    <t>ITB No. 077-Goods-2020</t>
  </si>
  <si>
    <t>2020-INFRA-242</t>
  </si>
  <si>
    <t>ITB-2020-06-002</t>
  </si>
  <si>
    <t>OPA-2019-1262</t>
  </si>
  <si>
    <t>R6-D2-2020QRF-01B-SR</t>
  </si>
  <si>
    <t>2020-05-243</t>
  </si>
  <si>
    <t>2020-05-263</t>
  </si>
  <si>
    <t>R6-D2-2020QRF-01A-SR</t>
  </si>
  <si>
    <t>2020-05-265</t>
  </si>
  <si>
    <t>nlontoc-ITB059-2020</t>
  </si>
  <si>
    <t>ITB-GS-20200408-01</t>
  </si>
  <si>
    <t>nlontoc-ITB058-2020</t>
  </si>
  <si>
    <t>nlontoc-ITB057-2020</t>
  </si>
  <si>
    <t>20NC0128</t>
  </si>
  <si>
    <t>2020-06-297</t>
  </si>
  <si>
    <t>bfp12-23-2020</t>
  </si>
  <si>
    <t>2020-INFRA-241</t>
  </si>
  <si>
    <t>nlontoc-ITB060-2020</t>
  </si>
  <si>
    <t>ITB-GS-20200227-02</t>
  </si>
  <si>
    <t>2020-05-267</t>
  </si>
  <si>
    <t>SanJoseBatsAeb2020-071</t>
  </si>
  <si>
    <t>2020-01-003</t>
  </si>
  <si>
    <t>MDRRMO-114-20</t>
  </si>
  <si>
    <t>DA7-07-2020-SAAD-20-2039</t>
  </si>
  <si>
    <t>DA7-7-2020-FOD-R-20-0232</t>
  </si>
  <si>
    <t>R6-D2-2020QRF-01I-SR</t>
  </si>
  <si>
    <t>SanJoseBatsAeb2020-087</t>
  </si>
  <si>
    <t>89</t>
  </si>
  <si>
    <t>DA7-7-2020-FOD-R-20-2346</t>
  </si>
  <si>
    <t>R6-D2-2020QRF-01E-SR</t>
  </si>
  <si>
    <t>R6-D2-2020QRF-01H-SR</t>
  </si>
  <si>
    <t>R6-D2-2020QRF-01G-SR</t>
  </si>
  <si>
    <t>Infra 2020-004</t>
  </si>
  <si>
    <t>2020-05-275</t>
  </si>
  <si>
    <t>20DP0077</t>
  </si>
  <si>
    <t>SanJoseBatsAeb2020-086</t>
  </si>
  <si>
    <t>20DP0074</t>
  </si>
  <si>
    <t>CDH-19-1114-B (Re-Bid)</t>
  </si>
  <si>
    <t>20DP0073</t>
  </si>
  <si>
    <t>100-1011-2020-05-569</t>
  </si>
  <si>
    <t>CDH-19-1003-B (Re-Bid)</t>
  </si>
  <si>
    <t>R6-D2-2020QRF-01F-SR</t>
  </si>
  <si>
    <t>100-1011-2020-05-567</t>
  </si>
  <si>
    <t>PB-INFRA-05-2020</t>
  </si>
  <si>
    <t>PB20-06-003ILO</t>
  </si>
  <si>
    <t>20AI0170</t>
  </si>
  <si>
    <t>100-20-06-0599</t>
  </si>
  <si>
    <t>100-1011-2020-05-564</t>
  </si>
  <si>
    <t>2020-GOODS-005R-02-0618Rep</t>
  </si>
  <si>
    <t>100-1011-2020-05-565</t>
  </si>
  <si>
    <t>R6-D2-2020QRF-01C-SR</t>
  </si>
  <si>
    <t>ITB-GS-20200609-01</t>
  </si>
  <si>
    <t>R6-D2-2020QRF-01D-SR</t>
  </si>
  <si>
    <t>ITB No. 078-Infra-2020</t>
  </si>
  <si>
    <t>ITB No. 079-Infra-2020</t>
  </si>
  <si>
    <t>ITB-GS-20200604-01</t>
  </si>
  <si>
    <t>20OH0049 Re-ads</t>
  </si>
  <si>
    <t>20-03-0121</t>
  </si>
  <si>
    <t>bacgal-53-2020</t>
  </si>
  <si>
    <t>GS-PNBAC2-2020-21</t>
  </si>
  <si>
    <t>PR N0. 20-06-006</t>
  </si>
  <si>
    <t>20KJ0151</t>
  </si>
  <si>
    <t>NS-06-17-20-06</t>
  </si>
  <si>
    <t>GS-PNBAC2-2020-30</t>
  </si>
  <si>
    <t>HRAD 20-002</t>
  </si>
  <si>
    <t>SanJoseBatsAeb2020-088</t>
  </si>
  <si>
    <t>2003092</t>
  </si>
  <si>
    <t>ITB 2020-06-001</t>
  </si>
  <si>
    <t>2020-05-620</t>
  </si>
  <si>
    <t>20FM0051</t>
  </si>
  <si>
    <t>PR N0. 20-06-007</t>
  </si>
  <si>
    <t>20DP0075</t>
  </si>
  <si>
    <t>2020 - B4- Project A - Various Hospital and Medica</t>
  </si>
  <si>
    <t>20FM0050</t>
  </si>
  <si>
    <t>NS-06-17-20-07</t>
  </si>
  <si>
    <t>ITB No. 076-Goods-2020</t>
  </si>
  <si>
    <t>IB No. 20-38</t>
  </si>
  <si>
    <t>INF-ITB 20-031</t>
  </si>
  <si>
    <t>GS-PNBAC2-2020-23</t>
  </si>
  <si>
    <t>Mkna-GSO-20-273</t>
  </si>
  <si>
    <t>IB No. 20-27</t>
  </si>
  <si>
    <t>2020-06-067</t>
  </si>
  <si>
    <t>20FM0049</t>
  </si>
  <si>
    <t>IB No. 20-32</t>
  </si>
  <si>
    <t>20-03-0163</t>
  </si>
  <si>
    <t>06172020A</t>
  </si>
  <si>
    <t>Mkna-GSO-20-272</t>
  </si>
  <si>
    <t>20DP0076</t>
  </si>
  <si>
    <t>100(01)20-06-336(O)</t>
  </si>
  <si>
    <t>IB No. 20-46</t>
  </si>
  <si>
    <t>IB No. 20-10</t>
  </si>
  <si>
    <t>IB No. 20-24</t>
  </si>
  <si>
    <t>2020 - B4 -  Project C - Various Hospital and Medi</t>
  </si>
  <si>
    <t>NS-06-17-20-08-R2</t>
  </si>
  <si>
    <t>100(01)20-06-027(AA)</t>
  </si>
  <si>
    <t>B-85-2020</t>
  </si>
  <si>
    <t>B-84-2020</t>
  </si>
  <si>
    <t>2020 - B4- Project B - Various Hospital and Medica</t>
  </si>
  <si>
    <t>20-03-0148</t>
  </si>
  <si>
    <t>2020-PBG-02</t>
  </si>
  <si>
    <t>GS-PNBAC2-2020-20</t>
  </si>
  <si>
    <t>20GKJ0004</t>
  </si>
  <si>
    <t>20KJ0180</t>
  </si>
  <si>
    <t>NS-06-17-20-09</t>
  </si>
  <si>
    <t xml:space="preserve">IB 2020-07-08(06) Goods Cat II Med/Lab Supplies &amp; </t>
  </si>
  <si>
    <t>020-G006</t>
  </si>
  <si>
    <t>PB-GS-2020-007</t>
  </si>
  <si>
    <t>PB2020-47</t>
  </si>
  <si>
    <t>20BK0145</t>
  </si>
  <si>
    <t>100-20-06-001</t>
  </si>
  <si>
    <t>GOODS2020-006</t>
  </si>
  <si>
    <t>B-83-2020</t>
  </si>
  <si>
    <t>IB No. 20-16</t>
  </si>
  <si>
    <t>PB-ALBAYINFRA-20-04</t>
  </si>
  <si>
    <t>INF-ITB 20-032</t>
  </si>
  <si>
    <t>20BK0144</t>
  </si>
  <si>
    <t>2020-PBG-03</t>
  </si>
  <si>
    <t>100(01)20-06-332(O)</t>
  </si>
  <si>
    <t>20KJ0179</t>
  </si>
  <si>
    <t>ITB # 20ODGS-0001</t>
  </si>
  <si>
    <t>NS-06-17-20-10</t>
  </si>
  <si>
    <t>2020- B4 - Project D - Various Hospital and Medica</t>
  </si>
  <si>
    <t>2020061601</t>
  </si>
  <si>
    <t>GS-PNBAC2-2020-29</t>
  </si>
  <si>
    <t>CDH-18-2436-B (Re-Bid)</t>
  </si>
  <si>
    <t>2020-INFRA-240</t>
  </si>
  <si>
    <t>2020-INFRA-239</t>
  </si>
  <si>
    <t>2020-06-11 INFRA</t>
  </si>
  <si>
    <t>IB No. 20-62</t>
  </si>
  <si>
    <t>019</t>
  </si>
  <si>
    <t>2020-INFRA-238</t>
  </si>
  <si>
    <t>20-415</t>
  </si>
  <si>
    <t>MO-005-06-2020</t>
  </si>
  <si>
    <t>2020-06-07 INFRA</t>
  </si>
  <si>
    <t>2020-11 (20DI0165)</t>
  </si>
  <si>
    <t>CDH-19-1151-B (Re-Bid)</t>
  </si>
  <si>
    <t>PB-2020-CW-002</t>
  </si>
  <si>
    <t>2020-06-0625 TDG</t>
  </si>
  <si>
    <t>211435</t>
  </si>
  <si>
    <t>Owak2020Goods001</t>
  </si>
  <si>
    <t>2020-06-31</t>
  </si>
  <si>
    <t>211434</t>
  </si>
  <si>
    <t>GD-PB-2020-06-0233</t>
  </si>
  <si>
    <t>CHMSC 20-019-0617-I</t>
  </si>
  <si>
    <t>211433</t>
  </si>
  <si>
    <t>PGL 20-078</t>
  </si>
  <si>
    <t>PB-INF-005-2020</t>
  </si>
  <si>
    <t>INF-ITB 20-034</t>
  </si>
  <si>
    <t>100-202002-00426</t>
  </si>
  <si>
    <t>INF-ITB 20-033</t>
  </si>
  <si>
    <t>00125</t>
  </si>
  <si>
    <t>100-2003-292</t>
  </si>
  <si>
    <t>100-202003-00535</t>
  </si>
  <si>
    <t>2020-11 (20DI0164)</t>
  </si>
  <si>
    <t>100-202003-00560</t>
  </si>
  <si>
    <t>2002-92</t>
  </si>
  <si>
    <t>Managa 2020-06-001</t>
  </si>
  <si>
    <t>2001-S1C01</t>
  </si>
  <si>
    <t>100-1011-2020-05-571</t>
  </si>
  <si>
    <t>HILONGOS 2020-181</t>
  </si>
  <si>
    <t>2020-06-250</t>
  </si>
  <si>
    <t>20BB0124</t>
  </si>
  <si>
    <t>ORD PABAC 046-19 (Rebid)</t>
  </si>
  <si>
    <t>3-06172020</t>
  </si>
  <si>
    <t>GOODS-20-31</t>
  </si>
  <si>
    <t>2020-06-249</t>
  </si>
  <si>
    <t>2020-06-069</t>
  </si>
  <si>
    <t>2-06172020</t>
  </si>
  <si>
    <t>20H00068</t>
  </si>
  <si>
    <t>GOODS-2020-0003</t>
  </si>
  <si>
    <t>22-20</t>
  </si>
  <si>
    <t>100-1011-2020-05-572</t>
  </si>
  <si>
    <t>2020-06-07B</t>
  </si>
  <si>
    <t>1-06172020</t>
  </si>
  <si>
    <t>HILONGOS 2020-182</t>
  </si>
  <si>
    <t>goods 156-2020</t>
  </si>
  <si>
    <t>IB No. 20-58</t>
  </si>
  <si>
    <t>2020-06-248</t>
  </si>
  <si>
    <t>PB2020-49</t>
  </si>
  <si>
    <t>00105</t>
  </si>
  <si>
    <t>bac-azds-20-06-016</t>
  </si>
  <si>
    <t>ITB-2020-PCC-001</t>
  </si>
  <si>
    <t>6-06172020</t>
  </si>
  <si>
    <t>100-1011-2020-05-568</t>
  </si>
  <si>
    <t>goods 157-2020</t>
  </si>
  <si>
    <t>26-20</t>
  </si>
  <si>
    <t>2020-06-253</t>
  </si>
  <si>
    <t>5-06172020</t>
  </si>
  <si>
    <t>24-20</t>
  </si>
  <si>
    <t>8911-6-1939-20</t>
  </si>
  <si>
    <t>ITB No. 2020-022</t>
  </si>
  <si>
    <t>UPLB-RQ-6-128-20-I CONSTRUCTION PROJECTS</t>
  </si>
  <si>
    <t>2020-06-252</t>
  </si>
  <si>
    <t>Infra-02</t>
  </si>
  <si>
    <t>4-06172020</t>
  </si>
  <si>
    <t>20NF0079</t>
  </si>
  <si>
    <t>25-20</t>
  </si>
  <si>
    <t>G-2020-19</t>
  </si>
  <si>
    <t>2020-06-251</t>
  </si>
  <si>
    <t>salbac 2020 20</t>
  </si>
  <si>
    <t>01401</t>
  </si>
  <si>
    <t>HILONGOS 2020-183</t>
  </si>
  <si>
    <t>20BB0125</t>
  </si>
  <si>
    <t>06172020C</t>
  </si>
  <si>
    <t>211438</t>
  </si>
  <si>
    <t>IB No. 20-37</t>
  </si>
  <si>
    <t>INF-ITB 20-035</t>
  </si>
  <si>
    <t>100-2003-295</t>
  </si>
  <si>
    <t>211437</t>
  </si>
  <si>
    <t>PB-2020-GDS-025</t>
  </si>
  <si>
    <t>GD-PB-2020-01-0001</t>
  </si>
  <si>
    <t>8918-11-1779-20</t>
  </si>
  <si>
    <t>2020-01-0066</t>
  </si>
  <si>
    <t>20PJ0052</t>
  </si>
  <si>
    <t>INFRA 2020-14</t>
  </si>
  <si>
    <t>ITB NO. GOP-20-DSWD-2020-05-03</t>
  </si>
  <si>
    <t>2020-05-038-D</t>
  </si>
  <si>
    <t>RFQ 030-2020</t>
  </si>
  <si>
    <t>20LB0185</t>
  </si>
  <si>
    <t>20LB0193</t>
  </si>
  <si>
    <t>C10-20-1039</t>
  </si>
  <si>
    <t>20LB0187</t>
  </si>
  <si>
    <t>8-06172020</t>
  </si>
  <si>
    <t>GOODS-20-32</t>
  </si>
  <si>
    <t>20LB0257</t>
  </si>
  <si>
    <t>2020-infra-001</t>
  </si>
  <si>
    <t>GS-P02-2020-07-08</t>
  </si>
  <si>
    <t>20LB0235</t>
  </si>
  <si>
    <t>CHMSC 20-020-0617-I</t>
  </si>
  <si>
    <t>GS-P04-2020-07-08</t>
  </si>
  <si>
    <t>HILONGOS 2020-184</t>
  </si>
  <si>
    <t>2020-05-08</t>
  </si>
  <si>
    <t>60017012020</t>
  </si>
  <si>
    <t>300-2020-02-017</t>
  </si>
  <si>
    <t>20LB0304</t>
  </si>
  <si>
    <t>IB No. 20-29</t>
  </si>
  <si>
    <t>HILONGOS 2020-185</t>
  </si>
  <si>
    <t>BALISONG INFRA ITB 2020-___</t>
  </si>
  <si>
    <t>20LB0302</t>
  </si>
  <si>
    <t>2020-06-164-B</t>
  </si>
  <si>
    <t>2020-06-08B</t>
  </si>
  <si>
    <t>GS-P06-2020-07-08</t>
  </si>
  <si>
    <t>60017032020</t>
  </si>
  <si>
    <t>60017022020</t>
  </si>
  <si>
    <t>ITB No. 015-2020 GQ</t>
  </si>
  <si>
    <t>202006170004</t>
  </si>
  <si>
    <t>100-03-20-00885</t>
  </si>
  <si>
    <t>C10-20-1048</t>
  </si>
  <si>
    <t>20A00070</t>
  </si>
  <si>
    <t>2020-05-040-D</t>
  </si>
  <si>
    <t>MNP-INFR-096-2020</t>
  </si>
  <si>
    <t>20-02-0095 Re-bid</t>
  </si>
  <si>
    <t>20KA0143</t>
  </si>
  <si>
    <t>20A00021</t>
  </si>
  <si>
    <t>C10-20-0220</t>
  </si>
  <si>
    <t>20-06-123</t>
  </si>
  <si>
    <t>BDG-2020-03</t>
  </si>
  <si>
    <t>goods 155-2020</t>
  </si>
  <si>
    <t>202006170005</t>
  </si>
  <si>
    <t>IL-2020-B-29</t>
  </si>
  <si>
    <t>202006013</t>
  </si>
  <si>
    <t>OC-68(ESMO-06) 20 GD</t>
  </si>
  <si>
    <t>salbac 2020 24</t>
  </si>
  <si>
    <t>C10-20-1042</t>
  </si>
  <si>
    <t>29-20</t>
  </si>
  <si>
    <t>PB-2020-06-043</t>
  </si>
  <si>
    <t>2020-STO-QRF FAW-GOODS-25</t>
  </si>
  <si>
    <t>2020-STO-QRF FAW-GOODS-23</t>
  </si>
  <si>
    <t>PB-2020-GDS-027</t>
  </si>
  <si>
    <t>PB-2020-06-042</t>
  </si>
  <si>
    <t>OC-66(GSO-04) 20 GD</t>
  </si>
  <si>
    <t>goods 159-2020</t>
  </si>
  <si>
    <t>CA Health Care Benefits - 2020-001</t>
  </si>
  <si>
    <t>202006170006</t>
  </si>
  <si>
    <t>2020-STO-QRF FAW-GOODS-24</t>
  </si>
  <si>
    <t>PR 2020-06-195</t>
  </si>
  <si>
    <t>ENG' 6ID, SBAC 02-2020</t>
  </si>
  <si>
    <t>2020-Goods-006</t>
  </si>
  <si>
    <t>60017042020</t>
  </si>
  <si>
    <t>PB-2020-06-045</t>
  </si>
  <si>
    <t>20dpwh76</t>
  </si>
  <si>
    <t>GS-P07-2020-07-08</t>
  </si>
  <si>
    <t>DPWH-SK2DEO-20CSMH01</t>
  </si>
  <si>
    <t>salbac 2020 26</t>
  </si>
  <si>
    <t>PR Nos. 1-32680, 1-32681, 1-32683 - Supply and Del</t>
  </si>
  <si>
    <t>DPWH-SK2DEO-20CSMH02</t>
  </si>
  <si>
    <t>20LB0303</t>
  </si>
  <si>
    <t>salbac 2020 23</t>
  </si>
  <si>
    <t>20FC0118</t>
  </si>
  <si>
    <t>20FC0117</t>
  </si>
  <si>
    <t>2020-0007</t>
  </si>
  <si>
    <t>rdd-bayaniHAN-01</t>
  </si>
  <si>
    <t>20dpwh78</t>
  </si>
  <si>
    <t>2020-Goods-004</t>
  </si>
  <si>
    <t>DPWH-SK2DEO-20CSMH04</t>
  </si>
  <si>
    <t>BulSU-BAC-G-2020-23</t>
  </si>
  <si>
    <t>20PD0132</t>
  </si>
  <si>
    <t>DPWH-SK2DEO-20CSMH05</t>
  </si>
  <si>
    <t>2020-0008</t>
  </si>
  <si>
    <t>SF-GOODS-2020-006</t>
  </si>
  <si>
    <t>20dpwh77</t>
  </si>
  <si>
    <t>20JG0084</t>
  </si>
  <si>
    <t>20JG0076</t>
  </si>
  <si>
    <t>20JG0075</t>
  </si>
  <si>
    <t>PG-2020-046</t>
  </si>
  <si>
    <t>20JG0086</t>
  </si>
  <si>
    <t>20LE0122</t>
  </si>
  <si>
    <t>20JG0085</t>
  </si>
  <si>
    <t>20JG0082</t>
  </si>
  <si>
    <t>20JG0080</t>
  </si>
  <si>
    <t>DPWH-SK2DEO-20CSMH03</t>
  </si>
  <si>
    <t>20JG0079</t>
  </si>
  <si>
    <t>20JG0083</t>
  </si>
  <si>
    <t>20FC0123</t>
  </si>
  <si>
    <t>20O00059</t>
  </si>
  <si>
    <t>20FC0121</t>
  </si>
  <si>
    <t>20JG0078</t>
  </si>
  <si>
    <t>20FC0120</t>
  </si>
  <si>
    <t>JHS - 2020 - 006 - 0023</t>
  </si>
  <si>
    <t>20dpwh75</t>
  </si>
  <si>
    <t>20JG0077</t>
  </si>
  <si>
    <t>20FC0122</t>
  </si>
  <si>
    <t>20FC0119</t>
  </si>
  <si>
    <t>PB INFRA 20-043</t>
  </si>
  <si>
    <t>MASO-202-20</t>
  </si>
  <si>
    <t>PB INFRA 20-042</t>
  </si>
  <si>
    <t>PB INFRA 20-041</t>
  </si>
  <si>
    <t>project ref.no. 45-2020-JUNE-INFRA</t>
  </si>
  <si>
    <t>2020-Infra-002</t>
  </si>
  <si>
    <t>20DE0144</t>
  </si>
  <si>
    <t>'PB Infra 20-039</t>
  </si>
  <si>
    <t>MDRRMO-180-20</t>
  </si>
  <si>
    <t>PB-2020-CW-021</t>
  </si>
  <si>
    <t>PB INFRA 20-038</t>
  </si>
  <si>
    <t>PB-2020-06-046</t>
  </si>
  <si>
    <t>ITB No. 2020-32</t>
  </si>
  <si>
    <t>100-2019-10-1635</t>
  </si>
  <si>
    <t>project ref.no. 44-2020-JUNE-INFRA</t>
  </si>
  <si>
    <t>'PB Infra 20-040</t>
  </si>
  <si>
    <t>100-2019-11-1714</t>
  </si>
  <si>
    <t>100-2020-01-015</t>
  </si>
  <si>
    <t>INFRA 20-07-14</t>
  </si>
  <si>
    <t>100-2020-02-308</t>
  </si>
  <si>
    <t>20AH0192</t>
  </si>
  <si>
    <t>100-2020-01-129</t>
  </si>
  <si>
    <t>20AH0209</t>
  </si>
  <si>
    <t>20AH0206</t>
  </si>
  <si>
    <t>2020-64 (GAS)</t>
  </si>
  <si>
    <t>20JG0081</t>
  </si>
  <si>
    <t>19CSK00041</t>
  </si>
  <si>
    <t>INFRA 20-07-20</t>
  </si>
  <si>
    <t>20AH0207</t>
  </si>
  <si>
    <t>INFRA 20-07-21</t>
  </si>
  <si>
    <t>19GF00031</t>
  </si>
  <si>
    <t>2020-65 (GAS)</t>
  </si>
  <si>
    <t>BAC2020-06-021</t>
  </si>
  <si>
    <t>INFRA 20-07-15</t>
  </si>
  <si>
    <t>ITB No. 20-06-12</t>
  </si>
  <si>
    <t>20AH0208</t>
  </si>
  <si>
    <t>2020-033-I</t>
  </si>
  <si>
    <t>IMELDA202002</t>
  </si>
  <si>
    <t>PB-06172020-1</t>
  </si>
  <si>
    <t>2020-B1-06-014</t>
  </si>
  <si>
    <t>SDH-20-0361-B</t>
  </si>
  <si>
    <t>ITB No. 20-06-13</t>
  </si>
  <si>
    <t>ESP-INFRA-10-2020</t>
  </si>
  <si>
    <t>GOODS-2020-007</t>
  </si>
  <si>
    <t>20CSDM06</t>
  </si>
  <si>
    <t>B-20-001</t>
  </si>
  <si>
    <t>20GEB0023</t>
  </si>
  <si>
    <t>20GEB0058</t>
  </si>
  <si>
    <t>41-200483-2020</t>
  </si>
  <si>
    <t>100-2019-11-1710</t>
  </si>
  <si>
    <t>20GEB0093</t>
  </si>
  <si>
    <t>20GEB0021</t>
  </si>
  <si>
    <t>40-201340-2020</t>
  </si>
  <si>
    <t>2020-B1-002</t>
  </si>
  <si>
    <t>39-201440-2020</t>
  </si>
  <si>
    <t>38-201371-2020</t>
  </si>
  <si>
    <t>AKLAN BAC ITB 209 SERIES 2020</t>
  </si>
  <si>
    <t>DAS 2020-004</t>
  </si>
  <si>
    <t>AKLAN BAC ITB 210 SERIES 2020</t>
  </si>
  <si>
    <t>AKLAN BAC ITB 211 SERIES 2020</t>
  </si>
  <si>
    <t>DA7-07-2020-SAAD-20-1237</t>
  </si>
  <si>
    <t>AKLAN BAC ITB 208 SERIES 2020</t>
  </si>
  <si>
    <t>LGU-Sagay-4748</t>
  </si>
  <si>
    <t>DA7-07-2020-ILD-20-2316</t>
  </si>
  <si>
    <t>AKLAN BAC ITB 207 SERIES 2020</t>
  </si>
  <si>
    <t>200030</t>
  </si>
  <si>
    <t>ESP-INFRA-11-2020</t>
  </si>
  <si>
    <t>2020-B1-02</t>
  </si>
  <si>
    <t>DA7-07-2020-SAAD-20-1185</t>
  </si>
  <si>
    <t>2020-INFRA-017</t>
  </si>
  <si>
    <t>2020-06-89</t>
  </si>
  <si>
    <t>HMO-20-0354-B</t>
  </si>
  <si>
    <t>DA7-07-2020-SAAD-20-0992</t>
  </si>
  <si>
    <t>DA7-07-2020-ILD-20-2315</t>
  </si>
  <si>
    <t>20CSDM05</t>
  </si>
  <si>
    <t>20GEB0012</t>
  </si>
  <si>
    <t xml:space="preserve">20CSAE01: SUBSURFACE EXPLORATION FOR THE PROPOSED </t>
  </si>
  <si>
    <t>AKLAN BAC ITB 212 SERIES 2020</t>
  </si>
  <si>
    <t>INFRA 20-07-19</t>
  </si>
  <si>
    <t>INFRA 20-07-18</t>
  </si>
  <si>
    <t>20CSDM04</t>
  </si>
  <si>
    <t>SDH-20-0364-B</t>
  </si>
  <si>
    <t>GEPS-11-2020</t>
  </si>
  <si>
    <t>2020-0334</t>
  </si>
  <si>
    <t>06172020B</t>
  </si>
  <si>
    <t>INFRA 20-07-16</t>
  </si>
  <si>
    <t>DA7-07-2020-ILD-20-2314</t>
  </si>
  <si>
    <t>20BC0206</t>
  </si>
  <si>
    <t>20L00148</t>
  </si>
  <si>
    <t>20BC0208</t>
  </si>
  <si>
    <t>INFRA 20-07-17</t>
  </si>
  <si>
    <t>AKLAN BAC ITB 213 SERIES 2020</t>
  </si>
  <si>
    <t>20GEB0010</t>
  </si>
  <si>
    <t>B-CW-2020-022</t>
  </si>
  <si>
    <t>ITB# 20DF-2020-01</t>
  </si>
  <si>
    <t>2020-02A</t>
  </si>
  <si>
    <t>DA7-07-2020-FOD-L-20-2347</t>
  </si>
  <si>
    <t>20CD0167</t>
  </si>
  <si>
    <t>C-PEO-055-20</t>
  </si>
  <si>
    <t>20L00032</t>
  </si>
  <si>
    <t>GOODS 20-07-07</t>
  </si>
  <si>
    <t>TANZA 2 2020-01-06</t>
  </si>
  <si>
    <t>20-06-200</t>
  </si>
  <si>
    <t>B-CW-2020-023</t>
  </si>
  <si>
    <t>6-35-20</t>
  </si>
  <si>
    <t>20GM0064 (RE-BIDDING)</t>
  </si>
  <si>
    <t>DAS 2020-003</t>
  </si>
  <si>
    <t>GOODS 20-07-06</t>
  </si>
  <si>
    <t>GOODS-2020-09</t>
  </si>
  <si>
    <t>025-06-2020</t>
  </si>
  <si>
    <t>mda126</t>
  </si>
  <si>
    <t>2020 - 23</t>
  </si>
  <si>
    <t>PEO-2020-0173 PR2020-0436</t>
  </si>
  <si>
    <t>005 2020 LML</t>
  </si>
  <si>
    <t>ITB No. 2020-158-bpmc</t>
  </si>
  <si>
    <t>TANZA 2 2020-04-06</t>
  </si>
  <si>
    <t>C-PEO-057-20</t>
  </si>
  <si>
    <t>006-027-2020</t>
  </si>
  <si>
    <t>006-026-2020</t>
  </si>
  <si>
    <t>ITB No. 07-INFRA-2020</t>
  </si>
  <si>
    <t>20FF0094</t>
  </si>
  <si>
    <t>C-PEO-056-20</t>
  </si>
  <si>
    <t>006-025-2020</t>
  </si>
  <si>
    <t>06162020-2</t>
  </si>
  <si>
    <t>G-PEO-046-20</t>
  </si>
  <si>
    <t>773</t>
  </si>
  <si>
    <t>SI-06-2020-001</t>
  </si>
  <si>
    <t>2020-B1-06-015</t>
  </si>
  <si>
    <t>2020-06-255</t>
  </si>
  <si>
    <t>Sto. Nino-07-02-20</t>
  </si>
  <si>
    <t>PBgoods017-2020</t>
  </si>
  <si>
    <t>06162020-1</t>
  </si>
  <si>
    <t>2020 - 24</t>
  </si>
  <si>
    <t>pb-gd-2020-037</t>
  </si>
  <si>
    <t>2020-147</t>
  </si>
  <si>
    <t>GOODS-06-16-2020-01</t>
  </si>
  <si>
    <t>ITB No. 2020-74</t>
  </si>
  <si>
    <t>DAR-PANG-006-2020</t>
  </si>
  <si>
    <t>MOB-2020-010</t>
  </si>
  <si>
    <t>2020 - 25</t>
  </si>
  <si>
    <t>INFRA-06-16-2020-04</t>
  </si>
  <si>
    <t>GOODS-06-16-2020-02</t>
  </si>
  <si>
    <t>006-024-2020</t>
  </si>
  <si>
    <t>INFRA-06-16-2020-01</t>
  </si>
  <si>
    <t>006 2020 LML</t>
  </si>
  <si>
    <t>077 - 2020</t>
  </si>
  <si>
    <t>INFRA-06-16-2020-02</t>
  </si>
  <si>
    <t>BAC2020-11</t>
  </si>
  <si>
    <t>ITB PR 0452</t>
  </si>
  <si>
    <t>BP-2020-11</t>
  </si>
  <si>
    <t>pb-gd-2020-038</t>
  </si>
  <si>
    <t>INFRA-06-16-2020-03</t>
  </si>
  <si>
    <t>INFRA-2020-223</t>
  </si>
  <si>
    <t>BP-2020-09</t>
  </si>
  <si>
    <t>020-G001</t>
  </si>
  <si>
    <t>ITB No. 20-24</t>
  </si>
  <si>
    <t>SAM-2020-19</t>
  </si>
  <si>
    <t>ISPSC-2020-G-E008</t>
  </si>
  <si>
    <t>OPV-2020-0174 PR2020-0440</t>
  </si>
  <si>
    <t>06-16-2020-214</t>
  </si>
  <si>
    <t>06162020001</t>
  </si>
  <si>
    <t>ITB No. 20-25</t>
  </si>
  <si>
    <t>GOODS 20-07-05</t>
  </si>
  <si>
    <t>BP-2020-10</t>
  </si>
  <si>
    <t>TANZA 2 2020-03-06</t>
  </si>
  <si>
    <t>GEPS-02-2020</t>
  </si>
  <si>
    <t>TANZA 2 2020-02-06</t>
  </si>
  <si>
    <t>IAEB 222-20</t>
  </si>
  <si>
    <t>IAEB 220-20</t>
  </si>
  <si>
    <t>2020-GOODS-002NP-02-0617</t>
  </si>
  <si>
    <t>DAR-PANG-008-2020</t>
  </si>
  <si>
    <t>AKLAN BAC ITB 351 SERIES 2020</t>
  </si>
  <si>
    <t>36-2020</t>
  </si>
  <si>
    <t>2020 Caib 093</t>
  </si>
  <si>
    <t>JHS - 2020 - 006 - 0026</t>
  </si>
  <si>
    <t>DA7-07-FOD-H-20-2345</t>
  </si>
  <si>
    <t>Tal-Pob-01-2020</t>
  </si>
  <si>
    <t>DA7-07-2020-SAAD-20-2131</t>
  </si>
  <si>
    <t>TANZA 2 2020-05-06</t>
  </si>
  <si>
    <t>AKLAN BAC ITB 215 SERIES 2020</t>
  </si>
  <si>
    <t>RFQ-GS-20200608-04</t>
  </si>
  <si>
    <t>PCAARRD-2020-04-28-001</t>
  </si>
  <si>
    <t>AKLAN BAC ITB 350 SERIES 2020</t>
  </si>
  <si>
    <t>PB-2020-14</t>
  </si>
  <si>
    <t>Civil Works 020-2020</t>
  </si>
  <si>
    <t>ITB 2020-0015</t>
  </si>
  <si>
    <t>2020-06-90</t>
  </si>
  <si>
    <t>06-16-2020-216</t>
  </si>
  <si>
    <t>GOODS 2020-03</t>
  </si>
  <si>
    <t>PB-2020-15</t>
  </si>
  <si>
    <t>PB-2020-13</t>
  </si>
  <si>
    <t>MKWD2020-048</t>
  </si>
  <si>
    <t>2020-06-92</t>
  </si>
  <si>
    <t>06-16-2020-215</t>
  </si>
  <si>
    <t>JHS - 2020 - 006 - 0025</t>
  </si>
  <si>
    <t>2020-032-I</t>
  </si>
  <si>
    <t>20LE0123</t>
  </si>
  <si>
    <t>salbac 2020 25</t>
  </si>
  <si>
    <t>PCAARRD-2020-04-28-004</t>
  </si>
  <si>
    <t>PB-2020-12</t>
  </si>
  <si>
    <t>goods 158-2020</t>
  </si>
  <si>
    <t>2020-06-91</t>
  </si>
  <si>
    <t>2020 INFRA 007</t>
  </si>
  <si>
    <t>PB-2020-22</t>
  </si>
  <si>
    <t>Project No. 2020-26</t>
  </si>
  <si>
    <t>PB-2020-06-044</t>
  </si>
  <si>
    <t>20KI0090</t>
  </si>
  <si>
    <t>20KI0089</t>
  </si>
  <si>
    <t>202006012</t>
  </si>
  <si>
    <t>PB-2020-21</t>
  </si>
  <si>
    <t>PB-2020-GDS-026</t>
  </si>
  <si>
    <t>20KI0088</t>
  </si>
  <si>
    <t>BAC 2020-34</t>
  </si>
  <si>
    <t>CW 2020-03-001a</t>
  </si>
  <si>
    <t>MB 2020-17 I</t>
  </si>
  <si>
    <t>PB-2020-20</t>
  </si>
  <si>
    <t>MB 2020-16 I</t>
  </si>
  <si>
    <t>ITB 061620-1</t>
  </si>
  <si>
    <t>MB 2020-15 I</t>
  </si>
  <si>
    <t>BTG3-20GDC0005</t>
  </si>
  <si>
    <t>Solicitation No. Goods 20-0617-0070</t>
  </si>
  <si>
    <t>PICK UP-2020-06-01</t>
  </si>
  <si>
    <t>CARIDAD202001</t>
  </si>
  <si>
    <t>2020-317</t>
  </si>
  <si>
    <t>CA100-2019-01-001</t>
  </si>
  <si>
    <t>Solicitation No. Goods 20-0617-0068</t>
  </si>
  <si>
    <t>G-PEO-047-20</t>
  </si>
  <si>
    <t>Solicitation No. Goods 20-0617-0069</t>
  </si>
  <si>
    <t>INFRA 2020-01</t>
  </si>
  <si>
    <t>20HC0181</t>
  </si>
  <si>
    <t>Project No. 2020-27</t>
  </si>
  <si>
    <t>0025/June/2020</t>
  </si>
  <si>
    <t>20H00062</t>
  </si>
  <si>
    <t>2020-GOODS-33</t>
  </si>
  <si>
    <t>MP-061620-36</t>
  </si>
  <si>
    <t>2020-06-09B</t>
  </si>
  <si>
    <t>20GFH0011</t>
  </si>
  <si>
    <t>BWD-RFQ-2020-07</t>
  </si>
  <si>
    <t>2020-206</t>
  </si>
  <si>
    <t>PB20-04-034COR</t>
  </si>
  <si>
    <t>PB-2020-23</t>
  </si>
  <si>
    <t>ITB 06-2020-009</t>
  </si>
  <si>
    <t>2020-299</t>
  </si>
  <si>
    <t>20PF0068</t>
  </si>
  <si>
    <t>20DM0068</t>
  </si>
  <si>
    <t>cw-2020-017</t>
  </si>
  <si>
    <t>2020 INFRA 006</t>
  </si>
  <si>
    <t>20H00067</t>
  </si>
  <si>
    <t>20H00066</t>
  </si>
  <si>
    <t>2020-06-01B</t>
  </si>
  <si>
    <t>2020-G-01</t>
  </si>
  <si>
    <t>AGGDS2020-0617A</t>
  </si>
  <si>
    <t>PHO-2020-038 PR2020-0150</t>
  </si>
  <si>
    <t>2020 INFRA 008</t>
  </si>
  <si>
    <t>S2-DOO20-014</t>
  </si>
  <si>
    <t>20AD0096</t>
  </si>
  <si>
    <t>20H00064</t>
  </si>
  <si>
    <t>GOODS-20-29</t>
  </si>
  <si>
    <t>SAM-2020-20</t>
  </si>
  <si>
    <t>20FH0096</t>
  </si>
  <si>
    <t>QES-06-017-20</t>
  </si>
  <si>
    <t>20H00065</t>
  </si>
  <si>
    <t>S2-DOO20-008</t>
  </si>
  <si>
    <t>IB 2020-069</t>
  </si>
  <si>
    <t>QES-06-016-20</t>
  </si>
  <si>
    <t>S2-LIM20-001</t>
  </si>
  <si>
    <t>0020-0056-0320A-2020</t>
  </si>
  <si>
    <t>R3-BANE-MOOE-2020-AU-64</t>
  </si>
  <si>
    <t>20KB0168</t>
  </si>
  <si>
    <t>368-2020</t>
  </si>
  <si>
    <t>PR#2020-05-685</t>
  </si>
  <si>
    <t>20KB0173</t>
  </si>
  <si>
    <t>0020-0056-0320B-2020</t>
  </si>
  <si>
    <t>SAM-2020-25</t>
  </si>
  <si>
    <t>20KB0167</t>
  </si>
  <si>
    <t>20-102</t>
  </si>
  <si>
    <t>SAM-2020-24</t>
  </si>
  <si>
    <t>20KB0172</t>
  </si>
  <si>
    <t>0026/June/2020</t>
  </si>
  <si>
    <t>SAM-2020-22</t>
  </si>
  <si>
    <t>20KB0171</t>
  </si>
  <si>
    <t>IB-2020-070</t>
  </si>
  <si>
    <t>IB 2020-072</t>
  </si>
  <si>
    <t>20KB0170</t>
  </si>
  <si>
    <t>S2-SVP20-001</t>
  </si>
  <si>
    <t>IB-2020-071</t>
  </si>
  <si>
    <t>20KB0178</t>
  </si>
  <si>
    <t>2020G - 017-616</t>
  </si>
  <si>
    <t>SAM-2020-23</t>
  </si>
  <si>
    <t>S2-ALD20-004</t>
  </si>
  <si>
    <t>2020G - 016-616</t>
  </si>
  <si>
    <t>S2-BH120-003</t>
  </si>
  <si>
    <t>IB-2020-073</t>
  </si>
  <si>
    <t>20KB0175</t>
  </si>
  <si>
    <t>S2-SND20-001</t>
  </si>
  <si>
    <t>GOODS-20-30</t>
  </si>
  <si>
    <t>SN-2020-06-013</t>
  </si>
  <si>
    <t>IB-2020-074</t>
  </si>
  <si>
    <t>2020-06-05B</t>
  </si>
  <si>
    <t>20GB00013 (re-ad)</t>
  </si>
  <si>
    <t>2020-10 (20DI0152)</t>
  </si>
  <si>
    <t>2020C-21-616</t>
  </si>
  <si>
    <t>S2-ANT20-007</t>
  </si>
  <si>
    <t>20PL0121</t>
  </si>
  <si>
    <t>2020-10 (20DI0150)</t>
  </si>
  <si>
    <t>S2-PMG20-010</t>
  </si>
  <si>
    <t>20KB0176</t>
  </si>
  <si>
    <t>S2-GIG20-010</t>
  </si>
  <si>
    <t>20KB0177</t>
  </si>
  <si>
    <t>2020-10 (20DI0151)</t>
  </si>
  <si>
    <t>2020-10 (20DI0146)</t>
  </si>
  <si>
    <t>2020-10 (20DI0149)</t>
  </si>
  <si>
    <t>2020-10 (20DI0145)</t>
  </si>
  <si>
    <t>20PL0119</t>
  </si>
  <si>
    <t>2020-10 (20DI0148)</t>
  </si>
  <si>
    <t>20PL0118</t>
  </si>
  <si>
    <t>QES-06-019-20</t>
  </si>
  <si>
    <t>SAM-2020-26</t>
  </si>
  <si>
    <t>20KB0174</t>
  </si>
  <si>
    <t>MP-061620-40</t>
  </si>
  <si>
    <t>2020-10 (20DI0155)</t>
  </si>
  <si>
    <t>2020-0707-013</t>
  </si>
  <si>
    <t>2020-10 (20DI0147)</t>
  </si>
  <si>
    <t>SAM-2020-21</t>
  </si>
  <si>
    <t>20PL0120</t>
  </si>
  <si>
    <t>S2-MPP20-023</t>
  </si>
  <si>
    <t>S2-MPP20-018</t>
  </si>
  <si>
    <t>COBAC IB NO. 002 (G) S. 2020</t>
  </si>
  <si>
    <t>2020-10 (20DI0159)</t>
  </si>
  <si>
    <t>NFA-RO1-RBAC-2020-06-016</t>
  </si>
  <si>
    <t>2020-02-0277-MAIN</t>
  </si>
  <si>
    <t>S2-LIM20-005</t>
  </si>
  <si>
    <t>2020-10 (20DI0158)</t>
  </si>
  <si>
    <t>2020-10 (20DI0156)</t>
  </si>
  <si>
    <t>2020-06-0561-MAIN</t>
  </si>
  <si>
    <t>PB-07092020-C</t>
  </si>
  <si>
    <t>S2-ANT20-003</t>
  </si>
  <si>
    <t>20CF0130</t>
  </si>
  <si>
    <t>IB NO.  2020-217</t>
  </si>
  <si>
    <t>PB-07092020-A</t>
  </si>
  <si>
    <t>2005-24</t>
  </si>
  <si>
    <t>2020-BLU-PCF2019-01-03</t>
  </si>
  <si>
    <t>2020-10 (20DI0157)</t>
  </si>
  <si>
    <t>2020-BLU-AM2019-01-02</t>
  </si>
  <si>
    <t>061620-H01</t>
  </si>
  <si>
    <t>AGINF2020-0617D</t>
  </si>
  <si>
    <t>2020-02-0182-MAIN</t>
  </si>
  <si>
    <t>AGINF2020-0617C</t>
  </si>
  <si>
    <t>BCS-2020-0129</t>
  </si>
  <si>
    <t>ITB No. R4B-20-06-07</t>
  </si>
  <si>
    <t>G2020-001-A</t>
  </si>
  <si>
    <t>17-2020</t>
  </si>
  <si>
    <t>20OH0152</t>
  </si>
  <si>
    <t>B-G-2020-085</t>
  </si>
  <si>
    <t>2005152</t>
  </si>
  <si>
    <t>20CF0002</t>
  </si>
  <si>
    <t>B-G-2020-086</t>
  </si>
  <si>
    <t>B-G-2020-084</t>
  </si>
  <si>
    <t>INP 2020-05-0076</t>
  </si>
  <si>
    <t>20GKA0005 / 2020-06-0136</t>
  </si>
  <si>
    <t>2003-51</t>
  </si>
  <si>
    <t>B-G-2020-087</t>
  </si>
  <si>
    <t>2005-34</t>
  </si>
  <si>
    <t>HFEP ITB 2020-001</t>
  </si>
  <si>
    <t>PB037-20</t>
  </si>
  <si>
    <t>GTLMH-20-013</t>
  </si>
  <si>
    <t>B-G-2020-088</t>
  </si>
  <si>
    <t>R1-INIMO-20-05-015</t>
  </si>
  <si>
    <t>B-G-2020-083</t>
  </si>
  <si>
    <t>136 – 2020</t>
  </si>
  <si>
    <t>135– 2020</t>
  </si>
  <si>
    <t>B-G-2020-093</t>
  </si>
  <si>
    <t>138 – 2020</t>
  </si>
  <si>
    <t>B-G-2020-092</t>
  </si>
  <si>
    <t>20GFO0015</t>
  </si>
  <si>
    <t>20GFO0014</t>
  </si>
  <si>
    <t>B-G-2020-094</t>
  </si>
  <si>
    <t>B-G-2020-082</t>
  </si>
  <si>
    <t>2020-07-07-046CW</t>
  </si>
  <si>
    <t>2020-07-07-040CW</t>
  </si>
  <si>
    <t>2020-07-07-039CW</t>
  </si>
  <si>
    <t>CGT-Goods- 2020-00086</t>
  </si>
  <si>
    <t>2020-07-07-036CW</t>
  </si>
  <si>
    <t>2020-07-07-048CW</t>
  </si>
  <si>
    <t>137 – 2020</t>
  </si>
  <si>
    <t>2020-07-07-035CW</t>
  </si>
  <si>
    <t>2020-07-07-034CW</t>
  </si>
  <si>
    <t>2020-06-011</t>
  </si>
  <si>
    <t>2020-07-07-041CW</t>
  </si>
  <si>
    <t>2020-07-07-038CW</t>
  </si>
  <si>
    <t>2020-07-07-049CW</t>
  </si>
  <si>
    <t>LSPUMCG20-01</t>
  </si>
  <si>
    <t>2020-07-07-342PG</t>
  </si>
  <si>
    <t>2020-07-07-340PG</t>
  </si>
  <si>
    <t>2020-07-07-339PG</t>
  </si>
  <si>
    <t>2020-07-07-344PG</t>
  </si>
  <si>
    <t>2020-07-07-337PG</t>
  </si>
  <si>
    <t>2020-07-07-047CW</t>
  </si>
  <si>
    <t>2020-07-07-335PG</t>
  </si>
  <si>
    <t>2020-07-07-345PG</t>
  </si>
  <si>
    <t>2020-07-07-334PG</t>
  </si>
  <si>
    <t>2020-07-07-333PG</t>
  </si>
  <si>
    <t>2020-07-07-348PG</t>
  </si>
  <si>
    <t>MS2020-06-026.3</t>
  </si>
  <si>
    <t>2020-07-07-338PG</t>
  </si>
  <si>
    <t>ITB-ATI-CO-2020-07</t>
  </si>
  <si>
    <t>2020-07-07-030CW</t>
  </si>
  <si>
    <t>2020-07-07-037CW</t>
  </si>
  <si>
    <t>VS-2020-06-01</t>
  </si>
  <si>
    <t>RFQ NO. SVP-009-2020</t>
  </si>
  <si>
    <t>2020 Caib 088</t>
  </si>
  <si>
    <t>2020-07-07-058PG</t>
  </si>
  <si>
    <t>2020-07-07-357PG</t>
  </si>
  <si>
    <t>2020-07-07-031CW</t>
  </si>
  <si>
    <t>2020-07-07-356PG</t>
  </si>
  <si>
    <t>RFQ NO. SVP-010-2020</t>
  </si>
  <si>
    <t>2020-07-07-355PG</t>
  </si>
  <si>
    <t>2020-07-07-350PG</t>
  </si>
  <si>
    <t>2020-INFRA-016</t>
  </si>
  <si>
    <t>2020-07-07-336PG</t>
  </si>
  <si>
    <t>06152020-</t>
  </si>
  <si>
    <t>03a-G-2020 (SB)</t>
  </si>
  <si>
    <t>2020-07-07-349PG</t>
  </si>
  <si>
    <t>2020-07-07-331PG</t>
  </si>
  <si>
    <t>2020-07-07-347PG</t>
  </si>
  <si>
    <t>2020-07-07-351PG</t>
  </si>
  <si>
    <t>ITB-140</t>
  </si>
  <si>
    <t>20CSN012</t>
  </si>
  <si>
    <t>MS2020-06-026.2</t>
  </si>
  <si>
    <t>06152020</t>
  </si>
  <si>
    <t>SB6 HDMP19 300-20-06-06236</t>
  </si>
  <si>
    <t>2020-07-07-353PG</t>
  </si>
  <si>
    <t>V01-June-20</t>
  </si>
  <si>
    <t>2020-07-07-332PG</t>
  </si>
  <si>
    <t>RFQ-106-2020</t>
  </si>
  <si>
    <t>2020-06-04-20DF20 (INFRA)</t>
  </si>
  <si>
    <t>100-20-06-106</t>
  </si>
  <si>
    <t>2020-07-07-346PG</t>
  </si>
  <si>
    <t>goods2020_31</t>
  </si>
  <si>
    <t>100-20-06-105</t>
  </si>
  <si>
    <t>6-34-20</t>
  </si>
  <si>
    <t>100(01)20-06-026(AA)</t>
  </si>
  <si>
    <t>ITB No. (INF) 2020-06-091 REHABILITATION/CONSTRUCT</t>
  </si>
  <si>
    <t>ITB No. (INF) 2020-06-090 CONSTRUCTION OF MULTI-PU</t>
  </si>
  <si>
    <t>ITB No. (INF) 2020-06-092 CONSTRUCTION OF TRIPLE B</t>
  </si>
  <si>
    <t>100-2020-006-022</t>
  </si>
  <si>
    <t>2020-06-09-20DF20 (INFRA)</t>
  </si>
  <si>
    <t>2020-07-07-352PG</t>
  </si>
  <si>
    <t>goods2020_30</t>
  </si>
  <si>
    <t>V03-June-20</t>
  </si>
  <si>
    <t>2020-07-07-359PG</t>
  </si>
  <si>
    <t>2020-06-029-SB2019 (INFRA)</t>
  </si>
  <si>
    <t>100-20-05-104</t>
  </si>
  <si>
    <t>PSU-INFRA-2020-004</t>
  </si>
  <si>
    <t>blguamot-2019</t>
  </si>
  <si>
    <t>100-20-02-015</t>
  </si>
  <si>
    <t>H02-June-20</t>
  </si>
  <si>
    <t>200-20-05-003</t>
  </si>
  <si>
    <t>2020-07-07-358PG</t>
  </si>
  <si>
    <t>2020-02-006</t>
  </si>
  <si>
    <t>goods2020_32</t>
  </si>
  <si>
    <t>2020-02-004</t>
  </si>
  <si>
    <t>20ID0073</t>
  </si>
  <si>
    <t>ITB No. (INF) 2020-06-089 CONCRETING OF CAROLINA –</t>
  </si>
  <si>
    <t>B-G-2020-091</t>
  </si>
  <si>
    <t>2020-06-028-SB2 2019 (INFRA)</t>
  </si>
  <si>
    <t>B-G-2020-090</t>
  </si>
  <si>
    <t>B-G-2020-089</t>
  </si>
  <si>
    <t>061620-B1</t>
  </si>
  <si>
    <t>2020-06-051</t>
  </si>
  <si>
    <t>PB2020-004 (GDS)</t>
  </si>
  <si>
    <t>2005-25</t>
  </si>
  <si>
    <t>PB 20-003</t>
  </si>
  <si>
    <t>B-G-2020-081</t>
  </si>
  <si>
    <t>BCS-2020-0128</t>
  </si>
  <si>
    <t>AGINF2020-0617A</t>
  </si>
  <si>
    <t>LMC-2020-SJPIS-011-RO</t>
  </si>
  <si>
    <t>2020-06-22-20DF20 (INFRA)</t>
  </si>
  <si>
    <t>20PD0131</t>
  </si>
  <si>
    <t>PB-07092020-B</t>
  </si>
  <si>
    <t>PPSC BAC IB NO.007 (G) 2020</t>
  </si>
  <si>
    <t>19GL00111</t>
  </si>
  <si>
    <t>INFRA 2020-001</t>
  </si>
  <si>
    <t>ME2020-06-026.1</t>
  </si>
  <si>
    <t>2020-10 (20DI0154)</t>
  </si>
  <si>
    <t>20B00052 (re-ad)</t>
  </si>
  <si>
    <t>20KB0169</t>
  </si>
  <si>
    <t>BAC164-PRESHOUSING-2020</t>
  </si>
  <si>
    <t>PROCUREMENT OF VARIOUS VACCINES COBAC IB NO. 003 (</t>
  </si>
  <si>
    <t>IAEB 177-20</t>
  </si>
  <si>
    <t>IB 2020-030</t>
  </si>
  <si>
    <t>AGGDS2020-0617B</t>
  </si>
  <si>
    <t>20GCF0001</t>
  </si>
  <si>
    <t>Bid Reference No. 2020-005-A; PR No.2020-03-0082-A</t>
  </si>
  <si>
    <t>2020-06-066</t>
  </si>
  <si>
    <t>BAC2020-06-023</t>
  </si>
  <si>
    <t>0074-2020</t>
  </si>
  <si>
    <t>20H00063</t>
  </si>
  <si>
    <t>2020-ODY-06-181</t>
  </si>
  <si>
    <t>MP-061620-37</t>
  </si>
  <si>
    <t>Contract No. 02 - 2020</t>
  </si>
  <si>
    <t>2020-07-07-379PG</t>
  </si>
  <si>
    <t>ITB 2020-06-003</t>
  </si>
  <si>
    <t>IB No. GS-2020 – 048-A</t>
  </si>
  <si>
    <t>ITB 20-0064</t>
  </si>
  <si>
    <t>PB NO. 2020-037</t>
  </si>
  <si>
    <t>2020-06-13-20DF20 (INFRA)</t>
  </si>
  <si>
    <t>IB No. GS-2020 – 041-A</t>
  </si>
  <si>
    <t>ITB No. 039-2020 GQ</t>
  </si>
  <si>
    <t>2020-GOODS-34</t>
  </si>
  <si>
    <t>ITB 20-0063</t>
  </si>
  <si>
    <t>PB NO. 2020-036</t>
  </si>
  <si>
    <t>ITB-DIESEL2020</t>
  </si>
  <si>
    <t>IB No. GS-2020 – 051-A</t>
  </si>
  <si>
    <t>ITB 20-0065</t>
  </si>
  <si>
    <t>APR No. 100-20-06-386</t>
  </si>
  <si>
    <t>IB No. GS-2020 – 052-A</t>
  </si>
  <si>
    <t>MPP-2020-02</t>
  </si>
  <si>
    <t>PB-11-2020</t>
  </si>
  <si>
    <t>2020-07-07-375PG</t>
  </si>
  <si>
    <t>2020-B-06-024</t>
  </si>
  <si>
    <t>CabSur2020-001</t>
  </si>
  <si>
    <t>IB No. GS-2020 – 071</t>
  </si>
  <si>
    <t>2020-06-10-20DF20 (INFRA)</t>
  </si>
  <si>
    <t>2020-07-07-360PG</t>
  </si>
  <si>
    <t>100-20-05-103</t>
  </si>
  <si>
    <t>24</t>
  </si>
  <si>
    <t>2020-6-15-4</t>
  </si>
  <si>
    <t>2020-07-07-376PG</t>
  </si>
  <si>
    <t>M-20-20</t>
  </si>
  <si>
    <t>20BE0089</t>
  </si>
  <si>
    <t>100-2020-05-098</t>
  </si>
  <si>
    <t>06-115-2020</t>
  </si>
  <si>
    <t>2020-06-33-20DF20 (INFRA)</t>
  </si>
  <si>
    <t>2020130</t>
  </si>
  <si>
    <t>CHMSC 20-018-0615-G</t>
  </si>
  <si>
    <t>IB 2020-029</t>
  </si>
  <si>
    <t>CW45-2020</t>
  </si>
  <si>
    <t>QNV-025-2020</t>
  </si>
  <si>
    <t>20GA0191</t>
  </si>
  <si>
    <t>20BC0205</t>
  </si>
  <si>
    <t>20BC0212</t>
  </si>
  <si>
    <t>LGUBal2020-03</t>
  </si>
  <si>
    <t>ITB NO. 012 OF 2020</t>
  </si>
  <si>
    <t>INFRA-2020-03</t>
  </si>
  <si>
    <t>20GA0199</t>
  </si>
  <si>
    <t>20BE0088</t>
  </si>
  <si>
    <t>2020-06-339</t>
  </si>
  <si>
    <t>2020-07-07-364PG</t>
  </si>
  <si>
    <t>CW44-2020</t>
  </si>
  <si>
    <t>2020-07-07-363PG</t>
  </si>
  <si>
    <t>IB-05-0399-20HRND</t>
  </si>
  <si>
    <t>20ID0075</t>
  </si>
  <si>
    <t>2020-06-32-20DF20 (INFRA)</t>
  </si>
  <si>
    <t>ITB NO. 010 OF 2020</t>
  </si>
  <si>
    <t>APR No. 100-20-06-379</t>
  </si>
  <si>
    <t>ITB NO. 011 OF 2020</t>
  </si>
  <si>
    <t>GB 2002-006</t>
  </si>
  <si>
    <t>ITB No. UATLMC2020-101-03-005L1</t>
  </si>
  <si>
    <t>2020-06-37-20DF20 (INFRA)</t>
  </si>
  <si>
    <t>2020-07-07-366PG</t>
  </si>
  <si>
    <t>LGUBal2020-05</t>
  </si>
  <si>
    <t>2020-06-36-20DF20 (INFRA)</t>
  </si>
  <si>
    <t>0051-2020</t>
  </si>
  <si>
    <t>20GA0054</t>
  </si>
  <si>
    <t>BACII-2020-15</t>
  </si>
  <si>
    <t>BAC-HO GS No. 2020-0243</t>
  </si>
  <si>
    <t>LGUBal2020-04</t>
  </si>
  <si>
    <t>20BC0157 re-adv.</t>
  </si>
  <si>
    <t>Amagbagan-001</t>
  </si>
  <si>
    <t>20GA0203</t>
  </si>
  <si>
    <t>ITB No. UATLMC2020-101-03-005L3</t>
  </si>
  <si>
    <t>2020-06-34-20DF20 (INFRA)</t>
  </si>
  <si>
    <t>DARROV-4-2020</t>
  </si>
  <si>
    <t>CB 07 - 2020</t>
  </si>
  <si>
    <t>BAC 2020-31</t>
  </si>
  <si>
    <t>ITB No. UATLMC2020-101-03-005L2</t>
  </si>
  <si>
    <t>0095-2020</t>
  </si>
  <si>
    <t>CW RA 7171-24</t>
  </si>
  <si>
    <t>2020-SRV-012</t>
  </si>
  <si>
    <t>024-06-2020</t>
  </si>
  <si>
    <t>QNV-028-2020</t>
  </si>
  <si>
    <t>BAC 2020-33</t>
  </si>
  <si>
    <t>ITB No. UATLMC2020-101-03-005L7</t>
  </si>
  <si>
    <t>2020-07-07-369PG</t>
  </si>
  <si>
    <t>IB. NO. 2020-176</t>
  </si>
  <si>
    <t>DAPA-077-2020</t>
  </si>
  <si>
    <t>MGCP-20G-579A</t>
  </si>
  <si>
    <t>INFRA-2020-06-38</t>
  </si>
  <si>
    <t>0046-2020</t>
  </si>
  <si>
    <t>ITB No. 06-GOODS-2019</t>
  </si>
  <si>
    <t>INFRA-2020-06-37</t>
  </si>
  <si>
    <t>ITB No. UATLMC2020-101-03-005L5</t>
  </si>
  <si>
    <t>Jiab-2020-25A</t>
  </si>
  <si>
    <t>BAC 2020-32</t>
  </si>
  <si>
    <t>2020-07-07-367PG</t>
  </si>
  <si>
    <t>20NA0070</t>
  </si>
  <si>
    <t>ITB No. UATLMC2020-101-03-005L4</t>
  </si>
  <si>
    <t>2020-PB-018</t>
  </si>
  <si>
    <t>PG-2020-045</t>
  </si>
  <si>
    <t>20GA0221</t>
  </si>
  <si>
    <t>ITB No. UATLMC2020-101-03-003L2</t>
  </si>
  <si>
    <t>2020-PB-017</t>
  </si>
  <si>
    <t>ITB No. UATLMC2020-101-03-005L6</t>
  </si>
  <si>
    <t>CBSUA-SIP-GOODS-11-2020</t>
  </si>
  <si>
    <t>2020-PB-016</t>
  </si>
  <si>
    <t>BUSO – 001-20</t>
  </si>
  <si>
    <t>2020-07-07-370PG</t>
  </si>
  <si>
    <t>OD-2020-05-006</t>
  </si>
  <si>
    <t>MGCP-20I-580A</t>
  </si>
  <si>
    <t>IB No. 2020-189</t>
  </si>
  <si>
    <t>HB 2003-016</t>
  </si>
  <si>
    <t>CB 06 - 2020</t>
  </si>
  <si>
    <t>ITB No. UATLMC2020-101-03-003L1</t>
  </si>
  <si>
    <t>ITB No. 2020-157-sp-maramara, sp-dinlayan and sp-g</t>
  </si>
  <si>
    <t>BAC2020-06-022</t>
  </si>
  <si>
    <t>2020 INFRA 005</t>
  </si>
  <si>
    <t>INFRA-2020-04</t>
  </si>
  <si>
    <t>20PJ0056</t>
  </si>
  <si>
    <t>2020-07-07-371PG</t>
  </si>
  <si>
    <t>2020-06-38-20DF20(INFRA)</t>
  </si>
  <si>
    <t>20-05-0528</t>
  </si>
  <si>
    <t>20PJ0055</t>
  </si>
  <si>
    <t>ITB No. 2020 – 73</t>
  </si>
  <si>
    <t>20PJ0054</t>
  </si>
  <si>
    <t>20PJ0053</t>
  </si>
  <si>
    <t>2020 - 99</t>
  </si>
  <si>
    <t>2020-PB-021</t>
  </si>
  <si>
    <t>2020-04-126</t>
  </si>
  <si>
    <t>P.R. No. 2020-06-0014</t>
  </si>
  <si>
    <t>2020-PB-020</t>
  </si>
  <si>
    <t>20-06-412</t>
  </si>
  <si>
    <t>ITB NO. GOP/20-DSWD-041</t>
  </si>
  <si>
    <t>G-2020-06-016-GF 2020- Capital Outlay</t>
  </si>
  <si>
    <t>BCS-2020-0125</t>
  </si>
  <si>
    <t>IB. NO. K-2020-028(SC)</t>
  </si>
  <si>
    <t>2020-PB-019</t>
  </si>
  <si>
    <t>BFP Caraga 2020-06-008</t>
  </si>
  <si>
    <t>2020-07-07-374PG</t>
  </si>
  <si>
    <t>20PL0117</t>
  </si>
  <si>
    <t>FSDE19-CS-036-20</t>
  </si>
  <si>
    <t>IB No. 2020-020</t>
  </si>
  <si>
    <t>BAC 06/15/20-01</t>
  </si>
  <si>
    <t>IB. NO. K-2020-024(SC)</t>
  </si>
  <si>
    <t>APR No. 100-20-06-417</t>
  </si>
  <si>
    <t>CB 05 - 2020</t>
  </si>
  <si>
    <t>IB. NO. K-2020-023(SC)</t>
  </si>
  <si>
    <t>BFP BAC IB No. 001 (I) s. 2020</t>
  </si>
  <si>
    <t>BCS-2020-0127</t>
  </si>
  <si>
    <t>2020-07-07-377PG</t>
  </si>
  <si>
    <t>BFP BAC IB No. 002 (G) s. 2020</t>
  </si>
  <si>
    <t>BCS-2020-0126</t>
  </si>
  <si>
    <t>20-06-413</t>
  </si>
  <si>
    <t>20GD00003</t>
  </si>
  <si>
    <t>20PD0100</t>
  </si>
  <si>
    <t>20PD0096</t>
  </si>
  <si>
    <t>2020-07-07-382PG</t>
  </si>
  <si>
    <t>G-2020-06-015 GF 2020</t>
  </si>
  <si>
    <t>20PD0095</t>
  </si>
  <si>
    <t>2020-INFRA-14B</t>
  </si>
  <si>
    <t>20PD0087</t>
  </si>
  <si>
    <t>PROJECT # 20-043</t>
  </si>
  <si>
    <t>DPWH-SK2DEO-20GMH047</t>
  </si>
  <si>
    <t>PROJECT # 20-039</t>
  </si>
  <si>
    <t>2020-GOODS-035</t>
  </si>
  <si>
    <t>ITB2020-024</t>
  </si>
  <si>
    <t>ITB2020-018</t>
  </si>
  <si>
    <t>2020-APP- BOOKS- NCSM-001</t>
  </si>
  <si>
    <t>ITB2020-027</t>
  </si>
  <si>
    <t>ITB2020-026</t>
  </si>
  <si>
    <t>BAC-HO GS 2020-0239 and BAC-HO GS 2020-0231</t>
  </si>
  <si>
    <t>RF INFRA GAA CY 2020-06-001</t>
  </si>
  <si>
    <t>20NC0127</t>
  </si>
  <si>
    <t>ITB2020-025</t>
  </si>
  <si>
    <t>MGPQ-RML-2020-06-004</t>
  </si>
  <si>
    <t>DPWH-SK2DEO-20GMH048</t>
  </si>
  <si>
    <t>20NC0126</t>
  </si>
  <si>
    <t>2020-07-07-341PG</t>
  </si>
  <si>
    <t>DPWH-SK2DEO-20MH0103</t>
  </si>
  <si>
    <t>DPWH-SK2DEO-20MH0085</t>
  </si>
  <si>
    <t>2020-ICT- PB-001</t>
  </si>
  <si>
    <t>2020-07-07-381PG</t>
  </si>
  <si>
    <t>IB. NO. K-2020-056(SC)</t>
  </si>
  <si>
    <t>B2020-075-A</t>
  </si>
  <si>
    <t>2020-07-07-378PG</t>
  </si>
  <si>
    <t>20PL0116</t>
  </si>
  <si>
    <t>2020-PB-023</t>
  </si>
  <si>
    <t>004 2020 LML</t>
  </si>
  <si>
    <t>june2020-1</t>
  </si>
  <si>
    <t>2020-CW-06-03</t>
  </si>
  <si>
    <t>INFRA-CNO-20-0004</t>
  </si>
  <si>
    <t>GOODS-20-28</t>
  </si>
  <si>
    <t>IB 2020-063</t>
  </si>
  <si>
    <t>ITB2020-028</t>
  </si>
  <si>
    <t>2020-07-07-380PG</t>
  </si>
  <si>
    <t>IB 2020-062</t>
  </si>
  <si>
    <t>IB 2020-06-001I</t>
  </si>
  <si>
    <t>CW48-2020</t>
  </si>
  <si>
    <t>2020-07-07-372PG</t>
  </si>
  <si>
    <t>CW47-2020</t>
  </si>
  <si>
    <t>BAC-HO GS 2020-0326</t>
  </si>
  <si>
    <t>IB 2020-064</t>
  </si>
  <si>
    <t>MZDS-BAC-G-2020-03</t>
  </si>
  <si>
    <t>MZDS-BAC-G-2020-02</t>
  </si>
  <si>
    <t>CB 08-2020</t>
  </si>
  <si>
    <t>PR # 20-06-0690</t>
  </si>
  <si>
    <t>ITB2020-029</t>
  </si>
  <si>
    <t>IB. NO. K-2020-049(SC)</t>
  </si>
  <si>
    <t>PROJECT # 20-055</t>
  </si>
  <si>
    <t>20PL0104</t>
  </si>
  <si>
    <t>020-001</t>
  </si>
  <si>
    <t>2020-PB-022</t>
  </si>
  <si>
    <t>cw-2020-016</t>
  </si>
  <si>
    <t>2020-07-07-365PG</t>
  </si>
  <si>
    <t>CB 10-2020</t>
  </si>
  <si>
    <t>Supplies 301-2020</t>
  </si>
  <si>
    <t>20HN0083</t>
  </si>
  <si>
    <t>PROJECT # 20-053</t>
  </si>
  <si>
    <t>20GA0195</t>
  </si>
  <si>
    <t>QNV-029-2020</t>
  </si>
  <si>
    <t>20ID0074</t>
  </si>
  <si>
    <t>2020-06-35-GF18 (INFRA)</t>
  </si>
  <si>
    <t>2020-CW-06-05</t>
  </si>
  <si>
    <t>6-8-20-ID5</t>
  </si>
  <si>
    <t>20GGF0016</t>
  </si>
  <si>
    <t>IAEB 041-20</t>
  </si>
  <si>
    <t>CW46-2020</t>
  </si>
  <si>
    <t>20-83-037</t>
  </si>
  <si>
    <t>1-070720</t>
  </si>
  <si>
    <t>20GJC0193</t>
  </si>
  <si>
    <t>IB 2020-038(AMV)</t>
  </si>
  <si>
    <t>DepED-RO6-D1-2020QRF(REPAIR)-C1-018-2020</t>
  </si>
  <si>
    <t>21-2020</t>
  </si>
  <si>
    <t>AGR-19-1448-B</t>
  </si>
  <si>
    <t>2020-GOODS-014-01-0615</t>
  </si>
  <si>
    <t>2020-02-055</t>
  </si>
  <si>
    <t>PSU ITB 2001-008</t>
  </si>
  <si>
    <t>IB-2020-065</t>
  </si>
  <si>
    <t>AGR-20-0668-B</t>
  </si>
  <si>
    <t>IB-2020-067</t>
  </si>
  <si>
    <t>IB 2020-037(AMV)</t>
  </si>
  <si>
    <t>CW20-03</t>
  </si>
  <si>
    <t>IB No. 2020-221</t>
  </si>
  <si>
    <t>IB 2020-061</t>
  </si>
  <si>
    <t>2020-GSIS-PB-072</t>
  </si>
  <si>
    <t>CONTRACT ID: 20-06-084</t>
  </si>
  <si>
    <t>CONTRACT ID: 20-06-085</t>
  </si>
  <si>
    <t>20CSKG01</t>
  </si>
  <si>
    <t>2020-GSIS-PB-073</t>
  </si>
  <si>
    <t>20 - OG - 001 (G)</t>
  </si>
  <si>
    <t>ITB PR No.: 0776-20BAC</t>
  </si>
  <si>
    <t>PB-0220-08</t>
  </si>
  <si>
    <t>ITB PR No.: 0777-20BAC</t>
  </si>
  <si>
    <t>20-00045</t>
  </si>
  <si>
    <t>ITB No. 2020-30</t>
  </si>
  <si>
    <t>GOODS-007-2020</t>
  </si>
  <si>
    <t>PB NO. 2020-034</t>
  </si>
  <si>
    <t>20 - OG - 002 (G)</t>
  </si>
  <si>
    <t>PB2020-013</t>
  </si>
  <si>
    <t>ITB 20-072</t>
  </si>
  <si>
    <t>PGR-INFRA-2020-07-10</t>
  </si>
  <si>
    <t>PGR-INFRA-2020-07-9</t>
  </si>
  <si>
    <t>PGR-INFRA-2020-07-8</t>
  </si>
  <si>
    <t>IB-2020-066</t>
  </si>
  <si>
    <t>IB-2020-068</t>
  </si>
  <si>
    <t>PGR-INFRA-2020-07-5</t>
  </si>
  <si>
    <t>PGR-INFRA-2020-07-4</t>
  </si>
  <si>
    <t>PB NO. 2020-035</t>
  </si>
  <si>
    <t>PGR-INFRA-2020-07-2</t>
  </si>
  <si>
    <t>PGR-INFRA-2020-07-7</t>
  </si>
  <si>
    <t>PGR-INFRA-2020-07-1</t>
  </si>
  <si>
    <t>2-070720</t>
  </si>
  <si>
    <t>PHILGEPS-2020-13</t>
  </si>
  <si>
    <t>PHILGEPS-2020-12</t>
  </si>
  <si>
    <t>PGR-INFRA-2020-03-05</t>
  </si>
  <si>
    <t>PGR-INFRA-2020-07-11</t>
  </si>
  <si>
    <t>2020-ITB-06-038</t>
  </si>
  <si>
    <t>2020-ITB-06-037</t>
  </si>
  <si>
    <t>2020-ITB-06-036</t>
  </si>
  <si>
    <t>2020-ITB-06-035</t>
  </si>
  <si>
    <t>2020-ITB-06-027</t>
  </si>
  <si>
    <t>2020-ITB-06-026</t>
  </si>
  <si>
    <t>2020-ITB-06-034</t>
  </si>
  <si>
    <t>2020-ITB-06-039</t>
  </si>
  <si>
    <t>2020-ITB-06-033</t>
  </si>
  <si>
    <t>ITB PR No.: 0205-20BAC</t>
  </si>
  <si>
    <t>2020-ITB-06-028</t>
  </si>
  <si>
    <t>PGR-INFRA-2020-07-3</t>
  </si>
  <si>
    <t>2020-CW-06-04</t>
  </si>
  <si>
    <t>2020-07-07-362PG</t>
  </si>
  <si>
    <t>ITB PR No.: 1087-20BAC</t>
  </si>
  <si>
    <t>2020-INFRA-029</t>
  </si>
  <si>
    <t>2020-INFRA-028</t>
  </si>
  <si>
    <t>PB-12-2020</t>
  </si>
  <si>
    <t>PGR-INFRA-2020-03-13</t>
  </si>
  <si>
    <t>2020-ITB-06-046</t>
  </si>
  <si>
    <t>2020-ITB-06-045</t>
  </si>
  <si>
    <t>2020-ITB-06-044</t>
  </si>
  <si>
    <t>2020-ITB-06-043</t>
  </si>
  <si>
    <t>2020-ITB-06-032</t>
  </si>
  <si>
    <t>PGR-INFRA-2020-03-16</t>
  </si>
  <si>
    <t>2020-ITB-06-031</t>
  </si>
  <si>
    <t>PGR-INFRA-2020-03-14</t>
  </si>
  <si>
    <t>2020-ITB-06-029</t>
  </si>
  <si>
    <t>2020-ITB-06-042</t>
  </si>
  <si>
    <t>2020-ITB-06-040</t>
  </si>
  <si>
    <t>PGR-INFRA-2020-07-6</t>
  </si>
  <si>
    <t>2020-INFRA-027</t>
  </si>
  <si>
    <t>3-070720</t>
  </si>
  <si>
    <t>MPP-2020-03</t>
  </si>
  <si>
    <t>ITB-19-08018</t>
  </si>
  <si>
    <t>IB No. GS-2020 – 046-A</t>
  </si>
  <si>
    <t>PGR-INFRA-2020-03-07</t>
  </si>
  <si>
    <t>Q-092-20</t>
  </si>
  <si>
    <t>QNV-030-2020</t>
  </si>
  <si>
    <t>IB No. GS-2020 – 072</t>
  </si>
  <si>
    <t>CW43-2020</t>
  </si>
  <si>
    <t>016-0720-CP</t>
  </si>
  <si>
    <t>ITB 20-0062</t>
  </si>
  <si>
    <t>20-006-070</t>
  </si>
  <si>
    <t>2020-ITB-06-041</t>
  </si>
  <si>
    <t>PB-ALBAYINFRA-20-01</t>
  </si>
  <si>
    <t>CY2020QRF</t>
  </si>
  <si>
    <t>PGR-INFRA-2020-03-18</t>
  </si>
  <si>
    <t>2020-06-132</t>
  </si>
  <si>
    <t>2020-ITB-06-030</t>
  </si>
  <si>
    <t>BAC-ITIO GS No. 2020-0053 dated 02 June 2020</t>
  </si>
  <si>
    <t>2020-INFRA-032</t>
  </si>
  <si>
    <t>2020-INFRA-031</t>
  </si>
  <si>
    <t>PGR-INFRA-2020-03-22</t>
  </si>
  <si>
    <t>4-070720</t>
  </si>
  <si>
    <t>2020-06-0103</t>
  </si>
  <si>
    <t>101-20-06-005</t>
  </si>
  <si>
    <t>DepED-RO6-D1-2020QRF(REPAIR)-C17-034-2020</t>
  </si>
  <si>
    <t>BAC-ITIO GS No. 2020-0026 dated 21 April 2020</t>
  </si>
  <si>
    <t>DepED-RO6-D1-2020QRF(REPAIR)-C13-030-2020</t>
  </si>
  <si>
    <t>DepED-RO6-D1-2020QRF(REPAIR)-C16-033-2020</t>
  </si>
  <si>
    <t>DepED-RO6-D1-2020QRF(REPAIR)-C12-029-2020</t>
  </si>
  <si>
    <t>DepED-RO6-D1-2020QRF(REPAIR)-C15-032-2020</t>
  </si>
  <si>
    <t>BAL-06-13-2020-Construction of Roofing in the Park</t>
  </si>
  <si>
    <t>DepED-RO6-D1-2020QRF(REPAIR)-C14-031-2020</t>
  </si>
  <si>
    <t>2020-INFRA-030</t>
  </si>
  <si>
    <t>DepED-RO6-D1-2020QRF(REPAIR)-C8-025-2020</t>
  </si>
  <si>
    <t>DepED-RO6-D1-2020QRF(REPAIR)-C7-024-2020</t>
  </si>
  <si>
    <t>BAC1-20-003</t>
  </si>
  <si>
    <t>ITB No. 2020-026</t>
  </si>
  <si>
    <t>PUR20-04-0356</t>
  </si>
  <si>
    <t>DepED-RO6-D1-2020QRF(REPAIR)-C6-023-2020</t>
  </si>
  <si>
    <t>BAC1-20-013</t>
  </si>
  <si>
    <t>PUR20-03-0274</t>
  </si>
  <si>
    <t>DepED-RO6-D1-2020QRF(REPAIR)-C9-026-2020</t>
  </si>
  <si>
    <t>101-20-05-087</t>
  </si>
  <si>
    <t>DepED-RO6-D1-2020QRF(REPAIR)-C26-043-2020</t>
  </si>
  <si>
    <t>NOSO-Goods-SIP-04-2020</t>
  </si>
  <si>
    <t>DepED-RO6-D1-2020QRF(REPAIR)-C23-040-2020</t>
  </si>
  <si>
    <t>DepED-RO6-D1-2020QRF(REPAIR)-C27-044-2020</t>
  </si>
  <si>
    <t>PUR20-03-0241</t>
  </si>
  <si>
    <t>NOSO-Goods-SIP-05-2020</t>
  </si>
  <si>
    <t>DepED-RO6-D1-2020QRF(REPAIR)-C22-039-2020</t>
  </si>
  <si>
    <t>2020-07-02-015</t>
  </si>
  <si>
    <t>PUR20-03-0308</t>
  </si>
  <si>
    <t>ITB GOODS 2020-06-31</t>
  </si>
  <si>
    <t>DepED-RO6-D1-2020QRF(REPAIR)-C24-041-2020</t>
  </si>
  <si>
    <t>DepED-RO6-D1-2020QRF(REPAIR)-C25-042-2020</t>
  </si>
  <si>
    <t>ITB-2020-06-01</t>
  </si>
  <si>
    <t>ITB No. 2020-025</t>
  </si>
  <si>
    <t>DepED-RO6-D1-2020QRF(REPAIR)-C10-027-2020</t>
  </si>
  <si>
    <t>ITB No. 2020-023</t>
  </si>
  <si>
    <t>PB20-01-015CORa-06</t>
  </si>
  <si>
    <t>ITB No. 2020-024</t>
  </si>
  <si>
    <t>ITB No. 2020-020</t>
  </si>
  <si>
    <t>ITB No. 2020-019</t>
  </si>
  <si>
    <t>ITB GOODS 2020-06-30</t>
  </si>
  <si>
    <t>ITB No. 2020-021</t>
  </si>
  <si>
    <t>DepED-RO6-D1-2020QRF(REPAIR)-C20-037-2020</t>
  </si>
  <si>
    <t>101-20-06-002</t>
  </si>
  <si>
    <t>DepED-RO6-D1-2020QRF(REPAIR)-C19-036-2020</t>
  </si>
  <si>
    <t>DepED-RO6-D1-2020QRF(REPAIR)-C18-035-2020</t>
  </si>
  <si>
    <t>ITB No. 2020-018</t>
  </si>
  <si>
    <t>DepED-RO6-D1-2020QRF(REPAIR)-C5-022-2020</t>
  </si>
  <si>
    <t>DepED-RO6-D1-2020QRF(REPAIR)-C4-021-2020</t>
  </si>
  <si>
    <t>20-006-072</t>
  </si>
  <si>
    <t>PM20-010</t>
  </si>
  <si>
    <t>QNV-024-2020</t>
  </si>
  <si>
    <t>DepED-RO6-D1-2020QRF(REPAIR)-C2-019-2020</t>
  </si>
  <si>
    <t>PB-2020-19</t>
  </si>
  <si>
    <t>BAC-ITO GS No. 2020-048 dated 27 May 2020</t>
  </si>
  <si>
    <t>2020-27</t>
  </si>
  <si>
    <t>PB-2020-18</t>
  </si>
  <si>
    <t>PB-2020-17</t>
  </si>
  <si>
    <t>goods 154-2020</t>
  </si>
  <si>
    <t>PB-2020-16</t>
  </si>
  <si>
    <t>C10-20-1038</t>
  </si>
  <si>
    <t>ENG' 6ID, SBAC 01-2020</t>
  </si>
  <si>
    <t>DepED-RO6-D1-2020QRF(REPAIR)-C21-038-2020</t>
  </si>
  <si>
    <t>018-06-2020</t>
  </si>
  <si>
    <t>01-2020-06M</t>
  </si>
  <si>
    <t>2020-0042</t>
  </si>
  <si>
    <t>ITB GOODS 2020-06-34</t>
  </si>
  <si>
    <t>LGU-Banayoyo, ISur 2020-06-045</t>
  </si>
  <si>
    <t>INFRA-09-20-04</t>
  </si>
  <si>
    <t>ITB GOODS 2020-06-35</t>
  </si>
  <si>
    <t>INFRA-09-20-03</t>
  </si>
  <si>
    <t>DepED-RO6-D1-2020QRF(REPAIR)-C3-020-2020</t>
  </si>
  <si>
    <t>ITB GOODS 2020-06-33</t>
  </si>
  <si>
    <t>INFRA-09-20-02</t>
  </si>
  <si>
    <t>LGU-Banayoyo, ISur 2020-06-046</t>
  </si>
  <si>
    <t>INFRA-09-20-01</t>
  </si>
  <si>
    <t>INFRA-2020-02</t>
  </si>
  <si>
    <t>20CSA004</t>
  </si>
  <si>
    <t>DepED-RO6-D1-2020QRF(REPAIR)-C11-028-2020</t>
  </si>
  <si>
    <t>20CSA003</t>
  </si>
  <si>
    <t>RFQ No. 2020-003</t>
  </si>
  <si>
    <t>20CSDM03</t>
  </si>
  <si>
    <t>LGU-Banayoyo, ISur 2020-06-044</t>
  </si>
  <si>
    <t>Imbalbalatong-002</t>
  </si>
  <si>
    <t>INFRA-20-003</t>
  </si>
  <si>
    <t>INFRA-09-20-06</t>
  </si>
  <si>
    <t>BCS-2020-0122</t>
  </si>
  <si>
    <t>BAL-06-13-2020-Concreting of 100 Linear Meter Bara</t>
  </si>
  <si>
    <t>2020-06-09-20-03-22</t>
  </si>
  <si>
    <t>BAL-06-13-2020-Concreting of 700 Linear Meter Bara</t>
  </si>
  <si>
    <t>2583-20</t>
  </si>
  <si>
    <t>2020-011R</t>
  </si>
  <si>
    <t>BAL-06-13-2020-Concreting of 100 Linear Meter Sori</t>
  </si>
  <si>
    <t>LGU-Banayoyo, ISur 2020-06-043</t>
  </si>
  <si>
    <t>2020-07-02-016</t>
  </si>
  <si>
    <t>2020-06-09-20-03-21</t>
  </si>
  <si>
    <t>PMN2-MD-01</t>
  </si>
  <si>
    <t>2265-20</t>
  </si>
  <si>
    <t>2484-20</t>
  </si>
  <si>
    <t>IL-2020-B-28</t>
  </si>
  <si>
    <t>GS-P05-2020-07-08</t>
  </si>
  <si>
    <t>ITB GOODS 2020-06-32</t>
  </si>
  <si>
    <t>INFRA-09-20-05</t>
  </si>
  <si>
    <t>20LB0233</t>
  </si>
  <si>
    <t>LGU-Banayoyo, ISur 2020-06-042</t>
  </si>
  <si>
    <t>20LB0261</t>
  </si>
  <si>
    <t>salbac 2020 22</t>
  </si>
  <si>
    <t>2020-02-019-D</t>
  </si>
  <si>
    <t>C10-20-0223</t>
  </si>
  <si>
    <t>20LB0166</t>
  </si>
  <si>
    <t>GS-P03-2020-07-08</t>
  </si>
  <si>
    <t>C10-20-0219</t>
  </si>
  <si>
    <t>28-20</t>
  </si>
  <si>
    <t>27-20</t>
  </si>
  <si>
    <t>20LB0157</t>
  </si>
  <si>
    <t>2020-06-010B</t>
  </si>
  <si>
    <t>GD-PB-2020-06-0232</t>
  </si>
  <si>
    <t>INFRA 2020-13</t>
  </si>
  <si>
    <t>GD-PB-2020-06-0231</t>
  </si>
  <si>
    <t>salbac 2020 21</t>
  </si>
  <si>
    <t>PB2020-48</t>
  </si>
  <si>
    <t>IB No. 20-36</t>
  </si>
  <si>
    <t>100-1011-2020-05-570</t>
  </si>
  <si>
    <t>20BK0146</t>
  </si>
  <si>
    <t>20LB0224</t>
  </si>
  <si>
    <t>06-02-2020</t>
  </si>
  <si>
    <t>211436</t>
  </si>
  <si>
    <t>2020123</t>
  </si>
  <si>
    <t>20FB0152</t>
  </si>
  <si>
    <t>EXPO DUBAI-35949</t>
  </si>
  <si>
    <t>IB No. 20-47</t>
  </si>
  <si>
    <t>IB No. 20-39</t>
  </si>
  <si>
    <t>2020.06.16.03</t>
  </si>
  <si>
    <t>GOODS-54-2020</t>
  </si>
  <si>
    <t>BFAR5BAC-2020-107</t>
  </si>
  <si>
    <t>20-06-006</t>
  </si>
  <si>
    <t>IB No. 20-45</t>
  </si>
  <si>
    <t>2020.06.16.01</t>
  </si>
  <si>
    <t>20A-02-0039</t>
  </si>
  <si>
    <t>IB No. 20-51</t>
  </si>
  <si>
    <t>IB No. 20-50</t>
  </si>
  <si>
    <t>IB No. 20-42</t>
  </si>
  <si>
    <t>PB GOODS 2020-04</t>
  </si>
  <si>
    <t>20A-01-0011</t>
  </si>
  <si>
    <t>20013012020</t>
  </si>
  <si>
    <t>19A-10-0953</t>
  </si>
  <si>
    <t>20013022020</t>
  </si>
  <si>
    <t>20CN0149</t>
  </si>
  <si>
    <t>60011012020</t>
  </si>
  <si>
    <t>ITB 2020-06-034(GOODS)</t>
  </si>
  <si>
    <t>IB-01-0206-20 VPAFEA SUPPLY, DELIVERY AND INSTALLA</t>
  </si>
  <si>
    <t>IB-01-0186-20 COE-CE SUPPLY AND DELIVERY OF LABORA</t>
  </si>
  <si>
    <t>2020-03-150</t>
  </si>
  <si>
    <t>2020-03-162</t>
  </si>
  <si>
    <t>20013032020</t>
  </si>
  <si>
    <t>01-07-2020</t>
  </si>
  <si>
    <t>20-06-033</t>
  </si>
  <si>
    <t>19A-12-1158</t>
  </si>
  <si>
    <t>PRDP-PSO-Admin-2020-013 (AF)</t>
  </si>
  <si>
    <t>ITB 20-073</t>
  </si>
  <si>
    <t>ITB 2020-06-033 (GOODS)</t>
  </si>
  <si>
    <t>ITB 20-074</t>
  </si>
  <si>
    <t>2020-GOODS-004R-02-0619</t>
  </si>
  <si>
    <t>2020-PBGOODS-05-006</t>
  </si>
  <si>
    <t>INF 20AR-EZ-20-02</t>
  </si>
  <si>
    <t>DBS-004-2020</t>
  </si>
  <si>
    <t>INFRA2020-06-024.5</t>
  </si>
  <si>
    <t>LL-21-20</t>
  </si>
  <si>
    <t>LL-22-20</t>
  </si>
  <si>
    <t>20-437</t>
  </si>
  <si>
    <t>01-151-2020</t>
  </si>
  <si>
    <t>INF 20AR-EZ-20-01</t>
  </si>
  <si>
    <t>PB-PAFBAC-157-20</t>
  </si>
  <si>
    <t>ITB-BLGU-BANLAS2020-001</t>
  </si>
  <si>
    <t>BGHMCPB-2020-15-001</t>
  </si>
  <si>
    <t>20GFN0007</t>
  </si>
  <si>
    <t>2020-28</t>
  </si>
  <si>
    <t>P11-20-0571</t>
  </si>
  <si>
    <t>ITB NO. 20-35</t>
  </si>
  <si>
    <t>2020-06-402</t>
  </si>
  <si>
    <t>OMM-2020-01</t>
  </si>
  <si>
    <t>20OI0124</t>
  </si>
  <si>
    <t>ITB NO. 20-43</t>
  </si>
  <si>
    <t>20FE0124</t>
  </si>
  <si>
    <t>G-20-03-A</t>
  </si>
  <si>
    <t>BFAR5BAC-2020-106</t>
  </si>
  <si>
    <t>20A-02-0035</t>
  </si>
  <si>
    <t>146-2020</t>
  </si>
  <si>
    <t>145-2020</t>
  </si>
  <si>
    <t>2020-MS-101</t>
  </si>
  <si>
    <t>520200302592</t>
  </si>
  <si>
    <t>02-07-2020</t>
  </si>
  <si>
    <t>037-LGU-LAOANG-2020</t>
  </si>
  <si>
    <t>60011022020</t>
  </si>
  <si>
    <t>I.D. NO. –June10-2020-468</t>
  </si>
  <si>
    <t>I.D. NO. –June10-2020-469</t>
  </si>
  <si>
    <t>PRDP-PSO-Admin-2020-05-017 (AF)</t>
  </si>
  <si>
    <t>I.D. NO. –June10-2020-473</t>
  </si>
  <si>
    <t>I.D. NO. –June10-2020-470</t>
  </si>
  <si>
    <t>2020-06-0560</t>
  </si>
  <si>
    <t>GEPS - 2020 - 78</t>
  </si>
  <si>
    <t>60011032020</t>
  </si>
  <si>
    <t>20CI0096</t>
  </si>
  <si>
    <t>20CI0095</t>
  </si>
  <si>
    <t>20CI0094</t>
  </si>
  <si>
    <t>SRAVIS 20-06-279</t>
  </si>
  <si>
    <t>PROCUREMENT OF GENUINE HP TONER CARTRIDGES (For Ex</t>
  </si>
  <si>
    <t>SEC PB 2020-012</t>
  </si>
  <si>
    <t>SEC PB 2020-011</t>
  </si>
  <si>
    <t>GEPS - 2020 - 79</t>
  </si>
  <si>
    <t>pb-infra-2020-036</t>
  </si>
  <si>
    <t>007-20</t>
  </si>
  <si>
    <t>GA-BAC-2020-IA-12</t>
  </si>
  <si>
    <t>GOODS-2020-131</t>
  </si>
  <si>
    <t>I.D. NO. –June10-2020-471</t>
  </si>
  <si>
    <t>2020-62 (GAS)</t>
  </si>
  <si>
    <t>I.D. NO. –June10-2020-475</t>
  </si>
  <si>
    <t>SRF2020-02</t>
  </si>
  <si>
    <t>I.D. NO. –June10-2020-476</t>
  </si>
  <si>
    <t>I.D. NO. –June10-2020-474</t>
  </si>
  <si>
    <t>C-018-20</t>
  </si>
  <si>
    <t>20EF0120</t>
  </si>
  <si>
    <t>20EF0119</t>
  </si>
  <si>
    <t>I.D. NO. –June10-2020-467</t>
  </si>
  <si>
    <t>20HH0136</t>
  </si>
  <si>
    <t>20EF0118</t>
  </si>
  <si>
    <t>HFEP ITB 2020-002</t>
  </si>
  <si>
    <t>20GEF009 (Re-bid 1)</t>
  </si>
  <si>
    <t>2020-63 (GAS)</t>
  </si>
  <si>
    <t>G-18-2020</t>
  </si>
  <si>
    <t>C-019-20</t>
  </si>
  <si>
    <t>G-17-2020</t>
  </si>
  <si>
    <t>G-16-2020</t>
  </si>
  <si>
    <t>G-19-2020</t>
  </si>
  <si>
    <t>Goods 0023-2020</t>
  </si>
  <si>
    <t>Goods 0025-2020</t>
  </si>
  <si>
    <t>Goods 0024-2020</t>
  </si>
  <si>
    <t>06-084-2020</t>
  </si>
  <si>
    <t>Goods 0017-2020</t>
  </si>
  <si>
    <t>GOODS-2020-132</t>
  </si>
  <si>
    <t>BAC No. 07-05-2020</t>
  </si>
  <si>
    <t>20EF0121</t>
  </si>
  <si>
    <t>20CSKK0004</t>
  </si>
  <si>
    <t>G-20-2020</t>
  </si>
  <si>
    <t>cgb2020-195</t>
  </si>
  <si>
    <t>2020-018-PB</t>
  </si>
  <si>
    <t>I.D. NO. –June10-2020-472</t>
  </si>
  <si>
    <t>GOODS-08</t>
  </si>
  <si>
    <t>GOODS-07</t>
  </si>
  <si>
    <t>NS-06-11-20</t>
  </si>
  <si>
    <t>BAC-PGCS-007-2020</t>
  </si>
  <si>
    <t>20CW-GSC-022</t>
  </si>
  <si>
    <t>Pb-001-20</t>
  </si>
  <si>
    <t>ITB 20-070</t>
  </si>
  <si>
    <t>20CSAI002</t>
  </si>
  <si>
    <t>PR No. 2020-03-000025</t>
  </si>
  <si>
    <t>N-20-06-055</t>
  </si>
  <si>
    <t>ITB-2020-PR0903</t>
  </si>
  <si>
    <t>N-20-06-053</t>
  </si>
  <si>
    <t>G-21-2020</t>
  </si>
  <si>
    <t>INFRA-2K20-39</t>
  </si>
  <si>
    <t>INFRA 2K20-41</t>
  </si>
  <si>
    <t>LIMAO-BAC-07-20</t>
  </si>
  <si>
    <t>ITB-2020-JDL-004</t>
  </si>
  <si>
    <t>INFRA-2020-16</t>
  </si>
  <si>
    <t>INFRA-2020-17</t>
  </si>
  <si>
    <t>BCS-2020-0114</t>
  </si>
  <si>
    <t>IB. NO. 2020-206</t>
  </si>
  <si>
    <t>LIMAO-BAC-08-20</t>
  </si>
  <si>
    <t>ITB PR No.: 0854-20BAC</t>
  </si>
  <si>
    <t>ITB PR No.: 0852-20BAC</t>
  </si>
  <si>
    <t>ITB PR No.: 0816-20BAC</t>
  </si>
  <si>
    <t>INFRA 2K20-50</t>
  </si>
  <si>
    <t>C-2020-01</t>
  </si>
  <si>
    <t>PR# 20-06-0603</t>
  </si>
  <si>
    <t>N-20-06-052</t>
  </si>
  <si>
    <t>ITB PR No.: 0853-20BAC</t>
  </si>
  <si>
    <t>ITB-GS-20200313-01</t>
  </si>
  <si>
    <t>20CSA001</t>
  </si>
  <si>
    <t>PR# 20-05-940</t>
  </si>
  <si>
    <t>20H00061</t>
  </si>
  <si>
    <t>INFRA-12</t>
  </si>
  <si>
    <t>PR Nos. 1000031284, 1000031790</t>
  </si>
  <si>
    <t>C4ISR-PNBAC1-2020-24</t>
  </si>
  <si>
    <t>20-06-0273</t>
  </si>
  <si>
    <t>N-20-06-054</t>
  </si>
  <si>
    <t>C4ISR-PNBAC1-2020-25</t>
  </si>
  <si>
    <t>20-003</t>
  </si>
  <si>
    <t>20CSA002</t>
  </si>
  <si>
    <t>ITB-2020-02</t>
  </si>
  <si>
    <t>KAT-06-2020-001</t>
  </si>
  <si>
    <t>IB NO. 2020-06-29 (13)</t>
  </si>
  <si>
    <t>2020-0900-003</t>
  </si>
  <si>
    <t>QSU-BAC-F-02-2020 DA-ACEF</t>
  </si>
  <si>
    <t>INFRA-20-06-0592</t>
  </si>
  <si>
    <t>2020-06-09-002</t>
  </si>
  <si>
    <t>IB NO. 2020-06-29 (12)</t>
  </si>
  <si>
    <t>101-20-06-267</t>
  </si>
  <si>
    <t>100-20-05-0543</t>
  </si>
  <si>
    <t>ITB PR No.: 0770-20BAC</t>
  </si>
  <si>
    <t>REI - 2020 - 01</t>
  </si>
  <si>
    <t>20NC0125</t>
  </si>
  <si>
    <t>20NC0124</t>
  </si>
  <si>
    <t>PB 20-020-5</t>
  </si>
  <si>
    <t>BCS-2020-0100</t>
  </si>
  <si>
    <t>Goods 0028-2020</t>
  </si>
  <si>
    <t>INFRA-20-06</t>
  </si>
  <si>
    <t>2020-06-82</t>
  </si>
  <si>
    <t>BCS-2020-0101</t>
  </si>
  <si>
    <t>BAC-HO GS No. 2020-0227 dated 26 May 2020 (SSD)</t>
  </si>
  <si>
    <t>ITB- 2020-06</t>
  </si>
  <si>
    <t>BWWGEBAC #2020-004</t>
  </si>
  <si>
    <t>20-05-0268</t>
  </si>
  <si>
    <t>20-DO-0083</t>
  </si>
  <si>
    <t>IB No. 2020-222</t>
  </si>
  <si>
    <t>20NA0072</t>
  </si>
  <si>
    <t>INFRA 2K20-49</t>
  </si>
  <si>
    <t>J.O. No. 2020-05-JO61</t>
  </si>
  <si>
    <t>RFQ NO. SVP-008-2020</t>
  </si>
  <si>
    <t>2020-02-0384-MAIN</t>
  </si>
  <si>
    <t>2020 GDS JUN - 02</t>
  </si>
  <si>
    <t>B-82-2020</t>
  </si>
  <si>
    <t>INFRA 2K20-46</t>
  </si>
  <si>
    <t>INFRA-14</t>
  </si>
  <si>
    <t>BCS-2020-0102</t>
  </si>
  <si>
    <t>2020-02-0190-MAIN</t>
  </si>
  <si>
    <t>INFRA-15</t>
  </si>
  <si>
    <t>Pr No. 2020-06-000001</t>
  </si>
  <si>
    <t>INFRA-13</t>
  </si>
  <si>
    <t>DGPD2020-RFQ06-002-G</t>
  </si>
  <si>
    <t>2020-GOODS-32</t>
  </si>
  <si>
    <t>20CSHN09</t>
  </si>
  <si>
    <t>PB2020-007 (PR No. 19-10-1288 and 19-10-1296)</t>
  </si>
  <si>
    <t>PR No. 2020-06-000006</t>
  </si>
  <si>
    <t>2020-02-0293-MAIN</t>
  </si>
  <si>
    <t>19CSK00053</t>
  </si>
  <si>
    <t>ITB NO. 2020-0012</t>
  </si>
  <si>
    <t>2020-02-0192-MAIN</t>
  </si>
  <si>
    <t>BCS-2020-0094</t>
  </si>
  <si>
    <t>20CSCJ01</t>
  </si>
  <si>
    <t>2020 001</t>
  </si>
  <si>
    <t>19-82-071</t>
  </si>
  <si>
    <t>19CSK00055</t>
  </si>
  <si>
    <t>19CSK00054</t>
  </si>
  <si>
    <t>19CSK00056</t>
  </si>
  <si>
    <t>PR# 20-05-941</t>
  </si>
  <si>
    <t>CONTRACT ID: 19-10-208 REBID</t>
  </si>
  <si>
    <t>2005021</t>
  </si>
  <si>
    <t>ITB2020-06-77-MTPB</t>
  </si>
  <si>
    <t>27608-001</t>
  </si>
  <si>
    <t>27611-001</t>
  </si>
  <si>
    <t>PR-2020-05-116</t>
  </si>
  <si>
    <t>BS20-03-0520</t>
  </si>
  <si>
    <t>27388-001</t>
  </si>
  <si>
    <t>20NC0119</t>
  </si>
  <si>
    <t>CBSUA-SIP-GOODS-09-2020</t>
  </si>
  <si>
    <t>S1-MOP20-002</t>
  </si>
  <si>
    <t>ITB 2020-05</t>
  </si>
  <si>
    <t>MKWD2020-041</t>
  </si>
  <si>
    <t>ITB NO. 2020-0013</t>
  </si>
  <si>
    <t>20013052020</t>
  </si>
  <si>
    <t>ITB-2019-PW-01</t>
  </si>
  <si>
    <t>27619-001 to 27619-003</t>
  </si>
  <si>
    <t>Contract No. PB-CW-2020-017</t>
  </si>
  <si>
    <t>ITB PR No.: 0691-20BAC</t>
  </si>
  <si>
    <t>ITB PR No.: 0605-20BAC</t>
  </si>
  <si>
    <t>ITB PR No.: 0952-20BAC</t>
  </si>
  <si>
    <t>PB-CW-2020-016</t>
  </si>
  <si>
    <t>BS20-02-0215-1</t>
  </si>
  <si>
    <t>ITB PR No.: 0604-20BAC</t>
  </si>
  <si>
    <t>ITB PR No.: 3310-19BAC</t>
  </si>
  <si>
    <t>ITB PR No.: 0694-20BAC</t>
  </si>
  <si>
    <t>2020-062-13</t>
  </si>
  <si>
    <t>ITB PR No.: 0698-20BAC</t>
  </si>
  <si>
    <t>ITB PR No.: 0697-20BAC</t>
  </si>
  <si>
    <t>20CE0208</t>
  </si>
  <si>
    <t>PB-CW-2020-018</t>
  </si>
  <si>
    <t>20F00123</t>
  </si>
  <si>
    <t>19-83-408</t>
  </si>
  <si>
    <t>20CE0207</t>
  </si>
  <si>
    <t>2020-02-INFRA-JUNE-01</t>
  </si>
  <si>
    <t>20GB0123</t>
  </si>
  <si>
    <t>BAC 2020-67</t>
  </si>
  <si>
    <t>2020-05-41</t>
  </si>
  <si>
    <t>SAM-2020-18</t>
  </si>
  <si>
    <t>20FO0092</t>
  </si>
  <si>
    <t>PR 74462</t>
  </si>
  <si>
    <t>S1-MQN20-007</t>
  </si>
  <si>
    <t>ITB-GS-20200323-01</t>
  </si>
  <si>
    <t>20BF0052</t>
  </si>
  <si>
    <t>IB-2020-060</t>
  </si>
  <si>
    <t>PR No. 2020-05-000010</t>
  </si>
  <si>
    <t>20-03-0226</t>
  </si>
  <si>
    <t>20BF0054</t>
  </si>
  <si>
    <t>ITB-GS-20200402-01</t>
  </si>
  <si>
    <t>20-03-0182</t>
  </si>
  <si>
    <t>20BF0053</t>
  </si>
  <si>
    <t>19Z00043</t>
  </si>
  <si>
    <t>BPS-35783</t>
  </si>
  <si>
    <t>BFAR5BAC-2020-099</t>
  </si>
  <si>
    <t>19Z00042</t>
  </si>
  <si>
    <t>ITB-GS-20200407-01</t>
  </si>
  <si>
    <t>20KA0141</t>
  </si>
  <si>
    <t>20KA0140</t>
  </si>
  <si>
    <t>20KA0142</t>
  </si>
  <si>
    <t>20P00017</t>
  </si>
  <si>
    <t>ITB-GS-20200325-01</t>
  </si>
  <si>
    <t>20C00036</t>
  </si>
  <si>
    <t>20KA0139</t>
  </si>
  <si>
    <t>nego8</t>
  </si>
  <si>
    <t>20HG0161 RE-BID</t>
  </si>
  <si>
    <t>2020-GOODS-03</t>
  </si>
  <si>
    <t>BPS-35797</t>
  </si>
  <si>
    <t>20KA0138</t>
  </si>
  <si>
    <t>20KA0135</t>
  </si>
  <si>
    <t>S1-TDP20-013</t>
  </si>
  <si>
    <t>IB NO. 2020-172-A</t>
  </si>
  <si>
    <t>20P00006</t>
  </si>
  <si>
    <t>20KA0137</t>
  </si>
  <si>
    <t>20HG0162 RE-BID</t>
  </si>
  <si>
    <t>20KA0136</t>
  </si>
  <si>
    <t>RFQ NO. SVP-003-2020</t>
  </si>
  <si>
    <t>20P00005</t>
  </si>
  <si>
    <t>2020-000-028</t>
  </si>
  <si>
    <t>FSDE18-CN-043-20</t>
  </si>
  <si>
    <t>ITB No. 2020-03</t>
  </si>
  <si>
    <t>SVP 2020-215</t>
  </si>
  <si>
    <t>20P00009</t>
  </si>
  <si>
    <t>20BG0137</t>
  </si>
  <si>
    <t>ITB No. 2020-02</t>
  </si>
  <si>
    <t>20BG0131</t>
  </si>
  <si>
    <t>20CI0087</t>
  </si>
  <si>
    <t>20-03-0221</t>
  </si>
  <si>
    <t>BSWM PR 2020-03-1068</t>
  </si>
  <si>
    <t>20BG0136</t>
  </si>
  <si>
    <t>20BG0135</t>
  </si>
  <si>
    <t>20J00176</t>
  </si>
  <si>
    <t>MG-A7M20-051</t>
  </si>
  <si>
    <t>BSWM PR 2020-01-0801</t>
  </si>
  <si>
    <t>20CSH020</t>
  </si>
  <si>
    <t>20J00177</t>
  </si>
  <si>
    <t>20CSH019</t>
  </si>
  <si>
    <t>20C00042</t>
  </si>
  <si>
    <t>20CSH018</t>
  </si>
  <si>
    <t>19Z00001</t>
  </si>
  <si>
    <t>BSWM PR 2020-02-1006</t>
  </si>
  <si>
    <t>2020-05-06a</t>
  </si>
  <si>
    <t>20CSH022</t>
  </si>
  <si>
    <t>BFAR5BAC-2020-077</t>
  </si>
  <si>
    <t>SVP 2020-320</t>
  </si>
  <si>
    <t>20-03-00198</t>
  </si>
  <si>
    <t>20CSH017</t>
  </si>
  <si>
    <t>PSYS-20-05-002</t>
  </si>
  <si>
    <t>20CSH016</t>
  </si>
  <si>
    <t>20CSH021</t>
  </si>
  <si>
    <t>DTI PB-20-010</t>
  </si>
  <si>
    <t>BFAR5BAC-2020-081</t>
  </si>
  <si>
    <t>20-009-10 Charlie</t>
  </si>
  <si>
    <t>20J00179</t>
  </si>
  <si>
    <t>20J00178</t>
  </si>
  <si>
    <t>BSWM PR 2020-02-1012</t>
  </si>
  <si>
    <t>ITB 2020-INFRA-006</t>
  </si>
  <si>
    <t>ITB 2020-INFRA-005</t>
  </si>
  <si>
    <t>20J00188</t>
  </si>
  <si>
    <t>ITB 2020-INFRA-004</t>
  </si>
  <si>
    <t>ITB 2020-INFRA-002</t>
  </si>
  <si>
    <t>ITB 2020-INFRA-001</t>
  </si>
  <si>
    <t>ISS 2020-008-IT</t>
  </si>
  <si>
    <t>BFAR5BAC-2020-053</t>
  </si>
  <si>
    <t>BFAR5BAC-2020-032</t>
  </si>
  <si>
    <t>ITB 2020-INFRA-007</t>
  </si>
  <si>
    <t>BFAR5BAC-2020-039</t>
  </si>
  <si>
    <t>ITB 2020-INFRA-003</t>
  </si>
  <si>
    <t>BFAR5BAC-2020-036</t>
  </si>
  <si>
    <t>S1-LOD20-012</t>
  </si>
  <si>
    <t>BFAR5BAC-2020-034</t>
  </si>
  <si>
    <t>BFAR5BAC-2020-029</t>
  </si>
  <si>
    <t>20AC0087</t>
  </si>
  <si>
    <t>20AC0089</t>
  </si>
  <si>
    <t>20AC0080</t>
  </si>
  <si>
    <t>20HM0083 (RE-IB)</t>
  </si>
  <si>
    <t>20AC0084</t>
  </si>
  <si>
    <t>20AC0083</t>
  </si>
  <si>
    <t>20AC0081</t>
  </si>
  <si>
    <t>20AC0090</t>
  </si>
  <si>
    <t>ITB-GS-20200212-01</t>
  </si>
  <si>
    <t>20AC0079</t>
  </si>
  <si>
    <t>ITB-GS-20191202-01</t>
  </si>
  <si>
    <t>S1-ADP20-009</t>
  </si>
  <si>
    <t>20FO0077</t>
  </si>
  <si>
    <t>20AC0091</t>
  </si>
  <si>
    <t>20AC0088</t>
  </si>
  <si>
    <t>20FO0074</t>
  </si>
  <si>
    <t>20K00347</t>
  </si>
  <si>
    <t>20J00183</t>
  </si>
  <si>
    <t>20FO0075</t>
  </si>
  <si>
    <t>20FO0076</t>
  </si>
  <si>
    <t>20J00180</t>
  </si>
  <si>
    <t>PB-2020-G-3</t>
  </si>
  <si>
    <t>20CSIO09</t>
  </si>
  <si>
    <t>20J00181</t>
  </si>
  <si>
    <t>BFAR5BAC-2020-050</t>
  </si>
  <si>
    <t>BSWM PR 2020-01-0851</t>
  </si>
  <si>
    <t>nlontoc-ITB050-2020</t>
  </si>
  <si>
    <t>ITB-GS-20200217-01</t>
  </si>
  <si>
    <t>CID No. 20CSIO13</t>
  </si>
  <si>
    <t>GSO-20-0202-B</t>
  </si>
  <si>
    <t>20AC0077</t>
  </si>
  <si>
    <t>BFAR5BAC-2020-051</t>
  </si>
  <si>
    <t>20AC0078</t>
  </si>
  <si>
    <t>20200585</t>
  </si>
  <si>
    <t>UPLB-IF-016-03-20</t>
  </si>
  <si>
    <t>SVP 2020-164</t>
  </si>
  <si>
    <t>ITB No. PB20-03-003DAV</t>
  </si>
  <si>
    <t>PB 20-16</t>
  </si>
  <si>
    <t>20CE0203</t>
  </si>
  <si>
    <t>20CE0202</t>
  </si>
  <si>
    <t>UPLB-IF-015-03-20</t>
  </si>
  <si>
    <t>20OD0188</t>
  </si>
  <si>
    <t>S1-ROM20-007</t>
  </si>
  <si>
    <t>CID No. 20CSIO12</t>
  </si>
  <si>
    <t>2020-01-0016</t>
  </si>
  <si>
    <t>CID No. 20CSIO08</t>
  </si>
  <si>
    <t>20AC0076</t>
  </si>
  <si>
    <t>G-2020-03-011-GF 2019</t>
  </si>
  <si>
    <t>PR 74126</t>
  </si>
  <si>
    <t>20AC0065</t>
  </si>
  <si>
    <t>20AC0064</t>
  </si>
  <si>
    <t>20-DO-0075</t>
  </si>
  <si>
    <t>CDC 47-03-2020</t>
  </si>
  <si>
    <t>SBAC-AIR-INFR-2020-01</t>
  </si>
  <si>
    <t>ITB No. 20-049</t>
  </si>
  <si>
    <t>20AC0075</t>
  </si>
  <si>
    <t>20AC0074</t>
  </si>
  <si>
    <t>20OE0197</t>
  </si>
  <si>
    <t>ITB No. PB20-01-007ANGa-03</t>
  </si>
  <si>
    <t>ITB-GS-20191023-01(2)</t>
  </si>
  <si>
    <t>UPM-CAD2020-11</t>
  </si>
  <si>
    <t>CDC 41-03-2020</t>
  </si>
  <si>
    <t>20AC0066</t>
  </si>
  <si>
    <t>03072020</t>
  </si>
  <si>
    <t>BCS-2020-0085</t>
  </si>
  <si>
    <t>20FA0050</t>
  </si>
  <si>
    <t>UPM-CAD2020-09</t>
  </si>
  <si>
    <t>20dpwh66</t>
  </si>
  <si>
    <t>19dpwh65</t>
  </si>
  <si>
    <t>UPM-CAD2020-08</t>
  </si>
  <si>
    <t>20OE0091</t>
  </si>
  <si>
    <t>BCS-2020-0084</t>
  </si>
  <si>
    <t>UPC PB2020-03-03</t>
  </si>
  <si>
    <t>19CSK00047</t>
  </si>
  <si>
    <t>UPM-CAD2020-10</t>
  </si>
  <si>
    <t>PEO CO-2016</t>
  </si>
  <si>
    <t>20% DF-2018-emib-SB</t>
  </si>
  <si>
    <t>PEO CO-2019-1-07-03-990</t>
  </si>
  <si>
    <t>UPC PB2020-03-04</t>
  </si>
  <si>
    <t>PEO CO-2019-SB 2-1-07-04-010</t>
  </si>
  <si>
    <t>BPS-35146</t>
  </si>
  <si>
    <t>MCPD2020-RFQ03-002-G</t>
  </si>
  <si>
    <t>20OE0196</t>
  </si>
  <si>
    <t>CID No. 20CSIO10</t>
  </si>
  <si>
    <t>20IL0175</t>
  </si>
  <si>
    <t>PEO CO-2019-1-07-03-010</t>
  </si>
  <si>
    <t>ITB-010-2020</t>
  </si>
  <si>
    <t>ITB-009-2020</t>
  </si>
  <si>
    <t>20J00182</t>
  </si>
  <si>
    <t>RFQ-008-2020</t>
  </si>
  <si>
    <t>BFAR5BAC-2020-046</t>
  </si>
  <si>
    <t>BCS-2020-0081</t>
  </si>
  <si>
    <t>20FA0049</t>
  </si>
  <si>
    <t>TAL-06-03-2020</t>
  </si>
  <si>
    <t>I-2020-008</t>
  </si>
  <si>
    <t>PR 74122</t>
  </si>
  <si>
    <t>I-2020-009</t>
  </si>
  <si>
    <t>PB-IP-01-2020</t>
  </si>
  <si>
    <t>BCS-2020-0080</t>
  </si>
  <si>
    <t>I-2020-006</t>
  </si>
  <si>
    <t>ITB-GS-20200218-01</t>
  </si>
  <si>
    <t>ITB-GS-20200224-01</t>
  </si>
  <si>
    <t>SPUG-LUZ19-020 (PB2)</t>
  </si>
  <si>
    <t>2020-06 (Rebidding)</t>
  </si>
  <si>
    <t>I-2020-007</t>
  </si>
  <si>
    <t>ITB-GS-20200219-01</t>
  </si>
  <si>
    <t>20dpwh72</t>
  </si>
  <si>
    <t>BCS-2020-0078</t>
  </si>
  <si>
    <t>20FA0047</t>
  </si>
  <si>
    <t>PB-2020-G-2</t>
  </si>
  <si>
    <t>UPM-CAD2020-05</t>
  </si>
  <si>
    <t>SBAC-CS-2020-03-03</t>
  </si>
  <si>
    <t>CDC 38-03-2020</t>
  </si>
  <si>
    <t>20GO0038</t>
  </si>
  <si>
    <t>2020-02 Infra (Rebid 2020 BEFF Lot 6)</t>
  </si>
  <si>
    <t>20FA0048</t>
  </si>
  <si>
    <t>UPLB-S-044-03-20</t>
  </si>
  <si>
    <t>ITB No. PB20-03-002DAV</t>
  </si>
  <si>
    <t>I-2020-010</t>
  </si>
  <si>
    <t>R4-INFRA2020-01-003</t>
  </si>
  <si>
    <t>ITB-007-2020</t>
  </si>
  <si>
    <t>PB-04-20</t>
  </si>
  <si>
    <t>20CE0199</t>
  </si>
  <si>
    <t>UPLB-S-038-03-20</t>
  </si>
  <si>
    <t>CDC 30-02-2020</t>
  </si>
  <si>
    <t>CDC 36-03-2020</t>
  </si>
  <si>
    <t>BAC19-001-004</t>
  </si>
  <si>
    <t>20-DO-0068</t>
  </si>
  <si>
    <t>BAC Ref No. 02-2020WPMS</t>
  </si>
  <si>
    <t>CDC 32-02-2020</t>
  </si>
  <si>
    <t>SAM-2020-14</t>
  </si>
  <si>
    <t>CARC- 2020-GS-01</t>
  </si>
  <si>
    <t>R4-INFRA2020-01-004</t>
  </si>
  <si>
    <t>20BG0116</t>
  </si>
  <si>
    <t>20K00285</t>
  </si>
  <si>
    <t>CDC 27-02-2020</t>
  </si>
  <si>
    <t>20OE0114</t>
  </si>
  <si>
    <t>20OE0108</t>
  </si>
  <si>
    <t>UPLB-S-030-03-20</t>
  </si>
  <si>
    <t>Infra-2020-12</t>
  </si>
  <si>
    <t>BAC No. 2020-017</t>
  </si>
  <si>
    <t>CDC 33-02-2020</t>
  </si>
  <si>
    <t>Infra-2020-11</t>
  </si>
  <si>
    <t>BAC No. 2020-019</t>
  </si>
  <si>
    <t>CDC 28-02-2020</t>
  </si>
  <si>
    <t>20K00282</t>
  </si>
  <si>
    <t>20K00275</t>
  </si>
  <si>
    <t>ITB-2020-04</t>
  </si>
  <si>
    <t>CDC 23-02-2020</t>
  </si>
  <si>
    <t>Infra-2020-08  Re-bidding</t>
  </si>
  <si>
    <t>20OE0195</t>
  </si>
  <si>
    <t>20OE0194</t>
  </si>
  <si>
    <t>MCPD2020-RFQ01-002-G</t>
  </si>
  <si>
    <t>20OE0193</t>
  </si>
  <si>
    <t>20OE0191</t>
  </si>
  <si>
    <t>20OE0189</t>
  </si>
  <si>
    <t>Infra-2020-06 Re-bidding</t>
  </si>
  <si>
    <t>GOODS2020-11</t>
  </si>
  <si>
    <t>20OE0190</t>
  </si>
  <si>
    <t>19-053-10 Bravo (Re-bid)</t>
  </si>
  <si>
    <t>cdc 14-01-2020</t>
  </si>
  <si>
    <t>20-001-01</t>
  </si>
  <si>
    <t>20OD0131</t>
  </si>
  <si>
    <t>PR NO. 73939</t>
  </si>
  <si>
    <t>20KA0101 (Readvertisement)</t>
  </si>
  <si>
    <t>20OE0138</t>
  </si>
  <si>
    <t>BCS-2019-0065</t>
  </si>
  <si>
    <t>20HD0079</t>
  </si>
  <si>
    <t>20OE0173</t>
  </si>
  <si>
    <t>Invitation to Bid No. 20-002</t>
  </si>
  <si>
    <t>20HD0075</t>
  </si>
  <si>
    <t>20OD0126</t>
  </si>
  <si>
    <t>20HD0055</t>
  </si>
  <si>
    <t>CDC 94-08-2019</t>
  </si>
  <si>
    <t>EXPO DUBAI-31158</t>
  </si>
  <si>
    <t>PB No. 19-341-7</t>
  </si>
  <si>
    <t>CDC 01-01-2020</t>
  </si>
  <si>
    <t>20OE0166</t>
  </si>
  <si>
    <t>CDC 125-11-2019</t>
  </si>
  <si>
    <t>20KB0057</t>
  </si>
  <si>
    <t>20J00092</t>
  </si>
  <si>
    <t>20OE0192</t>
  </si>
  <si>
    <t>20J00089</t>
  </si>
  <si>
    <t>CDC 22-02-2020</t>
  </si>
  <si>
    <t>20K00270</t>
  </si>
  <si>
    <t>CDC 18-02-2020</t>
  </si>
  <si>
    <t>20FA0040</t>
  </si>
  <si>
    <t>20OE0187</t>
  </si>
  <si>
    <t>DENR-CO-2020-002</t>
  </si>
  <si>
    <t>20CI0064</t>
  </si>
  <si>
    <t>20J00090</t>
  </si>
  <si>
    <t>ITB-CW-20200124-01</t>
  </si>
  <si>
    <t>CAT-2020-001</t>
  </si>
  <si>
    <t>BAC 2020-018</t>
  </si>
  <si>
    <t>20J00091</t>
  </si>
  <si>
    <t>20OE0185</t>
  </si>
  <si>
    <t>20OE0188</t>
  </si>
  <si>
    <t>BAC Ref No. 04-2020SFC</t>
  </si>
  <si>
    <t>19CSFC03</t>
  </si>
  <si>
    <t>UPLB-CSLT-002-03-20</t>
  </si>
  <si>
    <t>UPLB-CSLT-001-03-20</t>
  </si>
  <si>
    <t>20OC0025</t>
  </si>
  <si>
    <t>BAC No. 2020-016</t>
  </si>
  <si>
    <t>ITB No. PB20-01-017COR</t>
  </si>
  <si>
    <t>19CSK00049</t>
  </si>
  <si>
    <t>BAC No. 2020-015</t>
  </si>
  <si>
    <t>19CSK00048</t>
  </si>
  <si>
    <t>CDC 39-03-2020</t>
  </si>
  <si>
    <t>BAC 2020-012</t>
  </si>
  <si>
    <t>BAC Ref No. 03-2020PTC</t>
  </si>
  <si>
    <t>ITB-004-2020</t>
  </si>
  <si>
    <t>ITB-003-2020</t>
  </si>
  <si>
    <t>INF-001-2020</t>
  </si>
  <si>
    <t>BAC-ITIO GS No. 2020-0011</t>
  </si>
  <si>
    <t>CDC 37-03-2020</t>
  </si>
  <si>
    <t>INF-005-2020</t>
  </si>
  <si>
    <t>INF-002-2020</t>
  </si>
  <si>
    <t>ITB-006-2020</t>
  </si>
  <si>
    <t>dfppurch20-044</t>
  </si>
  <si>
    <t>20OC0099</t>
  </si>
  <si>
    <t>PB-2020-02</t>
  </si>
  <si>
    <t>PEO CO-2018-1-07-03-010</t>
  </si>
  <si>
    <t>20DE0129</t>
  </si>
  <si>
    <t>20AC0059</t>
  </si>
  <si>
    <t>20DE0127</t>
  </si>
  <si>
    <t>20AC0062</t>
  </si>
  <si>
    <t>20AC0063</t>
  </si>
  <si>
    <t>20DE0128</t>
  </si>
  <si>
    <t>20AC0069</t>
  </si>
  <si>
    <t>20AC0068</t>
  </si>
  <si>
    <t>20AC0067</t>
  </si>
  <si>
    <t>PR 73549</t>
  </si>
  <si>
    <t>20AI0126</t>
  </si>
  <si>
    <t>PROCUREMENT OF OTHER SUPPLIES AND MATERIALS (SUPPL</t>
  </si>
  <si>
    <t>20AI0125</t>
  </si>
  <si>
    <t>20AC0072</t>
  </si>
  <si>
    <t>ITB-CW-20200121-01</t>
  </si>
  <si>
    <t>19-10-0950 Re-Bid</t>
  </si>
  <si>
    <t>20CF0128</t>
  </si>
  <si>
    <t>CDC 45-03-2020</t>
  </si>
  <si>
    <t>BSWM PR 2020-01-0675</t>
  </si>
  <si>
    <t>BSWM PR 2020-01-0788</t>
  </si>
  <si>
    <t>S1-MTS20-018</t>
  </si>
  <si>
    <t>MA-A2H20-006..BATTERY BANK, STATION BATTERY, AGUS</t>
  </si>
  <si>
    <t>03-012-2020</t>
  </si>
  <si>
    <t>20AC0071</t>
  </si>
  <si>
    <t>20AC0073</t>
  </si>
  <si>
    <t>S1-MRN20-014</t>
  </si>
  <si>
    <t>BAC-GS No. 2020-046</t>
  </si>
  <si>
    <t>PB-03-20</t>
  </si>
  <si>
    <t>BSWM PR 2020-02-1005 &amp; 0796</t>
  </si>
  <si>
    <t>ITB-GS-20200304-01</t>
  </si>
  <si>
    <t>2020059</t>
  </si>
  <si>
    <t>ITB-GS-20200305-03</t>
  </si>
  <si>
    <t>20AC0082</t>
  </si>
  <si>
    <t>001-01-2020</t>
  </si>
  <si>
    <t>ITB-GS-20190703-01(2)</t>
  </si>
  <si>
    <t>2020-CIMS(008)-PB-001</t>
  </si>
  <si>
    <t>Implementing Rules and Regulations</t>
  </si>
  <si>
    <t>Others</t>
  </si>
  <si>
    <t>WB Procurement Guidelines</t>
  </si>
  <si>
    <t>ADB Procurement Guidelines</t>
  </si>
  <si>
    <t>ADB Guidelines on the use of Consultants</t>
  </si>
  <si>
    <t>International / Executive Agreement</t>
  </si>
  <si>
    <t>Negotiated Procurement - Small Value Procurement (Sec. 53.9)</t>
  </si>
  <si>
    <t>Public Bidding</t>
  </si>
  <si>
    <t>Shopping</t>
  </si>
  <si>
    <t>Shopping - Ordinary/Regular Office Supplies &amp; Equipment (Sec. 52.1.b)</t>
  </si>
  <si>
    <t>Negotiated Procurement - Two Failed Biddings (Sec. 53.1)</t>
  </si>
  <si>
    <t>National Competitive Bidding</t>
  </si>
  <si>
    <t>Negotiated Procurement - NGO Participation (Sec. 53.11)</t>
  </si>
  <si>
    <t>International Competitive Bidding</t>
  </si>
  <si>
    <t>Selection based on Consultants Qualification</t>
  </si>
  <si>
    <t>Consulting Services</t>
  </si>
  <si>
    <t>Civil Works</t>
  </si>
  <si>
    <t>Goods - General Support Services</t>
  </si>
  <si>
    <t>Medical Supplies and Laboratory Instrument</t>
  </si>
  <si>
    <t>Sporting Goods</t>
  </si>
  <si>
    <t>Medical and Dental Equipment</t>
  </si>
  <si>
    <t>Appliances</t>
  </si>
  <si>
    <t>Furniture</t>
  </si>
  <si>
    <t>Office Supplies and Devices</t>
  </si>
  <si>
    <t>Construction Projects</t>
  </si>
  <si>
    <t>Hardware and Construction Supplies</t>
  </si>
  <si>
    <t>Services</t>
  </si>
  <si>
    <t>Safety and Occupational Products</t>
  </si>
  <si>
    <t>Educational Materials and Supplies</t>
  </si>
  <si>
    <t>Plastic Products</t>
  </si>
  <si>
    <t>Electrical Systems and Lighting Components</t>
  </si>
  <si>
    <t>Information Technology</t>
  </si>
  <si>
    <t>Garments</t>
  </si>
  <si>
    <t>Chemicals and Chemical Products</t>
  </si>
  <si>
    <t>Hospital / Medical Equipment</t>
  </si>
  <si>
    <t>Agricultural Products (Seeds, Seedlings, Plants..)</t>
  </si>
  <si>
    <t>Communication Equipment</t>
  </si>
  <si>
    <t>Security Surveillance and Detection Equipment</t>
  </si>
  <si>
    <t>Airconditioning and Airconditioning Systems</t>
  </si>
  <si>
    <t>Arts and Crafts Accessories and Supplies</t>
  </si>
  <si>
    <t>Tokens and Awards</t>
  </si>
  <si>
    <t>Textiles</t>
  </si>
  <si>
    <t>Fuels/Fuel Additives &amp; Lubricants &amp; Anti Corrosive</t>
  </si>
  <si>
    <t>Lifting equipment and accessories</t>
  </si>
  <si>
    <t>Printing Supplies</t>
  </si>
  <si>
    <t>Janitorial Equipment</t>
  </si>
  <si>
    <t>Electronic Parts and Components</t>
  </si>
  <si>
    <t>Vehicles</t>
  </si>
  <si>
    <t>Animal Feeds</t>
  </si>
  <si>
    <t>Fixtures</t>
  </si>
  <si>
    <t>Surveying Services</t>
  </si>
  <si>
    <t>Industrial Machinery and Equipment</t>
  </si>
  <si>
    <t>Agricultural Machinery and Equipment</t>
  </si>
  <si>
    <t>Grocery Items</t>
  </si>
  <si>
    <t>Travel, Food, Lodging and Entertainment Services</t>
  </si>
  <si>
    <t>Ammunitions and Explosives</t>
  </si>
  <si>
    <t>Telecommunications Provider</t>
  </si>
  <si>
    <t>Audio and Visual Equipment</t>
  </si>
  <si>
    <t>Surveying Instruments</t>
  </si>
  <si>
    <t>Communication Equipment &amp; Parts and Accessories</t>
  </si>
  <si>
    <t>Information Technology Parts &amp; Accessories &amp; Perip</t>
  </si>
  <si>
    <t>Kitchenware</t>
  </si>
  <si>
    <t>Hotel and Lodging and Meeting Facilities</t>
  </si>
  <si>
    <t>Dairy Products</t>
  </si>
  <si>
    <t>Power Generation and Distribution Machinery</t>
  </si>
  <si>
    <t>Water Service Connection Materials/Fittings</t>
  </si>
  <si>
    <t>Metal Fabrication</t>
  </si>
  <si>
    <t>Office Equipment Parts and Accessories</t>
  </si>
  <si>
    <t>Vehicle Parts and Accessories</t>
  </si>
  <si>
    <t>Janitorial Supplies</t>
  </si>
  <si>
    <t>Flags</t>
  </si>
  <si>
    <t>Construction Equipment</t>
  </si>
  <si>
    <t>Cargo Forwarding and Hauling Services</t>
  </si>
  <si>
    <t>General Contractor</t>
  </si>
  <si>
    <t>Security Services</t>
  </si>
  <si>
    <t>Machine Tools</t>
  </si>
  <si>
    <t>Advertising Agency Services</t>
  </si>
  <si>
    <t>Well Drilling and Construction Services</t>
  </si>
  <si>
    <t>Water and Waste Water Treatment Supply &amp; Disposal</t>
  </si>
  <si>
    <t>Construction Management Services</t>
  </si>
  <si>
    <t>Personal Care Products</t>
  </si>
  <si>
    <t>Transmission and Distribution Lines</t>
  </si>
  <si>
    <t>Fire Fighting &amp; Rescue and Safety Equipment</t>
  </si>
  <si>
    <t>Industrial pumps and compressors</t>
  </si>
  <si>
    <t>Automation Equipment</t>
  </si>
  <si>
    <t>Beverages</t>
  </si>
  <si>
    <t>Timepieces and Jewelry and Gemstone Products</t>
  </si>
  <si>
    <t>General Engineering Services</t>
  </si>
  <si>
    <t>Maritime Spare Parts</t>
  </si>
  <si>
    <t>Airconditioning Maintenance Services</t>
  </si>
  <si>
    <t>Photographic Equipment</t>
  </si>
  <si>
    <t>Freight Forwarder Services</t>
  </si>
  <si>
    <t>Packaging Supplies and Materials</t>
  </si>
  <si>
    <t>Live Animals (Livestock, Birds, Live fish &amp; etc..)</t>
  </si>
  <si>
    <t>Books, Maps and Other Publications</t>
  </si>
  <si>
    <t>Waste Management and Recycling</t>
  </si>
  <si>
    <t>Mining Equipment and Supplies</t>
  </si>
  <si>
    <t>Fertilizers</t>
  </si>
  <si>
    <t>Pest Control Products</t>
  </si>
  <si>
    <t>Veterinary Products and Supplies</t>
  </si>
  <si>
    <t>Purses, handbags and bags</t>
  </si>
  <si>
    <t>Transportation and Communications Services</t>
  </si>
  <si>
    <t>Internet Services</t>
  </si>
  <si>
    <t>Signage and Accessories</t>
  </si>
  <si>
    <t>Environmental Health/Safety Equipment</t>
  </si>
  <si>
    <t>Bedclothes, Linens and Towels</t>
  </si>
  <si>
    <t>Agricultural Chemicals</t>
  </si>
  <si>
    <t>Computer Furniture</t>
  </si>
  <si>
    <t>Paper Materials and Products</t>
  </si>
  <si>
    <t>Video Production Services</t>
  </si>
  <si>
    <t>Education and Training Services</t>
  </si>
  <si>
    <t>Diagnostic and Laboratory Services</t>
  </si>
  <si>
    <t>Corporate Giveaways</t>
  </si>
  <si>
    <t>Systems Integration</t>
  </si>
  <si>
    <t>Engineering and Laboratory Testing Equipment</t>
  </si>
  <si>
    <t>Hospital / Medical Equipment Services</t>
  </si>
  <si>
    <t>IT Broadcasting and Telecommunications</t>
  </si>
  <si>
    <t>Marine Transport</t>
  </si>
  <si>
    <t>Lease and Rental of Property or Building</t>
  </si>
  <si>
    <t>Quartermaster Items</t>
  </si>
  <si>
    <t>Musical Instruments</t>
  </si>
  <si>
    <t>Events Management</t>
  </si>
  <si>
    <t>Food Processing Equipment</t>
  </si>
  <si>
    <t>Reproduction Services</t>
  </si>
  <si>
    <t>Financial and Insurance Services</t>
  </si>
  <si>
    <t>Traffic Control Systems</t>
  </si>
  <si>
    <t>Radiological/Diagnostic Equipment</t>
  </si>
  <si>
    <t>Gaming Equipment and Paraphernalia</t>
  </si>
  <si>
    <t>Games and Toys</t>
  </si>
  <si>
    <t>Photographic Parts, Supplies and Accessories</t>
  </si>
  <si>
    <t>Industrial Safety Equipment</t>
  </si>
  <si>
    <t>Newspapers</t>
  </si>
  <si>
    <t>Hydrological Instruments</t>
  </si>
  <si>
    <t>Packed Food Distributor</t>
  </si>
  <si>
    <t>Geotechnical Instrumentation</t>
  </si>
  <si>
    <t>Public Relations Programs or Services</t>
  </si>
  <si>
    <t>Photography Services</t>
  </si>
  <si>
    <t>Landscaping Services</t>
  </si>
  <si>
    <t>Meteorological Equipments and Instruments</t>
  </si>
  <si>
    <t>Rice Milling Services</t>
  </si>
  <si>
    <t>Mail and Cargo Transport Services</t>
  </si>
  <si>
    <t>Guns and Weapons</t>
  </si>
  <si>
    <t>Structured Cabling</t>
  </si>
  <si>
    <t>Ordnance Products</t>
  </si>
  <si>
    <t>Pyrotechnics and Fireworks</t>
  </si>
  <si>
    <t>Oil/Heat Chemical Resistant Rubber</t>
  </si>
  <si>
    <t>Navigation Equipment</t>
  </si>
  <si>
    <t>Aviation Products</t>
  </si>
  <si>
    <t>Print and Broadcast and Aerial Advertising</t>
  </si>
  <si>
    <t>Telecommunications Engineering</t>
  </si>
  <si>
    <t>Architectural Design</t>
  </si>
  <si>
    <t>Chemical Detergents</t>
  </si>
  <si>
    <t>Aircraft Spare Parts</t>
  </si>
  <si>
    <t>Microfilm Equipment - Supplies and Accesories</t>
  </si>
  <si>
    <t>Investigative Equipment</t>
  </si>
  <si>
    <t>50,355.00</t>
  </si>
  <si>
    <t>471,000.00</t>
  </si>
  <si>
    <t>66,500.00</t>
  </si>
  <si>
    <t>395,000.00</t>
  </si>
  <si>
    <t>328,319.00</t>
  </si>
  <si>
    <t>236,000.00</t>
  </si>
  <si>
    <t>4,230,000.00</t>
  </si>
  <si>
    <t>1,997,500.00</t>
  </si>
  <si>
    <t>598,500.00</t>
  </si>
  <si>
    <t>186,594.80</t>
  </si>
  <si>
    <t>202,000.00</t>
  </si>
  <si>
    <t>64,570.00</t>
  </si>
  <si>
    <t>880,000.00</t>
  </si>
  <si>
    <t>150,000.00</t>
  </si>
  <si>
    <t>300,000.00</t>
  </si>
  <si>
    <t>171,000.00</t>
  </si>
  <si>
    <t>94,815.00</t>
  </si>
  <si>
    <t>25,000,000.00</t>
  </si>
  <si>
    <t>270,000.00</t>
  </si>
  <si>
    <t>100,000.00</t>
  </si>
  <si>
    <t>16,000.00</t>
  </si>
  <si>
    <t>119,407.00</t>
  </si>
  <si>
    <t>1,325,900.00</t>
  </si>
  <si>
    <t>108,992.00</t>
  </si>
  <si>
    <t>62,000.00</t>
  </si>
  <si>
    <t>1,500,000.00</t>
  </si>
  <si>
    <t>64,000.00</t>
  </si>
  <si>
    <t>221,145.00</t>
  </si>
  <si>
    <t>60,000.00</t>
  </si>
  <si>
    <t>90,000.00</t>
  </si>
  <si>
    <t>1,441,000.00</t>
  </si>
  <si>
    <t>60,250.00</t>
  </si>
  <si>
    <t>347,450.00</t>
  </si>
  <si>
    <t>192,917.17</t>
  </si>
  <si>
    <t>56,500.00</t>
  </si>
  <si>
    <t>124,403.44</t>
  </si>
  <si>
    <t>212,495.00</t>
  </si>
  <si>
    <t>327,800.00</t>
  </si>
  <si>
    <t>338,533.00</t>
  </si>
  <si>
    <t>120,834.51</t>
  </si>
  <si>
    <t>4,250,000.00</t>
  </si>
  <si>
    <t>149,400.00</t>
  </si>
  <si>
    <t>5,102,404.35</t>
  </si>
  <si>
    <t>299,000.00</t>
  </si>
  <si>
    <t>8,000.00</t>
  </si>
  <si>
    <t>50,020.00</t>
  </si>
  <si>
    <t>107,180.00</t>
  </si>
  <si>
    <t>50,000.00</t>
  </si>
  <si>
    <t>2,016,500.00</t>
  </si>
  <si>
    <t>247,440.16</t>
  </si>
  <si>
    <t>283,477.69</t>
  </si>
  <si>
    <t>166,700.56</t>
  </si>
  <si>
    <t>3,954,136.55</t>
  </si>
  <si>
    <t>220,000.00</t>
  </si>
  <si>
    <t>595,000.00</t>
  </si>
  <si>
    <t>53,086,223.00</t>
  </si>
  <si>
    <t>2,042,000.00</t>
  </si>
  <si>
    <t>83,000.00</t>
  </si>
  <si>
    <t>65,000.00</t>
  </si>
  <si>
    <t>12,000.00</t>
  </si>
  <si>
    <t>70,000.00</t>
  </si>
  <si>
    <t>200,000.00</t>
  </si>
  <si>
    <t>63,000.00</t>
  </si>
  <si>
    <t>107,000.00</t>
  </si>
  <si>
    <t>487,500.00</t>
  </si>
  <si>
    <t>954,350.26</t>
  </si>
  <si>
    <t>7,709,500.00</t>
  </si>
  <si>
    <t>15,971,800.00</t>
  </si>
  <si>
    <t>812,500.00</t>
  </si>
  <si>
    <t>400,000.00</t>
  </si>
  <si>
    <t>6,500,000.00</t>
  </si>
  <si>
    <t>5,471,817.20</t>
  </si>
  <si>
    <t>356,000.00</t>
  </si>
  <si>
    <t>6,245,000.00</t>
  </si>
  <si>
    <t>500,000.00</t>
  </si>
  <si>
    <t>99,950.00</t>
  </si>
  <si>
    <t>1,251,000.00</t>
  </si>
  <si>
    <t>79,800,000.00</t>
  </si>
  <si>
    <t>124,970.00</t>
  </si>
  <si>
    <t>318,210.00</t>
  </si>
  <si>
    <t>144,000.00</t>
  </si>
  <si>
    <t>742,600.00</t>
  </si>
  <si>
    <t>1,670,000.00</t>
  </si>
  <si>
    <t>10,540,000.00</t>
  </si>
  <si>
    <t>1,580,400.00</t>
  </si>
  <si>
    <t>3,500,000.00</t>
  </si>
  <si>
    <t>2,013,500.00</t>
  </si>
  <si>
    <t>180,000.00</t>
  </si>
  <si>
    <t>777,000.00</t>
  </si>
  <si>
    <t>2,000,000.00</t>
  </si>
  <si>
    <t>2,200,000.00</t>
  </si>
  <si>
    <t>955,000.00</t>
  </si>
  <si>
    <t>839,999.00</t>
  </si>
  <si>
    <t>179,500.00</t>
  </si>
  <si>
    <t>1,900,000.00</t>
  </si>
  <si>
    <t>187,000.00</t>
  </si>
  <si>
    <t>2,250,000.00</t>
  </si>
  <si>
    <t>5,285,000.00</t>
  </si>
  <si>
    <t>2,500,000.00</t>
  </si>
  <si>
    <t>143,910.00</t>
  </si>
  <si>
    <t>557,650.00</t>
  </si>
  <si>
    <t>568,175.00</t>
  </si>
  <si>
    <t>1,732,200.00</t>
  </si>
  <si>
    <t>1,523,314.38</t>
  </si>
  <si>
    <t>2,392,000.00</t>
  </si>
  <si>
    <t>4,865,000.00</t>
  </si>
  <si>
    <t>4,633,500.00</t>
  </si>
  <si>
    <t>577,500.00</t>
  </si>
  <si>
    <t>1,000,000.00</t>
  </si>
  <si>
    <t>56,000.00</t>
  </si>
  <si>
    <t>14,999,757.37</t>
  </si>
  <si>
    <t>60,190.00</t>
  </si>
  <si>
    <t>165,352.00</t>
  </si>
  <si>
    <t>40,571.46</t>
  </si>
  <si>
    <t>50,460.00</t>
  </si>
  <si>
    <t>1,945,000.00</t>
  </si>
  <si>
    <t>572,000.00</t>
  </si>
  <si>
    <t>1,200,000.00</t>
  </si>
  <si>
    <t>65,378.50</t>
  </si>
  <si>
    <t>34,637,564.00</t>
  </si>
  <si>
    <t>3,000,000.00</t>
  </si>
  <si>
    <t>1,260,215.00</t>
  </si>
  <si>
    <t>454,592.26</t>
  </si>
  <si>
    <t>1,013,510.00</t>
  </si>
  <si>
    <t>1,800,000.00</t>
  </si>
  <si>
    <t>798,525.00</t>
  </si>
  <si>
    <t>58,600.00</t>
  </si>
  <si>
    <t>199,994.50</t>
  </si>
  <si>
    <t>72,000.00</t>
  </si>
  <si>
    <t>92,000.00</t>
  </si>
  <si>
    <t>5,381,063.73</t>
  </si>
  <si>
    <t>115,000.00</t>
  </si>
  <si>
    <t>7,216,964.86</t>
  </si>
  <si>
    <t>89,500.00</t>
  </si>
  <si>
    <t>5,129,807.45</t>
  </si>
  <si>
    <t>277,620.00</t>
  </si>
  <si>
    <t>100,660.00</t>
  </si>
  <si>
    <t>78,825.60</t>
  </si>
  <si>
    <t>276,000.00</t>
  </si>
  <si>
    <t>10,405,108.10</t>
  </si>
  <si>
    <t>24,375,112.56</t>
  </si>
  <si>
    <t>46,831,192.72</t>
  </si>
  <si>
    <t>2,500.00</t>
  </si>
  <si>
    <t>8,859,665.00</t>
  </si>
  <si>
    <t>10,093,785.75</t>
  </si>
  <si>
    <t>136,500.00</t>
  </si>
  <si>
    <t>4,861,597.00</t>
  </si>
  <si>
    <t>74,900.00</t>
  </si>
  <si>
    <t>114,000.00</t>
  </si>
  <si>
    <t>9,993,283.24</t>
  </si>
  <si>
    <t>8,400.00</t>
  </si>
  <si>
    <t>170,000.00</t>
  </si>
  <si>
    <t>125,450,000.00</t>
  </si>
  <si>
    <t>51,550.00</t>
  </si>
  <si>
    <t>107,100.00</t>
  </si>
  <si>
    <t>545,841.00</t>
  </si>
  <si>
    <t>5,075,556.19</t>
  </si>
  <si>
    <t>614,000.00</t>
  </si>
  <si>
    <t>19,326,507.00</t>
  </si>
  <si>
    <t>28,370,371.99</t>
  </si>
  <si>
    <t>105,350.00</t>
  </si>
  <si>
    <t>62,900.00</t>
  </si>
  <si>
    <t>2,150,000.00</t>
  </si>
  <si>
    <t>69,670.00</t>
  </si>
  <si>
    <t>92,750.00</t>
  </si>
  <si>
    <t>152,632.00</t>
  </si>
  <si>
    <t>149,833,333.54</t>
  </si>
  <si>
    <t>579,990.00</t>
  </si>
  <si>
    <t>28,455,000.00</t>
  </si>
  <si>
    <t>650,000.00</t>
  </si>
  <si>
    <t>350,000.00</t>
  </si>
  <si>
    <t>160,000.00</t>
  </si>
  <si>
    <t>87,500.00</t>
  </si>
  <si>
    <t>78,750.00</t>
  </si>
  <si>
    <t>532,865.50</t>
  </si>
  <si>
    <t>81,646,486.00</t>
  </si>
  <si>
    <t>2,400,000.00</t>
  </si>
  <si>
    <t>106,320.00</t>
  </si>
  <si>
    <t>11,463,210.00</t>
  </si>
  <si>
    <t>7,320,968.20</t>
  </si>
  <si>
    <t>2,897,820.00</t>
  </si>
  <si>
    <t>300,150.00</t>
  </si>
  <si>
    <t>173,895.00</t>
  </si>
  <si>
    <t>455,080.00</t>
  </si>
  <si>
    <t>6,334,830.00</t>
  </si>
  <si>
    <t>6,182,253.75</t>
  </si>
  <si>
    <t>598,600.00</t>
  </si>
  <si>
    <t>4,987,565.70</t>
  </si>
  <si>
    <t>98,560.00</t>
  </si>
  <si>
    <t>267,777.56</t>
  </si>
  <si>
    <t>18,182,048.95</t>
  </si>
  <si>
    <t>111,000.00</t>
  </si>
  <si>
    <t>5,000,000.00</t>
  </si>
  <si>
    <t>698,400.00</t>
  </si>
  <si>
    <t>275,000.00</t>
  </si>
  <si>
    <t>940,000.00</t>
  </si>
  <si>
    <t>162,000.00</t>
  </si>
  <si>
    <t>862,000.00</t>
  </si>
  <si>
    <t>288,000.00</t>
  </si>
  <si>
    <t>6,383,300.00</t>
  </si>
  <si>
    <t>1,323,331.80</t>
  </si>
  <si>
    <t>386,100.00</t>
  </si>
  <si>
    <t>197,980.00</t>
  </si>
  <si>
    <t>49,500.00</t>
  </si>
  <si>
    <t>8,910,000.00</t>
  </si>
  <si>
    <t>190,000.00</t>
  </si>
  <si>
    <t>55,000.00</t>
  </si>
  <si>
    <t>75,000.00</t>
  </si>
  <si>
    <t>52,000.00</t>
  </si>
  <si>
    <t>2,970,000.00</t>
  </si>
  <si>
    <t>470,000.00</t>
  </si>
  <si>
    <t>102,000.00</t>
  </si>
  <si>
    <t>2,399,904.00</t>
  </si>
  <si>
    <t>960,000.00</t>
  </si>
  <si>
    <t>105,500.00</t>
  </si>
  <si>
    <t>398,000.00</t>
  </si>
  <si>
    <t>198,400.00</t>
  </si>
  <si>
    <t>250,000.00</t>
  </si>
  <si>
    <t>335,000.00</t>
  </si>
  <si>
    <t>36,000.00</t>
  </si>
  <si>
    <t>1,770,724.59</t>
  </si>
  <si>
    <t>600,000.00</t>
  </si>
  <si>
    <t>39,000.00</t>
  </si>
  <si>
    <t>6,999,322.40</t>
  </si>
  <si>
    <t>22,000,000.00</t>
  </si>
  <si>
    <t>23,500.00</t>
  </si>
  <si>
    <t>179,178.00</t>
  </si>
  <si>
    <t>234,320.00</t>
  </si>
  <si>
    <t>272,704.80</t>
  </si>
  <si>
    <t>660,039.93</t>
  </si>
  <si>
    <t>180,100.00</t>
  </si>
  <si>
    <t>57,488,956.78</t>
  </si>
  <si>
    <t>68,568.15</t>
  </si>
  <si>
    <t>34,000.00</t>
  </si>
  <si>
    <t>497,472.00</t>
  </si>
  <si>
    <t>63,387,037.95</t>
  </si>
  <si>
    <t>990,000.00</t>
  </si>
  <si>
    <t>473,830.00</t>
  </si>
  <si>
    <t>42,600.00</t>
  </si>
  <si>
    <t>32,400.00</t>
  </si>
  <si>
    <t>130,850.00</t>
  </si>
  <si>
    <t>17,000.00</t>
  </si>
  <si>
    <t>16,600.00</t>
  </si>
  <si>
    <t>690,000.00</t>
  </si>
  <si>
    <t>42,320.00</t>
  </si>
  <si>
    <t>960.00</t>
  </si>
  <si>
    <t>49,280.00</t>
  </si>
  <si>
    <t>396,480.00</t>
  </si>
  <si>
    <t>230,000.00</t>
  </si>
  <si>
    <t>19,230.00</t>
  </si>
  <si>
    <t>143,268.00</t>
  </si>
  <si>
    <t>5,000.00</t>
  </si>
  <si>
    <t>313,800.00</t>
  </si>
  <si>
    <t>73,356.00</t>
  </si>
  <si>
    <t>1,142,539.48</t>
  </si>
  <si>
    <t>302,000.00</t>
  </si>
  <si>
    <t>6,935.00</t>
  </si>
  <si>
    <t>7,980.00</t>
  </si>
  <si>
    <t>4,050.00</t>
  </si>
  <si>
    <t>87,138.00</t>
  </si>
  <si>
    <t>124,740.00</t>
  </si>
  <si>
    <t>435,471.50</t>
  </si>
  <si>
    <t>63,840.00</t>
  </si>
  <si>
    <t>71,750.00</t>
  </si>
  <si>
    <t>997,000.00</t>
  </si>
  <si>
    <t>199,770.00</t>
  </si>
  <si>
    <t>420,300.00</t>
  </si>
  <si>
    <t>930,000.00</t>
  </si>
  <si>
    <t>0.00</t>
  </si>
  <si>
    <t>646,511.41</t>
  </si>
  <si>
    <t>56,112.00</t>
  </si>
  <si>
    <t>875,000.00</t>
  </si>
  <si>
    <t>202,427.50</t>
  </si>
  <si>
    <t>383,000.00</t>
  </si>
  <si>
    <t>427,903.19</t>
  </si>
  <si>
    <t>58,500.00</t>
  </si>
  <si>
    <t>54,000.00</t>
  </si>
  <si>
    <t>271,527.20</t>
  </si>
  <si>
    <t>409,871.86</t>
  </si>
  <si>
    <t>36,895.00</t>
  </si>
  <si>
    <t>59,450.00</t>
  </si>
  <si>
    <t>194,200.00</t>
  </si>
  <si>
    <t>65,600.00</t>
  </si>
  <si>
    <t>26,884,013.50</t>
  </si>
  <si>
    <t>185,100.00</t>
  </si>
  <si>
    <t>56,653.25</t>
  </si>
  <si>
    <t>107,625.00</t>
  </si>
  <si>
    <t>70,520.00</t>
  </si>
  <si>
    <t>468,000.00</t>
  </si>
  <si>
    <t>80,000.00</t>
  </si>
  <si>
    <t>7,760.00</t>
  </si>
  <si>
    <t>2,089,499.06</t>
  </si>
  <si>
    <t>3,473,763.64</t>
  </si>
  <si>
    <t>113,750.00</t>
  </si>
  <si>
    <t>73,500.00</t>
  </si>
  <si>
    <t>68,105.00</t>
  </si>
  <si>
    <t>172,000.00</t>
  </si>
  <si>
    <t>110,982.18</t>
  </si>
  <si>
    <t>687,500.00</t>
  </si>
  <si>
    <t>92,330.00</t>
  </si>
  <si>
    <t>550,000.00</t>
  </si>
  <si>
    <t>438,000.00</t>
  </si>
  <si>
    <t>52,500.00</t>
  </si>
  <si>
    <t>26,082.00</t>
  </si>
  <si>
    <t>845,000.00</t>
  </si>
  <si>
    <t>86,883.00</t>
  </si>
  <si>
    <t>93,000.00</t>
  </si>
  <si>
    <t>58,575.00</t>
  </si>
  <si>
    <t>202,500.00</t>
  </si>
  <si>
    <t>2,961,683.00</t>
  </si>
  <si>
    <t>68,000.00</t>
  </si>
  <si>
    <t>136,600.00</t>
  </si>
  <si>
    <t>67,500.00</t>
  </si>
  <si>
    <t>95,450.00</t>
  </si>
  <si>
    <t>236,310.00</t>
  </si>
  <si>
    <t>497,499.99</t>
  </si>
  <si>
    <t>129,999.80</t>
  </si>
  <si>
    <t>65,975.00</t>
  </si>
  <si>
    <t>888,014.40</t>
  </si>
  <si>
    <t>69,982.46</t>
  </si>
  <si>
    <t>100,630.00</t>
  </si>
  <si>
    <t>1,592,252.55</t>
  </si>
  <si>
    <t>99,648.00</t>
  </si>
  <si>
    <t>158,750.00</t>
  </si>
  <si>
    <t>112,125.00</t>
  </si>
  <si>
    <t>88,022.00</t>
  </si>
  <si>
    <t>85,000.00</t>
  </si>
  <si>
    <t>206,930.00</t>
  </si>
  <si>
    <t>217,550.00</t>
  </si>
  <si>
    <t>659,600.00</t>
  </si>
  <si>
    <t>3,465,000.00</t>
  </si>
  <si>
    <t>79,995.00</t>
  </si>
  <si>
    <t>136,000.00</t>
  </si>
  <si>
    <t>832.00</t>
  </si>
  <si>
    <t>122,400.00</t>
  </si>
  <si>
    <t>58,513.00</t>
  </si>
  <si>
    <t>188,760.00</t>
  </si>
  <si>
    <t>30,722,000.00</t>
  </si>
  <si>
    <t>198,000.00</t>
  </si>
  <si>
    <t>10,871,416.00</t>
  </si>
  <si>
    <t>48,700.00</t>
  </si>
  <si>
    <t>469,000.00</t>
  </si>
  <si>
    <t>70,700.00</t>
  </si>
  <si>
    <t>75,600.00</t>
  </si>
  <si>
    <t>10,981,989.98</t>
  </si>
  <si>
    <t>218,210.50</t>
  </si>
  <si>
    <t>505,500.00</t>
  </si>
  <si>
    <t>55,472.00</t>
  </si>
  <si>
    <t>53,979.00</t>
  </si>
  <si>
    <t>20,000.00</t>
  </si>
  <si>
    <t>143,700.00</t>
  </si>
  <si>
    <t>44,513.00</t>
  </si>
  <si>
    <t>67,000.00</t>
  </si>
  <si>
    <t>46,650.00</t>
  </si>
  <si>
    <t>446,880.00</t>
  </si>
  <si>
    <t>360,000.00</t>
  </si>
  <si>
    <t>419,500.00</t>
  </si>
  <si>
    <t>62,758.36</t>
  </si>
  <si>
    <t>1,572,022.83</t>
  </si>
  <si>
    <t>253,000.00</t>
  </si>
  <si>
    <t>409,285.00</t>
  </si>
  <si>
    <t>584,000.00</t>
  </si>
  <si>
    <t>53,150.00</t>
  </si>
  <si>
    <t>522,000.00</t>
  </si>
  <si>
    <t>20,300.00</t>
  </si>
  <si>
    <t>58,448.00</t>
  </si>
  <si>
    <t>36,100.00</t>
  </si>
  <si>
    <t>74,520.00</t>
  </si>
  <si>
    <t>53,183.00</t>
  </si>
  <si>
    <t>225,000.00</t>
  </si>
  <si>
    <t>16,205.00</t>
  </si>
  <si>
    <t>187,820.00</t>
  </si>
  <si>
    <t>73,000.00</t>
  </si>
  <si>
    <t>10,000.00</t>
  </si>
  <si>
    <t>106,000.00</t>
  </si>
  <si>
    <t>176,485.00</t>
  </si>
  <si>
    <t>11,500.00</t>
  </si>
  <si>
    <t>69,116.00</t>
  </si>
  <si>
    <t>4,999,661.61</t>
  </si>
  <si>
    <t>43,010.00</t>
  </si>
  <si>
    <t>120,000.00</t>
  </si>
  <si>
    <t>999,000.00</t>
  </si>
  <si>
    <t>36,960.00</t>
  </si>
  <si>
    <t>315,300.00</t>
  </si>
  <si>
    <t>52,191.00</t>
  </si>
  <si>
    <t>267,000.00</t>
  </si>
  <si>
    <t>143,640.00</t>
  </si>
  <si>
    <t>84,022.00</t>
  </si>
  <si>
    <t>186,835.60</t>
  </si>
  <si>
    <t>620,000.00</t>
  </si>
  <si>
    <t>15,400.00</t>
  </si>
  <si>
    <t>80,596.00</t>
  </si>
  <si>
    <t>344,785.20</t>
  </si>
  <si>
    <t>330,000.00</t>
  </si>
  <si>
    <t>297,400.00</t>
  </si>
  <si>
    <t>69,000.00</t>
  </si>
  <si>
    <t>247,915.00</t>
  </si>
  <si>
    <t>66,900.00</t>
  </si>
  <si>
    <t>105,000.00</t>
  </si>
  <si>
    <t>22,000.00</t>
  </si>
  <si>
    <t>9,300.00</t>
  </si>
  <si>
    <t>115,200.00</t>
  </si>
  <si>
    <t>260,000.00</t>
  </si>
  <si>
    <t>145,771.00</t>
  </si>
  <si>
    <t>15,000.00</t>
  </si>
  <si>
    <t>152,670.00</t>
  </si>
  <si>
    <t>167,075.00</t>
  </si>
  <si>
    <t>747,674.00</t>
  </si>
  <si>
    <t>783,336.00</t>
  </si>
  <si>
    <t>477,074.50</t>
  </si>
  <si>
    <t>66,600.00</t>
  </si>
  <si>
    <t>20,025.00</t>
  </si>
  <si>
    <t>308,550.00</t>
  </si>
  <si>
    <t>197,691.00</t>
  </si>
  <si>
    <t>244,000.00</t>
  </si>
  <si>
    <t>202,240.00</t>
  </si>
  <si>
    <t>79,000.00</t>
  </si>
  <si>
    <t>123,803.50</t>
  </si>
  <si>
    <t>54,169.00</t>
  </si>
  <si>
    <t>176,999.04</t>
  </si>
  <si>
    <t>112,000.00</t>
  </si>
  <si>
    <t>99,810.00</t>
  </si>
  <si>
    <t>96,400.00</t>
  </si>
  <si>
    <t>78,000.00</t>
  </si>
  <si>
    <t>1,950,000.00</t>
  </si>
  <si>
    <t>57,000.00</t>
  </si>
  <si>
    <t>35,000.00</t>
  </si>
  <si>
    <t>122,500.00</t>
  </si>
  <si>
    <t>243,620.00</t>
  </si>
  <si>
    <t>137,134.80</t>
  </si>
  <si>
    <t>98,890.00</t>
  </si>
  <si>
    <t>96,335.00</t>
  </si>
  <si>
    <t>99,535.00</t>
  </si>
  <si>
    <t>1,728,000.00</t>
  </si>
  <si>
    <t>980,000.00</t>
  </si>
  <si>
    <t>255,500.00</t>
  </si>
  <si>
    <t>676,690.00</t>
  </si>
  <si>
    <t>273,915.50</t>
  </si>
  <si>
    <t>61,381.00</t>
  </si>
  <si>
    <t>127,336.30</t>
  </si>
  <si>
    <t>6,000,000.00</t>
  </si>
  <si>
    <t>99,999.00</t>
  </si>
  <si>
    <t>315,200.00</t>
  </si>
  <si>
    <t>88,030.00</t>
  </si>
  <si>
    <t>285,000.00</t>
  </si>
  <si>
    <t>266,500.00</t>
  </si>
  <si>
    <t>104,995.00</t>
  </si>
  <si>
    <t>77,300.00</t>
  </si>
  <si>
    <t>124,177.00</t>
  </si>
  <si>
    <t>533,600.00</t>
  </si>
  <si>
    <t>62,739.20</t>
  </si>
  <si>
    <t>7,400,000.00</t>
  </si>
  <si>
    <t>210,000.00</t>
  </si>
  <si>
    <t>65,250.00</t>
  </si>
  <si>
    <t>694,116.00</t>
  </si>
  <si>
    <t>72,605.00</t>
  </si>
  <si>
    <t>138,334.00</t>
  </si>
  <si>
    <t>78,375.00</t>
  </si>
  <si>
    <t>28,000.00</t>
  </si>
  <si>
    <t>187,674.00</t>
  </si>
  <si>
    <t>407,805.00</t>
  </si>
  <si>
    <t>99,500.00</t>
  </si>
  <si>
    <t>25,944.89</t>
  </si>
  <si>
    <t>249,483.00</t>
  </si>
  <si>
    <t>1,250,000.00</t>
  </si>
  <si>
    <t>1,500.00</t>
  </si>
  <si>
    <t>40,000.00</t>
  </si>
  <si>
    <t>408,750.00</t>
  </si>
  <si>
    <t>99,470.00</t>
  </si>
  <si>
    <t>62,558.00</t>
  </si>
  <si>
    <t>140,000.00</t>
  </si>
  <si>
    <t>76,175.00</t>
  </si>
  <si>
    <t>1,849,996.82</t>
  </si>
  <si>
    <t>295,220.00</t>
  </si>
  <si>
    <t>157,900.00</t>
  </si>
  <si>
    <t>9,786,459.85</t>
  </si>
  <si>
    <t>93,750.00</t>
  </si>
  <si>
    <t>53,200.00</t>
  </si>
  <si>
    <t>132,195.00</t>
  </si>
  <si>
    <t>59,645.00</t>
  </si>
  <si>
    <t>95,000.00</t>
  </si>
  <si>
    <t>99,000.00</t>
  </si>
  <si>
    <t>56,400.00</t>
  </si>
  <si>
    <t>67,550.00</t>
  </si>
  <si>
    <t>251,000.00</t>
  </si>
  <si>
    <t>99,668.44</t>
  </si>
  <si>
    <t>182,700.00</t>
  </si>
  <si>
    <t>415,660.00</t>
  </si>
  <si>
    <t>2,659,898.60</t>
  </si>
  <si>
    <t>2,450,000.00</t>
  </si>
  <si>
    <t>47,395,368.35</t>
  </si>
  <si>
    <t>98,500.00</t>
  </si>
  <si>
    <t>365,200.00</t>
  </si>
  <si>
    <t>86,780.00</t>
  </si>
  <si>
    <t>271,000.00</t>
  </si>
  <si>
    <t>56,160.00</t>
  </si>
  <si>
    <t>1,465,698.44</t>
  </si>
  <si>
    <t>51,330.00</t>
  </si>
  <si>
    <t>47,507.00</t>
  </si>
  <si>
    <t>110,000.00</t>
  </si>
  <si>
    <t>29,850.00</t>
  </si>
  <si>
    <t>290,000.00</t>
  </si>
  <si>
    <t>209,700.00</t>
  </si>
  <si>
    <t>64,625.00</t>
  </si>
  <si>
    <t>378,000.00</t>
  </si>
  <si>
    <t>58,000.00</t>
  </si>
  <si>
    <t>630,000.00</t>
  </si>
  <si>
    <t>73,973.00</t>
  </si>
  <si>
    <t>13,320,785.43</t>
  </si>
  <si>
    <t>84,000.00</t>
  </si>
  <si>
    <t>50,107,812.33</t>
  </si>
  <si>
    <t>36,400.00</t>
  </si>
  <si>
    <t>264,045.00</t>
  </si>
  <si>
    <t>21,000.00</t>
  </si>
  <si>
    <t>387,896.00</t>
  </si>
  <si>
    <t>94,500.00</t>
  </si>
  <si>
    <t>92,560.00</t>
  </si>
  <si>
    <t>199,700.00</t>
  </si>
  <si>
    <t>104,629.50</t>
  </si>
  <si>
    <t>143,000.00</t>
  </si>
  <si>
    <t>999,600.00</t>
  </si>
  <si>
    <t>372,030.00</t>
  </si>
  <si>
    <t>11,999,690.00</t>
  </si>
  <si>
    <t>393,533.83</t>
  </si>
  <si>
    <t>99,988.00</t>
  </si>
  <si>
    <t>87,985.00</t>
  </si>
  <si>
    <t>647,000.00</t>
  </si>
  <si>
    <t>74,840.00</t>
  </si>
  <si>
    <t>13,000.00</t>
  </si>
  <si>
    <t>432,086.53</t>
  </si>
  <si>
    <t>185,000.00</t>
  </si>
  <si>
    <t>125,500.00</t>
  </si>
  <si>
    <t>52,520.00</t>
  </si>
  <si>
    <t>491,287.23</t>
  </si>
  <si>
    <t>91,005.00</t>
  </si>
  <si>
    <t>75,680.00</t>
  </si>
  <si>
    <t>558,000.00</t>
  </si>
  <si>
    <t>61,250.00</t>
  </si>
  <si>
    <t>8,775.07</t>
  </si>
  <si>
    <t>95,025.00</t>
  </si>
  <si>
    <t>98,760.00</t>
  </si>
  <si>
    <t>770,000.00</t>
  </si>
  <si>
    <t>176,793.00</t>
  </si>
  <si>
    <t>262,500.00</t>
  </si>
  <si>
    <t>241,200.00</t>
  </si>
  <si>
    <t>69,200.00</t>
  </si>
  <si>
    <t>57,200.00</t>
  </si>
  <si>
    <t>382,100.00</t>
  </si>
  <si>
    <t>25,000.00</t>
  </si>
  <si>
    <t>144,800.00</t>
  </si>
  <si>
    <t>35,880.00</t>
  </si>
  <si>
    <t>63,995.00</t>
  </si>
  <si>
    <t>332,000.00</t>
  </si>
  <si>
    <t>280,280.00</t>
  </si>
  <si>
    <t>19,500.00</t>
  </si>
  <si>
    <t>126,906.00</t>
  </si>
  <si>
    <t>707,652.49</t>
  </si>
  <si>
    <t>9,800.00</t>
  </si>
  <si>
    <t>585,000.00</t>
  </si>
  <si>
    <t>1,834,078.24</t>
  </si>
  <si>
    <t>5,588,839.24</t>
  </si>
  <si>
    <t>101,695.00</t>
  </si>
  <si>
    <t>99,900.00</t>
  </si>
  <si>
    <t>27,310.00</t>
  </si>
  <si>
    <t>181,000.00</t>
  </si>
  <si>
    <t>86,000.00</t>
  </si>
  <si>
    <t>257,500.00</t>
  </si>
  <si>
    <t>610,050.00</t>
  </si>
  <si>
    <t>165,960.00</t>
  </si>
  <si>
    <t>10,500.00</t>
  </si>
  <si>
    <t>353,200.00</t>
  </si>
  <si>
    <t>81,400.00</t>
  </si>
  <si>
    <t>641,250.00</t>
  </si>
  <si>
    <t>145,000.00</t>
  </si>
  <si>
    <t>72,600.00</t>
  </si>
  <si>
    <t>867,000.00</t>
  </si>
  <si>
    <t>50,233.00</t>
  </si>
  <si>
    <t>697,654.39</t>
  </si>
  <si>
    <t>901,615.98</t>
  </si>
  <si>
    <t>3,220,000.00</t>
  </si>
  <si>
    <t>105,750.00</t>
  </si>
  <si>
    <t>757,000.00</t>
  </si>
  <si>
    <t>93,130.00</t>
  </si>
  <si>
    <t>1,415,678.05</t>
  </si>
  <si>
    <t>129,000.00</t>
  </si>
  <si>
    <t>63,327.50</t>
  </si>
  <si>
    <t>116,590.00</t>
  </si>
  <si>
    <t>109,610.00</t>
  </si>
  <si>
    <t>119,000.00</t>
  </si>
  <si>
    <t>626,914.50</t>
  </si>
  <si>
    <t>599,750.00</t>
  </si>
  <si>
    <t>59,996.00</t>
  </si>
  <si>
    <t>27,000.00</t>
  </si>
  <si>
    <t>971,753.37</t>
  </si>
  <si>
    <t>190,350.00</t>
  </si>
  <si>
    <t>1,430,000.00</t>
  </si>
  <si>
    <t>306,000.00</t>
  </si>
  <si>
    <t>41,640.00</t>
  </si>
  <si>
    <t>80,500.00</t>
  </si>
  <si>
    <t>632,200.00</t>
  </si>
  <si>
    <t>148,658.94</t>
  </si>
  <si>
    <t>118,800.00</t>
  </si>
  <si>
    <t>18,030.00</t>
  </si>
  <si>
    <t>197,384.93</t>
  </si>
  <si>
    <t>47,500.00</t>
  </si>
  <si>
    <t>427,212.00</t>
  </si>
  <si>
    <t>197,685.66</t>
  </si>
  <si>
    <t>101,446.00</t>
  </si>
  <si>
    <t>83,250.00</t>
  </si>
  <si>
    <t>1,177,200.00</t>
  </si>
  <si>
    <t>900,000.00</t>
  </si>
  <si>
    <t>791,899.51</t>
  </si>
  <si>
    <t>166,850.00</t>
  </si>
  <si>
    <t>1,450,000.00</t>
  </si>
  <si>
    <t>109,940.00</t>
  </si>
  <si>
    <t>410,200.00</t>
  </si>
  <si>
    <t>33,353.00</t>
  </si>
  <si>
    <t>254,500.00</t>
  </si>
  <si>
    <t>148,206.70</t>
  </si>
  <si>
    <t>746,000.00</t>
  </si>
  <si>
    <t>36,079,249.15</t>
  </si>
  <si>
    <t>70,400.00</t>
  </si>
  <si>
    <t>76,600.00</t>
  </si>
  <si>
    <t>1,210.00</t>
  </si>
  <si>
    <t>362,000.00</t>
  </si>
  <si>
    <t>4,088,040.00</t>
  </si>
  <si>
    <t>30,000.00</t>
  </si>
  <si>
    <t>11,550.00</t>
  </si>
  <si>
    <t>98,050.00</t>
  </si>
  <si>
    <t>45,000.00</t>
  </si>
  <si>
    <t>146,300.00</t>
  </si>
  <si>
    <t>1,296,410.00</t>
  </si>
  <si>
    <t>215,000.00</t>
  </si>
  <si>
    <t>502,714.29</t>
  </si>
  <si>
    <t>499,596.00</t>
  </si>
  <si>
    <t>999,810.00</t>
  </si>
  <si>
    <t>10,168,042.60</t>
  </si>
  <si>
    <t>971,119.70</t>
  </si>
  <si>
    <t>4,575.00</t>
  </si>
  <si>
    <t>197,928.13</t>
  </si>
  <si>
    <t>430,735.00</t>
  </si>
  <si>
    <t>440,000.00</t>
  </si>
  <si>
    <t>2,914,593.50</t>
  </si>
  <si>
    <t>57,310.00</t>
  </si>
  <si>
    <t>370,890.00</t>
  </si>
  <si>
    <t>44,980.00</t>
  </si>
  <si>
    <t>31,000.00</t>
  </si>
  <si>
    <t>498,880.00</t>
  </si>
  <si>
    <t>125,000.00</t>
  </si>
  <si>
    <t>3,008,000.00</t>
  </si>
  <si>
    <t>32,915.40</t>
  </si>
  <si>
    <t>106,966.00</t>
  </si>
  <si>
    <t>415,876.00</t>
  </si>
  <si>
    <t>11,162,687.05</t>
  </si>
  <si>
    <t>315,000.00</t>
  </si>
  <si>
    <t>34,900.00</t>
  </si>
  <si>
    <t>510,000.00</t>
  </si>
  <si>
    <t>2,813,937.47</t>
  </si>
  <si>
    <t>81,162.00</t>
  </si>
  <si>
    <t>970,937.88</t>
  </si>
  <si>
    <t>98,842.83</t>
  </si>
  <si>
    <t>187,500.00</t>
  </si>
  <si>
    <t>197,200.00</t>
  </si>
  <si>
    <t>5,133,023.79</t>
  </si>
  <si>
    <t>249,980.00</t>
  </si>
  <si>
    <t>500,150.00</t>
  </si>
  <si>
    <t>195,065.00</t>
  </si>
  <si>
    <t>7,470,000.00</t>
  </si>
  <si>
    <t>96,990.00</t>
  </si>
  <si>
    <t>117,120.00</t>
  </si>
  <si>
    <t>49,000,000.00</t>
  </si>
  <si>
    <t>87,775.00</t>
  </si>
  <si>
    <t>108,000.00</t>
  </si>
  <si>
    <t>341,055.00</t>
  </si>
  <si>
    <t>162,571.98</t>
  </si>
  <si>
    <t>67,600.00</t>
  </si>
  <si>
    <t>554,700.00</t>
  </si>
  <si>
    <t>102,635.60</t>
  </si>
  <si>
    <t>142,500.00</t>
  </si>
  <si>
    <t>154,715.00</t>
  </si>
  <si>
    <t>122,800.00</t>
  </si>
  <si>
    <t>970,000.00</t>
  </si>
  <si>
    <t>332,830.00</t>
  </si>
  <si>
    <t>84,600.00</t>
  </si>
  <si>
    <t>163,150.00</t>
  </si>
  <si>
    <t>579,925.00</t>
  </si>
  <si>
    <t>157,955.00</t>
  </si>
  <si>
    <t>680,000.00</t>
  </si>
  <si>
    <t>66,227.00</t>
  </si>
  <si>
    <t>3,876,000.00</t>
  </si>
  <si>
    <t>165,000.00</t>
  </si>
  <si>
    <t>327,000.00</t>
  </si>
  <si>
    <t>27,405.00</t>
  </si>
  <si>
    <t>53,273.05</t>
  </si>
  <si>
    <t>996,169.10</t>
  </si>
  <si>
    <t>340,304.00</t>
  </si>
  <si>
    <t>125,700.00</t>
  </si>
  <si>
    <t>291,351.00</t>
  </si>
  <si>
    <t>87,300.00</t>
  </si>
  <si>
    <t>51,654.00</t>
  </si>
  <si>
    <t>246,000.00</t>
  </si>
  <si>
    <t>56,950.00</t>
  </si>
  <si>
    <t>211,806.00</t>
  </si>
  <si>
    <t>820,000.00</t>
  </si>
  <si>
    <t>3,740,996.00</t>
  </si>
  <si>
    <t>163,300.00</t>
  </si>
  <si>
    <t>99,960.00</t>
  </si>
  <si>
    <t>622,875.00</t>
  </si>
  <si>
    <t>75,642.02</t>
  </si>
  <si>
    <t>109,586.00</t>
  </si>
  <si>
    <t>3,184,000.00</t>
  </si>
  <si>
    <t>193,192.02</t>
  </si>
  <si>
    <t>384,000.00</t>
  </si>
  <si>
    <t>99,747.00</t>
  </si>
  <si>
    <t>98,822.89</t>
  </si>
  <si>
    <t>233,800.00</t>
  </si>
  <si>
    <t>726,600.00</t>
  </si>
  <si>
    <t>14,500.00</t>
  </si>
  <si>
    <t>4,000.00</t>
  </si>
  <si>
    <t>121,147.60</t>
  </si>
  <si>
    <t>66,883,150.00</t>
  </si>
  <si>
    <t>669,503.25</t>
  </si>
  <si>
    <t>700,000.00</t>
  </si>
  <si>
    <t>86,480.00</t>
  </si>
  <si>
    <t>99,750.00</t>
  </si>
  <si>
    <t>62,400.00</t>
  </si>
  <si>
    <t>790,600.00</t>
  </si>
  <si>
    <t>475,000.00</t>
  </si>
  <si>
    <t>209,250.00</t>
  </si>
  <si>
    <t>676,332.00</t>
  </si>
  <si>
    <t>67,662.00</t>
  </si>
  <si>
    <t>456,000.00</t>
  </si>
  <si>
    <t>240,000.00</t>
  </si>
  <si>
    <t>23,520,000.00</t>
  </si>
  <si>
    <t>72,185.00</t>
  </si>
  <si>
    <t>3,600.00</t>
  </si>
  <si>
    <t>3,999,999.20</t>
  </si>
  <si>
    <t>492,700.00</t>
  </si>
  <si>
    <t>74,535.00</t>
  </si>
  <si>
    <t>10,084.00</t>
  </si>
  <si>
    <t>5,064,000.00</t>
  </si>
  <si>
    <t>985,506.90</t>
  </si>
  <si>
    <t>276,502.00</t>
  </si>
  <si>
    <t>97,000.00</t>
  </si>
  <si>
    <t>420,000.00</t>
  </si>
  <si>
    <t>99,995.00</t>
  </si>
  <si>
    <t>96,000.00</t>
  </si>
  <si>
    <t>59,400.00</t>
  </si>
  <si>
    <t>348,450.00</t>
  </si>
  <si>
    <t>67,320.00</t>
  </si>
  <si>
    <t>223,000.00</t>
  </si>
  <si>
    <t>126,000.00</t>
  </si>
  <si>
    <t>133,000.00</t>
  </si>
  <si>
    <t>107,070.00</t>
  </si>
  <si>
    <t>242,280.00</t>
  </si>
  <si>
    <t>79,144.00</t>
  </si>
  <si>
    <t>59,350.00</t>
  </si>
  <si>
    <t>1,165,000.00</t>
  </si>
  <si>
    <t>637,500.00</t>
  </si>
  <si>
    <t>632,972.38</t>
  </si>
  <si>
    <t>585,145.00</t>
  </si>
  <si>
    <t>450,000.00</t>
  </si>
  <si>
    <t>756,250.00</t>
  </si>
  <si>
    <t>952,750.00</t>
  </si>
  <si>
    <t>188,500.00</t>
  </si>
  <si>
    <t>4,849,000.00</t>
  </si>
  <si>
    <t>14,509.08</t>
  </si>
  <si>
    <t>14,951,994.30</t>
  </si>
  <si>
    <t>613,249.00</t>
  </si>
  <si>
    <t>1,242,493.50</t>
  </si>
  <si>
    <t>78,675.00</t>
  </si>
  <si>
    <t>116,700.00</t>
  </si>
  <si>
    <t>395,500.00</t>
  </si>
  <si>
    <t>76,530.00</t>
  </si>
  <si>
    <t>44,820.00</t>
  </si>
  <si>
    <t>128,750.00</t>
  </si>
  <si>
    <t>789,000.00</t>
  </si>
  <si>
    <t>102,200.00</t>
  </si>
  <si>
    <t>499,957.00</t>
  </si>
  <si>
    <t>2,600,000.00</t>
  </si>
  <si>
    <t>4,700,000.00</t>
  </si>
  <si>
    <t>597,129.75</t>
  </si>
  <si>
    <t>27,393.90</t>
  </si>
  <si>
    <t>42,000.00</t>
  </si>
  <si>
    <t>103,275.00</t>
  </si>
  <si>
    <t>189,000.00</t>
  </si>
  <si>
    <t>189,500.00</t>
  </si>
  <si>
    <t>30,710.00</t>
  </si>
  <si>
    <t>40,872.80</t>
  </si>
  <si>
    <t>62,540.00</t>
  </si>
  <si>
    <t>2,491,545.00</t>
  </si>
  <si>
    <t>59,000.00</t>
  </si>
  <si>
    <t>324,120.58</t>
  </si>
  <si>
    <t>66,960.00</t>
  </si>
  <si>
    <t>363,220.00</t>
  </si>
  <si>
    <t>122,000.00</t>
  </si>
  <si>
    <t>6,980.00</t>
  </si>
  <si>
    <t>336,400.00</t>
  </si>
  <si>
    <t>160,254.00</t>
  </si>
  <si>
    <t>308,000.00</t>
  </si>
  <si>
    <t>30,019.00</t>
  </si>
  <si>
    <t>301,330.40</t>
  </si>
  <si>
    <t>52,855.00</t>
  </si>
  <si>
    <t>53,000.00</t>
  </si>
  <si>
    <t>1,261,535.80</t>
  </si>
  <si>
    <t>938,799.87</t>
  </si>
  <si>
    <t>521,490.00</t>
  </si>
  <si>
    <t>279,380.00</t>
  </si>
  <si>
    <t>2,420,600.00</t>
  </si>
  <si>
    <t>362,670.00</t>
  </si>
  <si>
    <t>88,500.00</t>
  </si>
  <si>
    <t>3,415,200.00</t>
  </si>
  <si>
    <t>208,051.00</t>
  </si>
  <si>
    <t>6,461.25</t>
  </si>
  <si>
    <t>395,410.00</t>
  </si>
  <si>
    <t>451,775.00</t>
  </si>
  <si>
    <t>4,800,000.00</t>
  </si>
  <si>
    <t>315,069.48</t>
  </si>
  <si>
    <t>123,480.00</t>
  </si>
  <si>
    <t>2,458,245.00</t>
  </si>
  <si>
    <t>449,793.97</t>
  </si>
  <si>
    <t>220,224.60</t>
  </si>
  <si>
    <t>560,000.00</t>
  </si>
  <si>
    <t>152,000.00</t>
  </si>
  <si>
    <t>116,100.00</t>
  </si>
  <si>
    <t>161,300.00</t>
  </si>
  <si>
    <t>159,000.00</t>
  </si>
  <si>
    <t>1,384,500.00</t>
  </si>
  <si>
    <t>148,100.00</t>
  </si>
  <si>
    <t>263,870.00</t>
  </si>
  <si>
    <t>154,000.00</t>
  </si>
  <si>
    <t>161,000.00</t>
  </si>
  <si>
    <t>84,900.50</t>
  </si>
  <si>
    <t>548,150.00</t>
  </si>
  <si>
    <t>79,740.00</t>
  </si>
  <si>
    <t>4,930.00</t>
  </si>
  <si>
    <t>14,260.00</t>
  </si>
  <si>
    <t>118,900.00</t>
  </si>
  <si>
    <t>25,800.00</t>
  </si>
  <si>
    <t>6,000.00</t>
  </si>
  <si>
    <t>52,725.00</t>
  </si>
  <si>
    <t>1,344,600.00</t>
  </si>
  <si>
    <t>164,322.00</t>
  </si>
  <si>
    <t>129,431.30</t>
  </si>
  <si>
    <t>83,090.24</t>
  </si>
  <si>
    <t>93,500.00</t>
  </si>
  <si>
    <t>151,700.00</t>
  </si>
  <si>
    <t>70,200.00</t>
  </si>
  <si>
    <t>377,900.00</t>
  </si>
  <si>
    <t>376,946.02</t>
  </si>
  <si>
    <t>264,000.00</t>
  </si>
  <si>
    <t>116,200.00</t>
  </si>
  <si>
    <t>34,300,000.00</t>
  </si>
  <si>
    <t>77,988.00</t>
  </si>
  <si>
    <t>131,232.00</t>
  </si>
  <si>
    <t>597,000.00</t>
  </si>
  <si>
    <t>888,320.00</t>
  </si>
  <si>
    <t>998,979.63</t>
  </si>
  <si>
    <t>354,376.25</t>
  </si>
  <si>
    <t>1,684,600.00</t>
  </si>
  <si>
    <t>977,500.00</t>
  </si>
  <si>
    <t>755,106.00</t>
  </si>
  <si>
    <t>229,513.50</t>
  </si>
  <si>
    <t>283,500.00</t>
  </si>
  <si>
    <t>214,508.89</t>
  </si>
  <si>
    <t>7,110,000.00</t>
  </si>
  <si>
    <t>399,600.00</t>
  </si>
  <si>
    <t>992,919.60</t>
  </si>
  <si>
    <t>499,941.96</t>
  </si>
  <si>
    <t>87,910.00</t>
  </si>
  <si>
    <t>11,391,478.60</t>
  </si>
  <si>
    <t>70,500.00</t>
  </si>
  <si>
    <t>175,350.00</t>
  </si>
  <si>
    <t>12,000,000.00</t>
  </si>
  <si>
    <t>130,000.00</t>
  </si>
  <si>
    <t>1,408,000.00</t>
  </si>
  <si>
    <t>499,940.00</t>
  </si>
  <si>
    <t>61,000.00</t>
  </si>
  <si>
    <t>6,300,000.00</t>
  </si>
  <si>
    <t>170,570.00</t>
  </si>
  <si>
    <t>52,350.00</t>
  </si>
  <si>
    <t>149,800.00</t>
  </si>
  <si>
    <t>531,000.00</t>
  </si>
  <si>
    <t>280,000.00</t>
  </si>
  <si>
    <t>72,550.00</t>
  </si>
  <si>
    <t>249,920.00</t>
  </si>
  <si>
    <t>303,300.00</t>
  </si>
  <si>
    <t>167,500.00</t>
  </si>
  <si>
    <t>245,400.00</t>
  </si>
  <si>
    <t>773,500.00</t>
  </si>
  <si>
    <t>204,750.00</t>
  </si>
  <si>
    <t>199,200.00</t>
  </si>
  <si>
    <t>77,555.00</t>
  </si>
  <si>
    <t>355,000.00</t>
  </si>
  <si>
    <t>251,324.00</t>
  </si>
  <si>
    <t>63,110.00</t>
  </si>
  <si>
    <t>96,660.00</t>
  </si>
  <si>
    <t>2,113,572.00</t>
  </si>
  <si>
    <t>17,635.00</t>
  </si>
  <si>
    <t>319,370.00</t>
  </si>
  <si>
    <t>75,790.00</t>
  </si>
  <si>
    <t>140,073.00</t>
  </si>
  <si>
    <t>107,017.41</t>
  </si>
  <si>
    <t>79,945.00</t>
  </si>
  <si>
    <t>120,300.00</t>
  </si>
  <si>
    <t>806,400.00</t>
  </si>
  <si>
    <t>149,000.00</t>
  </si>
  <si>
    <t>127,500.00</t>
  </si>
  <si>
    <t>55,630.00</t>
  </si>
  <si>
    <t>88,567.00</t>
  </si>
  <si>
    <t>954,162.00</t>
  </si>
  <si>
    <t>1,555,635.74</t>
  </si>
  <si>
    <t>199,500.00</t>
  </si>
  <si>
    <t>199,000.00</t>
  </si>
  <si>
    <t>240,700.00</t>
  </si>
  <si>
    <t>214,900.00</t>
  </si>
  <si>
    <t>327,500.00</t>
  </si>
  <si>
    <t>925,000.00</t>
  </si>
  <si>
    <t>1,108,000.00</t>
  </si>
  <si>
    <t>9,000.00</t>
  </si>
  <si>
    <t>170,068.00</t>
  </si>
  <si>
    <t>118,680.00</t>
  </si>
  <si>
    <t>324,000.00</t>
  </si>
  <si>
    <t>1,572,000.00</t>
  </si>
  <si>
    <t>932,399.21</t>
  </si>
  <si>
    <t>870,000.00</t>
  </si>
  <si>
    <t>41,000.00</t>
  </si>
  <si>
    <t>82,800.00</t>
  </si>
  <si>
    <t>124,000.00</t>
  </si>
  <si>
    <t>289,000.00</t>
  </si>
  <si>
    <t>139,448.63</t>
  </si>
  <si>
    <t>739,200.00</t>
  </si>
  <si>
    <t>297,000.00</t>
  </si>
  <si>
    <t>109,267.50</t>
  </si>
  <si>
    <t>476,000.00</t>
  </si>
  <si>
    <t>287,025.00</t>
  </si>
  <si>
    <t>217,200.00</t>
  </si>
  <si>
    <t>199,360.47</t>
  </si>
  <si>
    <t>130,935.30</t>
  </si>
  <si>
    <t>103,981.50</t>
  </si>
  <si>
    <t>203,100.00</t>
  </si>
  <si>
    <t>14,810.00</t>
  </si>
  <si>
    <t>205,000.00</t>
  </si>
  <si>
    <t>165,739.75</t>
  </si>
  <si>
    <t>395,700.00</t>
  </si>
  <si>
    <t>4,086,771.08</t>
  </si>
  <si>
    <t>538,290.00</t>
  </si>
  <si>
    <t>4,500.00</t>
  </si>
  <si>
    <t>229,663.25</t>
  </si>
  <si>
    <t>694,397.85</t>
  </si>
  <si>
    <t>23,642.85</t>
  </si>
  <si>
    <t>127,258.02</t>
  </si>
  <si>
    <t>149,300.00</t>
  </si>
  <si>
    <t>136,301.00</t>
  </si>
  <si>
    <t>59,270.00</t>
  </si>
  <si>
    <t>16,240.00</t>
  </si>
  <si>
    <t>1,412,460.00</t>
  </si>
  <si>
    <t>1,711,781.00</t>
  </si>
  <si>
    <t>2,121.00</t>
  </si>
  <si>
    <t>13,068.00</t>
  </si>
  <si>
    <t>5,600,000.00</t>
  </si>
  <si>
    <t>386,000.00</t>
  </si>
  <si>
    <t>75,150.00</t>
  </si>
  <si>
    <t>161,900.00</t>
  </si>
  <si>
    <t>83,244.00</t>
  </si>
  <si>
    <t>61,310.00</t>
  </si>
  <si>
    <t>199,960.00</t>
  </si>
  <si>
    <t>67,720.00</t>
  </si>
  <si>
    <t>381,300.00</t>
  </si>
  <si>
    <t>196,806.75</t>
  </si>
  <si>
    <t>305,860.00</t>
  </si>
  <si>
    <t>273,500.00</t>
  </si>
  <si>
    <t>557,760.00</t>
  </si>
  <si>
    <t>17,955,000.00</t>
  </si>
  <si>
    <t>240,500.00</t>
  </si>
  <si>
    <t>132,128.00</t>
  </si>
  <si>
    <t>202,394.00</t>
  </si>
  <si>
    <t>44,250.00</t>
  </si>
  <si>
    <t>208,600.00</t>
  </si>
  <si>
    <t>345,327.31</t>
  </si>
  <si>
    <t>1,198,879.96</t>
  </si>
  <si>
    <t>249,369.50</t>
  </si>
  <si>
    <t>16,383,231.15</t>
  </si>
  <si>
    <t>28,970.00</t>
  </si>
  <si>
    <t>669,990.00</t>
  </si>
  <si>
    <t>481,292.80</t>
  </si>
  <si>
    <t>302,600.00</t>
  </si>
  <si>
    <t>72,150.00</t>
  </si>
  <si>
    <t>104,000.00</t>
  </si>
  <si>
    <t>186,354.00</t>
  </si>
  <si>
    <t>162,765.00</t>
  </si>
  <si>
    <t>22,942,212.50</t>
  </si>
  <si>
    <t>52,537.00</t>
  </si>
  <si>
    <t>7,300.00</t>
  </si>
  <si>
    <t>120,720.00</t>
  </si>
  <si>
    <t>238,108.50</t>
  </si>
  <si>
    <t>199,950.00</t>
  </si>
  <si>
    <t>72,750.00</t>
  </si>
  <si>
    <t>465,200.00</t>
  </si>
  <si>
    <t>80,850.00</t>
  </si>
  <si>
    <t>92,790.70</t>
  </si>
  <si>
    <t>1,535,000.00</t>
  </si>
  <si>
    <t>50,400.00</t>
  </si>
  <si>
    <t>58,290.00</t>
  </si>
  <si>
    <t>70,720.00</t>
  </si>
  <si>
    <t>184,000.00</t>
  </si>
  <si>
    <t>69,582.00</t>
  </si>
  <si>
    <t>110,150.00</t>
  </si>
  <si>
    <t>230,726.00</t>
  </si>
  <si>
    <t>615,000.00</t>
  </si>
  <si>
    <t>1,258,560.00</t>
  </si>
  <si>
    <t>5,193,768.40</t>
  </si>
  <si>
    <t>2,028,180.00</t>
  </si>
  <si>
    <t>247,000.00</t>
  </si>
  <si>
    <t>58,101.00</t>
  </si>
  <si>
    <t>477,660.00</t>
  </si>
  <si>
    <t>1,245.00</t>
  </si>
  <si>
    <t>86,449.00</t>
  </si>
  <si>
    <t>50,249.81</t>
  </si>
  <si>
    <t>1,800.00</t>
  </si>
  <si>
    <t>720.00</t>
  </si>
  <si>
    <t>191,000.00</t>
  </si>
  <si>
    <t>278,290.00</t>
  </si>
  <si>
    <t>2,100,000.00</t>
  </si>
  <si>
    <t>70,174.00</t>
  </si>
  <si>
    <t>14,796.00</t>
  </si>
  <si>
    <t>673,650.00</t>
  </si>
  <si>
    <t>2,000.00</t>
  </si>
  <si>
    <t>240,988.00</t>
  </si>
  <si>
    <t>226,000.00</t>
  </si>
  <si>
    <t>196,912.50</t>
  </si>
  <si>
    <t>224,884.00</t>
  </si>
  <si>
    <t>800,000.00</t>
  </si>
  <si>
    <t>249,035.00</t>
  </si>
  <si>
    <t>65,576.00</t>
  </si>
  <si>
    <t>253,457.76</t>
  </si>
  <si>
    <t>320,000.00</t>
  </si>
  <si>
    <t>95,600.00</t>
  </si>
  <si>
    <t>271,746.00</t>
  </si>
  <si>
    <t>84,180.00</t>
  </si>
  <si>
    <t>199,775.00</t>
  </si>
  <si>
    <t>13,642,838.48</t>
  </si>
  <si>
    <t>148,000.00</t>
  </si>
  <si>
    <t>5,172,533.10</t>
  </si>
  <si>
    <t>377,274.00</t>
  </si>
  <si>
    <t>130,100.00</t>
  </si>
  <si>
    <t>306,591.76</t>
  </si>
  <si>
    <t>1,990.00</t>
  </si>
  <si>
    <t>62,105.00</t>
  </si>
  <si>
    <t>66,720.00</t>
  </si>
  <si>
    <t>365,220.00</t>
  </si>
  <si>
    <t>198,430.00</t>
  </si>
  <si>
    <t>60,972.00</t>
  </si>
  <si>
    <t>569,900.00</t>
  </si>
  <si>
    <t>119,700.00</t>
  </si>
  <si>
    <t>176,400.00</t>
  </si>
  <si>
    <t>2,204,998.39</t>
  </si>
  <si>
    <t>998,250.00</t>
  </si>
  <si>
    <t>102,951.00</t>
  </si>
  <si>
    <t>533,500.80</t>
  </si>
  <si>
    <t>540,000.00</t>
  </si>
  <si>
    <t>620,539.58</t>
  </si>
  <si>
    <t>375,640.00</t>
  </si>
  <si>
    <t>42,481.60</t>
  </si>
  <si>
    <t>74,000.00</t>
  </si>
  <si>
    <t>435,650.00</t>
  </si>
  <si>
    <t>1,740,000.00</t>
  </si>
  <si>
    <t>147,875.72</t>
  </si>
  <si>
    <t>84,267.00</t>
  </si>
  <si>
    <t>117,000.00</t>
  </si>
  <si>
    <t>87,450.00</t>
  </si>
  <si>
    <t>435,000.00</t>
  </si>
  <si>
    <t>51,000.00</t>
  </si>
  <si>
    <t>136,060.00</t>
  </si>
  <si>
    <t>137,530.00</t>
  </si>
  <si>
    <t>114,600.00</t>
  </si>
  <si>
    <t>54,800.00</t>
  </si>
  <si>
    <t>20,000,000.00</t>
  </si>
  <si>
    <t>58,550.00</t>
  </si>
  <si>
    <t>8,777,890.00</t>
  </si>
  <si>
    <t>3,600,000.00</t>
  </si>
  <si>
    <t>119,920.00</t>
  </si>
  <si>
    <t>249,755.75</t>
  </si>
  <si>
    <t>99,375.00</t>
  </si>
  <si>
    <t>564,710.00</t>
  </si>
  <si>
    <t>726,000.00</t>
  </si>
  <si>
    <t>569,200.00</t>
  </si>
  <si>
    <t>511,700.00</t>
  </si>
  <si>
    <t>1,535,998.11</t>
  </si>
  <si>
    <t>938,310.00</t>
  </si>
  <si>
    <t>259,286.40</t>
  </si>
  <si>
    <t>2,999,999.46</t>
  </si>
  <si>
    <t>12,002,000.00</t>
  </si>
  <si>
    <t>682,000.00</t>
  </si>
  <si>
    <t>187,264.00</t>
  </si>
  <si>
    <t>5,205,628.72</t>
  </si>
  <si>
    <t>22,633,472.33</t>
  </si>
  <si>
    <t>324,030.00</t>
  </si>
  <si>
    <t>5,030,588.44</t>
  </si>
  <si>
    <t>559,000.00</t>
  </si>
  <si>
    <t>64,500.00</t>
  </si>
  <si>
    <t>149,863.25</t>
  </si>
  <si>
    <t>76,511,350.97</t>
  </si>
  <si>
    <t>2,854,000.00</t>
  </si>
  <si>
    <t>1,000.00</t>
  </si>
  <si>
    <t>130,264.63</t>
  </si>
  <si>
    <t>97,219.00</t>
  </si>
  <si>
    <t>640,900.00</t>
  </si>
  <si>
    <t>62,487.00</t>
  </si>
  <si>
    <t>14,854.00</t>
  </si>
  <si>
    <t>970,731.28</t>
  </si>
  <si>
    <t>5,556,257.42</t>
  </si>
  <si>
    <t>112,219.00</t>
  </si>
  <si>
    <t>451,469.32</t>
  </si>
  <si>
    <t>499,200.00</t>
  </si>
  <si>
    <t>99,975.00</t>
  </si>
  <si>
    <t>636,670.78</t>
  </si>
  <si>
    <t>141,835.00</t>
  </si>
  <si>
    <t>410,620.00</t>
  </si>
  <si>
    <t>241,340.00</t>
  </si>
  <si>
    <t>3,407,400.89</t>
  </si>
  <si>
    <t>97,204.60</t>
  </si>
  <si>
    <t>300,300.00</t>
  </si>
  <si>
    <t>537,400.00</t>
  </si>
  <si>
    <t>602,800.00</t>
  </si>
  <si>
    <t>24,905.30</t>
  </si>
  <si>
    <t>113,355.00</t>
  </si>
  <si>
    <t>355,500.00</t>
  </si>
  <si>
    <t>50,990.00</t>
  </si>
  <si>
    <t>494,441.81</t>
  </si>
  <si>
    <t>160,990.00</t>
  </si>
  <si>
    <t>269,700.00</t>
  </si>
  <si>
    <t>99,580.00</t>
  </si>
  <si>
    <t>83,970.00</t>
  </si>
  <si>
    <t>99,450.00</t>
  </si>
  <si>
    <t>120,480.00</t>
  </si>
  <si>
    <t>29,380.00</t>
  </si>
  <si>
    <t>132,514,000.00</t>
  </si>
  <si>
    <t>109,962.00</t>
  </si>
  <si>
    <t>59,911.00</t>
  </si>
  <si>
    <t>6,275,825.16</t>
  </si>
  <si>
    <t>6,900,000.00</t>
  </si>
  <si>
    <t>447,641.99</t>
  </si>
  <si>
    <t>99,826.23</t>
  </si>
  <si>
    <t>12,903,732.38</t>
  </si>
  <si>
    <t>129,600.00</t>
  </si>
  <si>
    <t>996,234.54</t>
  </si>
  <si>
    <t>2,447,144.52</t>
  </si>
  <si>
    <t>35,203.00</t>
  </si>
  <si>
    <t>410,000.00</t>
  </si>
  <si>
    <t>14,995.00</t>
  </si>
  <si>
    <t>483,210.00</t>
  </si>
  <si>
    <t>520,000.00</t>
  </si>
  <si>
    <t>500.00</t>
  </si>
  <si>
    <t>398,798.36</t>
  </si>
  <si>
    <t>53,120.00</t>
  </si>
  <si>
    <t>4,950,000.00</t>
  </si>
  <si>
    <t>6,920,000.00</t>
  </si>
  <si>
    <t>361,335.00</t>
  </si>
  <si>
    <t>579,040.00</t>
  </si>
  <si>
    <t>249,964.00</t>
  </si>
  <si>
    <t>4,986.00</t>
  </si>
  <si>
    <t>121,000.00</t>
  </si>
  <si>
    <t>82,660.02</t>
  </si>
  <si>
    <t>817,220,000.00</t>
  </si>
  <si>
    <t>56,985.00</t>
  </si>
  <si>
    <t>248,974.95</t>
  </si>
  <si>
    <t>1,023,867.00</t>
  </si>
  <si>
    <t>415,717.88</t>
  </si>
  <si>
    <t>54,950.00</t>
  </si>
  <si>
    <t>694,850.00</t>
  </si>
  <si>
    <t>649,080.00</t>
  </si>
  <si>
    <t>225,610.00</t>
  </si>
  <si>
    <t>670,000.00</t>
  </si>
  <si>
    <t>189,900.00</t>
  </si>
  <si>
    <t>39,400.00</t>
  </si>
  <si>
    <t>2,625,000.00</t>
  </si>
  <si>
    <t>138,000.00</t>
  </si>
  <si>
    <t>179,450.00</t>
  </si>
  <si>
    <t>256,000.00</t>
  </si>
  <si>
    <t>166,440.00</t>
  </si>
  <si>
    <t>830,821.24</t>
  </si>
  <si>
    <t>15,238.00</t>
  </si>
  <si>
    <t>149,500.00</t>
  </si>
  <si>
    <t>645,518.22</t>
  </si>
  <si>
    <t>442,365.00</t>
  </si>
  <si>
    <t>9,192,560.00</t>
  </si>
  <si>
    <t>156,200.00</t>
  </si>
  <si>
    <t>227,685.00</t>
  </si>
  <si>
    <t>63,357.38</t>
  </si>
  <si>
    <t>12,766.00</t>
  </si>
  <si>
    <t>28,005.00</t>
  </si>
  <si>
    <t>52,200.00</t>
  </si>
  <si>
    <t>193,101.56</t>
  </si>
  <si>
    <t>11,760,000.00</t>
  </si>
  <si>
    <t>191,155.00</t>
  </si>
  <si>
    <t>121,200.00</t>
  </si>
  <si>
    <t>6,837,500.00</t>
  </si>
  <si>
    <t>206,336.00</t>
  </si>
  <si>
    <t>734,954.00</t>
  </si>
  <si>
    <t>144,990.00</t>
  </si>
  <si>
    <t>335,677.09</t>
  </si>
  <si>
    <t>65,575.00</t>
  </si>
  <si>
    <t>1,604,884.00</t>
  </si>
  <si>
    <t>116,000.00</t>
  </si>
  <si>
    <t>714,500.00</t>
  </si>
  <si>
    <t>1,236,396.87</t>
  </si>
  <si>
    <t>18,470.00</t>
  </si>
  <si>
    <t>102,500.00</t>
  </si>
  <si>
    <t>115,380.00</t>
  </si>
  <si>
    <t>9,500,000.00</t>
  </si>
  <si>
    <t>10,255,000.00</t>
  </si>
  <si>
    <t>98,400.00</t>
  </si>
  <si>
    <t>100,464.00</t>
  </si>
  <si>
    <t>112,500.00</t>
  </si>
  <si>
    <t>194,894.00</t>
  </si>
  <si>
    <t>61,944.00</t>
  </si>
  <si>
    <t>26,700.00</t>
  </si>
  <si>
    <t>497,316.22</t>
  </si>
  <si>
    <t>304,600.00</t>
  </si>
  <si>
    <t>164,110.00</t>
  </si>
  <si>
    <t>3,243,673.30</t>
  </si>
  <si>
    <t>135,000.00</t>
  </si>
  <si>
    <t>74,334,845.33</t>
  </si>
  <si>
    <t>59,333.33</t>
  </si>
  <si>
    <t>7,998,532.95</t>
  </si>
  <si>
    <t>107,284.00</t>
  </si>
  <si>
    <t>62,410.00</t>
  </si>
  <si>
    <t>130,900.00</t>
  </si>
  <si>
    <t>98,133.00</t>
  </si>
  <si>
    <t>122,810.00</t>
  </si>
  <si>
    <t>68,248.98</t>
  </si>
  <si>
    <t>32,257.00</t>
  </si>
  <si>
    <t>248,832.25</t>
  </si>
  <si>
    <t>192,500.00</t>
  </si>
  <si>
    <t>43,650.00</t>
  </si>
  <si>
    <t>478,800.00</t>
  </si>
  <si>
    <t>88,000.00</t>
  </si>
  <si>
    <t>1,999,029.31</t>
  </si>
  <si>
    <t>74,734.69</t>
  </si>
  <si>
    <t>63,700.00</t>
  </si>
  <si>
    <t>110,400.00</t>
  </si>
  <si>
    <t>55,786.50</t>
  </si>
  <si>
    <t>105,400.00</t>
  </si>
  <si>
    <t>531,789.92</t>
  </si>
  <si>
    <t>2,312,000.00</t>
  </si>
  <si>
    <t>390,000.00</t>
  </si>
  <si>
    <t>199,957.90</t>
  </si>
  <si>
    <t>238,190.00</t>
  </si>
  <si>
    <t>5,184,843.56</t>
  </si>
  <si>
    <t>131,800.00</t>
  </si>
  <si>
    <t>493,602.00</t>
  </si>
  <si>
    <t>1,415,191.92</t>
  </si>
  <si>
    <t>148,250.00</t>
  </si>
  <si>
    <t>33,500.00</t>
  </si>
  <si>
    <t>77,167.79</t>
  </si>
  <si>
    <t>198,555.00</t>
  </si>
  <si>
    <t>197,350.00</t>
  </si>
  <si>
    <t>79,852.50</t>
  </si>
  <si>
    <t>70,909.26</t>
  </si>
  <si>
    <t>98,000.00</t>
  </si>
  <si>
    <t>60,400.00</t>
  </si>
  <si>
    <t>100,800.00</t>
  </si>
  <si>
    <t>81,200.00</t>
  </si>
  <si>
    <t>64,497.66</t>
  </si>
  <si>
    <t>18,750,000.00</t>
  </si>
  <si>
    <t>12,062,500.00</t>
  </si>
  <si>
    <t>430,400.00</t>
  </si>
  <si>
    <t>77,500.00</t>
  </si>
  <si>
    <t>271,800.00</t>
  </si>
  <si>
    <t>425,880.00</t>
  </si>
  <si>
    <t>450,849.66</t>
  </si>
  <si>
    <t>249,265.00</t>
  </si>
  <si>
    <t>226,834.32</t>
  </si>
  <si>
    <t>77,855.29</t>
  </si>
  <si>
    <t>83,750.00</t>
  </si>
  <si>
    <t>2,899,877.00</t>
  </si>
  <si>
    <t>4,158.00</t>
  </si>
  <si>
    <t>321,363.00</t>
  </si>
  <si>
    <t>1,928,270.54</t>
  </si>
  <si>
    <t>99,475.00</t>
  </si>
  <si>
    <t>581,500.00</t>
  </si>
  <si>
    <t>5,219,000.00</t>
  </si>
  <si>
    <t>96,880.00</t>
  </si>
  <si>
    <t>308,348.00</t>
  </si>
  <si>
    <t>687,000.00</t>
  </si>
  <si>
    <t>13,110.00</t>
  </si>
  <si>
    <t>499,896.00</t>
  </si>
  <si>
    <t>181,220.00</t>
  </si>
  <si>
    <t>8,292,033.02</t>
  </si>
  <si>
    <t>57,610.00</t>
  </si>
  <si>
    <t>88,450.00</t>
  </si>
  <si>
    <t>156,336.00</t>
  </si>
  <si>
    <t>11,580,000.00</t>
  </si>
  <si>
    <t>41,086,000.00</t>
  </si>
  <si>
    <t>184,605.00</t>
  </si>
  <si>
    <t>62,821.00</t>
  </si>
  <si>
    <t>14,297.05</t>
  </si>
  <si>
    <t>312,900.00</t>
  </si>
  <si>
    <t>68,129,119.45</t>
  </si>
  <si>
    <t>71,171.00</t>
  </si>
  <si>
    <t>212,640.00</t>
  </si>
  <si>
    <t>704,920.82</t>
  </si>
  <si>
    <t>706,500.00</t>
  </si>
  <si>
    <t>496,200.00</t>
  </si>
  <si>
    <t>482,618.00</t>
  </si>
  <si>
    <t>82,546.14</t>
  </si>
  <si>
    <t>388,500.00</t>
  </si>
  <si>
    <t>16,200.00</t>
  </si>
  <si>
    <t>272,000.00</t>
  </si>
  <si>
    <t>297,500.00</t>
  </si>
  <si>
    <t>99,960.68</t>
  </si>
  <si>
    <t>96,318.14</t>
  </si>
  <si>
    <t>86,400.00</t>
  </si>
  <si>
    <t>252,000.00</t>
  </si>
  <si>
    <t>165,600.00</t>
  </si>
  <si>
    <t>168,224.00</t>
  </si>
  <si>
    <t>92,484.00</t>
  </si>
  <si>
    <t>102,709.95</t>
  </si>
  <si>
    <t>52,738.81</t>
  </si>
  <si>
    <t>340,000.00</t>
  </si>
  <si>
    <t>174,442.00</t>
  </si>
  <si>
    <t>788,833.33</t>
  </si>
  <si>
    <t>106,106.00</t>
  </si>
  <si>
    <t>22,750.00</t>
  </si>
  <si>
    <t>613,202.71</t>
  </si>
  <si>
    <t>65,411.00</t>
  </si>
  <si>
    <t>155,250.00</t>
  </si>
  <si>
    <t>337,500.00</t>
  </si>
  <si>
    <t>68,253.00</t>
  </si>
  <si>
    <t>3,295,000.00</t>
  </si>
  <si>
    <t>26,299.50</t>
  </si>
  <si>
    <t>32,352.41</t>
  </si>
  <si>
    <t>110,230.00</t>
  </si>
  <si>
    <t>1,416,006.63</t>
  </si>
  <si>
    <t>167,925.00</t>
  </si>
  <si>
    <t>795,000.00</t>
  </si>
  <si>
    <t>660,367.00</t>
  </si>
  <si>
    <t>95,809.00</t>
  </si>
  <si>
    <t>85,800.00</t>
  </si>
  <si>
    <t>93,567.00</t>
  </si>
  <si>
    <t>494,367.20</t>
  </si>
  <si>
    <t>334,292.67</t>
  </si>
  <si>
    <t>235,400.00</t>
  </si>
  <si>
    <t>115,580.00</t>
  </si>
  <si>
    <t>15,100.00</t>
  </si>
  <si>
    <t>598,100.00</t>
  </si>
  <si>
    <t>134,050.00</t>
  </si>
  <si>
    <t>128,945.00</t>
  </si>
  <si>
    <t>626,000.00</t>
  </si>
  <si>
    <t>1,231,179.60</t>
  </si>
  <si>
    <t>328,200.00</t>
  </si>
  <si>
    <t>990,010.00</t>
  </si>
  <si>
    <t>401,734.80</t>
  </si>
  <si>
    <t>322,410.00</t>
  </si>
  <si>
    <t>460,299.00</t>
  </si>
  <si>
    <t>4,258,600.00</t>
  </si>
  <si>
    <t>57,338.00</t>
  </si>
  <si>
    <t>1,595,798.00</t>
  </si>
  <si>
    <t>480,573.50</t>
  </si>
  <si>
    <t>11,940,000.00</t>
  </si>
  <si>
    <t>155,642.50</t>
  </si>
  <si>
    <t>2,137,500.00</t>
  </si>
  <si>
    <t>81,492.00</t>
  </si>
  <si>
    <t>121,790.00</t>
  </si>
  <si>
    <t>107,500.00</t>
  </si>
  <si>
    <t>155,000.00</t>
  </si>
  <si>
    <t>47,975.00</t>
  </si>
  <si>
    <t>1,616,380.00</t>
  </si>
  <si>
    <t>475,420.00</t>
  </si>
  <si>
    <t>87,700.00</t>
  </si>
  <si>
    <t>1,650,000.00</t>
  </si>
  <si>
    <t>23,600,000.00</t>
  </si>
  <si>
    <t>1,080,830.90</t>
  </si>
  <si>
    <t>1,100,000.00</t>
  </si>
  <si>
    <t>79,175.00</t>
  </si>
  <si>
    <t>909,328.23</t>
  </si>
  <si>
    <t>3,800,000.00</t>
  </si>
  <si>
    <t>606,141.13</t>
  </si>
  <si>
    <t>399,043.00</t>
  </si>
  <si>
    <t>70,670.74</t>
  </si>
  <si>
    <t>1,309,950.00</t>
  </si>
  <si>
    <t>998,400.00</t>
  </si>
  <si>
    <t>760,000.00</t>
  </si>
  <si>
    <t>288,187.00</t>
  </si>
  <si>
    <t>5,500,000.00</t>
  </si>
  <si>
    <t>855,000.00</t>
  </si>
  <si>
    <t>190,190.00</t>
  </si>
  <si>
    <t>99,973.00</t>
  </si>
  <si>
    <t>97,200.00</t>
  </si>
  <si>
    <t>132,740.00</t>
  </si>
  <si>
    <t>213,600.00</t>
  </si>
  <si>
    <t>696,000.00</t>
  </si>
  <si>
    <t>69,885.75</t>
  </si>
  <si>
    <t>99,732.00</t>
  </si>
  <si>
    <t>217,038.94</t>
  </si>
  <si>
    <t>168,000.00</t>
  </si>
  <si>
    <t>325,800.00</t>
  </si>
  <si>
    <t>1,332,106.25</t>
  </si>
  <si>
    <t>31,800.00</t>
  </si>
  <si>
    <t>520,872.50</t>
  </si>
  <si>
    <t>316,000.00</t>
  </si>
  <si>
    <t>647,621.00</t>
  </si>
  <si>
    <t>61,633.00</t>
  </si>
  <si>
    <t>1,128,000.00</t>
  </si>
  <si>
    <t>79,500.00</t>
  </si>
  <si>
    <t>499,931.43</t>
  </si>
  <si>
    <t>271,428.64</t>
  </si>
  <si>
    <t>9,400.00</t>
  </si>
  <si>
    <t>752,196.48</t>
  </si>
  <si>
    <t>999,947.41</t>
  </si>
  <si>
    <t>93,058.00</t>
  </si>
  <si>
    <t>87,260.00</t>
  </si>
  <si>
    <t>85,240.00</t>
  </si>
  <si>
    <t>49,182.50</t>
  </si>
  <si>
    <t>47,100.00</t>
  </si>
  <si>
    <t>366,200.00</t>
  </si>
  <si>
    <t>57,510.00</t>
  </si>
  <si>
    <t>176,000.00</t>
  </si>
  <si>
    <t>429,119.76</t>
  </si>
  <si>
    <t>81,500.00</t>
  </si>
  <si>
    <t>118,050.00</t>
  </si>
  <si>
    <t>1,199,995.45</t>
  </si>
  <si>
    <t>496,000,000.00</t>
  </si>
  <si>
    <t>3,750,000.00</t>
  </si>
  <si>
    <t>415,000.00</t>
  </si>
  <si>
    <t>88,760.00</t>
  </si>
  <si>
    <t>8,353,524.57</t>
  </si>
  <si>
    <t>471,400.00</t>
  </si>
  <si>
    <t>105,300.00</t>
  </si>
  <si>
    <t>647,948.00</t>
  </si>
  <si>
    <t>18,700.00</t>
  </si>
  <si>
    <t>75,370.00</t>
  </si>
  <si>
    <t>69,480.00</t>
  </si>
  <si>
    <t>940,500.00</t>
  </si>
  <si>
    <t>26,000.00</t>
  </si>
  <si>
    <t>524,513.46</t>
  </si>
  <si>
    <t>88,975.00</t>
  </si>
  <si>
    <t>112,800.00</t>
  </si>
  <si>
    <t>1,639,000.00</t>
  </si>
  <si>
    <t>613,000.00</t>
  </si>
  <si>
    <t>109,570.00</t>
  </si>
  <si>
    <t>224,000.00</t>
  </si>
  <si>
    <t>668,583.33</t>
  </si>
  <si>
    <t>843,941.04</t>
  </si>
  <si>
    <t>568,750.00</t>
  </si>
  <si>
    <t>999,999.85</t>
  </si>
  <si>
    <t>1,960,000.00</t>
  </si>
  <si>
    <t>2,940,000.00</t>
  </si>
  <si>
    <t>71,500.00</t>
  </si>
  <si>
    <t>1,077,000.00</t>
  </si>
  <si>
    <t>753,600.00</t>
  </si>
  <si>
    <t>741,500.00</t>
  </si>
  <si>
    <t>14,997.00</t>
  </si>
  <si>
    <t>89,565.00</t>
  </si>
  <si>
    <t>35,046.00</t>
  </si>
  <si>
    <t>71,900.00</t>
  </si>
  <si>
    <t>295,000.00</t>
  </si>
  <si>
    <t>789,258.75</t>
  </si>
  <si>
    <t>15,654.00</t>
  </si>
  <si>
    <t>64,102.53</t>
  </si>
  <si>
    <t>132,586.10</t>
  </si>
  <si>
    <t>594,088.00</t>
  </si>
  <si>
    <t>262,875.00</t>
  </si>
  <si>
    <t>525,000.00</t>
  </si>
  <si>
    <t>62,930.00</t>
  </si>
  <si>
    <t>49,065.00</t>
  </si>
  <si>
    <t>1,600,162.60</t>
  </si>
  <si>
    <t>7,506,582.99</t>
  </si>
  <si>
    <t>1,900.00</t>
  </si>
  <si>
    <t>502,632.35</t>
  </si>
  <si>
    <t>3,225,612.00</t>
  </si>
  <si>
    <t>486,350.00</t>
  </si>
  <si>
    <t>4,867,348.00</t>
  </si>
  <si>
    <t>1,494,803.77</t>
  </si>
  <si>
    <t>81,300.00</t>
  </si>
  <si>
    <t>26,120.00</t>
  </si>
  <si>
    <t>365,930.00</t>
  </si>
  <si>
    <t>999,991.54</t>
  </si>
  <si>
    <t>351,333.00</t>
  </si>
  <si>
    <t>2,010,960.00</t>
  </si>
  <si>
    <t>87,155.00</t>
  </si>
  <si>
    <t>2,680.00</t>
  </si>
  <si>
    <t>750,107.13</t>
  </si>
  <si>
    <t>2,560,320.00</t>
  </si>
  <si>
    <t>32,990,936.84</t>
  </si>
  <si>
    <t>748,800.00</t>
  </si>
  <si>
    <t>1,170,000.00</t>
  </si>
  <si>
    <t>4,999,847.24</t>
  </si>
  <si>
    <t>4,999,995.63</t>
  </si>
  <si>
    <t>125,100.00</t>
  </si>
  <si>
    <t>71,200.00</t>
  </si>
  <si>
    <t>4,999,949.33</t>
  </si>
  <si>
    <t>79,521.88</t>
  </si>
  <si>
    <t>13,749,921.26</t>
  </si>
  <si>
    <t>299,367.00</t>
  </si>
  <si>
    <t>2,199,640.64</t>
  </si>
  <si>
    <t>283,292.40</t>
  </si>
  <si>
    <t>3,871,500.00</t>
  </si>
  <si>
    <t>52,635.00</t>
  </si>
  <si>
    <t>32,000.00</t>
  </si>
  <si>
    <t>162,928.00</t>
  </si>
  <si>
    <t>5,520,000.00</t>
  </si>
  <si>
    <t>1,841,714.30</t>
  </si>
  <si>
    <t>453,108.76</t>
  </si>
  <si>
    <t>432,000.00</t>
  </si>
  <si>
    <t>90,750.00</t>
  </si>
  <si>
    <t>77,000.00</t>
  </si>
  <si>
    <t>12,500.00</t>
  </si>
  <si>
    <t>24,000.00</t>
  </si>
  <si>
    <t>5,169,197.45</t>
  </si>
  <si>
    <t>1,700,000.00</t>
  </si>
  <si>
    <t>41,700.00</t>
  </si>
  <si>
    <t>971,109.00</t>
  </si>
  <si>
    <t>199,980.00</t>
  </si>
  <si>
    <t>20,350.00</t>
  </si>
  <si>
    <t>2,736,500.00</t>
  </si>
  <si>
    <t>154,500.00</t>
  </si>
  <si>
    <t>699,505.00</t>
  </si>
  <si>
    <t>31,450.00</t>
  </si>
  <si>
    <t>4,823,471.19</t>
  </si>
  <si>
    <t>46,960.00</t>
  </si>
  <si>
    <t>397,400.00</t>
  </si>
  <si>
    <t>64,079.00</t>
  </si>
  <si>
    <t>76,556.00</t>
  </si>
  <si>
    <t>25,900.00</t>
  </si>
  <si>
    <t>146,892.00</t>
  </si>
  <si>
    <t>34,000,000.00</t>
  </si>
  <si>
    <t>322,370.00</t>
  </si>
  <si>
    <t>4,500,000.00</t>
  </si>
  <si>
    <t>77,272.12</t>
  </si>
  <si>
    <t>180,296.87</t>
  </si>
  <si>
    <t>195,000.00</t>
  </si>
  <si>
    <t>452,000.00</t>
  </si>
  <si>
    <t>183,496.32</t>
  </si>
  <si>
    <t>68,800.00</t>
  </si>
  <si>
    <t>7,371,508.49</t>
  </si>
  <si>
    <t>237,900.00</t>
  </si>
  <si>
    <t>375,914.04</t>
  </si>
  <si>
    <t>56,363.80</t>
  </si>
  <si>
    <t>7,953,766.44</t>
  </si>
  <si>
    <t>750,000.00</t>
  </si>
  <si>
    <t>56,630.00</t>
  </si>
  <si>
    <t>3,300,000.00</t>
  </si>
  <si>
    <t>60,131.62</t>
  </si>
  <si>
    <t>132,694.00</t>
  </si>
  <si>
    <t>4,671,340.80</t>
  </si>
  <si>
    <t>123,000.00</t>
  </si>
  <si>
    <t>391,204.20</t>
  </si>
  <si>
    <t>150,345.00</t>
  </si>
  <si>
    <t>1,440,000.00</t>
  </si>
  <si>
    <t>1,750,000.00</t>
  </si>
  <si>
    <t>269,484.38</t>
  </si>
  <si>
    <t>810,000.00</t>
  </si>
  <si>
    <t>62,575.00</t>
  </si>
  <si>
    <t>322,500.00</t>
  </si>
  <si>
    <t>24,299.00</t>
  </si>
  <si>
    <t>40,666,626.00</t>
  </si>
  <si>
    <t>255,600.00</t>
  </si>
  <si>
    <t>735,699.00</t>
  </si>
  <si>
    <t>1,656,250.00</t>
  </si>
  <si>
    <t>846,216.00</t>
  </si>
  <si>
    <t>943,000.00</t>
  </si>
  <si>
    <t>108,950.00</t>
  </si>
  <si>
    <t>197,789.00</t>
  </si>
  <si>
    <t>69,120.00</t>
  </si>
  <si>
    <t>228,302.00</t>
  </si>
  <si>
    <t>192,000.00</t>
  </si>
  <si>
    <t>196,050.00</t>
  </si>
  <si>
    <t>187,482.98</t>
  </si>
  <si>
    <t>198,722.00</t>
  </si>
  <si>
    <t>192,968.00</t>
  </si>
  <si>
    <t>326,000.00</t>
  </si>
  <si>
    <t>66,000.00</t>
  </si>
  <si>
    <t>74,500.00</t>
  </si>
  <si>
    <t>16,250.00</t>
  </si>
  <si>
    <t>79,040.00</t>
  </si>
  <si>
    <t>631,580.00</t>
  </si>
  <si>
    <t>37,000.00</t>
  </si>
  <si>
    <t>55,455.00</t>
  </si>
  <si>
    <t>2,900,000.00</t>
  </si>
  <si>
    <t>67,725.00</t>
  </si>
  <si>
    <t>274,485.00</t>
  </si>
  <si>
    <t>1,466,000.00</t>
  </si>
  <si>
    <t>230,350.00</t>
  </si>
  <si>
    <t>14,891,060.35</t>
  </si>
  <si>
    <t>70,906.56</t>
  </si>
  <si>
    <t>88,083.45</t>
  </si>
  <si>
    <t>6,688,636.74</t>
  </si>
  <si>
    <t>2,722,000.00</t>
  </si>
  <si>
    <t>1,805,743.50</t>
  </si>
  <si>
    <t>151,550.00</t>
  </si>
  <si>
    <t>228,950.00</t>
  </si>
  <si>
    <t>328,500.00</t>
  </si>
  <si>
    <t>8,680,779.68</t>
  </si>
  <si>
    <t>3,870,941.31</t>
  </si>
  <si>
    <t>445,976.68</t>
  </si>
  <si>
    <t>300,000,000.00</t>
  </si>
  <si>
    <t>986,572.20</t>
  </si>
  <si>
    <t>214,372.00</t>
  </si>
  <si>
    <t>369,004.00</t>
  </si>
  <si>
    <t>109,500.00</t>
  </si>
  <si>
    <t>1,872,500.00</t>
  </si>
  <si>
    <t>370,158.80</t>
  </si>
  <si>
    <t>648,982.00</t>
  </si>
  <si>
    <t>799,489.00</t>
  </si>
  <si>
    <t>1,196,580.00</t>
  </si>
  <si>
    <t>1,566,000.00</t>
  </si>
  <si>
    <t>5,326,702.71</t>
  </si>
  <si>
    <t>1,047,247.90</t>
  </si>
  <si>
    <t>77,600.26</t>
  </si>
  <si>
    <t>688,000.00</t>
  </si>
  <si>
    <t>629,392.74</t>
  </si>
  <si>
    <t>1,036,777.90</t>
  </si>
  <si>
    <t>568,540.00</t>
  </si>
  <si>
    <t>3,223,100.00</t>
  </si>
  <si>
    <t>637,445.00</t>
  </si>
  <si>
    <t>5,616,566.25</t>
  </si>
  <si>
    <t>67,522.00</t>
  </si>
  <si>
    <t>101,600.00</t>
  </si>
  <si>
    <t>739,840.00</t>
  </si>
  <si>
    <t>82,969.80</t>
  </si>
  <si>
    <t>368,336.88</t>
  </si>
  <si>
    <t>134,095.20</t>
  </si>
  <si>
    <t>5,362,500.00</t>
  </si>
  <si>
    <t>63,238.70</t>
  </si>
  <si>
    <t>405,000.00</t>
  </si>
  <si>
    <t>56,700.40</t>
  </si>
  <si>
    <t>82,477.00</t>
  </si>
  <si>
    <t>2,733,391.00</t>
  </si>
  <si>
    <t>364,500.00</t>
  </si>
  <si>
    <t>665,966.00</t>
  </si>
  <si>
    <t>82,440.00</t>
  </si>
  <si>
    <t>471,974.90</t>
  </si>
  <si>
    <t>1,501,760.00</t>
  </si>
  <si>
    <t>101,011.89</t>
  </si>
  <si>
    <t>779,422.38</t>
  </si>
  <si>
    <t>414,000.00</t>
  </si>
  <si>
    <t>257,850.00</t>
  </si>
  <si>
    <t>3,604,021.00</t>
  </si>
  <si>
    <t>143,150.00</t>
  </si>
  <si>
    <t>1,009,129.00</t>
  </si>
  <si>
    <t>998,947.50</t>
  </si>
  <si>
    <t>273,860.00</t>
  </si>
  <si>
    <t>199,920.00</t>
  </si>
  <si>
    <t>158,397.50</t>
  </si>
  <si>
    <t>683,000.00</t>
  </si>
  <si>
    <t>1,268,344.50</t>
  </si>
  <si>
    <t>499,983.75</t>
  </si>
  <si>
    <t>133,629.21</t>
  </si>
  <si>
    <t>45,719.00</t>
  </si>
  <si>
    <t>367,700.00</t>
  </si>
  <si>
    <t>7,321,765.00</t>
  </si>
  <si>
    <t>499,517.81</t>
  </si>
  <si>
    <t>567,756.00</t>
  </si>
  <si>
    <t>373,834.50</t>
  </si>
  <si>
    <t>1,599,131.45</t>
  </si>
  <si>
    <t>5,760,000.00</t>
  </si>
  <si>
    <t>103,645.00</t>
  </si>
  <si>
    <t>97,243.00</t>
  </si>
  <si>
    <t>996,137.39</t>
  </si>
  <si>
    <t>561,120.00</t>
  </si>
  <si>
    <t>278,599.86</t>
  </si>
  <si>
    <t>2,194,306.26</t>
  </si>
  <si>
    <t>428,500.00</t>
  </si>
  <si>
    <t>138,600.00</t>
  </si>
  <si>
    <t>730,165.94</t>
  </si>
  <si>
    <t>762,450.00</t>
  </si>
  <si>
    <t>319,250.00</t>
  </si>
  <si>
    <t>605,264.00</t>
  </si>
  <si>
    <t>134,406.36</t>
  </si>
  <si>
    <t>4,400,000.00</t>
  </si>
  <si>
    <t>491,200.00</t>
  </si>
  <si>
    <t>545,000.00</t>
  </si>
  <si>
    <t>289,156.60</t>
  </si>
  <si>
    <t>290,700.00</t>
  </si>
  <si>
    <t>219,540.00</t>
  </si>
  <si>
    <t>4,691,080.00</t>
  </si>
  <si>
    <t>605,000.00</t>
  </si>
  <si>
    <t>269,940.00</t>
  </si>
  <si>
    <t>1,965,600.00</t>
  </si>
  <si>
    <t>63,300.00</t>
  </si>
  <si>
    <t>194,000.00</t>
  </si>
  <si>
    <t>190,494.00</t>
  </si>
  <si>
    <t>133,880.00</t>
  </si>
  <si>
    <t>562,500.00</t>
  </si>
  <si>
    <t>1,358,200.00</t>
  </si>
  <si>
    <t>333,333.35</t>
  </si>
  <si>
    <t>64,800.00</t>
  </si>
  <si>
    <t>1,098,200.00</t>
  </si>
  <si>
    <t>121,733.00</t>
  </si>
  <si>
    <t>616,796.00</t>
  </si>
  <si>
    <t>478,000.00</t>
  </si>
  <si>
    <t>6,024,620.00</t>
  </si>
  <si>
    <t>115,500.00</t>
  </si>
  <si>
    <t>51,980.00</t>
  </si>
  <si>
    <t>132,040.00</t>
  </si>
  <si>
    <t>51,350.00</t>
  </si>
  <si>
    <t>999,298.04</t>
  </si>
  <si>
    <t>688,200.00</t>
  </si>
  <si>
    <t>146,265.60</t>
  </si>
  <si>
    <t>200,055.00</t>
  </si>
  <si>
    <t>32,111.40</t>
  </si>
  <si>
    <t>86,900.00</t>
  </si>
  <si>
    <t>245,500.00</t>
  </si>
  <si>
    <t>998,561.75</t>
  </si>
  <si>
    <t>409,200.00</t>
  </si>
  <si>
    <t>4,787,160.00</t>
  </si>
  <si>
    <t>761,000.00</t>
  </si>
  <si>
    <t>430,000.00</t>
  </si>
  <si>
    <t>370,000.00</t>
  </si>
  <si>
    <t>50,283.80</t>
  </si>
  <si>
    <t>385,273.52</t>
  </si>
  <si>
    <t>194,987.00</t>
  </si>
  <si>
    <t>611,284.00</t>
  </si>
  <si>
    <t>231,000.00</t>
  </si>
  <si>
    <t>88,900.00</t>
  </si>
  <si>
    <t>6,100,000.00</t>
  </si>
  <si>
    <t>426,186.00</t>
  </si>
  <si>
    <t>110,673.24</t>
  </si>
  <si>
    <t>4,350,000.00</t>
  </si>
  <si>
    <t>1,623,560.00</t>
  </si>
  <si>
    <t>332,764.80</t>
  </si>
  <si>
    <t>276,012.00</t>
  </si>
  <si>
    <t>65,520.00</t>
  </si>
  <si>
    <t>331,728.00</t>
  </si>
  <si>
    <t>90,975.00</t>
  </si>
  <si>
    <t>198,720.00</t>
  </si>
  <si>
    <t>35,000,000.00</t>
  </si>
  <si>
    <t>59,150.00</t>
  </si>
  <si>
    <t>682,500.00</t>
  </si>
  <si>
    <t>158,000.00</t>
  </si>
  <si>
    <t>3,426,000.00</t>
  </si>
  <si>
    <t>397,393.33</t>
  </si>
  <si>
    <t>322,919.24</t>
  </si>
  <si>
    <t>51,082.00</t>
  </si>
  <si>
    <t>217,900.00</t>
  </si>
  <si>
    <t>349,500.00</t>
  </si>
  <si>
    <t>156,000.00</t>
  </si>
  <si>
    <t>103,075.00</t>
  </si>
  <si>
    <t>180,226.70</t>
  </si>
  <si>
    <t>186,785.62</t>
  </si>
  <si>
    <t>499,950.00</t>
  </si>
  <si>
    <t>991,700.00</t>
  </si>
  <si>
    <t>61,400.00</t>
  </si>
  <si>
    <t>21,000,000.00</t>
  </si>
  <si>
    <t>734,720.00</t>
  </si>
  <si>
    <t>199,135.00</t>
  </si>
  <si>
    <t>34,600,263.63</t>
  </si>
  <si>
    <t>204,629.00</t>
  </si>
  <si>
    <t>760,575.00</t>
  </si>
  <si>
    <t>554,138.00</t>
  </si>
  <si>
    <t>183,240.00</t>
  </si>
  <si>
    <t>12,499,804.81</t>
  </si>
  <si>
    <t>1,080,000.00</t>
  </si>
  <si>
    <t>460,000.00</t>
  </si>
  <si>
    <t>12,499,903.38</t>
  </si>
  <si>
    <t>241,750.00</t>
  </si>
  <si>
    <t>2,336,600,000.00</t>
  </si>
  <si>
    <t>10,630,000.00</t>
  </si>
  <si>
    <t>1,852,886,000.00</t>
  </si>
  <si>
    <t>4,744,362.63</t>
  </si>
  <si>
    <t>4,888,973.32</t>
  </si>
  <si>
    <t>72,586.00</t>
  </si>
  <si>
    <t>90,665.63</t>
  </si>
  <si>
    <t>5,015.00</t>
  </si>
  <si>
    <t>193,200.00</t>
  </si>
  <si>
    <t>15,069.00</t>
  </si>
  <si>
    <t>5,175.00</t>
  </si>
  <si>
    <t>3,059,000.00</t>
  </si>
  <si>
    <t>61,585.00</t>
  </si>
  <si>
    <t>655,000.00</t>
  </si>
  <si>
    <t>9,967.00</t>
  </si>
  <si>
    <t>66,000,000.00</t>
  </si>
  <si>
    <t>2,884,960.00</t>
  </si>
  <si>
    <t>66,780.00</t>
  </si>
  <si>
    <t>241,000.00</t>
  </si>
  <si>
    <t>172,460.00</t>
  </si>
  <si>
    <t>10,063.00</t>
  </si>
  <si>
    <t>164,351.70</t>
  </si>
  <si>
    <t>189,612.00</t>
  </si>
  <si>
    <t>2,267,309.63</t>
  </si>
  <si>
    <t>538,000.00</t>
  </si>
  <si>
    <t>4,086,775.00</t>
  </si>
  <si>
    <t>811,747.00</t>
  </si>
  <si>
    <t>55,815.00</t>
  </si>
  <si>
    <t>594,560.00</t>
  </si>
  <si>
    <t>590,000.00</t>
  </si>
  <si>
    <t>924,000.00</t>
  </si>
  <si>
    <t>224,999.00</t>
  </si>
  <si>
    <t>163,000.00</t>
  </si>
  <si>
    <t>5,850.00</t>
  </si>
  <si>
    <t>131,536.00</t>
  </si>
  <si>
    <t>18,000.00</t>
  </si>
  <si>
    <t>22,350.00</t>
  </si>
  <si>
    <t>2,660.00</t>
  </si>
  <si>
    <t>13,650.00</t>
  </si>
  <si>
    <t>399,342.05</t>
  </si>
  <si>
    <t>10,340.00</t>
  </si>
  <si>
    <t>11,000.00</t>
  </si>
  <si>
    <t>35,350.00</t>
  </si>
  <si>
    <t>7,100.00</t>
  </si>
  <si>
    <t>6,684.00</t>
  </si>
  <si>
    <t>22,700,000.00</t>
  </si>
  <si>
    <t>4,075.00</t>
  </si>
  <si>
    <t>95,725.00</t>
  </si>
  <si>
    <t>135,270.20</t>
  </si>
  <si>
    <t>92,370.00</t>
  </si>
  <si>
    <t>227,190.00</t>
  </si>
  <si>
    <t>84,536.00</t>
  </si>
  <si>
    <t>261,000.00</t>
  </si>
  <si>
    <t>334,360.00</t>
  </si>
  <si>
    <t>3,940.00</t>
  </si>
  <si>
    <t>499,894.11</t>
  </si>
  <si>
    <t>34,550.00</t>
  </si>
  <si>
    <t>27,810,365.97</t>
  </si>
  <si>
    <t>129,211.88</t>
  </si>
  <si>
    <t>394,000.00</t>
  </si>
  <si>
    <t>3,170.00</t>
  </si>
  <si>
    <t>69,130.00</t>
  </si>
  <si>
    <t>20,900.00</t>
  </si>
  <si>
    <t>5,482.00</t>
  </si>
  <si>
    <t>981,980.00</t>
  </si>
  <si>
    <t>7,855.00</t>
  </si>
  <si>
    <t>475,200.00</t>
  </si>
  <si>
    <t>12,301.00</t>
  </si>
  <si>
    <t>128,240.00</t>
  </si>
  <si>
    <t>56,325.00</t>
  </si>
  <si>
    <t>25,200.00</t>
  </si>
  <si>
    <t>90,884.00</t>
  </si>
  <si>
    <t>124,247.50</t>
  </si>
  <si>
    <t>221,572.50</t>
  </si>
  <si>
    <t>115,020.00</t>
  </si>
  <si>
    <t>1,299,907.66</t>
  </si>
  <si>
    <t>92,350.00</t>
  </si>
  <si>
    <t>927,000.00</t>
  </si>
  <si>
    <t>276,500.00</t>
  </si>
  <si>
    <t>189,640.00</t>
  </si>
  <si>
    <t>2,925.00</t>
  </si>
  <si>
    <t>4,250.00</t>
  </si>
  <si>
    <t>170,189.56</t>
  </si>
  <si>
    <t>1,299,868.84</t>
  </si>
  <si>
    <t>4,060.00</t>
  </si>
  <si>
    <t>103,500.00</t>
  </si>
  <si>
    <t>395,511.24</t>
  </si>
  <si>
    <t>999,387.57</t>
  </si>
  <si>
    <t>193,500.00</t>
  </si>
  <si>
    <t>293,875.00</t>
  </si>
  <si>
    <t>15,254.80</t>
  </si>
  <si>
    <t>364,400.00</t>
  </si>
  <si>
    <t>83,375.00</t>
  </si>
  <si>
    <t>279,846.00</t>
  </si>
  <si>
    <t>535,142.46</t>
  </si>
  <si>
    <t>33,000.00</t>
  </si>
  <si>
    <t>1,812,556.22</t>
  </si>
  <si>
    <t>2,550,000.00</t>
  </si>
  <si>
    <t>402,500.00</t>
  </si>
  <si>
    <t>99,540.00</t>
  </si>
  <si>
    <t>917,841.75</t>
  </si>
  <si>
    <t>437,080.00</t>
  </si>
  <si>
    <t>14,849,996.67</t>
  </si>
  <si>
    <t>7,368.00</t>
  </si>
  <si>
    <t>265,625.00</t>
  </si>
  <si>
    <t>28,940.00</t>
  </si>
  <si>
    <t>51,750.00</t>
  </si>
  <si>
    <t>73,750.00</t>
  </si>
  <si>
    <t>49,865.00</t>
  </si>
  <si>
    <t>116,250.00</t>
  </si>
  <si>
    <t>329,905.78</t>
  </si>
  <si>
    <t>371,719.00</t>
  </si>
  <si>
    <t>60,500.00</t>
  </si>
  <si>
    <t>1,425,000.00</t>
  </si>
  <si>
    <t>21,335.00</t>
  </si>
  <si>
    <t>48,000.00</t>
  </si>
  <si>
    <t>115,519.00</t>
  </si>
  <si>
    <t>999,921.22</t>
  </si>
  <si>
    <t>8,000,000.00</t>
  </si>
  <si>
    <t>355,540.75</t>
  </si>
  <si>
    <t>288,200.00</t>
  </si>
  <si>
    <t>4,990.00</t>
  </si>
  <si>
    <t>3,936,162.06</t>
  </si>
  <si>
    <t>14,699,999.91</t>
  </si>
  <si>
    <t>453,898.00</t>
  </si>
  <si>
    <t>99,100.00</t>
  </si>
  <si>
    <t>77,950.00</t>
  </si>
  <si>
    <t>1,799,998.88</t>
  </si>
  <si>
    <t>55,012.00</t>
  </si>
  <si>
    <t>2,722,782.00</t>
  </si>
  <si>
    <t>14,474,999.37</t>
  </si>
  <si>
    <t>88,566.00</t>
  </si>
  <si>
    <t>293,000.00</t>
  </si>
  <si>
    <t>1,064,000.00</t>
  </si>
  <si>
    <t>109,000.00</t>
  </si>
  <si>
    <t>342,000.00</t>
  </si>
  <si>
    <t>94,975.00</t>
  </si>
  <si>
    <t>202,700.00</t>
  </si>
  <si>
    <t>198,500.00</t>
  </si>
  <si>
    <t>111,992.00</t>
  </si>
  <si>
    <t>67,360.00</t>
  </si>
  <si>
    <t>116,952.52</t>
  </si>
  <si>
    <t>14,849,992.80</t>
  </si>
  <si>
    <t>119,100.00</t>
  </si>
  <si>
    <t>842,000.00</t>
  </si>
  <si>
    <t>19,812.00</t>
  </si>
  <si>
    <t>179,000.00</t>
  </si>
  <si>
    <t>96,600.00</t>
  </si>
  <si>
    <t>48,750.00</t>
  </si>
  <si>
    <t>132,985.13</t>
  </si>
  <si>
    <t>156,600.00</t>
  </si>
  <si>
    <t>9,060.00</t>
  </si>
  <si>
    <t>196,800.00</t>
  </si>
  <si>
    <t>399,434.25</t>
  </si>
  <si>
    <t>92,300.00</t>
  </si>
  <si>
    <t>77,575.00</t>
  </si>
  <si>
    <t>86,225.00</t>
  </si>
  <si>
    <t>4,030.00</t>
  </si>
  <si>
    <t>7,000,000.00</t>
  </si>
  <si>
    <t>169,490.00</t>
  </si>
  <si>
    <t>12,437,500.00</t>
  </si>
  <si>
    <t>153,742.00</t>
  </si>
  <si>
    <t>59,500.00</t>
  </si>
  <si>
    <t>383,363.73</t>
  </si>
  <si>
    <t>808,303.68</t>
  </si>
  <si>
    <t>198,999.45</t>
  </si>
  <si>
    <t>170,489.00</t>
  </si>
  <si>
    <t>22,680.00</t>
  </si>
  <si>
    <t>82,400.00</t>
  </si>
  <si>
    <t>850,000.00</t>
  </si>
  <si>
    <t>151,200.00</t>
  </si>
  <si>
    <t>1,300,000.00</t>
  </si>
  <si>
    <t>246,300.00</t>
  </si>
  <si>
    <t>65,678.25</t>
  </si>
  <si>
    <t>364,070.00</t>
  </si>
  <si>
    <t>121,210.00</t>
  </si>
  <si>
    <t>112,356.00</t>
  </si>
  <si>
    <t>6,300.00</t>
  </si>
  <si>
    <t>4,048,416.96</t>
  </si>
  <si>
    <t>312,000.00</t>
  </si>
  <si>
    <t>90,230.00</t>
  </si>
  <si>
    <t>230,625.00</t>
  </si>
  <si>
    <t>8,590.00</t>
  </si>
  <si>
    <t>70,570.00</t>
  </si>
  <si>
    <t>294,000.00</t>
  </si>
  <si>
    <t>2,670.00</t>
  </si>
  <si>
    <t>1,154,034.00</t>
  </si>
  <si>
    <t>141,000.00</t>
  </si>
  <si>
    <t>127,395.00</t>
  </si>
  <si>
    <t>9,347,878.71</t>
  </si>
  <si>
    <t>494,500.00</t>
  </si>
  <si>
    <t>99,946.00</t>
  </si>
  <si>
    <t>75,500.00</t>
  </si>
  <si>
    <t>119,960.00</t>
  </si>
  <si>
    <t>181,615.00</t>
  </si>
  <si>
    <t>1,484,718.76</t>
  </si>
  <si>
    <t>29,500.00</t>
  </si>
  <si>
    <t>1,550,000.00</t>
  </si>
  <si>
    <t>1,220,540.00</t>
  </si>
  <si>
    <t>7,100,107.07</t>
  </si>
  <si>
    <t>1,566,530.00</t>
  </si>
  <si>
    <t>304,000.00</t>
  </si>
  <si>
    <t>229,680.00</t>
  </si>
  <si>
    <t>489,888.00</t>
  </si>
  <si>
    <t>651,056.05</t>
  </si>
  <si>
    <t>140,940.00</t>
  </si>
  <si>
    <t>149,740.00</t>
  </si>
  <si>
    <t>4,000,000.00</t>
  </si>
  <si>
    <t>7,041,686.91</t>
  </si>
  <si>
    <t>63,071.72</t>
  </si>
  <si>
    <t>197,000.00</t>
  </si>
  <si>
    <t>8,503.00</t>
  </si>
  <si>
    <t>6,989,186.91</t>
  </si>
  <si>
    <t>150,938.00</t>
  </si>
  <si>
    <t>35,505.00</t>
  </si>
  <si>
    <t>81,916.00</t>
  </si>
  <si>
    <t>1,452,000.00</t>
  </si>
  <si>
    <t>157,500.00</t>
  </si>
  <si>
    <t>13,800.00</t>
  </si>
  <si>
    <t>164,000.00</t>
  </si>
  <si>
    <t>199,800.00</t>
  </si>
  <si>
    <t>129,900.00</t>
  </si>
  <si>
    <t>5,085,742.23</t>
  </si>
  <si>
    <t>7,690.00</t>
  </si>
  <si>
    <t>2,175,000.00</t>
  </si>
  <si>
    <t>199,600.00</t>
  </si>
  <si>
    <t>103,369.56</t>
  </si>
  <si>
    <t>14,700,000.00</t>
  </si>
  <si>
    <t>1,975,159.73</t>
  </si>
  <si>
    <t>127,703.84</t>
  </si>
  <si>
    <t>208,130.00</t>
  </si>
  <si>
    <t>13,700.00</t>
  </si>
  <si>
    <t>4,100.00</t>
  </si>
  <si>
    <t>61,330.00</t>
  </si>
  <si>
    <t>1,753,175.00</t>
  </si>
  <si>
    <t>470,385.00</t>
  </si>
  <si>
    <t>115,433.26</t>
  </si>
  <si>
    <t>373,697.20</t>
  </si>
  <si>
    <t>152,752.00</t>
  </si>
  <si>
    <t>50,034.43</t>
  </si>
  <si>
    <t>166,050.00</t>
  </si>
  <si>
    <t>8,017,817.34</t>
  </si>
  <si>
    <t>12,501.00</t>
  </si>
  <si>
    <t>158,900.00</t>
  </si>
  <si>
    <t>710,000.00</t>
  </si>
  <si>
    <t>416,811.97</t>
  </si>
  <si>
    <t>299,984.00</t>
  </si>
  <si>
    <t>10,860,000.00</t>
  </si>
  <si>
    <t>34,258,000.00</t>
  </si>
  <si>
    <t>294,236.00</t>
  </si>
  <si>
    <t>10,337,726.40</t>
  </si>
  <si>
    <t>31,941.00</t>
  </si>
  <si>
    <t>54,900.00</t>
  </si>
  <si>
    <t>3,920,510.71</t>
  </si>
  <si>
    <t>98,012.00</t>
  </si>
  <si>
    <t>4,013.40</t>
  </si>
  <si>
    <t>132,000.00</t>
  </si>
  <si>
    <t>428,700.00</t>
  </si>
  <si>
    <t>2,530,000.00</t>
  </si>
  <si>
    <t>2,470,000.00</t>
  </si>
  <si>
    <t>76,990.62</t>
  </si>
  <si>
    <t>158,200.00</t>
  </si>
  <si>
    <t>153,999.00</t>
  </si>
  <si>
    <t>30,010.00</t>
  </si>
  <si>
    <t>3,501.00</t>
  </si>
  <si>
    <t>998,118.73</t>
  </si>
  <si>
    <t>660,000.00</t>
  </si>
  <si>
    <t>79,340.00</t>
  </si>
  <si>
    <t>210,800.00</t>
  </si>
  <si>
    <t>142,983.00</t>
  </si>
  <si>
    <t>512,700.00</t>
  </si>
  <si>
    <t>70,800.00</t>
  </si>
  <si>
    <t>50,393.00</t>
  </si>
  <si>
    <t>964,061.00</t>
  </si>
  <si>
    <t>584,410.00</t>
  </si>
  <si>
    <t>2,052,343.75</t>
  </si>
  <si>
    <t>780,000.00</t>
  </si>
  <si>
    <t>61,800.00</t>
  </si>
  <si>
    <t>51,940.00</t>
  </si>
  <si>
    <t>253,950.00</t>
  </si>
  <si>
    <t>1,199,999.99</t>
  </si>
  <si>
    <t>95,680.00</t>
  </si>
  <si>
    <t>249,940.93</t>
  </si>
  <si>
    <t>673,460.83</t>
  </si>
  <si>
    <t>349,000.00</t>
  </si>
  <si>
    <t>241,045.00</t>
  </si>
  <si>
    <t>19,074,914.07</t>
  </si>
  <si>
    <t>61,850.00</t>
  </si>
  <si>
    <t>1,261,517.77</t>
  </si>
  <si>
    <t>3,999,994.24</t>
  </si>
  <si>
    <t>209,080.00</t>
  </si>
  <si>
    <t>2,997,068.11</t>
  </si>
  <si>
    <t>3,593,661.69</t>
  </si>
  <si>
    <t>75,750.00</t>
  </si>
  <si>
    <t>81,660.00</t>
  </si>
  <si>
    <t>20,287.50</t>
  </si>
  <si>
    <t>36,040.00</t>
  </si>
  <si>
    <t>430,269.78</t>
  </si>
  <si>
    <t>156,460.00</t>
  </si>
  <si>
    <t>5,486,250.00</t>
  </si>
  <si>
    <t>95,934.00</t>
  </si>
  <si>
    <t>128,100.00</t>
  </si>
  <si>
    <t>132,053.50</t>
  </si>
  <si>
    <t>258,893.18</t>
  </si>
  <si>
    <t>1,823,129.42</t>
  </si>
  <si>
    <t>89,657.12</t>
  </si>
  <si>
    <t>87,633.00</t>
  </si>
  <si>
    <t>368,400.00</t>
  </si>
  <si>
    <t>428,371.00</t>
  </si>
  <si>
    <t>76,000.00</t>
  </si>
  <si>
    <t>103,900.00</t>
  </si>
  <si>
    <t>350,033.75</t>
  </si>
  <si>
    <t>105,312.55</t>
  </si>
  <si>
    <t>108,900.00</t>
  </si>
  <si>
    <t>653,667.50</t>
  </si>
  <si>
    <t>342,469.57</t>
  </si>
  <si>
    <t>7,412,990.56</t>
  </si>
  <si>
    <t>308,450.40</t>
  </si>
  <si>
    <t>108,997.00</t>
  </si>
  <si>
    <t>89,974.92</t>
  </si>
  <si>
    <t>3,175,856.20</t>
  </si>
  <si>
    <t>177,430.46</t>
  </si>
  <si>
    <t>5,229,677.23</t>
  </si>
  <si>
    <t>228,810.00</t>
  </si>
  <si>
    <t>3,495,577.92</t>
  </si>
  <si>
    <t>269,750.00</t>
  </si>
  <si>
    <t>260,500.00</t>
  </si>
  <si>
    <t>189,690.00</t>
  </si>
  <si>
    <t>42,629.00</t>
  </si>
  <si>
    <t>39,700.00</t>
  </si>
  <si>
    <t>1,883,019.60</t>
  </si>
  <si>
    <t>169,500.00</t>
  </si>
  <si>
    <t>51,800.00</t>
  </si>
  <si>
    <t>94,370.00</t>
  </si>
  <si>
    <t>144,465.00</t>
  </si>
  <si>
    <t>73,100.00</t>
  </si>
  <si>
    <t>3,999,650.18</t>
  </si>
  <si>
    <t>81,609.40</t>
  </si>
  <si>
    <t>692,418.00</t>
  </si>
  <si>
    <t>53,900.00</t>
  </si>
  <si>
    <t>331,000.00</t>
  </si>
  <si>
    <t>221,600.00</t>
  </si>
  <si>
    <t>490,000.00</t>
  </si>
  <si>
    <t>11,830.00</t>
  </si>
  <si>
    <t>121,625.00</t>
  </si>
  <si>
    <t>936,128.00</t>
  </si>
  <si>
    <t>504,000.00</t>
  </si>
  <si>
    <t>171,140.00</t>
  </si>
  <si>
    <t>16,895.00</t>
  </si>
  <si>
    <t>78,780.00</t>
  </si>
  <si>
    <t>167,958.00</t>
  </si>
  <si>
    <t>1,999,999.98</t>
  </si>
  <si>
    <t>165,052.35</t>
  </si>
  <si>
    <t>7,863.00</t>
  </si>
  <si>
    <t>46,250.00</t>
  </si>
  <si>
    <t>1,553,142.57</t>
  </si>
  <si>
    <t>3,000.00</t>
  </si>
  <si>
    <t>350,290.11</t>
  </si>
  <si>
    <t>733,573.00</t>
  </si>
  <si>
    <t>72,305.00</t>
  </si>
  <si>
    <t>345,000.00</t>
  </si>
  <si>
    <t>148,650.00</t>
  </si>
  <si>
    <t>499,902.00</t>
  </si>
  <si>
    <t>2,660,000.00</t>
  </si>
  <si>
    <t>32,390.00</t>
  </si>
  <si>
    <t>182,050.00</t>
  </si>
  <si>
    <t>44,509,542.20</t>
  </si>
  <si>
    <t>2,516,880.00</t>
  </si>
  <si>
    <t>52,950.00</t>
  </si>
  <si>
    <t>191,340.00</t>
  </si>
  <si>
    <t>1,791,991.34</t>
  </si>
  <si>
    <t>62,450.00</t>
  </si>
  <si>
    <t>43,220.00</t>
  </si>
  <si>
    <t>948,000.00</t>
  </si>
  <si>
    <t>266,410.00</t>
  </si>
  <si>
    <t>59,850.00</t>
  </si>
  <si>
    <t>258,792.24</t>
  </si>
  <si>
    <t>356,400.00</t>
  </si>
  <si>
    <t>2,300,000.00</t>
  </si>
  <si>
    <t>9,578.00</t>
  </si>
  <si>
    <t>80,400.00</t>
  </si>
  <si>
    <t>137,500.00</t>
  </si>
  <si>
    <t>1,098,230.00</t>
  </si>
  <si>
    <t>7,009.00</t>
  </si>
  <si>
    <t>54,045.00</t>
  </si>
  <si>
    <t>237,691.30</t>
  </si>
  <si>
    <t>350,340.23</t>
  </si>
  <si>
    <t>5,880,000.00</t>
  </si>
  <si>
    <t>16,420.00</t>
  </si>
  <si>
    <t>351,967.50</t>
  </si>
  <si>
    <t>499,114.00</t>
  </si>
  <si>
    <t>109,875.00</t>
  </si>
  <si>
    <t>714,700.00</t>
  </si>
  <si>
    <t>65,688.00</t>
  </si>
  <si>
    <t>478,323.43</t>
  </si>
  <si>
    <t>3,920,000.00</t>
  </si>
  <si>
    <t>139,500.00</t>
  </si>
  <si>
    <t>51,660.00</t>
  </si>
  <si>
    <t>2,536,000.00</t>
  </si>
  <si>
    <t>176,985.39</t>
  </si>
  <si>
    <t>316,446.24</t>
  </si>
  <si>
    <t>985,850.00</t>
  </si>
  <si>
    <t>382,550.00</t>
  </si>
  <si>
    <t>162,100.00</t>
  </si>
  <si>
    <t>93,948.75</t>
  </si>
  <si>
    <t>950,000.00</t>
  </si>
  <si>
    <t>3,700.00</t>
  </si>
  <si>
    <t>1,025,746.00</t>
  </si>
  <si>
    <t>34,947.00</t>
  </si>
  <si>
    <t>105,103.00</t>
  </si>
  <si>
    <t>187,150.00</t>
  </si>
  <si>
    <t>58,006.00</t>
  </si>
  <si>
    <t>20,440.00</t>
  </si>
  <si>
    <t>1,330,000.00</t>
  </si>
  <si>
    <t>385,000.00</t>
  </si>
  <si>
    <t>14,014,000.00</t>
  </si>
  <si>
    <t>512,595.00</t>
  </si>
  <si>
    <t>595,193.00</t>
  </si>
  <si>
    <t>32,500.00</t>
  </si>
  <si>
    <t>689,377.00</t>
  </si>
  <si>
    <t>59,496.00</t>
  </si>
  <si>
    <t>119,258.00</t>
  </si>
  <si>
    <t>2,212,000.00</t>
  </si>
  <si>
    <t>394,300.53</t>
  </si>
  <si>
    <t>23,660.00</t>
  </si>
  <si>
    <t>116,500.00</t>
  </si>
  <si>
    <t>992,000.00</t>
  </si>
  <si>
    <t>3,120.00</t>
  </si>
  <si>
    <t>752,790.00</t>
  </si>
  <si>
    <t>259,530.00</t>
  </si>
  <si>
    <t>245,130.00</t>
  </si>
  <si>
    <t>99,860.00</t>
  </si>
  <si>
    <t>128,000.00</t>
  </si>
  <si>
    <t>186,555.00</t>
  </si>
  <si>
    <t>382,672.00</t>
  </si>
  <si>
    <t>166,053.50</t>
  </si>
  <si>
    <t>975,550.00</t>
  </si>
  <si>
    <t>9,518.32</t>
  </si>
  <si>
    <t>9,476,250.00</t>
  </si>
  <si>
    <t>79,718,460.00</t>
  </si>
  <si>
    <t>14,850.00</t>
  </si>
  <si>
    <t>2,230,240.00</t>
  </si>
  <si>
    <t>14,999,104.02</t>
  </si>
  <si>
    <t>35,374.00</t>
  </si>
  <si>
    <t>178,758.00</t>
  </si>
  <si>
    <t>329,459.82</t>
  </si>
  <si>
    <t>437,500.00</t>
  </si>
  <si>
    <t>11,200.00</t>
  </si>
  <si>
    <t>63,598.00</t>
  </si>
  <si>
    <t>2,186,042.37</t>
  </si>
  <si>
    <t>2,152,209.00</t>
  </si>
  <si>
    <t>423,129.33</t>
  </si>
  <si>
    <t>247,800.00</t>
  </si>
  <si>
    <t>4,578,255.00</t>
  </si>
  <si>
    <t>78,677.81</t>
  </si>
  <si>
    <t>3,883,129.00</t>
  </si>
  <si>
    <t>147,580.00</t>
  </si>
  <si>
    <t>30,800.00</t>
  </si>
  <si>
    <t>1,320.00</t>
  </si>
  <si>
    <t>435,673.14</t>
  </si>
  <si>
    <t>2,750,000.00</t>
  </si>
  <si>
    <t>175,000.00</t>
  </si>
  <si>
    <t>72,470.00</t>
  </si>
  <si>
    <t>155,408.00</t>
  </si>
  <si>
    <t>314,025.00</t>
  </si>
  <si>
    <t>53,670.00</t>
  </si>
  <si>
    <t>62,200.00</t>
  </si>
  <si>
    <t>2,707,000.00</t>
  </si>
  <si>
    <t>3,430,000.00</t>
  </si>
  <si>
    <t>1,998,000.00</t>
  </si>
  <si>
    <t>89,700.00</t>
  </si>
  <si>
    <t>2,081,200.00</t>
  </si>
  <si>
    <t>145,750.00</t>
  </si>
  <si>
    <t>109,352.34</t>
  </si>
  <si>
    <t>26,960,516.00</t>
  </si>
  <si>
    <t>381,120.90</t>
  </si>
  <si>
    <t>22,123.50</t>
  </si>
  <si>
    <t>216,556.20</t>
  </si>
  <si>
    <t>569,500.00</t>
  </si>
  <si>
    <t>634,065.00</t>
  </si>
  <si>
    <t>230,285.00</t>
  </si>
  <si>
    <t>726,899.93</t>
  </si>
  <si>
    <t>97,500.00</t>
  </si>
  <si>
    <t>3,700,000.00</t>
  </si>
  <si>
    <t>89,831.00</t>
  </si>
  <si>
    <t>633,969.00</t>
  </si>
  <si>
    <t>2,200.00</t>
  </si>
  <si>
    <t>250,426.00</t>
  </si>
  <si>
    <t>259,729.00</t>
  </si>
  <si>
    <t>227,400.00</t>
  </si>
  <si>
    <t>525,150.39</t>
  </si>
  <si>
    <t>54,601.00</t>
  </si>
  <si>
    <t>131,250.00</t>
  </si>
  <si>
    <t>387,270.00</t>
  </si>
  <si>
    <t>996,400.00</t>
  </si>
  <si>
    <t>47,753,184.80</t>
  </si>
  <si>
    <t>74,210.00</t>
  </si>
  <si>
    <t>83,350.00</t>
  </si>
  <si>
    <t>10,331.00</t>
  </si>
  <si>
    <t>228,000.00</t>
  </si>
  <si>
    <t>260,588.80</t>
  </si>
  <si>
    <t>229,052.00</t>
  </si>
  <si>
    <t>79,315.00</t>
  </si>
  <si>
    <t>8,225.00</t>
  </si>
  <si>
    <t>108,800.00</t>
  </si>
  <si>
    <t>1,261,628.00</t>
  </si>
  <si>
    <t>387,500.00</t>
  </si>
  <si>
    <t>75,250.00</t>
  </si>
  <si>
    <t>132,020.00</t>
  </si>
  <si>
    <t>11,855.00</t>
  </si>
  <si>
    <t>146,000.00</t>
  </si>
  <si>
    <t>4,688,250.00</t>
  </si>
  <si>
    <t>176,910.00</t>
  </si>
  <si>
    <t>109,914.00</t>
  </si>
  <si>
    <t>720,000.00</t>
  </si>
  <si>
    <t>86,155.00</t>
  </si>
  <si>
    <t>692,000.00</t>
  </si>
  <si>
    <t>116,552.17</t>
  </si>
  <si>
    <t>37,160.00</t>
  </si>
  <si>
    <t>17,670.00</t>
  </si>
  <si>
    <t>152,500.00</t>
  </si>
  <si>
    <t>173,160.00</t>
  </si>
  <si>
    <t>508,000.00</t>
  </si>
  <si>
    <t>29,018.40</t>
  </si>
  <si>
    <t>472,200.00</t>
  </si>
  <si>
    <t>241,355.00</t>
  </si>
  <si>
    <t>106,800.00</t>
  </si>
  <si>
    <t>109,525.00</t>
  </si>
  <si>
    <t>865,449.00</t>
  </si>
  <si>
    <t>59,870.00</t>
  </si>
  <si>
    <t>14,918.00</t>
  </si>
  <si>
    <t>76,150.00</t>
  </si>
  <si>
    <t>5,650.00</t>
  </si>
  <si>
    <t>248,969.72</t>
  </si>
  <si>
    <t>116,357.20</t>
  </si>
  <si>
    <t>13,815.00</t>
  </si>
  <si>
    <t>176,191.07</t>
  </si>
  <si>
    <t>146,500.00</t>
  </si>
  <si>
    <t>674,900.00</t>
  </si>
  <si>
    <t>877,500.00</t>
  </si>
  <si>
    <t>2,550.00</t>
  </si>
  <si>
    <t>123,200.00</t>
  </si>
  <si>
    <t>80,200.00</t>
  </si>
  <si>
    <t>9,900.00</t>
  </si>
  <si>
    <t>130,040.00</t>
  </si>
  <si>
    <t>49,417.00</t>
  </si>
  <si>
    <t>696,611.13</t>
  </si>
  <si>
    <t>119,200.00</t>
  </si>
  <si>
    <t>117,165.00</t>
  </si>
  <si>
    <t>97,734.00</t>
  </si>
  <si>
    <t>811,031.50</t>
  </si>
  <si>
    <t>252,635.00</t>
  </si>
  <si>
    <t>23,550.00</t>
  </si>
  <si>
    <t>291,006.00</t>
  </si>
  <si>
    <t>211,710.00</t>
  </si>
  <si>
    <t>225,033.00</t>
  </si>
  <si>
    <t>159,550.00</t>
  </si>
  <si>
    <t>117,200.00</t>
  </si>
  <si>
    <t>27,375.00</t>
  </si>
  <si>
    <t>385,736.00</t>
  </si>
  <si>
    <t>81,368.00</t>
  </si>
  <si>
    <t>10,800.00</t>
  </si>
  <si>
    <t>53,500.00</t>
  </si>
  <si>
    <t>562,002.00</t>
  </si>
  <si>
    <t>284,960.00</t>
  </si>
  <si>
    <t>3,780.00</t>
  </si>
  <si>
    <t>131,600.00</t>
  </si>
  <si>
    <t>77,070.00</t>
  </si>
  <si>
    <t>436,250.00</t>
  </si>
  <si>
    <t>910,000.00</t>
  </si>
  <si>
    <t>190,500.00</t>
  </si>
  <si>
    <t>722,598.00</t>
  </si>
  <si>
    <t>59,370.00</t>
  </si>
  <si>
    <t>86,461.00</t>
  </si>
  <si>
    <t>49,546.00</t>
  </si>
  <si>
    <t>95,400.00</t>
  </si>
  <si>
    <t>54,300.00</t>
  </si>
  <si>
    <t>2,295,189.00</t>
  </si>
  <si>
    <t>442,500.00</t>
  </si>
  <si>
    <t>89,000.00</t>
  </si>
  <si>
    <t>95,458.00</t>
  </si>
  <si>
    <t>602,000.00</t>
  </si>
  <si>
    <t>451,161.00</t>
  </si>
  <si>
    <t>5,458.50</t>
  </si>
  <si>
    <t>83,600.00</t>
  </si>
  <si>
    <t>153,970.00</t>
  </si>
  <si>
    <t>884,583.00</t>
  </si>
  <si>
    <t>3,400.00</t>
  </si>
  <si>
    <t>4,801.00</t>
  </si>
  <si>
    <t>996,000.00</t>
  </si>
  <si>
    <t>137,200.00</t>
  </si>
  <si>
    <t>1,099,595.00</t>
  </si>
  <si>
    <t>13,250.00</t>
  </si>
  <si>
    <t>10,000,000.00</t>
  </si>
  <si>
    <t>65,038.36</t>
  </si>
  <si>
    <t>27,834.00</t>
  </si>
  <si>
    <t>732,168.84</t>
  </si>
  <si>
    <t>205,700.00</t>
  </si>
  <si>
    <t>521,400.00</t>
  </si>
  <si>
    <t>201,240.00</t>
  </si>
  <si>
    <t>175,835.00</t>
  </si>
  <si>
    <t>1,396,345.00</t>
  </si>
  <si>
    <t>500,261.00</t>
  </si>
  <si>
    <t>73,116.67</t>
  </si>
  <si>
    <t>218,694.00</t>
  </si>
  <si>
    <t>178,500.00</t>
  </si>
  <si>
    <t>507,150.00</t>
  </si>
  <si>
    <t>19,755.00</t>
  </si>
  <si>
    <t>52,640.00</t>
  </si>
  <si>
    <t>81,732.00</t>
  </si>
  <si>
    <t>12,971.00</t>
  </si>
  <si>
    <t>101,040.00</t>
  </si>
  <si>
    <t>123,500.00</t>
  </si>
  <si>
    <t>255,000.00</t>
  </si>
  <si>
    <t>119,600.00</t>
  </si>
  <si>
    <t>196,000.00</t>
  </si>
  <si>
    <t>408,840.00</t>
  </si>
  <si>
    <t>227,500.00</t>
  </si>
  <si>
    <t>24,833.00</t>
  </si>
  <si>
    <t>114,965.00</t>
  </si>
  <si>
    <t>81,600.00</t>
  </si>
  <si>
    <t>114,973.29</t>
  </si>
  <si>
    <t>494,846.00</t>
  </si>
  <si>
    <t>140,500.00</t>
  </si>
  <si>
    <t>164,950.00</t>
  </si>
  <si>
    <t>4,729,963.27</t>
  </si>
  <si>
    <t>60,100.00</t>
  </si>
  <si>
    <t>224,530.00</t>
  </si>
  <si>
    <t>344,000.00</t>
  </si>
  <si>
    <t>47,885.00</t>
  </si>
  <si>
    <t>318,532.00</t>
  </si>
  <si>
    <t>249,951.00</t>
  </si>
  <si>
    <t>153,237.50</t>
  </si>
  <si>
    <t>365,210.00</t>
  </si>
  <si>
    <t>563,125.00</t>
  </si>
  <si>
    <t>86,600.00</t>
  </si>
  <si>
    <t>21,419.00</t>
  </si>
  <si>
    <t>232,827.00</t>
  </si>
  <si>
    <t>384,250.00</t>
  </si>
  <si>
    <t>219,500.00</t>
  </si>
  <si>
    <t>162,400.00</t>
  </si>
  <si>
    <t>463,500.00</t>
  </si>
  <si>
    <t>468,970.86</t>
  </si>
  <si>
    <t>296,961.00</t>
  </si>
  <si>
    <t>101,977.40</t>
  </si>
  <si>
    <t>168,409.50</t>
  </si>
  <si>
    <t>6,200,000.00</t>
  </si>
  <si>
    <t>237,355.00</t>
  </si>
  <si>
    <t>1,420,000.00</t>
  </si>
  <si>
    <t>579,000.00</t>
  </si>
  <si>
    <t>404,180.00</t>
  </si>
  <si>
    <t>5,820.00</t>
  </si>
  <si>
    <t>145,590.00</t>
  </si>
  <si>
    <t>61,830.36</t>
  </si>
  <si>
    <t>931,731.72</t>
  </si>
  <si>
    <t>39,295.00</t>
  </si>
  <si>
    <t>50,037.00</t>
  </si>
  <si>
    <t>12,975.80</t>
  </si>
  <si>
    <t>369,153.83</t>
  </si>
  <si>
    <t>58,960.00</t>
  </si>
  <si>
    <t>730,441.00</t>
  </si>
  <si>
    <t>8,569.00</t>
  </si>
  <si>
    <t>57,500.00</t>
  </si>
  <si>
    <t>1,228,975.00</t>
  </si>
  <si>
    <t>960,484.00</t>
  </si>
  <si>
    <t>199,970.00</t>
  </si>
  <si>
    <t>154,150.00</t>
  </si>
  <si>
    <t>424,769.39</t>
  </si>
  <si>
    <t>201,096.00</t>
  </si>
  <si>
    <t>1,210,000.00</t>
  </si>
  <si>
    <t>7,994,000.00</t>
  </si>
  <si>
    <t>281,395.00</t>
  </si>
  <si>
    <t>4,900.00</t>
  </si>
  <si>
    <t>352,400.00</t>
  </si>
  <si>
    <t>899,333.33</t>
  </si>
  <si>
    <t>122,250.00</t>
  </si>
  <si>
    <t>107,310.00</t>
  </si>
  <si>
    <t>70,305.00</t>
  </si>
  <si>
    <t>19,070.00</t>
  </si>
  <si>
    <t>64,252.00</t>
  </si>
  <si>
    <t>302,097.60</t>
  </si>
  <si>
    <t>111,150.00</t>
  </si>
  <si>
    <t>12,150.00</t>
  </si>
  <si>
    <t>112,250.00</t>
  </si>
  <si>
    <t>96,010.00</t>
  </si>
  <si>
    <t>12,600.00</t>
  </si>
  <si>
    <t>181,356.80</t>
  </si>
  <si>
    <t>1,199,792.77</t>
  </si>
  <si>
    <t>1,720,000.00</t>
  </si>
  <si>
    <t>4,600.00</t>
  </si>
  <si>
    <t>1,959,998.26</t>
  </si>
  <si>
    <t>5,966,240.00</t>
  </si>
  <si>
    <t>14,369.00</t>
  </si>
  <si>
    <t>7,100,000.00</t>
  </si>
  <si>
    <t>11,100.00</t>
  </si>
  <si>
    <t>2,504,000.00</t>
  </si>
  <si>
    <t>211,480.00</t>
  </si>
  <si>
    <t>60,740.00</t>
  </si>
  <si>
    <t>52,630.00</t>
  </si>
  <si>
    <t>76,868.19</t>
  </si>
  <si>
    <t>579,158.03</t>
  </si>
  <si>
    <t>170,925.00</t>
  </si>
  <si>
    <t>150,800.00</t>
  </si>
  <si>
    <t>471,205.73</t>
  </si>
  <si>
    <t>213,755.00</t>
  </si>
  <si>
    <t>438,500.00</t>
  </si>
  <si>
    <t>148,925.00</t>
  </si>
  <si>
    <t>115,050.00</t>
  </si>
  <si>
    <t>86,865.00</t>
  </si>
  <si>
    <t>825,000.00</t>
  </si>
  <si>
    <t>95,327.00</t>
  </si>
  <si>
    <t>10,300.00</t>
  </si>
  <si>
    <t>15,610.01</t>
  </si>
  <si>
    <t>387,875.00</t>
  </si>
  <si>
    <t>136,138.00</t>
  </si>
  <si>
    <t>18,519.00</t>
  </si>
  <si>
    <t>230,165.00</t>
  </si>
  <si>
    <t>113,783.50</t>
  </si>
  <si>
    <t>188,600.00</t>
  </si>
  <si>
    <t>205,110.00</t>
  </si>
  <si>
    <t>364,469.00</t>
  </si>
  <si>
    <t>291,000.00</t>
  </si>
  <si>
    <t>2,366,771.54</t>
  </si>
  <si>
    <t>489,850.00</t>
  </si>
  <si>
    <t>1,215,000.00</t>
  </si>
  <si>
    <t>132,720.00</t>
  </si>
  <si>
    <t>1,382,440.55</t>
  </si>
  <si>
    <t>66,110.00</t>
  </si>
  <si>
    <t>321,200.00</t>
  </si>
  <si>
    <t>79,107.00</t>
  </si>
  <si>
    <t>79,264.00</t>
  </si>
  <si>
    <t>31,857.00</t>
  </si>
  <si>
    <t>322,000.00</t>
  </si>
  <si>
    <t>74,315.00</t>
  </si>
  <si>
    <t>53,075,000.00</t>
  </si>
  <si>
    <t>1,920.00</t>
  </si>
  <si>
    <t>53,690.00</t>
  </si>
  <si>
    <t>344,960.00</t>
  </si>
  <si>
    <t>7,290,000.00</t>
  </si>
  <si>
    <t>7,998,571.42</t>
  </si>
  <si>
    <t>212,336.00</t>
  </si>
  <si>
    <t>526,552.00</t>
  </si>
  <si>
    <t>204,600.00</t>
  </si>
  <si>
    <t>9,534,305.00</t>
  </si>
  <si>
    <t>69,570.00</t>
  </si>
  <si>
    <t>2,408,967.90</t>
  </si>
  <si>
    <t>3,080.00</t>
  </si>
  <si>
    <t>49,000.00</t>
  </si>
  <si>
    <t>14,850,000.00</t>
  </si>
  <si>
    <t>595,200.00</t>
  </si>
  <si>
    <t>65,500.00</t>
  </si>
  <si>
    <t>346,900.00</t>
  </si>
  <si>
    <t>134,500.00</t>
  </si>
  <si>
    <t>296,236.00</t>
  </si>
  <si>
    <t>43,339.00</t>
  </si>
  <si>
    <t>336,154.00</t>
  </si>
  <si>
    <t>1,310,400.00</t>
  </si>
  <si>
    <t>17,330.00</t>
  </si>
  <si>
    <t>85,410.00</t>
  </si>
  <si>
    <t>6,999,255.86</t>
  </si>
  <si>
    <t>59,375.00</t>
  </si>
  <si>
    <t>94,440.00</t>
  </si>
  <si>
    <t>1,875,000.00</t>
  </si>
  <si>
    <t>124,122.40</t>
  </si>
  <si>
    <t>1,235,604.44</t>
  </si>
  <si>
    <t>109,948.00</t>
  </si>
  <si>
    <t>64,890.00</t>
  </si>
  <si>
    <t>506,260.00</t>
  </si>
  <si>
    <t>324,615.00</t>
  </si>
  <si>
    <t>1,175,000.00</t>
  </si>
  <si>
    <t>260,988.00</t>
  </si>
  <si>
    <t>167,300.00</t>
  </si>
  <si>
    <t>36,700.00</t>
  </si>
  <si>
    <t>999,673.52</t>
  </si>
  <si>
    <t>162,427.20</t>
  </si>
  <si>
    <t>152,160.00</t>
  </si>
  <si>
    <t>70,155.00</t>
  </si>
  <si>
    <t>61,842.00</t>
  </si>
  <si>
    <t>232,875.00</t>
  </si>
  <si>
    <t>90,120.00</t>
  </si>
  <si>
    <t>2,418,000.00</t>
  </si>
  <si>
    <t>203,000.00</t>
  </si>
  <si>
    <t>183,320.00</t>
  </si>
  <si>
    <t>127,450.00</t>
  </si>
  <si>
    <t>57,044.00</t>
  </si>
  <si>
    <t>3,560.00</t>
  </si>
  <si>
    <t>106,500.00</t>
  </si>
  <si>
    <t>108,332.25</t>
  </si>
  <si>
    <t>360,200.00</t>
  </si>
  <si>
    <t>9,998,886.63</t>
  </si>
  <si>
    <t>217,844.00</t>
  </si>
  <si>
    <t>5,595.00</t>
  </si>
  <si>
    <t>158,970.00</t>
  </si>
  <si>
    <t>812,206.00</t>
  </si>
  <si>
    <t>9,996,255.36</t>
  </si>
  <si>
    <t>147,686.00</t>
  </si>
  <si>
    <t>174,000.00</t>
  </si>
  <si>
    <t>5,300,000.00</t>
  </si>
  <si>
    <t>458,298.00</t>
  </si>
  <si>
    <t>1,326,210.05</t>
  </si>
  <si>
    <t>93,625.00</t>
  </si>
  <si>
    <t>3,999,763.00</t>
  </si>
  <si>
    <t>118,200.00</t>
  </si>
  <si>
    <t>40,500.00</t>
  </si>
  <si>
    <t>172,898.00</t>
  </si>
  <si>
    <t>124,800.00</t>
  </si>
  <si>
    <t>9,800,000.00</t>
  </si>
  <si>
    <t>367,580.00</t>
  </si>
  <si>
    <t>186,700.00</t>
  </si>
  <si>
    <t>242,809.00</t>
  </si>
  <si>
    <t>2,800,000.00</t>
  </si>
  <si>
    <t>502,000.00</t>
  </si>
  <si>
    <t>839,000.00</t>
  </si>
  <si>
    <t>369,500.00</t>
  </si>
  <si>
    <t>325,000.00</t>
  </si>
  <si>
    <t>254,139.60</t>
  </si>
  <si>
    <t>108,886.00</t>
  </si>
  <si>
    <t>900,857.70</t>
  </si>
  <si>
    <t>60,200.00</t>
  </si>
  <si>
    <t>182,098.04</t>
  </si>
  <si>
    <t>31,500.00</t>
  </si>
  <si>
    <t>16,660,000.00</t>
  </si>
  <si>
    <t>4,608,342.60</t>
  </si>
  <si>
    <t>179,921.58</t>
  </si>
  <si>
    <t>19,200.00</t>
  </si>
  <si>
    <t>82,130.00</t>
  </si>
  <si>
    <t>115,950.00</t>
  </si>
  <si>
    <t>55,200.00</t>
  </si>
  <si>
    <t>17,640,000.00</t>
  </si>
  <si>
    <t>3,256,545.14</t>
  </si>
  <si>
    <t>686,000.00</t>
  </si>
  <si>
    <t>19,920,658.80</t>
  </si>
  <si>
    <t>44,600.00</t>
  </si>
  <si>
    <t>54,710.00</t>
  </si>
  <si>
    <t>52,805.50</t>
  </si>
  <si>
    <t>79,999,999.99</t>
  </si>
  <si>
    <t>61,590.00</t>
  </si>
  <si>
    <t>186,000.00</t>
  </si>
  <si>
    <t>133,500.00</t>
  </si>
  <si>
    <t>1,200,100.00</t>
  </si>
  <si>
    <t>108,440.00</t>
  </si>
  <si>
    <t>137,700.00</t>
  </si>
  <si>
    <t>252,849.81</t>
  </si>
  <si>
    <t>76,125.00</t>
  </si>
  <si>
    <t>798,841.00</t>
  </si>
  <si>
    <t>59,900.00</t>
  </si>
  <si>
    <t>76,292.00</t>
  </si>
  <si>
    <t>798,000.00</t>
  </si>
  <si>
    <t>158,362.40</t>
  </si>
  <si>
    <t>208,000.00</t>
  </si>
  <si>
    <t>2,214,478.26</t>
  </si>
  <si>
    <t>83,700.00</t>
  </si>
  <si>
    <t>489,635.00</t>
  </si>
  <si>
    <t>491,000.00</t>
  </si>
  <si>
    <t>21,080.00</t>
  </si>
  <si>
    <t>69,600.00</t>
  </si>
  <si>
    <t>20,920.00</t>
  </si>
  <si>
    <t>996,187.50</t>
  </si>
  <si>
    <t>252,983.91</t>
  </si>
  <si>
    <t>179,488.40</t>
  </si>
  <si>
    <t>196,770.00</t>
  </si>
  <si>
    <t>109,920.00</t>
  </si>
  <si>
    <t>70,290.00</t>
  </si>
  <si>
    <t>4,719,290.65</t>
  </si>
  <si>
    <t>159,870.00</t>
  </si>
  <si>
    <t>179,850.00</t>
  </si>
  <si>
    <t>70,229.80</t>
  </si>
  <si>
    <t>1,025,641.31</t>
  </si>
  <si>
    <t>66,460.00</t>
  </si>
  <si>
    <t>24,985.00</t>
  </si>
  <si>
    <t>122,518.00</t>
  </si>
  <si>
    <t>76,800.00</t>
  </si>
  <si>
    <t>69,560.00</t>
  </si>
  <si>
    <t>1,232,550.00</t>
  </si>
  <si>
    <t>108,730.00</t>
  </si>
  <si>
    <t>133,600.00</t>
  </si>
  <si>
    <t>55,780.00</t>
  </si>
  <si>
    <t>3,924,780.46</t>
  </si>
  <si>
    <t>127,000.00</t>
  </si>
  <si>
    <t>64,611.20</t>
  </si>
  <si>
    <t>376,689.24</t>
  </si>
  <si>
    <t>29,363.68</t>
  </si>
  <si>
    <t>168,675.00</t>
  </si>
  <si>
    <t>26,785.00</t>
  </si>
  <si>
    <t>72,300.00</t>
  </si>
  <si>
    <t>61,160.00</t>
  </si>
  <si>
    <t>18,810,000.00</t>
  </si>
  <si>
    <t>63,950.00</t>
  </si>
  <si>
    <t>68,448.00</t>
  </si>
  <si>
    <t>92,682.00</t>
  </si>
  <si>
    <t>3,507,323.31</t>
  </si>
  <si>
    <t>999,400.00</t>
  </si>
  <si>
    <t>499,812.25</t>
  </si>
  <si>
    <t>751,000.00</t>
  </si>
  <si>
    <t>34,459.00</t>
  </si>
  <si>
    <t>598,250.00</t>
  </si>
  <si>
    <t>2,975,634.03</t>
  </si>
  <si>
    <t>146,050.00</t>
  </si>
  <si>
    <t>398,343.90</t>
  </si>
  <si>
    <t>493,547.31</t>
  </si>
  <si>
    <t>925,750.00</t>
  </si>
  <si>
    <t>87,861.00</t>
  </si>
  <si>
    <t>1,930,000.00</t>
  </si>
  <si>
    <t>438,078.18</t>
  </si>
  <si>
    <t>114,218.00</t>
  </si>
  <si>
    <t>1,189,020.00</t>
  </si>
  <si>
    <t>199,940.00</t>
  </si>
  <si>
    <t>17,948,700.00</t>
  </si>
  <si>
    <t>716,000.00</t>
  </si>
  <si>
    <t>84,500.00</t>
  </si>
  <si>
    <t>19,800,000.00</t>
  </si>
  <si>
    <t>154,320.32</t>
  </si>
  <si>
    <t>16,000,000.00</t>
  </si>
  <si>
    <t>98,875.00</t>
  </si>
  <si>
    <t>77,419.57</t>
  </si>
  <si>
    <t>3,148,509.00</t>
  </si>
  <si>
    <t>404,032.00</t>
  </si>
  <si>
    <t>269,960.00</t>
  </si>
  <si>
    <t>79,273.00</t>
  </si>
  <si>
    <t>1,131,423.43</t>
  </si>
  <si>
    <t>3,286,800.00</t>
  </si>
  <si>
    <t>70,630.00</t>
  </si>
  <si>
    <t>66,907.00</t>
  </si>
  <si>
    <t>641,350.00</t>
  </si>
  <si>
    <t>734,700.00</t>
  </si>
  <si>
    <t>17,540.00</t>
  </si>
  <si>
    <t>180,200.00</t>
  </si>
  <si>
    <t>380,000.00</t>
  </si>
  <si>
    <t>1,499,745.38</t>
  </si>
  <si>
    <t>69,040.00</t>
  </si>
  <si>
    <t>56,480.00</t>
  </si>
  <si>
    <t>267,135.74</t>
  </si>
  <si>
    <t>11,300.00</t>
  </si>
  <si>
    <t>1,786.02</t>
  </si>
  <si>
    <t>87,000.00</t>
  </si>
  <si>
    <t>169,818.00</t>
  </si>
  <si>
    <t>275,350.00</t>
  </si>
  <si>
    <t>504,510.00</t>
  </si>
  <si>
    <t>975,000.00</t>
  </si>
  <si>
    <t>418,000.00</t>
  </si>
  <si>
    <t>46,463.00</t>
  </si>
  <si>
    <t>86,590.00</t>
  </si>
  <si>
    <t>499,500.65</t>
  </si>
  <si>
    <t>78,500.00</t>
  </si>
  <si>
    <t>13,660.00</t>
  </si>
  <si>
    <t>142,160.00</t>
  </si>
  <si>
    <t>5,838,976.51</t>
  </si>
  <si>
    <t>94,999.00</t>
  </si>
  <si>
    <t>52,954.65</t>
  </si>
  <si>
    <t>1,470,000.00</t>
  </si>
  <si>
    <t>239,620.89</t>
  </si>
  <si>
    <t>5,902,845.18</t>
  </si>
  <si>
    <t>44,324.50</t>
  </si>
  <si>
    <t>61,520.00</t>
  </si>
  <si>
    <t>90.00</t>
  </si>
  <si>
    <t>116,156.66</t>
  </si>
  <si>
    <t>62,139.00</t>
  </si>
  <si>
    <t>709,273.43</t>
  </si>
  <si>
    <t>499,959.79</t>
  </si>
  <si>
    <t>84,032.00</t>
  </si>
  <si>
    <t>470,775.00</t>
  </si>
  <si>
    <t>184,550.00</t>
  </si>
  <si>
    <t>10,880.00</t>
  </si>
  <si>
    <t>53,300.00</t>
  </si>
  <si>
    <t>235,293.60</t>
  </si>
  <si>
    <t>20,384,000.00</t>
  </si>
  <si>
    <t>621,200.00</t>
  </si>
  <si>
    <t>56,666.00</t>
  </si>
  <si>
    <t>242,628.00</t>
  </si>
  <si>
    <t>24,210,499.00</t>
  </si>
  <si>
    <t>5,363,975.36</t>
  </si>
  <si>
    <t>1,478,000.00</t>
  </si>
  <si>
    <t>157,672.00</t>
  </si>
  <si>
    <t>499,500.00</t>
  </si>
  <si>
    <t>12,125.00</t>
  </si>
  <si>
    <t>1,022,154.82</t>
  </si>
  <si>
    <t>161,280.00</t>
  </si>
  <si>
    <t>3,610.00</t>
  </si>
  <si>
    <t>36,260,000.00</t>
  </si>
  <si>
    <t>567,206.64</t>
  </si>
  <si>
    <t>204,550.00</t>
  </si>
  <si>
    <t>67,700.00</t>
  </si>
  <si>
    <t>140,888.00</t>
  </si>
  <si>
    <t>86,663.00</t>
  </si>
  <si>
    <t>229,500.00</t>
  </si>
  <si>
    <t>19,600,000.00</t>
  </si>
  <si>
    <t>283,135.22</t>
  </si>
  <si>
    <t>91,910.00</t>
  </si>
  <si>
    <t>78,870.00</t>
  </si>
  <si>
    <t>58,070.00</t>
  </si>
  <si>
    <t>480,000.00</t>
  </si>
  <si>
    <t>76,852.00</t>
  </si>
  <si>
    <t>90,460.00</t>
  </si>
  <si>
    <t>618,657.00</t>
  </si>
  <si>
    <t>109,677.00</t>
  </si>
  <si>
    <t>317,500.00</t>
  </si>
  <si>
    <t>76,500.00</t>
  </si>
  <si>
    <t>105,317.00</t>
  </si>
  <si>
    <t>6,857,277.18</t>
  </si>
  <si>
    <t>144,100.00</t>
  </si>
  <si>
    <t>55,875.00</t>
  </si>
  <si>
    <t>597,403.50</t>
  </si>
  <si>
    <t>181,500.00</t>
  </si>
  <si>
    <t>16,600,739.44</t>
  </si>
  <si>
    <t>892,700.20</t>
  </si>
  <si>
    <t>63,686.00</t>
  </si>
  <si>
    <t>70,575.00</t>
  </si>
  <si>
    <t>9,998,212.42</t>
  </si>
  <si>
    <t>620,265.00</t>
  </si>
  <si>
    <t>94,400.00</t>
  </si>
  <si>
    <t>250,042.00</t>
  </si>
  <si>
    <t>74,983.00</t>
  </si>
  <si>
    <t>814,000.00</t>
  </si>
  <si>
    <t>1,808,180.00</t>
  </si>
  <si>
    <t>4,799.00</t>
  </si>
  <si>
    <t>364,000.00</t>
  </si>
  <si>
    <t>62,220.00</t>
  </si>
  <si>
    <t>85,600.00</t>
  </si>
  <si>
    <t>9,100,000.00</t>
  </si>
  <si>
    <t>144,417.20</t>
  </si>
  <si>
    <t>294,300.00</t>
  </si>
  <si>
    <t>5,350.00</t>
  </si>
  <si>
    <t>62,920.00</t>
  </si>
  <si>
    <t>245,388.00</t>
  </si>
  <si>
    <t>2,580,048.21</t>
  </si>
  <si>
    <t>719,132.40</t>
  </si>
  <si>
    <t>253,430.00</t>
  </si>
  <si>
    <t>188,115.00</t>
  </si>
  <si>
    <t>63,945.00</t>
  </si>
  <si>
    <t>82,000.00</t>
  </si>
  <si>
    <t>249,990.00</t>
  </si>
  <si>
    <t>100,650.00</t>
  </si>
  <si>
    <t>2,998,050.00</t>
  </si>
  <si>
    <t>180,212.00</t>
  </si>
  <si>
    <t>477,245.00</t>
  </si>
  <si>
    <t>130,394.01</t>
  </si>
  <si>
    <t>67,825.00</t>
  </si>
  <si>
    <t>59,400,000.00</t>
  </si>
  <si>
    <t>76,450.00</t>
  </si>
  <si>
    <t>131,000.00</t>
  </si>
  <si>
    <t>5,315,058.39</t>
  </si>
  <si>
    <t>298,000.00</t>
  </si>
  <si>
    <t>42,328.00</t>
  </si>
  <si>
    <t>51,114,017.10</t>
  </si>
  <si>
    <t>399,013.59</t>
  </si>
  <si>
    <t>199,985.00</t>
  </si>
  <si>
    <t>54,700.00</t>
  </si>
  <si>
    <t>6,500.00</t>
  </si>
  <si>
    <t>10,969.88</t>
  </si>
  <si>
    <t>61,675.00</t>
  </si>
  <si>
    <t>65,750.00</t>
  </si>
  <si>
    <t>235,203.62</t>
  </si>
  <si>
    <t>156,585.10</t>
  </si>
  <si>
    <t>2,125,765.80</t>
  </si>
  <si>
    <t>54,500.00</t>
  </si>
  <si>
    <t>182,200.00</t>
  </si>
  <si>
    <t>7,735.00</t>
  </si>
  <si>
    <t>295,120.00</t>
  </si>
  <si>
    <t>81,141.00</t>
  </si>
  <si>
    <t>61,120.00</t>
  </si>
  <si>
    <t>1,075,750.00</t>
  </si>
  <si>
    <t>599,000.00</t>
  </si>
  <si>
    <t>164,220.00</t>
  </si>
  <si>
    <t>88,730.00</t>
  </si>
  <si>
    <t>2,060.00</t>
  </si>
  <si>
    <t>91,200.00</t>
  </si>
  <si>
    <t>134,815.00</t>
  </si>
  <si>
    <t>149,325.00</t>
  </si>
  <si>
    <t>58,495.00</t>
  </si>
  <si>
    <t>91,160.00</t>
  </si>
  <si>
    <t>463,050.00</t>
  </si>
  <si>
    <t>222,420.00</t>
  </si>
  <si>
    <t>139,531.88</t>
  </si>
  <si>
    <t>25,210.00</t>
  </si>
  <si>
    <t>1,537,958.00</t>
  </si>
  <si>
    <t>282,920.00</t>
  </si>
  <si>
    <t>54,110.00</t>
  </si>
  <si>
    <t>224,628.00</t>
  </si>
  <si>
    <t>183,680.00</t>
  </si>
  <si>
    <t>79,992.00</t>
  </si>
  <si>
    <t>147,000.00</t>
  </si>
  <si>
    <t>7,400.00</t>
  </si>
  <si>
    <t>5,167,928.76</t>
  </si>
  <si>
    <t>74,250.00</t>
  </si>
  <si>
    <t>273,000.00</t>
  </si>
  <si>
    <t>95,357.08</t>
  </si>
  <si>
    <t>407,990.00</t>
  </si>
  <si>
    <t>148,680.00</t>
  </si>
  <si>
    <t>128,675.00</t>
  </si>
  <si>
    <t>2,483,900.74</t>
  </si>
  <si>
    <t>696,745.00</t>
  </si>
  <si>
    <t>3,999,536.23</t>
  </si>
  <si>
    <t>34,739,993.84</t>
  </si>
  <si>
    <t>105,150.00</t>
  </si>
  <si>
    <t>570,000.00</t>
  </si>
  <si>
    <t>343,083.52</t>
  </si>
  <si>
    <t>205,100.00</t>
  </si>
  <si>
    <t>5,442,619.39</t>
  </si>
  <si>
    <t>209,900.00</t>
  </si>
  <si>
    <t>80,490.00</t>
  </si>
  <si>
    <t>251,995.00</t>
  </si>
  <si>
    <t>57,840.00</t>
  </si>
  <si>
    <t>104,051.50</t>
  </si>
  <si>
    <t>165,009.20</t>
  </si>
  <si>
    <t>177,099.00</t>
  </si>
  <si>
    <t>199,815.00</t>
  </si>
  <si>
    <t>543,478.00</t>
  </si>
  <si>
    <t>24,300.00</t>
  </si>
  <si>
    <t>73,065.00</t>
  </si>
  <si>
    <t>258,000.00</t>
  </si>
  <si>
    <t>299,796.00</t>
  </si>
  <si>
    <t>7,200,000.00</t>
  </si>
  <si>
    <t>633,614.00</t>
  </si>
  <si>
    <t>5,999,968.12</t>
  </si>
  <si>
    <t>195,400.00</t>
  </si>
  <si>
    <t>239,770.00</t>
  </si>
  <si>
    <t>319,927.19</t>
  </si>
  <si>
    <t>52,800.00</t>
  </si>
  <si>
    <t>172,647.80</t>
  </si>
  <si>
    <t>75,900.00</t>
  </si>
  <si>
    <t>58,385.00</t>
  </si>
  <si>
    <t>3,999,255.59</t>
  </si>
  <si>
    <t>237,600.00</t>
  </si>
  <si>
    <t>375,200.00</t>
  </si>
  <si>
    <t>149,776.26</t>
  </si>
  <si>
    <t>345,533.00</t>
  </si>
  <si>
    <t>146,970.59</t>
  </si>
  <si>
    <t>438,010.00</t>
  </si>
  <si>
    <t>630,205.88</t>
  </si>
  <si>
    <t>797,500.00</t>
  </si>
  <si>
    <t>100,250.00</t>
  </si>
  <si>
    <t>58,680.00</t>
  </si>
  <si>
    <t>5,930.00</t>
  </si>
  <si>
    <t>664,272.00</t>
  </si>
  <si>
    <t>995,000.00</t>
  </si>
  <si>
    <t>61,740.00</t>
  </si>
  <si>
    <t>3,842,409.61</t>
  </si>
  <si>
    <t>155,230.00</t>
  </si>
  <si>
    <t>2,999,930.57</t>
  </si>
  <si>
    <t>1,580,000.00</t>
  </si>
  <si>
    <t>143,146.32</t>
  </si>
  <si>
    <t>1,989,525.32</t>
  </si>
  <si>
    <t>99,905.00</t>
  </si>
  <si>
    <t>2,545,920.00</t>
  </si>
  <si>
    <t>542,966.50</t>
  </si>
  <si>
    <t>198,360.00</t>
  </si>
  <si>
    <t>78,640.00</t>
  </si>
  <si>
    <t>8,600.00</t>
  </si>
  <si>
    <t>329,000.00</t>
  </si>
  <si>
    <t>499,963.20</t>
  </si>
  <si>
    <t>173,000.00</t>
  </si>
  <si>
    <t>94,000.00</t>
  </si>
  <si>
    <t>150,200.00</t>
  </si>
  <si>
    <t>46,500.00</t>
  </si>
  <si>
    <t>185,025.00</t>
  </si>
  <si>
    <t>13,156.00</t>
  </si>
  <si>
    <t>604,698.50</t>
  </si>
  <si>
    <t>3,663,768.50</t>
  </si>
  <si>
    <t>234,000.00</t>
  </si>
  <si>
    <t>109,931.00</t>
  </si>
  <si>
    <t>3,917,337.60</t>
  </si>
  <si>
    <t>147,900.00</t>
  </si>
  <si>
    <t>2,984,998.32</t>
  </si>
  <si>
    <t>1,252,581.00</t>
  </si>
  <si>
    <t>1,698,900.68</t>
  </si>
  <si>
    <t>242,000.00</t>
  </si>
  <si>
    <t>561,290.00</t>
  </si>
  <si>
    <t>305,956.00</t>
  </si>
  <si>
    <t>187,300.00</t>
  </si>
  <si>
    <t>206,000.00</t>
  </si>
  <si>
    <t>137,494.00</t>
  </si>
  <si>
    <t>494,925.00</t>
  </si>
  <si>
    <t>1,996,000.00</t>
  </si>
  <si>
    <t>62,700.00</t>
  </si>
  <si>
    <t>76,100.00</t>
  </si>
  <si>
    <t>499,930.16</t>
  </si>
  <si>
    <t>93,550.00</t>
  </si>
  <si>
    <t>448,000.00</t>
  </si>
  <si>
    <t>182,660.00</t>
  </si>
  <si>
    <t>148,580.00</t>
  </si>
  <si>
    <t>499,955.16</t>
  </si>
  <si>
    <t>122,567.05</t>
  </si>
  <si>
    <t>1,573,379.20</t>
  </si>
  <si>
    <t>4,010,000.00</t>
  </si>
  <si>
    <t>76,700.00</t>
  </si>
  <si>
    <t>207,117.50</t>
  </si>
  <si>
    <t>521,840.00</t>
  </si>
  <si>
    <t>996,500.00</t>
  </si>
  <si>
    <t>93,098.00</t>
  </si>
  <si>
    <t>99,970.00</t>
  </si>
  <si>
    <t>1,014,505.00</t>
  </si>
  <si>
    <t>92,500.00</t>
  </si>
  <si>
    <t>309,900.00</t>
  </si>
  <si>
    <t>275,754.36</t>
  </si>
  <si>
    <t>85,500.00</t>
  </si>
  <si>
    <t>73,200.00</t>
  </si>
  <si>
    <t>807,200.00</t>
  </si>
  <si>
    <t>171,100.00</t>
  </si>
  <si>
    <t>381,000.00</t>
  </si>
  <si>
    <t>33,051.00</t>
  </si>
  <si>
    <t>44,100.00</t>
  </si>
  <si>
    <t>207,875.00</t>
  </si>
  <si>
    <t>103,160.00</t>
  </si>
  <si>
    <t>89,486.50</t>
  </si>
  <si>
    <t>153,500.00</t>
  </si>
  <si>
    <t>13,815,892.33</t>
  </si>
  <si>
    <t>254,944.00</t>
  </si>
  <si>
    <t>259,900.00</t>
  </si>
  <si>
    <t>107,200.00</t>
  </si>
  <si>
    <t>204,950.00</t>
  </si>
  <si>
    <t>246,906.00</t>
  </si>
  <si>
    <t>164,800.00</t>
  </si>
  <si>
    <t>268,315.29</t>
  </si>
  <si>
    <t>1,296,389.93</t>
  </si>
  <si>
    <t>19,823,953.50</t>
  </si>
  <si>
    <t>66,850.00</t>
  </si>
  <si>
    <t>131,964.00</t>
  </si>
  <si>
    <t>1,120,000.00</t>
  </si>
  <si>
    <t>82,700.00</t>
  </si>
  <si>
    <t>216,480.00</t>
  </si>
  <si>
    <t>107,163.50</t>
  </si>
  <si>
    <t>249,632.00</t>
  </si>
  <si>
    <t>2,700,000.00</t>
  </si>
  <si>
    <t>84,987.50</t>
  </si>
  <si>
    <t>499,997.80</t>
  </si>
  <si>
    <t>96,357.00</t>
  </si>
  <si>
    <t>8,258.00</t>
  </si>
  <si>
    <t>56,734.00</t>
  </si>
  <si>
    <t>273,420.00</t>
  </si>
  <si>
    <t>79,600.00</t>
  </si>
  <si>
    <t>195,459.00</t>
  </si>
  <si>
    <t>498,932.99</t>
  </si>
  <si>
    <t>419,400.00</t>
  </si>
  <si>
    <t>166,200.00</t>
  </si>
  <si>
    <t>943,755.00</t>
  </si>
  <si>
    <t>7,797,955.21</t>
  </si>
  <si>
    <t>7,660,000.00</t>
  </si>
  <si>
    <t>2,727,869.21</t>
  </si>
  <si>
    <t>51,400.00</t>
  </si>
  <si>
    <t>23,260.00</t>
  </si>
  <si>
    <t>159,760.00</t>
  </si>
  <si>
    <t>4,647,889.70</t>
  </si>
  <si>
    <t>175,750.00</t>
  </si>
  <si>
    <t>109,025.00</t>
  </si>
  <si>
    <t>600,694.50</t>
  </si>
  <si>
    <t>145,995.00</t>
  </si>
  <si>
    <t>128,760.00</t>
  </si>
  <si>
    <t>100,400.00</t>
  </si>
  <si>
    <t>932,400.00</t>
  </si>
  <si>
    <t>955,546.00</t>
  </si>
  <si>
    <t>219,910.00</t>
  </si>
  <si>
    <t>2,738,090.00</t>
  </si>
  <si>
    <t>900,500.00</t>
  </si>
  <si>
    <t>227,295.00</t>
  </si>
  <si>
    <t>87,366.50</t>
  </si>
  <si>
    <t>99,837.50</t>
  </si>
  <si>
    <t>604,015.34</t>
  </si>
  <si>
    <t>3,891,013.12</t>
  </si>
  <si>
    <t>235,980.80</t>
  </si>
  <si>
    <t>16,444,490.94</t>
  </si>
  <si>
    <t>7,531,757.77</t>
  </si>
  <si>
    <t>3,300,175.83</t>
  </si>
  <si>
    <t>16,566,681.56</t>
  </si>
  <si>
    <t>74,330.00</t>
  </si>
  <si>
    <t>218,400.00</t>
  </si>
  <si>
    <t>140,000,000.00</t>
  </si>
  <si>
    <t>14,563,108.00</t>
  </si>
  <si>
    <t>16,200,850.21</t>
  </si>
  <si>
    <t>479,837.50</t>
  </si>
  <si>
    <t>826,000.00</t>
  </si>
  <si>
    <t>5,921.00</t>
  </si>
  <si>
    <t>16,444,844.65</t>
  </si>
  <si>
    <t>65,550.00</t>
  </si>
  <si>
    <t>461,590.00</t>
  </si>
  <si>
    <t>1,499,993.20</t>
  </si>
  <si>
    <t>125,200.00</t>
  </si>
  <si>
    <t>3,353,996.39</t>
  </si>
  <si>
    <t>206,700.00</t>
  </si>
  <si>
    <t>151,473.76</t>
  </si>
  <si>
    <t>58,200.00</t>
  </si>
  <si>
    <t>3,315,500.00</t>
  </si>
  <si>
    <t>125,074.00</t>
  </si>
  <si>
    <t>15,500,000.00</t>
  </si>
  <si>
    <t>109,200.00</t>
  </si>
  <si>
    <t>7,133,800.00</t>
  </si>
  <si>
    <t>152,400.00</t>
  </si>
  <si>
    <t>675,000.00</t>
  </si>
  <si>
    <t>329,204.00</t>
  </si>
  <si>
    <t>800,300.00</t>
  </si>
  <si>
    <t>5,700.00</t>
  </si>
  <si>
    <t>14,000.00</t>
  </si>
  <si>
    <t>84,780.00</t>
  </si>
  <si>
    <t>199,670.99</t>
  </si>
  <si>
    <t>392,000.00</t>
  </si>
  <si>
    <t>147,265.00</t>
  </si>
  <si>
    <t>51,250.00</t>
  </si>
  <si>
    <t>60,000,000.00</t>
  </si>
  <si>
    <t>429,351.59</t>
  </si>
  <si>
    <t>600,889.87</t>
  </si>
  <si>
    <t>2,704,653.27</t>
  </si>
  <si>
    <t>94,581,000.00</t>
  </si>
  <si>
    <t>50,500.00</t>
  </si>
  <si>
    <t>109,505.00</t>
  </si>
  <si>
    <t>169,625.00</t>
  </si>
  <si>
    <t>102,358,000.00</t>
  </si>
  <si>
    <t>134,300.00</t>
  </si>
  <si>
    <t>2,953,021,252.81</t>
  </si>
  <si>
    <t>76,145.00</t>
  </si>
  <si>
    <t>2,907,551.25</t>
  </si>
  <si>
    <t>660,820.00</t>
  </si>
  <si>
    <t>3,042,641.78</t>
  </si>
  <si>
    <t>2,344,721.98</t>
  </si>
  <si>
    <t>685,000.00</t>
  </si>
  <si>
    <t>2,920,017.34</t>
  </si>
  <si>
    <t>481,572.00</t>
  </si>
  <si>
    <t>154,390.00</t>
  </si>
  <si>
    <t>89,250.00</t>
  </si>
  <si>
    <t>417,005.00</t>
  </si>
  <si>
    <t>113,050.00</t>
  </si>
  <si>
    <t>583,500.00</t>
  </si>
  <si>
    <t>1,172,040.75</t>
  </si>
  <si>
    <t>26,563.00</t>
  </si>
  <si>
    <t>688,850.50</t>
  </si>
  <si>
    <t>998,000.00</t>
  </si>
  <si>
    <t>133,999.00</t>
  </si>
  <si>
    <t>800,846.00</t>
  </si>
  <si>
    <t>77,100.00</t>
  </si>
  <si>
    <t>2,895,000.00</t>
  </si>
  <si>
    <t>403,000.00</t>
  </si>
  <si>
    <t>289,410.00</t>
  </si>
  <si>
    <t>965,000.00</t>
  </si>
  <si>
    <t>784,422.00</t>
  </si>
  <si>
    <t>1,447,500.00</t>
  </si>
  <si>
    <t>214,000.00</t>
  </si>
  <si>
    <t>188,370.00</t>
  </si>
  <si>
    <t>1,417,743,567.76</t>
  </si>
  <si>
    <t>1,013,250.00</t>
  </si>
  <si>
    <t>6,551.00</t>
  </si>
  <si>
    <t>1,862,713.60</t>
  </si>
  <si>
    <t>284,600.00</t>
  </si>
  <si>
    <t>69,070.00</t>
  </si>
  <si>
    <t>2,733,290.49</t>
  </si>
  <si>
    <t>1,241,974.60</t>
  </si>
  <si>
    <t>2,450.00</t>
  </si>
  <si>
    <t>764,286.67</t>
  </si>
  <si>
    <t>1,536,667.70</t>
  </si>
  <si>
    <t>306,800.00</t>
  </si>
  <si>
    <t>187,908.05</t>
  </si>
  <si>
    <t>2,020,622.85</t>
  </si>
  <si>
    <t>320,500.00</t>
  </si>
  <si>
    <t>29,935.00</t>
  </si>
  <si>
    <t>90,884.85</t>
  </si>
  <si>
    <t>1,426,000.00</t>
  </si>
  <si>
    <t>49,900.00</t>
  </si>
  <si>
    <t>124,015.48</t>
  </si>
  <si>
    <t>22,500.00</t>
  </si>
  <si>
    <t>9,799,964.58</t>
  </si>
  <si>
    <t>1,292,548.74</t>
  </si>
  <si>
    <t>84,550.00</t>
  </si>
  <si>
    <t>41,030.00</t>
  </si>
  <si>
    <t>30,030.00</t>
  </si>
  <si>
    <t>17,165.60</t>
  </si>
  <si>
    <t>17,534.56</t>
  </si>
  <si>
    <t>574,952.87</t>
  </si>
  <si>
    <t>316,819.60</t>
  </si>
  <si>
    <t>448,178.94</t>
  </si>
  <si>
    <t>1,959,908.75</t>
  </si>
  <si>
    <t>27,872.86</t>
  </si>
  <si>
    <t>550,566.19</t>
  </si>
  <si>
    <t>29,741.50</t>
  </si>
  <si>
    <t>42,740.00</t>
  </si>
  <si>
    <t>3,900,000.00</t>
  </si>
  <si>
    <t>423,700.00</t>
  </si>
  <si>
    <t>371,505.11</t>
  </si>
  <si>
    <t>2,939,978.92</t>
  </si>
  <si>
    <t>1,821,500.00</t>
  </si>
  <si>
    <t>13,400.00</t>
  </si>
  <si>
    <t>239,300.00</t>
  </si>
  <si>
    <t>199,725.00</t>
  </si>
  <si>
    <t>198,886.00</t>
  </si>
  <si>
    <t>4,917,844.00</t>
  </si>
  <si>
    <t>3,995,775.00</t>
  </si>
  <si>
    <t>1,098,109.20</t>
  </si>
  <si>
    <t>2,939,986.68</t>
  </si>
  <si>
    <t>38,779.30</t>
  </si>
  <si>
    <t>30,600,000.00</t>
  </si>
  <si>
    <t>207,150.00</t>
  </si>
  <si>
    <t>947,673.95</t>
  </si>
  <si>
    <t>27,680.00</t>
  </si>
  <si>
    <t>1,290,440.04</t>
  </si>
  <si>
    <t>60,382.50</t>
  </si>
  <si>
    <t>25,015.00</t>
  </si>
  <si>
    <t>176,557.35</t>
  </si>
  <si>
    <t>2,666,092.33</t>
  </si>
  <si>
    <t>1,419,501.64</t>
  </si>
  <si>
    <t>1,415,000.00</t>
  </si>
  <si>
    <t>11,625.00</t>
  </si>
  <si>
    <t>453,975.87</t>
  </si>
  <si>
    <t>19,599,342.23</t>
  </si>
  <si>
    <t>453,000.00</t>
  </si>
  <si>
    <t>499,203.14</t>
  </si>
  <si>
    <t>21,559,873.09</t>
  </si>
  <si>
    <t>880,132.79</t>
  </si>
  <si>
    <t>312,520.15</t>
  </si>
  <si>
    <t>19,599,991.73</t>
  </si>
  <si>
    <t>3,998,467.03</t>
  </si>
  <si>
    <t>383,250.00</t>
  </si>
  <si>
    <t>1,040,000.00</t>
  </si>
  <si>
    <t>3,834,105.23</t>
  </si>
  <si>
    <t>608,969.00</t>
  </si>
  <si>
    <t>994,492.00</t>
  </si>
  <si>
    <t>1,348,100,000.00</t>
  </si>
  <si>
    <t>31,900.00</t>
  </si>
  <si>
    <t>24,980.00</t>
  </si>
  <si>
    <t>327,878.72</t>
  </si>
  <si>
    <t>12,764,003.81</t>
  </si>
  <si>
    <t>7,800.00</t>
  </si>
  <si>
    <t>15,760.00</t>
  </si>
  <si>
    <t>5,678,306.36</t>
  </si>
  <si>
    <t>183,000.00</t>
  </si>
  <si>
    <t>165,800.00</t>
  </si>
  <si>
    <t>12,014,000.00</t>
  </si>
  <si>
    <t>27,839,000.00</t>
  </si>
  <si>
    <t>89,775.00</t>
  </si>
  <si>
    <t>14,699,957.40</t>
  </si>
  <si>
    <t>624,500.00</t>
  </si>
  <si>
    <t>6,890,976.00</t>
  </si>
  <si>
    <t>5,120,485.87</t>
  </si>
  <si>
    <t>32,338,984.05</t>
  </si>
  <si>
    <t>575,548.00</t>
  </si>
  <si>
    <t>5,820,000.00</t>
  </si>
  <si>
    <t>375,000.00</t>
  </si>
  <si>
    <t>102,323.00</t>
  </si>
  <si>
    <t>164,807.18</t>
  </si>
  <si>
    <t>1,825,732.58</t>
  </si>
  <si>
    <t>327,566.00</t>
  </si>
  <si>
    <t>193,951.00</t>
  </si>
  <si>
    <t>960,256.00</t>
  </si>
  <si>
    <t>663,950.00</t>
  </si>
  <si>
    <t>24,790.00</t>
  </si>
  <si>
    <t>340,695.00</t>
  </si>
  <si>
    <t>2,542,000.00</t>
  </si>
  <si>
    <t>142,230.00</t>
  </si>
  <si>
    <t>2,218,500.00</t>
  </si>
  <si>
    <t>27,980,131.24</t>
  </si>
  <si>
    <t>15,560,897.36</t>
  </si>
  <si>
    <t>4,949,999.74</t>
  </si>
  <si>
    <t>24,874,998.98</t>
  </si>
  <si>
    <t>1,995,870.00</t>
  </si>
  <si>
    <t>150,000,000.00</t>
  </si>
  <si>
    <t>34,775.00</t>
  </si>
  <si>
    <t>375,350.00</t>
  </si>
  <si>
    <t>1,108,369.14</t>
  </si>
  <si>
    <t>56,699,988.00</t>
  </si>
  <si>
    <t>5,545,000.00</t>
  </si>
  <si>
    <t>255,738.00</t>
  </si>
  <si>
    <t>57,907,954.67</t>
  </si>
  <si>
    <t>1,499,999.79</t>
  </si>
  <si>
    <t>699,999.43</t>
  </si>
  <si>
    <t>227,675.00</t>
  </si>
  <si>
    <t>210,600.00</t>
  </si>
  <si>
    <t>163,510.00</t>
  </si>
  <si>
    <t>499,998.89</t>
  </si>
  <si>
    <t>999,996.00</t>
  </si>
  <si>
    <t>115,710.00</t>
  </si>
  <si>
    <t>656,585.00</t>
  </si>
  <si>
    <t>124,200.00</t>
  </si>
  <si>
    <t>982,094.90</t>
  </si>
  <si>
    <t>141,200.00</t>
  </si>
  <si>
    <t>49,895.00</t>
  </si>
  <si>
    <t>358,310.00</t>
  </si>
  <si>
    <t>246,580.00</t>
  </si>
  <si>
    <t>328,520.00</t>
  </si>
  <si>
    <t>343,480.00</t>
  </si>
  <si>
    <t>54,867.00</t>
  </si>
  <si>
    <t>265,650.00</t>
  </si>
  <si>
    <t>1,271,256.00</t>
  </si>
  <si>
    <t>373,456.05</t>
  </si>
  <si>
    <t>1,932,290.00</t>
  </si>
  <si>
    <t>399,500.00</t>
  </si>
  <si>
    <t>319,000.00</t>
  </si>
  <si>
    <t>73,630.00</t>
  </si>
  <si>
    <t>75,555.00</t>
  </si>
  <si>
    <t>132,800.00</t>
  </si>
  <si>
    <t>10,040,179.73</t>
  </si>
  <si>
    <t>10,035,272.69</t>
  </si>
  <si>
    <t>767,000.00</t>
  </si>
  <si>
    <t>1,554,596.20</t>
  </si>
  <si>
    <t>1,600,000.00</t>
  </si>
  <si>
    <t>5,750.00</t>
  </si>
  <si>
    <t>243,100.00</t>
  </si>
  <si>
    <t>60,182.64</t>
  </si>
  <si>
    <t>853,000.00</t>
  </si>
  <si>
    <t>103,688,583.13</t>
  </si>
  <si>
    <t>2,741,259.90</t>
  </si>
  <si>
    <t>2,340,000.00</t>
  </si>
  <si>
    <t>573,420.00</t>
  </si>
  <si>
    <t>1,941,580.00</t>
  </si>
  <si>
    <t>998,277.50</t>
  </si>
  <si>
    <t>175,770.00</t>
  </si>
  <si>
    <t>2,082,800.00</t>
  </si>
  <si>
    <t>864,874.90</t>
  </si>
  <si>
    <t>425,000.00</t>
  </si>
  <si>
    <t>205,400.00</t>
  </si>
  <si>
    <t>99,200.00</t>
  </si>
  <si>
    <t>51,880.00</t>
  </si>
  <si>
    <t>49,983.75</t>
  </si>
  <si>
    <t>497,792.60</t>
  </si>
  <si>
    <t>101,044.00</t>
  </si>
  <si>
    <t>123,270.00</t>
  </si>
  <si>
    <t>86,540.00</t>
  </si>
  <si>
    <t>153,075.00</t>
  </si>
  <si>
    <t>179,094.00</t>
  </si>
  <si>
    <t>191,625.00</t>
  </si>
  <si>
    <t>846,149.10</t>
  </si>
  <si>
    <t>9,999,708.35</t>
  </si>
  <si>
    <t>960,701.86</t>
  </si>
  <si>
    <t>625,179.18</t>
  </si>
  <si>
    <t>484,946.47</t>
  </si>
  <si>
    <t>1,662,100.00</t>
  </si>
  <si>
    <t>452,704.78</t>
  </si>
  <si>
    <t>576,816.61</t>
  </si>
  <si>
    <t>1,176,400.00</t>
  </si>
  <si>
    <t>291,751.00</t>
  </si>
  <si>
    <t>371,695.30</t>
  </si>
  <si>
    <t>1,069,665.48</t>
  </si>
  <si>
    <t>291,496.33</t>
  </si>
  <si>
    <t>1,747,385.76</t>
  </si>
  <si>
    <t>154,628.00</t>
  </si>
  <si>
    <t>96,443.55</t>
  </si>
  <si>
    <t>275,800.00</t>
  </si>
  <si>
    <t>137,790.00</t>
  </si>
  <si>
    <t>4,290,000.00</t>
  </si>
  <si>
    <t>576,011.00</t>
  </si>
  <si>
    <t>3,702,007.20</t>
  </si>
  <si>
    <t>840,870.00</t>
  </si>
  <si>
    <t>799,900.00</t>
  </si>
  <si>
    <t>235,750.00</t>
  </si>
  <si>
    <t>324,400.00</t>
  </si>
  <si>
    <t>705,783.40</t>
  </si>
  <si>
    <t>141,460.67</t>
  </si>
  <si>
    <t>1,947,550.00</t>
  </si>
  <si>
    <t>599,950.00</t>
  </si>
  <si>
    <t>89,345.00</t>
  </si>
  <si>
    <t>42,500.00</t>
  </si>
  <si>
    <t>178,600.00</t>
  </si>
  <si>
    <t>341,735.00</t>
  </si>
  <si>
    <t>308,815.23</t>
  </si>
  <si>
    <t>723,685.71</t>
  </si>
  <si>
    <t>1,092,529.69</t>
  </si>
  <si>
    <t>399,680.66</t>
  </si>
  <si>
    <t>140,800.00</t>
  </si>
  <si>
    <t>229,800.00</t>
  </si>
  <si>
    <t>630,139.60</t>
  </si>
  <si>
    <t>233,809.52</t>
  </si>
  <si>
    <t>1,280,741.00</t>
  </si>
  <si>
    <t>305,000.00</t>
  </si>
  <si>
    <t>4,204,000.00</t>
  </si>
  <si>
    <t>538,100.00</t>
  </si>
  <si>
    <t>96,523.60</t>
  </si>
  <si>
    <t>499,271.60</t>
  </si>
  <si>
    <t>36,749,216.45</t>
  </si>
  <si>
    <t>134,067.00</t>
  </si>
  <si>
    <t>542,000.00</t>
  </si>
  <si>
    <t>486,092.80</t>
  </si>
  <si>
    <t>4,213.65</t>
  </si>
  <si>
    <t>296,400.00</t>
  </si>
  <si>
    <t>337,220.00</t>
  </si>
  <si>
    <t>960,080.00</t>
  </si>
  <si>
    <t>328,900.00</t>
  </si>
  <si>
    <t>95,246.00</t>
  </si>
  <si>
    <t>349,750.00</t>
  </si>
  <si>
    <t>68,607.00</t>
  </si>
  <si>
    <t>62,125.00</t>
  </si>
  <si>
    <t>398,350.00</t>
  </si>
  <si>
    <t>159,770.00</t>
  </si>
  <si>
    <t>55,424.30</t>
  </si>
  <si>
    <t>553,200.00</t>
  </si>
  <si>
    <t>984,000.00</t>
  </si>
  <si>
    <t>1,400,000.00</t>
  </si>
  <si>
    <t>38,900.00</t>
  </si>
  <si>
    <t>132,941.16</t>
  </si>
  <si>
    <t>130,540.50</t>
  </si>
  <si>
    <t>1,204,740.00</t>
  </si>
  <si>
    <t>20,220.00</t>
  </si>
  <si>
    <t>422,368.20</t>
  </si>
  <si>
    <t>763,984.00</t>
  </si>
  <si>
    <t>2,287,000.00</t>
  </si>
  <si>
    <t>5,810,000.00</t>
  </si>
  <si>
    <t>80,890.00</t>
  </si>
  <si>
    <t>739,000.00</t>
  </si>
  <si>
    <t>114,213.50</t>
  </si>
  <si>
    <t>114,650.00</t>
  </si>
  <si>
    <t>299,938.00</t>
  </si>
  <si>
    <t>281,902.83</t>
  </si>
  <si>
    <t>81,765.00</t>
  </si>
  <si>
    <t>210,620.00</t>
  </si>
  <si>
    <t>82,195.00</t>
  </si>
  <si>
    <t>199,794.00</t>
  </si>
  <si>
    <t>432,642.43</t>
  </si>
  <si>
    <t>1,002,000.00</t>
  </si>
  <si>
    <t>72,440.00</t>
  </si>
  <si>
    <t>852,300.00</t>
  </si>
  <si>
    <t>135,198.00</t>
  </si>
  <si>
    <t>42,276.00</t>
  </si>
  <si>
    <t>100,732.00</t>
  </si>
  <si>
    <t>53,666.70</t>
  </si>
  <si>
    <t>795,712.00</t>
  </si>
  <si>
    <t>1,999,305.92</t>
  </si>
  <si>
    <t>468,750.00</t>
  </si>
  <si>
    <t>447,230.44</t>
  </si>
  <si>
    <t>296,553.20</t>
  </si>
  <si>
    <t>178,565.00</t>
  </si>
  <si>
    <t>7,485.00</t>
  </si>
  <si>
    <t>108,120.00</t>
  </si>
  <si>
    <t>85,140.00</t>
  </si>
  <si>
    <t>3,512,261.48</t>
  </si>
  <si>
    <t>108,160.80</t>
  </si>
  <si>
    <t>382,500.00</t>
  </si>
  <si>
    <t>53,600.00</t>
  </si>
  <si>
    <t>4,592,000.00</t>
  </si>
  <si>
    <t>30,000,000.00</t>
  </si>
  <si>
    <t>233,000.00</t>
  </si>
  <si>
    <t>166,555.00</t>
  </si>
  <si>
    <t>94,380.00</t>
  </si>
  <si>
    <t>4,750,000.00</t>
  </si>
  <si>
    <t>29,530.00</t>
  </si>
  <si>
    <t>71,114,312.00</t>
  </si>
  <si>
    <t>73,385.00</t>
  </si>
  <si>
    <t>59,371.00</t>
  </si>
  <si>
    <t>891,660.70</t>
  </si>
  <si>
    <t>1,350,000.00</t>
  </si>
  <si>
    <t>189,031.50</t>
  </si>
  <si>
    <t>847,600.00</t>
  </si>
  <si>
    <t>62,500.00</t>
  </si>
  <si>
    <t>60,110.00</t>
  </si>
  <si>
    <t>980,960.00</t>
  </si>
  <si>
    <t>233,996.20</t>
  </si>
  <si>
    <t>48,690.00</t>
  </si>
  <si>
    <t>84,998.00</t>
  </si>
  <si>
    <t>1,499,813.50</t>
  </si>
  <si>
    <t>989,919.00</t>
  </si>
  <si>
    <t>99,841.67</t>
  </si>
  <si>
    <t>2,495,013.18</t>
  </si>
  <si>
    <t>550,160.00</t>
  </si>
  <si>
    <t>233,050.00</t>
  </si>
  <si>
    <t>50,293.00</t>
  </si>
  <si>
    <t>835,850.40</t>
  </si>
  <si>
    <t>71,400.00</t>
  </si>
  <si>
    <t>224,475.00</t>
  </si>
  <si>
    <t>301,590.00</t>
  </si>
  <si>
    <t>2,067,851.48</t>
  </si>
  <si>
    <t>1,270,500.00</t>
  </si>
  <si>
    <t>8,700.00</t>
  </si>
  <si>
    <t>286,500.00</t>
  </si>
  <si>
    <t>290,350.00</t>
  </si>
  <si>
    <t>197,990.00</t>
  </si>
  <si>
    <t>354,135.60</t>
  </si>
  <si>
    <t>996,135.00</t>
  </si>
  <si>
    <t>60,192.00</t>
  </si>
  <si>
    <t>54,954.00</t>
  </si>
  <si>
    <t>257,000.00</t>
  </si>
  <si>
    <t>55,500.00</t>
  </si>
  <si>
    <t>1,340,000.00</t>
  </si>
  <si>
    <t>99,990.00</t>
  </si>
  <si>
    <t>790,900.00</t>
  </si>
  <si>
    <t>909,966.75</t>
  </si>
  <si>
    <t>842,125.79</t>
  </si>
  <si>
    <t>317,050.00</t>
  </si>
  <si>
    <t>1,850,000.00</t>
  </si>
  <si>
    <t>239,859.38</t>
  </si>
  <si>
    <t>108,500.00</t>
  </si>
  <si>
    <t>96,750.00</t>
  </si>
  <si>
    <t>365,244.75</t>
  </si>
  <si>
    <t>179,400.00</t>
  </si>
  <si>
    <t>207,650.00</t>
  </si>
  <si>
    <t>128,500.00</t>
  </si>
  <si>
    <t>159,400.00</t>
  </si>
  <si>
    <t>72,930.00</t>
  </si>
  <si>
    <t>180,124.80</t>
  </si>
  <si>
    <t>71,780.00</t>
  </si>
  <si>
    <t>1,818,424.00</t>
  </si>
  <si>
    <t>8,640.00</t>
  </si>
  <si>
    <t>636,285.50</t>
  </si>
  <si>
    <t>355,025.00</t>
  </si>
  <si>
    <t>1,937,054.93</t>
  </si>
  <si>
    <t>373,481.77</t>
  </si>
  <si>
    <t>113,915.00</t>
  </si>
  <si>
    <t>50,800.00</t>
  </si>
  <si>
    <t>499,561.82</t>
  </si>
  <si>
    <t>67,300.00</t>
  </si>
  <si>
    <t>1,826,700.00</t>
  </si>
  <si>
    <t>1,926,621.58</t>
  </si>
  <si>
    <t>1,867,781.25</t>
  </si>
  <si>
    <t>175,130.00</t>
  </si>
  <si>
    <t>574,004.75</t>
  </si>
  <si>
    <t>75,300.00</t>
  </si>
  <si>
    <t>879,149.35</t>
  </si>
  <si>
    <t>98,320.00</t>
  </si>
  <si>
    <t>51,065.00</t>
  </si>
  <si>
    <t>1,048,949.10</t>
  </si>
  <si>
    <t>264,611.00</t>
  </si>
  <si>
    <t>303,850.00</t>
  </si>
  <si>
    <t>995,500.00</t>
  </si>
  <si>
    <t>1,965,253.00</t>
  </si>
  <si>
    <t>279,858.40</t>
  </si>
  <si>
    <t>2,856,200.00</t>
  </si>
  <si>
    <t>44,800.00</t>
  </si>
  <si>
    <t>191,486.25</t>
  </si>
  <si>
    <t>105,640.00</t>
  </si>
  <si>
    <t>1,623,100.00</t>
  </si>
  <si>
    <t>88,350.00</t>
  </si>
  <si>
    <t>3,170,681.00</t>
  </si>
  <si>
    <t>189,800.00</t>
  </si>
  <si>
    <t>768,400.00</t>
  </si>
  <si>
    <t>75,100.00</t>
  </si>
  <si>
    <t>248,601.00</t>
  </si>
  <si>
    <t>56,600.00</t>
  </si>
  <si>
    <t>68,760.00</t>
  </si>
  <si>
    <t>102,518.00</t>
  </si>
  <si>
    <t>160,500.00</t>
  </si>
  <si>
    <t>620,227.21</t>
  </si>
  <si>
    <t>384,993.00</t>
  </si>
  <si>
    <t>126,110.00</t>
  </si>
  <si>
    <t>3,005,951.81</t>
  </si>
  <si>
    <t>133,640.00</t>
  </si>
  <si>
    <t>58,453.00</t>
  </si>
  <si>
    <t>4,633,209.52</t>
  </si>
  <si>
    <t>168,160.00</t>
  </si>
  <si>
    <t>71,246.00</t>
  </si>
  <si>
    <t>1,536,777.78</t>
  </si>
  <si>
    <t>969,399.00</t>
  </si>
  <si>
    <t>186,680.00</t>
  </si>
  <si>
    <t>2,475,900.00</t>
  </si>
  <si>
    <t>391,000.00</t>
  </si>
  <si>
    <t>1,803,648.00</t>
  </si>
  <si>
    <t>78,140.00</t>
  </si>
  <si>
    <t>2,188,000.00</t>
  </si>
  <si>
    <t>142,646.00</t>
  </si>
  <si>
    <t>674,180.59</t>
  </si>
  <si>
    <t>503,400.00</t>
  </si>
  <si>
    <t>802,377.90</t>
  </si>
  <si>
    <t>99,550.00</t>
  </si>
  <si>
    <t>157,930.00</t>
  </si>
  <si>
    <t>656,173.00</t>
  </si>
  <si>
    <t>28,080.00</t>
  </si>
  <si>
    <t>116,486.00</t>
  </si>
  <si>
    <t>166,903.00</t>
  </si>
  <si>
    <t>61,757.00</t>
  </si>
  <si>
    <t>60,480.00</t>
  </si>
  <si>
    <t>82,500.00</t>
  </si>
  <si>
    <t>449,200.00</t>
  </si>
  <si>
    <t>35,240.00</t>
  </si>
  <si>
    <t>50,140.00</t>
  </si>
  <si>
    <t>221,000.00</t>
  </si>
  <si>
    <t>99,630.00</t>
  </si>
  <si>
    <t>1,298,000.00</t>
  </si>
  <si>
    <t>2,225,205.60</t>
  </si>
  <si>
    <t>1,840,888.12</t>
  </si>
  <si>
    <t>1,096,500.00</t>
  </si>
  <si>
    <t>117,195.00</t>
  </si>
  <si>
    <t>124,250.00</t>
  </si>
  <si>
    <t>389,507.00</t>
  </si>
  <si>
    <t>115,708.50</t>
  </si>
  <si>
    <t>315,086.00</t>
  </si>
  <si>
    <t>57,400.00</t>
  </si>
  <si>
    <t>130,400.00</t>
  </si>
  <si>
    <t>18,555.00</t>
  </si>
  <si>
    <t>248,700.00</t>
  </si>
  <si>
    <t>221,025.00</t>
  </si>
  <si>
    <t>72,975.00</t>
  </si>
  <si>
    <t>1,999,690.63</t>
  </si>
  <si>
    <t>198,437.50</t>
  </si>
  <si>
    <t>1,374,259.27</t>
  </si>
  <si>
    <t>69,940.00</t>
  </si>
  <si>
    <t>211,140.20</t>
  </si>
  <si>
    <t>188,000.00</t>
  </si>
  <si>
    <t>73,185.00</t>
  </si>
  <si>
    <t>134,950.61</t>
  </si>
  <si>
    <t>430,481.00</t>
  </si>
  <si>
    <t>318,401.00</t>
  </si>
  <si>
    <t>8,550.00</t>
  </si>
  <si>
    <t>197,997.34</t>
  </si>
  <si>
    <t>12,890.00</t>
  </si>
  <si>
    <t>125,639.00</t>
  </si>
  <si>
    <t>67,659.00</t>
  </si>
  <si>
    <t>947,200.07</t>
  </si>
  <si>
    <t>143,500.00</t>
  </si>
  <si>
    <t>730,760.00</t>
  </si>
  <si>
    <t>1,538,063.27</t>
  </si>
  <si>
    <t>2,573,969.40</t>
  </si>
  <si>
    <t>5,775,000.00</t>
  </si>
  <si>
    <t>99,650.00</t>
  </si>
  <si>
    <t>230,020.00</t>
  </si>
  <si>
    <t>7,600.00</t>
  </si>
  <si>
    <t>3,123,000.00</t>
  </si>
  <si>
    <t>100,990.00</t>
  </si>
  <si>
    <t>301,538.40</t>
  </si>
  <si>
    <t>641,400.00</t>
  </si>
  <si>
    <t>79,876.00</t>
  </si>
  <si>
    <t>514,800.00</t>
  </si>
  <si>
    <t>59,220.00</t>
  </si>
  <si>
    <t>22,704,948.51</t>
  </si>
  <si>
    <t>185,502.50</t>
  </si>
  <si>
    <t>13,016.00</t>
  </si>
  <si>
    <t>1,150,000.00</t>
  </si>
  <si>
    <t>2,228,040.00</t>
  </si>
  <si>
    <t>133,790.00</t>
  </si>
  <si>
    <t>84,052.00</t>
  </si>
  <si>
    <t>220,826.25</t>
  </si>
  <si>
    <t>1,725,000.00</t>
  </si>
  <si>
    <t>166,740.00</t>
  </si>
  <si>
    <t>164,890.00</t>
  </si>
  <si>
    <t>3,430,342.80</t>
  </si>
  <si>
    <t>8,200.00</t>
  </si>
  <si>
    <t>136,110.00</t>
  </si>
  <si>
    <t>65,245.00</t>
  </si>
  <si>
    <t>52,600.00</t>
  </si>
  <si>
    <t>193,600.00</t>
  </si>
  <si>
    <t>69,750.00</t>
  </si>
  <si>
    <t>117,470.00</t>
  </si>
  <si>
    <t>73,050.00</t>
  </si>
  <si>
    <t>426,790.00</t>
  </si>
  <si>
    <t>4,585,700.60</t>
  </si>
  <si>
    <t>6,930.00</t>
  </si>
  <si>
    <t>199,440.00</t>
  </si>
  <si>
    <t>276,330.00</t>
  </si>
  <si>
    <t>43,039,408.02</t>
  </si>
  <si>
    <t>203,040.00</t>
  </si>
  <si>
    <t>168,686.00</t>
  </si>
  <si>
    <t>999,554.28</t>
  </si>
  <si>
    <t>12,935,000.00</t>
  </si>
  <si>
    <t>303,000.00</t>
  </si>
  <si>
    <t>389,930.00</t>
  </si>
  <si>
    <t>97,396.00</t>
  </si>
  <si>
    <t>291,700.00</t>
  </si>
  <si>
    <t>172,833.20</t>
  </si>
  <si>
    <t>144,520.00</t>
  </si>
  <si>
    <t>184,950.00</t>
  </si>
  <si>
    <t>63,605.00</t>
  </si>
  <si>
    <t>192,230.92</t>
  </si>
  <si>
    <t>7,000.00</t>
  </si>
  <si>
    <t>595,054.69</t>
  </si>
  <si>
    <t>313,785.00</t>
  </si>
  <si>
    <t>2,786,853.16</t>
  </si>
  <si>
    <t>138,543.00</t>
  </si>
  <si>
    <t>97,383.00</t>
  </si>
  <si>
    <t>999,550.00</t>
  </si>
  <si>
    <t>24,500.00</t>
  </si>
  <si>
    <t>43,000.00</t>
  </si>
  <si>
    <t>253,600.00</t>
  </si>
  <si>
    <t>120,370.25</t>
  </si>
  <si>
    <t>141,030.00</t>
  </si>
  <si>
    <t>49,999.00</t>
  </si>
  <si>
    <t>2,994,726.77</t>
  </si>
  <si>
    <t>181,960.00</t>
  </si>
  <si>
    <t>721,860.00</t>
  </si>
  <si>
    <t>309,965.03</t>
  </si>
  <si>
    <t>596,400.00</t>
  </si>
  <si>
    <t>306,667.00</t>
  </si>
  <si>
    <t>196,336.00</t>
  </si>
  <si>
    <t>94,042.50</t>
  </si>
  <si>
    <t>30,846,431.18</t>
  </si>
  <si>
    <t>64,400.00</t>
  </si>
  <si>
    <t>88,520.08</t>
  </si>
  <si>
    <t>322,814.12</t>
  </si>
  <si>
    <t>51,648.15</t>
  </si>
  <si>
    <t>45,667.00</t>
  </si>
  <si>
    <t>134,991.00</t>
  </si>
  <si>
    <t>72,900.00</t>
  </si>
  <si>
    <t>45,075,000.00</t>
  </si>
  <si>
    <t>22,070.00</t>
  </si>
  <si>
    <t>61,255.00</t>
  </si>
  <si>
    <t>81,610.00</t>
  </si>
  <si>
    <t>840,000.00</t>
  </si>
  <si>
    <t>117,273.00</t>
  </si>
  <si>
    <t>2,429,489.00</t>
  </si>
  <si>
    <t>155,009.35</t>
  </si>
  <si>
    <t>174,592.00</t>
  </si>
  <si>
    <t>19,700.00</t>
  </si>
  <si>
    <t>1,828,000.00</t>
  </si>
  <si>
    <t>185,122.07</t>
  </si>
  <si>
    <t>466,200.00</t>
  </si>
  <si>
    <t>236,400.00</t>
  </si>
  <si>
    <t>479,328.12</t>
  </si>
  <si>
    <t>492,000.00</t>
  </si>
  <si>
    <t>210,400.00</t>
  </si>
  <si>
    <t>245,000.00</t>
  </si>
  <si>
    <t>608,156.00</t>
  </si>
  <si>
    <t>12,843.90</t>
  </si>
  <si>
    <t>94,100.00</t>
  </si>
  <si>
    <t>48,999,171.04</t>
  </si>
  <si>
    <t>624,163.91</t>
  </si>
  <si>
    <t>139,800.00</t>
  </si>
  <si>
    <t>530,000.00</t>
  </si>
  <si>
    <t>33,176.00</t>
  </si>
  <si>
    <t>571,712.80</t>
  </si>
  <si>
    <t>185,500.00</t>
  </si>
  <si>
    <t>72,720.00</t>
  </si>
  <si>
    <t>101,232.00</t>
  </si>
  <si>
    <t>130,285.00</t>
  </si>
  <si>
    <t>56,770.00</t>
  </si>
  <si>
    <t>66,413.00</t>
  </si>
  <si>
    <t>128,756.00</t>
  </si>
  <si>
    <t>39,199,257.45</t>
  </si>
  <si>
    <t>186,935.00</t>
  </si>
  <si>
    <t>49,585.66</t>
  </si>
  <si>
    <t>1,209,600.00</t>
  </si>
  <si>
    <t>129,158.40</t>
  </si>
  <si>
    <t>10,700.00</t>
  </si>
  <si>
    <t>721,774.00</t>
  </si>
  <si>
    <t>64,267.56</t>
  </si>
  <si>
    <t>54,250.00</t>
  </si>
  <si>
    <t>1,213,800.00</t>
  </si>
  <si>
    <t>129,500.00</t>
  </si>
  <si>
    <t>236,740.00</t>
  </si>
  <si>
    <t>388,000.00</t>
  </si>
  <si>
    <t>199,924.00</t>
  </si>
  <si>
    <t>117,660.00</t>
  </si>
  <si>
    <t>344,250.00</t>
  </si>
  <si>
    <t>91,165.00</t>
  </si>
  <si>
    <t>8,823,491.10</t>
  </si>
  <si>
    <t>78,728.00</t>
  </si>
  <si>
    <t>949,602.00</t>
  </si>
  <si>
    <t>3,300.00</t>
  </si>
  <si>
    <t>78,680.00</t>
  </si>
  <si>
    <t>269,983.70</t>
  </si>
  <si>
    <t>15,700.00</t>
  </si>
  <si>
    <t>70,116.50</t>
  </si>
  <si>
    <t>125,650.00</t>
  </si>
  <si>
    <t>173,480.00</t>
  </si>
  <si>
    <t>520,500.00</t>
  </si>
  <si>
    <t>199,999.59</t>
  </si>
  <si>
    <t>1,958,140.00</t>
  </si>
  <si>
    <t>80,296.05</t>
  </si>
  <si>
    <t>369,741.00</t>
  </si>
  <si>
    <t>111,111.11</t>
  </si>
  <si>
    <t>5,013,000.00</t>
  </si>
  <si>
    <t>5,860.00</t>
  </si>
  <si>
    <t>112,164.00</t>
  </si>
  <si>
    <t>160,200.00</t>
  </si>
  <si>
    <t>1,320,000.00</t>
  </si>
  <si>
    <t>1,050,000.00</t>
  </si>
  <si>
    <t>157,447.08</t>
  </si>
  <si>
    <t>78,030.00</t>
  </si>
  <si>
    <t>70,950.00</t>
  </si>
  <si>
    <t>138,500.00</t>
  </si>
  <si>
    <t>400,400.00</t>
  </si>
  <si>
    <t>3,294,000.81</t>
  </si>
  <si>
    <t>14,699,818.40</t>
  </si>
  <si>
    <t>222,000.00</t>
  </si>
  <si>
    <t>148,148.15</t>
  </si>
  <si>
    <t>2,515,220.00</t>
  </si>
  <si>
    <t>89,490.00</t>
  </si>
  <si>
    <t>2,140.00</t>
  </si>
  <si>
    <t>81,000.00</t>
  </si>
  <si>
    <t>1,009,000.00</t>
  </si>
  <si>
    <t>909,000.00</t>
  </si>
  <si>
    <t>71,240.00</t>
  </si>
  <si>
    <t>124,999.78</t>
  </si>
  <si>
    <t>3,911,763.56</t>
  </si>
  <si>
    <t>131,785.00</t>
  </si>
  <si>
    <t>146,997.00</t>
  </si>
  <si>
    <t>570,150.00</t>
  </si>
  <si>
    <t>97,815.00</t>
  </si>
  <si>
    <t>306,130.00</t>
  </si>
  <si>
    <t>316,800.00</t>
  </si>
  <si>
    <t>149,945.00</t>
  </si>
  <si>
    <t>616,674.08</t>
  </si>
  <si>
    <t>74,540.00</t>
  </si>
  <si>
    <t>84,350.00</t>
  </si>
  <si>
    <t>94,665.00</t>
  </si>
  <si>
    <t>967,800.00</t>
  </si>
  <si>
    <t>1,430,960.00</t>
  </si>
  <si>
    <t>1,075,900.00</t>
  </si>
  <si>
    <t>89,970.00</t>
  </si>
  <si>
    <t>5,298,316.00</t>
  </si>
  <si>
    <t>134,665.00</t>
  </si>
  <si>
    <t>11,334,500.00</t>
  </si>
  <si>
    <t>182,420.00</t>
  </si>
  <si>
    <t>195,725.00</t>
  </si>
  <si>
    <t>6,800.00</t>
  </si>
  <si>
    <t>37,406,826.42</t>
  </si>
  <si>
    <t>159,950.00</t>
  </si>
  <si>
    <t>166,500.00</t>
  </si>
  <si>
    <t>1,035,000.00</t>
  </si>
  <si>
    <t>155,620.00</t>
  </si>
  <si>
    <t>56,730.00</t>
  </si>
  <si>
    <t>149,600.00</t>
  </si>
  <si>
    <t>3,030,260.00</t>
  </si>
  <si>
    <t>980,730.00</t>
  </si>
  <si>
    <t>90,675.00</t>
  </si>
  <si>
    <t>79,920.00</t>
  </si>
  <si>
    <t>56,390.00</t>
  </si>
  <si>
    <t>662,676.04</t>
  </si>
  <si>
    <t>148,500.00</t>
  </si>
  <si>
    <t>1,950.00</t>
  </si>
  <si>
    <t>1,199,890.00</t>
  </si>
  <si>
    <t>2,869,000.00</t>
  </si>
  <si>
    <t>4,046,650.00</t>
  </si>
  <si>
    <t>5,405,448.75</t>
  </si>
  <si>
    <t>4,491,180.00</t>
  </si>
  <si>
    <t>11,140.00</t>
  </si>
  <si>
    <t>423,000.00</t>
  </si>
  <si>
    <t>999,999.00</t>
  </si>
  <si>
    <t>1,485,600.00</t>
  </si>
  <si>
    <t>335,800.00</t>
  </si>
  <si>
    <t>749,000.00</t>
  </si>
  <si>
    <t>5,796,682.68</t>
  </si>
  <si>
    <t>424,837.00</t>
  </si>
  <si>
    <t>2,412,700.00</t>
  </si>
  <si>
    <t>367,865.00</t>
  </si>
  <si>
    <t>65,950.00</t>
  </si>
  <si>
    <t>416,300.00</t>
  </si>
  <si>
    <t>321,510.00</t>
  </si>
  <si>
    <t>823,865.00</t>
  </si>
  <si>
    <t>6,832,312.20</t>
  </si>
  <si>
    <t>6,226,500.00</t>
  </si>
  <si>
    <t>400,345.00</t>
  </si>
  <si>
    <t>313,500.00</t>
  </si>
  <si>
    <t>112,700.00</t>
  </si>
  <si>
    <t>67,491.66</t>
  </si>
  <si>
    <t>59,264.00</t>
  </si>
  <si>
    <t>179,737.60</t>
  </si>
  <si>
    <t>92,200.00</t>
  </si>
  <si>
    <t>999,712.00</t>
  </si>
  <si>
    <t>8,400,000.00</t>
  </si>
  <si>
    <t>2,485,561.20</t>
  </si>
  <si>
    <t>81,550.00</t>
  </si>
  <si>
    <t>559,268.48</t>
  </si>
  <si>
    <t>7,830,000.00</t>
  </si>
  <si>
    <t>69,418.43</t>
  </si>
  <si>
    <t>56,100.00</t>
  </si>
  <si>
    <t>82,590.00</t>
  </si>
  <si>
    <t>793,894.00</t>
  </si>
  <si>
    <t>199,733.00</t>
  </si>
  <si>
    <t>7,808,356.80</t>
  </si>
  <si>
    <t>366,000.00</t>
  </si>
  <si>
    <t>312,050.00</t>
  </si>
  <si>
    <t>29,486.00</t>
  </si>
  <si>
    <t>478,740.00</t>
  </si>
  <si>
    <t>701,000.00</t>
  </si>
  <si>
    <t>248,500.00</t>
  </si>
  <si>
    <t>182,757.50</t>
  </si>
  <si>
    <t>38,307,449.45</t>
  </si>
  <si>
    <t>21,486,819.59</t>
  </si>
  <si>
    <t>78,600.00</t>
  </si>
  <si>
    <t>134,400.00</t>
  </si>
  <si>
    <t>95,700.00</t>
  </si>
  <si>
    <t>41,735.98</t>
  </si>
  <si>
    <t>105,882.00</t>
  </si>
  <si>
    <t>38,300,721.70</t>
  </si>
  <si>
    <t>2,589,000.00</t>
  </si>
  <si>
    <t>14,206,871.40</t>
  </si>
  <si>
    <t>37,941.80</t>
  </si>
  <si>
    <t>388,300.00</t>
  </si>
  <si>
    <t>312,984.00</t>
  </si>
  <si>
    <t>47,850.00</t>
  </si>
  <si>
    <t>62,854.85</t>
  </si>
  <si>
    <t>18,949,654.50</t>
  </si>
  <si>
    <t>148,960.00</t>
  </si>
  <si>
    <t>89,892.00</t>
  </si>
  <si>
    <t>173,390.00</t>
  </si>
  <si>
    <t>178,550.00</t>
  </si>
  <si>
    <t>717,084.50</t>
  </si>
  <si>
    <t>13,999,853.73</t>
  </si>
  <si>
    <t>148,302.00</t>
  </si>
  <si>
    <t>970,368.00</t>
  </si>
  <si>
    <t>62,302.00</t>
  </si>
  <si>
    <t>677,848.00</t>
  </si>
  <si>
    <t>382,800.00</t>
  </si>
  <si>
    <t>71,170.00</t>
  </si>
  <si>
    <t>1,796,900.00</t>
  </si>
  <si>
    <t>528,960.00</t>
  </si>
  <si>
    <t>34,147.62</t>
  </si>
  <si>
    <t>131,567.00</t>
  </si>
  <si>
    <t>15,650,391.64</t>
  </si>
  <si>
    <t>64,736.00</t>
  </si>
  <si>
    <t>44,200.00</t>
  </si>
  <si>
    <t>152,631.14</t>
  </si>
  <si>
    <t>367,011.20</t>
  </si>
  <si>
    <t>28,949,997.73</t>
  </si>
  <si>
    <t>786,480.00</t>
  </si>
  <si>
    <t>9,920.00</t>
  </si>
  <si>
    <t>360,900.00</t>
  </si>
  <si>
    <t>198,600.00</t>
  </si>
  <si>
    <t>1,484,906.06</t>
  </si>
  <si>
    <t>423,250.00</t>
  </si>
  <si>
    <t>33,136.00</t>
  </si>
  <si>
    <t>4,610,000.00</t>
  </si>
  <si>
    <t>489,957.70</t>
  </si>
  <si>
    <t>387,200.00</t>
  </si>
  <si>
    <t>11,462,000.00</t>
  </si>
  <si>
    <t>87,485.00</t>
  </si>
  <si>
    <t>329,412.00</t>
  </si>
  <si>
    <t>82,100.00</t>
  </si>
  <si>
    <t>51,200.00</t>
  </si>
  <si>
    <t>116,400.00</t>
  </si>
  <si>
    <t>261,479.00</t>
  </si>
  <si>
    <t>373,806.00</t>
  </si>
  <si>
    <t>5,050,000.00</t>
  </si>
  <si>
    <t>136,400.00</t>
  </si>
  <si>
    <t>9,998,120.39</t>
  </si>
  <si>
    <t>38,304,641.07</t>
  </si>
  <si>
    <t>131,084.00</t>
  </si>
  <si>
    <t>24,767.45</t>
  </si>
  <si>
    <t>47,020,478.69</t>
  </si>
  <si>
    <t>118,298.00</t>
  </si>
  <si>
    <t>149,445.00</t>
  </si>
  <si>
    <t>20,980.00</t>
  </si>
  <si>
    <t>999,607.59</t>
  </si>
  <si>
    <t>30,082,593.50</t>
  </si>
  <si>
    <t>493,900.00</t>
  </si>
  <si>
    <t>141,500.00</t>
  </si>
  <si>
    <t>199,998.00</t>
  </si>
  <si>
    <t>287,244.00</t>
  </si>
  <si>
    <t>798,995.57</t>
  </si>
  <si>
    <t>738,950.00</t>
  </si>
  <si>
    <t>1.00</t>
  </si>
  <si>
    <t>252,954.00</t>
  </si>
  <si>
    <t>49,200.00</t>
  </si>
  <si>
    <t>59,852.00</t>
  </si>
  <si>
    <t>992,530.00</t>
  </si>
  <si>
    <t>640,073.62</t>
  </si>
  <si>
    <t>193,440.00</t>
  </si>
  <si>
    <t>551,478.00</t>
  </si>
  <si>
    <t>905,619.35</t>
  </si>
  <si>
    <t>815,676.00</t>
  </si>
  <si>
    <t>12,740.00</t>
  </si>
  <si>
    <t>21,320.00</t>
  </si>
  <si>
    <t>123,381.00</t>
  </si>
  <si>
    <t>396,500.00</t>
  </si>
  <si>
    <t>14,700.00</t>
  </si>
  <si>
    <t>999,915.00</t>
  </si>
  <si>
    <t>387,000.00</t>
  </si>
  <si>
    <t>396,000.00</t>
  </si>
  <si>
    <t>212,260.40</t>
  </si>
  <si>
    <t>99,996.00</t>
  </si>
  <si>
    <t>2,880,000.00</t>
  </si>
  <si>
    <t>199,850.00</t>
  </si>
  <si>
    <t>183,822.31</t>
  </si>
  <si>
    <t>198,547.00</t>
  </si>
  <si>
    <t>70,940.00</t>
  </si>
  <si>
    <t>999,830.00</t>
  </si>
  <si>
    <t>125,350.00</t>
  </si>
  <si>
    <t>139,850.00</t>
  </si>
  <si>
    <t>65,155.00</t>
  </si>
  <si>
    <t>249,911.00</t>
  </si>
  <si>
    <t>199,266.30</t>
  </si>
  <si>
    <t>199,875.75</t>
  </si>
  <si>
    <t>728,100.00</t>
  </si>
  <si>
    <t>43,779,916.26</t>
  </si>
  <si>
    <t>155,210.00</t>
  </si>
  <si>
    <t>999,642.60</t>
  </si>
  <si>
    <t>345,118.00</t>
  </si>
  <si>
    <t>1,894,417.50</t>
  </si>
  <si>
    <t>207,000.00</t>
  </si>
  <si>
    <t>115,875.00</t>
  </si>
  <si>
    <t>124,500.00</t>
  </si>
  <si>
    <t>64,385.00</t>
  </si>
  <si>
    <t>137,850.00</t>
  </si>
  <si>
    <t>1,999,860.00</t>
  </si>
  <si>
    <t>299,190.00</t>
  </si>
  <si>
    <t>61,860.00</t>
  </si>
  <si>
    <t>3,256,942.54</t>
  </si>
  <si>
    <t>2,831,676.00</t>
  </si>
  <si>
    <t>979,888.44</t>
  </si>
  <si>
    <t>1,772,577.95</t>
  </si>
  <si>
    <t>870,775.00</t>
  </si>
  <si>
    <t>208,518.00</t>
  </si>
  <si>
    <t>43,680.00</t>
  </si>
  <si>
    <t>365,700.00</t>
  </si>
  <si>
    <t>170,650.00</t>
  </si>
  <si>
    <t>68,100.00</t>
  </si>
  <si>
    <t>117,760.00</t>
  </si>
  <si>
    <t>9,000,000.00</t>
  </si>
  <si>
    <t>12,200.00</t>
  </si>
  <si>
    <t>52,125.00</t>
  </si>
  <si>
    <t>1,210,440.00</t>
  </si>
  <si>
    <t>181,662.50</t>
  </si>
  <si>
    <t>1,423,087.83</t>
  </si>
  <si>
    <t>85,812.30</t>
  </si>
  <si>
    <t>298,327.90</t>
  </si>
  <si>
    <t>25,480.00</t>
  </si>
  <si>
    <t>59,905.66</t>
  </si>
  <si>
    <t>1,401,583.77</t>
  </si>
  <si>
    <t>1,825,500.00</t>
  </si>
  <si>
    <t>39,382.00</t>
  </si>
  <si>
    <t>3,162,000.00</t>
  </si>
  <si>
    <t>59,575.00</t>
  </si>
  <si>
    <t>21,400.00</t>
  </si>
  <si>
    <t>145,240.00</t>
  </si>
  <si>
    <t>800,045.00</t>
  </si>
  <si>
    <t>1,540,000.00</t>
  </si>
  <si>
    <t>120,300.96</t>
  </si>
  <si>
    <t>63,657.00</t>
  </si>
  <si>
    <t>999,995.00</t>
  </si>
  <si>
    <t>112,290.00</t>
  </si>
  <si>
    <t>53,350.00</t>
  </si>
  <si>
    <t>451,375.00</t>
  </si>
  <si>
    <t>400,050.00</t>
  </si>
  <si>
    <t>128,950.00</t>
  </si>
  <si>
    <t>199,570.00</t>
  </si>
  <si>
    <t>204,500.00</t>
  </si>
  <si>
    <t>75,860.00</t>
  </si>
  <si>
    <t>1,179,700.00</t>
  </si>
  <si>
    <t>24,675,000.00</t>
  </si>
  <si>
    <t>999,979.14</t>
  </si>
  <si>
    <t>83,440.00</t>
  </si>
  <si>
    <t>90,550.00</t>
  </si>
  <si>
    <t>109,760.00</t>
  </si>
  <si>
    <t>82,050.00</t>
  </si>
  <si>
    <t>843,360.00</t>
  </si>
  <si>
    <t>3,694,689.00</t>
  </si>
  <si>
    <t>150,835.00</t>
  </si>
  <si>
    <t>72,820.70</t>
  </si>
  <si>
    <t>92,785.00</t>
  </si>
  <si>
    <t>59,070.00</t>
  </si>
  <si>
    <t>379,725.00</t>
  </si>
  <si>
    <t>4,246,783.00</t>
  </si>
  <si>
    <t>79,110.00</t>
  </si>
  <si>
    <t>94,095.00</t>
  </si>
  <si>
    <t>60,419.00</t>
  </si>
  <si>
    <t>53,750.00</t>
  </si>
  <si>
    <t>459,055.46</t>
  </si>
  <si>
    <t>380,706.00</t>
  </si>
  <si>
    <t>59,920.00</t>
  </si>
  <si>
    <t>68,611.14</t>
  </si>
  <si>
    <t>6,820,000.00</t>
  </si>
  <si>
    <t>101,000.00</t>
  </si>
  <si>
    <t>61,895.00</t>
  </si>
  <si>
    <t>94,200.00</t>
  </si>
  <si>
    <t>906,000.00</t>
  </si>
  <si>
    <t>218,947.68</t>
  </si>
  <si>
    <t>411,000.00</t>
  </si>
  <si>
    <t>9,849,942.95</t>
  </si>
  <si>
    <t>270,225.00</t>
  </si>
  <si>
    <t>57,969.38</t>
  </si>
  <si>
    <t>316,420.00</t>
  </si>
  <si>
    <t>194,250.00</t>
  </si>
  <si>
    <t>17,500.00</t>
  </si>
  <si>
    <t>681,945.52</t>
  </si>
  <si>
    <t>1,172,952.00</t>
  </si>
  <si>
    <t>219,100.00</t>
  </si>
  <si>
    <t>582,700.35</t>
  </si>
  <si>
    <t>715,650.78</t>
  </si>
  <si>
    <t>1,737,550.00</t>
  </si>
  <si>
    <t>204,382.27</t>
  </si>
  <si>
    <t>161,739.45</t>
  </si>
  <si>
    <t>333,600.00</t>
  </si>
  <si>
    <t>53,086.00</t>
  </si>
  <si>
    <t>81,333.60</t>
  </si>
  <si>
    <t>45,181.00</t>
  </si>
  <si>
    <t>71,225.00</t>
  </si>
  <si>
    <t>57,780.00</t>
  </si>
  <si>
    <t>2,714.00</t>
  </si>
  <si>
    <t>72,500.00</t>
  </si>
  <si>
    <t>153,950.00</t>
  </si>
  <si>
    <t>672,000.00</t>
  </si>
  <si>
    <t>77,695.00</t>
  </si>
  <si>
    <t>75,384.00</t>
  </si>
  <si>
    <t>63,800.00</t>
  </si>
  <si>
    <t>95,575.00</t>
  </si>
  <si>
    <t>18,793.50</t>
  </si>
  <si>
    <t>16,640,604.36</t>
  </si>
  <si>
    <t>17,500,000.00</t>
  </si>
  <si>
    <t>191,647.00</t>
  </si>
  <si>
    <t>3,605,553.96</t>
  </si>
  <si>
    <t>309,844.21</t>
  </si>
  <si>
    <t>19,900,000.00</t>
  </si>
  <si>
    <t>3,274,000.00</t>
  </si>
  <si>
    <t>32,660.00</t>
  </si>
  <si>
    <t>372,994.40</t>
  </si>
  <si>
    <t>23,052.12</t>
  </si>
  <si>
    <t>125,222.01</t>
  </si>
  <si>
    <t>52,872,660.00</t>
  </si>
  <si>
    <t>52,580.00</t>
  </si>
  <si>
    <t>106,680.00</t>
  </si>
  <si>
    <t>287,394.00</t>
  </si>
  <si>
    <t>1,589,411.97</t>
  </si>
  <si>
    <t>512,090.00</t>
  </si>
  <si>
    <t>972,633.65</t>
  </si>
  <si>
    <t>36,800.00</t>
  </si>
  <si>
    <t>63,893.90</t>
  </si>
  <si>
    <t>67,980.00</t>
  </si>
  <si>
    <t>8,912,982.47</t>
  </si>
  <si>
    <t>100,110.00</t>
  </si>
  <si>
    <t>299,965.00</t>
  </si>
  <si>
    <t>445,200.00</t>
  </si>
  <si>
    <t>920,684.00</t>
  </si>
  <si>
    <t>349,880.27</t>
  </si>
  <si>
    <t>206,335.00</t>
  </si>
  <si>
    <t>198,624.09</t>
  </si>
  <si>
    <t>79,869.00</t>
  </si>
  <si>
    <t>80,882.00</t>
  </si>
  <si>
    <t>88,100.00</t>
  </si>
  <si>
    <t>20,155.00</t>
  </si>
  <si>
    <t>119,125.00</t>
  </si>
  <si>
    <t>72,330.00</t>
  </si>
  <si>
    <t>132,714.00</t>
  </si>
  <si>
    <t>91,500.00</t>
  </si>
  <si>
    <t>123,183.64</t>
  </si>
  <si>
    <t>259,344.00</t>
  </si>
  <si>
    <t>705,685.51</t>
  </si>
  <si>
    <t>998,970.00</t>
  </si>
  <si>
    <t>194,600.00</t>
  </si>
  <si>
    <t>55,020.00</t>
  </si>
  <si>
    <t>463,440.00</t>
  </si>
  <si>
    <t>776,000.00</t>
  </si>
  <si>
    <t>118,570.00</t>
  </si>
  <si>
    <t>23,880,000.00</t>
  </si>
  <si>
    <t>23,375.00</t>
  </si>
  <si>
    <t>64,610.00</t>
  </si>
  <si>
    <t>136,636.00</t>
  </si>
  <si>
    <t>80,045.00</t>
  </si>
  <si>
    <t>1,159,436.25</t>
  </si>
  <si>
    <t>269,000.00</t>
  </si>
  <si>
    <t>8,682,933.16</t>
  </si>
  <si>
    <t>117,610.00</t>
  </si>
  <si>
    <t>1,394,281.31</t>
  </si>
  <si>
    <t>80,881.00</t>
  </si>
  <si>
    <t>181,515.00</t>
  </si>
  <si>
    <t>106,050.00</t>
  </si>
  <si>
    <t>62,250.00</t>
  </si>
  <si>
    <t>79,800.00</t>
  </si>
  <si>
    <t>2,987,080.00</t>
  </si>
  <si>
    <t>12,900.00</t>
  </si>
  <si>
    <t>906,289.00</t>
  </si>
  <si>
    <t>30,600.00</t>
  </si>
  <si>
    <t>991,200.00</t>
  </si>
  <si>
    <t>14,150.00</t>
  </si>
  <si>
    <t>124,082.00</t>
  </si>
  <si>
    <t>100,744.00</t>
  </si>
  <si>
    <t>151,900.00</t>
  </si>
  <si>
    <t>114,800.00</t>
  </si>
  <si>
    <t>119,800.00</t>
  </si>
  <si>
    <t>50,100.00</t>
  </si>
  <si>
    <t>294,460.00</t>
  </si>
  <si>
    <t>476,606.40</t>
  </si>
  <si>
    <t>212,320.00</t>
  </si>
  <si>
    <t>139,845.00</t>
  </si>
  <si>
    <t>305,886.00</t>
  </si>
  <si>
    <t>83,412.00</t>
  </si>
  <si>
    <t>162,310.00</t>
  </si>
  <si>
    <t>2,493,316.34</t>
  </si>
  <si>
    <t>66,936.00</t>
  </si>
  <si>
    <t>3,457,158.00</t>
  </si>
  <si>
    <t>284,266.75</t>
  </si>
  <si>
    <t>920,000.00</t>
  </si>
  <si>
    <t>6,992,151.60</t>
  </si>
  <si>
    <t>184,500.00</t>
  </si>
  <si>
    <t>317,550.00</t>
  </si>
  <si>
    <t>997,500.00</t>
  </si>
  <si>
    <t>265,000.00</t>
  </si>
  <si>
    <t>1,260,570.50</t>
  </si>
  <si>
    <t>2,130,000.00</t>
  </si>
  <si>
    <t>3,114,129.61</t>
  </si>
  <si>
    <t>4,100,000.00</t>
  </si>
  <si>
    <t>276,950.00</t>
  </si>
  <si>
    <t>18,149,874.36</t>
  </si>
  <si>
    <t>623,798.00</t>
  </si>
  <si>
    <t>199,823.80</t>
  </si>
  <si>
    <t>986,000.00</t>
  </si>
  <si>
    <t>199,540.00</t>
  </si>
  <si>
    <t>51,299.00</t>
  </si>
  <si>
    <t>509,076.00</t>
  </si>
  <si>
    <t>6,879,719.73</t>
  </si>
  <si>
    <t>71,000.00</t>
  </si>
  <si>
    <t>202,414.87</t>
  </si>
  <si>
    <t>143,900.00</t>
  </si>
  <si>
    <t>984,915.00</t>
  </si>
  <si>
    <t>126,100.00</t>
  </si>
  <si>
    <t>998,088.00</t>
  </si>
  <si>
    <t>57,550.00</t>
  </si>
  <si>
    <t>2,979,670.00</t>
  </si>
  <si>
    <t>430,950.00</t>
  </si>
  <si>
    <t>153,025.00</t>
  </si>
  <si>
    <t>386,531.00</t>
  </si>
  <si>
    <t>873,625.18</t>
  </si>
  <si>
    <t>241,206.55</t>
  </si>
  <si>
    <t>400,184.50</t>
  </si>
  <si>
    <t>3,450,000.00</t>
  </si>
  <si>
    <t>57,645.00</t>
  </si>
  <si>
    <t>320,398.27</t>
  </si>
  <si>
    <t>853,100.00</t>
  </si>
  <si>
    <t>4,850.00</t>
  </si>
  <si>
    <t>376,560.00</t>
  </si>
  <si>
    <t>75,540.00</t>
  </si>
  <si>
    <t>450,240.00</t>
  </si>
  <si>
    <t>12,437,495.60</t>
  </si>
  <si>
    <t>653,237.68</t>
  </si>
  <si>
    <t>149,677.00</t>
  </si>
  <si>
    <t>1,499,999.70</t>
  </si>
  <si>
    <t>12,437,493.87</t>
  </si>
  <si>
    <t>2,975,816.00</t>
  </si>
  <si>
    <t>39,715.00</t>
  </si>
  <si>
    <t>57,085.00</t>
  </si>
  <si>
    <t>273,900.00</t>
  </si>
  <si>
    <t>248,000.00</t>
  </si>
  <si>
    <t>286,347.00</t>
  </si>
  <si>
    <t>53,430.00</t>
  </si>
  <si>
    <t>4,917,000.00</t>
  </si>
  <si>
    <t>4,062,628.26</t>
  </si>
  <si>
    <t>175,642.00</t>
  </si>
  <si>
    <t>46,690.00</t>
  </si>
  <si>
    <t>83,100.00</t>
  </si>
  <si>
    <t>82,770.00</t>
  </si>
  <si>
    <t>36,890.00</t>
  </si>
  <si>
    <t>65,957.50</t>
  </si>
  <si>
    <t>71,730.00</t>
  </si>
  <si>
    <t>873,034.49</t>
  </si>
  <si>
    <t>6,534,141.84</t>
  </si>
  <si>
    <t>342,716.00</t>
  </si>
  <si>
    <t>171,500.00</t>
  </si>
  <si>
    <t>87,538.00</t>
  </si>
  <si>
    <t>101,790.00</t>
  </si>
  <si>
    <t>637,530.00</t>
  </si>
  <si>
    <t>96,532.00</t>
  </si>
  <si>
    <t>97,800.00</t>
  </si>
  <si>
    <t>465,437.40</t>
  </si>
  <si>
    <t>49,500,000.00</t>
  </si>
  <si>
    <t>737,830.00</t>
  </si>
  <si>
    <t>165,530.00</t>
  </si>
  <si>
    <t>100,240.00</t>
  </si>
  <si>
    <t>1,376,575.00</t>
  </si>
  <si>
    <t>64,190.00</t>
  </si>
  <si>
    <t>57,950.00</t>
  </si>
  <si>
    <t>24,750,000.00</t>
  </si>
  <si>
    <t>720,879.60</t>
  </si>
  <si>
    <t>1,155,634.00</t>
  </si>
  <si>
    <t>324,375.00</t>
  </si>
  <si>
    <t>110,031.00</t>
  </si>
  <si>
    <t>103,996.00</t>
  </si>
  <si>
    <t>29,700,000.00</t>
  </si>
  <si>
    <t>1,928,709.00</t>
  </si>
  <si>
    <t>43,572,757.00</t>
  </si>
  <si>
    <t>105,590.00</t>
  </si>
  <si>
    <t>39,600,000.00</t>
  </si>
  <si>
    <t>11,289,600.00</t>
  </si>
  <si>
    <t>827,380.00</t>
  </si>
  <si>
    <t>457,000.00</t>
  </si>
  <si>
    <t>310,700.00</t>
  </si>
  <si>
    <t>41,360.00</t>
  </si>
  <si>
    <t>2,635,359.00</t>
  </si>
  <si>
    <t>1,863,000.00</t>
  </si>
  <si>
    <t>2,142,000.00</t>
  </si>
  <si>
    <t>77,754.00</t>
  </si>
  <si>
    <t>337,950.00</t>
  </si>
  <si>
    <t>7,350,000.00</t>
  </si>
  <si>
    <t>86,850.00</t>
  </si>
  <si>
    <t>79,782.00</t>
  </si>
  <si>
    <t>244,719.00</t>
  </si>
  <si>
    <t>199,545.00</t>
  </si>
  <si>
    <t>94,347.00</t>
  </si>
  <si>
    <t>88,800.00</t>
  </si>
  <si>
    <t>50,030.00</t>
  </si>
  <si>
    <t>12,226,080.00</t>
  </si>
  <si>
    <t>115,210.00</t>
  </si>
  <si>
    <t>762,284.78</t>
  </si>
  <si>
    <t>661,000.00</t>
  </si>
  <si>
    <t>1,672,149.37</t>
  </si>
  <si>
    <t>116,430.00</t>
  </si>
  <si>
    <t>799,760.00</t>
  </si>
  <si>
    <t>7,500.00</t>
  </si>
  <si>
    <t>50,335.00</t>
  </si>
  <si>
    <t>57,517.00</t>
  </si>
  <si>
    <t>10,350.00</t>
  </si>
  <si>
    <t>599,789.82</t>
  </si>
  <si>
    <t>7,900.00</t>
  </si>
  <si>
    <t>64,100.00</t>
  </si>
  <si>
    <t>21,600.00</t>
  </si>
  <si>
    <t>399,999.08</t>
  </si>
  <si>
    <t>142,799.00</t>
  </si>
  <si>
    <t>482,294.50</t>
  </si>
  <si>
    <t>15,867,017.05</t>
  </si>
  <si>
    <t>54,420.00</t>
  </si>
  <si>
    <t>69,140.00</t>
  </si>
  <si>
    <t>436,030.00</t>
  </si>
  <si>
    <t>493,086.37</t>
  </si>
  <si>
    <t>49,262.00</t>
  </si>
  <si>
    <t>40,000,000.00</t>
  </si>
  <si>
    <t>54,294.00</t>
  </si>
  <si>
    <t>2,999,845.64</t>
  </si>
  <si>
    <t>92,429.25</t>
  </si>
  <si>
    <t>423,600.00</t>
  </si>
  <si>
    <t>15,599.00</t>
  </si>
  <si>
    <t>9,819,071.55</t>
  </si>
  <si>
    <t>146,745.59</t>
  </si>
  <si>
    <t>14,940,000.00</t>
  </si>
  <si>
    <t>2,987,162.16</t>
  </si>
  <si>
    <t>2,576,380.00</t>
  </si>
  <si>
    <t>6,657.00</t>
  </si>
  <si>
    <t>35,460.00</t>
  </si>
  <si>
    <t>200,020.00</t>
  </si>
  <si>
    <t>19,999,987.66</t>
  </si>
  <si>
    <t>1,952,796.16</t>
  </si>
  <si>
    <t>88,310.00</t>
  </si>
  <si>
    <t>198,750.00</t>
  </si>
  <si>
    <t>5,161.00</t>
  </si>
  <si>
    <t>61,600.00</t>
  </si>
  <si>
    <t>50,240.00</t>
  </si>
  <si>
    <t>67,315.00</t>
  </si>
  <si>
    <t>71,250.00</t>
  </si>
  <si>
    <t>9,170.00</t>
  </si>
  <si>
    <t>296,060.00</t>
  </si>
  <si>
    <t>35,947.50</t>
  </si>
  <si>
    <t>78,400.00</t>
  </si>
  <si>
    <t>24,673.00</t>
  </si>
  <si>
    <t>291,558.18</t>
  </si>
  <si>
    <t>54,600.00</t>
  </si>
  <si>
    <t>705,000.00</t>
  </si>
  <si>
    <t>192,090.00</t>
  </si>
  <si>
    <t>394,140.00</t>
  </si>
  <si>
    <t>8,800.00</t>
  </si>
  <si>
    <t>1,950,007.58</t>
  </si>
  <si>
    <t>51,220.00</t>
  </si>
  <si>
    <t>997,750.00</t>
  </si>
  <si>
    <t>219,050.00</t>
  </si>
  <si>
    <t>293,350.00</t>
  </si>
  <si>
    <t>79,350.00</t>
  </si>
  <si>
    <t>47,858.00</t>
  </si>
  <si>
    <t>29,600.40</t>
  </si>
  <si>
    <t>3,584,564.84</t>
  </si>
  <si>
    <t>2,080.00</t>
  </si>
  <si>
    <t>548,159.49</t>
  </si>
  <si>
    <t>21,066.00</t>
  </si>
  <si>
    <t>3,682,655.14</t>
  </si>
  <si>
    <t>6,315.00</t>
  </si>
  <si>
    <t>354,666.24</t>
  </si>
  <si>
    <t>249,713.92</t>
  </si>
  <si>
    <t>134,290.24</t>
  </si>
  <si>
    <t>58,598.40</t>
  </si>
  <si>
    <t>156,410.00</t>
  </si>
  <si>
    <t>2,331,606.86</t>
  </si>
  <si>
    <t>4,982,432.71</t>
  </si>
  <si>
    <t>1,959,794.43</t>
  </si>
  <si>
    <t>921,090.50</t>
  </si>
  <si>
    <t>3,877,471.16</t>
  </si>
  <si>
    <t>1,757,200.00</t>
  </si>
  <si>
    <t>1,025,000.00</t>
  </si>
  <si>
    <t>384,256,044.00</t>
  </si>
  <si>
    <t>239,550.00</t>
  </si>
  <si>
    <t>214,380.00</t>
  </si>
  <si>
    <t>1,352,768.00</t>
  </si>
  <si>
    <t>325,161.63</t>
  </si>
  <si>
    <t>1,894,613.09</t>
  </si>
  <si>
    <t>442,379.88</t>
  </si>
  <si>
    <t>499,144.03</t>
  </si>
  <si>
    <t>999,983.84</t>
  </si>
  <si>
    <t>90,750,000.00</t>
  </si>
  <si>
    <t>425,366.00</t>
  </si>
  <si>
    <t>2,031,108.65</t>
  </si>
  <si>
    <t>89,600,000.00</t>
  </si>
  <si>
    <t>79,669,700.00</t>
  </si>
  <si>
    <t>18,664,200.00</t>
  </si>
  <si>
    <t>13,937,118.32</t>
  </si>
  <si>
    <t>645,200.00</t>
  </si>
  <si>
    <t>999,987.83</t>
  </si>
  <si>
    <t>134,000.00</t>
  </si>
  <si>
    <t>344,650.00</t>
  </si>
  <si>
    <t>110,000,000.00</t>
  </si>
  <si>
    <t>202,091.00</t>
  </si>
  <si>
    <t>200,500.00</t>
  </si>
  <si>
    <t>113,425.00</t>
  </si>
  <si>
    <t>282,966.89</t>
  </si>
  <si>
    <t>214,721.75</t>
  </si>
  <si>
    <t>1,777,400.00</t>
  </si>
  <si>
    <t>1,175,530.96</t>
  </si>
  <si>
    <t>1,499,986.85</t>
  </si>
  <si>
    <t>199,874.00</t>
  </si>
  <si>
    <t>82,750.00</t>
  </si>
  <si>
    <t>68,580.00</t>
  </si>
  <si>
    <t>973,571.88</t>
  </si>
  <si>
    <t>1,960,250.00</t>
  </si>
  <si>
    <t>813,120.00</t>
  </si>
  <si>
    <t>122,040.00</t>
  </si>
  <si>
    <t>71,034.97</t>
  </si>
  <si>
    <t>657,680.00</t>
  </si>
  <si>
    <t>198,940.00</t>
  </si>
  <si>
    <t>118,500,000.00</t>
  </si>
  <si>
    <t>972,431.92</t>
  </si>
  <si>
    <t>449,918.16</t>
  </si>
  <si>
    <t>498,729.27</t>
  </si>
  <si>
    <t>200,013.06</t>
  </si>
  <si>
    <t>1,170,368.60</t>
  </si>
  <si>
    <t>279,910.00</t>
  </si>
  <si>
    <t>926,395.00</t>
  </si>
  <si>
    <t>2,048,557.60</t>
  </si>
  <si>
    <t>4,513,562.88</t>
  </si>
  <si>
    <t>17,999,999.60</t>
  </si>
  <si>
    <t>484,950.00</t>
  </si>
  <si>
    <t>3,502,950.19</t>
  </si>
  <si>
    <t>1,799,450.60</t>
  </si>
  <si>
    <t>2,319,216.44</t>
  </si>
  <si>
    <t>15,498,982.17</t>
  </si>
  <si>
    <t>26,320,104.00</t>
  </si>
  <si>
    <t>133,957.14</t>
  </si>
  <si>
    <t>1,625,400.00</t>
  </si>
  <si>
    <t>234,910.00</t>
  </si>
  <si>
    <t>31,090.00</t>
  </si>
  <si>
    <t>917,370.00</t>
  </si>
  <si>
    <t>751,361.00</t>
  </si>
  <si>
    <t>680,400.00</t>
  </si>
  <si>
    <t>495,000.00</t>
  </si>
  <si>
    <t>1,321,371.85</t>
  </si>
  <si>
    <t>21,327.00</t>
  </si>
  <si>
    <t>128,450.00</t>
  </si>
  <si>
    <t>985,133.81</t>
  </si>
  <si>
    <t>2,499,972.68</t>
  </si>
  <si>
    <t>2,379,896.78</t>
  </si>
  <si>
    <t>175,026.00</t>
  </si>
  <si>
    <t>9,520.00</t>
  </si>
  <si>
    <t>1,445,704.10</t>
  </si>
  <si>
    <t>1,202,849.99</t>
  </si>
  <si>
    <t>1,109,238.95</t>
  </si>
  <si>
    <t>348,491.00</t>
  </si>
  <si>
    <t>476,590.00</t>
  </si>
  <si>
    <t>1,810,500.00</t>
  </si>
  <si>
    <t>36,250,000.00</t>
  </si>
  <si>
    <t>3,107,755.00</t>
  </si>
  <si>
    <t>1,295,000.00</t>
  </si>
  <si>
    <t>1,949,538.40</t>
  </si>
  <si>
    <t>144,690.00</t>
  </si>
  <si>
    <t>174,200.00</t>
  </si>
  <si>
    <t>46,000.00</t>
  </si>
  <si>
    <t>6,950,000.00</t>
  </si>
  <si>
    <t>2,667,000.00</t>
  </si>
  <si>
    <t>1,480,914.00</t>
  </si>
  <si>
    <t>4,575,000.00</t>
  </si>
  <si>
    <t>885,283.50</t>
  </si>
  <si>
    <t>585,502.25</t>
  </si>
  <si>
    <t>79,999.99</t>
  </si>
  <si>
    <t>119,999.95</t>
  </si>
  <si>
    <t>25,925.00</t>
  </si>
  <si>
    <t>262,400.00</t>
  </si>
  <si>
    <t>23,200.00</t>
  </si>
  <si>
    <t>997,160.00</t>
  </si>
  <si>
    <t>535,390.63</t>
  </si>
  <si>
    <t>79,999.97</t>
  </si>
  <si>
    <t>45,500.00</t>
  </si>
  <si>
    <t>104,200.00</t>
  </si>
  <si>
    <t>249,615.00</t>
  </si>
  <si>
    <t>195,750.00</t>
  </si>
  <si>
    <t>732,500.00</t>
  </si>
  <si>
    <t>80,750.00</t>
  </si>
  <si>
    <t>991,400.00</t>
  </si>
  <si>
    <t>82,200.00</t>
  </si>
  <si>
    <t>408,843.00</t>
  </si>
  <si>
    <t>371,439.75</t>
  </si>
  <si>
    <t>90,300.00</t>
  </si>
  <si>
    <t>66,130.00</t>
  </si>
  <si>
    <t>2,923,340.00</t>
  </si>
  <si>
    <t>98,600.00</t>
  </si>
  <si>
    <t>81,470.00</t>
  </si>
  <si>
    <t>191,657.00</t>
  </si>
  <si>
    <t>288,541.00</t>
  </si>
  <si>
    <t>4,680,000.00</t>
  </si>
  <si>
    <t>166,830.00</t>
  </si>
  <si>
    <t>49,833.00</t>
  </si>
  <si>
    <t>34,464,010.00</t>
  </si>
  <si>
    <t>252,500.00</t>
  </si>
  <si>
    <t>60,592.00</t>
  </si>
  <si>
    <t>4,794.00</t>
  </si>
  <si>
    <t>211,125.00</t>
  </si>
  <si>
    <t>956,836.00</t>
  </si>
  <si>
    <t>11,460.00</t>
  </si>
  <si>
    <t>499,995.00</t>
  </si>
  <si>
    <t>1,577,200.00</t>
  </si>
  <si>
    <t>82,161.02</t>
  </si>
  <si>
    <t>199,380.00</t>
  </si>
  <si>
    <t>247,904.00</t>
  </si>
  <si>
    <t>65,564.00</t>
  </si>
  <si>
    <t>20,580,000.00</t>
  </si>
  <si>
    <t>489,630.00</t>
  </si>
  <si>
    <t>24,580.00</t>
  </si>
  <si>
    <t>4,745,000.00</t>
  </si>
  <si>
    <t>1,634,967.00</t>
  </si>
  <si>
    <t>157,550.00</t>
  </si>
  <si>
    <t>453,369.84</t>
  </si>
  <si>
    <t>455,750.00</t>
  </si>
  <si>
    <t>255,400.00</t>
  </si>
  <si>
    <t>307,790.00</t>
  </si>
  <si>
    <t>76,640.00</t>
  </si>
  <si>
    <t>83,905.00</t>
  </si>
  <si>
    <t>3,415,986.49</t>
  </si>
  <si>
    <t>103,435.00</t>
  </si>
  <si>
    <t>1,824,795.00</t>
  </si>
  <si>
    <t>404,097.00</t>
  </si>
  <si>
    <t>121,990.00</t>
  </si>
  <si>
    <t>175,694.50</t>
  </si>
  <si>
    <t>75,050.00</t>
  </si>
  <si>
    <t>319,831.33</t>
  </si>
  <si>
    <t>5,620,000.00</t>
  </si>
  <si>
    <t>4,900,000.00</t>
  </si>
  <si>
    <t>555,000.00</t>
  </si>
  <si>
    <t>1,099,028.56</t>
  </si>
  <si>
    <t>3,360,000.00</t>
  </si>
  <si>
    <t>347,430.00</t>
  </si>
  <si>
    <t>465,000.00</t>
  </si>
  <si>
    <t>68,400.00</t>
  </si>
  <si>
    <t>314,285.00</t>
  </si>
  <si>
    <t>147,826.43</t>
  </si>
  <si>
    <t>76,826.12</t>
  </si>
  <si>
    <t>660,625.00</t>
  </si>
  <si>
    <t>199,757.50</t>
  </si>
  <si>
    <t>742,400.00</t>
  </si>
  <si>
    <t>148,527.78</t>
  </si>
  <si>
    <t>1,451,952.88</t>
  </si>
  <si>
    <t>12,437,478.23</t>
  </si>
  <si>
    <t>12,740,000.00</t>
  </si>
  <si>
    <t>479,994.79</t>
  </si>
  <si>
    <t>195,840.00</t>
  </si>
  <si>
    <t>99,057.86</t>
  </si>
  <si>
    <t>243,290.00</t>
  </si>
  <si>
    <t>12,437,369.00</t>
  </si>
  <si>
    <t>257,010.00</t>
  </si>
  <si>
    <t>149,369.15</t>
  </si>
  <si>
    <t>988,900.00</t>
  </si>
  <si>
    <t>4,200,000.00</t>
  </si>
  <si>
    <t>286,770.00</t>
  </si>
  <si>
    <t>237,778.12</t>
  </si>
  <si>
    <t>9,312.95</t>
  </si>
  <si>
    <t>586,000.00</t>
  </si>
  <si>
    <t>49,980.00</t>
  </si>
  <si>
    <t>1,576,278.20</t>
  </si>
  <si>
    <t>1,021,500.00</t>
  </si>
  <si>
    <t>98,712.39</t>
  </si>
  <si>
    <t>3,003,954.00</t>
  </si>
  <si>
    <t>117,500.00</t>
  </si>
  <si>
    <t>390,062.23</t>
  </si>
  <si>
    <t>207,500.00</t>
  </si>
  <si>
    <t>494,471.97</t>
  </si>
  <si>
    <t>564,720.00</t>
  </si>
  <si>
    <t>54,910.00</t>
  </si>
  <si>
    <t>4,808,250.00</t>
  </si>
  <si>
    <t>162,640.00</t>
  </si>
  <si>
    <t>494,991.80</t>
  </si>
  <si>
    <t>148,804.15</t>
  </si>
  <si>
    <t>58,020.00</t>
  </si>
  <si>
    <t>134,735.00</t>
  </si>
  <si>
    <t>353,000.00</t>
  </si>
  <si>
    <t>337,419.66</t>
  </si>
  <si>
    <t>243,887.00</t>
  </si>
  <si>
    <t>209,353.41</t>
  </si>
  <si>
    <t>142,339.30</t>
  </si>
  <si>
    <t>221,464.73</t>
  </si>
  <si>
    <t>477,764.00</t>
  </si>
  <si>
    <t>1,539,012.32</t>
  </si>
  <si>
    <t>2,099,987.71</t>
  </si>
  <si>
    <t>414,482.40</t>
  </si>
  <si>
    <t>957,088.00</t>
  </si>
  <si>
    <t>99,647.00</t>
  </si>
  <si>
    <t>351,225.00</t>
  </si>
  <si>
    <t>999,991.35</t>
  </si>
  <si>
    <t>99,147.20</t>
  </si>
  <si>
    <t>169,831.06</t>
  </si>
  <si>
    <t>50,250.00</t>
  </si>
  <si>
    <t>1,990,000.00</t>
  </si>
  <si>
    <t>116,190.00</t>
  </si>
  <si>
    <t>159,800.00</t>
  </si>
  <si>
    <t>351,986.00</t>
  </si>
  <si>
    <t>1,006,125.08</t>
  </si>
  <si>
    <t>208,170.00</t>
  </si>
  <si>
    <t>123,575.00</t>
  </si>
  <si>
    <t>480,940.00</t>
  </si>
  <si>
    <t>103,787.10</t>
  </si>
  <si>
    <t>9,898,048.48</t>
  </si>
  <si>
    <t>77,830.00</t>
  </si>
  <si>
    <t>1,856,581.50</t>
  </si>
  <si>
    <t>353,286.00</t>
  </si>
  <si>
    <t>8,500,000.00</t>
  </si>
  <si>
    <t>406,349.99</t>
  </si>
  <si>
    <t>74,100.00</t>
  </si>
  <si>
    <t>395,260.40</t>
  </si>
  <si>
    <t>325,388.00</t>
  </si>
  <si>
    <t>486,600.00</t>
  </si>
  <si>
    <t>97,958.92</t>
  </si>
  <si>
    <t>28,560.00</t>
  </si>
  <si>
    <t>8,303,829.40</t>
  </si>
  <si>
    <t>134,617.30</t>
  </si>
  <si>
    <t>238,887.72</t>
  </si>
  <si>
    <t>978,317.44</t>
  </si>
  <si>
    <t>152,222.68</t>
  </si>
  <si>
    <t>1,390,200.00</t>
  </si>
  <si>
    <t>38,792.45</t>
  </si>
  <si>
    <t>150,050.00</t>
  </si>
  <si>
    <t>177,530.00</t>
  </si>
  <si>
    <t>52,730.00</t>
  </si>
  <si>
    <t>52,700.00</t>
  </si>
  <si>
    <t>138,346.00</t>
  </si>
  <si>
    <t>220,344.60</t>
  </si>
  <si>
    <t>55,282.00</t>
  </si>
  <si>
    <t>15,000,000.00</t>
  </si>
  <si>
    <t>175,337.07</t>
  </si>
  <si>
    <t>249,165.72</t>
  </si>
  <si>
    <t>200,084.00</t>
  </si>
  <si>
    <t>409,790.00</t>
  </si>
  <si>
    <t>250,875.72</t>
  </si>
  <si>
    <t>1,900,145.00</t>
  </si>
  <si>
    <t>59,446.00</t>
  </si>
  <si>
    <t>78,705.00</t>
  </si>
  <si>
    <t>4,293,000.00</t>
  </si>
  <si>
    <t>60,300.00</t>
  </si>
  <si>
    <t>155,322.72</t>
  </si>
  <si>
    <t>493,409.20</t>
  </si>
  <si>
    <t>76,255,265.00</t>
  </si>
  <si>
    <t>147,252.72</t>
  </si>
  <si>
    <t>794,115.79</t>
  </si>
  <si>
    <t>115,995.00</t>
  </si>
  <si>
    <t>2,950,000.00</t>
  </si>
  <si>
    <t>113,925.00</t>
  </si>
  <si>
    <t>520,333.33</t>
  </si>
  <si>
    <t>46,056,315.78</t>
  </si>
  <si>
    <t>999,300.00</t>
  </si>
  <si>
    <t>519,322.00</t>
  </si>
  <si>
    <t>231,867.50</t>
  </si>
  <si>
    <t>77,200.00</t>
  </si>
  <si>
    <t>90,005.50</t>
  </si>
  <si>
    <t>144,450.00</t>
  </si>
  <si>
    <t>1,057,350.00</t>
  </si>
  <si>
    <t>165,500.00</t>
  </si>
  <si>
    <t>900,613.00</t>
  </si>
  <si>
    <t>342,266.23</t>
  </si>
  <si>
    <t>355,245.00</t>
  </si>
  <si>
    <t>298,450.00</t>
  </si>
  <si>
    <t>112,275.00</t>
  </si>
  <si>
    <t>93,836.40</t>
  </si>
  <si>
    <t>34,213.07</t>
  </si>
  <si>
    <t>688,388.00</t>
  </si>
  <si>
    <t>3,960,000.00</t>
  </si>
  <si>
    <t>84,579.00</t>
  </si>
  <si>
    <t>119,522.00</t>
  </si>
  <si>
    <t>1,016,400.00</t>
  </si>
  <si>
    <t>59,545.00</t>
  </si>
  <si>
    <t>38,463,320.53</t>
  </si>
  <si>
    <t>1,498,728.64</t>
  </si>
  <si>
    <t>73,980.00</t>
  </si>
  <si>
    <t>85,554.82</t>
  </si>
  <si>
    <t>67,510.00</t>
  </si>
  <si>
    <t>49,600.00</t>
  </si>
  <si>
    <t>978,486.08</t>
  </si>
  <si>
    <t>69,093.00</t>
  </si>
  <si>
    <t>164,437.06</t>
  </si>
  <si>
    <t>346,777.53</t>
  </si>
  <si>
    <t>711,000.00</t>
  </si>
  <si>
    <t>98,823.38</t>
  </si>
  <si>
    <t>539,000.00</t>
  </si>
  <si>
    <t>79,200.00</t>
  </si>
  <si>
    <t>19,300,000.00</t>
  </si>
  <si>
    <t>670,850.00</t>
  </si>
  <si>
    <t>1,558,175.76</t>
  </si>
  <si>
    <t>1,490,000.00</t>
  </si>
  <si>
    <t>13,100.00</t>
  </si>
  <si>
    <t>90,150.00</t>
  </si>
  <si>
    <t>72,926.75</t>
  </si>
  <si>
    <t>40,180,000.00</t>
  </si>
  <si>
    <t>28,933,406.65</t>
  </si>
  <si>
    <t>85,312,920.00</t>
  </si>
  <si>
    <t>344,234.00</t>
  </si>
  <si>
    <t>98,467.23</t>
  </si>
  <si>
    <t>197,815.44</t>
  </si>
  <si>
    <t>962,294.69</t>
  </si>
  <si>
    <t>283,386.97</t>
  </si>
  <si>
    <t>59,558.20</t>
  </si>
  <si>
    <t>88,191.99</t>
  </si>
  <si>
    <t>157,000.00</t>
  </si>
  <si>
    <t>701,983.95</t>
  </si>
  <si>
    <t>118,860.00</t>
  </si>
  <si>
    <t>2,298,889.10</t>
  </si>
  <si>
    <t>69,729.00</t>
  </si>
  <si>
    <t>23,785,114.65</t>
  </si>
  <si>
    <t>24,004,048.84</t>
  </si>
  <si>
    <t>233,188.98</t>
  </si>
  <si>
    <t>197,991.00</t>
  </si>
  <si>
    <t>28,950,000.00</t>
  </si>
  <si>
    <t>33,150,567.67</t>
  </si>
  <si>
    <t>1,090,000.00</t>
  </si>
  <si>
    <t>13,498,743.50</t>
  </si>
  <si>
    <t>33,720,309.02</t>
  </si>
  <si>
    <t>430,714.84</t>
  </si>
  <si>
    <t>2,155,955.34</t>
  </si>
  <si>
    <t>946,125.62</t>
  </si>
  <si>
    <t>113,200.00</t>
  </si>
  <si>
    <t>253,284.00</t>
  </si>
  <si>
    <t>2,939,987.89</t>
  </si>
  <si>
    <t>45,800.00</t>
  </si>
  <si>
    <t>499,776.80</t>
  </si>
  <si>
    <t>969,760.47</t>
  </si>
  <si>
    <t>88,400.00</t>
  </si>
  <si>
    <t>1,916,533.94</t>
  </si>
  <si>
    <t>21,278,695.22</t>
  </si>
  <si>
    <t>6,610,000.00</t>
  </si>
  <si>
    <t>783,988.86</t>
  </si>
  <si>
    <t>4,956,972.00</t>
  </si>
  <si>
    <t>1,440,070.83</t>
  </si>
  <si>
    <t>1,519,143.50</t>
  </si>
  <si>
    <t>186,400.00</t>
  </si>
  <si>
    <t>175,009.42</t>
  </si>
  <si>
    <t>512,938.75</t>
  </si>
  <si>
    <t>191,700.00</t>
  </si>
  <si>
    <t>257,333.33</t>
  </si>
  <si>
    <t>1,959,998.08</t>
  </si>
  <si>
    <t>74,202.00</t>
  </si>
  <si>
    <t>108,182.00</t>
  </si>
  <si>
    <t>1,959,933.34</t>
  </si>
  <si>
    <t>1,193,822.21</t>
  </si>
  <si>
    <t>1,920,758.22</t>
  </si>
  <si>
    <t>112,160.00</t>
  </si>
  <si>
    <t>159,200.00</t>
  </si>
  <si>
    <t>2,981,093.40</t>
  </si>
  <si>
    <t>800,450.00</t>
  </si>
  <si>
    <t>499,874.82</t>
  </si>
  <si>
    <t>393,784.00</t>
  </si>
  <si>
    <t>111,200.00</t>
  </si>
  <si>
    <t>37,045.00</t>
  </si>
  <si>
    <t>16,702,885.48</t>
  </si>
  <si>
    <t>58,800.00</t>
  </si>
  <si>
    <t>7,860,000.00</t>
  </si>
  <si>
    <t>69,023.00</t>
  </si>
  <si>
    <t>4,899,988.32</t>
  </si>
  <si>
    <t>351,966.00</t>
  </si>
  <si>
    <t>169,289.00</t>
  </si>
  <si>
    <t>213,200.00</t>
  </si>
  <si>
    <t>245,900.00</t>
  </si>
  <si>
    <t>131,020.00</t>
  </si>
  <si>
    <t>178,000.00</t>
  </si>
  <si>
    <t>1,345,000.00</t>
  </si>
  <si>
    <t>4,835,471.88</t>
  </si>
  <si>
    <t>243,000.00</t>
  </si>
  <si>
    <t>60,800.00</t>
  </si>
  <si>
    <t>533,886.22</t>
  </si>
  <si>
    <t>755,000.00</t>
  </si>
  <si>
    <t>295,815.98</t>
  </si>
  <si>
    <t>314,000.00</t>
  </si>
  <si>
    <t>277,802.00</t>
  </si>
  <si>
    <t>101,618.00</t>
  </si>
  <si>
    <t>79,686.00</t>
  </si>
  <si>
    <t>61,690.00</t>
  </si>
  <si>
    <t>4,799,984.68</t>
  </si>
  <si>
    <t>164,445.62</t>
  </si>
  <si>
    <t>239,117.00</t>
  </si>
  <si>
    <t>334,761.30</t>
  </si>
  <si>
    <t>99,830.00</t>
  </si>
  <si>
    <t>83,333.00</t>
  </si>
  <si>
    <t>74,530.00</t>
  </si>
  <si>
    <t>63,745.00</t>
  </si>
  <si>
    <t>146,400.00</t>
  </si>
  <si>
    <t>395,086.10</t>
  </si>
  <si>
    <t>379,600.00</t>
  </si>
  <si>
    <t>35,750,000.00</t>
  </si>
  <si>
    <t>124,304.00</t>
  </si>
  <si>
    <t>78,690.00</t>
  </si>
  <si>
    <t>1,712,200.00</t>
  </si>
  <si>
    <t>482,816.00</t>
  </si>
  <si>
    <t>45,034.00</t>
  </si>
  <si>
    <t>649,000.00</t>
  </si>
  <si>
    <t>1,579,610.00</t>
  </si>
  <si>
    <t>829,230.15</t>
  </si>
  <si>
    <t>799,642.03</t>
  </si>
  <si>
    <t>506,326.28</t>
  </si>
  <si>
    <t>606,660.00</t>
  </si>
  <si>
    <t>666,696.64</t>
  </si>
  <si>
    <t>173,600.00</t>
  </si>
  <si>
    <t>177,614.00</t>
  </si>
  <si>
    <t>1,168,834.72</t>
  </si>
  <si>
    <t>25,500.00</t>
  </si>
  <si>
    <t>64,650.00</t>
  </si>
  <si>
    <t>245,999.70</t>
  </si>
  <si>
    <t>503,270.00</t>
  </si>
  <si>
    <t>211,580.00</t>
  </si>
  <si>
    <t>4,037,955.62</t>
  </si>
  <si>
    <t>611,940.69</t>
  </si>
  <si>
    <t>497,467.75</t>
  </si>
  <si>
    <t>327,750.00</t>
  </si>
  <si>
    <t>197,600.00</t>
  </si>
  <si>
    <t>321,600.00</t>
  </si>
  <si>
    <t>249,995.00</t>
  </si>
  <si>
    <t>549,800.00</t>
  </si>
  <si>
    <t>146,971.24</t>
  </si>
  <si>
    <t>671,400.00</t>
  </si>
  <si>
    <t>67,120.00</t>
  </si>
  <si>
    <t>64,205.00</t>
  </si>
  <si>
    <t>388,974.00</t>
  </si>
  <si>
    <t>451,250.00</t>
  </si>
  <si>
    <t>1,322,099.90</t>
  </si>
  <si>
    <t>389,580.00</t>
  </si>
  <si>
    <t>1,261,200.00</t>
  </si>
  <si>
    <t>535,290.00</t>
  </si>
  <si>
    <t>599,999.68</t>
  </si>
  <si>
    <t>216,000.00</t>
  </si>
  <si>
    <t>74,968.00</t>
  </si>
  <si>
    <t>75,654.00</t>
  </si>
  <si>
    <t>9,988.00</t>
  </si>
  <si>
    <t>236,400.50</t>
  </si>
  <si>
    <t>269,925.00</t>
  </si>
  <si>
    <t>123,600.00</t>
  </si>
  <si>
    <t>366,375.00</t>
  </si>
  <si>
    <t>563,751.86</t>
  </si>
  <si>
    <t>117,677.00</t>
  </si>
  <si>
    <t>249,914.99</t>
  </si>
  <si>
    <t>79,875.00</t>
  </si>
  <si>
    <t>187,363.10</t>
  </si>
  <si>
    <t>2,969,778.47</t>
  </si>
  <si>
    <t>336,537.00</t>
  </si>
  <si>
    <t>151,199.04</t>
  </si>
  <si>
    <t>387,285.00</t>
  </si>
  <si>
    <t>1,290,000.00</t>
  </si>
  <si>
    <t>177,000.00</t>
  </si>
  <si>
    <t>57,028.00</t>
  </si>
  <si>
    <t>97,470.00</t>
  </si>
  <si>
    <t>1,211,089.16</t>
  </si>
  <si>
    <t>2,847,500.00</t>
  </si>
  <si>
    <t>33,646,910.64</t>
  </si>
  <si>
    <t>108,368.36</t>
  </si>
  <si>
    <t>1,236,500.00</t>
  </si>
  <si>
    <t>278,677.16</t>
  </si>
  <si>
    <t>136,255.77</t>
  </si>
  <si>
    <t>399,760.00</t>
  </si>
  <si>
    <t>63,200.00</t>
  </si>
  <si>
    <t>551,299.19</t>
  </si>
  <si>
    <t>69,998.42</t>
  </si>
  <si>
    <t>99,980.00</t>
  </si>
  <si>
    <t>115,600.00</t>
  </si>
  <si>
    <t>1,603,378.00</t>
  </si>
  <si>
    <t>58,950.00</t>
  </si>
  <si>
    <t>113,000.00</t>
  </si>
  <si>
    <t>1,924,356.00</t>
  </si>
  <si>
    <t>154,998.00</t>
  </si>
  <si>
    <t>132,370.00</t>
  </si>
  <si>
    <t>144,420.00</t>
  </si>
  <si>
    <t>137,440.00</t>
  </si>
  <si>
    <t>249,607.80</t>
  </si>
  <si>
    <t>2,117,955.00</t>
  </si>
  <si>
    <t>202,990.00</t>
  </si>
  <si>
    <t>127,357.00</t>
  </si>
  <si>
    <t>2,475,000.00</t>
  </si>
  <si>
    <t>271,070.00</t>
  </si>
  <si>
    <t>258,183.09</t>
  </si>
  <si>
    <t>719,000.00</t>
  </si>
  <si>
    <t>114,910.00</t>
  </si>
  <si>
    <t>181,586.00</t>
  </si>
  <si>
    <t>2,939,510.80</t>
  </si>
  <si>
    <t>167,153.10</t>
  </si>
  <si>
    <t>2,862,000.00</t>
  </si>
  <si>
    <t>11,879,737.77</t>
  </si>
  <si>
    <t>136,880.00</t>
  </si>
  <si>
    <t>26,050.00</t>
  </si>
  <si>
    <t>222,865.00</t>
  </si>
  <si>
    <t>608,170.00</t>
  </si>
  <si>
    <t>498,113.00</t>
  </si>
  <si>
    <t>189,479.00</t>
  </si>
  <si>
    <t>122,875.00</t>
  </si>
  <si>
    <t>316,426.04</t>
  </si>
  <si>
    <t>216,420.00</t>
  </si>
  <si>
    <t>807,500.00</t>
  </si>
  <si>
    <t>663,079.89</t>
  </si>
  <si>
    <t>121,643.78</t>
  </si>
  <si>
    <t>56,057.08</t>
  </si>
  <si>
    <t>19,460.00</t>
  </si>
  <si>
    <t>84,200.00</t>
  </si>
  <si>
    <t>96,875.00</t>
  </si>
  <si>
    <t>986,860.00</t>
  </si>
  <si>
    <t>66,370.00</t>
  </si>
  <si>
    <t>39,677.60</t>
  </si>
  <si>
    <t>74,670.00</t>
  </si>
  <si>
    <t>344,835.00</t>
  </si>
  <si>
    <t>572,500.00</t>
  </si>
  <si>
    <t>75,875.00</t>
  </si>
  <si>
    <t>74,048.50</t>
  </si>
  <si>
    <t>12,869,920.01</t>
  </si>
  <si>
    <t>9,257,180.00</t>
  </si>
  <si>
    <t>99,819.00</t>
  </si>
  <si>
    <t>50,000,000.00</t>
  </si>
  <si>
    <t>89,440.00</t>
  </si>
  <si>
    <t>196,900.00</t>
  </si>
  <si>
    <t>116,871.82</t>
  </si>
  <si>
    <t>799,915.73</t>
  </si>
  <si>
    <t>858,715.00</t>
  </si>
  <si>
    <t>317,634.00</t>
  </si>
  <si>
    <t>23,440.00</t>
  </si>
  <si>
    <t>1,941,400.00</t>
  </si>
  <si>
    <t>2,100.00</t>
  </si>
  <si>
    <t>349,998.25</t>
  </si>
  <si>
    <t>37,455,004.00</t>
  </si>
  <si>
    <t>1,487,640.00</t>
  </si>
  <si>
    <t>449,902.46</t>
  </si>
  <si>
    <t>335,523.00</t>
  </si>
  <si>
    <t>3,695,598.00</t>
  </si>
  <si>
    <t>816,870.00</t>
  </si>
  <si>
    <t>166,432.00</t>
  </si>
  <si>
    <t>286,572.20</t>
  </si>
  <si>
    <t>54,677.64</t>
  </si>
  <si>
    <t>223,960.00</t>
  </si>
  <si>
    <t>821,667.70</t>
  </si>
  <si>
    <t>236,025.00</t>
  </si>
  <si>
    <t>6,616,000.00</t>
  </si>
  <si>
    <t>8,390,523.95</t>
  </si>
  <si>
    <t>309,260.00</t>
  </si>
  <si>
    <t>86,951.10</t>
  </si>
  <si>
    <t>119,499.99</t>
  </si>
  <si>
    <t>134,740.00</t>
  </si>
  <si>
    <t>14,811,573.00</t>
  </si>
  <si>
    <t>1,980,000.00</t>
  </si>
  <si>
    <t>999,990.00</t>
  </si>
  <si>
    <t>2,262,676.33</t>
  </si>
  <si>
    <t>3,260,923.00</t>
  </si>
  <si>
    <t>1,194,000.00</t>
  </si>
  <si>
    <t>98,300.00</t>
  </si>
  <si>
    <t>49,896.00</t>
  </si>
  <si>
    <t>5,314,448.53</t>
  </si>
  <si>
    <t>730,051.92</t>
  </si>
  <si>
    <t>4,327,135.45</t>
  </si>
  <si>
    <t>221,253.66</t>
  </si>
  <si>
    <t>286,000.00</t>
  </si>
  <si>
    <t>9,293,709.93</t>
  </si>
  <si>
    <t>142,150.00</t>
  </si>
  <si>
    <t>90,349.55</t>
  </si>
  <si>
    <t>9,147,000.00</t>
  </si>
  <si>
    <t>3,830,641.00</t>
  </si>
  <si>
    <t>667,200.00</t>
  </si>
  <si>
    <t>1,228,970.00</t>
  </si>
  <si>
    <t>326,500.00</t>
  </si>
  <si>
    <t>294,150.00</t>
  </si>
  <si>
    <t>420,550.00</t>
  </si>
  <si>
    <t>1,824,829.00</t>
  </si>
  <si>
    <t>399,000.00</t>
  </si>
  <si>
    <t>62,650.00</t>
  </si>
  <si>
    <t>162,500,000.00</t>
  </si>
  <si>
    <t>79,193,296.12</t>
  </si>
  <si>
    <t>237,500.00</t>
  </si>
  <si>
    <t>11,320,000.00</t>
  </si>
  <si>
    <t>404,836.00</t>
  </si>
  <si>
    <t>208,880.00</t>
  </si>
  <si>
    <t>911,096.83</t>
  </si>
  <si>
    <t>497,350.00</t>
  </si>
  <si>
    <t>901,551.09</t>
  </si>
  <si>
    <t>322,478.00</t>
  </si>
  <si>
    <t>102,210.00</t>
  </si>
  <si>
    <t>13,943,565.46</t>
  </si>
  <si>
    <t>378,911.60</t>
  </si>
  <si>
    <t>14,483,282.53</t>
  </si>
  <si>
    <t>1,662,808.00</t>
  </si>
  <si>
    <t>118,600.00</t>
  </si>
  <si>
    <t>9,032,164.00</t>
  </si>
  <si>
    <t>77,505.00</t>
  </si>
  <si>
    <t>1,031,031.00</t>
  </si>
  <si>
    <t>1,443,618.10</t>
  </si>
  <si>
    <t>14,683,766.02</t>
  </si>
  <si>
    <t>793,495.00</t>
  </si>
  <si>
    <t>999,977.83</t>
  </si>
  <si>
    <t>144,375.00</t>
  </si>
  <si>
    <t>154,831.00</t>
  </si>
  <si>
    <t>3,990,925.31</t>
  </si>
  <si>
    <t>80,900.00</t>
  </si>
  <si>
    <t>801,000.00</t>
  </si>
  <si>
    <t>523,294.00</t>
  </si>
  <si>
    <t>9,250,000.00</t>
  </si>
  <si>
    <t>242,125.00</t>
  </si>
  <si>
    <t>12,150,000.00</t>
  </si>
  <si>
    <t>76,375.00</t>
  </si>
  <si>
    <t>1,379,383.98</t>
  </si>
  <si>
    <t>136,870.00</t>
  </si>
  <si>
    <t>50,564.00</t>
  </si>
  <si>
    <t>52,620.00</t>
  </si>
  <si>
    <t>3,377,927.04</t>
  </si>
  <si>
    <t>1,320,795.00</t>
  </si>
  <si>
    <t>1,498,790.00</t>
  </si>
  <si>
    <t>405,750.00</t>
  </si>
  <si>
    <t>4,799,074.69</t>
  </si>
  <si>
    <t>5,330,319.37</t>
  </si>
  <si>
    <t>144,769.32</t>
  </si>
  <si>
    <t>248,905.00</t>
  </si>
  <si>
    <t>71,375.00</t>
  </si>
  <si>
    <t>1,999,980.00</t>
  </si>
  <si>
    <t>445,000.00</t>
  </si>
  <si>
    <t>341,005.00</t>
  </si>
  <si>
    <t>546,000.00</t>
  </si>
  <si>
    <t>1,823,586.00</t>
  </si>
  <si>
    <t>1,323,658.40</t>
  </si>
  <si>
    <t>1,832,016.00</t>
  </si>
  <si>
    <t>2,484,499.50</t>
  </si>
  <si>
    <t>67,200.00</t>
  </si>
  <si>
    <t>1,381,650.00</t>
  </si>
  <si>
    <t>5,354,406.35</t>
  </si>
  <si>
    <t>438,100.00</t>
  </si>
  <si>
    <t>3,200,000.00</t>
  </si>
  <si>
    <t>325,900.00</t>
  </si>
  <si>
    <t>1,787,655.00</t>
  </si>
  <si>
    <t>159,749.14</t>
  </si>
  <si>
    <t>1,798,169.42</t>
  </si>
  <si>
    <t>236,480.00</t>
  </si>
  <si>
    <t>3,664,668.00</t>
  </si>
  <si>
    <t>87,202.25</t>
  </si>
  <si>
    <t>1,057,517.75</t>
  </si>
  <si>
    <t>994,500.00</t>
  </si>
  <si>
    <t>993,900.00</t>
  </si>
  <si>
    <t>53,800.00</t>
  </si>
  <si>
    <t>147,470.00</t>
  </si>
  <si>
    <t>2,138,521.70</t>
  </si>
  <si>
    <t>957,161.00</t>
  </si>
  <si>
    <t>222,639.00</t>
  </si>
  <si>
    <t>23,040.00</t>
  </si>
  <si>
    <t>131,633.35</t>
  </si>
  <si>
    <t>914,999.00</t>
  </si>
  <si>
    <t>524,409.60</t>
  </si>
  <si>
    <t>384,365.00</t>
  </si>
  <si>
    <t>406,415.00</t>
  </si>
  <si>
    <t>182,000,000.00</t>
  </si>
  <si>
    <t>192,392.00</t>
  </si>
  <si>
    <t>268,806.95</t>
  </si>
  <si>
    <t>4,066,702.83</t>
  </si>
  <si>
    <t>10,634,816.00</t>
  </si>
  <si>
    <t>3,645,958.00</t>
  </si>
  <si>
    <t>37,560.00</t>
  </si>
  <si>
    <t>340,687.99</t>
  </si>
  <si>
    <t>180,016.69</t>
  </si>
  <si>
    <t>73,966.50</t>
  </si>
  <si>
    <t>247,450.00</t>
  </si>
  <si>
    <t>344,600.00</t>
  </si>
  <si>
    <t>1,242,314.57</t>
  </si>
  <si>
    <t>999,999.24</t>
  </si>
  <si>
    <t>2,954,445.32</t>
  </si>
  <si>
    <t>985,600.00</t>
  </si>
  <si>
    <t>7,866,061.54</t>
  </si>
  <si>
    <t>6,576,562.11</t>
  </si>
  <si>
    <t>15,200.00</t>
  </si>
  <si>
    <t>1,154,531.45</t>
  </si>
  <si>
    <t>6,043,032.00</t>
  </si>
  <si>
    <t>24,500,000.00</t>
  </si>
  <si>
    <t>254,070.00</t>
  </si>
  <si>
    <t>59,780.00</t>
  </si>
  <si>
    <t>2,301,989.20</t>
  </si>
  <si>
    <t>78,080.35</t>
  </si>
  <si>
    <t>233,080.00</t>
  </si>
  <si>
    <t>76,832.05</t>
  </si>
  <si>
    <t>182,343.00</t>
  </si>
  <si>
    <t>181,250.00</t>
  </si>
  <si>
    <t>1,786,395.00</t>
  </si>
  <si>
    <t>113,624.85</t>
  </si>
  <si>
    <t>58,490.00</t>
  </si>
  <si>
    <t>1,496,000.00</t>
  </si>
  <si>
    <t>6,144.00</t>
  </si>
  <si>
    <t>739,506.80</t>
  </si>
  <si>
    <t>5,657,769.82</t>
  </si>
  <si>
    <t>172,624.74</t>
  </si>
  <si>
    <t>4,391,000.69</t>
  </si>
  <si>
    <t>5,999,918.78</t>
  </si>
  <si>
    <t>3,842,466.53</t>
  </si>
  <si>
    <t>51,805.00</t>
  </si>
  <si>
    <t>116,330.00</t>
  </si>
  <si>
    <t>203,500.00</t>
  </si>
  <si>
    <t>1,998,699.41</t>
  </si>
  <si>
    <t>280,795.68</t>
  </si>
  <si>
    <t>169,300.00</t>
  </si>
  <si>
    <t>215,442.00</t>
  </si>
  <si>
    <t>99,700.00</t>
  </si>
  <si>
    <t>808,210.00</t>
  </si>
  <si>
    <t>500,175.00</t>
  </si>
  <si>
    <t>1,921,000.00</t>
  </si>
  <si>
    <t>25,701,000.00</t>
  </si>
  <si>
    <t>127,800.00</t>
  </si>
  <si>
    <t>383,767.00</t>
  </si>
  <si>
    <t>1,356,471.75</t>
  </si>
  <si>
    <t>8,376,066.00</t>
  </si>
  <si>
    <t>30,800,000.00</t>
  </si>
  <si>
    <t>440,675.00</t>
  </si>
  <si>
    <t>993,200.00</t>
  </si>
  <si>
    <t>2,279,023.16</t>
  </si>
  <si>
    <t>973,932.25</t>
  </si>
  <si>
    <t>15,200,000.00</t>
  </si>
  <si>
    <t>1,998,247.49</t>
  </si>
  <si>
    <t>370,307.00</t>
  </si>
  <si>
    <t>599,190.61</t>
  </si>
  <si>
    <t>3,298,242.21</t>
  </si>
  <si>
    <t>134,150.00</t>
  </si>
  <si>
    <t>646,000.00</t>
  </si>
  <si>
    <t>150,500.00</t>
  </si>
  <si>
    <t>314,375.00</t>
  </si>
  <si>
    <t>34,740,000.00</t>
  </si>
  <si>
    <t>197,800.00</t>
  </si>
  <si>
    <t>11,000,000.00</t>
  </si>
  <si>
    <t>462,410.00</t>
  </si>
  <si>
    <t>6,933,100.00</t>
  </si>
  <si>
    <t>3,288,600.00</t>
  </si>
  <si>
    <t>146,458.00</t>
  </si>
  <si>
    <t>115,479.00</t>
  </si>
  <si>
    <t>25,935,000.00</t>
  </si>
  <si>
    <t>3,809,860.00</t>
  </si>
  <si>
    <t>4,999,998.41</t>
  </si>
  <si>
    <t>71,602.00</t>
  </si>
  <si>
    <t>62,845.60</t>
  </si>
  <si>
    <t>270,532.00</t>
  </si>
  <si>
    <t>512,106.50</t>
  </si>
  <si>
    <t>41,690,934.00</t>
  </si>
  <si>
    <t>186,730.00</t>
  </si>
  <si>
    <t>12,204,000.00</t>
  </si>
  <si>
    <t>3,237,309.77</t>
  </si>
  <si>
    <t>468,950.00</t>
  </si>
  <si>
    <t>80,271.79</t>
  </si>
  <si>
    <t>742,000.00</t>
  </si>
  <si>
    <t>192,100.00</t>
  </si>
  <si>
    <t>137,000.00</t>
  </si>
  <si>
    <t>57,900,000.00</t>
  </si>
  <si>
    <t>1,123,089.04</t>
  </si>
  <si>
    <t>842,060.00</t>
  </si>
  <si>
    <t>918,986.00</t>
  </si>
  <si>
    <t>88,300.00</t>
  </si>
  <si>
    <t>986,755.00</t>
  </si>
  <si>
    <t>119,990.00</t>
  </si>
  <si>
    <t>29,400,000.00</t>
  </si>
  <si>
    <t>797,750.00</t>
  </si>
  <si>
    <t>77,200,000.00</t>
  </si>
  <si>
    <t>64,855.00</t>
  </si>
  <si>
    <t>1,958,914.14</t>
  </si>
  <si>
    <t>254,420.00</t>
  </si>
  <si>
    <t>1,509,556.47</t>
  </si>
  <si>
    <t>288,916.20</t>
  </si>
  <si>
    <t>220,504.20</t>
  </si>
  <si>
    <t>69,682,190.00</t>
  </si>
  <si>
    <t>412,000.00</t>
  </si>
  <si>
    <t>1,108,070.00</t>
  </si>
  <si>
    <t>327,200.00</t>
  </si>
  <si>
    <t>237,590.00</t>
  </si>
  <si>
    <t>2,999,975.33</t>
  </si>
  <si>
    <t>2,429,214.38</t>
  </si>
  <si>
    <t>5,470,000.00</t>
  </si>
  <si>
    <t>313,000.00</t>
  </si>
  <si>
    <t>995,683.75</t>
  </si>
  <si>
    <t>206,202.83</t>
  </si>
  <si>
    <t>122,700.00</t>
  </si>
  <si>
    <t>445,300.00</t>
  </si>
  <si>
    <t>18,998,224.54</t>
  </si>
  <si>
    <t>2,685,042.18</t>
  </si>
  <si>
    <t>152,247.00</t>
  </si>
  <si>
    <t>603,520.00</t>
  </si>
  <si>
    <t>4,485,843.21</t>
  </si>
  <si>
    <t>721,956.00</t>
  </si>
  <si>
    <t>5,334,547.86</t>
  </si>
  <si>
    <t>1,123,000.00</t>
  </si>
  <si>
    <t>7,500,000.00</t>
  </si>
  <si>
    <t>3,120,000.00</t>
  </si>
  <si>
    <t>99,976.00</t>
  </si>
  <si>
    <t>1,647,106.57</t>
  </si>
  <si>
    <t>115,065.00</t>
  </si>
  <si>
    <t>209,671.00</t>
  </si>
  <si>
    <t>96,500,000.00</t>
  </si>
  <si>
    <t>998,267.33</t>
  </si>
  <si>
    <t>4,487,000.00</t>
  </si>
  <si>
    <t>5,454,324.69</t>
  </si>
  <si>
    <t>1,549,800.00</t>
  </si>
  <si>
    <t>15,752,329.27</t>
  </si>
  <si>
    <t>4,998,043.21</t>
  </si>
  <si>
    <t>11,880,000.00</t>
  </si>
  <si>
    <t>87,750.00</t>
  </si>
  <si>
    <t>4,987,916.65</t>
  </si>
  <si>
    <t>1,688,400.00</t>
  </si>
  <si>
    <t>81,005.00</t>
  </si>
  <si>
    <t>679,191.49</t>
  </si>
  <si>
    <t>157,885.00</t>
  </si>
  <si>
    <t>1,137,903.00</t>
  </si>
  <si>
    <t>1,015,500.00</t>
  </si>
  <si>
    <t>1,788,119.81</t>
  </si>
  <si>
    <t>118,617.00</t>
  </si>
  <si>
    <t>2,654,500.00</t>
  </si>
  <si>
    <t>349,157.50</t>
  </si>
  <si>
    <t>2,655,195.00</t>
  </si>
  <si>
    <t>333,265.00</t>
  </si>
  <si>
    <t>371,930.00</t>
  </si>
  <si>
    <t>40,250,000.00</t>
  </si>
  <si>
    <t>5,250,000.00</t>
  </si>
  <si>
    <t>3,320,000.00</t>
  </si>
  <si>
    <t>193,271.00</t>
  </si>
  <si>
    <t>287,300.00</t>
  </si>
  <si>
    <t>733,718.47</t>
  </si>
  <si>
    <t>1,508,601.00</t>
  </si>
  <si>
    <t>4,578,272.00</t>
  </si>
  <si>
    <t>99,985.19</t>
  </si>
  <si>
    <t>205,654.05</t>
  </si>
  <si>
    <t>984,627.88</t>
  </si>
  <si>
    <t>455,362.00</t>
  </si>
  <si>
    <t>1,332,426.70</t>
  </si>
  <si>
    <t>159,980.51</t>
  </si>
  <si>
    <t>2,499,960.00</t>
  </si>
  <si>
    <t>6,210,000.00</t>
  </si>
  <si>
    <t>762,116.00</t>
  </si>
  <si>
    <t>238,311.00</t>
  </si>
  <si>
    <t>319,946.68</t>
  </si>
  <si>
    <t>1,920,000.00</t>
  </si>
  <si>
    <t>2,135,000.00</t>
  </si>
  <si>
    <t>499,980.61</t>
  </si>
  <si>
    <t>102,580.00</t>
  </si>
  <si>
    <t>506,987.25</t>
  </si>
  <si>
    <t>1,315,891.50</t>
  </si>
  <si>
    <t>408,025.80</t>
  </si>
  <si>
    <t>253,949.00</t>
  </si>
  <si>
    <t>72,260.00</t>
  </si>
  <si>
    <t>1,240,849.06</t>
  </si>
  <si>
    <t>767,239.80</t>
  </si>
  <si>
    <t>59,025.00</t>
  </si>
  <si>
    <t>1,186,392.37</t>
  </si>
  <si>
    <t>556,500.00</t>
  </si>
  <si>
    <t>149,934.70</t>
  </si>
  <si>
    <t>275,956.25</t>
  </si>
  <si>
    <t>123,870.00</t>
  </si>
  <si>
    <t>457,484.00</t>
  </si>
  <si>
    <t>1,403,855.73</t>
  </si>
  <si>
    <t>64,320.00</t>
  </si>
  <si>
    <t>3,993,042.94</t>
  </si>
  <si>
    <t>405,001.80</t>
  </si>
  <si>
    <t>8,548,249.78</t>
  </si>
  <si>
    <t>158,500.00</t>
  </si>
  <si>
    <t>10,627,115.00</t>
  </si>
  <si>
    <t>594,782.00</t>
  </si>
  <si>
    <t>76,276.13</t>
  </si>
  <si>
    <t>1,995,254.98</t>
  </si>
  <si>
    <t>53,400.00</t>
  </si>
  <si>
    <t>1,236,499.08</t>
  </si>
  <si>
    <t>297,714.81</t>
  </si>
  <si>
    <t>2,493,646.88</t>
  </si>
  <si>
    <t>277,148.10</t>
  </si>
  <si>
    <t>999,452.02</t>
  </si>
  <si>
    <t>111,825.00</t>
  </si>
  <si>
    <t>290,859.24</t>
  </si>
  <si>
    <t>1,089,950.00</t>
  </si>
  <si>
    <t>11,800,000.00</t>
  </si>
  <si>
    <t>22,640,907.50</t>
  </si>
  <si>
    <t>3,420,000.00</t>
  </si>
  <si>
    <t>75,576.61</t>
  </si>
  <si>
    <t>1,138,897.00</t>
  </si>
  <si>
    <t>1,546,582.27</t>
  </si>
  <si>
    <t>5,331,481.31</t>
  </si>
  <si>
    <t>1,072,307.25</t>
  </si>
  <si>
    <t>296,191.35</t>
  </si>
  <si>
    <t>367,415.00</t>
  </si>
  <si>
    <t>999,657.40</t>
  </si>
  <si>
    <t>3,732,446.00</t>
  </si>
  <si>
    <t>99,820.00</t>
  </si>
  <si>
    <t>3,403,869.66</t>
  </si>
  <si>
    <t>51,124,800.00</t>
  </si>
  <si>
    <t>52,612,884.11</t>
  </si>
  <si>
    <t>1,005,000.00</t>
  </si>
  <si>
    <t>86,850,000.00</t>
  </si>
  <si>
    <t>494,667.89</t>
  </si>
  <si>
    <t>234,950.00</t>
  </si>
  <si>
    <t>1,939,787.70</t>
  </si>
  <si>
    <t>890,410.25</t>
  </si>
  <si>
    <t>68,782.00</t>
  </si>
  <si>
    <t>492,193.35</t>
  </si>
  <si>
    <t>244,867.00</t>
  </si>
  <si>
    <t>1,927,821.11</t>
  </si>
  <si>
    <t>794,994.00</t>
  </si>
  <si>
    <t>499,187.00</t>
  </si>
  <si>
    <t>2,484,765.40</t>
  </si>
  <si>
    <t>229,425.95</t>
  </si>
  <si>
    <t>850,772.00</t>
  </si>
  <si>
    <t>280,388.77</t>
  </si>
  <si>
    <t>293,906.16</t>
  </si>
  <si>
    <t>1,126,000.00</t>
  </si>
  <si>
    <t>110,450.00</t>
  </si>
  <si>
    <t>189,335.78</t>
  </si>
  <si>
    <t>106,250.00</t>
  </si>
  <si>
    <t>305,075.00</t>
  </si>
  <si>
    <t>199,971.24</t>
  </si>
  <si>
    <t>126,182.00</t>
  </si>
  <si>
    <t>2,784,776.00</t>
  </si>
  <si>
    <t>399,968.16</t>
  </si>
  <si>
    <t>499,999.50</t>
  </si>
  <si>
    <t>989,999.00</t>
  </si>
  <si>
    <t>492,244.00</t>
  </si>
  <si>
    <t>1,995,000.00</t>
  </si>
  <si>
    <t>717,750.00</t>
  </si>
  <si>
    <t>738,200.00</t>
  </si>
  <si>
    <t>13,090,262.50</t>
  </si>
  <si>
    <t>150,775.00</t>
  </si>
  <si>
    <t>1,575,000.00</t>
  </si>
  <si>
    <t>998,565.31</t>
  </si>
  <si>
    <t>973,635.04</t>
  </si>
  <si>
    <t>199,821.56</t>
  </si>
  <si>
    <t>216,725.00</t>
  </si>
  <si>
    <t>2,488,574.95</t>
  </si>
  <si>
    <t>2,802,678.95</t>
  </si>
  <si>
    <t>3,949,193.66</t>
  </si>
  <si>
    <t>1,479,974.98</t>
  </si>
  <si>
    <t>7,999,202.60</t>
  </si>
  <si>
    <t>5,392,786.74</t>
  </si>
  <si>
    <t>70,540.00</t>
  </si>
  <si>
    <t>2,090,000.00</t>
  </si>
  <si>
    <t>3,499,748.82</t>
  </si>
  <si>
    <t>35,520.00</t>
  </si>
  <si>
    <t>8,254,477.69</t>
  </si>
  <si>
    <t>723,840.00</t>
  </si>
  <si>
    <t>1,038,150.00</t>
  </si>
  <si>
    <t>1,758,102.71</t>
  </si>
  <si>
    <t>567,780.00</t>
  </si>
  <si>
    <t>2,700,010.50</t>
  </si>
  <si>
    <t>399,982.06</t>
  </si>
  <si>
    <t>1,865,092.45</t>
  </si>
  <si>
    <t>737,452.42</t>
  </si>
  <si>
    <t>6,175,634.09</t>
  </si>
  <si>
    <t>739,619.58</t>
  </si>
  <si>
    <t>4,166,641.10</t>
  </si>
  <si>
    <t>4,671,419.43</t>
  </si>
  <si>
    <t>159,999.00</t>
  </si>
  <si>
    <t>4,199,474.71</t>
  </si>
  <si>
    <t>740,000.00</t>
  </si>
  <si>
    <t>499,712.20</t>
  </si>
  <si>
    <t>87,527.34</t>
  </si>
  <si>
    <t>1,461,827.85</t>
  </si>
  <si>
    <t>439,000.00</t>
  </si>
  <si>
    <t>1,651,132.50</t>
  </si>
  <si>
    <t>1,999,904.07</t>
  </si>
  <si>
    <t>829,466.80</t>
  </si>
  <si>
    <t>140,212.00</t>
  </si>
  <si>
    <t>614,200.00</t>
  </si>
  <si>
    <t>414,860.82</t>
  </si>
  <si>
    <t>633,000.00</t>
  </si>
  <si>
    <t>352,510.00</t>
  </si>
  <si>
    <t>4,188,259.54</t>
  </si>
  <si>
    <t>14,317,638.31</t>
  </si>
  <si>
    <t>643,204.00</t>
  </si>
  <si>
    <t>187,125.75</t>
  </si>
  <si>
    <t>474,835.87</t>
  </si>
  <si>
    <t>435,455.00</t>
  </si>
  <si>
    <t>161,440.00</t>
  </si>
  <si>
    <t>34,565.00</t>
  </si>
  <si>
    <t>365,790.00</t>
  </si>
  <si>
    <t>974,461.26</t>
  </si>
  <si>
    <t>59,917.00</t>
  </si>
  <si>
    <t>156,377.66</t>
  </si>
  <si>
    <t>118,000.00</t>
  </si>
  <si>
    <t>480,937.52</t>
  </si>
  <si>
    <t>202,400.00</t>
  </si>
  <si>
    <t>237,236.00</t>
  </si>
  <si>
    <t>978,476.70</t>
  </si>
  <si>
    <t>393,371.00</t>
  </si>
  <si>
    <t>961,116.56</t>
  </si>
  <si>
    <t>8,680,000.00</t>
  </si>
  <si>
    <t>26,100.00</t>
  </si>
  <si>
    <t>212,798.00</t>
  </si>
  <si>
    <t>196,643.00</t>
  </si>
  <si>
    <t>400,200.00</t>
  </si>
  <si>
    <t>1,018,610.00</t>
  </si>
  <si>
    <t>84,820.00</t>
  </si>
  <si>
    <t>53,680.00</t>
  </si>
  <si>
    <t>1,649,959.37</t>
  </si>
  <si>
    <t>1,357,500.00</t>
  </si>
  <si>
    <t>86,765.00</t>
  </si>
  <si>
    <t>67,490.00</t>
  </si>
  <si>
    <t>145,439.65</t>
  </si>
  <si>
    <t>999,986.88</t>
  </si>
  <si>
    <t>4,265,340.00</t>
  </si>
  <si>
    <t>149,996.00</t>
  </si>
  <si>
    <t>417,470.00</t>
  </si>
  <si>
    <t>153,816.30</t>
  </si>
  <si>
    <t>212,060.00</t>
  </si>
  <si>
    <t>184,250.00</t>
  </si>
  <si>
    <t>353,080.00</t>
  </si>
  <si>
    <t>1,070,360.00</t>
  </si>
  <si>
    <t>81,770.50</t>
  </si>
  <si>
    <t>23,000,000.00</t>
  </si>
  <si>
    <t>199,999.70</t>
  </si>
  <si>
    <t>1,196,700.00</t>
  </si>
  <si>
    <t>721,893.00</t>
  </si>
  <si>
    <t>860,082.00</t>
  </si>
  <si>
    <t>49,400.00</t>
  </si>
  <si>
    <t>1,016,358.64</t>
  </si>
  <si>
    <t>4,516,237.31</t>
  </si>
  <si>
    <t>884,706.93</t>
  </si>
  <si>
    <t>484,233.48</t>
  </si>
  <si>
    <t>432,500.00</t>
  </si>
  <si>
    <t>316,500.00</t>
  </si>
  <si>
    <t>74,300.00</t>
  </si>
  <si>
    <t>4,670,057.00</t>
  </si>
  <si>
    <t>590,240.00</t>
  </si>
  <si>
    <t>73,565.26</t>
  </si>
  <si>
    <t>198,900,000.00</t>
  </si>
  <si>
    <t>891,765.00</t>
  </si>
  <si>
    <t>137,600.00</t>
  </si>
  <si>
    <t>2,860,438.08</t>
  </si>
  <si>
    <t>4,160,000.00</t>
  </si>
  <si>
    <t>499,400.00</t>
  </si>
  <si>
    <t>1,726,350.00</t>
  </si>
  <si>
    <t>176,434.00</t>
  </si>
  <si>
    <t>485,000.00</t>
  </si>
  <si>
    <t>80,040.00</t>
  </si>
  <si>
    <t>2,490,000.00</t>
  </si>
  <si>
    <t>55,060.00</t>
  </si>
  <si>
    <t>88,727.43</t>
  </si>
  <si>
    <t>70,150.00</t>
  </si>
  <si>
    <t>1,654,055.00</t>
  </si>
  <si>
    <t>160,700.00</t>
  </si>
  <si>
    <t>546,962.00</t>
  </si>
  <si>
    <t>1,932,484.20</t>
  </si>
  <si>
    <t>523,000.00</t>
  </si>
  <si>
    <t>1,240,000.00</t>
  </si>
  <si>
    <t>65,968.50</t>
  </si>
  <si>
    <t>1,042,000.00</t>
  </si>
  <si>
    <t>103,000.00</t>
  </si>
  <si>
    <t>4,326,645.00</t>
  </si>
  <si>
    <t>1,522,700.00</t>
  </si>
  <si>
    <t>1,978,430.00</t>
  </si>
  <si>
    <t>286,200.00</t>
  </si>
  <si>
    <t>317,911.00</t>
  </si>
  <si>
    <t>1,306,500.00</t>
  </si>
  <si>
    <t>7,950,000.00</t>
  </si>
  <si>
    <t>4,824,802.10</t>
  </si>
  <si>
    <t>75,400.00</t>
  </si>
  <si>
    <t>2,240,000.00</t>
  </si>
  <si>
    <t>23,074,240.20</t>
  </si>
  <si>
    <t>5,700,000.00</t>
  </si>
  <si>
    <t>773,000.00</t>
  </si>
  <si>
    <t>322,043.19</t>
  </si>
  <si>
    <t>316,980.00</t>
  </si>
  <si>
    <t>23,064,000.00</t>
  </si>
  <si>
    <t>286,334.72</t>
  </si>
  <si>
    <t>36,346,596.00</t>
  </si>
  <si>
    <t>5,809,695.00</t>
  </si>
  <si>
    <t>444,900.20</t>
  </si>
  <si>
    <t>564,000.00</t>
  </si>
  <si>
    <t>997,878.04</t>
  </si>
  <si>
    <t>70,129.00</t>
  </si>
  <si>
    <t>1,790,182.90</t>
  </si>
  <si>
    <t>28,205.00</t>
  </si>
  <si>
    <t>374,263.87</t>
  </si>
  <si>
    <t>31,214.00</t>
  </si>
  <si>
    <t>6,946.00</t>
  </si>
  <si>
    <t>27,712.00</t>
  </si>
  <si>
    <t>556,150.00</t>
  </si>
  <si>
    <t>164,789.87</t>
  </si>
  <si>
    <t>7,425.00</t>
  </si>
  <si>
    <t>1,240,188.00</t>
  </si>
  <si>
    <t>124,091.00</t>
  </si>
  <si>
    <t>214,144.49</t>
  </si>
  <si>
    <t>174,488.00</t>
  </si>
  <si>
    <t>112,755.00</t>
  </si>
  <si>
    <t>221,500.00</t>
  </si>
  <si>
    <t>85,990.00</t>
  </si>
  <si>
    <t>311,734.00</t>
  </si>
  <si>
    <t>299,793.00</t>
  </si>
  <si>
    <t>146,236.00</t>
  </si>
  <si>
    <t>126,688.00</t>
  </si>
  <si>
    <t>153,049.00</t>
  </si>
  <si>
    <t>193,834.00</t>
  </si>
  <si>
    <t>430,923.00</t>
  </si>
  <si>
    <t>200,433.00</t>
  </si>
  <si>
    <t>227,164.99</t>
  </si>
  <si>
    <t>339,140.00</t>
  </si>
  <si>
    <t>74,980.00</t>
  </si>
  <si>
    <t>196,159.00</t>
  </si>
  <si>
    <t>624,992.00</t>
  </si>
  <si>
    <t>576,208.88</t>
  </si>
  <si>
    <t>400,500.00</t>
  </si>
  <si>
    <t>38,750.00</t>
  </si>
  <si>
    <t>2,086,223.00</t>
  </si>
  <si>
    <t>3,823,466.50</t>
  </si>
  <si>
    <t>1,074,400.50</t>
  </si>
  <si>
    <t>5,173,527.50</t>
  </si>
  <si>
    <t>300,200.00</t>
  </si>
  <si>
    <t>1,144,504.48</t>
  </si>
  <si>
    <t>138,087.50</t>
  </si>
  <si>
    <t>1,576,898.19</t>
  </si>
  <si>
    <t>110,968.00</t>
  </si>
  <si>
    <t>677,600.12</t>
  </si>
  <si>
    <t>482,059.33</t>
  </si>
  <si>
    <t>1,617,018.10</t>
  </si>
  <si>
    <t>12,093,596.00</t>
  </si>
  <si>
    <t>9,254,000.00</t>
  </si>
  <si>
    <t>2,608,200.00</t>
  </si>
  <si>
    <t>1,443,668.79</t>
  </si>
  <si>
    <t>9,750.00</t>
  </si>
  <si>
    <t>5,270.89</t>
  </si>
  <si>
    <t>1,006,128.00</t>
  </si>
  <si>
    <t>817,800.00</t>
  </si>
  <si>
    <t>1,471,398.31</t>
  </si>
  <si>
    <t>100,079.10</t>
  </si>
  <si>
    <t>3,197,064.55</t>
  </si>
  <si>
    <t>186,566.00</t>
  </si>
  <si>
    <t>72,410.00</t>
  </si>
  <si>
    <t>968,806.38</t>
  </si>
  <si>
    <t>3,621,556.70</t>
  </si>
  <si>
    <t>449,851.00</t>
  </si>
  <si>
    <t>46,479,471.20</t>
  </si>
  <si>
    <t>542,920.00</t>
  </si>
  <si>
    <t>350,651.83</t>
  </si>
  <si>
    <t>4,333,462.00</t>
  </si>
  <si>
    <t>83,145.00</t>
  </si>
  <si>
    <t>908,939.06</t>
  </si>
  <si>
    <t>3,280,000.00</t>
  </si>
  <si>
    <t>369,700.00</t>
  </si>
  <si>
    <t>1,850,100.00</t>
  </si>
  <si>
    <t>2,953,144.60</t>
  </si>
  <si>
    <t>7,197,498.60</t>
  </si>
  <si>
    <t>1,499,952.43</t>
  </si>
  <si>
    <t>1,245,775.97</t>
  </si>
  <si>
    <t>2,253,250.00</t>
  </si>
  <si>
    <t>3,162,703.00</t>
  </si>
  <si>
    <t>12,056,538.00</t>
  </si>
  <si>
    <t>5,415.67</t>
  </si>
  <si>
    <t>4,999,909.83</t>
  </si>
  <si>
    <t>8,078.00</t>
  </si>
  <si>
    <t>200,999.73</t>
  </si>
  <si>
    <t>18,424,557.50</t>
  </si>
  <si>
    <t>1,080,800.00</t>
  </si>
  <si>
    <t>213,907.00</t>
  </si>
  <si>
    <t>3,215,000.00</t>
  </si>
  <si>
    <t>763,888.00</t>
  </si>
  <si>
    <t>3,136,618.00</t>
  </si>
  <si>
    <t>220,830.00</t>
  </si>
  <si>
    <t>81,603.68</t>
  </si>
  <si>
    <t>9,999,423.48</t>
  </si>
  <si>
    <t>115,901.80</t>
  </si>
  <si>
    <t>1,563,988.75</t>
  </si>
  <si>
    <t>38,644,475.00</t>
  </si>
  <si>
    <t>299,912.50</t>
  </si>
  <si>
    <t>179,266.50</t>
  </si>
  <si>
    <t>107,420.00</t>
  </si>
  <si>
    <t>1,815,000.00</t>
  </si>
  <si>
    <t>443,430.10</t>
  </si>
  <si>
    <t>3,857,625.00</t>
  </si>
  <si>
    <t>499,550.63</t>
  </si>
  <si>
    <t>186,721.92</t>
  </si>
  <si>
    <t>219,127.00</t>
  </si>
  <si>
    <t>214,613.67</t>
  </si>
  <si>
    <t>29,449,000.00</t>
  </si>
  <si>
    <t>79,150.00</t>
  </si>
  <si>
    <t>72,450.00</t>
  </si>
  <si>
    <t>3,148,200.00</t>
  </si>
  <si>
    <t>1,351,424.00</t>
  </si>
  <si>
    <t>76,750.00</t>
  </si>
  <si>
    <t>212,650.38</t>
  </si>
  <si>
    <t>68,078.85</t>
  </si>
  <si>
    <t>9,900,000.00</t>
  </si>
  <si>
    <t>94,513.00</t>
  </si>
  <si>
    <t>5,988,000.00</t>
  </si>
  <si>
    <t>34,417.79</t>
  </si>
  <si>
    <t>329,927.00</t>
  </si>
  <si>
    <t>923,545.00</t>
  </si>
  <si>
    <t>248,754.98</t>
  </si>
  <si>
    <t>62,462.02</t>
  </si>
  <si>
    <t>379,946.08</t>
  </si>
  <si>
    <t>499,982.20</t>
  </si>
  <si>
    <t>4,369,000.00</t>
  </si>
  <si>
    <t>1,098,860.00</t>
  </si>
  <si>
    <t>36,482.50</t>
  </si>
  <si>
    <t>166,100.00</t>
  </si>
  <si>
    <t>679,132.00</t>
  </si>
  <si>
    <t>12,729.00</t>
  </si>
  <si>
    <t>1,113,994.25</t>
  </si>
  <si>
    <t>249,800.00</t>
  </si>
  <si>
    <t>724,215.40</t>
  </si>
  <si>
    <t>368,458.00</t>
  </si>
  <si>
    <t>425,900.00</t>
  </si>
  <si>
    <t>1,370,613.30</t>
  </si>
  <si>
    <t>139,246.00</t>
  </si>
  <si>
    <t>409,270.00</t>
  </si>
  <si>
    <t>2,490,984.00</t>
  </si>
  <si>
    <t>564,650.00</t>
  </si>
  <si>
    <t>55,260,028.00</t>
  </si>
  <si>
    <t>309,992.00</t>
  </si>
  <si>
    <t>9,465,315.00</t>
  </si>
  <si>
    <t>294,710.00</t>
  </si>
  <si>
    <t>407,000.00</t>
  </si>
  <si>
    <t>293,380.00</t>
  </si>
  <si>
    <t>212,225.00</t>
  </si>
  <si>
    <t>245,200.00</t>
  </si>
  <si>
    <t>331,425.00</t>
  </si>
  <si>
    <t>287,000.00</t>
  </si>
  <si>
    <t>351,355.00</t>
  </si>
  <si>
    <t>231,964.00</t>
  </si>
  <si>
    <t>288,750.00</t>
  </si>
  <si>
    <t>476,600.00</t>
  </si>
  <si>
    <t>102,800.00</t>
  </si>
  <si>
    <t>239,231.20</t>
  </si>
  <si>
    <t>98,200.00</t>
  </si>
  <si>
    <t>455,000.00</t>
  </si>
  <si>
    <t>118,219.33</t>
  </si>
  <si>
    <t>306,600.00</t>
  </si>
  <si>
    <t>1,118,842.95</t>
  </si>
  <si>
    <t>108,250.00</t>
  </si>
  <si>
    <t>35,900.00</t>
  </si>
  <si>
    <t>31,512.00</t>
  </si>
  <si>
    <t>231,604.00</t>
  </si>
  <si>
    <t>162,120.00</t>
  </si>
  <si>
    <t>343,550.00</t>
  </si>
  <si>
    <t>625,106.93</t>
  </si>
  <si>
    <t>2,921,003.85</t>
  </si>
  <si>
    <t>747,604.20</t>
  </si>
  <si>
    <t>102,250.00</t>
  </si>
  <si>
    <t>1,466,376.32</t>
  </si>
  <si>
    <t>94,300.00</t>
  </si>
  <si>
    <t>3,058,356.53</t>
  </si>
  <si>
    <t>571,331.71</t>
  </si>
  <si>
    <t>3,170,000.00</t>
  </si>
  <si>
    <t>179,932.00</t>
  </si>
  <si>
    <t>717,483.81</t>
  </si>
  <si>
    <t>2,157,904.00</t>
  </si>
  <si>
    <t>376,000.00</t>
  </si>
  <si>
    <t>5,550,000.00</t>
  </si>
  <si>
    <t>11,700.00</t>
  </si>
  <si>
    <t>115,192.00</t>
  </si>
  <si>
    <t>9,798,501.03</t>
  </si>
  <si>
    <t>994,985.00</t>
  </si>
  <si>
    <t>14,699,659.17</t>
  </si>
  <si>
    <t>69,943.43</t>
  </si>
  <si>
    <t>420,953.00</t>
  </si>
  <si>
    <t>124,855.00</t>
  </si>
  <si>
    <t>219,550.00</t>
  </si>
  <si>
    <t>278,462.40</t>
  </si>
  <si>
    <t>1,510,836.00</t>
  </si>
  <si>
    <t>464,187.72</t>
  </si>
  <si>
    <t>192,706.20</t>
  </si>
  <si>
    <t>871,200.25</t>
  </si>
  <si>
    <t>288,400.42</t>
  </si>
  <si>
    <t>3,695,475.00</t>
  </si>
  <si>
    <t>428,653.17</t>
  </si>
  <si>
    <t>1,752,850.20</t>
  </si>
  <si>
    <t>235,501.40</t>
  </si>
  <si>
    <t>1,394,459.68</t>
  </si>
  <si>
    <t>599,955.00</t>
  </si>
  <si>
    <t>465,800.61</t>
  </si>
  <si>
    <t>1,243,900.00</t>
  </si>
  <si>
    <t>160,638.00</t>
  </si>
  <si>
    <t>184,619.00</t>
  </si>
  <si>
    <t>17,391,500.00</t>
  </si>
  <si>
    <t>309,800.00</t>
  </si>
  <si>
    <t>2,094,500.00</t>
  </si>
  <si>
    <t>482,085.71</t>
  </si>
  <si>
    <t>71,540.00</t>
  </si>
  <si>
    <t>4,051,000.00</t>
  </si>
  <si>
    <t>819,995.00</t>
  </si>
  <si>
    <t>1,199,607.37</t>
  </si>
  <si>
    <t>2,518,895.83</t>
  </si>
  <si>
    <t>2,050,000.00</t>
  </si>
  <si>
    <t>167,950.00</t>
  </si>
  <si>
    <t>466,551.62</t>
  </si>
  <si>
    <t>16,879,300.00</t>
  </si>
  <si>
    <t>102,367.00</t>
  </si>
  <si>
    <t>86,250.00</t>
  </si>
  <si>
    <t>159,591.00</t>
  </si>
  <si>
    <t>6,380.00</t>
  </si>
  <si>
    <t>748,420.00</t>
  </si>
  <si>
    <t>164,250.00</t>
  </si>
  <si>
    <t>499,985.59</t>
  </si>
  <si>
    <t>561,000.00</t>
  </si>
  <si>
    <t>167,198.46</t>
  </si>
  <si>
    <t>2,132,995.60</t>
  </si>
  <si>
    <t>2,299,856.33</t>
  </si>
  <si>
    <t>5,810.00</t>
  </si>
  <si>
    <t>268,985.00</t>
  </si>
  <si>
    <t>99,940.00</t>
  </si>
  <si>
    <t>239,400.00</t>
  </si>
  <si>
    <t>11,340.00</t>
  </si>
  <si>
    <t>399,960.00</t>
  </si>
  <si>
    <t>2,045.00</t>
  </si>
  <si>
    <t>3,849,000.00</t>
  </si>
  <si>
    <t>110,573.00</t>
  </si>
  <si>
    <t>7,050.00</t>
  </si>
  <si>
    <t>145,900.00</t>
  </si>
  <si>
    <t>212,861.04</t>
  </si>
  <si>
    <t>208,087.50</t>
  </si>
  <si>
    <t>310,000.00</t>
  </si>
  <si>
    <t>86,220.00</t>
  </si>
  <si>
    <t>2,260.00</t>
  </si>
  <si>
    <t>1,275,000.00</t>
  </si>
  <si>
    <t>417,000.00</t>
  </si>
  <si>
    <t>59,804.00</t>
  </si>
  <si>
    <t>111,040.00</t>
  </si>
  <si>
    <t>81,210.00</t>
  </si>
  <si>
    <t>68,097.00</t>
  </si>
  <si>
    <t>99,997.00</t>
  </si>
  <si>
    <t>499,967.10</t>
  </si>
  <si>
    <t>890,669.72</t>
  </si>
  <si>
    <t>992,250.00</t>
  </si>
  <si>
    <t>68,194.00</t>
  </si>
  <si>
    <t>209,000.00</t>
  </si>
  <si>
    <t>68,370.00</t>
  </si>
  <si>
    <t>6,659.00</t>
  </si>
  <si>
    <t>122,750.00</t>
  </si>
  <si>
    <t>102,700.00</t>
  </si>
  <si>
    <t>62,623.05</t>
  </si>
  <si>
    <t>1,870.00</t>
  </si>
  <si>
    <t>3,930.00</t>
  </si>
  <si>
    <t>635,800.00</t>
  </si>
  <si>
    <t>1,942,500.00</t>
  </si>
  <si>
    <t>354,090.00</t>
  </si>
  <si>
    <t>199,860.00</t>
  </si>
  <si>
    <t>13,656.00</t>
  </si>
  <si>
    <t>73,427.00</t>
  </si>
  <si>
    <t>984,645.00</t>
  </si>
  <si>
    <t>72,350.00</t>
  </si>
  <si>
    <t>20,500.00</t>
  </si>
  <si>
    <t>146,245.00</t>
  </si>
  <si>
    <t>431,250.00</t>
  </si>
  <si>
    <t>20,932.00</t>
  </si>
  <si>
    <t>55,627.10</t>
  </si>
  <si>
    <t>161,112.00</t>
  </si>
  <si>
    <t>139,908.40</t>
  </si>
  <si>
    <t>197,380.00</t>
  </si>
  <si>
    <t>333,500.00</t>
  </si>
  <si>
    <t>40,732.00</t>
  </si>
  <si>
    <t>130,590.00</t>
  </si>
  <si>
    <t>5,556,062.15</t>
  </si>
  <si>
    <t>72,206.00</t>
  </si>
  <si>
    <t>298,200.00</t>
  </si>
  <si>
    <t>847,869.00</t>
  </si>
  <si>
    <t>314,828.33</t>
  </si>
  <si>
    <t>55,264.00</t>
  </si>
  <si>
    <t>74,455.00</t>
  </si>
  <si>
    <t>99,800.00</t>
  </si>
  <si>
    <t>196,571.00</t>
  </si>
  <si>
    <t>49,840.00</t>
  </si>
  <si>
    <t>4,614,423.60</t>
  </si>
  <si>
    <t>219,988.66</t>
  </si>
  <si>
    <t>1,981,700.00</t>
  </si>
  <si>
    <t>18,600,000.00</t>
  </si>
  <si>
    <t>12,573,621.67</t>
  </si>
  <si>
    <t>265,892.00</t>
  </si>
  <si>
    <t>280,678.00</t>
  </si>
  <si>
    <t>502,998.00</t>
  </si>
  <si>
    <t>224,450.00</t>
  </si>
  <si>
    <t>445,280.00</t>
  </si>
  <si>
    <t>641,161.34</t>
  </si>
  <si>
    <t>11,433,569.85</t>
  </si>
  <si>
    <t>763,805.63</t>
  </si>
  <si>
    <t>249,670.00</t>
  </si>
  <si>
    <t>371,723.00</t>
  </si>
  <si>
    <t>409,676.93</t>
  </si>
  <si>
    <t>1,004,440.00</t>
  </si>
  <si>
    <t>41,824.55</t>
  </si>
  <si>
    <t>38,800,000.00</t>
  </si>
  <si>
    <t>4,087,785.51</t>
  </si>
  <si>
    <t>263,044.00</t>
  </si>
  <si>
    <t>14,283,206.45</t>
  </si>
  <si>
    <t>515,000.00</t>
  </si>
  <si>
    <t>4,999,999.99</t>
  </si>
  <si>
    <t>106,469.04</t>
  </si>
  <si>
    <t>45,947,281.64</t>
  </si>
  <si>
    <t>2,999,999.99</t>
  </si>
  <si>
    <t>1,095,836.80</t>
  </si>
  <si>
    <t>186,590.75</t>
  </si>
  <si>
    <t>185,245.50</t>
  </si>
  <si>
    <t>3,859,731.89</t>
  </si>
  <si>
    <t>104,265.07</t>
  </si>
  <si>
    <t>5,060,197.56</t>
  </si>
  <si>
    <t>16,392,282.68</t>
  </si>
  <si>
    <t>73,160.00</t>
  </si>
  <si>
    <t>661,700.00</t>
  </si>
  <si>
    <t>113,422.00</t>
  </si>
  <si>
    <t>1,487,600.00</t>
  </si>
  <si>
    <t>124,817.16</t>
  </si>
  <si>
    <t>1,590.00</t>
  </si>
  <si>
    <t>446,656.00</t>
  </si>
  <si>
    <t>662,235.00</t>
  </si>
  <si>
    <t>768,150.00</t>
  </si>
  <si>
    <t>265,818.00</t>
  </si>
  <si>
    <t>99,917.25</t>
  </si>
  <si>
    <t>1,138,560.00</t>
  </si>
  <si>
    <t>99,020.00</t>
  </si>
  <si>
    <t>269,001.00</t>
  </si>
  <si>
    <t>392,230.00</t>
  </si>
  <si>
    <t>90,326.00</t>
  </si>
  <si>
    <t>55,856.30</t>
  </si>
  <si>
    <t>686,081.00</t>
  </si>
  <si>
    <t>1,480,610.00</t>
  </si>
  <si>
    <t>1,548,000.00</t>
  </si>
  <si>
    <t>516,841.00</t>
  </si>
  <si>
    <t>160,447.00</t>
  </si>
  <si>
    <t>438,600.00</t>
  </si>
  <si>
    <t>35,022,982.00</t>
  </si>
  <si>
    <t>65,100.00</t>
  </si>
  <si>
    <t>138,841.40</t>
  </si>
  <si>
    <t>199,996.05</t>
  </si>
  <si>
    <t>53,078.00</t>
  </si>
  <si>
    <t>72,221.69</t>
  </si>
  <si>
    <t>1,004,936.01</t>
  </si>
  <si>
    <t>1,999,863.97</t>
  </si>
  <si>
    <t>14,849,961.81</t>
  </si>
  <si>
    <t>3,200.00</t>
  </si>
  <si>
    <t>42,310.17</t>
  </si>
  <si>
    <t>11,879,434.01</t>
  </si>
  <si>
    <t>254,484.00</t>
  </si>
  <si>
    <t>929,728.00</t>
  </si>
  <si>
    <t>72,375.00</t>
  </si>
  <si>
    <t>445,033.00</t>
  </si>
  <si>
    <t>144,208.00</t>
  </si>
  <si>
    <t>704,000.00</t>
  </si>
  <si>
    <t>191,795.50</t>
  </si>
  <si>
    <t>309,661.00</t>
  </si>
  <si>
    <t>722,491.00</t>
  </si>
  <si>
    <t>233,884.00</t>
  </si>
  <si>
    <t>123,369.00</t>
  </si>
  <si>
    <t>7,184.00</t>
  </si>
  <si>
    <t>34,649,774.65</t>
  </si>
  <si>
    <t>59,600.00</t>
  </si>
  <si>
    <t>19,799,977.04</t>
  </si>
  <si>
    <t>43,559,681.70</t>
  </si>
  <si>
    <t>11,879,866.88</t>
  </si>
  <si>
    <t>961,520.00</t>
  </si>
  <si>
    <t>1,152,847.89</t>
  </si>
  <si>
    <t>229,000.00</t>
  </si>
  <si>
    <t>147,705.00</t>
  </si>
  <si>
    <t>862,500.00</t>
  </si>
  <si>
    <t>553,443.67</t>
  </si>
  <si>
    <t>2,999,141.66</t>
  </si>
  <si>
    <t>220,510.00</t>
  </si>
  <si>
    <t>96,499,979.16</t>
  </si>
  <si>
    <t>100,000.87</t>
  </si>
  <si>
    <t>4,949,946.65</t>
  </si>
  <si>
    <t>2,698,001.13</t>
  </si>
  <si>
    <t>76,078.00</t>
  </si>
  <si>
    <t>48,249,968.38</t>
  </si>
  <si>
    <t>198,245.00</t>
  </si>
  <si>
    <t>350,226.00</t>
  </si>
  <si>
    <t>4,949,854.12</t>
  </si>
  <si>
    <t>29,259,199.10</t>
  </si>
  <si>
    <t>248,548.00</t>
  </si>
  <si>
    <t>184,790.00</t>
  </si>
  <si>
    <t>208,100.00</t>
  </si>
  <si>
    <t>160,895.00</t>
  </si>
  <si>
    <t>299,988.00</t>
  </si>
  <si>
    <t>560,689.80</t>
  </si>
  <si>
    <t>384,020.00</t>
  </si>
  <si>
    <t>157,660.00</t>
  </si>
  <si>
    <t>122,344.08</t>
  </si>
  <si>
    <t>48,249,928.12</t>
  </si>
  <si>
    <t>333,900.00</t>
  </si>
  <si>
    <t>245,361.00</t>
  </si>
  <si>
    <t>740,900.00</t>
  </si>
  <si>
    <t>8,674,000.00</t>
  </si>
  <si>
    <t>2,567,433.41</t>
  </si>
  <si>
    <t>2,593,506.94</t>
  </si>
  <si>
    <t>5,400,000.00</t>
  </si>
  <si>
    <t>799,209.81</t>
  </si>
  <si>
    <t>11,193,225.56</t>
  </si>
  <si>
    <t>652,600.00</t>
  </si>
  <si>
    <t>1,071,587.50</t>
  </si>
  <si>
    <t>500,440.10</t>
  </si>
  <si>
    <t>10,131,705.27</t>
  </si>
  <si>
    <t>4,086,767.32</t>
  </si>
  <si>
    <t>48,218,988.16</t>
  </si>
  <si>
    <t>34,299,946.73</t>
  </si>
  <si>
    <t>13,179,896.27</t>
  </si>
  <si>
    <t>13,203,130.00</t>
  </si>
  <si>
    <t>76,803.75</t>
  </si>
  <si>
    <t>219,574.80</t>
  </si>
  <si>
    <t>2,199,926.59</t>
  </si>
  <si>
    <t>180,550.00</t>
  </si>
  <si>
    <t>120,880.00</t>
  </si>
  <si>
    <t>986,764.50</t>
  </si>
  <si>
    <t>2,995,450.00</t>
  </si>
  <si>
    <t>34,539,667.17</t>
  </si>
  <si>
    <t>23,808,726.65</t>
  </si>
  <si>
    <t>85,236.80</t>
  </si>
  <si>
    <t>1,995,289.40</t>
  </si>
  <si>
    <t>8,817,681.60</t>
  </si>
  <si>
    <t>2,232,000.00</t>
  </si>
  <si>
    <t>1,999,999.15</t>
  </si>
  <si>
    <t>400,800.00</t>
  </si>
  <si>
    <t>2,494,427.05</t>
  </si>
  <si>
    <t>714,980.88</t>
  </si>
  <si>
    <t>1,499,076.00</t>
  </si>
  <si>
    <t>4,495,141.33</t>
  </si>
  <si>
    <t>1,288,424.00</t>
  </si>
  <si>
    <t>664,612.34</t>
  </si>
  <si>
    <t>5,966,000.00</t>
  </si>
  <si>
    <t>4,924,267.44</t>
  </si>
  <si>
    <t>335,317.00</t>
  </si>
  <si>
    <t>4,564,000.00</t>
  </si>
  <si>
    <t>19,997,004.00</t>
  </si>
  <si>
    <t>365,510.00</t>
  </si>
  <si>
    <t>797,715.50</t>
  </si>
  <si>
    <t>990,290.00</t>
  </si>
  <si>
    <t>5,998,500.00</t>
  </si>
  <si>
    <t>7,052,873.82</t>
  </si>
  <si>
    <t>6,372,215.02</t>
  </si>
  <si>
    <t>1,717,416.00</t>
  </si>
  <si>
    <t>1,276,500.00</t>
  </si>
  <si>
    <t>3,805,574.40</t>
  </si>
  <si>
    <t>2,424,000.00</t>
  </si>
  <si>
    <t>7,530,411.00</t>
  </si>
  <si>
    <t>1,337,399.00</t>
  </si>
  <si>
    <t>43,258,694.00</t>
  </si>
  <si>
    <t>19,000,000.00</t>
  </si>
  <si>
    <t>9,599,999.36</t>
  </si>
  <si>
    <t>890,259.00</t>
  </si>
  <si>
    <t>186,200.00</t>
  </si>
  <si>
    <t>2,914,240.00</t>
  </si>
  <si>
    <t>5,038,142.11</t>
  </si>
  <si>
    <t>29,796.40</t>
  </si>
  <si>
    <t>784,313.73</t>
  </si>
  <si>
    <t>980,392.16</t>
  </si>
  <si>
    <t>2,450,980.39</t>
  </si>
  <si>
    <t>1,721,404.67</t>
  </si>
  <si>
    <t>12,400,501.35</t>
  </si>
  <si>
    <t>41,000,000.00</t>
  </si>
  <si>
    <t>244,342.00</t>
  </si>
  <si>
    <t>14,500,000.00</t>
  </si>
  <si>
    <t>3,444,000.00</t>
  </si>
  <si>
    <t>4,794,261.34</t>
  </si>
  <si>
    <t>622,800.00</t>
  </si>
  <si>
    <t>1,429,958.65</t>
  </si>
  <si>
    <t>364,700.00</t>
  </si>
  <si>
    <t>67,222.00</t>
  </si>
  <si>
    <t>66,400,000.00</t>
  </si>
  <si>
    <t>698,854.81</t>
  </si>
  <si>
    <t>1,934,916.29</t>
  </si>
  <si>
    <t>84,529.00</t>
  </si>
  <si>
    <t>64,794.00</t>
  </si>
  <si>
    <t>433,994.00</t>
  </si>
  <si>
    <t>2,959,651.64</t>
  </si>
  <si>
    <t>977,649.23</t>
  </si>
  <si>
    <t>499,450.00</t>
  </si>
  <si>
    <t>4,600,000.00</t>
  </si>
  <si>
    <t>409,264.50</t>
  </si>
  <si>
    <t>1,447,000.72</t>
  </si>
  <si>
    <t>171,553.00</t>
  </si>
  <si>
    <t>3,483,299.56</t>
  </si>
  <si>
    <t>799,999.20</t>
  </si>
  <si>
    <t>1,418,486.31</t>
  </si>
  <si>
    <t>1,869,463.72</t>
  </si>
  <si>
    <t>628,067.50</t>
  </si>
  <si>
    <t>2,724,359.43</t>
  </si>
  <si>
    <t>67,217,640.94</t>
  </si>
  <si>
    <t>67,996.00</t>
  </si>
  <si>
    <t>177,325.00</t>
  </si>
  <si>
    <t>3,429,990.04</t>
  </si>
  <si>
    <t>260,514.40</t>
  </si>
  <si>
    <t>1,493,000.00</t>
  </si>
  <si>
    <t>245,490.00</t>
  </si>
  <si>
    <t>499,447.51</t>
  </si>
  <si>
    <t>998,525.44</t>
  </si>
  <si>
    <t>948,146.70</t>
  </si>
  <si>
    <t>426,043.28</t>
  </si>
  <si>
    <t>2,094,000.00</t>
  </si>
  <si>
    <t>4,465,227.23</t>
  </si>
  <si>
    <t>3,429,968.79</t>
  </si>
  <si>
    <t>859,670.00</t>
  </si>
  <si>
    <t>5,500.00</t>
  </si>
  <si>
    <t>305,780.00</t>
  </si>
  <si>
    <t>33,588.00</t>
  </si>
  <si>
    <t>221,420.00</t>
  </si>
  <si>
    <t>169,000.00</t>
  </si>
  <si>
    <t>234,881.23</t>
  </si>
  <si>
    <t>2,287,203.14</t>
  </si>
  <si>
    <t>1,932,913.37</t>
  </si>
  <si>
    <t>20,665.00</t>
  </si>
  <si>
    <t>446,820.00</t>
  </si>
  <si>
    <t>1,922,420.74</t>
  </si>
  <si>
    <t>1,474,033.06</t>
  </si>
  <si>
    <t>1,441,500.00</t>
  </si>
  <si>
    <t>234,616.09</t>
  </si>
  <si>
    <t>950,955.59</t>
  </si>
  <si>
    <t>609,000.00</t>
  </si>
  <si>
    <t>78,918.30</t>
  </si>
  <si>
    <t>114,695.00</t>
  </si>
  <si>
    <t>499,792.14</t>
  </si>
  <si>
    <t>89,800.00</t>
  </si>
  <si>
    <t>977,690.04</t>
  </si>
  <si>
    <t>22,550,000.00</t>
  </si>
  <si>
    <t>667,129.00</t>
  </si>
  <si>
    <t>1,982,215.59</t>
  </si>
  <si>
    <t>499,723.41</t>
  </si>
  <si>
    <t>436,202.26</t>
  </si>
  <si>
    <t>1,137,437.31</t>
  </si>
  <si>
    <t>774,000.00</t>
  </si>
  <si>
    <t>4,849,106.22</t>
  </si>
  <si>
    <t>197,750.00</t>
  </si>
  <si>
    <t>1,194,420.00</t>
  </si>
  <si>
    <t>146,750.00</t>
  </si>
  <si>
    <t>2,000,019.00</t>
  </si>
  <si>
    <t>1,324,915.00</t>
  </si>
  <si>
    <t>743,396.00</t>
  </si>
  <si>
    <t>514,705.50</t>
  </si>
  <si>
    <t>1,553,130.00</t>
  </si>
  <si>
    <t>672,322.00</t>
  </si>
  <si>
    <t>7,982,034.21</t>
  </si>
  <si>
    <t>80,975.00</t>
  </si>
  <si>
    <t>210,520.00</t>
  </si>
  <si>
    <t>1,082,379.89</t>
  </si>
  <si>
    <t>10,200.00</t>
  </si>
  <si>
    <t>403,200.00</t>
  </si>
  <si>
    <t>87,396.46</t>
  </si>
  <si>
    <t>859,100.45</t>
  </si>
  <si>
    <t>69,857,716.00</t>
  </si>
  <si>
    <t>410,520.00</t>
  </si>
  <si>
    <t>1,068,850.00</t>
  </si>
  <si>
    <t>4,161,210.00</t>
  </si>
  <si>
    <t>489,486.17</t>
  </si>
  <si>
    <t>104,055.94</t>
  </si>
  <si>
    <t>885,913.25</t>
  </si>
  <si>
    <t>146,240.00</t>
  </si>
  <si>
    <t>519,200.00</t>
  </si>
  <si>
    <t>2,168,804.94</t>
  </si>
  <si>
    <t>4,198,658.91</t>
  </si>
  <si>
    <t>1,653,690.01</t>
  </si>
  <si>
    <t>8,150,000.00</t>
  </si>
  <si>
    <t>1,110,760.00</t>
  </si>
  <si>
    <t>12,899,334.56</t>
  </si>
  <si>
    <t>1,035,659.01</t>
  </si>
  <si>
    <t>359,100.00</t>
  </si>
  <si>
    <t>607,500.00</t>
  </si>
  <si>
    <t>1,039,080.40</t>
  </si>
  <si>
    <t>48,500,464.77</t>
  </si>
  <si>
    <t>59,995,456.13</t>
  </si>
  <si>
    <t>281,779.70</t>
  </si>
  <si>
    <t>36,701,943.92</t>
  </si>
  <si>
    <t>378,300.00</t>
  </si>
  <si>
    <t>4,613,603.06</t>
  </si>
  <si>
    <t>148,897.50</t>
  </si>
  <si>
    <t>3,720,628.50</t>
  </si>
  <si>
    <t>805,544.39</t>
  </si>
  <si>
    <t>924,952.05</t>
  </si>
  <si>
    <t>1,305,107.61</t>
  </si>
  <si>
    <t>997,803.79</t>
  </si>
  <si>
    <t>551,559.51</t>
  </si>
  <si>
    <t>268,589.63</t>
  </si>
  <si>
    <t>406,714.91</t>
  </si>
  <si>
    <t>866,010.00</t>
  </si>
  <si>
    <t>498,290.00</t>
  </si>
  <si>
    <t>5,861,250.00</t>
  </si>
  <si>
    <t>2,640,000.00</t>
  </si>
  <si>
    <t>75,437.50</t>
  </si>
  <si>
    <t>33,300.00</t>
  </si>
  <si>
    <t>1,505,000.00</t>
  </si>
  <si>
    <t>75,705.00</t>
  </si>
  <si>
    <t>2,187,500.00</t>
  </si>
  <si>
    <t>543,685.00</t>
  </si>
  <si>
    <t>60,270.00</t>
  </si>
  <si>
    <t>235,704.00</t>
  </si>
  <si>
    <t>999,935.00</t>
  </si>
  <si>
    <t>249,280.00</t>
  </si>
  <si>
    <t>227,540.00</t>
  </si>
  <si>
    <t>290,859.00</t>
  </si>
  <si>
    <t>2,373,851.00</t>
  </si>
  <si>
    <t>458,985.00</t>
  </si>
  <si>
    <t>1,639,761.93</t>
  </si>
  <si>
    <t>2,910,000.00</t>
  </si>
  <si>
    <t>2,989,680.00</t>
  </si>
  <si>
    <t>495,877.03</t>
  </si>
  <si>
    <t>1,842,032.59</t>
  </si>
  <si>
    <t>499,977.16</t>
  </si>
  <si>
    <t>2,014,900.00</t>
  </si>
  <si>
    <t>697,164.63</t>
  </si>
  <si>
    <t>497,391.12</t>
  </si>
  <si>
    <t>1,227,950.00</t>
  </si>
  <si>
    <t>6,850,000.00</t>
  </si>
  <si>
    <t>4,932,565.30</t>
  </si>
  <si>
    <t>1,695,000.00</t>
  </si>
  <si>
    <t>1,683,230.00</t>
  </si>
  <si>
    <t>681,635.00</t>
  </si>
  <si>
    <t>298,670.00</t>
  </si>
  <si>
    <t>405,215.00</t>
  </si>
  <si>
    <t>2,998,884.70</t>
  </si>
  <si>
    <t>404,215.00</t>
  </si>
  <si>
    <t>4,499,999.25</t>
  </si>
  <si>
    <t>281,345.30</t>
  </si>
  <si>
    <t>290,178.00</t>
  </si>
  <si>
    <t>799,820.00</t>
  </si>
  <si>
    <t>164,150.00</t>
  </si>
  <si>
    <t>179,691.70</t>
  </si>
  <si>
    <t>1,369,900.00</t>
  </si>
  <si>
    <t>2,930,369.38</t>
  </si>
  <si>
    <t>2,946,063.60</t>
  </si>
  <si>
    <t>1,386,004.00</t>
  </si>
  <si>
    <t>179,537.00</t>
  </si>
  <si>
    <t>873,620.00</t>
  </si>
  <si>
    <t>637,820.04</t>
  </si>
  <si>
    <t>172,386.00</t>
  </si>
  <si>
    <t>892,003.00</t>
  </si>
  <si>
    <t>533,494.54</t>
  </si>
  <si>
    <t>12,570.00</t>
  </si>
  <si>
    <t>57,703.70</t>
  </si>
  <si>
    <t>61,500.00</t>
  </si>
  <si>
    <t>51,150.00</t>
  </si>
  <si>
    <t>5,220,410.60</t>
  </si>
  <si>
    <t>104,090.00</t>
  </si>
  <si>
    <t>306,890.00</t>
  </si>
  <si>
    <t>3,050,791.38</t>
  </si>
  <si>
    <t>903,608.12</t>
  </si>
  <si>
    <t>4,191,600.00</t>
  </si>
  <si>
    <t>1,998,858.95</t>
  </si>
  <si>
    <t>244,040.00</t>
  </si>
  <si>
    <t>1,479,996.00</t>
  </si>
  <si>
    <t>1,603,190.00</t>
  </si>
  <si>
    <t>308,597.58</t>
  </si>
  <si>
    <t>825.00</t>
  </si>
  <si>
    <t>5,667.00</t>
  </si>
  <si>
    <t>1,951,181.92</t>
  </si>
  <si>
    <t>195,795.00</t>
  </si>
  <si>
    <t>3,999,926.45</t>
  </si>
  <si>
    <t>817,467.00</t>
  </si>
  <si>
    <t>1,955,159.11</t>
  </si>
  <si>
    <t>1,086,000.00</t>
  </si>
  <si>
    <t>5,718,374.31</t>
  </si>
  <si>
    <t>19,880.00</t>
  </si>
  <si>
    <t>199,792.49</t>
  </si>
  <si>
    <t>12,850.00</t>
  </si>
  <si>
    <t>549,000.00</t>
  </si>
  <si>
    <t>178,730.00</t>
  </si>
  <si>
    <t>1,999,962.50</t>
  </si>
  <si>
    <t>5,670,811.24</t>
  </si>
  <si>
    <t>249,879.89</t>
  </si>
  <si>
    <t>979,989.15</t>
  </si>
  <si>
    <t>9,694,545.45</t>
  </si>
  <si>
    <t>175,100.00</t>
  </si>
  <si>
    <t>5,562,179.76</t>
  </si>
  <si>
    <t>312,500.00</t>
  </si>
  <si>
    <t>797,634.97</t>
  </si>
  <si>
    <t>647,184.00</t>
  </si>
  <si>
    <t>3,152,390.30</t>
  </si>
  <si>
    <t>999,287.45</t>
  </si>
  <si>
    <t>2,442,970.00</t>
  </si>
  <si>
    <t>1,249,693.50</t>
  </si>
  <si>
    <t>28,696,958.00</t>
  </si>
  <si>
    <t>96,412.57</t>
  </si>
  <si>
    <t>123,875.00</t>
  </si>
  <si>
    <t>2,048,000.00</t>
  </si>
  <si>
    <t>25,190.00</t>
  </si>
  <si>
    <t>2,983,679.26</t>
  </si>
  <si>
    <t>999,595.74</t>
  </si>
  <si>
    <t>28,670.00</t>
  </si>
  <si>
    <t>299,522.46</t>
  </si>
  <si>
    <t>39,892,712.83</t>
  </si>
  <si>
    <t>33,550.00</t>
  </si>
  <si>
    <t>484,849.75</t>
  </si>
  <si>
    <t>1,466,552.69</t>
  </si>
  <si>
    <t>226,380.00</t>
  </si>
  <si>
    <t>69,725.00</t>
  </si>
  <si>
    <t>2,967,865.64</t>
  </si>
  <si>
    <t>11,165,000.00</t>
  </si>
  <si>
    <t>1,212,000.00</t>
  </si>
  <si>
    <t>204,519.51</t>
  </si>
  <si>
    <t>19,440,000.00</t>
  </si>
  <si>
    <t>28,419.12</t>
  </si>
  <si>
    <t>60,950.00</t>
  </si>
  <si>
    <t>1,264,247,622.67</t>
  </si>
  <si>
    <t>23,449.50</t>
  </si>
  <si>
    <t>413,000.00</t>
  </si>
  <si>
    <t>521,650.00</t>
  </si>
  <si>
    <t>121,300.00</t>
  </si>
  <si>
    <t>135,485.00</t>
  </si>
  <si>
    <t>14,999,080.90</t>
  </si>
  <si>
    <t>967,285.00</t>
  </si>
  <si>
    <t>3,899,025.03</t>
  </si>
  <si>
    <t>1,556,775.00</t>
  </si>
  <si>
    <t>9,662,376.44</t>
  </si>
  <si>
    <t>8,655,000.00</t>
  </si>
  <si>
    <t>274,120.00</t>
  </si>
  <si>
    <t>1,383,131.78</t>
  </si>
  <si>
    <t>9,600,000.00</t>
  </si>
  <si>
    <t>155,757.00</t>
  </si>
  <si>
    <t>2,139,820.00</t>
  </si>
  <si>
    <t>249,772.95</t>
  </si>
  <si>
    <t>8,145,490.80</t>
  </si>
  <si>
    <t>1,260,000.00</t>
  </si>
  <si>
    <t>222,512.00</t>
  </si>
  <si>
    <t>2,110,000.00</t>
  </si>
  <si>
    <t>890,262.00</t>
  </si>
  <si>
    <t>1,190,427.92</t>
  </si>
  <si>
    <t>17,432,899.19</t>
  </si>
  <si>
    <t>913,253.00</t>
  </si>
  <si>
    <t>93,015.00</t>
  </si>
  <si>
    <t>3,385,000.00</t>
  </si>
  <si>
    <t>2,999,535.49</t>
  </si>
  <si>
    <t>2,401,778.06</t>
  </si>
  <si>
    <t>287,723,710.80</t>
  </si>
  <si>
    <t>4,875,613.88</t>
  </si>
  <si>
    <t>65,126.00</t>
  </si>
  <si>
    <t>4,999,662.30</t>
  </si>
  <si>
    <t>3,882,000.00</t>
  </si>
  <si>
    <t>102,796.00</t>
  </si>
  <si>
    <t>1,488,034.90</t>
  </si>
  <si>
    <t>2,997,131.29</t>
  </si>
  <si>
    <t>10,965.00</t>
  </si>
  <si>
    <t>36,150.00</t>
  </si>
  <si>
    <t>255,826,933.76</t>
  </si>
  <si>
    <t>814,802.00</t>
  </si>
  <si>
    <t>3,499,812.75</t>
  </si>
  <si>
    <t>4,998,879.04</t>
  </si>
  <si>
    <t>895,392.19</t>
  </si>
  <si>
    <t>899,800.00</t>
  </si>
  <si>
    <t>559,351.86</t>
  </si>
  <si>
    <t>793,968.00</t>
  </si>
  <si>
    <t>255,369,933.76</t>
  </si>
  <si>
    <t>637,449.50</t>
  </si>
  <si>
    <t>4,984,881.11</t>
  </si>
  <si>
    <t>631,700.00</t>
  </si>
  <si>
    <t>733,665.00</t>
  </si>
  <si>
    <t>40,065.65</t>
  </si>
  <si>
    <t>573,628.56</t>
  </si>
  <si>
    <t>133,846.50</t>
  </si>
  <si>
    <t>3,175,265.75</t>
  </si>
  <si>
    <t>297,600.00</t>
  </si>
  <si>
    <t>490,041.00</t>
  </si>
  <si>
    <t>15,812,000.00</t>
  </si>
  <si>
    <t>10,500,000.00</t>
  </si>
  <si>
    <t>893,000.00</t>
  </si>
  <si>
    <t>3,770,300.00</t>
  </si>
  <si>
    <t>21,670.00</t>
  </si>
  <si>
    <t>2,060,000.00</t>
  </si>
  <si>
    <t>2,079,967.00</t>
  </si>
  <si>
    <t>608,134.00</t>
  </si>
  <si>
    <t>188,190.00</t>
  </si>
  <si>
    <t>6,375,000.00</t>
  </si>
  <si>
    <t>2,996,882.91</t>
  </si>
  <si>
    <t>4,899,400.00</t>
  </si>
  <si>
    <t>84,750.00</t>
  </si>
  <si>
    <t>530,642.86</t>
  </si>
  <si>
    <t>43,500,000.00</t>
  </si>
  <si>
    <t>1,002,233.29</t>
  </si>
  <si>
    <t>93,900.00</t>
  </si>
  <si>
    <t>458,129.00</t>
  </si>
  <si>
    <t>18,513,820.73</t>
  </si>
  <si>
    <t>250,225.00</t>
  </si>
  <si>
    <t>52,871.64</t>
  </si>
  <si>
    <t>328,850.00</t>
  </si>
  <si>
    <t>2,302,956.08</t>
  </si>
  <si>
    <t>999,512.57</t>
  </si>
  <si>
    <t>2,494,485.65</t>
  </si>
  <si>
    <t>4,999,476.35</t>
  </si>
  <si>
    <t>2,499,320.41</t>
  </si>
  <si>
    <t>1,429,311.00</t>
  </si>
  <si>
    <t>634,971.75</t>
  </si>
  <si>
    <t>79,200,000.00</t>
  </si>
  <si>
    <t>6,075,320.99</t>
  </si>
  <si>
    <t>1,699,978.83</t>
  </si>
  <si>
    <t>190,850.00</t>
  </si>
  <si>
    <t>4,052,653.50</t>
  </si>
  <si>
    <t>278,565.00</t>
  </si>
  <si>
    <t>19,599,500.05</t>
  </si>
  <si>
    <t>323,900.00</t>
  </si>
  <si>
    <t>130,881.20</t>
  </si>
  <si>
    <t>14,399,543.82</t>
  </si>
  <si>
    <t>48,999,560.74</t>
  </si>
  <si>
    <t>616,660.00</t>
  </si>
  <si>
    <t>3,618,184.84</t>
  </si>
  <si>
    <t>8,243,500.00</t>
  </si>
  <si>
    <t>29,399,054.22</t>
  </si>
  <si>
    <t>1,011,405.00</t>
  </si>
  <si>
    <t>157,931,568.90</t>
  </si>
  <si>
    <t>6,859,979.01</t>
  </si>
  <si>
    <t>2,946,195.24</t>
  </si>
  <si>
    <t>58,590.00</t>
  </si>
  <si>
    <t>2,950,700.97</t>
  </si>
  <si>
    <t>498,573.86</t>
  </si>
  <si>
    <t>155,880.00</t>
  </si>
  <si>
    <t>352,540.00</t>
  </si>
  <si>
    <t>158,566.22</t>
  </si>
  <si>
    <t>87,600.00</t>
  </si>
  <si>
    <t>49,492,416.40</t>
  </si>
  <si>
    <t>1,665,021.31</t>
  </si>
  <si>
    <t>135,135.00</t>
  </si>
  <si>
    <t>105,804.95</t>
  </si>
  <si>
    <t>998,997.51</t>
  </si>
  <si>
    <t>1,560,000.00</t>
  </si>
  <si>
    <t>23,065.00</t>
  </si>
  <si>
    <t>2,639,000.00</t>
  </si>
  <si>
    <t>2,181,630.00</t>
  </si>
  <si>
    <t>13,400,000.00</t>
  </si>
  <si>
    <t>39,199,719.36</t>
  </si>
  <si>
    <t>20,475.00</t>
  </si>
  <si>
    <t>42,092.00</t>
  </si>
  <si>
    <t>1,032,667.88</t>
  </si>
  <si>
    <t>919,100.00</t>
  </si>
  <si>
    <t>67,975.00</t>
  </si>
  <si>
    <t>1,826,748.39</t>
  </si>
  <si>
    <t>2,760,000.00</t>
  </si>
  <si>
    <t>552,200.00</t>
  </si>
  <si>
    <t>5,825,170.77</t>
  </si>
  <si>
    <t>3,422,770.00</t>
  </si>
  <si>
    <t>1,457,757.12</t>
  </si>
  <si>
    <t>7,625,907.88</t>
  </si>
  <si>
    <t>5,921,475.60</t>
  </si>
  <si>
    <t>1,711,458.41</t>
  </si>
  <si>
    <t>2,074,495.50</t>
  </si>
  <si>
    <t>2,053,222.00</t>
  </si>
  <si>
    <t>182,000.00</t>
  </si>
  <si>
    <t>3,365,898.90</t>
  </si>
  <si>
    <t>5,772,369.05</t>
  </si>
  <si>
    <t>1,970,000.00</t>
  </si>
  <si>
    <t>2,405,000.00</t>
  </si>
  <si>
    <t>5,335,125.00</t>
  </si>
  <si>
    <t>9,150,000.00</t>
  </si>
  <si>
    <t>8,520,930.00</t>
  </si>
  <si>
    <t>7,842,000.00</t>
  </si>
  <si>
    <t>847,000.00</t>
  </si>
  <si>
    <t>9,820,000.00</t>
  </si>
  <si>
    <t>8,289,000.00</t>
  </si>
  <si>
    <t>3,429,806.46</t>
  </si>
  <si>
    <t>135,681.00</t>
  </si>
  <si>
    <t>282,000.00</t>
  </si>
  <si>
    <t>605,030.00</t>
  </si>
  <si>
    <t>6,965,024.00</t>
  </si>
  <si>
    <t>3,414,000.00</t>
  </si>
  <si>
    <t>8,130,000.00</t>
  </si>
  <si>
    <t>207,100.00</t>
  </si>
  <si>
    <t>5,554,000.00</t>
  </si>
  <si>
    <t>478,200.00</t>
  </si>
  <si>
    <t>1,491,783.30</t>
  </si>
  <si>
    <t>6,399,951.02</t>
  </si>
  <si>
    <t>1,999,470.00</t>
  </si>
  <si>
    <t>1,294,460.71</t>
  </si>
  <si>
    <t>915,017.87</t>
  </si>
  <si>
    <t>694,800.00</t>
  </si>
  <si>
    <t>1,020,733.13</t>
  </si>
  <si>
    <t>242,200.00</t>
  </si>
  <si>
    <t>5,401,000.00</t>
  </si>
  <si>
    <t>64,080.00</t>
  </si>
  <si>
    <t>5,431,650.00</t>
  </si>
  <si>
    <t>799,100.00</t>
  </si>
  <si>
    <t>22,830,492.70</t>
  </si>
  <si>
    <t>3,812,953.94</t>
  </si>
  <si>
    <t>17,831,711.54</t>
  </si>
  <si>
    <t>384,564.60</t>
  </si>
  <si>
    <t>106,400.00</t>
  </si>
  <si>
    <t>25,680,000.00</t>
  </si>
  <si>
    <t>115,920.00</t>
  </si>
  <si>
    <t>269,325.00</t>
  </si>
  <si>
    <t>2,894,755.00</t>
  </si>
  <si>
    <t>249,928.06</t>
  </si>
  <si>
    <t>431,075,150.00</t>
  </si>
  <si>
    <t>401,373.00</t>
  </si>
  <si>
    <t>794,182.00</t>
  </si>
  <si>
    <t>15,751.00</t>
  </si>
  <si>
    <t>1,263,700.00</t>
  </si>
  <si>
    <t>290,996.90</t>
  </si>
  <si>
    <t>284,750.00</t>
  </si>
  <si>
    <t>272,950.00</t>
  </si>
  <si>
    <t>225,580.00</t>
  </si>
  <si>
    <t>492,053,500.00</t>
  </si>
  <si>
    <t>618,000.00</t>
  </si>
  <si>
    <t>199,898.00</t>
  </si>
  <si>
    <t>2,499,998.00</t>
  </si>
  <si>
    <t>193,000,000.00</t>
  </si>
  <si>
    <t>170,693.50</t>
  </si>
  <si>
    <t>908,700.00</t>
  </si>
  <si>
    <t>144,750,000.00</t>
  </si>
  <si>
    <t>482,500,000.00</t>
  </si>
  <si>
    <t>126,460.00</t>
  </si>
  <si>
    <t>25,325.00</t>
  </si>
  <si>
    <t>390,825,000.00</t>
  </si>
  <si>
    <t>361,875,000.00</t>
  </si>
  <si>
    <t>810,600,000.00</t>
  </si>
  <si>
    <t>1,745,000.00</t>
  </si>
  <si>
    <t>2,043,334.70</t>
  </si>
  <si>
    <t>499,996.17</t>
  </si>
  <si>
    <t>289,500,000.00</t>
  </si>
  <si>
    <t>694,020.00</t>
  </si>
  <si>
    <t>675,473.14</t>
  </si>
  <si>
    <t>117,509.00</t>
  </si>
  <si>
    <t>299,987.88</t>
  </si>
  <si>
    <t>137,387.79</t>
  </si>
  <si>
    <t>298,993,670.00</t>
  </si>
  <si>
    <t>413,888,500.00</t>
  </si>
  <si>
    <t>630,413.06</t>
  </si>
  <si>
    <t>280,795,700.00</t>
  </si>
  <si>
    <t>5,970,000.00</t>
  </si>
  <si>
    <t>9,989,993.80</t>
  </si>
  <si>
    <t>257,745.00</t>
  </si>
  <si>
    <t>4,989,794.65</t>
  </si>
  <si>
    <t>122,525.00</t>
  </si>
  <si>
    <t>2,680,000.00</t>
  </si>
  <si>
    <t>5,498,543.86</t>
  </si>
  <si>
    <t>8,498,698.32</t>
  </si>
  <si>
    <t>9,989,744.50</t>
  </si>
  <si>
    <t>13,497,972.61</t>
  </si>
  <si>
    <t>290,999.03</t>
  </si>
  <si>
    <t>13,498,528.82</t>
  </si>
  <si>
    <t>13,498,752.22</t>
  </si>
  <si>
    <t>9,989,806.52</t>
  </si>
  <si>
    <t>45,000,000.00</t>
  </si>
  <si>
    <t>9,989,474.82</t>
  </si>
  <si>
    <t>474,001.00</t>
  </si>
  <si>
    <t>256,927.00</t>
  </si>
  <si>
    <t>434,600.00</t>
  </si>
  <si>
    <t>936,294.50</t>
  </si>
  <si>
    <t>382,825,150.00</t>
  </si>
  <si>
    <t>746,852.00</t>
  </si>
  <si>
    <t>151,592.94</t>
  </si>
  <si>
    <t>821,095.50</t>
  </si>
  <si>
    <t>368,425.00</t>
  </si>
  <si>
    <t>1,499,999.27</t>
  </si>
  <si>
    <t>1,999,850.00</t>
  </si>
  <si>
    <t>201,398,962.47</t>
  </si>
  <si>
    <t>461,900.00</t>
  </si>
  <si>
    <t>4,999,032.16</t>
  </si>
  <si>
    <t>65,704.10</t>
  </si>
  <si>
    <t>1,968,139.45</t>
  </si>
  <si>
    <t>979,929.83</t>
  </si>
  <si>
    <t>1,590,662.79</t>
  </si>
  <si>
    <t>593,140.00</t>
  </si>
  <si>
    <t>1,828,498.50</t>
  </si>
  <si>
    <t>9,491,304.70</t>
  </si>
  <si>
    <t>702,175.00</t>
  </si>
  <si>
    <t>540,153.87</t>
  </si>
  <si>
    <t>1,991,506.36</t>
  </si>
  <si>
    <t>616,049.76</t>
  </si>
  <si>
    <t>41,362.00</t>
  </si>
  <si>
    <t>18,425,896.00</t>
  </si>
  <si>
    <t>1,955,818.63</t>
  </si>
  <si>
    <t>232,835.95</t>
  </si>
  <si>
    <t>1,129,182.00</t>
  </si>
  <si>
    <t>1,153,554.00</t>
  </si>
  <si>
    <t>85,412.80</t>
  </si>
  <si>
    <t>337,400.00</t>
  </si>
  <si>
    <t>3,675,000.00</t>
  </si>
  <si>
    <t>37,000,000.00</t>
  </si>
  <si>
    <t>3,608,090.04</t>
  </si>
  <si>
    <t>1,741,932.00</t>
  </si>
  <si>
    <t>873,500.00</t>
  </si>
  <si>
    <t>136,725.00</t>
  </si>
  <si>
    <t>132,300.00</t>
  </si>
  <si>
    <t>10,283,752.00</t>
  </si>
  <si>
    <t>1,532,725.00</t>
  </si>
  <si>
    <t>142,180.00</t>
  </si>
  <si>
    <t>460,430.00</t>
  </si>
  <si>
    <t>28,688.00</t>
  </si>
  <si>
    <t>2,111,220.00</t>
  </si>
  <si>
    <t>2,999,938.17</t>
  </si>
  <si>
    <t>1,468,393.66</t>
  </si>
  <si>
    <t>1,075,000.00</t>
  </si>
  <si>
    <t>1,338,660.00</t>
  </si>
  <si>
    <t>2,818,868.00</t>
  </si>
  <si>
    <t>133,360.00</t>
  </si>
  <si>
    <t>1,485,069.68</t>
  </si>
  <si>
    <t>600,680.00</t>
  </si>
  <si>
    <t>111,650.00</t>
  </si>
  <si>
    <t>222,192.00</t>
  </si>
  <si>
    <t>2,114,000.00</t>
  </si>
  <si>
    <t>7,660,617.43</t>
  </si>
  <si>
    <t>5,835,300.00</t>
  </si>
  <si>
    <t>115,000,000.00</t>
  </si>
  <si>
    <t>2,933,314.12</t>
  </si>
  <si>
    <t>302,400.00</t>
  </si>
  <si>
    <t>153,406.59</t>
  </si>
  <si>
    <t>2,165,179.90</t>
  </si>
  <si>
    <t>6,370,000.00</t>
  </si>
  <si>
    <t>446,294.97</t>
  </si>
  <si>
    <t>700,068.25</t>
  </si>
  <si>
    <t>4,450,000.00</t>
  </si>
  <si>
    <t>140,970.00</t>
  </si>
  <si>
    <t>1,066,685.72</t>
  </si>
  <si>
    <t>45,251.00</t>
  </si>
  <si>
    <t>1,750,349.32</t>
  </si>
  <si>
    <t>1,046,207.65</t>
  </si>
  <si>
    <t>4,999,993.69</t>
  </si>
  <si>
    <t>27,182.00</t>
  </si>
  <si>
    <t>400,770.00</t>
  </si>
  <si>
    <t>423,534.61</t>
  </si>
  <si>
    <t>9,998,461.75</t>
  </si>
  <si>
    <t>233,596.02</t>
  </si>
  <si>
    <t>97,900.00</t>
  </si>
  <si>
    <t>1,999,864.44</t>
  </si>
  <si>
    <t>135,577.75</t>
  </si>
  <si>
    <t>333,638.55</t>
  </si>
  <si>
    <t>11,939,992.00</t>
  </si>
  <si>
    <t>55,100.00</t>
  </si>
  <si>
    <t>9,387,244.86</t>
  </si>
  <si>
    <t>399,970.59</t>
  </si>
  <si>
    <t>1,968,376.91</t>
  </si>
  <si>
    <t>138,211.80</t>
  </si>
  <si>
    <t>330,894.42</t>
  </si>
  <si>
    <t>4,985.00</t>
  </si>
  <si>
    <t>2,747,000.00</t>
  </si>
  <si>
    <t>1,746,279.61</t>
  </si>
  <si>
    <t>1,199,756.25</t>
  </si>
  <si>
    <t>18,457,000.00</t>
  </si>
  <si>
    <t>444,298.50</t>
  </si>
  <si>
    <t>6,757,336.63</t>
  </si>
  <si>
    <t>64,600.00</t>
  </si>
  <si>
    <t>436,900.00</t>
  </si>
  <si>
    <t>2,910,466.59</t>
  </si>
  <si>
    <t>5,181,192.98</t>
  </si>
  <si>
    <t>428,045.63</t>
  </si>
  <si>
    <t>5,510,540.00</t>
  </si>
  <si>
    <t>126,544.88</t>
  </si>
  <si>
    <t>567,000.00</t>
  </si>
  <si>
    <t>49,467,734.00</t>
  </si>
  <si>
    <t>902,573.20</t>
  </si>
  <si>
    <t>473,004.28</t>
  </si>
  <si>
    <t>113,707.15</t>
  </si>
  <si>
    <t>257,824.00</t>
  </si>
  <si>
    <t>7,595.00</t>
  </si>
  <si>
    <t>297,360.00</t>
  </si>
  <si>
    <t>323,460.00</t>
  </si>
  <si>
    <t>17,119,000.00</t>
  </si>
  <si>
    <t>193,578.00</t>
  </si>
  <si>
    <t>28,700,280.00</t>
  </si>
  <si>
    <t>142,664.00</t>
  </si>
  <si>
    <t>128,567.25</t>
  </si>
  <si>
    <t>11,526,000.00</t>
  </si>
  <si>
    <t>69,447.00</t>
  </si>
  <si>
    <t>11,270,000.00</t>
  </si>
  <si>
    <t>5,989,870.51</t>
  </si>
  <si>
    <t>608,000.00</t>
  </si>
  <si>
    <t>7,497,552.75</t>
  </si>
  <si>
    <t>761,198.85</t>
  </si>
  <si>
    <t>189,080.00</t>
  </si>
  <si>
    <t>5,420,048.03</t>
  </si>
  <si>
    <t>2,996,000.00</t>
  </si>
  <si>
    <t>407,979.00</t>
  </si>
  <si>
    <t>24,824,082.90</t>
  </si>
  <si>
    <t>3,044,797.10</t>
  </si>
  <si>
    <t>1,219,460.00</t>
  </si>
  <si>
    <t>146,714.00</t>
  </si>
  <si>
    <t>99,707.00</t>
  </si>
  <si>
    <t>401,100.00</t>
  </si>
  <si>
    <t>1,703,006.80</t>
  </si>
  <si>
    <t>18,787,198.10</t>
  </si>
  <si>
    <t>449,000.00</t>
  </si>
  <si>
    <t>16,020,899.14</t>
  </si>
  <si>
    <t>4,623,500.00</t>
  </si>
  <si>
    <t>12,934,992.00</t>
  </si>
  <si>
    <t>2,098,135.00</t>
  </si>
  <si>
    <t>247,016.60</t>
  </si>
  <si>
    <t>108,400.00</t>
  </si>
  <si>
    <t>1,258,388.30</t>
  </si>
  <si>
    <t>3,236.00</t>
  </si>
  <si>
    <t>1,281,410.80</t>
  </si>
  <si>
    <t>3,500.00</t>
  </si>
  <si>
    <t>1,550,410.50</t>
  </si>
  <si>
    <t>755,032.98</t>
  </si>
  <si>
    <t>1,288,173.00</t>
  </si>
  <si>
    <t>101,500.00</t>
  </si>
  <si>
    <t>8,450.00</t>
  </si>
  <si>
    <t>204,000.00</t>
  </si>
  <si>
    <t>214,500.00</t>
  </si>
  <si>
    <t>1,316,467.76</t>
  </si>
  <si>
    <t>1,997,749.28</t>
  </si>
  <si>
    <t>244,825.00</t>
  </si>
  <si>
    <t>14,975.00</t>
  </si>
  <si>
    <t>1,134,000.00</t>
  </si>
  <si>
    <t>527,750.00</t>
  </si>
  <si>
    <t>4,391,450.00</t>
  </si>
  <si>
    <t>2,599,576.10</t>
  </si>
  <si>
    <t>49,860,000.00</t>
  </si>
  <si>
    <t>2,609,892.39</t>
  </si>
  <si>
    <t>10,642,900.00</t>
  </si>
  <si>
    <t>3,894,105.88</t>
  </si>
  <si>
    <t>302,445.00</t>
  </si>
  <si>
    <t>699,969.49</t>
  </si>
  <si>
    <t>169,826.00</t>
  </si>
  <si>
    <t>2,503,120.00</t>
  </si>
  <si>
    <t>1,474,398.00</t>
  </si>
  <si>
    <t>29,400,866.61</t>
  </si>
  <si>
    <t>3,120,634.87</t>
  </si>
  <si>
    <t>1,548,314.00</t>
  </si>
  <si>
    <t>172,947.06</t>
  </si>
  <si>
    <t>141,304.00</t>
  </si>
  <si>
    <t>2,024,144.77</t>
  </si>
  <si>
    <t>4,554,315.00</t>
  </si>
  <si>
    <t>698,530.00</t>
  </si>
  <si>
    <t>1,499,121.16</t>
  </si>
  <si>
    <t>2,417,927.06</t>
  </si>
  <si>
    <t>5,841,000.00</t>
  </si>
  <si>
    <t>785,000.00</t>
  </si>
  <si>
    <t>789,440.00</t>
  </si>
  <si>
    <t>5,539,376.45</t>
  </si>
  <si>
    <t>1,586,112.00</t>
  </si>
  <si>
    <t>102,240.00</t>
  </si>
  <si>
    <t>258,260.00</t>
  </si>
  <si>
    <t>1,900,125.00</t>
  </si>
  <si>
    <t>455,301.56</t>
  </si>
  <si>
    <t>2,890,000.00</t>
  </si>
  <si>
    <t>1,056,320.00</t>
  </si>
  <si>
    <t>1,620,131.63</t>
  </si>
  <si>
    <t>199,900.00</t>
  </si>
  <si>
    <t>550,072.20</t>
  </si>
  <si>
    <t>120,700.00</t>
  </si>
  <si>
    <t>1,045,430.28</t>
  </si>
  <si>
    <t>1,208,572.50</t>
  </si>
  <si>
    <t>4,280,000.00</t>
  </si>
  <si>
    <t>1,337,630.80</t>
  </si>
  <si>
    <t>3,582,000.00</t>
  </si>
  <si>
    <t>80,600.00</t>
  </si>
  <si>
    <t>1,795,500.00</t>
  </si>
  <si>
    <t>1,411,031.48</t>
  </si>
  <si>
    <t>2,277,703.75</t>
  </si>
  <si>
    <t>2,539,599.72</t>
  </si>
  <si>
    <t>7,246,176.91</t>
  </si>
  <si>
    <t>577,625.00</t>
  </si>
  <si>
    <t>88,420.00</t>
  </si>
  <si>
    <t>4,159,356.00</t>
  </si>
  <si>
    <t>101,590.40</t>
  </si>
  <si>
    <t>2,920,500.00</t>
  </si>
  <si>
    <t>569,875.00</t>
  </si>
  <si>
    <t>3,563,723.60</t>
  </si>
  <si>
    <t>2,444,724.00</t>
  </si>
  <si>
    <t>4,788,306.53</t>
  </si>
  <si>
    <t>336,095.00</t>
  </si>
  <si>
    <t>864,360.00</t>
  </si>
  <si>
    <t>1,226,344.00</t>
  </si>
  <si>
    <t>1,474,556.24</t>
  </si>
  <si>
    <t>1,398,563.75</t>
  </si>
  <si>
    <t>1,536,979.26</t>
  </si>
  <si>
    <t>160,982.00</t>
  </si>
  <si>
    <t>329,116.94</t>
  </si>
  <si>
    <t>7,920,000.00</t>
  </si>
  <si>
    <t>1,442,167.05</t>
  </si>
  <si>
    <t>1,998,888.62</t>
  </si>
  <si>
    <t>1,905,000.00</t>
  </si>
  <si>
    <t>8,489.20</t>
  </si>
  <si>
    <t>979,999.88</t>
  </si>
  <si>
    <t>1,402,300.00</t>
  </si>
  <si>
    <t>3,800,459.04</t>
  </si>
  <si>
    <t>370,880.00</t>
  </si>
  <si>
    <t>1,519,830.00</t>
  </si>
  <si>
    <t>999,811.44</t>
  </si>
  <si>
    <t>257,140.00</t>
  </si>
  <si>
    <t>622,500.00</t>
  </si>
  <si>
    <t>2,670,000.00</t>
  </si>
  <si>
    <t>2,035,000.00</t>
  </si>
  <si>
    <t>3,657,910.00</t>
  </si>
  <si>
    <t>498,800.00</t>
  </si>
  <si>
    <t>1,024,542.00</t>
  </si>
  <si>
    <t>197,239.00</t>
  </si>
  <si>
    <t>2,897,992.58</t>
  </si>
  <si>
    <t>29,321.10</t>
  </si>
  <si>
    <t>249,412.33</t>
  </si>
  <si>
    <t>1,999,936.74</t>
  </si>
  <si>
    <t>350,124.00</t>
  </si>
  <si>
    <t>524,600.00</t>
  </si>
  <si>
    <t>2,999,999.06</t>
  </si>
  <si>
    <t>1,321,200.00</t>
  </si>
  <si>
    <t>5,529,394.55</t>
  </si>
  <si>
    <t>1,359,538.63</t>
  </si>
  <si>
    <t>375,900.00</t>
  </si>
  <si>
    <t>14,799.76</t>
  </si>
  <si>
    <t>988,483.62</t>
  </si>
  <si>
    <t>17,157,184.38</t>
  </si>
  <si>
    <t>119,105.00</t>
  </si>
  <si>
    <t>399,410.00</t>
  </si>
  <si>
    <t>998,539.09</t>
  </si>
  <si>
    <t>4,402,140.95</t>
  </si>
  <si>
    <t>4,574,227.53</t>
  </si>
  <si>
    <t>2,010,750.00</t>
  </si>
  <si>
    <t>1,992,800.00</t>
  </si>
  <si>
    <t>4,860,783.26</t>
  </si>
  <si>
    <t>44,002.00</t>
  </si>
  <si>
    <t>1,068,350.00</t>
  </si>
  <si>
    <t>830,000.00</t>
  </si>
  <si>
    <t>58,657,553.00</t>
  </si>
  <si>
    <t>1,499,972.00</t>
  </si>
  <si>
    <t>2,851,000.00</t>
  </si>
  <si>
    <t>11,700,000.00</t>
  </si>
  <si>
    <t>1,599,917.35</t>
  </si>
  <si>
    <t>4,242,278.49</t>
  </si>
  <si>
    <t>3,699,141.97</t>
  </si>
  <si>
    <t>7,624,000.00</t>
  </si>
  <si>
    <t>1,498,000.00</t>
  </si>
  <si>
    <t>3,163,400.00</t>
  </si>
  <si>
    <t>891,322.70</t>
  </si>
  <si>
    <t>61,855.00</t>
  </si>
  <si>
    <t>5,075,550.30</t>
  </si>
  <si>
    <t>71,714,510.96</t>
  </si>
  <si>
    <t>90,790.00</t>
  </si>
  <si>
    <t>1,151,000.00</t>
  </si>
  <si>
    <t>999,684.26</t>
  </si>
  <si>
    <t>4,926,877.32</t>
  </si>
  <si>
    <t>9,461,075.25</t>
  </si>
  <si>
    <t>999,996.42</t>
  </si>
  <si>
    <t>6,160,771.66</t>
  </si>
  <si>
    <t>2,499,998.60</t>
  </si>
  <si>
    <t>1,133,426.36</t>
  </si>
  <si>
    <t>127,490.00</t>
  </si>
  <si>
    <t>34,739,989.94</t>
  </si>
  <si>
    <t>54,553,920.00</t>
  </si>
  <si>
    <t>9,070,880.00</t>
  </si>
  <si>
    <t>3,372,723.20</t>
  </si>
  <si>
    <t>31,708,474.42</t>
  </si>
  <si>
    <t>495,620.02</t>
  </si>
  <si>
    <t>4,999,650.00</t>
  </si>
  <si>
    <t>2,248,978.21</t>
  </si>
  <si>
    <t>764,762.79</t>
  </si>
  <si>
    <t>2,999,921.24</t>
  </si>
  <si>
    <t>577,838.46</t>
  </si>
  <si>
    <t>499,875.00</t>
  </si>
  <si>
    <t>454,790.78</t>
  </si>
  <si>
    <t>2,076,678.79</t>
  </si>
  <si>
    <t>3,014,000.00</t>
  </si>
  <si>
    <t>1,499,934.92</t>
  </si>
  <si>
    <t>2,000,250.00</t>
  </si>
  <si>
    <t>35,236,612.60</t>
  </si>
  <si>
    <t>28,800,000.00</t>
  </si>
  <si>
    <t>7,709,156.21</t>
  </si>
  <si>
    <t>168,444,500.00</t>
  </si>
  <si>
    <t>947,868.00</t>
  </si>
  <si>
    <t>14,000,000.00</t>
  </si>
  <si>
    <t>2,460,000.00</t>
  </si>
  <si>
    <t>11,778,530.00</t>
  </si>
  <si>
    <t>162,600.00</t>
  </si>
  <si>
    <t>5,433,162.51</t>
  </si>
  <si>
    <t>4,999,999.87</t>
  </si>
  <si>
    <t>20,812,518.12</t>
  </si>
  <si>
    <t>12,600,000.00</t>
  </si>
  <si>
    <t>3,640,500.00</t>
  </si>
  <si>
    <t>91,000.00</t>
  </si>
  <si>
    <t>2,995,226.26</t>
  </si>
  <si>
    <t>341,640.00</t>
  </si>
  <si>
    <t>15,015.00</t>
  </si>
  <si>
    <t>3,498,448.95</t>
  </si>
  <si>
    <t>496,656.86</t>
  </si>
  <si>
    <t>489,000.00</t>
  </si>
  <si>
    <t>328,547.79</t>
  </si>
  <si>
    <t>18,019.00</t>
  </si>
  <si>
    <t>2,732,498.01</t>
  </si>
  <si>
    <t>3,550.00</t>
  </si>
  <si>
    <t>2,334,842.40</t>
  </si>
  <si>
    <t>1,998,360.82</t>
  </si>
  <si>
    <t>669,573.35</t>
  </si>
  <si>
    <t>105,800.00</t>
  </si>
  <si>
    <t>1,719.96</t>
  </si>
  <si>
    <t>476,094.22</t>
  </si>
  <si>
    <t>2,161,708.58</t>
  </si>
  <si>
    <t>1,017,422.63</t>
  </si>
  <si>
    <t>5,190,294.44</t>
  </si>
  <si>
    <t>2,010,000.00</t>
  </si>
  <si>
    <t>708,000.00</t>
  </si>
  <si>
    <t>544,208.28</t>
  </si>
  <si>
    <t>2,001,000.00</t>
  </si>
  <si>
    <t>686,666.67</t>
  </si>
  <si>
    <t>538,203.23</t>
  </si>
  <si>
    <t>10,050.00</t>
  </si>
  <si>
    <t>136,800.00</t>
  </si>
  <si>
    <t>2,226,000.00</t>
  </si>
  <si>
    <t>152,001.00</t>
  </si>
  <si>
    <t>10,380.00</t>
  </si>
  <si>
    <t>2,396,988.00</t>
  </si>
  <si>
    <t>13,500.00</t>
  </si>
  <si>
    <t>1,777,865.00</t>
  </si>
  <si>
    <t>245,051.00</t>
  </si>
  <si>
    <t>6,727,118.46</t>
  </si>
  <si>
    <t>946,277.80</t>
  </si>
  <si>
    <t>13,030,800.00</t>
  </si>
  <si>
    <t>73,908.00</t>
  </si>
  <si>
    <t>5,100,000.00</t>
  </si>
  <si>
    <t>4,008,000.00</t>
  </si>
  <si>
    <t>11,122,800.00</t>
  </si>
  <si>
    <t>48,000,000.00</t>
  </si>
  <si>
    <t>23,611,800.00</t>
  </si>
  <si>
    <t>31,380,000.00</t>
  </si>
  <si>
    <t>28,620,000.00</t>
  </si>
  <si>
    <t>4,920,000.00</t>
  </si>
  <si>
    <t>45,130.60</t>
  </si>
  <si>
    <t>3,529,834.00</t>
  </si>
  <si>
    <t>220,328.50</t>
  </si>
  <si>
    <t>574,600.00</t>
  </si>
  <si>
    <t>1,178,520.00</t>
  </si>
  <si>
    <t>634,210.00</t>
  </si>
  <si>
    <t>3,341,843.60</t>
  </si>
  <si>
    <t>1,063,540.00</t>
  </si>
  <si>
    <t>2,700.00</t>
  </si>
  <si>
    <t>24,223,000.00</t>
  </si>
  <si>
    <t>1,954,250.00</t>
  </si>
  <si>
    <t>599,382.00</t>
  </si>
  <si>
    <t>2,897,988.60</t>
  </si>
  <si>
    <t>52,932,000.00</t>
  </si>
  <si>
    <t>399,900.91</t>
  </si>
  <si>
    <t>1,246,676.60</t>
  </si>
  <si>
    <t>15,117,954.98</t>
  </si>
  <si>
    <t>1,460,962.00</t>
  </si>
  <si>
    <t>1,192,000.00</t>
  </si>
  <si>
    <t>156,395.00</t>
  </si>
  <si>
    <t>181,668.00</t>
  </si>
  <si>
    <t>110,650.00</t>
  </si>
  <si>
    <t>1,661,000.00</t>
  </si>
  <si>
    <t>1,630,341.00</t>
  </si>
  <si>
    <t>55,200,000.00</t>
  </si>
  <si>
    <t>41,910,600.00</t>
  </si>
  <si>
    <t>15,207,731.10</t>
  </si>
  <si>
    <t>860,125.11</t>
  </si>
  <si>
    <t>1,986,115.77</t>
  </si>
  <si>
    <t>17,740,411.93</t>
  </si>
  <si>
    <t>1,599,991.31</t>
  </si>
  <si>
    <t>32,902.50</t>
  </si>
  <si>
    <t>780,099.62</t>
  </si>
  <si>
    <t>10,800,000.00</t>
  </si>
  <si>
    <t>3,959,559.81</t>
  </si>
  <si>
    <t>1,223,759.25</t>
  </si>
  <si>
    <t>7,592,500.00</t>
  </si>
  <si>
    <t>9,587,675.00</t>
  </si>
  <si>
    <t>19,200,292.68</t>
  </si>
  <si>
    <t>3,959,556.08</t>
  </si>
  <si>
    <t>1,482,270.00</t>
  </si>
  <si>
    <t>8,141,000.00</t>
  </si>
  <si>
    <t>444,000.00</t>
  </si>
  <si>
    <t>4,454,973.42</t>
  </si>
  <si>
    <t>19,998,728.19</t>
  </si>
  <si>
    <t>981,200.00</t>
  </si>
  <si>
    <t>4,086,774.09</t>
  </si>
  <si>
    <t>135,700.00</t>
  </si>
  <si>
    <t>212,680.00</t>
  </si>
  <si>
    <t>53,800,000.00</t>
  </si>
  <si>
    <t>2,042,200.00</t>
  </si>
  <si>
    <t>142,000.00</t>
  </si>
  <si>
    <t>2,969,989.92</t>
  </si>
  <si>
    <t>2,054,000.00</t>
  </si>
  <si>
    <t>200,285.00</t>
  </si>
  <si>
    <t>1,498,101.64</t>
  </si>
  <si>
    <t>1,999,934.71</t>
  </si>
  <si>
    <t>999,971.61</t>
  </si>
  <si>
    <t>50,003,405.00</t>
  </si>
  <si>
    <t>2,861,645.00</t>
  </si>
  <si>
    <t>250,720.00</t>
  </si>
  <si>
    <t>681,518.00</t>
  </si>
  <si>
    <t>36,790,625.00</t>
  </si>
  <si>
    <t>15,785,325.00</t>
  </si>
  <si>
    <t>677,000.00</t>
  </si>
  <si>
    <t>22,961,210.00</t>
  </si>
  <si>
    <t>170,964.94</t>
  </si>
  <si>
    <t>2,969,682.10</t>
  </si>
  <si>
    <t>173,542.00</t>
  </si>
  <si>
    <t>225,705.00</t>
  </si>
  <si>
    <t>319,980.94</t>
  </si>
  <si>
    <t>1,291,611.00</t>
  </si>
  <si>
    <t>9,969,583.12</t>
  </si>
  <si>
    <t>353,275.00</t>
  </si>
  <si>
    <t>158,378.00</t>
  </si>
  <si>
    <t>405,801.00</t>
  </si>
  <si>
    <t>21,250.00</t>
  </si>
  <si>
    <t>4,955,494.22</t>
  </si>
  <si>
    <t>245,095.38</t>
  </si>
  <si>
    <t>2,499,127.13</t>
  </si>
  <si>
    <t>302,481.80</t>
  </si>
  <si>
    <t>1,487,390.00</t>
  </si>
  <si>
    <t>878,101.00</t>
  </si>
  <si>
    <t>5,776,634.39</t>
  </si>
  <si>
    <t>75,000,000.00</t>
  </si>
  <si>
    <t>5,999,929.43</t>
  </si>
  <si>
    <t>4,087,833.75</t>
  </si>
  <si>
    <t>251,236.00</t>
  </si>
  <si>
    <t>52,735.00</t>
  </si>
  <si>
    <t>9,999,195.07</t>
  </si>
  <si>
    <t>9,999,200.55</t>
  </si>
  <si>
    <t>7,610.00</t>
  </si>
  <si>
    <t>39,599,920.28</t>
  </si>
  <si>
    <t>3,899,090.61</t>
  </si>
  <si>
    <t>7,018,489.20</t>
  </si>
  <si>
    <t>99,610.00</t>
  </si>
  <si>
    <t>1,033,129.20</t>
  </si>
  <si>
    <t>4,999,751.78</t>
  </si>
  <si>
    <t>2,966,825.12</t>
  </si>
  <si>
    <t>1,140,000.00</t>
  </si>
  <si>
    <t>48,249,921.64</t>
  </si>
  <si>
    <t>1,672,325.00</t>
  </si>
  <si>
    <t>3,525,816.55</t>
  </si>
  <si>
    <t>229,448.50</t>
  </si>
  <si>
    <t>6,140,000.00</t>
  </si>
  <si>
    <t>372,590.00</t>
  </si>
  <si>
    <t>55,750.00</t>
  </si>
  <si>
    <t>257,400.00</t>
  </si>
  <si>
    <t>257,186.00</t>
  </si>
  <si>
    <t>112,860.00</t>
  </si>
  <si>
    <t>1,418,200.00</t>
  </si>
  <si>
    <t>784,720.00</t>
  </si>
  <si>
    <t>174,379.00</t>
  </si>
  <si>
    <t>7,665,000.00</t>
  </si>
  <si>
    <t>12,113,071.19</t>
  </si>
  <si>
    <t>4,574,039.28</t>
  </si>
  <si>
    <t>305,235.00</t>
  </si>
  <si>
    <t>1,676,146.91</t>
  </si>
  <si>
    <t>645,000.68</t>
  </si>
  <si>
    <t>441,565.00</t>
  </si>
  <si>
    <t>1,486,994.88</t>
  </si>
  <si>
    <t>22,519.00</t>
  </si>
  <si>
    <t>315,360.00</t>
  </si>
  <si>
    <t>173,566.00</t>
  </si>
  <si>
    <t>1,693,025.00</t>
  </si>
  <si>
    <t>44,100,000.00</t>
  </si>
  <si>
    <t>24,621,428.19</t>
  </si>
  <si>
    <t>695,769.00</t>
  </si>
  <si>
    <t>1,199,012.52</t>
  </si>
  <si>
    <t>5,282,000.00</t>
  </si>
  <si>
    <t>2,638,197.50</t>
  </si>
  <si>
    <t>426,000.00</t>
  </si>
  <si>
    <t>350,805.00</t>
  </si>
  <si>
    <t>1,069,543.00</t>
  </si>
  <si>
    <t>250,310.00</t>
  </si>
  <si>
    <t>4,899,785.46</t>
  </si>
  <si>
    <t>298,907.91</t>
  </si>
  <si>
    <t>139,750.00</t>
  </si>
  <si>
    <t>99,000,000.00</t>
  </si>
  <si>
    <t>11,998,000.00</t>
  </si>
  <si>
    <t>4,899,817.25</t>
  </si>
  <si>
    <t>173,782.00</t>
  </si>
  <si>
    <t>1,434,793.07</t>
  </si>
  <si>
    <t>3,506,084.15</t>
  </si>
  <si>
    <t>5,134,254.08</t>
  </si>
  <si>
    <t>12,724,446.51</t>
  </si>
  <si>
    <t>999,834.78</t>
  </si>
  <si>
    <t>5,045,740.00</t>
  </si>
  <si>
    <t>1,599,999.99</t>
  </si>
  <si>
    <t>1,112,879.47</t>
  </si>
  <si>
    <t>346,493.73</t>
  </si>
  <si>
    <t>8,898,838.52</t>
  </si>
  <si>
    <t>22,186,765.68</t>
  </si>
  <si>
    <t>3,517,944.70</t>
  </si>
  <si>
    <t>5,940,000.00</t>
  </si>
  <si>
    <t>559,629.00</t>
  </si>
  <si>
    <t>446,163.00</t>
  </si>
  <si>
    <t>1,999,999.81</t>
  </si>
  <si>
    <t>1,015,595.00</t>
  </si>
  <si>
    <t>1,999,705.69</t>
  </si>
  <si>
    <t>33,384,575.00</t>
  </si>
  <si>
    <t>999,960.44</t>
  </si>
  <si>
    <t>111,785.00</t>
  </si>
  <si>
    <t>699,000.00</t>
  </si>
  <si>
    <t>62,430.50</t>
  </si>
  <si>
    <t>5,630.00</t>
  </si>
  <si>
    <t>499,981.23</t>
  </si>
  <si>
    <t>999,175.61</t>
  </si>
  <si>
    <t>999,530.86</t>
  </si>
  <si>
    <t>827,140.61</t>
  </si>
  <si>
    <t>790,340.00</t>
  </si>
  <si>
    <t>39,200,000.00</t>
  </si>
  <si>
    <t>3,184,316.98</t>
  </si>
  <si>
    <t>3,687,618.37</t>
  </si>
  <si>
    <t>1,255,464.00</t>
  </si>
  <si>
    <t>2,884,283.42</t>
  </si>
  <si>
    <t>3,098,838.91</t>
  </si>
  <si>
    <t>486,000.00</t>
  </si>
  <si>
    <t>2,065,900.00</t>
  </si>
  <si>
    <t>7,840,000.00</t>
  </si>
  <si>
    <t>14,802,345.38</t>
  </si>
  <si>
    <t>2,510,675.73</t>
  </si>
  <si>
    <t>2,531,475.87</t>
  </si>
  <si>
    <t>751,500.00</t>
  </si>
  <si>
    <t>1,940,609.17</t>
  </si>
  <si>
    <t>3,005,619.74</t>
  </si>
  <si>
    <t>365,688.00</t>
  </si>
  <si>
    <t>534,630.00</t>
  </si>
  <si>
    <t>12,337,350.86</t>
  </si>
  <si>
    <t>17,381,401.01</t>
  </si>
  <si>
    <t>41,970,000.00</t>
  </si>
  <si>
    <t>521,405.00</t>
  </si>
  <si>
    <t>784,663.65</t>
  </si>
  <si>
    <t>1,852,000.00</t>
  </si>
  <si>
    <t>598,220.00</t>
  </si>
  <si>
    <t>2,650,000.00</t>
  </si>
  <si>
    <t>2,499,134.05</t>
  </si>
  <si>
    <t>242,500.00</t>
  </si>
  <si>
    <t>2,739,000.00</t>
  </si>
  <si>
    <t>1,812,055.45</t>
  </si>
  <si>
    <t>1,489,769.85</t>
  </si>
  <si>
    <t>1,598,400.00</t>
  </si>
  <si>
    <t>1,144,000.00</t>
  </si>
  <si>
    <t>257,996.00</t>
  </si>
  <si>
    <t>1,123,869.80</t>
  </si>
  <si>
    <t>1,368,277.50</t>
  </si>
  <si>
    <t>7,913,700.00</t>
  </si>
  <si>
    <t>4,999,930.12</t>
  </si>
  <si>
    <t>2,111,096.82</t>
  </si>
  <si>
    <t>2,403,455.26</t>
  </si>
  <si>
    <t>2,374,493.61</t>
  </si>
  <si>
    <t>2,109,050.00</t>
  </si>
  <si>
    <t>7,472,000.00</t>
  </si>
  <si>
    <t>11,078,763.15</t>
  </si>
  <si>
    <t>1,764,000.00</t>
  </si>
  <si>
    <t>7,118,398.00</t>
  </si>
  <si>
    <t>250,500.00</t>
  </si>
  <si>
    <t>173,080.22</t>
  </si>
  <si>
    <t>9,989,758.06</t>
  </si>
  <si>
    <t>2,288,612.19</t>
  </si>
  <si>
    <t>1,803,000.00</t>
  </si>
  <si>
    <t>1,375,000.00</t>
  </si>
  <si>
    <t>9,475,000.00</t>
  </si>
  <si>
    <t>798,990.90</t>
  </si>
  <si>
    <t>1,798,162.81</t>
  </si>
  <si>
    <t>2,146,000.00</t>
  </si>
  <si>
    <t>224,632.80</t>
  </si>
  <si>
    <t>298,880.00</t>
  </si>
  <si>
    <t>2,499,999.84</t>
  </si>
  <si>
    <t>81,608.00</t>
  </si>
  <si>
    <t>397,766.35</t>
  </si>
  <si>
    <t>5,598,012.00</t>
  </si>
  <si>
    <t>2,071,838.60</t>
  </si>
  <si>
    <t>1,748,000.00</t>
  </si>
  <si>
    <t>18,353,729.85</t>
  </si>
  <si>
    <t>21,025,496.98</t>
  </si>
  <si>
    <t>4,521,500.00</t>
  </si>
  <si>
    <t>128,010.00</t>
  </si>
  <si>
    <t>4,113,500.00</t>
  </si>
  <si>
    <t>14,984,179.56</t>
  </si>
  <si>
    <t>12,361,815.48</t>
  </si>
  <si>
    <t>3,996,727.93</t>
  </si>
  <si>
    <t>15,271,813.21</t>
  </si>
  <si>
    <t>777,957.00</t>
  </si>
  <si>
    <t>228,858.30</t>
  </si>
  <si>
    <t>4,433,204.40</t>
  </si>
  <si>
    <t>56,840.00</t>
  </si>
  <si>
    <t>5,900,000.00</t>
  </si>
  <si>
    <t>2,056,768.58</t>
  </si>
  <si>
    <t>16,800,306.98</t>
  </si>
  <si>
    <t>199,888.07</t>
  </si>
  <si>
    <t>62,508.00</t>
  </si>
  <si>
    <t>14,512,667.20</t>
  </si>
  <si>
    <t>78,546.00</t>
  </si>
  <si>
    <t>3,240,412.45</t>
  </si>
  <si>
    <t>1,155,580.00</t>
  </si>
  <si>
    <t>1,985,283.28</t>
  </si>
  <si>
    <t>14,412,667.20</t>
  </si>
  <si>
    <t>91,548.00</t>
  </si>
  <si>
    <t>1,889,118.96</t>
  </si>
  <si>
    <t>2,999,947.13</t>
  </si>
  <si>
    <t>1,959,977.08</t>
  </si>
  <si>
    <t>399,915.11</t>
  </si>
  <si>
    <t>17,822,358.11</t>
  </si>
  <si>
    <t>51,396.00</t>
  </si>
  <si>
    <t>1,996,389.20</t>
  </si>
  <si>
    <t>1,695,126.59</t>
  </si>
  <si>
    <t>118,009.00</t>
  </si>
  <si>
    <t>1,959,915.72</t>
  </si>
  <si>
    <t>1,600,243.00</t>
  </si>
  <si>
    <t>1,773,000.00</t>
  </si>
  <si>
    <t>12,420,000.00</t>
  </si>
  <si>
    <t>1,796,375.83</t>
  </si>
  <si>
    <t>290,435.00</t>
  </si>
  <si>
    <t>1,253,752.35</t>
  </si>
  <si>
    <t>14,212,667.20</t>
  </si>
  <si>
    <t>1,278,839.87</t>
  </si>
  <si>
    <t>97,784.00</t>
  </si>
  <si>
    <t>1,003,799.13</t>
  </si>
  <si>
    <t>979,940.65</t>
  </si>
  <si>
    <t>1,999,996.01</t>
  </si>
  <si>
    <t>3,956,575.60</t>
  </si>
  <si>
    <t>999,961.59</t>
  </si>
  <si>
    <t>994,919.62</t>
  </si>
  <si>
    <t>1,372,678.00</t>
  </si>
  <si>
    <t>7,002,100.00</t>
  </si>
  <si>
    <t>38,615.00</t>
  </si>
  <si>
    <t>81,725.00</t>
  </si>
  <si>
    <t>5,496,977.98</t>
  </si>
  <si>
    <t>1,888,784.90</t>
  </si>
  <si>
    <t>137,970.20</t>
  </si>
  <si>
    <t>351,495.00</t>
  </si>
  <si>
    <t>3,754,371.75</t>
  </si>
  <si>
    <t>2,099,979.00</t>
  </si>
  <si>
    <t>27,932,225.66</t>
  </si>
  <si>
    <t>1,685,945.00</t>
  </si>
  <si>
    <t>4,247,960.00</t>
  </si>
  <si>
    <t>16,242,649.10</t>
  </si>
  <si>
    <t>5,271,000.00</t>
  </si>
  <si>
    <t>263,975.00</t>
  </si>
  <si>
    <t>159,592.00</t>
  </si>
  <si>
    <t>2,154,295.00</t>
  </si>
  <si>
    <t>300,550.00</t>
  </si>
  <si>
    <t>78,073.00</t>
  </si>
  <si>
    <t>3,312,885.56</t>
  </si>
  <si>
    <t>2,025,533.50</t>
  </si>
  <si>
    <t>164,049,678.46</t>
  </si>
  <si>
    <t>1,190,000.00</t>
  </si>
  <si>
    <t>3,119,303.40</t>
  </si>
  <si>
    <t>1,855,000.00</t>
  </si>
  <si>
    <t>1,492,026.64</t>
  </si>
  <si>
    <t>3,023,525.90</t>
  </si>
  <si>
    <t>2,052,671.88</t>
  </si>
  <si>
    <t>14,999,975.17</t>
  </si>
  <si>
    <t>3,797,432.66</t>
  </si>
  <si>
    <t>79,320.00</t>
  </si>
  <si>
    <t>4,585,978.20</t>
  </si>
  <si>
    <t>50,161.00</t>
  </si>
  <si>
    <t>69,373.33</t>
  </si>
  <si>
    <t>291,050.00</t>
  </si>
  <si>
    <t>10,503,282.50</t>
  </si>
  <si>
    <t>390,600.00</t>
  </si>
  <si>
    <t>2,984,023.03</t>
  </si>
  <si>
    <t>189,494.00</t>
  </si>
  <si>
    <t>3,715.00</t>
  </si>
  <si>
    <t>15,978.00</t>
  </si>
  <si>
    <t>3,840,000.00</t>
  </si>
  <si>
    <t>158,652.80</t>
  </si>
  <si>
    <t>979,600.00</t>
  </si>
  <si>
    <t>2,152,680.51</t>
  </si>
  <si>
    <t>253,740.00</t>
  </si>
  <si>
    <t>3,855,000.00</t>
  </si>
  <si>
    <t>7,343,000.00</t>
  </si>
  <si>
    <t>287,138.80</t>
  </si>
  <si>
    <t>4,975,000.00</t>
  </si>
  <si>
    <t>156,400.00</t>
  </si>
  <si>
    <t>1,522,173.97</t>
  </si>
  <si>
    <t>149,986.00</t>
  </si>
  <si>
    <t>199,978.00</t>
  </si>
  <si>
    <t>10,498,598.40</t>
  </si>
  <si>
    <t>224,660.00</t>
  </si>
  <si>
    <t>16,400,000.00</t>
  </si>
  <si>
    <t>996,078.00</t>
  </si>
  <si>
    <t>1,054,484.12</t>
  </si>
  <si>
    <t>17,872,358.11</t>
  </si>
  <si>
    <t>5,119,477.97</t>
  </si>
  <si>
    <t>4,844,200.00</t>
  </si>
  <si>
    <t>999,700.00</t>
  </si>
  <si>
    <t>388,170.00</t>
  </si>
  <si>
    <t>9,999,691.12</t>
  </si>
  <si>
    <t>32,792,641.77</t>
  </si>
  <si>
    <t>12,887,344.21</t>
  </si>
  <si>
    <t>168,729.00</t>
  </si>
  <si>
    <t>16,273,238.60</t>
  </si>
  <si>
    <t>6,965,000.00</t>
  </si>
  <si>
    <t>451,659.65</t>
  </si>
  <si>
    <t>857,627.45</t>
  </si>
  <si>
    <t>96,539,568.78</t>
  </si>
  <si>
    <t>90,092,797.91</t>
  </si>
  <si>
    <t>532,343.53</t>
  </si>
  <si>
    <t>252,545.00</t>
  </si>
  <si>
    <t>216,900.00</t>
  </si>
  <si>
    <t>747,700.00</t>
  </si>
  <si>
    <t>61,783,375.29</t>
  </si>
  <si>
    <t>3,484,000.00</t>
  </si>
  <si>
    <t>19,761,430.40</t>
  </si>
  <si>
    <t>483,100.00</t>
  </si>
  <si>
    <t>212,269.34</t>
  </si>
  <si>
    <t>997,200.00</t>
  </si>
  <si>
    <t>23,200,000.00</t>
  </si>
  <si>
    <t>6,468,294.37</t>
  </si>
  <si>
    <t>43,200.00</t>
  </si>
  <si>
    <t>1,435,361.40</t>
  </si>
  <si>
    <t>11,400,000.00</t>
  </si>
  <si>
    <t>353,125.00</t>
  </si>
  <si>
    <t>204,900.00</t>
  </si>
  <si>
    <t>277,499.81</t>
  </si>
  <si>
    <t>1,326,532.80</t>
  </si>
  <si>
    <t>1,813,956.60</t>
  </si>
  <si>
    <t>5,068,586.35</t>
  </si>
  <si>
    <t>5,240,403.47</t>
  </si>
  <si>
    <t>1,474,657.00</t>
  </si>
  <si>
    <t>8,750,000.00</t>
  </si>
  <si>
    <t>11,960,000.00</t>
  </si>
  <si>
    <t>19,999,999.90</t>
  </si>
  <si>
    <t>11,499,950.00</t>
  </si>
  <si>
    <t>519,435.70</t>
  </si>
  <si>
    <t>142,063,337.98</t>
  </si>
  <si>
    <t>2,429,125.00</t>
  </si>
  <si>
    <t>3,655,205.00</t>
  </si>
  <si>
    <t>408,120.00</t>
  </si>
  <si>
    <t>1,081,952.82</t>
  </si>
  <si>
    <t>239,880.00</t>
  </si>
  <si>
    <t>1,999,740.48</t>
  </si>
  <si>
    <t>1,021,193.25</t>
  </si>
  <si>
    <t>1,997,720.95</t>
  </si>
  <si>
    <t>62,385.00</t>
  </si>
  <si>
    <t>2,729,000.00</t>
  </si>
  <si>
    <t>301,884.00</t>
  </si>
  <si>
    <t>2,868,181.16</t>
  </si>
  <si>
    <t>4,942,000.00</t>
  </si>
  <si>
    <t>39,982,325.50</t>
  </si>
  <si>
    <t>587,306.91</t>
  </si>
  <si>
    <t>5,200,000.00</t>
  </si>
  <si>
    <t>7,121,640.00</t>
  </si>
  <si>
    <t>211,600.00</t>
  </si>
  <si>
    <t>2,304,000.00</t>
  </si>
  <si>
    <t>322,345.00</t>
  </si>
  <si>
    <t>8,956,500.00</t>
  </si>
  <si>
    <t>210,580.00</t>
  </si>
  <si>
    <t>898,445.07</t>
  </si>
  <si>
    <t>1,299,991.86</t>
  </si>
  <si>
    <t>62,479.00</t>
  </si>
  <si>
    <t>238,000.00</t>
  </si>
  <si>
    <t>2,991,535.67</t>
  </si>
  <si>
    <t>2,999,363.40</t>
  </si>
  <si>
    <t>1,218,397.23</t>
  </si>
  <si>
    <t>74,784.00</t>
  </si>
  <si>
    <t>106,547,910.00</t>
  </si>
  <si>
    <t>2,564,000.00</t>
  </si>
  <si>
    <t>3,999,084.94</t>
  </si>
  <si>
    <t>5,731,728.72</t>
  </si>
  <si>
    <t>11,595,855.62</t>
  </si>
  <si>
    <t>84,605.00</t>
  </si>
  <si>
    <t>105,760.00</t>
  </si>
  <si>
    <t>4,440,000.00</t>
  </si>
  <si>
    <t>3,811,351.84</t>
  </si>
  <si>
    <t>861,994.85</t>
  </si>
  <si>
    <t>11,175,000.00</t>
  </si>
  <si>
    <t>189,425.00</t>
  </si>
  <si>
    <t>1,099,800.00</t>
  </si>
  <si>
    <t>4,320,000.00</t>
  </si>
  <si>
    <t>999,999.05</t>
  </si>
  <si>
    <t>92,092,134.99</t>
  </si>
  <si>
    <t>1,435,743.30</t>
  </si>
  <si>
    <t>2,781,910.00</t>
  </si>
  <si>
    <t>3,400,000.00</t>
  </si>
  <si>
    <t>973,035.21</t>
  </si>
  <si>
    <t>979,562.50</t>
  </si>
  <si>
    <t>381,628.47</t>
  </si>
  <si>
    <t>1,999,999.33</t>
  </si>
  <si>
    <t>4,045,907.16</t>
  </si>
  <si>
    <t>933,088.26</t>
  </si>
  <si>
    <t>549,943.00</t>
  </si>
  <si>
    <t>4,108,797.00</t>
  </si>
  <si>
    <t>278,000.00</t>
  </si>
  <si>
    <t>30,304,622.95</t>
  </si>
  <si>
    <t>992,850.00</t>
  </si>
  <si>
    <t>8,600,000.00</t>
  </si>
  <si>
    <t>2,747,910.00</t>
  </si>
  <si>
    <t>194,400.00</t>
  </si>
  <si>
    <t>1,159,474.36</t>
  </si>
  <si>
    <t>355,343.00</t>
  </si>
  <si>
    <t>2,499,966.00</t>
  </si>
  <si>
    <t>851,038.98</t>
  </si>
  <si>
    <t>4,684,400.00</t>
  </si>
  <si>
    <t>2,051,366.25</t>
  </si>
  <si>
    <t>238,700.00</t>
  </si>
  <si>
    <t>496,462.00</t>
  </si>
  <si>
    <t>432,396.00</t>
  </si>
  <si>
    <t>1,466,931.00</t>
  </si>
  <si>
    <t>496,984.00</t>
  </si>
  <si>
    <t>999,547.50</t>
  </si>
  <si>
    <t>738,512.00</t>
  </si>
  <si>
    <t>2,072,175.00</t>
  </si>
  <si>
    <t>1,426,500.00</t>
  </si>
  <si>
    <t>1,334,240.00</t>
  </si>
  <si>
    <t>289,500.00</t>
  </si>
  <si>
    <t>3,150,000.00</t>
  </si>
  <si>
    <t>19,570.00</t>
  </si>
  <si>
    <t>2,016,260.50</t>
  </si>
  <si>
    <t>2,662,104.16</t>
  </si>
  <si>
    <t>548,477.00</t>
  </si>
  <si>
    <t>731,066.00</t>
  </si>
  <si>
    <t>10,765,610.10</t>
  </si>
  <si>
    <t>50,090,000.00</t>
  </si>
  <si>
    <t>9,996,588.22</t>
  </si>
  <si>
    <t>28,690.00</t>
  </si>
  <si>
    <t>162,146.40</t>
  </si>
  <si>
    <t>176,555.25</t>
  </si>
  <si>
    <t>108,504.88</t>
  </si>
  <si>
    <t>3,729,963.80</t>
  </si>
  <si>
    <t>90,033.72</t>
  </si>
  <si>
    <t>1,265,594.54</t>
  </si>
  <si>
    <t>3,211,933.56</t>
  </si>
  <si>
    <t>20,620,000.00</t>
  </si>
  <si>
    <t>4,950,023.62</t>
  </si>
  <si>
    <t>12,481,333.50</t>
  </si>
  <si>
    <t>267,134.00</t>
  </si>
  <si>
    <t>346,200.00</t>
  </si>
  <si>
    <t>71,843.00</t>
  </si>
  <si>
    <t>277,430.00</t>
  </si>
  <si>
    <t>2,299,754.26</t>
  </si>
  <si>
    <t>15,605,394.00</t>
  </si>
  <si>
    <t>215,840.00</t>
  </si>
  <si>
    <t>4,394,606.00</t>
  </si>
  <si>
    <t>5,040,000.00</t>
  </si>
  <si>
    <t>3,950,000.00</t>
  </si>
  <si>
    <t>89,660.00</t>
  </si>
  <si>
    <t>268,000.00</t>
  </si>
  <si>
    <t>1,999,594.90</t>
  </si>
  <si>
    <t>1,212,362.00</t>
  </si>
  <si>
    <t>904,830.00</t>
  </si>
  <si>
    <t>3,032,123.00</t>
  </si>
  <si>
    <t>211,300.00</t>
  </si>
  <si>
    <t>272,355.00</t>
  </si>
  <si>
    <t>1,701,625.00</t>
  </si>
  <si>
    <t>429,800.00</t>
  </si>
  <si>
    <t>374,851.05</t>
  </si>
  <si>
    <t>260,300.00</t>
  </si>
  <si>
    <t>3,050,000.00</t>
  </si>
  <si>
    <t>325,939.00</t>
  </si>
  <si>
    <t>432,946.25</t>
  </si>
  <si>
    <t>345,849.59</t>
  </si>
  <si>
    <t>349,700.00</t>
  </si>
  <si>
    <t>193,418.00</t>
  </si>
  <si>
    <t>9,307,372.03</t>
  </si>
  <si>
    <t>4,198,550.00</t>
  </si>
  <si>
    <t>2,006,020.00</t>
  </si>
  <si>
    <t>2,064,700.00</t>
  </si>
  <si>
    <t>1,121,400.00</t>
  </si>
  <si>
    <t>7,953,430.00</t>
  </si>
  <si>
    <t>149,846.00</t>
  </si>
  <si>
    <t>257,509.00</t>
  </si>
  <si>
    <t>7,331,900.00</t>
  </si>
  <si>
    <t>2,261,000.00</t>
  </si>
  <si>
    <t>120,467.20</t>
  </si>
  <si>
    <t>3,681,714.32</t>
  </si>
  <si>
    <t>6,840,000.00</t>
  </si>
  <si>
    <t>111,270.00</t>
  </si>
  <si>
    <t>80,000,000.00</t>
  </si>
  <si>
    <t>1,519,262.60</t>
  </si>
  <si>
    <t>3,547,781.30</t>
  </si>
  <si>
    <t>169,880.00</t>
  </si>
  <si>
    <t>1,030,950.00</t>
  </si>
  <si>
    <t>2,384,773.04</t>
  </si>
  <si>
    <t>1,131,377.16</t>
  </si>
  <si>
    <t>338,800.00</t>
  </si>
  <si>
    <t>112,550.00</t>
  </si>
  <si>
    <t>3,004,575.74</t>
  </si>
  <si>
    <t>1,445,000.00</t>
  </si>
  <si>
    <t>12,373,217.23</t>
  </si>
  <si>
    <t>49,750,000.00</t>
  </si>
  <si>
    <t>1,105,000.00</t>
  </si>
  <si>
    <t>8,706.00</t>
  </si>
  <si>
    <t>6,404,893.74</t>
  </si>
  <si>
    <t>847,425.00</t>
  </si>
  <si>
    <t>45,900.00</t>
  </si>
  <si>
    <t>2,065,366.40</t>
  </si>
  <si>
    <t>1,060,000.00</t>
  </si>
  <si>
    <t>219,430.00</t>
  </si>
  <si>
    <t>1,200,001.45</t>
  </si>
  <si>
    <t>3,566,065.00</t>
  </si>
  <si>
    <t>5,464,195.00</t>
  </si>
  <si>
    <t>251,805.00</t>
  </si>
  <si>
    <t>760,700.00</t>
  </si>
  <si>
    <t>4,167,750.00</t>
  </si>
  <si>
    <t>122,580.60</t>
  </si>
  <si>
    <t>1,305,175.66</t>
  </si>
  <si>
    <t>1,450,457.65</t>
  </si>
  <si>
    <t>26,900.00</t>
  </si>
  <si>
    <t>1,010,000.00</t>
  </si>
  <si>
    <t>353,214.00</t>
  </si>
  <si>
    <t>1,182,058.29</t>
  </si>
  <si>
    <t>2,805,225.00</t>
  </si>
  <si>
    <t>301,600.00</t>
  </si>
  <si>
    <t>26,500,000.00</t>
  </si>
  <si>
    <t>578,003.00</t>
  </si>
  <si>
    <t>4,503,000.00</t>
  </si>
  <si>
    <t>7,821,050.93</t>
  </si>
  <si>
    <t>2,060,815.67</t>
  </si>
  <si>
    <t>136,118.00</t>
  </si>
  <si>
    <t>5,049,964.74</t>
  </si>
  <si>
    <t>225,444.50</t>
  </si>
  <si>
    <t>68,911.55</t>
  </si>
  <si>
    <t>257,600.00</t>
  </si>
  <si>
    <t>51,840.00</t>
  </si>
  <si>
    <t>599,595.83</t>
  </si>
  <si>
    <t>282,500.00</t>
  </si>
  <si>
    <t>141,960.00</t>
  </si>
  <si>
    <t>645,878.00</t>
  </si>
  <si>
    <t>2,072,432.03</t>
  </si>
  <si>
    <t>810,244.60</t>
  </si>
  <si>
    <t>6,620,000.00</t>
  </si>
  <si>
    <t>776,802.33</t>
  </si>
  <si>
    <t>2,626,845.74</t>
  </si>
  <si>
    <t>319,200.00</t>
  </si>
  <si>
    <t>799,992.79</t>
  </si>
  <si>
    <t>8,933,165.00</t>
  </si>
  <si>
    <t>449,006.00</t>
  </si>
  <si>
    <t>70,000,000.00</t>
  </si>
  <si>
    <t>255,700.00</t>
  </si>
  <si>
    <t>1,082,500.00</t>
  </si>
  <si>
    <t>2,853,955.24</t>
  </si>
  <si>
    <t>94,274.40</t>
  </si>
  <si>
    <t>133,140.18</t>
  </si>
  <si>
    <t>971,750.00</t>
  </si>
  <si>
    <t>28,750,000.00</t>
  </si>
  <si>
    <t>3,818,500.00</t>
  </si>
  <si>
    <t>299,583.25</t>
  </si>
  <si>
    <t>1,944,791.88</t>
  </si>
  <si>
    <t>4,845,999.67</t>
  </si>
  <si>
    <t>17,200.00</t>
  </si>
  <si>
    <t>215,536.00</t>
  </si>
  <si>
    <t>63,750,000.00</t>
  </si>
  <si>
    <t>100,005.00</t>
  </si>
  <si>
    <t>13,250,000.00</t>
  </si>
  <si>
    <t>115,800,000.00</t>
  </si>
  <si>
    <t>499,925.94</t>
  </si>
  <si>
    <t>17,526,700.00</t>
  </si>
  <si>
    <t>4,570,731.00</t>
  </si>
  <si>
    <t>2,109,484.00</t>
  </si>
  <si>
    <t>2,909,614.66</t>
  </si>
  <si>
    <t>1,496,737.14</t>
  </si>
  <si>
    <t>1,061,168.95</t>
  </si>
  <si>
    <t>1,954,347.39</t>
  </si>
  <si>
    <t>1,921,752.00</t>
  </si>
  <si>
    <t>2,846,228.00</t>
  </si>
  <si>
    <t>499,218.00</t>
  </si>
  <si>
    <t>1,663,657.97</t>
  </si>
  <si>
    <t>998,019.00</t>
  </si>
  <si>
    <t>999,570.00</t>
  </si>
  <si>
    <t>23,150.00</t>
  </si>
  <si>
    <t>2,320,390.00</t>
  </si>
  <si>
    <t>999,432.50</t>
  </si>
  <si>
    <t>199,690.00</t>
  </si>
  <si>
    <t>149,244.75</t>
  </si>
  <si>
    <t>299,398.06</t>
  </si>
  <si>
    <t>199,936.01</t>
  </si>
  <si>
    <t>1,881,991.40</t>
  </si>
  <si>
    <t>2,726,500.00</t>
  </si>
  <si>
    <t>13,823,000.00</t>
  </si>
  <si>
    <t>19,899,786.54</t>
  </si>
  <si>
    <t>25,456.00</t>
  </si>
  <si>
    <t>22,801,822.76</t>
  </si>
  <si>
    <t>1,968,791.19</t>
  </si>
  <si>
    <t>4,181,955.90</t>
  </si>
  <si>
    <t>220,884.00</t>
  </si>
  <si>
    <t>1,951,693.72</t>
  </si>
  <si>
    <t>1,032,540.20</t>
  </si>
  <si>
    <t>96,499,135.60</t>
  </si>
  <si>
    <t>1,959,230.12</t>
  </si>
  <si>
    <t>3,970,000.00</t>
  </si>
  <si>
    <t>14,057,904.00</t>
  </si>
  <si>
    <t>1,144,590.90</t>
  </si>
  <si>
    <t>2,513,150.00</t>
  </si>
  <si>
    <t>1,910,000.00</t>
  </si>
  <si>
    <t>522,500.00</t>
  </si>
  <si>
    <t>3,837,420.00</t>
  </si>
  <si>
    <t>365,450.00</t>
  </si>
  <si>
    <t>2,191,075.00</t>
  </si>
  <si>
    <t>514,000.00</t>
  </si>
  <si>
    <t>176,703.50</t>
  </si>
  <si>
    <t>2,215,139.00</t>
  </si>
  <si>
    <t>2,025,000.00</t>
  </si>
  <si>
    <t>1,485,000.00</t>
  </si>
  <si>
    <t>10,710,930.10</t>
  </si>
  <si>
    <t>2,370,000.00</t>
  </si>
  <si>
    <t>4,778,950.29</t>
  </si>
  <si>
    <t>567,600.00</t>
  </si>
  <si>
    <t>673,200.00</t>
  </si>
  <si>
    <t>256,086.00</t>
  </si>
  <si>
    <t>1,614,126.00</t>
  </si>
  <si>
    <t>4,820,000.00</t>
  </si>
  <si>
    <t>8,295,112.00</t>
  </si>
  <si>
    <t>4,416,000.00</t>
  </si>
  <si>
    <t>221,926,429.00</t>
  </si>
  <si>
    <t>3,630,000.00</t>
  </si>
  <si>
    <t>1,780,000.00</t>
  </si>
  <si>
    <t>86,500,000.00</t>
  </si>
  <si>
    <t>7,739,249.00</t>
  </si>
  <si>
    <t>2,999,999.67</t>
  </si>
  <si>
    <t>3,777,000.00</t>
  </si>
  <si>
    <t>127,140,000.00</t>
  </si>
  <si>
    <t>1,543,839.67</t>
  </si>
  <si>
    <t>3,959,985.30</t>
  </si>
  <si>
    <t>2,610,000.00</t>
  </si>
  <si>
    <t>1,384,000.00</t>
  </si>
  <si>
    <t>701,710.00</t>
  </si>
  <si>
    <t>1,775,253.00</t>
  </si>
  <si>
    <t>4,216,000.00</t>
  </si>
  <si>
    <t>1,139,636.56</t>
  </si>
  <si>
    <t>1,199,800.00</t>
  </si>
  <si>
    <t>2,912,460.78</t>
  </si>
  <si>
    <t>12,886,480.00</t>
  </si>
  <si>
    <t>4,949,981.73</t>
  </si>
  <si>
    <t>232,200.00</t>
  </si>
  <si>
    <t>3,875,000.00</t>
  </si>
  <si>
    <t>1,225,050.00</t>
  </si>
  <si>
    <t>641,414.36</t>
  </si>
  <si>
    <t>2,094,148.91</t>
  </si>
  <si>
    <t>90,919.67</t>
  </si>
  <si>
    <t>447,134.00</t>
  </si>
  <si>
    <t>11,960,190.71</t>
  </si>
  <si>
    <t>406,560.00</t>
  </si>
  <si>
    <t>3,161,200.00</t>
  </si>
  <si>
    <t>1,135,800.00</t>
  </si>
  <si>
    <t>1,500,797.00</t>
  </si>
  <si>
    <t>4,667,948.40</t>
  </si>
  <si>
    <t>230,323.00</t>
  </si>
  <si>
    <t>1,292,444.00</t>
  </si>
  <si>
    <t>500,850.00</t>
  </si>
  <si>
    <t>5,080,000.00</t>
  </si>
  <si>
    <t>3,830,259.73</t>
  </si>
  <si>
    <t>10,854,360.00</t>
  </si>
  <si>
    <t>4,805,950.00</t>
  </si>
  <si>
    <t>1,259,873.84</t>
  </si>
  <si>
    <t>227,620.00</t>
  </si>
  <si>
    <t>579,100.00</t>
  </si>
  <si>
    <t>3,665,000.00</t>
  </si>
  <si>
    <t>499,348.29</t>
  </si>
  <si>
    <t>48,255,025.00</t>
  </si>
  <si>
    <t>7,850,000.00</t>
  </si>
  <si>
    <t>2,991,217.61</t>
  </si>
  <si>
    <t>64,290.00</t>
  </si>
  <si>
    <t>335,724.64</t>
  </si>
  <si>
    <t>4,454,985.06</t>
  </si>
  <si>
    <t>3,959,992.62</t>
  </si>
  <si>
    <t>30,100,000.00</t>
  </si>
  <si>
    <t>398,180.00</t>
  </si>
  <si>
    <t>527,000.00</t>
  </si>
  <si>
    <t>5,444,985.82</t>
  </si>
  <si>
    <t>1,520,532.09</t>
  </si>
  <si>
    <t>451,913,535.60</t>
  </si>
  <si>
    <t>1,568,299.05</t>
  </si>
  <si>
    <t>3,959,983.34</t>
  </si>
  <si>
    <t>3,338,000.00</t>
  </si>
  <si>
    <t>12,259,165.21</t>
  </si>
  <si>
    <t>300,314.83</t>
  </si>
  <si>
    <t>14,566,674.50</t>
  </si>
  <si>
    <t>2,996,762.15</t>
  </si>
  <si>
    <t>3,018,400.00</t>
  </si>
  <si>
    <t>1,749,420.92</t>
  </si>
  <si>
    <t>1,126,081.32</t>
  </si>
  <si>
    <t>34,550,000.00</t>
  </si>
  <si>
    <t>12,540,885.93</t>
  </si>
  <si>
    <t>38,003,199.20</t>
  </si>
  <si>
    <t>71,770.00</t>
  </si>
  <si>
    <t>6,074,526.96</t>
  </si>
  <si>
    <t>4,506,000.00</t>
  </si>
  <si>
    <t>1,998,903.93</t>
  </si>
  <si>
    <t>110,898,926.55</t>
  </si>
  <si>
    <t>2,999,945.75</t>
  </si>
  <si>
    <t>1,996,643.89</t>
  </si>
  <si>
    <t>1,498,147.55</t>
  </si>
  <si>
    <t>79,996,070.00</t>
  </si>
  <si>
    <t>1,496,475.25</t>
  </si>
  <si>
    <t>2,284,999.76</t>
  </si>
  <si>
    <t>2,996,117.47</t>
  </si>
  <si>
    <t>204,398.87</t>
  </si>
  <si>
    <t>1,198,200.00</t>
  </si>
  <si>
    <t>144,200.00</t>
  </si>
  <si>
    <t>619,357.40</t>
  </si>
  <si>
    <t>274,000.00</t>
  </si>
  <si>
    <t>136,893,553.40</t>
  </si>
  <si>
    <t>22,354,106.69</t>
  </si>
  <si>
    <t>279,851.25</t>
  </si>
  <si>
    <t>20,900,000.00</t>
  </si>
  <si>
    <t>7,338,900.00</t>
  </si>
  <si>
    <t>1,924,864.32</t>
  </si>
  <si>
    <t>5,876,500.00</t>
  </si>
  <si>
    <t>4,207,753.71</t>
  </si>
  <si>
    <t>38,000.00</t>
  </si>
  <si>
    <t>8,208,000.00</t>
  </si>
  <si>
    <t>2,553,600.00</t>
  </si>
  <si>
    <t>924,004.00</t>
  </si>
  <si>
    <t>999,816.29</t>
  </si>
  <si>
    <t>322,905.00</t>
  </si>
  <si>
    <t>300,865.00</t>
  </si>
  <si>
    <t>15,594,400.00</t>
  </si>
  <si>
    <t>1,660,000.00</t>
  </si>
  <si>
    <t>2,295,702.00</t>
  </si>
  <si>
    <t>292,764.00</t>
  </si>
  <si>
    <t>3,762,225.00</t>
  </si>
  <si>
    <t>4,019,110.24</t>
  </si>
  <si>
    <t>732,723.91</t>
  </si>
  <si>
    <t>891,364.00</t>
  </si>
  <si>
    <t>5,014,352.00</t>
  </si>
  <si>
    <t>1,999,655.02</t>
  </si>
  <si>
    <t>4,455,000.00</t>
  </si>
  <si>
    <t>1,728,797.02</t>
  </si>
  <si>
    <t>6,241,280.00</t>
  </si>
  <si>
    <t>4,690,142.28</t>
  </si>
  <si>
    <t>3,850,000.00</t>
  </si>
  <si>
    <t>1,352,000.00</t>
  </si>
  <si>
    <t>5,667,551.40</t>
  </si>
  <si>
    <t>7,367,239.57</t>
  </si>
  <si>
    <t>12,937,591.44</t>
  </si>
  <si>
    <t>357,500.00</t>
  </si>
  <si>
    <t>421,981.50</t>
  </si>
  <si>
    <t>1,701,939.04</t>
  </si>
  <si>
    <t>1,228,797.30</t>
  </si>
  <si>
    <t>1,002,960.00</t>
  </si>
  <si>
    <t>1,605,000.00</t>
  </si>
  <si>
    <t>1,755,000.00</t>
  </si>
  <si>
    <t>9,750,000.00</t>
  </si>
  <si>
    <t>2,924,897.55</t>
  </si>
  <si>
    <t>3,900,010.79</t>
  </si>
  <si>
    <t>51,930,054.53</t>
  </si>
  <si>
    <t>3,171,740.00</t>
  </si>
  <si>
    <t>1,996,104.97</t>
  </si>
  <si>
    <t>175,500.00</t>
  </si>
  <si>
    <t>1,969,094.36</t>
  </si>
  <si>
    <t>1,799,793.00</t>
  </si>
  <si>
    <t>111,286.38</t>
  </si>
  <si>
    <t>1,029,000.00</t>
  </si>
  <si>
    <t>147,550.00</t>
  </si>
  <si>
    <t>1,821,875.38</t>
  </si>
  <si>
    <t>3,998,999.31</t>
  </si>
  <si>
    <t>437,019.00</t>
  </si>
  <si>
    <t>667,064.01</t>
  </si>
  <si>
    <t>1,398,918.57</t>
  </si>
  <si>
    <t>299,922.25</t>
  </si>
  <si>
    <t>1,999,876.37</t>
  </si>
  <si>
    <t>13,720,000.00</t>
  </si>
  <si>
    <t>2,156,232.40</t>
  </si>
  <si>
    <t>426,434.55</t>
  </si>
  <si>
    <t>2,999,917.45</t>
  </si>
  <si>
    <t>1,166,250.00</t>
  </si>
  <si>
    <t>1,799,783.48</t>
  </si>
  <si>
    <t>276,484.43</t>
  </si>
  <si>
    <t>597,207.25</t>
  </si>
  <si>
    <t>357,130.33</t>
  </si>
  <si>
    <t>1,979,983.76</t>
  </si>
  <si>
    <t>378,590.00</t>
  </si>
  <si>
    <t>780,212.00</t>
  </si>
  <si>
    <t>445,552.87</t>
  </si>
  <si>
    <t>1,264,220.00</t>
  </si>
  <si>
    <t>1,007,304.10</t>
  </si>
  <si>
    <t>200,650.00</t>
  </si>
  <si>
    <t>2,895,745.00</t>
  </si>
  <si>
    <t>39,831,170.00</t>
  </si>
  <si>
    <t>2,542,486.00</t>
  </si>
  <si>
    <t>1,499,928.02</t>
  </si>
  <si>
    <t>7,984,124.82</t>
  </si>
  <si>
    <t>499,916.66</t>
  </si>
  <si>
    <t>4,710,000.00</t>
  </si>
  <si>
    <t>49,973,529.61</t>
  </si>
  <si>
    <t>1,886,393.85</t>
  </si>
  <si>
    <t>1,442,726.01</t>
  </si>
  <si>
    <t>789,840.67</t>
  </si>
  <si>
    <t>2,994,025.66</t>
  </si>
  <si>
    <t>1,409,491.95</t>
  </si>
  <si>
    <t>6,881,068.35</t>
  </si>
  <si>
    <t>386,398.60</t>
  </si>
  <si>
    <t>7,596,824.28</t>
  </si>
  <si>
    <t>1,415,833.30</t>
  </si>
  <si>
    <t>2,943,939.63</t>
  </si>
  <si>
    <t>277,049.98</t>
  </si>
  <si>
    <t>16,605,835.41</t>
  </si>
  <si>
    <t>5,057,894.40</t>
  </si>
  <si>
    <t>852,500.00</t>
  </si>
  <si>
    <t>13,452,000.00</t>
  </si>
  <si>
    <t>115,230.00</t>
  </si>
  <si>
    <t>1,747,787.50</t>
  </si>
  <si>
    <t>175,064.89</t>
  </si>
  <si>
    <t>498,244.52</t>
  </si>
  <si>
    <t>1,498,893.76</t>
  </si>
  <si>
    <t>34,184,969.16</t>
  </si>
  <si>
    <t>1,739,567.35</t>
  </si>
  <si>
    <t>100,336,108.59</t>
  </si>
  <si>
    <t>790,218.00</t>
  </si>
  <si>
    <t>10,101,000.00</t>
  </si>
  <si>
    <t>6,870,666.37</t>
  </si>
  <si>
    <t>1,710,000.00</t>
  </si>
  <si>
    <t>1,270,141.60</t>
  </si>
  <si>
    <t>988,704.99</t>
  </si>
  <si>
    <t>156,487,295.00</t>
  </si>
  <si>
    <t>720,328.00</t>
  </si>
  <si>
    <t>485,772.30</t>
  </si>
  <si>
    <t>486,659.23</t>
  </si>
  <si>
    <t>7,989.00</t>
  </si>
  <si>
    <t>476,207.20</t>
  </si>
  <si>
    <t>3,785,425.00</t>
  </si>
  <si>
    <t>12,205,896.88</t>
  </si>
  <si>
    <t>19,573,000.00</t>
  </si>
  <si>
    <t>76,635.00</t>
  </si>
  <si>
    <t>3,630,400.00</t>
  </si>
  <si>
    <t>2,850,500.00</t>
  </si>
  <si>
    <t>4,949,999.40</t>
  </si>
  <si>
    <t>3,780,000.00</t>
  </si>
  <si>
    <t>12,437,492.84</t>
  </si>
  <si>
    <t>1,020,000.00</t>
  </si>
  <si>
    <t>10,900,000.00</t>
  </si>
  <si>
    <t>2,900,300.00</t>
  </si>
  <si>
    <t>599,490.00</t>
  </si>
  <si>
    <t>5,535,000.00</t>
  </si>
  <si>
    <t>1,065,000.00</t>
  </si>
  <si>
    <t>2,499,507.46</t>
  </si>
  <si>
    <t>1,323,118.00</t>
  </si>
  <si>
    <t>2,211,800.00</t>
  </si>
  <si>
    <t>1,986,428.47</t>
  </si>
  <si>
    <t>7,809,993.27</t>
  </si>
  <si>
    <t>89,100.00</t>
  </si>
  <si>
    <t>999,990.47</t>
  </si>
  <si>
    <t>1,371,400.00</t>
  </si>
  <si>
    <t>645,000.00</t>
  </si>
  <si>
    <t>7,839,744.71</t>
  </si>
  <si>
    <t>33,600.00</t>
  </si>
  <si>
    <t>19,599,929.57</t>
  </si>
  <si>
    <t>1,595,957.20</t>
  </si>
  <si>
    <t>1,198,840.00</t>
  </si>
  <si>
    <t>1,810,480.00</t>
  </si>
  <si>
    <t>3,681,342.49</t>
  </si>
  <si>
    <t>75,700.00</t>
  </si>
  <si>
    <t>2,329,495.00</t>
  </si>
  <si>
    <t>46,476,488.22</t>
  </si>
  <si>
    <t>5,730,000.00</t>
  </si>
  <si>
    <t>3,570,000.00</t>
  </si>
  <si>
    <t>123,183.00</t>
  </si>
  <si>
    <t>1,906,000.00</t>
  </si>
  <si>
    <t>1,641,460.00</t>
  </si>
  <si>
    <t>9,006,812.84</t>
  </si>
  <si>
    <t>6,929,901.31</t>
  </si>
  <si>
    <t>2,442,213.20</t>
  </si>
  <si>
    <t>1,933,414.75</t>
  </si>
  <si>
    <t>526,300.44</t>
  </si>
  <si>
    <t>4,068,794.78</t>
  </si>
  <si>
    <t>498,474.25</t>
  </si>
  <si>
    <t>173,700,000.00</t>
  </si>
  <si>
    <t>39,949,202.70</t>
  </si>
  <si>
    <t>494,404.50</t>
  </si>
  <si>
    <t>91,594,800.00</t>
  </si>
  <si>
    <t>44,620,722.10</t>
  </si>
  <si>
    <t>90,450.00</t>
  </si>
  <si>
    <t>23,202,850.00</t>
  </si>
  <si>
    <t>4,297,680.00</t>
  </si>
  <si>
    <t>972,164.97</t>
  </si>
  <si>
    <t>13,860,333.50</t>
  </si>
  <si>
    <t>22,266,406.34</t>
  </si>
  <si>
    <t>12,437,498.91</t>
  </si>
  <si>
    <t>96,485,000.00</t>
  </si>
  <si>
    <t>12,871,311.75</t>
  </si>
  <si>
    <t>643,355.64</t>
  </si>
  <si>
    <t>96,489,900.00</t>
  </si>
  <si>
    <t>9,999,730.00</t>
  </si>
  <si>
    <t>121,747,719.60</t>
  </si>
  <si>
    <t>2,674,200.00</t>
  </si>
  <si>
    <t>921,887.64</t>
  </si>
  <si>
    <t>13,000,000.00</t>
  </si>
  <si>
    <t>17,538,957.00</t>
  </si>
  <si>
    <t>5,210,000.00</t>
  </si>
  <si>
    <t>576,531.47</t>
  </si>
  <si>
    <t>307,908.75</t>
  </si>
  <si>
    <t>6,465,000.00</t>
  </si>
  <si>
    <t>39,607,515.00</t>
  </si>
  <si>
    <t>1,057,368.18</t>
  </si>
  <si>
    <t>381,598.00</t>
  </si>
  <si>
    <t>643,487.00</t>
  </si>
  <si>
    <t>497,561.54</t>
  </si>
  <si>
    <t>3,549,231.12</t>
  </si>
  <si>
    <t>625,100.00</t>
  </si>
  <si>
    <t>878,330.00</t>
  </si>
  <si>
    <t>3,331,538.00</t>
  </si>
  <si>
    <t>1,999,511.20</t>
  </si>
  <si>
    <t>1,360,000.00</t>
  </si>
  <si>
    <t>3,812,850.37</t>
  </si>
  <si>
    <t>497,879.22</t>
  </si>
  <si>
    <t>9,399,999.99</t>
  </si>
  <si>
    <t>607,808.24</t>
  </si>
  <si>
    <t>1,831,171.81</t>
  </si>
  <si>
    <t>45,513,483.11</t>
  </si>
  <si>
    <t>11,980,940.17</t>
  </si>
  <si>
    <t>142,310.00</t>
  </si>
  <si>
    <t>18,674,267.90</t>
  </si>
  <si>
    <t>12,319,980.63</t>
  </si>
  <si>
    <t>194,297.00</t>
  </si>
  <si>
    <t>97,465,000.00</t>
  </si>
  <si>
    <t>499,787.27</t>
  </si>
  <si>
    <t>4,459,860.42</t>
  </si>
  <si>
    <t>670,932.97</t>
  </si>
  <si>
    <t>1,983,831.70</t>
  </si>
  <si>
    <t>1,500,000.01</t>
  </si>
  <si>
    <t>307,405.00</t>
  </si>
  <si>
    <t>2,393,400.70</t>
  </si>
  <si>
    <t>41,466,365.11</t>
  </si>
  <si>
    <t>47,025,939.88</t>
  </si>
  <si>
    <t>4,116,000.00</t>
  </si>
  <si>
    <t>41,526,687.32</t>
  </si>
  <si>
    <t>51,739,938.60</t>
  </si>
  <si>
    <t>485,802.00</t>
  </si>
  <si>
    <t>12,880,500.00</t>
  </si>
  <si>
    <t>296,397.00</t>
  </si>
  <si>
    <t>5,376,884.73</t>
  </si>
  <si>
    <t>126,185,000.00</t>
  </si>
  <si>
    <t>29,586.98</t>
  </si>
  <si>
    <t>6,853,580.00</t>
  </si>
  <si>
    <t>34,299,147.80</t>
  </si>
  <si>
    <t>58,616,832.45</t>
  </si>
  <si>
    <t>29,399,656.12</t>
  </si>
  <si>
    <t>7,839,771.30</t>
  </si>
  <si>
    <t>44,099,506.17</t>
  </si>
  <si>
    <t>6,335,685.00</t>
  </si>
  <si>
    <t>85,247,768.85</t>
  </si>
  <si>
    <t>47,033,706.90</t>
  </si>
  <si>
    <t>67,549,538.66</t>
  </si>
  <si>
    <t>14,849,536.31</t>
  </si>
  <si>
    <t>5,997,430.16</t>
  </si>
  <si>
    <t>569,960.00</t>
  </si>
  <si>
    <t>11,770,000.00</t>
  </si>
  <si>
    <t>456,399.00</t>
  </si>
  <si>
    <t>39,150,780.28</t>
  </si>
  <si>
    <t>1,299,346.78</t>
  </si>
  <si>
    <t>10,400,000.00</t>
  </si>
  <si>
    <t>344,780.00</t>
  </si>
  <si>
    <t>3,940,000.00</t>
  </si>
  <si>
    <t>217,107.00</t>
  </si>
  <si>
    <t>12,320,000.00</t>
  </si>
  <si>
    <t>600,904.93</t>
  </si>
  <si>
    <t>625,548.12</t>
  </si>
  <si>
    <t>78,034.50</t>
  </si>
  <si>
    <t>1,414,347.97</t>
  </si>
  <si>
    <t>691,000.00</t>
  </si>
  <si>
    <t>2,765,000.00</t>
  </si>
  <si>
    <t>9,085,000.00</t>
  </si>
  <si>
    <t>2,575,542.70</t>
  </si>
  <si>
    <t>872,600.00</t>
  </si>
  <si>
    <t>9,949,534.06</t>
  </si>
  <si>
    <t>906,500.00</t>
  </si>
  <si>
    <t>4,493,000.00</t>
  </si>
  <si>
    <t>3,957,148.43</t>
  </si>
  <si>
    <t>1,907,465.00</t>
  </si>
  <si>
    <t>8,886,200.00</t>
  </si>
  <si>
    <t>1,417,113.06</t>
  </si>
  <si>
    <t>7,809,192.00</t>
  </si>
  <si>
    <t>124,836.00</t>
  </si>
  <si>
    <t>1,184,080.50</t>
  </si>
  <si>
    <t>100,028.00</t>
  </si>
  <si>
    <t>346,000.00</t>
  </si>
  <si>
    <t>1,049,884.60</t>
  </si>
  <si>
    <t>9,347,667.90</t>
  </si>
  <si>
    <t>1,470,480.06</t>
  </si>
  <si>
    <t>95,333.00</t>
  </si>
  <si>
    <t>1,999,991.50</t>
  </si>
  <si>
    <t>964,992.00</t>
  </si>
  <si>
    <t>7,718,819.23</t>
  </si>
  <si>
    <t>202,013,920.60</t>
  </si>
  <si>
    <t>35,995,501.92</t>
  </si>
  <si>
    <t>9,699,606.89</t>
  </si>
  <si>
    <t>1,473,611.65</t>
  </si>
  <si>
    <t>645,588.11</t>
  </si>
  <si>
    <t>1,469,915.91</t>
  </si>
  <si>
    <t>12,722,670.00</t>
  </si>
  <si>
    <t>4,999,096.90</t>
  </si>
  <si>
    <t>1,088,200.00</t>
  </si>
  <si>
    <t>1,999,954.54</t>
  </si>
  <si>
    <t>399,997.92</t>
  </si>
  <si>
    <t>390,500.00</t>
  </si>
  <si>
    <t>1,648,791.13</t>
  </si>
  <si>
    <t>1,499,241.80</t>
  </si>
  <si>
    <t>190,200.00</t>
  </si>
  <si>
    <t>1,207,197.00</t>
  </si>
  <si>
    <t>4,999,510.93</t>
  </si>
  <si>
    <t>1,499,985.49</t>
  </si>
  <si>
    <t>2,496,424.39</t>
  </si>
  <si>
    <t>14,892,737.30</t>
  </si>
  <si>
    <t>4,999,972.27</t>
  </si>
  <si>
    <t>1,939,441.50</t>
  </si>
  <si>
    <t>9,901,834.38</t>
  </si>
  <si>
    <t>1,448,695.84</t>
  </si>
  <si>
    <t>3,999,033.56</t>
  </si>
  <si>
    <t>2,999,509.52</t>
  </si>
  <si>
    <t>104,470.00</t>
  </si>
  <si>
    <t>2,940,640.00</t>
  </si>
  <si>
    <t>327,350.00</t>
  </si>
  <si>
    <t>2,522,694.40</t>
  </si>
  <si>
    <t>143,670.00</t>
  </si>
  <si>
    <t>328,263.40</t>
  </si>
  <si>
    <t>1,941,917.32</t>
  </si>
  <si>
    <t>5,026,000.00</t>
  </si>
  <si>
    <t>9,799,940.73</t>
  </si>
  <si>
    <t>26,054,280.00</t>
  </si>
  <si>
    <t>4,736,951.25</t>
  </si>
  <si>
    <t>51,790.00</t>
  </si>
  <si>
    <t>1,198,482.00</t>
  </si>
  <si>
    <t>1,827,244.57</t>
  </si>
  <si>
    <t>3,720,000.00</t>
  </si>
  <si>
    <t>995,530.00</t>
  </si>
  <si>
    <t>1,311,182.92</t>
  </si>
  <si>
    <t>1,040,600.00</t>
  </si>
  <si>
    <t>249,201.00</t>
  </si>
  <si>
    <t>9,747,931.19</t>
  </si>
  <si>
    <t>353,600.00</t>
  </si>
  <si>
    <t>4,530,000.00</t>
  </si>
  <si>
    <t>178,900.00</t>
  </si>
  <si>
    <t>3,893,000.00</t>
  </si>
  <si>
    <t>1,351,775.25</t>
  </si>
  <si>
    <t>479,240.00</t>
  </si>
  <si>
    <t>239,150.00</t>
  </si>
  <si>
    <t>3,499,399.19</t>
  </si>
  <si>
    <t>3,238,102.53</t>
  </si>
  <si>
    <t>2,738,079.18</t>
  </si>
  <si>
    <t>7,819,101.44</t>
  </si>
  <si>
    <t>903,090.00</t>
  </si>
  <si>
    <t>1,180,000.00</t>
  </si>
  <si>
    <t>133,479.40</t>
  </si>
  <si>
    <t>1,499,729.60</t>
  </si>
  <si>
    <t>1,466,753.46</t>
  </si>
  <si>
    <t>2,400.00</t>
  </si>
  <si>
    <t>14,416,773.84</t>
  </si>
  <si>
    <t>11,999,978.69</t>
  </si>
  <si>
    <t>993,290.00</t>
  </si>
  <si>
    <t>4,341,374.70</t>
  </si>
  <si>
    <t>601,730.00</t>
  </si>
  <si>
    <t>1,157,408.00</t>
  </si>
  <si>
    <t>2,070,601.44</t>
  </si>
  <si>
    <t>1,980,233.13</t>
  </si>
  <si>
    <t>1,979,615.63</t>
  </si>
  <si>
    <t>764,525.00</t>
  </si>
  <si>
    <t>1,339,000.00</t>
  </si>
  <si>
    <t>65,390.00</t>
  </si>
  <si>
    <t>93,757.50</t>
  </si>
  <si>
    <t>1,247,175.00</t>
  </si>
  <si>
    <t>2,929,319.94</t>
  </si>
  <si>
    <t>492,290.00</t>
  </si>
  <si>
    <t>12,803,261.69</t>
  </si>
  <si>
    <t>2,971,821.36</t>
  </si>
  <si>
    <t>3,518,500.00</t>
  </si>
  <si>
    <t>2,252,704.34</t>
  </si>
  <si>
    <t>2,497,471.92</t>
  </si>
  <si>
    <t>3,928,214.97</t>
  </si>
  <si>
    <t>1,941,567.90</t>
  </si>
  <si>
    <t>1,617,000.00</t>
  </si>
  <si>
    <t>1,086,763.00</t>
  </si>
  <si>
    <t>2,488,491.57</t>
  </si>
  <si>
    <t>1,063,087.40</t>
  </si>
  <si>
    <t>2,035,204.00</t>
  </si>
  <si>
    <t>1,320,797.85</t>
  </si>
  <si>
    <t>2,976,485.00</t>
  </si>
  <si>
    <t>6,082,560.00</t>
  </si>
  <si>
    <t>2,633,918.05</t>
  </si>
  <si>
    <t>1,398,000.00</t>
  </si>
  <si>
    <t>1,239,550.89</t>
  </si>
  <si>
    <t>1,043,738.81</t>
  </si>
  <si>
    <t>1,384,430.00</t>
  </si>
  <si>
    <t>1,091,400.00</t>
  </si>
  <si>
    <t>1,225,000.00</t>
  </si>
  <si>
    <t>96,020.00</t>
  </si>
  <si>
    <t>93,000,000.00</t>
  </si>
  <si>
    <t>423,518.00</t>
  </si>
  <si>
    <t>2,350,000.00</t>
  </si>
  <si>
    <t>1,578,347.00</t>
  </si>
  <si>
    <t>1,999,568.56</t>
  </si>
  <si>
    <t>2,460,395.00</t>
  </si>
  <si>
    <t>1,029,463.00</t>
  </si>
  <si>
    <t>83,345.00</t>
  </si>
  <si>
    <t>2,218,320.00</t>
  </si>
  <si>
    <t>338,072.00</t>
  </si>
  <si>
    <t>1,992,677.27</t>
  </si>
  <si>
    <t>2,114,998.40</t>
  </si>
  <si>
    <t>156,229.00</t>
  </si>
  <si>
    <t>684,000.00</t>
  </si>
  <si>
    <t>1,644,970.00</t>
  </si>
  <si>
    <t>18,925,955.32</t>
  </si>
  <si>
    <t>3,999,181.45</t>
  </si>
  <si>
    <t>498,000.00</t>
  </si>
  <si>
    <t>1,790,588.00</t>
  </si>
  <si>
    <t>2,590,000.00</t>
  </si>
  <si>
    <t>9,947,458.40</t>
  </si>
  <si>
    <t>629,200.00</t>
  </si>
  <si>
    <t>6,380,000.00</t>
  </si>
  <si>
    <t>304,474.00</t>
  </si>
  <si>
    <t>845,597.60</t>
  </si>
  <si>
    <t>1,770,156.80</t>
  </si>
  <si>
    <t>14,736,451.66</t>
  </si>
  <si>
    <t>7,600,000.00</t>
  </si>
  <si>
    <t>28,000,000.00</t>
  </si>
  <si>
    <t>2,643,269.00</t>
  </si>
  <si>
    <t>124,002.00</t>
  </si>
  <si>
    <t>103,637.33</t>
  </si>
  <si>
    <t>2,562,922.33</t>
  </si>
  <si>
    <t>1,033,782.40</t>
  </si>
  <si>
    <t>14,566,300.94</t>
  </si>
  <si>
    <t>1,630,000.00</t>
  </si>
  <si>
    <t>32,530,183.65</t>
  </si>
  <si>
    <t>358,000.00</t>
  </si>
  <si>
    <t>1,023,800.00</t>
  </si>
  <si>
    <t>534,010.00</t>
  </si>
  <si>
    <t>284,022.62</t>
  </si>
  <si>
    <t>106,242.50</t>
  </si>
  <si>
    <t>102,600.00</t>
  </si>
  <si>
    <t>3,543,092.82</t>
  </si>
  <si>
    <t>22,468,818.00</t>
  </si>
  <si>
    <t>1,348,298.62</t>
  </si>
  <si>
    <t>19,720,369.11</t>
  </si>
  <si>
    <t>14,486,461.66</t>
  </si>
  <si>
    <t>15,116,168.68</t>
  </si>
  <si>
    <t>601,100.00</t>
  </si>
  <si>
    <t>14,086,461.66</t>
  </si>
  <si>
    <t>507,710.00</t>
  </si>
  <si>
    <t>6,592,238.00</t>
  </si>
  <si>
    <t>1,110,936.75</t>
  </si>
  <si>
    <t>2,903,280.00</t>
  </si>
  <si>
    <t>65,605.00</t>
  </si>
  <si>
    <t>721,250.00</t>
  </si>
  <si>
    <t>1,023,001.47</t>
  </si>
  <si>
    <t>16,844,000.00</t>
  </si>
  <si>
    <t>5,037,900.00</t>
  </si>
  <si>
    <t>7,282,000.00</t>
  </si>
  <si>
    <t>1,096,747.56</t>
  </si>
  <si>
    <t>40,007,081.95</t>
  </si>
  <si>
    <t>3,884,006.26</t>
  </si>
  <si>
    <t>4,899,554.30</t>
  </si>
  <si>
    <t>17,367,611.51</t>
  </si>
  <si>
    <t>1,868,000.00</t>
  </si>
  <si>
    <t>49,499,605.12</t>
  </si>
  <si>
    <t>315,470.00</t>
  </si>
  <si>
    <t>29,399,143.95</t>
  </si>
  <si>
    <t>34,299,180.26</t>
  </si>
  <si>
    <t>48,999,117.17</t>
  </si>
  <si>
    <t>19,799,634.33</t>
  </si>
  <si>
    <t>833,338.56</t>
  </si>
  <si>
    <t>1,089,000.00</t>
  </si>
  <si>
    <t>22,332,347.27</t>
  </si>
  <si>
    <t>1,099,759.92</t>
  </si>
  <si>
    <t>4,551,153.50</t>
  </si>
  <si>
    <t>3,250,000.00</t>
  </si>
  <si>
    <t>2,340,255.00</t>
  </si>
  <si>
    <t>1,601,617.81</t>
  </si>
  <si>
    <t>216,780.00</t>
  </si>
  <si>
    <t>14,999,980.59</t>
  </si>
  <si>
    <t>12,835,086.31</t>
  </si>
  <si>
    <t>27,332.00</t>
  </si>
  <si>
    <t>8,443,297.69</t>
  </si>
  <si>
    <t>27,649.00</t>
  </si>
  <si>
    <t>4,870,905.00</t>
  </si>
  <si>
    <t>1,643,710.00</t>
  </si>
  <si>
    <t>48,813.00</t>
  </si>
  <si>
    <t>9,390,000.00</t>
  </si>
  <si>
    <t>8,537.00</t>
  </si>
  <si>
    <t>829,500.00</t>
  </si>
  <si>
    <t>404,939.14</t>
  </si>
  <si>
    <t>752,000.00</t>
  </si>
  <si>
    <t>5,555,000.00</t>
  </si>
  <si>
    <t>8,996,940.72</t>
  </si>
  <si>
    <t>398,393.83</t>
  </si>
  <si>
    <t>11,850,956.99</t>
  </si>
  <si>
    <t>12,379,971.95</t>
  </si>
  <si>
    <t>9,474,589.00</t>
  </si>
  <si>
    <t>1,380,000.00</t>
  </si>
  <si>
    <t>45,745.00</t>
  </si>
  <si>
    <t>50,123,323.20</t>
  </si>
  <si>
    <t>499,028.03</t>
  </si>
  <si>
    <t>38,804,617.27</t>
  </si>
  <si>
    <t>3,640,000.00</t>
  </si>
  <si>
    <t>45,336,585.10</t>
  </si>
  <si>
    <t>9,632,373.93</t>
  </si>
  <si>
    <t>2,648,306.64</t>
  </si>
  <si>
    <t>1,806,000.00</t>
  </si>
  <si>
    <t>11,220,060.00</t>
  </si>
  <si>
    <t>9,016,112.01</t>
  </si>
  <si>
    <t>12,018,374.59</t>
  </si>
  <si>
    <t>1,181,000.00</t>
  </si>
  <si>
    <t>2,969,827.26</t>
  </si>
  <si>
    <t>1,799,456.61</t>
  </si>
  <si>
    <t>32,670,000.00</t>
  </si>
  <si>
    <t>1,347,000.00</t>
  </si>
  <si>
    <t>3,364,817.35</t>
  </si>
  <si>
    <t>493,676.80</t>
  </si>
  <si>
    <t>2,420,000.00</t>
  </si>
  <si>
    <t>2,997,840.21</t>
  </si>
  <si>
    <t>20,414,149.39</t>
  </si>
  <si>
    <t>331,800.00</t>
  </si>
  <si>
    <t>1,997,197.50</t>
  </si>
  <si>
    <t>1,206,800.00</t>
  </si>
  <si>
    <t>1,998,098.92</t>
  </si>
  <si>
    <t>1,017,000.00</t>
  </si>
  <si>
    <t>21,600,000.00</t>
  </si>
  <si>
    <t>1,725,773.80</t>
  </si>
  <si>
    <t>2,353,000.00</t>
  </si>
  <si>
    <t>4,086,773.72</t>
  </si>
  <si>
    <t>968,716.23</t>
  </si>
  <si>
    <t>2,836,256.63</t>
  </si>
  <si>
    <t>20,453,107.69</t>
  </si>
  <si>
    <t>1,035,569.20</t>
  </si>
  <si>
    <t>3,367,457.00</t>
  </si>
  <si>
    <t>2,933,750.00</t>
  </si>
  <si>
    <t>1,591,200.00</t>
  </si>
  <si>
    <t>4,623,652.50</t>
  </si>
  <si>
    <t>3,791,994.31</t>
  </si>
  <si>
    <t>18,000,000.00</t>
  </si>
  <si>
    <t>2,819,787.90</t>
  </si>
  <si>
    <t>1,203,684.00</t>
  </si>
  <si>
    <t>2,699,290.00</t>
  </si>
  <si>
    <t>6,613,451.89</t>
  </si>
  <si>
    <t>332,500.00</t>
  </si>
  <si>
    <t>6,291,534.00</t>
  </si>
  <si>
    <t>9,999,986.00</t>
  </si>
  <si>
    <t>2,046,186.00</t>
  </si>
  <si>
    <t>3,966,126.16</t>
  </si>
  <si>
    <t>258,870.00</t>
  </si>
  <si>
    <t>2,254,000.00</t>
  </si>
  <si>
    <t>148,170,209.79</t>
  </si>
  <si>
    <t>1,944,582.85</t>
  </si>
  <si>
    <t>2,040,589.00</t>
  </si>
  <si>
    <t>415,913.00</t>
  </si>
  <si>
    <t>861,569.95</t>
  </si>
  <si>
    <t>295,515.00</t>
  </si>
  <si>
    <t>2,329,750.00</t>
  </si>
  <si>
    <t>1,368,283.00</t>
  </si>
  <si>
    <t>5,917,000.00</t>
  </si>
  <si>
    <t>2,952,279.92</t>
  </si>
  <si>
    <t>15,932,000.00</t>
  </si>
  <si>
    <t>43,000,000.00</t>
  </si>
  <si>
    <t>1,983,284.00</t>
  </si>
  <si>
    <t>12,760,000.00</t>
  </si>
  <si>
    <t>19,799,869.91</t>
  </si>
  <si>
    <t>353,860.00</t>
  </si>
  <si>
    <t>1,979,947.50</t>
  </si>
  <si>
    <t>5,380,000.00</t>
  </si>
  <si>
    <t>6,875,000.00</t>
  </si>
  <si>
    <t>610,000.00</t>
  </si>
  <si>
    <t>67,125.00</t>
  </si>
  <si>
    <t>741,514.00</t>
  </si>
  <si>
    <t>1,083,189.96</t>
  </si>
  <si>
    <t>1,998,616.00</t>
  </si>
  <si>
    <t>469,436.05</t>
  </si>
  <si>
    <t>1,678,343.30</t>
  </si>
  <si>
    <t>1,873,995.79</t>
  </si>
  <si>
    <t>1,847,275.20</t>
  </si>
  <si>
    <t>292,310.00</t>
  </si>
  <si>
    <t>3,471,060.00</t>
  </si>
  <si>
    <t>2,733,441.70</t>
  </si>
  <si>
    <t>15,998,169.46</t>
  </si>
  <si>
    <t>403,450.00</t>
  </si>
  <si>
    <t>2,253,930.02</t>
  </si>
  <si>
    <t>363,261.00</t>
  </si>
  <si>
    <t>2,135,323.50</t>
  </si>
  <si>
    <t>298,172.00</t>
  </si>
  <si>
    <t>461,075.00</t>
  </si>
  <si>
    <t>2,093,756.35</t>
  </si>
  <si>
    <t>1,799,500.00</t>
  </si>
  <si>
    <t>7,927,865.00</t>
  </si>
  <si>
    <t>44,153,846.58</t>
  </si>
  <si>
    <t>1,571,860.00</t>
  </si>
  <si>
    <t>1,281,018.38</t>
  </si>
  <si>
    <t>38,234,495.65</t>
  </si>
  <si>
    <t>32,843,060.63</t>
  </si>
  <si>
    <t>1,226,935.10</t>
  </si>
  <si>
    <t>1,433,809.52</t>
  </si>
  <si>
    <t>3,317,098.46</t>
  </si>
  <si>
    <t>1,953,045.66</t>
  </si>
  <si>
    <t>2,731,000.00</t>
  </si>
  <si>
    <t>298,269.10</t>
  </si>
  <si>
    <t>607,642.63</t>
  </si>
  <si>
    <t>2,943,875.72</t>
  </si>
  <si>
    <t>278,056.00</t>
  </si>
  <si>
    <t>1,991,113.47</t>
  </si>
  <si>
    <t>997,229.53</t>
  </si>
  <si>
    <t>1,955,537.15</t>
  </si>
  <si>
    <t>6,150,000.00</t>
  </si>
  <si>
    <t>1,997,690.62</t>
  </si>
  <si>
    <t>186,625.00</t>
  </si>
  <si>
    <t>3,542,000.00</t>
  </si>
  <si>
    <t>520,850.00</t>
  </si>
  <si>
    <t>2,089,341.90</t>
  </si>
  <si>
    <t>499,800.00</t>
  </si>
  <si>
    <t>2,851,859.15</t>
  </si>
  <si>
    <t>1,408,644.38</t>
  </si>
  <si>
    <t>1,680,000.00</t>
  </si>
  <si>
    <t>1,166,757.65</t>
  </si>
  <si>
    <t>1,399,978.93</t>
  </si>
  <si>
    <t>4,083,289.92</t>
  </si>
  <si>
    <t>3,000,800.00</t>
  </si>
  <si>
    <t>73,940.00</t>
  </si>
  <si>
    <t>241,172.00</t>
  </si>
  <si>
    <t>9,163,980.00</t>
  </si>
  <si>
    <t>2,995,825.50</t>
  </si>
  <si>
    <t>3,947,822.99</t>
  </si>
  <si>
    <t>477,433.60</t>
  </si>
  <si>
    <t>3,711,662.83</t>
  </si>
  <si>
    <t>1,030,894.67</t>
  </si>
  <si>
    <t>8,918,000.00</t>
  </si>
  <si>
    <t>15,440,000.00</t>
  </si>
  <si>
    <t>999,537.00</t>
  </si>
  <si>
    <t>4,450,999.60</t>
  </si>
  <si>
    <t>2,316,258.90</t>
  </si>
  <si>
    <t>3,598,480.00</t>
  </si>
  <si>
    <t>5,800,000.00</t>
  </si>
  <si>
    <t>6,120,000.00</t>
  </si>
  <si>
    <t>2,265,000.00</t>
  </si>
  <si>
    <t>1,072,000.00</t>
  </si>
  <si>
    <t>26,055,000.00</t>
  </si>
  <si>
    <t>131,899.00</t>
  </si>
  <si>
    <t>500,503.50</t>
  </si>
  <si>
    <t>125,000,000.00</t>
  </si>
  <si>
    <t>1,070,736.51</t>
  </si>
  <si>
    <t>139,925,000.00</t>
  </si>
  <si>
    <t>741,600.00</t>
  </si>
  <si>
    <t>891,500.00</t>
  </si>
  <si>
    <t>1,350,234.24</t>
  </si>
  <si>
    <t>1,994,040.00</t>
  </si>
  <si>
    <t>1,270,000.00</t>
  </si>
  <si>
    <t>618,333.80</t>
  </si>
  <si>
    <t>1,499,565.80</t>
  </si>
  <si>
    <t>298,682.50</t>
  </si>
  <si>
    <t>499,831.50</t>
  </si>
  <si>
    <t>2,907,130.37</t>
  </si>
  <si>
    <t>1,185,851.25</t>
  </si>
  <si>
    <t>3,100,000.00</t>
  </si>
  <si>
    <t>1,999,738.12</t>
  </si>
  <si>
    <t>2,321,536.00</t>
  </si>
  <si>
    <t>4,287,760.00</t>
  </si>
  <si>
    <t>3,489,088.72</t>
  </si>
  <si>
    <t>1,646,140.00</t>
  </si>
  <si>
    <t>5,999,950.00</t>
  </si>
  <si>
    <t>9,975,000.00</t>
  </si>
  <si>
    <t>23,000.00</t>
  </si>
  <si>
    <t>2,992,000.00</t>
  </si>
  <si>
    <t>3,411,360.00</t>
  </si>
  <si>
    <t>2,012,847.99</t>
  </si>
  <si>
    <t>34,672,711.42</t>
  </si>
  <si>
    <t>4,821,600.00</t>
  </si>
  <si>
    <t>892,230.00</t>
  </si>
  <si>
    <t>253,685.00</t>
  </si>
  <si>
    <t>2,909,500.00</t>
  </si>
  <si>
    <t>634,905.00</t>
  </si>
  <si>
    <t>6,995,572.07</t>
  </si>
  <si>
    <t>11,939,875.41</t>
  </si>
  <si>
    <t>12,934,976.97</t>
  </si>
  <si>
    <t>1,985,915.47</t>
  </si>
  <si>
    <t>1,130,358.92</t>
  </si>
  <si>
    <t>34,739,646.63</t>
  </si>
  <si>
    <t>508,914.00</t>
  </si>
  <si>
    <t>7,575,734.55</t>
  </si>
  <si>
    <t>781,311.00</t>
  </si>
  <si>
    <t>1,995,929.04</t>
  </si>
  <si>
    <t>565,805.52</t>
  </si>
  <si>
    <t>34,735,520.40</t>
  </si>
  <si>
    <t>1,495,502.11</t>
  </si>
  <si>
    <t>12,511,990.70</t>
  </si>
  <si>
    <t>4,999.24</t>
  </si>
  <si>
    <t>254,457.00</t>
  </si>
  <si>
    <t>11,939,976.80</t>
  </si>
  <si>
    <t>98,045,669.86</t>
  </si>
  <si>
    <t>11,939,971.67</t>
  </si>
  <si>
    <t>11,939,963.86</t>
  </si>
  <si>
    <t>5,920.00</t>
  </si>
  <si>
    <t>11,939,999.65</t>
  </si>
  <si>
    <t>11,939,977.71</t>
  </si>
  <si>
    <t>1,959,940.40</t>
  </si>
  <si>
    <t>1,499,897.29</t>
  </si>
  <si>
    <t>2,299,216.61</t>
  </si>
  <si>
    <t>28,340.00</t>
  </si>
  <si>
    <t>9,852,000.00</t>
  </si>
  <si>
    <t>3,454,104.00</t>
  </si>
  <si>
    <t>2,999,322.46</t>
  </si>
  <si>
    <t>1,199,732.92</t>
  </si>
  <si>
    <t>1,000,997.68</t>
  </si>
  <si>
    <t>3,636,000.00</t>
  </si>
  <si>
    <t>3,499,038.65</t>
  </si>
  <si>
    <t>3,515,000.00</t>
  </si>
  <si>
    <t>5,326,937.40</t>
  </si>
  <si>
    <t>1,186,894.46</t>
  </si>
  <si>
    <t>1,499,553.57</t>
  </si>
  <si>
    <t>661,172.30</t>
  </si>
  <si>
    <t>3,113,470.00</t>
  </si>
  <si>
    <t>928,615.00</t>
  </si>
  <si>
    <t>166,475.00</t>
  </si>
  <si>
    <t>130,680.00</t>
  </si>
  <si>
    <t>1,743,227.50</t>
  </si>
  <si>
    <t>1,044,910.00</t>
  </si>
  <si>
    <t>1,103,329.00</t>
  </si>
  <si>
    <t>2,653,585.00</t>
  </si>
  <si>
    <t>2,443,831.37</t>
  </si>
  <si>
    <t>4,887,241.63</t>
  </si>
  <si>
    <t>4,887,536.82</t>
  </si>
  <si>
    <t>14,919,793.00</t>
  </si>
  <si>
    <t>815,999.40</t>
  </si>
  <si>
    <t>4,887,619.94</t>
  </si>
  <si>
    <t>250,051.25</t>
  </si>
  <si>
    <t>495,530.00</t>
  </si>
  <si>
    <t>50,875,000.00</t>
  </si>
  <si>
    <t>18,456,000.00</t>
  </si>
  <si>
    <t>2,030,600.00</t>
  </si>
  <si>
    <t>1,328,908.00</t>
  </si>
  <si>
    <t>2,443,785.57</t>
  </si>
  <si>
    <t>2,030,000.00</t>
  </si>
  <si>
    <t>1,539,048.40</t>
  </si>
  <si>
    <t>2,263,024.89</t>
  </si>
  <si>
    <t>10,088,400.00</t>
  </si>
  <si>
    <t>199,603.49</t>
  </si>
  <si>
    <t>4,863,000.00</t>
  </si>
  <si>
    <t>966,750.00</t>
  </si>
  <si>
    <t>1,499,793.75</t>
  </si>
  <si>
    <t>11,309,088.88</t>
  </si>
  <si>
    <t>769,250.00</t>
  </si>
  <si>
    <t>43,425,051.89</t>
  </si>
  <si>
    <t>29,920,000.00</t>
  </si>
  <si>
    <t>214,920,940.00</t>
  </si>
  <si>
    <t>204,960.00</t>
  </si>
  <si>
    <t>2,467,893.00</t>
  </si>
  <si>
    <t>1,399,453.13</t>
  </si>
  <si>
    <t>33,775,000.00</t>
  </si>
  <si>
    <t>149,929.69</t>
  </si>
  <si>
    <t>975,509.64</t>
  </si>
  <si>
    <t>17,000,000.00</t>
  </si>
  <si>
    <t>1,293,823.72</t>
  </si>
  <si>
    <t>2,169,000.00</t>
  </si>
  <si>
    <t>565,339.00</t>
  </si>
  <si>
    <t>1,470,327.60</t>
  </si>
  <si>
    <t>4,249,000.00</t>
  </si>
  <si>
    <t>5,980,000.00</t>
  </si>
  <si>
    <t>7,149,621.77</t>
  </si>
  <si>
    <t>5,039,000.00</t>
  </si>
  <si>
    <t>4,974,975.09</t>
  </si>
  <si>
    <t>7,980,000.00</t>
  </si>
  <si>
    <t>5,790,454.38</t>
  </si>
  <si>
    <t>361,000.00</t>
  </si>
  <si>
    <t>8,167,000.00</t>
  </si>
  <si>
    <t>1,981,320.00</t>
  </si>
  <si>
    <t>1,578,907.00</t>
  </si>
  <si>
    <t>113,106.20</t>
  </si>
  <si>
    <t>254,678.00</t>
  </si>
  <si>
    <t>1,573,520.00</t>
  </si>
  <si>
    <t>1,110,000.00</t>
  </si>
  <si>
    <t>293,577.00</t>
  </si>
  <si>
    <t>1,157,514.15</t>
  </si>
  <si>
    <t>4,286,404.90</t>
  </si>
  <si>
    <t>16,334,000.00</t>
  </si>
  <si>
    <t>2,999,164.98</t>
  </si>
  <si>
    <t>165,322.50</t>
  </si>
  <si>
    <t>1,530,000.00</t>
  </si>
  <si>
    <t>431,440.00</t>
  </si>
  <si>
    <t>2,999,154.98</t>
  </si>
  <si>
    <t>5,031,070.00</t>
  </si>
  <si>
    <t>1,875,600.00</t>
  </si>
  <si>
    <t>2,605,500.00</t>
  </si>
  <si>
    <t>17,599,000.00</t>
  </si>
  <si>
    <t>358,483.00</t>
  </si>
  <si>
    <t>1,818,500.00</t>
  </si>
  <si>
    <t>346,725.00</t>
  </si>
  <si>
    <t>763,515.50</t>
  </si>
  <si>
    <t>999,999.84</t>
  </si>
  <si>
    <t>203,499.00</t>
  </si>
  <si>
    <t>236,710.50</t>
  </si>
  <si>
    <t>891,575.85</t>
  </si>
  <si>
    <t>6,577,748.44</t>
  </si>
  <si>
    <t>2,805,000.00</t>
  </si>
  <si>
    <t>9,542,068.05</t>
  </si>
  <si>
    <t>1,436,000.00</t>
  </si>
  <si>
    <t>74,725.00</t>
  </si>
  <si>
    <t>1,046,250.00</t>
  </si>
  <si>
    <t>57,800.00</t>
  </si>
  <si>
    <t>268,039.00</t>
  </si>
  <si>
    <t>2,761,877.78</t>
  </si>
  <si>
    <t>3,238,515.35</t>
  </si>
  <si>
    <t>653,400,000.00</t>
  </si>
  <si>
    <t>9,840,000.00</t>
  </si>
  <si>
    <t>215,493.75</t>
  </si>
  <si>
    <t>284,422.50</t>
  </si>
  <si>
    <t>1,008,000.00</t>
  </si>
  <si>
    <t>243,100,000.00</t>
  </si>
  <si>
    <t>11,678,000.00</t>
  </si>
  <si>
    <t>2,299,572.76</t>
  </si>
  <si>
    <t>1,399,800.00</t>
  </si>
  <si>
    <t>368,675.00</t>
  </si>
  <si>
    <t>165,000,000.00</t>
  </si>
  <si>
    <t>202,056.98</t>
  </si>
  <si>
    <t>2,998,042.27</t>
  </si>
  <si>
    <t>12,537,000.00</t>
  </si>
  <si>
    <t>2,299,035.95</t>
  </si>
  <si>
    <t>248,373.00</t>
  </si>
  <si>
    <t>10,351,166.35</t>
  </si>
  <si>
    <t>434,936.57</t>
  </si>
  <si>
    <t>407,134.00</t>
  </si>
  <si>
    <t>512,233.79</t>
  </si>
  <si>
    <t>552,888.00</t>
  </si>
  <si>
    <t>1,196,025.57</t>
  </si>
  <si>
    <t>1,507,840.00</t>
  </si>
  <si>
    <t>74,600.00</t>
  </si>
  <si>
    <t>1,050,698.00</t>
  </si>
  <si>
    <t>1,159,839.38</t>
  </si>
  <si>
    <t>848,071.67</t>
  </si>
  <si>
    <t>3,526,911.57</t>
  </si>
  <si>
    <t>116,138.00</t>
  </si>
  <si>
    <t>36,000,000.00</t>
  </si>
  <si>
    <t>1,771,406.00</t>
  </si>
  <si>
    <t>6,883,200.00</t>
  </si>
  <si>
    <t>489,775.00</t>
  </si>
  <si>
    <t>321,681.53</t>
  </si>
  <si>
    <t>895,000.00</t>
  </si>
  <si>
    <t>1,428,536.00</t>
  </si>
  <si>
    <t>4,086,772.02</t>
  </si>
  <si>
    <t>7,718,400.00</t>
  </si>
  <si>
    <t>992,722.00</t>
  </si>
  <si>
    <t>594,073.00</t>
  </si>
  <si>
    <t>1,361,000.00</t>
  </si>
  <si>
    <t>428,310.00</t>
  </si>
  <si>
    <t>14,891,463.28</t>
  </si>
  <si>
    <t>1,681,859.87</t>
  </si>
  <si>
    <t>216,756.00</t>
  </si>
  <si>
    <t>333,414.00</t>
  </si>
  <si>
    <t>368,360.88</t>
  </si>
  <si>
    <t>670,199.83</t>
  </si>
  <si>
    <t>874,583.00</t>
  </si>
  <si>
    <t>1,501,205.72</t>
  </si>
  <si>
    <t>1,428,840.00</t>
  </si>
  <si>
    <t>111,615.70</t>
  </si>
  <si>
    <t>3,488,000.00</t>
  </si>
  <si>
    <t>136,090.00</t>
  </si>
  <si>
    <t>978,765.00</t>
  </si>
  <si>
    <t>640,000.00</t>
  </si>
  <si>
    <t>494,604.00</t>
  </si>
  <si>
    <t>913,836.00</t>
  </si>
  <si>
    <t>921,574.00</t>
  </si>
  <si>
    <t>921,300.00</t>
  </si>
  <si>
    <t>973,539.99</t>
  </si>
  <si>
    <t>10,211,980.00</t>
  </si>
  <si>
    <t>2,229,800.00</t>
  </si>
  <si>
    <t>1,741,376.00</t>
  </si>
  <si>
    <t>30,380,000.00</t>
  </si>
  <si>
    <t>893,837.16</t>
  </si>
  <si>
    <t>17,820,000.00</t>
  </si>
  <si>
    <t>385,335.00</t>
  </si>
  <si>
    <t>546,135.00</t>
  </si>
  <si>
    <t>29,762,600.00</t>
  </si>
  <si>
    <t>15,680,000.00</t>
  </si>
  <si>
    <t>609,313.00</t>
  </si>
  <si>
    <t>1,658,301.00</t>
  </si>
  <si>
    <t>429,254.00</t>
  </si>
  <si>
    <t>1,880,000.00</t>
  </si>
  <si>
    <t>142,890.00</t>
  </si>
  <si>
    <t>703,865.00</t>
  </si>
  <si>
    <t>405,768.00</t>
  </si>
  <si>
    <t>261,242.00</t>
  </si>
  <si>
    <t>31,850,000.00</t>
  </si>
  <si>
    <t>1,846,180.00</t>
  </si>
  <si>
    <t>31,360,000.00</t>
  </si>
  <si>
    <t>1,276,120.00</t>
  </si>
  <si>
    <t>294,542.00</t>
  </si>
  <si>
    <t>4,263,839.53</t>
  </si>
  <si>
    <t>19,953,500.00</t>
  </si>
  <si>
    <t>1,565,500.00</t>
  </si>
  <si>
    <t>1,369,100.00</t>
  </si>
  <si>
    <t>4,873,000.00</t>
  </si>
  <si>
    <t>6,810,300.00</t>
  </si>
  <si>
    <t>1,976,400.00</t>
  </si>
  <si>
    <t>1,434,116.25</t>
  </si>
  <si>
    <t>5,175,000.00</t>
  </si>
  <si>
    <t>1,235,000.00</t>
  </si>
  <si>
    <t>999,939.71</t>
  </si>
  <si>
    <t>9,899,910.99</t>
  </si>
  <si>
    <t>3,037,386.00</t>
  </si>
  <si>
    <t>9,660,668.00</t>
  </si>
  <si>
    <t>3,532,382.20</t>
  </si>
  <si>
    <t>1,186,008.12</t>
  </si>
  <si>
    <t>3,653,756.00</t>
  </si>
  <si>
    <t>1,548,485.00</t>
  </si>
  <si>
    <t>1,018,800.00</t>
  </si>
  <si>
    <t>5,297,000.00</t>
  </si>
  <si>
    <t>1,476,000.00</t>
  </si>
  <si>
    <t>40,337,000.00</t>
  </si>
  <si>
    <t>14,380,000.00</t>
  </si>
  <si>
    <t>597,900.00</t>
  </si>
  <si>
    <t>1,499,425.00</t>
  </si>
  <si>
    <t>1,677,500.00</t>
  </si>
  <si>
    <t>10,251,083.25</t>
  </si>
  <si>
    <t>2,840,000.00</t>
  </si>
  <si>
    <t>65,900,000.00</t>
  </si>
  <si>
    <t>205,500.00</t>
  </si>
  <si>
    <t>3,999,612.02</t>
  </si>
  <si>
    <t>2,887,200.00</t>
  </si>
  <si>
    <t>2,740,831.80</t>
  </si>
  <si>
    <t>1,909,229.04</t>
  </si>
  <si>
    <t>1,068,779.25</t>
  </si>
  <si>
    <t>1,359,680.00</t>
  </si>
  <si>
    <t>4,252,406.00</t>
  </si>
  <si>
    <t>7,901,225.30</t>
  </si>
  <si>
    <t>6,834,872.82</t>
  </si>
  <si>
    <t>394,821.24</t>
  </si>
  <si>
    <t>10,034,000.00</t>
  </si>
  <si>
    <t>1,385,697.71</t>
  </si>
  <si>
    <t>4,894,112.58</t>
  </si>
  <si>
    <t>1,995,600.00</t>
  </si>
  <si>
    <t>702,438.23</t>
  </si>
  <si>
    <t>1,486,362.56</t>
  </si>
  <si>
    <t>836,161.87</t>
  </si>
  <si>
    <t>517,493.59</t>
  </si>
  <si>
    <t>1,823,906.33</t>
  </si>
  <si>
    <t>548,993.00</t>
  </si>
  <si>
    <t>6,093,007.95</t>
  </si>
  <si>
    <t>76,360.00</t>
  </si>
  <si>
    <t>43,720.00</t>
  </si>
  <si>
    <t>1,895,000.00</t>
  </si>
  <si>
    <t>21,520.00</t>
  </si>
  <si>
    <t>12,485,100.00</t>
  </si>
  <si>
    <t>316,812.93</t>
  </si>
  <si>
    <t>2,296,822.44</t>
  </si>
  <si>
    <t>133,990.00</t>
  </si>
  <si>
    <t>80,800.00</t>
  </si>
  <si>
    <t>14,475.00</t>
  </si>
  <si>
    <t>3,049,157.56</t>
  </si>
  <si>
    <t>35,222.00</t>
  </si>
  <si>
    <t>196,740.00</t>
  </si>
  <si>
    <t>264,110.00</t>
  </si>
  <si>
    <t>88,160.00</t>
  </si>
  <si>
    <t>18,900.00</t>
  </si>
  <si>
    <t>1,516,131.00</t>
  </si>
  <si>
    <t>5,925,225.30</t>
  </si>
  <si>
    <t>752,979.20</t>
  </si>
  <si>
    <t>1,384,925.50</t>
  </si>
  <si>
    <t>1,144,196.52</t>
  </si>
  <si>
    <t>4,999,737.09</t>
  </si>
  <si>
    <t>1,157,500.00</t>
  </si>
  <si>
    <t>4,843,750.00</t>
  </si>
  <si>
    <t>11,999,980.96</t>
  </si>
  <si>
    <t>1,081,358.72</t>
  </si>
  <si>
    <t>1,232,500.00</t>
  </si>
  <si>
    <t>2,999,526.55</t>
  </si>
  <si>
    <t>37,772.00</t>
  </si>
  <si>
    <t>1,717,079.00</t>
  </si>
  <si>
    <t>4,997,875.93</t>
  </si>
  <si>
    <t>252,715.00</t>
  </si>
  <si>
    <t>235,000.00</t>
  </si>
  <si>
    <t>32,200,037.43</t>
  </si>
  <si>
    <t>96,794.00</t>
  </si>
  <si>
    <t>13,500,000.00</t>
  </si>
  <si>
    <t>4,999,862.04</t>
  </si>
  <si>
    <t>149,999.80</t>
  </si>
  <si>
    <t>37,008,000.00</t>
  </si>
  <si>
    <t>23,100.00</t>
  </si>
  <si>
    <t>1,952,364.50</t>
  </si>
  <si>
    <t>8,033,000.00</t>
  </si>
  <si>
    <t>12,869,538.62</t>
  </si>
  <si>
    <t>4,482,183.00</t>
  </si>
  <si>
    <t>2,418,750.00</t>
  </si>
  <si>
    <t>434,279.00</t>
  </si>
  <si>
    <t>4,836,309.52</t>
  </si>
  <si>
    <t>401,500.00</t>
  </si>
  <si>
    <t>6,305,514.32</t>
  </si>
  <si>
    <t>7,925,000.00</t>
  </si>
  <si>
    <t>929,000.00</t>
  </si>
  <si>
    <t>17,638,164.50</t>
  </si>
  <si>
    <t>11,668,000.00</t>
  </si>
  <si>
    <t>4,194,255.74</t>
  </si>
  <si>
    <t>4,155,533.38</t>
  </si>
  <si>
    <t>23,441,250.00</t>
  </si>
  <si>
    <t>5,460,000.00</t>
  </si>
  <si>
    <t>3,156,000.00</t>
  </si>
  <si>
    <t>1,325,600.00</t>
  </si>
  <si>
    <t>410,073.80</t>
  </si>
  <si>
    <t>865,000.00</t>
  </si>
  <si>
    <t>34,734,269.66</t>
  </si>
  <si>
    <t>1,429,790.00</t>
  </si>
  <si>
    <t>25,356,749.74</t>
  </si>
  <si>
    <t>194,417.00</t>
  </si>
  <si>
    <t>1,499,700.00</t>
  </si>
  <si>
    <t>4,919,126.00</t>
  </si>
  <si>
    <t>4,300,000.00</t>
  </si>
  <si>
    <t>91,412.00</t>
  </si>
  <si>
    <t>2,322,034.12</t>
  </si>
  <si>
    <t>2,768,702.15</t>
  </si>
  <si>
    <t>1,599,803.00</t>
  </si>
  <si>
    <t>1,528,593.00</t>
  </si>
  <si>
    <t>5,963,000.00</t>
  </si>
  <si>
    <t>3,599,958.00</t>
  </si>
  <si>
    <t>2,850,000.00</t>
  </si>
  <si>
    <t>1,775,000.00</t>
  </si>
  <si>
    <t>1,455,302.52</t>
  </si>
  <si>
    <t>2,430,000.00</t>
  </si>
  <si>
    <t>1,536,000.00</t>
  </si>
  <si>
    <t>1,521,600.00</t>
  </si>
  <si>
    <t>1,259,500.00</t>
  </si>
  <si>
    <t>1,545,822.66</t>
  </si>
  <si>
    <t>2,649,500.20</t>
  </si>
  <si>
    <t>4,260,000.00</t>
  </si>
  <si>
    <t>324,226.18</t>
  </si>
  <si>
    <t>2,999,845.00</t>
  </si>
  <si>
    <t>3,799,170.80</t>
  </si>
  <si>
    <t>1,396,500.00</t>
  </si>
  <si>
    <t>1,645,000.00</t>
  </si>
  <si>
    <t>83,839.28</t>
  </si>
  <si>
    <t>796,366.00</t>
  </si>
  <si>
    <t>223,629.50</t>
  </si>
  <si>
    <t>1,547,500.00</t>
  </si>
  <si>
    <t>1,313,000.00</t>
  </si>
  <si>
    <t>1,365,000.00</t>
  </si>
  <si>
    <t>1,825,000.00</t>
  </si>
  <si>
    <t>1,116,000.00</t>
  </si>
  <si>
    <t>2,959,847.63</t>
  </si>
  <si>
    <t>896,000.00</t>
  </si>
  <si>
    <t>945,000.00</t>
  </si>
  <si>
    <t>46,300.00</t>
  </si>
  <si>
    <t>199,946.62</t>
  </si>
  <si>
    <t>723,683.00</t>
  </si>
  <si>
    <t>47,990.00</t>
  </si>
  <si>
    <t>1,411,491.00</t>
  </si>
  <si>
    <t>1,118,500.00</t>
  </si>
  <si>
    <t>2,225,000.00</t>
  </si>
  <si>
    <t>3,261,000.00</t>
  </si>
  <si>
    <t>157,963.00</t>
  </si>
  <si>
    <t>692,746.69</t>
  </si>
  <si>
    <t>9,708,696.14</t>
  </si>
  <si>
    <t>6,402,200.00</t>
  </si>
  <si>
    <t>1,177,296.74</t>
  </si>
  <si>
    <t>3,408,975.00</t>
  </si>
  <si>
    <t>449,688.65</t>
  </si>
  <si>
    <t>985,000.00</t>
  </si>
  <si>
    <t>335,960.00</t>
  </si>
  <si>
    <t>2,053,500.00</t>
  </si>
  <si>
    <t>3,915,409.87</t>
  </si>
  <si>
    <t>2,916,563.20</t>
  </si>
  <si>
    <t>1,450.00</t>
  </si>
  <si>
    <t>281,541.52</t>
  </si>
  <si>
    <t>1,927,827.00</t>
  </si>
  <si>
    <t>1,499,949.95</t>
  </si>
  <si>
    <t>1,083,882.89</t>
  </si>
  <si>
    <t>183,566.40</t>
  </si>
  <si>
    <t>2,000,800.00</t>
  </si>
  <si>
    <t>1,878,251.47</t>
  </si>
  <si>
    <t>72,205,000.00</t>
  </si>
  <si>
    <t>149,735.12</t>
  </si>
  <si>
    <t>2,219,000.00</t>
  </si>
  <si>
    <t>4,492,742.23</t>
  </si>
  <si>
    <t>4,127,440.60</t>
  </si>
  <si>
    <t>444,728.50</t>
  </si>
  <si>
    <t>1,070,304.42</t>
  </si>
  <si>
    <t>19,100.00</t>
  </si>
  <si>
    <t>359,225.44</t>
  </si>
  <si>
    <t>4,475,000.00</t>
  </si>
  <si>
    <t>8,950,000.00</t>
  </si>
  <si>
    <t>57,600.00</t>
  </si>
  <si>
    <t>1,505,927.25</t>
  </si>
  <si>
    <t>4,770.00</t>
  </si>
  <si>
    <t>1,199,763.12</t>
  </si>
  <si>
    <t>116,815.00</t>
  </si>
  <si>
    <t>9,600.00</t>
  </si>
  <si>
    <t>216,616.00</t>
  </si>
  <si>
    <t>1,199,872.92</t>
  </si>
  <si>
    <t>546,549.00</t>
  </si>
  <si>
    <t>692,161.60</t>
  </si>
  <si>
    <t>2,139,445.67</t>
  </si>
  <si>
    <t>1,617,730.29</t>
  </si>
  <si>
    <t>890,000.00</t>
  </si>
  <si>
    <t>2,207,653.46</t>
  </si>
  <si>
    <t>400,040.00</t>
  </si>
  <si>
    <t>1,158,000.00</t>
  </si>
  <si>
    <t>817,650.00</t>
  </si>
  <si>
    <t>193,960,000.00</t>
  </si>
  <si>
    <t>100,495,000.00</t>
  </si>
  <si>
    <t>1,474,382.55</t>
  </si>
  <si>
    <t>1,523,377.32</t>
  </si>
  <si>
    <t>103,200.00</t>
  </si>
  <si>
    <t>29,669,273.35</t>
  </si>
  <si>
    <t>11,005,392.85</t>
  </si>
  <si>
    <t>21,466,200.00</t>
  </si>
  <si>
    <t>1,454,419.78</t>
  </si>
  <si>
    <t>219,994.00</t>
  </si>
  <si>
    <t>15,533,070.00</t>
  </si>
  <si>
    <t>1,473,076.24</t>
  </si>
  <si>
    <t>2,823,316.31</t>
  </si>
  <si>
    <t>10,326,000.00</t>
  </si>
  <si>
    <t>47,085.00</t>
  </si>
  <si>
    <t>46,800.00</t>
  </si>
  <si>
    <t>649,900.00</t>
  </si>
  <si>
    <t>2,888,799.37</t>
  </si>
  <si>
    <t>3,137,117.42</t>
  </si>
  <si>
    <t>2,230,099.54</t>
  </si>
  <si>
    <t>1,448,205.93</t>
  </si>
  <si>
    <t>41,300.00</t>
  </si>
  <si>
    <t>1,880,269.55</t>
  </si>
  <si>
    <t>4,989,403.09</t>
  </si>
  <si>
    <t>2,467,745.00</t>
  </si>
  <si>
    <t>838,845.00</t>
  </si>
  <si>
    <t>5,756,437.64</t>
  </si>
  <si>
    <t>314,640.00</t>
  </si>
  <si>
    <t>2,485,785.00</t>
  </si>
  <si>
    <t>2,099,298.88</t>
  </si>
  <si>
    <t>2,065,702.00</t>
  </si>
  <si>
    <t>444,504.85</t>
  </si>
  <si>
    <t>199,997.75</t>
  </si>
  <si>
    <t>91,052.73</t>
  </si>
  <si>
    <t>2,965,903.12</t>
  </si>
  <si>
    <t>389,142.49</t>
  </si>
  <si>
    <t>3,373,349.35</t>
  </si>
  <si>
    <t>7,791,980.00</t>
  </si>
  <si>
    <t>1,961,834.29</t>
  </si>
  <si>
    <t>1,410,000.00</t>
  </si>
  <si>
    <t>1,539,625.00</t>
  </si>
  <si>
    <t>971,399.21</t>
  </si>
  <si>
    <t>11,919,966.10</t>
  </si>
  <si>
    <t>1,016,468.00</t>
  </si>
  <si>
    <t>1,499,994.00</t>
  </si>
  <si>
    <t>64,706,962.68</t>
  </si>
  <si>
    <t>11,681,069.30</t>
  </si>
  <si>
    <t>292,250.00</t>
  </si>
  <si>
    <t>46,140.00</t>
  </si>
  <si>
    <t>398,881.42</t>
  </si>
  <si>
    <t>5,093,825.35</t>
  </si>
  <si>
    <t>1,962,498.71</t>
  </si>
  <si>
    <t>19,729,056.51</t>
  </si>
  <si>
    <t>1,165,512.94</t>
  </si>
  <si>
    <t>1,153,000.00</t>
  </si>
  <si>
    <t>172,327.25</t>
  </si>
  <si>
    <t>11,879,669.71</t>
  </si>
  <si>
    <t>999,997.95</t>
  </si>
  <si>
    <t>1,299,653.06</t>
  </si>
  <si>
    <t>398,424.65</t>
  </si>
  <si>
    <t>2,959,157.13</t>
  </si>
  <si>
    <t>11,700,957.10</t>
  </si>
  <si>
    <t>1,547,300.00</t>
  </si>
  <si>
    <t>4,928,626.71</t>
  </si>
  <si>
    <t>34,112,590.31</t>
  </si>
  <si>
    <t>1,783,109.00</t>
  </si>
  <si>
    <t>3,973,619.00</t>
  </si>
  <si>
    <t>299,200.00</t>
  </si>
  <si>
    <t>1,999,975.70</t>
  </si>
  <si>
    <t>34,986,399.36</t>
  </si>
  <si>
    <t>23,500,000.00</t>
  </si>
  <si>
    <t>10,840,000.00</t>
  </si>
  <si>
    <t>1,674,792.00</t>
  </si>
  <si>
    <t>34,750,000.00</t>
  </si>
  <si>
    <t>4,996,600.00</t>
  </si>
  <si>
    <t>4,154,000.00</t>
  </si>
  <si>
    <t>6,155,000.00</t>
  </si>
  <si>
    <t>1,999,811.94</t>
  </si>
  <si>
    <t>12,373,992.00</t>
  </si>
  <si>
    <t>1,232,082.10</t>
  </si>
  <si>
    <t>6,935,000.00</t>
  </si>
  <si>
    <t>2,688,240.00</t>
  </si>
  <si>
    <t>3,095,000.00</t>
  </si>
  <si>
    <t>499,434.80</t>
  </si>
  <si>
    <t>2,479,248.95</t>
  </si>
  <si>
    <t>699,109.69</t>
  </si>
  <si>
    <t>499,865.63</t>
  </si>
  <si>
    <t>499,307.81</t>
  </si>
  <si>
    <t>4,814,806.50</t>
  </si>
  <si>
    <t>2,498,494.69</t>
  </si>
  <si>
    <t>998,668.13</t>
  </si>
  <si>
    <t>832,034.04</t>
  </si>
  <si>
    <t>201,600.00</t>
  </si>
  <si>
    <t>5,996,422.03</t>
  </si>
  <si>
    <t>977,707.50</t>
  </si>
  <si>
    <t>5,697,879.03</t>
  </si>
  <si>
    <t>393,000.00</t>
  </si>
  <si>
    <t>709,495.00</t>
  </si>
  <si>
    <t>1,087,541.25</t>
  </si>
  <si>
    <t>351,888.50</t>
  </si>
  <si>
    <t>128,116.00</t>
  </si>
  <si>
    <t>287,500.00</t>
  </si>
  <si>
    <t>29,976,324.60</t>
  </si>
  <si>
    <t>12,136,400.25</t>
  </si>
  <si>
    <t>1,364,624.00</t>
  </si>
  <si>
    <t>691,500.00</t>
  </si>
  <si>
    <t>24,418,328.31</t>
  </si>
  <si>
    <t>499,240.88</t>
  </si>
  <si>
    <t>999,983.12</t>
  </si>
  <si>
    <t>835,000.00</t>
  </si>
  <si>
    <t>348,190.89</t>
  </si>
  <si>
    <t>1,486,935.51</t>
  </si>
  <si>
    <t>976,893.75</t>
  </si>
  <si>
    <t>608,239.64</t>
  </si>
  <si>
    <t>1,380,006.79</t>
  </si>
  <si>
    <t>762,413.38</t>
  </si>
  <si>
    <t>1,379,569.90</t>
  </si>
  <si>
    <t>123,800.00</t>
  </si>
  <si>
    <t>1,954,233.75</t>
  </si>
  <si>
    <t>338,196.00</t>
  </si>
  <si>
    <t>489,978.56</t>
  </si>
  <si>
    <t>625,253.96</t>
  </si>
  <si>
    <t>678,690.42</t>
  </si>
  <si>
    <t>828,600.94</t>
  </si>
  <si>
    <t>2,310,370.62</t>
  </si>
  <si>
    <t>430,250.00</t>
  </si>
  <si>
    <t>1,956,412.50</t>
  </si>
  <si>
    <t>183,263.00</t>
  </si>
  <si>
    <t>6,003,035.00</t>
  </si>
  <si>
    <t>707,629.40</t>
  </si>
  <si>
    <t>938,300.00</t>
  </si>
  <si>
    <t>4,310,353.12</t>
  </si>
  <si>
    <t>1,852,565.73</t>
  </si>
  <si>
    <t>973,350.00</t>
  </si>
  <si>
    <t>3,127,235.55</t>
  </si>
  <si>
    <t>1,256,000.00</t>
  </si>
  <si>
    <t>1,811,328.12</t>
  </si>
  <si>
    <t>1,703,342.77</t>
  </si>
  <si>
    <t>730,123.80</t>
  </si>
  <si>
    <t>3,991,248.82</t>
  </si>
  <si>
    <t>3,660,000.00</t>
  </si>
  <si>
    <t>1,871,121.89</t>
  </si>
  <si>
    <t>1,959,046.69</t>
  </si>
  <si>
    <t>2,939,091.60</t>
  </si>
  <si>
    <t>143,425.00</t>
  </si>
  <si>
    <t>5,646,684.48</t>
  </si>
  <si>
    <t>1,138,541.40</t>
  </si>
  <si>
    <t>4,833,731.12</t>
  </si>
  <si>
    <t>5,526,062.92</t>
  </si>
  <si>
    <t>4,874,149.33</t>
  </si>
  <si>
    <t>4,919,502.11</t>
  </si>
  <si>
    <t>5,315,461.89</t>
  </si>
  <si>
    <t>5,567,005.88</t>
  </si>
  <si>
    <t>4,800,445.92</t>
  </si>
  <si>
    <t>5,185,140.74</t>
  </si>
  <si>
    <t>1,581,917.69</t>
  </si>
  <si>
    <t>499,999.92</t>
  </si>
  <si>
    <t>5,650,061.31</t>
  </si>
  <si>
    <t>15,436,782.46</t>
  </si>
  <si>
    <t>5,243,622.52</t>
  </si>
  <si>
    <t>477,100.00</t>
  </si>
  <si>
    <t>1,604,719.33</t>
  </si>
  <si>
    <t>3,979,019.97</t>
  </si>
  <si>
    <t>1,183,800.00</t>
  </si>
  <si>
    <t>5,085,857.42</t>
  </si>
  <si>
    <t>3,816,794.82</t>
  </si>
  <si>
    <t>4,345,048.00</t>
  </si>
  <si>
    <t>1,401,900.00</t>
  </si>
  <si>
    <t>5,053,831.59</t>
  </si>
  <si>
    <t>3,069,934.00</t>
  </si>
  <si>
    <t>1,916,000.00</t>
  </si>
  <si>
    <t>255,780.07</t>
  </si>
  <si>
    <t>5,292,579.45</t>
  </si>
  <si>
    <t>5,001,989.84</t>
  </si>
  <si>
    <t>3,074,000.00</t>
  </si>
  <si>
    <t>1,095,476.00</t>
  </si>
  <si>
    <t>5,898,574.77</t>
  </si>
  <si>
    <t>499,996.62</t>
  </si>
  <si>
    <t>62,000,000.00</t>
  </si>
  <si>
    <t>6,572,500.00</t>
  </si>
  <si>
    <t>799,996.60</t>
  </si>
  <si>
    <t>599,997.30</t>
  </si>
  <si>
    <t>499,999.19</t>
  </si>
  <si>
    <t>699,995.31</t>
  </si>
  <si>
    <t>699,995.33</t>
  </si>
  <si>
    <t>899,996.75</t>
  </si>
  <si>
    <t>5,109,326.74</t>
  </si>
  <si>
    <t>648,735.00</t>
  </si>
  <si>
    <t>5,177,522.13</t>
  </si>
  <si>
    <t>5,024,488.95</t>
  </si>
  <si>
    <t>499,997.90</t>
  </si>
  <si>
    <t>4,966,380.64</t>
  </si>
  <si>
    <t>4,977,139.07</t>
  </si>
  <si>
    <t>5,032,085.24</t>
  </si>
  <si>
    <t>211,609.20</t>
  </si>
  <si>
    <t>1,499,966.10</t>
  </si>
  <si>
    <t>209,805.00</t>
  </si>
  <si>
    <t>205,807.00</t>
  </si>
  <si>
    <t>1,579,595.00</t>
  </si>
  <si>
    <t>205,810.00</t>
  </si>
  <si>
    <t>29,944,565.00</t>
  </si>
  <si>
    <t>4,863,312.59</t>
  </si>
  <si>
    <t>2,987,888.40</t>
  </si>
  <si>
    <t>5,535,900.00</t>
  </si>
  <si>
    <t>3,324,920.00</t>
  </si>
  <si>
    <t>13,300,000.00</t>
  </si>
  <si>
    <t>165,645.60</t>
  </si>
  <si>
    <t>989,393.60</t>
  </si>
  <si>
    <t>122,205.00</t>
  </si>
  <si>
    <t>2,925,000.00</t>
  </si>
  <si>
    <t>5,052,738.08</t>
  </si>
  <si>
    <t>414,645.00</t>
  </si>
  <si>
    <t>1,460,500.00</t>
  </si>
  <si>
    <t>3,267,999.56</t>
  </si>
  <si>
    <t>11,007,938.81</t>
  </si>
  <si>
    <t>4,914,324.79</t>
  </si>
  <si>
    <t>13,791,916.69</t>
  </si>
  <si>
    <t>2,975,990.46</t>
  </si>
  <si>
    <t>1,731,990.44</t>
  </si>
  <si>
    <t>9,642,072.78</t>
  </si>
  <si>
    <t>359,198.81</t>
  </si>
  <si>
    <t>2,070,153.12</t>
  </si>
  <si>
    <t>2,011,200.00</t>
  </si>
  <si>
    <t>2,220,525.00</t>
  </si>
  <si>
    <t>888,479.17</t>
  </si>
  <si>
    <t>371,000.00</t>
  </si>
  <si>
    <t>2,175,500.00</t>
  </si>
  <si>
    <t>1,437,760.00</t>
  </si>
  <si>
    <t>1,074,000.00</t>
  </si>
  <si>
    <t>997,550.00</t>
  </si>
  <si>
    <t>1,784,268.49</t>
  </si>
  <si>
    <t>1,971,726.15</t>
  </si>
  <si>
    <t>445,855.00</t>
  </si>
  <si>
    <t>2,423,998.55</t>
  </si>
  <si>
    <t>97,286.00</t>
  </si>
  <si>
    <t>310,580.00</t>
  </si>
  <si>
    <t>24,000,000.00</t>
  </si>
  <si>
    <t>26,460,000.00</t>
  </si>
  <si>
    <t>227,781.00</t>
  </si>
  <si>
    <t>5,761,388.00</t>
  </si>
  <si>
    <t>499,999.51</t>
  </si>
  <si>
    <t>2,665,400.00</t>
  </si>
  <si>
    <t>683,317.80</t>
  </si>
  <si>
    <t>750,871.00</t>
  </si>
  <si>
    <t>15,806,307.88</t>
  </si>
  <si>
    <t>5,106,000.00</t>
  </si>
  <si>
    <t>772,170.33</t>
  </si>
  <si>
    <t>3,555,000.00</t>
  </si>
  <si>
    <t>4,562,195.00</t>
  </si>
  <si>
    <t>4,025,000.00</t>
  </si>
  <si>
    <t>332,310.00</t>
  </si>
  <si>
    <t>629,550.00</t>
  </si>
  <si>
    <t>4,375,000.00</t>
  </si>
  <si>
    <t>15,340,000.00</t>
  </si>
  <si>
    <t>114,550.00</t>
  </si>
  <si>
    <t>19,986,000.00</t>
  </si>
  <si>
    <t>1,245,750.00</t>
  </si>
  <si>
    <t>1,402,626.00</t>
  </si>
  <si>
    <t>2,280,000.00</t>
  </si>
  <si>
    <t>1,182,600.00</t>
  </si>
  <si>
    <t>1,123,500.00</t>
  </si>
  <si>
    <t>997,970.00</t>
  </si>
  <si>
    <t>2,804,439.10</t>
  </si>
  <si>
    <t>337,600.00</t>
  </si>
  <si>
    <t>2,379,300.00</t>
  </si>
  <si>
    <t>6,540,917.00</t>
  </si>
  <si>
    <t>5,777,429.00</t>
  </si>
  <si>
    <t>499,977.40</t>
  </si>
  <si>
    <t>29,357,981.72</t>
  </si>
  <si>
    <t>1,099,364.29</t>
  </si>
  <si>
    <t>14,929,000.00</t>
  </si>
  <si>
    <t>286,467.83</t>
  </si>
  <si>
    <t>2,255,838.00</t>
  </si>
  <si>
    <t>1,268,139.28</t>
  </si>
  <si>
    <t>3,789,415.39</t>
  </si>
  <si>
    <t>1,637,671.80</t>
  </si>
  <si>
    <t>12,573,031.61</t>
  </si>
  <si>
    <t>760,648.08</t>
  </si>
  <si>
    <t>7,920,969.67</t>
  </si>
  <si>
    <t>2,138,994.66</t>
  </si>
  <si>
    <t>249,837.00</t>
  </si>
  <si>
    <t>14,849,993.96</t>
  </si>
  <si>
    <t>28,132,555.60</t>
  </si>
  <si>
    <t>236,370.00</t>
  </si>
  <si>
    <t>12,027,429.07</t>
  </si>
  <si>
    <t>3,610,000.00</t>
  </si>
  <si>
    <t>1,719,620.00</t>
  </si>
  <si>
    <t>1,016,795.00</t>
  </si>
  <si>
    <t>262,615.00</t>
  </si>
  <si>
    <t>5,850,000.00</t>
  </si>
  <si>
    <t>6,662,688.93</t>
  </si>
  <si>
    <t>2,970,291.02</t>
  </si>
  <si>
    <t>2,969,989.51</t>
  </si>
  <si>
    <t>17,100,000.00</t>
  </si>
  <si>
    <t>3,070,000.00</t>
  </si>
  <si>
    <t>407,232.00</t>
  </si>
  <si>
    <t>2,249,924.25</t>
  </si>
  <si>
    <t>2,268,753.50</t>
  </si>
  <si>
    <t>1,378,623.40</t>
  </si>
  <si>
    <t>1,152,000.00</t>
  </si>
  <si>
    <t>4,850,000.00</t>
  </si>
  <si>
    <t>884,269.00</t>
  </si>
  <si>
    <t>1,300,337.50</t>
  </si>
  <si>
    <t>928,812.50</t>
  </si>
  <si>
    <t>1,114,575.00</t>
  </si>
  <si>
    <t>34,860,000.00</t>
  </si>
  <si>
    <t>957,700.00</t>
  </si>
  <si>
    <t>1,520,000.00</t>
  </si>
  <si>
    <t>1,614,600.00</t>
  </si>
  <si>
    <t>465,654.00</t>
  </si>
  <si>
    <t>451,885.00</t>
  </si>
  <si>
    <t>6,273,775.00</t>
  </si>
  <si>
    <t>11,529,050.00</t>
  </si>
  <si>
    <t>2,050,040.00</t>
  </si>
  <si>
    <t>743,050.00</t>
  </si>
  <si>
    <t>785,119.56</t>
  </si>
  <si>
    <t>109,876.00</t>
  </si>
  <si>
    <t>4,653,000.00</t>
  </si>
  <si>
    <t>755,250.00</t>
  </si>
  <si>
    <t>124,799,000.00</t>
  </si>
  <si>
    <t>28,340,000.00</t>
  </si>
  <si>
    <t>1,670,936.01</t>
  </si>
  <si>
    <t>32,577,872.70</t>
  </si>
  <si>
    <t>1,116,090.00</t>
  </si>
  <si>
    <t>1,066,404.50</t>
  </si>
  <si>
    <t>6,756,557.00</t>
  </si>
  <si>
    <t>78,800.00</t>
  </si>
  <si>
    <t>19,512,082.18</t>
  </si>
  <si>
    <t>7,330,025.68</t>
  </si>
  <si>
    <t>6,161,996.82</t>
  </si>
  <si>
    <t>6,342,600.00</t>
  </si>
  <si>
    <t>4,389,877.80</t>
  </si>
  <si>
    <t>4,019,000.00</t>
  </si>
  <si>
    <t>2,740,000.00</t>
  </si>
  <si>
    <t>19,501,888.25</t>
  </si>
  <si>
    <t>19,027,800.00</t>
  </si>
  <si>
    <t>4,224,800.00</t>
  </si>
  <si>
    <t>18,961,724.09</t>
  </si>
  <si>
    <t>8,790,658.00</t>
  </si>
  <si>
    <t>4,086,774.99</t>
  </si>
  <si>
    <t>10,711,407.00</t>
  </si>
  <si>
    <t>3,482,440.00</t>
  </si>
  <si>
    <t>122,996.00</t>
  </si>
  <si>
    <t>27,300,000.00</t>
  </si>
  <si>
    <t>7,618,750.00</t>
  </si>
  <si>
    <t>5,197,000.00</t>
  </si>
  <si>
    <t>12,571,721.70</t>
  </si>
  <si>
    <t>128,235.00</t>
  </si>
  <si>
    <t>85,440.00</t>
  </si>
  <si>
    <t>11,322,400.00</t>
  </si>
  <si>
    <t>1,455,000.00</t>
  </si>
  <si>
    <t>3,367,659.00</t>
  </si>
  <si>
    <t>647,237.00</t>
  </si>
  <si>
    <t>2,105,000.00</t>
  </si>
  <si>
    <t>1,620,000.00</t>
  </si>
  <si>
    <t>2,839,703.00</t>
  </si>
  <si>
    <t>76,000,000.00</t>
  </si>
  <si>
    <t>2,375,000.00</t>
  </si>
  <si>
    <t>8,570,736.00</t>
  </si>
  <si>
    <t>4,240,000.00</t>
  </si>
  <si>
    <t>37,946.70</t>
  </si>
  <si>
    <t>19,502,380.97</t>
  </si>
  <si>
    <t>2,133,619.39</t>
  </si>
  <si>
    <t>19,512,168.46</t>
  </si>
  <si>
    <t>611,064.00</t>
  </si>
  <si>
    <t>1,834,570.00</t>
  </si>
  <si>
    <t>1,838,514.60</t>
  </si>
  <si>
    <t>2,260,000.00</t>
  </si>
  <si>
    <t>1,489,429.78</t>
  </si>
  <si>
    <t>3,034,982.50</t>
  </si>
  <si>
    <t>4,362,781.17</t>
  </si>
  <si>
    <t>468,220.00</t>
  </si>
  <si>
    <t>2,248,500.00</t>
  </si>
  <si>
    <t>805,634.93</t>
  </si>
  <si>
    <t>5,122,236.32</t>
  </si>
  <si>
    <t>2,164,000.00</t>
  </si>
  <si>
    <t>1,836,196.10</t>
  </si>
  <si>
    <t>6,255,165.71</t>
  </si>
  <si>
    <t>1,094,201.17</t>
  </si>
  <si>
    <t>1,629,206.36</t>
  </si>
  <si>
    <t>82,500,000.00</t>
  </si>
  <si>
    <t>10,349,412.00</t>
  </si>
  <si>
    <t>8,311,100.00</t>
  </si>
  <si>
    <t>496,500.00</t>
  </si>
  <si>
    <t>724,000.00</t>
  </si>
  <si>
    <t>848,705.60</t>
  </si>
  <si>
    <t>5,930,560.00</t>
  </si>
  <si>
    <t>968,400.00</t>
  </si>
  <si>
    <t>776,100.00</t>
  </si>
  <si>
    <t>781,229.00</t>
  </si>
  <si>
    <t>16,913,371.44</t>
  </si>
  <si>
    <t>14,981,717.00</t>
  </si>
  <si>
    <t>249,985,261.00</t>
  </si>
  <si>
    <t>1,318,234.84</t>
  </si>
  <si>
    <t>57,899,874.60</t>
  </si>
  <si>
    <t>14,999,985.16</t>
  </si>
  <si>
    <t>6,624,800.00</t>
  </si>
  <si>
    <t>24,875,000.00</t>
  </si>
  <si>
    <t>11,437,500.00</t>
  </si>
  <si>
    <t>129,180.00</t>
  </si>
  <si>
    <t>13,887,088.64</t>
  </si>
  <si>
    <t>5,317,000.00</t>
  </si>
  <si>
    <t>16,723,101.12</t>
  </si>
  <si>
    <t>39,725.00</t>
  </si>
  <si>
    <t>323,775.18</t>
  </si>
  <si>
    <t>20,162,841,907.02</t>
  </si>
  <si>
    <t>10,159,540,045.42</t>
  </si>
  <si>
    <t>27,355,000.00</t>
  </si>
  <si>
    <t>12,034,400.00</t>
  </si>
  <si>
    <t>16,258,200.00</t>
  </si>
  <si>
    <t>12,870,000.00</t>
  </si>
  <si>
    <t>234,382,490.99</t>
  </si>
  <si>
    <t>5,938,259.14</t>
  </si>
  <si>
    <t>2,077,000.00</t>
  </si>
  <si>
    <t>10,450,000.00</t>
  </si>
  <si>
    <t>257,398,924.59</t>
  </si>
  <si>
    <t>27,165,600.00</t>
  </si>
  <si>
    <t>4,321,800.00</t>
  </si>
  <si>
    <t>146,387,950.64</t>
  </si>
  <si>
    <t>11,292,155.18</t>
  </si>
  <si>
    <t>5,995,000.00</t>
  </si>
  <si>
    <t>197,511,504.19</t>
  </si>
  <si>
    <t>29,699,993.77</t>
  </si>
  <si>
    <t>5,372,600.00</t>
  </si>
  <si>
    <t>69,299,996.96</t>
  </si>
  <si>
    <t>19,801,477.33</t>
  </si>
  <si>
    <t>24,114.00</t>
  </si>
  <si>
    <t>34,649,985.05</t>
  </si>
  <si>
    <t>29,701,491.04</t>
  </si>
  <si>
    <t>14,476,087.07</t>
  </si>
  <si>
    <t>99,345.00</t>
  </si>
  <si>
    <t>91,309,000.00</t>
  </si>
  <si>
    <t>14,467,198.81</t>
  </si>
  <si>
    <t>164,988,000.00</t>
  </si>
  <si>
    <t>144,747,335.55</t>
  </si>
  <si>
    <t>89,829,019.65</t>
  </si>
  <si>
    <t>978,000.00</t>
  </si>
  <si>
    <t>90,523,000.00</t>
  </si>
  <si>
    <t>371,700.00</t>
  </si>
  <si>
    <t>193,305.00</t>
  </si>
  <si>
    <t>4,547,000.00</t>
  </si>
  <si>
    <t>85,125,259.13</t>
  </si>
  <si>
    <t>2,700,000,000.00</t>
  </si>
  <si>
    <t>88,707,634.87</t>
  </si>
  <si>
    <t>111,310,000.00</t>
  </si>
  <si>
    <t>33,733,000.00</t>
  </si>
  <si>
    <t>28,920,364.88</t>
  </si>
  <si>
    <t>19,299,248.48</t>
  </si>
  <si>
    <t>475,860.00</t>
  </si>
  <si>
    <t>2,787,756.08</t>
  </si>
  <si>
    <t>1,329,428.01</t>
  </si>
  <si>
    <t>14,467,245.77</t>
  </si>
  <si>
    <t>1,114,793.99</t>
  </si>
  <si>
    <t>2,606,951.31</t>
  </si>
  <si>
    <t>3,025,657.63</t>
  </si>
  <si>
    <t>28,916,667.00</t>
  </si>
  <si>
    <t>69,510.00</t>
  </si>
  <si>
    <t>1,187,849.29</t>
  </si>
  <si>
    <t>2,340,801.68</t>
  </si>
  <si>
    <t>329,730.00</t>
  </si>
  <si>
    <t>76,748.00</t>
  </si>
  <si>
    <t>16,663,366.34</t>
  </si>
  <si>
    <t>632,800.00</t>
  </si>
  <si>
    <t>61,760,000.00</t>
  </si>
  <si>
    <t>10,050,575.63</t>
  </si>
  <si>
    <t>2,199,680.00</t>
  </si>
  <si>
    <t>576,747,648.00</t>
  </si>
  <si>
    <t>19,578,997.50</t>
  </si>
  <si>
    <t>63,685.64</t>
  </si>
  <si>
    <t>1,555,122.75</t>
  </si>
  <si>
    <t>8,262,312.00</t>
  </si>
  <si>
    <t>9,149,048.61</t>
  </si>
  <si>
    <t>57,882,935.46</t>
  </si>
  <si>
    <t>775,132.00</t>
  </si>
  <si>
    <t>15,911,970.00</t>
  </si>
  <si>
    <t>10,036,581.00</t>
  </si>
  <si>
    <t>7,511,740.64</t>
  </si>
  <si>
    <t>759,080,367.13</t>
  </si>
  <si>
    <t>2,969,951.91</t>
  </si>
  <si>
    <t>67,534,000.00</t>
  </si>
  <si>
    <t>144,500.00</t>
  </si>
  <si>
    <t>23,760,000.00</t>
  </si>
  <si>
    <t>34,650,000.00</t>
  </si>
  <si>
    <t>106,149,995.59</t>
  </si>
  <si>
    <t>48,999,866.87</t>
  </si>
  <si>
    <t>25,262.00</t>
  </si>
  <si>
    <t>25,500,000.00</t>
  </si>
  <si>
    <t>84,416.00</t>
  </si>
  <si>
    <t>1,498,727.95</t>
  </si>
  <si>
    <t>1,190,768.00</t>
  </si>
  <si>
    <t>2,257,068.21</t>
  </si>
  <si>
    <t>1,499,286.02</t>
  </si>
  <si>
    <t>53,074,892.40</t>
  </si>
  <si>
    <t>10,284,294.75</t>
  </si>
  <si>
    <t>3,958,007.75</t>
  </si>
  <si>
    <t>56,200.00</t>
  </si>
  <si>
    <t>21,372,000.00</t>
  </si>
  <si>
    <t>29,699,982.26</t>
  </si>
  <si>
    <t>4,495,500.56</t>
  </si>
  <si>
    <t>2,929,996.38</t>
  </si>
  <si>
    <t>1,947,062,163.77</t>
  </si>
  <si>
    <t>22,991,000.00</t>
  </si>
  <si>
    <t>9,616,586.80</t>
  </si>
  <si>
    <t>1,782,000.00</t>
  </si>
  <si>
    <t>72,252,000.00</t>
  </si>
  <si>
    <t>797,540.00</t>
  </si>
  <si>
    <t>19,636,391.87</t>
  </si>
  <si>
    <t>4,998,419.58</t>
  </si>
  <si>
    <t>47,300,000.00</t>
  </si>
  <si>
    <t>120,625,000.00</t>
  </si>
  <si>
    <t>921,672,000.00</t>
  </si>
  <si>
    <t>29,699,973.77</t>
  </si>
  <si>
    <t>3,992,977.00</t>
  </si>
  <si>
    <t>52,110,000.00</t>
  </si>
  <si>
    <t>3,759,553.34</t>
  </si>
  <si>
    <t>15,344,856.27</t>
  </si>
  <si>
    <t>2,307,000.00</t>
  </si>
  <si>
    <t>8,372,579.52</t>
  </si>
  <si>
    <t>1,987,370.24</t>
  </si>
  <si>
    <t>2,521,768.78</t>
  </si>
  <si>
    <t>8,004,050.28</t>
  </si>
  <si>
    <t>774,559.72</t>
  </si>
  <si>
    <t>2,007,000.00</t>
  </si>
  <si>
    <t>7,481,110.96</t>
  </si>
  <si>
    <t>8,871,231.98</t>
  </si>
  <si>
    <t>190,375,000.00</t>
  </si>
  <si>
    <t>4,228,780.75</t>
  </si>
  <si>
    <t>4,949,722.40</t>
  </si>
  <si>
    <t>2,335,144.00</t>
  </si>
  <si>
    <t>12,999,204.36</t>
  </si>
  <si>
    <t>5,541,613.32</t>
  </si>
  <si>
    <t>9,899,916.97</t>
  </si>
  <si>
    <t>16,250,000.00</t>
  </si>
  <si>
    <t>1,979,956.11</t>
  </si>
  <si>
    <t>1,979,474.56</t>
  </si>
  <si>
    <t>815,000.00</t>
  </si>
  <si>
    <t>6,428,117.94</t>
  </si>
  <si>
    <t>8,837,317.56</t>
  </si>
  <si>
    <t>3,238,197.14</t>
  </si>
  <si>
    <t>147,906,854.18</t>
  </si>
  <si>
    <t>2,457,837.87</t>
  </si>
  <si>
    <t>98,999,642.57</t>
  </si>
  <si>
    <t>97,998,833.48</t>
  </si>
  <si>
    <t>651,700.00</t>
  </si>
  <si>
    <t>48,999,996.39</t>
  </si>
  <si>
    <t>19,799,702.03</t>
  </si>
  <si>
    <t>9,899,596.36</t>
  </si>
  <si>
    <t>2,999,966.18</t>
  </si>
  <si>
    <t>1,305,000.00</t>
  </si>
  <si>
    <t>14,849,659.73</t>
  </si>
  <si>
    <t>4,026,565.53</t>
  </si>
  <si>
    <t>67,513,749.57</t>
  </si>
  <si>
    <t>133,650,000.00</t>
  </si>
  <si>
    <t>9,899,900.44</t>
  </si>
  <si>
    <t>67,238,000.00</t>
  </si>
  <si>
    <t>14,849,946.31</t>
  </si>
  <si>
    <t>2,920,000.00</t>
  </si>
  <si>
    <t>39,197,756.65</t>
  </si>
  <si>
    <t>45,361,366,040.29</t>
  </si>
  <si>
    <t>19,010,810.00</t>
  </si>
  <si>
    <t>9,899,999.86</t>
  </si>
  <si>
    <t>1,749,074.98</t>
  </si>
  <si>
    <t>10,413,319.00</t>
  </si>
  <si>
    <t>29,099,767.49</t>
  </si>
  <si>
    <t>13,510,000.00</t>
  </si>
  <si>
    <t>7,441,250.00</t>
  </si>
  <si>
    <t>59,399,994.70</t>
  </si>
  <si>
    <t>3,919,609.45</t>
  </si>
  <si>
    <t>34,299,989.07</t>
  </si>
  <si>
    <t>12,545,000.00</t>
  </si>
  <si>
    <t>19,819,520.00</t>
  </si>
  <si>
    <t>1,083,290.12</t>
  </si>
  <si>
    <t>1,472,984.71</t>
  </si>
  <si>
    <t>98,998,843.79</t>
  </si>
  <si>
    <t>9,799,932.60</t>
  </si>
  <si>
    <t>1,999,972.79</t>
  </si>
  <si>
    <t>34,722,380.00</t>
  </si>
  <si>
    <t>1,504,705.38</t>
  </si>
  <si>
    <t>33,000,000.00</t>
  </si>
  <si>
    <t>4,547,441.22</t>
  </si>
  <si>
    <t>3,567,000.00</t>
  </si>
  <si>
    <t>17,400,000.00</t>
  </si>
  <si>
    <t>35,596,000.00</t>
  </si>
  <si>
    <t>63,600.00</t>
  </si>
  <si>
    <t>3,745,317.40</t>
  </si>
  <si>
    <t>500,000,000.00</t>
  </si>
  <si>
    <t>17,296,925.62</t>
  </si>
  <si>
    <t>6,048,000.00</t>
  </si>
  <si>
    <t>4,993,172.71</t>
  </si>
  <si>
    <t>2,491,213.78</t>
  </si>
  <si>
    <t>820,442.98</t>
  </si>
  <si>
    <t>1,499,791.00</t>
  </si>
  <si>
    <t>79,996,788.53</t>
  </si>
  <si>
    <t>2,969,300.00</t>
  </si>
  <si>
    <t>1,291,104.74</t>
  </si>
  <si>
    <t>7,895,469.87</t>
  </si>
  <si>
    <t>362,390.00</t>
  </si>
  <si>
    <t>458,000.00</t>
  </si>
  <si>
    <t>14,214,611.43</t>
  </si>
  <si>
    <t>451,999.00</t>
  </si>
  <si>
    <t>2,462,800.00</t>
  </si>
  <si>
    <t>19,800.00</t>
  </si>
  <si>
    <t>2,281,000.00</t>
  </si>
  <si>
    <t>10,622,795.00</t>
  </si>
  <si>
    <t>7 Day/s</t>
  </si>
  <si>
    <t>0 Day/s</t>
  </si>
  <si>
    <t>270 Day/s</t>
  </si>
  <si>
    <t>135 Day/s</t>
  </si>
  <si>
    <t>30 Day/s</t>
  </si>
  <si>
    <t>15 Day/s</t>
  </si>
  <si>
    <t>9 Day/s</t>
  </si>
  <si>
    <t>13 Day/s</t>
  </si>
  <si>
    <t>365 Day/s</t>
  </si>
  <si>
    <t>10 Day/s</t>
  </si>
  <si>
    <t>8 Day/s</t>
  </si>
  <si>
    <t>5 Day/s</t>
  </si>
  <si>
    <t>2 Day/s</t>
  </si>
  <si>
    <t>18 Day/s</t>
  </si>
  <si>
    <t>45 Day/s</t>
  </si>
  <si>
    <t>40 Day/s</t>
  </si>
  <si>
    <t>20 Day/s</t>
  </si>
  <si>
    <t>180 Day/s</t>
  </si>
  <si>
    <t>90 Day/s</t>
  </si>
  <si>
    <t>14 Day/s</t>
  </si>
  <si>
    <t>25 Day/s</t>
  </si>
  <si>
    <t>60 Day/s</t>
  </si>
  <si>
    <t>150 Day/s</t>
  </si>
  <si>
    <t>240 Day/s</t>
  </si>
  <si>
    <t>115 Day/s</t>
  </si>
  <si>
    <t>120 Day/s</t>
  </si>
  <si>
    <t>12 Day/s</t>
  </si>
  <si>
    <t>175 Day/s</t>
  </si>
  <si>
    <t>161 Day/s</t>
  </si>
  <si>
    <t>265 Day/s</t>
  </si>
  <si>
    <t>210 Day/s</t>
  </si>
  <si>
    <t>300 Day/s</t>
  </si>
  <si>
    <t>1 Day/s</t>
  </si>
  <si>
    <t>75 Day/s</t>
  </si>
  <si>
    <t>17 Day/s</t>
  </si>
  <si>
    <t>21 Day/s</t>
  </si>
  <si>
    <t>3 Day/s</t>
  </si>
  <si>
    <t>6 Day/s</t>
  </si>
  <si>
    <t>5 Month/s</t>
  </si>
  <si>
    <t>163 Day/s</t>
  </si>
  <si>
    <t>34 Day/s</t>
  </si>
  <si>
    <t>290 Day/s</t>
  </si>
  <si>
    <t>262 Day/s</t>
  </si>
  <si>
    <t>66 Day/s</t>
  </si>
  <si>
    <t>83 Day/s</t>
  </si>
  <si>
    <t>63 Day/s</t>
  </si>
  <si>
    <t>97 Day/s</t>
  </si>
  <si>
    <t>24 Day/s</t>
  </si>
  <si>
    <t>29 Day/s</t>
  </si>
  <si>
    <t>94 Day/s</t>
  </si>
  <si>
    <t>50 Day/s</t>
  </si>
  <si>
    <t>6 Month/s</t>
  </si>
  <si>
    <t>22 Day/s</t>
  </si>
  <si>
    <t>177 Day/s</t>
  </si>
  <si>
    <t>4 Day/s</t>
  </si>
  <si>
    <t>155 Day/s</t>
  </si>
  <si>
    <t>33 Day/s</t>
  </si>
  <si>
    <t>35 Day/s</t>
  </si>
  <si>
    <t>164 Day/s</t>
  </si>
  <si>
    <t>3 Month/s</t>
  </si>
  <si>
    <t>280 Day/s</t>
  </si>
  <si>
    <t>55 Day/s</t>
  </si>
  <si>
    <t>1 Year/s</t>
  </si>
  <si>
    <t>16 Day/s</t>
  </si>
  <si>
    <t>100 Day/s</t>
  </si>
  <si>
    <t>361 Day/s</t>
  </si>
  <si>
    <t>145 Day/s</t>
  </si>
  <si>
    <t>360 Day/s</t>
  </si>
  <si>
    <t>2 Month/s</t>
  </si>
  <si>
    <t>111 Day/s</t>
  </si>
  <si>
    <t>1 Month/s</t>
  </si>
  <si>
    <t>172 Day/s</t>
  </si>
  <si>
    <t>38 Day/s</t>
  </si>
  <si>
    <t>125 Day/s</t>
  </si>
  <si>
    <t>80 Day/s</t>
  </si>
  <si>
    <t>10 Month/s</t>
  </si>
  <si>
    <t>52 Day/s</t>
  </si>
  <si>
    <t>64 Day/s</t>
  </si>
  <si>
    <t>4 Month/s</t>
  </si>
  <si>
    <t>74 Day/s</t>
  </si>
  <si>
    <t>3 Year/s</t>
  </si>
  <si>
    <t>105 Day/s</t>
  </si>
  <si>
    <t>193 Day/s</t>
  </si>
  <si>
    <t>396 Day/s</t>
  </si>
  <si>
    <t>153 Day/s</t>
  </si>
  <si>
    <t>70 Day/s</t>
  </si>
  <si>
    <t>7 Month/s</t>
  </si>
  <si>
    <t>48 Day/s</t>
  </si>
  <si>
    <t>44 Day/s</t>
  </si>
  <si>
    <t>23 Day/s</t>
  </si>
  <si>
    <t>281 Day/s</t>
  </si>
  <si>
    <t>72 Day/s</t>
  </si>
  <si>
    <t>168 Day/s</t>
  </si>
  <si>
    <t>132 Day/s</t>
  </si>
  <si>
    <t>102 Day/s</t>
  </si>
  <si>
    <t>68 Day/s</t>
  </si>
  <si>
    <t>85 Day/s</t>
  </si>
  <si>
    <t>31 Day/s</t>
  </si>
  <si>
    <t>110 Day/s</t>
  </si>
  <si>
    <t>141 Day/s</t>
  </si>
  <si>
    <t>19 Day/s</t>
  </si>
  <si>
    <t>27 Day/s</t>
  </si>
  <si>
    <t>215 Day/s</t>
  </si>
  <si>
    <t>99 Day/s</t>
  </si>
  <si>
    <t>123 Day/s</t>
  </si>
  <si>
    <t>121 Day/s</t>
  </si>
  <si>
    <t>26 Day/s</t>
  </si>
  <si>
    <t>65 Day/s</t>
  </si>
  <si>
    <t>12 Month/s</t>
  </si>
  <si>
    <t>11 Day/s</t>
  </si>
  <si>
    <t>88 Day/s</t>
  </si>
  <si>
    <t>46 Day/s</t>
  </si>
  <si>
    <t>41 Day/s</t>
  </si>
  <si>
    <t>76 Day/s</t>
  </si>
  <si>
    <t>157 Day/s</t>
  </si>
  <si>
    <t>119 Day/s</t>
  </si>
  <si>
    <t>165 Day/s</t>
  </si>
  <si>
    <t>53 Day/s</t>
  </si>
  <si>
    <t>129 Day/s</t>
  </si>
  <si>
    <t>130 Day/s</t>
  </si>
  <si>
    <t>95 Day/s</t>
  </si>
  <si>
    <t>147 Day/s</t>
  </si>
  <si>
    <t>140 Day/s</t>
  </si>
  <si>
    <t>400 Day/s</t>
  </si>
  <si>
    <t>183 Day/s</t>
  </si>
  <si>
    <t>86 Day/s</t>
  </si>
  <si>
    <t>2450 Day/s</t>
  </si>
  <si>
    <t>43 Day/s</t>
  </si>
  <si>
    <t>189 Day/s</t>
  </si>
  <si>
    <t>24 Month/s</t>
  </si>
  <si>
    <t>420 Day/s</t>
  </si>
  <si>
    <t>67 Day/s</t>
  </si>
  <si>
    <t>47 Day/s</t>
  </si>
  <si>
    <t>32 Day/s</t>
  </si>
  <si>
    <t>42 Day/s</t>
  </si>
  <si>
    <t>160 Day/s</t>
  </si>
  <si>
    <t>118 Day/s</t>
  </si>
  <si>
    <t>37 Day/s</t>
  </si>
  <si>
    <t>188 Day/s</t>
  </si>
  <si>
    <t>8 Month/s</t>
  </si>
  <si>
    <t>84 Day/s</t>
  </si>
  <si>
    <t>39 Day/s</t>
  </si>
  <si>
    <t>305 Day/s</t>
  </si>
  <si>
    <t>77 Day/s</t>
  </si>
  <si>
    <t>144 Day/s</t>
  </si>
  <si>
    <t>148 Day/s</t>
  </si>
  <si>
    <t>89 Day/s</t>
  </si>
  <si>
    <t>252 Day/s</t>
  </si>
  <si>
    <t>104 Day/s</t>
  </si>
  <si>
    <t>114 Day/s</t>
  </si>
  <si>
    <t>330 Day/s</t>
  </si>
  <si>
    <t>61 Day/s</t>
  </si>
  <si>
    <t>92 Day/s</t>
  </si>
  <si>
    <t>28 Day/s</t>
  </si>
  <si>
    <t>93 Day/s</t>
  </si>
  <si>
    <t>131 Day/s</t>
  </si>
  <si>
    <t>49 Day/s</t>
  </si>
  <si>
    <t>260 Day/s</t>
  </si>
  <si>
    <t>310 Day/s</t>
  </si>
  <si>
    <t>142 Day/s</t>
  </si>
  <si>
    <t>57 Day/s</t>
  </si>
  <si>
    <t>184 Day/s</t>
  </si>
  <si>
    <t>116 Day/s</t>
  </si>
  <si>
    <t>200 Day/s</t>
  </si>
  <si>
    <t>56 Day/s</t>
  </si>
  <si>
    <t>146 Day/s</t>
  </si>
  <si>
    <t>258 Day/s</t>
  </si>
  <si>
    <t>73 Day/s</t>
  </si>
  <si>
    <t>149 Day/s</t>
  </si>
  <si>
    <t>203 Day/s</t>
  </si>
  <si>
    <t>128 Day/s</t>
  </si>
  <si>
    <t>350 Day/s</t>
  </si>
  <si>
    <t>195 Day/s</t>
  </si>
  <si>
    <t>39 Month/s</t>
  </si>
  <si>
    <t>79 Day/s</t>
  </si>
  <si>
    <t>293 Day/s</t>
  </si>
  <si>
    <t>170 Day/s</t>
  </si>
  <si>
    <t>112 Day/s</t>
  </si>
  <si>
    <t>96 Day/s</t>
  </si>
  <si>
    <t>202 Day/s</t>
  </si>
  <si>
    <t>98 Day/s</t>
  </si>
  <si>
    <t>336 Day/s</t>
  </si>
  <si>
    <t>264 Day/s</t>
  </si>
  <si>
    <t>5 Year/s</t>
  </si>
  <si>
    <t>186 Day/s</t>
  </si>
  <si>
    <t>54 Day/s</t>
  </si>
  <si>
    <t>71 Day/s</t>
  </si>
  <si>
    <t>320 Day/s</t>
  </si>
  <si>
    <t>136 Day/s</t>
  </si>
  <si>
    <t>117 Day/s</t>
  </si>
  <si>
    <t>113 Day/s</t>
  </si>
  <si>
    <t>103 Day/s</t>
  </si>
  <si>
    <t>249 Day/s</t>
  </si>
  <si>
    <t>225 Day/s</t>
  </si>
  <si>
    <t>223 Day/s</t>
  </si>
  <si>
    <t>201 Day/s</t>
  </si>
  <si>
    <t>380 Day/s</t>
  </si>
  <si>
    <t>0 Month/s</t>
  </si>
  <si>
    <t>190 Day/s</t>
  </si>
  <si>
    <t>158 Day/s</t>
  </si>
  <si>
    <t>36 Day/s</t>
  </si>
  <si>
    <t>553 Day/s</t>
  </si>
  <si>
    <t>500 Day/s</t>
  </si>
  <si>
    <t>174 Day/s</t>
  </si>
  <si>
    <t>358 Day/s</t>
  </si>
  <si>
    <t>250 Day/s</t>
  </si>
  <si>
    <t>127 Day/s</t>
  </si>
  <si>
    <t>206 Day/s</t>
  </si>
  <si>
    <t>173 Day/s</t>
  </si>
  <si>
    <t>213 Day/s</t>
  </si>
  <si>
    <t>182 Day/s</t>
  </si>
  <si>
    <t>162 Day/s</t>
  </si>
  <si>
    <t>299 Day/s</t>
  </si>
  <si>
    <t>152 Day/s</t>
  </si>
  <si>
    <t>196 Day/s</t>
  </si>
  <si>
    <t>2 Year/s</t>
  </si>
  <si>
    <t>78 Day/s</t>
  </si>
  <si>
    <t>169 Day/s</t>
  </si>
  <si>
    <t>124 Day/s</t>
  </si>
  <si>
    <t>109 Day/s</t>
  </si>
  <si>
    <t>143 Day/s</t>
  </si>
  <si>
    <t>126 Day/s</t>
  </si>
  <si>
    <t>220 Day/s</t>
  </si>
  <si>
    <t>151 Day/s</t>
  </si>
  <si>
    <t>192 Day/s</t>
  </si>
  <si>
    <t>194 Day/s</t>
  </si>
  <si>
    <t>187 Day/s</t>
  </si>
  <si>
    <t>205 Day/s</t>
  </si>
  <si>
    <t>224 Day/s</t>
  </si>
  <si>
    <t>159 Day/s</t>
  </si>
  <si>
    <t>212 Day/s</t>
  </si>
  <si>
    <t>51 Day/s</t>
  </si>
  <si>
    <t>91 Day/s</t>
  </si>
  <si>
    <t>62 Day/s</t>
  </si>
  <si>
    <t>58 Day/s</t>
  </si>
  <si>
    <t>247 Day/s</t>
  </si>
  <si>
    <t>267 Day/s</t>
  </si>
  <si>
    <t>69 Day/s</t>
  </si>
  <si>
    <t>9 Month/s</t>
  </si>
  <si>
    <t>230 Day/s</t>
  </si>
  <si>
    <t>268 Day/s</t>
  </si>
  <si>
    <t>246 Day/s</t>
  </si>
  <si>
    <t>243 Day/s</t>
  </si>
  <si>
    <t>207 Day/s</t>
  </si>
  <si>
    <t>122 Day/s</t>
  </si>
  <si>
    <t>137 Day/s</t>
  </si>
  <si>
    <t>645 Day/s</t>
  </si>
  <si>
    <t>166 Day/s</t>
  </si>
  <si>
    <t>343 Day/s</t>
  </si>
  <si>
    <t>395 Day/s</t>
  </si>
  <si>
    <t>286 Day/s</t>
  </si>
  <si>
    <t>185 Day/s</t>
  </si>
  <si>
    <t>352 Day/s</t>
  </si>
  <si>
    <t>338 Day/s</t>
  </si>
  <si>
    <t>480 Day/s</t>
  </si>
  <si>
    <t>285 Day/s</t>
  </si>
  <si>
    <t>167 Day/s</t>
  </si>
  <si>
    <t>107 Day/s</t>
  </si>
  <si>
    <t>1060 Day/s</t>
  </si>
  <si>
    <t>108 Day/s</t>
  </si>
  <si>
    <t>191 Day/s</t>
  </si>
  <si>
    <t>106 Day/s</t>
  </si>
  <si>
    <t>11 Month/s</t>
  </si>
  <si>
    <t>219 Day/s</t>
  </si>
  <si>
    <t>235 Day/s</t>
  </si>
  <si>
    <t>134 Day/s</t>
  </si>
  <si>
    <t>402 Day/s</t>
  </si>
  <si>
    <t>49 Month/s</t>
  </si>
  <si>
    <t>82 Day/s</t>
  </si>
  <si>
    <t>245 Day/s</t>
  </si>
  <si>
    <t>238 Day/s</t>
  </si>
  <si>
    <t>700 Day/s</t>
  </si>
  <si>
    <t>139 Day/s</t>
  </si>
  <si>
    <t>450 Day/s</t>
  </si>
  <si>
    <t>59 Day/s</t>
  </si>
  <si>
    <t>340 Day/s</t>
  </si>
  <si>
    <t>232 Day/s</t>
  </si>
  <si>
    <t>273 Day/s</t>
  </si>
  <si>
    <t>81 Day/s</t>
  </si>
  <si>
    <t>288 Day/s</t>
  </si>
  <si>
    <t>87 Day/s</t>
  </si>
  <si>
    <t>646 Day/s</t>
  </si>
  <si>
    <t>520 Day/s</t>
  </si>
  <si>
    <t>214 Day/s</t>
  </si>
  <si>
    <t>171 Day/s</t>
  </si>
  <si>
    <t>30 Month/s</t>
  </si>
  <si>
    <t>60 Month/s</t>
  </si>
  <si>
    <t>50 Month/s</t>
  </si>
  <si>
    <t>204 Day/s</t>
  </si>
  <si>
    <t>255 Day/s</t>
  </si>
  <si>
    <t>840 Day/s</t>
  </si>
  <si>
    <t>540 Day/s</t>
  </si>
  <si>
    <t>900 Day/s</t>
  </si>
  <si>
    <t>197 Day/s</t>
  </si>
  <si>
    <t>57 Month/s</t>
  </si>
  <si>
    <t>156 Day/s</t>
  </si>
  <si>
    <t>DEPARTMENT OF PUBLIC WORKS AND HIGHWAYS - COTABATO</t>
  </si>
  <si>
    <t>Julie Ann Treyes Geguiento</t>
  </si>
  <si>
    <t>ERNEL PRAVA MAYONGUE</t>
  </si>
  <si>
    <t>Giovanni Y. Tianero</t>
  </si>
  <si>
    <t>Felicisima Capistrano Balasabas</t>
  </si>
  <si>
    <t>Joseph Raphael De Guzman Francisco</t>
  </si>
  <si>
    <t>Jess P Sanchez</t>
  </si>
  <si>
    <t>RONNEL B GUNDOY</t>
  </si>
  <si>
    <t>JONEFE GOMEZ OCASLA</t>
  </si>
  <si>
    <t>Epifanio D. Villasorca</t>
  </si>
  <si>
    <t>Elvina M Dotimas</t>
  </si>
  <si>
    <t>Andro L. Colacion</t>
  </si>
  <si>
    <t>David B. Reyes, Jr.</t>
  </si>
  <si>
    <t>Edsel A. Moratal</t>
  </si>
  <si>
    <t>Ferleo Canarias Flores</t>
  </si>
  <si>
    <t>GLENN H. TIANGHA</t>
  </si>
  <si>
    <t>MARJORIE SAMSON SAN JUAN</t>
  </si>
  <si>
    <t>Aileen P Cha</t>
  </si>
  <si>
    <t>Hennie  Jane Olis Allaba</t>
  </si>
  <si>
    <t>Lorelie Geronimo Pacquiao</t>
  </si>
  <si>
    <t>SHIRLEY SENA SIGUE</t>
  </si>
  <si>
    <t>Sarah Mae Descalso Oyao</t>
  </si>
  <si>
    <t>JERUFFABELLE ARZADON BAUYON</t>
  </si>
  <si>
    <t>Diosdada V. Vito</t>
  </si>
  <si>
    <t>Michael M.Peñaflor</t>
  </si>
  <si>
    <t>NIEL CARO ROSALES</t>
  </si>
  <si>
    <t>Dominador A Bucalbos</t>
  </si>
  <si>
    <t>Efren Tanista Guanzon</t>
  </si>
  <si>
    <t>Nida Tordesillas Tuason</t>
  </si>
  <si>
    <t>Marivic E.  Tongco</t>
  </si>
  <si>
    <t>Dianne April S Pangan</t>
  </si>
  <si>
    <t>Precious D Yco</t>
  </si>
  <si>
    <t>MARIE JANE ABING CLAVERO</t>
  </si>
  <si>
    <t>Christine Joy Benin Anonuevo</t>
  </si>
  <si>
    <t>Mitch Devibar Ramos</t>
  </si>
  <si>
    <t>ELAINE JUBAILYN MAGARANG MOCSANAT</t>
  </si>
  <si>
    <t>Rosalie  C.  Sanico</t>
  </si>
  <si>
    <t>Alex P. Pana</t>
  </si>
  <si>
    <t>ADELFA RICO BELLO</t>
  </si>
  <si>
    <t>ALEXANDER VENTERO PIDOR</t>
  </si>
  <si>
    <t>Dennis Tono Ventilacion</t>
  </si>
  <si>
    <t>Eric Floreta Labastilla</t>
  </si>
  <si>
    <t>elmer ilanan sale</t>
  </si>
  <si>
    <t>Ruby E De Jong</t>
  </si>
  <si>
    <t>Maricel R. Enrique</t>
  </si>
  <si>
    <t>Margie Moreno</t>
  </si>
  <si>
    <t>Franklin Tubiera Toledana</t>
  </si>
  <si>
    <t>Ivy C. Huertas</t>
  </si>
  <si>
    <t>Ma.Kriselda Madriaga Magallano</t>
  </si>
  <si>
    <t>Welven Berdon Alim</t>
  </si>
  <si>
    <t>Armando  A Diada</t>
  </si>
  <si>
    <t>Rebecca Dampil Subillaga</t>
  </si>
  <si>
    <t>RODELIO ALDAY BERNARDO</t>
  </si>
  <si>
    <t>Rheajane Chu Saavedra</t>
  </si>
  <si>
    <t>Bernadette Boniel Dela Cruz</t>
  </si>
  <si>
    <t>SHYKHEN B. YAPAC</t>
  </si>
  <si>
    <t>Melvin B. Arevalo</t>
  </si>
  <si>
    <t>Jerve Cullat</t>
  </si>
  <si>
    <t>Michael Andrew Q Frias</t>
  </si>
  <si>
    <t>Aldino Ariola Bazar</t>
  </si>
  <si>
    <t>ERLINDA FONTANOS MANIPON</t>
  </si>
  <si>
    <t>Thelma Ardon Escanillas</t>
  </si>
  <si>
    <t>Eric DM. Magpantay</t>
  </si>
  <si>
    <t>BENEDICTA B. GAMATERO</t>
  </si>
  <si>
    <t>Dolphy Degay Ticlaen</t>
  </si>
  <si>
    <t>Orlando Bartolome Enderez</t>
  </si>
  <si>
    <t>Norjanna M. Camaguin</t>
  </si>
  <si>
    <t>Jenelyn Drilon Lazare</t>
  </si>
  <si>
    <t>MERCEDES M. ALFUERTE</t>
  </si>
  <si>
    <t>Charito Tinio Mertens</t>
  </si>
  <si>
    <t>MARILYN MILLARES MAGPANTAY</t>
  </si>
  <si>
    <t>REYNALDO C. RIVERA</t>
  </si>
  <si>
    <t>June   C.  Caberoy</t>
  </si>
  <si>
    <t>Jose R Cornelio, Jr.</t>
  </si>
  <si>
    <t>Enrico Magboo Dalangin</t>
  </si>
  <si>
    <t>Jake Ceasar Cardenas Quario</t>
  </si>
  <si>
    <t>Cherrylyn Estinar Malagday</t>
  </si>
  <si>
    <t>Janelle Dela Cruz</t>
  </si>
  <si>
    <t>Jose Ramirez Hainto Jr.</t>
  </si>
  <si>
    <t>Esmeralda Attaban Gacias</t>
  </si>
  <si>
    <t>RYMER TEJOME GALLARON</t>
  </si>
  <si>
    <t>Jeoffrey Almeria</t>
  </si>
  <si>
    <t>Darryl Christian Rigos</t>
  </si>
  <si>
    <t>Elpidio Jr. D. Lucernas</t>
  </si>
  <si>
    <t>Leomar Bayod Balod</t>
  </si>
  <si>
    <t>Fatima M. Ombawa</t>
  </si>
  <si>
    <t>CINSP JERICKSON PATRIARCA MIRAFLOR</t>
  </si>
  <si>
    <t>Jenalyn Retuya Ruiz</t>
  </si>
  <si>
    <t>Mark Jason F Malgapo</t>
  </si>
  <si>
    <t>Ursino C. Pascua</t>
  </si>
  <si>
    <t>Ernesto Garcia Escoto</t>
  </si>
  <si>
    <t>Anna Liza Ramirez Quirolgico</t>
  </si>
  <si>
    <t>MARILOU R. CUNANAN</t>
  </si>
  <si>
    <t>JOSEPH M CANDAVA</t>
  </si>
  <si>
    <t>MA LOURDES BUNOTAN DANGGA</t>
  </si>
  <si>
    <t>Jever Catalan Vargas</t>
  </si>
  <si>
    <t>Zeus Sumaylo Lumancas</t>
  </si>
  <si>
    <t>Xanthi Romeilla Jalon Vallicer</t>
  </si>
  <si>
    <t>Chinalyn Dakiwag Rivera</t>
  </si>
  <si>
    <t>Cherryl Roque Diaz</t>
  </si>
  <si>
    <t>JEZREEL JOHN MANALO MATRE</t>
  </si>
  <si>
    <t>Ceferino C. Oryan</t>
  </si>
  <si>
    <t>Noel P Baldueza</t>
  </si>
  <si>
    <t>EMELITO M YURO</t>
  </si>
  <si>
    <t>Editha V. Aguinaldo, MPA, MBA</t>
  </si>
  <si>
    <t>Angel Shieldon C Agan</t>
  </si>
  <si>
    <t>Florian Faith Jr. Paghubasan Bayawa</t>
  </si>
  <si>
    <t>Felipe M Hutalla</t>
  </si>
  <si>
    <t>Kristine Gomez Contreras</t>
  </si>
  <si>
    <t>Allan Tafalla Orbita</t>
  </si>
  <si>
    <t>Ritchie De La Cuesta Barrun</t>
  </si>
  <si>
    <t>Reynaldo Sumagaysay Belgira</t>
  </si>
  <si>
    <t>Jacob Gupana Racho</t>
  </si>
  <si>
    <t>Justin O. Luna</t>
  </si>
  <si>
    <t>Janice Badiang Fleisher</t>
  </si>
  <si>
    <t>Darline Marie dela Cruz</t>
  </si>
  <si>
    <t>Elimar Duran Amidao</t>
  </si>
  <si>
    <t>Joseph  Mangco  Soriano</t>
  </si>
  <si>
    <t>JHORRY SANICO CANTA</t>
  </si>
  <si>
    <t>Christian Immanuel Evangelista Vargas</t>
  </si>
  <si>
    <t>Isayra  Borcelas Aniceto</t>
  </si>
  <si>
    <t>Flerida P Dagamat</t>
  </si>
  <si>
    <t>Rochelle Sernadilla Santiago</t>
  </si>
  <si>
    <t>Jo Anna Lyn Amansec Payra</t>
  </si>
  <si>
    <t>ANGELITA REPOREN GERONIMO</t>
  </si>
  <si>
    <t>EDUARDO SARMIENTO CRUZ</t>
  </si>
  <si>
    <t>vivencio c. palo</t>
  </si>
  <si>
    <t>Robert M Valles</t>
  </si>
  <si>
    <t>Dionicio R. Dizon</t>
  </si>
  <si>
    <t>Rhea Robles Duculan</t>
  </si>
  <si>
    <t>Lope Watiwat del Mundo</t>
  </si>
  <si>
    <t>Nimfa Mendoza Derada</t>
  </si>
  <si>
    <t>Rodel O. Serrano</t>
  </si>
  <si>
    <t>Pat Andrew B. Barrientos</t>
  </si>
  <si>
    <t>Marilou Lontoc Lascano</t>
  </si>
  <si>
    <t>LITO LAPITAN</t>
  </si>
  <si>
    <t>Mila Creencia</t>
  </si>
  <si>
    <t>Sonny Miranda Naing</t>
  </si>
  <si>
    <t>Fermin F Sapuras</t>
  </si>
  <si>
    <t>Leilani Lucero</t>
  </si>
  <si>
    <t>Arnold Patulot</t>
  </si>
  <si>
    <t>Cuajotor Toledo Albert</t>
  </si>
  <si>
    <t>Corleto A Paramio</t>
  </si>
  <si>
    <t>Mary Jacquiline Ceballos Elid</t>
  </si>
  <si>
    <t>Fernando Espinoza Lopez</t>
  </si>
  <si>
    <t>Benjie Burato Nierre</t>
  </si>
  <si>
    <t>GARY PIODOS BARRIGA</t>
  </si>
  <si>
    <t>Eunice Bangguiyao Bundang</t>
  </si>
  <si>
    <t>Perlita Senarillos Pabillaran</t>
  </si>
  <si>
    <t>Roberto De Guzman Estrella</t>
  </si>
  <si>
    <t>John Patrick Lazaro</t>
  </si>
  <si>
    <t>Allan Jasper Alarcon Cubacub</t>
  </si>
  <si>
    <t>Rosario D De Luna</t>
  </si>
  <si>
    <t>Carmencita R Lisondra</t>
  </si>
  <si>
    <t>Resurreccion De Guzman Abada</t>
  </si>
  <si>
    <t>Eden E. Dioquino</t>
  </si>
  <si>
    <t>Miriam C. Jabagat</t>
  </si>
  <si>
    <t>Norlan M De Las Alas</t>
  </si>
  <si>
    <t>MARY PRINCESS ABRIO ERAN</t>
  </si>
  <si>
    <t>Roselle Manrique Carlos</t>
  </si>
  <si>
    <t>JULIE P. TABCAO</t>
  </si>
  <si>
    <t>Laila M Robosa</t>
  </si>
  <si>
    <t>CECILIA NAVARRO CALDERON</t>
  </si>
  <si>
    <t>SHEILA B DE LEON</t>
  </si>
  <si>
    <t>Edzrael L. Mohammad</t>
  </si>
  <si>
    <t>Shiedhe Kembuan Bangen</t>
  </si>
  <si>
    <t>Pedrito Mojica Serra</t>
  </si>
  <si>
    <t>Edwin Sapa Jomao-as</t>
  </si>
  <si>
    <t>Ma. Luisa C Tenedero</t>
  </si>
  <si>
    <t>ROGELIO PURGATORIO DAÑO</t>
  </si>
  <si>
    <t>Ma. Laiza AMor Espina Celmar</t>
  </si>
  <si>
    <t>EMERSON R LARUA</t>
  </si>
  <si>
    <t>Caroline Tubongbanua Bucita</t>
  </si>
  <si>
    <t>ROSALIE N. MORALDE</t>
  </si>
  <si>
    <t>Darwin Moso Labe</t>
  </si>
  <si>
    <t>Rhodeliza De Villa Penarroyo</t>
  </si>
  <si>
    <t>Gregorio Reyes Wapelle Jr</t>
  </si>
  <si>
    <t>CHERRY LOVE SALAGOSTE SUCLATAN</t>
  </si>
  <si>
    <t>Ferdinand B Caberoy</t>
  </si>
  <si>
    <t>elsie C Agustin</t>
  </si>
  <si>
    <t>PROCOPIO Maceda Salud</t>
  </si>
  <si>
    <t>Drafino Jr Ramos Arocena</t>
  </si>
  <si>
    <t>Ma. Cristina L Garcia</t>
  </si>
  <si>
    <t>Norman S. Bautista</t>
  </si>
  <si>
    <t>Julito Bojo Gumapac</t>
  </si>
  <si>
    <t>Ma. Cecilia  A.  Cedro</t>
  </si>
  <si>
    <t>Noel Teodoro D. Malodrigo</t>
  </si>
  <si>
    <t>Cliftone Kiteng Bangse-il</t>
  </si>
  <si>
    <t>Lemuel Bagalayos Mañibo</t>
  </si>
  <si>
    <t>ALADIN MABBORANG PASCUAL</t>
  </si>
  <si>
    <t>Edralin B. Baingan</t>
  </si>
  <si>
    <t>Bernadette A Susvilla, Ed. D. CESO VI</t>
  </si>
  <si>
    <t>Alberto E. Sarinas Jr.</t>
  </si>
  <si>
    <t>Freddie Uraga Villajuan</t>
  </si>
  <si>
    <t>Edwardford Najera Dagatan</t>
  </si>
  <si>
    <t>Teofilo, Jr. Rostata Gervacio</t>
  </si>
  <si>
    <t>Agripina F Ceremones</t>
  </si>
  <si>
    <t>Roxanne Lagnason Manoos</t>
  </si>
  <si>
    <t>RESTITUTO N. RENDAJE</t>
  </si>
  <si>
    <t>Susan Diswe Costiniano</t>
  </si>
  <si>
    <t>Glenn Anthony M. San Mateo</t>
  </si>
  <si>
    <t>Jellyby M Manlin</t>
  </si>
  <si>
    <t>JOVYLYN P LUCAS</t>
  </si>
  <si>
    <t>Melotina P. Cadiz</t>
  </si>
  <si>
    <t>Rowena Agrito Mongoso</t>
  </si>
  <si>
    <t>Christopher D. Badayos</t>
  </si>
  <si>
    <t>Judith D. Alde</t>
  </si>
  <si>
    <t>Carina Lucero Abrea</t>
  </si>
  <si>
    <t>Nora Pinkihan Linglingon</t>
  </si>
  <si>
    <t>ROSELLER DIZON SASIS</t>
  </si>
  <si>
    <t>Tess b. Cruzado</t>
  </si>
  <si>
    <t>Lordino Guillermo Antonio</t>
  </si>
  <si>
    <t>Vincent Murillo Caang</t>
  </si>
  <si>
    <t>JUNE DE LEON ESPINOSA</t>
  </si>
  <si>
    <t>Ma. Asherine Noscal Atienza</t>
  </si>
  <si>
    <t>Ma. Revienna P Sosa</t>
  </si>
  <si>
    <t>Roval Regalado De Jesus</t>
  </si>
  <si>
    <t>Emilio G. Quanico</t>
  </si>
  <si>
    <t>Rogelio A. Mallillin</t>
  </si>
  <si>
    <t>Jay Legaspi Cabiles</t>
  </si>
  <si>
    <t>Michelle Escalada Monteclaro</t>
  </si>
  <si>
    <t>Joemar G. Garduque</t>
  </si>
  <si>
    <t>Ruel Capucao de Loyola</t>
  </si>
  <si>
    <t>Nerissa Raymundo Quintinio</t>
  </si>
  <si>
    <t>ESTILA TOGABANG SALOMES</t>
  </si>
  <si>
    <t>Dexter C. Lingbanan</t>
  </si>
  <si>
    <t>Gene Eslava De Guzman</t>
  </si>
  <si>
    <t>Ariel M Galita</t>
  </si>
  <si>
    <t>RAY PAROJINOG VIRTUDEZ</t>
  </si>
  <si>
    <t>Shiela Marie Pama Franco</t>
  </si>
  <si>
    <t>Hanz Willbur Domondon Quebral</t>
  </si>
  <si>
    <t>Willbert D Hosme</t>
  </si>
  <si>
    <t>Paquito Joel Alferez Arocha</t>
  </si>
  <si>
    <t>Mark Lester Emia Risma</t>
  </si>
  <si>
    <t>Antonio Bartolo Mercado</t>
  </si>
  <si>
    <t>Laurence Bryan R. Malana</t>
  </si>
  <si>
    <t>Caysie Bagsit</t>
  </si>
  <si>
    <t>FREDERICK ORTEZA DELA CRUZ</t>
  </si>
  <si>
    <t>Macinole Manalo Domopoy</t>
  </si>
  <si>
    <t>NOLI U GUIAD</t>
  </si>
  <si>
    <t>MARK JAYSON LOMBOY FELIPE</t>
  </si>
  <si>
    <t>Eric Torres Tejada</t>
  </si>
  <si>
    <t>Rowena Arcon Plando</t>
  </si>
  <si>
    <t>Crisel Luna Layague Agudo</t>
  </si>
  <si>
    <t>MARIELLE GRACE ANDRIN ROMAREZ</t>
  </si>
  <si>
    <t>Ana Marie lauron Guirigay</t>
  </si>
  <si>
    <t>Ian Luis Cabauatan Aguila</t>
  </si>
  <si>
    <t>Dennis Juabot Mangubat</t>
  </si>
  <si>
    <t>Daphne Tolentino Campano</t>
  </si>
  <si>
    <t>RICHARD ANQUILLANO TABANIAG</t>
  </si>
  <si>
    <t>Reno P  Doong</t>
  </si>
  <si>
    <t>Azucena O Gonzales</t>
  </si>
  <si>
    <t>Noli U. Guiad</t>
  </si>
  <si>
    <t>FREDDIE C. BENDULO</t>
  </si>
  <si>
    <t>NIRO ROTE NINIANO</t>
  </si>
  <si>
    <t>MELCHOR JR. P. DEJANO</t>
  </si>
  <si>
    <t>Regino T. Handungan Jr.</t>
  </si>
  <si>
    <t>Merlin Paala</t>
  </si>
  <si>
    <t>Benhur V. Malana</t>
  </si>
  <si>
    <t>Evangeline S. Zapata</t>
  </si>
  <si>
    <t>Dudeo C. Galeon</t>
  </si>
  <si>
    <t>PHILLIP C. ADVIENTO</t>
  </si>
  <si>
    <t>Myra Cecilia Donila Grata</t>
  </si>
  <si>
    <t>Ma. Czarina Aguil Subillaga</t>
  </si>
  <si>
    <t>Jaqueline Pangilinan Dayao</t>
  </si>
  <si>
    <t>Cynthia  Gomboc  Fabula</t>
  </si>
  <si>
    <t>MARIE ROSE AGUILAR DELOS REYES</t>
  </si>
  <si>
    <t>GERALYN CAÑAS</t>
  </si>
  <si>
    <t>Leonardo S. Maningas, Jr.</t>
  </si>
  <si>
    <t>Amiable Agnes M. Rubio</t>
  </si>
  <si>
    <t>Myline A. Dilla</t>
  </si>
  <si>
    <t>ROMEO A. SEGOVIA</t>
  </si>
  <si>
    <t>Jennifer Ducusin Flores</t>
  </si>
  <si>
    <t>Arturo Bordeos Timog</t>
  </si>
  <si>
    <t>Maria Magnaye Matawaran</t>
  </si>
  <si>
    <t>Roderick A Ydel</t>
  </si>
  <si>
    <t>Jessie L. Amin</t>
  </si>
  <si>
    <t>Alejo Jr. M Nunez</t>
  </si>
  <si>
    <t>Rommel Pacaoncis Masongsong</t>
  </si>
  <si>
    <t>MARIA GRACIA  PATRON  DELA RAMA</t>
  </si>
  <si>
    <t>Oliver Magtoto Layug</t>
  </si>
  <si>
    <t>Darryl Jr. L. Montealto</t>
  </si>
  <si>
    <t>Juvy Reyes Vista</t>
  </si>
  <si>
    <t>Marina Ingoy Balicoco</t>
  </si>
  <si>
    <t>Irna Nadayag Mallari</t>
  </si>
  <si>
    <t>Maria Cecilia Bangalan De Leon</t>
  </si>
  <si>
    <t>Agnes Buena Agnas</t>
  </si>
  <si>
    <t>Eleuterio L Blasco</t>
  </si>
  <si>
    <t>ESTER BILON CARGULLO</t>
  </si>
  <si>
    <t>Nadine Beira</t>
  </si>
  <si>
    <t>SOFRONIO B. DACILLO, JR.</t>
  </si>
  <si>
    <t>Mary Anne Garcia Tanazana</t>
  </si>
  <si>
    <t>NAZARIO JR. T. DACARA</t>
  </si>
  <si>
    <t>MARIA FE AGAPAY LAPLANA</t>
  </si>
  <si>
    <t>Sheila A. Naig</t>
  </si>
  <si>
    <t>Josephine  B. Sabando</t>
  </si>
  <si>
    <t>Maribel Lopez Bongar</t>
  </si>
  <si>
    <t>Mary Grace A Dela Cruz</t>
  </si>
  <si>
    <t>Corazon S Aquino</t>
  </si>
  <si>
    <t>ROSEMARIE M. LAWAS</t>
  </si>
  <si>
    <t>Danilo D. Pazcoguin</t>
  </si>
  <si>
    <t>Emma Fernandez Sotto</t>
  </si>
  <si>
    <t>MARICHEL PUGOSA CORAZA</t>
  </si>
  <si>
    <t xml:space="preserve">MYLEN  LEGASPINA  GONZAGA </t>
  </si>
  <si>
    <t>Mila Jihan GIBA</t>
  </si>
  <si>
    <t>ANNE MARGARETT A. BORNASAL</t>
  </si>
  <si>
    <t>Nida Avisado Santiago</t>
  </si>
  <si>
    <t>Mario V. Abad</t>
  </si>
  <si>
    <t>THEODORE MAZO ROJAS</t>
  </si>
  <si>
    <t>Rodita P Aban</t>
  </si>
  <si>
    <t>LCDR RAYMOND A ROLDAN PN</t>
  </si>
  <si>
    <t>Alexander N. Morados Jr.</t>
  </si>
  <si>
    <t>Juvy Velez Makiling</t>
  </si>
  <si>
    <t>Michael P Arayan</t>
  </si>
  <si>
    <t>CORAZON A. YAMIT</t>
  </si>
  <si>
    <t>Ellyne Marie Kee Aligarbes</t>
  </si>
  <si>
    <t>Procurement Management Unit DBP - Head Office</t>
  </si>
  <si>
    <t>MARIA ARRA PAZ G. SELLAR</t>
  </si>
  <si>
    <t>Clarence C Morales</t>
  </si>
  <si>
    <t>Victor O Nuico</t>
  </si>
  <si>
    <t>CHATTLEYA G AMIT</t>
  </si>
  <si>
    <t>Vicente Hotchkiss Pimentel, III</t>
  </si>
  <si>
    <t>Ma. Annalyn S. Nolasco</t>
  </si>
  <si>
    <t>Celia M Perez</t>
  </si>
  <si>
    <t>Rainer Mansion Padilla</t>
  </si>
  <si>
    <t>Dauphny O Bandayrel</t>
  </si>
  <si>
    <t>VICTORIA  C.  ARANDILLO</t>
  </si>
  <si>
    <t>DEN AGUILAR LUCINO</t>
  </si>
  <si>
    <t>Marilu Nery Cardenas</t>
  </si>
  <si>
    <t>Franco Joseph Jumao-as Fortunado</t>
  </si>
  <si>
    <t>Wilfredo F. Gundran</t>
  </si>
  <si>
    <t>SHERYL JOY DEL ROSARIO SAMSON</t>
  </si>
  <si>
    <t>LORELLIE OCAMPO RABANERA</t>
  </si>
  <si>
    <t>Edmer S. Polloso</t>
  </si>
  <si>
    <t>JOSEPH HERBON BUSA</t>
  </si>
  <si>
    <t>Ermintrude Diaz Gonzales</t>
  </si>
  <si>
    <t>JHON ALBERT I. NUÑEZ</t>
  </si>
  <si>
    <t>Florinda Z Babilonia</t>
  </si>
  <si>
    <t>Robert Tuscano</t>
  </si>
  <si>
    <t>Bernard Sepe Magbanua</t>
  </si>
  <si>
    <t>Redan I Cognito</t>
  </si>
  <si>
    <t>Jenny Lopez Castro</t>
  </si>
  <si>
    <t>Ma.Gemma C. Lasala</t>
  </si>
  <si>
    <t>ROY DOLINO BENDANILLO</t>
  </si>
  <si>
    <t>JERRY R CENTRO</t>
  </si>
  <si>
    <t>Zotico L. Pastelero</t>
  </si>
  <si>
    <t>JANE P. CLARAVALL</t>
  </si>
  <si>
    <t>Maria Nenita Reyes Chiu</t>
  </si>
  <si>
    <t>Veronica Manzano Rodriguez</t>
  </si>
  <si>
    <t>Hilarry Amigable Singalivo</t>
  </si>
  <si>
    <t>Joel D. Friginal</t>
  </si>
  <si>
    <t>Danny Familaran Baladjay</t>
  </si>
  <si>
    <t>Maria Viña Ocampo Navarro</t>
  </si>
  <si>
    <t>Virginia D. Balderas</t>
  </si>
  <si>
    <t>LILYBETH QUILLO ARIZALA</t>
  </si>
  <si>
    <t>Fernando E Tanciongco</t>
  </si>
  <si>
    <t>May Rose Dejaro  Denolang</t>
  </si>
  <si>
    <t>LEYTE PROVINCIAL BAC</t>
  </si>
  <si>
    <t>MARIVIC CALABIO PRADO</t>
  </si>
  <si>
    <t>Earl Dompales Nalzaro</t>
  </si>
  <si>
    <t>GIE-ANN HUBAHIB</t>
  </si>
  <si>
    <t>MARJORIE ALVAREZ DELA CRUZ</t>
  </si>
  <si>
    <t>Marilyn G Efondo</t>
  </si>
  <si>
    <t>JOSEPH VIDAD ESTEBAN</t>
  </si>
  <si>
    <t>Janice L Sta. Cruz</t>
  </si>
  <si>
    <t>Joel B. Elloso</t>
  </si>
  <si>
    <t>Juanito M Quinto, Jr.</t>
  </si>
  <si>
    <t>Aida M. Cinco</t>
  </si>
  <si>
    <t>MICHELLE ANN NAVARRO MCARAIG</t>
  </si>
  <si>
    <t>Ma. Gina Diaz Valenzuela</t>
  </si>
  <si>
    <t>Ruel Robina Ragas</t>
  </si>
  <si>
    <t>EDISON TANALIGA GUTIERREZ</t>
  </si>
  <si>
    <t>FRANK F. FANGED</t>
  </si>
  <si>
    <t>Anna Lou Elaba Roales</t>
  </si>
  <si>
    <t>Derrick  Perez  Amparo</t>
  </si>
  <si>
    <t>MARY GRACE C CADALSO</t>
  </si>
  <si>
    <t>ALEX HILARIO BALAAN</t>
  </si>
  <si>
    <t>Harvy B. Calabio</t>
  </si>
  <si>
    <t>Levy H. Lagutin Jr.</t>
  </si>
  <si>
    <t>Kim Manalo Manuel</t>
  </si>
  <si>
    <t>Mary Jean Cuello Quinlat</t>
  </si>
  <si>
    <t>Jesus A. Bernal</t>
  </si>
  <si>
    <t>Ma. Salvacion R. Ferrer</t>
  </si>
  <si>
    <t>Crescencio, Jr. Valles Deligero</t>
  </si>
  <si>
    <t>Aries C. Tang</t>
  </si>
  <si>
    <t>Carlos L. Taguba</t>
  </si>
  <si>
    <t>richelle carreon amores</t>
  </si>
  <si>
    <t>Leticia O. Clemente</t>
  </si>
  <si>
    <t>Relanie T Esta</t>
  </si>
  <si>
    <t>Michael Angelo San Pedro BAC Secretariat</t>
  </si>
  <si>
    <t>Romeo Magallanes Taclindo</t>
  </si>
  <si>
    <t>Nolan A Tocao</t>
  </si>
  <si>
    <t>ALLAN SABAS BARCENA</t>
  </si>
  <si>
    <t>Victoria Carcamo Santos</t>
  </si>
  <si>
    <t>Janet A. Pumalo</t>
  </si>
  <si>
    <t>Alberto V. Cainglet</t>
  </si>
  <si>
    <t>Dennis G Varon</t>
  </si>
  <si>
    <t>Mark Jerome Abalos Adaya</t>
  </si>
  <si>
    <t>Roberto Chu Tiu</t>
  </si>
  <si>
    <t>Lourdes Macabulos</t>
  </si>
  <si>
    <t>Joel Guilao Bucao</t>
  </si>
  <si>
    <t>Ormil D.  Go</t>
  </si>
  <si>
    <t>Erlan Magaling Maming</t>
  </si>
  <si>
    <t>Julieta Ilama Sabdani</t>
  </si>
  <si>
    <t>DOWIE JOY RODIS</t>
  </si>
  <si>
    <t>Asela Bagasin Sacramed</t>
  </si>
  <si>
    <t>RENE GARDUQUE VIERNES</t>
  </si>
  <si>
    <t>RICHELLE L. MOROTA</t>
  </si>
  <si>
    <t>Romeo L Estember</t>
  </si>
  <si>
    <t>Krishna Orcino Garcia</t>
  </si>
  <si>
    <t>KATE A. PARULAN</t>
  </si>
  <si>
    <t>Louie O Canlas</t>
  </si>
  <si>
    <t>Rusell Gattu Lozano</t>
  </si>
  <si>
    <t>Resiel Delos Santos</t>
  </si>
  <si>
    <t>Michael A. Piodena</t>
  </si>
  <si>
    <t>Susana M Pardo</t>
  </si>
  <si>
    <t>Tessie Bocales Lingbanan</t>
  </si>
  <si>
    <t>Dhonna Faith Miguel Legaspi</t>
  </si>
  <si>
    <t>FRANZE BETH S. NERI</t>
  </si>
  <si>
    <t>Allison Graza Nudo</t>
  </si>
  <si>
    <t>MA. BELLA SUNGA FAJARDO</t>
  </si>
  <si>
    <t>Michael Imperial Fabros</t>
  </si>
  <si>
    <t>Asaria P Cañal</t>
  </si>
  <si>
    <t>Grace D. Gamolo</t>
  </si>
  <si>
    <t>Verisima Sarigumba Calipusan</t>
  </si>
  <si>
    <t>Christopher Dave Baldedara Musa</t>
  </si>
  <si>
    <t>Editha Pascua Covita</t>
  </si>
  <si>
    <t>Atty. Raymundo Badang Bautista Jr.</t>
  </si>
  <si>
    <t>JAY PERNIA PEÑA</t>
  </si>
  <si>
    <t>Michelle Mahusay Nable</t>
  </si>
  <si>
    <t>Joan J. Sadaba</t>
  </si>
  <si>
    <t>Mansueto Ibale Diangco</t>
  </si>
  <si>
    <t>Michael Cunanan Obaña</t>
  </si>
  <si>
    <t>Dencio A Pagbilao</t>
  </si>
  <si>
    <t>NANCY CABALLERO</t>
  </si>
  <si>
    <t>Ilyn S. Rio</t>
  </si>
  <si>
    <t>Nina Lacson Magat</t>
  </si>
  <si>
    <t>Erwin Libres Cajelo</t>
  </si>
  <si>
    <t>Juliet A Cabrera</t>
  </si>
  <si>
    <t>Dante Brutas Baclao</t>
  </si>
  <si>
    <t>Julius Caducano Bartolome</t>
  </si>
  <si>
    <t>Antonio T Chan</t>
  </si>
  <si>
    <t>ROMARICO M. CABELLON</t>
  </si>
  <si>
    <t>MA. RIZZA M ASIS</t>
  </si>
  <si>
    <t>Gerconia Ofamin Risane</t>
  </si>
  <si>
    <t>Fernando Boricano Mercene</t>
  </si>
  <si>
    <t>Madel Lagustan Rocha</t>
  </si>
  <si>
    <t>Nelson Bonifacio Villaluna</t>
  </si>
  <si>
    <t>VILMA NAAG CASAMA</t>
  </si>
  <si>
    <t>DEBBIE HERRAS ESCURO</t>
  </si>
  <si>
    <t>Sonny Boy Bautista Berbano</t>
  </si>
  <si>
    <t>DHAN CARL TOLEDANES</t>
  </si>
  <si>
    <t>Babe Charity S Enerio</t>
  </si>
  <si>
    <t>Regina S. Valdez</t>
  </si>
  <si>
    <t>NOVER M. BATE</t>
  </si>
  <si>
    <t>Daisy D Bautista</t>
  </si>
  <si>
    <t>JEREMIAS RAÑOLA TUMAMAK</t>
  </si>
  <si>
    <t>Jude Thaddeus G. Paat</t>
  </si>
  <si>
    <t>James Molejon Repita</t>
  </si>
  <si>
    <t>Jeffreylhada Muallil Noor</t>
  </si>
  <si>
    <t>CITA I. COSTIMIANO</t>
  </si>
  <si>
    <t>Noriel G. Sanson</t>
  </si>
  <si>
    <t>MARY JOY LOPEZ VERGARA</t>
  </si>
  <si>
    <t>Jocelyn Laayon Mauting</t>
  </si>
  <si>
    <t>Candelaria Ubana Estremos</t>
  </si>
  <si>
    <t>Teresita L. Vitug</t>
  </si>
  <si>
    <t>Maria Linda Valdez Shih</t>
  </si>
  <si>
    <t>Corazon O. Julian</t>
  </si>
  <si>
    <t>Irma Mabilangan Marajas</t>
  </si>
  <si>
    <t>GINA D. ABENIO</t>
  </si>
  <si>
    <t>LENY ROSALES GALOS</t>
  </si>
  <si>
    <t>Lilioso Morgia Nunag</t>
  </si>
  <si>
    <t>Arturo Magallon Palencia</t>
  </si>
  <si>
    <t>Samson Barcellano Gonzales</t>
  </si>
  <si>
    <t>Paterno A Unajan</t>
  </si>
  <si>
    <t>Arlene N Nufuar</t>
  </si>
  <si>
    <t>ROGELIO S CARAMAT</t>
  </si>
  <si>
    <t>ALMIRA PINOL LAPASARAN</t>
  </si>
  <si>
    <t>VICTOR M. MOYA</t>
  </si>
  <si>
    <t>Govanne Marie Agudo</t>
  </si>
  <si>
    <t>Lourdes Añasco Solomon</t>
  </si>
  <si>
    <t>ROMER LOREZCA</t>
  </si>
  <si>
    <t>BERNARDITHA BOLINA MILLETE</t>
  </si>
  <si>
    <t>Manolito Magkilat Silagan</t>
  </si>
  <si>
    <t>Carlo Fernando G. Logarta</t>
  </si>
  <si>
    <t>NOEL RYAN H. UY</t>
  </si>
  <si>
    <t>Leah Rose Rañolas Apao</t>
  </si>
  <si>
    <t>Roda Dolores Franco</t>
  </si>
  <si>
    <t>MARIA IRMA PATRON RAMOS</t>
  </si>
  <si>
    <t>MARIA LOURDES PEREA TIANGCO</t>
  </si>
  <si>
    <t>Exiqueil Ponce Geraldo</t>
  </si>
  <si>
    <t>Lunrey B. Bagor</t>
  </si>
  <si>
    <t>Romarico J. Deona</t>
  </si>
  <si>
    <t>Delberlyn V. Punzalan</t>
  </si>
  <si>
    <t>PADILLA A. MACAWADIB</t>
  </si>
  <si>
    <t>Darius Brod Delalamon Pelismino</t>
  </si>
  <si>
    <t>Jennifer Mateo Hobrero</t>
  </si>
  <si>
    <t>Jay  Solima Subac</t>
  </si>
  <si>
    <t>Jan Mae Dayanghirang Llavore</t>
  </si>
  <si>
    <t>JENNY BEE HERBILLA RIVERA</t>
  </si>
  <si>
    <t>Elsa May Hinosolango De Pedro</t>
  </si>
  <si>
    <t>Juanito Gacanes Domingo</t>
  </si>
  <si>
    <t>Jhoannne A. Sales</t>
  </si>
  <si>
    <t>Aniceta Ganade Omapas</t>
  </si>
  <si>
    <t>RAYMUND M. DIAZ</t>
  </si>
  <si>
    <t>Joel Apoderado Cruz</t>
  </si>
  <si>
    <t>Jovito Bron Coderis, Jr.</t>
  </si>
  <si>
    <t>Lilybeth Delfin Langomez</t>
  </si>
  <si>
    <t>Maria Ritchie Saraga Olayra</t>
  </si>
  <si>
    <t>ROSAVILLA  COLANGCO  BALAZO</t>
  </si>
  <si>
    <t>Minda B Bardiano</t>
  </si>
  <si>
    <t>Riavida Macalolot Soriaga</t>
  </si>
  <si>
    <t>Ana Marie L. Tayag</t>
  </si>
  <si>
    <t>Marlyn Espina Abella</t>
  </si>
  <si>
    <t>TRIPON  MERCADO  CONDEZA</t>
  </si>
  <si>
    <t>Arjean Villacorta Jumamoy</t>
  </si>
  <si>
    <t>CONIE LOSARIA ESCALONA</t>
  </si>
  <si>
    <t>Maricel Iglesia Panistante</t>
  </si>
  <si>
    <t>Maria Juliana A. Toribio</t>
  </si>
  <si>
    <t>JOAN JUDE R. LOPEZ</t>
  </si>
  <si>
    <t>EFREN A BANGAYAN</t>
  </si>
  <si>
    <t>Angelica Santayana Asiao</t>
  </si>
  <si>
    <t>MARIE FRANCE VIC OLALO AGUINALDO</t>
  </si>
  <si>
    <t>Jenna Lumacang Cervantes</t>
  </si>
  <si>
    <t>Imelda  M. Fernandez</t>
  </si>
  <si>
    <t>Geminina Callada Fernando</t>
  </si>
  <si>
    <t>Noel  Maliwanag  Trajico</t>
  </si>
  <si>
    <t>Merly Jumao-as Omambac</t>
  </si>
  <si>
    <t>Inocente D Eijansantos</t>
  </si>
  <si>
    <t>Michell  Sanchez  Quilo</t>
  </si>
  <si>
    <t>Rizza Villena Dalisay</t>
  </si>
  <si>
    <t>Elnora Toledo Lariza</t>
  </si>
  <si>
    <t>Nedencio T. Macles and Rebecca M. Gadayan</t>
  </si>
  <si>
    <t>Ma. Yvonne  Domanais/ C Shalie  Coralde</t>
  </si>
  <si>
    <t>Jennifer  d Alcantara</t>
  </si>
  <si>
    <t>Maribeth P. Saberon</t>
  </si>
  <si>
    <t>Janis Trillanes Reyes</t>
  </si>
  <si>
    <t>Teresa Bolima</t>
  </si>
  <si>
    <t>Christopher Bañez Asuncion</t>
  </si>
  <si>
    <t>Crystine S. Puertellano</t>
  </si>
  <si>
    <t>Danilo Anggot Taucan</t>
  </si>
  <si>
    <t>Edmundo Alonzo Escape</t>
  </si>
  <si>
    <t>Cheryl Escoro Ortiz</t>
  </si>
  <si>
    <t>Dominador Zamboanga Mendiola Jr.</t>
  </si>
  <si>
    <t>PILAR RABINO VITTO</t>
  </si>
  <si>
    <t>BAC ILOCOS SUR</t>
  </si>
  <si>
    <t>Mary Joy Ignas Pedrero</t>
  </si>
  <si>
    <t>Ronald D. Elnar</t>
  </si>
  <si>
    <t>KATHRYN SANTIC ASUNCION</t>
  </si>
  <si>
    <t>Benson Empalmado</t>
  </si>
  <si>
    <t>Christian Quitoriano Doria</t>
  </si>
  <si>
    <t>Verlene Layaoen Melendez</t>
  </si>
  <si>
    <t>Enrique Nochebuena Mocling</t>
  </si>
  <si>
    <t>Paolo Crispino Casiñas Sucalit</t>
  </si>
  <si>
    <t>Meljun Señor Nerosa</t>
  </si>
  <si>
    <t>Anselmo Baldoza Mano</t>
  </si>
  <si>
    <t>Irene B Relato</t>
  </si>
  <si>
    <t>MARIVIC BINAG CORTEZ</t>
  </si>
  <si>
    <t>RICARDO BINENE FERNANDEZ</t>
  </si>
  <si>
    <t>Engr. Rodolfo Santos Nidoy, Jr. 1</t>
  </si>
  <si>
    <t>Annette Francisco Virtudazo</t>
  </si>
  <si>
    <t>Margie P Alanunay</t>
  </si>
  <si>
    <t>Joeper Hamlag Mendoza</t>
  </si>
  <si>
    <t>Edward Joevan R Romen</t>
  </si>
  <si>
    <t>Roland Cuenca Grijalvo</t>
  </si>
  <si>
    <t>George Sacdalan Mendoza</t>
  </si>
  <si>
    <t>Mary Minchelle Payabyab Dela Rosa</t>
  </si>
  <si>
    <t>EMA N RAFIL</t>
  </si>
  <si>
    <t>Myrna R. Caballero</t>
  </si>
  <si>
    <t>Teresita Maquiling De Veyra</t>
  </si>
  <si>
    <t>Rizaldy Colon Mercadal</t>
  </si>
  <si>
    <t>Ma. Cela Genio De Guzman</t>
  </si>
  <si>
    <t>MA. ANTONIA GATIL RAFALES</t>
  </si>
  <si>
    <t>Ellenietta H.M.V Gamolo</t>
  </si>
  <si>
    <t>Edgardo G Pamute</t>
  </si>
  <si>
    <t>Emma Gersan Apdian</t>
  </si>
  <si>
    <t>Merlinda Saligumba Baliong</t>
  </si>
  <si>
    <t>FERNANDO ORACION</t>
  </si>
  <si>
    <t>Zammuel Arellano Bernales</t>
  </si>
  <si>
    <t>charlemagne tupag noble</t>
  </si>
  <si>
    <t>Arvin S De Guzman</t>
  </si>
  <si>
    <t>Jeesson D Alamar</t>
  </si>
  <si>
    <t>Alvin Putulan Aceret</t>
  </si>
  <si>
    <t>Rosevi Virata Prodigalidad</t>
  </si>
  <si>
    <t>RAIMUNDA MATUOD LUMANTAS</t>
  </si>
  <si>
    <t>Joseph Villanueva Emboltorio</t>
  </si>
  <si>
    <t>MARIELLE SANDRA GAVIOLA</t>
  </si>
  <si>
    <t>Rolando L. Policios</t>
  </si>
  <si>
    <t>Shierralou Marie M. Gulfo</t>
  </si>
  <si>
    <t>Arnel V. Velonta</t>
  </si>
  <si>
    <t>Christopher M. Edjic</t>
  </si>
  <si>
    <t>DARIO K WAYAGWAG</t>
  </si>
  <si>
    <t>Sheila mae  Alpon  Carpentero</t>
  </si>
  <si>
    <t>Saturnino A. Bernales Jr</t>
  </si>
  <si>
    <t>Kris Mae D. Balorio</t>
  </si>
  <si>
    <t>Nerissa M. Tan</t>
  </si>
  <si>
    <t>FILIPINAS ESTRELLA RODELAS</t>
  </si>
  <si>
    <t>Perry N. Nava</t>
  </si>
  <si>
    <t>Engr. Joel Antonio</t>
  </si>
  <si>
    <t>Jose Ryan F Galon</t>
  </si>
  <si>
    <t>Maredith H. Julve</t>
  </si>
  <si>
    <t>Roel Jacob</t>
  </si>
  <si>
    <t>Glenda Labitigan Goti-ay</t>
  </si>
  <si>
    <t>Roderick Trangia Songahid</t>
  </si>
  <si>
    <t>Xavier Bugaoan Viloria</t>
  </si>
  <si>
    <t>CRISPIN AUSTRIA BATAC</t>
  </si>
  <si>
    <t>Ruel Cole Armodia</t>
  </si>
  <si>
    <t>Joshua Asturias Modina</t>
  </si>
  <si>
    <t>KAREEN A. ORDOÑA</t>
  </si>
  <si>
    <t>MARIAN JOY ABENDANIO CUNANAN</t>
  </si>
  <si>
    <t>Caryn Rose Dy Escobido</t>
  </si>
  <si>
    <t>Shajid Peter Sales Salih</t>
  </si>
  <si>
    <t>Montano J. Alob</t>
  </si>
  <si>
    <t>Armont C Pecina</t>
  </si>
  <si>
    <t>FE MARIE  BURLAT  GALUA</t>
  </si>
  <si>
    <t>Ria C. Agbulos</t>
  </si>
  <si>
    <t>Hannah F Artil</t>
  </si>
  <si>
    <t>Julita Alvarez Ragandang</t>
  </si>
  <si>
    <t>Menchu Tabay Zingapan</t>
  </si>
  <si>
    <t>Eny Bargo Ferriol</t>
  </si>
  <si>
    <t>Enrique Cruz</t>
  </si>
  <si>
    <t>EMMANUEL B. SARMIENTO</t>
  </si>
  <si>
    <t>Odessa Barba Tejada</t>
  </si>
  <si>
    <t>Raymond Ian Quevedo Conde</t>
  </si>
  <si>
    <t>Chona M. Halili</t>
  </si>
  <si>
    <t>Manuel Melis Ignacio</t>
  </si>
  <si>
    <t xml:space="preserve">Lee  Anthony Arriesgado </t>
  </si>
  <si>
    <t>Milagros Puyo Floirendo</t>
  </si>
  <si>
    <t>Catalino Arado Sumaylo</t>
  </si>
  <si>
    <t>Arnoldo A. Ramos Jr.</t>
  </si>
  <si>
    <t>Patricia Kaye Lorio Amate</t>
  </si>
  <si>
    <t>VINOSA LAT ROBLES</t>
  </si>
  <si>
    <t>EMIL RODRIGUEZ GANADEN</t>
  </si>
  <si>
    <t>Jacinto Guerta Ederosas</t>
  </si>
  <si>
    <t>EDELBERTO R. FRANCISCO</t>
  </si>
  <si>
    <t>Mary Jane Blanca Del Rosario</t>
  </si>
  <si>
    <t>CLIFTON GARETH NGODCHO FANG-ASAN</t>
  </si>
  <si>
    <t>Dexter Ramis Sarcon</t>
  </si>
  <si>
    <t>Romualdo Salud Intia</t>
  </si>
  <si>
    <t>Gumersindo Batac Barcenal</t>
  </si>
  <si>
    <t>RIZALDY L. MENDOZA</t>
  </si>
  <si>
    <t>Helen B. Olaer</t>
  </si>
  <si>
    <t>Sunny Ray F Amit</t>
  </si>
  <si>
    <t>Connie S De Leon</t>
  </si>
  <si>
    <t>Felton Xenox T. Inting</t>
  </si>
  <si>
    <t>Armando Guinar Simbano</t>
  </si>
  <si>
    <t>Bernard Bordon Delos Reyes</t>
  </si>
  <si>
    <t>Geoffrey P. Villahermosa</t>
  </si>
  <si>
    <t>NIDA BLASCO MIÑOZA</t>
  </si>
  <si>
    <t>Mark Anthony  Abalde  Alas</t>
  </si>
  <si>
    <t>MAJ GABRIEL D TAYKO (CE) PA</t>
  </si>
  <si>
    <t>APRIL JOY L. VILLA</t>
  </si>
  <si>
    <t>GODWIN XAVIER F. NUÑEZ</t>
  </si>
  <si>
    <t>LIZA SANGUENZA VILLAMOR</t>
  </si>
  <si>
    <t>Noli Feliciano Dinglasan</t>
  </si>
  <si>
    <t>Ramon Chito Mejia Terado</t>
  </si>
  <si>
    <t>Leonardo Duran Recabo</t>
  </si>
  <si>
    <t>Ms. Leah  Magatao  Abanacion</t>
  </si>
  <si>
    <t>Reynaldo Carbungco Esteves</t>
  </si>
  <si>
    <t>Rebecca A. Damasing</t>
  </si>
  <si>
    <t>Abigail Tabadero Alemania</t>
  </si>
  <si>
    <t>DIONISIO TORIBIO GOMANTI COSTES</t>
  </si>
  <si>
    <t>JOEBERT MESA</t>
  </si>
  <si>
    <t>Cristina Rico Tabunda</t>
  </si>
  <si>
    <t>JOMELYN V. BALDEVIESO</t>
  </si>
  <si>
    <t>Marites Cueto Borbon</t>
  </si>
  <si>
    <t>Aaron Joshua L. Reyes</t>
  </si>
  <si>
    <t>Ricardo Matining Maaño</t>
  </si>
  <si>
    <t>Glenn Infante Lansangan</t>
  </si>
  <si>
    <t>Vivien Soliven Tunac</t>
  </si>
  <si>
    <t>Mary Grace Garcia Soriano</t>
  </si>
  <si>
    <t>Ian Herodito Sy Gutierrez</t>
  </si>
  <si>
    <t>EMMA  JACOB  REYES</t>
  </si>
  <si>
    <t>Robert Romera Tolentino</t>
  </si>
  <si>
    <t>Mark Joseph Pitpit Dilan</t>
  </si>
  <si>
    <t>Mirasol Hortelano Suan</t>
  </si>
  <si>
    <t>Christian Macasaquit Colindres</t>
  </si>
  <si>
    <t>NEOPOLO JR. LACSON MANALOTO</t>
  </si>
  <si>
    <t>H. Ramadan H.Y Utuali</t>
  </si>
  <si>
    <t>Norman Jacob Gordonas</t>
  </si>
  <si>
    <t>Maria Morena Santos</t>
  </si>
  <si>
    <t>MARTINA B. ROSALES</t>
  </si>
  <si>
    <t>guillermo supilanas ardillo</t>
  </si>
  <si>
    <t>JOEL MERCADO MALIGAYA</t>
  </si>
  <si>
    <t>Phyl Andre Cruz</t>
  </si>
  <si>
    <t>MARY FE L. MONTANO</t>
  </si>
  <si>
    <t>Elmera Zabate Ebrada</t>
  </si>
  <si>
    <t>Florante O. Enriquez</t>
  </si>
  <si>
    <t>Lucia Iraida A Soneja</t>
  </si>
  <si>
    <t>Eddie Crisologo</t>
  </si>
  <si>
    <t>Nelson Moskito Merculio</t>
  </si>
  <si>
    <t>Cynthia Macenas Tumanut</t>
  </si>
  <si>
    <t>JANICE MAY ARCONES SERASPE</t>
  </si>
  <si>
    <t>Jomarilyn Francisco Estolano</t>
  </si>
  <si>
    <t>ARNEL ESQUILONA SUAL</t>
  </si>
  <si>
    <t>Maricel Mercado Domingo</t>
  </si>
  <si>
    <t>Andrea Velmonte Narra</t>
  </si>
  <si>
    <t>Ma. Shella S Cabrera</t>
  </si>
  <si>
    <t>Doreen A. Lugo</t>
  </si>
  <si>
    <t>Hezel Mae Camasura</t>
  </si>
  <si>
    <t>Jerald M Sevilla</t>
  </si>
  <si>
    <t>Edison Salawad Morales</t>
  </si>
  <si>
    <t>Warren Costales Garcia</t>
  </si>
  <si>
    <t>Jeanne A. Limas</t>
  </si>
  <si>
    <t>Federico III Daleno Rivero</t>
  </si>
  <si>
    <t>Prescilla Villar Libunao</t>
  </si>
  <si>
    <t>Cholie M. Roble</t>
  </si>
  <si>
    <t>Faustino Toradio</t>
  </si>
  <si>
    <t>Ruby S Cortez</t>
  </si>
  <si>
    <t>Jannette L. Fronda</t>
  </si>
  <si>
    <t>JOSEPH IRWIN ANGALOT LAGURA</t>
  </si>
  <si>
    <t>Eddie Richard Roa Lagnada</t>
  </si>
  <si>
    <t>Allen Mar P Antalan</t>
  </si>
  <si>
    <t>Marissa Gertos</t>
  </si>
  <si>
    <t>NIÑO L. SUSA</t>
  </si>
  <si>
    <t>Reynante Bayungan Salazar Sr.</t>
  </si>
  <si>
    <t>JANUS C COSEP</t>
  </si>
  <si>
    <t>Rhazel C. Rigoroso</t>
  </si>
  <si>
    <t>FERDINAND P. CAYETANO</t>
  </si>
  <si>
    <t>Maria Liezl Clam Gutang</t>
  </si>
  <si>
    <t>BENONE CAPILITAN JUMAWAN</t>
  </si>
  <si>
    <t>Edward Rumohr</t>
  </si>
  <si>
    <t>Ma.  Erowena V Soriano</t>
  </si>
  <si>
    <t>Mitchel E Zambrano</t>
  </si>
  <si>
    <t>John Carl F Lodevico</t>
  </si>
  <si>
    <t>Rodrhon Michael Espartero Melgar</t>
  </si>
  <si>
    <t>Al G Adla-on</t>
  </si>
  <si>
    <t>Mellany Millano Amaranto</t>
  </si>
  <si>
    <t>MARIA SOL FABELLA CASUNCAD</t>
  </si>
  <si>
    <t>Araceli Rogelio Lastra</t>
  </si>
  <si>
    <t>Reggie C Placido</t>
  </si>
  <si>
    <t>EDUARDO GIAN MATUGAS</t>
  </si>
  <si>
    <t>CLARIZA PELINO COBARRUBIAS</t>
  </si>
  <si>
    <t>Lyalin Alfaro Zapador</t>
  </si>
  <si>
    <t>KARLA MEI BASQUEZ TAGUBA</t>
  </si>
  <si>
    <t>Lalaine Ledesma Landicho</t>
  </si>
  <si>
    <t>MA. ESTRELLA MALAZA DAWAL</t>
  </si>
  <si>
    <t>Clarivel Ordonia Seguritan</t>
  </si>
  <si>
    <t>Augustines Jumawan Magsalay</t>
  </si>
  <si>
    <t>RAUL PANELO GALI</t>
  </si>
  <si>
    <t>EUGYN AGUILAR</t>
  </si>
  <si>
    <t>cecilia mata pinpin</t>
  </si>
  <si>
    <t>ATTY. AIKO ELENI NARIDA PALER</t>
  </si>
  <si>
    <t>LEONIDA LLURAG VALDEZ</t>
  </si>
  <si>
    <t>Jullanar Gani Abutazil</t>
  </si>
  <si>
    <t>Jerry A. Tango</t>
  </si>
  <si>
    <t>Dan Rommel Tonquin Gastala</t>
  </si>
  <si>
    <t>Arnulfo A. Adana</t>
  </si>
  <si>
    <t>daniel andaya ogana</t>
  </si>
  <si>
    <t>Rowena M. Torreflores</t>
  </si>
  <si>
    <t>JOVITO VISTAL TOLARESA</t>
  </si>
  <si>
    <t>Javier Serrano Bonafe</t>
  </si>
  <si>
    <t>Noel C. Mangkikis</t>
  </si>
  <si>
    <t>Jocelyn Maalat Torda</t>
  </si>
  <si>
    <t>Shiela L. Lacbayo</t>
  </si>
  <si>
    <t>Lynnette L. Vanzuela</t>
  </si>
  <si>
    <t>Glenn Centino Quinto</t>
  </si>
  <si>
    <t>Mary Joy Claveria Capones</t>
  </si>
  <si>
    <t>Julita A. Santos</t>
  </si>
  <si>
    <t>Emmalyn Telamo</t>
  </si>
  <si>
    <t>Jasmen Joguilon Pablo</t>
  </si>
  <si>
    <t>Gianina Punzalan Agir</t>
  </si>
  <si>
    <t>Bernadette Llacer Belleza</t>
  </si>
  <si>
    <t>Lourdes D Fraile</t>
  </si>
  <si>
    <t>Rhoda Apalla Viterbo</t>
  </si>
  <si>
    <t>Minerva N. Balde</t>
  </si>
  <si>
    <t>Marilyn De Paz Robedillo</t>
  </si>
  <si>
    <t>Rommel Aristotle Paraiso Varias</t>
  </si>
  <si>
    <t>Jamin Busa Bernal</t>
  </si>
  <si>
    <t>Diosdado Java Pachica</t>
  </si>
  <si>
    <t>Rosita Ednalig Lagang</t>
  </si>
  <si>
    <t>Aileene T Dagos</t>
  </si>
  <si>
    <t>Alvin Llaneta Macasinag</t>
  </si>
  <si>
    <t>Camille L Maraviles</t>
  </si>
  <si>
    <t>Rommel S Santos</t>
  </si>
  <si>
    <t>Lucita B. Macoy</t>
  </si>
  <si>
    <t>Kristine Meneses Torres</t>
  </si>
  <si>
    <t>Eugenio Gallo Reyes</t>
  </si>
  <si>
    <t>Jefferson Coruno</t>
  </si>
  <si>
    <t>Vincent A Isip</t>
  </si>
  <si>
    <t>JANNET EMILIA PIANG ARATUC</t>
  </si>
  <si>
    <t>JOAN PACALIOGA ABEJUELA</t>
  </si>
  <si>
    <t>Helen Baldos Abarico</t>
  </si>
  <si>
    <t>Rogelito Dumaicos Urbiztondo</t>
  </si>
  <si>
    <t>Reno John S. Tuale Sindingan Tuale</t>
  </si>
  <si>
    <t>arnel mendones moreno</t>
  </si>
  <si>
    <t>Lilian  Pacamalan  Uy</t>
  </si>
  <si>
    <t>Joyce De Vera</t>
  </si>
  <si>
    <t>LEODEGARIO, JR. ALAYON LABAO</t>
  </si>
  <si>
    <t>ROY F DELA CRUZ</t>
  </si>
  <si>
    <t>MA. THERESA SANTOS RAMOS</t>
  </si>
  <si>
    <t>Vivian M. Cuizon</t>
  </si>
  <si>
    <t>Petronio  C.  Tolentino</t>
  </si>
  <si>
    <t>Allan C Medico</t>
  </si>
  <si>
    <t>Dionesia B. Lagas</t>
  </si>
  <si>
    <t>Josephine Garcia Mercado</t>
  </si>
  <si>
    <t>Asuncion Asuncion Padre</t>
  </si>
  <si>
    <t>Joyce Valencia Magtolis</t>
  </si>
  <si>
    <t>ALVIN ANTHONY REQUINA ABUCEJO</t>
  </si>
  <si>
    <t>MEZACH Y BEDONA</t>
  </si>
  <si>
    <t>Miguelito A. Ogania</t>
  </si>
  <si>
    <t>MICHELL FAJARDO PADOHINOG</t>
  </si>
  <si>
    <t>Ricardo Alvarado Sanchez</t>
  </si>
  <si>
    <t>Rudolph Bornales Estrella</t>
  </si>
  <si>
    <t>Lolita M. Jumalon</t>
  </si>
  <si>
    <t>Maria Teresa Licon Sumagui</t>
  </si>
  <si>
    <t>EDNA S. MADRID</t>
  </si>
  <si>
    <t>JOHN CHRISTIAN MANAGAD SIOCO</t>
  </si>
  <si>
    <t>Nolly Adrian B. Gabule</t>
  </si>
  <si>
    <t>DIOSCORO PAMAUS MAHINAY</t>
  </si>
  <si>
    <t>Reynaldo R Dalogdog</t>
  </si>
  <si>
    <t>Rio Siong Bagundol</t>
  </si>
  <si>
    <t>RICHARD HOWITT LAW L. LAING</t>
  </si>
  <si>
    <t>Francorival Castanares Lorizo</t>
  </si>
  <si>
    <t>Chona Perez</t>
  </si>
  <si>
    <t>GRACE PONCE ARELLANO</t>
  </si>
  <si>
    <t>Catherine C Padin</t>
  </si>
  <si>
    <t>Mark Nikko Badiola</t>
  </si>
  <si>
    <t>Manuel, Jr. A Palasi</t>
  </si>
  <si>
    <t>Bill V. Segui</t>
  </si>
  <si>
    <t>Julie G Salvador</t>
  </si>
  <si>
    <t>Renel M. Malacapo</t>
  </si>
  <si>
    <t>DELMA C FERNANDEZ</t>
  </si>
  <si>
    <t>ALICIA RENTILLO JUGADO</t>
  </si>
  <si>
    <t>Charmaine Santos</t>
  </si>
  <si>
    <t>RUEL MARCA</t>
  </si>
  <si>
    <t>JOHN HORCASITAS GAMAD</t>
  </si>
  <si>
    <t>Venus Contreras Decena</t>
  </si>
  <si>
    <t>GRICELA ROSALES PENAMANTE</t>
  </si>
  <si>
    <t>Fleurdelis Caracut Quinto</t>
  </si>
  <si>
    <t>Mary Grace Sta. Elena</t>
  </si>
  <si>
    <t>Paula Bianca de Mesa</t>
  </si>
  <si>
    <t>Jorgen H. Buzon</t>
  </si>
  <si>
    <t>Marilyn Ulep Tolentino</t>
  </si>
  <si>
    <t>Arnaldo Panis Vallesfino</t>
  </si>
  <si>
    <t>FE T. GARCIA</t>
  </si>
  <si>
    <t>Estanislao V. Cayanan</t>
  </si>
  <si>
    <t>Elizabeth Gonzales Cabatingan</t>
  </si>
  <si>
    <t>Joannarie V. Bantolo</t>
  </si>
  <si>
    <t>ronvie pangilinan masangya</t>
  </si>
  <si>
    <t>Ninez B. Regalado</t>
  </si>
  <si>
    <t>SANTEE C ESPARES</t>
  </si>
  <si>
    <t>Maria Teresa Laurente Cerillo</t>
  </si>
  <si>
    <t>Franklin Lagdamen</t>
  </si>
  <si>
    <t>Renzo Iray De Leon</t>
  </si>
  <si>
    <t>Jeffrey F Zamora</t>
  </si>
  <si>
    <t>Remely Bangloy</t>
  </si>
  <si>
    <t>Annalee Alarcon Aguilar</t>
  </si>
  <si>
    <t>Alain Richard Diaz Rosales</t>
  </si>
  <si>
    <t>Joan DM Vendiola</t>
  </si>
  <si>
    <t>Tedler Jr. H. Depaynos</t>
  </si>
  <si>
    <t>LILIA E PINEDA</t>
  </si>
  <si>
    <t>Honey Mae Rosete Ruiz</t>
  </si>
  <si>
    <t>Mobarak Patungcal Pandi</t>
  </si>
  <si>
    <t>Jeffrey Celis Magadan</t>
  </si>
  <si>
    <t>KARYL MAIDY B. LORENZO</t>
  </si>
  <si>
    <t>Jumdail Mohamad Kiram</t>
  </si>
  <si>
    <t>Monaliza Aquino Galvez</t>
  </si>
  <si>
    <t>Jahra Amiry Narciso</t>
  </si>
  <si>
    <t>JESSIE A. PASCUA</t>
  </si>
  <si>
    <t>VICTORIA LAGUNA SUMALDE</t>
  </si>
  <si>
    <t>ANTONIO  C.  VALE</t>
  </si>
  <si>
    <t>Mars Z Julian</t>
  </si>
  <si>
    <t>Rosebella Padura Martinez</t>
  </si>
  <si>
    <t>Alarico L Ramos</t>
  </si>
  <si>
    <t>Remelyn Baltazar Tolenada</t>
  </si>
  <si>
    <t>Lily Opano Tuiza</t>
  </si>
  <si>
    <t>Airen  Abejuro Delfin</t>
  </si>
  <si>
    <t>Lea Echavez Sabaduquia</t>
  </si>
  <si>
    <t>Archie F. Yu</t>
  </si>
  <si>
    <t>Edilberto Calerio Febria</t>
  </si>
  <si>
    <t>Doreen Madriguera Santerva</t>
  </si>
  <si>
    <t>Jayson Barbara Florendo</t>
  </si>
  <si>
    <t>Agnes Badilla Martino</t>
  </si>
  <si>
    <t>Hermosa G. Ramirez</t>
  </si>
  <si>
    <t>HELDJOAN LICAYAN</t>
  </si>
  <si>
    <t>Lorielin M. Lanot</t>
  </si>
  <si>
    <t>Ronette Pangan Arban</t>
  </si>
  <si>
    <t>Richard Pornorlles Say-a</t>
  </si>
  <si>
    <t>Emma Linda Impang Arano</t>
  </si>
  <si>
    <t>Ronnie James Palattao Badeo</t>
  </si>
  <si>
    <t>James Escamillas Laredo</t>
  </si>
  <si>
    <t>Malou Enero</t>
  </si>
  <si>
    <t>JOSEPHINE ANTONES BALOSO</t>
  </si>
  <si>
    <t>Alwin M. Uy</t>
  </si>
  <si>
    <t>Beatriz Dumapay Pascual</t>
  </si>
  <si>
    <t>Jessa Bello Recto</t>
  </si>
  <si>
    <t>Jayson Sierra Andaya</t>
  </si>
  <si>
    <t>Arlene Radam Ureta</t>
  </si>
  <si>
    <t>John Moses Bulahan Aposaga</t>
  </si>
  <si>
    <t>Geraldine Anievas</t>
  </si>
  <si>
    <t>Jeruel Verra Go</t>
  </si>
  <si>
    <t>Renejene M. Umali</t>
  </si>
  <si>
    <t>Marie Ann Cristobal Leoncio</t>
  </si>
  <si>
    <t>PAMELA AMOR ACTUB RAMOS</t>
  </si>
  <si>
    <t>Arlene Sorila Estrera</t>
  </si>
  <si>
    <t>Librada Laxamana Inductivo</t>
  </si>
  <si>
    <t>Lydia A. Gonzales</t>
  </si>
  <si>
    <t>Relita Rivera Cardenas</t>
  </si>
  <si>
    <t>Jayson Ray Lorenzo Bartolome</t>
  </si>
  <si>
    <t>RANDY R MALIWAT</t>
  </si>
  <si>
    <t>ROSEMARIE LOFRANCO MALIAO</t>
  </si>
  <si>
    <t>Herbie B De Lemios</t>
  </si>
  <si>
    <t>Mark Jason F. Malgapo</t>
  </si>
  <si>
    <t>Richard Angel M. Arboleda</t>
  </si>
  <si>
    <t>BUENA PELOTIN ROMO</t>
  </si>
  <si>
    <t>Edwin Delos Santos Maliksi</t>
  </si>
  <si>
    <t>Vanessa A Dela Torre</t>
  </si>
  <si>
    <t>Ruth B. Tinay</t>
  </si>
  <si>
    <t>NONIELYN CABRERA RONQUILLO</t>
  </si>
  <si>
    <t>Rose Anne Mana Andaya</t>
  </si>
  <si>
    <t>REYMA SALVADOR CABITLA</t>
  </si>
  <si>
    <t>Clark Wendell P Lising</t>
  </si>
  <si>
    <t>Adel L. Mangaliag</t>
  </si>
  <si>
    <t>Sarip Norislami A. Ampatuan</t>
  </si>
  <si>
    <t>SALVADOR TIPO</t>
  </si>
  <si>
    <t>Wee Villaver</t>
  </si>
  <si>
    <t>Shoraida Titiban Renabor</t>
  </si>
  <si>
    <t>Genelyn Hilario Sazon</t>
  </si>
  <si>
    <t>NILCE D JAVIER</t>
  </si>
  <si>
    <t>Mafelle Rombide Causing</t>
  </si>
  <si>
    <t>Catalino B De Jesus</t>
  </si>
  <si>
    <t>Ivan Cruz</t>
  </si>
  <si>
    <t>Joel Liban Dubla</t>
  </si>
  <si>
    <t>ATTY. NICHOLAS S. MARASIGAN</t>
  </si>
  <si>
    <t>Elmer O Macalma</t>
  </si>
  <si>
    <t>Liza Villanueva Ybarsabal</t>
  </si>
  <si>
    <t>ALEX R SERNA</t>
  </si>
  <si>
    <t>GLORIA RELOS BAUTISTA</t>
  </si>
  <si>
    <t>Laurence Joseph Reyes Tadiar</t>
  </si>
  <si>
    <t>ARLENE SUGALAN GUIMBA</t>
  </si>
  <si>
    <t>Gerry G Jucar</t>
  </si>
  <si>
    <t>Melanie Claire Pasion Singzon</t>
  </si>
  <si>
    <t>Vilma Dar Mosqueda</t>
  </si>
  <si>
    <t>Rene E Maning</t>
  </si>
  <si>
    <t>Kenneth Coilan Luma-ang</t>
  </si>
  <si>
    <t>Franklin Aquino Salcedo</t>
  </si>
  <si>
    <t>Gracianito Lara Lucero</t>
  </si>
  <si>
    <t>joy ogarte rodriguez</t>
  </si>
  <si>
    <t>Ronnie D. Morante</t>
  </si>
  <si>
    <t>Maria Alma O Almazan</t>
  </si>
  <si>
    <t>JOVY FLORES GUMBAN</t>
  </si>
  <si>
    <t>Rojedy Arroyo Castro</t>
  </si>
  <si>
    <t>MARICHELLE FERRER</t>
  </si>
  <si>
    <t>Blesilda P. Makabali</t>
  </si>
  <si>
    <t>Hilario Yoshy Casem</t>
  </si>
  <si>
    <t>Lorena Narvasa Igcalinos</t>
  </si>
  <si>
    <t>Ouija Soberon Brillo</t>
  </si>
  <si>
    <t>Yvonne Faye Aznar Omana</t>
  </si>
  <si>
    <t>Joseph Romaquira Gomez</t>
  </si>
  <si>
    <t>Melba Dapulag Mondigo</t>
  </si>
  <si>
    <t>ELENA LOMOLJO BARBON</t>
  </si>
  <si>
    <t>Nestor Anunciacion Lopez</t>
  </si>
  <si>
    <t>CONSUELO R. GEDUSPAN</t>
  </si>
  <si>
    <t>Vladimir Prado Torres</t>
  </si>
  <si>
    <t>Duannie Chico Gonzales</t>
  </si>
  <si>
    <t>MARIFE FRUELDA</t>
  </si>
  <si>
    <t>Donald Glenn M Lanzado</t>
  </si>
  <si>
    <t>LEVY H. LAGUTIN, JR.</t>
  </si>
  <si>
    <t>Mariz  Lapid  Onchengco</t>
  </si>
  <si>
    <t>Edelina Baruso Espejo</t>
  </si>
  <si>
    <t>Ernesto DC. Enguero, Jr.</t>
  </si>
  <si>
    <t>EMILIANA D. RUSTIA</t>
  </si>
  <si>
    <t>Angelo Senin Bugarin</t>
  </si>
  <si>
    <t>Emilyn Galicia Magracia</t>
  </si>
  <si>
    <t>Andrew Ian Bulda Dormitorio</t>
  </si>
  <si>
    <t>Katrine Natanauan Martinez</t>
  </si>
  <si>
    <t>Jim Benzon R. Talavera</t>
  </si>
  <si>
    <t>Fatnuhalda Abarrondo Samparani</t>
  </si>
  <si>
    <t>Bartolome  Carolino Cacho</t>
  </si>
  <si>
    <t>ERWIN A. ESPINAS</t>
  </si>
  <si>
    <t>RANDY R. LIGSANAN</t>
  </si>
  <si>
    <t>Marilyn Macawili Torena</t>
  </si>
  <si>
    <t>Ryan Ibrado Bonghanoy</t>
  </si>
  <si>
    <t>Noli P Apostol</t>
  </si>
  <si>
    <t>JONATHAN ARENAS MIRANDA</t>
  </si>
  <si>
    <t>Marc P Salaguban</t>
  </si>
  <si>
    <t>Lyn Latag Mistas</t>
  </si>
  <si>
    <t>Rolando Veronilla Pe</t>
  </si>
  <si>
    <t>JULIUS EFREN CEPEDA CANAPI</t>
  </si>
  <si>
    <t>Melona Susana Guanzon</t>
  </si>
  <si>
    <t>Reynilo D Garcia</t>
  </si>
  <si>
    <t>MANUEL TEGIO CATUDAY</t>
  </si>
  <si>
    <t>Carmilo E Monterona</t>
  </si>
  <si>
    <t>Samuel Albino Fuertes</t>
  </si>
  <si>
    <t>Peter Hendrix Lisboa Alcantara</t>
  </si>
  <si>
    <t>BAC Secretariat</t>
  </si>
  <si>
    <t>Cynthia Cañeda Ocaña</t>
  </si>
  <si>
    <t>Cherie Gil Golong Tagana</t>
  </si>
  <si>
    <t>Jenny Igsoc  Calejesan</t>
  </si>
  <si>
    <t>Nessa Esporma Acolentaba</t>
  </si>
  <si>
    <t>Nydia R. Magallon</t>
  </si>
  <si>
    <t>Aurelia  S.  Bernasol</t>
  </si>
  <si>
    <t>JHOANNA RATIFICAR YANGCO</t>
  </si>
  <si>
    <t>Nick Longga Bio</t>
  </si>
  <si>
    <t>Jaime B Merquita Jr.</t>
  </si>
  <si>
    <t>KAREN SOSMEÑA TENEBRO</t>
  </si>
  <si>
    <t>ANINA RAMOS</t>
  </si>
  <si>
    <t>NIEVES HOSENA FIGUEROA</t>
  </si>
  <si>
    <t>Renato S. Galang</t>
  </si>
  <si>
    <t>Romeo Jr. S Yacan</t>
  </si>
  <si>
    <t>Almae  Villarmia Arquiza</t>
  </si>
  <si>
    <t>Cesario  A.  Pasicolan</t>
  </si>
  <si>
    <t>Monina Luceño Almodiel</t>
  </si>
  <si>
    <t>Ronville Mejica Muego</t>
  </si>
  <si>
    <t>ARNEL CRIZALDO CAPILA</t>
  </si>
  <si>
    <t>DIOSDADO A. PAULE</t>
  </si>
  <si>
    <t>Benito C. Procia</t>
  </si>
  <si>
    <t>elma supas almario</t>
  </si>
  <si>
    <t>Romulo Junasa Galleto, Jr.</t>
  </si>
  <si>
    <t>Eden F Borja</t>
  </si>
  <si>
    <t>Rogie A Sion</t>
  </si>
  <si>
    <t>Leny Joy Banasing Liu</t>
  </si>
  <si>
    <t>Ademar R de Castro</t>
  </si>
  <si>
    <t>JARRATUL  SABARA  RADJID</t>
  </si>
  <si>
    <t>JANERIE V. OCTAVIO</t>
  </si>
  <si>
    <t>Jose Nolito Castor Tomulto</t>
  </si>
  <si>
    <t>Wilson C. Rosario</t>
  </si>
  <si>
    <t>Resette Hernandez Razon</t>
  </si>
  <si>
    <t>VALENTE MICLAT HALILI</t>
  </si>
  <si>
    <t>Danilo Ragudo Rafanan</t>
  </si>
  <si>
    <t>Clark Benzon Lobo Casuco</t>
  </si>
  <si>
    <t>Rosemarie Duque Mollaneda</t>
  </si>
  <si>
    <t>Zaldy Omisol Dequito</t>
  </si>
  <si>
    <t>Irene G. Frani</t>
  </si>
  <si>
    <t>DENNIS MARTILLANO JAMBALOS</t>
  </si>
  <si>
    <t>Desiderio Estillore Gudia Jr.</t>
  </si>
  <si>
    <t>Frencis Panganiban Tiu Rivera</t>
  </si>
  <si>
    <t>Orea Attiwan</t>
  </si>
  <si>
    <t>Erwin Mendoza Punzalan</t>
  </si>
  <si>
    <t>PERPETUA MACABABBAD ONATE</t>
  </si>
  <si>
    <t>Julie Ann Dizon Malig</t>
  </si>
  <si>
    <t>Mr. Jesus Hermelo Clarence  Decena  Sena</t>
  </si>
  <si>
    <t>CICERO DY CLARO</t>
  </si>
  <si>
    <t>CONCORDIA LACRE GALAGAR</t>
  </si>
  <si>
    <t>FERDINAND YU RICABLANCA</t>
  </si>
  <si>
    <t>Oliver Nobles Casincad</t>
  </si>
  <si>
    <t>Elizabeth Dioco Sunga</t>
  </si>
  <si>
    <t>Roel Galang Villanueva</t>
  </si>
  <si>
    <t>Blessilda May S.  Angeles</t>
  </si>
  <si>
    <t>Shella Marie Ilig De Vera</t>
  </si>
  <si>
    <t>WILBERTO O. CASTILLO</t>
  </si>
  <si>
    <t>ERLINDA F. MANIPON</t>
  </si>
  <si>
    <t>ADA VERONICA C. GRECIA</t>
  </si>
  <si>
    <t>Giovanne Tan  Lim</t>
  </si>
  <si>
    <t>Manuel D. Flores</t>
  </si>
  <si>
    <t>Antonio F. Zoleta</t>
  </si>
  <si>
    <t>Joseph Bustamante Calvo</t>
  </si>
  <si>
    <t>Roberto Flores</t>
  </si>
  <si>
    <t>Maricel  Abonado  Pailago</t>
  </si>
  <si>
    <t>SALVADOR P ACEBUCHE</t>
  </si>
  <si>
    <t>ANNA MARIE L. MUNDIN</t>
  </si>
  <si>
    <t>MERLA ARAMBURO REVECHE</t>
  </si>
  <si>
    <t>Lani Pabalan Magno</t>
  </si>
  <si>
    <t>Eleanor Obusan Magana</t>
  </si>
  <si>
    <t>Ma. Rosalina Isla Lazaro</t>
  </si>
  <si>
    <t>Regalado Ayap Luistro</t>
  </si>
  <si>
    <t>IVY COSTALES VALENCIA</t>
  </si>
  <si>
    <t>Allen Villanueva Teves</t>
  </si>
  <si>
    <t>Melany  Ogayre  Miao</t>
  </si>
  <si>
    <t>Rowena Fontilo Gutierrez</t>
  </si>
  <si>
    <t>Rodrigo Aquino Mangayao</t>
  </si>
  <si>
    <t>Mary Jane  Cabreros</t>
  </si>
  <si>
    <t>LAMLI DAGUNDOL DULUNAN</t>
  </si>
  <si>
    <t>Cecelle Mainit Laroga</t>
  </si>
  <si>
    <t>Ryan Chester G. Fong</t>
  </si>
  <si>
    <t>KARLEEN R. DESTURA</t>
  </si>
  <si>
    <t>Engr. Anastacio Cuares Pol</t>
  </si>
  <si>
    <t>SHEILA FIEL LEONA</t>
  </si>
  <si>
    <t>MARY ANN M. LUISTRO</t>
  </si>
  <si>
    <t>Princess dela Cruz</t>
  </si>
  <si>
    <t>Alicia  Fabro Vinluan</t>
  </si>
  <si>
    <t>Amelia Ygusguiza Barrogo</t>
  </si>
  <si>
    <t>LIZA PAMA GUMBAN</t>
  </si>
  <si>
    <t>Nemensio T Benoza</t>
  </si>
  <si>
    <t>Jennita V Garcia</t>
  </si>
  <si>
    <t>ARMANDO DAVID SEMILLA</t>
  </si>
  <si>
    <t>Glenn Salac Sarador</t>
  </si>
  <si>
    <t>HELEN M PORTE</t>
  </si>
  <si>
    <t>Marietta Abuan Graciano</t>
  </si>
  <si>
    <t>Jonathan H Loresca</t>
  </si>
  <si>
    <t>Mary Ann Vasquez Alvarez</t>
  </si>
  <si>
    <t>Marilou L. Morales</t>
  </si>
  <si>
    <t>Vina Liza Ruth Cabrera</t>
  </si>
  <si>
    <t>ENGR. EPIFANIO CAGANDE BAGHUCAN</t>
  </si>
  <si>
    <t>JUBERT  D.  TUTOR</t>
  </si>
  <si>
    <t>Maria Fe De Guzman Toledo</t>
  </si>
  <si>
    <t>Jenelyn Capilitan Soria</t>
  </si>
  <si>
    <t>rodrigo burio olano</t>
  </si>
  <si>
    <t>Shirley L De Guzman</t>
  </si>
  <si>
    <t>Gallardo G Guerrero</t>
  </si>
  <si>
    <t>HERIBERTO AROCENA TOMAS</t>
  </si>
  <si>
    <t>LANI BAYLON YURONG</t>
  </si>
  <si>
    <t>ROSEJOY TUAPEN MONTEJO</t>
  </si>
  <si>
    <t>Ian Luis C Aguila</t>
  </si>
  <si>
    <t>Cynthia De Chavez Perez</t>
  </si>
  <si>
    <t>Lorna G. Bugayong</t>
  </si>
  <si>
    <t>JOSE L MANZANO</t>
  </si>
  <si>
    <t>Franklin J. Legaspi</t>
  </si>
  <si>
    <t>Wulfranie Jr. M. Pascua</t>
  </si>
  <si>
    <t>JULIUS RONALD RIVERA</t>
  </si>
  <si>
    <t>Edward Doctor Carillo</t>
  </si>
  <si>
    <t>Rommel Geraldizo Bendicion</t>
  </si>
  <si>
    <t>Kathyleen Dulnuan Marcelo (2nd Account)</t>
  </si>
  <si>
    <t>Reden Aguilar Mallare</t>
  </si>
  <si>
    <t>Caren N. Songcuya</t>
  </si>
  <si>
    <t>EMMA RUTH LOPEZ FLORES</t>
  </si>
  <si>
    <t>Fernando De Guzman Cruz</t>
  </si>
  <si>
    <t>Riza Ortez Muanag</t>
  </si>
  <si>
    <t>MARILOU Z. DE MESA</t>
  </si>
  <si>
    <t>LOUELLA ANDREA DE LEON DUNGO</t>
  </si>
  <si>
    <t>Rogel Canico Lopez</t>
  </si>
  <si>
    <t>REGIE BAES AGNO</t>
  </si>
  <si>
    <t>Gloria Superable Papa</t>
  </si>
  <si>
    <t>REY ANN AGOSTO ERES</t>
  </si>
  <si>
    <t>Donell Mark  Francisco Baranda</t>
  </si>
  <si>
    <t>RONNA BALLARES TRABADO</t>
  </si>
  <si>
    <t>ROGIELYN C SANCHEZ</t>
  </si>
  <si>
    <t>Rhodora Dela Peña Amador</t>
  </si>
  <si>
    <t>JOSELITO T ARAO</t>
  </si>
  <si>
    <t>Russell C Narte</t>
  </si>
  <si>
    <t>Marcus Andico Cupino</t>
  </si>
  <si>
    <t>Teresa A. Macapanas</t>
  </si>
  <si>
    <t>Noel A Sillan</t>
  </si>
  <si>
    <t>Marjorie G Diño</t>
  </si>
  <si>
    <t>adelfa  cerilla  ramos</t>
  </si>
  <si>
    <t>Paul Joseph  Yen Reyes</t>
  </si>
  <si>
    <t>MARITES BERINGUELA DIONES</t>
  </si>
  <si>
    <t>Maria Rachel Panti Gonzales</t>
  </si>
  <si>
    <t>BYRON PAMATONG PATAG</t>
  </si>
  <si>
    <t>Lilibeth B. Aringo</t>
  </si>
  <si>
    <t>Rosario Tadeo Yturralde</t>
  </si>
  <si>
    <t>Roxanne O. Valenzuela</t>
  </si>
  <si>
    <t>Marissa Taguba Veranga</t>
  </si>
  <si>
    <t>Abigae Villa  Celo</t>
  </si>
  <si>
    <t>Princess Davis Bonifacio</t>
  </si>
  <si>
    <t>Gerry Celso Catchillar, Ed.D.</t>
  </si>
  <si>
    <t>Rachelle De Guzman Agpoon</t>
  </si>
  <si>
    <t>NELSON E GERON</t>
  </si>
  <si>
    <t>JESSICA ACOLENTAVA OTIC</t>
  </si>
  <si>
    <t>Elmer Foronda Acoba</t>
  </si>
  <si>
    <t>Alexander M. Almario</t>
  </si>
  <si>
    <t>Esterlina I. Gamez</t>
  </si>
  <si>
    <t>DIOMEDES V BONALOS</t>
  </si>
  <si>
    <t>ZENAIDA A MALLILLIN</t>
  </si>
  <si>
    <t>Joy M Rivera</t>
  </si>
  <si>
    <t>Norberto San Antonio Corpuz Jr.</t>
  </si>
  <si>
    <t>Raymond B. Mojares</t>
  </si>
  <si>
    <t>Arlene A Amen</t>
  </si>
  <si>
    <t>Roseanne Venessa J Ratunil</t>
  </si>
  <si>
    <t>RENE  ASTRERA  SAYNES</t>
  </si>
  <si>
    <t>JESUS AGUDA VERACION</t>
  </si>
  <si>
    <t>Gloria G. Delos Reyes</t>
  </si>
  <si>
    <t>ENGR. JERICK D. ORLANES</t>
  </si>
  <si>
    <t>Jed F. Fajarit</t>
  </si>
  <si>
    <t>Corazon Martinez Fronda</t>
  </si>
  <si>
    <t>Asnawi Ramos Dalidig</t>
  </si>
  <si>
    <t>KRISTINE KAY T BALINGBING</t>
  </si>
  <si>
    <t>Ma. Twinkle G Mercader</t>
  </si>
  <si>
    <t>JENETTE GERONIMO GADO</t>
  </si>
  <si>
    <t>JEROME SERDEÑA CATAMIO</t>
  </si>
  <si>
    <t>REBECCA CALUAG LOPEZ</t>
  </si>
  <si>
    <t>Ladislao  Gumboc  Flores</t>
  </si>
  <si>
    <t>MARY FAMILLE PORTILLO IPAW</t>
  </si>
  <si>
    <t>REINA MECHELLE ARANAN RENTUTAR</t>
  </si>
  <si>
    <t>Aldy B Novo</t>
  </si>
  <si>
    <t>Napoleon C Bascon</t>
  </si>
  <si>
    <t>Melanio B. De vera</t>
  </si>
  <si>
    <t>Wilfredo Parrel Castro</t>
  </si>
  <si>
    <t>Henedina F. Monteras</t>
  </si>
  <si>
    <t>Ronaldo Serapion Manila</t>
  </si>
  <si>
    <t>Danny Rodriguez</t>
  </si>
  <si>
    <t>Isaac T. Bangcaya</t>
  </si>
  <si>
    <t>Jocelyn V. Estero</t>
  </si>
  <si>
    <t>Aleli Arconado Locsin</t>
  </si>
  <si>
    <t>William A. Lopez</t>
  </si>
  <si>
    <t>RODOLFO ARCILLA GONZALES</t>
  </si>
  <si>
    <t>Gil Caricungan Casuga</t>
  </si>
  <si>
    <t>SCHERJAN MOOSA C. IBRAHIM</t>
  </si>
  <si>
    <t>NATHALIE C. MIANO</t>
  </si>
  <si>
    <t>MELLY S. MALUNES</t>
  </si>
  <si>
    <t>Carol S Coloma</t>
  </si>
  <si>
    <t>Marietta Maata Cortes</t>
  </si>
  <si>
    <t>Wennie S. Angit</t>
  </si>
  <si>
    <t>Joey  L.  Reyes</t>
  </si>
  <si>
    <t>Redentor Curate</t>
  </si>
  <si>
    <t>Maricel A Sanchez</t>
  </si>
  <si>
    <t>JASMINE I. GAOGAO</t>
  </si>
  <si>
    <t>Algen Grejalvo Rasco</t>
  </si>
  <si>
    <t>Stanley Castro Ramirez</t>
  </si>
  <si>
    <t>Maribe Ballaran Diwata</t>
  </si>
  <si>
    <t>ANGELA C JESALVA</t>
  </si>
  <si>
    <t>Bethy Jane Muli Dulay</t>
  </si>
  <si>
    <t>MA. REINA SIEGA ACEVEDO</t>
  </si>
  <si>
    <t>Freddie Oben Tomines</t>
  </si>
  <si>
    <t>David Calayeg Lumaang</t>
  </si>
  <si>
    <t>Jose Alcantara Clarion, Jr.</t>
  </si>
  <si>
    <t>Irene Sy Banzuelo</t>
  </si>
  <si>
    <t>Eva D. Bañares</t>
  </si>
  <si>
    <t>MICHAEL P DUQUEZ</t>
  </si>
  <si>
    <t>Geovanni Alfon Hera</t>
  </si>
  <si>
    <t>Joel B Sumugat</t>
  </si>
  <si>
    <t>ALLAN P. RAMBANO</t>
  </si>
  <si>
    <t>Victorio B Cabatay</t>
  </si>
  <si>
    <t>Virgilio Bullen Damasing</t>
  </si>
  <si>
    <t>Perfecto B Taduran</t>
  </si>
  <si>
    <t>ANALYN BOGOY QUILANG</t>
  </si>
  <si>
    <t>Toni Rose D Juera</t>
  </si>
  <si>
    <t>Rene P Quezada</t>
  </si>
  <si>
    <t>Lurline Merencillo Tongco</t>
  </si>
  <si>
    <t>PEPITO DICTAAN AMOYEN</t>
  </si>
  <si>
    <t>Teresita C. Suralta</t>
  </si>
  <si>
    <t>Cresenciano J Yu</t>
  </si>
  <si>
    <t>Rowena T. Quiambao</t>
  </si>
  <si>
    <t>Winston Rudio Julio</t>
  </si>
  <si>
    <t>Chari Rose Mozol Apit</t>
  </si>
  <si>
    <t>Anthony A. Ferrolino</t>
  </si>
  <si>
    <t>Jocelyn L. Rey</t>
  </si>
  <si>
    <t>Mary Grace Lamadora Villacote</t>
  </si>
  <si>
    <t>Kathlyn Elynor C. Ericta</t>
  </si>
  <si>
    <t>Michelle Retamar Roldan</t>
  </si>
  <si>
    <t>Cresenciano Jr. Loquingan Bernal</t>
  </si>
  <si>
    <t>Joel Cabuena Bautista</t>
  </si>
  <si>
    <t>Juliet Franesa S Aton</t>
  </si>
  <si>
    <t>Susan Dela Cruz</t>
  </si>
  <si>
    <t>Nelia Verano Alguno</t>
  </si>
  <si>
    <t>JULIE Q. ECONAR</t>
  </si>
  <si>
    <t>Nica Louise Quirante Eleazar</t>
  </si>
  <si>
    <t>Jamaica B. Balubal</t>
  </si>
  <si>
    <t>Melvin Darisan Grandia</t>
  </si>
  <si>
    <t>Teresita Aquino Pabalan</t>
  </si>
  <si>
    <t>Joan Carillo Adolfo</t>
  </si>
  <si>
    <t>Maricris Albarico Pasia</t>
  </si>
  <si>
    <t>GLEIN G. CEZAR</t>
  </si>
  <si>
    <t>Fe R Manuales</t>
  </si>
  <si>
    <t>Salvador Guades Basa</t>
  </si>
  <si>
    <t>MARIA LYLIBETH ROSLINDA</t>
  </si>
  <si>
    <t>Nome R. Ricalde</t>
  </si>
  <si>
    <t>MILROSE  L OMADLE</t>
  </si>
  <si>
    <t>Reymar Constantino Razon</t>
  </si>
  <si>
    <t>BUENAVENTURA ALEJANDRO GALINDO</t>
  </si>
  <si>
    <t>LEILANI BACALE CASIMPAN</t>
  </si>
  <si>
    <t>Eddie Marquez Preposi</t>
  </si>
  <si>
    <t>Mhelda Grace Leyma</t>
  </si>
  <si>
    <t>Jane Clarish A. Amante</t>
  </si>
  <si>
    <t>WILLIE B COLON</t>
  </si>
  <si>
    <t>Sergio De Guzman Ramirez</t>
  </si>
  <si>
    <t>Ebenezer Presentacion Presentacion</t>
  </si>
  <si>
    <t>Beverly O. Sabdani</t>
  </si>
  <si>
    <t>Moises B.  Aquino</t>
  </si>
  <si>
    <t>Arsenio T. Cornites, Jr.</t>
  </si>
  <si>
    <t>Corazon Barrientos Pagayona</t>
  </si>
  <si>
    <t>Reno C Salazar</t>
  </si>
  <si>
    <t>Merle V. Julian</t>
  </si>
  <si>
    <t>LETICIA TIMAGOS OLIVER</t>
  </si>
  <si>
    <t>Nymia T. Chavez</t>
  </si>
  <si>
    <t>Christian Garganza Ortega</t>
  </si>
  <si>
    <t>Harvey C Jumawan</t>
  </si>
  <si>
    <t>Natalie Tinao Caparas</t>
  </si>
  <si>
    <t>FEDERICO J. GOTICO III</t>
  </si>
  <si>
    <t>REY GONZALES BAUTISTA</t>
  </si>
  <si>
    <t>Norma Mingo Monisit</t>
  </si>
  <si>
    <t>Mildred v. Fernando</t>
  </si>
  <si>
    <t>Alfredo D Nisperos</t>
  </si>
  <si>
    <t>Warren Lantaco Escosar</t>
  </si>
  <si>
    <t>Artemio Paubsanon Ticar</t>
  </si>
  <si>
    <t>Lucil I Montermoso</t>
  </si>
  <si>
    <t>PHILIP NERI B GUIRIBA</t>
  </si>
  <si>
    <t>Anthony Balbuena Lozada</t>
  </si>
  <si>
    <t>Jannes Detablan Cantones</t>
  </si>
  <si>
    <t>Ferdie Mar S Balungay</t>
  </si>
  <si>
    <t>Mark Anthony Cuison Lopez</t>
  </si>
  <si>
    <t>Rose Mary M Supremo</t>
  </si>
  <si>
    <t>Maria Andrea Carvajal Tiong</t>
  </si>
  <si>
    <t>Gladys Amylaine Dechavez Sales</t>
  </si>
  <si>
    <t>Cecilia O. Delos Reyes</t>
  </si>
  <si>
    <t>Ma. Elma Solangon Alapre</t>
  </si>
  <si>
    <t>Mervin Fuentes Baula</t>
  </si>
  <si>
    <t>Jessie B Gaviola</t>
  </si>
  <si>
    <t>ESTRELLA T. SAPURAS</t>
  </si>
  <si>
    <t>Joseph Aldrin De Silva Magtanong</t>
  </si>
  <si>
    <t>Kris Kringle Tamayo Lopez</t>
  </si>
  <si>
    <t>Rosemary Terez Gepte</t>
  </si>
  <si>
    <t>Lidelyn-Jane Caballes Bagamano</t>
  </si>
  <si>
    <t>Jake Malnegro Maglahus</t>
  </si>
  <si>
    <t>Junelyn Salilig Olvido</t>
  </si>
  <si>
    <t>GENARO M MERINO</t>
  </si>
  <si>
    <t>Jocelyn C. Jaramillo</t>
  </si>
  <si>
    <t>Bernadette Manggol Sapungan</t>
  </si>
  <si>
    <t>Salvacion Cericos Rangasa</t>
  </si>
  <si>
    <t>JEFFREY FAJARDO DE LEON</t>
  </si>
  <si>
    <t>AUGIE SHELDON  REALIZAN</t>
  </si>
  <si>
    <t>John David E Bonifacio</t>
  </si>
  <si>
    <t>Mark Chester Anthony Gariando Tamayo</t>
  </si>
  <si>
    <t>Gilmore P. Castillo</t>
  </si>
  <si>
    <t>MARY ANN C. BELEN</t>
  </si>
  <si>
    <t>RANNIER JOHN C. FAJARDO</t>
  </si>
  <si>
    <t>Isabela Rosales Maro</t>
  </si>
  <si>
    <t>Asuncion San Esteban Zaldivar</t>
  </si>
  <si>
    <t>MARIA CORAZON R. LARIOSA</t>
  </si>
  <si>
    <t>Maria Teresa Ocong Bucio</t>
  </si>
  <si>
    <t>Lucio Berong Cortes</t>
  </si>
  <si>
    <t>DANILO  PERNIA</t>
  </si>
  <si>
    <t>JUDITH B. JOMADIAO</t>
  </si>
  <si>
    <t>George Vincent O Macrohon</t>
  </si>
  <si>
    <t>Allan L Mariano</t>
  </si>
  <si>
    <t>Atilano Alinarte Abilay</t>
  </si>
  <si>
    <t>Joel D. De Jesus</t>
  </si>
  <si>
    <t>Eleanor C. Laylo</t>
  </si>
  <si>
    <t>Eustila Furog Evangelista</t>
  </si>
  <si>
    <t>JOVITA M. ESCASA</t>
  </si>
  <si>
    <t>Paul Brian F Roc</t>
  </si>
  <si>
    <t>ROSELLER CABATINGAN AMOR</t>
  </si>
  <si>
    <t>SANDY LLOBIT  PILAPILAN</t>
  </si>
  <si>
    <t>Karla Shane Ramos Patega</t>
  </si>
  <si>
    <t>Abner G. Ganila</t>
  </si>
  <si>
    <t>Alfie Z. Mejia</t>
  </si>
  <si>
    <t>Maria Lourdes E. Dwiggins</t>
  </si>
  <si>
    <t>Rosario Fernandez Bautista</t>
  </si>
  <si>
    <t>Noryn B. Bagano</t>
  </si>
  <si>
    <t>MARCOS M. KUSAIN, JD, MPA</t>
  </si>
  <si>
    <t>Antonio Borja Avena</t>
  </si>
  <si>
    <t>XANTHI ROMEILLA J VALLECER</t>
  </si>
  <si>
    <t>Lito I Balarbar</t>
  </si>
  <si>
    <t>Cecille  Agpalo</t>
  </si>
  <si>
    <t>Rosana Tee Rogando</t>
  </si>
  <si>
    <t>Vivian O. Magnate</t>
  </si>
  <si>
    <t>AZENITH MOLINA PANDEZ</t>
  </si>
  <si>
    <t>Almond Garalde Leaño</t>
  </si>
  <si>
    <t>CEZARIO JOEL C ESPEJO</t>
  </si>
  <si>
    <t>Miguel Sequio Gallego</t>
  </si>
  <si>
    <t>Omar Sajot Alfaro</t>
  </si>
  <si>
    <t>FRANCISCO I. CORPUZ, JR.</t>
  </si>
  <si>
    <t>Gerald Miron Morada</t>
  </si>
  <si>
    <t>Gorgonio S. Cabañero Jr.</t>
  </si>
  <si>
    <t>NORMAN TOLENTINO BUAN</t>
  </si>
  <si>
    <t>Aileen Catidas</t>
  </si>
  <si>
    <t>Office of the Presidential Adviser on the Peace Process</t>
  </si>
  <si>
    <t>Luciano Sumalinog</t>
  </si>
  <si>
    <t>Mathew P. Opeña</t>
  </si>
  <si>
    <t>Cecilia Notario Jumawan</t>
  </si>
  <si>
    <t>Lolita M. Fullante</t>
  </si>
  <si>
    <t>MARITES GONZALES BALDOMAN</t>
  </si>
  <si>
    <t xml:space="preserve">Maria  M. Salve </t>
  </si>
  <si>
    <t>Paul Michael M Cuadra</t>
  </si>
  <si>
    <t>Joven Marasigan Mogol</t>
  </si>
  <si>
    <t>ROGIE  PAGUIRIGAN GUMARO</t>
  </si>
  <si>
    <t>Annabelle M Pameron</t>
  </si>
  <si>
    <t>Ronnel Nicolas De Guzman</t>
  </si>
  <si>
    <t>RUBILYN ESPINOSA DELA CRUZ</t>
  </si>
  <si>
    <t>Aime Escubio Cariño</t>
  </si>
  <si>
    <t>Ariel C. Hiquiana</t>
  </si>
  <si>
    <t>Ranie Javar Babiera</t>
  </si>
  <si>
    <t>Nellie A Francisco</t>
  </si>
  <si>
    <t>SETTE HANNAH D. DAKULA</t>
  </si>
  <si>
    <t>Rosel Montaus Miras</t>
  </si>
  <si>
    <t>Celestino Garcia Mangulabnan</t>
  </si>
  <si>
    <t>ADELA RAMOS NAVE</t>
  </si>
  <si>
    <t>Norma C. Sarigumba</t>
  </si>
  <si>
    <t>Rommel T. Sta. Ana</t>
  </si>
  <si>
    <t>Ricarte De Guzman Tadeja</t>
  </si>
  <si>
    <t>Leo Pura Escaros</t>
  </si>
  <si>
    <t>Mirasol Macaranas Rosano</t>
  </si>
  <si>
    <t>Michella Cayago Andal</t>
  </si>
  <si>
    <t>Jennelyn Necor</t>
  </si>
  <si>
    <t>Samira Guimba Pagayao</t>
  </si>
  <si>
    <t>MARIVIC V MAKILAN</t>
  </si>
  <si>
    <t>rhodora pelonia tan</t>
  </si>
  <si>
    <t>LEO ACLAN OCLARIT</t>
  </si>
  <si>
    <t>Marc Louis B. Sampilo</t>
  </si>
  <si>
    <t>Abner Fabebeier Faminiano</t>
  </si>
  <si>
    <t>Pia B Abengoza</t>
  </si>
  <si>
    <t>Miguel Jr. D. Tolentino</t>
  </si>
  <si>
    <t>Christian George Bantilan Pal-ing</t>
  </si>
  <si>
    <t>Jerry A Bernadas</t>
  </si>
  <si>
    <t>ANGELINA RALLOS SOLIANO</t>
  </si>
  <si>
    <t>Kristel Capundan Rosello</t>
  </si>
  <si>
    <t>Maribel Castillo Botavara</t>
  </si>
  <si>
    <t>Ma. Teresa  D. Rodriguez</t>
  </si>
  <si>
    <t>Lazaro Buluran Pascual</t>
  </si>
  <si>
    <t>Manuel M. Andes</t>
  </si>
  <si>
    <t>Marietta V. Orleans</t>
  </si>
  <si>
    <t>Leah Kierulf De Paz</t>
  </si>
  <si>
    <t>LUCY FE M ELLAR</t>
  </si>
  <si>
    <t>ADONIS  FESTEJO  DELMENDO</t>
  </si>
  <si>
    <t>Jessica R. Narit/ Julia Marie L. Abarca/ Erwin S. Aban</t>
  </si>
  <si>
    <t>Bienvenida  Relatibo Banawa</t>
  </si>
  <si>
    <t>Ronald Merin</t>
  </si>
  <si>
    <t>Marcelo Lacorte Almarez</t>
  </si>
  <si>
    <t>Maria Theresa Estella Caasi</t>
  </si>
  <si>
    <t>Abner Rabano</t>
  </si>
  <si>
    <t>Florliza A. Morilao</t>
  </si>
  <si>
    <t>Magnolia T Flores</t>
  </si>
  <si>
    <t>Roberto Racasa Cada</t>
  </si>
  <si>
    <t>Ivy Joy L. Castro</t>
  </si>
  <si>
    <t>Lolito Pesidas Campos</t>
  </si>
  <si>
    <t>MARIA MIANE MALABRIGO PACIOLCO</t>
  </si>
  <si>
    <t>Jingle Repollo Saloma</t>
  </si>
  <si>
    <t>Jaddy Genilla Lonte</t>
  </si>
  <si>
    <t>Edward Miguel Juanito</t>
  </si>
  <si>
    <t>Wilson Sadicon Paras</t>
  </si>
  <si>
    <t>NASUL ARAS SAJILI</t>
  </si>
  <si>
    <t>NIMFA S DUMAGUIT</t>
  </si>
  <si>
    <t>Jose, Jr. Ban-ao Balajo</t>
  </si>
  <si>
    <t>ELIZA M MINISTERIO</t>
  </si>
  <si>
    <t>RIZZA VILLAROSA YADAO</t>
  </si>
  <si>
    <t>JEAN ALLEN PECHAYCO ALEJANDRO</t>
  </si>
  <si>
    <t>Jacqueline Delgado  Dela Serna</t>
  </si>
  <si>
    <t>Arnel Chavez Salazar</t>
  </si>
  <si>
    <t>Gilbert Reyes</t>
  </si>
  <si>
    <t>Rosanna P. Lucero</t>
  </si>
  <si>
    <t>Analiza C. Chua</t>
  </si>
  <si>
    <t>Feoridin Jason Lazaga Elumbaring</t>
  </si>
  <si>
    <t>WILMA AURELIO IBEA</t>
  </si>
  <si>
    <t>Aubrey George Tamargo Corpuz</t>
  </si>
  <si>
    <t>Arnold L. Castaneda</t>
  </si>
  <si>
    <t>Edwin P. Marcelo</t>
  </si>
  <si>
    <t>Jerome B. Sison</t>
  </si>
  <si>
    <t>Aileen Pedregal</t>
  </si>
  <si>
    <t>Mary Amor Fiedalan Jandusay</t>
  </si>
  <si>
    <t>Rosemarie S Espino</t>
  </si>
  <si>
    <t>Juan Carlos P. Pajarillo</t>
  </si>
  <si>
    <t>Jimmy  Morit</t>
  </si>
  <si>
    <t>VILMA FACISTOL SIOCSON</t>
  </si>
  <si>
    <t>Roland Gabayeron</t>
  </si>
  <si>
    <t>JAMES REYES DOLOROSO</t>
  </si>
  <si>
    <t>Marian Carbonell Patosa</t>
  </si>
  <si>
    <t>LITO  D.  LACABA</t>
  </si>
  <si>
    <t>Adelfa Tiongco Lamangin</t>
  </si>
  <si>
    <t>Dennis H. Dino</t>
  </si>
  <si>
    <t>Ma. Theresa Garcia Labo</t>
  </si>
  <si>
    <t>MONALIZA GUILLEN CALAMBRO</t>
  </si>
  <si>
    <t>Elloisa Blanco Perez</t>
  </si>
  <si>
    <t>Cesar Landan Pera</t>
  </si>
  <si>
    <t>Estrella J. Labrador</t>
  </si>
  <si>
    <t>VEMIE MONTEJO ESTOLOGA</t>
  </si>
  <si>
    <t>Cirio Dela Cruz Pangan</t>
  </si>
  <si>
    <t>Annabelle Canonigo Husain</t>
  </si>
  <si>
    <t>ROGEL RODRIGUEZ APOSTOL</t>
  </si>
  <si>
    <t>MARIA PAMELA TOLENTINO BACTOL</t>
  </si>
  <si>
    <t>MARILOU B. BORILLO</t>
  </si>
  <si>
    <t>Irene D Pelaez</t>
  </si>
  <si>
    <t>Josafat Lindong Caipang</t>
  </si>
  <si>
    <t>Julian Landicho</t>
  </si>
  <si>
    <t>Donato Panaligan</t>
  </si>
  <si>
    <t>Jesusa Maagad Abear</t>
  </si>
  <si>
    <t>Angelina Pineda Peñero</t>
  </si>
  <si>
    <t>ANALIZA C CABANG</t>
  </si>
  <si>
    <t>Engr. Nashra Dalandangan Misquinan</t>
  </si>
  <si>
    <t>Honeybeth Lleno Zamudio</t>
  </si>
  <si>
    <t>ALLAN B. MATIN-AW</t>
  </si>
  <si>
    <t>Gil C. Suratos</t>
  </si>
  <si>
    <t>Atty. Cipriano U. Asilo</t>
  </si>
  <si>
    <t>Rafael J Oreta</t>
  </si>
  <si>
    <t>Samuel Cimeni Penales</t>
  </si>
  <si>
    <t>Judith C. Pondivida</t>
  </si>
  <si>
    <t>FRITZIE FLORENOSOS JUSTOL</t>
  </si>
  <si>
    <t>MARIA CONCEPCION ANTONIO DALERE</t>
  </si>
  <si>
    <t>Peachy Gom-os</t>
  </si>
  <si>
    <t>JOY MAAN BAEZA MIRA</t>
  </si>
  <si>
    <t>Neri Tadeo Beley</t>
  </si>
  <si>
    <t>Azlek Owen B. Tan</t>
  </si>
  <si>
    <t>CINDY NARIO MOLON</t>
  </si>
  <si>
    <t>ENGR. NORMAN DIMATATAC</t>
  </si>
  <si>
    <t>ELMER O LUNAS</t>
  </si>
  <si>
    <t>Jenny Idiosolo Rosimo</t>
  </si>
  <si>
    <t>Vigilus Dominguez Credo</t>
  </si>
  <si>
    <t>Sherelyn Trias Laquindanum</t>
  </si>
  <si>
    <t>Joseph S. Claveria</t>
  </si>
  <si>
    <t>Lucille  I.  Susano</t>
  </si>
  <si>
    <t>Gabby Mangila Sevilla</t>
  </si>
  <si>
    <t>Ma. Elina Romas Lipang</t>
  </si>
  <si>
    <t>Mark Joseph Zulita  Lloren</t>
  </si>
  <si>
    <t>Vincent A. Tan</t>
  </si>
  <si>
    <t>Carl Melvin Tillano Galin</t>
  </si>
  <si>
    <t>Jenepher Robea Marin</t>
  </si>
  <si>
    <t>Ma. A. Marietta Real Dulong</t>
  </si>
  <si>
    <t>Zandro V De Guzman</t>
  </si>
  <si>
    <t>Mark Jenar A. Marquez</t>
  </si>
  <si>
    <t>Rebecca Enierga Valenzuela</t>
  </si>
  <si>
    <t>Leonard E. Marquez</t>
  </si>
  <si>
    <t>Melanie R Interino</t>
  </si>
  <si>
    <t>Edna C. Padayao</t>
  </si>
  <si>
    <t>ARMANDO E. SUETOS</t>
  </si>
  <si>
    <t>Julius Ceasar  Bernadas Onot</t>
  </si>
  <si>
    <t>BENEDICK C BACULI</t>
  </si>
  <si>
    <t>Joy Abonitalla Adecer</t>
  </si>
  <si>
    <t>Beulah Leah Libertad Pailagao</t>
  </si>
  <si>
    <t>Rosalyn Mago  Orellana</t>
  </si>
  <si>
    <t>Arnel Villamor Esller</t>
  </si>
  <si>
    <t>Emily B. Mazon</t>
  </si>
  <si>
    <t>Debielyn B. Santos</t>
  </si>
  <si>
    <t>pancho jr amor cayago</t>
  </si>
  <si>
    <t>Fe I Ramos</t>
  </si>
  <si>
    <t>Manulito S Rodriguez</t>
  </si>
  <si>
    <t>MARIA LIZA GENADA RULL</t>
  </si>
  <si>
    <t>Rosevida Y. Cadag</t>
  </si>
  <si>
    <t>Benjamin T. Manalili III</t>
  </si>
  <si>
    <t>Ma. Soledad F Baquiran</t>
  </si>
  <si>
    <t>Zenny Ricka Ramos</t>
  </si>
  <si>
    <t>GENE ACHAS BACULPO</t>
  </si>
  <si>
    <t>REDFORD NEWMAN VENERACION FILART</t>
  </si>
  <si>
    <t>Jeanette M. Buera</t>
  </si>
  <si>
    <t>Candido D. Salces</t>
  </si>
  <si>
    <t>AMADOR III CUPIDO PORTAJADA</t>
  </si>
  <si>
    <t>Cherry Ann Paito Orjalesa</t>
  </si>
  <si>
    <t>Arlene M. Divino</t>
  </si>
  <si>
    <t>Kristine Joy Apostol Castillo</t>
  </si>
  <si>
    <t>BAC SECRETARIAT, LGU-SANTIAGO CITY</t>
  </si>
  <si>
    <t>Trixy Marie Aguio Macaraeg</t>
  </si>
  <si>
    <t>Rogelio P. Amador</t>
  </si>
  <si>
    <t>Johnald Z. Salomon</t>
  </si>
  <si>
    <t>IAN M. LLLONA</t>
  </si>
  <si>
    <t>Irene Bea Faustino</t>
  </si>
  <si>
    <t>Lolita D Solis</t>
  </si>
  <si>
    <t>Apolinario R. De Torres</t>
  </si>
  <si>
    <t>Maricris Cortez Faigao</t>
  </si>
  <si>
    <t>MARIE JOY A. ALVIAR</t>
  </si>
  <si>
    <t>Melinda D Deyto</t>
  </si>
  <si>
    <t>Filipina Fontanilla Atabay</t>
  </si>
  <si>
    <t>Vanessa Mendoza Aguilar</t>
  </si>
  <si>
    <t>Vincyl L. Solitario</t>
  </si>
  <si>
    <t>Jose Marie Ortiz Canlapan</t>
  </si>
  <si>
    <t>George D Suayan</t>
  </si>
  <si>
    <t>Melanie Alabat Jalover</t>
  </si>
  <si>
    <t>Lou Poliquit Quipit</t>
  </si>
  <si>
    <t>JONATHAN R. HIJADA</t>
  </si>
  <si>
    <t>Enrico Papag Limjuico</t>
  </si>
  <si>
    <t>Geozele Orden Baltazar</t>
  </si>
  <si>
    <t>Marichu Lachica Villa-real</t>
  </si>
  <si>
    <t>Lorna B Baltazar</t>
  </si>
  <si>
    <t>ARTEMIO P TORDECILLA</t>
  </si>
  <si>
    <t>Cesar B. Presas</t>
  </si>
  <si>
    <t>ELMER  PRADIEZ  NARVAEZ</t>
  </si>
  <si>
    <t>Norma Capate Laure</t>
  </si>
  <si>
    <t>EDGAR R. QUEJADA</t>
  </si>
  <si>
    <t>Jocelyn S. Toriaga</t>
  </si>
  <si>
    <t>John Rey Arota Tomines</t>
  </si>
  <si>
    <t>CENON ARPIA PORTUGAL</t>
  </si>
  <si>
    <t>Ma. Isabel M Mirano</t>
  </si>
  <si>
    <t>Edison Mangulabnan Mina</t>
  </si>
  <si>
    <t>Isidro Lopez Tapar</t>
  </si>
  <si>
    <t>Maria Carol Gempis Hermosilla</t>
  </si>
  <si>
    <t>Annielyn N JAVIER</t>
  </si>
  <si>
    <t>Gerald Alday Pacanan</t>
  </si>
  <si>
    <t>Rosalbeth Cueco Villarin</t>
  </si>
  <si>
    <t>REMELITO B ESTROLOGO</t>
  </si>
  <si>
    <t>Alma Tagbe Mahinay</t>
  </si>
  <si>
    <t>Jerane S. Banwa</t>
  </si>
  <si>
    <t>ALBERTO TOLENTINO TAN JR</t>
  </si>
  <si>
    <t>Consuelo Javier Cruz</t>
  </si>
  <si>
    <t>Licerio Camacho Patingo</t>
  </si>
  <si>
    <t>Herma Aratan Seruela</t>
  </si>
  <si>
    <t>ARLENE CARPENTERO GANTALAO</t>
  </si>
  <si>
    <t>John Albert Odi Diaz</t>
  </si>
  <si>
    <t>Annie Grace N. Alforque</t>
  </si>
  <si>
    <t>Mercy Bedona</t>
  </si>
  <si>
    <t>Antonio Lucero Cañada</t>
  </si>
  <si>
    <t>Monera Ferrer Pramis</t>
  </si>
  <si>
    <t>Sherwin S. Gagatiga</t>
  </si>
  <si>
    <t>Sonia Tomas Pasian</t>
  </si>
  <si>
    <t>Fernando Rendon Uy</t>
  </si>
  <si>
    <t>Dane C Dizon</t>
  </si>
  <si>
    <t>Irene  Romero Arevalo</t>
  </si>
  <si>
    <t>LARRY MIJARES VALENZUELA</t>
  </si>
  <si>
    <t>ARCELI E. GAGUAN</t>
  </si>
  <si>
    <t>REYNALD V. SAMBRANO</t>
  </si>
  <si>
    <t>Brendalyn Ungajan Fernando</t>
  </si>
  <si>
    <t>EDGAR C. OLACO</t>
  </si>
  <si>
    <t>Peter Elvis Limpot Galleto</t>
  </si>
  <si>
    <t>Roxanne V Dionisio</t>
  </si>
  <si>
    <t>Mary Grace L. Romero</t>
  </si>
  <si>
    <t>Lito Miguel Dipia-o Cacayuran</t>
  </si>
  <si>
    <t>DORILYN C. DADOR</t>
  </si>
  <si>
    <t>Marissa Molina Austria</t>
  </si>
  <si>
    <t>Romy Alusen Bucalen</t>
  </si>
  <si>
    <t>Merly Samillano</t>
  </si>
  <si>
    <t>LEAH BANARES TUBID</t>
  </si>
  <si>
    <t>MARIBEL MOLINA REGASPI</t>
  </si>
  <si>
    <t>Blesilda R. Domagas</t>
  </si>
  <si>
    <t>Ines Goden Lanzaderas</t>
  </si>
  <si>
    <t>Jonathan Regachuelo Jaluague</t>
  </si>
  <si>
    <t>Lynford A. Lagondi</t>
  </si>
  <si>
    <t>Raychell S Luna</t>
  </si>
  <si>
    <t>Armando Bañaga Uluan</t>
  </si>
  <si>
    <t>Jose B Abrenio Jr.</t>
  </si>
  <si>
    <t>Beberly A Española</t>
  </si>
  <si>
    <t>BERNARDO JR. LACUESTA GANOTICE</t>
  </si>
  <si>
    <t>JOFRE FONTANOS HIPOL</t>
  </si>
  <si>
    <t>SOTERO Y. HIMOC</t>
  </si>
  <si>
    <t>ATTY. CHRISTY JOY S SOLLESTA</t>
  </si>
  <si>
    <t>Rosanna Maratas Siega</t>
  </si>
  <si>
    <t>Agnes Mendoza Bueno</t>
  </si>
  <si>
    <t>Leonardo C. Canlas</t>
  </si>
  <si>
    <t>Editha A Albano</t>
  </si>
  <si>
    <t>EUSEBIO S. SERQUINA</t>
  </si>
  <si>
    <t>Marilyn Dudas</t>
  </si>
  <si>
    <t>Ronnie L Gutierrez</t>
  </si>
  <si>
    <t>Cesarina Sico Macuha</t>
  </si>
  <si>
    <t>Marinelle Marquez Rubico</t>
  </si>
  <si>
    <t>AMALIA GENOVIA ATIENDA</t>
  </si>
  <si>
    <t>Pablo  V.  Miraran</t>
  </si>
  <si>
    <t>Jocelyn Diaz Sagang</t>
  </si>
  <si>
    <t>Edwina C. Carriedo</t>
  </si>
  <si>
    <t>Lelia Nogot Napay</t>
  </si>
  <si>
    <t>Leslie A. Aguilar</t>
  </si>
  <si>
    <t>Elizabeth Valdemoro Cruz</t>
  </si>
  <si>
    <t>MELANIE GAMILDE GACUSAN</t>
  </si>
  <si>
    <t>LEO GAMMAD LIGGAYU</t>
  </si>
  <si>
    <t>ROSANA TINGAL ESMERO</t>
  </si>
  <si>
    <t>Mariecar Doctolero Arucan</t>
  </si>
  <si>
    <t>ALLEN M FORTES</t>
  </si>
  <si>
    <t>Bacsec Centers</t>
  </si>
  <si>
    <t>Editha V. Aguinaldo, MPA</t>
  </si>
  <si>
    <t>Jubet N. Gnilo</t>
  </si>
  <si>
    <t>Zenaida M Formentera</t>
  </si>
  <si>
    <t>Henry C Palo</t>
  </si>
  <si>
    <t>Marivic Masbad Managbanag</t>
  </si>
  <si>
    <t>reyland villaluna hervias</t>
  </si>
  <si>
    <t>Jenny Maseneren Bononp</t>
  </si>
  <si>
    <t>Joicelyn Reta</t>
  </si>
  <si>
    <t>Michael M Bacarisas</t>
  </si>
  <si>
    <t>Arnold P Bejar</t>
  </si>
  <si>
    <t>Albert Donato Martin</t>
  </si>
  <si>
    <t>Rosella Alojado Villegas</t>
  </si>
  <si>
    <t>Expedito Magluyan Villaruz</t>
  </si>
  <si>
    <t>Lourfe S. Rondina</t>
  </si>
  <si>
    <t>Saturnino Rivas Jacobe</t>
  </si>
  <si>
    <t>ERVIN PAGE SALANG</t>
  </si>
  <si>
    <t>JASMIN R LACUNA</t>
  </si>
  <si>
    <t>Jemar Olavides Bolando</t>
  </si>
  <si>
    <t>Marissa I Rivera</t>
  </si>
  <si>
    <t>Eileen C Argañoza</t>
  </si>
  <si>
    <t>GEMMA H TAMAGOS</t>
  </si>
  <si>
    <t>Ferdinand Fadriquelan Falceso</t>
  </si>
  <si>
    <t>Lyra RJ Cubos Carolino</t>
  </si>
  <si>
    <t>ROSA PASILIAO UNTALAN</t>
  </si>
  <si>
    <t>Mae Dangatan</t>
  </si>
  <si>
    <t>Rosemia R. Alama-Saliwato</t>
  </si>
  <si>
    <t>Elizabeth Penida Magana</t>
  </si>
  <si>
    <t>John B Magbanua</t>
  </si>
  <si>
    <t>MELAGROS  K.  FIDEL</t>
  </si>
  <si>
    <t>Milagros A Agustin</t>
  </si>
  <si>
    <t>FRANCIS UTRAM DELA CRUZ</t>
  </si>
  <si>
    <t>Ernesto Grindulo Cruz Jr</t>
  </si>
  <si>
    <t>Benigno C Austero</t>
  </si>
  <si>
    <t>Isabelito Francia Aguda</t>
  </si>
  <si>
    <t>ARBEN P. BUSTILLO</t>
  </si>
  <si>
    <t>Edward B. Romulo</t>
  </si>
  <si>
    <t>Josephine Villas Pontillas</t>
  </si>
  <si>
    <t>Antonia C. Ebio</t>
  </si>
  <si>
    <t>ZENAIDA Q. MANANSALA</t>
  </si>
  <si>
    <t>LOUIS SAGRADO BOLLOZOS</t>
  </si>
  <si>
    <t>Percival Ricafrente Taniegra</t>
  </si>
  <si>
    <t>Angel Jr. Dacuycuy Morales</t>
  </si>
  <si>
    <t>Patrick Bayona Gimeno</t>
  </si>
  <si>
    <t>Jimmy Pastorfile Carandang</t>
  </si>
  <si>
    <t>Rolando V. Miguel</t>
  </si>
  <si>
    <t>Dixie Santander De Guzman</t>
  </si>
  <si>
    <t>PEDRO TUDDAO BARASI</t>
  </si>
  <si>
    <t>RONALDO B. DALUPING</t>
  </si>
  <si>
    <t>Lea Ann M. Gamban</t>
  </si>
  <si>
    <t>NATHANIEL B. GERTOS</t>
  </si>
  <si>
    <t>Reyvelino Benigno Apongol</t>
  </si>
  <si>
    <t>Gregg P. Agravante</t>
  </si>
  <si>
    <t>Jerico S. Buena</t>
  </si>
  <si>
    <t>Jerome Bardoquillo Ramirez</t>
  </si>
  <si>
    <t>Jonalyn Hernandez Villas</t>
  </si>
  <si>
    <t>NESTOR MIKLAT IDRA</t>
  </si>
  <si>
    <t>Aileen L Bonghanoy</t>
  </si>
  <si>
    <t>Alvi R Valle</t>
  </si>
  <si>
    <t>Lyndon Imperial Ballesteros</t>
  </si>
  <si>
    <t>Igmedio Santiago Casticon, CESE</t>
  </si>
  <si>
    <t>Cynthia Urubio Lozano</t>
  </si>
  <si>
    <t>Edgar Banzuela Balidoy</t>
  </si>
  <si>
    <t>Evelyn Grace A Aperocho</t>
  </si>
  <si>
    <t>Peter  S.  Sobrevega</t>
  </si>
  <si>
    <t>NICEFORO S. LIBERATO</t>
  </si>
  <si>
    <t>Eric P Cabauatan</t>
  </si>
  <si>
    <t xml:space="preserve">Raul Jr A. Daquinod </t>
  </si>
  <si>
    <t>Erwin Galamiton Ludevese</t>
  </si>
  <si>
    <t>Angelito Leccio Estrada</t>
  </si>
  <si>
    <t>Chirry Lyn Bagalihog Arayan</t>
  </si>
  <si>
    <t>Jorge Montalbo Garcia</t>
  </si>
  <si>
    <t>Lubelle B. Lumabas</t>
  </si>
  <si>
    <t>Josephine L Mananquil</t>
  </si>
  <si>
    <t>JOSE NIRO R NILLASCA</t>
  </si>
  <si>
    <t>Efren C. Belicena</t>
  </si>
  <si>
    <t>DANIEL, JR. ALBERTO BAUTISTA</t>
  </si>
  <si>
    <t>NORBERTO, JR ONES RUBI</t>
  </si>
  <si>
    <t>Wilfredo G Ocampo</t>
  </si>
  <si>
    <t>Gretchen Q. Nim</t>
  </si>
  <si>
    <t>Sukarno M Hadjinor</t>
  </si>
  <si>
    <t>Adrian Magcamit Aguilar</t>
  </si>
  <si>
    <t>LOURDES P. MENDAROS</t>
  </si>
  <si>
    <t>Lane Celestial Digao</t>
  </si>
  <si>
    <t>Edmar Tenio Tambis</t>
  </si>
  <si>
    <t>Glaiza Dela Cruz-Pasion</t>
  </si>
  <si>
    <t>Carolyn A. Lining</t>
  </si>
  <si>
    <t>John Paulo Telmo Purino</t>
  </si>
  <si>
    <t>Jesus aleman zamoras</t>
  </si>
  <si>
    <t>Janice Sainz Collado</t>
  </si>
  <si>
    <t>Purificasion Quirante Barasi</t>
  </si>
  <si>
    <t>Carla Nuyad Remonde</t>
  </si>
  <si>
    <t>Rosabella Senining Laurencio</t>
  </si>
  <si>
    <t>MEDELINE SEMILLA MONDOÑEDO</t>
  </si>
  <si>
    <t>Henry D Meling</t>
  </si>
  <si>
    <t>ROMEO BOGAYAN</t>
  </si>
  <si>
    <t>Ma. Jeralyn Verbo Jumiller</t>
  </si>
  <si>
    <t>Gayuting T. Tumanding</t>
  </si>
  <si>
    <t>Mierben Hilot Eupenado</t>
  </si>
  <si>
    <t>Amor Cabangon</t>
  </si>
  <si>
    <t>JOHN REFUERZO PILOT</t>
  </si>
  <si>
    <t>Romeo O. Olalo</t>
  </si>
  <si>
    <t>OSCAR V. MANALO</t>
  </si>
  <si>
    <t>Elsa Quijano Lingon</t>
  </si>
  <si>
    <t>Glyzl  A.  Tolentino</t>
  </si>
  <si>
    <t>Felix Anorma Aragoncillo</t>
  </si>
  <si>
    <t>LEONARDO MADEJA, JR.</t>
  </si>
  <si>
    <t>DIOMEDES T. ROSETE</t>
  </si>
  <si>
    <t>Marjorie Guiao Vitug</t>
  </si>
  <si>
    <t>Joel Tinampay Capaycapay</t>
  </si>
  <si>
    <t>Merbhel Mayuga Volpane</t>
  </si>
  <si>
    <t>Mila C Altura</t>
  </si>
  <si>
    <t>antonio diaz lalik</t>
  </si>
  <si>
    <t>Cheryl Samuel Conag</t>
  </si>
  <si>
    <t>Mamutur D Cariga</t>
  </si>
  <si>
    <t>Socrates G Torres</t>
  </si>
  <si>
    <t>Freddie Remolado Sumangit</t>
  </si>
  <si>
    <t>Marion M. Navarez</t>
  </si>
  <si>
    <t>Miangelle A. Lacson</t>
  </si>
  <si>
    <t>ANNE MARIE  P. PACATANG</t>
  </si>
  <si>
    <t>Ma. Theresa D. Jamero</t>
  </si>
  <si>
    <t>Baivy Leen Mendoza Reyes</t>
  </si>
  <si>
    <t>Enelyn S. Binson</t>
  </si>
  <si>
    <t>Mary Jane  Rosales Estimar</t>
  </si>
  <si>
    <t>Jayson B. Ramos</t>
  </si>
  <si>
    <t>Henjie Albete Ramirez</t>
  </si>
  <si>
    <t>Lourdes M. Ng</t>
  </si>
  <si>
    <t>Joey Vincent P. Rabanal</t>
  </si>
  <si>
    <t>Rhodora Francisco Tradio</t>
  </si>
  <si>
    <t>Dhom Lozano</t>
  </si>
  <si>
    <t>Arlene Seno Padilla</t>
  </si>
  <si>
    <t>Marjorie Hazel R Cofino</t>
  </si>
  <si>
    <t>Mercy Gladys Santiago Cuenca</t>
  </si>
  <si>
    <t>Marife Moron Jabon</t>
  </si>
  <si>
    <t>Lorena Obsiquo Escaro</t>
  </si>
  <si>
    <t>Joy Melga Buendia Olazo</t>
  </si>
  <si>
    <t>DON PATRICK TIONGSON SALAMAT</t>
  </si>
  <si>
    <t>jona astudillo cabauatan</t>
  </si>
  <si>
    <t>Josephine Presno Gangan</t>
  </si>
  <si>
    <t>Noli Mendina Dioneda</t>
  </si>
  <si>
    <t>Amelita Quinsay Londonio</t>
  </si>
  <si>
    <t>Gerardo Jr. Valdez Bocalan</t>
  </si>
  <si>
    <t>Framar Degay</t>
  </si>
  <si>
    <t>Jesse II R Initan</t>
  </si>
  <si>
    <t>ZANDRA ANCIANO QUIRANTE</t>
  </si>
  <si>
    <t>RUBY JANE C. CRUZ</t>
  </si>
  <si>
    <t>VILLAFUERTE TOLENTINO MARTINEZ JR.</t>
  </si>
  <si>
    <t>Richelle Adle Delmo</t>
  </si>
  <si>
    <t>LYNN GOZAR MENDOZA</t>
  </si>
  <si>
    <t>Lorny Lizander Jesura Sanico</t>
  </si>
  <si>
    <t>Gil Y. Miguel</t>
  </si>
  <si>
    <t>Vincent Jake E. Castillo</t>
  </si>
  <si>
    <t>Claire M Bacala</t>
  </si>
  <si>
    <t>ANDRES CAPATONG CABAYAO</t>
  </si>
  <si>
    <t>RHONALIE JADILLO ARIMADO</t>
  </si>
  <si>
    <t>ELMAR PASCUA PAGADUAN</t>
  </si>
  <si>
    <t>FERNANDO SAGUISAG A. CABRERA</t>
  </si>
  <si>
    <t>Tolentino Almedilla  Bellezas</t>
  </si>
  <si>
    <t>Florante Uy Zurbito</t>
  </si>
  <si>
    <t>Richard Pandita Sanlocan</t>
  </si>
  <si>
    <t>MYRNA MALUBAG MANALO</t>
  </si>
  <si>
    <t>Carmelino Paculan Bernadas</t>
  </si>
  <si>
    <t>Marevis M. Cabil</t>
  </si>
  <si>
    <t>Jessie P. dela Rosa</t>
  </si>
  <si>
    <t>Florinda Asuncion De Jesus</t>
  </si>
  <si>
    <t>Rogin Samonte Alquerro</t>
  </si>
  <si>
    <t>RUBY DESCALZOTA DORADO</t>
  </si>
  <si>
    <t>Ruby M Subiate</t>
  </si>
  <si>
    <t>Joey Calimpusan Tonzo</t>
  </si>
  <si>
    <t>TERESITA  BARCENA  PEÑALOSA</t>
  </si>
  <si>
    <t>Marlon Naoe Rimando</t>
  </si>
  <si>
    <t>Eduardo A. Sieras</t>
  </si>
  <si>
    <t>Jun Pajarillo  Vana</t>
  </si>
  <si>
    <t>Vicente Dellatan Alcoriza</t>
  </si>
  <si>
    <t>Rodrigo Alidon Tangaro</t>
  </si>
  <si>
    <t>Diomedes C Palor</t>
  </si>
  <si>
    <t>Jessie Bagtang Addag</t>
  </si>
  <si>
    <t>JERSON D. REYES</t>
  </si>
  <si>
    <t>Yvonemia Ocub Hergin</t>
  </si>
  <si>
    <t>Nim Rod Esguerra Bautista</t>
  </si>
  <si>
    <t>MARISE A. PONCE</t>
  </si>
  <si>
    <t>Maria Angelica Santos Meneses</t>
  </si>
  <si>
    <t>Emily Batolinao Montanez</t>
  </si>
  <si>
    <t>Josephine Tolentino Banay</t>
  </si>
  <si>
    <t>Marilyn Gaano Alunday</t>
  </si>
  <si>
    <t>Joel A Tupaz</t>
  </si>
  <si>
    <t>Ivy Dela Cruz Rugas</t>
  </si>
  <si>
    <t>IRVIN CAYAON ROLLUQUI</t>
  </si>
  <si>
    <t>Raulito Rojales Datiles</t>
  </si>
  <si>
    <t>Elvie Pakig Nailon</t>
  </si>
  <si>
    <t>Ridzkan A Hamie</t>
  </si>
  <si>
    <t>Ofelia Cerdena Cabuenas</t>
  </si>
  <si>
    <t>Maria Salome Carandang</t>
  </si>
  <si>
    <t>windy p. lat</t>
  </si>
  <si>
    <t>Ronnel Jake Bueno Razon</t>
  </si>
  <si>
    <t>Melanie Obillo Manipon</t>
  </si>
  <si>
    <t>Cleofe Claveria Lamadora</t>
  </si>
  <si>
    <t>Amelyn Quinio Martinez</t>
  </si>
  <si>
    <t>Venus Cocson Flojo</t>
  </si>
  <si>
    <t>John Jose T Tabligan</t>
  </si>
  <si>
    <t>RONALDO AFABLE TORRES</t>
  </si>
  <si>
    <t>Marcelino Hallig Abing</t>
  </si>
  <si>
    <t>Nelson Jr.  Sepe Lubguban</t>
  </si>
  <si>
    <t>Frazali  Sala Siega</t>
  </si>
  <si>
    <t>JESSELL S. PACTURAN</t>
  </si>
  <si>
    <t>Marissa S Lauresta</t>
  </si>
  <si>
    <t>Hermie A Villa Jr.</t>
  </si>
  <si>
    <t>JONAH BACORNAY ALGUSO</t>
  </si>
  <si>
    <t>Rosemarie Martinez Paguia</t>
  </si>
  <si>
    <t>Maricel Duque Felipe</t>
  </si>
  <si>
    <t>ROSA DALAGUETE MANUEL</t>
  </si>
  <si>
    <t>Lilit Paredes Parreñas</t>
  </si>
  <si>
    <t>Alona Hermidilla Reyes</t>
  </si>
  <si>
    <t>JOSE VICENTE RAYMUNDO MONTALLANA OPINION</t>
  </si>
  <si>
    <t>George Padre</t>
  </si>
  <si>
    <t>Magdalena V. Almira</t>
  </si>
  <si>
    <t>Restituto E. Mira, Jr.</t>
  </si>
  <si>
    <t>Lorenzo Soriano Velasco</t>
  </si>
  <si>
    <t>Luzvi Delos Santos Dabuet</t>
  </si>
  <si>
    <t>CARLOS D. PADILLO</t>
  </si>
  <si>
    <t>Ma. Inee Bachiller Altea</t>
  </si>
  <si>
    <t>NORBERTO , JR LUCASAN TALIDONG</t>
  </si>
  <si>
    <t>Lorna Andres Herrera</t>
  </si>
  <si>
    <t>Susan Tiamzon Frias</t>
  </si>
  <si>
    <t>Arjomae Penuela Jacob</t>
  </si>
  <si>
    <t>Vivian S. Cabando</t>
  </si>
  <si>
    <t>LEONILYN MACATANGAY NOCHE</t>
  </si>
  <si>
    <t>Margeline Daladag</t>
  </si>
  <si>
    <t>Ramon Jr. M. Villareal</t>
  </si>
  <si>
    <t>Artemio Amilagan Archibido</t>
  </si>
  <si>
    <t>Rosemarie P. Palma</t>
  </si>
  <si>
    <t>PRIMO C. ELEDA</t>
  </si>
  <si>
    <t>Ciscil B. Montemayor</t>
  </si>
  <si>
    <t>Feliciana  G. Dacanay</t>
  </si>
  <si>
    <t>GEFFREY BACHAR CATULIN</t>
  </si>
  <si>
    <t>Mary Grace L. Baarde</t>
  </si>
  <si>
    <t>Anna Mae B. Elemia</t>
  </si>
  <si>
    <t>MARIA TERESA HOCSON MIRABUENO</t>
  </si>
  <si>
    <t>RUBIE TAUTUAN QUIJANO</t>
  </si>
  <si>
    <t>Judy Caliguiran Bautista</t>
  </si>
  <si>
    <t>Nova Jennylou P Eguia</t>
  </si>
  <si>
    <t>PHET E CALINGASAN</t>
  </si>
  <si>
    <t>Consuelo L. Tubis</t>
  </si>
  <si>
    <t>Lusdoc, Jr. Peliño Atanacio</t>
  </si>
  <si>
    <t>Norlyn Payot Sundo</t>
  </si>
  <si>
    <t>Arsenia Legaspi Bayawa</t>
  </si>
  <si>
    <t>Filma Tulen Maghinay</t>
  </si>
  <si>
    <t>Bernalou Malsi Malaque</t>
  </si>
  <si>
    <t>Mikko S Duero</t>
  </si>
  <si>
    <t>CHARLIE CATCHERO QUIDET</t>
  </si>
  <si>
    <t>Jezryl M. Lobaton</t>
  </si>
  <si>
    <t>ROLAND MAYOL PEREZ</t>
  </si>
  <si>
    <t>MARIA CECILLE JAMITO MADERA</t>
  </si>
  <si>
    <t>ROLAND LAURETO OBLIG</t>
  </si>
  <si>
    <t>ROCHELLE LAMADORA GENORING</t>
  </si>
  <si>
    <t>Donato Silvano Advincula</t>
  </si>
  <si>
    <t>Anna Marie P. Basco</t>
  </si>
  <si>
    <t>Epelita Mumar Andoy</t>
  </si>
  <si>
    <t>Noel V. Alcain</t>
  </si>
  <si>
    <t>Anselmo L Sang Tian</t>
  </si>
  <si>
    <t>RAMIE FELARCA DETARO</t>
  </si>
  <si>
    <t>Allan Zonio Francisco</t>
  </si>
  <si>
    <t>Engr. Rodolfo Santos Nidoy, Jr.</t>
  </si>
  <si>
    <t>ISAGANI ARBOLEDA JAENA</t>
  </si>
  <si>
    <t>Michael Aquino Abar</t>
  </si>
  <si>
    <t>Honorata C Bautista</t>
  </si>
  <si>
    <t>Jocelyn Talanay Pantaleon</t>
  </si>
  <si>
    <t>Alvin R. San Pascual</t>
  </si>
  <si>
    <t>Joel Sampaga Columna</t>
  </si>
  <si>
    <t>Maria Lourdes Galanida Roldan</t>
  </si>
  <si>
    <t>Joemar Macaya Cag-ang</t>
  </si>
  <si>
    <t>Christopher V. Morales</t>
  </si>
  <si>
    <t>Narciso Ganoza Tabudlong</t>
  </si>
  <si>
    <t>Letecia Arevalo Peñalosa</t>
  </si>
  <si>
    <t>Eric G Vergara</t>
  </si>
  <si>
    <t>Amador Baldos Diaz</t>
  </si>
  <si>
    <t>Gretchen Martus Alvarez</t>
  </si>
  <si>
    <t>IMELDA  C.  DELLORO</t>
  </si>
  <si>
    <t>Rosemary R. Juan</t>
  </si>
  <si>
    <t>Milagros M. Perez</t>
  </si>
  <si>
    <t>Mary Fe Ramos Nunag</t>
  </si>
  <si>
    <t>DONNA M PADUA</t>
  </si>
  <si>
    <t>MARY JANE CLAUDIO SUNGA</t>
  </si>
  <si>
    <t>June Evita Cabansag Cesar</t>
  </si>
  <si>
    <t>DANILO T VILLANUEVA</t>
  </si>
  <si>
    <t>Cynthia See</t>
  </si>
  <si>
    <t>Ruby Anna S. Benamir</t>
  </si>
  <si>
    <t>BIDS And Awards Committee</t>
  </si>
  <si>
    <t>Pedro F Caminero Jr.</t>
  </si>
  <si>
    <t>Nolita Laberinto Acero</t>
  </si>
  <si>
    <t>Eulogio Calosayan De Paz</t>
  </si>
  <si>
    <t>EVELYN NALAUNAN DALISAY</t>
  </si>
  <si>
    <t>Jomar Parohinog Tejada</t>
  </si>
  <si>
    <t>Anna Mae Voloso Acopio</t>
  </si>
  <si>
    <t>Wilson Merle Lopez</t>
  </si>
  <si>
    <t>LEO B CABUG</t>
  </si>
  <si>
    <t>Dario Narvaez Camarador</t>
  </si>
  <si>
    <t>Ronald Bacolod Cristi</t>
  </si>
  <si>
    <t>Robert Pineda Lucero</t>
  </si>
  <si>
    <t>MICHAEL FELICITAS DELA CRUZ</t>
  </si>
  <si>
    <t>Renel E. Forio</t>
  </si>
  <si>
    <t>Ramon Gamboa Burgos</t>
  </si>
  <si>
    <t>Nenita  S.  Palomo</t>
  </si>
  <si>
    <t>LORENA BUDIONGAN AMBA</t>
  </si>
  <si>
    <t>JONATHAN JOSE CERENO CALDERON</t>
  </si>
  <si>
    <t>Gil Banal Salen</t>
  </si>
  <si>
    <t>Janine M. Balilia</t>
  </si>
  <si>
    <t>AGNES PERMINOFF AVENIDO</t>
  </si>
  <si>
    <t>Arielyn L. Fernandez</t>
  </si>
  <si>
    <t>Gina Marzan Alberto</t>
  </si>
  <si>
    <t>Desiree B. Macamay</t>
  </si>
  <si>
    <t>ENRIQUE ORBILLO</t>
  </si>
  <si>
    <t>Ria Maris Alaiza Caterial</t>
  </si>
  <si>
    <t>IRISH A TORINO</t>
  </si>
  <si>
    <t>DERRICK E. CHAVEZ</t>
  </si>
  <si>
    <t>Samson B. Quinito</t>
  </si>
  <si>
    <t>Ronald Allan V Ole</t>
  </si>
  <si>
    <t>Marshall Diomampo</t>
  </si>
  <si>
    <t>ISAGANI REYES CONCEPCION</t>
  </si>
  <si>
    <t>Natividad Reodique Loyola</t>
  </si>
  <si>
    <t>Francis Granados Enero</t>
  </si>
  <si>
    <t>Haide D. Daclan</t>
  </si>
  <si>
    <t>Raymond Tabason Timonera</t>
  </si>
  <si>
    <t>Flordelino Cacayurin</t>
  </si>
  <si>
    <t>Leilynn P Edar</t>
  </si>
  <si>
    <t>Ann F. Encarnacion</t>
  </si>
  <si>
    <t>VINCENT ANTHONY A NAGUIT</t>
  </si>
  <si>
    <t>Floro M Butulan</t>
  </si>
  <si>
    <t>CELSO A. MATIAS</t>
  </si>
  <si>
    <t>RAMON B. GACUTAN</t>
  </si>
  <si>
    <t>Vlademer Villalba Brit</t>
  </si>
  <si>
    <t>Aimee Antonio Jimeno</t>
  </si>
  <si>
    <t>Marites A. Bermal</t>
  </si>
  <si>
    <t>Jhuna C. Casillano</t>
  </si>
  <si>
    <t>Randy Miranda Matibag</t>
  </si>
  <si>
    <t>Glace L Osoteo</t>
  </si>
  <si>
    <t>Doris M. Malayao</t>
  </si>
  <si>
    <t>Ken Lois N. Olayres</t>
  </si>
  <si>
    <t>MELEN CAGAS ERNACIO</t>
  </si>
  <si>
    <t>Melinda R Abanilla</t>
  </si>
  <si>
    <t>Ma. Lynbert D. Dulpina Dominos Dulpina</t>
  </si>
  <si>
    <t>APRIL JOY PELAGIO GENIT</t>
  </si>
  <si>
    <t>Marilou A. Gecosala</t>
  </si>
  <si>
    <t>Raymart   S.  Adonis</t>
  </si>
  <si>
    <t>Salvador Onating Ochavo Jr.</t>
  </si>
  <si>
    <t>GEMMA P. CASTRO</t>
  </si>
  <si>
    <t>IRENEA Ortiza DELA TORRE</t>
  </si>
  <si>
    <t>Reynaldo Luna  Gresos</t>
  </si>
  <si>
    <t>Herbert Bodoso</t>
  </si>
  <si>
    <t>segrid sahagon dacanay</t>
  </si>
  <si>
    <t>JESUS S. BOJA</t>
  </si>
  <si>
    <t>Fe Timkang Mangaro</t>
  </si>
  <si>
    <t>Rosalie Plaza Espinoza</t>
  </si>
  <si>
    <t>Noelle Grace Bandonill Rillon</t>
  </si>
  <si>
    <t>Allan C. Cauilan</t>
  </si>
  <si>
    <t>Marissa Dela Cruz Brigoli</t>
  </si>
  <si>
    <t>SHIRLEY GULLA</t>
  </si>
  <si>
    <t>Rolando Nas Canon</t>
  </si>
  <si>
    <t>FILEMON LIJOC MADRANGKA</t>
  </si>
  <si>
    <t>Narciso Bagiwa Bagawi</t>
  </si>
  <si>
    <t>ANASTACIO H. NUÑEZ, III</t>
  </si>
  <si>
    <t>BRIGETTE JOY PUNZALAN ILAGAN</t>
  </si>
  <si>
    <t>Felyn  Chavez  Febrio</t>
  </si>
  <si>
    <t>Ariel Ardales Buiza</t>
  </si>
  <si>
    <t>Rison Alejo</t>
  </si>
  <si>
    <t>Melchor O Quinto</t>
  </si>
  <si>
    <t>LESLIE NUÑEZ MAGCAMIT</t>
  </si>
  <si>
    <t>Shiela Cueto Zulueta</t>
  </si>
  <si>
    <t>EVELYN GARCIA</t>
  </si>
  <si>
    <t>George uy So</t>
  </si>
  <si>
    <t>Jose Felix Arsenal Pasay</t>
  </si>
  <si>
    <t>Mario Bacay</t>
  </si>
  <si>
    <t>Florenda Aninon Ricaplaza</t>
  </si>
  <si>
    <t>John Edmar Galang Barairo</t>
  </si>
  <si>
    <t>MACRINA A DECANO</t>
  </si>
  <si>
    <t>Merlinda Morenos Gayatao</t>
  </si>
  <si>
    <t>Cristina L. Permejo</t>
  </si>
  <si>
    <t>ELIZALDE P. TABON</t>
  </si>
  <si>
    <t>Adelaida Tosing Diega</t>
  </si>
  <si>
    <t>Alicia Bagalay Belen</t>
  </si>
  <si>
    <t>Ariel Dela Cruz de Borja</t>
  </si>
  <si>
    <t>GEORGIE FRUGALIDAD CORNELIO</t>
  </si>
  <si>
    <t>Lolita Fabre Ismael</t>
  </si>
  <si>
    <t>Fresha Prill Grepaldeo Calutan</t>
  </si>
  <si>
    <t>SHAERA CORTEZ PABALLA</t>
  </si>
  <si>
    <t>Magna Ramos Macalma</t>
  </si>
  <si>
    <t>Arnel L. Poja</t>
  </si>
  <si>
    <t>Dr. Peter S. Sobrevega</t>
  </si>
  <si>
    <t>Julita Llanes Macaranas</t>
  </si>
  <si>
    <t>JOHN REY JERAO PEREZ</t>
  </si>
  <si>
    <t>Lydia C. Basco</t>
  </si>
  <si>
    <t>Angeline Victoria Acosta Madrona</t>
  </si>
  <si>
    <t>Gazelle Ducusin Ochoco</t>
  </si>
  <si>
    <t>Eugene Jr. I. Macahis</t>
  </si>
  <si>
    <t>YONNIE CHRISTIE MOLINA PASCUA</t>
  </si>
  <si>
    <t>DENIA B. LAMPARAS</t>
  </si>
  <si>
    <t>Jenny Guia Quisadi Guia Quisadio</t>
  </si>
  <si>
    <t>VENCHITO MANZANILLA</t>
  </si>
  <si>
    <t>Dingras E. Balbona</t>
  </si>
  <si>
    <t>Sunshine Rhina R Caunin</t>
  </si>
  <si>
    <t>Vanneza F Morgado</t>
  </si>
  <si>
    <t>Bea Tan Anno</t>
  </si>
  <si>
    <t>ELENITA LERIT</t>
  </si>
  <si>
    <t>FRANCES SHANELLE GENERATO SALINAS</t>
  </si>
  <si>
    <t>Jane Verceles Talento</t>
  </si>
  <si>
    <t>JESUS S. PUNZALAN</t>
  </si>
  <si>
    <t>Jamaica Gruesco Ebrada</t>
  </si>
  <si>
    <t>Enrico S Lazaro</t>
  </si>
  <si>
    <t>Ireene Garcia Igot</t>
  </si>
  <si>
    <t>Judith Nobleza Delanda</t>
  </si>
  <si>
    <t>Eugenio T. Rosete</t>
  </si>
  <si>
    <t>Celeste Ann Laure Capilla</t>
  </si>
  <si>
    <t>Engr. Noel Galacgac Coloma</t>
  </si>
  <si>
    <t>Noemi Dizon Bolinas</t>
  </si>
  <si>
    <t>Rustico B Badilla</t>
  </si>
  <si>
    <t>RAYMOND M SALVADOR</t>
  </si>
  <si>
    <t>Kim M. Moral</t>
  </si>
  <si>
    <t>Nerio D Fragata</t>
  </si>
  <si>
    <t>PAZ COLLANTES CAGUIMBAL</t>
  </si>
  <si>
    <t>EMILY DEL ROSARIO MENDOZA</t>
  </si>
  <si>
    <t>Maria Fe Able Ballescas</t>
  </si>
  <si>
    <t>Marilou Sampaton Bernas</t>
  </si>
  <si>
    <t>MARIBEL A. CEREZO</t>
  </si>
  <si>
    <t>Ambrocio Zapata Azares</t>
  </si>
  <si>
    <t>RAYMUNDO ILDEFONSO BALAGTAS REYES</t>
  </si>
  <si>
    <t>Milagros Elisa  V.  Federizo</t>
  </si>
  <si>
    <t>Rosalina Ecuan Bayaona</t>
  </si>
  <si>
    <t>Verna A. Bonifacio</t>
  </si>
  <si>
    <t>Reynaldo Ninon Manaog</t>
  </si>
  <si>
    <t>Eliazar Musa Firmalo</t>
  </si>
  <si>
    <t>Cynthia Cortes Gabayoyo</t>
  </si>
  <si>
    <t>Edsel Evangelista Espino</t>
  </si>
  <si>
    <t>Hayria Gonsang Panalindang</t>
  </si>
  <si>
    <t>SALVADOR , JR. GRANADOS REGIS</t>
  </si>
  <si>
    <t>Mr. Clarence Bolante Bunan</t>
  </si>
  <si>
    <t>Sostenes M. Palero</t>
  </si>
  <si>
    <t>Oscar C. Galimpin</t>
  </si>
  <si>
    <t>Ramil Villaruel</t>
  </si>
  <si>
    <t>MONALINA GEBONGA BAINGAN</t>
  </si>
  <si>
    <t>Rowel Galo Panilawon</t>
  </si>
  <si>
    <t>Debby Catherine Castillo Segui</t>
  </si>
  <si>
    <t>Eugene Barocan Damasco</t>
  </si>
  <si>
    <t>Roland Pangilinan Soriano</t>
  </si>
  <si>
    <t>Aileen  Emar</t>
  </si>
  <si>
    <t>Josephine Taruc Ocampo</t>
  </si>
  <si>
    <t>Frederick Misamis Docdoc</t>
  </si>
  <si>
    <t>ELMER CASTILLO ABENOJAR</t>
  </si>
  <si>
    <t>BAC SECRETARIAT STAFF</t>
  </si>
  <si>
    <t>Romeo Dumadaug Palmares</t>
  </si>
  <si>
    <t>Genaro C. Garay</t>
  </si>
  <si>
    <t>Mercedes Inway Luto</t>
  </si>
  <si>
    <t>Agnes Padro Tampico</t>
  </si>
  <si>
    <t>Genalyn T Vallejera</t>
  </si>
  <si>
    <t>Raquel Gonzales De Jesus</t>
  </si>
  <si>
    <t>LUZVIMINDA CHAN BAMBICO</t>
  </si>
  <si>
    <t>HENY JANE VISEN JABONETE</t>
  </si>
  <si>
    <t>Gilmore Ray Lopez Saniel</t>
  </si>
  <si>
    <t>HAZEL C. ARTIEDA</t>
  </si>
  <si>
    <t>Letecia D. Ragasa</t>
  </si>
  <si>
    <t>May Catherine H. Gaviola</t>
  </si>
  <si>
    <t>Pamela Sosa</t>
  </si>
  <si>
    <t>Steve Nichols S. Dionaldo</t>
  </si>
  <si>
    <t>Joel De Leon</t>
  </si>
  <si>
    <t>RUTRIFE  JAPAY MALIGRO</t>
  </si>
  <si>
    <t>Kristoffer Callangan Mangussad</t>
  </si>
  <si>
    <t>Eddie De Vera Cancino</t>
  </si>
  <si>
    <t>Marilyn Dote Delos Santos</t>
  </si>
  <si>
    <t>Emerlynda Castro Villaruel</t>
  </si>
  <si>
    <t>LOUISE MYKAELA ROBLES</t>
  </si>
  <si>
    <t>Janet M Pasamba</t>
  </si>
  <si>
    <t>Robert A Santillano</t>
  </si>
  <si>
    <t>ERNESTO KIM BALANI TORREFRANCA</t>
  </si>
  <si>
    <t>JAKE CYRIL N. SOLITE</t>
  </si>
  <si>
    <t>ANNIEREY PADSUNGAY TELLES</t>
  </si>
  <si>
    <t>Jerson R.  Zulueta</t>
  </si>
  <si>
    <t>Corazon Parido Plameras</t>
  </si>
  <si>
    <t>Sweden Mangaran Dela Cruz</t>
  </si>
  <si>
    <t>Presentacion "Glenda" Medenilla Gajes</t>
  </si>
  <si>
    <t>Mohammad-Ali Barambangan Ambor</t>
  </si>
  <si>
    <t>MARIA MARICHU G. PACATANG</t>
  </si>
  <si>
    <t>Rodelito La Fuente Dacup</t>
  </si>
  <si>
    <t>Geronimo Galang Greganda</t>
  </si>
  <si>
    <t>Ruben Garcia Marudo</t>
  </si>
  <si>
    <t>Miguel Sosoco Katangkatang</t>
  </si>
  <si>
    <t>Benjamin Jr. Bertiz Javellana</t>
  </si>
  <si>
    <t>Erwin R Suficiencia</t>
  </si>
  <si>
    <t>Floramie  Dumabok  Matus</t>
  </si>
  <si>
    <t>Arturo Velasco Maglaya</t>
  </si>
  <si>
    <t>Albert C. Villamor</t>
  </si>
  <si>
    <t>GREGORIO P RODRIGUEZ</t>
  </si>
  <si>
    <t>JUSTIN IVAN GAVALEZ AMAT</t>
  </si>
  <si>
    <t>MARCHETA CALAMBA BRINA</t>
  </si>
  <si>
    <t>Consolacion Santiago Guilalas</t>
  </si>
  <si>
    <t>Jolina Bonleon Vital</t>
  </si>
  <si>
    <t>SINSP ALAN GARANCHON GATUNGAY</t>
  </si>
  <si>
    <t>Heracleo Belen</t>
  </si>
  <si>
    <t>GLENDA S. RUIZ</t>
  </si>
  <si>
    <t>Jenny Quimpan Puli</t>
  </si>
  <si>
    <t>EDISON ALPARAN LORIAGA</t>
  </si>
  <si>
    <t>Nemia Barradas Monzones</t>
  </si>
  <si>
    <t>Wilson Garagan Viloria II</t>
  </si>
  <si>
    <t>Noel A Tubac</t>
  </si>
  <si>
    <t>Ria Kris O. Tibayan</t>
  </si>
  <si>
    <t>venus Torres Palciso</t>
  </si>
  <si>
    <t>Christine C. Santos</t>
  </si>
  <si>
    <t>Rodolfo Bitaga Gaboten</t>
  </si>
  <si>
    <t>Constancia  C.  Broñozo</t>
  </si>
  <si>
    <t>Genesis Weiyn  Blando  Lee</t>
  </si>
  <si>
    <t>Ignacio, Jr. G Gelacio</t>
  </si>
  <si>
    <t>CHAVELLE FERRAREN ALONSO</t>
  </si>
  <si>
    <t>Antonietta Alfante Nastor</t>
  </si>
  <si>
    <t>Jeffrey Ross Mendoza Navarro</t>
  </si>
  <si>
    <t>Roberto Dungog Pugoy</t>
  </si>
  <si>
    <t>Rochelle Marie Pajarillo Bondad</t>
  </si>
  <si>
    <t>Rowena Teope Catapang</t>
  </si>
  <si>
    <t>Rhea Magsombol Abreu</t>
  </si>
  <si>
    <t>Blas V. Lamug Jr.</t>
  </si>
  <si>
    <t>CYNTHIA MARIE DE SAGUN</t>
  </si>
  <si>
    <t>MA. CHRISTINE  DAGUIO  LACUESTA</t>
  </si>
  <si>
    <t>TEODORO E DAVID</t>
  </si>
  <si>
    <t>Ruby Panes Belarga</t>
  </si>
  <si>
    <t>JED ARIES FAJARDO CASTRO</t>
  </si>
  <si>
    <t>J0evir S. Gentuli0</t>
  </si>
  <si>
    <t>Elvie Quito</t>
  </si>
  <si>
    <t>Ana Liza Calma Zablan</t>
  </si>
  <si>
    <t>Daven O. Herodias</t>
  </si>
  <si>
    <t>Jephonie Ganibe Lumansoy</t>
  </si>
  <si>
    <t>GIL GABRIEL HIDALGO BORDADO III</t>
  </si>
  <si>
    <t>Delmor De Vera Pascual</t>
  </si>
  <si>
    <t>Ranjev M Garcia</t>
  </si>
  <si>
    <t>Mercedita Delantar Villarubia</t>
  </si>
  <si>
    <t>Rowena R. Roseos</t>
  </si>
  <si>
    <t>Ramil Mendez Taculod</t>
  </si>
  <si>
    <t>Rosmendo Jr C.  Bongocan</t>
  </si>
  <si>
    <t>ISIDORO SOTALBO</t>
  </si>
  <si>
    <t>CHARMAINE CRUZ</t>
  </si>
  <si>
    <t>Mary Ann Jacaba Hambre</t>
  </si>
  <si>
    <t>Arnel Z. Dela Cruz</t>
  </si>
  <si>
    <t>Ma. Stineli B Magdadaro</t>
  </si>
  <si>
    <t>JUDITO RODRIGUEZ ILIGAN</t>
  </si>
  <si>
    <t>Noreen Lagahit</t>
  </si>
  <si>
    <t>Ma. Carmen Cadag Taopo</t>
  </si>
  <si>
    <t>Ma. Marites A Cabral</t>
  </si>
  <si>
    <t>Fatima D Cawigan</t>
  </si>
  <si>
    <t>Necitas G Bihay</t>
  </si>
  <si>
    <t>HELEN QUIRONA DE LUNA</t>
  </si>
  <si>
    <t>Sherryl Dumaicos Sampalucia</t>
  </si>
  <si>
    <t>Eduardo M. Doria</t>
  </si>
  <si>
    <t>Arlene De Rama Manjares</t>
  </si>
  <si>
    <t>Riza Tan Bautista</t>
  </si>
  <si>
    <t>Michael Angelo San Pedro</t>
  </si>
  <si>
    <t>MARITESS CAYACO MARCOS</t>
  </si>
  <si>
    <t>Jeffrey B. Rafil</t>
  </si>
  <si>
    <t>Norbert C Sotoya II</t>
  </si>
  <si>
    <t>HELEN C. SILVA</t>
  </si>
  <si>
    <t>Marck Tristan B. Martin</t>
  </si>
  <si>
    <t>Generoso Emplica Evangelio</t>
  </si>
  <si>
    <t>Connie Beb Torralba</t>
  </si>
  <si>
    <t>Glenda Tribunal Sarabia</t>
  </si>
  <si>
    <t>Marilou Tamayo Quitlong</t>
  </si>
  <si>
    <t>Raymond Romero Magpili</t>
  </si>
  <si>
    <t>Alver Abaya Mijares</t>
  </si>
  <si>
    <t>PAUL BANTUGAN CUARTERO</t>
  </si>
  <si>
    <t>VENUS ESCOBAR TORRES</t>
  </si>
  <si>
    <t>RICARDO LAPAZ ESCOBA</t>
  </si>
  <si>
    <t>Evangeline Pascua Guzman</t>
  </si>
  <si>
    <t>VIRGIN GANIR MALICAD</t>
  </si>
  <si>
    <t>Sharon Madamba Agbayani</t>
  </si>
  <si>
    <t>Melinda Tariman Brutas</t>
  </si>
  <si>
    <t>Ma. Veronica Mahilum De Guzman</t>
  </si>
  <si>
    <t>Erlinda S Pesado</t>
  </si>
  <si>
    <t>Asunypel Tandug Julao</t>
  </si>
  <si>
    <t>Florencio Jr. F. Andal</t>
  </si>
  <si>
    <t>JOSEPH BITAGON</t>
  </si>
  <si>
    <t>JENILYN RONQUILLO NEVALGA</t>
  </si>
  <si>
    <t>Margie A Calar</t>
  </si>
  <si>
    <t>CIRILA A. ESTRELLA</t>
  </si>
  <si>
    <t>MARILYN DURAN BINONDO</t>
  </si>
  <si>
    <t>JORJAN BECKER FEDERISO</t>
  </si>
  <si>
    <t>Melinda Dizon</t>
  </si>
  <si>
    <t>JESSIE B COROTAN</t>
  </si>
  <si>
    <t>MERLINDA M. ANG</t>
  </si>
  <si>
    <t>RAYMUND R. MATEO</t>
  </si>
  <si>
    <t>Rolito Gonzaga Daguipa</t>
  </si>
  <si>
    <t>Charito G Yulo</t>
  </si>
  <si>
    <t>Nenita P. Oriel</t>
  </si>
  <si>
    <t>SUSAN QUITLONG SISON</t>
  </si>
  <si>
    <t>avelino costanilla</t>
  </si>
  <si>
    <t>Ma. Nanette Patriarca Curimatmat</t>
  </si>
  <si>
    <t>Rose Andrea V. Milaor</t>
  </si>
  <si>
    <t>Mary Ann Banco Bunag</t>
  </si>
  <si>
    <t>BENJAMIN N. LAURENCIANA</t>
  </si>
  <si>
    <t>Alfonso R Zara III</t>
  </si>
  <si>
    <t>Delia G Todco</t>
  </si>
  <si>
    <t>Conrado Bandoquillo Ragay</t>
  </si>
  <si>
    <t>Norjannah P Lucman</t>
  </si>
  <si>
    <t>Renan Ferrer Mangle</t>
  </si>
  <si>
    <t xml:space="preserve">Ronnie  ? Ereguero </t>
  </si>
  <si>
    <t>Racky Arnoco</t>
  </si>
  <si>
    <t>Danilo P Polestico</t>
  </si>
  <si>
    <t>Abdulnasser M Kali</t>
  </si>
  <si>
    <t>Jasmine Deguito</t>
  </si>
  <si>
    <t>Mark Neil Ansagay Recaido</t>
  </si>
  <si>
    <t>Arthur Olandria Yana</t>
  </si>
  <si>
    <t>Karen Wright Ramirez</t>
  </si>
  <si>
    <t>Cindy Ramos Tiu</t>
  </si>
  <si>
    <t>MELANIE PINEDA BACSAIN</t>
  </si>
  <si>
    <t>Jessa Marie Trasmonte Ducay</t>
  </si>
  <si>
    <t>Erika Bernice C Ocampo</t>
  </si>
  <si>
    <t>Eugene G. Galula</t>
  </si>
  <si>
    <t>EDGIE SIMON DIMALANTA</t>
  </si>
  <si>
    <t>FRANCIS ELLORIMO</t>
  </si>
  <si>
    <t>DEZERIE BAUTISTA MECIJA</t>
  </si>
  <si>
    <t>Ma. Chona Roa Fabia</t>
  </si>
  <si>
    <t>Mayo Resuma Pelagio</t>
  </si>
  <si>
    <t>Salvador Sabado Sangalia</t>
  </si>
  <si>
    <t>FELMA M. DEZA</t>
  </si>
  <si>
    <t>Melencia M. Novero</t>
  </si>
  <si>
    <t>Fidencio Cañete Paranas Jr.</t>
  </si>
  <si>
    <t>Ignacio Geno P. Eugenio</t>
  </si>
  <si>
    <t>Jessie So Buendia</t>
  </si>
  <si>
    <t>Eden Echalas Bandoquillo</t>
  </si>
  <si>
    <t>LEONORA S ALINSUB</t>
  </si>
  <si>
    <t>Verginia Nioda Ochavillo</t>
  </si>
  <si>
    <t>Consorcio Manlangit Ferrer</t>
  </si>
  <si>
    <t>Leonardo Cabahug Caburatan</t>
  </si>
  <si>
    <t>MARINA VILLANUEVA</t>
  </si>
  <si>
    <t>Jean Galang Roxas</t>
  </si>
  <si>
    <t>Marites Dela Cruz</t>
  </si>
  <si>
    <t>SALVE REGINA A. RUERO</t>
  </si>
  <si>
    <t>Melinda P Orenza</t>
  </si>
  <si>
    <t>Sukarno J. Minsuarez</t>
  </si>
  <si>
    <t>Karen Christine O. Onanad</t>
  </si>
  <si>
    <t>Carmen B. Cortes</t>
  </si>
  <si>
    <t>LANE EVANGELISTA PAULAR</t>
  </si>
  <si>
    <t>JOSE MARTINEZ GRANDE</t>
  </si>
  <si>
    <t>Randy L Lubis</t>
  </si>
  <si>
    <t>Dennis Bandal Dalucapas</t>
  </si>
  <si>
    <t>Cayylord D. Niala</t>
  </si>
  <si>
    <t>Jesusa Bagnol Jalad</t>
  </si>
  <si>
    <t>Marito V. Catorce</t>
  </si>
  <si>
    <t>Robert Floyd Nangkil Salise</t>
  </si>
  <si>
    <t>Jimmy  Bobis  Monteras</t>
  </si>
  <si>
    <t>IGNACIO S PANTI</t>
  </si>
  <si>
    <t>Ruiz Lloyd Gonzales Magcamit</t>
  </si>
  <si>
    <t>Avin  Vargas  Surban</t>
  </si>
  <si>
    <t>Nixon B Sañano</t>
  </si>
  <si>
    <t>Emily  Cortez Gonzalez</t>
  </si>
  <si>
    <t>NIÑO ROSANA TIAMA</t>
  </si>
  <si>
    <t>Lope Mario B. Lina</t>
  </si>
  <si>
    <t>Iluminado Ticoy Timon</t>
  </si>
  <si>
    <t>Angelie de la Llave Intico</t>
  </si>
  <si>
    <t>CHARLENE DE NAVA ALDEA</t>
  </si>
  <si>
    <t>Epimaco M. Ilagan Jr.</t>
  </si>
  <si>
    <t>Marcelino Jr. R. Bebanco</t>
  </si>
  <si>
    <t>ALJEAN SOON DELWESTE</t>
  </si>
  <si>
    <t>Danilo B. Solis</t>
  </si>
  <si>
    <t>Edmar Pascua</t>
  </si>
  <si>
    <t>Haziel Joy Adriano</t>
  </si>
  <si>
    <t>JASMIN  LABTIC  MONSALE</t>
  </si>
  <si>
    <t>Lizette Ann Manlulu</t>
  </si>
  <si>
    <t>Rex Aquiatan Agustin</t>
  </si>
  <si>
    <t>Maureen P. Camilo</t>
  </si>
  <si>
    <t>Evangeline C Bongcac</t>
  </si>
  <si>
    <t>CRISALDO T MERCADER</t>
  </si>
  <si>
    <t>Analiza Camsa Lomedeg</t>
  </si>
  <si>
    <t>Charlene Dizon Flores</t>
  </si>
  <si>
    <t>Domingo Vasquez Capistrano</t>
  </si>
  <si>
    <t>Rico Basilio Macabare</t>
  </si>
  <si>
    <t>Fercilyn E Grospe</t>
  </si>
  <si>
    <t>Lea Cachila Munez</t>
  </si>
  <si>
    <t>Farhan M Ambiong</t>
  </si>
  <si>
    <t>Norman Casiple Ardina</t>
  </si>
  <si>
    <t>Marites M. Ermitanio</t>
  </si>
  <si>
    <t>RUBY QUEMERISTA PACAMO</t>
  </si>
  <si>
    <t>Antonio, Jr. Sarigumba Acuña</t>
  </si>
  <si>
    <t>DINDO BABATIO CONGE</t>
  </si>
  <si>
    <t>RICKY CRUIZ POCON</t>
  </si>
  <si>
    <t>Jasmin Macaspag Dacaynos</t>
  </si>
  <si>
    <t>Conchita Caranzo</t>
  </si>
  <si>
    <t>Zenaida Sahagun</t>
  </si>
  <si>
    <t>Mark Daruca Petran</t>
  </si>
  <si>
    <t>Madrigal B. Larang</t>
  </si>
  <si>
    <t>Cyril D. Valencerina</t>
  </si>
  <si>
    <t>ETHEL M. GOH</t>
  </si>
  <si>
    <t>FLORELYN BUOT LACHARON</t>
  </si>
  <si>
    <t>Ellen M. Montoya</t>
  </si>
  <si>
    <t>Florante Tomas Ruiz</t>
  </si>
  <si>
    <t>Jesse R. Quilantang</t>
  </si>
  <si>
    <t>ROSARIO TAGAYO TILLAY</t>
  </si>
  <si>
    <t>Sherry P Villanueva</t>
  </si>
  <si>
    <t>Jeric Edem Menoy</t>
  </si>
  <si>
    <t>Marla PAMISARAN Andal</t>
  </si>
  <si>
    <t>Engr. Arnulfo F. Tena</t>
  </si>
  <si>
    <t>RUEL  P. MANTANTUAN</t>
  </si>
  <si>
    <t>Janet Tagpis Santos</t>
  </si>
  <si>
    <t>Jaime Dapula Omaña</t>
  </si>
  <si>
    <t>Amelita Miras Mercado</t>
  </si>
  <si>
    <t>Eva  Nabejet Dulnuan</t>
  </si>
  <si>
    <t>JUNA T. TIANGCO</t>
  </si>
  <si>
    <t>Leo Distor Huinda</t>
  </si>
  <si>
    <t>Harold P Morri</t>
  </si>
  <si>
    <t>GERARDO DALINOC CLEMENTE</t>
  </si>
  <si>
    <t>EDEN SARMIENTO CAIN</t>
  </si>
  <si>
    <t>Gigi Niog Fatingana</t>
  </si>
  <si>
    <t>Rhonna Regina  Puno</t>
  </si>
  <si>
    <t>Rosalie  Demontaño De Justo</t>
  </si>
  <si>
    <t>Ellen Padel Platil</t>
  </si>
  <si>
    <t>AICEL NECY F MARTINEZ</t>
  </si>
  <si>
    <t>Anavie Amelista Orcinado</t>
  </si>
  <si>
    <t>Ervin C. San Jose</t>
  </si>
  <si>
    <t>Avelino Guerrero Abello</t>
  </si>
  <si>
    <t>Ivylea Cantago</t>
  </si>
  <si>
    <t>MILDRED AUSA DELOS SANTOS</t>
  </si>
  <si>
    <t>Maximo C. Allorin</t>
  </si>
  <si>
    <t>Janilyn Mae Roque Tahimic</t>
  </si>
  <si>
    <t>RAMONA CAMPOMANES OPEÑA</t>
  </si>
  <si>
    <t>Larisa Salgado Donguila</t>
  </si>
  <si>
    <t>JOEL T. BEHIS</t>
  </si>
  <si>
    <t>Jose Mario C Viernes</t>
  </si>
  <si>
    <t>Zosimalinda Blanco Estella</t>
  </si>
  <si>
    <t>Rizza C. Dela Cruz</t>
  </si>
  <si>
    <t>Shirley R. Dominador</t>
  </si>
  <si>
    <t>Neciforo Asuncion</t>
  </si>
  <si>
    <t>Ma. Shirley Andarza Baliauas</t>
  </si>
  <si>
    <t>Dionesio Temelo Tristeza</t>
  </si>
  <si>
    <t>Mary Rose  Tawas  Gabales</t>
  </si>
  <si>
    <t>KAREN KAY ANNE RECIDO</t>
  </si>
  <si>
    <t>Karla A. Gencianos</t>
  </si>
  <si>
    <t>SATURNINA P. REAL</t>
  </si>
  <si>
    <t>Shirly Quinto Isorena</t>
  </si>
  <si>
    <t>RODOLFO SALUD Palma</t>
  </si>
  <si>
    <t>Evelyn C. Padayhag</t>
  </si>
  <si>
    <t>Leonarda Radovan Aleta</t>
  </si>
  <si>
    <t>Geronimo Genil Jr.</t>
  </si>
  <si>
    <t>Myrna  C.  Satuito</t>
  </si>
  <si>
    <t>Alden  Alvarez</t>
  </si>
  <si>
    <t>RANDY ALLEN LAYAGUIN</t>
  </si>
  <si>
    <t>JOHN MICHAEL DE FRANCIA</t>
  </si>
  <si>
    <t>Rebecca N. Tanate</t>
  </si>
  <si>
    <t>Lily May T. Julao</t>
  </si>
  <si>
    <t>Ismael G. Santillan</t>
  </si>
  <si>
    <t>Irene Enriquez</t>
  </si>
  <si>
    <t>Nelia B. Mejia</t>
  </si>
  <si>
    <t>Lauro Bagaoisan Cruz de la Jr.</t>
  </si>
  <si>
    <t>LINA COLMINAS ZARCO</t>
  </si>
  <si>
    <t>Odessa O Mayangitan</t>
  </si>
  <si>
    <t>Donabel Valiente Gulaga</t>
  </si>
  <si>
    <t>BENJIE ECHAVIA MALIGRO</t>
  </si>
  <si>
    <t>Eustaquio Ligutan</t>
  </si>
  <si>
    <t>Emilia Sales Quilet</t>
  </si>
  <si>
    <t>Pedro F De Guzman</t>
  </si>
  <si>
    <t>jude atutubo rico</t>
  </si>
  <si>
    <t>GLADYS GANITANO BAGOOD</t>
  </si>
  <si>
    <t>Jorge A. Albinda</t>
  </si>
  <si>
    <t>JOSE TEPPANG GALACINAO</t>
  </si>
  <si>
    <t>Remigio Lago Blanco</t>
  </si>
  <si>
    <t>Leah S Osorio</t>
  </si>
  <si>
    <t>Gertrude T. Daguio</t>
  </si>
  <si>
    <t>Nikkolo Marco Aurelio V. Cortes</t>
  </si>
  <si>
    <t>RENE (BOY) A. ANGELES</t>
  </si>
  <si>
    <t>Rowena A. Bañaga</t>
  </si>
  <si>
    <t>Jaime S.J. Javellana</t>
  </si>
  <si>
    <t>Noel Bahoy Esplana</t>
  </si>
  <si>
    <t>FRANCISCO , JR. YGRUBAY LABRAGUE</t>
  </si>
  <si>
    <t>PROCESO M. KADAVERO</t>
  </si>
  <si>
    <t>Milagros Berganio Abaquita</t>
  </si>
  <si>
    <t>ELIZABETH B MEDINA</t>
  </si>
  <si>
    <t>Ma Christina Sorilla Segura</t>
  </si>
  <si>
    <t>Khristine Aquino Balagtas</t>
  </si>
  <si>
    <t>Hermenigilda A. Aposaga</t>
  </si>
  <si>
    <t>Shirley Cua San Luis</t>
  </si>
  <si>
    <t>Belna M Acobo</t>
  </si>
  <si>
    <t>Maria Agnes Gonzales Tacadena</t>
  </si>
  <si>
    <t>Erlindo Jr. Cabug</t>
  </si>
  <si>
    <t>Myla Dela Cruz Gepitan</t>
  </si>
  <si>
    <t>Floringaile Alvarez Daquinag</t>
  </si>
  <si>
    <t>Glyza  Ampo  Landar</t>
  </si>
  <si>
    <t>Antonio Cagdan Failoga</t>
  </si>
  <si>
    <t>Renzjay Antonio Linsangan</t>
  </si>
  <si>
    <t>ATTY. EDGARDO J. GIL</t>
  </si>
  <si>
    <t>Nick Sumile Magsayo</t>
  </si>
  <si>
    <t>ROMIDA GAYANES NAAG</t>
  </si>
  <si>
    <t>BERNARDO  RAMOS</t>
  </si>
  <si>
    <t>EDLEY  CASAS ABARIDO</t>
  </si>
  <si>
    <t>Evelyn Larosa Cainglet</t>
  </si>
  <si>
    <t>armeilto s. robles</t>
  </si>
  <si>
    <t>Edgar M Mendoza</t>
  </si>
  <si>
    <t>Judima D Sebido</t>
  </si>
  <si>
    <t>Allan R. Guintapan</t>
  </si>
  <si>
    <t>Eulogio Pancho Sullano</t>
  </si>
  <si>
    <t>Nilo Eduarte Diesta</t>
  </si>
  <si>
    <t>Aaron John Reyes Liwag</t>
  </si>
  <si>
    <t>Marvin T. Mosteiro</t>
  </si>
  <si>
    <t>Aldren Galido Madelozo</t>
  </si>
  <si>
    <t>Gilbert Dador Solidum</t>
  </si>
  <si>
    <t>Melita Gidoman Apolinaria</t>
  </si>
  <si>
    <t>DANTE RESARE VENIAL</t>
  </si>
  <si>
    <t>SOTERO JR. FAVILA LOMIGO</t>
  </si>
  <si>
    <t>Alma Bella Mater Gilo</t>
  </si>
  <si>
    <t>Jaynorin S Kalilangan</t>
  </si>
  <si>
    <t>Maricel Balmes Recio</t>
  </si>
  <si>
    <t>Cesar Dura Poblacion</t>
  </si>
  <si>
    <t>MYRNA DACUYCUY</t>
  </si>
  <si>
    <t>Eden Esquejo Alimpuangon</t>
  </si>
  <si>
    <t>Estanly Pepito Ebo</t>
  </si>
  <si>
    <t>Ramon M De Leon</t>
  </si>
  <si>
    <t>juvelyn samson publeo</t>
  </si>
  <si>
    <t>Felibert  Ramos Salvador</t>
  </si>
  <si>
    <t>Norman G Mercado</t>
  </si>
  <si>
    <t>Ramil L. Caseda</t>
  </si>
  <si>
    <t>ANTONIO O. SANTOS</t>
  </si>
  <si>
    <t>Aida L Cerudo</t>
  </si>
  <si>
    <t>MARY JOYCE MANIBOG</t>
  </si>
  <si>
    <t>Rudy Escoto Metante</t>
  </si>
  <si>
    <t>Maylen Zorilla Damasing</t>
  </si>
  <si>
    <t>Czarina Facunla Palencia</t>
  </si>
  <si>
    <t>Cipriano Indencia Osunero</t>
  </si>
  <si>
    <t>Mia Marinelle Ramos Labuguen</t>
  </si>
  <si>
    <t>Roberto III Almazan Mirando</t>
  </si>
  <si>
    <t>Lauri Rose Salazar Coquia</t>
  </si>
  <si>
    <t>Zenaida Lozada Bontilao</t>
  </si>
  <si>
    <t>EULALIA CALUGAS CABALONGA</t>
  </si>
  <si>
    <t>Quintin Albarico Lim, JR</t>
  </si>
  <si>
    <t>Eva Marie Maglunsod Gapulan</t>
  </si>
  <si>
    <t>Virgilio Monsod Cabueñas</t>
  </si>
  <si>
    <t>Erasto A Llagas</t>
  </si>
  <si>
    <t>MELNER BONDAUG SAGARAY</t>
  </si>
  <si>
    <t>DIVINA TANEDO MANINANG</t>
  </si>
  <si>
    <t>ALVIN BALAQUIAO</t>
  </si>
  <si>
    <t>EDWIN REYES</t>
  </si>
  <si>
    <t>JULA S. GARGANTA</t>
  </si>
  <si>
    <t>Larry U Vicente</t>
  </si>
  <si>
    <t>Ramilito P. Paloma</t>
  </si>
  <si>
    <t>Rodolfo Lapitan Ladia, Jr.</t>
  </si>
  <si>
    <t>RUEL O. LOZANO</t>
  </si>
  <si>
    <t>Joan Marie N Napolis</t>
  </si>
  <si>
    <t>Maria Theresa Sta. Cruz Sanz</t>
  </si>
  <si>
    <t>Victor Yasul Navarro</t>
  </si>
  <si>
    <t>LORETA CAYABYAB MARIÑAS</t>
  </si>
  <si>
    <t>Jelenita D Limot</t>
  </si>
  <si>
    <t>Vivien S. Batobato</t>
  </si>
  <si>
    <t>HELBERT GARING CORCELLIS</t>
  </si>
  <si>
    <t>Mary Ann N. Escoto</t>
  </si>
  <si>
    <t>Monica A. Tuguinay</t>
  </si>
  <si>
    <t>Roberto Alngag Chulsi</t>
  </si>
  <si>
    <t>Elaine Bumanghat Immotna</t>
  </si>
  <si>
    <t>Margarita Mendoza Hipolito</t>
  </si>
  <si>
    <t>Hasmin Ticzon</t>
  </si>
  <si>
    <t>ZACARIAS CAPOL SUPLAAG</t>
  </si>
  <si>
    <t>Nerissa Lajom Villanueva</t>
  </si>
  <si>
    <t>Glodyn Trocio Talledo</t>
  </si>
  <si>
    <t>Joel M Ariones</t>
  </si>
  <si>
    <t>Dominador N Castañeto Jr.</t>
  </si>
  <si>
    <t>AIDA BUTIHIN MENDOZA</t>
  </si>
  <si>
    <t>MARIA ELIZA SANTANA SILLESA</t>
  </si>
  <si>
    <t>Honorato Aquino</t>
  </si>
  <si>
    <t>haily gapew patna-an</t>
  </si>
  <si>
    <t>BELEN BANDADA PARAÑAQUE</t>
  </si>
  <si>
    <t>ROSALYN AZUL CONDAT</t>
  </si>
  <si>
    <t>Sheryl  Pariñas Simbajon</t>
  </si>
  <si>
    <t>ROSELYN GARCIA LUGOD</t>
  </si>
  <si>
    <t>David T. Raguindin</t>
  </si>
  <si>
    <t>Roderick Limueco</t>
  </si>
  <si>
    <t>JOSELITO CRUZ MERCADO</t>
  </si>
  <si>
    <t>Arlene Maunahan Avejero</t>
  </si>
  <si>
    <t>RONALD S. BARRAMEDA</t>
  </si>
  <si>
    <t>Arthur Ryan  R.  Dupalco</t>
  </si>
  <si>
    <t>Eric G Limpin</t>
  </si>
  <si>
    <t>LEA CABRERA MENGULLO</t>
  </si>
  <si>
    <t>SHALIMAR S RAKIIN, MD, MPM,MSPH-mHA, CESE</t>
  </si>
  <si>
    <t>Editha P. Conejos</t>
  </si>
  <si>
    <t>Vicente Morata</t>
  </si>
  <si>
    <t>DARIO SUSON TARRIMAN</t>
  </si>
  <si>
    <t>ESTRELLA E. VINO</t>
  </si>
  <si>
    <t>Leonilo Lota Laborte</t>
  </si>
  <si>
    <t>Jonalyn Angel Pangilinan</t>
  </si>
  <si>
    <t>Carolina Castillo Moraleda</t>
  </si>
  <si>
    <t>Nanette Mirasol Dulfo</t>
  </si>
  <si>
    <t>Jaynalyn E Amparo</t>
  </si>
  <si>
    <t>Emie Liza Fabella Ferrancol</t>
  </si>
  <si>
    <t>Dexter B. Baylon</t>
  </si>
  <si>
    <t>Rodrigo C Rodrigo</t>
  </si>
  <si>
    <t>Mary Grace B Valle</t>
  </si>
  <si>
    <t>Dina V. Panganiban</t>
  </si>
  <si>
    <t>Freddie Anzaldo Vecinal</t>
  </si>
  <si>
    <t>Eugene R. Geñoso</t>
  </si>
  <si>
    <t>ANA MARIA M. MADAYAG</t>
  </si>
  <si>
    <t>Analyn Arriola Sarmiento</t>
  </si>
  <si>
    <t>ENGR. EDUARDO SALVADOR MANGOBA JR.</t>
  </si>
  <si>
    <t>ROSE HABANA MARTINEZ</t>
  </si>
  <si>
    <t>ELVIRA LAWAS HERMOSO</t>
  </si>
  <si>
    <t>Warlito Yuson Suan</t>
  </si>
  <si>
    <t>rosellene ape Gurang</t>
  </si>
  <si>
    <t>Elena Tayag Villa</t>
  </si>
  <si>
    <t>Sharon Jane Antonis Dacuno</t>
  </si>
  <si>
    <t>LINDALE PEPINO SAAVEDRA</t>
  </si>
  <si>
    <t>Melicoro P Colot</t>
  </si>
  <si>
    <t>GINA LACSARON SERVANO</t>
  </si>
  <si>
    <t>Norina L. David</t>
  </si>
  <si>
    <t>JESSELL GARCIA TORREJOS</t>
  </si>
  <si>
    <t>Mila Tolentino</t>
  </si>
  <si>
    <t>Gloria Barrameda Dalipe</t>
  </si>
  <si>
    <t>Charity Belacaol Evangelista</t>
  </si>
  <si>
    <t>Freddie B. Caday</t>
  </si>
  <si>
    <t>Editha O Sagaral</t>
  </si>
  <si>
    <t>Rey Steve Palacay Balatico</t>
  </si>
  <si>
    <t>Ronamel Limjuco</t>
  </si>
  <si>
    <t>EDWARD ALIGUYON CARIÑO</t>
  </si>
  <si>
    <t>ALEX A. MERLIN</t>
  </si>
  <si>
    <t>Angela Eduvala Dagsaan</t>
  </si>
  <si>
    <t>Gina Francisco Placido</t>
  </si>
  <si>
    <t>Lauren Christine B. La'O</t>
  </si>
  <si>
    <t>Chona D. Derramas</t>
  </si>
  <si>
    <t>Ana Suzette Limguis Moreño</t>
  </si>
  <si>
    <t>Abdullah M. Dipatuan</t>
  </si>
  <si>
    <t>Canuto, Jr Adalin Paluga</t>
  </si>
  <si>
    <t>Winston Sombillo Fuertez</t>
  </si>
  <si>
    <t>Mary Grace Raquel Niedo</t>
  </si>
  <si>
    <t>Danna Marie B. Asentista</t>
  </si>
  <si>
    <t>Nenita Crisostomo Flores</t>
  </si>
  <si>
    <t>Teresita Siega Laviste</t>
  </si>
  <si>
    <t>Perseverando Tolentino Atienza</t>
  </si>
  <si>
    <t>Maicel Bandol Esquivel</t>
  </si>
  <si>
    <t>Karen Lisette Trinidad Molas</t>
  </si>
  <si>
    <t>Michelle Nabas Gregorio</t>
  </si>
  <si>
    <t>Ely Calize Abis</t>
  </si>
  <si>
    <t>Elvira Sebio</t>
  </si>
  <si>
    <t>Felicilda F Sano</t>
  </si>
  <si>
    <t>JOSEPH G ESCASIO</t>
  </si>
  <si>
    <t>Nolito Fabellon</t>
  </si>
  <si>
    <t>MARY JULIE A. TRUS</t>
  </si>
  <si>
    <t>Rommel Ebuenga De Jesus</t>
  </si>
  <si>
    <t>Dan T Tayo</t>
  </si>
  <si>
    <t>Marites S Penosa</t>
  </si>
  <si>
    <t>Lenybelle Ceriola Santos</t>
  </si>
  <si>
    <t>Jocelyn Castro Ballesteros</t>
  </si>
  <si>
    <t>Romeo Teodoro</t>
  </si>
  <si>
    <t>IMELDA MATIBAG ABARINTOS</t>
  </si>
  <si>
    <t>Cherry Jean Anlucday Antig</t>
  </si>
  <si>
    <t>Emily B Laigo</t>
  </si>
  <si>
    <t>HARRY DELA FUENTE FRANCISCO</t>
  </si>
  <si>
    <t>Ma. Amor Bañas</t>
  </si>
  <si>
    <t>Annabelle De Vera Quiñones</t>
  </si>
  <si>
    <t>JOSELITO PEDRO LIM</t>
  </si>
  <si>
    <t>Maria Madel Binaya Brozo</t>
  </si>
  <si>
    <t>MICHELLE ZAMAR LIM</t>
  </si>
  <si>
    <t>Lolita Genuino Santiago</t>
  </si>
  <si>
    <t>Madilyn M Macatual</t>
  </si>
  <si>
    <t>Raul Javier Siong</t>
  </si>
  <si>
    <t>Allan G. Farnazo</t>
  </si>
  <si>
    <t>HAZEL JANE M. PANGAN</t>
  </si>
  <si>
    <t>Jessca Mae P. Solano</t>
  </si>
  <si>
    <t>GREGORIO TURQUEZA</t>
  </si>
  <si>
    <t>NANELLE REFORMADO PILAPIL</t>
  </si>
  <si>
    <t>ANTONIO M GEREMIAS</t>
  </si>
  <si>
    <t>LORETO LUCERO LORENZO</t>
  </si>
  <si>
    <t>ONIE J REYES</t>
  </si>
  <si>
    <t>NOLANDO  C.  SATURNO</t>
  </si>
  <si>
    <t>Thelma M. Marco</t>
  </si>
  <si>
    <t>Merla A. Monje</t>
  </si>
  <si>
    <t>Albert Lee Basuel Cabanting</t>
  </si>
  <si>
    <t>Restituto Busbos Bautista</t>
  </si>
  <si>
    <t>Gina Fesalbon Torrechiva</t>
  </si>
  <si>
    <t>Edwin L Diesto</t>
  </si>
  <si>
    <t>Bryan G. Fortuno</t>
  </si>
  <si>
    <t>ADELAIDA LATADE MALABUYOC</t>
  </si>
  <si>
    <t>Ana De Guzman Asprec</t>
  </si>
  <si>
    <t>Mariano Bea Vargas</t>
  </si>
  <si>
    <t>Joemel Bolongaita Recamara</t>
  </si>
  <si>
    <t>Ernani B. Añonuevo</t>
  </si>
  <si>
    <t>Brenda R. Morales</t>
  </si>
  <si>
    <t>Abigail Madarang</t>
  </si>
  <si>
    <t>Lilane Mejillano Nuñez</t>
  </si>
  <si>
    <t>Jonathan Bajo Ramos</t>
  </si>
  <si>
    <t>CHARISMA ALLAPITAN BARUT</t>
  </si>
  <si>
    <t>Beato Bandoquillo Balderrama</t>
  </si>
  <si>
    <t>Joan Margarette A Yap</t>
  </si>
  <si>
    <t>Wynzel Jagolina  Quiros</t>
  </si>
  <si>
    <t>Joshua Mari Jareño</t>
  </si>
  <si>
    <t>Florian Agcopra Labiano</t>
  </si>
  <si>
    <t>CLARO SENTINA SERVENTO</t>
  </si>
  <si>
    <t>Norma Desiderio</t>
  </si>
  <si>
    <t>Criselda D. Bacatano</t>
  </si>
  <si>
    <t>Jorge C Catilo</t>
  </si>
  <si>
    <t>JENELYN DALANGIN</t>
  </si>
  <si>
    <t>Leni De Guzman Enriquez</t>
  </si>
  <si>
    <t>Rico L. Navarro</t>
  </si>
  <si>
    <t>Ariel E Fangonilo</t>
  </si>
  <si>
    <t>Delfin Delinea</t>
  </si>
  <si>
    <t>Linalyn Tolentino - Cueto</t>
  </si>
  <si>
    <t>MARINEL LAROSA</t>
  </si>
  <si>
    <t>LITO APDIAN CADORNA</t>
  </si>
  <si>
    <t>Richie Fabonan Fadriquela</t>
  </si>
  <si>
    <t>Tomas Blaya Matildo</t>
  </si>
  <si>
    <t>CHARYMELLE O FORONDA</t>
  </si>
  <si>
    <t>Marlon L. Aguirre</t>
  </si>
  <si>
    <t>William Fernandez Bendal</t>
  </si>
  <si>
    <t>JERELA BIELLE AMERNA AUSTRIA</t>
  </si>
  <si>
    <t>GARRY BOY PARAGUA BAUTISTA</t>
  </si>
  <si>
    <t>Maria Gina Rosales Carino</t>
  </si>
  <si>
    <t>HENRY B CALUDUCAN</t>
  </si>
  <si>
    <t>Mechel S. Ronquillo</t>
  </si>
  <si>
    <t>Balingit F. Billy</t>
  </si>
  <si>
    <t>Arnel M Ruz</t>
  </si>
  <si>
    <t>Neil  L.  Asuelo</t>
  </si>
  <si>
    <t>Joybeth Delfin Sabino</t>
  </si>
  <si>
    <t>Jesus A Madrilejos</t>
  </si>
  <si>
    <t>Roweiji F. Bautista</t>
  </si>
  <si>
    <t>Apollo Gamboa Gariando</t>
  </si>
  <si>
    <t>Virgie N Bartonico</t>
  </si>
  <si>
    <t>VOLTAIRE S EGNORA, MD.</t>
  </si>
  <si>
    <t>Danilo Bron Alamil</t>
  </si>
  <si>
    <t>LENI ROCHA RIOFLORIDO</t>
  </si>
  <si>
    <t>Aylene S. Belleza</t>
  </si>
  <si>
    <t>ROMELYN GERALLA YEE</t>
  </si>
  <si>
    <t>KAREN FAYE CHAVEZ</t>
  </si>
  <si>
    <t>Jerose B. Cotorno</t>
  </si>
  <si>
    <t>HERMINIA D. ESPEJO</t>
  </si>
  <si>
    <t>Luzviminda Bentulan Muyco</t>
  </si>
  <si>
    <t>Helen A. Cabarles</t>
  </si>
  <si>
    <t>Feliciano Jr. Maddawin Galupo</t>
  </si>
  <si>
    <t>Eddie cabacungan Acosta</t>
  </si>
  <si>
    <t>Myrna B Vergara</t>
  </si>
  <si>
    <t>Maria Cristina I. Canson</t>
  </si>
  <si>
    <t>Rebecca Echague Nogales</t>
  </si>
  <si>
    <t>Joseph Villa Echalas</t>
  </si>
  <si>
    <t>Jaime Hervilla Mahimpit</t>
  </si>
  <si>
    <t>MA. GLORIA GELI SORRERA</t>
  </si>
  <si>
    <t>DONNA COMPANIA DELOTINA</t>
  </si>
  <si>
    <t>Marcelino D. Fernandez</t>
  </si>
  <si>
    <t>LOUIE GRACE P. ALVIOR</t>
  </si>
  <si>
    <t>MARL PHILIP YAMSUAN CACHERO</t>
  </si>
  <si>
    <t>Catherine G. Santos</t>
  </si>
  <si>
    <t>Eugene C Miguel</t>
  </si>
  <si>
    <t>Elena Cotcot Rosario</t>
  </si>
  <si>
    <t>Angelica Manzano Pellien</t>
  </si>
  <si>
    <t>Colleen  Ferrer  Dilla</t>
  </si>
  <si>
    <t>Adam  V. Ramilo</t>
  </si>
  <si>
    <t>Alger F Lamprea</t>
  </si>
  <si>
    <t>Amenodin Taher Arinza</t>
  </si>
  <si>
    <t>Violeta Mata</t>
  </si>
  <si>
    <t>PETER S MALALUAN</t>
  </si>
  <si>
    <t>Antonio Manlapig Cruz</t>
  </si>
  <si>
    <t>Herminio Aca-ac</t>
  </si>
  <si>
    <t>REDEMCION M. DE LEON</t>
  </si>
  <si>
    <t>Engr. Lloyd Daligdig Baconguis</t>
  </si>
  <si>
    <t>Anthony Reduta Macayan</t>
  </si>
  <si>
    <t>Abner  R.  Formento</t>
  </si>
  <si>
    <t>Alexander O. Lala</t>
  </si>
  <si>
    <t>LIZA RIPALDA</t>
  </si>
  <si>
    <t>CANDIDO ALFRED II AZARES BANCORO</t>
  </si>
  <si>
    <t>Catherine C Pizarra</t>
  </si>
  <si>
    <t>MARY MEDIATRIX BAYER ARROYO</t>
  </si>
  <si>
    <t>Grace G Asis</t>
  </si>
  <si>
    <t>DAISY R. BABAAN</t>
  </si>
  <si>
    <t>JOAN SANTIANEZ BENEDICTO</t>
  </si>
  <si>
    <t>Maximo Dela Cerna Bragat</t>
  </si>
  <si>
    <t>Annavie Bacomo Lapitan</t>
  </si>
  <si>
    <t>Juanito Refugio Gonzales</t>
  </si>
  <si>
    <t>JEANNE V. BAUZON</t>
  </si>
  <si>
    <t>SHEENA JOY MALBAS</t>
  </si>
  <si>
    <t>CRISTINE  CABATON QUILLAMOR</t>
  </si>
  <si>
    <t>GENIE-ANN TOLENTINO SANTOS</t>
  </si>
  <si>
    <t>RICHARD  SALCEDO  IBARRA</t>
  </si>
  <si>
    <t>HILARION TACAISAN DUBRIA, JR.</t>
  </si>
  <si>
    <t>Irene Cuestas Monden</t>
  </si>
  <si>
    <t>Raymundo Almariego Sosa</t>
  </si>
  <si>
    <t>Levi P. Baldonado</t>
  </si>
  <si>
    <t>Avel Villamor Nunez</t>
  </si>
  <si>
    <t>Edelito Aniñon</t>
  </si>
  <si>
    <t>Marie Jagon</t>
  </si>
  <si>
    <t>Napol Domenden Mercurio</t>
  </si>
  <si>
    <t>Christian  Salcedo  Serrano</t>
  </si>
  <si>
    <t>May Grace Alvaro Palicdon</t>
  </si>
  <si>
    <t>Merlinda Rojas De la Torre</t>
  </si>
  <si>
    <t>Khalid Barazar Kapampangan</t>
  </si>
  <si>
    <t>Roland Esporma Parina</t>
  </si>
  <si>
    <t>LEONIDES BERCASIO ESPERON</t>
  </si>
  <si>
    <t>Jonefe Gomez Ocasla</t>
  </si>
  <si>
    <t>Arnold C Ligaya</t>
  </si>
  <si>
    <t>JAIME G. JALON</t>
  </si>
  <si>
    <t>Maxnolie C. Legarse</t>
  </si>
  <si>
    <t>Joseph S. Valderrama</t>
  </si>
  <si>
    <t>Eduardo T. Yu</t>
  </si>
  <si>
    <t>Peter Bautista</t>
  </si>
  <si>
    <t>Robert Monis Aliga</t>
  </si>
  <si>
    <t>Jersam Bangcot</t>
  </si>
  <si>
    <t>Shiela Narbarte Domondon</t>
  </si>
  <si>
    <t>Percy Gonzales Salazar</t>
  </si>
  <si>
    <t>Lucylisa C. Pilapil</t>
  </si>
  <si>
    <t>Nila A Tiago</t>
  </si>
  <si>
    <t>EDNA B. LACSON</t>
  </si>
  <si>
    <t>Rhandy D. Domingo</t>
  </si>
  <si>
    <t>Elreen Sijera Villanueva</t>
  </si>
  <si>
    <t>Noli D. Padagdag</t>
  </si>
  <si>
    <t>Ailleen Melody Enguerra Alya-On</t>
  </si>
  <si>
    <t>Imelda D. Calinao</t>
  </si>
  <si>
    <t>VENN WEIR SIPALAY AÑONUEVO</t>
  </si>
  <si>
    <t>michelle ramos salamat</t>
  </si>
  <si>
    <t>ROBERTO MARCELINO GREGORE</t>
  </si>
  <si>
    <t>Elmer G Canios</t>
  </si>
  <si>
    <t>PEREGRINA ERONICO CAROSUS</t>
  </si>
  <si>
    <t>ROMEO LIMA GADIN</t>
  </si>
  <si>
    <t>Roselito Maningas Bautista</t>
  </si>
  <si>
    <t>Mary Joy C. San Buenaventura</t>
  </si>
  <si>
    <t>JOEL DALMACIA SUMAWANG</t>
  </si>
  <si>
    <t>RONALD  C.  BAUTISTA</t>
  </si>
  <si>
    <t>Niña Aniñon Asis</t>
  </si>
  <si>
    <t>Jocelyn M Romero</t>
  </si>
  <si>
    <t>Virgilio A Abonador</t>
  </si>
  <si>
    <t>Marinell R. Galang</t>
  </si>
  <si>
    <t>Lucila G De Ocampo</t>
  </si>
  <si>
    <t>Ryan Bartolome</t>
  </si>
  <si>
    <t>Patricio  Nablo</t>
  </si>
  <si>
    <t>Erlinda M. Cases</t>
  </si>
  <si>
    <t>Annie Burgos Camacho</t>
  </si>
  <si>
    <t>Ruben G Harayo</t>
  </si>
  <si>
    <t>Lily Saltarin Hermogino</t>
  </si>
  <si>
    <t>WINEFREDO ALORO HERMANO</t>
  </si>
  <si>
    <t>Marjorie Munar Cabacungan</t>
  </si>
  <si>
    <t>Melinda  Mauricio Javier</t>
  </si>
  <si>
    <t>RONAMAE ROBIN CANOY</t>
  </si>
  <si>
    <t>RESTITUTO PRIVADO VILORIA</t>
  </si>
  <si>
    <t>Dandy T Solas</t>
  </si>
  <si>
    <t>Arlyn Gabriel Basbas</t>
  </si>
  <si>
    <t>CONRADO TAWAGIN ALFUERTO</t>
  </si>
  <si>
    <t>Melvin Ortega Cejas</t>
  </si>
  <si>
    <t>Nida ? Dalida</t>
  </si>
  <si>
    <t>Dennis Capito Caballes</t>
  </si>
  <si>
    <t>Jeffrey Asuncion Rabanal</t>
  </si>
  <si>
    <t>Isagani J. Moso</t>
  </si>
  <si>
    <t>PHIEGY GONZALES PANGANIBAN</t>
  </si>
  <si>
    <t>Arlyn Autencio Romaquin</t>
  </si>
  <si>
    <t>PRUDENCIO EGSAN NOCELO, JR.</t>
  </si>
  <si>
    <t>KRISTEL GEM QUIANO MANGANAAN</t>
  </si>
  <si>
    <t>Julie Fe B. Balais</t>
  </si>
  <si>
    <t>Mary Grace B. Dulnuan</t>
  </si>
  <si>
    <t>ISABEL MASAGCA ENCISO</t>
  </si>
  <si>
    <t>MARITES MABORRANG TOPIA</t>
  </si>
  <si>
    <t>Elmer Rama Malayo</t>
  </si>
  <si>
    <t>Hurdy F Denosta</t>
  </si>
  <si>
    <t>Roderick D. Diputado</t>
  </si>
  <si>
    <t>Alejandro Polestico Auxtero</t>
  </si>
  <si>
    <t>Michael Lood Astillero</t>
  </si>
  <si>
    <t>Celedonio Jerson  Villanueva  Bonayon</t>
  </si>
  <si>
    <t>Raymond Lopez Cruz</t>
  </si>
  <si>
    <t>SUSANA  CABIGAO DELA ROSA</t>
  </si>
  <si>
    <t>Danilo Rutaquio Almacen</t>
  </si>
  <si>
    <t>Freddie Sr. Francisco Gabo</t>
  </si>
  <si>
    <t>jenny rose zapanta egama</t>
  </si>
  <si>
    <t>Julieta C Romen</t>
  </si>
  <si>
    <t>Reynaldo Diamante Guillergan</t>
  </si>
  <si>
    <t>Ramon Christopher Alon</t>
  </si>
  <si>
    <t>Magilyn O. Azarcon</t>
  </si>
  <si>
    <t>Irene Grace Badua Pajarillo</t>
  </si>
  <si>
    <t>Rosalie  A. Pelle</t>
  </si>
  <si>
    <t>Pocholo Hernandez</t>
  </si>
  <si>
    <t>ANGELITA A RETARDO</t>
  </si>
  <si>
    <t>Yessa Casuncad</t>
  </si>
  <si>
    <t>Priscila R. Rolluqui</t>
  </si>
  <si>
    <t>RONALD R BASCO</t>
  </si>
  <si>
    <t>John Reil Lomerio Gutierrez</t>
  </si>
  <si>
    <t>Kim Rhoa Delos Santos</t>
  </si>
  <si>
    <t>Cerilo  L  Cabania</t>
  </si>
  <si>
    <t>Alicia A. Cruz</t>
  </si>
  <si>
    <t>Noemi San Miguel Yanga</t>
  </si>
  <si>
    <t>JAYCIBETH TUNAC RAMIREZ</t>
  </si>
  <si>
    <t>Ma. Teresa  Panuda Ansino</t>
  </si>
  <si>
    <t>Gilmer  R. Manguera</t>
  </si>
  <si>
    <t>Marilen L Santiago</t>
  </si>
  <si>
    <t>ANISA  EMAN</t>
  </si>
  <si>
    <t>Krizza Mapalad Payonga</t>
  </si>
  <si>
    <t>Danilo  Mira Omagtang</t>
  </si>
  <si>
    <t>RM ASES AZUELO ORTEGA</t>
  </si>
  <si>
    <t>Rhea Valmadrid</t>
  </si>
  <si>
    <t>Gloria  Cura</t>
  </si>
  <si>
    <t>Yanny F. Pinera</t>
  </si>
  <si>
    <t>Khad Magalgalit Layag</t>
  </si>
  <si>
    <t>Anna Marie Bongay</t>
  </si>
  <si>
    <t>jingo ong severino</t>
  </si>
  <si>
    <t>Isabelita Barzaga</t>
  </si>
  <si>
    <t>Edvil Urbiztondo Trillanes</t>
  </si>
  <si>
    <t>Amelia C. Villanueva</t>
  </si>
  <si>
    <t>Edgar Bumanglag Llapitan</t>
  </si>
  <si>
    <t>Lara Mae Dente Pares</t>
  </si>
  <si>
    <t>WILLIAM UBA VALDE</t>
  </si>
  <si>
    <t>Glenn Patrick A. Leynes</t>
  </si>
  <si>
    <t>MARY GRACE BUCASAS OPON</t>
  </si>
  <si>
    <t>TESSIE A ELIZALDE</t>
  </si>
  <si>
    <t>WILLIAM B. NONOG</t>
  </si>
  <si>
    <t>Mario Sr. P. Tumale</t>
  </si>
  <si>
    <t>Mariel De Vera Mohammad-Sali</t>
  </si>
  <si>
    <t>Delwin  Dalubajan  Dagook</t>
  </si>
  <si>
    <t>Vincent Ian Mejia Malijan</t>
  </si>
  <si>
    <t>Guillermo Israel Modino</t>
  </si>
  <si>
    <t>Dominador V Sauro</t>
  </si>
  <si>
    <t>DEMOSTHENES SALINDATO BLANCO</t>
  </si>
  <si>
    <t>ROGER T. SEVILLA</t>
  </si>
  <si>
    <t>Antonio F. Espanol</t>
  </si>
  <si>
    <t>Nestor Bulay-og Napune</t>
  </si>
  <si>
    <t>Edwin Tan Chan</t>
  </si>
  <si>
    <t>Hazel F Gloria</t>
  </si>
  <si>
    <t>Wilma Bumagat Policarpio</t>
  </si>
  <si>
    <t>Franco Torrion Alampangan</t>
  </si>
  <si>
    <t>Gina Tañedo Argosino</t>
  </si>
  <si>
    <t>Joey John PINOTE Omoso</t>
  </si>
  <si>
    <t>carina unira rocamora</t>
  </si>
  <si>
    <t>ROWENA  VILLALUZ  RAMOS</t>
  </si>
  <si>
    <t>novenia viloria</t>
  </si>
  <si>
    <t>Evelyn Valenzuela Manuguid</t>
  </si>
  <si>
    <t>enrico e. bilog</t>
  </si>
  <si>
    <t xml:space="preserve">ANTHONY  BENOZA </t>
  </si>
  <si>
    <t>SHERLITA ARIÑO PALMA</t>
  </si>
  <si>
    <t>ARNOLD B DAGASUHAN</t>
  </si>
  <si>
    <t>Noe I Forbes</t>
  </si>
  <si>
    <t>GABRIEL FEÑUNES FLORES</t>
  </si>
  <si>
    <t>Amabe Amanse Dela Cruz</t>
  </si>
  <si>
    <t>Maria Rizza Mae  R.  Mabaquiao</t>
  </si>
  <si>
    <t>Rita Grace Alviar Pascua</t>
  </si>
  <si>
    <t>nelson lique</t>
  </si>
  <si>
    <t>Victor Y Romano</t>
  </si>
  <si>
    <t>Rufino Aguinaldo Aguada</t>
  </si>
  <si>
    <t>Ludwig  Solano</t>
  </si>
  <si>
    <t>Juffa Panaguiton Estrada</t>
  </si>
  <si>
    <t>ROLITO FLORES</t>
  </si>
  <si>
    <t>PEDERITO BERSABE GUIANAN</t>
  </si>
  <si>
    <t>DOMINADOR V. DILLERA</t>
  </si>
  <si>
    <t>Enrique Jr Cariaga Garaño</t>
  </si>
  <si>
    <t>JERAMIL U. AYOC</t>
  </si>
  <si>
    <t>Raul Aranton Octavo</t>
  </si>
  <si>
    <t>RONALD M. PERALTA</t>
  </si>
  <si>
    <t>Enjill Grace R. Subillaga</t>
  </si>
  <si>
    <t>Aracel Santos</t>
  </si>
  <si>
    <t>JOSEPH A. BUNAN</t>
  </si>
  <si>
    <t>MARICHELLE D. FERRER</t>
  </si>
  <si>
    <t>Armando Subiel Dumas</t>
  </si>
  <si>
    <t>Herma Taghap Paragsa</t>
  </si>
  <si>
    <t>MA. NEOFITA S. TUAZON</t>
  </si>
  <si>
    <t>Hermelo Gooc Sorronda</t>
  </si>
  <si>
    <t>Jose Galario Fernando</t>
  </si>
  <si>
    <t>NACIANCINA SIONG CATUBIG</t>
  </si>
  <si>
    <t>Catherine Juntarciego Nomananap</t>
  </si>
  <si>
    <t>Joresel Lara Coronado</t>
  </si>
  <si>
    <t>JUDITH PATRIARCA MANTOS</t>
  </si>
  <si>
    <t>Melleth D Miole</t>
  </si>
  <si>
    <t>Cristina Manalo Bajado</t>
  </si>
  <si>
    <t>Lorena Garces Laud</t>
  </si>
  <si>
    <t>Adriel S. Dacara</t>
  </si>
  <si>
    <t>JOEL ARROYO SANTES</t>
  </si>
  <si>
    <t>Marino Merano Silagan Jr.</t>
  </si>
  <si>
    <t>Joehar Sencio Salahuddin</t>
  </si>
  <si>
    <t>Eduardo Vila Visitacion</t>
  </si>
  <si>
    <t>MERLITA DUQUE LIRAZAN</t>
  </si>
  <si>
    <t>Cesah Jane Pillodar Napalla</t>
  </si>
  <si>
    <t>Marc Justin A Arzadon</t>
  </si>
  <si>
    <t>Cereal Nicdao Sadsad</t>
  </si>
  <si>
    <t>RUBY ALAG BRIONES</t>
  </si>
  <si>
    <t>Andy G Matula</t>
  </si>
  <si>
    <t>merle c. amante</t>
  </si>
  <si>
    <t>ROSMENDO CARDINEZ BONGOCAN, JR.</t>
  </si>
  <si>
    <t>Ma. Wiena Lofranco Saguid</t>
  </si>
  <si>
    <t>Reniza L Abellera</t>
  </si>
  <si>
    <t>Richard Cammayo Malayao</t>
  </si>
  <si>
    <t>Angelina M De Vera</t>
  </si>
  <si>
    <t>Maria May Santiago Forio</t>
  </si>
  <si>
    <t>Roman Lareza</t>
  </si>
  <si>
    <t>Glenda C. Concepcion</t>
  </si>
  <si>
    <t>Bernadette Sanchez Ragay</t>
  </si>
  <si>
    <t>Rogelio Jr del Pilar Labrador</t>
  </si>
  <si>
    <t>Abner H Labaniego</t>
  </si>
  <si>
    <t>Gregorio L. Obial Jr</t>
  </si>
  <si>
    <t>EDMUND BASCONGADA SERVANDO</t>
  </si>
  <si>
    <t>Maria Lucia Sanchez</t>
  </si>
  <si>
    <t>ANTONIETO F PACAYRA</t>
  </si>
  <si>
    <t>EDWARD A. ROA</t>
  </si>
  <si>
    <t>Alfonso Stagen</t>
  </si>
  <si>
    <t>NELSON YBAÑEZ GABAYAN</t>
  </si>
  <si>
    <t>Rosalinda Cortez Jabonillo</t>
  </si>
  <si>
    <t>Lorna Triviño Manalo</t>
  </si>
  <si>
    <t>PRUDENCIO L VARELA</t>
  </si>
  <si>
    <t>Joselito Mallillin Bugayong</t>
  </si>
  <si>
    <t>GILDA BORRE AJERO</t>
  </si>
  <si>
    <t>Gloria L. Duga</t>
  </si>
  <si>
    <t>EMMA SALTIGA ROSALES</t>
  </si>
  <si>
    <t>Melany Trinanes</t>
  </si>
  <si>
    <t>Nellie B Chian</t>
  </si>
  <si>
    <t>Gilbert Bo Bolaños</t>
  </si>
  <si>
    <t>Debbyriza Taylan Hidalgo</t>
  </si>
  <si>
    <t>MARINA C MATUGUINAS</t>
  </si>
  <si>
    <t>Jess Angelo Gabriel Usquisa</t>
  </si>
  <si>
    <t>Zaldy B. Burgonio</t>
  </si>
  <si>
    <t>Rogette Etoquilla Sadio</t>
  </si>
  <si>
    <t>Bienvenido Capilitan Barrera, Jr.</t>
  </si>
  <si>
    <t>James Formoso Encarnacion</t>
  </si>
  <si>
    <t>MARISSA PANLILIO ORTIZ</t>
  </si>
  <si>
    <t>BRENDO C. AUDIENCIA</t>
  </si>
  <si>
    <t>CLEOFE TUBA Polido</t>
  </si>
  <si>
    <t>SATUR CALUBANDI PAYANGDO</t>
  </si>
  <si>
    <t>Ana Fe Roldan</t>
  </si>
  <si>
    <t>Brgy. 09 Catbalogan</t>
  </si>
  <si>
    <t>Alma A. Permejo</t>
  </si>
  <si>
    <t>Joseph Clarence D Valero</t>
  </si>
  <si>
    <t>BERNARD MALINGTAY PEPE</t>
  </si>
  <si>
    <t>Janny M Pacleb</t>
  </si>
  <si>
    <t>Segundo Escamillas Anyayahan</t>
  </si>
  <si>
    <t>Ruben Denoso Raandaan</t>
  </si>
  <si>
    <t>Renato E. Masculino</t>
  </si>
  <si>
    <t>Ricardo De Luna Costo</t>
  </si>
  <si>
    <t>EDSON III CASTRO TANDOC</t>
  </si>
  <si>
    <t>Lilibeth Tayab Sabihon</t>
  </si>
  <si>
    <t>Teresita de la Torre Obin</t>
  </si>
  <si>
    <t>Phebe Fernandez Javalde</t>
  </si>
  <si>
    <t>Louella  Rempis  Segarra</t>
  </si>
  <si>
    <t>Lorna Novero Riego</t>
  </si>
  <si>
    <t>Florentino O. Jerez</t>
  </si>
  <si>
    <t>Yolanda Marquez Mendez</t>
  </si>
  <si>
    <t>Ray Retarino Ruiz</t>
  </si>
  <si>
    <t>RUDY S DACULAN</t>
  </si>
  <si>
    <t>Margarita Mendoza Clemente</t>
  </si>
  <si>
    <t>LANY AGANAN BURDEOS</t>
  </si>
  <si>
    <t>Ma.Corazon Jimenez Alquizar</t>
  </si>
  <si>
    <t>ALTHEA MAGUERIANO PAGUNSAN</t>
  </si>
  <si>
    <t>Gilbert C. Colegado</t>
  </si>
  <si>
    <t>RYAN  V.  MEDINA</t>
  </si>
  <si>
    <t>ELA PABLEO PAVILANDO</t>
  </si>
  <si>
    <t>CONSORCIA PISPIS RAÑOSA</t>
  </si>
  <si>
    <t>Luis Argana Hernandez</t>
  </si>
  <si>
    <t>Rodrigo S Baid</t>
  </si>
  <si>
    <t>Jay Francis Ibanez Dela Victoria</t>
  </si>
  <si>
    <t>Robert Batulayan Pedrosa</t>
  </si>
  <si>
    <t>Larry De Chavez Perez</t>
  </si>
  <si>
    <t>Lalen Salagubang</t>
  </si>
  <si>
    <t>Pepsi Pineda Duldulao</t>
  </si>
  <si>
    <t>Flore Fe Polega</t>
  </si>
  <si>
    <t>Virgie N Bibat</t>
  </si>
  <si>
    <t>Gerald B Alvaro</t>
  </si>
  <si>
    <t>Liza Rogador Vargas</t>
  </si>
  <si>
    <t>Jonathan Pabalinas Jalandoni</t>
  </si>
  <si>
    <t>Richard Dean B. Dagpin</t>
  </si>
  <si>
    <t>Randy G. Bacsa</t>
  </si>
  <si>
    <t>Estrella Bacaling Abapo</t>
  </si>
  <si>
    <t>Pee Jay Bernardo Chiapoco</t>
  </si>
  <si>
    <t>Juliet Zinampan Altura</t>
  </si>
  <si>
    <t>Krystal Eleni Bulatete Tabernero</t>
  </si>
  <si>
    <t>Liza Labog Enicola</t>
  </si>
  <si>
    <t>Arsed Bisara Mawlod</t>
  </si>
  <si>
    <t>Erwin Domingo Salvador</t>
  </si>
  <si>
    <t>Ely Garcillano Ramos</t>
  </si>
  <si>
    <t>Melchor O. De Leon</t>
  </si>
  <si>
    <t>IAN JEHH VALENCIA PARRENAS</t>
  </si>
  <si>
    <t>Jojie Ann Oliva Watin</t>
  </si>
  <si>
    <t>Ma.  Hannah Hecita Dobrea</t>
  </si>
  <si>
    <t>Vanessa Tornito Alcuizar</t>
  </si>
  <si>
    <t>EMILIANO JR. C. MILITAR</t>
  </si>
  <si>
    <t>JACKYLINE CUTILLAS BENIGIAN</t>
  </si>
  <si>
    <t>SANDRA TORAYNO UDANG</t>
  </si>
  <si>
    <t>Rosarie R. Paras</t>
  </si>
  <si>
    <t>PERICLES CUIZON SOLLANO</t>
  </si>
  <si>
    <t>DELMA S NAYAD</t>
  </si>
  <si>
    <t>Juvylyn Viajar Bitang</t>
  </si>
  <si>
    <t>Luciana Libadisos Pesudas</t>
  </si>
  <si>
    <t>Ma. Milyn Saturinas Podador</t>
  </si>
  <si>
    <t>Mark Joton Paguirigan Ramirez</t>
  </si>
  <si>
    <t>Ma. Socorro C Tabang</t>
  </si>
  <si>
    <t>Judito Oposa Pegarro</t>
  </si>
  <si>
    <t>Glenn A. Lamag</t>
  </si>
  <si>
    <t>Melinda  Bongcawel  Magsucang</t>
  </si>
  <si>
    <t>Gundelino Bermeo</t>
  </si>
  <si>
    <t>Luz S. Liloc</t>
  </si>
  <si>
    <t>Myracel M. Quitain</t>
  </si>
  <si>
    <t>Marites Asuque</t>
  </si>
  <si>
    <t>Ma. Vicenta To Malana</t>
  </si>
  <si>
    <t>Ann S Ancajas</t>
  </si>
  <si>
    <t>Jovelyn I. Legaspi</t>
  </si>
  <si>
    <t>Sheila Paraiso Estrellanes</t>
  </si>
  <si>
    <t>CIRILO BAUI AZURIN</t>
  </si>
  <si>
    <t>Ronnie Zaraspe</t>
  </si>
  <si>
    <t>Remelyn L. Orapa</t>
  </si>
  <si>
    <t>Liza Panganiban Defeo</t>
  </si>
  <si>
    <t>ROGELIO CAMINO EMPILLO</t>
  </si>
  <si>
    <t>MARIO C. CAJARA</t>
  </si>
  <si>
    <t>JAMES CINO ESTOYA</t>
  </si>
  <si>
    <t>Charlito Fabregas Fababeir</t>
  </si>
  <si>
    <t>LGU TANGUB</t>
  </si>
  <si>
    <t>Alex S. Rosal Jr.</t>
  </si>
  <si>
    <t>EDGARDO MEDINO TOBIAS</t>
  </si>
  <si>
    <t>Joemarie Flores Geguiera</t>
  </si>
  <si>
    <t>Randolph R Maguigad</t>
  </si>
  <si>
    <t>Jose Garing Orzal</t>
  </si>
  <si>
    <t>Edwin B Mendoza</t>
  </si>
  <si>
    <t>Renee  Salomon  Davad</t>
  </si>
  <si>
    <t>Jesus Cesar Padul Albarico</t>
  </si>
  <si>
    <t>Mary Jane Elegio Malbas</t>
  </si>
  <si>
    <t>Gredalie Rivera Acopio</t>
  </si>
  <si>
    <t>Renato Toledo Ebreo</t>
  </si>
  <si>
    <t>Mercy Gavino Valgomera</t>
  </si>
  <si>
    <t>Marlon Sibal Danao</t>
  </si>
  <si>
    <t>Jojie B. Rabina</t>
  </si>
  <si>
    <t>LOUIE C. FERNANDEZ</t>
  </si>
  <si>
    <t>Rosalie de Villena</t>
  </si>
  <si>
    <t>Cheenne Grace Luha Dela Peña</t>
  </si>
  <si>
    <t>rejulio jacildo bruno</t>
  </si>
  <si>
    <t>LEOREYSALDIE NAPATA SALANATIN</t>
  </si>
  <si>
    <t>Rey R. Fausto</t>
  </si>
  <si>
    <t>Vilma Capistrano Globio</t>
  </si>
  <si>
    <t>Ryan Delotina Jamandre</t>
  </si>
  <si>
    <t>Junje Abayon Draculan</t>
  </si>
  <si>
    <t>SHIELA MARIE MACAUYAG CABAHUG</t>
  </si>
  <si>
    <t>JOEL A. ELUMBA</t>
  </si>
  <si>
    <t>Amalia Acay Ibarra</t>
  </si>
  <si>
    <t>WILFREDO M. WAQUIZ</t>
  </si>
  <si>
    <t>ROWENA MACQUIAN ISAYAS</t>
  </si>
  <si>
    <t>Gladys Angit Abarabar</t>
  </si>
  <si>
    <t>Georgie  Lamparas Ruelan</t>
  </si>
  <si>
    <t>JENNIFER  D. SIMBAJON</t>
  </si>
  <si>
    <t>Eleanor K. Corpuz</t>
  </si>
  <si>
    <t>Vivencia Lelis</t>
  </si>
  <si>
    <t>Analyn R. Rollon</t>
  </si>
  <si>
    <t>Paterno O Hempeso</t>
  </si>
  <si>
    <t>Gemma Ladera Asi</t>
  </si>
  <si>
    <t>Jenifer C. Alcain</t>
  </si>
  <si>
    <t>Marissa Calzada Ogario</t>
  </si>
  <si>
    <t>Robert Amable</t>
  </si>
  <si>
    <t>Wencislao Jr. Calimlim Cagalitan</t>
  </si>
  <si>
    <t>Archie Tumambing</t>
  </si>
  <si>
    <t>WILDEGARDO SABERON ENRIQUEZ</t>
  </si>
  <si>
    <t>Ma. Dea Osorio</t>
  </si>
  <si>
    <t>Joselito Ferreras Asma</t>
  </si>
  <si>
    <t>Alejandro Sr. Soncio Suello</t>
  </si>
  <si>
    <t>ARCHIE TOLEDO JOAQUIN</t>
  </si>
  <si>
    <t>COLEEN C LOMOLJO</t>
  </si>
  <si>
    <t>Emelinda Jaboli Sarmiento</t>
  </si>
  <si>
    <t>Maritess Fortes Idala</t>
  </si>
  <si>
    <t>Krisbert S. Malanay</t>
  </si>
  <si>
    <t>Virginia Punay</t>
  </si>
  <si>
    <t>Robert John Donesa</t>
  </si>
  <si>
    <t>Marissa G. Quijano</t>
  </si>
  <si>
    <t>Julius Luis Juanito</t>
  </si>
  <si>
    <t>Veronica Vergara De Jesus</t>
  </si>
  <si>
    <t>Ernesto S. Suplido</t>
  </si>
  <si>
    <t>Artemio Ramal</t>
  </si>
  <si>
    <t>Eden Rose V. Calo</t>
  </si>
  <si>
    <t>ABNER ALPAS ESPARTERO</t>
  </si>
  <si>
    <t>ELIZABETH TRINIDAD BELLO</t>
  </si>
  <si>
    <t>TEOFILO YUZON GUINO-O</t>
  </si>
  <si>
    <t>DERRICK ENCARNACION MAYOR</t>
  </si>
  <si>
    <t>Eulogio Valle Mendoza</t>
  </si>
  <si>
    <t>Angel D. Pundao</t>
  </si>
  <si>
    <t>Francis Alfred Calo Bokingo</t>
  </si>
  <si>
    <t>Nelson Oracion Tolentino</t>
  </si>
  <si>
    <t>Ronnie Gecolea Sierva</t>
  </si>
  <si>
    <t>GERALDINE O AGRAVANTE</t>
  </si>
  <si>
    <t>ARTEMIO MENDEZ</t>
  </si>
  <si>
    <t>Leda Penarubia Redoble</t>
  </si>
  <si>
    <t>MARCIAL RAMOS VALIENTE</t>
  </si>
  <si>
    <t>Teodoro C. Gozarem</t>
  </si>
  <si>
    <t>RODERICK LINDAIN DE LEON</t>
  </si>
  <si>
    <t>FRANCISCO D. GUINAYON</t>
  </si>
  <si>
    <t>Alvin Salonga Oliveros</t>
  </si>
  <si>
    <t>MARJORIE VICTORIANO ROSALES</t>
  </si>
  <si>
    <t>Jaybee Punzalan</t>
  </si>
  <si>
    <t>Reynaldo  Aripal  Jalaron</t>
  </si>
  <si>
    <t>JOMAR D. OLIVA</t>
  </si>
  <si>
    <t>Joshua Abejero Adanza</t>
  </si>
  <si>
    <t>Joyce Ann Mae L Del Valle</t>
  </si>
  <si>
    <t>Liwayway De Guzman Pangilinan</t>
  </si>
  <si>
    <t>Jerry Grace G Danao</t>
  </si>
  <si>
    <t>Ian Lemuel Bandoy Felix</t>
  </si>
  <si>
    <t>ERNESTO AQUINO MANEGDEG</t>
  </si>
  <si>
    <t>Salome D. Diel</t>
  </si>
  <si>
    <t>Evelyn Ramos</t>
  </si>
  <si>
    <t>Judeth M. Madelo</t>
  </si>
  <si>
    <t>ROGELIO PAGAS LAQUINTA</t>
  </si>
  <si>
    <t>Julie  Castañeda Titular</t>
  </si>
  <si>
    <t>Hanz Cecilio Bernardo</t>
  </si>
  <si>
    <t>MAYLA F FEO</t>
  </si>
  <si>
    <t>Jocelyn Mosqueda Abaya</t>
  </si>
  <si>
    <t>REMEGIO GASCON DUYAN</t>
  </si>
  <si>
    <t>Isaias, Sr. Tulio Bigol</t>
  </si>
  <si>
    <t>Wilfredo Gomez Sanchez</t>
  </si>
  <si>
    <t>Danny Clamor Flores</t>
  </si>
  <si>
    <t>Geremie Noble Tajada</t>
  </si>
  <si>
    <t>Marilyn Cruz Santella</t>
  </si>
  <si>
    <t>Antonio  B  Darug</t>
  </si>
  <si>
    <t>Celina L. Padchanan</t>
  </si>
  <si>
    <t>Jerona M. Silagan</t>
  </si>
  <si>
    <t>Nelly Sanes Echavez</t>
  </si>
  <si>
    <t>EDGARDO A. VALDEZ</t>
  </si>
  <si>
    <t>GENELYN BUMILTAC</t>
  </si>
  <si>
    <t>Susan Siacor Arsenio</t>
  </si>
  <si>
    <t>HAIDEE PEÑAMANTE AVELLANO</t>
  </si>
  <si>
    <t>Mark Joy Clor Nogaliza</t>
  </si>
  <si>
    <t>Bevs A Santino</t>
  </si>
  <si>
    <t>Eymard Caperiña Angulo</t>
  </si>
  <si>
    <t>Arnaldo G Liansing</t>
  </si>
  <si>
    <t>Dhalie Dicen Almirol</t>
  </si>
  <si>
    <t>Feryness Belmonte Escarpe</t>
  </si>
  <si>
    <t>RANIL COLE LEGARDE</t>
  </si>
  <si>
    <t>ELMER CEZAR ASPE ZALETA</t>
  </si>
  <si>
    <t>Romela  A.  Hiquial</t>
  </si>
  <si>
    <t>Mayna N. Mayuga</t>
  </si>
  <si>
    <t>Antonio Paquite Serognas</t>
  </si>
  <si>
    <t>YOLETTE  U.  DE HITTA</t>
  </si>
  <si>
    <t>Donnabel Manzano Justo</t>
  </si>
  <si>
    <t>Maximo H Salvatierra</t>
  </si>
  <si>
    <t>marilou into cabeguin</t>
  </si>
  <si>
    <t>Delfin Caba Macapagal</t>
  </si>
  <si>
    <t>Janelyn Ortegn Salvan</t>
  </si>
  <si>
    <t>AIZA PAUL CALIAO</t>
  </si>
  <si>
    <t>Cleofe A Amores</t>
  </si>
  <si>
    <t>Nemesio M. Frigillana</t>
  </si>
  <si>
    <t>JAYVEE BRYAN GALVEZ CARILLO</t>
  </si>
  <si>
    <t>Vicenta M. Natividad</t>
  </si>
  <si>
    <t>Joseph Abalde Magriña</t>
  </si>
  <si>
    <t>VIOLA  P.  MONTILLA</t>
  </si>
  <si>
    <t>Arnel Caparros Portales</t>
  </si>
  <si>
    <t>Juffer  Valed  Lacadon</t>
  </si>
  <si>
    <t>Angeline G. Regalado</t>
  </si>
  <si>
    <t>Gladys Jean Dasilao Quijada</t>
  </si>
  <si>
    <t>Divina Agaser Miguel</t>
  </si>
  <si>
    <t>Atty. Anna Rosario P. Reyes</t>
  </si>
  <si>
    <t>ARVIN B BELARDO</t>
  </si>
  <si>
    <t>Rex Juarez</t>
  </si>
  <si>
    <t>Norman Sta.Ana</t>
  </si>
  <si>
    <t>George Fangroy</t>
  </si>
  <si>
    <t>Joan Dela Cruz  Padua</t>
  </si>
  <si>
    <t>Jesamine M. Mendi</t>
  </si>
  <si>
    <t>Melanie Sergio Pili</t>
  </si>
  <si>
    <t>Cecille Angeline 09171477690 Lipardo</t>
  </si>
  <si>
    <t>Alan C. Santos</t>
  </si>
  <si>
    <t>Lester Mobreros Aringo</t>
  </si>
  <si>
    <t>Marfen Guinmapang Corvera</t>
  </si>
  <si>
    <t>Mary Ann A. Lazo</t>
  </si>
  <si>
    <t>JOEBAEL D MOHAMAD</t>
  </si>
  <si>
    <t>Andy Ralfh Villafuerte Conocono</t>
  </si>
  <si>
    <t>bryan gallenero piadoche</t>
  </si>
  <si>
    <t>Patrocinio Risos</t>
  </si>
  <si>
    <t>Mary Rose Capanzana Occidental</t>
  </si>
  <si>
    <t>MA. LIGAYA PIMENTEL GEPOLLO</t>
  </si>
  <si>
    <t>Loy Joseph I Quitain</t>
  </si>
  <si>
    <t>Amorie Michele Marba Janubas</t>
  </si>
  <si>
    <t>LIVY POLIA DALA</t>
  </si>
  <si>
    <t>LIEZEL BRAZAL DE LEON</t>
  </si>
  <si>
    <t>Grace P Hainto</t>
  </si>
  <si>
    <t>Lelia Uriarte</t>
  </si>
  <si>
    <t>Rodrigo V. Custodio</t>
  </si>
  <si>
    <t>Joseph Dante D Develleres</t>
  </si>
  <si>
    <t>CHARRIE ANN SINGCO SALES</t>
  </si>
  <si>
    <t>Oliver Ted Castillo Orsolino</t>
  </si>
  <si>
    <t>Maximo Jr. Pejo Magana</t>
  </si>
  <si>
    <t>Aaron Robert Anza Binarao</t>
  </si>
  <si>
    <t>TEOFILO I CALUYA</t>
  </si>
  <si>
    <t>Isidra E. Tumale</t>
  </si>
  <si>
    <t>Lorenzo B Gahoy</t>
  </si>
  <si>
    <t>Ma. Estela Magno Gabiota</t>
  </si>
  <si>
    <t>Rodolfo Felipe Jopio Jr.</t>
  </si>
  <si>
    <t>Rosalind Rosal Vasquez</t>
  </si>
  <si>
    <t>LEIZEL ALBEZA MORA</t>
  </si>
  <si>
    <t>Sol P. Molo</t>
  </si>
  <si>
    <t>Perry Origenes Bague</t>
  </si>
  <si>
    <t>ADRIAN CORDITA COSTUYA</t>
  </si>
  <si>
    <t>Marivic Torres Pagala</t>
  </si>
  <si>
    <t>Policarpio Eli Fontanilla Jr.</t>
  </si>
  <si>
    <t>FRANCES BENILAN TANGOG</t>
  </si>
  <si>
    <t>Noel Aguillon Salvan</t>
  </si>
  <si>
    <t>Reynaldo G Mariano</t>
  </si>
  <si>
    <t>Julio Malanao Sampilo</t>
  </si>
  <si>
    <t>ELVIS R. CUIZON</t>
  </si>
  <si>
    <t>EDUARDO EBANA JAQUILMAC</t>
  </si>
  <si>
    <t>Antonio Ma. Benito Tiano Calma</t>
  </si>
  <si>
    <t>ANNALIZA LAUREO GARCIA</t>
  </si>
  <si>
    <t>Michelle A Supena</t>
  </si>
  <si>
    <t>Hazel Bancale Dacillo</t>
  </si>
  <si>
    <t>Philip P. Garcia</t>
  </si>
  <si>
    <t>Ann Mariz Tablante Dalumpines</t>
  </si>
  <si>
    <t>Guy Villanueva Arellano</t>
  </si>
  <si>
    <t>AGOSTO BELINO BAOBAOEN</t>
  </si>
  <si>
    <t>Carol Zulueta Ramos</t>
  </si>
  <si>
    <t>Florencio Formaran Parcarey</t>
  </si>
  <si>
    <t>Cristina Olvido Gutierrez</t>
  </si>
  <si>
    <t>Joseph Molina Apan</t>
  </si>
  <si>
    <t>Ma. Kristina Goylos Medalla</t>
  </si>
  <si>
    <t>April Joy R Tambis</t>
  </si>
  <si>
    <t>FREDERICK B AGUIRRE</t>
  </si>
  <si>
    <t>MARGARITA LAGUADOR PLACINO</t>
  </si>
  <si>
    <t>Necerio Lazarte</t>
  </si>
  <si>
    <t>Merlinda P. Maata</t>
  </si>
  <si>
    <t>Jeffin Dick M Vidal</t>
  </si>
  <si>
    <t>Jocelyn D Melandres</t>
  </si>
  <si>
    <t>Marcial C. Comeros</t>
  </si>
  <si>
    <t>Rico Atega Ygbuhay</t>
  </si>
  <si>
    <t>Cherryl Cerbo</t>
  </si>
  <si>
    <t>Aries Cañas Balboa</t>
  </si>
  <si>
    <t>Emeliza Maniquiz Nogoy</t>
  </si>
  <si>
    <t>Sandae B. Lico</t>
  </si>
  <si>
    <t>ORLANDO LIBORES ROMERO</t>
  </si>
  <si>
    <t>Jose Ferdinand Laloy Gabrido</t>
  </si>
  <si>
    <t>Jezreel Gomez Ortega</t>
  </si>
  <si>
    <t>Roy Ian A Resplandor</t>
  </si>
  <si>
    <t>Jorge Olaer Madrona</t>
  </si>
  <si>
    <t>Mark Jayson R. Carabido</t>
  </si>
  <si>
    <t>Marilyn P. Duran</t>
  </si>
  <si>
    <t>Marilou Yu Macapil</t>
  </si>
  <si>
    <t>Marife Rendon</t>
  </si>
  <si>
    <t>ANNA LHE BOLIVAR TULIO</t>
  </si>
  <si>
    <t>ODESSA T. MANLIGOY</t>
  </si>
  <si>
    <t>Vivian Jaquilmac Adajar</t>
  </si>
  <si>
    <t>Kristelle Balboa Dimarucot</t>
  </si>
  <si>
    <t>CYNTHIA BACONGA PECORE</t>
  </si>
  <si>
    <t>Joelito Bueñafe</t>
  </si>
  <si>
    <t>MANUEL PARAYNO PARAYNO</t>
  </si>
  <si>
    <t>Miguela Biongcog</t>
  </si>
  <si>
    <t>Clariza Cabuello Estremera</t>
  </si>
  <si>
    <t>Jonathan Ramos Viernes</t>
  </si>
  <si>
    <t>ERMA DICHOSO ESCURO</t>
  </si>
  <si>
    <t>Arman Borja Basbas</t>
  </si>
  <si>
    <t>LEO S. MATIAS</t>
  </si>
  <si>
    <t>Vicente B. Calag</t>
  </si>
  <si>
    <t>MARIE VI SALUNDAGUIT FABRE</t>
  </si>
  <si>
    <t>Amancio Velasco, Sr.</t>
  </si>
  <si>
    <t>Mary- Ann R Lumag</t>
  </si>
  <si>
    <t>PABLITO DALISAY AGILLON</t>
  </si>
  <si>
    <t>Donald De la Cruz Landero</t>
  </si>
  <si>
    <t>Myrna Badilles Belgado</t>
  </si>
  <si>
    <t>Jessie Luceño</t>
  </si>
  <si>
    <t>Geraldine L Arrieta</t>
  </si>
  <si>
    <t>LEAH ABORDO OBLIAN</t>
  </si>
  <si>
    <t>Jackson L. Pasamic</t>
  </si>
  <si>
    <t>NIDA COFUENTES PALACIO</t>
  </si>
  <si>
    <t>JEFFREY TABUCO KHO</t>
  </si>
  <si>
    <t>EDITHA LOPEZ LARON</t>
  </si>
  <si>
    <t>Romer Pacpaco Regucera</t>
  </si>
  <si>
    <t>Vanesa C. Cutanda</t>
  </si>
  <si>
    <t>chito bardelosa niegas</t>
  </si>
  <si>
    <t>VINCENT RON B BACOL</t>
  </si>
  <si>
    <t>RIZALITO DELA CRUZ VERGARA</t>
  </si>
  <si>
    <t>Wilbert Eusebio Jose</t>
  </si>
  <si>
    <t>Evangeline Balan Lorenzo</t>
  </si>
  <si>
    <t>Antonio Mendoza Bautista</t>
  </si>
  <si>
    <t>Joseph Roy Quezon Suhayon</t>
  </si>
  <si>
    <t>Arni Nidoy Abad</t>
  </si>
  <si>
    <t>Jan Michael Clifford Bugtong</t>
  </si>
  <si>
    <t>VICTOR LUZA LAGUNA</t>
  </si>
  <si>
    <t>Ronnie Carpio</t>
  </si>
  <si>
    <t>Ma. Rita Fallorina Ongbit</t>
  </si>
  <si>
    <t>Divina Gracia Binuya</t>
  </si>
  <si>
    <t>Jovie Mayne Legaspi-Valdez</t>
  </si>
  <si>
    <t>Jessie Canama Paquibo</t>
  </si>
  <si>
    <t>Regino  Mirafuentes  Rama</t>
  </si>
  <si>
    <t>Eufrecenia A. Bernardo</t>
  </si>
  <si>
    <t>Marnell Carreon Ubaldo</t>
  </si>
  <si>
    <t>Alex Rivas Literato</t>
  </si>
  <si>
    <t>Christine Joy S. Aclan-Pacalang</t>
  </si>
  <si>
    <t>Ofelia Escobarte Nacional</t>
  </si>
  <si>
    <t>ILUMINADA O. RUBA</t>
  </si>
  <si>
    <t>Cynthia Faustino Delgado</t>
  </si>
  <si>
    <t>Christian Noel D. Castillo</t>
  </si>
  <si>
    <t>IMELDA ANANO ALBUTRA</t>
  </si>
  <si>
    <t>Manuel  Arguelles Alastre</t>
  </si>
  <si>
    <t>Elna Bacayo Valenzuela</t>
  </si>
  <si>
    <t>Rovic G. Pantua</t>
  </si>
  <si>
    <t>Hamza M. Boloto</t>
  </si>
  <si>
    <t>Charitie Dagsa Gabito</t>
  </si>
  <si>
    <t>Elizabeth B. Del Fin</t>
  </si>
  <si>
    <t>Michael Ian Galleros Ceballos</t>
  </si>
  <si>
    <t>NOEMI V. BALAIS</t>
  </si>
  <si>
    <t>FELOMENA S CABACTULAN</t>
  </si>
  <si>
    <t>Glen Mary Fiecas Sim</t>
  </si>
  <si>
    <t>JUNE ILYN TERADO ESTEBAN</t>
  </si>
  <si>
    <t>Romeo L Tuddao</t>
  </si>
  <si>
    <t>Mark Joseph Roque Dampil</t>
  </si>
  <si>
    <t>MARCELO JUANICH PADILLA</t>
  </si>
  <si>
    <t>Jezereel Esteban</t>
  </si>
  <si>
    <t>DENNIS BAYUWAN BAGYON</t>
  </si>
  <si>
    <t>Jhenevy Monel Diamate</t>
  </si>
  <si>
    <t>MARIA LUCIA RANIN REQUEJO</t>
  </si>
  <si>
    <t>Edgardo C. Ramos</t>
  </si>
  <si>
    <t>Jordan Ravanzo Sipsip</t>
  </si>
  <si>
    <t>Dolores Carig Tendero</t>
  </si>
  <si>
    <t>Ricardo M Tupaz</t>
  </si>
  <si>
    <t>Sylvia Maquilan Caratao</t>
  </si>
  <si>
    <t>Gilbert Cuaresma</t>
  </si>
  <si>
    <t>Efren  Turno  Acaso</t>
  </si>
  <si>
    <t>Noli T. Gandamon</t>
  </si>
  <si>
    <t>Reyma Castañeda Tabalno</t>
  </si>
  <si>
    <t>SHERLITA ABAYAN DEL MUNDO</t>
  </si>
  <si>
    <t>Salvador Cuachin Nuarin</t>
  </si>
  <si>
    <t>Bruno Ayco Lingatong</t>
  </si>
  <si>
    <t>Brenjune Bliss Gerong Calapre</t>
  </si>
  <si>
    <t>CHERRY ANN BANIEL</t>
  </si>
  <si>
    <t>MERIAM R. BENDOY</t>
  </si>
  <si>
    <t>Elton Gurro Panulaya</t>
  </si>
  <si>
    <t>Anna Karla Mae Postor Grindulo</t>
  </si>
  <si>
    <t>Mary Jofel C Santelices</t>
  </si>
  <si>
    <t>Jenny  Ardales Rubrico</t>
  </si>
  <si>
    <t>Ronald Nacario Villanueva</t>
  </si>
  <si>
    <t>Ferdinand So Omaña</t>
  </si>
  <si>
    <t>Hamelcar Anala Primavera</t>
  </si>
  <si>
    <t>MACAPANTAO REMPUNGAN MANAMBA</t>
  </si>
  <si>
    <t>Leonora Lumayag Ofredo</t>
  </si>
  <si>
    <t>RIZA ESPARTERO BALLANCA</t>
  </si>
  <si>
    <t>RHEA B  PEDROSA</t>
  </si>
  <si>
    <t>Ma. Liza Candelaria Ortiz</t>
  </si>
  <si>
    <t>Mateo  Tomaquin</t>
  </si>
  <si>
    <t>ERENEO  E. SULLANO</t>
  </si>
  <si>
    <t>ROSE JEAN  MUnOZ</t>
  </si>
  <si>
    <t>BAC HINUNDAYAN LGU-Hinundayan, So. Leyte</t>
  </si>
  <si>
    <t>Arianna Krystyn A. Perez</t>
  </si>
  <si>
    <t>MARIO  BEDRIJO  URSAL</t>
  </si>
  <si>
    <t>SAMERIO JR. D  AGURA</t>
  </si>
  <si>
    <t>LUISA G  AZUELO</t>
  </si>
  <si>
    <t>Estrella Ageas Maata</t>
  </si>
  <si>
    <t>Florence Joy R. Mallare-Abad</t>
  </si>
  <si>
    <t>Rodel T. Espiritu</t>
  </si>
  <si>
    <t>MILAGROS BAGASIN</t>
  </si>
  <si>
    <t>Lolito B. Aboy</t>
  </si>
  <si>
    <t>MARIFE M  TOÑACAO</t>
  </si>
  <si>
    <t>Randy B Moredo</t>
  </si>
  <si>
    <t>MARIVIC  J.  MANGUBAT</t>
  </si>
  <si>
    <t>Diana D. Ermita</t>
  </si>
  <si>
    <t>ludivina culasing olivas</t>
  </si>
  <si>
    <t>Helen Apostol Calatrava</t>
  </si>
  <si>
    <t>Reynaldo Collado Floria</t>
  </si>
  <si>
    <t>Rey Amador Mallen Baragamento</t>
  </si>
  <si>
    <t>Henry L Vera</t>
  </si>
  <si>
    <t>Restituto Zapanta Balane</t>
  </si>
  <si>
    <t>Alegria Acosta Rayos</t>
  </si>
  <si>
    <t>RENATO RUBEN CASIANO BRAGADO</t>
  </si>
  <si>
    <t>CHRISTINE Y CARTAJENA</t>
  </si>
  <si>
    <t>Miladilla Santiago</t>
  </si>
  <si>
    <t>Connie  Bagadiong Avila</t>
  </si>
  <si>
    <t>Ferdinand G. Razonable</t>
  </si>
  <si>
    <t>Joel P Rosario</t>
  </si>
  <si>
    <t>Reynaldo V Pioquinto</t>
  </si>
  <si>
    <t>IRENEO L. SORIANO, JR.</t>
  </si>
  <si>
    <t>Carlos Seechung</t>
  </si>
  <si>
    <t>DORINA MELAD</t>
  </si>
  <si>
    <t>Angel, Jr. S. Ramos</t>
  </si>
  <si>
    <t>ROSABELLA ORNA MAGPILI</t>
  </si>
  <si>
    <t>james berlin H. escaner</t>
  </si>
  <si>
    <t>Samuel Canaya</t>
  </si>
  <si>
    <t>Mary Melisande Jamoyot Andaya</t>
  </si>
  <si>
    <t>Glenn C. Cabaya</t>
  </si>
  <si>
    <t>Mark Eduard Borda Peñas</t>
  </si>
  <si>
    <t>Charo R Arugay</t>
  </si>
  <si>
    <t>Bonifacio Jr. Tablizo Balazon</t>
  </si>
  <si>
    <t>ALIMUDIN S BITOL</t>
  </si>
  <si>
    <t>JULLIAN KYLE GONZAGA SAN MATEO</t>
  </si>
  <si>
    <t>Marvin Francis U Apale</t>
  </si>
  <si>
    <t>Ma. Teresa I. Samson</t>
  </si>
  <si>
    <t>Maricel Vitasa Granada</t>
  </si>
  <si>
    <t>Reinerio Boglosa</t>
  </si>
  <si>
    <t>Rodel Gullon Chavez</t>
  </si>
  <si>
    <t>Miriam Dela Paz Mapatac</t>
  </si>
  <si>
    <t>Zaldy C Domalina</t>
  </si>
  <si>
    <t>Cecilia Ilao Pureza</t>
  </si>
  <si>
    <t>Marie Juvy Lalin Alera</t>
  </si>
  <si>
    <t>Raquel Manlimos Cero</t>
  </si>
  <si>
    <t>EMMANUEL SABORNIDO NIERRAS</t>
  </si>
  <si>
    <t>Toni Marc L Dargantes</t>
  </si>
  <si>
    <t>Irish B. Velasco</t>
  </si>
  <si>
    <t>Aprilene Agojo Natanauan</t>
  </si>
  <si>
    <t>Hazel G Solis</t>
  </si>
  <si>
    <t>Sherwin  V.  Gelacio</t>
  </si>
  <si>
    <t>Nilda Lumapak</t>
  </si>
  <si>
    <t>Jessie Rose Sabindo Pascua</t>
  </si>
  <si>
    <t>Cario Abag Baskial</t>
  </si>
  <si>
    <t>Gemma Del Mundo Nicolas</t>
  </si>
  <si>
    <t>Deniel Salvador Bentoy Morillo</t>
  </si>
  <si>
    <t>Cecilia Calagui</t>
  </si>
  <si>
    <t>Erlie A. Mallari</t>
  </si>
  <si>
    <t>Marieta Alva Reyes</t>
  </si>
  <si>
    <t>KAREN  M. MAGSALIN</t>
  </si>
  <si>
    <t>Honey Sahara Bautista Aleman</t>
  </si>
  <si>
    <t>Helen  Senosa  Esperancilla</t>
  </si>
  <si>
    <t>Joey Bajao Bacoy</t>
  </si>
  <si>
    <t>EMILY D UGAY</t>
  </si>
  <si>
    <t>Manuel T Barit</t>
  </si>
  <si>
    <t>Gerry Lacuesta Bautista</t>
  </si>
  <si>
    <t>Lou Wendell C San Jose</t>
  </si>
  <si>
    <t>Josef David Vega</t>
  </si>
  <si>
    <t>Felix Amontano Desamero</t>
  </si>
  <si>
    <t>Olga R. Bulisig</t>
  </si>
  <si>
    <t>Anjie P. Ytac</t>
  </si>
  <si>
    <t>Rosa Katherine J. Angeles</t>
  </si>
  <si>
    <t>Mavic Azuran</t>
  </si>
  <si>
    <t>Katrina Enerio Garcia</t>
  </si>
  <si>
    <t>Jennifer Loquillano Mayang-Aligado</t>
  </si>
  <si>
    <t>Maureen Pasajol Camilo</t>
  </si>
  <si>
    <t>BERNARDITA T. MUASSAB</t>
  </si>
  <si>
    <t>Mario G Poserio</t>
  </si>
  <si>
    <t>Ma. Sandy M. Abutanmo</t>
  </si>
  <si>
    <t>ADRIAN A AÑO</t>
  </si>
  <si>
    <t>Charito Santos Fernando</t>
  </si>
  <si>
    <t>Emmanuel Garrido Bartolome</t>
  </si>
  <si>
    <t>Jo Ann Jugan Jabello</t>
  </si>
  <si>
    <t>Nonito Cervancia</t>
  </si>
  <si>
    <t>Juliana M. Reyes, MD, MHA</t>
  </si>
  <si>
    <t>Prospero Andres Bartolome</t>
  </si>
  <si>
    <t>Francisco Basilio Gadingan</t>
  </si>
  <si>
    <t>ARCELI ALLONES TIMOGTIMOG</t>
  </si>
  <si>
    <t>Jesus Malana  Bolima</t>
  </si>
  <si>
    <t>ALLANA AGUILAR BABAYEN-ON</t>
  </si>
  <si>
    <t>Jerry  C.  Rodriguez</t>
  </si>
  <si>
    <t>AURORA MARGARET D. DIEZA</t>
  </si>
  <si>
    <t>QUINLO C. SUPERA</t>
  </si>
  <si>
    <t>Mario Jennifer Rosco Orion</t>
  </si>
  <si>
    <t>Joelinda A Segui</t>
  </si>
  <si>
    <t>BEDA LEGITA CANAMAQUE</t>
  </si>
  <si>
    <t>MARY JOY BUCCAHAN SORIANO</t>
  </si>
  <si>
    <t>REYNALDO PARTIDO SANTOS</t>
  </si>
  <si>
    <t>Judea Micah Dialco Carbajosa</t>
  </si>
  <si>
    <t>MARY FE GRACE MERCADO BENITO</t>
  </si>
  <si>
    <t>Martin A Telan</t>
  </si>
  <si>
    <t>RUPERTO BATO YCO</t>
  </si>
  <si>
    <t>Eunice Faith Panganiban Castillo</t>
  </si>
  <si>
    <t>VILMA BORLA HERMOSO</t>
  </si>
  <si>
    <t>margie celemen africa</t>
  </si>
  <si>
    <t>CLARENCE C. MORALES</t>
  </si>
  <si>
    <t>Christian Inesola</t>
  </si>
  <si>
    <t>NONA V. ANHAO</t>
  </si>
  <si>
    <t>Juliet Lampago Largado</t>
  </si>
  <si>
    <t>Rhoderick T. Haban</t>
  </si>
  <si>
    <t>AURORA CUDAL CUARESMA</t>
  </si>
  <si>
    <t>FLERINE JAY RELATIVO SANDOT</t>
  </si>
  <si>
    <t>Modesto Buenavides Talon</t>
  </si>
  <si>
    <t>Carmelita Seto Bangayan</t>
  </si>
  <si>
    <t>Neil Macaraeg</t>
  </si>
  <si>
    <t>Jovelyn Valdez Pega</t>
  </si>
  <si>
    <t>GERALDINE N. RANARA</t>
  </si>
  <si>
    <t>Randolf B.  Dimal</t>
  </si>
  <si>
    <t>Lolita Alvarez</t>
  </si>
  <si>
    <t>EnP Arlet E. Legaspi</t>
  </si>
  <si>
    <t>REA AXALAN RAMOS</t>
  </si>
  <si>
    <t>Gavin B Cadiente</t>
  </si>
  <si>
    <t>Devina  Pahuna Bustamante</t>
  </si>
  <si>
    <t>HEDELISA  PELOLA  MANINGO</t>
  </si>
  <si>
    <t>Noel Donell Ynion Narida</t>
  </si>
  <si>
    <t>Liborio Ancero Urot</t>
  </si>
  <si>
    <t>RENATO CARINGAL ANONUEVO</t>
  </si>
  <si>
    <t>Ma. Rossana Cabigting Fariñas</t>
  </si>
  <si>
    <t>Eliza Rendon Alamo</t>
  </si>
  <si>
    <t>Joey Llorente</t>
  </si>
  <si>
    <t>PIO CLAR TONERA</t>
  </si>
  <si>
    <t>Marchelyn Pareja Ganit</t>
  </si>
  <si>
    <t>RUEL B. CUBERO</t>
  </si>
  <si>
    <t>Tiburcio Jr. Tolentino Tabarrejo</t>
  </si>
  <si>
    <t>Mylene Giselle C. Catbagan</t>
  </si>
  <si>
    <t>Blesilda Virtucio Erejer</t>
  </si>
  <si>
    <t>MARIA CRISTIE VARGAS BALMADRID</t>
  </si>
  <si>
    <t>Felipe P Ogaco</t>
  </si>
  <si>
    <t>ROLAND B MATIAS</t>
  </si>
  <si>
    <t>Marivic Yorong Morales</t>
  </si>
  <si>
    <t>Carlos De Leon Catigay Jr.</t>
  </si>
  <si>
    <t>Mary Nor Jontilla Gonzales</t>
  </si>
  <si>
    <t>Victor Avendaño</t>
  </si>
  <si>
    <t>JUNE IVY CIELOS MENDEZ</t>
  </si>
  <si>
    <t>Belen Serenio Dela Peña</t>
  </si>
  <si>
    <t>WILSON NARVAIS CABRALES</t>
  </si>
  <si>
    <t>DANILO S. SANTA ANA</t>
  </si>
  <si>
    <t>Reynaldo C. Lopez Jr.</t>
  </si>
  <si>
    <t>Petronila  Cabrera Mariano</t>
  </si>
  <si>
    <t>Aser G Sadava</t>
  </si>
  <si>
    <t>larry fabian dasalla</t>
  </si>
  <si>
    <t>Ofelia Dimabuyo Napalit</t>
  </si>
  <si>
    <t>Noel Jardeleza</t>
  </si>
  <si>
    <t>Marlon Iwarat Esguerra</t>
  </si>
  <si>
    <t>Ramises Baladad Esteban</t>
  </si>
  <si>
    <t>Lailani S Hernandez</t>
  </si>
  <si>
    <t>Jose Marcelo</t>
  </si>
  <si>
    <t>harry eran</t>
  </si>
  <si>
    <t>Scarlet Sualog Villanueva</t>
  </si>
  <si>
    <t>Dennis S Dabuco</t>
  </si>
  <si>
    <t>Candido Matutina Dichosa, Jr.</t>
  </si>
  <si>
    <t>Julito Monteclaro Maglacas</t>
  </si>
  <si>
    <t>Bren Vergara Buena</t>
  </si>
  <si>
    <t>Nestor Acol Almaite</t>
  </si>
  <si>
    <t>REYLLAND EBALLE RENDAL</t>
  </si>
  <si>
    <t>rodrigo jabellana</t>
  </si>
  <si>
    <t>Sharon S. Gupalor</t>
  </si>
  <si>
    <t>NESTOR T TELIN</t>
  </si>
  <si>
    <t>Ramil Custodio Martinez</t>
  </si>
  <si>
    <t>RAMIL A. CONDEZ</t>
  </si>
  <si>
    <t>Leonila G. Lapada</t>
  </si>
  <si>
    <t>Edwin Francisco Argonza</t>
  </si>
  <si>
    <t>CLINIA C EUSORES</t>
  </si>
  <si>
    <t>Julio Carcellar Gatil</t>
  </si>
  <si>
    <t>Ruth Embate Agustin</t>
  </si>
  <si>
    <t>Jackielyn Macahilo Marcelino</t>
  </si>
  <si>
    <t>Rosemarie  Lavilla  Ordas</t>
  </si>
  <si>
    <t>Angela H. Rivera</t>
  </si>
  <si>
    <t>Dolores Villanueva Betonio</t>
  </si>
  <si>
    <t>FRANCISCO DELA VICTORIA MASCUÑANA, JR.</t>
  </si>
  <si>
    <t>Deane Marie Dorliac Ybanez</t>
  </si>
  <si>
    <t>Jose G Medel</t>
  </si>
  <si>
    <t>EVAN V. PUYOS</t>
  </si>
  <si>
    <t>Mary Grace Liwag Capisonda</t>
  </si>
  <si>
    <t>Jacquiline Lanutan Tagaca</t>
  </si>
  <si>
    <t>Sharon Obias Dancalan</t>
  </si>
  <si>
    <t>Francis Ian L Tan</t>
  </si>
  <si>
    <t>MARIADELIA BUBA AVE</t>
  </si>
  <si>
    <t>Klaudine Magno De Vera</t>
  </si>
  <si>
    <t>Julie Joy Bayoguing Divinagracia</t>
  </si>
  <si>
    <t>Andres R Avorque</t>
  </si>
  <si>
    <t>JOCELYN FUENTES VILLARIN</t>
  </si>
  <si>
    <t>ANECITA PEREZ ARGUILLES</t>
  </si>
  <si>
    <t>Benazir Lim Alam</t>
  </si>
  <si>
    <t>JESUS JONJIE ADELANTAR VENTURANZA</t>
  </si>
  <si>
    <t>Virginia Jimenez Nicolas</t>
  </si>
  <si>
    <t>Maricar C Cristobal</t>
  </si>
  <si>
    <t>Mila Rodrin Creencia 2</t>
  </si>
  <si>
    <t>Angelo Arca dela Rosa</t>
  </si>
  <si>
    <t>Rosanna Tan Andal</t>
  </si>
  <si>
    <t>ATTY. ADELITO M. SOLIBAGA, JR.</t>
  </si>
  <si>
    <t>JOHN ANTHONY ASPURIA</t>
  </si>
  <si>
    <t>Melanie D. Calajate</t>
  </si>
  <si>
    <t>Joselyn S. Vivares</t>
  </si>
  <si>
    <t>MERCEDITA DIWA</t>
  </si>
  <si>
    <t>Gerardo Jr. V Viloria</t>
  </si>
  <si>
    <t>Fe Jennifer V. Yaranon</t>
  </si>
  <si>
    <t>Lilibeth Pedroso Arca</t>
  </si>
  <si>
    <t>jimmy managad tolentino</t>
  </si>
  <si>
    <t>LEA C. BARASI</t>
  </si>
  <si>
    <t>SAMUEL GUMPAL LLANES</t>
  </si>
  <si>
    <t>Mae Ann Olasiman Cutamora</t>
  </si>
  <si>
    <t>Gina Arao Arevalo</t>
  </si>
  <si>
    <t>Antonia D Castillo</t>
  </si>
  <si>
    <t>Ma. Carlota Supillo Baral</t>
  </si>
  <si>
    <t>JIMMY AMBROCIO FAMARANCO</t>
  </si>
  <si>
    <t>KEN EMERY B. MARTINEZ</t>
  </si>
  <si>
    <t>Fritzie Mae Vasquez Valenzuela</t>
  </si>
  <si>
    <t>Edwin Vergel De Dios David</t>
  </si>
  <si>
    <t>Fhe Gallardo</t>
  </si>
  <si>
    <t>JOENIME B KAPINA</t>
  </si>
  <si>
    <t>Rene I Estorpe</t>
  </si>
  <si>
    <t>Raymundo Belen Cueto</t>
  </si>
  <si>
    <t>MA. CELESTE S. DIZON</t>
  </si>
  <si>
    <t>Norman Jay B. Alvarado</t>
  </si>
  <si>
    <t>ANACLETO  AVENIDO  PLASABAS</t>
  </si>
  <si>
    <t>CARLITO BRUZON COTARES</t>
  </si>
  <si>
    <t>JEANNA RABANILLO RAPAYRAPAY</t>
  </si>
  <si>
    <t>Lourvelyn Sicat Lacson</t>
  </si>
  <si>
    <t>Hitler Zapata Masangkay</t>
  </si>
  <si>
    <t>Angelbert G Dimazana</t>
  </si>
  <si>
    <t>fredericka F. ferriol</t>
  </si>
  <si>
    <t>DUSTIN PADILLA FORMALEJO</t>
  </si>
  <si>
    <t>Rinafe del Rio Dy</t>
  </si>
  <si>
    <t>Hope Jaravata Relayson</t>
  </si>
  <si>
    <t>EDWARD SULIMA MAHINAY</t>
  </si>
  <si>
    <t>Helen Capuyan Suico</t>
  </si>
  <si>
    <t>CLEANTH REYES GOROSPE</t>
  </si>
  <si>
    <t>Evencio C Ruben</t>
  </si>
  <si>
    <t>Monalyn Lomibao Moulic</t>
  </si>
  <si>
    <t>Abigail Chiara Catalla Muñoz</t>
  </si>
  <si>
    <t>kethlyn franco villar</t>
  </si>
  <si>
    <t>Mariane B. Tingchuy</t>
  </si>
  <si>
    <t>Andresito Papelirin Dosal</t>
  </si>
  <si>
    <t>Jennifer Sayson Teo</t>
  </si>
  <si>
    <t>EVELYN COLUMBRES MALIGAD</t>
  </si>
  <si>
    <t>Realyn Mae Bonilla Bernas</t>
  </si>
  <si>
    <t>Kimberly Englis Templado</t>
  </si>
  <si>
    <t>Romelyn G. Estares</t>
  </si>
  <si>
    <t>Alvin B De Roxas</t>
  </si>
  <si>
    <t>Arsenia Morcoso Ordiales</t>
  </si>
  <si>
    <t>Urbie Mahipos Migallen</t>
  </si>
  <si>
    <t>RICARDO, JR. ABABOL IMBING</t>
  </si>
  <si>
    <t>Rene Sarmiento</t>
  </si>
  <si>
    <t>FREDDIE O. TEJADA</t>
  </si>
  <si>
    <t>RUSTICO GOJO CRUZ GATCHALIAN</t>
  </si>
  <si>
    <t>Mary Jean Garrido Demonteverde</t>
  </si>
  <si>
    <t>Annalyn R. Encomio</t>
  </si>
  <si>
    <t>Michelle M Marcos</t>
  </si>
  <si>
    <t>Marnie O. Credo</t>
  </si>
  <si>
    <t>Peachy Natividad E. Chatto</t>
  </si>
  <si>
    <t>Cecille Arao Briones</t>
  </si>
  <si>
    <t>RAYMOORE A ARTATES</t>
  </si>
  <si>
    <t>MA. BELEN POLIDO ACUESTA</t>
  </si>
  <si>
    <t>Reynaldo Salting De Fiesta</t>
  </si>
  <si>
    <t>NESTOR APLACA AMPARO</t>
  </si>
  <si>
    <t>Rosalie C Obena</t>
  </si>
  <si>
    <t>Merlita Mangalonzo Regonda</t>
  </si>
  <si>
    <t>Kristina Omapas Racuya</t>
  </si>
  <si>
    <t>CONSTANTE MADRID JACOBE</t>
  </si>
  <si>
    <t>ENGR. GREGORIO VALENCIA BALUYUT</t>
  </si>
  <si>
    <t>Vannesa Bianca Garcia</t>
  </si>
  <si>
    <t>Jundel John Benavidez Cabanela</t>
  </si>
  <si>
    <t>VENUS NARAG MARTIREZ</t>
  </si>
  <si>
    <t>Baltazar Caro Carisma</t>
  </si>
  <si>
    <t>Evelyn G Orcajada</t>
  </si>
  <si>
    <t>ELENA A. AGANON</t>
  </si>
  <si>
    <t>JAIME  SAURO   BAYABAY</t>
  </si>
  <si>
    <t>Gaudencio Quiaoit Orpiano, Jr</t>
  </si>
  <si>
    <t>Carolina Lequin Henoguin</t>
  </si>
  <si>
    <t>Jaime Ortega Jorda</t>
  </si>
  <si>
    <t>Jingkie L. Abelgas</t>
  </si>
  <si>
    <t>Aldwin  Alcantara  Carandang</t>
  </si>
  <si>
    <t>Silvestre Jr. Villamor</t>
  </si>
  <si>
    <t>Marcelina Jumawan Oguis</t>
  </si>
  <si>
    <t>FLORITO GUINIT BERNALIS</t>
  </si>
  <si>
    <t>Melito Delos Reyes Pabellon</t>
  </si>
  <si>
    <t>JAN MICHAEL RAYMUNDO RAYMUNDO</t>
  </si>
  <si>
    <t>Josie Ga-ang Yap</t>
  </si>
  <si>
    <t>Glin Valzado Sagre</t>
  </si>
  <si>
    <t>Haze Berlene Portugal Puno</t>
  </si>
  <si>
    <t>MARYJANE VISTAL TAMPEPE</t>
  </si>
  <si>
    <t>Lorna Colob Lustria</t>
  </si>
  <si>
    <t>JOHN JOHN CASTILLO FAULVE</t>
  </si>
  <si>
    <t>Armina B. Abad</t>
  </si>
  <si>
    <t>MARIO ABANTO TALLEDO</t>
  </si>
  <si>
    <t>Maricor Melorin Carbonilla</t>
  </si>
  <si>
    <t>Daniel D. Reyes</t>
  </si>
  <si>
    <t>RICHELIZA JEAN C. CORDERO</t>
  </si>
  <si>
    <t>manuel LATUBE legionl</t>
  </si>
  <si>
    <t>KRISCHAN V. LAURADO</t>
  </si>
  <si>
    <t>Leonard D Danao</t>
  </si>
  <si>
    <t>Raquel Dela Cruz Reontoy</t>
  </si>
  <si>
    <t>GERMAN M. DELA CRUZ</t>
  </si>
  <si>
    <t>Alan Rey del Castillo Hiponia</t>
  </si>
  <si>
    <t>Servando Lonzon Amparo Jr.</t>
  </si>
  <si>
    <t>MARIO B GARCIA</t>
  </si>
  <si>
    <t>HENRY JOHN U. MORADA</t>
  </si>
  <si>
    <t>Naomie Dahunan Zalsos</t>
  </si>
  <si>
    <t>LEMUEL ESPINA AN</t>
  </si>
  <si>
    <t>MARCELINO JR. L. PONIPON</t>
  </si>
  <si>
    <t>NOEL AZARCON AGOR</t>
  </si>
  <si>
    <t>DON BATOON SMITH</t>
  </si>
  <si>
    <t>Janely Porras Ansoyon</t>
  </si>
  <si>
    <t>Catherine G. Macanip</t>
  </si>
  <si>
    <t>ROSELLER PAJAREN GERZON</t>
  </si>
  <si>
    <t>Ma. Socorro Lacambra Domingo</t>
  </si>
  <si>
    <t>Diana E Orcine</t>
  </si>
  <si>
    <t>Mario Galila Parreño</t>
  </si>
  <si>
    <t>DANILO B. MANUEL</t>
  </si>
  <si>
    <t>Ryan Delos Reyes</t>
  </si>
  <si>
    <t>Ma. Macbeth Cabug</t>
  </si>
  <si>
    <t>Julian Orcino Castro Jr.</t>
  </si>
  <si>
    <t>Balligi Wandas Quitor</t>
  </si>
  <si>
    <t>JERRY S. ROSARIO</t>
  </si>
  <si>
    <t>Fatima Madonna Ubalde Jaynario</t>
  </si>
  <si>
    <t>Al Rasheed Olivo Sapto</t>
  </si>
  <si>
    <t>Raul B. Jacela</t>
  </si>
  <si>
    <t>Linell Fulleros Montuerto</t>
  </si>
  <si>
    <t>Michelle S Almojuela</t>
  </si>
  <si>
    <t>Teresita H. Ferriol</t>
  </si>
  <si>
    <t>RACHELLE ALANO CRON</t>
  </si>
  <si>
    <t>Jose  C.  Tagbac</t>
  </si>
  <si>
    <t>Elvisa Japay Villar</t>
  </si>
  <si>
    <t>ANTHONY  ARTHUR D. FERNANDEZ</t>
  </si>
  <si>
    <t>NESTOR MALASIG UY</t>
  </si>
  <si>
    <t>Benito Soriano Montano</t>
  </si>
  <si>
    <t>Victor Alberca Asentista</t>
  </si>
  <si>
    <t>Abner Escobar Guilambo</t>
  </si>
  <si>
    <t>WENNIE SR. FLORES JORDAN</t>
  </si>
  <si>
    <t>Sofronia Ceniza Uy</t>
  </si>
  <si>
    <t>Joemard C Calvez</t>
  </si>
  <si>
    <t>Marivie R. Manero-Fernandez</t>
  </si>
  <si>
    <t>ATTY. MARIA JONIKA GONZAGA ROMANO</t>
  </si>
  <si>
    <t>Marelyn  Pestillos  Culanag</t>
  </si>
  <si>
    <t>LORETO GALVEZ NICOLAS</t>
  </si>
  <si>
    <t>Memilanie Malabunga Aguilar</t>
  </si>
  <si>
    <t>Rogelio Loy Magdaug, Jr.</t>
  </si>
  <si>
    <t>Marisa P Las</t>
  </si>
  <si>
    <t>Isidro Alabag Gumpad</t>
  </si>
  <si>
    <t>Constante C. Sabalburo</t>
  </si>
  <si>
    <t>Leizel  O.  Hernando</t>
  </si>
  <si>
    <t>Beverly Escalon Taotjo</t>
  </si>
  <si>
    <t>EDGAR SISNEROS BESIN</t>
  </si>
  <si>
    <t>Marissa L Yagyagan</t>
  </si>
  <si>
    <t>Jayson Pascual Galbis</t>
  </si>
  <si>
    <t>EDELYN JIMENEZ IGLESIA</t>
  </si>
  <si>
    <t>Melvin Agbayani Agbalog</t>
  </si>
  <si>
    <t>CARY P. BALBUTIN</t>
  </si>
  <si>
    <t>Marion Acolentaba Balasa</t>
  </si>
  <si>
    <t>Perseverando Pantuan Caleza,Jr.</t>
  </si>
  <si>
    <t>Jessie Sobrevega Porras</t>
  </si>
  <si>
    <t>Gil Bagares Llosa</t>
  </si>
  <si>
    <t>Aimee Tompong Maata</t>
  </si>
  <si>
    <t>Amancio S. Dongcoy</t>
  </si>
  <si>
    <t>Marilyn  Labrador Garcia</t>
  </si>
  <si>
    <t>Felix E. Ortega</t>
  </si>
  <si>
    <t>Maiden P. Cortez</t>
  </si>
  <si>
    <t>Gen Anderson Gonzales Tanhueco</t>
  </si>
  <si>
    <t>Marivic Estopin Diaz</t>
  </si>
  <si>
    <t>Leonides Luis Bautista</t>
  </si>
  <si>
    <t>Wilfredo R Bartolini</t>
  </si>
  <si>
    <t>Engr. Fernando B. Sarile Jr.</t>
  </si>
  <si>
    <t>Ederlita Cena</t>
  </si>
  <si>
    <t>Rowena M Mirhan</t>
  </si>
  <si>
    <t>Michael Angelo Agoto Samonte</t>
  </si>
  <si>
    <t>PATRICIA TAN MARA</t>
  </si>
  <si>
    <t>Jomar Beltran Torres</t>
  </si>
  <si>
    <t>Roselle C. Turreda</t>
  </si>
  <si>
    <t>Rhienna Jhean Marcial Arsenal</t>
  </si>
  <si>
    <t>Rox E. Tarranza</t>
  </si>
  <si>
    <t>Maria Teresa Hilado Tapil</t>
  </si>
  <si>
    <t>LANI DEFENSOR SARDINA</t>
  </si>
  <si>
    <t>Luzviminda S. Reyes</t>
  </si>
  <si>
    <t>Rey Partible Urbano</t>
  </si>
  <si>
    <t>Mae Lyn Garcia Altarejos</t>
  </si>
  <si>
    <t>Julius Dapitilla Palma</t>
  </si>
  <si>
    <t>JULIETO DELOAG</t>
  </si>
  <si>
    <t>Jhoanne Ayen A Jimenez</t>
  </si>
  <si>
    <t>Marlon Salutan Dubla</t>
  </si>
  <si>
    <t>Christma Joy Pereyra Rodriguez</t>
  </si>
  <si>
    <t>Ma. Corazon V. Tadena</t>
  </si>
  <si>
    <t>Frazier L. Quinesio</t>
  </si>
  <si>
    <t>ESMERALDO P BEJOSA</t>
  </si>
  <si>
    <t>Venn Wei Sipalay   Añonuevo</t>
  </si>
  <si>
    <t>Ma. Isabel N. Argueza</t>
  </si>
  <si>
    <t>ANTONINO RAQUIL</t>
  </si>
  <si>
    <t>Felicidad F. De Guzman</t>
  </si>
  <si>
    <t>PHILIP GENE II A.   MALACAS</t>
  </si>
  <si>
    <t>Priscilla Samonte Esguerra</t>
  </si>
  <si>
    <t>Teresita Correa Faustino</t>
  </si>
  <si>
    <t>Hope S Macusi</t>
  </si>
  <si>
    <t>Francisco Escape Oliva, Jr.</t>
  </si>
  <si>
    <t>Nerissa Nedic Calimbo</t>
  </si>
  <si>
    <t>Emiliana Z Sarmiento</t>
  </si>
  <si>
    <t>Ma Ruby S Carmona</t>
  </si>
  <si>
    <t>NOEL C. MANGKIKIS</t>
  </si>
  <si>
    <t>Marlone Templeton Buen</t>
  </si>
  <si>
    <t>Angeli A. Lood</t>
  </si>
  <si>
    <t>MA. NITA DIZOR GEROY</t>
  </si>
  <si>
    <t>CHARITO TACTAC YANGAT</t>
  </si>
  <si>
    <t>Alejandro Yulo Mirasol</t>
  </si>
  <si>
    <t>Christelyn A. Aguro</t>
  </si>
  <si>
    <t>Aniano III Bisnar Bacor</t>
  </si>
  <si>
    <t>Rainero Elmer Dingal Gerzon</t>
  </si>
  <si>
    <t>EDUARDO JUAN FORONDA</t>
  </si>
  <si>
    <t>Donna Mae Mitra Reyroso</t>
  </si>
  <si>
    <t>Ma. Nena T. Zapico</t>
  </si>
  <si>
    <t>DANILO B DALISAY</t>
  </si>
  <si>
    <t>Jovina Corrales Orias</t>
  </si>
  <si>
    <t>Ryan Anthony Agay Olalia</t>
  </si>
  <si>
    <t>DELFIN DELA CRUZ CARLOS</t>
  </si>
  <si>
    <t>Arturo I Gumban</t>
  </si>
  <si>
    <t>HERBERT WILLIAM L. EMNAS</t>
  </si>
  <si>
    <t>Mark Anthony Parcon Peñafiel</t>
  </si>
  <si>
    <t>Mary Ann J Chavez</t>
  </si>
  <si>
    <t>Sanny Yntong Dandoy</t>
  </si>
  <si>
    <t>CRISTINA DUNGCA</t>
  </si>
  <si>
    <t>Rochelle Anne Reforzado Balagonsa</t>
  </si>
  <si>
    <t>Simplicio Paracale</t>
  </si>
  <si>
    <t>Adelia Gonzales</t>
  </si>
  <si>
    <t>Christie Magdalene J Pedroza</t>
  </si>
  <si>
    <t>JUANITO C. VALONES</t>
  </si>
  <si>
    <t>Juvy  Fugnit  Paulican</t>
  </si>
  <si>
    <t>Ronie S. Dela Calzada</t>
  </si>
  <si>
    <t>Filomena S Acidera</t>
  </si>
  <si>
    <t>Christine D. Batallones</t>
  </si>
  <si>
    <t>CHARLTON LIU UY</t>
  </si>
  <si>
    <t>Teofilo B. Ferolin, Sr.</t>
  </si>
  <si>
    <t>Reynaldo J Santiago</t>
  </si>
  <si>
    <t>Doris Grimaldo Labog</t>
  </si>
  <si>
    <t>Liza R. Balagot</t>
  </si>
  <si>
    <t>Mercedita A. Flores</t>
  </si>
  <si>
    <t>Jerlyn G. Peter</t>
  </si>
  <si>
    <t>Norielle Ann P. Vergara</t>
  </si>
  <si>
    <t>DOLORES JAVIER GOTICO</t>
  </si>
  <si>
    <t>TEEJAY YOSHIUMI JUNATAS SAKUMA</t>
  </si>
  <si>
    <t>ZORAYA BAKAR MASAKAL</t>
  </si>
  <si>
    <t>KATHERINE J GUTIERREZ</t>
  </si>
  <si>
    <t>ESTEBAN FERNANDEZ CANONES, JR.</t>
  </si>
  <si>
    <t>Mary Grace Palcon Gallardo</t>
  </si>
  <si>
    <t>Joeven C Calasagsag</t>
  </si>
  <si>
    <t>Nestor Corpuz Guillermo</t>
  </si>
  <si>
    <t>EMMANUEL OBINA</t>
  </si>
  <si>
    <t>EVA MACAHILIG JIMENEZ</t>
  </si>
  <si>
    <t>Angelita H Reazon</t>
  </si>
  <si>
    <t>Gregorio M Monreal</t>
  </si>
  <si>
    <t>JOCELYN A. FERNANDO, MPMG</t>
  </si>
  <si>
    <t>Cipriano Grande Gardoque</t>
  </si>
  <si>
    <t>Aaron John Reyes Liwag (2nd Account)</t>
  </si>
  <si>
    <t>Esmeralda Gonzales Aguilar</t>
  </si>
  <si>
    <t>Sandra Caturan Dagani</t>
  </si>
  <si>
    <t>Rolando Javier Garcia</t>
  </si>
  <si>
    <t>Mark Anthony C Lorilla</t>
  </si>
  <si>
    <t>Muriel Tupas Autencio</t>
  </si>
  <si>
    <t>Steve Leo Mangyan</t>
  </si>
  <si>
    <t>JANET ARELLANO MONTEVERDE</t>
  </si>
  <si>
    <t>Demars Gonzaga Madroso</t>
  </si>
  <si>
    <t>Luis, Jr. Artieda Albacete</t>
  </si>
  <si>
    <t>MARIA CORAZON RIVA VALDEMORO</t>
  </si>
  <si>
    <t>Elma Seraphelle Magdaug Bulagao</t>
  </si>
  <si>
    <t>Elvie Villanueva Diaz</t>
  </si>
  <si>
    <t>ROMMEL G. ERPELO</t>
  </si>
  <si>
    <t>Celestino D. Boldo</t>
  </si>
  <si>
    <t>GENEROSO P DORO</t>
  </si>
  <si>
    <t>Ricardo A. Negado</t>
  </si>
  <si>
    <t>Pablo L Nabong</t>
  </si>
  <si>
    <t>Ruth Magno Milanio</t>
  </si>
  <si>
    <t>MARIE ROSE G. BAL</t>
  </si>
  <si>
    <t>Francisco C Cabunoc</t>
  </si>
  <si>
    <t>Florenda Inutan Carballo</t>
  </si>
  <si>
    <t>Marcial  M. Ilagan</t>
  </si>
  <si>
    <t>Marisa S. Jumalon</t>
  </si>
  <si>
    <t>Ruel Jr. Bayubay Masangcay</t>
  </si>
  <si>
    <t>Arjay Caballero Dimafelix</t>
  </si>
  <si>
    <t>Armando L. Andres</t>
  </si>
  <si>
    <t>JENNY F OASAY</t>
  </si>
  <si>
    <t>Dennis R Marquez</t>
  </si>
  <si>
    <t>Poliver L  Tumaneng</t>
  </si>
  <si>
    <t>MA. CECILIA REYES POTESTADES</t>
  </si>
  <si>
    <t>Marcelo C. Gutierrez</t>
  </si>
  <si>
    <t>Homer G. Hubag</t>
  </si>
  <si>
    <t>joahna grace pates vahey</t>
  </si>
  <si>
    <t>Michele Solon Mapalo</t>
  </si>
  <si>
    <t>BRINALYN DE LA CRUZ LONTOC</t>
  </si>
  <si>
    <t>Alien Belleza Empaces</t>
  </si>
  <si>
    <t>Eugene Raro Luces</t>
  </si>
  <si>
    <t>Maximo G. Lomosbog</t>
  </si>
  <si>
    <t>MERVIN "BUDA" JUSI JUSI</t>
  </si>
  <si>
    <t>Marichelle Ferrer</t>
  </si>
  <si>
    <t>Dario Sarabusing Jr.</t>
  </si>
  <si>
    <t>ERIKA R. DURAN</t>
  </si>
  <si>
    <t>Saturnino Napa Magmanlac, Jr.</t>
  </si>
  <si>
    <t>Naomi Asendiente Bajao</t>
  </si>
  <si>
    <t>Jhonna Salve Janer Buenaflor</t>
  </si>
  <si>
    <t>Abegail Cuevas Tigas</t>
  </si>
  <si>
    <t>Jerome Duenas Malapit</t>
  </si>
  <si>
    <t>Eugenia Lizabeth G. Somera</t>
  </si>
  <si>
    <t>Vince Kyle Dizon Timbol</t>
  </si>
  <si>
    <t>ALVIN  L  ESTRADA.</t>
  </si>
  <si>
    <t>Rosario Corazon  Sison  Abara</t>
  </si>
  <si>
    <t>RENY ACERO CELESPARA</t>
  </si>
  <si>
    <t>Florence Joseline Gredona</t>
  </si>
  <si>
    <t>Jesus Rey Serna Cavalida</t>
  </si>
  <si>
    <t>Samson Gavasan Gilo, Jr.</t>
  </si>
  <si>
    <t>Jessica Foronda Eriguel</t>
  </si>
  <si>
    <t>MOISES D. LABIAN, JR, PhD, CESO VI</t>
  </si>
  <si>
    <t>Abdul Rahman Coliling Palao</t>
  </si>
  <si>
    <t>Judilyn Tampepe Natabio</t>
  </si>
  <si>
    <t>Christopher Mabulay Rizo</t>
  </si>
  <si>
    <t>Judith  D.  Arago</t>
  </si>
  <si>
    <t>Ana Lorraine Endaya Ellarina</t>
  </si>
  <si>
    <t>Carla Francesca M. Guinto</t>
  </si>
  <si>
    <t>Maricon Alpitche Butcon</t>
  </si>
  <si>
    <t>Engr. Roberto M Digay</t>
  </si>
  <si>
    <t>JUNREY RATILLA</t>
  </si>
  <si>
    <t>Dawnavi Lae Valle Lacsado</t>
  </si>
  <si>
    <t>Ignacio Subebe</t>
  </si>
  <si>
    <t>ELIZABETH FERNANDO CRUZ</t>
  </si>
  <si>
    <t>Roger Sr. A Obra</t>
  </si>
  <si>
    <t>ERNESTO N. ARCO</t>
  </si>
  <si>
    <t>Jhune M Rivera</t>
  </si>
  <si>
    <t>Elizabeth M Dayot</t>
  </si>
  <si>
    <t>Joel Soriano Pagulayan</t>
  </si>
  <si>
    <t>Clarisse Anne De Castro Salenga</t>
  </si>
  <si>
    <t>Marilyn N. Ontolan</t>
  </si>
  <si>
    <t>JEMSEL  Sr. DETALO VALDEZ</t>
  </si>
  <si>
    <t>Gilda Filoteo Lluisma</t>
  </si>
  <si>
    <t>Ma. Emilyn Sweetie Leonor Protacio</t>
  </si>
  <si>
    <t>ANASTACIO MAMALIAS  BAHINTING</t>
  </si>
  <si>
    <t>MARICAR H DIPUTADO</t>
  </si>
  <si>
    <t>JAN RAE MIJARES CANABANO</t>
  </si>
  <si>
    <t>MARICRIS G. DIAZ</t>
  </si>
  <si>
    <t>Celia villanueva Manalad</t>
  </si>
  <si>
    <t>Esmeralda Inojales Vallecera</t>
  </si>
  <si>
    <t>Dominic Babaran Calimag</t>
  </si>
  <si>
    <t>James Beltran</t>
  </si>
  <si>
    <t xml:space="preserve">JEFFERSON  THOMPSON RODRIGUEZ </t>
  </si>
  <si>
    <t>Juliet Corregidor Custodio</t>
  </si>
  <si>
    <t>Ralph Martin Romero Roque</t>
  </si>
  <si>
    <t>Gypsy Jennsen Arquio</t>
  </si>
  <si>
    <t>Angelo Aniar Sabaybay</t>
  </si>
  <si>
    <t>Chamberlain J. Babiera</t>
  </si>
  <si>
    <t>Arnold A. De Castro</t>
  </si>
  <si>
    <t>Alver P Lamoste, CPA</t>
  </si>
  <si>
    <t>Romeo Avelino Tiri</t>
  </si>
  <si>
    <t>Sheila Riva B. Soriaga</t>
  </si>
  <si>
    <t>Gary S Velayo</t>
  </si>
  <si>
    <t>LT RAYMOND A ROLDAN PN</t>
  </si>
  <si>
    <t>Remy O. Patente</t>
  </si>
  <si>
    <t>Andrew Dullin Agunod</t>
  </si>
  <si>
    <t>ROXAN KASTINE MENDOZA LUMAPAS</t>
  </si>
  <si>
    <t>Jules Amiel  Angeles</t>
  </si>
  <si>
    <t>Catherine Olmoguez Ureta</t>
  </si>
  <si>
    <t>Mary Jane Sison Lola</t>
  </si>
  <si>
    <t>Arra Jane Juridico</t>
  </si>
  <si>
    <t>Dindo Bautista Gonzales</t>
  </si>
  <si>
    <t>Claress Montojo</t>
  </si>
  <si>
    <t>Ma. Gianelli A Ecuacion</t>
  </si>
  <si>
    <t>RAL P CORNEJO</t>
  </si>
  <si>
    <t>ALBERTO Q. BEREDO</t>
  </si>
  <si>
    <t>Pedro Arguelles</t>
  </si>
  <si>
    <t>Maria Celeste R. Dela Cruz</t>
  </si>
  <si>
    <t>Katherine Liwanag Pangilinan</t>
  </si>
  <si>
    <t>LODEVICO CODAL LUIS</t>
  </si>
  <si>
    <t>jennifer empleo rondina</t>
  </si>
  <si>
    <t>Rebecca Cequiña Remulta</t>
  </si>
  <si>
    <t>Leo F. Ferraris</t>
  </si>
  <si>
    <t>Ricardo V Nuñez</t>
  </si>
  <si>
    <t>ASSEL PAGARAN MADANGUIT</t>
  </si>
  <si>
    <t>Janine S. Zarate</t>
  </si>
  <si>
    <t>Ileen P. Vista</t>
  </si>
  <si>
    <t>Kreenzel Joy Pagaduan</t>
  </si>
  <si>
    <t>Charlene P. Alonzo</t>
  </si>
  <si>
    <t>Atila S. Barre</t>
  </si>
  <si>
    <t>Jannette Rojas Raganit</t>
  </si>
  <si>
    <t>MARIA ELINOR F. HEMEDES</t>
  </si>
  <si>
    <t>Niño G. Mascareñas</t>
  </si>
  <si>
    <t>GIEBERT GORDUIZ OLAIS</t>
  </si>
  <si>
    <t>DARA AUREA HENRIETTA A. VILLALOBOS</t>
  </si>
  <si>
    <t>Minrad Quinto Tigno</t>
  </si>
  <si>
    <t>Chenaryl M. Cordero</t>
  </si>
  <si>
    <t>Neil Patrick Y. Cruz</t>
  </si>
  <si>
    <t>Anna Michelle Icasiano Africa</t>
  </si>
  <si>
    <t>Carol Galang Mercado</t>
  </si>
  <si>
    <t>Marlon Delovino Cayaban</t>
  </si>
  <si>
    <t>Erlwin S. Andres</t>
  </si>
  <si>
    <t>Mayette Casaysayan</t>
  </si>
  <si>
    <t>Mark Alvin Hernandez Gatus</t>
  </si>
  <si>
    <t>Myles M Sayre</t>
  </si>
  <si>
    <t>Judith Domingo Unson</t>
  </si>
  <si>
    <t>Lord Kristan Atienza Logmao</t>
  </si>
  <si>
    <t>Merla D. Escobar</t>
  </si>
  <si>
    <t>COMELEC Bids and Awards Committee</t>
  </si>
  <si>
    <t>Anne Camille Carlos Bautista</t>
  </si>
  <si>
    <t>ATHESA LASTIMOSA BAS</t>
  </si>
  <si>
    <t>SSUPT LEONIDA G ROSALES</t>
  </si>
  <si>
    <t>Jose Antonio Gorordo Flores</t>
  </si>
  <si>
    <t>Ray-Ann Sorilla</t>
  </si>
  <si>
    <t>Dianne Gungob Ibias</t>
  </si>
  <si>
    <t>Noel  Alcabaza</t>
  </si>
  <si>
    <t>ROLANDO A SAMSON</t>
  </si>
  <si>
    <t>Roderick I. Mendoza</t>
  </si>
  <si>
    <t>VICTORIO FAJARDO CORPORAL</t>
  </si>
  <si>
    <t>Angelica B. Acoba</t>
  </si>
  <si>
    <t>Jonjon Bautista III</t>
  </si>
  <si>
    <t>Jenny Lyn Roa Panganiban</t>
  </si>
  <si>
    <t>Jessica Diokno Santos</t>
  </si>
  <si>
    <t>Jessel Gementiza Bestudio</t>
  </si>
  <si>
    <t>JACKIE CHARLEMAGNE JO CHIONG</t>
  </si>
  <si>
    <t>ABNER VILLAFLOR DE LA CRUZ</t>
  </si>
  <si>
    <t>Toni Rose E. Unciano</t>
  </si>
  <si>
    <t>Active</t>
  </si>
  <si>
    <t>Order</t>
  </si>
  <si>
    <t>03/07/2020</t>
  </si>
  <si>
    <t>02/07/2020</t>
  </si>
  <si>
    <t>01/07/2020</t>
  </si>
  <si>
    <t>30/06/2020</t>
  </si>
  <si>
    <t>29/06/2020</t>
  </si>
  <si>
    <t>28/06/2020</t>
  </si>
  <si>
    <t>27/06/2020</t>
  </si>
  <si>
    <t>26/06/2020</t>
  </si>
  <si>
    <t>25/06/2020</t>
  </si>
  <si>
    <t>24/06/2020</t>
  </si>
  <si>
    <t>23/06/2020</t>
  </si>
  <si>
    <t>22/06/2020</t>
  </si>
  <si>
    <t>21/06/2020</t>
  </si>
  <si>
    <t>20/06/2020</t>
  </si>
  <si>
    <t>19/06/2020</t>
  </si>
  <si>
    <t>18/06/2020</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</si>
  <si>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</si>
  <si>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</si>
  <si>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</si>
  <si>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</si>
  <si>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</si>
  <si>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</si>
  <si>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</si>
  <si>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</si>
  <si>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</si>
  <si>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</si>
  <si>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</si>
  <si>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</si>
  <si>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</si>
  <si>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</si>
  <si>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</si>
  <si>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</si>
  <si>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29/05/2020</t>
  </si>
  <si>
    <t>30/05/2020</t>
  </si>
  <si>
    <t>28/05/2020</t>
  </si>
  <si>
    <t>01/06/2020</t>
  </si>
  <si>
    <t>27/05/2020</t>
  </si>
  <si>
    <t>26/05/2020</t>
  </si>
  <si>
    <t>16/05/2020</t>
  </si>
  <si>
    <t>19/05/2020</t>
  </si>
  <si>
    <t>20/05/2020</t>
  </si>
  <si>
    <t>21/05/2020</t>
  </si>
  <si>
    <t>22/05/2020</t>
  </si>
  <si>
    <t>15/05/2020</t>
  </si>
  <si>
    <t>07/05/2020</t>
  </si>
  <si>
    <t>06/05/2020</t>
  </si>
  <si>
    <t>12/05/2020</t>
  </si>
  <si>
    <t>13/05/2020</t>
  </si>
  <si>
    <t>25/05/2020</t>
  </si>
  <si>
    <t>14/05/2020</t>
  </si>
  <si>
    <t>01/05/2020</t>
  </si>
  <si>
    <t>28/04/2020</t>
  </si>
  <si>
    <t>30/04/2020</t>
  </si>
  <si>
    <t>24/04/2020</t>
  </si>
  <si>
    <t>21/04/2020</t>
  </si>
  <si>
    <t>22/04/2020</t>
  </si>
  <si>
    <t>20/04/2020</t>
  </si>
  <si>
    <t>01/04/2020</t>
  </si>
  <si>
    <t>30/03/2020</t>
  </si>
  <si>
    <t>31/03/2020</t>
  </si>
  <si>
    <t>05/04/2020</t>
  </si>
  <si>
    <t>18/03/2020</t>
  </si>
  <si>
    <t>19/03/2020</t>
  </si>
  <si>
    <t>20/03/2020</t>
  </si>
  <si>
    <t>13/03/2020</t>
  </si>
  <si>
    <t>14/03/2020</t>
  </si>
  <si>
    <t>16/03/2020</t>
  </si>
  <si>
    <t>17/03/2020</t>
  </si>
  <si>
    <t>12/03/2020</t>
  </si>
  <si>
    <t>11/03/2020</t>
  </si>
  <si>
    <t>10/03/2020</t>
  </si>
  <si>
    <t>07/03/2020</t>
  </si>
  <si>
    <t>09/03/2020</t>
  </si>
  <si>
    <t>05/03/2020</t>
  </si>
  <si>
    <t>27/04/2020</t>
  </si>
  <si>
    <t>06/03/2020</t>
  </si>
  <si>
    <t>03/03/2020</t>
  </si>
  <si>
    <t>04/03/2020</t>
  </si>
  <si>
    <t>26/02/2020</t>
  </si>
  <si>
    <t>25/02/2020</t>
  </si>
  <si>
    <t>27/02/2020</t>
  </si>
  <si>
    <t>28/02/2020</t>
  </si>
  <si>
    <t>29/02/2020</t>
  </si>
  <si>
    <t>17/02/2020</t>
  </si>
  <si>
    <t>18/02/2020</t>
  </si>
  <si>
    <t>19/02/2020</t>
  </si>
  <si>
    <t>20/02/2020</t>
  </si>
  <si>
    <t>21/02/2020</t>
  </si>
  <si>
    <t>10/02/2020</t>
  </si>
  <si>
    <t>12/02/2020</t>
  </si>
  <si>
    <t>11/02/2020</t>
  </si>
  <si>
    <t>14/02/2020</t>
  </si>
  <si>
    <t>22/01/2020</t>
  </si>
  <si>
    <t>23/01/2020</t>
  </si>
  <si>
    <t>27/01/2020</t>
  </si>
  <si>
    <t>24/01/2020</t>
  </si>
  <si>
    <t>29/01/2020</t>
  </si>
  <si>
    <t>31/01/2020</t>
  </si>
  <si>
    <t>30/01/2020</t>
  </si>
  <si>
    <t>01/02/2020</t>
  </si>
  <si>
    <t>06/02/2020</t>
  </si>
  <si>
    <t>23/08/2019</t>
  </si>
  <si>
    <t>31/10/2019</t>
  </si>
  <si>
    <t>20/12/2019</t>
  </si>
  <si>
    <t>07/01/2020</t>
  </si>
  <si>
    <t>06/11/2019</t>
  </si>
  <si>
    <t>06/12/2019</t>
  </si>
  <si>
    <t>16/01/2020</t>
  </si>
  <si>
    <t>07/02/2020</t>
  </si>
  <si>
    <t>15/02/2020</t>
  </si>
  <si>
    <t>22/02/2020</t>
  </si>
  <si>
    <t>24/02/2020</t>
  </si>
  <si>
    <t>02/03/2020</t>
  </si>
  <si>
    <t>25/03/2020</t>
  </si>
  <si>
    <t>26/03/2020</t>
  </si>
  <si>
    <t>07/04/2020</t>
  </si>
  <si>
    <t>17/04/2020</t>
  </si>
  <si>
    <t>24/03/2020</t>
  </si>
  <si>
    <t>06/04/2020</t>
  </si>
  <si>
    <t>03/07/2020 12:00 AM</t>
  </si>
  <si>
    <t>03/07/2020 7:15 PM</t>
  </si>
  <si>
    <t>03/07/2020 10:06 AM</t>
  </si>
  <si>
    <t>03/07/2020 8:16 AM</t>
  </si>
  <si>
    <t>03/07/2020 11:33 AM</t>
  </si>
  <si>
    <t>03/07/2020 10:59 AM</t>
  </si>
  <si>
    <t>03/07/2020 12:51 PM</t>
  </si>
  <si>
    <t>03/07/2020 12:15 PM</t>
  </si>
  <si>
    <t>03/07/2020 10:09 AM</t>
  </si>
  <si>
    <t>03/07/2020 11:34 AM</t>
  </si>
  <si>
    <t>03/07/2020 3:37 PM</t>
  </si>
  <si>
    <t>03/07/2020 7:23 PM</t>
  </si>
  <si>
    <t>03/07/2020 10:17 AM</t>
  </si>
  <si>
    <t>03/07/2020 10:25 AM</t>
  </si>
  <si>
    <t>03/07/2020 4:42 PM</t>
  </si>
  <si>
    <t>03/07/2020 4:45 PM</t>
  </si>
  <si>
    <t>02/07/2020 12:00 AM</t>
  </si>
  <si>
    <t>02/07/2020 11:18 AM</t>
  </si>
  <si>
    <t>03/07/2020 1:48 PM</t>
  </si>
  <si>
    <t>03/07/2020 1:26 PM</t>
  </si>
  <si>
    <t>03/07/2020 1:23 PM</t>
  </si>
  <si>
    <t>03/07/2020 9:19 AM</t>
  </si>
  <si>
    <t>03/07/2020 10:18 AM</t>
  </si>
  <si>
    <t>03/07/2020 3:51 PM</t>
  </si>
  <si>
    <t>03/07/2020 2:23 PM</t>
  </si>
  <si>
    <t>02/07/2020 5:33 PM</t>
  </si>
  <si>
    <t>02/07/2020 9:00 AM</t>
  </si>
  <si>
    <t>02/07/2020 9:01 AM</t>
  </si>
  <si>
    <t>03/07/2020 11:46 AM</t>
  </si>
  <si>
    <t>03/07/2020 8:14 AM</t>
  </si>
  <si>
    <t>03/07/2020 11:20 AM</t>
  </si>
  <si>
    <t>02/07/2020 12:35 PM</t>
  </si>
  <si>
    <t>02/07/2020 10:03 AM</t>
  </si>
  <si>
    <t>02/07/2020 10:02 AM</t>
  </si>
  <si>
    <t>01/07/2020 12:00 AM</t>
  </si>
  <si>
    <t>01/07/2020 1:29 PM</t>
  </si>
  <si>
    <t>01/07/2020 4:55 PM</t>
  </si>
  <si>
    <t>02/07/2020 9:38 AM</t>
  </si>
  <si>
    <t>02/07/2020 10:20 AM</t>
  </si>
  <si>
    <t>01/07/2020 4:41 PM</t>
  </si>
  <si>
    <t>01/07/2020 4:47 PM</t>
  </si>
  <si>
    <t>01/07/2020 4:48 PM</t>
  </si>
  <si>
    <t>01/07/2020 1:30 PM</t>
  </si>
  <si>
    <t>01/07/2020 1:31 PM</t>
  </si>
  <si>
    <t>02/07/2020 4:14 PM</t>
  </si>
  <si>
    <t>03/07/2020 3:21 PM</t>
  </si>
  <si>
    <t>01/07/2020 2:30 PM</t>
  </si>
  <si>
    <t>02/07/2020 9:40 AM</t>
  </si>
  <si>
    <t>02/07/2020 9:48 AM</t>
  </si>
  <si>
    <t>02/07/2020 6:23 PM</t>
  </si>
  <si>
    <t>30/06/2020 12:00 AM</t>
  </si>
  <si>
    <t>02/07/2020 2:53 PM</t>
  </si>
  <si>
    <t>02/07/2020 2:52 PM</t>
  </si>
  <si>
    <t>01/07/2020 12:29 PM</t>
  </si>
  <si>
    <t>01/07/2020 4:50 PM</t>
  </si>
  <si>
    <t>02/07/2020 2:50 PM</t>
  </si>
  <si>
    <t>03/07/2020 1:31 PM</t>
  </si>
  <si>
    <t>01/07/2020 2:00 PM</t>
  </si>
  <si>
    <t>01/07/2020 9:44 PM</t>
  </si>
  <si>
    <t>02/07/2020 2:01 PM</t>
  </si>
  <si>
    <t>01/07/2020 2:09 PM</t>
  </si>
  <si>
    <t>30/06/2020 11:09 AM</t>
  </si>
  <si>
    <t>02/07/2020 1:59 PM</t>
  </si>
  <si>
    <t>01/07/2020 2:12 PM</t>
  </si>
  <si>
    <t>30/06/2020 9:30 AM</t>
  </si>
  <si>
    <t>01/07/2020 9:38 AM</t>
  </si>
  <si>
    <t>01/07/2020 12:56 PM</t>
  </si>
  <si>
    <t>03/07/2020 4:09 PM</t>
  </si>
  <si>
    <t>03/07/2020 4:12 PM</t>
  </si>
  <si>
    <t>30/06/2020 9:09 AM</t>
  </si>
  <si>
    <t>03/07/2020 4:16 PM</t>
  </si>
  <si>
    <t>03/07/2020 4:19 PM</t>
  </si>
  <si>
    <t>03/07/2020 3:54 PM</t>
  </si>
  <si>
    <t>03/07/2020 4:21 PM</t>
  </si>
  <si>
    <t>03/07/2020 4:31 PM</t>
  </si>
  <si>
    <t>03/07/2020 4:34 PM</t>
  </si>
  <si>
    <t>03/07/2020 4:27 PM</t>
  </si>
  <si>
    <t>01/07/2020 4:32 PM</t>
  </si>
  <si>
    <t>03/07/2020 4:36 PM</t>
  </si>
  <si>
    <t>03/07/2020 4:39 PM</t>
  </si>
  <si>
    <t>03/07/2020 4:48 PM</t>
  </si>
  <si>
    <t>03/07/2020 4:53 PM</t>
  </si>
  <si>
    <t>03/07/2020 4:58 PM</t>
  </si>
  <si>
    <t>03/07/2020 4:55 PM</t>
  </si>
  <si>
    <t>01/07/2020 2:45 PM</t>
  </si>
  <si>
    <t>02/07/2020 9:04 AM</t>
  </si>
  <si>
    <t>30/06/2020 2:49 PM</t>
  </si>
  <si>
    <t>02/07/2020 9:25 AM</t>
  </si>
  <si>
    <t>03/07/2020 8:18 PM</t>
  </si>
  <si>
    <t>30/06/2020 3:27 PM</t>
  </si>
  <si>
    <t>03/07/2020 8:34 AM</t>
  </si>
  <si>
    <t>01/07/2020 7:59 PM</t>
  </si>
  <si>
    <t>02/07/2020 2:56 PM</t>
  </si>
  <si>
    <t>02/07/2020 4:10 PM</t>
  </si>
  <si>
    <t>03/07/2020 4:02 PM</t>
  </si>
  <si>
    <t>02/07/2020 4:09 PM</t>
  </si>
  <si>
    <t>02/07/2020 4:11 PM</t>
  </si>
  <si>
    <t>02/07/2020 3:04 PM</t>
  </si>
  <si>
    <t>02/07/2020 3:03 PM</t>
  </si>
  <si>
    <t>02/07/2020 3:02 PM</t>
  </si>
  <si>
    <t>02/07/2020 2:57 PM</t>
  </si>
  <si>
    <t>02/07/2020 4:08 PM</t>
  </si>
  <si>
    <t>02/07/2020 2:51 PM</t>
  </si>
  <si>
    <t>02/07/2020 4:07 PM</t>
  </si>
  <si>
    <t>02/07/2020 4:31 PM</t>
  </si>
  <si>
    <t>02/07/2020 3:06 PM</t>
  </si>
  <si>
    <t>02/07/2020 3:07 PM</t>
  </si>
  <si>
    <t>02/07/2020 2:54 PM</t>
  </si>
  <si>
    <t>02/07/2020 3:09 PM</t>
  </si>
  <si>
    <t>02/07/2020 3:08 PM</t>
  </si>
  <si>
    <t>30/06/2020 11:13 AM</t>
  </si>
  <si>
    <t>30/06/2020 3:51 PM</t>
  </si>
  <si>
    <t>01/07/2020 12:49 PM</t>
  </si>
  <si>
    <t>29/06/2020 12:00 AM</t>
  </si>
  <si>
    <t>02/07/2020 3:10 PM</t>
  </si>
  <si>
    <t>03/07/2020 8:19 AM</t>
  </si>
  <si>
    <t>02/07/2020 2:34 PM</t>
  </si>
  <si>
    <t>03/07/2020 8:13 PM</t>
  </si>
  <si>
    <t>01/07/2020 9:58 AM</t>
  </si>
  <si>
    <t>03/07/2020 3:45 PM</t>
  </si>
  <si>
    <t>03/07/2020 9:56 AM</t>
  </si>
  <si>
    <t>01/07/2020 1:28 PM</t>
  </si>
  <si>
    <t>01/07/2020 1:43 PM</t>
  </si>
  <si>
    <t>01/07/2020 1:41 PM</t>
  </si>
  <si>
    <t>01/07/2020 1:36 PM</t>
  </si>
  <si>
    <t>01/07/2020 1:34 PM</t>
  </si>
  <si>
    <t>29/06/2020 1:27 PM</t>
  </si>
  <si>
    <t>01/07/2020 1:45 PM</t>
  </si>
  <si>
    <t>02/07/2020 5:56 PM</t>
  </si>
  <si>
    <t>30/06/2020 8:29 PM</t>
  </si>
  <si>
    <t>30/06/2020 8:28 PM</t>
  </si>
  <si>
    <t>30/06/2020 4:24 PM</t>
  </si>
  <si>
    <t>29/06/2020 3:04 PM</t>
  </si>
  <si>
    <t>28/06/2020 12:00 AM</t>
  </si>
  <si>
    <t>01/07/2020 11:42 AM</t>
  </si>
  <si>
    <t>01/07/2020 11:38 AM</t>
  </si>
  <si>
    <t>01/07/2020 11:37 AM</t>
  </si>
  <si>
    <t>29/06/2020 1:33 PM</t>
  </si>
  <si>
    <t>02/07/2020 8:15 AM</t>
  </si>
  <si>
    <t>30/06/2020 12:58 PM</t>
  </si>
  <si>
    <t>29/06/2020 9:58 PM</t>
  </si>
  <si>
    <t>29/06/2020 9:54 PM</t>
  </si>
  <si>
    <t>29/06/2020 1:48 PM</t>
  </si>
  <si>
    <t>29/06/2020 10:47 PM</t>
  </si>
  <si>
    <t>27/06/2020 12:00 AM</t>
  </si>
  <si>
    <t>29/06/2020 2:08 PM</t>
  </si>
  <si>
    <t>29/06/2020 2:31 PM</t>
  </si>
  <si>
    <t>03/07/2020 1:57 PM</t>
  </si>
  <si>
    <t>03/07/2020 1:54 PM</t>
  </si>
  <si>
    <t>01/07/2020 3:17 PM</t>
  </si>
  <si>
    <t>03/07/2020 2:16 PM</t>
  </si>
  <si>
    <t>30/06/2020 2:13 PM</t>
  </si>
  <si>
    <t>03/07/2020 1:41 PM</t>
  </si>
  <si>
    <t>03/07/2020 1:13 PM</t>
  </si>
  <si>
    <t>03/07/2020 1:17 PM</t>
  </si>
  <si>
    <t>02/07/2020 1:38 PM</t>
  </si>
  <si>
    <t>03/07/2020 1:38 PM</t>
  </si>
  <si>
    <t>03/07/2020 1:10 PM</t>
  </si>
  <si>
    <t>30/06/2020 12:34 PM</t>
  </si>
  <si>
    <t>02/07/2020 1:41 PM</t>
  </si>
  <si>
    <t>02/07/2020 1:39 PM</t>
  </si>
  <si>
    <t>03/07/2020 11:16 AM</t>
  </si>
  <si>
    <t>03/07/2020 3:28 PM</t>
  </si>
  <si>
    <t>03/07/2020 1:33 PM</t>
  </si>
  <si>
    <t>03/07/2020 1:30 PM</t>
  </si>
  <si>
    <t>03/07/2020 1:36 PM</t>
  </si>
  <si>
    <t>03/07/2020 1:25 PM</t>
  </si>
  <si>
    <t>30/06/2020 5:48 PM</t>
  </si>
  <si>
    <t>03/07/2020 1:28 PM</t>
  </si>
  <si>
    <t>03/07/2020 9:14 PM</t>
  </si>
  <si>
    <t>03/07/2020 8:07 PM</t>
  </si>
  <si>
    <t>03/07/2020 8:10 PM</t>
  </si>
  <si>
    <t>03/07/2020 8:09 PM</t>
  </si>
  <si>
    <t>03/07/2020 8:06 PM</t>
  </si>
  <si>
    <t>03/07/2020 8:05 PM</t>
  </si>
  <si>
    <t>03/07/2020 8:08 PM</t>
  </si>
  <si>
    <t>26/06/2020 12:00 AM</t>
  </si>
  <si>
    <t>01/07/2020 1:27 PM</t>
  </si>
  <si>
    <t>26/06/2020 9:27 AM</t>
  </si>
  <si>
    <t>26/06/2020 8:33 AM</t>
  </si>
  <si>
    <t>01/07/2020 2:26 PM</t>
  </si>
  <si>
    <t>26/06/2020 10:45 AM</t>
  </si>
  <si>
    <t>26/06/2020 8:37 AM</t>
  </si>
  <si>
    <t>02/07/2020 9:51 AM</t>
  </si>
  <si>
    <t>26/06/2020 8:43 AM</t>
  </si>
  <si>
    <t>01/07/2020 4:51 PM</t>
  </si>
  <si>
    <t>02/07/2020 11:38 AM</t>
  </si>
  <si>
    <t>02/07/2020 11:35 AM</t>
  </si>
  <si>
    <t>03/07/2020 2:07 PM</t>
  </si>
  <si>
    <t>03/07/2020 7:28 AM</t>
  </si>
  <si>
    <t>30/06/2020 11:47 AM</t>
  </si>
  <si>
    <t>03/07/2020 4:05 PM</t>
  </si>
  <si>
    <t>02/07/2020 11:56 AM</t>
  </si>
  <si>
    <t>02/07/2020 1:37 PM</t>
  </si>
  <si>
    <t>30/06/2020 3:19 PM</t>
  </si>
  <si>
    <t>02/07/2020 2:18 PM</t>
  </si>
  <si>
    <t>02/07/2020 1:36 PM</t>
  </si>
  <si>
    <t>26/06/2020 2:06 PM</t>
  </si>
  <si>
    <t>26/06/2020 10:13 AM</t>
  </si>
  <si>
    <t>26/06/2020 2:42 PM</t>
  </si>
  <si>
    <t>29/06/2020 8:41 AM</t>
  </si>
  <si>
    <t>02/07/2020 9:46 PM</t>
  </si>
  <si>
    <t>03/07/2020 9:06 AM</t>
  </si>
  <si>
    <t>29/06/2020 5:09 PM</t>
  </si>
  <si>
    <t>01/07/2020 2:04 PM</t>
  </si>
  <si>
    <t>01/07/2020 2:07 PM</t>
  </si>
  <si>
    <t>02/07/2020 5:35 PM</t>
  </si>
  <si>
    <t>02/07/2020 5:34 PM</t>
  </si>
  <si>
    <t>01/07/2020 5:57 PM</t>
  </si>
  <si>
    <t>01/07/2020 6:01 PM</t>
  </si>
  <si>
    <t>01/07/2020 2:14 PM</t>
  </si>
  <si>
    <t>01/07/2020 5:55 PM</t>
  </si>
  <si>
    <t>01/07/2020 2:47 PM</t>
  </si>
  <si>
    <t>26/06/2020 2:04 PM</t>
  </si>
  <si>
    <t>01/07/2020 5:53 PM</t>
  </si>
  <si>
    <t>02/07/2020 8:56 PM</t>
  </si>
  <si>
    <t>02/07/2020 8:54 PM</t>
  </si>
  <si>
    <t>01/07/2020 5:14 PM</t>
  </si>
  <si>
    <t>02/07/2020 8:52 PM</t>
  </si>
  <si>
    <t>03/07/2020 8:04 PM</t>
  </si>
  <si>
    <t>03/07/2020 8:01 PM</t>
  </si>
  <si>
    <t>02/07/2020 8:46 AM</t>
  </si>
  <si>
    <t>03/07/2020 8:03 PM</t>
  </si>
  <si>
    <t>02/07/2020 1:17 PM</t>
  </si>
  <si>
    <t>01/07/2020 2:48 PM</t>
  </si>
  <si>
    <t>02/07/2020 12:05 PM</t>
  </si>
  <si>
    <t>02/07/2020 1:30 PM</t>
  </si>
  <si>
    <t>02/07/2020 1:27 PM</t>
  </si>
  <si>
    <t>30/06/2020 10:32 PM</t>
  </si>
  <si>
    <t>25/06/2020 12:00 AM</t>
  </si>
  <si>
    <t>30/06/2020 11:54 AM</t>
  </si>
  <si>
    <t>30/06/2020 11:41 AM</t>
  </si>
  <si>
    <t>30/06/2020 11:38 AM</t>
  </si>
  <si>
    <t>30/06/2020 11:53 AM</t>
  </si>
  <si>
    <t>30/06/2020 11:57 AM</t>
  </si>
  <si>
    <t>30/06/2020 11:56 AM</t>
  </si>
  <si>
    <t>30/06/2020 11:58 AM</t>
  </si>
  <si>
    <t>01/07/2020 6:17 PM</t>
  </si>
  <si>
    <t>02/07/2020 8:58 PM</t>
  </si>
  <si>
    <t>02/07/2020 1:42 PM</t>
  </si>
  <si>
    <t>02/07/2020 12:10 PM</t>
  </si>
  <si>
    <t>01/07/2020 4:54 PM</t>
  </si>
  <si>
    <t>01/07/2020 4:46 PM</t>
  </si>
  <si>
    <t>01/07/2020 4:42 PM</t>
  </si>
  <si>
    <t>01/07/2020 4:36 PM</t>
  </si>
  <si>
    <t>01/07/2020 4:34 PM</t>
  </si>
  <si>
    <t>01/07/2020 4:53 PM</t>
  </si>
  <si>
    <t>01/07/2020 4:44 PM</t>
  </si>
  <si>
    <t>30/06/2020 6:15 PM</t>
  </si>
  <si>
    <t>29/06/2020 8:05 AM</t>
  </si>
  <si>
    <t>03/07/2020 2:28 PM</t>
  </si>
  <si>
    <t>03/07/2020 2:05 PM</t>
  </si>
  <si>
    <t>02/07/2020 1:35 PM</t>
  </si>
  <si>
    <t>03/07/2020 3:08 PM</t>
  </si>
  <si>
    <t>01/07/2020 7:58 AM</t>
  </si>
  <si>
    <t>03/07/2020 12:06 PM</t>
  </si>
  <si>
    <t>30/06/2020 2:29 PM</t>
  </si>
  <si>
    <t>02/07/2020 5:45 PM</t>
  </si>
  <si>
    <t>03/07/2020 3:12 PM</t>
  </si>
  <si>
    <t>03/07/2020 1:43 PM</t>
  </si>
  <si>
    <t>03/07/2020 2:46 PM</t>
  </si>
  <si>
    <t>03/07/2020 12:08 PM</t>
  </si>
  <si>
    <t>01/07/2020 4:29 PM</t>
  </si>
  <si>
    <t>01/07/2020 4:26 PM</t>
  </si>
  <si>
    <t>03/07/2020 2:53 PM</t>
  </si>
  <si>
    <t>03/07/2020 1:04 PM</t>
  </si>
  <si>
    <t>02/07/2020 1:51 PM</t>
  </si>
  <si>
    <t>02/07/2020 1:52 PM</t>
  </si>
  <si>
    <t>30/06/2020 1:04 PM</t>
  </si>
  <si>
    <t>03/07/2020 3:26 PM</t>
  </si>
  <si>
    <t>25/06/2020 12:54 PM</t>
  </si>
  <si>
    <t>01/07/2020 9:03 AM</t>
  </si>
  <si>
    <t>30/06/2020 3:33 PM</t>
  </si>
  <si>
    <t>26/06/2020 5:45 PM</t>
  </si>
  <si>
    <t>30/06/2020 6:55 PM</t>
  </si>
  <si>
    <t>01/07/2020 7:12 PM</t>
  </si>
  <si>
    <t>01/07/2020 7:14 PM</t>
  </si>
  <si>
    <t>01/07/2020 10:21 AM</t>
  </si>
  <si>
    <t>26/06/2020 12:49 PM</t>
  </si>
  <si>
    <t>01/07/2020 7:10 PM</t>
  </si>
  <si>
    <t>02/07/2020 2:00 PM</t>
  </si>
  <si>
    <t>25/06/2020 4:49 PM</t>
  </si>
  <si>
    <t>01/07/2020 7:04 PM</t>
  </si>
  <si>
    <t>30/06/2020 7:04 PM</t>
  </si>
  <si>
    <t>02/07/2020 1:57 PM</t>
  </si>
  <si>
    <t>03/07/2020 3:30 PM</t>
  </si>
  <si>
    <t>03/07/2020 2:39 PM</t>
  </si>
  <si>
    <t>24/06/2020 12:00 AM</t>
  </si>
  <si>
    <t>25/06/2020 10:49 AM</t>
  </si>
  <si>
    <t>25/06/2020 3:54 PM</t>
  </si>
  <si>
    <t>30/06/2020 4:49 PM</t>
  </si>
  <si>
    <t>30/06/2020 5:13 PM</t>
  </si>
  <si>
    <t>30/06/2020 5:11 PM</t>
  </si>
  <si>
    <t>30/06/2020 5:05 PM</t>
  </si>
  <si>
    <t>30/06/2020 5:00 PM</t>
  </si>
  <si>
    <t>30/06/2020 5:04 PM</t>
  </si>
  <si>
    <t>30/06/2020 5:03 PM</t>
  </si>
  <si>
    <t>25/06/2020 1:48 PM</t>
  </si>
  <si>
    <t>25/06/2020 1:07 PM</t>
  </si>
  <si>
    <t>25/06/2020 10:50 AM</t>
  </si>
  <si>
    <t>30/06/2020 5:01 PM</t>
  </si>
  <si>
    <t>30/06/2020 5:19 PM</t>
  </si>
  <si>
    <t>30/06/2020 1:56 PM</t>
  </si>
  <si>
    <t>30/06/2020 5:17 PM</t>
  </si>
  <si>
    <t>30/06/2020 1:47 PM</t>
  </si>
  <si>
    <t>30/06/2020 5:15 PM</t>
  </si>
  <si>
    <t>30/06/2020 5:18 PM</t>
  </si>
  <si>
    <t>01/07/2020 12:54 PM</t>
  </si>
  <si>
    <t>02/07/2020 10:00 AM</t>
  </si>
  <si>
    <t>30/06/2020 5:14 PM</t>
  </si>
  <si>
    <t>30/06/2020 5:16 PM</t>
  </si>
  <si>
    <t>03/07/2020 11:38 AM</t>
  </si>
  <si>
    <t>24/06/2020 1:36 PM</t>
  </si>
  <si>
    <t>02/07/2020 7:42 AM</t>
  </si>
  <si>
    <t>03/07/2020 4:10 PM</t>
  </si>
  <si>
    <t>01/07/2020 12:52 PM</t>
  </si>
  <si>
    <t>03/07/2020 4:14 PM</t>
  </si>
  <si>
    <t>03/07/2020 1:19 PM</t>
  </si>
  <si>
    <t>29/06/2020 2:51 PM</t>
  </si>
  <si>
    <t>03/07/2020 9:52 AM</t>
  </si>
  <si>
    <t>02/07/2020 5:02 PM</t>
  </si>
  <si>
    <t>24/06/2020 1:40 PM</t>
  </si>
  <si>
    <t>30/06/2020 3:39 PM</t>
  </si>
  <si>
    <t>01/07/2020 11:45 AM</t>
  </si>
  <si>
    <t>26/06/2020 3:08 PM</t>
  </si>
  <si>
    <t>24/06/2020 2:14 PM</t>
  </si>
  <si>
    <t>24/06/2020 2:16 PM</t>
  </si>
  <si>
    <t>02/07/2020 3:42 PM</t>
  </si>
  <si>
    <t>01/07/2020 1:32 PM</t>
  </si>
  <si>
    <t>01/07/2020 8:16 AM</t>
  </si>
  <si>
    <t>29/06/2020 2:03 PM</t>
  </si>
  <si>
    <t>29/06/2020 1:24 PM</t>
  </si>
  <si>
    <t>03/07/2020 11:00 AM</t>
  </si>
  <si>
    <t>01/07/2020 3:39 PM</t>
  </si>
  <si>
    <t>01/07/2020 3:41 PM</t>
  </si>
  <si>
    <t>29/06/2020 1:23 PM</t>
  </si>
  <si>
    <t>03/07/2020 4:50 PM</t>
  </si>
  <si>
    <t>02/07/2020 9:47 PM</t>
  </si>
  <si>
    <t>03/07/2020 2:22 PM</t>
  </si>
  <si>
    <t>27/06/2020 8:34 AM</t>
  </si>
  <si>
    <t>02/07/2020 1:16 PM</t>
  </si>
  <si>
    <t>02/07/2020 1:14 PM</t>
  </si>
  <si>
    <t>02/07/2020 1:15 PM</t>
  </si>
  <si>
    <t>03/07/2020 3:35 PM</t>
  </si>
  <si>
    <t>29/06/2020 4:42 PM</t>
  </si>
  <si>
    <t>25/06/2020 3:56 PM</t>
  </si>
  <si>
    <t>24/06/2020 5:16 PM</t>
  </si>
  <si>
    <t>02/07/2020 3:41 PM</t>
  </si>
  <si>
    <t>24/06/2020 5:13 PM</t>
  </si>
  <si>
    <t>30/06/2020 1:27 PM</t>
  </si>
  <si>
    <t>01/07/2020 8:27 AM</t>
  </si>
  <si>
    <t>28/06/2020 4:47 PM</t>
  </si>
  <si>
    <t>30/06/2020 5:22 PM</t>
  </si>
  <si>
    <t>30/06/2020 5:24 PM</t>
  </si>
  <si>
    <t>03/07/2020 9:02 PM</t>
  </si>
  <si>
    <t>30/06/2020 5:26 PM</t>
  </si>
  <si>
    <t>30/06/2020 5:25 PM</t>
  </si>
  <si>
    <t>30/06/2020 1:32 PM</t>
  </si>
  <si>
    <t>30/06/2020 1:35 PM</t>
  </si>
  <si>
    <t>02/07/2020 9:53 PM</t>
  </si>
  <si>
    <t>23/06/2020 12:00 AM</t>
  </si>
  <si>
    <t>30/06/2020 1:19 PM</t>
  </si>
  <si>
    <t>01/07/2020 4:10 PM</t>
  </si>
  <si>
    <t>01/07/2020 4:09 PM</t>
  </si>
  <si>
    <t>26/06/2020 2:58 PM</t>
  </si>
  <si>
    <t>26/06/2020 2:57 PM</t>
  </si>
  <si>
    <t>25/06/2020 9:53 PM</t>
  </si>
  <si>
    <t>03/07/2020 1:15 PM</t>
  </si>
  <si>
    <t>03/07/2020 3:15 PM</t>
  </si>
  <si>
    <t>02/07/2020 9:15 AM</t>
  </si>
  <si>
    <t>03/07/2020 4:13 PM</t>
  </si>
  <si>
    <t>29/06/2020 11:33 PM</t>
  </si>
  <si>
    <t>01/07/2020 1:22 PM</t>
  </si>
  <si>
    <t>03/07/2020 10:43 PM</t>
  </si>
  <si>
    <t>02/07/2020 3:20 PM</t>
  </si>
  <si>
    <t>02/07/2020 1:25 PM</t>
  </si>
  <si>
    <t>01/07/2020 8:12 AM</t>
  </si>
  <si>
    <t>02/07/2020 1:32 PM</t>
  </si>
  <si>
    <t>02/07/2020 1:31 PM</t>
  </si>
  <si>
    <t>02/07/2020 1:33 PM</t>
  </si>
  <si>
    <t>02/07/2020 9:10 AM</t>
  </si>
  <si>
    <t>29/06/2020 9:07 AM</t>
  </si>
  <si>
    <t>01/07/2020 8:31 PM</t>
  </si>
  <si>
    <t>29/06/2020 9:53 AM</t>
  </si>
  <si>
    <t>29/06/2020 9:43 AM</t>
  </si>
  <si>
    <t>29/06/2020 10:09 AM</t>
  </si>
  <si>
    <t>29/06/2020 10:22 AM</t>
  </si>
  <si>
    <t>29/06/2020 10:13 AM</t>
  </si>
  <si>
    <t>29/06/2020 10:06 AM</t>
  </si>
  <si>
    <t>29/06/2020 10:29 AM</t>
  </si>
  <si>
    <t>29/06/2020 10:33 AM</t>
  </si>
  <si>
    <t>02/07/2020 3:00 PM</t>
  </si>
  <si>
    <t>03/07/2020 8:59 AM</t>
  </si>
  <si>
    <t>25/06/2020 11:11 AM</t>
  </si>
  <si>
    <t>02/07/2020 11:58 AM</t>
  </si>
  <si>
    <t>01/07/2020 12:10 PM</t>
  </si>
  <si>
    <t>01/07/2020 4:07 PM</t>
  </si>
  <si>
    <t>29/06/2020 11:38 PM</t>
  </si>
  <si>
    <t>03/07/2020 9:00 PM</t>
  </si>
  <si>
    <t>25/06/2020 10:36 AM</t>
  </si>
  <si>
    <t>01/07/2020 3:37 PM</t>
  </si>
  <si>
    <t>23/06/2020 2:36 PM</t>
  </si>
  <si>
    <t>25/06/2020 4:02 PM</t>
  </si>
  <si>
    <t>25/06/2020 10:23 AM</t>
  </si>
  <si>
    <t>30/06/2020 4:33 PM</t>
  </si>
  <si>
    <t>02/07/2020 11:29 AM</t>
  </si>
  <si>
    <t>29/06/2020 11:39 PM</t>
  </si>
  <si>
    <t>29/06/2020 11:43 PM</t>
  </si>
  <si>
    <t>30/06/2020 10:31 PM</t>
  </si>
  <si>
    <t>03/07/2020 2:59 PM</t>
  </si>
  <si>
    <t>30/06/2020 5:23 PM</t>
  </si>
  <si>
    <t>26/06/2020 5:04 PM</t>
  </si>
  <si>
    <t>26/06/2020 5:14 PM</t>
  </si>
  <si>
    <t>26/06/2020 3:40 PM</t>
  </si>
  <si>
    <t>30/06/2020 10:34 PM</t>
  </si>
  <si>
    <t>29/06/2020 11:49 PM</t>
  </si>
  <si>
    <t>29/06/2020 11:45 PM</t>
  </si>
  <si>
    <t>01/07/2020 5:42 PM</t>
  </si>
  <si>
    <t>03/07/2020 11:50 PM</t>
  </si>
  <si>
    <t>03/07/2020 3:49 PM</t>
  </si>
  <si>
    <t>24/06/2020 1:29 PM</t>
  </si>
  <si>
    <t>22/06/2020 12:00 AM</t>
  </si>
  <si>
    <t>24/06/2020 9:11 AM</t>
  </si>
  <si>
    <t>02/07/2020 10:36 AM</t>
  </si>
  <si>
    <t>22/06/2020 10:43 AM</t>
  </si>
  <si>
    <t>02/07/2020 4:35 PM</t>
  </si>
  <si>
    <t>02/07/2020 10:40 AM</t>
  </si>
  <si>
    <t>22/06/2020 4:36 PM</t>
  </si>
  <si>
    <t>03/07/2020 9:53 AM</t>
  </si>
  <si>
    <t>22/06/2020 4:35 PM</t>
  </si>
  <si>
    <t>03/07/2020 6:12 PM</t>
  </si>
  <si>
    <t>03/07/2020 11:56 AM</t>
  </si>
  <si>
    <t>26/06/2020 3:38 PM</t>
  </si>
  <si>
    <t>29/06/2020 3:47 PM</t>
  </si>
  <si>
    <t>02/07/2020 12:50 PM</t>
  </si>
  <si>
    <t>29/06/2020 10:27 AM</t>
  </si>
  <si>
    <t>29/06/2020 10:08 AM</t>
  </si>
  <si>
    <t>29/06/2020 10:04 AM</t>
  </si>
  <si>
    <t>29/06/2020 10:00 AM</t>
  </si>
  <si>
    <t>02/07/2020 10:08 AM</t>
  </si>
  <si>
    <t>03/07/2020 10:39 AM</t>
  </si>
  <si>
    <t>30/06/2020 1:50 PM</t>
  </si>
  <si>
    <t>03/07/2020 10:22 AM</t>
  </si>
  <si>
    <t>01/07/2020 8:17 AM</t>
  </si>
  <si>
    <t>29/06/2020 9:11 AM</t>
  </si>
  <si>
    <t>23/06/2020 10:05 AM</t>
  </si>
  <si>
    <t>01/07/2020 8:21 AM</t>
  </si>
  <si>
    <t>25/06/2020 2:11 PM</t>
  </si>
  <si>
    <t>03/07/2020 5:39 PM</t>
  </si>
  <si>
    <t>29/06/2020 7:58 PM</t>
  </si>
  <si>
    <t>26/06/2020 11:28 AM</t>
  </si>
  <si>
    <t>02/07/2020 4:33 PM</t>
  </si>
  <si>
    <t>01/07/2020 4:15 PM</t>
  </si>
  <si>
    <t>21/06/2020 12:00 AM</t>
  </si>
  <si>
    <t>01/07/2020 4:12 PM</t>
  </si>
  <si>
    <t>02/07/2020 9:58 AM</t>
  </si>
  <si>
    <t>29/06/2020 2:15 PM</t>
  </si>
  <si>
    <t>03/07/2020 2:14 PM</t>
  </si>
  <si>
    <t>03/07/2020 1:55 PM</t>
  </si>
  <si>
    <t>03/07/2020 1:32 PM</t>
  </si>
  <si>
    <t>02/07/2020 1:49 PM</t>
  </si>
  <si>
    <t>03/07/2020 2:20 PM</t>
  </si>
  <si>
    <t>23/06/2020 10:03 PM</t>
  </si>
  <si>
    <t>03/07/2020 2:09 PM</t>
  </si>
  <si>
    <t>03/07/2020 2:08 PM</t>
  </si>
  <si>
    <t>03/07/2020 2:03 PM</t>
  </si>
  <si>
    <t>20/06/2020 12:00 AM</t>
  </si>
  <si>
    <t>03/07/2020 1:45 PM</t>
  </si>
  <si>
    <t>03/07/2020 2:02 PM</t>
  </si>
  <si>
    <t>02/07/2020 2:03 PM</t>
  </si>
  <si>
    <t>02/07/2020 5:00 PM</t>
  </si>
  <si>
    <t>02/07/2020 11:28 AM</t>
  </si>
  <si>
    <t>01/07/2020 9:23 AM</t>
  </si>
  <si>
    <t>02/07/2020 11:33 AM</t>
  </si>
  <si>
    <t>02/07/2020 11:48 AM</t>
  </si>
  <si>
    <t>03/07/2020 11:55 AM</t>
  </si>
  <si>
    <t>02/07/2020 11:39 AM</t>
  </si>
  <si>
    <t>02/07/2020 11:51 AM</t>
  </si>
  <si>
    <t>03/07/2020 11:46 PM</t>
  </si>
  <si>
    <t>03/07/2020 10:39 PM</t>
  </si>
  <si>
    <t>23/06/2020 11:06 AM</t>
  </si>
  <si>
    <t>23/06/2020 12:29 PM</t>
  </si>
  <si>
    <t>23/06/2020 12:23 PM</t>
  </si>
  <si>
    <t>02/07/2020 9:33 AM</t>
  </si>
  <si>
    <t>23/06/2020 12:22 PM</t>
  </si>
  <si>
    <t>23/06/2020 12:21 PM</t>
  </si>
  <si>
    <t>23/06/2020 12:19 PM</t>
  </si>
  <si>
    <t>23/06/2020 12:40 PM</t>
  </si>
  <si>
    <t>03/07/2020 3:52 PM</t>
  </si>
  <si>
    <t>23/06/2020 12:39 PM</t>
  </si>
  <si>
    <t>23/06/2020 12:41 PM</t>
  </si>
  <si>
    <t>23/06/2020 12:36 PM</t>
  </si>
  <si>
    <t>02/07/2020 12:47 PM</t>
  </si>
  <si>
    <t>23/06/2020 1:38 PM</t>
  </si>
  <si>
    <t>03/07/2020 5:37 AM</t>
  </si>
  <si>
    <t>23/06/2020 1:37 PM</t>
  </si>
  <si>
    <t>23/06/2020 1:30 PM</t>
  </si>
  <si>
    <t>22/06/2020 5:16 PM</t>
  </si>
  <si>
    <t>23/06/2020 1:28 PM</t>
  </si>
  <si>
    <t>23/06/2020 1:40 PM</t>
  </si>
  <si>
    <t>23/06/2020 1:35 PM</t>
  </si>
  <si>
    <t>23/06/2020 1:29 PM</t>
  </si>
  <si>
    <t>02/07/2020 11:26 AM</t>
  </si>
  <si>
    <t>23/06/2020 1:44 PM</t>
  </si>
  <si>
    <t>23/06/2020 1:43 PM</t>
  </si>
  <si>
    <t>23/06/2020 1:49 PM</t>
  </si>
  <si>
    <t>23/06/2020 1:48 PM</t>
  </si>
  <si>
    <t>23/06/2020 1:27 PM</t>
  </si>
  <si>
    <t>24/06/2020 4:09 PM</t>
  </si>
  <si>
    <t>23/06/2020 1:45 PM</t>
  </si>
  <si>
    <t>23/06/2020 2:00 PM</t>
  </si>
  <si>
    <t>23/06/2020 1:47 PM</t>
  </si>
  <si>
    <t>23/06/2020 1:59 PM</t>
  </si>
  <si>
    <t>23/06/2020 1:34 PM</t>
  </si>
  <si>
    <t>23/06/2020 1:57 PM</t>
  </si>
  <si>
    <t>01/07/2020 8:10 AM</t>
  </si>
  <si>
    <t>03/07/2020 2:11 PM</t>
  </si>
  <si>
    <t>22/06/2020 9:18 AM</t>
  </si>
  <si>
    <t>25/06/2020 10:24 AM</t>
  </si>
  <si>
    <t>30/06/2020 8:05 AM</t>
  </si>
  <si>
    <t>03/07/2020 2:10 PM</t>
  </si>
  <si>
    <t>01/07/2020 8:11 AM</t>
  </si>
  <si>
    <t>03/07/2020 11:14 AM</t>
  </si>
  <si>
    <t>23/06/2020 1:50 PM</t>
  </si>
  <si>
    <t>23/06/2020 1:56 PM</t>
  </si>
  <si>
    <t>23/06/2020 1:52 PM</t>
  </si>
  <si>
    <t>23/06/2020 1:54 PM</t>
  </si>
  <si>
    <t>03/07/2020 10:48 AM</t>
  </si>
  <si>
    <t>30/06/2020 9:04 AM</t>
  </si>
  <si>
    <t>02/07/2020 4:36 PM</t>
  </si>
  <si>
    <t>01/07/2020 6:13 PM</t>
  </si>
  <si>
    <t>01/07/2020 6:20 PM</t>
  </si>
  <si>
    <t>01/07/2020 5:26 PM</t>
  </si>
  <si>
    <t>01/07/2020 5:24 PM</t>
  </si>
  <si>
    <t>01/07/2020 6:10 PM</t>
  </si>
  <si>
    <t>01/07/2020 6:15 PM</t>
  </si>
  <si>
    <t>01/07/2020 6:07 PM</t>
  </si>
  <si>
    <t>01/07/2020 5:22 PM</t>
  </si>
  <si>
    <t>19/06/2020 12:00 AM</t>
  </si>
  <si>
    <t>01/07/2020 6:21 PM</t>
  </si>
  <si>
    <t>25/06/2020 9:22 AM</t>
  </si>
  <si>
    <t>30/06/2020 8:46 PM</t>
  </si>
  <si>
    <t>30/06/2020 8:41 PM</t>
  </si>
  <si>
    <t>03/07/2020 10:41 PM</t>
  </si>
  <si>
    <t>30/06/2020 4:41 PM</t>
  </si>
  <si>
    <t>03/07/2020 2:25 PM</t>
  </si>
  <si>
    <t>29/06/2020 1:22 PM</t>
  </si>
  <si>
    <t>30/06/2020 8:49 PM</t>
  </si>
  <si>
    <t>26/06/2020 1:59 PM</t>
  </si>
  <si>
    <t>01/07/2020 1:07 PM</t>
  </si>
  <si>
    <t>02/07/2020 4:05 PM</t>
  </si>
  <si>
    <t>30/06/2020 3:48 PM</t>
  </si>
  <si>
    <t>26/06/2020 1:51 PM</t>
  </si>
  <si>
    <t>29/06/2020 4:16 PM</t>
  </si>
  <si>
    <t>24/06/2020 1:17 PM</t>
  </si>
  <si>
    <t>30/06/2020 4:02 PM</t>
  </si>
  <si>
    <t>30/06/2020 4:20 PM</t>
  </si>
  <si>
    <t>24/06/2020 8:29 AM</t>
  </si>
  <si>
    <t>26/06/2020 2:14 PM</t>
  </si>
  <si>
    <t>02/07/2020 12:58 PM</t>
  </si>
  <si>
    <t>28/06/2020 10:55 AM</t>
  </si>
  <si>
    <t>03/07/2020 11:05 AM</t>
  </si>
  <si>
    <t>01/07/2020 9:07 AM</t>
  </si>
  <si>
    <t>01/07/2020 8:28 AM</t>
  </si>
  <si>
    <t>01/07/2020 8:22 AM</t>
  </si>
  <si>
    <t>29/06/2020 11:36 PM</t>
  </si>
  <si>
    <t>01/07/2020 8:25 AM</t>
  </si>
  <si>
    <t>01/07/2020 9:34 AM</t>
  </si>
  <si>
    <t>29/06/2020 11:37 PM</t>
  </si>
  <si>
    <t>01/07/2020 9:11 AM</t>
  </si>
  <si>
    <t>29/06/2020 10:32 AM</t>
  </si>
  <si>
    <t>01/07/2020 11:09 AM</t>
  </si>
  <si>
    <t>03/07/2020 4:15 PM</t>
  </si>
  <si>
    <t>30/06/2020 1:05 PM</t>
  </si>
  <si>
    <t>29/06/2020 5:01 PM</t>
  </si>
  <si>
    <t>02/07/2020 5:59 PM</t>
  </si>
  <si>
    <t>27/06/2020 12:13 PM</t>
  </si>
  <si>
    <t>29/06/2020 10:55 AM</t>
  </si>
  <si>
    <t>23/06/2020 6:34 PM</t>
  </si>
  <si>
    <t>03/07/2020 9:04 AM</t>
  </si>
  <si>
    <t>03/07/2020 4:01 PM</t>
  </si>
  <si>
    <t>25/06/2020 1:49 PM</t>
  </si>
  <si>
    <t>23/06/2020 10:45 AM</t>
  </si>
  <si>
    <t>30/06/2020 1:01 PM</t>
  </si>
  <si>
    <t>24/06/2020 2:09 PM</t>
  </si>
  <si>
    <t>30/06/2020 4:16 PM</t>
  </si>
  <si>
    <t>01/07/2020 8:42 AM</t>
  </si>
  <si>
    <t>03/07/2020 2:52 PM</t>
  </si>
  <si>
    <t>26/06/2020 7:09 PM</t>
  </si>
  <si>
    <t>29/06/2020 11:58 AM</t>
  </si>
  <si>
    <t>01/07/2020 8:24 AM</t>
  </si>
  <si>
    <t>30/06/2020 4:36 PM</t>
  </si>
  <si>
    <t>03/07/2020 3:46 PM</t>
  </si>
  <si>
    <t>30/06/2020 1:06 PM</t>
  </si>
  <si>
    <t>24/06/2020 2:22 PM</t>
  </si>
  <si>
    <t>30/06/2020 1:02 PM</t>
  </si>
  <si>
    <t>30/06/2020 4:30 PM</t>
  </si>
  <si>
    <t>30/06/2020 4:11 PM</t>
  </si>
  <si>
    <t>30/06/2020 4:28 PM</t>
  </si>
  <si>
    <t>03/07/2020 5:10 PM</t>
  </si>
  <si>
    <t>19/06/2020 11:52 AM</t>
  </si>
  <si>
    <t>01/07/2020 2:58 PM</t>
  </si>
  <si>
    <t>26/06/2020 5:06 PM</t>
  </si>
  <si>
    <t>02/07/2020 4:03 PM</t>
  </si>
  <si>
    <t>01/07/2020 5:33 PM</t>
  </si>
  <si>
    <t>01/07/2020 5:38 PM</t>
  </si>
  <si>
    <t>01/07/2020 6:35 PM</t>
  </si>
  <si>
    <t>01/07/2020 5:36 PM</t>
  </si>
  <si>
    <t>01/07/2020 6:33 PM</t>
  </si>
  <si>
    <t>01/07/2020 6:31 PM</t>
  </si>
  <si>
    <t>19/06/2020 11:51 AM</t>
  </si>
  <si>
    <t>01/07/2020 5:39 PM</t>
  </si>
  <si>
    <t>03/07/2020 6:00 PM</t>
  </si>
  <si>
    <t>18/06/2020 12:00 AM</t>
  </si>
  <si>
    <t>24/06/2020 2:18 PM</t>
  </si>
  <si>
    <t>01/07/2020 9:09 AM</t>
  </si>
  <si>
    <t>01/07/2020 9:14 AM</t>
  </si>
  <si>
    <t>01/07/2020 2:44 PM</t>
  </si>
  <si>
    <t>01/07/2020 2:27 PM</t>
  </si>
  <si>
    <t>02/07/2020 3:44 PM</t>
  </si>
  <si>
    <t>29/06/2020 1:29 PM</t>
  </si>
  <si>
    <t>01/07/2020 3:10 PM</t>
  </si>
  <si>
    <t>29/06/2020 1:34 PM</t>
  </si>
  <si>
    <t>01/07/2020 2:57 PM</t>
  </si>
  <si>
    <t>01/07/2020 3:06 PM</t>
  </si>
  <si>
    <t>01/07/2020 3:04 PM</t>
  </si>
  <si>
    <t>30/06/2020 4:10 PM</t>
  </si>
  <si>
    <t>30/06/2020 4:07 PM</t>
  </si>
  <si>
    <t>30/06/2020 4:06 PM</t>
  </si>
  <si>
    <t>01/07/2020 3:00 PM</t>
  </si>
  <si>
    <t>29/06/2020 7:48 PM</t>
  </si>
  <si>
    <t>25/06/2020 2:23 PM</t>
  </si>
  <si>
    <t>01/07/2020 2:55 PM</t>
  </si>
  <si>
    <t>01/07/2020 1:11 PM</t>
  </si>
  <si>
    <t>22/06/2020 1:57 PM</t>
  </si>
  <si>
    <t>18/06/2020 2:59 PM</t>
  </si>
  <si>
    <t>30/06/2020 10:47 AM</t>
  </si>
  <si>
    <t>24/06/2020 3:36 PM</t>
  </si>
  <si>
    <t>30/06/2020 4:08 PM</t>
  </si>
  <si>
    <t>23/06/2020 11:57 AM</t>
  </si>
  <si>
    <t>03/07/2020 4:18 PM</t>
  </si>
  <si>
    <t>01/07/2020 1:15 PM</t>
  </si>
  <si>
    <t>19/06/2020 4:19 PM</t>
  </si>
  <si>
    <t>02/07/2020 10:54 AM</t>
  </si>
  <si>
    <t>30/06/2020 4:09 PM</t>
  </si>
  <si>
    <t>19/06/2020 3:57 PM</t>
  </si>
  <si>
    <t>19/06/2020 3:56 PM</t>
  </si>
  <si>
    <t>18/06/2020 3:32 PM</t>
  </si>
  <si>
    <t>23/06/2020 12:04 PM</t>
  </si>
  <si>
    <t>03/07/2020 8:50 AM</t>
  </si>
  <si>
    <t>01/07/2020 1:05 PM</t>
  </si>
  <si>
    <t>18/06/2020 2:20 PM</t>
  </si>
  <si>
    <t>30/06/2020 8:28 AM</t>
  </si>
  <si>
    <t>25/06/2020 3:03 PM</t>
  </si>
  <si>
    <t>19/06/2020 4:50 PM</t>
  </si>
  <si>
    <t>03/07/2020 10:12 AM</t>
  </si>
  <si>
    <t>25/06/2020 3:00 PM</t>
  </si>
  <si>
    <t>30/06/2020 8:26 AM</t>
  </si>
  <si>
    <t>18/06/2020 3:35 PM</t>
  </si>
  <si>
    <t>01/07/2020 1:18 PM</t>
  </si>
  <si>
    <t>03/07/2020 4:17 PM</t>
  </si>
  <si>
    <t>01/07/2020 5:41 PM</t>
  </si>
  <si>
    <t>29/06/2020 11:34 PM</t>
  </si>
  <si>
    <t>24/06/2020 4:28 PM</t>
  </si>
  <si>
    <t>29/06/2020 11:35 PM</t>
  </si>
  <si>
    <t>01/07/2020 9:36 AM</t>
  </si>
  <si>
    <t>23/06/2020 6:05 PM</t>
  </si>
  <si>
    <t>30/06/2020 6:18 PM</t>
  </si>
  <si>
    <t>03/07/2020 9:46 AM</t>
  </si>
  <si>
    <t>03/07/2020 4:22 PM</t>
  </si>
  <si>
    <t>29/06/2020 8:42 AM</t>
  </si>
  <si>
    <t>01/07/2020 3:11 PM</t>
  </si>
  <si>
    <t>24/06/2020 10:07 AM</t>
  </si>
  <si>
    <t>19/06/2020 4:46 PM</t>
  </si>
  <si>
    <t>29/06/2020 2:40 PM</t>
  </si>
  <si>
    <t>01/07/2020 3:26 PM</t>
  </si>
  <si>
    <t>02/07/2020 5:37 PM</t>
  </si>
  <si>
    <t>02/07/2020 3:19 PM</t>
  </si>
  <si>
    <t>02/07/2020 1:43 PM</t>
  </si>
  <si>
    <t>02/07/2020 1:45 PM</t>
  </si>
  <si>
    <t>30/06/2020 2:38 PM</t>
  </si>
  <si>
    <t>02/07/2020 4:04 PM</t>
  </si>
  <si>
    <t>01/07/2020 4:23 PM</t>
  </si>
  <si>
    <t>19/06/2020 4:05 PM</t>
  </si>
  <si>
    <t>01/07/2020 11:07 AM</t>
  </si>
  <si>
    <t>01/07/2020 4:18 PM</t>
  </si>
  <si>
    <t>01/07/2020 4:22 PM</t>
  </si>
  <si>
    <t>29/06/2020 1:56 PM</t>
  </si>
  <si>
    <t>03/07/2020 3:57 PM</t>
  </si>
  <si>
    <t>02/07/2020 4:13 PM</t>
  </si>
  <si>
    <t>27/06/2020 6:00 AM</t>
  </si>
  <si>
    <t>03/07/2020 3:53 PM</t>
  </si>
  <si>
    <t>30/06/2020 3:23 PM</t>
  </si>
  <si>
    <t>29/06/2020 3:13 PM</t>
  </si>
  <si>
    <t>29/06/2020 1:06 PM</t>
  </si>
  <si>
    <t>03/07/2020 10:27 PM</t>
  </si>
  <si>
    <t>30/06/2020 7:20 PM</t>
  </si>
  <si>
    <t>30/06/2020 7:19 PM</t>
  </si>
  <si>
    <t>29/06/2020 3:20 PM</t>
  </si>
  <si>
    <t>23/06/2020 5:23 PM</t>
  </si>
  <si>
    <t>25/06/2020 1:29 PM</t>
  </si>
  <si>
    <t>29/06/2020 3:16 PM</t>
  </si>
  <si>
    <t>19/06/2020 1:32 PM</t>
  </si>
  <si>
    <t>19/06/2020 1:36 PM</t>
  </si>
  <si>
    <t>19/06/2020 1:35 PM</t>
  </si>
  <si>
    <t>19/06/2020 1:33 PM</t>
  </si>
  <si>
    <t>19/06/2020 1:31 PM</t>
  </si>
  <si>
    <t>19/06/2020 1:29 PM</t>
  </si>
  <si>
    <t>19/06/2020 1:28 PM</t>
  </si>
  <si>
    <t>01/07/2020 9:55 AM</t>
  </si>
  <si>
    <t>29/06/2020 3:10 PM</t>
  </si>
  <si>
    <t>19/06/2020 1:26 PM</t>
  </si>
  <si>
    <t>29/06/2020 11:00 AM</t>
  </si>
  <si>
    <t>29/06/2020 10:59 AM</t>
  </si>
  <si>
    <t>29/06/2020 10:58 AM</t>
  </si>
  <si>
    <t>29/06/2020 10:57 AM</t>
  </si>
  <si>
    <t>29/06/2020 10:54 AM</t>
  </si>
  <si>
    <t>26/06/2020 2:23 PM</t>
  </si>
  <si>
    <t>17/06/2020 12:00 AM</t>
  </si>
  <si>
    <t>23/06/2020 4:49 PM</t>
  </si>
  <si>
    <t>26/06/2020 4:40 PM</t>
  </si>
  <si>
    <t>19/06/2020 1:30 PM</t>
  </si>
  <si>
    <t>02/07/2020 8:39 AM</t>
  </si>
  <si>
    <t>26/06/2020 4:43 PM</t>
  </si>
  <si>
    <t>01/07/2020 7:36 PM</t>
  </si>
  <si>
    <t>25/06/2020 4:53 PM</t>
  </si>
  <si>
    <t>26/06/2020 11:03 AM</t>
  </si>
  <si>
    <t>25/06/2020 4:52 PM</t>
  </si>
  <si>
    <t>30/06/2020 2:01 PM</t>
  </si>
  <si>
    <t>19/06/2020 2:34 PM</t>
  </si>
  <si>
    <t>03/07/2020 8:16 PM</t>
  </si>
  <si>
    <t>03/07/2020 8:15 PM</t>
  </si>
  <si>
    <t>29/06/2020 2:36 PM</t>
  </si>
  <si>
    <t>29/06/2020 11:32 AM</t>
  </si>
  <si>
    <t>30/06/2020 12:39 PM</t>
  </si>
  <si>
    <t>26/06/2020 9:07 AM</t>
  </si>
  <si>
    <t>22/06/2020 2:06 PM</t>
  </si>
  <si>
    <t>03/07/2020 8:11 PM</t>
  </si>
  <si>
    <t>29/06/2020 11:30 AM</t>
  </si>
  <si>
    <t>30/06/2020 3:53 PM</t>
  </si>
  <si>
    <t>29/06/2020 1:47 PM</t>
  </si>
  <si>
    <t>29/06/2020 2:41 PM</t>
  </si>
  <si>
    <t>01/07/2020 1:53 PM</t>
  </si>
  <si>
    <t>29/06/2020 4:06 PM</t>
  </si>
  <si>
    <t>26/06/2020 1:02 PM</t>
  </si>
  <si>
    <t>26/06/2020 1:54 PM</t>
  </si>
  <si>
    <t>03/07/2020 11:12 AM</t>
  </si>
  <si>
    <t>03/07/2020 11:10 AM</t>
  </si>
  <si>
    <t>03/07/2020 11:08 AM</t>
  </si>
  <si>
    <t>30/06/2020 3:08 PM</t>
  </si>
  <si>
    <t>26/06/2020 4:16 PM</t>
  </si>
  <si>
    <t>03/07/2020 9:31 AM</t>
  </si>
  <si>
    <t>28/06/2020 9:41 PM</t>
  </si>
  <si>
    <t>03/07/2020 9:43 AM</t>
  </si>
  <si>
    <t>03/07/2020 9:42 AM</t>
  </si>
  <si>
    <t>22/06/2020 10:38 PM</t>
  </si>
  <si>
    <t>03/07/2020 9:35 AM</t>
  </si>
  <si>
    <t>29/06/2020 11:02 AM</t>
  </si>
  <si>
    <t>03/07/2020 9:39 AM</t>
  </si>
  <si>
    <t>01/07/2020 4:43 PM</t>
  </si>
  <si>
    <t>22/06/2020 8:48 AM</t>
  </si>
  <si>
    <t>02/07/2020 4:06 PM</t>
  </si>
  <si>
    <t>23/06/2020 9:11 AM</t>
  </si>
  <si>
    <t>22/06/2020 8:45 AM</t>
  </si>
  <si>
    <t>26/06/2020 10:24 AM</t>
  </si>
  <si>
    <t>23/06/2020 9:23 AM</t>
  </si>
  <si>
    <t>01/07/2020 5:13 PM</t>
  </si>
  <si>
    <t>30/06/2020 3:18 PM</t>
  </si>
  <si>
    <t>01/07/2020 5:15 PM</t>
  </si>
  <si>
    <t>01/07/2020 10:25 AM</t>
  </si>
  <si>
    <t>23/06/2020 9:35 AM</t>
  </si>
  <si>
    <t>01/07/2020 5:10 PM</t>
  </si>
  <si>
    <t>25/06/2020 12:46 PM</t>
  </si>
  <si>
    <t>03/07/2020 8:57 AM</t>
  </si>
  <si>
    <t>25/06/2020 4:41 PM</t>
  </si>
  <si>
    <t>01/07/2020 5:12 PM</t>
  </si>
  <si>
    <t>29/06/2020 11:28 PM</t>
  </si>
  <si>
    <t>29/06/2020 11:30 PM</t>
  </si>
  <si>
    <t>30/06/2020 3:21 PM</t>
  </si>
  <si>
    <t>23/06/2020 9:29 AM</t>
  </si>
  <si>
    <t>29/06/2020 11:29 PM</t>
  </si>
  <si>
    <t>29/06/2020 11:31 PM</t>
  </si>
  <si>
    <t>22/06/2020 8:39 AM</t>
  </si>
  <si>
    <t>17/06/2020 4:11 PM</t>
  </si>
  <si>
    <t>29/06/2020 11:25 PM</t>
  </si>
  <si>
    <t>29/06/2020 11:32 PM</t>
  </si>
  <si>
    <t>22/06/2020 2:49 PM</t>
  </si>
  <si>
    <t>29/06/2020 11:22 PM</t>
  </si>
  <si>
    <t>30/06/2020 3:57 PM</t>
  </si>
  <si>
    <t>29/06/2020 11:23 PM</t>
  </si>
  <si>
    <t>30/06/2020 3:55 PM</t>
  </si>
  <si>
    <t>01/07/2020 6:57 PM</t>
  </si>
  <si>
    <t>23/06/2020 3:46 PM</t>
  </si>
  <si>
    <t>29/06/2020 3:14 PM</t>
  </si>
  <si>
    <t>29/06/2020 11:24 PM</t>
  </si>
  <si>
    <t>30/06/2020 3:59 PM</t>
  </si>
  <si>
    <t>02/07/2020 4:22 PM</t>
  </si>
  <si>
    <t>02/07/2020 1:19 PM</t>
  </si>
  <si>
    <t>03/07/2020 9:18 AM</t>
  </si>
  <si>
    <t>26/06/2020 12:42 PM</t>
  </si>
  <si>
    <t>29/06/2020 3:27 PM</t>
  </si>
  <si>
    <t>29/06/2020 3:23 PM</t>
  </si>
  <si>
    <t>01/07/2020 8:10 PM</t>
  </si>
  <si>
    <t>16/06/2020 12:00 AM</t>
  </si>
  <si>
    <t>29/06/2020 8:36 AM</t>
  </si>
  <si>
    <t>26/06/2020 2:45 PM</t>
  </si>
  <si>
    <t>01/07/2020 4:57 PM</t>
  </si>
  <si>
    <t>24/06/2020 12:07 PM</t>
  </si>
  <si>
    <t>29/06/2020 6:51 PM</t>
  </si>
  <si>
    <t>30/06/2020 10:12 AM</t>
  </si>
  <si>
    <t>18/06/2020 1:13 PM</t>
  </si>
  <si>
    <t>26/06/2020 6:18 PM</t>
  </si>
  <si>
    <t>26/06/2020 6:20 PM</t>
  </si>
  <si>
    <t>22/06/2020 10:26 AM</t>
  </si>
  <si>
    <t>02/07/2020 1:46 PM</t>
  </si>
  <si>
    <t>02/07/2020 5:06 PM</t>
  </si>
  <si>
    <t>29/06/2020 7:35 PM</t>
  </si>
  <si>
    <t>01/07/2020 6:42 PM</t>
  </si>
  <si>
    <t>22/06/2020 2:18 PM</t>
  </si>
  <si>
    <t>29/06/2020 11:26 PM</t>
  </si>
  <si>
    <t>23/06/2020 9:08 AM</t>
  </si>
  <si>
    <t>01/07/2020 3:50 PM</t>
  </si>
  <si>
    <t>22/06/2020 10:40 PM</t>
  </si>
  <si>
    <t>23/06/2020 10:59 AM</t>
  </si>
  <si>
    <t>30/06/2020 5:59 PM</t>
  </si>
  <si>
    <t>03/07/2020 9:33 AM</t>
  </si>
  <si>
    <t>01/07/2020 2:52 PM</t>
  </si>
  <si>
    <t>29/06/2020 6:17 PM</t>
  </si>
  <si>
    <t>29/06/2020 6:19 PM</t>
  </si>
  <si>
    <t>22/06/2020 1:37 PM</t>
  </si>
  <si>
    <t>03/07/2020 1:34 PM</t>
  </si>
  <si>
    <t>22/06/2020 10:37 AM</t>
  </si>
  <si>
    <t>29/06/2020 2:49 PM</t>
  </si>
  <si>
    <t>03/07/2020 2:37 PM</t>
  </si>
  <si>
    <t>03/07/2020 2:41 PM</t>
  </si>
  <si>
    <t>03/07/2020 9:34 AM</t>
  </si>
  <si>
    <t>30/06/2020 9:45 AM</t>
  </si>
  <si>
    <t>03/07/2020 3:19 PM</t>
  </si>
  <si>
    <t>01/07/2020 3:55 PM</t>
  </si>
  <si>
    <t>01/07/2020 4:38 PM</t>
  </si>
  <si>
    <t>03/07/2020 9:28 AM</t>
  </si>
  <si>
    <t>29/06/2020 3:44 PM</t>
  </si>
  <si>
    <t>02/07/2020 1:44 PM</t>
  </si>
  <si>
    <t>25/06/2020 5:02 PM</t>
  </si>
  <si>
    <t>23/06/2020 8:23 AM</t>
  </si>
  <si>
    <t>25/06/2020 9:17 AM</t>
  </si>
  <si>
    <t>26/06/2020 8:27 AM</t>
  </si>
  <si>
    <t>29/06/2020 3:45 PM</t>
  </si>
  <si>
    <t>01/07/2020 4:52 PM</t>
  </si>
  <si>
    <t>25/06/2020 4:30 PM</t>
  </si>
  <si>
    <t>29/06/2020 7:47 PM</t>
  </si>
  <si>
    <t>26/06/2020 10:34 AM</t>
  </si>
  <si>
    <t>19/06/2020 8:13 AM</t>
  </si>
  <si>
    <t>02/07/2020 3:52 PM</t>
  </si>
  <si>
    <t>22/06/2020 9:11 PM</t>
  </si>
  <si>
    <t>03/07/2020 3:24 PM</t>
  </si>
  <si>
    <t>29/06/2020 7:44 PM</t>
  </si>
  <si>
    <t>16/06/2020 11:00 AM</t>
  </si>
  <si>
    <t>29/06/2020 2:24 PM</t>
  </si>
  <si>
    <t>01/07/2020 4:45 PM</t>
  </si>
  <si>
    <t>28/06/2020 1:45 PM</t>
  </si>
  <si>
    <t>02/07/2020 3:27 PM</t>
  </si>
  <si>
    <t>02/07/2020 3:24 PM</t>
  </si>
  <si>
    <t>22/06/2020 2:30 PM</t>
  </si>
  <si>
    <t>28/06/2020 1:51 PM</t>
  </si>
  <si>
    <t>15/06/2020 12:00 AM</t>
  </si>
  <si>
    <t>01/07/2020 11:30 AM</t>
  </si>
  <si>
    <t>30/06/2020 9:24 PM</t>
  </si>
  <si>
    <t>30/06/2020 11:40 AM</t>
  </si>
  <si>
    <t>24/06/2020 3:32 PM</t>
  </si>
  <si>
    <t>29/06/2020 8:52 AM</t>
  </si>
  <si>
    <t>02/07/2020 5:53 PM</t>
  </si>
  <si>
    <t>23/06/2020 3:39 PM</t>
  </si>
  <si>
    <t>29/06/2020 3:33 PM</t>
  </si>
  <si>
    <t>23/06/2020 3:30 PM</t>
  </si>
  <si>
    <t>23/06/2020 5:07 PM</t>
  </si>
  <si>
    <t>30/06/2020 9:34 PM</t>
  </si>
  <si>
    <t>24/06/2020 3:04 PM</t>
  </si>
  <si>
    <t>25/06/2020 10:25 AM</t>
  </si>
  <si>
    <t>29/06/2020 1:42 PM</t>
  </si>
  <si>
    <t>29/06/2020 8:49 AM</t>
  </si>
  <si>
    <t>16/06/2020 10:18 AM</t>
  </si>
  <si>
    <t>30/06/2020 12:21 PM</t>
  </si>
  <si>
    <t>26/06/2020 4:09 PM</t>
  </si>
  <si>
    <t>25/06/2020 3:39 PM</t>
  </si>
  <si>
    <t>30/06/2020 8:43 AM</t>
  </si>
  <si>
    <t>30/06/2020 9:33 PM</t>
  </si>
  <si>
    <t>30/06/2020 9:35 PM</t>
  </si>
  <si>
    <t>03/07/2020 5:13 PM</t>
  </si>
  <si>
    <t>03/07/2020 5:12 PM</t>
  </si>
  <si>
    <t>03/07/2020 5:14 PM</t>
  </si>
  <si>
    <t>30/06/2020 8:40 AM</t>
  </si>
  <si>
    <t>03/07/2020 5:21 PM</t>
  </si>
  <si>
    <t>03/07/2020 5:20 PM</t>
  </si>
  <si>
    <t>03/07/2020 5:19 PM</t>
  </si>
  <si>
    <t>03/07/2020 5:18 PM</t>
  </si>
  <si>
    <t>03/07/2020 5:11 PM</t>
  </si>
  <si>
    <t>03/07/2020 5:09 PM</t>
  </si>
  <si>
    <t>03/07/2020 5:17 PM</t>
  </si>
  <si>
    <t>03/07/2020 5:15 PM</t>
  </si>
  <si>
    <t>03/07/2020 5:16 PM</t>
  </si>
  <si>
    <t>01/07/2020 11:32 AM</t>
  </si>
  <si>
    <t>01/07/2020 11:12 AM</t>
  </si>
  <si>
    <t>01/07/2020 11:27 AM</t>
  </si>
  <si>
    <t>01/07/2020 11:10 AM</t>
  </si>
  <si>
    <t>01/07/2020 11:00 AM</t>
  </si>
  <si>
    <t>03/07/2020 4:33 PM</t>
  </si>
  <si>
    <t>01/07/2020 11:24 AM</t>
  </si>
  <si>
    <t>16/06/2020 10:38 AM</t>
  </si>
  <si>
    <t>01/07/2020 10:57 AM</t>
  </si>
  <si>
    <t>01/07/2020 11:33 AM</t>
  </si>
  <si>
    <t>24/06/2020 9:06 PM</t>
  </si>
  <si>
    <t>03/07/2020 5:36 PM</t>
  </si>
  <si>
    <t>14/06/2020 12:00 AM</t>
  </si>
  <si>
    <t>29/06/2020 7:01 PM</t>
  </si>
  <si>
    <t>13/06/2020 12:00 AM</t>
  </si>
  <si>
    <t>01/07/2020 4:08 PM</t>
  </si>
  <si>
    <t>12/06/2020 12:00 AM</t>
  </si>
  <si>
    <t>01/07/2020 5:27 PM</t>
  </si>
  <si>
    <t>22/06/2020 11:20 AM</t>
  </si>
  <si>
    <t>24/06/2020 8:20 AM</t>
  </si>
  <si>
    <t>22/06/2020 11:15 AM</t>
  </si>
  <si>
    <t>22/06/2020 11:25 AM</t>
  </si>
  <si>
    <t>29/06/2020 12:58 PM</t>
  </si>
  <si>
    <t>02/07/2020 3:18 PM</t>
  </si>
  <si>
    <t>29/06/2020 12:55 PM</t>
  </si>
  <si>
    <t>02/07/2020 3:17 PM</t>
  </si>
  <si>
    <t>30/06/2020 1:36 PM</t>
  </si>
  <si>
    <t>19/06/2020 4:48 PM</t>
  </si>
  <si>
    <t>02/07/2020 4:02 PM</t>
  </si>
  <si>
    <t>01/07/2020 3:45 PM</t>
  </si>
  <si>
    <t>29/06/2020 4:25 PM</t>
  </si>
  <si>
    <t>03/07/2020 4:11 PM</t>
  </si>
  <si>
    <t>02/07/2020 12:54 PM</t>
  </si>
  <si>
    <t>02/07/2020 12:52 PM</t>
  </si>
  <si>
    <t>02/07/2020 1:00 PM</t>
  </si>
  <si>
    <t>24/06/2020 10:17 AM</t>
  </si>
  <si>
    <t>26/06/2020 9:36 AM</t>
  </si>
  <si>
    <t>02/07/2020 2:49 PM</t>
  </si>
  <si>
    <t>03/07/2020 5:37 PM</t>
  </si>
  <si>
    <t>03/07/2020 5:34 PM</t>
  </si>
  <si>
    <t>17/06/2020 10:12 AM</t>
  </si>
  <si>
    <t>30/06/2020 4:35 PM</t>
  </si>
  <si>
    <t>30/06/2020 4:15 PM</t>
  </si>
  <si>
    <t>01/07/2020 5:28 PM</t>
  </si>
  <si>
    <t>03/07/2020 10:42 AM</t>
  </si>
  <si>
    <t>26/06/2020 2:40 PM</t>
  </si>
  <si>
    <t>23/06/2020 1:26 PM</t>
  </si>
  <si>
    <t>23/06/2020 1:42 PM</t>
  </si>
  <si>
    <t>23/06/2020 12:35 PM</t>
  </si>
  <si>
    <t>23/06/2020 12:52 PM</t>
  </si>
  <si>
    <t>23/06/2020 12:34 PM</t>
  </si>
  <si>
    <t>26/06/2020 9:30 AM</t>
  </si>
  <si>
    <t>23/06/2020 12:43 PM</t>
  </si>
  <si>
    <t>02/07/2020 12:42 PM</t>
  </si>
  <si>
    <t>23/06/2020 12:32 PM</t>
  </si>
  <si>
    <t>23/06/2020 12:17 PM</t>
  </si>
  <si>
    <t>23/06/2020 12:16 PM</t>
  </si>
  <si>
    <t>23/06/2020 12:30 PM</t>
  </si>
  <si>
    <t>23/06/2020 12:31 PM</t>
  </si>
  <si>
    <t>02/07/2020 12:03 PM</t>
  </si>
  <si>
    <t>26/06/2020 11:23 AM</t>
  </si>
  <si>
    <t>02/07/2020 11:14 AM</t>
  </si>
  <si>
    <t>17/06/2020 11:00 AM</t>
  </si>
  <si>
    <t>26/06/2020 1:56 PM</t>
  </si>
  <si>
    <t>30/06/2020 4:34 PM</t>
  </si>
  <si>
    <t>01/07/2020 4:05 PM</t>
  </si>
  <si>
    <t>01/07/2020 4:04 PM</t>
  </si>
  <si>
    <t>26/06/2020 1:55 PM</t>
  </si>
  <si>
    <t>24/06/2020 9:14 PM</t>
  </si>
  <si>
    <t>25/06/2020 2:34 PM</t>
  </si>
  <si>
    <t>22/06/2020 5:22 PM</t>
  </si>
  <si>
    <t>22/06/2020 10:07 PM</t>
  </si>
  <si>
    <t>30/06/2020 7:59 PM</t>
  </si>
  <si>
    <t>22/06/2020 5:25 PM</t>
  </si>
  <si>
    <t>26/06/2020 2:29 PM</t>
  </si>
  <si>
    <t>11/06/2020 12:00 AM</t>
  </si>
  <si>
    <t>17/06/2020 3:55 PM</t>
  </si>
  <si>
    <t>26/06/2020 2:43 PM</t>
  </si>
  <si>
    <t>26/06/2020 10:52 AM</t>
  </si>
  <si>
    <t>29/06/2020 4:11 PM</t>
  </si>
  <si>
    <t>18/06/2020 11:18 PM</t>
  </si>
  <si>
    <t>02/07/2020 10:12 PM</t>
  </si>
  <si>
    <t>01/07/2020 9:19 AM</t>
  </si>
  <si>
    <t>29/06/2020 11:36 AM</t>
  </si>
  <si>
    <t>28/06/2020 7:25 PM</t>
  </si>
  <si>
    <t>26/06/2020 8:50 AM</t>
  </si>
  <si>
    <t>01/07/2020 2:06 PM</t>
  </si>
  <si>
    <t>23/06/2020 6:37 PM</t>
  </si>
  <si>
    <t>10/06/2020 12:00 AM</t>
  </si>
  <si>
    <t>01/07/2020 4:02 PM</t>
  </si>
  <si>
    <t>23/06/2020 5:13 PM</t>
  </si>
  <si>
    <t>03/07/2020 9:51 AM</t>
  </si>
  <si>
    <t>30/06/2020 6:07 PM</t>
  </si>
  <si>
    <t>25/06/2020 10:32 AM</t>
  </si>
  <si>
    <t>25/06/2020 10:37 AM</t>
  </si>
  <si>
    <t>09/06/2020 12:00 AM</t>
  </si>
  <si>
    <t>23/06/2020 2:06 PM</t>
  </si>
  <si>
    <t>24/06/2020 10:10 PM</t>
  </si>
  <si>
    <t>23/06/2020 5:37 PM</t>
  </si>
  <si>
    <t>26/06/2020 2:20 PM</t>
  </si>
  <si>
    <t>22/06/2020 3:27 PM</t>
  </si>
  <si>
    <t>22/06/2020 3:23 PM</t>
  </si>
  <si>
    <t>25/06/2020 4:54 PM</t>
  </si>
  <si>
    <t>01/07/2020 5:30 PM</t>
  </si>
  <si>
    <t>01/07/2020 11:59 AM</t>
  </si>
  <si>
    <t>01/07/2020 5:01 PM</t>
  </si>
  <si>
    <t>24/06/2020 2:30 PM</t>
  </si>
  <si>
    <t>18/06/2020 1:51 PM</t>
  </si>
  <si>
    <t>30/06/2020 4:58 PM</t>
  </si>
  <si>
    <t>26/06/2020 11:25 PM</t>
  </si>
  <si>
    <t>03/07/2020 2:33 PM</t>
  </si>
  <si>
    <t>26/06/2020 2:05 PM</t>
  </si>
  <si>
    <t>19/06/2020 4:57 PM</t>
  </si>
  <si>
    <t>01/07/2020 5:02 PM</t>
  </si>
  <si>
    <t>23/06/2020 3:53 PM</t>
  </si>
  <si>
    <t>03/07/2020 3:36 PM</t>
  </si>
  <si>
    <t>03/07/2020 10:19 AM</t>
  </si>
  <si>
    <t>19/06/2020 5:03 PM</t>
  </si>
  <si>
    <t>25/06/2020 3:06 PM</t>
  </si>
  <si>
    <t>22/06/2020 8:35 PM</t>
  </si>
  <si>
    <t>22/06/2020 5:04 PM</t>
  </si>
  <si>
    <t>24/06/2020 10:46 AM</t>
  </si>
  <si>
    <t>26/06/2020 4:59 PM</t>
  </si>
  <si>
    <t>18/06/2020 2:32 PM</t>
  </si>
  <si>
    <t>26/06/2020 8:16 PM</t>
  </si>
  <si>
    <t>29/06/2020 9:44 AM</t>
  </si>
  <si>
    <t>24/06/2020 10:40 AM</t>
  </si>
  <si>
    <t>01/07/2020 2:16 PM</t>
  </si>
  <si>
    <t>25/06/2020 3:17 PM</t>
  </si>
  <si>
    <t>01/07/2020 2:21 PM</t>
  </si>
  <si>
    <t>25/06/2020 9:54 PM</t>
  </si>
  <si>
    <t>29/06/2020 1:17 PM</t>
  </si>
  <si>
    <t>02/07/2020 11:14 PM</t>
  </si>
  <si>
    <t>08/06/2020 12:00 AM</t>
  </si>
  <si>
    <t>26/06/2020 3:09 PM</t>
  </si>
  <si>
    <t>06/06/2020 12:00 AM</t>
  </si>
  <si>
    <t>24/06/2020 2:55 PM</t>
  </si>
  <si>
    <t>24/06/2020 2:53 PM</t>
  </si>
  <si>
    <t>19/06/2020 3:03 PM</t>
  </si>
  <si>
    <t>24/06/2020 2:56 PM</t>
  </si>
  <si>
    <t>30/06/2020 4:40 PM</t>
  </si>
  <si>
    <t>10/06/2020 4:39 PM</t>
  </si>
  <si>
    <t>05/06/2020 12:00 AM</t>
  </si>
  <si>
    <t>29/06/2020 4:31 PM</t>
  </si>
  <si>
    <t>19/06/2020 4:45 PM</t>
  </si>
  <si>
    <t>24/06/2020 1:59 PM</t>
  </si>
  <si>
    <t>26/06/2020 4:41 PM</t>
  </si>
  <si>
    <t>19/06/2020 4:03 PM</t>
  </si>
  <si>
    <t>22/06/2020 8:27 PM</t>
  </si>
  <si>
    <t>24/06/2020 2:58 PM</t>
  </si>
  <si>
    <t>16/06/2020 4:00 PM</t>
  </si>
  <si>
    <t>11/06/2020 4:03 PM</t>
  </si>
  <si>
    <t>16/06/2020 3:59 PM</t>
  </si>
  <si>
    <t>19/06/2020 3:08 PM</t>
  </si>
  <si>
    <t>11/06/2020 4:00 PM</t>
  </si>
  <si>
    <t>03/06/2020 12:00 AM</t>
  </si>
  <si>
    <t>16/06/2020 4:02 PM</t>
  </si>
  <si>
    <t>02/07/2020 1:55 PM</t>
  </si>
  <si>
    <t>23/06/2020 4:16 PM</t>
  </si>
  <si>
    <t>02/07/2020 9:18 AM</t>
  </si>
  <si>
    <t>24/06/2020 4:34 PM</t>
  </si>
  <si>
    <t>30/06/2020 9:57 AM</t>
  </si>
  <si>
    <t>23/06/2020 11:30 AM</t>
  </si>
  <si>
    <t>30/06/2020 2:20 PM</t>
  </si>
  <si>
    <t>26/06/2020 11:18 AM</t>
  </si>
  <si>
    <t>29/06/2020 4:40 PM</t>
  </si>
  <si>
    <t>29/06/2020 6:22 PM</t>
  </si>
  <si>
    <t>24/06/2020 4:04 PM</t>
  </si>
  <si>
    <t>02/06/2020 12:00 AM</t>
  </si>
  <si>
    <t>01/07/2020 4:49 PM</t>
  </si>
  <si>
    <t>29/06/2020 6:26 PM</t>
  </si>
  <si>
    <t>30/06/2020 5:09 PM</t>
  </si>
  <si>
    <t>03/07/2020 6:16 AM</t>
  </si>
  <si>
    <t>02/07/2020 11:09 AM</t>
  </si>
  <si>
    <t>30/06/2020 7:09 PM</t>
  </si>
  <si>
    <t>30/06/2020 1:31 PM</t>
  </si>
  <si>
    <t>30/06/2020 2:54 PM</t>
  </si>
  <si>
    <t>29/06/2020 6:25 PM</t>
  </si>
  <si>
    <t>28/05/2020 12:00 AM</t>
  </si>
  <si>
    <t>01/07/2020 11:29 AM</t>
  </si>
  <si>
    <t>30/06/2020 4:27 PM</t>
  </si>
  <si>
    <t>29/06/2020 4:17 PM</t>
  </si>
  <si>
    <t>03/07/2020 6:17 AM</t>
  </si>
  <si>
    <t>30/06/2020 4:26 PM</t>
  </si>
  <si>
    <t>29/06/2020 5:04 PM</t>
  </si>
  <si>
    <t>25/06/2020 1:56 PM</t>
  </si>
  <si>
    <t>30/06/2020 2:56 PM</t>
  </si>
  <si>
    <t>30/06/2020 4:25 PM</t>
  </si>
  <si>
    <t>29/06/2020 4:19 PM</t>
  </si>
  <si>
    <t>02/07/2020 11:19 AM</t>
  </si>
  <si>
    <t>30/06/2020 2:57 PM</t>
  </si>
  <si>
    <t>27/05/2020 12:00 AM</t>
  </si>
  <si>
    <t>03/07/2020 4:26 PM</t>
  </si>
  <si>
    <t>18/06/2020 7:35 PM</t>
  </si>
  <si>
    <t>03/07/2020 8:47 AM</t>
  </si>
  <si>
    <t>30/06/2020 2:59 PM</t>
  </si>
  <si>
    <t>24/06/2020 5:26 PM</t>
  </si>
  <si>
    <t>18/06/2020 5:11 PM</t>
  </si>
  <si>
    <t>24/06/2020 5:48 PM</t>
  </si>
  <si>
    <t>01/07/2020 2:22 PM</t>
  </si>
  <si>
    <t>30/06/2020 12:00 PM</t>
  </si>
  <si>
    <t>25/06/2020 7:41 AM</t>
  </si>
  <si>
    <t>25/06/2020 7:55 AM</t>
  </si>
  <si>
    <t>03/07/2020 5:55 PM</t>
  </si>
  <si>
    <t>01/07/2020 8:13 AM</t>
  </si>
  <si>
    <t>30/06/2020 11:50 AM</t>
  </si>
  <si>
    <t>03/07/2020 9:57 AM</t>
  </si>
  <si>
    <t>03/07/2020 5:51 PM</t>
  </si>
  <si>
    <t>03/07/2020 9:55 AM</t>
  </si>
  <si>
    <t>01/07/2020 11:31 AM</t>
  </si>
  <si>
    <t>03/07/2020 10:07 AM</t>
  </si>
  <si>
    <t>01/07/2020 2:25 PM</t>
  </si>
  <si>
    <t>29/05/2020 4:05 PM</t>
  </si>
  <si>
    <t>10/06/2020 9:59 AM</t>
  </si>
  <si>
    <t>03/07/2020 10:01 AM</t>
  </si>
  <si>
    <t>02/07/2020 11:31 AM</t>
  </si>
  <si>
    <t>27/06/2020 12:27 PM</t>
  </si>
  <si>
    <t>30/06/2020 9:02 PM</t>
  </si>
  <si>
    <t>03/07/2020 10:05 AM</t>
  </si>
  <si>
    <t>03/07/2020 10:03 AM</t>
  </si>
  <si>
    <t>03/07/2020 9:58 AM</t>
  </si>
  <si>
    <t>30/06/2020 10:03 PM</t>
  </si>
  <si>
    <t>29/06/2020 1:10 PM</t>
  </si>
  <si>
    <t>26/06/2020 6:57 PM</t>
  </si>
  <si>
    <t>03/07/2020 5:53 PM</t>
  </si>
  <si>
    <t>03/07/2020 5:52 PM</t>
  </si>
  <si>
    <t>30/05/2020 2:19 PM</t>
  </si>
  <si>
    <t>30/05/2020 2:28 PM</t>
  </si>
  <si>
    <t>03/07/2020 5:54 PM</t>
  </si>
  <si>
    <t>30/05/2020 2:25 PM</t>
  </si>
  <si>
    <t>30/05/2020 2:13 PM</t>
  </si>
  <si>
    <t>30/05/2020 2:10 PM</t>
  </si>
  <si>
    <t>19/05/2020 6:10 PM</t>
  </si>
  <si>
    <t>30/06/2020 9:10 AM</t>
  </si>
  <si>
    <t>30/05/2020 2:16 PM</t>
  </si>
  <si>
    <t>29/06/2020 1:04 PM</t>
  </si>
  <si>
    <t>30/05/2020 2:22 PM</t>
  </si>
  <si>
    <t>02/07/2020 11:25 AM</t>
  </si>
  <si>
    <t>29/06/2020 4:28 PM</t>
  </si>
  <si>
    <t>02/07/2020 10:15 AM</t>
  </si>
  <si>
    <t>30/06/2020 8:55 AM</t>
  </si>
  <si>
    <t>16/06/2020 4:57 PM</t>
  </si>
  <si>
    <t>30/06/2020 2:27 PM</t>
  </si>
  <si>
    <t>14/06/2020 7:59 AM</t>
  </si>
  <si>
    <t>01/07/2020 8:18 AM</t>
  </si>
  <si>
    <t>30/06/2020 3:17 PM</t>
  </si>
  <si>
    <t>16/06/2020 4:59 PM</t>
  </si>
  <si>
    <t>25/06/2020 2:32 PM</t>
  </si>
  <si>
    <t>16/06/2020 4:25 PM</t>
  </si>
  <si>
    <t>30/06/2020 1:29 PM</t>
  </si>
  <si>
    <t>29/06/2020 4:05 PM</t>
  </si>
  <si>
    <t>29/06/2020 4:01 PM</t>
  </si>
  <si>
    <t>03/07/2020 11:44 AM</t>
  </si>
  <si>
    <t>29/06/2020 2:54 PM</t>
  </si>
  <si>
    <t>03/07/2020 11:48 AM</t>
  </si>
  <si>
    <t>03/07/2020 11:51 AM</t>
  </si>
  <si>
    <t>03/07/2020 5:57 PM</t>
  </si>
  <si>
    <t>03/07/2020 11:07 AM</t>
  </si>
  <si>
    <t>29/06/2020 8:37 AM</t>
  </si>
  <si>
    <t>03/07/2020 5:58 PM</t>
  </si>
  <si>
    <t>30/06/2020 8:49 AM</t>
  </si>
  <si>
    <t>30/06/2020 11:52 AM</t>
  </si>
  <si>
    <t>26/06/2020 3:24 PM</t>
  </si>
  <si>
    <t>25/06/2020 2:28 PM</t>
  </si>
  <si>
    <t>04/06/2020 2:18 PM</t>
  </si>
  <si>
    <t>16/06/2020 4:20 PM</t>
  </si>
  <si>
    <t>16/06/2020 4:23 PM</t>
  </si>
  <si>
    <t>03/07/2020 8:42 AM</t>
  </si>
  <si>
    <t>27/06/2020 12:20 PM</t>
  </si>
  <si>
    <t>15/06/2020 2:32 PM</t>
  </si>
  <si>
    <t>22/05/2020 3:26 PM</t>
  </si>
  <si>
    <t>29/06/2020 4:53 PM</t>
  </si>
  <si>
    <t>29/06/2020 4:52 PM</t>
  </si>
  <si>
    <t>01/07/2020 6:12 PM</t>
  </si>
  <si>
    <t>29/06/2020 5:00 PM</t>
  </si>
  <si>
    <t>29/06/2020 8:47 AM</t>
  </si>
  <si>
    <t>11/06/2020 7:53 PM</t>
  </si>
  <si>
    <t>29/06/2020 8:34 AM</t>
  </si>
  <si>
    <t>16/06/2020 4:17 PM</t>
  </si>
  <si>
    <t>22/06/2020 3:22 PM</t>
  </si>
  <si>
    <t>26/06/2020 9:02 AM</t>
  </si>
  <si>
    <t>30/06/2020 11:33 AM</t>
  </si>
  <si>
    <t>26/06/2020 11:33 PM</t>
  </si>
  <si>
    <t>29/06/2020 1:13 PM</t>
  </si>
  <si>
    <t>01/07/2020 6:19 PM</t>
  </si>
  <si>
    <t>16/06/2020 4:15 PM</t>
  </si>
  <si>
    <t>16/06/2020 4:07 PM</t>
  </si>
  <si>
    <t>23/06/2020 7:32 PM</t>
  </si>
  <si>
    <t>24/06/2020 5:53 PM</t>
  </si>
  <si>
    <t>25/06/2020 2:30 PM</t>
  </si>
  <si>
    <t>02/07/2020 8:51 AM</t>
  </si>
  <si>
    <t>16/06/2020 10:50 AM</t>
  </si>
  <si>
    <t>16/06/2020 11:03 AM</t>
  </si>
  <si>
    <t>30/06/2020 11:43 AM</t>
  </si>
  <si>
    <t>16/06/2020 10:54 AM</t>
  </si>
  <si>
    <t>30/06/2020 3:30 PM</t>
  </si>
  <si>
    <t>17/06/2020 9:42 AM</t>
  </si>
  <si>
    <t>26/05/2020 12:45 PM</t>
  </si>
  <si>
    <t>03/07/2020 3:14 PM</t>
  </si>
  <si>
    <t>02/07/2020 12:01 PM</t>
  </si>
  <si>
    <t>23/06/2020 7:03 PM</t>
  </si>
  <si>
    <t>01/07/2020 4:59 PM</t>
  </si>
  <si>
    <t>16/06/2020 10:30 PM</t>
  </si>
  <si>
    <t>29/06/2020 2:43 PM</t>
  </si>
  <si>
    <t>03/07/2020 3:25 PM</t>
  </si>
  <si>
    <t>10/06/2020 10:08 AM</t>
  </si>
  <si>
    <t>10/06/2020 9:55 AM</t>
  </si>
  <si>
    <t>16/06/2020 10:39 PM</t>
  </si>
  <si>
    <t>10/06/2020 10:22 AM</t>
  </si>
  <si>
    <t>03/07/2020 6:14 AM</t>
  </si>
  <si>
    <t>23/06/2020 7:28 PM</t>
  </si>
  <si>
    <t>29/06/2020 8:44 AM</t>
  </si>
  <si>
    <t>17/06/2020 1:01 PM</t>
  </si>
  <si>
    <t>10/06/2020 9:50 AM</t>
  </si>
  <si>
    <t>30/06/2020 7:14 AM</t>
  </si>
  <si>
    <t>03/07/2020 5:59 PM</t>
  </si>
  <si>
    <t>30/06/2020 7:13 AM</t>
  </si>
  <si>
    <t>02/07/2020 10:04 AM</t>
  </si>
  <si>
    <t>29/06/2020 7:40 PM</t>
  </si>
  <si>
    <t>22/06/2020 2:24 PM</t>
  </si>
  <si>
    <t>27/04/2020 12:00 AM</t>
  </si>
  <si>
    <t>03/07/2020 3:42 PM</t>
  </si>
  <si>
    <t>26/06/2020 8:55 AM</t>
  </si>
  <si>
    <t>03/07/2020 3:44 PM</t>
  </si>
  <si>
    <t>26/06/2020 5:07 PM</t>
  </si>
  <si>
    <t>18/06/2020 3:56 PM</t>
  </si>
  <si>
    <t>30/06/2020 1:22 PM</t>
  </si>
  <si>
    <t>03/07/2020 7:12 PM</t>
  </si>
  <si>
    <t>03/07/2020 3:38 PM</t>
  </si>
  <si>
    <t>25/06/2020 2:19 PM</t>
  </si>
  <si>
    <t>02/07/2020 1:58 PM</t>
  </si>
  <si>
    <t>29/06/2020 7:36 PM</t>
  </si>
  <si>
    <t>22/06/2020 2:21 PM</t>
  </si>
  <si>
    <t>03/07/2020 11:01 AM</t>
  </si>
  <si>
    <t>03/07/2020 3:05 PM</t>
  </si>
  <si>
    <t>25/06/2020 2:18 PM</t>
  </si>
  <si>
    <t>12/06/2020 1:45 PM</t>
  </si>
  <si>
    <t>02/06/2020 4:39 PM</t>
  </si>
  <si>
    <t>26/05/2020 12:31 PM</t>
  </si>
  <si>
    <t>25/06/2020 10:38 PM</t>
  </si>
  <si>
    <t>15/06/2020 2:31 PM</t>
  </si>
  <si>
    <t>21/05/2020 12:29 PM</t>
  </si>
  <si>
    <t>24/06/2020 7:03 PM</t>
  </si>
  <si>
    <t>21/05/2020 12:12 PM</t>
  </si>
  <si>
    <t>24/06/2020 3:14 PM</t>
  </si>
  <si>
    <t>21/05/2020 12:35 PM</t>
  </si>
  <si>
    <t>02/07/2020 10:55 AM</t>
  </si>
  <si>
    <t>29/06/2020 4:51 PM</t>
  </si>
  <si>
    <t>30/06/2020 9:49 AM</t>
  </si>
  <si>
    <t>24/06/2020 4:29 PM</t>
  </si>
  <si>
    <t>22/06/2020 3:11 PM</t>
  </si>
  <si>
    <t>25/06/2020 2:57 PM</t>
  </si>
  <si>
    <t>02/07/2020 1:29 PM</t>
  </si>
  <si>
    <t>26/06/2020 11:29 PM</t>
  </si>
  <si>
    <t>04/06/2020 9:00 AM</t>
  </si>
  <si>
    <t>25/06/2020 2:21 PM</t>
  </si>
  <si>
    <t>16/06/2020 10:53 AM</t>
  </si>
  <si>
    <t>22/05/2020 10:12 PM</t>
  </si>
  <si>
    <t>24/06/2020 7:01 PM</t>
  </si>
  <si>
    <t>01/07/2020 9:34 PM</t>
  </si>
  <si>
    <t>25/06/2020 2:27 PM</t>
  </si>
  <si>
    <t>23/06/2020 7:05 PM</t>
  </si>
  <si>
    <t>23/06/2020 7:04 PM</t>
  </si>
  <si>
    <t>23/06/2020 8:54 AM</t>
  </si>
  <si>
    <t>03/07/2020 5:32 PM</t>
  </si>
  <si>
    <t>03/07/2020 5:29 PM</t>
  </si>
  <si>
    <t>01/07/2020 4:03 PM</t>
  </si>
  <si>
    <t>01/07/2020 4:00 PM</t>
  </si>
  <si>
    <t>21/05/2020 3:47 PM</t>
  </si>
  <si>
    <t>24/06/2020 4:16 PM</t>
  </si>
  <si>
    <t>03/07/2020 8:32 PM</t>
  </si>
  <si>
    <t>23/06/2020 7:24 PM</t>
  </si>
  <si>
    <t>23/06/2020 7:22 PM</t>
  </si>
  <si>
    <t>23/06/2020 7:19 PM</t>
  </si>
  <si>
    <t>23/06/2020 7:21 PM</t>
  </si>
  <si>
    <t>03/07/2020 8:26 PM</t>
  </si>
  <si>
    <t>30/06/2020 7:16 PM</t>
  </si>
  <si>
    <t>23/06/2020 7:16 PM</t>
  </si>
  <si>
    <t>26/06/2020 8:46 PM</t>
  </si>
  <si>
    <t>29/06/2020 1:08 PM</t>
  </si>
  <si>
    <t>01/07/2020 6:11 PM</t>
  </si>
  <si>
    <t>02/07/2020 3:49 PM</t>
  </si>
  <si>
    <t>23/06/2020 7:07 PM</t>
  </si>
  <si>
    <t>29/06/2020 7:49 PM</t>
  </si>
  <si>
    <t>23/06/2020 7:34 PM</t>
  </si>
  <si>
    <t>03/07/2020 4:44 PM</t>
  </si>
  <si>
    <t>01/07/2020 6:09 PM</t>
  </si>
  <si>
    <t>03/07/2020 4:28 PM</t>
  </si>
  <si>
    <t>25/06/2020 2:09 PM</t>
  </si>
  <si>
    <t>01/07/2020 3:27 PM</t>
  </si>
  <si>
    <t>02/07/2020 3:11 PM</t>
  </si>
  <si>
    <t>24/06/2020 4:33 PM</t>
  </si>
  <si>
    <t>23/06/2020 7:33 PM</t>
  </si>
  <si>
    <t>21/05/2020 12:32 PM</t>
  </si>
  <si>
    <t>24/06/2020 4:23 PM</t>
  </si>
  <si>
    <t>25/06/2020 12:55 PM</t>
  </si>
  <si>
    <t>03/07/2020 5:49 PM</t>
  </si>
  <si>
    <t>23/06/2020 7:20 PM</t>
  </si>
  <si>
    <t>03/07/2020 5:47 PM</t>
  </si>
  <si>
    <t>25/06/2020 2:05 PM</t>
  </si>
  <si>
    <t>01/07/2020 3:57 PM</t>
  </si>
  <si>
    <t>26/05/2020 12:16 PM</t>
  </si>
  <si>
    <t>23/06/2020 7:13 PM</t>
  </si>
  <si>
    <t>25/06/2020 1:57 PM</t>
  </si>
  <si>
    <t>28/02/2020 2:06 PM</t>
  </si>
  <si>
    <t>03/07/2020 4:52 PM</t>
  </si>
  <si>
    <t>03/07/2020 5:48 PM</t>
  </si>
  <si>
    <t>23/06/2020 7:11 PM</t>
  </si>
  <si>
    <t>23/06/2020 7:15 PM</t>
  </si>
  <si>
    <t>04/06/2020 8:59 AM</t>
  </si>
  <si>
    <t>01/07/2020 6:26 PM</t>
  </si>
  <si>
    <t>08/06/2020 4:14 PM</t>
  </si>
  <si>
    <t>08/06/2020 4:13 PM</t>
  </si>
  <si>
    <t>03/07/2020 11:22 AM</t>
  </si>
  <si>
    <t>03/07/2020 4:56 PM</t>
  </si>
  <si>
    <t>29/06/2020 12:34 PM</t>
  </si>
  <si>
    <t>29/06/2020 2:47 PM</t>
  </si>
  <si>
    <t>03/07/2020 5:25 PM</t>
  </si>
  <si>
    <t>29/06/2020 2:45 PM</t>
  </si>
  <si>
    <t>25/06/2020 2:29 PM</t>
  </si>
  <si>
    <t>03/07/2020 4:49 PM</t>
  </si>
  <si>
    <t>26/06/2020 3:54 PM</t>
  </si>
  <si>
    <t>04/06/2020 8:57 AM</t>
  </si>
  <si>
    <t>30/06/2020 7:11 AM</t>
  </si>
  <si>
    <t>02/07/2020 10:56 AM</t>
  </si>
  <si>
    <t>30/06/2020 7:10 AM</t>
  </si>
  <si>
    <t>30/06/2020 7:09 AM</t>
  </si>
  <si>
    <t>25/06/2020 8:31 PM</t>
  </si>
  <si>
    <t>18/06/2020 2:13 PM</t>
  </si>
  <si>
    <t>30/06/2020 7:12 AM</t>
  </si>
  <si>
    <t>03/07/2020 11:27 AM</t>
  </si>
  <si>
    <t>03/07/2020 2:26 PM</t>
  </si>
  <si>
    <t>29/06/2020 2:32 PM</t>
  </si>
  <si>
    <t>10/06/2020 9:41 AM</t>
  </si>
  <si>
    <t>02/07/2020 11:55 AM</t>
  </si>
  <si>
    <t>16/06/2020 10:57 AM</t>
  </si>
  <si>
    <t>02/07/2020 12:12 PM</t>
  </si>
  <si>
    <t>16/06/2020 11:07 AM</t>
  </si>
  <si>
    <t>30/06/2020 11:27 AM</t>
  </si>
  <si>
    <t>02/07/2020 12:13 PM</t>
  </si>
  <si>
    <t>16/06/2020 11:52 AM</t>
  </si>
  <si>
    <t>30/06/2020 11:48 AM</t>
  </si>
  <si>
    <t>30/06/2020 11:46 AM</t>
  </si>
  <si>
    <t>26/06/2020 8:44 AM</t>
  </si>
  <si>
    <t>03/07/2020 3:39 PM</t>
  </si>
  <si>
    <t>16/06/2020 6:49 PM</t>
  </si>
  <si>
    <t>30/06/2020 3:54 PM</t>
  </si>
  <si>
    <t>16/06/2020 3:58 PM</t>
  </si>
  <si>
    <t>16/06/2020 4:49 PM</t>
  </si>
  <si>
    <t>25/06/2020 2:15 PM</t>
  </si>
  <si>
    <t>29/06/2020 4:48 PM</t>
  </si>
  <si>
    <t>03/07/2020 8:17 AM</t>
  </si>
  <si>
    <t>23/06/2020 2:54 PM</t>
  </si>
  <si>
    <t>16/06/2020 11:55 AM</t>
  </si>
  <si>
    <t>30/06/2020 2:22 PM</t>
  </si>
  <si>
    <t>29/06/2020 4:44 PM</t>
  </si>
  <si>
    <t>26/06/2020 10:49 PM</t>
  </si>
  <si>
    <t>24/06/2020 3:07 PM</t>
  </si>
  <si>
    <t>30/06/2020 11:45 AM</t>
  </si>
  <si>
    <t>30/06/2020 1:26 PM</t>
  </si>
  <si>
    <t>01/07/2020 1:12 PM</t>
  </si>
  <si>
    <t>30/06/2020 1:24 PM</t>
  </si>
  <si>
    <t>30/06/2020 3:22 PM</t>
  </si>
  <si>
    <t>06/04/2020 12:00 AM</t>
  </si>
  <si>
    <t>14/07/2020 5:00 PM</t>
  </si>
  <si>
    <t>14/07/2020 10:00 AM</t>
  </si>
  <si>
    <t>07/07/2020 9:00 AM</t>
  </si>
  <si>
    <t>06/07/2020 12:00 PM</t>
  </si>
  <si>
    <t>23/07/2020 2:00 PM</t>
  </si>
  <si>
    <t>10/07/2020 10:00 AM</t>
  </si>
  <si>
    <t>10/07/2020 1:00 PM</t>
  </si>
  <si>
    <t>24/07/2020 9:00 AM</t>
  </si>
  <si>
    <t>07/07/2020 4:00 PM</t>
  </si>
  <si>
    <t>08/07/2020 1:00 AM</t>
  </si>
  <si>
    <t>22/07/2020 9:00 AM</t>
  </si>
  <si>
    <t>27/07/2020 10:00 AM</t>
  </si>
  <si>
    <t>10/07/2020 9:00 AM</t>
  </si>
  <si>
    <t>09/07/2020 5:00 PM</t>
  </si>
  <si>
    <t>23/07/2020 1:30 PM</t>
  </si>
  <si>
    <t>08/07/2020 8:00 AM</t>
  </si>
  <si>
    <t>13/07/2020 10:30 AM</t>
  </si>
  <si>
    <t>10/07/2020 1:00 AM</t>
  </si>
  <si>
    <t>06/07/2020 10:00 AM</t>
  </si>
  <si>
    <t>07/07/2020 2:00 PM</t>
  </si>
  <si>
    <t>06/07/2020 2:00 PM</t>
  </si>
  <si>
    <t>08/07/2020 5:00 PM</t>
  </si>
  <si>
    <t>13/07/2020 5:00 PM</t>
  </si>
  <si>
    <t>06/07/2020 1:00 AM</t>
  </si>
  <si>
    <t>10/07/2020 2:00 PM</t>
  </si>
  <si>
    <t>07/07/2020 1:00 AM</t>
  </si>
  <si>
    <t>10/07/2020 5:00 PM</t>
  </si>
  <si>
    <t>14/07/2020 2:00 PM</t>
  </si>
  <si>
    <t>20/07/2020 10:00 AM</t>
  </si>
  <si>
    <t>22/07/2020 5:00 PM</t>
  </si>
  <si>
    <t>24/07/2020 5:00 PM</t>
  </si>
  <si>
    <t>07/07/2020 11:00 AM</t>
  </si>
  <si>
    <t>10/07/2020 12:00 AM</t>
  </si>
  <si>
    <t>27/07/2020 11:00 AM</t>
  </si>
  <si>
    <t>08/07/2020 9:00 AM</t>
  </si>
  <si>
    <t>09/07/2020 9:00 AM</t>
  </si>
  <si>
    <t>09/07/2020 1:00 AM</t>
  </si>
  <si>
    <t>06/07/2020 1:30 PM</t>
  </si>
  <si>
    <t>23/07/2020 10:00 AM</t>
  </si>
  <si>
    <t>13/07/2020 11:00 AM</t>
  </si>
  <si>
    <t>22/07/2020 2:00 PM</t>
  </si>
  <si>
    <t>06/07/2020 9:00 AM</t>
  </si>
  <si>
    <t>21/07/2020 10:00 AM</t>
  </si>
  <si>
    <t>06/07/2020 1:00 PM</t>
  </si>
  <si>
    <t>08/07/2020 10:00 AM</t>
  </si>
  <si>
    <t>28/07/2020 2:00 PM</t>
  </si>
  <si>
    <t>28/07/2020 12:00 PM</t>
  </si>
  <si>
    <t>07/07/2020 5:00 PM</t>
  </si>
  <si>
    <t>28/07/2020 1:30 PM</t>
  </si>
  <si>
    <t>09/07/2020 9:30 AM</t>
  </si>
  <si>
    <t>29/07/2020 10:00 AM</t>
  </si>
  <si>
    <t>13/07/2020 5:00 AM</t>
  </si>
  <si>
    <t>06/07/2020 8:00 AM</t>
  </si>
  <si>
    <t>09/07/2020 11:00 AM</t>
  </si>
  <si>
    <t>10/07/2020 1:08 AM</t>
  </si>
  <si>
    <t>07/07/2020 8:00 AM</t>
  </si>
  <si>
    <t>07/07/2020 10:00 AM</t>
  </si>
  <si>
    <t>21/07/2020 10:30 AM</t>
  </si>
  <si>
    <t>22/07/2020 10:00 AM</t>
  </si>
  <si>
    <t>22/07/2020 9:30 AM</t>
  </si>
  <si>
    <t>10/07/2020 9:00 PM</t>
  </si>
  <si>
    <t>13/07/2020 12:00 PM</t>
  </si>
  <si>
    <t>09/07/2020 3:00 PM</t>
  </si>
  <si>
    <t>06/07/2020 5:00 PM</t>
  </si>
  <si>
    <t>27/07/2020 9:30 AM</t>
  </si>
  <si>
    <t>23/07/2020 12:00 PM</t>
  </si>
  <si>
    <t>27/07/2020 2:00 PM</t>
  </si>
  <si>
    <t>10/07/2020 1:30 PM</t>
  </si>
  <si>
    <t>10/07/2020 3:00 PM</t>
  </si>
  <si>
    <t>08/07/2020 1:30 PM</t>
  </si>
  <si>
    <t>20/07/2020 8:00 AM</t>
  </si>
  <si>
    <t>14/07/2020 9:00 AM</t>
  </si>
  <si>
    <t>09/07/2020 8:00 AM</t>
  </si>
  <si>
    <t>20/07/2020 9:00 AM</t>
  </si>
  <si>
    <t>20/07/2020 1:00 AM</t>
  </si>
  <si>
    <t>20/07/2020 11:00 AM</t>
  </si>
  <si>
    <t>07/07/2020 1:00 PM</t>
  </si>
  <si>
    <t>08/07/2020 5:00 AM</t>
  </si>
  <si>
    <t>17/07/2020 1:00 PM</t>
  </si>
  <si>
    <t>09/07/2020 10:00 AM</t>
  </si>
  <si>
    <t>17/07/2020 1:00 AM</t>
  </si>
  <si>
    <t>17/07/2020 2:00 PM</t>
  </si>
  <si>
    <t>10/07/2020 10:30 AM</t>
  </si>
  <si>
    <t>23/07/2020 10:30 AM</t>
  </si>
  <si>
    <t>06/07/2020 7:39 AM</t>
  </si>
  <si>
    <t>06/07/2020 7:33 AM</t>
  </si>
  <si>
    <t>08/07/2020 2:07 PM</t>
  </si>
  <si>
    <t>06/07/2020 3:00 PM</t>
  </si>
  <si>
    <t>16/07/2020 10:00 AM</t>
  </si>
  <si>
    <t>08/07/2020 12:00 PM</t>
  </si>
  <si>
    <t>13/07/2020 10:00 AM</t>
  </si>
  <si>
    <t>13/07/2020 8:30 AM</t>
  </si>
  <si>
    <t>09/07/2020 2:00 PM</t>
  </si>
  <si>
    <t>15/07/2020 1:30 PM</t>
  </si>
  <si>
    <t>06/07/2020 8:39 AM</t>
  </si>
  <si>
    <t>16/07/2020 9:00 AM</t>
  </si>
  <si>
    <t>14/07/2020 12:01 AM</t>
  </si>
  <si>
    <t>09/07/2020 4:00 PM</t>
  </si>
  <si>
    <t>22/07/2020 3:00 PM</t>
  </si>
  <si>
    <t>17/07/2020 10:00 AM</t>
  </si>
  <si>
    <t>10/07/2020 8:30 AM</t>
  </si>
  <si>
    <t>08/07/2020 4:30 PM</t>
  </si>
  <si>
    <t>09/07/2020 12:00 PM</t>
  </si>
  <si>
    <t>07/07/2020 4:30 PM</t>
  </si>
  <si>
    <t>08/07/2020 4:04 PM</t>
  </si>
  <si>
    <t>24/07/2020 1:00 AM</t>
  </si>
  <si>
    <t>07/07/2020 3:00 PM</t>
  </si>
  <si>
    <t>07/07/2020 12:00 PM</t>
  </si>
  <si>
    <t>13/07/2020 9:00 AM</t>
  </si>
  <si>
    <t>08/07/2020 1:04 PM</t>
  </si>
  <si>
    <t>24/07/2020 9:30 AM</t>
  </si>
  <si>
    <t>10/07/2020 11:00 AM</t>
  </si>
  <si>
    <t>08/07/2020 1:00 PM</t>
  </si>
  <si>
    <t>15/07/2020 10:00 AM</t>
  </si>
  <si>
    <t>10/07/2020 8:00 AM</t>
  </si>
  <si>
    <t>09/07/2020 1:00 PM</t>
  </si>
  <si>
    <t>07/07/2020 1:30 PM</t>
  </si>
  <si>
    <t>13/07/2020 8:00 AM</t>
  </si>
  <si>
    <t>06/07/2020 11:00 AM</t>
  </si>
  <si>
    <t>24/07/2020 10:00 AM</t>
  </si>
  <si>
    <t>21/07/2020 9:00 AM</t>
  </si>
  <si>
    <t>24/07/2020 11:00 AM</t>
  </si>
  <si>
    <t>23/07/2020 5:00 PM</t>
  </si>
  <si>
    <t>06/07/2020 9:00 PM</t>
  </si>
  <si>
    <t>10/07/2020 9:08 AM</t>
  </si>
  <si>
    <t>27/07/2020 10:30 AM</t>
  </si>
  <si>
    <t>10/07/2020 8:08 AM</t>
  </si>
  <si>
    <t>06/07/2020 4:30 PM</t>
  </si>
  <si>
    <t>15/07/2020 9:00 AM</t>
  </si>
  <si>
    <t>07/07/2020 8:30 AM</t>
  </si>
  <si>
    <t>27/07/2020 9:00 AM</t>
  </si>
  <si>
    <t>22/07/2020 8:00 AM</t>
  </si>
  <si>
    <t>10/07/2020 9:30 AM</t>
  </si>
  <si>
    <t>15/07/2020 2:00 PM</t>
  </si>
  <si>
    <t>14/07/2020 1:30 PM</t>
  </si>
  <si>
    <t>27/07/2020 1:30 PM</t>
  </si>
  <si>
    <t>28/07/2020 9:30 AM</t>
  </si>
  <si>
    <t>16/07/2020 12:00 PM</t>
  </si>
  <si>
    <t>24/07/2020 1:45 PM</t>
  </si>
  <si>
    <t>13/07/2020 1:30 PM</t>
  </si>
  <si>
    <t>23/07/2020 1:00 AM</t>
  </si>
  <si>
    <t>07/07/2020 9:30 AM</t>
  </si>
  <si>
    <t>14/07/2020 1:00 PM</t>
  </si>
  <si>
    <t>06/07/2020 4:00 PM</t>
  </si>
  <si>
    <t>22/07/2020 1:00 AM</t>
  </si>
  <si>
    <t>07/07/2020 1:30 AM</t>
  </si>
  <si>
    <t>24/07/2020 1:00 PM</t>
  </si>
  <si>
    <t>13/07/2020 1:00 AM</t>
  </si>
  <si>
    <t>21/07/2020 3:30 PM</t>
  </si>
  <si>
    <t>10/07/2020 1:59 PM</t>
  </si>
  <si>
    <t>09/07/2020 1:30 PM</t>
  </si>
  <si>
    <t>14/07/2020 9:30 AM</t>
  </si>
  <si>
    <t>24/07/2020 2:00 PM</t>
  </si>
  <si>
    <t>10/07/2020 4:00 PM</t>
  </si>
  <si>
    <t>09/07/2020 12:00 AM</t>
  </si>
  <si>
    <t>27/07/2020 8:30 AM</t>
  </si>
  <si>
    <t>14/07/2020 8:00 AM</t>
  </si>
  <si>
    <t>10/07/2020 8:05 AM</t>
  </si>
  <si>
    <t>08/07/2020 2:00 PM</t>
  </si>
  <si>
    <t>03/08/2020 9:30 AM</t>
  </si>
  <si>
    <t>10/07/2020 12:00 PM</t>
  </si>
  <si>
    <t>08/07/2020 9:00 PM</t>
  </si>
  <si>
    <t>14/07/2020 11:00 AM</t>
  </si>
  <si>
    <t>28/07/2020 9:00 AM</t>
  </si>
  <si>
    <t>23/07/2020 9:00 AM</t>
  </si>
  <si>
    <t>23/07/2020 2:30 PM</t>
  </si>
  <si>
    <t>27/07/2020 1:00 PM</t>
  </si>
  <si>
    <t>10/07/2020 7:00 AM</t>
  </si>
  <si>
    <t>21/07/2020 2:00 PM</t>
  </si>
  <si>
    <t>13/07/2020 2:00 PM</t>
  </si>
  <si>
    <t>16/07/2020 2:00 PM</t>
  </si>
  <si>
    <t>22/07/2020 8:30 AM</t>
  </si>
  <si>
    <t>29/07/2020 2:00 PM</t>
  </si>
  <si>
    <t>23/07/2020 10:15 AM</t>
  </si>
  <si>
    <t>23/07/2020 9:25 AM</t>
  </si>
  <si>
    <t>14/07/2020 3:00 PM</t>
  </si>
  <si>
    <t>31/07/2020 2:00 PM</t>
  </si>
  <si>
    <t>15/07/2020 12:00 AM</t>
  </si>
  <si>
    <t>14/07/2020 1:00 AM</t>
  </si>
  <si>
    <t>23/07/2020 1:00 PM</t>
  </si>
  <si>
    <t>24/07/2020 12:00 PM</t>
  </si>
  <si>
    <t>27/07/2020 1:30 AM</t>
  </si>
  <si>
    <t>28/07/2020 10:00 AM</t>
  </si>
  <si>
    <t>14/08/2020 10:00 AM</t>
  </si>
  <si>
    <t>08/07/2020 11:00 AM</t>
  </si>
  <si>
    <t>24/07/2020 10:30 AM</t>
  </si>
  <si>
    <t>20/07/2020 5:00 PM</t>
  </si>
  <si>
    <t>10/07/2020 1:01 PM</t>
  </si>
  <si>
    <t>30/07/2020 10:00 AM</t>
  </si>
  <si>
    <t>08/07/2020 4:00 PM</t>
  </si>
  <si>
    <t>09/07/2020 7:00 AM</t>
  </si>
  <si>
    <t>30/07/2020 9:00 AM</t>
  </si>
  <si>
    <t>06/07/2020 8:30 AM</t>
  </si>
  <si>
    <t>07/07/2020 1:59 PM</t>
  </si>
  <si>
    <t>13/07/2020 1:00 PM</t>
  </si>
  <si>
    <t>06/07/2020 5:00 AM</t>
  </si>
  <si>
    <t>06/07/2020 4:06 PM</t>
  </si>
  <si>
    <t>22/07/2020 9:45 AM</t>
  </si>
  <si>
    <t>07/07/2020 12:00 AM</t>
  </si>
  <si>
    <t>08/07/2020 8:30 AM</t>
  </si>
  <si>
    <t>20/07/2020 8:30 AM</t>
  </si>
  <si>
    <t>03/08/2020 10:00 AM</t>
  </si>
  <si>
    <t>08/07/2020 3:00 PM</t>
  </si>
  <si>
    <t>27/07/2020 3:00 PM</t>
  </si>
  <si>
    <t>29/07/2020 1:00 PM</t>
  </si>
  <si>
    <t>23/07/2020 3:00 PM</t>
  </si>
  <si>
    <t>06/07/2020 10:30 AM</t>
  </si>
  <si>
    <t>16/07/2020 5:00 PM</t>
  </si>
  <si>
    <t>10/08/2020 1:30 PM</t>
  </si>
  <si>
    <t>07/07/2020 7:00 AM</t>
  </si>
  <si>
    <t>09/07/2020 1:02 PM</t>
  </si>
  <si>
    <t>27/07/2020 1:00 AM</t>
  </si>
  <si>
    <t>17/07/2020 1:59 PM</t>
  </si>
  <si>
    <t>22/07/2020 12:00 PM</t>
  </si>
  <si>
    <t>23/07/2020 9:30 AM</t>
  </si>
  <si>
    <t>27/07/2020 8:00 AM</t>
  </si>
  <si>
    <t>21/07/2020 1:00 PM</t>
  </si>
  <si>
    <t>22/07/2020 1:00 PM</t>
  </si>
  <si>
    <t>17/07/2020 9:30 AM</t>
  </si>
  <si>
    <t>07/07/2020 2:00 AM</t>
  </si>
  <si>
    <t>14/07/2020 12:00 PM</t>
  </si>
  <si>
    <t>15/07/2020 1:00 AM</t>
  </si>
  <si>
    <t>22/07/2020 11:00 AM</t>
  </si>
  <si>
    <t>22/07/2020 10:30 AM</t>
  </si>
  <si>
    <t>15/07/2020 2:30 PM</t>
  </si>
  <si>
    <t>21/07/2020 9:30 AM</t>
  </si>
  <si>
    <t>17/07/2020 11:00 AM</t>
  </si>
  <si>
    <t>16/07/2020 1:00 PM</t>
  </si>
  <si>
    <t>13/07/2020 2:00 AM</t>
  </si>
  <si>
    <t>21/07/2020 1:30 PM</t>
  </si>
  <si>
    <t>09/07/2020 6:00 PM</t>
  </si>
  <si>
    <t>21/07/2020 8:30 AM</t>
  </si>
  <si>
    <t>16/07/2020 8:00 AM</t>
  </si>
  <si>
    <t>21/07/2020 11:00 AM</t>
  </si>
  <si>
    <t>17/07/2020 9:00 AM</t>
  </si>
  <si>
    <t>20/07/2020 1:30 PM</t>
  </si>
  <si>
    <t>21/07/2020 1:00 AM</t>
  </si>
  <si>
    <t>06/07/2020 1:08 AM</t>
  </si>
  <si>
    <t>06/07/2020 10:02 AM</t>
  </si>
  <si>
    <t>07/07/2020 5:05 PM</t>
  </si>
  <si>
    <t>06/07/2020 10:15 AM</t>
  </si>
  <si>
    <t>08/07/2020 1:08 AM</t>
  </si>
  <si>
    <t>07/07/2020 5:00 AM</t>
  </si>
  <si>
    <t>06/07/2020 10:32 AM</t>
  </si>
  <si>
    <t>15/07/2020 11:00 AM</t>
  </si>
  <si>
    <t>15/07/2020 8:00 AM</t>
  </si>
  <si>
    <t>06/07/2020 10:34 AM</t>
  </si>
  <si>
    <t>15/07/2020 1:00 PM</t>
  </si>
  <si>
    <t>09/07/2020 8:30 AM</t>
  </si>
  <si>
    <t>21/07/2020 2:00 AM</t>
  </si>
  <si>
    <t>08/07/2020 10:30 AM</t>
  </si>
  <si>
    <t>23/07/2020 8:00 AM</t>
  </si>
  <si>
    <t>21/07/2020 9:15 AM</t>
  </si>
  <si>
    <t>21/07/2020 10:15 AM</t>
  </si>
  <si>
    <t>31/07/2020 5:00 PM</t>
  </si>
  <si>
    <t>09/07/2020 1:12 PM</t>
  </si>
  <si>
    <t>06/07/2020 10:35 AM</t>
  </si>
  <si>
    <t>21/07/2020 12:00 PM</t>
  </si>
  <si>
    <t>13/07/2020 3:00 PM</t>
  </si>
  <si>
    <t>08/07/2020 11:30 AM</t>
  </si>
  <si>
    <t>09/07/2020 11:30 AM</t>
  </si>
  <si>
    <t>22/07/2020 1:30 PM</t>
  </si>
  <si>
    <t>28/07/2020 1:00 PM</t>
  </si>
  <si>
    <t>16/07/2020 9:45 AM</t>
  </si>
  <si>
    <t>07/07/2020 8:05 PM</t>
  </si>
  <si>
    <t>16/07/2020 10:30 AM</t>
  </si>
  <si>
    <t>09/07/2020 5:00 AM</t>
  </si>
  <si>
    <t>22/07/2020 11:30 AM</t>
  </si>
  <si>
    <t>15/07/2020 5:00 PM</t>
  </si>
  <si>
    <t>06/07/2020 8:15 AM</t>
  </si>
  <si>
    <t>27/07/2020 8:50 AM</t>
  </si>
  <si>
    <t>27/07/2020 9:50 AM</t>
  </si>
  <si>
    <t>16/07/2020 9:30 AM</t>
  </si>
  <si>
    <t>06/07/2020 8:45 AM</t>
  </si>
  <si>
    <t>07/07/2020 7:00 PM</t>
  </si>
  <si>
    <t>22/07/2020 2:15 PM</t>
  </si>
  <si>
    <t>06/07/2020 9:15 AM</t>
  </si>
  <si>
    <t>11/08/2020 10:00 AM</t>
  </si>
  <si>
    <t>07/07/2020 10:01 AM</t>
  </si>
  <si>
    <t>06/07/2020 9:30 AM</t>
  </si>
  <si>
    <t>20/07/2020 2:00 PM</t>
  </si>
  <si>
    <t>16/07/2020 1:00 AM</t>
  </si>
  <si>
    <t>10/07/2020 1:31 PM</t>
  </si>
  <si>
    <t>08/07/2020 11:00 PM</t>
  </si>
  <si>
    <t>08/07/2020 3:00 AM</t>
  </si>
  <si>
    <t>27/07/2020 10:50 AM</t>
  </si>
  <si>
    <t>22/07/2020 11:59 PM</t>
  </si>
  <si>
    <t>07/07/2020 6:00 PM</t>
  </si>
  <si>
    <t>14/07/2020 2:30 PM</t>
  </si>
  <si>
    <t>22/07/2020 7:00 AM</t>
  </si>
  <si>
    <t>06/07/2020 8:00 PM</t>
  </si>
  <si>
    <t>06/07/2020 6:00 PM</t>
  </si>
  <si>
    <t>15/07/2020 11:30 AM</t>
  </si>
  <si>
    <t>23/07/2020 1:15 PM</t>
  </si>
  <si>
    <t>21/07/2020 5:00 PM</t>
  </si>
  <si>
    <t>09/07/2020 10:00 PM</t>
  </si>
  <si>
    <t>04/08/2020 10:00 AM</t>
  </si>
  <si>
    <t>15/07/2020 3:00 PM</t>
  </si>
  <si>
    <t>18/08/2020 8:00 AM</t>
  </si>
  <si>
    <t>20/07/2020 9:30 AM</t>
  </si>
  <si>
    <t>21/07/2020 5:00 AM</t>
  </si>
  <si>
    <t>08/07/2020 9:30 AM</t>
  </si>
  <si>
    <t>21/07/2020 8:00 AM</t>
  </si>
  <si>
    <t>15/07/2020 12:00 PM</t>
  </si>
  <si>
    <t>16/07/2020 1:30 PM</t>
  </si>
  <si>
    <t>20/07/2020 1:00 PM</t>
  </si>
  <si>
    <t>20/07/2020 12:00 PM</t>
  </si>
  <si>
    <t>08/07/2020 1:05 PM</t>
  </si>
  <si>
    <t>06/07/2020 6:00 AM</t>
  </si>
  <si>
    <t>31/07/2020 1:00 AM</t>
  </si>
  <si>
    <t>08/07/2020 12:00 AM</t>
  </si>
  <si>
    <t>20/07/2020 10:15 AM</t>
  </si>
  <si>
    <t>07/07/2020 10:30 AM</t>
  </si>
  <si>
    <t>20/07/2020 11:30 AM</t>
  </si>
  <si>
    <t>10/07/2020 5:00 AM</t>
  </si>
  <si>
    <t>06/07/2020 1:09 AM</t>
  </si>
  <si>
    <t>06/07/2020 1:10 AM</t>
  </si>
  <si>
    <t>27/07/2020 12:00 PM</t>
  </si>
  <si>
    <t>06/07/2020 9:55 AM</t>
  </si>
  <si>
    <t>08/07/2020 7:00 AM</t>
  </si>
  <si>
    <t>20/07/2020 4:00 PM</t>
  </si>
  <si>
    <t>27/07/2020 5:00 PM</t>
  </si>
  <si>
    <t>17/07/2020 1:30 PM</t>
  </si>
  <si>
    <t>27/07/2020 5:00 AM</t>
  </si>
  <si>
    <t>20/07/2020 10:30 AM</t>
  </si>
  <si>
    <t>08/07/2020 6:00 AM</t>
  </si>
  <si>
    <t>08/07/2020 2:30 PM</t>
  </si>
  <si>
    <t>22/07/2020 2:30 PM</t>
  </si>
  <si>
    <t>22/07/2020 3:30 PM</t>
  </si>
  <si>
    <t>21/07/2020 1:59 PM</t>
  </si>
  <si>
    <t>21/07/2020 11:30 AM</t>
  </si>
  <si>
    <t>21/07/2020 3:00 PM</t>
  </si>
  <si>
    <t>07/07/2020 12:12 PM</t>
  </si>
  <si>
    <t>21/07/2020 8:59 AM</t>
  </si>
  <si>
    <t>14/07/2020 4:00 PM</t>
  </si>
  <si>
    <t>31/07/2020 9:09 AM</t>
  </si>
  <si>
    <t>31/07/2020 9:00 AM</t>
  </si>
  <si>
    <t>21/07/2020 9:59 AM</t>
  </si>
  <si>
    <t>20/07/2020 3:00 PM</t>
  </si>
  <si>
    <t>21/07/2020 10:59 AM</t>
  </si>
  <si>
    <t>06/07/2020 7:00 PM</t>
  </si>
  <si>
    <t>17/07/2020 8:59 AM</t>
  </si>
  <si>
    <t>28/07/2020 12:30 PM</t>
  </si>
  <si>
    <t>05/08/2020 12:00 PM</t>
  </si>
  <si>
    <t>08/07/2020 2:00 AM</t>
  </si>
  <si>
    <t>10/07/2020 12:01 AM</t>
  </si>
  <si>
    <t>21/07/2020 4:00 PM</t>
  </si>
  <si>
    <t>08/07/2020 1:20 PM</t>
  </si>
  <si>
    <t>04/08/2020 9:00 AM</t>
  </si>
  <si>
    <t>06/07/2020 12:00 AM</t>
  </si>
  <si>
    <t>17/07/2020 5:00 PM</t>
  </si>
  <si>
    <t>08/07/2020 12:59 PM</t>
  </si>
  <si>
    <t>08/07/2020 1:59 PM</t>
  </si>
  <si>
    <t>07/07/2020 2:30 PM</t>
  </si>
  <si>
    <t>07/07/2020 11:20 AM</t>
  </si>
  <si>
    <t>20/07/2020 8:15 AM</t>
  </si>
  <si>
    <t>20/07/2020 2:00 AM</t>
  </si>
  <si>
    <t>03/08/2020 2:00 PM</t>
  </si>
  <si>
    <t>17/07/2020 4:00 PM</t>
  </si>
  <si>
    <t>31/07/2020 10:00 AM</t>
  </si>
  <si>
    <t>09/07/2020 2:00 AM</t>
  </si>
  <si>
    <t>08/07/2020 10:40 AM</t>
  </si>
  <si>
    <t>07/07/2020 9:45 AM</t>
  </si>
  <si>
    <t>10/07/2020 2:30 PM</t>
  </si>
  <si>
    <t>21/07/2020 1:45 PM</t>
  </si>
  <si>
    <t>20/07/2020 5:00 AM</t>
  </si>
  <si>
    <t>08/07/2020 9:08 AM</t>
  </si>
  <si>
    <t>20/07/2020 1:12 PM</t>
  </si>
  <si>
    <t>06/07/2020 7:12 AM</t>
  </si>
  <si>
    <t>14/07/2020 11:00 PM</t>
  </si>
  <si>
    <t>14/07/2020 7:00 AM</t>
  </si>
  <si>
    <t>07/07/2020 12:59 PM</t>
  </si>
  <si>
    <t>06/07/2020 11:59 PM</t>
  </si>
  <si>
    <t>17/07/2020 5:00 AM</t>
  </si>
  <si>
    <t>06/07/2020 11:59 AM</t>
  </si>
  <si>
    <t>06/07/2020 7:00 AM</t>
  </si>
  <si>
    <t>20/07/2020 2:05 PM</t>
  </si>
  <si>
    <t>08/07/2020 10:20 AM</t>
  </si>
  <si>
    <t>24/07/2020 3:00 PM</t>
  </si>
  <si>
    <t>13/07/2020 11:30 AM</t>
  </si>
  <si>
    <t>21/07/2020 12:00 AM</t>
  </si>
  <si>
    <t>21/07/2020 9:50 AM</t>
  </si>
  <si>
    <t>21/07/2020 12:30 PM</t>
  </si>
  <si>
    <t>06/07/2020 12:59 PM</t>
  </si>
  <si>
    <t>24/07/2020 2:30 PM</t>
  </si>
  <si>
    <t>20/07/2020 12:30 PM</t>
  </si>
  <si>
    <t>21/07/2020 2:30 PM</t>
  </si>
  <si>
    <t>09/07/2020 11:59 PM</t>
  </si>
  <si>
    <t>06/07/2020 2:30 PM</t>
  </si>
  <si>
    <t>07/07/2020 9:15 AM</t>
  </si>
  <si>
    <t>07/07/2020 10:15 AM</t>
  </si>
  <si>
    <t>07/07/2020 2:15 PM</t>
  </si>
  <si>
    <t>07/07/2020 1:15 PM</t>
  </si>
  <si>
    <t>07/07/2020 11:15 AM</t>
  </si>
  <si>
    <t>16/07/2020 8:30 AM</t>
  </si>
  <si>
    <t>06/07/2020 1:04 PM</t>
  </si>
  <si>
    <t>20/07/2020 9:59 AM</t>
  </si>
  <si>
    <t>19/08/2020 3:00 PM</t>
  </si>
  <si>
    <t>28/07/2020 5:00 PM</t>
  </si>
  <si>
    <t>20/07/2020 8:30 PM</t>
  </si>
  <si>
    <t>06/07/2020 1:05 PM</t>
  </si>
  <si>
    <t>17/07/2020 6:00 AM</t>
  </si>
  <si>
    <t>17/07/2020 8:00 AM</t>
  </si>
  <si>
    <t>16/07/2020 3:00 PM</t>
  </si>
  <si>
    <t>16/07/2020 7:00 AM</t>
  </si>
  <si>
    <t>16/07/2020 11:00 AM</t>
  </si>
  <si>
    <t>20/07/2020 2:30 PM</t>
  </si>
  <si>
    <t>06/07/2020 8:05 AM</t>
  </si>
  <si>
    <t>06/07/2020 11:30 AM</t>
  </si>
  <si>
    <t>20/07/2020 9:25 AM</t>
  </si>
  <si>
    <t>15/07/2020 2:01 PM</t>
  </si>
  <si>
    <t>06/07/2020 9:32 AM</t>
  </si>
  <si>
    <t>17/07/2020 8:30 AM</t>
  </si>
  <si>
    <t>28/07/2020 1:00 AM</t>
  </si>
  <si>
    <t>16/07/2020 8:59 AM</t>
  </si>
  <si>
    <t>16/07/2020 12:59 PM</t>
  </si>
  <si>
    <t>16/07/2020 2:29 PM</t>
  </si>
  <si>
    <t>16/07/2020 9:25 AM</t>
  </si>
  <si>
    <t>15/07/2020 9:30 AM</t>
  </si>
  <si>
    <t>13/07/2020 9:30 AM</t>
  </si>
  <si>
    <t>16/07/2020 1:25 PM</t>
  </si>
  <si>
    <t>16/07/2020 10:00 PM</t>
  </si>
  <si>
    <t>06/08/2020 3:00 PM</t>
  </si>
  <si>
    <t>20/07/2020 1:15 PM</t>
  </si>
  <si>
    <t>13/07/2020 4:00 PM</t>
  </si>
  <si>
    <t>15/07/2020 1:01 AM</t>
  </si>
  <si>
    <t>29/07/2020 8:00 AM</t>
  </si>
  <si>
    <t>14/07/2020 1:45 PM</t>
  </si>
  <si>
    <t>06/07/2020 1:13 PM</t>
  </si>
  <si>
    <t>13/07/2020 6:00 AM</t>
  </si>
  <si>
    <t>13/07/2020 7:00 AM</t>
  </si>
  <si>
    <t>15/07/2020 10:30 AM</t>
  </si>
  <si>
    <t>15/07/2020 9:50 AM</t>
  </si>
  <si>
    <t>15/07/2020 8:30 AM</t>
  </si>
  <si>
    <t>14/07/2020 10:30 AM</t>
  </si>
  <si>
    <t>06/08/2020 1:15 PM</t>
  </si>
  <si>
    <t>13/07/2020 10:00 PM</t>
  </si>
  <si>
    <t>06/07/2020 3:30 PM</t>
  </si>
  <si>
    <t>17/07/2020 12:00 PM</t>
  </si>
  <si>
    <t>14/07/2020 9:45 AM</t>
  </si>
  <si>
    <t>14/07/2020 8:15 AM</t>
  </si>
  <si>
    <t>14/07/2020 9:15 AM</t>
  </si>
  <si>
    <t>14/07/2020 9:25 AM</t>
  </si>
  <si>
    <t>13/07/2020 2:15 PM</t>
  </si>
  <si>
    <t>10/07/2020 2:02 PM</t>
  </si>
  <si>
    <t>14/07/2020 10:15 AM</t>
  </si>
  <si>
    <t>14/07/2020 8:30 AM</t>
  </si>
  <si>
    <t>14/07/2020 1:59 PM</t>
  </si>
  <si>
    <t>28/07/2020 11:00 AM</t>
  </si>
  <si>
    <t>10/08/2020 2:00 PM</t>
  </si>
  <si>
    <t>14/07/2020 8:59 AM</t>
  </si>
  <si>
    <t>14/07/2020 3:30 PM</t>
  </si>
  <si>
    <t>10/07/2020 11:59 PM</t>
  </si>
  <si>
    <t>14/07/2020 8:01 AM</t>
  </si>
  <si>
    <t>07/08/2020 2:00 PM</t>
  </si>
  <si>
    <t>13/07/2020 5:05 PM</t>
  </si>
  <si>
    <t>13/07/2020 2:30 PM</t>
  </si>
  <si>
    <t>08/07/2020 1:32 PM</t>
  </si>
  <si>
    <t>06/07/2020 7:06 AM</t>
  </si>
  <si>
    <t>13/07/2020 3:30 PM</t>
  </si>
  <si>
    <t>13/07/2020 2:01 PM</t>
  </si>
  <si>
    <t>17/07/2020 10:00 PM</t>
  </si>
  <si>
    <t>14/07/2020 9:01 AM</t>
  </si>
  <si>
    <t>07/07/2020 3:30 PM</t>
  </si>
  <si>
    <t>06/08/2020 10:00 AM</t>
  </si>
  <si>
    <t>24/07/2020 1:30 PM</t>
  </si>
  <si>
    <t>13/07/2020 8:59 AM</t>
  </si>
  <si>
    <t>07/07/2020 3:30 AM</t>
  </si>
  <si>
    <t>10/07/2020 9:15 AM</t>
  </si>
  <si>
    <t>09/07/2020 10:30 AM</t>
  </si>
  <si>
    <t>14/07/2020 5:00 AM</t>
  </si>
  <si>
    <t>09/07/2020 10:01 AM</t>
  </si>
  <si>
    <t>08/07/2020 9:50 AM</t>
  </si>
  <si>
    <t>04/08/2020 8:00 AM</t>
  </si>
  <si>
    <t>07/07/2020 11:30 AM</t>
  </si>
  <si>
    <t>13/07/2020 1:45 PM</t>
  </si>
  <si>
    <t>08/07/2020 8:59 AM</t>
  </si>
  <si>
    <t>07/07/2020 11:45 AM</t>
  </si>
  <si>
    <t>07/07/2020 10:00 PM</t>
  </si>
  <si>
    <t>09/07/2020 1:59 PM</t>
  </si>
  <si>
    <t>06/07/2020 6:08 AM</t>
  </si>
  <si>
    <t>07/07/2020 9:25 AM</t>
  </si>
  <si>
    <t>07/07/2020 1:09 AM</t>
  </si>
  <si>
    <t>07/07/2020 2:10 PM</t>
  </si>
  <si>
    <t>07/07/2020 2:20 PM</t>
  </si>
  <si>
    <t>07/07/2020 8:15 AM</t>
  </si>
  <si>
    <t>07/07/2020 8:59 AM</t>
  </si>
  <si>
    <t>10/07/2020 8:59 AM</t>
  </si>
  <si>
    <t>30/07/2020 10:30 AM</t>
  </si>
  <si>
    <t>30/07/2020 9:30 AM</t>
  </si>
  <si>
    <t>16/07/2020 12:30 PM</t>
  </si>
  <si>
    <t>08/07/2020 12:30 PM</t>
  </si>
  <si>
    <t>06/07/2020 2:29 PM</t>
  </si>
  <si>
    <t>13/07/2020 11:10 AM</t>
  </si>
  <si>
    <t>08/07/2020 10:10 AM</t>
  </si>
  <si>
    <t>06/07/2020 1:30 AM</t>
  </si>
  <si>
    <t>03/08/2020 1:30 PM</t>
  </si>
  <si>
    <t>06/07/2020 8:59 AM</t>
  </si>
  <si>
    <t>07/07/2020 11:00 PM</t>
  </si>
  <si>
    <t>17/07/2020 12:30 PM</t>
  </si>
  <si>
    <t>10/07/2020 1:30 AM</t>
  </si>
  <si>
    <t>17/07/2020 10:30 AM</t>
  </si>
  <si>
    <t>29/07/2020 9:00 AM</t>
  </si>
  <si>
    <t>06/07/2020 1:29 PM</t>
  </si>
  <si>
    <t>23/07/2020 12:30 PM</t>
  </si>
  <si>
    <t>29/07/2020 9:30 AM</t>
  </si>
  <si>
    <t>06/07/2020 2:00 AM</t>
  </si>
  <si>
    <t>17/07/2020 2:30 PM</t>
  </si>
  <si>
    <t>08/07/2020 6:00 PM</t>
  </si>
  <si>
    <t>06/07/2020 10:01 AM</t>
  </si>
  <si>
    <t>31/12/2020 9:00 AM</t>
  </si>
  <si>
    <t>21/01/2021 10:00 AM</t>
  </si>
  <si>
    <t>03/08/2020 9:00 AM</t>
  </si>
  <si>
    <t>01/07/2021 9:00 AM</t>
  </si>
  <si>
    <t>23/09/2020 1:00 AM</t>
  </si>
  <si>
    <t>30/07/2020 2:00 PM</t>
  </si>
  <si>
    <t>06/07/2020 1:15 PM</t>
  </si>
  <si>
    <t>13/07/2020 1:05 PM</t>
  </si>
  <si>
    <t>07/10/2020 10:00 AM</t>
  </si>
  <si>
    <t>28/08/2020 10:00 AM</t>
  </si>
  <si>
    <t>05/10/2020 9:30 AM</t>
  </si>
  <si>
    <t>08/07/2020 1:15 PM</t>
  </si>
  <si>
    <t>12/08/2020 9:30 AM</t>
  </si>
  <si>
    <t>31/07/2020 5:00 AM</t>
  </si>
  <si>
    <t>01/09/2020 9:00 AM</t>
  </si>
  <si>
    <t>06/07/2020 1:45 PM</t>
  </si>
  <si>
    <t>13/08/2020 9:30 AM</t>
  </si>
  <si>
    <t>24/08/2020 12:00 PM</t>
  </si>
  <si>
    <t>31/12/2020 1:00 AM</t>
  </si>
  <si>
    <t xml:space="preserve"> Sanitizing Tray with Mat 2x2 6 sets 1850 11100 Face Shield 6 pcs 150 900 Disposable Face Mask 50's 3 boxes 1100 3300 PPE Suit with Hood-good quality 4 pcs 3500 14000 70% Ethyl/Isoprophyl Alcohol 500ml 41 bottles 105 4305 70% Ethly/Isoprophyl Alcohol 10 ga</t>
  </si>
  <si>
    <t xml:space="preserve"> Various Sporting Goods See attached link under OTHER INFORMATION BOX</t>
  </si>
  <si>
    <t xml:space="preserve"> thermal scanner 5pcs.4500 22500 Automatic Sensor Hand Disinfection Touches Wall-Mounted Mist Spray Hand Cleaner Machine 2pcs. 2500 5000 Portable Handwashing Machine 6 units 6500 39000</t>
  </si>
  <si>
    <t xml:space="preserve"> Various Air-condition See attached link under OTHER INFORMATION BOX</t>
  </si>
  <si>
    <t xml:space="preserve"> Availability of canvass until July 06, 2020; 8:00 - 12:00 noon Dropping of canvass will be on July 06, 2020, 12:00 noon The Mandaue City Government through its Bids and Awards Committee (BAC), invites eligible suppliers/ provide quote the lowest price on </t>
  </si>
  <si>
    <t xml:space="preserve"> Various Furniture’s See attached link under OTHER INFORMATION BOX</t>
  </si>
  <si>
    <t xml:space="preserve"> Attached herewith is the Request for Proposal and Bid Documents including Terms of Reference.</t>
  </si>
  <si>
    <t xml:space="preserve"> Attached herewith is the Request for Proposal and Bid Docs including Terms of Reference.</t>
  </si>
  <si>
    <t xml:space="preserve"> REMOVAL WORKS	 1	Removal of Existing Main Glass Door at Flores Hall (4 sets) and Hostel Main (2 sets) see plan for location	1 lot AUTOMATED DOOR SYSTEM	 2	12mm thk Tempered Glass with Automatic Door system accessories and installation at Flores Hall at Ho</t>
  </si>
  <si>
    <t xml:space="preserve"> Please see attached associated component of the Purchase Request.  Please email your quotations to ras1031@yahoo.com</t>
  </si>
  <si>
    <t xml:space="preserve"> BIDS AND AWARDS COMMITTEE (BAC) INVITATION TO BID The Department of Science and Technology (DOST), Regional Office No. IX, through its Bids and Awards Committee (BAC), invites qualified bidder to apply for eligibility and to bid for the “ Office Equipment</t>
  </si>
  <si>
    <t xml:space="preserve"> Construction of drainage canal P-3</t>
  </si>
  <si>
    <t xml:space="preserve"> Repair/rehabilittaion of pathway</t>
  </si>
  <si>
    <t xml:space="preserve"> see attached</t>
  </si>
  <si>
    <t xml:space="preserve"> Computer Ink-Clored/Black 36 bootles 385 13860 Bond paper-long 162 ream 210 34020 Bond paper-A4 162 ream 195 31590 USB/Flashdrive 16Gb 31 pcs 495 15345</t>
  </si>
  <si>
    <t xml:space="preserve"> Description of Work Item No. 1   Cow Building with drainage canal and septic vault Item No. 2   Silage Banker with Tent Item No. 3   Water System with pressurized motor Item No. 4   Chipping Building Item No. 5   Construction of Gate, Fence and Back filli</t>
  </si>
  <si>
    <t xml:space="preserve"> Thirty (30) sets Solar Kit See attached link under OTHER INFORMATION BOX</t>
  </si>
  <si>
    <t xml:space="preserve"> No.	"ITEM DESCRIPTION  (ITEM NAME &amp; TECHNICAL SPECIFICATIONS)"	QTY.	UNIT	UNIT COST	APPROVED BUDGET OF CONTRACT (ABC)	 						 	Thorough disinfection of DENR-NCR	1	lot	₱100,000.00	 Php100,000.00 	 	NEC building  - 2,000 sqm.				  	 - Basic Clean &amp; Disinfect</t>
  </si>
  <si>
    <t xml:space="preserve"> Rehabilitation of drainage canal</t>
  </si>
  <si>
    <t xml:space="preserve"> No.	"ITEM DESCRIPTION  (ITEM NAME &amp; TECHNICAL SPECIFICATIONS)"	QTY.	UNIT	UNIT COST	APPROVED BUDGET OF CONTRACT (ABC)	 						 1	ABC Dry Chemical Fire Extinguisher 6lbs	2	pcs	₱2,250.00	 Php4,500.00 	 2	Automatic Emergency Light	4	pcs	₱2,875.00	 Php11,500.00</t>
  </si>
  <si>
    <t xml:space="preserve"> see attached file</t>
  </si>
  <si>
    <t xml:space="preserve"> Procurement of Medical Supplies Lot 2</t>
  </si>
  <si>
    <t xml:space="preserve"> Procurement of Medical Supplies Lot 1</t>
  </si>
  <si>
    <t xml:space="preserve"> 1.	The Bureau of Jail Management and Penology Regional Office CALABARZON (BJMPRO-CALABARZON) through the General Appropriation Act GAA2020   intends to apply the sum of One Million Five Hundred Thousand Pesos (Php1,500,000.00) being the Approved Budget fo</t>
  </si>
  <si>
    <t xml:space="preserve"> Solar Light – High quality solar energy components 60 watts high lumens LED lighting for more than 10 hrs-triple waterproof ABS plastic materials body prevent vast in rain.</t>
  </si>
  <si>
    <t xml:space="preserve"> Please quote your lowest price inclusive of VAT on the item listed below subject for term and conditions of this RFQ and submit your quotation duly signed by your representative not later than July 6, 2020 You may Contact our bac committee:  Hennie Jane O</t>
  </si>
  <si>
    <t xml:space="preserve"> INVITATION TO BID Purchase of 1 Unit 3TR FLOOR MOUNTED AIRCON The Local Government Unit of Barangay Labangal, General Santos City, through the Barangay Fund, intends to apply the sum of Ninety Thousand Pesos Only (P90,000.00) being the Approved Budget for</t>
  </si>
  <si>
    <t xml:space="preserve"> Procurement of Tuberculosis Personal Protective Equipment</t>
  </si>
  <si>
    <t xml:space="preserve"> PLEASE SEE ATTACHMENT</t>
  </si>
  <si>
    <t xml:space="preserve"> Republic  of  the  Philippines  Province  of  Marinduque MUNICIPALITY  OF  GASAN INVITATION TO BID FOR  PURCHASE OF  FOOD COMMODITIES  FOR SUPPLEMENTARY FEEDING 1.	The Municipality of Gasan, through  General Fund CY 2020, Trust Liabilities and  Gender and</t>
  </si>
  <si>
    <t xml:space="preserve"> I. Excavation:    A. LABOR:            1 Foreman  4 days            4 Laborers  4 days                           Direct Cost            15% O.C.M.            10% Profit             5% V.A.T. II. C.H.B. Laying, Plastering and Canal Cover             Canal </t>
  </si>
  <si>
    <t xml:space="preserve"> 1	GG Net			6	rolls	30,000.00 2	Monofilament #200			10	kgs	4,000.00 3	Monofilament #100			15	kgs	4,500.00 4	Wooden Stakes			100	pcs	15,000.00 5	Styro box (medium)			10	pcs	3,000.00 						 						 	Total					56,500.00</t>
  </si>
  <si>
    <t xml:space="preserve"> medical, dental and laboratory supplies</t>
  </si>
  <si>
    <t xml:space="preserve"> ASPHALT CEMENT &amp; EMULSIFIED ASPHALT      Asphalt Cement 60/70      ---------------------------------------------------------------  15 drums      Emulsified Asphalt SS-1      --------------------------------------------------------------  5 drums - All en</t>
  </si>
  <si>
    <t xml:space="preserve"> Various Appliance  See attached link under OTHER INFORMATION BOX</t>
  </si>
  <si>
    <t xml:space="preserve"> Republic of the Philippines Province of Iloilo BIDS AND AWARDS COMMITTEE INVITATION TO BID Purchase of Construction Supplies and Materials Bid No. AGR-20-0594-B-Rebid 1. The Iloilo Provincial Government, through the    General Fund 2020 intends to apply t</t>
  </si>
  <si>
    <t xml:space="preserve"> INVITATION TO BID Completion of Manpower Development Center at Purok Bulaong Phase 2, Brgy. Labangal The Local Government Unit of Barangay Labangal, General Santos City, through the Barangay Fund, intends to apply the sum One Hundred Twenty Thousand Eight</t>
  </si>
  <si>
    <t xml:space="preserve"> 6 pcs G.I. Tubular 2" x 2" x 1.5mm 2 bxs Welding Rod 5 pcs Flat bar 2" x 3/16" 1 lot Stairs tempered Glass with Complete Accessories 1190 bd.ft. Assorted Good lumber (2" thick Narra Wood step) 5 kls Assorted nails 360 pcs Wood Screw 10 gals Wood Glue 6 ga</t>
  </si>
  <si>
    <t xml:space="preserve"> INVITATION TO BID (GENERAL SANTOS CITY AREA ONLY) Purchase of 249PCS CUSTOMIZED POLO SHIRTS W/ EMBROIDERED BRGY. LOGO The Local Government Unit of Barangay Labangal, General Santos City, through the Barangay Fund, intends to apply the sum of One Hundred F</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</si>
  <si>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</si>
  <si>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Procurement of Qualitative Fit Test Kit for N95</t>
  </si>
  <si>
    <t xml:space="preserve"> Long Bond Paper, A 4 Bond Paper, Ink Refill (Black), Ink Refill (Magenta), Ink Refill (Cyan), Ink Refill ( Yellow)</t>
  </si>
  <si>
    <t xml:space="preserve"> Bond Paper Long, Sub 20	15 reams Bond Paper Short, Sub 20	15 reams Folder, White, Long	100 pcs Folder, White, Short	100 pcs  EPSON T644-1(Cyan)	2 bottles EPSON T644-1(Black)	5 bottles EPSON T644-1(Yellow)	2 bottles EPSON T644-1(Magenta)	2 bottles Highligh</t>
  </si>
  <si>
    <t xml:space="preserve"> POLY ALUMINUM CHLORIDE  (PAC) Powder     ----------------------------------------------  50 bags    29% - 30% Alumina Content    White Powder Note: Must submit 100 grams sample during opening of bids. - All entries must be typewritten. - Delivery Period: </t>
  </si>
  <si>
    <t xml:space="preserve"> 1	Labelling pen (S)			10	piece	800.00					 2	Labelling pen (M)			10	piece	1,000.00					 3	Distilled Water 6L			20	bottle	2,800.00					 4	Bleach (250ml)			12	bottle	480.00					 5	Flat shader brush #12			10	piece	1,200.00					 6	Flat shader brush #8			10	pi</t>
  </si>
  <si>
    <t xml:space="preserve"> 1	Shoes			20	pair	10,000.00 2	Jogging pants &amp; shirt (good quality)			20	set	30,000.00 3	face towel			20	pcs	2,000.00 4	Weighing scale (flat)			1	pc	2,000.00 5	badminton			2	sets	6,000.00 						 						 	Total					50,000.00</t>
  </si>
  <si>
    <t xml:space="preserve"> Procurement of Personal Protective Equipment</t>
  </si>
  <si>
    <t xml:space="preserve"> Cash Advance request for  Cawayan E/S-     P122,440.16 Cash Advance request for Pangyan E/S-       P  65,000.00 Cash Advance request for Lorenzo E/S-        P  60,000.00 Total Amount                                              P244,440.16</t>
  </si>
  <si>
    <t xml:space="preserve"> INVITATION TO BID Completion of Manpower Development Center at Purok Doña Soledad Phase 1-East, Brgy. Labangal The Local Government Unit of Barangay Labangal, General Santos City, through the Barangay Fund, intends to apply the sum Two Hundred Eighty Thre</t>
  </si>
  <si>
    <t xml:space="preserve"> 75mmØ C.I. Sleeve Type Flexible Coupling, (PVC) 75mm Ø C.I. Body Gate Valve, PN16, M/M 75mmØ x 75mmØ C.I. Tee, M/M 50mmØ x 50mmØ C.I. Tee, M/M Flexible Coupling (PE) 75mmØ C.I. Mechanical End Cap 150mmØ x 6.00m PVC Pipe 150mmØ C.I. Valve Box Cover w/o Tel</t>
  </si>
  <si>
    <t xml:space="preserve"> Repair of Vertical Type Steam Boiler					 1	Repair of Smokestacks of Boiler			1	unit	60,000.00 2	Scaling of Boiler			1	UNIT	120,000.00 3	Replacement of Firing Sensor			1	UNIT	15,000.00 4	Replacement of Burner Controller			1	UNIT	25,000.00 						 						 	T</t>
  </si>
  <si>
    <t xml:space="preserve"> Procurement of Fetal Doppler</t>
  </si>
  <si>
    <t xml:space="preserve"> Procurement of Disinfection Equipment Package</t>
  </si>
  <si>
    <t xml:space="preserve"> FOR NFA REGIONAL OFFICE 02</t>
  </si>
  <si>
    <t xml:space="preserve"> The Department of Agriculture-RFO 3, invites interested suppliers to submit quotations/proposals for the hereunder requirement, to wit: Animal/Farm Supplies/Supplements	 45	bag	        Rice Bran, D1 (50 kg/bag)	 20	bag	        Goat Grower Pellet	 20	bottl</t>
  </si>
  <si>
    <t xml:space="preserve"> 5 units Hand Held Radio See attached complete specification</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</si>
  <si>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</si>
  <si>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MEALS &amp; SNACKS -350 PAX 2020 SCHOLAR APPLICANT'S INTERVIEW Php 63,000.00</t>
  </si>
  <si>
    <t xml:space="preserve"> Procurement of General Equipment Package Lot 4</t>
  </si>
  <si>
    <t xml:space="preserve"> Republic of the Philippines CITY OF PANABO Province of Davao del Norte BIDS AND AWARDS COMMITTEE -o0o- INVITATION TO BID  SUPPLY OF CONSTRUCTION MATERIALS 1.	The City of Panabo, through CEEMDO-MARKET/REHABILITATION OF QUEZON ST. CORNER QUIRINO ST TO J.P. </t>
  </si>
  <si>
    <t xml:space="preserve"> Procurement of General Equipment Package Lot 3</t>
  </si>
  <si>
    <t xml:space="preserve"> For Flexible Learning use. Republic of the Philippines Technical Education and Skills Development Authority PROVINCE OF BILIRAN Cabucgayan National School of Arts and Trades Libertad, Cabucgayan, Biliran Email Address: tesdacnsat@yahoo.com Please quote yo</t>
  </si>
  <si>
    <t xml:space="preserve"> 1) Rehabilitation of Road at Rizal-Beberon 2) Road Concreting at San Joaquin 3) Road Opening at Alianza - San Joaquin with Box Culvert 4) Road Opening at Buenavista - Lupi</t>
  </si>
  <si>
    <t xml:space="preserve"> 1) Construction of Bridge at Sta. Cruz (Bgy. Sta. Cruz) 2) Road Concreting at Beberon (Bgy. Beberon) 3) Road Improvement at Pamukid (Bgy. Pamukid)</t>
  </si>
  <si>
    <t xml:space="preserve"> Procurement of Radiologic Package</t>
  </si>
  <si>
    <t xml:space="preserve"> Republic of the Philippines Province of Cotabato Municipality of Mlang BIDS AND AWARDS COMMITTEE INVITATION TO BID            The Municipal Government of M’LANG intends to apply the sum of  FIVE HUNDRED THOUSAND PESOS ONLY (P500,000.00) being the Approved</t>
  </si>
  <si>
    <t xml:space="preserve"> Republic of the Philippines							 PROVINCE OF ZAMBOANGA SIBUGAY							 Municipality of Talusan							 -7012-							 							 							 MUNICIPAL BIDS AND AWARDS  COMMITTEE							 REQUEST FOR QUOTATION							 SMALL VALUE PROCUREMENT							 NOTICE TO THE PUBL</t>
  </si>
  <si>
    <t xml:space="preserve"> Procurement of General Equipment Package Lot 2</t>
  </si>
  <si>
    <t xml:space="preserve"> The Department of Agriculture-RFO 3, invites interested suppliers to submit quotations/proposals for the hereunder requirement, to wit: Seeds (LOT 1 - P71,850.00)	 3	pouch	Okra, OPV, 1kg/pouch	 5	can	        Squash, OPV, thick flesh, matures at 85-90 days</t>
  </si>
  <si>
    <t xml:space="preserve"> Republic of the Philippines BIDS AND AWARDS COMMITTEE Province of Iloilo Invitation to Bid Purchase of Office Supplies Bid No.ADH-20-0303-B 1. The Iloilo Provincial Government, through the 2020 GENERAL FUNDS intends to apply the sum of THREE HUNDRED EIGHT</t>
  </si>
  <si>
    <t xml:space="preserve"> CANON MF735 TONER			8	set	144,000.00 CRG046-CY - Cyan					 CRG046-MG - Magenta					 CRG046-YE - Yellow					 CRG046-BK - Black					 					 Total					144,000.00</t>
  </si>
  <si>
    <t xml:space="preserve"> Republic of the Philippines BIDS AND AWARDS COMMITTEE Province of Iloilo Invitation to Bid Purchase of Housekeeping Supplies Bid No.ADH-20-0304-B 1. The Iloilo Provincial Government, through the 2020 GENERAL FUNDS intends to apply the sum of SEVEN HUNDRED</t>
  </si>
  <si>
    <t xml:space="preserve"> Procurement of O2 Equipment Lot</t>
  </si>
  <si>
    <t xml:space="preserve"> Procurement of Laboratory Equipment Lot 1</t>
  </si>
  <si>
    <t xml:space="preserve"> Republic of the Philippines BIDS AND AWARDS COMMITTEE Province of Iloilo Invitation to Bid Purchase of Medical Supplies Bid No.ADH-20-0210-B 1. The Iloilo Provincial Government, through the 2020 GENERAL FUNDS intends to apply the sum of ONE MILLION FIVE H</t>
  </si>
  <si>
    <t xml:space="preserve"> Procurement of Hepa Filter</t>
  </si>
  <si>
    <t xml:space="preserve"> Procurement of General Equipment Package Lot 1</t>
  </si>
  <si>
    <t xml:space="preserve"> Procurement of General Equipment Package Lot 6</t>
  </si>
  <si>
    <t xml:space="preserve"> Procurement of General Equipment Package Lot 5</t>
  </si>
  <si>
    <t xml:space="preserve"> Procurement of Newborn Hearing Screening Test Kit</t>
  </si>
  <si>
    <t xml:space="preserve"> Republic of the Philippines CITY OF PANABO Province of Davao del Norte BIDS AND AWARDS COMMITTEE -o0o- INVITATION TO BID  SUPPLY OF INTEGRATED EARLY WARNING SYSTEM-PHASE 1 1.	The City of Panabo, through CDRRMC/DISASTER MITIGATION-70% CDRRMF 2020 intends t</t>
  </si>
  <si>
    <t xml:space="preserve"> Republic of the Philippines BIDS AND AWARDS COMMITTEE Province of Iloilo Invitation to Bid Purchase of Medical Supplies Bid No.ADH-20-0209-B 1. The Iloilo Provincial Government, through the 2020 GENERAL FUNDS intends to apply the sum of NINE HUNDRED FIFTY</t>
  </si>
  <si>
    <t xml:space="preserve"> Republic of the Philippines CITY OF PANABO Province of Davao del Norte BIDS AND AWARDS COMMITTEE -o0o- INVITATION TO BID  SUPPLY OF SCHOOL SUPPLIES 1.	The City of Panabo, through CSWDO/OTHER SUPPLIES &amp; MATERIALS EXPENSES FOR TULOY ARAL AT KAAGAPAY SA PAG-</t>
  </si>
  <si>
    <t xml:space="preserve"> Republic of the Philippines BIDS AND AWARDS COMMITTEE Province of Iloilo Invitation to Bid Purchase of Laboratory Supplies Bid No.ADH-20-0299-B(REBID) 1. The Iloilo Provincial Government, through the 2020 GENERAL FUNDS intends to apply the sum of ONE HUND</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</si>
  <si>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</si>
  <si>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Republic of the Philippines CITY OF PANABO Province of Davao del Norte BIDS AND AWARDS COMMITTEE -o0o- INVITATION TO BID  SUPPLY OF RICE 1.	The City of Panabo, through PNP/OTHER MOE-MOOE 2020 intends to apply the sum of One Hundred Eighty Seven Thousand P</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</si>
  <si>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</si>
  <si>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Procurement of Laboratory Equipment Lot 2</t>
  </si>
  <si>
    <t xml:space="preserve"> Procurement of Ultrasound Machine 4D</t>
  </si>
  <si>
    <t xml:space="preserve"> The Department of Agriculture-RFO 3, invites interested suppliers to submit quotations/proposals for the hereunder requirement, to wit: Animal Supplies	 250	pack	Milk replacer for goats (1kg/pack)	 Feeds	 24	bag	Rice Bran, D1, 50 kg/bag	 16	bag	Copra Meal</t>
  </si>
  <si>
    <t xml:space="preserve"> The National Center for Mental Health (NCMH) is inviting all Phil-GEPS registered to apply the Invitation to Bid for the Public Re-Bidding for Supply and Delivery of Office Supplies and Forms CY 2020. (Please see List of Item for Complete Technical Specif</t>
  </si>
  <si>
    <t xml:space="preserve"> The National Center for Mental Health (NCMH) is inviting all Phil-GEPS registered to apply the Invitation to Bid for the Public Re-Bidding for Supply and Delivery of Office Tables and Chairs (Pavilion 2) CY 2019. (Please see List of Item for Complete Tech</t>
  </si>
  <si>
    <t xml:space="preserve"> Procurement of Medical Instrument Package</t>
  </si>
  <si>
    <t xml:space="preserve"> REQUEST FOR EXPRESSION OF INTEREST FOR Subsurface Exploration/Geotechnical Survey of Proposed FY @2021 Bridges Projects, Bataan 1st District,  ID No. 20CSCA0001                  1.	The DPWH-Bataan  1st  District Engineering Office, through the  FY-2020 Pr</t>
  </si>
  <si>
    <t xml:space="preserve"> Procurement of Special Equipment Package Lot 3</t>
  </si>
  <si>
    <t xml:space="preserve"> pls see attached RFQ</t>
  </si>
  <si>
    <t xml:space="preserve"> Republic of the Philippines CITY OF PANABO Province of Davao del Norte BIDS AND AWARDS COMMITTEE -o0o- INVITATION TO BID  SUPPLY OF OUTBOARD MACHINE 1.	The City of Panabo, through CMO-CDRRMO/TRUST FUND 03-CALAMITY FUND 2018 intends to apply the sum of Fiv</t>
  </si>
  <si>
    <t xml:space="preserve"> Procurement of Special Equipment Package Lot 2</t>
  </si>
  <si>
    <t xml:space="preserve"> Procurement of Special Equipment Package Lot 1</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</si>
  <si>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</si>
  <si>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P.R. No. 076-2020 1.	2 unit Brand new Multi Tilling Machine (main implements: Rotavator, Deep, Plow, Paddle Wheel, Ditcher, Auger Blade and Paddy Cultivator) Specifications:  CHV Air Cooled Gasoline Engine, Dimensions: 197 x 80 x 107 cm 75 kg net weight, </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</si>
  <si>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</si>
  <si>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Republic of the Philippines Province of Cavite City of General Trias Invitation to Bid for  Project Reference No. INFR-20-019– CONSTRUCTION OF BRIDGE (LENGTH 55.00 m) PHASE II, CONNECTING BARANGAY SANTIAGO TO BARANGAY BUENAVISTA I, CITY OF GEN. TRIAS, CAV</t>
  </si>
  <si>
    <t xml:space="preserve"> Lot A - School Supplies</t>
  </si>
  <si>
    <t xml:space="preserve"> REPRESENTATION EXPENSES</t>
  </si>
  <si>
    <t xml:space="preserve"> Procurement of Special Equipment Package Lot 4</t>
  </si>
  <si>
    <t xml:space="preserve"> 1	Asymmetric &amp; Symmetric 2 Post Carlift 9,000 lbs with Training on the right/proper use of equipment	1	pc	 132,000.00  2	Wheel Alignment too can read caster, camber, and toe. With four clamps where in it is wireless, rechargeable, and has a clamping range</t>
  </si>
  <si>
    <t xml:space="preserve"> Republic of the Philippines BIDS AND AWARDS COMMITTEE Province of Iloilo Invitation to Bid Purchase of Drugs and Medicines Bid No.ADH-20-0208-B 1. The Iloilo Provincial Government, through the 2020 GENERAL FUNDS intends to apply the sum of ONE MILLION TWO</t>
  </si>
  <si>
    <t xml:space="preserve"> Contract Name: Improvement/Rehabilitation of Local Road Contract Location: Silangan, Santa Maria, Bulacan Source of Fund: General Fund Approved Budget for the Contract (ABC): Php 2,000,000.00 Contract Duration: 45 calendar days Cost of Bidding Documents: </t>
  </si>
  <si>
    <t xml:space="preserve"> A) REQUEST FOR QUOTATION 1. 20 pcs 1” x 2” x 10’ Wd. S4S kd. Tang. 2. 1 kg 1” Finishing Nail  3. 1 kg 2” Finishing Nail 4. 1 ¼ kg 2” Common wire nails 5. 2 ½ kg 3” Common wire nails 6. ½ kg 3” Concrete nails 7. 56 pcs 2” x 4” x 12’ Wd. S4S Kd. Tang. 8. 3 </t>
  </si>
  <si>
    <t xml:space="preserve"> Republic of the Philippines City of Las Piñas -o0o- BIDS AND AWARDS COMMITTEE INVITATION TO APPLY FOR ELIGIBILITY AND TO BID 	The City of Las Piñas, through its Bids and Awards Committee (BAC) invites interested contractors registered with and classified </t>
  </si>
  <si>
    <t xml:space="preserve"> (Office tables and chairs) P.R. No. 75-2020 1. 1 pc. 1.6 m Wooden Black Table with detachable 6 drawers and lock (Executive table) 2. 1 pc. 1.4 m Wooden Black Table with 3 drawers and lock 3. 2 pcs 120 cm Wooden Black Table with 3 drawers and lock 4. 1 pc</t>
  </si>
  <si>
    <t xml:space="preserve"> Contract Name: Improvement/Rehabilitation of Local Road Contract Location: San Vicente, Santa Maria, Bulacan Source of Fund: General Fund Approved Budget for the Contract (ABC): Php 3,000,000.00 Contract Duration: 45 calendar days Cost of Bidding Document</t>
  </si>
  <si>
    <t xml:space="preserve"> Diesel- 4,000 liters</t>
  </si>
  <si>
    <t xml:space="preserve"> Quantity       Unit of Issue       Item Description      1                   lot               Supply of materials, labor and equipment NAME OF PROJECT/LOCATION - Rehabilitation &amp; improvement of barangay waterwork system at Barangay San Pablo, Bauan, Bata</t>
  </si>
  <si>
    <t xml:space="preserve"> Quantity       Unit of Issue       Item Description      1                   lot               Supply of materials, labor and equipment NAME OF PROJECT/LOCATION - Widening of road at Barangay Sinala, Bauan, Batangas CONTRACT REF. NO. – BInfr-2020-09 DESCR</t>
  </si>
  <si>
    <t xml:space="preserve"> Quantity       Unit of Issue       Item Description      1                   lot               Supply of materials, labor and equipment NAME OF PROJECT/LOCATION - Concreting of road at Barangay Alagao, Bauan, Batangas CONTRACT REF. NO. – BInfr-2020-08 DES</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</si>
  <si>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</si>
  <si>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Contract Name: Improvement/Rehabilitation of Local Road Contract Location: Catmon, Santa Maria, Bulacan Source of Fund: General Fund Approved Budget for the Contract (ABC): Php 1,800,000.00 Contract Duration: 45 calendar days Cost of Bidding Documents: Ph</t>
  </si>
  <si>
    <t xml:space="preserve"> NCR-2007-001: PROCUREMENT OF STEEL OPEN SHELVES •	Quotations must be addressed to Ms. Angellyn B. Dionisio, Procurement Unit Head •	Deadline for the submission of quotations shall be on or before July 6, 2020 •	Price quoted shall be inclusive of VAT •	Tot</t>
  </si>
  <si>
    <t xml:space="preserve"> NBC-0220-083</t>
  </si>
  <si>
    <t xml:space="preserve"> ***Please see attached</t>
  </si>
  <si>
    <t xml:space="preserve"> LOT 1:	Meals, Snacks, and Accommodation for two (2) days consisting of menu servings as follows:			 20	pax	Breakfast, AM Snacks, Lunch, PM Snacks, Dinner, Accommodation (DAY 1)			 20	pax	Breakfast, AM Snacks, Lunch, PM Snacks (DAY 2)			 			 		 	LOT 2:	Mea</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</si>
  <si>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</si>
  <si>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LOT 1:	Meals, Snacks, and Accommodation for two (2) days consisting of menu servings as follows:			 28	pax	Breakfast, AM Snacks, Lunch, PM Snacks, Dinner, Accommodation (DAY 1)			 28	pax	Breakfast, AM Snacks, Lunch, PM Snacks (DAY 2)	 		LOT 2:	Meals, Snac</t>
  </si>
  <si>
    <t xml:space="preserve"> 150 boxes Amlodipine 5mg 150 boxes Amlodipine 10mg 150 boxes losartan 50mg 100 boxes metformin 500mg</t>
  </si>
  <si>
    <t xml:space="preserve"> medical supplies</t>
  </si>
  <si>
    <t xml:space="preserve"> For procurement of goods for the construction of canal along Precilo Bawingan to Moises Domepnas at Patiacan, Quirino, Ilocos Sur</t>
  </si>
  <si>
    <t xml:space="preserve"> TERMS AND CONDITIONS								 SHOPPING								 1.	Fill-up all entries legibly; typewritten or handwritten.							 2.	Submit the photocopy of the following documents prior to payment:							 	     a. Mayor's Business Permit - 2020							 	     b. PhilGEPS C</t>
  </si>
  <si>
    <t xml:space="preserve"> LOT 1:	Meals, Snacks, and Accommodation for two (2) days consisting of menu servings as follows:			 30	pax	Breakfast, AM Snacks, Lunch, PM Snacks, Dinner, Accommodation (DAY 1)			 30	pax	Breakfast, AM Snacks, Lunch, PM Snacks (DAY 2)			 		 	LOT 2:	Meals, </t>
  </si>
  <si>
    <t xml:space="preserve"> LOT 1:	Meals, Snacks, and Accommodation for two (2) days consisting of menu servings as follows:			 8	pax	Breakfast, AM Snacks, Lunch, PM Snacks, Dinner, Accommodation (DAY 1)			 8	pax	Breakfast, AM Snacks, Lunch, PM Snacks (DAY 2)	 	LOT 2:	Meals, Snacks,</t>
  </si>
  <si>
    <t xml:space="preserve"> INVITATION TO QUOTE Date:  July 01, 2020 1.	The Provincial Government of Davao del Sur, through its Bids and Awards Committee (BAC), invites all interested bidders/suppliers to quote for the following goods under Alternative Methods of Procurement (Small </t>
  </si>
  <si>
    <t xml:space="preserve"> Calibration of Laboratory Equipments					 1	Calibration of pH meter			1	set	14,000.00 2	Calibration of Top loading balance			1	set	14,000.00 3	Calibration of Viscometer			1	set	14,000.00 4	Calibration of Water bath			1	set	14,000.00 5	Calibration of Oven	</t>
  </si>
  <si>
    <t xml:space="preserve"> Contract Name: Improvement/Rehabilitation of Local Road Contract Location: J. Barcial St., Mag-asawang Sapa, Santa Maria, Bulacan Source of Fund: General Fund Approved Budget for the Contract (ABC): Php 1,500,000.00 Contract Duration: 45 calendar days Cos</t>
  </si>
  <si>
    <t xml:space="preserve"> PR No. 20061132 – Supply and Delivery of Police, Military&amp; Security Equipment for CNPJ Security Supplies Use 	 1.	The Provincial Government of Camarines Norte, through the General Fund-Capital Outlay CY 2020intends to apply the sum of One Million Five Hun</t>
  </si>
  <si>
    <t xml:space="preserve"> 1.	The Department of Public Works and Highways Regional Office XI, Davao City, through its Bids and Awards Committee (BAC), invites bidders to submit bids for the Infra projects funded under GAA FY 2020, to wit: Contract ID 	:	20L00057 Contract Name/Locat</t>
  </si>
  <si>
    <t xml:space="preserve"> ABC:  136,500.00                                                                              Quantity          Unit Cost       Total Cost 1st Batch:  10-14 August 2020 (5 days) No. of pax : 37                                                          185 </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</si>
  <si>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</si>
  <si>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1	1	unit	Laptop:	 			HP PAV X360 14inch	 			INTEL Core i7-8565U	 			NNVIDIA mx 130 4GB	 			8GBDDR4	 			1TB HDD + 128GB SSD	 			Windows 10	 			14" FHD Touch Screen	 2	1	unit	Laptop	 			Asus X412FL	 			FT 85IT/Grey	 			Intel Core i5	 			8265U	 			NVIDIA MX </t>
  </si>
  <si>
    <t xml:space="preserve"> ABC:  74,900.00                                                                                   Quantity          Unit Cost          Total Cost 1st Batch:  10-14 August 2020 (5 days) No. of pax : 21                                                       </t>
  </si>
  <si>
    <t xml:space="preserve"> Development of Seaweed-based Bioplastic					 1	Sodium Metabisulfare Food Grade 			1	kilo	1,100.00 2	Hydrochloric acid Food Grade			1	liter	10,000.00 3	Glycerine Food Grade			3	liter	3,000.00 4	Sodium Hydroxide Food Grade			1	kilo	10,000.00 5	Starch Food G</t>
  </si>
  <si>
    <t xml:space="preserve"> 1.	The Department of Public Works and Highways Regional Office XI, Davao City, through its Bids and Awards Committee (BAC), invites bidders to submit bids for the Infra projects funded under GAA FY 2020, to wit: Contract ID 	:	20L00142 Contract Name/Locat</t>
  </si>
  <si>
    <t xml:space="preserve"> various</t>
  </si>
  <si>
    <t xml:space="preserve"> ABC: 107,100.00                                                                                  Quantity          Unit Cost         Total Cost 1st Batch:  10-14 August 2020 (5 days) No. of pax : 20                                                         </t>
  </si>
  <si>
    <t xml:space="preserve"> DESCRIPTION	Unit	Qnty.	ABC Unit price ACU Outlet 3 prong with cover	set	15	300 Convenience outlet, surface mounted, 3 prongs	pc	20	250 Flat cord #16 AWG	pc	2	2500 Flat Cord laser type	pc	2	3200 Heavy Duty Plug	pc	50	30 Insulated Plastic tape, big	pc	10	35</t>
  </si>
  <si>
    <t xml:space="preserve"> Contract Name: Improvement/Rehabilitation of Local Road Contract Location: Main Road, Mag-asawang Sapa, Santa Maria, Bulacan Source of Fund: General Fund Approved Budget for the Contract (ABC): Php 1,500,000.00 Contract Duration: 30 calendar days Cost of </t>
  </si>
  <si>
    <t xml:space="preserve"> Republic of the Philippines BATANGAS STATE UNIVERSITY Batangas City REQUEST FOR QUOTATION "Procurement of Software and equipment to be use as additional resources for laboratory and research activities in various courses of the Straight Bachelors-Master(S</t>
  </si>
  <si>
    <t xml:space="preserve"> The Technical Education and Skills Development Authority (TESDA) Ilocos Sur, through the Procurement Division, will undertake a small value procurement in Construction of Flag Pole and Tables in Provincial Training Center - Candon City, in accordance with</t>
  </si>
  <si>
    <t xml:space="preserve"> ABC:   105,350.00                                                                                                            Quantity         Unit Cost         Total Cost Siniloan: 1st Batch:  10-14 August 2020 (5 days) No. of pax : 19                    </t>
  </si>
  <si>
    <t xml:space="preserve"> 34 pcs G.I Pipe S40 2</t>
  </si>
  <si>
    <t xml:space="preserve"> 1) Construction of Drainage at Bonifacio (Bgy. Bonifacio) 2) Nabunguan (Nabuungan) Road Widening (Bgy. Bocal) 3) Road Improvement at Poblacion (Bgys. Bonifacio, Del Pilar)</t>
  </si>
  <si>
    <t xml:space="preserve"> Contract Name: Construction of Drainage Canal Contract Location: Mag-asawang Sapa, Santa Maria, Bulacan Source of Fund: General Fund Approved Budget for the Contract (ABC): Php 2,000,000.00 Contract Duration: 60 calendar days Cost of Bidding Documents: Ph</t>
  </si>
  <si>
    <t xml:space="preserve"> Supply and delivery of various hardware materials		 WHITE FORMICA, 4 X 8	60	P600.00 Plywood, ¾” x 4 x 8	10	1,600.00 Liston, ½” x 2 x 10	65	100.00 Rugby	5	1,000.00 Finishing Nail, #1	2	100.00 Bolt and Nut, 1 ½” x 3/16	4	350.00 Paint thinner	3	350.00 Sand P</t>
  </si>
  <si>
    <t xml:space="preserve"> Contract Name: Construction of Drainage Canal Contract Location: Buenavista, Santa Maria, Bulacan Source of Fund: General Fund Approved Budget for the Contract (ABC): Php 1,200,000.00 Contract Duration: 45 calendar days Cost of Bidding Documents: Php 3,00</t>
  </si>
  <si>
    <t xml:space="preserve"> ABC:   92,750.00                                                                              Quantity         Unit Cost          Total Cost Magdalena 1st Batch:  10-14 August 2020 (5 days) No. of pax : 26                                                  </t>
  </si>
  <si>
    <t xml:space="preserve"> Contract Name: Construction of Drainage Canal Contract Location: Poblacion, Santa Maria, Bulacan Source of Fund: General Fund Approved Budget for the Contract (ABC): Php 1,500,000.00 Contract Duration: 60 calendar days Cost of Bidding Documents: Php 3,000</t>
  </si>
  <si>
    <t xml:space="preserve"> Supply and delivery 	 		 TELEVISION, SMART, 50” – 	1 UNIT	25,272.00 DSLR CAMERA, Branded, with 18-55mm and 55-200mm lens kit with tripod		1 unit	50,000.00 DSLR CAMERA, Branded, with 18-55mm lens kit		1 unit	26,460.00 Wilson 203 8” Floor Polisher	1 unit	26</t>
  </si>
  <si>
    <t xml:space="preserve"> Contract Name: Construction of Drainage Canal Contract Location: Bulac, Santa Maria, Bulacan Source of Fund: General Fund Approved Budget for the Contract (ABC): Php 3,000,000.00 Contract Duration: 75 calendar days Cost of Bidding Documents: Php 3,000.00</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</si>
  <si>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</si>
  <si>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Wide Format Printer, Office jet Pro-7720, All in one Printer,	CPAC	1 UNIT	14,190.00 Flashforge Creator Pro Dual Extrusion 3D Printer	CPAC	1 unit	55,000.00 Flatbed Scanner,  Canon P215LL	CPAC	2 unit	28,600.00 Contact Proof Printer, 35mm Paterson	CPAC	2 uni</t>
  </si>
  <si>
    <t xml:space="preserve"> Various Construction Supplies</t>
  </si>
  <si>
    <t xml:space="preserve"> Invitation for Negotiated Procurement CONSTRUCTION OF TWO STOREY TANOD OUTPOST (PHASE 1) ITB No.: 2019-009-001- NEGOTIATED PROCUREMENT (Sec.53.1) 1. The Brangay Maddarulug Norte of Enrile,Cagayan intends to apply the sum of Three Hundred Fifty thousand  P</t>
  </si>
  <si>
    <t xml:space="preserve"> Contract Name: Improvement of Multi-Purpose Covered Court Contract Location: Sta. Cruz, Santa Maria, Bulacan Source of Fund: General Fund Approved Budget for the Contract (ABC): Php 2,000,000.00 Contract Duration: 60 calendar days Cost of Bidding Document</t>
  </si>
  <si>
    <t xml:space="preserve"> AIRCON, 4HP (3TR) Split type, supply and installation		2 UNIT	80,000.00</t>
  </si>
  <si>
    <t xml:space="preserve"> ABC:   87,500.00                                                                        Quantity                 Unit Cost              Total Cost Pakil 1st Batch:  10-14 August 2020 (5 days) No. of pax : 24                                                </t>
  </si>
  <si>
    <t xml:space="preserve"> INVITATION TO BID (ITB)  Procuring Entity : BARANGAY LOCAL GOVERNMENT UNIT BARANGAY LIMBA, LA PAZ, LEYTE Title of Project : ROAD CONCRETING  Approved Budget of the Contract (AB) : Php 200,000.00 Area of Delivery : BARANGAY LIMBA, LA PAZ, LEYTE  Descriptio</t>
  </si>
  <si>
    <t xml:space="preserve"> Contract Name: Construction of Drainage Canal Contract Location: San Vicente, Santa Maria, Bulacan Source of Fund: General Fund Approved Budget for the Contract (ABC): Php 3,000,000.00 Contract Duration: 75 calendar days Cost of Bidding Documents: Php 3,0</t>
  </si>
  <si>
    <t xml:space="preserve"> ABC:    78,750.00                                                                                         Quantity     Unit Cost         Total Cost Luisiana: 1st Batch:  10-14 August 2020 (5 days) No. of pax : 20                                           </t>
  </si>
  <si>
    <t xml:space="preserve"> Invitation to Bid</t>
  </si>
  <si>
    <t xml:space="preserve"> Contract Name: Improvement of Multi-Purpose Covered Court Contract Location: Guyong, Santa Maria, Bulacan Source of Fund: General Fund Approved Budget for the Contract (ABC): Php 2,000,000.00 Contract Duration: 60 calendar days Cost of Bidding Documents: </t>
  </si>
  <si>
    <t xml:space="preserve"> 07062020-102 NOTICE FOR NEGOTIATED PROCUREMENT Publication: July 3, 2020 Closing: July 6, 2020 Name of Project	Purchase of Asphalt for Patching of Potholes around Vigan City Approved Budget for the Contract	 ₱180,000.00 Contract Period:	7 days Item No.	IT</t>
  </si>
  <si>
    <t xml:space="preserve"> INVITATION TO BID  FOR  Construction of Diversion Dams, Main Canals, Lateral A, Lateral B, Lateral B-1 &amp; Appurtenant Structures and Access Roads  of MAPANTAO COMMUNAL IRRIGATION SYSTEM MAPANTAO-LUBO COMMUNAL IRRIGATION SYSTEM BARARAY COMMUNAL IRRIGATION S</t>
  </si>
  <si>
    <t xml:space="preserve"> Contract Name: Purchase of Two (2) Units Garbage Truck Contract Location: LGU - Santa Maria, Bulacan Source of Fund: General Fund Approved Budget for the Contract (ABC): Php 2,400,000.00 Contract Duration: 15 calendar days Cost of Bidding Documents: Php 3</t>
  </si>
  <si>
    <t xml:space="preserve"> Republic of the Philippines Province of Cagayan LOCAL GOVERNMENT UNIT-MUNICIPALITY SOLANA, 3503 BIDS AND AWARDS COMMITTEE (BAC Invitation for submission of price quotation Rehabilitation of Municipal Gymnasium SVP # 2020-14 1.	The Municipal Government of </t>
  </si>
  <si>
    <t xml:space="preserve"> 1. The CITY GOVERNMENT OF CALAMBA through the Special Education Fund intends to apply the sum of PHP 11,463,210.00 being the Approved Budget for the Contract (ABC) to payments under the contract for: G-2020-408 Supply and Delivery of Furniture &amp; Fixtures </t>
  </si>
  <si>
    <t xml:space="preserve"> See attached.</t>
  </si>
  <si>
    <t xml:space="preserve"> Good day! The SBAC of IPONAN ELEMENTARY SCHOOL would like to invite any eligible suppliers to fill out the Request for Price Quotation to wit;         SCHOOL OFFICE SUPPLIES - Budget (Php 91,000.00) Line Item Nos 1-23               COVID-RESPONSE ITEMS - </t>
  </si>
  <si>
    <t xml:space="preserve"> Republic of the Philippines PROVINCE OF NUEVA ECIJA City of Palayan -oOo- BIDS AND AWARDS COMMITTEE  Request for Quotation for Supply and Delivery of Fuel for the use of Governor’s Office July 3, 2020 1.	The Provincial Government of Nueva Ecija (PGNE), th</t>
  </si>
  <si>
    <t xml:space="preserve"> 1. The CITY GOVERNMENT OF CALAMBA through the General Fund intends to apply the sum of PHP 2,897,820.00 being the Approved Budget for the Contract (ABC) to payments under the contract for: G-2020-413 Supply and Installation of Modular Partition City Human</t>
  </si>
  <si>
    <t xml:space="preserve"> Consultancy Services: Speaker/Consultant for 9 days		 		 Qualifications:		 Atleast a doctoral degree holder or a candidate for a doctoral degree		 Knowledgeable on Whole Brain Learning System		 Has an Experience being a consultant/speaker on outcome-based</t>
  </si>
  <si>
    <t xml:space="preserve"> The Technical Education and Skills Development Authority (TESDA) Ilocos Sur, through the Procurement Division, will undertake a small value procurement in Construction of Lavatories in Provincial Training Center - Candon City, in accordance with Section 5</t>
  </si>
  <si>
    <t xml:space="preserve"> Republic of the Philippines PROVINCE OF NUEVA ECIJA City of Palayan -oOo- BIDS AND AWARDS COMMITTEE  Request for Quotation for Supply and Delivery of Various Garden Tools &amp; Materials July 3, 2020 1.	The Provincial Government of Nueva Ecija (PGNE), through</t>
  </si>
  <si>
    <t xml:space="preserve"> Procurement of materials for the Installation of Combat wire at perimeter Fence and electrical supplies for the Lightnings and electricity of offices and tower at tarlac Provinvial Jail Installation of combat wires Lightning and electrical at TPJ offices </t>
  </si>
  <si>
    <t xml:space="preserve"> 1. The CITY GOVERNMENT OF CALAMBA through the Special Education Fund intends to apply the sum of PHP 6,334,830.00 being the Approved Budget for the Contract (ABC) to payments under the contract for: G-2020-389 Supply and Delivery of I.T. Equipment City Sc</t>
  </si>
  <si>
    <t xml:space="preserve"> Republic of the Philippines DEPARTMENT OF PUBLIC WORKS AND HIGHWAYS CAGAYAN 2ND DISTRICT ENGINEERING OFFICE Regional Office II Abulug, Cagayan July 1, 2020 INVITATION TO BID  The Cagayan 2nd District Engineering Office, Abulug, Cagayan, through its Bids a</t>
  </si>
  <si>
    <t xml:space="preserve"> 07062020-101 NOTICE FOR NEGOTIATED PROCUREMENT Publication: July 3, 2020 Closing: July 6, 2020 Name of Project	Purchase of Air-conditioning units for Quarantine Facility use at Playa De Oro Resort Approved Budget for the Contract	 ₱598,600.00 Contract Per</t>
  </si>
  <si>
    <t xml:space="preserve"> Contract Name: Supply and Delivery of Various Medicines Contract Location: Municipal Health Office, Santa Maria, Bulacan Source of Fund: General Fund Approved Budget for the Contract (ABC): Php 4,987,565.70 Contract Duration: 15 calendar days Cost of Bidd</t>
  </si>
  <si>
    <t xml:space="preserve"> Digital Copier, printer/scanner, heavy duty	CPAC	2 UNIT	49,280.00</t>
  </si>
  <si>
    <t xml:space="preserve"> 1. MASONRY WORKS 2. STEEL WORKS</t>
  </si>
  <si>
    <t xml:space="preserve"> 1. The National Food Authority (NFA) Palawan Provincial Office, through its Procurement Committee will undertake Procurement transaction for “Supply and Delivery of Administrative Facilities at NFA Palawan Provincial Office in Puerto Princesa City with th</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</si>
  <si>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</si>
  <si>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3 set CANOPY TENT (10.5FT X 18FT) 3 pcs. Canopy Tent S-400 45 pcs B.I Pipe 1/2 9 pcs B.I Pipe 3/4 2 pcs B.I Pipe 1 4 pcs B.I Pipe 1 1/4 3 pcs B.I Pipe 1 1/2 3 pcs Round Bar 12mm 3 pcs Flat Bar 1/4 X 3/4 1/2 pc Flat Bar 1/4 X 2 1/2 pc Angle Bar 3/16 X 1 1/</t>
  </si>
  <si>
    <t xml:space="preserve"> Conctract ID No.      :	19K00461 Conctract Name       : 	Construction of Brgy. Bubong Camalig FMR, Brgy. Bubing Camalig, Marantao, Lanao del Sur Conctract Location 	:	Lanao del Sur Scope of Work 	:	Road Concreting Appropriation          :	PHP 5,000,000.00</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</si>
  <si>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</si>
  <si>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Procurement of Information and Communication Technology Equipment for the GIS mapping for CMGP/PGRR projects desktop route shoot</t>
  </si>
  <si>
    <t xml:space="preserve"> OPENING OF BIDS IN DSWD FOR IX ZAMBOANGA CITY , DELIVERY IN DSWD FO IX ZC PROC.  FOR THE FF.: 9,400	Set	Eating Utensils	 		Table Spoon 	 		Fork 	 		Plate w/ 3 COMPARTMENT 	 		Bowl 	 		Drinking Tumbler	 		Specification:	 			 1. Table Spoon:Stainless, Not e</t>
  </si>
  <si>
    <t xml:space="preserve"> Republic of the Philippines Cordillera Administrative Region Province of Kalinga B A L B A L A N BARANGAY POBLACION Invitation to Apply for Eligibility and to Bid for the REHABILITATION OF POBLACION WATER WORKS SYSTEM, POBLACION, BALBALAN, KALINGA PROVINC</t>
  </si>
  <si>
    <t xml:space="preserve"> NOTICE TO THE PUBLIC REQUEST FOR PROPOSAL Purchase Request No: PUR20-06-0523 The Philippine General Hospital hereby informs the public that it will be procuring the following item/s through Small Value Procurement:			 	  400 pc Disposable non-woven isolat</t>
  </si>
  <si>
    <t xml:space="preserve"> Provision of food, venue and accommodation for 15 persons for the conduct of Training on Advance Diving Course in Puerto Galera, Oriental Mindoro on July 15-17, 2020 and August 5-7, 2020. Interested service provider shall submit the filled-up Request for </t>
  </si>
  <si>
    <t xml:space="preserve"> Supply and delivery:  MICROSCOPE, Screen Sterio, 2017 New Model 10 70x Large Platform 2MP edp, Model Number TXRV-200HD  	10 units	P40,000.00/UNIT</t>
  </si>
  <si>
    <t xml:space="preserve"> 10 sacks Powdered Milk (Spray Process, Grade A, Nonfat Dry Milk, made from Pasteurized Milk)               @ 25kg/sack</t>
  </si>
  <si>
    <t xml:space="preserve"> National Power Corporation INVITATION TO BID PUBLIC BIDDING 2020-0150 1.	The NATIONAL POWER CORPORATION (NPC), through       its        approved       Corporate Budget of CY 2020 intends to apply   the   sum   of (Please see schedule below) being the Appr</t>
  </si>
  <si>
    <t xml:space="preserve"> Provision of Services for the 6-day Training on Advance Diving Course on July 15, 2020 and August 5-7, 2020 for 12 persons in Puerto Galera, with inclusion of the following: 1. Advance Diving (24 Dives, 6 Days)     - July 15-17, 2020 - 12 dives/pax     - </t>
  </si>
  <si>
    <t xml:space="preserve"> BIDS AND AWARDS COMMITTEE (BAC) Email address: bacregion2@yahoo.com Telefax No.: (078) 304-0560 INVITATION TO BID ITB No.: 2020-07-25 The Department of Agriculture – Regional Field Office No. 02 (DA-RFO 02) through its Bids and Awards Committee (BAC) invi</t>
  </si>
  <si>
    <t xml:space="preserve"> Supply of Labor, Materials and Equipment for the Laying including Tapping of New Two (2) Units Water Line of the Hospital to the Provincial Water Works Main Line with Two (2) Inches in Diameter Pipe at La Torre Junction and Retrieval of Old Pipe</t>
  </si>
  <si>
    <t xml:space="preserve"> PURCHASE OF SUPPLIES FOR THE REPAIR AND MAINTENANCE OF WATER SYSTEM</t>
  </si>
  <si>
    <t xml:space="preserve"> Purpose: Purchase of additonal Office Furniture and Fixture for Regional Office.																 LOT 1	Executive table (Steel heavy duty)					5	pcs.	 7,900.00 								 																 						TOTAL		 7,900.00 								 LOT 2	Office chair (High back)					8	p</t>
  </si>
  <si>
    <t xml:space="preserve"> Purchase of Flood Light Location: Brgy. Malaruhatan Budget: 49,500.00 Source of Fund: SK Fund</t>
  </si>
  <si>
    <t xml:space="preserve"> PROCUREMENT OF IT EQUIPMENT FOR IMPROVEMENT OF NETWORK SECURITY, CONNECTIVITY, AND LAN OF VARIOUS UTLITY SYSTEM AND SPARE EQUIPMENT FOR WIRELESS CONNECTIONS OF ACWD MAIN AND POGO OFFICES 2 UNITS WEB SMART SWITCH (24 Port, Non-PoE, UBNT-US-24 compatible wi</t>
  </si>
  <si>
    <t xml:space="preserve"> REQUEST FOR QUOTATION No. SVP202007-008 Supply and Delivery of Diesel Fuel The Municipality of Catubig, N. Samar through the MOOE CY-2020 intends to apply the sum of One Hundred Ninety Thousand Pesos (Php190,000.00) being the Approved Budget for the Contr</t>
  </si>
  <si>
    <t xml:space="preserve"> Requesting for Quotation (RFQ) for PR No. 2006220  Interested suppliers are invited to submit Sealed Price Quotations for the above listed items. The Request for Quotation (RFQ) for may be obtained from Mr. Albert A. Camarillo City General Services Office</t>
  </si>
  <si>
    <t xml:space="preserve"> Republic of the Philippines BIDS AND AWARDS COMMITTEE Province of Iloilo Invitation to Bid PURCHASE OF MEDICAL EQUIPMENT Bid No. SDH-20-0769-B 1. The Iloilo Provincial Government, through the 2019, 20% IRA intends to apply the sum of SEVENTY-FIVE THOUSAND</t>
  </si>
  <si>
    <t xml:space="preserve"> Provincial Governor's Office Agusan del Norte</t>
  </si>
  <si>
    <t xml:space="preserve"> OPENING OF BIDS IN DSWD FIELD OFFICE IX, ZAMBOANGA CITY,, DELIVERY IN DSWD FO IX ZC PROCUREMENT FOR THE FF.: 188	SET	COOKING UTENSILS FOR BANGUN FEEDING IN 3 PROVINCES OF ARMM (BASILAN, SULU AND TAWI-TAWI)	 		 CASSEROLE/KALDERO	 		Specification:	 		Materi</t>
  </si>
  <si>
    <t xml:space="preserve"> Republic of the Philippines BIDS AND AWARDS COMMITTEE Province of Iloilo Invitation to Bid PURCHASE OF MEDICAL EQUIPMENT Bid No. SDH-20-0771-B 1. The Iloilo Provincial Government, through the 2019, 20% IRA intends to apply the sum of ONE HUNDRED TWO THOUS</t>
  </si>
  <si>
    <t xml:space="preserve"> Rehabilitation of day care center.</t>
  </si>
  <si>
    <t xml:space="preserve"> 2	Unit	Transport Chair 		Specs: 		With armrest, flip-up footrests, back push handles 		one touch central brake 		maneuverable wheels 		with chart holder, upright oxygen tank holder  		IV pole foley bag hooks 		padded seat 		lap belt Note: The Bid and Awar</t>
  </si>
  <si>
    <t xml:space="preserve"> Construction of pathway.</t>
  </si>
  <si>
    <t xml:space="preserve"> Notice For Negotiated Procurement The East Avenue Medical Center, through Bids and Awards Committee, invites bidders to apply for the Negotiated Procurement - Small Value of Tiles, Tile Adhesive and Tile Grout (see attached file for the specification and </t>
  </si>
  <si>
    <t xml:space="preserve"> Republic of the Philippines  Province of Eastern Samar Municipality of Salcedo Barangay 03, Poblacion INVITATION TO BID FOR THE  CONSTRUCTION OF BARANGAY STREET LIGHTS 1.	The Barangay 03, Poblacion, through the Barangay development fund 2020/Municipal aid</t>
  </si>
  <si>
    <t xml:space="preserve"> Republic of the Philippines Province of Cagayan Municipality of Solana -oOo- BIDS AND AWARDS COMMITTEE (BAC) Invitation for submission of price quotation Procurement and installation of closed circuit television (cctv) PNP &amp; BFP Stations 1.	The Municipal </t>
  </si>
  <si>
    <t xml:space="preserve"> Rehabilitation of multi-purpose hall.</t>
  </si>
  <si>
    <t xml:space="preserve"> 41 Sacks - Powdered Milk (Spray Process, Grade A, Nonfat Dry Milk, Made from Pasteurized Milk)                  @ 25kg/sack 50 Bags - Cellophane (for 1 kilo, durable, thick)</t>
  </si>
  <si>
    <t xml:space="preserve"> 1 Set Locked Proximal Tibial Plate (L Plate) Locked Proximal Tibial Plate (T Plate) Multiple Kwires (3-4), Cortical Locking Screws Cancellous Screws, 200cc Synthetic Bone Graft Large Fragment Set 1 Set Titanium Recon Nail Locking Screws 1 Set Tibia Lockin</t>
  </si>
  <si>
    <t xml:space="preserve"> Rehabilitation of health center.</t>
  </si>
  <si>
    <t xml:space="preserve"> Republic of the Philippines BIDS AND AWARDS COMMITTEE Province of Iloilo Invitation to Bid PURCHASE OF MEDICAL EQUIPMENT Bid No. SDH-20-0770-B 1. The Iloilo Provincial Government, through the 2019, 20% IRA intends to apply the sum of THIRTY-SIX THOUSAND P</t>
  </si>
  <si>
    <t xml:space="preserve"> OFFICE OF THE BIDS AND AWARDS COMMITTEE INVITATION TO BID NO. 92-20 Name of Project: Procurement of Hardware Materials used for Construction of Slaughterhouse @ Brgy. Honrado Socorro, SDN Source of Funds: Mun. 20% Development Fund The Municipality of Soco</t>
  </si>
  <si>
    <t xml:space="preserve"> Technical Consultant for the Documentation and Development of the Manual of Operation for the Registry of Barangay Inhabitants and Migrants (RBIM) Duration July to November 2020 (See attached Term of Reference TOR) Please attach quotation with the ff: 1. </t>
  </si>
  <si>
    <t xml:space="preserve"> Construction of health center.</t>
  </si>
  <si>
    <t xml:space="preserve"> Construction of footbridge</t>
  </si>
  <si>
    <t xml:space="preserve"> Estimation of the Effect of the COVID-19 Pandemic on Preventable Maternal Deaths and Unplanned Pregnancy thru a Research Institution Duration July to September 2020 (See attached Term of Reference TOR) Please attach quotation with the ff: 1. Curriculum Vi</t>
  </si>
  <si>
    <t xml:space="preserve"> Procurement of Office Supplies worth Php39,000.00</t>
  </si>
  <si>
    <t xml:space="preserve"> PROCUREMENT OF MEDICAL SUPPLIES &amp; PARAPHERNALIA</t>
  </si>
  <si>
    <t xml:space="preserve"> Construction of pathway and footbridge.</t>
  </si>
  <si>
    <t xml:space="preserve"> Procurement of Thermal Scanner worth Php7,500.00 Procurement of Cloth Face Masks with printed school logo worth Php15,000.00</t>
  </si>
  <si>
    <t xml:space="preserve"> Republic of the Philippines Province of Cagayan Municipality of Solana -oOo- BIDS AND AWARDS COMMITTEE (BAC) Invitation for submission of price quotation Purchase and installation of Roll up Blinds 1.	The Municipal Government of Solana, through the Genera</t>
  </si>
  <si>
    <t xml:space="preserve"> Construction of footbridge.</t>
  </si>
  <si>
    <t xml:space="preserve"> Earthworks Concreting works Rebar works Form works Masonry works Steel works Roofing works Plumbing works Painting works Tile works</t>
  </si>
  <si>
    <t xml:space="preserve"> Printing, Sorting and Binding of Learning Packets Paper Quality: A4, 70GSM Grade 7 Learner's Packets    (403 Students x 271 pages)= 109,213 pages Grade 8 Learner's Packets    (440 Students x 280 pages)= 123,200 pages Grade 9 Learner's Packets    (419 Stud</t>
  </si>
  <si>
    <t xml:space="preserve"> The National Center for Mental Health (NCMH) is inviting all Phil-GEPS registered to apply the Invitation to Bid for the Public Bidding for Supply and Delivery of Psychological Testing Forms and Booklets (Lot) CY 2019. (Please see List of Item for Complet</t>
  </si>
  <si>
    <t xml:space="preserve"> Formworks Concreting works Masonry works Steel works Roofing works Plumbing Painting Tile works Water Filter</t>
  </si>
  <si>
    <t xml:space="preserve"> Please quote your lowest price inclusive of VAT on the items listed below subject for the terms and conditions of the RFQ and submit your quotation duly signed by the representative not later than July 8 2020, At this award committee: Hennie Jane O. Allab</t>
  </si>
  <si>
    <t xml:space="preserve"> INVITATION TO BID  FOR  Construction of Main Canals, LMC, RMC, Lateral A, Lateral B &amp; Appurtenant Structures and Access  of NIOGPOLO COMMUNAL IRRIGATION SYSTEM &amp; KIANODAN COMMUNAL IRRIGATION SYSTEM Maguing, Lanao del Sur Contract Ref. No.: CW-LDS-INREMP-2</t>
  </si>
  <si>
    <t xml:space="preserve"> 1. The CITY GOVERNMENT OF CALAMBA through the LDRRM Fund intends to apply the sum of PHP 3,500,000.00 being the Approved Budget for the Contract (ABC) to payments under the contract for: G-2020-390 Supply and Delivery of Emergency Rescue Truck with Rubber</t>
  </si>
  <si>
    <t xml:space="preserve"> Republic of the Philippines Department of Education Region VI – Western Visayas  Division of Aklan District of Banga POLOCATE ELEMENTARY SCHOOL Polocate, Banga Aklan 	 REQUEST FOR QUOTATION (RFQ) Project No: DepED-RO6-D1-CONSTRUCTION MATERIALS-001-2020 Th</t>
  </si>
  <si>
    <t xml:space="preserve"> Procurement of Printers for Modules worth Php34,000.00</t>
  </si>
  <si>
    <t xml:space="preserve"> Learners Packet for Junior High School Students (Learning Modules) of SFMNHS for SY 2020-2021</t>
  </si>
  <si>
    <t xml:space="preserve"> INVITATION TO BID  FOR  Construction of Main Canals, LMC, RMC, Lateral A, Lateral B, Lateral C, Lateral D &amp; Appurtenant Structures  of PANGADAPUN COMMUNAL IRRIGATION SYSTEM GAMOT COMMUNAL IRRIGATION SYSTEM KARIGONGAN COMMUNAL IRRIGATION SYSTEM &amp; KILUGAY C</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</si>
  <si>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</si>
  <si>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Construction of pathway</t>
  </si>
  <si>
    <t xml:space="preserve"> PLEASE SEE ATTACHED COMPONENTS</t>
  </si>
  <si>
    <t xml:space="preserve"> Invitation to Bid for Installation of Streetlights  No. 2020-003 1. The Barangay Sumacab Sur, through the Annual Budget 2020(General Fund) Approved by the Sanggunian intends to apply the sum of One Hundred Thousand Pesos  (Php 100,000.00 ) being the Appro</t>
  </si>
  <si>
    <t xml:space="preserve"> Invitation to Bid for Road Concreting  No. 2020-002 1. The Barangay Dicarma, through the Annual Budget 2020(General Fund) Approved by the Sanggunian intends to apply the sum of Three Hundred Thousand Pesos  (Php 473,830.00 ) being the Approved Budget for </t>
  </si>
  <si>
    <t xml:space="preserve"> 3 PCS. MARINE PLYWOOD 1/2 10 BAGS CEMENT 2 PCS. MARINE PLYWOOD 3/4 2 KL NAIL #1 2 KL NAIL #2 2 KL NAIL #3 100 PCS JEALOUSY BLADES 15 PAIRS JEALOSY FRAME 8 PCS CORROGATED SHEET 4 CAN VULCASEAL 4 PCS DOORKNOB 6 PCS ORDINARY PLYWOOD 18 PCS FASHIA BOARD</t>
  </si>
  <si>
    <t xml:space="preserve"> 20 BAGS CEMENT 18 GAL. LATEX PAINT 18 GAL QDE PAINT  1 GAL. THINNER 7 PCS. PAINT BRUSH</t>
  </si>
  <si>
    <t xml:space="preserve"> 80 pcs. Face shield (adjustable) 500 pcs.. Face Shield  15 boxes Face Mask (surgical) 350 Face Mask (N-95) 5 boxes Disposable Latex Gloves 6 sets Foot Bath 4 gals. Hand Soap (Liquid) 20 packs Tissue Paper 4 Disinfectant (Sodium Hypochlorite) 20 gals. Alco</t>
  </si>
  <si>
    <t xml:space="preserve"> Provision of Printer For Modules worth Php17,000.00</t>
  </si>
  <si>
    <t xml:space="preserve"> Provision of Office Supplies worth Php16,600.00</t>
  </si>
  <si>
    <t xml:space="preserve"> Provision of Thermal Scanner worth Php8,000.00</t>
  </si>
  <si>
    <t xml:space="preserve"> 1 pc	Circuit Breaker, 3-Phase, 400A GE 600 m	Cable 125mm2 10 pcs	G.I. pipe 3”Ø 15 sets	Insulated Rack 3-Phase (for 125mm2 cable)</t>
  </si>
  <si>
    <t xml:space="preserve"> OFFICE OF THE BIDS AND AWARDS COMMITTEE INVITATION TO BID NO. 97-20 Name of Project: Procurement of Lumber &amp; Aggregates used for Construction of Brgy. Road @ P-1 Brgy. Dona Helene, Socorro, SDN Source of Funds: LGU 20% Development Fund The Municipality of</t>
  </si>
  <si>
    <t xml:space="preserve"> OFFICE OF THE BIDS AND AWARDS COMMITTEE INVITATION TO BID NO. 96-20 Name of Project: Procurement of Tarpaulin used for Construction of P-1 Brgy. Street @ Brgy. Del Pilar, Socorro, SDN Source of Funds: LGU 20% Development Fund The Municipality of Socorro t</t>
  </si>
  <si>
    <t xml:space="preserve"> OFFICE OF THE BIDS AND AWARDS COMMITTEE INVITATION TO BID NO. 94-20 Name of Project: Procurement of Lumber &amp; Aggregates used for Construction of P-1 Brgy. Street @ Brgy. Del Pilar, Socorro, SDN Source of Funds: LGU 20% Development Fund The Municipality of</t>
  </si>
  <si>
    <t xml:space="preserve"> Agricultural Training Institute Regional Training Center, MiMaRoPa (ATI-RTC-MiMaRoPa) invites interested bidders/suppliers to submit quotation/proposals for the here under requirement: Seminar on Organic Vegetable Production with Provision of Starter Kits</t>
  </si>
  <si>
    <t xml:space="preserve"> OFFICE OF THE BIDS AND AWARDS COMMITTEE INVITATION TO BID NO. 99-20 Name of Project: Procurement of Tarpaulin used for Construction of Brgy. Road @ P-1 Brgy. Dona Helene, Socorro, SDN Source of Funds: LGU 20% Development Fund The Municipality of Socorro t</t>
  </si>
  <si>
    <t xml:space="preserve"> CONSTRUCTION PROJECTS</t>
  </si>
  <si>
    <t xml:space="preserve"> OFFICE OF THE BIDS AND AWARDS COMMITTEE INVITATION TO BID NO. 98-20 Name of Project: Procurement of Hardware Materials used for Construction of Brgy. Road @ P-1 Brgy. Dona Helene, Socorro, SDN Source of Funds: LGU 20% Development Fund The Municipality of </t>
  </si>
  <si>
    <t xml:space="preserve"> PROJECT TITLE :CONCRETING OF ROAD AT SITIO LOURDES SOURCE OF FUND : BDF 2019 ABC (PhP) :1,000,000.00 PROJECT DURATION :60 Minimum Equipment Requirements: 1 unit Backhoe with Dozer 1 unit bar cutter 1 unit concrete saw 1 unit set of beam mold 1 unit Road R</t>
  </si>
  <si>
    <t xml:space="preserve"> REQUEST FOR QUOTATION												 SUPPLY AND DELIVERY OF OFFICE SUPPLIES												 SMALL VALUE PROCUREMENT												 												 INSTRUCTION:										              		 	1.	Supplies are required to read the instructions and fill all the blanks properl</t>
  </si>
  <si>
    <t xml:space="preserve"> Description   OFFICE OF THE BIDS AND AWARDS COMMITTEE INVITATION TO BID NO. 93-20 Name of Project: Procurement of Billboard used for Construction of Slaughterhouse @ Brgy. Honrado Socorro, SDN Source of Funds: Mun. 20% Development Fund The Municipality of</t>
  </si>
  <si>
    <t xml:space="preserve"> Agricultural Training Institute Regional Training Center, MiMaRoPa (ATI-RTC-MiMaRoPa) invites interested bidders/suppliers to submit quotation/proposals for the here under requirement:  Consolidated Agricultural Supplies of RICE Program for the month of A</t>
  </si>
  <si>
    <t xml:space="preserve"> Agricultural Training Institute Regional Training Center, MiMaRoPa (ATI-RTC-MiMaRoPa) invites interested bidders/suppliers to submit quotation/proposals for the here under requirement: Training Materials for the conduct of 2 Batches of FSTP Phase 1 and 1 </t>
  </si>
  <si>
    <t xml:space="preserve"> INVITATION TO BID FOR SUPPLY/DELIVERY OF CONSTRUCTION MATERIALS FOR REPAIR/REHABILITATION OF CHECKGATE # 2 &amp; CANALIZATION WORKS OF YABO FRANCIA CIS, Milaor, Camarines Sur (REBID 2) 1.	The  National Irrigation Administration-Camarines Sur Irrigation Manage</t>
  </si>
  <si>
    <t xml:space="preserve"> Request for Quotation			Date:		 			Quotation No.:		 2020-07-045-Jul  Company Name 					 					 Address					 					 	Please quote your lowest price on the items listed below, subject to the General Conditions ln the last				 page stating the shortest time of</t>
  </si>
  <si>
    <t xml:space="preserve"> 1	 set	Brake Shoe	 4	 pc	Wheel Bearing	 1	pc	Timing Belt</t>
  </si>
  <si>
    <t xml:space="preserve"> 20 REAMS BOOK PAPER SUBS 20 L 20 REAMS BOOK PAPER SUBS 20 S 16 BOT. ELMER'S GLUE 4 BOT EPSON INK 16 PCS DOUBLE ADHESSIVE TAPE 16 PCS. SCOTCH TAPE</t>
  </si>
  <si>
    <t xml:space="preserve"> 1	 set	Brake Pads</t>
  </si>
  <si>
    <t xml:space="preserve"> Agricultural Training Institute Regional Training Center, MiMaRoPa (ATI-RTC-MiMaRoPa) invites interested bidders/suppliers to submit quotation/proposals for the here under requirement: Training Supplies for the conduct of Training on Animal Health Care an</t>
  </si>
  <si>
    <t xml:space="preserve"> Republic of the Philippines PROVINCE OF ZAMBOANGA DEL SUR MUNICIPALITY OF LAKE WOOD REQUEST FOR QUOTATION The Local Government Unit of  Lake Wood, Zamboanga del Sur, through its Executive Services, will undertake a Small Value Procurement of Office Equipm</t>
  </si>
  <si>
    <t xml:space="preserve"> Agricultural Training Institute Regional Training Center, MiMaRoPa (ATI-RTC-MiMaRoPa) invites interested bidders/suppliers to submit quotation/proposals for the here under requirement: Agricultural Tools for Seminar on Urban Agriculture with Provision of </t>
  </si>
  <si>
    <t xml:space="preserve"> 29 rolls Tape Adhesive, size 1” double sided with foam  16 rolls Tape Adhesive, size 1” double sided without foam  19 rolls Tape Adhesive size 2” double sided with foam  27 rolls Tape Adhesive size 2” double sided without foam  1,916 pcs Ballpoint Pen, fi</t>
  </si>
  <si>
    <t xml:space="preserve"> Agricultural Training Institute Regional Training Center, MiMaRoPa (ATI-RTC-MiMaRoPa) invites interested bidders/suppliers to submit quotation/proposals for the here under requirement: Agricultural Tools for Seminar on Organic Vegetable Production with Pr</t>
  </si>
  <si>
    <t xml:space="preserve"> Agricultural Training Institute Regional Training Center, MiMaRoPa (ATI-RTC-MiMaRoPa) invites interested bidders/suppliers to submit quotation/proposals for the here under requirement: Agricultural Inputs for Seminar on Organic Vegetable Production with P</t>
  </si>
  <si>
    <t xml:space="preserve"> BRAND NEW RICE MILL                         1       LOT         997,000.00 Specificatiion: double pass rice mill 2 rice mill huller rice dehuller separator trnsmission, conveyor and shifter driven by 80 HPdiesel engine milling recovery not less than 65% o</t>
  </si>
  <si>
    <t xml:space="preserve"> VARIOUS MEDICAL SUPPLIES</t>
  </si>
  <si>
    <t xml:space="preserve"> Republic of the Philippines BIDS AND AWARDS COMMITTEE Province of Iloilo Invitation to Bid Purchase of Laboratory Supplies Bid No. FRT-20-0275-B 1. The Iloilo Provincial Government, through the GENERAL FUND 2020 intends to apply the sum of FOUR HUNDRED TW</t>
  </si>
  <si>
    <t xml:space="preserve"> ITEM DESCRIPTION AND SPECIFICATION 2-UNITS-COMPUTER DESKTOP Specification: - i7-9700K Processor, 3.6 GHZ (12M Cache, up to 4.9 GHz)    -11 GB GDRR6 Video Card -16 GB x 2 (32GB) DDR4 2 DDR4 2666MHz RAM -512 GB M.2 SSD + 2TB 2.5 HDD -Hot Swap SSD Tray -Bund</t>
  </si>
  <si>
    <t xml:space="preserve"> Implementation of the above-mention projects  which includes labor ang materials base on approved plans and program of works.</t>
  </si>
  <si>
    <t xml:space="preserve"> *CONSTRUCTION OF MULTI-PURPOSE BUILDING SPL I - PROVISION FOR SAFETY AND HEALTH       1.0 LOT SPL II -  SIGNAGES             1.0 LOT I - CONCRETE WORKS          1.20 CU.M II - STEEL WORKS               421.80 KGS III - MASONRY WORKS         24.50 SQ.M IV </t>
  </si>
  <si>
    <t xml:space="preserve"> Coco lumber 2x3x12 (1860 bd.ft.)		Pcs	310 Coco lumber 2x2x12 (144 bd.ft.)		Pcs	36</t>
  </si>
  <si>
    <t xml:space="preserve"> PURCHASE OF 1 UNIT DESKTOP COMPUTER INTEL CORE I5 PROCESSOR 8GB RAM 120GB SSD 1TB HDD INTEL MOTHERBOARD TRUE RATED PSU MOUSE/KEYBOARD LED MONITOR UPS</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</si>
  <si>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</si>
  <si>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UNIT QUANTITY  DESCRIPTION 		         LEGAL OFFICE CUBICLE PARTITION		 SET	     1	         SINGLE SWING DOOR  LOCK SET (180 cm W x 320 cm L x 210 cm H)		 		 	 1/4 in thk CLEAR ANNEALED GLASS ON WITH OVERHEAD DOOR CLOSER ED SECTION		 			 TUBULAR 1 - 3/4 X </t>
  </si>
  <si>
    <t xml:space="preserve"> Selected borrow		        Cu.m.	72 Course aggregates		        Cu.m.	10 Sand					Cu.m.	13 Gravel					Cu.m.	11.5 Boulders 					Cu.m.	15</t>
  </si>
  <si>
    <t xml:space="preserve"> Concreting of Walkway Location : Purok 1 Brgy Binubusan Lian, Batangas Budget : 383,000.00</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</si>
  <si>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</si>
  <si>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Agricultural Training Institute Regional Training Center, MiMaRoPa (ATI-RTC-MiMaRoPa) invites interested bidders/suppliers to submit quotation/proposals for the here under requirement: Extension Initiatives focused in marginalized groups/special concern(T</t>
  </si>
  <si>
    <t xml:space="preserve"> Please submit your quotation on or before July 9, 2020, 8:00am to 5:00pm at Procurement Management Division, Cultural Center of the Philippines, CCP Complex, Roxas Bouelevard, Pasay City or email us at rechie.abada@yahoo.com.</t>
  </si>
  <si>
    <t xml:space="preserve"> Concreting of Road Location: Purok 1, Brgy Binubusan Budget: 271,527.20</t>
  </si>
  <si>
    <t xml:space="preserve"> REQUEST FOR QUOTATION FOR THE PROJECT REPAIR AND REHABILITATION OF SDO PATHWALK (LEFT WING) PR. No.:		RFQ No.	2020-0629-I02 PR DATE:	June 24, 2020	PhilGEPS Ref. No.	 End-User:	SDO Pasay City	Closing Date:	July 8, 2020 ABC:	Php 409, 871.86	Time:	12:00 p.m.</t>
  </si>
  <si>
    <t xml:space="preserve"> OFFICE OF THE BIDS AND AWARDS COMMITTEE INVITATION TO BID NO. 95-20 Name of Project: Procurement of Hardware Materials used for Construction of P-1 Brgy. Street @ Brgy. Del Pilar, Socorro, SDN Source of Funds: LGU 20% Development Fund The Municipality of </t>
  </si>
  <si>
    <t xml:space="preserve"> 300	Copy	Printing (Annual Pubication) 		300 copies magazine type 		50 pages/copy, glossy paper 		In full colors with thick cardboard &amp;  		Laminated front &amp; back cover with size of  		10 x 12.5 inches 		Using C2 80lbs 		 		 		 		Requirements: 		1. Mayor’s/</t>
  </si>
  <si>
    <t xml:space="preserve"> New SEC Flag Size: 3’ x 5’ Material: Satin Double Background Background/Face: Double Sewn Design See attachment for the design Interested suppliers are required to submit the following documents: 1.	Mayor’s/Business Permit 2.	PhilGEPS Registration Number </t>
  </si>
  <si>
    <t xml:space="preserve"> Boulders		                        Cu.m	30 Gravel					Cu.m	11 Sand 					Cu.m	6</t>
  </si>
  <si>
    <t xml:space="preserve"> Agricultural Training Institute Regional Training Center, MiMaRoPa (ATI-RTC-MiMaRoPa) invites interested bidders/suppliers to submit quotation/proposals for the here under requirement: OKI Printer Consumables and Supplies for OKI Printer to be used for Pr</t>
  </si>
  <si>
    <t xml:space="preserve"> Republic of the Philippines Province of Negros Oriental City of Bais Barangay: CAMBUILAO        BIDS AND AWARD COMMITTEE INVITATION TO APPLY FOR ELIGIBILITY AND TO RE-BID 	The Barangay Government of Barangay__ Cambuilao       , Bais City invites intereste</t>
  </si>
  <si>
    <t xml:space="preserve"> 2020 18th Public Bidding: Procurement of Laboratory Supplies &amp; Respiratory Therapy Supplies for 2nd Semester Consumption</t>
  </si>
  <si>
    <t xml:space="preserve"> 200 pcs RSB, 10mm x 6m etc... PEO</t>
  </si>
  <si>
    <t xml:space="preserve"> 4 box/12pcs Ballpen 12's per box-Black 4 box/12pcs Ballpen 12's per box-Blue 2 box/12pcs Ballpen 12's per box-Green 2 box/12pcs Ballpen Hi-Glider Color 0.5-Black 2 box/12 pcs Ballpen Hi-Glider Color0.5-Blue</t>
  </si>
  <si>
    <t xml:space="preserve"> QTY	UNIT	ITEM DESCRIPTION					 4,305	pcs	Anti-bacterial soap 					 		Technical Specifications:					 		Indvidually packed 60 grams, for had washing, skin health 					 		and protection, illness prevention, for sensitive skin,					 		fights against 3 types o</t>
  </si>
  <si>
    <t xml:space="preserve"> ITEM #	QUANTITY			ITEM &amp; DESCRIPTION					 									 1	4	sets		Fiber glass basketball board w/ ring, net and print					 2	4	pcs		Plywood 1/4 x 4 x 8					 3	1	pc		Tarpaulin 3 x 35"					 				*****END*****</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</si>
  <si>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</si>
  <si>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1	Lot	Infrared Calibrator, ABC 80,000.00/lot 		&gt;Blackbody Calibration Source, Portable Design				 		&gt;calibrated from ambient +10 to 400°C(Ambient +20 to 752 degrees				 		°F), Portable Miniature Design				 		&gt;Built-in Digital 1/32 DIN Temperature Controll</t>
  </si>
  <si>
    <t xml:space="preserve"> 1.	16	piece/s	Epson Ink (T6642c) 2.	16	piece/s	Epson Ink (T6643m) 3.	15	piece/s	Epson Ink (T6641Blk) 4.	15	piece/s	Epson Ink (T6644y) 5.	8	piece/s	85 A Laserjet HP P1102 6.	9	piece/s	Canon ip2770 ink 810 7.	7	piece/s	Canon ip2770 ink 811</t>
  </si>
  <si>
    <t xml:space="preserve"> INVITATION TO QUOTE Date:  July 01, 2020 1.	The Provincial Government of Davao del Sur, through its Bids and Awards Committee (BAC), invites all interested bidders/suppliers to quote for the following goods under Alternative Methods of Procurement ([Shopp</t>
  </si>
  <si>
    <t xml:space="preserve"> Republic of the Philippines DEPARTMENT OF PUBLIC WORKS AND HIGHWAYS OFFICE OF THE DISTRICT ENGINEER Cavite II District Engineering Office Mangas II, Alfonso, Cavite INVITATION TO BID  The DPWH – Cavite II District Engineering Office, through its Bids and </t>
  </si>
  <si>
    <t xml:space="preserve"> Hauling of nine (9) units 100KVA Wagner Distribution Transformers from Amparo PS to Stage 1 Camp 6 Pumping Station Weight: ±600.0 kgs Hauling of two (2) sets Peerless Horizontal Split Case Booster Pump coupled with 160HP Induction Motor from Stage 2 Pula </t>
  </si>
  <si>
    <t xml:space="preserve"> Agricultural Training Institute Regional Training Center, MiMaRoPa (ATI-RTC-MiMaRoPa) invites interested bidders/suppliers to submit quotation/proposals for the here under requirement: Seminar on Organic Vegetable Production (7 Batches) Baco 2 Batches Nau</t>
  </si>
  <si>
    <t xml:space="preserve"> Republic of the Philippines DEPARTMENT OF PUBLIC WORKS AND HIGHWAYS OFFICE OF THE DISTRICT ENGINEER Cavite II District Engineering Office Mangas II, Alfonso, Cavite Tel. No. (046) 412-9513 / (046) 409-0213 INVITATION TO BID The Department of Public Works </t>
  </si>
  <si>
    <t xml:space="preserve"> PROCUREMENT OF CONSTRUCTION MATERIALS AND SUPPLIES FOR THE CONCRETING OF HITOOG BRGY. ROAD.</t>
  </si>
  <si>
    <t xml:space="preserve"> Printing/Reproduction of  the Localized/Customized Flyer on AHD (Parenting Adolescents)     4,300 pieces Specifications: -Full color, back to back -Size: 8.5 inches x 14 inches -Paper material: C2S80</t>
  </si>
  <si>
    <t xml:space="preserve"> REQUEST FOR QUOTATION FOR REPAINTING OF SDO CONFERENCE ROOM PR. No.:	2020-07-I01	RFQ No.	2020-07-I01 PR DATE:	June 24, 2020	PhilGEPS Ref. No.	 End-User:	SDO Pasay City	Closing Date:	July 8, 2020 ABC:	Php 110,982.18	Time:	12:00 p.m. Sir/Madam: 	1. Please q</t>
  </si>
  <si>
    <t xml:space="preserve"> Forty five (45) ea Rechargeable Battery AAA 10's and thirty five (35) other L/I</t>
  </si>
  <si>
    <t xml:space="preserve"> Republic of the Philippines Province of Negros Oriental Municipality of Santa Catalina REQUEST FOR QUOTATION RFQ NO. 2020-07-01-061 Please quote your lowest price on the item/s listed below, subject to the Terms and Conditions provided with this request f</t>
  </si>
  <si>
    <t xml:space="preserve"> Small Value Procurement . . .</t>
  </si>
  <si>
    <t xml:space="preserve"> Agricultural Training Institute Regional Training Center, MiMaRoPa (ATI-RTC-MiMaRoPa) invites interested bidders/suppliers to submit quotation/proposals for the here under requirement: Promotional Materials for the conduct of 2 Batches of FSTP Phase I and</t>
  </si>
  <si>
    <t xml:space="preserve"> 6	box	THHN Wire (#12 stranded/150 mm)</t>
  </si>
  <si>
    <t xml:space="preserve"> Engine...................................DOHC GASOLINE - DAM 15 R  (16valve, 4 cylinder) Displacement..........................1,498 cc/ 110HP / 6000RPM Transmission...........................5 speed manual Fuel type.................................Gasoli</t>
  </si>
  <si>
    <t xml:space="preserve"> ITEM #	QUANTITY			ITEM &amp; DESCRIPTION					 									 1	27	bags		Cement					 2	97	sacks		Sand S-1					 3	6	sacks		Gravel 3/4					 4	41	pcs		CHB #4					 5	15	pcs		RSB #12mm					 6	7	gal		Acreex, red					 7	4	gal		Acreex, blue					 8	5	gal		Acreex, yellow				</t>
  </si>
  <si>
    <t xml:space="preserve"> 1   unit   Water Dispenser - Hot and Cold 2   pcs.   Executive Chair 2   pcs.   Waiting Chair (Stainless Heavy Duty) 2   pcs.   Office Table 1   unit   Flat Screen 32" TV</t>
  </si>
  <si>
    <t xml:space="preserve"> QTY	UNIT	ITEM DESCRIPTION					 750	bottle	ALCOHOL, 500ml, 68%-72% Ethanol (Ethyl Alcohol),					 		Colorless Clear Liquid, fully miscible in water</t>
  </si>
  <si>
    <t xml:space="preserve"> 1	Set	Bagger Concrete Mixer Heavy Duty, ABC 70,000.00/set 2	Set	Portable Drill, ABC 5,000.00/set RFQ#06-0681</t>
  </si>
  <si>
    <t xml:space="preserve"> To continue the DepEd educational program</t>
  </si>
  <si>
    <t xml:space="preserve"> Monoblock Chairs</t>
  </si>
  <si>
    <t xml:space="preserve"> Labor and materials in the procurement of 150 pcs PPE-long sleeve with hood- 90,000.00 No.	Scope of Work	Quantity	Unit_Cost	ABC 1.	 PPE- Long sleeve with hood (customized)	150	600.00	90,000.00 	Color: Gold and Sacramento Green			 	Size:Small- 40pcs., Medi</t>
  </si>
  <si>
    <t xml:space="preserve"> SPL - 1 Mobilization SPL-2  General Requirements 100 Clearing 103 Structural Excavation 105 Subgrade Preparation 200 Aggregates subbase 201 Aggregates BAse Coarse 311 PCCP 405 Structural Concrete  500 Pipe Culvert SPL - 3 CSPMC Cabinet</t>
  </si>
  <si>
    <t xml:space="preserve"> Waste Water Analysis for  8 locations at PhilRice CES Motorpool, Hybrid, Haz Watse Pond, FTIC pond, Near basketball court, Titanic, Director's Area and Future Rice) Test for: BOD, TSS, Oil and Grease, Nitrate, Phosphate, Surfactants, Fecal Coliform, and A</t>
  </si>
  <si>
    <t xml:space="preserve"> 1 unit DESKTOP (ALL IN ONE)     10th Gen Intel Core i5-1035G1     NVIDIA Geforce     MX130,     12GB DDR4     512GB SSD     802.11ac WIFI     Wireless Keyboard and \mouse     Windows 10 Home</t>
  </si>
  <si>
    <t xml:space="preserve"> for pull-out and installation of submersible pump at Municipal Swimming Pool</t>
  </si>
  <si>
    <t xml:space="preserve"> Republic of the Philippines BATANGAS STATE UNIVERSITY Batangas City REQUEST FOR QUOTATION "Procurement of 396 sets of Wooden Classroom Chairs with Tablet for CEAFA Main I and II for use of Freshmen Engineering for AY 2019-2020"  1. The Batangas State Univ</t>
  </si>
  <si>
    <t xml:space="preserve"> LGU,BATUAN, BOHOL																 REQUEST FOR QUOTATION																 																 ________________________																 ________________________																 ________________________																 Please quote your lowest price on the item/</t>
  </si>
  <si>
    <t xml:space="preserve"> 2	 pcs. 	of	Leaf Spring Primary 2	 pcs. 	of	Leaf Spring Secondary 12	 pcs. 	of	Leaf Spring Bushing 4	 pcs. 	of	Stabilizer Link Bushing 2	 pcs. 	of	Stabilizer Bar Bushing 1	 pc. 	of	Differential Pinion Oil Seal 2	 pcs. 	of	Caliper Bracket Assembly LH and R</t>
  </si>
  <si>
    <t xml:space="preserve"> Tire 17.5x25 w/flap &amp; inner tube		        Sets	4 Headlight bulb, 24V					Pcs	1 Tall light bulb, 24V					Pcs	4 Brake fluid (900ml)					Bot	6 Grease					                Qtrs	6 ATF					                        ltrs	6</t>
  </si>
  <si>
    <t xml:space="preserve"> 15 sacks Rice-Newly Milled 35 trays Fresh Eggs 20 packs Hotdog with Cheese regular size 10 kls Dried Fish (Bulad) Bakid Medium Size 10 kls Fresh Fish-Marot Medium Size</t>
  </si>
  <si>
    <t xml:space="preserve"> Toner Cartridge for HP 607 (37A) - 104 pcs  **Authentic / Original**</t>
  </si>
  <si>
    <t xml:space="preserve"> The Barangay Accusilian, Tuao Cagayan through its SK Fund intends to apply the sum of   Php 69,982.46  being the Approved Budget for the Contract (ABC) to payments under the contract for  Procurement of Materials for the Installation of Waiting Shed (2 Un</t>
  </si>
  <si>
    <t xml:space="preserve"> Please see attached RFQ for more details. For concern/query you may contact us at BAC.SDOBenguet@gmai.com from Mondays to Fridays (8:00AM to 5:00PM) except holidays.</t>
  </si>
  <si>
    <t xml:space="preserve"> INVITATION TO BID FOR SUPPLY AND DELIVERY OF CONSTRUCTION MATERIALS FOR THE CONSTRUCTION AND REPAIR OF IA TRAINING CENTER AND STORAGE AT PULA BANSUD RIS PB# MOMARO-024-2020 1.	The NIA-MOMARO Irrigation Management Office, through the Corporate Operating Bu</t>
  </si>
  <si>
    <t xml:space="preserve"> VARIOUS OFFICE SUPPLIES</t>
  </si>
  <si>
    <t xml:space="preserve"> Goggles, mist-free reusable polycarbonate lenses soft and light weight fit to wearing the corrective glasses, impact/ chemical/fluid resistant	75	PC	 Gown, surgical sterile disposable long sleeves extra large water proof, velcro neck, two strips knitted c</t>
  </si>
  <si>
    <t xml:space="preserve"> Please see attached PR for specifications</t>
  </si>
  <si>
    <t xml:space="preserve"> Back Horn		                                        Pc	1 Oil filter					                Pcs	2 Fuel filter					                Pc	1 Battery 15P, 12V					Pcs	2 Tire 10.00x20 w/flap &amp; inner tube		Pcs	6 Side mirror					        Pcs	2 Brake fluid (900ml)				    </t>
  </si>
  <si>
    <t xml:space="preserve"> Logistics Services (Hauling and Trucking) Door to Port 1 unit Toyota Hiace Commuter Van  Origin: DepEd Central Office Complex, Meralco Avenue, Pasig City Destination: Cebu Port</t>
  </si>
  <si>
    <t xml:space="preserve"> Procurement of Office Supplies</t>
  </si>
  <si>
    <t xml:space="preserve"> PROCUREMENT OF HARDWARE AND CONSTRUCTION SUPPLIES FOT THE CONSTRUCTION OF MULTI-PURPOSE BLDG. PHASE IX (CONTINUATION OF ITEM IV OF WHOLE POW) AT BRGY. TIGBAO, MATALOM, LEYTE.</t>
  </si>
  <si>
    <t xml:space="preserve"> 10	Piece	Laryngoscope bulb holder, ABC 2,000.00/pc 200	Box	Disposable needle G.21 100pcs/box, ABC 350.00/box 100	Roll	Plaster 1", ABC 150.00/roll 200	Roll	Plaster 2", ABC 250.00/roll 300	Roll	Plaster 3", ABC 350.00/rol 300	Roll	Plaster 4", ABC 350.00/roll</t>
  </si>
  <si>
    <t xml:space="preserve"> Procurement ID/Contract I.D.: 20CN0155 Contract Name: Construction of Multi-Purpose Building Contract Location: Brgy. Dibaraybay, Dinalungan, Aurora Brief Description: Civil, Mechanical, Electrical and Sanitary/Plumbing Works; Earthworks, Plain and Reinfo</t>
  </si>
  <si>
    <t xml:space="preserve"> 1 unit Floor Mounted Aircondition - 3.0 TR Floor Standing Airconditioner - Energy Saving Compressor - 3D Air Delivery System - LED Display - Sleep Mode - Auto On/Off Timer - High Efficiency Air Filter - With on-site Installation</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</si>
  <si>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</si>
  <si>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16 BARS DETERGENT BAR 16 SACHET DETERGENT POWDER</t>
  </si>
  <si>
    <t xml:space="preserve"> Grocery Packs 5Ganta Rice 2Kilos White Sugar 1 pack Coffee 2 Bottles Bleaching Soap(Zonrox)</t>
  </si>
  <si>
    <t xml:space="preserve"> ITEM #	QUANTITY			ITEM &amp; DESCRIPTION					 									 1	50	bottles		Dishwashing liquid, 250ml					 2	75	bottles		Alcohol, isopropyl, 70% solution w/ moisturizer, 500ml					 3	20	bottles		Alcohol, isopropyl, 70% solution, 330ml					 4	20	pcs		Scour pad w/ sp</t>
  </si>
  <si>
    <t xml:space="preserve"> 726 pax Snacks 726 pax Lunch</t>
  </si>
  <si>
    <t xml:space="preserve"> Procurement ID/Contract I.D.: 20CN0156 Contract Name: Retrofitting/Strengthening of Permanent Bridge – Aguang Br. (B03015LZ) Contract Location: along Baler – Casiguran Rd (Baler – Dinadiawan) Brief Description: Bridge Construction Approved Budget for the </t>
  </si>
  <si>
    <t xml:space="preserve"> Emergency Medical  Kit	20	set Specifications:		 Forcep		 Mayo Scissor		 Needle Holder		 Chromic 2.0 Round (1 dozen)		 Chromic 2.0 Cutting (1 dozen)		 BP Apparatus with Stetoscope		 Thermometer Digital		 Pulse Oxymeter		 Medical Bag</t>
  </si>
  <si>
    <t xml:space="preserve"> Regional Health Field Office No. VII				 	DON EMILIO DEL VALLE MEMORIAL HOSPITAL				 	BOOD, UBAY, BOHOL				 	 (038) 518-8027, (038) 518-8309; 7 (038) 518-8301; * devmh_ubay@yahoo.com				 	“PHILHEALTH ACCREDITED HEALTHCARE PROVIDER”				 					 ITEMS FOR BID</t>
  </si>
  <si>
    <t xml:space="preserve"> Printing/Reproduction of Tarpaulins: Infographics on Teen Pregnancy   -   250 pcs   Specifications: -Size: 6ft x 8ft -Full color -With eyelets</t>
  </si>
  <si>
    <t xml:space="preserve"> INVITATION TO QUOTE Date:  July 02, 2020 1.	The Provincial Government of Davao del Sur, through its Bids and Awards Committee (BAC), invites all interested bidders/suppliers to quote for the following goods under Alternative Methods of Procurement (Small </t>
  </si>
  <si>
    <t xml:space="preserve"> One (1) unit HIGH VOLUME LOW  Specification: **Moror: 0.55 HP/ 220/ -250V/ 1 Phase/ 300W **Fan Diameter: 12' (3.7m) **Fan Weight: 40kg **Max Speed: 76 RPM **Sound at Max Speed: 35dbA **Warranty: 5 years INSTALLATION : Fan Mounting and Assembly **Fan Termi</t>
  </si>
  <si>
    <t xml:space="preserve"> THE NATIONAL IRRIGATION ADMINISTRATION-SCIMO, THROUGH THE FUND 501 HAS THE APPROVED BUDGET FOR THE CONTRACT (ABC) AMOUNTING SEVENTY THOUSAND SEVEN HUNDRED PESOS ONLY (70,700.00).  QUOTATION RECEIVED IN EXCESS OF THE ABC SHALL BE AUTOMATICALLY REJECTED. IN</t>
  </si>
  <si>
    <t xml:space="preserve"> 75 pcs DISPOSABLE GROUNDING PAD</t>
  </si>
  <si>
    <t xml:space="preserve"> See attached main document.</t>
  </si>
  <si>
    <t xml:space="preserve"> INVITATION TO BID FOR THE PROCUREMENT OF CONSTRUCTION MATERIALS FOR MULTI-PURPOSE BUILDING TOILET (4 UNITS ROOMS) 1.	The Barangay Datu Panas of Buug, through the General Fund  intends to apply the sum of Two Hundred Eighteen Thousand  Two Hundred Ten Peso</t>
  </si>
  <si>
    <t xml:space="preserve"> Procurement of Laboratory Supplies and Reagents</t>
  </si>
  <si>
    <t xml:space="preserve"> Double lumen tube s.28, disposable single pack sterile 	3	PC Double lumen tube s.35, disposable single pack sterile 	3	PC Double lumen tube s.37, disposable single pack sterile 	3	PC</t>
  </si>
  <si>
    <t xml:space="preserve"> ITEM #	QUANTITY			ITEM &amp; DESCRIPTION					 									 1	3	pcs		Correction tape, 6m, 24's					 2	20	reams		Bond paper, S20, 8.5 X 11"					 3	20	reams		Bond paper, S20, 8.5 X 13"					 4	10	reams		Sticker paper, A4, matte, 10 sheets					 5	1	box		Ballpen, 50's</t>
  </si>
  <si>
    <t xml:space="preserve"> Qty.	Unit of	Item Description				 	Issue				 100	pcs		Ballpen, Black- HBW			 60	pcs		Ballpen, retractable, black			 10	pcs		Battery "AA", energizer			 10	pcs		Battery "AAA", energizer 4's			 2	reams	Bond Paper 8.5x 13, sub 16 (white)			 1	reams	Bond Paper</t>
  </si>
  <si>
    <t xml:space="preserve"> purchased and delivery of BDRRMC Uniforms</t>
  </si>
  <si>
    <t xml:space="preserve"> 1	Processor		1	pc 	 - 6 Core			 	 - 6 Threads			 	 - 2.90 - 3.20 Base Frequency			 	 - With Integrated Graphics			 	 - LGA 1151 Socket Compatible			 2	Motherboard		1	pc 	 - LGA1151 Socket			 	 - Supports DDR4 Memory			 	 - 4 DIMM Slots			 	 - Micro ATX Fo</t>
  </si>
  <si>
    <t xml:space="preserve"> 261-Supply and Delivery of Meals and Snacks, Office and ICT supplies for the Conduct of Webinar Writeshop of SDSSU Tandag Campus Lot A - Meals &amp; Snacks @ 60,000.00 Lot B - Office Supplies @ 3,600.00 Lot C - ICT Supplies @ 4,000.00</t>
  </si>
  <si>
    <t xml:space="preserve"> Lead Gown with Thyroid 0.25mmPb L=43.30 inch W=23.6 inch Sizes: XXXL 2 pcs XXL 2 pcs XL 8 pcs L 5 pcs M 3 pcs S 1 pc</t>
  </si>
  <si>
    <t xml:space="preserve"> 8	Set	Computer Set, ABC 45,000.00/set 		Specifications:				 		Processor Core: I5 9TH GEN				 		Graphics Card:  N/A				 		Memory: 8GB RAM				 		Hard Drive Capacity: 1TB 				 		Operating System: Windows 10 PRO GENUINE				 		Monitor: 19"				 		w/ minumum 1 y</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</si>
  <si>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</si>
  <si>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Republic of the Philippines DEPARTMENT OF PUBLIC WORKS AND HIGHWAYS BOHOL III DISTRICT ENGINEERING OFFICE REGIONAL OFFICE VII Guindulman, Bohol INVITATION TO BID FOR GOODS July 01, 2020 The Department of Public Works and Highways-Bohol 3rd District Engine</t>
  </si>
  <si>
    <t xml:space="preserve"> PR No. 2020-02-001 Procurement of Security Services for Day and Night Shift of DPWH-Ifugao Second District Engineering Office Main Office,Potia Sub-Office &amp; Banaue Satellite Office/Resthouse for 9 months</t>
  </si>
  <si>
    <t xml:space="preserve"> The Office on Halls of Justice Sta. Maria, Bulacan of the Supreme Court, through the Procurement Section, invites interested suppliers to quote for the price/s of the item/s listed in the attached document (PLEASE DOWNLOAD) Please also provide "Eligibilit</t>
  </si>
  <si>
    <t xml:space="preserve"> CONSTRUCTION Materials &amp; Supplies           1      LOT          Php253,000.00 	deformed bars 12mmØ	90	pcs	 	deformed bars 10mmØ	90	pcs			 	C purlin 2" x 6"	6	pcs			 	C purlin 2" x 4"	20	pcs			 	C purlin 2" x 3"	50	pcs			 	GI tie wire #16	20	kls			 	Corr. </t>
  </si>
  <si>
    <t xml:space="preserve"> FOR MMD (HOSPITAL) USE</t>
  </si>
  <si>
    <t xml:space="preserve"> COVER ALL SUIT (WASHABLE, MICROFIBER &amp; WATER RESISTANT W/ CAP AND SHOE COVER)          60 SET 70% ISOPROPYL ALCOHOL  500 ML                                                                                             1500 BOT MULTIVITAMINS + VIT C + ZINC  </t>
  </si>
  <si>
    <t xml:space="preserve"> ITEMS: 25 BX AMOXICILLIN 500MG TAB BOX/100'S 25 BTL AMOXICILLIN DROPS 35 BTL CEFALEXIN 500MG TAB BOX/100'S 20 BTL CEFALEXIN DROPS 25 BX MEFENAMIC ACID 500MG BOX/100'S 20 AMP MAGNESIUM SULFATE 20ML 30 AMP METHELORGOMETRINE AMP 200 AMP OXYTOCIN 5 BT PARACET</t>
  </si>
  <si>
    <t xml:space="preserve"> SUPPLY AND DELIVERY OF WOODEN ARMCHAIRS</t>
  </si>
  <si>
    <t xml:space="preserve"> 1 unit Printer (Print, Scan, Copy) 2 pcs Flash Drive 64GB 1 pc USB Mouse and Keyboard  2 mtrs Extension 15mtrs</t>
  </si>
  <si>
    <t xml:space="preserve"> The Barangay Alabug, Tuao Cagayan through its MUNICIPAL AID Fund intends to apply the sum of Php 58,448.00 being the Approved Budget for the Contract (ABC) to payments under the contract for Procurement of Materials for the Installation of Street Lights (</t>
  </si>
  <si>
    <t xml:space="preserve"> ITEM #	QUANTITY			ITEM &amp; DESCRIPTION					 									 1	1	unit		Television: 65 inches, smart TV, UHD TV					 				      Model: UA-65TU8000 or its equivalent					 				*****END*****</t>
  </si>
  <si>
    <t xml:space="preserve"> One (1) Lot Calibration of Various Medical Equipment, as per BSP Specifications and Terms of Reference</t>
  </si>
  <si>
    <t xml:space="preserve"> REQUEST FOR QUOTATION 1.	The Bangko Sentral ng Pilipinas requests quotations for the hereunder requirement: Name of the Requirement/Brief Description	:	Supply and Delivery of 540 Liters Hand Cleaner, as per                                  BSP Technical S</t>
  </si>
  <si>
    <t xml:space="preserve"> The DENR-PENRO Negros Occidental intends to procure One (1) Unit Unmanned Aerial Vehicle (Drone) with Smart Controller for Official Use of Mount Kanlaon Natural Park Personnel with the following specifications; Sensor: 1/2.3″ CMOS. Pixels: 12 million. Len</t>
  </si>
  <si>
    <t xml:space="preserve"> The Barangay Alabiao, Tuao Cagayan through its Provincial Government Fund intends to apply the sum of             Php 53,183.00  being the Approved Budget for the Contract (ABC) to payments under the contract for  Procurement of Materials for Installation</t>
  </si>
  <si>
    <t xml:space="preserve"> REQUEST FOR QUOTATION											 SUPPLY AND DELIVERY OF LAPTOP COMPUTERS											 SMALL VALUE PROCUREMENT 											 											 INSTRUCTION:										              	 	1.	Supplies are required to read the instructions and fill all the blanks properly.	</t>
  </si>
  <si>
    <t xml:space="preserve"> SUPPLY AND DELIVERY OF SUPPLIES FOR ICTC</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</si>
  <si>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</si>
  <si>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1.Fire Hydrant 2" x 2½" Ø brass - 3 pcs		 2.Fire Hydrant 4" x 2½" Ø brass - 3 pcs		 3.2"Ø P.E Tee - 3 pcs		 4.2"Ø Male Adoptor - 3 pcs		 5.2"Ø x 90° G.I Elbow - 3 pcs		 6.2"Ø 48" G.I Nipple (Sch-40,Threaded Both end) - 3 pcs		 7.2"Ø G.I Equal Tee- 2 pcs		</t>
  </si>
  <si>
    <t xml:space="preserve"> ITEMS: 5 UNITS TIRE(TOYOTA HI-LUX) 265/65 R18 2 SETS BRAKE PAD 1 SET BRAKE SHOE</t>
  </si>
  <si>
    <t xml:space="preserve"> purchased and delivery of jetmatic pump</t>
  </si>
  <si>
    <t xml:space="preserve"> Republic of the Philippines Province of Negros Oriental Municipality of Santa Catalina REQUEST FOR QUOTATION RFQ NO. 2020-07-01-059 Please quote your lowest price on the item/s listed below, subject to the Terms and Conditions provided with this request f</t>
  </si>
  <si>
    <t xml:space="preserve"> 2,233 liter Diesel 10 pail Engine Oil 40 5 pail Hydraulic Oil 10 1 pail Grease</t>
  </si>
  <si>
    <t xml:space="preserve"> FP Localized Brochures/Flyers   10,000 pieces *NSV and BTL (8.5’ x 7.2”)  2,000 pieces *IUD (8.5” x 7.2”)   2,000 pieces *Postpartum (7.2” x 8.5”)    2000 pieces *Natural FP (7.2” x 8.5”)   2000 pieces *FP Myths and Misconceptions (7.2” x 8.5”)   2000 pie</t>
  </si>
  <si>
    <t xml:space="preserve"> purchased and delivery of office supplies</t>
  </si>
  <si>
    <t xml:space="preserve"> HARDWARE MATERIALS FOR FABRICATION OF STEEL FRAMED TABLES</t>
  </si>
  <si>
    <t xml:space="preserve"> A. EARTHWORKS: 1 L.S. MOBILIZATION &amp; DEMOBILIZATION 1350 SQ.M. CLEARING AND GRUBBING 30 CU.M REMOVAL OF STRUCTURES AND OBSTRUCTION 255 CU.M STRUCTURE EXCAVATION 692 CU.M EMBANKMENT B. SUB BASE &amp; BASE COURSES: 1350 SQ.M. SUB-GRADE PREPARATION 288 CU.M SUB-</t>
  </si>
  <si>
    <t xml:space="preserve"> School Supplies(teachers), office supplies, CNR/feeding program and construction materials</t>
  </si>
  <si>
    <t xml:space="preserve"> Printing/Reproduction of Tarpaulins: Infographics on Demographic Vulnerabilities on COVID-19 (CARAGA) 300 pieces Specifications: -Size: 6ft x 8ft -Full color -With eyelets</t>
  </si>
  <si>
    <t xml:space="preserve"> 500	Box	Disposable Syringe 3cc, ABC 400.00/box 500	Box	Disposable Syringe 5cc, ABC 600.00/box 500	Box	Disposable Syringe 10cc, ABC 400.00/box 250	Box	Disposable Syringe 20cc, ABC 400.00/box 199	Box	Disposable Syringe 50cc, ABC 1,000.00/box RFQ#06-0690</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</si>
  <si>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</si>
  <si>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6 pcs Sledge hammer, 12lbs(HD) w/ handle 6 pcs Sledge hammer, 8lbs(HD) w/ handle</t>
  </si>
  <si>
    <t xml:space="preserve"> TWO (2) UNITS 3-TR FLOOR MOUNTED INVERTER AIR CONDITIONER-------P 182,800.00 Specification: **Remote Control **Self Diagnosis **Sleep Mode **Auto Swing **LED Display **Slim Type ONE (1) UNIT 1.5 HP WALL MOUNTED SUPER INVERTER (SPLIT TYPE) -----P 32,500.00</t>
  </si>
  <si>
    <t xml:space="preserve"> ITEM #	QUANTITY			ITEM &amp; DESCRIPTION					 									 1	1	pc		Flashlight, LED					 2	4	pcs		Battery, 2 SM					 3	1	pc		Laminated sack canopy					 4	1	pc		Electrical plier					 5	1	pc		Claw hammer					 6	1	pc		Cross cut saw					 7	1	pc		Hacksaw					 8	1	pc		</t>
  </si>
  <si>
    <t xml:space="preserve"> Please refer to the attached Request for Quotation. Thank you.</t>
  </si>
  <si>
    <t xml:space="preserve"> ITEM #	QUANTITY			ITEM &amp; DESCRIPTION					 1	1	unit		Table, console					 2	1	unit		Table, oxford 					 3	1	unit		Chair, cofta					 4	1	unit		Sala set 					 5	1	unit		Divider and Panel					 6	1	unit		Stove Stand 9933					 7	2	units		Book cabinet					 8	1	un</t>
  </si>
  <si>
    <t xml:space="preserve"> 1  lot    SUPPLY AND INSTALLATION OF COMBI BLINDS Specifications: 100% polyester; Thickness:   62mm mesh. 19mm Plea Sat Type; Color: Beige;  Old PPD Room:                               536.00  sq. ft. Old Language Laboratory:               416.00  sq. ft.</t>
  </si>
  <si>
    <t xml:space="preserve"> Bids and Awards Committee							 REQUEST FOR QUOTATION							         The City Government of Pagadian, through its Bids and Awards Committee (BAC), invites suppliers/manufacturers/distributors to bid for the hereunder supplies/goods, charged to 1011-300-1</t>
  </si>
  <si>
    <t xml:space="preserve"> Please see attached PR for specification</t>
  </si>
  <si>
    <t xml:space="preserve"> Stock No.	Item description					                       QTY	Unit 1	Alcohol 70% ethyl 3.78 liters					       30	gals. 2	Disinfectant Concertrate 3.78 liters					5	gals. 3	Hand Sanitizers/Antibacterial Sanitizer 3.78 liters			10	gals. 4	Liquid Hand Soap 3.78 </t>
  </si>
  <si>
    <t xml:space="preserve"> Details at the engineering or mpdc office</t>
  </si>
  <si>
    <t xml:space="preserve"> PURPOSE: FOR THREE (3) MONTHS DOP CONSUMPTION Fax your Price Quotation at Tel. Fax#: 426-30-45 / 927-64-26 local 2561 or Email at bacveterans@gmail.com. Please indicate the brand name and complete specifications.</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</si>
  <si>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</si>
  <si>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assorted grocery items (coffee/biscuits/shampoo/ noodles and etc.)</t>
  </si>
  <si>
    <t xml:space="preserve"> Item Description                 Pages x No. of Pupils            Total Quantity Learning Packets SPED              95  x 74                       =        7,030 Learning Packets  Kinder            45 x 249                      =      11,205    Learning P</t>
  </si>
  <si>
    <t xml:space="preserve"> For information and posting purposes.  The procuring entity will send RFQs to suppliers of known qualifications. (Section 52 of Revised IRR of RA 9184)</t>
  </si>
  <si>
    <t xml:space="preserve"> 1 set Desktop 3in1 TP01-0109D DT PC Intel Core i7-9700F Processor (12m Cache, up to 4.70Ghz) 1TB 7200 rpm SATA, 128 GB PCIe NVMe M.2 SSD  Windows 10 23.8" Monitor 2-year warranty 1 set Desktop 3in1 Intel Core i3-8100 Processor 4GB DDr4 2666MHz Memory 1TB </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</si>
  <si>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</si>
  <si>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REQUEST FOR QUOTATION The Municipality of Allacapan, through its Bids and Awards Committee (BAC), invites suppliers/distributors/contractors to SUBMIT QUOTATION for the hereunder project: Name of Contract :Purchase of 1 unit assembled desktop unit,1 unit </t>
  </si>
  <si>
    <t xml:space="preserve"> 1	Ethyl Alcohol 70% solution 1 gallon			        11 gallon	7,150.00 2	Isoprophyl Alcohol 70% solution 1 gallon			10 gallon	6,070.00 3	Face mask-Surgical disposable 3-ply			          5,000 pc	140,000.00 4	N95 Face Mask NIOSH			                        30 PC	</t>
  </si>
  <si>
    <t xml:space="preserve"> The Office on Halls of Justice (Boac, Marinduque) of the Supreme Court, through the Procurement Section, invites interested suppliers to quote for the price/s of the item/s listed in the attached document (PLEASE DOWNLOAD) Please also provide "Eligibility</t>
  </si>
  <si>
    <t xml:space="preserve"> Please see attached Request for Quotation. ----------------------PGO---------------------</t>
  </si>
  <si>
    <t xml:space="preserve"> The DENR-PENRO Negros Occidental intends to procure Three (3) Units Smart Television for official use of Mount Kanlaon with the following specifications: -4K TV, SMART TV, Flat, HDR -55” - Crystal Processor 4k -Quad-core Processor -Resolution (Pixel) 3840</t>
  </si>
  <si>
    <t xml:space="preserve"> Meals &amp; Snacks for 30 pax Meals - breakfast, lunch &amp; Dinner at 450/pax/day Snack - AM &amp; PM at 150/pax/day</t>
  </si>
  <si>
    <t xml:space="preserve"> Republic of the Philippines									 REGION IX      									 PROVINCE OF ZAMBOANGA DEL SUR									 Pagadian City     									 BIDS AND AWARDS COMMITTEE  									 Provincial Capitol, Pagadian City									 									 INVITATION FOR SUBMISSION OF QUOTATI</t>
  </si>
  <si>
    <t xml:space="preserve"> Reference No. PR # 20-03-0392                                                       PRICE QUOTATION FORM (BID FORM) Sealed Bids shall be dropped in the BIDDERS BOX on or before 2:00 P.M.  July 07, 2020    placed at the office of the Chairman of the Colleg</t>
  </si>
  <si>
    <t xml:space="preserve"> NEGOTIATED PROCUREMENT FOR PRINTING OF DEPED FORMS AND TARPAULIN AMOUNTING PHP 22,000.00</t>
  </si>
  <si>
    <t xml:space="preserve"> The AGRICULTURAL TRAINING INSTITUTE-REGIONAL TRAINING CENTER (ATI-RTC) X, through the 2020 General Appropriations Act intends to apply the sum of Fifty Thousand Pesos (P 50,000.00) being the Approved Budget for the Contract (ABC) to payments under the con</t>
  </si>
  <si>
    <t xml:space="preserve"> TIRE SET FOR TOYOTA HILUX AND FORD RANGER</t>
  </si>
  <si>
    <t xml:space="preserve"> Republic of the Philippines									 PROVINCE OF CAGAYAN									 Municipality of Peñablanca									 									 REQUEST FOR QUOTATION									 									 Company Name: 			Quotation No.						 Address:			Date						 TIN Number: 			PR No.						 Tel/Fax: 			Mod</t>
  </si>
  <si>
    <t xml:space="preserve"> SUPPLY AND INSTALLATION OF FORTY EIGHT (48) PCS FINE BUBBLE AERATION DIFFUSER SPECS: DISK DIAMETER: 10 INCHES RATED TO DELIVER 1-2.5 CFM SIZE: 3/4" MALE CONNECTION *MUST CONDUCT SITE INSPECTION BEFORE SUBMITTING QUOTATION **SUBMITTED QUOTATIONS WITHOUT CO</t>
  </si>
  <si>
    <t xml:space="preserve"> 1.	15	canister/s	Urinary Reagent strips (4 Parameters) 2.	1000	piece/s	Stool Container(Wide-Mouthed;with screw cap, 			with spatula;50ml capacity) 3.	2	bottle/s	Disinfectant spray (Lysol, 510grams) 4.	1	bottle/s	Concentrated Disinfectant Solution (Lysol) </t>
  </si>
  <si>
    <t xml:space="preserve"> 20 BOX SARDINES (RED) 20 BOX SARDINAS (GREEN) 25 BOX MEATLOF 30 BOX CARNE NORTE 15 BOX SAUSAGE</t>
  </si>
  <si>
    <t xml:space="preserve"> Republic of the Philippines							 Province of Davao del Sur							 Municipality of Malalag							 							 BIDS AND AWARDS COMMITTEE							 CANVASS/REQUEST FOR QUOTATION							 For Shopping &amp; Small value Procurement							 						  07/02/2020  	 __________</t>
  </si>
  <si>
    <t xml:space="preserve"> 1.	The Municipal Government of Talisayan, through the 70% OF 5% MDRR 2019  intends to apply the sum of P2,000,000.00 being the Approved Budget for the Contract (ABC) to payments under the PURCHASE of RESCUE VEHICLE, Talisayan, Mis. Or.. Bids received in e</t>
  </si>
  <si>
    <t xml:space="preserve"> General Merchandise</t>
  </si>
  <si>
    <t xml:space="preserve"> INVITATION TO BID FOR PROCUREMENT OF MATERIALS AND RENTAL OF EQUIPMENT FOR CONSTRUCTION OF COVERED COURT 1.	The Barangay San Isidro, through the 20% Barangay Development Fund intends to apply the sum of Seven Hundred Forty-Seven Thousand Six Hundred Seven</t>
  </si>
  <si>
    <t xml:space="preserve"> Panel board, 20-B surface type, (bolt-on)		        Pc	1 Main distribution panel, 4-B surface type, bolt-on		Pc	1 Circuit breaker, 100A					                Pcs	5 Circuit breaker, 30A					                Pcs	19 TW wire 50mm					                        Mtrs	</t>
  </si>
  <si>
    <t xml:space="preserve"> Republic of the Philippines          City of Dumaguete Bids and Awards Committee INVITATION TO BID FOR PURCHASE REQUEST OF 127 BAGS PORTLAND CEMENT 40 KGS AND OTHER ITEMS 	The City of Dumaguete thru its BIDS AND AWARDS COMMITTEE (BAC), invites all interes</t>
  </si>
  <si>
    <t xml:space="preserve"> FOR LGU STREET LIGHTS USE</t>
  </si>
  <si>
    <t xml:space="preserve"> Please see attached Request for Quotation. ---------------------PGO---------------------</t>
  </si>
  <si>
    <t xml:space="preserve"> &gt; 1 LOT Repair of One (1) Unit Police Car with Body No. 745 of Gov. Generoso Municipal Police Station SCOPE OF WORKS: •	Body repair/alignment and welding works •	Aircon check-up, cleaning and fix aircon system •	Engine check-up and change oil PARTS AND MA</t>
  </si>
  <si>
    <t xml:space="preserve"> Republic of the Philippines          City of Dumaguete Bids and Awards Committee INVITATION TO BID FOR PURCHASE REQUEST OF 353 BOX ASCORBIC 500MG TABLET 100’S AND OTHER ITEMS 	The City of Dumaguete thru its BIDS AND AWARDS COMMITTEE (BAC), invites all int</t>
  </si>
  <si>
    <t xml:space="preserve"> Supply and Delivery of Construction Materials</t>
  </si>
  <si>
    <t xml:space="preserve"> INVITATION TO BID July 2, 2020 1.	The Provincial Government of Davao Occidental, through its Bids and Awards Committee (BAC), invites all suppliers to apply to bid for the following goods: Bids received in excess of the ABC shall be automatically rejected</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</si>
  <si>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</si>
  <si>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The City Government of San Pedro, Laguna invites interested parties to quote for the following item/s as per request OM: Qty.	Unit of Issue	Item Description 		 1	lot	Appraisal of Various lots 		Owner: NORA BERGANTIÑOS 		Location: Brgy. Poblacion	 		Area: </t>
  </si>
  <si>
    <t xml:space="preserve"> supply and delivery of construction materials</t>
  </si>
  <si>
    <t xml:space="preserve"> Procurement of Medical-Surgical Supplies</t>
  </si>
  <si>
    <t xml:space="preserve"> Page 1 of 9 REQUEST FOR QUOTATION (RFQ) SUPPLY AND DELIVERY OF VARIOUS CALIBRATION STANDARDS UNDER EMB-ERLSD-ENVIRONMENTAL LABORATORY SERVICES SECTION (ELSS) ORGANICS AND ORGANICS LABORATORY UNIT RFQ NO. EMB-S-ERLSD-ELSS-OLU CALIBRATION STANDARDS 2020-054</t>
  </si>
  <si>
    <t xml:space="preserve"> printer</t>
  </si>
  <si>
    <t xml:space="preserve"> Equipment Rental 1 unit Backhoe (0.80 cu.m.) for 24hours 1 unit Lowbed Trailer (mob/Demob) ABC = P96,400.00</t>
  </si>
  <si>
    <t xml:space="preserve"> TITLE: PROCUREMENT OF OFFICE SUPPLIES			 DEPARTMENT: SANGGUNIANG BAYAN (OFFICE OF THE VICE MAYOR)			 			 ITEM NO.	QTY	UNIT	ITEM DESCRIPTION 1	100	rms	coupon bond long 2	50	rms	coupon bond short 3	100	pcs	brown envelope 4	5	pcs	filing tray 3 layers 5	5	set</t>
  </si>
  <si>
    <t xml:space="preserve"> Motorcycle-for ESWM monitoring use-gso</t>
  </si>
  <si>
    <t xml:space="preserve"> Invitation to Bid  The Surallah Water District now invites interested bidders to participate in the bidding of the herein described project, as follows: Name of Project	:	CONSTRUCTION OF ONE (1) PRODUCTION WELL WITH 150m DEPTH X 200mm Ø CASING. Location	:</t>
  </si>
  <si>
    <t xml:space="preserve"> 1. Chairs 8 Pcs. 2. Tables 2 Pcs.</t>
  </si>
  <si>
    <t xml:space="preserve"> SPECIFICATION: Bond Paper A4 size, GSM 70, book 60 NO BACK TO BACK PRICE: .60 cents (PRINTING and SORTING) Grade 7 - 271 pages, 350 copies Grade 8 - 280 pages, 360 copies Grade 9 - 274 pages, 370 copies Grade 10 - 273 pages, 330 copies Grade 11 (ABM) - 34</t>
  </si>
  <si>
    <t xml:space="preserve"> Quantity	Unit	Agency Specification 1	BOX	HARD COPY (LONG) 2	BOX	HARD COPY (A4) 3	BOX	HARD COPY (SHORT) 4	BOX	PENCIL 5	BOX	STAPLE WIRE 6	PCS	INK-BLK 7	PCS	INK-BLUE 8	PCS	INK-YELLOW 9	PCS	INK-PINK 10	BOX	BALLPEN-BLK 11	PC	FLASHDRIVE 32GB 12	PCS	EXPANDED FOL</t>
  </si>
  <si>
    <t xml:space="preserve"> 30 sacks of Certified Seed NSIC-RC-222</t>
  </si>
  <si>
    <t xml:space="preserve"> PURPOSE: FOR USE IN ANESTHESIA MACHINE W/ VAPORIZER. Fax your Price Quotation at Tel. Fax#: 426-30-45 / 927-64-26 local 2561 or Email at bacveterans@gmail.com. Please indicate the brand name and complete specifications.</t>
  </si>
  <si>
    <t xml:space="preserve"> Catering Services for the conduct of Training Workshop on Enhancement of Manual of Operation and Strategic Plan for Pantabangan-Carranglan Watershed Forest Reserve(PCWFR) on July 15-17, 2020</t>
  </si>
  <si>
    <t xml:space="preserve"> See Associated Component for Specification and RFQ. Send your quotation to: trc.malinao@gmail.com Please include the Copy of 1. Tin Number 2. Business / Mayors Permit 3. Philgeps Certification 4. DTI/ SEC Registration</t>
  </si>
  <si>
    <t xml:space="preserve"> Food Accommodation (HALAL)		 1	Day 1	10	 pax  	Breakfast		 	Fried Egg, Hotdog, Tosino		 	Assorted Fruits		 	AM Snack		 	Spaghetti with Bread, coke and can		 	Lunch		 	Chicken fillet, beef steak, chopsuey		 	Rice, Assorted Fruits		 	PM Snack		 	Cheese Cake</t>
  </si>
  <si>
    <t xml:space="preserve"> 240	piece	Ballpen, Fine point, black 240	piece	Ballpen, Fine point, Blue 60	piece	Ballpen, Fine point, red 120	piece	Ballpen, Ordinary, Black 10	box	Clip, Backfold, 25mm (1"width), 12 pcs/box 10	box	Clip, Backfold, 32mm (1 1/4"width), 12 pcs/box 20	box	Cl</t>
  </si>
  <si>
    <t xml:space="preserve"> Find attached RFQ on Associated Components.</t>
  </si>
  <si>
    <t xml:space="preserve"> 100	pax	Pm snacks chicken  salad sandwich with hips, ice tea and dinner (fried chicken, lumpiang shanghai, tufo, pancit, sweet potato, plain rice, caramel bar and bottled water)</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</si>
  <si>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</si>
  <si>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PROCUREMENT OF DPWH SECURITY SERVICES REQUIREMENT OF SIX (6) SECURITY PERSONNEL FOR DEPLOYMENT TO DPWH – BULACAN 1ST DISTRICT ENGINEERING OFFICE TIKAY, CITY OF MALOLOS, BULACAN - Contract ID No. 20GSCC02. The Department of Public Works and Highways (DPWH)</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</si>
  <si>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</si>
  <si>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PR 2020-06-107 ENDUSER-FD  ABC-P100,000.00 4	pcs	Modular set (computer set) table and chair 12	pcs	Under-Desk Filing Cabinet with Caster Wheels</t>
  </si>
  <si>
    <t xml:space="preserve"> 20	Piece	BP Cuff Adult Universal, ABC 200.00/pc 25	Piece	BP Cuff adult Bionics, ABC 200.00/pc 15	Piece	CPAP mask non vented medium, ABC 4,200.00/pc 15	Piece	CPAP mask non vented small, ABC 4,200.00/pc 15	Piece	CPAP mask vented medium, ABC 5,500.00/pc 20	P</t>
  </si>
  <si>
    <t xml:space="preserve"> 1	Basketball (Standard)	12	 pcs  2	Basketball Net	12	 pairs  3	Soccer Ball	12	 pcs  4	Volleyball	12	 pcs  5	Volleyball net	12	 pcs  6	Dart Board	6	 pcs  7	Dart Pin	12	 pcs</t>
  </si>
  <si>
    <t xml:space="preserve"> PURCHASE REQUEST  Municipality of Buenavista  LGU  Department: LGU-BUENAVISTA Section: CAPDEV PR: Date:  SA1 No.  Qty. 		Unit	Item Description 	Estimated Unit cost 	Estimated Total cost  30	pax	Meals and Snacks for 30 pax 		1 rice 		2 main course 		1 side</t>
  </si>
  <si>
    <t xml:space="preserve"> Materials for the installation of protective plastic with wooden frame.</t>
  </si>
  <si>
    <t xml:space="preserve"> HP 932XL	12 	cart &gt;Black Officejet Ink Cartridge		 HP 933XL	4 	cart &gt;Cyan Officejet Ink Cartridge		 HP 933XL	4 	cart &gt;Magenta Officejet Ink Cartridge		 HP 933XL	4 	cart &gt;Yellow Officejet Inkjet Cartridge		 Toner HP 85A	10 	toner Paste	20 	pcs &gt;in tube		 C</t>
  </si>
  <si>
    <t xml:space="preserve"> PROJECT:  CONCRETING OF ROAD PHASE 1 &amp; 2 LOCATION: BARANGAY SAN ISIDRO, CONCEPCION, TARLAC APPROVED BUDGET FOR THE CONTRACT: PHP 127,336.30 SOURCE OF FUND: 20% BDF The contract to be performed by the successful bidder shall be specified in the Technical Q</t>
  </si>
  <si>
    <t xml:space="preserve"> Project billboard Mobilization &amp; Demobilization ROADWORKS   804  Embankment   506  Stone Masonry</t>
  </si>
  <si>
    <t xml:space="preserve"> ELECTRICAL MATERIALS USED FOR REPLACEMENT OF OLD LINES AT WHARF</t>
  </si>
  <si>
    <t xml:space="preserve"> PURCHASE OF MEDICINES QTY     ITEM DESCRIPTION        50	amlodiphine 5mg 100s	         tab 288	ascorbic acid 100mg/ml 15ml	drops 288	ascorbic acid 100mg/ml 5ml	syrup 50	ascorbic acid 500mg 60ml	        capsule 25	cefalexine 500mg 100s	        capsule 25	c</t>
  </si>
  <si>
    <t xml:space="preserve"> Procurement of Laboratory Supplies for the Use of Rural Health Unit, Tagudin, Ilocos Sur Attachment: Request for Quotation, Purchase Request</t>
  </si>
  <si>
    <t xml:space="preserve"> Procurement of 1 Lot Water Treatment Supplies, etc.</t>
  </si>
  <si>
    <t xml:space="preserve"> Purchase and delivery of IT equipment to be used by CHUSD</t>
  </si>
  <si>
    <t xml:space="preserve"> 1	3 in 1 Duplex Printer	2	Units 	₱39,600.00 	PRINTER TYPE: Print, Scan, Copy			 	PRINT METHOD On-demand ink jet (piezoelectric)			 	MINIMUM INK DROPLET VOLUME 3 pl			 	PHOTO DEFAULT - 10 X 15 CM / 4 X 6 "*2 #3 Approx. 69 sec per photo (Border) / 92 sec pe</t>
  </si>
  <si>
    <t xml:space="preserve"> Marine plywood		                        Shts	8 Enamel paint (white)		                Gals	2 Paint thinner					Bots	4 Paint brush 4					Pc	1 LP hinges 3x3					Pairs	2 Staple wire #1					Box	2 CWN 4”				                Kls	8 CWN 3”					        Kls	6 CWN 1”	</t>
  </si>
  <si>
    <t xml:space="preserve"> Toner Cart: HP CB542A, Yellow  ............................................ Two (2) cart........ P2,984.80/cart Toner Cart: HP CE543A, Magenta .......................................... Two (2) cart........ P2,984.80/cart Toner Cart: HP Laserjet Pro M254n</t>
  </si>
  <si>
    <t xml:space="preserve"> PROCUREMENT OF SCHOOL  BAGS WITH SCHOOL KITS</t>
  </si>
  <si>
    <t xml:space="preserve"> 240	Bags	Cement, Portland 		 		 		 		Requirements: 		1. Mayor’s/Business Permit 		2. PhilGEPS Registration Number</t>
  </si>
  <si>
    <t xml:space="preserve"> Hiring of Assisting Professional on Enterprise Development for official use of FMP of DENR-PENRO Nueva Ecija</t>
  </si>
  <si>
    <t xml:space="preserve"> assorted customized PSHS-BRC medals</t>
  </si>
  <si>
    <t xml:space="preserve"> LOT I (ABC – P460,134.00) &gt; 8521	Liters	DIESEL FUEL LOT II (ABC – P233,982.00) &gt; 4333	Liters	DIESEL FUEL</t>
  </si>
  <si>
    <t xml:space="preserve"> 1 unit Transmission JAck (1.5 ton) &amp; other item, OCPS - for Motorpool use</t>
  </si>
  <si>
    <t xml:space="preserve"> CONCRETING OF ACCESS ROAD I. ITEM-201 AGGREGATE BASE COURSE (Thk.=.15m. II. ITEM-311 PCCP (Thk.=.15m.) CONCRETING OF CATWALK WITH RIP-RAP AT P-4 I. EXCAVATION II.ELEVATED CATWALK (Thk.=.10m.) WITH RIPRAP A. RUBBLE FOUNDATION B/ GROUTED RIPRAP C. CONCRETE </t>
  </si>
  <si>
    <t xml:space="preserve"> REPAIR AND MAINTENANCE MILITARY POLICE AND SECURITY EQUIPMENT</t>
  </si>
  <si>
    <t xml:space="preserve"> 1	Food and Catering Service July 13, 2020 , Zamboanga del Sur * Breakfast,AM Snacks, Lunch, P.M. Snacks			 40 pax	 28,000.00  	"Note: Package should include the following: • Food Must be buffet service not assisted buffet • Free Wi-fi internet Access • Fr</t>
  </si>
  <si>
    <t xml:space="preserve"> 1 Unit Risograph Machine  Convenient USB PC Connectivity Print Resolution 300dpi X 300dpi Scan Resolution 300 dpi X 300dpi Print Speed: 60 ,80, 100sheets per minute (3 steps variable) Enlargement- (154%, 129%, 121%) Reduction- (94%, 78%, 65%, 61%) Ink Sup</t>
  </si>
  <si>
    <t xml:space="preserve"> 4pcs. PFI 102 Matte Black 2pcs. PFI 102 Magenta 2pcs. PFI 102 Black 2pcs. PFI 102 Yellow 2pcs. PFI 102 Cyan Kindy submit your quotation on or before July 9, 2020, 8:00am to 5:00pm at Procurement Management Division, Cultural Center of the Philippines, CCP</t>
  </si>
  <si>
    <t xml:space="preserve"> Materials for the installation of CHRMD partition wall, executive building, new city hall, Guinobatan, Calapan City</t>
  </si>
  <si>
    <t xml:space="preserve"> Replacement and Repair of Compressor One (1) unit Compressor Motor 5TR -----------------------P 36,000.00 Two (2) units Compressor Motor 3Tr ( 25,500.00 x 2 )---    51,000.00 One (1) unit Compressor Motor 2HP ----------------------    12,500.00</t>
  </si>
  <si>
    <t xml:space="preserve"> Standard Form Number: SFGOOD60 Revised on: May 24, 2004 Standard Form Title: Request for Quotation Date:  July 2, 2020 Quotation No. 20-06-0390 Purchase Request No. 20-05-586 __________________________ Company Name ___________________________ Address Plea</t>
  </si>
  <si>
    <t xml:space="preserve"> 21 Box Face Mask, Surgical, Premier, Disposable 12 Box Disposable Syringe with Needle, 10ml 100's 9 Box Gloves, Sterile, 50's, size 6 &amp; 7 10 Tubes Lubricating Jelly, tubes, 82 grms, water based 3 Bot Typing Sera Anti-A, 10ml. 3 Bot Typing Sera Anti-B, 10m</t>
  </si>
  <si>
    <t xml:space="preserve"> See associated components for complete details</t>
  </si>
  <si>
    <t xml:space="preserve"> 07-02-2020		 			 1.	1	unit	Ambulance (FB BODY WITH DUAL AIRCON) 			Features and Specification: 		Engine:	Model Type : 2.2L 4-Inline 16Valve DOHC Intercooled 			Turbocharged, Diesel - EURO 4 (4N14) 			Fuel system: Electronic Common Rail Direct Injection 		</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</si>
  <si>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</si>
  <si>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Negotiated Procurement (Sec.53.9)</t>
  </si>
  <si>
    <t xml:space="preserve"> Please see attached Request for Quotation. ---------------------PGO--------------------</t>
  </si>
  <si>
    <t xml:space="preserve"> PR#20-06-0343 ABC 350,000.00 Supply, Delivery, Installation and Commissioning of Chlorine Gas Leak Detector and Neutralizing System for Macaguiling Pumping Station. See attached Specifications, Terms and Conditions INSTRUCTIONS/ NOTES TO BIDDERS: 1.	Pleas</t>
  </si>
  <si>
    <t xml:space="preserve"> Billboard (Tarpaulin) Specifications: Size- 3m x 5m *Inclusive of cost materials and installation *With metal frame and metal post *See attached design and list of municipalities within Caraga Region</t>
  </si>
  <si>
    <t xml:space="preserve"> List of materials as per attached Purchase Order</t>
  </si>
  <si>
    <t xml:space="preserve"> CANOPY (3X3X2) WITH PLASTIC COVER ON SIDES		 INSULATOR		 INDUSTRIAL FAN (24")		 DISINFECTANT SPRAY (510ml)		 16L 20L AGRI PULVERIZADOR KNAPSACK MANUAL SPRAYER		 "ALL PURPOSE CLEANER DISINFECTANT (1 LIT.) WITH BOTTLE SPRAYER"		 1 GALLON CAPACITY (PORTABLE </t>
  </si>
  <si>
    <t xml:space="preserve"> Procurement of 1 Lot Water treatment Supplies, etc.</t>
  </si>
  <si>
    <t xml:space="preserve"> The Department of Agriculture-RFO 3, invites interested suppliers to submit quotations/proposals for the hereunder requirement, to wit: 350	pcs.	Longsleeve cotton arm length (with PRIME logo) cotton, color: dark blue 		Sizes: 		XL - 50 		L  -  100 		M - 1</t>
  </si>
  <si>
    <t xml:space="preserve"> 24 LENGTH	12mm DEF. BARS 24 LENGTH	10mm DEF. BARS 10 KGS	TIE WIRE #18 2 SHEET	1x4x8 PLYBOARD 120 BDFT	2x3x12 COCO LUMBER (20PCS) 5 KGS	ASSORTED NAILS (#4 &amp; #3) 200 BAGS	PORTLAND CEMENT</t>
  </si>
  <si>
    <t xml:space="preserve"> MUNICIPALITY OF PANIQUI Province of Tarlac	Project Reference Number : I-2020-017 Name of the Project           : Concreting of Local Access Road Location of the Project     : Bonboneg 2nd, Brgy. Sinigpit, Paniqui, Tarlac Standard Form Number: SF-INFR-05 R</t>
  </si>
  <si>
    <t xml:space="preserve"> Republic of the Philippines MUNICIPALITY OF BUENAVISTA INVITATION TO BID FOR SUPPLY AND DELIVERY OF MATERIALS FOR IMPROVEMENT OF WATERWORKS SYSTEM (BRGY. BAGTINGON)   1.	The Local Government Unit of Buenavista, Marinduque through the fund from 20% Develop</t>
  </si>
  <si>
    <t xml:space="preserve"> Bids and Awards Committee							 REQUEST FOR QUOTATION							         The City Government of Pagadian, through its Bids and Awards Committee (BAC), invites suppliers/manufacturers/distributors to bid for the hereunder supplies/goods, charged to GENERAL TR</t>
  </si>
  <si>
    <t xml:space="preserve"> PROCUREMENT OF OFFICE &amp; JANITORIAL SUPPLIES FY 2020</t>
  </si>
  <si>
    <t xml:space="preserve"> For Road Protection of the Barangay</t>
  </si>
  <si>
    <t xml:space="preserve"> NEGOTIATED PROCUREMENT FOR HYGIENE KIT AMOUNTING PHP 65,000.00</t>
  </si>
  <si>
    <t xml:space="preserve"> Printer (3 in 1) Bondpaper ( Long) Ink (Black) Ink (Colored)</t>
  </si>
  <si>
    <t xml:space="preserve"> 1.  1 unit Projector      Lumens: 4000      Resolution (native): wx6a 1280x800      Throw ratio: 1.72      Contrast: 20,000      Technology: DLP      Hdmi inputs: 2      Lamp life (est.): 1500      White screen w/ tripod included 2.  1 unit Full duplex mi</t>
  </si>
  <si>
    <t xml:space="preserve"> Materials for the construction of CHUSD warehouse</t>
  </si>
  <si>
    <t xml:space="preserve"> 50 sacks iodized salt &amp; 50 c/s powdered milk 33 grms.</t>
  </si>
  <si>
    <t xml:space="preserve"> Requesting for Quotation (RFQ) for PR No. 2006108  Interested suppliers are invited to submit Sealed Price Quotations for the above listed items. The Request for Quotation (RFQ) for may be obtained from Mr. Albert A. Camarillo City General Services Office</t>
  </si>
  <si>
    <t xml:space="preserve"> TITLE: PROCUREMENT OF EQUIPMENT (GRASS CUTTER)			 DEPARTMENT: OFFICE OF THE MAYOR			 			 ITEM NO.	QTY	UNIT	ITEM DESCRIPTION 1	10	units	Grass Cutter (Heavy Duty) 			 ABC: PHP. 95,000.00</t>
  </si>
  <si>
    <t xml:space="preserve"> Cost of acquisition of PPEs to be used by medical workers</t>
  </si>
  <si>
    <t xml:space="preserve"> REQUEST FOR QUOTATION											 SUPPLY AND DELIVERY OF FURNITURE AND FIXTURES EQUIPMENT											 Small Value Procurement											 											 INSTRUCTION:										              	 	1.	Supplies are required to read the instructions and fill all the bl</t>
  </si>
  <si>
    <t xml:space="preserve"> REQUEST FOR QUOTATION (RFQ) The MO  through the Bids and Awards Committee (BAC) of the Municipality of Banaybanay, Davao Oriental hereby notifies and invites you to submit your quotation/bid for the hereunder proposed project/request, viz: KASALAN NG BAYA</t>
  </si>
  <si>
    <t xml:space="preserve"> 3 UNITS SMART WI-FI ROUTER for Fiber Optic Internet                                  Speed - 1750 Mbps (1.75 Gbps)       Ethernet Ports - 4 x 1G LAN, 1 x 1G WAN       USB Port - 1 X USB 3.0       Device Support - 25 Devices       WIFI Coverage - up to 150</t>
  </si>
  <si>
    <t xml:space="preserve"> The Barangay Mungo, Tuao Cagayan through its 20% BARANGAY DEV'T Fund intends to apply the sum of Php 99,668.44 being the Approved Budget for the Contract (ABC) to payments under the contract for Installation of Street Lights (20 UNITS). Bids received in e</t>
  </si>
  <si>
    <t xml:space="preserve"> Asstd other supplies/mat-for lgu offices use-gso</t>
  </si>
  <si>
    <t xml:space="preserve"> INVITATION TO BID SECOND POSTING The municipal government of Romblon through its Bids and Awards Committee (BAC) invites PhilGEPS registered suppliers to apply to bid for the Maintenance of Mun. Fish Port and Calabogo Landing Center.</t>
  </si>
  <si>
    <t xml:space="preserve"> Purchase and delivery of washable face mask to be distributed to city residents</t>
  </si>
  <si>
    <t xml:space="preserve"> MUNICIPALITY OF PANIQUI Province of Tarlac	Project Reference Number : I-2020-018 Name of the Project           : Construction of Two (2) Storey Multi-Purpose Bldg. Location of the Project     : Brgy. Cabayaoasan, Paniqui, Tarlac Standard Form Number: SF-I</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</si>
  <si>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</si>
  <si>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please download associated components</t>
  </si>
  <si>
    <t xml:space="preserve"> 15 ROLLS P.E. PIPE 2 1/2 DIAMETER  X 60 METERS SDR 11</t>
  </si>
  <si>
    <t xml:space="preserve"> 330 pcs Load Card (E-Load)</t>
  </si>
  <si>
    <t xml:space="preserve"> Lot 1 4 sheets Steel Matting/welded wire mesh 5mm wire diameter 2x2" mesh size 6ft x 20ft per sheet 20 length G.I Pipe S40, 1.5" diameter, 20ft per length 8 kg. Welding rod Lot 2 10 pcs. Tarpaulin, 6x9 ft. -see attached RFQ Form</t>
  </si>
  <si>
    <t xml:space="preserve"> 700 R 16 Traveller GT Tyres set 6 700 R 15 Traveller GT Tyres set 1 Size 15" RIM 5 Holes pc 1</t>
  </si>
  <si>
    <t xml:space="preserve"> Lot C - Medical supply</t>
  </si>
  <si>
    <t xml:space="preserve"> NEGOTIATED PROCUREMENT FOR REFILL OF FIRE EXTINGUISHER AMOUNTING PHP 16,000.00</t>
  </si>
  <si>
    <t xml:space="preserve"> Item  No.	Product Name Description /Specifications		QTY	Approved Budget for the Contract	 1Food and Catering Service July 13, 2020 , Zamboanga del norte * Breakfast,AM Snacks, Lunch, P.M. Snacks			                                                     40 pa</t>
  </si>
  <si>
    <t xml:space="preserve"> REQUEST FOR QUOTATION											 SUPPLY AND DELIVERY OF EXECUTIVE CHAIR											 Small Value Procurement											 											 INSTRUCTION:										              	 	1.	Supplies are required to read the instructions and fill all the blanks properly.			</t>
  </si>
  <si>
    <t xml:space="preserve"> 4 sets Ink Maintenance Tank for printer Surecolor T5270 (EPSON) 1 pc. Ink catridge for printer Surecolor T5270 (EPSON) 350ml. - CYAN  1 pc. Ink catridge for printer Surecolor T5270 (EPSON) 350ml. - YELLOW 1 pc. Ink catridge for printer Surecolor T5270 (EP</t>
  </si>
  <si>
    <t xml:space="preserve"> Procurement of 1 Lot Laboratory Supplies and materials</t>
  </si>
  <si>
    <t xml:space="preserve"> 1	10	bots	Printer Ink (black) Epson (10bots)	 2	8	set	printer ink (Colored) Epson (M/C/B)	 3	16	reams	Bond paper long	 4	16	reams	Bond paper A4	 5	40	pcs	Correction tape/flued/pen	 6	30	pads	Daily Time record (DTR)	 7	4	bots	Ink Pentel pen (Black)	 8	28	p</t>
  </si>
  <si>
    <t xml:space="preserve"> PROCUREMENT AND INSTALLATION OF SUBMERSIBLE PUMP AND MOTOR AT QUIBUAR I PRODUCTION PLANT SPECIFICATIONS: 1 UNIT SUBMERSIBLE MOTOR: 50HP; 440V-480v, 3-PHASE, 60HZ 1 UNIT SUBMERSIBLE PUMP: SP125-3-AA; 6" INPUT NOTES: 1. Price quotations must be valid for a </t>
  </si>
  <si>
    <t xml:space="preserve"> Unit Price           Total 240              BTL         Ink Epson L350/l360, T6641  BLACK              246.00              59,040.00 180              BTL         Ink Epson L350/L360, T6642, CYAN               279.00             50,220.00 180             B</t>
  </si>
  <si>
    <t xml:space="preserve"> Act. 65x- Bridge Repainting along Maingaran Bridge 1, Maingaran Bridge 2, Usab Bridge, Asid Bridge, Tugbo Bridge, Cancahorao Bridge, Lipata Bridge, Sagawsawan Bridge, Mabato-bato Bridge &amp; Agoro Bridge</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</si>
  <si>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</si>
  <si>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REQUEST FOR QUOTATION The Local Government Unit of Siaton, Siaton Negros Oriental, through the Bids and Awards Committee (BAC) will undertake a Small Value Procurement for “Purchase of IT Equipment”  to be used by the BAC Secretariat Staff in Siaton, Negr</t>
  </si>
  <si>
    <t xml:space="preserve"> PR#20-02-0040 ABC 378,000.00 1 set - 3D Ground Scanner Pro Specifications: -Tablet Computer -Tablet PC Charger -Lithium Ion Battery -Lithium Ion Battery Charger -Eight Sensors Hidden in Jacket -Sensor Carrying Vest  -Electromagnetic interference – 50m -Sc</t>
  </si>
  <si>
    <t xml:space="preserve"> Laptop Specifications: Intel core i5 1.8Ghz Processor Interbal HD Graphics 8gb Memory, 128gb Solid State Drive 13.3 Led Backlit Glossy Wide Screen Display External HDD</t>
  </si>
  <si>
    <t xml:space="preserve"> INVITATION TO BID SECOND POSTING The municipal government of Romblon through its Bids and Awards Committee (BAC) invites PhilGEPS registered suppliers to apply to bid for the GRINDING MACHINE.</t>
  </si>
  <si>
    <t xml:space="preserve"> Republic of the Philippines BATANGAS STATE UNIVERSITY Batangas City REQUEST FOR QUOTATION "Procurement of Supplies and Materials for Various Repair at the College of Teacher Education" 1. The Batangas State University (BatState U) through the Bids and Awa</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</si>
  <si>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</si>
  <si>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ECG Cable •	compatible with ECG machine model: SE-1 and SE-3	4	set ECG Chest Electrode Bulb (adult) •	rubber suction bulb •	1box = 6 bulbs •	electrodes are fitting to all varieties of ECG cable and lead wire	1	set ECG Chest Electrode Bulb (pedia) •	rubber</t>
  </si>
  <si>
    <t xml:space="preserve"> Procurement of 1 Lot Meals and Snacks (4 Sessions for the month of August 2020)</t>
  </si>
  <si>
    <t xml:space="preserve"> Battery 12V-7.2H (Valve Regulated Lead Acid) 40 pcs TO BE DELIVERED AT TAMPAKAN SOUTH COTABATO Pls. submit your quotation thru email:  mi_lynsn@yahoo.com x-x-x-x-x-x-x-x-x-x-x-x-x-x-x-x-x Total ABC  (in PhP)  36,400.00</t>
  </si>
  <si>
    <t xml:space="preserve"> Republic of the Philippines MUNICIPALITY OF BUENAVISTA INVITATION TO BID FOR SUPPLY AND DELIVERY OF MATERIALS FOR IMPROVEMENT OF WATERWORKS SYSTEM (BRGY. LIPATA-TUNGIB)   1.	The Local Government Unit of Buenavista, Marinduque through the fund from 20% Dev</t>
  </si>
  <si>
    <t xml:space="preserve"> 1	Food and Catering Service July 13, 2020 , Zamboanga Sibugay * Breakfast,AM Snacks, Lunch, P.M. Snacks 			 30 pax	 21,000.00  	 "Note: Package should include the following: • Food Must be buffet service not assisted buffet • Free Wi-fi internet Access • </t>
  </si>
  <si>
    <t xml:space="preserve"> Diesel Fuel	8,000	Liters Gasoline Fuel	150	Liters Diesel Engine Oil (Full Synthetic)	150	Liters Gasoline Engine Oil (Full Synthetic)	6	Liters Fuel Filter – Crosswind XT	6	pc Fuel Filter – F 193 (Hilux A2E361)	6	pc Fuel Filter – FFS-1530 (Hilux A2E361)	6	p</t>
  </si>
  <si>
    <t xml:space="preserve"> 2,500 gals Purified drinking Water w/ free used of hot  &amp; cold dispenser</t>
  </si>
  <si>
    <t xml:space="preserve"> Training Expense</t>
  </si>
  <si>
    <t xml:space="preserve"> TITLE: PROCUREMENT OF OFFICE EQUIPMENT 			 DEPARTMENT: MUNICIPAL PLANNING AND DEVELOPMENT OFFICE			 			 ITEM NO.	QTY	UNIT	ITEM DESCRIPTION 1	1	unit	Laptop 			Netro 5, 15.6 inches IPS display w/  			1920 x 1080 resolution at 141 ipi, 			AMD RYZEN 5 3550H  </t>
  </si>
  <si>
    <t xml:space="preserve"> Fuel hose		                        Pc	1 Tire 12.00x20				Sets	10 Grease     				Qtrs	6</t>
  </si>
  <si>
    <t xml:space="preserve"> Materials for the rehab of slope protection. Tawagan</t>
  </si>
  <si>
    <t xml:space="preserve"> 1. SCAFFOLDINGS 2. PAINTING</t>
  </si>
  <si>
    <t xml:space="preserve"> Bureau of Customs Subport of Mactan MCIA Cargo Road, Barangay Ibo, Lapu-lapu City 6015 Phone (032) 340-4197 / (032) 340-0743 / (0917) 322-8874 / (032) 340-4196 Fax E-mail: arandillov@customs.gov.ph A Modernized and Credible Customs Administration That is </t>
  </si>
  <si>
    <t xml:space="preserve"> Subgrade Preparation Aggregate Base Course PCC Pavement Warning &amp; Hazard Signs Construction Health &amp; Safety Billboard</t>
  </si>
  <si>
    <t xml:space="preserve"> Request for Quotation (RFQ) Request for Quotation No.: 2020-07-093-GS Date Published: July 2, 2020 Closing Date: July 8, 2020 at 10:00 AM, PST (refer to BAC Office Wall Clock) Opening of Quotation: July 8, 2020 at 10:30 AM, PST Title of the Projects: Proc</t>
  </si>
  <si>
    <t xml:space="preserve"> LGU-KALILANGAN, BUKIDNON						 						 Standard Form Number: SF-GOOD-59			Project Reference Number :			Nego/SVP 2020-07-043 Revised on May 24, 2004			Name of the Project :			 Standard Form Title : Purchase Request			Location of the Project :			Kalilangan, </t>
  </si>
  <si>
    <t xml:space="preserve"> INVITATION TO BID SECOND POSTING The municipal government of Romblon through its Bids and Awards Committee (BAC) invites PhilGEPS registered suppliers to apply to bid for the Materials for Improvement of Ginablan Bird Sanctuary and Mangroves.</t>
  </si>
  <si>
    <t xml:space="preserve"> Labor only</t>
  </si>
  <si>
    <t xml:space="preserve"> Procurement of 1 Lot Meals and snacks 2 days Seminar on Violence Against Women (VAW)</t>
  </si>
  <si>
    <t xml:space="preserve"> PROCUREMENT OF VARIOUS MATERIALS FOR ALL	 LGU OWNED PHYSICAL FACILITIES 2020</t>
  </si>
  <si>
    <t xml:space="preserve"> EXCAVATION/BACKFILL CONCRETE WORKS STEEL WORKS MILL WORKS (SOLAR LIGHT) PAINTING WORKS</t>
  </si>
  <si>
    <t xml:space="preserve"> OFFICE SUPPLIES: 1.  31 boxes bookpaper, long, subs. 20, 5’s 2.  11 boxes bookpaer, subs. 20, 5’s 3.  5 boxes ballpen, black, 50’s, matrix 4.  50 pcs correction tape, 5mmx10 5.  15 bottles Epson refill ink, #064 black 6.  10 bottles Epson refill ink,  #06</t>
  </si>
  <si>
    <t xml:space="preserve"> 1	5	kgs	Tire wire	 2	32	pcs	Steel bar	 3	17	cubics	gravel &amp; sand	 4	50	bags	cemet	 5	5	gals	paint (Sunflower)	 6	10	gals	paint latex white (Semi -gloss)	 7	6	gals	paint (white enamel)	 8	7	gals	paint (Blue latex)	 9	4	tube	elastosel	 10	4	gals	paint (ligh</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</si>
  <si>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</si>
  <si>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</si>
  <si>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Please download associated components</t>
  </si>
  <si>
    <t xml:space="preserve"> 1. EXCAVATION WORKS 2. FABRICATION AND INSTALLATION OF STEEL POST     INCLUDING CONCRETE FOOTING 3. INSTALLATION OF SOLAR STREET LIGHS (60watts)</t>
  </si>
  <si>
    <t xml:space="preserve"> Pls. quote the items listed below: 1.  Rubber Gloves )painted)  -  200 pairs 2.  Face Mask  -  2 bxs. 3.  Ethyl Alcohol  -  3 gals. 4.  Rubber Boots  -  20 pairs 5.  Empty Sacks (50 kilos capacity)  -  1,000 pcs. 6.  Rain Coat  -  15 pcs. NOTE:           </t>
  </si>
  <si>
    <t xml:space="preserve"> 2 units Megaphone</t>
  </si>
  <si>
    <t xml:space="preserve"> *SUPPLY &amp; INSTALLATION - of Fixed Glass (for Miniature Display) with Powdered Coated Stainless Steel Frame using 1/4" Clear Glass, complete with sealants &amp; other accessories (Verify Actual) - 1 unit (1.20m x 3.50m Plan) (9.15 sq.m/s) *SUPPLY &amp; INSTALLATIO</t>
  </si>
  <si>
    <t xml:space="preserve"> REQUEST TO SUBMIT PROPOSAL FOR GENERAL BODY REPAIR AND GENERAL BODY REPAINTING WITH UNDER CHASSIS PAINTING OF RIMS OF MOTOR VEHICLE WITH PLATE NUMBER SKX991 FOR USE OF  DA- RFO 5 AT APPROVED BUDGET FOR THE CONTRACT AMOUNTING TO ONE HUNDRED EIGHTY FIVE THO</t>
  </si>
  <si>
    <t xml:space="preserve"> 1	4 PCS	2 TB EXTERNAL HARDRIVE 2	5 PCS	64GB USB 3	2 PCS	CRIMPING TOOLS (COMPUTER) 4	1 SET 	SCREW DRIVER 5	2 PCS	LAN TESTER 6	10 PCS	BATTERY, AA 7	10 PCS	BATTERY, AAA 8	3 PCS	22” LED IPS 75 HZ FRAMELESS VGS HDMI MONITOR 9	10 PCS	DUCT TAPE, 2” 10	5 PCS	500 </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</si>
  <si>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</si>
  <si>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Rpr &amp; Maint Motor Vehicles</t>
  </si>
  <si>
    <t xml:space="preserve"> The Supreme Court, through the Procurement Section, invites interested suppliers to quote for the price/s of the item/s listed in the attached document (PLEASE DOWNLOAD) Please also provide "Eligibility Documents, Annex A" For more information, Please cal</t>
  </si>
  <si>
    <t xml:space="preserve"> Cordillera Administrative Region										 Provincial Government of Kalinga										 										 BIDS AND AWARDS COMMITTEE										 										 Invitation to Bid										 										 1.	The Provincial Government of KALINGA, through the Approved Budget for</t>
  </si>
  <si>
    <t xml:space="preserve"> 30 ream Bond Paper Long 10 ream Bond Paper Short 100 pcks Mood Paper Long Cream 100 p pcks Mood Paper Long Green 100 pcks Mood Paper Long Pink 2 bxs Carbon Paper Long Black 5 pcs Correction Tape 10 bxs Ballpen Black 5 bxs Sign Pen 15 bxs Marker (Black) 1 </t>
  </si>
  <si>
    <t xml:space="preserve"> 2 BTL INSECTICIDE (BAYGON) 8 BTL ISOPROPHYL  ALCOHOL (75%) 2 BTL STAMP PAD INK 2 BOX CARBON FILM (LONG) 1 PACK CARTOLINA 1 BOX CONTINUOUS FORM, 3 PLY 8 PCS NOTE PAD, 3 X 3" 9 RMS PAPER, MULTICOPY PAPER 9 RMS PAPER, MULTICOPY PAPER A4 9 RMS PAPER, MULTICOP</t>
  </si>
  <si>
    <t xml:space="preserve"> The Municipal Government of Aloguinsan invites prospective bidders to bid for the project Purchase and Delivery of 1 Unit 6-Wheeler Garbage Compact Truck. Source of Fund: GENERAL FUND FY 2020 ABC: Php 5,000,000.00 The complete schedule of activities will </t>
  </si>
  <si>
    <t xml:space="preserve"> 2  station  Lumpsum Services for airing information dissemination on "National Heritage Month" for the period of May 1-30, 2020 (8:00 am - 8:30am) - daily  AM STATION 2  station  Lumpsum Services for airing information dissemination on "National Heritage </t>
  </si>
  <si>
    <t xml:space="preserve"> Republic of the Philippines  Province of Leyte                                                               MUNICIPALITY OF PALO 	NOTICE OF POSTING @ PHILGEPS WEBSITE	                                                                                       </t>
  </si>
  <si>
    <t xml:space="preserve"> 30,000 KM check-up	3.8 Gasket	1 TDO-CH4  	8 Oil Filter 1000	1 Element ASSY	1 TWWF	1 Waster Rag	2 ARD-RAPID	1 Grease PMS	25 Tire Black PMS	45 Body wash	25 Miscellaneous 	1 Bolt Tightening / check charging system	2.347 	 FOR PAGASA GENERAL SANTOS STATION	 	</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</si>
  <si>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</si>
  <si>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Hardware &amp; Construction Materials</t>
  </si>
  <si>
    <t xml:space="preserve"> 385 sacks Commercial Rice Variety: Double D Weight: 50kls per sack</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</si>
  <si>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</si>
  <si>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For complete specification, please see attached for quotation at the associate components link or request.</t>
  </si>
  <si>
    <t xml:space="preserve"> Page 1 of 7 REQUEST FOR QUOTATION (RFQ) SUPPLY AND DELIVERY OF CHEMICALS FOR ORGANICS ANALYSES UNDER EMB-ERLSD-ENVIRONMENTAL LABORATORY SERVICES SECTION RFQ NO. EMB-S-ERLSD-ELSS-OLU CHEMICALS 2020-0546 1. The Department of Environment and Natural Resource</t>
  </si>
  <si>
    <t xml:space="preserve"> 201  sack	 Rice (25kg/sack)</t>
  </si>
  <si>
    <t xml:space="preserve"> PPVC Pipes &amp; Polyethylene hose in assorted sizes and other materials</t>
  </si>
  <si>
    <t xml:space="preserve"> Telephone Mobile Expenses</t>
  </si>
  <si>
    <t xml:space="preserve"> Republic of the Philippines BATANGAS STATE UNIVERSITY Batangas City REQUEST FOR QUOTATION "Procurement for the Calibration and Preventive Maintenance of Equipment of Analytical Laboratory and Testing Services" 1. The Batangas State University (BatState U)</t>
  </si>
  <si>
    <t xml:space="preserve"> NEGOTIATED PROCUREMENT FOR MATERIALS FOR REPAIR AND INSTALLATION OF ELECTRICAL FACILITIES AMOUNTING PHP 25,000.00</t>
  </si>
  <si>
    <t xml:space="preserve"> Procurement of 1 Lot Construction materials and supplies</t>
  </si>
  <si>
    <t xml:space="preserve"> SEE ATTACHED DOCUMENT.</t>
  </si>
  <si>
    <t xml:space="preserve"> 1	920	litter	Diesel 			 APPROVED BUDGET FOR THE CONTRACT: PHP 35,880.00 LOCATION OF THE CONTRACT: BATARAZA, PALAWAN DURATION OF THE CONTRACT: 7 DAYS SCHEDULE OF ACTIVITIES: POSTING AND ISSUANCE OF BIDS: JULY 3-6, 2020 PRE-BID CONFERENCE :- DEADLINE FOR SU</t>
  </si>
  <si>
    <t xml:space="preserve"> PURPOSE: FOR MAINTENANCE USE OF ELECTRIC UNIT. (FOR THE MONTH OF JAN. JUNE, 2020) Fax your Price Quotation at Tel. Fax#: 426-30-45 / 927-64-26 local 2561 or Email at bacveterans@gmail.com. Please indicate the brand name and complete specifications.</t>
  </si>
  <si>
    <t xml:space="preserve"> REQUEST FOR QUOTATION											 SUPPLY AND DELIVERY OF SAMPLE GRINDER MILL											 SMALL VALUE PROCUREMENT											 											 INSTRUCTION:										              	 	1.	Supplies are required to read the instructions and fill all the blanks properly</t>
  </si>
  <si>
    <t xml:space="preserve"> 1.	The Municipal Government of El Nido, through the General Fund intends to apply the sum of One Million Pesos (P 1,000,000.00) being the Approved Budget for the Contract (ABC) to payments for Repair and Maintenance of Drainage Canal at Brgy. Corong Coron</t>
  </si>
  <si>
    <t xml:space="preserve"> Pls see attached docs</t>
  </si>
  <si>
    <t xml:space="preserve"> Bids and Awards Committee							 REQUEST FOR QUOTATION							         The City Government of Pagadian, through its Bids and Awards Committee (BAC), invites suppliers/manufacturers/distributors to bid for the hereunder supplies/goods, charged to 8751-300-5</t>
  </si>
  <si>
    <t xml:space="preserve"> INVITATION TO BID NO. GOODS-029-2020 The Provincial Government of Bataan, through the General Fund029 intends to apply the below listed procurement w/ corresponding Approved Budget of the Contract (ABC). Bids received in excess of the ABC shall be automat</t>
  </si>
  <si>
    <t xml:space="preserve"> Department of Education Region VI-Western Visayas Division of Cadiz City Mabini National High School INVITATION TO BID FOR THE PROCUREMENT OF UNINTERRUPTED POWER SUPPLY (UPS) - MNHS 2020 1.	The Mabini National High School  of Cadiz City, through the Schoo</t>
  </si>
  <si>
    <t xml:space="preserve"> Pls. quote the items listed below: 1.  Portland Cement  -  80 bags 2.  Screened Sand  -  15 cu.m. 3.  Peasize Gravel  -  30 cu.m. 4.  1.7 kgs. Temperature Bars  -  80 pcs. 5.  1.2 kgs. Temperature Bars  -  30 pcs. 6.  No. 18 G.I. Tie Wire  -  10 kls. 7.  </t>
  </si>
  <si>
    <t xml:space="preserve"> Provision of Labor, Materials and Equipment for the Installation of Solar Streetlights in Brgy. Sapsap, Pastrana, Leyte in accordance with the plan and specifications: SCOPE OF WORK: * Structure Excavation - - - - - - - - - - - - - &gt; 702.00 cu.m * Reinfor</t>
  </si>
  <si>
    <t xml:space="preserve"> PURCHASE REQUEST  Municipality of Buenavista  LGU  Department: LGU-BUENAVISTA Section: BWS PR: Date:  SA1 No.  Qty. 		Unit	Item Description 	Estimated Unit cost 	Estimated Total cost  1	unit	external hard drive (backup) 500GB 1	unit	printer w/ scanner TOT</t>
  </si>
  <si>
    <t xml:space="preserve"> The MUNICIPALITY OF CALINTAAN, through the 20% Development Fund intends to apply the sum of Five Hundred Eighty Five Thousand Pesos Only (Php585,000.00) being the Approved Budget for the Contract (ABC) to payment  under the contract for the Construction o</t>
  </si>
  <si>
    <t xml:space="preserve"> - 1 UNIT 1400 X 1800 RICE &amp; CORN MILL BUILDING</t>
  </si>
  <si>
    <t xml:space="preserve"> Republic of the Philippines								 Department of Health								 VICENTE SOTTO MEMORIAL MEDICAL CENTER								 B. Rodriguez St., Cebu City, 6000								 TELEFAX : 2532182/2540057								 			Email: vsmmc_procurement@yahoo.com					 (Establishment/Supplier)	</t>
  </si>
  <si>
    <t xml:space="preserve"> BIDS AND AWARDS COMMITTEE INVITATION TO SUBMIT PRICE QUOTATIONS SMALL VALUE PROCUREMENT No. 067-2020                                                                 The METRO ROXAS WATER DISTRICT (MRWD), through its Bids and Awards Committee (BAC), invite</t>
  </si>
  <si>
    <t xml:space="preserve"> Republic of the Philippines			 Province of Guimaras			 Municipality of Jordan			 BIDS AWARDS COMMITTEE			 			  			2-Jul-20 			 Invitation of Bid No.20-041 (Re-bid) 			 			 Sealed bids, in triplicate subject to the coordination herein below specified will </t>
  </si>
  <si>
    <t xml:space="preserve"> please see attached purchased request...</t>
  </si>
  <si>
    <t xml:space="preserve"> Republic of the Philippines Province of Pangasinan Municipality of Bugallon OFFICE OF THE BIDS AND AWARDS COMMITTEE INVITATION TO BID The Barangay Laguit Padilla of the Municipality of Bugallon, Pangasinan, through its Bids and Awards Committee (BAC), inv</t>
  </si>
  <si>
    <t xml:space="preserve"> 2	units	Mist Blower	 		Specifications:	 			Engine 2-stroke Engine 			Maximum Power 77cc 			Air Volume 27 m3/min 			Air Speed 105 m/s 			Liquid Tank Capacity 17L 			Liquids Outflow 0-3, 5L/min 			Maximum Horizontal Range 18m 			Maximum Vertical Range 16m 	</t>
  </si>
  <si>
    <t xml:space="preserve"> ABC:   610,050.00                                                                                 Quantity            Unit Cost        Total Cost 1st Batch:  10-14 August 2020 (5 days) No. of pax : 110                                                      </t>
  </si>
  <si>
    <t xml:space="preserve"> REQUEST TO SUBMIT PROPOSAL FOR LABOR AND MATERIALS FOR THE INSTALLATION OF STRUCTURED NETWORK CABLING AT THE NEW OFFICE OF THE REGULATORY DIVISION AT APPROVED BUDGET FOR THE CONTRACT AMOUNTING TO SIXTY THOUSAND PESOS (₱ 60,000.00) PURSUANT TO ALTERNATIVE </t>
  </si>
  <si>
    <t xml:space="preserve"> ADVENTURE SHF 167 1	pc.	Fuel Filter 1	pc.	Oil Filter 1	pc.	Timing Belt Genuine MD300470 163T 1	pc.	Timing Belt Genuine MD310484 99T 1	pc.	Tensioner Bearing GT10140 L300 Big 1	pc.	Tensioner Bearing  GT10130 L300 Small 		DT FORWARD SKJ 873 1	pc.	Fuel Filter</t>
  </si>
  <si>
    <t xml:space="preserve"> Supply and Delivery of various office supplies to replenish stocks on common use office supplies</t>
  </si>
  <si>
    <t xml:space="preserve"> NEGOTIATED PROCUREMENT FOR REPAIR AND MAINTENANCE OF OFFICE AND ICT EQUIPMENT/ ELECTRICAL MATERIALS AMOUNTING PHP 10,500.00</t>
  </si>
  <si>
    <t xml:space="preserve"> 20 - Piece - Toner Cartridge, HP CE285A Note: Please see attached associated component.</t>
  </si>
  <si>
    <t xml:space="preserve"> Metropolitan Manila Development Authority																																     BIDS AND AWARDS COMMITTEE																																 																																    REQUEST FOR QUOTATION																																 Small Value Procurement						</t>
  </si>
  <si>
    <t xml:space="preserve"> Project Reference No.       	:	100200600894 Project Name	:	Purchase of Spareparts for Municipal Service  Approved Budget for the Contract (ABC)	:	Php 145,000.00  Starting Date:	:	July 3, 2020 Finish Date	:	July 6, 2020</t>
  </si>
  <si>
    <t xml:space="preserve"> REQUEST FOR QUOTATION											 SUPPLY AND DELIVERY OF PHOTOCOPYING MACHINE											 SMALL VALUE PROCUREMENT											 											 INSTRUCTION:										              	 	1.	Supplies are required to read the instructions and fill all the blanks properl</t>
  </si>
  <si>
    <t xml:space="preserve"> general merchandise</t>
  </si>
  <si>
    <t xml:space="preserve"> I. Fabrication and installation of Perimeter Fence</t>
  </si>
  <si>
    <t xml:space="preserve"> Qty.	Unit of	Item Description			 	Issue					 18	pcs		Air Freshener			 22	pcs		Bathroom tissue 2-ply			 18	pcs		Bath soap, family size			 2	pcs		Broom boyboy			 2	pcs		Broom tingting			 6	pcs		Car Freshener			 6	pcs		Detergent powder soap 550 grams			 20	p</t>
  </si>
  <si>
    <t xml:space="preserve"> Republic of the Philippines MUNICIPALITY OF BUENAVISTA INVITATION TO RE-BID FOR CONSTRUCTION OF LIVELIHOOD &amp; ENTERPRENEUR CENTER  1.	The Local Government Unit of Buenavista, Marinduque through the fund from the 20% DF CY 2020 intends to apply the sum of S</t>
  </si>
  <si>
    <t xml:space="preserve"> 1.	The Municipal Government of El Nido, through the General Fund intends to apply the sum of Three Million Two Hundred Twenty Two Thousand Pesos (P 3,220,000.00) being the Approved Budget for the Contract (ABC) to payments for Construction of Storm Draina</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</si>
  <si>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</si>
  <si>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PR#20-06-0305 ABC 75,000.00 50 kgs. Welding Electrodes 1100B 3.2MM 1/8” AWS E6011 Mechanical Properties: Tensile Strength, psi = 68,000-78000 Yield Point, psi= 55,000-68,000 Elongation in 2”% = 22-27 Ch-V impact value 0’ C. FT. LBS = 75 Joules INSTRUCTION</t>
  </si>
  <si>
    <t xml:space="preserve"> The Judicial and BAR Council, of the Supreme Court, through the Procurement Section, invites interested suppliers to quote for the price/s of the item/s listed in the attached document (PLEASE DOWNLOAD) Please also provide "Eligibility Documents, Annex A"</t>
  </si>
  <si>
    <t xml:space="preserve"> PHOTOCOPIER •	Multi-Functional:A5-A3 copier-printer-scanner •	Printing &amp; Copying Speed:16 copies per minute •	Built-in electronic sorting function; •	Paper Input Capacity:Tray 1:250 sheets (universal paper cassette):size A5 – A3 •	Print System:Laser,Paper</t>
  </si>
  <si>
    <t xml:space="preserve"> Republic of the Philippines			 Province of Guimaras			 Municipality of Jordan			 BIDS AWARDS COMMITTEE			 			  			2-Jul-20 			 Invitation of Bid No.20-042 (Re-bid) 			 			 Sealed bids, in triplicate subject to the coordination herein below specified will </t>
  </si>
  <si>
    <t xml:space="preserve"> Pls. See attached RFQ</t>
  </si>
  <si>
    <t xml:space="preserve"> Supply and Delivery of; STOCK NO.	UNIT	ITEM DESCRIPTION				QTY 1	units	LAPTOP COMPUTERS				1 		Specifications:				 		Operating System : Windows 10 				 		Processor : Intel Core i7-8565U Processor 1.80GHz 8M Cache, up to 4.60 GHz				 		Graphics : 2GB NVIDI</t>
  </si>
  <si>
    <t xml:space="preserve"> Bandage Gauze, 2”x10 Yards, Rolled, w/ Edging, Non Sterile----------------1560 qty -------------------P12.50/roll ############################ PURPOSE: For use of Nursing Unit / Centralization. (3 months consumption) Fax your Price Quotation at Tel. Fax#:</t>
  </si>
  <si>
    <t xml:space="preserve"> Please be informed that clerical correction of scope of work and resetting the schedule of procurement activities for Construction of Multi-Purpose Open Gym, which was inadvertently indicated and published in the PhilGEPS.  a.) Clerical Correction of Scop</t>
  </si>
  <si>
    <t xml:space="preserve"> INTERESTED BIDDERS MAY OBTAIN FURTHER INFORMATION THRU THE BAC SECRETARIAT WITH THE TELEPHONE NO. 324-4499</t>
  </si>
  <si>
    <t xml:space="preserve"> purchase of office supplies and device to be utilized by Bids and Awards Committee</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</si>
  <si>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</si>
  <si>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Republic of the Philippines Province of Negros Oriental City of Bais Barangay: __I_       _ BIDS AND AWARD COMMITTEE INVITATION TO APPLY FOR ELIGIBILITY AND TO BID 	The Barangay Government of Barangay__ I         , Bais City invites interested suppliers t</t>
  </si>
  <si>
    <t xml:space="preserve"> Gigli wire, saw fine 400mm with unbraided monofilament	50	PC Kelly pad w/ inflator, rubberized, washable	13	PC Ligating clips, sterile, single pack for use with open and endoscopic single clip applier	15	PC</t>
  </si>
  <si>
    <t xml:space="preserve"> Procurement of 1 Lot Books for Colegio de Iligan</t>
  </si>
  <si>
    <t xml:space="preserve"> Reflectorized Thermoplastic Pavement Markings 								 1		Reflectorized Thermoplastic Paint (white)			146 	bags		 2		Reflectorized Thermoplastic Paint (yellow)			25 	bags		 		-x-x-x-x-x-x-x-x-x-x-x-x-x-x</t>
  </si>
  <si>
    <t xml:space="preserve"> Refill of various Fire Extinguisher for use in different offices 1. 14 units Fire Extinguisher (10 lbs.) 2. 30 units Fire Extinguisher (20 lbs.)</t>
  </si>
  <si>
    <t xml:space="preserve"> Sir/Madam:																																		 																																		 Please quote your government price/s including delivery charges, VAT or other applicable taxes, and other incidental expenses for the goods listed in Annex A.  Failure to indi</t>
  </si>
  <si>
    <t xml:space="preserve"> 1	4	PCS	Tire 195x14 2	1	PCS	Motolite battery 			 APPROVED BUDGET FOR THE CONTRACT: PHP 27,000.00 LOCATION OF THE CONTRACT: BATARAZA, PALAWAN DURATION OF THE CONTRACT: 7 DAYS SCHEDULE OF ACTIVITIES: POSTING AND ISSUANCE OF BIDS: JULY 3-6, 2020 PRE-BID CONF</t>
  </si>
  <si>
    <t xml:space="preserve"> Provision of Labor, Materials and Equipment for the Construction of Basketball Court's Perimeter Fence in Brgy. Bunacan, Calubian, Leyte in accordance with the plan and specifications : SCOPE OF WORK: * Removal of Structure and Obstruction - &gt;   1.00 L.S.</t>
  </si>
  <si>
    <t xml:space="preserve"> Republic of the Philippines PROVINCE OF ZAMBOANGA DEL NORTE BIDS AND AWARDS COMMITTEE (BAC) BAC Conference Room, Capitol Building, Brgy. Estaka Tel. # (065) 212-6492 Telefax # (065) 212-6492 	                                                               </t>
  </si>
  <si>
    <t xml:space="preserve"> Bid Bulletin 07-2020 02 JULY 2020 INVITATION TO BID FOR PROCUREMENT OF 8 LAPTOP UNITS, 1 HIGH-END VIDEO EDITING LAPTOP AND 20 DESKTOP UNITS Issued pursuant to Sec. 22.5 of the IRR of R.A. 9184 to clarify and/or amend certain provisions in the Bidding Docu</t>
  </si>
  <si>
    <t xml:space="preserve"> Notice For Negotiated Procurement The East Avenue Medical Center, through Bids and Awards Committee, invites bidders to apply for the Negotiated Procurement - Small Value of Toner Cartridges (see attached file for the specification and estimated price.) 	</t>
  </si>
  <si>
    <t xml:space="preserve"> Lot B - Computer Supply</t>
  </si>
  <si>
    <t xml:space="preserve"> REQUEST FOR QUOTATION											 FREIGHT CARGO											 SMALL VALUE PROCUREMENT											 											 INSTRUCTION:										              	 	1.	Supplies are required to read the instructions and fill all the blanks properly.									 	2.	The supplier m</t>
  </si>
  <si>
    <t xml:space="preserve"> Supply and Delivery of 29,000 pcs Plastic Bags for Currency Notes, as per BSP Technical Specifications and Terms and Conditions</t>
  </si>
  <si>
    <t xml:space="preserve"> Meals and venue for the conduct of Capability Building Training for OFWs (2 Batches) on July 13-15 and 16-18, 2020 at Cotabato City. &gt; 2 Snacks/1 Meal</t>
  </si>
  <si>
    <t xml:space="preserve"> 3/4 marine plywood 1/4x1x1x6m angle bar welding Rod Bolt 3/16x1w/ nuts and washers 60x60 tiles counter sink faucet  HDPE Pipe 1/2 Compression type threaded coupling 1/2 Epoxy (ITR) Epoxy Primer PVC pipe 1/2 PVC Threaded Elbow 1/2 PVC Elbow 1/2 PVC Elbow 1</t>
  </si>
  <si>
    <t xml:space="preserve"> BIDS AND AWARDS COMMITTEE INVITATION TO SUBMIT PRICE QUOTATIONS SMALL VALUE PROCUREMENT No. 068-2020                                                                 The METRO ROXAS WATER DISTRICT (MRWD), through its Bids and Awards Committee (BAC), invite</t>
  </si>
  <si>
    <t xml:space="preserve"> 1	1	unit	Wooden cabinet with glass (Matyag E/S) 			(Length: 4ft, Width-8 inches) 			(Height-4ft) 			 2	1	unit	Wooden cabinet (Barangkas E/S) 			(Length: 4ft, Width-8 inches) 			(Height-4ft) 			 3	2	units	Wooden Filling cabinet with glass ( District Office</t>
  </si>
  <si>
    <t xml:space="preserve"> OPENING OF BIDS IN DSWD FO IX ZAMBOANGA CITY, DELIVERY IN DSWD FO IX ZC, PROCUREMENT FOR THE FF.: 2 SERVICE -SITE ENGINEER FOR THE MONTH OF AUGUST TO DECEMBER 2020  (AVRC III AND DSWD FO IX) ****************************************************************</t>
  </si>
  <si>
    <t xml:space="preserve"> 1.	The Barangay Local Government Unit of Maningalao, through the Budget for the contract approved by the respective Sanggunian (BDF) intends to apply the sum of eighty three thousand two hundred and fifty pesos only(Php 83,250.00) being the Approved Budge</t>
  </si>
  <si>
    <t xml:space="preserve"> The NFRDI, through its Bids and Awards Committee (BAC) intends to procure PVC Cards and ribbon for I.D. in accordance with Section 53. (Small Value ) of the Revised Implementing Rules Regulations of R.A.9184: TECHNICAL SPECIFICATIONS QUANTITY UNIT ABC 	Th</t>
  </si>
  <si>
    <t xml:space="preserve"> 2 GUARDS, LICENSED SECURITY GUARDS, 24 HOURS SHIFT 1 GUARD, LICENSED SECURITY GUARD, 12 HOURS DUTY</t>
  </si>
  <si>
    <t xml:space="preserve"> 4	pcs	900 x 20 Lug</t>
  </si>
  <si>
    <t xml:space="preserve"> Request for Proposal  The Bureau of Fisheries and Aquatic Resources Regional Office No. 5 (BFAR RO 5), Fabrica, Bula, Camarines Sur is requesting from prospective suppliers to submit written proposal for the Supply and Delivery of Tilapia Fingerlings. Qua</t>
  </si>
  <si>
    <t xml:space="preserve"> The  Municipal  Government    of   San   Mariano, Isabela  intends  to  apply  the  sum  of Seven Hundred Ninety One Thousand Eight Hundred Ninety Nine Pesos  &amp; Fifty-One Centavos (Php. 791,899.51) being the Approved Budget for the Contract (ABC) chargeab</t>
  </si>
  <si>
    <t xml:space="preserve"> INVITATION TO BID The LGU-Milagrosa, Carmona, Cavite, through its Bids and Awards Committee (BAC), invites contractors registered with and classified by the Philippine Contractors Accreditation Board (PCAB) to apply eligibility and if found eligible, to b</t>
  </si>
  <si>
    <t xml:space="preserve"> Republic of the Philippines			 Province of Guimaras			 Municipality of Jordan			 BIDS AWARDS COMMITTEE			 			  			1-Jul-20 			 Invitation of Bid No.20-044			 			 Sealed bids, in triplicate subject to the coordination herein below specified will be receive</t>
  </si>
  <si>
    <t xml:space="preserve"> This Notice of Negotiated pertains to the Procurement and Delivery of Mini-Dump Truck of the Municipal Government of El Nido, Palawan with approved budget contract of One Million Five Hundred  Thousand Pesos (₱ 1,500,000.00). The Municipal Government of E</t>
  </si>
  <si>
    <t xml:space="preserve"> Republic of the Philippines										 BIDS AND AWARDS COMMITTEE										 Baguio City										 (074) 300-6537/ (074)442-8795										 BID FORM										 CP No. 2020-33 Re-Bidding									July 2, 2020	 Circular Proposal No.									Date Prepared	 							</t>
  </si>
  <si>
    <t xml:space="preserve"> Republic of the Philippines Province of Aklan Municipality of Kalibo INVITATION TO BID for the PURCHASE OF TACTICAL OPERATIONS RESPONSE VEHICLE The Municipality of Kalibo, through the General Fund, intends to apply the sum of One Million Eight Hundred Tho</t>
  </si>
  <si>
    <t xml:space="preserve"> Notice For Negotiated Procurement The East Avenue Medical Center, through Bids and Awards Committee, invites bidders to apply for the Negotiated Procurement - Small Value of Expanded Polystyrene (EPS) or Styrofoam (see attached file for the specification </t>
  </si>
  <si>
    <t xml:space="preserve"> To provide labor and materials for the calibration of the equipment</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</si>
  <si>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</si>
  <si>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Province of Guimaras			 Municipality of Jordan			 BIDS AWARDS COMMITTEE			 			  			2-Jul-20 			 Invitation of Bid No.20-043			 			 Sealed bids, in triplicate subject to the coordination herein below specified will be receive</t>
  </si>
  <si>
    <t xml:space="preserve"> 1	unit	BINOCULARS					1	 45,500.00 	 45,500.00  		Specifications:							 		Sensor:  HD 1080p ATN L130 Sensor							 		Magnification:  4 - 16 X							 		Field of View @ 1000 yards:   220 ft.							 		Angle of View:   6 °							 		Objective lens:   65 mm			</t>
  </si>
  <si>
    <t xml:space="preserve"> SUPPLY AND DELIVERY OF FURNITURES AND FIXTURES: 1.  1 unit aircon, window type, 1hp 9000 ki/h 2.  2 pcs office table 3.  2 pcs office chairs 4.  50 pcs monoblock chairs</t>
  </si>
  <si>
    <t xml:space="preserve"> OFFICE OF THE BIDS AND AWARDS COMMITTEE INVITATION TO BID NO. 102-20 Name of Project: Procurement of Hardware Materials used for Construction of Brgy. Road (phase II) @ Brgy. Pamosaingan, Socorro, SDN Source of Funds: LGU 20% Development Fund The Municipa</t>
  </si>
  <si>
    <t xml:space="preserve"> *COMPRESSOR - includes the following specifications: ARUV200LT3 OUTDOOR INVERTER - Model JBB055DAA -DC Motor R410A -3.0HP DC 540V -Serial No. 244s0005XD10 - E00248 - 1 pc *INVERTER PCB Boad - includes the following specifications;  - Part No. EBR 36932815</t>
  </si>
  <si>
    <t xml:space="preserve"> See Phil. Bidding Documents, Bill of Quantities and Checklist hereto attached.</t>
  </si>
  <si>
    <t xml:space="preserve"> NEGOTIATED PROCUREMENT FOR MATERIALS FOR THE IMPROVEMENT OF CLASSROOM WINDOW GRILLS AMOUNTING PHP 30,000.00</t>
  </si>
  <si>
    <t xml:space="preserve"> I. Office Supplies						 1		Refillable Ink			114 	unit		 2		Toner Cartridge (OKI) ES7170MFP			10 	unit		 3		Logbook (300 sheets)			12 	pcs.		 4		Special Ring Binder (for Maintenance Report)			12 	pcs.		 5		Bond Paper (8.5"x13")			80 	reams		 6		Bond Paper</t>
  </si>
  <si>
    <t xml:space="preserve"> BEEKEEPING SUPLLIES Quantity	Unit	Item Description 3	Set	Colony (9 framer, mated queen) 500	Grams	Sun Flower seeds 3	pcs	Bee Veil 3	pcs	Hive tool 2	pcs	Smoker 3	pcs	Honey Scratcher 40	Pcs	Frame with wax Foundation 2	pcs	Bee Brush 2	pcs	Spray Bottles 5	pcs</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</si>
  <si>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</si>
  <si>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1	40	reams	Bond paper A4 2	35	reams	Bond paper legal 3	3	liters	Computer ink Epson L565 4	3	liters	Computer ink Epson L360 5	500	pcs	Folder long 6	500	pcs	Folder short 7	10	pcs	Scatch tape (Big) 8	10	dozens	Tissue paper 9	30	pcs	Correction tape 10	30	boxe</t>
  </si>
  <si>
    <t xml:space="preserve"> Labor and Equipment for the Clearing of Obstruction Along Public Roads</t>
  </si>
  <si>
    <t xml:space="preserve"> INVITATION TO BID PROCUREMENT OF CONSTRUCTION MATERIALS FOR CONCREING OF MUNICIPAL ROAD AT NGILEB, ALFONSO LISTA, IFUGAO 1.	The Local Government Unit Alfonso Lista, Ifugao through the 20% Development Fund 2020 intends to apply the sum of One Million Two H</t>
  </si>
  <si>
    <t xml:space="preserve"> Notice For Negotiated Procurement The East Avenue Medical Center, through Bids and Awards Committee, invites bidders to apply for the Negotiated Procurement - Small Value of Various Supplies for Orthopaedics - Implants (see attached file for the specifica</t>
  </si>
  <si>
    <t xml:space="preserve"> please see attached BOQ</t>
  </si>
  <si>
    <t xml:space="preserve"> I. Construction Materials / Hand Tools						 1		Sand			60 	cu.m		 2		Cement			160 	bags		 3		1/2  Hose with 2ply			100 	m		 4		0.80x2.10 Flush Door			6 	pcs.		 5		DSB 10mm			600 	kgs.		 6		DSB 12mm			600 	kgs.		 7		DSB 16mm			600 	kgs.		 8		CHB ordinary (</t>
  </si>
  <si>
    <t xml:space="preserve"> Republic of the Philippines								 Province of Negros Occidental								 Municipality of La Castellana								 Bids and Awards Committee								 								 INVITATION TO APPLY FOR ELIGIBILITY AND TO BID								 								 Name of Project: 		CONCRETING OF BAR</t>
  </si>
  <si>
    <t xml:space="preserve"> Purchase of Materials for Act. 63x- Resurfacing of Unpaved Shoulder for Rectification of Low Shoulder; Act. 41x- Emergency Projects- Bridge for the Replacement/Repair of Damage Deck Slab and Act. 66x- Selective Replacement of Concrete Pavement for the Rec</t>
  </si>
  <si>
    <t xml:space="preserve"> Notice For Negotiated Procurement The East Avenue Medical Center, through Bids and Awards Committee, invites bidders to apply for the Negotiated Procurement - Small Value of Isopropanol 2.5L (see attached file for the specification and estimated price.) 	</t>
  </si>
  <si>
    <t xml:space="preserve"> please see attached purchase request...</t>
  </si>
  <si>
    <t xml:space="preserve"> Procurement of Conference Name Plate Holder Double Sided</t>
  </si>
  <si>
    <t xml:space="preserve"> Republic of the Philippines Province of Guimaras Municipality of Jordan  Invitation to Bid for Solar Electrification Project at Rizal and Poblacion, Jordan, Guimaras Invitation to Bid No. 20-045 1.	The Municipal Government of Jordan, through the 2019 % De</t>
  </si>
  <si>
    <t xml:space="preserve"> 500	ream		bond paper long (sub. 20)			 50	ream		bond paper short (sub. 20)			 500	ream		mimeo paper (sub. 20) white wove			 500	pcs.		folder long (Ordinary )			 200	pcs.		ordinary long plastic envelop			 200	pcs.		long brown envelop (paper)			 15	pack		le</t>
  </si>
  <si>
    <t xml:space="preserve"> Clearing and Grubbing Removal of Obstruction Subgrade Preparation Aggregate Base Course PCC Pavement, Plain Warning &amp; Hazard Signs Including Bollards Construction Safety and Health Billboard</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</si>
  <si>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</si>
  <si>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1	865	litters	Diesel 			 APPROVED BUDGET FOR THE CONTRACT: PHP 44,980.00 LOCATION OF THE CONTRACT: BATARAZA, PALAWAN DURATION OF THE CONTRACT: 7 DAYS SCHEDULE OF ACTIVITIES: POSTING AND ISSUANCE OF BIDS: JULY 3-6, 2020 PRE-BID CONFERENCE :- DEADLINE FOR S</t>
  </si>
  <si>
    <t xml:space="preserve"> 1	1	unit	Water tank &amp; accessories (Marangas west E/S)	 			*Sea pump 80L w/PVC pipe	 				 2	1	unit	Water dispenser (District Office)	 			*Asahi	 			Model:WD-104	 				 3	1	unit	Grasscutter (District office)	 			*Robin / 2 stroke	 				 APPROVED BUDGET FOR TH</t>
  </si>
  <si>
    <t xml:space="preserve"> for use of Isuzu Dumptruck (H3-6592)				 1		Wheel Bearing Front/Rear			4 	pcs. 2		Hub Oil Seal			4 	pcs. 3		Starter Assy.			1 	assy. 4		Wheel Cylinder Assy.			4 	assy. 						 		for use of Road Roller (Z18-270)				 5		Tires  750 x R15			4 	set 6		Hydraulic</t>
  </si>
  <si>
    <t xml:space="preserve"> 1. The City Government of Bacoor, Cavite, through the City Ordinance No. CO 562019 intends to apply the sum of ONE HUNDRED TWENTY FIVE THOUSAND  PESOS AND ZERO CENT (PhP125,000.00) being the total Approved Budget for the Contract (ABC) for all lots indica</t>
  </si>
  <si>
    <t xml:space="preserve"> - DRIVEN BY 4DR5 DIESEL ENGINE - ELECTRIC START - COMMERCIAL CORN MILL - SINGLE PASS RICE MILL</t>
  </si>
  <si>
    <t xml:space="preserve"> DIESEL FUEL.</t>
  </si>
  <si>
    <t xml:space="preserve"> Purchase of Construction Supplies</t>
  </si>
  <si>
    <t xml:space="preserve"> Important Notice for Bidders: 1. Bid documents will be available to prospective bidder upon payment of a non-refundable amount of Two Hundred Pesos Only (P 200.00) to the Basilan State College Cashier 2. Interested suppliers are required to submit their v</t>
  </si>
  <si>
    <t xml:space="preserve"> Subgrade Preparation  Aggregate Base Course PCC Pavement Construction Safety and Health Warning &amp; Hazard Signs Billboard</t>
  </si>
  <si>
    <t xml:space="preserve"> 1.  1 unit Copier Machine      Ecosys M2640idw/L      - Digital Copier with Network Printing, Color Scanning and Network Fax      - Resolution of 600 x 600 dpi, Fast 1200 dpi and Fine 1200 dpi      - Standard Memory Capacity 512 MB to Maximum 1536 MB Memo</t>
  </si>
  <si>
    <t xml:space="preserve"> Republic of the Philippines										 BIDS AND AWARDS COMMITTEE										 Baguio City										 (074) 300-6537/ (074)442-8795										 BID FORM										 CP No. 2020-34 Re-Bidding									July 2, 2020	 Circular Proposal No.									Date Prepared	 							</t>
  </si>
  <si>
    <t xml:space="preserve"> 9 heads	 Cattle Heifer, 2-3 years old, not less than 280 kg. in weight Upgraded brahman with eartag, negative test in Surra and Tuberculosis , and vaccinated with Anti-hemorrhagic septicemia it should come from BAI Accredited Farm Includes transport and d</t>
  </si>
  <si>
    <t xml:space="preserve"> 2  units  Electric Stand Fan              MODEL: F-405LB              Description 16" size, Black &amp; Gray color 1   unit   55 Smart TV UHD               55 UHD 200 with sub woofer and wall bracket w-w-w-w-w-w-w-w-w-w-w-w-w-w-w-w-w-w-w-w-w-w</t>
  </si>
  <si>
    <t xml:space="preserve"> 1.	The Municipal Government of El Nido, through the General Fund intends to apply the sum of Five  Hundred Ten Thousand Pesos (₱ 510,000.00) being the Approved Budget for the Contract (ABC) to payments for the here under Procurement and Delivery of Anti-R</t>
  </si>
  <si>
    <t xml:space="preserve"> Item No. 	Item Description	QTY.	Unit	Unit Price	Total Price 1	semi-gloss latex (white)	15	gals		 2	semi-gloss enamel (white)	10	gals		 3	skim coat (white)	3	bags		 4	pallet knife	4	pairs		 5	quick dry enamel (choco brown)	2	gals		 6	paint roller brush	10	</t>
  </si>
  <si>
    <t xml:space="preserve"> Republic of the Philippines Province of Cagayan Municipality of Sanchez Mira BIDS AND AWARDS COMMITTEE INVITATION TO BID CONTINUATION OF DRAINAGE CANAL PULIDO ST., CENTRO 2, SANCHEZ MIRA, CAGAYAN ITB-2020-12-INFRA 1.	The LGU-Sanchez Mira through its Munic</t>
  </si>
  <si>
    <t xml:space="preserve"> OPENING OF BIDS IN DSWD FO IX ZAMBOANGA CITY, DELIVERY IN DSWD FO IX ZC, PROCUREMENT FOR THE FF.: 2 SERVICES -SITE ENGINEER FOR THE MONTH OF AUGUST TO DECEMBER 2020 (2 CENTERS: RSCC AND HOME FOR WOMEN) *****************************************************</t>
  </si>
  <si>
    <t xml:space="preserve"> Republic of the Philippines Province of Cagayan Municipality of Claveria BARANGAY CENTRO VII INVITATION TO BID  Barangay Centro VII,  Claveria, Cagayan intends to apply the sum of  One  Hundred Ten Thousand   Pesos (Php410,000.00), being the Approved Budg</t>
  </si>
  <si>
    <t xml:space="preserve"> Please see attached file</t>
  </si>
  <si>
    <t xml:space="preserve"> 2     UNIT       AIRCON WINDOW TYPE 2HP WITH REMOTE 1     UNIT       AIRCON WINDOW TYPE 1HP MANUAL 2     UNIT       AIRCON WINDOW TYPE 1.5HP MANUAL 1     UNIT       AIRCON WINDOW TYPE 2HP MANUAL</t>
  </si>
  <si>
    <t xml:space="preserve"> LGU - San Antonio, Zambales					 Office of the MSWDO					 					 					 REQUEST FOR QUOTATION					 				Date:  	 				Quotation No. : 	 ______________________________________					 ______________________________________					 					 	Please quote your lowest pri</t>
  </si>
  <si>
    <t xml:space="preserve"> 85 SACKS RICE Pls. see attached file.</t>
  </si>
  <si>
    <t xml:space="preserve"> NEGOTIATED PROCUREMENT FOR PCONSTRUCTION OF HANDWASHING AND TOOTHBRUSHING FACILITIES AMOUNTING PHP 30,000.00</t>
  </si>
  <si>
    <t xml:space="preserve"> PURCHASE REQUEST  Municipality of Buenavista  LGU  Department: LGU-BUENAVISTA Section: MTO PR: Date:  SA1 No.  Qty. 		Unit	Item Description 	Estimated Unit cost 	Estimated Total cost  1	unit	hot and cold water dispenser 2	units	steel cabinet TOTAL  Purpos</t>
  </si>
  <si>
    <t xml:space="preserve"> 1.	The Municipal Government of El Nido, through the General Fund intends to apply the sum of Two  Hundred Forty Nine Thousand Nine Hundred Eighty Pesos (₱ 249,980.00) being the Approved Budget for the Contract (ABC) to payments for the here under Procurem</t>
  </si>
  <si>
    <t xml:space="preserve"> Order/Download and fill up attach Request foe Quotation and submit to the BAC Office on/before closing date</t>
  </si>
  <si>
    <t xml:space="preserve"> Republic of the Philippines DEPARTMENT OF PUBLIC WORKS AND HIGHWAYS QUIRINO DISTRICT ENGINEERING OFFICE REGIONAL OFFICE II Cabarroguis, Quirino Procuring Entity	:	DPWH - QDEO	P.R. No.	:	2020-02-019 Revised on	:		Date	:	2/24/2020 Standard Form/Title	:	REQU</t>
  </si>
  <si>
    <t xml:space="preserve"> The East Avenue Medical Center through its Hospital Bids and Awards Committee (BAC) through the Hospital Income 2020 invites suppliers / manufacturers / distributors for the bidding of the following projects for CY 2020. Interested Bidders shall pay a non</t>
  </si>
  <si>
    <t xml:space="preserve"> Tire 10.00x20		                        Sets	6 Cross joint					Pcs	2 Brake fluid (900ml)				Bots	6 Grease					        qtrs	6</t>
  </si>
  <si>
    <t xml:space="preserve"> Republic of the Philippines PROVINCE OF ZAMBOANGA SIBUGAY Municipality of Roseller T. Lim OFFICE OF THE BAC CHAIRMAN Barangay Balansag     INVITATION TO BID 						July 2, 2020 To All Interested Bidders: Notice is hereby served that sealed bid be received </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</si>
  <si>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</si>
  <si>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Component 1: Certified Rice Production			 Fertilizer		30	Bags 			  Component 2: Vegetable Production			 Squash, suprema F1		20	Sachet Pole sitao, sandigan		20	Sachet Hot pepper, django		20	Sachet Sili, labuyo		20	Sachet Garden hose, rubber, class A		3	Sac</t>
  </si>
  <si>
    <t xml:space="preserve"> The Bids and Awards Committee of the Environmental Management Bureau-IX now invites eligible bidders to submit their quotations for Supply and Delivery of Vehicle Tires  All quotations must be typed or written and duly signed by the authorized representat</t>
  </si>
  <si>
    <t xml:space="preserve"> OFFICE OF THE BIDS AND AWARDS COMMITTEE INVITATION TO BID NO. 103-20 Name of Project: Procurement of Tarpaulin used for Repair/ Improvement of Tourism Hub / Waiting Area @ Brgy. Navarro, Socorro, SDN Source of Funds: 20% Development Fund The Municipality </t>
  </si>
  <si>
    <t xml:space="preserve"> 1	FORM COMPUTER CONTINUOUS, 1 PLY, 11 X 14-7/8, 2000 SHEETS/BOX; SPEC: SUBS 20, WHITE BOND WITH PERFORATION, PLAIN W/OUT GRAY LINES	30 box		Php 1,447.50	 2	FORM COMPUTER CONTINUOUS, 2 PLY, 11 X 14-7/8; 1000 SETS/BOX, SPECS: SUBS 20, WHITE BOND WITH PERFOR</t>
  </si>
  <si>
    <t xml:space="preserve"> &gt; 26 Sacks Rice</t>
  </si>
  <si>
    <t xml:space="preserve"> Order/Download and fill up attach Request for Quotation and submit to the BAC Office on/before closing date</t>
  </si>
  <si>
    <t xml:space="preserve"> Item	Quantity	Unit	ARTICLES					 Estimated Unit Cost  								 1	2	pcs	 Air Filter Element					 1,980.00  2	3	liter	 ATF Fluid					 380.00  3	1	pcs	 Battery 12 Volts 11 Plates (Maintenance Free)					 8,300.00  4	2	liter	 Brake Fluid					 350.00  5	1	set	 </t>
  </si>
  <si>
    <t xml:space="preserve"> Republic of the Philippines BATANGAS STATE UNIVERSITY Batangas City REQUEST FOR QUOTATION "Procurement for the Printing of CABEIHM GS Journal" 1. The Batangas State University (BatState U) through the Bids and Awards Committee invites interested firms/sup</t>
  </si>
  <si>
    <t xml:space="preserve"> Supply and Delivery of meals and snacks for the Farmers Irrigators meeting and Launching of Family in Every Home in Rosario/Distribution of Seedlings/release of cash gifts. Lunch/Snacks: Pork adobo, mixed vegetables, plain rice, Hamburger, Bottled mineral</t>
  </si>
  <si>
    <t xml:space="preserve"> 44 SACKS RICE 1 CASE SARDINES Pls. see attached file.</t>
  </si>
  <si>
    <t xml:space="preserve"> R/M OFFICE EQUIPMENT</t>
  </si>
  <si>
    <t xml:space="preserve"> Purchase of Hardware Supplies and Materials Requirements: 1   pc   GI Pipe 2"s40   23 2   pc   Tubular 1 1/2 x 1 1/2   113 3   pc    L Bar 1 1/2  140 4   pc    Tubular 2"x2"  19 5   pc    Colored Roof  (Rib Type) 4"x 7"    162 6   roll   Steel Matting 6'x</t>
  </si>
  <si>
    <t xml:space="preserve"> Micro Organism Solution Spray</t>
  </si>
  <si>
    <t xml:space="preserve"> Pulse Oximeter</t>
  </si>
  <si>
    <t xml:space="preserve"> 1.	The Municipal Government of El Nido, through the General Fund intends to apply the sum of  Five Hundred Seventy Nine Thousand Nine Hundred Twenty Five Pesos (₱ 579,925.00) being the Approved Budget for the Contract (ABC) to payments for the here under </t>
  </si>
  <si>
    <t xml:space="preserve"> 900   pieces    USB/OTG 16GB</t>
  </si>
  <si>
    <t xml:space="preserve"> PENETRATING OIL 16 OZ, 63 CANS (RE-BID)</t>
  </si>
  <si>
    <t xml:space="preserve"> Item No. 	Item Description	QTY.	Unit	Unit Price	Total Price 1	REFRIGERANT 134 A TETRALOUETHANE 30 LBS 13..6KG	3	TANK		 2	REFRIGERANT 22 CHLOROFLOUROETHANE 30 LBS.	3	TANK		 3	THERMOSTAT CONTROL 2 HP 220 VOLTS	5	PCS		 4	MAPP GAS	50	CYLINDER		 5	OVERLOAD PRO</t>
  </si>
  <si>
    <t xml:space="preserve"> 4  station  Lumpsum Services for Live Coverage on "Independence Day Celebration" for the period of June 12, 2020 (8:00 am - 8:30am) - daily  FM STATION 2  station  Lumpsum Services for Live Coverage on "Independence Day Celebration" for the period of June</t>
  </si>
  <si>
    <t xml:space="preserve"> 1	2	Unit	"Airconditioning Unit 5 Tonner Airconditioning Unit, Floor Mounted, Inverter type, Auto Air Swing, 20% higher Airflow, Energy Saving, Smaller Footprint Cooling Capacity: 30,900-58,600 kJ/Hr Power Consumption:2,000-5,200 Watts Energy Efficiency Ra</t>
  </si>
  <si>
    <t xml:space="preserve"> 1	BATTERY ALKALINE, SIZE AAA	14 pc		Php 50.00 	 2(3)	BINDER PRINTOUT FOR 138 COLUMNS	55 set		46.00	 3(4)	BOOK RECORD, 500 PAGES, SMYTHE SEWN	3 pc		98.00	 4(5)	BOX PRINCETON WITH COVER	12 pc		346.00	 5(6)	BOX PRINCETON, WITHOUT COVER	12 pc		243.00	 6(10)	C</t>
  </si>
  <si>
    <t xml:space="preserve"> NEGOTIATED PROCUREMENT FOR MATERIALS FOR REPAIR OF WATERLINES AMOUNTING PHP 10,000.00</t>
  </si>
  <si>
    <t xml:space="preserve"> Firnish of 1-unit Video Camera DSLR</t>
  </si>
  <si>
    <t xml:space="preserve"> Item	Quantity	Unit	ARTICLES					 Estimated Unit Cost  								 1	20	pcs	 Toner for Printer					 8,250.00</t>
  </si>
  <si>
    <t xml:space="preserve"> 50 Bot Hand Wash (Generic) 500ml 50 Bot Hand Wash (Branded) 500ml 50 Pcs Floor Mat 100 Bot Hand Sanitizer (Generic) 500ml 10 Pcs Garbage Container w/ cover (Hard Plastic) (Medium) 10 Pcs Dust Pan Big 100 Bot Alcohol 70% 5 in 1 120ml or 500ml 25 Cans Leath</t>
  </si>
  <si>
    <t xml:space="preserve"> 1	FORM OFFICIAL RECEIPTS, CARBONLESS, PADDED, 50 SETS/PAD, 3SHEETS/SET	100 pad		Php 800.00</t>
  </si>
  <si>
    <t xml:space="preserve"> ITEMS: 300 PAX MEALS(1 DAY) 600 PAX SNACKS (AM/PM)</t>
  </si>
  <si>
    <t xml:space="preserve"> Republic of the Philippines Province of Aklan Municipality of Kalibo INVITATION TO BID (Rebidding) for the PURCHASE OF 1-UNIT MINI VAN W/ ROOF RACK The Municipality of Kalibo, through the General Fund, intends to apply the sum of Three Hundred Twenty Seve</t>
  </si>
  <si>
    <t xml:space="preserve"> Please see associated components</t>
  </si>
  <si>
    <t xml:space="preserve"> 1	80	bdft	CARPENTRY WORKS		 	42	bdft	*16-2X3X10' good lumber		 	12	pcs	*16-2X3X14' good lumber		 	1	kl	1/4"x4x8 marine plywood		 	0.5 	kl	CWN 4"		 	2	gallon	CWN 3"		 	1	pcs	QDE paint		 	4	pcs	Roller brush 8"		 			sand paper		 					 2	1		GLASS WORK		 	1		G</t>
  </si>
  <si>
    <t xml:space="preserve"> ITEM/SCOPE OF WORK	COST ESTIMATES 	QTY.	UNIT	UNIT COST	TOTAL COST/ABC A.	 ADDITIVE WORKS: I.Lighting Fixtures and Accessories a. 2x9 Watts Lighting Fixture with Mirrorized  Aluminum Reflector ------------------------------------5.00-----pcs.---2,400.00---</t>
  </si>
  <si>
    <t xml:space="preserve"> QUOTATION ON COMMUNICATION PARTS AND ACCESSORIES</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</si>
  <si>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</si>
  <si>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120	Lh	Bar, Deformed, 10mm dia. x 6.0m 		 340	Lh	Bar, Deformed, 12mm dia. x 6.0m 		 60	Lh	Bar, Deformed, 16mm dia. x 6.0m 		 50	Pcs	Wire, Tie #16 		 30	Pcs	Blade, Hacksaw, 24 TPI 		 20	Pcs	Raincoat, Puncho Type, Large 		 75	Pcs	Raincoat, Puncho Type, Medi</t>
  </si>
  <si>
    <t xml:space="preserve"> Procurement of 5650 rds Ctg Cal 40 ball &amp; 3 other LI</t>
  </si>
  <si>
    <t xml:space="preserve"> Item No. 	Item Description	QTY.	Unit	Unit Price	Total Price 1	Body Repair Materials	1			 2	Body Repair Labor	1			 3	Paint Materials	1			 4	Paint Labor	1			 5	Upholstery Materials	1			 6	Upholstery Labor	1			 7	Tint Materials	1			 8	Tint Labor	1			 9	Lette</t>
  </si>
  <si>
    <t xml:space="preserve"> Item No. 	Item Description	QTY.	Unit	Unit Price	Total Price 1	Computer with printer	1	set		 	SPECIFICATIONS:				 	*Processor: 				 	number of cores 6, number of threads 6, bus speed 8 GT/s, 				 	max turbo frequency 4.0G, 9MB smart cache, 14nm, 				 	supp</t>
  </si>
  <si>
    <t xml:space="preserve"> ITEM NO.	QTY.	UNIT	ITEMS &amp; DESCRIPTION	 				 			Assorted Vegetable Seeds: Germination Test	 			Date must be after December 2019	 				 1	100	sachet	Squash, glutinous	 2	100	sachet	Eggplant (long violet, hybrid F1)	 3	60	sachet	Tomato (F1, all season, highl</t>
  </si>
  <si>
    <t xml:space="preserve"> RFQ - SUPPLY AND DELIVERY 3 UNITS DESKTOP COMPUTERS</t>
  </si>
  <si>
    <t xml:space="preserve"> OPENING OF BIDS IN DSWD FO IX ZAMBOANGA CITY, DELIVERY IN DSWD FO IX ZC, PROCUREMENT FOR THE FF.: 1 SERVICE -ARCHITECT FOR THE MONTH OF AUGUST TO DECEMBER 2020 ******************************************************************************** PURPOSE: SERVI</t>
  </si>
  <si>
    <t xml:space="preserve"> Item	Quantity	Unit	ARTICLES					 Estimated Unit Cost  								 1	2	unit	 BUBBLE CPAP for NEO-NATAL					 410,000.00  			* 100% reusable and cleanable					 			* Complete all in one CPAP treatment and monitoring					 			* Integrated gas mixing, humidificatio</t>
  </si>
  <si>
    <t xml:space="preserve"> request for quotation-furniture</t>
  </si>
  <si>
    <t xml:space="preserve"> LOT A									 1	Unleaded Gasoline							1	lot	12,436.28 	Terms &amp; conditions:									 										 	1. The supplier shall start to serve within three (3) days upon receipt of the advice									 	           from the project engineer until the project is co</t>
  </si>
  <si>
    <t xml:space="preserve"> The Department of Agriculture-RFO 3, invites interested suppliers to submit quotations/proposals for the hereunder requirement, to wit: ITEM NO.	QTY.	UNIT	ITEMS &amp; DESCRIPTION		UNIT PRICE	TOTAL AMOUNT	BRAND/MODEL 							 	357	vial	Antirabies Vaccines				 	</t>
  </si>
  <si>
    <t xml:space="preserve"> Republic of the Philippines Province of Negros Oriental Municipality of Santa Catalina REQUEST FOR QUOTATION RFQ NO. 2020-07-01-060 Please quote your lowest price on the item/s listed below, subject to the Terms and Conditions provided with this request f</t>
  </si>
  <si>
    <t xml:space="preserve"> 1	50	pcs	Drawer lock 2	50	pcs	Pad lock 3	50	pcs	Doorknob 4	50	pcs	Bisagra (3inches) 5	50	pcs	Bulb (55watts) 6	66	pcs	Bulb (25 watts) 7	10	can	Furniture Cleanser 400ml 8	50	pcs	Extension wire by 3 			 APPROVED BUDGET FOR THE CONTRACT: PHP 109,586.00 LOCATI</t>
  </si>
  <si>
    <t xml:space="preserve"> Municipality of Dagohoy                                       Name of Project:  Purchase of 1 System Unit, Drone &amp; UPS                                                                             Location of Project: LGU-Dagohoy, Bohol                     </t>
  </si>
  <si>
    <t xml:space="preserve"> VARIOUS MEDICAL EQUIPMENT</t>
  </si>
  <si>
    <t xml:space="preserve"> please see attached document</t>
  </si>
  <si>
    <t xml:space="preserve"> OFFICE OF THE BIDS AND AWARDS COMMITTEE INVITATION TO BID NO. 104-20 Name of Project: Procurement of Lumber &amp; Aggregates used for Repair/ Improvement of Tourism Hub / Waiting Area @ Brgy. Navarro, Socorro, SDN Source of Funds: 20% Development Fund The Mun</t>
  </si>
  <si>
    <t xml:space="preserve"> ITEM NO.	QTY.	UNIT	ITEMS &amp; DESCRIPTION	 				 1	24	pcs	Ergonomic Office Chair	 2	3	pcs	Ergonomic Drafting Leather High Office Chair	 3	2	pcs	Vertical Filing Cabinet w/ vault	 4	4	pcs	Jumbo Steel Storage Cabinet w/ 5 shelves	 			78"H x 48"W x 24"Depth	 5	5	</t>
  </si>
  <si>
    <t xml:space="preserve"> 9	can	ampalaya (Sta. Lucia) 250g 15	can	okra (camilong smooth 900 seeds junior can 20	can	hybrid  patola (aura F1-58 seed junior can) 8	can	Eggplant (long purple-100g) 7	kg	Mustard (super edsel 1kg) 7	kg	Pechay (black behi 1kg) 2	kg	Flowering choysum 1kg </t>
  </si>
  <si>
    <t xml:space="preserve"> 2	Un	Caliper, Digital 		 20	Un	Wheel Borrow, Heavy Duty 		 1	Un	Jack Hammer, Portable 		 1	Un	Generator Set, Portable 		 1	Un	Steel Forms, 48 in. dia. with 3 setter (Pipe Culvert) 		 1	Un	Concrete Mixer, 1-bagger with Diesel Engine, 10 HP 		 		 		Requirem</t>
  </si>
  <si>
    <t xml:space="preserve"> 1	 Automotive Diesel Fuel 							1	lot	726,600.00 										 										 	Terms &amp; Conditions :									 										 	1.The supplier  shall start  to serve within 3 days upon receipt  of 									 	the advice  by  the project engineer until the project is co</t>
  </si>
  <si>
    <t xml:space="preserve"> NEGOTIATED PROCUREMENT FOR PRINTER AMOUNTING PHP 14,500.00</t>
  </si>
  <si>
    <t xml:space="preserve"> ITEM NO.	QTY.	UNIT	ITEMS &amp; DESCRIPTION	 				 1	1	unit	NEWBORN HEARING SCREENING MACHINE	 			 Handheld	 			Automated Result: PASS/REFER result	 			Artifact rejection, with back-up probe	 			Technical Specifications:	 			Test Modalities: TEOAE, DPOAE, ABR	 </t>
  </si>
  <si>
    <t xml:space="preserve"> 1	3	monts	April to June (2nd Quarter) 			for Publication &amp; Coverage of LGU -Events, 			programs &amp; Projects: 			 APPROVED BUDGET FOR THE CONTRACT: PHP 67,500.00 LOCATION OF THE CONTRACT: BATARAZA, PALAWAN DURATION OF THE CONTRACT: 7 DAYS SCHEDULE OF ACTIVI</t>
  </si>
  <si>
    <t xml:space="preserve"> ITEMS: 3028.69 LTRS  DIESEL FUEL</t>
  </si>
  <si>
    <t xml:space="preserve"> 14,481	packs	Commercial Organic 		Specification: 		1. Nitrogen (N) Content = 1.5 to 2.5% 		2. Phophorous (P) Content = 5% and above 		3. Potassium (K) Content = 4% and above 		4. No traces of inorganic emelents (geniunely organic) and safe 		5. Presence o</t>
  </si>
  <si>
    <t xml:space="preserve"> Interested bidders are requested to be pre-qualified and to bid for the supply of labor and materials for the construction of water treatment facility in brangay Dapdap</t>
  </si>
  <si>
    <t xml:space="preserve"> Diesel</t>
  </si>
  <si>
    <t xml:space="preserve"> 1.	The Municipal Government of El Nido, through the General Fund intends to apply the sum of Seven Hundred Thousand Pesos (₱ 700,000.00) being the Approved Budget for the Contract (ABC) to payments for the  Procurement of Fuel, Oil and Lubricant for MEO o</t>
  </si>
  <si>
    <t xml:space="preserve"> 8 unit - HD Pro Webcam, Widescreen Video Calling and Recording, 1080p, USB ●Full HD 1080p video calling (up to 1920 x 1080 pixels) with the latest version of Skype for Windows ●720p HD video calling (up to 1280 x 720 pixels) with supported clients. Full H</t>
  </si>
  <si>
    <t xml:space="preserve"> 94 pcs polo shirts 94 pcs pants</t>
  </si>
  <si>
    <t xml:space="preserve"> VARIOUS SUPPLIES</t>
  </si>
  <si>
    <t xml:space="preserve"> Muscovy/mallard ducks "pullet", ready to lay, atleast 4 months old		130	Heads Drake		26	Heads</t>
  </si>
  <si>
    <t xml:space="preserve"> 60 pc. Transport Services - for the specifications, see the end-user.           x-x-x-x-x</t>
  </si>
  <si>
    <t xml:space="preserve"> Republic of the Philippines Province of Occidental Mindoro Municipality of Sta. Cruz INVITATION TO BID The Municipality of Sta. Cruz, through its Bids and Awards Committee (BAC), invites once again qualified suppliers to bid for the implementation of here</t>
  </si>
  <si>
    <t xml:space="preserve"> OFFICE OF THE BIDS AND AWARDS COMMITTEE INVITATION TO BID NO. 102-20 Name of Project: Procurement of Tarpaulin used for Construction of Brgy. Road (phase II) @ Brgy. Pamosaingan, Socorro, SDN Source of Funds: LGU 20% Development Fund The Municipality of S</t>
  </si>
  <si>
    <t xml:space="preserve"> ITEM NO.	QTY.	UNIT	ITEMS &amp; DESCRIPTION	 				 1	45	bags	Complete Fertilizer (14-14-14) (50kgs/bag)	 2	40	bags	Muriate of Potash 0-0-60 (50kgs/bag)	 3	15	bxs	Fungicide (1kg/box)	 4	15	bottles	Pesticide (chlorpyrifos, CaH, Cl3NO3PS, 1ltr/bot)	 5	40	bottles	P</t>
  </si>
  <si>
    <t xml:space="preserve"> Republic of the Philippines     Province of Oriental Mindoro Barangay Maragooc  Gloria, Oriental Mindoro INVITATION TO BID ITB No. 2020-001  SUPPLY AND DELIVERY OF HARDWARE MATERIALS FOR CONSTRUCTION OF BARANGAY HEALTH STATION BUILDING 1. The Barangay  Ma</t>
  </si>
  <si>
    <t xml:space="preserve"> Office Supplies</t>
  </si>
  <si>
    <t xml:space="preserve"> Procurement of Data Folder               300pcs - Made of Chipboard - with Lever Arch File Mechanism and Taglia Lock - for Legal Size Document - Color : Blue</t>
  </si>
  <si>
    <t xml:space="preserve"> 600  tanks  of Medical Oxygen, standard refill for use in Western Leyte Provincial Hospital. w-w-w-w-w-w-w-w-w-w-w-w-w</t>
  </si>
  <si>
    <t xml:space="preserve"> 2  station  Lumpsum Services for Airing Information Dissemination on City City's Development News Program " Padajon Paglambo Surigao" for the period of April 1 - June 29, 2020 (10:00 am - 10:30am) -(MWF - AM STATION) X-X-XX-X- NOTE: replacement copy for t</t>
  </si>
  <si>
    <t xml:space="preserve"> SUPPLY AND DELIVERY OF SUPPLIES/MATERIALS FOR REPAIR AND MAINTENANCE OF PMWS (PURCHASE OF ALTERNATE/RESERVE PUMP): 1.  2 sets 4” submersible pump (pump head) 5HP, 3.7 kw 60Hz, control box for submersible motor, 5hp, 3.7kw, 230v 3.7kw, 1ph, 60Hz</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</si>
  <si>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</si>
  <si>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183 sachets 10% Alphacypermethrin Suspension 5ml</t>
  </si>
  <si>
    <t xml:space="preserve"> EXCAVATION FOR CHB LAYING PLASTERING FLOORING FOR 13 M LONG W/ 3 STEP RISER</t>
  </si>
  <si>
    <t xml:space="preserve"> Republic of the Philippines MUNICIPALITY OF BUENAVISTA INVITATION TO BID FOR SUPPLY AND DELIVERY OF AIRCON FOR MUNICIPAL AGRICULTURE OFFICE   1.	The Local Government Unit of Buenavista, Marinduque through the fund from Capital Outlay intends to apply the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</si>
  <si>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</si>
  <si>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Diesel Gasoline</t>
  </si>
  <si>
    <t xml:space="preserve"> ITEMS 20 pcs Air Cleaner 20 pcs Oil Filter 034 10 pcs Oil Filter 306 10 pcs Oil Filter 10 pcs Rock End 4WD 4 pcs Rock End L300 4 pcs Rock End 555 6 pcs Velocity Stick BRG 5 Pcs Velocity Oil Seal 6 pcs Velocity Bearing Outer 20 pcs Rubber Cap</t>
  </si>
  <si>
    <t xml:space="preserve"> Purchase of School Supplies</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</si>
  <si>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</si>
  <si>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A) REQUEST FOR QUOTATION 1. 10,000 pcs Automobile Headlight RFID TAG ULTRA HIGH FREQUENCY RFID TAG (UHF RFID TAG) Waterproof Sunscreen Anti Tear 99mm x 12mm B) USE COMPANY LETTERHEAD FOR YOUR QUOTATION &amp; ADDRESS TO: DIR. JAMES JUPER B. AGUILAR Head, Procu</t>
  </si>
  <si>
    <t xml:space="preserve"> Rehab of Tanod Outpost</t>
  </si>
  <si>
    <t xml:space="preserve"> Republic of the Philippines DEPARTMENT OF PUBLIC WORKS AND HIGHWAYS QUIRINO DISTRICT ENGINEERING OFFICE REGIONAL OFFICE II Cabarroguis, Quirino Procuring Entity	:	DPWH - QDEO	P.R. No.	:	2020-06-088 Revised on	:		Date	:	6/24/2020 Standard Form/Title	:	REQU</t>
  </si>
  <si>
    <t xml:space="preserve"> see attached documents</t>
  </si>
  <si>
    <t xml:space="preserve"> NEGOTIATED PROCUREMENT FOR MAINTENANCE OF COMFORT ROOMS AMOUNTING PHP 5,000.00</t>
  </si>
  <si>
    <t xml:space="preserve"> 1 Unit Laptop Computer OS: Windows 10 Pro Processor: Intel Core i7, 1.8 GHz quadcore with turbo boost and 6MB cache Graphics: 2 GB Video Memory: 2GB Display: 14" Memory: 8GB / 16GB 2133 MHz LPDDR3 Storage: 1 TB</t>
  </si>
  <si>
    <t xml:space="preserve"> Indelible Ink Markers Silver Nitrate 7%</t>
  </si>
  <si>
    <t xml:space="preserve"> Republic of the Philippines Province of Negros Oriental Municipality of Santa Catalina REQUEST FOR QUOTATION RFQ NO. 2020-07-01-063 Please quote your lowest price on the item/s listed below, subject to the Terms and Conditions provided with this request f</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</si>
  <si>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</si>
  <si>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*please see attached RFQ</t>
  </si>
  <si>
    <t xml:space="preserve"> 1 unit CAT5e UTP Cable, etc.           x-x-x-x-x-x</t>
  </si>
  <si>
    <t xml:space="preserve"> Please see attached RFQ and Terms of Reference (6 pages total)</t>
  </si>
  <si>
    <t xml:space="preserve"> 1	Automotive Diesel Fuel							1	Lot	55,800.00 2	Unleaded Gasoline							1	Lot	11,520.00 										 	NOTE: Terms and Conditions									 	1. The supplier start to serve within 3 days upon receipt of the 									 	advice by the project engineer until the </t>
  </si>
  <si>
    <t xml:space="preserve"> 1.	The Municipal Government of El Nido, through the General Fund and 5% of 45% CRM ETDF intends to apply the sum of Two Hundred Twenty Three Thousand Pesos (₱ 223,000.00) being the Approved Budget for the Contract (ABC) to payments for the Procurement and</t>
  </si>
  <si>
    <t xml:space="preserve"> Republic of the Philippines Province of Zambales MUNICIPALITY OF PALAUIG -0- BID AND AWARD COMMITTEE REQUEST FOR EXPRESSION OF INTEREST Consultant on Political Affairs PALG NO. 03-2020 1.	The LOCAL GOVERNMENT UNIT OF PALAUIG, through its Bids and Awards C</t>
  </si>
  <si>
    <t xml:space="preserve"> 100 - 	Pack - 	Battery, Rechargable Battery, AAA, 2 pcs/blister pack 3 - 	Unit - 	Battery Charger. Type: 4-bay quick smart charger Charge: AA - 4 batteries Charge rate std AA: 4*800mA (3 hours) fast charging (1.5 hours) Individual charging: yes, fast Colo</t>
  </si>
  <si>
    <t xml:space="preserve"> Republic of the Philippines Province of Southern Leyte MUNICIPALITY OF LIMASAWA -o0o- Bids and Awards Committee Invitation to Bid for the Supply of Agricultural Seeds for the Implementation of the Yolanda Rehabilitation and Reconstruction Program (YRRP) o</t>
  </si>
  <si>
    <t xml:space="preserve"> OPENING OF BIDS IN DSWD FO IX ZAMBOANGA CITY, DELIVERY IN DSWD FO IX ZC, PROCUREMENT FOR THE FF.: 2 SERVICES- DRAFTSMEN  FOR THE MONTH OF AUGUST TO DECEMBER 2020 ***************************************************************** PURPOSE: SERVICE PROVIDER F</t>
  </si>
  <si>
    <t xml:space="preserve"> Procurement of 1 Lot Soil Exploration/Investigation Services for the Construction of Pasalubong Center, this city</t>
  </si>
  <si>
    <t xml:space="preserve"> 1 UNIT MOTORCYCLE Pls. see attached file.</t>
  </si>
  <si>
    <t xml:space="preserve"> LOT A									 1	Unleaded Gasoline							1	lot	22,750.00 	Terms &amp; conditions:									 										 	1. The supplier shall start to serve within three (3) days upon receipt of the advice									 	           from the project engineer until the project is co</t>
  </si>
  <si>
    <t xml:space="preserve"> plastic chairs, executive chairs, computer printer,etc..(1lot)</t>
  </si>
  <si>
    <t xml:space="preserve"> Item	QTY.	UNIT	PARTICULARS / DESCRIPTION AND SPECIFICATIONS		APPROVED	UNIT PRICE	 NO.					UNIT COST		 1			 Monday, July 13, 2020 				 	375	 pax 	 AM Snacks 		 80.00 		 			 Lasagna, Fresh Juice 				 	375	 pax 	 Lunch 		 180.00 		 			 Buttered fish with swe</t>
  </si>
  <si>
    <t xml:space="preserve"> Republic of the Philippines Province of Occidental Mindoro Municipality of Sta. Cruz INVITATION TO BID The Municipality of Sta. Cruz, through it Bids and Awards Committee (BAC), invites once again qualified suppliers/dealers to bid for the furnishing and </t>
  </si>
  <si>
    <t xml:space="preserve"> OPENING OF BIDS IN DSWD FO IX ZAMBOANGA CITY, DELIVERY IN DSWD FO IX ZC, PROCUREMENT FOR THE FF.: 2 SERVICES -   ELECTRICAL  ENGINEER FOR THE MONTH OF AUGUST TO DECEMBER 2020 ***************************************************************** PURPOSE: SERVI</t>
  </si>
  <si>
    <t xml:space="preserve"> OFFICE OF THE BIDS AND AWARDS COMMITTEE INVITATION TO BID NO. 105-20 Name of Project: Procurement of Hardware Materials used for Repair/ Improvement of Tourism Hub / Waiting Area @ Brgy. Navarro, Socorro, SDN Source of Funds: 20% Development Fund The Muni</t>
  </si>
  <si>
    <t xml:space="preserve"> INVITATION TO QUOTE Date:  July 02, 2020 1.	The Provincial Government of Davao del Sur, through its Bids and Awards Committee (BAC), invites all interested bidders/suppliers to quote for the following goods under Alternative Methods of Procurement ([Shopp</t>
  </si>
  <si>
    <t xml:space="preserve"> A) REQUEST FOR QUOTATION 1. 1,000 pcs ID WITH BEEP FUNCTIONALITY (PRE-PRINTED CARDS) Material: Poly Vinyl Chloride Card (Offset) Printing: Full color front and back Size: CR80 (Round in Four Corners, Conforming to ANSI &amp; ISO Specification) 0.76mm MIFARE D</t>
  </si>
  <si>
    <t xml:space="preserve"> 1. The Mindanao State University - Tawi-Tawi College of Technology and Oceanography (MSU-TCTO), through the GAA 2020, intends to apply the sum of Nine Hundred Fifty-Two Thousand Seven Hundred Fifty Pesos only (PhP 952,750.00) being Approved Budget of Cont</t>
  </si>
  <si>
    <t xml:space="preserve"> 36	pcs	foot bath mat 19x29 plastic with 3m mat 23	pcs	thermal scanner (accurate: 0.2 (0.4) 36	bxs	Surgical Mask 3 ply 36	bxs	Surgical gloves (Nitrile powder free) 100	pcs	Face shield anti-fog, ultra-clear PET shield 100	pcs	bath soap 135g</t>
  </si>
  <si>
    <t xml:space="preserve"> 1 unit Main Assembly with Main Pump Coupling Note: Please refer to attached photos for specifications</t>
  </si>
  <si>
    <t xml:space="preserve"> 4,000	vials	CEFUROXIME 750MG 1,500	amps	CITICOLINE 1gm/4ml 1,500	vials	DEXAMETHASONE 8mg/2ml 1,000	amps	DICLOFENAC Sodium 75mg/3ml 1,000	amps	HYDRALAZINE 20mg/ml 500	vials	HYDROCORTISONE 250mg 1,500	amps	HYOSCINE N-BUTHYLBROMIDE 20mg/ml 1,000	vials	OMEPRA</t>
  </si>
  <si>
    <t xml:space="preserve"> 1	4	can 	AIR FRESHENER, aerosol,280ml/150g min 2	2	gallon	ALCOHOL,ethy,68%-72%,scented,3.785 liters 3	15	pack	BATTERY,dry cell,A4 4	2	piece	DATING AND STAMPING  MACHINE 5	3	can 	DISINFECTANT SPARY 6	1	box	ENVELOP,mailing,white,70gsm 7	4	set	FILE TAB DIVID</t>
  </si>
  <si>
    <t xml:space="preserve"> One Set of Public Address</t>
  </si>
  <si>
    <t xml:space="preserve"> 6 pcs Dipper - Medium 3 pcs Container - 33L 3 pcs Container - 100L 3 pcs Trash Can with Cover 3 pcs Broom - Soft Tambo 5 pcs Broom - Tingting 4 pcs Sponge with Foam 4 pcs Sponge with Non-Foam 3 pcs Dustpan -Plastic 3 pcs Dustpan - Stainless 6 pcs Pail -12</t>
  </si>
  <si>
    <t xml:space="preserve"> Republic of the Philippines Zamboanga Peninsula Department of Health Basilan General Hospital Isabela City, Basilan 7300 Invitation to Bid for the PROPOSED PROCUREMENT FOR UPGRADING OF ELECTRICAL SYSTEM FROM 100KVA-SINGLE PHASE TO 750KVA-3 PHASE 1. The Ba</t>
  </si>
  <si>
    <t xml:space="preserve"> Three (3) rolls Barbed Wire #12 and nineteen (19) other L/I</t>
  </si>
  <si>
    <t xml:space="preserve"> 20 UNIT/S CATHETER, PEDIATRIC, 15Fx37CM DOUBLE CUFF, STRAIGHT CATHETER 20 UNIT/S CATHETER, ADULT, 15Fx63CM DOUBLE CUFF, STRAIGHT COILED 15 UNIT/S CATHETER, NEONATAL, 15Fx31CM DOUBLE CUFF, STRAIGHT CATHETER NOTE: ALL NEW SUPPLIER ARE REQUIRED TO SUBMIT THE</t>
  </si>
  <si>
    <t xml:space="preserve"> Procurement of One (1) Lot Laboratory and One (1) Lot Agricultural Supplies A. Laboratory Supplies 20 bottle Alcohol, 70% ethyl, 500ml- 1,800.00 8 box Face Mask (earloop mask) 50 pc/box- 1,200.00 10 roll Cling wrap- 3,200.00 99 pack Spaghetti box, 25 pc/p</t>
  </si>
  <si>
    <t xml:space="preserve"> SAFETY SHOES - 140 PAIRS           GOGGLES -         200 PCS.</t>
  </si>
  <si>
    <t xml:space="preserve"> OFFICE OF THE BIDS AND AWARDS COMMITTEE INVITATION TO BID NO. 101-20 Name of Project: Procurement of Lumber &amp; Aggregates used for Construction of Brgy. Road (phase II) @ Brgy. Pamosaingan, Socorro, SDN Source of Funds: LGU 20% Development Fund The Municip</t>
  </si>
  <si>
    <t xml:space="preserve"> 1	5	sets	Ink Epson L360	 2	40	reams	Bond Paper A4	 3	40	reams	Bond paper Legal	 4	50	pcs	Pentel Pen	 5	400	pcs	Folder Long	 6	20	pcs	Correction tape	 7	100	pcs	Ballpen High Quality	 8	7	pcs	Double sided tape 2"	 9	50	pcs	Manila paper	 10	20	pcs	Masking ta</t>
  </si>
  <si>
    <t xml:space="preserve"> 103 pcs Water meter ½" dia with anti back flow</t>
  </si>
  <si>
    <t xml:space="preserve"> Purchase of Diesel for Service Vehicles assigned in the Planning &amp; Design Section</t>
  </si>
  <si>
    <t xml:space="preserve"> 3 LI</t>
  </si>
  <si>
    <t xml:space="preserve"> 2 unts 3-in-1 printer 1 unit 3-in-1 Printer with wifi 2 units UPS  1 unit Desktop Computer (Core i7; 32gb; DDR4 Memory, 1tb HD; 250gb SSD;  4gb video grad 27'' curve LED; Keyboard, Mouse, 650VA UPS)</t>
  </si>
  <si>
    <t xml:space="preserve"> Republic of the Philippines Province of Nueva Vizcaya MUNICIPALITY OF BAGABAG INVITATION TO BID  PURCHASE and DELIVERY of various VACCINE, BIOLOGICS and VETERINARY EQUIPMENTS  LGU, Bagabag, Nueva Vizcaya 1.	The Local Government Unit of Bagabag, through 20</t>
  </si>
  <si>
    <t xml:space="preserve"> 1	LOT	SUPPLY AND DELIVERY OF 1,000 PCS SCHOOL CHAIR WITH ARM AND BOOK TRAY 		WITH THE FOLLOWING SPECIFICATIONS: 		-MADE OF SOLID WOOD SEAT AND BACK, SLOTTED WITH SOLID WOOD WRITING  		 TABLE AT 625MM X 250MM, VARNISHED AND PAINTED BLACK BI PIPE FRAME  		 </t>
  </si>
  <si>
    <t xml:space="preserve"> Invitation to Bid for the  BACKFILLING OF MUNICIPAL LOT @ BUGALLON PROPER, RAMON, ISABELA 1.	The LGU-RAMON, ISABELA, through the Budget for the contract approved by the Sanggunian intends to apply the sum of Php4,700,000.00 being the Approved Budget for t</t>
  </si>
  <si>
    <t xml:space="preserve"> LGU - San Antonio, Zambales					 Office of the Municipal Agriculturist					 					 					 REQUEST FOR QUOTATION					 				Date:  	 				Quotation No. : 	 ______________________________________					 ______________________________________					 					 	Please quo</t>
  </si>
  <si>
    <t xml:space="preserve"> Republic of the Philippines									 Province of Batangas									 City of Sto. Tomas									 Barangay SAN PEDRO									 									 									 INVITATION TO BID									 									 The Barangay Government of San Pedro, City of Tomas, Batangas through its B</t>
  </si>
  <si>
    <t xml:space="preserve"> Republic of the Philippines CITY GOVERNMENT OF ORMOC  2nd /F New Ormoc City Hall Bldg.,Ormoc City Tel # (053) 255-2054 &amp; 560-8050 Local # 1126, 1127 &amp; 1123	      RFQ 6-____________ Invitation to Quote (Small Value Procurement)         In accordance with S</t>
  </si>
  <si>
    <t xml:space="preserve"> Sir/ Ma'am: Please quote your lowest possible prices for the articles described in the attached document.</t>
  </si>
  <si>
    <t xml:space="preserve"> Project Reference No.       	:	100200600802 Project Name	:	Purchase of Office Supplies uses by this Municipality  Approved Budget for the Contract (ABC)	:	Php 103,275.00  Starting Date:	:	July 3, 2020 Finish Date	:	July 6, 2020</t>
  </si>
  <si>
    <t xml:space="preserve"> Republic of the Philippines Province of Zambales MUNICIPALITY OF PALAUIG -0- BID AND AWARD COMMITTEE REQUEST FOR EXPRESSION OF INTEREST Consultant on Legal Affairs PALG NO. 04-2020 1.	The LOCAL GOVERNMENT UNIT OF PALAUIG, through its Bids and Awards Commi</t>
  </si>
  <si>
    <t xml:space="preserve"> 2.00 unit Printing Machine (Digital Duplicator w/ PC Connectivity Print Speed: minimum 100 prints per minute Print Resolution: 300 x 300 dpi Connectivity: USB/PC connectivity ready Minimum ink supply: 800ml Minimum Master Supply: 200 cuts Minimum Paper Fe</t>
  </si>
  <si>
    <t xml:space="preserve"> Republic of the Philippines								 Province of Cebu								 Municipality of Alcantara								 								 								 Standard Form Number:			SF-INFR-05					 Revised on:								 								 INVITATION TO APPLY FOR ELIGIBILITY AND TO BID								 								 The Munic</t>
  </si>
  <si>
    <t xml:space="preserve"> Face Masks ( disposable) Alcohol ( 500 ml) Thermal Scanner Liquid Soap Footbath Gloves</t>
  </si>
  <si>
    <t xml:space="preserve"> Qty   Unit  Item Description 1	pc	Mas. Drill Bit 3/8			 1	pc	Mas. Drill Bit 3/16			 7	pcs	Male Plug			 5	pcs	Marine Plywood ¼			 4	bots	Laquer Thinner			 5	bags	Mab-Cement			 5	pcs	Mini Roller			 5	mtrs	M-Paciflex flat chord # 16			 4	pcs	Drill Bit 5/32		</t>
  </si>
  <si>
    <t xml:space="preserve"> 10 UNIT/S KIDNEY BIOPSY GUN, BARD MAX CORE DISPOSABLE CORE BIOPSY INSTRUMENT GAUGE: 18g NEEDLE LENGTH: 16cm LENGTH OF SAMPLE NOTCH: 1.8cm PENETRATION DEPTH: 22cm NOTE: ALL NEW SUPPLIER ARE REQUIRED TO SUBMIT THE FOLLOWING DOCUMENT. 1. DTI Registration 2. </t>
  </si>
  <si>
    <t xml:space="preserve"> 1.	The Municipal Government of El Nido, through the General Fund intends to apply the sum of Six Hundred Thousand Pesos (₱ 600,000.00) being the Approved Budget for the Contract (ABC) to payments for the  Procurement of Fuel, Oil and Lubricant for MEO of </t>
  </si>
  <si>
    <t xml:space="preserve"> 1 unit 3 tonner floor mounted airconditioner box type including installation good quality</t>
  </si>
  <si>
    <t xml:space="preserve"> 3	sets	Personal Protective Gear</t>
  </si>
  <si>
    <t xml:space="preserve"> 1800	vls	Ampicillin vial 500mg 900	vls	Ampicillin vial 250mg 75	amps	Bupivacaine HCL 0.05% heavy , spinal (SENSORCAINE) 1500	vials	Ceftriaxone 1g 36	bxs	Captopril tab 25mg x 100's 150	amps	Hydralazine amp. 20mg/ml 1 ml x 50's 25	vls	Lidocaine vial 2% 50ml</t>
  </si>
  <si>
    <t xml:space="preserve"> 500 BOOKLETS - DELIVERY RECEIPTS FOR DIESEL PUM 1/4/OS DUPLICATE         500 PCS. - BINCARD</t>
  </si>
  <si>
    <t xml:space="preserve"> Republic of the Philippines CITY GOVERNMENT OF ORMOC  2nd /F New Ormoc City Hall Bldg.,Ormoc City Tel # (053) 255-2054 &amp; 560-8050 Local # 1126, 1127 &amp; 1123	      RFQ 7-____________ Invitation to Quote (Small Value Procurement)         In accordance with S</t>
  </si>
  <si>
    <t xml:space="preserve"> Morning snacks: March 09,2020 1	186	served	Pansit 2	186	bots.	Mineral water 350ml 			Lunch: 3	186	served	Chicken adobo 4	186	bots.	Mineral water 350ml 5	186	served	Rice 			Morning snacks: March 10,2020 6	186	served	Spaghetti 7	186	bots.	Mineral water 350m</t>
  </si>
  <si>
    <t xml:space="preserve"> Republic of the Philippines Province of Pangasinan MUNICIPALITY OF LINGAYEN BARANGAY WAWA Invitation to Bid for the Purchase/installation of CCTV Camera at Barangay Wawa, Lingayen, Pangasinan  The Barangay Wawa, through the  Capital Outlay  intends to app</t>
  </si>
  <si>
    <t xml:space="preserve"> PLS. SEE ATTACHED DETAILS</t>
  </si>
  <si>
    <t xml:space="preserve"> 100 pc. Cellcards @ 300             x-x-x-x</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</si>
  <si>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</si>
  <si>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Lot D- Hardware Supply</t>
  </si>
  <si>
    <t xml:space="preserve"> 1.	The Municipal Government of El Nido, through the General Fund, intends to apply the sum of Three Hundred Thirty Six Thousand Four Hundred Pesos (₱ 336,400.00) being the Approved Budget for the Contract (ABC) to payments for the Procurement and Delivery</t>
  </si>
  <si>
    <t xml:space="preserve"> 1	Unit	Desktop Computer w/ Accessories:  		Intel Core i7 CPU                 GIGABYTE H310MH 20 BOARD                 8GB 2400 DIMM RAM                 120GB SSD+500GB HDD Storage                 Viewsonic 21.5” Monitor                 Odyssey W/700W PSU </t>
  </si>
  <si>
    <t xml:space="preserve"> Republic of the Philippines Department of Health CENTRAL OFFICE BIDS AND AWARDS COMMITTEE Name of the Procuring Entity:  Department of Health Name of the Project: Procurement of Fire Extinguisher-Refill Delivery Site: Philippine Blood Center, Lung Center </t>
  </si>
  <si>
    <t xml:space="preserve"> The procuring entity shall draw up a list of at least three (3) suppliers of known qualifications which will be invited to submit proposals. (Section 53.9.1 of Revised IRR of RA 9184)</t>
  </si>
  <si>
    <t xml:space="preserve"> MATERIALS  No.	ITEM DESCRIPTION        	  UNIT 	QUANTITY 1	PVC pipe 1/2 orange 	          pcs	              15 2	PVC elbow 1/2 plain	          pcs	              70 3	PVC tee 1/2	                  pcs	              70 4	PVC coupling 1/2 w/ thread	  pcs	   </t>
  </si>
  <si>
    <t xml:space="preserve"> REQUEST FOR QUOTATIONS: Please quote your best offer for the item/s described below, subject to the Terms and Conditions provided at the dorsal portion of this request for quotation. Submit your quotation duly signed by you or your duly representative and</t>
  </si>
  <si>
    <t xml:space="preserve"> FABRICATION &amp; INST. OF GIRDER STRINGER FOR WOODEN BLEACHER, STAIR &amp; RISER @ SALAWAGAN COVERED COURT</t>
  </si>
  <si>
    <t xml:space="preserve"> 1.	The Municipal Government of El Nido, through the General Fund intends to apply the sum of One Million Two Hundred Sixty One Thousand Five Hundred Thirty Five Pesos and Eighty Centavos (₱ 1,261,535.80) being the Approved Budget for the Contract (ABC) to</t>
  </si>
  <si>
    <t xml:space="preserve"> Republic of the Philippines CITY GOVERNMENT OF ORMOC  2nd /F New Ormoc City Hall Bldg.,Ormoc City Tel # (053) 255-2054 &amp; 560-8050 Local # 1126, 1127 &amp; 1123	      RFQ 5-____________ Invitation to Quote (Small Value Procurement)         In accordance with S</t>
  </si>
  <si>
    <t xml:space="preserve"> A) REQUEST FOR QUOTATION 1. 1 lot FC-10-W06HD-934-02-12 FortiWeb-600D 24 x 7 Standard Bundle Renewal Includes: Advanced Hardware Replacement (NBD), Firmware and General Upgrades, 24x7 Support, Antivirus FortiWeb Security Service, &amp; IP Reputation for 7 Mon</t>
  </si>
  <si>
    <t xml:space="preserve"> NEGOTIATED PROCUREMENT FOR PMATERIALS FOR REPAIR AND INSTALLATION OF WATER STORAGE AMOUNTING PHP 10,000.00</t>
  </si>
  <si>
    <t xml:space="preserve"> Republic of the Philippines									 DEPARTMENT OF PUBLIC WORKS &amp; HIGHWAYS									 CAMARINES SUR 3RD   									 DISTRICT ENGINEERING OFFICE									 Regional Office V									 Baras, Canaman									 									 Name of Procuring Entry: DPWH-Cam. Sur III	</t>
  </si>
  <si>
    <t xml:space="preserve"> Color: Black PE 100/80 ISO series in accordance with PNS ISO 4427:2002 Poutside Diameter (mm)	160 Nominal Size (inch)		6 Length			6 PE 80 SDR 11		( PN 12.50) Nominal Pressure		185 Psi Thickness (mm)		14.60 x-x-x-x-x-x-x-x-x-x-x</t>
  </si>
  <si>
    <t xml:space="preserve"> BIDS AND AWARDS COMMITTEE INVITATION TO SUBMIT PRICE QUOTATIONS SMALL VALUE PROCUREMENT No. 066-2020                                                                 The METRO ROXAS WATER DISTRICT (MRWD), through its Bids and Awards Committee (BAC), invite</t>
  </si>
  <si>
    <t xml:space="preserve"> Lot 1	Office Conference Equipment &amp; Accessories for Session Hall  	 	the audio system of the SP Session Hall  2	pc	All-in-one Rechargeable PA Solution  	 	 - Battery: lithium-ion rechargeable, 6-hour play time  	 	 - Max SPL: 118dB(peak)  	 	 - Bass: 8" L</t>
  </si>
  <si>
    <t xml:space="preserve"> Materials for the rehabilitation of SP Session Hall</t>
  </si>
  <si>
    <t xml:space="preserve"> *PIPE - G.I. Pipe 2"Ø x 6m, Sched. 40, Standard (50 lgth/s) *WELDING ELECTRODE - #E6013, 1/8"Ø, 20kg/box (3 boxes) *Please see attached canvass form.</t>
  </si>
  <si>
    <t xml:space="preserve"> 14	sets	Personal Protective Gear 		Complete set (Upper and Lower, Tactical Shoes)</t>
  </si>
  <si>
    <t xml:space="preserve"> Name of the Procuring Entity: LGU LILA					Project Reference Number    : 02-0066-20			 								 					Name of the Project             :			Rental of Accomodation for Frontliners								 								 								 					Location of the Project         :			LGU-Lila				</t>
  </si>
  <si>
    <t xml:space="preserve"> Republic of the Philippines PROVINCE OF ZAMBOANGA SIBUGAY Municipality of Roseller T. Lim    INVITATION TO BID 						July 02, 2020 	 To All Interested Bidders: Notice is hereby served that sealed bid be received for public bidding under the harmonious pro</t>
  </si>
  <si>
    <t xml:space="preserve"> You can submit your accomplished RFQ form  @ BAC Office, Bogo City Hall, Cayang, Bogo City, Cebu  or email us @ bogobacoffice2019@gmail.com / 	      bogocpdo@gmail.com Not later than the closing date.</t>
  </si>
  <si>
    <t xml:space="preserve"> A) REQUEST FOR QUOTATION 1. 10 Unit Flatbed Document Scanner Scan Function: Scanner Type: Flatbed colour image scanner Sensor Type: CIS Light Source: LED Optical Resolution: 1,200 x 1,200 dp Output Resolution: 50 – 1,200 dpi (in 1 dpi increments) Scanner </t>
  </si>
  <si>
    <t xml:space="preserve"> 5 pc. Luggage with DOH Logo 10 pc. Polo Shirt with embroidery of unit logo          x-x-x-x-x-x</t>
  </si>
  <si>
    <t xml:space="preserve"> RFQ-TFB-12-2020 Republic of the Philippines Province of Davao Oriental CITY OF MATI BIDS AND AWARDS COMMITTEE (Local Funding Source) REQUEST FOR QUOTATION (Negotiated Procurement – Two Failed Biddings) 		 Name of Company:	 Address:	 Telephone No.:	 Please</t>
  </si>
  <si>
    <t xml:space="preserve"> Intrested bidders are requested to pre-qualified and to bid for the supply of Labor and materials for the project</t>
  </si>
  <si>
    <t xml:space="preserve"> The Technical Education and Skills Development Authority (TESDA) Ilocos Sur, through the Procurement Division, will undertake a small value procurement in Construction and Painting of Tool Cabinets in Provincial Training Center - Candon City, in accordanc</t>
  </si>
  <si>
    <t xml:space="preserve"> PR No.:		P2020-06-131		Mode of Procurement:		 AMP-SHOPPING	 PR Date:		06-01-20		RFQ No.:		    2020-06-105	 Requisitioner:		PENRO		Philgeps Reference No.:			 ABC:		P315,069.48 		Closing Date:			 				Time:			 							            Please quote your lowest pric</t>
  </si>
  <si>
    <t xml:space="preserve"> Republic of the Philippines DEPARTMENT OF PUBLIC WORKS AND HIGHWAYS QUIRINO DISTRICT ENGINEERING OFFICE REGIONAL OFFICE II Cabarroguis, Quirino Procuring Entity	:	DPWH - QDEO	P.R. No.	:	2020-06-081 Revised on	:		Date	:	6/17/2020 Standard Form/Title	:	REQU</t>
  </si>
  <si>
    <t xml:space="preserve"> 90	bxs	Dengue Rapid Test 90	packs	Microtainer 0.5ml, Lavander Top 8	bttls	Anti Human Globulin 8	bttls	LISS 8	kits	SGPT 8	kits	SGOT 8	sets	Anti A &amp; B, Typing Sera 5	vls	Anti D, RH, Typing 10ml 50	bttls	Urine Strips 4 Parameter 4	bxs	Total Cholesteral 60	tu</t>
  </si>
  <si>
    <t xml:space="preserve"> Republic of the Philippines CITY GOVERNMENT OF ORMOC  2nd /F New Ormoc City Hall Bldg.,Ormoc City Tel # (053) 255-2054 &amp; 560-8050 Local # 1126, 1127 &amp; 1123	      RFQ 8-_______ Invitation to Quote (Small Value Procurement)         In accordance with Sectio</t>
  </si>
  <si>
    <t xml:space="preserve"> Vehicle Hire for the Conduct of Vulnerability and Risk Assessment and Geohazard Map Updating in the Municipalities of Lidlida and Galimuyod, Ilocos Sur on the following dates: Lidlida, Ilocos Sur - July 6-10, 13-14, 2020 (7 days) Galimuyod, Ilocos Sur – J</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</si>
  <si>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</si>
  <si>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The Municipality of Limay, through its Bids and Awards Committee (BAC) invites registered suppliers to apply for eligibility and if found eligible, to bid for the hereunder project/contract: Project/Contract:   SUPPLY AND INSTALLATION OF ONE (SET) VENTILA</t>
  </si>
  <si>
    <t xml:space="preserve"> Construction of Paritition Wall(interior), Cover of Left Side Truss, Finishng Left Side Wall, Fabrication/Installation of Steel Grills for Main Entrance, Repair of Kitchen Sink, Painting Works, Installation of Ceiling Moulding.</t>
  </si>
  <si>
    <t xml:space="preserve"> INVITATION TO BID									 									 The  BARANGAY GOVERNMENT OF DON RICARDO G. MACIAS, SINDANGAN ZAMBOANGA DEL NORTE, through its Bids and Awards Committee (BAC), hereby invites suppliers/manufacturers/ distributors/contractors to apply for eligibility a</t>
  </si>
  <si>
    <t xml:space="preserve"> 1	1	UNITS	AIR CONDITIONER 			1.5 HP 			 			WINDOW TYPE 			 2	1	UNITS	AIR CONDITIONER- 2 HP 			WINDOW TYPE 			 APPROVED BUDGET FOR THE CONTRACT: PHP 65,000.00 LOCATION OF THE CONTRACT: BATARAZA, PALAWAN DURATION OF THE CONTRACT: 7 DAYS SCHEDULE OF ACTIVITI</t>
  </si>
  <si>
    <t xml:space="preserve"> Project Reference No.       	:	100200600793 Project Name	:	Purchase of Computers for PNP Personnel Approved Budget for the Contract (ABC)	:	Php 116,100.00  Starting Date:	:	July 3, 2020 Finish Date	:	July 6, 2020</t>
  </si>
  <si>
    <t xml:space="preserve"> This project entails purchase of tires and batteries for use at Mayor's Office.</t>
  </si>
  <si>
    <t xml:space="preserve"> QTY		UNIT		DESCRIPTION 5		rolls		PE Pipe 2"Ø 8		pcs		Coupling Connector 2" 4		pcs		TEE Connector 2" 4		pcs		Elbow Connector 2" 25		pcs		RP Adaptor 2" 4		pcs		Gate Valve 2" 2		pcs		Check Valve 2" 6		pcs		G.I TEE 2" 3		pcs		G.I TEE Reducer 2" x 1 ½  4		pcs	</t>
  </si>
  <si>
    <t xml:space="preserve"> One Set of (3) Three Channel CCTV</t>
  </si>
  <si>
    <t xml:space="preserve"> 1. The City Government of Marawi, intends to apply the sum of One Million Three Hundred Eighty Four Thousand Five Hundred Pesos (Php 1,384,500.00) being the Approved Budget for the Contract (ABC) to payments under the contract for the Supply and Delivery </t>
  </si>
  <si>
    <t xml:space="preserve"> Qty.    Unit    Description 1         unit   Airconditioning Unit (Split Type) 2.5 HP with installation</t>
  </si>
  <si>
    <t xml:space="preserve"> Purpose: Replacement  and Maintenance of ICT equipment.																 																 LOT 1	Laptop Adapter Charger (Acer Laptop for Teleconference)					2	pcs.	 2,000.00 								 	Mouse &amp; keyboard					3	pcs.	 650.00 								 	Printer Ink Set (Cyan, Mage</t>
  </si>
  <si>
    <t xml:space="preserve"> Page 1 of 7 REQUEST FOR QUOTATION (RFQ) SUPPLY AND DELIVERY OF LABORATORY ITEMS UNDER EMB-ERLSD-ESRS RFQ NO. EMB-S-ERLSD-ESRS LABORATORY ITEMS 2020-0506 1. The Department of Environment and Natural Resources – Environmental Management Bureau (DENR-EMB) he</t>
  </si>
  <si>
    <t xml:space="preserve"> 95 GALLONS ACRYLIC SEMI GLOSS LATEX (INTERNATIONAL ORANGE) &amp; 9 ETC.</t>
  </si>
  <si>
    <t xml:space="preserve"> ITEM 1	Snacks -50.00Php per snack x 2(AM/PM) x 5 Days	          100	pax ITEM 2	Lunch – 150.00Php per meal x 5 Days 	                          100	pax ITEM 3	Packed Breakfast &amp; Dinner (Island Barangay Participants)		 	        150 per meal x 5 days	        </t>
  </si>
  <si>
    <t xml:space="preserve"> see attached document</t>
  </si>
  <si>
    <t xml:space="preserve"> Steering Packing Seal Fan Belt (10pk1330) Tire with Tube and Flap (23.5 x 25)</t>
  </si>
  <si>
    <t xml:space="preserve"> Republic of the Philippines					 Province of Davao Oriental					 Municipality of Manay					 					 OFFICE OF THE TREASURER					 REQUEST FOR PRICE QUOTATION					 					 ______________________________					 ______________________________					 Sir:					 	Please</t>
  </si>
  <si>
    <t xml:space="preserve"> 4	Pcs	Tires, Tubeless (185R14C) Front, 8 ply 4	Pcs	Tires, Tubeless (155R13C) Rear, 8 ply 2	Pcs	Filter, Fuel FC #329 2	Pcs	Filter, Oil # 506 Primary 1	Pc	Filter, Oil # 304 Secondary 1	Pc	Relay, Flasher, 12V 2	Bx	Bulb, Auto 24 Single Contact 2	Bx	Bulb, Auto</t>
  </si>
  <si>
    <t xml:space="preserve"> Project Reference No.       	:	100200300364 Project Name	:	Purchase of Spare parts for Kubota L5018 Approved Budget for the Contract (ABC)	:	Php 79,740.00  Starting Date:	:	July 3, 2020 Finish Date	:	July 6, 2020</t>
  </si>
  <si>
    <t xml:space="preserve"> 1	3	pcs	Flashlight, Large	 2	1	pc	Toilet Brush	 3	6	pcs	Door Mat	 4	30	pcs	Albatross	 5	3	pcs	Padlock Latch	 6	4	pcs	Mirror for Bathroom	 				 APPROVED BUDGET FOR THE CONTRACT: PHP 4,930.00 LOCATION OF THE CONTRACT: BATARAZA, PALAWAN DURATION OF THE CONTR</t>
  </si>
  <si>
    <t xml:space="preserve"> 1	25	reams	Bond paper multi copy-legal	reams 				 2	18	reams	Bond paper multi copy-A4	reams 				 APPROVED BUDGET FOR THE CONTRACT: PHP 14,260.00 LOCATION OF THE CONTRACT: BATARAZA, PALAWAN DURATION OF THE CONTRACT: 7 DAYS SCHEDULE OF ACTIVITIES: POSTING A</t>
  </si>
  <si>
    <t xml:space="preserve"> To provide labor, materials and tools for the Supply and Installation of Wall Mount Inverter Split Type Air Conditioning Units of FM Radio Station</t>
  </si>
  <si>
    <t xml:space="preserve"> Republic of the Philippines								 Province of Antique								 Municipality of Sibalom								 -oOo-								 BIDS AND AWARS COMMITTEE								 INVITATION TO PARTICIPATE IN THE ALTERNATIVE MODE OF PROCUREMENT								 								 NNP-2020-VII-06-01								 Sma</t>
  </si>
  <si>
    <t xml:space="preserve"> 07062020-103 NOTICE FOR NEGOTIATED PROCUREMENT Publication: July 3, 2020 Closing: July 6, 2020 Name of Project	Purchase of forms for Building Permit use Approved Budget for the Contract	 ₱75,000.00 Contract Period:	7 days Item No.	ITEM DESCRIPTION	QTY	UNI</t>
  </si>
  <si>
    <t xml:space="preserve"> The Technical Education and Skills Development Authority (TESDA Region 10), through the Regional Operations Division, will undertake a Negotiated Procurement- Small Value in accordance with Section 53.9 of the 2016 RIRR of RA 9184. Please submit your quot</t>
  </si>
  <si>
    <t xml:space="preserve"> 1 pc. Coffee Maker, etc.          x-x-x-x-x</t>
  </si>
  <si>
    <t xml:space="preserve"> 5 units prepaid, internet broad band</t>
  </si>
  <si>
    <t xml:space="preserve"> 3 kilos po rice per household</t>
  </si>
  <si>
    <t xml:space="preserve"> EXCAVATION OF THE AREA TO BE CONCRETED  GRAVEL BEDDING AND CONCRETING OF SLAB PAINTING OF TENNIS COURT AREA AND LINES</t>
  </si>
  <si>
    <t xml:space="preserve"> 27	pcs	FLOOD LIGHTS LED SMD HI- BAY UFO (300) WATTS xxxxxxxxxxxxxxxxxxxxxxxxxxxxx</t>
  </si>
  <si>
    <t xml:space="preserve"> see attached Purchase Request</t>
  </si>
  <si>
    <t xml:space="preserve"> SEE ATTACHED</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</si>
  <si>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</si>
  <si>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B.9	Mobilization/Demobiliazation	lot	all	21,000.00 102(2)b	Roadway Excavation (Surplus Common)	146	cu.m.	24,382.00 103(1)a	Structure Excavation (Common Soil)	11	cu.m.	3,553.00 105(1)	Subgrade Preparation (Common Material)	360	sq.m.	6,480.00 201	Aggregate </t>
  </si>
  <si>
    <t xml:space="preserve"> ALCOHOLS BROOMS DETERGENT POWDERS TOILET CLEANERS MOP HANDLE SURGICAL GLOVES HAND SOAP FOOTBATH BLEACH *PLEASE SEE ATTACHED INVITATION FOR QUOTATION</t>
  </si>
  <si>
    <t xml:space="preserve"> Procurement of Siphoning of Septic Tank Sludge						 Purchase Requested by the City Disaster Risk Reduction Management Office/City Engineering Office, Tabaco City						 						 To Interested Suppliers, Manufacturers and Distributors,						 						 Please qu</t>
  </si>
  <si>
    <t xml:space="preserve"> Specifications: *GVW Rating: 4,950 kg. *Engine: Diesel, 4-cylinder, Turbo-Intercooled, Euro-4 Complaint, Overhead Valve, Electronic Common Rail, Direct Injection Type 136 PS @ 2,500 RPM; Piston Displacement of 4.0 liters; Equipped with Catalytic Converter</t>
  </si>
  <si>
    <t xml:space="preserve"> For information dissemination on Corn programs / projects / activities</t>
  </si>
  <si>
    <t xml:space="preserve"> For the improvement of ground perimeter of New R and D Building: 20 loads Garden Soil with Spreading (10cu.m. / load) 900 pcs. 6" CHB</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</si>
  <si>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</si>
  <si>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TABLES AND CHAIRS</t>
  </si>
  <si>
    <t xml:space="preserve"> OPENING OF BIDS IN DSWD FP IX ZAMBOANGA CITY,  DELIVERY IN LILOY DZN, PROCUREMENT FOR THE FF.: 1 UNIT- 20 TONNER WING VAN TO TRANSPORT THE 2,366 FAMILY FOOD PACK TO LILOY, ZAMNOANGA DEL NORTE ITEM TO TRANSPORT: FAMILY FOOD PACK- 2,366 x 8.5 KG. APPROX. 20</t>
  </si>
  <si>
    <t xml:space="preserve"> Invitation to Bid 1.	The Municipality of Manay, through the General Fundintends to apply the sum of Five Hundred Thousand Pesos( 500,000.00 ) being the Approved Budget for the Contract (ABC) to payments under the contract for the Supply and Delivery of Fu</t>
  </si>
  <si>
    <t xml:space="preserve"> Republic of the Philippines OFFICE OF THE PUNONG BARANGAY 	Barangay Buenavista	 Municipality of Tudela Province of Misamis Occidental INVITATION TO BID The Office of the Punong Barangay of Barangay Buenavista through its Bids and Awards Committee [BAC], i</t>
  </si>
  <si>
    <t xml:space="preserve"> Procurement of Construction Materials &amp; Supplies						 Purchase Requested by the City Mayor's Office/SEF, Tabaco City						 						 To Interested Suppliers, Manufacturers and Distributors,						 						 Please quote your lowest price/s on the lot or item/s </t>
  </si>
  <si>
    <t xml:space="preserve"> Please see attached PR</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</si>
  <si>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</si>
  <si>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Specifications: 713 bags Portland Cement; 38 cu.m. Washed Sand (Silway Source); 75 cu.m. Screened Gravel (Maribulan Source); 468 bd.ft. 39 pcs – 2” x 6” x 12’ Coco Lumber; 60 bd.ft. 15 pcs – 2” x 2” x 12’ Coco Lumber; 11 kgs. Assorted CWN; 16 lengths 12mm</t>
  </si>
  <si>
    <t xml:space="preserve"> Specifications: *Engine-Fuel Type: Diesel; Engine Size/Displacement: 2,1488; No. of Cylinders: 4; Maximum Torque (Nm): 356; Maximum Power (ps): 129 *Engine &amp; Transmission – Fuel Type: Diesel; No. of Cylinders: 4; Engine Size/Displacement: 2,488; Maximum P</t>
  </si>
  <si>
    <t xml:space="preserve"> RFQ and Notice of Procurement for PR No. 2020-06-0012 - Procurement of Disinfectant and Surgical Mask for use in the DPWH Regional Office No. III</t>
  </si>
  <si>
    <t xml:space="preserve"> ITEM 1	Timber round post (5” dia. X 14”)	8	pcs 2	Door Jamb (2”x5”x17’ – 3pcs.)	42.5	bd.ft. 3	Window Jamb (2”x5”x14’) – 12 pcs	140	bd.ft. 4	Window Jamb (2”x5”x12’) – 1 pc	10	bd.ft. 5	Studs and Door Frame, 2”x2”x8’ – 60 bdls. 	160	bd.ft 6	Wall Cabinet Frame</t>
  </si>
  <si>
    <t xml:space="preserve"> Page 1 of 8 REQUEST FOR QUOTATION (RFQ) SUPPLY AND DELIVERY OF LABORATORY CONSUMABLES UNDER EMB-ERLSD-ENVIRONMENTAL LABORATORY SERVICES SECTION (ELSS) INORGANICS AND ORGANICS LABORATORY UNIT RFQ NO. EMB-S-ERLSD-ELSS LABORATORY CONSUMABLES 2020-0545 1. The</t>
  </si>
  <si>
    <t xml:space="preserve"> REQUEST FOR QUOTATION RFQ NO. /DATE	:	FAD2020-07-125 / 07-02-2020 PRO./ DATE		:	LAB2020-06-180 /06/16/2020 The DENR-Environmental Management Bureau XI (EMB-XI) through its Laboratory Unit-Environmental Monitoring and Enforcement Division will undertake a </t>
  </si>
  <si>
    <t xml:space="preserve"> Pls. see attached file.</t>
  </si>
  <si>
    <t xml:space="preserve"> Republic of the Philippines						 City Government of Davao						 						 INVITATION TO BID						 for Infrastructure Projects SVP03-2020						 						 The City Government of Davao now invites bidders for the project/s under SVP03-2020 as listed below.   The </t>
  </si>
  <si>
    <t xml:space="preserve"> Specifications: 222 bags Corn Seeds</t>
  </si>
  <si>
    <t xml:space="preserve"> ITEM      UNIT      QTY     DESCRIPTION</t>
  </si>
  <si>
    <t xml:space="preserve"> Project Reference No.       	:	100200600940 Project Name	:	Purchase of Tires use by PNP Approved Budget for the Contract (ABC)	:	Php 87,910.00  Starting Date:	:	July 3, 2020 Finish Date	:	July 6, 2020</t>
  </si>
  <si>
    <t xml:space="preserve"> Supply of Furniture and Fixtures for various offices at New Cit Hall Bldg Phase I</t>
  </si>
  <si>
    <t xml:space="preserve"> 235	Bg	Cement, Portland 		 		 		 		Requirements: 		1. Mayor’s/Business Permit 		2. PhilGEPS Registration Number</t>
  </si>
  <si>
    <t xml:space="preserve"> BOOKS AND MAGAZINES</t>
  </si>
  <si>
    <t xml:space="preserve"> Scope of Works: -	Construction of one unit, two (2) – Storey, 8 CL School Building (9.50m x 46.00m) complete with ceiling works, electrical works, plumbing works, painting works, provision of fire safety cabinets, construction of one unit septic vault, ti</t>
  </si>
  <si>
    <t xml:space="preserve"> Grass cutter</t>
  </si>
  <si>
    <t xml:space="preserve"> Republic of the Philippines					 Province of Palawan					 MUNICIPALITY OF EL NIDO					 PR No.		 Name of Procuring Entity: Municipal Government of El Nido			RFQ No.		 Date:		 Office/End-User: MNAO					 Company Name:					 Adress:					 Business Permit No.:		</t>
  </si>
  <si>
    <t xml:space="preserve"> SUPPLY, DELIVERY AND INSTALLATION OF TYPHOON-RESILIENT VERTICAL INDOOR FARMING SYSTEM AT ASCOT BAZAL CAMPUS</t>
  </si>
  <si>
    <t xml:space="preserve"> ECG Electrodes, 50’ / Pack (conductive adhesive electrodes)-----------------200 qty -------P270.00/pack X-X-X-X-X-X-X-X-X-X-X-X-X-X-X-X-X-X PURPOSE: PURCHASE REQUEST FOR THE USE OF NURSING UNIT/CENTRALIZATION. (FOR 3 MONTHS CONSUMPTION) Fax your Price Quo</t>
  </si>
  <si>
    <t xml:space="preserve"> The Department of Agriculture Regional Field Office IX, through the GAA 2020 - (STO 2020) intends to apply the sum of (PHP 499,940.00) being the Approved Budget for the Contract (ABC) to payments under the contract for 07-007-20. Bids received in excess o</t>
  </si>
  <si>
    <t xml:space="preserve"> 2	Un	Aircon (inverter), Window Type, 1.5 HP 		 2	Un	Fan, Stand, 18 in. 		 2	Un	Fan, Exhaust, Industrial, 24 in. diameter 		 		 		 		Requirements: 		1. Mayor’s/Business Permit 		2. PhilGEPS Registration Number</t>
  </si>
  <si>
    <t xml:space="preserve"> Republic of the Philippines                                                       Province of Pangasinan                                            MUNICIPALITY OF LINGAYEN Invitation to Bid for the Purchase of one (1) unit six-wheeler mini dump truck for</t>
  </si>
  <si>
    <t xml:space="preserve"> One (1) pc Oil Filter, Isuzu Elf and 37 other LI</t>
  </si>
  <si>
    <t xml:space="preserve"> 1	DISINFECTANT CONCENTRATE, 3.78l, PINE SCENT									15	GALLON	P 2	DISINFECTANT CONCENTRATE, 500ML, PINE SCENT									42	BOTTLE	 	X-X-X-X-X-X-X-X-X-X-X											 	FOR USE OF DARPO AND DARMO OFFICES</t>
  </si>
  <si>
    <t xml:space="preserve"> Pls. see attached file</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</si>
  <si>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</si>
  <si>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1	Package	KIA General Repair with complete accessories and calibration of injection pump 		 		 		 		 		 		Requirements: 		1. Mayor’s/Business Permit 		2. PhilGEPS Registration Number 		3.  Income/Business Tax return 		4.  Omnibus Sworn Statement</t>
  </si>
  <si>
    <t xml:space="preserve"> A. Repainting of Roof and Directory	 B. Construction of School Wash Stand C. Repair of School Gutters D. Repainting of School Gutters E. LAC Sessions	 F. Payment for Load Card/Internet Connection	 G. Office Supplies	 H. Students and Teachers Supplies</t>
  </si>
  <si>
    <t xml:space="preserve"> ITEM NO.	ITEM DESCRIPTION	QUANTITY 1	Angle  Bar 2” x 2” x ¼ m. (6.0m std)	28 pcs 2	Angle Bar 1 ½ “ x 1 ½” x ¼” m. (6.0m std)	26 pcs 3	Angle Bar 1” x !” x 1/8”m. (6.0m std)	4 pcs 4	C-Purlins 2”x  3´x 6.m. (std)	23 pcs 5	Flat Bar 1” x 1/8” x 6m *std)	5 pcs </t>
  </si>
  <si>
    <t xml:space="preserve"> The Department of Agriculture Regional Field Office IX, through the GAA 2020 - (STO 2020) intends to apply the sum of (PHP 303,300.00) being the Approved Budget for the Contract (ABC) to payments under the contract for 07-007-20. Bids received in excess o</t>
  </si>
  <si>
    <t xml:space="preserve"> Sanitation Office (SKD 923) 4 pcs. 7.00 x 16 GT (Rough) 2 pcs. 7.00 x 16 GT (Fine) Engineering Office (SKM 597) 4 pcs. 7.50 x 15 GT (Rough) 2 pcs. 7.50 x 15 GT (Fine)</t>
  </si>
  <si>
    <t xml:space="preserve"> 50	pcs	RSB x 25mm 150	pcs	RSB x 20mm 50	pcs	RSB x 12mm 500	bft	Cocolumber 2x3x10 200	bags Cement 6	elf	Sand 6	elf	Gravel 1	box	CWNail#4 1	box	CWNail#3 1	box	CWNail#2</t>
  </si>
  <si>
    <t xml:space="preserve"> Republic of the Philippines					 Province of Palawan					 MUNICIPALITY OF EL NIDO					 PR No.	 Name of Procuring Entity: Municipal Government of El Nido			RFQ No.		 Date:		 Office/End-User: MNAO					 Company Name:					 Adress:					 Business Permit No.:			</t>
  </si>
  <si>
    <t xml:space="preserve"> INVITATION/REQUEST FOR PRICE QUOTATION The Municipality of Diplahan, through its Bids and Awards Committee (BAC), invites suppliers/manufactures/distributors to submit price quotation for the hereunder project: Name of Project:  Procurement for Office Aut</t>
  </si>
  <si>
    <t xml:space="preserve"> 1	pc	Air Freshener	1 2	tubes	Lysol 510g	2 3	pc	Thermal Scanner	1 4	boxes	Face Mask	5 5	reams	Long Bond Paper	15 6	bottle	Printer Ink	3 7	bottle	Lei	3 8	bottle	Dressmaker's Pin	3 9	bottle	Token	3 10	pcs.	Folders	20 11	box	Fastener	1 12	bottle	Alcohol 500 m</t>
  </si>
  <si>
    <t xml:space="preserve"> Please see attached file . . . .</t>
  </si>
  <si>
    <t xml:space="preserve"> Republic of the Philippines BATANGAS STATE UNIVERSITY Batangas City REQUEST FOR QUOTATION "Procurement of Drugs and Medicine for Medical and Dental Services" 1. The Batangas State University (BatState U) through the Bids and Awards Committee invites inter</t>
  </si>
  <si>
    <t xml:space="preserve"> Please see attached RFQ in Associated Component or Link Below. …</t>
  </si>
  <si>
    <t xml:space="preserve"> Republic of the Philippines DEPARTMENT OF PUBLIC WORKS AND HIGHWAYS CAMARINES SUR 3RD  DISTRICT ENGINEERING OFFICE REGIONAL OFFICE V Baras, Canaman   I N V I T A T I O N  TO  B I D 	                                      The Department of Public Works and </t>
  </si>
  <si>
    <t xml:space="preserve"> Supply and Delivery of Heavy Equipment Spare Parts to be used for Municipal Heavy Equipment, Brooke’s Point, Palawan</t>
  </si>
  <si>
    <t xml:space="preserve"> Additional Load (Php700 per month) JANUARY FEBRUARY MARCH APRIL MAY JUNE JULY AUGUST SEPTEMBER OCTOBER NOVEMBER DECEMBER</t>
  </si>
  <si>
    <t xml:space="preserve"> Supply And Delivery of Various Groceries to be used for National Disability Prevention and rehabilitation Week of Person with Disability, Brooke’s Point, Palawan</t>
  </si>
  <si>
    <t xml:space="preserve"> 1	unit	Laser Jet Multi-function printer 		Specifications: 		Function: Print, scan, fax, email 		Fast Print Speed: print up to 40 pages per minute with this wireless laser printer. First page out in as fast                        as 5.4 seconds 		First pri</t>
  </si>
  <si>
    <t xml:space="preserve"> VARIOUS SPARE PARTS</t>
  </si>
  <si>
    <t xml:space="preserve"> OPENING OF BIDS IN DSWD FO IX ZAMBOANGA CITY, DELIVERY IN DSWD FO IX ZC, PROCUREMENT FOR THE FF.: 2 SERVICES -SITE ENGINEER FOR THE MONTH OF AUGUST TO DECEMBER 2020 (HFE AND PCDP) ***************************************************************** PURPOSE: </t>
  </si>
  <si>
    <t xml:space="preserve"> 1. 480 Bdft 2x2x12 Good Lumber                                       120 Pcs. 2. 144 Bdft 2x3x12 Good Lumber                                       24 Pcs. 3. 1/4x4x4 Marine Plywood                                                33 Pcs. 4. #4" Common Wire </t>
  </si>
  <si>
    <t xml:space="preserve"> 1	unit	Printer with scanner (long &amp; short) 2	set	Computer ink  1	unit	AVR 5	pcs	Computer mouse (USB type)</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</si>
  <si>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</si>
  <si>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Please quote your lowest price on the item(s) listed, subject to the Terms and Conditions stated below and submit your quotations duly signed by your representative not later than 9:00AM of July 8, 2020 in a sealed envelope to the Office of the BAC Secret</t>
  </si>
  <si>
    <t xml:space="preserve"> Construction of Bottle House Inside the Municipal Recovery Facility</t>
  </si>
  <si>
    <t xml:space="preserve"> Republic of the Philippines BARANGAY SABANG Lipa City OFFICE OF THE PUNONG BARANGAY BIDS AND AWARDS COMMITTEE INVITATION TO BID The Barangay Government of BARANGAY SABANG, through its Bids and Awards Committee ( BAC ), invites suppliers/manufacturers/dist</t>
  </si>
  <si>
    <t xml:space="preserve"> Supply And Delivery of Fuel (lot #3) Labor (Lot #5) for Proposed Road Concreting from Old Highway Sta. 00+350 to Sta. 00+760m leading to Kilala Elem. School, Bgy. Malis, Brooke’s Point, Palawan Lot #3 Fuel: 818,525.00 Lot #5 Labor: 737,110.74</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</si>
  <si>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</si>
  <si>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Creation of LGU Paniqui Website, Municipal Government of Paniqui, Tarlac</t>
  </si>
  <si>
    <t xml:space="preserve"> Supply and Delivery of Various Agricultural Supplies A. APIARY SUPPLIES- 212,750.00 10	set	5 Framers bee colony	 ₱79,000.00  4	pc	Bee brush	 ₱3,600.00  4	pc	Cover all bee suit- canvas cloth	 ₱12,000.00  50	pc	Queen cages, plastic	 ₱3,000.00  3	set	Queen m</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</si>
  <si>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</si>
  <si>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ITEM: 15 pcs Tires(205/65R15)							 15 pcs Tires(7.00-16)							 10 pcs Tires(8.25-16)							    PURPOSE: FOR STOCKING												 ABC:  PHP 327,500.00 DELIVERY SCHEDULE: 10 CALENDAR DAYS</t>
  </si>
  <si>
    <t xml:space="preserve"> Const/improvement of women Multi-purpose center</t>
  </si>
  <si>
    <t xml:space="preserve"> The Department of Agriculture Regional Field Office IX, through the GAA 2020 - (STO 2020) intends to apply the sum of (PHP 925,000.00) being the Approved Budget for the Contract (ABC) to payments under the contract for 07-006-20. Bids received in excess o</t>
  </si>
  <si>
    <t xml:space="preserve"> MUNICIPAL HEALTH OFFICE – 1 unit laptop 3sf314-41G-R9QL (silver)14 IPS Ryzen 5 3500U/4GB/1TB/2 GB Radeon Win10 MSWDO 1. 1 set COMPUTER with desktop Intel Core TM i3 2. 1 unit PRINTER INK TANK PRINTER Print speeds up to 10ipm for black and 5.0ipm Mun. Agri</t>
  </si>
  <si>
    <t xml:space="preserve"> 1. Please see attached Request for Quotation Form for details 2. RFQ Form can also be downloaded at www.ilocossur.gov.ph 3. Please read the General Instructions to Bidders at the attached RFQ Form</t>
  </si>
  <si>
    <t xml:space="preserve"> Item  No.	Product Name Description /Specifications		QTY	Approved Budget for the Contract	 1	Angle bar, 3/16" x 1" x 20'			                       10 lt	        6,000.00		 2	Angle bar, 3/16" x 2"x20'			                       10 lt	        9,000.00		 3	Hacks</t>
  </si>
  <si>
    <t xml:space="preserve"> ITEM NO. 	ITEM DESCRIPTION					QTY.	UNIT	"ABC PER  ITEM" 								 1	2 in 1 Notebook/ Tablet					12	unit	27,000.00 	A 10.1 inch detachable 2-in-1 Notebook that perfectly 							 	combines laptop performance with table freedom. 							 	Feature-rich yet sma</t>
  </si>
  <si>
    <t xml:space="preserve"> INVITATION TO BID The City of Bayawan, through its Bids and Awards Committee (BAC), invites suppliers/manufacturers/distributors/contractors to bid for the hereunder projects: 	Lot No. I		ICT EQUIPMENT					 1	3	sets	Computer Server					 			Form factor: 2U</t>
  </si>
  <si>
    <t xml:space="preserve"> Supply And Delivery of Fuel (lot #3) Labor (Lot #4) for Proposed Road Concreting from National Highway Sta. 00+400 to Sta. 00+990m leading to Tagpirara Elem. School, Bgy. Saraza, Brooke’s Point, Palawan Lot #3 Fuel: 350,250.00 Lot #4 Labor: 582,149.21</t>
  </si>
  <si>
    <t xml:space="preserve"> Syringe Hypodermic Disp., Luer Lock, 10ml cap-----------------100000 qty -----P8.00/pc Syringe, Insulin, Disp. Graduated in 1-ML Cap., 100 “U” MI w/ Needle----------------- 10000 qty ----P7.00/pc X-X-X-X-X-X-X-X-X-X-X-X-X-X-X-X-X-X PURPOSE: PURCHASE REQUE</t>
  </si>
  <si>
    <t xml:space="preserve"> Purchase of Office Supplies and Consumables as indicated in the School Improvement Plan</t>
  </si>
  <si>
    <t xml:space="preserve"> 1	46	sacks	RICE	 			*****Closed Nothing Follows*****</t>
  </si>
  <si>
    <t xml:space="preserve"> The AGRICULTURAL TRAINING INSTITUTE-REGIONAL TRAINING CENTER (ATI-RTC) X, through the 2020 General Appropriations Act intends to apply the sum of One Hundred Twenty Four Thousand Pesos (P 124,000.00) being the Approved Budget for the Contract (ABC) to pay</t>
  </si>
  <si>
    <t xml:space="preserve"> 1	Plastic Elbow 1/2 ppnlc	 1,000.00  2	Plastic Tee 1/2 ppnlc	 100.00  3	Male Adoptor 1/2 ppnlc	 1,000.00</t>
  </si>
  <si>
    <t xml:space="preserve"> Car Rental/ Service Vehicle</t>
  </si>
  <si>
    <t xml:space="preserve"> 12 unit Van Rental for the Month of July 2020 (22 days - Davao City area)            x-x-x-x-x</t>
  </si>
  <si>
    <t xml:space="preserve"> RFQ No. 2020__   										         Date___________ REQUEST FOR QUOTATION SUPPLY AND DELIVERY OF PHOTOCOPYING MACHINE FOR THE OFFICE OF THE VICE MAYOR /SANGGUNIANG BAYAN, PINAMALAYAN ORIENTAL MINDORO The Municipal Government of Pinamalayan hereinafter ref</t>
  </si>
  <si>
    <t xml:space="preserve"> 1	8	gals	Enamel Paint (Baguio Green) 2	6	pcs	Baby Roller 3	5	pcs	1/2" Paint Brush 4	2	sets	Jalou Plus Luningning 46 1/2 x 78 5	2	sets	Jalou Plus Luningning 46 1/2 x 49 6	9	pairs	3" x 3" Door Hinge 7	4	pairs	Flush Type Door (0.80 x 2.10m) 8	4	pcs	2" x 4" D</t>
  </si>
  <si>
    <t xml:space="preserve"> Project Reference No.       	:	100200700950 Project Name	:	Purchase of Streamers for MDRRMO Approved Budget for the Contract (ABC)	:	Php 109,267.50 Starting Date:	:	July 3, 2020 Finish Date	:	July 6, 2020</t>
  </si>
  <si>
    <t xml:space="preserve"> Republic of the Philippines					 Province of Palawan					 MUNICIPALITY OF EL NIDO					 PR No.	 Name of Procuring Entity: Municipal Government of El Nido			RFQ No.		 Date:		 Office/End-User: MHO					 Company Name:					 Adress:					 Business Permit No.:				</t>
  </si>
  <si>
    <t xml:space="preserve"> PROCUREMENT OF TEMEPHOS GRANULES 250g/btl for Sanitary Office in Dengue Prevention and Control Program in the City of Naga, Cebu. Approved Budget for the Contract	:	 Four Hundred Seventy – six Thousand Pesos Only (Php. 476,000.00) Specifications	:	 See th</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</si>
  <si>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</si>
  <si>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The Department of Agriculture Regional Field Office IX, through the GAA 2020 - (CORN Program 2020) intends to apply the sum of (PHP 217,200.00) being the Approved Budget for the Contract (ABC) to payments under the contract for 07-005-20. Bids received in</t>
  </si>
  <si>
    <t xml:space="preserve"> Republic of the Philippines 	Province of Pangasinan 	Municipality of Infanta 	Barangay Cato 	BIDS AND AWARDS COMMITTEE 	 Invitation to Bid for CONSTRUCTION OF DRAINAGE CANAL WITH CONCRETE COVER @ SITIO SABANG-PUROK 4, BRGY. CATO, INFANTA, PANGASINAN 1.	Th</t>
  </si>
  <si>
    <t xml:space="preserve"> Car Rental / Service Vehicle</t>
  </si>
  <si>
    <t xml:space="preserve"> TO REQUEST FOR SERVICES OF SUBDIVISION/ SEGREGATION, BOUNDARY AND/OR											 RELOCATION SURVEY OF OLT/CA PROPERTIES UNDER SURVEY MODULE NO.											 LOT 7-CSI-2020(NL)									23.1045	HECTARES	P LOCATION: LIBMANAN &amp; SIPOCOT CAMAMARINES SUR											</t>
  </si>
  <si>
    <t xml:space="preserve"> Medical Supplies for RHU LGU Cabagan Cabagan, Isabela</t>
  </si>
  <si>
    <t xml:space="preserve"> 29-UNITS COMPACT WATER PROOF PROFESSIONAL RADIO WITH 1500mW         12-UNITS COMPACT WATER PROOF PROFESSIONAL RADIO WITH 1500 mW</t>
  </si>
  <si>
    <t xml:space="preserve"> Linen Underpads Disp., Size 24” x 35” (60cm x 90cm) -------------10000 qty --------P185,000.00/pc X-X-X-X-X-X-X-X-X-X-X-X-X-X-X-X-X-X PURPOSE: PURCHASE REQUEST FOR THE USE OF NURSING UNIT/CENTRALIZATION. (FOR 3 MONTHS CONSUMPTION) Fax your Price Quotation</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</si>
  <si>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</si>
  <si>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Supply &amp; Delivery of Furnitures &amp; Fixtures and Appliances for use at Mayor's Office, Vice Mayor's Office, Administrator's Office, SP Offices, Legal Office, City Health Office &amp; Cultural &amp; Sports Center Office. The BAC of Urdaneta City announces that the s</t>
  </si>
  <si>
    <t xml:space="preserve"> General Cleaning of Nine (9) Unit Computer Deskop</t>
  </si>
  <si>
    <t xml:space="preserve"> Item No. Qty. Unit of Issue Item Description 1	18	PACK	SINIGANG MIX	 2	15	PACK	CRISPY MIX BIG	 3	3	KLS	FLOUR	 4	5	PCS	TABON	 5	9	KLS	RADDISH	 6	10	PCS	BIASONG	 7	1	KL.	SUKA TUBA	 8	0.5	KLS	SILI	 9	1	KL	MAYONAISE	 10	1	PCK BREADCRUMBS	 11	14	KL	TALONG	 12	</t>
  </si>
  <si>
    <t xml:space="preserve"> Supply And Delivery of Fuel (lot #3) Labor (Lot #5) for Proposed Road Concreting from National Highway Sta. 00+015 to Sta. 00+246m leading to Maasin National Highway, Bgy. Maasin, Brooke’s Point, Palawan Lot #3 Fuel: 320,550.00 Lot #4 Labor: 373,847.85</t>
  </si>
  <si>
    <t xml:space="preserve"> Republic of the Philippines												 PROVINCE OF ZAMBOANGA SIBUGAY												 Municipality of Payao												 												 REQUEST FOR QUOTATION												 ALTERNATIVE METHODS OF PROCUREMENT THRU												 NEGOTIATED PROCUREMENT-SMALL VALUE (Sec.</t>
  </si>
  <si>
    <t xml:space="preserve"> Laptop for ITO Officer (1 unit) Model-ROG Strix G G731GV-EV153T Glacier Blue NB, Processor Intel Core i7-9750H 2.60GHZ 12m Cache, 4.50Ghz Graphics NVIDIA GeForce RTX 2060 with 6GB GDDR6 VRAM Memory 16GB DDR4 Storage TBHDD+  512 GBSSD Display 17.3inch Full</t>
  </si>
  <si>
    <t xml:space="preserve"> Improvement with 48.78 mtrs Mechanical Drilling and replacement of Riser Pipe</t>
  </si>
  <si>
    <t xml:space="preserve"> REQUEST FOR QUOTATION PROJECT TITLE:	COMMONLY-USED SUPPLIES INSTRUCTIONS:	 ___	ADDITIONAL INSTRUCTIONS ATTACHED 			         ___	NO ADDITIONAL INSTRUCTIONS 1.	Fax / Email / Submit your quote or regret (with reasons thereof) using the PNOC issued BID FORM; </t>
  </si>
  <si>
    <t xml:space="preserve"> Item No. 	Item Description	QTY.	Unit	Unit Price	Total Price 1	1.) Computer with Printer:	1	set		 	                     Specifications:				 	a.) Processor				 	# of CPU 4, # of Threads: 4, Base Clock: 3.1 GHz, max Boost Clock: 3.4 GHZ, Total L1 Cache: 384K</t>
  </si>
  <si>
    <t xml:space="preserve"> The City Government of San Pedro, Laguna invites interested parties to quote for the following item/s as per request CENRO: Qty.	Unit of Issue	Item Description 		 				 12	pcs	2T Oil (1L)		 24	pcs	Chain oil (1L)		 12	pcs	Long Arm Pruner Saw Blade 		 - Seri</t>
  </si>
  <si>
    <t xml:space="preserve"> Republic of the Philippines PROVINCE OF ZAMBOANGA DEL NORTE BIDS AND AWARDS COMMITTEE (BAC) BAC Conference Room, 2nd  Floor ZNCEC, Dipolog City Tel. # (065) 212-6492 Telefax # (065) 212-6492 	                                                               </t>
  </si>
  <si>
    <t xml:space="preserve"> Supply and Delivery of Fitting &amp; Valves (Lot #1) for the use of Water System Office, Brooke’s Point, Palawan</t>
  </si>
  <si>
    <t xml:space="preserve"> see attached RFQ</t>
  </si>
  <si>
    <t xml:space="preserve"> 1.	The Local Government Unit (LGU) of Aroroy, through its Annual Budget 2020 to apply the sum of Php 300,000.00 being the Approved Budget for the Contract (ABC) to payments under the contract for Supply and Delivery of Books and Other References for AMC. </t>
  </si>
  <si>
    <t xml:space="preserve"> Catheter, Rectal, Firm Plastic Material, Fr 22---------------------------400 qty --------------P32.67/ea X-X-X-X-X-X-X-X-X-X-X-X-X-X-X-X-X-X PURPOSE: Purchase Request for the use of Nursing Unit / Centralization (for 3 months Consumption) Fax your Price Q</t>
  </si>
  <si>
    <t xml:space="preserve"> Laptop and accessories specification:   processor: AMD RYZEN 7 @ 2.2 GHz to 3 GHz  memory: 8 gb ddr4  storage: 250 gb ssd + 1000 gb hdd</t>
  </si>
  <si>
    <t xml:space="preserve"> Section I. Invitation to Bid INVITATION TO BID  DA8-Goods-2020-43 (PR No. NLP 20-05-14-0249) 1.	The Department of Agriculture-Regional Field Office No. 8, through the NLP 2020 intends to apply the sum of Five Million Six Hundred Thousand Pesos Only (P5,60</t>
  </si>
  <si>
    <t xml:space="preserve"> 1	Piece	All Steel Cabinet w/ 4 layers w/ lock, ABC 12,000.00/pc 1	Box	Steel Cabinet w/ 4 drawers w/ lock, ABC 8,000.00/box 2	Piece	Metal Wardrobe Cabinet, ABC 12,000.00/pc 3	Piece	3 Door Metal Wardrobe cabinet, ABC 12,000.00/pc RFQ#06-0700R</t>
  </si>
  <si>
    <t xml:space="preserve"> The Department of Agriculture Regional Field Office IX, through the GAA 2020 - (PCCARD 2020) intends to apply the sum of (PHP 400,000.00) being the Approved Budget for the Contract (ABC) to payments under the contract for 06-017-20. Bids received in exces</t>
  </si>
  <si>
    <t xml:space="preserve"> ISO CONSULTANCY SERVICES FOR QMS 9001:2015 RE-CERTIFICATION AUDIT (Please see attached Job Description and Responsibilities and Qualification)</t>
  </si>
  <si>
    <t xml:space="preserve"> 1	2	Sets	Computer Desktop w/ Complete Accessories	 			"Motherboard: MSI A320 Processor: AMD Ryzen 3 2200G Processor Memory: 8 GB DDR4 Memory Monitor: 21.5 inch LED Monitor Hard Disk: 1TB HDD Form Factor: Casing w/ 700 watts Power Supply Accessories: Keybo</t>
  </si>
  <si>
    <t xml:space="preserve"> Hardscape and Landscape of Veterans Park Phase 3</t>
  </si>
  <si>
    <t xml:space="preserve"> 1 Lot, Procurement of Supplies, Materials and Fabrication Thereof of Steel Main Gate, Man Gate, Window Grills	 Location: Main entrance to parking of ABCalo Bldg. along J.C. Aquino Ave., Brgy. Libertad, Butuan City	 Mode of Procurement: Small Value Procure</t>
  </si>
  <si>
    <t xml:space="preserve"> Food for 25 participants with complete meal menu and with morning and afternoon snacks on July 14-16,2020 at BES Gabi, Ubay, Bohol. Caterer with good standing shall only be entertained and preferably within locality. You may send your quotation to this em</t>
  </si>
  <si>
    <t xml:space="preserve"> The Department of Agriculture Regional Field Office IX, through the GAA 2020 - (SAAD Program) intends to apply the sum of (PHP 114,000.00) being the Approved Budget for the Contract (ABC) to payments under the contract for 05-036-20. Bids received in exce</t>
  </si>
  <si>
    <t xml:space="preserve"> Various Customized Linens and Towels  10  PC Bed Sheet single colored printed w/ GSIS Logo as per sample  150  PC Towel, Bath, Std. Size 100% Cotton, White w/ GSIS Logo  -In accordance with the Technical Specifications  ABC: Php 61,310.00  NOTE: Please si</t>
  </si>
  <si>
    <t xml:space="preserve"> QUANTITY    UNIT         DESCRIPTION 20                pcs           Corr. G.I sheet (single rib 8 ft)color roof 6                  pcs           Flashing 16                pcs          C-Purlins (2"x3"x1 1/2") 5                 kgs            Welding rod</t>
  </si>
  <si>
    <t xml:space="preserve"> ONE JOB ORDER FOR LEASE OF LAPTOP FOR 3 MONTHS</t>
  </si>
  <si>
    <t xml:space="preserve"> Republic of the Philippines CITY OF MARIKINA SF-GOOD-05 Revised on: July 28, 2004				 													Mkna-GSO-20-303	 	BIDS AND AWARDS COMMITTEE		 NOTICE OF PROPOSED PROCUREMENT The City Government of Marikina, through its Bids and Awards Committee (BAC), w</t>
  </si>
  <si>
    <t xml:space="preserve"> 1 LOT LOGISTIC SERVICE (HAULING AND TRUCKING/PASSENGER VAN SHIPMENT) DOOR TO PORT OF 1 UNIT TOYOTA HI-ACE COMMUTER VAN ORIGIN: DEPED-CENTRAL OFFICE COMPLEX, MERALCO AVENUE, PASIG CITY, MANILA DESTINATION: DUMAGUETE CITY PORT INCLUSIONS: *SERVICE SHALL BE </t>
  </si>
  <si>
    <t xml:space="preserve"> Republic of the Philippines Province of Leyte Municipality of Inopacan Barangay Cabulisan INVITATION TO BID FOR  THE SUPPLY OF MATERIALS FOR THE CONSTRUCTION OF EVACUATION CENTER 1.	The Barangay Cabulisan, Inopacan, Leyte, through the 20% Barangay Develop</t>
  </si>
  <si>
    <t xml:space="preserve"> Republic of the Philippines BATANGAS STATE UNIVERSITY Batangas City REQUEST FOR QUOTATION "Procurement of Television Set for Various Offices" 1. The Batangas State University (BatState U) through the Bids and Awards Committee invites interested firms/supp</t>
  </si>
  <si>
    <t xml:space="preserve"> ITEM I EXCAVATION ITEM II CONCRETE WORKS</t>
  </si>
  <si>
    <t xml:space="preserve"> Aircon Repair/Cleaning</t>
  </si>
  <si>
    <t xml:space="preserve"> 1500	pcs.	Egg 60	pcs.	Egg Tray 720	kls	Hot dog 1kg 13	packs	Ham 250g 37	packs	Cooked Ham 250g 720	pcs.	Corned Beef 150g  48's 720	pcs.	Beef loaf 150g 48's 1000	pcs.	Sardines 155g 100's 720	pcs.	Instant Noodles 72's 384	pcs.	Canned Tuna 48's  110g. 96	pcs.</t>
  </si>
  <si>
    <t xml:space="preserve"> 1 	 100 	 sacks 	 RICE (Commercial, Head Rice, 50 kls. Per sack) 	  2 	 100 	 cases 	 SARDINES in Tomato Sauce 100's 	  3 	 20 	 cases 	 CORNED BEEF 150g 48's 	  4 	 20 	 cases 	 BEEF LOAF 170g 48's 	  5 	 1,200 	 packs 	 BIHON SPECIAL 454g 	  6 	 20 	 ca</t>
  </si>
  <si>
    <t xml:space="preserve"> The DPWH-Ilocos Sur 1st District Engineering Office, through its Bids and Awards Committee (BAC), invites contractors to submit bids for the following Contract:   Contract ID: 20AC0103   Contract Name: Construction of Classrooms, Two (2) Storey, Six (6) C</t>
  </si>
  <si>
    <t xml:space="preserve"> please download rfq and store furnish in the associated component</t>
  </si>
  <si>
    <t xml:space="preserve"> 1,770 pc. Posters (AFP IEC Materials)               x-x-x-x-x</t>
  </si>
  <si>
    <t xml:space="preserve"> Certified Rice Seeds</t>
  </si>
  <si>
    <t xml:space="preserve"> QTY	UNIT	ITEM DESCRIPTION					 14	units	ELECTRIC ULTRA LOW VOLUME (MISTING MACHINE)					 		Power : 1400 W					 		Fog Diameter : 5-50 Microns					 		Range : 8-10m					 		Capacity : 12L					 		Voltage : 220V					 		Portable / Knapsack					 		Disibfectant So</t>
  </si>
  <si>
    <t xml:space="preserve"> Republic of the Philippines Province of Southern Leyte MUNICIPALITY OF LIMASAWA -o0o- Bids and Awards Committee Invitation to Bid for the Construction of Bio-Organic Laboratory Building and Construction of Vermi Shed  Cabulihan, Limasawa Southern Leyte  1</t>
  </si>
  <si>
    <t xml:space="preserve"> Various Const. Materials comprises with:								Lot 1	 1	 Portland Cement							541	bags	260.00 	Terms  &amp; Condition:									 	* The materials shall be  for pick up from the supplier within  5  working									 	days from the  reciept of a written advice </t>
  </si>
  <si>
    <t xml:space="preserve"> Hiring of Consultancy Services for the Development of Revised Guidebook on Child Participation in the Philippines Bidders should submit their Intent/s on or before the end of posting period. Please refer to the Terms of Reference as attached for reference</t>
  </si>
  <si>
    <t xml:space="preserve"> IMPROVEMENT OF ALLIG FMR @ BANGSIL-COLUMNA SECTION IMPROVEMENT OF ALLIG FMR @ COLUMNA-ARTIZON SECTION IMPROVEMENT OF SAN JOSE FMR</t>
  </si>
  <si>
    <t xml:space="preserve"> Republic of the Philippines					 Province of Palawan					 MUNICIPALITY OF EL NIDO					 PR No.	 Name of Procuring Entity: Municipal Government of El Nido			RFQ No.		 Date:		 Office/End-User: MDRRM					 Company Name:					 Adress:					 Business Permit No.:		</t>
  </si>
  <si>
    <t xml:space="preserve"> The Department of Agriculture Regional Field Office IX, through the GAA 2020 - (CORN Program 2020) intends to apply the sum of (PHP 73,500.00) being the Approved Budget for the Contract (ABC) to payments under the contract for 07-004-20. Bids received in </t>
  </si>
  <si>
    <t xml:space="preserve"> CONSTRUCTION OF CANAL LINING W/ CONCRETE COVER A. MATERIALS: 1,159 pcs CHB # 4 175 bags PORTLAND CEMENT 12 cu. m. WHITE SAND 8 cu.m. GRAVEL 130 pcs RSB 10mmØ x 6m 2 rolls G.I. TIE WIRE # 16 100 bd. ft. CUCULUMBER 7 pcs. ORDINARY PLYWOOD, 1/4" x 4' x 8' 6 </t>
  </si>
  <si>
    <t xml:space="preserve"> PLEASE SEE ATTACHED FILE OF INVITATION TO BID</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</si>
  <si>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</si>
  <si>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City Government of La Carlota								          Standard Form Number: SF-GOOD-59 Revised on: May 24, 2004 Standard Form Title: REQUEST FOR QUOTATION 												Date: ______________												              Quotation No.________ Company Name Address 	Pleas</t>
  </si>
  <si>
    <t xml:space="preserve"> Medicines</t>
  </si>
  <si>
    <t xml:space="preserve"> Classification:  DRAINAGE Source of Fund: BDF 2019 Length of Box Culvert:         5.00 meters Width of Box Culvert:           1.90 meters Length of Stone Masonry:   20.00 meters</t>
  </si>
  <si>
    <t xml:space="preserve"> 10M X10M</t>
  </si>
  <si>
    <t xml:space="preserve"> Public Bidding</t>
  </si>
  <si>
    <t xml:space="preserve"> Republic of the Philippines Province of Compostela Valley Municipality of Monkayo -o0o- INVITATION TO BID FOR THE PROCUREMENT OF IT EQUIPMENT FOR VARIOUS OFFICES  The Municipality of Monkayo, through the GENERL FUND intends to apply the sum of SIXTY THOUS</t>
  </si>
  <si>
    <t xml:space="preserve"> Please quote your lowest price inclusive of VAT on the item/s listed below, subject to the Terms and Conditions of this RFQ, and submit your quotation duly signed by your representative not later than 06 July 2020 at 306th Contracting Office, NSFA, Panaca</t>
  </si>
  <si>
    <t xml:space="preserve"> 8 gal Enamel Paint Yellow 5 gal Enamel paint black 5 gal paint Thinner 75 sht GI corr. 4x10 1200 pcs Texscrew 10 gal Metal Primer 10 pcs Paint brush #4 6 pcs Baby Roller 30 pcs Plain Sheet #4 30 pcs Marine Plywood 1/2 6 gal Primer Gray 25 pcs Sand Paper 2</t>
  </si>
  <si>
    <t xml:space="preserve"> REQUEST FOR PROPOSAL The Philippine Postal Corporation invites qualified Consultant to participate in the sealed quotation for the: Item No.	QTY	UNIT	ARTICLE	PhP	UNIT PRICE 1	6	months	Tax Consultancy Services	PhP	48,000.00 			for the months of July to Dec</t>
  </si>
  <si>
    <t xml:space="preserve"> 480 pcs Tiles .60 x .60 m 20  bags Cement 20  kgs Tile Grout 20  bags Tile Adhesive 5    cu.m. Sand</t>
  </si>
  <si>
    <t xml:space="preserve"> I. CONSTRUCTION OF CANAL LINING W/ CONCRETE COVER A. MATERIALS: 1,050 pcs CHB # 4 160 bags PORTLAND CEMENT 12 cu. m. WHITE SAND 7 cu.m. GRAVEL 117 pcs RSB 10mmØ x 6m 2 rolls G.I. TIE WIRE # 16 100 bd. ft. CUCULUMBER 7 pcs. ORDINARY PLYWOOD, 1/4" x 4' x 8'</t>
  </si>
  <si>
    <t xml:space="preserve"> Procurement of Office Furniture and Equipment for NC Kalawit Launching 2 units Office Table @ PhP7,000/unit = PhP 14,000.00    Material: Wooden    Drawer: 4 drawers (With Center Drawer)    Size: 1.2m (L1200mm x W600mm x H750mm) 2 units Office Chair  (Juni</t>
  </si>
  <si>
    <t xml:space="preserve"> A) REQUEST FOR QUOTATION 1. 1 License Therefore™ Workgroup Edition – additional 5 Named User pack 2. 1 License Therefore™ Capture Client license 3. 103 License Therefore™ software assurance - 1 CSS Point (Note: With Renewal of existing software assurance </t>
  </si>
  <si>
    <t xml:space="preserve"> 45 pcs, globe cell cards 500 15 pcs, globe cell cards 300 9 pcs, globe cell cards 100 152 pcs, tm cell cards 300</t>
  </si>
  <si>
    <t xml:space="preserve"> Fertilizers</t>
  </si>
  <si>
    <t xml:space="preserve"> Animal Zoological Supplies</t>
  </si>
  <si>
    <t xml:space="preserve"> PLEASE SEE ATTACHED DOCUMENT</t>
  </si>
  <si>
    <t xml:space="preserve"> Labor and materials</t>
  </si>
  <si>
    <t xml:space="preserve"> 3 UNIT DISINFECTION SPRAYER, KNAPSACK, 16-18KL, 3KG. 66 GAL DISINFECTION SOLUTION (HYDROGEN PEROXIDE CONCENTRATED) 12 PC CLOTH MASK, WASHABLE WITH MULTIPLE LAYER FABRIC 264 PC GLOVES, NATURAL LATEX, POWDER FREE, NON-STERILE 5 PC COVERALL, WASHABLE, POLYCO</t>
  </si>
  <si>
    <t xml:space="preserve"> 16 sets    700 x 16 Tire with Flap and Tube  4  pcs.    700 x 16 Tire 4   sets      8.25 x 16 Tire with Flap and Tube</t>
  </si>
  <si>
    <t xml:space="preserve"> 60 bd.ft, 10-2x3x12' 20 pcs, roundlogs 5 kls, assorted cwn (2' &amp; 3') 6 kls, 6-16mm x 6.0m RSB 9 pcs, 0.40mm x 14' corrugated pre-painted GI sheets (green) 2 pcs, 0.40mm plain GI pre-painted (green) ridge roll 3 pcs, 4" x 6.0m GI pipe (sched 40) 5 pcs 5mm </t>
  </si>
  <si>
    <t xml:space="preserve"> Republic of the Philippines BIDS AND AWARDS COMMITTEE Municipality of Bulusan Reference Number: PG-20-07-013 July 3, 2020 REQUEST FOR QUOTATION The Local Government of Bulusan, through its Bids and Awards Committee (BAC), requests suppliers/manufacturers/</t>
  </si>
  <si>
    <t xml:space="preserve"> Please see the attachment</t>
  </si>
  <si>
    <t xml:space="preserve"> 52	CU.M.	AGGREGATE BASE COURSE 459	BAGS	PORTLAND CEMENT 51	CU.M.	GRAVEL 26	CU.M.	SAND 200	BD.FT.	2 X 6 FORM LUMBER</t>
  </si>
  <si>
    <t xml:space="preserve"> Number: 	Quantity: 	 Supply and delivery of Corn Seeds under the Procurement and Distribution of Corn Seeds Project			 	410	bag		OPV WHITE CORN SEEDS,  20 kgs/bag		1,500.00	615,000.00 										 							Minimum Specification:			 							a. Passed BPI-NSQCS </t>
  </si>
  <si>
    <t xml:space="preserve"> Please see attached Invitation to Bid and Technical Specification</t>
  </si>
  <si>
    <t xml:space="preserve"> INVITATION TO BID IB No. BAC II 2020 – 007 PROCUREMENT OF 2020 QUADRIVALENT INFLUENZA VACCINE (INACTIVATED TYPES A AND B, SUBVIRION) 2020 SOUTHERN HEMISPHERE STRAINS, in INDIVIDUAL SYRINGES 1.	The Baguio General Hospital &amp; Medical Center (BGHMC) through t</t>
  </si>
  <si>
    <t xml:space="preserve"> Republic of the Philippines DEPARTMENT OF PUBLIC WORKS AND HIGHWAYS CAMARINES SUR SECOND DISTRICT ENGINEERING OFFICE Regional Office V Baras, Canaman, Camarines Sur INVITATION TO BID FOR  20FE0137 – CONSTRUCTION OF CLASSROOMS, STA. CRUZ ES, SAN FERNANDO, </t>
  </si>
  <si>
    <t xml:space="preserve"> PARTICULAR                          NO. OF UNITS/ QUANTITY           UNIT COST         TOTAL COST Duplicator with black and white copier                   2 units                          158,000.00             316,000.00 Duolicator Ink CV Black          </t>
  </si>
  <si>
    <t xml:space="preserve"> 1	LOT	Procurement of Professional and Technical Services for Transfer of Serviceable Airconditioning Units and Removal of All Unserviceable Units		 Transfer of serviceable units from Lynzee's Bldg., J.P. Rosales Ave. to AB Calo Bldg., J.C. Aquino Ave., Bu</t>
  </si>
  <si>
    <t xml:space="preserve"> LOAF BREAD, BIG SIZE; FRESHLY BAKED. GOOD FOR 4 MONTHS   CONSUMPTION. FOR WEEKENDS CONSUMPTION   1000 PAX/ 8SERVINGS PER PACKS = 125 PACKS PER DAY* 35DAYS IN    4 MONTHS   PANDESAL (BREAD),30GRAMS/PC;FRESHLY BAKED, (MONDAY-FRIDAY,   EXCEPT WED) GOOD FOR 4</t>
  </si>
  <si>
    <t xml:space="preserve"> Other Supplies</t>
  </si>
  <si>
    <t xml:space="preserve"> OKRA 1KG. 5 PACK POLE SITAO 1 KG. 4 PACK EGGPLANT 50 GRAMS 10 CAN SQUASH 250 GRAMS 2 CAN AMPALAYA 100 FRAMS 5 CAN TOMATO 25 GRAMS 4 CAN SWEET PEPPER 25 GRAMS 4 CAN CUCUMBER 250 GRAMS  4 CAN PATOLA 250 GRAMS 4 CAN UPO 50 GRAMS 4 CAN BAGUIO BEANS 2 CAN</t>
  </si>
  <si>
    <t xml:space="preserve"> 1	Automotive Diesel Fuel							1	Lot	23,649.81 2	Unleaded Gasoline							1	Lot	26,600.00 										 	NOTE: Terms and Conditions									 	1. The supplier start to serve within 3 days upon receipt of the advice by									 	 the project engineer until the </t>
  </si>
  <si>
    <t xml:space="preserve"> Labor and Materials</t>
  </si>
  <si>
    <t xml:space="preserve"> SNACKS</t>
  </si>
  <si>
    <t xml:space="preserve"> CHECKLIST ON COMPLIANCE WITH SAFETY AND HEALTH 20 REAMS PAGE 1 20 REAMS PAGE 2 10 REAMS HEALTH CHECKLIST A4 10 REAMS WAIR FORM 10 REAMS DESIGNATION ON SAFETY OFFICE A4 70 REAMS WORK SAFETY AND HEALTH PROGRAM (7 PAGES 10 REAMS PER PAGE)</t>
  </si>
  <si>
    <t xml:space="preserve"> Fan Belt</t>
  </si>
  <si>
    <t xml:space="preserve"> The BAC of Urdaneta City announces that the said goods shall be procured through Alternative Method of Procurement as per Section 53.9 for Small Value Procurement under Negotiated Procurement of the Revised IRR of RA No. 9184. PLEASE DOWNLOAD ASSOCIATED C</t>
  </si>
  <si>
    <t xml:space="preserve"> 1	50	Box	FUNGICIDE, Mancozeb, 250g/box 2	23	Bag	FUNGICIDE, Mancozeb, 1k/bag 3	100	Btl	HERBICIDE, Butachlor, pretilachlor, 1liter/bottle 4	82	Gal	HERBICIDE, Glyphosate, (not round up) 5	50	Pack	INSECTICIDE, cartap hydrochloride, 100g/pack 6	3	Btl	INSECTICI</t>
  </si>
  <si>
    <t xml:space="preserve"> INVITATION TO BID FOR THE SUPPLY AND DELIVERY OF FARM MACHINERIES AND EQUIPMENT (FMEs) FOR THE PROJET BENEFICIARY ARBO OF NCOT UNDER CLIMATE RESILIENT FARM PRODUCTIVITY SUPPORT PROJECTS Bid Reference Number:  002-2020 Approved Budget for the Contract: P2,</t>
  </si>
  <si>
    <t xml:space="preserve"> The Medical &amp; Dental Services, of the Supreme Court, through the Procurement Section, invites interested suppliers to quote for the price/s of the item/s listed in the attached document (PLEASE DOWNLOAD) Please also provide "Eligibility Documents, Annex A</t>
  </si>
  <si>
    <t xml:space="preserve"> THE OFFICE OF THE CITY MAYOR, SAN CARLOS CITY PANGASINAN IS IN NEED OF THE FOLLOWING FOR USED AT PUBLIC ORDER &amp; SAFETY OFFICE: 50 PAIRS RUBBER BOOTS 68 PC RAINCOAT</t>
  </si>
  <si>
    <t xml:space="preserve"> Please see attached Invitation to Bid and Technical Specifications</t>
  </si>
  <si>
    <t xml:space="preserve"> 30 sheets. Corr. G.I Sheets 3'x10' GA.22 4 quarts. Vulcaseal</t>
  </si>
  <si>
    <t xml:space="preserve"> Procurement of 1 Lot Vehicle Parts, etc.</t>
  </si>
  <si>
    <t xml:space="preserve"> Republic of the Philippines DEPARTMENT OF PUBLIC WORKS AND HIGHWAYS CAMARINES SUR SECOND DISTRICT ENGINEERING OFFICE Regional Office V Baras, Canaman, Camarines Sur INVITATION TO BID FOR  20FE0138 – CONSTRUCTION OF CLASSROOMS, ALIANZA ES, SAN FERNANDO, CA</t>
  </si>
  <si>
    <t xml:space="preserve"> PROCUREMENT OF SERVICE PROVIDER FOR THE PRIVATE AUTOMATIC BRANCH EXCHANGE UPGRADE OF ICTMS</t>
  </si>
  <si>
    <t xml:space="preserve"> Th repair and rehabilitation of Maramag Message Center is part of the overall thrust of the national government to establish the Digital Transformation Centers. Digital Transformation Centers are physical venues where ICT trainings can be accessed by prof</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</si>
  <si>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</si>
  <si>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Supply/Delivery of Construction Accessories</t>
  </si>
  <si>
    <t xml:space="preserve"> Specification: 500 Copies  Newsletter: 8 pages special Magazine full color, glossy paper, Lay-out Photo and news editing included newsletter and free digital  version of the newsletter  ABC; 67,500.00 Venue: Zamboanga City</t>
  </si>
  <si>
    <t xml:space="preserve"> line item</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</si>
  <si>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</si>
  <si>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STRAIGHT CONTRACT: 1 lot Provision/Installation of Cubicles for Consultation of Suspected Covid-19 Patients PART A – GENERAL REQUIREMENTS A.1. 1 each Project Billboard/Signboard A.2.  1 lot Construction Safety and Health (Signage and Barricades) A.3.  1 l</t>
  </si>
  <si>
    <t xml:space="preserve"> REPUBLIC OF THE PHILIPPINES CITY OF MANILA OFFICE OF THE BARANGAY COUNCIL INVITATION TO BID SUBMISSION AND OPENING OF BID WILL BE ON JULY 10, 2020 AT 8 AM THE BARANGAY 90 ZONE 7 DISTRICT 1 MANILA THROUGH ITS BID AND AWARD COMMITTEE (BAC) INVITES ALL QUALI</t>
  </si>
  <si>
    <t xml:space="preserve"> 5 pcs of Ink, Epson, T6731, Black, 70ml for Printer L805 3 pcs of Ink, Epson, T6732, Cyan, 70ml for Printer L805 3 pcs of Ink, Epson, T6733, Magenta, 70ml for Printer L805 3 pcs of Ink, Epson, T6734, Yellow, 70ml for Printer L805 3 pcs of Ink, Epson, T673</t>
  </si>
  <si>
    <t xml:space="preserve"> Submission of RFQ = July 10, 2020, 9:00am at Municipal Hall, Casiguran, Sorsogon</t>
  </si>
  <si>
    <t xml:space="preserve"> Request for Quotation: RFQ-2007-610 1.  655 heads Meals and snacks</t>
  </si>
  <si>
    <t xml:space="preserve"> B.9	Mobilization/Demobiliazation	lot	all	21,138.60 105(1)	Subgrade Preparation (Common Material)	292	sq.m.	5,402.00 201	Aggregate Base Coarse (100mmthk)	29	sq.m.	54,519.13 311(1)a	PVC Pavement Plain-Conventional Method, 200mm thk	292	sq.m.	417,440.28 SPL </t>
  </si>
  <si>
    <t xml:space="preserve"> THE OFFICE OF THE CITY VETERINARIAN’S OFFICE SAN CARLOS CITY, PANGASINAN IS IN NEED OF 100 LITERS ALBENDAZOLE (DEWORMER) FOR LARGE ANIMALS</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</si>
  <si>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</si>
  <si>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Republic of the Philippines DEPARTMENT OF PUBLIC WORKS AND HIGHWAYS CAMARINES SUR SECOND DISTRICT ENGINEERING OFFICE Regional Office V Baras, Canaman, Camarines Sur INVITATION TO BID FOR  20FE0140 – CONSTRUCTION OF CLASSROOMS, CALAWAT ES, PAMPLONA, CAMARI</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</si>
  <si>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</si>
  <si>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ELECTRIC SEWING MACHINE - 10PCS</t>
  </si>
  <si>
    <t xml:space="preserve"> Construction Materials								LOT 1	 1	Portland Cement							421	bags.	260.00 	Various Construction Materials								LOT 2	 2	Washed Sand							28	cu.m.	800.00 3	Gravel, Passing 2" Ø sieve							46	cu.m.	900.00 	Various Construction Materials								LOT 3</t>
  </si>
  <si>
    <t xml:space="preserve"> The works includes: Excavation of footings for columns and walls, concreting of all footings, columns, beams, stairs, ground and second floor slabs, filling of CHB for walls and partitions at ground and second floor, metal works for roofing framing, truss</t>
  </si>
  <si>
    <t xml:space="preserve"> NATIONAL DISABILITY PREVENTION AND REHABILITATION WEEK IN MAINLAND		 SNACK AM = CAKE, MINERAL WATER PM = 2 PCS. EMPANADA, SOFTDRINKS LUNCH RICE, PORKCHOP, BUTTERED CHICKEN, APPLE WATER	1000	persons</t>
  </si>
  <si>
    <t xml:space="preserve"> Republic of the Philippines Province of Davao de Oro Municipality of Monkayo -o0o- INVITATION TO BID FOR THE PROCUREMENT OF CATERING SERVICES  The Municipality of Monkayo, through the GENERL FUND intends to apply the sum of NINETY FIVE THOUSAND PESOS ONLY</t>
  </si>
  <si>
    <t xml:space="preserve"> DRUGS AND MEDICINE</t>
  </si>
  <si>
    <t xml:space="preserve"> Plastic Chairs</t>
  </si>
  <si>
    <t xml:space="preserve"> 1pc Hydraulic Hose 4pcs 700x16 Tires 2pcs Battery 11 Plates</t>
  </si>
  <si>
    <t xml:space="preserve"> 1. The Total Approved Budget for the Contract (ABC) is Three Hundred Sixty Five Thousand Two Hundred Twenty Pesos (Php 365,220.00). 2. Price quotation/s should be inclusive of tax obligations. 3. Evaluation of bids will be conducted either on a “per item”</t>
  </si>
  <si>
    <t xml:space="preserve"> THE OFFICE OF THE CITY VICE MAYOR, SAN CARLOS CITY, PANGASINAN IS IN NEED OF 1 UNIT LAPTOP COMPUTER. SPECS: INTEL CORE i7-975H, 8GB DDR4 RAM 250GB SSD+250GB HDD, INTEL HD630+GTX 1650 GRAPHICS CARD BAG AND CHARGER WITH OS WINDOWS 10 HOME SL WITH MICRO SOFT</t>
  </si>
  <si>
    <t xml:space="preserve"> Various Electrical Supplies</t>
  </si>
  <si>
    <t xml:space="preserve"> Request for Quotation: RFQ-2007-615    Supply and delivery of various spare parts</t>
  </si>
  <si>
    <t xml:space="preserve"> A) REQUEST FOR QUOTATION 1. 100 gallons Fabric Conditioner 4 liter/gallon, concentrate 2. 15 cases Disinfectant Spray 510 grms/can, 12 can/case 3. 10 cases Steelwool for floor polishing 200 grms/ream, 25 ream/case 4. 10 cases Furniture polish 330 ml, 24 c</t>
  </si>
  <si>
    <t xml:space="preserve"> 114	pcs	Refill of fire extinguisher</t>
  </si>
  <si>
    <t xml:space="preserve"> PG-2020-0025: Request for Quotation - Furnishing and Delivery of of Personal Protective Equipment (Raincoat and Hard Hat) for Maintenance section, DPWH-LUED I, Lingsat, San Fernando City, La Union Please see attached files for more information.</t>
  </si>
  <si>
    <t xml:space="preserve"> INVITATION TO BID for the following Projects: Repair/Maintenance of Don Ruben Drainage along Dinagat-Loreto Road, Brgy. Don Ruben, San Jose, Dinagat Islands Repair/Maintenance of Navarro Bridge II Revetment along Dinagat-Loreto Road, Brgy. Navarro, Tubajo</t>
  </si>
  <si>
    <t xml:space="preserve"> PLEASE SEE ATTACHED FILE.</t>
  </si>
  <si>
    <t xml:space="preserve"> Materials for Repair</t>
  </si>
  <si>
    <t xml:space="preserve"> Republic of the Philippines Province of Cagayan Municipality of Sanchez Mira BIDS AND AWARDS COMMITTEE INVITATION TO BID REHAB/IMPROVEMENT OF BRIDGE AT KALINGKINGAN-MARZAN, SANCHEZ MIRA, CAGAYAN ITB-2020-13-INFRA 1.	The LGU-Sanchez Mira through its Munici</t>
  </si>
  <si>
    <t xml:space="preserve"> Requirements: 1. Accomplished RFQ/Quotation Form 2. Philgeps Registration 3. Mayor's Permit 4. Omnibus Sworn Statement Submission of Priced quotation/s - on or before July 8, 2020 @ the HRM Office, 2nd Floor, Bontoc Municipal Capitol, Poblacion, Bontoc, M</t>
  </si>
  <si>
    <t xml:space="preserve"> LOT 2									 1	Fine Aggregate (Sand)							200	cu.m.	1,100.00 2	Crushed Aggregate (Gravel)							100	cu.m.	1,200.00 3	Uncrushed Aggregate (Ord. Gravel)							200	cu.m.	1,000.00 	 Terms &amp; Conditions: Any of the materials shall be delivered by the supplie</t>
  </si>
  <si>
    <t xml:space="preserve"> LOT 1										 1	Portland Cement							374	bags	260.00 										 	Terms &amp; Conditions:									 	● The materials shall be for pick up from the supplier within 10 working 									 	days from the receipt of a written advice by the project engineer.							</t>
  </si>
  <si>
    <t xml:space="preserve"> Invitation to Bid The LGU of Hindang, Leyte through its Bids and Awards Committee (BAC) invites the PhilGEPS registered suppliers to apply to bid for the Supply and Delivery of various materials. Specifications: 1.	1	 unit 	Printed Tarpaulin (8ft. X 8ft.)</t>
  </si>
  <si>
    <t xml:space="preserve"> SCOPE  of WORKS - L300 (SJT-190)                                                                                     Parts:  1     set      Upper Shaft kit   2      pc.     Lower Suspension Bushing                   Caster Bushing 2 big                   </t>
  </si>
  <si>
    <t xml:space="preserve"> ITEM DESCRIPTION Supply and Delivery  37 sacks of long grain, well-milled rice (50 kgs/sack) The sacks of rice will be delivered in NCIP V-CSPO, Camarines Sur</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</si>
  <si>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</si>
  <si>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please see attached Invitation to Offer for Negotiated Procurement</t>
  </si>
  <si>
    <t xml:space="preserve"> Please see attached RFQ</t>
  </si>
  <si>
    <t xml:space="preserve"> Republic of the Philippines Province of Compostela Valley Municipality of Monkayo -o0o- INVITATION TO BID FOR THE PROCUREMENT OF FOOD SUPPLIES FOR NUTRITION PROGRAM (2nd Sem.)  The Municipality of Monkayo, through the GENERL FUND intends to apply the sum </t>
  </si>
  <si>
    <t xml:space="preserve"> Procurement for the Repair and Maintenance Expense re: Upgrade and Replacement of NCs Laptops HDD 18 pcs. Solid State Drive (SSD) @ PhP 6,000/pc.= PhP 108,000.00 Capacity: 500GB 2.5" Internal SATA III 6GB/S 860 Solid State Drive Sequential Read Speed: Up </t>
  </si>
  <si>
    <t xml:space="preserve"> 1 unit 12 placer centrifuge</t>
  </si>
  <si>
    <t xml:space="preserve"> Please see attached RFQ and Technical Specification</t>
  </si>
  <si>
    <t xml:space="preserve"> Republic of the Philippines MUNICIPALITY OF BUENAVISTA INVITATION TO BID FOR SUPPLY AND DELIVERY OF OFFICE SUPPLIES FOR MUNICIPAL MAYOR (HR), VICE-MAYOR, SB LEGISLATIVE, MUNICIPAL FIRE STATION AND LOCAL CIVIL REGISTRAR OFFICE    1.	The Local Government Un</t>
  </si>
  <si>
    <t xml:space="preserve"> Republic of the Philippines Province of Davao de Oro Municipality of Monkayo -o0o- INVITATION TO BID FOR THE PROCUREMENT OF CONSTRUCTION MATERIALS FOR REPAIR OF PUBLIC MARKET  The Municipality of Monkayo, through the GENERL FUND intends to apply the sum o</t>
  </si>
  <si>
    <t xml:space="preserve"> 6 PCS-11.00 X 20 MINING LUG</t>
  </si>
  <si>
    <t xml:space="preserve"> Live Animals</t>
  </si>
  <si>
    <t xml:space="preserve"> 1	set	Computer set with printer 		Specifications: 		CPU: Dell Power Edge T130 ower Compute 		Processor: Intel Xeon E3 1220 V6 3.0 ghZ 		Motherboard: Motherboard: Dell motherbaord 		Memory: 8GB pc2400 		Hardisk: Hardisk 1tb hdisk 		Monitor: LG, AOC, Samsun</t>
  </si>
  <si>
    <t xml:space="preserve"> Procurement of Desktop, Laptop, Fire Extinguisher, Multi Function Printer, Dome Type Camera, Patch Panel, Floor Mounted Air Conditioning Unit, Computer Cubicles &amp; Chairs, Switch Hub, WiFi Router, Smart LED TV, Welding Machine, Cultivator &amp; Shredder for th</t>
  </si>
  <si>
    <t xml:space="preserve"> Please see attached RFQ for more details. For more queries/concerns, please contact us through Mr. Wilbert Gondales: wilbert.gondales@deped.gov.ph For interested suppliers, please contact BAC.SDOBenguet@gmail.com or wilbert.gondales@deped.gov.ph for RFQ. </t>
  </si>
  <si>
    <t xml:space="preserve"> Republic of the Philippines			 			                         Department of Agriculture			 			               BUREAU OF FISHERIES AND AQUATIC RESOURCES			 			Fisheries Regional Office No. 10			 			Macabalan, Cagayan de Oro City			 			TIN – 000-550-823-017			 </t>
  </si>
  <si>
    <t xml:space="preserve"> NETWORK CABLING		 1	PIECE	D-LINK 16 PORT SWITCH HUB		 3	BOX	UTP CABLE CAT-5E		 4	PACK	CABLE TIE		 3	PACK	CABLE CLIP (U-NAIL)		 8	PIECE	PLASTIC MOLDING, 1 INCH		 2	ROLL	ELECTRIC TAPE		 1	BOX	RJ45		 100	PIECE	BLACK SCREW, 1 INCH		 100	PIECE	TOX, 1 INCH		 5	</t>
  </si>
  <si>
    <t xml:space="preserve"> CONSTRUCTION OF YOUTH HOME CARE/REFORMATORY CENTER WITH COMPLETE ITEM OF WORKS</t>
  </si>
  <si>
    <t xml:space="preserve"> 52	CU.M.	AGGREGATE BASE COURSE		 459	BAGS	PORTLAND CEMENT		 51	CU.M.	GRAVEL		 26	CU.M.	SAND		 200	BD.FT.	2 X 6 FORM LUMBER</t>
  </si>
  <si>
    <t xml:space="preserve"> AIRCON SPECS:							1	unit	75,000.00 SPLIT type, Ceiling Mounted, 3 Tr.									 Cooling Capacity: 37,980 Kj/H Rated Current: 17.0 A									 Rated power: 3880 W, EER: 9.8 kj/hW									 indoor unit: Airflow (HI,MI,LO) 1804/1571/1384 m3/H									 unit Di</t>
  </si>
  <si>
    <t xml:space="preserve"> TERMS AND CONDITIONS:		 					 	1. All entries must be typewritten or legibly written.								 	2. Delivery period within 15 calendar days upon receipt of approved Purchase Order (P.O.)								 	3. Warranty shall be a minimum of 3 months for expendable sup</t>
  </si>
  <si>
    <t xml:space="preserve"> 1.Flexible LED Strip Lights Duma AAZ H80-5M Double Blisher Warm white - 6 pcs 2.Modern Black LED Flush Mount Celing Light Square Combination Shape - 1 pc 3.2 Gang 2USB Wall Charger Adapter Socket Dual USB Port Outlets Plate Panel Universal Plug White - 4 </t>
  </si>
  <si>
    <t xml:space="preserve"> 2HP AIRCON WINDOW TYPE NON-INVERTER  with Installation	10	units</t>
  </si>
  <si>
    <t xml:space="preserve"> Air Condition Unit, Floor Mounted, 3 tons, Inverter Type and Installation</t>
  </si>
  <si>
    <t xml:space="preserve"> CONSTRUCTION OF WAITING AREA @ ATM BUILDING MUNICIPAL HALL COMPOUND, FLORA, APAYAO</t>
  </si>
  <si>
    <t xml:space="preserve"> 300 pack of coffee 3x1 Assorted &amp; 2 others</t>
  </si>
  <si>
    <t xml:space="preserve"> 60 inch LED TV with Motionplus 100Hz Technology 1920 x 1080 Full HD Set without stand: 1,374.1 x 793.8 x 94.3mm Set with stand: 1,374.1 x 859.6 x 227.6mm Package: 1,622 x 935 x 200mm Set without stand: 23.2kg. Set with stand: 25.8kg. Package (kg): 32.2kg.</t>
  </si>
  <si>
    <t xml:space="preserve"> A) REQUEST FOR QUOTATION 1. 10 units All-in-one Touchscreen Monitors •Processor: Intel Core i5-9400T (1.SGHz up to 3.4Ghz max turbo frequency 9MB cache 6 cores •Memory: SGB DDR4 2666 SODIM •Storage: 512GB SSD M.2 2280 NVmE TLC •Graphics: AMO R530 2GB GD5 </t>
  </si>
  <si>
    <t xml:space="preserve"> 150	pax	Rice, Tuna belly with lemon sauce, 		Pork Broccoli, Roast Chicken, 		Chopsuey with quail egg 		Sotanghon- canton 		Leche flan, mango jello with sago 		Drinks and mineral water</t>
  </si>
  <si>
    <t xml:space="preserve"> Corazon Locsin Montelibano Memorial Regional Hospital, through its Bids and Awards Committee, intends to procure CSR SUPPLIES (PR#20-06-70609), which will be undertaken in accordance with Section 53.9 of the Revised Implementing Rules and Regulations of R</t>
  </si>
  <si>
    <t xml:space="preserve"> 1	32	pcs	Curtain (Outer) DISENYO Window Curtain	 			(60 x 84)	 2	16	pcs	Curtain (Inner) HOME CHOICE Window Curtain	 			(58 x 96)	 3	14	pcs	Curtain Rock (2 meters)	 				 APPROVED BUDGET FOR THE CONTRACT: PHP 30,000.00 LOCATION OF THE CONTRACT: BATARAZA, PA</t>
  </si>
  <si>
    <t xml:space="preserve"> for use of the different Health Facilities in the province (PHO, IDH, BGH, RHUs);</t>
  </si>
  <si>
    <t xml:space="preserve"> QUANTITY UNIT DESCRIPTION 350 vial Depomedroxyprogesterone acetate 150mg/ml ethinyl estradiol+ 400 pad levonorgestrel 30mcg/150mcg 100 pc elastic bandage 2in 10 vial lidocaine 20mg/ml 50ml 100 pc 5cc syringe 1 roll gauze 10 pc plaster 1 gal povidone iodin</t>
  </si>
  <si>
    <t xml:space="preserve"> One (1) Lot 1. PE Tubing SDR 11 #1/2" dia @ 300mtrs/roll per meter sequence numbering on pipes  = 21,000 mts 2. PE Tubing SDR 11 #3/4" dia @ 150mtrs/roll per meter sequence numbering on pipes  = 1,500 mts 3. PE Tubing SDR 11 #1" dia @ 100mtrs/roll per met</t>
  </si>
  <si>
    <t xml:space="preserve"> 1. The Total Approved Budget for the Contract (ABC) is Nine Hundred Thirty Eight Thousand Three Hundred Ten Pesos (Php 938,310.00). 2. Price quotation/s should be inclusive of tax obligations. 3. Evaluation of bids will be conducted either on a “per item”</t>
  </si>
  <si>
    <t xml:space="preserve"> Invitation to Bid No. 2020-02 Republic of the Philippines Batangas City Invitation to Bid for the Purchase of Generator for the use of Barangay San Miguel, Batangas City. The Barangay Government through the Office of the Brgy. Chairman intends to apply th</t>
  </si>
  <si>
    <t xml:space="preserve"> The DPWH-Ilocos Sur 1st District Engineering Office, through its Bids and Awards Committee (BAC), invites contractors to submit bids for the following Contract:   Contract ID: 20AC0104   Contract Name: Construction of Classrooms, Two (2) Storey, Four (4) </t>
  </si>
  <si>
    <t xml:space="preserve"> Furniture and Fixtures</t>
  </si>
  <si>
    <t xml:space="preserve"> Procurement of 1 Lot, 1 Set Overhauling Gasket, etc.</t>
  </si>
  <si>
    <t xml:space="preserve"> Delivery and Supply of Construction Materials for the Proposed Barangay Day Care Renovation</t>
  </si>
  <si>
    <t xml:space="preserve"> Republic of the Philippines DEPARTMENT OF PUBLIC WORKS AND HIGHWAYS CAMARINES SUR SECOND DISTRICT ENGINEERING OFFICE Regional Office V Baras, Canaman, Camarines Sur INVITATION TO BID FOR  20FE0139 – CONSTRUCTION OF CLASSROOMS, BICAL ES, SAN FERNANDO, CAMA</t>
  </si>
  <si>
    <t xml:space="preserve"> 2020 18TH PUBLIC BIDDING:  LABORATORY AND RESPIRATORY THERAPY SUPPLIES FOR 2020 2ND SEMESTER CONSUMPTION</t>
  </si>
  <si>
    <t xml:space="preserve"> Procurement of 3,000 box of Crayons</t>
  </si>
  <si>
    <t xml:space="preserve"> Republic of the Philippines DEPARTMENT OF PUBLIC WORKS AND HIGHWAYS CAMARINES SUR SECOND DISTRICT ENGINEERING OFFICE Regional Office V Baras, Canaman, Camarines Sur INVITATION TO BID FOR  20FE0141 – CONSTRUCTION OF CLASSROOMS, SAN RAMON ES, PAMPLONA, CAMA</t>
  </si>
  <si>
    <t xml:space="preserve"> Page 1 of 7 REQUEST FOR QUOTATION (RFQ) PREVENTIVE MAINTENANCE, VALIDATION, AND DECONTAMINATION OF ONE (1) BIOLOGICAL SAFETY CABINET (S/N: 2017-T10148) UNDER EMB-ERLSD-ELSS-ECMU RFQ NO. EMB-SVP-ERLSD-ECMU BSC PM 2020-0625 1. The Department of Environment </t>
  </si>
  <si>
    <t xml:space="preserve"> The Municipality of Gen. Mariano Alvarez, Cavite, through its Bids and Awards Committee (BAC), invites suppliers / manufacturers /distributors /contractors to apply for eligibility and to bid for the hereunder project:									 									 									 Name of</t>
  </si>
  <si>
    <t xml:space="preserve"> TANJAY WATER DISTRICT Water District Development Sector Project INVITATION FOR BIDS (Open Competitive Bidding – National) Date:	03July 2020 Loan No. and Title:	3389-PHI: Water District Development Sector Project Contract No. and Title:	WDDSP-TWD-OCB-CW03d</t>
  </si>
  <si>
    <t xml:space="preserve"> IMPROVEMENT OF EXISTING DRUG REHABILITATION CENTER WITH COMPLETE ITEM OF WORKS</t>
  </si>
  <si>
    <t xml:space="preserve"> 2	units	Air Conditioning unit 		2 hp</t>
  </si>
  <si>
    <t xml:space="preserve"> Request for Quotation: RFQ-2007-609  1. 85 pcs. Wreath</t>
  </si>
  <si>
    <t xml:space="preserve"> The supplies will be used for the class opening.</t>
  </si>
  <si>
    <t xml:space="preserve"> Alcohol 70%, Tissue Paper and White Flower</t>
  </si>
  <si>
    <t xml:space="preserve"> 1	Bondpaper, legal size, subs. 24 for laser printing, 80 gsm					104	reams	250.00 2	Bondpaper, A4 size, subs. 24 for laser printing, 80 gsm					104	reams	240.00 3	Bond paper, letter size, subs. 24 for laser printing,80 gsm					104	reams	230.00 4	Record Bo</t>
  </si>
  <si>
    <t xml:space="preserve"> 24” x 24” SEC Brass Seal 3 Units Size: 24” x 24” Thickness: 1/6” Material: Brass Text/Logo: Engraved/Embossed Backing Material: ¾” wood Buildup Sidings: ¾” 18” x 18” SEC Brass Seal 26 Units Size: 18” x 18” Thickness: 1/6” Material: Brass Text/Logo: Engrav</t>
  </si>
  <si>
    <t xml:space="preserve"> 130 PCS</t>
  </si>
  <si>
    <t xml:space="preserve"> Procurement of Construction Materials &amp; Supply 1. 14 pcs 1  1/2" dia X 6.0m.G.I. Pipe Sch.40 2. 27 pcs 1"  dia X 6.0m.G.I. Pipe Sch.40 3. 22 pcs 1" x 1" x 6m. X  3/16 Angle Bar 4. 1 box Welding Rod 5. 1 pc Cut-off Blade  14" 6. 2 pcs GrindingStone 7. 10 p</t>
  </si>
  <si>
    <t xml:space="preserve"> A) REQUEST FOR QUOTATION  1. 1 Lot PALO ALTO 3020 RENEWAL (until December 31, 2020) •TP, Renewal, PA3020 •PANDB URL, Renewal, PA3020 •Pntr. Premium Support, Renewal, PA3020 •Wildfire subscription, PA-3020 •GlobalProtect subscription, PA-3020 •Support (unt</t>
  </si>
  <si>
    <t xml:space="preserve"> 1	Unleaded							1 								 	1. price qoutation Should be Made in Liters							 	2. Fuel Escalation Clause							 	 - if the price Goes up							 	Volume Goes down							 	 -if the Price Goes Down							 	Volume Goes up							 Project Name:		For Use In th</t>
  </si>
  <si>
    <t xml:space="preserve"> Republic of the Philippines DEPARTMENT OF PUBLIC WORKS AND HIGHWAYS CAMARINES SUR SECOND DISTRICT ENGINEERING OFFICE Regional Office V Baras, Canaman, Camarines Sur INVITATION TO BID FOR  20FE0142 – CONSTRUCTION OF CLASSROOMS, HUBO ES, PASACAO, CAMARINES </t>
  </si>
  <si>
    <t xml:space="preserve"> SECURITY PLANT COMPLEX       Department of General Services       Procurement Division 1ST RFQ EXTENSION 1.	The Bangko Sentral ng Pilipinas requests quotations for the hereunder requirement: Name of the Requirement/Brief Description	:  	Supply and Deliver</t>
  </si>
  <si>
    <t xml:space="preserve"> Request for Quotation: RFQ-2007-617 1. 240 heads  Meals and Snacks ( 4 days)</t>
  </si>
  <si>
    <t xml:space="preserve"> I.	Please quote your lowest price inclusive of VAT on the projects listed below, subject to the Terms and Conditions of this RFQ, and submit your sealed quotation not later than 10:00 AM of July 6, 2020 upon posting of this RFQ at DepED-Division of Cotaba</t>
  </si>
  <si>
    <t xml:space="preserve"> Corazon Locsin Montelibano Memorial Regional Hospital, through its Bids and Awards Committee, intends to procure BEEF (UNOD), which will be undertaken in accordance with Section 53.9 of the Revised Implementing Rules and Regulations of Republic Act No. 91</t>
  </si>
  <si>
    <t xml:space="preserve"> A) REQUEST FOR QUOTATION 1. 40 ltrs Acri-color raw sienna 2. 12 ltrs Acri-color toluidine red 3. 60 pails Semi-gloss latex, white, odorless 4. 12 gals QDE chocolate brown 5. 4 gals Paint thinner 6. 8 bags Skimcoat, 20 kg 7. 90 meters Floor Sander #100 8. </t>
  </si>
  <si>
    <t xml:space="preserve"> to Furnish labor and materials for the Printing and Binding  of						 "Booklet on R.A. 9262".						 						 Details:						 no. Of Pieces: 930						 Price/Booklet: 107.50						 no. Of Pages: 81						 Size:5.3 x 8.2", Folded						 Cover: book paper ( B/W)			</t>
  </si>
  <si>
    <t xml:space="preserve"> PORTABLE JACK HAMMER	1	UNIT PORTABLE GENSET 650 WATTS	1	UNIT AIR COMPRESSOR 1/2HP	1	UNIT SPRAY GUN PSG-71S	2	UNITS WELDING &amp; CUTTING SET	1	UNIT CUT-OFF WHEEL 14”	10	PCS. LADDER FIBERGLASS 24 FT.	2	UNITS HEAVY DUTY HAND TRUCK	1	UNIT PUSH CART	2	UNITS AIR H</t>
  </si>
  <si>
    <t xml:space="preserve"> Procurement of  One Job Order for Lease of DSLR Camera (for 3 months)</t>
  </si>
  <si>
    <t xml:space="preserve"> purchasing and delivery of the ff: 1 2 3 4</t>
  </si>
  <si>
    <t xml:space="preserve"> ARTICLE AND DESCRIPTION											 															 ITEM	QTY.	UNIT						CEILING 					UNIT PRICE		TOTAL  								PRICE							 															 				Office: City Personnel Office  				PR No. 827							 				Charge to:  Printing &amp; Publication Expenses				OBR No.</t>
  </si>
  <si>
    <t xml:space="preserve"> Republic of the Philippines					 DEPARTMENT OF ENVIRONMENT AND NATURAL RESOURCES					 PROVINCIAL ENVIRONMENT AND NATURAL RESOURCES OFFICE					  Bliss Site, Kalibo, Aklan					 Tel. No. 268-4102					 					 REQUEST FOR QUOTATION					 					 					 					 Compan</t>
  </si>
  <si>
    <t xml:space="preserve"> 1	Alcohol, 68%-72% ethanol(ethyl)							50	btls	95.00 2	Baby powder, 25grams							25	btls	25.00 3	Bleaching liquid, 1liter/btl							40	btls	45.20 4	Broom, soft(tambo)							10	pcs	185.00 5	Broom, stick(tingting)							15	pcs	38.80 6	Chlorine powder					</t>
  </si>
  <si>
    <t xml:space="preserve"> Department of Public Works and Highways									 DEPARTMENT OF PUBLIC WORKS AND HIGHWAYS									 BATANGAS II 									 DISTRICT ENGINEERING OFFICE									 REGIONAL OFFICE IV A									 "Kumintang Ilaya, Batangas City "									 									 NOTICE NO. 2020</t>
  </si>
  <si>
    <t xml:space="preserve"> Repair &amp; Maint. of MAO Office Equipment</t>
  </si>
  <si>
    <t xml:space="preserve"> 1	Insect Spray, 600 ml, Scented, water based							108	bot	450.00 2	trash can							5	pcs	285.00 3	Alcohol 500ml							16	bot	110.00 4	car air Re-Fresher							25	can	235.00 5	Air Freshener 320ml							25	can	220.00 6	Diswashing Liquid (250ml/bot)							1</t>
  </si>
  <si>
    <t xml:space="preserve"> 3000 sets - Health &amp; Hygiene Kit                 -2 Surgical Mask                 -60 ml Alcohol Spray                 -100 ml Hand Sanitizer                 -100 ml Hand Soap w/ Antibac                  (with FDA &amp; DOH Approval) 5 packs - Surgical Dispos</t>
  </si>
  <si>
    <t xml:space="preserve"> 1. The Total Approved Budget for the Contract (ABC) is Seventy Thousand Pesos (Php 70,000.00). 2. Price quotation/s should be inclusive of tax obligations. 3. Evaluation of bids will be conducted either on a “per item” or “lot” basis. 4. Delivery/completi</t>
  </si>
  <si>
    <t xml:space="preserve"> Construction of Gazeebo Roof Shingles 6 Bundle Tubular 2x6 16 pcs Tubular 2x4 8 pcs Deco Stone 30 Sq.M 12mm Deformed Bars 45 pcs 10mm Deformed Bars 20 pcs Plywood 5 pcs Cement 20 Bags Sand 3 CU.M Gravel 4 CU.M Forms 1 Lot Common Wire Nail 5 Kgs</t>
  </si>
  <si>
    <t xml:space="preserve"> PROCESSING Video Processing        4:2:2(Y/Pb/Pr), 8bits(internal Processing: 480/59.94p when set to NTSC, 576/50p when set to PAL) Audio Processing Sampling Rate: 24 bits/48kHz, 2ch INPUT FORMATS HDMI Video (INPUT 1 - 3) requires 720x480/59.94(when set t</t>
  </si>
  <si>
    <t xml:space="preserve"> 1 FT X 2 FT	150	PCS 2 FT X 3 FT	150	PCS 3 FT X 3 FT	150	PCS 3 FT X 4 FT	150	PCS 2 ½ FT X 9 FT	150	PCS 4 FT X 8 FT	150	PCS 7 FT X 5 FT	150	PCS</t>
  </si>
  <si>
    <t xml:space="preserve"> Infrared Thermometer,Facial Shield, Automatic Electronic Blood Pressure Monitor,Rugs, Liquid Hand Soaps, Clean Disposable Gloves, Chlorine, Disposable Face Mask, Alcohol (70%)</t>
  </si>
  <si>
    <t xml:space="preserve"> 1	bondpaper long subs 20							10	ream	260.00 2	bond paper short 							10	ream	230.00 3	carbon paper legal size 							1	box	700.00 4	continuous paper 1 ply short							1	box	800.00 5	continuous paper 2 ply short							2	box	850.00 6	computer ink black c</t>
  </si>
  <si>
    <t xml:space="preserve"> REQUEST FOR QUOTATION RFQ No. 2020-0280 The CITY GOVERNMENT OF CABANATUAN through its Bid and Awards Committee (BAC), will undertake Small Value Procurement for the SUPPLY AND DELIVERY OF OFFICE FURNITURE AND TENT in accordance with Section 53.9 of the Re</t>
  </si>
  <si>
    <t xml:space="preserve"> kindly see attached file for your reference.</t>
  </si>
  <si>
    <t xml:space="preserve"> 36	BAGS 	PORTLAND CEMENT		 4	CU.M.	GRAVEL		 2	CU.M.	SAND		 48	PCS.	        10mmΦ X 6.0m DSB		 1	KG	        G.I. TIE WIRE 		 1	PC. 	        2"Φ X 6.0m G.I. PIPE S-40		 2	PCS.	        1 1/4"Φ X 6.0m G.I. PIPE S-40		 2	KGS	        WELDING ROD		 2	LITERS	PAIN</t>
  </si>
  <si>
    <t xml:space="preserve"> fittings for new connection and repairs</t>
  </si>
  <si>
    <t xml:space="preserve"> Procurement of  150 box Blood Glucose Test Strips</t>
  </si>
  <si>
    <t xml:space="preserve"> Technical Specifications Flatbed Specifications Type:	A4 sheet-fed , one-pass duplex scanner  Scanning Method:	Fixed carriage and moving document Optical Sensor	4-line colour CCD Light Source	White LED Optical Resolution	600 dpi x 600 dpi Output Resolutio</t>
  </si>
  <si>
    <t xml:space="preserve"> ITEM DESCRIPTIONS: PROVISION OF FOODS/SNACKS July 14, 2020 AM Snack, Lunch, and PM Snack for 50 pax July 15, 2020 AM Snacks, Lunch and PM Snack for 50 pax July 23, 2020 AM Snacks, Lunch and PM Snacks for 50 pax July 24, 2020 AM Snacks, Lunch and PM Snacks</t>
  </si>
  <si>
    <t xml:space="preserve"> (Please also see attached.) INVITATION TO BID Supply, Delivery and Testing of Rice Reapers (PHilMech-RCEF-20-06-06) 1. The Philippine Center for Postharvest Development and Mechanization (PHilMech) through its FY 2019 &amp; FY 2020 Rice Competitive Enhancemen</t>
  </si>
  <si>
    <t xml:space="preserve"> Date: July 2, 2020  Quotation No.: 2020-053 REQUEST FOR QUOTATION The Municipal Government of Victoria, through the Bids and Awards Committee, will undertake Small Value Procurement for the “Provision of materials for handwashing area for DepEd Elementary</t>
  </si>
  <si>
    <t xml:space="preserve"> Republic of the Philippines CITY OF PANABO Province of Davao del Norte BIDS AND AWARDS COMMITTEE -o0o- REQUEST FOR QUOTATION 1.	 The City of Panabo, through CAGRO – AGRICULTURAL INDUCE FOR DIST. /CALAMITY FUND 2018 intends to apply the sum of Three Hundre</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</si>
  <si>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</si>
  <si>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INVITATION TO BID SUPPLY, DELIVERY AND INSTALLATION OF MATERIALS FOR MODULAR WORKSTATION INCLUDING ELECTRICAL WORKS AND FURNITURE FOR THE RENOVATION OF THE FINANCIAL MANAGEMENT DEPARTMENT OFFICE ITB NO. BS-002-2020 1.	The National Irrigation Administratio</t>
  </si>
  <si>
    <t xml:space="preserve"> REQUEST FOR EXPRESSION OF INTEREST FOR 1.	Contract Id No.:	:	20CSCG001 	Contract Name:	:	Conduct of Parcellary Survey for the Proposed Bypass Roads on Various Municipalities of the 3rd and 4th Legislative Districts of Pampanga  	Contract Location:	:	Apali</t>
  </si>
  <si>
    <t xml:space="preserve"> Republic of the Philippines Province of Palawan Municipality of Balabac BIDS AND AWARDS COMMITTEE INVITATION TO BID 1.The Municipal Government  of Balabac, through 20% MDF 2020 intends to apply the sum of Four Hundred Forty Seven Thousand Six Hundred Fort</t>
  </si>
  <si>
    <t xml:space="preserve"> Invitation to Bid for the Construction/Rehab of Barangay Water System The Municipality of San Francisco, Surigao del Norte, through the 20% Development Fund of CY 2020 intends to apply the sum of Two Million Five Hundred Thousand Pesos (P 2,500,000.00) be</t>
  </si>
  <si>
    <t xml:space="preserve"> Item No. Qty. Unit of Issue Item Description 1 2891 liters DIESEL</t>
  </si>
  <si>
    <t xml:space="preserve"> Republic of the Philippines DEPARTMENT OF PUBLIC WORKS AND HIGHWAYS CAMARINES SUR 2ND DISTRICT ENGINEERING OFFICE Regional Office V Baras, Canaman, Camarines Sur INVITATION TO BID FOR  20FE0143 – CONSTRUCTION OF CLASSROOMS, PAMUKID NATIONAL HIGH SCHOOL, S</t>
  </si>
  <si>
    <t xml:space="preserve"> 1	Toner Cartridge, HP CF 283A							30	pcs	2,700.00 2	Toner Cartridge, RTC 2380							18	pcs	2,700.00 	With Additional Requirements:									 	*Free Service unit printer ( Should be automatically Replaced if Destroyed)									 	*Free Service Maintenance	</t>
  </si>
  <si>
    <t xml:space="preserve"> SPIRAL BULB 3S45 45 WATTS	500	PCS</t>
  </si>
  <si>
    <t xml:space="preserve"> Republic of the Philippines Province of Davao de Oro Municipality of Monkayo -o0o- INVITATION TO BID FOR THE PROCUREMENT OF LABOR &amp; MATERIALS FOR THE PROJECT OF RETROFITTING OF MDRRMC BUILDING (PHASE 1), POBLACION, MONKAYO, DAVAO DE ORO The Municipality o</t>
  </si>
  <si>
    <t xml:space="preserve"> Please see the attached Documents.</t>
  </si>
  <si>
    <t xml:space="preserve"> Stock No.   Item Description       QTY.    UNIT 1.Water Pump       1        Assy. 2. Cutting Edge      1       Set. 3. End Bit              1        Set. 4. Plow Bolt 5/8" x 2 ½" NC    30     Pcs. 5. Battery 12V 21 Plates     2     Pcs. 6. Tires 17.5 x 25</t>
  </si>
  <si>
    <t xml:space="preserve"> Standard Form Number: SF-                                                              Republic of the Philippines Standard Form Title: Request for                                                                                                       Taclo</t>
  </si>
  <si>
    <t xml:space="preserve"> QTY   UNIT    DESCRIPTION 50     PCS      LED LIGHTS BULB 18WATTS 10     PCS      RUBBER SOCKET 3       PCS      ELECTRICAL TAPE</t>
  </si>
  <si>
    <t xml:space="preserve"> Project: REPAIR MAINTENANCE OF MUNICIPAL VEHICLE  Location: Laurel, Batangas ABC: PHP 115,000.00 Description: Turbo Replacement (set) including Labor/Installation</t>
  </si>
  <si>
    <t xml:space="preserve"> 27853-001	TABLE  PLASTIC  RECTANGULAR	210	PIECE	2,301.00	483,210.00 SPECIFICATIONS: 1. Rectangular monoblocks plastic table 2. Can be dismantled 3. Dimension is 30 inches x 48 inches with 30inch height 4. Granite beige in color 5. Materials shall be made </t>
  </si>
  <si>
    <t xml:space="preserve"> 13 UNIT/S LAZY BOY Specifications: Full air bed leather soft upholstery. Ultra air gel leather soft padded arm rest All metal reliever mechanism Dimension: W82xD92x95cm Back rest is adjustable NOTE: ALL NEW SUPPLIER ARE REQUIRED TO SUBMIT THE FOLLOWING DO</t>
  </si>
  <si>
    <t xml:space="preserve"> Photocopy of Various Documents</t>
  </si>
  <si>
    <t xml:space="preserve"> Republic of the Philippines Province of Palawan Municipality of Balabac BIDS AND AWARDS COMMITTEE INVITATION TO BID 1.The Municipal Government  of Balabac, through 20% MDF 2020 intends to apply the sum of Three Hundred Ninety Eight Thousand Seven Hundred </t>
  </si>
  <si>
    <t xml:space="preserve"> Improvement of Office Building (Motorpool) Corr G.I Sheets #12 10 pcs Tubular 2x6 24 pcs C-Purlins 2x4 7 pcs Gypsum Board 8 pcs Metal Furring 8 Pcs Carrying Channel 6 pcs Wall Angle 7 pcs Tecksrew 500 pcs Blind Rivets 3 Box Fixed Glass 20 Sq.ft  Paint Bru</t>
  </si>
  <si>
    <t xml:space="preserve"> Republic of the Philippines DEPARTMENT OF PUBLIC WORKS AND HIGHWAYS CAGAYAN 2ND DISTRICT ENGINEERING OFFICE Regional Office II Abulug, Cagayan July 2, 2020 INVITATION TO BID  The Cagayan 2nd District Engineering Office, Abulug, Cagayan, through its Bids a</t>
  </si>
  <si>
    <t xml:space="preserve"> PCC at CMU thru  the BIDS and AWARDS Committee intend to apply for 300,000 as the Approved Budget for the contract under Raw Carabao's Milk. Specs: 5,000 liters raw carabao's milk</t>
  </si>
  <si>
    <t xml:space="preserve"> 50 CV (cases) - Jumbo tissue, 2-ply, 200m (12 roll/case), 90mm min. diameter                    nothing follows</t>
  </si>
  <si>
    <t xml:space="preserve"> ITEM 1	2” x 2” x 12’ Coco Lumber (40 pcs)	170	bd.ft 2	2” x 3” x 12’ Coco Lumber (15 pcs)	90	Bd.ft 3	¼” thk. Ordinary Plywood	20	sheet 4	4” thk. CHB	400	Pcs 5	2” dia. Stainless Steel Pipe	25	length 6	Cement	196	bags 7	Ceramic Toilet Paper Holder	1	pc 8	C.W</t>
  </si>
  <si>
    <t xml:space="preserve"> TONER CARTRIDGE FOR PRINTER, BLACK	143	carts TONER CARTRIDGE FOR PRINTER MULTIFUNCTION, BLACK AND COLOUR  (CYAN, YELLOW, MAGENTA)	 10	 sets TONER CARTRIDGE FOR PRINTER MULTIFUNCTION, BLACK, HEAVY DUTY	 16	 carts      TERMS: 1)	Winning supplier shall provi</t>
  </si>
  <si>
    <t xml:space="preserve"> City Treasurer's Office P.R. No. : 2020-06-2672 Date: 06/23/2020 15,000.00 Thermal printer Interface: USB/ETHERNET Print Speed: 150-250 mm/s Dot Density: &gt;200 dpi Cutter: Auto Cutter Roll Paper Width: 58mm-80mm 1 unit 1 60,000.00 Printer Print Method: Imp</t>
  </si>
  <si>
    <t xml:space="preserve"> 1	Trophies -Small							115	pcs	350.00 2	Trophies - Medium							111	pcs	450.00 3	Trophies - large							110	pcs	590.00 4	Plastic Chairs With Back Support w/o arm							181	pcs	499.00 5	Medals							101	pcs	45.00 										 Project Name:		for use in the O</t>
  </si>
  <si>
    <t xml:space="preserve"> Gasoline, Oil &amp; Lubricants</t>
  </si>
  <si>
    <t xml:space="preserve"> REQUEST FOR QUOTATION The Philippine Statistics Authority (PSA) through its Bids and Awards Committee (BAC) will apply Small Value Procurement as mode of procurement for the Repair and Maintenance of Mitsubishi Adventure Vehicle- Replacement of Air Condit</t>
  </si>
  <si>
    <t xml:space="preserve"> Republic of the Philippines PROVINCE OF NUEVA VIZCAYA Municipality of Aritao BARANGAY COMON BIDS AND AWARDS COMMITTEE ITB-DAY CARE CENTER II-20-07-001 INVITATION TO BID FOR CONSTRUCTION OF DAY CARE CENTER II (COMPLETION) At Purok Gasajas, Comon,  Aritao, </t>
  </si>
  <si>
    <t xml:space="preserve"> (Please also see attached.) INVITATION TO BID Supply, Delivery and Testing of Mechanical Rice Transplanters (PHilMech-RCEF-20-06-05) 1. The Philippine Center for Postharvest Development and Mechanization (PHilMech) through its FY 2019 &amp; FY 2020 Rice Compe</t>
  </si>
  <si>
    <t xml:space="preserve"> Section I Republic of the Philippines Province of Sarangani Municipality of Maitum OFFICE OF BIDS AND AWARDS COMMITTEE Invitation to Bid for Vehicle Parts and Ac cessories for Repair and Maintenance of Light Vehicle The Local Government of Maitum, through</t>
  </si>
  <si>
    <t xml:space="preserve"> INVITATION FOR PRICE QUOTATION Date:  03 July 2020 For The Repair And Repainting Of Slope Protection At Both Ends Of Runway Of Naga Airport The Civil Aviation Authority of the Philippines (CAAP), Area Center V, Legazpi Airport intends to  apply  the  esti</t>
  </si>
  <si>
    <t xml:space="preserve"> Items and Description Procurement of  LABORATORY  Supplies (RE-AGENT )RE : African Swine Fever  Disease Control and  Prevention in Region XI. 1. Optical Plate 10plate/Pack 2. Optical Film 25 covers/pack 3. 10 μL Filtered tips, 10 racks,  96tips/rack 4. 20</t>
  </si>
  <si>
    <t xml:space="preserve"> Lot 1 - Const. Materials									 1	Portland Cement 							590	bags	260.00 	 Terms &amp; Conditions :									 	*The materials  shall be  for pick up from the supplier 									 	within  5 working days from the receipt  of  a written advice 									 	by the </t>
  </si>
  <si>
    <t xml:space="preserve"> to purchase office equipment and accessories</t>
  </si>
  <si>
    <t xml:space="preserve"> Procurement of  130 BOX of GLOVES</t>
  </si>
  <si>
    <t xml:space="preserve"> REQUEST FOR QUOTATION (RFQ) Supply and Delivery of various Computer Peripherals The Commission on Filipinos Overseas invites PhilGEPS registered supplier to apply for the eligibility and to quote the lowest price for the Supply and Delivery of various Com</t>
  </si>
  <si>
    <t xml:space="preserve"> PROJECT: CONCRETING OF BARANGAY ROAD LOCATION: BARANGAY SAN NICOLAS POBLACION, CONCEPCION, TARLAC APPROVED BUDGET FOR THE CONTRACT: PHP 225,610.00 SOURCE OF FUND: 20% BDF The contract to be performed by the successful bidder shall be specified in the Tech</t>
  </si>
  <si>
    <t xml:space="preserve"> Corazon Locsin Montelibano Memorial Regional Hospital, through its Bids and Awards Committee, intends to procure CSR SUPPLIES (PR#20-06-70616), which will be undertaken in accordance with Section 53.9 of the Revised Implementing Rules and Regulations of R</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</si>
  <si>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</si>
  <si>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Republic of the Philippines BIDS AND AWARDS COMMITTEE Province of Iloilo Invitation to Bid Purchase of Medical Equipment Bid No. FRT-20-0732-B 1. The Iloilo Provincial Government, through the Supplemental Budget #2 2017, intends to apply the sum of EIGHT </t>
  </si>
  <si>
    <t xml:space="preserve"> Republic of the Philippines Province of Leyte Municipality of Hilongos Barangay IMELDA REQUEST FOR QUOTATION  JULY 3, 2020          Date               ______________________ _______________________ _______________________ _________________________________</t>
  </si>
  <si>
    <t xml:space="preserve"> INVITATION TO BID The Department of Public Works and Highways - Pampanga 1st District Engineering Office, through its Bids and Awards Committee (BAC), invites interested accredited/registered Suppliers/Bidders with the Government Electronic Procurement Sy</t>
  </si>
  <si>
    <t xml:space="preserve"> PUBLICATION ON NOTICE OF DELIQUENCIES OF REAL PROPERTY TAXES OF LAPU-LAPU CITY •	One (1) Publication per week for two(2) weeks. July – December 2020 •	Size: Full page (black &amp; white)	30	pages</t>
  </si>
  <si>
    <t xml:space="preserve"> Hydraulic Extrication Equipment (Brand new), 1 set (1) High Pressure Power Unit	 Motor: 4 stroke at least not lower than 3.1HP, petrol Pump: 3 stage radial piston		 Running Time: Ca. 180 min.		 (1) Spreader			 Max. spreading opening : 607mm	 Max. pulling </t>
  </si>
  <si>
    <t xml:space="preserve"> kit	Apheresis Kit (Double Platelet) / Plasma 1 SBT (Single Bag Transfusion) with ACD (Anti-coangulant Citrate Dextrose)	12	11,500.00	138,000.00 This item must be compatible with the hospital-owned fully aphresesis machine. These items must have passed the</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</si>
  <si>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</si>
  <si>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The Property Division, Motorpool Section, of the Supreme Court, through the Procurement Section, invites interested suppliers to quote for the price/s of the item/s listed in the attached document (PLEASE DOWNLOAD) Please also provide "Eligibility Documen</t>
  </si>
  <si>
    <t xml:space="preserve"> 1	Trophies  - Small							151	pcs	360.00 2	Trophies - medium							80	pcs	450.00 3	Trophies -large							90	pcs	590.00 4	Plastic Chairs With back Support w/o Arm							43	pcs	500.00 5	Medals							37	pcs	40.00 Project Name:		for use  in the Office Of the </t>
  </si>
  <si>
    <t xml:space="preserve"> See attached</t>
  </si>
  <si>
    <t xml:space="preserve"> Supply and Delivery of Lidocaine 10%, 50 mL Spray ( as hydrochloride) QTY 65  UNIT BOTTLE  Lidocaine 10%, 50 mL Spray ( as hydrochloride) ABC: 2300 -----------------------------------------------------------------------------------------------------------</t>
  </si>
  <si>
    <t xml:space="preserve"> Agisoft Software application for various mapping purposes.</t>
  </si>
  <si>
    <t xml:space="preserve"> lot 1 - Const. Materials									 1	Portland Cement 							1,032	bags	260.00 	 Terms &amp; Conditions :									 	*The materials  shall be  for pick up from the supplier 									 	within  5 working days from the receipt  of  a written advice 									 	by th</t>
  </si>
  <si>
    <t xml:space="preserve"> 1. DELIVERY IS SEVEN DAYS UPON RECEIVE OF P.O.</t>
  </si>
  <si>
    <t xml:space="preserve"> OFFICE OF THE BIDS AND AWARDS COMMITTEE INVITATION TO BID NO. 106-20 Name of Project: Procurement of Stone Tile Roofing used for Repair/ Improvement of Tourism Hub / Waiting Area @ Brgy. Navarro, Socorro, SDN Source of Funds: 20% Development Fund The Muni</t>
  </si>
  <si>
    <t xml:space="preserve"> Installation of Fixed Glass with Swing Door Supply and Installation 1 Lot Fixed Glass with swing door, sliding door and counter window aluminum frame analok using 1/4" thick clear glass table sheilds 24x24x48x1/2 clear glass 1/4 top glass 24"x48"</t>
  </si>
  <si>
    <t xml:space="preserve"> Republic of the Philippines Province of Antique Municipality of Valderrama OFFICE OF THE BIDS AND AWARDS COMMITTEE  		 INVITATION TO BID The Local Government Unit of Valderrama, Antique through its Bids and Awards Committee (BAC), invites suppliers to app</t>
  </si>
  <si>
    <t xml:space="preserve"> Tarpaulin</t>
  </si>
  <si>
    <t xml:space="preserve"> UVC Medical Trolley 2 arm 1.30W/OF Ultraviolet Germicidal Lamp; each  arm has 2 lamps, the 30Wx4 has 2 arms, the  30Wx2 has 1 arm 2.Adjustable arms from 30-180 degree angle 3.Carbon steel body 4. Lamp box 5.Infrared sensor (point towards room 6.Control Pa</t>
  </si>
  <si>
    <t xml:space="preserve"> Republic of the Philippines PROVINCE OF NUEVA VIZCAYA Municipality of Aritao BARANGAY COMON BIDS AND AWARDS COMMITTEE ITB-INNER ROAD-20-07-002 INVITATION TO BID FOR CONSTRUCTION OF BARANGAY INNER ROAD At Barangay, Comon,  Aritao, Nueva Vizcaya The Baranga</t>
  </si>
  <si>
    <t xml:space="preserve"> Purchase of Medical/Dental Supplies</t>
  </si>
  <si>
    <t xml:space="preserve"> Please find the attached documents</t>
  </si>
  <si>
    <t xml:space="preserve"> REQUEST FOR QUOTATION										 MEALS FOR CONDUCT OF PROGRAM IMPLEMENTATION REVIEW ( PIR )FOR THE FRIST SEMESTER OF CY 2020 										 ON JULY 14 - 16, 2020 										 		SMALL VALUE 								 INSTRUCTION:									              	 1	1.	Supplies are required </t>
  </si>
  <si>
    <t xml:space="preserve"> Republic of the Philippines PROVINCE OF NUEVA VIZCAYA Municipality of Alfonso Castañeda  BIDS &amp; AWARDS COMMITTEE FOR GOODS &amp; SERVICES REQUEST FOR QUOTATION RFQ Number: 2020-07-04 The Local Government of Alfonso Castañeda through its Bids and Awards Comm</t>
  </si>
  <si>
    <t xml:space="preserve"> INVITATION FOR PRICE QUOTATION Date:  03 July 2020 For The Resealing Of Seismic Joints And Cracks On The Apron Of Naga Airport The Civil Aviation Authority of the Philippines (CAAP), Area Center V, Legazpi Airport intends to  apply  the  estimated  amount</t>
  </si>
  <si>
    <t xml:space="preserve"> INVITATION TO BID The __DEPARTMENT OF PUBLIC WORKS AND HIGHWAYS - DISTRICT ENGINEER’S OFFICE ZAMBOANGA CITY__, through its Bids and Awards Committee (BAC), invites contractors to submit bids for the following Contract: Contract ID: 20JA0087 Contract Name:</t>
  </si>
  <si>
    <t xml:space="preserve"> 6 units   3 in 1 colored printer printer inks Please see attached file for details.</t>
  </si>
  <si>
    <t xml:space="preserve"> Invitation to Bid For   Supply, Delivery and Installation of E-mail Gateway Security Appliance with Software with Three (3) Years Warranty and License for LANDBANK Disaster Recovery Site 1.	The LAND BANK OF THE PHILIPPINES (LANDBANK), through its Corporat</t>
  </si>
  <si>
    <t xml:space="preserve"> Please see attached Request for Quotation. ----------------------PGO--------------------</t>
  </si>
  <si>
    <t xml:space="preserve"> Portland Cement, 40kg , 200bags Sand, 500 sack Gravel, 500 sack 10mm dia. x 6.0m rebar std. No.16 tying wire, 20kls CWNails, assorted, 20kls 1/2" x 4' x 8' phenolic, 8pcs</t>
  </si>
  <si>
    <t xml:space="preserve"> Republic of the Philippines BIDS AND AWARDS COMMITTEE Province of Iloilo Invitation to Bid Purchase of Medical Equipment Bid No. FRT-20-0733-B 1. The Iloilo Provincial Government, through the 20% IRA 2016 intends to apply the sum of ONE HUNDRED THOUSAND P</t>
  </si>
  <si>
    <t xml:space="preserve"> for budget and finance use.</t>
  </si>
  <si>
    <t xml:space="preserve"> Republic of the Philippines Province of Palawan Municipality of Balabac BIDS AND AWARDS COMMITTEE INVITATION TO BID 1.The Municipal Government  of Balabac, through 20% MDF 2020 intends to apply the sum of Three Hundred Thirty Five Thousand Six Hundred Sev</t>
  </si>
  <si>
    <t xml:space="preserve"> TITLE: PROCUREMENT OF SUPPLIES AND MATERIALS FOR REPAIR AND MAINTENANCE OF MUNICIPAL AMBULANCE SAA-2031			 DEPARTMENT: MUNICIPAL HEALTH OFFICE			 			 ITEM NO.	QTY	UNIT	ITEM DESCRIPTION 1	4	sets	tire 185 x R14 2	2	pcs	hub bearing 3	1	pcs	door bearing right</t>
  </si>
  <si>
    <t xml:space="preserve"> 20GAE0009: Supply and Delivery of Laboratory Equipment/Apparatus and Replacement of Old Equipment/Apparatus for the Improvement of DPWH La Union First District Engineering Office Laboratory (Phase II), Lingsat, San Fernando City, La Union Republic of the </t>
  </si>
  <si>
    <t xml:space="preserve"> TITLE: SUPPLY AND INSTALLATION OF AIRCON 2.5HP INVERTER SPLIT TYPE  LOCATION: BRGY. RAJAH SOLIMAN, BUTUAN CITY ABC: PHP116,000.00 SOURCE OF FUNDS: BRGY. IRA FUND DESCRIPTION: SUPPLY AND INSTALLATION OF AIRCON 2.5HP INVERTER SPLIT TYPE</t>
  </si>
  <si>
    <t xml:space="preserve"> see associated component</t>
  </si>
  <si>
    <t xml:space="preserve"> Please see attached Invitation to Bid and Bill of Quantities</t>
  </si>
  <si>
    <t xml:space="preserve"> Procurement of 45 pcs. Vest Uniform with Cap</t>
  </si>
  <si>
    <t xml:space="preserve"> PROCUREMENT TERMS &amp; CONDITIONS					 1	The Total Approved Budget for the Contract (ABC) is Php 18,470.00				 2	Price quotation should be inclusive of tax obligations.				 3	Delivery period is 10 calendar days from the receipt of NOA &amp; PO.				 4	If awarded </t>
  </si>
  <si>
    <t xml:space="preserve"> 2,000 Liters Premium Gasoline</t>
  </si>
  <si>
    <t xml:space="preserve"> 90	PCS.	        50W LED ALPHALAX BULB		 6	ROLLS	3.5mm² TW Cu WIRE		 90	PCS	        TUMBLER SWITCH		 36	ROLLS	ELECTRICAL TAPE</t>
  </si>
  <si>
    <t xml:space="preserve"> 1	1	 UNIT	Xerox Machine (District Office)	 			KYOCERA DIGITAL COPIER	 			ECOSYS M2540DN/L	 				 APPROVED BUDGET FOR THE CONTRACT: PHP 50,000.00 LOCATION OF THE CONTRACT: BATARAZA, PALAWAN DURATION OF THE CONTRACT: 7 DAYS SCHEDULE OF ACTIVITIES: POSTING AN</t>
  </si>
  <si>
    <t xml:space="preserve"> Republic of the Philippines PROVINCE OF ZAMBALES IBA BIDS AND AWARDS COMMITTEE Invitation to Bid for the Package V: Construction of Multi-Purpose Hall, Barangay Nagbunga; Construction of Drainage Canal, Barangay San Nicolas and Construction of Lanipan Bri</t>
  </si>
  <si>
    <t xml:space="preserve"> 4	UNIT	TABLE 3FT. LONG		 1	UNIT	TABLE 3 1/2 FT. LONG		 2	UNIT	EXECUTIVE CHAIR		 4	UNIT	OFFICE CHAIRS</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</si>
  <si>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</si>
  <si>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Republic of the Philippines PROVINCE OF NUEVA VIZCAYA Municipality of Alfonso Castañeda  BIDS &amp; AWARDS COMMITTEE FOR GOODS &amp; SERVICES REQUEST FOR QUOTATION RFQ Number: 2020-07-05 The Local Government of Alfonso Castañeda through its Bids and Awards Comm</t>
  </si>
  <si>
    <t xml:space="preserve"> Republic of the Philippines Province of zamboanga Sibugay Municipality of Olutanga 7014 JULY 2, 2020 NOTICE TO THE PUBLIC INVITIATION TO APPLY FOR ELIGIBILITY AND TO BID All interested bidders are invited to Pre-qualify and participate in sealed bidding f</t>
  </si>
  <si>
    <t xml:space="preserve"> ITEM DESCRIPTIONS: Day 1 AM Snacks, Lunch and PM Snacks (75 pax) Day 2 AM Snacks, Lunch and PM Snacks (75 pax) Day 3 AM Snacks, Lunch and PM Snacks (75 pax) Day 4 AM Snacks, Lunch and PM Snacks (75 pax) Day 5 AM Snacks, Lunch and PM Snacks (75 pax) Purpos</t>
  </si>
  <si>
    <t xml:space="preserve"> REQUEST FOR QUOTATION SUPPLY AND DELIVERY OF NETWORK CABLES AND CONNECTORS  FOR THE PROCUREMENT SERVICE AMP-014-20 (SVP) Sir/Madam: Please quote your best proposal for the item/s described below using the Price Proposal Form (see Annex "A" of the Request </t>
  </si>
  <si>
    <t xml:space="preserve"> IT Equipment</t>
  </si>
  <si>
    <t xml:space="preserve"> Page 1 of 7 REQUEST FOR QUOTATION (RFQ) SUPPLY AND DELIVERY OF 15 UNITS THERMOMETER/ALARM/TIMER UNDER EMB-ERLSD-ELSS-ORGANICS LABORATORY UNIT RFQ NO. EMB-S-ERLSD-ELSS THERMOMETER 2020-0163 1. The Department of Environment and Natural Resources – Environme</t>
  </si>
  <si>
    <t xml:space="preserve"> Supply and Delivery of the following Rechargeable Batteries (4 items), as per BSP Technical Specifications and Terms and Conditions</t>
  </si>
  <si>
    <t xml:space="preserve"> 1 unit laptop     Intel Core i7     Hard Disk 512 GB SSD     4GB Memory     LG 14” LED Screen Monitor     NVIDIA GEFORCE MX250 2 GB Video Card 2 sets Microsoft Office Home and Student 2019 3 sets WIFI Adaptor 1 unit 1.8m 4 outlet universal outlet</t>
  </si>
  <si>
    <t xml:space="preserve"> Mirrorless Camera and Action Camera (waterproof)</t>
  </si>
  <si>
    <t xml:space="preserve"> 1. The Mindanao State University - Tawi-Tawi College of Technology and Oceanography (MSU-TCTO), through the Trust Fund, intends to apply the sum of Eighty Thousand Pesos only (PhP 80,000.00) being Approved Budget of Contract to payments under the contract</t>
  </si>
  <si>
    <t xml:space="preserve"> Repainting, Ceiling repair, installation of window screens and replacement of door and doorknob and replacement of led bulbs</t>
  </si>
  <si>
    <t xml:space="preserve"> Republic of the Philippines Province of Palawan Municipality of Balabac BIDS AND AWARDS COMMITTEE INVITATION TO BID 1.The Municipal Government  of Balabac, through 20% DF 2020 intends to apply the sum of Four Hundred Ninety Seven Thousand Three Hundred Si</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</si>
  <si>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</si>
  <si>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</si>
  <si>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INVITATION TO BID The DPWH-Regional Office No. III,  through  its  Bids  and  Awards  Committee  (BAC),  invites contractors to submit bids for the Contract below: Procurement ID/Contract ID:    20C00051 Contract Name:      Construction of the DENR-Enviro</t>
  </si>
  <si>
    <t xml:space="preserve"> BODE Eurodispenser 1 autoclave, elbow activated for hand disinfectants, wash lotions and skin care lotions with rapid pump exchange various designs obtainable rapid filling simple to operate</t>
  </si>
  <si>
    <t xml:space="preserve"> *7 Units	Desktop Microphone Type: Goosneck Polar Pattern: Uni-Directional Plug Type: USB Plug and Play for Windows/ Mac Computer Windows 7/8/10 compatible Max OSX (10.4.11 or higher) compatible Fully adjustable gooseneck Noise cancelling *7 Units	Desktop </t>
  </si>
  <si>
    <t xml:space="preserve"> INVITATION TO BID The DPWH-Regional Office No. III,  through  its  Bids  and  Awards  Committee  (BAC),  invites contractors to submit bids for the Contract below: Procurement ID/Contract ID:    20C00050 Contract Name:      Rehabilitation of Pampanga Rive</t>
  </si>
  <si>
    <t xml:space="preserve"> Republic of the Philippines Province of Iloilo  BIDS AND AWARDS COMMITTEE REQUEST FOR QUOTATION Quotation No.SDH-20-0420-NP (SV) Reference PR No.SDH-20-0420 July 02, 2020 _________________________ _________________________ _________________________ (Suppl</t>
  </si>
  <si>
    <t xml:space="preserve"> Supply and Delivery of Compressor Motor 66LRA for ceiling mounted ACU (including labor and materials) For replacement of grounded 66 LRA compressor motor for ceiling mounted installed at Room 302, annex I Bldg. (302-CM-2TR) former room of J. Gaerlan Requi</t>
  </si>
  <si>
    <t xml:space="preserve"> I. SPL - 1 Mobilization/Demobilization Civil/Structural Works Architectural Works Plumbing Works Electrical Works II. GenSet with Synchronizing Panel (300 KVA)</t>
  </si>
  <si>
    <t xml:space="preserve"> 100 cavans Milled rice (50kgs/bag) NOTE: Please attach legal documents and updated PhilGEPS Certificate, failure to submit your bid documents will not be considered for the opening by the BAC. Please refer to RA 9184-GPPB Revised IRR Series of 2016 Append</t>
  </si>
  <si>
    <t xml:space="preserve"> Materials for the Improvement of School Canteen</t>
  </si>
  <si>
    <t xml:space="preserve"> Bid Documents Fee P 5,000.00 Submission and receipt of Bids/ Opening of Bids Date: July 23, 2020 Time: 10:00 AM Venue: Conference Room, Municipal Hall Bldg., Laur, Nueva Ecija Items Descriptions and Specifications: 1-UNIT GRADER (BRAND NEW) Specifications</t>
  </si>
  <si>
    <t xml:space="preserve"> Republic of the Philippines														 Province of Occidental Mindoro														 Mamburao, Occidental Mindoro														 REQUEST FOR QUOTATION														 Date of Posting:	July 02, 2020					Ref. No.		RN 405-2020						 						PR No.		1111-2020-06</t>
  </si>
  <si>
    <t xml:space="preserve"> 1	Heavy Duty/ Ultra Rugged Cellphones to be used for 		7	unit	 ________________		 280,000.00 	__________ 	communication and meter reading with following specifications:							 	&gt;Walkie-Talkie function							 	&gt;Latest Android OS							 	&gt;Drop factor of 1.2</t>
  </si>
  <si>
    <t xml:space="preserve"> 1 unit Aircon, Inverter 1 pc console table 3 units stand fan 1 pc water dispenser 1 set sala set</t>
  </si>
  <si>
    <t xml:space="preserve"> Painting, ceiling repair installation of window screens and replacement of door and doorknob and replacement of window blades</t>
  </si>
  <si>
    <t xml:space="preserve"> for division office use</t>
  </si>
  <si>
    <t xml:space="preserve"> 3 UNIT PRINTER 5in1 3 UNITS PRINTER 3in1 5 SETS INK 2 UNITS i5 LAPTOP</t>
  </si>
  <si>
    <t xml:space="preserve"> QTY  UNIT  DESCRIPTION 14	doz	Body Soap 28	doz	Shampoo 80	tube	Tooth Paste 74grams (Happee) 80	pcs	Tooth Brush 80	bot.	Zonrox Original (250ml) 60	bot.	Zonrox Color Safe (900ml.) 3	doz	Hand Towel (Colored) 12' 30	pcs	Pillow Case w/ Zipper 10	pcs	Pillow 30	</t>
  </si>
  <si>
    <t xml:space="preserve"> Painting, ceiling repair installation of window screens and replacement of door and doorknob and rehabilitation of ramp.</t>
  </si>
  <si>
    <t xml:space="preserve"> see attached components</t>
  </si>
  <si>
    <t xml:space="preserve"> Drone with Extra Battery and water proof Hard Case with Foam</t>
  </si>
  <si>
    <t xml:space="preserve"> Republic of the Philippines BIDS AND AWARDS COMMITTEE Cadiz City      BID DOCUMENTS for the CONCRETING OF MULTI-PURPOSE BUILDING (PHASE II) @ BRGY. PROPER, BRGY. ZONE 4, CADIZ CITY (1) BIDS AND AWARDS COMMITTEE  Cadiz City   INVITATION TO BID/REQUEST FOR </t>
  </si>
  <si>
    <t xml:space="preserve"> INVITATION TO BID- FOR IMPROVEMENT OF WATWER SYSTEM CONSTRUCTION OF 8- UNITS OF COMMON BASIN 15 CALENDAR WORKING DAYS DIMENSION / LENGHT: 0.60M X 1.80M X 2.40M SCOPE OF WORK TO BE DONE I. DISTRIBUTION OF P.E HOSE 65.20 % 162,250.00 II. CONSTRUCTION OF 8- </t>
  </si>
  <si>
    <t xml:space="preserve"> Repainting, ceiling repair, installation of window screens and replacement of door and doorknob and replacement of led bulbs and jalousie window blades</t>
  </si>
  <si>
    <t xml:space="preserve"> Invitation to Bid for  “CONSTRUCTION and MAINTENANCE OF LOCAL ROAD. The Barangay Government of Poblacion, Puerto Galera, through the Approved Budget for FY 2020 intends to apply the sum of  Three Hundred  Thousand Pesos  ,being the Approved Budget for the</t>
  </si>
  <si>
    <t xml:space="preserve"> Works includes extension of existing roof framing and roffing with dimensions of 24m x 4.5 m 1" thk plastering works for 12 units beams and 14 units columns with a total surface area of 279.80 sq. m. is included. The complete list of activities is listed </t>
  </si>
  <si>
    <t xml:space="preserve"> OFFICE OF THE BIDS AND AWARDS COMMITTEE INVITATION TO BID NO. 108-20 Name of Project: Supply &amp; Installation of Signage used for Repair/ Improvement of Tourism Hub / Waiting Area @ Brgy. Navarro, Socorro, SDN Source of Funds: 20% Development Fund The Munic</t>
  </si>
  <si>
    <t xml:space="preserve"> CONTRACT OF LABOR SERVICES FOR THE RENOVATION/CONSTRUCTION OF AGTA MUSEUM IN PALAUI ISLAND, SAN VICENTE, STA. ANA, CAGAYAN CHARGED UNDER THE PARA EL MAR PRIZE WFP FUND</t>
  </si>
  <si>
    <t xml:space="preserve"> Republic of the Philippines Province of Davao de Oro Municipality of Monkayo -o0o- INVITATION TO BID FOR THE PROCUREMENT OF CONSTRUCTION MATERIALS FOR THE REPAIR OF DAMAGE WATER CONNECTION  The Municipality of Monkayo, through the GENERAL FUND intends to </t>
  </si>
  <si>
    <t xml:space="preserve"> 1 PC. MINI DUMPTRUCK</t>
  </si>
  <si>
    <t xml:space="preserve"> Tarpaulin 1pc.</t>
  </si>
  <si>
    <t xml:space="preserve"> TITLE: PROCUREMENT OF LABORATORY EQUIPMENT			 DEPARTMENT: MUNICIPAL HEALTH OFFICE			 			 ITEM NO.	QTY	UNIT	ITEM DESCRIPTION 1	2	bots	mindray m32 cfl lyse 2018040801 47-2020 2	2	bxs	mindray m32 diluent 20l 2019012601 3	3	sets	mindray b30 control b1119 2520</t>
  </si>
  <si>
    <t xml:space="preserve"> A. PROVISION OF POWER HOUSE - 1 lot B. INSTALLATION OF PRIMARY LINE SOURCE AND ACCESSORIES - 1 lot Materials I. Primary Line and Accessories II. Secondary Power Line Cable and Accessories III. Power Transformer, Primary Metering Accessories Labor I. Pole </t>
  </si>
  <si>
    <t xml:space="preserve"> 1	15	bot	Alcohol, ethyl, 68%-70%, scented, 500ml 2	10	pad	Notepad, stick on, 50mm x 76 mm (2"x 3") min 3	10	pad	Notepad, stick on, 76mm x 100 mm (3"x 4") min 4	10	pad	Notepad, stick on, 76mm x 76 mm (3"x 3") min 5	20	pack	Toilet Tissue Paper 2-plys sheets</t>
  </si>
  <si>
    <t xml:space="preserve"> Rehabilitation of road</t>
  </si>
  <si>
    <t xml:space="preserve"> 7 units HAND DRYER 220 vollts 1800 watts</t>
  </si>
  <si>
    <t xml:space="preserve"> 2300 liters of Diesel</t>
  </si>
  <si>
    <t xml:space="preserve"> Materials for thr Improvement of School Building</t>
  </si>
  <si>
    <t xml:space="preserve"> Republic of the Philippines Province of Pangasinan Municipality of Infanta Barangay Bayambang BIDS AND AWARDS COMMITTEE INVITATION TO BID FOR: SUPPLY &amp; DELIVERY OF MATERIALS FOR THE CONSTRUCTION OF DRAINAGE CANAL @ PUROK 1, BRGY. BAYAMBANG, INFANTA, PANGA</t>
  </si>
  <si>
    <t xml:space="preserve"> OFFICE OF THE BIDS AND AWARDS COMMITTEE INVITATION TO BID NO. 107-20 Name of Project: Supply &amp; Installation of Wooden Doors &amp; Aluminum Glass Window used for Repair/ Improvement of Tourism Hub / Waiting Area @ Brgy. Navarro, Socorro, SDN Source of Funds: 2</t>
  </si>
  <si>
    <t xml:space="preserve"> 1  set  Transmission Assembly (foton)</t>
  </si>
  <si>
    <t xml:space="preserve"> 1	Electric Concrete Breaker		1	unit	 ________________		 105,400.00 	__________ 	Minimum Specifications:							 	Rated input power: 1700-1800 W							 	Single impact energy: 30-40 J							 	Contact force: 140 N							 	A weighted emission sound pressure le</t>
  </si>
  <si>
    <t xml:space="preserve"> Republic of the Philippines DEPARTMENT OF PUBLIC WORKS AND HIGHWAYS LA UNION 2ND DISTRICT ENGINEERING OFFICE REGIONAL OFFICE I Natividad, Naguilian, La Union INVITATION FOR ELIGIBILITY SCREENING AND TO BID (For Small Value Procurement) SEALED BIDS, subjec</t>
  </si>
  <si>
    <t xml:space="preserve"> 1	1	UNIT	Sound System ( Bono bono E/S)	 			3,000W Model: CX-AT120	 				 2	1	UNIT	Sound system (EISMES E/S)	 			3,000W Model: CX-AT120	 				 APPROVED BUDGET FOR THE CONTRACT: PHP 20,000.00 LOCATION OF THE CONTRACT: BATARAZA, PALAWAN DURATION OF THE CONTRAC</t>
  </si>
  <si>
    <t xml:space="preserve"> INVITATION FOR SUBMISSION OF QUOTATION The Doña Hortencia Salas Benedicto National High School - Senior High School through the Bids and Awards Committee (BAC), hereby invites all interested contractors registered with Philippine Government electronic Pro</t>
  </si>
  <si>
    <t xml:space="preserve"> Republic of the Philippines BIDS AND AWARDS COMMITTEE Cadiz City      BID DOCUMENTS for the CONCRETING OF BARANGAY ROAD (PHASE II) @ TIGLAWIGAN RELOCATION SITE, BRGY. TIGLAWIGAN, CADIZ CITY (1) BIDS AND AWARDS COMMITTEE  Cadiz City   INVITATION TO BID/REQ</t>
  </si>
  <si>
    <t xml:space="preserve"> Desktop Computer - - - - - - - - - - - - - - 1 set Specs: Mother Board B450 8GB DDR4x2, 1TB HDD 24" LED Monitor 1PS M.2 NVME 250 GIG 4GB Video Card Wireless Mouse &amp; Keyboard Deep Cool Fan RF 120 RGB True Rated Power Supply 80+ Bronze Server Casing</t>
  </si>
  <si>
    <t xml:space="preserve"> INVITATION TO BID SUPPLY AND DELIVERY OF ELEVEN (11) UNITS LAPTOP AND TWO (2) UNITS DESKTOP, SANGGUNIANG BAYAN, SFADS The Municipal Government of San Francisco, Agusan del Sur, through the BIDS and AWARDS COMMITTEE (BAC) intends to apply the sum of THREE </t>
  </si>
  <si>
    <t xml:space="preserve"> Title:Procurement of 3 unit Computer Desktop,etc. under P.R.No. 2173-2020-5% City Disaster Risk Reduction and Management Fund(Continuing)-2nd Bidding. Total ABC: Php 2,100,000.00 For representative/s of interested bidders  who wish to attend the Pre-Biddi</t>
  </si>
  <si>
    <t xml:space="preserve"> 3,629 LITERS DIESOLINE pls. see attached file.</t>
  </si>
  <si>
    <t xml:space="preserve"> DESKTOP COMPUTER	3 	unit &gt;CPU: Intel Core i7-9700 Processor (12M Cache, up to 4.70 GHz)		 &gt;HDD: 256GB M.2 PCIE 35 - Performance + 1TB 7200RPM SATA 3.5		 &gt;RAM: 8GB DDR4 2666MHz		 &gt;Graphics: NVIDIA GeForce GTX 1050Ti 4GB GDDR5		 &gt;Screen: 23" Monitor		 &gt;Keyb</t>
  </si>
  <si>
    <t xml:space="preserve"> 1 pc printer 2 set desktop computer</t>
  </si>
  <si>
    <t xml:space="preserve"> Project Signage Demolition/Removal of Existing Pavement, Section A Installation of Shear Key on the Existing Pavement Selected Backfill Materials Aggregate Base Course Portland Cement Concrete Pavement (PCCP) Reinforced Concrete Pipe (RCPs) Grouted Riprap</t>
  </si>
  <si>
    <t xml:space="preserve"> INVITATION TO BID for the SUPPLY AND DELIVERY OF CONSTRUCTION MATERIALS FOR IMPROVEMENT OF MULTI-PURPOSE HALL 1. The BARANGAY SAN JOAQUIN of Capoocan, Leyte, through its 20% Development Fund intends to apply the sum of ONE HUNDRED THIRTY ON THOUSAND EIGHT</t>
  </si>
  <si>
    <t xml:space="preserve"> INVITATION TO BID FOR CONSTRUCTION OF VEGETABLE SECTION AREA AT PUBLIC MARKET</t>
  </si>
  <si>
    <t xml:space="preserve"> Republic of the Philippines	Republic of the Philippines								 	Department of Transportation and Communications								 	CIVIL AVIATION AUTHORITY OF THE PHILIPPINES								 	Area Center II, Tuguegarao Airport								 									 									 Request for Price</t>
  </si>
  <si>
    <t xml:space="preserve"> ONE JOB CONTRACT (LABOR AND MATERIALS)</t>
  </si>
  <si>
    <t xml:space="preserve"> National Power Corporation INVITATION TO BID PUBLIC BIDDING 2020-0152 1.	The NATIONAL POWER CORPORATION (NPC), through       its        approved       Corporate Budget of CY 2020 intends to apply   the   sum   of (Please see schedule below) being the Appr</t>
  </si>
  <si>
    <t xml:space="preserve"> 2 units Aircon Split type 1.5 HP inverter         1 unit Aircon Split type 2HP inverter 1 unit Smart TV UHD 43” 1 unit Refrigirator 6cu.ft inverter 1 unit Display Cabinet</t>
  </si>
  <si>
    <t xml:space="preserve"> Republic of the Philippines BIDS AND AWARDS COMMITTEE Cadiz City      BID DOCUMENTS for the CONCRETING OF BARANGAY ROAD FROM BANGGA PEPITO TO SO. ALIMATOC PUBLIC CEMETERY (PHASE II) @ BRGY. C.S. VILLACIN,  CADIZ CITY (1) BIDS AND AWARDS COMMITTEE  Cadiz C</t>
  </si>
  <si>
    <t xml:space="preserve"> Requesting for Quotation (RFQ) for PR No. 2006066  Interested suppliers are invited to submit Sealed Price Quotations for the above listed items. The Request for Quotation (RFQ) for may be obtained from Mr. Albert A. Camarillo City General Services Office</t>
  </si>
  <si>
    <t xml:space="preserve"> Catering Services of 1 Meal &amp; 2 Snacks per Day 1st Day: 66 Participants 2nd Day: 68 Participants</t>
  </si>
  <si>
    <t xml:space="preserve"> INVITATION TO BID FOR  Supplies &amp; Delivery of  Materials   CONSTRUCTION OF SOLAR STREETLIGHTS Poblacion Zone V , Villasis, Pangasinan 1.	The Local Government  of  Poblacion  Zone V, Villasis,  Pangasinan, intends to apply the sum  of (P77,167.79}  being t</t>
  </si>
  <si>
    <t xml:space="preserve"> REQUEST FOR QUOTATION No. 2020-380                                                                                                                                 	  Request Reference Number: 100-20-03-358         Date: July 3, 2020 Pursuant to R.A. 9184,</t>
  </si>
  <si>
    <t xml:space="preserve"> Republic of the Philippines Province of Palawan Municipality of Balabac BIDS AND AWARDS COMMITTEE INVITATION TO BID 1.The Municipal Government  of Balabac, through MOOE 2020 intends to apply the sum of One Million Pesos Only only (PHP 1,000,000.00) being </t>
  </si>
  <si>
    <t xml:space="preserve"> Republic of the Philippines Province of Davao de Oro Municipality of Monkayo -o0o- INVITATION TO BID FOR THE PROCUREMENT OF FUEL FOR MOBILIZATION OF VARIOUS OFFICES  The Municipality of Monkayo, through the GENERL FUND intends to apply the sum of ONE HUND</t>
  </si>
  <si>
    <t xml:space="preserve"> Polo Shirt (cotton) Note: Further details are in the Request for Quotation form attached in the Associated Components.</t>
  </si>
  <si>
    <t xml:space="preserve"> INVITATION TO BID The Barangay 5-Poblacion of Malilipot, Albay through the Bids and Awards Committee (BAC) invites suppliers to bid for the hereunder contract: Name of Contract: Procurement of Labor and Materials for the Construction of Line Canal at Bara</t>
  </si>
  <si>
    <t xml:space="preserve"> REPUBLIC OF THE PHILIPPINES																																							 Province of Davao del Sur																																							 MUNICIPALITY OF SANTA CRUZ																																							 -- oOo --																																							 								</t>
  </si>
  <si>
    <t xml:space="preserve"> Purchase of office equipment and fixtures of Ajuy PNP</t>
  </si>
  <si>
    <t xml:space="preserve"> 1. The Mindanao State University - Tawi-Tawi College of Technology and Oceanography (MSU-TCTO), through the GAA 2020, intends to apply the sum of Ninety-Four Thousand Five Hundred Pesos only (PhP 94,500.00) being Approved Budget of Contract to payments un</t>
  </si>
  <si>
    <t xml:space="preserve"> The Department of Agriculture-RFO 3, invites interested suppliers to submit quotations/proposals for the hereunder requirement, to wit: ITEM NO.	QTY.	UNIT	ITEMS &amp; DESCRIPTION		UNIT PRICE	TOTAL AMOUNT	BRAND/MODEL 							 			PFSENSE Server Rack				 	2	unit	</t>
  </si>
  <si>
    <t xml:space="preserve"> Concreting of multi-purpose pavement (pavilion)</t>
  </si>
  <si>
    <t xml:space="preserve"> LOT A									 1	Unleaded Gasoline							1	lot	20,800.00 	Terms &amp; conditions:									 										 	1. The supplier shall start to serve within three (3) days upon receipt of the advice									 	           from the project engineer until the project is co</t>
  </si>
  <si>
    <t xml:space="preserve"> 450-cu.m-Road Rehabilitation, Resurfacing, Stock Filling, Hauling, Spreading &amp; compacting (0.15mX6.0mX800m) 5.04-sq.m-Billboard (1.8x2.4m)</t>
  </si>
  <si>
    <t xml:space="preserve"> 10 kg Welding Rod, 6012 10 kg Welding Rod, 6011 4 piece G.I. Nipple, 3" Diameter Length, 6" 20 piece Cutting Disc, 4" Diameter, Thin 3 piece Gate Valve, 3" Diameter</t>
  </si>
  <si>
    <t xml:space="preserve"> Please see attached document</t>
  </si>
  <si>
    <t xml:space="preserve"> 170 PCS. FLU VACCINE</t>
  </si>
  <si>
    <t xml:space="preserve"> For specifications and other details, please download the Request for Quotation (RFQ) form at the ASSOCIATED COMPONENTS. You may call at 8249-2000 local 4423 during office hours for further inquiries.</t>
  </si>
  <si>
    <t xml:space="preserve"> INVITATION TO BID FOR CONSTRUCTION OF TWO UNITS PUBLIC TOILET</t>
  </si>
  <si>
    <t xml:space="preserve"> PHILIPPINE DEPOSIT INSURANCE CORPORATION Makati City INVITATION TO BID PROCUREMENT OF CORPORATE BUDGET SYSTEM 1.	The Philippine Deposit Insurance Corporation (PDIC), through its 2020-2021 Corporate Operating Budget, intends to apply the sum of Php 18,750,</t>
  </si>
  <si>
    <t xml:space="preserve"> see attached philippine bidding documents, bill of quantities, and checklist.</t>
  </si>
  <si>
    <t xml:space="preserve"> INVITATION TO BID The DPWH Regional Office IX, Veterans Avenue Extension, Tetuan, Zamboanga City, through its Bids and Awards Committee (BAC), invites contractors to submit bids for the following Contract: Contract ID	:	20J00205 Contract Name	:	Concreting</t>
  </si>
  <si>
    <t xml:space="preserve"> INVITATION TO BID									 									 The LOCAL GOVERNMENT UNIT OF SINDANGAN, through its Bids and Awards Committee (BAC), hereby invites suppliers/manufacturers/ distributors/contractors to apply for eligibility and to bid for the hereunder project.						</t>
  </si>
  <si>
    <t xml:space="preserve"> Catering Services, 125 pax    Venue and Catering Services and Other Requirements for the conduct of the Conferment of PRAISE Awards  (Food will be distributed per division/area)    Inclusion:  FOOD:  » 2 Lechons  » 3 viands  » 1 soup  » 1 dessert  » 1 sof</t>
  </si>
  <si>
    <t xml:space="preserve"> ABC: 271, 800.00 Unit             Items                                                      Quantity   Unit Cost    Total Cost cartridge	Printer Ink HP 680 Color	                            20	 495.00 	   9,900.00  cartridge	Printer Ink HP 680 Black	    </t>
  </si>
  <si>
    <t xml:space="preserve"> Rehabilitation/improvement of flood control project</t>
  </si>
  <si>
    <t xml:space="preserve"> 1.	55” TV  with bracket and installation	2 units 2.	HDMI Cable M/M	3 units 	(see attached picture)</t>
  </si>
  <si>
    <t xml:space="preserve"> SUPPLY AND DELIVERY OF FUEL, OIL &amp; LUBRICANTS</t>
  </si>
  <si>
    <t xml:space="preserve"> 20 tanks Fire Extinguisher, Refill 10lbs. 2 tanks HCFC Fire Extinguisher, Refill 10lbs.</t>
  </si>
  <si>
    <t xml:space="preserve"> PURCHASE REQUEST 					 					 Entity Name: Department of Education			Fund Cluster: 01		 Office/Section :		PR No.: 2020-06-001		Date: 	 TALAVERA CS		Responsibility Center Code : 001			 Stock/ Property No.	Unit 	Item Description	Qty	Unit Cost	Total Cost 				</t>
  </si>
  <si>
    <t xml:space="preserve"> Supply and Delivery of Mechanical and Flange Type Valves for MMWD Water Sources. FOB Masbate 150 mm swing check valve PN40 with counter weight flange type	4	unit 150 mm Gate Valve Flange type PN40	4	unit 150mm  mechanical Gate Valve PN16	1	unit 200 mm uni</t>
  </si>
  <si>
    <t xml:space="preserve"> LOT A									 1	Unleaded Gasoline							1	lot	23,955.30 	Terms &amp; conditions:									 										 	1. The supplier shall start to serve within three (3) days upon receipt of the advice									 	           from the project engineer until the project is co</t>
  </si>
  <si>
    <t xml:space="preserve"> 5MP Turbo HD Camera		1 set	 2TB Hard Drive				 16-channel DVR	 	 		 The evaluation of your bid/offer shall be by lot.				 ABC:			 63,000.00 	 PR #:			2020-06-06</t>
  </si>
  <si>
    <t xml:space="preserve"> The Bids and Awards Committee hereby invites all qualified bidders for the Purchase and Delivery of Rescue and Safety Equipments for the Municipal Disaster Risk Reduction and Management Office of LGU-Mayorga, Leyte. Prospective Bidders must have experienc</t>
  </si>
  <si>
    <t xml:space="preserve"> Republic of the Philippines Province of Palawan Municipality of Balabac BIDS AND AWARDS COMMITTEE INVITATION TO BID 1.The Municipal Government  of Balabac, through MOOE 2020 intends to apply the sum of One Million Two Hundred Thousand only (PHP 1,200,000.</t>
  </si>
  <si>
    <t xml:space="preserve"> 3	ream	Bond Paper 81/2 x 11 (sub. 20/70 gsm) 8	ream	Bond Paper 81/2 x 13 (sub. 20/70 gsm) 4	btls	Printer Ink (four colors) 1	 ream	Renaissance Paper -short (Ivory)</t>
  </si>
  <si>
    <t xml:space="preserve"> Construction Materials</t>
  </si>
  <si>
    <t xml:space="preserve"> INVITATION TO BID The DPWH Regional Office IX, Veterans Avenue Extension, Tetuan, Zamboanga City, through its Bids and Awards Committee (BAC), invites contractors to submit bids for the following Contract: Contract ID	:	20J00204 Contract Name	:	Repair/Mai</t>
  </si>
  <si>
    <t xml:space="preserve"> 2 pcs Bushida with concrete pot &amp; stand (big) 4 pcs Fox tail with concrete pot &amp; stand (medium) 4 pcs Spiral, fukien tea (big) 6 pcs Round, fukien tea (medium) 7 pcs Round fukien tea (small) 10 pcs Red, bottle brush (medium) 25 pcs Dwarf, santan maki 25 p</t>
  </si>
  <si>
    <t xml:space="preserve"> SK Council Management procurement for supplies and equipment,</t>
  </si>
  <si>
    <t xml:space="preserve"> INVITATION TO BID:  2020-22  “SUPPLY AND DELIVERY OF PAYAO ACCESSORIES AND  7.5HP MARINE DIESEL ENGINE AND 5.5HP MARINE GASOLINE ENGINE FOR THE CONSTRUCTION OF FRP BOATS IN THE PROVINCE OF ANTIQUE.” 1.	The Bureau of Fisheries and Aquatic Resources (BFAR) </t>
  </si>
  <si>
    <t xml:space="preserve"> 6800 Liters Diesel 56 Liters Oil #40</t>
  </si>
  <si>
    <t xml:space="preserve"> QTY.	 UNIT	ARTICLE/SERVICES					Unit Price	 Amount  								 								 								 1	services	Straight Contract LABOR and MATERIALS</t>
  </si>
  <si>
    <t xml:space="preserve"> 8- pcs	Tubular Steel, 2x2" 20 ft.	 8- pcs	Steel Matting Fence, 8x4"	 1- bag	Cement	 10- bag	Bistay Sand	 1- gal.	Enamel Paint	 6- pcs	Heavy duty Bar Hinges</t>
  </si>
  <si>
    <t xml:space="preserve"> Spare Parts</t>
  </si>
  <si>
    <t xml:space="preserve"> Republic of the Philippines DEPARTMENT OF PUBLIC WORKS AND HIGHWAYS LA UNION SECOND DISTRICT ENGINEERING OFFICE REGIONAL OFFICE I Natividad, Naguilian, La Union INVITATION FOR ELIGIBILITY SCREENING AND TO BID (For Small Value Procurement) SEALED BIDS, sub</t>
  </si>
  <si>
    <t xml:space="preserve"> Republic of the Philippines PROVINCE OF CAMARINES SUR BIDS AND AWARDS COMMITTEE 									    	                      ITB No.034-07-2020 INVITATION TO BID 	The Provincial Government of Camarines Sur (PGCS) through its Bids and Awards Committee (BAC) invites</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</si>
  <si>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</si>
  <si>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DEVELOPMENT OF TOURISM SPOT</t>
  </si>
  <si>
    <t xml:space="preserve"> Installation of solar street lighting system</t>
  </si>
  <si>
    <t xml:space="preserve"> REQUEST FOR QUOTATION  The National Irrigation Administration (NIA), through its Administrative Service (AS), will undertake Shopping  in accordance with Section 52.1  annex “H” page 138 in accordance with the CY 2016 Revised Implementing Rules and Regula</t>
  </si>
  <si>
    <t xml:space="preserve"> 1	Lot	Customized flags 1	17	Piece	"DA Flag Size: 6ft x 3ft Material: Satin Logo Height: 16 inches Width: 18 inches KAGAWARAN NG PAGSASAKA Length - 39 inches Height - 2.2 inches Font Type - Sans Serif (Bold) DEPARTMENT OF AGRICULTURE Length - 41 inches Hei</t>
  </si>
  <si>
    <t xml:space="preserve"> 600 Liters Unleaded 2800 Liters Diesel</t>
  </si>
  <si>
    <t xml:space="preserve"> INVITATION TO BID The DPWH Regional Office IX, Veterans Avenue Extension, Tetuan, Zamboanga City, through its Bids and Awards Committee (BAC), invites contractors to submit bids for the following Contract: Contract ID	:	20J00206 Contract Name	:	Concreting</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</si>
  <si>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</si>
  <si>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2 SETS H.P. PAVILION TPO1-0110D icore 5 2 pcs. UPS APC BX650 LI-MS 1 PC. EPSON L1455 A3 WIFI DUPLEX ALL IN ONE PRINTER 2 PCS. EPSON L5190 WIFI ALL IN ONE INK TANK 1 PCS. COMPUTER CHAIR 1 PC. COMPUTER TABLE 1 PC. STEEL SLIDING CABINET</t>
  </si>
  <si>
    <t xml:space="preserve"> Main Bearing .25 for Isuzu Elf 4BC2 Engine  Con Rod Bearing .25 for Isuzu Elf 4BC2 Engine  Thrust Washer .25 for Isuzu Elf  Line (STD) for Isuzu Elf  Piston (STD) for Isuzu Elf  Piston Ring (STD) for Isuzu Elf  Piston Pin Bushing for Isuzu Elf  Valve Seat</t>
  </si>
  <si>
    <t xml:space="preserve"> INVITATION TO BID The DPWH Regional Office IX, Veterans Avenue Extension, Tetuan, Zamboanga City, through its Bids and Awards Committee (BAC), invites contractors to submit bids for the following Contract: Contract ID	:	20J00207 Contract Name	:	Concreting</t>
  </si>
  <si>
    <t xml:space="preserve"> Bid Documents Fee P 5,000.00 Submission and receipt of Bids/ Opening of Bids Date: July 23, 2020 Time: 10:00 AM Venue: Conference Room, Municipal Hall Bldg., Laur, Nueva Ecija Items Descriptions and Specifications: 1-UNIT WATER TANKER (BRAND NEW) Specific</t>
  </si>
  <si>
    <t xml:space="preserve"> JOB ORDER: Furnishing of Labor, Materials and Equipment Rental for the Proposed Construction of Multi-Purpose Building (Exposition Building), Airport Road, Legazpi City *** please see attached schedule of BAC activities</t>
  </si>
  <si>
    <t xml:space="preserve"> ITEM #	QTY.	UNIT	ARTICLES AND DESCRIPTION				 1	30	packs	Cotton (big roll) / roll				 2	10	canisters	Disinfectant Spray, big				 3	20	boxes	Gloves size 8 (disposable), 100's				 4	10	boxes	Gloves size 7 (sterile), 100's				 5	15	packs	Gauze 4x4 100's				 </t>
  </si>
  <si>
    <t xml:space="preserve"> Republic of the Philippines Province of Davao del Sur MUNICIPALITY OF STA.CRUZ INVITATION TO BID  PROCUREMENT OF DIESOLINE FOR COVID OPERATIONS AND OTHER DRRM RELATED ACTIVITIES -2ND POSTING (ITB No. 20-Goods-2020) 1.	The Local Government Unit of Sta. Cru</t>
  </si>
  <si>
    <t xml:space="preserve"> For specification details, please contact MR. JEFFERSON O. CORUNO at 09157584241 or email at psuprocurementunit@gmailcom or procurement@parsu.edu.ph</t>
  </si>
  <si>
    <t xml:space="preserve"> Linggo ng kabataan activities</t>
  </si>
  <si>
    <t xml:space="preserve"> kit	HIV Ag-Ab, CMIA/CLIA, 100 tests	45	15,700.00	706,500.00 Note: Winning bidder must provide fully automated Chemiluminescent microparticle immunoassay (CMIA) machine capable of simultaneous detection of the tests with valid FDA CPR, 100% sensitivity bas</t>
  </si>
  <si>
    <t xml:space="preserve"> 150-cu.m-Road Rehabilitation, Resurfacing, stock pilling, hauling, spreading &amp; compacting (0.10mX5.0mX200m) 5.04-sq.m-Billboard (1.2mX2.4m)</t>
  </si>
  <si>
    <t xml:space="preserve"> REQUEST FOR QUOTATION (RFQ) SUPPLY AND DELIVERY OF LABORATORY STANDARDS UNDER EMB-ERLSD-ENVIRONMENTAL LABORATORY SERVICES SECTION (ELSS) INORGANICS LABORATORY UNIT RFQ NO. EMB-S-ERLSD-ELSS LABORATORY STANDARDS 2020-0487 1.	The Department of Environment an</t>
  </si>
  <si>
    <t xml:space="preserve"> Preparation of ISO 9001:2015 Year 2020 Surveillance Audit on August 19, 2020 (See attached Purchase Request for more detailed information.)</t>
  </si>
  <si>
    <t xml:space="preserve"> REQUEST FOR QUOTATION The Ministry of Public Works -Maguindanao 2nd Engineering Office through its Bids and Awards Committee (BAC), will undertake a Small Value Procurement for the “Supply and Delivery of Office Supplies” in accordance with Section 53.9 o</t>
  </si>
  <si>
    <t xml:space="preserve"> Please download RFQ in the Associated Components</t>
  </si>
  <si>
    <t xml:space="preserve"> 21	PCS	MODULAR TABLE</t>
  </si>
  <si>
    <t xml:space="preserve"> 3 piece Lightning Arrester (11-36 KV Series)Polymer</t>
  </si>
  <si>
    <t xml:space="preserve"> Ref. No: GOODS-2020-06 Republic of the Philippines Province of Southern Leyte MUNICIPALITY OF MACROHON INVITATION  TO BID FOR THE SUPPLY AND DELIVERY OF BREEDER STOCKS: GOAT AND NATIVE CHICKEN     The  Municipality  of  Macrohon , through  the Trust Fund-</t>
  </si>
  <si>
    <t xml:space="preserve"> PR#	2020-06-0327 ADMINISTRATIVE DIVISION (CONSOLIDATED)	 1	lot	Various Office Supplies and Materials:	 119,000.00 	 50	bottle	70% isopropyl rubbing alcohol 500ml		 20	bottle	air freshener/ anti bac		 5	box	ballpen black		 5	box	ballpen blue		 5	box	ballpe</t>
  </si>
  <si>
    <t xml:space="preserve"> To extend provision of water service - GAD</t>
  </si>
  <si>
    <t xml:space="preserve"> Procurement of  ICT Supplies 1.	Memory Card, Class 10, 64g 2.	Network Cable, Cat 6, 20m each 3.	GPU IC and CHIPSET IC - (parts for the repair of Laptop) PLEASE SEE ASSOCIATED COMPONENTS FOR MORE DETAILS.</t>
  </si>
  <si>
    <t xml:space="preserve"> Supplies for Drop in Center for 2nd Quarter 2020</t>
  </si>
  <si>
    <t xml:space="preserve"> 38 Kit COVID-19 Anti-Body Rapid Test Kits(Innovita) 10 Unit Electric Stand Fan, Industrial 4 Folding Bed, Single 17 Shower Curtain, Plastic 60" W(White) 2 Hand Washing Station, Foot Pressed, Galvanized Sink 1 Plumbing System Installation Materials at Hand</t>
  </si>
  <si>
    <t xml:space="preserve"> 1.	Rolled Carpet	                 27.21 m2 2.	Blinds with Installation         1 lot •	26.33 x 4 m2 •	25.83 x 1 m2 •	37.00 x 1 m2</t>
  </si>
  <si>
    <t xml:space="preserve"> Procurement of LPG Cooking Gas 50kgs/cylinder (for the month of August 2020) (with detailed preventive maintenance of NDU gas pipe line)</t>
  </si>
  <si>
    <t xml:space="preserve"> Republic of the Philippines CITY OF MALABON Metropolitan Manila OFFICE OF THE CITY MAYOR TERMS OF REFERENCE / SCOPE OF WORK/ PROJECT PROPOSAL AIP NO. 9000-000-2-3-25-002-000-010 I.TITLE CONSULTANCY SERVICES ON INFRASTRUCTURE AND PUBLIC WORKS II. RATIONALE</t>
  </si>
  <si>
    <t xml:space="preserve"> The Bids and Awards Committee hereby invites all qualified contractors for the Construction/Installation of Jetmatic Pumps at Various Barangays of Mayorga, Leyte. For more details kindly visit the Office of the BAC Chairperson.</t>
  </si>
  <si>
    <t xml:space="preserve"> Republic of the Philippines Province of Capiz Municipality of Mambusao REQUEST FOR QUOTATION BIDS AND AWARDS COMMITTEE 	        JULY 3, 2020      Date    	Please quote your lowest price on the items listed below, subject to the general conditions stated h</t>
  </si>
  <si>
    <t xml:space="preserve"> INVITATION TO BID The DPWH Regional Office IX, Veterans Avenue Extension, Tetuan, Zamboanga City, through its Bids and Awards Committee (BAC), invites contractors to submit bids for the following Contract: Contract ID	:	20J00209 Contract Name	:	Concreting</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</si>
  <si>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</si>
  <si>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28 sets Water heater (A.O SMIT 220V-240V, 2000 Watts)</t>
  </si>
  <si>
    <t xml:space="preserve"> SUPPLY AND DELIVERY OF MATERIALS</t>
  </si>
  <si>
    <t xml:space="preserve"> TERMS OF REFERENCE/ SCOPE OF WORK/PROJECT PROPOSAL AIP NO. 9000-000-2-3-25-002-000-010 I. TITLE  CONSULTANCY ON HOUSING CONCERNS  II. RATIONALE The City of Malabon is in need of an able consultant with years of experience in housing concerns to recommend </t>
  </si>
  <si>
    <t xml:space="preserve"> Office Supplies Expenses Other Supplies and Materials Expenses ICT Office Supplies Expenses 		 Semi-Expendable Machinery 		 and Equipment Expenses-		 Office Equipment 		 Semi-Expendable Machinery 		 and Equipment Expenses-		 Other Machinery and Equipment	</t>
  </si>
  <si>
    <t xml:space="preserve"> Ref. No: GOODS-2020-05 Republic of the Philippines Province of Southern Leyte MUNICIPALITY OF MACROHON INVITATION  TO BID FOR THE SUPPLY AND DELIVERY OF MOTOR VEHICLE     The  Municipality  of  Macrohon , through  the Supplemental Budget No.1 CY 2020 inte</t>
  </si>
  <si>
    <t xml:space="preserve"> 2- pcs Hammer 2- pcs Saw 1- pair Shredder 2- unit Fire Extinguisher 1- unit Cart 1- unit Wheel Barrow 1- unit Soil Thermometer 1- unit pH meter 10- set Rain boots 10- pcs Rubber Gloves 10- pcs Apron 5- box Hairnet 5- box Hand Shovel 5- box Bolo 10- pcs Pa</t>
  </si>
  <si>
    <t xml:space="preserve"> Please see attached file.</t>
  </si>
  <si>
    <t xml:space="preserve"> lot 1 - Const. Materials									 1	Portland Cement 							939	bags	260.00 	 Terms &amp; Conditions :									 	*The materials  shall be  for pick up from the supplier 									 	within  5 working days from the receipt  of  a written advice 									 	by the </t>
  </si>
  <si>
    <t xml:space="preserve"> A) REQUEST FOR QUOTATION 1. 1,150 pcs. OP ID Cards with Biometric Capability Inclusive of Technical Services and Free Use of Printing Machine ID Specifications: 1. Contactless Smart Card 2. Ultra High Definition Thermal Retransfer Printing Technology 3. P</t>
  </si>
  <si>
    <t xml:space="preserve"> Procurement of Commercial Rice, 50kgs/bag</t>
  </si>
  <si>
    <t xml:space="preserve"> Hauling Services for the Municipal Waste Materials from different Mainland Barangay.</t>
  </si>
  <si>
    <t xml:space="preserve"> 1 piece Electric Fan Assy 1 piece Fright Charge  1 piece 24v Double Contact bulb 1 piece Fuse (Mini 15A) 1 piece Fuse (Mini 20A) 30 Liter Refrigeration Lubricant (capella Oil) 1 piece Halogen Bulb (Circuit 12v) 1 piece Peanut Bulb (12v) 8 Liters Extended </t>
  </si>
  <si>
    <t xml:space="preserve"> Request For Quotation						Date:			 						Quotation No.:			 Company Name:									 Address:									 T.I.N.:									 									           Please quote your lowest price on the item/s listed below, subject to the General Conditions on the last page, statin</t>
  </si>
  <si>
    <t xml:space="preserve"> kit	CK-MB, 4 x 62.5 ml	3	26,900.00	80,700.00 kit	CK-MB Control, 4 x 3 ml	6	9,500.00	57,000.00 kit	Lipase, 4 x 10 ml	12	15,500.00	186,000.00 kit	LDH-L SL, 2 x 62.5 ml	9	8,000.00	72,000.00 Note: Winning supplier must provide a benchtop, self contained unit,</t>
  </si>
  <si>
    <t xml:space="preserve"> 20 pcs 10 lbs  Fire Extinguisher 10 pcs 20 lbs Fire Extinguisher 2 pcs  50lbs  Fire Extinguisher wheel type 10 pcs Extinguisher ball</t>
  </si>
  <si>
    <t xml:space="preserve"> Cargo Truck (10T, 270 Hp)</t>
  </si>
  <si>
    <t xml:space="preserve"> 1 set DFLP 1 pc 7mm Cancellous Screw 2 set Bone Cement w/ Gentamicin</t>
  </si>
  <si>
    <t xml:space="preserve"> 1	1.00	UNIT	LAPTOP 			Core i7; 4GB Memory; 1TB HDD; 15.6" Display 			Windows 10; MX 230 GB; WiFi; Bluetooth 2	1.00	UNIT	2 TB Hardrive and Wireless Mouse 			 3	1.00	UNIT	3-in-1 Printer 			Printer, Copier and Scanner</t>
  </si>
  <si>
    <t xml:space="preserve"> Items and Description Labor and Materials for Printing and Production of the Following: Lot I -Tarpaulin Printing for the Implementation of R&amp;D  projects. 1. 1.5 x 2 sq.ft.  2. 2 x5 sq.ft  3. 2x3  sq.ft.  4. 2x4  sq.ft.  5. 3x4  sq.ft.  6. 3x6  sq.ft.  7.</t>
  </si>
  <si>
    <t xml:space="preserve"> Republic of the Philippines Province of Siquijor Municipality of Enrique Villanueva INVITATION TO BID FOR Procurement of Materials for the Rehabilitation/Improvement of Municipal Roads 1.	The Local Government Unit of Enrique Villanueva, through the 20% De</t>
  </si>
  <si>
    <t xml:space="preserve"> Purchase of MTO I.T. Equipments and Supply</t>
  </si>
  <si>
    <t xml:space="preserve"> ONE (1) UNIT BRAND NEW 40 KVA STANDBY GENERATOR, SILENT TYPE, DIESEL GENERATOR, 460VAC, 3 PHASE, 50 amps @ 460VAC, 60 Hz, 1800 RPM, Soundproof ENGINE: 4 CYLINDER, IN-LINE ENGINE BUILD, TURBOCHARGED-RADIATOR COOLED, 6 LITER PER HOUR CONSUMPTION @ 100% LOAD</t>
  </si>
  <si>
    <t xml:space="preserve"> Lot 1										 1	Portland Cement							1,215	bags	260.00 	Terms and Conditions:									 	The materials shall be for pick up from the supplier within 5 working 									 	days  from the receipt of a written advice by the project engineer.									 	The s</t>
  </si>
  <si>
    <t xml:space="preserve"> December 2010 Republic of the Philippines Province of Palawan Municipality of Balabac BIDS AND AWARDS COMMITTEE INVITATION TO BID 1.The Municipal Government  of Balabac, through MOOE 2020 intends to apply the sum of Two Million Pesos Only only (PHP 2,000,</t>
  </si>
  <si>
    <t xml:space="preserve"> LOGISTICS SERVICE: (Hauling and Trucking) Door to Port of 1 Unit Toyota Hiace Commuter Van ORIGIN: DepEd - Central Office Complex, Meralco Ave., Pasig City, Manila DESTINATION: Dumaguete City Port Details: Toyota Hiace Commuter 3.0L Dsl M/T - JZ - 008 Gro</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</si>
  <si>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</si>
  <si>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Installation of Fixed Glass with Swing Door and Counter Window (Registrar Office) Supply and Installation: Fixed Window Glass with Swing Door and Counter WIndow Aluminum frame analok Using 1/4" Thick Bronze Glass</t>
  </si>
  <si>
    <t xml:space="preserve"> Supply and Delivery of Doorknob, Heavy Duty QTY 150  UNIT Piece Door Knob, Heavy Duty ABC: 450 --------------------------------------------------------------------------------------------------------------------------------- **Please submit the following </t>
  </si>
  <si>
    <t xml:space="preserve"> Name of Project	:	 PROCUREMENT OF JANITORIAL SUPPLIES FOR THE MAINTENANCE OF VARIOUS COMFORT ROOMS. Approved Budget for the Contract	:	 Ninety – Three Thousand Five Hundred Sixty- Seven Pesos Only  (Php. 93,567.00) Specifications	:	 See the “Annex A” SUPP</t>
  </si>
  <si>
    <t xml:space="preserve"> WATER SUPPLY I - Earthworks             		=	1.00 lot II - Formworks and Scaffolds      =        1.00 lot III-Intake Box                           =         4.45 cu.m IV- Pipe Transmission                 =        1.00 lot V- Painting Works                </t>
  </si>
  <si>
    <t xml:space="preserve"> Lot 1 - Const. Materials									 1	Portland Cement 							10	bags	260.00 	Terms  &amp; Conditions;									 	*The materials  shall be  for pick up from the supplier 									 	within  5 working days from the receipt  of  a written advice 									 	by the pr</t>
  </si>
  <si>
    <t xml:space="preserve"> Items and Description Procurement of Various Boots 1. Field Boots Thigh high, size: EUR 36-46; PVC Material; wear- resistance 2. Rice Paddy Boots (8”), heavy duty, rubberized thigh high length 3. Rubber Boots for Women (Size 9”) heavy duty 4. Rubber Boots</t>
  </si>
  <si>
    <t xml:space="preserve"> 1 set THA Ceramic on Ceramic</t>
  </si>
  <si>
    <t xml:space="preserve"> Republic of the Philippines PROVINCE OF NUEVA VIZCAYA Municipality of Alfonso Castañeda  BIDS &amp; AWARDS COMMITTEE FOR GOODS &amp; SERVICES REQUEST FOR QUOTATION RFQ Number: 2020-07-06 The Local Government of Alfonso Castañeda through its Bids and Awards Comm</t>
  </si>
  <si>
    <t xml:space="preserve"> QTY UNIT      DESCRIPTION 20   BAGS     CEMENT 8     GALS.     LATEX PAINT(YELLOW) 2      PCS.     ROLLER BRUSH #5 2      CU.       SAND</t>
  </si>
  <si>
    <t xml:space="preserve"> For replacement of the defective unit being used by Mr. Nelson Magallanes</t>
  </si>
  <si>
    <t xml:space="preserve"> 300	PCS	G.I. TEE REDUCER 1" x 3/4"	 50	PCS	G.I CROSS TEE NO. 2"	 50	PCS	G.I  TEE NO. 2"	 300	PCS	G.I. NIPPLE NO. 1" x 2"	 100	PCS	G.I. NIPPLE NO. 1" x 5"	 50	PCS	G.I. NIPPLE NO. 1" x 10"	 50	PCS	G.I. NIPPLE NO. 2" x 4"	 50	PCS	G.I. NIPPLE NO. 2" x 10"	 50</t>
  </si>
  <si>
    <t xml:space="preserve"> Unit     Qty       Item sets     3          Mag Wheels 15x7 Van Edition Black</t>
  </si>
  <si>
    <t xml:space="preserve"> The Barangay Government of Bayuyan, President Roxas, Capiz, through the 20% Development Fund, intends to apply the sum of One Hundred Thirty Four Thousand Fifty Pesos (Php 134,050.00) being the Approved Budget for the Contract (ABC) to payments under the </t>
  </si>
  <si>
    <t xml:space="preserve"> REPAIR OF MUNICIPAL GYMNASIUM</t>
  </si>
  <si>
    <t xml:space="preserve"> 1 set PFN short 1 set PHLP</t>
  </si>
  <si>
    <t xml:space="preserve"> Republic of the Philippines Province of Laguna Municipality of Pangil Barangay San Jose, Pangil, Laguna OFFICE OF THE BIDS AND AWARDS COMMITTEE INVITATION FOR NEGOTIATED PROCUREMENT CONSTRUCTION OF CONCRETE ROAD OF MUNICIPAL CEMETERY BRGY. SULIB. CONCRETI</t>
  </si>
  <si>
    <t xml:space="preserve"> INVITATION TO BID The DPWH Regional Office IX, Veterans Avenue Extension, Tetuan, Zamboanga City, through its Bids and Awards Committee (BAC), invites contractors to submit bids for the following Contract: Contract ID	:	20J00212 Contract Name	:	Concreting</t>
  </si>
  <si>
    <t xml:space="preserve"> Item no.	Qty	Unit	Item Description's			Est. Unit	Estimated 						Cost	Cost 							 1	2	UNITS	ASUS Laptop				 							 							 							 							 							 							 							 							 TOTAL AMOUNT REQUESTED							 -    							 Purpose:	Two (2) units of Laptop to be </t>
  </si>
  <si>
    <t xml:space="preserve"> REQUEST FOR QUOTATION The Municipality of Allacapan, through its Bids and Awards Committee (BAC), invites suppliers/distributors/contractors to SUBMIT QUOTATION for the hereunder project: Name of Contract :Purchase of Spareparts for DT Forward(1,2 and 3) </t>
  </si>
  <si>
    <t xml:space="preserve"> For the supply and delivery of the following: 5	roll	Rubberized Disinfection Mat			 		(Carpet Ribbed Matting)			 		Size: 6ft x 60ft			 		Color: Gray</t>
  </si>
  <si>
    <t xml:space="preserve"> Department of Health Central Luzon Center for Health Development MARIVELES MENTAL WELLNESS AND GENERAL HOSPITAL Mariveles, Bataan BAC Office, BAC Secretariat (047) 633-4992 procurement@mmh.gov.ph INVITATION TO BID  RE-BIDDING OF MEDICAL SUPPLIES 2020 2020</t>
  </si>
  <si>
    <t xml:space="preserve"> SPRING SOURCE PIPELINES 46	pcs	110mm Upvc pipe s-8 W/ RR			 10	pcs	90mm Upvc pipe s-8 W/ RR			 3	pcs	3" G.I. Pipe Sch. 40 W/ HEAVY DUTY COUPLINGS			 3	pcs	4" G.I. Pipe Sch. 40 W/ HEAVY DUTY COUPLINGS			  FITTINGS AND APPURTENANCES 1	pcs	100mm X 100mm x 10</t>
  </si>
  <si>
    <t xml:space="preserve"> Please see associated components for details.</t>
  </si>
  <si>
    <t xml:space="preserve"> 16 pcs Pedicle Screws 2 set Crosslink</t>
  </si>
  <si>
    <t xml:space="preserve"> 1 set Arthroscopic ACL Reconstruction</t>
  </si>
  <si>
    <t xml:space="preserve"> Unit 	Item Description	QTY 		 Multipurpose Building Pcs	Roller shades Combi 55" x 99"	12 Pcs	Roller shades Combi 59" x 72"	14 Pc	Roller shades Combi 43" x 72"	1 Pc	Roller shades Combi 43" x 87"	1 Pcs	Roller shades Combi 59" x 87"	9  New Admin ICT Office, </t>
  </si>
  <si>
    <t xml:space="preserve"> BRAND NEW MULTI-PURPOSE VEHICLE WITH					 REAR FB BODY AND DUAL AIRCON					 MANUAL TRANSMISSION					  COLOR: White					 					 Engine Type:  Diesel, 2.2L Euro 4 Compliant,					 	turbocharged &amp; intercooled 16-Valve DOHC				 Fuel System: Electronic Common Ra</t>
  </si>
  <si>
    <t xml:space="preserve"> Unit 	            Item Description			                                  Qnty. 				 				 	            GRADE		No. of Pupils        No. of PAGES	 				 pages	    SPED	       11	                     95	                   1,045 pages	    Kinder	      345	       </t>
  </si>
  <si>
    <t xml:space="preserve"> Republic  of  the  Philippines  Province  of  Marinduque MUNICIPALITY  OF  GASAN INVITATION TO BID FOR  THE REPAIR OF FLOOD CONTROL 1.	The Municipality of Gasan, through MDRRMFIP CY 2020, Disaster Prevention and Mitigation intends to apply the sum of  Thr</t>
  </si>
  <si>
    <t xml:space="preserve"> [Republic of the Philippines] Province of Pangasinan Municipality of Natividad INVITATION TO BID FOR TITLE: Purchase of Various Office Equipment and Materials for Sangguniang Bayan and Vice Mayor’s Office Approved budget for the Contract: P460,299.00 The </t>
  </si>
  <si>
    <t xml:space="preserve"> Republic of the Philippines BIDS AND AWARDS COMMITTEE 9017 Población, El Salvador City Misamis Oriental  INVITATION TO BID for the PROCUREMENT OF FERTILIZER, CORN SEEDS AND SPRAYER  DISTRIBUTION TO FARMERS 1. 	The LGU-El Salvador City, Misamis Oriental, t</t>
  </si>
  <si>
    <t xml:space="preserve"> kit	Salin-based Concentrated Wash Solution, 12 x 125 ml	3	5,500.00	16,500.00 kit	Surfacent Concentrated Wash Solution, 12 x 125 ml	3	5,500.00	16,500.00 kit	Control for Crossmatching, 1x5ml	3	10,000.00	30,000.00 Note: Winning Supplier must provide a fully </t>
  </si>
  <si>
    <t xml:space="preserve"> Toner, Samsung MLT D205L</t>
  </si>
  <si>
    <t xml:space="preserve"> A) REQUEST FOR QUOTATION 1. 6 pcs 1.5mm x 1” x 2” x 6 mtrs – Tubular Steel 2. 16 pcs 1.5mm x 2” x 2” x 6 mtrs – Tubular Steel  3. 20 kg Welding Rod 6013 1/8” 4. 1 box Blind rivets 1/8 Ø ½” 5. 30 pcs Cutting Disc 4"Ø 6. 10 pcs Grinding Disc 4”Ø 7. 12 pcs 2</t>
  </si>
  <si>
    <t xml:space="preserve"> Title:Procurement of 1,000 Vial Rabies Vaccine(10 Dose/Vial),etc. under P.R.No. 1408-2020-Office of the City Veterinarian. Total ABC: Php 1,595,798.00 For representative/s of interested bidders who wish to attend the Pre-Bidding Conference, please bring t</t>
  </si>
  <si>
    <t xml:space="preserve"> INVITATION TO BID 				          (Re-Advertisement) The __DPWH-2nd District Engineering Office, Labason, Zamboanga del Norte  , through its Bids and Awards Committee (BAC), invites contractors to submit bids for the following Contract:      Contract ID: 20</t>
  </si>
  <si>
    <t xml:space="preserve"> INVITATION TO BID The DPWH Regional Office IX, Veterans Avenue Extension, Tetuan, Zamboanga City, through its Bids and Awards Committee (BAC), invites contractors to submit bids for the following Contract: Contract ID	:	20J00213 Contract Name	:	Concreting</t>
  </si>
  <si>
    <t xml:space="preserve"> Intravenous Set Adult, Following ISO Standard w/ Micron Filter, Air Vent, Universal Luer Lock End, Y-port, Non Phthalate Tubing----------------------------3594 qty -----P17.350/pc Intravenous Set Pedia, Following ISO Standard w/ Micron Filter, Air Vent, U</t>
  </si>
  <si>
    <t xml:space="preserve"> Republic of the Philippines Province of Batangas CITY OF TANAUAN INVITATION TO BID Description 1)	The City Government of Tanauan, through the General Fund intends to apply the sum of PHP 2,137,500.00 being the Approved Budget for the Contract (ABC) to pay</t>
  </si>
  <si>
    <t xml:space="preserve"> 1 set Retrograde IM Nail Femur Tension Band Wiring 2 set 0.62 K-wire 1 set Cerclage wire</t>
  </si>
  <si>
    <t xml:space="preserve"> REFORESTATION PLAN WITHIN MISAMIS OCCIDENTAL SCOPE OF WORKS: 1. Gathering of primary and secondary data 2. Analysis of data and report writing 3. Working on the finalization of plan/packaging and initial deliberation with the PENRO/CENRO TWG and Technical</t>
  </si>
  <si>
    <t xml:space="preserve"> Proposed Rehabilitation/Improvement of BPSO Headquarters at Dr. San Juan St.</t>
  </si>
  <si>
    <t xml:space="preserve"> Republic  of  the  Philippines  Province  of  Marinduque MUNICIPALITY  OF  GASAN INVITATION TO BID FOR  THE CONSTRUCTION  OF 63 CU.M. FOOD COURT DRAINAGE AND SEPTIC TANK 1.	The Municipality of Gasan, through  20% Development Fund Continuing Appropriation,</t>
  </si>
  <si>
    <t xml:space="preserve"> Rehabilitation/improvement of multi-purpose hall</t>
  </si>
  <si>
    <t xml:space="preserve"> Absorbable haemostat (oxidized regenerated cellulose 3”x4”	100	PC	 Absorbent hemostatic sponge approximately 7cm x 15cm, 1cm, 10’s sterile	4	Box	 Gauze antiseptic dressing with soft paraffin and 0.5% chlorhexidine acetate 10cm x 10cm, single pack, sterile</t>
  </si>
  <si>
    <t xml:space="preserve"> 1 set THA (Cementless)</t>
  </si>
  <si>
    <t xml:space="preserve"> A) REQUEST FOR QUOTATION 1. 5 pails Flat Latex, white 2. 16 pails Semi-gloss Latex, white 3. 20 kilos Patching Compound 4. 4 pcs Paint Roller 9” cotton w/ tray 5. 4 pcs Paint Brush 4”  Note: Delivery Period: Fifteen (15) Calendar days B) USE COMPANY LETTE</t>
  </si>
  <si>
    <t xml:space="preserve"> Republic of the Philippines CITY OF PANABO Province of Davao del Norte BIDS AND AWARDS COMMITTEE -o0o- INVITATION TO BID  SUPPLY OF CONSTRUCTION MATERIALS 1.	The City of Panabo, through CEO/ REPAIR &amp; MAINTENANCE-INFRASTRUCTURE ASSETS (STREET LIGHT) 2ND QU</t>
  </si>
  <si>
    <t xml:space="preserve"> Supply and Delivery of Various Dietary Supplies and Materials aluminum foil, 12" x 300ft	piece	500	2	1,000.00 cling wrap, 12" x 300ft	piece	300	35	10,500.00 Handsafe gloves, 100's	pack	40	50	2,000.00 Handsafe gloves, 100's	pack	40	50	2,000.00 dishwashing </t>
  </si>
  <si>
    <t xml:space="preserve"> Lancing Device (blood lancet) Single use, 200's -----------------------100 qty ---------------------P160.00/box ########################### PURPOSE: Purchase Request for the use of Nursing Unit / Centralization (for 3 months Consumption) Fax your Price Qu</t>
  </si>
  <si>
    <t xml:space="preserve"> 4 set K-wire 1 set Variable Angle Volar Locking Plate</t>
  </si>
  <si>
    <t xml:space="preserve"> Department of Public Works and Highways Contract ID	:	20MH0109 Contract Name	:	Repair/Maintenance of Drainage along Isulan Jct.- Sen. Ninoy Aquino Road (K1829+897 - K1830+247)  Contract Location	:	Bagumbayan, Sultan Kudarat Department of Public Works and </t>
  </si>
  <si>
    <t xml:space="preserve"> REQUEST FOR EXPRESSION OF INTEREST The National Capital Region (NCR) - North Sector Regional Office of the National Housing Authority (NHA), through Corporate Receipts approved by the NHA Board for the year 2020, intends to invite collection service provi</t>
  </si>
  <si>
    <t xml:space="preserve"> Line Item 1 	McDonald Jar (9 liter water capacity)	21 pcs 	Water Heater 1.5KW (=or &gt; 3 gallon)	7 unit 	Electric Breaker 20A	7 unit 	Ball valve PPC (water heater capacity)	28 pcs 	Ball valve PVC (cold water)	28 pcs 	PVC blue Pipe 1/2	28 pcs 	PVC Elbow 1/2	</t>
  </si>
  <si>
    <t xml:space="preserve"> 1 set Proximal Femoral Nail (Long)</t>
  </si>
  <si>
    <t xml:space="preserve"> The Department of Agriculture Regional Field Office IX, through the GAA 2020 - (RAED Program) intends to apply the sum of (PHP 150,000.00) being the Approved Budget for the Contract (ABC) to payments under the contract for 05-037-20. Bids received in exce</t>
  </si>
  <si>
    <t xml:space="preserve"> see attached associated components</t>
  </si>
  <si>
    <t xml:space="preserve"> INVITATION TO BID FOR  2nd Invitation for the Supply and Delivery of Manual and Self-Propelled Forklift 1.	The Department of Agriculture Regional Field Office No. 5, through the General Appropriation Act (GAA) for CY 2020-Corn Program intends to apply the</t>
  </si>
  <si>
    <t xml:space="preserve"> Item No.	QTY.	UNIT	DESCRIPTION/SPECIFICATION OF ARTICLES	ABC	 				Unit	Total 1	2	bot	Anesthesia, Topical, Benzocaine 20% Gel, 30 grams	 350.00 	700.00 2	2	bot	Anesthesia, Topical, Xylocaine 10% Spray, 50 ml	 2,000.00 	4,000.00 3	40	box	Anesthesia, Lidocai</t>
  </si>
  <si>
    <t xml:space="preserve"> Republic of the Philippines PROVINCE OF ISABELA Ilagan REQUEST FOR QUOTATION (RFQ) FOR CONSTRUCTION PROJECT NEGOTIATED PROCUREMENT-TWO FAILED BIDDINGS 									July 03, 2020 1.	In view of the two (2) failed biddings, The Provincial Government of Isabela, </t>
  </si>
  <si>
    <t xml:space="preserve"> BRAND NEW PICKUP VEHICLE 4X4, 2.8L DIESEL,					      MANUAL TRANSMISSION					  COLOR: preferrably White					 ENGINE:					      2.8-3.0L Diesel, 4 Cylinder, 16-Valve, Double					           Overhead Camshaft, Variable Nozzle Turbo					           with Interc</t>
  </si>
  <si>
    <t xml:space="preserve"> Medical, Dental and laboratory Supplies</t>
  </si>
  <si>
    <t xml:space="preserve"> Republic of the Philippines CITY OF PANABO Province of Davao del Norte BIDS AND AWARDS COMMITTEE -o0o- REQUEST FOR QUOTATION 1.	 The City of Panabo, through VARIOUS OFFICES 2ND QUARTER MOOE 2020 – intends to apply the sum of Three Hundred Ninety-Nine Thou</t>
  </si>
  <si>
    <t xml:space="preserve"> INVITATION TO BID FOR  2nd Invitation for the Supply and Delivery of 4 units Multiple Extracting Machine 1.	The Department of Agriculture Regional Field Office No. 5, through the General Appropriation Act (GAA) for CY 2020-HVCDP intends to apply the sum o</t>
  </si>
  <si>
    <t xml:space="preserve"> Supply &amp; Delivery of Meals and Snacks to be used for the State of the Municipality Address on July 9, 2020, Municipality of Bongabong, Oriental Mindoro</t>
  </si>
  <si>
    <t xml:space="preserve"> INVITATION TO BID FOR  Procurement and Delivery of Various Goods 1.	The Philippine Science High School – CAR Campus (PSHS-CARC), through the R.A. No. 11465 (FY 2020 GAA) intends to apply the sum of ONE MILLION THREE HUNDRED NINE THOUSAND AND NINE HUNDRED </t>
  </si>
  <si>
    <t xml:space="preserve"> The Barangay Government of Barangay MABINI, Tanauan City, Batangas through the Bids and Awards Committee (BAC) invites Suppliers/Contractors to apply for eligibility and if subsequently found eligible, to bid for the projects described hereunder, viz: Pro</t>
  </si>
  <si>
    <t xml:space="preserve"> Piperacillin 4Gm/Tazobactam 500mg Inj. Per Vial (as sodium salt) (IM,IV) IV Infusion) Requirements for Drugs and Medicines: **Drugs with history of usage from VMMC (Requirements No. 1-5 only) ** **For Innovators (Requirements No. 1-4 only) ** 1. CPR 2. CG</t>
  </si>
  <si>
    <t xml:space="preserve"> RFQ-GS-20200622-03 Interested Suppliers are invited to submit Price Quotation for the above listed item. The official LANDBANK Request for Quotation Form may be obtained from Mr. RUEL MARCA (tel no.: 85512200 locals 2290, 2979; email address: dudonmarca@g</t>
  </si>
  <si>
    <t xml:space="preserve"> Republic of the Philippines DEPARTMENT OF AGRARIAN REFORM Sarangani Province REQUEST FOR QUOTATION The Department of Agrarian Reform (DAR), through its Bids and Awards Committee (BAC), will undertake procurement of Vehicle Tires, Battery and various parts</t>
  </si>
  <si>
    <t xml:space="preserve"> Republic of the Philippines BIDS AND AWARDS COMMITTEE FOR THE PROCUREMENT OF GOODS City of Puerto Princesa Barangay Sta. Monica INVITATION TO BID (Procurement of Goods) PR No. 2020-06-032 Date: June 18, 2020 Procuring/Funding Office/Department: Barangay S</t>
  </si>
  <si>
    <t xml:space="preserve"> Ceftriaxone Inj. 1GM + 10ml Diluent (as sodium/sodium) Requirements for Drugs and Medicines: **Drugs with history of usage from VMMC (Requirements No. 1-5 only) ** **For Innovators (Requirements No. 1-4 only) ** 1. CPR 2. CGMP 3. LTO 4. CERTIFICATE OF DIS</t>
  </si>
  <si>
    <t xml:space="preserve"> Supply and Delivery of Various Food Supplies for the Month of September 2020 all purpose cream, 250ml	piece	70	70	4,900.00 brown sugar, washed, 1kg/pack	kilogram	60	120	7,200.00 catsup, banana	gallon	200	2	400.00 cheese, 440grams	bar	160	20	3,200.00 Chees</t>
  </si>
  <si>
    <t xml:space="preserve"> Supply &amp; Delivery of Meals and Snacks to be used for Launching of Balik Probinsya, Bagong Pag -asa Program on July 8, 2020</t>
  </si>
  <si>
    <t xml:space="preserve"> 2.5HP Inverter Cooling Capacity of 4,320-23,400 kj/h Power Consumption 230-2,350 W Energy Efficiency Ratio: 18.8-10.5 kj/H-Hr Auto Swing Mode Two (2)-Hour Timer Off Dry Function Inclusive of installation at NFA Infanta PO in Brgy. Comon, Infanta, Quezon, </t>
  </si>
  <si>
    <t xml:space="preserve"> Republic of the Philippines Province of Eastern Samar Municipality of San Julian REQUEST FOR QUOTATION _____________________________ _____________________________ _____________________________ SIR/MADAME: 	Please quote your lowest price for the following </t>
  </si>
  <si>
    <t xml:space="preserve"> The Barangay Government of Barangay GONZALES, Tanauan City, Batangas through the Bids and Awards Committee (BAC) invites Suppliers/Contractors to apply for eligibility and if subsequently found eligible, to bid for the projects described hereunder, viz: N</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</si>
  <si>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</si>
  <si>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INVITATION TO BID FOR  Supply and Delivery of Lot 1- Airvent Type Greenhouse with Anteroom and Supply, Delivery and Installation of Pre-Fabricated Rain Shelter, Lot 2- Split Type Aircon, Lot 3-Steel Upright 4 Doors Chiller and Lot 4-Gasoline Generator  1.</t>
  </si>
  <si>
    <t xml:space="preserve"> INVITATION TO BID (Re-Advertisement) The __DPWH-2nd District Engineering Office, Labason, Zamboanga del Norte  , through its Bids and Awards Committee (BAC), invites contractors to submit bids for the following Contract:      Contract ID: 20JC0083       C</t>
  </si>
  <si>
    <t xml:space="preserve"> *For any inquiries, please look for Ms. Menchie Jamorabo. Contact details: Telefax : 8-733 4861/71 Email: menchie.jamorabo@pms.gov.ph Corrugated Box, heavy duty, die cut, telescopic design with print on both sides, PRESIDENTIAL MANAGEMENT STAFF size: 735 </t>
  </si>
  <si>
    <t xml:space="preserve"> RFQ-GS-20200622-05 Interested Suppliers are invited to submit Price Quotation for the above listed item. The official LANDBANK Request for Quotation Form may be obtained from MS. JAM FABELLA (tel no.: 85512200 locals 2452, 24539; email address: jamfabella</t>
  </si>
  <si>
    <t xml:space="preserve"> 68 gal alcohol 12 pc foot bath 10 pc thermal scanner Specifications: Storage: -10 to 60◦C (14 to 140◦F) Usage Temp: 10 to 40◦C (50 to 104◦F) Usage Battery: 3V Weight: 122g Size: 145x80x40mm Technical parameters: Temp measuring range: 32 to 43◦C (90 to 109</t>
  </si>
  <si>
    <t xml:space="preserve"> [Republic of the Philippines] Province of Pangasinan Municipality of Natividad INVITATION TO BID FOR TITLE: Purchase of Various Office Supplies and Materials for Sangguniang Bayan and Vice Mayor’s Office Approved budget for the Contract: P217,038.94 The [</t>
  </si>
  <si>
    <t xml:space="preserve"> SUPPLY AND DELIVERY OF TONER CARTRIDGE (40 CARTS), HP285A (HP85A) BLACK</t>
  </si>
  <si>
    <t xml:space="preserve"> 1-unit Projector SPECIFICATIONS: - Lumens 4000, Resolution (Native) XGA 1024 x 768. - Throw ratio: 1.38-2.24 - Contrast: 15,000 - Tachnology: LCD, HDMI - Inputs: 2 lamplife (est): 12000 SKU: VIIH865041 with Cable connector: - 20 mtr VGA to VGA (for projec</t>
  </si>
  <si>
    <t xml:space="preserve"> PROC-RFQ-00	 										 REPUBLIC OF THE PHILIPPINES										 PRESIDENTIAL BROADCAST STAFF-RTVM										 MALACANANG, MANILA										 										 REQUEST FOR QUOTATION										 TEL: 734-5681										 										 Name of Company							Approved Budget for </t>
  </si>
  <si>
    <t xml:space="preserve"> Line Item No. 1	         Solar panel board, 200 watts capacity each	20 pcs 	Solar panel board, 150 watts capacity each	25 pcs 	Rechargeable Seal Lead_Acid Maintenance free Battery (Solar battery), 12V 100AH/20HR 50 pcs 	Solar power Inverter transformer ty</t>
  </si>
  <si>
    <t xml:space="preserve"> INVITATION TO BID FOR SWM GARBAGE COMPACTOR TRUCK 1. The Municipal Government of Hinoba-an, through the CY 2020 Supplemental Budget No. 1, intends to apply the sum of One Million Five Hundred Thousand Pesos (P1,500,000.00) being the Approved Budget for th</t>
  </si>
  <si>
    <t xml:space="preserve"> FOR THE MONTH OF JULY 2020:					 2000	L	diesel					 1000	L	gasoline					 300	L	unleaded					 20	L	diesel oil (regular)					 14	L	diesel oil (synthetic)					 15	L	gasoline oil (regular)					 7	L	gasoline oil (synthetic)					 5	L	SAE 15W 40					 8	L	Coolant</t>
  </si>
  <si>
    <t xml:space="preserve"> SUPPLY, DELIVERY &amp; INSTALLATION OF 20 UNITS CABINET- OPEN STEEL SHELVES FOR SSS ZAMBOANGA BRANCH SPECIFICATIONS:    -  SIZE: 545mm (W) x 1830mm (D) x 1830mm (H)    -  MATERIAL: STEEL    - 4 LAYERS FOR QUERIES &amp; FURTHER DETAILS:     YOU MAY CONTACT MS. GRA</t>
  </si>
  <si>
    <t xml:space="preserve"> PLEASE SEE ATTACHED TOR AND SPECIFICATIONS</t>
  </si>
  <si>
    <t xml:space="preserve"> 1 set Proximal Femoral Nail, (Long)</t>
  </si>
  <si>
    <t xml:space="preserve"> 1 set DTLP Lateral  2 set 1/3 Tubular Plate 1 set Fowler Regular Plate 2 pcs 4.5 Cannulated Screw w/ washer</t>
  </si>
  <si>
    <t xml:space="preserve"> Alcohol	100 	gallon &gt;Isopropyl		 &gt;68% - 72%		 &gt;Scented		 &gt;3.785 liters</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</si>
  <si>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</si>
  <si>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Please see attached Health Protocol before proceeding to USTP-Claveria.  Invitation to Bid for the Renovation of 2-Storey 4-Rooms President’s Cottage     Contract ID No. 	:	INFR-001-20 Contract Location	:	USTP-Claveria, Moscat, Claveria, Misamis Oriental </t>
  </si>
  <si>
    <t xml:space="preserve"> 1. Sublimation Customized Polo Shirt (with CMU Logo)                    30 pcs.  2. Office Curtains (Curtain window: modern, velvet)                         2 sets</t>
  </si>
  <si>
    <t xml:space="preserve"> Laryngoscope with blades with Stainless Steel MacIntosh Fiber-Optic Laryngoscope Blades; Green Standard (ISO 7376); Fiber Optic Halogen handle in AC/DC modes; Bright, white  Halogen illumination for clear, color-corrected view; Knurled finish ensure durab</t>
  </si>
  <si>
    <t xml:space="preserve"> Location : Legazpi City, Albay Scope of Work : Repair/ Rehabilitation of Electrical System</t>
  </si>
  <si>
    <t xml:space="preserve"> Repair/maintenance of water system</t>
  </si>
  <si>
    <t xml:space="preserve"> REQUEST FOR QUOTATION SUPPLY AND DELIVERY OF HANDHELD RADIOS  FOR THE PROCUREMENT SERVICE AMP-015-20 (SVP) Sir/Madam: Please quote your best proposal for the item/s described below using the Price Proposal Form (see Annex "A" of the Request for Quotation)</t>
  </si>
  <si>
    <t xml:space="preserve"> PROCUREMENT AND DELIVERY OF PRINTING SERVICES FOR PROMOTION OF NON-COMMISSIONED OFFICER 1ST SEM OF BFP R4A FOR FY 2020</t>
  </si>
  <si>
    <t xml:space="preserve"> RFQ-GS-20200623-04 Interested Suppliers are invited to submit Price Quotation for the above listed item. The official LANDBANK Request for Quotation Form may be obtained from Ms. ARVIE ESTRELLA (tel no.: 85512200 locals 2452, 2453; email address: avestrel</t>
  </si>
  <si>
    <t xml:space="preserve"> Location : Legazpi City, Albay Scope of Work : Repair/ Rehabilitation of Existing Roofing</t>
  </si>
  <si>
    <t xml:space="preserve"> OPENING OF BIDS IN DSWD FO IX ZAMBOANGA CITY						 DELIVERY IN DSWD-SWADT-LILOY ZAMBOANGA DEL NORTE						 PROCUREMENT FOR THE FF.:						 						 					 1	PCS	PRINTER 3 IN 1 WITH SCANNER				 4	PCS	PRINTER 3 IN 1				 3	PCS	STORAGE BOX, 5 LITERS				 1	UNIT	EB-</t>
  </si>
  <si>
    <t xml:space="preserve"> Scope of Work: 1. Construction of Concrete Fence Est. Length = 70m. Est. Height = 7.5m A. Excavation/Clearing B. CHB Fence (Plastered) C. Hauling Cost</t>
  </si>
  <si>
    <t xml:space="preserve"> PROCUREMENT AND DELIVERY OF OFFICE SUPPLIES FOR PROMOTION OF NON COMMISSIONED OFFICER 1ST SEM FY 2020 OF BFP R4A FOR FY 2020</t>
  </si>
  <si>
    <t xml:space="preserve"> INVITATION TO BID  for the following Projects: Repair/Maintenance of DPWH Building Motorpool Dinagat Islands District Engineering Office San Jose, Dinagat Islands The Department of Public Works and Highways, DPWH Dinagat Islands District Engineering Offic</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</si>
  <si>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</si>
  <si>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The SANGGUNIANG BARANGAY OF BARANGAY BOOT, TANAUAN CITY, BATANGAS, through the Barangay Operating Budget 2020 intends to apply the sum of Forty Nine Thousand One Hundred Eighty Two Pesos &amp; 50/100 Only (Php 49,182.50) being the Approved Budget of the Contr</t>
  </si>
  <si>
    <t xml:space="preserve"> INSTALLATION OF SUBMERSIBLE PUMP, SUCTION PIPE AND WIRINGS:		 (LABOR &amp; MATERIALS)		 Specifications:		 2.0 hp Submersible Pump, Pecil Type, 210ft		 Dynamic Head, Single Phase, coupled,		 w/ "US Quality" Electric Motor, 3450RPM, 220V,		 60 cycles, canned ty</t>
  </si>
  <si>
    <t xml:space="preserve"> A) REQUEST FOR QUOTATION 1. 1 lot FC-10-02H01-247-02-12 FortiDDoS-200B 24x7 FortiCare Includes: Advanced Hardware Replacement, Firmware and General Upgrades, 24x7 Comprehensive Support for 6 Months covering July 1, 2020 – December 31, 2020 B) USE COMPANY </t>
  </si>
  <si>
    <t xml:space="preserve"> 1 set Distal Humeral Lock Plate (Dual Plate)</t>
  </si>
  <si>
    <t xml:space="preserve"> 135  RM Paper Bond 11 x 17, 70gsm, Subs 20  -In accordance with the Technical Specifications  ABC: Php 57,510.00  NOTE: Please sign all pages of the Technical Specifications and submit it together with your quotation. If selected as the winning bidder, yo</t>
  </si>
  <si>
    <t xml:space="preserve"> 1. Turtle Engine (8 horse power-diesel engine)                                1 unit 2. Backless Turtle Body w/o Engine (width:44 inches, length:52 inches                          2 units 3. Turtle Engine (air-cooled diesel) max. output 7.4kw/3600 min, hi</t>
  </si>
  <si>
    <t xml:space="preserve"> Barangay Road Concreting  - 187.00 sq.m.</t>
  </si>
  <si>
    <t xml:space="preserve"> Delivery of construction materials</t>
  </si>
  <si>
    <t xml:space="preserve"> RFQ-GS-20200625-02 Interested Suppliers are invited to submit Price Quotation for the above listed item. The official LANDBANK Request for Quotation Form may be obtained from MS. NADIA ILETO (tel no.: 85512200 locals 2979, 2290; email address: nadiaileto_</t>
  </si>
  <si>
    <t xml:space="preserve"> Purchase of medical equipment</t>
  </si>
  <si>
    <t xml:space="preserve"> INVITATION TO BID The Municipality of Pagsanjan, through its Bids and Awards Committee (BAC), interested contractors registered to apply for eligibility and if found eligible, to bid for the hereunder contract: 	 Name of Contract: 	Procurement of Gasoline</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</si>
  <si>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</si>
  <si>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Construction/ Repair/ Rehabilitation/ Improvement of Various Infrastructure Including Local Projects - Rehabilitation of Multi-Purpose Building (Senior Citizens' Center), Baguio City Contract Location :	Irisan, Baguio City Approved Budget for the Contract</t>
  </si>
  <si>
    <t xml:space="preserve"> Pocket Wifi (2 sets)                              12 pcs</t>
  </si>
  <si>
    <t xml:space="preserve"> To undertake the conversion of CHD Office into Covid-19 Testing Laboratory</t>
  </si>
  <si>
    <t xml:space="preserve"> Republic of the Philippines DEPARTMENT OF AGRARIAN REFORM Sarangani Province REQUEST FOR QUOTATION The Department of Agrarian Reform (DAR), through its Bids and Awards Committee (BAC), will undertake procurement of various common supplies for DARPO SP use</t>
  </si>
  <si>
    <t xml:space="preserve"> INVITATION TO BID 	The Philippine National Police (PNP) Civil Security Group (CSG) through its Bids and Awards Committee (BAC) now invites all interested parties to apply for eligibility and to bid for the support and supply of the Items to Bid for the fo</t>
  </si>
  <si>
    <t xml:space="preserve"> Please see attached Purchase Order.</t>
  </si>
  <si>
    <t xml:space="preserve"> PROCUREMENT AND DELIVERY OF CATERING SERVICES FOR PROMOTION OF NON COMMISIONED OFFICER 1ST SEM FY 2020 OF BFP R4A FOR FY 2020</t>
  </si>
  <si>
    <t xml:space="preserve"> 1	75	bot	Alcohol 250ml	 2	75	bot	Alcohol 500ml	 3	25	doz	Tissue	 4	5	bot	Dishwashing liquid	 5	6	gal	Disinfectant Liquid	 				 APPROVED BUDGET FOR THE CONTRACT: PHP 18,700.00 LOCATION OF THE CONTRACT: BATARAZA, PALAWAN DURATION OF THE CONTRACT: 7 DAYS SCH</t>
  </si>
  <si>
    <t xml:space="preserve"> Convex Mirror 32”  2 piece   Blower Reversable  1 piece  Pressure Washer  1 piece  Glass Cabinet  1 piece LED Cabinet Spot Light Fitting Self Adhesive  4 piece</t>
  </si>
  <si>
    <t xml:space="preserve"> INVITATION TO BID ITB NO. 2020-06-0201 The Procuring Entity through its Bids and Awards Committee (BAC), invites eligible Construction suppliers to apply for eligibility and to bid for the hereunder project: Name of Project: Supply and Delivery of Supplie</t>
  </si>
  <si>
    <t xml:space="preserve"> kit	HbsAg II Reagent, 100 tests, Qual II	45	12,500.00	562,500.00 kit	Syphilis Ab, CMIA/CLIA, 100 tests	45	8,400.00	378,000.00 Note: Winning bidder must provide fully automated Chemiluminescent microparticle immunoassay (CMIA) machine capable of simultaneo</t>
  </si>
  <si>
    <t xml:space="preserve"> INVITATION TO BID The DPWH Regional Office IX, Veterans Avenue Extension, Tetuan, Zamboanga City, through its Bids and Awards Committee (BAC), invites contractors to submit bids for the following Contract: Contract ID	:	20J00211 Contract Name	:	Concreting</t>
  </si>
  <si>
    <t xml:space="preserve"> Other Supplies and Materials</t>
  </si>
  <si>
    <t xml:space="preserve"> HD Resolution Four (4)-Channel Recorder with a memory capacity of 1TB Inclusive of installation at NFA FLGC III Warehouse in Brgy. Sibulan, Polillo, Quezon which will need around 200 meters of coaxial wire, testing and user training</t>
  </si>
  <si>
    <t xml:space="preserve"> BARANGAY ROAD CONCRETING  - 264 SQ.M.</t>
  </si>
  <si>
    <t xml:space="preserve"> Lot 1									 1	8' X 8' Tarpaulin w/ print &amp; eyelet							1.00	sht.	1,050.00 2	Assorted CW Nails (1-1/2", 2",  3",  4")							 11.50 	kgs.	70.00 3	36 - 16mmØ" x 6.0m Def. Bars, G - 33							 340.92 	kgs.	50.50 4	Asphalt Sealant							50	Lit.	45.00 5	Grea</t>
  </si>
  <si>
    <t xml:space="preserve"> BARANGAY ROAD REPAIR FROM SITIO NATAS-AN TO BARRIO PROPER  - 300.00sq.m.</t>
  </si>
  <si>
    <t xml:space="preserve"> 1	pc	Crank Shaft 1	pc	Cylinder Resleeving reboring 1	pcs	Main Hounting and Caps Line boring 1	pc	Cylinder Block 1	pcs	Valve Refaling 1	pcs	Valve Guide Replaced 1	pcs	Valve Seat refacing 		Saddle B-up 		Supply Parts</t>
  </si>
  <si>
    <t xml:space="preserve"> 2400 liters of Diesel</t>
  </si>
  <si>
    <t xml:space="preserve"> INVITATION TO BID The Municipality of Pagsanjan, through its Bids and Awards Committee (BAC), interested contractors registered to apply for eligibility and if found eligible, to bid for the hereunder contract: 	 Name of Contract: 	Procurement of Rescue E</t>
  </si>
  <si>
    <t xml:space="preserve"> Rehabilitation of Seven (7) Purok Reading Center</t>
  </si>
  <si>
    <t xml:space="preserve"> RFQ-GS-20200626-02 Interested Suppliers are invited to submit Price Quotation for the above listed item. The official LANDBANK Request for Quotation Form may be obtained from MS. ANJ EMETERIO (tel no.: 84057234; email address: mqemeterio@gmail.com). The d</t>
  </si>
  <si>
    <t xml:space="preserve"> Procurement of Printing of Activity Sheets						 Purchase Requested by the City Mayor's Office, Tabaco City						 						 To Interested Suppliers, Manufacturers and Distributors,						 						 Please quote your lowest price/s on the lot or item/s  below, su</t>
  </si>
  <si>
    <t xml:space="preserve"> 257 BAGS OF COMPLETE 14-14-14 (50 KILOS) 257 BAGS OF UREA 46-0-0 257 BAGS OF POTASH 0-0=60</t>
  </si>
  <si>
    <t xml:space="preserve"> Construction of Barangay Nursery</t>
  </si>
  <si>
    <t xml:space="preserve"> food good for 25 pax in 8 days</t>
  </si>
  <si>
    <t xml:space="preserve"> Construction/ Repair/ Rehabilitation/ Improvement of Various Infrastructure Including Local Projects - Rehabilitation of Multi-Purpose Building (Day Care Center for Health, Nutrition and Sanitation Office and Evacuation Center), Baguio City Contract Locat</t>
  </si>
  <si>
    <t xml:space="preserve"> Construction/ Repair/ Rehabilitation/ Improvement of Various Infrastructure Including Local Projects - Rehabilitation of Road at Barangay Irisan and Pinsao Proper, Baguio City Contract Location :	Irisan and Pinsao Proper, Baguio City Approved Budget for t</t>
  </si>
  <si>
    <t xml:space="preserve"> 1	FRONT LOAD COMBO WASHER-DRYER	1 unit 	Specifications:	 	Washing Capacity: 10.5kg	 	Drying Capacity: 6 kg	 	Spin Speed: 1400 rpm	 	Motor: Digital Inverter	 	Drum Type: Diamond Drum	 	Panel Display: LED	 	Warranty: 11-Year Warranty on Motor</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</si>
  <si>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</si>
  <si>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</si>
  <si>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QUANTITY UNIT DESCRIPTION 2 unit Laptop-Specification:15" screen, 8GB RAM, Quad core CPU 2GB MX130 VIDEO CARD 1TB HDD 1 unit computer printer-Print, Scan, copy with ADF compact integrated  tank design,print speed up to 15ipm for                           </t>
  </si>
  <si>
    <t xml:space="preserve"> 2 SET/S ORAL SURGICAL AEROSOL SUCTION SYSTEM C-AS, (HVAC) Specification: Voltage/Frequency: 220V, 50/60 Hz Output Power: 500W Hose Length: 1.75m Suction: 6000Pa UV Intensity: 250-270nm Filter Level: H13 Product Size: 12.8Kg 28x28x50cm Package Size: 16Kg 4</t>
  </si>
  <si>
    <t xml:space="preserve"> REQUEST FOR QUOTATION										 MEALS CONDUCT OF PROGRAM IMPLEMENTATION REVIEW ( PIR)FOR THE FRIST SEMESTER OF 2020 										 ON JULY 6,7,9,10,13, 2020  the Request for Quotation must be email at thebpibac@yahoo.com										 		SMALL VALUE 								 INSTR</t>
  </si>
  <si>
    <t xml:space="preserve"> Titling and Surveying of Lot  1,714.29 Square meter</t>
  </si>
  <si>
    <t xml:space="preserve"> 17/01/2020	 1	PAX	11	AM SNACKS	 				 2	PAX	11	LUNCH	 				 3	PAX	11	PM SNACKS	 				 			20/02/2020	 4	PAX	10	AM SNACKS	 				 5	PAX	10	LUNCH	 				 6	PAX	10	PM SNACKS	 				 			21/02/2020	 7	PAX	10	AM SNACKS	 				 8	PAX	10	LUNCH	 				 9	PAX	10	PM SNACKS	 				 </t>
  </si>
  <si>
    <t xml:space="preserve"> Office Supplies and Devices</t>
  </si>
  <si>
    <t xml:space="preserve"> Welding Handle 300 amps	10	pcs 300 amps Heavy Duty Welding Machine	1	set Screw Driver Flat	1	set Screw Driver Philip	1	set Royal Cord #8	20	meters Cutting Disc 4”	10	boxes Shovel	4	pcs THHN Stranded Wire #8 Any Color	1	box THHN Stranded Wire #10 Any Color</t>
  </si>
  <si>
    <t xml:space="preserve"> The Barangay Officials and its Bids and Awards Committee (BAC), Invites Eligible Bidders to Bid the hereunder projects: Name of Project: Construction of Pathways Sitio Bandera Location: Barangay San Francisco, Isabel, Leyte Approved: Php 100,000.00</t>
  </si>
  <si>
    <t xml:space="preserve"> Various materials for the repair/repainting of bleacher &amp; canopy shed at football field</t>
  </si>
  <si>
    <t xml:space="preserve"> 1	BP Apparatus							15	pcs	2,500.00 2	Elastic Bandage 3"							20	rolls	40.00 3	Elastic bandage 4"							20	rolls	40.00 4	Elastic Bandage 6"							20	rolls	40.00 5	Foley bag Catheter, Fr. 14							100	pcs	90.00 6	Foley bag Catheter, Fr. 16							100	pcs	</t>
  </si>
  <si>
    <t xml:space="preserve"> 500	Piece	Straight Catheter Fr.16, ABC 40.00/pc 250	Box	Disposable Syringe 20cc w/active retractable needle G.21, ABC 500.00/box 150	Box	Disposable Syringe 50cc w/active retractable needle G.21, ABC 1,000.00/box RFQ#06-0699R</t>
  </si>
  <si>
    <t xml:space="preserve"> 20 pieces of CIGNAL Load (card)</t>
  </si>
  <si>
    <t xml:space="preserve"> Plumbing works and replacement of water pipes</t>
  </si>
  <si>
    <t xml:space="preserve"> Section I. Invitation to Bid   INVITATION TO BID FOR  Labor for the Rehabilitation of FMR (Lilit to Sadsalan 1.	The Local Government Unit of Lambayong, through the AIP 2020 Expenses Fund intends to apply the sum of One Hundred Thirty two Thousand Three Fi</t>
  </si>
  <si>
    <t xml:space="preserve"> Food Supplies</t>
  </si>
  <si>
    <t xml:space="preserve"> Please see the attached Request for Quotation</t>
  </si>
  <si>
    <t xml:space="preserve"> Various Dental Supplies for the RHU Use</t>
  </si>
  <si>
    <t xml:space="preserve"> PURCHASE OF SCHOOL AND OFFICE SUPPLIES</t>
  </si>
  <si>
    <t xml:space="preserve"> Procurement of electrical supplies and materials to be used for the installation of electric transformer of PENRO Quirino. Please refer to the attached Purchase Request for the materials.</t>
  </si>
  <si>
    <t xml:space="preserve"> The Barangay Government of Darasa, Tanauan City through the Bids and Awards Committee(BAC) invites Suppliers/Contractors to apply for the eligibility and if subsequently found eligible to bid for the supply of materials for the project described here unde</t>
  </si>
  <si>
    <t xml:space="preserve"> ROAD CONCRETING   - 4m x 0.15m x 22m.</t>
  </si>
  <si>
    <t xml:space="preserve"> Corazon Locsin Montelibano Memorial Regional Hospital, through its Bids and Awards Committee, intends to procure PORK (BONELESS, LESS FAT), which will be undertaken in accordance with Section 53.9 of the Revised Implementing Rules and Regulations of Repub</t>
  </si>
  <si>
    <t xml:space="preserve"> TITLE: PROCUREMENT OF OFFICE EQUIPMENT FOR INTEGRITY MONITORING AND ENFORCEMENT GROUP (IMEG)			 DEPARTMENT: OFFICE OF THE MAYOR			 			 ITEM NO.	QTY	UNIT	ITEM DESCRIPTION 1	4	units	Office Tables 2	1	unit	Computer Desktop w/ Printer 			CPU: corei3, corei5 	</t>
  </si>
  <si>
    <t xml:space="preserve"> QTY		UNIT		DESCRIPTION 30		pcs		Bath Towel-White 30		pcs		Fantasy Pillow 20 x 30 20		pcs		Bed in a Bag- Full Plain White 20		pcs		Hexagon Pattern Rug 10		pcs		Vase-Gold Black 10		pcs		Pink Single Monkara 10		pcs		White Single Monkara  20		pcs		Hand Towel</t>
  </si>
  <si>
    <t xml:space="preserve"> ITEM: 50 kgs 1/4" Rubber Gasket 							 22 pcs 100mmØ(4"Ø) Rubber Gasket O-Ring							 50 pcs 150mmØ(6"Ø) Rubber Gasket O-Ring							 10 pcs 200mmØ(8"Ø) Rubber Gasket O-Ring							 6 pcs 300mmØ(12"Ø) Rubber Gasket O-Ring							 4 pcs 400mmØ(16"Ø) Rubber G</t>
  </si>
  <si>
    <t xml:space="preserve"> Supply of 10,000 liters of Diesel</t>
  </si>
  <si>
    <t xml:space="preserve"> 1. The CITY GOVERNMENT OF CALAMBA through the General Fund intends to apply the sum of PHP 3,225,612.00 being the Approved Budget for the Contract (ABC) to payments under the contract for: G-2020-391 Repair &amp; Maintenance of Cistern/Pump Room &amp; Control Pan</t>
  </si>
  <si>
    <t xml:space="preserve"> Purchase of One (1) Unit Multi-Cab for Solid Waste Collection  - Type of unit:			:Reconditioned Pick-up Type 2wd w/ Canopy	 Engine			:4Stroke, 3 cylinder Gasoline, 	 			   Newly Overhauled radiator w/ coolant	 Displacement			:660cc	 Fuel System			:Carbure</t>
  </si>
  <si>
    <t xml:space="preserve"> Section I. Invitation to Bid   INVITATION TO BID FOR  Supply and Delivery of Heavy Equipment Rental and Construction Materials (Rehab. Of FRM) 1.	The Local Government Unit of Lambayong, through the AIP 2020 Expenses Fund intends to apply the sum of Four M</t>
  </si>
  <si>
    <t xml:space="preserve"> Republic of the Philippines Province of Palawan Municipality of Balabac BIDS AND AWARDS COMMITTEE INVITATION TO BID 1.The Municipal Government  of Balabac, through 20% MDF 2020 intends to apply the sum of  One Million Four Hundred Ninety Four Thousand Eig</t>
  </si>
  <si>
    <t xml:space="preserve"> Request for Quotation (Negotiated Procurement-Sec. 53.1 of RIRR of RA 9184)                                                                             The Iligan City Government Bids and Awards Committee(BAC) Posted Request for Quotation for the SUPPLY A</t>
  </si>
  <si>
    <t xml:space="preserve"> Local Government Unit of Palo Barangay Guindapunan Invitation to Bid for Construction/ Installation of 9 Units of Solar Double Arms LED Street Lights (100 Led) 2020-07-01 1.	The Local Government Unit of Palo, Barangay Guindapunan through the 20% Developme</t>
  </si>
  <si>
    <t xml:space="preserve"> 1. The Mindanao State University - Tawi-Tawi College of Technology and Oceanography (MSU-TCTO), through the TRUST FUND, intends to apply the sum of Nine Hundred Ninety-Nine Thousand Nine Hundred Ninety-One and 54/100 pesos only (PhP 999,991.54) being appr</t>
  </si>
  <si>
    <t xml:space="preserve"> 1. The CITY GOVERNMENT OF CALAMBA through the General Fund intends to apply the sum of PHP 2,010,960.00 being the Approved Budget for the Contract (ABC) to payments under the contract for: G-2020-392 Supply and Delivery of Cleaning Materials, Rainboots &amp; </t>
  </si>
  <si>
    <t xml:space="preserve"> Various materials for construction of two classroom at Agusipan Elementary School</t>
  </si>
  <si>
    <t xml:space="preserve"> Shredder and Chipper Machine</t>
  </si>
  <si>
    <t xml:space="preserve"> 1. The CITY GOVERNMENT OF CALAMBA through the General Fund intends to apply the sum of PHP 2,560,320.00 being the Approved Budget for the Contract (ABC) to payments under the contract for: G-2020-393 Supply and Delivery of Rice Office of the City Mayor, C</t>
  </si>
  <si>
    <t xml:space="preserve"> 1. The CITY GOVERNMENT OF CALAMBA through the Special Education Fund intends to apply the sum of PHP 32,990,936.84 being the Approved Budget for the Contract (ABC) to payments under the contract for: I-2020-012 Construction of 4-Sty 20 Cl. School Building</t>
  </si>
  <si>
    <t xml:space="preserve"> 4 units- Bill Counting MAchine (per attached BSP specifications)</t>
  </si>
  <si>
    <t xml:space="preserve"> INVITATION TO BID FOR the Procurement of Assorted Technical and Scientific Equipment – Ref. # 2020-06-05 1.	The FOOD AND NUTRITION RESEARCH INSTITUTE, through the “DOST-GIA Project entitled “Exposure Assessment of Food Chemical Contamination in Metro Mani</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</si>
  <si>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</si>
  <si>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1. The CITY GOVERNMENT OF CALAMBA through the General Fund intends to apply the sum of PHP 4,999,847.24 being the Approved Budget for the Contract (ABC) to payments under the contract for: I-2020-017 Concreting of Road Kapayapaan Road, Barangay Canlubang,</t>
  </si>
  <si>
    <t xml:space="preserve"> 1. The CITY GOVERNMENT OF CALAMBA through the General Fund intends to apply the sum of PHP 4,999,995.63 being the Approved Budget for the Contract (ABC) to payments under the contract for: I-2020-016 Construction of Senior Citizen Building Villa Palao, Ba</t>
  </si>
  <si>
    <t xml:space="preserve"> Purchase of Office Supplies and Other Materials</t>
  </si>
  <si>
    <t xml:space="preserve"> I. General Requirements II. Ceiling Works III. Doors IV. Electrical Works V. Painting Works VI. Termite Treatment</t>
  </si>
  <si>
    <t xml:space="preserve"> Assorted Construction Materials</t>
  </si>
  <si>
    <t xml:space="preserve"> pls see attached docs</t>
  </si>
  <si>
    <t xml:space="preserve"> INVITATION TO BID (CW 2020-007-022)   The CITY GOVERNMENT OF SORSOGON, through its Bids and Awards Committee (BAC), invites suppliers/contractors to apply for eligibility and to bid for the hereunder project:  Name of Project		:	CONSTRUCTION OF CITY TOURI</t>
  </si>
  <si>
    <t xml:space="preserve"> This projects observes the following: 1. Concreting works 2. Rebar Works 3. Form Works 4. Plumbing works</t>
  </si>
  <si>
    <t xml:space="preserve"> RE-INVITATION TO BID The DPWH Davao Occidental District Engineering Office, Buhangin, Malita, Davao Occidental, through its Bids and Awards Committee (BAC), invites contractors to submit bids for the following Contract: Procurement ID / Contract ID	:	20LE</t>
  </si>
  <si>
    <t xml:space="preserve"> 1.	The Local Government Unit of Enrique Villanueva, through the 2019 LGSF AM Fund   intends to apply the sum of Php 2,199,640.64  being the Approved Budget for the Contract (ABC) to payments under the contract for Rehabilitation/Improvement of Level II Wa</t>
  </si>
  <si>
    <t xml:space="preserve"> Unit 	            Item Description 	                  Quantity  pages	Kinder - 301 + 5% (16) x 45	        14,265.00  pages	Grade 1 - 302 + 5% (16) x 240	        76,320.00  pages	Grade 2 - 340 + 5% (17) x 289	      103,173.00  pages	Grade 3 - 239 + 5% (12)</t>
  </si>
  <si>
    <t xml:space="preserve"> INVITATION TO BID FOR the Procurement of Assorted Laboratory Supplies with Ref# 2020-06-06 1.	The FOOD AND NUTRITION RESEARCH INSTITUTE, through the “Identification of Nutritional Disorder-Related Genes among Adult Respondents of the Expanded National Nut</t>
  </si>
  <si>
    <t xml:space="preserve"> Rental of One (1) unit Service Vehicle for Pag-IBIG Fund San Pablo City Branch   Pag-IBIG Fund Calamba Business Center National Highway, Brgy. Halang, Calamba City SCOPE OF SERVICE PROJECT: 	Provision for the Rental of motor service vehicles to be used by</t>
  </si>
  <si>
    <t xml:space="preserve"> CLIPBOARD #120 &amp; 9 OTHER ITEMS</t>
  </si>
  <si>
    <t xml:space="preserve"> REQUEST FOR QUOTATION (RFQ) PREVENTIVE MAINTENANCE AND CALIBRATION SERVICES OF ONE (1) UNIT NIC MERCURY ANALYZER MA-3000 (S/N:13740229) WITH SUPPLY AND DELIVERY OF SPAREPARTS UNDER EMB-ERLSD-ELSS–ECMU RFQ NO. EMB-ERLSD-SVP-NIC MA-3000 PM 2020-0515 1.	The </t>
  </si>
  <si>
    <t xml:space="preserve"> QTY   UNIT   ITEMS &amp; DESCRIPTION 10	PAX	MEALS &amp; SNACKS (10 DAYS)</t>
  </si>
  <si>
    <t xml:space="preserve"> RFQ FOR THE CONSTRUCTION MATERIALS ONLY FOR THE PROJECT FOR THE FOLLOWING SITIO'S SITIO PALANAS SITIO SUBOK SITIO CENTRO</t>
  </si>
  <si>
    <t xml:space="preserve"> Republic of the Philippines 		NATIONAL FOOD AUTHORITY 	                                  Regional Office VII, Cebu City    INVITATION TO BID 2020 CAPITAL OUTLAY PROJECT OF NFA REGION VII   The NATIONAL FOOD AUTHORITY, through its Corporate Budget for 2020</t>
  </si>
  <si>
    <t xml:space="preserve"> Invitation to Bid Procurement of Service Provider for Shuttle Services for CHED Employees for Three (3) Months 1.	The Commission on Higher Education, through the CHED – Fund 101 GAA for FY 2020 intends to apply the sum of Five Million Five Hundred Twenty </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</si>
  <si>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</si>
  <si>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QTY    UNIT  ITEMS &amp; DESCRIPTION 5	PAX	MEALS &amp; SNACKS (10 DAYS)</t>
  </si>
  <si>
    <t xml:space="preserve"> FABRICATION AND INSTALLATION OF THE CONCRETE PERMANENT MONUMENT AT THE BOUNDARY OF PULANGI IV HEP PERIPHERY</t>
  </si>
  <si>
    <t xml:space="preserve"> Labor and materials for 630 LM pipe laying at Calumpang Cerca, Indang, Cavite, including demolition and restoration of concrete pavement. Please see attached request for quotation for complete details</t>
  </si>
  <si>
    <t xml:space="preserve"> PIN, TAPERED 10 X 70 WITH INTERNAL THREAD</t>
  </si>
  <si>
    <t xml:space="preserve"> QTY    UNIT   ITEMS &amp; DESCRIPTION 25	PAX	MEALS &amp; SNACKS (5 DAYS)</t>
  </si>
  <si>
    <t xml:space="preserve"> QTY    UNIT   ITEMS &amp; DESCRIPTION 25	PAX	MEALS &amp; SNACKS (2 DAYS)</t>
  </si>
  <si>
    <t xml:space="preserve"> INVITATION FOR THE SUBMISSION OF REQUEST FOR QUOTATION The Municipal Government of Quezon, Palawan now invites bids for the project, Purchase of Fuel for Concreting of M. Aquino Street with an Approved Budget for the Contract (ABC) of Ninety Thousand Seve</t>
  </si>
  <si>
    <t xml:space="preserve"> INVITATION FOR THE SUBMISSION OF REQUEST FOR QUOTATION The Municipal Government of Quezon, Palawan now invites bids for the project, Purchase of Fuel for Concreting of A. Bonifacio Street with an Approved Budget for the Contract (ABC) of Seventy-Seven Tho</t>
  </si>
  <si>
    <t xml:space="preserve"> QTY   UNIT    ITEMS &amp; DESCRIPTION 10    PAX      MEALS &amp; SNACKS                    5 MEETINGS</t>
  </si>
  <si>
    <t xml:space="preserve"> QTY    UNIT    ITEMS &amp; DESCRIPTION 10      PAX     MEALS &amp; SNACKS                     12 MEETINGS</t>
  </si>
  <si>
    <t xml:space="preserve"> INVITATION TO BID  PROCUREMENT  OF ONE  (1) UNIT  BRAND NEW NON- REFRIGERATED CLOSE MEAT DELIVERY VAN   (2ND CALL) GS 2020 -006-018 1.	The City Government of Sorsogon    intends to apply the sum of   One   Million   Seven  Hundred      Thousand      Pesos</t>
  </si>
  <si>
    <t xml:space="preserve"> QTY    UNIT    ITEMS &amp; DESCRIPTION 3	PAX	ACCOMMODATION (2 NIGHTS)</t>
  </si>
  <si>
    <t xml:space="preserve"> QTY   UNIT   ITEMS &amp; DESCRIPTION 2	PCS	COLORED PRINTER			 30	TUBES	BLACK INK			 2	PCS	EXTERNAL HARD DRIVE (1TB)			 5	PCS	OTG USB - 64GB</t>
  </si>
  <si>
    <t xml:space="preserve"> The Roxas City Government, through the GOP-2020 intends to apply the total amount of Forty One Thousand Seven Hundred Pesos (PhP 41,700.00) being the Approved Budget for the Contract (ABC) to payments under the contract for Public Bidding for the Supply a</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</si>
  <si>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</si>
  <si>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INVITATION FOR THE SUBMISSION OF REQUEST FOR QUOTATION The Municipal Government of Quezon, Palawan now invites bids for the project, Purchase of Fuel for Municipal Ambulance with an Approved Budget for the Contract (ABC) of One Hundred Ninety-Nine Thousan</t>
  </si>
  <si>
    <t xml:space="preserve"> INSULATING VARNISH, RED</t>
  </si>
  <si>
    <t xml:space="preserve"> QTY  UNIT  ITEMS &amp; DESCRIPTION 55	PAX	MEALS &amp; SNACKS</t>
  </si>
  <si>
    <t xml:space="preserve"> The Roxas City Government, through the GOP-2020 intends to apply the total amount of Two Million Seven Hundred Thirty-six Thousand Five Hundred Pesos (Php 2,736,500.00) being the Approved Budget for the Contract (ABC) to payments under the contract for Pu</t>
  </si>
  <si>
    <t xml:space="preserve"> GENERAL SERVICES OF 13 FIRE EXTINGUISHERS AND OTHER ACTIVITIES</t>
  </si>
  <si>
    <t xml:space="preserve"> please see attached</t>
  </si>
  <si>
    <t xml:space="preserve"> As specified in the attached RFQ</t>
  </si>
  <si>
    <t xml:space="preserve"> QTY   UNIT   ITEMS &amp; DESCRIPTION 85	PAX	MEALS &amp; SNACKS</t>
  </si>
  <si>
    <t xml:space="preserve"> Geotechnical Investigation of various Road Sections and By-Pass/Diversion Road Projects</t>
  </si>
  <si>
    <t xml:space="preserve"> REMOVAL OF ACCUMULATED SEDIMENTS OF CANAL AT DAM AREA WITH A TOTAL DISTANCE OF 180 METERS AND COMPLETE CLEARING, CUTTING AND UPROOTING OF SHRUBS AROUND EMERGENCY SPILLWAY AREA WITH AN ESTIMATED AREA OF 5.500 SQ. M.</t>
  </si>
  <si>
    <t xml:space="preserve"> QTY  UNIT ITEMS &amp; DESCRIPTION 12	PCS	PENTEL PEN (BLUE &amp; BLACK)			 25	PCS	CARTOLINA (ASSORTED COLORS)			 3	PCS	MASKING TAPE			 6	PCS	STAMPING PAD (BIG)			 6	PCS	STAMPING PAD (SMALL)			 9	BOT	STAMPING INK (BLUE)			 9	BOT	STAMPING INK (BLACK)			 9	BOT	STAMPI</t>
  </si>
  <si>
    <t xml:space="preserve"> GRAVELLING OF POWER CHANNEL ACCESS ROAD RIGHT SIDE PORTION FACING UPSTREAM WITH A TOTAL VOLUME OF 310 CU. M.</t>
  </si>
  <si>
    <t xml:space="preserve"> 1. Table, free Standing, metal legs, off white finish, width x depth: 120 cm x 70 cm  (20 Pcs) 2. Mobile Pedestal, metal, 3-layers with caster, central locking, gray finish  (30 Pcs) 3. Junior Executive Table with fixed drawers (center drawer and 3 layers</t>
  </si>
  <si>
    <t xml:space="preserve"> QTY   UNIT   ITEMS &amp; DESCRIPTION 21	PCS	TARPAULIN</t>
  </si>
  <si>
    <t xml:space="preserve"> ENVELOPE, EXPANDED, LONG WITH TIE, COLORED GARTERIZED &amp; 16 OTHER ITEMS</t>
  </si>
  <si>
    <t xml:space="preserve"> DEVELOPER PART #DV 116 (FOR MINOLTA BIZHUB 215) &amp; 7 OTHER ITEMS</t>
  </si>
  <si>
    <t xml:space="preserve"> The Roxas City Government, through the GOP-2020 intends to apply the total amount of Two Hundred Twenty Thousand Pesos (P 220,000.00) being the Aggregate Approved Budget for the Contract (ABC) to payments under the contract for Public Bidding of 2 Lots fo</t>
  </si>
  <si>
    <t xml:space="preserve"> QTY   UNIT   ITEMS &amp; DESCRIPTION 70	PAX	MEALS &amp; SNACKS</t>
  </si>
  <si>
    <t xml:space="preserve"> Learners Packet (Learning Modules) for SHS Students of SFMNHS for SY 2020-2021</t>
  </si>
  <si>
    <t xml:space="preserve"> The Environmental Management Bureau 10 through the GAA NDRRM FUND (Calamity Fund 2020) intends to apply the sum of [Thirty-Four Million Pesos Only]. (Php 34,000,000.00) being the Approved Budget for the Contract (ABC) to payments under the contract for De</t>
  </si>
  <si>
    <t xml:space="preserve"> Republic of the Philippines Province of Leyte Municipality of Hilongos Barangay Marangog INVITATION TO BID FOR THE PROCUREMENT OF WATER SYSTEM 1. The Barangay Marangog of Hilongos,Leyte through 20% LDF 2020 intends to apply the sum THREE HUNDRED TWENTY TW</t>
  </si>
  <si>
    <t xml:space="preserve"> Supply of "Plants and seedlings for botanical garden</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</si>
  <si>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</si>
  <si>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THERMAL PAPER, TYPE 1, UPP- 110S ( 110mm X 20m )    200  ROLLS PLEASE ATTACH THE FOLLOWING DOCUMENTS: 1. MAYOR'S PERMIT 2. UPDATED TAX CLEARANCE 3. DTI/SEC CERTIFICATE 4. PHILGEPS CERTIFICATE</t>
  </si>
  <si>
    <t xml:space="preserve"> INVITATION FOR THE SUBMISSION OF REQUEST FOR QUOTATION The Municipal Government of Quezon, Palawan now invites bids for the project, Supply and Delivery of Alcohol and Disposable Facemask for SBO with an Approved Budget for the Contract (ABC) of Seventy-E</t>
  </si>
  <si>
    <t xml:space="preserve"> INVITATION TO BID FOR  SUPPLY AND DELIVERY OF ONE (1) SET  PRINTING PRESS SET-UP 1.	The SAMAR STATE UNIVERSITY, through the IGF-Use of Income FY 2020 intends to apply the sum of Four Million Five Hundred Thousand Pesos (PhP4,500,000.00) being the Approved</t>
  </si>
  <si>
    <t xml:space="preserve"> Republic of the Philippines Province of Cagayan Municipality Of Ballesteros BARANGAY SAN JUAN INVITATION TO BID FOR “Procurement of Various Materials for the Improvement of Multi-Purpose Building” 1.	The Barangay Government of San Juan, Ballesteros, throu</t>
  </si>
  <si>
    <t xml:space="preserve"> REQUEST FOR SEALED QUOTATION The Philippine Postal Corporation invites qualified Contractor to participate in the sealed quotation for the: Item No.	QTY	UNIT	ARTICLE	PhP	UNIT PRICE 1	1	lot	Supply of labor and materials for the Proposed Repair/Improvement </t>
  </si>
  <si>
    <t xml:space="preserve"> purchase of A4 bond paper.</t>
  </si>
  <si>
    <t xml:space="preserve"> INVITATION TO BID FOR  SUPPLY AND DELIVERY OF SEVEN (7) UNITS DIGITAL PRINTING/DUPLICATING  MACHINE FOR VARIOUS COLLEGES (FOR  INSTRUCTIONAL DELIVERY VIA FLEXIBLE  LEARNING MODALITIES) 1.	The SAMAR STATE UNIVERSITY, through the IGF-Use of Income FY 2020 i</t>
  </si>
  <si>
    <t xml:space="preserve"> 1 UNT - Photocopier Machine (per attached BSP specifications)</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</si>
  <si>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</si>
  <si>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Republic of the Philippines PROVINCE OF ZAMBOANGA SIBUGAY Municipality of Payao Barangay Poblacion REQUEST FOR QUOTATION ALTERNATIVE METHOD OF PROCUREMENT THRU NEGOTIATED PROCUREMENT-SMALL VALUE (Sec. 53.9 of RA 9184) Date: July 2, 2020 PR-2020-07-002 TO </t>
  </si>
  <si>
    <t xml:space="preserve"> Please see attached Request for Quotation.</t>
  </si>
  <si>
    <t xml:space="preserve"> For further information, please refer to: Mrs. Maria Flora T. Pandes or Mrs. Herbie B. De Lemios Department of Education-Division of Camarines Norte F. Pimentel Avenue, Barangay II, Daet, Camarines Norte Telephone number: 054-440-4464 Cellphone number: 09</t>
  </si>
  <si>
    <t xml:space="preserve"> Republic of the Philippines PROVINCE OF NUEVA ECIJA City of Palayan -o0o- Invitation to Bid for  CONSTRUCTION OF MULTI-PURPOSE FACILITIES July 3, 2020 1.	The Provincial Government of Nueva Ecija (PGNE), through the Special Educational Fund (SEF) intends t</t>
  </si>
  <si>
    <t xml:space="preserve"> Page 1 of 8 REQUEST FOR QUOTATION (RFQ) SUPPLY AND DELIVERY OF LABORATORY CONSUMABLES UNDER EMB-ERLSD-ENVIRONMENTAL LABORATORY SERVICES SECTION (ELSS) INORGANICS LABORATORY UNIT RFQ NO. EMB-S-ERLSD-ELSS LABORATORY CONSUMABLES 2020-0542 1. The Department o</t>
  </si>
  <si>
    <t xml:space="preserve"> It includes: De-clogging and Clearing of Drainage System; Disposal of Dredge Materials; and Billboards.</t>
  </si>
  <si>
    <t xml:space="preserve"> 600 gallons 70% Isopropyl Alcohol</t>
  </si>
  <si>
    <t xml:space="preserve"> INVITATION FOR THE SUBMISSION OF REQUEST FOR QUOTATION The Municipal Government of Quezon, Palawan now invites bids for the project, Supply and Delivery of One(1) unit Turbo Assembly with an Approved Budget for the Contract (ABC) of One HUndred Thousand P</t>
  </si>
  <si>
    <t xml:space="preserve"> The Barangay Officials and its Bids and Awards Committee (BAC), Invites Eligible Bidders to Bid the hereunder projects: Name of Project: Construction of Pathways Sitio Palawan Location: Barangay San Francisco, Isabel, Leyte Approved: Php 100,000.00</t>
  </si>
  <si>
    <t xml:space="preserve"> Concreting of barangay road @ brgy Paranum, Lal-lo, Cagayan</t>
  </si>
  <si>
    <t xml:space="preserve"> Republic of the Philippines Province of Cavite CITY OF IMUS ooOoo BIDS AND AWARDS COMMITTEE ________________________________________ INVITATION TO BID The City Government of Imus, Province of Cavite through its Bid and Awards Committee (BAC) invites bidde</t>
  </si>
  <si>
    <t xml:space="preserve"> NOTICE TO THE PUBLIC REQUEST FOR QUOTATION                                                AMP SVP-D NO: 20-07-0299B	              The University of the Philippines, Diliman (UPD) hereby informs the public that it will be procuring the following item/s thr</t>
  </si>
  <si>
    <t xml:space="preserve"> Please refer to attached Invitation to Bid and other bidding documents.</t>
  </si>
  <si>
    <t xml:space="preserve"> Republic of the Philippines Province of Cagayan Municipality Of Ballesteros BARANGAY SAN JUAN INVITATION TO BID FOR “Procurement of Various Materials for the Construction of One (1) Unit Palay Shed” 1.	The Barangay Government of San Juan, Ballesteros, thr</t>
  </si>
  <si>
    <t xml:space="preserve"> I. Replacement of old corrugated        gi sheets and fascia board      1. Materials      8ft gi corrugated sheets                                          pcs              5              420                2100     4x8'x1/2" hardieflex                   </t>
  </si>
  <si>
    <t xml:space="preserve"> It includes: 94,080.00 Liters of Diesel and 28,168.00 liters of Premium (Ron 91)</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</si>
  <si>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</si>
  <si>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Pio Valenzuela Elementary School located at Palasan Valenzuela City is in need of suppliers who can print, sort and arrange the pupil's Learning Packet / Module. Please see the attached Approved Purchase Request. Details will be as follows: Learning Packe</t>
  </si>
  <si>
    <t xml:space="preserve"> INVITATION TO BID FOR  SUPPLY AND DELIVERY OF IT EQUIPMENT &amp; SUPPLIES FOR FACULTY AND STUDENTS OF VARIOUS COLLEGES (FOR INSTRUCTIONAL DELIVERY VIA FLEXIBLE LEARNING MODALITIES) 1.	The SAMAR STATE UNIVERSITY, through the IGF-Use of Income FY 2020 intends t</t>
  </si>
  <si>
    <t xml:space="preserve"> INSTALLATION OF STREETLIGHTS @ BRGY. DALAYA, LAL-LO, CAGAYAN</t>
  </si>
  <si>
    <t xml:space="preserve"> The Environmental Management Bureau 10 through the GAA NDRRM FUND (Calamity Fund 2020) intends to apply the sum of [One Million Four Hundred Forty Thousand Pesos Only (php 1,440,000.00] being the Approved Budget for the Contract (ABC) to payments under th</t>
  </si>
  <si>
    <t xml:space="preserve"> The Department of Agriculture-RFO 3, invites interested suppliers/ bidders to submit bid proposal(s) for the hereunder requirement, to wit: 5 units  CORN HUSKER-SHELLER	 SPECIFICATION:	 Capacity: 	3.0 Tons/Hour (Minimum) Type:	              open, single c</t>
  </si>
  <si>
    <t xml:space="preserve"> REQUEST FOR SEALED QUOTATION 	 The Philippine Postal Corporation invites qualified Contractor to participate in the sealed quotation for the: Item No.	QTY	UNIT	ARTICLE	PhP	UNIT PRICE 1	1	lot	Supply of labor and materials for the Proposed Repair/Improvemen</t>
  </si>
  <si>
    <t xml:space="preserve"> REQUEST FOR SEALED QUOTATION The Philippine Postal Corporation invites qualified Manufacturers/suppliers to participate in the sealed quotation for the: Item No.	QTY	UNIT	ARTICLE	PhP	UNIT PRICE 1	45	pcs.	Push Cart (Pls. See attached plans)		18,000.00 			 </t>
  </si>
  <si>
    <t xml:space="preserve"> REQUEST FOR QUOTATION							 							 SIR/MADAM:							 							 Please quote your lowest price for the following items enumerated below, taking into consideration the following:							 							 TERMS AND CONDITIONS:							 1.  The Approved Budget for the Co</t>
  </si>
  <si>
    <t xml:space="preserve"> INVITATION FOR THE SUBMISSION OF REQUEST FOR QUOTATION The Municipal Government of Quezon, Palawan now invites bids for the project, Supply and Delivery of Spare parts for Various Vehicles with an Approved Budget for the Contract (ABC) of Sixty-Two Thousa</t>
  </si>
  <si>
    <t xml:space="preserve"> PRINTER TONER</t>
  </si>
  <si>
    <t xml:space="preserve"> Republic of the Philippines PROVINCE OF ZAMBOANGA SIBUGAY Municipality of Payao Barangay Binangonan REQUEST FOR QUOTATION ALTERNATIVE METHOD OF PROCUREMENT THRU NEGOTIATED PROCUREMENT-SMALL VALUE (Sec. 53.9 of RA 9184) Date: July 2, 2020 PR-2020-07-002 TO</t>
  </si>
  <si>
    <t xml:space="preserve"> Republic of the Philippines Province of Cavite CITY OF IMUS ooOoo SPECIAL BIDS AND AWARDS COMMITTEE 	 ________________________________________ INVITATION TO BID The City Government of Imus, Province of Cavite through its Bid and Awards Committee (BAC) inv</t>
  </si>
  <si>
    <t xml:space="preserve"> Page 1 of 7 REQUEST FOR QUOTATION (RFQ) SUPPLY AND DELIVERY OF LABORATORY CHEMICALS UNDER EMB-ERLSD-ENVIRONMENTAL LABORATORY SERVICES SECTION (ELSS) ORGANICS LABORATORY UNIT RFQ NO. EMB-S-ERLSD-ELSS LABORATORY CHEMICALS 2020-0486 1. The Department of Envi</t>
  </si>
  <si>
    <t xml:space="preserve"> Meals &amp; Snacks for the Online Capability Building on Math Investigation and Math Modelling 1 Lot 735,699.00</t>
  </si>
  <si>
    <t xml:space="preserve"> BIDS AND AWARDS COMMITTEE (BAC) INVITATION TO BID The Department of Science and Technology (DOST), Regional Office No. IX, through its Bids and Awards Committee (BAC), invites qualified bidder to apply for eligibility and to bid for the “ ICT Equipment”: </t>
  </si>
  <si>
    <t xml:space="preserve"> Republic of the Philippines BANGSAMORO AUTONOMOUS REGION IN MUSLIM MINDANAO Province  of  Lanao  del  Sur REQUEST FOR QUOTATION The Provincial Government of  Lanao del Sur through its  Bids and Awards Committee (BAC) invites accredited  suppliers  for the</t>
  </si>
  <si>
    <t xml:space="preserve"> Purchase of Health &amp; Sanitation Materials/Supplies &amp; Equipment to be used in the opening of classes</t>
  </si>
  <si>
    <t xml:space="preserve"> Please refer to attached Invitation to Bid and other documents for the details of item to bid.</t>
  </si>
  <si>
    <t xml:space="preserve"> Pamawong			pc.	2 Kasko			pc.	1 Good Lumber 2x3x20			pc.	10 Good Lumber 2x4x18			pc.	10 Good Lumber 2x2x20			pc.	12 Good Lumber 2x2x8			pc.	20 Good Lumber 1x2x8			pc.	21 Good Lumber 4x4x20			pc.	1 Good Lumber 4x4x18			pc.	2 Marine Plywood 1/2x4x8			sheet	1</t>
  </si>
  <si>
    <t xml:space="preserve"> Sweet Pepper		sachet	170 Hot Pepper		sachet	170 Cucumber		sachet	170 Tomato		sachet	170 Pechay		sachet	312 Squash		sachet	170 Carrot		sachet	170 Okra		sachet	170 Upland Kangkong		sachet	360 Eggplant		sachet	170 String Beans		sachet	170 Ampalaya		sachet	17</t>
  </si>
  <si>
    <t xml:space="preserve"> Republic of the Philippines Province of Aklan Municipality of Ibajay Barangay Unat  INVITATION TO BID “PURCHASE OF CONSTRUCTION MATERIALS &amp; SUPPLIES FOR THE CONSTRUCTION OF WATER SUPPLY SYSTEM UBC – 2020-001 The BARANGAY COUNCIL OF UNAT, through the Finan</t>
  </si>
  <si>
    <t xml:space="preserve"> Truck Rental for Delivery of Relief Goods</t>
  </si>
  <si>
    <t xml:space="preserve"> 1 unit Wooden Session Table 11 pieces Wooden Chairs 4 pieces of Sofa Bed</t>
  </si>
  <si>
    <t xml:space="preserve"> NOTICE TO THE PUBLIC  REQUEST FOR QUOTATION                                            AMP SVP-S 20-07-0094B	              The University of the Philippines, System (UPS) hereby informs the public that it will be procuring the following item/s through Sma</t>
  </si>
  <si>
    <t xml:space="preserve"> Republic of the Philippines Province of Kalinga TABUK CITY OHS COMMITTEE ON BIDS AND AWARDS INVITATION TO BID FOR THE PROCUREMENT OF DRUGS AND MEDICINES (DANGEROUS DRUGS) 1. The PROVINCIAL GOVERNMENT OF KALINGA, through the General Fund Annual Budget 2020</t>
  </si>
  <si>
    <t xml:space="preserve"> 1	Tire, tubeless, 265 x 65 R17 A/T	4	pcs</t>
  </si>
  <si>
    <t xml:space="preserve"> 1	Pl;astic crates, heavy duty	300	pcs</t>
  </si>
  <si>
    <t xml:space="preserve"> Republic of the Philippines								 Province of Ilocos Norte								 Municipality of Paoay								 								 REQUEST FOR QUOTATION								 								 					Date:		7/3/2020	 					Qoutation No:		2020-151	 THE MANAGER				 				 								 								 								         </t>
  </si>
  <si>
    <t xml:space="preserve"> 1	Vibration module No. 5767052	1	pc 2	Relay no. 5754305	2	pcs 3	Relay No. 5766955	16	pcs 4	Relay No. 5766959	2	pcs</t>
  </si>
  <si>
    <t xml:space="preserve"> Please see attached RFQ.</t>
  </si>
  <si>
    <t xml:space="preserve"> 1	Tarpaulin  diff size	1	pcs 2	Tarpaulin , 4 x 4	5	pcs 3	Tarpaulin , 4 x 8	26	pcs 4	Tarpaulin , 10 x 20	2	pcs 5	Tarpaulin 	2	pcs 6	Tarpaulin  3 x 6	5	pcs 7	Tarpaulin , 4 x 12	2	pcs 8	Tarpaulin , 3 x 6	12	pcs 9	Tarpaulin 	3	pcs 10	Tarpaulin , 4 x 8	4	pcs</t>
  </si>
  <si>
    <t xml:space="preserve"> 1	Snacks-Gen Assembly	267	pax 2	Lunch and snacks, blood letting	100	pax 3	Luncha dn Snacks- DOH Activity	20	pax 4	Lunch and snacks- Philhealth activity	20	pax 5	Lunch and snacks- Fire and earthquake	267	pax 	drill and orientation</t>
  </si>
  <si>
    <t xml:space="preserve"> 2 Units - Hire for Van; for Five (5) months - (August to December 2020)</t>
  </si>
  <si>
    <t xml:space="preserve"> INVITATION TO BID  FOR  Construction of Diversion Dam, LMC (Sta. 0+000 – 1+200), RMC (Sta. 0+000 – 0+770), Lat. A (Sta. 0+000 – 0+240) &amp; Appurtenant Structures, and Access Roads  of DULAY COMMUNAL IRRIGATION SYSTEM Marawi, Lanao del Sur Contract Ref. No.:</t>
  </si>
  <si>
    <t xml:space="preserve"> Improvement of Day Care Center @ Sta. Maria, Lal-lo, Cagayan</t>
  </si>
  <si>
    <t xml:space="preserve"> Construction of footbridge @ Brgy. Paranum, Lal-lo, Cagayan</t>
  </si>
  <si>
    <t xml:space="preserve"> IMPROVEMENT OF MULTI-PURPOSE BUILDING @ BRGY. BANGAG, LAL-LO, CAGAYAN</t>
  </si>
  <si>
    <t xml:space="preserve"> QTY   UNIT   ITEMS &amp; DESCRIPTION 25     PAX    MEALS &amp; SNACKS (FOR DAY 1) 25     PAX    MEALS &amp; SNACKS (FOR DAY 2)</t>
  </si>
  <si>
    <t xml:space="preserve"> INVITATION TO BID FOR THE SUPPLY and  DELIVERY of  NUTRITIONAL SUPPLEMENTS 1.  The Cagayan Valley Medical Center (CVMC), intends to apply the sum Two Million Seven Hundred Twenty Two Thousand Pesos (Php   2,722,000.00 ) being the Approved Budget for the C</t>
  </si>
  <si>
    <t xml:space="preserve"> A4 LETTERHEAD</t>
  </si>
  <si>
    <t xml:space="preserve"> 1	Technological Servicing/ repair and	1	lot 	installation of parts of Shimadzu Radspeed MF		 2	UDCONT-2002X Assy- 502-22500	1	pc 	Replace by new part Num 565-11900</t>
  </si>
  <si>
    <t xml:space="preserve"> SEMI-EXPENDABLE ICT EQUIPMENT</t>
  </si>
  <si>
    <t xml:space="preserve"> Various Production Equipment and Accessories    3  UNI Video Lights, Portable, LED with battery pack (NP970/960)  1  UNI Powered Studio Monitors  1  UNI USB MIDI Controller  1  PC 6-Inch Clamp On Microphone Pop Filter with Flexible Gooseneck and Metal Sta</t>
  </si>
  <si>
    <t xml:space="preserve"> 1	Photocopier	1	unit 	600 x 600 dpi, 256 greyscale		 	13 capable		 	22 ppm		 	256 MB		 	laser, mono component</t>
  </si>
  <si>
    <t xml:space="preserve"> TECHNICAL EDUCATION AND SKILLS DEVELOPMENT AUTHORITY						 ARTECHE NATIONAL AGRICULTURAL SCHOOL						 						TESDA-OP-AS-04-F02 						Rev.No.00-03/01/17 REQUEST FOR QUOTATION						 					Date:	6/26/2020 					RFQ#	2020-06-025 					P.R.#	2020-06-025 						 Na</t>
  </si>
  <si>
    <t xml:space="preserve"> Parcellary Survey of various Road Section Net L=42.671 km</t>
  </si>
  <si>
    <t xml:space="preserve"> Request for Expression of Interest (REOI)  for the  CONSULTANCY SERVICES FOR THE CONDUCT OF FEASIBILITY STUDY OF PROPOSED CONSTRUCTION OF BY-PASSES/DIVERSION ROADS, BANI-BOLINAO BYPASS ROAD (REGION I) 1.	The DPWH-Regional Office I through Preliminary Deta</t>
  </si>
  <si>
    <t xml:space="preserve"> 1	Flower wreath/Bouquet	60	pcs</t>
  </si>
  <si>
    <t xml:space="preserve"> REPAIR AND MAINTENANCE BUILDING</t>
  </si>
  <si>
    <t xml:space="preserve"> NOTICE OF ELIGIBILITY AND SHORTLISTING 1.	The Department of Tourism (hereinafter called “Procuring Entity” has received financing (hereinafter called “funds”) from General Appropriations Act 2020 (hereinafter called the “Funding Source”) toward the cost o</t>
  </si>
  <si>
    <t xml:space="preserve"> POWER TOOL KIT COMPLETE POWER/ELECTRICAL KIT</t>
  </si>
  <si>
    <t xml:space="preserve"> 1 unit temperature humidity meter - 20,000 1 unit moisture meter - 25,000 1 unit grain moisture meter - 50,000</t>
  </si>
  <si>
    <t xml:space="preserve"> INVITATION TO BID FOR THE Upgrading of Local Access Road in Poblacion (Concreting of Atilano St. to Paragas St. to Lopez Jaena St.) – Construction of line canal with concrete cover 1. The Local Government Unit of Margosatubig, Zamboanga del Sur, intends t</t>
  </si>
  <si>
    <t xml:space="preserve"> SCOPE OF WORK 1. Authorization Letter will be given to the winning bidder to handle and process all pertinent documents and fees needed for the conduct of the tree cutting activity to include but not limited to the following services: a. Processing of all</t>
  </si>
  <si>
    <t xml:space="preserve"> REPAIR AND  MAINTENANCE MOTOR VEHICLE</t>
  </si>
  <si>
    <t xml:space="preserve"> Kamatis (100g/ tin) ----- 4 tin Talong (100g/ tin) ----- 4 tin Siling panigang (100g/ tin) ----- 4 tin Siling maanghang (100g/ tin) ----- 4 tin Ampalaya (250g/ tin) -----4 tin Okra (1kg/ bag) ----- 4 bags Pole sitao (1kg/ bag) ----- 4 bags Bush sitao (1kg</t>
  </si>
  <si>
    <t xml:space="preserve"> REPAIR AND MAINTENANCE MOTOR VEHICLE</t>
  </si>
  <si>
    <t xml:space="preserve"> Garbage Can Zinc plated steel L-44, W-44, H-93 cm</t>
  </si>
  <si>
    <t xml:space="preserve"> Republic of the Philippines										 BIDS AND AWARDS COMMITTEE										 Province of Iloilo										 										 INVITATION TO BID										 Purchase and Delivery of Construction Materials for the Construction of Water System in Camambugan Elementary Sch</t>
  </si>
  <si>
    <t xml:space="preserve"> Procurement of one unit desktop and other ICT equipment and supplies.</t>
  </si>
  <si>
    <t xml:space="preserve"> Republic of the Philippines Province of Guimaras OFFICE OF THE BIDS AND AWARDS COMMITTEE INVITATION TO BID FOR    SUPPLY AND DELIVERY OF MEDICAL EQUIPMENT Bid Ref. No. 2020-06-333 Re-Bid 1.	The Province of Guimaras , through the 107-05-110 Capital Outlay </t>
  </si>
  <si>
    <t xml:space="preserve">                                                                   MS. NGUYEN THI MAI THANH Director Golden Jade Trading Service Co., Ltd. 13D, Phan Chu Trinh Street Ward 02, Binh Thanh District Ho Chi Minh City, Vietnam Dear Ms. Nguyen Thi Mai Thanh: 1.	T</t>
  </si>
  <si>
    <t xml:space="preserve"> FIRST QUARTER PROCUREMENT 2020</t>
  </si>
  <si>
    <t xml:space="preserve"> 1. The Municipality of Nabas, Aklan through its local budget approved by the Sanggunian, intends to apply the sum of Three Hundred Seventy Thousand One Hundred Fifty Eight Pesos and 80/100 only (P 370,158.80) being the Approved Budget for the Contract (AB</t>
  </si>
  <si>
    <t xml:space="preserve"> various Drugs and Medicines</t>
  </si>
  <si>
    <t xml:space="preserve"> Pencil: - 21.00 pcs Printer Ink: Brother BTD60BK  Printer Ink: Brother BT5000 Magenta Printer Ink: Brother BT5000 Cyan Printer Ink: Brother BT5000 Yellow Printer Ink: Epson 664 Black  Stamp Pad: Blue #1  Stamp Pad Ink: Blue 30ml  Marking pen ink: Black Hi</t>
  </si>
  <si>
    <t xml:space="preserve"> Glucose: 1x200ml  Cholesterol: HDL 2+2x50ml  Microtainer: Lavander Top 0.5ml 100's  Control Serum: Level I 5x5ml Control Serum: Level II 5x5ml  Triglycerides: 4x50ml Urea/BUN color: 4x50ml  Uric Acid: 1x200ml  Urine Strips: 10 SG  Diluent: 20 liter  Rinse</t>
  </si>
  <si>
    <t xml:space="preserve"> Procurement of Fluids</t>
  </si>
  <si>
    <t xml:space="preserve"> Procurement of Supplies</t>
  </si>
  <si>
    <t xml:space="preserve"> 1. The Municipality of Nabas, Aklan through its local budget approved by the Sanggunian, intends to apply the sum of One Hundred Fifty Thousand Pesos and 00/100 only (P 150,000.00) being the Approved Budget for the Contract (ABC) to payment under the cont</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</si>
  <si>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</si>
  <si>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Please adhere to all the dates/deadlines specified in the Request for Expression of Interest.</t>
  </si>
  <si>
    <t xml:space="preserve"> School and Office Supplies of Merangeran ES for the month of March-June 2020</t>
  </si>
  <si>
    <t xml:space="preserve"> Procurement of air coolers</t>
  </si>
  <si>
    <t xml:space="preserve"> Approved Budget: Php 75,000.00 Notepad (Corporate) - 1500 pcs  UNIT PRICE - 50.00 TOTAL COST - 75,000.00 please see attached design</t>
  </si>
  <si>
    <t xml:space="preserve"> Masking tape 24mm</t>
  </si>
  <si>
    <t xml:space="preserve"> Ballpen: Black 0.5  Ballpen: Green 0.5  Ballpen: Blue 0.5  Ballpen: Black  Ballpen: Blue Ballpen: Gel ink 1.0  Fastener: -  Bond Paper: Long, 8.5x13, S-20  Bond Paper: Short, 8.5x11 S-20  Pencil: Lead w/ Eraser  Pentel Pen: Black, Fine Canned Goods: (Box)</t>
  </si>
  <si>
    <t xml:space="preserve"> 18watts,liner tubular</t>
  </si>
  <si>
    <t xml:space="preserve"> Masking tape</t>
  </si>
  <si>
    <t xml:space="preserve"> All purpose glue</t>
  </si>
  <si>
    <t xml:space="preserve"> Bondpaper</t>
  </si>
  <si>
    <t xml:space="preserve"> Light bulb led 7watts</t>
  </si>
  <si>
    <t xml:space="preserve"> Office and school supplies</t>
  </si>
  <si>
    <t xml:space="preserve"> PROCUREMENT OF GOODS- Vitamin C plus</t>
  </si>
  <si>
    <t xml:space="preserve"> Office and schoolsupplies</t>
  </si>
  <si>
    <t xml:space="preserve"> Republic of the Philippines PROVINCE OF NUEVA VIZCAYA Municipality of Alfonso Castañeda  BIDS &amp; AWARDS COMMITTEE FOR GOODS &amp; SERVICES Invitation to Bid for  Supply &amp; Delivery of Hardware and Construction Supplies 1.	The Local Government of Alfonso Casta</t>
  </si>
  <si>
    <t xml:space="preserve"> Please adhere to the dates/deadlines specified in the Request for Expression of Interest.</t>
  </si>
  <si>
    <t xml:space="preserve"> Face mask cloth</t>
  </si>
  <si>
    <t xml:space="preserve"> Ballpen: (Black, Blue)  Battery: AA 2's  Bond Paper: Long, 8.5x13  Bond Paper: Short, 8.5x11 Printer Ink: HP 704 Black  Correction Tape: -  Envelope: Brown, Long  Envelope: Brown, Short  Folder: long 14pts  Scotch Tape: 1" Big  Stamp Pad Ink: -  Whiteboar</t>
  </si>
  <si>
    <t xml:space="preserve"> Thermal scanner</t>
  </si>
  <si>
    <t xml:space="preserve"> Galloon with faucet</t>
  </si>
  <si>
    <t xml:space="preserve"> Cleaner toilet bowl</t>
  </si>
  <si>
    <t xml:space="preserve"> Megaphone</t>
  </si>
  <si>
    <t xml:space="preserve"> Scale tape</t>
  </si>
  <si>
    <t xml:space="preserve"> Ink</t>
  </si>
  <si>
    <t xml:space="preserve"> Digital compact 12 digits calculator</t>
  </si>
  <si>
    <t xml:space="preserve"> Table top tape dispenser 24mmtape</t>
  </si>
  <si>
    <t xml:space="preserve"> Bottle hand soap</t>
  </si>
  <si>
    <t xml:space="preserve"> Flash drive 16GB</t>
  </si>
  <si>
    <t xml:space="preserve"> External hard drive</t>
  </si>
  <si>
    <t xml:space="preserve"> DVD Rewritable</t>
  </si>
  <si>
    <t xml:space="preserve"> Non rig plastic with detachable handle</t>
  </si>
  <si>
    <t xml:space="preserve"> Aerosol type 400-550 grams</t>
  </si>
  <si>
    <t xml:space="preserve"> All purpose powder 1kg</t>
  </si>
  <si>
    <t xml:space="preserve"> Folder document size</t>
  </si>
  <si>
    <t xml:space="preserve"> Soft broom tambo</t>
  </si>
  <si>
    <t xml:space="preserve"> Additional CHB  0.40mx33.20m   Additional beam &amp; Column   Steel works (Partial Grills 18m only)</t>
  </si>
  <si>
    <t xml:space="preserve"> 1. Construction of six (6) footings and six (6) columns at 1.5 m      2. Construction of grade beams</t>
  </si>
  <si>
    <t xml:space="preserve"> Republic of the Philippines Province of Northern Samar MUNICIPALITY OF SAN ANTONIO REQUEST FOR QUOTATION Date May 28, 2020 _______________________ _______________________ Sir/Madam: Please quote your lowest price for the following items enumerated below, </t>
  </si>
  <si>
    <t xml:space="preserve"> Envelope: Short  Ballpen: Black  Pentel Pen: Super Color Marker  Copier Machine ink: -  Toner: Kyocera TK479  Bond Paper: Short 8.5x11, S-20 Bond Paper: Long, 8.5x13, S-20  Printer Ink: Epson 664 Cyan  Printer Ink: Epson 664 Magenta</t>
  </si>
  <si>
    <t xml:space="preserve"> 1. 296 PIECES WRITING PAD 80s 2. 94 PIECES INTERMEDIATE PAPER 80s 3. 296 PIECES NOTEBOOK WRITING 80s 4. 94 PIECES NOTEBOOK COMPOSITION 80s 5. 209 PIECES BALLPEN 6. 181 PIECES PENCIL #2 7. 1 PIECE DIGITAL CAMERA 03000 BODY WITH 18-55mm KIT LENS 8. 80 METER</t>
  </si>
  <si>
    <t xml:space="preserve"> Procurement of 1 unit Vehicle</t>
  </si>
  <si>
    <t xml:space="preserve"> Paste red 2kg</t>
  </si>
  <si>
    <t xml:space="preserve"> ITEM	QUANTITY	UNIT	A R T I C L E S 									 1	6	units	CCTV Camera Outdoor									 2	6	rolls	RG 6									 3	3	pcs	Power Supply									 4	15	pcs	BNC Connector									 5	15	pcs	Refill of Fire Extinguisher 10lbs									 6	5	rms	Bondpaper Sub 20 long				</t>
  </si>
  <si>
    <t xml:space="preserve"> Broom stick -tambo</t>
  </si>
  <si>
    <t xml:space="preserve"> Footbath rug</t>
  </si>
  <si>
    <t xml:space="preserve"> IEC Materials ----- 2,000 Pcs.</t>
  </si>
  <si>
    <t xml:space="preserve"> Procurement of Swimming Pool Equipment and supplies to be used at Jose V. Yap Sports and Recreational Complex portable pool pump with filter flat push cart vacuum hose 50ft telescopic handle ball valve 1 1/2 pvc ball valve 1 2/2 pvc elbow 2" water test ki</t>
  </si>
  <si>
    <t xml:space="preserve"> INVITATION TO BID FOR THE SUPPLY AND DELIVERY OF STEEL CABINET   1.	The City of Iloilo, through the Capital Outlay intends to apply the sum of Eighty-Two Thousand Nine Hundred Sixty-Nine Pesos Eighty Centavos (P82,969.80) being the Approved Budget for the</t>
  </si>
  <si>
    <t xml:space="preserve"> INVITATION TO BID FOR  SUPPLY &amp; DELIVERY OF VARIOUS CONSTRUCTION MATERIALS FOR THE CONSTRUCTION OF HEALTH CENTER EXTENSION  BRGY. PUELAY, VILLASIS, PANGASINAN 1.	The Local Government of Villasis, Pangasinan, thru 20% devt Fund, intends to apply the sum of</t>
  </si>
  <si>
    <t xml:space="preserve"> Repair and maintenance of (1) Unit For Ranger with Plate No. (SHH 451) and (1) unit Mitsubishi L300 FB van with CS no. (NJ9096) (1) Unit For Ranger with Plate No. (SHH 451)  (1) unit Mitsubishi L300 FB van with CS no. (NJ9096) Labor for: Change Oil REplac</t>
  </si>
  <si>
    <t xml:space="preserve"> City Government of Manila INVITATION TO BID  NO. 2020-06-104 Preventive Maintenance Services for Various Hospital Equipment for 2020 1. The City Government of Manila, through the General Fund CY 2020 –Repair and Maintenance-Machinery and Equipment intends</t>
  </si>
  <si>
    <t xml:space="preserve"> Materials Only: 1. 41  pcs CHB 4" 2. 600 pcs CHB 6" 3. 65 bags Portland Cement 4. 9 cu.m. Sand 5. 37 pcs 10mm diameter DRSB 6. 3 kls. Tie wire 7. 2 roll Flexible hose,1/2" 8. 13 pcs PVC Utility box,2"x4" 9. 17 pcs PVC Junction Box,4"x4" with cover 10. 4 s</t>
  </si>
  <si>
    <t xml:space="preserve"> Procurement of PMS for the repair and maintenance of (1) unit Ford Everest with plate no. (SLF 376) and (5) units Foton Ambulance/Gratour Midi Truck/Mini van with CS no. (GB7605, GC1824,GC1790, GC113 and GC 1541) 1 unit Foton Gratour Mini Van with CS no. </t>
  </si>
  <si>
    <t xml:space="preserve"> Supply and Delivery of Snacks for the implementation of Kits for Kids 7th Wave Snacks</t>
  </si>
  <si>
    <t xml:space="preserve"> Provision of Shelves for Bids and Awards Committee Stock Room at Tarlac Capitol, San Vicente, Tarlac City various materials</t>
  </si>
  <si>
    <t xml:space="preserve"> INVITATION TO BID FOR THE SUPPLY AND DELIVERY OF TOOTHBRUSH   1.	The City of Iloilo, through the General Fund intends to apply the sum of Eighty-Two Thousand Four Hundred Seventy-Seven Pesos (P82,477.00) being the Approved Budget for the Contract (ABC) to</t>
  </si>
  <si>
    <t xml:space="preserve"> INVITATION TO BID FOR THE SUPPLY AND DELIVERY OF MEDICAL AND LABORATORY SUPPLIES   1.	The City of Iloilo, through the LDRRMF CY 2020 intends to apply the sum of Two Million Seven Hundred Thirty-Three Thousand Three Hundred Ninety-One Pesos (P2,733,391.00)</t>
  </si>
  <si>
    <t xml:space="preserve"> Supply and Delivery of T-shirts for Identified Learners of different qualification of Project HOPE and PGT Skills Training ans Assessment Centers Printed T-shirts</t>
  </si>
  <si>
    <t xml:space="preserve"> NOTICE TO THE PUBLIC  REQUEST FOR QUOTATION                                                 AMP SVP-S NO: 20-06-0159D	              The University of the Philippines, System (UPS) hereby informs the public that it will be procuring the following item/s th</t>
  </si>
  <si>
    <t xml:space="preserve"> INVITATION TO BID FOR THE SUPPLY AND DELIVERY OF FIELD SUPPLIES   1.	The City of Iloilo, through the General Fund intends to apply the sum of Eighty-Two Thousand Four Hundred Forty Pesos (P82,440.00) being the Approved Budget for the Contract (ABC) to pay</t>
  </si>
  <si>
    <t xml:space="preserve"> Supply and Delivery of Training Materials and Consumables for the different qualification of Community-Based Training Program, Project Hope and PGT Skills Training and Assessment Center Dressmaking Massage Theraphy Practical Electricity Shielded Metal arc</t>
  </si>
  <si>
    <t xml:space="preserve"> INVITATION TO BID FOR THE SUPPLY AND DELIVERY OF OFFICE SUPPLIES   1.	The City of Iloilo, through the SEF Budget CY 2020 intends to apply the sum of One Million Five Hundred One Thousand Seven Hundred Sixty Pesos (P1,501,760.00) being the Approved Budget </t>
  </si>
  <si>
    <t xml:space="preserve"> 5 roll Adhesive Tape etc.</t>
  </si>
  <si>
    <t xml:space="preserve"> Bar 140grams</t>
  </si>
  <si>
    <t xml:space="preserve"> INVITATION TO BID FOR  SUPPLY &amp; DELIVERY OF VARIOUS CONSTRUCTION MATERIALS FOR THE CONSTRUCTION OF BARRACA MULTI-PURPOSE HALL PHASE IV, BRGY. BARRACA, VILLASIS, PANGASINAN 1.	The Local Government of Villasis, Pangasinan, thru 20% Devt Fund, intends to app</t>
  </si>
  <si>
    <t xml:space="preserve"> Invitation to Bid  For the Rehabilitation of All Gabaldon Building at Hibao-an Elementary School, Mandurriao, Iloilo City 1.	The City of Iloilo, through the SEF Capital Outlay, SB No. 2, CY2019 intends to apply the sum of One Hundred Fifty Thousand Pesos </t>
  </si>
  <si>
    <t xml:space="preserve"> Procurement of Supplies and Clinical Materials for use at the Provincial Veterinary Offices Implementation of the 1-7-10 Protocol during Outbreaks of African Swine Fever (ASF) Purple Top Cacutainer (100 pcs per set) 3ml disposable syringe (100 pcs per box</t>
  </si>
  <si>
    <t xml:space="preserve"> Invitation to Bid  For the Construction/Rehabilitation of Existing Drainage System at Brgy. Taft North, Mandurriao, Iloilo City 1.	The City of Iloilo, through the 20% Development Fund, CY2019 intends to apply the sum of Five Hundred Thousand Pesos (Php 50</t>
  </si>
  <si>
    <t xml:space="preserve"> INVITATION TO BID IB No. GS-2020 – 084 Vehicle Parts and Accessories for use of Various Provincial Equipment 1. The  Provincial  Government  of  Oriental  Mindoro  (PGOM)  through  the  General Fund intends  to  apply  the  sum  of  Three Million Six Hund</t>
  </si>
  <si>
    <t xml:space="preserve"> INVITATION TO BID IB No. GS-2020 – 058-A Construction Materials and Supplies for use in the Construction of Water System at Brgy. Burbuli, Baco, Oriental Mindoro/ Brgy. Poblacion Baco, Oriental Mindoro/ Brgy. Panggalaan, Calapan City/ Brgy. Pambisan Malak</t>
  </si>
  <si>
    <t xml:space="preserve"> Invitation to Bid  For the Construction/Rehabilitation of Existing Drainage System at Brgy. Tabucan, Mandurriao, Iloilo City 1.	The City of Iloilo, through the 20% Development Fund, CY2019 intends to apply the sum of Five Hundred Thousand Pesos (Php 500,0</t>
  </si>
  <si>
    <t xml:space="preserve"> INVITATION TO BID FOR THE SUPPLY AND DELIVERY OF VARIOUS EQUIPMENTS   1.	The City of Iloilo, through the Supplemental Budget No. 4 CY 2019 intends to apply the sum of Two Hundred Seventy-Three Thousand Eight Hundred Sixty Pesos (P273,860.00) being the App</t>
  </si>
  <si>
    <t xml:space="preserve"> Invitation to Bid  For the Construction/Rehabilitation of Existing Drainage System at Brgy. Kahirupan, City Proper, Iloilo City 1.	The City of Iloilo, through the 20% Development Fund, CY2019 intends to apply the sum of Five Hundred Thousand Pesos (Php 50</t>
  </si>
  <si>
    <t xml:space="preserve"> Supply of Fuel for the Heavy Equipment Operation Training  and Competency Assesment of PGT Skills Training and Assessment Center Fuel (DIesel)</t>
  </si>
  <si>
    <t xml:space="preserve"> 28 pcs. wheelchair &gt; solid rubber spoke wheels does not become folding for convinient storage &gt; with padded arm rest, leg support and foot plates &gt; canvas cloth upholstery seat and back rest for added comfort, free ventilation &gt; net weight of 19kg, 19" wi</t>
  </si>
  <si>
    <t xml:space="preserve"> Procurement of Hospital equipment for official use at Congressman Enrique "Henry"M. Cojuangco Memorial District Hospital showcase chiller 22CU FT SUD 220 A 2 DOOR Chest Freezer 22CU FT FC -22GDF</t>
  </si>
  <si>
    <t xml:space="preserve"> 1135335 pages Specs:  1. A4 Size  2. Bookbinded  3. Sorting   4. white paper 70gsm  5.one page only not back to back</t>
  </si>
  <si>
    <t xml:space="preserve"> INVITATION TO BID June 29, 2020 The Eastern Visayas Regional Medical Center, through its Bids and Awards Committee (BAC A) invites suppliers/manufacturers/distributors to bid for the hereunder project:  Item/Description	Approved Budget for the Contract (A</t>
  </si>
  <si>
    <t xml:space="preserve"> July 1, 2020                                                                        	             Solicitation No.: RFQ2020-07-03 REQUEST FOR QUOTATION The Fertilizer and Pesticide Authority, through its Bids and Awards Committee (BAC), invites interested</t>
  </si>
  <si>
    <t xml:space="preserve"> July 1, 2020                                                                        	             Solicitation No.: RFQ2020-07-02 REQUEST FOR QUOTATION The Fertilizer and Pesticide Authority, through its Bids and Awards Committee (BAC), invites interested</t>
  </si>
  <si>
    <t xml:space="preserve"> Republic of the Philippines Province of Romblon MUNICIPALITY OF ALCANTARA -o0o- Invitation to Bid for   CONSTRUCTION OF SAN ROQUE RIVER CONTROL San Roque, Alcantara, Romblon The Municipal Government of Alcantara, Romblon through the  20% Development Fund </t>
  </si>
  <si>
    <t xml:space="preserve"> Procurement of  Computer equipment for official use of the Provincial Administrator Office Computer Desktop Computer Laptop External Hard Drive Flashdrive 16GB</t>
  </si>
  <si>
    <t xml:space="preserve"> Republic of the Philippines Province of South Cotabato Municipality of Surallah BIDS AND AWARDS COMMITTEE Tel. No. (083) 2383-262 INVITATION TO BID FOR THE PROVISION OF MATERIALS &amp; LABOR FOR DRILLING WORKS OF POTABALE WATER SUPPLY (PWS) AT LIBERTAD NATION</t>
  </si>
  <si>
    <t xml:space="preserve"> SCOPE OF WORK: &gt;Initial Massive Treatment and Follow-up Treatment A. Termite Treatment Structural 1. Cordoning Method 2. Slab Injection 3. Termite Queen Removal 4. Soil Treatment 5. Wood Drenching 6. Spot Treatment B. Non-Structural 1. Wet and Air Space S</t>
  </si>
  <si>
    <t xml:space="preserve"> Republic of the Philippines Province of Romblon MUNICIPALITY OF ALCANTARA -o0o- Invitation to Bid for   REHABILITATION OF MADALAG RIVER CONTROL Madalag, Alcantara, Romblon The Municipal Government of Alcantara, Romblon through the  20% Development Fund 20</t>
  </si>
  <si>
    <t xml:space="preserve"> Printing of Stickers for delivery trucks and vans for use at Treasury  Office Stickers</t>
  </si>
  <si>
    <t xml:space="preserve"> INVITATION TO BID FOR  Procurement of 13,518 Liters of Fuel (Diesel) The Municipality of Banaybanay, through the 2020 Annual Budget intends to apply the sum of Five Hundred Sixty-Seven Thousand Seven Hundred Fifty-Six Pesos (Php 567,756.00) being the Appr</t>
  </si>
  <si>
    <t xml:space="preserve"> PR No. 				AF 2020-06-033								 												 	Please quote your lowest price on the item/s listed below, subject to the General Conditions, 											 stating the shortest time of delivery and submit your quotation duly signed by  your authorized 					</t>
  </si>
  <si>
    <t xml:space="preserve"> 1.	The National Historical Commission of the Philippines (NHCP), through the General Appropriations Act 2020 (GAA) intends to apply the sum of Php 1,599,131.45 being the Approved Budget for the Contract (ABC) to payments under the contract for: Maintenanc</t>
  </si>
  <si>
    <t xml:space="preserve"> See Program of Works ACTIVITIES SCHEDULE 1. Posting on Philgeps; - July 1 to July 7, 2020 2. Issuance of Bid Documents: July 4, 2020 3.Submission/Opening of Bids: - July 16, 2020 at 11:00 A.M. at Sablig Barangay Hall 4. Evaluation of Bids: - July 16, 2020</t>
  </si>
  <si>
    <t xml:space="preserve"> Bicol Regional Training and Teaching Hospital Legazpi City INVITATION TO BID FOR  Treatment, Storage and Disposal of Hazardous Wastes IB No.06-2020 1.	The Bicol Regional Training and Teaching Hospital (BRTTH), through the 2020 Hospital Income  intends to </t>
  </si>
  <si>
    <t xml:space="preserve"> 1.	The Municipality of Esperanza, through the Municipal Fund intends to apply the sum of Seven Hundred Thousand Pesos (Php 700,000.00) being the Approved Budget for the Contract (ABC) to payments under the contract for Improvement of SB Building Phase II </t>
  </si>
  <si>
    <t xml:space="preserve"> ICT EQUIPMENT- Php 103,645.00</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</si>
  <si>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</si>
  <si>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PR No. 				AF 2020-06-034							 											 	Please quote your lowest price on the item/s listed below, subject to the General Conditions, 										 stating the shortest time of delivery and submit your quotation duly signed by  your authorized 								</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</si>
  <si>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</si>
  <si>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REQUEST FOR QUOTATION Price Quotation No.: CSWD-SSVP-RFQ2020-06-003 The Castillejos Water District through its Bids &amp; Awards Committee will undertake a procurement transaction for the SUPPLY AND DELIVERY OF FLOW METERS FOR REPLACEMENT OF MALFUNCTIONING UN</t>
  </si>
  <si>
    <t xml:space="preserve"> PR No. 				AF 2020-06-036							 											 	Please quote your lowest price on the item/s listed below, subject to the General Conditions, 										 stating the shortest time of delivery and submit your quotation duly signed by  your authorized 								</t>
  </si>
  <si>
    <t xml:space="preserve"> The Municipality of Limay, through its Bids and Awards Committee (BAC) invites registered contractors to apply for eligibility and if found eligible, to bid for the hereunder project/contract: Project/Contract:   CONSTRUCTION OF COVERED CANAL AT JUAN REYE</t>
  </si>
  <si>
    <t xml:space="preserve"> Garbage Bag: 11x11x24 Black  Garbage Bag: 11x11x24 Green  Garbage Bag: 11x11x24 Yellow  Garbage Bag: 18.5x18.5x40 Black  Garbage Bag: 18.5x18.5x40 Green Garbage Bag: 18.5x18.5x40 Yellow</t>
  </si>
  <si>
    <t xml:space="preserve"> Request for DATA FOLDER Please see attached RFQ form for more details Please submit your quotations through email to psu.pcoo@gmail.com</t>
  </si>
  <si>
    <t xml:space="preserve"> INVITATION TO BID FOR  SUPPLY &amp; DELIVERY OF VARIOUS CONSTRUCTION MATERIALS FOR THE CONCRETING OF FARM TO MARKET ROAD WITH CONSTRUCTION OF CHB LINED CANAL &amp; INSTALLATION OF 24” RC PIPES FOR CROSS DRAINAGE SYSTEM  TONDO LOOP ROAD, BRGY. UNZAD, VILLASIS, PAN</t>
  </si>
  <si>
    <t xml:space="preserve"> Syringe Insulin: g-29, 1cc 100's  Feeding Tube: Fr. 08 Diaper: Adult, Medium 10's  IV Primeline Set: Adult  Dosifix: (Soluset)  IV Set: Pedia  Specimen/Sputum cup: -  Examination Gloves: Small  micropore: 1 inch  Surgical Gloves: 6.5, 50's  Surgical Glove</t>
  </si>
  <si>
    <t xml:space="preserve"> Garbage Bag: 18.5x18.5x40 Black  Garbage Bag: 18.5x18.5x40 Green  Garbage Bag: 18.5x18.5x40 Yellow  Garbage Bag: 11x11x24 Black  Garbage Bag: 11x11x24 Green  Garbage Bag: 11x11x24 Yellow</t>
  </si>
  <si>
    <t xml:space="preserve"> July 1, 2020                                                                        	             Solicitation No.: RFQ2020-07-01 REQUEST FOR QUOTATION The Fertilizer and Pesticide Authority, through its Bids and Awards Committee (BAC), invites interested</t>
  </si>
  <si>
    <t xml:space="preserve"> PR No. 				AF 2020-06-039							 											 	Please quote your lowest price on the item/s listed below, subject to the General Conditions, 										 stating the shortest time of delivery and submit your quotation duly signed by  your authorized 								</t>
  </si>
  <si>
    <t xml:space="preserve"> PR No. 				AF 2020-06-038							 											 	Please quote your lowest price on the item/s listed below, subject to the General Conditions, 										 stating the shortest time of delivery and submit your quotation duly signed by  your authorized 								</t>
  </si>
  <si>
    <t xml:space="preserve"> Purchase of four(4) units of ambulance</t>
  </si>
  <si>
    <t xml:space="preserve"> Purchase of materials for Rehabilitation of Barangay Hall at Brgy. Ubang, Capalonga, Cam. Norte</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</si>
  <si>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</si>
  <si>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PR No. 				AF 2020-06-037							 											 	Please quote your lowest price on the item/s listed below, subject to the General Conditions, 										 stating the shortest time of delivery and submit your quotation duly signed by  your authorized 								</t>
  </si>
  <si>
    <t xml:space="preserve"> INVITATION TO APPLY FOR ELIGIBILITY AND TO BID            THE BARANGAY LOCAL GOVERNMENT UNIT  OF PALALIAN,KALAWIT,ZAMBOANGA DEL NORTE,through its Bids and Awards Committee ( BAC),invites suppliers/manufacturers/distributors to bid for the hereunder projec</t>
  </si>
  <si>
    <t xml:space="preserve"> 1.) 11 UNIT OF PHOTOCOPIER WITH PRINTER AND SCANNER SPECIFICATIONS: Printer Type : Business Inkjet RIPS Printer (Print, Scan, Copy, ADF and Fax) Maximum Resolution : 480x1200 dpi Copy Paper Size Flatbed : Letter, A4, B5, A5, A6, 16K, 13x18cm, 16:9, 10x15c</t>
  </si>
  <si>
    <t xml:space="preserve"> Date: June 30 2020 End user: Diversified Individual Projects for Parents and Guardians of Child Laborers Opening of RFQ: June 6, 2020 10:00 AM  Venue: BAC Office, Ground Floor,  Municipal Hall, Dolores, Eastern Samar 136 sacks Commercial Rice</t>
  </si>
  <si>
    <t xml:space="preserve"> 10 PCS 1/4X4X8 PLYWOOD (TWO USES) 410 BD.FT. COCO LUMBER (HREE USES) FOR FORMS 5 KGS COMMON WIRE NAILS 55 PCS 16MM DIA RSB 12 PCS 12MM DIA. RSB 80 PCS 10MM DIA RSB 18 KGS #16 TIE WIRE 5 KGS HACKSAW 153 BAGS PORTLAND CEMENT 18 CU.M GRAVEL 9 CU.M SAND 19 PC</t>
  </si>
  <si>
    <t xml:space="preserve"> Republic of the Philippines												 City of San Carlos												 Negros Occidental												 												 			INVITATION TO BID							FOR SALE	 			PURCHASE REQUEST NO: 31-20-06-0728			P 1,966.00	 Sealed bids for quotation of prices will be received</t>
  </si>
  <si>
    <t xml:space="preserve"> Shopping . . . .</t>
  </si>
  <si>
    <t xml:space="preserve"> Republic of the Philippines												 City of San Carlos												 Negros Occidental												 												 			INVITATION TO BID							FOR SALE	 			PURCHASE REQUEST NO: 1-20-06-0760			P 1,330.00	 Sealed bids for quotation of prices will be received </t>
  </si>
  <si>
    <t xml:space="preserve"> INVITATION TO BID     20-081 Name of Project	:	Brand New Pick-Up for Laguna Traffic Management Office (LTMO) Operations Division  Location	:	Sta. Cruz, Laguna   Brief Description	:	2.4 Diesel, 4 Cylinder, 16-Valve; Notice of Award to be Issued Approved Bu</t>
  </si>
  <si>
    <t xml:space="preserve"> The National Commission on Indigenous Peoples through its Bids and Awards Committee (BAC), will undertake procurement of civil works for the Construction of Indigenous Peoples Education (IPEd) Center in Betwagan, Sadanga, Mountain Province with an approve</t>
  </si>
  <si>
    <t xml:space="preserve"> 180 reactions DNA sequencing 90 samples PCR product purification</t>
  </si>
  <si>
    <t xml:space="preserve"> INVITATION TO BID     20-082 Name of Project	:	Pick-Up Rescue Vehicle for Emergency Response Operations of Provincial Disaster Risk Reduction Management Office (PDRRMO)  Location	:	Sta. Cruz, Laguna   Brief Description	:	2.4L Diesel, 4-Cylinder, 16-Valve;</t>
  </si>
  <si>
    <t xml:space="preserve"> The Local Government Unit of Tabontabon Leyte, through its Bids and Awards Committee (BAC), will undertake Negotiated Procurement-Failure of Bidding for RFQ # 2020-46, Supply and Delivery of Construction Materials for the Repair of District Auditorium in </t>
  </si>
  <si>
    <t xml:space="preserve"> REQUEST  FOR  QUOTATION RFQ NO. 2020-06-26-(8098) 								   		PR No. 2020-406 									    		                   June 26, 2020        Date Company Name:	__________________________________________ Address		:	__________________________________________ Pleas</t>
  </si>
  <si>
    <t xml:space="preserve"> 1	Finger Print Kit	1	kit 	Specifcations: 1 injection molded fingerprint cardholder, 20 clean towelettes, 1 porelon fingerprint pad, Polypropelyne accessory case, copolymer black molded carry case, textured with folding handle and locking latches, measures</t>
  </si>
  <si>
    <t xml:space="preserve"> INVITATION TO BID      20-080 Name of Project	:	Air Conditioning Units for Legislative Building (New Sangguniang Panlalawigan Building) Location	:	Sta. Cruz, Laguna  Brief Description	:	Various Air Conditioning Units Approved Budget For the Contract	:	6,0</t>
  </si>
  <si>
    <t xml:space="preserve"> One (1) Job Contract Furnishing Bedding for Isolation Area of PUI/PUP</t>
  </si>
  <si>
    <t xml:space="preserve"> - 1 - SET      SOFA BED (DOUBLE) WITH CUSHION  - 1 - PC        WOODEN CABINET (DIMENSION:  H= 6 ft., L=6 ft., W=16 inches WITH NATURAL VARNISH,                      MADE OF GMELINA WOOD)   - 1 - PC        CABINET WITH GLASS COVER (DIMENSION: 440mm L x 280</t>
  </si>
  <si>
    <t xml:space="preserve"> Supply and Delivery of Assorted Books</t>
  </si>
  <si>
    <t xml:space="preserve"> Cross bearing etc.  NOTE:To all suppliers bid documents and BAC Resolution 2020-029 are available at BAC Office and LGU website.</t>
  </si>
  <si>
    <t xml:space="preserve"> Subdivision of Lot 108 PLS-080-000088 Brgy. Sto. Nino, San Juan, Southern Leyte	3	lots Preparation of parcilliary plan with vicinity map of lot of 2554-C, PSP-032010-D (Cemetery Lot)	1	lot</t>
  </si>
  <si>
    <t xml:space="preserve"> 1.	The National Historical Commission of the Philippines (NHCP), through the General Appropriations Act 2020 (GAA) intends to apply the sum of Php 999,298.04 being the Approved Budget for the Contract (ABC) to payments under the contract for: Maintenance </t>
  </si>
  <si>
    <t xml:space="preserve"> 48 SACKS 50KGS/SACK</t>
  </si>
  <si>
    <t xml:space="preserve"> Republic of the Philippines Province of Pangasinan Municipality of Natividad BTO CALAPUGAN INVITATION TO BID FOR (CONSTRUCTION OF FEMALE TOILET AND LAVATORY AT THE BARANGAY HALL IN BARANGAY CALAPUGAN, NATIVIDAD, PANGASINAN   The [BTO CALAPUGAN], through t</t>
  </si>
  <si>
    <t xml:space="preserve"> Flash Drive 64gb</t>
  </si>
  <si>
    <t xml:space="preserve"> Republic of the Philippines BIDS AND AWARDS COMMITTEE Province of Iloilo Invitation to Bid Purchase of Medical Supplies Bid No.ADH-20-0302-B 1. The Iloilo Provincial Government, through the 2020 GENERAL FUNDS intends to apply the sum of SIX HUNDRED EIGHTY</t>
  </si>
  <si>
    <t xml:space="preserve"> 1 Lot Supplies and Materials</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</si>
  <si>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</si>
  <si>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Supply and Delivery of Electrical Supplies for 2nd Quarter 2020.    RFQ</t>
  </si>
  <si>
    <t xml:space="preserve"> Construction of Senior Citizen PWD Office, Cataggaman Viejo, Tuguegarao City</t>
  </si>
  <si>
    <t xml:space="preserve"> Procurement of Various Supplies in response to Covid-19 with allocated amount of P20,000.00</t>
  </si>
  <si>
    <t xml:space="preserve"> Concreting of Sugpang Street, Barangay Caburan Big, Jose Abad Santos, Davao Occidental.</t>
  </si>
  <si>
    <t xml:space="preserve"> Republic of the Philippines Province of Southern Leyte Municipality of San Juan BIDS AND AWARDS COMMITTEE INVITATION TO BID 								Date:	June 30, 2020						                Contract no:    MSJ-2020-20 The LGU of the Municipality of San Juan, Southern Leyt</t>
  </si>
  <si>
    <t xml:space="preserve"> - 2 -  UNITS    AIRCON 2HP SPLIT TYPE WALL INVERTER MOUNTED WITH INSTALLATION                        (W/IN 10ft W/OUT BRACKET)  - 1 -  UNIT     AIRCON FLOOR MOUNTED 3 TONS (NON-INVERTER)  - 1 -  UNIT     CONDENSER MICROPHONE, LARGE DIAPHRAGM WITH FREQUENC</t>
  </si>
  <si>
    <t xml:space="preserve"> - 1 -  SET    WOODEN CABINETS (FOR RO)                    (Dimension: 1 main cabinet - 22cm L x 45cm W x 140cm H (10cm footing), 12 (4x3) compartment                     cabinet with sliding door painted with chocolate brown; 4 side cabinets – 160cm L x 4</t>
  </si>
  <si>
    <t xml:space="preserve"> One Job Contract Furnishing Medicine</t>
  </si>
  <si>
    <t xml:space="preserve"> 1	pcs	Drum Cartridge DCSS2020						4 2	pcs	Drum Cartridge DCSS2020, Black						10 3	pcs	Drum Cartridge DCSS2020, Magenta						10 4	pcs	Drum Cartridge DCSS2020, Yellow						10 5	pcs	Drum Cartridge DCSS2020, Cyan						10 6	pcs	Drum Cartridge DCS2320						2 </t>
  </si>
  <si>
    <t xml:space="preserve"> REPUBLIC OF THE PHILIPPINES MUNICIPALITY OF LUBAO INVITATION TO BID FOR THE PROCUREMENT OF FERTILIZER FOR LUBAO FARMERS 1.	The Municipality of Lubao (MOL) through the authorized appropriation under GENERAL FUND intends to apply the sum of  FOUR MILLION SE</t>
  </si>
  <si>
    <t xml:space="preserve"> Republic of the Philippines Province of Leyte MUNICIPALITY OF CAPOOCAN -oOo- CAPOOCAN BIDS AND AWARD COMMITTEE INVITATION TO BID  for SUPPLY AND DELIVERY OF FEMALE CARABAO 1.	The MUNICIPALITY of Capoocan, Leyte, through the BUB-LGSF NAPC FUND intends to a</t>
  </si>
  <si>
    <t xml:space="preserve"> - CONCRETING OF 48 LN.M ROAD - INSTALLATION OF 90 LN.M LINE CANAL - INSTALLATION OF GROUTED RIPRAP - INSTALLATION OF GABION</t>
  </si>
  <si>
    <t xml:space="preserve"> Reference No. PR # 20-06-0791 PRICE QUOTATION FORM (BID FORM) Sealed Bids shall be dropped in the BIDDERS BOX on or before 2:00 P.M.  July 07, 2020    placed at the office of the Chairman of the College BAC. Thereafter, the Bidder's Box shall be sealed un</t>
  </si>
  <si>
    <t xml:space="preserve"> 1	Diesel Fuel					-10,000-	ltrs</t>
  </si>
  <si>
    <t xml:space="preserve"> SPECIFICATIONS: * PASSENGER TYPE * EIGHT (8) SEATER * GASOLINE FUEL * 3 CYLINDER * 4X2 TRANSMISSION * 1 YEAR FREE LTO REGISTRATION * WITH CAR STEREO * WITH BLINKER * WITH BRGY. LOGO * COLOR RED * SCRUM</t>
  </si>
  <si>
    <t xml:space="preserve"> 1         UNIT           LAPTOP                                 42,258.89             42,258.89                             -INTEL CORE i5                             -4GB RAM DDR4                                         -1TB SATA HDD + 2566 B NUME SSD   </t>
  </si>
  <si>
    <t xml:space="preserve"> Republic of the Philippines Province of Leyte MUNICIPALITY OF CAPOOCAN -oOo- CAPOOCAN BIDS AND AWARD COMMITTEE INVITATION TO BID  for SUPPLY AND DELIVERY OF FURNITURES AND FIXTURES (OFFICE TABLES &amp; CHAIRS) 1.	The MUNICIPALITY of Capoocan, Leyte, through t</t>
  </si>
  <si>
    <t xml:space="preserve"> 4 units Wheel Meter (single Wheel) &amp; 2 others</t>
  </si>
  <si>
    <t xml:space="preserve"> BIDS AND AWARDS COMMITTEE Office of the Chairman Request for Quotation Date:                                                                                 Quotation No.:         PR # 2020-06-271 __________________________________ _______________________</t>
  </si>
  <si>
    <t xml:space="preserve"> Item No.	Item/s and Description					Specification		Quantity	Unit 1	CCTV Camera- Dome camera high definition2 Megapixel 1080p					   		2	units 						   			 	CCTV Power &amp; Video cable							1	lot 	CCTV Supply 12V 2A CCTV connector and accessories							1	uni</t>
  </si>
  <si>
    <t xml:space="preserve"> see attached bidding documents</t>
  </si>
  <si>
    <t xml:space="preserve"> 1	Transfer Belt Assembly					-6-	pcs 2	Drum Cartridge Assembly					-8-	pcs</t>
  </si>
  <si>
    <t xml:space="preserve"> Republic of the Philippines Province of Leyte MUNICIPALITY OF CAPOOCAN -oOo- CAPOOCAN BIDS AND AWARD COMMITTEE INVITATION TO BID  for SUPPLY AND DELIVERY OF GARBAGE COMPACTOR &amp; DROP SIDE TRUCK (BRAND NEW) 1.	The MUNICIPALITY of Capoocan, Leyte, through th</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</si>
  <si>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</si>
  <si>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Republic of the Philippines												 City of San Carlos												 Negros Occidental												 												 			INVITATION TO BID							FOR SALE	 			PURCHASE REQUEST NO: 1-20-05-0602			P 4,350.00	 Sealed bids for quotation of prices will be received </t>
  </si>
  <si>
    <t xml:space="preserve"> The GOVERNMENT SERVICE INSURANCE SYSTEM invites all interested registered suppliers to submit quotations for: 1 LOT FREIGHT AND DELIVERY SERVICES FROM JULY-DEC 2020 FOR GSIS BACOLOD BRANCH OFFICE.</t>
  </si>
  <si>
    <t xml:space="preserve"> Supply and Delivery of Construction Material for the Construction of makeshift building at Tabayon National High School, Brgy. Tabayo, Jose Abad Santos, Davao Occidental.</t>
  </si>
  <si>
    <t xml:space="preserve"> A) REQUEST FOR QUOTATION 1. 18 units Custom made Dining Chairs Note: Verify Existing Design, Dimensions, Color, Materials and Made Note: Delivery Period: Forty Five (45) Working Days B) USE COMPANY LETTERHEAD FOR YOUR QUOTATION &amp; ADDRESS TO: DIR. JAMES JU</t>
  </si>
  <si>
    <t xml:space="preserve"> 1	Tire-265/65 R17 10H(A/T-Steel Belted Radial					-5-	pcs 	Tubeless</t>
  </si>
  <si>
    <t xml:space="preserve"> Republic of the Philippines Province of Leyte MUNICIPALITY OF CAPOOCAN -oOo- CAPOOCAN BIDS AND AWARD COMMITTEE INVITATION TO BID  for SUPPLY AND DELIVERY OF DISASTER RESPONSE &amp; RESCUE EQUIPMENT 1.	The MUNICIPALITY of Capoocan, Leyte, through the MDRRM FUN</t>
  </si>
  <si>
    <t xml:space="preserve"> Date:				Project Reference Number ______________	 Quotation No.  ________				Name of Project:	 				Location  of the Project _____________	 	                                                                                                                   </t>
  </si>
  <si>
    <t xml:space="preserve"> PLEASE SEE ATTACHED FILE REQUEST FOR QUOTATION (RFQ)</t>
  </si>
  <si>
    <t xml:space="preserve"> Termite and Pest Control Services in the Public Market, Concepcion, Tarlac Approved Budget for the Contract: P 198,720.00 Source of Fund : MOOE 2020 - Municipal Mayor's Office Deadline for submission, receipt and opening of bids shall be on July 6, 2020 a</t>
  </si>
  <si>
    <t xml:space="preserve"> Please refer to the attached document.</t>
  </si>
  <si>
    <t xml:space="preserve"> City Government of Manila INVITATION TO BID NO. 2020-06-101 Procurement of Various Hospital Equipment 1.	The City Government of Manila, through the Lotto Fund CY 2020 intends to apply the sum of Thirty Five Million Pesos (Php35,000,000.00) being the Appro</t>
  </si>
  <si>
    <t xml:space="preserve"> 15 unit UPS 650VA</t>
  </si>
  <si>
    <t xml:space="preserve"> 62 ream Book Paper Sub 20-short</t>
  </si>
  <si>
    <t xml:space="preserve"> DAY 1- ARRIVAL	 120	cover	Lunch	 ₱250.00  120	cover	PM Snacks	 ₱100.00  120	cover	Dinner	 ₱250.00  104	pax	Lodging	 ₱500.00  3	pax	Lodging (deluxe Room)	 ₱4,500.00  		DAY 2 TO DAY 4	 360	cover	Breakfast	 ₱150.00  360	cover	AM Snacks	 ₱100.00  360	cover	Lu</t>
  </si>
  <si>
    <t xml:space="preserve"> 2 unit Air conditioning unit, split type, 2HP inverter including installation &amp; 1 other</t>
  </si>
  <si>
    <t xml:space="preserve"> City Government of Manila INVITATION TO BID NO. 2020-06-103 Procurement of five (5) units ECG Machine and two (2) units Infant Incubator 1.	The City Government of Manila, through the Lotto Fund CY 2020 intends to apply the sum of Three Million Four Hundre</t>
  </si>
  <si>
    <t xml:space="preserve"> 12 pcs. Indoor CCTV 2MP Camera &amp; others including labor</t>
  </si>
  <si>
    <t xml:space="preserve"> 200 gal. Alcohol 70%, 4L</t>
  </si>
  <si>
    <t xml:space="preserve"> Name of Project: IMPROVEMENT OF NURSING RESEARCH OFFICE ABC: 397,393.33 LOCATION: Bontoc Campus, Bontoc , Mountain Province Contract Duration: 30CD Fund source:101 Bid document fee: 500</t>
  </si>
  <si>
    <t xml:space="preserve"> Republic of the Philippines Province of Leyte MUNICIPALITY OF CAPOOCAN -oOo- CAPOOCAN BIDS AND AWARD COMMITTEE INVITATION TO BID  for SUPPLY AND DELIVERY OF ICT EQUIPMENTS FOR VARIOUS OFFICES 1.	The MUNICIPALITY of Capoocan, Leyte, through the PWD FUND SA</t>
  </si>
  <si>
    <t xml:space="preserve"> Republic of the Philippines Province of Davao Oriental City of Mati BIDS &amp; AWARDS COMMITTEE INVITATION TO BID LOT Procurement of SPAREPARTS for the Use of ISUZU ELF SOURCE OF FUND: PGO [1011-5-02-13-060] 1.	The Provincial Government of Davao Oriental thro</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</si>
  <si>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</si>
  <si>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1 set Executive Table with drawer and cabinet &amp; 2 others</t>
  </si>
  <si>
    <t xml:space="preserve"> 24 PCS INTEGRATED BULK CONTAINER (IBC)             DIMENSION 1M X 1M X 1M             VOLUME 1 CUM             COLOR WHITE W/ STEEL FRAME</t>
  </si>
  <si>
    <t xml:space="preserve"> 1 LS Ten smith with alignment &amp; 3 others</t>
  </si>
  <si>
    <t xml:space="preserve"> Request for Quotation All interested suppliers are requested to submit their quotations on the items listed in the attached Request for Quotation.</t>
  </si>
  <si>
    <t xml:space="preserve"> Republic of the Philippines Province of Davao Oriental City of Mati BIDS &amp; AWARDS COMMITTEE INVITATION TO BID LOT Procurement of SPAREPARTS for the Use Mitsubishi Estrada of PCSU SOURCE OF FUND: OLF [1999M-200-5-02-99-990] 1.	The Provincial Government of </t>
  </si>
  <si>
    <t xml:space="preserve"> 2 unit Desktop Computer,intel core i3@2.0Ghz, win 10HP, HDD 1TB, 8GB DDR4 with keyboard, mouse, AVR &amp; UPS, monitor 18" 5 inch</t>
  </si>
  <si>
    <t xml:space="preserve"> 150 pc. Ballpen &amp; 25 others</t>
  </si>
  <si>
    <t xml:space="preserve"> 1,666.50 cu. m. Anapog Binder (Excluding Hauling Cost)</t>
  </si>
  <si>
    <t xml:space="preserve"> Box 	Blood Glucose test Strip 50 pcs/box Compatible with ON CALL Plus Glucometer		300 Box 	Applicator stick, 500pcs/box		20 Box 	HbsAg Rapid Test, 30 pcs/ box		150 set	Quality control (QC) N,H,L 3x3ml compatible with councell PENTA		4 bot	Probe cleaner 50</t>
  </si>
  <si>
    <t xml:space="preserve"> 1 set Desktop Computer  1 unit Laptop Computer  1 unit Printer</t>
  </si>
  <si>
    <t xml:space="preserve"> See attachment/s.</t>
  </si>
  <si>
    <t xml:space="preserve"> 5 set Desktop Computers w/specs.</t>
  </si>
  <si>
    <t xml:space="preserve"> 10 kit Low Flux Treatment and others</t>
  </si>
  <si>
    <t xml:space="preserve"> 1   unit   Laptop Specification CPU – core i5 Processor model :i5-7300HQ GPU model:NIVIDIA with 3GBGDDR5 GDDR5 VRAM GeForce GTX 1050 RAM:8GB Storage type: HDD +SSD/eMMC, SSHD HDD:1TB SSD/eMMC: 128GB, 256GB, 512GB Connectivity: HDMI, USB3.0, Bluetooth, Car</t>
  </si>
  <si>
    <t xml:space="preserve"> City Government of Manila INVITATION TO BID NO. 2020-06-102 Supply and Installation of one (1) unit Digital Radiography Machine 1.	The City Government of Manila, through the CY 2020 – LOTTO Fund intends to apply the sum of Twenty-One Million Pesos Only (P</t>
  </si>
  <si>
    <t xml:space="preserve"> 1 set Brake Pad &amp; 17 others</t>
  </si>
  <si>
    <t xml:space="preserve"> 30 box Ascorbic Acid Tab x 100's &amp; 30 others</t>
  </si>
  <si>
    <t xml:space="preserve"> Republic of the Philippines Province of Davao Oriental City of Mati BIDS &amp; AWARDS COMMITTEE INVITATION TO BID LOT Procurement of SPAREPARTS for Use in Mitsubishi L300 Ambulance of DOPH LUPON SOURCE OF FUND: GENERAL FUND [4421-200A-200-5-02-13-060-01] 1.	T</t>
  </si>
  <si>
    <t xml:space="preserve"> Supply and Delivery of One (1) Unit Brand New 4x2 Pick Up (Japanese/European/American Standard)</t>
  </si>
  <si>
    <t xml:space="preserve"> Republic of the Philippines PROVINCE OF PAMPANGA City of San Fernando INVITATION TO BID NO. 2020-21 IG - BAC INVITATION TO BID FOR PURCHASE REQUEST NO. 20-1449, 20-1448, 20-1430, 20-1432, 20-1429, 20-1551, 20-1456, 20-0135, 20-0137, 20-0139, 20-0589 and 2</t>
  </si>
  <si>
    <t xml:space="preserve"> Janitorial Services , BSP Legazpi Branch</t>
  </si>
  <si>
    <t xml:space="preserve"> Republic of the Philippines Province of Davao Oriental City of Mati BIDS &amp; AWARDS COMMITTEE INVITATION TO BID LOT Procurement of MATERIALS for Use in the Repair and Maintenance of PEO Building (Phase 1), at Capitol Compound, Brgy. Central, City of Mati, D</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</si>
  <si>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</si>
  <si>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Republic of the Philippines Province of Davao Oriental City of Mati BIDS &amp; AWARDS COMMITTEE INVITATION TO BID LOT Procurement of MATERIALS for Use in the Rehabilitation of Multi-Purpose Hall at Brgy. Dahican, City of Mati, Davao Oriental SOURCE OF FUND: 2</t>
  </si>
  <si>
    <t xml:space="preserve"> 6 LNM 36" RCCP  36 LNM 24" RCCP  12 BAGS PORTLAND CEMENT  12 CUM BOULDERS  8 CUM WASHED SAND</t>
  </si>
  <si>
    <t xml:space="preserve"> INVITATION TO BID NO. 2020-CW-07 The       DPWH-QUEZON III DISTRICT ENGINEERING OFFICE, Catanauan, Quezon, through its Bids and Awards Committee (BAC), invites contractors to submit bids for the following Contracts: 2.	Procurement ID/Contract ID: 20DM0070</t>
  </si>
  <si>
    <t xml:space="preserve"> 50	BOTTLES	Alcohol 70% Solution 500 mL 20	PCS.	DETERGENT BLEACH 10	PCS	Disnifectant Spray 170 g 10	BOX	FACIAL TISSUE 10	ROLL	TISSUE ROLL 20	REAM	BOND PAPER  LONG 20	REAM	BOND PAPER A4 50	PCS.	FOLDER EXPANDABLE,GREEN,LONG 45	SET	PRINTER Ink 003 SET (BLACK,</t>
  </si>
  <si>
    <t xml:space="preserve"> Republic of the Philippines BULACAN STATE UNIVERSITY City of Malolos, Bulacan ________________________________________ INVITATION TO BID FOR  Re-bidding Supply and Delivery of Tablet Pro for IQAO (BulSU-BAC-G-2020-22) The BULACAN STATE UNIVERSITY (BulSU),</t>
  </si>
  <si>
    <t xml:space="preserve"> JOSE B. LINGAD MEMORIAL REGIONAL HOSPITAL City of San Fernando, Pampanga Tel. No. (045) 961-3921 Date: July 02, 2020 No. 2020 – 07 - 207-S REQUEST FOR QUOTATION (Name of Agency) (Address) Sir/Madam: Please quote your lowest price on the item/s listed belo</t>
  </si>
  <si>
    <t xml:space="preserve"> INVITATION TO BID NO. 2020-CW-07 The       DPWH-QUEZON III DISTRICT ENGINEERING OFFICE, Catanauan, Quezon, through its Bids and Awards Committee (BAC), invites contractors to submit bids for the following Contracts: 1.	Procurement ID/Contract ID: 20DM0069</t>
  </si>
  <si>
    <t xml:space="preserve"> this serves at second posting for the second bidding of this project</t>
  </si>
  <si>
    <t xml:space="preserve"> (PLEASE SEE ALSO ATTACHED. INVITATION TO BID Supply, Delivery and Testing of Four-Wheel Tractors  (PHilMech-RCEF-20-06-01) 1. The Philippine Center for Postharvest Development and Mechanization (PHilMech) through its FY 2019 &amp; FY 2020 Rice Competitive Enh</t>
  </si>
  <si>
    <t xml:space="preserve"> City Government of Manila INVITATION TO BID NO. 2020-06-99 Supply and Installation of one (1) unit Ultrasound Machine (General Use) 1.	The City Government of Manila, through the CY 2020 – PAGCOR Trust Fund intends to apply the sum of Five Million Pesos On</t>
  </si>
  <si>
    <t xml:space="preserve"> NOTICE OF NEGOTIATED PROCUREMENT (Small Value Procurement) PNOC Exploration Corporation (PNOC EC), through its 2020 Corporate Budget, has an Approved Budget for the Contract (ABC) of One Hundred Eighty Thousand Pesos (Php180,000.00), inclusive of all appl</t>
  </si>
  <si>
    <t xml:space="preserve"> INVITATION TO BID FOR THE Procurement of HYBRID RICE SEEDS (*1,357 bags @ 15 kgs/bag of NSIC Rc 132H (Mestiso 6) and NSIC Rc 540H (Mestiso 97) and *769 bags @ 15 kgs/bag of NSIC Rc 548H (Mestiso 101) 1. The Department of Agriculture-Regional Field Office </t>
  </si>
  <si>
    <t xml:space="preserve"> please see attached. INVITATION TO BID Supply, Delivery and Testing of Rice Combine Harvesters (PHilMech-RCEF-20-06-07) 1. The Philippine Center for Postharvest Development and Mechanization (PHilMech) through its FY 2019 &amp; FY 2020 Rice Competitive Enhanc</t>
  </si>
  <si>
    <t xml:space="preserve"> INVITATION TO BID FOR THE PROVISION OF LABOR, MATERIALS, EQUIPMENT RENTALS AND OTHER INCIDENTALS NEEDED FOR THE REHABILITATION AND ENHANCEMENT OF MULTIPURPOSE BUILDING AT DA-PREC, SUAL, PANGASINAN 1.	The Department of Agriculture Regional Field Office 1 (</t>
  </si>
  <si>
    <t xml:space="preserve"> INVITATION TO BID FOR THE PROVISION OF LABOR, MATERIALS, EQUIPMENT RENTALS AND OTHER INCIDENTALS NEEDED FOR THE REHABILITATION AND ENHANCEMENT OF ADMINISTRATIVE BUILDING AT DA-PREC, SUAL, PANGASINAN 1.	The Department of Agriculture Regional Field Office 1</t>
  </si>
  <si>
    <t xml:space="preserve"> QTY.	UNIT	ARTICLES AND DESCRIPTION 100	bottle	70% Alcohol w/ Moisturizer 500ml Isoprophyl  50	box	Disposable surgical mask 3ply (50pcs.) per box 150	pcs.	Correction Tape (8m) 50	box	Fastener Plastic Pf507 7cm 2in 50s A 70	pcs.	Whiteboard Marker Wbmkm Blac</t>
  </si>
  <si>
    <t xml:space="preserve"> The LGU-San Andres, Quezon Request for Quotation for the Purchase of Construction Materials for Water system at the Sanitary Landfill, Municipality of San Andres, Quezon</t>
  </si>
  <si>
    <t xml:space="preserve"> Republic of the Philippines CITY GOVERNMENT OF SAN FERNANDO Barangay Langcuas Email: brgy_langcuas_csf@yahoo.com.ph INVITATION TO BID FOR  Construction of Roofing Multi-Purpose Hall Alley, Barangay Langcuas City of San Fernando 1.	The Barangay Langcuas, t</t>
  </si>
  <si>
    <t xml:space="preserve"> HARDWARE AND CONSTRUCTION SUPPLIES					 Enamel paint white				1	gal Enamel Green Tinting oil 80mL		1	pc Marine Plywood 1/2				4	pcs Marine plywood 1/4				2	pcs</t>
  </si>
  <si>
    <t xml:space="preserve"> Republic of the Philippines Province of Davao Oriental City of Mati BIDS &amp; AWARDS COMMITTEE INVITATION TO BID LOT Procurement of MEDICAL FLUIDS for the Use of DOPH LUPON SOURCE OF FUND: GENERAL FUND [4421-200A-200-5-02-03-070-01] 1.	The Provincial Governm</t>
  </si>
  <si>
    <t xml:space="preserve"> PLEASE SEE PLANS &amp; SPECIFICATIONS</t>
  </si>
  <si>
    <t xml:space="preserve"> LABORATORY SUPPLIES AND EQUIPMENTS					 Magnet horse shoe		10	pcs Iodine solution			1	bottle Benedict solution		1	bottle Magnetic board			5	pcs Alka zelter tablet		10	pcs Aluminum strip			2	packs ammeter			        1	unit Bar magnet			5	unit Coil spring			</t>
  </si>
  <si>
    <t xml:space="preserve"> Agricultural Training Institute Regional Training Center, MiMaRoPa (ATI-RTC-MiMaRoPa) invites interested bidders/suppliers to submit quotation/proposals for the here under requirement: Live Animals (Large Ruminant) for the conduct of SOA on Large Ruminant</t>
  </si>
  <si>
    <t xml:space="preserve"> GENERAL MERCHANDISE					 Seedling tray				10	pcs Floor wax big				5	cans Polybag Big				5	pcs 24x72” mirror				1	pc</t>
  </si>
  <si>
    <t xml:space="preserve"> Agricultural Training Institute Regional Training Center, MiMaRoPa (ATI-RTC-MiMaRoPa) invites interested bidders/suppliers to submit quotation/proposals for the here under requirement: Consolidated Agricultural Supplies of RICE Program ATI-RTC-MIMAROPA Ba</t>
  </si>
  <si>
    <t xml:space="preserve"> Republic of the Philippines City of manila OFFICE OF THE BARANGAY COUNCIL BIDS AND AWARDS COMMITTEE INVITATION TO APPLY FOR ELIGIBILITY AND TO BID APPROVED BUDGET FOR THE CONTRACT: 655,000.00 PROCUREMENT OF: Office supplies and equipment</t>
  </si>
  <si>
    <t xml:space="preserve"> DRUGS AND MEDICINES					 Eye drops for tired, itchy, red , burning watery eyes	5	bottles Band aid strips			4	boxes Nifedipine				20	pcs Kremil -S				100	pcs Omeprasol 40mg		30	pcs Biogesic				100	pcs Lazartan				100	pcs Mefenamic Acid 500mg		100	pcs  Digi</t>
  </si>
  <si>
    <t xml:space="preserve"> City Government of Manila INVITATION TO BID NO. 2020-06-98 Supply and Installation of one (1) unit CT Scan 128 Slices 1.	The City Government of Manila, through the CY 2020 – PAGCOR Trust Fund intends to apply the sum of Sixty-Six Million Pesos Only (Php66</t>
  </si>
  <si>
    <t xml:space="preserve"> Department of Social Welfare and Development Field Office VI M.H. del Pilar St., Iloilo City INVITATION TO BID FOR THE PROCUREMENT OF VARIOUS WELFARE GOODS AS RAW MATERIALS FOR FAMILY FOOD PACKS PRODUCTION OF DRMD FOR CY2020 (1st Posting) 1. The Departmen</t>
  </si>
  <si>
    <t xml:space="preserve"> OPENING OF BIDS IN DSWD FO IX ZAMBOANGA CITY					 DELIVERY IN DSWD FO IX ZC					 PROCUREMENT FOR THE FF.:					 1 LOT OFFICE SUPPLIES					 30	PCS.	FRAME CERTIFICATE A4 SIZE			 2	UNIT	PRINTER WITH LEGAL SIZE SCANNER-GOOD QUALITY			 1	PCS.	COMPACT DIGITAL WI</t>
  </si>
  <si>
    <t xml:space="preserve"> OPENING OF BIDS IN DSWD FO IX ZAMBOANGA CITY					 DELIVERY IN DSWD-SWADT-LILOY ZAMBOANGA DEL NORTE					 PROCUREMENT FOR THE FF.:					 1 LOT OFFICE SUPPLIES					 242	REAMS	LONG BOND PAPER S-20, 500 PER SHEETS PER REAM			 101	REAMS	SHORT BOND PAPER S--20, 5</t>
  </si>
  <si>
    <t xml:space="preserve"> Purchase of medical supplies and equipment 9 gallon of alcohol 500 pcs. Of  face mask (cloth like) 9 gallon of chlorine 2 sets of personal protective equipment  (PPE)</t>
  </si>
  <si>
    <t xml:space="preserve"> OPENING OF BIDS IN DSWD FO IX, ZAMBOANGA CITY,		 DELIVERY IN DSWD FO IX ZAMBOANGA CITY		 PROCUREMENT FOR THE FF.:		 		 1 LOT FOOD SUPPLIES		 32	SACKS	RICE  (COMMERCIAL) FORTIFIED IRON 84	PACK	MILK POWDER (900 GRAMS/PACK) 250	CARTOON	JUICE IN CAP, READY TO</t>
  </si>
  <si>
    <t xml:space="preserve"> MUSICAL INSTRUMENTS					 Organ 				1	unit Acoustic guitar			1	unit whistle				5	pcs</t>
  </si>
  <si>
    <t xml:space="preserve"> OPENING OF BIDS IN DSWD FO IX ZAMBOANGA CITY				 DELIVERY IN DSWD FO IX ZC				 PROCUREMENT FOR THE FF.:				 1 LOT OFFICE SUPPLIES				 30	BTL.	ALCOHOL, ETHYL, 68%-70%, SCENTED, 500 ML. COLORLESS, CLEAN LIQUID		 100	PCS	CORRECTION TAPE, ROLLER TYPE , FILM B</t>
  </si>
  <si>
    <t xml:space="preserve"> 1 Unit 1.7 x 1.82 Fix and Sliding Window with 1/4" thick tainted glass with aluminum analok frame 4 Unit 2.44 x 1.82 Fix and Sliding Window with 1/4" thick tainted glass with aluminum analok frame 1 Unit 0.94 x 2.05 Fix  &amp; Window with 1/4" thick tainted g</t>
  </si>
  <si>
    <t xml:space="preserve"> INVITATION TO BID FOR THE PROVISION OF LABOR, MATERIALS, EQUIPMENT RENTALS AND OTHER INCIDENTALS NEEDED FOR THE RECONSTRUCTION OF PERIMETER FENCE WITH GATE AT DA-INREC, DINGRAS, ILOCOS NORTE 1.	The Department of Agriculture Regional Field Office 1 (DA RFO</t>
  </si>
  <si>
    <t xml:space="preserve"> I. Price Quotation Form (Please see attached file @ Associated Components). TCT Number - T-779459 Registered owner - ANALIZA O. MAGLIAN m/to Efren Maglian Location - National Highway, Macabling, Sta. Rosa, Laguna Lot area - 1000 square meters II. Payment </t>
  </si>
  <si>
    <t xml:space="preserve"> OPENING OF BIDS IN DSWD FO IX ZAMBOANGA CITY						 DELIVERY IN DSWD FO IX ZC						 PROCUREMENT FOR THE FF.:						 						 470	PCS	4X3 TARPAULIN (FDS ON AIR AND PANTAWID ACT)				 1000	PCS	ADVOCACY 4PS T-SHIRT				 ********************************************</t>
  </si>
  <si>
    <t xml:space="preserve"> Construction of 13-units 2.0 cu.m. cylindrical Rain Water Collector System</t>
  </si>
  <si>
    <t xml:space="preserve"> 32 bdft 2x2x8 COCO FORM (12) PCS.  4 CUM WASHED SAND  26 BAGS PORTLAND CEMENT  12 PCS. SAHARA CEMENT  2 PCS. 2" G.I GATE VALVE  3 PCS. 2" X 0.30M G.I. THREADED NIPPLE  2 PCS. 2" X 0.20M THREADED NIPPLE  17 PCS. 10,, DRB  9 KLS #16 TIE WIRE  3 ROLLS TAPELO</t>
  </si>
  <si>
    <t xml:space="preserve"> 2 box Anti A/ Anti B/ Anti D Control/Reverse Diluent (400 cassettes/box) &amp; 4 others</t>
  </si>
  <si>
    <t xml:space="preserve"> 1 unit Laptop Computer, Intel Core i5@2.0Ghz,win10 HP, HDD 1TB, 8GB DDR4 w/mouse &amp; bag &amp; 2 others</t>
  </si>
  <si>
    <t xml:space="preserve"> PLEASE SEE PLANS &amp; SPECIFICATION</t>
  </si>
  <si>
    <t xml:space="preserve"> Republic of the Philippines Province of Davao Oriental City of Mati BIDS &amp; AWARDS COMMITTEE INVITATION TO BID Procurement of One (1) Unit 4x4 DOUBLE CAB UTILITY VEHICLE in Support to Pagkain at Kita SAVE Program SOURCE OF FUND: OLFP [1999OA-300-1-07-06-01</t>
  </si>
  <si>
    <t xml:space="preserve"> REQUEST FOR QUOTATION PR No.		1041-2020-0646		RFQ No. 2020-057 PR Date:	06/30/2020 ABC:		P 190,000.00 Sir/Madam: 	Please quote your lowest price on the item/s listed below subject to the General Conditions on the last page, stating the shortest time of de</t>
  </si>
  <si>
    <t xml:space="preserve"> 840	cavans	Rice (25 kls)</t>
  </si>
  <si>
    <t xml:space="preserve"> Stand+A1:G60ard Form Number SF-GOOD-60			Date: 	01-Jul-20		 Revised on May 24, 2004			Quotation No.:  		S-054	 			End-User :	ARBDSP		 REQUEST FOR QUOTATION						 DEPARTMENT OF AGRARIAN REFORM						 Agency/Procuring Entity						 						 ____________________</t>
  </si>
  <si>
    <t xml:space="preserve"> Republic of the Philippines Province of Davao Oriental City of Mati BIDS &amp; AWARDS COMMITTEE INVITATION TO BID LOT Procurement of OFFICE EQUIPMENT for the Use of Brgy. Buso, City of Mati, Davao Oriental SOURCE OF FUND: OLF [1999Z4B-5-02-14-030] 1.	The Prov</t>
  </si>
  <si>
    <t xml:space="preserve"> please visit the Branch Office for actual measurement</t>
  </si>
  <si>
    <t xml:space="preserve"> 1 LOT PROVISION OF FUEL FOR VEHICLES AND GENSET OF GSIS BACOLOD BRANCH OFFICE FOR JULY-DEC 2020</t>
  </si>
  <si>
    <t xml:space="preserve"> barangay malatap labo will be improving their farm to market road purok1  cement             160bags washed sand      18cubic crushed gravel g-1    18cubic apple size gravel       12 cubic</t>
  </si>
  <si>
    <t xml:space="preserve"> Republic of the Philippines Province of Batangas Municipality of San Juan BIDS AND AWARDS COMMITTEE INVITATION TO APPLY FOR ELIGIBILITY AND TO BID THE LOCAL  GOVERNMENT UNIT OF BRGY. BULSA, SAN JUAN, BATANGAS, through its Bids and Awards Committee(BAC), i</t>
  </si>
  <si>
    <t xml:space="preserve"> barangay malatap labo is in need of projector for their barangay's use during assemblies and or seminars that will be conducted at the vicinity.</t>
  </si>
  <si>
    <t xml:space="preserve"> Please see associated components  for details.</t>
  </si>
  <si>
    <t xml:space="preserve"> GENERAL MERCHANDISE					 APRONS			20	pcs CAN OPENER              2	pcs ICE BUCKET		4	pcs NAIL CUTTER		12	pcs WELDING GLOVES	4	pairs STEAMER			1	set</t>
  </si>
  <si>
    <t xml:space="preserve"> City Government of Manila INVITATION TO BID NO. 2020-06-100 Procurement of one (1) Ophthalmic Operating Microscope and two (2) units ECG Machine 1.	The City Government of Manila, through the PAGCOR Trust Fund CY 2020 intends to apply the sum of Twenty Two</t>
  </si>
  <si>
    <t xml:space="preserve"> GENERAL MERCHANDISE					 J&amp;J Virgo superwhite		1	gal Mesh 120				5	yards Mesh 100				5	yards J&amp;J Virgo Black			2	pcs J&amp;J Virgo Red			2	pcs J&amp;J Virgo Blue			2	pcs J&amp;J Virgo Yellow			2	pcs</t>
  </si>
  <si>
    <t xml:space="preserve"> barangay malatap is to purchase laptop for the barangay sec and treasurer's easy access to work.</t>
  </si>
  <si>
    <t xml:space="preserve"> 1 job Installation of Glass Division at BAC office Conference Room (Pls. see attached Plan)</t>
  </si>
  <si>
    <t xml:space="preserve"> OFFICE SUPPLIES					 Ink Epson black				10	bottles Ink Epson colored			10	bottles</t>
  </si>
  <si>
    <t xml:space="preserve"> for this project of barangay malatap labo is doing a water system improvement for purok 1,4 and 7... they are in need of the following items: cement                                        80bags washed sand                              10 cubic crushed gr</t>
  </si>
  <si>
    <t xml:space="preserve"> 1 set Overhauling Gasket 1 pc Oil Filter 1 pc Fuel Filter 1 pc Air Cleaner Filter 1 set Piston ring (STD)</t>
  </si>
  <si>
    <t xml:space="preserve"> INVITATION TO BID   THE BARANGAY BIALONG THROUGH ITS BIDS AND AWARDS COMMITTEE (BAC) INVITES PHILGEPS REGISTERED SUPPLIERS TO APPLY TO BID FOR THE SUPPLY AND DELIVERY OF VARIOUS MATERIALS FOR PROPOSED MATERIALS RECOVERY FACILITY. I. CONCRETE WORKS    1. F</t>
  </si>
  <si>
    <t xml:space="preserve"> NBC-0220-076</t>
  </si>
  <si>
    <t xml:space="preserve"> - VARIOUS OFFICE SUPPLIES Invitation to Bid for Supply &amp; Delivery of PROCUREMENT OF SK OFFICE SUPPLIES 1.	The Sangguniang Kabataan of Barangay Cupang Antipolo City, through SK General Fund of 2020 Annual Budget intends to apply the sum of ONE HUNDRED THOU</t>
  </si>
  <si>
    <t xml:space="preserve"> NBC-0220-082</t>
  </si>
  <si>
    <t xml:space="preserve"> 2   unit   portable trolley speaker              built-in battery              USB              Remote control              Rechargeable battery              power: 500W              size: 15 inches 1    unit  filling cabinet              4 layer with saf</t>
  </si>
  <si>
    <t xml:space="preserve"> General Merchandise PF-0620-621</t>
  </si>
  <si>
    <t xml:space="preserve"> NBC-0220-118</t>
  </si>
  <si>
    <t xml:space="preserve"> Food Stuff-PF-0620-619</t>
  </si>
  <si>
    <t xml:space="preserve"> A. Concreting of Road B. Concreting of Road</t>
  </si>
  <si>
    <t xml:space="preserve"> Clip Paper, small				                                                 373	boxes Envelope, Mailing with Window, White, Legal				 307	boxes Ink, Stamp Pad, Purple with Applicator				                 122	bottles Post it notepad, 3" x 3"				                  </t>
  </si>
  <si>
    <t xml:space="preserve"> NOTICE TO THE PUBLIC  REQUEST FOR QUOTATION                                                 AMP SVP-D NO: 20-03-0304A	              The University of the Philippines, Diliman (UPD) hereby informs the public that it will be procuring the following item/s t</t>
  </si>
  <si>
    <t xml:space="preserve"> The Binuay National High School, Binuay, Dimataling, Zamboanga del Sur  would like to purchase the following supplies and materials for the students', teachers' and office use: 1	1 Bot	Ink, Cyan	 2	1 Bot	Ink, Magenta	 3	1 Bot	Ink, Yellow	 4	2 Bot	Ink, Bla</t>
  </si>
  <si>
    <t xml:space="preserve"> Invitation to Bid The National Housing Authority (NHA), through the Corporate Budget approved by the NHA Board for the year 2020 intends to apply the sum of the Approved Budget for the Contract (ABC) to payments for the following contract: Ref. No. : R13-</t>
  </si>
  <si>
    <t xml:space="preserve"> REQUEST FOR QUOTATION 	The Caraga State University-Cabadbaran Campus, through its Bids and Awards Committee (BAC), will undertake a Shopping-Ordinary/Regular Office Supplies for the project: PROCUREMENT ON SUPPLY AND DELIVERY OF VARIOUS OFFICE SUPPLIES (1</t>
  </si>
  <si>
    <t xml:space="preserve"> for purok 6 barangay malatap is having an improvement of their farm to market road. cement               331bags washed sand       44 cubic crushed gravel g-1  20cubic apple size gravel     20cubic</t>
  </si>
  <si>
    <t xml:space="preserve"> 100 amp Phenytoin 50mg/ml &amp; 2 others</t>
  </si>
  <si>
    <t xml:space="preserve"> GROCERY ITEMS					 flour				1	sack Oil				1	gal Sugar White		2	kls Sugar brown		2	kls Egg 				5	trays</t>
  </si>
  <si>
    <t xml:space="preserve"> Please quote your lowest price inclusive of VAT on the items listed below, subject to the Terms and Conditions of this RFQ, and submit your quotation duly signed by your representative not later than July 6, 2020 at Bids and Awards Committee of BFAR 8, 3r</t>
  </si>
  <si>
    <t xml:space="preserve"> GENERAL MERCHANDISE					 DOOR MAT				50	pcs TOILET BOWL CLEANER 		12	pcs TISSUE PAPER				24	pcs</t>
  </si>
  <si>
    <t xml:space="preserve"> 500 pc. CD-R 700mb &amp; 4 others</t>
  </si>
  <si>
    <t xml:space="preserve"> 1 LOT - ATM VISA CHIP CARD WELCOME LETTER, CUSTOMIZED PER APPROVED DESIGN/SPECIFICATIONS  Please be guided by the following: 1. Price quotation must be based on the Terms of Reference (TOR) / Scope of Work/Services (SOW) / Technical Specifications (TS), a</t>
  </si>
  <si>
    <t xml:space="preserve"> Name of the Procuring Entity                                                                  					        Project Reference Number 								Name of the Project 									Location of the Project Standard Form Number: SF-GOOD-05 Revised on July 28, 2004 INVI</t>
  </si>
  <si>
    <t xml:space="preserve"> 1 lot Generator Set Rental for a period of 1 year</t>
  </si>
  <si>
    <t xml:space="preserve"> Procurement of Janitorial and Medical Supplies</t>
  </si>
  <si>
    <t xml:space="preserve"> 500 supp Bisacodyl 10mg suppository &amp; 14 others</t>
  </si>
  <si>
    <t xml:space="preserve"> Uninterruptible Power Supply Smart-UPS 3000VA 230V Output:  Output Power Capacity and Max configurable power (watts): 2700watts  Output connections: (2) IEC 320 C19(battery backup) (2) IEC Jumpers (battery backup) (8) IEC 320 C13 (battery backup) Input: N</t>
  </si>
  <si>
    <t xml:space="preserve"> Procurement of construction supplies for the month of May</t>
  </si>
  <si>
    <t xml:space="preserve"> 2 gals Acrylic paint, Kawasaki green 6 qrts acrylic Paint,white 6 qrts Acrylic paint,Flat Black 7 qrts Acrylic Paint, Top Coat,Clear 7 qrts Acrylic Paint,Epoxy Primer, Gray</t>
  </si>
  <si>
    <t xml:space="preserve"> Procurement of office supplies and consumables for the month of April-July</t>
  </si>
  <si>
    <t xml:space="preserve"> 1 Conference table (12 seaters) 3 Office Table with chair &amp; glass 1 Division Cabinet with glass 1 table</t>
  </si>
  <si>
    <t xml:space="preserve"> various construction mats. &amp; supplies</t>
  </si>
  <si>
    <t xml:space="preserve"> 300 pc. Ballpen, ordinary, black &amp; 3 others</t>
  </si>
  <si>
    <t xml:space="preserve"> INVITATION TO BID LGU-El Salvador City, Misamis Oriental through its BAC, invites interested bidders to apply for eligibility and if found eligible to bid for the contract: 1. Contract ID No. : ITB No. 2020-06-061/Project ID No. 19-009-20% Name of Project</t>
  </si>
  <si>
    <t xml:space="preserve"> Name of Project: CONSTRUCTION OF RAMP AT THE FRONTAGE OF SCHOOL CLINIC ABC: 110,000.00 Location: Bontoc Campus, Bontoc ,Mountain Province Contract Duration: 15CD Bid document fee:500</t>
  </si>
  <si>
    <t xml:space="preserve"> Republic of the Philippines PROVINCE OF NUEVA VIZCAYA Municipality of Alfonso Castañeda  BIDS &amp; AWARDS COMMITTEE FOR GOODS &amp; SERVICES REQUEST FOR QUOTATION RFQ Number: 2020-07-03 The Local Government of Alfonso Castañeda through its Bids and Awards Comm</t>
  </si>
  <si>
    <t xml:space="preserve"> PROCUREMENT OF ONE (1) LOT OFFICE SUPPLIES &amp; EQUIPMENT 1.  BONDPAPER, Letter Size 8 1/2 X 11, subs. 20 - 200 REAMS 2.  FOLDER, Expanded, Plastic, Hard Bound, Legal Size, Color: Blue - 250 PIECES 3.  FOLDER, Expanded, Plastic, Hard Bound, Legal Size, Color</t>
  </si>
  <si>
    <t xml:space="preserve"> 1	Complete set of Stainless Steel Sieve	1	set 2	Heavy Duty Cylindrical Molder	12	pc 3	Heavy Duty Rectangular (Beam) Molder	12	pc 4	Digital Weighing Scale	3	pc 5	Energy Losses in pipes F1-18 test pipe diameter: 3mm, test pipe length: 760mm; pressure tappin</t>
  </si>
  <si>
    <t xml:space="preserve"> ITEM NO.	QTY.	UNIT	ITEMS &amp; DESCRIPTION	 				 1	1	unit	Fetal Monitor, Br anded	 			This monitor is a lightweight, compact fetal and maternal 	 			monitor, it can meet the need of whole stages of labor	 			(including antepartum and imtrapartum monitoring	 	</t>
  </si>
  <si>
    <t xml:space="preserve"> STEEL CABINET 	9	PIECE -	4 Layer Vertical Filing Cabinet		 -	Powder coated metal, full extension drawer with plastic divider and central lock		 PLEASE ATTACH THE FOLLOWING DOCUMENTS: 1.	TAX CLEARANCE 2.	MAYOR’S PERMIT 3.	SEC CERT. / DTI PERMIT 4.	PHILGEPS</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</si>
  <si>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</si>
  <si>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Item	Quantity	Unit	ARTICLES					 Estimated Unit Cost  								 1	4	cassette	 Alkaline Phosphatase					 1,035.00  2	4	cassette	 Bilirubin Direct					 1,750.00  3	4	cassette	 BUA (Blood Uric Acid)					 5,000.00  4	10	cassette	 Clean Chem					 2,600.00  5	5	</t>
  </si>
  <si>
    <t xml:space="preserve"> 1 5 BOT. ALCOHOL - 500ml 2 5 CAN/S DISINFECTANT SPRAY - 170G</t>
  </si>
  <si>
    <t xml:space="preserve"> 2 UNIT CHAIR - Executive</t>
  </si>
  <si>
    <t xml:space="preserve"> Furnishing of labor, materials and equipment for the Repair of Perimeter Fence of Cemetery at Tomolin</t>
  </si>
  <si>
    <t xml:space="preserve"> INVITATION TO BID LGU-El Salvador City, Misamis Oriental through its BAC, invites interested bidders to apply for eligibility and if found eligible to bid for the contract: 1. Contract ID No. : ITB No. 2020-06-060/Project ID No. 19-009-20% Name of Project</t>
  </si>
  <si>
    <t xml:space="preserve"> ITEM NO.	QTY.	UNIT	ITEMS &amp; DESCRIPTION	 				 1	7	units	Height &amp; Weight Scale	 			(Bar Type measurement Scale	 2	11	units	Hanging Weighing Scale (Clock Type)</t>
  </si>
  <si>
    <t xml:space="preserve"> Please see attached</t>
  </si>
  <si>
    <t xml:space="preserve"> DISINFECTANT SPRAY				 •	Kills fungi, bacteria and viruses		 •	Sanitizes surfaces				100	BOTTLE DISINFECTANT WIPES				 •	ready-to-use presoaked disinfectant wipes	 •	Kills fungi, bacteria and viruses			10	PACKS LIQUID DISINFECTANT				 •	EPA approved disin</t>
  </si>
  <si>
    <t xml:space="preserve"> Alcohol 70%</t>
  </si>
  <si>
    <t xml:space="preserve"> Construction of 57.20 Lm with 4 seater concrete bleachers.</t>
  </si>
  <si>
    <t xml:space="preserve"> Republic of the Philippines Province of Nueva Vizcaya BIDS AND AWARDS COMMITTTEE (GOODS) BAC OFFICE, Provincial Capitol, Bayombong, Nueva Vizcaya 	 		Negotiated Procurement (2nd Failure of Bidding) 2nd REQUEST FOR QUOTATION (RFQ)  For the Procurement of O</t>
  </si>
  <si>
    <t xml:space="preserve"> REQUEST FOR QUOTATION The Dagupan City Water District through its Bids and Awards Committee (BAC) invites qualified bidders/contractors to send letter of quotation for the following: Name of Project: Procurement of 3 sets of genset (3rd Posting) Location:</t>
  </si>
  <si>
    <t xml:space="preserve"> 1 Lot Medical Supplies</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</si>
  <si>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</si>
  <si>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Supply and Delivery of Various HP Toner: 66 carts I. Technical Requirements: * Toner Cart, HP CF500A (202A), Black: 40 carts * Toner Cart, HP CF363A (508A), Magenta: 6 carts * Toner Cart, HP CF362A (508A), Yellow: 5 carts * Toner Cart, HP CF361A (508A), C</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</si>
  <si>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</si>
  <si>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see atttached RFQ</t>
  </si>
  <si>
    <t xml:space="preserve"> Kindly refer to the attached Bid Documents</t>
  </si>
  <si>
    <t xml:space="preserve"> Republic of the Philippines Province of Surigao del Sur Municipality of Tago ---ooo0ooo--- Invitation to Bid Completion of Tago Multi-purpose Hall (Phase II) Project ID No. TAG-SDS-060-2020 The Local Government Unit of Tago, Surigao del Sur invites sealed</t>
  </si>
  <si>
    <t xml:space="preserve"> 1	PLC Training Kit	10	pcs 	PLC: Micrologix 1200: 1762-L24 BXB/Micrologix 1400, 14 Digital Input/10 Digital Outputs, 14 D.I/10 D.0 (M.L. 1200)/20 D.I/ 12 D.O. (M.L. 1400) Communication Port: RS 232/RS 485/Ethernet. 2 Analogue input/2 Analogue output 1762-1</t>
  </si>
  <si>
    <t xml:space="preserve"> Item	Quantity	Unit	ARTICLES					 Estimated Unit Cost  1	115	pcs	Half Face Piece Silicon Reusable Respirator with Adjustible Head Straps					 2,500.00  2	115	pairs	P100 Particulate Filter, Niosh Approved 2097					 1,000.00</t>
  </si>
  <si>
    <t xml:space="preserve"> Bond Papers , Inks etc...</t>
  </si>
  <si>
    <t xml:space="preserve"> Installation of 14 units road lighting fixture HPS 150 watts with ignitor, capacitor, ballast with tapered steel post 3"x6"x20ft x 1/8" thick bracket type SBT 1 1/2" X 48 x 1/8"</t>
  </si>
  <si>
    <t xml:space="preserve"> LGU-AL-32-2020 CONSTRUCTION OF CONCRETE BRIDGE PHASE-II BRGY. HAMPIPILA ABUYOG, LEYTE</t>
  </si>
  <si>
    <t xml:space="preserve"> 1 Lot Electrical Materials</t>
  </si>
  <si>
    <t xml:space="preserve"> Construction of  Drainage System,</t>
  </si>
  <si>
    <t xml:space="preserve"> Repair/rehabilitation of pathway</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</si>
  <si>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</si>
  <si>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1 Lot Construction Materials</t>
  </si>
  <si>
    <t xml:space="preserve"> CPHMAIP Book			300	copy	120,000.00 Specification:					 Cover Page:					 Cover Size: A4 (210 mm x 297 mm)					 Spread Page Size: (420 mm x 594 mm)					 Stock: C2S 160					 Binding: Perfect Bind					 Color: FULL color print (front &amp; back page only) with pla</t>
  </si>
  <si>
    <t xml:space="preserve"> The AGRICULTURAL TRAINING INSTITUTE-REGIONAL TRAINING CENTER (ATI-RTC) X, through the 2020 General Appropriations Act intends to apply the sum of Two Hundred Fifty Thousand Pesos (P 250,000.00) being the Approved Budget for the Contract (ABC) to payments </t>
  </si>
  <si>
    <t xml:space="preserve"> 1   unit   Laptop CPU-10TH GEN INTEL I5-10210U Processor (1.6 GHz) Hard drive – 1TB + 256 ssd Ram – 8GB OS-windows 10 86 GB RAM Display 14” FHD IPS Graphics card WLAN and Bluetooth 1    unit    Printer 3 in 1</t>
  </si>
  <si>
    <t xml:space="preserve"> 1	22	units	FOLDING BED with Foam, Single 			*********** Nothing - Follows ***********</t>
  </si>
  <si>
    <t xml:space="preserve"> Purchase of Laboratory Supplies to replenish stocks in the Municipal Health Office</t>
  </si>
  <si>
    <t xml:space="preserve"> Purchase of Laptop and Printer for Municipal Agriculture Office 1 unit Laptop 1 unit Printer</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</si>
  <si>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</si>
  <si>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Date: July 13-17, 2020 45 PAX - AM&amp;PM Snacks, Lunch - 5 DAYS</t>
  </si>
  <si>
    <t xml:space="preserve"> PROJECT: PURCHASE OF VARIOUS PRINTING FORMS LOCATION: RHU-RIZAL, NUEVA ECIJA SOURCE OF FUND: HCI TRUST FUND ABC: PHP 53,000.00</t>
  </si>
  <si>
    <t xml:space="preserve"> Purchase of Sofa Set and Office Table for the Office of the Mayor 1 pc 2 seater sofa 1 pc 3 seater sofa 1 pc Office Table</t>
  </si>
  <si>
    <t xml:space="preserve"> Republic of the Philippines							 Province of Bohol							 Municipality of Batuan							 							 ABSTRACT OF BID/BILL OF QUANTITIES							 ____________________________							 ____________________________							 ____________________________							 							</t>
  </si>
  <si>
    <t xml:space="preserve"> Republic of the Philippines				 Province of Bohol				 Municipality of Batuan				 				 ABSTRACT OF BID/BILL OF QUANTITIES				 ____________________________				 ____________________________				 ____________________________				 				  Sealed proposals,plainly </t>
  </si>
  <si>
    <t xml:space="preserve"> Chlorine Powdered Soap 25kls/Box</t>
  </si>
  <si>
    <t xml:space="preserve"> Ring Binder Machine &amp; Printer</t>
  </si>
  <si>
    <t xml:space="preserve"> INVITATION TO BID The City of Bayawan, through its Bids and Awards Committee (BAC), invites suppliers/manufacturers/distributors/contractors to bid for the hereunder projects: 	Lot No. I		BRANDNEW SERVICE VEHICLE					 1	1	unit	Service Vehicle (Brand New)	</t>
  </si>
  <si>
    <t xml:space="preserve"> July 1, 2020 REQUEST FOR QUOTATION (RFQ) DRYBATH 1.	The Batangas Medical Center hereinafter referred to as the “Purchaser” now request for submission of price proposal for the procurement of the aforesaid item described in the Technical Specifications. 2.</t>
  </si>
  <si>
    <t xml:space="preserve"> Please quote your lowest price on the item/s listed below, subject to the General Conditions stating the shortest time of delivery and submit your quotation duly signed by your representative not later than July 6, 2020  at the Bids and Awards Committee S</t>
  </si>
  <si>
    <t xml:space="preserve"> Construction of 149.75 sq.m. Two storey Multi-Purpose Building (Phase I).</t>
  </si>
  <si>
    <t xml:space="preserve"> LOCAL GOVERNMENT UNIT OF NAGUILIAN , ISABELA INVITATION TO BID FOR the PURCHASE OF ONE (1) UNIT BRAND NEW HYDRAULIC EXCAVATOR 1.	The Local Government Unit of Naguilian, Isabela, through the Loan proceeds from the Land Bank of the Philippines intends to ap</t>
  </si>
  <si>
    <t xml:space="preserve"> as per (electronic) file attached:</t>
  </si>
  <si>
    <t xml:space="preserve"> INVITATION TO BID FOR THE   SUPPLY AND DELIVERY OF CONSTRUCTION MATERIALS FOR THE  REHABILITATION OF CARROMATA WATER SYSTEM,  CARROMATA, SAN MIGUEL, SURIGAO DEL SUR 1. The  Local Government Unit of San Miguel through the  Bids and Awards Committee (BAC) i</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</si>
  <si>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</si>
  <si>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For the use of the Sagguniang Kabataan Office 1 unit Laptop with complete accessories</t>
  </si>
  <si>
    <t xml:space="preserve"> Construction/Rehabilitation of Water Supply /Septage and Sewerage/Rainwater Collectors System-Rain Water Collectors in Public Facilities</t>
  </si>
  <si>
    <t xml:space="preserve"> For the use of the Sagguniang kabataan as Frontliners for CORONA Virus Pandemic 1 unit Thermal scanner 2 boxes Disposable face mask</t>
  </si>
  <si>
    <t xml:space="preserve"> To All Eligible Suppliers; Please quote your lowest price on the item listed below, subject to the General Condition stated herein and submit the same to the Office of the BAC-Secretariat on or before July 20, 2020 at 10:00 O'clock in the morning SGD.) WU</t>
  </si>
  <si>
    <t xml:space="preserve"> Completion of Drainage System including other improvement,</t>
  </si>
  <si>
    <t xml:space="preserve"> Republic of the Philippines DEPARTMENT OF PUBLIC WORKS AND HIGHWAYS SARANGANI  DISTRICT ENGINEERING OFFICE REGIONAL OFFICE XII Alabel, Sarangani Province   INVITATION TO BID  for The DPWH-Sarangani District Engineering Office, Alabel Sarangani Province, t</t>
  </si>
  <si>
    <t xml:space="preserve"> 100 pack Lenin Paper Long 20 pack Photo Paper (A4 Glossy) 24 pc correction tape roll type 4 pcs. Flash Drive 16GB 3 pcs. Flash Drive 32GB 18 pcs. sign pen (red) 30 pcs sign pen (blue) 24 pcs sign pen (black) 18 pcs. sign pen (violet) 48 pcs. Ballpen Black</t>
  </si>
  <si>
    <t xml:space="preserve"> 50	ream	Bondpaper short sub 20 100	pc	Folder long 20	pc	Glue 25	pc	Scotch tape 2" 50	box	Paper fastener 35	box	Paper clip large 35	box	Binder clip medium 35	box	Binder clip large 100	pc	Brown envelope long 5	roll	Nylon (tansi) 100	pc	Mailing envelop 25	pc</t>
  </si>
  <si>
    <t xml:space="preserve"> Construction of landfill fence 128m with 5m gate and soil covering of 0.9 hectare landfill.</t>
  </si>
  <si>
    <t xml:space="preserve"> Communication Expense		 1	Cellcards (Globe)	50	pcs 2	Cellcards (Smart) TNT	50	pcs 3	Cellcards (TM)	50	pcs 4	Cellcards (Smart Buddy)	50	pcs</t>
  </si>
  <si>
    <t xml:space="preserve"> Republic of the Philippines Province of Nueva Vizcaya BIDS AND AWARDS COMMITTEE (BAC-Goods) BAC OFFICE, Provincial Capitol, Bayombong, Nueva Vizcaya 	 REQUEST FOR QUOTATION (RFQ)  For the Procurement of Filing Cabinet, Office Table, etc. For the Provincia</t>
  </si>
  <si>
    <t xml:space="preserve"> Republic of the Philippines								 Department of Education								 R4B MiMaRoPa								 Division Of Occidental Mindoro								 PEDRO T. MENDIOLA SR., MEMORIAL NATIONAL HIGH SCHOOL								 National Road, Bagong Sikat, San Jose, Occidental Mindoro								 </t>
  </si>
  <si>
    <t xml:space="preserve"> July 1, 2020 REQUEST FOR QUOTATION (RFQ) VORTEX 1.	The Batangas Medical Center hereinafter referred to as the “Purchaser” now request for submission of price proposal for the procurement of the aforesaid item described in the Technical Specifications. 2.	</t>
  </si>
  <si>
    <t xml:space="preserve"> Portland Cement, Gravel &amp; Sand, Red Cement, CHB, Hacksaw Blade, Bit. Conc. Surface Coarse (FDLRC, Bit. Tack Coat G.I tie Wire, RMC, Base Coarse, Deformed Bars</t>
  </si>
  <si>
    <t xml:space="preserve"> Rehabilitation of Road including Drainage,</t>
  </si>
  <si>
    <t xml:space="preserve"> Procurement of Electrical Equipment and Supplies 1. Chiller, Power: 1HP; voltage 220-240V; frequency: 50Hz, working Current: 3.2 A, water Refrigerated: 300-2000L; Iced Medium; R134A;Rate of Flow;1500-4000 L/H; Weight (kg): 31.3, size 520x400x480mm - 1 uni</t>
  </si>
  <si>
    <t xml:space="preserve"> 1	HDPE Pipe ½ x 300m ( Blue)- Local	        15	Rolls 2	Brass Replacement Piece1/2” HD -Local	400	Pcs. 3	GI Elbow3/4”HD - Local	                        400	Pcs. 4	GI St. Elbow ¾” HD - Local                  	300	Pcs. 5	GI Elbow ½” HD - Local               </t>
  </si>
  <si>
    <t xml:space="preserve"> - HARDWARE SUPPLIES &amp; MATERIALS - FOR REPAIR/ MAINTENANCE OF WATER SYSTEM, LEVEL III &amp; II</t>
  </si>
  <si>
    <t xml:space="preserve"> Dual Capability Drone with Smart Controller Fly More Kit</t>
  </si>
  <si>
    <t xml:space="preserve"> Reference No. PR # 20-06-0792 PRICE QUOTATION FORM (BID FORM) Sealed Bids shall be dropped in the BIDDERS BOX on or before 2:00 P.M.  July 07, 2020    placed at the office of the Chairman of the College BAC. Thereafter, the Bidder's Box shall be sealed un</t>
  </si>
  <si>
    <t xml:space="preserve"> 133 vials rabies vaccine (10ml) disposable syringe 3ml (100's) disposable syringe 5ml (100's) alcohol 70% isoprophyl 500 ml</t>
  </si>
  <si>
    <t xml:space="preserve"> 1 Lot Labor and Additional Tubing for the 12 Aircon Units at PSAU Innovation Center</t>
  </si>
  <si>
    <t xml:space="preserve"> 5 units Motor Vehicle Municipality of Norzagaray, Bulacan</t>
  </si>
  <si>
    <t xml:space="preserve"> Procurement of Sieves 1. Standard Sieves, Standard Sieves with pan and lid						- 4	set 	200mm diameter							 	US standard sieve size/clear							 	Opening (in), No.100 - 0.0059 inch,							 	No. 50-0.0117 inc							 	No. 30 - 0232 inch							 	No. 16 - </t>
  </si>
  <si>
    <t xml:space="preserve"> CATERING SERVICES: 794 PAX X 1 DAY X 250.00 TO BE CONDUCTED BY BATCH (12 BATCHES)</t>
  </si>
  <si>
    <t xml:space="preserve"> Smart TV 32 inches</t>
  </si>
  <si>
    <t xml:space="preserve"> Invitation to Bid No. 2020-02 Republic of the Philippines Batangas City Invitation to Bid for the Purchase of Various Medicines for the use of Barangay Mahacot Kanluran, Batangas City. The Barangay Government through the Office of the Brgy. Chairman inten</t>
  </si>
  <si>
    <t xml:space="preserve"> INVITATION TO BID  REHABILITATION OF BASKETBALL COURT AT OPAL ST.  LOS BAÑOS SUBD. BARANGAY BATONG MALAKE, LOS BAÑOS, LAGUNA 1.	The BRGY. BATONG MALAKE, through the 20% Barangay Development Fund intends to apply the sum of ONE HUNDRED SIXTEEN THOUSAND NIN</t>
  </si>
  <si>
    <t xml:space="preserve"> ONE LOT OF RECONDITIONED RESCUE VEHICLE/AMBULANCE WITH RESCUE AND PROTECTIVE EQUIPMENT The complete list of activities is listed below: 1. Issuance of bid documents: July 02 to July 22, 2020 2. Bid Opening: July 22, 2020 3. Bid Evaluation: July 23, 2020 4</t>
  </si>
  <si>
    <t xml:space="preserve"> Construction  of Multi-Purpose Building,</t>
  </si>
  <si>
    <t xml:space="preserve"> Republic of the Philippines Province of Agusan del Norte Municipality of Nasipit BIDS AND AWARDS COMMITTEE July 1, 2020 REQUEST for QUOTATION The Local Government Unit of Nasipit, through its Bids and Awards Committee (BAC) will undertake a Small Value Pr</t>
  </si>
  <si>
    <t xml:space="preserve"> - PLUMBING SUPPLIES &amp; MATERIALS - FITTINGS</t>
  </si>
  <si>
    <t xml:space="preserve"> QTY	UNIT	ITEM DESCRIPTION 		 		Supply and Delivery of Tarpaulin  11.00 	pc/s	3 x 3 ft.  11.00 	pc/s	2 x 9 ft.  11.00 	pc/s	2 x 3 ft.  11.00 	pc/s	3 x 3 ft.  11.00 	pc/s	3 x 4 ft.  7.00 	pc/s	4 x 6 ft.</t>
  </si>
  <si>
    <t xml:space="preserve"> Name of Project	:          Supply of Manpower, Materials, Tools   and                                     Engineering Supervision  in the Replacement of Eighteen (18)                                     Units  Capacitor Bank. Location	           Power Sub</t>
  </si>
  <si>
    <t xml:space="preserve"> Public Bidding See Attachments</t>
  </si>
  <si>
    <t xml:space="preserve"> 6 pcs. 10.00-20 Miler</t>
  </si>
  <si>
    <t xml:space="preserve"> 1 LOT Pest Control Services on: 1.	Termite Abatement Maintenance Program (TAMP) 2.	Rat Abatement Maintenance Program (RAMP) For the following areas: 1.	Pag-IBIG Fund Main Building 2.	Annex Building (COA) 3.	Back of Admin, Accounting &amp; Records rooms 4.	Gua</t>
  </si>
  <si>
    <t xml:space="preserve"> 1. FABRICATION WORKS</t>
  </si>
  <si>
    <t xml:space="preserve"> 100 box	Gloves, nitirle, powder-free, medium size	  100 box	Gloves, nitirle, powder-free, large size	  General Conditions: 1. All entries must be typewritten or in print. 2. Price validity shall be for a period of 90 calendar days. 3. Indicate the referen</t>
  </si>
  <si>
    <t xml:space="preserve"> PROVISION OF SUPPLIES FOR COVID-19 200 boxes   Surgical Mask 100 pcs       Hand washing soap (Large, pump) 100 gal        70% Isopropyl Alcohol 120 pcs       Customized Face Shield for SDO Biliran</t>
  </si>
  <si>
    <t xml:space="preserve"> 1 4 REAM/S PAPER - BOOK SUBS.20 SHORT ( 8 1/2"X11" ) 2 2 REAM/S PAPER - BOOK LEGAL,216MMX330MM(8-1/2"X13"),MIN OF 70GSM 3 2 PC/S INK - EPSON - YELLOW T6644 4 2 PC/S INK - EPSON - CYAN T6642 5 2 PC/S INK - EPSON - MAGENTA T6643 6 2 PC/S INK - EPSON - BLACK</t>
  </si>
  <si>
    <t xml:space="preserve"> Supply and Delivery of Supplies and Consumables</t>
  </si>
  <si>
    <t xml:space="preserve"> Concreting of Road</t>
  </si>
  <si>
    <t xml:space="preserve"> 30 btls hemorrhagic septcernia vaccine 100 ml 20 lts dewormers tricablendazole 2 pcs fiber glass syringe 10ml 24 pc hypodermic needle gauge 16x1" 24 pcs hypodermic needle gauge 18x1.5"</t>
  </si>
  <si>
    <t xml:space="preserve"> ALCOHOL, 70% SOLUTION	35	BOT BALLPEN, RETRACTABLE BLACK	30	PCS BINDER CLIP, METAL CLAMP, 3 INCHES, 1DOZ/BOX	20	BOX BINDER CLIP, METAL CLAMP, 2 INCHES, 1DOZ/BOX	20	BOX BOND PAPER, A4, 5REAM/BOX	30	BOX CD RW	20	PCS CORRECTION TAPE	30	PCS DISINFECTANT SPRAY	</t>
  </si>
  <si>
    <t xml:space="preserve"> 1.	The MUNICIPALITY OF GUINAYANGAN, QUEZON, through  the  2020 MOOE  intends to apply the sum of  Eighty Six Thousand Two Hundred Twenty Five  Pesos (P 86,225.00) being the Approved Budget for the Contract (ABC) to payments under the contract for Supply a</t>
  </si>
  <si>
    <t xml:space="preserve"> July 1, 2020 REQUEST FOR QUOTATION (RFQ) PRINTER 3-IN-1, COLORED  1.	The Batangas Medical Center hereinafter referred to as the “Purchaser” now request for submission of price proposal for the procurement of the aforesaid item described in the Technical S</t>
  </si>
  <si>
    <t xml:space="preserve"> To conduct free flu vaccination for the constituents of Barangay Silangan I.</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</si>
  <si>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</si>
  <si>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Topography Survey of Iloilo Science and Technology University (ISAT U CAMPUS with a total Area of 61, 340 Sq.M. 1, Surveying Works, TOPOGRAPHIC SURVEY OF ILOILO SCIENCE &amp; TECHNOLOGY UNIVERSITY (ISAT U CAMPUS with a total  Area of 61,340 Sq.M.						1	lot S</t>
  </si>
  <si>
    <t xml:space="preserve"> 1 UNIT WHEEL LOADER (BRAND NEW) -	6 CYLINDER DIESEL eNGINE -	-3.0cm. Bucket Capacity -	5000 Kg. rated Operating Load -	162 KW rated power -	3.15-3.56 m dump clearance -	5.5m working Height max -	23.5 x 25 x16 PR Tire Size  -	With complete accessories 1 un</t>
  </si>
  <si>
    <t xml:space="preserve"> for repair/maintenace of 1 unit Renault Fire Truck  1 unit chassis and water tank</t>
  </si>
  <si>
    <t xml:space="preserve"> Republic of the Philippines CITY OF IRIGA BIDS AND AWARDS COMMITTEE June 22, 2020 REQUEST FOR QUOTATION 1. The City of Iriga through the Bids and Awards Committee (BAC) now invites contractors, registered with and classified by the Philippine Contractors </t>
  </si>
  <si>
    <t xml:space="preserve"> l.	The MUNICIPALITY OF GUINAYANGAN, QUEZON, through  the  2020 C.O.    intends to apply the sum of  One Hundred Sixty Nine Thousand Four Hundred Ninety  Pesos                      (P 169,490.00) being the Approved Budget for the Contract (ABC) to payments</t>
  </si>
  <si>
    <t xml:space="preserve"> INVITATION TO BID  The DPWH, Negros Occidental 2nd District Engineering Office, Binalbagan, Negros Occidental, through its Bids and Awards Committee (BAC), invites contractors to submit bids for the following Contract: 1.	CONTRACT ID	:   20GL0092 Contract</t>
  </si>
  <si>
    <t xml:space="preserve"> This project is dealing of Brgy. Cogorin Ilaya, Lopez, Quezon</t>
  </si>
  <si>
    <t xml:space="preserve"> General Body repair, replace defective handles and rubber			1	Set	50,000.00 General Body painting			1	Set	55,000.00 Repair of Aircon			1	Set	45,000.00 Repair of front wheel drive			1	Set	28,000.00 Repair of brake system			1	Set	22,000.00 Repair of suspens</t>
  </si>
  <si>
    <t xml:space="preserve"> - FOR INSTALLATION OF WOODEN ROOM PARTITION &amp; DEEPWEEL CONSTRUCTION - POBLACION, SIAYAN, ZAMBO. DEL NORTE</t>
  </si>
  <si>
    <t xml:space="preserve"> •	Quotations must be addressed to Ms. Angellyn B. Dionisio, Procurement Unit Head •	Deadline for the submission of quotations shall be on or before July 6, 2020 •	Price quoted shall be inclusive of VAT •	Total quoted price is subject of government TAX. •	</t>
  </si>
  <si>
    <t xml:space="preserve"> 1. 145 bags Portaland Cement  2, 20 Cu.m W. sand  3. 15 Cu.m Clean Gravel  4. 20 pcs 2x6x12 Matwood  5. 2 kgs 3'C.nail  6. 8 pcs 10mm dia. DSB  7. 20 Cu.m Agg.base Coarse</t>
  </si>
  <si>
    <t xml:space="preserve"> Republic of the Philippines BIDS AND AWARDS COMMITTEE Municipality of Irosin Reference Number: BAC-0046-2020								 July 1, 2020 REQUEST FOR QUOTATION The Local Government Unit of Irosin, through its Bids &amp; Awards Committee (BAC), requests suppliers/manu</t>
  </si>
  <si>
    <t xml:space="preserve"> REQUEST FOR QUOTATION (RFQ) The Philippine Ports Authority, PMO- Zamboanga del Norte, through its Bids and Awards Committee will undertake Negotiated Procurement – Sec.53.9 Small Value Procurement for the following procurement as part of Approved Semi Exp</t>
  </si>
  <si>
    <t xml:space="preserve"> Republic of the Philippines Province of Albay Municipality of Rapu-Rapu Barangay Mananao   INVITATION TO BID FOR THE 20% EDF CY 2020 PROJECTS 1.	The Barangay Local Government Unit of Mananao, Rapu-Rapu, Albay, through the Budget for the Contract Approved </t>
  </si>
  <si>
    <t xml:space="preserve"> 1000 pcs. 9mm DSB 160 bags Cement 40 kls. Tie Wire 10 cu.m. Sand</t>
  </si>
  <si>
    <t xml:space="preserve"> PROJECT: PURCHASE OF 100 SETS LED STREET LIGHTS WITH INSTALLATION 30W STREETLIGHTS ARM 8FT W/ BOLT &amp; NUT STRAP MACHINE BOLT W/ INSULATOR PHOTOCEL EXTREME LOCATION: BARANGAY SANTIAGO, CONCEPCION, TARLAC APPROVED BUDGET FOR THE CONTRACT: PHP 1,250,000.00 SO</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</si>
  <si>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</si>
  <si>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1 unit Television 55 inches Smart LED 1 unit Television 50 inches Smart LED 1 unit Television 45 inches Smart LED 2 units Television 40 inches Smart LED</t>
  </si>
  <si>
    <t xml:space="preserve"> 12 carts. Kyocera Toner TK-479 6 carts. Kyocera Toner TK-1147</t>
  </si>
  <si>
    <t xml:space="preserve"> Republic of the Philippines Province of Quezon Municipality of Atimonan Barangay Balugohin Project Reference No: 2020-07 Name of the Project: Provision of Uniform Location of the Project: Barangay Balugohin Atimonan, Quezon REQUEST FOR QUOTATION-SHOPPING </t>
  </si>
  <si>
    <t xml:space="preserve"> 1 MOTOR VEHICLE TO BE USED IN VICE MAYOR'S OFFICE General Specifications Overall Length: atleast 260mm -4600mm Overall Width: atleast 1695mm Overall Height:atleast 1895 mm- 1955 mm Wheelbase: atleast 2350mm -240 mm Ground Clerance: atleast 195 mm-200 mm M</t>
  </si>
  <si>
    <t xml:space="preserve"> Supply and delivery of Construction Materials for Drainage and Hand washing Facilities RFQ</t>
  </si>
  <si>
    <t xml:space="preserve"> Supply and Delivery of Office Accessories</t>
  </si>
  <si>
    <t xml:space="preserve"> Please see attached specification.</t>
  </si>
  <si>
    <t xml:space="preserve"> Hematology Analyzer for Rosales Health Unit use.</t>
  </si>
  <si>
    <t xml:space="preserve"> 1 unit DESK TOP specification: CORE i3 intel h110 motherboard 8 gb memory  1 tb hdd 18" monitor, dvd room with accessories (2 sound boxes, mouse pad) with CAMERA</t>
  </si>
  <si>
    <t xml:space="preserve"> 1 Lot Carpentry Supplies</t>
  </si>
  <si>
    <t xml:space="preserve"> 16	units	LED Outdoor Flood Light 150 Watts DL	 3	roll	Electrical Tape 1	box	# 12 THHN Wire 20	pc	18 watts CFL 1	set	2-Gang Switch 50	pcs	# 1 Screw (black) 50	m	# 14 THHN Wire 5	pcs	2 x 2 Receptacle 6	pcs	9 watts LED Bulb</t>
  </si>
  <si>
    <t xml:space="preserve"> Invitation to Bid for the Supply and Delivery of various Medical Supplies for the use of Brgy. Soro-Soro Ibaba, Batangas City</t>
  </si>
  <si>
    <t xml:space="preserve"> Procurement of Window TYpe Airconditioner w/ Installation</t>
  </si>
  <si>
    <t xml:space="preserve"> QTY	UNIT	ITEM DESCRIPTION 		 		Meals and Snacks 		 		Lunch  30.00 	pack/s	1 serving of Plain Rice, Chicken Pork Adobo, 1 Bottled of 500 ml Mineral Water and 1 pc medium size Ripe Banana 		 		Snacks  30.00 	pack/s	Hamburger and 250 ml Bottled Softdrinks</t>
  </si>
  <si>
    <t xml:space="preserve"> Construction of 14.0m x 11.0m 2 Classroom Gabaldon-Type School Building</t>
  </si>
  <si>
    <t xml:space="preserve"> 24 PC -  SMART SATELLITE TOP-UP CARD (250 UNITS EACH) 1.       Price quotation must be based on the Terms of Reference (TOR) / Scope of Work/Services (SOW) / Technical Specifications (TS), as applicable and must be duly signed by the vendor’s representati</t>
  </si>
  <si>
    <t xml:space="preserve"> MOTORCYCLE &gt; 150L SPECIFICATION: Engine Type: 4 stroke cylinder                    air cooled, over head                    Cam (OHC) Starting system: electric and kick Suspension type: telescopic fork Brake type: Drum brake (rear) Suspension type (rear):</t>
  </si>
  <si>
    <t xml:space="preserve"> - ROAD REHABILITATION FROM NATIONAL HIGHWAY TO ECOLOGICAL SOLID WASTE MANAGEMENT</t>
  </si>
  <si>
    <t xml:space="preserve"> Republic of the Philippines PROVINCE OF NUEVA VIZCAYA Municipality of Alfonso Castañeda  BIDS &amp; AWARDS COMMITTEE FOR GOODS &amp; SERVICES Invitation to Bid for  Supply &amp; Delivery of Materials for Installation &amp; Upgrade of Street Lights 1.	The Local Governme</t>
  </si>
  <si>
    <t xml:space="preserve"> July 1, 2020 REQUEST FOR QUOTATION (RFQ) MINIFUGE 1.	The Batangas Medical Center hereinafter referred to as the “Purchaser” now request for submission of price proposal for the procurement of the aforesaid item described in the Technical Specifications. 2</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</si>
  <si>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</si>
  <si>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Repair and Change Oil of RKV-726 Garbage Compactor</t>
  </si>
  <si>
    <t xml:space="preserve"> 1 4 ROLL/S BINDING - SPIRAL 1.5" 2 4 ROLL/S BINDING - SPIRAL 2" 3 5 ROLL/S BINDING - SPIRAL 2.5" 4 3 REAM/S PAPER - BOOK LEGAL,216MMX330MM(8-1/2"X13"),MIN OF 70GSM 5 30 PC/S PAPER - MANILA</t>
  </si>
  <si>
    <t xml:space="preserve"> - Salcedo, B ansud Oriental Mindoro Concretig of Sto Nino. Barangay Roads Length+540L.m., Width = 4m Thickness=200mm (8”) w/1.5 m shoulder both sides</t>
  </si>
  <si>
    <t xml:space="preserve"> Various Medical Equipment, Medicine &amp; Medical Supplies</t>
  </si>
  <si>
    <t xml:space="preserve"> see associated components for downloadable and complete RFQ 2020-4136</t>
  </si>
  <si>
    <t xml:space="preserve"> PLEASE SEE ATTACHED PURCHASE REQUEST</t>
  </si>
  <si>
    <t xml:space="preserve"> REPRODUCTION OF SUPPLEMENTARY MATERIALS OF BEGINNING READING FOR GRADE 1 LEARNERS</t>
  </si>
  <si>
    <t xml:space="preserve"> 6 pcs SSD - 512GB &amp; 6 others</t>
  </si>
  <si>
    <t xml:space="preserve"> 12 meters Cloth (twine textile) 43 pcs Lesson Plan 1 Champ bag (laptop bag) 1 unit Air Pot ( 5liters) 1 dish drainer 2 dozen dinner plate 1 dozen cup and saucer 20 pcs. curtain 4 pcs Tarpaulin (4"X8") 1 pc. Tarpaulin  (8" X 12")</t>
  </si>
  <si>
    <t xml:space="preserve"> 30 packs day 1 snacks- chicken sandwich and water 30 packs lunch- sweet and sour fish tortang talong and water 30 packs pm- snacks- bihon with bread and water 30 packs day 2 am snacks- cheeses piemento sand 30 packs lunch- fried chicken and chopsuey h20 3</t>
  </si>
  <si>
    <t xml:space="preserve"> July 1, 2020 REQUEST FOR QUOTATION (RFQ) CENTRIFUGE (96 PLATE PLACER) 1.	The Batangas Medical Center hereinafter referred to as the “Purchaser” now request for submission of price proposal for the procurement of the aforesaid item described in the Technic</t>
  </si>
  <si>
    <t xml:space="preserve"> ITB Materials for Rehabilitation of Health Center 1000   pcs  Ceramic Tiles    20   bgs  Portland Cement    20   bgs  Adhesive Cement    50   bgs  Tile Grout     1    ld     Fine Aggregates (MDT)</t>
  </si>
  <si>
    <t xml:space="preserve"> 1.	The MUNICIPALITY OF GUINAYANGAN, QUEZON, through  the  2020 MOOE  intends to apply the sum of  One Hundred Eighty One Thousand Six Hundred Fifteen  Pesos                 (P 181,615.00) being the Approved Budget for the Contract (ABC) to payments under </t>
  </si>
  <si>
    <t xml:space="preserve"> National Irrigation Administration Iloilo-Guimaras Irrigation Management Office			 Tacas, Jaro, Iloilo City    Tel./Fax No. (033) 3202500                                                                                                            INVITATION</t>
  </si>
  <si>
    <t xml:space="preserve"> Please see attached documents</t>
  </si>
  <si>
    <t xml:space="preserve"> Republic of the Philippines Province of Negros Occidental Municipality of Ilog Invitation to bid for sale Amount:Php 5,000 Re-bid, Purchase of Multi-Purpose Vehicle for the use of Ilog Rural Health Unit. Ilog, Negros Occidental MULTI-PURPOSE VEHICLE	 (Fou</t>
  </si>
  <si>
    <t xml:space="preserve"> Various Equipment and medicines</t>
  </si>
  <si>
    <t xml:space="preserve"> Item	ITEMS &amp; DESCRIPTION	QTY	UNIT No.	 	 	 	 	 	  1	Fuel	1	lot</t>
  </si>
  <si>
    <t xml:space="preserve"> 2 pack Lenin Paper (short) 10 pcs. Cartolina (US cartolina) 2 box Paper clip (giant) 12 Reams Bond Paper (short) 12 Reams Bond Paper (A4)  10 Reams Bond Paper (long) 2 Rolls Laminating Plastic (9") 5 bot. EPSON ink Black 3 bot. EPSON Ink Magenta 4 bot. EP</t>
  </si>
  <si>
    <t xml:space="preserve"> INVITATION TO BID  The DPWH, Negros Occidental 2nd District Engineering Office, Binalbagan, Negros Occidental, through its Bids and Awards Committee (BAC), invites contractors to submit bids for the following Contract: CONTRACT ID	:   20GL0093 Contract Na</t>
  </si>
  <si>
    <t xml:space="preserve"> Rice (25 kgs)			135	Sack	189,000.00 Variety: local rice, well-milled (dinorado)					 					 					 					 					 					 Total					189,000.00</t>
  </si>
  <si>
    <t xml:space="preserve"> Office Equipment</t>
  </si>
  <si>
    <t xml:space="preserve"> see rfq</t>
  </si>
  <si>
    <t xml:space="preserve"> Installation of Public Address System</t>
  </si>
  <si>
    <t xml:space="preserve"> 1. 100 bags Porland Cement  2. 15 cu.m Washed Sand  3.20 cu. m Aggregate Base Gravel  4. 20 cu.m Clean gravel  5. 20 pcs 2x6x12 Matwood  6.2 kgs 3' Com. nail  7. 8 pcs 10mm dia. DSB</t>
  </si>
  <si>
    <t xml:space="preserve"> Supply and Delivery of various Consturction Supply</t>
  </si>
  <si>
    <t xml:space="preserve"> see attached associated component documents</t>
  </si>
  <si>
    <t xml:space="preserve"> PLEASE SEE ATTACHED PURCHASED REQUEST</t>
  </si>
  <si>
    <t xml:space="preserve"> 1 Lot Ceiling Works</t>
  </si>
  <si>
    <t xml:space="preserve"> Please see attached RFQ # 20-694-1 Submit the HARDCOPY of your SIGNED and SEALED quotation together with your UPDATED ELIGIBILITY requirement on or before the closing date of this opportunity. For more information, please contact Ma'am Nanette M. Rosales </t>
  </si>
  <si>
    <t xml:space="preserve"> Hard helmet (orange) with safety goggles 13 pcs Emergency management team rescuers vest color: blue sizes: small,medium,large,extra large 14 pcs Extrication gloves sizes: medium,large 12 pcs Sublimated dry fit long sleeve  sizes: small,medium,large,extra </t>
  </si>
  <si>
    <t xml:space="preserve"> Construction of Reinforced Concrete Deck  Grider Bridge, Phase II Manihala, B ansud Oriental Mindoro Construction of Bridge, concrete railing(double),abbutment, and approach of bridge (riprap only) Embankment counterpart by LGU</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</si>
  <si>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</si>
  <si>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Please quote your lowest price on the item/s listed below, stating the shortest time of delivery and						 submit your quotation duly signed by your representative not later than July 06, 2020 5PM.						 						 				Orlando A. Aycardo		 				Canvasser		 	No</t>
  </si>
  <si>
    <t xml:space="preserve"> LGU-BAROBO		Project Reference Number		 Name of Procuring Entity				 			Barobo, Surigao del Sur	 Standard Form Number: SF-GOOD-60				 Revised on: May 24, 2004				 Standard Form Title: REQUEST FOR QUOTATION				 			D a t e       :	 			Quotation No.	 				 	  </t>
  </si>
  <si>
    <t xml:space="preserve"> 1	set	Distribution Transformer,  Brand new, 25KVA Input voltage: 7620 / 13200Y Output voltage: 120/140 Insulation: not less than 2000MΩ Core Loss (Silicon Steel Core): less than 82 watts Core Loss (Amorphous Metal Core): less than 17 watts Winding Loss: l</t>
  </si>
  <si>
    <t xml:space="preserve"> See attached components for details.</t>
  </si>
  <si>
    <t xml:space="preserve"> 1 set, Desktop Computer with Monitor - processor:  Intel Core i5-7400, 3.0 GHz, - 6MB cache, 4 cores, Kabylake 7th Gen - chipset-intelᴿ H110; memory-4G DDR4 (up to 32GB of dual channel DDR4) - Hard Disk Drive 1TB HDD 7200RPM; Optical Drive-16X DVD-super m</t>
  </si>
  <si>
    <t xml:space="preserve"> please see attached document...</t>
  </si>
  <si>
    <t xml:space="preserve"> Supply and delivery of the following:								 											 1	6	pcs	Ribbon - SO15589 - FOR EPSON LQ590 PRINTER						Php__________		Php__________ 2	10	pcs	Toner Cartridge, HP 204A, Black, CF510A, original						Php__________		Php__________ 				For HP Laserjet</t>
  </si>
  <si>
    <t xml:space="preserve"> CITY GOVERNMENT OF ZAMBOANGA		Purchase Request No.:	100-20-01-0186/January 8, 2020 Bids and Awards Committee  Villalobos St., Zamboanga City		Office of the:	CHO 		Amount:	P 1,452,000.00 SF-GOOD-60	 REQUEST FOR QUOTATION (53.1 “Two Failed Biddings”)       </t>
  </si>
  <si>
    <t xml:space="preserve"> Republic of the Philippines Province of Negros Occidental Municipality of Ilog Invitation to bid for sale Amount: Php 1,000 Purchase of Quadrivalent flu vaccine for the Ilog employees FLU Vaccination. Ilog, Neg. Occ.</t>
  </si>
  <si>
    <t xml:space="preserve"> QTY	UNIT	ITEM DESCRIPTION 		 		Nutrition Services  250.00 	pc/s	T-Shirt - (V-neck with print) 		Color : White 		XS - 11 		S - 57 		M - 86 		L - 73 		XL - 17 		XXL - 6</t>
  </si>
  <si>
    <t xml:space="preserve"> Information Technology- 1.2sets-Cpmputer w/printer Specs: Intel Core i5-7400 7th Gen. 2.2units-Laptop Specs: AMD Ryzen 73700U (2.3 GHz base clock 2h) 3.2 units Cellphone Specs:6.2inch, 64mp,12gb ram,4600mAh 4.1 unit-Cellphone Specs:6.4inch,64mp,4gb/6gb ra</t>
  </si>
  <si>
    <t xml:space="preserve"> Republic of the Philippines PROVINCE OF AGUSAN DEL SUR Municipality of San Luis OFFICE OF BIDS &amp; AWARDS COMMITTEE REQUEST FOR QUOTATION The Municipal Government of San Luis, Agusan del Sur, through its Bids and Awards Committee will undertake a Small Valu</t>
  </si>
  <si>
    <t xml:space="preserve"> Office Supplies for Sanggunian Bayan Members</t>
  </si>
  <si>
    <t xml:space="preserve"> CITY GOVERNMENT OF ZAMBOANGA		Purchase Request No.:	100-20-02-0594/February 21, 2020 Bids and Awards Committee  Villalobos St., Zamboanga City		Office of the:	CGSO-CITY AGRICULTURIST 		Amount:	P 300,000.00 SF-GOOD-60 REQUEST FOR QUOTATION (53.9 Small Valu</t>
  </si>
  <si>
    <t xml:space="preserve"> Department of Trade and Industry CONSTRUCTION INDUSTRY AUTHORITY OF THE PHILIPPINES 5/F Executive Bldg. Center, Sen. Gil Puyat Ave. Cor. Makati Ave., Makati City BIDS AND AWARDS COMMITTEE REQUEST FOR QUOTATION The Construction Industry Authority of the Ph</t>
  </si>
  <si>
    <t xml:space="preserve"> 1. 4,000 ltrs Diesel Fuel Note: the price/s quoted by the supplier shall be valid for a period of seven (7) calendar days from the date of the quotation, and the item/s shall be delivered to the procuring entity regardless of an increase or decrease in th</t>
  </si>
  <si>
    <t xml:space="preserve"> 200      PCS        RAPID TEST KIT          199,800.00                                             TOTAL:    199,800.00</t>
  </si>
  <si>
    <t xml:space="preserve"> Purchase of DRRM Response and Mitigation Supplies for COVID 19 For SDO Personnel Official Use</t>
  </si>
  <si>
    <t xml:space="preserve"> PLEASE SEE ATTACHED FILE</t>
  </si>
  <si>
    <t xml:space="preserve"> Provision of Food (meals &amp; snacks) ABC:151,200.00 	60 pax 1 meal &amp; 1 snack  for 7 meetings (420 pax) -	June- December 2020 -	Buffet style -	With flowing coffee  -	Water dispenser -	With standby waiter  -	Delivered on site 	Venue: DA-RFO XII, Koronadal Cit</t>
  </si>
  <si>
    <t xml:space="preserve"> 1 4 REAM/S PAPER - BOOK LEGAL,216MMX330MM(8-1/2"X13"),MIN OF 70GSM 2 3 REAM/S PAPER - BOOK SUBS.20 SHORT ( 8 1/2"X11" ) 3 1 CART. TONER - LBP 6230dn Canon 4 3 BOX/S PVC COVER - LONG-8 1/2"X13"</t>
  </si>
  <si>
    <t xml:space="preserve"> Airconditioning and Airconditioning System- 1. Split Type Basic Inverter 2.0Hp - Desmantling - Supply - Delivery &amp; Installation</t>
  </si>
  <si>
    <t xml:space="preserve"> Republic of the Philippines PROVINCE OF PANGASINAN BIDS AND AWARD COMMITTEE (BAC) Brgy. Capaoay, San Jacinto, Pangasinan Mobile No. 09453394700 INVITATION TO BID The Barangay Capaoay, San Jacinto, Pangasinan, though its Bids and Award Committee (BAC), inv</t>
  </si>
  <si>
    <t xml:space="preserve"> INVITATION TO BID  The DPWH, Negros Occidental 2nd District Engineering Office, Binalbagan, Negros Occidental, through its Bids and Awards Committee (BAC), invites contractors to submit bids for the following Contract: CONTRACT ID	:   20GL0094 Contract Na</t>
  </si>
  <si>
    <t xml:space="preserve"> Provision of PWS reservoir at barangay Pinamaton, this municipality</t>
  </si>
  <si>
    <t xml:space="preserve"> Republic of the Philippines Sangguniang Barangay of Ilayang Polo  Bids and Awards Committee Barangay Ilayang Polo, Pagbilao,Quezon INVITATION TO APPLY FOR ELIGIBILITY Date: July 01, 2020 The Sangguniang Barangay of Ilayang Polo, Pagbilao,Quezon through it</t>
  </si>
  <si>
    <t xml:space="preserve"> UNIT     ITEM DESCRIPTION     QTY pcs       0.40mm spanish gutter (pre-painted)   25 box       rivets      2 lit         roof sealant     2 gal       paint brush 4"    2 unit      2.5 HP window type aircon     2 bd. ft.   50 pcs 2" x 2" x 12" lumber    20</t>
  </si>
  <si>
    <t xml:space="preserve"> 1500 PCS- DIPLOMA 10 REAMS -REPORT ON RATING</t>
  </si>
  <si>
    <t xml:space="preserve"> The DPWH-Ilocos Sur 1st District Engineering Office, through its Bids and Awards Committee (BAC), invites contractors to submit bids for the following Contract:   Contract ID: 20AC0053   Contract Name: Construction of Tamurong Seawall, Brgy. Tamurong, Sta</t>
  </si>
  <si>
    <t xml:space="preserve"> Republic of the Philippines City Government of Cotabato BIDS AND AWARDS COMMITTEE Cotabato City INVITATION TO BID FOR THE Purchase of Catering Services 1.	The City Government of Cotabato, through  Gender and Development  Fund 2020   intends to apply the s</t>
  </si>
  <si>
    <t xml:space="preserve"> Republic of the Philippines Province of Pangasinan Municipality of Infanta Barangay Patima BIDS AND AWARDS COMMITTEE INVITATION TO BID FOR SUPPLY AND DELIVERY OF MATERIALS FOR THE CONSTRUCTION OF LINE CANAL IN MAPA STREET @ SITIO PANDAYAN, BRGY. PATIMA, I</t>
  </si>
  <si>
    <t xml:space="preserve"> 5 pcs C.I. Sleeve type coupling 2" x 200mm 5 pcs.C.I. Sleeve type coupling 3" x 200mm 2 pcs.C.I. Sleeve type coupling 6" x 200mm 2 pcs.C.I. Sleeve type coupling 8" x 200mm 10 pcs.C.I. Mechanical End Cap 2" 5 pcs. C.I. Mechanical End Cap 3" 2 pcs. C.I. Mec</t>
  </si>
  <si>
    <t xml:space="preserve"> 2 unit Web Cam (logitech C270) 2 unit Municipal Dry Seal 3 unit Desk Top speaker (black) 2 unit Blue tooth Microphone</t>
  </si>
  <si>
    <t xml:space="preserve"> Food Stuff</t>
  </si>
  <si>
    <t xml:space="preserve"> Provision of one hour block time program every Monday and Wednesday (11:00am-12:00nn) for the months of July and August 2020, 6 spots per day program plugging plus program teaser, intro and extro covering the whole province of Camarins Norte.</t>
  </si>
  <si>
    <t xml:space="preserve"> 10 kilos Kapeng barako 5 packs Creamer 450grams</t>
  </si>
  <si>
    <t xml:space="preserve"> INVITATION TO BID FOR THE SUPPLY AND DELIVERY                        OF LABORATORY EQUIPMENT 1.	The Bureau of Animal Industry, through the General Appropriations Act FY 2020 intends to apply the sum of One Million Two Hundred Thousand Pesos (P 1,200,000.0</t>
  </si>
  <si>
    <t xml:space="preserve"> 162	bags	Cement 41	cu m	Sand 162	bags	Sahara Water Proofing Cement</t>
  </si>
  <si>
    <t xml:space="preserve"> OPENING OF BIDS IN DSWD FO IX ZAMBOANGA CITY				 	DELIVERY IN DSWD-PCDP MAMPANG ZAMBOANGA CITY				 	PROCUREMENT FOR THE FF.				 					 	50	sacks	COMMERCIAL RICE, 25 KLS. GOOD QUALITY	 	20	tray	EGG, LARGE		 	***********************************				 	PURPOSE:</t>
  </si>
  <si>
    <t xml:space="preserve"> REQUEST FOR QUOTATION							 							 PR No.:	2020-06-137		RFQ No.:		NIAREG9-06-2020-COBCY2019-082 (SH)		 PR. Date:	June 29, 2020		RFQ Date:		July 01, 2020		 End-User:	NIA-REGIONAL OFFICE		PhilGEPS Reference No.:				 ABC:	470,385.00		PhilGEPS Closing Date:</t>
  </si>
  <si>
    <t xml:space="preserve"> Supply and Delivery of Drugs and Medicines...........</t>
  </si>
  <si>
    <t xml:space="preserve"> To conduct free flu vaccination for the residents of Barangay Ligtong III.</t>
  </si>
  <si>
    <t xml:space="preserve"> Republika ng Pilipinas PAMAHALAANG LUNGSOD NG TACLOBAN (City Government of Tacloban) Kanhuraw Hill, Tacloban City 6500 Bids and Awards Committee INVITATION TO SUBMIT PRICE QUOTATIONS FOR THE NEGOTIATED PROCUREMENT (Small Value Procurement) OF PRINTING SER</t>
  </si>
  <si>
    <t xml:space="preserve"> Various Office Supplies for CY 2020 (1 year) 20	roll/s		Adding Machine Tape 474	pc/s		Ballpen Retractable Pilot Black (BP-1) 86	pc/s		Ballpen Retractable Pilot Blue (BP-1) 52	pc/s		Ballpen Retractable Pilot Red (BP-1) 18	pack/s		Baterry AAA, Alkaline (pac</t>
  </si>
  <si>
    <t xml:space="preserve"> CITY GOVERNMENT OF ZAMBOANGA		Purchase Request No.:	100-20-03-0763/March 10, 2020 Bids and Awards Committee  Villalobos St., Zamboanga City		Office of the:	CGSO-CHO 		Amount:	P 152,752.00 SF-GOOD-60	 REQUEST FOR QUOTATION (53.9 Small Value Procurement)   </t>
  </si>
  <si>
    <t xml:space="preserve"> Item No. 	QTY	Unit	Items and Description	 ABC 				 1	1	lot	Repair/Improvement of COA Office	 50,034.43  			*** Nothing Follows ***	 -    				 -    				 -    				 -    				 -    				 -    TOTAL				 50,034.43</t>
  </si>
  <si>
    <t xml:space="preserve"> Construction Materials and Supplies</t>
  </si>
  <si>
    <t xml:space="preserve"> Republic of the Philippines DEPARTMENT OF PUBLIC WORKS AND HIGHWAYS MASBATE 1st  DISTRICT ENGINEERING OFFICE REGIONAL OFFICE V San Fernando, Masbate Control No. 2020 - 005                                 July 2, 2020 INVITATION TO BID The Department of Pu</t>
  </si>
  <si>
    <t xml:space="preserve"> Item No.	Item Description		Quantity	Unit of Issue	Estimated Unit Cost (₱)	Total Estimated Cost (₱) 						 						 1	Herbicide		27	kg	1000.00	 27,000.00  2	Insecticide		50	kg	1000.00	 50,000.00  3	Fungicide		52	kg	1000.00	 52,000.00  4	Molluscicide		15	kg	1</t>
  </si>
  <si>
    <t xml:space="preserve"> Republic of the Philippines PROVINCE OF ALBAY Municipality of Rapu-Rapu INVITATION TO BID FOR  Purchase of Drugs and Medicines 1.	The Barangay Local  Government of Pagcolbon, Rapu-Rapu, Albay, through the Budget of contract approved by the Barangay Sanggu</t>
  </si>
  <si>
    <t xml:space="preserve"> The Department of Tourism – Region V (DOT-Region V) will undertake a Negotiated Procurement (SMALL VALUE PROCUREMENT) under Section 53.9 of the 2016 Revised Implementing Rules and Regulations (IRR) of Republic Act (R.A.) No. 9184, for the procurement of t</t>
  </si>
  <si>
    <t xml:space="preserve"> Supply &amp; Delivery of Forage Chopper ABC:200,000.00 	1 unit Forage Chopper -	Diesel Engine , 10HP minimum, air-cooled single cylinder engine -	Continuous power at least 85% of the rated power -	Specific  fuel consumption : 280g/kwhr, maximum -	Input capaci</t>
  </si>
  <si>
    <t xml:space="preserve"> The DAR Regional Office I invites registered Suppliers to quote the best offer for the above-mentioned activity. Please submit your quotation using the attached DAR Request for Quotation (RFQ) duly signed through sealed envelope not later than July 10, 20</t>
  </si>
  <si>
    <t xml:space="preserve"> reproduction of ALS learning materials with specs: a. Foldcote no.12 with lamination (UV printing) 4 colors (cover) b. A4-80 gsm (BP) full colors inside pages c. saddle stitch  Note: with free delivery Attached is the request for quotation (RFQ) Intereste</t>
  </si>
  <si>
    <t xml:space="preserve"> CITY GOVERNMENT OF ZAMBOANGA		Purchase Request No.:	100-20-02-0426-1/February 18, 2020 Bids and Awards Committee  Villalobos St., Zamboanga City		Office of the:	CGSO-CEO 		Amount:	P 160,000.00 SF-GOOD-60	 REQUEST FOR QUOTATION (53.9 Small Value Procuremen</t>
  </si>
  <si>
    <t xml:space="preserve"> 4 bxs bottled mineral water 350ml, 24's &amp; 22 Others</t>
  </si>
  <si>
    <t xml:space="preserve"> INVITATION TO BID: BID REFERENCE NO.: 2020-20 “SUPPLY, DELIVERY AND INSTALLATION OF TONERS WITH FREE USE OF MULTIFUNCTION PRINTERS FOR THE USE OF VARIOUS OFFICES IN BFAR CENTRAL OFFICE  FOR ONE (1) YEAR” The Bureau of Fisheries and Aquatic Resources (BFAR</t>
  </si>
  <si>
    <t xml:space="preserve"> Republic of the Philippines Province of Abra MUNICIPALITY OF LUBA OFFICE OF THE BIDS AND AWARDS COMMITTEE REQUEST FOR QUOTATION PROCUREMENT OF 1 UNIT JUMPER TYPE MOTOR CYCLE FOR MUNICIPAL DISASTER RISK REDUCTION AND MANAGEMENT OFFICE Please quote your low</t>
  </si>
  <si>
    <t xml:space="preserve"> INVITATION TO BID FOR THE SUPPLY AND DELIVERY OF  LABORATORY MACHINE AND SUPPLIES 1.	The Bureau of Animal Industry, through the General Appropriations Act FY 2020 intends to apply the sum of Thirty-Four Million Two Hundred Fifty-Eight Thousand Pesos      </t>
  </si>
  <si>
    <t xml:space="preserve"> Republic of the Philippines PROVINCE OF ALBAY 				   Municipality of Rapu-Rapu                                                          Barangay Pagcolbon Invitation to Bid for  Construction of Pathway 1.	The Barangay Local Government Units of Pagcolbon, </t>
  </si>
  <si>
    <t xml:space="preserve"> Invitation to Bid The National Housing Authority (NHA), through the Corporate Budget approved by the NHA Board for the year 2020 intends to apply the sum of the Approved Budget for the Contract (ABC) to payments for the following contract: Ref. No : R13-2</t>
  </si>
  <si>
    <t xml:space="preserve"> Please see attached file in Associated Components.</t>
  </si>
  <si>
    <t xml:space="preserve"> RDTD-2020-02-0128 (re-canvass) Cling wrap, 500m 5 roll Duct Tape, 48mm, x 30-40 m 3 roll Envelope Bag, polyfine materials w zipper 60 pcs Envelope, expanding plastic (L) 10 pcs Filling Box, Data File, 2 in 1, Legal, blue color 5 pcs Folder, Sliding plasti</t>
  </si>
  <si>
    <t xml:space="preserve"> 1 pc printed tarpaulin 3ft x 4ft</t>
  </si>
  <si>
    <t xml:space="preserve"> CITY GOVERNMENT OF ZAMBOANGA		Purchase Request No.:	100-20-03-0765/March 10, 2020 Bids and Awards Committee  Villalobos St., Zamboanga City		Office of the:	CGSO-CHO 		Amount:	P 54,900.00 SF-GOOD-60	 REQUEST FOR QUOTATION (53.9 Small Value Procurement)    </t>
  </si>
  <si>
    <t xml:space="preserve"> Consulting Services for the Sub-Soil Exploration  for FY-2021 Bridges &amp; Building Projects</t>
  </si>
  <si>
    <t xml:space="preserve"> CITY GOVERNMENT OF ZAMBOANGA		Purchase Request No.:	100-20-05-0963/May 11, 2020 Bids and Awards Committee  Villalobos St., Zamboanga City		Office of the:	CGSO-CHRMO 		Amount:	P 65,000.00 SF-GOOD-60	 REQUEST FOR QUOTATION (53.9 Small Value Procurement)    </t>
  </si>
  <si>
    <t xml:space="preserve"> Provision of Food (meals &amp; snacks) for 3 batches ABC:52,500.00 	50 pax  1 meals &amp; 2 snacks  -	Packed meals  -	Delivered on site 	(during the conduct of FFS on CRA Practices of the Learning Groups  in support to the Mainstreaming CRA Project Of DA-RFO 12 o</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</si>
  <si>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</si>
  <si>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See attached components for details</t>
  </si>
  <si>
    <t xml:space="preserve"> Provision of Food &amp; Accommodation for 2 days ABC:132,000.00 	1st day 	60 pax  3 meals &amp; 2 snacks and Accommodation 	2nd day 	60 pax  1 meals &amp; 2 snacks  	(during the Hands On Training on HALAL Food Processing and Value-Adding on August 2020 at Sultan Kuda</t>
  </si>
  <si>
    <t xml:space="preserve"> BIDS AND AWARDS COMMITTEE Office of the Chairman Request for Quotation Date:                                                                                 Quotation No.:     PR # 2020-06-242 __________________________________ ___________________________</t>
  </si>
  <si>
    <t xml:space="preserve"> Republic of the Philippines Bangsamoro Autonomous Region in Muslim Mindanao Provincial Government of Maguindanao BIDS AND AWARDS COMMITTEE Buluan, Maguindanao INVITATION TO BID FOR SUPPLY AND DELIVERY OF GROCERY KIT  1.	The Provincial Government of Maguin</t>
  </si>
  <si>
    <t xml:space="preserve"> Republic of the Philippines Bangsamoro Autonomous Region in Muslim Mindanao Provincial Government of Maguindanao BIDS AND AWARDS COMMITTEE Buluan, Maguindanao INVITATION TO BID FOR SUPPLY AND DELIVERY OF DIGNITY KIT  1.	The Provincial Government of Maguin</t>
  </si>
  <si>
    <t xml:space="preserve"> Republic of the Philippines Province of Guimaras OFFICE OF THE BIDS AND AWARDS COMMITTEE Invitation to Bid for  One Job Supply of Materials and  Labor for the Construction of (Construction of a Rainwater Cathcment Facility)at Exisitng Green Restrooms in B</t>
  </si>
  <si>
    <t xml:space="preserve"> Purchase of office table and chairs for use of UCT staff Office Chair - 14 units &gt;Black mesh fabric back rest w/ padded arm rest &gt;thick ergonomic cushion &gt;pneumatic light adjustment &gt;360 swivel function 280 mm nylon base casters at least 50cm x 60cm x 92c</t>
  </si>
  <si>
    <t xml:space="preserve"> 8 pcs 1/2" PVC Blue Pipe w/ Fittings and 37 others L/I</t>
  </si>
  <si>
    <t xml:space="preserve"> LCD PROJECTOR ----------------------- 1 UNIT     Specs:               Model : EB-2065 XGA 3LCD Projector             3 x brighter colours and reliable performance" 3LCD, 3-chip technology             look for both high colour brightness and high white bri</t>
  </si>
  <si>
    <t xml:space="preserve"> 40 btls Hand soap liquid 500ml (antibacterial) &amp; 26 Others</t>
  </si>
  <si>
    <t xml:space="preserve"> Liquid handwash , Alcohol etc...</t>
  </si>
  <si>
    <t xml:space="preserve"> 1. gasoline  2.FGA.12 Valve ,660 cc. 3. manual , 4 wheel Drive (4x4) 4. Fabricated Budy (FB) 5. 16 Seaters  6. tires - !65 x 65x13</t>
  </si>
  <si>
    <t xml:space="preserve"> 150 length uPVC Pipe 6" x 6m with rubber gasket</t>
  </si>
  <si>
    <t xml:space="preserve"> TECHNOLOGICAL UNIVERSITY OF THE PHILIPPINES  VISAYAS				 Capt. Sabi St., City of Talisay, Negros Occidental				 				       PROCUREMENT OFFICE				 				 REQUEST FOR QUOTATION				 				 			June 26, 2020	 __________________________________  				               </t>
  </si>
  <si>
    <t xml:space="preserve"> The Provincial Government of Samar invites all interested registered suppliers to submit in person or authorized representative quotation for- 				 1.	1	unit	Computer Desktop i5-9400 8 GB DDR4 2666 MHz UDIMM 1 TB 3.5-inch 7200 RPM 128 GB M.2 2280 Solid St</t>
  </si>
  <si>
    <t xml:space="preserve"> Invitation to Bid for the Supply and Delivery of various Medicine for the use of Brgy. Tabangao Dao, Batangas City</t>
  </si>
  <si>
    <t xml:space="preserve"> CITY GOVERNMENT OF ZAMBOANGA		Purchase Request No.:	100-20-03-0795/March 11, 2020 Bids and Awards Committee  Villalobos St., Zamboanga City		Office of the:	CGSO 		Amount:	P 512,700.00 SF-GOOD-60	 REQUEST FOR QUOTATION (53.9 Small Value Procurement)       </t>
  </si>
  <si>
    <t xml:space="preserve"> Procurement Supply and Delivery of Environmental Health Sanitary Materials Location: RHU-Balingasag, Waterfall, Balingasag, Misamis Oriental</t>
  </si>
  <si>
    <t xml:space="preserve"> Printing of Identification Cards for LGU Employees				 1	Post Card Size Employees ID (Back to Back)			350	Pieces 2	Wallet Size Teslin Employees ID			                350	Pieces</t>
  </si>
  <si>
    <t xml:space="preserve"> FURNISH OF 13 UNITS GEOTAGGING DEVICE</t>
  </si>
  <si>
    <t xml:space="preserve"> 7 bxs Mineral water 500ml 24's &amp; 13 Others</t>
  </si>
  <si>
    <t xml:space="preserve"> Drugs and Medicine</t>
  </si>
  <si>
    <t xml:space="preserve"> CITY GOVERNMENT OF ZAMBOANGA		Purchase Request No.:	100-20-03-0802/March 11, 2020 Bids and Awards Committee  Villalobos St., Zamboanga City		Office of the:	CGSO 		Amount:	P 964,061.00 SF-GOOD-60	 REQUEST FOR QUOTATION (53.9 Small Value Procurement)       </t>
  </si>
  <si>
    <t xml:space="preserve"> Improvement of Pallua Elementary Gymnasium (Pallua Elementary School, Pallua Sur, Tuguegarao City)</t>
  </si>
  <si>
    <t xml:space="preserve"> The City Government of Paranaque, through its Bids and Awards Committee (BAC), is inviting all eligible suppliers to submit a Quotation for the supply of; 1. 20 pcs. - Wheelbarrow - 100 kilo capacity 2. 50 pcs. - Shovel - 1kg. size 21 x 30 x 100cm head 3.</t>
  </si>
  <si>
    <t xml:space="preserve"> Furnish of 6 units Laptop Computer (16RAM, 1TB Internal Memory)</t>
  </si>
  <si>
    <t xml:space="preserve"> Municipality of Sta. Maria Province of Davao Occidental Republic of the Philippines INVITATION TO BID CONSTRUCTION OF SIX (6) UNITS RESIDENTIAL BUILDING LGU SUB-DIVISION, BRGY. SAN AGUSTIN, STA. MARIA, DAVAO OCCIDENTAL 1. The Local Government Unit of Sta.</t>
  </si>
  <si>
    <t xml:space="preserve"> Republic of the Philippines Province of Pangasinan Municipality of Infanta Barangay Patima BIDS AND AWARDS COMMITTEE INVITATION TO BID FOR SUPPLY AND DELIVERY OF MATERIALS FOR THE CONSTRUCTION OF LINE CANAL IN MANUEL STREET @ SITIO PANDAYAN, BRGY. PATIMA,</t>
  </si>
  <si>
    <t xml:space="preserve"> Provision of Food (meals &amp; snacks) for 10 sites ABC:105,000.00 	300 pax  1 meals &amp; 2 snacks  for 10 sites -	30 pax/site -	Packed meals  -	Delivered on site 	(during the conduct of  Retooling Course for Bantay Peste Training July 2020, REGION-WIDE) Note: B</t>
  </si>
  <si>
    <t xml:space="preserve"> Republika ng Pilipinas PAMAHALAANG LUNGSOD NG TACLOBAN (City Government of Tacloban) Kanhuraw Hill, Tacloban City 6500 Tel. Nos.  325-4053 BIDS AND AWARDS COMMITTEE 	INVITATION TO SUBMIT PRICE QUOTATIONS 1st Posting BIDSTAC # SB 029-2020 (7079331). 	     </t>
  </si>
  <si>
    <t xml:space="preserve"> 20 pcs Dustpan &amp; 17 Others</t>
  </si>
  <si>
    <t xml:space="preserve"> Two (2) units Centrifuge and eleven (11) other LI</t>
  </si>
  <si>
    <t xml:space="preserve"> - CONSTRUCTION OF MULTI-PURPOSE DRYING PAVEMENT  - SERIAC, SIAYAN, ZAMBO. DEL NORTE</t>
  </si>
  <si>
    <t xml:space="preserve"> CITY GOVERNMENT OF ZAMBOANGA		Purchase Request No.:	100-20-03-0736/March 6, 2020 Bids and Awards Committee  Villalobos St., Zamboanga City		Office of the:	CITY ADMINISTRATOR-SLAUGHERHOUSE 		Amount:	P 253,950.00 SF-GOOD-60	 REQUEST FOR QUOTATION (53.9 Smal</t>
  </si>
  <si>
    <t xml:space="preserve"> Republic of the Philippines PROVINCE OF MARINDUQUE Capitol Boac, Marinduque OFFICE OF BIDS AND AWARDS COMMITTEE Invitation to Bid  (REBIDDING) Furnishing labor, materials and equipment rental for the Rehab./Improvement of  Waterworks System, Brgy. Bagong </t>
  </si>
  <si>
    <t xml:space="preserve"> Procurement of Laptop use for COA office.</t>
  </si>
  <si>
    <t xml:space="preserve"> ID  ID Lace with Print ID Jacket</t>
  </si>
  <si>
    <t xml:space="preserve"> INVITATION TO BID FOR Repair of Sideslope Protection &amp; Drainage Canal along EPZA By Pass Road (SO1349LZ) Right Side, Mariveles, Bataan, KO159+(-022) - KO159+000 w/ exception The DPWH-Bataan 2nd District Engineering Office, through its Bids and Awards Comm</t>
  </si>
  <si>
    <t xml:space="preserve"> CONSTRUCTION OF POTABLE WATER SYSTEM LEVEL I COMPOSE OF 6 units water Pump with pump house and tapstand,1000 liters capacity steel water tank  with painting</t>
  </si>
  <si>
    <t xml:space="preserve"> Standard Form Number: SF-GOOD-60                                                       Republic of the Philippines Standard Form Title: Request for                                                                                                       Taclo</t>
  </si>
  <si>
    <t xml:space="preserve"> "ANNEX A" 						 					Date:	06/29/2020 						  To all Eligible Suppliers :						 "            Please quote your lowest price inclusive of VAT on the items/projects listed below.Lots listed below, subject to the  Terms and Conditions of  this RFQ and submi</t>
  </si>
  <si>
    <t xml:space="preserve"> CITY GOVERNMENT OF ZAMBOANGA		Purchase Request No.:	100-20-03-0801/March 11, 2020 Bids and Awards Committee  Villalobos St., Zamboanga City		Office of the:	CGSO-CITY ASSESSOR 		Amount:	P 200,000.00 SF-GOOD-60	 REQUEST FOR QUOTATION (53.9 Small Value Procu</t>
  </si>
  <si>
    <t xml:space="preserve"> The [MUNICIPALITY OF NATIVIDAD], through the LDRRMF-2020 intends to apply the sum of Php1,500,000.00 (ONE MILLION FIVE HUNDRED THOUSAND pesos only) being the Approved Budget for the Construction/Improvement/Widening of Box Culvert at Purok 4 in Brgy. San </t>
  </si>
  <si>
    <t xml:space="preserve"> Supply &amp; Delivery of Transformer	 ABC:90,000.00 1 unit Transformer 50 KVA   -	Rated voltage: 6/6.3/10/13.8KV -	output voltage: 0.22/0.38/0.4 KV, frequency 50/60 HHz -	coilstructure: toroidal, coil no. Two widing, -	phase: single -	material: copper 	Delive</t>
  </si>
  <si>
    <t xml:space="preserve"> see associated components for downloadable RFQ 2020-4145</t>
  </si>
  <si>
    <t xml:space="preserve"> 60 pcs t-shirt (mint green and various sizes ) with brigada print (attached design)</t>
  </si>
  <si>
    <t xml:space="preserve"> Republic of the Philippines PROVINCE OF MARINDUQUE Capitol Boac, Marinduque OFFICE OF BIDS AND AWARDS COMMITTEE Invitation to Bid  (REBIDDING) Furnishing labor, materials and equipment for the Improvement of Brgy. Waterworks System at Brgy. Pili, Boac, Ma</t>
  </si>
  <si>
    <t xml:space="preserve"> SIGNAGE EARTHWORKS MASONRY WORKS REINFORCING STEEL BARS FORM WORKS CONCRETE WORKS STRUCTURAL STEEL FRAME ROOF AND CLADDING ELECTRICAL WORKS</t>
  </si>
  <si>
    <t xml:space="preserve"> The Department of Education, Division of Butuan City, Through its Bids and Awards Committee, Requests for Quotation for the Concreting of Parking Area at DepEd Office Division of Butuan City</t>
  </si>
  <si>
    <t xml:space="preserve"> Item Number	Description	 QTY 	UNIT	 ESTIMATED BUDGET  1	Diesel Fuel	14,000	liters	 560,000.00  	xxxxxxxxxx			 			TOTAL:	Php 560,000.00</t>
  </si>
  <si>
    <t xml:space="preserve"> CITY GOVERNMENT OF ZAMBOANGA		Purchase Request No.:	100-20-05-0961/May 11, 2020 Bids and Awards Committee  Villalobos St., Zamboanga City		Office of the:	CGSO-CHRMO 		Amount:	P 200,000.00 SF-GOOD-60	 REQUEST FOR QUOTATION (53.9 Small Value Procurement)   </t>
  </si>
  <si>
    <t xml:space="preserve"> Installation of Street Lights (National Road, Libag Sur-Gosi Norte, Tuguegarao City)</t>
  </si>
  <si>
    <t xml:space="preserve"> 6	piece	Ceiling fan, white, 30", 6 blades, with ligh bulb		 15	piece	Ceiling light, LED, 23 Watts, 220 Volts</t>
  </si>
  <si>
    <t xml:space="preserve"> Vehicle Parts and Accessories</t>
  </si>
  <si>
    <t xml:space="preserve"> Please see attached for details.</t>
  </si>
  <si>
    <t xml:space="preserve"> 70 BAGS PORTLAND CEMENT SCREENED SAND 3/4 GRAVEL 12MM DEFORMED BAR 2"X6"X10' GOOD LUMBER ASSORTED COMMON NAILS</t>
  </si>
  <si>
    <t xml:space="preserve"> Provision of one hour block time program every Monday and Wednesday (11:00am-12:00nn) for the months of July and August 2020, 6 spots per day program plugging plus program teaser, intro and extro covering the whole province of Camarins Sur.</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</si>
  <si>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</si>
  <si>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Republic of the Philippines					 Province of Palawan					 MUNICIPALITY OF EL NIDO					 PR No.		 Name of Procuring Entity: Municipal Government of El Nido			RFQ No.		 Date:		 Office/End-User: MHO					 Company Name					 Adress:					 Business Permit No.:				</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</si>
  <si>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</si>
  <si>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Supply &amp; Delivery of Training Supplies ABC:95,934.00 	5 packs disposable hairnet, 100 pcs/pack  	200 pcs Apron Plain White 	5 pcs disposable gloves plastic, 100 pcs/pack 	3 pcs stainless steel knife 	4 pcs chopping board 	5 pcs stainless steel strainer bo</t>
  </si>
  <si>
    <t xml:space="preserve"> The Municipality of Lacub intends to procure 4 pcs 20.5x25 loader tire for the municipal loader repair and maintenance with abc of PHP 280,000.00</t>
  </si>
  <si>
    <t xml:space="preserve"> Republic of the Philippines Province of Sultan Kudarat Municipality of Columbio BIDS AND AWARD COMMITTEE July 01, 2020 INVITATION TO BID The Municipal Government of Columbio through the Bids and Awards Committee (BAC) is inviting supplier for the Provisio</t>
  </si>
  <si>
    <t xml:space="preserve"> 2 units Computer Desktop Sangguniang Bayan Office</t>
  </si>
  <si>
    <t xml:space="preserve"> Unit       Qty             Items pcs       125             Centenarian Advocacy Polo Shirt *polo shirt *logo back left side pcs       50               Centenarian Advocacy Shirt *t-shirt *logo back left side pcs       1                Centenarian Advocacy</t>
  </si>
  <si>
    <t xml:space="preserve"> CITY GOVERNMENT OF ZAMBOANGA		Purchase Request No.:	100-20-03-0665/March 5, 2020 Bids and Awards Committee  Villalobos St., Zamboanga City		Office of the:	CGSO-STOCKS 		Amount:	P 132,053.50 SF-GOOD-60	 REQUEST FOR QUOTATION (53.9 Small Value Procurement) </t>
  </si>
  <si>
    <t xml:space="preserve"> Republic of the Philippines					 Province of Misamis Oriental					 MUNICIPALITY OF VILLANUEVA					 REQUEST FOR QUOTATION					 Quotation No. 2020- ____________					 					 			Date		 					 					 					 Sir:					 	Please quote your price of the articles listed</t>
  </si>
  <si>
    <t xml:space="preserve"> Land Development (Larion Bajo, Tuguegarao City)</t>
  </si>
  <si>
    <t xml:space="preserve"> Construction  Project (Renovation/Repair of Roofing @ New Municipal Building</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</si>
  <si>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</si>
  <si>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JOSE RIZAL MEMORIAL STATE UNIVERSITY KATIPUNAN CAMPUS Katipunan, Zamboanga del Norte Invitation to Bid: Purchase of Information Technology Parts &amp; Accessories &amp; Perip 1)	The Jose Rizal Memorial State University-Katipunan Campus</t>
  </si>
  <si>
    <t xml:space="preserve"> 1	piece	Executive Chair, swivel, black		 2	piece	Havana Computer Desk		 1	piece	Hoskin's 2A 5L		 1	piece	Floor lamp (DxD)		 1	piece	Carpet (Rustic)		 6	piece	Curtains (Arq)		 4	piece	Curtains (Inner)		 1	piece	Florence Rod		 1	piece	Gabriel Chest		 1	piec</t>
  </si>
  <si>
    <t xml:space="preserve"> REPUBLIC OF THE PHILIPPINES		 			                   PROVINCE OF SIQUIJOR		 					 			                MUNICIPALITY OF SIQUIJOR		 			                 REQUEST FOR QUOTATION		 					 			                                                                       Date</t>
  </si>
  <si>
    <t xml:space="preserve"> PLEASE SEE ATTACHED REQUEST FOR QUOTATION AND PLEASE ACCOMPLISH THE REQUIRED ATTACHMENTS FOR MORE INFORMATION</t>
  </si>
  <si>
    <t xml:space="preserve"> REQUEST FOR QUOTATION For Negotiated Procurement thru Small Value Procurement under Sec. 53.9 of the 2016 Revised IRR of RA 9184 Quotation No.:  2020-07-221 Date: July 1, 2020 PR No.: 20-06-230 PR Date: June 18, 2020 The Metropolitan Tuguegarao Water Dist</t>
  </si>
  <si>
    <t xml:space="preserve"> 1. Replacement of worn-out roofing &amp; bended accessories (100%) 2. Replacement of worn-out wood roof framing (20%) &amp; ceiling joists (50%) and ceiling boards &amp; fascia boards (100%) 3. Replacement of worn-out door 4. Replacement of old/broken electrical fixt</t>
  </si>
  <si>
    <t xml:space="preserve"> 1. 65 bags cement 2. 6 pcs GI sheet 12ft 3. 10 kgs #16 tie wire 4. 20 kls assorted nails 5. 6 pcs 1/2"x4 ordinary flywood 6. 32 pcs 1/4" fiber cement board 7. 154.57 kgs 12mm x 6m RSB 8. 4 pcs ridge roll 9. 2 kgs roof nail 10. 2 pcs aluminum frame 11. 185</t>
  </si>
  <si>
    <t xml:space="preserve"> 1 Air Conditioning Unit (3HP, Floor Mounted) MTO - Land Tax Division</t>
  </si>
  <si>
    <t xml:space="preserve"> Notes on the Invitation to Bid The Invitation to Bid provides information that enables potential Bidders to decide whether to participate in the procurement at hand. The Invitation to Bid shall be: (a) Advertised at least once in a newspaper of general na</t>
  </si>
  <si>
    <t xml:space="preserve"> Republic of the Philippines JOSE RIZAL MEMORIAL STATE UNIVERSITY KATIPUNAN CAMPUS Katipunan, Zamboanga del Norte Invitation to Bid: Purchase of Office Supplies 1)	The Jose Rizal Memorial State University-Katipunan Campus, Katipunan, Zamboanga del Norte th</t>
  </si>
  <si>
    <t xml:space="preserve"> 1 Unit of Laptop</t>
  </si>
  <si>
    <t xml:space="preserve"> Republic of the Philippines PROVINCE OF SURIGAO DEL SUR Municipality of Carrascal   Barangay Dahican INVITATION FOR BIDS                      The Barangay Dahican through its Bids and Awards Committee invites sealed bids from eligible contractor with appl</t>
  </si>
  <si>
    <t xml:space="preserve"> CITY GOVERNMENT OF ZAMBOANGA		Purchase Request No.:	100-20-03-0746/March 9, 2020 Bids and Awards Committee  Villalobos St., Zamboanga City		Office of the:	CGSO-STOCKS 		Amount:	P 308,450.40 SF-GOOD-60	 REQUEST FOR QUOTATION (53.9 Small Value Procurement) </t>
  </si>
  <si>
    <t xml:space="preserve"> 2021  liters  Auto Diesel Fuel x-x-x-xx-x-x Note: replacement of lost Philgeps Bid Notice Abstract.</t>
  </si>
  <si>
    <t xml:space="preserve"> 1 pc Glass Partition Sangguniang Bayan Office</t>
  </si>
  <si>
    <t xml:space="preserve"> Module # 1.  San Remigio, Libertad and San Isidro- No. of Has. 744.8086 - ABC Php3,175,856.20 Interested Bidders must submit their eligibility documents on or before July 9, 2020 at 9:00 am at the office of the DARRO XI-BAC Secretariat, Km.12 Catalunan Pe</t>
  </si>
  <si>
    <t xml:space="preserve"> 1.00 each Project Billboard (8'x8') 1.00 l.s. MObilization and Demobilization 1454.13 sq.m. Clearing and Grubbing (with Stripping) 1762.00 cu.m. Roadway Excavation (Surplus Common) 27.00 cu.m. Structure Excavation (soft rock) 84.00 cu.m. Pipe culverts and</t>
  </si>
  <si>
    <t xml:space="preserve"> CITY GOVERNMENT OF ZAMBOANGA		Purchase Request No.:	100-20-03-0741/March 9, 2020 Bids and Awards Committee  Villalobos St., Zamboanga City		Office of the:	CGSO-STOCKS 		Amount:	P 228,810.00 SF-GOOD-60	 REQUEST FOR QUOTATION (53.9 Small Value Procurement) </t>
  </si>
  <si>
    <t xml:space="preserve"> Removal of Existing Concrete Pavement, subgrade preparation, aggregate sub-base course, Portland  cement concrete pavement, mobilization/demobilization, project billboard (4’x 8’ –COA template, construction safety &amp; health</t>
  </si>
  <si>
    <t xml:space="preserve"> Item No.	Item/s and Description					Specification		Quantity	Unit	Budget price per unit 1	Toner for Photocopier/ Printer					Toner for P3015 Printer/ Photocopier, OPT55A		6	Cartridge	 6,000.00</t>
  </si>
  <si>
    <t xml:space="preserve"> 3 Tonner Floor Mounted Airconditioner with 3 meters length installation Split Type Inverter Airconditioner with 3 meters length materials and installation w/ circuit breaker</t>
  </si>
  <si>
    <t xml:space="preserve"> Request for quotation for the procurement of construction materials for the improvement of water system at Sitio Dipasaleng, Dilasag, Aurora.</t>
  </si>
  <si>
    <t xml:space="preserve"> Invitation to Bid The LGU Alangalang, through its Bids and Awards Committee (BAC), invites prospective bidders to apply for eligibility and to bid for the hereunder project: Name of Project :  SERVICES ON TAX MAPPING WITH CADASTRAL MAP OVERLAY WITH DRONE </t>
  </si>
  <si>
    <t xml:space="preserve"> Republic of the Philippines CITY GOVERNMENT OF SAN FERNANDO Barangay SAOAY Email: brgy_saoay_csflu@yahoo.com.ph INVITATION TO BID FOR  Rehabilitation of Barangay Hall Barangay Saoay, City of San Fernando 1.	The Barangay Saoay through the Barangay Fund int</t>
  </si>
  <si>
    <t xml:space="preserve"> Provision of Food  for 4 batches ABC:63,000.00 140 pax 1 meal &amp; 2 snacks  -	35  pax/batch -	4 batches -	Tentative date: June- November, 2020 -	propose venue:  DA- Balindog RES, Kidapawan City 	(during the conduct of  Regular Quarterly Meeting of DA-BRES, </t>
  </si>
  <si>
    <t xml:space="preserve"> Republic of the Philippines PROVINCE OF MARINDUQUE Capitol Boac, Marinduque OFFICE OF BIDS AND AWARDS COMMITTEE Invitation to Bid  (REBIDDING) Furnishing labor, materials and equipment rental for the Rehabilitation/Improvement of  Brgy. Waterworks System </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</si>
  <si>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</si>
  <si>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Item No.	Item Description	Quantity	Unit of Issue	Estimated Unit Cost (₱)	Total Estimated Cost (₱) 					 1	Onion Seeds (Red Bulb Onion) @ 400 grams	20	cans	 2,500.00 	 50,000.00  					 	Varietal Characteristics				 	 - It must be high yielding variety				 </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</si>
  <si>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</si>
  <si>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Republic of the Philippines BATANGAS STATE UNIVERSITY Batangas City REQUEST FOR QUOTATION "Procurement of service for the disposal of hazardous waste at BatstateU Main Campus I" 1. The Batangas State University (BatState U) through the Bids and Awards Com</t>
  </si>
  <si>
    <t xml:space="preserve"> Various Modules Norzagaray LSB West District</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</si>
  <si>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</si>
  <si>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Unit      Qty              Items pcs       5                 Pocket wiFi Openline -share 4G LTE speed up to 150Mbps downloads and 50Mbps uploads -selectable 2.4Ghz dual band WiFi -support up to 15 WiFi devices -internal 2000Mah battery up to 10m hours of </t>
  </si>
  <si>
    <t xml:space="preserve"> Supply &amp; Delivery of  Laboratory  Supplies (for molecular test (polymerase chain reaction for African Swine fever) ABC:73,100.00 	2 lot VP 72 forward primer, 25bp, 200nmol, desalted 	2 lot VP 72 reverse primer, 20 bp, 200nmol, desalted 	2 lot VP 72 probe </t>
  </si>
  <si>
    <t xml:space="preserve"> 3LCD projections technology, Split S Screen</t>
  </si>
  <si>
    <t xml:space="preserve"> Removal of actual structure/obstruction, structural excavation (common soil), subgrade preparation (common material), aggregate sub-base course, PCCP, reinforcing steel bar, grade 40 (minor structure), structural concrete class “A” (minor structure), grou</t>
  </si>
  <si>
    <t xml:space="preserve"> Supply &amp; Delivery of IT Equipment, Parts &amp; Accessories for the use of Sangguniang Bayan Office (PR No.2020-0089). Wireless N-Router	                1	pc Internal Hard Disk (1TB SATA)	2	pc laptop (intel core i5)	                1	pc External Hard Drive (1T</t>
  </si>
  <si>
    <t xml:space="preserve"> CITY GOVERNMENT OF ZAMBOANGA		Purchase Request No.:	100-20-03-0692/March 5, 2020 Bids and Awards Committee  Villalobos St., Zamboanga City		Office of the:	CGSO-STOCKS 		Amount:	P 692,418.00 SF-GOOD-60	 REQUEST FOR QUOTATION (53.9 Small Value Procurement) </t>
  </si>
  <si>
    <t xml:space="preserve"> Description Please quote the best price(s) of the item(s) listed in page two (2) hereof under the following terms and conditions: 1. The price quotations shall be listed opposite the pertinent items enumerated. 2. The quotation/proposal shall be submitted</t>
  </si>
  <si>
    <t xml:space="preserve"> Date of Bidding: July 9, 2020 @ 10:00 A.M. Amount: P300,000 Source of Funds: Annual Budget 2020 Venue: Brgy. Hall of Brgy. Onate De Leon, Mandurriao, Iloilo City</t>
  </si>
  <si>
    <t xml:space="preserve"> see associate components for downloadable RFQ 2020-4131</t>
  </si>
  <si>
    <t xml:space="preserve"> Delivery of materials for Construction of San Vicente Water Supply System.</t>
  </si>
  <si>
    <t xml:space="preserve"> Car Batteries Composing of: 3SM Car Battery, Maintenance free (regular polarity) 3SM Car &amp; Bus Battery, Maintenance free (Reverse polarity) DIN 66 Car Battery, Maintenance free 2SM Car Battery, Maintenance free (regular polarity) At least 2019 manufacture</t>
  </si>
  <si>
    <t xml:space="preserve"> 500KVA(400KW) Diesel Generator Set</t>
  </si>
  <si>
    <t xml:space="preserve"> July 1, 2020 REQUEST FOR QUOTATION (RFQ) MICROCENTRIFUGE 1.	The Batangas Medical Center hereinafter referred to as the “Purchaser” now request for submission of price proposal for the procurement of the aforesaid item described in the Technical Specificat</t>
  </si>
  <si>
    <t xml:space="preserve"> Item No.		Qty			Unit			Description																	 																									 1		150			pcs			Acrylic Business Plate(12.6 cm x 23 cm)																	 2		500			pcs			Vinyl Sticker (1.5 cm x 7 cm )</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</si>
  <si>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</si>
  <si>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CITY GOVERNMENT OF ZAMBOANGA		Purchase Request No.:	100-20-03-0838/March 17, 2020 Bids and Awards Committee  Villalobos St., Zamboanga City		Office of the:	CGSO-STOCKS 		Amount:	P 171,140.00 SF-GOOD-60	 REQUEST FOR QUOTATION (53.9 Small Value Procurement)</t>
  </si>
  <si>
    <t xml:space="preserve"> CITY GOVERNMENT OF ZAMBOANGA		Purchase Request No.:	100-20-03-0845/March 17, 2020 Bids and Awards Committee  Villalobos St., Zamboanga City		Office of the:	CGSO-STOCKS 		Amount:	P 78,780.00 SF-GOOD-60	 REQUEST FOR QUOTATION (53.9 Small Value Procurement) </t>
  </si>
  <si>
    <t xml:space="preserve"> Various Other Supplies and Materials Sangguniang Bayan Office</t>
  </si>
  <si>
    <t xml:space="preserve"> Republic of the Philippines PROVINCE OF MARINDUQUE Capitol Boac, Marinduque OFFICE OF BIDS AND AWARDS COMMITTEE Invitation to Bid  (REBIDDING) Furnishing labor, materials and equipment rental for the Construction of Waterworks System Phase 1, Brgy. Mongpo</t>
  </si>
  <si>
    <t xml:space="preserve"> Republic of the Philippines Province of Guimaras OFFICE OF THE BIDS AND AWARDS COMMITTEE INVITATION TO BID FOR    SUPPLY AND DELIVERY OF MEDICAL OXYGEN Bid Ref. No. 2020-06-381 1.	The Province of Guimaras , through the Revolving Fund  intends to apply the</t>
  </si>
  <si>
    <t xml:space="preserve"> July 1, 2020 REQUEST FOR QUOTATION (RFQ) LAMINAR HOOD 1.	The Batangas Medical Center hereinafter referred to as the “Purchaser” now request for submission of price proposal for the procurement of the aforesaid item described in the Technical Specification</t>
  </si>
  <si>
    <t xml:space="preserve"> CCNET (Double)			10	Bundles	 105,000.00  						 	PLACE OF DELIVERY: BFAR XII OFFICE, Koronadal City					 	xxxxxxxxxxxxxxxxxxxx					 						 						 	x-x-x-x-x-x-x-x-x-x-x-x-x-x-x-x-x--x-x-x-x-x-x-x-x					 	TOTAL					 105,000.00  						 GENERAL CONDITIONS:		</t>
  </si>
  <si>
    <t xml:space="preserve"> Republic of the Philippines PROVINCE OF MARINDUQUE Capitol Boac, Marinduque OFFICE OF BIDS AND AWARDS COMMITTEE Invitation to Bid  (REBIDDING) Furnishing labor, materials and equipment for the Construction of Gender Sensitive Toilet Facilities at Mogpog C</t>
  </si>
  <si>
    <t xml:space="preserve"> Item No.	Item/s and Description					Specification		Quantity	Unit	Budget  Price per unit 1	Tarpulin for Enrolment process 					 4X5 ft 		1	pc	 400.00  2	Tarpulin Health Advisory Novel Cororna Virus 2019					 4X3 ft 		4	pcs	 240.00  3	Tarpulin DepEd Respons</t>
  </si>
  <si>
    <t xml:space="preserve"> 1. Replacement of worn-out wood roof framing (waiting area) 2. Replacement of worn-out fence (waiting area) 3. Installation of roof insulation (waiting area) 4. Replacement of worn-out roofing, bended accessories &amp; downspouts (waiting area) 5. Installatio</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</si>
  <si>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</si>
  <si>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Republic of the Philippines PROVINCE OF PANGASINAN BIDS AND AWARD COMMITTEE (BAC) Brgy. Macayug, San Jacinto, Pangasinan Mobile No. 09357953300 INVITATION TO BID The Barangay  Macayug, San Jacinto, Pangasinan, though its Bids and Award Committee (BAC), in</t>
  </si>
  <si>
    <t xml:space="preserve"> Various Materials Office of the Mayor</t>
  </si>
  <si>
    <t xml:space="preserve"> 1	lot	Labor and materials for the supply, delivery, installation, 						Php__________		Php__________ 		and energizing of the following airconditioning units:								 										 4	units	Aircon, 2HP Inverter Type, Wall Mounted, brand new						Php__________	</t>
  </si>
  <si>
    <t xml:space="preserve"> 10	PCS	C PARLINS #3 10	PCS	C PARLINS #4 5	PCS	GI 4S 3/4 X 8 5	PCS	GI F/W 3/4 X 3/4 5	PCS	GI NVT 3/4 3	PAX	LABOR CONSTRUCTION 250	PCS	TEX SCREW #2 10	PCS	FAUCET 10	PCS	LED BULB - 5 WATTS 1	PAIL	PAINT, LATEXT, SEMI-GLOSS, WHITE, 16L</t>
  </si>
  <si>
    <t xml:space="preserve"> 1.  1 SET COMPUTER SET WITH ACCESSORIES                 (intel core i5, gigabyte motherboard, kingston 8gb hyper x ddr4, Seagate                 1tb hdd sata, powelogic ATXC Case with power supply, 18.5 LED Monitor                  mouse &amp; keyboard) 2.  2</t>
  </si>
  <si>
    <t xml:space="preserve"> Lunch and  2 Snacks for 2 Days good for 80 pax Mock Audit on July 8, 2020 at DepEd Caraga Regional Office Surveillance on July 15, 2020 at DepEd Caraga Regional Office</t>
  </si>
  <si>
    <t xml:space="preserve"> Purchase of various spare parts for the Repair &amp; Maint. of UD Truck N0. 1 of the Municipality of San Enrique, Iloilo. Approved Budget for the Contract: Php. 148,650.00 1. 2 pcs. Side Gear 2. 2 pcs. Side Gear Washer 3. 4 pcs. Spider Gear 4. 4 pcs. Spider G</t>
  </si>
  <si>
    <t xml:space="preserve"> Computer Laptop ----------------------- 2 units   Specs:    - Intel Core i5-1021OU Processor (6M Cache, uo to 4.10 GHz)    - Graphics - NIVIDIA GeForce MX230 with 2GB of dedicated GDDR5 VRAM    - Memory - 4GB of single channel, onboard DDR4 system memory </t>
  </si>
  <si>
    <t xml:space="preserve"> 120 DAYS SUPPLEMENTAL FEEDING PROGRAM ( RICE, VIAND, FISH, CHICKEN, VEGETABLES &amp; OTHER GROCERY ITEMS), MNAO, MAPANAS, N. SAMAR 30	Sacks	Native Rice		 1	Sack 	Flour		 240	trays	Eggs		 300	Packs	Powdered Milk		 100	Kls.	Squash		 400	Kls.	Fresh Dressed Chick</t>
  </si>
  <si>
    <t xml:space="preserve"> Module # 1. Davao City  No. of Has. 700.00      ABC Php 2,660,000.00 Interested Bidders must submit their eligibility documents on or before July 9, 2020 at 9:00 am at the office of the DARRO XI-BAC Secretariat, Km. 12 Catalunan Pequeno, Davao City. Appli</t>
  </si>
  <si>
    <t xml:space="preserve"> City Government of La Carlota								          Standard Form Number: SF-GOOD-59 Revised on: May 24, 2004 Standard Form Title: REQUEST FOR QUOTATION 												Date: ______________ 												Quotation No.________ Company Name Address 	Please quote your </t>
  </si>
  <si>
    <t xml:space="preserve"> Various Toners, Ink Cartridges and Ribbons for CY 2020 (1 year) 24	pc/s		Dot Matrix Ribbon (for Epson LX-310) 4	set/s		EPSON Colored Ink #664 (Cyan, Magenta, Yellow) (1 bottle each color) 6	set/s		Epson L565 #664 Black 12	pc/s		HP Black Ink #678 12	pc/s		</t>
  </si>
  <si>
    <t xml:space="preserve"> SUPPLY AND DELIVERY OF DRUGS AND MEDICINES					 					 					 No.	ITEM DESCRIPTION/SPECIFICATION	UOM	QUANTITY	UNIT COST	TOTAL COST 					 					 	Supply and Delivery of Anesthetics (IV/IM)/ Inhalation				 					 Lot 1					 1	Bupivacaine Heavy 4mL 0.5% with 0.8</t>
  </si>
  <si>
    <t xml:space="preserve"> Supply &amp; Delivery of Fuel, Oil and Lubricants for use in operation and maintenance of Service Vehicles, Heavy/Light Equipment &amp; Power Generators , for the month of July, August &amp; September, 2020(3rd Quarter)</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</si>
  <si>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</si>
  <si>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Republic of the Philippines PROVINCE OF PANGASINAN BIDS AND AWARD COMMITTEE (BAC) Brgy. Awai, San Jacinto, Pangasinan Mobile No. 09299615836 INVITATION TO BID The Barangay Awai, San Jacinto, Pangasinan, though its Bids and Award Committee (BAC), invites s</t>
  </si>
  <si>
    <t xml:space="preserve"> Provision of labor and materials for the repair and installation of existing fabricated greenhouse frame as Vineyard Tunnel at ATI RTC V, San Agustin, Pili, Camarines Sur.</t>
  </si>
  <si>
    <t xml:space="preserve"> Gate Motor, 2,500kg Capacity Control Board, RUA2/A</t>
  </si>
  <si>
    <t xml:space="preserve"> INVITATION TO BID FOR Concreting of Shoulder &amp; Slope Protection (1st &amp; 2nd APP) of various National Bridges along Gov. J.J. Linao Road (SO4822LZ), Bagac, Bataan, KO148+807 - KO155+095 w/ exception The DPWH-Bataan 2nd District Engineering Office, through i</t>
  </si>
  <si>
    <t xml:space="preserve"> body repair body repaint change oil check transmission bushing replacement 4 tires 2 bearing 1 break pad 2 oil seal 2 spindle loack 1 wind shield 1 door glass window</t>
  </si>
  <si>
    <t xml:space="preserve"> 1 Set -	OVERHAULING GASKET               1 Set -	PISTON RING .25                        4 Pc. -	PISTON, STANDARD 1 Set -	PISTON PIN BUSHING 1 Set -	CON ROD BEARING, STANDARD 1 Set -	MAIN BEARING, STANDARD 1 Set -	SLEEVE 1 Pc -	WATER PUMP 1 Pc -	TIMING BEL</t>
  </si>
  <si>
    <t xml:space="preserve"> Drugs and Medicines</t>
  </si>
  <si>
    <t xml:space="preserve"> Republic of the Philippines Province of Pangasinan MUNICIPALITY OF LINGAYEN Invitation to Bid for the Purchase of Gas Refill (Liquefied Petroleum Gas) for the month of August 2020-December 2020 at Slaughterhouse, Barangay Domalandan West, Lingayen, Pangas</t>
  </si>
  <si>
    <t xml:space="preserve"> ITEMNO. 	ITEM  &amp; DESCRIPTION	QTY.	UOM 			 1_ _ _ _ _Mechanical Sleeve Type Coupling 3"Ꝋ _ _ _20   pcs 2_ _ _ _ _Gate Valve 3" Ꝋ _ _ _ _ _ _ _ _ _ _ _ _ _ _2	 pcs 3_ _ _ _ _Blue VPVC Pipe 75mm "Ꝋ _ _ _ _ _ _ _ _ _3	pcs</t>
  </si>
  <si>
    <t xml:space="preserve"> MENRO</t>
  </si>
  <si>
    <t xml:space="preserve"> Supply and Delivery of 20,000 pcs Carp Fingerlings			20,000	Pcs	 60,000.00  						 	INCLUSIONS:					 	3 inches; in good condition and 10% mortality allowance					 						 	PLACE OF DELIVERY: PFO-Tacurong City, Sultan Kudarat					 	x-x-x-x-x-x-x-x-x-x-x-x-x</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</si>
  <si>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</si>
  <si>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Republic of the Philippines Province of Misamis Occidental Municipality of Plaridel INVITATION TO APPLY FOR ELIGIBILITY AND TO BID 	 	The Local Government Unit, LGU-Plaridel, Misamis Occidental, through the CY2019 Performance Challenge Fund (PCF) of the D</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</si>
  <si>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</si>
  <si>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Vannamei Frymash CP 42%min			20	Bags	 15,800.00  	Vannamei Crumble CP 42%min			30	Bags	 22,800.00  	Vannamei Starter CP 40%min			30	Bags	 42,900.00  	Vannamei Grower CP 40%min			40	Bags	 56,000.00  						 	PLACE OF DELIVERY: Bawing, General Santos City			</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</si>
  <si>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</si>
  <si>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</si>
  <si>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Specs: 8  pcs  GI pipe #2 S-40 8  pcs  GI coupling #2 2  bxs  Tapelon tape #1 1  set   Water pump 1 1/2 HP saer 8  pcs  PPR pipe #1 3  pcs  Ball valve #1 1  pc   Swing valve #1 HD 1  pc   Foot valve #1 HD 1  pc   GI tee #1 5  pcs  Nipple 1x3" 2  pcs  Nipp</t>
  </si>
  <si>
    <t xml:space="preserve"> Please quote your lowest price inclusive of TAXES on the item/s listed below, subject to Item Description and Terms and Conditions of this RFQ, and submit your quotation duly signed by you or your representative not later than 10:00 A.M. of July 6, 2020 a</t>
  </si>
  <si>
    <t xml:space="preserve"> 1. Replacement of Worn-out roofing and bended accessories (100%) 2. Replacement of worn-out wood framing (10%) &amp; ceiling joists (50%) and ceiling boards &amp; fascia boards (100%) 3. Replacement of worn-out door @ CR 4. Replacement of old/broken electrical fi</t>
  </si>
  <si>
    <t xml:space="preserve"> NOTICE OF NEGOTIATED PROCUREMENT (Two Failed Biddings) TO ALL INTERESTED BIDDERS We are pleased to invite you in our negotiation conference for the project requirements requirement To hire contractor to provide materials, labor and equipment for five (5) </t>
  </si>
  <si>
    <t xml:space="preserve"> 41	 bag 	 Portland Cement  6	cu.m	Mixed Aggregates</t>
  </si>
  <si>
    <t xml:space="preserve"> Republic of the Philippines Province of Cagayan Municipality of Sanchez Mira BIDS AND AWARDS COMMITTEE INVITATION TO BID SUPPLY AND DELIVERY OF DRUGS AND MEDICINES FOR USE AT THE MUNICIPAL HEALTH OFFICE, LGU, SANCHEZ MIRA, CAGAYAN ITB-2020-10-Goods 1.	The</t>
  </si>
  <si>
    <t xml:space="preserve"> Republic of the Philippines PROVINCE OF PANGASINAN BIDS AND AWARD COMMITTEE (BAC) Brgy. Bolo , San Jacinto, Pangasinan Mobile No. 09074012418 INVITATION TO BID The Barangay  Bolo, San Jacinto, Pangasinan, though its Bids and Award Committee (BAC), invites</t>
  </si>
  <si>
    <t xml:space="preserve"> Tilapia Pre-Starter (floater) CP content 36%min			40	Bags	 44,800.00  	Tilapia Starter (floater) CP content 34%min			319	Bags	 350,900.00  	Tilapia Grower (floater) CP content 31%min			319	Bags	 319,000.00  						 						 	PLACE OF DELIVERY: 					 	- PFO S</t>
  </si>
  <si>
    <t xml:space="preserve"> RQF</t>
  </si>
  <si>
    <t xml:space="preserve"> NOTICE OF NEGOTIATED PROCUREMENT (Two Failed Biddings) TO ALL INTERESTED BIDDERS We are pleased to invite you in our negotiation conference for the project requirements “To hire contractor to provide materials, labor and equipment for three (3) Infrastruc</t>
  </si>
  <si>
    <t xml:space="preserve"> Refrigerator Inverter, 2 Door 10.7 cu. ft. 6 Seater Dining Set (Tables and Chairs) Office Chair 2 HP Window Type Aircon</t>
  </si>
  <si>
    <t xml:space="preserve"> One (1) unit Chemistry Analyzer and two (2) other LI</t>
  </si>
  <si>
    <t xml:space="preserve"> I.	PROJECT:	Personal Protective Equipment for DOT VI Personnel II.	BACKGROUND  :   The Department of Tourism  shall ensure that minimum health  and safety standard protocols are observed by the employees at all times in the workplace and official field as</t>
  </si>
  <si>
    <t xml:space="preserve"> July 1, 2020 REQUEST FOR QUOTATION (RFQ) PCR HOOD (TABLE TOP) 1.	The Batangas Medical Center hereinafter referred to as the “Purchaser” now request for submission of price proposal for the procurement of the aforesaid item described in the Technical Speci</t>
  </si>
  <si>
    <t xml:space="preserve"> 1. 1,260 ltrs Diesel Note: the price/s quoted by the supplier shall be valid for a period of seven (7) calendar days from the date of the quotation, and the item/s shall be delivered to the procuring entity regardless of an increase or decrease in the pre</t>
  </si>
  <si>
    <t xml:space="preserve"> Use in Cebu City Medical Center-College of Nursing.</t>
  </si>
  <si>
    <t xml:space="preserve"> Republic of the Philippines BATANGAS STATE UNIVERSITY Batangas City REQUEST FOR QUOTATION "Procurement of equipments for CTE and CIT Department of Batangas State U Rosario Campus" 1. The Batangas State University (BatState U) through the Bids and Awards C</t>
  </si>
  <si>
    <t xml:space="preserve"> Provision of Food (meals &amp; snacks) ABC:50,000.00 	Mid Year Assessment 	50 pax 1 meal &amp; 2 snacks    	Year End Assessment 	50 pax 1 meal &amp; 2 snacks    	Proposed Venue: Provincial Capitol, Isulan, Sultan Kudarat 	Proposed Date: July-December 2020 (during  th</t>
  </si>
  <si>
    <t xml:space="preserve"> 1. Concreting 2. Installation of Flush Door 3. Steel Railing 4. Formworks 5. Rental of Equipment (5 days operation) 6. Floor Finish 7. Painting 1.	All quotations submitted to the City Government of Parañaque are considered as offer. In the event that the </t>
  </si>
  <si>
    <t xml:space="preserve"> See the attachment</t>
  </si>
  <si>
    <t xml:space="preserve"> Purchase and Installation of Children's Playground</t>
  </si>
  <si>
    <t xml:space="preserve"> RFQ No. 20-06-068 Purchase of Face Recognition with fever detection, UPS and Automatic Alcohol Dispenser</t>
  </si>
  <si>
    <t xml:space="preserve"> Supply &amp; Delivery of Other Supplies ABC:58,000.00 30 pcs  Customized Jacket  with Embroidered Logo 80 pcs Customized T-shirt with Embroidered Logo 	100% cotton 	Class A Cloth  	Delivery period: 30 days 	Delivery site: DA- Amas RES, Kidapawan City Note: Bi</t>
  </si>
  <si>
    <t xml:space="preserve"> LOT 1					 	Cool Storage Box			4	Units	 38,000.00  	Steel Swing Door Cabinet 7ft x 4ft Dimension			1	Unit	 13,500.00  	LOT 2					 	OTG Flash Drive 128GB			8	Units	 8,000.00  						 	PLACE OF DELIVERY: BFAR XII OFFICE, Koronadal City					 	x-x-x-x-x-x-x-x-</t>
  </si>
  <si>
    <t xml:space="preserve"> see associated components for downloadable RFQ 2020-4132</t>
  </si>
  <si>
    <t xml:space="preserve"> INVITATION TO BID Bid No. B-96-2020  1.	The Provincial Government of Negros Oriental, through Responsibility Center: 9998-015(19), intends to apply the sum of Two Million Nine Hundred Forty Thousand Pesos (Php 2,940,000.00) being the Approved Budget for t</t>
  </si>
  <si>
    <t xml:space="preserve"> Re-certification Audit for ISO 9001:2015 Quality Management System (QMS) Scope of re-certification: Supply of Water Services in the Municipality of Kabacan Exclusion: Clause 8.3 Design and Development Locations:  1. Main Office: Rizal Avenue, Kabacan, Cot</t>
  </si>
  <si>
    <t xml:space="preserve"> Republic of the Philippines Province of Guimaras OFFICE OF THE BIDS AND AWARDS COMMITTEE INVITATION TO BID FOR    SUPPLY AND DELIVERY OF MEDICAL SUPPLIES Bid Ref. No. 2020-06-369 1.	The Province of Guimaras , through the Medical, Dental &amp; Laboratory Expen</t>
  </si>
  <si>
    <t xml:space="preserve"> Request for Quotation RFQ No.		SVP-024-2020 MR No.		10753 Requisition No. 	CORPLAN.06.12.2020 Posting Date:         	July 2, 2020 Deadline for Submission:		July 8, 2020 at 9:00 AM Opening Date:	July 8, 2020 at 10:00 AM 	 TO:	Name of Supplier:_____________</t>
  </si>
  <si>
    <t xml:space="preserve"> Republic of the Philippines																					 BIDS AND AWARDS COMMITTEE																					 Dagupan City																					 																					 																					 Request for Quotation (RFQ)																					 																					 Procuremen</t>
  </si>
  <si>
    <t xml:space="preserve"> See attached RFQ for the terms and conditions and technical specifications.</t>
  </si>
  <si>
    <t xml:space="preserve"> Provide labor &amp; materials for parts replacement of Toyota, Hi-Lux SGX 411 ABC:58,006.00 	1 lot Materials -	Replacement of battery, tensioner bearing,    Body bolt, Idler bearing and wheel bearings  	1 lot Labor -	Mechanical works, installation of plastic </t>
  </si>
  <si>
    <t xml:space="preserve"> Provision of Van Rentals ABC:55,000.00 	10 units VAN  RENTALS -	General Santos City to Region XII Areas  -	10 VANS  -	Inclusive of fuel and driver 	(during the Various ADPO Training and Workshop (Field Tour or Site Visit) Note: Bidders must quote in all i</t>
  </si>
  <si>
    <t xml:space="preserve"> For Administrative Support Program.</t>
  </si>
  <si>
    <t xml:space="preserve"> MUNICIPALITY OF PANIQUI Province of Tarlac	Project Reference Number : I-2020-015 Name of the Project           : Construction of Two (2) Storey Multi-Purpose Bldg. Location of the Project     : Brgy. Patalan, Paniqui, Tarlac Standard Form Number: SF-INFR-</t>
  </si>
  <si>
    <t xml:space="preserve"> INVITATION TO BID Bid No. B-99-2020 1.	The Provincial Government of Negros Oriental, through Source of Fund: 1) 1999-169(19); 2) 4999-052(19); 3) 1999-194(17); 4) 1999-321(16); 5) 1918-023(19), intends to apply the sum of Fourteen Million Fourteen Thousan</t>
  </si>
  <si>
    <t xml:space="preserve"> 20	bxs.	Rimula R1 40 cc/sc, 4x4l A240 20	bxs.	Rimula R1 30 cc/SC 4x4L A240 10	bxs.	Spirax S2 G90 4x4L A240 15	bxs.	Spirax S2 G140 4x4L A240 5	bxs.	Spirax S1 ATF Tasa 12 x 1L 10	bxs.	Advance SX@ 2T Triple 12 x1L A236 20	bxs.	Rimula R3 10W CF 4x4L A050 10	b</t>
  </si>
  <si>
    <t xml:space="preserve"> INVITATION TO BID Bid No. B-95-2020  1.	The Provincial Government of Negros Oriental through Responsibility Center: 1011 / Account Code: 50203010, intends to apply the sum of Five Hundred Ninety-Five Thousand One Hundred Ninety-Three Pesos (Php 595,193.00</t>
  </si>
  <si>
    <t xml:space="preserve"> For the use of DFM &amp; OPS</t>
  </si>
  <si>
    <t xml:space="preserve"> Seven hundred pcs Plywood #1/4 and thirty three (33) other L/I</t>
  </si>
  <si>
    <t xml:space="preserve"> INVITATION TO BID Bid No. B-98-2020 1.	The Provincial Government of Negros Oriental, through Source of Fund: 1) 1918-019(18); 2) 9998-011(19), intends to apply the sum of One Million Nine Hundred Sixty Thousand Pesos (Php 1,960,000.00) being the Approved </t>
  </si>
  <si>
    <t xml:space="preserve"> QTY   UNIT    DESCRIPTION 100   PCS      BULB LAMP (FIREFLY) 20W</t>
  </si>
  <si>
    <t xml:space="preserve"> Computer Desktop w/ Printer ----------------------- 2 units   Specs:      - Intel Core i7      - Windows 10</t>
  </si>
  <si>
    <t xml:space="preserve"> For use of DMD</t>
  </si>
  <si>
    <t xml:space="preserve"> INVITATION TO BID Bid No. B-97-2020  1.	The Provincial Government of Negros Oriental, through Responsibility Center: 1918-039(19), intends to apply the sum of Two Million Nine Hundred Forty Thousand Pesos (Php 2,940,000.00) being the Approved Budget for t</t>
  </si>
  <si>
    <t xml:space="preserve"> To purchase office supplies for Barangay Kalawaan, Pasig City</t>
  </si>
  <si>
    <t xml:space="preserve"> 60 pieces white PVC moulding (3/4) 20 pieces RJ 45 2 pieces Cutter 240 pieces Toy &amp; Screw 2 boxes UTP cable cut 6 4 pieces Dlink Gigabit Sport Hub 16 units Networking for LAN &amp; installation of PVC moulding and Cabling</t>
  </si>
  <si>
    <t xml:space="preserve"> LOT - I Auto Diesel   38,000.00	liters	Auto Diesel   		Total of Lot - I  P1,748,000.00 		 		LOT - II Premium Gasoline 8,000	liters	Premium Gasoline 		Total of Lot - II  P464,000.00 		GRAND TOTAL AMOUNT  P2,212,000.00</t>
  </si>
  <si>
    <t xml:space="preserve"> 1.0	unit	Printer (1200 x 1200 DPI Print Resolution for Sharp Text &amp; Documents, A1-Size Print Speeds of 35 sec., Accepts Sheets &amp; Roll Feed Media up to 24" Wide, Wifi Enabled, Raster driver</t>
  </si>
  <si>
    <t xml:space="preserve"> Rehab/Improvement of Birthing Station @ Samal, Bataan 10 pcs - Sand Paper #180 3 ft - Sand Paper #100 1 pc - 2x2x8 R.O 12 pcs - Plyboard 6 pcs - 2x6x8 R.O 2 kgs - Fin. Nail #2 3 kgs - Fin. Nail #3 4 packs - Stikwel 1 box - Tox #5 50 pcs - Wood Screw Black</t>
  </si>
  <si>
    <t xml:space="preserve"> 50 bags of Urea (46-0-0) 30 bags of Complete (14-14-14) 20 bags of Ammonium Phosphate (16-20-0)</t>
  </si>
  <si>
    <t xml:space="preserve"> Department of Public Works and Highways OFFICE OF THE REGIONAL DIRECTOR DPWH Regional Office VII South Road Properties, Cebu City  NOTICE OF PROCUREMENT OF CONSULTING SERVICES THROUGH NEGOTIATED PROCUREMENT July 01, 2020 Notice is hereby given that the De</t>
  </si>
  <si>
    <t xml:space="preserve"> The Kiburiao National High School - Senior High, through the General Appropriations Act, intends to apply the sum of three thousand one hundred twenty pesos (3,120.00) only being the Approved Budget for the Contract to payment under the procurement of cle</t>
  </si>
  <si>
    <t xml:space="preserve"> Please see attached Invitation to Bid (ITB) and Purchase Request (PR).</t>
  </si>
  <si>
    <t xml:space="preserve"> Laptop Computer -------------------- 1 unit   Specs:           - Core 15           - 8gb Memory           - 1TB Hard Drive           - Complete accessories</t>
  </si>
  <si>
    <t xml:space="preserve"> DESCRIPTION            UNIT     QUANTITY         PRICE    TOTAL   Bond Paper A4	        ream 	1040	          200.00 	 208,000.00  Stapler Big	           pc  	20	          384.00 	 7,680.00  Staple Wire #35  	 box 	        100	           59.50 	  5,950.00 </t>
  </si>
  <si>
    <t xml:space="preserve"> Delivery of office equipments  (MPDO)</t>
  </si>
  <si>
    <t xml:space="preserve"> Items: 11   Pcs. Office Tables</t>
  </si>
  <si>
    <t xml:space="preserve"> To purchase supplies &amp; materials for uniforms of Security Force of Barangay Kalawaan, Pasig City</t>
  </si>
  <si>
    <t xml:space="preserve"> G.I Sheet Corr 12ft	127	pcs G.I Sheet Corr 10ft	64	pcs G.I Sheet Corr 7ft	15    	pcs Umbrella Nails	25	kls G.I Gutter	20	pcs G.I Plain Sheets	32	pcs Fiber Board Cement 	32	pcs Blind Rivets 5/32	1	box 2x2 Tubular	5	pcs Flush Door	1	unit Vulca Seal	4	ltrs D</t>
  </si>
  <si>
    <t xml:space="preserve"> Please quote your lowest price inclusive of VAT on the item/s listed below,subject to the terms and conditions of this RFQ,and submit your quotation duly signed by your representative not later than July 7,2020,at Uwisan Elementary School,Uwisan Calamba C</t>
  </si>
  <si>
    <t xml:space="preserve"> 1	bx	CELL-DYN Control (Ruby) 12	bxs	CELL-DYN DILUENT SHEATH 4	bxs	CELL-DYN WBC LYSE 		GRAND TOTAL AMOUNT  P382,672.00</t>
  </si>
  <si>
    <t xml:space="preserve"> Canvas Bag (Katsa Type) Estimate Dimension: H=15 inches; L=12 inches; W=4 inches Personalized Print Design</t>
  </si>
  <si>
    <t xml:space="preserve"> Delivery, installation and testing of variable frequency drive for 50 hp, 460 VAC, 3-phase, 60hz submersible motor -in NEMA enclosure cabinet with main circuit breaker - magnetic contactor with thermal overload relay -under/over voltage relay -Phase imbal</t>
  </si>
  <si>
    <t xml:space="preserve"> SUPPLY AND DELIVERY OF ANTI-DENGUE KITS FOR SCHOOL CHILDREN (ANTI- MOSQUITO REPELLANT LOTION - CLEAR POUCH) - Order of payment for Bid Docs will be available at GSD-Head Office @ 10th Floor Makati City Hall Bldg. 2.  Look for Mr. Reden Villanueva. - A  co</t>
  </si>
  <si>
    <t xml:space="preserve"> for use of Director office</t>
  </si>
  <si>
    <t xml:space="preserve"> SUPPLY AND DELIVERY OF FOOD SUPPLIES FOR FOOD ASSISTANCE, NUTRI-BATA PROJECT, MAKATI YOUTH HOME AND SOCIAL DEVELOPMENT CENTER - Order of payment for Bid Docs will be available at GSD-Head Office @ 10th Floor Makati City Hall Bldg. 2.  Look for Mr. Reden V</t>
  </si>
  <si>
    <t xml:space="preserve"> CONSTRUCTION OF HEALTH ISOLATION FACILITIES FOR COVID - 19</t>
  </si>
  <si>
    <t xml:space="preserve"> 1. Cacao Seedling (grafted, pencil-size, seedling, UFIQ Var, H:12"-24" --------   500 pc. 2. Banana Corm -------------------------------------------------------------------- 1,800 pc.</t>
  </si>
  <si>
    <t xml:space="preserve"> QTY   UNIT     DESCRIPTION 28      PCS      COMPUTER INK NO. 003 BLACK 15      PCS      COMPUTER INK NO. 003 CYAN 15      PCS      COMPUTER INK NO. 003 YELLOW 15      PCS      COMPUTER INK NO. 003 MAGENTA 18      PCS      CORRECTION TAPE RE-FILLER 8      </t>
  </si>
  <si>
    <t xml:space="preserve"> Hiring of Consultancy to Conduct the Mid-Term (MTR) of the 3rd National Plan of Action for Children (NPAC) and Philippine Plan of Action to End Violence Against Children (PPAEVAC) Bidders should submit their Intent/s on or before the end of posting period</t>
  </si>
  <si>
    <t xml:space="preserve"> The Kiburiao National High School - Senior High, through the General Appropriations Act, intends to apply the sum of one hundred seventy eight thousand seven hundred fifty eight pesos (178,758.00) only being the Approved Budget for the Contract to payment</t>
  </si>
  <si>
    <t xml:space="preserve"> Motorized Roll Up Door</t>
  </si>
  <si>
    <t xml:space="preserve"> 4	unit	ACCESS POINT DEVICES/ROUTER Outdoor with Barcket (Technical Specifications (AP AC LR), Networking Interface: (1) 10/100/1000 Ethernet Ports, Antennas: (1) Dual-Band Antenna, Tri-Polarity, 3 dBi ,Max TX Power: 2.4GHz: 24 dBm - 5GHz: 22 dBm ,Buttons:</t>
  </si>
  <si>
    <t xml:space="preserve"> Improvement of Weather Division Male &amp; Female Quarters  Supply, Delivery &amp; Installation of Laminated Walls with Hard Wood doors. Pls. see attached scope of works Price Validity 120 days Price VAT inclusive and all other government taxes  Delivery Date:  1</t>
  </si>
  <si>
    <t xml:space="preserve"> Provide labor &amp; materials for parts replacement of Nissan Frontier- SGA 519 ABC:63,598.00 	1 lot Materials -	Replacement of battery/Car Stereo/speakers 	  	1 lot Labor -	Check up electrical system of the unit, replace defective bulbs, Wiring, fuses and so</t>
  </si>
  <si>
    <t xml:space="preserve"> See Attached Documents</t>
  </si>
  <si>
    <t xml:space="preserve"> PROCUREMENT OF MEDICAL EQUIPMENT</t>
  </si>
  <si>
    <t xml:space="preserve"> LGU – Sierra Bullones     					  Contractor Reference Number 	                                                                                                 								         Name of the Contract    								        Location of the Contract Standard Form </t>
  </si>
  <si>
    <t xml:space="preserve"> Republic of the Philippines Province of Oriental Mindoro MUNICIPALITY OF NAUJAN BIDS &amp; AWARDS COMMITTEE INVITATION TO BID CONSTRUCTION OF MULTI- PURPOSE HALL AT BARANGAY STA. ISABEL, NAUJAN, ORIENTAL MINDORO 1.	The Municipal Government of Naujan – Bids an</t>
  </si>
  <si>
    <t xml:space="preserve"> For one(1) lot Project DESCRIPTION  A.	Waterproofing works at Roof Deck (2coats) A.1 Polyurethane/Rubberized Waterproofing membrane A.2 Surface Cleaning and Preparation A.3 Miscellaneous and other accessories B.	Masonry Wall B.1 Portland Cement B.2 Fine S</t>
  </si>
  <si>
    <t xml:space="preserve"> TERMITE ERADICATION AND PREVENTIVE PROGRAM FOR MAKATI CITY HALL OLD BUILDING, MAKATI POST OFFICE AND VARIOUS DAY CARE CENTERS AT DISTRICT I AND II, MAKATI CITY - Order of payment for Bid Docs will be available at GSD-Head Office @ 10th Floor Makati City H</t>
  </si>
  <si>
    <t xml:space="preserve"> PR NO. 20-03-364			 1	1	Unit	REAGENT REFRIGERATOR WITH AVR	423,129.33	423,129.33 			&gt;Upright 		 			&gt; Capacity: 23.3 cu. Ft. (659L) - minimum requirement.		 			&gt; Auto Volt		 			&gt; Forced Air Circulation		 			&gt; Heat-Free defrost		 			&gt; Single door, self clos</t>
  </si>
  <si>
    <t xml:space="preserve"> Procurement ofSupplies for Reproduction of Learning Modules</t>
  </si>
  <si>
    <t xml:space="preserve"> 2020 16th Public Bidding for Procurement  of IT Supplies and Equipment</t>
  </si>
  <si>
    <t xml:space="preserve"> SUPPLY, DELIVERY AND INSTALLATION OF FURNITURE AND FIXTURES FOR THE OFFICE OF THE MAYOR - Order of payment for Bid Docs will be available at GSD-Head Office @ 10th Floor Makati City Hall Bldg. 2.  Look for Mr. Reden Villanueva. - A  complete set of Biddin</t>
  </si>
  <si>
    <t xml:space="preserve"> Medical Check up including: CBC  Urinalysis  X-ray  ECG  Total Cholesterol Blood count chemistry (FBS, Triglyceride, HDL, LDL, VLDL, Blood Uric Acid (BUA), Creatinine, SGPT/ALT)  for 67 Junior High School teachers and 27 Senior High School Teachers</t>
  </si>
  <si>
    <t xml:space="preserve"> MATERIALS AND LABOR COST</t>
  </si>
  <si>
    <t xml:space="preserve"> MUNICIPALITY OF PANIQUI Province of Tarlac	Project Reference Number : I-2020-016 Name of the Project           : Construction of Two (2) Storey Multi-Purpose Bldg. Location of the Project     : Brgy. San Juan De Milla, Paniqui, Tarlac Standard Form Number</t>
  </si>
  <si>
    <t xml:space="preserve"> Additional Labor of the Construction of Supply Warehouse 01D(GASS) G01-2020 Kindly see attached file. Thank you!</t>
  </si>
  <si>
    <t xml:space="preserve"> The Kiburiao National High School - Senior High, through the General Appropriations Act, intends to apply the sum of one thousand three hundred twenty pesos (1,320.00) only being the Approved Budget for the Contract to payment under the procurement of man</t>
  </si>
  <si>
    <t xml:space="preserve"> SUPPLY AND DELIVERY OF CUSTOMIZED WASHABLE/REUSABLE CLOTH FACE MASKS WITH POUCH FOR ALL CITY EMPLOYEES - Order of payment for Bid Docs will be available at GSD-Head Office @ 10th Floor Makati City Hall Bldg. 2.  Look for Mr. Reden Villanueva. - A  complet</t>
  </si>
  <si>
    <t xml:space="preserve"> Procurement of 3 Printers</t>
  </si>
  <si>
    <t xml:space="preserve"> PLEASE SEE ATTACHED ASSOCIATED COMPONENT</t>
  </si>
  <si>
    <t xml:space="preserve"> 13 boxes QDE White 2 pails Flat Latex 2 pails Gloss latex 2 gals. automotive silver enamel 12 gals. Acrylic thinner 1 box Delp blue roofguard 5 boxes Red Oxide primer 1 box Rush Converter 12 pieces Baby Roller 3 pieces Roller plate 3 pieces Roller brush #</t>
  </si>
  <si>
    <t xml:space="preserve"> SUPPLY OF MATERIALS</t>
  </si>
  <si>
    <t xml:space="preserve"> ( Materials for the Prevention and Sanitary measures of COVID - 19</t>
  </si>
  <si>
    <t xml:space="preserve"> #6 Aluminum Wire (Poly Acc) stranded, 300 mtrs/roll  Secondary Rack, HD 1/2Ø x 8" Machine Bolt w/ Nut and Washer 1 1/2Ø RSC Pipe 1 1/2Ø Service Entrance Cap #6/7 THHN Cu. Wire Electrical Tape #16 GI Wire</t>
  </si>
  <si>
    <t xml:space="preserve"> 2 UNIT TRASH BIN, TRANSPARENT</t>
  </si>
  <si>
    <t xml:space="preserve"> Supply and Delivery of Various Office, Janitorial and Disinfectant Supplies and Materials for Vice- Mayor’s Office, Sangguniang Bayan Office and SB Secretary’s Office  (3rd Quarter)</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</si>
  <si>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</si>
  <si>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</si>
  <si>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SUPPLY AND DELIVERY OF BIODEGRADABLE BAGS FOR DES FIELD PERSONNEL - Order of payment for Bid Docs will be available at GSD-Head Office @ 10th Floor Makati City Hall Bldg. 2.  Look for Mr. Reden Villanueva. - A  complete set of Bidding Documents will be av</t>
  </si>
  <si>
    <t xml:space="preserve"> Awarding is per lot</t>
  </si>
  <si>
    <t xml:space="preserve"> SUPPLY AND DELIVERY OF ELECTRICAL AND PAINTING MATERIALS FOR THE PREVENTIVE MAINTENANCE OF ALL MAKATI CITY GOVERNMENT EXISTING STREET LIGHTS WITHIN DISTRICT I AND II, MAKATI CITY THROUGH AN ORDERING AGREEMENT - Order of payment for Bid Docs will be availa</t>
  </si>
  <si>
    <t xml:space="preserve"> Republic of the Philippines Province of Leyte MUNICIPALITY OF PALO Invitation to Bid for the Repair of Roofing at the PNP Building, MTC-PWD’s Building and Covered Road for Tabo in Barangay Guindapunan and Cavite East, Palo, Leyte Job Request No. 20-06-115</t>
  </si>
  <si>
    <t xml:space="preserve"> For use of Dept. of Psychiatry</t>
  </si>
  <si>
    <t xml:space="preserve"> Supply of Road Maintenance Materials</t>
  </si>
  <si>
    <t xml:space="preserve"> 5 UNIT AIRCON, 3TR, FLOOR MOUNTED</t>
  </si>
  <si>
    <t xml:space="preserve"> Reference No. PR # 20-06-0793 PRICE QUOTATION FORM (BID FORM) Sealed Bids shall be dropped in the BIDDERS BOX on or before 2:00 P.M.  July 07, 2020    placed at the office of the Chairman of the College BAC. Thereafter, the Bidder's Box shall be sealed un</t>
  </si>
  <si>
    <t xml:space="preserve"> P.E. Pipe 1/2 HDR 9 Marine Plywood 3/4 Sink Lavatory Angle Valve 1/2 x 1/2 Flexible Hose 1/2 x 1/2 x 14" P.E. Female Elbow 1/2 P.E. Elbow 1/2 x 1 x 1 PVC Pipe #2 PVC Elbow #2 P.E. Elbow 1/2 Teplon #1 Long Neck Faucet Common Nails # 2 1/2</t>
  </si>
  <si>
    <t xml:space="preserve"> 14	pail	Gloss Latex Paint 10	pail	Flat latex White 6	gal	Paint Thinner 4	gal	Quick Dry Enamel (Choco Brown) 10	pcs	Mesh Tape 2" 3	ltrs	Stikwell Glue 10	yard	Floor sanding paper #100 50	pcs	Water proof #150 50	pcs	Water proof #240 2	bags	Patching Compound </t>
  </si>
  <si>
    <t xml:space="preserve"> Procurement of Materials for Repair of Handwashing Facility</t>
  </si>
  <si>
    <t xml:space="preserve"> IMPROVEMENT OF MULTI-PURPOSE HALL , BARANGAY ABO-ABO 1. The Local Government Unit of Mauban through the 20% DEVELOPMENT FUND-8751/1-07-10-030, 2020 intends to apply the sum of Seven hundred twenty six thousand eight hundred ninety nine pesos and ninety th</t>
  </si>
  <si>
    <t xml:space="preserve"> Purchase Request No.: 101-2020-06-0271 NOTICE TO ALL PROVIDERS/SUPPLIERS: The Department of Information and Communications Technology (DICT), through its Bid and Awards Committee intends to procure Sodium Hypochlorite. As such, supplier of known qualifica</t>
  </si>
  <si>
    <t xml:space="preserve"> Republic of the Philippines PROVINCE OF ZAMBOANGA DEL SUR Municipality of Dimataling BIDS AND AWARD COMMITTEE Reference Number : PR-193-100-2020 Date: July 1, 2020 Project Title/P.R. # : PROCUREMENT OF SHUTTLE BUS FOR GOVERNMENT VEHICLE Approved Budget of</t>
  </si>
  <si>
    <t xml:space="preserve"> 1. The total approved budget for the contract for the SUPPLY AND DELIVERY OF POLY ALUMINUM CHLORIDE is PhP 468,750.00 2. Price quotations must include all taxes, duties, and/or levies payable and must be valid for 30 days. 3. Suppliers must specify the BR</t>
  </si>
  <si>
    <t xml:space="preserve"> Grade 7 Modules - 264,225 Grade 8 Modules - 268,800 Grade 9 Modules- 269,780 Grade 10 Modules- 253,809 Total no. of pages:   1,056,614 Other Descriptions: 1. Paper size A4 2. Paper quality white 3. 70 gsm 4. Stapled at left side.</t>
  </si>
  <si>
    <t xml:space="preserve"> Cellphone Iphone 8 ---------------------------- 1 pc. Specs:   Display: 4.7 inch 750x133g pixels   Camera : 12MP 2160P   RAM : 296 Ram Apple AllBionic   CPU: Hexa-core (2xmonsoon + 4x mistral)   Memory: 65GB 2GB, 256GB 2GB Nvme Cellphone A50S ------------</t>
  </si>
  <si>
    <t xml:space="preserve"> Repair and maintenance of rescue vehicles</t>
  </si>
  <si>
    <t xml:space="preserve"> Labor Charge for Cleaning of 2 units Aircon at Municipal Treasurer's Office</t>
  </si>
  <si>
    <t xml:space="preserve"> SAN PABLO CITY WATER DISTRICT							 San Pablo City							 Telefax: (049) 503-0075 Email Address: spcwd_bac@yahoo.com							 							 REQUEST FOR PRICE QUOTATION							 June 29, 2020							 AGD - 099 - 0							 Contract No. 2020-147							 REFERENCE 		PR N</t>
  </si>
  <si>
    <t xml:space="preserve"> INVITATION TO BID FOR NEGOTIATED PROCUREMENT SUPPLY AND DELIVERY OF ONE (1) UNIT MOTOR VEHICLE (PASSENGER VAN) 1.	The National Economic and Development Authority (NEDA) Regional Office XII, through the FY 2020 GENERAL APPROPRIATIONS ACT (GAA)  intends to </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</si>
  <si>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</si>
  <si>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3 AIRCON UNIT, 2HP, SPLIT TYPE, INVERTER</t>
  </si>
  <si>
    <t xml:space="preserve"> The Local  Government   Unit  of General  Santos  City, through  the  GENERAL FUND CY 2020  intends  to apply  the sum of five hundred twenty five thousand one hundred fifty and 39 / 100 Pesos Only (525,150.39)   being  the Approved  Budget  for the Contr</t>
  </si>
  <si>
    <t xml:space="preserve"> PR#20-06-0336 ABC 54,601.00 1 kilo CW Nail 1” 2 kilos CW Nail 3” 63 length Deformed Bar, 10mmØ x 6m, 3.47 to 3.92 kg.wt. 12 length Deformed Bar, 12mmØ x 6m, 5.01 to 5.65 kg.wt. 22 pcs. Expansion Bolt, 3/8Ø x 2-1/4” 3 kilos GI Tie Wire #16 10 pcs. Hacksaw </t>
  </si>
  <si>
    <t xml:space="preserve"> WIDENING OF ROAD @ SITIO BACOOD/TDS, BRGY. STO. CRISTO CSJDM BULACAN</t>
  </si>
  <si>
    <t xml:space="preserve"> 112 BOXES 3-PLY SURGICAL MASK (50 PCS/BOX) 4 BOXES ALCOHOL EHTYL 70% SOLUTION (4 GALLONS/BOX) SUPPLIES FOR THE USED OF FMD STAFF FOR 3RD QUARTER</t>
  </si>
  <si>
    <t xml:space="preserve"> Republic of the Philippines									 PROVINCE OF CAGAYAN									 Tuguegarao City									 									 REQUEST FOR QUOTATION									 									 Company Name: 			Quotation No.						 Address:			Date						 TIN Number: 			PR No.						 Tel/Fax: 			Mode of Procur</t>
  </si>
  <si>
    <t xml:space="preserve"> 28	bot	Bookpaper Long	 28	bot	Bookpaper Short	 15	bot	Epson Ink  T6644 Magenta	 15	bot	Epson Ink  T6644 Black	 10	pack	Toilet Tissue 10's	 15	bot	Epson Ink T6641 Cyan	 15	pcs	Epson Ink T6642 Yellow	 9	pcs	Scotch Tape 2'	 3	pcs	Tape Dispenser	 26	rms	Bondp</t>
  </si>
  <si>
    <t xml:space="preserve"> 20-10235 2000 pcs Pillow Case 22.5 x 31</t>
  </si>
  <si>
    <t xml:space="preserve"> OPENING OF BIDS IN DSWD FO IX ZAMBOANGA CITY			 DELIVERY IN DSWD FO IX ZC			 PROCUREMENT FOR THE FF.			 			 300	KLS.	FISH YELLOW PIN- LARGE SIZE	 300	KLS.	FISH LAUSO-LARGE SIZE	 300	KLS.	FISH MATAMBAKA-LARGE SIZE	 300	KLS.	FUSH TULINGAN-LARGE SIZE	 300	KL</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</si>
  <si>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</si>
  <si>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The Local  Government   Unit  of General  Santos  City, through  the  GENERAL FUND CY 2020  intends  to apply  the sum of seventy four thousand two hundred ten and xx / 100 Pesos Only (74,210.00)   being  the Approved  Budget  for the Contract   (ABC) to </t>
  </si>
  <si>
    <t xml:space="preserve"> OFFICE SUPPLIES PURCHASED</t>
  </si>
  <si>
    <t xml:space="preserve"> Republic of the Philippines MUNICIPALITY OF SANTA CRUZ Province of Marinduque BARANGAY MAHARLIKA Office of the Bids and Awards INVITATION TO BID FOR  Purchase &amp; Installation of Solar Panel (ITB No.: 2020-003) 1.	The Barangay Maharlika, Sta. Cruz, Marinduq</t>
  </si>
  <si>
    <t xml:space="preserve"> The Local  Government   Unit  of General  Santos  City, through  the  GENERAL FUND CY 2020  intends  to apply  the sum of two hundred twenty nine thousand fifty two and xx / 100 Pesos Only (229,052.00)   being  the Approved  Budget  for the Contract   (AB</t>
  </si>
  <si>
    <t xml:space="preserve"> CONCRETING OF BRGY. ROAD @ SKYLINE VILLAGE</t>
  </si>
  <si>
    <t xml:space="preserve"> Unit 	Item Description	Quantity 		 pcs.	Ballpen fine point (black,Blue)	20 pcs.	Correction tape	40 reams	Bond paper, A4	77 reams	Bond papere, legal	94 pcs.	Expanded envelope	50 pcs.	Flag	1 boxes	Paper fastener	4 card	Mobile load	4 kilo	Nylon	1 sets	Printe</t>
  </si>
  <si>
    <t xml:space="preserve"> 4   pcs     265 R 17, All Terrain Tubeless Type</t>
  </si>
  <si>
    <t xml:space="preserve"> The DENR-PENRO Negros Occidental intends to procure Six (6) Units of Branded, Off-Road and not exceeding 200 cc  Motorcycle for official use of PENRO Negros Occidental Enforcement Team.</t>
  </si>
  <si>
    <t xml:space="preserve"> Vehicle Rental	 	Specifications:	 	Target date: within July To September 2020(3rd quarter) and October to December 2020(4th quarter)	 2 Vehicle	15 Days x 2 Units/day x 5,000.00)-3rd quarter	 2 Vehicle	15 Days x 2 Units/day x 5,000.00-4th quarter	 	2 Units</t>
  </si>
  <si>
    <t xml:space="preserve"> The DENR-PENRO Negros Occidental intends to procure Three (3) Units of Unmanned Aerial Vehicle (Drone) for Official Use of National Greening Program (NGP) personnel in surveillance and video documentation purposes. Specifications: 1. Aircraft Weight (Batt</t>
  </si>
  <si>
    <t xml:space="preserve"> 1 5 REAM/S PAPER - BOND,PG,LEGAL,216MMX330MM(8-1/2"X13") 70 GSM 2 5 REAM/S PAPER - MULTI-PURPOSE (ASSORTED COLOR) -A4 3 7 PCS DOCUMENT KEEPER - W/ COVER,LONG AND THICK-BLUE 4 20 PC/S CORRECTION TAPE - W/ CASE 5 10 ROLL/S TAPE - TRANSPARENT, 12MM (0.5") WI</t>
  </si>
  <si>
    <t xml:space="preserve"> SPECIAL RICE, 50KGS/SACK</t>
  </si>
  <si>
    <t xml:space="preserve"> Please see attached RFQ for complete details.</t>
  </si>
  <si>
    <t xml:space="preserve"> Procurement of Materials for the Construction of Drainage Barangay Matatag Phase-1				 ABC: 700,000.00				 				 18	cu.m	Gravel 2' dia.		 27	pcs	Culvert 36" dia.		 64	cu.m.	Earthfill		 78	pcs	12mm dia. X 6.0 def bar		 244	bags	Portland Cement		 26	cu.m.	Ri</t>
  </si>
  <si>
    <t xml:space="preserve"> SUPPLY AND DELIVERY OF OFFICE EQUIPMENT AND SUPPLIES FOR VARIOUS DEPARTMENTS/OFFICES OF THE CITY GOVERNMENT OF MAKATI - Order of payment for Bid Docs will be available at GSD-Head Office @ 10th Floor Makati City Hall Bldg. 2.  Look for Mr. Reden Villanuev</t>
  </si>
  <si>
    <t xml:space="preserve"> REQUEST FOR QUOTATION 	 Stock No. Unit  Item  Description     Qty. 1	Box	Rapid Diagnostic Test (RDT Kits)	300 2	Box	Red Top Test Tube (Plain Red Top)	2 3	Box	Pippetor (to be used for RDT)	1 x-x-x-nothing follows-x-x-x</t>
  </si>
  <si>
    <t xml:space="preserve"> The Philippine Statistics Authority- Regional Statistics Service Office National Capital Region (PSA-RSSO NCR) invites interested suppliers / bidders to submit their quotations / proposals for the hereunder requirements: I.	T-SHIRTS= 215 pcs              </t>
  </si>
  <si>
    <t xml:space="preserve"> Republic of the Philippines					 PROVINCE OF LEYTE					 Municipality of Burauen					 Request for Quotation					 				Date: 	 _____________________________				Quotation No: __________	 _____________________________					 _____________________________					 Pl</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</si>
  <si>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</si>
  <si>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See attached RFQ</t>
  </si>
  <si>
    <t xml:space="preserve"> 1 UNIT DEHUMIDIFIER, BIG</t>
  </si>
  <si>
    <t xml:space="preserve"> Purchase of Medicines and Medical supplies to be used by Women about to give birth in Ajuy Birthing Center</t>
  </si>
  <si>
    <t xml:space="preserve"> 10	 ltrs.  	 Insects &amp; Mosquito Repellant</t>
  </si>
  <si>
    <t xml:space="preserve"> Unit 	Item Description		Quantity Letter 	Mirrorized Signage &amp; logo Installation		50  Pcs 	Tiles		21  Bag 	Cement		35  Length 	Concrete Moulding		8  pcs 	Pin Ligth		3  Pcs 	Spot Ligth		4  Mts 	Wire		52  Length 	Pvc Pipe		10  pc  	Electrical Tape		1  Pc 	Sw</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</si>
  <si>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</si>
  <si>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Vermicast, Fertilizers , Asst. Vegetable Seeds etc..</t>
  </si>
  <si>
    <t xml:space="preserve"> One (1) unit Combination Therapy (UTZ, Laze, Electro) and two (2) other LI</t>
  </si>
  <si>
    <t xml:space="preserve"> rental of various vehicles for OPAPP Mindanao covering the period of 1 to 15 of August 2020.</t>
  </si>
  <si>
    <t xml:space="preserve"> PROJECT BILLBOARD - 1.00 lot SITE WORKS - 1.00 s.m.  INTAKE BOX/COLLECTION BOX - 1.00 unit RESERVOIR - 10.94 cu.m. PIPELINE WORKS - 620.00 l.m. COMMUNAL TAPSTAND (SINGLE FAUCET) - 3.00 units CSPMC Cabinet - 1.00 unit</t>
  </si>
  <si>
    <t xml:space="preserve"> July 1, 2020 REQUEST FOR QUOTATION (RFQ) PCR RACK FOR 96 TUBES AND MICROTUBE RACK 1.	The Batangas Medical Center hereinafter referred to as the “Purchaser” now request for submission of price proposal for the procurement of the aforesaid item described in</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</si>
  <si>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</si>
  <si>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Purchase of Fire extinguishers and refill</t>
  </si>
  <si>
    <t xml:space="preserve"> Please send quotation to apecozone@gmail.com</t>
  </si>
  <si>
    <t xml:space="preserve"> Purchase of various spareparts and repair of Municipal Pick-up Toyota Hi-Lux (Old)</t>
  </si>
  <si>
    <t xml:space="preserve"> Republic of the Philippines City of Dapitan BIDS AND AWARDS COMMITTEE 						June 26, 2020 NOTICE FOR NEGOTIATED - SMALL VALUE PROCUREMENT 	The City Government of Dapitan through the Bids and Awards Committee (BAC) would like to inform PhilGEPS registered </t>
  </si>
  <si>
    <t xml:space="preserve"> 2000 pcs Sanitary Gloves 1500 pcs Dust Mask 120 pcs Boots - good quality 120 pcs Rain Coat -  good quality</t>
  </si>
  <si>
    <t xml:space="preserve"> 1 2 UNIT PRINTER - . - Colored Single-Function Printer with Cartridge CISS and Elite Premium Dye Inks 2 1 UNIT PRINTER - . - A3+ Single Function Colored Printer with built-in Ink Tank System</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</si>
  <si>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</si>
  <si>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1. 1 LOT - ID SUPPLIES - 472,200.00 he Complete Schedule of Activities are Listed as Fallows: 1. Submission of Letter of Intent &amp; Issuance of Bid Documents - July 8-19, 2020 @ 8:00am - 5:00pm 2. Opening of Bids - July 22, 2020 @ 09:00am @ Mun. Conference </t>
  </si>
  <si>
    <t xml:space="preserve"> 1 UNIT DESKTOP COMPUTER - . - PC22 1TB-8GB, Intel Core i5-9400 Coffee Lake 6-Core 2.90 GHz LGA 1151 (300 series) 65W. CPU Package Computer Set with Keyboard, Mouse &amp; Mousepad (1 set)</t>
  </si>
  <si>
    <t xml:space="preserve"> Republic of the Philippines Province of Camarines Sur Municipality of Del Gallego Barangay Government of Mabini INVITATION TO BID The Barangay Government of Mabini, Del Gallego, Camarines Sur, through 20% BEDF 2020 intends to apply the sum of Two Hundred </t>
  </si>
  <si>
    <t xml:space="preserve"> Purchase of supplies and materials for 2nd qtr</t>
  </si>
  <si>
    <t xml:space="preserve"> Republic of the Philippines BATANGAS STATE UNIVERSITY Batangas City REQUEST FOR QUOTATION "Procurement of ICT Equipment for Various Offices" 1.	The Batangas State University (BatState U) through the Bids and Awards Committee invites interested firms/suppl</t>
  </si>
  <si>
    <t xml:space="preserve"> 2 UNIT DESKTOP COMPUTER - . - PC22 1TB-8GB, Intel Core i5-9400 Coffee Lake 6-Core 2.90 GHz LGA 1151 (300 series) 65W. CPU Package Computer Set with Keyboard, Mouse &amp; Mousepad (1 set)</t>
  </si>
  <si>
    <t xml:space="preserve"> PB NO. 2020-046		 			 1.	1	lot	Proposed additional Riprapping of Sampalok Lake Coast and Improvement of Sampalok Lake Coastal Habitat at San Pablo City. 			By: Contract 			 	Deadline for Submission of Bids: July 23, 2020 10:00 am</t>
  </si>
  <si>
    <t xml:space="preserve"> Unit 	Item Description	Quantity 		 pc	CHB # 6	250 bag	Portland cement	35 length	RSB # 10	40 length	RSB # 8	35 kl.	Tie wire	3 pc	plywood marine	4 load	Mixed sand	1 pc	Tiles 16x 16	30 length	Tile trim	10 pc	Stone bricks	57 bag	Grout	1 kl.	assorted common na</t>
  </si>
  <si>
    <t xml:space="preserve"> Paraphernalia for Brgy Police Force, Traffic Officers, BSF Volunteers</t>
  </si>
  <si>
    <t xml:space="preserve"> 1. 12 BAGS CEMENT  2. 4 PCS 10MM DSB 3. 1 PC 1/4"  THK. MARINE PLYWOOD 4. 1 PAIR 3" X 3" LOOSE PIN HINGES 5. 8 PAIRS 12 BLADES ALUMINUM JALOUSIE FRAME 6. 96 PCS 1/4" X 4" X 23" 4/8 SMOKE GLASS JALOUSIE 7. 1 SET DOOR KNOB 8. 5 PCS 1/4" THK. FIBER CEMENT 9.</t>
  </si>
  <si>
    <t xml:space="preserve"> 1 1 GAL/S ACID - MURIATIC 2 10 BTL/S DISINFECTANT SPRAY - LIQUID- 250ML 3 6 BAR/S DETERGENT - BAR 4 6 PC/S GLOVES - WORKING #7,LEATHERETTE</t>
  </si>
  <si>
    <t xml:space="preserve"> Rehabilitation/Improvement of HE and TLE Room in Maypajo High School</t>
  </si>
  <si>
    <t xml:space="preserve"> School and Office Supplies 2020</t>
  </si>
  <si>
    <t xml:space="preserve"> Invitation to Bid for Construction of Kayapa Fire Station 1.	The Bureau of Fire Protection Regional Office 2, through the Special Account General Fund (SAGF2020) intends to apply the sum of Seven Million Three Hundred Twenty Thousand Nine Hundred Sixty Ei</t>
  </si>
  <si>
    <t xml:space="preserve"> 1 UNIT PRINTER - . - Print Resolution 5760 x 1440 DPI - Color Print Inkjet Printer - Print Speed: Black 33 PPM-Color 15 PPM - Paper size: 10 x 15 cm -13x18cm - 9x13cm letter (80 1/2 x 11inc)</t>
  </si>
  <si>
    <t xml:space="preserve"> PROVINCE OF PANGASINAN BIDS AND AWARD COMMITTEE (BAC) Brgy. San Vicente , San Jacinto, Pangasinan Mobile No. 09384559325 INVITATION TO BID The Barangay  San Vicente, San Jacinto, Pangasinan, though its Bids and Award Committee (BAC), invites suppliers/con</t>
  </si>
  <si>
    <t xml:space="preserve"> July 1, 2020 REQUEST FOR QUOTATION (RFQ) AIR COOLER 1.	The Batangas Medical Center hereinafter referred to as the “Purchaser” now request for submission of price proposal for the procurement of the aforesaid item described in the Technical Specifications.</t>
  </si>
  <si>
    <t xml:space="preserve"> 1. 42.67 BD.FT 4'X4"X8' COCO LUMBER 2. 32 BD.FT 4"X4"X6' COCO LUMBER 3. 180 BD.FT 2"X5"X8'COCO LUMBER 4. 32 BD.FT 2'X4"X12' COCO LUMBER 5. 90 BD.FT 2"X3"X10' COCO LUMBER 6. 310.33 BD.FT 2"X2"X8' COCO LUMBER 7. 6 BD.FT 2"X4"X8' COCO LUMBER 8. 19 PCS 4"X8" </t>
  </si>
  <si>
    <t xml:space="preserve"> Purchase of supplies &amp; materials for burial assistance</t>
  </si>
  <si>
    <t xml:space="preserve"> 27841-001	BATTERY, 12V, 13 PLATES	36	PIECE	7,500.00 	270,000.00 TECHNICAL SPECIFICATIONS FOR BATTERY, 12V, 13 PLATES: - PART NO. = N70 - LENGTH    = 12 INCHES - WIDTH     = 7 INCHES - HEIGHT    = 8 1/2 INCHES - WEIGHT   = 20 KILOGRAMS - FULL 12 - MONTHS W</t>
  </si>
  <si>
    <t xml:space="preserve"> 1420 pcs ABC my practice book (writing) 2500 pcs ECCD Checklist 120 pcs Big Story Book (Colored and Big Pictures) 12 sets Bible Story Book (My Bible Friend)</t>
  </si>
  <si>
    <t xml:space="preserve"> UNIT     ITEM DESCRIPTION     QTY Packs    Breakfast                        830 Packs    Lunch                              830 Pack      Dinner                            830 Republic of the Philippines Province of Aurora Municipality of Dipaculao INVITA</t>
  </si>
  <si>
    <t xml:space="preserve"> 1,500 gallons  ALCOHOL, Isopropyl, 70%  (3.785 liters per gallon)</t>
  </si>
  <si>
    <t xml:space="preserve"> 1 UNIT PRINTER - . - Color Print,Inkjet Printer - Print Resolution 5760 x1440 DPI - Print Speed: Black 33 PPM-Color 15 PPM - Paper Size: 10 x15cm-13 x18cm - 9x13cm A4 Letter ( 80 1/2x11 in )</t>
  </si>
  <si>
    <t xml:space="preserve"> Procurement of Materials for the Construction of Madrasa Sitio Magsagad, Barangay Baas, Lamitan City				 ABC: 550,000.00				 				 300	bags	Cement		 30	cu.m.	Riversand		 6	cu.m.	Gravel 1"		 21	pcs.	12mm dia x 6.0 def. bar		 150	pcs.	10mm dia. X 6.0		 500	b</t>
  </si>
  <si>
    <t xml:space="preserve"> REQUEST FOR QUOTATION For Negotiated Procurement thru Small Value Procurement under Sec. 53.9 of the 2016 Revised IRR of RA 9184 Quotation No.:  2020-07-223 Date: July 1, 2020 PR No.: 20-06-231 PR Date: June 22, 2020 The Metropolitan Tuguegarao Water Dist</t>
  </si>
  <si>
    <t xml:space="preserve"> 1 100 PC/S TISSUE PAPER 2 4 CAN/S DISHWASHING LIQUID - 200ML W/ ANTI-BACTERIAL FORMULA 3 3 BTL/S GLASS CLEANER - 500ML.-ORANGE SCENT</t>
  </si>
  <si>
    <t xml:space="preserve"> Item I- EARTH WORKS II- REINFORCING STEEL BARS III- STRUCTURAL CONCRETE IV- PLUMBING WORKS</t>
  </si>
  <si>
    <t xml:space="preserve"> NOTICE FOR NEGOTIATED PROCUREMENT (Small Value Procurement – Sec 53.9 of the Revised IRR of 9184) Reference No. 20-06-146 Procuring Entity: MUNICIPALITY OF LILIW, LAGUNA Title: Supply and Delivery of Vaccines for Anti-Rabies Vaccination Area of Delivery: </t>
  </si>
  <si>
    <t xml:space="preserve"> REQUEST FOR PROPOSAL The LGU – GABALDON through its BIDS AND AWARDS COMMITTEE (BAC), will undertake a Small Value Procurement for the “Purchase and delivery of Laptop Computer use for DepEd Gabaldon District Office” in accordance with Section 53.9 of the </t>
  </si>
  <si>
    <t xml:space="preserve"> 1 UNIT PRINTER - . - printer, scanner and xerox with CISS - photocopy size: Upto short and A4 only - Print size: upto Legal or long</t>
  </si>
  <si>
    <t xml:space="preserve"> VARIOUS FOOD STUFF</t>
  </si>
  <si>
    <t xml:space="preserve"> office supplies</t>
  </si>
  <si>
    <t xml:space="preserve"> *Please see attached Purchase Request for the complete specifications Prospective bidders should have completed a similar contract with a value of at least 50% of the ABC. The BAC will use non-discretionary pass/fail criteria in the eligibility check/scre</t>
  </si>
  <si>
    <t xml:space="preserve"> 1 UNIT PRINTER - . - wifi all in-one Ink Tank Printer w/ ADF - Compact Intehrated Tank design - High yield ink bottles - Spill free, error-free refilling - Print, Scan, Copy Fax w/ ADF</t>
  </si>
  <si>
    <t xml:space="preserve"> The DENR intends to Procure Three (3) Units Monitor for Drone Remote Controller for Official use of PENRO Negros Occidental with the following Specifications: Camera	12 MP Performance	Apple A10 Fusion Display	7.9" (20.07 cm) Operating System	iOS v11.2 or </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</si>
  <si>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</si>
  <si>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The Local  Government   Unit  of General  Santos  City, through  the  GENERAL FUND CY 2020  intends  to apply  the sum of one hundred thirty six thousand and xx / 100 Pesos Only (136,000.00)   being  the Approved  Budget  for the Contract   (ABC) to payme</t>
  </si>
  <si>
    <t xml:space="preserve"> Purhase of office supplies and materials for 2nd QTR</t>
  </si>
  <si>
    <t xml:space="preserve"> Cementing of the Floor Area near the Entrance/Exit and Repair of Gate of Maypajo High School</t>
  </si>
  <si>
    <t xml:space="preserve"> OFFICE SUPPLIES LEGISLATIVE OFFICE - 30,281.00							 1	8.00	pack	Battery Dry cell  size AA 2s							 2	5.00	pack	Battery Dry cell  size AAA 4s							 3	15.00	rm	Hard Copy Subs. 20, long							 4	5.00	rm	Hard Copy Subs. 20, medium							 5	15.00	rm	Bookpa</t>
  </si>
  <si>
    <t xml:space="preserve"> LEGISLATIVE OFFICE - 15,945.00					 1	2.00	pc	Brother Ink DCP T300 black					 2	2.00	pc	Brother Ink DCP T300 cyan					 3	2.00	pc	Brother Ink DCP T300 yellow					 4	2.00	pc	Brother Ink DCP T300 magenta					 5	5.00	pc	CD Rewriteable 700MB with case					 6	5</t>
  </si>
  <si>
    <t xml:space="preserve"> 1 SET/S DESKTOP COMPUTER - WITH COMPLETE ACCESSORIES - Intel core i3,3.0GHz minimum processor speed - H110 Motherboard w/ VGA Port - 4GB-8GB DDR - 22" LED Monitor - DVD ROM - Tower case w/ power supply - USB Optical mouse - USB keyboard</t>
  </si>
  <si>
    <t xml:space="preserve"> July 1, 2020 REQUEST FOR QUOTATION (RFQ) TUBERCULIN, PURIFIED PROTEIN DERIVATIVE AND IPRATROPIUM + SALBUTAMOL MDI 1.	The Batangas Medical Center hereinafter referred to as the “Purchaser” now request for submission of price proposal for the procurement of</t>
  </si>
  <si>
    <t xml:space="preserve"> Republic of the Philippines Province of Cagayan Municipality of Sanchez Mira BIDS AND AWARDS COMMITTEE INVITATION TO BID CONSTRUCTION OF TWO BARREL BOX CULVERT/WITH 2 SPAN PAVEMENT AT BARANGAY MARZAN, SANCHEZ MIRA, CAGAYAN ITB-2020-11-INFRA 1.	The LGU-San</t>
  </si>
  <si>
    <t xml:space="preserve"> Invitation to Bid Barangay 894, Zone 99, District VI through its Bids and Awards Committee (BAC), invites all suppliers duly accredited and approved by the City Council of Manila to bid for the hereunder projects: 1	set	Solar Panel 1	set	Computer 1	unit	M</t>
  </si>
  <si>
    <t xml:space="preserve"> Item	Quantity	Unit	ARTICLES					 Estimated Unit Cost  								 1	20	box	 Alcohol Swab 100's					 345.00  2	100	pcs	 Catheter, Chest Fr. 32					 500.00  3	10	box	 Cord Clamp, disposable, umbilical, 100's					 650.00  4	300	pack	 Dressing Pack Content:					</t>
  </si>
  <si>
    <t xml:space="preserve"> 2	sets	2.10m (h) 1.00m (w) Anodized aluminum framed door w/ ¼"thk. Clear glass 1	set	2.15m (h) x 1.54m (w) Anodized aluminum framed partition w/ ¼"thk. Clear glass 2	sets	2.15m (h) x 1.33m (w) Anodized aluminum framed partition w/ ¼"thk. Clear glass 1	set</t>
  </si>
  <si>
    <t xml:space="preserve"> Republic of the Philippines Province of Camarines Sur Municipality of Del Gallego Barangay Government of Mabini INVITATION TO BID The Barangay Government of MabiniDel Gallego, Camarines Sur, through 20% BEDF 2020 intends to apply the sum of Twenty Seven T</t>
  </si>
  <si>
    <t xml:space="preserve"> construction materials and supplies</t>
  </si>
  <si>
    <t xml:space="preserve"> 1 2 PC/S STAMPING PAD - LARGE 2 2 PC/S RUBBER STAMP - MACHINE CUT - PMT Validated 3 2 BOX/S PVC COVER - LONG-8 1/2"X13" - Transparent 4 2 BOX PVC COVER - A4 SIZE 5 1 CART. TONER - LBP 2900 6 6 REAM/S PAPER - BOOK LEGAL,216MMX330MM(8-1/2"X13"),MIN OF 70GSM</t>
  </si>
  <si>
    <t xml:space="preserve"> Rehabilitation of Street Lights of Barangay Tiris, Gubat, Sorsogon.</t>
  </si>
  <si>
    <t xml:space="preserve"> 1	unit	Laptop(core i3 2.4 GHz,15.6"display.4GB ram,1TB HDD 1GB VCARD)		 1	unit	Printer 3 in 1		 		***nothing follows***</t>
  </si>
  <si>
    <t xml:space="preserve"> For the procurement of Training Expenses of MG Personnel</t>
  </si>
  <si>
    <t xml:space="preserve"> 520 boxes Vitamin C-Sodium Ascorbate, 500mg.                 - 100tablet/capsule per box</t>
  </si>
  <si>
    <t xml:space="preserve"> 3	 gal 	 Enamel, Flatwall  3	gal	Enamel, Semi Gloss 1	gal	Paint Thinner 2	pcs	4" Paint Brush  1	pcs	Paint Roller</t>
  </si>
  <si>
    <t xml:space="preserve"> Bidding will be conducted through open competitive bidding procedures as specified in the Implementing Rules and Regulation (IRR) of Republic Act No. 9184 (R.A. 9184), otherwise known as the Government Procurement Reform Act.</t>
  </si>
  <si>
    <t xml:space="preserve"> Unit 	Item Description	Quantity 		 can	paint	10 Unit 	portable lavatory	1 pc	water tank	1 mtr	water pipe	10 mtr	hose	10 pc	faucet	2 roll	nylon	4 sack	cement	7 load	fine sand	1/2 pcs	tiles	45 letters	mirrorized signage	46</t>
  </si>
  <si>
    <t xml:space="preserve"> The AGRICULTURAL TRAINING INSTITUTE-REGIONAL TRAINING CENTER (ATI-RTC) X, through the 2020 General Appropriations Act intends to apply the sum of Seventy Five Thousand Two Hundred Fifty Pesos (P 75,250.00) being the Approved Budget for the Contract (ABC) </t>
  </si>
  <si>
    <t xml:space="preserve"> REQUEST FOR QUOTATION Please quote your price on the job/item listed below, subject to the Specification and Terms and Conditions provided herein, stating the shortest time of delivery and submit your quotation in the bid box located at the Procurement Se</t>
  </si>
  <si>
    <t xml:space="preserve"> For the supply and delivery of the following: 15	pc	Shelving/Racking System			 45	pc	Mobile Pedestal			 45	pc	Office Chair, High Back			 45	pc	Table, freestanding</t>
  </si>
  <si>
    <t xml:space="preserve"> The Public Information Office of the Supreme Court, through the Procurement Section, invites interested suppliers to quote for the price/s of the item/s listed in the attached document (PLEASE DOWNLOAD) Please also provide "Eligibility Documents, Annex A"</t>
  </si>
  <si>
    <t xml:space="preserve"> Title: Procurement of 90 Kilogram Rice, etc. under P.R.No. 1531-2020-City Social Welfare Development Office. Total ABC: Php 722,598.00 (INSTRUCTION AS TO THE REQUIRED FORM: For your price quotation, please use the attached Request for Quotation (RFQ) Form</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</si>
  <si>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</si>
  <si>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48	 pcs 	 Corrugated G.I. Sheet 1220mm x 0.6mm thk  1900	pcs	J-Bolt 6mm dia x 2 1/2" w/ nuts &amp; washer 34	pcs	2" x 3" x 10" Good Lumber ( Rough) 9	pcs	2" x 6" x 10" Good Lumber ( Rough) 8	pcs	G.I. Ridge Roll 0.61m x 2.440m x 0.6mm thk</t>
  </si>
  <si>
    <t xml:space="preserve"> Qty  Unit  Item Description 20   sacks  Bukid Rice</t>
  </si>
  <si>
    <t xml:space="preserve"> The DENR-PENRO Negros Occidental intend to procure Eight (8) Units Geotagging Equipment/ Global Positioning System (GPS) for official use of PENRO Negros Occidental Personnel with the following specifications: Rugged GPS/GLONASS with 8 Megapixel Camera an</t>
  </si>
  <si>
    <t xml:space="preserve"> ITEM NO.	QTY.	UNIT	ITEMS &amp; DESCRIPTION	 				 1	3	units	Videoke Machine w/ complete Acc.	 			1 songbook	 			2 microphone w/ 10m wire	 			Monitor 24", brand new</t>
  </si>
  <si>
    <t xml:space="preserve"> SEE ATTACHED PR</t>
  </si>
  <si>
    <t xml:space="preserve"> 1	unit	Ambulance 		 Engine Model: 2.8L, 1GD-FTV 		 Type: CRDI 		 Engine Displacement: 2.755 cc 		 Maximum Output: 176hp @3,400 rpm 		 Maximum Toque: 420Nm @ 1,400 - 2,600 rpm 		 Emission Standard: Euro-4 		 Fuel Tank Capacity: 70 liters 		 Transmission: 6</t>
  </si>
  <si>
    <t xml:space="preserve"> 7500 liters diesoline, 500 liters gasoline</t>
  </si>
  <si>
    <t xml:space="preserve"> Invitation to Bid for Construction of Alfonso Castañeda Fire Station 1.	The Bureau of Fire Protection Regional Office 2, through the Special Account General Fund (SAGF2020) intends to apply the sum of Seven Million Three Hundred Twenty Thousand Nine Hundr</t>
  </si>
  <si>
    <t xml:space="preserve"> 25 PCS ELECTRICIAN KNIFE, RUBBER HANDLE 4   PCS GROUND RESISTANCE 4   PCS  HEAT GUN, 100 WATTS, 220W NOTE: TO BE DELIVERED AT TESDA INABANGA TRAINING CENTER, INABANGA, BOHOL</t>
  </si>
  <si>
    <t xml:space="preserve"> REQUEST FOR QUOTATION The Municipality of Allacapan, through its Bids and Awards Committee (BAC), invites suppliers/distributors/contractors to SUBMIT QUOTATION for the hereunder project: Name of Contract : Purchase of 1 set desktop computer,1 unit netboo</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</si>
  <si>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</si>
  <si>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t>
  </si>
  <si>
    <t xml:space="preserve"> Requesting for Quotation (RFQ) for PR No. 2005213  Interested suppliers are invited to submit Sealed Price Quotations for the above listed items. The Request for Quotation (RFQ) for may be obtained from Mr. Albert A. Camarillo City General Services Office</t>
  </si>
  <si>
    <t xml:space="preserve"> Const. Supplies &amp; Materials for the Continuation of Rehab of Brgy. Road to Rangkayan Item No.	Quantity	Unit	Description			 1	220	bags	Portland Cement 40kg			 2	21	cu.m.	Sand			 3	25	cu.m.	Gravel			 4	96	bd.ft.	16pcs. 1 x 6 x 12 Coco Lumber			 5	4	kgs	CWN,</t>
  </si>
  <si>
    <t xml:space="preserve"> Labor and Materials: Water System Location: Brgy. Samay, Ragay, Camarines Sur      *Excavation works      * Masonry      * Plumbing/ Pipe laying      * Hauling -nothing follows-</t>
  </si>
  <si>
    <t xml:space="preserve"> 1. 2.5 CU.M GRAVEL 2. 1 CU.M SAND</t>
  </si>
  <si>
    <t xml:space="preserve"> For the use of CSWD. 36 sacks Rice, Commercial - Lingap Kabataan (LKC) 18 sacks Rice, Commercial - Childrens Haven (CH) 21 sacks Rice, Commercial - Custodial Care Center (CICL)</t>
  </si>
  <si>
    <t xml:space="preserve"> 1. 106.67 BD.FT 2"X2"X8' COCO LUMBER 2. 160 BD.FT 2"X3"X8' COCO LUMBER</t>
  </si>
  <si>
    <t xml:space="preserve"> 1     Rubberized Reflectorized Traffic Paint White (16 ltrs/pail)     83     pail x-x-x</t>
  </si>
  <si>
    <t xml:space="preserve"> steel bend elbow, c.i. ring flange, c.i. flange adaptor, g.i. bolt, air release valve, sleeve type coupling (kindly see attached request for quotation)</t>
  </si>
  <si>
    <t xml:space="preserve"> Republic of the Philippines Province of Leyte MUNICIPALITY OF HILONGOS REQUEST FOR QUOTATIONS 				________________                                                                                                                                             </t>
  </si>
  <si>
    <t xml:space="preserve"> The LOCAL GOVERNMENT UNIT OF DAO (LGU-Dao), through its Bids and Awards Committee (BAC), invites contractors to apply for eligibility and bid for the project hereunder described: Name of Project		: Purchase of One (1) Unit Backhoe Excavator with Hydraulic</t>
  </si>
  <si>
    <t xml:space="preserve"> The National Irrigation Administration-Regional Office 12, Villarica, Midsayap, Cotabato, through the Fund 501 has the Approved Budget for the Contract (ABC) amounting to SIXTY FIVE THOUSAND THIRTY EIGHT PESOS &amp; 36/100 (P 65,038.36). Quotation received in</t>
  </si>
  <si>
    <t xml:space="preserve"> Please submit your quotation for the following items on or before 5:00PM on Jul 13, 2020. ITEM D E S C R I P T I O N QTY. UNIT 1 Air Conditioner, Split Type (1 HP, includes unit installation(INVERTER) 2 unit Awarding is in LUMP-SUM basis, however, the sup</t>
  </si>
  <si>
    <t xml:space="preserve"> 10	kls	   Sitao 10	kls	   Okra smooth green 30	grams  Sili 40	grams  Talong 10	kls	   Kangkong 10	kls	   Kamatis 20	grams  Upo 20	grams  Squash 10	grams  Patola</t>
  </si>
  <si>
    <t xml:space="preserve"> 1. 10.3 CU.M SAND 2. 8.5 CU.M GRAVEL 3. 629 PCS 4" CONCRETE HOLLOW BLOCKS</t>
  </si>
  <si>
    <t xml:space="preserve"> Supply and Delivery of Materials for the Native Chicken Production of SDSSU San Miguel Campus Please see attached Request for Quotation (RFQ) Lot A- P   91,577.76                 Lot F - P 18,000.00 Lot B- P 194,610.00                 Lot G -P  43,000.00 </t>
  </si>
  <si>
    <t xml:space="preserve"> 2 pcs. Hand held-M3 OX10 (NWSCBP)-Mobile Device with-3.8G Network, Wifi(IEEE802.11a/b/g/n),Scanner(ID), Camera (3.2MP), BT Class II v2.0+EDR &amp; AGPS,3.5" QVGA TFT LCD Colour Touch Screen, Microsoft® Windows Embedded CE 6.0, Coretex-A8 833Mhz,256MB/1GB,M3 U</t>
  </si>
  <si>
    <t xml:space="preserve"> Please see attached.</t>
  </si>
  <si>
    <t xml:space="preserve"> SURVEILLANCE EQUIPMENT</t>
  </si>
  <si>
    <t xml:space="preserve"> Requesting for Quotation (RFQ) for PR No. 2006188  Interested suppliers are invited to submit Sealed Price Quotations for the above listed items. The Request for Quotation (RFQ) for may be obtained from Mr. Albert A. Camarillo City General Services Office</t>
  </si>
  <si>
    <t xml:space="preserve"> Reference No. PR # 20-06-0794 PRICE QUOTATION FORM (BID FORM) Sealed Bids shall be dropped in the BIDDERS BOX on or before 2:00 P.M.  July 07, 2020    placed at the office of the Chairman of the College BAC. Thereafter, the Bidder's Box shall be sealed un</t>
  </si>
  <si>
    <t xml:space="preserve"> see attached Request for Quotation &amp; Specification</t>
  </si>
  <si>
    <t xml:space="preserve"> Department of Public Works and Highways Contract ID: 	20NA0063 (Re-ad) Title: 	Repair/Maintenance of Cabadbaran Revetment, Brgy. 3 Poblacion (Downstream L/S), Cabadbaran City, Agusan del Norte  (Sta. 0+000 - Sta. 0+041; Sta. 0+102 - Sta. 0+122) Location:	</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</si>
  <si>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</si>
  <si>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Please see attached Request for Quotation for More Details. For concern/query you may contact us through: BAC.SDOBenguet@gmail.com from Mondays to Fridays (8:00AM to 5:00PM)</t>
  </si>
  <si>
    <t xml:space="preserve"> Grade 11 - 200,007  Grade 12 - 93,045 Total Pages: 293,052  Other Discirption: 1.Paper size A4 2. Paper Quality White 3. 70 gsm 4. Stapled at left side</t>
  </si>
  <si>
    <t xml:space="preserve"> Republic of the Philippines Province of La Union Municipality of Luna BARANGAY SALCEDO BIDS AND AWARDS COMMITTEE INVITATION TO BID for REHABILITATION OF MULTI-PURPOSE HALL AT SALCEDO, LUNA, LA UNION 1.	The Barangay Government of Salcedo, Luna, La Union th</t>
  </si>
  <si>
    <t xml:space="preserve"> 850	bags	Portland cement 50	cu.m. ¾" Crushed Gravel 75	cu.m. Sand 700	pcs.	10mm Ø x 6m DSB 175	pcs.	8mm Ø x 6m DSB 25	pc.	Hacksaw Blade 100	kgs.	#16 Tie Wire 225	pcs.	¼"  Marine plywood 700	pcs.	2" x 2" x 12', Coco-lumber 715	pcs.	2" x 3" x 12', Coco-lumb</t>
  </si>
  <si>
    <t xml:space="preserve"> Supply and Delivery of Food Supplies for MSWD Office.</t>
  </si>
  <si>
    <t xml:space="preserve"> 1. 124 BAGS CEMENT 2. 11 PCS 16MM DSB 3. 107 PCS 10MM DSB 4. 5.5 KGS #16 TIE WIRE 5. 1 METER SAND SCREEN 6. 5 PCS 1/4" THK MARINE PLYWOOD 7. 3 KGS 4" CWN 8. 3 KGS 3" CWN 9. 2 KGS 1-1/2" CWN 10. 31 PCS 1/4"X1-1/2"X1-1/2" ANGLE BAR 11. 27 PCS 1/4"X1"X1" ANG</t>
  </si>
  <si>
    <t xml:space="preserve"> 500 pcs 12 watts led bulb Day Lights</t>
  </si>
  <si>
    <t xml:space="preserve"> 1 350 PC/S CERAMIC FLOOR TILES - white-30cmx30cm 2 4 PC/S DIAMOND CUTTER DISC - #4 3 6 KG/S TILE GROUT - 2KG. 4 6 PC/S CUTTING DISK - 4" steel 1mm thk 5 2 PC/S SAW BLADE - 4"-115mmx23mmx22mm 6 8 PC/S FAUCET - plastic 7 6 MTR/S WIRE SCREEN - 1/8 THK/MESH 8</t>
  </si>
  <si>
    <t xml:space="preserve"> Unit 	Item Description	Quantity 		 REAM	Bond Paper Legal	22 REAM	Bond Paper A4 size	35 BOTTLE	Printer Ink 003 Black	29 BOTTLE	Printer Ink 003 magenta	10 BOTTLE	Printer Ink 003 blue	10 BOTTLE	Printer Ink 003 yellow	10 BOTTLE	Printer Ink 664 Black	4 pcs	Vel</t>
  </si>
  <si>
    <t xml:space="preserve"> Requesting for Quotation (RFQ) for PR No. 2006212  Interested suppliers are invited to submit Sealed Price Quotations for the above listed items. The Request for Quotation (RFQ) for may be obtained from Mr. Albert A. Camarillo City General Services Office</t>
  </si>
  <si>
    <t xml:space="preserve"> 15 pcs Water Tank 1500L (P.E.)</t>
  </si>
  <si>
    <t xml:space="preserve"> OPENING OF BIDS IN DSWD FO IX ZAMBOANGA CITY				 DELIVERY IN DSWD-PCDP MAMPANG ZAMBOANGA CITY				 PROCUREMENT FOR THE FF.:				 				 				 1 LOT AWARD FOR MEDICAL SUPPLIES				 				 50 box DISPOSABLE MASK, 3 PLY LAYER				 50 pc N-95 FACE MASK				 5 box HAIR </t>
  </si>
  <si>
    <t xml:space="preserve"> The San Francisco Water District through its bids and award committee would like to quote for</t>
  </si>
  <si>
    <t xml:space="preserve"> INVITATION TO BID SUPPLY &amp; DELIVERY OF AIRCONDITIONING UNIT Reference No.: GDS-20-069 The MUNICIPAL GOVERNMENT OF DARAGA, through the Municipal Annual Budget, intends to apply the sum of Two Hundred Fifty-Five Thousand Pesos (P255,000.00)  being the Appro</t>
  </si>
  <si>
    <t xml:space="preserve"> For the use of City General Services Office. 30 units Fire Extinguisher, 10 lbs. red-dry chemical 4 units Fire Extinguisher, 10 lbs. green-pure HCFC</t>
  </si>
  <si>
    <t xml:space="preserve"> qimprovt mp.bldg    7.50 3.00    22.5 m2</t>
  </si>
  <si>
    <t xml:space="preserve"> 1	LAPTOP  AMD dual-core, processor A4-9120E, with 15.6-inch intel Acer HD Graphics LCD, equipped with 64-bit windows 10 operating system. It runs at 2 GHz with 8gb of RAM and 1600 MHz of RAM speed, with 1000 gb HDD  		12 units  	USB – 16GB 		 	AMD Radeon </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</si>
  <si>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</si>
  <si>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204 bags cement 13 cu.m. Gravel 15 cu. m. Sand 1435 pcs 4"thk CHB 62 pcs 12mm0 RSB 190 pcs 10mm0 RSB 28 kg #16 Tie wire 360  bdft Coco lumber 12 pcs O. Plywood 1/4" 8 kg Assorted CW Nail 2 pcs Hacksaw Blade 2 pcs Construction pail 14 pcs G.I. pipe 1 1/4" </t>
  </si>
  <si>
    <t xml:space="preserve"> 1 UNIT WATER DISPENSER - HOT &amp; COLD</t>
  </si>
  <si>
    <t xml:space="preserve"> Project Title: License Upgrading for Perpetual Backup and Recovery Software with 1 Year Support Approved Budget for the Contract (ABC): PHP 398,000 (Inclusive of VAT) Contract Period :1 year •	Additional 4TB On-Premise Standard License •	Essential Mainten</t>
  </si>
  <si>
    <t xml:space="preserve"> Please submit your quotation for the following items on or before 5:00PM on Jul 07, 2020. ITEM D E S C R I P T I O N QTY. UNIT  1 Instrument, Clamp Meter, Digital Type 2 pc Technical Specification Requirements: AC/DC clamp meter/digital multimeter of the </t>
  </si>
  <si>
    <t xml:space="preserve"> SUPPLIES TANOD PURCHASED</t>
  </si>
  <si>
    <t xml:space="preserve"> Republic of the Philippines MUNICIPALITY OF BUENAVISTA INVITATION TO BID FOR SUPPLY AND DELIVERY OF OFFICE SUPPLIES FOR MUNICIPAL MAYOR, MSWD, DILG AND MUNICIPAL ASSESSOR’S OFFICE    1.	The Local Government Unit of Buenavista, Marinduque through the fund </t>
  </si>
  <si>
    <t xml:space="preserve"> materials for Purchase and Installation of CCTV Camera</t>
  </si>
  <si>
    <t xml:space="preserve"> 10	pcs	4" PVC pipe 5	pcs	4" PVC clean out 2	cans	400cc solvent cement 5	bags	portland cement 8	pcs	1/4" angle bar 1	roll	stainless screen 15	kg	welding rod 14	pcs	4" PVC clean out 1	pcs	4" PVC tee 70	pcs	4" PVC pipe 20	pcs	4x2 reducer 105	pcs	4" PVC coupl</t>
  </si>
  <si>
    <t xml:space="preserve"> Requesting for Quotation (RFQ) for PR No. 2006237  Interested suppliers are invited to submit Sealed Price Quotations for the above listed items. The Request for Quotation (RFQ) for may be obtained from Mr. Albert A. Camarillo City General Services Office</t>
  </si>
  <si>
    <t xml:space="preserve"> Requesting for Quotation (RFQ) for PR No. 2006281  Interested suppliers are invited to submit Sealed Price Quotations for the above listed items. The Request for Quotation (RFQ) for may be obtained from Mr. Albert A. Camarillo City General Services Office</t>
  </si>
  <si>
    <t xml:space="preserve"> PROCUREMENT OFFICE												 Email ad: tonychavezbac1@yahoo.com.ph												 TELEFAX: (055) 2093122												 												 									P. R. No.:	20-06-130		 									RFQ Date:	02-Jul-20		 									ABC:	 ₱164,950.00 		 												 REQUEST FOR PRICE QU</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</si>
  <si>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</si>
  <si>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see attached Request for Quotation</t>
  </si>
  <si>
    <t xml:space="preserve"> MEDICAL SUPPLIES FOR CVAC SA BARANGAY PROGRAM LGU Cabagan Cabagan, Isabela</t>
  </si>
  <si>
    <t xml:space="preserve"> Labor and Materiald for the Repair of Rescue Vehicle (ISUZU IVAN) Scope of works: BODY REPAIR  - alignmenr from light post  - alignment, repair front windshield frame  - repair damage right fender  - replacement all uppholstery cover  - replacement of str</t>
  </si>
  <si>
    <t xml:space="preserve"> 1 1 BOX/S STRANDED WIRE - 2.0mm2 THHN - 150mtrs 2 10 PC/S PVC ELECTRICAL ORANGE PIPE - 1/2'' DIA. 3 10 PC/S ELECTRICAL TAPE - BIG 4 2 PC/S DRILL BIT - # 3/16" ( Masonry ) 5 4 PAIRS GLOVES - RUBBER-BIG ( ASSTD. SIZE ) 6 15 PC/S HACKSAW BLADE - HEAVY DUTY 7</t>
  </si>
  <si>
    <t xml:space="preserve"> Porcelain Toilet Bowls  25pcs</t>
  </si>
  <si>
    <t xml:space="preserve"> 1  set  Conference Table, 12 seaters with 12 pcs. high back chairs,            hardwood, color dark brown Specifications: Table height - 31 inches width  - 39 inches length - 132 inches 12 pcs.  Chairs height (back) - 43 inches width            - 18 inche</t>
  </si>
  <si>
    <t xml:space="preserve"> Requesting for Quotation (RFQ) for PR No. 2006187  Interested suppliers are invited to submit Sealed Price Quotations for the above listed items. The Request for Quotation (RFQ) for may be obtained from Mr. Albert A. Camarillo City General Services Office</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</si>
  <si>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</si>
  <si>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Portland Cement, 40kg, 420 bags Sand, 33 cu.m. Gravel, 49 cu.m. 12mm dia. x 6.0m rebar std, 10pcs 30pcs 2"x6"x12' cocolumber, 360bd/ft CWNails, 4kls Shovel, 4pcs</t>
  </si>
  <si>
    <t xml:space="preserve"> Republic of the Philippines						 	Province of Nueva Ecija						 	CITY OF GAPAN						 	Km.92, Maharlika Highway, Bayanihan, Gapan City						 	 - - - - o0o - - - - 						 	BIDS AND AWARDS COMMITTEE						 							 	REQUEST FOR QUOTATION						 							 	The Ci</t>
  </si>
  <si>
    <t xml:space="preserve"> 1 UNIT WELDING MACHINE - PORTABLE - 300A COPPER</t>
  </si>
  <si>
    <t xml:space="preserve"> For the use of Antipolo City Hospital System - Cabading Repair of 1 unit Anaesthesia Machine Model: Spacelabs Serial No.: 011639 1 lot Labor Scope of work: * repair of vaporizer * replacement of vapor control valve * replacement of 1 set O-ring * adjustme</t>
  </si>
  <si>
    <t xml:space="preserve"> ITEM NO	 DESCRIPTION						QTY	UNIT 								 	PR # MO-200-2020-05-112							 								 1	Bulb 23 Watts						40	pcs. 2	Potocel						40	pcs. 3	Receptacle						15	pcs. 4	Vulcaseal						2	pcs. 5	Electrical Tape						15	pcs. 6	PDX Wire # 14						1	pc. 7	Dome Ref</t>
  </si>
  <si>
    <t xml:space="preserve"> One (1) ea Air Compressor Nubulizer and 24 other LI</t>
  </si>
  <si>
    <t xml:space="preserve"> OTG DUAL DRIVE FOR ANDROID SMART PHONES 16GB USB/OTG ULTRA DUAL 300 PCS</t>
  </si>
  <si>
    <t xml:space="preserve"> Unit 	Item Description	Quantity 		 sack	cement	45 pcs	steel bars (10mm)	34 pcs	steel bars (12mm)	8 load	sand and gravel	1 load	fine sand	1 pcs	tiles(surface)	55 pcs	tiles(post)	13 pcs	faucet	2 pcs	PVP Pipe 1/2	4 pcs	Hose 1/2	2 pcs	Elbow 1/2	4 pcs	connecto</t>
  </si>
  <si>
    <t xml:space="preserve"> 60	pcs	hollowblocks 1	cubic	gravel 2	cubic	sand 15	pcs	cement 15	pcs	DSB 10mm 25	pcs	cutting disc 1 1/2	kls	tire wire 20	pcs	welding rod 1	pc	welding gloves 150	pcs	brix 2x3 2	pcs	plywood 1/4 10	pcs	cocolumber 1	pc	flatbar 1 1/2  1/2	kls	CWN 1 1/2"  1/2	k</t>
  </si>
  <si>
    <t xml:space="preserve"> For the supply and delivery of the following: 23	pc	Tablet Computer			 		Quad Core 2.0Ghz, 8.0" WXGA, 32GB (up to 512 GB) + 2GB RAM, 8MP Rear + 2MP Front Cam,                  5100mah, Android Pie</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</si>
  <si>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</si>
  <si>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</si>
  <si>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1.	The Municipality of San Antonio, Zambales, through the 2019 Performance Challenge Fund, intends to apply the sum of Two Million Three Hundred Thousand Pesos (PhP 2, 300, 000.00) being the Approved Budget for the Contract (ABC) to payments under the con</t>
  </si>
  <si>
    <t xml:space="preserve"> Item	QTY.	UOM	PARTICULARS / DESCRIPTION AND SPECIFICATIONS		APPROVED	BRAND NAME	UNIT PRICE NO.					UNIT COST		 1	20	unit	Folding Plastic Table 2.5x6		6,000.00		 			(20-units-COB)				 							 2	20	unit	Training Tables 6ft, 1829 x W 762 X H 743 mm		3,500.00</t>
  </si>
  <si>
    <t xml:space="preserve"> Department of Public Works and Highways Contract ID:	20NA0065 (Re-ad) Title: 	Repair/Maintenance of Baleguian Flood Control (Tamping Creek), Brgy. Baleguian, Jabonga, Agusan del Norte (Sta. 0+050 - Sta. 0+132) Location:	Jabonga, Agusan del Norte _________</t>
  </si>
  <si>
    <t xml:space="preserve"> PLEASE SEE ATTACHED REQUEST FOR QUOTATION FOR THE PROJECT DESCRIPTION.</t>
  </si>
  <si>
    <t xml:space="preserve"> Assorted Medicines  Medical equipment</t>
  </si>
  <si>
    <t xml:space="preserve"> Republic of the Philippines     Province of Oriental Mindoro Gloria, Oriental Mindoro BARANGAY STA. MARIA INVITATION TO BID ITB No. 2020-001  SUPPLY AND DELIVERY OF HARDWARE MATERIALS FOR THE CONSTRUCTION OF BRGY. HEALTH STATION BUILDING 1. The Barangay S</t>
  </si>
  <si>
    <t xml:space="preserve"> 304th Contracting Office										 ARMED FORCES OF THE PHILIPPINES PROCUREMENT SERVICE										 Naval Station Leovigildo Gantioqui 										 San antonio, Zambales										 										 REQUEST FOR QUOTATION 										 										 02 July 2020						RFQ NO:</t>
  </si>
  <si>
    <t xml:space="preserve"> 1	unit	4 layer steel cabinet (black)</t>
  </si>
  <si>
    <t xml:space="preserve"> PLEASE SEE ATTACHED...</t>
  </si>
  <si>
    <t xml:space="preserve"> Republic of the Philippines Province of Leyte Municipality of Inopacan Barangay De los Santos INVITATION TO BID FOR  THE SUPPLY OF MATERIALS FOR THE CONSTRUCTION OF MULTI-PURPOSE BLDG. PHASE 2 1.	The Barangay De los Santos, Inopacan, Leyte, under the 20% </t>
  </si>
  <si>
    <t xml:space="preserve"> Local Government Unit of Cordon, Isabela INVITATION TO BID FOR  LOT  1- Procurement of 2-units Brand New six (6) wheeler mini dump truck 4x2 drive standard size, Lot 2- Procurement of 1-unit Brand new six (6) wheeler garbage dump truck (forward dump truck</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</si>
  <si>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</si>
  <si>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ITEM NO	 DESCRIPTION						QTY	UNIT 								 	PR # MO-200-2020-05-114							 1	Desktop Computer w/ Complete set Of Accessories						1	Unit 	Printer L3110, Keyboards,UPS Watts 500-600,							 	Mouse and Mouse Pad							 	Speaker ALTEC and Computer table				</t>
  </si>
  <si>
    <t xml:space="preserve"> PLEASE SEE ATTACHED AND DOWNLOAD THE DOCUMENT</t>
  </si>
  <si>
    <t xml:space="preserve"> Supply and delivery of the following: 5 units REFRIGERATOR, 2-doors, smart inverter, min. 7cu.ft, silver, automatic defrost system 1 unit REFRIGERATOR, smart inverter, 2-doors, freezer on top, automatic defrost system, min. 7cu.ft 4 units VACUUM CLEANER, </t>
  </si>
  <si>
    <t xml:space="preserve"> refer to attach RFQ</t>
  </si>
  <si>
    <t xml:space="preserve"> P.R NO. 100-2020-05-0322 REPAIR OF TOYOTA HILUX SJC 535</t>
  </si>
  <si>
    <t xml:space="preserve"> Construction of Flooring Pavement (Dog Cage) at Eco Park @ Samal,Bataan 1/2 elf - Washed Sand 1 cum - Gravel 1 pc - Marine Plywood #1/4 8 pcs - 2x2x12 R.O 1/2 kg - CWN #3 1/2 kg - CWN #1-1/2 6 bags - Cement</t>
  </si>
  <si>
    <t xml:space="preserve"> Requesting for Quotation (RFQ) for PR No. 2006115  Interested suppliers are invited to submit Sealed Price Quotations for the above listed items. The Request for Quotation (RFQ) for may be obtained from Mr. Albert A. Camarillo City General Services Office</t>
  </si>
  <si>
    <t xml:space="preserve"> PUCHASE OF MATERIALS AND SUPPLIES FOR THE CONSTRUCTION OF SITIO LUMAMBAO PATHWAY - PHASE V1</t>
  </si>
  <si>
    <t xml:space="preserve"> For the office supplies expenses of MG Personnel</t>
  </si>
  <si>
    <t xml:space="preserve"> PROCUREMENT OFFICE												 Email ad: tonychavezbac1@yahoo.com.ph												 TELEFAX: (055) 2093122												 												 									P. R. No.:	20-06-132		 									RFQ Date:	02-Jul-20		 									ABC:	 ₱200,000.00 		 												 REQUEST FOR PRICE QU</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</si>
  <si>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</si>
  <si>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49 reams Bond Paper sub. 20 long 49 Reams Bond Paper sub. 20 short 1 unit Electrical Adding machine 12 digit (casio) 6 pcs. computer ink (black 003 EPSON Black, Cyan, Yellow, Magenta) 6 pcs. Computer Ink ( L 3110 Black,Cyan,Yellow, Magenta) 6 pcs. Compute</t>
  </si>
  <si>
    <t xml:space="preserve"> REQUEST FOR EXPRESSION OF INTEREST (REI) FOR CONDUCT OF SOIL TESTING/EXPLORATION FOR MULTI-STOREY SCHOOL BUILDINGS AND PRELIMINARY DETAILED ENGINEERING (PDE) CY 2020 BASIC EDUCATIONAL FACILITIES FUND (NEW CONSTRUCTION OF CLASSROOMS) DPWH, BINITINAN ES, BA</t>
  </si>
  <si>
    <t xml:space="preserve"> PLEASE QUOTE: PER LOT							"SUPPLIER/CONTRACTOR/  CONSULTANT’S PROPOSAL BOX "			 										 No.	"ITEM DESCRIPTION  (ITEM NAME &amp; TECHNICAL SPECIFICATIONS)"	QTY.	UNIT	UNIT COST	APPROVED BUDGET OF CONTRACT (ABC)		"FINANCIAL PROPOSAL  (Indicate the Price Off</t>
  </si>
  <si>
    <t xml:space="preserve"> meals and snacks</t>
  </si>
  <si>
    <t xml:space="preserve"> Request For Quotation								Date:	 								Quotation No.:	 Company Name:									 Address:									 T.I.N.:									 Dear Sir/Ma'am:									           Please quote your lowest price on the item/s listed below, subject to the General Conditions on the la</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</si>
  <si>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</si>
  <si>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</si>
  <si>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2 UNITS 1.5 HP AIR CONDITIONER</t>
  </si>
  <si>
    <t xml:space="preserve"> materials for Concreting of Barangay Road</t>
  </si>
  <si>
    <t xml:space="preserve"> To be used in the Office of the Clerk of Court, Regional Trial Court, Antipolo City. 1 unit Aircondition Unit * inverter * window type * 1.5HP 1 unit Steel Filing Cabinets * 4 drawers w/ lock * vertical type * powder coat</t>
  </si>
  <si>
    <t xml:space="preserve"> For the repair and maintenance-Watercrafts of PNP MG</t>
  </si>
  <si>
    <t xml:space="preserve"> PLEASE SEE ATTACHED RFQ.</t>
  </si>
  <si>
    <t xml:space="preserve"> Republic of the Philippines Province of Iloilo Municipality of Lambunao Office of the Bids &amp; Awards Committee INVITATION TO BID/ REQUEST FOR PRICE QUOTATION Name of Project: Purchase of materials for the Fabrication of Hands Free Wash Station (for COVID) </t>
  </si>
  <si>
    <t xml:space="preserve"> Please download the attached associated document.</t>
  </si>
  <si>
    <t xml:space="preserve"> Republic of the Philippines          City of Dumaguete Bids and Awards Committee INVITATION TO BID FOR PURCHASE REQUEST OF 12 SACK RICE AND OTHER ITEMS 	The City of Dumaguete thru its BIDS AND AWARDS COMMITTEE (BAC), invites all interested manufacturers, </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</si>
  <si>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</si>
  <si>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See attached file</t>
  </si>
  <si>
    <t xml:space="preserve"> The National Mapping and Resource Information Authority, Bids and Awards Committee (NAMRIA BAC) invites interested SUPPLIERS/DEALERS &amp; CONTRACTORS for the following project/s: Supply and Delivery of CARIS Project Chart Composer Software... must be able to</t>
  </si>
  <si>
    <t xml:space="preserve"> Republic of the Philippines City of San Fernando Barangay Hall, Barangay Ilocanos Norte Invitation to Bid 	 Rehabilitation of Covered Court Barangay Ilocanos Norte, City of San Fernando 1.	The Barangay Government of Ilocanos Norte through the Development </t>
  </si>
  <si>
    <t xml:space="preserve"> Republic of the Philippines National Kidney and Transplant Institute Bids and Awards Committee East Avenue, Quezon City 1100 981-0300 / 981-0400 local 1157 http://www.nkti.gov.ph/	 NOTICE OF PROCUREMENT OPPORTUNITY (SMALL VALUE PROCUREMENT) 1.The NATIONAL</t>
  </si>
  <si>
    <t xml:space="preserve"> CLARK DEVELOPMENT CORPORATION Clark Freeport Zone, Philippines NOTICE TO CONDUCT NEGOTIATED PROCUREMENT ASPHALT OVERLAY AT C.P. ROMULO STREET The Clark Development Corporation (CDC), through the CDC Corporate Budget for CY 2020, intends to apply the sum o</t>
  </si>
  <si>
    <t xml:space="preserve"> Please submit your quotation for the following items on or before 5:00PM on Jul 13, 2020. ITEM D E S C R I P T I O N QTY. UNIT  1 Electrical, Flexible Conduit Pipe, uPVC, 20mmØ (½``) 600 mtr 2 Electrical, Wire, PDX, # 12 (2.0mm) 700 mtr 3 Electrical, Wire</t>
  </si>
  <si>
    <t xml:space="preserve"> The Local  Government   Unit  of General  Santos  City, through  the  TRUST FUND CY 2020  intends  to apply  the sum of three hundred fifty two thousand four hundred and xx / 100 Pesos Only (352,400.00)   being  the Approved  Budget  for the Contract   (A</t>
  </si>
  <si>
    <t xml:space="preserve"> For the food supplies expenses of MG Personnel</t>
  </si>
  <si>
    <t xml:space="preserve"> 5	pcs	11mm thk. Marine plywood 37	pcs	2"x3"x12' 545 Good lumber (kiln dry) 3	kgs	Assprted C.W. Nails 1	kg	Concrete Nails 10	pcs	18mm thk mrine plywood 2	pcs	5mm thk marine plywood 35	pcs	2"x2"x12' 545 Good lumber (kiln dry) 3	gals	Wood preservatives (clea</t>
  </si>
  <si>
    <t xml:space="preserve"> 1 50 REAM/S PAPER - BOND,PG,LEGAL,216MMX330MM(8-1/2"X13") 70 GSM 2 50 REAM/S PAPER - BOND,PG,A4,210MMX297MM,70GSM. 3 50 REAM/S PAPER - BOND,PG,SHORT 8 1/2X11" 4 1 BOX BALLPEN - BLACK ORDINARY 50'S 5 3 PC/S MOUSE - PAD 6 6 PC/S CORRECTION FLUID - 15ML 7 2 </t>
  </si>
  <si>
    <t xml:space="preserve"> Dual Drum Composter Length 120 cm. width 100 cm, height 160 cm, power 1 HP, Capacity 100 kg/batch Multi-purpose shredder (For biodegradable &amp; Glass) * Length 61 cm, width 72 cm, height 122 cm, power 5 HP (electric) with extra blade and screen Plastic Shre</t>
  </si>
  <si>
    <t xml:space="preserve"> Supply and Delivery of 240 cubic meter earth fill (Madrigal) for use in the establishment of the ATIng UMA Mini Garden and Vineyard Tunnel at ATI RTC V San Agustin, Pili, Cam. Sur</t>
  </si>
  <si>
    <t xml:space="preserve"> Republic of the Philippines Province of Quezon Municipality of Guinayangan Barangay Government of Dancalan Central INVITATION TO BID Date: July 1, 2020 1.	The Barangay Government of  Dancalan Central  intends to apply the sum Seventy Thousand Three hundre</t>
  </si>
  <si>
    <t xml:space="preserve"> Production of Modules</t>
  </si>
  <si>
    <t xml:space="preserve"> Item No.	Scope of Work	 		 403	REINFORCING STEEL	 900	REINFORCE CONCRETE	 414	FORMS &amp; FALSEWORKS	 704	MASONRY WORKS	 103(1)a	Structure Excavation	 1027	PLASTERING WORKS	 1010	WINDOW	 500(1)	ROOFING WORKS	 ITEM B.5:	PROJECT BILLBOARD</t>
  </si>
  <si>
    <t xml:space="preserve"> 1 UNIT AIRCONDITIONING - . - Split Type Wall Mounted - 2.5 HP, Inverter - Free Installation - Labor &amp; Materials up to 20ft. piping/wiring (standard free installation up to 10ft., plus 10ft. additional excess piping/wiring.)</t>
  </si>
  <si>
    <t xml:space="preserve"> Please quote your lowest price on the item/s listed below: NEWSPAPER ADVERTISEMENT IN MAJOR DAILY  FOR THE 2020 NAST AWARDS Specifications:     Area/Size:        Centers Spread: 18 cols. X 52 cms.      Color:               Black and white     Others:     </t>
  </si>
  <si>
    <t xml:space="preserve"> Procurement of Materials for the Construction of Madrasa Sitio Lipag, Cabobo, Lamitan City				 ABC: 550,000.00				 				 300	bags	Cement		 30	cu.m.	Riversand		 6	cu.m.	Gravel 1"		 21	pcs.	12mm dia x 6.0 def. bar		 150	pcs.	10mm dia. X 6.0		 500	bd.ft.	Form</t>
  </si>
  <si>
    <t xml:space="preserve"> construction of waiting shed</t>
  </si>
  <si>
    <t xml:space="preserve"> The Local  Government   Unit  of General  Santos  City, through  the  GENERAL FUND CY 0202  intends  to apply  the sum of one hundred eleven thousand one hundred fifty and xx / 100 Pesos Only (111,150.00)   being  the Approved  Budget  for the Contract   </t>
  </si>
  <si>
    <t xml:space="preserve"> 1 4 BOX/S BALLPEN - RETRACTABLE (BLACK) 12'S 2 10 REAM/S PAPER - BOOK LEGAL,216MMX330MM(8-1/2"X13"),MIN OF 70GSM 3 10 REAM/S PAPER - BOOK SUBS.20 SHORT ( 8 1/2"X11" ) 4 6 PC/S RECORD BOOK - 500 PAGES,215MM X 275MM,55GSM,SMYTHE SEWN,W/ OFFICIAL RECORD BOOK</t>
  </si>
  <si>
    <t xml:space="preserve"> INVITATION TO BID FOR THE PROCUREMENT OF MATERIALS FOR THE IMPROVEMENT OF MULTI-PURPOSE HALL OF BARANGAY DAPDAP, TIGBAUAN, ILOILO</t>
  </si>
  <si>
    <t xml:space="preserve"> Supply and Delivery of Equipment, Furniture and Other Supplies for Guidance Office Use of SDSSU San Miguel Campus Lot A- P 20,000.00 Lot B-    32,000.00 Lot C-     4,600.00 Lot D-    13,000.00 Lot E-     19,000.00 Lot F-      7,410.00</t>
  </si>
  <si>
    <t xml:space="preserve"> 1	unit	Aircon Compressor 		Model: 2K28S3R236A 		1PH 60 Hz 208/230V 		LRA49 R22 1	unit	Aicon Compressor 		Model: 50R 572V 		280/230 - 60 Hz 		LRA51 R22</t>
  </si>
  <si>
    <t xml:space="preserve"> BROTHER PRINTER ......................</t>
  </si>
  <si>
    <t xml:space="preserve"> Please submit your quotation for the following items on or before 5:00PM on Jul 13, 2020. ITEM D E S C R I P T I O N QTY. UNIT  1 Bolt, with Nut, Hot Dip Galvanized, 5/8``Ø x 3`` (16mmØ x 75mm) 326 pc 2 Bolt, with Nut, Hot Dip Galvanized, ¾``Ø x 3`` (20mm</t>
  </si>
  <si>
    <t xml:space="preserve"> VHF HANDHELD RADIO ICON IC-V80 w/ Battery Pack, Battery Charger, Rubber Duckie Antenna and Belt Clip SN- 60257111-1        60257114-2        60257115-9        60276216-0</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</si>
  <si>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</si>
  <si>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</si>
  <si>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Republic of the Philippines Province of Rizal MUNICIPALITY OF BARAS BIDS AND AWARDS COMMITTEE July 1, 2020 INVITATION TO BID COST OF SUPPLY, DELIVERY AND INSTALLATION OF SOLAR STREET LIGHT AT SOUTHVILLE 9, BARANGAY PINUGAY, BARAS, RIZAL 1.	The Municipalit</t>
  </si>
  <si>
    <t xml:space="preserve"> 1 1 BOX BALLPEN - BLUE ORDINARY 50'S 2 1 REAM/S CERTIFICATE PAPER - A4 SIZE 3 24 PC/S BALLPEN - BP-S FINE, BLACK 4 1 PACK/S BATTERY - RECHARGEABLE SIZE AAA @ 2'S/PACK 5 5 REAM/S PAPER - BOND-SUBS.16,LONG (8 1/2"X13") 6 4 REAM/S PAPER - BOND,PG,A4,210MMX29</t>
  </si>
  <si>
    <t xml:space="preserve"> Republic of the Philippines Province of Pangasinan MUNICIPALITY OF LINGAYEN Invitation to Bid    1. The Local Government Unit of Lingayen, through the Trust Fund – Performance Challenge Fund CY 2019  intends to apply the sum of  Two Million Three Hundred </t>
  </si>
  <si>
    <t xml:space="preserve"> Local Government Unit of Cordon Invitation to Bid for Lot 1- Construction of Multi-Purpose Building at barangay Gayong, Cordon, Isabela, Lot 2- Construction of Multi-Purpose Building at barangay Magsaysay, Cordon, Isabela and for Lot 3- Rehabilitation &amp; I</t>
  </si>
  <si>
    <t xml:space="preserve"> 5	packs	Pipette Tips, Yellow 10-100uL (1000pcs/pack) 2	box	Pasteur Pipette, plastic 1 mL 2	box	Pasteur Pipette, plastic 3 mL 3	bottle	Sodium Chloride, 500g,  Analytical Grade General Conditions: 1. All entries must be typewritten or in print. 2. Price val</t>
  </si>
  <si>
    <t xml:space="preserve"> PLEASE SEE ATTACHED INVITATION TO BID FOR THE PROJECT DESCRIPTION.</t>
  </si>
  <si>
    <t xml:space="preserve"> To be used of Office of Public Safety and Security 250 pcs. Flashlight, Heavy Duty</t>
  </si>
  <si>
    <t xml:space="preserve"> Preventive Maintenance Services for Ford Escort Van unit 2448, per BSP TOR</t>
  </si>
  <si>
    <t xml:space="preserve"> Portland Cement	60 bags Wash Sand	1 Truckload ¾ Graded Gravel	1 Truckload ½ x 4 x 8 Marine Plywood	4 pcs 12mm x 6m RSB	50 pcs #16 Tie Wire	10 kls 2 x 3 x 10 Coco Lumber	10 pcs 2 x 2 x 10 Coco Lumber	10 pcs Wiremess	2 meters 2 ½” CW Nail	 3 kls 1 ½” CW Nai</t>
  </si>
  <si>
    <t xml:space="preserve"> Republic of the Philippines Province of Sultan Kudarat Municipality of Columbio BIDS AND AWARD COMMITTEE July 1, 2020 INVITATION TO BID The Municipal Government of Columbio through the Bids and Awards Committee (BAC) is inviting supplier for the Provision</t>
  </si>
  <si>
    <t xml:space="preserve"> Procurement Terms and Conditions 1. The Total Approved Budget for the Contract (ABC) is Php76,868.19 2. Price quotation should be include of the required tax obligations. 3. Delivery period is 10 days upon receipt of Notice of Award (NOA) 4. Place of deli</t>
  </si>
  <si>
    <t xml:space="preserve"> MATERIALS (900 REINFORCED CONCRETE) NAME AND SPECIFICATION	UNIT 	QUANTITY	UNIT COST	AMOUNT Portland Cement,40 kgs Type 1- bags            27		     270.00	    7,290.00 Screened sand 			cu.m	     2 		     1,200.00	   2,400.00 Screened Gravel		cu.m	     4		 </t>
  </si>
  <si>
    <t xml:space="preserve"> 645 BAG/S PORTLAND CEMENT - with delivery at Municipal Warehouse - Type-1</t>
  </si>
  <si>
    <t xml:space="preserve"> 2 SETS COMPUTER MONITOR AND CPU 1 UNIT PRINTER (SCAN ,PRINT,&amp; COPY ) LONG SIZE 3 UNITS PRINTER L3110 2 UNITS UPS</t>
  </si>
  <si>
    <t xml:space="preserve"> For the Medical, Dental and Laboratory Supplies Expenses of MG Personnel</t>
  </si>
  <si>
    <t xml:space="preserve"> INVITATION TO BID The Municipal Government of Gumaca, through its Bids and Awards Committee (BAC), invites suppliers/ manufacturers/ distributors/ contractors, to bid for the hereunder contract: Name of Contract		:	PURCHASE OF COMPLETE FERTILIZER FOR RICE</t>
  </si>
  <si>
    <t xml:space="preserve"> PHIVIDEC INDUSTRIAL AUTHORITY	 MCT Complex, Tagoloan, Mis. Oriental	 Tel Nos: (08822) 740245, (088) 5670-315	 email add:  	procurement@piamo.gov.ph 	 Standard Form Number: SF-GOOD-60	 Revised on: May 24, 2004	Oct-16 Standard Form Title:  REQUEST FOR QUOTA</t>
  </si>
  <si>
    <t xml:space="preserve"> Submersible Motor &amp; Pump 1Hp 3"O, 1pc Submersible Cable #14, 3 wires, 85meters Control Panel, 1Hp, 1pc G.I. pipe 1 1/4 x 6meters S.40, 14pcs GI coupling 1 1/4, 13 pcs Swing valve 1 1/4, 1pc GI Elbow 1 1/4, 1pc water hose SDR6 1", 5rolls coupling "1, 10pcs</t>
  </si>
  <si>
    <t xml:space="preserve"> For the use of Antipolo City Hospital System 5 units Network Video Recorder * 16 channel POE embedded plug &amp; play 4k NVR 5 units Power Over Ethernet Switch * 16-port 10/100Mbps Gigabit POE 16 Port POE Switch 24 units Internet Protocol Camera * 2MP IR Netw</t>
  </si>
  <si>
    <t xml:space="preserve"> ITEM NO	 DESCRIPTION						QTY	UNIT 								 	PR # MO-200-2020-06-117							 1	1 1/2" P.E Pipe Ordinary						6	rolls 2	1/2" P.E. Pipe Ordinary						1	roll. 3	1" Ø P.E. Pipe (Ord)						2	rolls. 4	Cement						98	bags 5	10mmØ x 6.0m Def. Bar Std.						30	leng</t>
  </si>
  <si>
    <t xml:space="preserve"> Construction Supplies</t>
  </si>
  <si>
    <t xml:space="preserve"> Semi Expendable Machinery &amp; Equip-Sports Equip</t>
  </si>
  <si>
    <t xml:space="preserve"> construction</t>
  </si>
  <si>
    <t xml:space="preserve"> Item No. Qty. Unit of Issue Item Description 1	80	KLS	CHICKEN	 2	1	ROLL	CLING WRAP	 3	450	PACKS	MICROWAVABLE LUNCH BOX RECTANGLE 500ML	 4	20	BAGS	SANDO BAG LARGE(THIN)	 5	20	PACKS	CHORIZO	 6	150	PACKS	MICROWAVABLE LUNCH BOX ROUND 16 0z</t>
  </si>
  <si>
    <t xml:space="preserve"> Requesting for Quotation (RFQ) for PR No. 2006265  Interested suppliers are invited to submit Sealed Price Quotations for the above listed items. The Request for Quotation (RFQ) for may be obtained from Mr. Albert A. Camarillo City General Services Office</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</si>
  <si>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</si>
  <si>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1 6 PC/S INK - EPSON - BLACK T6641 2 2 PC/S INK - EPSON - CYAN T6642 3 2 PC/S INK - EPSON - MAGENTA T6643 4 2 PC/S INK - EPSON - YELLOW T6644 5 3 PC/S STAPLE WIRE - #35 6 8 BTL/S ALCOHOL - RUBBING, 70% ETHYL, 500ML 7 1 ROLL/S CELLOPHANE - FOR COVER ( TABL</t>
  </si>
  <si>
    <t xml:space="preserve"> Please submit your quotation for the following items on or before 5:00PM on Jul 07, 2020. ITEM D E S C R I P T I O N QTY. UNIT  1 Gravel, G1 70 m³ 2 Gravel, ¾ (Crushed) 120 m³ Awarding is in LUMP-SUM basis, however, the supplier is required to indicate it</t>
  </si>
  <si>
    <t xml:space="preserve"> Title:Procurement of 150 Pax Meal(1) and Snack(2) without Venue under P.R No. 2530-2020 -City Planning and Development Office. Total ABC: Php 67,500.00 (INSTRUCTION AS TO THE REQUIRED FORM: For your price quotation, please use the attached Request for Quo</t>
  </si>
  <si>
    <t xml:space="preserve"> Corrugated GI Roofing (7’ Long)	45 Sht Corrugated GI Roofing (10’ Long)	45 sht 2” x 6’ x 27’ Good lumber (Bottom Chord)	15 pcs 2” x 6’ x 16’ Good lumber (Top Chord)	15 pcs 2” x 6’ x 8’ Good lumber (Web Member)	25 pcs 2” x 4’ x 12’ Good lumber (Purlins)	21</t>
  </si>
  <si>
    <t xml:space="preserve"> Tem No.	QNTY	UNIT OF ISSUE	ITEM DESCRIPTION 			 1	2	PCS	 Microsoft office License (Lifetiime) 			 2	1	pc	Internet Antivirus License for 3 devices 			 3	2	pcs	USB Keyboard 			 4	1	pc	Laptop Universal Charger 65W (small pin) 			 5	1	pc	laptop Universal Char</t>
  </si>
  <si>
    <t xml:space="preserve"> Republic of the Philippines Province of Albay Municipality of Rapu-Rapu Barangay Tinopan INVITATION TO BID FOR THE CONSTRUCTION/REHABILITATION OF BREAKWATER 1.	The Barangay Local Government Unit of Tinopan, Rapu-Rapu, Albay, through the Budget for the Con</t>
  </si>
  <si>
    <t xml:space="preserve"> ITEM NO. 	QTY.  	UNIT        	NAME/DESCRIPTION  OF ARTICLES                                                                          (State Brand or Market Name)                                                                     						UNIT PRICE   		TOTA</t>
  </si>
  <si>
    <t xml:space="preserve"> Supply and delivery of the following: 36	pc	4" PVC Pipe orange S600			 64	pc	4" PVC tee			 64	pc	4" PVC clean out			 64	pc	4" PVC coupling			 128	pc	1/2" PVC male adapter			 128	pc	1/2" PVC female adapter			 96	pc	1/2" PVC pipe			 96	pc	1/2" PVC tee pipe	</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</si>
  <si>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</si>
  <si>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Website Project Development Phases PHASE 1: WEBSITE DESIGNING ACTIVITY: Initial Web Design Content Management Site Content Population PHASE 2: DEVELOPMENT PHASE-CONTENT DEVELOPMENT ACTIVITY: Site Content Population Site Content Programming Testing of Live</t>
  </si>
  <si>
    <t xml:space="preserve"> July 1, 2020 REQUEST FOR QUOTATION (RFQ) CRYO-STORAGE RACK IN HINGED BOX 1.	The Batangas Medical Center hereinafter referred to as the “Purchaser” now request for submission of price proposal for the procurement of the aforesaid item described in the Tech</t>
  </si>
  <si>
    <t xml:space="preserve"> The Municipality of Limay, through its Bids and Awards Committee (BAC) invites registered contractors to apply for eligibility and if found eligible, to bid for the hereunder project/contract: Project/Contract:    RENOVATION AND REPAIR WORKS AT LIMAY ELEM</t>
  </si>
  <si>
    <t xml:space="preserve"> Republic of the Philippines BATANGAS STATE UNIVERSITY Batangas City REQUEST FOR QUOTATION "Procurement of Photographic Equipment for Various Offices" 1.	The Batangas State University (BatState U) through the Bids and Awards Committee invites interested fi</t>
  </si>
  <si>
    <t xml:space="preserve"> Graded Gravel	17 m3 Washed Sand	9 m3 Portland Cement	170 bags 12mm x 6m RSB	190 pcs #16 Tie Wire	18 kgs Hacksaw Blade	23 pcs ¼” 4’ x 8’ Ordinary Plywood	16 pcs 2” x 2” 10’ Coco Lumber	20 pcs 4” CW Nail	3 kgs 3” CW Nail	3 kgs 2 ½” CW Nail	2 kgs 1 ½” CW Nai</t>
  </si>
  <si>
    <t xml:space="preserve"> For the Other Supplies and Materials Expenses of MG Personnel</t>
  </si>
  <si>
    <t xml:space="preserve"> Preventive Maintenance Services for Ford Escort Van unit 2449, per BSP TOR</t>
  </si>
  <si>
    <t xml:space="preserve"> REQUEST FOR QUOTATIONS The Philippine Council for Health Research and Development (PCHRD), through its Bids and Awards Committee (BAC), requests PhilGEPS registered suppliers to submit quotations for the Subscriptions and Licensed software with a total ap</t>
  </si>
  <si>
    <t xml:space="preserve"> INVITATION TO BID FOR THE PROCUREMENT OF MATERIALS FOR THE IMPROVEMENT OF BENCH PAVEMENT OF MULTI-PURPOSE BUILDING OF BARANGAY DAPDAP, TIGBAUAN, ILOILO</t>
  </si>
  <si>
    <t xml:space="preserve"> Paleta	4 Asst’d T.T Color Oil	12 Paint Thinner @ 4 Ltrs	16 QDE Mapple	10 Flat Wall Enamel White	19 Paint Roller w/ Tray @ 7”	8 Sand Paper # 120	8 Sand Paper # 100	11 Sand Paper # 80	8 Patching Compound	8 Paint Brush 3”	20 Gloss Latex White	36 Roof Paint N</t>
  </si>
  <si>
    <t xml:space="preserve"> Republic of the Philippines Province of Surigao del Sur Municipality of Tago BARANGAY VICTORIA Invitation to Apply for Eligibility and to Bid INVITATION TO BID FOR THE PURCHASE OF CONSTRUCTION MATERIALS &amp; SUPPLIES FOR THE COMPLETION OF BRGY EVACUATION  CE</t>
  </si>
  <si>
    <t xml:space="preserve"> Requesting for Quotation (RFQ) for PR No. 2006253  Interested suppliers are invited to submit Sealed Price Quotations for the above listed items. The Request for Quotation (RFQ) for may be obtained from Mr. Albert A. Camarillo City General Services Office</t>
  </si>
  <si>
    <t xml:space="preserve"> One Job-Contract Furnishing PPEs</t>
  </si>
  <si>
    <t xml:space="preserve"> Item Description	Quantity/ Unit	Unit Cost	Total Cost 1. 100MM 0 PVC PIPE			     1. EXCAVATION	400 LM		     2. PIPELAYING	400 LM		     3. BACKFILLING	400 LM		     4. HYDROTESTING	400 LM		     5. DISINFECTION	400 LM		 2. CONCRETE PAV. DEMOLITION      8" AND</t>
  </si>
  <si>
    <t xml:space="preserve"> Please see attachment.</t>
  </si>
  <si>
    <t xml:space="preserve"> Common Wire Nail, 1"	3	kls Hardiflex Nail, 1"	2	kls Shower Valve	2	pcs Plywood, Ordinary, 3/4" Thk	3	pcs Plywood, Ordinary, 1/4" Thk	10	pcs Angle Valve 1/2" x 1/2" dia	4	pcs Wire, THW, 2.0sqmm	1	box Wire, THW, 3.5sqmm	1	box Pin Light,CFL	20	pcs Convenienc</t>
  </si>
  <si>
    <t xml:space="preserve"> Department of Public Works and Highways Contract ID:	20NA0075 Title: 	Rehabilitation/ Reconstruction of Roads with Slips, Slope Collapse, and Landslide - Primary Roads, BCIR, K1265+373.3 - K1265+471.30 (R/S), K1265+507.70 - K1265+675.30 (L/S), K1265+725.3</t>
  </si>
  <si>
    <t xml:space="preserve"> The National Irrigation Administration-Regional Office 12, Villarica, Midsayap, Cotabato, through the Fund 501 has the Approved Budget for the Contract (ABC) amounting to ONE HUNDRED FORTY NINE THOUSAND PESOS ONLY(P 149,000). Quotation received in excess </t>
  </si>
  <si>
    <t xml:space="preserve"> 2 pcs coupling 33750-42310 2 pcs PIN, Spring 05411-00640 2 pcs O-ring 04811-00480 2 pcs O- ring 04816-00420 1 pcs shaft, Bevel Gear 3 CO91-42260 2 pcs Sea Oil 3C091-44120 1 pc O-ring 035533-44292 1 pcs Seal 3C095-43780 6 pcs engine oil (21.40L) 2 pcs oil </t>
  </si>
  <si>
    <t xml:space="preserve"> A) REQUEST FOR QUOTATION 1. 1 lot Session Initiation Protocol (SIP) Trunks for One (1) Year Subscription and VAT Inclusive 20 channels, SIP Trunk Monthly Recurring Fee = Php 24,000.00 SIP Trunk Installation One Time Charge = Php 20,000.00 VAT Inclusive B)</t>
  </si>
  <si>
    <t xml:space="preserve"> 1	120	liters	GASOLINE</t>
  </si>
  <si>
    <t xml:space="preserve"> Requesting for Quotation (RFQ) for PR No. 2006128  Interested suppliers are invited to submit Sealed Price Quotations for the above listed items. The Request for Quotation (RFQ) for may be obtained from Mr. Albert A. Camarillo City General Services Office</t>
  </si>
  <si>
    <t xml:space="preserve"> Rehabilitation/Improvement of FMR Macarcarmay Pongdasan FMR PCCP/Stone Masonry</t>
  </si>
  <si>
    <t xml:space="preserve"> Republic of the Philippines Province of Surigao del Sur Municipality of Tago BARANGAY UNABAN Invitation to Apply for Eligibility and to Bid INVITATION TO BID FOR THE PURCHASE OF CONSTRUCTION MATERIALS &amp; SUPPLIES FOR REHABILITATION OF BRGY. HALL OF BRGY.  </t>
  </si>
  <si>
    <t xml:space="preserve"> I.  Objective and Scope of Works Objective: •	To provide preventive maintenance and reduce the possibility of a system breakdown before it actually occurs. •	To maintain a fresh, healthy and comfortable working environment for building occupants Scope of </t>
  </si>
  <si>
    <t xml:space="preserve"> Fifty (50) pcs Good Lumber 2'x2'x12' and forty four (44) other L/I</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</si>
  <si>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</si>
  <si>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PURCHASE OF PARTS OF BARANGAY AMBULANCE W/ PLATE NO. (GA 9022)</t>
  </si>
  <si>
    <t xml:space="preserve"> Republic of the Philippines CITY OF MALABON Metro Manila BIDS AND AWARDS COMMITTEE I N V I T A T I O N     T O     B I D PROPOSED REPAIR AND MAINTENANCE OF VARIOUS SCHOOL FACILITIES  AT CITY OF MALABON UNIVERSITY, LOCATED AT PAMPANO ST.,  KAUNLARAN VILLAG</t>
  </si>
  <si>
    <t xml:space="preserve"> Republic of the Philippines City of Dapitan BIDS AND AWARDS COMMITTEE 						July 01, 2020 NOTICE FOR NEGOTIATED - SMALL VALUE PROCUREMENT 	The City Government of Dapitan through the Bids and Awards Committee (BAC) would like to inform PhilGEPS registered </t>
  </si>
  <si>
    <t xml:space="preserve"> For the Repair and Maintenance of Watercrafts of PNP MG</t>
  </si>
  <si>
    <t xml:space="preserve"> The DPWH-Ilocos Sur 1st District Engineering Office, through its Bids and Awards Committee (BAC), invites contractors to submit bids for the following Contract:   Contract ID: 20AC0054   Contract Name: Concreting of Roads, Brgy. Poblacion East, San Ildefo</t>
  </si>
  <si>
    <t xml:space="preserve"> 6	Pcs	Smart 500	 860	Pcs	Smart 300	 6	Pcs	Smart 100	 62	Pcs	TNT 300	 24	Pcs	Globe 500	 811	Pcs	Globe 300	 145	Pcs	TM 300	 54	Pcs	Sun 300</t>
  </si>
  <si>
    <t xml:space="preserve"> Requesting for Quotation (RFQ) for PR No. 2006024  Interested suppliers are invited to submit Sealed Price Quotations for the above listed items. The Request for Quotation (RFQ) for may be obtained from Mr. Albert A. Camarillo City General Services Office</t>
  </si>
  <si>
    <t xml:space="preserve"> Supply of labor and materials for the repair of Isuzu Pick-up w/ plate number SFD 362 assigned at NSPRDC, Brgy. Lagalag, Tiaong, Quezon Qty.	Unit	Item/Description				ABC 						 1	unit	SCOPE OF WORK:			       100,000.00 	 		General Body				 		Body Painting</t>
  </si>
  <si>
    <t xml:space="preserve"> 1 unit - RISO DIGITAL DUPLICATOR SPECIFICATION: MASTER MAKING/PRINTING METHODS: High-speed digital master-making/Fully automatic printing ORIGINAL TYPE: Book or sheet MASTER MAKING TIME*1: Quick Master Making mode Approx. 17 seconds (Letter, short-edge fe</t>
  </si>
  <si>
    <t xml:space="preserve"> Republic of the Philippines          City of Dumaguete Bids and Awards Committee INVITATION TO BID FOR PURCHASE REQUEST OF 1 UNIT LAPTOP COMPUTER-CPU-I3 AND OTHER ITEMS 	The City of Dumaguete thru its BIDS AND AWARDS COMMITTEE (BAC), invites all intereste</t>
  </si>
  <si>
    <t xml:space="preserve"> Please submit your quotation for the following items on or before 5:00PM on Jul 13, 2020. ITEM D E S C R I P T I O N QTY. UNIT  1 Cement, Type 1 (Portland) 850 bag 2 Sand, Screened 80 m³ Awarding is in LUMP-SUM basis, however, the supplier is required to </t>
  </si>
  <si>
    <t xml:space="preserve"> Republic of the Philippines Province of Surigao del Sur Municipality of Tago BARANGAY JUBANG Invitation to Apply for Eligibility and to Bid INVITATION TO BID FOR THE PURCHASE OF CONSTRUCTION MATERIALS FOR COMPLETION HEALTH CENTER OF BRGY. JUBANG, TAGO,  S</t>
  </si>
  <si>
    <t xml:space="preserve"> Local Government Unit of Cordon, Isabela INVITATION TO BID FOR  Procurement of 1-unit brand new  ambulance vehicle with complete 					   equipment  and accessories.  The Local Government Unit,  through the LGSF fund ,2019   intend to apply the sum of Two </t>
  </si>
  <si>
    <t xml:space="preserve"> The Department of Trade and Industry- Misamis Oriental Provincial Office invites PhilGEPS registered suppliers to submit duly accomplished Request for Quotations Re-Supply and Delivery of Livestock E-Loading Kit for LSP NSB Recipients with the following i</t>
  </si>
  <si>
    <t xml:space="preserve"> Republic of the Philippines Province of Quezon Municipality of Guinayangan Barangay Government of Capuluan Tulon INVITATION TO BID Date: July 1, 2020 1.	The Barangay Government of  Capuluan Tulon  intends to apply the sum Two hundred ninety six thousand t</t>
  </si>
  <si>
    <t xml:space="preserve"> Republic of the Philippines Province of Cagayan Municipality of Sta. Teresita BARANGAY ARIDOWEN INVITATION TO BID FOR THE SUPPLY AND DELIVERY OF MATERIALS AND LABOR FOR THE MAINTENCA OF TANOD OUTPOST UNDER ITB No. CW001-2020 The LGU Aridowen, Sta. Teresit</t>
  </si>
  <si>
    <t xml:space="preserve"> SEE ATTACHE DOCUMENT</t>
  </si>
  <si>
    <t xml:space="preserve"> Requesting for Quotation (RFQ) for PR No. 2006327  Interested suppliers are invited to submit Sealed Price Quotations for the above listed items. The Request for Quotation (RFQ) for may be obtained from Mr. Albert A. Camarillo City General Services Office</t>
  </si>
  <si>
    <t xml:space="preserve"> PURCHASE OF PIPE AND PIPE LAYING - PHASE III</t>
  </si>
  <si>
    <t xml:space="preserve"> SEE ATTACHED DOCUMENT</t>
  </si>
  <si>
    <t xml:space="preserve"> For modules reproduction</t>
  </si>
  <si>
    <t xml:space="preserve"> Preventive Maintenance Services for Ford Escort Van unit 2470, per BSP TOR</t>
  </si>
  <si>
    <t xml:space="preserve"> Rehabilitation/Improvement of FRM Macarcarmay Cosili FMR PCCP/Stone Masonry</t>
  </si>
  <si>
    <t xml:space="preserve"> PLEASE SEE ATTACHED ASSOCIATED COMPONENTS</t>
  </si>
  <si>
    <t xml:space="preserve"> Good Lumber (2x5x10), 32pcs Good Lumber (2x5x17), 4pcs Good Lumber (2x5x20), 8pcs Good Lumber (2x5x9), 16pcs Good Lumber (2x5x8), 8pcs Good Lumber (2x5x7), 8pcs Good Lumber (2x5x6), 16pcs Good Lumber (2x5x4), 16pcs Good Lumber (2x3x12), 100pcs Good Lumber</t>
  </si>
  <si>
    <t xml:space="preserve"> 1 60 PC/S CORRECTION TAPE - W/ CASE 2 30 REAM/S PAPER - BOND,PG,A4,210MMX297MM,70GSM. 3 20 REAM/S PAPER - BOND,PG,LEGAL,216MMX330MM(8-1/2"X13") 70 GSM 4 2 BOT/S INK - EPSON-L5190 (eco ink) CYAN 5 2 BOT/S INK - EPSON-L5190 ( eco ink)MAGENTA 6 2 BOT/S INK -</t>
  </si>
  <si>
    <t xml:space="preserve"> spinner mop</t>
  </si>
  <si>
    <t xml:space="preserve"> Requesting for Quotation (RFQ) for PR No. 2006124  Interested suppliers are invited to submit Sealed Price Quotations for the above listed items. The Request for Quotation (RFQ) for may be obtained from Mr. Albert A. Camarillo City General Services Office</t>
  </si>
  <si>
    <t xml:space="preserve"> ITEM DESCRIPTION	Quantity (QTY)	 			 			 1	Stainless Lavatory Sink with Fitting	pc	12 2	Control Floor Foot Pedal Valve with Faucet	pc	12 3	2” Stainless Steel Tube Pipe	pc	6 4	Welding Rod	box	2 5	1” Stainless Steel Tube Pipe	pc	5 6	½” PVP Pipe	pc	10 7	½”  </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</si>
  <si>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</si>
  <si>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Invitation to Bid for Concreting of Pilar – Sitio Talisay Road 1.	The Municipality of Diplahan, through the Local Funds FY 20202 intends to apply the sum of One Million Five Hundred Thousand Pesos Only (Php. 1,500,000.00) being the Approved Budget for the</t>
  </si>
  <si>
    <t xml:space="preserve"> TITLE: PROCUREMENT OF OFFICE SUPPLIES AND EQUIPMENT			 DEPARTMENT: MUNICIPAL PLANNING AND DEVELOPMENT OFFICE			 			 ITEM NO.	QTY	UNIT	ITEM DESCRIPTION 1	9	pcs	Epson 003 ink 65 ml black 2	9	pcs	Epson 003 ink 65 ml magenta 3	9	pcs	Epson 003 ink 65 ml cyan 4</t>
  </si>
  <si>
    <t xml:space="preserve"> DIESOLINE</t>
  </si>
  <si>
    <t xml:space="preserve"> REQUEST FOR QUOTATION Date: July 1, 2020 RFQ No.: 2020 – 110 - Liquefied Petroleum Gas  Name of Company:	________________________________________________________ Office Address:	________________________________________________________			__________________</t>
  </si>
  <si>
    <t xml:space="preserve"> Supply &amp; delivery of construction materials for the repair &amp; maintenance of various infrastructure project, various brgys., Rosario, Batangas.</t>
  </si>
  <si>
    <t xml:space="preserve"> The Municipality of Sta. Cruz through its Bids and Awards Committee (BAC), invites suppliers to apply for eligibility and if found eligible, to bid for the hereunder contract:        Name of Project	:Purchase of Xerox Machine &amp; Toner ABC			: Php506,260.00</t>
  </si>
  <si>
    <t xml:space="preserve"> Digital duplicator with USB/PC Connectivity:  minimum 100ppm, 300x300 dpi, min. 800 ink supply, master supply:200 cuts, min. 1000 sheets paper feed tray, min. 800 sheets receiving tray  6  lots Digital Multifunction 3 in 1 Copiers (print,scan,copy): Print</t>
  </si>
  <si>
    <t xml:space="preserve"> Republic of the Philippines Province of Iloilo Municipality of Lambunao Brgy. Alugmawa Barangay Office of the Bids &amp; Awards Committee INVITATION TO BID Name of Project: Purchase of Materials for the Road Concreting of Farm to Market Road Location: Brgy. A</t>
  </si>
  <si>
    <t xml:space="preserve"> 135    gal      70% Alcohol 135    gal      Liquid Disinfectant 67      pcs.    Stainless foot bath 150    pcs.    Doormat 450    pcs.    Safeguard (big)</t>
  </si>
  <si>
    <t xml:space="preserve"> The LGU-Pres. C. P. Garcia, through its Bids and Awards Committee (BAC), invites suppliers/manufacturers/distributors/contractors to apply for eligibility and to bid for the hereunder project; Name of Project	: Procurement of Rice Seeds Location		: Munici</t>
  </si>
  <si>
    <t xml:space="preserve"> Republic of the Philippines Province of zamboanga Sibugay Municipality of Olutanga 7014 JULY 1, 2020 NOTICE TO THE PUBLIC INVITIATION TO APPLY FOR ELIGIBILITY AND TO BID All interested bidders are invited to Pre-qualify and participate in sealed bidding f</t>
  </si>
  <si>
    <t xml:space="preserve"> 1 2 REAM/S CERTIFICATE PAPER - A4 SIZE 2 20 PACK/S PAPER - BOARD LONG (WHITE) 10'S 3 10 REAM/S PAPER - BOND COLORED LONG-YELLOW</t>
  </si>
  <si>
    <t xml:space="preserve"> Republic of the Philippines Province of Cagayan Municipality of Baggao INVITATION TO BID FOR THE PROCUREMENT OF CIVIL WORKS The LOCAL GOVERNMENT UNIT OF BAGGAO, CAGAYAN, through 5-06-04-030-02 (20% DF) SB #01-2019 intends to apply the sum of Nine Hundred </t>
  </si>
  <si>
    <t xml:space="preserve"> 20-10308</t>
  </si>
  <si>
    <t xml:space="preserve"> 308.00 pcs.    Ceramic Floor Tiles, 40 cm x 40 cm 4.00 pcs.   Stair Nozing, 2" x 8, PVC 3.00 sack   Tile Adhesive (25 kgs. content) 42.00 bags  Portland Cement 130.00 pcs.   4" CHB 34.00 bags  Black River Sand 68.00 pack Black River Sand, screened 3.00 pa</t>
  </si>
  <si>
    <t xml:space="preserve"> Printing of BMB Newsletter (Maiden Issue)	1,500 pcs. Size :  Folded-A4: Spread-A3	 Stock: C2S 100lbs (self cover)	 Print:  Full color (all pages)	 No. of pages: 28pp (inc. cover)	 Binding:  Saddle	 	 Other:	 Mechanicals:  File supplied	 Proofing: Includes</t>
  </si>
  <si>
    <t xml:space="preserve"> 30 bottle Computer Refill Ink T6641 Black 70ml 30 bottle Computer Refill Ink T6642 Cyan 70ml 30 bottle Computer Refill Ink T6643 Magenta 70ml 30 bottle Computer Refill Ink T6644 Yellow 70ml 10 pcs. Computer Ribbon Cartridge LX300 5 pcs. Computer Ribbon Ca</t>
  </si>
  <si>
    <t xml:space="preserve"> Diaphragm Gasket	2	ea Epoxy Reducer	2	ea Sand Paper # 180	16	ea Easy Tite	2	ea Epoxy Primer Gray	3	Ea Motor Starter (40HP)	2	Ea Up-Down Relay (40HP)	2	ea Piston 40HP	5	Ea Epoxy Enamel Gray	3	Ea Spark Plug	5	Ea Red Oxide Primer	2	gals Hardener	3	Ea w-w-w-w</t>
  </si>
  <si>
    <t xml:space="preserve"> Requesting for Quotation (RFQ) for PR No. 2006123  Interested suppliers are invited to submit Sealed Price Quotations for the above listed items. The Request for Quotation (RFQ) for may be obtained from Mr. Albert A. Camarillo City General Services Office</t>
  </si>
  <si>
    <t xml:space="preserve"> RFQ 2020-094 PROJECT		:	LBP ROXAS BOULEVARD BRANCH RENOVATION  IMPLEMENTOR		: 	LBP RESOURCES AND DEVELOPMENT CORPORATION OWNER			:	LAND BANK OF THE PHILIPPINES	 REQUEST FOR QUOTATION FOR	:	SUPPLY OF CONCRETE CORING DATE / TIME OF SUBMISSION		:	ON OR BEFOR</t>
  </si>
  <si>
    <t xml:space="preserve"> CLARK DEVELOPMENT CORPORATION Clark Freeport Zone, Philippines NOTICE TO CONDUCT NEGOTIATED PROCUREMENT ELEVATOR AT CLARK MUSEUM (CIVIL WORKS) The Clark Development Corporation (CDC), through the CDC Corporate Budget for CY 2020, intends to apply the sum </t>
  </si>
  <si>
    <t xml:space="preserve"> Supply and delivery of the following: 2 units POWERED PORTABLE SOUND SYSTEM - 400W (w/built-in rechargeable batteries), with 2 wireless microphone, 2 mic in out (1XLR, 1PL55), with FM Radio, bluetooth, guitar input (shared with 2 mic input), USB &amp; SD port</t>
  </si>
  <si>
    <t xml:space="preserve"> PHILIPPINE SCIENCE HIGH SCHOOL SYSTEM						"REQUEST FOR QUOTATION FORM &amp;  NOTICE (GOODS)"		 Office / Campus:			MAIN CAMPUS					 Address / Contact Details:			AGHAM ROAD, DILIMAN, QUEZON CITY					 								 						Quotation No.:	20-07-151	 	GENTLEMEN:					Dat</t>
  </si>
  <si>
    <t xml:space="preserve"> 1	unit	Laptop: OS at least within 10 PL 64 bit, processor at most 2.0 Ghz, 3MB Cached; Memory, 1t most 4gb DDR4; Memory Slots, two (2) SODIMM slots supporting dual channel 1	unit	Desktop Computer: OS within 10 PL 64 bit; Processor, at most 3.0 GHz, 3MB Ca</t>
  </si>
  <si>
    <t xml:space="preserve"> Republic of the Philippines BATANGAS STATE UNIVERSITY Batangas City REQUEST FOR QUOTATION "Procurement of Electrical Supplies for Various Offices" 1.	The Batangas State University (BatState U) through the Bids and Awards Committee invites interested firms</t>
  </si>
  <si>
    <t xml:space="preserve"> Supply and delivery of Pirani Gauge for use to measure vacuum pressure during freeze-drying operation of vaccine production at VVBPL Qty.	Unit	                        Item/Description				ABC 						 1	unit     PIRANI GAUGE, TPR 010, BG G02 250 (old type)  </t>
  </si>
  <si>
    <t xml:space="preserve"> Requesting for Quotation (RFQ) for PR No. 2006240  Interested suppliers are invited to submit Sealed Price Quotations for the above listed items. The Request for Quotation (RFQ) for may be obtained from Mr. Albert A. Camarillo City General Services Office</t>
  </si>
  <si>
    <t xml:space="preserve"> Republic of the Philippines Province of Albay Municipality of Rapu-Rapu Barangay Tinopan INVITATION TO BID FOR THE INSTALLATION OF SOLAR POWERED STREET LIGHTS (PUROK 1-3) 1.	The Barangay Local Government Unit of Tinopan, Rapu-Rapu, Albay, through the GAD </t>
  </si>
  <si>
    <t xml:space="preserve"> 1 2 REAM/S BOOK - PAPER. A3 2 10 PACK/S BATTERY - SIZE AA @ 4'S/PACK 3 5 BOX/S FASTENER - PAPER, VINYL COATED, 50 SETS/BOX</t>
  </si>
  <si>
    <t xml:space="preserve"> INVITATION TO BID (ITB)  Procuring Entity : BARANGAY LOCAL GOVERNMENT UNIT BARANGAY TARUGAN, LA PAZ, LEYTE Title of Project : ROAD CONCRETING  Approved Budget of the Contract (AB) : Php 320,000.00 Area of Delivery : BARANGAY TARUGAN, LA PAZ, LEYTE  Descri</t>
  </si>
  <si>
    <t xml:space="preserve"> 18 PCS GOLD MEDAL EMBOSSED WITH DEP-ED LOGO &amp; SAN PASCUAL LOGO 20 PCS SILVER MEDAL 847 PCS BRONZE MEDAL</t>
  </si>
  <si>
    <t xml:space="preserve"> Request for Quotation 40	ea	Bamboo 4	kl	Common Nail # 5" 20	kl	Common Nail # 4" 10	kl	Common Nail # 2" 14	kl	Common Nail # 1" 20	ea	GI Sheet 8" - Superlume 4	kl	Tie Wire # 16 2	kl	Nylon # 60 2	ea	Ordinary Plywood 3/4" 409	ea	CHB 4" 42	ea	Corr, Round Bard </t>
  </si>
  <si>
    <t xml:space="preserve"> INVITATION TO APPLY FOR ELIGIBILITY AND TO BID The LGU-Pres. C. P. Garcia, through its Bids and Awards Committee (BAC), invites suppliers/manufacturers/distributors/contractors to apply for eligibility and to bid for the hereunder project; Name of Project</t>
  </si>
  <si>
    <t xml:space="preserve"> See attached Request for Quotation (RFQ)_dbc</t>
  </si>
  <si>
    <t xml:space="preserve"> Bill of Quantities Contract Name			:	Tinsmithry Works  Location of the Contract		: 	Himaya, El Salvador City Funding Source			:	20% Local Development Fund – Materials Recovery Facilities Duration				:	Twelve (12) Calendar Days BOQ Reference No. 		:	2020-0</t>
  </si>
  <si>
    <t xml:space="preserve"> July 1, 2020 REQUEST FOR QUOTATION (RFQ) CLEAR-LOCK MICROTUBES  1.	The Batangas Medical Center hereinafter referred to as the “Purchaser” now request for submission of price proposal for the procurement of the aforesaid item described in the Technical Spe</t>
  </si>
  <si>
    <t xml:space="preserve"> Thermal scanner                  Php. 9,000.00 Face mask.                            Php. 35,200.00 Face Shield.                           Php. 6,000.00 70% Alcohol.                         Php. 9,750.00 Ethyl Alcohol 500ml             Php. 15,750.00 Sani</t>
  </si>
  <si>
    <t xml:space="preserve"> Item Description	Quantity/ Unit	Unit Cost	Total Cost DRY TYPE WATER METER CLASS B 15 MM	300		 TEFLON TAPE	1800</t>
  </si>
  <si>
    <t xml:space="preserve"> Rehabilitation/Improvement of FMR Sagap FMR PCCP/Stone Masonry/Excavation</t>
  </si>
  <si>
    <t xml:space="preserve"> Amount of Bid Docs 3,000.00 To all suppliers, Bid Documents are available at BAC Office on July 9, 2020 Please qoute your Lowest Price; Item No. Quantity Unit Description I 1.00 lot Protection, Security &amp; Signages II 1.00 lot Trusses &amp; Roofing Works Openi</t>
  </si>
  <si>
    <t xml:space="preserve"> Paint, Gloss Latex Masonry	30	Gals Paint Brush 2”	3	Pcs Find Sand	50	Cu.m Mini Roller	3	pcs Paint Brush 3”	3	pcs Course Sand	50	Cu.m Gravel	50	Cu.m 4” CHB	150	pcs Thinner, Paint	7	Gals Paint, Flatwall Latex	7	Gals Body Filler	3	qrts Paint Roller 7” with T</t>
  </si>
  <si>
    <t xml:space="preserve"> CONST. OF FENCING (7SPAN OF 3MTRS) @ SCES, BRGY. STO. CRISTO CSJDM, BULACAN</t>
  </si>
  <si>
    <t xml:space="preserve"> 1 10 PC/S DATA FILE BOX - W/ COVER (GREEN) 2 2 BOX/S FASTENER - PAPER, VINYL COATED, 50 SETS/BOX 3 1 BOX BALLPEN - BLACK ORDINARY 50</t>
  </si>
  <si>
    <t xml:space="preserve"> Republic of the Philippines Province of Cagayan Municipality of Sta. Teresita BARANGAY ARIDOWEN INVITATION TO BID FOR THE SUPPLY AND DELIVERY OF MATERIALS AND LABOR FOR THE CONTINUATION OF MULTIPURPOSE CENTER UNDER ITB No. CW002-2020 The LGU Aridowen, Sta</t>
  </si>
  <si>
    <t xml:space="preserve"> 7000 pouch Detergent Powder 65grams/pouch 20 pcs Toilet Cake Deodorant gel 1000 pouch Fabric Conditioner 27ml/pouch 25 pcs Scouring pad economy without foam 125 pcs Face mask washable for adults</t>
  </si>
  <si>
    <t xml:space="preserve"> Please see attached associated components for specifications.</t>
  </si>
  <si>
    <t xml:space="preserve"> Quantity: 1 Firewall Minimum Specifications of the Firewall •1-RU Dimension •14 Gigabit RJ45 Slots and 4 Gigabit SFP Slots •2 Dedicated Management Ports •Supports external redundant AC power supply •Minimum 9Gbps firewall throughput •Capable of handling c</t>
  </si>
  <si>
    <t xml:space="preserve"> REQUEST FOR QUOTATION For Negotiated Procurement thru Small Value Procurement under Sec. 53.9 of the 2016 Revised IRR of RA 9184 Quotation No.:  2020-07-224 Date: July 1, 2020 PR No.: 20-06-232 PR Date: June 22, 2020 The Metropolitan Tuguegarao Water Dist</t>
  </si>
  <si>
    <t xml:space="preserve"> Rehabilitation/Improvement of FMR Bangbangar-Calaba  Embankment/Gabions</t>
  </si>
  <si>
    <t xml:space="preserve"> INVITATION TO BID The Department of Public Works and Highways - Pampanga 1st District Engineering Office, through its Bids and Awards Committee (BAC), invites contractors to submit bids for the following Contract: 1.	 Procurement ID/Contract ID	:	20CG0200</t>
  </si>
  <si>
    <t xml:space="preserve"> sack	Cement 	20 sacks	300	         6,000 cubic	Sand	         3  cubics	3,600	10,800 pc	Bricks	500	pcs    60	         30,000 cubic	Gravel	1	cubic 3600	 3,600</t>
  </si>
  <si>
    <t xml:space="preserve"> Republic of the Philippines DEPARTMENT OF PUBLIC WORKS &amp; HIGHWAYS AGUSAN DEL NORTE DISTRICT ENGINEERING OFICE Regional Office XII J. Rosales Avenue, Butuan City INVITATION TO BID FOR  PROCUREMENT OF SURVEYING INSTRUMENT (UNMANNED AERIAL VEHICLE/SYSTEM (UA</t>
  </si>
  <si>
    <t xml:space="preserve"> The DPWH-Ilocos Sur 1st District Engineering Office, through its Bids and Awards Committee (BAC), invites contractors to submit bids for the following Contract:   Contract ID: 20AC0055   Contract Name: Construction of Road From Brgy. Cuta – Brgy. Tamag, V</t>
  </si>
  <si>
    <t xml:space="preserve"> PROJECT: CONCRETING OF BARANGAY ROAD LOCATION: BARANGAY TELABANCA, CONCEPCION, TARLAC APPROVED BUDGET FOR THE CONTRACT: PHP 458,298.00 SOURCE OF FUND: CAPITAL OUTLAY The contract to be performed by the successful bidder shall be specified in the Technical</t>
  </si>
  <si>
    <t xml:space="preserve"> PORTLAND CEMENT BOULDERS STONE (HEADSIZE) WASHED SAND (APPROVED SOURCE)</t>
  </si>
  <si>
    <t xml:space="preserve"> Republic of the Philippines Province of Rizal MUNICIPALITY OF BARAS BIDS AND AWARDS COMMITTEE July 1, 2020 INVITATION TO BID COST OF SUPPLY, DELIVERY AND INSTALLATION OF CCTV CAMERA AT SOUTHVILLE 9, BARANGAY PINUGAY, BARAS, RIZAL 1.	The Municipality of Ba</t>
  </si>
  <si>
    <t xml:space="preserve"> 20-10294</t>
  </si>
  <si>
    <t xml:space="preserve"> 1 7 REAM/S PAPER - BOND,PG,A4,210MMX297MM,70GSM. 2 6 REAM/S PAPER - BOND,PG,LEGAL,216MMX330MM(8-1/2"X13") 70 GSM 3 1 BOX BALLPEN - BLACK ORDINARY 50'S 4 6 TUBE/S MECHANICAL PENCIL 5 1 BOX/S PENCIL - WOODEN NO.482 6 2 REAM/S BOOK - PAPER. A3 7 2 PC/S STAIN</t>
  </si>
  <si>
    <t xml:space="preserve"> Purchase of construction supplies by alternative mode of procurement through shopping</t>
  </si>
  <si>
    <t xml:space="preserve"> Rehabilitation/Improvement of FMR San Antonio Box Culvert</t>
  </si>
  <si>
    <t xml:space="preserve"> Invitation to Bid for Concreting of Access Road to Pilar Barangay Hall 1.	The Municipality of Diplahan, through the Local Funds FY 20202 intends to apply the sum of Four Hundred Thousand Pesos (Php. 400,000.00) being the Approved Budget for the Contract (</t>
  </si>
  <si>
    <t xml:space="preserve"> 1 unit - DSLR Camera 800 D DSLR 18 - 55 IS STM KIT 24.2 MP APS - C CMOS SENSOR 3.0" 1.04m - Dot Vari - Angle Touch Screen Full HD 1080p Videp recording at 60fps Built - In Wifi with NFC, Bluetooth HDR Movie and Time - Lapse Movie EF - S 18 - 55 mmm f/4-5.</t>
  </si>
  <si>
    <t xml:space="preserve"> For supply and delivery of the following: 25	Head	Native Goat			 3		Male			 22		Female			 		Specification:			 		5-7 month old			 		Ready to breed			 Note:			 To be delivered at BARMM</t>
  </si>
  <si>
    <t xml:space="preserve"> REQUEST TO SUBMIT PROPOSAL FOR THE SUPPLY AND DELIVERY OF LOT 1- OFFICE SUPPLIES AND LOT 2- OTHER SUPPLIES AND MATERIALS FOR USE IN THE IMPLEMENTATION OF CORN PROGRAM WITH APPROVED BUDGET FOR THE CONTRACT AMOUNTING TO THREE HUNDRED SIXTY SEVEN THOUSAND FI</t>
  </si>
  <si>
    <t xml:space="preserve"> Repair &amp; Maintenance Other Structures</t>
  </si>
  <si>
    <t xml:space="preserve"> 1	unit	KENWOOD TKM 707 HF/SSB RADIO COMPLETE W/ MICROPHONE &amp; POWER CHORD 1	unit	M700 PRO MARINE SSB W/ MICROPHONE &amp; POWER CHORD 3	units	SKYPROBE TYPE HANDHELD ANTENNA W/ BNC CONNECTOR 2	sets	BALUN ANTENNA COMPLETE W/ DIPOLE WIRE 1	unit	IC 7300 SDR TYPE/10</t>
  </si>
  <si>
    <t xml:space="preserve"> Please see attached associated component for specifications.</t>
  </si>
  <si>
    <t xml:space="preserve"> (PLEASE SEE ATTACHED ASSOCIATED COMPONENT) please send Request for Quotation  -  philgepsprocurement19@gmail.com Contact Person:	FREDERICK VILLAS (711-69-73)  300 	tablets	Calcium Carbonate + Cholecalciferol (Vitamin D3) Oral: Equivalent to 600mg Elementa</t>
  </si>
  <si>
    <t xml:space="preserve"> 1 UNIT/S RESCUE VEHICLE - DUMPTRUCK  - 8 Cyclinder diesel engine - 12 cubic meter dumpbox capacity/ 10 wheelers 6x6 - with free print of the following municipal logo and word MDRRMC in the front - with GSIS insurance and LTO Registration - 1 year warranty</t>
  </si>
  <si>
    <t xml:space="preserve"> 1 5 REAM/S PAPER - BOND,PG,A4,210MMX297MM,70GSM. 2 10 REAM/S PAPER - BOND,PG,LEGAL,216MMX330MM(8-1/2"X13") 70 GSM 3 2 PC/S INK - EPSON - BLACK T6641</t>
  </si>
  <si>
    <t xml:space="preserve"> Republic of the Philippines Province of  Romblon Municipality of  Magdiwang Barangay Dulangan -oOo- INVITATION TO BID 	COMPLETION OF BARANGAY HALL - PHASE V	 Project ID No.001-2020                                                                           </t>
  </si>
  <si>
    <t xml:space="preserve"> 1 UNIT PROJECTOR 1 UNIT LAPTOP COMPUTER Pls. see attached file.</t>
  </si>
  <si>
    <t xml:space="preserve"> The Pag-IBIG FUND TECHNICAL AND ADMINISTRATIVE SUPPORT FOR BICOL REGION intends to apply the sum of EIGHT HUNDRED THIRTY-NINE THOUSAND PESOS &amp; 0/100 ONLY (Php 839,000.00) being the Approved Budget for the Contract (ABC) as payment for VARIOUS IT EQUIPMENT</t>
  </si>
  <si>
    <t xml:space="preserve"> Republic of the Philippines Province of Pangasinan Bids and Awards Committee Municipality of Calasiao INVITATION TO BID  PURCHASE OF VARIOUS MEDICINES AND MEDICAL SUPPLIES FOR  PHILHEALTH BENEFICIARIES AT CALASIAO, PANGASINAN 1.	The Municipality of Calasi</t>
  </si>
  <si>
    <t xml:space="preserve"> Republic of the Philippines PROVINCE OF PANGASINAN BIDS AND AWARD COMMITTEE (BAC) Brgy. Sto Tomas, San Jacinto, Pangasinan Mobile No. 09194587337 INVITATION TO BID The Barangay Sto. Tomas, San Jacinto, Pangasinan, though its Bids and Award Committee (BAC)</t>
  </si>
  <si>
    <t xml:space="preserve"> Republic of the Philippines Department of Education NATIONAL CAPITAL REGION SCHOOLS DIVISION OF PASAY CITY REQUEST FOR QUOTATION FOR THE PROJECT DELIVERY OF HYGIENE MATERIALS AND EQUIPMENT PR. No.:	2020-07-G01	RFQ No.	2020-07-G01 PR DATE:	June 24, 2020	Ph</t>
  </si>
  <si>
    <t xml:space="preserve"> kindly see attached file for your reference</t>
  </si>
  <si>
    <t xml:space="preserve"> Republic of the Philippines          City of Dumaguete Bids and Awards Committee INVITATION TO BID FOR PURCHASE REQUEST OF 5 BOT XYLAZINE 100MG/ML 10% INJECTION AND OTHER ITEMS 	The City of Dumaguete thru its BIDS AND AWARDS COMMITTEE (BAC), invites all i</t>
  </si>
  <si>
    <t xml:space="preserve"> 1. The DEPARTMENT OF EDUCATION NORTH COTABATO DIVISION, through the Government of the Philippines intends to apply the sum of NINE HUNDRED THOUSAND EIGHT HUNDRED FIFTY SEVEN PESOS AND 70/100 (PhP 900,857.70) being the Approved Budget for the Contract (ABC</t>
  </si>
  <si>
    <t xml:space="preserve"> 1 BOT/S ALCOHOL - 70% SOL. 500ML 10 2 BTL/S GLUE - 130G 3 3 PC/S FOLDER - BROWN ( LONG SIZE ) 200 4 BOX/S FASTENER - PAPER, PLASTIC, 50 SETS/BOX 10 5 TUBE/S MECHANICAL PENCIL - LEAD, 0.5 (FOR STEADLER) 2 6 PC/S MASKING TAPE - # 1" 6 7 PC/S RIBBON- REFILL </t>
  </si>
  <si>
    <t xml:space="preserve"> 3	set	Desktop 		Core i3 8100GB 		Internak HD 500GB 		RAM 4G 		18inches Monitor 		USB Keyboard/Mouse 		AVR</t>
  </si>
  <si>
    <t xml:space="preserve"> PLS. DOWNLOAD RFQ</t>
  </si>
  <si>
    <t xml:space="preserve"> July 1, 2020     REQUEST FOR QUOTATION     TO ALL INTERESTED SUPPLIERS:     The PHILIPPINE INSTITUTE OF VOLCANOLOGY AND SEISMOLOGY (PHIVOLCS) hereby invites all interested suppliers to quote their lowest price on the item/s listed below, subject to the co</t>
  </si>
  <si>
    <t xml:space="preserve"> 7 pcs Disinfecting rug tray w/ rubber foot mat          material:Linear low density polythylene with UV8 stabilizers          dimension: 73.5cm x 58.5cm x 2.5cm</t>
  </si>
  <si>
    <t xml:space="preserve"> Construction of Concrete Covered Canal Actividad Economia St., and Benesa Road( Zone 1 and Zone 2) From Capitulacion St. to Creek</t>
  </si>
  <si>
    <t xml:space="preserve"> The Power Sector Assets and Liabilities Management (PSALM) Corporation is procuring the supply, delivery and administration of Influenza Vaccines (Quadrivalent) with an Approved Budget for the Contract (ABC) in the amount of One Hundred Fifty-Five Thousan</t>
  </si>
  <si>
    <t xml:space="preserve"> Requesting for Quotation (RFQ) for PR No. 2003475  Interested suppliers are invited to submit Sealed Price Quotations for the above listed items. The Request for Quotation (RFQ) for may be obtained from Mr. Albert A. Camarillo City General Services Office</t>
  </si>
  <si>
    <t xml:space="preserve"> 4	bxs	T-wire #12</t>
  </si>
  <si>
    <t xml:space="preserve"> Standard Form Number: SFGOOD60 Revised on: May 24, 2004 Standard Form Title: Request for Quotation Date:  July 1, 2020 Quotation No. 20-07-0397 Purchase Request No. 20-06-813 __________________________ Company Name ___________________________ Address Plea</t>
  </si>
  <si>
    <t xml:space="preserve"> For Supply and delivery of: 300	kg	COWPEA	 		 Note:			 To be delivered at NSPRDC, Tiaong, Quezon</t>
  </si>
  <si>
    <t xml:space="preserve"> Please quote your lowest price on the item(s)  listed below, subject to the Terms and Condition Stated												 below and submit your quotation duly signed by your representative not later than 10:30 A.M. of   July 10, 												 2020 at the return e</t>
  </si>
  <si>
    <t xml:space="preserve"> Republic of the Philippines MUNICIPALITY OF BUENAVISTA INVITATION TO BID FOR SUPPLY AND DELIVERY OF FURNITURE AND FIXTURE FOR LOCAL CIVIL REGISTRAR OFFICE, OFFICE EQUIPMENT FOR MUNICIPAL ASSESSOR’S OFFICE, TIRES FOR MDRRM OFFICE AND SOUND PROOFING FOR RAD</t>
  </si>
  <si>
    <t xml:space="preserve"> 1 Lot Purchase and Delivery of Cellcards of SB for the month of July</t>
  </si>
  <si>
    <t xml:space="preserve"> 20-10295</t>
  </si>
  <si>
    <t xml:space="preserve"> Construction of Box Culvert along Mayor's Boulevard, Asingan, Pangasinan. Pre-Bid Conference: July 10, 2020 at 9:30 A.M. at the Conference Room Submission/Receipt/Opening of Bids :  July 22, 2020 at 9:30 AM at the Conference Room of the Municipal Hall of </t>
  </si>
  <si>
    <t xml:space="preserve"> CONCRETING OF PATHWALK @ AMIHAN VILLE, BRGY. STO. CRISTO CSJDM BULACAN</t>
  </si>
  <si>
    <t xml:space="preserve"> The Municipality of Limay, through its Bids and Awards Committee (BAC) invites registered contractors to apply for eligibility and if found eligible, to bid for the hereunder project/contract: Project/Contract:     REPAIR AND RE-PAINTING OF DUALE ELEMENTA</t>
  </si>
  <si>
    <t xml:space="preserve"> PLS SEE ATTACHED FILE</t>
  </si>
  <si>
    <t xml:space="preserve"> 1 Year Security Services, ABC 19, 920,658.80/year *95 Security Guards* Please see attached ITB</t>
  </si>
  <si>
    <t xml:space="preserve"> 200	bags 	Cement 15	cu.m 	S1 20	cu.m 	Gravel Peasize</t>
  </si>
  <si>
    <t xml:space="preserve"> 1	3	boxes	Chromic Catgut 2-0 (12 packs/box) 2	3	boxes	Chromic Catgut 1-0 (12 packs/box)  3	3	boxes	Suture,PGA 910/Polyglactin Violet, 2-0, cutting edge needle,40mm,1/2 circle (12pcs/box) 4	2	boxes	Suture,PGA 910/Polyglactin Violet, 1-0, cutting edge needl</t>
  </si>
  <si>
    <t xml:space="preserve"> Angle Valve 1/2" x 1/2" dia double	4	pcs Plywood, Ordinary 1/2" Thk	8	pcs Angle Valve 1/2" x 1/2" dia 	4	pcs Common Wire Nail 2 1/2"	6	kls Common Wire Nail 4"	6	kls Concrete Nail 3"	1	kl  Paint Roller, 7"	9	pcs Common Wire Nail 1"	3	kls Paint Brush, 1"	6	</t>
  </si>
  <si>
    <t xml:space="preserve"> 10 pcs Channel Bar 2x4</t>
  </si>
  <si>
    <t xml:space="preserve"> see RFQ</t>
  </si>
  <si>
    <t xml:space="preserve"> Latex Gloves</t>
  </si>
  <si>
    <t xml:space="preserve"> Rehab of Day Care Center</t>
  </si>
  <si>
    <t xml:space="preserve"> Republic of the Philippines City of Cagayan de Oro BIDS AND AWARDS COMMITTEE Invitation to Bid  for Completion of City Hospital - Tablon (Phase II); SN 133 - 2020 ` 1.	The City Government of Cagayan de Oro, through the Current Appropriation, Annual Budget</t>
  </si>
  <si>
    <t xml:space="preserve"> 4” CHB	180	Pcs Course Sand	15	Cu.m Fine Sand	15	Cu.m Gravel	15	Cum Portland	50	bags w-w-w-Nothing Follows-w-w-w</t>
  </si>
  <si>
    <t xml:space="preserve"> The AGRICULTURAL TRAINING INSTITUTE-REGIONAL TRAINING CENTER (ATI-RTC) X, through the 2020 General Appropriations Act intends to apply the sum of One Hundred Thirty Three Thousand Five Hundred Pesos (P 133,500.00) being the Approved Budget for the Contrac</t>
  </si>
  <si>
    <t xml:space="preserve"> Supply and delivery of drugs and medicines for maintenance and treatment of various diseases.</t>
  </si>
  <si>
    <t xml:space="preserve"> Republic of the Philippines BATANGAS STATE UNIVERSITY Batangas City REQUEST FOR QUOTATION "Procurement of Service for the Ambient Air Sampling and Laboratory Analysis of Selected Poultry Farms in San Jose Batangas" 1. The Batangas State University (BatSta</t>
  </si>
  <si>
    <t xml:space="preserve"> Item	QTY.	UOM	PARTICULARS / DESCRIPTION AND SPECIFICATIONS		APPROVED	BRAND NAME	UNIT PRICE NO.					UNIT COST		 1	1	unit	Macbook Air		69,900.00		 			Specifications:				 			13 inch Retina Display with True Tone/1.1GHz Dual Core, 10th Gen				 			Intel Core i</t>
  </si>
  <si>
    <t xml:space="preserve"> PURCHASE OF MATERIALS AND RENTAL OF EQUIPMENT FOR THE CONSTRUCTION OF MULTI PURPOSE BUILDING</t>
  </si>
  <si>
    <t xml:space="preserve"> Republic of the Philippines Cordillera Administrative Region Province of Kalinga B A L B A L A N MUNICIPALITY OF BALBALAN Invitation to Apply for Eligibility and to Bid for the CONSTRUCTION OF BALBALAN BRGY. HALL PROTECTION WALL, BALBALAN PROPER, BALBALAN</t>
  </si>
  <si>
    <t xml:space="preserve"> Republic of the Philippines					 Municipality of Kalayaan					 BIDS &amp; AWARDS COMMITTEE					 Kalayaan Extension Office, Puerto Princesa city					 					 Standard Form Number : SF-GOOD-60					 Revised on:  May 24, 2004					 REQUEST FOR QUOTATION					 					 S</t>
  </si>
  <si>
    <t xml:space="preserve"> Unit              Item Description               Quantity Set               Lunch Set (BPA-Free)            54 piece            Yoga Mat                              54</t>
  </si>
  <si>
    <t xml:space="preserve"> Requesting for Quotation (RFQ) for PR No. 2006334  Interested suppliers are invited to submit Sealed Price Quotations for the above listed items. The Request for Quotation (RFQ) for may be obtained from Mr. Albert A. Camarillo City General Services Office</t>
  </si>
  <si>
    <t xml:space="preserve"> Republic of the Philippines Province of Pangasinan MUNICIPALITY OF LINGAYEN Invitation to Bid    1. The Local Government Unit of Lingayen, through the Calamity Fund   intends to apply the sum of  One Million Three Hundred Thousand  Pesos Only   (P1,300,00</t>
  </si>
  <si>
    <t xml:space="preserve"> Labor and Materials Construction of Residual Containment Area at Brgy. Agrupacion -nothing follows-</t>
  </si>
  <si>
    <t xml:space="preserve"> 1. Domestic Refrigerator, 8 cubic, one door = 2 unit @ 14,950.00 2. Evaporative air cooler for the vaccine room, 100 watts = 3 units @ 10,000.00 power, 3 speed power airflow, multifunctional cooler, 10 liters water tank capacity, with LCD display and  tem</t>
  </si>
  <si>
    <t xml:space="preserve"> Republic of the Philippines Province of Negros Oriental Municipality of Santa Catalina Bids and Awards Committee ITB NO.: 2020-07-02-017 INVITATION TO BID FOR THE SUPPLY AND DELIVERY OF  EVACUATION MODULAR TENT 1.	The Municipality of Santa Catalina, Negro</t>
  </si>
  <si>
    <t xml:space="preserve"> Construction of perimeter fence at Barangay Poblacion West, Sta. Maria, Pangasinan 158,362.40 A. MATERIALS B. LABOR C. HAULING D. OTHER SERVICES FOR MORE DETAILS CONTACT: Grace N. Cayaban Bac Treasurer Bids and Awards Committee Poblacion West Barangay Cou</t>
  </si>
  <si>
    <t xml:space="preserve"> Supply and delivery of the following: 160	head	NATIVE CHICKEN			 16		Male			 144		Female			 Note:			 To be delivered at BARMM</t>
  </si>
  <si>
    <t xml:space="preserve"> The Philippine Crop Insurance Corporation (PCIC) invites interested suppliers to send quotation for the “Supply and Delivery of Desktop Computers” with the following specifications: Desktop Processor: 8th Generation Intel CoreTM i7, 3.2GHz or higher Cache</t>
  </si>
  <si>
    <t xml:space="preserve"> Construction of Concrete Covered Canal Paz St., Zone 5, Bangued, Abra</t>
  </si>
  <si>
    <t xml:space="preserve"> Requesting for Quotation (RFQ) for PR No. 2006211  Interested suppliers are invited to submit Sealed Price Quotations for the above listed items. The Request for Quotation (RFQ) for may be obtained from Mr. Albert A. Camarillo City General Services Office</t>
  </si>
  <si>
    <t xml:space="preserve"> 500 pcs Corrugated Package Boxes  Size: 4x6x6 General Conditions: 1. All entries must be typewritten or in print. 2. Price validity shall be for a period of 90 calendar days. 3. Indicate the reference number on SUBJECT LINE when sending email   Please EMA</t>
  </si>
  <si>
    <t xml:space="preserve"> For the supply and delivery of: 500	KG	OPV CORN			 					 Note: 			 To be delivered at NSPRDC, Tianong, Quezon</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</si>
  <si>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</si>
  <si>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Procurement of Office Supplies and Consumables for use in various offices, DPWH, Negros Occidental 3rd District Engineering Office, Kabankalan City. 1.	The DPWH Negros Occidental 3rd District Engineering Office, Kabankalan City through the FY 2020 EAO int</t>
  </si>
  <si>
    <t xml:space="preserve"> NOTICE TO THE PUBLIC REQUEST FOR PROPOSAL Purchase Request No: PUR19-10-1204 The Philippine General Hospital hereby informs the public that it will be procuring the following item/s through Small Value Procurement: SUPPLY,DELIVERY,TESTING AND COMMISSIONIN</t>
  </si>
  <si>
    <t xml:space="preserve"> 17	pcs	C-PUrlins 2x3 G1 1	pcs	Channel Bar 2x4 2	pcs	C Purlins 2x6 G1</t>
  </si>
  <si>
    <t xml:space="preserve"> REQUEST FOR QUOTATION Purchase of Laboratory Equipment for use of BSFT  The Bicol University, through the Corporate Budget for the contract approved by the Board of Regents intends to apply the sum of Two Hundred Sixty Thousand Pesos Only (Php 260,000.00)</t>
  </si>
  <si>
    <t xml:space="preserve"> Supply and delivery of Personal Protective Equipment (PPE) for distribution to staff, resource persons and livestock raisers during the distribution and installation of biogas digesters and other related activities of the Manila Bay Clean-up, Rehabilitati</t>
  </si>
  <si>
    <t xml:space="preserve"> 4	pcs	Tubular 2x6 10	pcs	Tubular 2x3</t>
  </si>
  <si>
    <t xml:space="preserve"> REQUEST FOR QUOTATION (RFQ)							 							 					July 01, 2020		 					R.I.S. No.: 20-82-028		 							 GENTLEMEN:			 Please submit  your  lowest price quotation (including taxes and government discounts) on charged account basis, on the following supplies/m</t>
  </si>
  <si>
    <t xml:space="preserve"> 1.Snacks - 150pax 2.Meals - 150 pax 3.Tarpaulin - 2 pcs 4.Decorations - 1 lump</t>
  </si>
  <si>
    <t xml:space="preserve"> Department of Health							 Project Reference Number-2020-002 Cagayan Valley - Center for Health Development			Location of the Project – Tuguegarao City 						                                           REQUEST FOR QUOTATION    							                     </t>
  </si>
  <si>
    <t xml:space="preserve"> Purchase of school supplies by alternative mode of procurement though shopping</t>
  </si>
  <si>
    <t xml:space="preserve"> Procurement of Electrical works (Labor and Materials) for PPPI new office</t>
  </si>
  <si>
    <t xml:space="preserve"> 30	roll	PE Hose #1 10	roll 	PE Hose #1/2</t>
  </si>
  <si>
    <t xml:space="preserve"> 15 boxs IV Cannula g.22(100's/box) 20 boxs IV Cannula g.24(100's/box)</t>
  </si>
  <si>
    <t xml:space="preserve"> contruction of tent with lona</t>
  </si>
  <si>
    <t xml:space="preserve"> Republic of the Philippines Province of Cagayan Municipality of Sta. Teresita BARANGAY ARIDOWEN INVITATION TO BID FOR THE SUPPLY AND DELIVERY OF MATERIALS AND LABOR FOR THE CONTINUATION OF MULTIPURPOSE BUILDING UNDER ITB No. CW003-2020 The LGU Aridowen, S</t>
  </si>
  <si>
    <t xml:space="preserve"> Republic of the Philippines          City of Dumaguete Bids and Awards Committee INVITATION TO BID FOR PURCHASE REQUEST OF 50 BAGS CEMENT AND OTHER ITEMS 	The City of Dumaguete thru its BIDS AND AWARDS COMMITTEE (BAC), invites all interested manufacturers</t>
  </si>
  <si>
    <t xml:space="preserve"> Window Sreen	40	Mtr Stranded Wire # 10	51	Mtr Roller	2	Ea Plywood ¼ (Ordinary)	80	Pcs Paint White 	5	Pail Switch ,Three Way	10	Set Receptacles 4” dia , Plastic	10	Ea 2x2x10 Good Lumber	60	Ea Safety Breaker(30 Amp)	1	Ea LED, Bulb E 27, 20W, Day Light	50	Ea</t>
  </si>
  <si>
    <t xml:space="preserve"> Tubular 2 x 3 x 1.5	                 = 25 pcs. Welding Rod 	                         = 10 kls. Roofing 20ft. X 110cm x 0.5mm	 = 10 pcs. Tex Screw 2"	                         = 500 pcs. Plain Sheet #26 4 x 8 	         = 14 pcs. Vulcaseal 	                 </t>
  </si>
  <si>
    <t xml:space="preserve"> Procurement of the following printer inks: 20 sets Epson ink 664	 20 sets Epson ink 003	 10 bottles BT-D60BK ink</t>
  </si>
  <si>
    <t xml:space="preserve"> The AGRICULTURAL TRAINING INSTITUTE-REGIONAL TRAINING CENTER (ATI-RTC) X, through the 2020 General Appropriations Act intends to apply the sum of Ten Thousand Pesos (P 10,000.00) being the Approved Budget for the Contract (ABC) to payments under the contr</t>
  </si>
  <si>
    <t xml:space="preserve"> 1 1/2" dIA. X 60M P.E Pipe Series 17 - 10 rolls</t>
  </si>
  <si>
    <t xml:space="preserve"> Construction of Concrete Covered Canal Penarrubia St.( Zone 4)Actividad Economia  to Mckinley)</t>
  </si>
  <si>
    <t xml:space="preserve"> This project includes the following: 1000 bots. Alcohol, 500ml/bottle, Isopropyl 120 bots. Bleach, 3785ml/bottle 40 pcs Dispenser, sprayer bottle, 500ml min. capacity 12 pcs Foot Bath Case/Tray 120 pcs Floor/Doormat Cloth, rectangle Please submit your quo</t>
  </si>
  <si>
    <t xml:space="preserve"> 1 1/2" Dia. x 60m P.E Pipe Series 17 - 10 rolls</t>
  </si>
  <si>
    <t xml:space="preserve"> Supply and Delivery of Filling Materials for the Parking Lot of Mini Auditorium of SDSSU Lianga Campus  Please see attached Request for Quotation (RFQ)</t>
  </si>
  <si>
    <t xml:space="preserve"> Production and Printing Services (Customized Face Mask)  For official use of INREMP Staff and People’s Organization implementing the project as preventive measures of the COVID-19 Pandemic and information dissemination for the INREM Project Customized Fac</t>
  </si>
  <si>
    <t xml:space="preserve"> 30	roll	PE Hose #2 23	roll 	PE Hose #1</t>
  </si>
  <si>
    <t xml:space="preserve"> ITEM     QUANTITY       UNIT OF                        ITEM DESCRIPTION               ESTIMATED        ESTIMATED                                     ISSUE                                                                     UNIT COST            COST     1 </t>
  </si>
  <si>
    <t xml:space="preserve"> Meals and Snacks - 100 pax</t>
  </si>
  <si>
    <t xml:space="preserve"> Construction of Concrete Covered Canal Rizal St.,( Zone 5 )(From Zamora St. to Gonzales St. to creek)</t>
  </si>
  <si>
    <t xml:space="preserve"> Repair &amp; Maintenance of Buildings</t>
  </si>
  <si>
    <t xml:space="preserve"> Concreting of  Alley Roads</t>
  </si>
  <si>
    <t xml:space="preserve"> Republic of the Philippines Province of Cagayan Municipality of Sta. Teresita BARANGAY ARIDOWEN INVITATION TO BID FOR THE SUPPLY AND DELIVERY OF MATERIALS AND LABOR FOR THE CONTINUATION OF WATER SYSTEM UNDER ITB No. CW004-2020 The LGU Aridowen, Sta. Teres</t>
  </si>
  <si>
    <t xml:space="preserve"> 10	ream	Long Bond Paper 4	ream 	Short Bond Paper 4	bxs 	Carbon Paper  2	pcks	Compiter Ribbon LX310 24	packs	Battery AAA 12	packs	Battery AA 1	box 	Ballpen (Black) 1	box 	Paper Clamp 2" 2	ream 	Yellow Pad 1	pc	Marker, Whiteboard 8	pcs 	Correction Tape 5	bx</t>
  </si>
  <si>
    <t xml:space="preserve"> 50 pax Morning Snacks</t>
  </si>
  <si>
    <t xml:space="preserve"> Construction of Farm to Market Road at Zone 2, Brgy. San Vicente East, Asingan, Pangasinan. Pre-Bid Conference: July 10, 2020 at 9:30 A.M. at the Conference Room Submission/Receipt/Opening of Bids :  July 22, 2020 at 9:30 AM at the Conference Room of the </t>
  </si>
  <si>
    <t xml:space="preserve"> 200 pcs. Snacks during Safe Motherhood 100 pcs. Meals &amp; Snacks during Buntis Congress 100 pcs. Snacks During SYHD Activities</t>
  </si>
  <si>
    <t xml:space="preserve"> Procurement of All In One Printer - 10 units Printing Method-Micro Piezo Printhead Nozzle Configuration-180 Nozzle Black, 59 Nozzles per Color Minimum Droplet Size-3 pl Ink Technology-Dye Ink Printing Resolution-5,760 x 1,440 DPI Functions-Print, Scan, Co</t>
  </si>
  <si>
    <t xml:space="preserve"> July 1, 2020 REQUEST FOR QUOTATION (RFQ) PIPETTE AND PIPETTE STAND 1.	The Batangas Medical Center hereinafter referred to as the “Purchaser” now request for submission of price proposal for the procurement of the aforesaid item described in the Technical </t>
  </si>
  <si>
    <t xml:space="preserve"> 1.	In view of the Two (2) failed public biddings conducted for the Procurement and Delivery of Supplies and Materials for the 2020 Census of Population and Housing (CPH), the Philippine Statistics Authority – Regional Statistical Services Office III throu</t>
  </si>
  <si>
    <t xml:space="preserve"> Supply &amp; Delivery of ICT 01D GASS G02-2020 Kindly see attached file. Thank you!</t>
  </si>
  <si>
    <t xml:space="preserve"> 1 set Projector and printer</t>
  </si>
  <si>
    <t xml:space="preserve"> 20	ream	Bond Paper S-20 Long 10	ream	Bond Paper S-20 Short 200	pcs	Brown Envelope (Long) 5	bxs	Ballpen Black 5	bxs	Ballpen Blue 5	bxs 	Ballpen Red 10	bxs 	Staple Wire 5	pcs	Marker (BlacK) 5	pcs	Marker (Blue) 5	pcs 	Marker (Red) 1	box	Marker Ink (Red) 1	bx</t>
  </si>
  <si>
    <t xml:space="preserve"> 1	unit	Refrigerator (6cu.ft) 1	unit	Washing Machine with Spin Dryer (7kg) 1	pc	Double Burner Gas Stove 2	pcs	Rice Cooker 2	units	Aircon (Aplit Type 1.5hp inverter) with installation</t>
  </si>
  <si>
    <t xml:space="preserve"> 2 units 2.5 Window Type Air condition</t>
  </si>
  <si>
    <t xml:space="preserve"> Republic of the Philippines Cordillera Administrative Region Province of Kalinga B A L B A L A N MUNICIPALITY OF BALBALAN Invitation to Apply for Eligibility and to Bid for the CONTINUATION FOR THE CONSTRUCTION OF LOWER POBLACION ACCESS ROAD (PHASE III), </t>
  </si>
  <si>
    <t xml:space="preserve"> Construction of Concrete Covered Canal Santiago St(Zone 4 and Zone 2) (From Actividad Economia to Creek)</t>
  </si>
  <si>
    <t xml:space="preserve"> The City Government of Santiago invites interested parties to submit price quotation for the “SUPPLY AND DELIVERY OF OFFICE EQUIPMENT FOR SCADA OFFICE USE“ City Hall, Santiago City, details as follows: ABC: Php 127,000.00 Contract Duration: 14 calendar da</t>
  </si>
  <si>
    <t xml:space="preserve"> Purchase of Medical Supplies for Disinfection in Covid Protection @ Samal, Bataan 2 drums - Alcohol 24 pcs - Alcohol Pump</t>
  </si>
  <si>
    <t xml:space="preserve"> The rehabilitation of the SK Office for a more conducive workplace and an accommodating place for the youth of Calinan.</t>
  </si>
  <si>
    <t xml:space="preserve"> The Local  Government   Unit  of General  Santos  City, through  the  GENERAL FUND CY 2020  intends  to apply  the sum of twenty nine thousand three hundred sixty three and 68 / 100 Pesos Only (29,363.68)   being  the Approved  Budget  for the Contract   </t>
  </si>
  <si>
    <t xml:space="preserve"> 12-month subscription for Adobe Creative Cloud *Business subscription *All Apps</t>
  </si>
  <si>
    <t xml:space="preserve"> 85 SACKS RICE PLS. SEE ATTACHED FILE.</t>
  </si>
  <si>
    <t xml:space="preserve"> 2	pcs	2.5hp sprit type air conditioning units including installation and brackets 2	pcs	1sr 100ft. Refrigerant pipes including refrigerant &amp; insulation including installation 35	ft	succeeding refrigerant pipes &amp; insulation including installation</t>
  </si>
  <si>
    <t xml:space="preserve"> 15	reams	Bond Paper S-20 Long 20	reams 	Bond Paper S-20 Short 50	pcs	Brown Envelope (Long) 1	box	Ballpen Black 1	box	Ballpen Blue 5	bxs 	Sign Pen 0.7 Blue 5	bxs 	Sign Pen 0.7 Red 5	btls	Water Well Paste 2	pcs 	Stamp Pad 2	bxs 	Staple Wire #35 3	pcs 	Highl</t>
  </si>
  <si>
    <t xml:space="preserve"> Construction of Solar Drinking Station in Various Barangays, Asingan, Pangasinan. Pre-Bid Conference: July 10, 2020 at 9:30 A.M. at the Conference Room Submission/Receipt/Opening of Bids :  July 22, 2020 at 9:30 AM at the Conference Room of the Municipal </t>
  </si>
  <si>
    <t xml:space="preserve"> Prevention kit for Covid19</t>
  </si>
  <si>
    <t xml:space="preserve"> MASONRY WORKS (CHB front wall partition,floor tiling,outside flooring and finishing)	 CHB (4"x8"x16")	 PORTLAND CEMENT	 SAND	 GRAVEL	 10MMØ  REBARS	 TIE WIRE	 TILES (24X24)	 TILE GROUT	 CARPENTRY WORKS (Installation of Door Jamb and Door)	 DOOR JAMB 2X4X1</t>
  </si>
  <si>
    <t xml:space="preserve"> To provide meals and snacks during the conduct of Joint Technical Review for the Updated Isabela PCIP</t>
  </si>
  <si>
    <t xml:space="preserve"> Republic of the Philippines Department of Education NATIONAL CAPITAL REGION SCHOOLS DIVISION OF PASAY CITY REQUEST FOR QUOTATION FOR THE PROJECT DELIVERY OF ROLL-UP BLINDS DOUBLE H02-OO4 AND VERTICAL BLINDS PR. No.:	2020-07-G02	RFQ No.	2020-07-G02 PR DATE</t>
  </si>
  <si>
    <t xml:space="preserve"> 25 pax Lunch and Snacks</t>
  </si>
  <si>
    <t xml:space="preserve"> 3,125 ltrs Diesel</t>
  </si>
  <si>
    <t xml:space="preserve"> 160 pcs. powder milk (300grms.) 3 boxes sardines 50 kilos brown sugar (1/2 kl.) 100 pcs. coffee (25grms) 5 bags macaroni 200 pcs. energy drink 220grms) 200 pcs. corned beef 150 grms) commodities intended for PWD's</t>
  </si>
  <si>
    <t xml:space="preserve"> Bandage Gauze, 2”x10 Yards, Rolled, w/ Edging, Non Sterile---------------2400 qty --------------P12.50/roll Colostomy Bag, Disp. w/ 3 Layers, Plastic Size 3, Individual Wrapped, Box of 100’s-------------------------------------------36 qty ---------------</t>
  </si>
  <si>
    <t xml:space="preserve"> Republic of the Philippines Cordillera Administrative Region Province of Kalinga B A L B A L A N MUNICIPALITY OF BALBALAN Invitation to Apply for Eligibility and to Bid for the CONSTRUCTION OF BALETE WATER WORKS SYSTEM (PHASE I), BALANTOY, BALBALAN, KALIN</t>
  </si>
  <si>
    <t xml:space="preserve"> Construction of Concrete Covered Canal Penarrubia St. &amp; Villamor Manzano St. to Gonzales st. to creek</t>
  </si>
  <si>
    <t xml:space="preserve"> 2200	mtrs	Tolda Marayuma 120	pcs 	G.I. Pipe #3/4 sch 40 100	pcs 	G.I. Pipe #1/2 sch 40 60	kls	Welding Rod 20	pcs 	Cutting Disc 40	pcs 	Hacksaw Blade 20	ltr	Red Oxide 20	pcs 	Paint Brush #2 100	pcs 	12mm</t>
  </si>
  <si>
    <t xml:space="preserve"> ITEM No.	Description	 Quantity 	Unit 			 I	Excavation	 5.18 	cu.m. II	Formworks	 1.00 	ls III	Structural Concrete	 11.84 	cu.m. IV	Reinforcing Steel Bar-Grade 40	 1,100.00 	kg.</t>
  </si>
  <si>
    <t xml:space="preserve"> Meals and Snacks - 500 pax</t>
  </si>
  <si>
    <t xml:space="preserve"> Please see attached RFQ and Specifications</t>
  </si>
  <si>
    <t xml:space="preserve"> 1	unit	Mapping-Grade Handheld Geohazard Processing Equipment with ArcPad 		Specifications 		Integrated 3.75G cellular Data, Text and Voice Capability 		8 Megapixels Camera with Geotagging and Dual LED Flash 		Bluettoth v2.1 with Enhanced Data Rate 		Wi-Fi</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</si>
  <si>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</si>
  <si>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1	Paracetamol 100 mg/ml, Oral Drops							80	bot	50.00 2	Omeprazole 40 mg vial							200	vial	85.00 3	Ampicillin 250 mg vial							180	vial	30.00 4	Aspirin 80 mg tab							100	tab	5.00 5	Cefalexin 500 mg capsule							500	caps	12.00 6	Cefotaxime 1 gm vial</t>
  </si>
  <si>
    <t xml:space="preserve"> ITEM NO	 DESCRIPTION						QTY	UNIT 								 	PR # MEO-300-2020-01-08							 	LABOR &amp; MATERIALS							 								 	ROAD CONCRETING							 1	MOBILIZATION &amp; DEMOBILIZATION						1	I.s 2	SURPLUS COMMON EXCAVATION						461.80	cu.m 3	SUB-GRADE PREPARATION						208</t>
  </si>
  <si>
    <t xml:space="preserve"> The City Government of Santiago invites interested parties to submit price quotation for the “SUPPLY AND DELIVERY OF VEHICLE PARTS AND ACCESSORIES FOR VARIOUS GOVERNMENT VEHICLES AND EQUIPMENT“ City Hall, Santiago City, details as follows: ABC: Php 146,05</t>
  </si>
  <si>
    <t xml:space="preserve"> Republic of the Philippines Province of Batangas Municipality of San Juan BIDS AND AWARDS COMMITTEE INVITATION TO APPLY FOR ELIGIBILITY AND TO BID THE LOCAL  GOVERNMENT UNIT OF BRGY. IMELDA, SAN JUAN, BATANGAS, through its Bids and Awards Committee(BAC), </t>
  </si>
  <si>
    <t xml:space="preserve"> Republic of the Philippines Department of Trade and Industry – Romblon Provincial Office Ground Floor LFH Building, JP Laurel St., Dapawan, Odiongan, Romblon 5505                                 REQUEST FOR QUOTATION (RFQ) Supply and Delivery of 7 Sets of</t>
  </si>
  <si>
    <t xml:space="preserve"> 1 set ACL Reconstruction Arthroscopic (L)</t>
  </si>
  <si>
    <t xml:space="preserve"> 800 PCS. TOILET BOWL X X X X X X X X X X X X X X X X</t>
  </si>
  <si>
    <t xml:space="preserve"> Renovation/Improvement of Existing Material Recovery Facility (MRF) at Brgy. Bantog, Asingan, Pangasinan. Pre-Bid Conference: July 10, 2020 at 9:30 A.M. at the Conference Room Submission/Receipt/Opening of Bids :  July 22, 2020 at 9:30 AM at the Conferenc</t>
  </si>
  <si>
    <t xml:space="preserve"> I. CSHP	 II. Road Preparation	 	a. Equipment 	b. Materials III. Portland Cenent Concrete Pavement	 IV. Equipment	 Labor</t>
  </si>
  <si>
    <t xml:space="preserve"> The Department of Agriculture invites interested suppliers to submit quotations/proposals for the hereunder requirement: Printing and Production of the National Convergence Initiative for Sustainable Rural Development (NCI-SRD) Envelope and Folder to be u</t>
  </si>
  <si>
    <t xml:space="preserve"> Republic of the Philippines BATANGAS STATE UNIVERSITY Batangas City REQUEST FOR QUOTATION "Procurement of ICT Equipment for BatStateU Lobo Campus" 1.	The Batangas State University (BatState U) through the Bids and Awards Committee invites interested firms</t>
  </si>
  <si>
    <t xml:space="preserve"> Purchase of Agisoft software</t>
  </si>
  <si>
    <t xml:space="preserve"> 1.Urine Strips (10 parameters) - 23 bots 2.Pregnancy Tests Kit - 31 pcs 3.Typing Sera (A&amp;B) (Epiclone) - 5 bots 4.Typing Sera (Anti-D) (Epiclone) - 5 bots 5.HBsAG Tests Kits (SD),100's - 4 boxes 6.Syphillis test kits (SD),100's - 4 boxes</t>
  </si>
  <si>
    <t xml:space="preserve"> Construction of Drainage System with total length of 231.0 lm open canal with steel grating, with length of 215.0 l.m. cross drainage with length of 16.0 l.m.</t>
  </si>
  <si>
    <t xml:space="preserve"> 3,125 ltrs. Diesel</t>
  </si>
  <si>
    <t xml:space="preserve"> Proposed Construction of Stone Masonry Sitio Pilay, Banacao, Bangued, Abra</t>
  </si>
  <si>
    <t xml:space="preserve"> Unit	Description	Quantity ream	 Bondpaper, long, s20	120 box	 Ballpen, Blue	10 box	 Ballpen, Black	10 pc	 Brown envelope, long	200 pc	 Brown envelope, short	75 pc	 Correction tape	25 pc	 Double sided tape	10 pc	 Expanded folder, long, assorted	147 pc	 Exp</t>
  </si>
  <si>
    <t xml:space="preserve"> RIP RAPPING OF CREEK BANK @ BARANGAY STO. CRISTO CSJDM, BULACAN</t>
  </si>
  <si>
    <t xml:space="preserve"> 1	185	bags	Portland Cement			 2	5.2	cu.m.	Gravel 3/4			 3	17.6	cu.m.	Sand			 4	10	pcs.	3" dia. X 3m PVC			 5	6	pcs.	2" dia. X 3m PVC			 6	8	pcs.	3" x 2" WYE PVC			 7	16	pcs.	2" dia. PVC Elbow			 8	8	pcs.	2" dia. P-Trap			 9	2	pcs.	2" dia. 45 deg. Elbow PV</t>
  </si>
  <si>
    <t xml:space="preserve"> Please see the attached file. Thank you.</t>
  </si>
  <si>
    <t xml:space="preserve"> Republic of the Philippines          City of Dumaguete Bids and Awards Committee INVITATION TO BID FOR PURCHASE REQUEST OF 2 ROLLS ELECTRICAL WIRE #14 THHN (BLACK) AND OTHER ITEMS 	The City of Dumaguete thru its BIDS AND AWARDS COMMITTEE (BAC), invites al</t>
  </si>
  <si>
    <t xml:space="preserve"> Request for Quotation 6	pail	Roofgard-Baguio Green 135 	pc	CCL 2x2x12 120 	pc	CCL 2x3x12 120 	pc	CCL 2x4x12 26 	pc	CHB 4" 6 	kl 	Common Wire Nail 1" 6 	kl 	Common Wire Nail 2" 6 	kl	Common Wire Nail 3" 6 	kl	Common Wire Nail 4" 6 	pail	Roofgard-Baguio Whi</t>
  </si>
  <si>
    <t xml:space="preserve"> Improvement of Pathways along NRRES, L. Millan and P. Ramos St., Brgy. Poblacion West, Asingan, Pangasinan. Pre-Bid Conference: July 10, 2020 at 9:30 A.M. at the Conference Room Submission/Receipt/Opening of Bids :  July 22, 2020 at 9:30 AM at the Confere</t>
  </si>
  <si>
    <t xml:space="preserve"> Purchase of Medicines (RHU)</t>
  </si>
  <si>
    <t xml:space="preserve"> CONCRETING OF PAVEMENT @ BRGY. STO. CRISTO, CSJDM BULACAN</t>
  </si>
  <si>
    <t xml:space="preserve"> L  = 216 m      W = 0.70m   D = 070m</t>
  </si>
  <si>
    <t xml:space="preserve"> Please download associated components.</t>
  </si>
  <si>
    <t xml:space="preserve"> REPAIR &amp; MAINTENANCE FOR CAT BACKHOE M313D - MEO (NP-20-0972) 1	1	set	Hose assembly 190-8556 4pcs 			Hose assembly 214-3996 2pcs 			Hose assembly 340-3414 1pc 			Hose assembly 340-3415 1pc 			Hose assembly 200-7699 1pc 			Hose assembly 200-7700 1pc 			Hos</t>
  </si>
  <si>
    <t xml:space="preserve"> 40	gals	 Alcohol 120	boxes Surgical mask</t>
  </si>
  <si>
    <t xml:space="preserve"> Republika ng Pilipinas PAMAHALAANG LUNGSOD NG TACLOBAN (City Government of Tacloban) 1.	BIDS AND AWARDS COMMITTEE INVITATION TO BID (July 02, 2020) 20-011(1) 7080745 The City Government of Tacloban thru the NGAs-DBM LGSF-Other Financial Assistance to LGUs</t>
  </si>
  <si>
    <t xml:space="preserve"> 1 UNIT --- SPLIT TYPE AIRCON 3.0 HP --- PHP 98,875 FTKC71QVM (INDOOR) RKC71QVM (OUTDOOR)</t>
  </si>
  <si>
    <t xml:space="preserve"> Purchase of Two Hundred Twenty Five (225) bags Portland Cement, 40kgs. Etc....</t>
  </si>
  <si>
    <t xml:space="preserve"> 20CSE011: Consulting Services for the Conduct of Environmental Impact Assessment (EIA), Preparation of Environmental Impact Assessment Statement (EIS) and Application of Environmental Compliance Certificate (ECC) of Widening of Calapan North Road (CNR) fr</t>
  </si>
  <si>
    <t xml:space="preserve"> surgical face mask</t>
  </si>
  <si>
    <t xml:space="preserve"> Construction Projects</t>
  </si>
  <si>
    <t xml:space="preserve"> supply and delivery of purchased of food packs distribution</t>
  </si>
  <si>
    <t xml:space="preserve"> To purchase for Brgy. use</t>
  </si>
  <si>
    <t xml:space="preserve"> Spl-1 Excavation Spl-2 Concrete Works (Ramp) Masonry Works Spl-3 (Smoothed finished) Spl-4 Railings Spl-5 Painting Works Spl-6 Tiles Works Spl-7 Elecrical Works</t>
  </si>
  <si>
    <t xml:space="preserve"> Other Supplies &amp; Materials Expenses</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</si>
  <si>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</si>
  <si>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July 1, 2020 REQUEST FOR QUOTATION (RFQ) CRYOTUBE (500 PIECES/BAG) 1.	The Batangas Medical Center hereinafter referred to as the “Purchaser” now request for submission of price proposal for the procurement of the aforesaid item described in the Technical </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</si>
  <si>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</si>
  <si>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Republic of the Philippines          City of Dumaguete Bids and Awards Committee INVITATION TO BID FOR PURCHASE REQUEST OF 13 CU.M SAND STD. SPECS AND OTHER ITEMS 	The City of Dumaguete thru its BIDS AND AWARDS COMMITTEE (BAC), invites all interested manu</t>
  </si>
  <si>
    <t xml:space="preserve"> Please quote your lowest price inclusive of VAT and freight/delivery charges on the item/s listed below, subject to the terms and conditions of this RFQ, and submit your quotation duly signed by your authorized representative not later than July 8, 2020 a</t>
  </si>
  <si>
    <t xml:space="preserve"> Bolt, Machine, 5/8 x 10"			                                                     2	pcs Attachment, Guy, Malleable Type W/ 11/16' Hole			                     1	pcs Connector, Compression #6 - # 1/0 ASCR Run To #6 - #2		             3	pcs Connector, Compress</t>
  </si>
  <si>
    <t xml:space="preserve"> Requesting for Quotation (RFQ) for PR No. 2006280  Interested suppliers are invited to submit Sealed Price Quotations for the above listed items. The Request for Quotation (RFQ) for may be obtained from Mr. Albert A. Camarillo City General Services Office</t>
  </si>
  <si>
    <t xml:space="preserve"> I. Mobilization II. CSHP III. Porject Billboard IV. Masonry Works V. Roof Framing VI. Plumbing Works VII. Carpentry Works VIII. Forms and Scaffolding IX. External X. Windows XI. Painting Works Labor</t>
  </si>
  <si>
    <t xml:space="preserve"> Procurement of Computer Set - 4 units Mid-ATX Casing 700W PSU 200GE  3.2GHz Processor Socket AM4 700W Power Supply (Bundle with Casing) 500GB 7200RPM SATA Hard Disk Drive USB Keyboard and Mouse S2H Mother Board 4G DDR4 PC2666Mhz KVR26N 19S8/4 Single 18.5 </t>
  </si>
  <si>
    <t xml:space="preserve"> Republic of the Philippines Province of  Misamis Oriental Local Government Unit of Claveria INVITATION TO BID FOR  Procurement of Materials for flooring of  Multi-purpose  Building  at Madaguing  1.	The Local Government Unit of Claveria, through the budge</t>
  </si>
  <si>
    <t xml:space="preserve"> Repair of Electric Safety Breaker in New Admin. Building.</t>
  </si>
  <si>
    <t xml:space="preserve"> Chromatography Paper 3mm 46 x 57 mm (pack of 100)  1st staggered: 2 packs within 6 weeks upon receipt of PO;  2nd staggered: 1 pack-  2 months after receipt of 1st delivery General Conditions: 1. All entries must be typewritten or in print. 2. Price valid</t>
  </si>
  <si>
    <t xml:space="preserve"> Microhematocrit Capillary Tubes (Heparinized) 75MM x 1.1 to 1.2MM Diameter Internal (0 Internal) 1.5 to 1.6MM Diameter External (0 External) 1000's FOR USE OF DOP Fax your Price Quotation at Telefax 927-6426 local 2561/426-3045 or Email at bacveterans@gma</t>
  </si>
  <si>
    <t xml:space="preserve"> Purchase of materials for the Repair and Maintenance of Power Spray.</t>
  </si>
  <si>
    <t xml:space="preserve"> Republic of the Philippines Province of Cagayan Municipality of Sta. Teresita BARANGAY ARIDOWEN INVITATION TO BID FOR THE SUPPLY AND DELIVERY OF MATERIALS AND LABOR FOR THE CONSTRUCTION OF BARANGAY MARKER UNDER ITB No. CW005-2020 The LGU Aridowen, Sta. Te</t>
  </si>
  <si>
    <t xml:space="preserve"> 1	 set 	 3HP Submersible Motor w/ Pump  1	 pc. 	 KSB Circuit Breaker, 60Amp  1	 pc. 	 KSB Circuit Breaker, 40Amp  1	 pc. 	 Liquid Level Switch  1	 pc. 	 Magnetic Contactor  20	 mt. 	 Royal Cord, #2 x 16mm²  80	 mt. 	 Service Drop, #4  1	 pc. 	 G.I. Pipe, </t>
  </si>
  <si>
    <t xml:space="preserve"> The City Government of Santiago invites interested parties to submit price quotation for the “SUPPLY AND DELIVERY OF VEHICLE PARTS AND ACCESSORIES FOR VARIOUS GOVERNMENT VEHICLES“ City Hall, Santiago City, details as follows: ABC: Php 275,350.00 Contract </t>
  </si>
  <si>
    <t xml:space="preserve"> 1	pc	Panel box 4 branches 1	pc	Circuit breaker 100 ampheres 1	pc	Circuit breaker 60 ampheres 1	pc	Circuit breaker 30 ampheres 1	pc	Circuit breaker 15 ampheres 1	box	THHN wire #14 8	pcs	LED bulb 12 watts 2	pcs	LED foglight 70 watts 5	pcs	Receptacle 4 x 4 5</t>
  </si>
  <si>
    <t xml:space="preserve"> 20-10310</t>
  </si>
  <si>
    <t xml:space="preserve"> Requesting for Quotation (RFQ) for PR No. 2005171  Interested suppliers are invited to submit Sealed Price Quotations for the above listed items. The Request for Quotation (RFQ) for may be obtained from Mr. Albert A. Camarillo City General Services Office</t>
  </si>
  <si>
    <t xml:space="preserve"> For reproduction of learning modules</t>
  </si>
  <si>
    <t xml:space="preserve"> Purchase of Construction Supplies to be used at Mun. Building, LGU - San Miguel, Catanduanes: Ordinary Plywood 3/4, marine Plywood 1/4, Concrete Nail 2 1/2, Flatwall Enamel B/S, Flat latex B/S.</t>
  </si>
  <si>
    <t xml:space="preserve"> Purified Drinking water (5 Liters) Staggered Delivery 40-50 gallons per month ***depending on the availability of empty bottle Location:  Bldg H UP Ayala Technohub Commonwealth Quezon City Payment Terms: 30 days from the receipt of invoice (monthly) Gener</t>
  </si>
  <si>
    <t xml:space="preserve"> ITEM No.	Description	 Quantity 	Unit 			 803(1)a	Structure Excavation(Common Soil, Manual Excavation)	 19.87 	cu.m. 804(1)a	Embankment from Structure Excavation	 17.10 	cu.m. 804(1)b	Embankment from Common Borrow by Equipment	 38.19 	cu.m. 804(4)	Gravel F</t>
  </si>
  <si>
    <t xml:space="preserve"> The Pag-IBIG FUND TECHNICAL AND ADMINISTRATIVE SUPPORT FOR BICOL REGION intends to apply the sum of SEVENTY-EIGHT THOUSAND FIVE HUNDRED PESOS &amp; 0/100 ONLY (Php 78,500.00) being the Approved Budget for the Contract (ABC) as payment for SEMI-EXPENDABLE EQUI</t>
  </si>
  <si>
    <t xml:space="preserve"> Purchase of Const. Materials for Eco Park @ Samal, Bataan 3 pcs - Shovel Pointed 3 pcs - Shovel Flat 2 pcs - Baguleta 1 gal - Latex Paint Green Salad</t>
  </si>
  <si>
    <t xml:space="preserve"> 2 units Desktop                       Intel Core 17-9700(3.0ghz)                       16 GB RAM                       Gigabyte B365m                       ITB HDD+120GB SSD                       Palit GT 1030                       23.5" FHD Monitor      </t>
  </si>
  <si>
    <t xml:space="preserve"> 20CSE012: Consulting Services for the Conduct of Environmental Impact Assessment (EIA), Preparation of Environmental Impact Assessment Statement (EIS) and Application of Environmental Compliance Certificate (ECC) of Widening of Calapan South Road (CSR) fr</t>
  </si>
  <si>
    <t xml:space="preserve"> Requesting for Quotation (RFQ) for PR No. 2006278  Interested suppliers are invited to submit Sealed Price Quotations for the above listed items. The Request for Quotation (RFQ) for may be obtained from Mr. Albert A. Camarillo City General Services Office</t>
  </si>
  <si>
    <t xml:space="preserve"> 30	 pc. 	 Roofing Sheet, 8", Ga 26  25	 pc. 	 2 x 3 x 16 Good Lumber  20	 pc. 	 2 x 5 x 16 Good Lumber  20	 pc. 	 Ordinary Plywood, ¼" thk  500	 pc. 	 CHB #4  60	 bg. 	 Cement  40	 pc. 	 10mmØ RSB  4	 kl. 	 Umbrella Nail, #2½  3	 kl. 	 Common Nail, #3  2	</t>
  </si>
  <si>
    <t xml:space="preserve"> Republic of the Philippines  Province of Northern Samar Municipality of Mondragon The Local Goverment Unit (LGU), through the Bids and Award Committee (BAC), invites contractors /manufacturers / distributors to apply for eligibility and to submit quotatio</t>
  </si>
  <si>
    <t xml:space="preserve"> The City Government of Santiago invites interested parties to submit price quotation for the “SUPPLY AND DELIVERY OF CASKET FOR BESPREN SA KALANGITAN USE“ City Hall, Santiago City, details as follows: ABC: Php 910,000.00 Contract Duration: 14 calendar day</t>
  </si>
  <si>
    <t xml:space="preserve"> Description REQUEST FOR QUOTATION The Municipality of Allacapan, through its Bids and Awards Committee (BAC), invites suppliers/distributors/contractors to submit quotation for the hereunder project: Name of Contract : Purchase of One (1) Unit split type </t>
  </si>
  <si>
    <t xml:space="preserve"> INVITATION TO BID FOR THE  PROCUREMENT OF SERVICES – PUBLICATION OF PLANS AND PROGRAMS OF MAYOR LANI MERCADO REVILLA AND THE CITY GOVERNMENT OF BACOOR (BATCH 2) - CIO 1.	The City Government of Bacoor, Cavite, through the General Fund Year 2020 intends to </t>
  </si>
  <si>
    <t xml:space="preserve"> 20ID0076 	Supply/Delivery with Installation of Internally Illuminated (Solar) Pavement Levelled Marker/Stud,Flush Type,Type GI05                Bi-Directional, along Palo-Carigara-Ormoc Road,K0942+(-935)-K0942+100 &amp; K0973+700-K0975+000	Pavement Levelled/ </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</si>
  <si>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</si>
  <si>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Procurement of the following janitorial supplies: 5 sets High quality mop, 2 bucket with Side Press Wringer, 5 liters Capacity.	 24 pcs. Doormat	 10 pcs. Dishwashing liquid 800ml	 10 cans Car gel freshener, can, 70g	 36 bottles Disinfectant spray 500ml	  </t>
  </si>
  <si>
    <t xml:space="preserve"> One(1) Job Contract Furnishing Materials</t>
  </si>
  <si>
    <t xml:space="preserve"> The Kiburiao National High School - Senior High, through the General Appropriations Act, intends to apply the sum of ninety pesos (90.00) only being the Approved Budget for the Contract to payment under the procurement of measuring and observing and testi</t>
  </si>
  <si>
    <t xml:space="preserve"> OFFICE SUPPLIES - MARKET (NP-20-0973) 1	24	piece	Bulb, Light, 50 watts 2	24	piece	Flourescent Lamp, Spiral, 15watts 3	6	piece	Flourescent Light Slim, 40 watts 4	10	piece	Starter, 4-40 watts 5	3	roll	Tape, Electrical 6	4	piece	Voltage Surge Protector w/ Li</t>
  </si>
  <si>
    <t xml:space="preserve"> 1.(BEST CHECK) Glucose test strip (25 tests/pack) - 21 boxes 2.(BEST CHECK) Homoglobin test strip (25 test/pack) - 21 boxes</t>
  </si>
  <si>
    <t xml:space="preserve"> 45      pcs        Battery Pack 7.4V         1,000.00          45,000.00 3        pcs        Battery Pack                2,000.00            6,000.00                                                                     Total:  51,000.00</t>
  </si>
  <si>
    <t xml:space="preserve"> Republic of the Philippines Province of Cagayan Municipality of Solana -oOo- BIDS AND AWARDS COMMITTEE (BAC) Invitation to Bid for Rehabilitation of farm to market road Dassun, Solana, Cagayan 1.	The Municipal Government of Solana, through General Fund-20</t>
  </si>
  <si>
    <t xml:space="preserve"> I. Mobilization	 II. CSHP	 III. Road Preparation	 	a. Equipment 	b. Materials IV. Portland Cement	 V. Equipment	 Labor</t>
  </si>
  <si>
    <t xml:space="preserve"> INVITATION TO BID FOR THE PROCUREMENT OF MATERIALS FOR THE REHABILITATION OF FLOORING OF MULTI PURPOSE BUILDING OF BARANGAY DAPDAP, TIGBAUAN, ILOILO</t>
  </si>
  <si>
    <t xml:space="preserve"> REQUEST FOR QUOTATION The Municipality of Allacapan, through its Bids and Awards Committee (BAC), invites suppliers/distributors/contractors to SUBMIT QUOTATION for the hereunder project: Name of Contract :Purchase of 1 unit laptop, 1 printer and 1 monito</t>
  </si>
  <si>
    <t xml:space="preserve"> REPUBLIC OF THE PHILIPPINES LOCAL GOVERNMENT UNIT OF BAROY BAROY LANAO DEL NORTE INVITATION TO BID SUPPLY, DELIVERY WITH INSTALLATION TWO (2) UNITS FLOOR MOUNTED AIRCON (5 TONNER) CENTER HALL ITB NO. 2020-06-277 The Procuring Entity LGU BAROY through its </t>
  </si>
  <si>
    <t xml:space="preserve"> Office supplies and equipment</t>
  </si>
  <si>
    <t xml:space="preserve"> 1.Rice  - 46 sacks 2.Canned Sardines - 1,468 cans 3.Instant Noodles - 2,202 packs 4.Plaque,certificates and tokens  for performing barangay and galloner donors - 20 pcs</t>
  </si>
  <si>
    <t xml:space="preserve"> Tokens Given to Investors @ Samal, Bataan 10 packs - Turmeric 18 packs - Banana Chips 20 packs - Camote Chips 8 packs - Taro Chips 2 packs - Pusit 20 packs - Gorgoria 20 packs - Dilis</t>
  </si>
  <si>
    <t xml:space="preserve"> 1	 unit    KYOCERA - M2640idw Copier 			 		  10.9cm full colour touch panel display  			 		  Up to 40 pages A4 per minute 			 		  200dpi, 600dpi, 1,200dpi 			 		  50,000 pages per month 			 		  Cortex A9, 800MHz 			 		  Standard 512MB, maximum 1,536MB 			</t>
  </si>
  <si>
    <t xml:space="preserve"> 1.  500 ltrs  Diesel 2.  600  ltrs  Gasoline x-x-x-x-x</t>
  </si>
  <si>
    <t xml:space="preserve"> 1	1 UNIT	AUTOMATIC VERTICAL FORM FILL SEAL MACHINE Sealer Type: Center Seal Fill Volume: 50-200 grms/ml Product: liquid &amp; powder Bag Size: L(80-280mm) x W(40-200mm) Speed: 10-35 packs/min Power: 220V, 1ph/1.8 kW</t>
  </si>
  <si>
    <t xml:space="preserve"> Purchase Request No.: 101-2020-06-0273 NOTICE TO ALL PROVIDERS/SUPPLIERS: The Department of Information and Communications Technology (DICT), through its Bid and Awards Committee intends to procure INKS for the official use of Free WiFi for All Free Publi</t>
  </si>
  <si>
    <t xml:space="preserve"> 12000 pcs. bottled mineral water</t>
  </si>
  <si>
    <t xml:space="preserve"> Description REQUEST FOR QUOTATION The Municipality of Allacapan, through its Bids and Awards Committee (BAC), invites suppliers/distributors/contractors to submit quotation for the hereunder project: Name of Contract : Purchase of One (1) Unit non-inverte</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</si>
  <si>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</si>
  <si>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Procurement of Sixty Two (62) Pcs White Board Marker &amp; 18 LI</t>
  </si>
  <si>
    <t xml:space="preserve"> I.SITE CLEARING &amp; LAYOUT  II.IMPOUNDED TANK A.STRUCTURE EXCAVATION B.FILLING MATERIALS III.CONCRETE WORKS OF IMPOUNDED TANK CW-1.STRUCTURAL CONCRETE CW-2.FILLING MATERIALS CW-3.FORMWORKS CW-4PLUMBINGWORKS IV.TRANSMISSION LINE V.BILLBOARD CONSTRUCTION VI.F</t>
  </si>
  <si>
    <t xml:space="preserve"> BIDS AND AWARDS COMMITTEE (BAC) Email address: bacregion2@yahoo.com Telefax No.: (078) 304-0560 INVITATION TO BID ITB No.: 2020-07-24 The Department of Agriculture – Regional Field Office No. 02 (DA-RFO 02) through its Bids and Awards Committee (BAC) invi</t>
  </si>
  <si>
    <t xml:space="preserve"> Republic of the Philippines DEPARTMENT OF PUBLIC WORKS AND HIGHWAYS CAMARINES SUR SECOND DISTRICT ENGINEERING OFFICE Regional Office V Baras, Canaman, Camarines Sur INVITATION TO BID FOR  20FE0132 – CONSTRUCTION OF CLASSROOMS, CAIMA ES, LIBMANAN, CAMARINE</t>
  </si>
  <si>
    <t xml:space="preserve"> Specification -150 Sheet Auto Feeder -10 Sheet per pass via the standard entry throat -Shredder Material: Paper, Staples, Paperclips, CDs/DVDs and Credit Cards -Cutting Type: Cross Cut -Cutting Width: 4.5 x 30 mm -DIN Security Level P-4 for sensitive, con</t>
  </si>
  <si>
    <t xml:space="preserve"> ITEM NO.	ITEM DESCRIPTION							QTY.	UNIT	ESTIMATED COST              1	To Furnish Labor and Materials for Repair and Waterproofing of				1	lot	280,000.00 	Roofs at Aqua Center Gym in the Amount of ………..									 										 Project Name:		To Furnish Labor</t>
  </si>
  <si>
    <t xml:space="preserve"> Republic of the Philippines PROVINCE OF PAMPANGA City of San Fernando INVITATION TO BID NO. 2020-22 IG-BAC INVITATION TO BID FOR PURCHASE REQUEST NO. 20-0716 The Provincial Government of Pampanga (“Province”) intends to apply the following sums from the f</t>
  </si>
  <si>
    <t xml:space="preserve"> A) REQUEST FOR QUOTATION 1. 4 units Backpack MISTBLOWERS  Note: Delivery Period: Ten (10) Calendar days B) USE COMPANY LETTERHEAD FOR YOUR QUOTATION &amp; ADDRESS TO: DIR. JAMES JUPER B. AGUILAR Head, Procurement Unit Office of the President M-123 Mabini Hall</t>
  </si>
  <si>
    <t xml:space="preserve"> Food assistance to 30 barangays of this Municipality</t>
  </si>
  <si>
    <t xml:space="preserve"> 4	gals	QDE white 1	gal	Red lead primer 4	gal	Gloss latex 2	gal	Paint thinner 0.25	lit	Lamp black (acri color) 5	pcs	Spatula 5	pcs	Baby roller 5	pcs	Paint brush 2" 23	pcs	Sanding paper 2	gals	Flat latex</t>
  </si>
  <si>
    <t xml:space="preserve"> 20ID0077 	Supply and Installation of Thermoplastic Pavement Markings along Bagahupi-Babatngon-Sta. Cruz-Barugo-Carigara Rd.K0935+(-076)-K0938+700 	Traffic Engineering and Management System (inc. Road Safety Devices)	1,022,154.82	SR2020-04-004858  	94 CD	5</t>
  </si>
  <si>
    <t xml:space="preserve"> Suction Liner, Disp. 3000ml Collecting Cap. w/ Antibacterial Filter (for BICAKSILAR Suction Machine ) for OR use----------------640 qty -------------------P252.00/ea \X-X-X-X-X-X-X-X-X-X-X-X-X-X-X-X-X-X PURPOSE: For OR use. Fax your Price Quotation at Tel</t>
  </si>
  <si>
    <t xml:space="preserve"> The Kiburiao National High School - Senior High, through the General Appropriations Act, intends to apply the sum of three thousand six hundred ten pesos (3,610.00) only being the Approved Budget for the Contract to payment under the procurement of office</t>
  </si>
  <si>
    <t xml:space="preserve"> Republic of the Philippines Province of Cagayan Municipality of Solana -oOo- BIDS AND AWARDS COMMITTEE (BAC) Invitation to Bid for Improvement of Sampaguita Public Market (Comfort Room) Sampaguita, Solana, Cagayan 1.	The Municipal Government of Solana, th</t>
  </si>
  <si>
    <t xml:space="preserve"> Amount of Bid Docs 2,000.00 To all suppliers, Bid Documents are available at BAC Office on July 9, 2020 Please qoute your Lowest Price; Item No. Quantity Unit Description 1	5	boxes	Cord Clamp 2	12	rolls	        Gauze (Big) 3	30	boxes	Syringe 3cc 4	2	boxes</t>
  </si>
  <si>
    <t xml:space="preserve"> Lot 1 4 pcs. Tire 235 x 70 x R15, includes installation 1 lot Wheel alignment 4 pc. Wheel balance Lot 2 1 pc. Clutch pressure 1 pc. Clutch lining 1 set Leaf spring assy. L/R, rear 1 pc. Aircon blower 2 pc. Shock absorber FR, gas type -see attached RFQ For</t>
  </si>
  <si>
    <t xml:space="preserve"> PROJECT: PROPOSED ROOFING OF  STAGE LOCATION: BARANGAY DUNGAN APPROVED BUDGET FOR THE CONTRACT: PHP 148,888.00 SOURCE OF FUND: 10% SK FUND The contract to be performed by the successful bidder shall be specified in the Technical Quotation Form of the Bid </t>
  </si>
  <si>
    <t xml:space="preserve"> 1	Drug Testing Kits							1,097	pcs	79.00 Project Name:		for use in the Office Of the Governor/Augmentation to Support Aftercare reintegration (CSAR) Program for Drug Surrenderers							 Place of Delivery:		Provincial Governor's Office							 ABC:P86,663.</t>
  </si>
  <si>
    <t xml:space="preserve"> Requesting for Quotation (RFQ) for PR No. 2006130  Interested suppliers are invited to submit Sealed Price Quotations for the above listed items. The Request for Quotation (RFQ) for may be obtained from Mr. Albert A. Camarillo City General Services Office</t>
  </si>
  <si>
    <t xml:space="preserve"> Procurement of Long Bondpaper -  870 reams 500 sheets per ream Multipurpose, Legal Size, 70 gsm Acid Free Dust Free Trouble Free Eco-friendly Non-Glare/Eye Friendly Door to Door Delivery</t>
  </si>
  <si>
    <t xml:space="preserve"> Republic of the Philippines							 DEPARTMENT OF PUBLIC WORKS AND HIGHWAYS							 PANGASINAN IV							 DISTRICT ENGINEERING OFFICE							 REGIONAL OFFICE I							 Tuliao, Sta. Barbara, Pangasinan							 Name of Procuring Entity: PANGASINAN IV DISTRICT ENG</t>
  </si>
  <si>
    <t xml:space="preserve"> Republic of the Philippines BATANGAS STATE UNIVERSITY Batangas City REQUEST FOR QUOTATION "Procurement of Additional Laboratory and Research Equipment for EIM Department" 1. The Batangas State University (BatState U) through the Bids and Awards Committee </t>
  </si>
  <si>
    <t xml:space="preserve"> ITEM UNIT DESCRIPTION QNTY</t>
  </si>
  <si>
    <t xml:space="preserve"> FOR MAINTENANCE OF VEHICLE (CLOSE VAN)</t>
  </si>
  <si>
    <t xml:space="preserve"> Velcro Cuff Obese Size 70 x 15cm., Tubes Black---------------30 qty -------------------P2,629.00/ea ############################ PURPOSE: For use of Nursing Unit / Centralization. (3 months consumption) Fax your Price Quotation at Tel. Fax#: 426-30-45 / 9</t>
  </si>
  <si>
    <t xml:space="preserve"> PARTICULARS	DATE Pre-bid Conference @ BAC Conference Room, GSO, 1st floor, New Capitol Blg, Pigcarangan, Tubod,LDN.	July 16,  2020 @ 10:00 AM Deadline for Submission of Eligibility requirements and bidding documents for bid opening (all bids must be place</t>
  </si>
  <si>
    <t xml:space="preserve"> ten wheeler truck</t>
  </si>
  <si>
    <t xml:space="preserve"> Bureau of Fisheries and						                        Aquatic Resources - 10					ALTERNATIVE METHOD OF PROCUREMENT	                                        Macabalan, Cagayan de Oro City						                              TIN No.: 000-550-823-017						 				</t>
  </si>
  <si>
    <t xml:space="preserve"> Procurement of the following consumables: 100 reams Bond paper A4 size, 70gsm, 500pcs/ream	 20 boxes Ballpen, black, blue (Ordinary), 12pcs/box	 10 packs	White Folder,14pt. 8.5"x13" size, 100pcs/pack	 10 packs White Folder, 14pt. A4 size, 100pcs/pack	 40 </t>
  </si>
  <si>
    <t xml:space="preserve"> INVITATION TO BID FOR THE  PROCUREMENT OF SERVICES – PRINTING AND PUBLICATION OF NEWSLETTER RELEASES OF THE CITY GOVERNMENT OF BACOOR VARIOUS PROGRAMS AND ACTIVITIES OR 3RD QUARTER - CIO 1.	The City Government of Bacoor, Cavite, through the General Fund Y</t>
  </si>
  <si>
    <t xml:space="preserve"> QTY   UNIT      DESCRIPTION                          FIRE TRUCK 1	unit	     Clutch Booster Assy 		         MTS L300-NR7311 1	pc	     Fuel Filter 1	pc	     Clutch Disc 1	pc	     Caloper Bolt 		         DUMP TRUCK 2	pcs	     Tire 750 x 16#8597 		         AM</t>
  </si>
  <si>
    <t xml:space="preserve"> Republic of the Philippines					 Province of Bohol					 Municipality of Ubay					 					 Request for Quotation					 					 Standard Form Number: SF-GOOD-60					  Revised on: May 24, 2004				Date: 	___________ Standard Form Title: Request for Quotation				Qu</t>
  </si>
  <si>
    <t xml:space="preserve"> Continuation Development Center</t>
  </si>
  <si>
    <t xml:space="preserve"> Requesting for Quotation (RFQ) for PR No. 2006267  Interested suppliers are invited to submit Sealed Price Quotations for the above listed items. The Request for Quotation (RFQ) for may be obtained from Mr. Albert A. Camarillo City General Services Office</t>
  </si>
  <si>
    <t xml:space="preserve"> Supply and Delivery of Hardware Materials for the Re-Piping of Water System of SDSSU San Miguel Campus  Please see attached Request for Quotation (RFQ) Lot A- P 426,660.00 Lot B-   191,997.00</t>
  </si>
  <si>
    <t xml:space="preserve"> SCOPE OF WORK (PHASE 1) Scope of work covers supply of labor, engineering services, tools and equipment, test measuring devices and other associated materials required to properly conduct the following: -Lay outing, founding concreting, mounting and insta</t>
  </si>
  <si>
    <t xml:space="preserve"> Republic of the Philippines MUNICIPALITY OF BUENAVISTA INVITATION TO BID FOR FABRICATION OF CABINETS AND SHELVES AT MUNICIPAL HEALTH OFFICE    1.	The Local Government Unit of Buenavista, Marinduque through the fund from the Maternal Care Package CY 2020 i</t>
  </si>
  <si>
    <t xml:space="preserve"> 9 units Non-Contract Thermometer &amp; other items, CHO - Items use in the Isolation Area for the Persons Under Monitoring (PUM)</t>
  </si>
  <si>
    <t xml:space="preserve"> REQUEST FOR QUOTATION Purchase of Plumbing / Electrical Supplies and Materials for the Water / Electrical Supply of Bucit The Bicol University, through the Corporate Budget for the contract approved by the Board of Regents intends to apply the sum of One </t>
  </si>
  <si>
    <t xml:space="preserve"> The Department of Agriculture invites interested suppliers to submit quotations/proposals for the hereunder requirement: REPLACEMENT OF WORN-OUT TIRES OF NISSAN BUS WITH PLATE NO. AYP-169	 6	pcs	Tires 12R 225 18PR w/ free mounting and balancing 	 GRAND TO</t>
  </si>
  <si>
    <t xml:space="preserve"> Installation of Solar Streetlights at Brgy. Palaris, Asingan, Pangasinan. Pre-Bid Conference: July 10, 2020 at 9:30 A.M. at the Conference Room Submission/Receipt/Opening of Bids :  July 22, 2020 at 9:30 AM at the Conference Room of the Municipal Hall of </t>
  </si>
  <si>
    <t xml:space="preserve"> CEILING WORKS (removal,repair &amp; replacement)	 HARDIFLEX (3.5mmx2.4mmx1.2m)	 DOUBLE FURRING CHANNEL (12mmx38mmx5.05m)	 CARRYING CHANNEL 12mmx38mmx3.0m	 WALL ANGLE 25mmx25mmx3.0m	 W-CLIP (double)	 BLIND RIVETS 1/8X3/8 (4-4)	 EXPANSION SHIELD 3/8"	 THREADED </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</si>
  <si>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</si>
  <si>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1 set Long table (8 seater)</t>
  </si>
  <si>
    <t xml:space="preserve"> 2	units	System Unit 		ROG Strix GL10CS-PH002D 		 - intel Core i5 9400 		 - 2.9GHZ up to 4.1GHz 		 - 8GB DDR4 Memory 		 - NVIDIA GeForce GT1030 2GB 1HDMI, 1DVI 		 - 1TB Hardrive + 128GB M.2 SSD 		 - wifi/bluetooth 		 - windows 10 OS 		 - Mouse &amp; keyboard 3</t>
  </si>
  <si>
    <t xml:space="preserve"> Republic of the Philippines CITY OF MALABON Metro Manila BIDS AND AWARDS COMMITTEE I N V I T A T I O N     T O     B I D PRINTING SERVICES, SUPPLY AND DELIVERY OF PLASTIC ENVELOPES  AND PHOTOCOPIER MACHINE FOR THE PROJECT “HOME-BASED  LEARNING THROUGH MOD</t>
  </si>
  <si>
    <t xml:space="preserve"> Supply &amp; delivery of construction materials for the Construction of 3-units Spillway, Brgy. San Isidro, Rosario, Batangas</t>
  </si>
  <si>
    <t xml:space="preserve"> Rpr &amp; Maint Transportation Equip-Motor Vehicles</t>
  </si>
  <si>
    <t xml:space="preserve"> 1 Unit , Refrigerator 7 cu.ft, 14,900.00 1 Piece, Executive Table, Php 14,800.00 		Size: 1800mm L x 800mm D x 750mm Ht	 3 Piece, Office Chair, Php 22,500.00 		with arm rest, color:black	 2 Piece, Office Table, Php 17,000.00 		4 ft x 2 ft x 2.5ft</t>
  </si>
  <si>
    <t xml:space="preserve"> Rehabilitation/Improvement of FRM Sagap FMR PCCP/Stone Masory/Excavation</t>
  </si>
  <si>
    <t xml:space="preserve"> Please see attached RFQ and TOR</t>
  </si>
  <si>
    <t xml:space="preserve"> 1 30 SHT/S PLYWOOD - ORDINARY 10.0mm.,4'x8' 2 2 KG/S NAILS - CONCRETE # 4" 3 2 KG/S NAILS - CONCRETE #3" 4 30 KG/S. CWN - #4" 5 20 KG/S. CWN - #2 1/2" 6 6 KG/S. CWN - #1" 7 10 ROLL/S NYLON STRING - . 8 20 LGHT/S G.I. PIPE - #1 1/2"x6.0m.,Sch.20 9 3 LGTH/S</t>
  </si>
  <si>
    <t xml:space="preserve"> DIESEL</t>
  </si>
  <si>
    <t xml:space="preserve"> Purchase of Office Air conditioning System</t>
  </si>
  <si>
    <t xml:space="preserve"> Purchase of CLEC2 Equipment for Monitoring and Documentation</t>
  </si>
  <si>
    <t xml:space="preserve"> REQUEST FOR QUOTATION											 											 RFQ No.		SVP 20-0563				Date				May 06, 2020	 PR Reference		100-20-04-056				Implementing Office				City Admin Office	 Closing Date and Time					May 14, 2020		,5PM				 Designated Places of Submission (Bid Box D</t>
  </si>
  <si>
    <t xml:space="preserve"> Republic of the Philippines CENTRAL BICOL STATE UNIVERSITY OF AGRICULTURE-SIPOCOT Impig, Sipocot, Camarines Sur INVITATION TO BID FOR Supply and Delivery of I.T Equipment and Peripherals (Second Publication) 1.	The CENTRAL BICOL STATE UNIVERSITY OF AGRICU</t>
  </si>
  <si>
    <t xml:space="preserve"> 1 5 REAM/S PAPER - BOOK LEGAL,216MMX330MM(8-1/2"X13"),MIN OF 70GSM 2 3 REAM/S PAPER - MIMEO, GW, (NEWSPRINT) LEGAL, 216MMx330MM (8-1/2"x13"), 60GSM 3 1 ROLL LAMINATING FILM - 3" WIDE, 250MIC. 4 1 PC/S MAGAZINE ORGANIZER 5 6 PAD/S STICK NOTE PAD - (2" X 2"</t>
  </si>
  <si>
    <t xml:space="preserve"> 4 rolls HDPE PIPE 2''                                                       3 rolls HDPE PIPE 1'' 60 mtrs HDPE PIPE 3/4''                                              555 mtrs HDPE PIPE 1/2'' 4 pcs PE MALE ADAPTOR 1/2''                                    </t>
  </si>
  <si>
    <t xml:space="preserve"> Preventive Maintenance Services for Ford Armored Truck unit 590, per BSP TOR</t>
  </si>
  <si>
    <t xml:space="preserve"> TITLE: PROCUREMENT OF VEHICLE ACCESSORIES			 DEPARTMENT: GENERAL SERVICES OFFICE			 			 ITEM NO.	QTY	UNIT	ITEM DESCRIPTION 1	2	pcs	3SM ENGINEERING GRADE REFLECTIVE SHEETING 			FOR TWO (2) UNITS AMBULANCE 			 ABC: 85,600.00</t>
  </si>
  <si>
    <t xml:space="preserve"> Training Expense-</t>
  </si>
  <si>
    <t xml:space="preserve"> Procurement of Oscilloscopes 1. Oscilloscopes		Bandwidth : 200 MHz							   Channels: 4							   Real-time sampling rate: 1 GSa/s							   Memory depth: 14 Mpts/CH (Single-Channel); 7 Mpts/CH (Duall Channel)			   Waveform capture rate: 400,000 wfms/s (Seq</t>
  </si>
  <si>
    <t xml:space="preserve"> Bicol Medical Center Concepcion Pequeña, Naga City, 4400 (0998-247-0239/0906-256-9238          E-mail Address: bmc.bacoffice@gmail.com INIVITATION TO BID PROCUREMENT OF HOSPITAL BEDS  TB No. 2020-18 1.	The BICOL MEDICAL CENTER, through INCOME/HFEP 2019/SA</t>
  </si>
  <si>
    <t xml:space="preserve"> Requesting for Quotation (RFQ) for PR No. 2006285  Interested suppliers are invited to submit Sealed Price Quotations for the above listed items. The Request for Quotation (RFQ) for may be obtained from Mr. Albert A. Camarillo City General Services Office</t>
  </si>
  <si>
    <t xml:space="preserve"> For the supply and delivery of: 20	colony	Native Bees (Stingless Bees) 			 Note:			 To be delivered at NFRRDC, Milagros, Masbate</t>
  </si>
  <si>
    <t xml:space="preserve"> 1 Lot Supply and Delivery of  of IT Equipment IT Equipment for the BSU-International Relation Office (IRO) ABC: 294,300.00  2 unit Laptops brand new , 4 cores, 6 threads; screen sizeof 13.3 inches maximum   1 unit Desktop brand new, 4  cores, 6 threads; s</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</si>
  <si>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</si>
  <si>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Republic of the Philippines Province of Cagayan Municipality of Sta. Teresita BARANGAY ARIDOWEN INVITATION TO BID FOR THE SUPPLY AND DELIVERY OF MATERIALS AND LABOR FOR THE REHAB/IMPROV. OF DRAINAGE CANAL UNDER ITB No. CW006-2020 The LGU Aridowen, Sta. Te</t>
  </si>
  <si>
    <t xml:space="preserve"> 1.Jetmatic Pump - 10 units 2.1 1/4" x 6.00 G.I Pipe,Sch.40 - 20 length 3.#3/4" Teflon - 10 rolls 4.1 1/4" France Coupling - 10 pcs</t>
  </si>
  <si>
    <t xml:space="preserve"> PROCUREMENT OF ANIMAL / ZOOLOGICAL SUPPLIES</t>
  </si>
  <si>
    <t xml:space="preserve"> PURCHASE AND DELIVERY OF MATERIALS FOR THE CONSTRUCTION OF TAMBUNAC MP BUILDING (COVERED GYM) PHASE IV, BRGY. TAMBUNAC DINGLE, ILOILO</t>
  </si>
  <si>
    <t xml:space="preserve"> ALBAY 3RD DISTRICT ENGINEERING OFFICE																																																									 Paulog, Ligao City																																																									 																																																									 																										</t>
  </si>
  <si>
    <t xml:space="preserve"> pages	Kinder               	29340 pages	One                     	183120 pages	Two                     	214149 pages	Three                    	189685 pages	Four                       	180072 pages	Five                       	188442 pages	Six               </t>
  </si>
  <si>
    <t xml:space="preserve"> Republic of the Philippines MUNICIPALITY OF SANTA CRUZ Province of Marinduque BARANGAY MAHARLIKA Office of the Bids and Awards INVITATION TO BID FOR  PURCHASE OF XEROX MACHINE (ITB No.: 2020-003) 1.	The Barangay Maharlika, Sta. Cruz, Marinduque, through t</t>
  </si>
  <si>
    <t xml:space="preserve"> Purchase of the materials for the Construction of Drainage Canal of Barangay 21 Gingoog City Misamis Oriental.</t>
  </si>
  <si>
    <t xml:space="preserve"> PROCUREMENT OF ONE HUNDRED SIXTY (160) BAGS OF RICE (25 KILOS)</t>
  </si>
  <si>
    <t xml:space="preserve"> Republic of the Philippines MUNICIPALITY OF SANTA CRUZ Province of Marinduque BARANGAY MAHARLIKA Office of the Bids and Awards INVITATION TO BID FOR  Purchase of Air-condition with Inverter (ITB No.: 2020-002) 1.	The Barangay Maharlika, Sta. Cruz, Marindu</t>
  </si>
  <si>
    <t xml:space="preserve"> OUTSOURCING OF IMAGING SERVICES FOR VULNERABLE GROUPS THROUGH AN ORDERING AGREEMENT - Order of payment for Bid Docs will be available at GSD-Head Office @ 10th Floor Makati City Hall Bldg. 2.  Look for Mr. Reden Villanueva. - A  complete set of Bidding Do</t>
  </si>
  <si>
    <t xml:space="preserve"> Unit 	Item Description	Quantity 		 meters	Hose black 1/2 size	33 length	PVC pipe (blue) 1/2	30 pcs.	PJE-T connector 1/2 size	10 pcs.	PVC-T coupling 1/2 size	25 pcs.	PVC- female connector 1/2 size	25 pcs.	Faucet	5 cans	Solvent (big cans)	2 pcs.	Tiplon	3 pc</t>
  </si>
  <si>
    <t xml:space="preserve"> The National Irrigation Administration-Regional Office 12, Villarica, Midsayap, Cotabato, through the Fund 501 has the Approved Budget for the Contract (ABC) amounting to EIGHTY TWO THOUSAND PESOS (P 82,000). Quotation received in excess of the ABC shall </t>
  </si>
  <si>
    <t xml:space="preserve"> July 1, 2020 REQUEST FOR QUOTATION (RFQ) BIOLOGICAL SAFETY CABINET CLASS II 1.	The Batangas Medical Center hereinafter referred to as the “Purchaser” now request for submission of price proposal for the procurement of the aforesaid item described in the T</t>
  </si>
  <si>
    <t xml:space="preserve"> Installation of Artesian Well</t>
  </si>
  <si>
    <t xml:space="preserve"> Storage Facility Rental August to December 2020</t>
  </si>
  <si>
    <t xml:space="preserve"> VARIOUS SCHOOLS OF MALITA, DAVAO OCCIDENTAL</t>
  </si>
  <si>
    <t xml:space="preserve"> Please see attached Request for Quotation with Annex 'A'</t>
  </si>
  <si>
    <t xml:space="preserve"> Republic of the Philippines Province of Northern Samar Municipality of Mondragon The Local Goverment Unit (LGU), through the Bids and Award Committee (BAC), invites contractors /manufacturers / distributors to apply for eligibility and to submit quotation</t>
  </si>
  <si>
    <t xml:space="preserve"> 1	cu.m	15.31	Gravel 2	cu.m	5.05	Sand 3	bags	92.17	Portland cement 4	kg	4	Te wire #16 5	bd.ft	89.01	Lumber 2x2x10 6	kg	5	CWN assorted 7	kg	15	Welding rod 8	pcs	16	16mm dia anchor bolt 9	pcs	2	300mm x 12mm j-bolt 10	gal	2	Primer epoxy with catalyst 11	gal	2</t>
  </si>
  <si>
    <t xml:space="preserve"> 3       shts         steel plate 6mm             13,575.00          40,725.00 1       shts         steel palte 4mm             11,500.00          11,500.00 1       box         welding rod #12             4,850.00            4,850.00 1       length      c-</t>
  </si>
  <si>
    <t xml:space="preserve"> Requesting for Quotation (RFQ) for PR No. 2006249  Interested suppliers are invited to submit Sealed Price Quotations for the above listed items. The Request for Quotation (RFQ) for may be obtained from Mr. Albert A. Camarillo City General Services Office</t>
  </si>
  <si>
    <t xml:space="preserve"> Please see associated documents. Please submit your quotation until July 6, 2020 at WPU-Procurement Office, San Juan, Aborlan, Palawan or email to us at wpu.proc@gmail.com</t>
  </si>
  <si>
    <t xml:space="preserve"> Republic of the Philippines DEPARTMENT OF PUBLIC WORKS AND HIGHWAYS CAMARINES SUR SECOND DISTRICT ENGINEERING OFFICE Regional Office V Baras, Canaman, Camarines Sur INVITATION TO BID FOR  20FE0133 – CONSTRUCTION OF CLASSROOMS, VILLA SOCORRO ES, LIBMANAN, </t>
  </si>
  <si>
    <t xml:space="preserve"> 1	40	pails	Flat Latex 			 2	50	bags	Skim Coat			 3	32	pails	Gloss White			 4	40	pcs.	Roller 7"			 5	55	pcs.	Paint Brush 2"			 6	60	pcs.	Sandpaper #100			 7	60	pcs.	Sandpaper #120			 8	20	gal.	Concrete Neutralizer			 9	15	pcs.	Spatula			 10	48	ltr.	Raw Sie</t>
  </si>
  <si>
    <t xml:space="preserve"> Gigli Saw Wire, Fines 6 Twisted Wires, 5 Wires/Tube, 500mm 20 (for OR s)----------------4 qty -----P10,582.00/pc Aneurysim Clip STR 7MM, Yasargil Gil Perm STD (for OR use)--------------------- 2 qty ---------P16,800.00/pc Clip STR 9MM, Yasargil Perm STD--</t>
  </si>
  <si>
    <t xml:space="preserve"> Location				: Opol, Misamis Oriental		 Total Approved Budget for the  Contract (ABC)	: Three Hundred Ninety Nine Thousand Thirteen Pesos and 59/100 Only (Php 399,013.59) Delivery Period				: 30 Calendar Days</t>
  </si>
  <si>
    <t xml:space="preserve"> FAB./INSTALLATION OF ST. LIGHTS (18UNITS) BRGY. WIDE, BRGY. STO. CRISTO CSJDM BULACAN</t>
  </si>
  <si>
    <t xml:space="preserve"> ITEM NO.	ITEM &amp; DESCRIPTION				                               	QTY.	         UoM 1	Lift Cylinder packing seal kit -Loader						        2	kit 2	Bucket Cylinder packing seal kit -Loader						2	kit 3	Stabilizer Cylinder packing seal Kit-Backhoe						2	kit 4	</t>
  </si>
  <si>
    <t xml:space="preserve"> Water Dispenser 1 Unit Pls. submit your quotation thru email:  mi_lynsn@yahoo.com x-x-x-x-x-x-x-x-x-x-x-x-x-x-x-x-x Total ABC  (in PhP)  6,500.00</t>
  </si>
  <si>
    <t xml:space="preserve"> 556 packs Battery, Dry Cell, AAA (2pcs. per Blister pack)</t>
  </si>
  <si>
    <t xml:space="preserve"> see attached documents.</t>
  </si>
  <si>
    <t xml:space="preserve"> Semi Expendable Machinery &amp; Equip-Books</t>
  </si>
  <si>
    <t xml:space="preserve"> The SANGGUNIANG BARANGAY OF BARANGAY POBLACION IV, TANAUAN CITY, BATANGAS, through the Barangay Operating Budget 2020 intends to apply the sum of Thirty Thousand Eight Hundred Pesos Only (Php 30,800.00) being the Approved Budget of the Contract (ABC) to p</t>
  </si>
  <si>
    <t xml:space="preserve"> Republic of the Philippines Cordillera Administrative Region Province of Kalinga B A L B A L A N MUNICIPALITY OF BALBALAN Invitation to Apply for Eligibility and to Bid for the REHABILITATION OF GAWAAN SUSPENSION FOOTBRIDGE, SALTAN, GAWAAN, BALBALAN, KALI</t>
  </si>
  <si>
    <t xml:space="preserve"> Republic of the Philippines DEPARTMENT OF PUBLIC WORKS AND HIGHWAYS CAMARINES SUR SECOND DISTRICT ENGINEERING OFFICE Regional Office V Baras, Canaman, Camarines Sur INVITATION TO BID FOR  20FE0134 – CONSTRUCTION OF CLASSROOMS, PINAMASAGAN NATIONAL HIGH SC</t>
  </si>
  <si>
    <t xml:space="preserve"> To purchase for brgy. use</t>
  </si>
  <si>
    <t xml:space="preserve"> This project includes the following: 4 units Portable footbath, stainless steel, 24x24x6 inch 1 bucket Chlorine 30 liters Hand Sanitizer 20 gals. Alcohol, 70% Isopropyl 10 pcs Cloth Rug Please submit your quotation until July 6, 2020 at WPU-Procurement Of</t>
  </si>
  <si>
    <t xml:space="preserve"> TONER BROTHER MFC-L5900DW Printer Ink Toner Cartridge 1.	Black 2.	Cyan 3.	Magenta 4.	Yellow Specifications: •	Brand: HP •	Model: 416A Printer Ink Toner Cartridge 1.	Black 2.	Cyan 3.	Magenta 4.	Yellow Specifications: •	Brand: HP •	Model: 410A</t>
  </si>
  <si>
    <t xml:space="preserve"> The Kiburiao National High School - Senior High, through the General Appropriations Act, intends to apply the sum of seven thousand seven hundred thirty five pesos (7,735.00) only being the Approved Budget for the Contract to payment under the procurement</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</si>
  <si>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</si>
  <si>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Item No. 	Item Description	QTY.	Unit	Unit Price	Total Price 	Purchase of Snacks	1,200	pax		 	Menu:				 	Special bam-i				 	2 pcs budbud				 	special torta				 	bottled water 500 ml				 	Note: placed in styro with fork				 	xxxxxxxxxxxnothing followsxxxxxx</t>
  </si>
  <si>
    <t xml:space="preserve"> Maintenance of Municipal Equipement at Motorpool 1 Drum ATF Drum 1 Drum Hyudraulic Oil 10</t>
  </si>
  <si>
    <t xml:space="preserve"> Supply and delivery of Pipettor/Pipette Controller for viral vaccine production laboratory use Qty.	Unit	Item/Description				ABC 						 2	units	Pipettor/Pipette Controller 				 61,120.00  		Specifications:				 		Ergonomic Design: 6.7 oz (190g) 2-button in</t>
  </si>
  <si>
    <t xml:space="preserve"> Upo/Tambuli Ampalaya/Galaxy 50g Beans/Sandigan Eggplant/Morena 875 seeds Cucumber/Big C Squash/Suprema (small pack)</t>
  </si>
  <si>
    <t xml:space="preserve"> CONCRETING OF BRGY. ROAD @ SITO GITNA/TIALO, BRGY. STO. CRISTO CSJDM BUL.</t>
  </si>
  <si>
    <t xml:space="preserve"> The Department of Agrarian Reform – Province of Ifugao (DAR-Ifugao) through its Bids and Awards Committee (BAC), intends to undertake a procurement transaction for Live Poultry Animals and Agricultural Chemicals amounting to Two Hundred Twenty Five Thousa</t>
  </si>
  <si>
    <t xml:space="preserve"> Supply &amp; Delivery of: 1/2" Brass Check Valve swing type &amp; 1/2"  Brass Ball valve with lock wing</t>
  </si>
  <si>
    <t xml:space="preserve"> Vehicles repair and Maintenance</t>
  </si>
  <si>
    <t xml:space="preserve"> IMPROVEMENT OF PATHWALK/WAITING SHED @ SCES, BRGY. STO. CRISTO CSJDM BUL.</t>
  </si>
  <si>
    <t xml:space="preserve"> 1	 pc 	 Sprayer</t>
  </si>
  <si>
    <t xml:space="preserve"> PROCUREMENT OF LOGISTIC SUPPLIES FOR RABIES CONTROL PROGRAM OF THE MUNICIPAL AGRICULTURE OFFICE FOR THE 1ST QUARTER OF THE YR 2020 (re-post)</t>
  </si>
  <si>
    <t xml:space="preserve"> REPAIR &amp; MAINTENANCE OF TOYOYA HI-LUX (SKJ-950) - PNP (NP-20-0981) 1	1	lot	Supply of labor and materials for 			the repair of Toyota Hi-Lux (SKJ-950) 			 			 Replace Clutch lining 			 Replace Clutch pressure 			 Replace release bearing 			 Replace pilot b</t>
  </si>
  <si>
    <t xml:space="preserve"> 1       set      8-channel 2MP, 2TB HDD Monitor with installation services 3       set      4-channel 2MP, 2TB HDD Monitor with installation services</t>
  </si>
  <si>
    <t xml:space="preserve"> Flask, Erlenmeyer, Narrow-Mouth, Graduated, Glass, 2000-ML Capacity, Autoclave For One (1) year DOP consumption. Email your quotation at bacveterans@gmail.com for inquiries pls. call at 426-3045 or 927-6426 local 2561. Please indicate the brand name, comp</t>
  </si>
  <si>
    <t xml:space="preserve"> PROCUREMENT OF LABOR AND MATERIALS FOR INSTALLATION OF CARPET AT ACWD SERVER ROOM/COA ROOM SPECIFICATIONS: CARPET SIZE: 48 SQ. M.  COLOR: GRAY NOTES: 1. Price quotations must be valid for a period of thirty (30) calendar days from the date of submission. </t>
  </si>
  <si>
    <t xml:space="preserve"> Project Construction</t>
  </si>
  <si>
    <t xml:space="preserve"> 1	20 PCS	STAINLESS MILK PAILS W/O COVER 10L CAP 2	10 PCS	STAINLESS MILK PAILS W/O COVER 15L CAP</t>
  </si>
  <si>
    <t xml:space="preserve"> The SANGGUNIANG BARANGAY OF BARANGAY POBLACION IV, TANAUAN CITY, BATANGAS, through the Barangay Operating Budget 2020 intends to apply the sum of Thirty Thousand  Pesos Only (Php 30,000.00) being the Approved Budget of the Contract (ABC) to payment under </t>
  </si>
  <si>
    <t xml:space="preserve"> Republic of the Philippines					 Province of Pangasinan 					 Municipality of Bolinao					 					 REQUEST FOR QUOTATION (RFQ)					 					 Company Name:  				Date:	 					 Address:					 					       Please quote your lowest price on the item/s listed below, su</t>
  </si>
  <si>
    <t xml:space="preserve"> Consulting Services  for Technical Benchmarks on Food Processing Industries namely: Meat Processing, Baked Products, Fruit Processing, Dried Fish Processing, and Cacao Processing; Identify the process and define the technology or equipment requirement bas</t>
  </si>
  <si>
    <t xml:space="preserve"> Wheelchair to be distributed for person with Disability in the Municipality of Maco</t>
  </si>
  <si>
    <t xml:space="preserve"> Medical Supplies, Drug and Medicines</t>
  </si>
  <si>
    <t xml:space="preserve"> Provision of 160 pax Meals and Snacks for the conduct of Corn-Livestock Integrated Farming System Training cum Village Type Feed Mixing and Silage Processing (Refocus) 	Lot 1	Batch 1: Ilocos Norte		; Php35,000.00  		Day 1		 40	pax	AM Snacks : pansit bihon</t>
  </si>
  <si>
    <t xml:space="preserve"> RFQ for Layer Feeds(crumble) AND booster feeds(mash/crumble) please see attached file...</t>
  </si>
  <si>
    <t xml:space="preserve"> Kleinsasser Scissors,Curved Right, Working Length 23cms------------------------- 1 qty -------------P63,690.00/unit Kleinsasser Scissors,Curved Left, Working Length 23cms--------------------------- 1 qty-------------P63,690.00/unit NE Fiber Optic Light Ca</t>
  </si>
  <si>
    <t xml:space="preserve"> Extension of Kitchen and Laundry Area at 3-Bedroom Single-Detached (Formerly Espiritu's Unit) at PhilRice Central Experiment Station (PR#2020-06-1296) SCOPE OF WORKS AND FEATURES		 		TOTAL AREA = ±7.44 sq.m 		SITE WORKS 	_	Excavation Work 		FLOOR FINISH 	</t>
  </si>
  <si>
    <t xml:space="preserve"> 1. All-in-One LAN/WLAN Capable Printer 2. All-in-One LAN/WLAN Capable Mobile Printer</t>
  </si>
  <si>
    <t xml:space="preserve"> Please see attached Request for Quotation (RFQ)</t>
  </si>
  <si>
    <t xml:space="preserve"> The Kiburiao National High School - Senior High, through the General Appropriations Act, intends to apply the sum of twenty five thousand two hundred ten pesos (25,210.00) only being the Approved Budget for the Contract to payment under the procurement of</t>
  </si>
  <si>
    <t xml:space="preserve"> Installation and distribution of pipes.</t>
  </si>
  <si>
    <t xml:space="preserve"> Kleinsasser Cutting Forceps w/ Rnd 2mm Cupped Jaws, Curved Length, Working Length 23cms-------------------------------1 qty -----------P71,940.00/unit Kleinsasser Cutting Forceps w/ Rnd 2mm Cupped Jaws, Curved Right, Working Length 23cms------------------</t>
  </si>
  <si>
    <t xml:space="preserve"> 4 unit     Digital Duplicator  Specifications: Master Making/Printing Methods	        High-speed digital master-making/Fully automatic printing	 Original Type	                                Book or sheet                           Quick Master        - Ap</t>
  </si>
  <si>
    <t xml:space="preserve"> RCC pipes (910mm Ø)		pcs	14</t>
  </si>
  <si>
    <t xml:space="preserve"> VEHICLE MAINTENANCE (URVAN)</t>
  </si>
  <si>
    <t xml:space="preserve"> PURCHASE AND DELIVERY OF MATERIALS FOR THE CONSTRUCTION OF ALEGRIA MP BUILDING (COVERED GYM) PHASE III, BRGY. ALEGRIA DINGLE, ILOILO</t>
  </si>
  <si>
    <t xml:space="preserve"> AUDIO VISUAL INCLUDING INSTALLATION 1.Wall Mount Bracket (75 inches full motion frame) - 1 set 2.Smart TV 75inches (Sony Bravia KD-75x8000G) - 1 set 3.Sound System/Multimedia Speaker System with 2-microphones &amp; Speaker    Wire/cable/plugs - 1 set</t>
  </si>
  <si>
    <t xml:space="preserve"> PROCUREMENT OF OFFICE EQUIPMENT FOR THE LOCAL GOVERNMENT UNIT COMPUTERIZATION PROGRAM</t>
  </si>
  <si>
    <t xml:space="preserve"> globe 36 pcs TM 13 pcs Smart 22 pcs TNT 3 pcs</t>
  </si>
  <si>
    <t xml:space="preserve"> Republic of the Philippines DEPARTMENT OF PUBLIC WORKS AND HIGHWAYS CAMARINES SUR SECOND DISTRICT ENGINEERING OFFICE Regional Office V Baras, Canaman, Camarines Sur INVITATION TO BID FOR  20FE0135 – CONSTRUCTION OF CLASSROOMS, GÑARAN ES, SAN FERNANDO, CAM</t>
  </si>
  <si>
    <t xml:space="preserve"> I. REMOVAL OF EXISTING STRUCTURE II. STEEL WORKS/PAINTING III. SPL. CONSTRUCTION SAFETY  &amp; HEALTH</t>
  </si>
  <si>
    <t xml:space="preserve"> Number: 	Quantity: 	Unit	PPMP_Code	PPMP_Code1	PPMP_Code2	PPMP_Remarks	Particulars	StockNo	Unit_Cost	Estimated_Cost 							SUPPLY AND DELIVERY OF CORN SEEDS			 										 1	35	BAG					HYBRID YELLOW CORN (Genetically Modified) @ 9 kgs/bag, two stack traits </t>
  </si>
  <si>
    <t xml:space="preserve"> This project covers the repainting of Treasury, Accounting, Budget and Assessor's Office.</t>
  </si>
  <si>
    <t xml:space="preserve"> Insulated Cannula for Suction and Coagulation, O.D. 3MM-------------------1 qty --------------------P19,250.00/unit Kleinsasser Needle Holder w/ Rachet Working Length 23cms---------------- 1 qty -------------------P97,570.00/unit Biopsy Forceps, Oval, Cup</t>
  </si>
  <si>
    <t xml:space="preserve"> Republic of the Philippines Province of South Cotabato City of Koronadal BIDS AND AWARDS COMMITTEE Invitation to Bid for the Construction of Lined Canal, Purok Bagong Sikat, Brgy. General Paulino Santos (GPS), City of Koronadal 1.	The City Government of K</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</si>
  <si>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</si>
  <si>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Republic of the Philippines Cordillera Administrative Region Province of Kalinga B A L B A L A N MUNICIPALITY OF BALBALAN Invitation to Apply for Eligibility and to Bid for REPLACEMENT OF KACHILAN SLAB-FOOT-BRIDGE (POSA), POBLACION, KACHILAN, BALBALAN, KA</t>
  </si>
  <si>
    <t xml:space="preserve"> Construction of evacuation center</t>
  </si>
  <si>
    <t xml:space="preserve"> WIFI Duplex All-in-One Ink Tank Computer Printer with ADF.									 SPECIFICATIONS:									 Printer Type:   Print, Scan, Copy with ADF									 PRINTING METHOD									 Print Method:  Precision Core Print head									 Minimum Ink Droplet Volume:  3.3 pl</t>
  </si>
  <si>
    <t xml:space="preserve"> Office Supplies Expense</t>
  </si>
  <si>
    <t xml:space="preserve"> Requesting for Quotation (RFQ) for PR No. 2006231  Interested suppliers are invited to submit Sealed Price Quotations for the above listed items. The Request for Quotation (RFQ) for may be obtained from Mr. Albert A. Camarillo City General Services Office</t>
  </si>
  <si>
    <t xml:space="preserve"> The SANGGUNIANG BARANGAY OF BARANGAY SALA, TANAUAN CITY, BATANGAS, through the Barangay Operating Budget 2020 intends to apply the sum of Fifteen Thousand  Pesos Only (Php 15,000.00) being the Approved Budget of the Contract (ABC) to payment under the Pro</t>
  </si>
  <si>
    <t xml:space="preserve"> 400 SETS MATERNAL KIT INCLUSION: BLANKET (DOUBLE) TOOTHPASTE TOOTHBRUSH WIPES SOAP XX X X X X X X X X X X X X</t>
  </si>
  <si>
    <t xml:space="preserve"> "ANNEX A" Request for Quotation								 							Date :	07/01/2020 								  To all Eligible Suppliers :								 	Please quote your lowest price inclusive of VAT on the items/projects listed below.Lots listed below, subject to the 							 Terms and Conditio</t>
  </si>
  <si>
    <t xml:space="preserve"> Republic of the Philippines MUNICIPALITY OF BUENAVISTA INVITATION TO BID FOR SUPPLY AND DELIVERY OF MATERIALS FOR INSTALLATION OF SOLAR PANEL AT OPERATION CENTER AND REPAIR AND INSTALLATION OF VHF REPEATER TOWER    1.	The Local Government Unit of Buenavis</t>
  </si>
  <si>
    <t xml:space="preserve"> Rental of truck to haul white sand to be used as filler to the newly built Porac PNP Station located at Brgy Jalung Porac Pampanga 55 Trips Rental Truck</t>
  </si>
  <si>
    <t xml:space="preserve"> Republic of the Philippines DEPARTMENT OF PUBLIC WORKS AND HIGHWAYS CAMARINES SUR SECOND DISTRICT ENGINEERING OFFICE Regional Office V Baras, Canaman, Camarines Sur INVITATION TO BID FOR  20FE0136 – CONSTRUCTION OF CLASSROOMS, CALASCAGAS PS, SAN FERNANDO,</t>
  </si>
  <si>
    <t xml:space="preserve"> PROCUREMENT OF ASSORTED ITEMS FOR MEALS AND SNACKS DURING THE REGULAR MEETING OF THE MUNICIPAL OFFICIALS AND DEPUTY MAYORS</t>
  </si>
  <si>
    <t xml:space="preserve"> ITEM NO. QUANTITY UNIT ITEM DESCRIPTION 1 15 PCS. BRASS WATER METER WITH T.P. 3/4" 2 2 ROLLS P.E. TUBING 3/3X150M SDR II ISO BLUE 3 12 PCS ANGLE VALVE 3/4" (FIXED TYPE) 4 30 PCS G.I. NIPPLE 3/4"X8" SCH 40 5 70 PCS P.E. FEMALE ELBOW 3/4" 6 60 PCS. P.E. MAL</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</si>
  <si>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</si>
  <si>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Invitation to Bid The Barangay Camangaan, Municipality of San Nicolas Pangasinan through its Bids and Award Committee(BAC), invites contractors registered with and classfied by the Philgeps to apply for the eligibility and if found eligible, to bid for th</t>
  </si>
  <si>
    <t xml:space="preserve"> 70 set Bedding - bed sheet</t>
  </si>
  <si>
    <t xml:space="preserve"> Rehabilitation/repair of 27 units existing streetlights globe type at sitio Urbano, Hi-way West, Provincial, Kabilang Ilog &amp; KM 8 &amp; installation of additional 3 units streetlights at sitio Corehousing</t>
  </si>
  <si>
    <t xml:space="preserve"> for use of different vehicles, equipment, machines and water transportation powned by the LGU of Guiuan 4,250 liters Diesel fuel 650  liters premium gasoline 8 liters ATF oil 5 cont.  Grease</t>
  </si>
  <si>
    <t xml:space="preserve"> Augmentation Bantay Bayan Outpost</t>
  </si>
  <si>
    <t xml:space="preserve"> 90 pax AM snacks 90 pax PM snacks 90 pax lunch</t>
  </si>
  <si>
    <t xml:space="preserve"> Portland cement		Bags	193 16mm Ø x6.00 DSB		Pcs	4 10mm Ø x6.00 DSB		Pcs	41 CWN 3”				Kls	5 CWN 2 ½ 				Kls	1 Hacksaw blade			Pcs	4 12mm Øx6.00m DSB		Pcs	24 Marine plywood ¼ 		Pcs	4 CWN 4”				Kls	4 CWN 1”	                        Kls	1 PVC pipe 2”	         </t>
  </si>
  <si>
    <t xml:space="preserve"> Republic of the Philippines Province of Cagayan Municipality of Solana -o0o- BIDS AND AWARDS COMMITTEE (BAC) INVITATION TO BID FOR  Supply and delivery of rescue equipment’s -LDRRMO-LGU Solana, Cagayan 1.	The Municipal Government of Solana, through the Ge</t>
  </si>
  <si>
    <t xml:space="preserve"> For the supply and delivery of the following: 200	set 	PPE Laboratory Gown Set (includes: goggles, gloves, shoe cover, coverall, surgical gown, face mask                  and head cap)			 		Small - 10 set			 		Medium - 60 set			 		Large - 70 set			 		Extr</t>
  </si>
  <si>
    <t xml:space="preserve"> Supply and Delivery of Tire 8 pcs 255/70 R15 108S for Isuzu Dmax  Pls. submit your quotation thru email:  mi_lynsn@yahoo.com Note:  Price Validity 120 days            Price VAT Inclusive and all other government taxes Delivery Date:  15 days x-x-x-x-x-x-x</t>
  </si>
  <si>
    <t xml:space="preserve"> Processor: Quad Core 1.3 GHz, Memory: 2 GB, Display Size: 8 Inches, Display Type: IPS LCD Display, Display Resolution: 800 x 1280 Pixels, Storage: 32 GB, Camera: Front and Rear, Network: 4G LTE (Optional, Prefered), Wi-Fi 802.11 b/g/n, Bluetooth, Interfac</t>
  </si>
  <si>
    <t xml:space="preserve"> 1. Olanzapine 10 mg ODT tab x 30 blister pack per box	= 688	boxes @ 	330.00 expiration date should be two (2) years upon delivery	 		 2. Quetiapine 200mg tablet x 30 blister pack per box	= 300	boxes	@ 555.00 expiration date should be two (2) years upon de</t>
  </si>
  <si>
    <t xml:space="preserve"> The SANGGUNIANG BARANGAY OF BARANGAY SALA, TANAUAN CITY, BATANGAS, through the Barangay Operating Budget 2020 intends to apply the sum of Ten Thousand Pesos Only (Php 10,000.00) being the Approved Budget of the Contract (ABC) to payment under the Provisio</t>
  </si>
  <si>
    <t xml:space="preserve"> 1.	Contract ID: 20EI0183 Contract Name: Repair/Maintenance of DPWH Building Main Building – Various Offices (Construction, Maintenance, Procurement, Office of the District Engineer, Finance &amp; Accounting), Southern Mindoro, District Engineering Office,  Lo</t>
  </si>
  <si>
    <t xml:space="preserve"> COMPLETE PPE’s and Vitamins SHOE COVER, Multivitamins &amp; Iron 500MG Tab,  Ascorbic Acid 600MG, Oimeter Fingertips Pulse &amp; Surgical Gloves (Size 7) Office of the Municipal  Health LGU-Lugait Municipality of Lugait Misamis Oriental</t>
  </si>
  <si>
    <t xml:space="preserve"> 1.SOFA - 1 set 2.PORTABLE SPEAKER - 1 unit</t>
  </si>
  <si>
    <t xml:space="preserve"> -3 SM/2 SM - Supplier must have facility within Region 1 *Staggered Delivery</t>
  </si>
  <si>
    <t xml:space="preserve"> Spl-1 - Clearing and Grubbing 105 - Subgrade Preparation 200 - Agg. Sub Base course, 0.10m. thk. 311 - PCC Pavement, (0.15m. thk.)</t>
  </si>
  <si>
    <t xml:space="preserve"> REQUEST FOR QUOTATION														 														 RFQ No.		NP 20 - 0755				Date				7/1/2020				 PR Reference		100-20-05.033.1				Implementing Office				CSWDO				 Closing Date and Time						July 07, 2020 @ 5:00 P.M.								 Designated Places of Submission</t>
  </si>
  <si>
    <t xml:space="preserve"> Republic of the Philippines Cordillera Administrative Region Province of Kalinga B A L B A L A N MUNICIPALITY OF BALBALAN Invitation to Apply for Eligibility and to Bid for the CONSTRUCTION OF MULTI-PURPOSE HALL (PHASE I), TALALANG, BALBALAN, KALINGA PROV</t>
  </si>
  <si>
    <t xml:space="preserve"> epublic of the Philippines Province of Leyte MUNICIPALITY OF TABANGO Invitation to Bid for Local Access Road Upgrading   Brgy. Gimarco, Tabango, Leyte 1.	The Local Government of Tabango, through the 2019 LGSF-AM (Trust Fund)   intends to apply the sum of </t>
  </si>
  <si>
    <t xml:space="preserve"> 1	Povidone Iodine Oral, 120ml							50	bot	200.00 2	Disposable bib Dry pack							40	pack	400.40 3	Examination Gloves							60	box	400.53 4	Face mask (earlope)							40	box	300.00 5	Disp. Water Plastic Glass 8oz							50	box	110.00 6	Absorbent Cotton Ball</t>
  </si>
  <si>
    <t xml:space="preserve"> Consulting Services for Technical Benchmarks for Furniture Industries namely: Wood, Metals, Outdoor Furniture, Upholstered and Veneer Identify the process and define the technology or equipment requirement based on the size of the company (Micro, Small an</t>
  </si>
  <si>
    <t xml:space="preserve"> Requesting for Quotation (RFQ) for PR No. 2006260  Interested suppliers are invited to submit Sealed Price Quotations for the above listed items. The Request for Quotation (RFQ) for may be obtained from Mr. Albert A. Camarillo City General Services Office</t>
  </si>
  <si>
    <t xml:space="preserve"> Requesting for Quotation (RFQ) for PR No. 2006182  Interested suppliers are invited to submit Sealed Price Quotations for the above listed items. The Request for Quotation (RFQ) for may be obtained from Mr. Albert A. Camarillo City General Services Office</t>
  </si>
  <si>
    <t xml:space="preserve"> Mun. Government of Alcantara, Romblon 				                     2020-025 RHU Services and Programs Annual Physical Exam. of Municipal Employees Office of the Municipal Health Standard Form Number: SF-GOOD-60						    Alcantara, Romblon Revised on: May 24, </t>
  </si>
  <si>
    <t xml:space="preserve"> materials for the proposed installation of wall partition for MIT Office at third floor</t>
  </si>
  <si>
    <t xml:space="preserve"> The SANGGUNIANG BARANGAY OF BARANGAY ALTURA MATANDA, TANAUAN CITY, BATANGAS, through the Barangay Operating Budget 2020 intends to apply the sum of Fifteen Thousand Pesos Only (Php 15,000.00) being the Approved Budget of the Contract (ABC) to payment unde</t>
  </si>
  <si>
    <t xml:space="preserve"> Repair &amp; Maintenance ICT Equipment</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</si>
  <si>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</si>
  <si>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REQUEST FOR QUOTATION The City Government of Cauayan, Isabela, through its Bids and Awards Committee, will undertake a Small Value Procurement for the “Supply and Delivery of Two (2) units Laptop Computer for City Disaster Risk Reduction and Management Of</t>
  </si>
  <si>
    <t xml:space="preserve"> Republic of the Philippines CITY OF MARIKINA SF-GOOD-05 Revised on: July 28, 2004				 													Mkna-GSO-20-297	 	BIDS AND AWARDS COMMITTEE		 NOTICE OF PROPOSED PROCUREMENT The City Government of Marikina, through its Bids and Awards Committee (BAC), w</t>
  </si>
  <si>
    <t xml:space="preserve"> SW-1008-2020-0287</t>
  </si>
  <si>
    <t xml:space="preserve"> Spl-1 - Excavation Spl-2 - Concrete Works Spl-3 - Roof and Roof Framing</t>
  </si>
  <si>
    <t xml:space="preserve"> Consulting Services for Technical Benchmarks for Metals and Engineering Industries namely: High Precision Machining (Tool and Die and Automotive Parts, Agricultural Machine Parts, Food Processing Equipment; Machine Shop; and Welding and Fabrication;      </t>
  </si>
  <si>
    <t xml:space="preserve"> REQUEST FOR QUOTATION The National Meat Inspection Service (NMIS) through the Bids and Awards Committee (BAC) is inviting interested parties to submit proposal/quotation for the here under project: Name of Project:    	Supply and Delivery of Infrared Ther</t>
  </si>
  <si>
    <t xml:space="preserve"> 1 lot Provincial  of NIP Polo shirt, T-shirt with print Including labor And Materials as 							1	lot	100,250.00 per Sample									 									 Sizes:POLO Shirt Men's Size (4 color)									 2XL = 1 pc									 XL  = 3 pcs									 L  =14 pcs									 M = </t>
  </si>
  <si>
    <t xml:space="preserve"> Republic of the Philippines Cordillera Administrative Region Province of Kalinga B A L B A L A N MUNICIPALITY OF BALBALAN Invitation to Apply for Eligibility and to Bid for the REHABILITATION OF PASINGAN WATER WORK SYSTEM, POSWOY, BALBALAN, KALINGA PROVIN</t>
  </si>
  <si>
    <t xml:space="preserve"> ITEM No. 	DESCRIPTION	UNIT	QUANTITY 1	Tire 185x14R-Steel	piece	4 2	Oil Filter	piece	2 3	Brake Pad	set	2 4	Center Post	piece	2 5	Idler Post	piece	1 6	Shifting Cable	set	1 7	Air Cleaner Element 	piece	2 8	Bulb, Headlight	piece	2 9	Wiper Blade	set	1 10	Cross</t>
  </si>
  <si>
    <t xml:space="preserve"> Battery   6 Unit 3SMF Free Maintenance Battery  1 Unit 2SM Free Maintenance, Short Head Type Terminal for Toyota Hi-Lux 2018 Model Pls. submit your quotation thru email:  mi_lynsn@yahoo.com Note:  Price Validity 120 days            Price VAT Inclusive and</t>
  </si>
  <si>
    <t xml:space="preserve"> Fabrication of Tarpaulin Frame @ Samal, Bataan 20 pcs - 2x2x12 R.O 1 kg - CWN #3 1 kg - CWN #2 2 kgs - G.I Wire #18</t>
  </si>
  <si>
    <t xml:space="preserve"> Consulting Services for Technical Benchmarks for Gifts, Decors and Handicrafts Industries namely: Gift Items, Decors, Housewares, Natural Fibers, and Fashion and Accessories                                                   Identify the process and define</t>
  </si>
  <si>
    <t xml:space="preserve"> RESOLUTION RECOMMENDING THE USE OF NEGOTIATED PROCUREMENT (SMALL VALUE PROCUREMENT) FOR THE DETAILED ENGINEERING DESIGN FOR THE CONSTRUCTION OF MULTI-PURPOSE BUILDING AT BRGY. OLD ZANIGA, MANDALUYONG CITY. RESOLUTION NO. MM1DEO-CS-2020-07-001 WHEREAS, the</t>
  </si>
  <si>
    <t xml:space="preserve"> Construction Supplies-1008-2020-0081</t>
  </si>
  <si>
    <t xml:space="preserve"> 1.	Contract ID No.	: 20GAD0006  	Contract Name/	: Supply and delivery of materials for the Repair and Maintenance 	Location	 along Jct. Santiago-Banayoyo-Lidlidda-San Emilio-Quirino Road  	Brief Description of  Goods to be Procured	:   		 ITEM NO.	PARTICU</t>
  </si>
  <si>
    <t xml:space="preserve"> Republic of the Philippines MUNICIPALITY OF ECHAGUE Province of Isabela INVITATION TO BID FOR  PROCUREMENT OF  BABY  KITS (MATERNAL HEALTH AND CHILD CARE)  1.	The Local Government Unit , through  the  GENERAL   FUND  Of  2020   intends to apply the sum of</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</si>
  <si>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</si>
  <si>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Procurement Materials for the Fabrication &amp; Installation of Roof Canopy for Cultural Center</t>
  </si>
  <si>
    <t xml:space="preserve"> delivey of 16 sets</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</si>
  <si>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</si>
  <si>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PLEASE SEE ATTACHED FILE FOR REFERENCE.</t>
  </si>
  <si>
    <t xml:space="preserve"> Procurement of 35 btls Computer Ink &amp; 8 other L/I</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</si>
  <si>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</si>
  <si>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Improvement of Water System at Adamson Elementary School @ Samal, Bataan 1 unit - Water Tank Stainless</t>
  </si>
  <si>
    <t xml:space="preserve"> Project: PURCHASE AND DELIVERY OF IT EQUIPMENT AND ACCESSORIES Location: Laurel, Batangas ABC: 329,000.00 Advertisement	July 2-9, 2020	 Pre-bid Conference	-	 Submission of Letter of Intent	July 2-14, 2020	 Issuance of Bid Documents	July 2-14, 2020	 Deadli</t>
  </si>
  <si>
    <t xml:space="preserve"> INVITATION TO BID The Municipal Government of La Trinidad through the Bids and Awards Committee (BAC) invites contractors to bid for the hereunder project: Contract Reference No.: POW - 8751 - 2020 - BKL - 04 Name of Project: Improvement of Concrete Pavem</t>
  </si>
  <si>
    <t xml:space="preserve"> R/M OF BUILDINGS</t>
  </si>
  <si>
    <t xml:space="preserve"> Arrival	 1	50	cover	Dinner	 ₱250.00  2	50	pax	Lodging	 ₱450.00  			Day 1	 3	80	cover	Breakfast	 ₱150.00  4	80	cover	AM Snacks	 ₱100.00  5	80	cover	Lunch	 ₱250.00  6	80	cover	PM Snacks	 ₱100.00  7	80	cover	Dinner	 ₱250.00  8	60	pax	Lodging	 ₱450.00  9	1	da</t>
  </si>
  <si>
    <t xml:space="preserve"> 39 sets - Uniform for garbage collector 33 pairs - Short sleeve rubber coated with leather gloves 23 pairs - Safety Shoes, with steel toe 13 pairs - Face-shield, heavy duty 13 pieces - Hard Hat 20 bottles - Alcohol 5 bottles - Disinfectant Spray</t>
  </si>
  <si>
    <t xml:space="preserve"> Enteral Feeding Container w/ Tubing 600ml----------------------------200 qty ------------------P632.00/ea Codan Spike, Withdrawal Cannula------------------------------------ 200 qty -------------------P119.00/ea X-X-X-X-X-X-X-X-X-X-X-X-X-X-X-X-X-X PURPOSE</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</si>
  <si>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</si>
  <si>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COMPLETE PPE’s  LYSOL &amp; MEDICAL APRON Office of the Municipal  Health LGU-Lugait Municipality of Lugait Misamis Oriental</t>
  </si>
  <si>
    <t xml:space="preserve"> 165  REAMS  BOND PAPER LONG SIZE (SUBSTANCE 30) 96  PCS  PRINTER INK BLACK - 003 65ML 47  PCS  PRINTER INK MAGENTA - 003 65ML 47  PCS  PRINTER INK CYAN - 003 65ML 47  PCS  PRINTER INK YELLOW - 003 65ML Note: LOT PRICE</t>
  </si>
  <si>
    <t xml:space="preserve"> REQUEST FOR QUOTATION FOR THE SUPPLY AND DELIVERY PROCUREMENT OF MEDICAL SUPPLIES Please quote your lowest price on the item/s listed below, subject to the General Conditions and stating the shortest time of delivery and submit your quotation duly signed </t>
  </si>
  <si>
    <t xml:space="preserve"> Supply and delivery of Foodstuff (Fish) for use at the dietary section of TPH</t>
  </si>
  <si>
    <t xml:space="preserve"> This project covers the Construction of Two (2) Story Emergency Operation Center Building.</t>
  </si>
  <si>
    <t xml:space="preserve"> REQUEST FOR QUOTATION										 												 										Date: 	2-Jul-20	 										RFQ No.: 	2020-07-001	 												 		Name of Company:        										 		Address :   										 												 		Business Permit No.:    										 		TIN No.:       								</t>
  </si>
  <si>
    <t xml:space="preserve"> 3 units - Computer set core i7 , 8GB DDR4 RAM,HDD 1TR 4-UNITS - L6170 PRINTER</t>
  </si>
  <si>
    <t xml:space="preserve"> Procurement Materials for the Installation of 10 unit Solar Lamp Post</t>
  </si>
  <si>
    <t xml:space="preserve"> 1 pc Blowershaft of M113A1 and 22 Others L/I</t>
  </si>
  <si>
    <t xml:space="preserve"> Request for Expression of Interest For Detailed Engineering Design for the Construction of Multi-Purpose Building Eastern Police District, Brgy. Corazon De Jesus, San Juan City The Metro Manila 1st District Engineering Office-NCR-DPWH through the Governme</t>
  </si>
  <si>
    <t xml:space="preserve"> To All Eligible Bidders; Please quote your lowest price on the item listed below, subject to the General Conditions stated herein and submit the same to the Office of the BAC-Secretariat on or before July 20, 2020 at 10:00 o'clock in the morning. (SGD) WU</t>
  </si>
  <si>
    <t xml:space="preserve"> 2' PE Pipe SDR 11 - 40 rolls</t>
  </si>
  <si>
    <t xml:space="preserve"> 73,853 persons - Malabon E-Learning Managament System System Features: -Student, Parent Guardian and Teachers Information  -Grading  -Virtual Classroom  -Management of Class section subjects, exams and schedules  -Others 1 lot - Data Communication Operati</t>
  </si>
  <si>
    <t xml:space="preserve"> Republic of the Philippines Province of South Cotabato City of Koronadal BIDS AND AWARDS COMMITTEE INVITATION TO BID FOR THE  Procurement for the Supply and Delivery of Construction Materials for the Various Projects of the City Government of Koronadal – </t>
  </si>
  <si>
    <t xml:space="preserve"> 320 Box Surgical Mask 100 Gallon Alcohol</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</si>
  <si>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</si>
  <si>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Scope of Work: - Repair and Rehabilitation of Water Filtration System  - Replacement of Filter Media for 4 chambers &amp; labor replacement of 2 unit 4" Diameter Discharge Valve Bill of materials: 4 unit 30x62 media size labor replacement of filter 2 units 4"</t>
  </si>
  <si>
    <t xml:space="preserve"> Tires 7.00R16 LT,117/116M 6 pcs For HYUNDAI County Mini Bus Pls. submit your quotation thru email:  mi_lynsn@yahoo.com x-x-x-x-x-x-x-x-x-x-x-x-x-x-x-x-x Total ABC  (in PhP)  42,000.00</t>
  </si>
  <si>
    <t xml:space="preserve"> Republic of the Philippines Cordillera Administrative Region Province of Kalinga B A L B A L A N MUNICIPALITY OF BALBALAN Invitation to Apply for Eligibility and to Bid for the CONTINUATION OF TANAP – CANAO FOOTPATH (PHASE II), MABACA, BALBALAN, KALINGA P</t>
  </si>
  <si>
    <t xml:space="preserve"> Construction of Public Alley Date of Bidding : July 15, 2020 Venue:  Barangay Hall Barangay Compania Central Molo Iloilo City</t>
  </si>
  <si>
    <t xml:space="preserve"> 1. The City Government of Bacoor, Cavite, through the City Ordinance No. CO 562019 intends to apply the sum of ONE HUNDRED FIFTY  THOUSAND  PESOS AND ZERO CENT (PhP150,000.00) being the total Approved Budget for the Contract (ABC) for all lots indicated i</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</si>
  <si>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</si>
  <si>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I.TILE WORKS II.STEEL WORKS III.FENCING WORKS A.EXCAVATION B.CONCRETE WORKS C.FORMWORKS D.REINFORCEMENT BARS E.MASONRY WORKS F.STEEL WORKS</t>
  </si>
  <si>
    <t xml:space="preserve"> ITEM No. 	DESCRIPTION	UNIT	QUANTITY 1	Portland Cement 	bag	12 2	1/4" Marine Plywood	pcs	1 3	10mm dia RSB x 6m	pcs	15 4	#16 Tie Wire	kg	2 5	Assorted CWN	kg	5 6	Flat Latex Paint 	gal	1 7	Gloss Latex Paint 	gal	1 8	Tinting Color	pint	1 9	Paint Brush	pcs	1 10</t>
  </si>
  <si>
    <t xml:space="preserve"> IT Supplies and Materials (pls. see attached Request for Price Quotation)</t>
  </si>
  <si>
    <t xml:space="preserve"> 14  unit beds</t>
  </si>
  <si>
    <t xml:space="preserve"> Republic of the Philippines Province of Leyte MUNICIPALITY OF TABANGO Invitation to Bid for Expansion of Evacuation Center   Brgy. Poblacion, Tabango, Leyte 1.	The Local Government of Tabango, through the 2019 LGSF-AM (Trust Fund)   intends to apply the s</t>
  </si>
  <si>
    <t xml:space="preserve"> 2 SETS - COMPUTER SET AMD A4 , 4GB DDR4, 120GB SSD, 1TBHDD,WINDOWS 10 2 SETS- PRINTER L3110 ALL IN 1 INK</t>
  </si>
  <si>
    <t xml:space="preserve"> Requesting for Quotation (RFQ) for PR No. 2003409  Interested suppliers are invited to submit Sealed Price Quotations for the above listed items. The Request for Quotation (RFQ) for may be obtained from Mr. Albert A. Camarillo City General Services Office</t>
  </si>
  <si>
    <t xml:space="preserve"> Requesting for Quotation (RFQ) for PR No. 2006234  Interested suppliers are invited to submit Sealed Price Quotations for the above listed items. The Request for Quotation (RFQ) for may be obtained from Mr. Albert A. Camarillo City General Services Office</t>
  </si>
  <si>
    <t xml:space="preserve"> 4 pcs. 7.50 X 15 tire with tube pick uo vehicle 2 pcs. 11 plates battery (pick up) maintenance free 2 pcs. DID chain 428/L130 2 pcs. 90/90-19 tire with tube XR 125 2 pcs. 110/90-17 tire with tube XR 125 2 pcs. # 16 Engine Sprocket XR 125 2 pcs. #49 Rear S</t>
  </si>
  <si>
    <t xml:space="preserve"> 1. The City Government of Bacoor, Cavite, through the City Ordinance No. CO 562019 intends to apply the sum of TWO HUNDRED  THOUSAND  PESOS AND ZERO CENT (PhP200,000.00) being the total Approved Budget for the Contract (ABC) for all lots indicated in BDS </t>
  </si>
  <si>
    <t xml:space="preserve"> INVITATION TO BID The Municipal Government of La Trinidad through the Bids and Awards Committee (BAC) invites contractors to bid for the hereunder project: Contract Reference No.: POW - 8751 - 2020 - LBS - 01 Name of Project: Improvement of FMR near Simeo</t>
  </si>
  <si>
    <t xml:space="preserve"> Requesting for Quotation (RFQ) for PR No. 2006216  Interested suppliers are invited to submit Sealed Price Quotations for the above listed items. The Request for Quotation (RFQ) for may be obtained from Mr. Albert A. Camarillo City General Services Office</t>
  </si>
  <si>
    <t xml:space="preserve"> Purchase of filing cabinet for the important documents in Barangay Hall.</t>
  </si>
  <si>
    <t xml:space="preserve"> Supply and Delivery of 16,000 grams Tertiary Butyl Peroxy Benzoate, as per BSP Technical Specifications and Terms and Conditions</t>
  </si>
  <si>
    <t xml:space="preserve"> Various items.</t>
  </si>
  <si>
    <t xml:space="preserve"> REQUEST FOR QUOTATION FOR THE SUPPLY AND DELIVERY PROCUREMENT OF PUBLICATION OF MUNICIPAL ORDINANCE NO. 2020-010, SERIES OF 2020 Please quote your lowest price on the item/s listed below, subject to the General Conditions and stating the shortest time of </t>
  </si>
  <si>
    <t xml:space="preserve"> 2-Months Supply and Delivery of Vitamin C: 27,000 Tablets Technical Specifications: • 27,000 tablets and/or capsules of Vitamin C • Ascorbic Acid 500 mg or Sodium Ascorbate 568.18 mg • With Zinc • BFAD approved • Authorized Distributor/Seller (Submit Cert</t>
  </si>
  <si>
    <t xml:space="preserve"> INVITATION TO BID The Municipal Government of La Trinidad through the Bids and Awards Committee (BAC) invites contractors to bid for the hereunder project: Contract Reference No.: POW - 8751 - 2020 - PCO - 02 Name of Project: Construction of Box Culvert P</t>
  </si>
  <si>
    <t xml:space="preserve"> Procurement of Materials for use in the Office of Maintenance personnel of the General Services flooring electrical ceiling painting</t>
  </si>
  <si>
    <t xml:space="preserve"> Please see attached Purchase Request (PR) for the specifications.</t>
  </si>
  <si>
    <t xml:space="preserve"> 4	UNITS  LAPTOP RAM	 SPECS:		 * 16GB 		 		 4	UNITS  LAPTOP HARD DRIVE	 SPECS:		 * 1TB SDD 3.5 SATA		 		 * Compatible with Dell Inspiron 15 (5000 series)		 * Free Installation to 4 units Dell Inspiron 15 (5000 series) assigned to COA ROIX RTU Personnel</t>
  </si>
  <si>
    <t xml:space="preserve"> Mayor's Office	--------------------------------------------	 183,950.00  SB Office	--------------------------------------------------	 118,495.00  MDRRM	--------------------------------------------------	   38,170.00  HRMO	--------------------------------</t>
  </si>
  <si>
    <t xml:space="preserve"> Section I. Invitation to Bid FOR THE UPLB-RES-028-07-20  SUPPLY AND DELIVERY OF BRANDED AND BRAND NEW ENGINEERING AND LABORATORY TESTING EQUIPMENT FOR CEAT-AMTEC 1.	The UNIVERSITY OF THE PHILIPPINES LOS BAÑOS (UPLB), through the GOP (LB03050001-C0002486: </t>
  </si>
  <si>
    <t xml:space="preserve"> Cap Bouffant Type, Ruffled, Elastic Line Edge, Disp., 100’s---------------------300 qty ---------------P89.00/box Tube Stomach, Surgical Silicon Sterile, Levin Design, Fr-18 w/ Cover--------------------1000 qty ------P50.00/ea X-X-X-X-X-X-X-X-X-X-X-X-X-X-</t>
  </si>
  <si>
    <t xml:space="preserve"> Corazon Locsin Montelibano Memorial Regional Hospital, through its Bids and Awards Committee, intends to procure PLUMBING SUPPLIES (PR#20-04-70393), which will be undertaken in accordance with Section 53.9 of the Revised Implementing Rules and Regulations</t>
  </si>
  <si>
    <t xml:space="preserve"> Requesting for Quotation (RFQ) for PR No. 2006258  Interested suppliers are invited to submit Sealed Price Quotations for the above listed items. The Request for Quotation (RFQ) for may be obtained from Mr. Albert A. Camarillo City General Services Office</t>
  </si>
  <si>
    <t xml:space="preserve"> 11 - Units - Pallet Lifter Manual, heavy duty hydraulic hand pallet jacks truck, at least 6600 lb load capacity, 48" to 50" height, 27" width x 54" to 60" length fork; with super polyurethane on steel wheel; with working life of at least 7 years; warranty</t>
  </si>
  <si>
    <t xml:space="preserve"> Republic of the Philippines				Project Reference Number: SHP-GDS2020-07-01				 Province of Abra				Name of the Project: Purchase of Office and Janitorial Supplies				 Bangued				Location of the Project: PEO				 Bids and Awards Committee								 								 	</t>
  </si>
  <si>
    <t xml:space="preserve"> A) REQUEST FOR QUOTATION 1. 550 SQ.FT. Supply and installation of block-out combi blinds window coverings (19-panels) Specifications: 100% Polyester; Thickness: Solid 0.38mm / mesh 0.09mm; Dark Brown  Note: Verify Actual Measurements Submit Mock-up B) USE</t>
  </si>
  <si>
    <t xml:space="preserve"> various drugs and medicines as indicated in the canvass form</t>
  </si>
  <si>
    <t xml:space="preserve"> 1. The City Government of Bacoor, Cavite, through the City Ordinance No. CO 562019 intends to apply the sum of ONE HUNDRED NINETY EIGHT THOUSAND  PESOS AND ZERO CENT (PhP198,000.00) being the total Approved Budget for the Contract (ABC) for all lots indic</t>
  </si>
  <si>
    <t xml:space="preserve"> Purchase of BP Apparatus for barangay Health Center.</t>
  </si>
  <si>
    <t xml:space="preserve"> The Local Government Unit of Casiguran, Sorsogon intends to apply the sum of Php  1,014,505.00  being the Approved Budget for the Contract to payments for the contract under the 2020 General Fund, Supply &amp; Delivery of Construction Materials for the Constr</t>
  </si>
  <si>
    <t xml:space="preserve"> Please quote your lowest price on the item/s listed below: VIDEO PRODUCTION WITH VOICE AND MUSICAL SCORE FOR THE NAST VIRTUAL AWARDING CEREMONY Specifications: A)  60-minute video on the awards (refer to the estimated runtime) B) Output video should be in</t>
  </si>
  <si>
    <t xml:space="preserve"> See attachment..</t>
  </si>
  <si>
    <t xml:space="preserve"> Republic of the Philippines Province of Leyte Municipality of Palo BARANGAY CAVITE EAST Invitation to Bid for Fabrication of Concrete Canal Cover  at Brgy. Cavite East,Palo, Leyte Job Request No. 2020-06-01 1.	The Barangay of Cavite East, Palo, Leyte, thr</t>
  </si>
  <si>
    <t xml:space="preserve"> Purchase of Smart Television for Cabilao National High School</t>
  </si>
  <si>
    <t xml:space="preserve"> Republic of the Philippines					 DEPARTMENT OF PUBLIC WORKS AND HIGHWAYS					 BUTUAN CITY DISTRICT ENGINEERING OFFICE					 REGIONAL OFFICE XIII					 Butuan City, Agusan del Norte					   Tel. Nos. 342-5331  Fax No. 225-2022					 Name of Procuring Entity: D</t>
  </si>
  <si>
    <t xml:space="preserve"> REQUEST FOR QUOTATION							 							 PR No.:	EQ-2020-06-68		RFQ No.:		NIAREG9-07-2020-COB-083 (SVP)		 PR. Date:	June 24, 2020		RFQ Date:		July 01, 2020		 End-User:	NIA-REGIONAL OFFICE		PhilGEPS Reference No.:				 ABC:	62,000.00		PhilGEPS Closing Date:		Ju</t>
  </si>
  <si>
    <t xml:space="preserve"> REQUEST FOR QUOTATION  Procurement of Office Supplies for Development and Validation of Learning Resource Materials using Different Flexible Learning Options (Project PPE-Portfolio Predicated on Exemplar)-1st Quarter 800 reams Bond Paper A4, Substance 20 </t>
  </si>
  <si>
    <t xml:space="preserve"> Purchase of Computer Set for LWS Office Use.</t>
  </si>
  <si>
    <t xml:space="preserve"> Traffic Citation Tickets Triplicate Carbonless 50's/booklet</t>
  </si>
  <si>
    <t xml:space="preserve"> The Department of Agriculture invites interested suppliers to submit quotations/proposals for the hereunder requirement: ICT EQUIPMENT: PORTABLE EXTERNAL SSD 	 3	unit	Portable External SSD	Php108,000.00 		Please see attached Technical Specification	 		GRA</t>
  </si>
  <si>
    <t xml:space="preserve"> Republic of the Philippines Province of Leyte MUNICIPALITY OF TABANGO Invitation to Bid for Improvement/Rehabilitation of Evacuation Center Brgy. Sta Rosa, Tabango, Leyte 1.	The Local Government of Tabango, through the 2019 LGSF-AM (Trust Fund)   intends </t>
  </si>
  <si>
    <t xml:space="preserve"> UPPS 900 watts /1500VA (Pro BX1500M) Specification :  * Output  :  1500VA /900W                  * Input :120 VAC @ 60Hz + 3 Hz * 10x Total NEMA 5-15R Outlets            * 5 x Battery Back-up &amp;  surge outlets *5 x Surge-Only Outlets                       </t>
  </si>
  <si>
    <t xml:space="preserve"> 1. The City Government of Bacoor, Cavite, through the City Ordinance No. CO 562019 intends to apply the sum of ONE HUNDRED  THOUSAND  PESOS AND ZERO CENT (PhP100,000.00) being the total Approved Budget for the Contract (ABC) for all lots indicated in BDS </t>
  </si>
  <si>
    <t xml:space="preserve"> To all eligible Suppliers:								 								 Please quote your lowest price inclusive of VAT on the item/s listed below, subject to the Terms and Condition of this RFQ, and submit your SEALED quotation duly signed by your representative not later the closi</t>
  </si>
  <si>
    <t xml:space="preserve"> Corazon Locsin Montelibano Memorial Regional Hospital, through its Bids and Awards Committee, intends to procure BANANA (PR#20-06-70560), which will be undertaken in accordance with Section 53.9 of the Revised Implementing Rules and Regulations of Republi</t>
  </si>
  <si>
    <t xml:space="preserve"> REQUEST FOR QUOTATION FOR THE SUPPLY AND DELIVERY PROCUREMENT OF CATERING SERVICES Please quote your lowest price on the item/s listed below, subject to the General Conditions and stating the shortest time of delivery and submit your quotation duly signed</t>
  </si>
  <si>
    <t xml:space="preserve"> pcs.	Foot Press Alcohol Dispenser(adjustable)			15 pcs.	Disinfectant Foot Mat(steel based) 			15 liters	Dissisnfectant Solution			120 carts	Toner for HP Laserjet M102A			2 boxes	Medical Supply -  Surgical Mask			69 bottles	Medical Supply -  Alcohol(500 ml</t>
  </si>
  <si>
    <t xml:space="preserve"> 1	Push Cart Big	                   1 unit 2	UTP Cable Cat6	                   2 box 3	Tester                                  1 pc 4	Crimping Tool	                  4 pair 5	Wipe Out Dirt and Stain Remover 250g	6 can 6	Duct Tape Size 2” 25m / roll        </t>
  </si>
  <si>
    <t xml:space="preserve"> NATIONAL TRANSMISSION CORPORATION RESOURCE MANAGEMENT SERVICES GROUP TransCo Annex Bldg., Diliman, Quezon City Tel. No. 902-1521/Fax No. 914-6209 SUPPLIER’S TECHNICAL/PRICE QUOTATION FORM (NEGOTIATED PROCUREMENT: SMALL VALUE PROCUREMENT) REFERENCE NO.:  M</t>
  </si>
  <si>
    <t xml:space="preserve"> Supply and Delivery of Various Filters for 400 KVA Generator Set, FOB Masbate.</t>
  </si>
  <si>
    <t xml:space="preserve"> CONSTRUCTION/REHABILITATION OF LOCAL ROADS @ BARANGAY SAMBAT, SAN PASCUAL, BATANGAS</t>
  </si>
  <si>
    <t xml:space="preserve"> Corazon Locsin Montelibano Memorial Regional Hospital, through its Bids and Awards Committee, intends to procure ELECTRICAL SUPPLIES (PR#20-04-70398), which will be undertaken in accordance with Section 53.9 of the Revised Implementing Rules and Regulatio</t>
  </si>
  <si>
    <t xml:space="preserve"> The DPWH-Ilocos Sur 1st District Engineering Office, through its Bids and Awards Committee (BAC), invites contractors to submit bids for the following Contract:   Contract ID: 20AC0056   Contract Name: Construction of Revetment Wall, Barangay Quibit-quibi</t>
  </si>
  <si>
    <t xml:space="preserve"> 1.	42” Full HD LED TV w/ bracket and Installation	1 unit 2.	65” SMART TV	               1unit 3.	Executive Chair	               1 unit 4.	Filing Cabinet Lateral	       3 unit 	(see attached picture)</t>
  </si>
  <si>
    <t xml:space="preserve"> REPUBLIC OF THE PHILIPPINES DEPARTMENT OF PUBLIC WORKS AND HIGHWAYS ILOILO 4TH DISTRICT ENGINEERING OFFICE STA. BARBARA, ILOILO TEL. NO. 523 - 4557 FAX NO. 523 - 9340 BIDDING DOCUMENTS FOR PROCUREMENT ID/CONTRACT ID: 20GI0100 CONTRACT NAME:   CONSTRUCTION</t>
  </si>
  <si>
    <t xml:space="preserve"> Standard Form No. 60						 Revised on May 24, 2004						 REQUEST FOR QUOTATION						 Provincial Government of Romblon						 						 				Date:       July 02, 2020		 				Quotation No.:    669		 						 To Our Valued Suppliers:						 						 	Please quote your </t>
  </si>
  <si>
    <t xml:space="preserve"> 1	Data Folder made with chipboard taglia lock 2 Hole	500 pcs</t>
  </si>
  <si>
    <t xml:space="preserve"> Republic of the Philippines Province of South Cotabato City of Koronadal BIDS AND AWARDS COMMITTEE INVITATION TO BID FOR THE  Procurement for the Supply and Delivery of One (1) Unit Four Wheeled Vehicle (Pick-Up) for CSU Operations, City of Koronadal - RE</t>
  </si>
  <si>
    <t xml:space="preserve"> 320	pax	breakfast (rice, tocino hotdog) 400	pax	Am snacks (bread and juice) 400	pax	Lunch (rice, meat vege water 320	pax	PM Snacks (pancit and juice) 320	pax	Dinner (rice, meat, vege, water)</t>
  </si>
  <si>
    <t xml:space="preserve"> The Provincial Government of Laguna through its Bids and Awards Committee (BAC) invites suppliers/manufacturers/distributors/contractors to submit quotations for the hereunder project:  Name of Project	:	IT Equipment and other supplies for Provincial Budg</t>
  </si>
  <si>
    <t xml:space="preserve"> Submission of Proposal shall be on July 15,2020 @ 1:00PM at Municipal Hall Building Anda Pangasinan.</t>
  </si>
  <si>
    <t xml:space="preserve"> Quantity	Unit	Articles  pcs 	150	TISSUE  pcs 	50	LIQUID SOAP, 500ML  pcs 	100	BAR SOAP  sachet 	100	DETERGENT POWDER, 500grams  pcs 	50	GLASS CLEANER, 500ML  pcs 	50	TOILET BOWL CLEANER 500ML  pcs 	50	MOP  pcs 	200	RAGS  pcs 	100	DISHWASHING LIQUID, 250ml</t>
  </si>
  <si>
    <t xml:space="preserve"> 1. The City Government of Bacoor, Cavite, through the City Ordinance No. CO 562019 intends to apply the sum of TWO HUNDRED FORTY SIX THOUSAND NINE HUNDRED SIX PESOS AND ZERO CENT (PhP246,906.00) being the total Approved Budget for the Contract (ABC) for a</t>
  </si>
  <si>
    <t xml:space="preserve"> Name of Project: Improvement of Third Floor (RCPC) of Livestock Building Location of Project: CIARC, Dontogan, Baguio City</t>
  </si>
  <si>
    <t xml:space="preserve"> Please see attached RFQ and Technical Specifications</t>
  </si>
  <si>
    <t xml:space="preserve"> Printing, Supply and Delivery of Brochures: 10,000 sets I. Technical Specifications: • Size: A4 • Two side printing with matte lamination • With trifold, collation, and die cutting • Paper: CS2 120 gsm and 250 gsm for folder II. Materials to print: • Pate</t>
  </si>
  <si>
    <t xml:space="preserve"> Purchase of Materials for the Installation of Street Lighting</t>
  </si>
  <si>
    <t xml:space="preserve"> INVITATION TO BID IB No. 2020-21-A CONSTRUCTION OF COVERED WALKWAY AT TRANSPORT TERMINAL 1.	The Local Government Unit of Oton, through General Fund-Support Fund Budget, intends to apply the sum of One Million Two Hundred Ninety-Six Thousand Three Hundred </t>
  </si>
  <si>
    <t xml:space="preserve"> Landscaping of Mayor's Boulevard Center Island, Asingan, Pangasinan.</t>
  </si>
  <si>
    <t xml:space="preserve"> REQUEST FOR EXPRESSION OF INTEREST (REI)   Contract ID No.  :  20CSM004 Contract Name   : Feasibility Study of Maligang-Tudok-T'boli Road, T'boli South Cotabato and Kiamba, Sarangani Location: T'boli South Cotabato and Kiamba, Sarangani 	 1.	The Departmen</t>
  </si>
  <si>
    <t xml:space="preserve"> Submission of Proposal Shall be on July 15, 2020 @ 1:00PM at Municipal Hall Building Anda Pangasinan.</t>
  </si>
  <si>
    <t xml:space="preserve"> Republic of the Philippines Province of South Cotabato BIDS AND AWARDS COMMITTEE Purok Maligaya, Brgy. Caloocan, Koronadal City RE-INVITATION TO BID FOR THE SUPPLY AND DELIVERY OF 84 LOADS OF SAND AND GRAVEL DIRTY MIX (14 CU.M./LOAD) WITH PROHIBITION OF S</t>
  </si>
  <si>
    <t xml:space="preserve"> Standard Form No. 60						 Revised on May 24, 2004						 REQUEST FOR QUOTATION						 Provincial Government of Romblon						 						 				Date:        July 02, 2020		 				Quotation No.:    643		 						 To Our Valued Suppliers:						 						 	Please quote your</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</si>
  <si>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</si>
  <si>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Agent CFAS 4 pails Degreaser (Aerosol) 24 cans Radiator Coolant (Neutron) 2 pails Lenyx Lenox (Tire black) 1 pail Pls. submit your quotation thru email:  mi_lynsn@yahoo.com x-x-x-x-x-x-x-x-x-x-x-x-x-x-x-x-x Total ABC  (in PhP)  82,700.00</t>
  </si>
  <si>
    <t xml:space="preserve"> VITAMINS 100 BOXES</t>
  </si>
  <si>
    <t xml:space="preserve"> 1.	The Local Government Unit of Tuao, Cagayan  through General Fund  intends to  apply the sum of  Php 216,480.00   being the Approved Budget for the Contract (ABC) to payments under the contract for PURCHASE AND DELIVERY OF OFFICE EQUIPMENT. Bids receive</t>
  </si>
  <si>
    <t xml:space="preserve"> Republic of the Philippines Province of Agusan del Norte Municipality of Nasipit BIDS AND AWARDS COMMITTEE July 01, 2020 REQUEST for QUOTATION  	The Local Government Unit of Nasipit, through its Bids and Awards Committee (BAC) will undertake a Small Value</t>
  </si>
  <si>
    <t xml:space="preserve"> 1. The City Government of Bacoor, Cavite, through the City Ordinance No. CO 562019 intends to apply the sum of TWO HUNDRED FORTY NINE THOUSAND SIX HUNDRED THIRTY TWO PESOS AND ZERO CENT (PhP249,632.00) being the total Approved Budget for the Contract (ABC</t>
  </si>
  <si>
    <t xml:space="preserve"> Republic of the Philippines Province of South Cotabato City of Koronadal BIDS AND AWARDS COMMITTEE INVITATION TO BID FOR THE  Procurement for the Supply &amp; Delivery of Two (2) Units Brand New Four (4) Wheeled Vehicles for City Accounting Office &amp; City Plan</t>
  </si>
  <si>
    <t xml:space="preserve"> Submission of Proposal shall be on July 15,2020 @1:00PM at Municipal Hall Building Anda Pangasinan.</t>
  </si>
  <si>
    <t xml:space="preserve"> 2ND INVITATION TO BID The Municipal Government of La Trinidad through the Bids and Awards Committee (BAC) invites contractors to bid for the hereunder project: Contract Reference No.: POW - 8751 - 2020 - PBN - 04 Name of Project: Construction of Drainage </t>
  </si>
  <si>
    <t xml:space="preserve"> Joaquin Elementary School Office Supplies</t>
  </si>
  <si>
    <t xml:space="preserve"> REQUEST FOR QUOTATION FOR THE SUPPLY AND DELIVERY PROCUREMENT OF VARIOUS EQUIPMENT Please quote your lowest price on the item/s listed below, subject to the General Conditions and stating the shortest time of delivery and submit your quotation duly signed</t>
  </si>
  <si>
    <t xml:space="preserve"> Printed Forms use for at Accounting Office</t>
  </si>
  <si>
    <t xml:space="preserve"> The LGU--San Andres, Quezon is Requesting for Quotation for the Purchase of Construction Materials used for Fabrication of Wooden Mosquito Frames of LGU-San Andres, Quezon.</t>
  </si>
  <si>
    <t xml:space="preserve"> REQUEST FOR QUOTATIONS Supply and Delivery of Air Conditioning Units for BU IPESR The Bicol University, through the Corporate Budget for the contract approved by the Board of Regents intends to apply the sum of Eighty-eight Thousand &amp; 00/100 Pesos (PhP88,</t>
  </si>
  <si>
    <t xml:space="preserve"> BIDS AND AWARDS COMMITTEE Office of the Chairman Request for Quotation Date:                                                                                 Quotation No.:         PR # 2020-07-279 __________________________________ _______________________</t>
  </si>
  <si>
    <t xml:space="preserve"> The Department of Agriculture invites interested suppliers to submit quotations/proposals for the hereunder requirement: ICT EQUIPMENT	 1	lot	RFID	PhP200,000.00 		-	Please see attached Technical Specification	 		GRAND TOTAL	PhP200,000.00 INSTRUCTIONS:  1.</t>
  </si>
  <si>
    <t xml:space="preserve"> ITEM No. 	DESCRIPTION	UNIT	QUANTITY 1	Portland Cement 	bag	94 2	Tile Adhesive	bag	6 3	Fine Aggregates (Baggao Quarry)	cu.m	16 4	10mm dia x 6.0m std RSB	pc	75 5	#16 Annealed Tie Wire	kg	5 6	1/4" Marine Plywood (double face)	pc	12 7	Assorted CWN	kg	8 8	4" x</t>
  </si>
  <si>
    <t xml:space="preserve"> Republic of Philippines Province of Quezon MUNICIPALITY OF REAL -oOo- BIDS AND AWARDS COMMITTEE INVITATION TO BID FOR  CONSTRUCTION OF SPILLWAY AT PUROK LAGYO, BRGY. LUBAYAT, REAL, QUEZON 1.	The Municipal Government of Real, Quezon, through the 20% Munici</t>
  </si>
  <si>
    <t xml:space="preserve"> Date: June 30, 2020 End: Diversified Individual Project for Parents and Guardians of Child Laborers   Opening of RFQ: July 6, 2020 @ 10:00 AM Venue: BAC Office, Ground Floor Municipal Hall Dolores, Eastern Samar 60 sacks Starter Feeds (50KG) 120 sacks Gro</t>
  </si>
  <si>
    <t xml:space="preserve"> COMPLETE PPE’s  INFRARED THERMOMETER Office of the Municipal  Health LGU-Lugait Municipality of Lugait Misamis Oriental</t>
  </si>
  <si>
    <t xml:space="preserve"> Construction/ Repair/ Rehabilitation/ Improvement of Various Infrastructure Including Local Projects – Rehabilitation of Balenben Road at Purok 9A, Balenben, Baguio City Contract Location :	Baguio City Approved Budget for the Contract :	Php1,960,000.00 Sc</t>
  </si>
  <si>
    <t xml:space="preserve"> Qty	Unit	Articles 240	 pcs 	Elbow 1" 320	 pcs 	Tee 1" 40	 pcs 	PVC Cover 4" 40	 pcs 	PVC Pipe 4"X 12" 40	 pcs 	SOLVENT CEMENT 50CC 40	 pcs 	3/4 " PVC Pipe(10ft) 160	 pcs 	3/4 " Elbow 80	 pcs 	1" PVC Pipe(10 ft) 		XXXXXXXXXXXXX</t>
  </si>
  <si>
    <t xml:space="preserve"> Please see attached Request for Quotation</t>
  </si>
  <si>
    <t xml:space="preserve"> Republic of the Philippines MUNICIPALITY OF BOLINAO Province of Pangasinan PROPOSED REHABILITATION OF PICOCOBUAN WHARF 1.	The LOCAL GOVERNMENT UNIT OF BOLINAO, PANGASINAN through the 20% Development Fundintends to apply an amount of Seven Million Seven Hu</t>
  </si>
  <si>
    <t xml:space="preserve"> Republic of the Philippines Province of Laguna MUNICIPALITY OF LUISIANA Invitation to Bid for Construction of Class “AA” Slaughter House with Holding Pen at Barangay San Pedro, Luisiana, Laguna 1.	The Municipal Government of Luisiana, Laguna, through the </t>
  </si>
  <si>
    <t xml:space="preserve"> REQUEST FOR EXPRESSION OF INTEREST (REI)   Contract ID No.  :  20CSM005 Contract Name   : Sub-Surface Exploration of the proposed five (5) bridges:  a) Banga-Tupi-Malungo Road (Tupi-Malungon Section) Package A b) Jct. NHW (Marbel-Makar Road) Kipalbig-Malt</t>
  </si>
  <si>
    <t xml:space="preserve"> 1 unit Tablet Specs. 10-12 Inches 4-6GB RAM 32-64 GB RM 1 Unit External Hard Drive Specs. 2TB 2 Units Monitor forr CCTV with Wall bracket Specs. LED TV 42 Inches Slim Border 1 HDMI 1 USB Port 1 VGA Port 2 units UPS with built-in AVR Specs. 1.5KVA Note: Fo</t>
  </si>
  <si>
    <t xml:space="preserve"> " Provision of Photocopying Services for the Tesda- MuntiParLasTaPat District Office (July  13,2020- December 31,2020) No.of Machines : 2 Black And White  -Design :Console type -Copy Speed:45-65 copies per minute (A4 Size) with Pc connectivity, with netwo</t>
  </si>
  <si>
    <t xml:space="preserve"> Republic of the Philippines Province of Leyte MUNICIPALITY OF TABANGO Invitation to Bid for Improvement/Rehabilitation of Evacuation Center Brgy. Manlawaan, Tabango, Leyte 1.	The Local Government of Tabango, through the 2019 LGSF-AM (Trust Fund)   intends</t>
  </si>
  <si>
    <t xml:space="preserve"> Arrival	 50	cover	Dinner	 ₱250.00  50	pax	Lodging	 ₱450.00  		Day 1	 80	cover	Breakfast	 ₱150.00  80	cover	AM Snacks	 ₱100.00  80	cover	Lunch	 ₱250.00  80	cover	PM Snacks	 ₱100.00  80	cover	Dinner	 ₱250.00  60	pax	Lodging	 ₱450.00  1	day	Hall Rental	 ₱2,0</t>
  </si>
  <si>
    <t xml:space="preserve"> 1.	The Municipality of San Antonio, Zambales, through SB Resolution No. 20-045, intends to apply the sum of Four Million Six Hundred Forty Seven Thousand Eight Hundred Eighty Nine Pesos and Seventy Centavos (PhP 4, 647, 889.70) being the Approved Budget f</t>
  </si>
  <si>
    <t xml:space="preserve"> CONSTRUCTION OF FLOOD CONTROL SYSTEM @ PUROK 4 BAYANAN, SAN PASCUAL, BATANGAS</t>
  </si>
  <si>
    <t xml:space="preserve"> RICE - 95 SACKS</t>
  </si>
  <si>
    <t xml:space="preserve"> Standard Form No. 60						 Revised on May 24, 2004						 REQUEST FOR QUOTATION						 Provincial Government of Romblon						 						 				Date:        July 02, 2020		 				Quotation No.:    680		 						 To Our Valued Suppliers:						 						 	Please quote your</t>
  </si>
  <si>
    <t xml:space="preserve"> Hardware and Construction Supplies for Installation of Handwash Area Facilities at School Grounds 16cm x 16cm Granite Tiles Finish</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</si>
  <si>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</si>
  <si>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The Philippine National Police (PNP) Health Service (HS) invites all PhilGEPS-accredited suppliers to apply for eligibility and to bid for the Procurement of Drugs &amp; Medicines. Approved Budget for Contract: Php3,000,000.00 Bid Documents shall be available</t>
  </si>
  <si>
    <t xml:space="preserve"> Republic of the Philippines Province of Leyte MUNICIPALITY OF TABANGO Invitation to Bid for Brgy. Campokpok, Tabango, Leyte 1.	The Local Government of Tabango, through the 2019 LGSF-AM (Trust Fund)   intends to apply the sum of One Million Pesos Only (Php</t>
  </si>
  <si>
    <t xml:space="preserve"> 1.	The Local Government Unit of Las Nieves, through the Budget for the Contract Approved by the Sanggunian (20% DF) intends to apply the sum of fifty six thousand seven hundred and sixty pesos only (Php 56,760.00) for Lot 1, sixty eight thousand pesos onl</t>
  </si>
  <si>
    <t xml:space="preserve"> Catering Services for Mental Health Awareness seminar for 240 participants on various dates : DATE: July 8, 2020 (1st batch) 24 Pax  ;       July 15, 2020 (6th Batch) July 9, 2020 (1st batch) 24 Pax  ;       July 16, 2020 (6th Batch) July 10, 2020 (1st ba</t>
  </si>
  <si>
    <t xml:space="preserve"> Please see attached file (RFQ-20-07-0502/0501/0504) for reference.</t>
  </si>
  <si>
    <t xml:space="preserve"> INVITATION TO BID FOR THE  Procurement for the Supply and Delivery of 11,100 Sets Educational School Supplies for Public School Grades 1-3 Students of the City-REBID. 1.	The City Government of Koronadal, through the ANNUAL BUDGET 2020, intends to apply th</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</si>
  <si>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</si>
  <si>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Republic of the Philippines DEPARTMENT OF PUBLIC WORKS AND HIGHWAYS ILOILO 1st  DISTRICT ENGINEERING OFFICE Fort San Pedro Road, Iloilo City INVITATION TO BID FOR: 20GGF0020 – Procurement of Construction Materials for use in Repair/Maintenance of National</t>
  </si>
  <si>
    <t xml:space="preserve"> 8	units	"Paper Shredder -21L, shreeding capacity at least 6 sheets of paper load, fast shredding, with protective mechanism"	 ₱7,500.00  4	units	Water Dispenser hot and cold, free standing water dispenser, bottom load: with pump, with child safety lock pr</t>
  </si>
  <si>
    <t xml:space="preserve"> Republic of the Philippines CITY OF MARIKINA SF-GOOD-05 Revised on: July 28, 2004				 													Mkna-GSO-20-298	 	BIDS AND AWARDS COMMITTEE		 NOTICE OF PROPOSED PROCUREMENT The City Government of Marikina, through its Bids and Awards Committee (BAC), w</t>
  </si>
  <si>
    <t xml:space="preserve"> The Department of Agriculture invites interested suppliers to submit quotations/proposals for the hereunder requirement: Supply and Delivery of Anniversary Polo Shirts Provision for the Secretary	 600	pcs	-	Polo Shirt 		-	Materials: 72% cotton, 28% polyes</t>
  </si>
  <si>
    <t xml:space="preserve"> The Philippine National Police (PNP) Health Service (HS) invites all PhilGEPS-accredited suppliers to apply for eligibility and to bid for the Procurement of Medical, Dental &amp; Laboratory Supplies. Approved Budget for Contract: Php3,891,013.12 Bid Document</t>
  </si>
  <si>
    <t xml:space="preserve"> Construction/ Repair/ Rehabilitation/ Improvement of Various Infrastructure Including Local Projects – Widening of Roads Including Drainages and Canals along Purok 2 and 3, Crystal Cave, Baguio City Contract Location :	Baguio City Approved Budget for the </t>
  </si>
  <si>
    <t xml:space="preserve"> REQUEST FOR QUOTATION									 SUPPLY AND DELIVERY OF LABORATORY SUPPLIES 									 									 SMALL VALUE 									 INSTRUCTION:									 1.	Supplies are required to read the instructions and fill all the blanks properly.							 2.	The supplier may submit</t>
  </si>
  <si>
    <t xml:space="preserve"> The DPWH-Ilocos Norte Second District Engineering Office, through its Bids and Awards Committee (BAC), invites contractors to submit bids for the Contract: Procurement ID/Contract ID: 20AB0131 Contract Name/Location: CONSTRUCTION OF TWO (2) STOREY-SIX (6)</t>
  </si>
  <si>
    <t xml:space="preserve"> The Philippine Statistics Authority – Misamis Oriental Branch , (PSA-Mis. Or.) through its Technical Working Group (TWG ), will undertake an Alternative Mode of Procurement through Negotiated Procurement -for the items stated below,  in accordance with Se</t>
  </si>
  <si>
    <t xml:space="preserve"> INVITATION TO BID 1.	The Department of Public Works and Highways, through its Bids and Awards Committee (BAC) invites Suppliers to submit bids for the following contract: 1.	Contract ID	20GM0008 Contract Name &amp; Location	PROCUREMENT OF DRYDOCKING AND REPAI</t>
  </si>
  <si>
    <t xml:space="preserve"> REQUEST FOR EXPRESSION OF INTEREST (REI)   Contract ID No.  :  20CSM006 Contract Name   : Sub-Surface Exploration of the proposed seven (7) bridges:  a) Tacurong East By-Pass Road from Brgy. San Antonio – D’Ledema-San Pablo connecting to Brgy. Kalandagan </t>
  </si>
  <si>
    <t xml:space="preserve"> The Department of Agrarian Reform Provincial Office of  Cagayan (DARPO), through its Bids and Awards Committee (BAC), will undertake a Negotiated Procurement (Small Value Procurement) for the General Overhauling of RP Vehicle (Mazda 138001), in accordance</t>
  </si>
  <si>
    <t xml:space="preserve"> The DPWH-Ilocos Norte Second District Engineering Office, through its Bids and Awards Committee (BAC), invites contractors to submit bids for the Contract: Procurement ID/Contract ID: 20AB0130 Contract Name/Location: CONSTRUCTION OF TWO (2) STOREY-SIX (6)</t>
  </si>
  <si>
    <t xml:space="preserve"> The National Irrigation Administration-Regional Office 12, Villarica, Midsayap, Cotabato, through the Fund 501 has the Approved Budget for the Contract (ABC) amounting to SEVENTY FOUR THOUSAND THREE HUNDRED THIRTY PESOS ONLY (P 74,330.00). Quotation recei</t>
  </si>
  <si>
    <t xml:space="preserve"> Supply &amp; Delivery of Construction Materials for the Improvement of OSCA Building at Sta. Cruz, Municipality of Bongabong, Oriental Mindoro</t>
  </si>
  <si>
    <t xml:space="preserve"> Republic of the Philippines CITY OF MARIKINA SF-GOOD-05 Revised on: July 28, 2004				 													Mkna-GSO-20-299	 	BIDS AND AWARDS COMMITTEE		 NOTICE OF PROPOSED PROCUREMENT The City Government of Marikina, through its Bids and Awards Committee (BAC), w</t>
  </si>
  <si>
    <t xml:space="preserve"> INVITATION TO BID 1.	The Department of Public Works and Highways, through its Bids and Awards Committee (BAC) invites Suppliers to submit bids for the following contract: 2.	Contract ID	20GM0009 Contract Name &amp; Location	SUPPLY AND DELIVERY OF DREDGE EQUIP</t>
  </si>
  <si>
    <t xml:space="preserve"> Contract Name: Completion of Motorpool- Bulanao Campus Contract ID Number: IB_CivilWorks_2020-07-035 Location of the Contract: KSU Main Campus, National Highway, Purok 6, Bulanao, Tabuk City, Kalinga Lot and Reference: One Lot - Completion of Motorpool- B</t>
  </si>
  <si>
    <t xml:space="preserve"> The DPWH-Ilocos Norte Second District Engineering Office, through its Bids and Awards Committee (BAC), invites contractors to submit bids for the Contract: Procurement ID/Contract ID: 20AB0133 Contract Name/Location: CONSTRUCTION OF TWO (2) STOREY-SIX (6)</t>
  </si>
  <si>
    <t xml:space="preserve"> Please see attached document in the associated component section.</t>
  </si>
  <si>
    <t xml:space="preserve"> Construction/ Repair/ Rehabilitation/ Improvement of Various Infrastructure Including Local Projects – Construction of Concrete Road along Pedro Fuentes St., Dominican Mirador, Baguio City Contract Location :	Baguio City Approved Budget for the Contract :</t>
  </si>
  <si>
    <t xml:space="preserve"> PROCUREMENT TERMS &amp; CONDITIONS					 1	The Total Approved Budget for the Contract (ABC) is Php 5,921.00.				 2	Price quotation should be inclusive of tax obligations.				 3	Delivery period is 10 calendar days from the receipt of NOA &amp; PO.				 4	If awarded </t>
  </si>
  <si>
    <t xml:space="preserve"> One (1) Geological Pocket Transit (Compass) One (1) Handheld GPS</t>
  </si>
  <si>
    <t xml:space="preserve"> The DPWH-Ilocos Norte Second District Engineering Office, through its Bids and Awards Committee (BAC), invites contractors to submit bids for the Contract: Procurement ID/Contract ID: 20AB0132 Contract Name/Location: CONSTRUCTION OF TWO (2) STOREY-SIX (6)</t>
  </si>
  <si>
    <t xml:space="preserve"> Representation Expenses</t>
  </si>
  <si>
    <t xml:space="preserve"> Installation of 9 units of Streetlights</t>
  </si>
  <si>
    <t xml:space="preserve"> Republic of Philippines Province of Quezon MUNICIPALITY OF REAL -oOo- BIDS AND AWARDS COMMITTEE INVITATION TO BID FOR  FLOOD CONTROL PROJECT AT POBLACION 61 &amp; POBLACION 1, REAL, QUEZON 1.	The Municipal Government of Real, Quezon, through the 20% Municipal</t>
  </si>
  <si>
    <t xml:space="preserve"> Declogging of canal of seven (7) barangay sitios</t>
  </si>
  <si>
    <t xml:space="preserve"> Supply and Delivery of Materials for the Provision of Potable Water System.</t>
  </si>
  <si>
    <t xml:space="preserve"> INVITATION OF BID The Municipality of Anda, Pangasinan, through its Bids and Awards Committee, invites bidder/suppliers to submit their Bid for the hereunder contract; Name of Contract: DELIVERY OF MIXED GRAVEL FOR STOCK PILLING FOR MAINTENANCE OF ROADS L</t>
  </si>
  <si>
    <t xml:space="preserve"> Republic of Philippines Province of Quezon MUNICIPALITY OF REAL -oOo- BIDS AND AWARDS COMMITTEE INVITATION TO BID FOR  SUPPLY &amp; DELIVERY OF TWO (2) UNITS OF SMART TELEVISION FOR MEETINGS, CONFERENCES AND PRESENTATIONS 1.	The Municipal Government of Real, </t>
  </si>
  <si>
    <t xml:space="preserve"> REQUEST FOR QUOTATION (RFQ) Supply and Delivery various Video Streaming Equipment use by CFO The Commission on Filipinos Overseas invites PhilGEPS registered supplier to apply for the eligibility and to quote the lowest price for the Supply and Delivery v</t>
  </si>
  <si>
    <t xml:space="preserve"> Please see attached RFQ. ABC: 122,000.00</t>
  </si>
  <si>
    <t xml:space="preserve"> Please see attached file (RFQ-20-07-0503) for reference.</t>
  </si>
  <si>
    <t xml:space="preserve"> 15	pcs	Ring Binder ( A4, 3 ring, D-type, 2.5 inches thickness, with fron and side pockets for label) 200	packs	Cleersheets Refill (A4, 11 wholes, 10 sheets) 20	reams	A4 bond paper 70gsm 20	reams	long bond paper 70gsm 5	reams	long bond paper 80gsm</t>
  </si>
  <si>
    <t xml:space="preserve"> Republic of the Philippines CITY OF MARIKINA SF-GOOD-05 Revised on: July 28, 2004				 													Mkna-GSO-20-300	 	BIDS AND AWARDS COMMITTEE		 NOTICE OF PROPOSED PROCUREMENT The City Government of Marikina, through its Bids and Awards Committee (BAC), w</t>
  </si>
  <si>
    <t xml:space="preserve"> REQUEST FOR QUOTATION											 SUPPLY AND DELIVERY OF OFFICE SUPPLIES											 SHOPPING											 											 INSTRUCTION:										              	 	1.	Supplies are required to read the instructions and fill all the blanks properly.									 	2.	The </t>
  </si>
  <si>
    <t xml:space="preserve"> 5   units   Exterior Tire 195 x 15 x 8 ply tubeless, radial 1   unit     Battery 12 volts, 13 plates Maintenance Free 2   unit     Battery 12 volts, 9 plates Maintenance Free (For Generator 75KVA) w-w-w-w-w-w-w-w-w-w-w-w-w-w-w-w-w-w-w-w-w-w</t>
  </si>
  <si>
    <t xml:space="preserve"> 100 reams A4 size Bond Paper 70gsm 100 reams Long size Bond Paper 70gsm</t>
  </si>
  <si>
    <t xml:space="preserve"> Section I. Invitation to Bid FOR THE UPLB-RES-032-07-20  SUPPLY AND DELIVERY OF BRANDED AND BRAND NEW VEHICLES FOR CEAT-AMTEC 1.	The UNIVERSITY OF THE PHILIPPINES LOS BAÑOS (UPLB), through the GOP (LB03050001-C0002301; N824932) intends to apply the sum of</t>
  </si>
  <si>
    <t xml:space="preserve"> INVITATION TO BID 1.	The Department of Public Works and Highways, through its Bids and Awards Committee (BAC) invites Suppliers to submit bids for the following contract: 2.	Contract ID	20GM0010 Contract Name &amp; Location	PROCUREMENT OF SHOP TOOLS AND EQUIP</t>
  </si>
  <si>
    <t xml:space="preserve"> Drainage Canal: Length=104.00m; Width=0.70m; Depth=0.50m</t>
  </si>
  <si>
    <t xml:space="preserve"> Request for Quotation RFQ No.		SVP-025-2020 MR No.		10752 Requisition No. 	CORPLAN.06.11.2020 Posting Date:         	July 2, 2020 Deadline for Submission:		July 8, 2020 at 9:00 AM Opening Date:	July 8, 2020 at 10:00 AM 	 TO:	Name of Supplier:_____________</t>
  </si>
  <si>
    <t xml:space="preserve"> REPUBLIC OF THE PHILIPPINES PROVINCE OF CEBU MUNICIPALITY OF PINAMUNGAJAN Invitation to Bid for:  INSTALLATION OF CULVERTS &amp; RATIONALIZATION OF DRAINAGE CANAL IN BARANGAY GUIMBAWIAN 1.The MUNICIPALITY OF PINAMUNGAJAN, through the GENERAL FUND  intends to </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</si>
  <si>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</si>
  <si>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REQUEST FOR QUOTATION									 									 REQUEST FOR QUOTATION 									 	SUPPLY AND DELIVERY OF  LABORATORY SUPPLIES 								  THE  Must be email at bpibac@yahoo.com 									 SHOPPING 									 INSTRUCTION:									 1.	Supplies are required to read the </t>
  </si>
  <si>
    <t xml:space="preserve"> REQUEST FOR QUOTATION (RFQ) Supply, Delivery and Installation of Outdoor LED Monitor for CFO The Commission on Filipinos Overseas invites PhilGEPS registered supplier to apply for the eligibility and to quote the lowest price for the Supply, Delivery and </t>
  </si>
  <si>
    <t xml:space="preserve"> REPUBLIC OF THE PHILIPPINES PROVINCE OF CEBU MUNICIPALITY OF PINAMUNGAJAN CONSTRUCTION OF BASKETBALL COURT IN SITIO LAGBANGON BRGY. ANISLAG (with Fabrication &amp; Installation of 1 pair goals, boards &amp; rings) 1.	The MUNICIPALITY OF PINAMUNGAJAN, through the </t>
  </si>
  <si>
    <t xml:space="preserve"> REQUEST FOR QUOTATION (RFQ) Supply and Delivery of Air Purifiers use to manage public health Pandemic for CFO Manila Office The Commission on Filipinos Overseas invites PhilGEPS registered supplier to apply for the eligibility and to quote the lowest pric</t>
  </si>
  <si>
    <t xml:space="preserve"> PR 2020-451 Supply and Delivery of Plumbing Supplies ABC Php 800,300.00 Terms of Payment: within 120 days after complete delivery Date: July 1, 2020 RFQ No.: 2020-07-063 PR No.: 2020-07-451 To All Eligible Suppliers Please quote your lowest price inclusiv</t>
  </si>
  <si>
    <t xml:space="preserve"> Republic of Philippines Province of Quezon MUNICIPALITY OF REAL -oOo- BIDS AND AWARDS COMMITTEE INVITATION TO BID FOR  SUPPLY &amp; DELIVERY OF THREE (3) UNITS OF MOTORCYCLE FOR OPERATIONS OF TRAFFIC MANAGEMENT TEAM 1.	The Municipal Government of Real, Quezon</t>
  </si>
  <si>
    <t xml:space="preserve"> Storage Box</t>
  </si>
  <si>
    <t xml:space="preserve"> 1 unit of 3 in 1 Printer with continuous ink, scanner and copier for legal size paper</t>
  </si>
  <si>
    <t xml:space="preserve"> REPUBLIC OF THE PHILIPPINES PROVINCE OF CEBU MUNICIPALITY OF PINAMUNGAJAN Invitation to Bid for : CONSTRUCTION OF BASKETBALL COURT  (with Fabrication &amp; Installation of 1 pair goals, boards &amp; rings), Sitio Rattan, Brgy. Sacsac 1.The MUNICIPALITY OF PINAMUN</t>
  </si>
  <si>
    <t xml:space="preserve"> This project covers the Construction of Multi-Purpose Building at Brgy. Maracta, Lumban, Laguna</t>
  </si>
  <si>
    <t xml:space="preserve"> Please see attached RFQ. ABC: 70,000.00</t>
  </si>
  <si>
    <t xml:space="preserve"> To All Eligible Suppliers: Please quote your lowest price on the item/s listed below, subject to the General Conditions, stating the shortest time of delivery and submit your quotation duly signed by your representative not later than the set deadline at </t>
  </si>
  <si>
    <t xml:space="preserve"> Republic of the Philippines Province of Albay Municipality of Sto. Domingo Bids and Awards Committee 	 Invitation to Apply for Eligibility and to Bid: 07-01-2020 	The LGU- Sto. Domingo, Albay through its Bids and Awards Committee (BAC) invites Suppliers/M</t>
  </si>
  <si>
    <t xml:space="preserve"> 25   Pcs.  Door knobs, Heavy Duty 15   Pcs.  Marine Plywood 1/4" x 4 x 8 15   Pcs.  Plywood ordinary 1/4" x 4 x 8 100 Pcs.  CFL 18 watts, 30   Pcs.  Incandescent bulbs 100watts w-w-w-w-w-w-w-w-w-w-w-w-w-w-w-w</t>
  </si>
  <si>
    <t xml:space="preserve"> INVITATION TO BID FOR THE SUPPLY AND DELIVERY OF FOOD AND BEVERAGES FOR CASINO CUSTOMERS, PLAYERS AND GUESTS FOR THREE (3) YEARS FOR RONQUILLO SATELLITE UNDER ITB NO. PB20-06-035COR The Philippine Amusement and Gaming Corporation (PAGCOR) is inviting all </t>
  </si>
  <si>
    <t xml:space="preserve"> Procurement of supply and delivery of POCKET WIFI 14	Piece	Pocket Wifi •	4G LTE supported with up to 150 MBps download and 50 Mbps upload speed •	Supports up to devices simultaneously •	With screen display for traffic statistics, W-Fi status, user number,</t>
  </si>
  <si>
    <t xml:space="preserve"> PLEASE REFER TO THE ATTACHMENT</t>
  </si>
  <si>
    <t xml:space="preserve"> ITEM 1	2” x 2” x 8’ Good Lumber	25	Pcs. ITEM 2	2” x 2” x 12’ Good Lumber	25	Pcs. ITEM 3	Nylon #120      	                3	Kgs. ITEM 4	CW Nails # 2 ½” , 3” , 4”    20	Kgs  ITEM 5	Mixed Sand and Gravel	20	Cu. M. ITEM 6	16mm dia. Def. bars	        18	length</t>
  </si>
  <si>
    <t xml:space="preserve"> (Please see also attached.) INVITATION TO BID Supply, Delivery and Testing of Float Assisted Walking-Type Agricultural Tractors (PHilMech RCEF 20-06-03) 1. The Philippine Center for Postharvest Development and Mechanization (PHilMech) through its FY 2019 </t>
  </si>
  <si>
    <t xml:space="preserve"> Procurement of supply and delivery of Molasses and vermicast 30	Container	Molasses 20 liters/container 65	Bag	Vermicast 50 kilograms/bag PR# 2020-1043</t>
  </si>
  <si>
    <t xml:space="preserve"> *For additional information and any inquiries, please look for Ms. Paula de Mesa. Contact details: Telefax : 8733 4861/71 Email: paula.demesa@pms.gov.ph 12 pcs. PLASTIC TABLE WITH METAL LEGS Dimensions: Approx: 72.2 in. L x 30 in. W x 29 in. H (183.5 x 76</t>
  </si>
  <si>
    <t xml:space="preserve"> Invitation to Bid for the  Construction of Campus Perimeter Fence (Phase 1) (19-09-0292-Bilar) 1.	The Bohol Island State University - Bilar Campus, through the GoP-GAA 2020 intends to apply the sum of Five Million Five Hundred Thousand Pesos only         </t>
  </si>
  <si>
    <t xml:space="preserve"> 1	pc.	Transmission Assy. 1	pc	Clutch Sleeve Assy. 1	pc	Silicon 1	gal	Gep. 140 oil 1	pc	Electrical tape 3	pcs	Bulb 2	gal.	Engine Oil Delo gold 1	pc	Oil Filter 1	pc	Fuel Filter 1	pc	Wheel Cylinder 		kerosene 		Labor 1	pc	Down transmission assy. For replaced</t>
  </si>
  <si>
    <t xml:space="preserve"> Republic of the Philippines CITY OF MARIKINA SF-GOOD-05 Revised on: July 28, 2004				 													Mkna-GSO-20-301	 	BIDS AND AWARDS COMMITTEE		 NOTICE OF PROPOSED PROCUREMENT The City Government of Marikina, through its Bids and Awards Committee (BAC), w</t>
  </si>
  <si>
    <t xml:space="preserve"> REQUEST FOR QUOTATION											 SUPPLY AND DELIVERY OF JANITURIAL SUPPLIES											 SMALL VALUE 											 											 INSTRUCTION:										              	 	1.	Supplies are required to read the instructions and fill all the blanks properly.									 </t>
  </si>
  <si>
    <t xml:space="preserve"> (Please see attached.) INVITATION TO BID Supply, Delivery and Testing of Rice Precision Seeders  (PHilMech-RCEF-20-06-04) 1. The Philippine Center for Postharvest Development and Mechanization (PHilMech) through its FY 2019  &amp; FY 2020 Rice Competitive Enh</t>
  </si>
  <si>
    <t xml:space="preserve"> 1.  The Department of National Defense/Armed Forces of the Philippines (DND/AFP), through the General Appropriations Act (GAA) intends to apply the sum of Two Billion Nine Hundred Fifty-Three Million Twenty-One Thousand Two Hundred Fifty-Two and 81/100 Pe</t>
  </si>
  <si>
    <t xml:space="preserve"> 40	Unit	Respirator Mask with Filter set, size: medium 		 10	Unit	Respirator Mask with Filter set, size: Large 		 		Specs: 		Soft, lightweight face piece 		Can be cleaned and reusable 		with adjustable head straps 		approved for negative pressure air purif</t>
  </si>
  <si>
    <t xml:space="preserve"> Name of the Procuring Entity							Project Reference Number	7081508		 DENR-PENRO, Surigao del Norte							Name of the Project	CATERING SERVICES		 										 							Location of the Project	DENR-PASU-SIPLAS, SDN		 										 Standard Form Number: SF-GOOD-60</t>
  </si>
  <si>
    <t xml:space="preserve"> REQUEST FOR QUOTATION									 SUPPLY AND DELIVERY OF OFFICE SUPPLIES									 SMALL VALUE									 									 INSTRUCTION:									 	1.	Supplies are required to read the instructions and fill all the blanks properly.							 	2.	The supplier may submit the</t>
  </si>
  <si>
    <t xml:space="preserve"> Qty	Unit	 Articles / Description 				 26	unit 	Solar Panel , 20watts				 26	unit 	Charge controller with USB 5 amp.				 26	pc	Battery 20 AH				 26	pc	DC bulb 5 watts 12volts				 26	pc	DC bulb 3 watts 12volts				 26	set	Wires and connectors				 ......pleas</t>
  </si>
  <si>
    <t xml:space="preserve"> Please see attached RFQ. ABC: 85,000.00</t>
  </si>
  <si>
    <t xml:space="preserve"> Name of the Procuring Entity							Project Reference Number	7081499		 DENR-PENRO, Surigao del Norte							Name of the Project	CATERING SERVICES		 										 							Location of the Project	DENR-PASU-SIPLAS, SDN		 										 Standard Form Number: SF-GOOD-60</t>
  </si>
  <si>
    <t xml:space="preserve"> RFQ-GS-20200615-01 Interested Suppliers are invited to submit Price Quotation for the above listed item. The official LANDBANK Request for Quotation Form may be obtained from MS. LUBELLE LUMABAS (email address: landbank2290@gmail.com). The deadline for th</t>
  </si>
  <si>
    <t xml:space="preserve"> The Department of Agriculture invites interested suppliers to submit quotations/proposals for the hereunder requirement: SUPPLY AND DELIVERY OF DRINKING WATER (5 GAL./BOTTLE) WITH FREE USE OF 107 UNITS OF HOT AND COLD WATER DISPENSER FOR CY 2020	 5408	Bot</t>
  </si>
  <si>
    <t xml:space="preserve"> Republic of the Philippines CITY OF MARIKINA SF-GOOD-05 Revised on: July 28, 2004				 													Mkna-GSO-20-302	 	BIDS AND AWARDS COMMITTEE		 NOTICE OF PROPOSED PROCUREMENT The City Government of Marikina, through its Bids and Awards Committee (BAC), w</t>
  </si>
  <si>
    <t xml:space="preserve"> PRINTING OF LEARNERS MODULE FOR SENIOR HIGH SCHOOL 541,742 PAGES</t>
  </si>
  <si>
    <t xml:space="preserve"> Province of Negros Occidental Bids &amp; Awards Committee Bacolod City INVITATION TO BID  The Provincial Government of Negros Occidental through its Bids and Awards Committee [BAC] invites interested bidders to apply for eligibility and to bid, for the follow</t>
  </si>
  <si>
    <t xml:space="preserve"> Republic of the Philippines PROVINCE OF BUKIDNON Municipality of Don Carlos PROCUREMENT UNIT                 RA-11469 – THE BAYANIHAN TO HEAL AS ONE ACT REQUEST FOR QUOTATION 									 							Date:  							RFQ No.		                                        </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</si>
  <si>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</si>
  <si>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STAMP PAD INK	5 	bottle &gt;purple or violet		 STAMP PAD	5 	pad &gt;FELT		 &gt;bed dimension: 60mm x 100mm min		 STAPLE WIRE	10 	box &gt;for heavy duty staplers		 &gt;(23/13)		 FOLDER	150 	pcs &gt;Hardbound		 &gt;Legal size		 &gt;Red</t>
  </si>
  <si>
    <t xml:space="preserve"> Republic of the Philippines Department of Education Region VI – Western Visayas DIVISION OF AKLAN Numancia, Aklan REQUEST FOR QUOTATION (RFQ) Project No: DepED-RO6-D1-SGOD(DRRM)-049-2020 The Department of Education Division of Aklan, through its Bids and </t>
  </si>
  <si>
    <t xml:space="preserve"> Invitation to Bid The LGU Alangalang, through its Bids and Awards Committee (BAC), invites prospective bidders to apply for eligibility and to bid for the hereunder project: Name of Project  :   FLOOD CONTROL PROJECT FOR BRGY. STO. NINO, ALANGALANG, LEYTE</t>
  </si>
  <si>
    <t xml:space="preserve"> RFQ-GS-20200610-01 Interested Suppliers are invited to submit Price Quotation for the above listed item. The official LANDBANK Request for Quotation Form may be obtained from MS. KIM STO. TOMAS (tel no. 85512200 locals 2452, 2453; email address: kimjoyang</t>
  </si>
  <si>
    <t xml:space="preserve"> Office supplies 1	gallon	ALCOHOL, 70% Solution (Anti Septic / Disinfectant)		18	 2	box	FACE MASK, Surgical disposable (50pcs/box)		7	 3	gallon	LIQUID HAND SOAP, Antibacterial		17	 4	pack	TISSUE, Interfolded Paper Towel, 175 pulls		82	 5	piece	DOOR MAT, cl</t>
  </si>
  <si>
    <t xml:space="preserve"> Removal of existing structure excavation works concrete works with a volume of 57.60 m3. Installation/Fabrication of steel gratings with a total length of 480 l.m barricades and safety measures then hauling &amp; disposal of spoils.</t>
  </si>
  <si>
    <t xml:space="preserve"> The National Center for Mental Health (NCMH) is inviting all Phil-GEPS registered supplier for the Quotation for the Supply and Delivery of Dietary Supplies (Housekeeping &amp; Miscellaneous) LOT CY 2020. (complete Technical Specifications are indicated in th</t>
  </si>
  <si>
    <t xml:space="preserve"> Project consist of the removal of existing streetlights installation of new electrical wires and circuit breaker installation of Q2 units 120 watts led streetlights with brackets.</t>
  </si>
  <si>
    <t xml:space="preserve"> Improvement of Drainage system open canal with steel grating with length of 200.0 l.m. RCPC 450mm (18") with length of 10.0 l.m. construction of manhole, 3 units PCC Pavement.</t>
  </si>
  <si>
    <t xml:space="preserve"> Improvement of Drainage System with total length of 209.0 l.m.</t>
  </si>
  <si>
    <t xml:space="preserve"> INVITATION TO BID FOR THE SUPPLY AND DELIVERY OF ELECTRICAL SUPPLIES FOR THE MAINTENANCE OF TANAUAN PUBLIC PLAZA, PUBLIC MARKET, SLAUGHTER HOUSE AND MUNICIPAL BUILDINGS, TO WIT: PLEASE SEE ATTACHED SPECIFICATIONS: 1. The Local Government Unit of Tanauan, </t>
  </si>
  <si>
    <t xml:space="preserve"> 1.  The Department of National Defense/Armed Forces of the Philippines (DND/AFP), through the General Appropriations Act (GAA) intends to apply the sum of One Billion Four Hundred Seventeen Million Seven Hundred Forty-Three Thousand Five Hundred Sixty-Sev</t>
  </si>
  <si>
    <t xml:space="preserve"> Name of the Procuring Entity							Project Reference Number	7081534		 DENR-PENRO, Surigao del Norte							Name of the Project	CATERING SERVICES		 										 							Location of the Project	PASU-SIPLAS, SDN		 										 Standard Form Number: SF-GOOD-60					</t>
  </si>
  <si>
    <t xml:space="preserve"> Construction of Covered Pathwalk with a total length of 41.60 m.</t>
  </si>
  <si>
    <t xml:space="preserve"> Name of the Procuring Entity							Project Reference Number	7081557		 DENR-PENRO, Surigao del Norte							Name of the Project	CATERING SERVICES		 										 							Location of the Project	PASU-SIPLAS, SDN		 										 Standard Form Number: SF-GOOD-60					</t>
  </si>
  <si>
    <t xml:space="preserve"> Purchase of 10 Units of Cell Phone</t>
  </si>
  <si>
    <t xml:space="preserve"> ALCOHOL	6 	gallon &gt;ethyl		 &gt;68%-70%		 &gt;scented		 Disposable Surgical Mask	5 	box &gt; 3-ply, earloop		 &gt; Hypo-allergenic		 &gt; Fluid resistant		 &gt; form-fit design		 &gt; 99% Bacterial Filtration Efficiency (BFE)		 &gt; 50pcs/box</t>
  </si>
  <si>
    <t xml:space="preserve"> Procurement of 160 Drums Asphalt Cement Pen. Grade 60/70 (200 Liters/Drum) for Use in the Repair/Maintenance of Paved Road along Various National Roads of DPWH Iloilo 2nd DEO, Balabag, Dumangas, Iloilo</t>
  </si>
  <si>
    <t xml:space="preserve"> RFQ-GS-20200622-02 Interested Suppliers are invited to submit Price Quotation for the above listed item. The official LANDBANK Request for Quotation Form may be obtained from MS. CHARM FLORIDO (tel no. 85512200 locals 2290, 2979; email address: dudonmarca</t>
  </si>
  <si>
    <t xml:space="preserve"> Republic of the Philippines Department of Education Region VI – Western Visayas DIVISION OF AKLAN Numancia, Aklan REQUEST FOR QUOTATION (RFQ) Project No: DepED-RO6-D1-OSDS(ACCOUNTING)-048-2020 The Department of Education Division of Aklan, through its Bid</t>
  </si>
  <si>
    <t xml:space="preserve"> the projevt improvement of drainage system consists of cleaning &amp; grabbing with an area of 318 m2 structure excavation volume= 199 m3. cofferdam stone masonry rubble concrete class "B" in place V= 131 m3 boulder fill &amp; filler in place V= 136 m3 Embankment</t>
  </si>
  <si>
    <t xml:space="preserve"> EPSON INK #003 BK	10 	pc</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</si>
  <si>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</si>
  <si>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Construction of concrete revetment with a total length of 117.0 l.m.</t>
  </si>
  <si>
    <t xml:space="preserve"> Purchase of Medical Supplies for Barangay Bolbok health workers and front liners.</t>
  </si>
  <si>
    <t xml:space="preserve"> INVITATION TO BID FOR THE SUPPLY AND DELIVERY OF PVC MAT (HEAVY DUTY), TO WIT: PLEASE SEE ATTACHED SPECIFICATIONS: 1. The Local Government Unit of Tanauan, Leyte through General Fund intends to apply the sum of ONE HUNDRED SIXTY THOUSAND PESOS ONLY (Php 1</t>
  </si>
  <si>
    <t xml:space="preserve"> Republic of the Philippines Province of Cotabato Municipality of Arakan Barangay Malibatuan BIDS AND AWARDS COMMITTEE REQUEST FOR QUOTATION Meals and Snack for Mothers Class Activity  The Barangay Local Government Unit of Malibatuan is inviting interested</t>
  </si>
  <si>
    <t xml:space="preserve"> Contract ID: 20KF0123 Contract Name: Repair/Rehabilitation of DENR Building Main Building at Brgy. Tubod, Iligan City Contract Location: Tubod, Iligan City Brief Description: Other General Requirements (Volume II), Earthworks (Volume III), Plain and Reinf</t>
  </si>
  <si>
    <t xml:space="preserve"> Procurement of Toner for use in the office of DPWH Iloilo 2nd DEO, Balabag, Dumangas, Iloilo</t>
  </si>
  <si>
    <t xml:space="preserve"> 1	1	Lot	Supply and Delivery of Office Supplies  			Item Description: 	140	Pcs	SIGN PEN, BLUE, liquid/gel ink, 0.5mm needle tip 	140	Pcs	SIGN PEN, BLACK, liquid/gel ink, 0.5mm needle tip 	14	Pack	BATTERY, dry cell, AAA, 2 pieces per blister pack 	14	Roll	T</t>
  </si>
  <si>
    <t xml:space="preserve"> Contract ID: 20KF0122 Contract Name: Repair/Maintenance of DOTR Building LTO Building 1st East Contract Location: Tubod, Iligan City Brief Description: Other General Requirements, Earthworks, Civil Works, Finishings, Electricals Approved Budget for the Co</t>
  </si>
  <si>
    <t xml:space="preserve"> Purchase of Various Drugs and Medicines for Barangay Bolbok, Batangas City</t>
  </si>
  <si>
    <t xml:space="preserve"> 8 SET WINDOW FRAME 200 PIECE WINDOW BLADES 10 SHEET MARINE PLYWOOD 38 PIECE LUMBER 2X2X8 1 KILO COMMON NAIL #2 2 KILO COMMON NAIL #3 10 PIECE GARDEN BOLO 2 PIECE SPRINKLER 18 PACK SEEDS ASSORTED 1 PIECE SHOVEL 1 PIECE RAKE 300 PIECE MEDICINE 14 BOTTLE ALC</t>
  </si>
  <si>
    <t xml:space="preserve"> Republic of the Philippines Province of Cotabato Municipality of Arakan Barangay Poblacion BIDS AND AWARDS COMMITTEE REQUEST FOR QUOTATION Construction of Multi-purpose Facility@ IP Village  The Barangay Local Government Unit of Poblacion is inviting inte</t>
  </si>
  <si>
    <t xml:space="preserve"> Republic of the Philippines Province of Cotabato Municipality of Arakan Barangay Malibatuan BIDS AND AWARDS COMMITTEE REQUEST FOR QUOTATION Meals and Snack for convocation Program The Barangay Local Government Unit of Malibatuan is inviting interested sup</t>
  </si>
  <si>
    <t xml:space="preserve"> Procurement of Fuel Supply for Government Vehicle for the Transportation Used Diesel/Gasoline - 2, 571 Liters TERM OF REFERENCE: 1. The procurement of products using the WPP index, the Bid Price shall be determined based on the prospective supplier's WPP </t>
  </si>
  <si>
    <t xml:space="preserve"> 200 pcs. Rapid Testing Kit  Amount Approved: 195,000.00 Source of Fund: General</t>
  </si>
  <si>
    <t xml:space="preserve"> Republic of the Philippines Province of Cotabato Municipality of Arakan Barangay Poblacion BIDS AND AWARDS COMMITTEE REQUEST FOR QUOTATION Purchase of Office Supply The Barangay Local Government Unit of Poblacion is inviting interested suppliers to submit</t>
  </si>
  <si>
    <t xml:space="preserve"> Republic of the Philippines Province of Cotabato Municipality of Arakan Barangay Poblacion BIDS AND AWARDS COMMITTEE REQUEST FOR QUOTATION Construction of Multi-purpose Facility@ sitio Napanlahan The Barangay Local Government Unit of Poblacion is inviting</t>
  </si>
  <si>
    <t xml:space="preserve"> RFQ-GS-20200206-06(2) Interested Suppliers are invited to submit Price Quotation for the above listed item. The official LANDBANK Request for Quotation Form may be obtained from MS. CHARM FLORIDO (tel no. 85512200 locals 2452, 2453; email address: charm.f</t>
  </si>
  <si>
    <t xml:space="preserve"> Republic of the Philippines Province of Cotabato Municipality of Arakan Barangay Poblacion BIDS AND AWARDS COMMITTEE REQUEST FOR QUOTATION Rehabilitation of Multi-purpose Facility( Barangay Health Center) The Barangay Local Government Unit of Poblacion is</t>
  </si>
  <si>
    <t xml:space="preserve"> REQUEST FOR QUOTATION (RFQ) Date: July 1, 2020 R.I.S. No.:	20-88-013 Gentlemen:			 Please submit your lowest price quotation (including taxes and government discounts) on charged account basis, on the following supplies/materials/ equipment or labor for t</t>
  </si>
  <si>
    <t xml:space="preserve"> 125	Set	Learner's Kit 1	Pc	Stretcher 1	pc	Radio Phone 1	Pcs	Back Saw 1	Tank	Fire Extinguisher (small) 10 L 1	Unit	Aluminum Ladder 1	roll	Rope</t>
  </si>
  <si>
    <t xml:space="preserve"> Military, Police &amp; Traffic Supplies</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</si>
  <si>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</si>
  <si>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P.R NO. 100-2020-06-0332 INFORMATION TECHNOLOGY AND ACCESSORIES USE FOR RHU 1</t>
  </si>
  <si>
    <t xml:space="preserve"> Non-contact Thermal Facial Recognition with Hand Sanitizer Dispenser		2 	unit &gt;Operating System Android 7.1.2 System			 &gt;Thermal Array 16*4 px			 &gt;Field of View 60°*15°			 &gt;Max Infrared Image Size ≥320*240.0.5m - Error of±0.3			 &gt;Camera Resolution 2 milli</t>
  </si>
  <si>
    <t xml:space="preserve"> 8 SET WINDOW FRAME ALUMINUM 200 PIECE WINDOW BLADE 16 GALLON ROOF PAINT 4 PIECE PAINT BRUSH #4 12 GALLON LATEX PAINT READY MIX 5 PIECE PAINT BRUSH #3 2 PIECE PAINT BRUSH #10 2 PAINT TRAY 24 REAM BOND PAPER (LONG) 24 BOTTLE PRINTER INK (ASSORTED) 50 PIECE </t>
  </si>
  <si>
    <t xml:space="preserve"> 1st Batch Hands on Training on Financial Management on July 7,8,9,10,13,14,15,16, 2020 15 pax Snack AM (Sandwich and Bottled Juice) 15 pax Lunch (Rice,Meat/Chicken,Vegetable,Banana and Bottled Water) 15 pax Snack PM (Sandwich and Bottled Juice) 2nd Batch </t>
  </si>
  <si>
    <t xml:space="preserve"> Supply &amp; Delivery of office supplies 01D GASS G04-2020 Kindly see attached file. Thank you!</t>
  </si>
  <si>
    <t xml:space="preserve"> REQUEST FOR QUOTATION The Bureau of Jail Management and Penology — National Headquarters (BJMPNHQ), through its Bids and Awards Committee, intends to procure Provision of Redundancy Direct Internet Connection Service Connection to BJMP National Headquarte</t>
  </si>
  <si>
    <t xml:space="preserve"> Repair and Improved School Fencing</t>
  </si>
  <si>
    <t xml:space="preserve"> Republic of the Philippines Province of Cotabato Municipality of Arakan Barangay Kabalantian BIDS AND AWARDS COMMITTEE REQUEST FOR QUOTATION Construction of Multi-purpose Bldg. DCC-TIKULPA  The Barangay Local Government Unit of Kabalantian is inviting int</t>
  </si>
  <si>
    <t xml:space="preserve"> GRASSCUTTER COMMON NAIL #2 COMMON NAIL #3 COMMON NAIL  #1 1/2 CONCRETE NAIL #3 GROUT PAINT BRUSH #1 PAINT BRUSH #2 PAINT THINNER QDE PAINT GREEN ROLLLER BRUSH #8 VULCA ZEAL LATEX GLOSS</t>
  </si>
  <si>
    <t xml:space="preserve"> Republic of the Philippines Province of Cotabato Municipality of Arakan Barangay Kulaman Valley BIDS AND AWARDS COMMITTEE INVITATION TO BID FOR  Rehabilitation of Multi-purpose Bldg. ( Barangay Hall) 1.	The Barangay Government Unit of Kulaman Valley, thro</t>
  </si>
  <si>
    <t xml:space="preserve"> REQUEST FOR QUOTATION The Bureau of Jail Management and Penology — National Headquarters (BJMPNHQ), through its Bids and Awards Committee, intends to procure Supply and Delivery of Various Government Forms which will be undertaken in accordance with the 2</t>
  </si>
  <si>
    <t xml:space="preserve"> Procurement of Construction Materials for Maintenance of Spillway</t>
  </si>
  <si>
    <t xml:space="preserve"> See Program of Works ACTIVITIES SCHEDULE 1. Posting on Philgeps:- July 2 to July 7, 2020 2. Issuance of Bids Documents: - July 7, 2020 3. Submision/opening of of Bids - July 17, 2020 at 11:00 at Sablig Barangay Hall 4. Evaluation of Bids;- July 19, 2020 5</t>
  </si>
  <si>
    <t xml:space="preserve"> a. KADTACAN SLAB BRIDGE - P 90,000.00 b. REHABILITATION OF KARANAG FOOTPATH - P 58,178.94 c. CONSTRUCTION OF FANGTIN IRRIGATION - P 300,000.00</t>
  </si>
  <si>
    <t xml:space="preserve"> To aid Mathematics and Science teachers in their delivery of instruction</t>
  </si>
  <si>
    <t xml:space="preserve"> INK CART EPSON C13 T6641 BLACK INK CART EPSON C13 T6642 CYAN INK CART EPSON C13 T6643 MAGENTA INK CART EPSON C13 T6644 YELLOW CORRECTION FLUID PEN TYPE  Bookpaper long, 18 1/2 in. x 13 MASKING TAPE 1 inch FOLDER 14PTS ORDINARY LONG WITH PLASTIC COVER FOLD</t>
  </si>
  <si>
    <t xml:space="preserve"> Republic of the Philippines Province of Cotabato Municipality of Arakan Barangay Tumanding BIDS AND AWARDS COMMITTEE INVITATION TO BID FOR  Water System Development for Centro A&amp;B 1.	The Barangay Government Unit of Tumanding, through the TRUST      FUND  </t>
  </si>
  <si>
    <t xml:space="preserve"> Republic of the Philippines Province of Leyte MUNICIPALITY OF CAPOOCAN -oOo- CAPOOCAN BIDS AND AWARD COMMITTEE INVITATION TO BID  for SUPPLY AND DELIVERY OF DRUGS AND MEDICINES (MHO) 1.	The MUNICIPALITY of Capoocan, Leyte, through the MHO ANNUAL BUDGET OF</t>
  </si>
  <si>
    <t xml:space="preserve"> Flash Drive, 16GB capacity Inkcart EPSON C13T664100 (T6641,black) Inkcart EPSON C13T664100 (T6641,cyan) Inkcart EPSON C13T664100 (T6641,yellow) Inkcart EPSON C13T664100 (T6641,magenta) Bookpaper long 8 1/2 x  13in., subs.20 Bookpaper A4 subs.20 BOOKPAPER </t>
  </si>
  <si>
    <t xml:space="preserve"> 1 UNIT FLAT SCREEN TELEVISION 120 PAD PAPER KINDER TO GRADE 3 100 PAD INTERMEDIATE PAD 120 PIECE LEAD PENCIL 120 PIECE WHITE ERASER 120 PIECE BALL PEN 120 PIECE RULER 100 PIECE SHARPENER 120 BOX CRAYONS, DOUBLE 7 GALLON PAINTS LATEX 1 PIECE PREPAID CARDS </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</si>
  <si>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</si>
  <si>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 Republic of the Philippines Sangguniang Barangay of Daungan Barangay Daungan, Pagbilao, Quezon Date: May 25,2020 The Sangguniang Barangay Daungan, Pagbilao, Quezon, through its Bids and Awards Committee (BAC), invites suppliers/manufacturers/distributor</t>
  </si>
  <si>
    <t xml:space="preserve"> Single Phase Primary Line Construction, Transformer and Metering Installation for Streetlights, Poblacion, Sta. Catalina, Ilocos Sur</t>
  </si>
  <si>
    <t xml:space="preserve"> Republic of the Philippines National Capital Region Division of Taguig and Pateros District of Cluster IX KAPT. JOSE CARDONES MEMORIAL ELEM. SCHOOL Kapt. Jose Cardones Memorial Elem. School REQUEST FOR QUOTATION DepED – Kapt. Jose Cardones Memorial Elem. </t>
  </si>
  <si>
    <t xml:space="preserve"> Please see ASSOCIATED COMPONENTS for details</t>
  </si>
  <si>
    <t xml:space="preserve"> Repainting of School Building</t>
  </si>
  <si>
    <t xml:space="preserve"> INVITATION TO BID FOR  SUPPLY AND DELIVERY OF VARIOUS OFFICE EQUIPMENT OF THE LGU LAOANG 1.	The Local Government Unit of Laoang, through the General Fund and Trust Fund   intends to apply the sum of One Million Eight Hundred Twenty One Thousand Five Hundr</t>
  </si>
  <si>
    <t xml:space="preserve"> P.R NO. 100-2020-06-0344 REPAIR OF GARBAGE COMPACTOR</t>
  </si>
  <si>
    <t xml:space="preserve"> Supply and Delivery of Rescue Equipment and Paraphernalias, Sta. Catalina, Ilocos Sur</t>
  </si>
  <si>
    <t xml:space="preserve"> Quantity	Unit	Item and Description 5	bag	0-0-60,  Muriate of Potash 7	bag	0-18-0, Solophos 30	bag	14-14-14, Complete Fertilizer 1	bag	16-20-0, Ammonium Phosphate 37	bag	21-0-0, Ammonium Sulfate 13	bag	46-0-0, Urea 8	bottle	Herbicide, Active Ing.: Mecocrop</t>
  </si>
  <si>
    <t xml:space="preserve"> please see attached file For further information, please refer to: Mr. Marlon Balitaon Telefax No. 837-8113 loc 318 / 837-2071 loc 2293 Email address: marl_balitaon@yahoo.com</t>
  </si>
  <si>
    <t xml:space="preserve"> GEOTECHNICAL INVESTIGATION AND TOPOGRAPHICAL SURVEY FOR THE CONSTRUCTIONS OF 100TCC WAREHOUSE IN NFA LOT BAGUER, LIBUNGAN, NORTH COTABATO</t>
  </si>
  <si>
    <t xml:space="preserve"> IMPROVEMENT OF BUILDING 2,5, 13 (PUTTING OF HAND WASHING FACILITIES)</t>
  </si>
  <si>
    <t xml:space="preserve"> 426	cu.m.	Common Borrow Materials (delivered to site)			 426	cu.m.	Aggregate Sub-Base Course Materials (delivered to site)			 426	cu.m.	Aggregate Base Course Materials (delivered to site)			 1624	cu.m.	Rock Boulders (class 2 &amp; 3 rocks) (delivered to site)</t>
  </si>
  <si>
    <t xml:space="preserve"> FIANAT FOOTPATH WITH FOOTBRIDGE</t>
  </si>
  <si>
    <t xml:space="preserve"> Electrical supplies</t>
  </si>
  <si>
    <t xml:space="preserve"> PROCUREMENT OF OTHER SUPPLIES, ICT SUPPLIES AND OFFICE SUPPLIES OF SOUTHVILLE IV ES</t>
  </si>
  <si>
    <t xml:space="preserve"> a. CONTINUATION OF FALEKKONG IRRIGATION CANAL - P 171,712.87 b. CONSTRUCTION OF SURNGUNA INTAKE TANK - P 92,000.00 c. CONSTRUCTION OF KUDCHO-PARTOG DRAINAGE CANAL - P 158,700.65 d. LAMMAG PATHWAY - P 71,712.88 e. REHABILITATION OF CHAP-AY-FAANG-SUYO PATHW</t>
  </si>
  <si>
    <t xml:space="preserve"> Installation of Handwash Area</t>
  </si>
  <si>
    <t xml:space="preserve"> LATEX GLOSS CEMENT  CHB NO 4 CONCRETE HOLLOW BLOCK GRAVEL SAND LATEX PAINT GARDEN HOSE COCOLUMBER 2X4X10 COCOLUMBER 2X2X12 COCOLUMBER 2X3X12 DOORKNOB 5 PIN TUMBLER CYLINDER 3 NICKLE PLATED BRASS KEYS BOX SET 60MM/70MM FAUCET GOOD LUMBER 2X2X12 GOOD LUMBER</t>
  </si>
  <si>
    <t xml:space="preserve"> 1.	The Power Sector Assets and Liabilities Management (PSALM) Corporation, through the 2020 Corporate Operating Budget, intends to apply the sum being the Approved Budget for the Contract (ABC) to payment for the project listed below. Bids received in exc</t>
  </si>
  <si>
    <t xml:space="preserve"> Request for Quotation RFQ No.		SVP-026-2020 MR. No.		06711 Requisition No.	HA-002-20 Posting Date:         	July 2, 2020 Deadline for Submission:		July 8, 2020 at 9:00 AM Opening Date:	July 8, 2020 at 10:00 AM TO:	Name of Supplier:_______________________ </t>
  </si>
  <si>
    <t xml:space="preserve"> Republic of the Philippines  ANGELES CITY WATER DISTRICT  Angeles City  REQUEST FOR QUOTATIONS  SUPPLIER: J.O No.: 20-06-077-A ADDRESS: DATE:  CONTACT NOS.: ________________________________  Please submit your quotations for the following items on or befo</t>
  </si>
  <si>
    <t xml:space="preserve"> a. CONTINUATION OF CHUPAC-KALEO FOOTBRIDGE (MAIN) - P 747,673.95 b. CONSTRUCTION OF TINANGFIAN IRRIGATION SYSTEM - P 200,000.00</t>
  </si>
  <si>
    <t xml:space="preserve"> The Department of Agriculture-RFO 3, invites interested suppliers/ bidders to submit bid proposal(s) for the hereunder requirement, to wit: 1 unit Hauling Truck Specification: Maximum Output Power: 163.0 Horsepower @ 3,400 rpm Engine Displacement: 2,500 c</t>
  </si>
  <si>
    <t xml:space="preserve"> SEE ATTACHED DOCUMENTS</t>
  </si>
  <si>
    <t xml:space="preserve"> Republic of the Philippines Province of Leyte MUNICIPALITY OF CAPOOCAN -oOo- CAPOOCAN BIDS AND AWARD COMMITTEE INVITATION TO BID  for SUPPLY AND DELIVERY OF MOTORCYCLES 1.	The MUNICIPALITY of Capoocan, Leyte, through the SB &amp; MAO CAPITAL OUTLAY intends to</t>
  </si>
  <si>
    <t xml:space="preserve"> Construction of Drainage Canal, Cabittaogan, SCIS</t>
  </si>
  <si>
    <t xml:space="preserve"> INVITATION TO BID FOR  SUPPLY AND DELIVERY OF ONE (1) PACKAGE TRUCK WITH SOLID WASTE MACHINERIES (SOLID WASTE ON WHEELS) 6 WHEELER 1.	The Local Government Unit of Laoang, through the 20% EDF ( intends to apply the sum of Ten Million (Php10, 000,000.00) be</t>
  </si>
  <si>
    <t xml:space="preserve"> Section I. Invitation to Bid Notes on the Invitation to Bid The Invitation to Bid provides information that enables potential Bidders to decide whether to participate in the procurement at hand. The Invitation to Bid shall be: (a) Posted continuously in t</t>
  </si>
  <si>
    <t xml:space="preserve"> SUPPLY AND DELIVERY OF BAGS FOR STUDENT’S MODULES Fourth Estate Elementary School Marcelo Green invites all interested parties to submit separate sealed quotations for the Supply and Delivery of Bags for Student’s Modules located at 37 Dama De Noche, UPS </t>
  </si>
  <si>
    <t xml:space="preserve"> Republic of the Philippines Province of Leyte MUNICIPALITY OF CAPOOCAN -oOo- CAPOOCAN BIDS AND AWARD COMMITTEE INVITATION TO BID  for SUPPLY AND DELIVERY OF ICT EQUIPMENTS FOR DEPED 1.	The MUNICIPALITY of Capoocan, Leyte, through the SPECIAL EDUCATION FUN</t>
  </si>
  <si>
    <t xml:space="preserve"> The Department of Agriculture-RFO 3, invites interested suppliers/ bidders to submit bid proposal(s) for the hereunder requirement, to wit: 2 units Hauling Truck Specification: Maximum Output Power: 163.0 Horsepower @ 3,400 rpm Engine Displacement: 2500 c</t>
  </si>
  <si>
    <t xml:space="preserve"> Purchase of 4 units laptop - AMD Ryzen 3 3200U Vega Graphics 4 GB SDRAM 256 GB SSD</t>
  </si>
  <si>
    <t xml:space="preserve"> Republic of the Philippines City of Manila BIDS AND AWARDS COMMITTEE DESCRIPTION: 129   sacks   Rice  10   kilos     Rice   8   packs    Snado Plastic Bag REQUESTING OFFICER/END USER :  Barangay  848, Zone 92, District 6, Manila APPROVED BUDGET FOR THE CO</t>
  </si>
  <si>
    <t xml:space="preserve"> CONSTRUCTION OF FLOOD CONTROL, RIVERSIDE, JUNCTION, PINUKPUK</t>
  </si>
  <si>
    <t xml:space="preserve"> CONSTRUCTION OF ABOWOK BANK PROTECTION, JUNCTION, PINUKPUK</t>
  </si>
  <si>
    <t xml:space="preserve"> 15	heads	live pig @ 110 kls live weight per head 300	kls	colored chicken 100	kls	hotdog 100	kls	tilapia (3 in 1 pcs/kilo) 100	kls	dressed chicken 50	kls	dried fish (Tulis) 200	kls	potato 100	kls	Baguio beans 10	gantas	dried beans (white) 10	gantas	mongo 1</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</si>
  <si>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</si>
  <si>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1.	BACKGROUND AND RATIONALE OF THE PROJECT The outbreak of the COVID-19 has greatly affected the tourism industry globally. It has not only interrupted tourism activities but also stalled the industry’s contribution to the country’s economic growth. More </t>
  </si>
  <si>
    <t xml:space="preserve"> 1 set Titanium Miniplates and Screws Maxilo-Facial and others.</t>
  </si>
  <si>
    <t xml:space="preserve"> Item No./ 	Unit of Measure/Article(s)/Description(s)/Approved Budget for the Contract (ABC),  VAT inclusive 1/One (1) Lot/Service Maintenance for the Fire Suppression System (FM-200) at the IT Data Center and PABX Room, BSP Head Office, as per BSP Terms o</t>
  </si>
  <si>
    <t xml:space="preserve"> 1 lot logistic service (hauling  1 lot   &amp; trucking) door to port of 1   unit Toyota Hi-Ace Commuter  Van Origin: DepEd Central Office,  Meralco Avenue, Pasig City Destination: Cebu Port Inclusions: - service shall be done to port  (DepEd Central Office t</t>
  </si>
  <si>
    <t xml:space="preserve"> 1.	The Power Sector Assets and Liabilities Management (PSALM) Corporation, through the 2020 Corporate Operating Budget, intends to apply the sum being the Approved Budget for the Contract (ABC) to payment for  the project listed below. Bids received in ex</t>
  </si>
  <si>
    <t xml:space="preserve"> 2 box THW Wire #8 Stranded, 1 box THW Wire #10 Stranded and others</t>
  </si>
  <si>
    <t xml:space="preserve"> 1 LOT - Digital Event Production, PR, Marketing and Branding Service for DTI-7 Online Programs - (48 sessions of Digital Conferences, Trainings and Workshops ).   Webinar Concept Development  Webinar Creative Branding  Webinar Marketing and PR  &gt; Traditio</t>
  </si>
  <si>
    <t xml:space="preserve"> Complete Construction of 2 Storey 4 Classroom School Building (Stairwall 5m width, Steel Casement Window at Rear Portion with Security Grilles for the Front Jalousie Window, Fire Protection System, Overhead Tank and Cistern)</t>
  </si>
  <si>
    <t xml:space="preserve"> INVITATION TO BID  FOR  PURCHASE OF DREDGING EQUIPMENTS IN REGIONAL OFFICE NO. IV-A, EDSA, QUEZON CITY Contract ID No. 20GD00004 The Department of Public Works and Highways (DPWH), Regional Office No. IV-A thru its Bids and Awards Committee (BAC), through</t>
  </si>
  <si>
    <t xml:space="preserve"> Republic of the Philippines Province of Cotabato Municipality of Arakan Barangay Meocan BIDS AND AWARDS COMMITTEE REQUEST FOR QUOTATION Repair of Hanging Foot Bridges Sitio Basak The Barangay Local Government Unit of Meocan is inviting interested supplier</t>
  </si>
  <si>
    <t xml:space="preserve"> T-shirt with logo of Masaganang Ani Mataas na kita and ATI ----- 120 Pcs. Long Sleeves (Makapal), Cotton ----- 120 Pcs. Boots ----- 120 Pcs. Hat, Cloth ----- 120 Pcs. Gloves ----- 120 Pcs. Socks, Long, Black ----- 120 Pcs.</t>
  </si>
  <si>
    <t xml:space="preserve"> Request for Quotation RFQ No.		SVP-028-2020 MR No.		10883 Requisition No. 	CN-20-49 Posting Date:         	July 2, 2020 Deadline for Submission:		July 8, 2020 at 9:00 AM Opening Date:	July 8, 2020 at 10:00 AM 	 TO:	Name of Supplier:_______________________</t>
  </si>
  <si>
    <t xml:space="preserve"> CONSTRUCTION OF EVACUATION CENTER, JUNCTION, PINUKPUK</t>
  </si>
  <si>
    <t xml:space="preserve"> Name of the Requirement/ Brief Description	:	One (1) lot – Workshop on International Standard on Assurance Engagements (ISAE 3000), as per BSP Terms of Reference Approved Budget for the Contract (ABC)	:	Php992,000.00, VAT inclusive  (Quotations/Proposals </t>
  </si>
  <si>
    <t xml:space="preserve"> Construction of Cross Drain Box Type at Poblacion, Manicahan ABC: 183,000.00 Duration: 8 Calendar Days Scope of Work: Item 103: Structural Excavation- Q=14.39 cu.m, L=8.20 ln.m Item 404: Reinforcing Steel- Q=556.682 kls. Item 405: Structural Concrete: Q=7</t>
  </si>
  <si>
    <t xml:space="preserve"> Supply and Delivery of 2 pcs Heavy-Duty Scanners Specifications: with ADF and Flatbed A4 size Note:  -Attach photo and relevant specs in the quotation.  -Attach copy of PhilGEPS Registration/Certificate together with your quotation. -Payment should be in </t>
  </si>
  <si>
    <t xml:space="preserve"> Request for Quotation RFQ No.		SVP-027-2020 MR No.		10882 Requisition No. 	CN-20-50 Posting Date:         	July 2, 2020 Deadline for Submission:		July 8, 2020 at 9:00 AM Opening Date:	July 8, 2020 at 10:00 AM 	 TO:	Name of Supplier:_______________________</t>
  </si>
  <si>
    <t xml:space="preserve"> 200 pcs. Administrtion set Adult (Macroset) 300 pcs. Bloodset 800 pcs. IV Cannula G26</t>
  </si>
  <si>
    <t xml:space="preserve"> To provide Labor and materials for the Local Access Road Upgrading - Brgy. Hampton to Brgy Palambrag Pre-bid Conference: July 10, 2020 @ 9:00AM, venue: Engineer's Office Opening of Bids - July 28, 2020, 10:00AM Other Information: Letter of Intent must be </t>
  </si>
  <si>
    <t xml:space="preserve"> Supply and Delivery of Prepaid Callcards for the 3rd Qtr. of 2020 21 pcs Globe P500 Prepaid callcards 6 pcs Globe P300 Prepaid callcards 243 pcs Globe P100 Prepaid callcards  12 pcs Smart P500 Prepaid callcards 3 pcs Smart P300 Prepaid callcards 72 pcs Sm</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</si>
  <si>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</si>
  <si>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</si>
  <si>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For Intructional, office works and operational maintenance of nala elementary school</t>
  </si>
  <si>
    <t xml:space="preserve"> Consultancy Service for Research Institution/Individual Consultant to conduct the Further Analysis of the 2018 National Migration Survey on the Trends and Patterns of Migration Duration July to August 2020 (See attached Term of Reference TOR) Please attac</t>
  </si>
  <si>
    <t xml:space="preserve"> BARANGAY CENTRAL SIGNAL BIDS AND AWARDS COMMITTEE -- Advertisement/Posting of Invitation to Bid ------ July 2, 2020 -- Issuance and Availability of Bid Documents ----- July 2, 2020 -- Deadline for Submission -------------------------- July 9, 2020 @ 3PM -</t>
  </si>
  <si>
    <t xml:space="preserve"> 1	Unit	Fabricated Wood Medicine Cabinet  		2 Columns; 7 Layers with Varnish and Transparent 1/8 inch thick sliding glass 		H=2.15m; L=1.35m; W=0.30m 1	Unit	Fabricated Wood Medicine Cabinet  		2 Columns; 7 Layers with Varnish and Transparent 1/8 inch thick</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</si>
  <si>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</si>
  <si>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1	Set	SIREN, sentry e-6 model, 124Db @ 10ft, 5  selectable alarm tones, made in USA, delivery and                   installation at the municipal building 		 3	Sets	SIREN, blue and red light, attaching mechanism, control mechanism, microphone 		Length = 1</t>
  </si>
  <si>
    <t xml:space="preserve"> Polo shirt with embroidered logo of masaganang ani, mataas na kita and ATI ----- 150 Pcs.</t>
  </si>
  <si>
    <t xml:space="preserve"> INVITATION TO BID “PUBLIC BIDDING FOR THEANNUAL SUBSCRIPTION AND PREVENTIVE MAINTENANCE OF SECURITY FIREWALL INFRASTRUCTURE FOR THE OFFICE OF THE OMBUDSMAN” 1.	The Office of the Ombudsman through the General Appropriations Act for CY 2020 intends to apply</t>
  </si>
  <si>
    <t xml:space="preserve"> Complete Construction of 1 Storey 2 Classroom with Handwashing Facility</t>
  </si>
  <si>
    <t xml:space="preserve"> Invitation to Bid FOR THE UPLB-I-022-07-20 SUPPLY, DELIVERY, INSTALLATION, TESTING AND COMMISSIONING OF BRANDED AND BRAND NEW STANDBY GENERATOR SET FOR CAFS-PHTRC 1.	The UNIVERSITY OF THE PHILIPPINES LOS BAÑOS (UPLB), through the GOP (FC: 8265200) intends</t>
  </si>
  <si>
    <t xml:space="preserve"> Contract ID No. 20OH0087 Re-ads Contract Name :  Convergence  and  Special  Support Program - Construction/ Improvement  of  Various Infrastructure in support of National Security - Construction of Typhoon Shelter Hangar for Rotary Aircraft, Colonel Jesus</t>
  </si>
  <si>
    <t xml:space="preserve"> Consultancy Service for Research Institution/Individual Consultant to conduct Further Analysis of 2018 National Migration Survey on the Intra and Inter Regional Trends and Patterns of Migration Duration July to August 2020 (See attached Term of Reference </t>
  </si>
  <si>
    <t xml:space="preserve"> 2 units for handwashing facility it should have a dispenser fr liquid soap and for the water</t>
  </si>
  <si>
    <t xml:space="preserve"> INVITATION TO BID FOR PROCUREMENT OF OFFICE SUPPLIES AND CONSUMABLES  1.	The Philippine Science High School-Bicol Region Campus, through the General Appropriations Act FY 2020 intends to apply the total amount of FIVE HUNDRED SEVENTY-FIVE THOUSAND FIVE HU</t>
  </si>
  <si>
    <t xml:space="preserve"> 1.	The Provincial Government of Batanes, through the Provincial Appropriations Ordinance No. 03 series of 2019 (20% Development Fund) intends to apply the sum of One Million Pesos Only (₱ 1,000,000.00), being the Approved Budget for the Contract (ABC) to </t>
  </si>
  <si>
    <t xml:space="preserve"> 1.	The Provincial Government of Batanes, through the 5% Calamity Fund intends to apply the sum of Five Million Eight Hundred Twenty Thousand Pesos Only (₱ 5,820,000.00), being the Approved Budget for the Contract (ABC) to payments under the contract for S</t>
  </si>
  <si>
    <t xml:space="preserve"> PROCUREMENT OF THE FOLLOWING SERVICES: CONCRETING OF 0.10 METER THK, 0.60 METER WIDTH, 194.0 LINEAR METERS PATHWALK. A. MATERIALS B. LABOR C. OTHER SERVICES FOR MORE DETAILS VISIT THE BARANGAY</t>
  </si>
  <si>
    <t xml:space="preserve"> Rehabilitation of Evacuation Center including  1. Concreting works  2. Masonry Wall 3. Tinnery Works 4. Windows 5. Carpentry Works 6. Tile Works.</t>
  </si>
  <si>
    <t xml:space="preserve"> Project: Purchase of Construction Materials Location: Laurel, Batangas</t>
  </si>
  <si>
    <t xml:space="preserve"> 1. 1 unit ROG G15 Zephyrus GA 502IV-AZ023T 15.6inches FHD 240Hz Ryzen 7 4800H 16GB/1TB/6GB RTX 2060/Win 10 2. 1 unit Netbook 155-DU0044TX 15.6-in. FHD,IPS,AG, Intel core i7 8565u/8gb/2tb gfmx 130/Win 10</t>
  </si>
  <si>
    <t xml:space="preserve"> Laptop i8 Smart LED TV 40" Photocopier Conference Table Office Chair Split Type Aircon (2.5 horsepower) Gazebo Tent Metal Filing Cabinet</t>
  </si>
  <si>
    <t xml:space="preserve"> Patrol (Multi-cab) Single Motor Patrol Tricycle</t>
  </si>
  <si>
    <t xml:space="preserve"> GOA (by set) Belt Supplementary Uniform (Tshirt w/ print) 4 sets x 30 pax Shoes Cap Flashlight Hand Cuffs Tear Gas Raincoat Bota</t>
  </si>
  <si>
    <t xml:space="preserve"> PROCUREMENT OF THE FOLLOWING SERVICES: CONCRETING OF 0.15 METER THK, 2.50 METERS WIDTH, 34.0 LINEAR METERS LOCAL ROAD ZONE 4-A. A. MATERIALS B. LABOR C. OTHER SERVICES FOR MORE DETAILS VISIT THE BARANGAY</t>
  </si>
  <si>
    <t xml:space="preserve"> Attached herewith the Request for Proposal and Terms of Reference</t>
  </si>
  <si>
    <t xml:space="preserve"> PROCUREMENT OF THE FOLLOWING SERVICES: CONCRETING OF 0.10 METER THK, 0.60 METER WIDTH, 194.0 LINEAR METERS PATHWALK. A. MATERIALS B. LABOR C. HAULING D. OTHER SERVICES FOR MORE DETAILS VISIT THE BARANGAY</t>
  </si>
  <si>
    <t xml:space="preserve"> PROCUREMENT OF CONSTRUCTION MATERIALS FOR THE IMPROVEMENT/REBLOCKING/ OF LOCAL ROAD</t>
  </si>
  <si>
    <t xml:space="preserve"> Amount of Bid Docs 5,000.00 To all suppliers, Bid Documents are available at BAC Office on July 9, 2020 Please qoute your Lowest Price; Item No. Description Quantity Unit SPL Mobilization / Demobilization 1.00 LS A. EARTHWORKS 100(1) Clearing &amp; Grubbing 2</t>
  </si>
  <si>
    <t xml:space="preserve"> Description   The Department of Agriculture-RFO 3, invites interested suppliers to submit quotations/proposals for the hereunder requirement, to wit: 40	bottle	"Alcohol, 70% Ethly, 500ml  "	 40	pack	"Toilet Tissue, 12 rolls per pack  "	 20	bottle	"Dishwas</t>
  </si>
  <si>
    <t xml:space="preserve"> BID TENDER The Bids and Awards Committee Province of Iloilo 	In connection with your Invitation to Bid  No. SPO-20-0762-B scheduled on July 8, 2020, I/We proposed to furnish and deliver in confirmation with the terms and conditions, and specifications of </t>
  </si>
  <si>
    <t xml:space="preserve"> The Municipality of Tanza, Cavite, through its Bids and Awards Committee (BAC), invites suppliers/manufacturers/distributor/contractors to apply for eligibility and to bid for the hereunder project: 	Name of Project	: SUPPLY AND DELIVERY OF UNIFORM FOR MU</t>
  </si>
  <si>
    <t xml:space="preserve"> QTY	Unit	Agency Specification	 3	pcs	Soap Dispenser	 6	pcs	Linoleum for Foot Bath	 10	gal.	Alcohol/Sanitixing Gel	 2	 pcs 	thermal scanner	 50	 kg 	Chlorine	 3	 pcs 	Spray (Empty Bottle)	 23	 bot 	handwashing liquid soap	 2	pcs	plastic cover (100meters)</t>
  </si>
  <si>
    <t xml:space="preserve"> Amount of Bid Docs 2,000.00 To all suppliers, Bid Documents are available at BAC Office on July 9, 2020 Please qoute your Lowest Price; Item No. Quantity Unit Description I 1.00 lot Site Works II 1.00 lot Form Works &amp; Scaffolding III 1.00 lot Masonry Work</t>
  </si>
  <si>
    <t xml:space="preserve"> Amount of Bid Docs 5,000.00 To all suppliers, Bid Documents are available at BAC Office on July 9, 2020 Please qoute your Lowest Price; Item No. Quantity Unit Description I 1.00 lot Site Clearing, Excavation Works Signage II 87.72 cu.m. Concrete Works III</t>
  </si>
  <si>
    <t xml:space="preserve"> 5 Ampules Epinephrine 1mg/ml 10 amp. Magnesium Sulfate 200 amp. oxytocin 100 amp. methergen 100 amp. menadione 10 amp. tranexamic acid 15 pcs. introcan gauge 18 10 pcs. introcan gauge 22 10 pcs. introcan gauge 26 4 gal. povidone iodine 30 sets macroset 10</t>
  </si>
  <si>
    <t xml:space="preserve"> TERMS AND CONDITIONS:						 1. All entries must be typewritten or legibly written. 					 2. Delivery period within __________3 days__________________ upon receipt of the approved  funded Purchase Order (P.O.).   				 3. Warranty shall be for a minimum of </t>
  </si>
  <si>
    <t xml:space="preserve"> Republic of the Philippines Province of Guimaras OFFICE OF THE BIDS AND AWARDS COMMITTEE INVITATION TO BID FOR    SUPPLY AND DELIVERY OF OFFICE EQUIPMENT Bid Ref. No. 2020-03-173 Re-bid 1.	The Province of Guimaras , through the Office Equipment Outlay (1-</t>
  </si>
  <si>
    <t xml:space="preserve"> Building</t>
  </si>
  <si>
    <t xml:space="preserve"> Poultry house</t>
  </si>
  <si>
    <t xml:space="preserve"> INVITATION TO BID FOR PROCUREMENT OF ICT EQUIPMENT (SUPPLY AND DELIVERY) 1.	The Philippine Science High School-Bicol Region Campus, through the General Appropriations Act FY 2020 intends to apply the total amount of Two Million Two Hundred Eighteen Thousa</t>
  </si>
  <si>
    <t xml:space="preserve"> Amount of Bid Docs 10,000.00 To all suppliers, Bid Documents are available at BAC Office on July 9, 2020 Please qoute your Lowest Price; tem No. Description Quantity Unit SPL Mobilization / Demobilization 1.00 LS A. EARTHWORKS 101 Removal of Existing Stru</t>
  </si>
  <si>
    <t xml:space="preserve"> Republic of the Philippines Province of Iloilo BIDS AND AWARDS COMMITTEE INVITATION TO BID Purchase of Office Equipment Bid No.AGR-20-0128-B 1. The Iloilo Provincial Government, through the 2020 GENERAL FUND intends to apply the sum of THREE HUNDRED NINET</t>
  </si>
  <si>
    <t xml:space="preserve"> Procurement ID/Contract ID: 				20CA0058 Contract Name: 	Construction of Two (2) Storey-Eight (8) Classroom School Building, Layac Elementary School Contract Location:	Dinalupihan, Bataan Brief Description:	Construction of  Two (2) Storey Eight (8) Classr</t>
  </si>
  <si>
    <t xml:space="preserve"> Procurement ID/Contract ID: 				20CA0057 Contract Name: 	Construction of Two (2) Storey-Four (4) Classroom School Building, Bayan-Bayanan Elementary School Contract Location:	Dinalupihan, Bataan Brief Description:	Construction of  Two (2) Storey Four (4) </t>
  </si>
  <si>
    <t xml:space="preserve"> Supply and delivery of 3 sets Brand New Desktop Computer w/ complete accessories and 2 sets Printer, WIFI Integrated Ink Tank of the Mayor's Office, San Enrique, Iloilo. Approved Budget for the Contract: Php. 147, 000.00 1. 3 sets Brand New Desktop Comput</t>
  </si>
  <si>
    <t xml:space="preserve"> Procurement ID/Contract ID: 				20CA0056 Contract Name: 	Construction/Repair/Rehabilitation/Improvement of Various Infrastructure including Local Projects- Buildings and Other Structures- Multi-Purpose/Facilities-Construction of Multi-Purpose Building, Br</t>
  </si>
  <si>
    <t xml:space="preserve"> Procurement ID/Contract ID: 				20CA0055 Contract Name: 	Concreting of Sitio Grego to Sitio Pinagpatayan Barangay Calaylayan FMR, Barangay Calaylayan Contract Location:	Abucay, Bataan Brief Description:	Concreting of  Road Approved Budget for the Contract</t>
  </si>
  <si>
    <t xml:space="preserve"> The Municipality of Tanza, Cavite, through its Bids and Awards Committee (BAC), invites suppliers/manufacturers/distributor/contractors to apply for eligibility and to bid for the hereunder project: 	Name of Project	: SUPPLY AND DELIVERY OF MEDICINES FOR </t>
  </si>
  <si>
    <t xml:space="preserve"> OPENING OF BIDS IN DSWD FO IX, ZAMBOANGA CITY,							 DELIVERY IN DSWD FO IX ZAMBOANGA CITY							 PROCUREMENT FOR THE FF.:							 							 10	UNIT	EVAPORATIVE AIR COOLER HEAVY DUTY					 5	UNIT	KITCHEN CABINET , 4 LAYER STAINLESS					 15	UNIT	HOT AND COLD </t>
  </si>
  <si>
    <t xml:space="preserve"> Republic of the Philippines Region XII Province of Cotabato CITY OF KIDAPAWAN BIDS AND AWARDS COMMITTEE Invitation to Bid 						  		           Date: July 1, 2020 1.	The City Government of Kidapawan, through the 20% EDF CY 2020 SB#1 /AO#20-001   intends to</t>
  </si>
  <si>
    <t xml:space="preserve"> Procurement ID/Contract ID: 				20CA0059 Contract Name: 	Construction of Four (4)  Storey-Sixteen (16) Classroom School Building, Nagbalayong National High School Contract Location:	Morong, Bataan Brief Description:	Construction of  Two (2) Storey Sixteen</t>
  </si>
  <si>
    <t xml:space="preserve"> Invitation to Bid for the  Renovation/Improvement of Various Offices (Office Cubicles) 1.	The JH Cerilles State College, through the Trust Fund- Capital Outlay 2020 invites PhilGEPS registered suppliers to bid for Improvement and Installation of Fabric wi</t>
  </si>
  <si>
    <t xml:space="preserve"> 1.	The Municipality of Caraga, through the Resolution No. 42 Series of 2018 intends to apply the sum of Two Hundred Fifty Five Thousand Seven Hundred Thirty Eight Pesos  (255,738.00) being the Approved Budget for the Contract (ABC) to payments under the c</t>
  </si>
  <si>
    <t xml:space="preserve"> Republic of the Philippines Province of Nueva Vizcaya MUNICIPALITY OF BAYOMBONG BARANGAY LA TORRE NORTH -o0o- BIDS AND AWARDS COMMITTEE INVITATION TO BID  CONSTRUCTION OF 45 L.M CHB LINE CANAL ALONG ESQUEDA STREET (sta.0+000-0+045) PUROK 4, PHASE 1   (PR </t>
  </si>
  <si>
    <t xml:space="preserve"> 1.	The Municipality of Caraga, through the Gender and Development Fund  2020 intends to apply the sum of One Million Four Hundred Ninety Nine Thousand Nine Hundred Ninety Nine &amp; 79/100  (1,499,999.79) being the Approved Budget for the Contract (ABC) to pa</t>
  </si>
  <si>
    <t xml:space="preserve"> Plumbing Repairs of the CTL Classroom</t>
  </si>
  <si>
    <t xml:space="preserve"> 1.	The Municipality of Caraga, through the Gender and Development Fund  2019 intends to apply the sum of Six Hundred Ninety Nine Thousand Nine Hundred Ninety Nine &amp; 43/100  (699,999.43) being the Approved Budget for the Contract (ABC) to payments under th</t>
  </si>
  <si>
    <t xml:space="preserve"> Republic of the Philippines Province of Guimaras OFFICE OF THE BIDS AND AWARDS COMMITTEE INVITATION TO BID FOR    SUPPLY AND DELIVERY OF LABORATORY SUPPLIES Bid Ref. No. 2020-06-366 1.	The Province of Guimaras , through the (5-02-03-080 Laboratory Expense</t>
  </si>
  <si>
    <t xml:space="preserve"> The Schools Division of Calapan City invites suppliers/ bidders for the delivery of the following: Unit        Quantity       Description set              59            Disinfection sprayer, knapsack, 16-18L liters          118           Disinfectant Solu</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</si>
  <si>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</si>
  <si>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Republic of the Philippines Province of Guimaras OFFICE OF THE BIDS AND AWARDS COMMITTEE INVITATION TO BID FOR    SUPPLY AND DELIVERY OF VEHICLE PARTS AND ACCESSORIES Bid Ref. No. 2020-06-361 1.	The Province of Guimaras , through the Repairs and Maintenan</t>
  </si>
  <si>
    <t xml:space="preserve"> 1.	The Municipality of Caraga, through the Gender and Development Fund  2019 intends to apply the sum of Four Hundred Ninety Nine Thousand Nine Hundred Ninety Eight &amp;89/100  (499,998.89) being the Approved Budget for the Contract (ABC) to payments under t</t>
  </si>
  <si>
    <t xml:space="preserve"> Republic of the Philippines									 Province of Iloilo									 BIDS AND AWARDS COMMITTEE									 									 INVITATION TO BID									 Purchase of Food Packs									 Bid No. PHO-20-0749-B									 									 1	The Iloilo Provincial Government, through t</t>
  </si>
  <si>
    <t xml:space="preserve"> Repainting of wall exterior face of Municipal Government bldg.: Repair of second floor exterior ceiling and waterproofing of second floor roof deck and pre-painted roofings.</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</si>
  <si>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</si>
  <si>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CTL Classroom Rewiring</t>
  </si>
  <si>
    <t xml:space="preserve"> Republic of the Philippines PROVINCE OF NUEVA VIZCAYA Municipality of Alfonso Castañeda  BIDS AND AWARDS COMMITTEE FOR INFRASTRUCTURE PROJECTS CONCRETING OF PUROK 3 ROAD (LUBLUB) 1.	The Local Government of Alfonso Castañeda, through the 20% Development </t>
  </si>
  <si>
    <t xml:space="preserve"> The AGRICULTURAL TRAINING INSTITUTE-REGIONAL TRAINING CENTER (ATI-RTC) X, through the 2020 General Appropriations Act intends to apply the sum of One Hundred Forty One Thousand Two Hundred Pesos (P 141,200.00) being the Approved Budget for the Contract (A</t>
  </si>
  <si>
    <t xml:space="preserve"> Republic of the Philippines Province of Guimaras OFFICE OF THE BIDS AND AWARDS COMMITTEE INVITATION TO BID FOR    SUPPLY AND DELIVERY OF DIESEL Bid Ref. No. 2020-02-119 Re-bid 1.	The Province of Guimaras , through the Gasoline, Oil &amp; Lubricants Expenses i</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</si>
  <si>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</si>
  <si>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Republic of the Philippines Province of Guimaras OFFICE OF THE BIDS AND AWARDS COMMITTEE INVITATION TO BID FOR    SUPPLY AND DELIVERY OF DRUGS AND MEDICINES Bid Ref. No. 2020-06-368 1.	The Province of Guimaras , through the Medical, Dental &amp; Laboratory Ex</t>
  </si>
  <si>
    <t xml:space="preserve"> Supply and Delivery of Diesel Fuel for Graveling of 2 kilometers Barangay Roads 1. The Barangay Government of Linao Matalam Cotabato Province, through the Budget Approved by the Sanggunian intends to apply the sum of Two Hundred Thousand Pesos (Php200,000</t>
  </si>
  <si>
    <t xml:space="preserve"> Purchase of Materials for Construction of Signages</t>
  </si>
  <si>
    <t xml:space="preserve"> Purchase of various Janitorial Supplies of LBP Naga Rotunda branch</t>
  </si>
  <si>
    <t xml:space="preserve"> Republic of the Philippines Province of Guimaras OFFICE OF THE BIDS AND AWARDS COMMITTEE INVITATION TO BID FOR    SUPPLY AND DELIVERY OF ISOLATION TRANSFORMER Bid Ref. No. 2020-06-370 1.	The Province of Guimaras , through the Medical Equipment Outlay (1-0</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</si>
  <si>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</si>
  <si>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Republic of the Philippines Province of Sarangani Municipality of Malapatan INVITATION TO BID  	 2020-B1-06-019        PROCUREMENT OF GOODS AND SERVICES FOR REPAIRMENT OF RP VEHICLE ISUZU ALTERRA SHE-440, MALAPATAN, SARANGANI PROVINCE 1.	The Local Governm</t>
  </si>
  <si>
    <t xml:space="preserve"> Four (4) Units Cabinet</t>
  </si>
  <si>
    <t xml:space="preserve"> 1 unit Two Door Refrigerator 2 pcs Butane Stove 1 unit Exhaust Fan 1 set Seater Dinning Table</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</si>
  <si>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</si>
  <si>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INVITATION TO BID The DPWH, Masbate 3rd District Engineering Office, Dimasalang, Masbate through its Bids and Awards Committee (BAC), invites contractors to submit bids for the following Contract: Procurement ID/ Contract ID:	20FJ0036 Contract Name:	Const</t>
  </si>
  <si>
    <t xml:space="preserve"> INVITATION TO BID The DPWH, Masbate 3rd District Engineering Office, Dimasalang, Masbate through its Bids and Awards Committee (BAC), invites contractors to submit bids for the following Contract: Procurement ID/ Contract ID:	20FJ0035 Contract Name:	Const</t>
  </si>
  <si>
    <t xml:space="preserve"> Republic of the Philippines Province of Guimaras OFFICE OF THE BIDS AND AWARDS COMMITTEE INVITATION TO BID FOR    SUPPLY AND DELIVERY OF MEDICAL SUPPLIES Bid Ref. No. 2020-06-360 1.	The Province of Guimaras , through the Medical, Dental &amp; Laboratory Expen</t>
  </si>
  <si>
    <t xml:space="preserve"> 225 PCS TOILET BOWLS</t>
  </si>
  <si>
    <t xml:space="preserve"> Republic of the Philippines Province of Guimaras OFFICE OF THE BIDS AND AWARDS COMMITTEE INVITATION TO BID FOR    SUPPLY AND DELIVERY OF LABORATORY SUPPLIES Bid Ref. No. 2020-06-367 1.	The Province of Guimaras , through the (5-02-03-080) Laboratory Expens</t>
  </si>
  <si>
    <t xml:space="preserve"> INVITATION TO BID The DPWH, Masbate 3rd District Engineering Office, Dimasalang, Masbate through its Bids and Awards Committee (BAC), invites contractors to submit bids for the following Contract: Procurement ID/ Contract ID:	20FJ0034 Contract Name:	Const</t>
  </si>
  <si>
    <t xml:space="preserve"> Contract ID: 20KF0124 Contract Name: Repair/Maintenance of DOJ Building-Hall of Justice, Tubod, Iligan City Contract Location: Tubod, Iligan City Brief Description: Facilities for the Engineer, Other General Requirements, Civil, Mechanical, Electrical and</t>
  </si>
  <si>
    <t xml:space="preserve"> Lease of Venue for the RSPB Interview of Applicants to be held on July 7-10, 2020 in Cotabato City I. Scope of Service The service provider should be able to provide the venue with following specifications:  II. General Requirements Price Quotation for th</t>
  </si>
  <si>
    <t xml:space="preserve"> 1 pc clutch disk Isuzu Hi Lander Labor</t>
  </si>
  <si>
    <t xml:space="preserve"> Republic of the Philippines Province of Cotabato Municipality of Arakan Barangay Poblacion BIDS AND AWARDS COMMITTEE REQUEST FOR QUOTATION Purchase of RCCP for Construction of Drainage System The Barangay Local Government Unit of Poblacion is inviting int</t>
  </si>
  <si>
    <t xml:space="preserve"> 1	Un	Brand New Vehicle, Van type 15 pax capacity, Diesel Engine, 		4v cylinder with no less than 2,950cc displacement, Maximum 		output at least 135PS at 3,400 RPM, Common Rail, Turbo 		charge Intercooler, with tank capacity of no less than 70 liters 		wi</t>
  </si>
  <si>
    <t xml:space="preserve"> 1	1	Lot	Supply and Delivery of Steel Cabinet ₱225,000.00 			Item Description: 	15	Units	Steel Cabinet Specifications: 4 Drawers, Vertical, Heavy duty Roller Metal Guide, automatic lock, recessed handle Gauge #22 and color gray powder oven baked finish Dim</t>
  </si>
  <si>
    <t xml:space="preserve"> 1	Unit	Motorcycle 		 		Specifications: 		- 125cc, heavy duty, black 		- 4 stroke, air-cooled, Single Over Head Cam 		- 2 valves, single cylinder engine 		- Transmission: 4 speed, constant mesh 		- LTO Registration and GSIS comprehensive insurance 		- DTI/</t>
  </si>
  <si>
    <t xml:space="preserve"> The Local Goverment Unit (LGU), through the Bids and Award Committee (BAC), invites contractors /manufacturers / distributors to apply for eligibility and to submit quotations for the here under:        Name of Project	:   REPAIR OF ROOFING FOR MUNICIPAL </t>
  </si>
  <si>
    <t xml:space="preserve"> Construction of Temporary Learning Space Including Realignment to other Schools affected by Typhoon Ursula	 Temporary Learning Space	 10 units of Temporary Learning Space for: •	Gen. Macarthur National Agricultural School (GMNAS) – 2 Units •	Magsaysay ES,</t>
  </si>
  <si>
    <t xml:space="preserve"> 1.     The Department of National Defense/Armed Forces of the Philippines (DND/AFP), through the General Appropriations Act (GAA) intends to apply the sum of One Hundred Three Million Six Hundred Eighty-Eight Thousand Five Hundred Eighty-Three and 13/100 </t>
  </si>
  <si>
    <t xml:space="preserve"> Republic of the Philippines Province of Laguna MUNICIPALITY OF LUISIANA INVITATION TO BID FOR   Fabrication and Installation of Equipment for Luisiana Class "AA" Slaughter House 1.	The Municipal Government of Luisiana, Laguna, through the Local Government</t>
  </si>
  <si>
    <t xml:space="preserve"> RFQ-GS-20200127-04(2) Interested Suppliers are invited to submit Price Quotation for the above listed item. The official LANDBANK Request for Quotation Form may be obtained from MS. CHARM FLORIDO (tel no. 85512200 locals 2452, 2453; email address: charm.f</t>
  </si>
  <si>
    <t xml:space="preserve"> Rehabilitation of admin building with an area of 144 m2. It includes concrete works, masonry , rebar roofing &amp; tinsmitting carpentry,tileworks, doors &amp; windows, electrical &amp; painting works.</t>
  </si>
  <si>
    <t xml:space="preserve"> BID TENDER The Bids and Awards Committee Province of Iloilo 	In connection with your Invitation to Bid  No. SPO-20-0761-B  scheduled on July 8, 2020. I/We proposed to furnish and deliver in confirmation with the terms and conditions , and specifications o</t>
  </si>
  <si>
    <t xml:space="preserve"> Republic of the Philippines PROVINCE OF ZAMBOANGA DEL NORTE Municipality of Godod BARANGAY LOMOGOM INVITATION TO BID FOR PROPOSED COVERED COURT PORTABLE FENCE Lomogom, Godod, Zamboanga del Norte 1.	The Barangay Local Government Unit of Lomogom, Godod, ZAm</t>
  </si>
  <si>
    <t xml:space="preserve"> The AGRICULTURAL TRAINING INSTITUTE-REGIONAL TRAINING CENTER (ATI-RTC) X, through the 2020 General Appropriations Act intends to apply the sum of One Hundred Fifty Thousand Pesos (P 150,000.00) being the Approved Budget for the Contract (ABC) to payments </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</si>
  <si>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</si>
  <si>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</si>
  <si>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Republic of the Philippines Province of Sarangani Municipality of Malapatan INVITATION TO BID  	 2020-B2-06-018 CONCRETING OF ROAD AT PUROK PROPER, BARANGAY KINAM, MALAPATAN, SARANGANI PROVINCE  1.	The Local Government Unit of Malapatan, through the 20% A</t>
  </si>
  <si>
    <t xml:space="preserve"> Republic of the Philippines Province of Sarangani Municipality of Malapatan INVITATION TO BID  	 2020-B1-06-016        PROCUREMENT OF MATERIALS FOR WATER SYSTEM MAINTENANCE, MALAPATAN, SARANGANI PROVINCE 1.	The Local Government Unit of Malapatan, through </t>
  </si>
  <si>
    <t xml:space="preserve"> Republic of the Philippines Province of Sarangani Municipality of Malapatan INVITATION TO BID  	 2020-B2-06-017 CONSTRUCTION OF FOOTBRIDGE AT BARANGAY KIHAN, MALAPATAN, SARANGANI PROVINCE  1.	The Local Government Unit of Malapatan, through the 20% AIP CY </t>
  </si>
  <si>
    <t xml:space="preserve"> The AGRICULTURAL TRAINING INSTITUTE-REGIONAL TRAINING CENTER (ATI-RTC) X, through the 2020 General Appropriations Act intends to apply the sum of Two Hundred Four Thousand Four Hundred Pesos (P 204,400.00) being the Approved Budget for the Contract (ABC) </t>
  </si>
  <si>
    <t xml:space="preserve"> The AGRICULTURAL TRAINING INSTITUTE-REGIONAL TRAINING CENTER (ATI-RTC) X, through the 2020 General Appropriations Act intends to apply the sum of Ninety Nine Thousand Two Hundred Pesos (P 99,200.00) being the Approved Budget for the Contract (ABC) to paym</t>
  </si>
  <si>
    <t xml:space="preserve"> Quantity	Unit of 	Item Description				 	Issue					 3	pc	External Hard Drive 1TB				 1	pc	2.5HP Aircondition (window type)				 1	pc	Laptop				 		ryzen 3rd gen or intel i5 10th gen				 		8gb DDR 4Ram				 		1080p resolution				 		128gb ssd/nvme w/ 1tb hdd st</t>
  </si>
  <si>
    <t xml:space="preserve"> Republic of the Philippines Province of Guimaras OFFICE OF THE BIDS AND AWARDS COMMITTEE INVITATION TO BID FOR    SUPPLY AND DELIVERY OF DIESEL AND GASOLINE Bid Ref. No. 2020-03-149 Re-bid 1.	The Province of Guimaras , through the 2020 Regular Budget- Fue</t>
  </si>
  <si>
    <t xml:space="preserve"> Republic of the Philippines PROVINCE OF NUEVA VIZCAYA Municipality of Alfonso Castañeda  BIDS AND AWARDS COMMITTEE FOR INFRASTRUCTURE PROJECTS CONCRETING OF PUROK 6B ROAD (LUBLUB) 1.	The Local Government of Alfonso Castañeda, through the 20% Development</t>
  </si>
  <si>
    <t xml:space="preserve"> Republic of the Philippines PROVINCE OF ZAMBOANGA DEL NORTE Municipality of Godod BARANGAY LOMOGOM INVITATION TO BID FOR PROPOSED STREET LIGHT EXTENSION Lomogom, Godod, Zamboanga del Norte 1.	The Barangay Local Government Unit of Lomogom, Godod, ZAmboanga</t>
  </si>
  <si>
    <t xml:space="preserve"> Section I. Invitation to Bid Republic of the Philippines Province of Zambales MUNICIPALITY OF SAN FELIPE Invitation to Bid for the Concreting of Various Streets (Phase IV) ITB NO: SFZ-INFRA 2020-005 1.	The Municipality of San Felipe, Zambales, through the</t>
  </si>
  <si>
    <t xml:space="preserve"> 1.	The Municipality of Caraga, through the 20% LGDF 2020 intends to apply the sum of Three Hundred Fifty Thousand  Pesos  (350,000.00) being the Approved Budget for the Contract (ABC) to payments under the contract for the  Completion of SAn Antonio Multi</t>
  </si>
  <si>
    <t xml:space="preserve"> Please submit the following documents: A. PhilGEPS Certificate of Registration and Membership in accordance with Section 8.5.2 of the IRR B. Mayor's Permit C. Latest Income and Tax Returns D. Omnibus Sworn Statement 100 set SARS-CoV-2 Antibody Test (Later</t>
  </si>
  <si>
    <t xml:space="preserve"> 1	8	Pkg	EGG TRAYS, 100 trays / packages [30 eggs/tray] 			 2	310	Pc	EGG TRAYS, 30 eggs/tray 			 3	320	Pc	FEEDS TROUGH 			Length : 24 inches 			Color : red 			 4	237	Pc	WATERER 			Capacity : 2 liters 			Color : red &amp; white 			 			Purpose: 			For Distributi</t>
  </si>
  <si>
    <t xml:space="preserve"> 1.	The Municipality of Caraga, through the 20% LGDF 2020 intends to apply the sum of Two Hundred Fifty Thousand  Pesos  (250,000.00) being the Approved Budget for the Contract (ABC) to payments under the contract for the  Construction of Drinking and Hand</t>
  </si>
  <si>
    <t xml:space="preserve"> AIRCON - 1 UNIT BOND PAPER (A4)- 30 BOXES BOND PAPER (LONG) - 30 BOXES BOND PAPER (SHORT) - 30 BOXES BROWN ENVELOPE (LONG) 100"s - 30 BOXES BROWN ENVELOPE (SHORT) 100"s - 25 BOXES CLEAR TAPE - 30 PACKS CORRECTION FLUID - 25 PCS FASTENER PLASTIC - 20 BOXES</t>
  </si>
  <si>
    <t xml:space="preserve"> Republic of the Philippines Province of Guimaras OFFICE OF THE BIDS AND AWARDS COMMITTEE INVITATION TO BID FOR    SUPPLY AND DELIVERY OF DOG FOOD AND SUPPLIES Bid Ref. No. 2020-06-376 1.	The Province of Guimaras , through the SPA- Peace and Order Support </t>
  </si>
  <si>
    <t xml:space="preserve"> Invitation to Bid The Municipal Government of Liliw, Laguna, through its Bids and Awards Committee (BAC), invites bidders top bid for the hereunder project: Name of Project: Supply and Delivery of Office Supplies for different offices in this Municipality</t>
  </si>
  <si>
    <t xml:space="preserve"> Please submit the following documents: A. PhilGEPS Certificate of Registration and Membership in accordance with Section 8.5.2 of the IRR B. Mayor's Permit C. Latest Income and Tax Returns D. Omnibus Sworn Statement 50	box	Earloop Surgical Face Mask 10	bo</t>
  </si>
  <si>
    <t xml:space="preserve"> 1.	The Provincial Government of Batanes, through the Sustainable Eco-Tourism Development Fee under Trust Fund Account intends to apply the sum of One Hundred Ninety-One Thousand Six Hundred Twenty-Five Pesos Only (₱ 191,625.00), being the Approved Budget </t>
  </si>
  <si>
    <t xml:space="preserve"> 1.	The Municipality of Caraga, through the GAD CY 2015-2020 &amp; 20% LGDF 2018 intends to apply the sum of Eight Hundred Forty Six Thousand One Hundred Forty Nine &amp; 10/100 (846,146.10) being the Approved Budget for the Contract (ABC) to payments under the co</t>
  </si>
  <si>
    <t xml:space="preserve"> I. CONCRETE PEDESTAL                      QTY- 6M3 MATERIALS: 6      M3        WASHED GRAVEL 4      M3        WASH SAND 50    BAGS    PORTLAND CEMENT 36    PCS.     10MM x 6M RSB 30    PCS.     8MM X 6M RSB 4      KLS.     #16 TIE WIRE 4      PCS.     HAC</t>
  </si>
  <si>
    <t xml:space="preserve"> 1.	The Municipality of Caraga, through the 20% LGDF 2020 intends to apply the sum of Three Hundred Thousand  Pesos  (300,000.00) being the Approved Budget for the Contract (ABC) to payments under the contract for the  Construction of Multi-purpose Drying </t>
  </si>
  <si>
    <t xml:space="preserve"> 1.	The Municipality of Caraga, through the 20% LGDF 2018 intends to apply the sum of Three Hundred Thousand  Pesos  (300,000.00) being the Approved Budget for the Contract (ABC) to payments under the contract for the  Construction of Livestock Breeding De</t>
  </si>
  <si>
    <t xml:space="preserve"> Republic of the Philippines Province of Cavite City of General Trias Invitation to Bid for  Project Reference No. INFR-20-015– CONSTRUCTION OF SIXTY-FIVE (65) UNITS HOUSING AT BARANGAY SANTIAGO, CITY OF GEN. TRIAS, CAVITE 1.	The City Government Unit of Ge</t>
  </si>
  <si>
    <t xml:space="preserve"> LENGTH = 11 METERS WIDTH = 7.20 METERS I. CONCRETE, MASONRY AND PLASTERING FORMS &amp; SCAFFOLDS II. CEILING WORKS III. ROOFING MATERIALS IV. ELECTRICAL WORKS V. DOORS, WINDOWS &amp; STAIR RAILINGS VI. TILE WORKS AT SECOND FLOOR VII. PLUMBING WORKS VIII. PAINTING</t>
  </si>
  <si>
    <t xml:space="preserve"> LENGTH = 200 LINEAL METERS WIDTH = 3.50 METERS THICKNESS = 0.15 METERS AREA = 700 SQ.M.</t>
  </si>
  <si>
    <t xml:space="preserve"> LENGTH = 135 LINEAL METERS WIDTH = 4.0 METERS THICKNESS = 0.15 METERS AREA = 540 SQ.M.</t>
  </si>
  <si>
    <t xml:space="preserve"> The Metro Midsayap Water District (MMWD) now invites competitive bidding to the Suppliers for the hereunder contract: Name of Contract: Supply and Delivery of 1,718 Lengths of uPVC Pipes, Class 100 With Sizes Ranging from 2" to 4" ID Approved Budget for t</t>
  </si>
  <si>
    <t xml:space="preserve"> LENGTH = 100 LINEAL METERS WIDTH = 5.0 METERS THICKNESS = 0.15 METERS VOLUME = 75 CU.M.</t>
  </si>
  <si>
    <t xml:space="preserve"> Proposed Road Concreting Copradia, Zone 6, San Felipe Naga City</t>
  </si>
  <si>
    <t xml:space="preserve"> LENGTH = 200 LINEAL METERS WIDTH = 3.20 METERS THICKNESS = 0.15 METERS VOLUME = 96 CU.M.</t>
  </si>
  <si>
    <t xml:space="preserve"> Republic of the Philippines DEPARTMENT OF PUBLIC WORKS AND HIGHWAYS OFFICE OF THE DISTRICT ENGINEER Benguet 1st District Engineering Office Wangal, La Trinidad, Benguet Telefax No. (074) 422 6163            June 29, 2020 INVITATION TO BID FOR Supply and D</t>
  </si>
  <si>
    <t xml:space="preserve"> See attached specifications</t>
  </si>
  <si>
    <t xml:space="preserve"> 1.	The Municipality of Caraga, through the BIDS AND AWARDS COMMITTEE intends to apply the sum of Two Hundred Ninety One Thousand Seven Hundred Fifty One Pesos (PhP 291,751.00) being the Approved Budget for the Contract (ABC) to payments under the contract</t>
  </si>
  <si>
    <t xml:space="preserve"> LENGTH = 100 LINEAL METERS WIDTH = 4.0 METERS THICKNESS = 0.15 METERS VOLUME = 60 CU.M.</t>
  </si>
  <si>
    <t xml:space="preserve"> LENGTH = 250 LINEAL METERS WIDTH = 4.0 METERS THICKNESS = 0.15 METERS VOLUME = 1000.00 SQ.M.</t>
  </si>
  <si>
    <t xml:space="preserve"> LENGTH = 100 LINEAL METERS WIDTH = 3.0 METERS THICKNESS = 0.15 METERS VOLUME = 45 CU.M.</t>
  </si>
  <si>
    <t xml:space="preserve"> Republic of the Philippines Province of Guimaras OFFICE OF THE BIDS AND AWARDS COMMITTEE INVITATION TO BID FOR    SUPPLY AND DELIVERY OF DIESEL Bid Ref. No. 2020-03-148 Re-bid 1.	The Province of Guimaras , through the Fuel &amp; Oil Expenses (5-02-13-090) int</t>
  </si>
  <si>
    <t xml:space="preserve"> Face towels (small) Medical kit (medical scissors, sterile gauze, medical tape, sterile gloves, povidone-iodine, alcohol) Tarpaulin 3 in 1 Children Kids Outdoor Indoor Swing Slide Basketball Set Indoor Inflatable playpen Play mat (rubber) Air Condition Do</t>
  </si>
  <si>
    <t xml:space="preserve"> LENGTH = 100 LINEAL METER WIDTH = 4.0 METERS THICKNESS = 0.15 METERS VOLUME = 60 CU.M.</t>
  </si>
  <si>
    <t xml:space="preserve"> Contract I.D. No.: 20GCE0009 Contract Name: Procurement of Security Services for use of DPWH, Nueva Ecija 1st District Engineering Office  Contract Location: DPWH, Nueva Ecija 1st D.E.O., La Torre, Talavera, Nueva Ecija  Approved Budget for the Contract: </t>
  </si>
  <si>
    <t xml:space="preserve"> Republic of the Philippines Province of Guimaras OFFICE OF THE BIDS AND AWARDS COMMITTEE INVITATION TO BID FOR    SUPPLY AND DELIVERY OF STAINLESS CHAIR, MONOBLOCK CHAIR AND COMPUTER TABLE Bid Ref. No. 2020-06-371 1.	The Province of Guimaras , through the</t>
  </si>
  <si>
    <t xml:space="preserve"> FINANCIAL PROPOSAL																								 NEGOTIATED PROCUREMENT																								 DUE TO TWO-FAILED BIDDINGS																								 																								 	Company Name 			:																				 	Address                			:																				 	</t>
  </si>
  <si>
    <t xml:space="preserve"> Republic of the Philippines Province of Guimaras OFFICE OF THE BIDS AND AWARDS COMMITTEE INVITATION TO BID FOR    SUPPLY AND DELIVERY OF DIESOLINE Bid Ref. No. 2020-03-166 Re-bid 1.	The Province of Guimaras , through the General Fund (Fuel, Oil &amp; Lubrican</t>
  </si>
  <si>
    <t xml:space="preserve"> 1.	The Municipality of Caraga, through the BIDS AND AWARDS COMMITTEE intends to apply the sum of Two Hundred Seventy Eight Thousand Five Hundred Pesos (PhP 278,500.00) being the Approved Budget for the Contract (ABC) to payments under the contract for Sup</t>
  </si>
  <si>
    <t xml:space="preserve"> LENGTH = 200 LINEAL METERS WIDTH = 3.50 METERS THICKNESS = 0.15 METERS AREA = 700.00 SQ.M.</t>
  </si>
  <si>
    <t xml:space="preserve"> Lot 1 - Office Supplies 20 pcs. Ring binder, 80 rings, plastic, 25mm x 1.12m 20 pcs. Ring binder, 80 rings, plastic, 32mm x 1.12m 20 pcs. Ring binder, 80 rings, plastic, 50mm x 1.12m 1 pc. Personalized self inking rubber stamp 1 pc. Custom stamp certified</t>
  </si>
  <si>
    <t xml:space="preserve"> Republic of the Philippines Province of Negros Oriental MUNICIPALITY OF BACONG REQUEST FOR EXPRESSION OF INTEREST FOR SURVEYING SERVICES FOR THE PROPOSED DEVELOPMENT OF BACONG INTERNATIONAL AIRPORT BacongRFQ 2020-06 1.	The [Municipality of Bacong], throug</t>
  </si>
  <si>
    <t xml:space="preserve"> Interested suppliers are required to submit the following requirements: (1) valid Mayor’s/Business  Permit; (2) PhilGEPS Registration Number; (3) PCAB License; (4) Income/Business Tax Return; (5)  Omnibus Sworn Statement; (6) Performance Security; (7) Reg</t>
  </si>
  <si>
    <t xml:space="preserve"> Specifications Engine: Euro II Emission Standard Engine Displacement: 9.726L Max Output power (Hp/rpm): 371hp (273kw) at 2200rpm according to DIN Max Torque (N/m/rpm): 15000Nm at 1100-1600rpm Brake: Dual Circuit Compressed air brake Steering:ZF8098 Hydrau</t>
  </si>
  <si>
    <t xml:space="preserve"> Repair/Renovation and Extension of PVAO Field Service Extension Office Building located at NOLCOM, Camp. Gen. Servillano Aquino, Brgy. San Miguel, Tarlac City</t>
  </si>
  <si>
    <t xml:space="preserve"> 2,000	tab	Amlodipine 10mg 1,000	tab	Aspirin 80mg 2,000	tab	Betahistine 8mg 50	supp	Bisacodyl 10mg suppository 100	amp	Bupivacaine heavy 0.5%, 4ml heavy 1,000	tab	Cinnarizine 25mg 2,000	tab	Ciprofloxacin 500mg 5,000	cap	Clindamycin 300mg 3,000	tab	Clopidog</t>
  </si>
  <si>
    <t xml:space="preserve"> 1	w1-1.70m.x1.70m. Aluminum Analok Frame					2	sets 	Sliding Door						 2	w2-1.70m.x1.70m. Aluminum Analok Frame					5	sets 	Fixed Window						 3	w3-1.35m.x1.70m. Aluminum Analok Frame					1	set 	FixedWindow</t>
  </si>
  <si>
    <t xml:space="preserve"> LENGTH = 16.00 METERS WIDTH = 7.20 METERS I. EARTHWORKS II. REINFORCING STEEL BARS III. SCAFFOLDING AND FORMWORKS IV. CONCRETE WORKS V. MASONRY &amp; PLASTERING WORKS VI. TILE WORKS VII. STEEL WORKS &amp; ROOF FRAMING VIII. CARPENTRY WORKS IX. PAINTING WORKS X. R</t>
  </si>
  <si>
    <t xml:space="preserve"> Republic of the Philippines Province of Guimaras OFFICE OF THE BIDS AND AWARDS COMMITTEE INVITATION TO BID FOR    SUPPLY AND DELIVERY OF TIRE Bid Ref. No. 2020-06-375 1.	The Province of Guimaras , through the Repair &amp; Maintenance- Transpo. Equipment (5021</t>
  </si>
  <si>
    <t xml:space="preserve"> LENGTH = 100 LINEAL METERS WIDTH = 5.00 METERS THICKNESS = 0.20 METERS AREA = 500.00 SQ.M. I. PCCP II. AGGREGATE SUB-BASE COURSE VOLUME = 50 CU.M.</t>
  </si>
  <si>
    <t xml:space="preserve"> INVITATION TO APPLY FOR ELIGIBILITY AND TO BID THE LOCAL GOVERNMENT UNIT OF BARANGAY SAN JOSE, KALAWIT, ZAMBOANGA DEL NORTE, through its Bids and Awards Committee (BAC), invites suppliers/manufacturers/distributors to bid for the hereunder project: NAME O</t>
  </si>
  <si>
    <t xml:space="preserve"> Purchase of Laboratory Supplies for Dr. Florentino C. Doble Memorial Hospital (formerly Kainomayan Primary Hospital) for laboratory testing of CBC, Blood Chemistry, and Serum Electrolytes, Botolan,Zambales</t>
  </si>
  <si>
    <t xml:space="preserve"> Republic of the Philippines Province of Guimaras OFFICE OF THE BIDS AND AWARDS COMMITTEE INVITATION TO BID FOR    SUPPLY AND DELIVERY OF DRUGS AND MEDICINES Bid Ref. No. 2020-06-372 1.	The Province of Guimaras , through the General Fund- Drugs and Medicio</t>
  </si>
  <si>
    <t xml:space="preserve"> 1.	The Municipal Government of Placer, through the Budget for the contract approved by the respective Sanggunian-  General Fund CY 2020 intends to apply the sum of Two Million Two Hundred Thousand Pesos (₱ 2,200,000.00) being the Approved Budget for the C</t>
  </si>
  <si>
    <t xml:space="preserve"> 1	Portland Cement (Type 1)				193	bags 2	Washed Sand				10	cu.m. 3	Washed Gravel				18	cu.m. 4	12mmØx6.00m Reinforcing Steel Bar				8	length 5	1.5mmx2"x8" C-Purlins				4	length</t>
  </si>
  <si>
    <t xml:space="preserve"> LENGTH = 11 METERS WIDTH = 6.0 METERS I. CONCRETE, MASONRY AND PLASTERING FORMS &amp; SCAFFOLDS II. CEILING WORK INCLUDING EAVES III. ROOFING MATERIALS IV. ELECTRICAL WORKS V. DOORS, WINDOWS, GRILLS &amp; STAIR RAILINGS VI. TILE WORKS AT SECOND FLOOR VII. PAINTIN</t>
  </si>
  <si>
    <t xml:space="preserve"> Identification cards Package Deal 1 regular size PVC type 1 big size PVC type with casing and digital printed lace To be used by the education staff for identification purposes.</t>
  </si>
  <si>
    <t xml:space="preserve"> Supply, delivery and installation of water pump of Daet-Talisay RIS, Daet, Camarines Norte</t>
  </si>
  <si>
    <t xml:space="preserve"> MATERIALS 13 pcs GI pipe #20 25 pcs LED security lights 1000 mts #6 service drop wire 25 pcs flat bar 2 box THHN #12 100 pcs 1/2 x 2 bolt &amp; knot 35 bags portland cement 2 cu.m. 3/4 crushed gravel 3 cu.m. albay sand 50 pcs LED bulb 9 watts 25 pcs 2x2x12 co</t>
  </si>
  <si>
    <t xml:space="preserve"> Diesel Grease Trekker Oil filter ATF Coolant Brake fluid x-x-x-x-x-x-x-x-x-x-x-x</t>
  </si>
  <si>
    <t xml:space="preserve"> BRAND NEW 25KVA ISUZU GENERATOR SET  -3PH,230V,60HZ,1800RPM  -ENCLOSED TYPE WITH STAMFORD TECHNOLOGY ALTERNATOR</t>
  </si>
  <si>
    <t xml:space="preserve"> Portland cement Sand Gravel 10mm dia.x 6.0m Reinforcing steel bars 16GI Tie Wire Marine Plywood 12mm thk.-  3 uses Good Lumber 2x2x10 Assorted CWN x-x-x-x-x-x-x-x-x-x-x-x-x-x-x-x-x-x-x-x-x-x-x</t>
  </si>
  <si>
    <t xml:space="preserve"> OTHER SUPPLIES AND MATERIALS EXPENSES</t>
  </si>
  <si>
    <t xml:space="preserve"> Asphalt Cement Penetration Grade 60/70 Coarse Aggregate Fine Aggregates</t>
  </si>
  <si>
    <t xml:space="preserve"> LENGTH = 210 LINEAL METERS WIDTH = 6.0 METERS THICKNESS = 0.15 METERS AREA = 1260.00 SQ.M.</t>
  </si>
  <si>
    <t xml:space="preserve"> Rehab of sledge trail Maconacon-Ballayangon West</t>
  </si>
  <si>
    <t xml:space="preserve"> Please see attached associated component.</t>
  </si>
  <si>
    <t xml:space="preserve"> Republic of the Philippines Province of Romblon MUNICIPALITY OF MAGDIWANG INVITATION TO BID PURCHASE OF FURNITURE AND FIXTURES Project ID No. 2020-18 June 29, 2020 The Municipality of Magdiwang, Romblon, through its Gen. Fund 2020 intends to apply the sum</t>
  </si>
  <si>
    <t xml:space="preserve"> Supply and Delivery of Emulsified Asphalt (SS-1) and Asphalt Sealant</t>
  </si>
  <si>
    <t xml:space="preserve"> Asphalt Cement Penetration Grade 60/70 Fine Aggregates x-x-x-x-x-x-x-x-x-x-x-x-x-x-x-x-x</t>
  </si>
  <si>
    <t xml:space="preserve"> Purchase of Bucket Truck Boom for the use of Barangay Bagumbuhay</t>
  </si>
  <si>
    <t xml:space="preserve"> BLGU-STALUCIA-AL-01-2020 CONCRETING OF BARANGAY ROAD PHASE II</t>
  </si>
  <si>
    <t xml:space="preserve"> Renovation/rehabilitation of Omar Municipal Hall at Lahing-Lahing, Omar, Sulu</t>
  </si>
  <si>
    <t xml:space="preserve"> 1 - Lot - Water Pump set with engine and mounted in a common frame. Pump size - 4" cast iron &amp; Suction with discharge pipe Engine - 8-Hp horizontal type water-cooled Accessories - 1-roll flexible hose. Must conform to the minimum requirements prescribe by</t>
  </si>
  <si>
    <t xml:space="preserve"> Supply and Delivery of Tires for Stake Truck H2-367</t>
  </si>
  <si>
    <t xml:space="preserve"> Supply and Delivery of Asphalt Sealant</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</si>
  <si>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</si>
  <si>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Supply and Delivery of Lubricants and Parts for Various Service Vehicle</t>
  </si>
  <si>
    <t xml:space="preserve"> REQUEST FOR QUOTATION The Bureau of Jail Management and Penology — National  Headquarters  (BJMP- NHQ), through its Bids and Awards Committee, intends to procure Lease of Printer for BJMP-NHQ which will be undertaken in accordance with the 2016 Revised  I</t>
  </si>
  <si>
    <t xml:space="preserve"> Fifteen (15) scks Rice 50kls and three (3) other L/I</t>
  </si>
  <si>
    <t xml:space="preserve"> Supply and Delivery of Emulsified Asphalt (SS-1)</t>
  </si>
  <si>
    <t xml:space="preserve"> INVITATION TO BID FOR THE  PURCHASE OF ONE (1) UNIT BRAND NEW CRAWLER EXCAVATOR WITH BREAKER LINE AND BUCKET CAPACITY OF 0.50 CU.M. 1.	The Municipal Government of San Sebastian, through the General Fund-20% EDF FY 2019 (Continuing Appropriation) intends t</t>
  </si>
  <si>
    <t xml:space="preserve"> Ten (10) sacks Rice 50kgs and seven (7) other L/I</t>
  </si>
  <si>
    <t xml:space="preserve"> For DES use</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</si>
  <si>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</si>
  <si>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FOR PRINTING OF VMMC ID</t>
  </si>
  <si>
    <t xml:space="preserve"> FOR DES USE</t>
  </si>
  <si>
    <t xml:space="preserve"> BIDS AND AWARDS COMMITTEE INVITATION TO SUBMIT PRICE QUOTATIONS SMALL VALUE PROCUREMENT No. 065-2020                                                                 The METRO ROXAS WATER DISTRICT (MRWD), through its Bids and Awards Committee (BAC), invite</t>
  </si>
  <si>
    <t xml:space="preserve"> For the use of DORL-HNS</t>
  </si>
  <si>
    <t xml:space="preserve"> The Local Government Unit of Santa Fe, Nueva Vizcaya, through its Bids &amp; Awards Committee invites contractors to bid for the following project: Contract Name: Procurement of Base Radio and Antenna Tower (Supply, delivery, engineering and programming inclu</t>
  </si>
  <si>
    <t xml:space="preserve"> Republic of the Philippines Province of Leyte Municipality of Hilongos BARANGAY PA-A REQUEST FOR QUOTATION _____________ Date  _______________________ _______________________                                Please quote your lowest price on the items/liste</t>
  </si>
  <si>
    <t xml:space="preserve"> 2 pcs. G.I. Pipe Nipple, 2" diameter x 6m, sch. 40 2 pcs. G.I. Tee, 2" x 2" diameter equal 10 pcs. G.I. Tee reducer, 2" x 3/4" diameter 10 pcs. G.I. Nipple 2" x 4" , sch. 40 (threaded) 50 pcs. Male adaptor 3/4" diameter, P.E. 50 pcs. G.I. stand pipe, 3/4"</t>
  </si>
  <si>
    <t xml:space="preserve"> Supply and Delivery of Various Maintenance Tools</t>
  </si>
  <si>
    <t xml:space="preserve"> Fire Extinguisher HCFC 123 (Refill) 2 lot</t>
  </si>
  <si>
    <t xml:space="preserve"> WELFARE GOODS EXPENSES</t>
  </si>
  <si>
    <t xml:space="preserve"> Furnishing of tools, labor, equipment and other necessary documents for the completion of the above project. The Work Consist of: SPL 1 PROJECT BILLBOARD I. HAULING OF MATERIALS II. FOOTBRIDGE III. GROUTED RIPRAP Invitation to Re-Bid for the COMPLETION OF</t>
  </si>
  <si>
    <t xml:space="preserve"> 20-10215</t>
  </si>
  <si>
    <t xml:space="preserve"> PLEASE SEE ATTACHED REQUEST FOR QUOTATION IN THE ASSOCIATED COMPONENTS</t>
  </si>
  <si>
    <t xml:space="preserve"> 12 Vial Anti A Typing Sera 10ml., 180T 12 Vial Anti B Typing Sera 10ml., 180T 12 Vial Anti D Typing Sera 10ml., 180T 10 Box Hematology Analyzer Mindray Diluent 20ltrs. 3 Pack TSH Rapid Test (20 test/kit) 50 Bot Urine Strips 10 SG 100 Strips 2 Set Wright G</t>
  </si>
  <si>
    <t xml:space="preserve"> To be used by patients waiting outside the Medical Ambulatory Care Clinic</t>
  </si>
  <si>
    <t xml:space="preserve"> 003-06-20</t>
  </si>
  <si>
    <t xml:space="preserve"> INVITATION TO BID FOR THE SALE OF UNSERVICEABLE PROPERTY OF DENR RIV-A (CALABARZON) LOCATED AT DENR RIV-A, BRGY. MAYAPA, CALAMBA, LAGUNA "AS IS WHERE IS BASIS" 1.	The Department of Environment and Natural Resources Region IV-A now invites bids for the sal</t>
  </si>
  <si>
    <t xml:space="preserve"> Items Quantity / Units 1.conference chair 12 units mesh office chair size:50cmx60cmx92cm 2.office table 40 pcs 1.0m office table melamine/scratch proof 100cmx49cmx76cm 3.office chair 40 pcs mesh office chair 69cmx49cmx88cm 4.training table 10 pcs size:180</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</si>
  <si>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</si>
  <si>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Items Quantity / Units 1.bag 12000 pcs string back bag with print LOGO 3 colors size:14”x18” materials:pvc taffeta production shall be made at the gsad-Livelihood Center design shall be based on the City Branding lay-out shall be coming from PIO PRICE QUO</t>
  </si>
  <si>
    <t xml:space="preserve"> Supply of Labor and Materials for Roofing Works  (See attached PoW)</t>
  </si>
  <si>
    <t xml:space="preserve"> 12 PCS 1/4 PLYWOOD 4 PCS 1 PLYWOOD 1 KG #4 CONCRETE NAILS 1 KG #4 NAIL 1 KG #3 NAIL 1 KG #1 NAIL 1/2 KG #2 NAIL 15 M STRANDED WIRE 3 M MALE PLUG  1 ROLL ELECTRICAL TAPE 1 LENGTH G.I. PIPE 1/2" 1 PC 12 MM ROUND BAR 4 UNITS CEILING FAN  4 ROLLS WALL PAPER 1</t>
  </si>
  <si>
    <t xml:space="preserve"> Communication Equipment PF-0220-169</t>
  </si>
  <si>
    <t xml:space="preserve"> Including LTO Registration 					 With rain gutter/visor, tint, floor mats, seat covers, set of tools,  WARRANTY					 ENGINE:					 Type: 4 cylinder In-line, DOHC 16 valve, variable nozzle turbo (VNT) with front mounted intercooler					 Maximum Output (Hp/R</t>
  </si>
  <si>
    <t xml:space="preserve"> Communication Equipment PF-0220-168</t>
  </si>
  <si>
    <t xml:space="preserve"> CONSTRUCTION OF TWO LAYER OPEN CANAL @ BLK. 219 PUROK 10</t>
  </si>
  <si>
    <t xml:space="preserve"> See attached rfq</t>
  </si>
  <si>
    <t xml:space="preserve"> Republic of the Philippines Province of Leyte Municipality of Hilongos BARANGAY MARANGOG REQUEST FOR QUOTATION _____________ Date  _______________________ _______________________  ______________________                                Please quote your low</t>
  </si>
  <si>
    <t xml:space="preserve"> Provision of IT equipment and software</t>
  </si>
  <si>
    <t xml:space="preserve"> General Merchandise PF-0620-617</t>
  </si>
  <si>
    <t xml:space="preserve"> Republic of the Philippines						 Province of Bukidnon						 Municipality of Lantapan						 						 INVITATION TO BID FOR THE PROCUREMENT OF SOUND 						 SYSTEM, OFFICE FURNITURES &amp; EQUIPMENT (2ND BID)						 						 1	The Local Government Unit of Lantapan t</t>
  </si>
  <si>
    <t xml:space="preserve"> PROVINCE OF BOHOL  Municipality of Pres. Carlos P. Garcia Tel. No. 519-2010 INVITATION TO APPLY FOR ELIGIBILITY AND TO BID The LGU-Pres. C. P. Garcia, through its Bids and Awards Committee (BAC), invites suppliers/manufacturers/distributors/contractors to</t>
  </si>
  <si>
    <t xml:space="preserve"> Please see ASSOCIATED COMPONENTS for details.</t>
  </si>
  <si>
    <t xml:space="preserve"> MATERIALS 300 bags cement 120 pack sahara cement REINFORCED STEEL 50 pcs 16mm RSB 100 pcs 12mm RSB 300 pcs 10mm RSB 75 pcs 8mm RSB 25 cu.m. 3/4 crushed gravel 25 cu.m. albay sand 20 pcs 1/4 marine plywood 250 pcs 2x3x12 coco lumber 120 pcs 2x2x12 coco lum</t>
  </si>
  <si>
    <t xml:space="preserve"> Diesel Brake fluid Gear Oil Grease  Engine oil Fuel Filter Oil filter x-x-x-x-x-x-x-x-x-x</t>
  </si>
  <si>
    <t xml:space="preserve"> 2ND INVITATION TO BID FOR THE PROCUREMENT OF VARIOUS IT EQUIPMENT AND ACCESSORIES FOR BUSINESS ONE-STOP SHOP CENTER (BOSS CENTER),  CITY OF ALAMINOS, PANGASINAN 1.	The CITY GOVERNMENT OF ALAMINOS, PANGASINAN, through its Special Purpose Appropriation inte</t>
  </si>
  <si>
    <t xml:space="preserve"> Continuation of river bank protection</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</si>
  <si>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</si>
  <si>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Province of Negros Oriental MUNICIPALITY OF BACONG REQUEST FOR EXPRESSION OF INTEREST FOR CONSULTANCY SERVICES FOR THE APPRAISAL OF LAND AND IMPROVEMENT OF THE PROPOSED DEVELOPMENT OF BACONG INTERNATIONAL AIRPORT BacongRFQ 2020</t>
  </si>
  <si>
    <t xml:space="preserve"> As soon as possible</t>
  </si>
  <si>
    <t xml:space="preserve"> Please quote your lowest price on the SUPPLY AND DELIVERY OF FUEL AND LUBRICANTS FOR VICE MAYOR’S OFFICE  as specified below and submit your quotation duly signed by your representative not later than 2pm of                  JULY 8, 2020 				 					 						</t>
  </si>
  <si>
    <t xml:space="preserve"> Construction of Slope Protection Wall V =5.50 cu.m. Concreting of Pavement L = 33.60 m/ w = 22.40 m / t = 0.15 m 201 Aggregate Base Coarse V = 70.56 cu.m. compacted volume/ V = 84.67 cu.m. loose volume Portland Cement Concrete Pavement V = 112.90 cu.m./ A</t>
  </si>
  <si>
    <t xml:space="preserve"> The TARLAC AGRICULTURAL UNIVERSITY, through its Bids and Awards Committee (BAC), invites all suppliers and dealers to submit sealed quotation for the “PURCHASE OF MESH NETS TO BE USED IN THE CONSTRUCTION OF NETHOUSES FOR THE DA-ACEF PROJECT". 40 roll 32 x</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</si>
  <si>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</si>
  <si>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MEDICAL, DENTAL AND LABORATORY SUPPLIES EXPENSES</t>
  </si>
  <si>
    <t xml:space="preserve"> Specs: 3  units  Misting Sprayer (chargeable/manual) 40  bxs/50's  Surgical mask 30  bxs/100's Gloves (large &amp; medium) 50  liters  Alcohol 24  pcs.  PPE (overall washable)</t>
  </si>
  <si>
    <t xml:space="preserve"> ITEM      UNIT      QTY       DESCRIPTION</t>
  </si>
  <si>
    <t xml:space="preserve"> Republic of the Philippines PROVINCIAL GOVERNMENT OF EASTERN SAMAR Capitol Building, Borongan, Eastern Samar, 6800 Tel No. (055)-560-8312 E-mail Address: esamar.bac@gmail.com BIDS AND AWARDS COMMITTEE (BAC) INVITATION TO BID FOR OPENING OF ROAD, BRGY. CAN</t>
  </si>
  <si>
    <t xml:space="preserve"> City Engineer's Office P.R. No. : 2020-05-2404 Date: 05/20/2020 1 28.14 cu.m. I. Hardearth excavation 7,768.61 2 80.4 sq.m. II. Sub-grade preparation 7,962.01 3 12.06 cu.m. III. Aggregate Base Coarse 30,137.58 4 80.4 sq.m. IV. PCCP 213,988.62 5 12 ln.m. V</t>
  </si>
  <si>
    <t xml:space="preserve"> Specs: 465  pcs  Facemask 468  pcs  Shirt</t>
  </si>
  <si>
    <t xml:space="preserve"> 1	420	bags	Portland Cement	 2	330	pcs.	10mm dia. X 6m RSB	 3	30	pcs.	16mm dia. X 6m RSB	 4	1,000	pcs.	5" CHB	 5	55	kgs.	#16 Tie Wire	 6	5	pcs.	1/4" thk Phenolic Plywood	 7	4	kgs.	Assorted CWN	 8	200	bd.ft.	Lumber	 X X X X X X X X X X X X X X X X X X X</t>
  </si>
  <si>
    <t xml:space="preserve"> Concreting Works V = 3.00 cu.m. Masonry Works Rebarworks</t>
  </si>
  <si>
    <t xml:space="preserve"> City Engineer's Office P.R. No. : 2020-05-2377 Date: 05/13/2020 1 13.84 cu.m I. Excavation 27,733.15 2 1.8 cu.m II. Concrete Works 35,067.44 3 24.6 sq.m III. Masonry Works with Plastering 37,851.28 4 1 unit IV. PE Water Tank and Pipeline 275,827.13 5 1 lo</t>
  </si>
  <si>
    <t xml:space="preserve"> Extension wire Paint (white/gray/silver) Brush (2", 3", 4") Wood (2x2x10) Plyboard (3/4") Nail (1", 2", 3") Rollers Plywood (1/4") Office table Executive chair Drawer Working table Chair Aircon w/ installation Wall fan Ceiling fan Computer table Cabinet S</t>
  </si>
  <si>
    <t xml:space="preserve"> Item	QTY.	UNIT	PARTICULARS / DESCRIPTION AND SPECIFICATIONS		APPROVED	UNIT PRICE	 NO.					UNIT COST		 1			 Monday, July 6, 2020 				 	375	 pax 	 AM Snacks 		 80.00 		 			 Tuna spaghetti, Fresh Juice 				 							 	375	 pax 	 Lunch 		 180.00 		 			 Pork Afr</t>
  </si>
  <si>
    <t xml:space="preserve"> THE NATIONAL IRRIGATION ADMINISTRATION-SCIMO, THROUGH THE FUND 501 HAS THE APPROVED BUDGET FOR THE CONTRACT (ABC) AMOUNTING   SEVENTY-TWO THOUSAND FOUR HUNDRED FORTY PESOS ONLY (72,440.00).   QUOTATION RECEIVED IN EXCESS OF THE ABC SHALL BE AUTOMATICALLY </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</si>
  <si>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</si>
  <si>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PURCHASE OF ONE (1) UNIT BRAND NEW 4X4 MINI DUMPTRUCK WITH 5-6 CU.M. CAPACITY  1.	The Municipal Government of San Sebastian, through the General Fund-20% EDF FY 2019 (Continuing Appropriation) intends to apply the sum of TWO MILLION FIVE HUNDRED THOUSAND </t>
  </si>
  <si>
    <t xml:space="preserve"> FOR HEMODIALYSIS USE</t>
  </si>
  <si>
    <t xml:space="preserve"> Seven (7) sks Rice 50kls and five (5) other L/I</t>
  </si>
  <si>
    <t xml:space="preserve"> PHILIPPINE BIDDING DOCUMENTS (As Harmonized with Development Partners) RE BIDDING - MATERIALS AND APPARATUS NEEDED IN THE CMS CENTRALIZE MONITORING SYSTEM BIDDING Government of the Republic of the Philippines TABLE OF CONTENTS SECTION I. INVITATION TO BID</t>
  </si>
  <si>
    <t xml:space="preserve"> Republic of the Philippines			 Province of Surigao del Norte			 Municipality of Gigaquit			 			 OFFICE OF THE BIDS AND AWARDS COMMITTEE (BAC)			 			 Date:June 30,2020			 			 INVITATION TO APPLY FOR ELIGIBILITY AND TO BID			 			 A. Construction of FMR-Brgy</t>
  </si>
  <si>
    <t xml:space="preserve"> LOCATION:  SITIO RANGTAY SITIO CAVITE SITIO PURAW</t>
  </si>
  <si>
    <t xml:space="preserve"> Supply and Delivery of Materials for use in Survey Activities</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</si>
  <si>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</si>
  <si>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The City Government of San Pedro, Laguna invites interested parties to quote for the following item/s as per request OM: Qty.	Unit of Issue	Item Description 5	pail	Semi gloss paint (White) 5	pail	Semi gloss paint (Yellow) 5	pail	Semi gloss paint (Blue) Fo</t>
  </si>
  <si>
    <t xml:space="preserve"> Furnishing of tools, labor, equipment and other necessary documents for the completion of the above project. The Work consist of: 103 EMBANKMENT 404 REINFORCING STEEL 405 STRUCTURAL CONCRETE 505 GROUTED RIPRAP SPL A BILLBOARD/TARPAULIN Invitation to Re- B</t>
  </si>
  <si>
    <t xml:space="preserve"> Fifteen (15) scks Rice 50kls and five (5) other L/I</t>
  </si>
  <si>
    <t xml:space="preserve"> 1 UNIT SOUND SYSTEM, FOR INDOOR USE, 12 CHANNEL ANALOG MIXER, 2X 15" SPEAKER, 750W @ 4.0 OHMS POWER AMPLIFIER, WITH 2 SETS WIRELESS MICROPHONES, 2 UNITS WIRED DYNAMIC MICROPHONE, 2 UNITS MICROPHONE STAND, DVD PLAYER, EQUIPMENT RACK AND WIRES, CABLES AND C</t>
  </si>
  <si>
    <t xml:space="preserve"> City Engineer's Office P.R. No. : 2020-05-2430 Date: 05/27/2020 1 3.57 cu m I. EARTHWORKS 6,516.46 2 7.41 cu m II. CONCRETE WORKS 140,802.60 3 .97 sq m III. MASONRY WORKS 6,541.53 4 60.09 sq m IV. WALL &amp; DOOR 255,955.16 5 1 lot V. ELECTRICAL WORKS 7,363.7</t>
  </si>
  <si>
    <t xml:space="preserve"> INVITATION TO APPLY FOR ELIGIBILITY AND TO BID The local Government Unit of Can-avid, through is Bid and Awards Committee (BAC). Invites suppliers to apply for eligibility, to bid for the hereunder contract: Name of Contract: 	PURCHASE AND DELIVERY OF HAR</t>
  </si>
  <si>
    <t xml:space="preserve"> City Engineer's Office P.R. No. : 2020-03-1944 Date: 03/17/2020 1 15 roll 1 1/4" dia. PE pipes, SDR-11, 60m 80,280.00 2 15 roll 1" dia" PE pipes SDR 11, 100m 84,000.00 3 15 roll 3/4" PE pipes SDR 11, 150m 77,670.00 4 10 roll 1/2" PE pipes SDR 11, 150m 32,</t>
  </si>
  <si>
    <t xml:space="preserve"> REPUBLIC OF THE PHILIPPINES PROVINCE OF NEGROS OCCIDENTAL MUNICIPALITY OF MOISES PADILLA Barangay Montilla Bids and Awards Committee June 30, 2020 INVITATION TO BID FOR THE REPAIR &amp; MAINTENANCE OF WATER SUPPLY SYSTEM 1.	The Barangay of Montilla through th</t>
  </si>
  <si>
    <t xml:space="preserve"> Unit 	Printer	3	2,495.00	7,485.00 	Print Speed:Black - 7.0 ppm, Color - 4.8 ppm			 	Paper Input(Standard Tray): Up to 80-sheets			 	Paper Handling Sizes: A4, Letter, Legal, B5,A6,DL envelope</t>
  </si>
  <si>
    <t xml:space="preserve"> REQUEST FOR QUOTATION For Shopping Procurement under Sec. 52 of the Revised IRR of RA 9184 Quotation No.:  2020-06-219 Date: June 30, 2020 PR No.: 20-06-235 (i.1, &amp; 3-11) PR Date: June 22, 2020 The Metropolitan Tuguegarao Water District (MTWD) is pleased </t>
  </si>
  <si>
    <t xml:space="preserve"> Assorted Books Bond Paper Printer Ink (Per bottle) Computer set Computer tables &amp; chairs Bookshelf Printers</t>
  </si>
  <si>
    <t xml:space="preserve"> Section I. Invitation to Bid   Provincial Government of Isabela SUPPLY, DELIVERY AND INSTALLATION OF SOLAR POWERED IRRIGATION SYSTEM IN THE TWO (2) SITES OF PROVINCIAL PLANT NURSERY The Provincial Government of Isabela, through the PGI FUND intends to app</t>
  </si>
  <si>
    <t xml:space="preserve"> Specs: 1  unit  HP15S-DU0044TX silver-Intel Core i7 - 8565U processor (8M cache, up to 4.60 Ghz) 8GB DDR4 - 2400 SDRAM (1x8GB) 2TB 5400 rpm SATA, NO OOD, windows 10, 3 cel, 41 Wh Li-ino, 15.6 in diagonal FHD IPS anti glare micro edge WLED - backlit 1920 x</t>
  </si>
  <si>
    <t xml:space="preserve"> Republic of the Philippines Province of Misamis Oriental Municipality of Initao Invitation to Bid  CONCRETING OF TUBIGAN-BOBUTAN FARM-TO-MARKET ROAD  1.	The Municipal Government of Initao, Misamis Oriental, through Trust Fund intends to apply the sum of F</t>
  </si>
  <si>
    <t xml:space="preserve"> Specs: 2   units  External hard drive 2.5" HDD, 2TB, USB 3.0 5   units  APC Back UPS BX650LI-MS 325W 650VA with AVR universal socket 1   unit   Epson L360 all-in-one ink tank printer 1   unit   LED monitor 19" 1   unit   Laptop: Aspire 3 A315-53G-599B - o</t>
  </si>
  <si>
    <t xml:space="preserve"> 1	Portland Cement			95	bags 2	 Sand			4	cu.m. 3	Gravel			8	cu.m. 4	Form Good Lumber - 4 Usage			350	bd. Ft. 5	75mm diameter G.I. Pipe			525	m 6	G.I. Flat Bar 1 1/2" x 1/8"			875	kg. 7	G.I. Bolts w/ Nuts &amp; Washer , 5mm diameter			525	pcs. 8	G.I. Bolts w/ N</t>
  </si>
  <si>
    <t xml:space="preserve"> 1 Set CAESARIAN SECTION INSTRUMENT SET WITH STERILIZING TRAY Contents: 12 Pcs Sponge Holding Forceps 9 1/2" Straight 12 Pcs Backhaus Towel Clamp 5 1/4" 1 Pc Knife Handle #3 1 Pc Knife Handle #4 1 Pc Knife Handle #7 1 Pc Knife Handle #3L 1 Pc Mayo Dissecti</t>
  </si>
  <si>
    <t xml:space="preserve"> Republic of the Philippines														 PROVINCE OF ZAMBOANGA SIBUGAY														 Municipality of Payao														 														 INVITATION TO BID														 										PR2020-06-29-075				 The Local Government Unit of Payao, Zamboanga Sibugay, </t>
  </si>
  <si>
    <t xml:space="preserve"> Clinical Laboratory use LGU Cabagan Cabagan, Isabela</t>
  </si>
  <si>
    <t xml:space="preserve"> Republic of the Philippines National Kidney and Transplant Institute Bids and Awards Committee East Avenue, Quezon City 1100 981-0300 / 981-0400 local 1157 http://www.nkti.gov.ph/	 INVITATION TO BID for the ITB No. 20-052 ONE (1) LOT SUPPLY AND DELIVERY O</t>
  </si>
  <si>
    <t xml:space="preserve"> LOCATION: SITIO MORO I. EXCAVATION WORKS II. MASONRY WORKS SPL CONSTRUCTION SAFETY &amp; HEALTH</t>
  </si>
  <si>
    <t xml:space="preserve"> Republic of the Philippines PROVINCIAL GOVERNMENT OF EASTERN SAMAR Capitol Building, Borongan, Eastern Samar, 6800 Tel No. (055)-560-8312 E-mail Address: esamar.bac@gmail.com BIDS AND AWARDS COMMITTEE (BAC) INVITATION TO BID FOR THE  PROCUREMENT OF COMPAC</t>
  </si>
  <si>
    <t xml:space="preserve"> Republic of the Philippines							 	DEPARTMENT OF SCIENCE AND TECHNOLOGY							 	Regional Office No. 7							 	Lahug S&amp;T Complex, Sudlon, Lahug							 	Cebu City							 	TEL./FAX NO.  256-3345/328-9305							 		email: dost7supply@gmail.com						 PR No.   </t>
  </si>
  <si>
    <t xml:space="preserve"> Please see attached files.</t>
  </si>
  <si>
    <t xml:space="preserve"> 200 Vial Ampicillin 250mg. I.M./I.V. 200 Vial Ampicillin 500mg. I.M./I.V. 300 Vial Ceftriaxone 1g. IM./I.V. 500 Vial Cefuroxime 750mg. IM/IV 200 Amp Epinephrine 1ml. I.V. 100 Vial Omeprazole 40mg/ml. IM/IV</t>
  </si>
  <si>
    <t xml:space="preserve"> 15 Pcs Dust Mop 25 Pcs Floor Wiper 25 Pcs Window Wiper 100 Pcs Anti Slip Mat Rubber, Heavy Duty 100 Pcs Trash Bin (Swing 50-60 Liter) 100 Pcs Trash Bin (Swing 40-50 Liter) 10 Units Mop Squeezer 10 Pcs Wet Floor Caution Sign 1 Unit Floor polisher (Heavy Du</t>
  </si>
  <si>
    <t xml:space="preserve"> Construction of Picnic Sheds at Macalong Fishing Ground (SWIP area), Asingan, Pangasinan.</t>
  </si>
  <si>
    <t xml:space="preserve"> 1 Bumper Repair and Repaint 1 Fuel Pump 1 Power Steering Hose with Hoseclamp 1 Fuel Filter 1 Oil Filter 1 Power Steering Fluid 1 Eco Gear 1 Strainer/Washer 1 Thermo Switch 7 ltrs Engine Oil 1 Wiper 1 Bulb 1 Door Visor 1 Aircon Cleaning 1 Timing Belt with </t>
  </si>
  <si>
    <t xml:space="preserve"> I      SURFACE LEVELING II     STRUCTURE EXCAVATION III    FORM WORKS AND SCAFFOLDING IV    CONCRETE WORKS "CLASS A" V     REINFORCING STEEL BARS VI   STEEL TRUSSES VII  INSTALLATION OF C-PURLINS VIII PAINTING OF TRUSSES AND PURLINS (TWO COATING) IX   TIN</t>
  </si>
  <si>
    <t xml:space="preserve"> ITEM NO. QUANTITY UNIT ITEM DESCRIPTION 1 4 PCS. BIND - (70 PAGES) 2 21 PCS. BIND - (100-250 PAGES) 3 7 PCS. BIND - (300-400 PAGES) 4 1 PC. TARPAULIN - 4X15FT, WITH EYELET 5 28 PCS. TARPAULIN - 4X6.5 FT, WITH EYELET</t>
  </si>
  <si>
    <t xml:space="preserve"> INVITATION TO BID FOR SUPPLY, DELIVERY AND INSTALLATION OF LOCAL NETWORK INFRASTRUCTURE FOR DSWD FIELD OFFICES —  ITB NO. GOP/20-DSWD-043 — (PR NO. 01-20001-PR-2020-03-00126) 1. The Department of Social Welfare and Development (DSWD), through the DSWD Fun</t>
  </si>
  <si>
    <t xml:space="preserve"> Sound System</t>
  </si>
  <si>
    <t xml:space="preserve"> 2 units SUBMERSIBLE PUMP, “Grundfos” SP 30-3, 30 M3/hr rated cap. @ 50meter TDH coupled with Submersible Motor “Franklin”, 5HP, 440VAC, 3 Phase with standard submersible cable lead wire 2 units SUBMERSIBLE PUMP, Grundfos”SP 60-4, 57.6 M3/hr rated cap. @ 4</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</si>
  <si>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</si>
  <si>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6 units Jetmatic Pump and other items for use in various water services activities.</t>
  </si>
  <si>
    <t xml:space="preserve"> INVITATION TO BID FOR  Procurement of Goods [Medicines] The   City Government of Tagbilaran,   through the Appropriation Ordinance No. 19-05 for FY 2020, intends to apply the sum of Eight Hundred Ninety One Thousand Six Hundred Sixty Pesos and Seventy Cen</t>
  </si>
  <si>
    <t xml:space="preserve"> Republic of the Philippines PROVINCIAL GOVERNMENT OF EASTERN SAMAR Capitol Building, Borongan, Eastern Samar, 6800 Tel No. (055)-560-8312 E-mail Address: esamar.bac@gmail.com BIDS AND AWARDS COMMITTEE (BAC) INVITATION TO BID FOR THE  PROCUREMENT OF BROADC</t>
  </si>
  <si>
    <t xml:space="preserve"> INVITATION FOR PRICE QUOTATION Date:  June 30, 2020 For The PROVISION OF BREASTFEEDING ROOM    The Civil Aviation Authority of the Philippines (CAAP) intends to apply the estimated amount of  One Hundred Eighty Nine Thousand Thirty One Pesos &amp; 50/100 (₱ 1</t>
  </si>
  <si>
    <t xml:space="preserve"> PHO-NC-2020-129 REQUEST FOR QUOTATION FOR THE PROCUREMENT OF VARIOUS IT SOFTWARE, EQUIPMENT, AND MATERIALS FOR IHOMIS PROVISION OF INTERNET SECURITY, VARIOUS OFFICE IT EQUIPMENT, GMPH, TALIBON, BOHOL COST OF CANVASS: P 400.00</t>
  </si>
  <si>
    <t xml:space="preserve"> Purchase of Anti- Rabies vaccine for RHU I use, Botolan, Zambales</t>
  </si>
  <si>
    <t xml:space="preserve"> 3 roll - service drop wire #6 371 meters - service drop wire # 6 30 pcs. - secondary rock single w/spool 3 boxes - phelps dodge THHN 12 10 pcs. - Armak elec. tape B. xxxxxx</t>
  </si>
  <si>
    <t xml:space="preserve"> THE NATIONAL IRRIGATION ADMINISTRATION-SCIMO, THROUGH THE FUND 501 HAS THE APPROVED BUDGET FOR THE CONTRACT (ABC) AMOUNTING    FIFTY SIX THOUSAND PESOS ONLY (56,000.00).  QUOTATION RECEIVED IN EXCESS OF THE ABC SHALL BE AUTOMATICALLY REJECTED. INTERESTED </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</si>
  <si>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</si>
  <si>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Supply and Delivery of Diesel at NIA IAAPIS Baculud Amulung Cagayan</t>
  </si>
  <si>
    <t xml:space="preserve"> RRepublic of the Philippines Province of Palawan Municipality of Dumaran dum_bacsecretariat@yahoo.com BIDS AND AWARDS COMMITTEE INVITATION TO BID 1.	The Municipal Government of Dumaran, Palawan, through its 20% Development Fund intends to apply the sum of</t>
  </si>
  <si>
    <t xml:space="preserve"> INVITATION TO RE-BID FOR Motor Vehicle  (Name of Project)    1.	The CITY GOVERNMENT OF ZAMBOANGA, through the AB FY 2019 intends to apply for re-bid the sum of ONE MILLION SEVEN HUNDRED THOUSAND PESOS (P1,700,000.00) ONLY being the Approved Budget for the</t>
  </si>
  <si>
    <t xml:space="preserve"> Republic of the Philippines Province of Batanes	 MUNICIPALITY OF BASCO               INVITATION FOR NEGOTIATED PROCUREMENT  Project Reference No. : 100-3-03-20% DF (PY) Name of Project	      : Inst. &amp; Maint. of Streetlighting System Location of Project	Ba</t>
  </si>
  <si>
    <t xml:space="preserve"> Construction of Laying House at Barangay Bangon, Aroroy, Masbate</t>
  </si>
  <si>
    <t xml:space="preserve"> Pag-IBIG FUND Tuguegarao Branch Office Editha Tuddao Bldg., Balzain Road, Tuguegarao City, Cagayan REQUEST FOR QUOTATION SUPPLY AND DELIVERY OF THREE (3) UNITS BRAND NEW 3-IN-1 PRINTERS  FOR Pag-IBIG FUND, TUGUEGARAO HUB  The Pag-IBIG Fund (HDMF) is invit</t>
  </si>
  <si>
    <t xml:space="preserve"> 184	Sheet	Roofing sheet, Corrugated, Galvanized Iron, Ga. 24, 36 in. x 8 ft. 15	Kg	Nail, Umbrella Type, 2 ½ in 18	Gal	Paint, Primer, Red Oxide 21	Gal	Paint, Roofing, 4 liters, Baguio Green 69	Gal	Paint, Latex (high quality standard) 69	Gal	Paint, Enamel (</t>
  </si>
  <si>
    <t xml:space="preserve"> Fifteen (15) sacks Rice 50kls and seven (7) other L/I</t>
  </si>
  <si>
    <t xml:space="preserve"> 4 pcs Detergent Powder with Fabric Conditioner, 900g 14 pair Rubber Gloves Length 12" 6 pair Rubber Gloves Length 15" 1 can Insect Repellent 8 gallon Alcohol Ethyl 70% 48 sachet Fabric Conditioner Liquid, Scented, 20ml 20 container Mineral Water Round 20 </t>
  </si>
  <si>
    <t xml:space="preserve"> Steel Fibered Movable Basketball Board</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</si>
  <si>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</si>
  <si>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NOTICE OF ALTERNATIVE METHODS OF PROCUREMENT Notice is hereby given that this office will conduct Small Value Procurement in accordance with Section 53.9 of the Revised Implementing Rules and Regulations of RA 9184. Contractors/Suppliers/ Consultants of k</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</si>
  <si>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</si>
  <si>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Republic of the Philippines Province of Cotabato Municipality of Arakan BIDS AND AWARDS COMMITTEE INVITATION TO BID FOR  CONCRETING OF MUNICIPAL STREET  ( MIGUEL TUBLE ST-  T. NOMBREDA ST.) 1.	The Local Government Unit of Arakan, through the GENERAL   FUN</t>
  </si>
  <si>
    <t xml:space="preserve"> INVITATION FOR PRICE QUOTATION Date:  June 30, 2020 For The PROVISION OF KID’S PLAY AREA    The Civil Aviation Authority of the Philippines (CAAP) intends to apply the estimated amount of  Ninety Nine Thousand Eight Hundred Forty One Pesos &amp; 67/100 (₱ 99,</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</si>
  <si>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</si>
  <si>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Procurement of Medical Equipment for the Municipal Isolation Unit in relation to COVID-19</t>
  </si>
  <si>
    <t xml:space="preserve"> OPA-RASS-NC-2020-0344 REQUEST FOR QUOTATION FOR THE PROCUREMENT OF PVC PIPES, PVC PIPE CLEAN OUT SET, PVC ELBOW, AND PVC PIPE SOLVENT FOR THE ESTABLISHMENT OF SMALL FARM RESERVOIR AS SOIL AND WATER CONSERVATION STRUCTURES AND FOR IRRIGATION PURPOSES TO IM</t>
  </si>
  <si>
    <t xml:space="preserve"> INVITATION TO RE-BID FOR Motor Vehicle  (Name of Project)    1.	The CITY GOVERNMENT OF ZAMBOANGA, through the AB FY 2017 / SB# 01 FY 2019 intends to apply for re-bid the sum of ONE MILLION FIVE HUNDRED THOUSAND PESOS (P1,500,000.00) ONLY being the Approve</t>
  </si>
  <si>
    <t xml:space="preserve"> Republic of the Philippines Province of Batanes	 MUNICIPALITY OF BASCO               INVITATION FOR NEGOTIATED PROCUREMENT  Project Reference No. : 100-3-03-Various Offices Name of Project	      : Office Supplies (Batch 2) Location of Project	Basco, Batan</t>
  </si>
  <si>
    <t xml:space="preserve"> Unit 	Item Description	Quantity 		 pcs.	C Purlen 2 x 3 3/16 x 6m	11 pcs.	1 1/2 Angle Bar	22 pcs.	Round Bar	20 pcs.	Angle Bar #2	10 gal.	Red Lead Paints	1 kls.	Welding Rod	4 pcs.	G I Pipe	4 pcs.	G I Sheet	8 bag	Cement	6 pcs.	Screw	30 pcs.	CHB 	50 cu.m	Sand</t>
  </si>
  <si>
    <t xml:space="preserve"> Supply and Delivery of Fuels at NIA ZRIS, Lasam &amp; Gattaran, Cagayan</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</si>
  <si>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</si>
  <si>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Supply and Delivery of Vehicle Spare Parts at NIA CBIMO Maddarulug, Solana, Cagayan</t>
  </si>
  <si>
    <t xml:space="preserve"> Supply and Delivery of Various Janitorial Supplies 100 can Air Freshener, aerosol, 280ml/150g min- 10,000.00 60 bottle, 70% solution, disinfectant, 500ml- 6,000.00 30 pack Battery, dry cell, AA, 1.5 volts, alkaline, 4pcs/pack- 4,500.00 20 pc Broom, Stick </t>
  </si>
  <si>
    <t xml:space="preserve"> A. WASH AREA I. REMOVAL OF STRUCTURE a) Labor II. MASONRY &amp; TILE WORKS a) Materials b) Labor c) Equipment Rental B. WATER SYSTEM a) Materials b) Labor c) Equipment Rental C. ELECTRICAL a) Materials b) Labor SPL. CONSTRUCTION SAFETY &amp; HEALTH</t>
  </si>
  <si>
    <t xml:space="preserve"> Republic of the Philippines														 PROVINCE OF ZAMBOANGA SIBUGAY														 Municipality of Payao														 														 INVITATION TO BID														 										PR2020-06-29-074				 The Local Government Unit of Payao, Zamboanga Sibugay, </t>
  </si>
  <si>
    <t xml:space="preserve"> INVITATION TO RE-BID FOR Spare Parts – Other Transportation Equipment  (Name of Project)    1.	The CITY GOVERNMENT OF ZAMBOANGA, through the General Fund intends to apply for re-bid the sum of ONE MILLION TWO HUNDRED SEVENTY THOUSAND FIVE HUNDRED PESOS (P</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</si>
  <si>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</si>
  <si>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Supply &amp; Delivery of Printing Supplies @ NIA CBIMO Maddarulug, Solana, Cagayan</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</si>
  <si>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</si>
  <si>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Provision of Project Development Officer III on "USM Technology Business Incubation (USM_TBI)  Job Description: -shall supervise the overall operation of the USM ATBI i.e. schedules of office staff technical experts, and other involved key employees -lead</t>
  </si>
  <si>
    <t xml:space="preserve"> Procurement of Personal Protective Equipment Sets and Other Relevant Materials, for Use of Security Guards, Utility Workers, and Liaison Officer - 12 sets Personal Protective Equipment with Gloves, Goggles, Shoe Covers, Cover-All, Face Shief, Mask - 10 bo</t>
  </si>
  <si>
    <t xml:space="preserve"> The Barangay Malalinta, Tuao Cagayan through its 20% Barangay Dev't Fund intends to apply the sum of                   Php 54,954.00  being the Approved Budget for the Contract (ABC) to payments under the contract for  Procurement of Materials for the Con</t>
  </si>
  <si>
    <t xml:space="preserve"> 1 unit Vaccine Refrigerator KDH</t>
  </si>
  <si>
    <t xml:space="preserve"> Item	QTY.	UOM	PARTICULARS / DESCRIPTION AND SPECIFICATIONS		APPROVED	BRAND NAME NO.					UNIT COST	 1	2	unit	Airconditioner, Inverter, Split Type, (5TR)		115,000.00	 			(2-units-CON)			 			Conditions:			 			*Free 10 feet pipe installation per unit.			 			*</t>
  </si>
  <si>
    <t xml:space="preserve"> BUGO CENTRAL SCHOOL WOULD LIKE TO PROCURE THE FOLLOWING MATERIALS FOR OUR SCHOOL DISASTER RISK REDUCTION MANAGEMENT: HANDHELD RADIO BULL HORN/MEGAPHONE SPINE BOARD FRUCTURE SPLINTS ROPE 1/2 " KERNMANTLE TYPE FLOTATION RINGS/DEVICE WORK GLOVES HARD HATS RE</t>
  </si>
  <si>
    <t xml:space="preserve"> INVITATION TO RE-BID FOR Technical and Scientific Equipment  (Name of Project)    1.	The CITY GOVERNMENT OF ZAMBOANGA, through the AB FY 2020 intends to apply for re-bid the sum of ONE MILLION THREE HUNDRED FORTY THOUSAND PESOS (P1,340,000.00) ONLY being </t>
  </si>
  <si>
    <t xml:space="preserve"> PEO-NC-2020-0343 REQUEST FOR QUOTATION FOR THE PROCUREMENT OF AGGREGATE SUBBASE COURSE (ANAPOG) FOR THE MAINTENANCE OF VARIOUS PROVINCIAL ROADS FOR PROJECT MANAGEMENT DIVISION (PMD) III - SET 2 COST OF CANVASS: P 400.00</t>
  </si>
  <si>
    <t xml:space="preserve"> 2 Pre-Starter 4 Pre-Starter 12 Starter 42 Grower 41 Finisher</t>
  </si>
  <si>
    <t xml:space="preserve"> Republic of the Philippines Danao City BIDS AND AWARDS COMMITTEE 		 REQUEST FOR QUOTATION The Local Government of Danao City, through the General Services Office intends to apply the sum of Php790,900.00 being the Approved Budget for the Contract (ABC) to</t>
  </si>
  <si>
    <t xml:space="preserve"> BEMO-NC-2020-0342 REQUEST FOR QUOTATION FOR THE PROCUREMENT OF LABOR, MATERIALS, AND EQUIPMENT FOR THE CONSTRUCTION OF NURSERY AND VERMI SHED HOUSES AT BIO-DIVERSITY COMPLEX, ROXAS, BILAR, BOHOL COST OF CANVASS: P 400.00</t>
  </si>
  <si>
    <t xml:space="preserve"> Province of Cotabato Municipality of Arakan BIDS AND AWARDS COMMITTEE Invitation for Negotiated Procurement SUPPLY OF MEDICINE &amp; MEDICAL SUPPLIES FOR  WALK IN CLIENT  	In view of the two (2) failed public bidding the Local Government of Arakan Bids and Aw</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</si>
  <si>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</si>
  <si>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1 Lot Procurement of Consulting Services:  Training Institution to Conduct Training on International Financial Accounting Standards for ECC Employees ABC: PhP1,000,000.00 Delivery Date:  Capability Training conducted by July 30, 2020</t>
  </si>
  <si>
    <t xml:space="preserve"> 106 pcs Face mask</t>
  </si>
  <si>
    <t xml:space="preserve"> PEO-NC-2020-0341 REQUEST FOR QUOTATION FOR THE PROCUREMENT OF AGGREGATE SUBBASE COURSE (ANAPOG) FOR THE MAINTENANCE OF VARIOUS PROVINCIAL ROADS FOR PROJECT MANAGEMENT DIVISION (PMD) III - SET 1 COST OF CANVASS: P 400.00</t>
  </si>
  <si>
    <t xml:space="preserve"> 1 set Major Surgery Instrument set with sterilizing tray Contents: 6 Pcs Sponge Holding Forceps 9 1/2" Straight 12 Pcs Backhaus Towel Clamp 5 1/4" 1 Pc Knife Handle #3 1 Pc Knife Handle #4 1 Pc Knife Handle #7 1 Pc Mayo Dissecting Scissors 6 3/4" Straight</t>
  </si>
  <si>
    <t xml:space="preserve"> (PLEASE SEE ATTACHED ASSOCIATED COMPONENT) please send Request for Quotation  -  philgepsprocurement19@gmail.com Contact Person: JILLSHARON JIMENEZ (711-69-73) 100	gal	70% Isoprophyl Alcohol	 			 		REQUIREMENTS: 3 sets Individual sealed Quotation. (per En</t>
  </si>
  <si>
    <t xml:space="preserve"> Construction of New Main Gate at Carosucan Sur National High School, Asingan, Pangasinan.</t>
  </si>
  <si>
    <t xml:space="preserve"> Assorted Construction Materials &amp; Supplies</t>
  </si>
  <si>
    <t xml:space="preserve"> INVITATION TO BID FOR  Procurement of One Unit Brand New Pick-Up Type Vehicle The Municipality of Banaybanay, through the 2020 Annual Budget intends to apply the sum of One Million Two Hundred Fifty Thousand Pesos (Php 1,250,000.00) being the Approved Bud</t>
  </si>
  <si>
    <t xml:space="preserve"> 1 UNIT SOUND SYSTEM, LAPEL MICROPHONE: CLEAR AUDIO UNIT AND LOW HANDLING NOISE, FREQUENCY RANGE; 20 Hz- 20 KHz, OMNIDIRECTIONAL-PICK UP FROM ALL SIDES EQUALLY . 1 UNIT SOUND SYSTEM, PUBLIC ADDRESS SYSTEM; PORTABLE microphone/line input: electronically bal</t>
  </si>
  <si>
    <t xml:space="preserve"> 1. 145 Gal. Alcohol 2. 145 Kls. Chlorine 3. 145 Bot. Liquid antibac hand soap 4. 290 Pcs. Sprayer ( for alcohol / disinfectant ) 5. 290 Pcs. Washable mask 6. 145 Pcs. Detergent soap</t>
  </si>
  <si>
    <t xml:space="preserve"> Repair of Damaged walls, construction of concrete columns, replacement of partition wall to folding wall, replacement of main doors &amp; CR doors and Painting of Interior and exterior wallings.</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</si>
  <si>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</si>
  <si>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2  unit  PTZ Camera /2.8” 2 Megapixel             Starvis CMOS ,Powerful 25 x optical zoom            Starlight Technology ,Max 25/30 fps @ 1080P            IR distance up to 100m,IP66 1 unit  NVR4K Series DVR,8 MP Preview,80 Mbps Bandwidth 1 pcs  1 TB Su</t>
  </si>
  <si>
    <t xml:space="preserve"> Safety precaution materials against Covid-19 of Barangay 5, Lucena City</t>
  </si>
  <si>
    <t xml:space="preserve"> Republic of the Philippines Province of Davao Oriental CITY OF MATI REQUEST FOR QUOTATION 			 Date:	25 JUNE 2020 RFQ No.:	0834-2020 Name of Company: __________________________________________________________________________________________________________</t>
  </si>
  <si>
    <t xml:space="preserve"> Provision of Science Research Assistant  on "USM Technology Business Incubation" (USM-TBI) JOB DESCRIPTION: -Provide support to the operation of IP-TBM -Collect/extract data from the IP database as needed -Prepare relevant communications and maintain requ</t>
  </si>
  <si>
    <t xml:space="preserve"> Scope of Work 1. Body Repainting with Materials, Repair Rear Right Side Door with Materials, Front Bumper Repair and Alignment. 2. Roll Bar with Rack 3. Steering Wheel with Cover 4. Tail Light Assembly</t>
  </si>
  <si>
    <t xml:space="preserve"> Republic of the Philippines Province of Bohol Municipality of Tubigon BIDS AND AWARDS COMMITTEE Tel/Fax. No. (038) 508-8059 REQUEST FOR QUOTATION For Small Value Procurement under Sec. 53.9 of the Revised IRR of R.A. 9184 Quotation No: 2020-06-306 P. R. N</t>
  </si>
  <si>
    <t xml:space="preserve"> The National Food Authority (NFA), Southern Tagalog Regional Office (Region IV), through the NFA Corporate Operating Budget for 2020, intends to apply the sum of One Million Eight Hundred Thousand Four Hundred Twenty-Four Pesos (P1,818,424.00) being the A</t>
  </si>
  <si>
    <t xml:space="preserve"> Republic of the Philippines													 BUTUAN CITY WATER DISTRICT													 Gov. Jose A. Rosales Avenue, Butuan City													 Tel. Nos. 143 (Hotline) 342-3145/46 (Bayantel)													 Fax No. 341-4298													 				REQUEST FOR PRICE QUOTATIO</t>
  </si>
  <si>
    <t xml:space="preserve"> The Local  Government   Unit  of General  Santos  City, through  the  GENERAL FUND CY 2020  intends  to apply  the sum of eight thousand six hundred forty and xx / 100 Pesos Only (8,640.00)   being  the Approved  Budget  for the Contract   (ABC) to paymen</t>
  </si>
  <si>
    <t xml:space="preserve"> 1	Aggregate Sub-Base Course(River Sourced)			125	cu.m. 2	Boga			42	cu.m. 3	Crushed Rock G-1			83	cu.m. 4	Portland Cement 			891	bags 5	Gravel			89	cu.m. 6	Sand			45	cu.m. 7	RSB 16mmx6m			30	pcs 8	Round Bar 16mmx6m			13	pcs 9	RSB, 12mmx6m			22	pcs 10	C-Pur</t>
  </si>
  <si>
    <t xml:space="preserve"> Republic of the Philippines Province of Davao Oriental CITY OF MATI REQUEST FOR QUOTATION 			 Date:	25 JUNE 2020 RFQ No.:	0838-2020 Name of Company: __________________________________________________________________________________________________________</t>
  </si>
  <si>
    <t xml:space="preserve"> PB NO. 2020-044		 			 1.	6	gal/s	Cidex Metricide 2.	20	pc/s	Epidural Catheter g.18 3.	200	bx/s	Examination Gloves medium 4.	300	bx/s	Facemask Disp. 3ply w. Earloop 5.	5	pack/s	Foot Cover Disp. 50's 6.	30	pc/s	Hair cap disposable 7.	1	bx/s	Insyte g 24 8.	1</t>
  </si>
  <si>
    <t xml:space="preserve"> 1	14 PCS	LAMINATED GLASS PARTITION 42 MM THK 120 (H) X 120 (W) CM ALUMINUM ENDTRIMS 2	30 PCS	LAMINATED GLASS PARTITION 42 MM THK 120 (H) X 60 (W) CM ALUMINUM ENDTRIMS 3	2 PCS	LAMINATED GLASS PARTITION 42 MM THK 150 (H) X 120 (W) CM ALUMINUM ENDTRIMS 4	2 P</t>
  </si>
  <si>
    <t xml:space="preserve"> Good Day! We post the list of materials that amounting the some of P 113, 915.00 for the second time public bidding for this project of the Barangay. 131 bags cement 74 pcs 16mmᴓ steel bar 72 pcs 12mmᴓsteel bar 18 pcs 10mmᴓsteel bar 18 pcs ¼ ordinary Plyw</t>
  </si>
  <si>
    <t xml:space="preserve"> Republic of the Philippines Province of Davao Oriental CITY OF MATI REQUEST FOR QUOTATION 			 Date:	25 JUNE 2020 RFQ No.:	0831-2020 Name of Company: __________________________________________________________________________________________________________</t>
  </si>
  <si>
    <t xml:space="preserve"> Construction of Multi-Purpose Hall at Samahang Nayon Bantog, Asingan, Pangasinan.</t>
  </si>
  <si>
    <t xml:space="preserve"> 100     bags    Cement 4        cubic    Gravel 12      cubic    Whitesand</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</si>
  <si>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</si>
  <si>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Rehabilitation of Multi-Purpose Hall at Brgy. Macalong, Asingan, Pangasinan.</t>
  </si>
  <si>
    <t xml:space="preserve"> Republic of the Philippines Province of Leyte Municipality of Palompon Palompon, Leyte  								  BIDS AND AWARDS COMMITTEE		RPQ No.	2020-0707-025	   						Date	01-July-2020	   						PR No.	20-02	  						Date	6/29/2020	 To: 	 	Origin	 	   	 			   	 			   </t>
  </si>
  <si>
    <t xml:space="preserve"> See the attached description</t>
  </si>
  <si>
    <t xml:space="preserve"> poras flashlight sweat shirt w/print posas whistle hat</t>
  </si>
  <si>
    <t xml:space="preserve"> INVITATION TO BID FOR Fuel, Oil and Lubricants Expenses  (Name of Project)    1.	The CITY GOVERNMENT OF ZAMBOANGA, through the General Fund intends to apply the sum of ONE MILLION FOUR HUNDRED FIFTY TWO THOUSAND PESOS (P1,452,000.00) ONLY being the Approv</t>
  </si>
  <si>
    <t xml:space="preserve"> INVITATION TO BID FOR Fuel, Oil and Lubricants Expenses  (Name of Project)    1.	The CITY GOVERNMENT OF ZAMBOANGA, through the General Fund intends to apply the sum of ONE MILLION EIGHT HUNDRED TWENTY SIX THOUSAND SEVEN HUNDRED PESOS (P1,826,700.00) ONLY </t>
  </si>
  <si>
    <t xml:space="preserve"> The Municipality of Limay, through its Bids and Awards Committee (BAC) invites registered contractors to apply for eligibility and if found eligible, to bid for the hereunder project/contract: Project/Contract:     REPAIR AND RE-PAINTING OF KINARAGAN ELEM</t>
  </si>
  <si>
    <t xml:space="preserve"> 66 unit Hand Pump</t>
  </si>
  <si>
    <t xml:space="preserve"> 1	Aggregate Sub-Base Course(River Sourced)			381	cu.m. 2	Boga			127	cu.m. 3	Crushed Rock G-1			254	cu.m. 4	Portland Cement 			2723	bags 5	Gravel			272	cu.m. 6	Sand			136	cu.m. 7	RSB 16mmx6m			85	pcs 8	Round Bar 16mmx6m			36	pcs 9	RSB, 12mmx6m			56	pcs 10	</t>
  </si>
  <si>
    <t xml:space="preserve"> Republic of the Philippines														 PROVINCE OF ZAMBOANGA SIBUGAY														 Municipality of Payao														 														 INVITATION TO BID														 										PR2020-06-29-076				 The Local Government Unit of Payao, Zamboanga Sibugay, </t>
  </si>
  <si>
    <t xml:space="preserve"> No.	Quantity	Unit	ARTICLES					 Estimated Unit Cost 	Total Cost 									 1	2	kit	2019-NCOV IgG (CLIA) 100Tests/kit with inclusion of consumables					 47,500.00 	 95,000.00  2	2	kit	2019-NCOV IgM (CLIA) 100Tests/kit with inclusion of consumables					 47,5</t>
  </si>
  <si>
    <t xml:space="preserve"> Supply and Delivery of Various CI Saddle Clamp for Potable Water The Metro Midsayap Water District (MMWD) gives notice that  quotations are invited for the Supply and Delivery of various CI Saddle Clamp for Potable Water 100 pcs - CI Saddle Clamp, 2" x ¾"</t>
  </si>
  <si>
    <t xml:space="preserve"> 3MP HD Network Small IR Dome Camera  - 1/3" 3 Megapixel progressive scan CMOS  - H.264 &amp; MJPEG dual-stream encoding  - 20fps@3M (2304x1296)  - DWDR, Day/Night (ICR), 3DNR, AWB, AGC, BLC  - 2.8mm~lens  - Max. IR LED's Length 60m  - IP67, PoE 3MP IR Bullet </t>
  </si>
  <si>
    <t xml:space="preserve"> QTY.	UNIT	ITEM &amp; DESCRIPTION		TOTAL	 						  7,200 	containers	MINERAL WATER		 252,000.00 		 						 		Specifications/Conditions:				 		*Supplier must provide:				 			- 10 hot and cold water dispenser (free usage) for the duration of the contract			 			- a</t>
  </si>
  <si>
    <t xml:space="preserve"> ABC = P 574,004.75 3	unt	Recorder, 8GB 3	unt	Pointer 20	unt	Flashdrive, 16GB, USB, 3.0 30	unt	Flashdrive, 32GB, USB 3.0 15	unt	Flashdrive, 64GB, USB 3.1 20	unt	Internal Hardware, 2TB 30	pcs	Ink, black, HP680, potable printer 20	pcs	Ink, tri color HP 680 p</t>
  </si>
  <si>
    <t xml:space="preserve"> For the change oil, replacement filters and parts for Dumptrucks, &amp; Heavy Equipment</t>
  </si>
  <si>
    <t xml:space="preserve"> Repainting, Ceiling repair, Installation of window screens and replacement of door and door and doorknob and replacement of led bulbs and jalousie window blades</t>
  </si>
  <si>
    <t xml:space="preserve"> LENGTH = 250 LINEAL METERS WIDTH = 4.0 METERS THICKNESS = 0.15 METERS AREA = 1000.00 SQ.M.</t>
  </si>
  <si>
    <t xml:space="preserve"> 50 sacks Palit Bigas Program Rice (50kilos) Premium</t>
  </si>
  <si>
    <t xml:space="preserve"> Pag-IBIG FUND Tuguegarao Branch Office Editha Tuddao Bldg., Balzain Road, Tuguegarao City, Cagayan REQUEST FOR QUOTATION SUPPLY, DELIVERY AND INSTALLATION OF ONE (1) UNIT DUAL PHASE SIGNAGE FOR   FOR Pag-IBIG FUND, TUGUEGARAO BRANCH  The Pag-IBIG Fund (HD</t>
  </si>
  <si>
    <t xml:space="preserve"> Construction of Pavement along Purok Cappia at Brgy. Domanpot, Asingan, Pangasinan</t>
  </si>
  <si>
    <t xml:space="preserve"> ABC = P 51,065.00 2	pcs	External Hard Drive,2 TB, USB, 3.0 10	pcs	Flash Drive, 32GB, USB, 3.0 1	pc	Logitect R400 Wireless Presentation Remote w/ Laser pointer 12	rms	Bond paper, multicopy, 80 gsm, A4 12	rms	Bond paper, multicopy, 80 gsm, long 4	bot	Ink, E</t>
  </si>
  <si>
    <t xml:space="preserve"> Procurement of Construction Supplies and Materials</t>
  </si>
  <si>
    <t xml:space="preserve"> LENGTH = 150 LINEAL METERS WIDTH = 5.0 METERS THICKNESS = 0.20 METERS AREA = 750.00 SQ.M. I. PCCP II. AGGREGATE SUB-BASE COURSE VOLUME = 150 CU.M.</t>
  </si>
  <si>
    <t xml:space="preserve"> Item	Quantity	Unit	ARTICLES					 Estimated Unit Cost  1	1	Lot	CONSTRUCTION DRILLING OF A NEW DEEPWELL					 264,611.00  			 -with the following deliverables:					 			 - Well drilling with 9" diameter borehole (100 feet deep)					 			 - PVC Pipe blue casing</t>
  </si>
  <si>
    <t xml:space="preserve"> Republic of the Philippines														 PROVINCE OF ZAMBOANGA SIBUGAY														 Municipality of Payao														 														 INVITATION TO BID														 										PR2020-06-29-078				 The Local Government Unit of Payao, Zamboanga Sibugay, </t>
  </si>
  <si>
    <t xml:space="preserve"> Sir/Madam:																																						 																																						 Please quote your government price/s including delivery charges, VAT or other applicable taxes, and other incidental expenses for the goods listed in Annex A.  Also, f</t>
  </si>
  <si>
    <t xml:space="preserve"> Purchase of Commercial Rice for Barangay Constituents COVID-19</t>
  </si>
  <si>
    <t xml:space="preserve"> Republic of the Philippines						SLAUGHTER		 		Government of Ormoc City						P.R. No.:  	201638	 		BIDS AND AWARDS COMMITTEE						Quotation No.: 	204505-6173	 		Ormoc City						PhilGEPs No.: 		 										 Standard Form Title:			REQUEST FOR QUOTATION						</t>
  </si>
  <si>
    <t xml:space="preserve"> 2 Sets O.R. INSTRUMENTS Contents: 1 Pc Mayo Scissors (Curved), size 5 1/2" 1 Pc mayo Scissors (Curved), size 6 1/2" 1 Pc Metzenbaum (Curved), size 7" 1 Pc Metzenbaum (Curved), size 8" 1 Pc Metzenbaum (Straight), size 7" 1 Pc Metzenbaum (Straight), size 8"</t>
  </si>
  <si>
    <t xml:space="preserve"> Republic of the Philippines Province of Misamis Oriental Municipality of Initao Invitation to Bid  CONCRETING OF NANGKAON-TALAGUSOK FARM-TO-MARKET ROAD  1.	The Municipal Government of Initao, Misamis Oriental, through Trust Fund intends to apply the sum o</t>
  </si>
  <si>
    <t xml:space="preserve"> 1	Laptop	1 unit 	Specifications:	 	· Display	 	14” LED Screen (or higher)	 	1920 x 1080 FHD Resolution	 	IPS	 	· Processor	 	Intel Core i7 – 8th Gen (or higher)	 	· Memory	 	8 GB DDR4 (or higher)	 	· Storage Drive   	 	1 TB 7200 RPM Sata HDD	 	· Optical D</t>
  </si>
  <si>
    <t xml:space="preserve"> Document Camera (2 units) -	Sensor : CMOS -	Pixels : 2MP (1920 x 1080) -	Native Resolution : 1080p (16 : 9 Aspect Ration) -	Frame Rate : up to 30fps -	HDMI : 480p / 720p / 1080p -	USB-B : VGA / SVGA / XGA / SXGA / WXGA / 720P / 1080 P -	Lens Type : Optica</t>
  </si>
  <si>
    <t xml:space="preserve"> &gt; The Municipality of San Quintin Abra now invites bids for the CONSTRUCTION/REHABILITATION OF MULTI PURPOSE HALL AT POBLACION, SAN QUINTIN, ABRA with the following items: I	Progess Photo					 l.s. 	 1.00  II	BUILT/ASSEMBLE OF BLEACHER					 l.s 	 1.00  II</t>
  </si>
  <si>
    <t xml:space="preserve"> 280	pads	journal entry voucher long 300	pads	journal entry voucher short 500	pcs.	General ledger 16	pads	registry of allotment and obligations</t>
  </si>
  <si>
    <t xml:space="preserve"> ICT EQUIPMENT</t>
  </si>
  <si>
    <t xml:space="preserve"> 70 Pack Coffee &amp; Eleven (11) LI</t>
  </si>
  <si>
    <t xml:space="preserve"> The AGRICULTURAL TRAINING INSTITUTE-REGIONAL TRAINING CENTER (ATI-RTC) X, through the 2020 General Appropriations Act intends to apply the sum of Forty Four Thousand Eight Hundred Pesos (P 44,800.00) being the Approved Budget for the Contract (ABC) to pay</t>
  </si>
  <si>
    <t xml:space="preserve"> QTY. 	UNIT	ITEM &amp; DESCRIPTION	                 TOTAL 	 		 MEDICINES 					  2 	 box 	 Amoxicillin 500mg/cap box/100's 	 594.00 				  30 	 box 	 Ascorbic Acid 500 mg/tab, 100s/box 	 16,500.00 				  1 	 box 	 Clonidine 1150 mcg/tab box/100's 	 200.00 				  2</t>
  </si>
  <si>
    <t xml:space="preserve"> Fabrication of Tables for Vendors at Public Market, Asingan, Pangasinan.</t>
  </si>
  <si>
    <t xml:space="preserve"> to be used in printing Modules</t>
  </si>
  <si>
    <t xml:space="preserve"> PROCUREMENT TERMS AND CONDITIONS						 						 1. The Total Approved Budget for the Contract (ABC) is SIXTY TWO THOUSAND PESOS ONLY (62,000.00)						 2.  Price Quotation should be inclusive of tax obligation.						 3. Evaluation of bids will be conducted o</t>
  </si>
  <si>
    <t xml:space="preserve"> OPV-2020-0176 PR2020-0458 INVITATION TO BID FOR THE PROCUREMENT OF VARIOUS OFFICE EQUIPMENT, FURNITURE AND FIXTURES FOR OFFICE USE AT THE OFFICE OF THE PROVINCIAL VETERINARIAN ABC: P 1,623,100.00 COST OF BID DOCUMENTS: P 5,000.00 ADVERTISEMENT PERIOD: JUL</t>
  </si>
  <si>
    <t xml:space="preserve"> Item	Quantity	Unit	ARTICLES					 Estimated Unit Cost  								 1	100	ream	Bond Paper, subs. 20, long					 220.00  2	100	ream	Bond Paper, subs. 20, short					 195.00  3	4	pcs	Globe Load Card					 325.00  4	100	ream	Mimeographing Paper, long					 178.25  5	</t>
  </si>
  <si>
    <t xml:space="preserve"> The Department of Environment and Natural Resources, PENRO, Ipil, Zamboanga Sibugay through its Bids and Awards Committee, intends to procure electrical supplies and materials for the rehabilitation of DENR PENRO Sibugay PENRO Office, Conference Room and </t>
  </si>
  <si>
    <t xml:space="preserve"> Republic of the Philippines														 PROVINCE OF ZAMBOANGA SIBUGAY														 Municipality of Payao														 														 INVITATION TO BID														 										PR2020-06-29-079				 The Local Government Unit of Payao, Zamboanga Sibugay, </t>
  </si>
  <si>
    <t xml:space="preserve"> PB NO. 2020-045		 			 1.	1	lot	Proposed concreting of road at Brgy. Santiago I, San Pablo City. 			By: Contract 			 	Deadline for Submission of Bids: July 22, 2020 1:00 pm</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</si>
  <si>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</si>
  <si>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Republic of the Philippines						CMO		 		Government of Ormoc City						P.R. No.:  	201778	 		BIDS AND AWARDS COMMITTEE						Quotation No.: 	204501-6171	 		Ormoc City						PhilGEPs No.: 		 										 Standard Form Title:			REQUEST FOR QUOTATION							 				</t>
  </si>
  <si>
    <t xml:space="preserve"> Supply and Delivery of Acrylic Sheets for Fabrication of Table Acrylic Stands</t>
  </si>
  <si>
    <t xml:space="preserve"> Procurement of Office Equipment and Furniture 1. Dress Form, Adjustable, small (1 male &amp; female) Medium (1 male &amp; female) - 4 units 2. Ceiling Fan, heavy duty 18, 05 bit type - 2 units 3. Flat Iron, Electric Iron for Clothes, 220 V, 1000 W, aluminum sole </t>
  </si>
  <si>
    <t xml:space="preserve"> PROJECT: BARANGAY STAGE LOCATION: BARANGAY MINANE, CONCEPCION, TARLAC APPROVED BUDGET FOR THE CONTRACT: PHP 248,601.00 SOURCE OF FUND: 20% BDF The contract to be performed by the successful bidder shall be specified in the Technical Quotation Form of the </t>
  </si>
  <si>
    <t xml:space="preserve"> Request for Quotation PR. No.:2020-06-234 Sir/ Madam: Please quote your lowest price on the item/s listed below, stating the shortest time of delivery and submit your quotation duly signed by your representative not later than the set deadline at the BAC </t>
  </si>
  <si>
    <t xml:space="preserve"> Supply and delivery of 150 pcs Blaan dictionary - for IPED Implementing schools</t>
  </si>
  <si>
    <t xml:space="preserve"> 3 pcs Folding Steel table 1 pc   Zoom Box with Microphone 1 pc   Laptop</t>
  </si>
  <si>
    <t xml:space="preserve"> 60 SETS FABRICATED PARTITION IN ANALOK TUBULAR FRAME (1.80M X 2.40M) WITH ORDINARY PLYWOOD 1/2'THK. (PAINTED) ACRYLIC GLASS 1/4 THK.</t>
  </si>
  <si>
    <t xml:space="preserve"> Item	Quantity	Unit	ARTICLES					 Estimated Unit Cost  								 1	1000	box	Face Mask, Ear-Loop Type, disposable, 50's					 900.00</t>
  </si>
  <si>
    <t xml:space="preserve"> 1,100 liters Diesel 200 litters Gasoline</t>
  </si>
  <si>
    <t xml:space="preserve"> 1	1 copy	PHYSIOLOGY OF BEHAVIOR 2	1 copy	LIFESPAN DEVELOPMENT 3	1 copy	SOCIAL PSYCHOLOGY 4	1 copy	THEORY &amp; PRACTICE OF GROUP COUNSELING 5	1 copy	POSITIVE PSYCHOLOGICAL ASSESSMENT 6	1 copy	COGNITION EXPLORING THE SCIENCE OF THE MIND 7	1 copy	GROUP DYNAMICS</t>
  </si>
  <si>
    <t xml:space="preserve"> Sliding Glass Door Cabinet with computer table Height : 2.55m Width: 3m Thickness: 0.60m</t>
  </si>
  <si>
    <t xml:space="preserve"> Outsourcing of Physico Chemical and Heavy Metal and 	 Microbiological Analyses for Industrial Wastes Samples (June-July 2020)	 25	samples	PH	 25	samples	Total Suspended Solid	 25	samples	Color	 20	samples	Biochemical Oxygen Demand	 20	samples	Oil and Grea</t>
  </si>
  <si>
    <t xml:space="preserve"> Republic of the Philippines Province of Davao Del Sur Municipality of Padada BARANGAY UPPER MALINAO  Bids and Awards Committee June 30, 2020 PURCHASE OF (1) ONE UNIT SECOND HAND VEHICLE - VAN, PICK-UP TYPE 1.	The Barangay Government Unit of Upper Malinao,</t>
  </si>
  <si>
    <t xml:space="preserve"> Laptop</t>
  </si>
  <si>
    <t xml:space="preserve"> Repainting, repair of ramp, replacement of CR door, installation of electrical connection and replacement of glass jalousie blades</t>
  </si>
  <si>
    <t xml:space="preserve"> Supply and Delivery of Various Building Materials, (11 Items) as per BSP Technical Specifications and Terms and Conditions: Specifications and Terms and Conditions: Item 1:   100 pcs. Handle, Cabinet, 3” Item 2:     5 pcs. Wheel, Diamond, 180mm (7-1/8) x </t>
  </si>
  <si>
    <t xml:space="preserve"> 30 sacks Rice (50 kilos) Natural 150 kilo Molasses  16 liters Container 5 pcs. Clay pot 3 pcs. LPG Gas with Tank 10 pcs. LPG Gas</t>
  </si>
  <si>
    <t xml:space="preserve"> Invitation to Bid for the 2nd Public Bidding: Construction of Water Tower in PCDP, HFW, RSCC, and Upgrade of Water System in HE The Department of Social Welfare and Development (DSWD) Field Office IX, through the 2020 General Appropriation Act intends to </t>
  </si>
  <si>
    <t xml:space="preserve"> 180 pax Catering Services</t>
  </si>
  <si>
    <t xml:space="preserve"> TO BE USED BY PUPILS/TEACHERS FOR HOME-BASED LEARNING</t>
  </si>
  <si>
    <t xml:space="preserve"> Republic of the Philippines Department of Education Region VI – Western Visayas Division of Aklan TAMALAGON INTEGRATED SCHOOL Tamalagon, Tangalan, Aklan 	 REQUEST FOR QUOTATION (RFQ) Project No: DepED-RO6-D1-TIS-SUPPORT INSTRUCTIONAL &amp; LEARNERS MATERIALS </t>
  </si>
  <si>
    <t xml:space="preserve"> Republic of the Philippines Province of Eastern Samar Municipality of Maydolong Invitation to Bid Procurement of Infrastructure Projects for Implementation of Various Municipal Development Projects III 1.	The Municipal Government of Maydolong, Eastern Sam</t>
  </si>
  <si>
    <t xml:space="preserve"> Name of Project : Calasgaan SIP Location : Bais City, Negros Oriental Contract No. : NOSO-LMC-SIP-21-2020 Brief Description : Construction of Diversion Works, Canal and Canal Structures Approved Budget for the Contract : P 4,633,209.52 Estimated Contract </t>
  </si>
  <si>
    <t xml:space="preserve"> 10	pcs	Caster  Wheel 2" diameter with break					 360	pcs	Wood screw 1/8 x 3/4"					 1800	pcs	2" Teckscrew (wooden)					 10	pcs	.05 m Ridge Roll (blue)					 10	pcs	1/4" x 2" Flat Bar					 200	pcs	1 1/2 Teckscrew metal					 8	pcs	Elasto Seal					 20	pcs	San</t>
  </si>
  <si>
    <t xml:space="preserve"> Supply and Delivery of Surveying Instruments at NIA CBIMO HEad Office Maddarulug, Solana, Cagayan</t>
  </si>
  <si>
    <t xml:space="preserve"> Line Item</t>
  </si>
  <si>
    <t xml:space="preserve"> Tile works Painting Ceiling Electrical  Plumbing</t>
  </si>
  <si>
    <t xml:space="preserve"> The Department of Environment and Natural Resources, PENRO, Ipil, Zamboanga Sibugay through its Bids and Awards Committee, intends to procure labor services: Rehabilitation of Main Entrance, Electrical Wiring at Conference Room, and Installation of Centra</t>
  </si>
  <si>
    <t xml:space="preserve"> Republic of the Philippines						OTESD		 		Government of Ormoc City						P.R. No.:  	201660	 		BIDS AND AWARDS COMMITTEE						Quotation No.: 	204491-6166	 		Ormoc City						PhilGEPs No.: 		 										 Standard Form Title:			REQUEST FOR QUOTATION							 		</t>
  </si>
  <si>
    <t xml:space="preserve"> PROCUREMENT TERMS AND CONDITIONS						 						 1. The Total Approved Budget for the Contract (ABC) is One Hundred Eighty Six Thousand Six Hundred Eighty Pesos (186,680.00)						 2.  Price Quotation should be inclusive of tax obligation.						 3. Evaluation</t>
  </si>
  <si>
    <t xml:space="preserve"> Republic of the Philippines														 PROVINCE OF ZAMBOANGA SIBUGAY														 Municipality of Payao														 														 INVITATION TO BID														 										PR2020-06-29-080				 The Local Government Unit of Payao, Zamboanga Sibugay, </t>
  </si>
  <si>
    <t xml:space="preserve"> INVITATION TO BID FOR Drugs and Medicines  (Name of Project)    1.	The CITY GOVERNMENT OF ZAMBOANGA, through the General Fund intends to apply the sum of TWO MILLION FOUR HUNDRED SEVENTY FIVE THOUSAND NINE HUNDRED PESOS (P2,475,900.00) ONLY being the Appr</t>
  </si>
  <si>
    <t xml:space="preserve"> 1 units Forage Chopper -powered by atleast 7HP colled diesel engine -V-belt driven -input capacity: 200kg/h minimum -shall be able to cut atleast 3 different cuts -see attached RFQ Form form for more details</t>
  </si>
  <si>
    <t xml:space="preserve"> AUTHORITY OF THE FREEPORT AREA OF BATAAN					 MARIVELES, BATAAN					 Telefax 047-9354004 loc. 8116 or (02) 236-5010					 					 REQUEST FOR QUOTATION (RFQ)					 _________________________________________________                                              </t>
  </si>
  <si>
    <t xml:space="preserve"> The Barangay Government of Badiangon, President Roxas, Capiz, through the 20% Development Fund (2020), intends to apply the sum of Three Hundred Ninety One Thousand Pesos (Php 391,000.00) being the Approved Budget for the Contract (ABC) to payments under </t>
  </si>
  <si>
    <t xml:space="preserve"> Republic of the Philippines National Kidney and Transplant Institute Bids and Awards Committee East Avenue, Quezon City 1100 981-0300 / 981-0400 local 1157 http://www.nkti.gov.ph/	 INVITATION TO BID for the ITB No. 20-053 SUPPLY AND DELIVERY OF LABOR, TOO</t>
  </si>
  <si>
    <t xml:space="preserve"> PLEASE SEE ATTACHED FILES FOR REFERENCE.</t>
  </si>
  <si>
    <t xml:space="preserve"> REQUEST FOR EXPRESSION OF INTEREST FOR  SUBDIVISION SURVEY OF COLLECTIVE CLOA 1. The DEPARTMENT OF AGRARIAN REFORM, through the GOVERNMENT APPROPRIATIONS ACT 2020 intends to apply the sum of TWO MILLION ONE HUNDRED EIGTHY EIGHT THOUSAND PESOS (Php. 2,188,</t>
  </si>
  <si>
    <t xml:space="preserve"> Invitation to Bid for Purchase of Four (4) units Airconditioning Units for Various Offices 4 units of 2.5hp wall mounted split-type aircon inverter with actual piping (90ft per unit) Source of Fund: Capital Outlay Nonrefundable fee for bidding documents: </t>
  </si>
  <si>
    <t xml:space="preserve"> 1	Cucumber 	cans	300 2	Eggplant	cans	150 3	Ampalaya	cans	300 4	Bell Pepper	cans	200 5	Pechay	cans	100 6	Squash	cans	300 7	String beans	cans	250 8	Okra	cans	100 9	Lettuce	cans	10 10	Sponge Gourd 	cans	80 11	Bottle Gourd 	cans	80 12	Tomato	cans	250 13	Uplan</t>
  </si>
  <si>
    <t xml:space="preserve"> 5,000.00 Heads Mallard Ducks Ready-to-Lay</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</si>
  <si>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</si>
  <si>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INVITATION TO APPLY FOR ELIGIBILITY AND TO BID FOR THE EQUIPMENT, TOOLS AND RAW MATERIALS FOR DOLE INTEGRATED LIVELIHOOD PROGRAM – STARTER KIT PROJECT. EQUIPMENT, TOOLS AND RAW MATERIALS FOR THE FOLLOWING PROJECTS - NO. OF BENEFICIARIES 1. BREAD AND PASTR</t>
  </si>
  <si>
    <t xml:space="preserve"> Item No.	Item/s and Description					Specification		Quantity	Unit	Budget  Price per unit 			OFFICE SUPPLIES							 1	bond paper legal size					sub.20,legal size		20	ream	 230.00  2	bond paper short					sub.20,short size		2	ream	 210.00  3	bond paper ,long </t>
  </si>
  <si>
    <t xml:space="preserve"> 1 units Corn Sheller -power requirement: minimum of 7.46kw (10HP diesel engine -specific fuel consumption: 0.82g fuel per kg. output maximum -corrected shelling capacity: minimum, 2 t/h -shelling efficiency: minimum 99.5% -see attached RFQ Form for more d</t>
  </si>
  <si>
    <t xml:space="preserve"> (PLEASE SEE ATTACHED ASSOCIATED COMPONENT) please send Request for Quotation  -  philgepsprocurement19@gmail.com Contact Person: FREDERICK VILLAS (711-69-73) 250	pc	BALLPEN WITH FLASHDRIVE, brandnew, customized ballpen with removable 8GB Flashdisk ( NRL-S</t>
  </si>
  <si>
    <t xml:space="preserve"> Description Republic of the Philippines Danao City Brgy.Sandayong Norte INVITATION to APPLY for ELIGIBILITY and to BID Multicab for Brgy.Sandayong Norte,Danao City The Brgy.Sandayong Norte, tends to apply the sum of Php260,000.00 being Approved Budget for</t>
  </si>
  <si>
    <t xml:space="preserve"> AIRCONDITIONER</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</si>
  <si>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</si>
  <si>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AGRICULTURAL AND FIELD SUPPLIES 200	pcs	Sacks, Plastic, 37"x21" 50 kilos capacity, color white 50	pcs	Plastic Trays, 400x300x110mm (LXWXH) Color - Red 100	pack	Plastic Bag, Clear size, 12 x18" Polypropylene, Thickness 0.03mm, 100s 100	pack	Plastic Bag, Cl</t>
  </si>
  <si>
    <t xml:space="preserve"> Republic of the Philippines														 PROVINCE OF ZAMBOANGA SIBUGAY														 Municipality of Payao														 														 INVITATION TO BID														 										PR2020-06-29-081				 The Local Government Unit of Payao, Zamboanga Sibugay, </t>
  </si>
  <si>
    <t xml:space="preserve"> Republic of the Philippines										 Province of Misamis Oriental										 CITY OF EL SALVADOR										 										 REQUEST FOR QUOTATION										 										 								No.	2020-06-626	 										 										 										 										 	Please quote your price </t>
  </si>
  <si>
    <t xml:space="preserve"> 2 set DESKTOP ASUS FX10CP-PH004T Intel Core i5-8400 Processor Motherboard 8gb DDR4 RAM/TB HDD DVD Super MultiDrive NIVIDIA GTX 1050 2G Graphics Mouse &amp; Keyboard Windows 10, ASUS 21.5 LED Monitor 2 unit UPS-AWP-AIDE 650 2 unit AVR Secure Brand 2 unit Print</t>
  </si>
  <si>
    <t xml:space="preserve"> 16   tanks    Liquified petroluem gas net weight 50 kgs./tank for the month of July 2020</t>
  </si>
  <si>
    <t xml:space="preserve"> Invitation to Bid for  SUPPLY &amp; DELIVERY OF MATERIALS FOR THE CONSTRUCTION OF BAGSAKAN CENTER @ BRGY. WEST KILIKILI, WAO, LANAO DEL SUR ---------------------------------------------------------------------------------------------------------------- ITB NO</t>
  </si>
  <si>
    <t xml:space="preserve"> PLEASE SEE ATTACHED FILE FORE REFERENCE</t>
  </si>
  <si>
    <t xml:space="preserve"> See attached RFQ-KCS</t>
  </si>
  <si>
    <t xml:space="preserve"> TERMS and CONDITIONS:    The following documents must be included in the submitted quotation: 1. Eligibility Requirements:   a. PhilGeps Registration Certificate   b. Mayor's Permit   c. DTI Business Registration/SEC/CDA   d. Latest Income business tax re</t>
  </si>
  <si>
    <t xml:space="preserve"> Procurement of 1 Lot Heavy Equipment Parts and Supplies of various  heavy equipment (Dresser Payloader 515C; Volvo Prime Mover with Trailer; Dump Truck 6 Wheeler; Komatsu Pay Loader WA320; Galion Motor Grader 830B; Isuzu Mini Dump Truck SGC 781; Isuzu Dum</t>
  </si>
  <si>
    <t xml:space="preserve"> PGBH-C-NC-2020-095 PR2020-111 REQUEST FOR QUOTATION FOR THE PROCUREMENT OF MEALS DURING BID OPENING FOR BAC MEMBERS AND BAC SECRETARIAT STAFF COST OF CANVASS: P 150.00</t>
  </si>
  <si>
    <t xml:space="preserve"> Please submit your quotation to the END USER based on the attached RFQ. For further details please contact 09161486025</t>
  </si>
  <si>
    <t xml:space="preserve"> 27700-001	GAUGE  PRESSURE  60 PSI	100	PIECE	3,560.00	356,000.00 27730-001	GAUGE  PRESSURE  0-160 PSI  2 1/2" X 3"	10	PIECE	2,200.00	22,000.00 27731-001	GAUGE  PRESSURE  60 PSI	20	PIECE	3,560.00	71,200.00 TERMS AND CONDITIONS: 1.	Delivery Term: Within 30 c</t>
  </si>
  <si>
    <t xml:space="preserve"> 18 reams Coupon Bond Long 14 reams Coupon Bond Short 18 reams Coupon Bond A4 8 pieces Document Files 3 boxes Ball pen / Sign Pen 50 pieces Folder Long 4 boxes Pencil 2 pad Yellow Paper 17 bottles Computer Ink Refill Colored 15 bottles Computer Ink refill </t>
  </si>
  <si>
    <t xml:space="preserve"> Procurement of One(10 weighing scale &amp; Three (3) Other line Items</t>
  </si>
  <si>
    <t xml:space="preserve"> Republic of the Philippines Department of Justice BUREAU OF CORRECTIONS SABLAYAN PRISON AND PENAL FARM Occidental Mindoro REQUEST FOR QUOTATION “PROCUREMENT OF PSP HOG FEEDS &amp; ANIMAL MEDICINE FOR THE MONTH OF AUGUST TO SEPTEMBER 2020 AMOUNTING TO PHP 50,1</t>
  </si>
  <si>
    <t xml:space="preserve"> Looking for supplier for ICT use equipment .  Item No.	Item/s and Description					Specification		Quantity	Unit	Budget  Price per unit 1	LED Telivision set					 32" Led TV,digital, with 		8	unit	 10,000.00  						 wall bracket 				 See attached file.</t>
  </si>
  <si>
    <t xml:space="preserve"> 4	units	Computer, Laptop with the following specifications: 		Processor: Intel Core i5-1035G1 Processor (6M Cache, up to 3.60 		GHz); Memory: 8 GB DDR4-2666 SDRAM (1x8 GB); Storage: 1TB 		5400 rpm SATA; 128 GB GB M.2 SSD; OS: Windows 10; Battery: 		3-cell</t>
  </si>
  <si>
    <t xml:space="preserve"> materials for Installation of Street Lighting Facilities</t>
  </si>
  <si>
    <t xml:space="preserve"> 243 pcs Lanzones Longkong 243 pcs Lanzones Duco 243 pcs Durian 243 pcs Rambutan 243 pcs C. Pomelo</t>
  </si>
  <si>
    <t xml:space="preserve"> INVITATION TO BID FOR Information and Communication Technology Equipment  (Name of Project)    1.	The CITY GOVERNMENT OF ZAMBOANGA, through the AB FY 2020 intends to apply the sum of ONE MILLION TWO HUNDRED NINETY EIGHT THOUSAND PESOS (P1,298,000.00) ONLY</t>
  </si>
  <si>
    <t xml:space="preserve"> INVITATION TO BID FOR I.T. Supplies  (Name of Project)    1.	The CITY GOVERNMENT OF ZAMBOANGA, through the General Fund intends to apply the sum of TWO MILLION TWO HUNDRED TWENTY FIVE THOUSAND TWO HUNDRED FIVE &amp; 60/100 PESOS (P2,225,205.60) ONLY being the</t>
  </si>
  <si>
    <t xml:space="preserve"> Tile works Painting Ceiling Electrical Plumbing</t>
  </si>
  <si>
    <t xml:space="preserve"> TRAINING EXPENSE</t>
  </si>
  <si>
    <t xml:space="preserve"> Termite Control</t>
  </si>
  <si>
    <t xml:space="preserve"> INVITATION TO BID FOR Repair and Maintenance – Infrastructure Assets – Power Supply Systems  (Name of Project)    1.	The CITY GOVERNMENT OF ZAMBOANGA, through the General Fund intends to apply the sum of ONE MILLION NINETY SIX THOUSAND FIVE HUNDRED PESOS </t>
  </si>
  <si>
    <t xml:space="preserve"> The Technical Education and Skills Development Authority (TESDA), through the Supply Unit/FASU , will undertake a Shopping for the "Purchased of Office supplies", in accordancewith Section 52.1b of the 2016  Revised Implementing Rules and	Regulations of R</t>
  </si>
  <si>
    <t xml:space="preserve"> REQUEST  FOR  QUOTATION RFQ NO. 2020-06-26-(8099) 								   		PR No. 2020-407 									    		                   June 26, 2020        Date Company Name:	__________________________________________ Address		:	__________________________________________ Pleas</t>
  </si>
  <si>
    <t xml:space="preserve"> Republic of the Philippines PROVINCE OF BUKIDNON Municipality of Sumilao Barangay San Vicente INVITATION TO BID ITB NO. GS-2020-01 PROCUREMENT OF CONSTRUCTION MATERIAL FOR THE COMPLETION OF MULTI-PURPOSE HALL- BARANGAY SAN VICENTE June 30, 2020 1.	The Bar</t>
  </si>
  <si>
    <t xml:space="preserve"> INVITATION TO BID FOR Other Transportation Equipment  (Name of Project)    1.	The CITY GOVERNMENT OF ZAMBOANGA, through the SB# 01 FY 2019 intends to apply the sum of EIGHT MILLION PESOS (P8,000,000.00) ONLY being the Approved Budget for the Contract (ABC</t>
  </si>
  <si>
    <t xml:space="preserve"> Looking for Supplier /caterer  Item No.	Item/s and Description				Specification		Quantity	Unit	Budget  Price per unit 	DAY 1 -Foods for June  22 ,2020								 1	A.M.snacks- balenciana,mineral water						39	pax	 50.00  2	Lunch -rice,chopsuey,fried chicken,</t>
  </si>
  <si>
    <t xml:space="preserve"> Republic of the Philippines Department of Education Region VI – Western Visayas District of Makato Makato Integrated School DIVISION OF AKLAN Makato, Aklan REQUEST FOR QUOTATION (RFQ) Project No: DepED-RO6-D1-CONSTRUCTIONMATERIALS-001-2019 The Department </t>
  </si>
  <si>
    <t xml:space="preserve"> i. Construction of Comfort Room (Day Care Center A)- - - - - - - - - - - - 14,998.00 ii. Construction of Canopy (Phase II)- - - - - - - - - - - - - - - - - - - - - - - 20,858.00 iii. Construction of Public Comfort Room (Cemetery) - - - - - - - - - - - - -</t>
  </si>
  <si>
    <t xml:space="preserve"> Motorcycle Vehicle</t>
  </si>
  <si>
    <t xml:space="preserve"> PHOTOCOPIER</t>
  </si>
  <si>
    <t xml:space="preserve"> Purchase of one(1) unit motorcycle with stainless side car Displacement of not exceeding 177 cm³ 4 stroke 4 speed, return shift Dual start</t>
  </si>
  <si>
    <t xml:space="preserve"> 1 LOT OFFICE SUPPLIES</t>
  </si>
  <si>
    <t xml:space="preserve"> Republic of the Philippines										 Province of Misamis Oriental										 CITY OF EL SALVADOR										 										 REQUEST FOR QUOTATION										 										 								No.	2020-06-628	 										 										 										 										 	Please quote your price </t>
  </si>
  <si>
    <t xml:space="preserve"> NOTICE TO THE PUBLIC REQUEST FOR PROPOSAL Purchase Request No: PUR20-06-0488 The Philippine General Hospital hereby informs the public that it will be procuring the following item/s through Small Value Procurement: 			Supply and Delivery:			 1.	60 pcs.		T</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</si>
  <si>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</si>
  <si>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40 pax Food and Room Accommodation for 2 days July 7-8 2020 32 pax Food and Room Acc0mmodation for 2 days July 9-10 2020 4   day Venue</t>
  </si>
  <si>
    <t xml:space="preserve"> 1,464.00       paxs         meals          150.00           219,600.00 970.00          paxs         snacks          30.00             29,100.00                                                                Total:   248,700.00</t>
  </si>
  <si>
    <t xml:space="preserve"> BASKETBALL BACKBOARD,... 7 pair @ 31,575.00/pair   6'X4'X12mm, Fiberglass  SPECIFICATIONS: - Dimension ( LxWx Thickness ): 6'x4'x12 mm -12 mm Tempered Glass with aluminum frame 18mm   acrylic - with dual shock snap back ring - with nylon woven net - with </t>
  </si>
  <si>
    <t xml:space="preserve"> Tire Tubeless,205x70,R16               - 6 pcs Tire Rim XAB16x5 1/2R (115-9TC)  - 1 unit TERMS and CONDITIONS:    The following documents must be included in the submitted quotation: 1. Eligibility Requirements:   a. PhilGeps Registration Certificate   b.</t>
  </si>
  <si>
    <t xml:space="preserve"> Repainting, ceiling repair, installation of window screens and replacement of door and doorkob</t>
  </si>
  <si>
    <t xml:space="preserve"> ITB No. 2020-78 July 1, 2020 Republic of the Philippines Province of Davao Oriental CITY OF MATI INVITATION TO BID LAND DEVELOPMENT - NEW PUNTAVILLE Name of Project 1.	The City Government of Mati, through the 20% Local Development Fund intends to apply th</t>
  </si>
  <si>
    <t xml:space="preserve"> Supply and Delivery of One (1) Lot COVID19 Health and Safety Supplies 10	gals	       Alcohol 70% 200	boxes      Face Mask (50 pcs/box) 10	gals	       Liquid Hand Soap (anti-bacterial) 10	gals	       Zonrox</t>
  </si>
  <si>
    <t xml:space="preserve"> Procurement of 1 Lot Office Supplies</t>
  </si>
  <si>
    <t xml:space="preserve"> 27636-002	BOOSTER PUMP CENTRIFUGAL	1	UNIT	140,000.00	140,000.00 "Vertical Multi Stage Centrifugal Pump" Type: CR10-04 A-A-A-E-HQQE Model: A96503187P11542 Q: 12.1 m3/h P: 3.0 kW Hz: 60 Rpm: 3500 to 3550 H: 47.2 to 59.1 m pmax: 16 bar tmax: 120 deg. c TERMS</t>
  </si>
  <si>
    <t xml:space="preserve"> Republic of the Philippnes									 Province of Davao Oriental									 MUNICIPALITY OF BOSTON									 OFFICE OF THE TREASURER									 REQUEST FOR QUOTATION									 									 							June 30, 2020		 Company Name							Quotation No.: 100-20-06-30-218		 	</t>
  </si>
  <si>
    <t xml:space="preserve"> CONDUCT OF SOIL TESTING/EXPLORATION FOR THE PROPOSED FLOOD CONTROL PROJECTS, DINGRAS, PAOAY, BADOC, BANNA, CITY OF BATAC, SOLSONA, MARCOS &amp; NUEVA ERA, ILOCOS NORTE 1.	The Department of Public Works and Highways, Ilocos Norte 2nd District Engineering Offic</t>
  </si>
  <si>
    <t xml:space="preserve"> Brief Description/Specification: “SUPPLY AND DELIVERY OF VEHICLE PARTS AND VEHICLE OIL” for the repair and maintenance of government vehicle, Army Jeep in the Office of the Sangguniang Bayan Members.   Approved Budget For The Contract:  Php 69,940.00 Esti</t>
  </si>
  <si>
    <t xml:space="preserve"> I. ITEM 101: REMOVAL OF STRUCTURE II. REPAIR OF STAIR III. ELECTRICAL WORKS IV. KITCHEN LAVATORY V. CEILING WORKS VI. PAINTING WORKS VII. CONSTRUCTION SAFETY &amp; HEALTH</t>
  </si>
  <si>
    <t xml:space="preserve"> Labotory Outsourcing 12	samples	 Complete Chemical Analysis for Soil Samples  	  	  *********** End users:	Laboratory																				 Deadline for submission of bids:  July 8, 2020  at  12:00pm																					 																					 Please attach/</t>
  </si>
  <si>
    <t xml:space="preserve"> 2 Pcs. Photocopier machine (Fax/Copier/Printer/Scanner Specifications:  409 W x 398 x D x 316 H 11.7KG PLEASE SEE ATTACHED RFQ. QUOTE YOUR PRICE AND SUBMIT TO THE BAC SECRETARIAT, PROVINCIAL GENERAL SERVICES OFFICE, MAIN CAPITOL BUILDING, CAPITOL SITE, SU</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</si>
  <si>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</si>
  <si>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Fuel, Oil and Lubricants</t>
  </si>
  <si>
    <t xml:space="preserve"> 8 units Coffee Pulper  -dual type (manually operated and electric power driven -Prime mover: powered w/ compatible electric motor, 220V single phase -input capacity, electric motor: minimum 300kg/h -input capacity, manual driven: minimum 50kg/h -see attac</t>
  </si>
  <si>
    <t xml:space="preserve"> BIDS AND AWARDS COMMITTEE ATTENTION:		ALL INTERESTED BIDDERS 			 SUBJECT:	INVITATION TO BID –   Procurement of Equipment for CCTV Security System DATE:	June 28, 2020 - - - - - - - - - - - - - - - - - - - - - - - - - - - - - - - - - - - - - - - - - - - - -</t>
  </si>
  <si>
    <t xml:space="preserve"> Various Equipment &amp; Supplies</t>
  </si>
  <si>
    <t xml:space="preserve"> 45	pc	Seedling tray (104 holes) 9	pc	Garden hose (100 meters) 12	pc	Garden Rake 12	pc	Shovel 12	pc	Hand shovel 12	pc	Garden hoe 6	pc	Knapsack Sprayer (16L) 6	pc	Plastic Drum (200 L) 6	pc	Plastic Mulch (400meters) 12	pc	Sticky Traps (10pcs-15cmx30cm) 15	pc</t>
  </si>
  <si>
    <t xml:space="preserve"> REQUEST  FOR  QUOTATION RFQ NO. 2020-06-26-(8097) 								   		PR No. 2020-405 									    		                   June 26, 2020        Date Company Name:	__________________________________________ Address		:	__________________________________________ Pleas</t>
  </si>
  <si>
    <t xml:space="preserve"> 1 lot Enhancement of St. Vincent Chapel</t>
  </si>
  <si>
    <t xml:space="preserve"> 32” Smart TV 1 pc To be delivered at Baguio Radar PAGASA Station  Pls. submit your quotation thru email:  mi_lynsn@yahoo.com x-x-x-x-x-x-x-x-x-x-x-x-x-x-x-x-x Total ABC  (in PhP) 12,890.00</t>
  </si>
  <si>
    <t xml:space="preserve"> 1 JOB ORDER: Installation of Cable Television at Siargao Dormitory Dapa, Surigao del Norte I. Electrical Works A. Materials 3 Rolls Cable wire 1 Unit Amplifier cable (digital) 30 Pcs Connector 3 Pcs 4 way splitter 1 Lot Miscellaneous Labor for Installatio</t>
  </si>
  <si>
    <t xml:space="preserve"> 1 1/2"X60.0 MTS. SDR 13.6 HDPE Pipe ---------20 rolls</t>
  </si>
  <si>
    <t xml:space="preserve"> 1. Ltr Diesel  2.  Ltr Gasoline  Purpose: For Consumption for LGU Vehicles, Construction and Heavy Equipment for June 24-30, 2020 to July 1-30, 2020  End - User: CSWMO</t>
  </si>
  <si>
    <t xml:space="preserve"> Barangay Sta. Lucia Municipality of Dolores, Quezon INVITATION TO BID FOR CONSTRUCTION OF MINI PARK W/ REHABILITATION OF STREET LIGHT The LGU, through  the General  Fund ( 20% DF)–intends to apply the sum of  One Hundred Twenty Five Thousand and Six Hundr</t>
  </si>
  <si>
    <t xml:space="preserve"> 150 Pcs Goggles Mask (Full Face Protective Sheild)</t>
  </si>
  <si>
    <t xml:space="preserve"> 1	20	pcs	GI pipe 2'' supreme	 2	20		GI pipe 1/2'' 	 3	5		GI coupling reducer 1/2 x 3/8	 4	4		Cylinder Champion	 5	5		Tee 2x1 1/4 GI	 6	5		Nipple 1x1/ 4x12	 7	5		Bushing reducer 2x3/4	 8	5		Bushing reducer 2x1/4</t>
  </si>
  <si>
    <t xml:space="preserve"> 27729-001	FILTER BAG  HOUSING  INLET 1-12"  PVC	10	PIECE	38,100.00 	381,000.00 TERMS AND CONDITIONS: 1.	Delivery Term: Within 30 calendar days after receipt of P.O. 2.	Place of Delivery: TALAMBAN 3.	Payment Terms: Within 35 calendar days after acceptance </t>
  </si>
  <si>
    <t xml:space="preserve"> CONDUCT OF SOIL TESTING/EXPLORATION FOR THE PROPOSED SLOPE PROTECTION, ILOCOS NORTE-ABRA RD - K0527+330 - K0527+ 358,  K0532+275 - K0532+290, K0533+175 - K0533+191, K0533+324 - K0533+332, K0534+824 - K0534+844, K0529+000 - K0529+600, BATAC-ESPIRITU (BANNA</t>
  </si>
  <si>
    <t xml:space="preserve"> Please see the attached file</t>
  </si>
  <si>
    <t xml:space="preserve"> Supply and delivery of hydrological instrument</t>
  </si>
  <si>
    <t xml:space="preserve"> Title:Procurement of 1 Pakyaw Remote Sensing Services for Groundwater Availability Exploration(GEO-Resistivity Survey) under 0700-2020-OCA-Support to Quality Corn Development(Trust Fund) Total ABC: Php 100,000.00 (INSTRUCTION AS TO THE REQUIRED FORM: For </t>
  </si>
  <si>
    <t xml:space="preserve"> 1 unit           1 tonner floor type aircon 2 units          1 hp window type aircon 1 unit            7 cubic ft refrigerator, 2 door and inverter type Nothing Follows ***</t>
  </si>
  <si>
    <t xml:space="preserve"> Invitation to Bid for the 2nd Public Bidding: Construction of Covered Path Walk, Kitchen and Laundry Area for AVRC III The Department of Social Welfare and Development (DSWD) Field Office IX, through the 2020 General Appropriation Act intends to apply the</t>
  </si>
  <si>
    <t xml:space="preserve"> NOTICE TO THE PUBLIC REQUEST FOR PROPOSAL Purchase Request No: PUR20-04-0318 The Philippine General Hospital hereby informs the public that it will be procuring the following item/s through Small Value Procurement: The Philippine General Hospital hereby i</t>
  </si>
  <si>
    <t xml:space="preserve"> To Conduct Verification/Subdivision survey and provide complete docucments as provided in the Survey Return for submittal at LMS-DENR, to wit: 1. Original subdivision plan plotted in the LMB form no. GSD-C-1 2. Lot data computations, original and duplicat</t>
  </si>
  <si>
    <t xml:space="preserve"> Contract ID       :      20CSPA001 Contract Name  :      DETAILED ENGINEERING DESIGN OF ABRA COLISEUM AND  CONVENTION CENTER Location           :      La Paz, Abra The DPWH-Abra District Engineering Office reserves the right to accept or reject any bid an</t>
  </si>
  <si>
    <t xml:space="preserve"> Republic of the Philippines Province of Southern Leyte Municipality of San Juan 					Barangay San Jose BIDS AND AWARD COMMITTEE INVITATION TO BID FOR  Supply &amp; Delivery of  Vehicles The Brgy. San Jose of San Juan, Southern Leyte through the Province Finan</t>
  </si>
  <si>
    <t xml:space="preserve"> 3 sacks mongos 20 powder milk 700 grms 15 case cocoa rich sweetened  250 grams 12 kls dilis 8 sacks brown sugar 15 sacks glutanios rice</t>
  </si>
  <si>
    <t xml:space="preserve"> Contract ID:	20DL0226 Contract Name:	CONVERGENCE AND SPECIAL SUPPORT PROGRAM, CONSTRUCTION/ IMPROVEMENT OF ACCESS ROADS LEADING TO DECLARED TOURISM DESTINATIONS 4. ACCESS ROAD LEADING TO LAMESANG BATO, CALAUAG, QUEZON	 	 Contract Location:	CALAUAG, QUEZON</t>
  </si>
  <si>
    <t xml:space="preserve"> 1000 pouch Vegetable Seeds (in pouch) -OPV Cabbage - 1000 seeds/pouch -OVP  Lettuce - 1000 seeds/pouch -OPV Sili - 190 seed/pouch -OPV Carrot - 1000/seeds/pouch -OVP Raddish - 1000/seeds/pouch -OPV Upo - 15 seed/pouch -OPV Patola - 150 seeds/pouch -see at</t>
  </si>
  <si>
    <t xml:space="preserve"> REPUBLIC OF THE PHILIPPINES PROVINCE OF SURIGAO DEL NORTE MUNICIPALITY OF SAN ISIDRO San Isidro, Surigao del Norte 	 Section I. Invitation for Negotiated Procurement SUPPLY AND DELIVERY OF ONE (1) LOT 2nd QUARTER FUELS, OILS AND LUBRICANTS 1.	In view of t</t>
  </si>
  <si>
    <t xml:space="preserve"> for instructional materials</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</si>
  <si>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</si>
  <si>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Republic of the Philippines					 Province of Bukidnon					 Municipality of Lantapan					 					 INVITATION TO BID FOR THE REHABILITATION					 OF BARANGAY ROADS OF 14 BARANGAYS [2ND BID]					 					 1	The Local Government Unit of Lantapan through the 20% LDF</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</si>
  <si>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</si>
  <si>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Republic of the Philippines														 PROVINCE OF ZAMBOANGA SIBUGAY														 Municipality of Payao														 														 INVITATION TO BID														 										PR2020-06-29-083				 The Local Government Unit of Payao, Zamboanga Sibugay, </t>
  </si>
  <si>
    <t xml:space="preserve"> 1.          1000        pcs         AEROPIONEER LITERARY FOLIO                                           Five by Seven inches ( 5"x 7"" )                                           Full Color                                            Paper: Glossy        </t>
  </si>
  <si>
    <t xml:space="preserve"> All interested bidder/suppliers are requested to submit quotations in a sealed envelope and submit to: NICASIO S. FRIO Acting Asst. Schools Division Superintendent BAC Chair NOTE: 1. PHILGEPS REGISTRATION CERTIFICATE and PLATINUM MEMBERSHIP IN ACCORDANCE </t>
  </si>
  <si>
    <t xml:space="preserve"> Paint 4 pail white (16 liters); Gloss 3 liter Green 3 liter Brown 3 liter Blue 3 liter Red 4 unit Black Metal Sheet  Flat Sheet 4 piece 4x8 6 piece 3x8 Cocolumber 10 piece Dos por Dos (10 ft.) 15 piece Dos por tres (10 ft.) Nails 10 kilo De Tres 10 kilo D</t>
  </si>
  <si>
    <t xml:space="preserve"> Seventeen (17) pcs A4 Tech Keyboard and 70 other LI</t>
  </si>
  <si>
    <t xml:space="preserve"> 2020 17TH PUBLIC BIDDING for PROCUREMENT OF MEDICAL IMAGING SUPPLIES FOR 2020 2ND SEMESTER CONSUMPTION</t>
  </si>
  <si>
    <t xml:space="preserve"> Republic of the Philippines BARANGAY NAGPALANGAN BIDS AND AWARDS COMMITTEE Binmaley, Pangasinan INVITATION TO BID The Barangay NAGPALANGAN, Bimaley, Pangasinan through its Bids and Award Committee (BAC), invites supplier to apply for eligibility and to bi</t>
  </si>
  <si>
    <t xml:space="preserve"> REPUBLIC OF THE PHILIPPINES		 			          PROVINCE OF SIQUIJOR		 					 			        MUNICIPALITY OF SIQUIJOR		 			         REQUEST FOR QUOTATION		 					 			                                                          Date:  	29-Jun-20	 _______________________</t>
  </si>
  <si>
    <t xml:space="preserve"> 16 Reams Bondpaper A4 40 Bottles Glue 4 Sheets Plywood 5 Pieces Fine Wood (2x2x10) 10 Kilos Assorted Nails 2 Cans Vulca Seal 15 Sheets GI Sheets 300 Pieces Text Screw #2 11 Gallons Gloss Latex 2 Pieces Roller Brush 3 Lengths Angle Bar 11 Bottles Epson Ink</t>
  </si>
  <si>
    <t xml:space="preserve"> 1.  2,000 pcs. Galvanized Tricycle Plate 5"x9" 2.  2,000 pcs. Printable Vinyl Sticker 5"x9" 3.  3,500 pcs Printable Vinyl Sticker 2cmx4cm    ---------------Nothing Follows--------------- Purpose: Renewal of Plates for Tricycle Franchise End-User: TFLRU</t>
  </si>
  <si>
    <t xml:space="preserve"> Republic of the Philippines														 PROVINCE OF ZAMBOANGA SIBUGAY														 Municipality of Payao														 														 INVITATION TO BID														 										PR2020-06-29-084				 The Local Government Unit of Payao, Zamboanga Sibugay, </t>
  </si>
  <si>
    <t xml:space="preserve"> Contract ID:	20DL0227 Contract Name:	CONVERGENCE AND SPECIAL SUPPORT PROGRAM, CONSTRUCTION/ IMPROVEMENT OF ACCESS ROADS LEADING TO TRADES, INDUSTRIES AND ECONOMIC ZONES 5. ACCESS ROADS IN SUPPORT OF HANDICRAFTS, FOODS, COCONUT PROCESSING AND OTHER AGRI-BA</t>
  </si>
  <si>
    <t xml:space="preserve"> 54 pcs 12mm dia x 6m - RSB 44 bags Cement 5 kg CW Nails, 1 1/2" 5 kg CW Nails, 3" 5 kg CW Nails, 4" 1 Qrt Enamel Paint (Semi-gloss Black) 1 Gal Enamel Paint (Semi-gloss Yellow) 1 Length GI Pipe 2" dia 1 sheet GI Plain sheet, 0.6mm thk 5 kg GI Tie Wire #16</t>
  </si>
  <si>
    <t xml:space="preserve"> Republic of the Philippines DEPARTMENT OF PUBLIC WORKS AND HIGHWAYS Zamboanga Sibugay 2nd DISTRICT ENGINEERING OFFICE REGIONAL OFFICE IX Ipil Zamboanga Sibugay INVITATION TO BID Date: June 30, 2020  The Zamboanga Sibugay 2nd District Engineering Office, t</t>
  </si>
  <si>
    <t xml:space="preserve"> 1 unit Monitor-43’’ Inc Devant Smart TV 1 unit DVR- Hikvision digital video recorder MODEL DS-7261HQHI-K2 UP TO 4MP 12 unit Camera-Hikvision COLOR CAMERA MODEL DS-2CE56HOT-ITMF 5MP Dome Camera 1 unit Power Supply- 20a Arrow/Multi-way w/ case 300  mtrs Cab</t>
  </si>
  <si>
    <t xml:space="preserve"> Rapid assessment for structural integrity of the existing 6(six) story w/roof deck District office building, 3(three) story w/roof deck BIR Regional office building and detailed structural assessment of existing 3(three) story w/roof deck DPD building all</t>
  </si>
  <si>
    <t xml:space="preserve"> Refrigerator 1 pc To be delivered at Baguio Radar PAGASA Station Pls. submit your quotation thru email:  mi_lynsn@yahoo.com x-x-x-x-x-x-x-x-x-x-x-x-x-x-x-x-x Total ABC  (in PhP) 13,016.00</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</si>
  <si>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</si>
  <si>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please download the ITB and its other supporting documents in the associated component</t>
  </si>
  <si>
    <t xml:space="preserve"> •	Split Type Airconditioner (Basic)     -     2 units         KSW-18R5CA        2.0HP     •	Window Type Airconditioner (Basic)  - 2 units         CW-SC184EPH         2.0HP</t>
  </si>
  <si>
    <t xml:space="preserve"> Supply and Delivery of Fire Extinguisher for the compliance of violations for the fire Code of the Philippines of 2008 (R.A. 9514)</t>
  </si>
  <si>
    <t xml:space="preserve"> 30	pack	Pepper (100g per pack) 129	pc	Peppper Seedling 30	pack	Eggplant (100g per pack) 225	pc	Eggplant seedling 30	pack	Tomato (100g per pack) 225	pack	Tomato Seedling 15	pc	Kalabasa (250g per pack) 36	pack	Kalabasa Seedling 15	pc	Patola (250g per pack) </t>
  </si>
  <si>
    <t xml:space="preserve"> 2 units Electric Sewer/Bagger -with plastic handle for safety -oil pump lubrication system -oil lines direct lubrication to main moving elements -electric motor , 220V, single phase, 50-60Hz -speed (sec/bag):-5-6 -see attached RFQ Form for details.</t>
  </si>
  <si>
    <t xml:space="preserve"> Contract ID:	20DL0225 Contract Name:	CONVERGENCE AND SPECIAL SUPPORT PROGRAM, CONSTRUCTION/ IMPROVEMENT OF VARIOUS INFRASTRUCTURE IN SUPPORT OF NATIONAL SECURITY 1. ACCESS ROAD LEADING TO 85TH INFANTRY BATTALION MABUNGA-CASASAHAN ILAYA, GUMACA, QUEZON	 Co</t>
  </si>
  <si>
    <t xml:space="preserve"> Republic of the Philippines  Province of Southern Leyte Municipality of Macrohon BARANGAY FLORDELIZ INVITATION TO BID FOR THE REHABILITATION OF HEALTH CENTER /FLORDELIZ, MACROHON, SOUTHERN LEYTE The  Barangay Flordeliz,MAcrohon,Southern Leyte through the </t>
  </si>
  <si>
    <t xml:space="preserve"> Republic of the Philippines					 Province of Bukidnon					 Municipality of Lantapan					 					 INVITATION TO BID FOR THE PURCHASE OF MOTORCYCLES FOR BARANGAYS (1ST BID)					 					 1	The Local Government Unit of Lantapan through the General Fund for CY 202</t>
  </si>
  <si>
    <t xml:space="preserve"> REQUEST  FOR  QUOTATION RFQ NO. 2020-06-24-(8087) 								   		PR No. 2020-393 									    		                   June 24, 2020        Date Company Name:	__________________________________________ Address		:	__________________________________________ Pleas</t>
  </si>
  <si>
    <t xml:space="preserve"> NOTICE TO THE PUBLIC REQUEST FOR PROPOSAL Purchase Request No: PUR20-06-0475 The Philippine General Hospital hereby informs the public that it will be procuring the following item/s through Small Value Procurement: 1.	22 pcs.		SPO2 EXTENSION CABLE, brand </t>
  </si>
  <si>
    <t xml:space="preserve"> Republic of the Philippines						CASO		 		Government of Ormoc City						P.R. No.:  	201715	 		BIDS AND AWARDS COMMITTEE						Quotation No.: 	204487-6164	 		Ormoc City						PhilGEPs No.: 		 										 Standard Form Title:			REQUEST FOR QUOTATION							 			</t>
  </si>
  <si>
    <t xml:space="preserve"> 180 packs meals 360 packs snacks</t>
  </si>
  <si>
    <t xml:space="preserve"> Republic of the Philippines Province of Guimaras OFFICE OF THE BIDS AND AWARDS COMMITTEE INVITATION TO BID FOR    SUPPLY AND DELIVERY OF OFFICE EQUIPMENT Bid Ref. No. 2020-06-377 1.	The Province of Guimaras , through the Capital Outlay 2020  intends to ap</t>
  </si>
  <si>
    <t xml:space="preserve"> 1	pc.	2"x4"x21 ft Analoc type Rectangular Aluminum tube						 1	pc.	½"x4'x8' -Marine Plywood						 1	tube	Sealant						 2	sheet	¼" Thick x 1.2m x 1.8m x 1.8m Clear Glass						 5	sheet	½ x2"x3' Cork board						 1	set	Glass Clip						 1	set	Glass lock						</t>
  </si>
  <si>
    <t xml:space="preserve"> CONDUCT OF SOIL TESTING/EXPLORATION FOR THE PROPOSED BRIDGE WIDENING, BADOC BR. (B00564LZ), QUIAOIT BR. (B00571LZ),  ALONG MANILA NORTH ROAD, CABARUAN BR. (B02770LZ), QUIOM BR. (B02768LZ) ALONG BATAC-PINILI VIA MAIPALIG ROAD AND GALPAC BR. (B00555LZ) ALON</t>
  </si>
  <si>
    <t xml:space="preserve"> REQUEST FOR QUOTATION The Bureau of Jail Management and Penology — National Headquarters (BJMPNHQ), through its Bids and Awards Committee, intends to procure Supply and Delivery of Various Brother Ink which will be undertaken in accordance with the 2016 R</t>
  </si>
  <si>
    <t xml:space="preserve"> Communication Expenses 100	pcs	Mobile prepaid card, Globe 300 50	pcs	Mobile prepaid card, Smart 300 		 ************* End users:	SWRRD																				 Deadline for submission of bids:  July 8, 2020  at  12:00pm																					 																				</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</si>
  <si>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</si>
  <si>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PROCUREMENT TERMS AND CONDITIONS						 						 1. The Total Approved Budget for the Contract (ABC) is One Hundred Ninety Three Thousand Six Hundred Pesos (193,600.00)						 2.  Price Quotation should be inclusive of tax obligation.						 3. Evaluation of b</t>
  </si>
  <si>
    <t xml:space="preserve"> Procurement of Maintenance and Refill of Fire Extinguisher. Interested bidders can download the attached file for complete specifications and requirements. Please send your quotation thru this email: caysiebagsit.ritm@gmail.com Note: Kindly make our PR# a</t>
  </si>
  <si>
    <t xml:space="preserve"> 289 BAG PORTLAND CEMENT 34 CU.M GRAVEL 17 CU.M SAND</t>
  </si>
  <si>
    <t xml:space="preserve"> REQUEST FOR QUOTATION 	The Caraga State University-Cabadbaran Campus, through its Bids and Awards Committee (BAC), will undertake a Negotiated Procurement (Small Value Procurement) for the project: SUPPLY, DELIVERY AND INSTALLATION OF CSUCC ELECTRONICS SW</t>
  </si>
  <si>
    <t xml:space="preserve"> Portland Cement Steel round bar 12mm CW Nails #4 Washed Stone 3/4 Washed sand</t>
  </si>
  <si>
    <t xml:space="preserve"> 6 Set Tire 7.50 x 16, 14 ply, CT 163, mixed lug with inner tube and flap PVET</t>
  </si>
  <si>
    <t xml:space="preserve"> 4	box	Electrical Wire # 12 AWG, 3.5mm stranded, 150 meter/box 2	box	Electrical Wire # 12 AWG, 8 mm stranded, 100 meter/box 2	pcs	Circuit breaker with housing, 15 amperes 2	pcs	Circuit breaker with housing, 30 amperes 2	pcs	Circuit breaker with housing, 60</t>
  </si>
  <si>
    <t xml:space="preserve"> Name of Project : Cambaguio SIP Location : Bais City, Negros Oriental Contract No. : NOSO-LMC-SIP-22-2020 Brief Description : Construction of Intake and Pipeline Approved Budget for the Contract : P 4,585,700.60 Estimated Contract Duration : 180 calendar </t>
  </si>
  <si>
    <t xml:space="preserve"> 15	Box	Ballpen (Color Black) 12's 15	Box	Ballpen (Color Blue) 12's 15	Box	Ballpen (Color Red) 12's 10	Box	Binder Clips 12's 100	Ream	Bondpaper Long Size GSM 70  100	Ream	Bondpaper Short Size GSM 70  30	Ream	Bond Paper GSM 80 Long Size 30	Ream	Bond Paper G</t>
  </si>
  <si>
    <t xml:space="preserve"> Construction of 4sty-16cl (2 Science Laboratory workshop, 2 ICT Laboratory workshop &amp; 4 Regular workshop) with site adaptation and demolition</t>
  </si>
  <si>
    <t xml:space="preserve"> I. WALL PLASTERING II. FLOORING/FLOOR TILES III. DOORS / WINDOWS W/ GRILLS IV. ELECTRICAL WORKS V. CEILING VI. COMFORT ROOMS VII. LAVATORY WITH TILES VIII. PLUMBING WORKS IX. SEPTIC TANK X. PAINTING WORKS XI. STAIRS</t>
  </si>
  <si>
    <t xml:space="preserve"> Prepaid Cards 282	pcs	Smart (300) 282	pcs	Globe (300) ************ End users:	OAP																				 Deadline for submission of bids:  July 8, 2020  at  12:00pm																					 																					 Please attach/submit the following documents with </t>
  </si>
  <si>
    <t xml:space="preserve"> 1			Ceiling eaves (spandrel)	 2			Paints	 3			Tiles	 4			Ceiling	 5	1	set	Panel door</t>
  </si>
  <si>
    <t xml:space="preserve"> RPQ</t>
  </si>
  <si>
    <t xml:space="preserve"> Republic of the Philippines Province of Ifugao Municipality of Hingyon  Bids and Awards Committee  INVITATION TO BID Publication No. 014 – 2020 (SECOND POSTING – SUPPLY AND DELIVERY OF ONE (01) UNIT NPL-322+ PRISMLESS TOTAL STATION FOR THE MUNICIPAL ASSES</t>
  </si>
  <si>
    <t xml:space="preserve"> Republic of the Philippines JOSE RIZAL MEMORIAL STATE UNIVERSITY KATIPUNAN CAMPUS Katipunan, Zamboanga del Norte Invitation to Bid: Purchase of Animal Feeds 1)	The Jose Rizal Memorial State University-Katipunan Campus, Katipunan, Zamboanga del Norte throu</t>
  </si>
  <si>
    <t xml:space="preserve"> 4 x 4; Double Cab, Manual Transmission Specs: - 6-Speed Manual Transmission - Displacement - 2497cc - Torque (kgf-m/rpm)16.8/2400 - Power (ps/pm) 130/3800 - Valve System - DOHC (4 valve/cyl) - Lenght - 4855mm - Width - 1740mm - Height - 1995mm - Wheel Bas</t>
  </si>
  <si>
    <t xml:space="preserve"> SEE PR &amp; POW</t>
  </si>
  <si>
    <t xml:space="preserve"> Concreting of FMR</t>
  </si>
  <si>
    <t xml:space="preserve"> INVITATION TO BID                                   FOR THE PROCUREMENT OF SECURITY SERVICES FOR                          ADMINISTRATIVE CENTER AND CAGAYAN DE ORO CITY POST OFFICE 	The Philippine Postal Corporation, through the CY 2020 Corporate Budget ap</t>
  </si>
  <si>
    <t xml:space="preserve"> Procurement Terms and Conditions 1. The Total Approved Budget for the Contract (ABC) is Php303,000.00 2. Price quotation should be include of the required tax obligations. 3. Delivery period is 10 days upon receipt of Notice of Award (NOA) 4. Place of del</t>
  </si>
  <si>
    <t xml:space="preserve"> 4 pcs. Adaptor R410A 1 unit Air-Conditioning Cleaning Cover 2 pcs. Blow Torch Regulator 4 pcs. Cutting Disk 4" 2 unit Electrical Drill, 620W 4 pcs. Flaring Tool, 1/4-3/4" 2 set Gauge Manifold. R410 w/ Hose 2 set Gauge Manifold. R22 w/ Hose 2 unit Grinder </t>
  </si>
  <si>
    <t xml:space="preserve"> Supply and Delivery of Split-Type Air Conditioning Unit intended for LGU Manito all in accordance with the bill of quantities and specifications. 2.0 HP, Power Supply- 1ph 230v 60hz, Capacity-21,960 KJ/hr, Power Input-1,800W (240-2100), EER-122KJ/hr (180-</t>
  </si>
  <si>
    <t xml:space="preserve"> Republic of the Philippines Province of Pangasinan Municipality of Bugallon OFFICE OF THE BIDS AND AWARDS COMMITTEE INVITATION TO BID The Barangay Angarian of the Municipality of Bugallon, Pangasinan, through its Bids and Awards Committee (BAC), invites c</t>
  </si>
  <si>
    <t xml:space="preserve"> INVITATION TO BID Construction Materials (Rehabilitation of Multi-Purpose Hall) Project No: 2020-003 The Brgy. Council Aningalan, San Remigio, through the 20% Dev’t. Fund 2nd Qtr. CY 2020 intends to apply the sum of Seventy-Two Thousand Six Hundred Fifty </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</si>
  <si>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</si>
  <si>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Procurement of Materials for the Replacement of broken floor tiles of RELC  	15 piece Ceramic floor tiles,60cmx60cm,color white(with sample)			 	6 piece	Ceramic floor tiles,60cmx60cm,color brown (with sample)			 	20 piece Ceramic floor tiles,20cmx20cm,</t>
  </si>
  <si>
    <t xml:space="preserve"> PURCHASE REQUEST  Municipality of Buenavista  LGU  Department: LGU-BUENAVISTA Section: MO PR: Date:  SA1 No.  Qty. 		Unit	Item Description 	Estimated Unit cost 	Estimated Total cost  1		lot	single panel fix glass 58 x 94 inches with 1 x 1 framing using ¼ </t>
  </si>
  <si>
    <t xml:space="preserve"> the specification is available at the Bids and Awards Committee Secretariat MPDC-2nd Floor, Lasam Municipal Town Hall Centro 02, Lasam, Cagayan</t>
  </si>
  <si>
    <t xml:space="preserve"> Supply and delivery of labor and materials for the repair of GID Warehouse covering the replacement of damaged GI sheet roofings, gutters, flashing, ridge, skylights and rotary ventilators</t>
  </si>
  <si>
    <t xml:space="preserve"> INVITATION TO BID IB NO. CW 2020 –  102 Infrastructure Project (Phase II) for Oriental Mindoro Rehabilitation and Recovery Center,  Brgy. Ilaya, Calapan City, Oriental Mindro 1.  The Provincial Government of Oriental Mindoro (PGOM) through the DOH Trust F</t>
  </si>
  <si>
    <t xml:space="preserve"> REQUEST FOR QUOTATION 	The Caraga State University-Cabadbaran Campus, through its Bids and Awards Committee (BAC), will undertake a Shopping-Ordinary/Regular Office Supplies for the project: PROCUREMENT ON SUPPLY AND DELIVERY OF VARIOUS OFFICE SUPPLIES (C</t>
  </si>
  <si>
    <t xml:space="preserve"> Republic of the Philippines Province of Ifugao Municipal Government of Hingyon BIDS AND AWARDS COMMITTEE – GOODS REQUEST FOR QUOTATION (Small Value Procurement) Second Posting RFQ No. 002-2020 Bid Opening: July 06, 2020 To			: ALL PROSPECTIVE BIDDERS Addr</t>
  </si>
  <si>
    <t xml:space="preserve"> Purchase of Medical Supplies for the use of Ospital ng Lungsod ng San Jose Del Monte</t>
  </si>
  <si>
    <t xml:space="preserve"> June 30, 2020 REQUEST FOR QUOTATION (RFQ) VACUUM CLEANER 1.	The Batangas Medical Center hereinafter referred to as the “Purchaser” now request for submission of price proposal for the procurement of the aforesaid item described in the Technical Specificat</t>
  </si>
  <si>
    <t xml:space="preserve"> •	Drone   -     2 Units         Maximum takeoff weight-2.00lb/907g         Maximum horizontal speed: 44.7 mph/72km/h         Maximum ascent speed: 16.4 ft/s/5 m/s         Maximum descent speed: 9.8 ft/s/3 m/s         Maximum wind resistance: 23.6 mph/38 k</t>
  </si>
  <si>
    <t xml:space="preserve"> PURCHASE REQUEST  Municipality of Buenavista  LGU  Department: LGU-BUENAVISTA Section: DRRM PR: Date:  SA1 No.  Qty. 		Unit	Item Description 	Estimated Unit cost 	Estimated Total cost  BONGO TRUCK 8	liters	engine oil 1	pc	oil filter 1	pc	fuel filter 3	pcs</t>
  </si>
  <si>
    <t xml:space="preserve"> REPAIR &amp; IMPROVEMENT OF SCHOOL CLINIC</t>
  </si>
  <si>
    <t xml:space="preserve"> PURCHASE REQUEST  Municipality of Buenavista  LGU  Department: LGU-BUENAVISTA Section: DA PR: Date:  SA1 No.  Qty. 		Unit	Item Description 	Estimated Unit cost 	Estimated Total cost  145	pcs	sarol TOTAL  Purpose: Procurement of gardening tools Requested b</t>
  </si>
  <si>
    <t xml:space="preserve"> INVITATION TO BID REPUBLIC OF THE PHILIPPINES CITY OF GOVERNMENT OF NAVOTAS BARANGAY SAN RAFAEL VILLAGE   BIDS AND AWARDS COMMITTEE 1.The Sangguniang BaraNGAY San Rafael Village, through its Bids and Awards Committee intends to  apply the sun of One Hundr</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</si>
  <si>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</si>
  <si>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Materials only:  5 cu.m.  Embankment materials  4 cu.m.  Gravel Bedding  215 kgs  Steel bar 10mm  25 kgs  Tie wire  40 bags Cement   2 cu.m. Sand  619 pcs  CHB 4"  14 bags  Cement   2 cu.m.  Sand  63 bags Cement   7 cu.m. Gravel   4 cu.m.  Sand 133 bd.ft.</t>
  </si>
  <si>
    <t xml:space="preserve"> PROCUREMENT TERMS AND CONDITIONS						 						 1. The Total Approved Budget for the Contract (ABC) is One Hundred Twenty Thousand Three Hundred Seventy &amp; 25/100 Only						     (Php. 120,370.25) 						 2.  Price Quotation should be inclusive of tax obligati</t>
  </si>
  <si>
    <t xml:space="preserve"> Nasipit District Hospital Agusan del Norte</t>
  </si>
  <si>
    <t xml:space="preserve"> Repainting, replacement of door and doorknob, installation of window screen, and installation of electrical connection</t>
  </si>
  <si>
    <t xml:space="preserve"> INK CART, HP F6V26AA (HP680) BLACK                       35 CART INK CART, HP F6V27AA (HP680) TRI-COLOR                25 CART</t>
  </si>
  <si>
    <t xml:space="preserve"> see the attached RFQ, submit necessary file and sent to this ; email : johnedmar.barairo@deped.gov.ph  phone no. (049) 530-0284 - we prioritize bidder/supplier who completed and complied the process. - if system error occur pls. contact us.</t>
  </si>
  <si>
    <t xml:space="preserve"> Republic of the Philippines PROVINCE OF ZAMBOANGA DEL SUR Municipality of Dumalinao Barangay Bibilik BIDS AND AWARDS COMMITTEE INVITATION TO APPLY FOR ELIGIBILITY AND TO BID The Local Government Unit of Bibilik, Dumalinao, Zamboanga del Sur, through its B</t>
  </si>
  <si>
    <t xml:space="preserve"> Furnishing &amp; delivery of construction materials , labor, tools and equipment and other incidentals only. Schedule of Activities: Issuance of Bid Documents - July 1-22, 2020 Pre-Bid Conference - July 9, 2020; 1:00 p.m. Submission of Bids - on or before Jul</t>
  </si>
  <si>
    <t xml:space="preserve"> Republic of the Philippines JOSE RIZAL MEMORIAL STATE UNIVERSITY KATIPUNAN CAMPUS Katipunan, Zamboanga del Norte Invitation to Bid: Purchase of Agricultural Chemicals 1)	The Jose Rizal Memorial State University-Katipunan Campus, Katipunan, Zamboanga del N</t>
  </si>
  <si>
    <t xml:space="preserve"> Grade 7 - 1200 x 271 pages Grade 8 - 1000 x 280 pages Grade 9 - 950 x 274 pages Grade 10 - 900 x 273 pages Grade 11 - HUMMS 50 X 337 pages Grade 11 - GAS 50 x 336 pages Grade 11 - ABM 50 x 333 pages Grade 11 - STEM  50 x 292 pages Grade 12 - HUMMS 50 x 29</t>
  </si>
  <si>
    <t xml:space="preserve"> 399  bags   Cement 36  Cu.m.   Gravels 24  Cu. M.   Sand 10   pcs    RSB 12mm 48   Cu.m  ASBC 180    Bd.ft.  Cco lumber 2 x6 x10 5    kls   CWN #3 2   kls   CWN #2 1/2</t>
  </si>
  <si>
    <t xml:space="preserve"> 5	kilo	G.I Wire # 16 10	kilo	G.I Wire # 14 3	kilo	Garden Hose, 1/2 inch diameter, 90 meter per roll, braided flexible hose, heavy duty 2	roll	Garden Hose, 1/2 inch diameter, 60 meter per roll, braided flexible hose, heavy duty 10	pcs	Meter Stick,  hardwor</t>
  </si>
  <si>
    <t xml:space="preserve"> Various Office Supplies</t>
  </si>
  <si>
    <t xml:space="preserve"> for the maintenance of barangay road.</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</si>
  <si>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</si>
  <si>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INSTALLATION OF 12 UNITS QUARANTINE FACILITIES.</t>
  </si>
  <si>
    <t xml:space="preserve"> Purchase of Office Supplies and Materials (see attached RFQ)</t>
  </si>
  <si>
    <t xml:space="preserve"> REPAIR &amp; MAINTENANCE BUILDING</t>
  </si>
  <si>
    <t xml:space="preserve"> Provincial Social Welfare Development Office Agusan del Norte</t>
  </si>
  <si>
    <t xml:space="preserve"> 1 roll Copper Tube 5/8 1 roll Copper Tube 1/2 2 roll Copper Tube 1/4 10 piece Copper Elbow 5/8 10 piece Copper Elbow 1/2 8 piece Rubber Insulation 5/8 10 piece Rubber Insulation 3/4 20 piece Silver Rod 2 can Map Gas 1 tank Freon 410A  2 roll Polyethelene </t>
  </si>
  <si>
    <t xml:space="preserve"> Republic of the Philippines Province of Palawan  Municipal Government of Cuyo BIDS AND AWARDS COMMITTEE Email Address: baccuyopalawan@gmail.com INVITATION TO BID  STRAIGHT CONTRACT FOR THE CONSTRUCTION AND REHABILITATION OF BANCAL SLOPE PROTECTION, PUROK </t>
  </si>
  <si>
    <t xml:space="preserve"> PURCHASE OF VARIOUS FORM FOR INVENTORY PURPOSES OF GSO</t>
  </si>
  <si>
    <t xml:space="preserve"> The City Government of Malolos, through its BIDS and AWARDS COMMITTEE (BAC) Invites Suppliers/Manufacturers/Distributors to Bid for hereunder procurement:  PR No. : GSO-2020-06-872 Name of Project : PURCHASE OF 1,803 UNITS OF ICT EQUIPMENT (LAPTOP) FOR TH</t>
  </si>
  <si>
    <t xml:space="preserve"> SUPPLY AND DELIVERY OF CONSTRUCTION MATERIALS</t>
  </si>
  <si>
    <t xml:space="preserve"> 33 KLS TIE WIRE #16 20 PCS COCO LUMBER 2X2X12 4 KLS CWN ASSTD. 86 BAGS CEMENT 3.5 CU.M SAND 9.5 CU.M GRAVEL 3/4" 10 PCS ORD. PLYWOOD 1/4" 12 PCS 10MM, SRB 110 PCS 9MM, SRB 42 PCS 12MM, SRB 400 PCS CHB # 3.5 CU.M FINISHING SAND</t>
  </si>
  <si>
    <t xml:space="preserve"> Purchase of Powdered Milk for Adults &amp; Kids</t>
  </si>
  <si>
    <t xml:space="preserve"> See attachment</t>
  </si>
  <si>
    <t xml:space="preserve"> RFQ2020-06-1007 Category	Item No.	QTY	Unit of Issue	Item Description	Stock No. / APP NO	Estimated Unit Cost	Estimated Cost Construction Materials and Supplies		30	sqm	Pre-painted Metal Roofing Sheet Ga. 26 Long Span (green)		720	21,600.00 Construction Mat</t>
  </si>
  <si>
    <t xml:space="preserve"> 1. The National Irrigation Administration (NIA), Regional Irrigation Office No.7, through the Small Reservoir Irrigation Project (SRIP) 2020 intends to apply the sum of Two Million Four Hundred Twenty Nine Thousand Four Hundred Eighty Nine Pesos (P 2,429,</t>
  </si>
  <si>
    <t xml:space="preserve"> 9 Pail Flush Ordinary Toilet Bowl</t>
  </si>
  <si>
    <t xml:space="preserve"> Bid-opening-July 9,2020 at 2:00 p.m.</t>
  </si>
  <si>
    <t xml:space="preserve"> Network Devices and Installation Service 1. LRT224 Dual WAN, Business Gigabit VPN Router..........................................1 unit 2. LAPAAC1750 Business, AC1750 Dual Band Access Point ...............................3 units 3. Wireless Router, LRT22</t>
  </si>
  <si>
    <t xml:space="preserve"> see attached picture</t>
  </si>
  <si>
    <t xml:space="preserve"> for sbm wins supplies</t>
  </si>
  <si>
    <t xml:space="preserve"> Repainting, Extension of ramp, repair of CR door, installation of electrical connection and replacement of main door</t>
  </si>
  <si>
    <t xml:space="preserve"> INVITATION TO REBID FOR THE PROCUREMENT OF SUPPLY &amp; DELIVERY OF BANANA PLANTLET      1.	The Department of Agriculture Regional Field Office 6 through the General Appropriations Act (GAA) of 2020 intends to apply the sum of One Million Eight Hundred Twenty</t>
  </si>
  <si>
    <t xml:space="preserve"> Republic of the Philippines Department of Education National Capital Region Schools Division Office - Taguig City and Pateros SILANGAN ELEMENTARY SCHOOL Telephone Nos. (02) 478-9458          JUNE 30, 2020                                     BIDS AND AWARD</t>
  </si>
  <si>
    <t xml:space="preserve"> See Attachment</t>
  </si>
  <si>
    <t xml:space="preserve"> Republic of the Philippines						CAO		 		Government of Ormoc City						P.R. No.:  	201766	 		BIDS AND AWARDS COMMITTEE						Quotation No.: 	204483-6162	 		Ormoc City						PhilGEPs No.: 		 										 Standard Form Title:			REQUEST FOR QUOTATION							 				</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</si>
  <si>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</si>
  <si>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June 30, 2020 REQUEST FOR QUOTATION (RFQ) COLD BLOCKS 1.	The Batangas Medical Center hereinafter referred to as the “Purchaser” now request for submission of price proposal for the procurement of the aforesaid item described in the Technical Specification</t>
  </si>
  <si>
    <t xml:space="preserve"> DepEd, Division of Sorsogon										 Standard Form Number: SF-GOOD-60										 Revised on: May 24, 2004										 REQUEST FOR QUOTATION										 										 						Date:				 						Quotation No.:		20-06-086-_____		 										 										 										 							</t>
  </si>
  <si>
    <t xml:space="preserve"> MOBILIZATION/DEMOBILIZATION FORM WORKS MASONRY WORKS</t>
  </si>
  <si>
    <t xml:space="preserve"> Provincial Disaster Risk Reduction Management Office Agusan del Norte</t>
  </si>
  <si>
    <t xml:space="preserve"> OPENING OF BIDS IN DSWD FO IX, ZAMBOANGA CITY,										 DELIVERY IN SINDANGAN ZAMBOANGA DEL NORTE										 PROCUREMENT FOR THE FF.:										 										 7	MONTH	OFFICE RENTAL COMMERCIAL OFFICE SPACE WITH FLOOR AREA OF MORE OR LESS 170 sqm. EFFICIENT WAT</t>
  </si>
  <si>
    <t xml:space="preserve"> Item Description	Quantity/ Unit	Unit Cost	Total Cost CLASS 150 UPVC PIPE 100 MM 0 X 6 MTS	66 PCS		 150MM 0 C.I. TEE /MM	1 PC		 150MM 0 C,I STC	2 PCS		 150MM 0 C.I GATE VALVE /MM		2 PCS		 150MM 0 C.I ELBOW 90 DEG. /MM	2 PCS		        150MM 0 C.I ELBOW TO PV</t>
  </si>
  <si>
    <t xml:space="preserve"> for sbm wins facility</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</si>
  <si>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</si>
  <si>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Republic of the Philippines Bangsamoro Autonomous Region in Muslim Mindanao Provincial Government of Maguindanao BIDS AND AWARDS COMMITTEE REQUEST FOR QUOTATION The PROVINCIAL GOVERNMENT OF MAGUINDANAO – Office of the Provincial General Services invites a</t>
  </si>
  <si>
    <t xml:space="preserve"> Contract ID:	20DL0228 Contract Name:	ORGANIZATIONAL OUTCOME 2 : PROTECT LIVES AND PROPERTIES AGAINST MAJOR FLOODS, FLOOD MANAGEMENT PROGRAM, CONSTRUCTION/ MAINTENANCE OF FLOOD MITIGATION STRUCTURES AND DRAINAGE SYSTEMS 6. CONSTRUCTION OF FLOOD CONTROL STR</t>
  </si>
  <si>
    <t xml:space="preserve"> Republic of the Philippines						GSD		 		Government of Ormoc City						P.R. No.:  	201774	 		BIDS AND AWARDS COMMITTEE						Quotation No.: 	204471-6156	 		Ormoc City						PhilGEPs No.: 		 										 Standard Form Title:			REQUEST FOR QUOTATION							 				</t>
  </si>
  <si>
    <t xml:space="preserve"> Provincial Health Office Agusan del Norte</t>
  </si>
  <si>
    <t xml:space="preserve"> Provincial Agriculturist Office Agusan del Norte</t>
  </si>
  <si>
    <t xml:space="preserve"> Republic of the Philippines						ENRO		 		Government of Ormoc City						P.R. No.:  	201593	 		BIDS AND AWARDS COMMITTEE						Quotation No.: 	204463-6152	 		Ormoc City						PhilGEPs No.: 		 										 Standard Form Title:			REQUEST FOR QUOTATION							 			</t>
  </si>
  <si>
    <t xml:space="preserve"> 4 piece Tires (195R15c)</t>
  </si>
  <si>
    <t xml:space="preserve"> SUPPLY AND DELIVERY OF 7 SETS CLERICAL TABLES FOR PVD - LUHBC</t>
  </si>
  <si>
    <t xml:space="preserve"> Catering Services for the conduct of Orientation/workshop Cost-sharing Mechanism, Drafting of the cost-sharing Mechanism Guidelines or User's Fee System for Pantabangan Carranglan Protected Area Management Board (PAMB) on July 9-10, 2020</t>
  </si>
  <si>
    <t xml:space="preserve"> Please quote your lowest price inclusive of VAT on the item/s listed below, subject to the Terms and Conditions of this RFQ, and submit your quotation duly signed by your representative not later than July 06, 2020 at Bids and Awards Committee, Ground Flo</t>
  </si>
  <si>
    <t xml:space="preserve"> PHO-SC-2020-003 PR2020-168 REQUEST FOR QUOTATION FOR THE PROCUREMENT OF IV FLUIDS AND STERILE WATER FOR EMERGENCY USE OPERATIONS OF PRES. CARLOS P. GARCIA MUNICIPAL HOSPITAL COST OF CANVASS: P 150.00</t>
  </si>
  <si>
    <t xml:space="preserve"> PHO-SC-2020-004 PR2020-175 REQUEST FOR QUOTATION FOR THE PROCUREMENT OF IV FLUIDS FOR PATIENTS USE AT CONG. SIMEON G. TORIBIO MEMORIAL HOSPITAL, CARMEN, BOHOL COST OF CANVASS: P 150.00</t>
  </si>
  <si>
    <t xml:space="preserve"> Republic of the Philippines						CPDO		 		Government of Ormoc City						P.R. No.:  	201797	 		BIDS AND AWARDS COMMITTEE						Quotation No.: 	204479-6160	 		Ormoc City						PhilGEPs No.: 		 										 Standard Form Title:			REQUEST FOR QUOTATION							 			</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</si>
  <si>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</si>
  <si>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The Barangay Government of Dagupan, Allacapan Cagayan, through its Bids and Awards Committee (BAC) will invites interested entities to submit their bidding documents for the following details: Name of Project: Construction of Comfort Room Source of Fund: </t>
  </si>
  <si>
    <t xml:space="preserve"> 6    pcs   Solar Street light (Big Light) 6    Post Bracket 12   Pcs   Metal Post Clamp 6    set    Post Light Schedule 402" 11   pcs    G.I.  Pipe #2   Sched. 40</t>
  </si>
  <si>
    <t xml:space="preserve"> Republic of the Philippines						ENRO		 		Government of Ormoc City						P.R. No.:  	201475	 		BIDS AND AWARDS COMMITTEE						Quotation No.: 	204467-6154	 		Ormoc City						PhilGEPs No.: 		 										 Standard Form Title:			REQUEST FOR QUOTATION							 			</t>
  </si>
  <si>
    <t xml:space="preserve"> Item Number	Description	Qty	UNIT	Total 1	CENTRIFUGAL PUMP 2HP	2	UNIT	90,000.00</t>
  </si>
  <si>
    <t xml:space="preserve"> DepEd, Division of Sorsogon										 Standard Form Number: SF-GOOD-60										 Revised on: May 24, 2004										 REQUEST FOR QUOTATION										 										 						Date:		June 30, 2020		 						Quotation No.:		20-06-087-_____		 										 										 					</t>
  </si>
  <si>
    <t xml:space="preserve"> Construction materials and Supplies</t>
  </si>
  <si>
    <t xml:space="preserve"> 9btls         Ink Epson (Cyan, Blue, Magenta)-3pcs each Color 5btls         Ink Epson ( Black) 20 reams  Advance Bond Paper S20 Long 20 reams  Advance Bond Paper S20 Short 2 btls        Ineo 164 Powder Toner 1 doz        Corrector Tape-25m 5 doz        Cr</t>
  </si>
  <si>
    <t xml:space="preserve"> Contract ID:	20DL0229 Contract Name:	ORGANIZATIONAL OUTCOME 2 : PROTECT LIVES AND PROPERTIES AGAINST MAJOR FLOODS, FLOOD MANAGEMENT PROGRAM, CONSTRUCTION/ MAINTENANCE OF FLOOD MITIGATION STRUCTURES AND DRAINAGE SYSTEMS 13. REHABILITATION OF FLOOD CONTROL </t>
  </si>
  <si>
    <t xml:space="preserve"> aircon</t>
  </si>
  <si>
    <t xml:space="preserve"> 3rd Level Training on 2020 CPH on August 3 - 8, 2020 (6 Days) Breakfast AM Snacks Lunch PM Snacks Dinner *Free Flowing of Coffee *Other offers, pls. specify fpr 112 pax</t>
  </si>
  <si>
    <t xml:space="preserve"> 1 LOT one	job	Installation of two (2) unit Water System: 		Labor &amp; Materials 		- 1 unit GI Pipe, 3" 		- 4" Water Pump 		- 14HP Diesel Engine 		- 1 unit GI Pipe, 3" 		- 3HP Electric Motor 		-Including  installation of house cage of each unit</t>
  </si>
  <si>
    <t xml:space="preserve"> REQUEST FOR QUOTATION The Tourism Infrastructure and Enterprise Zone Authority (TIEZA) through its Bids and Awards Committee undertake a Small Value Procurement for the CHECK UP TRANSMISSION AND REPAIR OF TOYOTA FORTUNER, in accordance with Section 53.9 o</t>
  </si>
  <si>
    <t xml:space="preserve"> Republic of the Philippines JOSE RIZAL MEMORIAL STATE UNIVERSITY KATIPUNAN CAMPUS Katipunan, Zamboanga del Norte Invitation to Bid: Purchase of Office Equipment 1)	The Jose Rizal Memorial State University-Katipunan Campus, Katipunan, Zamboanga del Norte t</t>
  </si>
  <si>
    <t xml:space="preserve"> See associated components</t>
  </si>
  <si>
    <t xml:space="preserve"> Amount of Bid Docs 2,000.00 To all suppliers, Bid Documents are available at BAC Office on July 9, 2020 Please qoute your Lowest Price; Item No. Quantity Unit Description I 28.88 cu.m. Concrete Works II 1.00 lot Painting Works Opening of Bid shall be on J</t>
  </si>
  <si>
    <t xml:space="preserve"> FOR COMPLETION OF MULTIPURPOSE BUILDING III</t>
  </si>
  <si>
    <t xml:space="preserve"> Quantity       Unit            Description   732           copy            Manila Bulletin (January 01-March 31,2020)    732           copy            Balita (January 01-March 32, 2020)       366           copy            Philippine Star (January 01-March</t>
  </si>
  <si>
    <t xml:space="preserve"> PHO-SC-2020-005 PR2020-177 REQUEST FOR QUOTATION FOR THE PROCUREMENT OF DRUGS AND MEDICINES FOR PATIENTS USE AT CONG. SIMEON G. TORIBIO MEMORIAL HOSPITAL, CARMEN, BOHOL COST OF CANVASS: P 150.00</t>
  </si>
  <si>
    <t xml:space="preserve"> 1 LOT  1	unit	Copier: 		- Copier, Warm Up Time (sec.); 25sec;Power Consumption: 120W, Model: AR6020N, Type: Copy, Print,                    Scan, Copy Speed, 20cmp, Print, 20cpm, Scanner: Res.50to9600dpi, via user settings, A3, Color                    Sc</t>
  </si>
  <si>
    <t xml:space="preserve"> 1	Pocket WIFI (4G/ LTE) 		7	units 2	 P 500.00 Prepaid Card Load (Expiration date of Prepaid Cards Should not be earlier than November 2021)		399	pcs</t>
  </si>
  <si>
    <t xml:space="preserve"> LGU-AL-31-2020 CONSTRUCTION/OPENING OF BARANGAY ROAD WITH RIPRAP BRGY. CADAC-AN ABUYOG, LEYTE</t>
  </si>
  <si>
    <t xml:space="preserve"> To All Eligible Suppliers/Contractors:  Please quote your lowest price inclusive of VAT on the items listed in the RFQ Form (please see and download attachment in the Associated Components), subject to the Terms and Conditions of this Request for Quotatio</t>
  </si>
  <si>
    <t xml:space="preserve"> 4th level Training on 2020 CPH in the Mun. of Asuncion 1.Meals and AM &amp; PM Snacks       on  August 17 – 21, 2020     (5 Days) for 71 pax 2. Meals and AM &amp; PM Snacks  on August 22, 2020 (1 Day) for 15 pax *Free Flowing of Coffee *Other offers, pls. specify</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</si>
  <si>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</si>
  <si>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</si>
  <si>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PROCUREMENT OF OFFICE SUPPLIES FOR THE OFFICE OF THE MUNICIPAL HUMAN RESOURCE MANAGEMENT OFFICER Mexico, Pampanga</t>
  </si>
  <si>
    <t xml:space="preserve"> Provincial Governor's Office/ENRD Agusan del Norte</t>
  </si>
  <si>
    <t xml:space="preserve"> Purchase of Materials for Construction of Stairway in Hagdan Coast Way</t>
  </si>
  <si>
    <t xml:space="preserve"> PHO-NC-2020-127 PR2020-174 REQUEST FOR QUOTATION FOR THE PROCUREMENT OF CERTIFICATE FOR GALLONERS (11"x14" FRAMES INCLUSIVE OF THE CERTIFICATE) FOR THE USE OF THE NATIONAL VOLUNTARY BLOOD SERVICES PROGRAM, PHO COST OF CANVASS: P 250.00</t>
  </si>
  <si>
    <t xml:space="preserve"> FURNISHING AND DELIVERY OF MATERIALS FOR THE IMPROVEMENT OF A. BONIFACIO ST. NORTH POBLACION JUBAN SORSOGON</t>
  </si>
  <si>
    <t xml:space="preserve"> The DPWH-North Manila District Engineering Office, through its Bids and Awards Committee (BAC) invites contractors to submit bids for the following Contract: 1.	  Contract I.D. No. 20OE0207   Contract Name: Installation of Road Safety Devices on MC Arthur</t>
  </si>
  <si>
    <t xml:space="preserve"> REQUEST FOR QUOTATION						 						 Date: June 23, 2020		PR No.: 006.0484				 RFQ No. 006.0420		End User: Enforcement Division				 						 The Department of Environment and Natural Resources (DENR), Region-9, Regional Office, through its Regional Bids and A</t>
  </si>
  <si>
    <t xml:space="preserve"> Brief Description: Construction of School Building which involves project billboard/signage, safety &amp; health, temporary facility, A. School Building; layout and excavation, embankment (loose volume), soil poisoning and termite control, reinforcing steel b</t>
  </si>
  <si>
    <t xml:space="preserve"> REQUEST FOR QUOTATION The Tourism Infrastructure and Enterprise Zone Authority (TIEZA) through its Bids and Awards Committee undertake a Small Value Procurement for the SUPPLY AND DELIVERY OF DRONE CAMERA AND VOICE RECORDER FOR THE USE OF TIEZA REGULATORY</t>
  </si>
  <si>
    <t xml:space="preserve"> OPENING OF BIDS IN DSWD FO IX, ZAMBOANGA CITY,					 DELIVERY IN DSWD FO IX ZAMBOANGA CITY					 PROCUREMENT FOR THE FF.:					 					 12 PCS.- 12 VOLTS BATTERY 11 PLATE ADVANCE -GOOD QUALITY MAINTENANCE FREE **************************************************</t>
  </si>
  <si>
    <t xml:space="preserve"> See associated component</t>
  </si>
  <si>
    <t xml:space="preserve"> Republic of the Philippines Province of Iloilo Municipality of Ajuy Barangay of Lanjagan BIDS AND AWARD COMMITTEE INVITATION TO BID 	The Barangay of Lanjagan, Ajuy, Iloilo invites Accredited Supplier to apply for eligibility and to bid for the Constructio</t>
  </si>
  <si>
    <t xml:space="preserve"> Supply and Delivery of Hardware Materials for the Installation of Radio Tower and Antenna and Relocation of Radio Station</t>
  </si>
  <si>
    <t xml:space="preserve"> REQUEST FOR QUOTATION The Tourism Infrastructure and Enterprise Zone Authority (TIEZA) through its Bids and Awards Committee undertake a Small Value Procurement for the SUPPLY AND DELIVERY OF PRINTER AND BARCODE SCANNER, in accordance with Section 53.9 of</t>
  </si>
  <si>
    <t xml:space="preserve"> REQUEST FOR QUOTATION The Tourism Infrastructure and Enterprise Zone Authority (TIEZA) through its Bids and Awards Committee undertake a Small Value Procurement for the SUPPLY AND DELIVERY OF VAULT FOR TRAVEL TAX DEPARTMENT, in accordance with Section 53.</t>
  </si>
  <si>
    <t xml:space="preserve"> 1. Construction of 665m Community Access Road Carriageway (4m width x 0.20m thickness) and 1.0m Road Shoudering __________________________________________________________________________________________ Prospective Bidders shall submit a Letter of Intent </t>
  </si>
  <si>
    <t xml:space="preserve"> Brief Description: Construction/Rehabilitation/Improvement of Multi-Purpose Pavement which involves barricades, removal of existing concrete pavement, excavation,  sub-grade preparation, aggregate sub base course, portland cement concrete pavement, road s</t>
  </si>
  <si>
    <t xml:space="preserve"> for handwashing construction</t>
  </si>
  <si>
    <t xml:space="preserve"> Republic of the Philippines					 PROVINCE OF SIQUIJOR					 BIDS &amp; AWARDS COMMITTEE					 Capitol Building, Siquijor, Siquijor					 					 Business Name:_____________________________				AD. No.: 472-06-2020	 Address:___________________________________				DAT</t>
  </si>
  <si>
    <t xml:space="preserve"> Republic of the Philippines Province of Ilocos Norte MUNICIPALITY OF PINILI REQUEST FOR QUOTATION PIN2020-084 The Municipality of Pinili invites all interested registered suppliers to submit quotations for:   1 LOT  =	SUPPLY OF VARIOUS CONSTRUCTION MATERI</t>
  </si>
  <si>
    <t xml:space="preserve"> ARTICLE AND DESCRIPTION                  										 ITEM	QTY	UNIT						CEILING 		UNIT PRICE			TOTAL  								PRICE					 			Office:  City General Services Office 										 			Charge to: Office Supplies Expenses					PR No. 814					 			ABC: Php269,983.70			</t>
  </si>
  <si>
    <t xml:space="preserve"> Quantity            Unit              Item Description    400                pcs           3/16 Ordinary Plywood</t>
  </si>
  <si>
    <t xml:space="preserve"> 12	bottle	Alcohol ethyl 68%-70%, scented 500ml 85	ream	        Paper copy 80gsm size 216x330mm 85	ream	        Paper copy 80gsm size 210x297mm 4	book	        Record book 300 pages 214mmx278mm 6	jar	       Glue all purpose gross weight 200 grams 24	box	   </t>
  </si>
  <si>
    <t xml:space="preserve"> 96,000.00  GOLDEN HORIZON		SITES		       FOR EVACUATION CENTER		1	PC	      FOR BRGY. OUTPOST		1	PC	 				 SUNSHINE VILLE 1				       FOR EVACUATION CENTER		1	PC	      FOR BRGY. OUTPOST		1	PC	 				 SOUTHVILLE 2 PH3				       FOR EVACUATION CENTER		1	PC	    </t>
  </si>
  <si>
    <t xml:space="preserve"> 1.Meals and AM &amp; PM Snacks on August 17 - 21, 2020 (5 Days) for 69 pax 2. Meals and AM &amp; PM Snacks on August 22, 2020  (1 Day) for 14 pax *Free Flowing of Coffee *Other offers, pls. specify __________________ __________________</t>
  </si>
  <si>
    <t xml:space="preserve"> Brief Description: Rehabilitation/Improvement of Road  which involves project billboard/signage, temporary facility, safety &amp; health, mobilization and demobilization, barricades, A. Rehabilitation of Road (RNR); Breaking of existing dilapidated concrete p</t>
  </si>
  <si>
    <t xml:space="preserve"> INVITATION FOR SUBMISSION OF QUOTATION (SMALL VALUE PROCUREMENT) 	The local Government Unit of Can-avid, through is Bid and Awards Committee (BAC). Invites suppliers to apply for eligibility, to bid for the hereunder contract: Name of Contract:  	Computer</t>
  </si>
  <si>
    <t xml:space="preserve"> PHO-NC-2020-128 PR2020-176 REQUEST FOR QUOTATION FOR THE PROCUREMENT OF ANTI-RABIES SERUM AND PURIFIED RABIES VACCINE FOR PATIENTS USE AT CONG. SIMEON G. TORIBIO MEMORIAL HOSPITAL, CARMEN, BOHOL COST OF CANVASS: P 400.00</t>
  </si>
  <si>
    <t xml:space="preserve"> Supply and Delivery of Assistive Device for PWD use of Dupax del Norte with an ABC of Php65,000.00 For further details, please refer to the attached Purchase Request in the associated components.</t>
  </si>
  <si>
    <t xml:space="preserve"> INVITATION TO BID FOR THE  DOCUMENTATION AND REGISTRATION OF MUNICIPAL CEMETERY INCLUDING SITE DEVELOPMENT PLAN The Local Government Unit of Del Gallego, Camarines Sur, through the Supplemental Budget No. 2 s. of 2015 Documentation/Transfer/Registration o</t>
  </si>
  <si>
    <t xml:space="preserve"> 3,448.37 liters - Diesel 1,041.66 liters - Gasoline</t>
  </si>
  <si>
    <t xml:space="preserve"> INVITATION TO BID PURCHASE OF SUPPLIES AND MATERIALS TO BE USED DURING RESPONSE OPERATIONS OF CDRRMO The City Government of San Jose del Monte, Bulacan, thru its Bids and Awards Committee (BAC), through the Sangguniang Panlungsod (SP) Appropriation Ordina</t>
  </si>
  <si>
    <t xml:space="preserve"> FOR CONSTRUCTION OF PUROK 5A MULTIPURPOSE CENTER</t>
  </si>
  <si>
    <t xml:space="preserve"> Brief Description: Rehabilitation/Improvement of Gymnasium which involves project billboard/signage, safety &amp; health, temporary facility, reinforced concrete slab, tile works, grilles, and fire safety Equipment to be used:  Concrete Bagger Mixer and Concr</t>
  </si>
  <si>
    <t xml:space="preserve"> ROAD CONCRETING    - 4M X 0.20m x 22m</t>
  </si>
  <si>
    <t xml:space="preserve"> To promote health and wellness to all teaching, non-teaching personnel and learners for the prevention of COVID-19 Alcohol 70% 500 ml, Thermal Scanner Heavy Duty, Surgical Face Mask, Face Shield, Rubber Gloves, KN 95 Mask, Hand Sanitizer 500ml, Safe Guard</t>
  </si>
  <si>
    <t xml:space="preserve"> Provincial Engineer's Office Agusan del Norte</t>
  </si>
  <si>
    <t xml:space="preserve"> Brief Description: Improvement of Slope Protection which involves excavation, reinforcing steel, structural concrete, rubble concrete, concrete piles (Cast-In-Place), project billboard/signage, safety &amp; health and temporary facility. Equipment to be used:</t>
  </si>
  <si>
    <t xml:space="preserve"> Brief Description: Construction of Waiting Shed with Steel Bench at Sta. Barbara Elementary School, Sta. Barbara (Revised 2) / Improvement of PS Zamboanga Sub- Depot Building at Zone IV (Revised)  which involves layout and excavation, filling materials, r</t>
  </si>
  <si>
    <t xml:space="preserve"> SUPPLY OF 3 PCS. ROLLING DOOR MOTOR under PR No. RS-0120-004 and ITB No. 2002-012-01 Please quote your lowest price on the item/s listed below, subject to the Terms and Conditions set forth hereunder, stating among others the shortest time of delivery and</t>
  </si>
  <si>
    <t xml:space="preserve"> 1.	22 tanks - Solane</t>
  </si>
  <si>
    <t xml:space="preserve"> MACHINE SHOP: Main journal regrind Conrod journal regrind Cylinder sleeving/resleeving Cylinder head/block resurface Main housing and caps line boring Camshaft bsg. replace &amp; r'mg. &amp; lifting Valve guide replace valve seat ring insert Conrod restandard/con</t>
  </si>
  <si>
    <t xml:space="preserve"> Please see attached file for your reference.</t>
  </si>
  <si>
    <t xml:space="preserve"> 1.Meals and AM &amp; PM Snacks on August 17 – 21, 2020 (5 Days) for 221 pax 2. Meals and AM &amp; PM Snacks on August 22, 2020  (1 Day) for 39 pax *Free Flowing of Coffee *Other offers, pls. specify __________________</t>
  </si>
  <si>
    <t xml:space="preserve"> Invitation to Bid The LGU Alangalang, through its Bids and Awards Committee (BAC), invites prospective bidders to apply for eligibility and to bid for the hereunder project: Name of Project   	: COMPLETION OF CIVIC CETER    Location                 	:  LG</t>
  </si>
  <si>
    <t xml:space="preserve"> Flood Control</t>
  </si>
  <si>
    <t xml:space="preserve"> INVITATION TO BID PURCHASE OF HEAVY DUTY PAYLOADER EQUIPMENT TO BE USED DURING RESPONSE, CLEARING &amp; DISASTER OPERATIONS OF CDRRMO The City Government of San Jose del Monte, Bulacan, thru its Bids and Awards Committee (BAC), through the Sangguniang Panlung</t>
  </si>
  <si>
    <t xml:space="preserve"> We are in need of the following materials: Faceshield - 350 Facemask (washable) - 400 Alcohol Sprayer Bottle - 12 Insecticide - 20 Germicidal Soap - 30 Multipurpose Sprayer - 1 Disinfecting Mat - 25 Plastic Cover - 1 roll Isoprophyl Alcohol - 5 gal Calciu</t>
  </si>
  <si>
    <t xml:space="preserve"> Brief Description: Site Development which involves project billboard/signage, temporary facility, safety &amp; health, mobilization and demobilization, barricades, subgrade preparation, aggregate subbase course (compacted volume), portland cement  concrete pa</t>
  </si>
  <si>
    <t xml:space="preserve"> Furnishing &amp; delivery of construction materials , labor, tools and equipment and other incidentals only. Schedule of Activities: Issuance of Bid Documents - July 1-22, 2020 Submission of Bids - on or before July 22, 2020; 1:00 p.m. Bid Opening - July 22, </t>
  </si>
  <si>
    <t xml:space="preserve"> Supply of Labor and Materials for the installation of CCTV Camera at Pag-IBIG Fund JR Borja St Cagayan de Oro City</t>
  </si>
  <si>
    <t xml:space="preserve"> (PLEASE SEE ATTACHED ASSOCIATED COMPONENT) please send Request for Quotation  - msbslh14@gmail.com Contact Person:	MHELET BEÑALES (711-69-73) 200	bots	Ink for Epson T6641 black	 100	bots	Ink for Epson T6642 Cyan	 100	bots	Ink for Epson T6643 Magenta	 100	</t>
  </si>
  <si>
    <t xml:space="preserve"> REQUEST FOR QUOTATION										 VAN RENTAL 										 SMALL VALUE 										 										 INSTRUCTION:									              	 1.	Supplies are required to read the instructions and fill all the blanks properly.								 2.	The supplier may submit their propo</t>
  </si>
  <si>
    <t xml:space="preserve"> Specifications: White, unisex V-neck t-shirt, varied sizes XS-50 pcs S-200 pcs M-300 pcs L-340 pcs XL-150 pcs 2XL-75 pcs 3XL-40 pcs 4XL-45 pcs Others: Colored print front and back, Silkscreen print; layout provided Terms and condition: 1. Provide sample w</t>
  </si>
  <si>
    <t xml:space="preserve"> CONSTRUCTION OF GATE</t>
  </si>
  <si>
    <t xml:space="preserve"> Republic of the Philippines Bangsamoro Autonomous Region in Muslim Mindanao Provincial Government of Maguindanao BIDS AND AWARDS COMMITTEE Buluan, Maguindanao SUPPLY AND DELIVERY OF PROTECTIVE EQUIPMENT (PPE’S), HYGIENE KIT AND VITAMINS (SUPPORT OF AFP) 1</t>
  </si>
  <si>
    <t xml:space="preserve"> 1 	 2 	 units 	 Purchase of 2 units Fabricated Counter-top rack w/ 10 units of chairs (hardwood) 	 			 ****Closed Nothing Follows****</t>
  </si>
  <si>
    <t xml:space="preserve"> REQUEST FOR QUOTATION							 							 PR No.:	EQ-2020-04-34		RFQ No.:		NIAREG9-06-2020-COB-080 (SH)		 PR. Date:	June 30, 2020		RFQ Date:		June 30, 2020		 End-User:	NIA-REGIONAL OFFICE		PhilGEPS Reference No.:				 ABC:	81,000.00		PhilGEPS Closing Date:		Jul</t>
  </si>
  <si>
    <t xml:space="preserve"> 1 Unit hand tractor with trailer and complete accessories 2 Uints Brush Cutter</t>
  </si>
  <si>
    <t xml:space="preserve"> Brief Description: Construction of Day Care Center which involves hauling of materials, layout and excavation, embankment, soil poisoning and termite control, reinforcing steel bars, structural concrete, carpentry works, masonry works, doors &amp; windows, wi</t>
  </si>
  <si>
    <t xml:space="preserve"> Republic of the Philippines Province of Leyte Municipality of Hilongos INVITATION TO BID FOR THE PURCHASE OF 15 TELEVISION SETS AS PART OF THE E-LEARNING PROGRAM OF THE DISTRICT FOR THE 15 GRADE 1 CLASSES 1.  The Local Government Unit of Hilongos, through</t>
  </si>
  <si>
    <t xml:space="preserve"> Republic of the Philippines Dagupan City BIDS AND AWARDS COMMITTEE INVITATION TO BID For the Procurement of Ten (10) units mobile phones for office use (PR no.: 2020-00760-035) 1.	The City Government of Dagupan, through the 2020 Approved ANNUAL BUDGET int</t>
  </si>
  <si>
    <t xml:space="preserve"> Republic of the Philippines Province of Iloilo Municipality of Ajuy Barangay of Progreso BIDS AND AWARD COMMITTEE INVITATION TO BID 	The Barangay of Progreso, Ajuy, Iloilo invites Accredited Supplier to apply for eligibility and to bid for the Covering of</t>
  </si>
  <si>
    <t xml:space="preserve"> 5 units Handheld Radio</t>
  </si>
  <si>
    <t xml:space="preserve"> Republic of the Philippines														 PROVINCE OF ZAMBOANGA SIBUGAY														 Municipality of Payao														 														 INVITATION TO BID														 										PR2020-06-29-082				 The Local Government Unit of Payao, Zamboanga Sibugay, </t>
  </si>
  <si>
    <t xml:space="preserve"> SEE ATTACHED RFQ</t>
  </si>
  <si>
    <t xml:space="preserve"> DESCRIPTION ----------------------------------------------------------- QTY - UNIT MULTI LANGUAGE OFFICE TIME AND  ATTENDANCE ACCESS SUPPORT RS485 TCP IP  USB SWIPE CARD NETWORK ACCESS READER  WITH 2.4INCH SCREEN WITH CSC DTR FORM  NO. 48 OUTPUT  --------</t>
  </si>
  <si>
    <t xml:space="preserve"> 2,325.58 liters - Diesel 520.83  liters   - Gasoline</t>
  </si>
  <si>
    <t xml:space="preserve"> Republic of the Philippines DEPARTMENT OF PUBLIC WORKS AND HIGHWAYS CAMARINES SUR 5TH   DISTRICT ENGINEERING OFFICE REGIONAL OFFICE V Sta. Teresita, Baao, Camarines Sur Request for Expression of Interest (REOI) Contract ID No.	20CSFN0001 Contract Name	Con</t>
  </si>
  <si>
    <t xml:space="preserve"> 2 pcs. Radio Transceiver Unit 2 pcs. 4-Elements Inverted J 1 set Repeater Set COR w/ Negative Feedback Unit  1 unit COR Regulated Power Supply 1 unit Power Supply 30amp.  1 unit Band Pass Cavity Filter  60 meters RG8/U 50 oms. 30 meters RG58/U 50 oms. 5 p</t>
  </si>
  <si>
    <t xml:space="preserve"> The PHILIPPINE SCIENCE HIGH SCHOOL - MIMAROPA REGION CAMPUS (PSHS-MRC) intends to apply the sum of ONE HUNDRED FORTY-SIX THOUSAND NINE HUNDRED NINETY SEVEN PESOS (Php146,997.00) being the Approved Budget for the Contract (ABC) to pay for the contract for </t>
  </si>
  <si>
    <t xml:space="preserve"> 1 	 1 	 PC 	 Camera Lens 	 			 Model # KEF134L03E 3.6mm 	 			 Fixed Lens 1280 x 960, Comp H. 264 	 			 Water Proof 	  2 	 1 	 PC 	 Video Recorders 	 			 IP-Type Network Video Recorder 	 			 Without Internal HDD,  	 			 We Suggest Western Digital 	 			 8ca</t>
  </si>
  <si>
    <t xml:space="preserve"> Republic of the Philippines					 PROVINCE OF SIQUIJOR					 BIDS &amp; AWARDS COMMITTEE					 Capitol Building, Siquijor, Siquijor					 					 Business Name:_____________________________				AD. No.: 471-06-2020	 Address:___________________________________				DAT</t>
  </si>
  <si>
    <t xml:space="preserve"> 1.Meals and AM &amp; PM Snacks on  August  24 - 28, 2020  (5 Days)  for 315 poax 2. Meals and AM &amp; PM Snacks on August 29, 2020  (1 Day) for 54 pax *Free Flowing of Coffee *Other offers, pls. specify __________________ __________________</t>
  </si>
  <si>
    <t xml:space="preserve"> 2 units MIST BLOWER MACHINE Specs:          Backpack MistBlower with 2-mix Engine          Weight(dry): 7.9kg          Max. air Flow rate:780 3/h          Air Flow rate with Nozzle: 580          Air Velocity: 81 m/s          Container Capacity: 10L       </t>
  </si>
  <si>
    <t xml:space="preserve"> Vehicle Parts</t>
  </si>
  <si>
    <t xml:space="preserve"> Republic of the Philippines					 PROVINCE OF SIQUIJOR					 BIDS &amp; AWARDS COMMITTEE					 Capitol Building, Siquijor, Siquijor					 					 Business Name:_____________________________				AD. No.: 469-06-2020	 Address:___________________________________				DAT</t>
  </si>
  <si>
    <t xml:space="preserve"> Construction of Open Concrete Drainage Canal Lining</t>
  </si>
  <si>
    <t xml:space="preserve"> Invitation to Bid for the Embankment in PCDP Compound The Department of Social Welfare and Development (DSWD) Field Office IX, through the 2020 General Appropriation Act intends to apply the sum of Six Hundred Sixteen Thousand Six Hundred Seventy-Four Pes</t>
  </si>
  <si>
    <t xml:space="preserve"> 1.Meals and AM &amp; PM Snacks on August 17 – 21, 2020 (5 Days) for 46 pax 2. Meals and AM &amp; PM Snacks on August 22, 2020  (1 Day) for 11 pax *Free Flowing of Coffee *Other offers, pls. specify __________________</t>
  </si>
  <si>
    <t xml:space="preserve"> 5 Unit Grass Cutter</t>
  </si>
  <si>
    <t xml:space="preserve"> Please quote your best offer/proposal for the items/ described below.  PRODUCTION AND DEVELOPMENT OF PSHC INTERACTIVE VIRTUAL TOUR Requirements: I. 360 Degree Photo-shoot Production  a. Photo-shoot Planning (360 Degrees Captures) b. On-Site Photo-shoot Se</t>
  </si>
  <si>
    <t xml:space="preserve"> INVITATION TO BID PURCHASE OF VARIOUS MEDICAL SUPPLIES AND MATERIALS TO BE USED DURING RESPONSE OPERATIONS OF CDRRMO The City Government of San Jose del Monte, Bulacan, thru its Bids and Awards Committee (BAC), through the Sangguniang Panlungsod (SP) Appr</t>
  </si>
  <si>
    <t xml:space="preserve"> 6pcs Tarpaulin, Printing of tarpaulin and fabrication of frame 4x8ft tarpaulin Blackout 3 inches fold edges, full color tunular frame and stand 10ft height in both sides including frame 39pcs Tarpaulin, Printing of tarpaulin and fabrication of frame 3x4ft</t>
  </si>
  <si>
    <t xml:space="preserve"> INVITATION TO BID PURCHASE OF VARIOUS EQUIPMENTS TO BE USED DURING RESPONSE OPERATIONS OF CDRRMO  The City Government of San Jose del Monte, Bulacan, thru its Bids and Awards Committee (BAC), through the Sangguniang Panlungsod (SP) Appropriation Ordinance</t>
  </si>
  <si>
    <t xml:space="preserve"> The PHILIPPINE SCIENCE HIGH SCHOOL SYSTEM - CALABARZON REGION CAMPUS (PSHS-CBZRC) intends to apply the sum of EIGHTY-NINE THOUSAND NINE HUNDRED SEVENTY PESOS (Php89,970.00) being the Approved Budget for the Contract (ABC) to pay for the contract for the P</t>
  </si>
  <si>
    <t xml:space="preserve"> 20-8768 240 pack Disposable Nurse Cap, 100's/pack</t>
  </si>
  <si>
    <t xml:space="preserve"> 250  pcs. of ampule  10 box of 100 Carbamazepine 5 box of 100 Chlorpromazine 200mg tablet 50 tube silver sulfadiazine tube 8 box 10s Diphenhydramine ampule</t>
  </si>
  <si>
    <t xml:space="preserve"> 1	8	UNITS	50 watts, Solar lamp with 2" dia. Lighting post	 			*****Closed Nothing Follows*****</t>
  </si>
  <si>
    <t xml:space="preserve"> Please download PDF @ associated components for more information * LOT BIDDING*</t>
  </si>
  <si>
    <t xml:space="preserve"> 1  unit  Air conditioner, Floor Standing Type, Inverter, 3 tonners            Free 10 ft. Copper Tube, including Installation 1  unit  Air conditioner, Split Type, Inverter, 2 HP            Free 10 ft. Copper Tube, including Installation 2  unit  Water Di</t>
  </si>
  <si>
    <t xml:space="preserve"> INVITATION TO BID COMPLETION OF MULAWIN HIGH SCHOOL BUILDING, (CONSTRUCTION OF COMFORT ROOM), BRGY. FRANCISCO HOMES- MULAWIN, CITY OF SAN JOSE DEL MONTE, BULACAN The City Government of San Jose del Monte, Bulacan, thru its Bids and Awards Committee (BAC),</t>
  </si>
  <si>
    <t xml:space="preserve"> PROCUREMENT OF SUPPLY AND INSTALLATION OF ONE YEAR ORACLE SUPPORT LICENSE TO EXISTING TREASURY MANAGEMENT SYSTEM FOR THE BUREAU OF THE TREASURY 1.	PROJECT TITLE Supply and Installation of One Year (1) support licenses to existing database management syste</t>
  </si>
  <si>
    <t xml:space="preserve"> 1.Meals and AM &amp; PM Snacks on   August 17 - 21, 2020 for 40 pax (5 Days) 2. Meals and AM &amp; PM Snacks  on  August 22, 2020  (1 Day) for 10 pax *Free Flowing of Coffee *Other offers, pls. specify</t>
  </si>
  <si>
    <t xml:space="preserve"> Republic of the Philippines Province of Southern Leyte MUNICIPALITY OF SAINT BERNARD BIDS AND AWARDS COMMITTEE INVITATION TO BID FOR CONSTRUCTION OF ESWM PROCESSING PLANT PHASE 2 BAC-SBSL-MEO-2020-13 1.	The Municipality of Saint Bernard, Southern Leyte, t</t>
  </si>
  <si>
    <t xml:space="preserve"> INVITATION TO BID COMPLETION OF SAN RAFAEL HIGH SCHOOL BUILDING (CONSTRUCTION OF COMFORT ROOM), BRGY. SAN RAFAEL III, CITY OF SAN JOSE DEL MONTE, BULACAN The City Government of San Jose del Monte, Bulacan, thru its Bids and Awards Committee (BAC), through</t>
  </si>
  <si>
    <t xml:space="preserve"> Republic of the Philippines Province of Iloilo Municipality of Ajuy Barangay of Agbobolo BIDS AND AWARD COMMITTEE INVITATION TO BID 	The Barangay of Agbobolo, Ajuy, Iloilo invites Accredited Supplier to apply for eligibility and to bid for the Constructio</t>
  </si>
  <si>
    <t xml:space="preserve"> Please download PDF @ associated components for  more information * LOT BIDDING*</t>
  </si>
  <si>
    <t xml:space="preserve"> ARTICLES 					      QTY	         UNIT 	 Computer Set  							1unit 	 Specs: 								 	 Intel Core i5 - 7500 3.40ghz 6m (Kaby Lake) 								 	 Mobo: h170 D3H LGA 1151 								 	 Memory: 8Gb DDR4 Hyer X 								 	 12Gb SSD 								 	 HDD WD Black 500Gb sat </t>
  </si>
  <si>
    <t xml:space="preserve"> MATERIALS AND EQUIPMENT FOR SCHOOL NETWORK MANAGEMENT</t>
  </si>
  <si>
    <t xml:space="preserve"> Invitation to Bid for Improvement of Health Center The Barangay Sta. Cruz, Diplahan, Zamboanga Sibugay, through the Barangay Funds intends to apply the sum of Two Hundred Thousand Pesos Only (Php. 200,000.00) being the Approved Budget for the Contract (AB</t>
  </si>
  <si>
    <t xml:space="preserve"> Spare parts</t>
  </si>
  <si>
    <t xml:space="preserve"> Republic of the Philippines					 PROVINCE OF SIQUIJOR					 BIDS &amp; AWARDS COMMITTEE					 Capitol Building, Siquijor, Siquijor					 					 Business Name:_____________________________				AD. No.: 464-06-2020	 Address:___________________________________				DAT</t>
  </si>
  <si>
    <t xml:space="preserve"> 1. Meals and AM &amp; PM Snacks on August 10-14, 2020 (5 Days) for 88 pax 2. Meals and AM &amp; PM Snacks on August 15, 2020 (1 Day) for 17 pax *Free Flowing of Coffee *Other offers, pls. specify __________________ __________________</t>
  </si>
  <si>
    <t xml:space="preserve"> 1	20	UNITS	50 watts, Solar lamp with 2" dia. Lighting post	 			*****Closed Nothing Follows*****</t>
  </si>
  <si>
    <t xml:space="preserve"> PROCUREMENT OF ONE (1) LOT OFFICE SUPPLIES 1.  Bond Paper, Legal Size, 81/2X13, subs. 20 - 500 REAMS 	 2.  Bond Paper, A4, subs. 20 - 300 REAMS ***nothing follows***		 Request for Quotation (RFQ) Terms, Conditions, Procedures  A.	SUBMISSION  1.	Submit sea</t>
  </si>
  <si>
    <t xml:space="preserve"> INVITATION TO BID The Municipal Government of Laoac, Pangasinan through its Bids and Awards Committee (BAC), invites suppliers/ manufacturers/distributors/contractors to bid for the hereunder contract/s: Name of Project	: INSTALLATION AND REHABILITATION O</t>
  </si>
  <si>
    <t xml:space="preserve"> Please see attached file for reference.</t>
  </si>
  <si>
    <t xml:space="preserve"> Supply of Labor and Materials for the Rehabilitation of Lateral Line 1 1/4" at San Benito-San Isidro, Goa, Camarines Sur.</t>
  </si>
  <si>
    <t xml:space="preserve"> Description   Republic of the Philippines Province of Negros Occidental MUNICIPALITY OF HINOBA-AN Bids and Awards Committee ooOoo REQUEST FOR QUOTATION Date : June 30, 2020 RFQ # : 926 Please quote your lowest price on the item (s) below, subject to the c</t>
  </si>
  <si>
    <t xml:space="preserve"> INVITATION TO BID PURCHASE OF HIV MOBILE CLINIC FOR THE USE OF HIV –AIDS PROGRAM OF CITY HEALTH OFFICE The City Government of San Jose del Monte, Bulacan, thru its Bids and Awards Committee (BAC), through the Sangguniang Panlungsod (SP) Appropriation Ordi</t>
  </si>
  <si>
    <t xml:space="preserve"> CONCRETING OF FMR SAN VICENTE - AN ANONAS ROAD, BRGY. SAN VICENTE, SAN MANUEL, PANGASINAN</t>
  </si>
  <si>
    <t xml:space="preserve"> Brief Description: Installation of Streetlights which involves project billboard/signage, safety &amp; health, temporary facility, A. Solar Foundation; layout and excavation, reinforcing steel bars, structural concreted, B. Solar Streetlight and Electrical Wo</t>
  </si>
  <si>
    <t xml:space="preserve"> Petroleum consumption</t>
  </si>
  <si>
    <t xml:space="preserve"> 272 cu.m. Filling Materials (item 200)</t>
  </si>
  <si>
    <t xml:space="preserve"> 1	1 copy	Sociology for Music Teachers: practical applications 2	1 copy	Rhythm to recovery: practical guide to using rhythmic music, voice and movement 3	1 copy	Dyslexia- friendly strategies for reading spelling and handwriting: a toolkit for teachers 4	1 </t>
  </si>
  <si>
    <t xml:space="preserve"> Republic of the Philippines Bangsamoro Autonomous Region in Muslim Mindanao Provincial Government of Maguindanao BIDS AND AWARDS COMMITTEE Buluan, Maguindanao SUPPLY AND DELIVERY OF PROTECTIVE EQUIPMENT (PPE’S), HYGIENE KIT AND VITAMINS FOR THE MUSLIM REL</t>
  </si>
  <si>
    <t xml:space="preserve"> 1.Meals and AM &amp; PM Snacks      on August 10 - 14, 2020   (5 Days) for 87 pax 2.Meals and AM &amp; PM Snacks      on August 15, 2020 (1 Day) for 17 pax *Free Flowing of Coffee *Other offers, pls. specify __________________ __________________</t>
  </si>
  <si>
    <t xml:space="preserve"> REQUEST FOR QUOTATION (RFQ)							 							 					June 30, 2020		 					R.I.S. No.: 20-82-027		 							 GENTLEMEN:			 Please submit  your  lowest price quotation (including taxes and government discounts) on charged account basis, on the following supplies/m</t>
  </si>
  <si>
    <t xml:space="preserve"> Laptop (Mid-Range)	2	units Processor: AMD Ryzen 5 3500U Memory: 8GB DDR4 Storage: 256 GB PCle SSD + 1 TB HDD OS: Windows 10 Pro 64 bit Display: 15.6 inches Weight: not heavier than 1.63 kg Connectivity: Wi-Fi: IEEE 802.11 a/b/g/n/ac, 2.4 GHz and 5 GHz, 2x</t>
  </si>
  <si>
    <t xml:space="preserve"> Project Description: Ink for Copier Machine BPS 150 Master Roll for BPS 150</t>
  </si>
  <si>
    <t xml:space="preserve"> INVITATION TO BID The Municipal Government of Laoac, Pangasinan through its Bids and Awards Committee (BAC), invites suppliers/ manufacturers/distributors/contractors to bid for the hereunder contract/s: Name of Project	: PROCUREMENT OF 2 SETS OF DESKTOP </t>
  </si>
  <si>
    <t xml:space="preserve"> The PHILIPPINE SCIENCE HIGH SCHOOL SYSTEM - CALABARZON REGION CAMPUS (PSHS-CBZRC) intends to apply the sum of NINETY THOUSAND SIX HUNDRED SEVENTY FIVE PESOS (Php90,675.00) being the Approved Budget for the Contract (ABC) to pay for the contract for the Pr</t>
  </si>
  <si>
    <t xml:space="preserve"> 666 pcs. MEALS AND SNACKS</t>
  </si>
  <si>
    <t xml:space="preserve"> 17 pcs Rechargeable Flashlights 1 roll Nylon Rope #24 1 set BP apparatus with stethoscope (heavy duty) 1 unit nebulizer 1 unit megaphone (rechargeable) 1 set First aid kit 3 gals Alcohol 70% with moisturizer 1 pc Tent Maruyama 20 x 30 1 unit Therml scanne</t>
  </si>
  <si>
    <t xml:space="preserve"> Construction of Basketball Court @ Zone A, Brgy. San Miguel, Tarlac City I. PROJECT BILLBOARD II. DEMOLITION III. CONCRETE WORKS IV. STEEL WORKS V. MISCELLANEOUS</t>
  </si>
  <si>
    <t xml:space="preserve"> Republic of the Philippines						SLAUGHTER		 		Government of Ormoc City						P.R. No.:  	201602	 		BIDS AND AWARDS COMMITTEE						Quotation No.: 	204459-6150	 		Ormoc City						PhilGEPs No.: 		 										 Standard Form Title:			REQUEST FOR QUOTATION						</t>
  </si>
  <si>
    <t xml:space="preserve"> 1	Ascorbic Acid (Vitamin C) 100 mg/5 mL, 60 mL Syrup (144 bottles/box) 2	Ascorbic Acid Tablet 500mg  (100 tab/box) 3	Atorvastatin 20mg tablet (100 tablet/box) 4	Cefalexin 125mg/5ml in 60ml bottle  (144 bottles/box) 5	Cefalexin 500mg capsule (100capsule/bo</t>
  </si>
  <si>
    <t xml:space="preserve"> INVITATION TO BID PURCHASE OF ANTIBACTERIAL DRUGS AND MEDICINES FOR THE USE OF OSPITAL NG LUNGSOD NG SAN JOSE DEL MONTE The City Government of San Jose del Monte, Bulacan, thru its Bids and Awards Committee (BAC), through the Sangguniang Panlungsod (SP) A</t>
  </si>
  <si>
    <t xml:space="preserve"> Brief Description: Construction/Rehabilitation/Improvement of Fence  which involves project billboard/signage, safety &amp; health, temporary facility, demolition works, A.Const. of Fence; layout and excavation, reinforcing steel bar, structural concrete,maso</t>
  </si>
  <si>
    <t xml:space="preserve"> Republic of the Philippines Bangsamoro Autonomous Region in Muslim Mindanao Provincial Government of Maguindanao BIDS AND AWARDS COMMITTEE Buluan, Maguindanao INVITATION TO BID FOR SUPPLY AND DELIVERY OF PROTECTIVE EQUIPMENT (PPE’S), HYGIENE KIT AND VITAM</t>
  </si>
  <si>
    <t xml:space="preserve"> QUANTITY-----UNIT-----ITEM 1---------------Ls--------Mobilization &amp; Demobilization  2,760----------sq.m.----Clearing &amp; Grubbing 800-----------cu.m------Aggregate Sub-base Coarse 3,250---------cu.m------Roadway Excavation  2,300---------cu.m------PCC pAVEM</t>
  </si>
  <si>
    <t xml:space="preserve"> INVITATION TO BID PURCHASE OF LABORATORY REAGENT FOR THE USE OF OSPITAL NG LUNGSOD NG SAN JOSE DEL MONTE The City Government of San Jose del Monte, Bulacan, thru its Bids and Awards Committee (BAC), through the Sangguniang Panlungsod (SP) Appropriation Or</t>
  </si>
  <si>
    <t xml:space="preserve"> Request for Quotation (RFQ) Request for Quotation No.: 2020-06-091-GS Date Published: June 30, 2020 Closing Date: July 8, 2020 at 10:00 AM, PST (refer to BAC Office Wall Clock) Opening of Quotation: July 8, 2020 at 10:30 AM, PST Title of the Projects: Pro</t>
  </si>
  <si>
    <t xml:space="preserve"> RAIN BOOTS &amp; RAINCOATS FOR BARANGAY TANODS</t>
  </si>
  <si>
    <t xml:space="preserve"> Republic of the Philippines						OSCA		 		Government of Ormoc City						P.R. No.:  	201603	 		BIDS AND AWARDS COMMITTEE						Quotation No.: 	204455-6148	 		Ormoc City						PhilGEPs No.: 		 										 Standard Form Title:			REQUEST FOR QUOTATION							 			</t>
  </si>
  <si>
    <t xml:space="preserve"> Project Description: Groundwood Mimeographing Paper, Short</t>
  </si>
  <si>
    <t xml:space="preserve"> Date: June 30, 2020  Quotation No.: 2020-052 REQUEST FOR QUOTATION The Municipal Government of Victoria, through the Bids and Awards Committee, will undertake Small Value Procurement for the “Procurement of insecticides (Aqua Resigen) for indoor residual </t>
  </si>
  <si>
    <t xml:space="preserve"> INVITATION TO BID PURCHASE OF I.V. FLUIDS FOR THE USE OF OSPITAL NG LUNGSOD NG SAN JOSE DEL MONTE The City Government of San Jose del Monte, Bulacan, thru its Bids and Awards Committee (BAC), through the Sangguniang Panlungsod (SP) Appropriation Ordinance</t>
  </si>
  <si>
    <t xml:space="preserve"> REHABILITATION OF STAGE AT SAN ROQUE ELEMENTARY SCHOOL BARANGAY SAN ROQUE</t>
  </si>
  <si>
    <t xml:space="preserve"> INVITATION TO BID SUPPLY AND DELIVERY OF FUEL (DIESEL AND GASOLINE) FOR PNP PATROL VEHICLES 1.	The Local Government Unit of Cabadbaran City through the PEACE &amp; ORDER FUND intends to apply the sum of THREE HUNDRED THIRTY-FIVE THOUSAND EIGHT HUNDRED PESOS O</t>
  </si>
  <si>
    <t xml:space="preserve"> The Municipal Government of Aloguinsan invites prospective bidders to bid for the project Supply and Delivery of Tires for LGU Vehicles . Source of Fund: General Fund FY 2020 ABC: Php 749,000.00 The complete schedule of activities will be as follows: 1. S</t>
  </si>
  <si>
    <t xml:space="preserve"> The PHILIPPINE SCIENCE HIGH SCHOOL SYSTEM - CALABARZON REGION CAMPUS (PSHS-CBZRC) intends to apply the sum of ONE HUNDRED FIFTEEN THOUSAND PESOS (Php115,000.00) being the Approved Budget for the Contract (ABC) to pay for the contract for the Project: SUPP</t>
  </si>
  <si>
    <t xml:space="preserve"> INVITATION TO BID PURCHASE OF VARIOUS MEDICINES FOR THE USE OF CITY HEALTH CENTERS The City Government of San Jose del Monte, Bulacan, thru its Bids and Awards Committee (BAC), through the Sangguniang Panlungsod (SP) Appropriation Ordinance of 2020, inten</t>
  </si>
  <si>
    <t xml:space="preserve"> 20-06-217 Procurement of Various Drugs and Medicines</t>
  </si>
  <si>
    <t xml:space="preserve"> For complete details please see attached file.</t>
  </si>
  <si>
    <t xml:space="preserve"> ARTICLE AND DESCRIPTION                  										 ITEM	QTY	UNIT						CEILING 		UNIT PRICE			TOTAL  								PRICE					 			Office:  City General Services Office					PR No. 848					 			Charge to: Information and Technology Equipment					OBR No. 100-2006-05</t>
  </si>
  <si>
    <t xml:space="preserve"> REQUEST FOR QUOTATION (RFQ)							 							 					June 30, 2020		 					R.I.S. No.: 20-83-111		 							 GENTLEMEN:			 Please submit  your  lowest price quotation (including taxes and government discounts) on charged account basis, on the following supplies/m</t>
  </si>
  <si>
    <t xml:space="preserve"> Supply of labor, chemicals, equipment including the technical supervision necessary for the disinfection  services of LLDA Green Building located at National Ecology Center, East Avenue, Diliman Quezon City which includes the following areas: Common Area,</t>
  </si>
  <si>
    <t xml:space="preserve"> PIPELINES 15 pcs 160MM UPVC PIPE S-10 W/ RR 8 pcs 6" Dia. G.I. PIPE STANDARD SCHEDULE 40 WITH COUPLINGS FITTINGS AND APPURTENANCES 8 pcs 150MM X 45 DEG. C.I. BEND M/M W/ BNG FOR G.I. 1 pc   150MM GATE VALVE F/F w/ BNG 2 pcs 150MM FLANGE ADAPTOR F/M W/ BNG</t>
  </si>
  <si>
    <t xml:space="preserve"> QTY	UNIT	ITEM DESCRIPTION					 30	pcs	TONER CARTRIDGE for HP laserjet M604, CF281A Black					 55	pcs	TONER CARTRIDGE for HP M607(37A)					 		*AUTHENTIC / ORIGINAL*</t>
  </si>
  <si>
    <t xml:space="preserve"> INVITATION TO BID NO. GOODS-030-2020 The Provincial Government of Bataan, through the General Fund030 intends to apply the below listed procurement w/ corresponding Approved Budget of the Contract (ABC). Bids received in excess of the ABC shall be automat</t>
  </si>
  <si>
    <t xml:space="preserve"> Please download PDF @associated for more information * LOT BIDDING*</t>
  </si>
  <si>
    <t xml:space="preserve"> Supply and Delivery of CM for the improvement of Pangawan-Balangabang and Tidang Village-Amelong Road, Kayapa NV</t>
  </si>
  <si>
    <t xml:space="preserve"> INVITATION TO BID SUPPLY AND DELIVERY OF CORN SEEDS (HYBRID) FOR CORN PRODUCTION PROGRAM 1.	The Local Government Unit of Cabadbaran City through the GENERAL FUND intends to apply the sum of THREE HUNDRED THIRTEEN THOUSAND FIVE HUNDRED PESOS ONLY (P 313,50</t>
  </si>
  <si>
    <t xml:space="preserve"> 330-pax-Lunch and snacks</t>
  </si>
  <si>
    <t xml:space="preserve"> 1 package DJI Mavic 2 Enterprise Dual Camera Key Specs: Sensor: Uncooled Vox Microbolometer Lens: HFOV:57 degrees Aperture: f/1.1. Resolution: 160x120 Pixel Pitch: 12micrometer Spectral band: 8-14 mincrometer Image Size: 640x480 (4:3); 640x360 (16:9) Stil</t>
  </si>
  <si>
    <t xml:space="preserve"> 1.Meals and AM &amp; PM Snacks on    August  10 - 14, 2020  (5 Days) for 41 pax 2. Meals and AM &amp; PM Snacks on August 15, 2020  (1 Day) for 10 pax *Free Flowing of Coffee *Other offers, pls. specify __________________ __________________</t>
  </si>
  <si>
    <t xml:space="preserve"> Medical Supplies</t>
  </si>
  <si>
    <t xml:space="preserve"> Road Concreting  - 4m x 0.20m x 22</t>
  </si>
  <si>
    <t xml:space="preserve"> Republic of the Philippines GENERAL SANTOS CITY WATER DISTRICT                       E. Fernandez Street, Barangay Lagao General Santos Telephone No.: 552-3824; Telefax No.: 553-4960 Email Address:  gscwdprocurement@yahoo.com REQUEST FOR QUOTATION RFQ #: </t>
  </si>
  <si>
    <t xml:space="preserve"> REQUEST FOR QUOTATION	 RFQ No. 2020-0273 The CITY GOVERNMENT OF CABANATUAN through its Bid and Awards Committee (BAC) will undertake Small Value Procurement for SUPPLY AND DELIVERY OF I.T. EQUIPMENT (HRMO) in accordance with Section 53.9 of the Revised Im</t>
  </si>
  <si>
    <t xml:space="preserve"> INVITATION TO BID SUPPLY AND DELIVERY OF THREE (3) UNITS SINGLE MOTORCYCLE W/ ACCESSORIES FOR VARIOUS OFFICES 1.	The Local Government Unit of Cabadbaran City through the GENERAL FUND intends to apply the sum of TWO HUNDRED SEVENTY THOUSAND PESOS ONLY (P 2</t>
  </si>
  <si>
    <t xml:space="preserve"> The Bureau of Customs (BOC) through the authorized appropriations under the CY 2020 General Appropriations Act intends to apply the sum of  Three Million Five Hundred Thousand Pesos (Php3,500,000.00) being the Approved Budget for the Contract (ABC) to pay</t>
  </si>
  <si>
    <t xml:space="preserve"> Republic of the Philippines Batangas City Invitation to Apply for Eligibility and to Bid The Barangay Government of Barangay San Miguel, Batangas City intends to apply the sum of One Hundred Two Thousand Pesos Only (Php 102,000.00) broken down as follow: </t>
  </si>
  <si>
    <t xml:space="preserve"> Including installation</t>
  </si>
  <si>
    <t xml:space="preserve"> 1.Meals and AM &amp; PM Snacks on April 20 – April 24, 2020 (5 Days) for 62 pax 2. Meals and AM &amp; PM Snacks on April 25, 2020 (1 Day) for 12 pax *Free Flowing of Coffee *Other offers, pls. specify __________________ __________________</t>
  </si>
  <si>
    <t xml:space="preserve"> Brief Description: Construction of Covered Walk which involves lay-out and excavation, reinforcing steel bars, structural concrete, steel works, roofing works, painting works, temporary facility, safety &amp; health and project billboard/signage. Amount of Bi</t>
  </si>
  <si>
    <t xml:space="preserve"> 100 pads, CTG Tracing Paper - 150mm x 90mm - compatible to Star5000D</t>
  </si>
  <si>
    <t xml:space="preserve"> Supply &amp; Delivery of Diesel &amp; Gasoline (see attached RFQ)</t>
  </si>
  <si>
    <t xml:space="preserve"> Social Amelioration Program Forms with barcode with control number front &amp; back printing 8 x 13"</t>
  </si>
  <si>
    <t xml:space="preserve"> 1 unit Computer Desk Top with PRINTER, Computer table and Chair Specification: Processor 9th Egn. CORE i3 Memory 8GB, DDR 4 Storage SSD 512GB LED Monitor 19 inches Printer 3 in 1 functionality 1 Unit LCD/DLP Multi-media Projector with Tripod, ceiling wall</t>
  </si>
  <si>
    <t xml:space="preserve"> INVITATION TO BID SUPPLY AND DELIVERY OF IT EQUIPMENTS (COMPUTER, LAPTOP, PRINTER) FOR VARIOUS OFFICES 1.	The Local Government Unit of Cabadbaran City through the GENERAL FUND intends to apply the sum of TWO HUNDRED SEVENTY-ONE THOUSAND PESOS ONLY (P 271,</t>
  </si>
  <si>
    <t xml:space="preserve"> 1	Improvised Oven	1	pc 	4/8 Planchas Capacity-Model: JO4P/8P, make: 2 Decks Baking Chamber with 4 or 8 Baking Pans (18"x13") capacity/Deck, Baking Chamber size: H-14" W-29 1/2" D-19, Ower All Dimension: H-57" W-43" D- 27"		 2	Free Standing Electric Mixer </t>
  </si>
  <si>
    <t xml:space="preserve"> Purchase of Office Supplies and Materials (Please see attached RFQs)</t>
  </si>
  <si>
    <t xml:space="preserve"> Construction Materials for July 2020 (sand, gravel, cement, CBH#4 and the like)</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</si>
  <si>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</si>
  <si>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1 LOT of: 1 Unit RJ10 (500-800watts) Portable Speaker w/ built-in wheels and extension Handlles  Battery Powered 								  2 Ways Speaker/100watts peak 								  3 channel mixer inegrated 								  Bluetooth Music Streaming  								  2 Band EQ + Reverb E</t>
  </si>
  <si>
    <t xml:space="preserve"> Procurement of Various Office Equipment</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</si>
  <si>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</si>
  <si>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1	24	UNITS	50 watts, Solar lamp with 2" dia. Lighting post	 			*****Closed Nothing Follows*****</t>
  </si>
  <si>
    <t xml:space="preserve"> One (1) Unit Printer w/ Scanner</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</si>
  <si>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</si>
  <si>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PURCHASE OF EMERGENCY VEHICLE TO BE USED DURING RESPONSE OPERATIONS OF CDRRMO The City Government of San Jose del Monte, Bulacan, thru its Bids and Awards Committee (BAC), through the Sangguniang Panlungsod (SP) Appropriation Ordinance o</t>
  </si>
  <si>
    <t xml:space="preserve"> MUNICIPAL GOVERNMENT OF LAZI						             	  Project Reference Number: _________________  	              	  Name of the Project: Construction of Guardhouse 		    		 in Simacolong Standard Form Number:  SF-GOOD-05					                                 </t>
  </si>
  <si>
    <t xml:space="preserve"> INVITATION TO BID PURCHASE OF VARIOUS NUTRI-MILK/ OATS PRODUCTS FOR THE FEEDING SUPPLEMENTATION PROGRAM OF THE CITY HEALTH OFFICE The City Government of San Jose del Monte, Bulacan, thru its Bids and Awards Committee (BAC), through the Sangguniang Panlung</t>
  </si>
  <si>
    <t xml:space="preserve"> 1.Meals and AM &amp; PM Snacks on April 20 – April 24, 2020 (5 Days) for 45 pax 2. Meals and AM &amp; PM Snacks on April 25, 2020 (1 Day) for 8 pax *Free Flowing of Coffee *Other offers, pls. specify __________________ __________________</t>
  </si>
  <si>
    <t xml:space="preserve"> Please download RFQ.</t>
  </si>
  <si>
    <t xml:space="preserve"> The PHILIPPINE SCIENCE HIGH SCHOOL SYSTEM - CALABARZON REGION CAMPUS (PSHS-CBZRC) intends to apply the sum of FIFTY THOUSAND PESOS (Php50,000.00) being the Approved Budget for the Contract (ABC) to pay for the contract for the Project: SUPPLY AND DELIVERY</t>
  </si>
  <si>
    <t xml:space="preserve"> Laboratory Supplies</t>
  </si>
  <si>
    <t xml:space="preserve"> 32"</t>
  </si>
  <si>
    <t xml:space="preserve"> 6	pc	TONER CART, HP CF283A (HP83A) LaserJet  Black  6	pc	Correction Tape (Mr. Wiper) 20	pc	Correction Tape (Mr. Wiper) Refill 2	pack	TOILET TISSUE PAPER 2-plys sheets, 150 pulls 8	pc	TAPE, TRANSPARENT, width: 48mm (±1mm) 1	pc	DUST PAN, non-rigid plastic, </t>
  </si>
  <si>
    <t xml:space="preserve"> HEALTH AND SAFETY MATERIALS AND EQUIPMENT</t>
  </si>
  <si>
    <t xml:space="preserve"> INVITATION TO BID SUPPLY AND DELIVERY OF AIR CONDITIONING UNITS (FLOOR MOUNTED AND WINDOW-TYPE) FOR VARIOUS OFFICES 1.	The Local Government Unit of Cabadbaran City through the GENERAL FUND intends to apply the sum of TWO HUNDRED THIRTY-SIX THOUSAND PESOS </t>
  </si>
  <si>
    <t xml:space="preserve"> Request for Quotation City Agriculture Office Repair &amp; Maintenance - Machinery &amp; Equipment (Agricultural &amp; Fishery) P 82,590.00</t>
  </si>
  <si>
    <t xml:space="preserve"> Brief Description: Concreting of Road which involves barricades, removal of existing concrete pavement, excavation, sub-grade preparation, aggregate sub base course (compacted volume), portland cement concrete pavement, road shouldering (loose volume), pr</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</si>
  <si>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</si>
  <si>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ROAD CONCRETING  - 4m x 0.20m x 22m</t>
  </si>
  <si>
    <t xml:space="preserve"> 1.Meals and AM &amp; PM Snacks on April 20 – April 24, 2020 (5 Days) for 45 pax 2. Meals and AM &amp; PM Snacks on April 25, 2020 (1 Day) for 15 pax *Free Flowing of Coffee *Other offers, pls. specify __________________ __________________</t>
  </si>
  <si>
    <t xml:space="preserve"> By Contact.</t>
  </si>
  <si>
    <t xml:space="preserve"> Ink for Epson L1455 60 cart Cyan 60 cart Magenta 60 cart Yellow 60 cart Black Term and conditions: with free use of printer</t>
  </si>
  <si>
    <t xml:space="preserve"> REQUEST FOR QUOTATION Date:					June 30, 2020 Request of Quotation No.: 		RFQ-2020-06-0009 Purchase Request No.: 		COV-Q-0007, COV-Q-0010, COV-Q-0011, COV-Q-0012, COV-Q-    0015 The DOH-Treatment and Rehabilitation Center- Bataan, will undertake Negotiate</t>
  </si>
  <si>
    <t xml:space="preserve"> 10 Black Cylinder Trash Bin</t>
  </si>
  <si>
    <t xml:space="preserve"> Please quote your lowest price on the SUPPLY AND DELIVERY OF MATERIALS FOR THE CONSTRUCTION OF COAST GUARD AUXILIARY OFFICE AT GREEN ISLAND as specified below and submit your quotation duly signed by your representative not later than 2pm of  JULY 8, 2020</t>
  </si>
  <si>
    <t xml:space="preserve"> ROAD CONCRETING  - 4m x 0.15m x 30m</t>
  </si>
  <si>
    <t xml:space="preserve"> 5 Units	Desktop	 	Intel Core i7 D496      -	D498-16 G.B RAM      -	240G SSD, DDR4      -	1920 x 1080 HD Graphics      -	Window 10 monitor : 23.8 inches     -	Includes monitor, USB mouse  USB keyboard and AVR		 1 Unit Printer 	 	Single function colored pri</t>
  </si>
  <si>
    <t xml:space="preserve"> Republic of the Philippines						CASO		 		Government of Ormoc City						P.R. No.:  	201743	 		BIDS AND AWARDS COMMITTEE						Quotation No.: 	204461-6151	 		Ormoc City						PhilGEPs No.: 		 										 Standard Form Title:			REQUEST FOR QUOTATION							 			</t>
  </si>
  <si>
    <t xml:space="preserve"> Republic of the Philippines						GSD		 		Government of Ormoc City						P.R. No.:  	201757	 		BIDS AND AWARDS COMMITTEE						Quotation No.: 	204457-6149	 		Ormoc City						PhilGEPs No.: 		 										 Standard Form Title:			REQUEST FOR QUOTATION							 				</t>
  </si>
  <si>
    <t xml:space="preserve"> June 30, 2020 	 INVITATION TO BID Reference No. 7077407 / Solicitation No. 2020/06/065 	The City Government of Tagum invites interested Bidders/Suppliers to submit for eligibility and to bid for the following: MATERIALS FOR CONSTRUCTION OF MULTI-PURPOSE C</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</si>
  <si>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</si>
  <si>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Disinfection Sprayer- 65 units Description :   -  16L Battery/Manual (2in1) Knapsack Sprayer</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</si>
  <si>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</si>
  <si>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1.Meals and AM &amp; PM Snacks on August 10 - 14, 2020 (5 Days) for 137 pax 2. Meals and AM &amp; PM Snacks on August 15, 2020 (1 Day) for 25 pax *Free Flowing of Coffee *Other offers, pls. specify __________________ ________________</t>
  </si>
  <si>
    <t xml:space="preserve"> usb flash drive 32 gb          Newsprint 60gsm , legal size          Correction Tape 5mm          Envelope, mailing,white, 80gsm (-5%)          Flag  (Philippine Flag)          Folder, tagboard, long          Paper multicopy, legal size, 70 gsm           </t>
  </si>
  <si>
    <t xml:space="preserve"> Republic of the Philippines Province of Leyte Municipality of Hilongos INVITATION TO BID FOR THE PURCHASE OF 3 IN 1 PRINTER FOR THE EBEIS ROOM OF CONCEPCION CENTRAL SCHOOL 1.  The Local Government Unit of Hilongos, through SEF-CURRENT APPROPRIATION intend</t>
  </si>
  <si>
    <t xml:space="preserve"> Request for Quotation (RFQ) Request for Quotation No.: 2020-06-092-GS Date Published: June 30, 2020 Closing Date: July 8, 2020 at 10:00 AM, PST (refer to BAC Office Wall Clock) Opening of Quotation: July 8, 2020 at 10:30 AM, PST Title of the Projects: Pro</t>
  </si>
  <si>
    <t xml:space="preserve"> INVITATION TO BID PURCHASE OF ANTI-RABIES VACCINE FOR THE USE OF OSPITAL NG LUNGSOD NG SAN JOSE DEL MONTE The City Government of San Jose del Monte, Bulacan, thru its Bids and Awards Committee (BAC), through the Sangguniang Panlungsod (SP) Appropriation O</t>
  </si>
  <si>
    <t xml:space="preserve"> Construction of school building</t>
  </si>
  <si>
    <t xml:space="preserve"> Photocopying Machine</t>
  </si>
  <si>
    <t xml:space="preserve"> Polo shirts T-Shirts</t>
  </si>
  <si>
    <t xml:space="preserve"> Brief Description: Construction of Open Stage and Comfort Room hauling of materials, layout and excavation, embankment, soil poisoning and termite control, reinforcing steel bars, structural concrete, carpentry works, masonry works, doors and windows,  pl</t>
  </si>
  <si>
    <t xml:space="preserve"> Republic of the Philippines Province of Palawan Municipality of Dumaran BIDS AND AWARDS COMMITTEE dum_bacsecretariat@yahoo.com REQUEST FOR QUOTATION (SUPPLY AND DELIVERY OF 4 UNITS LAPTOP FOR ALS DUMARAN IMPLEMENTERS USE) _______________________ _________</t>
  </si>
  <si>
    <t xml:space="preserve"> X-RAY MACHINE (QUANTUM BRAND FROM USA) SCOPE  PREVENTIVE MAINTENANCE SERVICE: -ADJUSTMENT ABD KUBRICATION OF MECHANICAL PARTS ON THE X-RAY SYSTEM MECHANISM -CHECK –UP OF HIGH VOLTAGE GENERATOR HIGH TENSION CABLES,X-RAY TUBE AND REPLACEMENT OF HIGH VOLTAGE</t>
  </si>
  <si>
    <t xml:space="preserve"> 20-10225 60000 pcs Paper Soup Bowl with Flat Lid, Plain 320cc</t>
  </si>
  <si>
    <t xml:space="preserve"> Brief Description: Construction of Fence which involves project billboatd/signage, safety &amp; health, temporary facility, A. Const. of Fence; layout &amp; excavation, reinforcing steel bars, structural concrete, masonry works, painting works , B. Const. of Main</t>
  </si>
  <si>
    <t xml:space="preserve"> The PHILIPPINE SCIENCE HIGH SCHOOL SYSTEM - CALABARZON REGION CAMPUS (PSHS-CBZRC) intends to apply the sum of TWO HUNDRED NINETY-FOUR THOUSAND PESOS (Php294,000.00) being the Approved Budget for the Contract (ABC) to pay for the contract for the Project: </t>
  </si>
  <si>
    <t xml:space="preserve"> REQUEST TO SUBMIT PROPOSAL FOR SUPPLY, DELIVERY AND INSTALLATION OF      2 UNITS SPLIT TYPE AIRCON FOR THE USE IN THE OFFICE OF RTD FOR OPERATIONS AND OFFICE OF RICE AND CORN PROGRAM FOCAL PERSON UNDER RICE PROGRAM 2020 AT APPROVED BUDGET FOR THE CONTRACT</t>
  </si>
  <si>
    <t xml:space="preserve"> The AGRICULTURAL TRAINING INSTITUTE-REGIONAL TRAINING CENTER (ATI-RTC) X, through the 2020 General Appropriations Act intends to apply the sum of One Hundred Thirty Four Thousand Four Hundred Pesos (P 134,400.00) being the Approved Budget for the Contract</t>
  </si>
  <si>
    <t xml:space="preserve"> 66 bags Corn Seeds (20kgs/bag -OPV white certified seeds -NSIC registered -minimum yield of 5 tons per hectare -76% minimum shelling recovery -see attached RFQ Form for more details.</t>
  </si>
  <si>
    <t xml:space="preserve"> Republic of the Philippines DEPARTMENT OF PUBLIC WORKS AND HIGHWAYS SARANGANI 	DISTRICT ENGINEERING OFFICE	 REGIONAL OFFICE XII Alabel, Sarangani Province INVITATION TO BID FOR 1.	20GME0047 –	Lease of One (1) Unit Service Vehicle for Eleven (11)  days for</t>
  </si>
  <si>
    <t xml:space="preserve"> See attached document, print Bid Notice Abstract and download ITB No. GOODS-20-116.</t>
  </si>
  <si>
    <t xml:space="preserve"> Portland cement river sand gravel deformed bars concrete nails marine plywood form lumber form lumber cw nails tie wire</t>
  </si>
  <si>
    <t xml:space="preserve"> Please see "associated component" for the specifications Laptop Computer - 2 units</t>
  </si>
  <si>
    <t xml:space="preserve"> Republic of the Philippines National Kidney and Transplant Institute Bids and Awards Committee East Avenue, Quezon City 1100 981-0300 / 981-0400 local 1157 http://www.nkti.gov.ph/	 INVITATION TO BID for the ITB No. 20-057 ONE (1) LOT SUPPLY AND DELIVERY O</t>
  </si>
  <si>
    <t xml:space="preserve"> Brief Description: Construction of Slope Protection which involves excavation, reinforcing steel bar, structural concrete, rubble concrete, concrete piles (Cast-In-Place), project billboard/signage, safety &amp; health and temporary facility. A.	Equipment to </t>
  </si>
  <si>
    <t xml:space="preserve"> Section I. Invitation to Bid Republic of the Philippines Province of Benguet MUNICIPALITY OF BOKOD INVITATION TO BID FOR DILP PROJECT PRODUCTION OF MEAT &amp; EGGS OF NATIVE CHICKEN AND DUCK (LIVELIHOOD ENHANCEMENT FOR BARANGAY BOBOK-BISAL) 1.	The MUNICIPALIT</t>
  </si>
  <si>
    <t xml:space="preserve"> INVITATION TO BID IB NO. GS-2020-03 Office Supplies and Consumables 1.	The Municipality of Baco  through Office Supplies from various office  intends  to  apply the sum of  the  Goods  for  Php 312,984.00 being the Approved Budget for the Contract (ABC) t</t>
  </si>
  <si>
    <t xml:space="preserve"> 1.  1 set Computer Set      Intel Core i5      Processor      8GB Memory      1TB HDD      2GB DDR3 NVIDIA GT 710      DVDRW with Monitor 23" 2.  1 unit Computer Table &amp; Chair 3.  1 unit Printer 3 in 1      Wifi ready    ---------------Nothing Follows----</t>
  </si>
  <si>
    <t xml:space="preserve"> Waterworks Materials for the construction of Shallow Well Pump</t>
  </si>
  <si>
    <t xml:space="preserve"> Item Description        Quantity     Unit Portland Cement      5     bags Washed Sand       1 cum Mix Gravel 3/4"-1 size     1      cum Deformed Steel Bar 10mm   14 pcs GI Wire No. 16 4 kgs Marine Plywood 1/2 Thick Good lumber  2 bundles CW nail #1 1/2   </t>
  </si>
  <si>
    <t xml:space="preserve"> Name of the Procuring Entity:					Project Reference Number: PR # 200-2020-06-11 Municipality of Lantapan					Name of the Project:  Standard Form Number: SF-GOOD-60					Supply &amp; Delivery of Materials for the Repair of Classroom  					at Bugcaon Elem School</t>
  </si>
  <si>
    <t xml:space="preserve"> CATERING SERVICES</t>
  </si>
  <si>
    <t xml:space="preserve"> CSC-CO  BIDS AND AWARDS COMMITTEE                                          CSC-ITB No.  2020-_08_               (Proc. of Laptops &amp; Printers)                                                                  June 29, 2020    INVITATION TO BID  (Mode of Pro</t>
  </si>
  <si>
    <t xml:space="preserve"> Republic of the Philippines Province of Guimaras OFFICE OF THE BIDS AND AWARDS COMMITTEE INVITATION TO BID FOR    SUPPLY AND DELIVERY OF JANITORIAL SUPPLIES  Bid Ref. No. 2020-06-331 1.	The Province of Guimaras , through the Other Supplies and Materials E</t>
  </si>
  <si>
    <t xml:space="preserve"> 2 units Desktop Computer Specs: Intel Core i3-8100 3.6 ghz Motherboard w/ built in audio, video, Lan 4GB DDR4 Memory  500 GB Hard Drive DVD Writer ATX Casing w/ power Supply 19" LED Monitor A4tech Keyboard &amp; Optical Mouse AVR 500 watts &amp; Mouse Pad UPS 720</t>
  </si>
  <si>
    <t xml:space="preserve"> The Bureau of Customs (BOC), through its Port of Zamboanga, will undertake Procurement thru Shopping for the Supply and Delivery of Various Office Supplies, in accordance with the Revised Implementing Rules and Regulations of Republic Act No. 9184. The de</t>
  </si>
  <si>
    <t xml:space="preserve"> REQUEST TO SUBMIT PROPOSAL FOR THE PRINTING OF DA RFU-5 ANNUAL REPORT 2019 FOR DISTRIBUTION TO TARGET CLIENT AT APPROVED BUDGET FOR THE CONTRACT AMOUNTING TO ONE HUNDRED SEVENTY-FIVE THOUSAND PESOS (PHP175,000.00) PURSUANT TO ALTERNATIVE METHOD OF PROCURE</t>
  </si>
  <si>
    <t xml:space="preserve"> Bond Paper A4 - 75 Reams Bond Paper Legal - 75 Reams Sign Pen Black 320 Pcs Sing Pen Red - 155 Pcs</t>
  </si>
  <si>
    <t xml:space="preserve"> Leather Seat Cover Tail Light Cover Head Light Cover Door Handle Cover Bed Liner Deck Cover Lift Window Sun Visor Rubber Floor Mats Fender Flare Slim Steering Wheel Cover Bumper Cover (front) Dash Cam x-x-x-x-x-x-x-x-x-x-x-x-x-x-x-</t>
  </si>
  <si>
    <t xml:space="preserve"> - The Municipality of Baliguian, request for quotation for the Procurement of office supplies and consumables. - The Estimated Budget Cost is Seven Hundred Seventeen Thousand Eighty Four Pesos and Fifty Centavos (Php717,084.50). - Interested suppliers/bid</t>
  </si>
  <si>
    <t xml:space="preserve"> CONSTRUCTION OF 2-STOREY SCHOOL BUILDING GENERAL LUNA CENTRAL ELEM. SCHOOL, MUN. OF GENERAL LUNA, SURIGAO DEL NORTE Brief Description:	The project will involve the Construction of 2-Storey School Building with the following scope of works: Facilities for </t>
  </si>
  <si>
    <t xml:space="preserve"> Repainting of Bantay bayan HQ</t>
  </si>
  <si>
    <t xml:space="preserve"> Item	ITEMS &amp; DESCRIPTION				QTY	UNIT No.						 1	Alcohol, rubbing 70% Isopropyl, 500 mL				59	bt 2	Automatic Voltage Regulator (AVR)				10	pc 3	Bond paper short s-20				33	rm 4	Calculator 16 digits				2	pc 5	Calculator(Scientific) compact electronic 12 di</t>
  </si>
  <si>
    <t xml:space="preserve"> Republic of the Philippines     Province of Oriental Mindoro Gloria, Oriental Mindoro BARANGAY PAPANDUNGIN INVITATION TO BID ITB No. 2020-001  SUPPLY AND DELIVERY OF HARDWARE MATERIALS FOR THE CONSTRUCTION OF BRGY. HEALTH STATION BUILDING 1. The Barangay </t>
  </si>
  <si>
    <t xml:space="preserve"> 132 bags Hybrid Corn Seeds -conventional hybrid, white -NSIC registered varieties -packed at 18kg/bag -early maturing, maximum of 100 days -see attached RFQ Form for more details</t>
  </si>
  <si>
    <t xml:space="preserve"> Pls. see the attached file</t>
  </si>
  <si>
    <t xml:space="preserve"> Brief Description: Construction of Fence which involves project billboard/signage, safety &amp; health, temporary facility, A. Const. of Fence A; layout and excavation, reinforcing steel bar, structural concrete, masonry works, grille works, painting works, B</t>
  </si>
  <si>
    <t xml:space="preserve"> Republic of the Philippines Province of Cagayan Municipality of Baggao INVITATION TO BID FOR THE PROCUREMENT OF GOODS The LOCAL GOVERNMENT UNIT OF BAGGAO, CAGAYAN, through the 01-001-5-02-03-090 intends to apply the sum of One Million Seven Hundred Ninety</t>
  </si>
  <si>
    <t xml:space="preserve"> Procurement of Anti-Covid-19 Janitorial Supplies  30 pcs   MANUAL CHEMICAL SPRAYER</t>
  </si>
  <si>
    <t xml:space="preserve"> By Contract.</t>
  </si>
  <si>
    <t xml:space="preserve"> Standard Form No. 60						 Revised on May 24, 2004						 REQUEST FOR QUOTATION						 Provincial Government of Romblon						 						 				Date:        July 01, 2020		 				Quotation No.:    81-S		 						 To Our Valued Suppliers:						 						 	Please quote you</t>
  </si>
  <si>
    <t xml:space="preserve"> Republic of the Philippines PROVINCE OF NUEVA VIZCAYA Municipality of Alfonso Castañeda  BIDS &amp; AWARDS COMMITTEE FOR GOODS &amp; SERVICES REQUEST FOR QUOTATION RFQ Number: 2020-07-01 The Local Government of Alfonso Castañeda through its Bids and Awards Comm</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</si>
  <si>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</si>
  <si>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(PLEASE SEE ATTACHED ASSOCIATED COMPONENT) please send Request for Quotation  -  mbslh14@gmail.com Contact Person:	MHELET BEÑALES (711-69-73) 1	lot	Provision and Installation of Double - Leaf Metal Flush Door with Viewing Glass	 1	lot	Provision and Instal</t>
  </si>
  <si>
    <t xml:space="preserve"> The Philippine Crop Insurance Corporation (PCIC) invites interested suppliers to send quotation for the Supply and Delivery of Air Purifier with the following minimum specifications: ITEM A Humidifying System			: Natural Vaporization Humidifying Tank Capa</t>
  </si>
  <si>
    <t xml:space="preserve"> To be delivered at: PhilHealth Regional Office IX BGIDC Corporate Center Governor Lim Avenue Zamboanga City Please use the attached RFQ when submitting your quotation</t>
  </si>
  <si>
    <t xml:space="preserve"> See Philippine Bidding Documents, Bill of Quantities and Checklist hereto attached.</t>
  </si>
  <si>
    <t xml:space="preserve"> Waterworks Materials for the Improvement of Water System (14 Barangays)</t>
  </si>
  <si>
    <t xml:space="preserve"> Please see attached PR.</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</si>
  <si>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</si>
  <si>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Republic of the Philippines BATANGAS STATE UNIVERSITY Batangas City REQUEST FOR QUOTATION "Procurement of Furniture for Various Offices" 1. The Batangas State University (BatState U) through the Bids and Awards Committee invites interested firms/supplier </t>
  </si>
  <si>
    <t xml:space="preserve"> SEE ATTACHED...</t>
  </si>
  <si>
    <t xml:space="preserve"> 10 pcs Folder Long, Merit 10 pcs Folder Short, Merit 10 Pc Brown Envelope Long 10 ream Bondpaper premium Long 10 ream Bondpaper premium grade A4 10 pc Sign Pen Blue 10 pc Sign Pen Black 4 pc Correction Tape 3 btl Computer Ink-EPSON 664 (Magenta) 3 btl Com</t>
  </si>
  <si>
    <t xml:space="preserve"> 2	pcs	Memento of Awards (Miniature 20” x 24” narra wood frame w/ glass)  2	pcs	Command Plaque  (glass box) 2	pcs	Plaque of Honorable Service                 ( fiber glass in 7in x 10 in) 2	sets	Philippine Flag (Flag Size 3ft x 5ft)                 Encase </t>
  </si>
  <si>
    <t xml:space="preserve"> *PAINT - Latex, White, 1 gal (76 gallons) *PORTLAND CEMENT - ASTM C-150,C-595 type I, 40 kgs, Plastic Bag (38 bags) *BOARD - Plyboard 4` x 8` x ¾" thk, Ordinary (12 sheets) *ROOFING - G.I. Corrugated Sheet 3' x 10', Ga. 24 (0.30mm thk) (29 sheets) *PAPER </t>
  </si>
  <si>
    <t xml:space="preserve"> SIGNAGE DISCHARGE PIPELINES AND APPURTENANCES REHABILITATION OF WATER DISTRIBUTION PIPELINES SYSTEM INCLUDING FLUSHING &amp; DISINFECTION</t>
  </si>
  <si>
    <t xml:space="preserve"> Standard Form No. 60						 Revised on May 24, 2004						 REQUEST FOR QUOTATION						 Provincial Government of Romblon						 						 				Date:        July 01, 2020		 				Quotation No.:    202-S		 						 To Our Valued Suppliers:						 						 	Please quote yo</t>
  </si>
  <si>
    <t xml:space="preserve"> June 30, 2020 	 INVITATION TO BID Reference No. 7077493 / Solicitation No. 2020/06/066 	The City Government of Tagum invites interested Bidders/Suppliers to submit for eligibility and to bid for the following: MATERIALS FOR CONSTRUCTION OF MULTI-PURPOSE C</t>
  </si>
  <si>
    <t xml:space="preserve"> 40 ROLLS- UTP CABLE, CAT #6  (Php 7,900/roll) 4000 PCS - RJ 45 CONNECTOR (Php 7.00/PC) Please be guided by the following: 1.       Price quotation must be based on the Terms of Reference (TOR) / Scope of Work/Services (SOW) / Technical Specifications (TS)</t>
  </si>
  <si>
    <t xml:space="preserve"> Republic of the Philippines                                                                                                        Department of Agriculture                                                                                                   </t>
  </si>
  <si>
    <t xml:space="preserve"> SHIPMENT OF OFFICE EQUIPMENT TO BTR REGIONAL/PROVINCIAL OFFICES Printer Dimension/box: 45x43x30cm Printer weight/box: 9kgs Scanner dimension/box:59x50x32cm Scanner weight/box: 12kgs Mode of shipment/delivery: Luzon Areas - via land and VisMin Areas - via </t>
  </si>
  <si>
    <t xml:space="preserve"> PROCUREMENT TERMS AND CONDITIONS						 						 1. The Total Approved Budget for the Contract (ABC) is Seventy Thousand Pesos Only (70,000.00)						 2.  Price Quotation should be inclusive of tax obligation.						 3. Evaluation of bids will be conducted on </t>
  </si>
  <si>
    <t xml:space="preserve"> 5 units Computer Netbook -operating system: Windows 10 home -screen size: atleast 11.6" -processor: atleast 2 cores 1.1 Ghz or higher -memory: atleast 2GB DDR4 -hard disk drive: 500GB SATA -see attached RFQ Forms for more details.</t>
  </si>
  <si>
    <t xml:space="preserve"> Bicol Regional Training and Teaching Hospital Legazpi City INVITATION TO BID FOR  Procurement of Medical Equipment for NICU (Care for Small Babies) IB No. 07-2020 1.	The Bicol Regional Training and Teaching Hospital (BRTTH) through the 2020 Hospital Incom</t>
  </si>
  <si>
    <t xml:space="preserve"> REPAIR AND MAINTENANCE OF CLASSROOM</t>
  </si>
  <si>
    <t xml:space="preserve"> 12 Pcs Scotch tape 1” 80 Reams	Bond Paper legal	 95 Reams	Bond Paper A4	 50 Pairs Battery AAA	 20 Tubes Computer Ink 0003 black	 30 Tubes Computer Ink T6641 black	 20 Pcsm Correction tape	 10 Pcs Record book	 20 Pcs Marker black permanent 	 10 Pcs White b</t>
  </si>
  <si>
    <t xml:space="preserve"> 3pcs  Spine Board Strecher 1 set  Scissors, Head Bead, Roll Duct Tape 1pc   Mechanical Trebble Extension Ladder-7m</t>
  </si>
  <si>
    <t xml:space="preserve"> THE NATIONAL IRRIGATION ADMINISTRATION-SCIMO, THROUGH THE FUND 501 HAS THE APPROVED BUDGET FOR THE CONTRACT (ABC) AMOUNTING    SIX HUNDRED FIFTY THOUSAND PESOS ONLY (650,000.00).  QUOTATION RECEIVED IN EXCESS OF THE ABC SHALL BE AUTOMATICALLY REJECTED. IN</t>
  </si>
  <si>
    <t xml:space="preserve"> 1.Request for quotation. 2.Please see attached file.</t>
  </si>
  <si>
    <t xml:space="preserve"> SUPPLY OF LABOR AND MATERIALS FOR THE REHABILITATION OF APDC TOILETS AND SEPTIC TANK, DRAINAGES SYSTEM AND WATER LINES AT APDS, MARULAS VALENZUELA CITY 1.	The Bureau of Animal Industry, through the National Livestock Program, Approved Annual Procurement P</t>
  </si>
  <si>
    <t xml:space="preserve"> Republic of the Philippines Province of Guimaras OFFICE OF THE BIDS AND AWARDS COMMITTEE INVITATION TO BID FOR    SUPPLY AND DELIVERY OF TIRE Bid Ref. No. 2020-06-364 1.	The Province of Guimaras , through the Repairs &amp; Maintenance Transportation Equipment</t>
  </si>
  <si>
    <t xml:space="preserve"> INVITATION TO BID  FOR SUPPLY AND DELIVERY OF MEDICAL SUPPLIES. 1.	The Local Government Unit of Murcia, Negros Occidental, through the LGU-TRUSTFUND 2020, intends to apply the sum of One Hundred Sixteen Thousand Four Hundred Pesos (Php 116,400.00) being t</t>
  </si>
  <si>
    <t xml:space="preserve"> Section I. Invitation to Bid Republic of the Philippines Province of Davao del Norte MUNICIPALITY OF TALAINGOD 								1 July, 2020 Invitation to Bid for CONSTRUCTION OF STAR WOMEN’S BUILDING (@ Sto. Niño,Talaingod, DdN 1.	The Local Government Unit of Tal</t>
  </si>
  <si>
    <t xml:space="preserve"> Spareparts and Oil Lubricants</t>
  </si>
  <si>
    <t xml:space="preserve"> Republic of the Philippines Province of Cagayan Municipality of Baggao INVITATION TO BID FOR THE PROCUREMENT OF GOODS The LOCAL GOVERNMENT UNIT OF BAGGAO, CAGAYAN, through the 01-011-5-02-03-070 &amp; 01-011-5-02-03-080 intends to apply the sum of Three Hundr</t>
  </si>
  <si>
    <t xml:space="preserve"> Procurement of Meal Tray</t>
  </si>
  <si>
    <t xml:space="preserve"> Brief Description: Construction of Fence which involves project billboard/signage, safety &amp; health, temporary facility, A. Const. of Fence; layout &amp; excavation, reinforcing steel bar, structural concrete, masonry works, painting works and barbed wire work</t>
  </si>
  <si>
    <t xml:space="preserve"> CONSTRUCTION OF NURSES QUARTER AND DOCTOR'S QUARTER STA. CRUZ, MUNICIPALITY OF PLACER, SURIGAO DEL NORTE Brief Description:    The project will involve the following scope of works: General Requirements, Earthworks, Concrete Works, Reinforcing Steel Bars,</t>
  </si>
  <si>
    <t xml:space="preserve"> Item Number	Description	Qty	UNIT	Total 1	PARACETAMOL SYRUP  250 mg   6o ml	20	PCS	740.00 2	PARACETAMOL DROPS 30 ml	20	PCS	700.00 3	PARACETAMOL TABLETS	15	BOX	1,005.00 4	ASCORBIC VITAL C 500 mg CAPSULE 	10	BOX	7,500.00 5	AMOXICILLIN 125 mg	20	PCS	585.00 6	</t>
  </si>
  <si>
    <t xml:space="preserve"> Procurement of Office Supplies				 				 Purchase Requested by the City Civil Registrar's Office, Tabaco City				 				 To Interested Suppliers, Manufacturers and Distributors,				 				 Please quote your lowest price/s on the lot or item/s  below, subject t</t>
  </si>
  <si>
    <t xml:space="preserve"> See attached document</t>
  </si>
  <si>
    <t xml:space="preserve"> No. of pages:          260 pages including front and  back cover  Size:                      6" x 9.5"  Color:                    Full Color  Materials:               Cover- C2S 120 lbs mounted on PB#30                               Inside - C2S 120 lbs  </t>
  </si>
  <si>
    <t xml:space="preserve"> ARTICLE AND DESCRIPTION                  										 ITEM	QTY	UNIT						CEILING 		UNIT PRICE			TOTAL  								PRICE					 			Office:  City General Services Office					PR No. 851					 			Charge to: Machineries and Equipment-Office Equipment					OBR No. 100-2</t>
  </si>
  <si>
    <t xml:space="preserve"> Republic of the Philippines DIGOS WATER DISTRICT (DWD) Rizal Avenue, Digos City INVITATION TO BID FOR THE PROCUREMENT OF VARIOUS WATER METERS, CLASS B AND MATERIALS FOR NEW SERVICE CONNECTIONS 1.	The Digos Water District, through the Corporate Budget for </t>
  </si>
  <si>
    <t xml:space="preserve"> Item No.	Unit	DESCRIPTION				Weight 						 1	Pcs.	Dressed Chicken (145 Pcs.)				260.71</t>
  </si>
  <si>
    <t xml:space="preserve"> BID BULLETIN REVISION OF BILL OF QUANTITIES</t>
  </si>
  <si>
    <t xml:space="preserve"> *COMPUTER DESKTOP - AMD ATHLON Series Processor, Socket AM4 Motherboard (Gigabyte), 4GB DDR4 Memory, 500GB HDD, Tower Casing w/ 700w PSU, Built-in Vcard, ODD DVD Writer, 19" LED Monitor, USB Mouse w/ Pad, USB Keyboard, AVR 500w, Subwoofer Speakers, UPS 65</t>
  </si>
  <si>
    <t xml:space="preserve"> materials</t>
  </si>
  <si>
    <t xml:space="preserve"> 1.	225 CB’s TQD 	1	Pc. 2.	Nena 1 Powder Coated 	1	Pc. 3.	Nena 3 Powder Coated	14	Pcs. 4.	70 AT CB’s Bolt-on 	14	Pcs. 5.	Full Box 30x20x100cm	2	Pcs. 6.	Male Adaptor 25mm	30	Pcs. 7.	Male Adaptor 65mm	6	Pcs. 8.	PVC 32mm Orange	2	Pcs. 9.	PVC 25mm Orange	10	Pc</t>
  </si>
  <si>
    <t xml:space="preserve"> Construction Materials for the Rehabilitation/Improvement of Bairan Water System</t>
  </si>
  <si>
    <t xml:space="preserve"> ONE (1) UNIT IRON AERATION FILTER - 48x72	 	 TANK MATERIAL: Bobbin wound Reinforced Fiberglass	 MAX OPERATING PRESSURE : 36 PSI (2.5 BARS)	 MAX TEMPERATURE: 43 ° C (109 ° F)	 	 TECHNICAL INFORMATION:	     FILTER AREA (M2): 0.78	     VALVE CONNECTION: 2.5"</t>
  </si>
  <si>
    <t xml:space="preserve"> One (1) Unit Aircon 1/2hp (Window Type) and  One (1) Unit Steel Cabinet (4 drawers)</t>
  </si>
  <si>
    <t xml:space="preserve"> Window Type Aircon of Barangay Cotta, Lucena City</t>
  </si>
  <si>
    <t xml:space="preserve"> Please see "associated component" for the specifications</t>
  </si>
  <si>
    <t xml:space="preserve"> 01 JULY 2020 INVITATION TO BID FOR THE SUPPLY AND DELIVERY OF DRUGS AND MEDICINES FOR  CALOOCAN CITY MEDICAL CENTER 	 	 1.	The City of Caloocan, through the General Fund of the 2020  Annual City Budget approved under Sangguniang Panlungsod Ordinance No. 0</t>
  </si>
  <si>
    <t xml:space="preserve"> Republic of the Philippines PROVINCE OF NUEVA VIZCAYA Municipality of Alfonso Castañeda  BIDS &amp; AWARDS COMMITTEE FOR GOODS &amp; SERVICES REQUEST FOR QUOTATION RFQ Number: 2020-07-02 The Local Government of Alfonso Castañeda through its Bids and Awards Comm</t>
  </si>
  <si>
    <t xml:space="preserve"> Request for Quotation for Drugs and Medicines (493,900.00)</t>
  </si>
  <si>
    <t xml:space="preserve"> Purchase of Sports Equipment for the Youth</t>
  </si>
  <si>
    <t xml:space="preserve"> Brief Description: Construction of Fence which involves project billboard/signage, safety &amp; health, temporary facility, A. Const. of Fence A; demolition works,layout and excavation, reinforcing steel bar, structural concrete, masonry works, grille works, </t>
  </si>
  <si>
    <t xml:space="preserve"> ACCOMMODATION  Target Date: 2nd week of July 15 rooms twin bed (deluxe type of room with complimentary breakfast) Preferred Hotel in Baguio: The Manor (Camp John Hay) and/or The Lemonet Baguio. Note: Health and Safety Guidelines including Protocols shall </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</si>
  <si>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</si>
  <si>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Improvement of Barangay Plaza at Barangay Gualsic, Alcala, Pangasinan</t>
  </si>
  <si>
    <t xml:space="preserve"> MUNICIPAL GOVERNMENT OF LAZI						               Project Reference Number: _________________  	               Name of the Project: Construction of Kitchen in the 		Municipal Evacuation Center (Social Center) with 		Necessary Fixtures Standard Form Number:</t>
  </si>
  <si>
    <t xml:space="preserve"> REPAIR AND MAINTENANCE OF WATER SUPPLY</t>
  </si>
  <si>
    <t xml:space="preserve"> Republic of the Philippines Province of Cagayan Municipality of Baggao INVITATION TO BID FOR THE PROCUREMENT OF CIVIL WORKS The LOCAL GOVERNMENT UNIT OF BAGGAO, CAGAYAN, through 5-06-04-030-02 (20% DF) SB #01-2019 intends to apply the sum of Seven Hundred</t>
  </si>
  <si>
    <t xml:space="preserve"> Section I. Invitation to Bid Republic of the Philippines Province of Davao del Norte MUNICIPALITY OF TALAINGOD 								1 July, 2020 Invitation to Bid for CONSTRUCTION AND REHABILITATION OF DRAINAGE CANAL (@ Piggery Area, Sto. Niño,Talaingod, DdN 1.	The Lo</t>
  </si>
  <si>
    <t xml:space="preserve"> 25	paxs	Meals 25	paxs	Meals 25	paxs	Meals 25	paxs	Meals 25	paxs	Meals 25	paxs	Meals 25	paxs	Meals 25	paxs	Meals 25	paxs	Meals 25	paxs	Meals 25	paxs	Meals 25	paxs	Meals 25	paxs	Meals 25	paxs	Meals 25	paxs	Meals 25	paxs	Meals 25	paxs	Meals 25	paxs	Meals 25	</t>
  </si>
  <si>
    <t xml:space="preserve"> Republic of the Philippines CITY OF BAIS BIDS AND AWARDS COMMITTEE NOTICE OF AWARD This is to certify that the following item was awarded to Newborn Screening Center – Central Visayas Eversley Child Sanitarium and General Hospital (Outpatient Department B</t>
  </si>
  <si>
    <t xml:space="preserve"> MUNICIPAL GOVERNMENT OF LAZI						                     Project Reference Number: ____________                       Name of the Project: Drugs and Medicines               Expenses (First Quarter)             Standard Form Number:  SF-GOOD-05						        </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</si>
  <si>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</si>
  <si>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CSC-CO  BIDS AND AWARDS COMMITTEE                                                CSC-ITB No.  2020 - 09                 (Proc. of Anti-Virus Licenses)                                                                     June  29, 2020     INVITATION TO BID</t>
  </si>
  <si>
    <t xml:space="preserve"> - CONCRETING OF 80.00 LN.M MUNICIPAL ROAD - INSTALLATION OF 72.00 LN.M GI PIPE GUARD RAIL</t>
  </si>
  <si>
    <t xml:space="preserve"> Section I. Invitation to Bid Republic of the Philippines Province of Davao del Norte Municipality of Talaingod 1 July, 2020 INVITATION TO BID FOR CONSTRUCTION MATERIALS (ROAD REHABILITATION-From Sitio Kaylawan, Sto. Nino and Central Baugan, Palma Gil, Tal</t>
  </si>
  <si>
    <t xml:space="preserve"> Republic of the Philippines Province of Guimaras OFFICE OF THE BIDS AND AWARDS COMMITTEE INVITATION TO BID FOR    SUPPLY AND DELIVERY OF GENERAL MERCHANDISE Bid Ref. No. 2020-06-379 1.	The Province of Guimaras , through the 2020 Regular Budget- Special Pu</t>
  </si>
  <si>
    <t xml:space="preserve"> Republic of the Philippines Province of Leyte Municipality of Hilongos Barangay LAMAK REQUEST FOR QUOTATION  JUNE 30, 2020          Date               ______________________ _______________________ _______________________ _________________________________</t>
  </si>
  <si>
    <t xml:space="preserve"> Feeds for production of animal center</t>
  </si>
  <si>
    <t xml:space="preserve"> Repair &amp; Maintenance Materials 				 23	10	gallons	Latex Paint -white Ivory - Gloss				 24	4	gallons	Latex paint , Green 				 25	4	piece	Roller brush - big				 26	5	piece	Paint brush -  6 "				 27	2	bundles	Lumber  2 x 5 x 8				 28	5	cubic	Sand				 29	5	cu</t>
  </si>
  <si>
    <t xml:space="preserve"> Procurement of Construction Materials &amp; Supplies						 Purchase Requested by the City Engineering Office, Tabaco City						 						 To Interested Suppliers, Manufacturers and Distributors,						 						 Please quote your lowest price/s on the lot or item/s </t>
  </si>
  <si>
    <t xml:space="preserve"> See attached document, print Bid Notice Abstract and download ITB No. GOODS-20-117.</t>
  </si>
  <si>
    <t xml:space="preserve"> INVITATION TO BID FOR PURCHASE OF PROPERTY, PLANT &amp; EQUIPMENT (PPE), SEMI-EXPENDABLE EQUIPMENT (ICT EQUIPMENT) AND FURNITURE AND FIXTURES TO BE USED BY VARIOUS OFFICES/PROGRAMS OF DSWD FO III FOR THE 1ST SEMESTER OF 2020   1.	The DEPARTMENT OF SOCIAL WELF</t>
  </si>
  <si>
    <t xml:space="preserve"> Brief Description: Construction of Fence which involves project billboard/signage, safety &amp; health, temporary facility, A. Const. of Fence, demolition works, layout and excavation, reinforcing steel bars, structural concrete, masonry works, grille works, </t>
  </si>
  <si>
    <t xml:space="preserve"> Lunch</t>
  </si>
  <si>
    <t xml:space="preserve"> various item per Purchase Request</t>
  </si>
  <si>
    <t xml:space="preserve"> No.	"ITEM DESCRIPTION  (ITEM NAME &amp; TECHNICAL SPECIFICATIONS)"	QTY.	UNIT	UNIT COST	APPROVED BUDGET OF CONTRACT (ABC)		"FINANCIAL PROPOSAL  (Indicate the Price Offer)"		TECHNICAL PROPOSAL (Indicate Brand/Model Offer)	 							Unit Price	Total Price		 1	Ink,</t>
  </si>
  <si>
    <t xml:space="preserve"> 6 bxs Face Mask 20 btl Alcohol 1 Liter with Pump 50 btl Alchol 500ml 36 pcs Customized Washable Face Mask</t>
  </si>
  <si>
    <t xml:space="preserve"> A. 51 unit	UV Germicidal light 38 watts portable	 Specifications: Medical Grade, Disinfection Lamp, Wattage: 38 watts, Dual wave: Yes, Wavelength: 253nm + Ozone 185nm, Min Material: ABS Plastic, Light Source: Quartz UV Tube, Light Color : Purple/Blue, App</t>
  </si>
  <si>
    <t xml:space="preserve"> Regravelling of Farm-to-Market Road at Barangay Atainan, Alcala, Pangasinan</t>
  </si>
  <si>
    <t xml:space="preserve"> 1	305	bags	Muriate of Potash</t>
  </si>
  <si>
    <t xml:space="preserve"> Pharmaceutical Refrigerator 48.2 cu. ft. capacity 2° c to 23° Temp. Range</t>
  </si>
  <si>
    <t xml:space="preserve"> 2 btl Alcohol 4 pack Battery AAA 5 ream Bond Paper (Legal) 5 ream Bond Paper A4 5 ltr Correction Tape 1 pcs Disinfectant/Bleaching Solution 1 pcs Flash Drive 16GB 1 pcs File Folder Level Arch File 1 btl Epson Printer Ink Yellow 1 btl Epson Printer Ink Cya</t>
  </si>
  <si>
    <t xml:space="preserve"> REQUEST FOR QUOTATION The Local Government Unit of Siaton, Siaton Negros Oriental, through the Bids and Awards Committee (BAC) will undertake a Small Value Procurement for the “Purchase of (1) unit Split Type Aircon 2.5HP Including Installation” (Capital </t>
  </si>
  <si>
    <t xml:space="preserve"> Republic of the Philippines Province of Quezon Town of Lucban Barangay Kulapi ESTIMATED COST OF PROPOSED WORK One Bagger Concrete Mixer - 1 Subgrade Preparation - 248 sq.m Aggregate Base Course - 37.20 cu.m          Portland Cement Concrete Pavement 150mm</t>
  </si>
  <si>
    <t xml:space="preserve"> Republic of the Philippines Department of Agriculture BUREAU OF PLANT INDUSTRY Manila REQUEST FOR QOUTATION SHOPPING INSTRUCTION: 1.	Bidders are required to read the instructions and fill all the blanks properly. Particularly the column under the offered </t>
  </si>
  <si>
    <t xml:space="preserve"> 750 pcs. KIDDIE Tooth Brush  750 pcs KIDDIE Tooth paste 25ml 150 pcs Germicidal Soap (60 grams)   2 pc. FACE SHIELD (Flexi Glass) 2 pc. Medical Googles 25 box Lidocaine 2% 1.8 ml (Dental Anesthesia) 8 box Dental Needle (Gauge 27 short) 5 bot. Povidone Iod</t>
  </si>
  <si>
    <t xml:space="preserve"> I - Earth Works     a.  Excavation Labor     b.  Backfill Labor     c.  Onfill-Flooring at Toilets/Electrical Room     d.  Gravel Bedding (2" thick) - Flooring at Toiletss/Electrical II - Formworks and Scaffoldings: (Lumpsum) III - Concrete Works        a</t>
  </si>
  <si>
    <t xml:space="preserve"> 55 Pax Meals for Monitoring/Screening Team and  Frontliners at Biliran Bridge for COVID-19 Crisis from  July 8, 2020 to July 31, 2020 @ 100.00/Pack/Meal</t>
  </si>
  <si>
    <t xml:space="preserve"> Biometric Scanner/Device  External Hard Disc Drive, 1 TB  Extension Cable, USB, 1 meter  Extension Cable, USB, 5 meters  USB Hub, 4 ports  Flash Drive,16GB capacity, 1 piece in individual blister pack  Electric Fan, Stand Type  Computer Mouse, USB connect</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</si>
  <si>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</si>
  <si>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CSC-CO  BIDS AND AWARDS COMMITTEE    								                               CSC-ITB No.  2020 - 10  (Proc. of Primary Internet Services)      June 29, 2020   INVITATION TO BID  (Mode of Procurement:   Public Bidding) The Civil Service Commission (CSC), th</t>
  </si>
  <si>
    <t xml:space="preserve"> 2	pcs	Tire wire good year 1	pcs	Oil filter 2	ltrs	Gear oil 1	pcs	Selector cable 1	set	Repair kit</t>
  </si>
  <si>
    <t xml:space="preserve"> REQUEST FOR QUOTATION The Local Government Unit of Siaton, Siaton Negros Oriental, through the Bids and Awards Committee (BAC) will undertake a Small Value Procurement for the “Purchase of EPI Supplies”, in accordance with Sec. 53.9 of the Implementing Ru</t>
  </si>
  <si>
    <t xml:space="preserve"> 01 JULY 2020 INVITATION TO BID FOR THE SUPPLY AND DELIVERY OF TECATHERAPY MACHINE FOR  CALOOCAN CITY MEDICAL CENTER 	 	 1.	The City of Caloocan, through the Trust Fund of the 2020  Annual City Budget approved under Sangguniang Panlungsod Ordinance No. 081</t>
  </si>
  <si>
    <t xml:space="preserve"> Regravelling of Farm-to-Market Road at Barangay Anulid, Alcala, Pangasinan</t>
  </si>
  <si>
    <t xml:space="preserve"> INVITATION TO BID Date: June 30, 2020 1.	The Provincial Government of Davao del Sur, through its Bids and Awards Committee (BAC), invites all potential bidders/suppliers to apply to bid for the following goods. Bids received in excess of the ABC shall be </t>
  </si>
  <si>
    <t xml:space="preserve"> Supply and Delivery of Mixed Sand and Gravel for the Regravelling of Farm-to-Market Road at Barangay San Juan, Alcala, Pangasinan</t>
  </si>
  <si>
    <t xml:space="preserve"> INVITATION TO BID FOR SUPPLY, DELIVERY, INSTALLATION AND COMMISSIONING OF FIREWALL APPLIANCE FOR THE USE OF TIEZA (TWO (2) YEARS LICENSE SUBSCRIPTION) Invitation to Bid No. 20-06-0001 In line with the government’s directive to ensure safety and to prevent</t>
  </si>
  <si>
    <t xml:space="preserve"> I. Mobilization II. CSHP III. Road PReparatiom     A. Equipment     B. Materials IV. Portland Cement V. Equipment Labor</t>
  </si>
  <si>
    <t xml:space="preserve"> 10 UNITS CELLPHONE Specifications: Display - 6.5 MOLED capacitive touchscreen w/ at least 1080x2340 pixel OS - Android, at least 9.0 version Memory - at least 128GB 8GB  RAM internal memory and memory card slot Main camera - at least 48MP (wide) &amp; 8MP (ul</t>
  </si>
  <si>
    <t xml:space="preserve"> 1 unit Aircon (SPLIT TYPE) 2.0 HP w/ Installation\ 1 unit Aircon (WINDOW TYPE) 1.5 HP</t>
  </si>
  <si>
    <t xml:space="preserve"> REQUEST FOR QUOTATION STOCK NO. UNIT ITEM DESCRIPTION                           QTY. 01              PCS  MINI TABLES                                      15 02              PCS  BIG TABLES (HEAVY DUTY)                   3 03              PCS  PLASTIC PAL</t>
  </si>
  <si>
    <t xml:space="preserve"> 1. 1 unit Scanner, A5 to A3, 11 x 17, photocopy, print with Pedestral/Table 2. 1 unit Desk Top Computer Core i5 -HDD 1 TBH - Core i5 Processor -Motherboard with audio, video and LAN -4GB DDR4 Memory -500GB Hard Disk Drive -22" LCD Digital Colored monitor </t>
  </si>
  <si>
    <t xml:space="preserve"> 3 unit Boat Engine Model No. GX390TZ LBHB  Displacement 389 cm3 Gross Power (Net Power): 16.0 Hp Type: 4 Stroke, OHV, Single Cylinder inclined 25 Compression Ratio: 8:2:1 Fuel Consumption : 4.7L/hr Fuel Tank Capacity: 6.1 L Weight: 35.1 kg Bore x Stroke: </t>
  </si>
  <si>
    <t xml:space="preserve"> Materials for the Improvement of Waterworks System</t>
  </si>
  <si>
    <t xml:space="preserve"> Supply and Delivery of Construction Materials for Concrete Pavement of Farm-to-Market Road and Multi-Purpose Building at Barangay Vacante, Alcala, Pangasinan</t>
  </si>
  <si>
    <t xml:space="preserve"> 12	sets	         Amglobe crystal light 1/2 clear 3	boxes	#12THW stranded wire 12	pcs	        Bulb 18watts 6	rolls	        Electrical tape (big) 		        Labor</t>
  </si>
  <si>
    <t xml:space="preserve"> 1200	heads	"CHICKEN -layer type -ready to lay -at least 18 weeks old -with BAI required test -with 14 days holding period (feeds and all incidental expenses covered)"	 ₱500.00  Delivery Site Apayao: 200 heads Abra: 200 heads Ifugao: 200 heads Benguet: 200</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</si>
  <si>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</si>
  <si>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11pcs    keypad Cellphone 1set      Rain Gauge 1pc       Megaphone</t>
  </si>
  <si>
    <t xml:space="preserve"> PLEASE SEE ATTACHED DOCUMENTS</t>
  </si>
  <si>
    <t xml:space="preserve"> INVITATION FOR PRICE QUOTATION Date:  30 June 2020 For The Provision Of Runway Markers And Markings At Bulan Airport – 2nd SVP The Civil Aviation Authority of the Philippines (CAAP), Area Center V, Legazpi Airport intends to apply the estimated amount   o</t>
  </si>
  <si>
    <t xml:space="preserve"> June 30, 2020 REQUEST FOR QUOTATION (RFQ) QUALITATIVE FIT TEST APPARATUS 1.	The Batangas Medical Center hereinafter referred to as the “Purchaser” now request for submission of price proposal for the procurement of the aforesaid item described in the Tech</t>
  </si>
  <si>
    <t xml:space="preserve"> MUNICIPAL GOVERNMENT OF LAZI						           Project Reference Number: ________________            Name of the Project: Purchase of Tools, PPE                         Handheld Radios and Other Communication Eqpt. Standard Form Number:  SF-GOOD-05						   </t>
  </si>
  <si>
    <t xml:space="preserve"> REQUEST FOR QUOTATION The Local Government Unit of Siaton, Siaton Negros Oriental, through the Bids and Awards Committee (BAC) will undertake a Small Value Procurement for the “Purchase of Supplies for Dengue Control”, in accordance with Sec. 53.9 of the </t>
  </si>
  <si>
    <t xml:space="preserve"> SOURCE OF FUNDS: 20% BIDDING DATE &amp; TIME: JULY 8, 2020- 1:00 P.M</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</si>
  <si>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</si>
  <si>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Procurement of Laboratory Supplies</t>
  </si>
  <si>
    <t xml:space="preserve"> FABRICATION OF THE FOLLOWING: 		 FOOD LANDING COUNTER WITH UNDERSHELF,STAILESS  2	UNIT L-1800mm W-710mm H863mm 	 PREPARATION TABLE WITH BOTTOM SHELF, STAINLESS    2	UNIT L-1900mm W-710mm H-863mm 	 MOBILE WORKTABLE WITH BOTTOM SHELF, STAINLESS   2	UNIT L-1</t>
  </si>
  <si>
    <t xml:space="preserve"> repainting of mlti-purpose bldg</t>
  </si>
  <si>
    <t xml:space="preserve"> Republika ng Pilipinas								 NATIONAL IRRIGATION ADMINISTRATION								 Pambansang Pangasiwaan ng Patubig								 Negros Occidental Irrigation Management Office								 Celis St. Bago City, Negros Occidental								 (034) 461-0494, (034) 454-2033							</t>
  </si>
  <si>
    <t xml:space="preserve"> various items (as per Purchase Request)</t>
  </si>
  <si>
    <t xml:space="preserve"> The DPWH-North Manila District Engineering Office, through its Bids and Awards Committee (BAC) for Goods, invites Suppliers to submit bids for the following Contract: 1.	Contract I.D. No: 20GOE0021 Contract Name 	: Procurement of Painting Materials to be </t>
  </si>
  <si>
    <t xml:space="preserve"> HDPE PIPE SIZE 3"Ø - SDR 13.6  - 570 meters PE Tube SIZE 1"Ø - SDR 11 - 200 meters Pipes Specifications:					 ASTM STANDARD - ISO Pipe (HDPE), PE 100					 For SDR = 13.6 Pressure rating (PN 12.5), Strength of 10 MPO to 20 MPO. Color Blue standard for pota</t>
  </si>
  <si>
    <t xml:space="preserve"> VEHICLE RENTAL 		 1	1	lot	Region 10 Destinations (July 1-31, 2020) 		 			  Duration: 5 Days                                                             Destinations: Misamis Occidental: Bonifacio, Plaridel		 					 			  Duration: 5 Days                    </t>
  </si>
  <si>
    <t xml:space="preserve"> REQUEST FOR QUOTATION The Local Government Unit of Siaton, Siaton Negros Oriental, through the Bids and Awards Committee (BAC) will undertake a Small Value Procurement for the purchase of various construction materials and supplies for the “Maintenance of</t>
  </si>
  <si>
    <t xml:space="preserve"> Procurement of Medical Supplies</t>
  </si>
  <si>
    <t xml:space="preserve"> 1 Unit Brand New four-wheel drive automatic transmission, engine displacement of 1,500 cc to 2,000 cc equipped with a bi-turbo diesel engine, euro IV complaint compact truck with a low-sided open cargo hauler, a passenger cab (crew cab type) accommodation</t>
  </si>
  <si>
    <t xml:space="preserve"> 1 unit Laptop Core i5 Acer with printer &amp; office chair</t>
  </si>
  <si>
    <t xml:space="preserve"> - CONCRETING OF 175.00 LN.M. MUNICIPAL ROAD</t>
  </si>
  <si>
    <t xml:space="preserve"> Improvement/Renovation of Municipal Hall</t>
  </si>
  <si>
    <t xml:space="preserve"> 1. The APO Production Unit, Inc., through the Approved Annual Procurement Plan (APP) for CY 2020 intends to apply the sum of Six Million Pesos (PhP 6,000,000.00) being the Approved Budget for the Contract (ABC) to payments under the contract for the Lease</t>
  </si>
  <si>
    <t xml:space="preserve"> INVITATION FOR SUBMISSION OF QUOTATION (SMALL VALUE PROCUREMENT) 	The local Government Unit of Can-avid, through is Bid and Awards Committee (BAC). Invites suppliers to apply for eligibility, to bid for the hereunder contract: Name of Contract:  	Use for </t>
  </si>
  <si>
    <t xml:space="preserve"> Qty	Unit	Articles 3	 tl 	Garden Clay  Loam 750	 pcs 	CHB 4" 10	 kg 	G.I. Wire  40	 mtrs 	Garden Hose 1/2" 10	 pcs 	Rotating Sprinkler  2	 gal. 	QDE Paint (White) 1	 lit 	Tinting Color(blue) 1	 gal. 	Paint Thinner 5	 sacks 	Cement  5	 pcs 	Paint Brush(2 in</t>
  </si>
  <si>
    <t xml:space="preserve"> 2	units	ALL IN ONE COMPUTER			 40,000.00   	 	Specifications: 			    		23.8 inch Monitor, 16GB RAM, 240G SSD, DDR4, 1920x1080 HD Graphics, Windows 10,  Includes: USB Mouse*1, USB Keyboard*1, BUILT-IN Stereo SPEAKER AVR 			 					 		                        </t>
  </si>
  <si>
    <t xml:space="preserve"> Republic of the Philippines											 Province of Occidental Mindoro											 Mamburao, Occidental Mindoro											 REQUEST FOR QUOTATION											 Date of Posting:	June 30, 2020					Ref. No.		RN 398-2020			 						PR No.		1011-A-2020-5-0126			 					</t>
  </si>
  <si>
    <t xml:space="preserve"> Std. Form No.: SF-05	 										Revised on: July 28, 2005	 											 Republic of the Philippines											 City Government of Ormoc											 2nd /F New Ormoc City Hall Bldg., Ormoc City											      Tel. # (053) 255-2054  &amp; 560-8050 											   </t>
  </si>
  <si>
    <t xml:space="preserve"> Supply and Delivery of Various Agricultural Supplies 50 sack chicken manure- 7500 4 sack T-16- 8,000.00 2 sack Urea- 3,600.00 4 kg Manzate- 1,800.00 5 pc Fruit fly attractant- 4,500.00 2 liter Kriss- 500.00 3 bag Dithane M-45- 1,950.00 5 liter Lorsban- 2,</t>
  </si>
  <si>
    <t xml:space="preserve"> INVITATION TO BID The DPWH, Masbate 3rd District Engineering Office, Dimasalang, Masbate through its Bids and Awards Committee (BAC), invites contractors to submit bids for the following Contract: Procurement ID/ Contract ID:	20FJ0029 Contract Name:	Const</t>
  </si>
  <si>
    <t xml:space="preserve"> The DPWH-North Manila District Engineering Office, through its Bids and Awards Committee (BAC) for Goods, invites Suppliers to submit bids for the following Contract: 2.	Contract I.D. No: 20GOE0022 Contract Name 	: Procurement of Supply and Delivery of Ma</t>
  </si>
  <si>
    <t xml:space="preserve"> Purchase and delivery of Personal Protective Equipment - Face Shield to be distributed to frontliners</t>
  </si>
  <si>
    <t xml:space="preserve"> Brief Description: Improvement of Farm-to-Market Road which involves hauling of materials, sub-grade preparation, aggregate sub base course (compacted volume), portland cement concrete pavement, road shouldering (compacted volume), project billboard/signa</t>
  </si>
  <si>
    <t xml:space="preserve"> Procurement of drugs and medicines to be use at MHO for the 2nd quarter of 2020</t>
  </si>
  <si>
    <t xml:space="preserve"> Please call or email posted address for Bid Documents.</t>
  </si>
  <si>
    <t xml:space="preserve"> INVITATION TO BID (GOODS) The Municipality of Sibonga, through the General Fund intends to apply the sum of Eight hundred seventy thousand seven hundred seventy-five pesos only (870,775.00) being the Approved Budget for the Contract (ABC) to payment under</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</si>
  <si>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</si>
  <si>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QTY	UNIT	ITEM DESCRIPTION					 42	unit	Web Cam	at an estimated cost of P1,040 per unit				 Technical Specifications: Image Sensor: 1/4 CMOS, 640x480pixels, Frame rate: 15fps: @640x480, @600x800, 30 fps: @320x240, @160x120 Lens F=2.2, f=4.6mm View Angle : </t>
  </si>
  <si>
    <t xml:space="preserve"> 1 pcs Uninterruptible Power Supply 1,100VA</t>
  </si>
  <si>
    <t xml:space="preserve"> Qty	Unit	Item Description 1	unit	Labor and Materials (Garbage Truck) 		(Replacement of Idler, Track roller, Sprocket, adjuster)</t>
  </si>
  <si>
    <t xml:space="preserve"> 500 TABLET ZINC 30 MG TABLET</t>
  </si>
  <si>
    <t xml:space="preserve"> Republic of the Philippines DEPARTMENT OF ENVIRONMENT AND  NATURAL RESOURCES Regional Government Center, Balintawak, Pagadian City Region IX, Zamboanga Peninsula 			                 REQUEST FOR QUOTATION Date: 	June 30, 2020 RFQ No.: 006.0453 The Departme</t>
  </si>
  <si>
    <t xml:space="preserve"> REQUEST FOR QUOTATION STOCK NO.   UNIT     ITEM DESCRIPTION                      QTY. 01                PCS.    ALUMINUM (Medium Size)              30 02                ROLL   Plastic Cellophane (For Door Cover  3 03                PCS     Trash Bin  (Med</t>
  </si>
  <si>
    <t xml:space="preserve"> 1. The APO Production Unit, Inc., through the Approved Annual Procurement Plan (APP) for CY 2020 intends to apply the sum of Nine Million Pesos (PhP 9,000,000.00) being the Approved Budget for the Contract (ABC) to payments under the contract for the Leas</t>
  </si>
  <si>
    <t xml:space="preserve"> 2 unit Automatic Alcohol Dispenser, 400ml 1 pc VGA to HDMI Adaptor 7 pcs Personal Protective Equipment (Jacket)</t>
  </si>
  <si>
    <t xml:space="preserve"> PR#	2020-06-0283 CRFMS CDD	 1	lot	Various Computer Supplies and Peripherals:	 52,125.00 	 3	unit	Solid State Drive (SSD) 250GB SATA 6GB/s (STGS250401)		 2	piece	RAM (Memory) 8GB (DDR3)		 1	piece	RAM (Memory) 8GB (DDR4)		 5	piece	USB OTG USB drive (32GB) 3</t>
  </si>
  <si>
    <t xml:space="preserve"> INVITATION TO BID  Purchase &amp; Delivery of Various Medical Supplies for DCMMH (Re-bid) July 1, 2020 1.	The Provincial Government of Sarangani, through the AB CY 2020 intends to apply the sum of One Million Two Hundred Ten Thousand Four Hundred Forty Pesos </t>
  </si>
  <si>
    <t xml:space="preserve"> Procurement of medical, dental and laboratory supplies to be use at MHO for the 2nd quarter of 2020</t>
  </si>
  <si>
    <t xml:space="preserve"> The City Government of Ligao through its Bids and Awards Committee (BAC), now invites bids for the herein project: Name of Contract        :  Opening of sitio Abibling  Road Location                       : Tiongson,  Ligao City Brief Description         </t>
  </si>
  <si>
    <t xml:space="preserve"> INVITATION FOR PRICE QUOTATION Date:  30 June 2020 For The Provision Of Runway Markers And Markings At Bacon Airport – 2nd SVP The Civil Aviation Authority of the Philippines (CAAP), Area Center V, Legazpi Airport intends to apply the estimated amount   o</t>
  </si>
  <si>
    <t xml:space="preserve"> Item No. Qty. Unit of Issue Item Description 1	120	KLS	CHICKEN	 2	50	PCS	SAYOTE	 3	40	KLS	CARROTS	 4	4	BOXES	BUTTER CUP	 5	20	KLS	HOTDOG	 6	25	CANS	PORK AND BEANS BIG	 7	5	KLS	BULAD BOLINAO	 8	10	KLS	RADDISH	 9	10	KLS	CAMATIS	 10	26	KLS	BOMBAY	 11	15	KLS	</t>
  </si>
  <si>
    <t xml:space="preserve"> 1 box Sign Pen, Black 0.5mm Needle Tip 5 pcs Correction Tape, 1 piece in Individual Plastic 5 bxs Staple Wire, Standard 1 pack Toilet Tissue Paper 2-PLY 6 btl Printer Ink (Epson L3110 Black) 10 ream Bond Paper (A4) 11 ream Bond Paper (Legal) 2 ream Bond P</t>
  </si>
  <si>
    <t xml:space="preserve"> INVITATION TO BID The DPWH, Masbate 3rd District Engineering Office, Dimasalang, Masbate through its Bids and Awards Committee (BAC), invites contractors to submit bids for the following Contract: Procurement ID/ Contract ID:	20FJ0030 Contract Name:	Const</t>
  </si>
  <si>
    <t xml:space="preserve"> The City Government of Ligao through its Bids and Awards Committee (BAC), now invites bids for the herein project: Name of Contract        :  Opening of sitio Boundary to sitio Pasto Road Location                       : Balanac,  Ligao City Brief Descrip</t>
  </si>
  <si>
    <t xml:space="preserve"> 1 unit - 3in1 Printer  1 unit - Digital Audio Recorder  1 unit - Laptop  - see canvass for details</t>
  </si>
  <si>
    <t xml:space="preserve"> Please see attached documents for your reference.</t>
  </si>
  <si>
    <t xml:space="preserve"> The LGU MUNICIPALITY OF JOSEFINA, ZAMBOANGA DEL SUR, through its Bids and Awards Committee (BAC),under BAC Reso.# 2020-05-071  &amp; BAC Reso.# 2020-06-087 intends to perform Small Value Procurement   in the procurement of  Electrical Supplies for Installatio</t>
  </si>
  <si>
    <t xml:space="preserve"> 1.	1	unit/s	Utility Van 			Type: 			In-line 4 cylinder, 16 valves (DOHC) with turbocharger 			Engine Size / Displacement: Not exceeding 3,000cc 			No. of Cylinders: 4 			No. of valves: 16 			Bore x stroke: 92.0 x 10.6 			Compression Ratio: 15:6:1 			Maxim</t>
  </si>
  <si>
    <t xml:space="preserve"> MUNICIPAL GOVERNMENT OF LAZI						                      Project Reference Number: ____________                        Name of the Project: Procurement of Fully-                  Equipped Rescue Vehicle             Standard Form Number:  SF-GOOD-05						  </t>
  </si>
  <si>
    <t xml:space="preserve"> REQUEST FOR QUOTATION REFERENCE NO.: MR19-11-199 We are inviting all interested contractors/suppliers to submit their best quotation for PROCUREMENT OF THE SUPPLY OF LABOR AND MATERIALS FOR THE REHABILITATION OF AIRCONDITIONING DUCTING SYSTEM AT 4TH FLOOR</t>
  </si>
  <si>
    <t xml:space="preserve"> Purchase and delivery of brand new modern jeepney to be used by the City Government of Calapan</t>
  </si>
  <si>
    <t xml:space="preserve"> REACH-IN FREEZER, UPRIGHT, STAINLESS STEEL, 4 DOORS, APPROXIMATELY 40 CU. FT.             2 UNIT	 UPRIGHT REACH-IN CHILLER, APPROXIMATELY 40 CU. FT.., 2 GLASS DOOR DISPLAY WITH ROLLERS	2	unit CHEST TYPE, FREEZER, 29 CU. FT., SOLID TOP	 2	unit PLEASE ATTAC</t>
  </si>
  <si>
    <t xml:space="preserve"> PLS. SEE ATTACHMENT</t>
  </si>
  <si>
    <t xml:space="preserve"> 20-8956</t>
  </si>
  <si>
    <t xml:space="preserve"> PURPOSE: FOR DES USE. NEW PURCHASE REQUEST.  (2 OF 3) FOR THE MONTH OF MAY 2020 TO AUGUST 2020 Fax your Price Quotation at Tel. Fax#: 426-30-45 / 927-64-26 local 2561 or Email at bacveterans@gmail.com. Please indicate the brand name and complete specifica</t>
  </si>
  <si>
    <t xml:space="preserve"> 1 unit Brand New four-wheel Drive, 6 speed Automatic Transmission, engine displacement of 2,775 cc equipped with a turbo diesel engine, euro IV complaint compact truck, with a low-sided open cargo hauler, a passenger cab (crew cab type) accommodating two </t>
  </si>
  <si>
    <t xml:space="preserve"> INVITATION TO BID The DPWH, Masbate 3rd District Engineering Office, Dimasalang, Masbate through its Bids and Awards Committee (BAC), invites contractors to submit bids for the following Contract: Procurement ID/ Contract ID:	20FJ0031 Contract Name:	Const</t>
  </si>
  <si>
    <t xml:space="preserve"> Please quote your lowest price inclusive of VAT on the item/s listed below, subject to the Terms and Conditions of this RFQ, and submit your sealed quotation and other requirements duly signed by your representative not later than 10:00am of July 07, 2020</t>
  </si>
  <si>
    <t xml:space="preserve"> Republic of the Philippines 		Province of Laguna MUNICIPAL GOVERNMENT OF PANGIL BIDS AND AWARDS COMMITTEE Nat’l. Rd. Brgy. San Jose, Pangil, Laguna Tel Nos.  (049)557-0284 &amp; 557-3139 NOTICE TO BIDDER 	Sealed proposal plainly marked bidding for the Photo C</t>
  </si>
  <si>
    <t xml:space="preserve"> Republic of the Philippines											 Province of Occidental Mindoro											 Mamburao, Occidental Mindoro											 REQUEST FOR QUOTATION											 Date of Posting:	June 30, 2020					Ref. No.		RN 385-2020			 						PR No.		1011-2020-05-19-204			 				</t>
  </si>
  <si>
    <t xml:space="preserve"> Supply of services in the Structural Design and Analysis of the following :			 450,000.00  1 . Seven-Storey ICTC Building 			    2. CBAA Building 			    The Scope of works are;			 1. Establish locations of columns and beams.			 2. Make sketch of floor pla</t>
  </si>
  <si>
    <t xml:space="preserve"> INVITATION TO SUBMIT PRICE QUOTATION Messengerial services for SSS Iba Branch for the year 2020 1. The SOCIAL SECURITY SYSTEM - Iba Branch through its Bids and Awards Committee (BAC) Division will undertake Small Value Procurement and invites interested e</t>
  </si>
  <si>
    <t xml:space="preserve"> various item as per Purchase Request</t>
  </si>
  <si>
    <t xml:space="preserve"> 20-10044</t>
  </si>
  <si>
    <t xml:space="preserve"> Bureau of Jail Management and P.R. No. : Penology 2020-06-2685 Date: 06/23/2020 Date: 1 37 sack Rice, high grade, at least 50kgs/bag 88,800.00 Sardines w/ tomato suace, 155grams, 13,600.00 2 8 box 100/box 3 3 box Noodles, chicken flavored, 72's / box 1,86</t>
  </si>
  <si>
    <t xml:space="preserve"> Expenses to be used for the virtual workshop and sports clinic 2020</t>
  </si>
  <si>
    <t xml:space="preserve"> Interested bidders may obtain further information of the bidding documents from the BAC Secretariat of Barangay Jona, Tubungan, Iloilo during working days starting July 1 - 7, 2020 from 8:00 a.m. to 5:00 p.m. or thru 09061879020</t>
  </si>
  <si>
    <t xml:space="preserve"> 1.) 1 LOT SUPPLY OF LABOR AND MATERIALS FOR THE CONSTRUCTION OF ATM BOOTH. * LOCATION : AJUY LGU, SPECIFICALLY AT THE AJUY GYM, REAL STREET, POBLACION AJUY ILOILO X X X X X X X X X X X X X X X X X X X NOTHING FOLLOWS X X X X X X X X X X X X X X X X X X X </t>
  </si>
  <si>
    <t xml:space="preserve"> Please download associated component (RFQ) and submit quotation together with the requirements in a sealed envelope to UP Cebu SPMO on or before 06 July 2020 at 5:00 PM. Kindly click DRL if you wish to bid for the items herein posted.</t>
  </si>
  <si>
    <t xml:space="preserve"> 50pcs Monoblock Non-Arm Chair</t>
  </si>
  <si>
    <t xml:space="preserve"> I. Mobilization II. CSHP III. Project Billboard IV. Masonry Works V. Roof Framing VI. Plumbing Works VII. Carpentry Works VIII. Forms and Scaffolding IX. Electrical X. Windows XI. Painting Works Labor</t>
  </si>
  <si>
    <t xml:space="preserve"> 1 job        Repair and align R/H fender,rear &amp; front door, rear side cab siding rear bumber and step board 1 piece     R/H Tail Ligh 1 job        Painting and whole body</t>
  </si>
  <si>
    <t xml:space="preserve"> Purchase of various office supplies of different offices of the Municipality of San Enrique, Iloilo. Approved Budget for the Contract: Php. 199,570.00 1. 200 reams Bond paper long (substance 20) 2. 200 reams Bond paper short (substance 20) 3. 50 reams Bon</t>
  </si>
  <si>
    <t xml:space="preserve"> Request for Quotation 50	ea	Good Lumber 2x2x12 26	ea	Good Lumber 2x3x12 15	ea	Good Lumber 1x2x10 30	bag	Cement Pozzolan 11	ea	Paint Brush #2 11	ea	Roller Brush with basin #4 7	pail	QDE White  27	bag	Skimcoat 20kg 6	kg	CWN #1 8	kg	CWN #2 6	kg	CWN #3 5	kg	C</t>
  </si>
  <si>
    <t xml:space="preserve"> The Office of Administrative Services, Security Division - Baguio, of the Supreme Court, through the Procurement Section, invites interested suppliers to quote for the price/s of the item/s listed in the attached document (PLEASE DOWNLOAD) Please also pro</t>
  </si>
  <si>
    <t xml:space="preserve"> Expenses for MPA Assessment of FMO</t>
  </si>
  <si>
    <t xml:space="preserve"> PURPOSE: FOR MAINTENANCE USE OF BOILER 2. (DELIVERY DATE: SEPT. 30, 2020) Fax your Price Quotation at Tel. Fax#: 426-30-45 / 927-64-26 local 2561 or Email at bacveterans@gmail.com. Please indicate the brand name and complete specifications.</t>
  </si>
  <si>
    <t xml:space="preserve"> For supply and delivey of: 96	pc	Polyethylene Plastic Drum, used			 		Specifications:			 		200-250L capacity			 		High Density</t>
  </si>
  <si>
    <t xml:space="preserve"> INVITATION TO BID  Purchase &amp; Delivery of Various Medical Supplies  for PVET  July 1, 2020 1.	The Provincial Government of Sarangani, through the Trust Fund  Unexpended LDRRMF 2019 intends to apply the sum of One Million One Hundred Seventy Nine Thousand </t>
  </si>
  <si>
    <t xml:space="preserve"> Provision of Potable Water System: 1. Upper Brgy. Carahayan = P 350,000.00 2. Upper Brgy. Tabayaon =   P 350,000.00</t>
  </si>
  <si>
    <t xml:space="preserve"> 01 JULY 2020 INVITATION TO BID FOR THE SUPPLY AND DELIVERY OF HIGH SPEED BLACK INKJET PRINTING MACHINES  FOR DIVISION OF CITY SCHOOLS 	 	 1.	The City of Caloocan, through the Special Education Fund and included in the 2020 Annual City School Board Budget </t>
  </si>
  <si>
    <t xml:space="preserve"> Bidding for delivery of drugs and medicines to be distributed to different barangays</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</si>
  <si>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</si>
  <si>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20-10239</t>
  </si>
  <si>
    <t xml:space="preserve"> 1	lot	Supply, Delivery and Installation of Railings @ Gate 2				 						 		15 CD to complete				 						 		Technical Personnel Required:				 		4 Skilled				 						 		Scope:				 		1. Steel Works				 		2. Masonry Works				 		3. False Works</t>
  </si>
  <si>
    <t xml:space="preserve"> 1. Grader Tire 14.00-24 W/ Tube and Flap</t>
  </si>
  <si>
    <t xml:space="preserve"> NOTICE FOR NEGOTIATED PROCUREMENT Publication: June 30, 2020 Closing: July 3, 2020 Name of Project	Training and Assessment on Motorcyle/Small Engine NCII (Inclusive of Materials) Approved Budget for the Contract	 ₱186,000.00 Contract Period:	16 days Item </t>
  </si>
  <si>
    <t xml:space="preserve"> 20	carts	Ink Cart, Brother LC563K, Black		 15	carts	Ink Cart, Brother LC563K, Cyan		 15	carts	Ink Cart, Brother LC563K, Magenta		 15	carts	Ink Cart, Brother LC563K, Yellow		 5	carts	Canon RMC: K10404 12 ML (Black) (35)		 5	carts	Canon RMC: K10404 12 ML (C</t>
  </si>
  <si>
    <t xml:space="preserve"> Procurement of One (1) Male Agency Security Guard for SDO South Cotabato for the Period July to December 31, 2020</t>
  </si>
  <si>
    <t xml:space="preserve"> 200 pcs. school bag (kiddie bag) 200 pads Paper (grade 1) 200 pcs eraser  200 boxes crayons (secondary colors) 2 boxes Pencils (100 pc/box) 2 boxes Sharpener (100 pcs/box)</t>
  </si>
  <si>
    <t xml:space="preserve"> Item I Removal of Damage G.I Roofing Item II Roofing System Item III Painting</t>
  </si>
  <si>
    <t xml:space="preserve"> PURPOSE: FOR MAINTENANCE USE OF BOILER 2. (DELIVERY DATE: AUG. 28, 2020) Fax your Price Quotation at Tel. Fax#: 426-30-45 / 927-64-26 local 2561 or Email at bacveterans@gmail.com. Please indicate the brand name and complete specifications.</t>
  </si>
  <si>
    <t xml:space="preserve"> Materials for the repair/rehab of streetlights at Biga</t>
  </si>
  <si>
    <t xml:space="preserve"> 20-10226</t>
  </si>
  <si>
    <t xml:space="preserve"> INVITATION TO BID FOR (GOODS &amp; SERVICES)       20GJC0216 – Equipment Rental: 12.5 days Cargo truck/Delivery Truck etc.                            Repair/Maintenance of Road Safety Facilities along National Roads,                           Installation of </t>
  </si>
  <si>
    <t xml:space="preserve"> REQUEST FOR QUOTATION JOB REQUEST OF GENERAL PEST CONTROL AND TREATMENT FOR MAINTENANCE OF EMB V SORROUNDINGS  The Environmental Management Bureau Region V through the General Appropriation Act of 2019 intends to apply the sum ONE HUNDRED THOUSAND (Php100</t>
  </si>
  <si>
    <t xml:space="preserve"> I - Earth Works        a.  Excavation Labor     b.  Gravel Bedding (4" thick) II - Concrete Works       a.  Column Footing       b.  Concrete Pedestal       c.  Slab on Fill (Pavement Reconcreting) III - Steel Works       a.  Steel Column/Roof Framing IV </t>
  </si>
  <si>
    <t xml:space="preserve"> Republic of the Philippines Province of Davao de Oro MUNICIPALITY OF COMPOSTELA BIDS AND AWARDS COMMITTEE CP#: 0998-571-7569 INVITATION TO BID FOR  Procurement of Spare Parts for Construction and Heavy Equipment (2nd Qtr) - MOTORPOOL ITB NO. 2020-06-032, </t>
  </si>
  <si>
    <t xml:space="preserve"> The Medical and Dental Services, of the Supreme Court, through the Procurement Section, invites interested suppliers to quote for the price/s of the item/s listed in the attached document (PLEASE DOWNLOAD) Please also provide "Eligibility Documents, Annex</t>
  </si>
  <si>
    <t xml:space="preserve"> INVITATION FOR PRICE QUOTATION Date:  30 June 2020 For The  Supply, Delivery, Installation, Testing, And Commissioning Of Airconditioning Units At CAAP Legazpi Airport The Civil Aviation Authority of the Philippines (CAAP) intends to apply the estimated a</t>
  </si>
  <si>
    <t xml:space="preserve"> PURCHASE OF COMPUTER WITH PRINTER AND LAPTOP, CMO-ADMIN, CALBAYOG CITY</t>
  </si>
  <si>
    <t xml:space="preserve"> HDPE TUBE SIZE 6"Ø  - SDR 13.6  - 90 meters Pipes Specifications:					 ASTM STANDARD - ISO Pipe (HDPE), PE 100					 SDR = 13.6 Pressure rating (PN 12.5), Strength of 10 MPO to 20 MPO. Color Blue standard for potable water. HDPE pipe shall bear the standar</t>
  </si>
  <si>
    <t xml:space="preserve"> Purchase and delivery of supplies and materials of Calapan Public Market</t>
  </si>
  <si>
    <t xml:space="preserve"> Materials for nursery construction at Calapan City Sanitary Landfill</t>
  </si>
  <si>
    <t xml:space="preserve"> The Office of Administrative Services, Property Division, of the Supreme Court, through the Procurement Section, invites interested suppliers to quote for the price/s of the item/s listed in the attached document (PLEASE DOWNLOAD) Please also provide "Eli</t>
  </si>
  <si>
    <t xml:space="preserve"> Republic of the Philippines											 Province of Occidental Mindoro											 Mamburao, Occidental Mindoro											 REQUEST FOR QUOTATION											 Date of Posting:	June 30, 2020					Ref. No.		RN 397-2020			 						PR No.		1061-0022			 											 Th</t>
  </si>
  <si>
    <t xml:space="preserve"> I. Mobilization II. Demolition III. CSHP IV. Line Canal (L=82.4) V. Steel Grating VI. Equipment Labor</t>
  </si>
  <si>
    <t xml:space="preserve"> pls see attached RFQ for details</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</si>
  <si>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</si>
  <si>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INVITATION TO BID FOR (GOODS &amp; SERVICES)       20GJC0217 – Equipment Rental: 11.25 days Cargo Truck/Delivery Truck etc.                             Repair/Maintenance of Road Safety Facilities along National Roads,                                Installat</t>
  </si>
  <si>
    <t xml:space="preserve"> INVITATION TO BID  Purchase &amp; Delivery of One (1) Unit Service Utility Vehicle for PGO-PSG  July 1, 2020 1.	The Provincial Government of Sarangani, through the AB CY 2020 intends to apply the sum of One Million Five Hundred Thousand Pesos Only (P 1,500,00</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</si>
  <si>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</si>
  <si>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30 Capillary tube 100s &amp; 42LI</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</si>
  <si>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</si>
  <si>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</si>
  <si>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10	cart	Ink cartridge, canon PGI-35, black	 ₱1,000.00  10	cart	Ink cartridge, canon PGI-36 color	 ₱1,500.00  10	cart	Ink cartridge, canon PGI-47-black	 ₱550.00  10	cart	Ink cartridge, canon CL-57s, colored	 ₱900.00  3	cart	Ink cartridge, HP,black	 ₱2,000.</t>
  </si>
  <si>
    <t xml:space="preserve"> Name of the Procuring Entity:					Project Reference Number: PR # 200-2020-06-12 Municipality of Lantapan					Name of the Project:  Standard Form Number: SF-GOOD-60					Supply &amp; Delivery of Materials for the Repair of Classroom  					at Bantuanon Elem Scho</t>
  </si>
  <si>
    <t xml:space="preserve"> PROCUREMENT OF PREPAID LOAD CARDS (PROCUREMENT CONTRACT NO. 2020-PCOO-I-001)  This was postponed due to COVID-19 and the Bids and Awards Committee decided to resume with the procurement process.</t>
  </si>
  <si>
    <t xml:space="preserve"> Construction</t>
  </si>
  <si>
    <t xml:space="preserve"> 3	set	 Jalousie frame 15 blades 5	pcs.	 Plywood Marine 1/4 5	pcs.	 Good Lumber 2x2x12 6	pcs.	 Good lumber 2x5x10 9	pcs.	Good Lumber 2x4x12 2	kilo	common nail  1 1/2 " 2	kilo	common nail  2 " 2	kilo	common nail  2.5" 2	kilo	concrete nail 6	pcs.	  paint rol</t>
  </si>
  <si>
    <t xml:space="preserve"> 20-10223</t>
  </si>
  <si>
    <t xml:space="preserve"> Concreting of Municipal Streets: 1. Yuba Street, Caburan Small, Jose Abad Santos, Davao Occidental - Phase II = P 3,000,000.00 2. Juan Opong, Sitio Pag-asa, Caburan Small, Jose Abad Santos, Davao Occidental = P 2,000,000.00</t>
  </si>
  <si>
    <t xml:space="preserve"> The DPWH-Ilocos Norte Second District Engineering Office, through its Bids and Awards Committee (BAC), invites contractors to submit bids for the Contract: Procurement ID/Contract ID: 20AB0122 Contract Name/Location: CONSTRUCTION OF TWO (2) STOREY - FOUR </t>
  </si>
  <si>
    <t xml:space="preserve"> 100	sets	Needle, G16, stainless, hypodermic, 12 pcs/set, 0.5 inch	 ₱200.00  100	sets	Needle, G16, stainless, hypodermic, 12 pcs/set, 1.5 inch	 ₱200.00  100	sets	Needle, G18, stainless, hypodermic, 12 pcs/set, 0.5 inch	 ₱200.00  100	sets	Needle, G18, stain</t>
  </si>
  <si>
    <t xml:space="preserve"> SUPPLY AND DELIVERY OF MATERIALS FOR CONCRETING OF ROAD (Improvement) in Pansacola Street, Barangay Bagong Bayan, Mauban, Quezon. 1.	The Local Government Unit of Mauban through the GENERAL FUND/20% DEVELOPMENT FUND-8751/1-07-03-010, 2020 intends to apply </t>
  </si>
  <si>
    <t xml:space="preserve"> REPAIR OF PILAR ELEM SCHOOL BUILDING, BRGY, PILAR, CALBAYOG CITY</t>
  </si>
  <si>
    <t xml:space="preserve"> 20-8954</t>
  </si>
  <si>
    <t xml:space="preserve"> INVITATION TO BID FOR (GOODS &amp; SERVICES)       20GJC0218 – Equipment Rental: 5.93 days One Bagger Mixer etc. Repair/Maintenance of                              Road Safety Facilities along National Roads, Instllation of Guardrails along                   </t>
  </si>
  <si>
    <t xml:space="preserve"> Republic of the Philippines											 Province of Occidental Mindoro											 Mamburao, Occidental Mindoro											 REQUEST FOR QUOTATION											 Date of Posting:	June 30, 2020					Ref. No.		RN 383-2020			 						PR No.		009			 											 The Prov</t>
  </si>
  <si>
    <t xml:space="preserve"> Personal Protective Equipment</t>
  </si>
  <si>
    <t xml:space="preserve"> City Administrator's Office P.R. No. : 2020-06-2565 Date: 06/18/2020 Date: 90,000.00 LAPTOP: AMD RYZEN 7 4800HS (8-CORES 16-THREADS) | G15 GA502IU-AZ077T | 15.6" FULL HD IPS 240HZ DISPLAY | 8GB DDR4 2666MHZ | 512GB PCI-E 2 SSD | NVIDIA GTX 1660TI 6GB GDDR</t>
  </si>
  <si>
    <t xml:space="preserve"> Purchase and delivery of Evacuation Modular Tent for Isolation Areas</t>
  </si>
  <si>
    <t xml:space="preserve"> 34	meter	 THHN wire #14 25	meter	 PDX wire # 14( ) 3	pc	 electrical tape (big) 2	set	 junction  box  2	box	 electrical staple wire #1 5	pc	 socket 2	set	 Outlet( 2 gang) 2	pc	 LED bulb  11 watts 3	pc	 Pvc receptacle 4x4 1	set	 circuit breaker (20 amp.) 3	</t>
  </si>
  <si>
    <t xml:space="preserve"> Republic of the Philippines										 Department of Education										 Region VI - Western Visayas										 DIVISION OF NEGROS OCCIDENTAL										 Cottage Road, Bacolod City										 										 REQUEST FOR QUOTATION (RFQ) FOR GOODS										 									</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</si>
  <si>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</si>
  <si>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The National Housing Authority (NHA), through its Central Bids and Awards Committee is inviting External Real Estate Appraisal Service Providers to undertake the Land Appraisal of the Commercial Area within Madayaw Residences located in Brgy. Bangkal, Tal</t>
  </si>
  <si>
    <t xml:space="preserve"> Request for Quotation for Office Supplies (219,100.00)</t>
  </si>
  <si>
    <t xml:space="preserve"> Republic of the Philippines CITY OF MARIKINA SF-GOOD-05 Revised on: July 28, 2004				 													Mkna-GSO-20-295	 	BIDS AND AWARDS COMMITTEE		 NOTICE OF PROPOSED PROCUREMENT The City Government of Marikina, through its Bids and Awards Committee (BAC), w</t>
  </si>
  <si>
    <t xml:space="preserve"> Please see attached for details or you may visit the DND website at: https://www.dnd.gov.ph/transparency/procurement/dnd-properbids-and-awards-committee.html</t>
  </si>
  <si>
    <t xml:space="preserve"> 20-10222</t>
  </si>
  <si>
    <t xml:space="preserve"> Improvement/Construction of Old Public Market (Public Market Roof Extension)</t>
  </si>
  <si>
    <t xml:space="preserve"> 1 unit Garbage Compactor (with Specifications)</t>
  </si>
  <si>
    <t xml:space="preserve"> Section I. Invitation to Bid Republic of the Philippines Province of Davao del Norte MUNICIPALITY OF TALAINGOD 								1 July, 2020 Invitation to Bid for CONSTRUCTION OF SAFE CLOSURE AND REHABILITATION OF OPEN DUMPSITE (@ Tibi-Tibi, Sto. Niño,Talaingod, D</t>
  </si>
  <si>
    <t xml:space="preserve"> Republic of the Philippines                   Department of Health	       CENTRAL OFFICE BIDS AND AWARDS COMMITTEE  INVITATION TO BID FOR THE  PROCUREMENT OF SERVER FOR THE EPIDEMIOLOGY BUREAU (EB) EMERGENCY OPERATION CENTER (EOC) SYSTEM  IB NO. 2020-227 </t>
  </si>
  <si>
    <t xml:space="preserve"> REPAIR/MAINTENANCE OF HEAVY EQUIPMENT</t>
  </si>
  <si>
    <t xml:space="preserve"> 1 Phase line extension &amp; upgrading intended for power supply of water pump</t>
  </si>
  <si>
    <t xml:space="preserve"> PURPOSE: FOR MAINTENANCE USE OF ELECTRICAL UNIT Fax your Price Quotation at Tel. Fax#: 426-30-45 / 927-64-26 local 2561 or Email at bacveterans@gmail.com. Please indicate the brand name and complete specifications.</t>
  </si>
  <si>
    <t xml:space="preserve"> 2 units Printer specification: Compatible printing long and short with scanner and photocopier</t>
  </si>
  <si>
    <t xml:space="preserve"> The LGU MUNICIPALITY OF JOSEFINA, ZAMBOANGA DEL SUR, through its Bids and Awards Committee (BAC),under BAC Reso.#2020-06-094  intends to perform NEGOTIATED  PROCUREMENT under two failed biddings  in the procurement of  BIOMETRIC  by the office of  Municip</t>
  </si>
  <si>
    <t xml:space="preserve"> PROGRAM OF WORK					 					 PROJECT:  INSTALLATION OF 4-UNITS HANDWASHING FACILITIES WITH ROOFING AND TILE FINISH					 OWNER      : DepED-DIVISION OF TALISAY CITY					 LOCATION   : POBLACION, TALISAY CITY, CEBU					 					 ITEM NO.	DESCRIPTION	UNIT	QTY	UNIT</t>
  </si>
  <si>
    <t xml:space="preserve"> ILGLASS AUTOMATED DOOR LOCK SYSTEM RFID CARD RFID KEYCHAIN</t>
  </si>
  <si>
    <t xml:space="preserve"> THE MAYOR'S OFFICE WOULD LIKE TO REPAIR AND MAINT. OF SERVICE VEHICLE ( STRADA). . . . . . . . .</t>
  </si>
  <si>
    <t xml:space="preserve"> ITEM NO.	Unit of issue	ITEM &amp;DESCRIPTION	Brand &amp; Model	QTY.	 1	pcs	Coconut brisk broom		30	 2	pcs	Mosquito Sprayer		4	 3	gals	Mosquito Spray		2	 4	gals	Muriatic acid		15	 5	tins	Battery Solution		15	 6	kls	Powder Soap		12	 7	bars	Soap		10	 8	gal	Disinfect</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</si>
  <si>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</si>
  <si>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Vehicle Parts &amp; Accessories</t>
  </si>
  <si>
    <t xml:space="preserve"> REQUEST FOR QUOTATION STOCK NO.    UNIT    ITEM DESCRIPTION   QTY. 01                 liter     DIESEL/FUEL           1,850 x-x-x-x-x-x-NOTHING FOLLOWS-x-x-x-x-x-x FRANCISCO I. CORPUZ, JR. BAC CHAIRMAN</t>
  </si>
  <si>
    <t xml:space="preserve"> Purchase of construction materials and supplies for the Improvement of Water System project of Barangay Monte Dujali, San Isidro, Davao del Norte.</t>
  </si>
  <si>
    <t xml:space="preserve"> HDPE TUBE SIZE 6"Ø  - SDR 13.6  - 12 meters HDPE TUBE SIZE 4"Ø  - SDR 13.6  - 78 meters Pipes Specifications:					 ASTM STANDARD - ISO Pipe (HDPE), PE 100					 SDR = 13.6 Pressure rating (PN 12.5), Strength of 10 MPO to 20 MPO. Color Blue standard for pot</t>
  </si>
  <si>
    <t xml:space="preserve"> 5	Units 	"Cabinet Chemical storage cabinet; hazardous chemical, oxidizing chemicals, acids and bases, height 1830mm x 915mm width"</t>
  </si>
  <si>
    <t xml:space="preserve"> *SEALANT - Elastomeric Sealant (gal.) (77 gallons) *PLYWOOD (MARINE) - 4' x 8' x ¾" thk (50 sheets) *Please see attached canvass form.</t>
  </si>
  <si>
    <t xml:space="preserve"> Concreting of (35mx4mx.15m) concrete pavement</t>
  </si>
  <si>
    <t xml:space="preserve"> 8 pcs Pumpboat Cases 7 pcs Engine 10 HP 2 pcs Engine 16 HP</t>
  </si>
  <si>
    <t xml:space="preserve"> 1 LOT	Service Provider for the development and maintenance of Online Systems inclusive of Training and other requirements 	 	Development of the following New Systems: 	- Special Program for the Employment of Students Onlines System 	- Construction Safety </t>
  </si>
  <si>
    <t xml:space="preserve"> SUZUKI FB TYPE  SCRUM W/ AIRCON</t>
  </si>
  <si>
    <t xml:space="preserve"> SUPPLY AND DELIVERY OF COMPUTER 	 SPECIFICATIONS 	 Computer  Desktop, Bundle (GeForce GTX 1080t; or higher, Intel Core i9 (Quad Core, 4.0 GHz), 32GB RAM or  higher,  750W Gold Rated Power Supply, 512GB SSD+ 2TB HDD, Licensed Windows 10 OS and MS Office 20</t>
  </si>
  <si>
    <t xml:space="preserve"> 20 bottles Uric Acid (easy touch) 35 bottles Cholesterol strip (easy touch) 5 boxes EDTA tube 5 ml 2 boxes EDTA mini collect 30 boxes Disposable gloves (Med) 30 boxes Surgical Face Mask/50's 10 roll ECG thermal paper 50mmx30m</t>
  </si>
  <si>
    <t xml:space="preserve"> The Department of Agriculture Regional Field Office IX, through the GAA 2020 - (National Rice Program 2020) intends to apply the sum of (PHP 110,000.00) being the Approved Budget for the Contract (ABC) to payments under the contract for 06-016-20. Bids re</t>
  </si>
  <si>
    <t xml:space="preserve"> Vehicle Parts, Accessories &amp; Labor Cost</t>
  </si>
  <si>
    <t xml:space="preserve"> The Municipality of San Mariano, Isabela invite bidders to participate in this procurement, Supply and Delivery of One Lot Heavy Equipment Approved Budget: Php.16,640,604.36 Specification:  A.	One (1) Unit Brand New Payloader -	Operating Weight: 17 tons -</t>
  </si>
  <si>
    <t xml:space="preserve"> Fabrication of Hospital Bench, Wood</t>
  </si>
  <si>
    <t xml:space="preserve"> Zamboanga Sibugay 1st District Engineering Office Brgy. Kauswagan, Diplahan, Zamboanga Sibugay INVITATION TO BID (June 30, 2020) The Zamboanga Sibugay 1st District Engineering Office, through its Bids and Awards Committee (BAC), invites contractors to sub</t>
  </si>
  <si>
    <t xml:space="preserve"> Procurement of Various Supplies in response to COVID 19 pandemic.</t>
  </si>
  <si>
    <t xml:space="preserve"> The DPWH-Ilocos Norte Second District Engineering Office, through its Bids and Awards Committee (BAC), invites contractors to submit bids for the Contract: Procurement ID/Contract ID: 20AB0124 Contract Name/Location: CONCRETING OF SITIO KAPPIA TO SITIO MU</t>
  </si>
  <si>
    <t xml:space="preserve"> OPENING OF BIDS IN DSWD FO IX ZAMBOANGA CITY DELIVERY IN DSWD FO IX, ZC PROCUREMENT FOR THE FF.: 		 		 2	unit	LARGE GROUP CONFERENCE CAMERA (SEE ATTACHED SPECS AT ASSOCIATED COMPONENT) 2	unit	COMPUTER SPEAKER  FOR VEDIO CONFERENCING (SEE ATTACHED SPECS AT</t>
  </si>
  <si>
    <t xml:space="preserve"> INVITATION FOR PRICE QUOTATION Date:  30 June 2020 For The  Supply And Delivery Of Range Finder For SMO Of Legazpi Airport   The Civil Aviation Authority of the Philippines (CAAP) intends to apply the estimated amount   of   Seventy Five Thousand Five Hun</t>
  </si>
  <si>
    <t xml:space="preserve"> 1 lot</t>
  </si>
  <si>
    <t xml:space="preserve"> Linear construction Length - 335 Ln. M. Pavement Width - 4m. No. of days - 93 working days Equipment / manpower: 1 Civil Engineer 1 Foreman 14 Laborers 4 skilled workers 1 unit Road Grader 1 unit Backhoe 1 unit Dumptruck 1 unit Payloader 1 unit Concrete T</t>
  </si>
  <si>
    <t xml:space="preserve"> Republic of the Philippines Province of Nueva Vizcaya BIDS AND AWARDS COMMITTEE (BAC-GOODS) BAC OFFICE, Provincial Capitol, Bayombong, Nueva Vizcaya Tel. No. (078) 392-2650 	 INVITATION TO BID FOR THE SUPPLY AND DELIVERY OF ONE (1) UNIT DEFIBRILLATOR WITH</t>
  </si>
  <si>
    <t xml:space="preserve"> The DPWH-Ilocos Norte Second District Engineering Office, through its Bids and Awards Committee (BAC), invites contractors to submit bids for the Contract: Procurement ID/Contract ID: 20AB0126 Contract Name/Location: CONCRETING OF BUROK BARANIW, BRGY. PAR</t>
  </si>
  <si>
    <t xml:space="preserve"> Republic of the Philippines							 Province of Davao del Sur							 Municipality of Malalag							 							 BIDS AND AWARDS COMMITTEE							 CANVASS/REQUEST FOR QUOTATION							 For Shopping &amp; Small value Procurement							 						  06/29/2020 	 ___________</t>
  </si>
  <si>
    <t xml:space="preserve"> 1.	The Local Government Unit of Las Nieves, through the Budget for the Contract Approved by the Sanggunian (20% DF) intends to apply the sum of one hundred eighty  three thousand pesos only (Php 183,000.00) being the Approved Budget for the Contract (ABC)</t>
  </si>
  <si>
    <t xml:space="preserve"> Repair and Maintenance of Road Safety Facilities includes Miscellaneous Structures.</t>
  </si>
  <si>
    <t xml:space="preserve"> Day 1-7: Breakfast, Lunch, Dinner</t>
  </si>
  <si>
    <t xml:space="preserve"> relocation survey (Brgy. Nalvo) 2 lots relocation survey (Brgy. Tangaoan) 1 lot Topographic survey (Cabaroan-silag-pacang bridge) Topographic survey (Brgy. Suso-baywalk)</t>
  </si>
  <si>
    <t xml:space="preserve"> INVITATION TO BID The DPWH, Masbate 3rd District Engineering Office, Dimasalang, Masbate through its Bids and Awards Committee (BAC), invites contractors to submit bids for the following Contract: Procurement ID/ Contract ID:	20FJ0032 Contract Name:	Const</t>
  </si>
  <si>
    <t xml:space="preserve"> STREET LIGHTING  - 7 post</t>
  </si>
  <si>
    <t xml:space="preserve"> Construction of (30mx2.8mx1.60m) concrete bleacher</t>
  </si>
  <si>
    <t xml:space="preserve"> Construction of Additional One (1) Span of Multi-Purpose Open Space at Purok Saranay, Poblacion, Kabacan, Cotabato for the benefits of the people.</t>
  </si>
  <si>
    <t xml:space="preserve"> Purchase of Rapid Anti-body Test for COVID-19.</t>
  </si>
  <si>
    <t xml:space="preserve"> 1.Invitation to Bid. 2.Please see attached file.</t>
  </si>
  <si>
    <t xml:space="preserve"> Pls. see attached RFQ</t>
  </si>
  <si>
    <t xml:space="preserve"> Supply &amp; delivery of: 1	3	unit	PRISM + TILTABE HOLDER + RANGE POLE 			xxxxxxx</t>
  </si>
  <si>
    <t xml:space="preserve"> 01 JULY 2020 INVITATION TO BID FOR THE SUPPLY AND DELIVERY OF RISOGRAPH PRINTING INKS AND  CONSUMABLES  FOR DIVISION OF CITY SCHOOLS 	 	 1.	The City of Caloocan, through the Special Education Fund and included in the 2020 Annual City School Board Budget a</t>
  </si>
  <si>
    <t xml:space="preserve"> Repair &amp; Maintenance of Other Structure</t>
  </si>
  <si>
    <t xml:space="preserve"> INVITATION TO BID The Barangay Quinastillojan of Tabaco City through the Bids and Awards Committee (BAC) invites suppliers to bid for the hereunder contract: Name of Contract: Construction of Pathways Location: Barangay Quinastillojan, Tabaco City Descrip</t>
  </si>
  <si>
    <t xml:space="preserve"> Purchase of construction materials and supplies for the Improvement of Multi-purpose Building project of Barangay Monte Dujali, San Isidro, Davao del Norte.</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</si>
  <si>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</si>
  <si>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Rehabilitation of Drainage Canal along Purok Sunrise, Saranay, Bonifacio St. Phase 1 of Poblacion, Kabacan,Cotabato</t>
  </si>
  <si>
    <t xml:space="preserve"> PURPOSE: FOR DES USE. NEW PURCHASE REQUEST. FOR THE MONTH OF JULY 2020 TO SEPTEMBER Fax your Price Quotation at Tel. Fax#: 426-30-45 / 927-64-26 local 2561 or Email at bacveterans@gmail.com. Please indicate the brand name and complete specifications.</t>
  </si>
  <si>
    <t xml:space="preserve"> Pls. see attached RFQ Specification: -double cab with canopy -flour wheel drive -engine-FGA-12 valve -at least 3 cylinder -1,000 kgs. net capacity Special Condition of the contract/PO -Warranty period -after sales service -availability of parts and access</t>
  </si>
  <si>
    <t xml:space="preserve"> Purchase of materials for students to use during classes.</t>
  </si>
  <si>
    <t xml:space="preserve"> Republic of the Philippines     Province  of Surigao del Sur   TAGBINA, SURIGAO DEL SUR    BIDS AND AWARDS COMMITTEE INVITATION TO BID FOR THE  Completion of Slaughter House LOCATION:  Brgy.  Poblacion, Tagbina, Surigao del Sur The municipality of Tagbina</t>
  </si>
  <si>
    <t xml:space="preserve"> PURPOSE: FOR USE IN DOP Fax your Price Quotation at Tel. Fax#: 426-30-45 / 927-64-26 local 2561 or Email at bacveterans@gmail.com. Please indicate the brand name and complete specifications.</t>
  </si>
  <si>
    <t xml:space="preserve"> The DPWH-Ilocos Norte Second District Engineering Office, through its Bids and Awards Committee (BAC), invites contractors to submit bids for the Contract: Procurement ID/Contract ID: 20AB0125 Contract Name/Location: CONCRETING OF BRGY. POBLACION 1-PANGIL</t>
  </si>
  <si>
    <t xml:space="preserve"> RAPID TEST KIT	400	SETS 		 			 TO BE USED IN DETECTING EMPLOYEES POSSIBLY INFECTED WITH THE CORONA VIRUS DISEASE 2019 (COVID 19)</t>
  </si>
  <si>
    <t xml:space="preserve"> Computer with complete accessories and printer</t>
  </si>
  <si>
    <t xml:space="preserve"> INVITATION TO BID The DPWH, Masbate 3rd District Engineering Office, Dimasalang, Masbate through its Bids and Awards Committee (BAC), invites contractors to submit bids for the following Contract: Procurement ID/ Contract ID:	20FJ0033 Contract Name:	Const</t>
  </si>
  <si>
    <t xml:space="preserve"> PROCUREMENT AND DELIVERY OF  ONE (1) UNIT AMBULANCE  The LOCAL GOVERNMENT UNIT OF PANDAN, ANTIQUE, through the Capital Outlay intends to apply the total sum of One Million Eight Hundred Thousand Pesos Only (Php 1,800,000.00), being the Approved Budget for</t>
  </si>
  <si>
    <t xml:space="preserve"> Rehabilitation of Old City Hall Building (Comfort Room) I. Item SPL: Rehabilitation of Old City Hall Building (Comfort Room)</t>
  </si>
  <si>
    <t xml:space="preserve"> 50 Pcs CARD (Smart Buddy) 500 53 Pcs CARD (Talk n' Text ) 300 40 Pcs CARD  (Globe) 500 3 Pcs CARD (Talk n' Text) 300</t>
  </si>
  <si>
    <t xml:space="preserve"> Construction of Multi-purpose Buildings/Feeding Centers (P 200,000 each): 1.   Cayaponga Elementary School 2.   Faustino Labiton Sr. Elementary School, Brgy. Carahayan 3.   JASCES, Brgy. Caburan Small 4.   Mangile Elementary School 5.   San Felipe Element</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</si>
  <si>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</si>
  <si>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Republic of the Philippines                   Department of Health	       CENTRAL OFFICE BIDS AND AWARDS COMMITTEE  INVITATION TO BID FOR THE REHABILITATION OF DEPARTMENT OF HEALTH (DOH) CAMPUS WIDE NETWORK IB NO. 2020-228 1.	The Department of Health (DOH</t>
  </si>
  <si>
    <t xml:space="preserve"> 1	lot	Supply and Installation of Panel Board                 for 3 units of Magnetic Contractor of                  Filter Pump Motor</t>
  </si>
  <si>
    <t xml:space="preserve"> Republic of the Philippines							 Province of Davao del Sur							 Municipality of Malalag							 							 BIDS AND AWARDS COMMITTEE							 CANVASS/REQUEST FOR QUOTATION							 For Shopping &amp; Small value Procurement							 						  06/29/2020  	 __________</t>
  </si>
  <si>
    <t xml:space="preserve"> The Department of Agriculture-RFO 3, invites interested suppliers to submit quotations/proposals for the hereunder requirement, to wit: ITEM NO.	QTY.	UNIT	ITEMS &amp; DESCRIPTION		UNIT PRICE	TOTAL AMOUNT	BRAND/MODEL 							 			Other Supplies (Laboratory Suppl</t>
  </si>
  <si>
    <t xml:space="preserve"> Supply and Delivery of Various Carpentry Supplies as per PR 20-01-0065A</t>
  </si>
  <si>
    <t xml:space="preserve"> Republic of the Philippines Province of Albay Municipality of Sto. Domingo Bids and Awards Committee 	 Invitation to Apply for Eligibility and to Bid: 06-02-2020 	The LGU- Sto. Domingo, Albay through its Bids and Awards Committee (BAC) invites Suppliers/M</t>
  </si>
  <si>
    <t xml:space="preserve"> Request for Quotation			Date:		 			Quotation No.:		 2020-06-042-June  Company Name 					 					 Address					 					 	Please quote your lowest price on the items listed below, subject to the General Conditions ln the last				 page stating the shortest time o</t>
  </si>
  <si>
    <t xml:space="preserve"> Rehabilitation of Drainage Canal along Bonifacio St. Phase II, Poblacion, Kabacan, Cotabato</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</si>
  <si>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</si>
  <si>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REQUEST FOR QUOTATION Project Name: Supply and Delivery of Supplies for May 2020 Approved Budget:  Area of Delivery: Butong Elementary School, Brgy. Butong City of Cabuyao, Laguna Date of Submission and Delivery and Opening of Quotation: July The DepEd Di</t>
  </si>
  <si>
    <t xml:space="preserve"> Various animal feeds</t>
  </si>
  <si>
    <t xml:space="preserve"> 1 unit vehicle</t>
  </si>
  <si>
    <t xml:space="preserve"> Various Hardware Materials</t>
  </si>
  <si>
    <t xml:space="preserve"> labor for construction</t>
  </si>
  <si>
    <t xml:space="preserve"> meals</t>
  </si>
  <si>
    <t xml:space="preserve"> CALAMANSI(CITRUS) BUDDED - 800 SEEDLINGS RAMBUTAN (GRAFTED) - 800 SEEDLINGS</t>
  </si>
  <si>
    <t xml:space="preserve"> I. Window II. Masonry Works</t>
  </si>
  <si>
    <t xml:space="preserve"> 1	42	Set	Epson 003 ink (Black, Magenta,Cyan, Yellow) 2	153	Pcs	Ring Bind 3	85	Pack	Linen Paper 4	9	Pcs	Heavy Duty Stapler PS-123 5	77	Box	Staple Wire23/6 (15 pages) 6	77	Box	Staple Wire 23/8 (30 pages) 7	77	Box	Staple Wire 23/10 (50 pages) 8	77	Box	Staple</t>
  </si>
  <si>
    <t xml:space="preserve"> Linear Construction Length - 267 Ln. m. Pavement width - 5.00 m.  No. of days - 55 working days Equipment / manpower requirements: 1 civil Engineer 1 Foreman 14 Laborers 4 skilled workers 1 unit Road Grader 1 unit Backhoe 1 unit Dumptruck 1 unit Payloader</t>
  </si>
  <si>
    <t xml:space="preserve"> spare parts</t>
  </si>
  <si>
    <t xml:space="preserve"> The Department of Agriculture-RFO 3, invites interested suppliers to submit quotations/proposals for the hereunder requirement, to wit: 2	unit	Aircondition : Window Type	 		EER Rating 14.3	 		Length (cm) 72.9	 		Height (cm) 42.9	 		Inverte Technology - in</t>
  </si>
  <si>
    <t xml:space="preserve"> 150	ream	Paper Multicopy A4 80gsm 150	ream	Paper Multicopy Legal 80gsm 100	pack	Tissue Paper 12 pcs/pack</t>
  </si>
  <si>
    <t xml:space="preserve"> I CARPENTRY WORKS</t>
  </si>
  <si>
    <t xml:space="preserve"> Republic of the Philippines  PROVINCIAL GOVERNMENT OF EASTERN SAMAR Provincial Capitol, 6800 Borongan City  E-mail Address: esamar.bac@gmail.com REQUEST FOR QUOTATION RFQ No. 2020-06-289                                                                     </t>
  </si>
  <si>
    <t xml:space="preserve"> ITEM NO.	Unit of issue	ITEM &amp;DESCRIPTION	Brand &amp; Model	QTY.	 1	copy	Investigating Oceanography/2nd ed/Keith Sverdrup &amp; Raphael Kudela/2017		1	 2	copy	Design for Safety/Louis Gullo &amp; Jack Dixon/2018		1	 3	copy	Operation and Control of Renewable Energy Syst</t>
  </si>
  <si>
    <t xml:space="preserve"> Qty.	UNIT	ITEM AND DESCRIPTION					APPROVED BUDGET COST	 							UNIT PRICE	TOTAL 1	UNIT	MOTORCYCLE VEHICLE					 90,000.00 	 90,000.00  		SPECIFICATIONS:						 		DIMENSION: 1919X679X1062 MM						 		WHEEL BASE (MM) 1280						 		GROUND CLEARANCE (MM) 132				</t>
  </si>
  <si>
    <t xml:space="preserve"> 100	reams	Risograph Long 		        Back To Back</t>
  </si>
  <si>
    <t xml:space="preserve"> Supply and Delivery of Various Plumbing Supplies as per PR 20-01-0078A</t>
  </si>
  <si>
    <t xml:space="preserve"> Republic of the Philippines					 		Province of Davao del Sur					 		Municipality of Malalag					 							 		BIDS AND AWARDS COMMITTEE					 		CANVASS/REQUEST FOR QUOTATION					 		For Shopping &amp; Small value Procurement					 						  06/29/2020 	 _____________</t>
  </si>
  <si>
    <t xml:space="preserve"> Repair / Rehabilitation of Slope Protection 		 Cost of Bidding Documents: Php 5,000.00					 Source of Funds: Maintenance Fund 101 CY 2020 The significant times and deadlines of procurement activities are shown below: 1. Issuance of Bidding Documents	Deadl</t>
  </si>
  <si>
    <t xml:space="preserve"> The DPWH-Ilocos Norte Second District Engineering Office, through its Bids and Awards Committee (BAC), invites contractors to submit bids for the Contract: Procurement ID/Contract ID: 20AB0128 Contract Name/Location: CONCRETING OF SITIO BUGA TO SITIO BING</t>
  </si>
  <si>
    <t xml:space="preserve"> 6	pcs	Steel matting 4x8 6	pcs	C Purlins 2 x3 5	pcs	GI Pipe #2  10	pcs	Angle bar #1 1/2 x 1 1/2 7	pcs	Angle bar #1 x1x1/4 4	pcs	GI Pipe #1 3	pcs	Cylindrical hinges #5/8 1	pc	Cutting disk #14 inches 1	pc	Grinding disk #4 inches 5	kg	Welding rod 6	pcs	GI she</t>
  </si>
  <si>
    <t xml:space="preserve"> DepEd, Division of Sorsogon										 Standard Form Number: SF-GOOD-60										 Revised on: May 24, 2004										 REQUEST FOR QUOTATION										 										 						Date:				 						Quotation No.:		20-06-090-_____		 										 										 										 							</t>
  </si>
  <si>
    <t xml:space="preserve"> QTY  UNIT  PARTICULARS 20	units	LAPTOP 		Swift 3 SF314-41-R1HQ-Sparkly 		silver, window 10 home 		AMD RYZEN 3500u 2.1GHz, Max Boost 3.7GHz 		AMD Radeon Vega 8 Mobile Graphics 		14-in- In-plane Switching (IPS) Technology 		4 GB DDR4 SDRAM 		256GB PCI3 NVMe</t>
  </si>
  <si>
    <t xml:space="preserve"> Republic of the Philippines PROVINCE OF BUKDINON Malaybalay City OFFICE OF THE PROVINCIAL GOVERNOR Bids and Awards Committee INVITATION TO BID FOR THE “SUPPLY AND DELIVERY OF WATER HAND PUMP” ITB No. 2020-163 June 30, 2020 1.	The Provincial Government of </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</si>
  <si>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</si>
  <si>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The DPWH-Ilocos Norte Second District Engineering Office, through its Bids and Awards Committee (BAC), invites contractors to submit bids for the Contract: Procurement ID/Contract ID: 20AB0129 Contract Name/Location: CONCRETING OF SITIO USAT, BRGY. BOMITO</t>
  </si>
  <si>
    <t xml:space="preserve"> Notice of Procurement &amp; RFQ for 2020-06-0013 dated June 29, 2020	Procurement of Automatic Temperature Induction and Disinfection AIO (All-in-One) Machine for use in the DPWH Regional Office No. III	PHP 240,000.00</t>
  </si>
  <si>
    <t xml:space="preserve"> The DPWH-Ilocos Norte Second District Engineering Office, through its Bids and Awards Committee (BAC), invites contractors to submit bids for the Contract: Procurement ID/Contract ID: 20AB0127 Contract Name/Location: CONCRETING OF SITIO BUGA TO CURRIMAO R</t>
  </si>
  <si>
    <t xml:space="preserve"> 113 tshirts</t>
  </si>
  <si>
    <t xml:space="preserve"> Republic of the Philippines					 		Province of Davao del Sur					 		Municipality of Malalag					 							 		BIDS AND AWARDS COMMITTEE					 		CANVASS/REQUEST FOR QUOTATION					 		For Shopping &amp; Small value Procurement					 						  06/29/2020  	 ____________</t>
  </si>
  <si>
    <t xml:space="preserve"> PROCUREMENT OF CONSTRUCTION MATERIALS FOR THE REHABILITATION/IMPROVEMENT OF DISTRIBUTION PIPES</t>
  </si>
  <si>
    <t xml:space="preserve"> Item No.    Qty. Unit     Description 1. 8 pcs. 3mm x 1 1/2 Angle Bar 2. 12 pcs. 5mm x 1 1/2 Angle Bar 3. 4 pcs. 5mm x 1 Angle Bar 4. 7 pcs. G.I pipe #1x S40 5. 3 pcs. G.I pipe #2x S40 6. 13 pcs. 16mm RSB 7. 23 pcs. 12mm RSB 8. 31 pcs. 10 mmRSB 9. 5 box w</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</si>
  <si>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</si>
  <si>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REQUEST FOR QUOTATION Name of Procuring Entity:	BARANGAY SAN ISIDRO-IRAYA, MALILIPOT, ALBAY Purchase Request No:		PR No. 2020-___- ___ Mode of Procurement:	NP Small Value Procurement Name of Contract: Purchase of Construction Materials for the Repair of D</t>
  </si>
  <si>
    <t xml:space="preserve"> Request for Quotation 4	ea	Tire 205x70R15  40	ea	Engine Oil  8	ea	Oil Filter   8	ea	Fuel Filter  5	ea	Clutch Disc  6	ea	Clutch Lining  8	ea	Fan Belt  6	ea	Brake Pad  10	ea	Brake Bonding  20	ea	Signal Light  12	ea	Hub Bearing  2	ea	Shock Absorber  10	ea	Cr</t>
  </si>
  <si>
    <t xml:space="preserve"> Commonly Used Office supplies</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</si>
  <si>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</si>
  <si>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1000	pcs	Ballpen Black 500	pcs	Ballpen Blue 300	pcs	Correction Tape 300	pcs	Detergent Powder 60	pcs	Double sided tape 100	pcs	Doormat 1000	pcs	Folder tagboard long 5	ream	Laid paper    short 500 pcs/ream color cream 5	ream	Laid paper    long 500 pcs/ream </t>
  </si>
  <si>
    <t xml:space="preserve"> Republic of the Philippines CITY GOVERNMENT OF ORMOC  2nd /F New Ormoc City Hall Bldg.,Ormoc City Tel # (053) 255-2054 &amp; 560-8050 Local # 1126, 1127 &amp; 1123	      37-________________________ INVITATION TO BID         The City Government of Ormoc, through t</t>
  </si>
  <si>
    <t xml:space="preserve"> Name of the Procuring Entity							Project Reference Number	7078243		 DENR-PENRO, Surigao del Norte							Name of the Project	SCUBA DIVING TRAINING		 										 							Location of the Project	PENRO-SURIGAO DEL NORTE		 										 Standard Form Number: SF-G</t>
  </si>
  <si>
    <t xml:space="preserve"> Please quote your price(s) inclusive of VA T on the items listed below, subject to the Terms and Conditions of this RFQ, and submit your Quotation duly signed by your representative not later than July 10, 2020 at Bids and Awards Committee for goods at Ki</t>
  </si>
  <si>
    <t xml:space="preserve"> INVITATION TO APPLY FOR ELIGIBILITY AND TO BID The City of San Juan, Metro Manila, through its Bids and Awards Committee (BAC), invites interested parties to apply for an Eligibility and if found eligible to bid for the – Name of Project Supply and Delive</t>
  </si>
  <si>
    <t xml:space="preserve"> INVITATION TO APPLY FOR ELIGIBILITY AND TO BID The City of San Juan, Metro Manila, through its Bids and Awards Committee (BAC), invites interested parties to apply for an Eligibility and if found eligible to bid for the – Name of Project  Ordering agreeme</t>
  </si>
  <si>
    <t xml:space="preserve"> DELIVERY OF SUPPLIES AND MATERIALS FOR GRAVELING OF FMR AND CONCRETING OF FMR PUROK 3 OF BARANGAY PLARIDEL</t>
  </si>
  <si>
    <t xml:space="preserve"> DELIVERY OF SUPPLIES AND MATERIALS GRAVELLING OF FMR, CONCRETING OF FMR AND INSTALLATION RCPC OF PUROK 4 BARANGAY PLARIDEL, STA. ELENA, CAMARINES NORTE</t>
  </si>
  <si>
    <t xml:space="preserve"> Procurement of Construction Materials &amp; Supplies						 Purchase Requested by the City Engineering Office/City Mayor's Office, Tabaco City						 						 To Interested Suppliers, Manufacturers and Distributors,						 						 Please quote your lowest price/s o</t>
  </si>
  <si>
    <t xml:space="preserve"> One (1 pc Oil Filter (KM250) and 46 other LI</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</si>
  <si>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</si>
  <si>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Materials Description	Quantity	Unit SC Booklet Medicine	444	Pcs. SC Booklet Groceries and Prime Commodities	444	Pcs. PWD Booklet Medicine	444	Pcs.</t>
  </si>
  <si>
    <t xml:space="preserve"> REQUEST FOR QUOTATION RFQ No. A-020-2020 _____________________________ Name of Dealer/Supplier/Distributor _____________________________ Business Address 	Please quote your lowest price on the item/s listed below, stating the shortest time of delivery and</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</si>
  <si>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</si>
  <si>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INVITATION TO BID         The Local Government Unit of Camaligan, Cam. Sur, through its Bids &amp; Awards Committee (BAC), invites contractors to submit bids for the following contract: Contract Name:  CONSTRUCTION OF MRF MULTI-PURPOSE BUILDING (Covered Court</t>
  </si>
  <si>
    <t xml:space="preserve"> 30 booklets</t>
  </si>
  <si>
    <t xml:space="preserve"> Republic of the Philippines  Province of Agusan del Norte  Municipality of Nasipit BIDS AND AWARDS COMMITTEE June 30, 2020 REQUEST for QUOTATION The Local Government Unit of Nasipit, through its Bids and Awards Committee (BAC) will undertake a Small Value</t>
  </si>
  <si>
    <t xml:space="preserve"> Notice of Procurement and RFQ for 2020-06-0011 - Procurement of Tires for Service Vehicle, Toyota Hi-Ace, Conduction Sticker No. YW 5708, DPWH No. H1-5833</t>
  </si>
  <si>
    <t xml:space="preserve"> Computer Laptop: Intel Core i5 - 102 IOU processor Colored Printer: with ADF; Print, scan, copy and wifi</t>
  </si>
  <si>
    <t xml:space="preserve"> Proposed Earthfilling Bagong Sirang (Poro) San Felipe, Naga City</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</si>
  <si>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</si>
  <si>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I - Steel Works      a.  Main Framing &amp; Roof Framing      b.  Equipment Rental II - Carpentry Works      a.  Counter Table &amp; Fascia Board III - Roofing and Accessories IV - Painting Works</t>
  </si>
  <si>
    <t xml:space="preserve"> 2 units COVID-19 swabbing booth</t>
  </si>
  <si>
    <t xml:space="preserve"> FRONT LOAD WASHING MACHINE •	WASHER WITH DRYER •	INVERTER MOTOR •	DISPLAY: TOUCH LED •	CAPACITY: 8Kg and ABOVE	                1	UNIT WATER DISPENSER •	HOT AND COLD WATER DISPENSER	1	UNIT SENSOR ACTIVATED TRASH BIN •	TOUCHLESS INFRARED MOTION SENSOR	5	PIE</t>
  </si>
  <si>
    <t xml:space="preserve"> One (1) - Supply of labor, tools and materials (Supply of Labor, Tools and Materials for (6) Months Operation and Basic Maintenance Servicing (OBMS) of the Electro-Mechanical System of BSP Cebu Regional Office per BSP Terms of Reference)           nothing</t>
  </si>
  <si>
    <t xml:space="preserve"> REQUEST FOR QUOTATION FOR THE SUPPLY AND DELIVERY PROCUREMENT OF WATER SERVICE CONNECTION MATERIALS Please quote your lowest price on the item/s listed below, subject to the General Conditions and stating the shortest time of delivery and submit your quot</t>
  </si>
  <si>
    <t xml:space="preserve"> l.	The MUNICIPALITY OF GUINAYANGAN, QUEZON, through  the  2020 C.O.    intends to apply the sum of  One Hundred Twenty Four Thousand Eighty Two  Pesos                      (P 124,082.00) being the Approved Budget for the Contract (ABC) to payments under t</t>
  </si>
  <si>
    <t xml:space="preserve"> TERMS OF REFERENCE Technical Consultant (Charged to 2019 Continuing Budget of OTDPRIM) MINIMUM REQUIREMENTS 1.	A seasoned journalist with articles published in a daily newspaper with nationwide circulation.  2.	With at least 20 years of Experience as Edit</t>
  </si>
  <si>
    <t xml:space="preserve"> INVITATION TO BID The Barangay San Isidro-Iraya of Malilipot, Albay through the Bids and Awards Committee (BAC) invites suppliers to bid for the hereunder contract: Name of Contract: Procurement of Materials for the Fencing of Barangay Health Center Locat</t>
  </si>
  <si>
    <t xml:space="preserve"> Item Number	Description	 QTY 	UNIT	 ESTIMATED BUDGET  	Fergola			 1	Sand	1	cu.m.	 325.00  2	Gravel	1	cu.m.	 750.00  3	Portland Cement	9	bags	 2,340.00  4	10mm dia. Deformed Bar	32	lngth.	 6,080.00  5	#18 Tie Wire	3	kgs.	 270.00  6	39 pcs-2"x2"x10' Coco Lu</t>
  </si>
  <si>
    <t xml:space="preserve"> Proposed Earthfilling Bagong Sirang near Obias Residence San Felipe, Naga City</t>
  </si>
  <si>
    <t xml:space="preserve"> 1		pc.	Tarpaulin - material production, installation and dismantling services: 18.50  ft.  X  38.25 ft; 18oz tarp with all around seaming, eyelets, and ropes.		 1		pc.	Tarpaulin - material production, installation and dismantling services: 38.81  ft.  x  </t>
  </si>
  <si>
    <t xml:space="preserve"> Improvement of Multi-Purpose Building @ Brgy Manibaug Pasig, Porac, Pampanga Rib Type Roof 26' 8 pcs CHB 4" 1000 pcs Portland Cement 60 bags 2x5x16 Lumber 10 ocs 2x3x16 Lumber 32 pcs 2x2x12 Lumber 50 pcs Plywood Marine 1/4 20 pcs 10mm Deformed Bars 30 pcs</t>
  </si>
  <si>
    <t xml:space="preserve"> PROCUREMENT AND DELIVERY OF DESKTOP COMPUTERS OF BFP R4A FY 2020</t>
  </si>
  <si>
    <t xml:space="preserve"> Republic of the Philippines Region IX, Zamboanga Peninsula   PROVINCE OF ZAMBOANGA DEL SUR  Municipality of Guipos -oOo- INVITATION TO BID  PROCUREMENT OF SPAREPARTS FOR 6D17 FUSO FIGHTER DUMPTRUCK AND 6D15 MITSUBISHI DUMPTRUCK 1.	The Municipality of Guip</t>
  </si>
  <si>
    <t xml:space="preserve"> 120	Pads	Writing pads 31	Pads	Intermediate pads 60	Pcs	Ball pen 100	Pcs	Activity note book 50	Pcs	Pencil 40	Pcs	Protractor 100	pcs	Ruler 100	Boxes	Crayons(double) 7	Liters	glue 100	Pcs	Scissors 2	Ream	Construction paper 20	pcs	eraser 41	pcs	Writing notebo</t>
  </si>
  <si>
    <t xml:space="preserve"> Supply and Delivery of Materials for  Garments Production of SDSSU Cantilan Campus Please see attached Request for Quotation (RFQ)</t>
  </si>
  <si>
    <t xml:space="preserve"> Solar Street Light</t>
  </si>
  <si>
    <t xml:space="preserve"> l.	The MUNICIPALITY OF GUINAYANGAN, QUEZON, through  the  2020 C.O.    intends to apply the sum of  Two Hundred Twelve Thousand Three Hundred Twenty  Pesos                   (P 212,320.00) being the Approved Budget for the Contract (ABC) to payments under</t>
  </si>
  <si>
    <t xml:space="preserve"> 1	7	sheets	GA # 16x4'x8' G.I Plain Sheets 2	15	length	2 1/2"Øx6.0m. G.I Pipe S40 3	30	length	3mm thk. X 25mm x 25mm x6.0 			m. Angle Bar 4	60	length	10mmØ x 6.0m. Deformed  			Round Bar 5	12	kls	#16 G.I Tie Wire 6	30	bags	Portland Cement 7	6	cu.m	Sand &amp; G</t>
  </si>
  <si>
    <t xml:space="preserve"> Name of the Procuring Entity							Project Reference Number	7078308		 DENR-PENRO, Surigao del Norte							Name of the Project	SERVICE VEHICLE MAINTENANCE		 										 							Location of the Project	PENRO-SURIGAO DEL NORTE		 										 Standard Form Number</t>
  </si>
  <si>
    <t xml:space="preserve"> Video service for the including filming of five story telling videos		 		 The  National  Commission   for   Culture   and   the   Arts   (NCCA) invites prospective bidders to submit their quotations 		 for the following item/s listed below on or before Ju</t>
  </si>
  <si>
    <t xml:space="preserve"> Linear Construction: Length - 600 meters Width - 5 meters No. of days - 49 calendar days Equipment requirements: 1 unit Backhoe 1 unit Payloader 1 unit Low bed trailer 2 units Dumptruck 1 unit Road Grader 1 unit Vibratory Roller 1 unit Water tank Batching</t>
  </si>
  <si>
    <t xml:space="preserve"> Invitation for Negotiated Procurement (Two Failed Biddings) Supply and Delivery of School Supplies and Equipment In view of the two (2) failed biddings, the LGU-Salcedo through its Bids and Awards Committee (BAC) invites interested bidders to participate </t>
  </si>
  <si>
    <t xml:space="preserve"> Interconnection of Pipelines at Poblacion Pump Station VI-Interior Roads of Poblacion</t>
  </si>
  <si>
    <t xml:space="preserve"> Purchase of construction supplies  by alternative mode of procurement through shopping</t>
  </si>
  <si>
    <t xml:space="preserve"> l.	The MUNICIPALITY OF GUINAYANGAN, QUEZON, through  the  2020 C.O.    intends to apply the sum of  One Hundred Sixty  Two Thousand Three Hundred Ten  Pesos                      (P 162,310.00) being the Approved Budget for the Contract (ABC) to payments u</t>
  </si>
  <si>
    <t xml:space="preserve"> Relief Kit(face towel,powdered milk,vitamins,soap)</t>
  </si>
  <si>
    <t xml:space="preserve"> The City Government of Ligao through its Bids and Awards Committee (BAC), now invites bids for the herein project: Name of Contract        :  Opening of Tuburan-Calzada-Bonga FMR Phase II Location                       : Tuburan,  Ligao City Brief Descrip</t>
  </si>
  <si>
    <t xml:space="preserve"> Unit 	Item Description	Quantity 		 ream	Bondpaper (multiply sub.20 80gsm,size 210x297 mm)	65 ream	Bondpaper (multiply sub.20 80gsm,size 8 1/2 x 13 )	55 pcs.	Signed Pen Black liquid gel ink 0.5mm needle tip	100 box	Fastener	5 doz.	Folder ( Long )	30 pcs.	I</t>
  </si>
  <si>
    <t xml:space="preserve"> SUPPLY AND DELIVERY OF MICRONUTRIENT POWDER FOR THE IMPLEMENTATION OF SUPPLEMENTARY FEEDING PROGRAM DURING COMMUNITY QUARANTINE (9TH CYCLE CONTINUATION) PROJECT ID NO: DSWD4B-2020-012   1.	The Department of Social Welfare and Development MIMAROPA Region t</t>
  </si>
  <si>
    <t xml:space="preserve"> Proposed Pathwalk Puring Gamosa, Copradia, Zone 6 San Felipe, Naga City</t>
  </si>
  <si>
    <t xml:space="preserve"> Revised on May 24, 2004						 REQUEST FOR QUOTATION						 Provincial Government of Romblon						 						 				Date:        July 01, 2020		 				Quotation No.:    554		 						 To Our Valued Suppliers:						 						 	Please quote your lowest price on the items/</t>
  </si>
  <si>
    <t xml:space="preserve"> Purchase of school and office supplies through alternative mode of procurement through shopping.</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</si>
  <si>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</si>
  <si>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Procurement of acrylic covers for NCCA Ground Floor		 		 The  National  Commission   for   Culture   and   the   Arts   (NCCA) invites prospective bidders to submit their quotations 		 for the following item/s listed below on or before July 06, 2020  at  </t>
  </si>
  <si>
    <t xml:space="preserve"> Proposed Road Reblocking Custodio St. Bagong Sirang San Felipe, Naga City</t>
  </si>
  <si>
    <t xml:space="preserve"> Name of the Procuring Entity							Project Reference Number	7078350		 DENR-PENRO, Surigao del Norte							Name of the Project	MAINTENANCE OF EIGHT (8) PA FACILITIES IN SIPLAS		 										 							Location of the Project	PASU-SIPLAS, SDN		 										 Standa</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</si>
  <si>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</si>
  <si>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Request for Quotation 2	ea	Ball Joint 2	set	Compressor 1	set	Evaporator 3	set	Condenser 1	set	Front Suspension 2	ea	Ball Joint Upper 6	ea	Rack End 6	ea	Tie Rod End 3	ea	Oil Filter 1	ea	Converter 4	ea	Heater plug 4	set	Brake Pad 1	assy	Fuel Pump 2	ea	Cross</t>
  </si>
  <si>
    <t xml:space="preserve"> Please quote your lowest price on the SUPPLY AND DELIVERY OF TIRES  FOR  MONTERO OF VICE-MAYOR’S OFFICE  as specified below and submit your quotation duly signed by your representative not later than 2pm of       JULY 8, 2020 				 					 								    LEONOR</t>
  </si>
  <si>
    <t xml:space="preserve"> Eco bag with print used for Womens Welfare Program</t>
  </si>
  <si>
    <t xml:space="preserve"> Supply and Delivery of 21,300 Sets of Training Supplies and Materials in the Province of Bohol with the following inclusions per set: •	2 bottles of 150mL Antiseptic Disinfectant Alcohol •	2 bottles of 250mL Multi-Purpose Bleach (Disinfectant) •	1 pc. of </t>
  </si>
  <si>
    <t xml:space="preserve"> INVITATION TO BID FOR NMC &amp; PASUQUIN EXTENSION RIS, PACKAGE 3; REMAINING WORKS ; CLIMATE CHANGE ADAPTATION WORKS (CCAW) FUND; CY 2019 REFERENCE NO. INIMO-2020-06-041 1.	The National Irrigation Administration –Ilocos Norte Irrigation Management Office, thr</t>
  </si>
  <si>
    <t xml:space="preserve"> i. Luna Public Market Security Surveillance System ----------------------	178,000.00 ii. Legislative Building  Security Surveillance System --------------------	136,000.00 iii. Rural Health Unit  Security Surveillance System ---------------------	160,000.</t>
  </si>
  <si>
    <t xml:space="preserve"> PROCUREMENT OF SCHOOL/ OFFICE SUPPLIES</t>
  </si>
  <si>
    <t xml:space="preserve"> 1	set	biometric finger scanner</t>
  </si>
  <si>
    <t xml:space="preserve"> 1.	The Mindanao State University-Tawi-Tawi College of Technology and Oceanography (MSU-TCTO), through the General Appropriations Act (GAA) 2020  intends to apply the sum of One Million Six Hundred Thousand Pesos and  0/100 Centavos (PhP1,600,000.00) being</t>
  </si>
  <si>
    <t xml:space="preserve"> ITB No. 2020-79 July 1, 2020 Republic of the Philippines Province of Davao Oriental CITY OF MATI INVITATION TO BID CONSTRUCTION OF ONE TOWN ONE PRODUCT (OTOP) AND ORGANIC TRADING PORT (OTP) Name of Project 1.	The City Government of Mati, through the 20% L</t>
  </si>
  <si>
    <t xml:space="preserve"> 172 bags Bangus feeds grower 30 bags Fry mash 5 bags Shrimp feeds (starter) 35 bags Shrimp feeds (grower) 10 bags Shrimp feeds (finisher)</t>
  </si>
  <si>
    <t xml:space="preserve"> Invitation to Bid The Manila International Airport Authority, through its Bids and Awards Committee (BAC), invites contractors to apply for eligibility and if found eligible, to bid for the hereunder contract:  Name of Contract                            </t>
  </si>
  <si>
    <t xml:space="preserve"> REPUBLIC OF THE PHILIPPINES PROVINCE OF CEBU MUNICIPALITY OF PINAMUNGAJAN Invitation to Bid for : CONSTRUCTION OF NEW MUNICIPAL CEMETERY 						 1. The MUNICIPALITY OF PINAMUNGAJAN, through the GENERAL FUND  intends to apply the sum of  FOUR  MILLION PESOS</t>
  </si>
  <si>
    <t xml:space="preserve"> INVITATION TO BID FOR THE REBIDDING OF SUPPLY AND DELIVERY OF VARIOUS LABORATORY SUPPLIES AND CONSUMABLES (32 items) 1.	The Department of Agriculture Regional Field Office 1 (DA RFO-1), through the GAA FY 2020 intends to apply the sum of Six Hundred Twent</t>
  </si>
  <si>
    <t xml:space="preserve"> REQUEST FOR QUOTATION No. 2020-379                                                                                                                                 	   Request Reference Number: 100-20-04-188         Date: July 1, 2020 Pursuant to R.A. 9184</t>
  </si>
  <si>
    <t xml:space="preserve"> Name of the Procuring Entity							Project Reference Number	7078394		 DENR-PENRO, Surigao del Norte							Name of the Project	CONSULTANCY ON UPDATING OF SIPLAS GENERAL MANAGEMENT PLAN		 										 							Location of the Project	PASU-SIPLAS, SDN		 								</t>
  </si>
  <si>
    <t xml:space="preserve"> Procurement of Drugs and Medicines for RHU Night Shift Duty</t>
  </si>
  <si>
    <t xml:space="preserve"> 8	Unit 	Photocopier 		General 		•Warm Up time: 31 Seconds 		•First Output speed:8.8 seconds 		• Continous Output Speed: 20 pages per minute 		• Weight: 33.5 kg 		Scan 		• File Format: TIF,JPEG,PDF 		• Scan to: Email/Folder (Option) 		Copier 		• Copying Pr</t>
  </si>
  <si>
    <t xml:space="preserve"> Laptop- 2 Units Technical Specification: • Processor: 1.60 GHz up to 3.40 GHz (4 cores; 8 Threads) or higher • Storage: 250 SSD + 1TB HDD • Memory: 8GB • Monitor: 15.6” Display • Software: Windows 10 Pro  • Hardware: HDMI, USB 2.0/3.0, Ethernet Port (keyb</t>
  </si>
  <si>
    <t xml:space="preserve"> I. Specifications (Please see attached files @ Associated Components). II. Payment upon 100% completion of project. 10% Performance Security shall be deducted and will be refunded to the supplier after One (1) year of completion of the project. III. Penal</t>
  </si>
  <si>
    <t xml:space="preserve"> G.I PIPE 2 ½’’ S 40 14 PCS	 	LED BULB 16 WATTS 70PCS	 	G,I PIPE ¾’S 40 14PCS	 	10 MM STEEL BAR 30PCS	 	9 MM STEEL BAR 30PCS	 	4X4 RECEPTACLE 95PCS	 	G.I. SHEET GAUGE 18 2PCS	 	3/16 X 1 FLAT BAR 10PCS	 	ELECTRIC TAPE BIG 5PCS	 	STRANDED WIRE #14 3BOXES	 	3</t>
  </si>
  <si>
    <t xml:space="preserve"> 6"Ø Sleeve Type Coupling, CI - 6 pcs 6" x 6" Ø CI, Tee (M/M) - 2 pcs 6" x 90˚ CI, Elbow (M/M) - 2 pcs 6"Ø CI, End Cap - 	2 pcs 6"Ø Gate Valve, CI - 1 pcs 1- LOT CONDITIONS: 1. All fittings should conform to the specifications of the district. 2. Suppliers</t>
  </si>
  <si>
    <t xml:space="preserve"> Republic of the Philippines  Department of  Science and Technology  Regional Office No. IX  Pettit Barracks,   Zamboanga  City Tel. Nos. (062) 992-1114; (062) 991-1024 INVITATION TO BID SUPPLY AND DELIVERY OF CARTRIDGE KIT FOR BARNSTEAD E-PURE SYSTEM PR-2</t>
  </si>
  <si>
    <t xml:space="preserve"> OPENING OF BIDS IN DSWD FO IX ZAMBOANGA CITY												 DELIVERY IN DSWD FO IX ZC												 PROCUREMENT FOR THE FF.												 																									 24 can AIR FRESHENER, aerosol, 280ml/150g min, in can, shrink wrapped, assorted scents												</t>
  </si>
  <si>
    <t xml:space="preserve"> Republic of the Philippines Province of Agusan del Norte Municipality of Nasipit BIDS AND AWARDS COMMITTEE June 30, 2020 REQUEST for QUOTATION The Local Government Unit of Nasipit, through its Bids and Awards Committee (BAC) will undertake a Small Value P</t>
  </si>
  <si>
    <t xml:space="preserve"> STREET LIGHTING  - 5 POST</t>
  </si>
  <si>
    <t xml:space="preserve"> Improvement of Barangay Health Center</t>
  </si>
  <si>
    <t xml:space="preserve"> Printing Services for the 2020 CPH</t>
  </si>
  <si>
    <t xml:space="preserve"> Procurement of Airconditioner					 					 Purchase Requested by the City Auditor's Office, Tabaco City					 					 To Interested Suppliers, Manufacturers and Distributors,					 					 Please quote your lowest price/s on the lot or item/s  below, subject to T</t>
  </si>
  <si>
    <t xml:space="preserve"> Particulars: 18280 liters Diesel Please download the linkage below For the complete bidding documents.</t>
  </si>
  <si>
    <t xml:space="preserve"> 1	set	Continuous Printer 2	bottle	Epson L220 ink refill Black  2	bottle	Epson L220 ink refill Yellow 2	bottle	Epson L220 ink refill Magenta  2	bottle	Epson L220 ink refill Cyan 10	ream	Book Paper (Sub 20 short) 3	pouch	Laminating Film (short) 10	piece	Bro</t>
  </si>
  <si>
    <t xml:space="preserve"> Please download attached file in the associated component area for the list of supplies/materials and scope of work.</t>
  </si>
  <si>
    <t xml:space="preserve"> Province of Agusan del Sur Municipality of Rosario Barangay Sta. Cruz Invitation to Bid for CONSTRUCTION OF TRIBAL CENTER 1. The Barangay Sta. Cruz Local Government Unit, through the Government of the Philippines, General Appropriation Act 2018 intends to</t>
  </si>
  <si>
    <t xml:space="preserve"> Black with PSA name and 2020 CPH Logo, 14"x12" Landscape Format and covered in leatherette with Plastic Stopper</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</si>
  <si>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</si>
  <si>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Please see attached Request for Quotation and Technical Specifications</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</si>
  <si>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</si>
  <si>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1	bottle	Epson L220 ink refill Black  1	bottle	Epson L220 ink refill Yellow 1	bottle	Epson L220 ink refill Magenta  1	bottle	Epson L220 ink refill Cyan 6	ream	Book Paper (Sub 20 long) 1	box	Staple Wire no.35 1	pc	External hard drive 1tb 1	pc	Bluetooth tro</t>
  </si>
  <si>
    <t xml:space="preserve"> REQUEST FOR QUOTATION (RFQ) Date: June 30, 2020 R.I.S. No.:	20-88-081 Gentlemen:			 Please submit your lowest price quotation (including taxes and government discounts) on charged account basis, on the following supplies/materials/ equipment or labor for </t>
  </si>
  <si>
    <t xml:space="preserve"> LABORATORY CHEMICALS AND SUPPLIES (3 items) 1.	The Department of Agriculture Regional Field Office 1 (DA RFO-1), through the GAA FY 2020 intends to apply the sum of Thirty-Six Thousand Four Hundred Pesos (PhP36,400.00) being the Approved Budget for the Co</t>
  </si>
  <si>
    <t xml:space="preserve"> Republic of the Philippines RIZAL PROVINCIAL GOVERNMENT Antipolo City INVITATION TO BID  PURCHASE OF UTILITY VEHICLE The Rizal Provincial Government, through the General Fund intends to apply the sum of ₱3,450,000.00 as the Approved Budget for the Contrac</t>
  </si>
  <si>
    <t xml:space="preserve"> QUARTERLY PREVENTIVE MAINTENANCE SERVICES OF CLOSED CIRCUIT TELEVISION (CCTV) FOR 3rd AND 4th QUARTERS AT VARIOUS SSS BRANCH OFFICES UNDER LUZON CENTRAL 2 DIVISION (SSS Angeles, Baliuag, Bocaue, Malolos, Meycauayan, Olongapo &amp; Pampanga Branch Offices) *Pl</t>
  </si>
  <si>
    <t xml:space="preserve"> GRAVEL 90 CUBIC M.	 	ALBAY SAND 72 CUBIC M.	 	POZOLAN CEMENT 720 BAGS	 	C-PURLINS (2X4X6X1.5) 10 PCS</t>
  </si>
  <si>
    <t xml:space="preserve"> PURCHASE OF MOVABLE TENTS FOR ISOLATION, SIKATUNA, BOHOL</t>
  </si>
  <si>
    <t xml:space="preserve"> REQUEST FOR QUOTATION (RFQ) Date: June 30, 2020 R.I.S. No.:	20-88-047 Gentlemen:			 Please submit your lowest price quotation (including taxes and government discounts) on charged account basis, on the following supplies/materials/ equipment or labor for </t>
  </si>
  <si>
    <t xml:space="preserve"> Accomplished RFQ's must be received by the BAC SECRETARIAT of the PROCURING ENTITY at Department of Agriculture-RSO IX, Zamboanga City, on or before the deadline of submission.							 ABC:	853,100.00	 Delivery Period:		30 days Delivery Site:		DA RSO IX - </t>
  </si>
  <si>
    <t xml:space="preserve"> Project Name : Supply and Delivery of Medical /Medical Instrument School Year 2020 - 2021  Approved Budget of Contract ( ABC ) : Php 4,850.00 Area of Delivery : Gulod Elementary School, Gulod, Cabuyao City, Laguna Date of Submission and Opening of Quotati</t>
  </si>
  <si>
    <t xml:space="preserve"> Pencil Eraser Sharpener Notebook Whiteboard Marker Masking Tape Permanent Marker Corrugated Box Packaging Tape Plastic Twine Wrapping Paper Shoelace Ballpen  A4 Bond Paper Letter Bond Paper F4 Bond Paper Ink/Toner Duplo Ink Master Roll</t>
  </si>
  <si>
    <t xml:space="preserve"> Name of the Procuring Entity					"Project Reference Number Name of the Project Location of the Project"					 PHILIPPINE PORTS AUTHORITY, PMO MO/C										 Standard Form Number: SF-GOOD-60										 Revised on: May 24, 2004										 Standard Form Title: </t>
  </si>
  <si>
    <t xml:space="preserve"> The DPWH Neg. Occ. 4th District Engineering Office, Bago City, Neg. Occ., through its Bids and Awards Committee (BAC), invites contractors to submit bids for the following Contracts: 2.	Contract ID No.:       	20GN0093 	Contract Name:  	Concreting of Brgy</t>
  </si>
  <si>
    <t xml:space="preserve"> The Provincial Government of Laguna through its Bids and Awards Committee (BAC) invites suppliers/manufacturers/distributors/contractors to submit quotations for the hereunder project:  Name of Project	:	Medical Supplies for Laguna Chest Center Location	:</t>
  </si>
  <si>
    <t xml:space="preserve"> NATIONAL FOOD AUTHORITY Siquijor Provincial Office Larena, Siquijor REQUEST FOR QUOTATION SMALL VALUE PROCUREMENT  Ref: Small Value Procurement Invitation No. 2020-06-001 2020 REPAIR OF PERIMETER FENCE(PHASE I) OF  NFA COMPOUND, LARENA, SIQUIJOR NOTICE IS</t>
  </si>
  <si>
    <t xml:space="preserve"> The DPWH Neg. Occ. 4th District Engineering Office, Bago City, Neg. Occ., through its Bids and Awards Committee (BAC), invites contractors to submit bids for the following Contracts: 1.	Contract ID No.:       	20GN0092 	Contract Name:  	Concreting of Brgy</t>
  </si>
  <si>
    <t xml:space="preserve"> SHIPPING OF NFP CHARTS (STM, BBT, CMM, REVISED FORM1) TO THE REGIONAL OFFICE  Shipped via sea/land/trucking cargo  Payment to supplier is thru LDDAP-ADA  Pick-up point is specified warehouse in Paranaque City  Pick-up should within 1-2 days upon notif</t>
  </si>
  <si>
    <t xml:space="preserve"> Province of Agusan del Sur Municipality of Rosario Barangay Maligaya Invitation to Bid for CONSTRUCTION OF TRIBAL CENTER 1.	The Barangay Maligaya Local Government Unit, through the Government of the Philippines, General Appropriation Act 2018 intends to a</t>
  </si>
  <si>
    <t xml:space="preserve"> ITEM DESCRIPTION - HONDA XRM 125CC MOTORCYCLE ABC - 70,000.00Php</t>
  </si>
  <si>
    <t xml:space="preserve"> Communication load</t>
  </si>
  <si>
    <t xml:space="preserve"> Philippine Science High School – Central Luzon Campus (PSHS-CLC) wishes to invite proponent for the Procurement for the Provision of Calibration Services of Various Science Laboratory Equipment for SY 2020-2021 of PSHS-CLC with ABC of Seventy-Five Thousan</t>
  </si>
  <si>
    <t xml:space="preserve"> Supply and Delivery of 3,612 sets of Peerless Box for Pag-IBIG Fund Specifications: Box Dimension: 0.31m x 0.38m x 0.25m (12” x 15” x 10”) Logo: 3.0” x 3.0” Box No.: 1.5” x 4.0” Period Covered: 1.5” x 4.0” Record Title: 1.5” x 11.5” Creation Date: 1.5” x </t>
  </si>
  <si>
    <t xml:space="preserve"> Deadline of Submission of Quotation: July 8, 2020, 2:00 PM Opening of Quotation: July 8, 2020, 3:00 PM at the BAC Office</t>
  </si>
  <si>
    <t xml:space="preserve"> 1 sala set</t>
  </si>
  <si>
    <t xml:space="preserve"> Project Name : Supply and Delivery of Personal Care Products School Year 2020 - 2021  Approved Budget of Contract ( ABC ) : Php 57,085.00 Area of Delivery : Gulod Elementary School, Gulod, Cabuyao City, Laguna Date of Submission and Opening of Quotation :</t>
  </si>
  <si>
    <t xml:space="preserve"> Request for Qoutation The Municipality of Sta. Rita now invites Suppliers to submit Bids for the CATERING SERVICES FOR THE DISTRIBUTION OF FARMERS ASSISTANCE. The Approved Budget Cost is One Hundred Thousand Pesos (Php100,000.00). Said prospective supplie</t>
  </si>
  <si>
    <t xml:space="preserve"> R/M</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</si>
  <si>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</si>
  <si>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Internet Subscription Expenses</t>
  </si>
  <si>
    <t xml:space="preserve"> Republic of the Philippines Province of Albay Municipality of Rapu-Rapu Barangay Buenavista INVITATION TO BID FOR THE 20% EDF CY 2019 PROJECTS 1.	The Barangay Local Government Unit of Buenavista, Rapu-Rapu, Albay, through the Budget for the Contract Appro</t>
  </si>
  <si>
    <t xml:space="preserve"> Republic of the Philippines Province of Albay Municipality of Rapu-Rapu Barangay Malobago INVITATION TO BID FOR THE CONSTRUCTION OF SEAWALL PHASE 1 1.	The Barangay Local Government Unit of Malobago, Rapu-Rapu, Albay, through the Budget for the Contract Ap</t>
  </si>
  <si>
    <t xml:space="preserve"> LOT 1		ABC= 2,597,200.00 1	51,944	Liter	Diesel Fuel 			 			•Winning supplier shall install at the General Services one (1) unit tank for diesel and fuel with total capacity of 16,000 liters and one (1) unit fuel pump for free us of the end-user for the du</t>
  </si>
  <si>
    <t xml:space="preserve"> Name of the Procuring Entity							Project Reference Number	7078436		 DENR-PENRO, Surigao del Norte							Name of the Project	INFRA. NETWORK POINT TO POINT WIRELESS CONNECTION		 										 							Location of the Project	PENRO-SDN		 										 Standard For</t>
  </si>
  <si>
    <t xml:space="preserve"> VEHICLE (Ambulance) Engine Specification: model 1GD-FTV- 2.8 Diesel M/T Engine tech 4 cylinders, in line type Type 16 valve DOHC Displacement 2,755 cc Maximum output 176/3400 Maximum tourque 420/1400-2600 Bore and stroke 92.0 x 103.6 Compression ratio 15.</t>
  </si>
  <si>
    <t xml:space="preserve"> Supply and delivery of labor and materials for the repair of FLGC Warehouse covering the replacement of damaged canopy roofings, provision of new main gate, concreting and installation of concrete fence and repair of perimeter fence with barbed wire.</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</si>
  <si>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</si>
  <si>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Purchased of COVID Response Items for safety and precautionary measures against the COVID 19 pandemic</t>
  </si>
  <si>
    <t xml:space="preserve"> 304th Contracting Office										 ARMED FORCES OF THE PHILIPPINES PROCUREMENT SERVICE										 Naval Station Leovigildo Gantioqui 										 San antonio, Zambales										 										 REQUEST FOR QUOTATION 										 										 01 July 2020						RFQ NO:</t>
  </si>
  <si>
    <t xml:space="preserve"> SPL-1 CONSTRUCTION SAFETY AND HEALTH PROGRAM SPL-2 STEEL SCAFFOLDING  SPL-3 REMOVAL OF EXISTING TRUSSES FRAMES &amp; ROOFING ACCESSORIES FOR (MAIN BUILDING ONLY) 712    FABRICATION AND INSTALLATION OF NEW ROOF FRAMING TRUSS STRUCTURE (MAIN BUILDING) AND      </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</si>
  <si>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</si>
  <si>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</si>
  <si>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GENERAL MERCHANDISE					 STAND fan standard for office	2	units Welding rod J38.12 E6013		4	boxes Industrial fan 				1	unit Welding rod for stainless special	2	boxes</t>
  </si>
  <si>
    <t xml:space="preserve"> Purchase of Paint</t>
  </si>
  <si>
    <t xml:space="preserve"> 1. 1 unit 6’ x 8’ Tarpaulin Printing ( Project Billboard) 2. 2 unit 2’ x 6’ Tarpaulin Printing ( Warning Sign Board) 3. 10 pcs. 2 x 2 x 10 Good Lumber – 33.33 bd.ft. 4. 6 pcs. 2 x 3 x 10 Good Lumber – 30.00 bd.ft 5. 34 pcs. 2 x 2 x 10 Good Lumber ( for bo</t>
  </si>
  <si>
    <t xml:space="preserve"> Republic of the Philippines        NATIONAL FOOD AUTHORITY                 Cebu Provincial Office Banilad, Cebu City                     REQUEST FOR QUOTATION RE-NEGOTIATED Procurement SMALL VALUE PROCUREMENT  Ref: Small Value Procurement Invitation No. 2</t>
  </si>
  <si>
    <t xml:space="preserve"> INVITATION TO BID for PURCHASE OF ONE (1)   RESCUE VEHICLE (MULTICAB) WITH ESSENTIAL RESCUE EQUIPMENT The Municipality of Tingloy, through the LDRRMF FUND  intends to apply the sum of FOUR HUNDRED THOUSAND PESOS (PHP 400,000.00) being the Approved Budget </t>
  </si>
  <si>
    <t xml:space="preserve"> The Barangay 76 Zone 10, through its Bids and Awards Committee (BAC) invites suppliers/manufacturers/distributors/contractors to apply and submit sealed bids for Proposed Construction of Concrete Pedestal, Supply and Installation of Lighting Facilities Ph</t>
  </si>
  <si>
    <t xml:space="preserve"> Installation of 14 units solar streetlights at various sitios</t>
  </si>
  <si>
    <t xml:space="preserve"> INVITATION TO BID for PURCHASE OF ONE (1)    FIRETRUCK ( MULTICAB) WITH FIRE RESCUE EQUIPMENT 1.The Municipality of Tingloy, through the LDRRMF FUND  intends to apply the sum of FIVE HUNDRED THOUSAND PESOS (PHP 500,000.00) being the Approved Budget for th</t>
  </si>
  <si>
    <t xml:space="preserve"> 4 pcs. 1 1/2'' dia. G.I Pipe S40 1 pc. Pipe wrench 36'' 1 pc. Pipe chain wrench 36'' 4 pcs. 1 1/2'' dia. G.I Coupling  1 pail Chlorine 1 roll 1/2 dia. P.E pipe</t>
  </si>
  <si>
    <t xml:space="preserve"> Printing of Progestin Sub-Dermal Implant (PSI) Individual Box Sticker Label Project Specification/Details:  Size: 1x3 inches  Font: Akrobat  Font Size:  (NOT FOR SALE) #23  (POPCOM and Philippine Government Property) #13.4  Type of Sticker: Glossy </t>
  </si>
  <si>
    <t xml:space="preserve"> PROCUREMENT AND DELIVERY OF GENERATOR SETS OF BFP R4A FY 2020</t>
  </si>
  <si>
    <t xml:space="preserve"> 7 ea Mobile Drawers &amp; 1 L/I</t>
  </si>
  <si>
    <t xml:space="preserve"> 40 pk Assorted Candies, 50s &amp; 18 L/I</t>
  </si>
  <si>
    <t xml:space="preserve"> Appendix 60	 					 PURCHASE REQUEST 					 					 Entity Name: 	TESDA RO V		Fund Cluster: 		 					 Office/Section :  		 PR No.: 2020-06-PR 021 		Date: 	 FASD		Responsibility Center Code : 16-009-03-00005-97		June 30, 2020	 "Stock/  Property No."	Unit 	Item </t>
  </si>
  <si>
    <t xml:space="preserve"> 105 rm Paper, Copier, A4 &amp; 14 L/I</t>
  </si>
  <si>
    <t xml:space="preserve"> 2  pcs  Tire 13.00 x 24</t>
  </si>
  <si>
    <t xml:space="preserve"> 35 cn Insecticide, Aerosol can spray &amp; 14 L/I</t>
  </si>
  <si>
    <t xml:space="preserve"> Paper: White Paper - GSM 70 Print: 1-side printing Paper Size: A4 SORTED STAPLED 3x at the left side Bookbinded Grade 7  Total No. of pages: 273 No. of copies: 725 Grade 8 Total No. of pages: 282 No. of copies: 701 Grade 9 Total No. of pages: 276 No. of c</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</si>
  <si>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</si>
  <si>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Republic of the Philippines										 Department of Public Works and Highways										 Quezon 1st District Engineering Office										 Brgy. Abang, Lucban, Quezon										 	Name of procuring Entity :					 Request for Quotation (P.R. No.)  :			2020-06-1</t>
  </si>
  <si>
    <t xml:space="preserve"> 1000 pcs Rapid Covid Testing Kit</t>
  </si>
  <si>
    <t xml:space="preserve"> 25 ea Pen, Sign Blue &amp; 29 L/I</t>
  </si>
  <si>
    <t xml:space="preserve"> INVITATION TO BID for PURCHASE OF ONE (1)   MULTIPURPOSE (MULTICAB)  VEHICLE  1.The Municipality of Tingloy, through the LDRRMF FUND  intends to apply the sum of THREE HUNDRED THOUSAND PESOS (PHP 300,000.00) being the Approved Budget for the Contract (ABC</t>
  </si>
  <si>
    <t xml:space="preserve"> 5 rolls P,E Pipe 1'' dia. 5 pcs. 1'' dia. Union patente 3 pcs. 1 1/2'' x 1'' dia. Elbow reducer 3 pcs. 1'' dia. Elbow 4 unit jecmatic pump 2 pcs. pitcher pump 3 pcs. foot valve 4 pcs. 1 1/4'' dia. Check valve 4 pcs. 1'' dia. check valve 2 pcs. pipe wrench</t>
  </si>
  <si>
    <t xml:space="preserve"> A12 300Mbps Repeater Range Extender	7 pcs Uninterruptible power supply (UPS)	7 pcs Smart TV 32"	4 pcs Printer Scan legal paper, Refill Tank System, Wifi, Mobile-Print, ADF Print, Scan and Copy with Built-in Wireless Borderless Printing	10 pcs 500GB Hard D</t>
  </si>
  <si>
    <t xml:space="preserve"> Purchase of Rescue Equipment</t>
  </si>
  <si>
    <t xml:space="preserve"> 10  PC   INK, EPSON L3110, CYAN 10  PC   INK, EPSON L3110, MAGENTA 10  PC   INK, EPSON L3310, YELLOW 30  PC   INK, EPSON T664, BLACK 20  SET INK, EPSONT664, CYAN, MAGENTA, YELLOW   5  PC  TONER CARTRIDGE, HP 85A   2  PC  TONER CARTRIDGE, SAMSUNG, CLT-K404</t>
  </si>
  <si>
    <t xml:space="preserve"> Republic of the Philippines Office of the Municipal Mayor BIDS AND AWARDS COMMITTEE Sual, Pangasinan Invitation to Bid for PROCUREMENT OF OFFICE SUPPLIES AND EQUIPMENT (MPDO) Sual, Pangasinan 1.	The Municipal Government of Sual, Pangasinan, through the 20</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</si>
  <si>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</si>
  <si>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</si>
  <si>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Paper: White Paper - GSM 70 Print: 1 side printing Paper Size: A4 SORTED STAPLED    3x at the left side Bookbinded Grade 11 (GAS) Total No. of pages: 336 No. of copies: 217 Grade 11 (ABM) Total No. of pages: 333 No. of copies: 164 Grade 12 (ABM) Total No.</t>
  </si>
  <si>
    <t xml:space="preserve"> The DPWH Nueva Ecija 1st DEO, through its Bids and Awards Committee (BAC), invites contractors to submit bids for the following contract:			 				 	20CE0233: Construction of Multi-Purpose Building (Phase 1), Brgy. Saint John, Guimba, Nueva Ecija			 				 		</t>
  </si>
  <si>
    <t xml:space="preserve"> Please see Request for Quotation attached to associated components.</t>
  </si>
  <si>
    <t xml:space="preserve"> 103        EXCAVATION 104        BACKFILL 404        REINFORCING STEEL BAR 405        CONCRETE CLASS "A" SPL-l      FORMS &amp; SCAFFOLDING 704        MASONRY WORKS SPL-ll     ROOF FRAMING 1014      ROOFING 1018      TILE WORKS 1027      PLASTERING 1032      </t>
  </si>
  <si>
    <t xml:space="preserve"> OASP-DENIS A. TAN			 1	set	2	Desktop Computer, i5 with RAM &amp; HD 1 TB 			(All in One with office software, UPS &amp; AVR) 2	unit	1	Laptop Computer, i7 Touchscreen 			Specifications: Intel Core i5; Windows 10; 4GB RAM; 1TB HDD; 2GB Graphics; 12 HD LED Screen; 2</t>
  </si>
  <si>
    <t xml:space="preserve"> JOSE B. LINGAD MEMORIAL REGIONAL HOSPITAL City of San Fernando, Pampanga Tel. No. (045) 961-3921 Date: July 01, 2020 No. 2020 – 07 - 205-S REQUEST FOR QUOTATION (Name of Agency) (Address) Sir/Madam: Please quote your lowest price on the item/s listed belo</t>
  </si>
  <si>
    <t xml:space="preserve"> PROCUREMENT OF CELL PHONE WITH SPECS OF 500 MAH BATTERY , 3 GB RAM + 32 GB ROM, QUAL  COMM. OCTA CORE PROCESSOR, 6.35 INCHES HALO FULL VIEW DISPLAY, FINGER PRINT SCANNING. FOR FURTHER DETAILS VISIT THE BARANGAY</t>
  </si>
  <si>
    <t xml:space="preserve"> General Cleaning and Check-up of NSRC Office Aircon Units for 12 months  -2 Wall-mounted  -3 Cassette-type   -1 Window-type</t>
  </si>
  <si>
    <t xml:space="preserve"> The DPWH Nueva Ecija 1st DEO, through its Bids and Awards Committee (BAC), invites contractors to submit bids for the following contract:			 				 	20CE0235: Widening of Permanent Bridges Manicla Br. (B01968LZ) along Daang Maharlika (LZ)			 				 				 	CONT</t>
  </si>
  <si>
    <t xml:space="preserve"> Repair of the University Homestay 1	30	pcs	Ordinary Corrugated Color Roofing (green),0.4 mm thkx6mx1.0m effective width 2	10	pcs	Plain Sheet Color Rooofing (Green),0.4 mm thk x 1.2m x 2.4m 3	30	pcs	Spanish Gutter Color Roofing (green),0.4 mm thk x 2.4m 4	</t>
  </si>
  <si>
    <t xml:space="preserve"> JOSE B. LINGAD MEMORIAL REGIONAL HOSPITAL City of San Fernando, Pampanga Tel. No. (045) 961-3921 Date: July 01, 2020 No. 2020 – 07 - 206-S REQUEST FOR QUOTATION (Name of Agency) (Address) Sir/Madam: Please quote your lowest price on the item/s listed belo</t>
  </si>
  <si>
    <t xml:space="preserve"> Republic of the Philippines Province of Leyte Municipality of Mahaplag BARANGAY SAN ISIDRO Invitation to bid for the Procurement of Materials for the Construction of Multi - Purpose Building (Phase I) 1. The Barangay San Isidro of Mahaplag, Leyte, through</t>
  </si>
  <si>
    <t xml:space="preserve"> HARDWARE AND CONSTRUCTION SUPPLIES	 				 SQUARE BAR for grills          20	pcs FLAT BAR				 10	pcs Marine plywood 1/4		40	pcs Coco lumber 2x2x10		40	pcs</t>
  </si>
  <si>
    <t xml:space="preserve"> 1.	The Municipal Government of Placer, through the Budget for the contract approved by the respective Sanggunian-  General Fund CY 2020 intends to apply the sum of One Million Four Hundred Thirty Thousand pesos (P 1,430,000.00) being the Approved Budget f</t>
  </si>
  <si>
    <t xml:space="preserve"> SPL-1 REMOVAL AND RE-INSTALLATION OF REPAINTED G.I SHEETS ROOFING  SPL-2 TOTAL REPLACEMENT OF CEILING AND CEILING JOIST AT GROUND FLOOR AND SECOND FLOOR SPL-3 SELECTED REPLACEMENT OF DILAPIDATED PLYWOOD FLOORING AND WALLING &amp; PARTITIONS WALLS SPL-4 APPLIC</t>
  </si>
  <si>
    <t xml:space="preserve"> Republic of the Philippines MUNICIPALITY OF BUNAWAN, AGUSAN DEL SUR Invitation to Bid/ Instruction to Bidders PURCHASE OF RICE PLANTER USE TO SUPPORT RICE PRODUCTION FOR THE MUNICIPALITY OF BUNAWAN July 01, 2020 1.	The Municipality of Bunawan, now invite </t>
  </si>
  <si>
    <t xml:space="preserve"> The DPWH Nueva Ecija 1st DEO, through its Bids and Awards Committee (BAC), invites contractors to submit bids for the following contract:			 				 	20CE0234: Construction of Multi-Purpose Building with Covered Court, Zaragoza, Nueva Ecija			 				 				 	CON</t>
  </si>
  <si>
    <t xml:space="preserve"> RGMO - RV SUDARIA			 1	Unit 	 10 	54LED 3W 3in1 RGB Full Color Led par light 2	Unit 	1	Guitar Amplifier (Power:85 watts Drivers:12" Custom Driver + Switchable HF horn Inputs: Normal &amp; High, CD Input: Yes (mini Jack)/No Headphone Socket,Switchable compress</t>
  </si>
  <si>
    <t xml:space="preserve"> 1.	The Municipal Government of Placer, through the Budgte for the contract approved by the respective Sanggunian-  General Fund CY 2020 intends to apply the sum of Two Million One Hundred Forty Two Thousand pesos (P 2,142,000.00) being the Approved Budget</t>
  </si>
  <si>
    <t xml:space="preserve"> SPECIFICATION: 10units SCOPE OF WORK: I- Steel Post II- Electrical III- Concrete Works IV- Painting</t>
  </si>
  <si>
    <t xml:space="preserve"> Republic of the Philippines MUNICIPALITY OF BUNAWAN, AGUSAN DEL SUR Invitation to Bid/ Instruction to Bidders PURCHASE OF ORGANIC FERTILIZER – GRANULES USE TO SUPPORT TO ORGANIC AGRICULTURE PROGRAM July 01, 2020 1.	The Municipality of Bunawan, now invite </t>
  </si>
  <si>
    <t xml:space="preserve"> Republic of the Philippines Province of Sarangani Municipality of Malapatan INVITATION TO BID  	 2020-B1-06-020        PROCUREMENT OF MATERIALS FOR REHABILITATION OF CRISIS INTERVENTION CENTER BUILDING, MUNICIPAL SITE, BARANGAY POBLACION, MALAPATAN, SARAN</t>
  </si>
  <si>
    <t xml:space="preserve"> SMALL VALUE PROCUREMENT (REQUEST FOR QUOTATION/PROPOSALS) July 1, 2020 The Bureau of Jail Management and Penology National Capital Region, through its Bids and Awards Committee (BAC), invites suppliers/ manufacturers/distributors/contractors to quote the </t>
  </si>
  <si>
    <t xml:space="preserve"> The DPWH Nueva Ecija 1st DEO, through its Bids and Awards Committee (BAC), invites contractors to submit bids for the following contract:			 				 	20CE0236: Replacement of Permanent Weak Bridges Amawinan Br. (B01981LZ) along Daang Maharlika (LZ)			 				 	</t>
  </si>
  <si>
    <t xml:space="preserve"> 1	set	1	Supply and Installation of 50KVA Silent Type 			Generator Set with ATS and Canopy 			220V @60Hz, Prime KVA: 50KVA 			Standby KVA: 55KVA, Phase:3,RPM:1500 			Engine: Diesel Turbo, Dimension 			LXWXH 2350mmx900mmx1150mm 			Weight -1 Ton, Tank Capaci</t>
  </si>
  <si>
    <t xml:space="preserve"> contractors to quote the lowest government price for hereunder project Name of the Project	Procurement of COVID-19 Response Items (Surgical Face Masks and Surgical Gloves) for BJMP-NCR Approved Budget for the Contract	 Three Hundred Eighty Five Thousand F</t>
  </si>
  <si>
    <t xml:space="preserve"> 103 EXCAVATION 104 BACKFILL 404 REINFORCING STEEL BARS 405 STRUCTURAL CONCRETE CLASS "A" 704 MASONRY WORKS 1002 PLUMBING WORKS 1003 ROOFING WORKS 1018 TILE WORKS 1027 PLASTERING WORKS 1032 PAINTING WORKS 1100-01 ELECTRICAL WORKS SPL-1 FORMS AND SCAFFOLDIN</t>
  </si>
  <si>
    <t xml:space="preserve"> Please see attached Bid Documents</t>
  </si>
  <si>
    <t xml:space="preserve"> REPLACEMENT OF LED BULB &amp; EXPANSION OF STREET LIGHT 10 rolls THHN wire #12 5 rolls Electrical Tape (Big) 85 pcs. LED Bulb 9 watts 2 pcs. 1 1/4;; dia. G.I Pipe s40 1 set Panel board 4 branches 1 set double throw 30 amp. 60 pcs. receptacle 2x2 15 pcs. PVC p</t>
  </si>
  <si>
    <t xml:space="preserve"> Republic of the Philippines MUNICIPALITY OF BUNAWAN, AGUSAN DEL SUR Invitation to Bid/ Instruction to Bidders PURCHASE OF ORGANIC FOLIAR FERTILIZER USE TO SUPPORT TO ORGANIC AGRICULTURE PROGRAM July 01, 2020 1.	The Municipality of Bunawan, now invite bids</t>
  </si>
  <si>
    <t xml:space="preserve"> Specification: 12 units Scope of Work: I- Steel Post II- Electrical III- Concrete Works</t>
  </si>
  <si>
    <t xml:space="preserve"> 162 PACKS MEALS AND SNACKS 112 BOTTLES MINERAL WATER</t>
  </si>
  <si>
    <t xml:space="preserve"> Republic of the Philippines Province of Leyte Municipality of Mahaplag BARANGAY CAMPIN Invitation to bid for the Procurement of Materials for the Road Reblocking 1. The Barangay Campin of Mahaplag, Leyte, through the 20% EDF intends to apply the sum of Ph</t>
  </si>
  <si>
    <t xml:space="preserve"> 1,500 Liters - Diesel 300 Ltrs. Premium Gasoline 300 Ltrs. Unleaded Gasoline Amount Approved: Php126,000.00 Source of Fund: General</t>
  </si>
  <si>
    <t xml:space="preserve"> VARIOUS CONSTRUCTION MATERIALS</t>
  </si>
  <si>
    <t xml:space="preserve"> SOURCE OF FUND: MOOE 2020 ITEMS: 1. SCHOOL BAGS = 750pcs 2. WRITING NOTEBOOK = 4,000pcs 3. SPRING NOTEBOOK = 4,000pcs 4. PENCIL = 600pcs 5. BALLPEN = 500pcs 6. GRADE 1 PAPER = 300pad 7. GRADE 2 PAPER = 200pad 8. GRADE 3 PAPER = 200pad 9. GRADE 4 PAPER = 2</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</si>
  <si>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</si>
  <si>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</si>
  <si>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ITEM    DESCRIPTION                                 QTY.        UNIT I.         EXCAVATION           II.        LIGHTING POST &amp; INSTALLATION             OF WIRING &amp; LIGHTING                  50    LN.M</t>
  </si>
  <si>
    <t xml:space="preserve"> Procurement of Various Supplies in response for the COVID 19 Pandemic...</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</si>
  <si>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</si>
  <si>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4,000 Sacks -  Transportation, Labor, Hauling NFA Rice  -  Food Assistance Re-COVID 19 Pandemic Amount Approved: 140,000.00 Source of Fund: General</t>
  </si>
  <si>
    <t xml:space="preserve"> Purchase of Various School Supplies such as Printer, Bond paper A4 size, ink black and colored: Lot 1   May  Purchase of Various Office Supplies                 2,000.00 Lot 2 June Purchase of Various Office Supplies                 72,200.00 Lot 3 July P</t>
  </si>
  <si>
    <t xml:space="preserve"> INVITATION TO BID  REHABILITATION OF POBLACION WATER SYSTEM LGU-GIGMOTO, CATANDUANES 		 June 30, 2020 1.	The Municipal Government of Gigmoto, through CY 2020 20% EDF intends to apply the sum of Seven Hundred Sixty Two Thousand Two Hundred Eighty Four Peso</t>
  </si>
  <si>
    <t xml:space="preserve"> ELECTRIFICATION</t>
  </si>
  <si>
    <t xml:space="preserve"> Republic of the Philippines Province of Leyte Municipality of Kananga BARANGAY LIM-AO 1.	The Barangay Government of Lim-ao, Kananga, Leyte, through its BIDS AND AWARDS COMMITTEE (BAC),through the DOE ER 1-94 Fund intends to apply the sum of One Million Si</t>
  </si>
  <si>
    <t xml:space="preserve"> Lot 1 - Improvement of Feeding Area Kitchen - PhP 18, 745.00 Lot 2 - Repiping of the School Water System - PhP 16, 358.00 Lot 3 - Repair of Ceiling of Room H5 - PhP 20, 980.00 Lot 4 - Repair of Wirings of Room H5 - PhP 3, 688.00 Lot 5 - Repair of Perimete</t>
  </si>
  <si>
    <t xml:space="preserve"> INVITATION TO BID  PURCHASE OF MEDICINE LGU-GIGMOTO, CATANDUANES 		 June 30, 2020 1.	The Municipal Government of Gigmoto, through CY 2020 General Fund intends to apply the sum of Seven Hundred Ninety Nine Thousand Seven Hundred Sixty Pesos (Php799,760.00)</t>
  </si>
  <si>
    <t xml:space="preserve"> Republic of the Philippines DEPARTMENT OF PUBLIC WORKS AND HIGHWAYS BATANGAS III DISTRICT ENGINEERING OFFICE REGIONAL OFFICE IV-A J. Gonzales St., Barangay 4, Tanauan City REQUEST FOR EXPRESSION OF INTEREST (CONSL-2020-02) for the 20CSDD02 - Consultancy S</t>
  </si>
  <si>
    <t xml:space="preserve"> Procurement of supplies to be used in modular learning...</t>
  </si>
  <si>
    <t xml:space="preserve"> Republic of the Philippines DEPARTMENT OF PUBLIC WORKS AND HIGHWAYS BATANGAS III DISTRICT ENGINEERING OFFICE REGIONAL OFFICE IV-A J. Gonzales St., Barangay 4, Tanauan City REQUEST FOR EXPRESSION OF INTEREST (CONSL-2020-01) for the 20CSDD01 - Consultancy S</t>
  </si>
  <si>
    <t xml:space="preserve"> Procurement of Semi-Expandable Equipment to be used in modular learning...</t>
  </si>
  <si>
    <t xml:space="preserve"> 1 1 PC PANAFLEX SIGNAGE (AJDH 2FT Hx18FT W,6" THICKNESS) 2 1 PC PANAFLEX SIGNAGE (PHILHEALTH 2FT Hx5FT W,6" THICKNESS) 3 1 PC PANAFLEX SIGNAGE (6FT Hx13FT W ,6" THICKNESS)</t>
  </si>
  <si>
    <t xml:space="preserve"> To supply and deliver at BFAR 3 Office: 20 pads Multipurpose copy paper (A4, 70gsm) 20 pads Multipurpose copy paper (Legal, 70gsm) 5 bot Ink Epson L3150 Black (65ml) 5 bot Ink Epson L3150 Cyan (65ml) 5 bot Ink Epson L3150 Yellow (65ml) 5 bot Ink Epson L31</t>
  </si>
  <si>
    <t xml:space="preserve"> Total Budget 57,517</t>
  </si>
  <si>
    <t xml:space="preserve"> Lot 1 - PhP 10, 350.00 Note:     Please see attached file for more details.</t>
  </si>
  <si>
    <t xml:space="preserve"> Please see attached Terms of Reference</t>
  </si>
  <si>
    <t xml:space="preserve"> REPUBLIC OF THE PHILIPPINES PROVINCE OF EASTERN SAMAR MUNICIPALITY OF LAWAAN REQUEST FOR QUOTATION PR No.: RFQ No.: PR Date: PhilGEPS Reference No. : End-User : Closing Date: ABC:234,000.00 Time: Sir/Madam: Please quote your lowest price on the items/s li</t>
  </si>
  <si>
    <t xml:space="preserve"> Republic of the Philippines Province of Leyte Municipality of Kananga BARANGAY LIM-AO 1.	The Barangay Government of Lim-ao, Kananga, Leyte, through its BIDS AND AWARDS COMMITTEE (BAC),through the Supplemental Budget No. 3 (General Fund) (Retained Earnings</t>
  </si>
  <si>
    <t xml:space="preserve"> Procurement of Various Supplies used for Repair and Renovation of Water System Facilities</t>
  </si>
  <si>
    <t xml:space="preserve"> Item no.	Qty.	Unit	ARTICLES 			 1	100	pc/s	LED Bulb, 9W, Daylight, 900 lm, 230v, 60hz Non dimmable 			 2	100	pc/s	LED T8 ,18W, Daylight, 2340 lm, 230v, 60hz Double ended 			 3	30	pcs/	LED T8, 9W, Daylight,900 lm, 230v, 60hz, Double ended  			L= 600mm 			 </t>
  </si>
  <si>
    <t xml:space="preserve"> Lot 1 - PhP 21, 600.00 Note:    PLease see attached file for more details.</t>
  </si>
  <si>
    <t xml:space="preserve"> Procurement of Semi-Expandable Equipment to be used in Installing the Water System of the School...</t>
  </si>
  <si>
    <t xml:space="preserve"> Unit 	Item Description		                                                     Quantity	 Unit Cost 	          Total Cost  					 Unit 	Freezer, chest type, eco-55 PDF/5.5 Cu ft, with sliding glass		9	        14,200.00 	 127,800.00  Unit 	Freezer, RDD-7OS, 7.</t>
  </si>
  <si>
    <t xml:space="preserve"> ITEM NO.	UNIT		QTY		DESCRIPTION		 							 					COMMON OFFICE SUPPLIES		 1	 piece 		300		Assorted Pad Paper, Grade 1 - 6 Intermediate 80 leaves		 2	 can 		1		Air Freshener, California scent, car shaldan		 3	 box 		3		Acetate film, clear, A4 size 100pcs/box</t>
  </si>
  <si>
    <t xml:space="preserve"> No.   Unit 	Item Description	                              Quantity	Unit Cost	Total Cost 					 1	pcs.	Magazine Filer, single	                                    10	230.00	 2,300.00  2	packs	Folder, w/tab, legal, 100 pcs/pack	      2	600.00	 1,200.00  3	pa</t>
  </si>
  <si>
    <t xml:space="preserve"> Supply and Delivery of LOT I 450 cu.m. Common Borrow: Php 202,500.00 Total Amount: Php 202,500.00</t>
  </si>
  <si>
    <t xml:space="preserve"> Item No.	Unit	ITEM DESCRIPTION				Qty.	ESTIMATED UNIT COST	ESTIMATED COST 1	       sheet	 Plywood - marine, 5mm			50	 400.00 	                        20,000.00  2	        kg.	 G.I Sheets - 12ft.				80	 450.00 	                        36,000.00  3	        </t>
  </si>
  <si>
    <t xml:space="preserve"> CONSTRUCTION OF 3.M X 3M RESERVOIR AND INSTALLATION OF 2000 I.m 22 rolls 2'' dia. P.E Pipe 20 pcs. 2'' dia. Union Patente 2 pcs. 2'' dia. gate valve 10 rolls 2'' dia. elbow 48 bags Portland cement 3 cu.m. washed sand  6 cu.m. washed gravel 12 pcs. 1/4'' t</t>
  </si>
  <si>
    <t xml:space="preserve"> No.	"ITEM DESCRIPTION  (ITEM NAME &amp; TECHNICAL SPECIFICATIONS)"	QTY.	UNIT	UNIT COST	APPROVED BUDGET OF CONTRACT (ABC)		"FINANCIAL PROPOSAL  (Indicate the Price Offer)"		TECHNICAL PROPOSAL (Indicate Brand/Model Offer)	 							Unit Price	Total Price		 	Pruch</t>
  </si>
  <si>
    <t xml:space="preserve"> To supply and deliver at Tarlac: 10 bags Urea (50kgs/bag known brand) (46-00) 10 bags Ammonium Phosphate (50kgs/bag known brand) (16-20-0)</t>
  </si>
  <si>
    <t xml:space="preserve"> Total budget 49,262</t>
  </si>
  <si>
    <t xml:space="preserve"> Republic of the Philippines PROVINCE OF NUEVA ECIJA City of Palayan BIDS AND AWARDS COMMITTEE Invitation for Negotiated Procurement for REHABILITATION/ IMPROVEMENT OF RIVER BED ALONG THE VICINITY OF BRGY. MAPANGPANG, SCIENCE CITY OF MUÑOZ, NUEVA ECIJA Jul</t>
  </si>
  <si>
    <t xml:space="preserve"> ITEM NO.	UNIT		QTY		DESCRIPTION		 							 1	 lot 		1.00		Amenities		 2	 lot 		1.00		 Mobilization 		 3	 cu.m. 		60.75		 Structural Excavation 		 4	 cu.m. 		82.00		 Concrete Works 		 5	 sq.m. 		154.00		 Masonry Works 		 6	 lot 		1.00		 Structural Steel &amp;  </t>
  </si>
  <si>
    <t xml:space="preserve"> HARDWARE AND CONSTRUCTION SUPPLIES		 			 Door Knob				                        4	pcs SQUARE BAR FOR GRILLS				20	pcs FLAT BAR				                        5	pcs Welding Rod J38.12 E6013 FOR GRILLS	1	box</t>
  </si>
  <si>
    <t xml:space="preserve"> No.	"ITEM DESCRIPTION  (ITEM NAME &amp; TECHNICAL SPECIFICATIONS)"	QTY.	UNIT	UNIT COST	APPROVED BUDGET OF CONTRACT (ABC)		"FINANCIAL PROPOSAL  (Indicate the Price Offer)"		TECHNICAL PROPOSAL (Indicate Brand/Model Offer)	 							Unit Price	Total Price		 1	PPEs</t>
  </si>
  <si>
    <t xml:space="preserve"> Republic of the Philippines Province of Samar Catbalogan City INVITATION FOR NEGOTIATED PROCUREMENT GOODS 2020-015(NP) Supply and Delivery of  120 vials Rabbies Vaccine (10ml) The City Government of Catbalogan, through the CY 2020 City Veterinary Fund  in</t>
  </si>
  <si>
    <t xml:space="preserve"> Republic of the Philippines  Province of Nueva Ecija City Government of Palayan INVITATION TO BID FOR THE CONCRETING OF MILITAR ROAD @ BRGY. MILITAR PALAYAN CITY 1.	The City Government of Palayan, through the 20% Development Fund for 2020 intends to apply</t>
  </si>
  <si>
    <t xml:space="preserve"> Republic of the Philippines Province of Bohol MUNICIPALITY OF TUBIGON Invitation to Bid for: Procurement of Construction Materials &amp; Supplies Name of Project:  Construcion of Barangay Tanod Outpost. 1. The Barangay of Macaas.  through the Surplus 2019 (Su</t>
  </si>
  <si>
    <t xml:space="preserve"> Republic of the Philippines PROVINCE OF NUEVA ECIJA City of Palayan INVITATION TO BID FOR  SUPPLY AND DELIVERY OF DIESEL July 1, 2020 1.	The Provincial Government of Nueva Ecija (PGNE), through the General Fund intends to apply the sum of Fourteen Million</t>
  </si>
  <si>
    <t xml:space="preserve"> INVITATION TO BID FOR  (ITB NO. 2020-032) TPB SECURITY SERVICES FOR SIX (6) – MONTH CONTRACT PERIOD for 2020 1.	The Tourism Promotion Board (TPB), through the Corporate Budget FY2020 intends to apply the sum of Two Million Nine Hundred Eighty-Seven Thousa</t>
  </si>
  <si>
    <t xml:space="preserve"> 1.	The Cotabato Irrigation Management Office, through the GAA fund CY 2020 intends to apply the sum of Two Million Five Hundred Seventy Six Thousand Three Hundred Eighty Pesos Only (P 2,576,380.00)  being the  Approved Budget for the Contract (ABC) to pay</t>
  </si>
  <si>
    <t xml:space="preserve"> GENERAL MERCHANDISE		 			 Tarpaulin for Brigada Eskwela				2	pcs Engraving machine pen type, metal wood plastic glass, electric mini grinder for medals		1	unit Emergency light rechargeable heavy duty		1	unit</t>
  </si>
  <si>
    <t xml:space="preserve"> To supply and deliver at Nueva Ecija: 3 pairs Men's rubber Rain Boots (high-cut, black color, water proof) 1 unit Grass Cutter, 2 stroke 3 pcs Flashlights, rechargeable, lead 3 pcs Rain coat with hood (heavy duty) 10 pack Polyethelene Plastic Bag 16x20, 1</t>
  </si>
  <si>
    <t xml:space="preserve"> Installation of Street Lights</t>
  </si>
  <si>
    <t xml:space="preserve"> Paper, Multi-Purpose (COPY), 80gsm, 210mm x 297mm					130			ream Paper, Multi-Purpose (COPY), Legal, 70gsm					                          10			ream Trash Bag, Plastic, transparent					                                            2			roll CLIP, Backfold, all</t>
  </si>
  <si>
    <t xml:space="preserve"> INVITATION TO BID The Local Government Unit of Loboc, Bohol, Barangay Villaflor through its Bids and Awards Committee (BAC), invites Contractors registered within and classified by the Philippine Contractors Accreditation Board (PCAB) to apply for eligibi</t>
  </si>
  <si>
    <t xml:space="preserve"> Section I. Invitation to Bid Republic of the Philippines Province of Samar Municipality of Motiong Invitation to Bid for the Procurement of Infrastructure for the CONSTRUCTION OF CONCRETE PATHWALK FROM BRGY. CANATUAN TO BRGY. PAMAMAS-AN 1.	The Municipal G</t>
  </si>
  <si>
    <t xml:space="preserve"> NOTICE TO ALL PROVIDERS/SUPPLIERS: The Department of Science and Technology, Caraga, through its BAC intends to procure the Supply and Delivery  Of 150 pc Printing of the 2019 DOST Caraga Annual Report Magazine. Specifications: -	104 pages, full-colored, </t>
  </si>
  <si>
    <t xml:space="preserve"> Request for Quotation RFQ No.		SVP-022-2020 MR No.		10221 Requisition No. 	AMD-093-2020 Posting Date:         	July 1, 2020 Deadline of  Submission:		July 6, 2020 at 9:00 AM Opening Date:	July 6, 2020 at 10:00 AM TO:	Name of Supplier: ____________________</t>
  </si>
  <si>
    <t xml:space="preserve"> Republic of the Philippines Province of Sarangani Municipality of Malapatan INVITATION TO BID  	 2020-B1-03-007        PROCUREMENT OF ONE (1) UNIT FIRETRUCK FOR BUREAU OF FIRE PROTECTION, MALAPATAN, SARANGANI PROVINCE 1.	The Local Government Unit of Malap</t>
  </si>
  <si>
    <t xml:space="preserve"> HARDWARE SUPPLIES 					 wall paint				        16	gallons Roller brush				10	pcs Blackboard paint green		8	liters Paint brush 4"				10	pcs Paint brush 2"				10	pcs</t>
  </si>
  <si>
    <t xml:space="preserve"> 3 pcs LONA/TRAPAL Specifications: Size: 20ft x 24ft Color: Yellow/Green Thickness: S400 Type: Ring all sides Durable and high quality With 5mm reinforcement rope all around the tarp Edges are electronically welded and rope is sandwiched inside Eyelets, br</t>
  </si>
  <si>
    <t xml:space="preserve"> PURCHASE OF SALA SET FOR THE USE OF BARANGAY BAGUMBUHAY</t>
  </si>
  <si>
    <t xml:space="preserve"> Republic of the Philippines Province of Bohol MUNICIPALITY OF TUBIGON Invitation to Bid for: Procurement of Airconditioning Unit Name of Project:  Purchase/Acquisition of one (1) Airconditioning Unit 1. The Barangay of Macaas.  through the Provincial Fina</t>
  </si>
  <si>
    <t xml:space="preserve"> GENERAL MERCHANDISE		 			 Face Mask with AUTO DARKENING LENS	8	pcs C-Clamp standard				2	pcs Pull push rule big				5	pcs Level hose 15meters				1	pc Hand riveter				        5	pcs  Rivets for gutter				2	boxes Electric drill				        1	unit POLY BAG 11X1</t>
  </si>
  <si>
    <t xml:space="preserve"> Section I. Invitation to Bid Republic of the Philippines Province of Samar Municipality of Motiong Invitation to Bid for the Procurement of Infrastructure for the CONSTRUCTION OF CONCRETE PATHWALK FROM PUROK 8 BRGY. CALAPI TO MAYDAJA (SARAO) 1.	The Munici</t>
  </si>
  <si>
    <t xml:space="preserve"> 84 pcs PFT Gear (see attached design)</t>
  </si>
  <si>
    <t xml:space="preserve"> Republic of the Philippines Province of Bohol MUNICIPALITY OF TUBIGON Invitation to Bid for: Procurement of Photocopier/Printer Machine Name of Project:  Purchase/Acquisition of one (1) Photocopier/Printer Machine 1. The Barangay of Macaas.  through the S</t>
  </si>
  <si>
    <t xml:space="preserve"> OFFICE SUPPLIES AND DEVICES					  3 in 1 Printer Epson			1	unit Epson Black ink				2	bottles</t>
  </si>
  <si>
    <t xml:space="preserve"> Republic of the Philippines Province of Samar Catbalogan City INVITATION TO BID FOR GOODS 2020-015 SUPPLY AND DELIVERY OF ONE (1) UNIT BRAND NEW VECHICLE 1.	The City Government of Catbalogan, through the CY 2020 CSWD FUND  intends to apply the sum of One </t>
  </si>
  <si>
    <t xml:space="preserve"> Section I. Invitation to Bid Republic of the Philippines Province of Samar Municipality of Motiong Invitation to Bid for the Procurement of Infrastructure for the CONSTRUCTION OF CONCRETE PATHWALK FROM BRGY. MALOBAGO TO BRGY. BARAYONG 1.	The Municipal Gov</t>
  </si>
  <si>
    <t xml:space="preserve"> 2Republic of the Philippines Bangsamoro Autonomous Region in Muslim Mindanao Provincial Government of Maguindanao BIDS AND AWARDS COMMITTEE REQUEST FOR QUOTATION The PROVINCIAL GOVERNMENT OF MAGUINDANAO – Office of the Provincial Governor invites all inte</t>
  </si>
  <si>
    <t xml:space="preserve"> OPENING OF BIDS IN ZAMBOANGA CITY, DELIVERY IN HOME FOR WOMEN PROCUREMENT FOR THE FF,:							 							 1 unit WEIGHING SCALE WITH HEIGHT AND WEIGHT DETECTOR							 1 unit ANDROID BLOOD PRESSURE APPARATUS WITH WHEEL							 2 unit MEDICAL FOOT STOOL DOUBLE		</t>
  </si>
  <si>
    <t xml:space="preserve"> Procurement of Construction Materials for Water Works System, Barangay Dinawehan, Gingoog City</t>
  </si>
  <si>
    <t xml:space="preserve"> Replacement for the following items of Copier (SHARP MX-2310U): MX-230U2 BQLPE 2nd transfer unit MX-230U1 catxe 1st transfer belt unit Toner Cartridge, Black Toner Cartridge, Cyan Toner Cartridge, Magenta Toner Cartridge, Yellow</t>
  </si>
  <si>
    <t xml:space="preserve"> 1 PC DIGITAL DRY BATH (230 V (EU/UK), stainless steel chamber and aluminum block ofter rapid and even heating of up to 24 x 1.5 ml microcentrifuge tubes, CE approved</t>
  </si>
  <si>
    <t xml:space="preserve"> To supply and for pickup: 13 bags Fry Mash (10kg/bag known brand) ≥48%CP 27 bags Tilapia Floating Feeds Grower (25kg/bag known brand) ≥31%CP</t>
  </si>
  <si>
    <t xml:space="preserve"> PURCHASE OF SPLIT TYPE AIRCONDITIONING UNIT TO BE INSTALL AT THE CONFERENCE HALL OF BARANGAY BAGUMBUHAY</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</si>
  <si>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</si>
  <si>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COVID 19 supply</t>
  </si>
  <si>
    <t xml:space="preserve"> BARANGAY CENTRAL SIGNAL BIDS AND AWARDS COMMITTEE -- Advertisement/Posting of Invitation to Bid ------ July 1, 2020 -- Issuance and Availability of Bid Documents ----- July 1, 2020 -- Deadline for Submission -------------------------- July 8, 2020 @ 3PM -</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</si>
  <si>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</si>
  <si>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OFFICE SUPPLIES 					 Plastic File Case big			18	pcs Pentel pen black				18	pcs Pentel pen blue				18	pcs Ink pentel black				18	pcs Ink pentel pen blue			18	pcs  Correction tape 8m			18	pcs Dater stamp with stamp pad	18	sets Colored chalk				18	boxes Man</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</si>
  <si>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</si>
  <si>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</si>
  <si>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GENERAL MERCHANDISE					 Firefly Bulb 100wtts			3	pcs Door Knob				        4	pcs Mop Ordinary				5	pcs Curtain Rod Stainless			8	pcs Heavy Duty lock Standard size	8	pcs</t>
  </si>
  <si>
    <t xml:space="preserve"> INVITATION TO BID FOR PURCHASE OF EMERGENCY RESCUE VEHICLE 1.	The Municipality of Ubay, through the Annual Budget C.Y. 2020 (5% MDRRM FUND) intends to apply the sum of ONE MILLION FIVE HUNDRED PESOS (Php1,500,000.00) being the Approved Budget for the Cont</t>
  </si>
  <si>
    <t xml:space="preserve"> Description	Qty	Unit Cost	Total Cost 	Partition:			 1	S: 1.20x1.35Ht.,pfbo-1/3g (frosted)	4 Pcs	22.134.70	88,538.80 2	S: 1.00x1.35Ht.,pfbo-1/3g (frosted)	2 Pcs	19,036.86	38,073.72 3	Connection pole:  1.35Ht.	1 Pc	1,720.53	1,720.53 4	Wall Adaptor	1 Pc	1,03</t>
  </si>
  <si>
    <t xml:space="preserve"> Conduct of Geo-Resistivity Survey/Scanning of Proposed well sites and to determine ground water level.</t>
  </si>
  <si>
    <t xml:space="preserve"> Installation of 19(nineteen) units additional streetlights CFL Lightning Fixture (FIAMMA Single) with LED Bulb 15watts and 2x2-1/2x4.5 mtrs ht. g.i post at Looban, bokal, centro, calawang and corehousing</t>
  </si>
  <si>
    <t xml:space="preserve"> Request for Quotation RFQ No.		SVP-023-2020 MR No.		10222 Requisition No. 	AMD-094-2020 Posting Date:         	July 1, 2020 Deadline of  Submission:		July 6, 2020 at 9:00 AM Opening Date:	July 6, 2020 at 10:00 AM TO:	Name of Supplier: ____________________</t>
  </si>
  <si>
    <t xml:space="preserve"> GOODS</t>
  </si>
  <si>
    <t xml:space="preserve"> Republic of the Philippines PROVINCE OF SOUTHERN LEYTE Maasin City Invitation to Bid for the Completion of Food Terminal Capitol Site, Maasin City, Southern Leyte Contact ID # - 2020-07-21-056CW 1.	The Provincial Government of Southern Leyte, through the </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</si>
  <si>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</si>
  <si>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Republic of the Philippines PROVINCE OF SOUTHERN LEYTE Maasin City Invitation to Bid for the Construction of Cambite River ccontrol Barangay Cambite, Tomas Oppus, Southern Leyte Contact ID # - 2020-07-21-054CW 1.	The Provincial Government of Southern Leyt</t>
  </si>
  <si>
    <t xml:space="preserve"> Republic of the Philippines PROVINCE OF SOUTHERN LEYTE Maasin City Invitation to Bid for the Completion of 0.40 Km PCCP Poblacion District 2 Circumferential Road Poblacion District 2, Silago, Southern Leyte Contact ID # - 2020-07-21-053CW 1.	The Provincia</t>
  </si>
  <si>
    <t xml:space="preserve"> 1. The Mindanao State University - Tawi-Tawi College of Technology and Oceanography (MSU-TCTO), through the TRUST FUND, intends to apply the sum of Nine Hundred Twenty-One Thousand Ninety and 50/100 pesos only (PhP 921,090.50) being approved Budget for th</t>
  </si>
  <si>
    <t xml:space="preserve"> \Republic of the Philippines PROVINCE OF SOUTHERN LEYTE Maasin City Invitation to Bid for the Concreting of 400m. Road Barangay Hinagtungan, Silago, Southern Leyte Contact ID # - 2020-07-21-052CW 1.	The Provincial Government of Southern Leyte, through the</t>
  </si>
  <si>
    <t xml:space="preserve"> ENGINE AND TRANSMISSION:  2.4L Diesle 2393cc displacement 4 - Cylinder, 16 - Valve DOHC Variable Nozzle Turbo with Front Mounted Intercooler, 6- Speed M/T.                                                                                                CHAS</t>
  </si>
  <si>
    <t xml:space="preserve"> MODEL: 2015-2019 ENGINE TYPE: 4 CYLINDERS IN LINE, 4 STROKE, WATER COOLING DISPLACEMENT: 4.334 L RATED POWER: 110KW @ 2600rpm BORE STROKE: 112*110mm COMPRESSION RATIO: 18.5: 1 FUEL CONSUMPTION: 225g/kwh -110% LOAD ENGINE SIZE: L*W*H: 771mmX687mmX790mm</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</si>
  <si>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</si>
  <si>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1. The Mindanao State University - Tawi-Tawi College of Technology and Oceanography (MSU-TCTO), through the Trust Fund, intends to apply the sum of Two Hundred Ten Thousand Pesos only (PhP 210,000.00) being Approved Budget of Contract to payments under th</t>
  </si>
  <si>
    <t xml:space="preserve"> Invitation to Bid for PR No. 20061189 – Supply and Delivery of One (1) unit Emergency Vehicle 	 1.	The Provincial Government of Camarines Norte, through the LDRRMF Special Trust Fund CY 2020intends to apply the sum of One Million Five Hundred Thousand Pes</t>
  </si>
  <si>
    <t xml:space="preserve"> Republic of the Philippines Province of Agusan del Sur Municipality of Trento BIDS &amp; AWARDS COMMITTEE INVITATION TO BID  FOR THE BUB-RICE PROCESSING COMPLEX RPC, Poblacion, Trento, Agusan del Sur 1.	The Municipality of Trento, through the Trust Fund inten</t>
  </si>
  <si>
    <t xml:space="preserve"> Republic of the Philippines PROVINCE OF SOUTHERN LEYTE Maasin City Invitation to Bid for the Procurement of Various Office Supplies, Aluminum Ladder &amp; Furnitures   Contract ID # 2020-07-21-383PG 1.	The Provincial Government of Southern Leyte through the P</t>
  </si>
  <si>
    <t xml:space="preserve"> Republic of the Philippines SUGAR REGULATORY ADMINISTRATION North Avenue, Diliman, Quezon City 													                                            6/22/2020 										         Date REQUEST FOR QUOTATION Gentlemen: 		Please quote your lowest prices, t</t>
  </si>
  <si>
    <t xml:space="preserve"> INSTALLATION OF  FLOOR TILES IN CANTEEN AREA WORTH 325,161.63</t>
  </si>
  <si>
    <t xml:space="preserve"> Republic of the Philippines PROVINCE OF SOUTHERN LEYTE Maasin City Invitation to Bid for the Completion of Multi-Purpose Livelihood &amp; Training Center/Covered Court Barangay Imelda, Silago, Southern Leyte Contact ID # - 2020-07-21-055CW 1.	The Provincial G</t>
  </si>
  <si>
    <t xml:space="preserve"> Republic of the Philippines PROVINCE OF SOUTHERN LEYTE Maasin City Invitation to Bid for the Construction of Records, Medicine &amp; Supply Storage Room PHSO, Dongon, Maasin City, Southern Leyte Contact ID # - 2020-07-21-057CW 1.	The Provincial Government of </t>
  </si>
  <si>
    <t xml:space="preserve"> Republic of the Philippines PROVINCE OF SOUTHERN LEYTE Maasin City Invitation to Bid for the Procurement of Air condition with Installation, Camera with complete Accessories &amp; Computer Set   Contract ID # 2020-07-21-384PG 1.	The Provincial Government of S</t>
  </si>
  <si>
    <t xml:space="preserve"> INVITATION TO BID IB No. 18,   S. 2020 The Municipality of General Nakar, Quezon through the Approved Appropriation Ordinance No. 2019-29  appropriating funds for the Annual Budget CY 2020 intends to apply the sum of Five Hundred Thousand Pesos   (PhP500,</t>
  </si>
  <si>
    <t xml:space="preserve"> INVITATION TO BID IB No. 17,   S. 2020 The Municipality of General Nakar, Quezon through the Approved Appropriation Ordinance No. 2019-29  appropriating funds for the Annual Budget CY 2020 intends to apply the sum of  One Million Pesos  (PhP1,000,000.00) </t>
  </si>
  <si>
    <t xml:space="preserve"> Please submit your quotation for the following items on or before 5:00PM on Jul 10, 2020. ITEM D E S C R I P T I O N QTY. UNIT  1 Jewelry, Bracelet, Gold (Men) (18Karat) 2 pc 2 Jewelry, Bracelet, Gold (Women) (18Karat) 1 pc Awarding is in LUMP-SUM basis, </t>
  </si>
  <si>
    <t xml:space="preserve"> Procurement of Construction Materials for the Repair and Improvement of Barangay Hall and Repair and Improvement of Barangay Stage, Barangay Kalipay, Gingoog City</t>
  </si>
  <si>
    <t xml:space="preserve"> Republic of the Philippines Province of Guimaras OFFICE OF THE BIDS AND AWARDS COMMITTEE Invitation to Bid for  One Job Supply of Materials and  Labor for the Construction of Agri-Fishery center Bid Ref. No. 2020-06-362 1.	The Provincial Government of Gui</t>
  </si>
  <si>
    <t xml:space="preserve"> 1.	The Inter-Country Adoption Board (ICAB), through the GOP-2020 intends to apply the sum of 4,700,000.00 (Four Million, Seven Hundred Thousand Pesos Only VAT Inclusive) being the Approved Budget for the Contract (ABC) to payments under the contract for M</t>
  </si>
  <si>
    <t xml:space="preserve"> Republic of the Philippines CITY OF BAIS -o0o- BIDS AND AWARDS COMMITTEE INVITATION TO APPLY FOR ELIGIBILITY AND TO BID The City Government of Bais through its Bids and Awards Committee (BAC) hereby invites Contractors registered with and classified by th</t>
  </si>
  <si>
    <t xml:space="preserve"> The Bids and Awards Committee								 Province of Iloilo								 								      In connection with your Invitation to Bid No. PEO-20-0618 B (Rebid) scheduled on July 7, 2020, I/we proposed to furnish and deliver in conformity with the terms and conditions,</t>
  </si>
  <si>
    <t xml:space="preserve"> INVITATION TO BID FOR  CONSTRUCTION OF CANAL LINING AT BARANGAY AGUADO, TRECE MARTIRES CITY 1.	The City Government of Trece Martires, through the Continuing of 20% Development Fund  (2019 )approved by the Sangguniang Panlungsod intends to apply the sum of</t>
  </si>
  <si>
    <t xml:space="preserve"> Republic of the Philippines Region XII Province of Cotabato City of Kidapawan OFFICE OF THE BIDS AND AWARD COMMITTEE June 30, 2020 INVITATION TO BID FOR  SUPPLY, DELIVERY AND INSTALLATION OF SPLIT TYPE AIRCON FOR THE USE OF THE LIGA NG MGA BARANGAY OFFICE</t>
  </si>
  <si>
    <t xml:space="preserve"> Republic of the Philippines Region XII Province of Cotabato City of Kidapawan OFFICE OF THE BIDS AND AWARD COMMITTEE June 30, 2020 INVITATION TO BID FOR  SUPPLY AND DELIVERY OF VETERINARY SUPPLIES AND ANIMAL FEEDS TO BE USED FOR THE ANIMAL HEALTH SERVICES</t>
  </si>
  <si>
    <t xml:space="preserve"> Republic of the Philippines Region XII Province of Cotabato City of Kidapawan OFFICE OF THE BIDS AND AWARD COMMITTEE June 30, 2020 INVITATION TO BID FOR  SUPPLY AND DELIVERY OF OFFICE AND JANITORIAL SUPPLIES FOR THE USE OF BAC AND CHRMO, KIDAPAWAN CITY Th</t>
  </si>
  <si>
    <t xml:space="preserve"> Republic of the Philippines PROVINCE OF SOUTHERN LEYTE Maasin City Invitation to Bid for the Procurement of Various Vehicle Spareparts  Contract ID # 2020-07-21-385PG 1.	The Provincial Government of Southern Leyte through the OSP– Repair and Maintenance –</t>
  </si>
  <si>
    <t xml:space="preserve"> L=92LM;  W=1M;  T=0.15M</t>
  </si>
  <si>
    <t xml:space="preserve"> STRUCTURE EXCAVATION,GROUTED RIPRAP,EMBANKMENT,MANUAL HAULING SERVICES</t>
  </si>
  <si>
    <t xml:space="preserve"> Raincoat Heavy Duty etc. NOTE:To all suppliers bid documents  and BAC Resolution 2020-029 are available at BAC Office and LGU website.</t>
  </si>
  <si>
    <t xml:space="preserve"> Portland Cement etc.  NOTE:To all suppliers bid documents and BAC Resolution 2020-029 are avaible at BAC Office and LGU website.</t>
  </si>
  <si>
    <t xml:space="preserve"> Republic of the Philippines Province of Surigao del Norte Municipality of Claver BIDS AND AWARDS COMMITTEE INVITATION TO BID The Local Government Unit of Claver, Surigao del Norte through its Bids and Awards Committee, now invites manufacturers/suppliers/</t>
  </si>
  <si>
    <t xml:space="preserve"> INVITATION TO BID IB No. 19,   S. 2020 The Municipality of General Nakar, Quezon through the Approved Appropriation Ordinance No. 2019-29  appropriating funds for the Annual Budget CY 2020 intends to apply the sum of  One Million Five Hundred Thousand Pes</t>
  </si>
  <si>
    <t xml:space="preserve"> INVITATION TO BID FOR  CONSTRUCTION OF CANAL LININGS AT TRES CRUSES ROAD( GOLDCREST VILLAS) BRGY. SAN AGUSTIN, TMC 1.	The City Government of Trece Martires, through the Continuing of 20% Development Fund  (2018 )approved by the Sangguniang Panlungsod inte</t>
  </si>
  <si>
    <t xml:space="preserve"> Invitation to Bid for Const. of Local Road at Brgy. Poblacion Diplahan Zambo. Sibugay The Barangay Poblacion, Diplahan, Zamboanga Sibugay, through the Barangay Funds intends to apply the sum of One Hundred Ninety- Nine Thousand Eight Hundred Seventy-Four </t>
  </si>
  <si>
    <t xml:space="preserve"> 1	3	pcs	Flow Meter 4”Ø (100 mm) Water Temperature = &lt; 50°C Working Pressure = &gt; IMP Overload Flow (Qs) = 120 m³/h Nominal Flow (Qp) = 60 m³/h Transitional Flow (Qt) = 12 m³/h Minimum Flow (Qmin) = 1.8 m³/h Minimum Reading = 0.01 m³ Maximum Reading = 99999</t>
  </si>
  <si>
    <t xml:space="preserve"> INVITATION TO BID FOR  SUPPLY AND DELIVERY OF GIANT BAMBOO 1.	The City Government of Trece Martires, through the 20% DEVELOPMENT FUND CURRENT   intends to apply the sum of TWO MILLION PESOS ONLY   ( Php 2,000,000.00 )  being the Approved Budget for the Co</t>
  </si>
  <si>
    <t xml:space="preserve"> Republic of the Philippines PROVINCE OF NUEVA VIZCAYA Municipality of Alfonso Castañeda  BIDS AND AWARDS COMMITTEE FOR INFRASTRUCTURE PROJECTS CONCRETING OF JUNCTION ROAD - LIPUGA ROAD 1.	The Local Government of Alfonso Castañeda, through the 20% Develo</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</si>
  <si>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</si>
  <si>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Undertake construction of Drainage along Hornachos Street, Poblacion Ilawod, Cuartero, Capiz</t>
  </si>
  <si>
    <t xml:space="preserve"> ITEM NO.	ITEM &amp; DESCRIPTION						QTY.	UNIT 1	SPECIAL PAPER (WHITE) - 200 GSM (100 PCS / SHEET) A4 SIZE						10	SHEETS 2	GARBAGE BAG WHITE XXL 						30	 ROLLS  3	ALCOHOL ETHYL 3.785 L						20	GAL 4	LIGHT BULB 7 WATTS (LED)						30	PCS 5	FABRIC CONDITIONER </t>
  </si>
  <si>
    <t xml:space="preserve"> June 26, 2020 INVITATION TO BID  The Department of Public Works and Highways, Mindoro Occidental District Engineering Office, Mamburao, Occidental Mindoro, through its Bids and Award Committee (BAC), invites contractors to submit bids for the following Co</t>
  </si>
  <si>
    <t xml:space="preserve"> SUPPLIES AND EQUIPMENT</t>
  </si>
  <si>
    <t xml:space="preserve"> Undertake Construction of Drainage along Hijosa Street, Poblacion Ilawod, Cuartero, Capiz</t>
  </si>
  <si>
    <t xml:space="preserve"> The Barangay Calabanit through its Bid and awards Committee (BAC) invites qualified dealers, Distributors and Suppliers to apply for eligibility and to bid for the following; SCHEDULE OF ACTIVITIES ------ All interested bidders are invited to attend the P</t>
  </si>
  <si>
    <t xml:space="preserve"> Motorcycle with sidecars</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</si>
  <si>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</si>
  <si>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Republic of the Philippines PROVINCE OF NUEVA VIZCAYA Municipality of Alfonso Castañeda  BIDS AND AWARDS COMMITTEE FOR INFRASTRUCTURE PROJECTS CONCRETING OF PUROK 2 ROAD (LUBLUB) 1.	The Local Government of Alfonso Castañeda, through the 20% Development </t>
  </si>
  <si>
    <t xml:space="preserve"> Republic of the Philippines DEPARTMENT OF PUBLIC WORKS AND HIGHWAYS CAPIZ 2ND DISTRICT ENGINEERING OFFICE REGIONAL OFFICE VI Dumalag, Capiz REQUEST FOR EXPRESSION OF INTEREST (REOI) FOR I.      Contract ID: 20GP003CS          Contract Name: 	Consulting Se</t>
  </si>
  <si>
    <t xml:space="preserve"> Republic of the Philippines PROVINCE OF NUEVA VIZCAYA Municipality of Alfonso Castañeda  BIDS AND AWARDS COMMITTEE FOR INFRASTRUCTURE PROJECTS CONCRETING OF PUROK 2 ROAD-BATU (LUBLUB) 1.	The Local Government of Alfonso Castañeda, through the 20% Develop</t>
  </si>
  <si>
    <t xml:space="preserve"> To undertake works for Maintenance of Farm to Market Road</t>
  </si>
  <si>
    <t xml:space="preserve"> ENGINE MODEL - YC4D140-48 EMISSION STANDARD - EURO IV FUEL  -  DIESEL (TURBO INTER COOLER) STROKE VOLUME(ml) - 4214 RATED POWER (kw/hp) - 103/140 TORQUE (N.m)/ (r/min)  - 450/2800 MAX SPEED (km/h)         - 80 TRANSMISSION     - 653H,6 forwards &amp; 1 revers</t>
  </si>
  <si>
    <t xml:space="preserve"> INVITATION TO BID FOR THE CONSTRUCTION OF COMFORT ROOM AT PSAU GATE 2 -2nd Posting PB-2020-184-011 1. The Pampanga State Agricultural University, through Fund 184, intends to apply the sum of P200,013.06 being the Approved Budget for the Contract (ABC) to</t>
  </si>
  <si>
    <t xml:space="preserve"> 2 Units Laptop with accessories 1 unit outdoor multi-media Projector *nothing follows*</t>
  </si>
  <si>
    <t xml:space="preserve"> 115 cavans Rice (25kgs) 1725 cans Sardines 1725 cans Tuna 115 pcs Soap 345 sachet Toothpaste 345 pcs Biscuit 690 pcs sachet Coffee (3 in 1) 1725 pcs Noodles 1725 pcs Cereal Drink 345 pcs Eco Bag Other Information FOR INFORMATION PURPOSES ONLY MODE OF PROC</t>
  </si>
  <si>
    <t xml:space="preserve"> Republic of the Phillipines Province of Sultan Kudarat City of Tacurong Barangay Poblacion                                                              INVITATION TO BID 			                                                                                  </t>
  </si>
  <si>
    <t xml:space="preserve"> 1.The MUNICIPALITY OF PATEROS through the 2020 GENERAL FUND intends to apply the sum of Two Million Nine Hundred Thousand Pesos (PhP2,900,000.00) being the Approved Budget for the Contract (ABC) to payments under the contract for the above-mentioned procu</t>
  </si>
  <si>
    <t xml:space="preserve"> Republic of the Philippines DEPARTMENT OF PUBLIC WORKS AND HIGHWAYS CAPIZ 2ND DISTRICT ENGINEERING OFFICE REGIONAL OFFICE VI Dumalag, Capiz REQUEST FOR EXPRESSION OF INTEREST (REOI) FOR I.      Contract ID: 20GP001CS          Contract Name: 	Consulting Se</t>
  </si>
  <si>
    <t xml:space="preserve"> INVITATION TO BID FOR THE  CONSTRUCTION OF THREE (3) BARREL RCBC  (BGY. MINARA, ROXAS, PALAWAN) 1.	The Provincial Government of Palawan, through its 20% Development Fund (OBR No. 300-20-06-07622) account intends to apply the sum of Four Million Five Hundr</t>
  </si>
  <si>
    <t xml:space="preserve"> Procurement of 130pcs. 15 mm Brass Body Water Meter for second semester of 2020</t>
  </si>
  <si>
    <t xml:space="preserve"> INVITATION TO BID FOR THE SUPPLY AND DELIVERY OF AIRCON UNITS AND OTHER OFFICE EQUIPMENT TO BE USED FOR THE DARFO 3 SOCIO ECONOMIC PRODUCTION IN MARKETING- 2nd Posting PB-2020-184-012 1. The Pampanga State Agricultural University, through Fund 184, intend</t>
  </si>
  <si>
    <t xml:space="preserve"> INVITATION TO BID FOR THE  CONSTRUCTION OF HANGING BRIDGE (SAN JUAN, ABORLAN, PALAWAN) 1.	The Provincial Government of Palawan, through its 20% Development Fund (OBR No. 300-20-06-07384) account intends to apply the sum of Three Million Five Hundred Two T</t>
  </si>
  <si>
    <t xml:space="preserve"> INVITATION TO BID FOR THE  CONSTRUCTION OF SPILLWAY  (SITIO KALAMPINAY, EL NIDO, PALAWAN) 1.	The Provincial Government of Palawan, through its 20% Development Fund (OBR No. 300-20-06-07382) account intends to apply the sum of One Million Seven Hundred Nin</t>
  </si>
  <si>
    <t xml:space="preserve"> INVITATION TO BID FOR THE  CONSTRUCTION/REHABILITATION OF RCBC WITH SLOPE PROTECTION (NATIONAL HIGHWAY-TABUD ROAD, BGY. PANITIAN, QUEZON, PALAWAN) 1.	The Provincial Government of Palawan, through its 20% Development Fund (OBR No. 300-20-06-07380) account </t>
  </si>
  <si>
    <t xml:space="preserve"> A Republic of the Philippines BIDS AND AWARDS COMMITTEE Dagupan City Invitation to Bid   for PROPOSED DEVELOPMENT OF OPEN – AIR AUDITORIUM GROUNDS TONDALIGAN BLUE BEACH, BONUAN GUESET, DAGUPAN CITY 1.	The City Government of Dagupan, through the TRUST FUND</t>
  </si>
  <si>
    <t xml:space="preserve"> INVITATION TO BID  ADDITIONAL NETWORK COMPONENTS FOR  BTMS INFRASTRUCTURE 1.	The Department of Budget and Management (DBM), through the authorized appropriations under the FY 2019 General Appropriations Act, intends to apply the sum of Twenty Five Million</t>
  </si>
  <si>
    <t xml:space="preserve"> Republic of the Philippines BIDS AND AWARDS COMMITTEE Province of Iloilo Invitation to Bid Purchase of Weighing Scale Bid No. AGR-20-0767-B 1. The Iloilo Provincial Government, through the GENERAL FUND 2020 intends to apply the sum of ONE HUNDRED FIFTY TH</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</si>
  <si>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</si>
  <si>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INVITATION TO BID FOR THE  CONSTRUCTION/REHABILITATION OF HOSPITAL BUILDINGS AND FACILITIES-QUEZON MEDICARE HOSPITAL, PHASE III   (MUNICIPALITY OF QUEZON, PALAWAN) 1.	The Provincial Government of Palawan, through its 20% Development Fund (OBR No. 300-15-0</t>
  </si>
  <si>
    <t xml:space="preserve"> INVITATION TO BID FOR THE  CONSTRUCTION OF ONE (1) BARREL RCBC LEADING TO BORAC PORT  (BGY. BORAC, CORON, PALAWAN) 1.	The Provincial Government of Palawan, through its 20% Development Fund (OBR No. 300-20-06-07383) account intends to apply the sum of Thre</t>
  </si>
  <si>
    <t xml:space="preserve"> SPECS: * Transformer Type EFI * 12 Valve * 4WD * Siren &amp; Blinker * Full Steel Canopy with Passenger Set Back to Back Type * Logo &amp; Body Sticker * Mags Wheel * Brand New Tires &amp; Battery * Jack with handle * Tire Wrench * Spare Tire * 1-year LTO registratio</t>
  </si>
  <si>
    <t xml:space="preserve"> 133 pcs of Flu Vaccine</t>
  </si>
  <si>
    <t xml:space="preserve"> The LOCAL GOVERNMENT UNIT of Maslog, Eastern Samar, through an Appropriation Ordinance No. 07 intends to apply the sum of Two Hundred Thirty Four Thousand Nine Hundred Ten Pesos (Php234,910.00) being the Approved Budget Cost (ABC) to payments under the co</t>
  </si>
  <si>
    <t xml:space="preserve"> Republic of the Philippines PROVINCE OF SOUTHERN LEYTE Maasin City Invitation to Bid for the Procurement of One (1) Unit Digital Photocopier  Contract ID # 2020-07-21-392PG 1.	The Provincial Government of Southern Leyte through the SDH-Information and Com</t>
  </si>
  <si>
    <t xml:space="preserve"> Republic of the Philippines PROVINCE OF SOUTHERN LEYTE Maasin City Invitation to Bid for the Procurement of Various Vehicle Spare parts  Contract ID # 2020-07-21-391PG 1.	The Provincial Government of Southern Leyte through the PGO – Repair and Maintenance</t>
  </si>
  <si>
    <t xml:space="preserve"> ITEM      UNIT      QTY      DESCRIPTION</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</si>
  <si>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</si>
  <si>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The LOCAL GOVERNMENT UNIT of Maslog, Eastern Samar, through the 20% EDF of 2020 intends to apply the sum of Seven Hundred Fifty One Thousand Three Hundred Sixty One Pesos (Php751,361.00) being the Approved Budget Cost (ABC) to payments under the contract </t>
  </si>
  <si>
    <t xml:space="preserve"> The Local Government Unit of Maslog, Eastern Samar now invites bids for the Retrofitting of Suspension Bridge I @ Maslog, Eastern Samar with the following scope of works: Dismantle of Damage Part, Repair of Steel Frame (Girts/Girder, Floor Joist, Cross Br</t>
  </si>
  <si>
    <t xml:space="preserve"> Republic of the Philippines PROVINCE OF SOUTHERN LEYTE Maasin City Invitation to Bid for the Procurement of Premium Gasoline  Contract ID # 2020-07-21-388PG 1.	The Provincial Government of Southern Leyte through the PGO– Fuel,Oil and Lubricants Expenses i</t>
  </si>
  <si>
    <t xml:space="preserve"> Republic of the Philippines PROVINCE OF SOUTHERN LEYTE Maasin City Invitation to Bid for the Procurement of Various Housekeeping Supplies and Office Supplies  Contract ID # 2020-07-21-389PG 1.	The Provincial Government of Southern Leyte through the PEO–Mo</t>
  </si>
  <si>
    <t xml:space="preserve"> The LOCAL GOVERNMENT UNIT of Maslog, Eastern Samar, through an Appropriation Ordinance No. 07 intends to apply the sum of One Hundred Twenty Eight Thousand Four Hundred Fifty Pesos (Php128,450.00) being the Approved Budget Cost (ABC) to payments under the</t>
  </si>
  <si>
    <t xml:space="preserve"> Republic of the Philippines PROVINCE OF NUEVA VIZCAYA Municipality of Alfonso Castañeda  BIDS AND AWARDS COMMITTEE FOR INFRASTRUCTURE PROJECTS CONCRETING OF MARIKIT EAST CIRCUMFERENTIAL ROAD 1.	The Local Government of Alfonso Castañeda, through the 20% </t>
  </si>
  <si>
    <t xml:space="preserve"> INVITATION TO BID The Municipal Government of San Narciso, Quezon through its Bids and Award Committee (BAC), invites registered suppliers with DTI, Mayor’s Permit and PhilGEPS, if found eligible, to bid or the hereunder contract: Name of Contract : 	Addi</t>
  </si>
  <si>
    <t xml:space="preserve"> The LOCAL GOVERNMENT UNIT of Maslog, Eastern Samar, through an Appropriation Ordinance No. 07 intends to apply the sum of One Hundred Seventy Five Thousand Twenty Six Pesos (Php175,026.00) being the Approved Budget Cost (ABC) to payments under the contrac</t>
  </si>
  <si>
    <t xml:space="preserve"> Republic of the Philippines PROVINCE OF SOUTHERN LEYTE Maasin City Invitation to Bid for the Procurement of Vehicle Spare parts  Contract ID # 2020-07-21-393PG 1.	The Provincial Government of Southern Leyte through the PGO– Repair and Maintenance –Transpo</t>
  </si>
  <si>
    <t xml:space="preserve"> Republic of the Philippines PROVINCE OF SOUTHERN LEYTE Maasin City Invitation to Bid for the Procurement of Publication of SP Ordinance  Contract ID # 2020-07-21-387PG 1.	The Provincial Government of Southern Leyte through the OSP– Printing and Publicatio</t>
  </si>
  <si>
    <t xml:space="preserve"> Republic of the Philippines PROVINCE OF SOUTHERN LEYTE Maasin City Invitation to Bid for the Procurement of Spare parts and Services  Contract ID # 2020-07-21-386PG 1.	The Provincial Government of Southern Leyte through the OVG– Repair and Maintenance –Tr</t>
  </si>
  <si>
    <t xml:space="preserve"> Republic of the Philippines                                                                      PROVINCE OF ISABELA                                                                    Municipality of Dinapigue                                              </t>
  </si>
  <si>
    <t xml:space="preserve"> ROAD REHABILITATION Item No.	Description 	Unit	Quantity PART A 	GENERAL REQUIREMENTS		 a	Const.Safety and Health Program	LS	 1.00  b	Project Billboard	Unit	 1.00  c	Mobilization/Demobilization	Lot	 1.00  PART B 			 105	Subgrade Preparation	sq.m.	 950.00  </t>
  </si>
  <si>
    <t xml:space="preserve"> ROAD CONCRETING Item No.	Description 	Unit	Quantity PART A 	GENERAL REQUIREMENTS		 a	Const.Safety and Health Program	LS	 1.00  b	Project Billboard	Unit	 1.00  c	Mobilization/Demobilization	Lot	 1.00  PART B 			 105	Subgrade Preparation	sq.m.	 1,310.00  20</t>
  </si>
  <si>
    <t xml:space="preserve"> CONSTRUCTION OF DRAINAGE WITH SIDEWALK Item No.	Description 	Unit	Quantity PART A 	GENERAL REQUIREMENTS		 a	Const.Safety and Health Program	Lot	 1.00  b	Project Billboard	Unit	 1.00  c	Mobilization/Demobilization	Lumpsum	 1.00  PART B 			 I	Removal of Exi</t>
  </si>
  <si>
    <t xml:space="preserve"> Republic of the Philippines PROVINCE OF SOUTHERN LEYTE Maasin City Invitation to Bid for the Procurement of Various Office Supplies  Contract ID # 2020-07-21-402PG 1.	The Provincial Government of Southern Leyte through the SDH – Office Supplies Expenses i</t>
  </si>
  <si>
    <t xml:space="preserve"> Delivery and supply of Construction materials for const. of Multipurpose building as to wit: Item		Unit of		 Number	Qty.	Issue	Item Description	 					 1	180	BAGS	PORTLAND CEMENT		 2	35	CU.M	WASH SAND		 3	10	CU.M	GRAVEL "YY"		 4	100	bdft.	2"X2" X 12 FT. Co</t>
  </si>
  <si>
    <t xml:space="preserve"> Item	Qty.	A R T I C L E S				 1		OTHER PROPERTY PLANT &amp; EQUIPMENT				 2	1 lot	CCTV camera w/IR, siamese wire				 3		UTP wire,power supply, F&amp;M connector				 4		balun, bracket				 5</t>
  </si>
  <si>
    <t xml:space="preserve"> FOR SALE	 Lot 	Amount	 1	P 1,450.00	 2	P 300.00	 3	P 150.00	 4	P 150.00	 5	P 150.00	 6	P 150.00	 7	P 150.00	 8	P 150.00	 Republic of the Philippines												 City of San Carlos												 Negros Occidental												 												 			INVITATION TO BID</t>
  </si>
  <si>
    <t xml:space="preserve"> Republic of the Philippines												 City of San Carlos												 Negros Occidental												 												 			INVITATION TO BID							FOR SALE	 			PURCHASE REQUEST NO: 1-20-06-0680			P 36,250.00	 Sealed bids for quotation of prices will be received</t>
  </si>
  <si>
    <t xml:space="preserve"> Invitation to Bid for CONSTRUCTION OF TRIBAL CENTER 1.The Barangay Santa Emelia Local Government Unit, through the Government of the Philippines, General Appropriation Act 2118 intends to apply the sum of Three Million One Hundred Seven Thousand Seven Hun</t>
  </si>
  <si>
    <t xml:space="preserve"> Republic of the Philippines PROVINCE OF SOUTHERN LEYTE Maasin City Invitation to Bid for the Procurement of Banana Cardava Plantlets  Contract ID # 2020-07-21-395PG 1.	The Provincial Government of Southern Leyte through the PAGSO - Other Maintenance and O</t>
  </si>
  <si>
    <t xml:space="preserve"> Republic of the Philippines DEPARTMENT OF PUBLIC WORKS AND HIGHWAYS CAPIZ 2ND DISTRICT ENGINEERING OFFICE REGIONAL OFFICE VI Dumalag, Capiz REQUEST FOR EXPRESSION OF INTEREST (REOI) FOR I.      Contract ID: 20GP002CS          Contract Name: 	Consulting Se</t>
  </si>
  <si>
    <t xml:space="preserve"> Republic of the Philippines PROVINCE OF SOUTHERN LEYTE Maasin City Invitation to Bid for the Procurement of Various Office Supplies  Contract ID # 2020-07-21-390PG 1.	The Provincial Government of Southern Leyte through the PSWDO– Office Supplies Expenses </t>
  </si>
  <si>
    <t xml:space="preserve"> Republic of the Philippines PROVINCE OF SOUTHERN LEYTE Maasin City Invitation to Bid for the Procurement of Various Laboratory Supplies  Contract ID # 2020-07-21-401PG 1.	The Provincial Government of Southern Leyte through the SDH Medical, Dental and Labo</t>
  </si>
  <si>
    <t xml:space="preserve"> Republic of the Philippines PROVINCE OF SOUTHERN LEYTE Maasin City Invitation to Bid for the Procurement of One (1) Unit Rescue Vehicle  Contract ID # 2020-07-21-398PG 1.	The Provincial Government of Southern Leyte through the PDRRMO – Disaster Response a</t>
  </si>
  <si>
    <t xml:space="preserve"> Republic of the Philippines												 City of San Carlos												 Negros Occidental												 												 			INVITATION TO BID							FOR SALE	 			PURCHASE REQUEST NO: 1-20-06-0681			P 2,667.00	 Sealed bids for quotation of prices will be received </t>
  </si>
  <si>
    <t xml:space="preserve"> Invitation to Bid for THE  Installation of RAIN WATER HARVESTER 1.The Barangay Local Government Unit of Barangay Caigangan, through the PAMANA-IP CDD intends to apply the sum on a per lot basis being the Approved Budget for the Contract (ABC) to payments </t>
  </si>
  <si>
    <t xml:space="preserve"> Republic of the Philippines													 City of San Carlos													 Negros Occidental													 													 INVITATION TO BID											FOR SALE	 			PURCHASE REQUEST NO: 9-20-03-0415				P 150.00	 Sealed bids for quotation of prices will be recei</t>
  </si>
  <si>
    <t xml:space="preserve"> Republic of the Philippines													 City of San Carlos													 Negros Occidental													 													 INVITATION TO BID											FOR SALE	 			PURCHASE REQUEST NO: 4-20-06-0643				P 150.00	 Sealed bids for quotation of prices will be recei</t>
  </si>
  <si>
    <t xml:space="preserve"> Republic of the Philippines													 City of San Carlos													 Negros Occidental													 													 INVITATION TO BID											FOR SALE	 			PURCHASE REQUEST NO: 1-20-06-0733				P 150.00	 Sealed bids for quotation of prices will be recei</t>
  </si>
  <si>
    <t xml:space="preserve"> Republic of the Philippines													 City of San Carlos													 Negros Occidental													 													 INVITATION TO BID											FOR SALE	 			PURCHASE REQUEST NO: 1-20-06-0699				P 300.00	 Sealed bids for quotation of prices will be recei</t>
  </si>
  <si>
    <t xml:space="preserve"> Republic of the Philippines													 City of San Carlos													 Negros Occidental													 													 INVITATION TO BID											FOR SALE	 			PURCHASE REQUEST NO: 1-20-06-0683				P 150.00	 Sealed bids for quotation of prices will be recei</t>
  </si>
  <si>
    <t xml:space="preserve"> Republic of the Philippines													 City of San Carlos													 Negros Occidental													 									                     			REBIDDING	 INVITATION TO BID											FOR SALE	 			PURCHASE REQUEST NO: 1-20-06-0659				P 300.00	 Sealed bids for quo</t>
  </si>
  <si>
    <t xml:space="preserve"> Republic of the Philippines PROVINCE OF SOUTHERN LEYTE Maasin City Invitation to Bid for the Procurement of Various Office Supplies  Contract ID # 2020-07-21-396PG 1.	The Provincial Government of Southern Leyte through the PAGSO Office Supplies Expenses i</t>
  </si>
  <si>
    <t xml:space="preserve"> Republic of the Philippines													 City of San Carlos													 Negros Occidental													 													 INVITATION TO BID											FOR SALE	 			PURCHASE REQUEST NO: 9-20-06-0695				P 997.00	 Sealed bids for quotation of prices will be recei</t>
  </si>
  <si>
    <t xml:space="preserve"> Republic of the Philippines PROVINCE OF SOUTHERN LEYTE Maasin City Invitation to Bid for the Procurement of Window grills  Contract ID # 2020-07-21-403PG 1.	The Provincial Government of Southern Leyte through the SLPL Repair and Maintenance Expenses inten</t>
  </si>
  <si>
    <t xml:space="preserve"> Republic of the Philippines													 City of San Carlos													 Negros Occidental													 													 INVITATION TO BID											FOR SALE	 			PURCHASE REQUEST NO: 1-20-06-0732				P 150.00	 Sealed bids for quotation of prices will be recei</t>
  </si>
  <si>
    <t xml:space="preserve"> Republic of the Philippines													 City of San Carlos													 Negros Occidental													 									                      			REBIDDING	 INVITATION TO BID											FOR SALE	 			PURCHASE REQUEST NO: 9-20-04-0533				P 150.00	 Sealed bids for qu</t>
  </si>
  <si>
    <t xml:space="preserve"> Republic of the Philippines													 City of San Carlos													 Negros Occidental													 										                 		REBIDDING	 INVITATION TO BID											FOR SALE	 			PURCHASE REQUEST NO: 1-20-03-0482				P 150.00	 Sealed bids for quotati</t>
  </si>
  <si>
    <t xml:space="preserve"> Republic of the Philippines PROVINCE OF SOUTHERN LEYTE Maasin City Invitation to Bid for the Procurement of Various Office Supplies  Contract ID # 2020-07-21-394PG 1.	The Provincial Government of Southern Leyte through the PHSO– Office Supplies Expenses i</t>
  </si>
  <si>
    <t xml:space="preserve"> Republic of the Philippines													 City of San Carlos													 Negros Occidental													 									                  			REBIDDING	 INVITATION TO BID											FOR SALE	 			PURCHASE REQUEST NO: 1-20-03-0487				P 150.00	 Sealed bids for quotat</t>
  </si>
  <si>
    <t xml:space="preserve"> Republic of the Philippines													 City of San Carlos													 Negros Occidental													 										                  		REBIDDING	 INVITATION TO BID											FOR SALE	 			PURCHASE REQUEST NO: 1-20-03-0497				P 150.00	 Sealed bids for quotat</t>
  </si>
  <si>
    <t xml:space="preserve"> INVITATION TO BID FOR THE FURNISHING OF LABOR AND MATERIALS FOR THE IMPROVEMENT OF MULTI-PURPOSE HALL OF BARANGAY PAMUL-OGAN, CABATUAN, ILOILO</t>
  </si>
  <si>
    <t xml:space="preserve"> Republic of the Philippines													 City of San Carlos													 Negros Occidental													 										                   		REBIDDING	 INVITATION TO BID											FOR SALE	 			PURCHASE REQUEST NO: 401-20-03-0453				P 500.00	 Sealed bids for quo</t>
  </si>
  <si>
    <t xml:space="preserve"> INVITATION TO BID FOR THE FURNISHING OF LABOR AND MATERIALS FOR THE CONSTRUCTION OF DRAINAGE CANAL OF BARANGAY NAMOCON, TIGBAUAN, ILOILO</t>
  </si>
  <si>
    <t xml:space="preserve"> INVITATION TO BID FOR THE FURNISHING OF LABOR AND MATERIALS FOR THE CONCRETING OF BARANGAY ROAD OF BARANGAY BARROC, TIGBAUAN, ILOILO</t>
  </si>
  <si>
    <t xml:space="preserve"> Purchase of Computer Sets</t>
  </si>
  <si>
    <t xml:space="preserve"> Republic of the Philippines                                       Province of Leyte                            MUNICIPALITY OF ALBUERA                     OFFICE OF THE MUNICIPAL MAYOR OFFICE OF THE BIDS AND AWARDS COMMITTEE INVITATION TO BID 	The Local G</t>
  </si>
  <si>
    <t xml:space="preserve"> Republic of the Philippines													 City of San Carlos													 Negros Occidental													 													 INVITATION TO BID											FOR SALE	 			PURCHASE REQUEST NO: 9-20-06-0676				P 733.00	 Sealed bids for quotation of prices will be recei</t>
  </si>
  <si>
    <t xml:space="preserve"> Republic of the Philippines													 City of San Carlos													 Negros Occidental													 													 INVITATION TO BID											FOR SALE	 			PURCHASE REQUEST NO: 9-20-06-0740				P 150.00	 Sealed bids for quotation of prices will be recei</t>
  </si>
  <si>
    <t xml:space="preserve"> Republic of the Philippines													 City of San Carlos													 Negros Occidental													 													 INVITATION TO BID											FOR SALE	 			PURCHASE REQUEST NO: 9-20-06-0739				P 991.00	 Sealed bids for quotation of prices will be recei</t>
  </si>
  <si>
    <t xml:space="preserve"> Republic of the Philippines													 City of San Carlos													 Negros Occidental													 										                   		REBIDDING	 INVITATION TO BID											FOR SALE	 			PURCHASE REQUEST NO: 1-20-06-0649				P 150.00	 Sealed bids for quota</t>
  </si>
  <si>
    <t xml:space="preserve"> Procurement of Equipment</t>
  </si>
  <si>
    <t xml:space="preserve"> The Local Government Unit of Santa Fe, Nueva Vizcaya, through its Bids &amp; Awards Committee invites contractors to bid for the following project: Contract Name:  Construction of Flood Control (Malico) Contract Location: Santa Fe, Nueva Vizcaya Approve Budge</t>
  </si>
  <si>
    <t xml:space="preserve"> Provision of food supplies</t>
  </si>
  <si>
    <t xml:space="preserve"> 2 sets Desktop Computers  - processor 8 core 17  -Ram 8/16gb  -hard disk drive (1tb)  -Video Ram-2gb  -Optical Drive</t>
  </si>
  <si>
    <t xml:space="preserve"> Provision of meals and snacks</t>
  </si>
  <si>
    <t xml:space="preserve"> Printing and Publication</t>
  </si>
  <si>
    <t xml:space="preserve"> THE PROCURING ENTITY THROUGH ITS BIDS AND AWARDS COMMITTEE INVITES SUPPLIER TO QUOTE FOR THE HEREUNDER PROJECT/PROGRAM: IMPROVEMENT OF BARANGAY STREETLIGHT - 20% EDF 2019 ITEMS DESCRIPTION	ABC/UNIT	QTY	UNIT 1 Various Electrical Materials (Electrical): 1 L</t>
  </si>
  <si>
    <t xml:space="preserve"> The DPWH Nueva Ecija 1st DEO, through its Bids and Awards Committee (BAC), invites contractors to submit bids for the following contract:			 				 	20CE0231: Asset Preservation – Preventive Maintenance – Secondary Roads - Bongabon – Rizal – Aurora Rd K0153</t>
  </si>
  <si>
    <t xml:space="preserve"> Republic of the Philippines													 City of San Carlos													 Negros Occidental													 									                    			REBIDDING	 INVITATION TO BID											FOR SALE	 			PURCHASE REQUEST NO: 1-20-04-0532				P 150.00	 Sealed bids for quot</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</si>
  <si>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</si>
  <si>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Procurement of Furniture &amp; Fixtures</t>
  </si>
  <si>
    <t xml:space="preserve"> 15 can Air Freshener, 320ml/can, high quality 15 can Disinfectant Spray, 340g net content, high quality 10 bottle Glass Cleaner, 500ml, high quality 10 can Furniture Cleaner, 330ml/can, anti dust high quality 10 bottle Toilet Bowl &amp; Urinal Cleaner, 900 - </t>
  </si>
  <si>
    <t xml:space="preserve"> Purchase of CCTV with Installation</t>
  </si>
  <si>
    <t xml:space="preserve"> MG-LGD20-002..FUEL, GASOLINE, DIESEL ABC : P4,680,000.00 PLACE OF DELIVERY : MINGEN CENTRAL WAREHOUSE DITUCALAN, ILIGAN CITY AMOUNT OF BID DOCUMENTS : P 5,000.00</t>
  </si>
  <si>
    <t xml:space="preserve"> 1. 10 pcs Auto Bulb 24 volts (double big) 2. 10 pcs Auto Bulb 24 volts (single big) 3. 10 pcs Auto Bulb 24 volts (double small) 4. 10 pcs Auto Bulb 24 volts (single small) 5. 10 pcs Auto Bulb 12 volts (double big) 6. 10 pcs Auto Bulb 12 volts (single big)</t>
  </si>
  <si>
    <t xml:space="preserve"> for the distributions to the constituents of the barangay      4       boxes        Amoxicillin 500 mgs. capsules        4       boxes	    Paracetamol 500 mg.tablet            4       boxes	    Mefenamic acid 500 mg.capsule     2      boxes	    Cloxacilli</t>
  </si>
  <si>
    <t xml:space="preserve"> The DPWH Nueva Ecija 1st DEO, through its Bids and Awards Committee (BAC), invites contractors to submit bids for the following contract:			 				 	20CE0230: Network Development – Construction of By-Pass and Diversion Roads - San Roque – Bacayao Road, Guim</t>
  </si>
  <si>
    <t xml:space="preserve"> Republic of the Philippines													 City of San Carlos													 Negros Occidental													 													 INVITATION TO BID											FOR SALE	 			PURCHASE REQUEST NO: 9-20-06-0734				P 300.00	 Sealed bids for quotation of prices will be recei</t>
  </si>
  <si>
    <t xml:space="preserve"> Supply and delivery of construction materials for the Installation of Street Lights.</t>
  </si>
  <si>
    <t xml:space="preserve"> PURCHASED OF BRGY PATROL CAR ( MOTORCYCLE W/ SIDECAR)</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</si>
  <si>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</si>
  <si>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66 games for Inter Zone for Basketball League</t>
  </si>
  <si>
    <t xml:space="preserve"> (FORM NO. 014 – INVITATION TO APPLY FOR ELIGIBILITY AND TO BID) Republic of the Philippines Sangguniang Barangay of TUBIGAN Barangay TUBIGAN, Unisan, Quezon INVITATION TO APPLY FOR ELIGIBILITY AND TO BID Date			:  					 The Sangguniang Barangay TUBIGAN, t</t>
  </si>
  <si>
    <t xml:space="preserve"> 9 pieces Trophies 48 pieces Medals</t>
  </si>
  <si>
    <t xml:space="preserve"> 6   pcs.      Printer-EPSON 5190 50   pcs.    Printer-EPSON L3110</t>
  </si>
  <si>
    <t xml:space="preserve"> construction supplies and materials, labor</t>
  </si>
  <si>
    <t xml:space="preserve"> Please see attached Request for Quotation. ----------------PGO-Tourism-----------------</t>
  </si>
  <si>
    <t xml:space="preserve"> The DPWH Nueva Ecija 1st DEO, through its Bids and Awards Committee (BAC), invites contractors to submit bids for the following contract:			 				 	20CE0232: Asset Preservation – Rehabilitation/Reconstruction/Upgrading of Damaged Paved Roads – Primary Road</t>
  </si>
  <si>
    <t xml:space="preserve"> A. REMOVAL OF EXISTING GARDEN, PLANT BOX, AND COCO TREE B. PLANT BOX (85m.) 1. WALL FOOTING (Thk. = 0.10m.) 2. MASONRY WORK 3. REINFORCING BARS C. LANDSCAPING (L=85m.,W=0.50m.,D-0.38m.)</t>
  </si>
  <si>
    <t xml:space="preserve"> UNIVERSITY OF THE PHILIPPINES BAGUIO																				 Governor Pack Road, Baguio City, Benguet, CAR																				 VAT Reg. TIN: 000-864-006-00007																				 																				 																				 Request for Quotation																	</t>
  </si>
  <si>
    <t xml:space="preserve"> Pls. quote the items listed below: 1. Safety Breaker with aircon outlet  -  2 pcs. 2. 3 Gang Outlet  -  12 pcs. 3. Male Plug  -  4 pcs. 4. Mounted Awilen  -  1 pc. 5. Ceiling Receptacle  -  1 pc. 6. Insulation Foam  -  1 roll 7. Rubber Socket  -  6 pcs. 8</t>
  </si>
  <si>
    <t xml:space="preserve"> Construction of Bridge</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</si>
  <si>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</si>
  <si>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FOR CONSTRUCTION OF SAFETY WALKS-IN</t>
  </si>
  <si>
    <t xml:space="preserve"> Republic of the Philippines												 City of San Carlos												 Negros Occidental												 												 			INVITATION TO BID							FOR SALE	 			PURCHASE REQUEST NO: 18-20-06-0646			P 4,745.00	 Sealed bids for quotation of prices will be received</t>
  </si>
  <si>
    <t xml:space="preserve"> Bid-Opening-July 21, 2020 at 2:00 p.m. at Municipal Conference Room</t>
  </si>
  <si>
    <t xml:space="preserve"> The Municipality of Pilar would like to purchase sacks of rice as relief goods under BGCM including freight and handling.</t>
  </si>
  <si>
    <t xml:space="preserve"> BAC RESOLUTION NO. 343-2020 “A RESOLUTION DECLARING FAILURE OF BIDDING AND RECOMMEND FOR ALTERNATIVE MODE OF PROCUREMENT” WHEREAS, the Bids and Awards Committee (BAC) thru the Secretariat published in PhilGEPS and in any conspicuous places the purchase of</t>
  </si>
  <si>
    <t xml:space="preserve"> Supply and Delivery and Installation of Airconditioning Unit</t>
  </si>
  <si>
    <t xml:space="preserve"> 6' CI LIne valve 6' Sleeve 4' Sleeve 3' CI Cleeve 2" PE Connector 2" PE Adoptor 1 x 1/2 PE Connector  1" PE connector  1 P:E Adoptor  3/4 PE connector 3/4 PE adoptor 1/2 PE connector 1/2 Adoptor 1 x 3/4 Corporation Stop</t>
  </si>
  <si>
    <t xml:space="preserve"> 2 units Brand New Motorcycle: Specifications: dimension:2150*835*1332 mm, wheelbase: 1415mm,seat height:840mm,curb weight:213kg, max load:150kg,tire size:front-120/70-ZR17, Rear-160/60-ZR17,brake system:anti lock braking system,engine type:in line 2 cycli</t>
  </si>
  <si>
    <t xml:space="preserve"> PROPOSED SOLAR STREET LIGHTING</t>
  </si>
  <si>
    <t xml:space="preserve"> THE PROCURING ENTITY THROUGH ITS BIDS AND AWARDS COMMITTEE INVITES SUPPLIER TO QUOTE FOR THE HEREUNDER PROJECT/PROGRAM: CONSTRUCTION OF RIP RAP - 20% EDF 2019 ITEMS DESCRIPTION	ABC/UNIT	QTY UNIT 1 Various Construction Materials (aggregates): 1 Lot. 45 cu.</t>
  </si>
  <si>
    <t xml:space="preserve"> Invitation to Bid for Installation of Street Light at Pob. Diplahan ZSP. The Barangay Poblacion, Diplahan, Zamboanga Sibugay, through the Barangay Funds intends to apply the sum of Eighty-Three Thousand Nine Hundred Five Pesos Only (Php. 83,905.00) being </t>
  </si>
  <si>
    <t xml:space="preserve"> UPGRADING OF LEVEL III WATER SUPPLY SYSTEM (PHASE IV)</t>
  </si>
  <si>
    <t xml:space="preserve"> Please see attached Request for Quotation. ----------------SDO-Benguet-----------------</t>
  </si>
  <si>
    <t xml:space="preserve"> June 29, 2020 INVITATION TO BID  Reference No. 7073345 /Solicitation No.20-24 The City Government of Tagum invites interested Bidders/Suppliers to bid for the following: Name of Contract         :  CONSTRUCTION MATERIALS &amp; SUPPLIES FOR THE USE OF CMO - CO</t>
  </si>
  <si>
    <t xml:space="preserve"> 85 pc Spine board with holes around the stretcher for convenient transportation, on head end there is a space to fix head immobilizer, floats in water, equipped with three safety belts, with spider strap, load capacity of 160 kg. size of 184x45x6cm, color</t>
  </si>
  <si>
    <t xml:space="preserve"> Estimated Unit Cost                        Estimated Amount 1000 liters Diesel Fuel                              55.00                                             55,000.00 200  liters  Oil                                         200.00                   </t>
  </si>
  <si>
    <t xml:space="preserve"> Construction of Multi – Purpose Building</t>
  </si>
  <si>
    <t xml:space="preserve"> Materials: -300- bags - Thermoplastic Paint White (25 kgs./bag.)</t>
  </si>
  <si>
    <t xml:space="preserve"> Location: Poblacion I, Moncada, Tarlac Minimum Requirements: 1. Direct Injection Four-Stroke Common Rail Diesel, 2.8 Liter Diesel, 4 Cylinder In-Line, 16 valve, Double Overhead Camshaft (DOHC), Turbo Charged, 2. Dimension : At least (L x W x H) 4,735 x 1,</t>
  </si>
  <si>
    <t xml:space="preserve"> Engine type 23 L Displacement 2,488 cc Number of Cylinders 4 Number of Valves 16 Transmission Category 6 speed MT Fuel Type Diesel Mud Grappler 4 pcs RJM 4 pcs Front Steel Bumper Front Winch Led Blinker with Siren Decals and Sticker BAC Activity 1. Advert</t>
  </si>
  <si>
    <t xml:space="preserve"> REQUEST FOR QUOTATION (RFQ) The MAO  through the Bids and Awards Committee (BAC) of the Municipality of Banaybanay, Davao Oriental hereby notifies and invites you to submit your quotation/bid for the hereunder proposed project/request, viz: FOR THE CONSTR</t>
  </si>
  <si>
    <t xml:space="preserve"> I. SLOPE PROTECTION  A. EXCAVATION B. RUBBLE FOUNDATION C. GROUTED RIP-RAP II. EMBANKMENT III. ITEM-311 PCCP (Thk.=0.15m.)</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</si>
  <si>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</si>
  <si>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24 Sets of camera with Siamese Cable DVR 32 inches Monitor Power supply HDD BNC Jack male and female DC Female and male jack U box and Bracket U. Clip Services and parts warranty</t>
  </si>
  <si>
    <t xml:space="preserve"> MG-TSE20-018..METER MULTIFUNCTION CAN MEASURE VOLTAGE, CURRENT, ACTIVE POWER ABC  : P 1,500,000.00 PLACE OF DELIVERY : CMTSD WAREHOUSE DITUCALAN, ILIGAN CITY AMOUNT OF BID DOCUMENTS : P 3,000.00</t>
  </si>
  <si>
    <t xml:space="preserve"> Rehabilitation of Paved Road</t>
  </si>
  <si>
    <t xml:space="preserve"> Materials only: -15- drums - Bituminous Tack Coat (Cationic Rapid Setting, CRS-2) -20- drums - Penetration Asphalt, 60/70</t>
  </si>
  <si>
    <t xml:space="preserve"> Project Description I. Installation of Thermal and Sound Proofing II. Installation of Audio System III. Installation of Ventilation System IV. Installation of Gel Coated- Colored Fiber Glass Stadium Seats V. Plumbing Works VI. Installation of Modular Part</t>
  </si>
  <si>
    <t xml:space="preserve"> 2 units Brand New Patrol Van Back to Back: Seating Capacity:21,Engine:2.6L naturally aspirated 4 cylinder SOHC 8-valve,diesel engine steering type: rack and pinion steering gear w power assist, minimum turning radius:5m, 5 speed manual transmission,FR &amp; R</t>
  </si>
  <si>
    <t xml:space="preserve"> Republic of the Philippines Region XII Province of Cotabato City of Kidapawan OFFICE OF THE BIDS AND AWARD COMMITTEE June 30, 2020 INVITATION TO BID FOR  SUPPLY AND DELIVERY OF OFFICE AND JANITORIAL SUPPLIES FOR THE VARIOUS OFFICES(SP OFFICE, MAYOR’S OFFI</t>
  </si>
  <si>
    <t xml:space="preserve"> Materials: -300- pails - Bituminous Cold Mix in pail</t>
  </si>
  <si>
    <t xml:space="preserve"> Meals and snacks good for 25 heads including room accommodation and meeting facilities (seminar hall)</t>
  </si>
  <si>
    <t xml:space="preserve"> BILLING NOTICE WITH STATEMENT OF ACCOUNT SPECIFICATIONS, WITH FOUR (4) COLORS PRINT, WITH  TWO (2) VERICAL PERFORATION, WITH PRE-NUMBERING (3 SETS) WITH BOTH SIDE PERFORATION BOOK PAPER: 80 GSM SIZE 4 1/2 X 9 1/2 (3 CUTS) PACKAGING QUANTITY 4,000 SHEETS/B</t>
  </si>
  <si>
    <t xml:space="preserve"> Republic of the Philippines  City of Canlaon Office of the Bids and Awards Committee  INVITATION TO BID FOR the Construction of Brgy. Multi-purpose Building The Local Government of Canlaon City, through AIP 2019. Intends to apply the sum Three Hundred Fou</t>
  </si>
  <si>
    <t xml:space="preserve"> June 29, 2020 1.	The Barangay of Tukucan through the Bids and Awards Committee advertised an Invitation to bid for the Amdalagan – Binag-il Road Improvement funded under 20% BLDF 2020 with an Approved Budget for the Contract (ABC) of One Hundred Forty-sev</t>
  </si>
  <si>
    <t xml:space="preserve"> 20 bd.ft. 12L-1x2x10 Good Lumber 2.67 bd.ft 2L-1x2x8 Good Lumber 25 bd.ft. 5L 2x3x10 Good Lumber 48 bd.ft 12L 2x3x8 Good Lumber 133.33 bd.ft 50L-2x2x8 Good Lumber</t>
  </si>
  <si>
    <t xml:space="preserve"> RFQ-TFB-10-2020 Republic of the Philippines Province of Davao Oriental CITY OF MATI BIDS AND AWARDS COMMITTEE (Local Funding Source) REQUEST FOR QUOTATION (Negotiated Procurement – Two Failed Biddings) 		 Name of Company:	 Address:	 Telephone No.:	 Please</t>
  </si>
  <si>
    <t xml:space="preserve"> 1 &amp; 1/2 PE pipe SDR9 -60 mtrs Roll 1 &amp; 1/2 PE connector 1" PE pipe SDR 9 -90 mtrs roll 1 PE Connector 3/4 PE PIpe SDR 9 90 mters  3/4 PE connector</t>
  </si>
  <si>
    <t xml:space="preserve"> This project entails labor and materials for the construction of Multi-Purpose Bldg. Phase I at Brgy. Behia, Magallanes, Sorsogon funded by BDF 2020.</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</si>
  <si>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</si>
  <si>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JOB ORDER: Provision for Catering Services, good for  30 pax for the Conduct of CY 2020 Program Level  3rd Quarter Assessment on September 28, 29 &amp; 30, 2020 at DA-RFO 8, Tacloban City. No.	Scope of Work	Quantity	Unit_Cost	ABC 	Menu:			 Day 1	AM Snack: Cho</t>
  </si>
  <si>
    <t xml:space="preserve"> June 29, 2020 1.	The Barangay of Tukucan through the Bids and Awards Committee advertised an Invitation to bid for the Cocoy – Natpugan Road Improvement funded under 20% BLDF 2020 with an Approved Budget for the Contract (ABC) of One Hundred Forty-eight T</t>
  </si>
  <si>
    <t xml:space="preserve"> Republic of the Philippines Province of Ifugao BIDS AND AWARDS COMMITTEE Banaue, Ifugao Invitation to Bid for Street Lighting Publication No. INF-2020-003 1.	The Municipal Government of Banaue, through the Local Government Fund (LGU) 2020 intends to apply</t>
  </si>
  <si>
    <t xml:space="preserve"> Description Please quote your price inclusive of VAT on the item/s listed below, subject to the Terms and conditions of the RFQ, and submit your quotation duly signed by your representative not later than July 7, 2020 at CGSO for Goods. Upon receipt of at</t>
  </si>
  <si>
    <t xml:space="preserve"> Work Item No.	Qty .    	Unit of Issue                                        	Item Description 1102. 1.1	       160	          Cu.m	                                           Roadway Excavation 506	                 24	          Cu.m	                       </t>
  </si>
  <si>
    <t xml:space="preserve"> RFQ-TFB-11-2020 Republic of the Philippines Province of Davao Oriental CITY OF MATI BIDS AND AWARDS COMMITTEE (Local Funding Source) REQUEST FOR QUOTATION (Negotiated Procurement – Two Failed Biddings) 		 Name of Company:	 Address:	 Telephone No.:	 Please</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</si>
  <si>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</si>
  <si>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Ink for Printer WF-C5790 (Eco-Friendly) -6- pcs. - Black C13T948100 -6- pcs. - Cyan C13T948200 -6- pcs. - Magenta C13T948300 -6- pcs. - Yellow C13T948400</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</si>
  <si>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</si>
  <si>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I. REMOVAL OF EXISTING DAMAGED LINED CANAL II. DESILTING AND EXCAVATION III. REINFORCING STEEL BARS IV. STRUCTURAL CONCRETE</t>
  </si>
  <si>
    <t xml:space="preserve"> Republic of the Philippines  Province of Samar Municipality of Jiabong Invitation to Bid  Emergency Purchase to Prevent Spread of Covid 19 (PRN2020-4-112) Jiab-2020-1B The Municipal Government of Jiabong, Samar, through LGU OF JIABONG   intends to apply t</t>
  </si>
  <si>
    <t xml:space="preserve"> INVITATION TO APPLY FOR ELIGIBILITY AND TO BID (IAEB)   The Municipality of Molave, Zamboanga del Sur, through its General Appropriations, invites suppliers/distributors to apply for eligibility and to bid for the hereunder project:   Name of Project     </t>
  </si>
  <si>
    <t xml:space="preserve"> Republic of the Philippines										 Cordillera Administrative Region										 Provincial Government of Kalinga										 										 BIDS AND AWARDS COMMITTEE										 										 Invitation to Bid										 										 1.	The Provincial Government of KA</t>
  </si>
  <si>
    <t xml:space="preserve"> Materials: -100- bags - Thermoplastic Paint Yellow (25 kgs./bag.)</t>
  </si>
  <si>
    <t xml:space="preserve"> MG-TSE20-021..PROTECTION RELAY, DIGITAL ABC : P 2,500,000.00 PLACE OF DELIVERY  : CMTSD WAREHOUSE DITUCALAN, ILIGAN CITY AMOUNT OF BID DOCUMENTS : P 3,000.00</t>
  </si>
  <si>
    <t xml:space="preserve"> MG-TSE20-022..SWITCH, ISOLATION, METERING PROTECTION SYSTEM ABC  : P 2,000,000.00 PLACE OF DELIVERY : CMTSD WAREHOUSE DITUCALAN, ILIGAN CITY AMOUNT OF BID DOCUMENTS : P 3,000.00</t>
  </si>
  <si>
    <t xml:space="preserve"> WE INVITE INTERESTED BIDDERS TO QUOTE FOR 1 UNIT VACUUM PACK SEALER NEEDED BY THE BUREAU OF PLANT INDUSTRY-LA GRANJA NATIONAL CROP RESEARCH, DEVELOPMENT AND PRODUCTION SUPPORT CENTER, LA GRANJA LA CARLOTA CITY NEGROS OCCIDENTAL . REQUEST FOR QUOTATION/CAN</t>
  </si>
  <si>
    <t xml:space="preserve"> Portland Cement, 40kg., 420 bags Gravel, 48.2 cu.m. 12mm dia. x 6.0m rebar std. 30-pcs 2"x8"x12' cocolumber, 480 bd/ft CWNails, assorted, 3kls shovel, 4pcs</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</si>
  <si>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</si>
  <si>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The Kasiglahan Village Elementary School through its Bids and Awards Committee will undertake a Small Value Procurement /Negotiated Procurement (emergency cases) for the “Supply and delivery of office supplies for the month of May 2020 for Kasiglahan Vill</t>
  </si>
  <si>
    <t xml:space="preserve"> 60	Piece	Data Storage, CD-R with case 12	roll	Bidning Tape, 2-1/2", yellow 12	roll	Bidning Tape,2-1/2", Blue 2	pack	Glassine Bag,16 x 7 cm 1	Unit	Reversible Whiteboard with aluminum satnd with wheels 2 sides white dry erase or marker board with aliminum f</t>
  </si>
  <si>
    <t xml:space="preserve"> PLASTIC BARRIERS WITH DPWH LOGO	50	PCS TRAFFIC CONES WITH DPWH LOGO	136	PCS FOR USE IN THE TRAFFIC RE-DIRECTION OR ADVANCE WARNING HAZARDS &amp; DANGERS IN THE IMPLEMENTATION OF ROAD MAINTENANCE ACTIVITIES.</t>
  </si>
  <si>
    <t xml:space="preserve"> 1 unit Brand New Pick Up: Specifications: Overall Dimension (LWH)(mm): 4314*1809*1648 Kerb Weight (kg): 1258 GVW (kg): 1720 Wheelbase (mm): 3096 Wheel track (mm): Front: 1526, Rear: 1536 Rear leg room (mm): 926 Rear head room (mm): 995 Min. turning Radius</t>
  </si>
  <si>
    <t xml:space="preserve"> Materials: -100- M.T. - Bituminous Concrete Surface Coarse Furnishing Only (F)</t>
  </si>
  <si>
    <t xml:space="preserve"> MG-TSE20-024..TESTER, INSULATION AT 10 KV ABC  : P 1,200,000.00 PLACE OF DELIVERY : CMTSD WAREHOUSE DITUCALAN, ILIGAN CITY AMOUNT OF BID DOCUMENTS : P3,000.00</t>
  </si>
  <si>
    <t xml:space="preserve"> June 29, 2020 INVITATION TO BID  Reference No. 7073532 /Solicitation No.20-24 The City Government of Tagum invites interested Bidders/Suppliers to bid for the following: Name of Contract         :  120 UNITS OF LAPTOP COMPUTER FOR THE USE OF DEPED       -</t>
  </si>
  <si>
    <t xml:space="preserve"> Republic of the Philippines PROVINCE OF AGUSAN DEL SUR Municipality of San Luis Invitation to Bid ============================================ Construction of Municipal Slaughterhouse (Phase-1) 1.	The Municipal Government of San Luis, Agusan del Sur, rese</t>
  </si>
  <si>
    <t xml:space="preserve"> 20PCS DOOR KNOB AND 19 LINE ITEMS</t>
  </si>
  <si>
    <t xml:space="preserve"> See attached Request for Quotation.</t>
  </si>
  <si>
    <t xml:space="preserve"> 1 unit Desktop Computer, etc. SPO</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</si>
  <si>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</si>
  <si>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4 units Brand Aluminum Van: Specifications: Wheelbase(mm):3308,emission standard:Euro IV engine power(kw):85,displacement:2771, overall dimension(mm):5995*1980*2700 cabin:1730mm,sigle cabin,tiltable, Van specs material:aluminum, van size: 4150*1880*1800mm</t>
  </si>
  <si>
    <t xml:space="preserve"> CONSTRUCTION OF CONCRETE PATHWAY @ BRGY. DAJA DAKU CONCRETING OF 54.00 M. X 1.0 M. LOCAL ACCESS ROAD ( THICKNESS = 0.10 M.)</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</si>
  <si>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</si>
  <si>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Date:	 					 COMPANY NAME: _________________________________					 LOCATION: _______________________________________					 					 					 REQUEST FOR QUOTATION					 					 Gentlemen/Madam:					 					      Please quote your lowest price on the item/s listed belo</t>
  </si>
  <si>
    <t xml:space="preserve"> Preventive Maintenance of Road: Asphalt Overlay</t>
  </si>
  <si>
    <t xml:space="preserve"> Various Drugs And Medicines</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</si>
  <si>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</si>
  <si>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Top Engine Overhaul Change Oil Change Tire</t>
  </si>
  <si>
    <t xml:space="preserve"> 8-Units-GADGET for GGET (Gadget for Good Governance with Enhanced Technology) Specifications: Type: Booklet Connection: Wifi, WiFi + Cellular OS: Android OS ver.: Android 9.0 PIE, One UI CPU: Octa-core CPU Speed: 2x 1.8GHz Cortex-A73 &amp; 6x 1.6GHz Cortex-A5</t>
  </si>
  <si>
    <t xml:space="preserve"> MG-TSE20-032..REHAB/REPAIR OF VARIOUS DEFECTIVE LOW/MEDIUM/HIGH VOLTAGE EQUIPMENT ABC  : P 1,021,500.00 PLACE OF DELIVERY : CMTSD WAREHOUSE DITUCALAN, ILIGAN CITY AMOUNT OF BID DOCUMENTS : P 3,000.00</t>
  </si>
  <si>
    <t xml:space="preserve"> Invitation to Bid 								 June 29, 2020 1.	The Barangay Local Government Unit of Poblacion through the Bids and Awards Committee advertised an Invitation to bid for the Tupaan – Bileng Road Construction funded under 20% BLDF – 2020 with an Approved Budge</t>
  </si>
  <si>
    <t xml:space="preserve"> June 29, 2020 INVITATION TO BID  Reference No. 7073570 /Solicitation No.20-24 The City Government of Tagum invites interested Bidders/Suppliers to bid for the following: Name of Contract         :  CONSTRUCTION MATERIALS &amp; SUPPLIES FOR THE USE OF CMO – CO</t>
  </si>
  <si>
    <t xml:space="preserve"> Republic of the Philippines Department of Justice BUREAU OF CORRECTIONS SAN RAMON PRISON AND PENAL FARM Zamboanga City Request for Quotation The San Ramon Prison And Penal Farm, through its Bids and Awards Committee, request your lowest quotation of Compu</t>
  </si>
  <si>
    <t xml:space="preserve"> 1.	1	unit	Submersible Pump 7.5hp, 220volts, Single Phase Minimum of 70gpm and 53 meter Pump Head 2.	1	set	Splicing Kit 3.	1	lot	Labor (Pullout &amp; Replacement of Submersible Pump)</t>
  </si>
  <si>
    <t xml:space="preserve"> Republic of the Philippines Department of Education National Capital Region Schools Division Office - Taguig City and Pateros SILANGAN ELEMENTARY SCHOOL Telephone Nos. (02) 478-9458          JUNE 29, 2020                                     BIDS AND AWARD</t>
  </si>
  <si>
    <t xml:space="preserve"> -50- rolls - Mylar Film, 24 x 20, 75 Microns</t>
  </si>
  <si>
    <t xml:space="preserve"> Republic of the Philippines  Province of Samar Municipality of Jiabong Invitation to Bid  Emergency Purchase to Prevent Spread of Covid 19 (PRN2020-4-113) Jiab-2020-2B The Municipal Government of Jiabong, Samar, through LGU OF JIABONG   intends to apply t</t>
  </si>
  <si>
    <t xml:space="preserve"> RFQ</t>
  </si>
  <si>
    <t xml:space="preserve"> Republic of the Philippines BIDS AND AWARDS COMMITTEE Brgy. #5 DAVILA Pasuquin, Ilocos Norte REQUEST FOR QUOTATION ________________________                                                           DATE: _________________                     Name of Suppl</t>
  </si>
  <si>
    <t xml:space="preserve"> Supply and Delivery of Office Furnitures intended for LGU Manito Albay as listed in the bill of quantities and specifications.</t>
  </si>
  <si>
    <t xml:space="preserve"> JOB ORDER: Provision of Catering Services, good for  30 pax for the Conduct of CY 2020 Program Level  Fourth Quarter Assessment on November 25, 26 &amp; 27, 2020 at DA-RFO 8, Tacloban City. No.	Scope of Work	Quantity	Unit_Cost	ABC 	Menu			 Day 1	AM Snacks: Su</t>
  </si>
  <si>
    <t xml:space="preserve"> Please see attached request for quotation.</t>
  </si>
  <si>
    <t xml:space="preserve"> Section 1. INVITATION to BID (IB) No. 2020-013 The Municipality of Cabiao, Nueva Ecija, through its Bids and Awards Committee (BAC), invites suppliers/manufacturers/distributors to apply for eligibility and to bid if found eligible, to bid for the followi</t>
  </si>
  <si>
    <t xml:space="preserve"> Republic of the Philippines DEPARTMENT OF HEALTH DR. JOSE RIZAL MEMORIAL HOSPITAL Lawaan, Dapitan City Telefax; (065) 213-6421 Website: www.djrmh.doh.gov.ph Email: dohdjrmh@gmail.com BIDS AND AWARDS COMMITTEE INVITATION TO BID PROCUREMENT FOR THE PROPOSED</t>
  </si>
  <si>
    <t xml:space="preserve"> 4 unit Desktop Computer PVGO</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</si>
  <si>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</si>
  <si>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Invitation to Bid 								 June 29, 2020 1.	The Barangay of Tukucan through the Bids and Awards Committee advertised an Invitation to bid for the Palintaang – Kulili Road Improvement funded under 20% BLDF 2020 with an Approved Budget for the Contract (ABC</t>
  </si>
  <si>
    <t xml:space="preserve"> E-Billboard and Bulletin Board Maintenance</t>
  </si>
  <si>
    <t xml:space="preserve"> REPUBLIC OF THE PHILIPPINES PROVINCE OF SIQUIJOR MUNICIPALITY OF MARIA BARANGAY LOCAL GOVERNMENT UNIT OF LOGUCAN INVITATION TO BID FOR PROCUREMENT OF VARIOUS PLUMBING MATERIALS-LOGUCAN/LOG-0001G-2020 1.	The Barangay Local Government Unit of Logucan of the</t>
  </si>
  <si>
    <t xml:space="preserve"> 1 unit overhead projector 1 unit 3-in-1 printer 1 unit desktop computer 1 lot office tables and chairs</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</si>
  <si>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</si>
  <si>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Supply and Delivery of IT and Office Equipment intended for LGU Manito Albay all in accordance with the approved bill of quantities and specifications.</t>
  </si>
  <si>
    <t xml:space="preserve"> REPAIR OF 36 UNITS CCTV CAMERAS AND INSTALLATION OF 7 UNITS CCTV CAMERAS</t>
  </si>
  <si>
    <t xml:space="preserve"> Republic of the Philippines PROVINCE OF ZAMBOANGA SIBUGAY Municipality of Mabuhay OFFICE OF THE BAC CHAIRMAN INVITATION TO BID June 30, 2020  To all interested Bidders; Notice is hereby served that sealed bid be received for public bidding under the harmo</t>
  </si>
  <si>
    <t xml:space="preserve"> THE MUNICIPALITY OF PILAR WOULD LIKE TO PURCHASE FUEL &amp; LUBRICANTS UNDER BGCM INCLUDING FREIGHT &amp; HANDLING</t>
  </si>
  <si>
    <t xml:space="preserve"> 1.	2	set/s	Computer Desktop AMD A8 FM2 			Socket Motherboard, 4GB RAM 			1TB HDD, 21.5 LED Monitor, ATX Casing 			with PSU, Printer Epson L120 2.	2	set/s	Computer Desktop AMD A8 FM2 			Socket Motherboard, 4GB RAM 			1TB HDD, 18.5 LED Monitor, ATX Casing 	</t>
  </si>
  <si>
    <t xml:space="preserve"> Portable Inverter Power Generator Set 5KVA 10HP Watercooled, Silent type, Diesel</t>
  </si>
  <si>
    <t xml:space="preserve"> To be delivered at:  PhilHealth Regional Office IX  BGIDC Corporate Center Governor Lim Avenue Zamboanga City Please use the attached RFQ when submitting your quotation</t>
  </si>
  <si>
    <t xml:space="preserve"> 1 set Desktop Computer, etc. KDH</t>
  </si>
  <si>
    <t xml:space="preserve"> Invitation to Bid 								 June 29, 2020 1.	The Barangay of Wangwang through the Bids and Awards Committee advertised an Invitation to bid for the Package 01: A. Bawi – Lebeng Concrete Pathway Extension, B. Ambuyeng CIS Improvement, C. Gaday – Huyukto FMR</t>
  </si>
  <si>
    <t xml:space="preserve"> 42	roll	Nylon String,Tansi (1kg/roll) 60	piece	Plastic Sack,20kg cap 1735	piece	Net Bag, 19" x 26", with nylon string 600	piece	Net Bag, 6" x 8", with nylon string 30	piece	Net Bag, 8" x 12", with nylon string 55	piece	Plastic bottle sprayer,50ml cap 80	r</t>
  </si>
  <si>
    <t xml:space="preserve"> Construction of Deep well, Purok Narra, Barangay Isabang Lucena City</t>
  </si>
  <si>
    <t xml:space="preserve"> Republic of the Philippines Office of the Punong Barangay BIDS AND AWARDS COMMITTEE Barangay #5 Davila, Pasuquin, Ilocos Norte INVITATION TO BID FOR  	Purchase of Construction Materials &amp; Supplies for the Improvement of Manpower Development Center and Ele</t>
  </si>
  <si>
    <t xml:space="preserve"> 1. The Municipal Government of Sta. Cruz, through its 20% Municipal Development Fund intends to apply the sum of Two Million Ninety Nine Thousand Nine Hundred Eighty Seven Pesos and 71/100 (P2,099,987.71) being the Approved Budget for the Contract (ABC) t</t>
  </si>
  <si>
    <t xml:space="preserve"> Republic of the Philippines  Province of Samar Municipality of Jiabong Invitation to Bid  Emergency Purchase to Prevent Spread of Covid 19 (PRN2020-4-114) Jiab-2020-3B The Municipal Government of Jiabong, Samar, through LGU OF JIABONG   intends to apply t</t>
  </si>
  <si>
    <t xml:space="preserve"> Supply and Delivery of Various Replacement of Defective Parts of Esser/gent Fire Alarm System</t>
  </si>
  <si>
    <t xml:space="preserve"> Republic of the Philippines Province of Capiz Municipality of Maayon OFFICE OF THE BIDS AND AWARDS COMMITTEE INVITATION TO BID  The Municipality of Maayon, Province of Capiz, through its Bids and Awards Committee (BAC), invites suppliers to apply for elig</t>
  </si>
  <si>
    <t xml:space="preserve"> Supply and Delivery of One (1) Lot Vegetable Seeds for Agricultural and Fishery Modernization Program of LGU-Coron (Re-Bid). INVITATION TO BID  1.	 The Municipal Government of Coron, through the 2020 Annual Municipal Budget intends to apply the sum of THR</t>
  </si>
  <si>
    <t xml:space="preserve"> Purchase of ID Card Printer with given specifications</t>
  </si>
  <si>
    <t xml:space="preserve"> BUILDING I-	Earth works                                 =        144.08 cu.m II-    Formworks and Scaffolds      	=	    3,800.00 bd.ft. III-	Reinforced Conc. Works              =	    50.00 cu.m. IV-	Masonry Works(include Septic Tank) =     124.80 sq.m. V-</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</si>
  <si>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</si>
  <si>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Alcohol, Isopropyl 70%, 500ml Green											60	bots Air Freshener, aerosol, 280ml/150g min										25	can Bathroom Deodorizing 													27	pcs Bathroom Soap Regular Size White 100G JB										27	pcs Battery, Dry cell, AA, 1.5 volts, alkaline						</t>
  </si>
  <si>
    <t xml:space="preserve"> One Hundred 70% Solution 350ml &amp; Two (2) LI</t>
  </si>
  <si>
    <t xml:space="preserve"> 2 units Compact Passenger Van: Specifications: Overall Dimension(LxWxH)(mm):4344x1690x2030 Cargo Bed Dimension (LxWxH)(mm):2605x1690 x1705, displacement:1462cc,valvetrain:DOHC 16 valve, cylinder layout:Inline 4,Aspiration: naturally aspirated,MPI, Fuel Ty</t>
  </si>
  <si>
    <t xml:space="preserve"> Republic of the Philippines Province of Nueva Vizcaya BIDS AND AWARDS COMMITTEE (BAC-Goods) BAC OFFICE, Provincial Capitol, Bayombong, Nueva Vizcaya Tel. No. 078-392-2062 	 INVITATION TO BID FOR THE SUPPLY AND DELIVERY OF ANIMAL FEEDS  AND VETERINARY SUPP</t>
  </si>
  <si>
    <t xml:space="preserve"> Item No.	 Quantity	Unit	     Item and Description       1	    60	piece	     PC Antivirus: with High Expiration       2	    5	        piece	     Licensed OS (Microsoft) Windows 10 Pro-bit       3	    2	        piece	     Mobile Phone 6.4" Infinity-U-FHD+Su</t>
  </si>
  <si>
    <t xml:space="preserve"> See attached file........</t>
  </si>
  <si>
    <t xml:space="preserve"> Weighing Scale (10 kgs)													4	unit Nail 2"													20	kilo Nail 1"													20	kilo Paint (QDE semigloss white 8, Roof Green 4, FW Enamel - white 8)													20	gal Bolo													25	pc Knapsack Sprayer (Stainless 16 lits. Cap.)							</t>
  </si>
  <si>
    <t xml:space="preserve"> Maintenance of St Lights</t>
  </si>
  <si>
    <t xml:space="preserve"> Repair and Maintenance of Breastfeeding Room for Lactating Mothers</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</si>
  <si>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</si>
  <si>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1	1 unit	Drum DR312 2	1 unit 	Transfer Roller - A7AH-R729-00 3	1 unit 	Desktop Computer Monitor 		23.6 LED Backlit Widescreen LCD 		         Monitor, 1920x1080 Full HD 		         Resolution, VGA &amp; HDMI Inputs 4	15 unit	Barcode Scanner Handheld  5	3 unit	1</t>
  </si>
  <si>
    <t xml:space="preserve"> I.PLUMBING WORKS</t>
  </si>
  <si>
    <t xml:space="preserve"> Republic of the Philippines Province of Nueva Vizcaya BIDS AND AWARDS COMMITTEE (BAC-Goods) BAC OFFICE, Provincial Capitol, Bayombong, Nueva Vizcaya Tel. No. 078-392-2062 	 2ND INVITATION TO BID FOR THE SUPPLY AND DELIVERY OF AGRICULTURAL MACHINERY AND SU</t>
  </si>
  <si>
    <t xml:space="preserve"> JOB ORDER: Supply labor and materials for the Repair of plant Nursery Shed (Net Shade) at Babatngon Experiment Station, Brgy. Bagong Silang, Babatngon, Leyte. No.	Scope of Work	Quantity	Unit_Cost	ABC Spcl I	SIGNBOARD/ BILLBOARD     SQ.FT.	32	140.11	 I.	SI</t>
  </si>
  <si>
    <t xml:space="preserve"> JOB ORDER: Supply labor and materials for the Repair Scion Grove Perimeter Fence at Babatngon Experiment Station, Brgy. Bagong Silang, Babatngon, Leyte. No.	Scope of Work	Quantity	Unit_Cost	ABC Spcl I.	SIGNBOARD/ BILLBOARD     SQ.FT.	32	140.11	 I.	SITEWOR</t>
  </si>
  <si>
    <t xml:space="preserve"> Document Box Customized Extra Heavy Duty File Folder</t>
  </si>
  <si>
    <t xml:space="preserve"> Republic of the Philippines  Province of Samar Municipality of Jiabong Invitation to Bid  To Purchase of Computer Package RHU Office Jiab-2020-6B The Municipal Government of Jiabong, Samar, through LGU OF JIABONG   intends to apply the sum of SIXTY FIVE T</t>
  </si>
  <si>
    <t xml:space="preserve"> 24.00 	cu.m	Gravel river mixed  221.00 	bags	Portland Cement  25.00 	cu.m	3/4" dia. Washed Gravel  13.00 	cu.m	Screened Sand  133.33 	bd.ft	16pcs- 2"x6"x12' Forms  2.00 	kls	#3 CW Nail  63.96 	kls	12pcs- 12mm dia. DSB  2.00 	pcs	Hacksaw Blade</t>
  </si>
  <si>
    <t xml:space="preserve"> Province of Iloilo Municipality of New Lucena    New Lucena, Iloilo 							         June 30, 2020    INVITATION TO BID FOR THE SUPPLY AND DELIVERY OF MATERIALS FOR THE REPAIR AND MAINTENANCE OF STREET LIGHT,MUNICIPAL HALL BLDG. &amp; PUBLIC PLACES, NEW LUCENA</t>
  </si>
  <si>
    <t xml:space="preserve"> ONE (1) YEAR SUBSCRIPTION OF ONLINE VIDEO CONFERENCING APPLICATION FOR ENTERPRISE (15 HOST)</t>
  </si>
  <si>
    <t xml:space="preserve"> see attached docs</t>
  </si>
  <si>
    <t xml:space="preserve"> 12 gals Herbicide (Round Up) 1 gals 2-4 herbicide 2 unit 16 Litters Sprayer (Knapsack) Taiwan made 2 kls nylon #3.50 mm (Monoline rope)</t>
  </si>
  <si>
    <t xml:space="preserve"> see attached ITB</t>
  </si>
  <si>
    <t xml:space="preserve"> *Construction of 5m by 10m MRF Building with a total area of 50 sq.m. Use of 4" G.I Pipe for Column, cyclone wire for walling with 2 layers of 4"CHB from floor level. *One (1) unit Plastic and Glass Bottle Shredder/Pulverizer-Grinder- Output: 100kg/hr; Mo</t>
  </si>
  <si>
    <t xml:space="preserve"> 50 Boxes Mineral water &amp; Six (6) LI</t>
  </si>
  <si>
    <t xml:space="preserve"> Please see attach documents</t>
  </si>
  <si>
    <t xml:space="preserve"> Materials: -100- bags - Portland Cement -200- pcs. - RSB, 12mmØ x 6.0m -20- pcs. - RSB, 10mmØ x 6.0m -40- kgs. - G.I. Tie Wire # 16 -150- pcs. - Good Lumber (50mm x 50mm x 3.0m) -178- cu.m. - White Sand -56- cu.m. Crushed Gravel 3/4"Ø -50- pcs. - Ordinary</t>
  </si>
  <si>
    <t xml:space="preserve"> Republic of the Philippines  Province of Samar Municipality of Jiabong Invitation to Bid  Emergency Purchase to Prevent Spread of Covid 19 (PRN2020-4-116) Jiab-2020-5B The Municipal Government of Jiabong, Samar, through LGU OF JIABONG   intends to apply t</t>
  </si>
  <si>
    <t xml:space="preserve"> Republic of the Philippines Province of Davao del Sur Municipality of Matanao BARANGAY DONGANPEKONG -oOo- INVITATION TO BID The Barangay Government Unit of Donganpekong, Matanao, Davao del Sur, through its Bids and Awards Committee (BAC), invites supplier</t>
  </si>
  <si>
    <t xml:space="preserve"> 2 set COMPUTER DESKTOP CPU : 8th Generation Intel Core i5-8400 processor (9M Cache, up to 4.0 GHz) HDD : 1TB 7200 rpm Hard Drive RAM : 8GB (1X8GB) 2666Mhz DDR4 Graphics : NVIDIA GeForce GT 1030 2GB GDDR5 Screen : Monitor S2319H 23"" Color / Camera : N/A K</t>
  </si>
  <si>
    <t xml:space="preserve"> Invitation to Bid 								 June 29, 2020 1.	The Barangay of Gumhang through the Bids and Awards Committee advertised an Invitation to bid for the Balukok Water System Construction funded under 20% BLDF 2020 with an Approved Budget for the Contract (ABC) o</t>
  </si>
  <si>
    <t xml:space="preserve"> Republic of the Philippines Province of Cotabato Municipality of Aleosan Invitation to Bid  SUPPLY AND DELIVERY OF PORTABLE MICROBIOLOGICAL TEST FOR WATER                                                                                                     </t>
  </si>
  <si>
    <t xml:space="preserve"> Republic of the Philippines  Province of Samar Municipality of Jiabong Invitation to Bid  Emergency Purchase to Prevent Spread of Covid 19 (PRN2020-4-115) Jiab-2020-4B The Municipal Government of Jiabong, Samar, through LGU OF JIABONG   intends to apply t</t>
  </si>
  <si>
    <t xml:space="preserve"> Procurement of 1 Lot Water treatment supplies, etc.</t>
  </si>
  <si>
    <t xml:space="preserve"> 1. Brand new Motorcycle with Registration and Insurance 3 Units      Capacity: 124.45cc      Power: 12@8500 (ps@RPM)      Torque: 1.1kg-m@ 6000NM@RPM)      Engine: 4 Stroke, Air Cooled 4-valved, single cylinder,SOCH, FI</t>
  </si>
  <si>
    <t xml:space="preserve"> 40.00 	cu.m	Gravel river mixed  221.00 	bags	Portland Cement  40.00 	cu.m	3/4" dia. Washed Gravel  20.00 	cu.m	Screened Sand  192.00 	bd.ft	16pcs- 2"x6"x12' Forms  3.00 	rolls	Nylon #20 (30 lm)  3.00 	kls	#3 CW Nail  95.94 	kls	18pcs- 12mm dia. DSB  1.00 </t>
  </si>
  <si>
    <t xml:space="preserve"> 300	tanks	Oxygen tank refill</t>
  </si>
  <si>
    <t xml:space="preserve"> SEE PROGRAM OF WORK FOE DETAILS</t>
  </si>
  <si>
    <t xml:space="preserve"> Republic of the Philippines City of Canlaon OFFICE OF THE BIDS AND AWARDS COMMITTEE Invitation to Bid for the CONSTRUCTION OF BUNTIS LOUNGE The City Government of Canlaon City, through Ordinance No. 78, S-2018 intends to apply the sum of  Nine Hundred Sev</t>
  </si>
  <si>
    <t xml:space="preserve"> 80	pack	CARTOLINA, assosrted colors 18	piece	NOTEBOOK, STENOGRAPHER, spiral 40 leaves 2	pad	PAPER, RULED 6	ream	Paper, Parchment , size 210 x 297mm, multi 27	book	Record Book, 300 pages size 214mm x 278mm 12	book	Record Book, 500 pages size 214mm x 278mm </t>
  </si>
  <si>
    <t xml:space="preserve"> Supply and Delivery of Equipments</t>
  </si>
  <si>
    <t xml:space="preserve"> 10	piece	INK - PRINTER EPSON  T6641 10	piece	INK - PRINTER EPSON T6642 10	piece	INK - PRINTER EPSON T6643 10	piece	INK - PRINTER EPSON T6644 12	bot	Ink, Brothert Black  4	bot	Ink, Brothert Cyan 4	bot	Ink, Brothert Mageta 4	bot	Ink, Brothert Yellow 5	bot	I</t>
  </si>
  <si>
    <t xml:space="preserve"> 250 packs Eggplant Seeds (OPV), 50g														 250 packs Okra Seeds (OPV)														 250 packs Stringbean Seeds (OPV)														 150 packs Tomato (OPV)														 150 packs Hot Pepper (OPV)														 150 packs Pechay														 15 kgs U</t>
  </si>
  <si>
    <t xml:space="preserve"> 1 unit  PVC ID Card Printer Dual - side Printing Capability 1 pc Electronic signature pad 1 pc Web Camera ABC = P99,000.00</t>
  </si>
  <si>
    <t xml:space="preserve"> 10 roll Cling Film, Fermosa etc... DMDH</t>
  </si>
  <si>
    <t xml:space="preserve"> Purchased Construction Material for 120 meters open canal channel</t>
  </si>
  <si>
    <t xml:space="preserve"> 3 UNITS COMPUTER DESKTOP SPECIFICATION:  	Intel 9th Gen Core i5- 9400 2.9 GHz  	8GB DDR 4 Memory  	128 GB SSD + 1TB Hard Disk Drive  	Super Multi DVD Drive  	NVIDIA GEForce GT1030 2GB  	Built – in Bluetooth &amp; Wifi  	23.6” Full HD Monitor  	All – in One Ca</t>
  </si>
  <si>
    <t xml:space="preserve"> Invitation to Bid to all Supplier/Contractor duly accredited by CITY Council of Manila to supply and deliver the Following items provided hereunder, to wit; Item	Qty.	Unit	Articles 			 1.	4	rms	Bond Paper A4 2	3	rms	Bond Paper,Short  3	4	rms	Bond Paper, L</t>
  </si>
  <si>
    <t xml:space="preserve"> MUNICIPALITY OF BADOC BIDS AND AWARDS COMMITTEE INVITATION TO BID FOR THE Sustaining the Implementation of Privatized Segregated Collection of Solid Wastes, Operation and Management of Materials Recovery Facility. Bid Reference BAC 2020-G-06-010 Approved </t>
  </si>
  <si>
    <t xml:space="preserve"> 1 unit, Hydrocollator Tank - stainless steel with overheating safety features - thermostatically temperature control - 80-85" x 85-90" x 50-55 - tank capacity:  135-140 liter - insulated casing - transportable</t>
  </si>
  <si>
    <t xml:space="preserve"> 4	pcs	Tarpulin (4x6) 2	pcs	Tarpulin (5x6) 5	pcs	Tarpulin 3x4) 2	pcs	Tarpulin (4x8) 2	pcs	Tarpulin (5x8) 5	pcs	Tarpulin (2x8) 650	pcs	Ribbons (parents, learners,faculty &amp; guest) 800	pcs	Assorted personalized medals</t>
  </si>
  <si>
    <t xml:space="preserve"> 2 Unit Desktop Computer etc.. DMDH</t>
  </si>
  <si>
    <t xml:space="preserve"> Invitation to Apply for Eligibility and to Bid The Barangay Government of Barangay Cuta, Batangas City intends to apply the sum of One Hundred Fifty Thousand Pesos Only (Php 150,000.00) broken down as follow: ITEM Brief Description SUB-ABC Lot 1 PURCHASE </t>
  </si>
  <si>
    <t xml:space="preserve"> Procurement of 1 Lot Oxytetracycline, etc.</t>
  </si>
  <si>
    <t xml:space="preserve"> Asepto Syringe 50ml													20	pc Adult Diaper large 10's													20	pack Examination Gloves Medium 50's													20	box Disposable Syringe 10ml 100's													10	box Elastic Bandage 3" 12's													6	pcs Elastic Bandage 4" 12's									</t>
  </si>
  <si>
    <t xml:space="preserve"> Republic of the Philippines					 PROVINCE OF SIQUIJOR					 BIDS &amp; AWARDS COMMITTEE					 Capitol Building, Siquijor, Siquijor					 					 Business Name:_____________________________				AD. No.: 468-06-2020	 Address:___________________________________				DAT</t>
  </si>
  <si>
    <t xml:space="preserve"> The Municipal Government of Pilar, through the General Fund intends to apply the sum of Fifteen Million Pesos (P/15,000,000.00) being the Approved Budget for the COntract (ABC) to payments under the contract for the Rehabilitation of Municipal Building, M</t>
  </si>
  <si>
    <t xml:space="preserve"> SEE PROGRAM OF WORK FOR DETAILS</t>
  </si>
  <si>
    <t xml:space="preserve"> request for quotation</t>
  </si>
  <si>
    <t xml:space="preserve"> 155  PCS.   UPVC PIPES #4, SERIES 10, ATLANTA    200  MTRS. HDPE PIPES, #1, SDR 11    1     PC.      G.I  PIPE,#1, SCH. 40    1     PC.      C.I TEE,#4,M/M/M    1     PC.      C.I SLEEVE TYPE COUPLING, #4    1     PC.      WATER METER, #1, ARAD    8     P</t>
  </si>
  <si>
    <t xml:space="preserve"> Food Processing equipment</t>
  </si>
  <si>
    <t xml:space="preserve"> Supply, Delivery and Installation of Materials for the repair of the Wastewater Line and Plumbing Accessories of the Revenue District Office No. 110, General Santos City 5	length    uPVC Pipe, 4" s1000	 1	length    uPipe, 2" s1000	 4	length    uPVC Pipe, </t>
  </si>
  <si>
    <t xml:space="preserve"> Number: 	Quantity: 	 1	4	pcs.		Battery	Motolite Maintenance free		8,000.00	32,000.00 2	5	pcs		Fuel Filter	(for Toyota Hi-Ace Van)		1,300.00	6,500.00 3	5	pcs.		Fuel Filter	(Avanza) for gasoline		1,300.00	6,500.00 4	10	pcs.		Oil Filter	(for Toyota Hi-Ace Va</t>
  </si>
  <si>
    <t xml:space="preserve"> 1 pc, Stationary Bike - recumbent bike with back rest - easy seat adjustment and lock while sitting position - maximum weight capacity: 120-140 kgs - resistance levels ranging from 15-20 - dual grip front handlebar - side-mounted handlebars with pulse - m</t>
  </si>
  <si>
    <t xml:space="preserve"> DIESEL													1,485	liters Terms of Reference:														 *Billing Based on Actual Consumption														 *Fuel will be delivered as requested														 *Payment will be made on quarterly basis</t>
  </si>
  <si>
    <t xml:space="preserve"> Republic of the Philippines Province of Batangas Municipality of Lemery  INVITATION TO BID FOR THE Purchase of office equipments for Community Learning Center and various schools 1.	The MUNICIPALITY OF LEMERY, through the Local School Board Resolution No.</t>
  </si>
  <si>
    <t xml:space="preserve"> Hauling of hazardous waste DMDH</t>
  </si>
  <si>
    <t xml:space="preserve"> 2 Unit Water Tank etc.. DMDH</t>
  </si>
  <si>
    <t xml:space="preserve"> ITEM	ITEM  DESCRIPTION	QTY	UNIT NO.			 1	Notice of Deliquency of Real Properties	15	pads 2	Warrant of Levy	10	pads 3	Proof of Service	10	pads 4	Notice of Sale	10	pads 5	Sworn Statement 	10	pads 6	Notice of Levy	10	pads 7	Report of Sale 	10	pads 8	Notice o</t>
  </si>
  <si>
    <t xml:space="preserve"> 8 sets 11.00 x 20.00 Tires</t>
  </si>
  <si>
    <t xml:space="preserve"> Construction of Concrete Road</t>
  </si>
  <si>
    <t xml:space="preserve"> Construction of Flood Mitigation Structure</t>
  </si>
  <si>
    <t xml:space="preserve"> 1 pc, Hydraulic Pinch Gauge - measures pinch force to 45lbs - includes instruction and a carrying case - latex free</t>
  </si>
  <si>
    <t xml:space="preserve"> Name of Project	        : 	PURCHASE OF SOFTWARE AND VARIOUS EQUIPMENTS OF DENR-PENRO PALAWAN Place of Delivery	:	PENRO Office, Bgy. Sta. Monica, Puerto Princesa City Brief Description	:	Supply and Delivery of: 		                       LOT 1:  One (1) unit</t>
  </si>
  <si>
    <t xml:space="preserve"> Republic of the Philippines Cordillera Administrative Region PROVINCIAL GOVERNMENT OF ABRA Bangued INVITATION TO BID FOR  PURCHASE OF VEGETABLE PRODUCTION MATERIALS AND EQUIPMENT 1.	The PROVINCIAL GOVERNMENT OF ABRA, through the Budget for the Contract Ap</t>
  </si>
  <si>
    <t xml:space="preserve"> 1. The National Irrigation Administration (NIA), Regional Irrigation Office No.7, through the Small Reservoir Irrigation Project (SRIP) 2020 intends to apply the sum of Fourty Six Million Fifty Six Thousand Three Hundred Fifteen Pesos and 78/100 (P 46,056</t>
  </si>
  <si>
    <t xml:space="preserve"> Project Billboard,  Emulsified Asphalt,  Bituminous Concrete Surface Course,  Traffic Management Prospective Bidders must have completed a contract similar to the project with the amount of at least 50% of the ABC. Bidding will be conducted through open c</t>
  </si>
  <si>
    <t xml:space="preserve"> 1. 1 unit 3.0T3 Floor Standing Aircon  Non-Inverter System Remote control Breaker and installation</t>
  </si>
  <si>
    <t xml:space="preserve"> 24,400   ltrs   Diesel   1,000   ltrs   Silver   1,000   ltrs   Premium       40    btls  Brake fluid, 200ML</t>
  </si>
  <si>
    <t xml:space="preserve"> Invitation to  Bid for the Materials for Road Concreting at Purok 4 The Barangay Concepcion, Hilongos, Leyte through its Bids and Awards Committee (BAC) invites the PhilGEPS registered suppliers to apply to bid for the Supply and Delivery for Materials fo</t>
  </si>
  <si>
    <t xml:space="preserve"> Procurement of 1 Lot Office Supplies and Consumables</t>
  </si>
  <si>
    <t xml:space="preserve"> Procurement of 1 Lot Grocery Items</t>
  </si>
  <si>
    <t xml:space="preserve"> Procurement of Livelihood Supplies and Materials</t>
  </si>
  <si>
    <t xml:space="preserve"> Surveying instrument-infrastructure multi-purpose design system- integrated RTK GNSS  hardware and software with training RTK GNSS Static base (448 channel or more) GNSS Technology simultaneous tracking of all visible satellite signals Support Signal: GPS</t>
  </si>
  <si>
    <t xml:space="preserve"> Please see attached associated components for the Technical Specifications and download the Complete Bidding Documents through linkage below.</t>
  </si>
  <si>
    <t xml:space="preserve"> Brgy. Capehan Project Billboard,  Safety and Health,  Demolition/Disposal of Waste,  Drainage Canal 1,  Drainage Canal 2,  Canal Cover &amp; Driveway,  Box Culvert,  Form Works Brgy. Balete Project Billboard,  Safety and Health,  Demolition/Disposal of Waste,</t>
  </si>
  <si>
    <t xml:space="preserve"> 1 set, Stainless Steel Goniometer - includes one hand and small joint goniometer and one large joint goniometer - made up of stainless steel - head with two opposing 180 degrees scale - which are marked in 5 degrees increment - linear scales with inches a</t>
  </si>
  <si>
    <t xml:space="preserve"> OFFICE AND OTHER SUPPLIES</t>
  </si>
  <si>
    <t xml:space="preserve"> 1 Lot Purchase and Delivery of 11 Units of Laptop for the Sangguniang Bayan Office</t>
  </si>
  <si>
    <t xml:space="preserve"> Disp. Syringe 1 cc 100's/box	30	box Disp. Syringe 3 cc 100's/box	30	box Disp. Syringe 5 cc 100's/box	30	box Digital Thermometer	25	pc ECG Paper 112MM x 2, 5,S	10	box Surgical Facemask 50's	40	box Facemask N95	20	pc Heplock	370	pc IV Cannula g-18	200	pcs I</t>
  </si>
  <si>
    <t xml:space="preserve"> 1	lot	Vehicle accessories 		Slim fender, fit for Toyota Hilux Conquest 1	lot	Vehicle accessories 	          Deep Dish Matting, fits for Toyota Hilux Conquest Durable, washable, waterproof, heavy-duty material 1	lot	Vehicle accessories 		Bed Liner Cover, f</t>
  </si>
  <si>
    <t xml:space="preserve"> pls. see attached</t>
  </si>
  <si>
    <t xml:space="preserve"> 50PCS. ELECTRIC BULB, 4PCS. OFFICE TABLES AND CONSTRUCTION OF BOW-LARD (HARBOR POST)</t>
  </si>
  <si>
    <t xml:space="preserve"> 150 bot Nature Spring Water (500ml) 50 bot 1.5 liter Coke 30 pcks Assorted Biscuits 25 pcks 3 in 1 Nescafe Creamy White 100 pcs Noodles (chicken/beef) 90 pcs Eight o'clock Juice 300 pcs. Assorted Bread 90 can Corn Beef 90 can Sardines 8 tray Eggs 1 sack R</t>
  </si>
  <si>
    <t xml:space="preserve"> Improvement of Multi-Purpose Covered Court &amp; Evacuation Center location: brgy. Malaruhatan Lian, batangas Budget: 924,000.00 Source of Fund : 20% Development Fund</t>
  </si>
  <si>
    <t xml:space="preserve"> Purchase of Hardware Supplies and Materals</t>
  </si>
  <si>
    <t xml:space="preserve"> Additional details available at the BAC office upon request and purchased of bidding documents</t>
  </si>
  <si>
    <t xml:space="preserve"> Structure Excavation (Common Soil), Embankment (from structure excavation), Embankment (from borrow), Structural Concrete (footings and slab on fill, class A - 28 days), Structural Concrete (columns, class A - 28 days), Structural Concrete (suspended slab</t>
  </si>
  <si>
    <t xml:space="preserve"> 1 lot water pump assembly 2 pcs engine oil filter 2 pails engine oil 2 sets maintenance free battery 1 lot Labor</t>
  </si>
  <si>
    <t xml:space="preserve"> 40	reams	BOND PAPER - LONG SUB 20 30	reams	BOND PAPER - A4 SUB 20 8	reams	BOND PAPER - SHORT SUB 20 100	pcs.	CRAFT FOLDER LONG THICK 50	pcs.	CRAFT BROWN ENVELOP LONG  50	pcs.	CRAFT EXPANDED BROWN ENVELOP LONG 50	pcs.	CRAFT BROWN ENVELOP LONG  4	pcs.	COLOR</t>
  </si>
  <si>
    <t xml:space="preserve"> Republic of the Philippines PROVINCE OF SOUTHERN LEYTE Maasin City Invitation to Bid for the Procurement of Various Tire Wheel  Contract ID # 2020-07-21-404PG 1.	The Provincial Government of Southern Leyte through the PEO’EQUIP, PDH, PAGSO &amp; PHSO Repairs </t>
  </si>
  <si>
    <t xml:space="preserve"> Trainer's Kit for the 2020 CPH 2nd, 3rd &amp; 4th Training</t>
  </si>
  <si>
    <t xml:space="preserve"> Purchased Construction Materials and Supplies for Rehab. of Health Center</t>
  </si>
  <si>
    <t xml:space="preserve"> 1. The National Irrigation Administration (NIA), Regional Irrigation Office No.7, through the Small Reservoir Irrigation Project (SRIP) 2020 intends to apply the sum of Thirty Eight Million Four Hundred Sixty Three Thousand Three Hundred Twenty Pesos and </t>
  </si>
  <si>
    <t xml:space="preserve"> PR. No. 73-2020 (LDRRMO) 1.	2	gal	Engine Oil 2.	1	pc	Flushing Oil 3.	5	gal	Coolant 4.	2	pcs	BS 265/65R17 5.	1	pc	Brake Pad DB-2380 6.	1	lit	Brake Fluid PR. No. 74-2020 (LDRRMO) 1.	1	pc	FOTON Filter EO-193430000008 2.	1	pc	Cylinder Head Gasket 3.	1	pc	Alte</t>
  </si>
  <si>
    <t xml:space="preserve"> Drum (Xerox Machine) Toner (Xerox Machine)</t>
  </si>
  <si>
    <t xml:space="preserve"> MEALS AND SNACKS FOR COMMITTEE MEETING OF  SBO- PR. NO:	2020-06-102</t>
  </si>
  <si>
    <t xml:space="preserve"> Supplies And equipments for Barangay use in prevention of covid-19 Opening of Bids July 7 10am tuesday at Barangay Hall</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</si>
  <si>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</si>
  <si>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Please contact BAC Secretariat for details</t>
  </si>
  <si>
    <t xml:space="preserve"> INVITATION TO BID FOR  INSTALLATON OF STREETLIGHTS IN STRATEGIC AREA OF VARIOUS BARANGAY. A. Construction/ Installation of Solar Powered Streetlights at Brgy.   Lallana, TMC B. Installation of LED Streelights at West Plains- Saluysoy Road, Brgy. San Agust</t>
  </si>
  <si>
    <t xml:space="preserve"> Invitation to Bid for the Procurement of Materials for the Construction of Drainage Canal, Barangay Garitan, Tagudin, Ilocos Sur 1.	Barangay Garitan of Tagudin, Ilocos Sur, thru its Bids and Awards Committee intends to apply the sum of Seventy Three Thous</t>
  </si>
  <si>
    <t xml:space="preserve"> 2 unit, Bolster 24" x 6" 2 unit, Bolster 24" x 8"</t>
  </si>
  <si>
    <t xml:space="preserve"> Diazepam 10mg/2mL ampule										20	amp Ephedrine 50mg/ml amp											10	amp Haloperidol 50mg ampule											10	amp Ketamine 50mg													5	vial Morphine Sulfate 10mg ampule 										10	amp Nalbuphine 10mg												10	amp Phenytoin 50mg							</t>
  </si>
  <si>
    <t xml:space="preserve"> PCC thru the BIDS and AWARDS Committee intends to apply for 69,093 as the Approved Budget for the Contract (ABC) under Repair and maintenance of tractor with the following specifications: 1 pc 3C081-25130 Assy Disc Clutch 1 Pc 33740-26350 Bearing ball 1 P</t>
  </si>
  <si>
    <t xml:space="preserve"> REPAIR AND MAINTENANCE OF BUILDING AND OTHER STRUCTURES, MUNICIPAL GROUND POBLACION, MAWAB, DAVAO DE ORO- PR NO. 2020-06-100</t>
  </si>
  <si>
    <t xml:space="preserve"> Republic of the Philippines SUGAR REGULATORY ADMINISTRATION North Avenue, Diliman, Quezon City 													                                          6/29/2020 										         Date REQUEST FOR QUOTATION Gentlemen: 		Please quote your lowest prices, tax</t>
  </si>
  <si>
    <t xml:space="preserve"> INVITATION TO APPLY FOR ELIGIBILITY AND TO BID 	The local Government Unit of Can-avid, through is Bid and Awards Committee (BAC). Invites suppliers to apply for eligibility, to bid for the hereunder contract: Name of Contract:      CONCRETING OF MAYOR ALE</t>
  </si>
  <si>
    <t xml:space="preserve"> Supply and Delivery of Materials, Labor and Construction/Improvement of Multi-Purpose Building at Barangay Lajala, Coron, Palawan. Invitation to Bid  1.	The Municipal Government of Coron, Palawan, through the 2020 Annual Municipal Budget intends to apply </t>
  </si>
  <si>
    <t xml:space="preserve"> MEALS AND SNACKS FOR PUBLIC  HEARING AND COMMITTEE MEETING OF  SBO- PR. NO:	2020-06-103</t>
  </si>
  <si>
    <t xml:space="preserve"> INVITATION TO BID The DPWH Regional Office IX, Veterans Avenue Extension, Tetuan, Zamboanga City, through its Bids and Awards Committee (BAC), invites contractors to submit bids for the following Contract: Contract ID	:	20J00197 Contract Name	:	Constructi</t>
  </si>
  <si>
    <t xml:space="preserve"> INVITATION TO BID FOR THE DELIVERY OF SEA URCHIN JUVENILES  (ITB No. 2020-04-1) 1. The Bureau of Fisheries and Aquatic Resources-Regional Fisheries Office I (BFAR RFO I), through the General Appropriations Act of 2020 (GAA 2020) intends to apply the sum o</t>
  </si>
  <si>
    <t xml:space="preserve"> Republic of the Philippines Province of Lanao del Norte Municipality of Tubod BARANGAY PUALAS BIDS AND AWARDS COMMITTEE INVITATION TO BID PURCHASE AND INSTALLATION OF WATER PIPE LINES FOR BARANGAY WATER SYSTEM Barangay Pualas, Tubod, Lanao del Norte  (ITB</t>
  </si>
  <si>
    <t xml:space="preserve"> 1	unit	 Digital Camera w/ Accessories					 		Mirrorless Digital Camera 					 		Description:					 		• 24.1MP (APS-C) CMOS Sensor					 		• 2.36m-Dot OLED Electronic Viewfinder 					 		• 3.0"1.04m-Dot Vari-Angle Touchscreen					 		• UHD 4K and HD 720p120 Vid</t>
  </si>
  <si>
    <t xml:space="preserve"> INVITATION TO BID FOR  Supplies &amp; Delivery of  Materials   PURCHASE  OF  MULTI-PURPOSE TRUCK Unzad ,  Villasis, Pangasinan 1.	The Local Government of  Unzad, Villasis,  Pangasinan, intends to apply the sum  of (P1,490,000.00)  being the Approved Budget fo</t>
  </si>
  <si>
    <t xml:space="preserve"> INVITATION TO BID The DPWH Regional Office IX, Veterans Avenue Extension, Tetuan, Zamboanga City, through its Bids and Awards Committee (BAC), invites contractors to submit bids for the following Contract: Contract ID	:	20J00198 Contract Name	:	Rehabilita</t>
  </si>
  <si>
    <t xml:space="preserve"> Republic of the Philippines													 City of San Carlos													 Negros Occidental													 													 INVITATION TO BID											FOR SALE	 			PURCHASE REQUEST NO: 1-20-06-0763				P 150.00	 Sealed bids for quotation of prices will be recei</t>
  </si>
  <si>
    <t xml:space="preserve"> CONSTRUCTION OF FLOOD CONTROL SYSTEM @ SITIO AYALA, POBLACION SAN PASCUAL, BATANGAS</t>
  </si>
  <si>
    <t xml:space="preserve"> ITEM	ITEM  DESCRIPTION	QTY	UNIT NO.			 1	Tying Wire	3	kgs. 2	Portland Cement	20	bags 3	RSB 10mm	15	pcs. 4	RSB 9mm	25	pcs. 5	Sand and Gravel	1	truckload 6	Fine sand	1	truckload 7	G.I Sheet 12'	8	pcs. 8	G.I Sheet 8'	8	pcs. 9	Good Lumber 4" x 4" x 6'	4	pcs. </t>
  </si>
  <si>
    <t xml:space="preserve"> 4 pcs Solid State Drive (SSD) internal drive 500GB 1 pc Solid State Drive (SSD) External drive 500GB 2 pcs hard Disk SATA internal drive 1TB 2 pcs Memory DDR3 4GB 2 pc Power Supply 650 watts ( with two 6- pin connector)</t>
  </si>
  <si>
    <t xml:space="preserve"> 3.0TR Ceiling Mounted, Non-inverter with complete installation Scope of Works: Supply of copper tubing 0.28 thicker rubber outside breaker Insulation of freon R410A control wire from FCU to ACCU L-type bracket and other sundry materials needed to complete</t>
  </si>
  <si>
    <t xml:space="preserve"> INVITATION TO BID The DPWH Regional Office IX, Veterans Avenue Extension, Tetuan, Zamboanga City, through its Bids and Awards Committee (BAC), invites contractors to submit bids for the following Contract: Contract ID	:	20J00199 Contract Name	:	Buildings </t>
  </si>
  <si>
    <t xml:space="preserve"> Construction of Flood Mitigation Facility</t>
  </si>
  <si>
    <t xml:space="preserve"> Republic of the Philippines Province of Lanao del Norte Municipality of Tubod BARANGAY PUALAS BIDS AND AWARDS COMMITTEE INVITATION TO BID CONCRETING OF FARM TO MARKET ROAD Purok 3 &amp; 4, Barangay Pualas, Tubod, Lanao del Norte  (ITB-2020-REL-003)  Approved </t>
  </si>
  <si>
    <t xml:space="preserve"> Number: 	Quantity: 	 1	30	box		Plastic Storage Box	Big, 165 Liters Capcity		2,000.00	60,000.00 No.	TermsAndConditions 1.	Participating bidders on items with more than P50,000.00 must submit its PhilGEPS Registration; 2.	Deliver brand new items; 3.	Bid pri</t>
  </si>
  <si>
    <t xml:space="preserve"> INVITATION TO BID Date: June 29, 2020 1.	The Provincial Government of Davao del Sur, through its Bids and Awards Committee (BAC), invites all potential bidders/suppliers to apply to bid for the following goods. Bids received in excess of the ABC shall be </t>
  </si>
  <si>
    <t xml:space="preserve"> 208 bags Portland Cement 12 cu.m Screened Sand 31 cu.m Screened Gravel (incd. Gravel Bedding) 26 drums Clean Water 2053 pcs 4" thk CHB (250psi)</t>
  </si>
  <si>
    <t xml:space="preserve"> INVITATION TO BID The DPWH Regional Office IX, Veterans Avenue Extension, Tetuan, Zamboanga City, through its Bids and Awards Committee (BAC), invites contractors to submit bids for the following Contract: Contract ID	:	20J00203 Contract Name	:	Repair Mai</t>
  </si>
  <si>
    <t xml:space="preserve"> 2 pcs, Wedge Board - dimensions:  30-32 x 18-20 x 10-12 (inches) - firm high density urethane foam core  - easy to clean surface - vinyl covers with antimicrobial and anti-bacterial coating</t>
  </si>
  <si>
    <t xml:space="preserve"> Description: concreting of Brgy. Road-Road Improvement 1. Cement - 633 bags 2. SAG - 122.58 cu.m 3. RSB - 12mmx6m - 27 pcs. 4. # 18 G.I Wire - 6 kilos 5. 50 pcs - 2x6x12" coco lumber 6. CW nails assorted - 8 kls</t>
  </si>
  <si>
    <t xml:space="preserve"> 1	100 pc	Correction Tape 2	5 pc	Tape Dispenser 3	6 roll	Double Sided Tape 4	8 pc	Blue Sign Pen (BIC) (0.7) Gelocity 12's 5	10 ream	Long Folder, 100's 6	50 ream	Bond Paper (A4) 7	20 pc	Soft Broom (Baguio) 8	30 pc	Albatross 9	15 set	Epson 003 Ink 10	10 set	</t>
  </si>
  <si>
    <t xml:space="preserve"> see attached Purchase Request / Purchase Order</t>
  </si>
  <si>
    <t xml:space="preserve"> Republic of the Philippines Province of Lanao del Norte Municipality of Tubod BARANGAY PUALAS BIDS AND AWARDS COMMITTEE INVITATION TO BID PURCHASE AND INSTALLATION OF 1 SET BASKETBALL BOARD Barangay Pualas, Tubod, Lanao del Norte  (ITB-2020-REL-002)  Appr</t>
  </si>
  <si>
    <t xml:space="preserve"> INVITATION TO BID FOR THE PROPOSED MAINTENANCE OFFICE WITH ELEVATED WATER TANK AT LUCAP PARK, BRGY. LUCAP, CITY OF ALAMINOS, PANGASINAN 1.	The CITY GOVERNMENT OF ALAMINOS, PANGASINAN through its Development Fund (DF) intends to apply an amount of Seven Hu</t>
  </si>
  <si>
    <t xml:space="preserve"> 6 set Brake Lining,14 Holes 3 sets Brake Lining Front (6 Holes &amp; 8 Holes 800 pcs Aluminum Revits 1 set Brake Pad 1 set Brake Shoe 1 set Wiper blade</t>
  </si>
  <si>
    <t xml:space="preserve"> Number: 	Quantity: 	 1	3	units	Tripod for Projector		3,000.00	9,000.00 							Specification:			 							"•	Universal projector"			 							"•	Top plate size :290x390mm"			 							"•	Height adjustable, from 550mm (min) to 1380mm (max)"			 							"•	Rotate by</t>
  </si>
  <si>
    <t xml:space="preserve"> Republic of the Philippines Province of Lanao del Norte Municipality of Tubod OFFICE OF THE BIDS AND AWARDS COMMITTEE INVITATION TO BID CONSTRUCTION OF MALINGAO BIRTHING FACILITY  Barangay Malingao, Tubod, Lanao del Norte  (ITB-2020-JDL-007) Approved Budg</t>
  </si>
  <si>
    <t xml:space="preserve"> The Barangay Government of Barangay POB. 5, Tanauan City, Batangas through the Bids and Awards Committee (BAC) invites Suppliers/Contractors to apply for eligibility and if subsequently found eligible, to bid for the projects described hereunder, viz: Nam</t>
  </si>
  <si>
    <t xml:space="preserve"> CONSTRUCTION/REHABILITATION/IMPROVEMENT OF LOCAL GOVERNMENT-OWNED POTABLE WATER SUPPLY SYSTEM @ BARANGAY RESPLANDOR, SAN PASCUAL, BATANGAS</t>
  </si>
  <si>
    <t xml:space="preserve"> INVITATION TO BID The DPWH Regional Office IX, Veterans Avenue Extension, Tetuan, Zamboanga City, through its Bids and Awards Committee (BAC), invites contractors to submit bids for the following Contract: Contract ID	:	20J00200 Contract Name	:	Constructi</t>
  </si>
  <si>
    <t xml:space="preserve"> Repair / Rehabilitation of Handwashing Facility located at K to 12 Building inside Tipas Elementary School Main.</t>
  </si>
  <si>
    <t xml:space="preserve"> INVITATION TO BID The DPWH Regional Office IX, Veterans Avenue Extension, Tetuan, Zamboanga City, through its Bids and Awards Committee (BAC), invites contractors to submit bids for the following Contract: Contract ID	:	20J00201 Contract Name	:	Constructi</t>
  </si>
  <si>
    <t xml:space="preserve"> PURCHASED OF DIFFERENT SCHOOL SUPPLIES AND OTHER SERVICES OF SAN PABLO INTEGRATED SCHOOL2020</t>
  </si>
  <si>
    <t xml:space="preserve"> 1 pc Hard Disk Drive (HDD) 12 pcs Power Bank Slim (30000MAH) 9 units Netbook (please refer to attached list of specifications)</t>
  </si>
  <si>
    <t xml:space="preserve"> PR2020-06-028 - Purchase and delivery of vehicle parts and accessories for use of Quality Assurance Section, this office</t>
  </si>
  <si>
    <t xml:space="preserve"> INVITATION TO BID The DPWH Regional Office IX, Veterans Avenue Extension, Tetuan, Zamboanga City, through its Bids and Awards Committee (BAC), invites contractors to submit bids for the following Contract: Contract ID	:	20J00202 Contract Name	:	Constructi</t>
  </si>
  <si>
    <t xml:space="preserve"> Zamboanga Sibugay 1st District Engineering Office Brgy. Kauswagan, Diplahan, Zamboanga Sibugay 	 INVITATION TO BID (June 29, 2020) The Zamboanga Sibugay 1st District Engineering Office, through its Bids and Awards Committee (BAC), invites contractors to s</t>
  </si>
  <si>
    <t xml:space="preserve"> ITEM NO. DESCRIPTION UNIT QUANTITY 1 SITE PREPARATION &amp; EXCAVATION CU.M 12.00 11 GROUTED RIPRAP, CONCRETE &amp; R.S.B CU.M 7.12 111 FORM SCAFOLDING BDFT 151.7 1v transhipment and manual hauling lot 1 Tabuk hardware-project site</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</si>
  <si>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</si>
  <si>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ITEM DESCRIPTION UNIT QUANTITY 1 Excavation works sq.m 9.00 11 Scalfing, form bdft 282 111 concrete works cu.m 102.00  1V R.S.B Works kgs 1623.84 V Transhipment and manual hauling Tabuk-Road end lot 1</t>
  </si>
  <si>
    <t xml:space="preserve"> Republic of the Philippines 		Province of Bulacan Municipality of Bocaue INVITATION TO BID FOR PURCHASE OF VEHICLE FOR THE USE OF  BOCAUE POLICE 1	The Municipality of Bocaue, through the Annual Appropriation 2020 intends to apply the sum of One Million Ni</t>
  </si>
  <si>
    <t xml:space="preserve"> SURIGAO STATE COLLEGE OF TECHNOLOGY Surigao City INVITATION TO BID FOR LIBRARY ONLINE DATABASES AND REFERENCES 1.	The Surigao State College of Technology, through the General Appropriations Act (GAA) 2020 intends to apply the sum of Thirteen Million Four </t>
  </si>
  <si>
    <t xml:space="preserve"> PURCHASE OF 2,200 PCS. HOUSE PLATE NUMBERING AT BRGY. STO. ANGEL, SAN PABLO CITY</t>
  </si>
  <si>
    <t xml:space="preserve"> Republic of the Philippines Province of Dinagat Islands MUNICIPALITY OF TUBAJON Tubajon, Dinagat Islands    BIDS AND AWARDS COMMITTEE    INVITATION TO BID  FOR     CONSTRUCTION OF MULTI-PURPOSE BUILDING TUBAJON, DINAGAT ISLANDS ( INFRA 2020 - 0 13 )    1.</t>
  </si>
  <si>
    <t xml:space="preserve"> Supply and Delivery of CM for the construction of of Barangay Health Station @ Pinayag</t>
  </si>
  <si>
    <t xml:space="preserve"> Project Billboard,  Safety and Health,  Sub-Grade Preparation,  Aggregate Base Course,  PCCP (0.20m thk) Prospective Bidders must have completed a contract similar to the project with the amount of at least 50% of the ABC. Bidding will be conducted throug</t>
  </si>
  <si>
    <t xml:space="preserve"> The works includes for Purok 1, Brgy. Sinanglanan-Includes excavation, formworks, concrete works, reinforcing steel works, smooth cement finishing (5mm thick) construction health and safety with 2 sets informative sign and billboard. For Purok7, brgy. San</t>
  </si>
  <si>
    <t xml:space="preserve"> Brgy. Balibago I Project Billboard,  Sub-Grade Preparation,  Aggregate Base Course,  PCCP (0.15m thk) Brgy. Salapungan Project Billboard,  Structure Excavation,  Masonry Works,  Removal of Existing Concrete Pavement,  Sub Grade Preparation,  Aggregate Bas</t>
  </si>
  <si>
    <t xml:space="preserve"> Desilting of creek by equipment in Caingin, San Rafael, Bulacan</t>
  </si>
  <si>
    <t xml:space="preserve"> Republic of the Philippines 		Province of Bulacan Municipality of Bocaue INVITATION TO BID FOR PURCHASE OF  SERVICE VEHICLE FOR GOVERNMENT USE OF THE MUNICIPALITY  OF BOCAUE 1	The Municipality of Bocaue, through the Annual Appropriation 2020 intends to ap</t>
  </si>
  <si>
    <t xml:space="preserve"> Concreting of road with length of 52 meters width of 5 meters with 20cm thickness in Diliman II, San Rafael, Bualcan</t>
  </si>
  <si>
    <t xml:space="preserve"> The work includes for Purok 4, Brgy. Linabo-includes excavation, formworks, concrete works, reinforcing steel works, smooth cement finishing (5mm thick), construction health and safety with 2 sets informative sign and billboard. for Purok 8, Brgy. Linabo-</t>
  </si>
  <si>
    <t xml:space="preserve"> Procurement of fire extinguisher</t>
  </si>
  <si>
    <t xml:space="preserve"> Procurement of goods and appropriate medicine to the response measures relative due to the contagion of the Corona Virus Disease (COVID-19)</t>
  </si>
  <si>
    <t xml:space="preserve"> The work includes Common Excavation, Gravel Bedding, Concrete Works, Reinforcing Steel Bars, Form works, Grouted Riprap and Backfilling, Construction safety and Health with 2 sets informative sign and billboard.</t>
  </si>
  <si>
    <t xml:space="preserve"> The BIWAD BAC invites suppliers to quote for the procurement of: 40,000 Computer continuous official receipt form</t>
  </si>
  <si>
    <t xml:space="preserve"> CONSTRUCTION OF COVERED CANAL - TRAMO SILANGAN AND MP CONTI RD.</t>
  </si>
  <si>
    <t xml:space="preserve"> PR2020-06-029 - Purchase and Delivery of Construction Equipment, Materials and Supplies for use in Maintenance activities, this office</t>
  </si>
  <si>
    <t xml:space="preserve"> The project will covers a geo-resistivity survey and conduct a water drilling works at 250ft. below ground surface with submission of water log report. Thus, if water is found sufficient, it includes installation of well casing with appurtenances and 1.5h</t>
  </si>
  <si>
    <t xml:space="preserve"> Republic of the Philippines Batangas City Invitation to Apply for Eligibility and to Bid The Barangay Government of Barangay Cumba, Batangas City intends to apply the sum of Two Hundred Thousand Pesos Only (Php 200,000.00) broken down as follow: ITEM Brie</t>
  </si>
  <si>
    <t xml:space="preserve"> Republic of the Philippines PROVINCE OF BUKDINON Malaybalay City OFFICE OF THE PROVINCIAL GOVERNOR Bids and Awards Committee INVITATION TO BID FOR THE “SUPPLY AND DELIVERY OF AGRICULTURAL SUPPLIES, SEEDS, SEEDLINGS AND FERTILIZERS” ITB No. 2020-160 June 2</t>
  </si>
  <si>
    <t xml:space="preserve"> CONSTRUCTION/REHABILITATION/IMPROVEMENT OF LOCAL GOVERNMENT-OWNED POTABLE WATER SUPPLY SYSTEM @ BARANGAY KAINGIN, SAN PASCUAL, BATANGAS</t>
  </si>
  <si>
    <t xml:space="preserve"> The work includes excavation, formworks, concrete works, reinforcing steel works, smooth cement finishing (5mm thick), construction health and safety with 2 sets informative sign and billboard.</t>
  </si>
  <si>
    <t xml:space="preserve"> 6 bottles Nitric acid, 68 - 70%, AR grade (2.5 L/bottle) = 6,000.00 2 bottles Lanthanum oxide, AR, 100g = 6,000.00 1 bottle Diphenylamine, AR, 500g = 5,000.00 2 bottles Silicon Grease for dessicator,150g = 1,200.00 2 bottles Ethylene glycol, AR,2.5 L = 3,</t>
  </si>
  <si>
    <t xml:space="preserve"> Brgy. Alvindia Project Billboard,  Sub-Grade Preparation,  Aggregate Base Course,  PCCP (0.15m thk) Brgy. Balibago II Project Billboard,  Sub-Grade Preparation,  Aggregate Base Course,  PCCP (0.20m thk) Prospective Bidders must have completed a contract s</t>
  </si>
  <si>
    <t xml:space="preserve"> Purchased Fuel, Oil, Lubricant , Diesel and Construction Materials for Road Maintenance of Public Cemetery.</t>
  </si>
  <si>
    <t xml:space="preserve"> Tires (Tubeless Tires 245/65R17)				5	pcs</t>
  </si>
  <si>
    <t xml:space="preserve"> CONSOLIDATED  OFFICE SUPPLIES FOR  MSWDO ( DIFFERENT PROGRAM) AND HRD SECTION- PR. NO:	2020-06-104</t>
  </si>
  <si>
    <t xml:space="preserve"> Brgy. Balanti Project Billboard,  Safety and Health,  Sub-Grade Preparation,  Aggregate Base Course,  PCCP (0.20m thk) Brgy. San Jose de Urquico Project Billboard,  Safety and Health,  Sub-Grade Preparation,  Aggregate Base Course,  PCCP (0.20m thk) Prosp</t>
  </si>
  <si>
    <t xml:space="preserve"> Republic of the Philippines Province of Sultan Kudarat Municipality of Bagumbayan OFFICE OF THE BIDS AND AWARDS COMMITTEE Bagumbayan, Sultan Kudarat INVITATION TO BID FOR THE PROCUREMENT OF 1 UNIT SELF-LOADING PRIME MOVER (SURPLUS) 1.	The Municipal Govern</t>
  </si>
  <si>
    <t xml:space="preserve"> The work includes Common Excavation, Gravel Bedding, Concrete Works, Reinforcing Steel Bars, Form Works, Grouted Riprap and Backfilling, Construction Safety and Health with 2 sets informative sign and Billboard</t>
  </si>
  <si>
    <t xml:space="preserve"> Invitation to Bid ITB-SSS-Goods-2020-019 SUPPLY, DELIVERY &amp; INSTALLATION OF FIFTY-SEVEN (57) UNITS TELLERING ALARM SYSTEM FOR VARIOUS SSS BRANCH OFFICES Approved Budget for the Contract (ABC)    :       P1,920,758.22 Source of Fund                        </t>
  </si>
  <si>
    <t xml:space="preserve"> Please check attached Request for Quotation Form.</t>
  </si>
  <si>
    <t xml:space="preserve"> Concreting of roads with total length of 388 meters (116mL, 5mW; 37mL, 3.5mW; 90mL, 3.5mW and 145mL, 4mW) with thickness of 0.20m in San Roque, San Rafael, Bulacan</t>
  </si>
  <si>
    <t xml:space="preserve"> Supply and Delivery of CM-for the improvement of Besong-Amelong Labeng Road</t>
  </si>
  <si>
    <t xml:space="preserve"> Republic of the Philippines BIDS AND AWARDS COMMITTEE Dagupan City Invitation to Bid  for PROPOSED CONSTRUCTION OF BASE WI-FI RADIO ANTENNA VIDEO TRANSCEIVER COMMUNICATION FOR CCTV TRAFFIC MONITORING SYSTEM AND INSTALLATION OF PERIMETER SECURITY CAMERA IN</t>
  </si>
  <si>
    <t xml:space="preserve"> Republic of the Philippines Province of Bohol Municipality of Getafe Bids and Awards Committee Poblacion, Getafe, Bohol INVITATION TO BID (1st   Public Bidding) 	The Barangay Poblacion ,Getafe, Province of Bohol through its Bids and Awards Committee (BAC)</t>
  </si>
  <si>
    <t xml:space="preserve"> Construction of elevated pathway Phase I at Dasmariñas,  Bonuan Gueset, Dag.   City</t>
  </si>
  <si>
    <t xml:space="preserve"> Procurement of CW-Improvement of SLF (Phase I), Construction of SLF Protection @ Tidang Village</t>
  </si>
  <si>
    <t xml:space="preserve"> Item No.	Unit	DESCRIPTION				Qty 						 1	Set	Computer Set				1.00 		Intel Core i3 8100				 		Compatible motherboard				 		4gb DDR4 memory				 		240gb SSD				 		1TB internal hard Drive				 		ATX casing w/ FSU				 		USB Keyboard &amp; USB Mouse w/ Pad				 		AV</t>
  </si>
  <si>
    <t xml:space="preserve"> Purchased of laptop computer with printer</t>
  </si>
  <si>
    <t xml:space="preserve"> * TWO-HOUR FIRE PROTECTION * DUAL COMBINATION &amp; KEY LOCK PROTECTION * DOUBLE STEEL WALL CONSTRUCTION * 3 LIVE/ 1 DEAD LOCKING DOOR BOLTS * INCLUDES 1 EMERGENCY ACCESS KEY * 2 REMOVABLE/ADJUSTABLE SHELF * LOCKING INTERIOR DRAWER * HEAVY DUTY STEEL CASTinER</t>
  </si>
  <si>
    <t xml:space="preserve"> Item No.	Unit	DESCRIPTION				Qty 						 1	Pcs.	NEW PORT NEW CAR AIR FRESHENER 				2 2	Pc.	TIRE BLACK 270ml				1 3	Pc.	BOTCH RELAY				1 4	Pc.	VSI 120MC				1 5	Pcs.	AIR FRESHENER LEMON/ORANGE				2 6	Gal	DELO GOLD				1 7	Ltrs.	DELO GOLD				2 8	Pc.	OIL FILTER</t>
  </si>
  <si>
    <t xml:space="preserve"> Republic of the Philippines National Irrigation Administration LOWER AGNO RIVER IRRIGATION SYSTEM IMPROVEMENT PROJECT Tomana East, Rosales, Pangasinan INVITATION TO BID FOR THE CONSTRUCTION OF TRAPEZOIDAL CONCRETE CANAL LINING (STA. 9+998-STA. 10+545) OF </t>
  </si>
  <si>
    <t xml:space="preserve"> June 29, 2020 INVITATION TO BID FOR PURCHASE OF RICE FOR BASURA PALIT BIGAS PROGRAM The Municipality of Magallanes, Cavite, through the Budget for the Contract approved by the Sangguniang Bayan intends to apply the sum of Two Hundred Eight Thousand Pesos </t>
  </si>
  <si>
    <t xml:space="preserve"> PROJECT	:	TOURIST PHILCare KIT SPECIFICATIONS: 1. 15,000 pcs. WASHABLE FACEMASK (Yakan, Hinablon, Abel, Binakul, Ikat and Abra weave cloth) ●	size – 8”  x  5” ●	Material: Yakan, Hinablon, Inabel, Binakul, Ikat and Abra weave cloth ●	3 layers facemask fabr</t>
  </si>
  <si>
    <t xml:space="preserve"> Title:Procurement of 1 Package Improvement of City Accountants Office under P.R.Nos. 2561-2020-Office of the City Accountant Total ABC: Php 69,023.00 (INSTRUCTION AS TO THE REQUIRED FORM: For your price quotation, please use the attached Request for Quota</t>
  </si>
  <si>
    <t xml:space="preserve"> A Republic of the Philippines BIDS AND AWARDS COMMITTEE Dagupan City Invitation to Bid  for PROPOSED UPGRADING OF PCC PAVEMENT AND DRAINAGE SYSTEM AT BARANGAY HERRERO-PEREZ (INFRONT OF CHO AND RED CROSS), DAGUPAN CITY - PHASE I 1.	The City Government of D</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</si>
  <si>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</si>
  <si>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CONSOLIDATED DRUGS AND MEDICINES FOR DIFFERENT  PROGRAMS OF MHO- PR. NO:	2020-06-107</t>
  </si>
  <si>
    <t xml:space="preserve"> Supply of Civil Works for Construction of Lipata Brgy. Health Station, Brgy. Lipata, Barotac Viejo, Iloilo</t>
  </si>
  <si>
    <t xml:space="preserve"> ENGINE ASSEMBLY FOR DUMPTRUCK GD15 - SURPLUS</t>
  </si>
  <si>
    <t xml:space="preserve"> Sacks (2000pcs), Seedlings (500pcks), Soil (100sacks), Pot (200pcs)</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</si>
  <si>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</si>
  <si>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Republic of the Philippines PROVINCE OF SOUTHERN LEYTE Maasin City Invitation to Bid for the Procurement of Consulting Services    Contract ID # 2020-07-21-405PG 1.	The Provincial Government of Southern Leyte through the PGO Consulting Services Expenses i</t>
  </si>
  <si>
    <t xml:space="preserve"> INVITATION TO APPLY FOR ELIGIBILITY AND BID								 								 								 The Barangay Amerang Maasin,Iloilo  through  its  Bids and Awards Committee (BAC), invites suppliers/								  manufacturers/distributors/ contractors to apply for eligibility and to bi</t>
  </si>
  <si>
    <t xml:space="preserve"> PASSO 200-20-05-05728														 Bond Paper short 8x11 subs 20									27	reams Paper A3													2	reams Pencil, Mechanical, push type for .5mm lead							20	pcs Pencil #2 medium EF 482										10	boxes Lead Pencil refill #0.5											30	pcs PAS</t>
  </si>
  <si>
    <t xml:space="preserve"> The Amai Pakpak Medical Center (APMC) Bids and Awards Committee invites contractors registered with and classified by the Philippine Contractors Accreditation Board (PCAB) – Small B to apply for Prospective Builders should possess a valid Small B PCAB Lic</t>
  </si>
  <si>
    <t xml:space="preserve"> Purchased  1 unit Motor Vehicle(Bao-Bao) for Disaster &amp; Emergency Response</t>
  </si>
  <si>
    <t xml:space="preserve"> PLEASE SEE ATTACHED PURCHASE REQUISITION &amp; TERMS OF REFERENCE FOR DETAILS</t>
  </si>
  <si>
    <t xml:space="preserve"> Item No.	Unit	DESCRIPTION				Qty 						 1	Pc.	Ladder 5''				1</t>
  </si>
  <si>
    <t xml:space="preserve"> -Transport Van -Dual Aircon -2.3L to 2.6L  -EURO 4 Diesel Engine</t>
  </si>
  <si>
    <t xml:space="preserve"> 1.	The Municipality of Baliguian, implementing partner of the Department of the Interior and Local Government, now invites bids for the Concreting/Rehabilitation of Tan-awan to Guimotan Access Road, Baliguian, Zamboanga del Norte.  2.	Bidding will be cond</t>
  </si>
  <si>
    <t xml:space="preserve"> Number: 	Quantity: 	 1	2250	kg		Ginger Rizome	a. two percent (2%)  weight mortality allowance b. Rhizome  should  be mature(10 months old),dry,clean and  free from  soil particles  and other  inert materials,c. Rhizome  should be disinfected  by washing  </t>
  </si>
  <si>
    <t xml:space="preserve"> PURCHASE OF REFILL OF FIRE EXTINGUISHER  FOR MDRRMO- PR. NO:	2020-06-118</t>
  </si>
  <si>
    <t xml:space="preserve"> EQUIPPED WITH MODEL 4N14 2.2L 4 IN LINE SOHC EURO4 COMMON RAIL DIRECT INJECTION DIESEL ENGINE, MAXIMUM POWER 99PS@3,500 RPM,  MAXIMUM TORQUE 200 N-M @1500 RPM, 2-DOOR, 4260 MM OVERALL LENGTH 1695 MM OVERALL WIDTH,  1895 MM OVERALL HEIGHT, 195 GROUND CLEAR</t>
  </si>
  <si>
    <t xml:space="preserve"> Supply and Delivery of CM for the improvement of CIS Soriano and Lopez Residence @ Baan KNV</t>
  </si>
  <si>
    <t xml:space="preserve"> kilos	MONO STABILIZED CHLORINE DIOXIDE POWDER			1,500	 550.00 	 825,000.00  	INGREDIENTS:					 	SODIUM CHLORITE            5%					 	SODIUM CARBONATE      18% 					 	SODIUM BISULFATE         12%					 	CITRIC ACID MONOHYDRATE   6%					 	SODIUM CHLORIDE     </t>
  </si>
  <si>
    <t xml:space="preserve"> The Maragondon Water District- #18 Col Riel St. Pob;acion 2A Maragondon, Cavite, through its Administrative Department- Engineering and Construction Division will undertake a Negotiated Procurement- Small value procurement 9Sec. 53.9) for water service co</t>
  </si>
  <si>
    <t xml:space="preserve"> -HANDHELD RADIO TRANSCEIVER  -2-WAY</t>
  </si>
  <si>
    <t xml:space="preserve"> PURCHASE OF OFFICE, COMPUTER AND JANITORIAL SUPPLIES FOR MPDO, TOURISM AND  MCR- PR. NO:	2020-06-119</t>
  </si>
  <si>
    <t xml:space="preserve"> Construction of Pavement Dasmariñas, Phase II</t>
  </si>
  <si>
    <t xml:space="preserve"> 35 pcs. uPVC Pipe 3"Ø x 6m C-100 2 pcs. C.I. Sleeve Type Coupling 3"Ø 1 pc. C.I. Elbow 3"Ø 1 Roll HDPE Pipe 3"Ø x 50 meters</t>
  </si>
  <si>
    <t xml:space="preserve"> PURCHASE OF OFFICE  SUPPLIES FOR MCOW- PR. NO:	2020-06-112</t>
  </si>
  <si>
    <t xml:space="preserve"> A Republic of the Philippines BIDS AND AWARDS COMMITTEE Dagupan City Invitation to Bid  for PROPOSED UPGRADING OF PCC PAVEMENT AND DRAINAGE SYSTEM AT GALVAN ST., BARANGAY IV, DAGUPAN CITY 1.	The City Government of Dagupan, through the 2019 CONTINUING APPR</t>
  </si>
  <si>
    <t xml:space="preserve"> DEPARTMENT OF PUBLIC WORKS AND HIGHWAYS Contract ID: 20CSIB08 Contract Name: SUBSURFACE SOIL EXPLORATION WORKS FOR PROPOSED REHABILITATION/CONSTRUCTION OF 2-STOREY QUALITY ASSURANCE SECTION AND MAINTENANCE BUILDING. Contract Location: EASTERN SAMAR  Repub</t>
  </si>
  <si>
    <t xml:space="preserve"> 1 set, Therapy Mats - blue in color - dimension: 5"L x 10"W - folds in 2 panel - vinyl covered - polyethylene foam</t>
  </si>
  <si>
    <t xml:space="preserve"> Revised on: July 28, 2004                                   INVITATION TO APPLY FOR ELIGIBILITY AND TO BID                        The Local Government Unit of Catanauan, Quezon, through its Bids and Awards Committee (BAC), invites suppliers/manufacturers/</t>
  </si>
  <si>
    <t xml:space="preserve"> Purchase of Food Supplies for Nutrition Item	Quantity	Unit of	Item Description	 No.		Issue		 				 				 1	2	cavans	Commercial Rice, White 50kg	 2	97	box	Nido Junior 1-3, 160 grams in box	 3	50	pouch	Milo, 600g pouch	 4	75	pouch	Bearbrand, 700g pouch	 5	55	</t>
  </si>
  <si>
    <t xml:space="preserve"> wooden sala set (sofa, 2 chairs, center table)</t>
  </si>
  <si>
    <t xml:space="preserve"> Republic of the Philippines CITY OF BAIS BIDS AND AWARDS COMMITTEE NOTICE FOR NEGOTIATED PROCUREMENT (53.1) In view of the failure of the second bidding scheduled last June 9, 2020, the Bids and Awards Committee (BAC) passed Resolution No. 27 series of 20</t>
  </si>
  <si>
    <t xml:space="preserve"> Purchase of cellphone..</t>
  </si>
  <si>
    <t xml:space="preserve"> PURCHASE  OF CUSTOMIZED  UMBRELLA'S FOR MAYORS OFFICE- PR. NO:	2020-06-120</t>
  </si>
  <si>
    <t xml:space="preserve"> Republic of the Philippines Province of Batangas Municipality of Lemery  INVITATION TO BID FOR THE Purchase of disaster equipment (cutter and spreader portable) 1.	The MUNICIPALITY OF LEMERY, through the Annual Budget CY 2020-70% of 5% Calamity Fund-Capit</t>
  </si>
  <si>
    <t xml:space="preserve"> PLEASE SEE ATTACHED PURCHASE REQUISITION AND TERMS OF REFERENCE FOR DETAILS</t>
  </si>
  <si>
    <t xml:space="preserve"> 1   set   Computer Desktop With the following specifications:  -Core i3 Processor; 480GB SSD; 1TB HDD; 16GB RAM;   DVD Writer Casing; Monitor 18.5; Windows 10;   Keyboard and Mouse; UPS and AVR 1  unit  Computer Printer, 3-in-1 with continuous ink/ refill</t>
  </si>
  <si>
    <t xml:space="preserve"> CONSOLIDATED OFFICE SUPPLIES FOR SB SEC., SBO, MACCO, ADMIN OFFICE AND SLAUGHTERHOUSE- PR. NO:	2020-06-124</t>
  </si>
  <si>
    <t xml:space="preserve"> Fencing of 589m lot perimeter using concrete precast post and barbed wire in Coral na Bato, San Rafael, Bulacan</t>
  </si>
  <si>
    <t xml:space="preserve"> Fine Sand, 100 cu.m. Gravel, 30 cu.m.</t>
  </si>
  <si>
    <t xml:space="preserve"> Tires for Garbage Truck Hi-Lux L300 Starex Invitation to bid For Tires 1. The Barangay Government of Dalig, Antipolo City, through the General Fund intends to apply the sum of Five Hundred Thousand Pesos Only (P500,000.00) being Approved Budget for the Co</t>
  </si>
  <si>
    <t xml:space="preserve"> Procurement of Meals and Beverages Php 180,00.00</t>
  </si>
  <si>
    <t xml:space="preserve"> The Municipality of Limay, through its Bids and Awards Committee (BAC) invites registered contractors to apply for eligibility and if found eligible, to bid for the hereunder project/contract: Project/Contract:  SUPPLY AND DELIVERY OF LAPTOPS FOR TEACHERS</t>
  </si>
  <si>
    <t xml:space="preserve"> Layout and Preparation, Rebarworks, Masonry Works, Concreting works, Equipments, Formworks</t>
  </si>
  <si>
    <t xml:space="preserve"> PLEASE SEE ATTACHED PURCHASE REQUISITION AND TERMS OF REFERENCE FOR DETAILS.</t>
  </si>
  <si>
    <t xml:space="preserve"> Purchased Construction Materials of Storage Facility</t>
  </si>
  <si>
    <t xml:space="preserve"> Section I. Invitation to Bid   Provincial Government of Isabela SUPPLY AND DELIVERY OF VAN, 2.8L, DIESEL, 4 CYLINDER DOHC, M/T, WITH 3 YEARS LTO REGISTRATION The Provincial Government of Isabela, through the PGI FUND intends to apply the sum of One Millio</t>
  </si>
  <si>
    <t xml:space="preserve"> 1.    11776    LITERS   DIESEL APPROVED BUDGET FOR THE CONTRACT: PHP 482,816.00 LOCATION OF THE CONTRACT: BATARAZA, PALAWAN DURATION OF THE CONTRACT: 7 DAYS SCHEDULE OF ACTIVITIES: POSTING AND ISSUANCE OF BIDS: JUNE 29-JULY 14, 2020 PRE-BID CONFERENCE : D</t>
  </si>
  <si>
    <t xml:space="preserve"> Purchase of Food Supplies for Pregnant &amp; Lactating Women Item	Quantity	Unit of	Item Description	 No.		Issue		 				 				 1	23	boxes	Ensure Milk 1.2 kg</t>
  </si>
  <si>
    <t xml:space="preserve"> Repair/Replacement of Dilapidated Roofings, Sidings and Support at Agro-Industrial Building, Barangay Bersamin, Alcala, Pangasinan</t>
  </si>
  <si>
    <t xml:space="preserve"> 210 L.M. a. Excavation Works 32 pcs. b. Pipelaying 3"Ø x 6m 3 units c. Installation of Fittings 210 L.M. d. Final Backfill with compaction 20 L.M. e. Demolition of concrete driveways &amp; road shoulders 3-6 thick 30 meters f. Installation of HDPE Pipe 3"Ø x </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</si>
  <si>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</si>
  <si>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Please see attached terms of reference.</t>
  </si>
  <si>
    <t xml:space="preserve"> Procurement of Snacks and Drinks Php 50,000.00</t>
  </si>
  <si>
    <t xml:space="preserve"> Assorted Medicines</t>
  </si>
  <si>
    <t xml:space="preserve"> Supply of Civil Works for the Renovation/Repair of San Miguel Brgy. Health Station, Brgy. San Miguel, Barotac Viejo, Iloilo</t>
  </si>
  <si>
    <t xml:space="preserve"> PURCHASE OF OFFICE EQUIPMENT OF MDRRMO- PR. NO:	2020-06-125</t>
  </si>
  <si>
    <t xml:space="preserve"> REPUBLIC  OF  THE  PHILIPPINES    Province  of   Cavite   Municipality  of  Carmona   Barangay 14 – BANCAL INVITATION TO BID The LGU – Bancal, Carmona, Cavite, through its Bids and Awards Committee (BAC), invites repair shops to apply to bid fo the hereun</t>
  </si>
  <si>
    <t xml:space="preserve"> Construction of Covered Court/ Evacuation Center at Barangay San Vicente, Alcala, Pangasinan</t>
  </si>
  <si>
    <t xml:space="preserve"> 1.    4,000  LITERS    DIESEL APPROVED BUDGET FOR THE CONTRACT: PHP 220,000.00 LOCATION OF THE CONTRACT: BATARAZA, PALAWAN DURATION OF THE CONTRACT: 7 DAYS SCHEDULE OF ACTIVITIES: POSTING AND ISSUANCE OF BIDS: JUNE 29-JULY 14, 2020 PRE-BID CONFERENCE : DE</t>
  </si>
  <si>
    <t xml:space="preserve"> INVITATION TO BID The City of Bayawan, through its Bids and Awards Committee (BAC), invites suppliers/manufacturers/distributors/contractors to bid for the hereunder projects: 	Lot No. I		MEDICAL, DENTAL AND LABORATORY SUPPLIES					 1	2	sets	ABD Typing Se</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</si>
  <si>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</si>
  <si>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2 unit, Cardiac Board, whole plastic - heavy duty with handle mounts to cart back for easy access - dimension;  at least 39" in height, 54" in length, 2" in width</t>
  </si>
  <si>
    <t xml:space="preserve"> DIESEL HYDRAULIC OIL 68 15W 40 ENGINE OIL TRANSMISSION OIL 140 GREASE</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</si>
  <si>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</si>
  <si>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Vaccine for Senior Citizens/PWD</t>
  </si>
  <si>
    <t xml:space="preserve"> Republic of the Philippines PROVINCE OF BUKDINON Malaybalay City OFFICE OF THE PROVINCIAL GOVERNOR Bids and Awards Committee INVITATION TO BID FOR THE “SUPPLY AND DELIVERY OF ONE LOT OFFICE SUPPLIES” ITB No. 2020-152A June 29, 2020 1.	The Provincial Gover</t>
  </si>
  <si>
    <t xml:space="preserve"> Description Republic of the Philippines Danao City Brgy.Sta.Rosa INVITATION to APPLY for ELIGIBILITY and to BID Road Concreting @ Brgy.Sta.Rosa,Danao City The Brgy.Sta.Rosa, tends to apply the sum of Php177,614.00 being Approved Budget for the Contract (A</t>
  </si>
  <si>
    <t xml:space="preserve"> Formworks &amp; Scaffolding                          LS              LS    Demolition of Existing Roofing  Roof Framing &amp; Roof Beams                      LS              LS  Reinforced Concrete Footing   (at Stage -1st floor &amp; 2nd floor)                cu.m  </t>
  </si>
  <si>
    <t xml:space="preserve"> Procurement of Lechon Php108,00.00</t>
  </si>
  <si>
    <t xml:space="preserve"> Improvement of Mechanical Dryer (Concrete Pavement) at Agro-Industrial Building, Barangay Bersamin, Alcala, Pangasinan</t>
  </si>
  <si>
    <t xml:space="preserve"> Republic of the Philippines Province of Samar  Municipality of Jiabong INVITATION TO BID FOR  Emergency Purchase in response to covid 19 Mayor’s Office 47A Jiab-2020-47A 1.	The Municipal Government of Jiabong, Samar, intends to apply the sum of SIXTY FOUR</t>
  </si>
  <si>
    <t xml:space="preserve"> 1.   Diesel 5,466.66 Liters</t>
  </si>
  <si>
    <t xml:space="preserve"> 1	8	PCS	UPPER ARM BUSHING 2	32	GALS	OIL 40 3	32	LITERS	ATF 4	32	PCS	FLUSHING OIL  5	8	PCS	CONNECTING ROD BEARING 6	98	LITERS	COOLANT 7	8	PCS	SHOCK ABSORBER FRONT 8	8	PCS	SHOCK ABSORBER REAR 9	8	PCS	FREON RECHARGING 10	8	PCS	CLUTCH DISC 11	150	LITERS	GEAR </t>
  </si>
  <si>
    <t xml:space="preserve"> Service Vehicle (AUV) -with Engine Displacement not exceeding 2800cc - Diesel Fed -4 Cylinder</t>
  </si>
  <si>
    <t xml:space="preserve"> 1	Cutting Edge, 232-70-12143		2	pcs. 2	End Bit, 232-70-52192		2	pcs. 3	Bolt, 232-70-12450		18	pcs. 4	Bolt, 232-70-12460		4	pcs. 5	Nut, 232-70-12480		22	pcs. 6	Washer, 01643-31645		22	pcs. 7	Guide, 232-70-12420		2	pcs. 8	Guide, 232-70-12430		2	pcs. 9	Air C</t>
  </si>
  <si>
    <t xml:space="preserve"> Concrete Paving of Farm-to-Market Road at Barangay Atainan, Alcala, Pangasinan</t>
  </si>
  <si>
    <t xml:space="preserve"> To reproduce sufficient materials for students</t>
  </si>
  <si>
    <t xml:space="preserve"> Search Lights</t>
  </si>
  <si>
    <t xml:space="preserve"> INVITATION TO BID The __DEPARTMENT OF PUBLIC WORKS AND HIGHWAYS - DISTRICT ENGINEER’S OFFICE ZAMBOANGA CITY__, through its Bids and Awards Committee (BAC), invites contractors to submit bids for the following Contract: Contract ID: 20JA0085  Contract Name</t>
  </si>
  <si>
    <t xml:space="preserve"> Repair/Rehabilitation of Ceiling (Planning Office, Budget Office, Accounting Office, MSWDO Office, 1st Floor Hallway &amp; Municipal Trial Circuit Office) at Municipal &amp; Legislative Building, Barangay Poblacion East, Alcala, Pangasinan.</t>
  </si>
  <si>
    <t xml:space="preserve"> June 29, 2020 INVITATION TO BID FOR RIPRAPPING AT BRGY. POBLACION 5, MAGALLANES, CAVITE The Municipality of Magallanes, Cavite, through the Budget for the Contract approved by the Sangguniang Bayan intends to apply the sum of Four Hundred Ninety Seven Tho</t>
  </si>
  <si>
    <t xml:space="preserve"> The Local  Government   Unit  of General  Santos  City, through  the  GENERAL FUND CY 2020  intends  to apply  the sum of fifty six thousand and xx / 100 Pesos Only (56,000.00)   being  the Approved  Budget  for the Contract   (ABC) to payments  under  th</t>
  </si>
  <si>
    <t xml:space="preserve"> 75	 meters	Stretchable cloth printed 25	 meters	Stretchable cloth plain 100	meters	Alphagena cloth printed 50	meters	Alphagena cloth plain 100	meters	Polyster cloth printed 60width 60	 yards	Teturon cloth plain white 50	meters	Polyster cloth plain 60width</t>
  </si>
  <si>
    <t xml:space="preserve"> Concrete Paving of Farm-to-Market Road at Barangay San Pedro Ili, Alcala, Pangasinan.</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</si>
  <si>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</si>
  <si>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For Toyota Innova SLB-190 4 pcs. Tubeless Tire (205/65R 15) Specifications: * Branded * Tire Width - 205mm * Load Index/ Maximum Load -  91/615 kgs * Speed Index/ Maximum Speed - H210 km/h w-w-w-w-w-w-w-w-w-w-w-w-w-w-w-w-w-w-w</t>
  </si>
  <si>
    <t xml:space="preserve"> Purchase of Disaster Equipment</t>
  </si>
  <si>
    <t xml:space="preserve"> PURCHASE OF PORTABLE RADIO TRANCEIVER FOR DISASTER AND EMERGENCY RESPONSE (MDRRMO)- PR NO. 2020-06-126</t>
  </si>
  <si>
    <t xml:space="preserve"> SEE ATTACHED : REQUEST FOR QUOTATION (RFQ) For use in documentation of projects and maintenance activities, DPWH, Sorsogon 1st DEO</t>
  </si>
  <si>
    <t xml:space="preserve"> June 29, 2020 INVITATION TO BID FOR PURCHASE OF MEDICINE SUPPLIES FOR THE RURAL HEALTH UNIT The Municipality of Magallanes, Cavite, through the Budget for the Contract approved by the Sangguniang Bayan intends to apply the sum of Two Hundred Forty Nine Th</t>
  </si>
  <si>
    <t xml:space="preserve"> Purchased of 4 sets Branded Desktop, 4 pieces Licensed MS Office, 3 pieces Licensed OS and 5 Units Uninterrupted Power Supply (UPS)</t>
  </si>
  <si>
    <t xml:space="preserve"> Republic of the Philippines PROVINCE OF ZAMBOANGA DEL SUR Municipality of Tabina -o0o- BIDS AND AWARDS COMMITTEE INVITATION TO BID  IMPROVEMENT OF DAY CARE CENTER 1.	The Barangay Local Government of Malim,Tabina, Zamboanga del Sur, through the 20%-BDF int</t>
  </si>
  <si>
    <t xml:space="preserve"> 1	98	pcs	macaroni pasta (1kl) 2	230	pcs	milk(evap) 3	200	doz.	coffee 3 n 1 4	1400	bags	assorted biscuits 5	60	case	corned beef 6	600	pair	sllippers 7	60	pcs	noodles 8	60	pcs	mineral water 50ml 90	60	case	c2 solo 10	500	kls	brown sugar 11	1500	pcs	nescafe </t>
  </si>
  <si>
    <t xml:space="preserve"> Rapid Test Kit for COVID-19 Invitation to bid For Rapid Test Kit for COVID-19 1. The Barangay Government of Dalig, Antipolo City, through the General Fund intends to apply the sum of Three Hundred Thousand Pesos Only (P300,000.00) being Approved Budget fo</t>
  </si>
  <si>
    <t xml:space="preserve"> SEE ATTACHED : REQUEST FOR QUOTATION (RFQ) For use in documentation of projects and maintenance reports, DPWH Sorsogon 1st DEO</t>
  </si>
  <si>
    <t xml:space="preserve"> Number: 	Quantity: 	 1	17.49	set		Window Blinds 125 x 130		250.00	4,372.50 2	34.55	set		Window Blinds 247 x 130		250.00	8,637.50 3	67.84	set		Window Blinds 485 x 130		250.00	16,960.00 4	68.68	set		Window Blinds 491 x 130		250.00	17,170.00 5	68.26	set		Win</t>
  </si>
  <si>
    <t xml:space="preserve"> Republic of the Philippines Province of Eastern Samar Municipality of Mercedes OFFICE OF THE BIDS AND AWARDS COMMITTEE (BAC) INVITATION TO BID # INFRA-2020-008  Invitation to Bid for the Proposed Construction/Establishing of Municipal Recovery Facility (M</t>
  </si>
  <si>
    <t xml:space="preserve"> Bid Documents Fee P 5,000.00 Submission and receipt of Bids/ Opening of Bids Date: July 21, 2020 Time: 10:00 AM Venue: Conference Room, Municipal Hall Bldg., Laur, Nueva Ecija 1 unit Rescue Vehicle Specifications: 2.2 - 3.0 Li. Diesel Engine 	Euro 4 	5 Sp</t>
  </si>
  <si>
    <t xml:space="preserve"> Republic of the Philippines Region XII Province of Cotabato City of Kidapawan OFFICE OF THE BIDS AND AWARD COMMITTEE June 30, 2020 INVITATION TO BID FOR  SUPPLY AND DELIVERY OF APPLIANCES NEEDED FOR THE PANGKABUHAYAN STARTER KITS BENEFICIARIES OF THE CITY</t>
  </si>
  <si>
    <t xml:space="preserve"> Concrete Paving of Farm-to-Market Road at Barangay Kisikis, Alcala, Pangasinan</t>
  </si>
  <si>
    <t xml:space="preserve"> Water truck</t>
  </si>
  <si>
    <t xml:space="preserve"> Section I. Invitation to Bid   Provincial Government of Isabela SUPPLY AND DELIVERY OF PICK-UP, 4X4, 2.4L, DIESEL, 4 CYLINDER DOHC, M/T WITH 3 YEARS LTO REGISTRATION The Provincial Government of Isabela, through the PGI FUND intends to apply the sum of On</t>
  </si>
  <si>
    <t xml:space="preserve"> Republic of the Philippines Province of Batanes	 MUNICIPALITY OF BASCO               		INVITATION TO BID FOR THE PROCUREMENT OF MATERIALS FOR THE REHABILITATION OF ROAD BETWEEN BSC AND BFAR 1.	The Municipal Local Government Unit of Basco, through the Gene</t>
  </si>
  <si>
    <t xml:space="preserve"> 1.      10714.28   LITERS   DIESEL APPROVED BUDGET FOR THE CONTRACT: PHP 599,999.68 LOCATION OF THE CONTRACT: BATARAZA, PALAWAN DURATION OF THE CONTRACT: 7 DAYS SCHEDULE OF ACTIVITIES: POSTING AND ISSUANCE OF BIDS: JUNE 29-JULY 14, 2020 PRE-BID CONFERENCE</t>
  </si>
  <si>
    <t xml:space="preserve"> 1.    45   SETS   FOLDED TABLE AND CHAIRS                           (6 SEATER TABLE &amp; CHAIR) APPROVED BUDGET FOR THE CONTRACT: PHP 499,500.00 LOCATION OF THE CONTRACT: BATARAZA, PALAWAN DURATION OF THE CONTRACT: 7 DAYS SCHEDULE OF ACTIVITIES: POSTING AND </t>
  </si>
  <si>
    <t xml:space="preserve"> one unit (set)</t>
  </si>
  <si>
    <t xml:space="preserve"> For Animal Bite Treatment Center Use</t>
  </si>
  <si>
    <t xml:space="preserve"> Purchase of Anti Dengue Chemicals</t>
  </si>
  <si>
    <t xml:space="preserve"> The PRDP-RPCO through the Department of Agriculture Regional Field Office 3 is hereby invited suppliers to submit quotations/proposals from the here-under requirements, to wit: 		Office Supplies to be used at RPCO3 I-SUPPORT Office 25	ream	Bond Paper (sub</t>
  </si>
  <si>
    <t xml:space="preserve"> CONSOLIDATED OFFICE, JANITORIAL AND OTHER SUPPLIES FOR DIFFERENT PROGRAMS OF  MHO- PR. NO:	2020-06-129</t>
  </si>
  <si>
    <t xml:space="preserve"> PHILIPPINE BIDDING DOCUMENTS (As Harmonized with Development Partners) FOR ENHANCEMENT OF CACAO PRODUCTION THRU PROVISION OF ACCREDITED VARIETY OF CACAO GRAFTED PLANTING MATERIALS BIDDING Government of the Republic of the Philippines TABLE OF CONTENTS SEC</t>
  </si>
  <si>
    <t xml:space="preserve"> Republic of the Philippines Province of Batanes	 MUNICIPALITY OF BASCO               		INVITATION TO BID FOR THE PROCUREMENT OF FUEL, OIL AND LUBRICANT 1.	The Municipal Local Government Unit of Basco, through the General Fund  intends to apply the sum of </t>
  </si>
  <si>
    <t xml:space="preserve"> Procurement of Fireworks Display Php100,000.00</t>
  </si>
  <si>
    <t xml:space="preserve"> Republic of the Philippines Province of Bohol Municipality of Getafe Bids and Awards Committee BUYOG, Getafe, Bohol INVITATION TO BID (1st   Public Bidding) 	The Barangay Buyog ,Getafe, Province of Bohol through its Bids and Awards Committee (BAC), invite</t>
  </si>
  <si>
    <t xml:space="preserve"> Gasoline 													1,500	liters Diesel													4,265	liters</t>
  </si>
  <si>
    <t xml:space="preserve"> Number: 	Quantity: 	 							Supply and Delivery of Goods				 1	 5	btl		INEO + 258 TONER, Black	TN324		9,260.00	46,300.00 2	5	btl		INEO + 258 TONER, Cyan	TN324		16,510.00	82,550.00 3	5	btl		INEO + 258 TONER, Magenta	TN324		16,510.00	82,550.00 4	5	btl		INEO</t>
  </si>
  <si>
    <t xml:space="preserve"> Republic of the Philippines									 Province of Batangas									 Municipality of Sto. Tomas									 Barangay STA. ANASTACIA									 									 									 INVITATION TO BID									 									 The Barangay Government of Sta. Anastacia, Sto. Tomas, Batanga</t>
  </si>
  <si>
    <t xml:space="preserve"> Republic of the Philippines PROVINCE OF ZAMBOANGA DEL SUR Municipality of Tabina -o0o- BIDS AND AWARDS COMMITTEE INVITATION TO BID  CONSTRUCTION OF BARANGAY HALL PHASE 1 1.	The Barangay Local Government of Malim,Tabina, Zamboanga del Sur, through the 20%-</t>
  </si>
  <si>
    <t xml:space="preserve"> Please see attached file for terms of reference.</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</si>
  <si>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</si>
  <si>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One (1) job Furnishing of Labor and Materials for the Construction of Slope Protection at Brgy. Tabucan, Dumangas, Iloilo</t>
  </si>
  <si>
    <t xml:space="preserve"> Finishing Interiors of Engineering Building</t>
  </si>
  <si>
    <t xml:space="preserve"> Republic of the Philippines Province of Batangas Municipality of San Juan BIDS AND AWARDS COMMITTEE INVITATION TO APPLY FOR ELIGIBILITY AND TO BID THE LOCAL  GOVERNMENT UNIT OF BRGY. JANAO-JANAO, SAN JUAN, BATANGAS, through its Bids and Awards Committee(B</t>
  </si>
  <si>
    <t xml:space="preserve"> Materials for the Construction of Additional Hand-washing Facility and Foot Baths</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</si>
  <si>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</si>
  <si>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The DepEd Division of Cabuyao (Southville 1 Elementary School) invites registered supplier to quote the best offer for the item/s. Submit your quotation duly signed by duly representative not later than July 8, 2020. The quotation may be submitted manuall</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</si>
  <si>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</si>
  <si>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Republika ng Pilipinas										 National Irrigation Administration										 (Pambansang Pangasiwaan ng Patubig)										 REGION XI										 Irrigation Management Office- Davao de Oro										 										 										 										 										 										 			</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</si>
  <si>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</si>
  <si>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1	60	PCS	(E.O.)  ELECTRICAL PIPE 2 1/2 75mm 2	2	PCS	(E.O.)  ELECTRICAL PVC MTA 2 1/2 3	2	PCS	(S) RSC ENTRANCE CAP 2 1/2 4	20	ROLLS	(A) ELECTRICAL TAPE (L) BLADE 5	4	PCS	US SOLDERESS CONNECTOR 2B 350mcm 6	1	CAN	€ SOLVENT CEMENT 400CC 7	180	MTRS	(COL) THHW </t>
  </si>
  <si>
    <t xml:space="preserve"> Concreting of 0.15m x 3.0m x 80.0 m long road Materials/Description: 1. Cement - 306 bags 2. SAG - 59.38 cu.m 3. Gravel Bidding - 12.00 cu.m 4. 40 pcs- 2x6x12' coco lumber  5. CW Nails assorted - 6.0 kilos</t>
  </si>
  <si>
    <t xml:space="preserve"> Republic of the Philippines Province of Batanes	 MUNICIPALITY OF BASCO               		INVITATION TO BID FOR THE PROCUREMENT OF TOOLS AND EQUIPMENT OF THE MUNICIPAL WATERWORKS SYSTEM 1.	The Municipal Local Government Unit of Basco, through the General Fun</t>
  </si>
  <si>
    <t xml:space="preserve"> One (1) job Furnishing of Labor and Materials for the Construction of Drainage and Sidewalk- Southbound Terminal at Brgy. Tabucan, Dumangas, Iloilo</t>
  </si>
  <si>
    <t xml:space="preserve"> 7	pcs	SAFE VAULT 		SPECS: 		Height (mm/inch): 302.7/11.9 		Width (mm/inch): 381/15 		Depth (mm/inch): 310/12.2 		Weight (kgs.): 14 		Color: black 		Other features: 		Concealed emergency manual key lock 		Open and close by using keypad 		Complimentary moun</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</si>
  <si>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</si>
  <si>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1.	2	unit/s	Desktop Computer Intel core i7 License 2.	1	unit/s	Printer Laserjet Pro MFP 3.	1	box/es	Toner Cartridge CF280XC</t>
  </si>
  <si>
    <t xml:space="preserve"> Republic of the Philippines PROVINCE OF ALBAY 				   Municipality of Rapu-Rapu                                                          Barangay Poblacion Invitation to Bid for  Maintenance &amp; Improvement of Day Care Center 1.	The Barangay Local Government</t>
  </si>
  <si>
    <t xml:space="preserve"> PURCHASE OF FOOD AND OTHER SUPPLIES FOR LOGICTICAL SUPPORT TO RESPONDERS AND VOLUNTEERS RETRIEVAL OPERATIONS INCLUDING COVID-19  OPERATION ( MDRRMO)- PR. NO:	2020-06-133</t>
  </si>
  <si>
    <t xml:space="preserve"> CONTRACT COST:	 	 1.	m²	53.18	ENTERIOR FINISHING AT COMFORT ROOMS		32,620.86 2.			TILING		 2.1	m²	144.59	OFFICE SPACE		221,285.28 2.2	m²	34.4	CORRIDOR AND STAIRS		67,111.67 2.3			COMFORT ROOMS		 2.3.1	m²	72.12	WALL &amp; PARTITION (H= 2.0m)		92,931.94 2.3.2	m</t>
  </si>
  <si>
    <t xml:space="preserve"> The DPWH-Ilocos Sur 1st District Engineering Office, through its Bids and Awards Committee (BAC), invites contractors to submit bids for the following Contract:   Contract ID: 20AC0101   Contract Name: Construction of Classrooms, Four (4) Storey, Twelve (</t>
  </si>
  <si>
    <t xml:space="preserve"> MEALS AND SNACKS FOR PARTICIPANTS ( REC- ECHO TRAINING ON COLLAPSED STRUCTURE SEARCH AND RESCUE TRAINING  FOR MDRRMO- PR. NO:	2020-06-135</t>
  </si>
  <si>
    <t xml:space="preserve"> Republic of the Philippines Province of Batanes	 MUNICIPALITY OF BASCO               		INVITATION TO BID FOR THE PROCUREMENT OF OFFICE SUPPLIES OF BASCO CENTRAL SCHOOL, TUKON BARRIO SCHOOL AND DIPTAN ELEMENTARY SCHOOL 1.	The Municipal Local Government Uni</t>
  </si>
  <si>
    <t xml:space="preserve"> Republic of the Philippines Province of Batanes	 MUNICIPALITY OF BASCO               		INVITATION TO BID FOR THE PROCUREMENT OF Supplies for Communicable Disease, Medical and Laboratory Supplies of the Municipal Health Office and Supplies for the Home Car</t>
  </si>
  <si>
    <t xml:space="preserve"> June 29, 2020 INVITATION TO BID  Reference No. 7074671 /Solicitation No.20-24 The City Government of Tagum invites interested Bidders/Suppliers to bid for the following: Name of Contract         :  CONSTRUCTION MATERIALS &amp; SUPPLIES FOR THE USE OF CMO – EN</t>
  </si>
  <si>
    <t xml:space="preserve"> The Ministry of Human Settlements and Development (MHSD) a locally funded agency, intends to Request for Quotation (RFQ) for the sum of Two Hundred Seventy Eight Thousand Six Hundred Seventy-Seven Pesos and 16/100(₽278,677.16) being the Approved Budget fo</t>
  </si>
  <si>
    <t xml:space="preserve"> RFQ 2020-06-026 - PR 2020-06-035 Procurement of One (1) Job Order, L&amp;M for Preventive Maintenance of AAG-4646 Mitsubishi Strada Pick-Up</t>
  </si>
  <si>
    <t xml:space="preserve"> PHILIPPINE BIDDING DOCUMENTS (As Harmonized with Development Partners) FOR ENHANCEMENT OF CACAO PRODUCTION THRU PROVISION OF FERTILIZER SUBSIDY BIDDING Government of the Republic of the Philippines TABLE OF CONTENTS SECTION I. INVITATION TO BID……………………………</t>
  </si>
  <si>
    <t xml:space="preserve"> 10	 box	DBX1 #12 needle 10	 box	DBX1 #14 needle 10	 box	DBX1 #16 needle 10	box	DPX1 #12 needle 10	box	DPX1 #14 needle 24	pairs	Square ruller and curve ruller (wooden) 43	 pcs	Wooden ruller 12 inches 48	boxes	Pencil mongol #1,2,3 30	boxes	Tailor chalk asso</t>
  </si>
  <si>
    <t xml:space="preserve"> 1 pc. 23.5 + 25 milepro with tube &amp; flap tire brand new</t>
  </si>
  <si>
    <t xml:space="preserve"> INVITATION TO BID: BID REF. NO.: 2020-21 “SUPPLY AND DELIVERY OF VARIOUS PARTS AND LABOR OF DA-BFAR MCS PATROL VESSELS.” 		 1.	The Bureau of Fisheries and Aquatic Resources (BFAR) of the Department of Agriculture, through the General Appropriations Act fo</t>
  </si>
  <si>
    <t xml:space="preserve"> PURCHASE OF SPARE PARTS FOR REPAIR AND MAINTENANCE FOR FOROKAWA LOADER 325 (MOTORPOOL)- PR. NO:	2020-06-138</t>
  </si>
  <si>
    <t xml:space="preserve"> Procurement of HP CF219A - Original Laser Jet Imaging Drum - 2020 Please see attached components for detailed specifications. For more queries, please contact Property Management Section at 8465-2400 loc. 133 or 8523-0205 PLEASE SEND YOUR PROPOSALS TO ANY</t>
  </si>
  <si>
    <t xml:space="preserve"> 113 pcs of Flu Vaccine</t>
  </si>
  <si>
    <t xml:space="preserve"> One (1) job Furnishing of Labor and Materials for the Improvement of Task Force Puerto at Brgy. Sapao, Dumangas, Iloilo</t>
  </si>
  <si>
    <t xml:space="preserve"> Republic of the Philippines Province of South Cotabato BIDS AND AWARDS COMMITTEE Capitol Compound Alunan Avenue, Koronadal City Tel. No. (083)228-9951 INVITATIONS TO PAKYAW CONTRACT GROUPS The Province of South Cotabato is inviting Pakyaw Groups (Labor) t</t>
  </si>
  <si>
    <t xml:space="preserve"> Republic of the Philippines PROVINCE OF SOUTHERN LEYTE Maasin City Invitation to Bid for the Procurement of One (1) Unit Service Vehicle    Contract ID # 2020-07-21-406PG 1.	The Provincial Government of Southern Leyte through the PSWDO Motor Vehicles Expe</t>
  </si>
  <si>
    <t xml:space="preserve"> ARTICLE AND DESCRIPTION										 ITEM	QTY.	UNIT						CEILING 			UNIT PRICE			TOTAL  								PRICE						 				Office: Office of the City Accountant				PR No. 415						 				Charge to: Printing and Publication Expenses 				OBR No. 100-2002-01201						 				 A</t>
  </si>
  <si>
    <t xml:space="preserve"> PURCHASE OF  OFFICE EQUIPMENT  2 UNITS AIRCONDITION FOR PEACE AND ORDER PROGRAM FOR MAYORS OFFICE- PR. NO:	2020-06-131</t>
  </si>
  <si>
    <t xml:space="preserve"> June 29, 2020 INVITATION TO BID  Reference No. 7074783 /Solicitation No.20-24 The City Government of Tagum invites interested Bidders/Suppliers to bid for the following: Name of Contract         :  CONSTRUCTION MATERIALS &amp; SUPPLIES FOR THE USE OF CMO – CO</t>
  </si>
  <si>
    <t xml:space="preserve"> Republic of the Philippines Province of Southern Leyte Municipality of Tomas Oppus Invitation to Bid  PROCUREMENT OF MATERIALS FOR CONSTRUCTION OF COVERED COURT 1.	The Barangay Government of Higoso-an, Tomas Oppus, Southern Leyte, through the 20% General </t>
  </si>
  <si>
    <t xml:space="preserve"> Description Republic of the Philippines Danao City Brgy.Sta.Rosa INVITATION to APPLY for ELIGIBILITY and to BID Improvement of Multipurpose Hall @ Brgy.Sta.Rosa,Danao City The Brgy.Sta.Rosa, tends to apply the sum of Php132,370.00 being Approved Budget fo</t>
  </si>
  <si>
    <t xml:space="preserve"> Republic of the Philippines PROVINCE OF ALBAY 				   Municipality of Rapu-Rapu                                                          Barangay Poblacion Invitation to Bid for  Purchase of Drugs and Medicines 1.	The Barangay Local Government Units of Pob</t>
  </si>
  <si>
    <t xml:space="preserve"> PURCHASE OF SPARE PARTS FOR REPAIR AND MAINTENANCE FOR FARM TRUCTOR, KOBELCO SK225SR AND KOBELCO SK115SR FOR MOTORPOOL- PR. NO:	2020-06-136</t>
  </si>
  <si>
    <t xml:space="preserve"> Supply and Delivery of 45 Toner Cartridges HP CE505A with free use of corresponding HP Laserjet Printer</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</si>
  <si>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</si>
  <si>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DIESEL													6,950	liter UNLEADED												3,200	liter TERMS OF REFERENCE:														 (Monthly billing based on actual consumption)														 * Fuel will be delivered as Requested														 * Payment will be made on Quarterly basis</t>
  </si>
  <si>
    <t xml:space="preserve"> TIAONG WATER DISTRICT Invitation to Bid for  Procurement of Well Drilling Project at Brgy. Ayusan 2  1.	The Tiaong Water District, intends to apply the sum of P 2,117,955.00 being the Approved Budget for the Contract (ABC) to payments under the contract f</t>
  </si>
  <si>
    <t xml:space="preserve"> The Local  Government   Unit  of General  Santos  City, through  the  GENERAL FUND CY 2020  intends  to apply  the sum of seventy seven thousand five hundred and xx / 100 Pesos Only (77,500.00)   being  the Approved  Budget  for the Contract   (ABC) to pa</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</si>
  <si>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</si>
  <si>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Republic of the Philippines Province of Negros Oriental City of Guihulngan Bids and Awards Committee INVITATION TO BID (ITB No. PB2020-049) The  City of  Guihulngan, through its Bids and Awards Committee (BAC), invites suppliers/ manufacturers/ distributo</t>
  </si>
  <si>
    <t xml:space="preserve"> Air Safety Valve etc.  NOTE:To all suppliers bid documents and BAC Resolution 2020-029 are available at BAC Office and LGU website.</t>
  </si>
  <si>
    <t xml:space="preserve"> Construction of Brgy Multi-Purpose Hall (Phase II) See Program of Works Plans and Programs upon submission of LOI</t>
  </si>
  <si>
    <t xml:space="preserve"> Vehicles-Motor Vehicle</t>
  </si>
  <si>
    <t xml:space="preserve"> Procurement of Office Supplies 2020 Please see attached components for detailed specifications. For more queries, please contact Property Management Section at 8465-2400 loc. 133 or 8523-0205 PLEASE SEND YOUR PROPOSALS TO ANY OF THE FOLLOWING CHOICES: 1. </t>
  </si>
  <si>
    <t xml:space="preserve"> PURCHASE OF AGRICULTURAL SUPPLIES FOR MAGRO- PR. NO:	2020-06-139</t>
  </si>
  <si>
    <t xml:space="preserve"> Republic of the Philippines Municipality of Taytay Barangay Pularaquen NOTICE TO BIDDERS 1.	CONSTRUCTION OF MULTI – PURPOSE HALL (PHASE 1) Item#	Description			     QTY.		UNIT	 1.	Nylon String #100				2		clip 2.	CWN 3”					        2		kgs 3.	16mm dia x 6m, </t>
  </si>
  <si>
    <t xml:space="preserve"> Republic of the Philippines Province of Ifugao Municipal Government of Hingyon BIDS AND AWARDS COMMITTEE – INFRA Invitation to Bid Publication No. 013 – 2020                                                          (FIRST POSTING) June 29, 2020 The Munici</t>
  </si>
  <si>
    <t xml:space="preserve"> Information Technology-Computer Desktop</t>
  </si>
  <si>
    <t xml:space="preserve"> 6BOXES NESCAFEE COFFEE @ 100G(30/BX) 300PCKS BEAR BRAND 320G 300 KLS BROWN SUGAR WASHED 12BOXES CORNED BEEF 48 TNS 12 BOXES SAUSAGE 48TNS 12BOXES MEATLOAF 48TNS 20 BOXES LUCKY ME NOODLES 72 PACKS 10 PACKS SANDO BAG 100PCS 300PCS ECO BAG</t>
  </si>
  <si>
    <t xml:space="preserve"> The Local  Government   Unit  of General  Santos  City, through  the  GENERAL FUND CY 2020  intends  to apply  the sum of seventy eight thousand seven hundred fifty and xx / 100 Pesos Only (78,750.00)   being  the Approved  Budget  for the Contract   (ABC</t>
  </si>
  <si>
    <t xml:space="preserve"> 30 reams bond paper short 30 reams bond paper long 2 ream long folder white 2 reams long folder red 5 bottles printer ink black 6 bottles printer ink colored 2 pcs flash drive 16 gb 1 box binder clip 2 pcs correction pen 1 piece keyboard 1 box push pin 1 </t>
  </si>
  <si>
    <t xml:space="preserve"> Republic of the Philippines Province of Batanes	 MUNICIPALITY OF BASCO               		INVITATION TO BID FOR THE PROCUREMENT OF MATERIALS FOR THE REPAIR OF MUNICIPAL BUILDING GROUND FLOOR-HALLWAY 1.	The Municipal Local Government Unit of Basco, through th</t>
  </si>
  <si>
    <t xml:space="preserve"> Republic of the Philippines Province of Negros Oriental City of Guihulngan Bids and Awards Committee INVITATION TO BID (ITB No. PB2020-050) The  City of  Guihulngan, through its Bids and Awards Committee (BAC), invites suppliers/ manufacturers/ distributo</t>
  </si>
  <si>
    <t xml:space="preserve"> Piston Assy. etc.  NOTE:To all suppliers bid documents and BAC Resolution 2020-029 are available at BAC Office and LGU website.</t>
  </si>
  <si>
    <t xml:space="preserve"> Sticker for Ambulance with Installation								25	pcs  - vinyl sticker 23cm X 31cm/ Full colors														  - attached layout of sticker name of the ff:														  - PALAWAN RESCUE 165														  - 2 AGENCY LOGO OF PALAWAN RESCUE 165											</t>
  </si>
  <si>
    <t xml:space="preserve"> Invitation to Bid to all Supplier/Contractor duly accredited by the city Council of Manila to supply  and deliver the Following items provided hereunder ,to wit;  proItem	Quantity	Unit	Description 			 1	10	ream	Bondpaper short 2	10	ream 	Bondpaper long 3	</t>
  </si>
  <si>
    <t xml:space="preserve"> ITEM NO. QTY UNIT  DESCRIPTION 1.  11 ROLLS 2"DIAX60M PE PIPE SDR 11 2.  10 PCS 2"DIA PE TO PE PIPE CONNECTOR 3.  1 PC 2"DIA PE FEMALE CONNECTOR 4.  1 PC 2"DIA PE ELBOW 5. 25 ROLLS TAPELON TAOE BIG</t>
  </si>
  <si>
    <t xml:space="preserve"> Republic of the Philippines										 Province of Bohol										 Municipality of Buenavista										 										 Barangay DAIT									 INVITATION TO APPLY FOR ELIGIBILITY AND TO BID										 										 The Barangay Local Government Unit of  DAIT,  Buen</t>
  </si>
  <si>
    <t xml:space="preserve"> Vehicle Parts &amp; Accessories-Tire Set,HD SAE 10W,etc....</t>
  </si>
  <si>
    <t xml:space="preserve"> The Local  Government   Unit  of General  Santos  City, through  the  GENERAL FUND CY 2020  intends  to apply  the sum of eight hundred seven thousand five hundred and xx / 100 Pesos Only (807,500.00)   being  the Approved  Budget  for the Contract   (ABC</t>
  </si>
  <si>
    <t xml:space="preserve"> Fuel-Diesel,Gasoline</t>
  </si>
  <si>
    <t xml:space="preserve"> 1	SOUND SYSTEM FOR SPORTS COMPLEX		 	1	UNIT	PRE-AMP MIXER 16 CHANNELS WITH HARD CASE 	8	UNITS	POWER SPEAKER 15"WITH STAND 	3	SETS	WIREL;ESS MICROPHONE 	4	ROLL	MIC CABLE STEREO 100M 	40	PAIR	XLR CONNECTOR 	1	UNIT	AUDIO DIGITAL PLAYER 2	SOUND SYSTEM MULTI P</t>
  </si>
  <si>
    <t xml:space="preserve"> REQUEST FOR QUOTATION The Bureau of Customs (BOC) – Port of Limay, through its General fund, will undertake Small Value Construction Services for the Renovation of the Customer Care Center (CCC) in accordance with the Revised Implementing Rules and Regula</t>
  </si>
  <si>
    <t xml:space="preserve"> CONSOLIDATED OFFICE SUPPLIES FOR MIO,MO,MDRRMO AND NUTRITION OFFICE- PR. NO:	2020-06-140</t>
  </si>
  <si>
    <t xml:space="preserve"> Const. of VAWCS Center Item No.	Quantity	Unit	Description			 1	22	bags	Portland Cement 40kg			 2	2.15	cu.m.	Sand			 3	1.72	cu.m.	Gravel			 4	170	pcs.	CHB, 100 mm Thk			 5	5	pcs.	Marine Plywood 1/4			 6	14	pcs.	12mm x 6m Std RSB			 7	8	pcs.	10mm x 6m Std R</t>
  </si>
  <si>
    <t xml:space="preserve"> The Local  Government   Unit  of General  Santos  City, through  the  GENERAL FUND CY 2020  intends  to apply  the sum of nineteen thousand four hundred sixty and xx / 100 Pesos Only (19,460.00)   being  the Approved  Budget  for the Contract   (ABC) to p</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</si>
  <si>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</si>
  <si>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Supply and delivery of supplies and materials for National School Building Inventory SY 2019-2020</t>
  </si>
  <si>
    <t xml:space="preserve"> printer with continous ink with photo copier with scanner</t>
  </si>
  <si>
    <t xml:space="preserve"> Republic of the Philippines  Province of Samar Municipality of Jiabong Invitation to Bid  CONSTRUCTION OF MULTI-PURPOSE HALL BRGY VICTORY Jiab-2020-1C The Municipal Government of Jiabong, Samar, through LGU OF JIABONG   intends to apply the sum of ONE HUN</t>
  </si>
  <si>
    <t xml:space="preserve"> The Local  Government   Unit  of General  Santos  City, through  the  GENERAL FUND CY 2020  intends  to apply  the sum of eight thousand eight hundred and xx / 100 Pesos Only (8,800.00)   being  the Approved  Budget  for the Contract   (ABC) to payments  </t>
  </si>
  <si>
    <t xml:space="preserve"> 20% EDF CY 2020 Rehabilitation of Water System - P 105,000.00 Schedule of Activities 1. Submission &amp; Receipt of Bids / Bid Opening - July 21, 2020 @ 10:00 AM 2. Bid Evaluation - July 22, 2020 3. Post Qualification - July 23, 2020 4. Approval of Resolution</t>
  </si>
  <si>
    <t xml:space="preserve"> As per attached RFQ</t>
  </si>
  <si>
    <t xml:space="preserve"> The Local  Government   Unit  of General  Santos  City, through  the  GENERAL FUND CY 2020  intends  to apply  the sum of four hundred thousand and xx / 100 Pesos Only (400,000.00)   being  the Approved  Budget  for the Contract   (ABC) to payments  under</t>
  </si>
  <si>
    <t xml:space="preserve"> Republic of the Philippines					 MUNICIPALITY OF MARIHATAG					 SURIGAO DEL SUR					 	oOo-				 Bids and Awards Committee					 					 REQUEST FOR QUOTATION					 					 		       Date: June 29, 2020			 		       Quotation No.396-2020			 ________________________</t>
  </si>
  <si>
    <t xml:space="preserve"> The Local  Government   Unit  of General  Santos  City, through  the  DRRM FUND CY 2020  intends  to apply  the sum of nine hundred eighty six thousand eight hundred sixty and xx / 100 Pesos Only (986,860.00)   being  the Approved  Budget  for the Contrac</t>
  </si>
  <si>
    <t xml:space="preserve"> Office Equipment-Glass wall partition/cubicle</t>
  </si>
  <si>
    <t xml:space="preserve"> ITEM NO. P.R. No. :CMO-City Disaster Risk and Reduction Management Council 2020-06-2568 Date: 06/19/2020 Date: 19,950.00Ascorbic Acid, 500mg, tablet, 100'sbox571 31,350.00Multivitamins+iron, cap 100'sbox572 23,370.00Paracetamol, 600mg tablet, 100'sbox573</t>
  </si>
  <si>
    <t xml:space="preserve"> Republic of the Philippines										 Province of Bohol										 Municipality of Buenavista										 										 Barangay CANTOMOGCAD									 INVITATION TO APPLY FOR ELIGIBILITY AND TO BID										 										 The Barangay Local Government Unit of  CANT</t>
  </si>
  <si>
    <t xml:space="preserve"> Procurement of Signpen and Ballpen 2020 Please see attached components for detailed specifications. For more queries, please contact Property Management Section at 8465-2400 loc. 133 or 8523-0205 PLEASE SEND YOUR PROPOSALS TO ANY OF THE FOLLOWING CHOICES:</t>
  </si>
  <si>
    <t xml:space="preserve"> Procurement of One (1) Unit Ambulance for the Use of Rural Health Unit, LGU-Tagudin, Ilocos Sur 1.	The Local Government Unit of Tagudin, Ilocos Sur, thru its Bids and Awards Committee intends to apply the sum of Two Million One Hundred Thousand Pesos (Php</t>
  </si>
  <si>
    <t xml:space="preserve"> 150 SACKS OF RICE @ 25KLS/SACK</t>
  </si>
  <si>
    <t xml:space="preserve"> June 29, 2020 	 INVITATION TO BID Reference No. 7074940 / Solicitation No. 2020/06/062 	The City Government of Tagum invites interested Bidders/Suppliers to submit for eligibility and to bid for the following: MATERIALS FOR CONSTRUCTION OF MULTI-PURPOSE C</t>
  </si>
  <si>
    <t xml:space="preserve"> Republic of the Philippines Region X Province of Lanao del Norte Gov. Arsenio A. Quibranza Provincial Government Center Invitation to Bid for the CONSTRUCTION OF FLOOD CONTROL AND MITIGATION STRUCTURE (BURIASAN BRIDGE OF MALABANG-MASIBAY-MAITOMAIG PROVINC</t>
  </si>
  <si>
    <t xml:space="preserve"> Procurement of water connection and fittings to be used in the rehabilitation of water system at Malolos</t>
  </si>
  <si>
    <t xml:space="preserve"> Rehab of Togong Proper Road Item No.	Quantity	Unit	Description			 1	281	bags	Portland Cement 40kg			 2	32	cu.m.	Sand			 3	27	cu.m.	Gravel			 4	60	bd.ft.	10pcs. 1 x 6 x 12 Coco Lumber			 5	15	kg	CWN,assorted</t>
  </si>
  <si>
    <t xml:space="preserve"> 1 unit Brand Tractor with Mower: Specifications: Drive Type: 4x4 Capacity of fuel tank (L): 150 Rated speed (r/min): 2300 Engine power (kw): 66.2 Lowest fuel consumption (g/kwh): ≤ 242 Clutch: Clutch PTO Speed (rpm): PTO Speed (rpm) Gearshift: 8F+4R/16F+8</t>
  </si>
  <si>
    <t xml:space="preserve"> Construction of Hanging Bridge at Brgy. Mataywanak, Tuy 1.	Bids received in excess of the ABC shall be automatically rejected at bid opening. 2.	Bidders should have completed a contract similar to the Project. The description of an eligible bidder is cont</t>
  </si>
  <si>
    <t xml:space="preserve"> Air Filter Element # 17801-OC010									2	pc Alternator pulley # 27415-30010									1	pc Ball Joint, Upper (L &amp; R)											1	pc Brake pad # PD47135											1	pc Clutch disc #													1	pc Electrical tape, big												7	set Oil filter # 90915-</t>
  </si>
  <si>
    <t xml:space="preserve"> Procurement of Toner Cartridge, Canon 337, Black - 2020 Please see attached components for detailed specifications. For more queries, please contact Property Management Section at 8465-2400 loc. 133 or 8523-0205 PLEASE SEND YOUR PROPOSALS TO ANY OF THE FO</t>
  </si>
  <si>
    <t xml:space="preserve"> SCOPE OF WORKS: EMBANKMENT  CONCRETE SLAB FLOORING  CHB FILLING  PLASTERING (INTERIOR) RAMP RAILINGS FAB. NOTE: SEE ATTACHED PLAN &amp; SPECIFICATIONS</t>
  </si>
  <si>
    <t xml:space="preserve"> 1.	The OROQUIETA CITY WATER DISTRICT, through the Corporate Approved Budget 2020 intends to apply the sum of Eight Hundred Fifty Eight Thousand Seven Hundred Fifteen Pesos &amp; 00/100 (Php 858,715.00) being the Approved Budget for the Contract (ABC) to payme</t>
  </si>
  <si>
    <t xml:space="preserve"> 20% EDF CY 2020 1. Rehab &amp; Repair of Barangay Road - 107,634.00 2. Rehab &amp; Repair of Pathwalk - P 105,000.00 3. Construction of Line Canal - P 105,000.00 Schedule of Activities 1. Submission &amp; Receipt of Bids / Bid Opening - July 21, 2020 @ 3:00 PM 2. Bid</t>
  </si>
  <si>
    <t xml:space="preserve"> Item No.	Unit	DESCRIPTION				Qty 						 1		To Hire Auto-Mechanic for the Repair of the				 		Municipal Government Vehicle (Strada L200,				 		Dumptruck &amp; Ambulance)</t>
  </si>
  <si>
    <t xml:space="preserve"> materials for Construction of 9 Units Led Streetlights</t>
  </si>
  <si>
    <t xml:space="preserve"> To purchase of purified drinking water</t>
  </si>
  <si>
    <t xml:space="preserve"> Removal and Installation of Floor Tiles (30cm x 30cm) 120 sqm, and repair of Doors, Windows, Plumbing and Electrical Fixtures 1.	Bids received in excess of the ABC shall be automatically rejected at bid opening. 2.	Bidders should have completed a contract</t>
  </si>
  <si>
    <t xml:space="preserve"> MOTOR CYCLE BIKE-XRM 125 DUAL SPORT</t>
  </si>
  <si>
    <t xml:space="preserve"> L.S. REPAIR/REHABILITATION OF MULTI-PURPOSE HALL (doors &amp; windows, concrete slab roofing (water proofing), electrical &amp; paintings)</t>
  </si>
  <si>
    <t xml:space="preserve"> Invitation to Bid Public Competitive Bidding for the Supply and Delivery of Various Mental Health Medicines of the Department of Health – Re-Bid  (Project Ref. No. BAC-PO/GOODS 2020-06-008)</t>
  </si>
  <si>
    <t xml:space="preserve"> The DPWH-Lanao del Norte 1st District Engineering Office, through the following Approved Budget Cost (ABC):  1.	Php 1,487,640.00 – Reference No. 20GKG0033 (PR No. 20-06-033) Bid received in excess of the ABC for each lot shall be automatically rejected at</t>
  </si>
  <si>
    <t xml:space="preserve"> REQUEST FOR PRICE QUOTATION PURCHASE &amp; DELIVERY OF MEDICAL SUPPLIES AND EQUIPMENT ABC: Php 230,000.00  	 	MEDICAL SUPPLIES AND EQUIPMENT  	 	 	  100	gal.	Alcohol 70% Solution Isoprophyl/Ethyl 1 gal. 113	pcs	Pocket Alcohol 70% Isoprophyl/ Ethyl 60ml 100	bo</t>
  </si>
  <si>
    <t xml:space="preserve"> Construction of Spillway and Riprapping of road sides, A – 66.00sqm, T-0.15m 1.	Bids received in excess of the ABC shall be automatically rejected at bid opening. 2.	Bidders should have completed a contract similar to the Project. The description of an el</t>
  </si>
  <si>
    <t xml:space="preserve"> Republic of the Philippines Province of Albay Municipality of Rapu-Rapu Barangay Masaga INVITATION TO BID FOR THE 20% EDF CY 2020 PROJECTS 1.	The Barangay Local Government Unit of Villahermosa, Rapu-Rapu, Albay, through the Budget for the Contract Approve</t>
  </si>
  <si>
    <t xml:space="preserve"> 240 SQ.M. CONSTRUCTION OF CONCRETE PAVEMENT (W=2m, L=120m, THK=0.10m)</t>
  </si>
  <si>
    <t xml:space="preserve"> PROJECT: CONCRETING OF ROAD  LOCATION: BARANGAY STA. MONICA, CONCEPCION, TARLAC APPROVED BUDGET FOR THE CONTRACT: PHP 816,870.00 SOURCE OF FUND: 20% BDF The contract to be performed by the successful bidder shall be specified in the Technical Quotation Fo</t>
  </si>
  <si>
    <t xml:space="preserve"> REPUBLIC OF THE PHILIPPINES PROVINCE OF EASTERN SAMAR MUNICIPALITY OF LAWAAN REQUEST FOR QUOTATION PR No.: RFQ No.: PR Date: PhilGEPS Reference No. : End-User : Closing Date: ABC:166,432.00 Time: Sir/Madam: Please quote your lowest price on the items/s li</t>
  </si>
  <si>
    <t xml:space="preserve"> Supply and Delivery of Ordinary Earth Filling Materials at Cagba, Tugbo, Masbate City, Masbate</t>
  </si>
  <si>
    <t xml:space="preserve"> Labor and Materials Improvement of Multi-Purpose Hall</t>
  </si>
  <si>
    <t xml:space="preserve"> 1. Deformed Steel Bar                                   93 pcs. 10mn dia 2. Tie Wire No. 16                                         4 kg 3. Cement                                                    45.29 bags 4. Sand                                       </t>
  </si>
  <si>
    <t xml:space="preserve"> STEEL CABINET (4 DRAWERS WITH LOCK) to deliver at DepED Regional Office, City of Koronadal</t>
  </si>
  <si>
    <t xml:space="preserve"> Generator set Model: 6GF-LDE 7500 Rated Power: 6.5 KW Maximum Power: 7.0 KW Voltage:220 V/60DHz Engine:192 F Stroke: 4 strokes Air cooled diesel Electric/Manual Start with AVR silent type</t>
  </si>
  <si>
    <t xml:space="preserve"> Procurement of Envelope, Documentary with BI Logo - 2020 Please see attached components for detailed specifications. For more queries, please contact Property Management Section at 8465-2400 loc. 133 or 8523-0205 PLEASE SEND YOUR PROPOSALS TO ANY OF THE F</t>
  </si>
  <si>
    <t xml:space="preserve"> Surgical brush with betadine soap									50	pc Smack Gown													24	pc Cotton Strand Suture 											5	pc Chromic 0, round												72	pc Chromic 0, cutting												72	pc Chromic 2-0, round with round needle									600	pc Chromic 2-0, cuttin</t>
  </si>
  <si>
    <t xml:space="preserve"> 1.	The Municipal Government of Coron, Palawan, through the 2020 Annual Municipal Budget intends to apply the sum of Three Hundred Fifty Thousand Pesos (PhP350,000.00) being the Approved Budget for the Contract (ABC) to payments under the contract for Supp</t>
  </si>
  <si>
    <t xml:space="preserve"> Procurement of Card Printer Ribbon - YMCKO 400 Prints - 2020 Please see attached components for detailed specifications. For more queries, please contact Property Management Section at 8465-2400 loc. 133 or 8523-0205 PLEASE SEND YOUR PROPOSALS TO ANY OF T</t>
  </si>
  <si>
    <t xml:space="preserve"> The Municipality of Limay, through its Bids and Awards Committee (BAC) invites registered contractors to apply for eligibility and if found eligible, to bid for the hereunder project/contract: Project/Contract:     CONSTRUCTION OF TWO (2) STOREY, FOUR (4)</t>
  </si>
  <si>
    <t xml:space="preserve"> Inkjet, Photo glossy paper, A4, 20's									19	pack Steel Document Tray, 3 layers										3	pcs Toner Kit TK 1147 (Kyocera)										7	tube PVC Cover Long 225 mic											6	pack PVC Binding Film, Legal, 217 mm x 331 mm, 100's						6	pack Arch File lon</t>
  </si>
  <si>
    <t xml:space="preserve"> Item No.	Unit	DESCRIPTION				Qty 						 1	Pc.	Tables (Office Table)				2</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</si>
  <si>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</si>
  <si>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June 29, 2020 	 INVITATION TO BID Reference No. 7075065 / Solicitation No. 2020/06/062 	The City Government of Tagum invites interested Bidders/Suppliers to submit for eligibility and to bid for the following: MATERIALS FOR REHABILITATION/CONSTRUCTION OF </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</si>
  <si>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</si>
  <si>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Republic of the Philippines  Province of Samar Municipality of Jiabong Invitation to Bid  Improvement of concrete pavement and construction of drainage canal brgy Malobago Jiab-2020-2C The Municipal Government of Jiabong, Samar, through LGU OF JIABONG   i</t>
  </si>
  <si>
    <t xml:space="preserve"> INVITATION TO BID The Department of Public Works and Highways - Pampanga 1st District Engineering Office, through its Bids and Awards Committee (BAC), invites contractors to submit bids for the following Contract: 1.	 Procurement ID/Contract ID	:	20CG0178</t>
  </si>
  <si>
    <t xml:space="preserve"> ITEM NO. P.R. No. :City Engineer's Office 2020-03-2047 Date: 03/27/2020 Date: 280,000.00 Computer Set Desktop - processor core i7 9th Gen,Gigabyte MBoard, 8gb RAM 1TB hard disk, LED monitor 18.5",ATX case w/ PSU, DVD Writer, mouse, keyboard, speaker, UPS </t>
  </si>
  <si>
    <t xml:space="preserve"> Brand Approved Budget Contract per Item Name and Description of the Article / sUnitQTY.ITEM NO. P.R. No. :City Social Welfare and Development Office 2020-03-1989 Date: 03/23/2020 Date: 200,000.00 LAPTOP (WITH COMPLETE ACCESSORIES PLUS CARRYING CASE) SPECI</t>
  </si>
  <si>
    <t xml:space="preserve"> Bicol Medical Center Concepcion Pequeña, Naga City, 4400 (0998-247-0239/0906-256-9238          E-mail Address: bmc.bacoffice@gmail.com INIVITATION TO BID PROCUREMENT OF ORTHO INSTRUMENTS &amp; EQUIPMENT ITB No. 2020-17 1.	The BICOL MEDICAL CENTER, through SA-</t>
  </si>
  <si>
    <t xml:space="preserve"> 2" Bronze Medal (bleu lace) 2" Silver Medal (red lace) 1.5" Bronze Medal (bleu lace Gold Medal big (stripes lace) 2" Loyalty award (with bar plate &amp; engraving)</t>
  </si>
  <si>
    <t xml:space="preserve"> 1 unit Mechanical compression crimping tool 1 unit Ratchet type wire puller with come along wire grip</t>
  </si>
  <si>
    <t xml:space="preserve"> SCOPE OF WORKS: I. EARTHWORKS: II. FORMS &amp; SCAFFOLDING: III. CARPENTRY WORKS: IV.  CONCRETE, MASONRY WORKS &amp; STEEL REINF.:  V.   ROOFING WORKS &amp; STEEL TRUSS FABRICATION  VI. TILE WORKS: VII. SPECIAL ITEM(ACCESSORIES) VIII. PLUMBING WORKS:  IX.   PAITING W</t>
  </si>
  <si>
    <t xml:space="preserve"> Description The LGU-MAYANTOC, through its Bids and awards committee (BAC) invites contractors registered with and classified by the PHILGEPS to apply for the eligibility and found eligible, to bid for the here under contract: 	 NAME OF PROJECT:PURCHASE &amp; </t>
  </si>
  <si>
    <t xml:space="preserve"> Republic of the Philippines					 Province of Bukidnon					 Municipality of Lantapan					 					 INVITATION TO BID FOR THE CONCRETING OF					 BARANGAY ROADS AT P3 BALILA (2nd Bid)					 					 1	The Local Government Unit of Lantapan through the 20% LDF for CY</t>
  </si>
  <si>
    <t xml:space="preserve"> UPGRADING/CONCRETING OF ROAD M. SANTIAGO ST. (J.P. RIZAL-RHU-MARKET SECTION)</t>
  </si>
  <si>
    <t xml:space="preserve"> Republic of the Philippines Province of Nueva Vizcaya Municipality of Bagabag BARANGAY PANIKI INVITATION TO BID: SUPPLY AND DELIVERY OF MATERIALS AND LABOR  FOR THE IMPROVEMENT  OF MT. KELLEB ROAD (FTM)  Paniki ,  Bagabag, Nueva Vizcaya 1.	The Local Gover</t>
  </si>
  <si>
    <t xml:space="preserve"> REPUBLIC OF THE PHILIPPINES Sandiganbayan Quezon City Invitation to Bid  Provision of Janitorial Services for the  Sandiganbayan Centennial Building for One (1) Year (Re-advertisement) The Sandiganbayan, through its General Appropriations Act of 2020, int</t>
  </si>
  <si>
    <t xml:space="preserve"> Disp. Syringe 1 cc 100's/box									30	box Disp. Syringe 3 cc 100's/box									30	box Disp. Syringe 5 cc 100's/box									30	box Digital Thermometer 											25	pc ECG Paper  112MM x 2, 5's										10	box Surgical Facemask 50's										40	box Facem</t>
  </si>
  <si>
    <t xml:space="preserve"> 1 job Furnishing of Labor and Materials of Cold Storage Doors</t>
  </si>
  <si>
    <t xml:space="preserve"> Description   REQUEST FOR QUOTATION (RFQ) The MAO through the Bids and Awards Committee (BAC) of the Municipality of Banaybanay, Davao Oriental hereby notifies and invites you to submit your quotation/bid for the hereunder proposed project/request, viz: F</t>
  </si>
  <si>
    <t xml:space="preserve"> Republic of the Philippines DEPARTMENT OF PUBLIC WORKS AND HIGHWAYS CAMARINES SUR SECOND DISTRICT ENGINEERING OFFICE Regional Office V Baras, Canaman, Camarines Sur INVITATION TO BID FOR  20FE0129 – CONSTRUCTION OF CLASSROOMS, ODOC ES, LIBMANAN, CAMARINES</t>
  </si>
  <si>
    <t xml:space="preserve"> Section I. Invitation to Bid Republic of the Philippines Province of Bukidnon MUNICIPALITY OF TALAKAG Invitation to Bid for Procurement of Construction Materials  (For Construction of RCA, Basak, Dagundalahon, Lantud, Lirongan, San Rafael, Liguron) 1.	The</t>
  </si>
  <si>
    <t xml:space="preserve"> IMPROVMENT OF DIALYSIS ROOM, OBS, PALIWAS, OBANDO, BULACAN</t>
  </si>
  <si>
    <t xml:space="preserve"> Republic of the Philippines DEPARTMENT OF PUBLIC WORKS AND HIGHWAYS DAVAO DEL NORTE DISTRICT ENGINEERING OFFICE Region XI Tagum City Page 1 of 5 DPWH-INFRA-04-2016 INVITATION TO BID No. 2020-016 The Department of Public Works and Highways -Davao del Norte</t>
  </si>
  <si>
    <t xml:space="preserve"> Procurement of Mattress 2020 Please see attached components for detailed specifications. For more queries, please contact Property Management Section at 8465-2400 loc. 133 or 8523-0205 PLEASE SEND YOUR PROPOSALS TO ANY OF THE FOLLOWING CHOICES: 1. Send th</t>
  </si>
  <si>
    <t xml:space="preserve"> INVITATION TO BID FOR THE SUPPLY &amp; DELIVERY OF FOOD SUBSIDY FOR INMATES OF MUNTINLUPA CITY 1.	The City Government of Muntinlupa, through its duly-approved Executive Budget for 2020 intends to apply the sum of Four Million Three Hundred Twenty Seven Thousa</t>
  </si>
  <si>
    <t xml:space="preserve"> -</t>
  </si>
  <si>
    <t xml:space="preserve"> 1. EXCAVATION-8.8 CU.M 2. RUBBLED MASONRY DAM-11.60 CU.M 3. INSTALLATION OF PIPES (INCLUDES MANUAL EXCAVATION) - 13,000 LM</t>
  </si>
  <si>
    <t xml:space="preserve"> 10 units Pallet</t>
  </si>
  <si>
    <t xml:space="preserve"> Concreting of Tinigban to Raang Seashore Item No.	Quantity	Unit	Description			 1	200	bags	Portland Cement 40kg			 2	21	cu.m.	Sand			 3	23	cu.m.	Gravel			 4	120	bd.ft.	20pcs. 1 x 6 x 12 Coco Lumber			 5	5	kgs	CWN,assorted</t>
  </si>
  <si>
    <t xml:space="preserve"> 1.	VEHICLE # 1 Replacement of Spare Parts for 80km Periodic Maintenance Service	 	Coolant	6 Ltrs 	Air Filter	1 pc 	Texamatic ATF	1 pc 	Igmo Oil	2 qrtz 	Thuban Diff. Oil	2 qrtz 	Brake Fluid	1 qrtz 	Grease	1 qrtz 	Fuel Filter	1 pc 	Rags	6 pcs 	Brake Cleaner</t>
  </si>
  <si>
    <t xml:space="preserve"> ITEM NO. P.R. No. :City Administrator's Office 2020-03-2042 Date: 03/25/2020 Date: 90,000.00Printer L5190set51</t>
  </si>
  <si>
    <t xml:space="preserve"> Republic of the Philippines PROVINCE OF CAVITE Barangay Santiago City of General Trias INVITATION TO BID PROJECT TITLE/ DESCRIPTION : PURCHASE OF  COMPUTER DESKTOP  USE AT BARANGAY SANTIAGO CITY OF GENERAL TRIAS 1. The Santiago  CITY OF GENERAL TRIAS, CAV</t>
  </si>
  <si>
    <t xml:space="preserve"> REPUBLIC OF THE PHILIPPINES REGION IX  PROVINCIAL GOVERNMENT OF ZAMBOANGA DEL SUR  Provincial Capitol Compound, Pagadian City BIDS AND AWARDS COMMITTEE Invitation for Negotiated Procurement: Two-Failed Biddings REFILL OF SPECIALIZED GAS FOR CSR STOCKING/ </t>
  </si>
  <si>
    <t xml:space="preserve"> Republic of the Philippines					 MUNICIPALITY OF MARIHATAG					 SURIGAO DEL SUR					 	oOo-				 Bids and Awards Committee					 					 REQUEST FOR QUOTATION					 					 		       Date: June 29, 2020			 		       Quotation No.363-2020			 ________________________</t>
  </si>
  <si>
    <t xml:space="preserve"> IMPROVEMENT OF 2ND FLOOR LEVEL OF EVACUATION CENTER</t>
  </si>
  <si>
    <t xml:space="preserve"> June 29, 2020 INVITATION TO BID  Reference No. 7075140 /Solicitation No.20-24 The City Government of Tagum invites interested Bidders/Suppliers to bid for the following: Name of Contract         :  CONSTRUCTION MATERIALS &amp; SUPPLIES FOR THE USE OF CMO (CON</t>
  </si>
  <si>
    <t xml:space="preserve"> Description The LGU-MAYANTOC, through its Bids and awards committee (BAC) invites contractors registered with and classified by the PHILGEPS to apply for the eligibility and found eligible, to bid for the here under contract: 	 NAME OF PROJECT:UPDATING OF</t>
  </si>
  <si>
    <t xml:space="preserve"> INVITATION TO BID LGU-El Salvador City, Misamis Oriental through its BAC, invites interested bidders to apply for eligibility and if found eligible to bid for the contract: 1.	Contract ID No.	:	ITB No. 2020-06-143 Name of Project	:	Procurement of one hund</t>
  </si>
  <si>
    <t xml:space="preserve"> Installation of railings with concreting at Barangay IV-C, San Pablo City</t>
  </si>
  <si>
    <t xml:space="preserve"> INVITATION TO BID SUPPLY, DELIVERY, INSTALLATION, TESTING AND COMMISSIONING OF SOLID WASTE MANAGEMENT EQUIPMENT CONSISTING OF FIVE (5) LOTS OF BRAND-NEW SET OF PLASTIC RECYCLING EQUIPMENT WITH BRAND NEW PLASTIC CHAIR MOLDS FOR THE DEPARTMENT OF ENVIRONMEN</t>
  </si>
  <si>
    <t xml:space="preserve"> Republic of the Philippines PROVINCE OF CAVITE Barangay Buenavista I of General Trias INVITATION TO BID PROJECT TITLE/ DESCRIPTION : PURCHASE OF COMPUTER DESKTOP USE AT BARANGAY BUENAVIST 1  CITY OF GENERAL TRIAS 1. The Buenavista I  CITY OF GENERAL TRIAS</t>
  </si>
  <si>
    <t xml:space="preserve"> INVITATION TO BID The DPWH-Regional Office No. III,  through  its  Bids  and  Awards  Committee  (BAC),  invites contractors to submit bids for the Contract below:          Procurement ID/Contract ID:    20C00048 Contract Name:      Local Program – Local </t>
  </si>
  <si>
    <t xml:space="preserve"> 20% EDF CY 2020 Construction of Barangay Road-Purok 1 - P 100,000.00 Construction of Barangay Road-Purok 1 - p 200,000.00 Schedule of Activities 1. Submission &amp; Receipt of Bids / Bid Opening - July 21, 2020 @ 10:00 AM 2. Bid Evaluation - July 22, 2020 3. </t>
  </si>
  <si>
    <t xml:space="preserve"> Republic of the Philippines Province of Nueva Vizcaya Municipality of Bagabag BARANGAY PANIKI INVITATION TO BID: SUPPLY AND DELIVERY OF MATERIALS AND LABOR  FOR THE  CONSTRUCTION OF DRAIANAGE CANAL ALONG PROVINCIAL ROAD OF PUROK 3 BARANGAY PANIKI BAGABAG </t>
  </si>
  <si>
    <t xml:space="preserve"> Specifications: 1. Light Type: Indoor Ceiling Lights; 2. Light Features: 3-way, Color-Changing, Dimmable; 3. Energy Saving; and 4. Model: Ceiling Light Fan. Note:  a. Supplier must provide pertinent documents such as PhilGEPS registration, Mayor's Permit,</t>
  </si>
  <si>
    <t xml:space="preserve"> 20% EDF CY 2020 Repair &amp; Maintenance of Multi-Purpose Bldg. - P 70,000.00 Schedule of Activities 1. Submission &amp; Receipt of Bids / Bid Opening - July 21, 2020 @ 3:00 PM 2. Bid Evaluation - July 22, 2020 3. Post Qualification - July 23, 2020 4. Approval of</t>
  </si>
  <si>
    <t xml:space="preserve"> 203 sacks of Rice (in % kilos packs or 10 kilos pack per sack</t>
  </si>
  <si>
    <t xml:space="preserve"> Please Download Attachments Invitation to Bid.</t>
  </si>
  <si>
    <t xml:space="preserve"> Republic of the Philippines                  MUNICIPALITY OF MARIHATAG                 SURIGAO DEL SUR                                                 -o0o-        Bids and Awards Committee       INVITATION TO BID   SUPPLY AND DELIVERY OF AGRICULTURAL SUP</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</si>
  <si>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</si>
  <si>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June 29, 2020 	 INVITATION TO BID Reference No.  7075177 / Solicitation No. 2020/06/064 	The City Government of Tagum invites interested Bidders/Suppliers to submit for eligibility and to bid for the following: MATERIALS FOR REHABILITATION/CONSTRUCTION OF</t>
  </si>
  <si>
    <t xml:space="preserve"> Complete Construction (9.59m x 23.00m) Two (2)  Storey; Four (4) Class Room School Building With Micropile Foundation Mostly built with concrete masonry, with PWD ramp with handrails, parapet wall on concrete gutter and complete with electrical works, san</t>
  </si>
  <si>
    <t xml:space="preserve"> This project entails labor and materials for the construction of 1m x 100m x 0.10m concrete pathway at Brgy. Magsaysay, Magallanes, Sorsogon funded under BDF 2020.</t>
  </si>
  <si>
    <t xml:space="preserve"> ITEMS OF WORK INCLUDES: -Site Preparation/Clearing/Base Preparation -Concrete Footpath -Formworks -Structural Concrete -Excavation -Railings -Manual Hauling</t>
  </si>
  <si>
    <t xml:space="preserve"> INVITATION TO BID  No. 2020-016 The Department of Public Works and Highways -Davao del Norte District Engineering Office, Tagum City, Davao del Norte, through its Bids and Awards Committee (BAC), invites contractors to submit bids for the following Contra</t>
  </si>
  <si>
    <t xml:space="preserve"> 25	bags	Feeds, starter, 50kg.bag	 ₱1,600.00  25	bags	Feeds, grower, 50kg/bag	 ₱1,600.00  25	bags	Corn Grits, 50kg/bag	 ₱1,300.00  25	pieces	Chicken Feeder, plastic, lightweight, durable, hanging	 ₱200.00  20	sachet	Multivitamins, powder for chicken, 5g/sa</t>
  </si>
  <si>
    <t xml:space="preserve"> details at engineering office</t>
  </si>
  <si>
    <t xml:space="preserve"> INVITATION TO BID FOR THE SUPPLY &amp; DELIVERY OF  VARIOUS MATERIALS FOR CONSOLIDATED PROJECT AT DIST. 1 &amp; 2, MUNTINLUPA CITY 1.	The City Government of Muntinlupa, through its duly-approved Executive Budget for 2020 intends to apply the sum of One Million Th</t>
  </si>
  <si>
    <t xml:space="preserve"> Brand Approved Budget Contract per Item Name and Description of the Article / sUnitQTY.ITEM NO. P.R. No. :City Environment and Natural Resources Office 2020-03-1611 Date: 03/06/2020 Date: 60,000.00 BUSH CUTTER: mini 4 stroke engine, 35 cc displacement, 39</t>
  </si>
  <si>
    <t xml:space="preserve"> CONSTRUCTION/ IMPROVEMENT OF MULTI-PURPOSE BUILDING, POBLACION, MAWAB, DAVAO DE ORO- Purchase Request No.2020-06-106</t>
  </si>
  <si>
    <t xml:space="preserve"> LCWD-2020-052 dtd. 06-24-20 20 KVA Generator Set     LCWD Warehouse INVITATION TO BID FOR 20 KVA Generator Set PR No. &amp; Date : 2020-063 dated June 11, 2020 Reference No. &amp; Date : __________ 		 1.	The LEGAZPI CITY WATER DISTRICT, through the 2020 Corporate</t>
  </si>
  <si>
    <t xml:space="preserve"> Complete Construction of (9.50m x 32.0m) Two (2) Storey; Six Classroom School Building mostly built with concrete masonry, with PWD ramp with handrails, parapet wall on concrete gutter and complete with electrical works, sanitary/plumbing works, ventilati</t>
  </si>
  <si>
    <t xml:space="preserve"> 1.	1	unit/s	Drone (Inspire 2) 2.	1	unit/s	Gimbal Camera (Zenmuse X5S) 3.	4	unit/s	Inspire 2 PART 05 TB50 Intelligent Flight Battery 			5.2K Video Support for High End Professional 4.	1	unit/s	Inspire Carrying Case 5.	1	unit/s	Battery Station, Cedence Remo</t>
  </si>
  <si>
    <t xml:space="preserve"> PURCHASE OF FUEL ( DIESEL AND GASOLINE) FOR ALL GOVERNMENT VEHICLE USE- Purchase Request No.2020-06-110</t>
  </si>
  <si>
    <t xml:space="preserve"> Republic of the Philippines Province of Isabela MUNICIPALITY OF DELFIN ALBANO delfinalbano_gc@yahoo.com/gcdelfinalbanoisabela@yahoo.com BIDS AND AWARDS COMMITTEE Invitation to Bid for the Repair/Renovation of Rural Health Unit Building BID REFFERENCE NO.:</t>
  </si>
  <si>
    <t xml:space="preserve"> 20% EDF CY 2020 Construction of River Dike - P 154,831.00 Schedule of Activities 1. Submission &amp; Receipt of Bids / Bid Opening - July 21, 2020 @ 3:00 PM 2. Bid Evaluation - July 22, 2020 3. Post Qualification - July 23, 2020 4. Approval of Resolution/Issu</t>
  </si>
  <si>
    <t xml:space="preserve"> Invitation to Bid for the Upgrading of Brgy. Balatero Road 1.	The Municipal Government of Puerto Galera, through the DILG-LGSF-AM FY 2020 intends to apply the sum of Three Million Nine Hundred Ninety Thousand Nine Hundred Twenty-Five Pesos &amp; Thirty One Ce</t>
  </si>
  <si>
    <t xml:space="preserve"> MEALS AT THE ISOLATION UNIT</t>
  </si>
  <si>
    <t xml:space="preserve"> REHABILITATION OF MDRRMO OPERATION CENTER             ( GARRAGE)- Purchase Request No.2020-06-108</t>
  </si>
  <si>
    <t xml:space="preserve"> Republic of the Philippines Municipality of Nabunturan Barangay Anislagan Invitation to Bid for CONSTRUCTION OF BARAY  INDOANAN SANG KATIGMAN NANG MANSAKA 1. The Barangay Council of Anislagan, Nabunturan Davao de Oro, through the  Department of Social Wel</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</si>
  <si>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</si>
  <si>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Republic of the Philippines Province of Samar BIDS AND AWARD COMMITTEE Negotiated Procurement SUPPLY AND DELIVERY OF Electrical and Plumbing Supplies  Solicitation No. 110012022019 			            Source of Fund. Trust Fund Approved Budget for the Contract</t>
  </si>
  <si>
    <t xml:space="preserve"> SUPPLY AND DELIVERY OF HARDWARE MATERIALS</t>
  </si>
  <si>
    <t xml:space="preserve"> Republic of the Philippines Province of Nueva Vizcaya Municipality of Bagabag BARANGAY PANIKI INVITATION TO BID: SUPPLY AND DELIVERY OF MATERIALS AND LABOR  FOR THE  Construction of Drainage Canal Along Provincial Road In front of Paniki High School Panik</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</si>
  <si>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</si>
  <si>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1 unit Desktop Computer 1 unit All-in-One Printer, CISS 1 unit Portable HDD, 1TB</t>
  </si>
  <si>
    <t xml:space="preserve"> Invitation to Bid to all Supplier/Contractor duly a Accredited by the City Council of Manila to Supply and deliver the Following items provided hereunder, to wit; 4	rms	Bond Paper A4 4	rms	Bond Paper, Short 4	rms	Bond Paper,Long 5	pcs	Envelope w/garter 20</t>
  </si>
  <si>
    <t xml:space="preserve"> Centennial Year Projects (Improvement of Museum)</t>
  </si>
  <si>
    <t xml:space="preserve"> 1 job Fabrication of hand Brake Flanged hub 1 job Fabrication of propeller Flanged Hub 1 pc Ball Bearing 6305 1 set carbon Brush 2 mtrs Fuel Filter</t>
  </si>
  <si>
    <t xml:space="preserve"> ITEM NO. P.R. No. :City Engineer's Office 2020-03-1991 Date: 03/23/2020 Date: 44,160.0012mm thk x 4ft x 8ft M.S. Plateplate31 2,944.003mm thk x 1 1/2'' x 1 1/2'' x 6m Angle barpcs52 1,217.70welding rodkgs113 2,242.30acetylene  (content only)set1</t>
  </si>
  <si>
    <t xml:space="preserve"> 3	bags	OPV White corn seeds, 20kg/sack	 ₱2,000.00  42	rolls	Nylon Rope, twisted, no.10,200m/roll	 ₱1,110.00</t>
  </si>
  <si>
    <t xml:space="preserve"> PURCHASE OF TIRE FOR REPAIR AND MAINTENANCE OF  GRADER MG 331- Purchase Request No.2020-06-137</t>
  </si>
  <si>
    <t xml:space="preserve"> The Local  Government   Unit  of General  Santos  City, through  the  GENERAL FUND CY 2020  intends  to apply  the sum of twenty five thousand and xx / 100 Pesos Only (25,000.00)   being  the Approved  Budget  for the Contract   (ABC) to payments  under  </t>
  </si>
  <si>
    <t xml:space="preserve"> Republic of the Philippines DEPARTMENT OF PUBLIC WORKS AND HIGHWAYS REGIONAL OFFICE VIII Baras, Palo, Leyte    INVITATION TO BID No. 2020-06-003 June 26, 2020 1.	The Department of Public Works and Highways Regional Office VIII, Baras, Palo, Leyte, through</t>
  </si>
  <si>
    <t xml:space="preserve"> PURCHASE OF BASED  DISASTER AND EMERGENCY MONITORING  SYSTEM (CCTV AND PUBLIC ADDRESS SYSTEM)- Purchase Request No.2020-06-127</t>
  </si>
  <si>
    <t xml:space="preserve"> 1	Lot	Supply of labor and materials in the Installation Office Partitions with Accessories, CON Lounge, 4/f ETC Building.			 405,750.00  		 			 		Note: Please see attached Scope of Work and Working Drawings sheets A1 &amp; A2			 		 	 		 		Estimated number of </t>
  </si>
  <si>
    <t xml:space="preserve"> Invitation to Bid for the Upgrading of Brgy. Dulangan Road 1.	The Municipal Government of Puerto Galera, through the DILG-LGSF-AM FY 2020 intends to apply the sum of Four Million Seven Hundred Ninety-Nine Thousand Seventy-Four Pesos &amp; Sixty-Nine Centavos </t>
  </si>
  <si>
    <t xml:space="preserve"> Republic of the Philippines DEPARTMENT OF PUBLIC WORKS AND HIGHWAYS CAMARINES SUR SECOND DISTRICT ENGINEERING OFFICE Regional Office V Baras, Canaman, Camarines Sur INVITATION TO BID FOR  20FE0131 – CONSTRUCTION OF CLASSROOMS, BAGAMELON ES, LIBMANAN, CAMA</t>
  </si>
  <si>
    <t xml:space="preserve"> 20% EDF CY 2020 Installation of Solar Power System - P 154,831.00 Schedule of Activities 1. Submission &amp; Receipt of Bids / Bid Opening - July 21, 2020 @ 10:00 AM 2. Bid Evaluation - July 22, 2020 3. Post Qualification - July 23, 2020 4. Approval of Resolu</t>
  </si>
  <si>
    <t xml:space="preserve"> Republic of the Philippines Batangas City Invitation to Apply for Eligibility and to Bid The Barangay Government of Barangay Libjo, Batangas City intends to apply the sum of One Hundred Fifty Thousand Pesos Only (Php 150,000.00) broken down as follow: ITE</t>
  </si>
  <si>
    <t xml:space="preserve"> 1350 piece Customized Medal, Gold 1400 piece Customized Medal, Silver 1800 piece Customized Medal, Bronze</t>
  </si>
  <si>
    <t xml:space="preserve"> ITEM NO. P.R. No. :City Veterinary Office 2020-04-2119 Date: 04/03/2020 Date: 20,000.00 PRINTER, Multifunction Printer LaserJet Pro MFP M227fdw, Print, copy, scan, fax, wireless Print speed letter: Up to 30 ppm (black) Auto duplex printing; 250-sheet inpu</t>
  </si>
  <si>
    <t xml:space="preserve"> Republic of the Philippines Province of Isabela MUNICIPALITY OF DELFIN ALBANO delfinalbano_gc@yahoo.com/gcdelfinalbanoisabela@yahoo.com BIDS AND AWARDS COMMITTEE Invitation to Bid for the Repair/Renovation of Delfin Albano Memorial Hospital BID REFFERENCE</t>
  </si>
  <si>
    <t xml:space="preserve"> The Local  Government   Unit  of General  Santos  City, through  the  GENERAL FUND CY 2020  intends  to apply  the sum of two hundred forty eight thousand nine hundred five and xx / 100 Pesos Only (248,905.00)   being  the Approved  Budget  for the Contra</t>
  </si>
  <si>
    <t xml:space="preserve"> 1 unit Desktop Computer 1 unit All-in-One Printer, CISS</t>
  </si>
  <si>
    <t xml:space="preserve"> INVITATION TO BID IB NO: 2020-07-20 (14) PROCUREMENT OF MEDICAL EQUIPMENT FOR OPERATING ROOM 1. 	The Caraga Regional Hospital (CRH), through the General Appropriation Act /  HEALTH FACILITIES ENHANCEMENT PROGRAM (HFEP) 2020 intends to apply the sum of FOU</t>
  </si>
  <si>
    <t xml:space="preserve"> Republic of the Philippines					 Province of Bukidnon					 Municipality of Lantapan					 					 INVITATION TO BID FOR THE SUPPLY &amp; INSTALLATION OF STREET					 LIGHTS IN VARIOUS PUROKS, BARANGAYS AND SITIOS [1ST BID]					 					 1	The Local Government Unit o</t>
  </si>
  <si>
    <t xml:space="preserve"> Republic of the Philippines Province of Bulacan Municipality of Angat 			 INVITATION TO BID The Municipality of Angat, through the Bids and Awards Committee (BAC), invites suppliers/manufacturers/distributors/contractors to apply for eligibility and to Bi</t>
  </si>
  <si>
    <t xml:space="preserve"> 431 Bags Cement 21 cu.m. Sand 42 cu.m. Gravel 485 pcs. 10mm Ø def. bars 40 pcs. Marine Plywood ¼” 2 pcs. Marine Plywood ½” 2000 bdft. 500-2” x 3” x8’ Coco Lumber 20 kls. C.W. Nails #4” 3 kls C.W. Nails #3” 5 kls. C.W. Nails #1 ½” 30 kls. Tie Wire #16 12 p</t>
  </si>
  <si>
    <t xml:space="preserve"> Republic of the Philippines Province of Samar BIDS AND AWARD COMMITTEE Negotiated Procurement SUPPLY AND DELIVERY OF Medical Equipment  Solicitation No. 110012032019 			            Source of Fund. Trust Fund Approved Budget for the Contract:  PhP546,000.0</t>
  </si>
  <si>
    <t xml:space="preserve"> Invitation to Bid CY 2020 QRF REPAIR AND REHABILITATION OF CLASSROOMS LOT 1 – CANILA ES, BILIRAN DISTRICT (2020 QRF REPAIR – Lot 1-3CL) 1.	The DepEd, SDO-Biliran through the CY 2020 QRF – Repair and Rehabilitation of Classrooms  intends to apply the sum o</t>
  </si>
  <si>
    <t xml:space="preserve"> (see bidding documents and other supporting papers in the associated component for further project details)</t>
  </si>
  <si>
    <t xml:space="preserve"> PURCHASE OF TIRE FOR VY 0643- PR. NO:	2020-06-143</t>
  </si>
  <si>
    <t xml:space="preserve"> Improvement of the Luis Hora Gym</t>
  </si>
  <si>
    <t xml:space="preserve"> Republic of the Philippines DEPARTMENT OF PUBLIC WORKS AND HIGHWAYS CAMARINES SUR SECOND DISTRICT ENGINEERING OFFICE Regional Office V Baras, Canaman, Camarines Sur INVITATION TO BID FOR  20FE0130 – CONSTRUCTION OF CLASSROOMS, SALVACION ES, LIBMANAN, CAMA</t>
  </si>
  <si>
    <t xml:space="preserve"> PHIVIDEC INDUSTRIAL AUTHORITY	 MCT Complex, Tagoloan, Mis. Oriental	 Tel Nos: (08822) 740245, (088) 5670-315	 email add:  	bacsec@mail.piamo.gov.ph 	pia.bacsec@gmail.com 	 Standard Form Number: SF-GOOD-60	 Revised on: May 24, 2004	Oct-16 Standard Form Tit</t>
  </si>
  <si>
    <t xml:space="preserve"> HOSPITAL BEDS           4 PCS</t>
  </si>
  <si>
    <t xml:space="preserve"> PLEASE SEE ATTACHED TOR</t>
  </si>
  <si>
    <t xml:space="preserve"> Republic of the Philippines						 Province of Bukidnon						 Municipality of Lantapan						 						 INVITATION TO BID FOR THE SUPPLY &amp; INSTALLATION OF STREET LIGHTS						 AT POBLACION, BALILA HIGHWAY ROAD AND P-3 &amp; P-5 BALILA (1ST BID)						 						 1	The L</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</si>
  <si>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</si>
  <si>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SUBMERSIBLE PUMP AND MOTOR SET, 40 HP Complete with motor controls, submersible cable, column pipes, discharge elbow, discharge piping to include flow meter, valves and fittings and other accessories and appurtenances as specified herein.  One (1) unit o</t>
  </si>
  <si>
    <t xml:space="preserve"> 1.	Television 40” Basic Digital Full HD  40’ Full HD LED-40D3000D Picture specs: 60Hz refresh rate Natural light 2 Functions: USB Multi-media playback ISDB-t Receiver ISDB-t Digital PVR-Personal Video Recording Electronic Program Guide Direct-lit EWBS Con</t>
  </si>
  <si>
    <t xml:space="preserve"> Republic of the Philippines Province of Davao Oriental City of Mati BIDS &amp; AWARDS COMMITTEE INVITATION TO BID Procurement BY LOT of Various Filters, Oil and Lubricants for Use of 79 Units Light and Heavy Equipment SOURCE OF FUND: 20% LGDF [8000A-300-1-07-</t>
  </si>
  <si>
    <t xml:space="preserve"> I. Excavation,Hauling,Chipping of Concrete,Clearing &amp; lay-out. II. CHB Laying w/ Plaster Finish III. Concrete Works IV. Iron and Steel Works. V. Progress Photograph</t>
  </si>
  <si>
    <t xml:space="preserve"> Brand Approved Budget Contract per Item Name and Description of the Article / sUnitQTY.ITEM NO. P.R. No. :City Mayor's Office 2020-06-2490 Date: 06/15/2020 Date: 110,000.00 LAPTOP (WITH COMPLETE ACCESSORIES PLUS CARRYING CASE) Specification: Intel Core i7</t>
  </si>
  <si>
    <t xml:space="preserve"> Invitation to Bid CY 2020 QRF REPAIR AND REHABILITATION OF CLASSROOMS LOT 2 – USON ES, CAIBIRAN DISTRICT 2 (2020 QRF REPAIR – Lot 2-5CL) 1.	The DepEd, SDO-Biliran through the CY 2020 QRF – Repair and Rehabilitation of Classrooms  intends to apply the sum </t>
  </si>
  <si>
    <t xml:space="preserve"> SUPPLY AND DELIVERY OF GINGER RHIZOMES</t>
  </si>
  <si>
    <t xml:space="preserve"> Brand Approved Budget Contract per Item Name and Description of the Article / sUnitQTY.ITEM NO. P.R. No. :CADO-Economic Enterprise Unit 2020-05-2378 Date: 05/13/2020 Date: 4,545.00roofing paint, whitegals51 4,407.75epoxy metal primer, graygals52 13,466.25</t>
  </si>
  <si>
    <t xml:space="preserve"> Invitation to Bid CY 2020 QRF REPAIR AND REHABILITATION OF CLASSROOMS LOT 3 – ACABAN ES, CULABA DISTRICT  (2020 QRF REPAIR – Lot 3) 1.	The DepEd, SDO-Biliran through the CY 2020 QRF – Repair and Rehabilitation of Classrooms  intends to apply the sum of ON</t>
  </si>
  <si>
    <t xml:space="preserve"> Republic of the Philippines													 City of San Carlos													 Negros Occidental													 													 INVITATION TO BID											FOR SALE	 			PURCHASE REQUEST NO: 1-20-06-0748				P 995.00	 Sealed bids for quotation of prices will be recei</t>
  </si>
  <si>
    <t xml:space="preserve"> 1	pc	 Sander Blade  10 	bag	 Cement  2 	cu.m.	 Sand  1 	cu.m.	 Gravel  80 	piece	 Hollow Block  8 	piece	 Deformed Bar 10mm  8 	piece	 Deformed Bar 8mm  2 	kilo	 Tie Wire  14 	bag	 Cement  3 	cu.m.	 Sand  2 	cu.m.	 Gravel  2 	piece	Paint Brush #2  1 	roll</t>
  </si>
  <si>
    <t xml:space="preserve"> Continuation of Rehab of St. Agustin Road Item No.	Quantity	Unit	Description			 1	200	bags	Portland Cement 40kg			 2	21	cu.m.	Sand			 3	25	cu.m.	Gravel			 4	96	bd.ft.	16pcs. 1 x 6 x 12 Coco Lumber			 5	10	kgs	CWN, #2</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</si>
  <si>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</si>
  <si>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Procurement of Internet - Lagawe Campus</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</si>
  <si>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</si>
  <si>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1. 228 bags Cement 2. 64 Lgth. Deformed Round Bar, 12mmDiax6m 3. 116 Lgth Deformed Round Bar, 10mmDiax6m 4. 18 Kls. Tie Wire, GI #16” 5. 12 Pcs. Hacksaw Blade 6. 20 Kls. Common Wire Nails #4” 7. 20 Kls. Common Wire Nails #3” 8. 5 Kls. Common Wire Nails #1</t>
  </si>
  <si>
    <t xml:space="preserve"> 1. 360 Bd.ft. Lumber, 2x2x12 (90pcs) 2. 360 Bd.ft. Lumber, 2x3x12 (60pcs)</t>
  </si>
  <si>
    <t xml:space="preserve"> 15	cover	Dinner- pork sinigang, vegetables, rice and dessert	 ₱200.00  15	pax	Lodging	 ₱450.00  17	cover	Breakfast- longganisa, scrambled egg, fried rice, banana, brewed coffee	 ₱150.00  35	cover	AM Snacks- sanwich &amp; buko juice	 ₱100.00  35	cover	Lunch- a</t>
  </si>
  <si>
    <t xml:space="preserve"> Brand Approved Budget Contract per Item Name and Description of the Article / sUnitQTY.ITEM NO. P.R. No. :City Engineer's Office 2020-05-2405 Date: 05/20/2020 Date: 27,596.80Portland Cementbag881 8,400.00Washed coarse sandcu.m.72 11,050.00Washed gravelcu.</t>
  </si>
  <si>
    <t xml:space="preserve"> 100 pcs Rice @ 10 kilos 100 trays Eggs 200 pcs Iodized Salt 100 kilos Sticky Rice 120 pcs Milk @ 320 grams 120 pcs Chocolate 220 grams 120 pcs Sugar ¼ 120 pcs Assorted Biscuit 120 pcs Condensed Milk 120 pcs Oatmeal</t>
  </si>
  <si>
    <t xml:space="preserve"> BAC RESOLUTION NO. 313-2020</t>
  </si>
  <si>
    <t xml:space="preserve"> 500	heads	"Chicks, range, 350-400grams,1 month old Delivery Site: 300 heads for KALINGA 200 heads for BAGUIO CITY"	 ₱175.00</t>
  </si>
  <si>
    <t xml:space="preserve"> The Barangay San Gabriel Council, through the approved budget for the year 2020, intends to apply the sum of P 854,409.60 being the approved budget (as 20% Development Funds) for the contract to payments under the contract for the SUPPLY, DELIVERY AND INS</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</si>
  <si>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</si>
  <si>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20% EDF CY 2020 Construction of Pathwalk - Purok 1 - P 406,415.00 Schedule of Activities 1. Submission &amp; Receipt of Bids / Bid Opening - July 21, 2020 @ 10:00 AM 2. Bid Evaluation - July 22, 2020 3. Post Qualification - July 23, 2020 4. Approval of Resolu</t>
  </si>
  <si>
    <t xml:space="preserve"> INVITATION TO BID SUPPLY, DELIVERY, INSTALLATION, TESTING AND COMMISSIONING OF EIGHT (8) LOTS SOLID WASTE MANAGEMENT EQUIPMENT CONSISTING OF BRAND NEW BIODEGRADABLE WASTE SHREDDER AND BRAND NEW COMPOSTER FOR THE DEPARTMENT OF ENVIRONMENT AND NATURAL RESOU</t>
  </si>
  <si>
    <t xml:space="preserve"> Description The LGU-MAYANTOC, through its Bids and awards committee (BAC) invites contractors registered with and classified by the PHILGEPS to apply for the eligibility and found eligible, to bid for the here under contract: 	 NAME OF PROJECT:REPAIR OF T</t>
  </si>
  <si>
    <t xml:space="preserve"> Desktop with UPS and Printer	2	units Specifications: Processor: Core i5-9400 processor up to 4.10 GHz Motherboard: Gigabyte H310M S2M (update bios for 9th Gen) GPU: UHD Graphics 630 Memory: 1x8gb DDR4-2666Mhz Hard Disk Drive: 1TB Blue 3.5-inch SATA Solid </t>
  </si>
  <si>
    <t xml:space="preserve"> Brand Approved Budget Contract per Item Name and Description of the Article / sUnitQTY.ITEM NO. P.R. No. :City Engineer's Office 2020-02-1448 Date: 02/05/2020 Date: 4,961.25Portland Cementbags151 1,300.00Washed Coarse Sandcu.m12 2,800.00Washed Gravelcu.m2</t>
  </si>
  <si>
    <t xml:space="preserve"> Invitation to Bid CY 2020 QRF REPAIR AND REHABILITATION OF CLASSROOMS LOT 4 – UNGALE I ES, KAWAYAN DISTRICT 2  (2020 QRF REPAIR – Lot 4-12CL) 1.	The DepEd, SDO-Biliran through the CY 2020 QRF – Repair and Rehabilitation of Classrooms  intends to apply the</t>
  </si>
  <si>
    <t xml:space="preserve"> Supply and Delivery -One (1) Unit Farm Tractor with complete accessories: &gt; Engine-Horse power:36 &gt; Direct Injection, vertical, water-cooled 4-cylinder &gt; Displacement: 1647 (100 47)CC &gt; bORE x sTROKE: 87X 92 4MM &gt; Transmission: Gear shift,8 forward and Re</t>
  </si>
  <si>
    <t xml:space="preserve"> Republic of the Philippines								 Province of Negros Occidental								 Municipality of La Castellana								 Bids and Awards Committee								 								 INVITATION TO APPLY FOR ELIGIBILITY AND TO BID								 								 Name of Project: 		PROPOSED BARANGAY</t>
  </si>
  <si>
    <t xml:space="preserve"> 1. 900 ltrs. Diesel 2. 80 ltrs. Gasoline</t>
  </si>
  <si>
    <t xml:space="preserve"> RE-INVITATION TO BID  No. 2020-007 The Department of Public Works and Highways -Davao del Norte District Engineering Office, Tagum City, Davao del Norte, through its Bids and Awards Committee (BAC), invites contractors to submit bids for the following Con</t>
  </si>
  <si>
    <t xml:space="preserve"> SEE SPECIFICATIONS</t>
  </si>
  <si>
    <t xml:space="preserve"> 7	trips	"Vehicle Rentals -4 seaters, good for off road use Inclusive of fuel, toll fee and driver's meal and accommodation Inclusive of comprehensive insurance coverage (CIC),  and Auto Passenger Insurance Coverage (APIC). Schedule: Day 1: Baguio City to </t>
  </si>
  <si>
    <t xml:space="preserve"> ITEM          DESCRIPTION                             QTY.                 UNIT I.               CLEARING                                 47.85                SQ.M II.              CONCRETING                             20                    MTRS.</t>
  </si>
  <si>
    <t xml:space="preserve"> INVITATION TO BID SUPPLY AND DELIVERY OF ONE (1) UNIT DB COMPRESSOR FOR RESPONSE OPERATIONS – 2ND BIDDING 1.	The Local Government Unit of Cabadbaran City through the DRRM FUND intends to apply the sum of TWO HUNDRED FORTY-SEVEN THOUSAND FOUR HUNDRED FIFTY</t>
  </si>
  <si>
    <t xml:space="preserve"> 1	Lot	Supply  of labor and materials in the Renovation of CSM Library, 3/F CSM Building			 344,600.00  		 			 		Note: Please see attached Scope of Work and Working Drawings sheets A1 &amp; A5. &amp; E1 to E2.			 		 	 		 		Estimated number of Days of Completion: 3</t>
  </si>
  <si>
    <t xml:space="preserve"> INVITATION TO BID Bid No. B-92-2020(*REBIDDING)  1.	The Provincial Government of Negros Oriental now invites bids for the rebidding of the following requirements, viz: 	Project Name:	Source of Fund:	ABC: Project Name 1	Six (6) Lots Construction Materials </t>
  </si>
  <si>
    <t xml:space="preserve"> Invitation to Bid ITB-SSS-Goods-2020-020 VARIOUS PROJECTS AT SSS BRANCH OFFICES Approved Budget for the Contract (ABC)     : Lot 1 -  Rehabilitation of Fire Detection and Alarm System of SSS Baguio Branch P 1,868,445.32 Lot 2 -  Total Replacement of the S</t>
  </si>
  <si>
    <t xml:space="preserve"> 25	pcs	LM 317 Voltage Regulator					 25	pcs	7805 Voltage Regulator					 25	pcs	7812 Voltage Regulator					 50	pcs	Ceramic capacitor , 0.1 µF					 50	pcs	Fixed Ceramic Cement Resistor  ( 1      , 1 w)					 50	pcs	Electrolytic Capacitor , 1000 µF / 25 volts</t>
  </si>
  <si>
    <t xml:space="preserve"> 20GID0021	PR No.: 20-02-0014 Dated 02/12/2020	Supply and Delivery of Bituminous Asphalt Mix (Item 310) for use in the Maintenance of National Roads and Bridges within the District    	985,600.00	15 CD Mode of Procurement: Alternative Method of Procurement</t>
  </si>
  <si>
    <t xml:space="preserve"> Republic of the Philippines					 Province of Bukidnon					 Municipality of Lantapan					 					 INVITATION TO BID FOR THE ROAD CONCRETING AT					 MUNICIPAL MARKET EXTENSION (1st Bid)					 					 1	The Local Government Unit of Lantapan through the Trust Fund</t>
  </si>
  <si>
    <t xml:space="preserve"> Republiuc of the Philippnes				 PROVINCE OF APAYAO	PROVINCE OF APAYAO			 Provincial Government Center	Provincial Government Center, San Isidro Sur			 San Isidro Sur, Luna, Apayao	LUNA, APAYAO			 				 PROVINCIAL BIDS AND AWARD COMMITTEE-INFRA				 				 INVI</t>
  </si>
  <si>
    <t xml:space="preserve"> 1	Lot	Supply of labor and materials in the Renovation of OVCAF Conference Room, 2/F Administration Building. 			 269,000.00  		 			 		Note: Please see attached Scope of Work and Working Drawings sheets A1 &amp; A5.			 		 	 		 		Estimated number of Days of Com</t>
  </si>
  <si>
    <t xml:space="preserve"> Mirrorless Camera Sensor: 24.2MP APS-C CMOS Lens mount: X-mount Screen: 3.0 inch tilt-angle touchscreen, 1,040,000 dots Burst shooting: 8fps Autofocus: 325-point AF Video: 4K Connectivity: Wi-fi and Bluetooth Battery life: 350 shots Weight: 383g</t>
  </si>
  <si>
    <t xml:space="preserve"> 1. 400 ltrs. Diesel</t>
  </si>
  <si>
    <t xml:space="preserve"> Invitation to Bid CY 2020 QRF REPAIR AND REHABILITATION OF CLASSROOMS LOT 6 – CALUMPANG ES, NAVAL DISTRICT 2  (2020 QRF REPAIR – Lot 6-3CL) 1.	The DepEd, SDO-Biliran through the CY 2020 QRF – Repair and Rehabilitation of Classrooms  intends to apply the s</t>
  </si>
  <si>
    <t xml:space="preserve"> Brand Approved Budget Contract per Item Name and Description of the Article / sUnitQTY.ITEM NO. P.R. No. :City Administrator's Office 2020-05-2302 Date: 05/07/2020 Date: 80,000.00 CAMERA: High-End ; Mirrorless EOS M200 FULL SPECIFICATIONS and FEATURES Foc</t>
  </si>
  <si>
    <t xml:space="preserve"> Water Treatment Facility (including installation)</t>
  </si>
  <si>
    <t xml:space="preserve"> Request for Expression of Interest  REI-SSS-Consulting-2020-003 CONDUCT OF THE 2020 NATIONWIDE DETAILED SURVEY FOR SSS   1.	The Social Security System (SSS), through the Approved 2020 Corporate Operating Budget - MOOE with Code (PAP) 174 of the 2020 Appro</t>
  </si>
  <si>
    <t xml:space="preserve"> ITEM          DESCRIPTION                        QTY.             UNIT I.              CLEARING                            47.85            SQ.M II.             CONCRETING                        18                 METERS</t>
  </si>
  <si>
    <t xml:space="preserve"> SUPPLY AND DELIVERY OF MATERIALS AND SUPPLIES FOR THE  ESTABLISHMENT OF SANKTWARYO PARK/MANGROVE WALKWAYS AND COTTAGE  1.	The MUNICIPALITY OF BAYABAS, through the 20% Development  Fund 2020 intends to apply the sum of Two Hundred Fifty Four Thousand Seven</t>
  </si>
  <si>
    <t xml:space="preserve"> 3 rd quarter Supplies and Materials for ORD use</t>
  </si>
  <si>
    <t xml:space="preserve"> Invitation to Bid CY 2020 QRF REPAIR AND REHABILITATION OF CLASSROOMS LOT 5 – LARRAZABAL ES, NAVAL DISTRICT 3  (2020 QRF REPAIR – Lot 5-7CL) 1.	The DepEd, SDO-Biliran through the CY 2020 QRF – Repair and Rehabilitation of Classrooms  intends to apply the </t>
  </si>
  <si>
    <t xml:space="preserve"> Brand Approved Budget Contract per Item Name and Description of the Article / sUnitQTY.ITEM NO. P.R. No. :City Engineer's Office 2020-03-1590 Date: 03/02/2020 Date: 17,280.002"X2"X12" gemelina - 90 pcsbd.ft.3601 12,723.205mm marine plywoodsht282 161.301" </t>
  </si>
  <si>
    <t xml:space="preserve"> 220	box	Face mask, earloop, 50s, premium series, medical grade, bacterial filtration efficiency (BFE) is greater than 99%, 3-ply, latex free, fluid resistant	 ₱604.00   200	box	Gloves, nitrile latex, blue, large, powder-free 100s	 ₱250.50  200	box	Gloves,</t>
  </si>
  <si>
    <t xml:space="preserve"> ITEM NO. P.R. No. :City Engineer's Office 2020-03-1591 Date: 03/02/2020 Date: 13,632.00 5mm Marine Plywoodsheets301 6,720.0035 pcs - 2"x2"x12' gemelina lumberbd.ft.1402 203.554" CW Nailskg33 93.002 1/2" CW Nialskg14 161.301" CW Nailskls.25 5,222.000.90m x</t>
  </si>
  <si>
    <t xml:space="preserve"> 1.	420	bags.	Cement 2.	240	lgth.	DRB, 12mmDiax6m 3.	10	pcs.	Hacksaw Blade 4.	15	kls.	Tie Wire GI #16” 5.	12	kls.	CW Nails #4”</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</si>
  <si>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</si>
  <si>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REQUEST FOR EXPRESSION OF INTEREST (REI) FOR 20CSCE006 - CONSULTING SERVICES FOR THE CONDUCT OF SOIL/GEOTECHNICAL INVESTIGATION FOR THE PROPOSED CONSTRUCTION/REHABILITATION/REPLACEMENT OF VARIOUS BRIDGE PROJECTS 1. The Department of Public Works and Highw</t>
  </si>
  <si>
    <t xml:space="preserve"> ITEM NO. P.R. No. :City General Services Office 2020-03-1801 Date: 03/10/2020 Date: 9,920.00Portland Cementbags321 2,400.00washed coarsed sandcu.m.22 5,200.00washed gravelcu.m.43 2,304.0012mmx6m,deformed barlenghts84 7,164.0010mmx6m,deformed barlenghts365</t>
  </si>
  <si>
    <t xml:space="preserve"> 1	20	BOT	Furniture Polisher Spray 2	30	PC	Bottle dispenser, 500ml 3	5	GAL	Muriatic Acid 4	20	PC	Broom Tambo 5	10	PC	Mop handle, wood 6	25	PC	Doormat/Floor Mat 7	10	PC	Hand Brush 8	15	PC	Plastic Toilet / Bowl Brush 9	10	PC	Scrubbing pad 10	15	BAR	Bar soap </t>
  </si>
  <si>
    <t xml:space="preserve"> 1	pc	4x4 Membrane Keypad			 100.00  1	pc	Smoke Sensor MQ2			 200.00  1	pc	Smoke Alarm			 1,000.00  1	pc	Temperature and Humidity Sensor			 100.00  1	pc	Smoke portable machine			 3,000.00  4	pcs	Digital Solenoid Valve			 300.00  1	pc	Soldering Iron tips Cl</t>
  </si>
  <si>
    <t xml:space="preserve"> INVITATION TO BID SUPPLY AND DELIVERY OF 68 UNITS TRIBIKE WITH ACCESSORIES – 2ND BIDDING 1.	The Local Government Unit of Cabadbaran City through the GENERAL FUND (CAPITAL OUTLAY-EPMD) intends to apply the sum of ONE MILLION FOUR HUNDRED NINETY-SIX THOUSAN</t>
  </si>
  <si>
    <t xml:space="preserve"> 1. 192 Bd.ft. Lumber, 2x4x12 (24pcs.)</t>
  </si>
  <si>
    <t xml:space="preserve"> SDR Pipes</t>
  </si>
  <si>
    <t xml:space="preserve"> Invitation to Bid CY 2020 QRF REPAIR AND REHABILITATION OF CLASSROOMS LOT 7 – KAWAYAN NHS, KAWAYAN DISTRICT 1  (2020 QRF REPAIR – Lot 7-17CL) 1.	The DepEd, SDO-Biliran through the CY 2020 QRF – Repair and Rehabilitation of Classrooms  intends to apply the</t>
  </si>
  <si>
    <t xml:space="preserve"> ITEM NO. P.R. No. :City Engineer's Office 2020-02-1455 Date: 02/06/2020 Date: 30,380.00Portland Cementbag981 6,000.00washed coarsed sandcu m52 2,400.00washed fine sandcu m23 13,000.00washed gravelcu m104 48,960.0012mm x 6m deformed barlength1705 507.0016m</t>
  </si>
  <si>
    <t xml:space="preserve"> (ITB-28-2020) REQUEST TO SUBMIT QUOTATION OR PROPOSAL FOR THE VIDEO PRODUCTION OF DA-RFO 5 BANNER PROGRAM FOR INFORMATION ADVOCACY/CAMPAIGN AT APPROVED BUDGET FOR THE CONTRACT AMOUNTING TO THREE HUNDRED THOUSAND PESOS (PHP300,000.00) PURSUANT TO ALTERNATI</t>
  </si>
  <si>
    <t xml:space="preserve"> 1	2	CAN	Solvent 100 cc/can 2	10	TUB	Silicon Sealant clear 3	5	PC	4" PVC Wye 4	5	PC	4" PVC Elbow 45 5	15	Cu	Sand, washed 6	15	PC	4" PVC Pipes (orange) 7	2	RL	Heat Insulator 3/4" 8	2	PC	Steel Matting 1/8" 9	1000	PC	Concrete Hollow Blocks 6" 10	5	PC	4" PVC E</t>
  </si>
  <si>
    <t xml:space="preserve"> Invitation to Bid for CONSTRUCTIONOF POWER HOUSE WITH TRANSFORMER PAD  ITB No.: 2020-004 1.	The DOH-Treatment and Rehabilitation Center-Bataan, through the Trust Receipt from DDB intends to apply the sum of Four Million Three Hundred Ninety-One Thousand P</t>
  </si>
  <si>
    <t xml:space="preserve"> INVITATION TO BID FOR THE PROVISION OF LABOR, MATERIALS, EQUIPMENT AND OTHER INCIDENTALS NEEDED FOR THE IMPROVEMENT OF BUBUOS CAPURICTAN DIVERSION DAM (DD) AT BRGY. BUBUOS, SOLSONA, ILOCOS NORTE   1. The Department of Agriculture Regional Field Office 1 (</t>
  </si>
  <si>
    <t xml:space="preserve"> Supply and Delivery of Various Office Supplies for the Office of the Municipal Treasurer</t>
  </si>
  <si>
    <t xml:space="preserve"> SUPPLY AND DELIVERY OF MATERIALS AND SUPPLIES FOR THE  INSTALLATION OF SPORTS FACILITIES  1.	The MUNICIPALITY OF BAYABAS, through the 20% Development  Fund 2020 and its Continuing Appropriation intends to apply the sum of One Hundred Sixteen Thousand Thre</t>
  </si>
  <si>
    <t xml:space="preserve"> 70	cover	Dinner- pork sinigang, vegetables, rice and dessert	 ₱250.00  70	pax	Lodging	 ₱450.00  140	cover	Breakfast- longganisa, scrambled egg, fried rice, banana, brewed coffee	 ₱150.00  140	cover	AM Snacks- sanwich &amp; buko juice	 ₱100.00  140	cover	Lunch</t>
  </si>
  <si>
    <t xml:space="preserve"> 2	units	"Vehicle Rentals 1. Seating Capacity: 12 2.Type: vehicle for off-road 3.Inclusive of fuel, toll fee and driver's meal and accommodation 4. Inclusive of comprehensive insurance coverage (CIC),  and Auto Passenger Insurance Coverage (APIC). "	 ₱50,0</t>
  </si>
  <si>
    <t xml:space="preserve"> Republic of the Philippnes				 PROVINCE OF APAYAO	PROVINCE OF APAYAO			 Provincial Government Center	Provincial Government Center, San Isidro Sur			 San Isidro Sur, Luna, Apayao	LUNA, APAYAO			 				 PROVINCIAL BIDS AND AWARD COMMITTEE-INFRA				 				 INVIT</t>
  </si>
  <si>
    <t xml:space="preserve"> INVITATION TO BID FOR THE  SUPPLY &amp; DELIVERY OF OVEN FOR URARO COOKIES PRODUCTION OFFICE OF THE MUNICIPAL MAYOR, BUENAVISTA, QUEZON 1.	The Municipal Government of Buenavista, Quezon, through its 2019 20% Development Fund – Livelihood Program  intends to a</t>
  </si>
  <si>
    <t xml:space="preserve"> Rehabilitation, Modification and Improvement of Villamor Campus Covered Court 1.	The Philippine State College of Aeronautics, through the Corporate Budget for the contract approved by governing Boards, intends to apply the sum of Five Million Pesos (PhP 5</t>
  </si>
  <si>
    <t xml:space="preserve"> 6	units	Service Vehicle 		Specification 		Engine Type: 4 Cylinder in-line Diesel Engine w/ Turbo Intercooler 		Displacement: 1900cc 		Max, Output: 150/3600 (PS/RPM) 		Max, Torque: 350/1800-2600 (kg-m/rpm) 		Fuel System: 6 Speed Automatic Transmission 		Fu</t>
  </si>
  <si>
    <t xml:space="preserve"> Labor and Materials for the Construction of Toilet for Disable (Female Rest Room with PWD Railings) at Municipal Hall San Nicolas Poblacion, Concepcion, Tarlac Approved Budget for the Contract : P 280,795.68 Source of Fund : MOOE 2020 - Municipal Mayor Th</t>
  </si>
  <si>
    <t xml:space="preserve"> 58	cover	Dinner- pork sinigang, vegetables, rice and dessert	 ₱250.00  58	pax	Lodging	 ₱450.00  116	cover	Breakfast- longganisa, scrambled egg, fried rice, banana, brewed coffee	 ₱150.00  116	cover	AM Snacks- sanwich &amp; buko juice	 ₱100.00  116	cover	Lunch</t>
  </si>
  <si>
    <t xml:space="preserve"> SUPPLY AND DELIVERY OF MATERIALS AND SUPPLIES FOR THE  IMPROVEMENT OF PUBLIC MARKET 1.	The MUNICIPALITY OF BAYABAS, through the 20% Development  Fund 2020 intends to apply the sum of Two  Hundred Fifteen Thousand Four Hundred Forty Two Pesos (Php 215,442.</t>
  </si>
  <si>
    <t xml:space="preserve"> INVITATION TO BID: IMPROVEMENT OF EXISTING OLD BARANGAY MULTI-PURPOSE HALL (PHASE 1) Villaros, Bagabag, Nueva Vizcaya 1.	The Local Government Unit of Barangay Villaros intends to apply the sum of ONE HUNDRED  THOUSAND PESOS being the approved Budget for t</t>
  </si>
  <si>
    <t xml:space="preserve"> 54	cover	Dinner- pork sinigang, vegetables, rice and dessert	 ₱250.00  54	pax	Lodging	 ₱450.00  108	cover	Breakfast- longganisa, scrambled egg, fried rice, banana, brewed coffee	 ₱150.00  108	cover	AM Snacks- sanwich &amp; buko juice	 ₱100.00  108	cover	Lunch</t>
  </si>
  <si>
    <t xml:space="preserve"> ITEMS OF WORK INCLUDES: - SITE PREPARATION (LEVELING, EXCAVATION) - FORMWORKS - CONCRETE FOOT TRAIL - HANDRAILS - REPAIR OF HANGING BRIDGE - MANUAL HAULING</t>
  </si>
  <si>
    <t xml:space="preserve"> Supply and Delivery of Airconditioning Unit for the Municipal Circuit Trial Court</t>
  </si>
  <si>
    <t xml:space="preserve"> (ITB-29-2020) REQUEST TO SUBMIT QUOTATION OR PROPOSAL FOR THE LABOR AND MATERIALS FOR THE REPAIR OF 4-UNITS GOAT HOUSE AT MBS, ASID MASBATE AT APPROVED BUDGET FOR THE CONTRACT AMOUNTING TO ONE HUNDRED EIGHTY THOUSAND PESOS (PHP180,000.00) PURSUANT TO ALTE</t>
  </si>
  <si>
    <t xml:space="preserve"> 1	Lot	Supply of labor and materials in the Renovation of Comfort Room and Pantry at Registrar's Office, G/F Admin Building. 			 99,700.00  		 			 		Note: Please see attached Scope Work and  Working Drawings sheets A1 to  A6 P1 and E1..			 		 	 		 		Estima</t>
  </si>
  <si>
    <t xml:space="preserve"> Supply and Delivery of Mechanical Fittings and Plumbing Materials for the 2,000Meters Pipeline Extension       at Baragay Bayasong, Pilar</t>
  </si>
  <si>
    <t xml:space="preserve"> Procurement of Workbooks for Day Care Children</t>
  </si>
  <si>
    <t xml:space="preserve"> 1.	The Department of Agriculture (DA) – Central Office, through the GAA CY2020 intends to apply the sum of One Million Nine Hundred Twenty-One Thousand Pesos (PhP1,921,000.00) being the Approved Budget for the Contract (ABC) to payments under the contract</t>
  </si>
  <si>
    <t xml:space="preserve"> Republic of the Philippines SILAY CITY GOVERNMENT Zamora Street Silay City, Negros Occidental Telefax No. (034) 495-3746 	Control  Reference Number : GOODS#0131, ITB#0134,  PR#0413: SCG-2020 Name of the Project: Purchase of BRAND NEW GARBAGE COMPACTOR TRU</t>
  </si>
  <si>
    <t xml:space="preserve"> Republic of the Philippines Province of Misamis Occidental MUNICIPALITY OF CALAMBA INVITATION TO BID FOR PURCHASE OF ONE (1) UNIT BRAND NEW 6 WHEELERS GARBAGE COMPACTOR  	June 30, 2020 1.	The Municipality of Calamba, Misamis Occidental, through the 2019  </t>
  </si>
  <si>
    <t xml:space="preserve"> Procurement of Vehicle Car Accessories    RFQ No. 440</t>
  </si>
  <si>
    <t xml:space="preserve"> Annual Budget CY 2020 20% EDF CY 2020 PROJECTS Construction of Pathwalk - Purok 5 - P 76,753.00 Construction of Pathwalk Purok 4 going to Cabangan - P 153,508.00 Construction of Pathwalk - Purok 2 - P 76,753.00 Construction of Footbridge - Purok 5 - P 76,</t>
  </si>
  <si>
    <t xml:space="preserve"> Labor and Materials for the General Improvement of Legislative Building, Concepcion, Tarlac Approved Budget for the Contract : P 1,356,471.75 Source of Fund : MOOE 2020 - SB OFFICE The contract to be performed by the successful bidder shall be specified i</t>
  </si>
  <si>
    <t xml:space="preserve"> Republic of the Philippines						 City Government of Davao						 						 INVITATION TO BID						 for Infrastructure Projects B14-2020						 						 The City Government of Davao now invites bidders for the project/s under B14-2020 as listed below.   The pros</t>
  </si>
  <si>
    <t xml:space="preserve"> 2020 Census of Population and Housing Projector Projector Technology: RGB liquid crystal shutter projector system White Light Output (Normal/Eco): 3,600lm / 2,235lm Colour Light Output: 3,600lm USB Interface: USB Type A: 1 (for USB Memory, USB Document Ca</t>
  </si>
  <si>
    <t xml:space="preserve"> 50	pcs	DSB 12mmØ x 6m			 200.00  50	pcs	DSB 10mmØ x 6m			 135.00  50	pcs	Angle Bar 3mm dia x 25mm x 6m			 300.00  20	pcs	Angle Bar 5mm dia x 25mm x 6m			 630.00  50	pcs	Square Bar 10mm x 6m 			 210.00  50	pcs	Flat Bar 3mm x 25mm x 6m			 360.00  30	pcs	G.I</t>
  </si>
  <si>
    <t xml:space="preserve"> materials and supplies for barangay.</t>
  </si>
  <si>
    <t xml:space="preserve"> 20% EDF CY 2020 Improvement of Multi-Purpose Hall - P 300,000.00 Schedule of Activities 1. Submission &amp; Receipt of Bids / Bid Opening - July 21, 2020 @ 10:00 AM 2. Bid Evaluation - July 22, 2020 3. Post Qualification - July 23, 2020 4. Approval of Resolut</t>
  </si>
  <si>
    <t xml:space="preserve"> INVITATION TO BID FOR THE  SUPPLY/DELIVERY &amp; REPRODUCTION OF DISTANCE LEARNING MATERIALS DEPED-BUENAVISTA DISTRICT I &amp; II, BUENAVISTA, QUEZON 1.	The Municipal Government of Buenavista, Quezon, through its Special Education Fund intends to apply the sum of</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</si>
  <si>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</si>
  <si>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Quantity	Particulars	Estimated Unit Price (Php)	Estimated. Total Amount (Php) LOT                           993,200.00.                      993,200.00 TPB needs services of an experienced ICT Company for the Virtual Event Platform to create, capture and </t>
  </si>
  <si>
    <t xml:space="preserve"> 1. The Provincial Government of Misamis Occidental, through the General Funds 20203 intends to apply the sum of Two Million Two Hundred Seventy-nine Thousand Twentythree Pesos and 16/100 (Php. 2,279,023.16) being the Approved Budget for the Contract (ABC)</t>
  </si>
  <si>
    <t xml:space="preserve"> REPUBLIC OF THE PHILIPPINES CITY GOVERNMENT OF OROQUIETA BIDS AND AWARD COMMITTEE City Hall , Oroquieta City                                                                                                                                                   </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</si>
  <si>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</si>
  <si>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reproduction of learners materials supplies of ink for modules folders</t>
  </si>
  <si>
    <t xml:space="preserve"> INVITATION TO BID FOR PROCUREMENT OF  FLAT PANEL DETECTOR (WIRELESS) 1.	The Quirino Memorial Medical Center, through theSAA #2020-03-0379- HFEP CAPITAL OUTLAYintends to apply the sum of FIFTEEN MILLIONTWO HUNDRED THOUSAND PESOSONLY (PHP15,200,000.00) bein</t>
  </si>
  <si>
    <t xml:space="preserve"> 1. The Provincial Government of Misamis Occidental, through the General Funds 20203 intends to apply the sum of One Million Nine Hundred Ninety-eight Thousand Two Hundred Forty-seven Pesos and 49/100 (Php. 1,998,247.49) being the Approved Budget for the C</t>
  </si>
  <si>
    <t xml:space="preserve"> Vicente Sotto Memorial Medical Center B Rodriguez Street, Cebu City INVITATION TO BID The Vicente Sotto Memorial Medical Center, through its Bids and Awards Committee (BAC) invites contractors   suppliers, manufacturers to bid for the hereunder project.  </t>
  </si>
  <si>
    <t xml:space="preserve"> Republic of the Philippines PROVINCE OF ALBAY 				   Municipality of Rapu-Rapu                                                          Barangay Binosawan Invitation to Bid for  Construction of Break Water 1.	The Barangay Local Government Units of Binosaw</t>
  </si>
  <si>
    <t xml:space="preserve"> 102 Sub grade Preparation,200 Aggregate Sub-Base Coarse</t>
  </si>
  <si>
    <t xml:space="preserve"> The Philippine Nuclear Research Institute (PNRI), through the Bids and Awards Committee (BAC), invites interested bidders to bid for hereunder project: Name of Project: Upgrading of NART Building (CY 2020) 	 Location of the Project	PNRI Compound, Commonwe</t>
  </si>
  <si>
    <t xml:space="preserve"> Supply &amp; Delivery of Construction Materials for the Construction of Material Recovery Facility, Brgy. Caraudan, Janiuay, Iloilo Item Number	Description	Quantity 1	2” x 2” x 10’ Rough Lumber	170 bd.ft. 2	4” C.W Nails	4 kgs. 3	1/8” Nylon String	2 rolls 4	Po</t>
  </si>
  <si>
    <t xml:space="preserve"> INVITATION TO BID FOR PROCUREMENT OF  INFANT RADIANT WARMER WITH RESUSCITATOR 1.	The Quirino Memorial Medical Center, through the SAA #2020-03-0379- HFEP CAPITAL OUTLAY intends to apply the sum of ONE MILLION FIVE HUNDRED THOUSAND PESOSONLY (PHP1,500,000.</t>
  </si>
  <si>
    <t xml:space="preserve"> REPUBLIC OF THE PHILIPPINES CITY GOVERNMENT OF OROQUIETA BIDS AND AWARD COMMITTEE City Hall, Oroquieta City                                                                                                                       June 29, 2020                </t>
  </si>
  <si>
    <t xml:space="preserve"> 50	tubes	Waterproofing roof sealant, 250g			 150.00  50	sets	Cylindrical Door Knob, Brass, heavy duty			 1,100.00  50	pcs	Drawer Lock, Chrome			 70.00  10	pcs	Padlock, 40mm, heavy duty			 350.00  50	pcs	Concealed hinges, full overlay			 60.00  50	pcs	Conc</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</si>
  <si>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</si>
  <si>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1.) 1 LOT SUPPLY OF LABOR AND MATERIALS FOR THE CONSTRUCTION OF ATM BOOTH. * LOCATION : SAN DIONISIO LGU, SPECIFICALLY AT THE MUNIPALITY BUILDING PREMISES, J.M BASA STREET SAN DIONISIO, ILOILO. X X X X X X X X X X X X X X X X X X X X  NOTHING FOLLOWS X X </t>
  </si>
  <si>
    <t xml:space="preserve"> 75	pcs	Marine Plywood, 3/4" thk x 4' x 8'			 1,400.00  40	pcs	Marine Plywood, 12mm thk x 1.2 x 2.4			 900.00  60	pcs	Marine Plywood, 5mm thk x 1.2 x 2.4			 450.00  30	pcs	Good Lumber, 2" x 2" x 8'			 110.00  20	pcs	Good Lumber, 2" x 6" x 8'			 320.00  10	</t>
  </si>
  <si>
    <t xml:space="preserve"> INVITATION TO BID FOR PROCUREMENT OF  INSTALLATION AND COMMISSIONING OF OPERATING TABLE 1.	The Quirino Memorial Medical Center, through theSAA #2020-03-0379- HFEP CAPITAL OUTLAYintends to apply the sum of ELEVEN MILLION PESOS ONLY (PHP11,000,000.00) being</t>
  </si>
  <si>
    <t xml:space="preserve"> 350	pcs	9W LED Bulb, 6500K, 806Lm, Daylight, E27, 1500Hrs.			 110.00  225	pcs	18W LED Flourescent Tube (T8) with LED starter			 200.00  25	pcs	6W Square recessed type slim LED panel			 400.00  25	pcs	6W Circular recessed type slim LED panel			 400.00  75	</t>
  </si>
  <si>
    <t xml:space="preserve"> 1. The GAMU WATER DISTRICT, through the Loan from the Local Water Utilities Administration (LWUA) intends to apply the sum of Six Million Nine Hundred Thirty Three Thousand One Hundred Pesos (Php 6,933,100.00) being the Approved Budget for the Contract (A</t>
  </si>
  <si>
    <t xml:space="preserve"> INVITATION TO BID FOR                                    PROCUREMENT OF VEHICLE RENTAL SERVICES WITH                               PROVISION FOR DRIVER FOR THE PERIOD  OF 5 MONTHS 1.	The Philippine Rice Research Institute, Isabela Branch, through the Corp</t>
  </si>
  <si>
    <t xml:space="preserve"> INVITATION TO BID IB 2020-077 The Philippine Children’s Medical Center, through GAA intends to apply the sum of One Million Two Hundred Thousand Pesos (Php 1,200,000.00) being the Approved Budget for the Contract (ABC) to payment under the contract for th</t>
  </si>
  <si>
    <t xml:space="preserve"> 1000	caps	Mefenamic  Acid, 500mg			 33.50  100	rolls	Elastic Bandage, 2 x 6			 25.00  100	rolls	Elastic Bandage, 4 x 5			 35.00  500	sachet 	Acetylcysteine			 45.00  200	pcs	Lactobacillus Reuteri DSM 17938			 35.00  1000	tabs	Hyoscine - N - Butylbromide		</t>
  </si>
  <si>
    <t xml:space="preserve"> Republic of the Philippines Province of Albay Municipality of Rapu-Rapu Barangay Bogtong INVITATION TO BID FOR THE INSTALLATION OF SOLAR POWERED STREET LIGHTS 1.	The Barangay Local Government Unit of Bogtong, Rapu-Rapu, Albay, through the Budget for the C</t>
  </si>
  <si>
    <t xml:space="preserve"> Republic of the Philippines Province of Albay Municipality of Rapu-Rapu Barangay Bogtong INVITATION TO BID FOR THE 20% EDF CY 2020 PROJECTS 1.	The Barangay Local Government Unit of Bogtong, Rapu-Rapu, Albay, through the Budget for the Contract Approved by</t>
  </si>
  <si>
    <t xml:space="preserve"> 1	unit	Clevenger trap (for oils lighter than water), Teflon valve, BorosilicateGlass, at least 5mL capacity, Graduated, 24/40 joints			 10,000.00  1	unit	Reversed Phase Analytical Coluimn C18 3um, size 4.6X250mm, Base Material:  High Purity ES Silica Gel,</t>
  </si>
  <si>
    <t xml:space="preserve"> The Central Philippines State University intends to apply the sum of Twenty-five Million Nine Hundred Thirty-five Thousand Pesos only (PhP25,935,000.00) being the Approved Budget for the Contract (ABC) to payments under the contract for the Supply and Del</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</si>
  <si>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</si>
  <si>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1.	Contract ID: 20EI0181 Contract Name: Construction of Evacuation Center, Barangay Poblacion,  Location: Bulalacao, Oriental Mindoro Brief Description: Construction of 1 unit Building.  Approved Budget for the Contract (ABC): PhP 34,740,000.00 Source of </t>
  </si>
  <si>
    <t xml:space="preserve"> 1	unit	PHOTOCOPIER			 82,000.00  		COPIER SPECS:			 		Printing and Copying Speed:   A4 ukp to 22 ppm, A3 up to 8 ppm			 		Printing System:   Laser			 		Paper Feeder:   Max. 1,350 sheets			 		Multi-bypass:   100 sheets			 		Power:   220-240V, 50/60Hz			 		</t>
  </si>
  <si>
    <t xml:space="preserve"> Improvement of Municipal Cemetery (Road Concreting), Janiuay Municipal Cemetery, Janiuay, Iloilo Item No.	DESCRIPTION	Qty.	Unit A.1.1(3)	Construction of Field Office &amp; Bunkhouse 	1	L.s. B.5	Project Billboard/Signboard (COA)	2	Each SPL-1	Mobilization/Demob</t>
  </si>
  <si>
    <t xml:space="preserve"> Please see the attached Invitation to Bid (ITB).</t>
  </si>
  <si>
    <t xml:space="preserve"> Republic of the Philippines Province of Albay Municipality of Rapu-Rapu Barangay Linao INVITATION TO BID FOR THE CONSTRUCTION OF 3 UNITS JETMATIC PUMP 1.	The Barangay Local Government Unit of Linao, Rapu-Rapu, Albay, through the Budget for the Contract Ap</t>
  </si>
  <si>
    <t xml:space="preserve"> Republic of the Philippines Province of Albay Municipality of Rapu-Rapu Barangay Manila INVITATION TO BID FOR THE REHABILITATION OF SEAWALL 1.	The Barangay Local Government Unit of Manila, Rapu-Rapu, Albay, through the Budget of the contract approved by t</t>
  </si>
  <si>
    <t xml:space="preserve"> 1	unit	Desktop Computer			 20,000.00  		System Unit Only			 		Quad Core or equivalent CPU mainboard with onboard graphics 4gb RAM to 8gb RAM (maximum capacity applicable within given budget) 1 TB hard drive tower casing			 1	unit	Notebook/Laptop Computer </t>
  </si>
  <si>
    <t xml:space="preserve"> 1	bot	Hexane, anyhydrous, 95% 2L			 21,021.92  1	bot	Quercetin, ≥95% (HPLC) solid, Q4951-10g			 6,881.84  1	bot	Folin &amp; Ciocalteu's phenol reagent, F9252-500ML, 500 mL bottle			 21,661.10  1	bot	Galic acid monohydrates, ACS reagent, ≥98.0%, 100 grams, 398</t>
  </si>
  <si>
    <t xml:space="preserve"> Republic of the Philippines Province of Albay Municipality of Rapu-Rapu Barangay Linao INVITATION TO BID FOR THE 20% EDF CY 2020 PROJECTS 1.	The Barangay Local Government Unit of Linao, Rapu-Rapu, Albay, through the Budget for the Contract Approved by the</t>
  </si>
  <si>
    <t xml:space="preserve"> gasoline supplies for lawn mower</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</si>
  <si>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</si>
  <si>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REPUBLIC OF THE PHILIPPINES CITY GOVERNMENT OF OROQUIETA BIDS AND AWARD COMMITTEE City Hall Main, Oroquieta City            		 June  29, 2020                                                                                                                  </t>
  </si>
  <si>
    <t xml:space="preserve"> SUPPLY AND DELIVERY OF MATERIALS AND SUPPLIES FOR THE  IMPROVEMENT OF OVERLAND TERMINAL (TRICYCLE PARKING AREA) 1.	The MUNICIPALITY OF BAYABAS, through the 20% Development  Fund 2020 intends to apply the sum of One Hundred Eighty Six Thousand Seven Hundre</t>
  </si>
  <si>
    <t xml:space="preserve"> Republic of the Philippines					 Province of Bukidnon					 Municipality of Lantapan					 					 INVITATION TO BID FOR THE CONSTRUCTION OF POTABLE WATER					 SYSTEM (PHASE 2) AT BASAC &amp; KIBANGAY (1ST BID)					 					 1	The Local Government Unit of Lantapan t</t>
  </si>
  <si>
    <t xml:space="preserve"> INVITATION TO BID SUPPLY AND DELIVERY OF GARBAGE BINS FOR WASTE SEGREGATION / DISPOSAL PROGRAM – 2ND BIDDING 1.	The Local Government Unit of Cabadbaran City through the GENERAL FUND intends to apply the sum of ONE MILLION PESOS ONLY (P 1,000,000.00) being</t>
  </si>
  <si>
    <t xml:space="preserve"> Occupational Safety and Health Program Removal of cables and steel mattings Installation of new cables Fabrication/Installation of new steel mattings Concrete Works</t>
  </si>
  <si>
    <t xml:space="preserve"> 10	pcs	Universal Diamon Cutting Disc, 4-1/2" Ø			 210.00  5	pcs	Cutting Disc for steel, 4-1/2" Ø			 80.00  15	pcs	Grinding stone, 4-1/2" Ø x 1/4" thk.			 220.00  3	pcs	Welding Helmet			 350.00  6	pcs	Welding electrode holder, 300A			 280.00  3	pairs	Weldi</t>
  </si>
  <si>
    <t xml:space="preserve"> Estimated Measurement 3 meters by 4 meters Floor Area 3 doors 2 by 4 hallway Work  Inclusions: 1. Pluming and Sanitary Works 2. Tile Works 3. Painting Works 4. Installation of Faucet</t>
  </si>
  <si>
    <t xml:space="preserve"> 66	cover	Dinner- pork sinigang, vegetables, rice and dessert	 ₱250.00  66	pax	Lodging	 ₱450.00  132	cover	Breakfast- longganisa, scrambled egg, fried rice, banana, brewed coffee	 ₱150.00  132	cover	AM Snacks- sanwich &amp; buko juice	 ₱100.00  132	cover	Lunch</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</si>
  <si>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</si>
  <si>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Reproduction of Test Papers 1st &amp; 2nd Quarter 2020 of VES</t>
  </si>
  <si>
    <t xml:space="preserve"> The Philippine Nuclear Research Institute (PNRI), through the Bids and Awards Committee (BAC), invites interested bidders to bid for hereunder project: Name of Project: Procurement of One (1) Lot Generator Set and Housing System Location of the Project	PN</t>
  </si>
  <si>
    <t xml:space="preserve"> Materials for Construction of Pathway with Lateral Drainage at Purok 6 Phase 3</t>
  </si>
  <si>
    <t xml:space="preserve"> INVITATION TO BID FOR PROCUREMENT OF  HIGH DEFINITION ENDOSCOPY SYSTEM 1.	The Quirino Memorial Medical Center, through the SAA #2020-03-0379- HFEP CAPITAL OUTLAY intends to apply the sum of TWENTY MILLION PESOSONLY (PHP20,000,000.00) being the Approved Bu</t>
  </si>
  <si>
    <t xml:space="preserve"> INVITATION TO BID FOR Procurement and Delivery of ICT and Office Equipment 1.	The Iloilo State College of Fisheries-San Enrique Campus, through the Corporate Budget for the Contract Approved by the Governing Boards 2020 intends to apply the sum of ONE MIL</t>
  </si>
  <si>
    <t xml:space="preserve"> NNP 20-012 – Procurement of Consultancy Services (Individual as Digital Artist/Illustrator) for Illustration Inspired by Stock Photos in the Diversion Toolkit. NOTICE FOR NEGOTIATED PROCUREMENT (Small Value Procurement) PROCUREMENT OF CONSULTANCY SERVICES</t>
  </si>
  <si>
    <t xml:space="preserve"> Republic of the Philippines Province of South Cotabato BIDS AND AWARDS COMMITTEE Capitol Compound Alunan Avenue, Koronadal City Tel. Fax No.: (083) 228-9951/228-8570 RE-INVITATION TO BID FOR 1 LOT JOB ORDER, DISASSEMBLY, ASSEMBLY &amp; COMMISSIONING OF EX 04 </t>
  </si>
  <si>
    <t xml:space="preserve"> ITEM OF WORKS TO BE DONE INCLUDES: -Site Preparation (leveling, excavation) -Reinforcing Steel Works -Formworks -Reinforced Concrete Canal -Structural Concrete (Parapet wall included) -Grouted Riprap -Concrete Shoulder</t>
  </si>
  <si>
    <t xml:space="preserve"> Materials for Rehabilitation of Pathways with Drainage at Ilocandia Purok 5</t>
  </si>
  <si>
    <t xml:space="preserve"> Republic of the Philippines Province of South Cotabato BIDS AND AWARDS COMMITTEE Capitol Compound Alunan Avenue, Koronadal City Tel. Fax No.: (083) 228-9951/228-8570 RE-INVITATION TO BID FOR THE SUPPLY AND DELIVERY OF 141 PACKS COFFEE, 3 IN 1 COFFEE MIX, </t>
  </si>
  <si>
    <t xml:space="preserve"> Proposed Replacement of Roof and Gutter of Building – B 1.	The Philippine State College of Aeronautics, through the Corporate Budget for the contract approved by governing Boards, intends to apply the sum of Two Million Five Hundred Thousand Pesos (PhP 2,</t>
  </si>
  <si>
    <t xml:space="preserve"> 1. 2 pcs. stainless foot-operated portable sinks/wash station (double) 2. 6 pcs. disinfectant mat with anti-slip tray 3. 6 pcs. stainless foot pedal alcohol sanitizer holder 4. 1 lot garden water hose, 1/2 size, 150 meters 5. 50 pcs. trash bins, plastic s</t>
  </si>
  <si>
    <t xml:space="preserve"> 1.	The Municipal Government of Hagonoy, Bulacan, through the General Fund intends to apply the sum of Php15,000,000.00 being the Approved Budget for the Contract (ABC) to payments under the contract for Local Road Opening: Construction of Sto. Niño – San </t>
  </si>
  <si>
    <t xml:space="preserve"> Fix Glass; Glass Door; Sliding Door; Window Glass; Aircon</t>
  </si>
  <si>
    <t xml:space="preserve"> OPENING OF BIDS IN DSWD FO IX ZAMBOANGA CITY, DELIVERY IN HOME FOR WOMAN ZC PROCUREMENT FOR THE FF.:			 			 1 LOT GROCERY ITEMS/FOOD SUPPLIES			 			 50 packs All Purpose Cream 250ml			 50 packs Baking powder 100g			 10 cases Beef loaf 250g			 50 packs bih</t>
  </si>
  <si>
    <t xml:space="preserve"> Module Reproduction 2020</t>
  </si>
  <si>
    <t xml:space="preserve"> Note: Please download the attached Request for Quotation which also the Terms of Reference, Bill of Quanties, Drawings/Plans and sample forms from the associated components found in this notice. Sir/Madam: Please  quote  your  lowest  price,  inclusive  o</t>
  </si>
  <si>
    <t xml:space="preserve"> A. PROJECT DESCRIPTION This Project requires the procurement of a lease of real property that will be used as office space of the DBP Leasing Corporation (DBP-LC).   DBP-LC as the Procuring Entity shall be utilizing “Lease of Real Property and Venue” as t</t>
  </si>
  <si>
    <t xml:space="preserve"> Materials for Concreting of Road at Purok 4</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</si>
  <si>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</si>
  <si>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JOSE B. LINGAD MEMORIAL REGIONAL HOSPITAL City of San Fernando, Pampanga Tel. No. (045) 961-3921 Date: June 30, 2020 No. 2020 – 06 - 200-S REQUEST FOR QUOTATION (Name of Agency) (Address) Sir/Madam: Please quote your lowest price on the item/s listed belo</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</si>
  <si>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</si>
  <si>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Procurement of Various Medical Supplies/Response Items for COVID-19</t>
  </si>
  <si>
    <t xml:space="preserve"> Procurement of Semi-Expandable Equipment for modular Learning</t>
  </si>
  <si>
    <t xml:space="preserve"> 1.)	  1 	 - Unit 	 - Motor Vehicle (Passenger Van) 			Engine: 2.80 Diesel Manual Transmission, 4 cylinders 			Displacement: 2.755cc 			Maximum Output: 176/3,400 			Fuel Tank Capacity: 70L 			Emission Standard: EURO 4 			Tires: 235/65 R16 			Seating Capaci</t>
  </si>
  <si>
    <t xml:space="preserve"> 1	bd. Ft	SCAFFOLDING AND FORM WORKS	 		Materials	 	pcs	1/4" Marine Plywood	       	pcs	1/2" Marine Plywood	  	bd.ft	Assorted Good Lumber	  			 2		EMBANKMENT	 		Materials	 	cu.m	Filling Materials	  			 3		MASONRY WORKS	 		Materials	 	pcs	150mm CHB	  	bags	</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</si>
  <si>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</si>
  <si>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Invitation to Bid No. PB2020-01 Procurement of Security Services (5 Guards) 1.	The West Visayas State University-Lambunao Campus, through its Income (F164 2020)  intends to apply the sum of TWO HUNDRED EIGHTY EIGHT THOUSAND NINE HUNDRED SIXTEEN PESOS AND </t>
  </si>
  <si>
    <t xml:space="preserve"> The SANGGUNIANG KABATAAN of Barangay San Gabriel Council, through the approved budget for the year 2020, intends to apply the sum of P 220,504.80 being the approved budget (as SK Funds ) for the contract to payments under the contract for the ADDITIONAL S</t>
  </si>
  <si>
    <t xml:space="preserve"> INVITATION TO BID: 1. Project Title: Construction of Academic and Office Building Phase I,  PUP  Rizal  Campus,  S.H.  Loyola  Street,  Sampaloc,  Manila  (Using  a  Design  and Build  Scheme) 2. Approved Budget for the Contract: Php 69,682,190.00 3. Pre-</t>
  </si>
  <si>
    <t xml:space="preserve"> Procurement of CONSTRUCTION SUPPLIES description* Please quote your lowest price on the items /package listed below, subject to the General Conditions starting the shortest possible time of delivery and submit your quotation duly signed by your representa</t>
  </si>
  <si>
    <t xml:space="preserve"> ITEM 200 (PALSABANGON SOURCE)</t>
  </si>
  <si>
    <t xml:space="preserve"> REPUBLIC OF THE PHILIPPINES CALUMPIT WATER DISTRICT BIDS AND AWARDS COMMITTEE EOD Office., CWD Bldg., M. Serrano St.,Corazon, Calumpit, Bulacan Tel. Nos. 044- 913 0079/ Telefax: 202 5125 INVITATION TO BID FOR THE SUPPLY AND DELIVERY OF VARIOUS CONSTRUCTIO</t>
  </si>
  <si>
    <t xml:space="preserve"> 662 pcs 600mmx600mm granite tiles 17 lngths tile trim (stainless) 10 leths stair nosing (stainles) 16 bags tile grout 145 bags portland cement 12 bags adhesive cement 12 cum river washed sand 1 mtr sand sieve screen 1 pcs 4"0 diamont tile cutting disc</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</si>
  <si>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</si>
  <si>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Republic of the Philippines Province of Surigao del Sur MUNICIPALITY OF BAYABAS INVITATION TO BID FOR CONSTRUCTION OF RIVER WALL 1.	The Local Government of Bayabas, through its Local Government Support Fund-Financial Assistance (LGSF-FA) 2019 intends to a</t>
  </si>
  <si>
    <t xml:space="preserve"> Solar Power for Public Market  1.	The Local Government Unit of Manticao intends to apply the sum of P 520,000 being the Approved Budget for the Contract (ABC) to payments under the contract. Bids received in excess of the ABC shall be automatically reject</t>
  </si>
  <si>
    <t xml:space="preserve"> 1.	The BUREAU OF JAIL MANAGEMENT AND PENOLOGY, through the GENERAL APPROPRIATIONS ACT FY 2020 intends to apply the sum of   being the Approved Budget for the Contract (ABC) to payments under the contract for each lot/item. Bids received in excess of the A</t>
  </si>
  <si>
    <t xml:space="preserve"> 1.)	1 - unit - LAPTOP COMPUTER 	INCLUSIONS:  	CPU: Intel Core i7-8550U 	RAM: 8GB DDR4 	 	Storage: 256GB SSD 	Screen: 15.6" HD Comfy view LCD 	Graphics: 2GB NVIDIA GeForce MX130 	OS: Windows 10 Pro 	 	 2	1 - unit - 1050 UPV  UPS</t>
  </si>
  <si>
    <t xml:space="preserve"> JOSE B. LINGAD MEMORIAL REGIONAL HOSPITAL City of San Fernando, Pampanga Tel. No. (045) 961-3921 Date: June 30, 2020 No. 2020 – 06 - 204-S REQUEST FOR QUOTATION (Name of Agency) (Address) Sir/Madam: Please quote your lowest price on the item/s listed belo</t>
  </si>
  <si>
    <t xml:space="preserve"> Procurement of Various Supplies/Medical supplies in Response to COVID19</t>
  </si>
  <si>
    <t xml:space="preserve"> (see bidding documents and other supporting documents in the associated component for further project details)</t>
  </si>
  <si>
    <t xml:space="preserve"> JOSE B. LINGAD MEMORIAL REGIONAL HOSPITAL City of San Fernando, Pampanga Tel. No. (045) 961-3921 Date: June 30, 2020 No. 2020 – 06 - 203-S REQUEST FOR QUOTATION (Name of Agency) (Address) Sir/Madam: Please quote your lowest price on the item/s listed belo</t>
  </si>
  <si>
    <t xml:space="preserve"> Procurement office supplies for modular Learning</t>
  </si>
  <si>
    <t xml:space="preserve"> JOSE B. LINGAD MEMORIAL REGIONAL HOSPITAL City of San Fernando, Pampanga Tel. No. (045) 961-3921 Date: June 30, 2020 No. 2020 – 06 - 202-S REQUEST FOR QUOTATION (Name of Agency) (Address) Sir/Madam: Please quote your lowest price on the item/s listed belo</t>
  </si>
  <si>
    <t xml:space="preserve"> INVITATION TO BID: 1. Project Title: Completion  of  Multi-Purpose  Building and  Sports  Development Facility, Phase  3,  Mabini  Campus,  Sta.  Mesa,  Manila 2. Approved Budget for the Contract: Php 18,998,224.54 3. Pre-bid Conference: on July 9, 2020, </t>
  </si>
  <si>
    <t xml:space="preserve"> Occuptional Safety and Health Program Roadway Excavation</t>
  </si>
  <si>
    <t xml:space="preserve"> Republic of the Philippines Province of Batangas MUNICIPALITY OF ALITAGTAG INVITATION TO BID FOR PURCHASE OF LABORATORY AND RADIOLOGIC SUPPLIES FOR THE USE OF RURAL HEALTH UNIT AT ALITAGTAG, BATANGAS 	The Municipal Government of Alitagtag through General </t>
  </si>
  <si>
    <t xml:space="preserve"> Stone Masonry</t>
  </si>
  <si>
    <t xml:space="preserve"> Invitation to Bid for the for Construction of Demo Farm Training Center  1.	The Local Government Unit of Manticao intends to apply the sum of P 721,956	being the Approved Budget for the Contract (ABC) to payments under the contract. Bids received in exces</t>
  </si>
  <si>
    <t xml:space="preserve"> Local Government Unit of Magsaysay  2020-06-0006  Procurement of Civil Works  Magsaysay, Lanao del Norte Standard Form Number: SF GOOD – 05 Revised on July 28, 2004 INVITATION TO APPLY FOR ELIGIBILITY AND TO BID The Local Government Unit of Magsaysay, thr</t>
  </si>
  <si>
    <t xml:space="preserve"> Please see attached file for the Philippine Bidding Documents</t>
  </si>
  <si>
    <t xml:space="preserve"> Name of the Procuring Entity 					Project Reference No.                              				 					      Name of the Project:  Purchase of Various Materials for the Maintenance of Waterworks System				 									 				              Location of the Project :Looc</t>
  </si>
  <si>
    <t xml:space="preserve"> Local Government Unit of Magsaysay  2020-06-0005  Procurement of Civil Works  Magsaysay, Lanao del Norte Standard Form Number: SF GOOD – 05 Revised on July 28, 2004 INVITATION TO APPLY FOR ELIGIBILITY AND TO BID The Local Government Unit of Magsaysay, thr</t>
  </si>
  <si>
    <t xml:space="preserve"> 1  pcs  210x90 swing Door 2  pcs  130 x 130 sliding window 1 pcs 90 x 100 sliding window 32  bags cement 28 pcs RSB 9mm 126 pcs  60 x 60 tiles 5   pcs   Tiles Adhessive 5  kls  Tie Wire 3  kls  Concrete Nail 6 kls CWN #3 3  kls  CWN #2 300  bd.ft  2x2x10 </t>
  </si>
  <si>
    <t xml:space="preserve"> Invitation to Bid for the Improvement of Multipurpose Building 1.	The Local Government Unit of Manticao intends to apply the sum of P 209,671	being the Approved Budget for the Contract (ABC) to payments under the contract. Bids received in excess of the A</t>
  </si>
  <si>
    <t xml:space="preserve"> National Power Corporation INVITATION TO BID PUBLIC BIDDING 2020-0145 1.	The NATIONAL POWER CORPORATION (NPC), through       its        approved       Corporate Budget of CY 2020 intends to apply   the   sum   of (Please see schedule below) being the Appr</t>
  </si>
  <si>
    <t xml:space="preserve"> INVITATION TO BID FOR THE PROCUREMENT OF SCIENCE LABORATORY FURNITURE AND FIXTURES IN THE ADVANCED SCIENCE AND TECHNOLOGY BUILDING OF PSHS CALABARZON REGION CAMPUS/GOODS-2020-03 1.	The Philippine Science High School-CALABARZON Region Campus (PSHS-CALABARZ</t>
  </si>
  <si>
    <t xml:space="preserve"> Local Government Unit of Magsaysay  2020-06-0007  Procurement of Civil Works  Magsaysay, Lanao del Norte Standard Form Number: SF GOOD – 05 Revised on July 28, 2004 INVITATION TO APPLY FOR ELIGIBILITY AND TO BID The Local Government Unit of Magsaysay, thr</t>
  </si>
  <si>
    <t xml:space="preserve"> The DPWH – Bulacan First District Engineering Office, through its Bids and Awards Committee (BAC), invites contractors to submit bids for the following Contract: Contract ID: 20CC0257 Contract Name: Construction of two storey four classroom – Borol 2nd El</t>
  </si>
  <si>
    <t xml:space="preserve"> Republic of the Philippines PROVINCE OF QUIRINO Cabarroguis -oOo- BIDS AND AWARDS COMMITTEE INVITATION TO BID FOR  (Re-advertised) Improvement of Grandstands Contract No. PB-CW-2020-014 							June 30, 2020 1.	The Bids and Awards Committee (BAC) of the Pr</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</si>
  <si>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</si>
  <si>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Supply and Delivery of Office Supplies for City Mayor's Office</t>
  </si>
  <si>
    <t xml:space="preserve"> Portland Cement Concrete Pavement Stone Masonry</t>
  </si>
  <si>
    <t xml:space="preserve"> INVITATION TO BID FOR  Supply and Delivery of Laptops for Use at  Kolehiyo ng Lungsod ng Lipa  1.	The City Government of Lipa, through the Trust Fund (TF) of 2020 intends to apply the sum of   One Million Six Hundred Eighty-Eight Thousand Four Hundred Pes</t>
  </si>
  <si>
    <t xml:space="preserve"> This project is dealing of Brgy. San Antonio, Lopez, Quezon</t>
  </si>
  <si>
    <t xml:space="preserve"> Republic of the Philippines  Province of Cotabato Municipality of Arakan OFFICE OF THE BIDS &amp; AWARD COMMITTEE Invitation to Bid for Construction Of 1-Unit Tribal Hall 1.	The Barangay Government of Katipunan, through the Trust Fund intends to apply the sum</t>
  </si>
  <si>
    <t xml:space="preserve"> Invitation to Bid for Paniangan Road Concreting at Purok 5 1.	The Local Government Unit of Manticao intends to apply the sum of P 157,885	being the Approved Budget for the Contract (ABC) to payments under the contract. Bids received in excess of the ABC s</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</si>
  <si>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</si>
  <si>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(see bidding documents and other supporting papers in the associated component for further details)</t>
  </si>
  <si>
    <t xml:space="preserve"> Invitation to Bid for Road Concreting at Purok 4, Pagawan 1.	The Local Government Unit of Manticao intends to apply the sum of P 118,617	being the Approved Budget for the Contract (ABC) to payments under the contract. Bids received in excess of the ABC sh</t>
  </si>
  <si>
    <t xml:space="preserve"> INVITATION TO BID FOR THE PURCHASE OF COMPUTERS AND COMPUTER PERIPHERALS/GOODS-2020-04 1.	The Philippine Science High School - CALABARZON Region Campus (PSHS-CALABARZONRC), through the General Appropriations Act of 2020 intends to apply the sum of Two Mil</t>
  </si>
  <si>
    <t xml:space="preserve"> CONCRETING OF ROAD @ BLK. 12 EXTENSION</t>
  </si>
  <si>
    <t xml:space="preserve"> 30 JUNE 2020 INVITATION TO BID FOR THE SUPPLY AND DELIVERY OF OFFICE, JANITORIAL AND ELECTRICAL SUPPLIES AND DEVICES  FOR VARIOUS OFFICES OF THE CITY GOVERNMENT (@CALOOCAN CITY HALL, 8TH ST. COR. 8TH AVE. GRACE PARK, CALOOCAN CITY) 	 	 1.	The City of Calo</t>
  </si>
  <si>
    <t xml:space="preserve"> Invitation to Bid for Road Concreting at Bagares Street  1.	The Local Government Unit of Manticao intends to apply the sum of P 333,265.00	being the Approved Budget for the Contract (ABC) to payments under the contract. Bids received in excess of the ABC </t>
  </si>
  <si>
    <t xml:space="preserve"> INVITATION TO BID FOR  Supply and Delivery of Android Tablets for Use at  Kolehiyo ng Lungsod ng Lipa  1.	The City Government of Lipa, through the Trust Fund (TF) of Kolehiyo ng Lungsod ng Lipa and General Fund (GF) of 2020 intends to apply the sum of For</t>
  </si>
  <si>
    <t xml:space="preserve"> Structure Excavation  Structural Concrete Reinforcing Steel Formworks &amp; Falseworks  100mm CHB Prepainted Metal Sheets Painting Works (Metal Painting) Metal Structures</t>
  </si>
  <si>
    <t xml:space="preserve"> Invitation to Bid for Construction of Drainage Canal, Poblacion 1.	The Local Government Unit of Manticao intends to apply the sum of P 193,271.00	being the Approved Budget for the Contract (ABC) to payments under the contract. Bids received in excess of t</t>
  </si>
  <si>
    <t xml:space="preserve"> Invitation to Bid for Road Concreting at Purok 2, Patag 1.	The Local Government Unit of Manticao intends to apply the sum of P 1,508,601.00 being the Approved Budget for the Contract (ABC) to payments under the contract. Bids received in excess of the ABC</t>
  </si>
  <si>
    <t xml:space="preserve"> 30 JUNE 2020 INVITATION TO BID FOR THE SUPPLY AND DELIVERY OF OFFICE, JANITORIAL AND ELECTRICAL SUPPLIES AND DEVICES  FOR CALOOCAN CITY MEDICAL CENTER (@A.MABINI ST., CALOOCAN CITY) 	 	 1.	The City of Caloocan, through the General Fund of the 2020  Annual</t>
  </si>
  <si>
    <t xml:space="preserve"> These bags will be given for 2,600 learners of La Huerta Elementary School. These will be used for delivery and retrieval of all modules for learners for SY 2020-2021</t>
  </si>
  <si>
    <t xml:space="preserve"> 1.) 	 1	  - unit	 - ASPIRE TC-866 DESKTOP COMPUTER 			INCLUSIONS:  			CPU: Intel Core i5-9400                          RAM: 8GB DDR4                         Storage: 1TB+128GB SSD                          DVD Writer                         Monitor: 24" LE</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</si>
  <si>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</si>
  <si>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INVITATION TO BID FOR  Provision of One (1) Year Subscription of Active Cloud-Based Learning Management System for Use at Kolehiyo ng Lungsod ng Lipa  1.	The City Government of Lipa, through the Trust Fund (TF) 2020 intends to apply the sum of Five Millio</t>
  </si>
  <si>
    <t xml:space="preserve"> 1.	The Local Government Unit of Manticao intends to apply the sum of P 1,200,000 being the Approved Budget for the Contract (ABC) to payments under the contract. Bids received in excess of the ABC shall be automatically rejected at the bid opening. 2.	The</t>
  </si>
  <si>
    <t xml:space="preserve"> RFQ FOR CONSTRUCTION MATERIALS ONLY</t>
  </si>
  <si>
    <t xml:space="preserve"> INVITATION TO BID The Local Government Unit of Gitagum through its Bids and Awards Committee (BAC), Invites Suppliers/Manufacturers/Distributors/Contractors to apply for eligibility and to bid for the hereunder project:  Name of Project                   </t>
  </si>
  <si>
    <t xml:space="preserve"> 1,000    CU.M.      ITEM 201 (SUPPLY AND DELIVERY ON SITE)</t>
  </si>
  <si>
    <t xml:space="preserve"> Invitation to Bid for Day Care Center at Poblacion  1.	The Local Government Unit of Manticao intends to apply the sum of P 762,116.00 	being the Approved Budget for the Contract (ABC) to payments under the contract. Bids received in excess of the ABC shal</t>
  </si>
  <si>
    <t xml:space="preserve"> Quantity		Unit Issue			Item Description 16			length			RSB 16mm 13			length			RSB 10mm 2			kilos				Tie Wire #6 25			bags				Cement 1			cubic				Sand (Washed) 1			cubic				Gravel (Washed) 38			pieces			Lumber 2 x 2 8 2			pieces			Marine Plywood 5mmx4x8 2 	</t>
  </si>
  <si>
    <t xml:space="preserve"> IMPROVEMENT OF STREETLIGHTS @ BLK. 11, BLK. 12 &amp; BLK. 9</t>
  </si>
  <si>
    <t xml:space="preserve"> Clearing &amp; Grubbing  Structure Excavation  Embankment (from borrow) Structural Concrete  Reinforcing Steel Formworks &amp; Falseworks  Fabricated Metal Roofing Accessories  Prepainted Metal Sheets  Cement Plaster Finish Painting Works (Metal Painting) Masonry</t>
  </si>
  <si>
    <t xml:space="preserve"> INVITATION TO BID The Local Government Unit of Gitagum through its Bids and Awards Committee (BAC), Invites Contractors registered with and classified by the Philippine Contractors Accreditation Board (PCAB) to bid for the hereunder Contract.  Name of Pro</t>
  </si>
  <si>
    <t xml:space="preserve"> The Sangguniang Barangay Mulawin, Tanza, Cavite through its Bids and Awards Committee (BAC), invites contractors registered with and classified by the Philippine Contractors Accreditation Board (PCAB) to apply for eligibility and if found eligible, to bid</t>
  </si>
  <si>
    <t xml:space="preserve"> Purchase of Breastfeeding Pills</t>
  </si>
  <si>
    <t xml:space="preserve"> Name of  Procuring Entity : DPWH Isabela 4th DEO				 Request for Quatation /(PR No.)	:	RFQ-2020-0013	/	2020-06-0039 Requested on				Date	:	June 29, 2020		 Standard Form/Title: REQUEST FOR QUOTATION		 Office/End-User		:Isabela 4th DEO		 								 Please qou</t>
  </si>
  <si>
    <t xml:space="preserve"> Name of  Procuring Entity : DPWH Isabela 4th DEO		 Request for Quatation /(PR No.)	:	RFQ-2020-0014	/	2020-06-0028 Requested on				Date		:June 29, 2020		 Standard Form/Title: REQUEST FOR QUOTATION			' Office/End-User		:Isabela 4th DEO		 								 	Please qo</t>
  </si>
  <si>
    <t xml:space="preserve"> Name of  Procuring Entity : DPWH Isabela 4th DEO				 Request for Quatation /(PR No.)	:	RFQ-2020-0011	/	2020-06-0031 Requested on	Date	:	June 29, 2020		 Standard Form/Title: REQUEST FOR QUOTATION				 Office/End-User		:Isabela 4th DEO		 								 Please qout</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</si>
  <si>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</si>
  <si>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Purchase of 3-in-1 printers</t>
  </si>
  <si>
    <t xml:space="preserve"> Name of  Procuring Entity : DPWH Isabela 4th DEO		 Request for Quatation /(PR No.)		: RFQ-2020-0015	/	2020-06-0038 Requested on				Date		:June 29, 2020		 Standard Form/Title: REQUEST FOR QUOTATION		 Office/End-User		:Planning &amp; Design Section		 								 P</t>
  </si>
  <si>
    <t xml:space="preserve"> Purchase of 3 units Risograph Machines GENERAL SPECIFICATIONS: 1. Up to B4 paper size accommodation 2. Maximum speed of 130 copies per minute 3. DPI image resolution 600 x 600 dpi 4. Enlargement/ reduction Feature 5. Built-in Computer Interface 6. Direct </t>
  </si>
  <si>
    <t xml:space="preserve"> RFQ FOR CONSTRUCTION MATERIALS</t>
  </si>
  <si>
    <t xml:space="preserve"> Purchase of contactless handwashing facility</t>
  </si>
  <si>
    <t xml:space="preserve"> For SHN-958 Toyota Hiu-acw 2   sets   Brake Pad 4   gals   Engine Oil 5   ltrs.   Coolant 4   ltrs.   Brake Fluid 4   pcs.   Oil Filter 4   pcs.    Air Filter 4   pcs.   Fuel Filter For SKS-237 Toyota Innova 4   pcs.   Wiper Blade 4   gals.   Engine Oil 2</t>
  </si>
  <si>
    <t xml:space="preserve"> Improvement of hand washing facility Qty.	Unit	Agency Specification	                           Bidders Specification 3	roll	Improvement of hand washing facility	    1"  pe pipe 25	pcs		                                                    2 reducer 1/3x1 9	</t>
  </si>
  <si>
    <t xml:space="preserve"> ITB / BOQ</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</si>
  <si>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</si>
  <si>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I. SITEWORKS A. EXCAVATION B. GRAVEL BED II. CONCRETE WORKS A. STRUCTURAL CONCRETE B. REINFORCING BARS III. SCAFFOLDING BARS IV. STEEL WORKS</t>
  </si>
  <si>
    <t xml:space="preserve"> Supplies to be used in modular learning for office supplies Unit	Bidders Specifications ream	Bondpaper ( Long) pcs	Ink (Black) pcs	Ink (Colored)</t>
  </si>
  <si>
    <t xml:space="preserve"> 1.	The Local Government Unit of Manticao intends to apply the sum of P 8, 548,249.78 being the Approved Budget for the Contract (ABC) to payments under the contract. Bids received in excess of the ABC shall be automatically rejected at the bid opening. 2.</t>
  </si>
  <si>
    <t xml:space="preserve"> Supplies to be used in modular learning for Printer QTY	Unit	Bidders Specifications 4	pcs	Printer</t>
  </si>
  <si>
    <t xml:space="preserve"> AS PER APPROVED REQUISITION</t>
  </si>
  <si>
    <t xml:space="preserve"> I. TILE WORKS</t>
  </si>
  <si>
    <t xml:space="preserve"> Name of  Procuring Entity : DPWH Isabela 4th DEO			 Request for Quatation /(PR No.)	:	RFQ-2020-0016	/	2020-06-0040 Requested on				Date	:	June 29, 2020		 Standard Form/Title: REQUEST FOR QUOTATION	 Office/End-User	:	ISABELA 4TH DEO		 								 Please qoute</t>
  </si>
  <si>
    <t xml:space="preserve"> INVITATION TO BID FOR Procurement of Various Surgical Sutures for CY 2020 IB NO: 2020-022 The Western Visayas Medical Center, throughInternally Generated Fund-Hospital Income/FY 2020 GAA, in the amount of Ten Million Six Hundred Twenty Seven Thousand One </t>
  </si>
  <si>
    <t xml:space="preserve"> Various Kitchen Appliances  6 UNI Coffeemaker  70 UNI Microwave Oven, Digital, at least 28 Liters capacity  2  UNI Refrigerator, personal  -In accordance with the Technical Specifications  ABC: Php 594,782.00  NOTE: Please sign all pages of the Technical </t>
  </si>
  <si>
    <t xml:space="preserve"> Installation &amp; Maintenance of Streetlights                       P 76, 276.13</t>
  </si>
  <si>
    <t xml:space="preserve"> CORRECTIVE MAINTENANCE SERVICE OF KOPPEL CEILING CASSETTE SPLITTYPE AIRCONDITIONING NON-INVERTER UNIT Model: KPC-241H1 1 LOT ABC: P33,000.00</t>
  </si>
  <si>
    <t xml:space="preserve"> Please see attached Request for Quotation and Terms and Conditions</t>
  </si>
  <si>
    <t xml:space="preserve"> PLEASE SEE ATTACHED INVITATION TO BID</t>
  </si>
  <si>
    <t xml:space="preserve"> PLEAS SEE ATTACHED INVITATION TO BID</t>
  </si>
  <si>
    <t xml:space="preserve"> Republic of the Philippines Province of Bukidnon DISTRICT OF TALAKAG 1 CACAON ELEMENTARY SCHOOL Cacaon, Talakag, Bukidnon INVITATION TO SUBMIT QUOTATION FOR THE PROCUREMENT OF GOODS RECOMMENDED FOR SMALL VALUE PROCUREMENT PURSUANT TO SECTION 53.9 OF THE R</t>
  </si>
  <si>
    <t xml:space="preserve"> INVITATION TO BID The municipality of Piagapo through the Bids and Awards Committee (BAC) invites accredited  suppliers for the items stated below: 1.  Project Reference No. :  2020-007- Supply and delivery of construction materials for the construction o</t>
  </si>
  <si>
    <t xml:space="preserve"> SHOPPING AS MODE OF PROCUREMENT FOR SCHOOL AND OFFICE SUPPLIES OF SAN ANDRES ES FOR THE  FIRST QUARTER OF THE CALENDAR YEAR 2020</t>
  </si>
  <si>
    <t xml:space="preserve"> Republic of the Philippines Bangsamoro Autonomous Region in Muslim Mindanao Provincial Government of Maguindanao BIDS AND AWARDS COMMITTEE INVITATION TO BID FOR CONSTRUCTION OF COVERED COURT’S STAGE – BRGY. GANASI 1. The Provincial Government of Maguindan</t>
  </si>
  <si>
    <t xml:space="preserve"> Republic of the Philippines Bangsamoro Autonomous Region in Muslim Mindanao Provincial Government of Maguindanao BIDS AND AWARDS COMMITTEE INVITATION TO BID FOR CONSTRUCTION OF COVERED COURT – TUKA ELEMENTARY SCHOOL 1. The Provincial Government of Maguind</t>
  </si>
  <si>
    <t xml:space="preserve"> The Local Government Unit of, through the  DRRM Fund 70% for Preparation &amp; Mitigation CY 2020 intends to apply the sum of One Million Eighty Nine Thousand Nine Hundred Fifty (Php 1,089,950.00)  pesos only being the Approved Budget for the Contract (ABC) t</t>
  </si>
  <si>
    <t xml:space="preserve"> Republic of the Philippines Bangsamoro Autonomous Region in Muslim Mindanao Provincial Government of Maguindanao BIDS AND AWARDS COMMITTEE INVITATION TO BID FOR CONSTRUCTION OF POTABLE WATER SYSTEM – TINUNGKASAN 1. The Provincial Government of Maguindanao</t>
  </si>
  <si>
    <t xml:space="preserve"> Bids and Awards Committee															 INVITATION TO BID/ REQUEST FOR QUOTATION															 															          The City Government of Pagadian, through its Bids and Awards Committee (BAC), invites suppliers/manufacturers/distributors to apply f</t>
  </si>
  <si>
    <t xml:space="preserve"> Republic of the Philippines CITY GOVERNMENT OF ANTIPOLO Antipolo City INVITATION TO BID For the Supply &amp; Delivery of Drugs &amp; Medicines, Fluids &amp; Electrolytes The City Government of Antipolo, through the General Fund intends to apply the sum of P 22,640,90</t>
  </si>
  <si>
    <t xml:space="preserve"> Purchase of  materials for rehabilitation of school multi-purpose hall</t>
  </si>
  <si>
    <t xml:space="preserve"> 30 JUNE 2020 INVITATION TO BID FOR THE SUPPLY AND DELIVERY OF OFFICE AND IT EQUIPMENT AND FURNITURE  FOR  VARIOUS OFFICES OF THE CITY GOVERNMENT 	 	 1.	The City of Caloocan, through the General Fund of the 2020  Annual City Budget approved under Sanggunia</t>
  </si>
  <si>
    <t xml:space="preserve"> Construction of health center</t>
  </si>
  <si>
    <t xml:space="preserve"> Republic of the Philippines PROVINCE OF QUIRINO Cabarroguis -oOo- BIDS AND AWARDS COMMITTEE INVITATION TO BID FOR  Electrification of Cattle Breeding Center Contract No. PB-CW-2020-025 							June 30, 2020 1.	The Bids and Awards Committee (BAC) of the Pro</t>
  </si>
  <si>
    <t xml:space="preserve"> Invitation to Bid for Concreting of Cemetery Road 1.	The Local Government Unit of Manticao intends to apply the sum of P 367,415	being the Approved Budget for the Contract (ABC) to payments under the contract. Bids received in excess of the ABC shall be a</t>
  </si>
  <si>
    <t xml:space="preserve"> Name of the Procuring Entity 					Project Reference No.                              				 					      Name of the Project:  Supply and Delivery of Aluminum Glass Sliding Door and Window to be used for the Repair of Feeder Port Terminal				 									 						</t>
  </si>
  <si>
    <t xml:space="preserve"> Invitation to Bid for the procurement of Water Meter  1.	The Local Government Unit of Manticao intends to apply the sum of P 110, 000 being the Approved Budget for the Contract (ABC) to payments under the contract. Bids received in excess of the ABC shall</t>
  </si>
  <si>
    <t xml:space="preserve"> Republic of the Philippines Province of Surigao del Sur MUNICIPALITY OF BAYABAS INVITATION TO BID FOR CONSTRUCTION OF RIVER WALL , 1.	The Local Government of Bayabas, through its Local Government Support Fund-Financial Assistance (LGSF-FA) 2019 intends to</t>
  </si>
  <si>
    <t xml:space="preserve"> 20 Bottle Ascorbic acid 100mg/55ml, 120ml Syrup 30 Box Ascorbic Acid 500mg Capsules 60 Box Ventolin nebules for inhalation  20 Bottle multivitamins Oral for children 10 Box Cefalexin 500mg capsule 10 Box Lagundi 300mg tablet Oral 10 Box Loratadine 10mg ta</t>
  </si>
  <si>
    <t xml:space="preserve"> The Zamboanga State College of Marine Sciences and Technology (ZSCMST), through its Bids and Awards Committee, is inviting PhilGeps registered suppliers to apply for eligibility and to submit bids for the items mentioned hereunder: B-038-2020  PROCUREMENT</t>
  </si>
  <si>
    <t xml:space="preserve"> The DPWH – Bulacan First District Engineering Office, through its Bids and Awards Committee (BAC), invites contractors to submit bids for the following Contract: Contract ID: 20CC0258 Contract Name: Construction of four storey twelve classroom – Mapulang </t>
  </si>
  <si>
    <t xml:space="preserve"> Republic of the Philippines 				 						City of Manila				 						BARANGAY 618, ZONE 61, DISTRICT VI				 						BIDS AND AWARDS COMMITTEE				 										 										June 29, 2020 										D A T E 						INVITATION TO BID 				 										 BARANGAY 618, ZONE 61, </t>
  </si>
  <si>
    <t xml:space="preserve"> Republic of the Philippines 				 						City of Manila				 						BARANGAY 867, ZONE 95, DISTRICT VI				 						BIDS AND AWARDS COMMITTEE				 										 										June 29, 2020 										D A T E 						INVITATION TO BID 				 										 BARANGAY 867, ZONE 95, </t>
  </si>
  <si>
    <t xml:space="preserve"> Republic of the Philippines 				 						City of Manila				 						BARANGAY 177, ZONE 16, DISTRICT II				 						BIDS AND AWARDS COMMITTEE				 										 										June 29, 2020 										D A T E 						INVITATION TO BID 				 										 BARANGAY 177, ZONE 16, </t>
  </si>
  <si>
    <t xml:space="preserve"> Republic of the Philippines 				 						City of Manila				 						BARANGAY 365, ZONE 37, DISTRICT III				 						BIDS AND AWARDS COMMITTEE				 										 										June 29, 2020 										D A T E 						INVITATION TO BID 				 										 BARANGAY 365, ZONE 37,</t>
  </si>
  <si>
    <t xml:space="preserve"> Republic of the Philippines 				 						City of Manila				 						BARANGAY 606, ZONE 60, DISTRICT VI				 						BIDS AND AWARDS COMMITTEE				 										 										June 29, 2020 										D A T E 						INVITATION TO BID 				 										 BARANGAY 606, ZONE 60, </t>
  </si>
  <si>
    <t xml:space="preserve"> CONSTRUCTION OF REST ROOMS Item No.	Description 	Unit	Quantity PART A 	GENERAL REQUIREMENTS		 a	Const.Safety and Health Program	Lot	 1.00  b	Project Billboard	Unit	 1.00  PART B 			 I	Excavation Works, Uncommon	cu.m.	 48.00  II	Gravel Bedding	cu.m.	 5.50 </t>
  </si>
  <si>
    <t xml:space="preserve"> I.			CONTRACT COST:		 1.0			DIRECT COST:	 	 1.1			EXCAVATION OF HOLES, ERECTION OF STEEL POLE &amp; RESTORATION OF EXCAVATED MATERIALS		29,000.00 1.2			SOLAR LAMP ACCESSORIES		697,148.00 2.0			INDIRECT COST:		 1.			OCM		18,153.70 2.			PROFIT		72,614.80 3.			T</t>
  </si>
  <si>
    <t xml:space="preserve"> REPUBLIC OF THE PHILIPPINES		 			          PROVINCE OF SIQUIJOR		 					 			        MUNICIPALITY OF SIQUIJOR		 			         REQUEST FOR QUOTATION		 					 			                                                          Date:  		 ______________________________		</t>
  </si>
  <si>
    <t xml:space="preserve"> Description:		 			Road Section Length:   68 L.m		 			Roadway Width:  6.0 L.m		 			Pavement Width: 5.0 L.m 		 			Surface type:  PCCP Item 311		 			Thickness: 0.15 m.		 			CONTRACT COST		 	LOT 	1	SPECIAL ITEM- GENERAL CONDITIONS		 	LOT 	1	A. Mobilization an</t>
  </si>
  <si>
    <t xml:space="preserve"> ROAD CONCRETING Item No.	Description 	Unit	Quantity PART A 	GENERAL REQUIREMENTS		 a	Const.Safety and Health Program	LS	 1.00  b	Project Billboard	Unit	 1.00  c	Mobilization/Demobilization	Lot	 1.00  PART B 			 I	Subgrade Preparation	sq.m.	 1,434.00  II	A</t>
  </si>
  <si>
    <t xml:space="preserve"> Republic of the Philippines Province of Pangasinan MUNICIPALITY OF POZORRUBIO -o0o- 					 INVITATION TO BID FOR  CONSTRUCTION OF ONE (1) BARREL BOX CULVERT  WITH SLOPE PROTECTION AT BARANGAY MANAOL,  POZORRUBIO, PANGASINAN 1.	The Municipality of Pozorrubi</t>
  </si>
  <si>
    <t xml:space="preserve"> Republic of the Philippines Province of Pangasinan MUNICIPALITY OF POZORRUBIO -o0o- 					 INVITATION TO BID FOR  CONSTRUCTION OF MULTI-PURPOSE HALL (PHASE II) AT BARANGAY CASANFERNANDOAN, POZORRUBIO, PANGASINAN 1.	The Municipality of Pozorrubio, through t</t>
  </si>
  <si>
    <t xml:space="preserve"> Please see attached copy of Request for Quotation</t>
  </si>
  <si>
    <t xml:space="preserve"> 1	lot	Improvement of Multi-Purpose Hall (Repair of MDRRM Office) 		Scope of Work: 		Structure Excavation 		Embankment 		Reinforced Concrete 		Reinforcing Steel 		Formworks and Scaffolds 		Carpentry &amp; Joinery Works 		Aluminum Glass Window 		Wooden Panel Do</t>
  </si>
  <si>
    <t xml:space="preserve"> Republic of the Philippines Province of Pangasinan MUNICIPALITY OF POZORRUBIO -o0o- 					 INVITATION TO BID FOR  CONSTRUCTION OF LINED CANAL AT PUROK II,  BARANGAY CABLONG, POZORRUBIO, PANGASINAN 1.	The Municipality of Pozorrubio, through the Local Fund i</t>
  </si>
  <si>
    <t xml:space="preserve"> Standard Form No.: SF-GOODS-               Republic of the Philippines          MUNICIPALITY OF ROSALES                  Province of Pangasinan INVITATION TO BID 	The Municipality of Rosales, through its Bids and Awards Committee (BAC), invites suppliers/</t>
  </si>
  <si>
    <t xml:space="preserve"> Republic of the Philippines Province of Cebu MUNICIPALITY OF BALAMBAN Balamban, Cebu Telefax: (032) 316 – 4960 OFFICE OF THE BIDS and AWARDS COMMITTEE INVITATION TO BID FOR MEDICAL SUPPLIES (1st – 3rd Quarter)  1.	The Municipality of Balamban, through the</t>
  </si>
  <si>
    <t xml:space="preserve"> Concreting of Barangay Road @ Brgy Planas, Porac, Pampanga Portland Cement 250 Bags Washed Gravel 28 CU.M Sand 25 CU.M Form Lumber 1 LOT 16 MM diam. RSB 10.50 pcs Asphalt Sealant 0.50 Drum</t>
  </si>
  <si>
    <t xml:space="preserve"> Floodlight, LED, 100 watts Assembly: - Floodlight, LED Type, 100 watts Lamp Assembly  - 100 watts, 240VAC, 60Hz - Protection Standard - IP65 - 8,000 Lumens or greater - Lifetime: 15,000 Hrs. or greater - Heavy Duty, Good Quality of Kn owned Brand - China </t>
  </si>
  <si>
    <t xml:space="preserve"> Republic of the Philippines Department of Health Western Visayas Center for Health Development  INVITATION TO BID FOR  Photography and Videography Services 				IB NO.2020-041 1.	The Department of Health- Western Visayas Center for Health Development, thro</t>
  </si>
  <si>
    <t xml:space="preserve"> Republic of the Philippines Department of Health Western Visayas Center for Health Development  INVITATION TO BID FOR  Rental of LED Wall and Audio System IB NO.2020-040 1.	The Department of Health- Western Visayas Center for Health Development, through t</t>
  </si>
  <si>
    <t xml:space="preserve"> Purchase of Laptops to be used by Porac Model Comm. High School 4 Units Laptop * i5 processor 1TB HDD w/ 25g SSD 15.6 LED Display w/ win10 OS 2GB Videocard GDDRS</t>
  </si>
  <si>
    <t xml:space="preserve"> Republic of the Philippines Province of Pangasinan MUNICIPALITY OF POZORRUBIO -o0o- 					 INVITATION TO BID FOR  ROAD CONCRETING AT BARANGAYS VILLEGAS &amp; BANTUGAN,  POZORRUBIO, PANGASINAN 1.	The Municipality of Pozorrubio, through the Local Fund intends to</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</si>
  <si>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</si>
  <si>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Cebu MUNICIPALITY OF BALAMBAN Balamban, Cebu Telefax: (032) 316 – 4960 OFFICE OF THE BIDS and AWARDS COMMITTEE INVITATION TO BID FOR MEDICAL EQUIPMENT (for Laboratory)  1.	The Municipality of Balamban, through the R</t>
  </si>
  <si>
    <t xml:space="preserve"> CONCRETING OF ROAD</t>
  </si>
  <si>
    <t xml:space="preserve"> Republic of the Philippines Province of Aklan Municipality of Ibajay Barangay Agbago INVITATION TO BID “PURCHASE OF MATERIALS &amp; SUPPLIES FOR THE REHABILITATION OF BARANGAY STREET LIGHTS AC – 2020-002 The BARANGAY COUNCIL OF AGBAGO, through the 20% Develop</t>
  </si>
  <si>
    <t xml:space="preserve"> ICT Products please refer to the Line-Item</t>
  </si>
  <si>
    <t xml:space="preserve"> Republic of the Philippines Bangsamoro Autonomous Region in Muslim Mindanao Provincial Government of Maguindanao BIDS AND AWARDS COMMITTEE INVITATION TO BID FOR CONSTRUCTION OF COVERED COURT - BRGY. KATIDTUAN 1. The Provincial Government of Maguindanao, t</t>
  </si>
  <si>
    <t xml:space="preserve"> Republic of the Philippines Province of Cebu MUNICIPALITY OF BALAMBAN Balamban, Cebu Telefax: (032) 316 – 4960 OFFICE OF THE BIDS and AWARDS COMMITTEE INVITATION TO BID FOR RABIES VACCINE (for Animal Bite Treatment Center)  1.	The Municipality of Balamban</t>
  </si>
  <si>
    <t xml:space="preserve"> PROJECT BILLBOARD                                                 1 LOT MOBILIZATION/DEMOBILIZATION                               1 LUMPSUM REINFORCING STEEL BAR DEFORMED                      522.50 KGS STRUCTURAL CONCERETE                                </t>
  </si>
  <si>
    <t xml:space="preserve"> Republic of the Philippines Department of Health Western Visayas Center for Health Development  INVITATION TO BID FOR  Purchase of Oil Proof Performance Sprayer IB NO.2020-051 1.	The Department of Health-Western Visayas Center for Health Development throu</t>
  </si>
  <si>
    <t xml:space="preserve"> 1. The Municipality of Laua-an, Antique intends to apply the sum of One Hundred Ninety Nine Thousand Nine Hundred Seventy One Pesos &amp; 24/100 Only (Php199,971.24) being the Approved Budget for the Contract (ABC) to payments under the contract Purchase of F</t>
  </si>
  <si>
    <t xml:space="preserve"> Republic of the Philippines Department of Health Western Visayas Center for Health Development  INVITATION TO BID FOR  Purchase of IT Supplies, Peripherals and Equipment IB NO.2020-042 1.	The Department of Health-Western Visayas Center for Health Developm</t>
  </si>
  <si>
    <t xml:space="preserve"> INVITATION TO QUOTE SUPPLY AND DELIVERY OF ONE (1) UNIT FORWARD TRUCK, ONE (1) UNIT CLOSED VAN AND ONE (1) UNIT REEFER VAN FOR USE IN THE IMPLEMENTATION OF CAMARINES NORTE PINEAPPLE TRADING AND PROCESSING PROJECT Solicitation No.:  PRDP-IR-R005-CAN-002-00</t>
  </si>
  <si>
    <t xml:space="preserve"> ITEM #	QUANTITY			ITEM &amp; DESCRIPTION					 									 1	30	boxes	Co-Amoxiclav 625mg tab, 100's						 2	20	boxes	Cefuroxime 500mg tab, 100's						 3	15	boxes	Cifrofloxacin 500mg caps, 100's						 4	5	boxes	Clindamycin 300mg tab, 100's						 5	5	boxes	Clarith</t>
  </si>
  <si>
    <t xml:space="preserve"> Republic of the Philippines Department of Health Western Visayas Center for Health Development  INVITATION TO BID FOR  Purchase of Bond Paper IB NO.2020-049 1.	The Department of Health-Western Visayas Center for Health Development through the GOP/Sub-Allo</t>
  </si>
  <si>
    <t xml:space="preserve"> ITEM #	QUANTITY			ITEM &amp; DESCRIPTION					 									 1	2500	pcs	Student Handbook						 			          Size : 8.5" x 5.5"						 			          Cover : Colored, Glossy						 			          Inside Pages : Black Print, Plain Paper						 			*****END*****						 			(Se</t>
  </si>
  <si>
    <t xml:space="preserve"> Republic of the Philippines Department of Health Western Visayas -Center for Health Development  INVITATION TO BID FOR  Freight and Handling Services IB No. 2020-050 1.	The Department of Health Western Visayas Center for Health Development, through the 20</t>
  </si>
  <si>
    <t xml:space="preserve"> ITEM #	QUANTITY			ITEM &amp; DESCRIPTION					 									 1	1	unit	Multi - Purpose Vehicle						 			          4 Cylinders, SOHC 16V						 			          1590cc (1.6L) - displacement						 			          91HP @ 5750 rpm - max output						 			          127Nm @ 4500rp</t>
  </si>
  <si>
    <t xml:space="preserve"> Republic of the Philippines Department of Health Western Visayas Center for Health Development  INVITATION TO BID FOR  Radio Plugging IB NO.2020-048 1.	The Department of Health- Western Visayas Center for Health Development, through the GOP/Sub-Allotment </t>
  </si>
  <si>
    <t xml:space="preserve"> Republic of the Philippines Department of Health Western Visayas Center for Health Development  INVITATION TO BID FOR  Purchase of IT Software IB NO.2020-046 1.	The Department of Health-Western Visayas Center for Health Development through the GOP/Sub-All</t>
  </si>
  <si>
    <t xml:space="preserve"> ITEM #	QUANTITY			ITEM &amp; DESCRIPTION					 									 1	8	units	Printer						 			          L3110 or its Equivalent						 			          All in One Printer (Print, Scan, Copy)						 			          400DPL Print 						 			          Color Ink System : Continuous In</t>
  </si>
  <si>
    <t xml:space="preserve"> Invitation to Bid No.: 06-2020-05 Date: June 29, 2020 1. The Malaybalay City Water District, through the 2020 Corporate Budget for the contract approved by the Malaybalay City Water District Board of Directors intends to apply the sum of 738,200.00 being </t>
  </si>
  <si>
    <t xml:space="preserve"> ITEM #	QUANTITY			ITEM &amp; DESCRIPTION					 									 1	10	sets	Double Deck Bed with Foam						 			Double Deck Bed Size : 30 x 30 x 75 						 			Foam Size : 2 x 30 x 75						 			(See attached sample)						 2	1	unit	Massage Bed, Portable (Foldable)						 			</t>
  </si>
  <si>
    <t xml:space="preserve"> Republic of the Philippines Department of Health Western Visayas Center for Health Development  INVITATION TO BID FOR  Procurement of Hygiene Kit and Collapsible Water Drinking Container IB No. 2020-045 1.	The Department of Health- Western Visayas Center </t>
  </si>
  <si>
    <t xml:space="preserve"> Installation of 3-Phase Primary Line Extension with Transformer and Electrical Accessories</t>
  </si>
  <si>
    <t xml:space="preserve"> Republic of the Philippines DEPARTMENT OF PUBLIC WORKS &amp; HIGHWAYS Region X Office of the Regional Director Bulua, Cagayan de Oro City REQUEST FOR QUOTATION June 24, 2020 __________ __________ Dear Sir/Madam,  We are respectfully inviting you to submit you</t>
  </si>
  <si>
    <t xml:space="preserve"> Rehabilitation of Post-Harvest Facility (Warehouse-tiles and painting works &amp; Solar Dryer-plastering of surface)</t>
  </si>
  <si>
    <t xml:space="preserve"> ITEMS	QUANTITY			ITEM &amp; DESCRIPTION					 									 1	4	pcs	Loudspeaker, 2way powered, 15" TC series 2000w peak 1000w RMS						 2	4	sets	Signal Cable 15m XLR M/F 						 3	2	sets	Dual Wireless Microphone						 4	2	pcs	12 Channel Mixer with DSP Effects						</t>
  </si>
  <si>
    <t xml:space="preserve"> a. CONTRACT ID: RIZAL-17JULY2020-9 b. NAME OF PROJECT: Improvement / Concreting (portion) of Road at Sitio Yapak, Brgy. Lagundi, Morong, Rizal c. LOCATION: Brgy. Lagundi, Morong, Rizal d. BRIEF DESCRIPTION: Road improvement. e. MAJOR ITEM OF WORK: PCC Pav</t>
  </si>
  <si>
    <t xml:space="preserve"> a. CONTRACT ID: RIZAL-17JULY2020-5 b. NAME OF PROJECT: Construction of Fence, Riprap &amp; Concreting of School Ground at Taytay Senior High School, Brgy. Dolores, Taytay, Rizal c. LOCATION: Brgy. Dolores, Taytay, Rizal d. BRIEF DESCRIPTION: Construction of F</t>
  </si>
  <si>
    <t xml:space="preserve"> a. CONTRACT ID: RIZAL-17JULY2020-4 b. NAME OF PROJECT: Construction of 15x30m Ynares Multi-Purpose Covered Court at Taytay Senior High School, Brgy. Dolores, Taytay, Rizal c. LOCATION: Brgy. Dolores, Taytay, Rizal d. BRIEF DESCRIPTION: Construction of Yna</t>
  </si>
  <si>
    <t xml:space="preserve"> Project 2020-16: Purchase of 225mm dia. uPVC Pipes Series 8, Fixed Seal Approved Budget of the Contract: Php 1,479,974.98 Delivery Schedule: 45 Calendar Days</t>
  </si>
  <si>
    <t xml:space="preserve"> a. CONTRACT ID: RIZAL-17JULY2020-3 b. NAME OF PROJECT: Upgrading of Maria Clara St. (B. Pag-Asa - Rizal Avenue), Brgy. Sta. Ana &amp; Brgy. San Isidro, Taytay, Rizal c. LOCATION: Brgy. Sta. Ana &amp; Brgy. San Isidro, Taytay, Rizal  d. BRIEF DESCRIPTION: Road imp</t>
  </si>
  <si>
    <t xml:space="preserve"> OFFICE SUPPLIES AND MATERIALS</t>
  </si>
  <si>
    <t xml:space="preserve"> a. CONTRACT ID: RIZAL-17JULY2020-7 b. NAME OF PROJECT: Asphalt Overlaying/Concrete Reblocking (portion) of J.P. Burgos St., Sitio Sambungan, Brgy. Bagumbong, Jalajala, Rizal c. LOCATION: Brgy. Bagumbong, Jalajala, Rizal d. BRIEF DESCRIPTION: Road improvem</t>
  </si>
  <si>
    <t xml:space="preserve"> DEPARTMENTOF SOCIAL WELFARE AND DEVELOPMENT Regional  Office No. 10, Masterson Avenue, Upper Carmen, Cagayan de Oro City INVITATION TO BID FOR Rebidding of Purchase and Delivery of Supplies for Bahay Silungan use 1.	The Department of Social Welfare and De</t>
  </si>
  <si>
    <t xml:space="preserve"> a. CONTRACT ID: RIZAL-17JULY2020-6 b. NAME OF PROJECT: Construction of 2-Storey Ynares Multi-Purpose Building at Palmera 1, Brgy. Dolores, Taytay, Rizal c. LOCATION: Brgy. Dolores, Taytay, Rizal  d. BRIEF DESCRIPTION: Construction of Ynares Multi-Purpose </t>
  </si>
  <si>
    <t xml:space="preserve"> a. CONTRACT ID: RIZAL-17JULY2020-8 b. NAME OF PROJECT: Construction / Extension of Jalajala Municipal Building, Brgy. First District, Jalajala, Rizal c. LOCATION: Brgy. First District, Jalajala, Rizal  d. BRIEF DESCRIPTION: Construction of Building. e. MA</t>
  </si>
  <si>
    <t xml:space="preserve"> Republic of the Philippines Province of Cebu MUNICIPALITY OF BALAMBAN Balamban, Cebu Telefax: (032) 316 – 4960 OFFICE OF THE BIDS and AWARDS COMMITTEE INVITATION TO BID FOR Various Infrastructure Projects of the Municipality (Materials only) 1.	The Munici</t>
  </si>
  <si>
    <t xml:space="preserve"> Republic of the Philippines Province of Cebu MUNICIPALITY OF BALAMBAN Balamban, Cebu Telefax: (032) 316 – 4960 OFFICE OF THE BIDS and AWARDS COMMITTEE INVITATION TO BID FOR VETERINARY SUPPLIES (for Livelihood Project)  1.	The Municipality of Balamban, thr</t>
  </si>
  <si>
    <t xml:space="preserve"> Republic of the Philippines Province of Cebu MUNICIPALITY OF BALAMBAN Balamban, Cebu Telefax: (032) 316 – 4960 OFFICE OF THE BIDS and AWARDS COMMITTEE INVITATION TO BID FOR MEDICINES (for Mental Health Program)  1.	The Municipality of Balamban, through th</t>
  </si>
  <si>
    <t xml:space="preserve"> a. CONTRACT ID: RIZAL-17JULY2020-1 b. NAME OF PROJECT: Construction of Elevated Water Tank, Installation of Water Distribution Lines &amp; Construction of Artesian Well at Brgy. Bombong &amp; Brgy. Rayap, Binangonan, Rizal a)  Construction of 4,000 gallons Elevat</t>
  </si>
  <si>
    <t xml:space="preserve"> 5 sets decktop computer PEO</t>
  </si>
  <si>
    <t xml:space="preserve"> PLEASE SEE PURCHASE REQUEST AND REQUEST FOR QUOTATION FOR SPECIFICATIONS</t>
  </si>
  <si>
    <t xml:space="preserve"> The National Irrigation Administration-Regional Office XII, through the GAA Fund CY2019 and CY2020 intends to apply the sum of TWO MILLION SEVEN HUNDRED THOUSAND TEN PESOS &amp; 50/100 (P 2,700,010.50) being the Approved Budget for the Contract (ABC) to payme</t>
  </si>
  <si>
    <t xml:space="preserve"> Construction of concrete pavement P-7B</t>
  </si>
  <si>
    <t xml:space="preserve"> CONSTRUCTION OF PERIMETER FENCE</t>
  </si>
  <si>
    <t xml:space="preserve"> a. CONTRACT ID: RIZAL-17JULY2020-15 b. NAME OF PROJECT: Repair/Repainting of Ynares School Bldg. at Virgilio B. Melendres Elem. School, Brgy. Takungan, Pililla, Rizal c. LOCATION: Brgy. Takungan, Pililla, Rizal  d. BRIEF DESCRIPTION: Improvement of Ynares</t>
  </si>
  <si>
    <t xml:space="preserve"> Republic of the Philippines DEPARTMENT OF PUBLIC WORKS &amp; HIGHWAYS Region X Office of the Regional Director Bulua, Cagayan de Oro City REQUEST FOR QUOTATION June 24, 2020 ___________ ___________ ___________ Dear Sir/Madam,  We are respectfully inviting you</t>
  </si>
  <si>
    <t xml:space="preserve"> a. CONTRACT ID: RIZAL-17JULY2020-13 b. NAME OF PROJECT: Asphalt Overlaying and Concrete Reblocking (portion) of Sitio Lipat-Lipat Road, Brgy. Hulo, Pililla, Rizal c. LOCATION: Brgy. Hulo, Pililla, Rizal d. BRIEF DESCRIPTION: Road improvement. e. MAJOR ITE</t>
  </si>
  <si>
    <t xml:space="preserve"> Invitation to Bid for the Supply and Delivery of various Medicine for the use of Brgy. San Jose Sico, Batangas City</t>
  </si>
  <si>
    <t xml:space="preserve"> a. CONTRACT ID: RIZAL-17JULY2020-14 b. NAME OF PROJECT: Asphalt Overlaying and Concrete Reblocking (portion) of P. Oleta St., Brgy. Wawa, Pililla, Rizal c. LOCATION: Brgy. Wawa, Pililla, Rizal  d. BRIEF DESCRIPTION: Road improvement. e. MAJOR ITEM OF WORK</t>
  </si>
  <si>
    <t xml:space="preserve"> a. CONTRACT ID: RIZAL-17JULY2020-12 b. NAME OF PROJECT: Asphalt Overlaying and Concrete Reblocking (portion) of Sitio Ligua Road,  Brgy.  Hulo, Pililla, Rizal c. LOCATION: Brgy.  Hulo,  Pililla, Rizal  d. BRIEF DESCRIPTION: Road improvement. e. MAJOR ITEM</t>
  </si>
  <si>
    <t xml:space="preserve"> a. CONTRACT ID: RIZAL-17JULY2020-11 b. NAME OF PROJECT: Asphalt Overlaying and Concrete Reblocking (portion) of Sitio Bulacan 1 Road, Brgy. Bagumbayan, Pililla, Rizal c. LOCATION: Brgy. Bagumbayan, Pililla, Rizal d. BRIEF DESCRIPTION: Road improvement.  e</t>
  </si>
  <si>
    <t xml:space="preserve"> Republic of the Philippines Department of Health Western Visayas Center for Health Development  INVITATION TO BID FOR  Procurement of Emergency Newborn Kits IB No. 2020-054 1.	The Department of Health- Western Visayas Center for Health Development, throug</t>
  </si>
  <si>
    <t xml:space="preserve"> INVITATION TO BID The Municipal Government of Laoac, Pangasinan through its Bids and Awards Committee (BAC), invites suppliers/ manufacturers/distributors/contractors to bid for the hereunder contract/s: Name of Project	: PROCUREMENT OF 5 UNITS HAND TRACT</t>
  </si>
  <si>
    <t xml:space="preserve"> Republic of the Philippines PROVINCE OF NUEVA VIZCAYA Invitation to Bid for the  CONSTRUCTION OF TUPLAC CIS Located at Dulli, Ambaguio, Nueva Vizcaya  1.	The Provincial Government of Nueva Vizcaya, through the 20% Development Fund 2020 intends to apply th</t>
  </si>
  <si>
    <t xml:space="preserve"> Republic of the Philippines City of Alaminos Province of Pangasinan BARANGAY CAYUCAY INVITATION TO BID FOR THE PROCUREMENT OF LABOR AND MATERIALS FOR THE INSTALLATION OF SOLAR STREETLIGHTS AT BRGY. CAYUCAY, ALAMINOS CITY, PANGASINAN 1. The BARANGAY COUNCI</t>
  </si>
  <si>
    <t xml:space="preserve"> Purchase of Construction Supplies as indicated in the School Improvement Plan</t>
  </si>
  <si>
    <t xml:space="preserve"> a. CONTRACT ID: RIZAL-17JULY2020-10 b. NAME OF PROJECT: Construction of Stone Masonry Headwall (portion) of Wawa Boulevard, Brgy. Wawa, Pililla, Rizal c. LOCATION: Brgy. Wawa, Pililla, Rizal d. BRIEF DESCRIPTION: Slope protection. e. MAJOR ITEM OF WORK: S</t>
  </si>
  <si>
    <t xml:space="preserve"> 4 units laptop computer PEO</t>
  </si>
  <si>
    <t xml:space="preserve"> I. SUBBASE &amp; BASE COURSE II. CONCRETE WORKS III. FORMWORKS</t>
  </si>
  <si>
    <t xml:space="preserve"> Republic of the Philippines Department of Health Western Visayas Center for Health Development  INVITATION TO BID FOR  Purchase of IT Consumables IB NO.2020-053 1.	The Department of Health-Western Visayas Center for Health Development through the GOP/Sub-</t>
  </si>
  <si>
    <t xml:space="preserve"> Republic of the Philippines Municipality of Taytay Taytay, Palawan NOTICE TO BIDDERS Item # Qty Unit Description Amount 1.    1     Lot    Water Service Connection Materials/Fitting  The two envelope system of procurement shall be observed, Bidding docume</t>
  </si>
  <si>
    <t xml:space="preserve"> a. CONTRACT ID: RIZAL-17JULY2020-2 b. NAME OF PROJECT: Construction of Water System Level III &amp; Upgrading of Electrical Sevice Entrance at Sapang Elementary School, Brgy. Sapang, Binangonan, Rizal c. LOCATION: Brgy. Sapang, Binangonan, Rizal  d. BRIEF DES</t>
  </si>
  <si>
    <t xml:space="preserve"> SPECIFICATIONS: Displacement: 2,480 to 2,500cc Type: 4-Cylinder, DOHC, Variable Turbo Charger with Intercooler Maximum Power: 185-195PS/3,500-3,600rpm Fuel: Diesel Fuel System: Common Rail Direct Injection Transmission:  6-Speed MT Wheels: 255/65 R17 Allo</t>
  </si>
  <si>
    <t xml:space="preserve"> ITEM: 489 bags Portland Cement 40kg							 2 bags Non-Shrink Cement							 ( FOR STAGGERED DELIVERY) PURPOSE: "VARIOUS WORK ORDER(W.O.#19-027-F) (W.O.#20-013-A)(W.O.#20-026-D)(W.O.#20-019-A) (W.O.#19-057-F) (W.O.#20-021-D)(W.O.#19-077-D) (W.O.#20-028- F)"</t>
  </si>
  <si>
    <t xml:space="preserve"> Invitation to Bid for the Supply and Delivery of CCTV Camera for the use of Brgy. Dumantay, Batangas City</t>
  </si>
  <si>
    <t xml:space="preserve"> Republic of the Philippines Municipality of Taytay Taytay, Palawan NOTICE TO BIDDERS Item # Qty Unit Description Amount 1. 1 unit SCANNER: Specs: Compact size and Footpring, - Powered via USB 3.0 bus powered, AC adapter or in Built-in Battery - Dedicated </t>
  </si>
  <si>
    <t xml:space="preserve"> Item Description	Quantity	Unit a.	Ceramic tiles      60 cm x 60 cm	1099	pcs b.	Tile adhesive	158	bags c.	Tile grout	4	Kg d.	Washed sand	20	Cum e.	Portland cement	158	Bags f.	Nylon #80	2	Rolls g.	Double furring 19mm x 50mm x 5m  T40mm	68	Pcs h.	Carrying ch</t>
  </si>
  <si>
    <t xml:space="preserve"> Repair/rehabilitation of pathway P-1,2 &amp; 3</t>
  </si>
  <si>
    <t xml:space="preserve"> Construction of multipurpose hall Phase-1</t>
  </si>
  <si>
    <t xml:space="preserve"> A. Thermoplastic Kneader		 Type: Mechanical (double/single pot system)		 Dimension: 1800mm x 700 mm x 2060		 weight: 350 kgs		 Pot Capacity: 200kgs.		 Stirring Rotating Blades: 6 blades		 Driving System: Mechanical Gear Box		 Heat Source: LPG cylinder		 L</t>
  </si>
  <si>
    <t xml:space="preserve"> Republic of the Philippines Municipality of Taytay Taytay, Palawan NOTICE TO BIDDERS Item # Qty Unit Description Amount Bulldozer #03 1. 1 pc Priming Pump 2. 5 pcs Ripper Point 3. 5 pcs Pin Assy. Vibrator Roller #01 4. 4 pcs Rubber Damper Wheel Loader KOM</t>
  </si>
  <si>
    <t xml:space="preserve"> Republic of the Philippines Department of Health Western Visayas Center for Health Development  INVITATION TO BID FOR  Purchase of New Power Distribution Transformers for new DOH Building IB NO.2020-052 1.	The Department of Health-Western Visayas Center f</t>
  </si>
  <si>
    <t xml:space="preserve"> Republic of the Philippines Department of Health Western Visayas Center for Health Development  INVITATION TO BID FOR  TV Plugging IB NO.2020-044 1.	The Department of Health- Western Visayas Center for Health Development, through the GOP/Sub-Allotment Fun</t>
  </si>
  <si>
    <t xml:space="preserve"> a. CONTRACT ID: RIZAL-17JULY2020-17 b. NAME OF PROJECT: Construction of Ynares Multi-Purpose Covered Court (Rafter Type) at Carissa Homes East-1, Brgy. Bagumbayan, Teresa, Rizal c. LOCATION: Brgy. Bagumbayan, Teresa, Rizal d. BRIEF DESCRIPTION: Constructi</t>
  </si>
  <si>
    <t xml:space="preserve"> a. CONTRACT ID: RIZAL-17JULY2020-16 b. NAME OF PROJECT: Asphalt overlaying of Various Roads at Bancom Life Homes, Brgy. Gulod Malaya, San Mateo, Rizal c. LOCATION: Brgy. Gulod Malaya, San Mateo, Rizal d. BRIEF DESCRIPTION: Road improvement. e. MAJOR ITEM </t>
  </si>
  <si>
    <t xml:space="preserve"> Item Description	Quantity	Unit a.	Ceramic tiles 60 cm x 60 cm	612	pcs b.	Tile adhesive	88	bags c.	Tile grout	4	Kg d.	Washed sand	16	Cum e.	Portland cement	88	Bags f.	Nylon #80	2	Rolls g.	Marine Plywood ¾” size	6	Sheets h.	Finishing nails no. 2	1	Kg i.	Sti</t>
  </si>
  <si>
    <t xml:space="preserve"> 1 set of Sound System</t>
  </si>
  <si>
    <t xml:space="preserve"> INVITATION TO BID FOR PROCUREMENT OF MATERIALS AND RENTAL OF EQUIPMENT FOR RIPRAPPING/ ROAD SHOULDERING 1.	The Barangay Rizal, through the 20% Barangay Development Fund intends to apply the sum of One Hundred Eighty-Seven Thousand One Hundred Twenty-Five </t>
  </si>
  <si>
    <t xml:space="preserve"> Republic of the Philippines BATANGAS STATE UNIVERSITY Batangas City REQUEST FOR QUOTATION "Procurement of Customized Tower Mast and Enclosure Stainless Steel for SIGAW Project" 1. The Batangas State University (BatState U) through the Bids and Awards Comm</t>
  </si>
  <si>
    <t xml:space="preserve"> 50 pcs Plastic Chair small</t>
  </si>
  <si>
    <t xml:space="preserve"> Republic of the Philippines PROVINCE OF NUEVA VIZCAYA Invitation to Bid for the  IMPROVEMENT OF GANAO-BIRUK ROAD Located at Dupax del Sur, Nueva Vizcaya  1.	The Provincial Government of Nueva Vizcaya, through the 20% Development Fund 2020 intends to apply</t>
  </si>
  <si>
    <t xml:space="preserve"> 100 pcs Folder Long 100 pcs Folder short 2 boxes fastener 2boxes staple wire #35 2 dozens ballpen black 1 dozen ballpen red 3 pcs broom 6 cans tycoon 10 pcs record book - 500pages 16 pcs columnar 18/20 column 2 pcs scissor 1 pc puncher 1 pc plastic tape h</t>
  </si>
  <si>
    <t xml:space="preserve"> Republic of the Philippines BATANGAS STATE UNIVERSITY Batangas City REQUEST FOR QUOTATION "Procurement of Alarm Sounder for SIGAW Project" 1. The Batangas State University (BatState U) through the Bids and Awards Committee invites interested firms/supplie</t>
  </si>
  <si>
    <t xml:space="preserve"> alcohol face mask cotton paracetamol amoxicillin 500mg mefenamic 500mg loperamide dicycloverine metronidazole vitamin c betadine citirizine saredon amlodepen 10mg</t>
  </si>
  <si>
    <t xml:space="preserve"> L=92LM;  W=1M,  T=0.15M</t>
  </si>
  <si>
    <t xml:space="preserve"> 35	 set 	15 watts LED Bulb 35	 pc 	4" dia PVC Receptacle 190	m	2.0mm2 THW Wire Stranded  255	m	#6 Duplxe Wire  2	roll	Electrical Tape (Big)</t>
  </si>
  <si>
    <t xml:space="preserve"> ENGINE:		 4-cylinder, in-line, direct injection, turbocharged and		 intercooled diesel engine; volume displacement= 4.1-4.3 liters;		 power output: 95-100kW @ 2,800 rpm; torque: ≥ 380N-m @ 		 1,400 - 1,800 rpm		 WEIGHT AND DIMENSION:		 gross vehicle weigh</t>
  </si>
  <si>
    <t xml:space="preserve"> Republic of the Philippines PROVINCE OF NUEVA VIZCAYA Invitation to Bid for the  IMPROVEMENT OF NV BENGUET JCT.-KAYAPA CENTRAL-KAYAPA PROPER ROAD Located at Kayapa, Nueva Vizcaya  1.	The Provincial Government of Nueva Vizcaya, through the 20% Development </t>
  </si>
  <si>
    <t xml:space="preserve"> Republic of the Philippines PROVINCE OF NUEVA VIZCAYA 2nd Invitation to Bid for the  CONSTRUCTION OF CUTAR FARMERS ASSOCIATION CIS Located at Aritao, Nueva Vizcaya  1.	The Provincial Government of Nueva Vizcaya, through the 2020 20% Development Fund inten</t>
  </si>
  <si>
    <t xml:space="preserve"> 1st POSTING 	 The Barangay Government of Capacuan, Paracale, Camarines Norte invites all legitimate suppliers to submit their quotation for the project of Barangay Capacuan, Paracale, Camarines Norte. BARANGAY HEALTH CENTER USED 	1	pc        		Refrigerato</t>
  </si>
  <si>
    <t xml:space="preserve"> 1st BIDDING The Barangay Government of Capacuan, Paracale, Camarines Norte invites all legitimate suppliers/bidders to submit their quotation for the project of Barangay Capacuan, Paracale, Camarines Norte. 1. Barangay Used 	2	pc        	Laptop 	1	pc		Pri</t>
  </si>
  <si>
    <t xml:space="preserve"> Republic of the Philippines PROVINCE OF NUEVA VIZCAYA Invitation to Bid for the  IMPROVEMENT OF DRAINAGE SYSTEM AT DEH Located at DEH, Diadi, Nueva Vizcaya  1.	The Provincial Government of Nueva Vizcaya, through the PGSO-(5-02-13-030) Infrastructure Asset</t>
  </si>
  <si>
    <t xml:space="preserve"> Republic of the Philippines Province of Cebu MUNICIPALITY OF BALAMBAN Balamban, Cebu Telefax: (032) 316 – 4960 OFFICE OF THE BIDS and AWARDS COMMITTEE INVITATION TO BID FOR I.T. EQUIPMENT (Desktop, Laptop, Printer, Hard Drive, Server and Keyboard)  1.	The</t>
  </si>
  <si>
    <t xml:space="preserve"> 1 unit of Aircon of Health Center</t>
  </si>
  <si>
    <t xml:space="preserve"> PROVINCE OF NUEVA VIZCAYA Invitation to Bid for the  IMPROVEMENT OF CVR BATU-STO. DOMINGO-MANAMTAM ROAD Located at Bambang, Nueva Vizcaya  1.	The Provincial Government of Nueva Vizcaya, through the 20% Development Fund 2020 intends to apply the sum of Fou</t>
  </si>
  <si>
    <t xml:space="preserve"> Laptop/Computer</t>
  </si>
  <si>
    <t xml:space="preserve"> ITEM #	QTY.	UNIT	ARTICLES AND DESCRIPTION				 1	200	heads	 Hen (ready to lay)				 2	40	heads	Head of Rooster				 3	1500	kgs.	Cracked Corn (good quality)				 4	1500	kgs.	Pellets (good quality)				 			x-x-x-x-x</t>
  </si>
  <si>
    <t xml:space="preserve"> Republic of the Philippines BATANGAS STATE UNIVERSITY Batangas City REQUEST FOR QUOTATION "Procurement of ICT equipment and other supplies of the VPRDE office" 1. The Batangas State University (BatState U) through the Bids and Awards Committee invites int</t>
  </si>
  <si>
    <t xml:space="preserve"> Republic of the Philippines PROVINCE OF NUEVA VIZCAYA Invitation to Bid for the  IMPROVEMENT OF OYAO-GANAO ROAD Located at Dupax del Norte and Dupax del Sur, Nueva Vizcaya  1.	The Provincial Government of Nueva Vizcaya, through the 20% Development Fund 20</t>
  </si>
  <si>
    <t xml:space="preserve"> Republic of the Philippines BATANGAS STATE UNIVERSITY Batangas City REQUEST FOR QUOTATION "Procurement of supplies for the installation of Wifi Connectivity." 1. The Batangas State University (BatState U) through the Bids and Awards Committee invites inte</t>
  </si>
  <si>
    <t xml:space="preserve"> Republic of the Philippines PROVINCE OF NUEVA VIZCAYA Invitation to Bid for the  IMPROVEMENT OF MAKATBENG-KIMBUTAN-BELANCE ROAD Located at Dupax del Sur, Nueva Vizcaya  1.	The Provincial Government of Nueva Vizcaya, through the 20% Development Fund 2020 i</t>
  </si>
  <si>
    <t xml:space="preserve"> 50 pcs Plastic Chair big</t>
  </si>
  <si>
    <t xml:space="preserve"> Republic of the Philippines                       EASTERN VISAYAS STATE UNIVERSITY                                                                              Tacloban City                     										 BIDS AND AWARDS COMMITTEE INVITATION TO BID  SUPPL</t>
  </si>
  <si>
    <t xml:space="preserve"> Republic of the Philippines Province of Cebu MUNICIPALITY OF BALAMBAN Balamban, Cebu Telefax: (032) 316 – 4960 OFFICE OF THE BIDS and AWARDS COMMITTEE INVITATION TO BID FOR FURNITURE (Office Chair and Mobile Pedestal) 1.	The Municipality of Balamban, thro</t>
  </si>
  <si>
    <t xml:space="preserve"> Republic of the Philippines Municipality of Taytay Taytay, Palawan NOTICE TO BIDDERS Item # Qty Unit Description Amount 1.	5	pcs	Tooth Point (STD) 2.	5	pcs	Pin &amp; Washer (Locking) 3.	2	pcs	Cutter (LH &amp; RH) 4.	8	pcs	Bolt  5.	8	pcs	Nut  6.	8	pcs	Washer (Hard</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</si>
  <si>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</si>
  <si>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INVITATION TO BID FOR Supply of Materials and Installation of Office Partitions (Goods 2020-29) 1.	The LOCAL GOVERNMENT UNIT OF SAN MATEO, ISABELA (LGU-SMI), through its Bids and Awards Committee  intends to apply the sum of FOUR HUNDRED THOUSAND TWO HUND</t>
  </si>
  <si>
    <t xml:space="preserve"> Republic of the Philippines Municipality of Taytay Taytay, Palawan NOTICE TO BIDDERS Item # Qty Unit Description Amount 1.    3132   bags    Portland Cement  2.       20    pcs      2'' x 6'' x 20' x 1.5mm C-purlins  3.       10    kgs     3'' CW Nails  4</t>
  </si>
  <si>
    <t xml:space="preserve"> Office Equipment-Power Supply,Comcolor Black,Comcolor Yellow</t>
  </si>
  <si>
    <t xml:space="preserve"> Republic of the Philippines BATANGAS STATE UNIVERSITY Batangas City REQUEST FOR QUOTATION "Procurement of service for the calibration of laboratory equipment to comply with ISO" 1. The Batangas State University (BatState U) through the Bids and Awards Com</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</si>
  <si>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</si>
  <si>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Fuel-Diesel Fuel</t>
  </si>
  <si>
    <t xml:space="preserve"> 2,000 bags cement &amp; 50 drums asphalt, cold mix FOR PEO</t>
  </si>
  <si>
    <t xml:space="preserve"> Republic of the Philippines PROVINCE OF NUEVA VIZCAYA Invitation to Bid for the  CONSTRUCTION/IMPROVEMENT OF PUROK 7, BUSILAC FTMR Located at Bayombong, Nueva Vizcaya  1.	The Provincial Government of Nueva Vizcaya, through the 20% Development Fund 2020 in</t>
  </si>
  <si>
    <t xml:space="preserve"> PURCHASE OF MATERIALS FOR THE CONSTRUCTION OF OSCA BUILDING PHASE VIII</t>
  </si>
  <si>
    <t xml:space="preserve"> PURCHASE OF MATERIALS FOR THE CONSTRUCTION OF WOMEN'S BUILDING PHASE IV</t>
  </si>
  <si>
    <t xml:space="preserve"> PURCHASE OF MATERIALS FOR THE REHABILITATION OF SCHOOL MULTI-PURPOSE HALL</t>
  </si>
  <si>
    <t xml:space="preserve"> 2 units wooden chairs, etc PEO</t>
  </si>
  <si>
    <t xml:space="preserve"> Supply &amp; Delivery of the following items: 28 lengths 12mmx6.0m deff steel bar 15 lengths 10mmx6.0m deff steel bar 20 cu.m. Washed Sand &amp; Gravel 80 bags Portland Cement 4 Kgs #4 CW Nails 5 Kgs #16 GI Tie Wire  14 sheets 8ft. x ga.24 Corr. GI sheet 2 sheets</t>
  </si>
  <si>
    <t xml:space="preserve"> Republic of the Philippines Province of Cebu MUNICIPALITY OF BALAMBAN Balamban, Cebu Telefax: (032) 316 – 4960 OFFICE OF THE BIDS and AWARDS COMMITTEE INVITATION TO BID FOR AGRICULTURAL SUPPLIES (Vegetable Seeds and Fertilizer) 1.	The Municipality of Bala</t>
  </si>
  <si>
    <t xml:space="preserve"> ITEM	QTY.	UNIT		ARTICLE AND DESCRIPTION				CEILING 					UNIT PRICE		TOTAL  								PRICE							 															 				Office: Ospital Ng Maynila Medical Center 				PR No. 702							 				Charge to: Other Supplies and Materials Expenses 				OBR No. 100-2005-0</t>
  </si>
  <si>
    <t xml:space="preserve"> I	Site Clearing lay-out &amp; Staking	800	Sq.m. II	Excavation	136.35	Cu.m. III	Perimeter fence	20.00	l.m IV	Portland Cement Concrete pavement with base course aggregate, reinforcement and forms	68.586	Cu.m. V	Drainage canal	110.00	l.m. VI	Steel grating canal </t>
  </si>
  <si>
    <t xml:space="preserve"> ITEM	QTY.	UNIT		ARTICLE AND DESCRIPTION				CEILING 					UNIT PRICE		TOTAL  								PRICE							 															 				Office: Ospital Ng Maynila Medical Center 				PR No. 710							 				Charge to: Printing and Publication Expenses				OBR No. 100-2005-04607	</t>
  </si>
  <si>
    <t xml:space="preserve"> Please see attached Invitation to Bid for details</t>
  </si>
  <si>
    <t xml:space="preserve"> REQUEST FOR EXPRESSION OF INTEREST (REI) FOR 20CSCE005-CONSULTING SERVICES FOR THE CONDUCT OF a.) PARCELLARY SURVEY b.) DETAILED ENGINEERING SURVEY c.)STRUCTURAL/UTILITY/FACILITIES SURVEY d.)MONUMENTING e.)RESEARCH WORKS for the CONSTRUCTION OF RIZAL BY-P</t>
  </si>
  <si>
    <t xml:space="preserve"> Republic of the Philippines Municipality of Taytay Taytay, Palawan NOTICE TO BIDDERS Item # Qty Unit Description Amount 1. 1 Unit Construction of Multi-Purpose Hall (So. Nalbot, Bgy. Poblacion, Taytay, Palawan) The two envelope system of procurement shall</t>
  </si>
  <si>
    <t xml:space="preserve"> Republic of the Philippines Province of Cebu MUNICIPALITY OF BALAMBAN Balamban, Cebu Telefax: (032) 316 – 4960 OFFICE OF THE BIDS and AWARDS COMMITTEE INVITATION TO BID FOR CONSTRUCTION EQUIPMENT (Bagger Concrete Mixer) 1.	The Municipality of Balamban, th</t>
  </si>
  <si>
    <t xml:space="preserve"> Republic of the Philippines Municipality of Taytay Taytay, Palawan NOTICE TO BIDDERS Item # Qty Unit Description Amount 1.    1    Unit    Construction of Multi-Purpose Hall (So. Malinao, Bgy. Libertad, Taytay, Palawan) The two envelope system of procurem</t>
  </si>
  <si>
    <t xml:space="preserve"> ITEM	QTY.	UNIT		ARTICLE AND DESCRIPTION				CEILING 					UNIT PRICE		TOTAL  								PRICE							 															 	Office: Ospital Ng Maynila Medical Center 					PR No. 697	Php85,593.00			OBR No. 100-2005-04602					 	           Ospital Ng Maynila Medical Ce</t>
  </si>
  <si>
    <t xml:space="preserve"> BARANGAY GOVERNMENT OF NABAG-O City of Valencia INVITATION TO BID FOR  SUPPLY AND DELIVERY OF MATERIALS FOR THE IMPROVEMENT OF PUBLIC CEMETERY (TOILET) 1.	The BARANGAY GOVERNMENT OF NABAG-O, through the 2019 &amp; 2020 Annual Budget  intends to apply the sum </t>
  </si>
  <si>
    <t xml:space="preserve"> 328	bags	Portland Cement	 24   	cu.m.	Sand, ordinary	 40   	cu.m.	Gravel, ordinary	 864	bd.ft.	2" x 4" x 12' Coco Lumber	 4	kgs	Common Wire Nail, assorted</t>
  </si>
  <si>
    <t xml:space="preserve"> Procurement of supply and delivery of Full Kit 15	set	Full Kit for 100 prints-Badgy 100  100 thick PVC cards (0.76mm) PR# 2020-989</t>
  </si>
  <si>
    <t xml:space="preserve"> Republic of the Philippines Province of Cebu MUNICIPALITY OF BALAMBAN Balamban, Cebu Telefax: (032) 316 – 4960 OFFICE OF THE BIDS and AWARDS COMMITTEE INVITATION TO BID FOR FARM EQUIPMENT (Egg Laying Machine) 1.	The Municipality of Balamban, through the D</t>
  </si>
  <si>
    <t xml:space="preserve"> -650 pcs. -Big Body -1/2" diameter -with Tailpiece, nut &amp; gasket -None Reversible Reading -Class 1-A -Dry Type -Anti Magnetic</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</si>
  <si>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</si>
  <si>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Installation of Solar Street Lightning System Location :Brgy Luyahan Lian, Batangas Budget: 200,000.00</t>
  </si>
  <si>
    <t xml:space="preserve"> various school supplies</t>
  </si>
  <si>
    <t xml:space="preserve"> 3 sets ----EGG LAYERING MACHINE (L-7ft., W-3.5 ft.,1" x 2" mess wire) galvanized-steel cages, feeders, nipple drinkers, water gallon containers, buzz beaters 36 (12 sacks per site) ---- Layering mash for 48 heads of ready to lay hens</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</si>
  <si>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</si>
  <si>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INVITATION TO BID FOR SUPPLY AND DELIVERY OF VARIOUS LABORATORY SUPPLIES 1.	The Department of Agriculture Regional Field Office IX, through the GAA 2020 - (Support to Operations (STO) 2020) intends to apply the sum of ONE MILLION ONE HUNDRED NINETY-SIX TH</t>
  </si>
  <si>
    <t xml:space="preserve"> 1.	The DPWH Negros Occidental 3rd District Engineering Office, Kabankalan City through the FY 2020 GAA (ROUTINE MAINTENANCE/EAO) intends to apply the sum of P721,893.00 being the Approved Budget for the Contract (ABC) to payments under the contract for 20</t>
  </si>
  <si>
    <t xml:space="preserve"> The Philippine Carabao Center at USM through its Bids and Awards Committee (BAC) invites PhilGEPS registered suppliers to apply to bid for the Supply and Delivery of Catering Services. Meals and Snacks		 Lunch 6 pax Dinner 6 pax Breakfast 6 pax Snacks AM/</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</si>
  <si>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</si>
  <si>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Purchase of camera use in Tourism office and Department of Agriculture</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</si>
  <si>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</si>
  <si>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LOP TOP &amp; 3 in 1 PRINTER PURCHASED</t>
  </si>
  <si>
    <t xml:space="preserve"> Concreting of Road Location: So. Elenahan brgy luyahan lian, batangas Budget: 140,000.00</t>
  </si>
  <si>
    <t xml:space="preserve"> Purchase of Office Chairs and Tables to be used by Vice Mayors Office 4 pcs Tables 4 pcs Executive Chairs 2 pcs Office Chairs</t>
  </si>
  <si>
    <t xml:space="preserve"> Intel Core i7 - 1051OU, 15.6FHD/8GB/2TB/MX 130 2GB/ MISC NO ODD Win 10/ac/bt/Silver/2/2/0</t>
  </si>
  <si>
    <t xml:space="preserve"> The Municipal Government of Atok, Benguet now invites bids for MDRRMF CLUSTER 4-2020 PROJECTS AT CATTUBO, CALIKING AND PAOAY, ATOK, BENGUET with the following Clustered Projects: 1.	REHABILITATION OF DRAINAGE CANAL AT BONGLO, PAOAY WITH AN ABC OF P150,000</t>
  </si>
  <si>
    <t xml:space="preserve"> Construction of two (2) production wells in brgy. Nakar and brgy. Centro 2, San guillermo, Isabela with 83 meters depth.</t>
  </si>
  <si>
    <t xml:space="preserve"> Construction of Covered Canal Location: Brgy Luyahan Lian, Batangas Budget: 200,000.00</t>
  </si>
  <si>
    <t xml:space="preserve"> Diesoline, Gasoline and other Petroleum Products</t>
  </si>
  <si>
    <t xml:space="preserve"> The Municipal Government of Atok, Benguet now invites bids for MDF CLUSTER 13-2020 PROJECTS AT CALIKING AND TOPDAC, ATOK, BENGUET with the following Clustered Projects: 1.	CONSTRUCTION OF PAVEMENT ALONG BELIS ROAD AT CALIKING WITH AN ABC OF P500,000.00; A</t>
  </si>
  <si>
    <t xml:space="preserve"> BELEN		 Doors &amp; Windows	16.74	Sq.m. Ceiling Repair	5.18	Sq.m. Tile works	30.67	Sq.m. Water Supply Systems	1	lot BUNGRO		 Works area enclosure (extension)	9.60	Sq.m. Miscellaneous works	1	lot BUSIING		 Window grills with aluminum expanded screen	14.49	Sq.m</t>
  </si>
  <si>
    <t xml:space="preserve"> Project Title: TPB CORPORATE TOTE BAG Specifications: Size Bag : 14” (width) x 16.5” (height) x 3.5” (base &amp; side thickness) Handle : 3.30cm width x 27” length Weave cloth accent: 11.00cm (w) x 18”(h), both sides Material : Bull twill black with 210D lini</t>
  </si>
  <si>
    <t xml:space="preserve"> Republic of the Philippines PROVINCE OF NUEVA VIZCAYA Invitation to Bid for the  IMPROVEMENT OF DIFFUDAY-BONIFACIO ROAD Located at Quezon, Nueva Vizcaya  1.	The Provincial Government of Nueva Vizcaya, through the 20% Development Fund 2020 intends to apply</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</si>
  <si>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</si>
  <si>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</si>
  <si>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</si>
  <si>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BIDS AND AWARDS COMMITTEE REQUEST FOR QUOTATION The Barangay Unit of Lawagan, Labason, Z.N., invites all interested registered supplier to submit quotation for the Purchase of Construction Materials for the Comfort Room Phase - I at Lawagan, Labason, ZN: </t>
  </si>
  <si>
    <t xml:space="preserve"> Republic of the Philippines Province of Ifugao Municipality of Asipulo BIDS AND AWARDS COMMITTEE INVITATION TO BID INFRASTRUCTURE PROJECTS The Municipal Government of Asipulo, through the Mun. Development Fund/Municipal Calamity Fund of 2020 intends to ap</t>
  </si>
  <si>
    <t xml:space="preserve"> Please see attached file . . .</t>
  </si>
  <si>
    <t xml:space="preserve"> Republic of the Philippines Municipality of Taytay Taytay, Palawan NOTICE TO BIDDERS Item # Qty Unit Description Amount 1. 1 Unit Construction of Multi-Purpose Hall (Barangay San Jose, Taytay, Palawan) The two envelope system of procurement shall be obser</t>
  </si>
  <si>
    <t xml:space="preserve"> No	Item &amp; Description	Unit	Qty	Unit Cost	 Bidders Quote per Unit 	 Total Bidders Quote   1	PAPER, MULTICOPY, 70gsm, legal	ream 	100			 2	PAPER, Multi-Purpose (COPY) A4, 70 gsm	ream 	10			 3	TOILET TISSUE PAPER 2-plys sheets, 150 pulls	pack	20			 4	GLUE, a</t>
  </si>
  <si>
    <t xml:space="preserve"> Republic of the Philippines Municipality of Taytay Taytay, Palawan NOTICE TO BIDDERS Item # Qty Unit Description Amount 1. 1 Unit Construction of Multi-Purpose Hall (Barangay Liminangcong, Taytay, Palawan) The two envelope system of procurement shall be o</t>
  </si>
  <si>
    <t xml:space="preserve"> BIDS AND AWARDS COMMITTEE REQUEST FOR QUOTATION NO. 2020-0006 		The Department of Education RICARDO P. CRUZ SR. ELEMENTARY SCHOOL, through SCHOOL BIDS and AWARDS COMMITTEE (SBAC) invites registered suppliers to submit a quotation for the hereunder project</t>
  </si>
  <si>
    <t xml:space="preserve"> Section I. Invitation to Bid   Provincial Government of Isabela SUPPLY AND DELIVERY OF 153 UNITS MINI DUMP TRUCK, ENGINE DISPLACEMENT: 2.7L, 4 X 2, 4 CYLINDER, 109HP, EURO 4 ENGINE, WITH 3 YEARS LTO REGISTRATION The Provincial Government of Isabela, throu</t>
  </si>
  <si>
    <t xml:space="preserve"> Procurement of supply and delivery of Agricultural Supplies/Seeds 447	bags	NSIC Approved OPV White Glutinous Corn Seeds @ 20 kilograms per bag *Date of harvest not earlier than June, 2020 •	With Seed Tag specified the following: Lot number, Germination ra</t>
  </si>
  <si>
    <t xml:space="preserve"> FOR LGU BANTAY COVID-19 USE LGU Cabagan Cabagan, Isabela</t>
  </si>
  <si>
    <t xml:space="preserve"> Republic of the Philippines Province of Cebu MUNICIPALITY OF BALAMBAN Balamban, Cebu Telefax: (032) 316 – 4960 OFFICE OF THE BIDS and AWARDS COMMITTEE INVITATION TO BID FOR VETERINARY SUPPLIES AND MATERIALS 1.	The Municipality of Balamban, through the MAO</t>
  </si>
  <si>
    <t xml:space="preserve"> Please see attached file. . . .</t>
  </si>
  <si>
    <t xml:space="preserve"> INVITATION TO BID The Municipal Government of Gumaca, through its Bids and Awards Committee (BAC), invites suppliers/ manufacturers/ distributors/ contractors, to bid for the hereunder contract: Name of Contract		:	PURCHASE OF DISASTER RESPONSE VEHICLE (D</t>
  </si>
  <si>
    <t xml:space="preserve"> Republic of the Philippines Municipality of Taytay Taytay, Palawan NOTICE TO BIDDERS Item # Qty Unit Description Amount 1.   1    Lot    Information Technology (SERVER) The two envelope system of procurement shall be observed, Bidding documents shall be a</t>
  </si>
  <si>
    <t xml:space="preserve"> Printing of Quarantine Passes w/ Layout 40,000 pcs 4.25 x 5x25 inches Foldcote 10 paper</t>
  </si>
  <si>
    <t xml:space="preserve"> 1. 30800 ltr - Diesel 2. 200 ltr - Hydraulic oil 10w 3. 300 ltr - Engine oil 15w-40 4. 200 ltr - Engine oil 40 5. 50 ltr - Gear oil #90 6. 100 ltr - Gear oil #140 7. 60 ltr - Break fluid 8. 60 ltr. - Coolant 9. 20 kg - Grease</t>
  </si>
  <si>
    <t xml:space="preserve"> Republic of the Philippines Province of Occidental Mindoro MUNICIPALITY OF PALUAN Invitation to Bid for Rehabilitation of Multi-Purpose Hall/Tinangra  1.	The Local Government Unit of  Barangay IX-Tubili, Paluan, Occidental Mindoro  intends to apply the su</t>
  </si>
  <si>
    <t xml:space="preserve"> FOR DENGUE PREVENTION USE LGU Cabagan Cabagan, Isabela</t>
  </si>
  <si>
    <t xml:space="preserve"> INVITATION TO BID  IB-2020-012-GOODS-MIS Supply and Delivery of Additional Requirements for Innovative Document 1.	The Metropolitan Manila Development Authority (“MMDA”), through the 2019 LOCAL FUND  2020 Regular 2019  CONTINUING  intends to apply the sum</t>
  </si>
  <si>
    <t xml:space="preserve"> PR No. 2020-06-0054 - Supply and delivery of 4 rolls 8.0 mm² THW Wire (#8 AWG), (2-Black, 2-White) and nine (9) other items for use in the replacement of electrical wiring supplying Shop, Guard House and replacement of damaged lighting fixtures for Distri</t>
  </si>
  <si>
    <t xml:space="preserve"> Purchase of Franklin Motor Water Pump for Barangay Babo Sacan 1 Motor Power Pump</t>
  </si>
  <si>
    <t xml:space="preserve"> Procurement of Supply and Delivery of Office  Supplies &amp; Equipment 		Fuji Xerox DocuCentre 2320 2		Drum Cartridge 13		Toner PR# 2020-1002</t>
  </si>
  <si>
    <t xml:space="preserve"> Printer Epson L3110 6 units epson ink 003</t>
  </si>
  <si>
    <t xml:space="preserve"> Delivery of spare parts and Job Order for service vehicle</t>
  </si>
  <si>
    <t xml:space="preserve"> INVITATION TO BID  IB-2020-014-GOODS-FCSMO Supply and Delivery of Tool Box for use in the Repair and Maintenance of Various Pumping Station 1.	The Metropolitan Manila Development Authority (“MMDA”), through the RA 11465 GENERAL APPROPRIATIONS ACT Regular </t>
  </si>
  <si>
    <t xml:space="preserve"> The Barangay Government of Ibaca, President Roxas, Capiz, through the 20% Development Fund, intends to apply the sum of One Hundred Sixty Thousand Seven Hundred Pesos (Php 160,700.00) being the Approved Budget for the Contract (ABC) to payments under the </t>
  </si>
  <si>
    <t xml:space="preserve"> ITB NO.: 2020-E001 INVITATION TO BID FOR SUPPLY, DELIVERY and INSTALLATION OF  ONE (1) UNIT HOSPITAL BED ELEVATOR 1.	The PHILIPPINE ORTHOPEDIC CENTER (POC), through Hospital Income CY 2020, intends to apply the sum of  TEN MILLION PESOS (PhP 10,000,000.00</t>
  </si>
  <si>
    <t xml:space="preserve"> BARANGAY GOVERNMENT OF NABAG-O City of Valencia INVITATION TO BID FOR  SUPPLY AND DELIVERY OF 2 UNITS 3 TONNER FLOOR STANDING AIRCONDITIONER 1.	The BARANGAY GOVERNMENT OF NABAG-O, through the 2020 Annual Budget  intends to apply the sum of One hundred fif</t>
  </si>
  <si>
    <t xml:space="preserve"> INVITATION TO BID FOR Supply &amp; Delivery of Starter Kits for DOLE Program Beneficiaries (Goods 2020-35) 1.	The LOCAL GOVERNMENT UNIT OF SAN MATEO, ISABELA (LGU-SMI), through its Bids and Awards Committee  intends to apply the sum of FIVE HUNDRED FORTY-SIX </t>
  </si>
  <si>
    <t xml:space="preserve"> Purchase of Pocket Wifi with Sim and Load 200 pcs Pocket Wifi with Sim and Load can connect up to 5 devices simultaneously</t>
  </si>
  <si>
    <t xml:space="preserve"> Standard Form Number: SF-GOODS-60 Revised on May 2004 PR. Number: 2020-010 RFQ No.: 2020-06-010 PR Date: June 22. 2020 Philgeps Ref. No. 2019-025 2020-010 End User: Municipality of Paombong Closing Date: July 29, 2020. ABC: P 1,932,484.20 Time: 1:30 PM Si</t>
  </si>
  <si>
    <t xml:space="preserve"> Republic of the Philippines PROVINCE OF QUEZON MUNICIPALITY OF POLILLO ***** INVITATION TO BID FOR:  SUPPLY AND DELIVERY OF OFFICE EQUIPMENT &amp; DEVICES (PPE Capital Outlay) LGU Polillo, Quezon 1.	The Municipality of Polillo, through the Approved Budget 202</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</si>
  <si>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</si>
  <si>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Medical and Lab Supplies LGU Cabagan Cabagan, Isabela</t>
  </si>
  <si>
    <t xml:space="preserve"> FOOD GRADE STACKABLE CRATES 1000 PCS</t>
  </si>
  <si>
    <t xml:space="preserve"> wash gravel wash sand portland cement 10mm rsb hacksaw tie wire 3/8 x4x8 ord. plywood 2x2x12 coco lumber common nails no. 3 2 1/2 common nails 1 1/2 common nails 4x8x16 chb angle bar 1/4x1.5xx1.5x20 angle bar 3/16x1x1x20 c purlins 12mmx3x20 welding rod ro</t>
  </si>
  <si>
    <t xml:space="preserve"> The City Government of Pagadian, through its Bids and Awards Committee (BAC), invites suppliers/manufacturers/distributors to apply for eligibility and if found eligible, to bid for the hereunder supplies/goods charged to DIFFERENT OFFICES 200-5-02-05-020</t>
  </si>
  <si>
    <t xml:space="preserve"> INDOOR P3 20 PANELS  POWER DISTRIBUTOR 1 SET LED WALL 2 PANELS</t>
  </si>
  <si>
    <t xml:space="preserve"> Republika ng Pilipinas PAMAHALAANG LUNGSOD NG TACLOBAN (City Government of Tacloban) Kanhuraw Hill, Tacloban City 6500 BIDS AND AWARDS COMMITTEE INVITATION TO BID  REF #044-06-2020 (JUNE 29, 2020) PR# 2020- DATED 01-09-2020 7071961 The Procuring Entity th</t>
  </si>
  <si>
    <t xml:space="preserve"> INVITATION TO BID FOR THE PROCUREMENT OF SUPPLY &amp; DELIVERY OF PRINTING OF IEC MATERIALS      1.	The Department of Agriculture Regional Field Office 6 through the General Appropriations Act (GAA) of 2020 intends to apply the sum of One Million Five Hundred</t>
  </si>
  <si>
    <t xml:space="preserve"> INVITATION TO BID FOR THE PROCUREMENT OF SUPPLY &amp; DELIVERY OF ORGANIC FERTILIZER     1.	The Department of Agriculture Regional Field Office 6 through the General Appropriations Act (GAA) of 2020 intends to apply the sum of One Million Nine Hundred Seventy</t>
  </si>
  <si>
    <t xml:space="preserve"> Municipality of Indang, Cavite</t>
  </si>
  <si>
    <t xml:space="preserve"> One Job furnishing labor and materials for the improvement / construction of Multi Purpose Hall</t>
  </si>
  <si>
    <t xml:space="preserve"> INVITATION TO BID  IB-2020-011-GOODS-FCSMO Repair of Three (3) Units Sinamics Variable Frequency Drive of Pump No. 5, 7, and 8 of Taguig Pumping Station 1.	The Metropolitan Manila Development Authority (“MMDA”), through the RA 11465 GENERAL APPROPRIATIONS</t>
  </si>
  <si>
    <t xml:space="preserve"> Item No.	Unit	Qty.	Description of Articles				 1	unit	1	X-RAY MACHINE WITH CR SYSTEM (BRAND NEW)				 			GENERATOR				 			  - Power Rating: 32 kW 				 			  - Line Power: 230V to 480V3, ±10% (Frequency: 50/60Hz)				 			   - mA Range: 10 to 500				 			   - k</t>
  </si>
  <si>
    <t xml:space="preserve"> LOW TUNNEL VEGETABLE SEEDLING NURSERY  20 PCS</t>
  </si>
  <si>
    <t xml:space="preserve"> INVITATION TO BID  IB-2020-013-GOODS-PRFS Supply of Fiberglass Reinforced Plastic Pontoon with Polycarbonate Canopy for the use of Escolta-Pasig River Ferry 1.	The Metropolitan Manila Development Authority (“MMDA”), through the 2019 LOCAL FUND  2020 Regul</t>
  </si>
  <si>
    <t xml:space="preserve"> INVITATION TO BID FOR THE PROCUREMENT OF SUPPLY &amp; DELIVERY OF NSIC APPROVED HYBRID RICE SEEDS     1.	The Department of Agriculture Regional Field Office 6 through the General Appropriations Act (GAA) of 2020 intends to apply the sum of Eleven Million Peso</t>
  </si>
  <si>
    <t xml:space="preserve"> PRINTER FLASH DRIVE EXTERNAL POCKET WIFI</t>
  </si>
  <si>
    <t xml:space="preserve"> INVITATION TO BID FOR THE SUPPLY, INSTALLATION AND DELIVERY OF EQUIPMENT FOR THE NEWLY CONSTRUCTED PSAU INNOVATION CENTER- 2nd Posting PB-2020-101-009 1. The Pampanga State Agricultural University, through Fund 101, intends to apply the sum of P2,240,000.</t>
  </si>
  <si>
    <t xml:space="preserve"> (SUPPLY AND INSTALLATION OF ELECTRICAL CONNECTION, HARDWARE &amp; ACCESSORIES FOR THE OPERATION OF MUNICIPAL LANDFILL)</t>
  </si>
  <si>
    <t xml:space="preserve"> 1 Set Generator</t>
  </si>
  <si>
    <t xml:space="preserve"> 1.	The Quezon (Bukidnon) Water District (QBWD), through the Corporate Operating Budget CY 2020 intends to apply the sum of Twenty Three Million Seventy Four Thousand Two Hundred Forty Pesos &amp; 20/100  (Php 23,074,240.20) being the Approved Budget for the C</t>
  </si>
  <si>
    <t xml:space="preserve"> The Environmental Management Bureau 10 through the (GAA NDRRM FUND (Calamity Fund 2020) intends to apply the sum of [Five Million Seven Hundred Thousand Pesos Only]. (Php 5,700,000.00) being the Approved Budget for the Contract (ABC) to payments under the</t>
  </si>
  <si>
    <t xml:space="preserve"> The Environmental Management Bureau 10 through the (GAA NDRRM FUND (Calamity Fund 2020) intends to apply the sum of [Nine Million Pesos Only]. (Php 9,000,000.00) being the Approved Budget for the Contract (ABC) to payments under the contract for the Suppl</t>
  </si>
  <si>
    <t xml:space="preserve"> schedule opening of bids</t>
  </si>
  <si>
    <t xml:space="preserve"> INVITATION TO BID FOR THE SUPPLY, DELIVERY AND INSTALLATION OF AIRCON UNITS AT THE GS BUILDING-2nd Posting PB-2020-184-010 1. The Pampanga State Agricultural University, through Fund 184, intends to apply the sum of P773,000.00 being the Approved Budget f</t>
  </si>
  <si>
    <t xml:space="preserve"> Republic of the Philippines Province of Palawan Municipality of Roxas   BIDS AND AWARDS COMMITTEE INVITATION TO BID  FOR THE CONSTRUCTION OF MULTI-PURPOSE COVERED HALL AT MATALANGAO ELEMENTARY SCHOOL, CANDELARIA ELEMENTARY SCHOOL AND NEW CUYO ELEMENTARY S</t>
  </si>
  <si>
    <t xml:space="preserve"> Republic of the Philippines Province of Palawan Municipality of Roxas BIDS AND AWARDS COMMITTEE INVITATION TO BID FOR THE SUPPLY AND DELIVERY OF MATERIALS FOR THE REHABILITATION OF SHARED FACILITY AT SITIO CALAETEN, BARANGAY MALCAMPO, ROXAS, PALAWAN The L</t>
  </si>
  <si>
    <t xml:space="preserve"> Republic of the Philippines Province of Palawan Municipality of Roxas BIDS AND AWARDS COMMITTEE INVITATION TO BID FOR THE SUPPLY AND DELIVERY OF TIRES FOR VARIOUS VEHICLES The Local Government Unit of Roxas, Palawan, through the 2020 Annual Budget intends</t>
  </si>
  <si>
    <t xml:space="preserve"> Republic of the Philippines Cordillera Administrative Region PROVINCIAL GOVERNMENT OF ABRA Bangued Invitation to Bid for  UPGRADING OF BITUEN-LACUB ROAD 1.	The Provincial Government of Abra, through the Government of the Philippines funded under the Condi</t>
  </si>
  <si>
    <t xml:space="preserve"> Republic of the Philippines PROVINCE OF ZAMBALES IBA BIDS AND AWARDS COMMITTEE Invitation to Bid for the Package IV: Construction of Multi-Purpose Hall with Comfort Rooms for Male, Female and PWDs and Solar Panel Roofing and Construction of Water System w</t>
  </si>
  <si>
    <t xml:space="preserve"> REQUEST FOR QUOTATION Labor for Repair and Improvement of Ecumenical Chapel at CvSU Indang Campus 1. The Cavite State University (CvSU) invites interested firms/suppliers to submit quotation for the project “Labor for Repair and Improvement of Ecumenical </t>
  </si>
  <si>
    <t xml:space="preserve"> Republic of the Philippines Cordillera Administrative Region PROVINCIAL GOVERNMENT OF ABRA Bangued Invitation to Bid for  UPGRADING OF AGUIBO-MALIBCONG ROAD 1.	The Provincial Government of Abra, through the Government of the Philippines funded under the C</t>
  </si>
  <si>
    <t xml:space="preserve"> INVITATION TO BID 						 for the                                                                                                                                                                                  Supply and Delivery of various Construction M</t>
  </si>
  <si>
    <t xml:space="preserve"> Republic of the Philippines Province of Palawan Municipality of Roxas BIDS AND AWARDS COMMITTEE INVITATION TO BID FOR THE SUPPLY AND DELIVERY OF MATERIALS FOR THE INSTALLATION OF WATER TANKS AND LATRINES FOR EVACUATION CENTERS IN ROXAS, PALAWAN The Local </t>
  </si>
  <si>
    <t xml:space="preserve"> INVITATION TO BID NO. 003-06-2020 PROCUREMENT OF THE FIBER OPTIC INTERNET ENTERPRISE CONNECTION TO UPGRADE DEPED REGION XI OFFICE INTERNET NETWORK The Department of Education Region XI, through GAA 2020 Funds  intends to apply the sum of  Five Hundred Six</t>
  </si>
  <si>
    <t xml:space="preserve"> The Municipal Government of Atok, Benguet now invites bids for MDF CLUSTER 14-2020 PROJECTS AT CATTUBO, ATOK, BENGUET with the following Clustered Projects: 1.	CONSTRUCTION OF CONCRETE PAVEMENT AT BITO-BOTIAO ROAD WITH AN ABC OF P800,000.00;  2.	CONSTRUCT</t>
  </si>
  <si>
    <t xml:space="preserve"> 1 unit desktop computer (server) FOR SPO/SPM</t>
  </si>
  <si>
    <t xml:space="preserve"> Size: 14-1S" Memory: 1T RAM: 8G Processor: CORE; Series (Core) i3- Coreis) Latest oDR4 RAM 2qhz HDD or SSD</t>
  </si>
  <si>
    <t xml:space="preserve"> Republic of the Philippines PROVINCE OF ISABELA Ilagan REQUEST FOR QUOTATION (RFQ) FOR THE SUPPLY, DELIVERY AND INSTALLATION OF FIFTEEN (15) UNITS DRINKING WATER FOUNTAIN WITH COMPLETE ACCESSORIES NEGOTIATED PROCUREMENT-TWO FAILED BIDDINGS                </t>
  </si>
  <si>
    <t xml:space="preserve"> INVITATION TO BID FOR Supply &amp; Delivery of Jetmatic Pumps and Toilet Bowls (Goods 2020-34) 1.	The LOCAL GOVERNMENT UNIT OF SAN MATEO, ISABELA (LGU-SMI), through its Bids and Awards Committee  intends to apply the sum of SIX HUNDRED EIGHTY THOUSAND PESOS (</t>
  </si>
  <si>
    <t xml:space="preserve"> ITEM	QTY.	UNIT		ARTICLE AND DESCRIPTION				CEILING 					UNIT PRICE		TOTAL  								PRICE							 															 				Office: Department of Tourism, Culture and Arts of Manila				PR No. 844							 				Charge to: Other Supplies and Materials Expenses				OBR </t>
  </si>
  <si>
    <t xml:space="preserve"> Republic of the Philippines Province of Davao De Oro MUNICIPALITY OF COMPOSTELA BIDS AND AWARDS COMMITTEE (BAC) Invitation to Bid for Installation of Water Tank/Concrete Reservoir at NHA, San Antonio Barangay Maparat (ITB NO. 2020-06-031 - BID NO. 001) 1.</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</si>
  <si>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</si>
  <si>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</si>
  <si>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REQUEST FOR QUOTATION Supply and Delivery of Various Supplies, Materials and Equipment for Research Center 1. The Cavite State University (CvSU) invites interested firms/suppliers to submit quotation for the project “Supply and Delivery of Various Supplie</t>
  </si>
  <si>
    <t xml:space="preserve"> REQUEST FOR QUOTATION Supply and Delivery of Various Semi-Expendable Equipment for CvSU Silang Campus 1. The Cavite State University (CvSU) invites interested firms/suppliers to submit quotation for the project “Supply and Delivery of Various Semi-Expenda</t>
  </si>
  <si>
    <t xml:space="preserve"> 7	REAMS	BOOK PAPER SUB 20 LONG 1	SET	UNIVERSAL INK 4 SETS 3	REAMS	BOOK PAPER SUB 20 SHORT 2	UNIT	DVD 2	SET	TELEVISION SET 8	PCS	DVD TAPES NURSERY RHYMES 1	UNIT	WIFI GLOBE 2	PCS	PRISM 2	PCKS	IRON FILLINGS 10	BOT	ISOPROPHYLL ALCOHOL 70% 2	BOT	IODINE SOLUTIO</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</si>
  <si>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</si>
  <si>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10 pcs Folding beds (heavy duty) 2 pcs Thermal scanner digital 1 set Bp apparatus with stethoscope (ALPK2) 1 set Medical Kit 1 gal Alcohol 70% with moiusturizer 10 pcs Handsoap 10 pcs Hand Sanitizer 1 pc Tent 20 x 30 maruyama 2 pcs Nylon rope #18</t>
  </si>
  <si>
    <t xml:space="preserve"> REQUEST FOR QUOTATION Supply and Delivery of Materials for Construction of Bee House for CvSU Bee Program 1. The Cavite State University (CvSU) invites interested firms/suppliers to submit quotation for the project “Supply and Delivery of Materials for Co</t>
  </si>
  <si>
    <t xml:space="preserve"> 8	REAMS	BOOK PAPER SUBS 20 LONG 80	PCS	CARTOINA WHITE THICK 8	PCS	FLASH DRIVE 4GB 8	PCS	CORRECTION TAPE 20	PCS	DVD RW WITH CASE 8	ROLLS	DOUBLE ADHESIVE TAPE  16	ROLLS	SCOTCH TAPE 1/2 7	BOT	GLUE ALL PURPOSE  8	BOX	PAPER CLIPS 8	BOT	PENTEL PEN INK 7	REAMS	N</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</si>
  <si>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</si>
  <si>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3	pc	Alcohol 500ml (70% isoprophyl) 1	set	Terumo Needle  4	pc	Dicycloverine, 10 mg tablets 30	pc	Paracetamol 250 mg. 20	pc	Mefenamic Acid 250 mg 1	pc	Polar Bear 3	pc	Lagundi tablet  1	tube	Katinko Ointment  4	pc	Amoxicillin 250.mg 1	bottle	Betadine Gargle</t>
  </si>
  <si>
    <t xml:space="preserve"> REQUEST FOR QUOTATION Supply and Delivery of ICT Equipment for Research Center 1. The Cavite State University (CvSU) invites interested firms/suppliers to submit quotation for the project “Supply and Delivery of ICT Equipment for Research Center” with an </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</si>
  <si>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</si>
  <si>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10	REAMS	BOND PAPER A4 14	PCS	TEXT SCREW 2	PCS	WHISTLE 1	UNIT 	GAS STOVE DOUBLE WITH GAS TANK</t>
  </si>
  <si>
    <t xml:space="preserve"> 15	BAGS	CEMENT 20	PCS	RSB 2	CUBIC 	SAND 2	CUBIC 	GRAVEL 100	OCS	CHB#4 2	KL	COMMON NAIL#1 2	KL	COMMON NAIL#2 2	KL	TIE WIRE</t>
  </si>
  <si>
    <t xml:space="preserve"> 19	PCS	GI SHEET CORR 12FT 10	PAIR	JALOSIE BLADE WITH FRAME 17 B 199	PCS	TEXT SCREW 2	PCS	PAINT BRUSH #2</t>
  </si>
  <si>
    <t xml:space="preserve"> REQUEST FOR QUOTATION Supply and Delivery of Materials for Repair and Improvement of Ecumenical Chapel at CvSU Indang Campus 1. The Cavite State University (CvSU) invites interested firms/suppliers to submit quotation for the project “Supply and Delivery </t>
  </si>
  <si>
    <t xml:space="preserve"> REQUEST FOR QUOTATION Labor for Construction of Bee House for CvSU Bee Program 1. The Cavite State University (CvSU) invites interested firms/suppliers to submit quotation for the project “Labor for Construction of Bee House for CvSU Bee Program” with an </t>
  </si>
  <si>
    <t xml:space="preserve"> Republic of the Philippines Province of Cebu MUNICIPALITY OF BALAMBAN Balamban, Cebu Telefax: (032) 316 – 4960 OFFICE OF THE BIDS and AWARDS COMMITTEE INVITATION TO BID FOR COMMUNICATION EQUIPMENT (Projector) 1.	The Municipality of Balamban, through the O</t>
  </si>
  <si>
    <t xml:space="preserve"> QUANTITY	UNIT	ARTICLES				 		Desktop Computer				 25	units	System Unit :				 		          Proccessor : i5 - 9400F Coffee Lake Refresh				 		          Motherboard : H310M Pro - M2 Plus				 		          RAM : 8GB				 		          HDD : 1 TB				 		          SSD</t>
  </si>
  <si>
    <t xml:space="preserve"> QUANTITY	UNIT	ARTICLES				 60	rolls	Adhesive Tape, Scotch Tape 1"				 30	reams	Bond Paper, Long, S-20, Good Quality				 50	reams	Bond Paper, Short, S-20, Good Quality				 10	reams	Bond Paper, Short, S-24, Good Quality				 20	reams	Colored Paper, Long, Neo</t>
  </si>
  <si>
    <t xml:space="preserve"> 214 pcs of Flu Vaccine</t>
  </si>
  <si>
    <t xml:space="preserve"> QUANTITY	UNIT	ARTICLES				 300	packs	BREAKFAST :				 		          Egg with Hotdog and Rice				 		          Skinless Longganisa and Rice				 		          Dried Fish with Tomato and Rice				 		          Egg with Tuyo and Rice				 		          Tocino with Rice	</t>
  </si>
  <si>
    <t xml:space="preserve"> For CGSO Backhoe Loader (Sinomach 630 A) 1	set	Planetary Gear Assy. 		*****END*****</t>
  </si>
  <si>
    <t xml:space="preserve"> QUANTITY	UNIT	ARTICLES				 2	per/meter	Venetian Blinds (39mm x 98.5mm)				 3	per/meter	Venetian Blinds (38.25mm x 98mm)				 1	per/meter	Venetian Blinds (87mm x 52mm)				 2	per/meter	Venetian Blinds (71.5mm x 52mm)				 1	per/meter	Venetian Blinds (87mm x 5</t>
  </si>
  <si>
    <t xml:space="preserve"> QUANTITY	UNIT	ARTICLES				 100	packs	Spoon, Disposable, 20's				 100	packs	Fork, Disposable, 20's				 100	packs	Sando Bag, Plastic, Large, 100's				 100	bundles	Sando Bag, Plastic, Medium, 100's				 100	packs	Cup, Disposable, 50's				 100	packs	Cup, Paper</t>
  </si>
  <si>
    <t xml:space="preserve"> QUANTITY	UNIT	ARTICLES				 65	pcs	Pants				 130	pcs	Polo with Embroider				 40	pcs	Red T-Shirt with Collar				 		*****END*****				 		(See attached sample of Pants, Polo and T-Shirt with Collar)</t>
  </si>
  <si>
    <t xml:space="preserve"> QUANTITY	UNIT	ARTICLES				 5	unit	Office Table #4216, 33 x 36 inches				 1	unit	Conference Table, YC-06				 3	unit	Office Table #4212, 24 x 48 inches				 4	unit	Visitor's Chair B66				 1	unit	Office Table, Glass Top GA-13, 1.6m				 1	unit	Executive Chair </t>
  </si>
  <si>
    <t xml:space="preserve"> QUANTITY	UNIT	ARTICLES				 926	pcs	Hard Bound Cover				 		          Color: Blue				 		          Height: 3.5 inches				 		          Length: 16 inches				 		          Width: 9 inches				 		          Mechanism: 70mm				 		*****END*****</t>
  </si>
  <si>
    <t xml:space="preserve"> One Job furnishing Labor and Materials for the Rehabilitation / Construction of Drainage System</t>
  </si>
  <si>
    <t xml:space="preserve"> QUANTITY	UNIT	ARTICLES				 2	units	Printer				 		          L3110 or its equivalent				 		          All-in-One Printer (Print, Scan, Copy)				 		          Continuous Ink Support System				 		Desktop Computer				 1	unit	System Unit :				 		          Process</t>
  </si>
  <si>
    <t xml:space="preserve"> QUANTITY	UNIT	ARTICLES				 40	boxes	Bond Paper Sub 20 (70 GSM), Short  8.5" x 11", 5 reams/box				 50	boxes	Bond Paper Sub 20 (70 GSM), Long 8.5" x 13", 5 reams/box				 50	boxes	Bond Paper Sub 20 (70 GSM), A4 210mm x 297mm, 5 reams/box				 		*****END*****</t>
  </si>
  <si>
    <t xml:space="preserve"> QUANTITY	UNIT	ARTICLES				 2	units	File Cabinet, Lateral, Steel, 3-Drawer, Heavy Duty				 3	units	File Cabinet, Vertical, Steel, 4-Drawer, Heavy Duty				 2	units	Locker Cabinet, Metal, 15-Door (See attached sample)				 4	units	Rubber Boots Rack (See attac</t>
  </si>
  <si>
    <t xml:space="preserve"> QUANTITY	UNIT	ARTICLES				 25	boxes	Coffee, Sachet 3-in-1				 100	boxes	Ziplock Plastic Bag				 1000	pcs	Pail with Cover, Plastic, 5L				 1000	pcs	Whistle, Plastic				 200	pcs	Laundry Bar Soap				 30	packs	Toilet Paper, 2 Ply				 50	boxes	Alcohol, 75ml, 2</t>
  </si>
  <si>
    <t xml:space="preserve"> Improvement and Installation of the communication &amp; Internet System of the PMO-CRPIP NOTE: Jobber shall provide all materials, apparatus, equipment &amp; all other incidentals necessary in the scope of works. -Jobber shall be responsible of any necessary docu</t>
  </si>
  <si>
    <t xml:space="preserve"> QUANTITY	UNIT	ARTICLES				 2	unit	Laptop Computer				 		Specifications:				 		Model : X507UB - BR397T				 		Processor : Core i5 -8250U /BGA				 		Storage 1 TB HDD  5400 RPM				 		Video Card : 2gb HD Graphics(Built-In)				 		Memory: 4GB DDR4				 		Monitor:</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</si>
  <si>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</si>
  <si>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QUANTITY	UNIT	ARTICLES				 1	unit	Passenger Van				 		          1GD - FTV				 		          2.8 Diesel A/T				 		          4 cylinders, in-line type 16V DOHC with VNT and Intercooler				 		          176ps / 3400rpm - max output				 		          450 Nm / 1600</t>
  </si>
  <si>
    <t xml:space="preserve"> 185 pcs Flu Vaccine</t>
  </si>
  <si>
    <t xml:space="preserve"> QUANTITY	UNIT	ARTICLES				 4	pcs	Coco Post 4 x 4 x 8				 8	pcs	Coco Lumber 2 x 3 x 10				 40	pcs	Bamboo Sena, Whole				 2	kilos	CN# 3				 2	kilos	CN# 2				 50	rolls	Nylon Cord #90				 4	rolls	Net Nylon, Double, 1" x 6"				 2	units	Submersible Pump, 15 wat</t>
  </si>
  <si>
    <t xml:space="preserve"> REQUEST FOR QUOTATION Supply and Delivery of Materials for Construction of Hazardous Facility and Storage Room at CvSU Indang Campus 1. The Cavite State University (CvSU) invites interested firms/suppliers to submit quotation for the project “Supply and D</t>
  </si>
  <si>
    <t xml:space="preserve"> QUANTITY	UNIT	ARTICLES				 100	sacks	Commercial Rice				 25	boxes	Corned Beef, 155 grams, 48's				 200	pcs	Toothbrush				 200	pcs	Toothpaste, Sachet				 25	boxes	Bottled Water, 500ml, 24's				 		*****END*****</t>
  </si>
  <si>
    <t xml:space="preserve"> INVITATION TO BID FOR PROCUREMENT OF MATERIALS FOR CONSTRUCTION OF VAWC OFFICE 1.	The Barangay Macabayao, through the 20% Barangay Development Fund intends to apply the sum of Seventy-Four Thousand Nine Hundred Eighty Pesos Only (Php74,980.00) being the A</t>
  </si>
  <si>
    <t xml:space="preserve"> QUANTITY	UNIT	ARTICLES				 16	pcs	Clerical Chair with Gas Lift				 16	pcs	Office Table, 24 x 48				 1	pc	Executive Table				 1	pc	Executive High Back Chair with Gas Lift				 		******END*****				 		(See attached sample of tables and chairs)</t>
  </si>
  <si>
    <t xml:space="preserve"> Please Download Attachments: 1.  Bidding Documents (Instructions to Bidders) 2.  Invitation to Bid (ITB/Bid Form) 3.  Schedule of BAC Activities for the Project (Bid Bulletin)</t>
  </si>
  <si>
    <t xml:space="preserve"> Republic of the Philippines									 BIDS AND AWARDS COMMITTEE									 (Goods and Services)									 City Government of Baguio									 Baguio City									 									 Standard Form No.: SF -GOODS-60                                                   					</t>
  </si>
  <si>
    <t xml:space="preserve"> 105   subgrade preparation  201   aggregate base course  311   PCC pavement plain  SPL-1 warning &amp; hazard signs  SPL-2 const. health &amp; safety  SPL-3 billboard</t>
  </si>
  <si>
    <t xml:space="preserve"> Procurement of supply and delivery of Agricultural Supplies and Materials (fertilizers) 100	bags	Urea 100	bags	T-14 PR# 2020-1020</t>
  </si>
  <si>
    <t xml:space="preserve"> 105(1) subgrade preparation  201      aggregate base course  311(1) PCC pavement plain  SPL-1   warning &amp; hazard signs  SPL-2   const. health &amp; safety  SPL-3   billboard</t>
  </si>
  <si>
    <t xml:space="preserve"> RITEM	QTY.	UNIT		ARTICLE AND DESCRIPTION				CEILING 					UNIT PRICE		TOTAL 			 								PRICE										 																		 	           Ospital Ng Maynila Medical Center 					PR No. 705	Php238,120.00			OBR No. 100-2005-04600								 	           Ospital Ng M</t>
  </si>
  <si>
    <t xml:space="preserve"> Procurement of supply and delivery of corn mill 1	unit	Corn Mill 1.	Brand New Input capacity: 250 kg/hr 2.	Engine (Prime Mover) Brand New 12 Hp (Min.) Water-cooled diesel engine Maximum power developed: 80% of the rated maximum power Continuous power deve</t>
  </si>
  <si>
    <t xml:space="preserve"> Republic of the Philippines DEPARTMENT OF PUBLIC WORKS AND HIGHWAYS ILOILO 1st  DISTRICT ENGINEERING OFFICE Fort San Pedro Road, Iloilo City INVITATION TO BID FOR: 20GGF0017 – Procurement of Oxygen (content only) and Acetylene (content only) for use in th</t>
  </si>
  <si>
    <t xml:space="preserve"> ARTICLE AND DESCRIPTION										 ITEM	QTY.	UNIT						CEILING 			UNIT PRICE			TOTAL  								PRICE						 				Office: 	Department of Assessment			PR. No. 1765						 				Charge to :  SAF-Capital Outlay-Continuing Appropriation				OBR No. 100-1912-13280					</t>
  </si>
  <si>
    <t xml:space="preserve"> I N V I T A T I O N   T O   B I D 2020 - 120 June 29, 2020 1.	The Provincial Government of Tarlac through the Trust Fund intends to apply the sum of Three Million Eight Hundred Twenty-Three Thousand Four Hundred Sixty-Six Pesos and 50/100 (PhP 3,823,466.5</t>
  </si>
  <si>
    <t xml:space="preserve"> Republic of the Philippines DEPARTMENT OF PUBLIC WORKS AND HIGHWAYS ILOILO 1st  DISTRICT ENGINEERING OFFICE Fort San Pedro Road, Iloilo City INVITATION TO BID FOR: 20GGF0019 – Procurement of Consumables/Spare parts of various printers for use in the Plann</t>
  </si>
  <si>
    <t xml:space="preserve"> I N V I T A T I O N   T O   B I D 2020 - 119 June 29, 2020 1.	The Provincial Government of Tarlac through the TPH - Drugs and Medicines Expenses intends to apply the sum of Five Million One Hundred Seventy-Three Thousand Five Hundred Twenty-Seven Pesos an</t>
  </si>
  <si>
    <t xml:space="preserve"> fence and gate</t>
  </si>
  <si>
    <t xml:space="preserve"> Please see attached file (RFP-20-06-0499) for reference.</t>
  </si>
  <si>
    <t xml:space="preserve"> I. CONCRETE WORKS 			 QTY	UNIT		DESCRIPTION 2	load		S1 10 Wheeler  2	load		G1 10 Wheeler  162	bags		Cement 			 II. MASONRY WORKS			 1055	pcs		CHB 5"  93	bags		Cement 4	load		S1 10 Wheeler  2	roll		G.I. Tie Wire #16 ( 25 kg.) 95	pcs		DRB  10mm 			 III. FOR</t>
  </si>
  <si>
    <t xml:space="preserve"> MINI DUMP TRUCK, (Brand new), 4 Cylinders inline, water cooling,CDRI,15” Tire, inclusive of GSIS Insurance and LTO Registration</t>
  </si>
  <si>
    <t xml:space="preserve"> Republic of the Philippines DEPARTMENT OF PUBLIC WORKS AND HIGHWAYS ILOILO 1st  DISTRICT ENGINEERING OFFICE Fort San Pedro Road, Iloilo City INVITATION TO BID FOR: 20GGF0018 – Procurement of various Office Supplies for use in the Planning and Design secti</t>
  </si>
  <si>
    <t xml:space="preserve"> PLEASE SEE ATTACHED ITB.</t>
  </si>
  <si>
    <t xml:space="preserve"> CONSTRUCTION OF DRAINAGE WITH SIDEWALK Item No.	Description 	Unit	Quantity PART A 	GENERAL REQUIREMENTS		 a	Const.Safety and Health Program	Lot	 1.00  b	Project Billboard	Unit	 1.00  c	Mobilization/Demobilization	LS	 1.00  PART B 			 101	Removal of Existi</t>
  </si>
  <si>
    <t xml:space="preserve"> Supply and Delivery 150	PC	Ballpen, superfine point, black 36	PC	Clip, Foldback  2", black (3 boxes/12 pcs per box) 60	PC	Correction Tape 3000	PC	Folder, file, for legal size paper 24	BT	Glue, Non-toxic, clear 380	REM	Paper Bond, A4, white, subs. 20 60	PC</t>
  </si>
  <si>
    <t xml:space="preserve"> 47	        bags	   Portland Cement 7	        cu.m	   Washed Screened Sand &amp; Gravel 62	        pcs	    12 mm dia x 6m def bars 32	        pcs	    9 mm dia x 6m def bars 10	       kgs	    No, 16 Tie Wire 100	        bd.ft     20 pcs - 2" x 2" x 10' Form Lum</t>
  </si>
  <si>
    <t xml:space="preserve"> Supply and Delivery of Generator</t>
  </si>
  <si>
    <t xml:space="preserve"> ROAD CONCRETING Item No.	Description 	Unit	Quantity PART A 	GENERAL REQUIREMENTS		 a	Project Billboard	Lumpsum	 b	Mobilization/Demobilization	Lumpsum	 PART B 	Roads		 105(1)	Subgrade Preparation	sq.m.	 660.00  201	Aggregate Base Course	cu.m.	 55.00  311(1</t>
  </si>
  <si>
    <t xml:space="preserve"> Project Title:	Installation of Complete CCTV Lines with Internet (2nd Publication)						 Location:	Magsaysay, Davao del Sur						 Contract Duration:		30 CD					 							 							 							 BILL OF QUANTITIES							 							 ITEM #	DESCRIPTION			UNIT	QTY.	UNIT </t>
  </si>
  <si>
    <t xml:space="preserve"> ROAD CONCRETING Item No.	Description 	Unit	Quantity PART A	GENERAL REQUIREMENTS		 a	Const.Safety and Health Program	Lot	 1.00  b	Project Billboard	Unit	 1.00  105	Subgrade Preparation	sq.m.	 495.00  201	Aggregate Base Course	cu.m.	 41.25  311	Portland Cem</t>
  </si>
  <si>
    <t xml:space="preserve"> 352	     bags	       Portland cement	                                         28	     pcs	       9 mm dia x 6 m def bars 3.0 kgs	                 350       pcs	       4"x8"x16" CHB	                                         2	    kgs	       No. 16 G.I. Wire</t>
  </si>
  <si>
    <t xml:space="preserve"> Installation of System with Complete Parts at Accessories</t>
  </si>
  <si>
    <t xml:space="preserve"> Project Title:	New Construction of Level II Potable Water Supply System						 Location:	Cluster A-Acacia, San Isidro, Magsaysay, Davao del Sur						 Mode of Implementation:		By Contract					 Period of Implementation:		150 Calendar Days					 							 						</t>
  </si>
  <si>
    <t xml:space="preserve"> Project Title:	Concreting of Farm to Market Road From Poblacion to Sitio Akasya, San Miguel						 Location:	Poblacion to Sitio Akasya, San Miguel, Magsaysay, Davao del Sur						 Road Length:		 676.66 lin.m. 					 Roadway Width:		 10m 					 Road Carriagewa</t>
  </si>
  <si>
    <t xml:space="preserve"> 1,620 Pails Aluminum Sulfate, (Solid/Lumps) 17% W/W AI2O3 with maximum 10%  Impurities, 50 kg./bag (contained/sealed In plastic), average size: (solid/lump):25-30mm</t>
  </si>
  <si>
    <t xml:space="preserve"> 3RD QUARTER - 12,000.00 PESOS 4TH QUARTER - 12,000.00 PESOS</t>
  </si>
  <si>
    <t xml:space="preserve"> IMPVT/CONCRETING OF ROAD Item No.	Description 	Unit	Quantity PART A 	GENERAL REQUIREMENTS		 a	Const.Safety and Health Program	LS	 1.00  b	Project Billboard	Unit	 1.00  c	Mobilization/Demobilization	LS	 1.00  PART B 			 I	Item 500 -RCCP	l.m.	 42.00  II	Sto</t>
  </si>
  <si>
    <t xml:space="preserve"> FOR THIRD QUARTER - 1,800.00 FOR FOURTH QUARTER - 1,800.00</t>
  </si>
  <si>
    <t xml:space="preserve"> SEE ATTACH FILE</t>
  </si>
  <si>
    <t xml:space="preserve"> I N V I T A T I O N   T O   B I D 2020 – 121 June 29, 2020 1.	The Provincial Government of Tarlac through the PGO - Capital Outlay - Motor Vehicles intends to apply the sum of One Million Six Thousand One Hundred Twenty-Eight Pesos Only (PhP 1,006,128.00)</t>
  </si>
  <si>
    <t xml:space="preserve"> INVITATION FOR NEGOTIATION Name of Requirement/ Brief Description	One (1) Lot Supply of Labor, Tools, Materials, Equipment, and Technical Supervision for the Preventive Maintenance of Variable Refrigerant Volume (VRV) System and Split Type Air-Conditionin</t>
  </si>
  <si>
    <t xml:space="preserve"> Name of Projects: Construction of Retaining Wall @ Zumigui Creek -----------------	498,625.80 Location: Brgy. Zumigui	 	 Drainage Excavation along Lappa Creek ---------------------------	972,772.51 Location: Luna, Apayao</t>
  </si>
  <si>
    <t xml:space="preserve"> Supply of materials for the Construction of Public Comfort Room for Evacuation Center (Phase II)</t>
  </si>
  <si>
    <t xml:space="preserve"> Project Title:	Construction of Double Barrel Box Culvert						 Location:	Glamang, Magsaysay, Davao del Sur						 Dimension:	3m x 3m x 10m						 Mode of Implementation:		By Contract					 Period of Implementation:		135 Calendar Days 					 							 BILL OF QU</t>
  </si>
  <si>
    <t xml:space="preserve"> Project Location: San Sebastian, Luna, Apayao Materials for the Concreting of Farm To Market Road at Purok Sadiri Connected to Purok Saniata</t>
  </si>
  <si>
    <t xml:space="preserve"> 2 pcs D-Link DWR-920 1 pcs  Globe Prepaid Modem 1 pcs  Smart Prepaid Modem 100 pcs  Smart load cards @ 300 60 pcs Globe Load Cards @ 300 20 pcs TnT Load Cards @ 300 7 pcs load cards Globe @ 500 1 pc  Wireless mouse</t>
  </si>
  <si>
    <t xml:space="preserve"> ROAD CONCRETING Item No.	Description 	Unit	Quantity PART A 	GENERAL REQUIREMENTS		 a	Const.Safety and Health Program	LS	 1.00  b	Project Billboard	Unit	 1.00  c	Mobilization/Demobilization	Lot	 1.00  PART B 			 I	Subgrade Preparation	sq.m.	 726.00  II	Agg</t>
  </si>
  <si>
    <t xml:space="preserve"> I N V I T A T I O N   T O   B I D 2020 - 123 June 29, 2020 1.	The Provincial Government of Tarlac through the 20% DF '20 - Improvement of Centro - Diwa intends to apply the sum of Three Million Six Hundred Twenty-One Thousand Five Hundred Fifty-Six Pesos </t>
  </si>
  <si>
    <t xml:space="preserve"> Construction of Covered Court Stage with the following scope of works: 1.Earthworks 2.Concrete Works 3.Masonry 4.Electrical 5. Tile Works 6. Plumbing 7.Doors 8. Painting 9. Form and scaffolding</t>
  </si>
  <si>
    <t xml:space="preserve"> See Attach File</t>
  </si>
  <si>
    <t xml:space="preserve"> I N V I T A T I O N   T O   B I D 2020 - 122 June 29, 2020 1.	The Provincial Government of Tarlac through the 20% DF '20 - Improvement of IT Center intends to apply the sum of Forty-Six Million Four Hundred Seventy-Nine Thousand Four Hundred Seventy-One P</t>
  </si>
  <si>
    <t xml:space="preserve"> ITB-Manipis-ACU</t>
  </si>
  <si>
    <t xml:space="preserve"> Item	Qty.	A R T I C L E S				 1		CLEAN &amp; BEAUTIFICATION				 2	10 box	Paint, traffic yellow				 3	10 box	Paint blue				 4	10 box	Paint white				 5	10 gals	Paint thinner				 6	15 pcs	Paint brush #4				 7	10 pcs	Paint brush #2				 8	10 pcs	Roller brush w/tra</t>
  </si>
  <si>
    <t xml:space="preserve"> Item	Qty.	A R T I C L E S			 1		MOTOR VEHICLE			 2	1 unit	Motor cycle only			 3</t>
  </si>
  <si>
    <t xml:space="preserve"> Republic of the Philippines Province of Surigao del Sur MUNICIPALITY OF CANTILAN OFFICE OF THE BIDS AND AWARDS COMMITTEE INVITATION TO BID The Municipality of Cantilan allocates fund from MMK Award for the Supply &amp; Delivery of Bangus Fingerlings. NAME OF </t>
  </si>
  <si>
    <t xml:space="preserve"> I N V I T A T I O N   T O   B I D 2020 - 128 June 29, 2020 1.	The Provincial Government of Tarlac through the 20% DF '20 - Improvement of Concepcion District Hospital intends to apply the sum of Three Hundred Fifty Thousand Six Hundred Fifty-One Pesos and</t>
  </si>
  <si>
    <t xml:space="preserve"> I N V I T A T I O N   T O   B I D 2020 - 126 June 29, 2020 1.	The Provincial Government of Tarlac through the 20% DF - Infra Projects intends to apply the sum of Two Million Three Hundred Thousand Pesos Only (PhP 2,300,000.00) being the Approved Budget fo</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</si>
  <si>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</si>
  <si>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For use in the operations of Maintenance Section</t>
  </si>
  <si>
    <t xml:space="preserve"> Construction of Bleacher, Roof and Fabrication of 1unit Movable Basketball Goal and 1 unit Hanging Basketball Goal and Const. Of Comfort Rooms (Male &amp; Female)</t>
  </si>
  <si>
    <t xml:space="preserve"> Republic of the Philippines                   Department of Health	       CENTRAL OFFICE BIDS AND AWARDS COMMITTEE  INVITATION TO BID FOR THE PROCUREMENT OF MALARIA TEST KIT (ANTIGEN ASSAY) WITH MACHINE TIE-UP  IB NO. 2020-226 1.	The Department of Health </t>
  </si>
  <si>
    <t xml:space="preserve"> INVITATION TO BID The Local Government Unit of Jasaan, Jasaan, Misamis Oriental, through the 20% Development Fund (DF) intends to apply the sum of One Million Five Hundred Thousand Pesos and 00/100 (P1,500,000.00) being the Approved Budget for the Contrac</t>
  </si>
  <si>
    <t xml:space="preserve"> Purchase of Herbicide and Nylon #300</t>
  </si>
  <si>
    <t xml:space="preserve"> Section I. Invitation to Bid Republic of the Philippines PROVINCE OF CAGAYAN Municipality of Peñablanca PROVINCIAL BIDS AND AWARDS COMMITTEE INVITATION TO BID FOR  Supply and Delivery of Various Brand New Tires 1.	The Provincial Government of Cagayan, thr</t>
  </si>
  <si>
    <t xml:space="preserve"> INVITATION TO BID The Local Government Unit of Jasaan, Jasaan, Misamis Oriental, through the GF – Mayor’s Office (Representation Expenses) intends to apply the sum of Two Million Nine Hundred Fifty Three Thousand One Hundred Forty Four Pesos and 60/100 (P</t>
  </si>
  <si>
    <t xml:space="preserve"> INVITATION TO BID FOR PROVISION OF MULTI-YEAR CONTRACT FOR THE PROCUREMENT OF FUEL FOR DSWD VEHICLES USING FLEET CARD DISTRIBUTOR/ CREDIT FACILITY FOR CY 2020-2022 Second (2nd) Posting —  ITB NO. GOP/20-DSWD-033-A— (PR NO. 01-20001-PR-2020-04-00098, 20200</t>
  </si>
  <si>
    <t xml:space="preserve"> pls see attached</t>
  </si>
  <si>
    <t xml:space="preserve"> I N V I T A T I O N   T O   B I D 2020 - 125 June 29, 2020 1.	The Provincial Government of Tarlac through the 20% DF - Infra Projects intends to apply the sum of Two Million Five Hundred Thousand Pesos Only (PhP 2,500,000.00) being the Approved Budget for</t>
  </si>
  <si>
    <t xml:space="preserve"> I N V I T A T I O N   T O   B I D 2020 - 127 June 29, 2020 1.	The Provincial Government of Tarlac through the 20% DF '20 - Improvement of IT Park and Dormitory intends to apply the sum of One Million Four Hundred Ninety-Nine Thousand Nine Hundred Fifty-Tw</t>
  </si>
  <si>
    <t xml:space="preserve"> Republic of the Philippines Province of Surigao del Sur MUNICIPALITY OF CANTILAN OFFICE OF THE BIDS AND AWARDS COMMITTEE INVITATION TO BID The Municipality of Cantilan allocates fund from LDRRMO for the Supply &amp; Delivery of Two Units Rescue Vehicle. NAME </t>
  </si>
  <si>
    <t xml:space="preserve"> Republic of the Philippines BARANGAY CANAOALAN BIDS AND AWARDS COMMITTEE Binmaley, Pangasinan INVITATION TO BID The Barangay CALIT, Bimaley, Pangasinan through its Bids and Award Committee (BAC), invites supplier to apply for eligibility and to bid for th</t>
  </si>
  <si>
    <t xml:space="preserve"> Purchase of Emulsified Asphalt SS-1, Bituminous Concrete Surface Course, Thermoplastic Paint (White), Glass Beads, Primer, LPG (50kg), LPG (11kg) and Calsumine</t>
  </si>
  <si>
    <t xml:space="preserve"> Invitation to Bid for CONSTRUCTION OF CHILD DEVELOPMENT CENTER 1.	The Barangay La Fortuna Local Government Unit, through the Government of the Philippines, General Appropriation Act 2018 intends to apply the sum of Two Million Two Hundred Fifty Three Thou</t>
  </si>
  <si>
    <t xml:space="preserve"> Invitation to Bid for CONSTRUCTION OF TRIBAL CENTER 1. The Barangay Sawagan Local Government Unit, through the Government of the Philippines, General Appropriation Act 2018 intends to apply the sum of Three Million One Hundred Sixty Two Thousand Seven Hun</t>
  </si>
  <si>
    <t xml:space="preserve"> REPUBLIC OF THE PHILIPPINES National Office, Diliman, Quezon City             June 24, 2020 INVITATION TO BID 1.	The Bureau of Internal Revenue – National Office (BIR-NO), through the General Appropriations Act (GAA) FY 2020, intends to apply the sum of t</t>
  </si>
  <si>
    <t xml:space="preserve"> see attach file</t>
  </si>
  <si>
    <t xml:space="preserve"> Republic of the Philippines Province of Surigao del Sur MUNICIPALITY OF CANTILAN OFFICE OF THE BIDS AND AWARDS COMMITTEE INVITATION TO BID The Municipality of Cantilan allocates fund from Special Trust Fund (LDRRMF) for the Supply of Labor &amp; Materials for</t>
  </si>
  <si>
    <t xml:space="preserve"> Test Paper 3rd Quarter - 4, 039.00 4th Quarter - 4, 039.00  total amount of 8,078.00 Pesos</t>
  </si>
  <si>
    <t xml:space="preserve"> I N V I T A T I O N   T O   B I D 2020 - 129 June 29, 2020 1.	The Provincial Government of Tarlac through the 20% DF '20 - Improvement of IT Park and Dormitory intends to apply the sum of Two Hundred Thousand Nine Hundred Ninety-Nine Pesos and 73/100 (PhP</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</si>
  <si>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</si>
  <si>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One (1) Lot Preventive Maintenance of the Radio Communication System for BSP Head Office and Security Plant Complex, as per BSP Terms of Reference Contract Duration: Shall commence on the date stipulated in the Notice to Proceed to be issued by the Securi</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</si>
  <si>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</si>
  <si>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INVITATION TO BID FOR THE REPLACEMENT OF OLD PRODUCTIVITY EQUIPMENT: SUPPLY AND DELIVERY OF COMPUTER LAPTOPS FOR THE BOARD OF INVESTMENTS PBD_BOI No. 2020-05 1.	The Board of Investments, through the General Appropriation Act intends to apply the sum of Th</t>
  </si>
  <si>
    <t xml:space="preserve"> Aggregate Subbase Course  (For Intermittent Reblocking) Materials Only</t>
  </si>
  <si>
    <t xml:space="preserve"> Invitation to Bid for CONSTRUCTION OF PATHWAY  1.	The Barangay Bacay II Local Government Unit, through the Government of the Philippines, General Appropriation Act 2018 intends to apply the sum of Seven Hundred Thousand Sixty Three  Eight Hundred Eighty E</t>
  </si>
  <si>
    <t xml:space="preserve"> Invitation to Bid for CONSTRUCTION OF TRIBAL CENTER 1. The Barangay Don Mateo Local Government Unit, through the Government of the Philippines, General Appropriation Act 2018 intends to apply the sum of Three Million One Hundred Thirty Six Thousand Six Hu</t>
  </si>
  <si>
    <t xml:space="preserve"> INVITATION TO BID FOR  Construction of Multi-Purpose Building Phase-II (Procurement of Construction Materials) 1.	The Barangay Government of Napangan through the 2020 – 20% Barangay Development Fund intends to apply the sum of two hundred twenty thousand </t>
  </si>
  <si>
    <t xml:space="preserve"> Republic of the Philippines PROVINCE OF NUEVA VIZCAYA Municipality of Aritao BARANGAY BANGANAN BIDS AND AWARDS COMMITTEE ITB-COMMUNITY KITCHEN-20-07-001 INVITATION TO BID FOR REHABILITATION OF COMMUNITY KITCHEN FOR EVACUATION CENTER Barangay Hall Compound</t>
  </si>
  <si>
    <t xml:space="preserve"> Republic of the Philippines City of Manila Office of the Barangay Chairman The Barangay 699, Zone 76, District 5, Manila Through its Bid and Awards Committee (BAC), Invites all supplier with Certificate of Accreditation duly approved by the City Council o</t>
  </si>
  <si>
    <t xml:space="preserve"> Republic of the Philippines Cordillera Administrative Region PROVINCIAL GOVERNMENT OF ABRA Bangued Invitation to Bid for  IMPROVEMENT OF BUCAY-MANABO ROAD 1.	The Provincial Government of Abra, through the Budget for the Contract Approved by the Sanggunian</t>
  </si>
  <si>
    <t xml:space="preserve"> DESCRIPTION HP Elitebook 840 G6  •	Processor / Chipset:	Intel Core i7 (8th Gen) 8665U / 1.9 GHz •	RAM:	32GB •	Storage:	512 GB SSD - (M.2 2280) PCIe - NVM Express (NVMe) •	Software:		Windows PRO •	 Resolution:		1920 x 1080 pixels 2. DESKTOP COMPUTER i7  HP</t>
  </si>
  <si>
    <t xml:space="preserve"> Republic of the Philippines PROVINCE OF NUEVA VIZCAYA Municipality of Aritao BARANGAY BANGANAN BIDS AND AWARDS COMMITTEE ITB-COMMUNITY KITCHEN-20-07-002 INVITATION TO BID FOR CONSTRUCTION OF SEPARATE PUBLIC TOILET FOR MEN &amp; WOMEN Barangay Hall Compound, P</t>
  </si>
  <si>
    <t xml:space="preserve"> Invitation to Bid FOR THE UPLB-I-020-07-20 SUPPLY, DELIVERY, INSTALLATION, TESTING AND COMMISSIONING OF FIVE (5) AIRCONDITIONING UNITS AND TWO (2) UNITS AIR CURTAIN FOR OICA 1.	The UNIVERSITY OF THE PHILIPPINES LOS BAÑOS (UPLB), through the GOP (RCC: LB03</t>
  </si>
  <si>
    <t xml:space="preserve"> Air-conditioner, Ceiling Fan, Outdoor LED Screen, Outdoor Drinking Water</t>
  </si>
  <si>
    <t xml:space="preserve"> CONSTRUCTION OF ONE UNIT - TWO CLASSROOM  SCHOOL BUILDING 1.	The Barangay Sisimon Local Government Unit, through the Government of the Philippines, General Appropriation Act 2018 intends to apply the sum of Three Million Eight Hundred Sixty Four Thousand </t>
  </si>
  <si>
    <t xml:space="preserve"> I N V I T A T I O N   T O   B I D 2020 - 124 June 29, 2020 1.	The Provincial Government of Tarlac through the 20% DF - Infra Projects intends to apply the sum of Three Million Pesos Only (PhP 3,000,000.00) being the Approved Budget for the Contract (ABC) </t>
  </si>
  <si>
    <t xml:space="preserve"> Construction/Rehabilitation of Sidewalk</t>
  </si>
  <si>
    <t xml:space="preserve"> MOOE Request 2020 April, May, June</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</si>
  <si>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</si>
  <si>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</si>
  <si>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Supplies and Materials for Livelihood/Entrepreneurship Activities</t>
  </si>
  <si>
    <t xml:space="preserve"> Republic of the Philippines Province of Ilocos Sur Municipality of San Juan Barangay Lira  OFFICE OF THE BIDS AND AWARDS COMMITTEE INVITATION TO APPLY FOR ELIGIBILITY AND TO BID The Barangay Lira,San Juan,Ilocos Sur through the Bids and Awards Committee(B</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</si>
  <si>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</si>
  <si>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ARTICLE AND DESCRIPTION							 											 ITEM	QTY.	UNIT						CEILING 			 								PRICE			 											 				Office: Sta. Ana Hospital				PR No. 182			 				Charge to: Repairs and Maintenance - Machinery				OBR No. 100-2001-00207			 				                    </t>
  </si>
  <si>
    <t xml:space="preserve"> Republic of the Philippines BARANGAY LUMBANG OFFICE OF THE PUNONG BARANGAY BIDS AND AWARDS COMMITTEE INVITATION TO BID The Barangay Government of BARANGAY LUMBANG through its Bids and Awards Committee (BAC), invites suppliers/manufacturers/distributors to</t>
  </si>
  <si>
    <t xml:space="preserve"> Projectors,Computer printers, Desktop Computers, Laptop Computer, Sound System, Table microphone</t>
  </si>
  <si>
    <t xml:space="preserve"> Conference table and chairs</t>
  </si>
  <si>
    <t xml:space="preserve"> REPUBLIC OF THE PHILIPPINES  CITY OF MANILA BARANGAY 209 ZONE 19 DISTRICT 2 MANILA OFFICE OF THE BID AWARDS COMMITTEE BIDS &amp; AWARDS COMMITTEE INVITATION TO BID THE BARANGAY 209 ZONE 19 DISTRICT 2 TONDO,MANILA THROUGH ITS BID &amp; AWARDS COMMITTEE (BAC) INVIT</t>
  </si>
  <si>
    <t xml:space="preserve"> Assorted Plants, soil, fertilizer, garden supplies</t>
  </si>
  <si>
    <t xml:space="preserve"> Supply and delivery of Laptop with the following specs: 2 units * 1.4 GHz Quad-Core 8th Generation Intel Core i5 Processor, Turbo Boost up to 3.9GHz * 8 GB 2133MHz LPDDR3 Memory * 128GB SSD Storage * Retina Display with True Tone * Intel Iris Plus Graphic</t>
  </si>
  <si>
    <t xml:space="preserve"> CONSTRUCTION OF ONE UNIT - TWO CLASSROOM  SCHOOL BUILDING 1.	The Barangay Awao Local Government Unit, through the Government of the Philippines, General Appropriation Act 2018 intends to apply the sum of Three Million Eight Hundred Fifty Seven Thousand Si</t>
  </si>
  <si>
    <t xml:space="preserve"> Republic of the Philippines Province of Romblon MUNICIPALITY OF ALCANTARA -o0o- Invitation to Bid for   CONSTRUCTION OF TUGDAN SEAWALL Tugdan, Alcantara, Romblon The Municipal Government of Alcantara, Romblon through the  20% Annual Development Fund 2020 </t>
  </si>
  <si>
    <t xml:space="preserve"> STRAIGHT CONTRACT: REHABILITATION OF WATER SUPPLY SYSTEM: 1.  1 unit 800/1000lts stainless 304 overhead tank 2.  1 set 21 gals stainless pressure tank with complete accessories 3.  1 set 1 HP motor pump 4.  10 pcs ½ elbow w/ thread (moldex blue) PVC 5.  1</t>
  </si>
  <si>
    <t xml:space="preserve"> Description   Invitation to Re-Bid The Barangay San Vicente Hindang, Leyte through its Bids and Awards Committee (BAC) invites the PhilGEPS registered suppliers to apply to bid for the Supply and Delivery of Construction of Acces Road (Pathway). Intereste</t>
  </si>
  <si>
    <t xml:space="preserve"> NAME OF PROJECT:  Procurement of Personal Protective Equipment for MDRRMO                          LOCATION OF THE PROJECT:   LGU-Donsol, Sorsogon PROJECT REFERENCE NO     GOODS-PB-2020-004 Approved Budget for the Contract (ABC): ₱ 342,000.00 1	piece	18	T</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</si>
  <si>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</si>
  <si>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The Bids and Awards Committee (BAC) of Luis UyChiat Elementary School invites interested bidders of 2020 Procurement of Supplies to be used for Modular Learning.  Procurement of Supplies Months Covered: August-December 2020 Approved Budget of Contract: 79</t>
  </si>
  <si>
    <t xml:space="preserve"> Supply and installation of Signage with the following specifications: 1 unit DepEd "MISSION" Signage-two-sided with lightings inside * Dimension: Length- 181 cms.     Height- 154 cms.       Width- 20 cms 1 unit DepEd "VISION" Signage- two-sided with light</t>
  </si>
  <si>
    <t xml:space="preserve"> Republic of the Philippines Province of Ilocos Sur Municipality of San Juan Barangay Sunggiam OFFICE OF THE BIDS AND AWARD COMMITTEE INVITATION TO APPLY FOR ELIGIBILITY AND TO BID The Barangay Sunggiam,San Juan,Ilocos Sur through the Bids and Awards Commi</t>
  </si>
  <si>
    <t xml:space="preserve"> Republic of the Philippines BARANGAY SAN FRANCISCO OFFICE OF THE PUNONG BARANGAY BIDS AND AWARDS COMMITTEE INVITATION TO BID The Barangay Government of BARANGAY SAN FRANCISCO through its Bids and Awards Committee (BAC), invites suppliers/manufacturers/dis</t>
  </si>
  <si>
    <t xml:space="preserve"> 1 Lot Purchase of Brand New Networking Accessories 1 unit AC 1900 Dual Band LTE Wifi Modem Router    MIMO Technology; 2.4GHZ 3x3, 5GHZ 3x3    (PhP14,750.00) 1 unit AX11000 Tri-band 802.11ax Router Wifi6    8x external antenna; Processor: 1.8GHZ quad core </t>
  </si>
  <si>
    <t xml:space="preserve"> Invitation to Re- Bid The Barangay San Vicente Hindang, Leyte through its Bids and Awards Committee (BAC) invites the PhilGEPS registered suppliers to apply to bid for the Supply and Delivery for Upgrading of Barangay Sports Center. Interested bidders may</t>
  </si>
  <si>
    <t xml:space="preserve"> Republic of the Philippines Office of the Punong Barangay BIDS AND AWARDS COMMITTEE Barangay #18 San Isidro, Pasuquin, Ilocos Norte INVITATION TO BID FOR  Purchase of Construction Materials for the Construction of Animal Crossing and Walkway 1.	The BARANG</t>
  </si>
  <si>
    <t xml:space="preserve"> NAME OF PROJECT:  Fabrication, Accession of Furniture and Fixtures                        LOCATION OF THE PROJECT:  Donsol, Sorsogon PROJECT REFERENCE NO     GOODS-PB-2020-006 Approved Budget for the Contract (ABC): ₱ 995,000.00 1	7	set	Office Table with </t>
  </si>
  <si>
    <t xml:space="preserve"> Republic of the Philippines  Barangay 617, Zone 61, District VI, Manila Bids and Awards Committee INVITATION TO BID Barangay 617, Zone 61, District VI, Manila through its Bids and Awards Committee (BAC), Invites all Suppliers Contractors to bid the here u</t>
  </si>
  <si>
    <t xml:space="preserve"> NAME OF PROJECT:  Fabrication/Installation of Floating Dock (Pontoon)                         LOCATION OF THE PROJECT:   Dancalan, Donsol, Sorsogon PROJECT REFERENCE NO     GOODS-PB-2020-005 Approved Budget for the Contract (ABC): ₱ 5,988,000.00 1	488	Pcs</t>
  </si>
  <si>
    <t xml:space="preserve"> Department of Education Region VI-Western Visayas Division of Cadiz City Severino Escaro Elementary School INVITATION TO BID FOR THE PROVISION OF OFFICE SUPPLIES AND OTHER SUPPLIES AND MATERIALS 2020 1.	The Severino Escaro Elementary School (formerly Naga</t>
  </si>
  <si>
    <t xml:space="preserve"> SCOPE OF WORKS: I. FORMS &amp; SCAFFOLDING: II. CARPENTRY WORKS: (CEILING WORKS, KITCHEN CABINET,      BUILT IN CABINET 3 DOORS III. CONCRETE, MASONRY WORKS (KITCHEN SINK        SEPTIC TANK &amp; CATCH BASIN IV.  TILE WORKS: V.   SPECIAL ITEM (ACCESSORIES) VI.  P</t>
  </si>
  <si>
    <t xml:space="preserve"> Mode of Procurement: Small Value Procurement	 Prospective Bidders should submit their Quotation to the BAC Secretariat and should have a track record of having completed or supervised a project by administration or by contract, similar to and a cost of at</t>
  </si>
  <si>
    <t xml:space="preserve"> Section I. Invitation to Bid   Republic of the Philippines CITY GOVERNMENT OF SAN FERNANDO Barangay Pupus Email: brgy_puspus_csf@yahoo.com.ph INVITATION TO BID FOR  Rehabilitation of Health Center Barangay Puspus, City of San Fernando 1.	The Barangay Pusp</t>
  </si>
  <si>
    <t xml:space="preserve"> 48-50 meters long concrete footbridge</t>
  </si>
  <si>
    <t xml:space="preserve"> Republic of the Philippines Province of Cavite Municipality of Tanza BARANGAY SAHUD - ULAN INVITATION TO BID The Barangay Government of Sahud -Ulan through its Bids and Awards Committee (BAC), invites contractors with and classified by the Philippine Cont</t>
  </si>
  <si>
    <t xml:space="preserve"> Republic of the Philippines Office of the Punong Barangay BIDS AND AWARDS COMMITTEE Barangay #26 Salpad, Pasuquin, Ilocos Norte INVITATION TO BID FOR  Purchase of Construction Materials for the Construction of MRF and Continuation of the Construction of S</t>
  </si>
  <si>
    <t xml:space="preserve"> Description   Republic of the Philippines Province of Davao del Sur Municipality of Sta.Cruz Barangay Tibolo INVITATION TO BID PROCUREMENT OF RESCUE VEHICLE 1. The Barangay Government of Tibolo, Sta.Cruz, Davao del Sur, through the Barangay Fund intends t</t>
  </si>
  <si>
    <t xml:space="preserve"> Republic of the Philippines CITY GOVERNMENT OF SAN FERNANDO Barangay Pagadaraon Email: barangay_pagdaraoan_csf_lu_2019@yahoo.com INVITATION TO BID FOR  Rehabilitation of Multi-Purpose Hall Barangay Pagdaraoan, City of San Fernando 1.	The Barangay Pagdarao</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</si>
  <si>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</si>
  <si>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Please see attached Terms of Reference and Technical Specifications.</t>
  </si>
  <si>
    <t xml:space="preserve"> Republic of the Philippines Region XII Province of Cotabato BIDS AND AWARDS COMMITTEE Amas, Kidapawan City INVITATION TO BID FOR Supply &amp; Delivery of Engineering Laboratory Equipment for Provincial Engineer’s Office, Amas, Kidapawan City. (PB-20-211) 1.	T</t>
  </si>
  <si>
    <t xml:space="preserve"> Republic of the Philippines Office of the Punong Barangay BIDS AND AWARDS COMMITTEE Barangay #12 Puyupuyan, Pasuquin, Ilocos Norte INVITATION TO BID FOR  Purchase of Office Equipment 1.	The BARANGAY PUYUPUYAN-PASUQUIN, through the AO2020-3SAVINGS OF 10% S</t>
  </si>
  <si>
    <t xml:space="preserve"> Republika ng Pilipinas PAMAHALAANG LUNGSOD NG TACLOBAN (City Government of Tacloban) Kanhuraw Hill, Tacloban City 6500 BIDS AND AWARDS COMMITTEE INVITATION TO BID  REF #038(1)-06-2020 (JUNE 29, 2020) PR# 2020-621 DATED 05-21-2020 7073198 The Procuring Ent</t>
  </si>
  <si>
    <t xml:space="preserve"> Construction materials and other office supplies.</t>
  </si>
  <si>
    <t xml:space="preserve"> Republic of the Philippines Region XII Province of Cotabato BIDS AND AWARDS COMMITTEE Amas, Kidapawan City INVITATION TO BID FOR Supply &amp; Delivery of IV Fluids for Pres. Roxas Provincial Community Hospital, Pres. Roxas, Cotabato. (PB-20-345) 1.	The Provin</t>
  </si>
  <si>
    <t xml:space="preserve"> Republic of the Philippines Region XII Province of Cotabato BIDS AND AWARDS COMMITTEE Amas, Kidapawan City INVITATION TO BID FOR Supply &amp; Delivery of IV Fluids for Dr. Amado Diaz Provincial Foundation Hospital, Midsayap, Cotabato. (PB-20-340) 1.	The Provi</t>
  </si>
  <si>
    <t xml:space="preserve"> Republic of the Philippines         CITY GOVERNMENT OF TACURONG Alunan Highway, Tacurong City Sultan Kudarat BIDS AND AWARDS COMMITTEE                  Tel nos. (064) 562-0128 / Telefax no. (064) 477 - 0138         www.tacurong.gov.ph                     </t>
  </si>
  <si>
    <t xml:space="preserve"> Cleaning Supplies and Materials</t>
  </si>
  <si>
    <t xml:space="preserve"> Quadrivalent pre-filled syringe</t>
  </si>
  <si>
    <t xml:space="preserve"> 3 Units of Rain Water Collector Cabanuyoan Elem. Sch., Mambog Elem. Sch. and Cabrera Elem. Sch., Dimasalang, Masbate</t>
  </si>
  <si>
    <t xml:space="preserve"> Republic of the Philippines Region XII Province of Cotabato BIDS AND AWARDS COMMITTEE Amas, Kidapawan City INVITATION TO BID FOR Supply &amp; Delivery of Medical Supplies for Dr. Amado Diaz Provincial Foundation Hospital, Midsayap, Cotabato. (PB-20-341) 1.	Th</t>
  </si>
  <si>
    <t xml:space="preserve"> Please see attached ITB. ABC: 249,800.00</t>
  </si>
  <si>
    <t xml:space="preserve"> Please see attached ITB ABC: 724,215.40</t>
  </si>
  <si>
    <t xml:space="preserve"> Halogen bulb: 10W 6V Glucose: BSA 10x50ml Urea/BUN UV: 5x50ml Cotton Balls: 300's Diestro ISE Calibrator Pack: - Diestro Sodium Conditioner: - Diestro Trilevel Control: - Syringe: disposable 1cc G25x5/8 100's Examination Gloves: Small Examination Gloves: </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</si>
  <si>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</si>
  <si>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Multivitamins+Iron syrup: 60ml Amoxicillin tab: 500mg 100's Amoxicillin: cap 500mg 100s Amoxicillin Drops: 100mg/1.5ml 60ml Amoxicillin: susp 250mg/5ml 60ml Anti-Tetanus Serum: 1500 iu ampoule Azithromycin Dihydrate: 500mg 100's Benzathine Penicillin vial</t>
  </si>
  <si>
    <t xml:space="preserve"> Standby Power: 50KVA (50KW) Voltage: 220/440Volts Phasing: Single Frequency:50Hz Speed:1500rpm Alternator: STAMFORD Control system: Standard Digital Panel Silent Type</t>
  </si>
  <si>
    <t xml:space="preserve"> Construction/Improvement of Water System (Construction of Additional Intake Box)</t>
  </si>
  <si>
    <t xml:space="preserve"> Site Works, Concrete Works, Reinforcing Steel Bars, Formworks &amp; Scaffolding: Two (2) Use, Masonry Works Steel Works, Roofing Works, Ceiling Works (Interior &amp; Exterior), Doors And Windows, Plumbing Works, Tile Works, Electrical Works, Painting Works, Proje</t>
  </si>
  <si>
    <t xml:space="preserve"> ALT/SGPT: Automated 5x40+5x10ml AST/SGOT: Automated 5x10ml+5x10ml BUN: Automated 5x40+5x10ml Calibrator: 5x5ml 5Cotton Balls: 300's Dengue NS1Ag+Ab Combo: 10's Diestro Trilevel Control: - Diluent: 20 liter E-Z Cleanser: 100ml Face Mask: 50s Glucose Strips</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</si>
  <si>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</si>
  <si>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REPUBLIC OF THE PHILIPPINES PROVINCE OF CAMARINES SUR MUNICIPALITY OF BAAO BARANGAY SAGRADA INVITATION TO BID FOR THE INSTALLATION OF STREET LIGHTING-Zone 1-Zone 6 1.	The LOCAL GOVERNMENT UNIT OF BARANGAY SAGRADA, through the Annual Budget 2020 and Supple</t>
  </si>
  <si>
    <t xml:space="preserve"> 1. Name of Project: Purchase of One (1) Unit Ambulance/Emergency Medical Transport  Brief Description: Purchase of One (1) Unit Ambulance/Emergency Medical Transport with the following specifications and features: Displacement : 2488 cc Engine Type : Inli</t>
  </si>
  <si>
    <t xml:space="preserve"> Procurement ID/Contract ID		:  20 IK 0098     Contract Name				:  Construction of Modified Design with Parapet of 4-strorey, Twenty (20)     Classroom School Building project     Contract Location			:  Catbalogan II Central Elementary School, Catbalogan C</t>
  </si>
  <si>
    <t xml:space="preserve"> ALT/GPT: 5x50ml AST/GOT: 5x50ml Chemistry Calibrator: 5x5ml Cholesterol: HDL/LDL Calibrator 1x1ml Triglycerides: 10x50ml Urea/BUN UV: 5x50ml Cotton Balls: 300's Syringe: disposable 1cc, G-25 x 5/8" Examination Gloves: Small Examination Gloves: Large Face </t>
  </si>
  <si>
    <t xml:space="preserve"> A construction project of the Barangay Dicayas, Dipolog City Talipapa public market with two (2) Comfort rooms</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</si>
  <si>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</si>
  <si>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Republic of the Philippines Province of Masbate Municipality of Claveria Construction of One (1) Storey, 474 Square  Meters DRRM Building  The MLGU-Claveria, Masbate, through the General Fundintends to apply the sum of Nine Million Four Hundred Sixty Five</t>
  </si>
  <si>
    <t xml:space="preserve"> ~~~~~~~~~~~~~~~~~~~~~~~~~~~~~~~~~~~~~~~~~~~~~~~~~~~~~~~~~~~ 	20		CUM		SAND   = _____________________________________________________________ 	10		CUM		GRAVEL  = _____________________________________________________________				 	1,700	PCS.		HOLLOW BLOCKS #</t>
  </si>
  <si>
    <t xml:space="preserve"> Please see attached ITB. ABC: 407,000.00</t>
  </si>
  <si>
    <t xml:space="preserve"> Bamboo Poles: - Amazon Net: 1/2" (hole size) 4'x98m (1 roll) Rubber Tub: - Rubber Tub: - Vacuum Sealer: - Plastic Pail: 20liter capacity Weighing Scale: - Weighing Scale: 10 kg Rubber gloves: - Fish: Assorted Salt: (rock salt)</t>
  </si>
  <si>
    <t xml:space="preserve"> Trash Bin: (Biodegradable/Non-Biodegradable) Seedling Tray: 128 holes Fine Mesh Net: - Rice Hull: (Carbonized) Jetmatic pump: with 2 G.I Pipe 1 1/2 sched. 40 Knapsack Sprayer: -</t>
  </si>
  <si>
    <t xml:space="preserve"> Organic Fertilizer: 50kgs Vital N: - Treelizer: - Insecticide/Insect Killer: 250ml Herbicide: -</t>
  </si>
  <si>
    <t xml:space="preserve"> Vermicast: - Urea: - Complete Fertilizer: (14-14-14) Foliar Fertilizer: - Sowing Media: - Soil Inoculant/Conditioner: - Organic Fertilizer: -</t>
  </si>
  <si>
    <t xml:space="preserve"> Weighing Scale: Digital 10kg Weighing Scale: Manual 10kg Impulse sealer: 16" manual Stainless Tank: - Plastic Container: Food Grade 20L Capacity Plastic Drum: 200 liter Tray: Stainless (Food Grade) Strainer: Fine, Stainless (Food Grade) Ladle (Sandok): St</t>
  </si>
  <si>
    <t xml:space="preserve"> Cucumber: Ambassador 50g Eggplant: Fortuner 50g Pechay: (Pavito) Sitao: Sandigan Okra: (Smooth green) Kangkong: Tsina LP Pak Choi: 100g</t>
  </si>
  <si>
    <t xml:space="preserve"> Rubber Band: - Oatmeal: (Instant) 800g Powdered Gulaman: 10's Surgical Face Mask: - Polypropylene plastic: 12x6x3 500/bundle Sanitizing Gel: 60ml/bottle Dishwashing Liquid: Antibac Scrubbing Pad: - Paper Bag: #2 Brown Polypropylene plastic: 4x12 Super ela</t>
  </si>
  <si>
    <t xml:space="preserve"> CONSTRUCTION OF DRAINAGE CANAL Portion along Osmeña Street (Kalye Daku)</t>
  </si>
  <si>
    <t xml:space="preserve"> 1 Unit Solar Panel Location: Buenaflor, Dimasalang, Masbate</t>
  </si>
  <si>
    <t xml:space="preserve"> Please see attached ITB. ABC: 386,000.00</t>
  </si>
  <si>
    <t xml:space="preserve"> Adhesive: Double Edge tape 1" Ballpen: Black Ballpen: Blue Ballpen: Red Ballpen: Retractable 3's Binder Clip: 2" Bond Paper: Long, 8.5x13, S‐24 Bond Paper: Short, 8.5x11, S‐24 Board: Large Correction Tape: ‐ Envelope: Brown, Long Envelope: Brown, Short En</t>
  </si>
  <si>
    <t xml:space="preserve"> Notice of Eligibility and Short Listing MR. RAYMOND DIZON Managing Director IPG Mediabrands Phils., Inc. 29F The Trade and Financial Tower 7th Avenue corner 32nd Street Global City, Taguig City MR. HERMAN Z. ONGKIKO President and Chief Operating Officer O</t>
  </si>
  <si>
    <t xml:space="preserve"> Concreting of Barangay Road, Phase I</t>
  </si>
  <si>
    <t xml:space="preserve"> Foliar Fertilizer: - Soil Conditioner: - Pesticides Agent: - Fungicides: - Urea: - Ammonium Phosphate: - Muriate of Potash: - Agricultural Lime: - Soil Conditioner: - Complete Fertilizer: -</t>
  </si>
  <si>
    <t xml:space="preserve"> Request for Quotation on THE SUPPLY AND DELIVERY OF VARIOUS CONSTRUCTION MATERIALS AND SUPPLIES FOR THE REPAIR AND CONSTRUCTION OF GARLIC-RELATED FACILITIES 1. The Bureau of Plant Industry-Davao National Crop Research Development and Production Support Ce</t>
  </si>
  <si>
    <t xml:space="preserve"> Designation: Provincial Value Chain Specialist Contract Period: July-December 31,2020(renewable) Place of Assignment: Pagadian,Zamboanga del Sur  Qualification Requirements: 1. At least 4 years work experience  in the agribusiness development,especially m</t>
  </si>
  <si>
    <t xml:space="preserve"> Grass Cutter: - Power Sprayer: -</t>
  </si>
  <si>
    <t xml:space="preserve"> Coffee seed: Liberica &amp; Excelsa</t>
  </si>
  <si>
    <t xml:space="preserve"> Construction of 37.80 linear meter x 1.35 meter fence with plastering at one side only</t>
  </si>
  <si>
    <t xml:space="preserve"> Construction 52.0 linear meter x4.0 wide barangay road</t>
  </si>
  <si>
    <t xml:space="preserve"> INVITATION TO BID FOR INSTALLATION AND UPGRADE OF NORSU ICT DATABASE CENTER INFRASTRUCTURE FOR NORSU MAIN CAMPUSES I &amp; II Project Reference No.: GOOD2020-05-05 1. The Negros Oriental State University (NORSU) Campuses and the Bids and Awards Committee (BAC</t>
  </si>
  <si>
    <t xml:space="preserve"> INVITATION TO BID Republic of the Philippines Province of Antique Municipality of Anini-y Barangay Sagua, Anini-y Antique BIDS &amp; AWARDS COMMITTEE Invitation to Bid for CONCRETING OF BARANGAY ROAD 	 The BLGU, Sagua, Anini-y,  Antique, through the 20 % IRA </t>
  </si>
  <si>
    <t xml:space="preserve"> MUNICIPALITY OF ABRA DE ILOG Name of Procuring Entity						 Contract Reference Number Goods No. 28-2020 Name of Contract: Supply and Delivery of UGT (Upper Ground Tank) for Fuel  Location LGU, ADIOM Republic of the Philippines Province of Occidental Mindo</t>
  </si>
  <si>
    <t xml:space="preserve"> Item Description INTERNET SUBSCRIPTION Connection Type: Fiber Optics             Must be leased-line, enterprise or corporate Bandwidth: can reach up to 300mbps CIR (guaranteed speed): 10mbps Contract Period: June to December 2020 (7 months) PLEASE SEE AS</t>
  </si>
  <si>
    <t xml:space="preserve"> MUNICIPALITY OF ABRA DE ILOG Name of Procuring Entity						 Contract Reference Number Goods No. 26-2020 Name of Contract: Supply and Delivery of Materials for the Construction of Concrete Canal (Additional Works)  Location Brgy. Cabacao, ADIOM Republic of</t>
  </si>
  <si>
    <t xml:space="preserve"> MUNICIPALITY OF ABRA DE ILOG Name of Procuring Entity						 Contract Reference Number Goods No. 25-2020 Name of Contract: Supply and Delivery of Goods for  Day Care Children of Abra de Ilog, Occ. Mindoro Location:  LGU, ADIOM Republic of the Philippines P</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</si>
  <si>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</si>
  <si>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Frequency range VHF: 136 –174 MHz UHF: 440 – 470 MHz 16 channels</t>
  </si>
  <si>
    <t xml:space="preserve"> PROCUREMENT OF ONE (1) UNIT SURPLUS ELF TRUCK (16 FT)</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</si>
  <si>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</si>
  <si>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Qty	Unit		Description	 8 	pcs 	Council Table with Drawer			                 Size 100cm x 50cm x 75cm                 Color Black Walnut 1	pc	Punong Barangay’s Table			 		Conference Desk with BigOver Hole 		Wing Management, with 2 open Drawers, 		Size: 100</t>
  </si>
  <si>
    <t xml:space="preserve"> ============================================================= 	8		PCS		SOLAR LAMP WITH PANEL BOARD   = -------------------------------------------------------------------------------------------------- 	6	 	LENGTH		GI PIPE #2   = -------------------------</t>
  </si>
  <si>
    <t xml:space="preserve"> PR NO. 0793 - 20                 Republic of the Philippines         CITY GOVERNMENT OF TACURONG Alunan Highway, Tacurong City Sultan Kudarat BIDS AND AWARDS COMMITTEE                  Tel nos. (064) 562-0128 / Telefax no. (064) 477 - 0138         www.tac</t>
  </si>
  <si>
    <t xml:space="preserve"> Republic of the Philippines                CITY GOVERNMENT OF TACURONG Alunan Highway, Tacurong City Sultan Kudarat BIDS AND AWARDS COMMITTEE                  Tel nos. (064) 562-0128 / Telefax no. (064) 477 - 0138      www.tacurong.gov.ph                 </t>
  </si>
  <si>
    <t xml:space="preserve"> The Ministry of Labor and Employment MOLE – BARMM through the Bids and Awards Committee (BAC), hereby invites all interested supplier registered with the Philippine Government Electronic Procurement System (PHILGEPS), to quote their lowest price for the h</t>
  </si>
  <si>
    <t xml:space="preserve"> Republic of the Philippines Office of the Punong Barangay BIDS AND AWARDS COMMITTEE Barangay #18 San Isidro, Pasuquin, Ilocos Norte INVITATION TO BID FOR  Purchase of Materials for the Various Barangay Projects 1.	The BARANGAY BINSANG -PASUQUIN, through t</t>
  </si>
  <si>
    <t xml:space="preserve"> Medical, Dental &amp; Laboratory Supplies -------161,900.00</t>
  </si>
  <si>
    <t xml:space="preserve"> Steel Works, Installation of Boards and Rings, Concrete Works and Painting</t>
  </si>
  <si>
    <t xml:space="preserve"> Knapsack Sprayer: - Plastic Drum: 200 liter Sprinkler: - Shovel (Pala): - Hoe: - Scythe: - Plastic Mulch: - String: - Fish net: -</t>
  </si>
  <si>
    <t xml:space="preserve"> Republic of the Philippines CITY GOVERNMENT OF SAN FERNANDO Barangay II Email: brgy_two_csf@yahoo.com.ph INVITATION TO BID FOR  PROCUREMENT AND DELIVERY OF ONE (1) UNIT BRAND NEW MOTORCYCLE 1.	The Barangay II, through the Barangay Fund intends to apply th</t>
  </si>
  <si>
    <t xml:space="preserve"> Kindly download attached Invitation to Bid. Thank you.</t>
  </si>
  <si>
    <t xml:space="preserve"> I	EARTHWORKS	 	 	 	 	 	   	A.	Excavation	 	 	 	439.6	 cu.m   	B.	Backfilling and Compaction	 	 	439.6	 cu.m   	D.	Concrete Breaking and Disposal	 	54.8	 sq.m   	E.	Restoration	 	 	 	8.22	 cu.m   	 	 	 	 	 	 	 	  PIPES AND FITTINGS MATERIAL A.	150mm uPVC P</t>
  </si>
  <si>
    <t xml:space="preserve"> see attachment</t>
  </si>
  <si>
    <t xml:space="preserve"> Request for Quotation on SUPPLY OF ONE (1) UNIT OF VACUUM PACK SEALER 1. The Bureau of Plant Industry-Davao National Crop Research Development and Production Support Center (BPI-DNCRDPSC) intends to apply the sum of Eighty Thousand Pesos (₱ 80,000.00) bei</t>
  </si>
  <si>
    <t xml:space="preserve"> Republika ng Pilipinas PAMAHALAANG LUNGSOD NG TACLOBAN (City Government of Tacloban) BIDS AND AWARDS COMMITTEE INVITATION TO BID (June 29, 2020) 20-017 7073140 The City Government of Tacloban thru the Special Education Fund-Current Appropriation, intends </t>
  </si>
  <si>
    <t xml:space="preserve"> Please refer to attached Invitation to Bid (ITB) for complete details. The Project Sites are: For Lots 1-4: Davao Herbal Processing Plant, J.P. Laurel Ave, Bajada, Davao City For Lots 5-9: Cagayan Valley Herbal Processing Plant, Carig, Tuguegarao City</t>
  </si>
  <si>
    <t xml:space="preserve"> Republic of the Philippines BARANGAY 7 OFFICE OF THE PUNONG BARANGAY BIDS AND AWARDS COMMITTEE INVITATION TO BID The Barangay Government of BARANGAY 7 through its Bids and Awards Committee (BAC), invites suppliers/manufacturers/distributors to bid for the</t>
  </si>
  <si>
    <t xml:space="preserve"> INVITATION FOR NEGOTIATED PROCUREMENT FOR Procurement of Laboratory Equipment for the Aviation Maintenance Department of the College of Industrial Technology NORSU Main Campus (Negotiated) Project Reference No.: GOOD2020-00-02 1. In view of the Two (2) fa</t>
  </si>
  <si>
    <t xml:space="preserve"> Republic of the Philippines Region XII Province of Cotabato BIDS AND AWARDS COMMITTEE Amas, Kidapawan City INVITATION TO BID FOR Supply &amp; Delivery of Swine for distribution to qualified beneficiaries provincewide. (PB-20-047) 1.	The Provincial Government </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</si>
  <si>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</si>
  <si>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REPUBLIC OF THE PHILIPPINES PROVINCE OF CAMARINES SUR MUNICIPALITY OF BAAO BARANGAY SAGRADA INVITATION TO BID FOR THE CONSTRUCTION OF OPEN DRAINAGE CANAL AT ZONE 4-5 1.	The LOCAL GOVERNMENT UNIT OF BARANGAY SAGRADA, through the Annual Budget 2020 and Supp</t>
  </si>
  <si>
    <t xml:space="preserve"> PROCUREMENT OF ONE (1) UNIT SURPLUS DUMP TRUCK</t>
  </si>
  <si>
    <t xml:space="preserve"> INVITATION TO BID The DPWH Bukidnon 1st District Engineering Office, Malaybalay City, through its Bids and Awards Committee (BAC), invites contractors to submit bids for the following Contracts:   1	Contract ID 	:	20KA0097 (Readvertisement) 	Contract Name</t>
  </si>
  <si>
    <t xml:space="preserve"> 150 - Vaccines (for Dogs)</t>
  </si>
  <si>
    <t xml:space="preserve"> Republic of the Philippines Province of Bohol Municipality of Danao Invitation to Bid for  IMPROVEMENT OF BARANGAY COVERED COURT, BRGY. MAGTANGTANG 1.	The Municipality of Danao, Bohol  through the GF [Local Development Plan (20% of IRA) FY 2020]   intends</t>
  </si>
  <si>
    <t xml:space="preserve"> Republic of the Philippines Province of Bohol Municipality of Danao Invitation to Bid for  IMPROVEMENT / REHABILITATION OF LOCAL ACCESS ROAD OF BARANGAY HIBALE 1.	The Municipality of Danao, Bohol  through the GF [Local Development Plan (20% of IRA) FY 202</t>
  </si>
  <si>
    <t xml:space="preserve"> 1	pc	C/Slave kit 3/4		 1	lit	B/Fluid DOT-4		 1		REP C/SLAVE KIT		 1	pc	RADIATOR ASSY		 1	gal	DEW SPORTS		 1	lit	DELO SPORTS		 1	pc	Oil Filter		 1	pc	Fuel Filter		 2	gal	Coolant		 2	pcs	Hood Dumper		 1	pc	Relay		 1	pc	Socket 5T		 		Rep. Url Filter		 		Rep </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</si>
  <si>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</si>
  <si>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Republic of the Philippines Province of Bohol Municipality of Danao Invitation to Bid for  IMPROVEMENT / REHABILITATION OF LOCAL ACCESS ROAD FROM SAN CARLOS TO DAGOHOY ROAD 1.	The Municipality of Danao, Bohol  through the GF [Local Development Plan (20% o</t>
  </si>
  <si>
    <t xml:space="preserve"> INVITATION TO  BID # 017-2020    The Municipal Government  of Aguilar, through its Bids and Awards Committee (BAC) invites suppliers/ manufacturers/contractors to bid for the hereunder project:.    Name of the Project: PURCHASE OF SPRAY CHEMICALS FOR MOSQ</t>
  </si>
  <si>
    <t xml:space="preserve"> Invitation to Bid No.: 2020-06-05 Date: June 26, 2020 INVITATION TO BID 2nd PUBLIC BIDDING FOR LOT 1 OF THE PROCUREMENT OF  RANDOM ACCESS MEMORY AND VARIOUS DATA STORAGE DEVICES  1.	The National Economic and Development Authority (NEDA) intends to apply t</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</si>
  <si>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</si>
  <si>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Unit 	Item Description	Quantity 		 PC.	THERMAL SCANNER	5 BOX	DISPOSABLE FACE MASK SURGICAL 40 PC	FACE SHIELD	59 BOX	RUBBER GLOVES	33 GALLON	ALCOHOL 70%	10 ROLL	PAPER TOWEL	20 PACK	SAFEGUARD PROMO 3-PID PACK 135G	22 PC.	ALCOHOL DISPENSER	2</t>
  </si>
  <si>
    <t xml:space="preserve"> Republic of the Philippines Province of Quezon Municipality of Guinayangan Barangay Government of San Pedro II INVITATION TO BID Date: June 27, 2020 1.	The Barangay Government of  San Pedro II intends to apply the sum Eighty three thousand  pesos only (83</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</si>
  <si>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</si>
  <si>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REPUBLIC OF THE PHILIPPINES PROVINCE OF CAMARINES SUR MUNICIPALITY OF BAAO BARANGAY SAGRADA INVITATION TO BID FOR ROAD CONCRETING AT ZONE 6 1.	The LOCAL GOVERNMENT UNIT OF BARANGAY SAGRADA, through the Annual Budget 2020 and Supplemental Budget 2020  inte</t>
  </si>
  <si>
    <t xml:space="preserve"> MALIMPIN 04-2020 - construction of mini-park phase1</t>
  </si>
  <si>
    <t xml:space="preserve"> REPUBLIC OF THE PHILIPPINES PROVINCE OF CAMARINES SUR MUNICIPALITY OF BAAO BARANGAY SAGRADA INVITATION TO BID FOR CONSTRUCTION OF PATHWAY/PATHWALK AT ZONE 5-6. 1.	The LOCAL GOVERNMENT UNIT OF BARANGAY SAGRADA, through the Annual Budget 2020 and Supplement</t>
  </si>
  <si>
    <t xml:space="preserve"> INVITATION TO APPLY FOR ELIGIBILITY AND TO BID Project Title: CONSTRUCTION OF CONCRETE FENCE @ PADDIG ES (PHASE II) Project Location: Caglayan, Conner, Apayao Project ID No.: 20MGU-040 The Local Government Unit of CONNER, through the Capital Outlay Mayor’</t>
  </si>
  <si>
    <t xml:space="preserve"> INVITATION TO APPLY FOR ELIGIBILITY AND TO BID Project Title: CONSTRUCTION OF CALAOAN MULTI PURPOSE BUILDING BUILING (PHASE I) Project Location: Buluan, Conner, Apayao Project ID No.: 20MGU-039 The Local Government Unit of CONNER, through the Capital Outl</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</si>
  <si>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</si>
  <si>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Equipment 1 Backhoe  1 Road Roller  1 Concrete Mixer 1 bagger  1 Concrete Saw  1 Concrete Vibrator  14 Steel forms Description  101 Removal of Structures and Obstructions 104 Embankment  105 Subgrade Preparation  201 Aggregate Base Course  311 PCC Pavemen</t>
  </si>
  <si>
    <t xml:space="preserve"> Republic of the Philippines Department of Health Regional Office IV-A (CALABARZON) TREATMENT AND REHABILITATION CENTER Tagaytay City INVITATION TO BID FOR IMPROVEMENT OF ADMISSION OFFICE, WAITING AREA AND GENERATOR HOUSE 1.	The  DOH-Treatment  and  Rehabi</t>
  </si>
  <si>
    <t xml:space="preserve"> INVITATION TO APPLY FOR ELIGIBILITY AND TO BID Project Title: REHABILITATION OF MUTI-PURPOSE DRYING PAVEMENT AT PUROK 3 MANAG E/S Project Location: Manag, Conner, Apayao Project ID No.: 20MGU-042 The Local Government Unit of CONNER, through the 2020 20% D</t>
  </si>
  <si>
    <t xml:space="preserve"> Republic of the Philippines Italian Assistance to the Agrarian Reform Community Development Support Program (IARCDSP) Invitation to Bid for the  Expansion of Potable Water System Level II 1.The Government of the Philippines (GoP) has availed a loan from t</t>
  </si>
  <si>
    <t xml:space="preserve"> INVITATION TO APPLY FOR ELIGIBILITY AND TO BID Project Title: IMPROVEMENT OF SACPIL NATIONAL HIGH SCHOOL ACCESS ROAD Project Location: Sacpil, Conner, Apayao Project ID No.: 20MGU-038 The Local Government Unit of CONNER, through the 2020 20% DF intends to</t>
  </si>
  <si>
    <t xml:space="preserve"> Equipment 1 Mini Dumptruck 1 Jackhammer 1 Backhoe PC 30 2 Bar Cutter  1 Concrete Mixer one bagger  3 Welding Machine  2 Grinder Machine  1 Concrete Saw   Description 101(1) Removal of Structures and Obstructions 102(2) Surplus Common Excavation 103(3) Fou</t>
  </si>
  <si>
    <t xml:space="preserve"> INVITATION TO APPLY FOR ELIGIBILITY AND TO BID Project Title: REHBILITATION OF WATER SYSTEM Project Location: Paddaoan, Conner, Apayao Project ID No.: 20MGU-044 The Local Government Unit of CONNER, through the LDRRMF 5% 2018 intends to apply the sum of Tw</t>
  </si>
  <si>
    <t xml:space="preserve"> INVITATION TO APPLY FOR ELIGIBILITY AND TO BID Project Title: IMPROVEMENT OF MULTI-PURPOSE BUILDING (GYMNASIUM) Project Location: Caglayan, Conner, Apayao Project ID No.: 20MGU-037 The Local Government Unit of CONNER, through the 2020 20% DF intends to ap</t>
  </si>
  <si>
    <t xml:space="preserve"> DESCRIPTION: 5.0 MP Main Camera 4.3 aspect radio screen LTE ready 1.2 GHZ Quad core CPU 2.0 GB RAM, 32-64 GB Memory 4200 mAh battery Full Pone Functionality Wifi, Bluetooth with accessory  (Power Bank 20 mAh)</t>
  </si>
  <si>
    <t xml:space="preserve"> Republic of the Philippines BIDS AND AWARDS COMMITTEE FOR THE PROCUREMENT OF GOODS City of Puerto Princesa Barangay Babuyan, Puerto Princesa City INVITATION TO BID (Procurement of Goods) Purchase Request #: 2020-06-01  Date: June 17, 2020 Procuring/Fundin</t>
  </si>
  <si>
    <t xml:space="preserve"> INVITATION TO APPLY FOR ELIGIBILITY AND TO BID Project Title: IMPROVEMENT OF FAR-TO-MARKET ROAD @ SITIO APAYA, ALLANGIGAN Project Location: Allangigan, Conner, Apayao Project ID No.: 20MGU-041 The Local Government Unit of CONNER, through the 2020 20% DF i</t>
  </si>
  <si>
    <t xml:space="preserve"> Purchase request submitted by Gina Cahilig 1 unit Umblical Cable  ABC is Php 184,619.00</t>
  </si>
  <si>
    <t xml:space="preserve"> Supply, Delivery and Configuration of Unified Threat Management Devices for all (CTU External Campuses with the following technical specifications: HARDWARE SPECIFICATIONS:  Processor : Intel Core i3 Dual Core 6100 @ 3.7GHz Form Factor : 1U Memory : 12 GB</t>
  </si>
  <si>
    <t xml:space="preserve"> Supply, Deliver, Provision, Configuration of CTU Online Platform Subscription across all university campuses with the following technical specifications:  CLOUD HOSTING SPECIFICATIONS:  Cloud Hosting Facility that has dedicated servers capable of 30,000 m</t>
  </si>
  <si>
    <t xml:space="preserve"> INVITATION FOR NEGOTIATED PROCUREMENT  SUPPLY AND DELIVERY VARIOUS MATERIALS FOR REPAIR AND MAINTENANCE  1.	In view of two (2) failed public biddings, the Balingasag Water District- Bids and Awards Committee (BWD-BAC) invites interested bidders to partici</t>
  </si>
  <si>
    <t xml:space="preserve"> Supply and delivery of the following Information and Communication Equipment’s for the SK E-LEARNING CENTER to wit; •	7 Sets of Complete Package of Computers with Webcam and Headphone (AMD RyzenTM 3 3200G with RadeonTM Vega 8 Graphics, Gigabyte A320M-S2H </t>
  </si>
  <si>
    <t xml:space="preserve"> Purchase of Supplies for Electrical Supplies   – P 92,000.00</t>
  </si>
  <si>
    <t xml:space="preserve"> Purchase of Supply for 1 (unit) Garbage Truck   -  P  2,000,000.00</t>
  </si>
  <si>
    <t xml:space="preserve"> Refer the Approved NAPOLCOM Res. Specification  on 30 Rds Aluminum Magazine for M-16 Rifle</t>
  </si>
  <si>
    <t xml:space="preserve"> INVITATION TO APPLY FOR ELIGIBILITY AND TO BID Project Title: IMROVEMENT OF MANAG TO SIMUD FMR Project Location: Manag, Conner, Apayao Project ID No.: 20MGU-043 The Local Government Unit of CONNER, through the 2020 20% DF intends to apply the sum of Four </t>
  </si>
  <si>
    <t xml:space="preserve"> Republic of the Philippines Province of Batangas Municipality of San Juan BIDS AND AWARDS COMMITTEE INVITATION TO APPLY FOR ELIGIBILITY AND TO BID THE LOCAL  GOVERNMENT UNIT OF BRGY. COLOCONTO, SAN JUAN, BATANGAS, through its Bids and Awards Committee(BAC</t>
  </si>
  <si>
    <t xml:space="preserve"> I. CONCRETE &amp; MASONRY WORKS</t>
  </si>
  <si>
    <t xml:space="preserve"> Republic of the Philippines ISABELA STATE UNIVERSITY City of Ilagan, Isabela FOR SUPPLY, DELIVERY, TESTING AND DEMONSTRATION OF CIVIL ENGINEERING LABORATORY EQUIPMENT 1. The ISABELA STATE UNIVERSITY – City of Ilagan Campus, through the General Appropriati</t>
  </si>
  <si>
    <t xml:space="preserve"> See attached bidding documents</t>
  </si>
  <si>
    <t xml:space="preserve"> See attached Bidding Documents</t>
  </si>
  <si>
    <t xml:space="preserve"> Republic of the Philippines BIDS AND AWARDS COMMITTEE FOR THE PROCUREMENT OF GOODS City of Puerto Princesa Barangay Babuyan, Puerto Princesa City INVITATION TO BID (Procurement of Goods) Purchase Request #: 2020-06-02  Date: June 22, 2020 Procuring/Fundin</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</si>
  <si>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</si>
  <si>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SEE ATTACHED INVITATION TO BID, BIDDING DOCUMENTS, CHECKLISTS, STANDARD BIDDING FORMS AND PLANS</t>
  </si>
  <si>
    <t xml:space="preserve"> Consulting Services for the Relocation, Topographic and Subdivision Survey of Various LGU Owned Lots</t>
  </si>
  <si>
    <t xml:space="preserve"> Cartridge Ball for Caliber 5.56 M16 Rifle</t>
  </si>
  <si>
    <t xml:space="preserve"> BIDS AND AWARDS COMMITTEE INVITATION TO BID The Local Government Unit of Labason, Z.N., invites all interested registered supplier to submit quotation for the Purchase of IT Equipments for the Different Schools at Labason District ,Labason,ZN : Approved B</t>
  </si>
  <si>
    <t xml:space="preserve"> REQUEST FOR QUOTATION TERMS OF PAYMENT:   30 DAYS PRICE VALIDITY:        120 DAYS</t>
  </si>
  <si>
    <t xml:space="preserve"> INVITATION TO BID The DPWH Bukidnon 1st District Engineering Office, Malaybalay City, through its Bids and Awards Committee (BAC), invites contractors to submit bids for the following Contracts:   3	Contract ID 	:	20KA0099 (Readvertisement) 	Contract Name</t>
  </si>
  <si>
    <t xml:space="preserve"> SCOPE OF WORKS:            I.         MOBILIZATION           II.        TEMPORARY FACILITIES (Camp House)            III.       FORMS &amp; SCAFFOLDINGS            IV.        SITEWORKS/EXCAVATION            V.        CONCRETE WORKS           VI.        MASONR</t>
  </si>
  <si>
    <t xml:space="preserve"> From: 	The Bids and Awards Committee 	Poblacion, Bokod, Benguet Date:  June 24, 2020 A PROPOSAL &amp; NOTICE FOR NEGOTIATED PROCUREMENT DIRECTED TO:  AG CHUNGALAN CONSTRUCTION 		 	    POLO ENGINEERING &amp; CONSTRUCTION 	         SHERFELIAS CONSTRUCTION Reference</t>
  </si>
  <si>
    <t xml:space="preserve"> Republic of the Philippines ISABELA STATE UNIVERSITY City of Ilagan, Isabela FOR SUPPLY, DELIVERY, TESTING AND DEMONSTRATION OF ELECTRICAL ENGINEERING LABORATORY EQUIPMENT The ISABELA STATE UNIVERSITY – City of Ilagan Campus, through the General Appropria</t>
  </si>
  <si>
    <t xml:space="preserve"> Republic of the Philippines Province of Benguet MUNICIPALITY OF BOKOD BIDS AND AWARDS COMMITTEE INVITATION TO BID FOR PROCUREMENT OF MICRO-INFRA PROJECTS CLUSTER 07-2020 (MDF 2020), NAWAL &amp; TIKEY, BOKOD, BENGUET 1.	The MUNICIPALITY OF BOKOD, through the  </t>
  </si>
  <si>
    <t xml:space="preserve"> PLEASE SEE THE BAC SECRETARIAT</t>
  </si>
  <si>
    <t xml:space="preserve"> Wooden Office Table and product display shelves</t>
  </si>
  <si>
    <t xml:space="preserve"> I. Demolition II. Concrete &amp; Steel Works III. Carpentry Works IV. Painting Works V. Site Cleaning VI. Construction Safety &amp; Health Program VII. Mobilization</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</si>
  <si>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</si>
  <si>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INVITATION TO BID The DPWH Bukidnon 1st District Engineering Office, Malaybalay City, through its Bids and Awards Committee (BAC), invites contractors to submit bids for the following Contracts:   			 2	Contract ID 	:	20KA0098 (Readvertisement) 	Contract </t>
  </si>
  <si>
    <t xml:space="preserve"> ITB 2020-11 1.	The SUGAR REGULATORY ADMINISTRATION, through the SRA Corporate Operating Budget 2020 intends to apply the sum of Sixteen Million Eight Hundred Seventy-Nine Thousand Three Hundred Pesos (₱16,879,300.00) being the Approved Budget for the Cont</t>
  </si>
  <si>
    <t xml:space="preserve"> REPUBLIC OF THE PHILIPPINES PROVINCE OF ILOCOS SUR MUNICIPALITY OF SANTA BRGY. BASUG INVITATION TO BID PURCHASE OF MOTOR VEHICLE PHP70,000.00 LOT DESCRIPTION QTY. UNIT MOTOR VEHICLE 1</t>
  </si>
  <si>
    <t xml:space="preserve"> BIDS AND AWARDS COMMITTEE REQUEST FOR QUOTATION The Local Government Unit of Labason, Z.N., invites all interested registered supplier to submit quotation for the Purchase of Construction Materials for Renovation of Day Care Center at Malintuboan, Lab. ZN</t>
  </si>
  <si>
    <t xml:space="preserve"> 1.)   75 BAGS       25 KILO-COMMERCIAL RICE</t>
  </si>
  <si>
    <t xml:space="preserve"> Metropolitan Manila Development Authority																																																																			     BIDS AND AWARDS COMMITTEE																																																																			 																																																	</t>
  </si>
  <si>
    <t xml:space="preserve"> 1 5 BTL/S GLASS CLEANER - 500ML.-ORANGE SCENT 2 1 GAL/S DISINFECTANT - PINE SCENT 3 2 BTL/S DISHWASHING LIQUID - W/ ANTI-BAC 500ML 4 1 CAN/S AIR FRESHENER - 500ML- AEROSOL 5 1 BTL/S FABRIC SOFTENER - 1000ML 6 20 PACK/S DETERGENT - POWDER 200G 7 6 PC/S BRO</t>
  </si>
  <si>
    <t xml:space="preserve"> Lot.</t>
  </si>
  <si>
    <t xml:space="preserve"> Republic of the Philippines Province of Camarines Sur MUNICIPALITY OF BAAO INVITATION TO BID FOR THE PURCHASE OF F.O.L. FOR VARIOUS OFFICES 1. The LOCAL GOVERNMENT UNIT OF BAAO, through the Budget for the contract approved by the Sanggunian 2020 intends t</t>
  </si>
  <si>
    <t xml:space="preserve"> Gasoline</t>
  </si>
  <si>
    <t xml:space="preserve"> Republic of the Philippines Province of Camarines Sur MUNICIPALITY OF BAAO INVITATION TO BID FOR THE INSTALLATION OF STREETLIGHTS ALONG DIVERSION ROAD 1. The LOCAL GOVERNMENT UNIT OF BAAO, through the Budget for the contract approved by the Sanggunian 201</t>
  </si>
  <si>
    <t xml:space="preserve"> Republic of the Philippines Province of Southern Leyte Municipality of Silago BIDS AND AWARDS COMMITTEE INVITATION TO BID FOR  PROCUREMENT OF FARM INPUTS FOR FILP PROGRAM 1.   The Local Government Unit of Silago, Province of Southern Leyte, through the FI</t>
  </si>
  <si>
    <t xml:space="preserve"> Genuine ICOM V86 VHF 7 Watts Water Dust and Shock Resistant Two Way Radio</t>
  </si>
  <si>
    <t xml:space="preserve"> 30	jar	ALCOHOL, ethyl, 68-70% scented,500ml (5mL) 1	pc	Apple HDM1 cable 4	box	BALLPEN black, 0.5 (20's/box) 4	box	BALLPEN blue, 0.5 (20's box) 45	pcs	BALLPEN, Ballpoint Ret Rx5 Bkblrd 0.5 15	box	BALLPEN, Black Retractable Ballpen, Pen Thickness 0.5 mm, 20</t>
  </si>
  <si>
    <t xml:space="preserve"> REPUBLIC OF THE PHILIPPINES PROVINCE OF ILOCOS SUR MUNICIPALITY OF SANTA BARANGAY CALONGBUYAN INVITATION TO BID PURCHASE OF MOTOR VEHICLE PHP70,000.00 LOT DESCRIPTION QTY. UNIT MOTOR VEHICLE 1</t>
  </si>
  <si>
    <t xml:space="preserve"> Republic of the Philippines Department of Public Works and Highways Pampanga 3rd District Engineering Office San Francisco Street, Brgy. Pampang, Angeles City Region III Telephone Nos. (045) 323-5782 / 887-5249 DPWH-INFR-04-2016 INVITATION TO BID The DPWH</t>
  </si>
  <si>
    <t xml:space="preserve"> Please quote your lowest price on the items listed below, subject to the General Conditions, stating the shortest time of delivery and submit your quotation duly signed by your representative.		 		 Instructions:		 a)  Official copy of the Request for Quot</t>
  </si>
  <si>
    <t xml:space="preserve"> Construction of Concrete/Timber footbridge, width=2.40m, length=40.00m I. 84.00 L.M. Columns (pre-cast) II. 10.00 cu.m Capping, Girder &amp; Transom III. 9,226.67 bd. ft. Plank Floor &amp; Running Board IV. 60.00 bd. ft Stone Masonry V. 3,367.50 bd. ft. Railguard</t>
  </si>
  <si>
    <t xml:space="preserve"> new van type vehicle - power steering - power window - A1 engine condition - airconditioned - tire wrench and mechanical jack - spare tire - with LTO Registration - (1) one year warranty - Barangay Matina Crossing 74-A Logo decal sticker (front &amp; back &amp; s</t>
  </si>
  <si>
    <t xml:space="preserve"> Republic of the Philippines Province of Leyte Municipality of Hilongos INVITATION TO BID FOR THE PROCUREMENT OF MATERIALS FOR THE REPAIR/MAINTENANCE OF PARKS, PLAZAS &amp; MONUMENTS 1.  The Local Government Unit of Hilongos, through GENERAL FUND-CURRENT APPRO</t>
  </si>
  <si>
    <t xml:space="preserve"> Republic of the Philippines Province of Camarines Sur MUNICIPALITY OF BAAO INVITATION TO BID FOR THE SUPPLY AND DELIVERY OF PPE’S/GEAR FOR DRRM 1. The LOCAL GOVERNMENT UNIT OF BAAO, through the Budget for the contract approved by the Sanggunian 2020 inten</t>
  </si>
  <si>
    <t xml:space="preserve"> Republic of the Philippines Province of Leyte Municipality of Hilongos INVITATION TO BID FOR THE PROCUREMENT OF MATERIALS FOR THE ROAD CONCRETING OF BRGY. OWAK 1.  The Local Government Unit of Hilongos, through GENERAL FUND-CONTINUING APPROPRIATION-SUPPLE</t>
  </si>
  <si>
    <t xml:space="preserve"> 1 1 PC/S BROCHURE STAND - AS PER SPECIFICATION 2 10 REAM/S PAPER - BOOK A4,210MMX297MM,MIN OF 70GSM 3 8 REAM/S PAPER - BOOK LEGAL,216MMX330MM(8-1/2"X13"),MIN OF 70GSM 4 2 PC/S MAGAZINE ORGANIZER 5 1 PC/S CORKBOARD - 2' X 3' W/ FRAME 6 3 REAM/S PAPER - MIM</t>
  </si>
  <si>
    <t xml:space="preserve"> Republic of the Philippines Province of Leyte Municipality of Hilongos INVITATION TO BID FOR THE PURCHASE OF FURNITURE &amp; FIXTURES 1.  The Local Government Unit of Hilongos, through GENERAL FUND-CURRENT APPROPRIATION intends to apply the sum EIGHTY FIVE TH</t>
  </si>
  <si>
    <t xml:space="preserve"> Republic of the Philippines								 Province of Benguet								 Municipality of Buguias								 BIDS AND AWARDS COMMITTEE								 								 			Purchase Request Number:				Date:	 			Name of the Project:				Quotation No:	 			Location of the Project:				OBR #</t>
  </si>
  <si>
    <t xml:space="preserve"> 1 1 BTL/S TOILET BOWL CLEANER - W/ KILLER VIREX 500ML 2 3 PC/S SOAP - BATH- FAMILY SIZE 3 2 GAL/S BLEACHING SOLUTION 4 22 PC/S TOILET TISSUE - . 5 3 BTL DISHWASHING LIQUID - 270ML- CONCENTRATED W/ GERMEX 6 1 POUCH FABRIC SOFTENER - 450ML</t>
  </si>
  <si>
    <t xml:space="preserve"> 196 cu.m Aggregated Sub Base Course</t>
  </si>
  <si>
    <t xml:space="preserve"> Purchase request submitted by Gina Cahilig 3 piece TALL CABINET WITH GLASS DOORS  90 X 45 X 185 cm	 2 piece LOW CABINET WITH GLASS DOORS 90 X 45 X 92.5 cm 2 piece OPEN SHELF 6 shelves ABC is Php 76,000.00</t>
  </si>
  <si>
    <t xml:space="preserve"> Repair/Rehabilitation of Pathway</t>
  </si>
  <si>
    <t xml:space="preserve"> 41 sets COMPUTER DESKTOP BUNDLE, Intel Core i9-9900K Processor please refer to ITB for the complete specifications.  ABC per unit P81,000.00 1 set COMPUTER DESKTOP SERVER BUNDLE, Intel Xeon E-2134 16BG UDIMM please refer to ITB for the complete specificat</t>
  </si>
  <si>
    <t xml:space="preserve"> REQUEST FOR QUOTATION The Local Government Unit of Molave, through its Bids and Awards Committee, will undertake a Small Value Procurement for the Purchase of Various Electrical Supplies to be Used for the Rehabilitation of Street Lights at Mabini Street </t>
  </si>
  <si>
    <t xml:space="preserve"> See Attached Document.</t>
  </si>
  <si>
    <t xml:space="preserve"> 1 4 PC/S STAPLER W/ REMOVER - #35 HEAVY DUTY 2 25 BOX/S THUMBTACKS 3 15 BX/S PUSH PINS - FLAT HEAD,ASST. COLOR 4 10 PAD/S PINS - SAFETY 10'S 5 10 SET/S HIGHLIGHTER - FLOURESCENT ASSTD COLOR, 3 COLORS/ SET 6 15 ROLL/S TAPE - CLOTH DUCT, ASSORTED COLORS,1 7</t>
  </si>
  <si>
    <t xml:space="preserve"> 1 2 PC/S BATTERY - RECHARGEABLE, SIZE AA, NI-MH2700 2 1 PC/S CASING - SELF INKING STAMP-LARGE (S-824) 3 4 BOT/S ALCOHOL - 70% SOL. 500ML</t>
  </si>
  <si>
    <t xml:space="preserve"> removal of existing structure - 16.54 sq.m. concrete works - 0.20 cu.m. steel works - 1.00 lot</t>
  </si>
  <si>
    <t xml:space="preserve"> Pls. quote the item listed below: 1.  Smart TV  -  1 unit      best quality      43 inches 2.  Aircon  -  1 unit      2 hp, window type      best quality NOTE:                      Opening of Bids will be on July 7, 2020 @ 1:00 pm</t>
  </si>
  <si>
    <t xml:space="preserve"> Republic of the Philippines CITY GOVERNMENT OF SAN FERNANDO Barangay Poro INVITATION TO BID FOR  Construction of Drainage Canal Upper Banks to Tawi-Tawi, Barangay Poro, City of San Fernando 1.	The Barangay Poro, through the Barangay Fund intends to apply </t>
  </si>
  <si>
    <t xml:space="preserve"> Republic of the Philippines Province of Camarines Sur MUNICIPALITY OF BAAO INVITATION TO BID FOR THE CATERING SERVICES BATCH 2 1. The LOCAL GOVERNMENT UNIT OF BAAO, through the Budget for the contract approved by the Sanggunian 2020 intends to apply the s</t>
  </si>
  <si>
    <t xml:space="preserve"> 22	cases	Powdered Milk 700g x 12 135	cases	Biscuit Cracker 25g x 15</t>
  </si>
  <si>
    <t xml:space="preserve"> 1 50 PADS STICK NOTE PAD - 1" X 2" 2 10 PC/S MARKER PEN - PERMANENT, BROAD POINT, BLACK 3 8 ROLL/S TAPE - MASKING #1 4 8 ROLL/S TAPE - TRANSPARENT 24MM (1") WIDTH USABLE LENGHT OF</t>
  </si>
  <si>
    <t xml:space="preserve"> DELIVERY OF MINI-DUMPTRUCK OF BARANGAY MANUAL, KIBLAWAN, DAVAO DEL SUR</t>
  </si>
  <si>
    <t xml:space="preserve"> INVITATION TO BID CONSTRUCTION OF CABAROAN DIVERSION DAM, PHASE-II POBLACION, SANTOL, LA UNION 1.	The Municipal Government of Santol, La Union through the MDF-2020 intends to apply the sum of FIVE HUNDRED THOUSAND PESOS (Php 500,000.00) being the Approved</t>
  </si>
  <si>
    <t xml:space="preserve"> Purchase request submitted by Chrisgel Auñgon 30 units OFFICE CHAIR black, swivel, mesh back ABC is Php 270,000.00</t>
  </si>
  <si>
    <t xml:space="preserve"> INVITATION TO BID CONSTRUCTION OF ALUKON DIVERSION DAM, PHASE-II MANGAAN, SANTOL, LA UNION 1.	The Municipal Government of Santol, La Union through the MDF-2020 intends to apply the sum of FIVE HUNDRED THOUSAND PESOS (Php 500,000.00) being the Approved Bud</t>
  </si>
  <si>
    <t xml:space="preserve"> Republic of the Philippines Province of Camarines Sur MUNICIPALITY OF BAAO INVITATION TO BID FOR THE SUPPLY &amp; DELIVERY OF NUTRITION SUPPLEMENT FOR PREGNANT AND LACTATING MOTHERS 1. The LOCAL GOVERNMENT UNIT OF BAAO, through the Budget for the contract app</t>
  </si>
  <si>
    <t xml:space="preserve"> Republic of the Philippines PROVINCE OF NUEVA VIZCAYA Invitation to Bid for the  CONSTRUCTION OF NALAY-AN PIS Located at Ambaguio, Nueva Vizcaya  1.	The Provincial Government of Nueva Vizcaya, through the 20% Development Fund 2020 intends to apply the sum</t>
  </si>
  <si>
    <t xml:space="preserve"> INVITATION TO BID The Bureau of Fisheries and Aquatic Resources Region 5 (BFAR 5), through the Government of the Philippines (GOP), for CY 2020 intends to apply the sum of Nine Hundred Ninety Two Thousand Two Hundred Fifty Pesos (PhP992,250.00) only, bein</t>
  </si>
  <si>
    <t xml:space="preserve"> Republic of the Philippines Province of Camarines Sur MUNICIPALITY OF BAAO INVITATION TO BID FOR THE SUPPLY AND DELIVERY OF EMBROIDERY MACHINE &amp; SUPPLIES FOR DTI-BUB EMBROIDERY MACHINE TRAINING The LOCAL GOVERNMENT UNIT OF BAAO, through the Budget for the</t>
  </si>
  <si>
    <t xml:space="preserve"> Republic of the Philippines CITY GOVERNMENT OF SAN FERNANDO Barangay Poro INVITATION TO BID FOR  Construction and Renovation of Teen Center Barangay Poro, City of San Fernando 1.	The Barangay Poro, through the Barangay Fund intends to apply the sum of one</t>
  </si>
  <si>
    <t xml:space="preserve"> 570	vials	Pneumococcal Conjugate Vaccine 		 Polyvalent 		13-valent (adsorbed) 		0.5ml suspension for IM injection 		Single dose, pre-filled syringe 		 		 		Note: Delivery of vaccine only</t>
  </si>
  <si>
    <t xml:space="preserve"> 1 1 CART. TONER - LBP 230DN CANON 2 7 PC/S PEN - 0.5 BLACK</t>
  </si>
  <si>
    <t xml:space="preserve"> Republic of the Philippines Barangay Government of Ligpit Bantayan		 Date: June 27, 2020 1.	The BARANGAY GOVERNMENT OF  LIGPIT BANTAYAN  intends  to apply     the sum  Eight Thousand Three hundred Seventy  pesos only.(68,370.00)   Being the Approved Budge</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</si>
  <si>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</si>
  <si>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1 7 REAM/S PAPER - BOOK SUBS.20 SHORT ( 8 1/2"X11" ) 2 7 REAM/S PAPER - BOOK LEGAL,216MMX330MM(8-1/2"X13"),MIN OF 70GSM 3 5 PC/S CORRECTION TAPE - W/ CASE 4 60 PC/S BALLPEN - ORDINARY, BLACK 5 5 BTL/S ALCOHOL - RUBBING, 70% ISOPROPHYL, 250ML 6 4 PC/S INK </t>
  </si>
  <si>
    <t xml:space="preserve"> SUPPLY AND DELIVERY OF GENERAL PLANT EQUIPMENT (GPE) FOR JP RIZAL DPP</t>
  </si>
  <si>
    <t xml:space="preserve"> T-shirts with Tarpaulin</t>
  </si>
  <si>
    <t xml:space="preserve"> 1 2 BTL DISHWASHING LIQUID - 270ML- CONCENTRATED W/ GERMEX 2 2 CAN/S DISHWASHING PASTE - 400G 3 2 PC/S SPONGE - W/ SCOURING PAD 4 1 BAR/S DETERGENT - BAR 5 1 PC/S SOAP - BATH- FAMILY SIZE 6 2 PC/S CLEANER - FURNITURE 180ML- SPRAY 7 4 PC/S BROOM - SOFT- TH</t>
  </si>
  <si>
    <t xml:space="preserve"> 1 5 REAM/S PAPER - BOOK SUBS.20 SHORT ( 8 1/2"X11" ) 2 5 PC/S TAPE - DOUBLE SIDED 1" 3 3 ROLL/S TAPE - TRANSPARENT 24MM (1") WIDTH USABLE LENGHT OF 50M 4 2 PC/S ALBUM - PHOTO-BIG 5 50 PC/S FOLDER - LONG-WHITE 6 50 PC/S FOLDER - SHORT-WHITE</t>
  </si>
  <si>
    <t xml:space="preserve"> Repair and maintenance of dump truck assigned to CENRD</t>
  </si>
  <si>
    <t xml:space="preserve"> 1 lot Provision of Food &amp; venue for 60 persons in the Joint Local Finance Committee, Department Heads &amp; Leyte Economics Team Coordination Meeting on July 13, 20-20 @ Candahug, Palo, Leyte.  Inclusives: Use of Basic Sound System with  two microphones and P</t>
  </si>
  <si>
    <t xml:space="preserve"> Portland Cement Sand (Approved Source) Gravel (Approved Source) 3/8" Marine Plywood 50pcs - 2" x 3" x 10' Coco Lumber 50pcs - 2" x 2" x 10' Coco Lumber Rust Converter 3" Paint Brush Assorted C.W. Nails</t>
  </si>
  <si>
    <t xml:space="preserve"> 350	vials	Varicella-Zoster Vaccine Live 		   Specifications: 		19400 PFU/ 		.65ml Lyophilized powder for injection (SC), 		single dose glass vial containing lyophilized powder with  		prefilled syringe containing sterile diluent includes 		2 unattached ne</t>
  </si>
  <si>
    <t xml:space="preserve"> 1100	vials	Influenza Trivalent Vaccine 		   Specifications: 		Trivalent Vaccine 		Surface Antigen, Inactivated 		2020 Southern Hemisphere Strain 		0.5ml pre-filled syringe 		Suspension for injection (IM/SC) 		 		Note: 		Delivery only, without vaccination</t>
  </si>
  <si>
    <t xml:space="preserve"> Portland Cement Sand (Approved Source) 12mmØ Def. Bars 24pcs - 2" x 6" x 10' Coco Lumber 3" C.W. Nails 3/4" Gravel (Approved Source) max size</t>
  </si>
  <si>
    <t xml:space="preserve"> ITEM       DESCRIPTION                           QTY.            UNIT I.            Removal of Forms/Clearing         235.83       sq.m. II.           Concrete Works                             5           sets III.          Doors &amp; Windows               </t>
  </si>
  <si>
    <t xml:space="preserve"> 1 SET/S DESKTOP COMPUTER - WITH COMPLETE ACCESSORIES - intel core, i3, 7th gen. 3.5GHz or Higher Processor - H110 Series Mother Board - 4GB DDR - 1 TB HDD - w/ DVD ROM - Tower Case w/ Power Supply - w/ Wireless Computer Mouse - w/ USB Computer Keyboard - </t>
  </si>
  <si>
    <t xml:space="preserve"> This project entails labor and materials for the construction of 11 linear meter R.C. Retaining Wall/Shore Protection   funded BDF 2020 at Brgy. Biga, Magallanes, Sorsogon.</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</si>
  <si>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</si>
  <si>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Department of Education Region VI-Western Visayas Division of Cadiz City Cadiz East Elementary School II INVITATION TO BID FOR THE ADDITIONAL OFFICE SUPPLIES FOR 2020 1.	The Cadiz East Elementary School II of Cadiz City, through the Schools MOOE Fund CY 2</t>
  </si>
  <si>
    <t xml:space="preserve"> 1 UNIT DESKTOP COMPUTER - . - Intel core i3, 7th gen. 3.5 GHz minimum processor - H110 Series Motherboard ( ) - -8GB DDR - 1 TB HDD X2 - 22" Touchscreen LED Monitor - DVD ROM - Tower case with power supply - USB Optional mouse with pad - USB keyboard - 75</t>
  </si>
  <si>
    <t xml:space="preserve"> Repair and maintenance of outboard motor - CPSD</t>
  </si>
  <si>
    <t xml:space="preserve"> RFQ No. 20-06-056 - Purchase of Office Supplies for the 1st and 2nd Quarter</t>
  </si>
  <si>
    <t xml:space="preserve"> Please see supporting documents for details of the following: 1 - Installation of Wooden Partition Walls and Repainting of Holding Area 2 - Installation of Wooden Flush Doors (Supplies, Materials, and Labor Cost)</t>
  </si>
  <si>
    <t xml:space="preserve"> 15	units	Portable Radio 		 Specifications: 		Frequency Range: 403-470 Mhz  		Complete with accessories: 		Battery Pack (li-on) 		Antenna 		belt Clip 		Battery Charger 		User's Manual</t>
  </si>
  <si>
    <t xml:space="preserve"> Invitation to Bid for the Procurement of Materials for the Construction of Canal Cover, Barangay Quirino, Tagudin, Ilocos Sur 1.	Barangay Quirino of Tagudin, Ilocos Sur, thru its Bids and Awards Committee intends to apply the sum of One Hundred Forty Six </t>
  </si>
  <si>
    <t xml:space="preserve"> daycare center improvement</t>
  </si>
  <si>
    <t xml:space="preserve"> 15	units	Body Camera 		 Specifications: 		Combines a body camera and remote speaker microphone 		All in one device is equipped with HD camera that provides 		instant and accurate video recording and image 		Taking experience for operators 		Compliant with</t>
  </si>
  <si>
    <t xml:space="preserve"> 1 380 PC/S RIBBON-CARTRIDGE - LQ300+II 2 10 PC/S RIBBON- REFILL - LQ310 3 10 BOX/S COMPUTER FORMS - 11X9 1/2 CARBONLESS 4 5 PC/S CORRECTION TAPE - W/ CASE 5 2 PC USB FLASH DRIVE - 32 GB 6 5 REAM/S PAPER - BOND,PG,A4,210MMX297MM,70GSM. 7 5 REAM/S PAPER - B</t>
  </si>
  <si>
    <t xml:space="preserve"> Pls. quote the item listed below: 1.  Food Accommodation (Meals &amp; 2 Snacks)  -  700 pax NOTE:                      Opening of Bids will be on July 7, 2020 @ 1:00 pm</t>
  </si>
  <si>
    <t xml:space="preserve"> INVITATION TO APPLY FOR ELIGIBILITY AND TO BID THE MUNICIPALITY OF CAIBIRAN, BILIRAN IS INVITING ALL INTERESTED BIDDERS ON ITS FORTHCOMING PUBLIC BIDDING FOR: Project Title 	: Rehabilitation of Water System   Location	: Brgy. Uson, Caibiran,Biliran ABC			</t>
  </si>
  <si>
    <t xml:space="preserve"> 1	205 BAGS CEMENT 2	180 PCS. 10MM RSB 3	84   PCS. 9MM RSB 4	15 KLS. TIE WIRE 5	8 PCS. HACKSAW BLADE 6	1,990 pcs CHB 7	10 cu.m. Gravel 8	18 CU.m. SAND 9	6 CU.M TYPE A BOULDER 10	8 KLS. ASSORTED CW NAIL 11	4PCS. Plywood  12	10 PCS. 2X3X12 FORM LUMBER</t>
  </si>
  <si>
    <t xml:space="preserve"> Republic of the Philippines City of Tacurong BARANGAY KALANDAGAN BIDS AND AWARDS COMMITTEE INVITATION TO BID 	June 15, 2020 	The Barangay Government of Kalandagan through the Bids and Awards Committee (BAC) is inviting suppliers to bid for the supply and </t>
  </si>
  <si>
    <t xml:space="preserve"> 1 SETDESkTOP COMPUTER - - intel core i3,3.2GHZ or Higher processor - PIO series motherboard- 1TB HDD-DVD ROM-22</t>
  </si>
  <si>
    <t xml:space="preserve"> INVITATION TO BID PROVISION OF SECURITY SERVICES Reference No.: GDS-20-063 The MUNICIPAL GOVERNMENT OF DARAGA, through the Municipal Annual Budget, intends to apply the sum of  Three Hundred Six Thousand Pesos (P306,000.00)  being the Approved Budget for </t>
  </si>
  <si>
    <t xml:space="preserve"> Purchase request submitted by Chrisgel Auñgon 2 pieces MEASURING TAPE metal, 8 meters 1 pieces MEASURING TAPE fiber glass, 50 meters 20 pieces REFLECTORIZED T-SHIRTS 20 pieces HEAVY DUTY WORK PANTS tough denim 20 pairs THICK SOCKS black, mid-calf ABC is P</t>
  </si>
  <si>
    <t xml:space="preserve"> Angle Bar   2x 1/4 STD       120 PC Square Bar  12mm             240 pc Welding Rod                       15 kilo Epoxy Primer                      4 gal Epoxy Thinner                     4 gal Paint Brush                         5 pc Cutting Disc        </t>
  </si>
  <si>
    <t xml:space="preserve"> Purchase request submitted by Gina D. Cahilig 	 6 unit OFFICE CHAIR 10 unit VISITOR’S CHAIR ABC is Php 100,000.00</t>
  </si>
  <si>
    <t xml:space="preserve"> 1 UNIT PROJECTOR - LCD - LARGE-VENUE PROJECTOR - RGB LIQUID CRYSTAL SHUTTER PROJECTION SYSTEM - PROJECTION LENS: - TYPE: POWER ZOOM/POWER FOCUS/POWER SHIFT - NATIVE RESOLUTION: WXGA ( 1280 X 800 ) - WHITE LIGHT OUTPUT (NORMAL/ECO) 6,500Lm-7,000Lm - WITH A</t>
  </si>
  <si>
    <t xml:space="preserve"> INVITATION TO BID The Municipality of Candoni, through its Bids and Awards Committee (BAC), invites suppliers/manufacturers/distributor/contractors to apply for eligibility and to bid for the hereunder project: Name of Project	:  CONSTRUCTION OF SLOPE PRO</t>
  </si>
  <si>
    <t xml:space="preserve"> Purchase request submitted by Nora Meneses 2 units SHELF / CABINET Specifications: •	Solid wood with glass door •	5 adjustable shelves with 1 fix shelf for high stability •	Adjustable feet; stands steady even in uneven floor •	With 2 bottom drawers •	Widt</t>
  </si>
  <si>
    <t xml:space="preserve"> This project entails labor and materials for the Improvement of Drainage canal (Const. of Slope protection grouted Riprap 21 linear meter)  funded BDF 2020 at Brgy. Biga, Magallanes, Sorsogon.</t>
  </si>
  <si>
    <t xml:space="preserve"> Republic of the Philippines BIDS AND AWARDS COMMITTEE 9017 Población, El Salvador City Misamis Oriental  Email: bac.elsalvadorcity@gmail.com INVITATION TO BID for the PROCUREMENT OF TRACTOR IMPLEMENT HARROW AND DISCPLOW FOR AGRICULTURE OFFICE 	 The LGU-El</t>
  </si>
  <si>
    <t xml:space="preserve"> Province of Benguet-CAR Municipality of Mankayan  BIDS AND AWARDS COMMITTEE INVITATION TO APPLY FOR ELIGIBILITY AND TO BID JUNE 26, 2020 	The Municipal Government of Mankayan, through its Bids and Awards Committee, invites PhilGEPS registered supplier for</t>
  </si>
  <si>
    <t xml:space="preserve"> INVITATION TO APPLY FOR ELIGIBILITY AND TO BID THE BIDS AND AWARD COMMITTEE OF BRGY. USON, MUNICIPALITY OF CAIBIRAN, BILIRAN IS INVITING ALL INTERESTED BIDDERS ON ITS FORTH COMING PUBLIC BIDDING FOR:   Project Title	                : Construction of Intak</t>
  </si>
  <si>
    <t xml:space="preserve"> Hardware Materials</t>
  </si>
  <si>
    <t xml:space="preserve"> Cordillera Administrative Region Province of Kalinga B A L B A L A N BARANGAY POBLACION Invitation to Apply for Eligibility and to Bid for the PURCHASE AND DELIVERY OF IT EQUIPMENTS, POBLACION, BALBALAN 1.	The Local Government Unit of Balbalan, through th</t>
  </si>
  <si>
    <t xml:space="preserve"> Republic of the Philippines City of Manila Office of the Barangay Chairman The Barangay 667, Zone 72, District 5, Manila Through its Bid and Awards Committee (BAC), Invites all supplier with Certificate of Accreditation duly approved by the City Council o</t>
  </si>
  <si>
    <t xml:space="preserve"> Name of Project		: ON-GOING CONSTRUCTION OF MULTI-PURPOSE HALL Location	        	: Brgy. Narangasan,Milagros,Masbate Brief Description	: I. Ceiling Works                                       A.	Materials 			          II. Roofing Works                    </t>
  </si>
  <si>
    <t xml:space="preserve"> INVITATION TO APPLY FOR ELIGIBILITY AND TO BID THE BIDS AND AWARD COMMITTEE OF BRGY. USON, MUNICIPALITY OF CAIBIRAN, BILIRAN IS INVITING ALL INTERESTED BIDDERS ON ITS FORTH COMING PUBLIC BIDDING FOR:   Project Title	                : Rehabilitation of Fis</t>
  </si>
  <si>
    <t xml:space="preserve"> 4 pcs Rubber Cap 1 pc Oil Filter 2 pcs Selector cable 1 pc Clutch Secondary assy. 1 pc Union Fitting</t>
  </si>
  <si>
    <t xml:space="preserve"> 3 ft Bilamoid Gasket 50 pcs Sand paper #120 50 pcs Sand paper #1000 7 pcs Steel Brush 10 pcs Oil Filter Element 6769</t>
  </si>
  <si>
    <t xml:space="preserve"> ADDITIONAL CHB PARTITION CEILING ELECTRICAL ( ROUGHING IN, PARTIAL FIXTURES)</t>
  </si>
  <si>
    <t xml:space="preserve"> 4 sets 825 R16 Tire w/ inner tube,Lug type 14-16PR 2 sets 825 R16 Tire w/ inner tube, Miler Type 14-16PR</t>
  </si>
  <si>
    <t xml:space="preserve"> PLEASE SEE ATTACHED PR, TOR AND BIDDING DOCUMENTS FOR DETAILS</t>
  </si>
  <si>
    <t xml:space="preserve"> CONSUMABLE SCHOOL SUPPLIES LIKE BONDPAPER, ALCOHOL, HANDSOAP, BATTERY</t>
  </si>
  <si>
    <t xml:space="preserve"> Republic of the Philippines SILAY CITY GOVERNMENT Zamora Street Silay City, Negros Occidental Telefax No. (034) 495-3746 	Control  Reference Number : GOODS#0128, ITB#0131,  PR#0390: SCG-2020 Name of the Project: Purchase of Construction Materials and Supp</t>
  </si>
  <si>
    <t xml:space="preserve"> PUBLICATION OF 4 MUNICIPAL ORDINANCES 1 ORDINANCE REQUIRING WEAR OF FACE MASK 2. HUMAN REMAINS 3. HARASSMENT DISCRIMINATION 4. DETENTION CELLS REFORMATORY CENTER HALFWAY</t>
  </si>
  <si>
    <t xml:space="preserve"> Republic of the Philippines SILAY CITY GOVERNMENT Zamora Street Silay City, Negros Occidental Telefax No. (034) 495-3746 	Control  Reference Number : GOODS#0082, ITB#0083,  PR#0245: SCG-2020 Name of the Project: Purchase of Medical Supplies for use of GAD</t>
  </si>
  <si>
    <t xml:space="preserve"> Please quote your lowest price on the item(s)  listed below, subject to the Terms and Condition Stated												 below and submit your quotation duly signed by your representative not later than 10:30 A.M. of   July 07 												 2020 at the return en</t>
  </si>
  <si>
    <t xml:space="preserve"> 1 unit Computer set with high specs</t>
  </si>
  <si>
    <t xml:space="preserve"> Republic of the Philippines SILAY CITY GOVERNMENT Zamora Street Silay City, Negros Occidental Telefax No. (034) 495-3746 	Control  Reference Number : GOODS#0125, ITB#0127,  PR#0343: SCG-2020 Name of the Project: Purchase of Laptop to be used of the Secret</t>
  </si>
  <si>
    <t xml:space="preserve"> Republic of the Philippines Province of Leyte Municipality of Hilongos INVITATION TO BID FOR THE PROCUREMENT OF OFFICE SUPPLIES 1.  The Local Government Unit of Hilongos, through GENERAL FUND-CURRENT APPROPRIATION- intends to apply the sum FORTY NINE THOU</t>
  </si>
  <si>
    <t xml:space="preserve"> Module # 1 - Pantukan   No. of Has.-357.0252 -ABC Php1,071,075.60. Module # 2 - Mabini, Maco, Mawab and Nabunturan -No. of Has. 314.7457- ABC Php930,672.00 Module # 3 - Compostela, Laak and New Bataan -No. of Has.-298.6689 -ABC Php928,488.00 Module # 4 - </t>
  </si>
  <si>
    <t xml:space="preserve"> Title: Procurement of 900 pax Snack(1) under P.R No. 0586-2020- Mayor's Special Fund Total ABC: Php 54,000.00 (INSTRUCTION AS TO THE REQUIRED FORM: For your price quotation, please use the attached Request for Quotation (RFQ) Form and send to the City Pro</t>
  </si>
  <si>
    <t xml:space="preserve"> FOR FURTHER INFORMATION CONTACT TO: MA. IRMA E. MANLUBATAN BAC SECRETARIAT BARANGAY CALAMBA, CABADBARAN CITY CELL NO: 09105658782</t>
  </si>
  <si>
    <t xml:space="preserve"> INVITATION TO BID PROCUREMENT OF MEDICAL EQUIPMENT IB NO. 2020-07-21 (07) 1.	The Department of Health Cagayan Valley Center for Health Development, through the GOP-General Appropriations Act 2020 intends to apply the lump sum of Eighteen Million Six Hundr</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</si>
  <si>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</si>
  <si>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Office Supplies &amp; Office Equipment</t>
  </si>
  <si>
    <t xml:space="preserve"> Republic of the Philippines Province of Oriental Mindoro MUNICIPALITY OF PINAMALAYAN OFFICE OF THE BIDS AND AWARDS COMMITTEE Invitation to Bid ITB-2020-23 1.  The Municipal Government of Pinamalayan, Oriental Mindoro, through the authorized appropriations</t>
  </si>
  <si>
    <t xml:space="preserve"> 1	lot	Change Oil and filters 		  Specifications of Generator: 		Prime Power (60Hz): 360kw/450kva 		Standy Power (60Hz) : 400Kw/500KVa 		Power Factor: 0.8 (Lagging) 		Phase wires : 3 phases, 4 wires 		Start Model: Electric 		Protection: Low oil pressure, H</t>
  </si>
  <si>
    <t xml:space="preserve"> Republic of the Philippines Province of Oriental Mindoro MUNICIPALITY OF PINAMALAYAN OFFICE OF THE BIDS AND AWARDS COMMITTEE Invitation to Bid ITB-2020-20 1.  The Municipal Government of Pinamalayan, Oriental Mindoro, through the authorized appropriations</t>
  </si>
  <si>
    <t xml:space="preserve"> 300	PCS	TOILET BOWL (FLUSH TYPE) PORCELAIN WITH OUT COVER</t>
  </si>
  <si>
    <t xml:space="preserve"> Food Commodities</t>
  </si>
  <si>
    <t xml:space="preserve"> Republic of the Philippines Province of Oriental Mindoro MUNICIPALITY OF PINAMALAYAN OFFICE OF THE BIDS AND AWARDS COMMITTEE Invitation to Bid ITB-2020-19 1.  The Municipal Government of Pinamalayan, Oriental Mindoro, through the authorized appropriations</t>
  </si>
  <si>
    <t xml:space="preserve"> 4	units 	Motorcycle 		 Specifications: 		Displacement: 150cm3 		Maximum Power: 11.3kW (15.4PS)/850r/min. 		Cylinder Arrangement: Single Cylinder 		Bore and Stroke: 57.0 x 58.7mm 		Compression Ratio: 10.4:1 		Starting System: Electric Starter and Kick Star</t>
  </si>
  <si>
    <t xml:space="preserve"> INVITATION TO BID The __DPWH-Lanao del Norte 1st District Engineering Office, through its Bids and Awards Committee (BAC), invites contractors to submit bids for the project funded under Department of Agriculture Regular Funding CY 2020: 1.	Contract ID: 2</t>
  </si>
  <si>
    <t xml:space="preserve"> https://drive.google.com/file/d/1jif1FRCQJ9EazjTEfmhWiMfkKhiA7GB4/view?usp=drivesdk</t>
  </si>
  <si>
    <t xml:space="preserve"> rescue vehicle with equipment (blinker, oxygen tank, cabinets, PA System</t>
  </si>
  <si>
    <t xml:space="preserve"> Scope of Works: 1. Pull out of old Riser Pipe 1/4 G.I Pipe and 3" Diameter G.I Pipe 2. Re Bore of Borehole by 5 " more or leaa 60 ft 3. Installation of well casing 4" PVC 4. Installation of Submersible Pump 5 hp single phase 5. Installation of Control Pan</t>
  </si>
  <si>
    <t xml:space="preserve"> Spare parts and labor for different dump trucks used by CEPWD</t>
  </si>
  <si>
    <t xml:space="preserve"> 3	pcs.	G.I. pipe, 8" diameter 40	pcs.	Angle bar, 1/4 x 2" x 2" x 20' 15	pcs.	C-Purlin, 2" x 4" x 2"' x 20' 1	pc.	Steel Plate, 1/4 x 4" x 8' 1	box  	Welding rod, (Special, N-6013) 6	pcs.	Cutting disc, 12" diameter 3	boxes	Cutting disc, 4" diameter 8	boxes	</t>
  </si>
  <si>
    <t xml:space="preserve"> Negotiation for the Procurement of Various Medical and Surgical Supplies covering twenty-two (22) items</t>
  </si>
  <si>
    <t xml:space="preserve"> Republic of the Philippines									 Province of Batangas									 City of Sto. Tomas									 Barangay SAN ROQUE									 									 									 INVITATION TO BID									 									 The Barangay Government of San Roque, City of Sto. Tomas, Batangas through </t>
  </si>
  <si>
    <t xml:space="preserve"> Rental of Service Vehicle for MPP/Engineer (AUV)</t>
  </si>
  <si>
    <t xml:space="preserve"> 1.	The Sultan Kudarat Water District, through the Corporate Budget Approved by the Governing Board  intends to apply the sum of P 4,087,785.51 being the total Approved Budget for the Contract (ABC) to payments under the contract. Bids received in excess o</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</si>
  <si>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</si>
  <si>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Supply and Delivery of Laptop Computer Specifications: *Processor: AMD Ryzen 5 2500U *Display: 15.6” FHD with Webcam *Memory: 8GB DDR4 *Storage: 1TB HDD *Graphics: Integrated Radeon Vega 8 *Operating System: Windows 10 *Includes: – Wireless AC &amp; Bluetooth</t>
  </si>
  <si>
    <t xml:space="preserve"> One (1) unit Floor Mounted Motor Controller VFD Type 90kw w/ enclosure see attached complete specifications</t>
  </si>
  <si>
    <t xml:space="preserve"> PROVINCIAL GOVERNMENT OF ISABELA Invitation to Bid for  Construction of Mabantad Multi-purpose Hall Cauayan City, Isabela 1.	The Provincial Government of  Isabela, through the PGI Fund intends to apply the sum of Four Million Nine Hundred Ninety Nine Thou</t>
  </si>
  <si>
    <t xml:space="preserve"> PROVINCIAL GOVERNMENT OF ISABELA Invitation to Bid for  Repair of Water Tank Flooring at Milagros Albano District Hospital, Cabagan, Isabela  1.	The Provincial Government of  Isabela, through the PGI Fund intends to apply the sum of One Hundred Six Thousa</t>
  </si>
  <si>
    <t xml:space="preserve"> PROVINCIAL GOVERNMENT OF ISABELA Invitation to Bid for  Renovation of Provincial Treasurer’s Office,  Alibagu, City of Ilagan, Isabela  1.	The Provincial Government of  Isabela, through the PGI Fund intends to apply the sum of Two Million Nine Hundred Nin</t>
  </si>
  <si>
    <t xml:space="preserve"> INVITATION TO APPLY FOR ELIGIBILITY AND TO BID THE BIDS AND AWARD COMMITTEE OF BRGY. PALANAY, MUNICIPALITY OF CAIBIRAN, BILIRAN IS INVITING ALL INTERESTED BIDDERS ON ITS FORTH COMING PUBLIC BIDDING FOR: Project Title		        : Improvement of Barangay Hal</t>
  </si>
  <si>
    <t xml:space="preserve"> Republic of the Philippines BARANGAY BALANGA Ibaan, Batangas INVITATION TO BID The Barangay Government of Balanga, Ibaan, Batangas through its Bids and Awards Committee (BAC), invites contractors registered with and classified by the Philippine Contractor</t>
  </si>
  <si>
    <t xml:space="preserve"> Republic of the Philippines PROVINCE OF BOHOL Municipality of DANAO Invitation for Negotiated Procurement (GOODS) Procurement of Office Supplies for LGU-Danao, Bohol 2nd Quarter of FY 2020 In view of two (2) failed public biddings, the Local Government Un</t>
  </si>
  <si>
    <t xml:space="preserve"> PETAL 06-2020 - construction of concrete fence at brgy hall</t>
  </si>
  <si>
    <t xml:space="preserve"> SUPPLY AND DELIVERY OF AIRCONDITIONING UNIT, INVERTER TYPE.</t>
  </si>
  <si>
    <t xml:space="preserve"> Republic of the Philippines Province of Ilocos Norte MUNICIPAL GOVERNMENT OF SOLSONA INVITATION TO BID FOR THE  IMPROVEMENT OF FARM TO MARKET ROADS SITIO TOLEDO &amp; CABATUAN, BRGY. BARCELONA, SOLSONA, ILOCOS NORTE 1.	The LGU-SOLSONA, through the RA 7171  in</t>
  </si>
  <si>
    <t xml:space="preserve"> JOSE B. LINGAD MEMORIAL REGIONAL HOSPITAL City of San Fernando, Pampanga Tel. No. (045) 961-3921 Date: June 27, 2020 No. 2020 – 06 - 199-S REQUEST FOR QUOTATION (Name of Agency) (Address) Sir/Madam: Please quote your lowest price on the item/s listed belo</t>
  </si>
  <si>
    <t xml:space="preserve"> Republic of the Philippines Province of Oriental Mindoro MUNICIPALITY OF PINAMALAYAN OFFICE OF THE BIDS AND AWARDS COMMITTEE Invitation to Bid ITB-2020-21 1.  The Municipal Government of Pinamalayan, Oriental Mindoro, through the authorized appropriations</t>
  </si>
  <si>
    <t xml:space="preserve"> 1-unit Air-Condition System Inverter Split Type 2.50HP with Accessories includes delivery and installation.</t>
  </si>
  <si>
    <t xml:space="preserve"> JOSE B. LINGAD MEMORIAL REGIONAL HOSPITAL City of San Fernando, Pampanga Tel. No. (045) 961-3921 Date: June 27, 2020 No. 2020 – 06 - 198-S REQUEST FOR QUOTATION (Name of Agency) (Address) Sir/Madam: Please quote your lowest price on the item/s listed belo</t>
  </si>
  <si>
    <t xml:space="preserve"> Negotiation for the Procurement of Various Drugs and Medicines covering seventy-two (72) items</t>
  </si>
  <si>
    <t xml:space="preserve"> SCHOOLS DIVISION OF THE CITY OF BATAC</t>
  </si>
  <si>
    <t xml:space="preserve"> Republic of the Philippines Province of Quezon Municipality of Guinayangan Barangay Government of Himbubulo Este INVITATION TO BID Date: June 27, 2020 1.	The Barangay Government of  Himbubulo Este intends to apply the sum one Seventy three thousand one hu</t>
  </si>
  <si>
    <t xml:space="preserve"> 3	Piece	Alligator Forceps 50	Box	Clean Gloves Powdered Large 100's 50	Box	Clean Gloves Powdered Medium 100's 50	Box	Clean Gloves Powdered Small 100's 10	Kilo 	Detergent Powder (Surf and the like) 10	Bottle	Disinfecting Spray 538g (Lysol and the like) 10	G</t>
  </si>
  <si>
    <t xml:space="preserve"> SUPPLY AND DELIVERY OF MATERIALS/SUPPLIES FOR EL NIDO DPP.</t>
  </si>
  <si>
    <t xml:space="preserve"> Rental of Service Vehicle for MPP/Engineer (4x4 Pick Up)</t>
  </si>
  <si>
    <t xml:space="preserve"> PLEASE SEE ATTACHED FILE OF INVITATION BID</t>
  </si>
  <si>
    <t xml:space="preserve"> Republic of the Philippines Province of Oriental Mindoro MUNICIPALITY OF PINAMALAYAN OFFICE OF THE BIDS AND AWARDS COMMITTEE Invitation to Bid ITB-2020-18 1.  The Municipal Government of Pinamalayan, Oriental Mindoro, through the authorized appropriations</t>
  </si>
  <si>
    <t xml:space="preserve"> Request for Proposal  The Bureau of Fisheries and Aquatic Resources Regional Office No. 5 (BFAR RO 5), Fabrica, Bula, Camarines Sur is requesting from prospective suppliers to submit written proposal for the Labor and Materials for the Repair of Flooring </t>
  </si>
  <si>
    <t xml:space="preserve"> Scope of Works: 1. Drilling of Borehole 10" diameter or less 30 ft 2. Installation of well casing 6" diameter B.I Pipe sch. 40 3. Installation of Gravel Packing 4. Installation of 7.5 Submersible Pump 5. Installation of Control Panel and Control Box Note:</t>
  </si>
  <si>
    <t xml:space="preserve"> ITEM NO  QTY UNIT DESCRIPTION 1.  160 BOX  MATERNAL MILK 375G/BOX 2.  160 CANS BISCUIT @850 GRMS/CAN   3.  5,200 TABS  PRENATAL MULTI VITAMINS CAPSULE</t>
  </si>
  <si>
    <t xml:space="preserve"> Engine Oil ultra max 15w 140 Hydraulic Oil #68</t>
  </si>
  <si>
    <t xml:space="preserve"> Construction of 3.80mx6.50m Multi-Purpose Building</t>
  </si>
  <si>
    <t xml:space="preserve"> 2	Box 	Ambu Bag Mask (Neonate) 20	Bottle	Antibacterial Liquid Hand Soap 1L 50	Box	Chromic Suture 3-0 12's (cutting) 100	Box	Clean Gloves Powdered Large 100's 100	Box	Clean Gloves Powdered Medium 100's 5	Box	Cord Clamp 100's (White/nude) 50	Box	D5LR 1L 12'</t>
  </si>
  <si>
    <t xml:space="preserve"> Materials</t>
  </si>
  <si>
    <t xml:space="preserve"> Republic of the Philippines BARANGAY COLIAT Ibaan, Batangas INVITATION TO BID The Barangay Government of Coliat, Ibaan, Batangas through its Bids and Awards Committee (BAC), invites contractors registered with and classified by the Philippine Contractors </t>
  </si>
  <si>
    <t xml:space="preserve"> ITB No. 2020 – 77 June 26, 2020 Republic of the Philippines Province of Davao Oriental CITY OF MATI INVITATION TO BID PROCUREMENT OF CACAO PROCESSING EQUIPMENT Name of Project 1.	The City Government of Mati, through the 20% Local Development Fund intends </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</si>
  <si>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</si>
  <si>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Rental of Service Vehicle for MPP/Engineer</t>
  </si>
  <si>
    <t xml:space="preserve"> SUPPLY OF LABOR, TOOL AND EQUIPMENT FOR THE FABRICATION/MACHINING/RECONDITIONING OF PARTS AND AUXILLIARIES</t>
  </si>
  <si>
    <t xml:space="preserve"> SUPPLY OF LABOR, TOOLS AND EQUIPMENT FOR PCB TESTING OF TRANSFORMER OIL</t>
  </si>
  <si>
    <t xml:space="preserve"> SOURCE OF FUNDS: SUPPLEMENTAL BUDGET NO. 2, 2020 (ER-1-94) BIDDING DATE &amp; TIME: JULY 6, 2020- 3:00 P.M</t>
  </si>
  <si>
    <t xml:space="preserve"> 30   ream   Bond Paper, short size 6     pcs.    Ink Cartridge, HP 704 black 6     pcs.    Ink Cartridge, HP 704 colored 12   pcs.    Ink Cartridge, Canon 810 black 6     pcs.    Ink Cartridge, HP 680 black 3     pcs.    Ink Cartridge, HP 680 colored 6   </t>
  </si>
  <si>
    <t xml:space="preserve"> Rental of Service Vehicle for Engineer (4x4 Pick up)</t>
  </si>
  <si>
    <t xml:space="preserve"> Please see attached Invitation to Bid</t>
  </si>
  <si>
    <t xml:space="preserve"> 1	lot	Construction of Mayor's Office Building 		Scope of Work: 		Concrete Works 		Masonry Works 		Backfilling 		Reinforcing Steel 		Metal Structures 		Pre-Painted Metal Sheets 		Inside Ceiling and Walling Board 		Outside Ceiling Works 		Door and Window Wo</t>
  </si>
  <si>
    <t xml:space="preserve"> INVITATION TO BID Supply &amp; Delivery of One (1) Unit Type II Wide Body Rescue Ambulance with complete accessories CDRRMO, Marawi City Contract ID No. 20-MC-CO-01 ABC: Php 3,000,000.00 June 27, 2020 1. The City Government of Marawi, intends to apply the sum</t>
  </si>
  <si>
    <t xml:space="preserve"> Construction of Water Tank</t>
  </si>
  <si>
    <t xml:space="preserve"> Republic of the Philippines Province of Lanao del Norte MUNICIPALITY OF LALA BIDS AND AWARDS COMMITTEE                                                                                                                                                         </t>
  </si>
  <si>
    <t xml:space="preserve"> Republic of the Philippines City of Manila Office of the Barangay Chairman The Barangay 217, Zone 20, District 2, Manila Through its Bid and Awards Committee (BAC), Invites all supplier with Certificate of Accreditation duly approved by the City Council o</t>
  </si>
  <si>
    <t xml:space="preserve"> REPUBLIC OF THE PHILIPPINES PROVINCE OF CAMARINES SUR MUNICIPALITY OF BAAO BARANGAY SAGRADA INVITATION TO BID FOR THE ROAD CONCRETING-ZONE 1 1.	The LOCAL GOVERNMENT UNIT OF BARANGAY SAGRADA, through the Annual Budget 2020 and Supplemental Budget 2020  int</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</si>
  <si>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</si>
  <si>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</si>
  <si>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</si>
  <si>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INVITATION TO BID									 									 The Barangay Datu Tumanggong, Municipality of Tungawan, Province of Zamboanga Sibugay,  through its Bids and Awards Committee 									 Committee (BAC), invites suppliers/ manufacturers/ distributors / contractors to a</t>
  </si>
  <si>
    <t xml:space="preserve"> PROJECT: PURCHASE OF 1 UNIT BARANGAY PATROL VEHICLE LOCATION: BARANGAY TELABANCA, CONCEPCION, TARLAC APPROVED BUDGET FOR THE CONTRACT: PHP 1,100,000.00 SOURCE OF FUND: CAPITAL OUTLAY The contract to be performed by the successful bidder shall be specified</t>
  </si>
  <si>
    <t xml:space="preserve"> INVITATION TO BID   ADDITIONAL APPROPRIATION OF ROAD CONCRETING AT STO. DOMINGO ST., PUROK MALINAWON, BARANGAY CALUMPANG, GEN. SANTOS CITY The Local Government Unit of Barangay Calumpang, GSC, through the 20% Local Development Fund intents to apply the su</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</si>
  <si>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</si>
  <si>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Republic of the Philippines DEPARTMENT OF PUBLIC WORKS AND HIGHWAYS OFFICE OF THE DISTRICT ENGINEER TARLAC 2ND DISTRICT ENGINEERING OFFICE San Francisco, Concepcion, Tarlac Tel. No. (045) 925-5665	 RE-INVITATION TO BID The Department of Public Works and H</t>
  </si>
  <si>
    <t xml:space="preserve"> Item Number	Description	Unit	Quantity 			 1	Semi-Auto Frost Refrigerator	Unit	2 2	Aircon	Unit	3 3	Water Dispenser	Unit	6 4	Stand Fan	Unit	5 5	Exhaust Fan	Unit	8 6	Wall Clock	Unit	10 7	Rechargeable LED Emergency Light	Unit	10 8	Utility Cart for Kitchen	Uni</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</si>
  <si>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</si>
  <si>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APPLICATIONS: SHEDDING OF THIN WASTE PLASTICS INCLUDING SANDO BAGS AND LAMINATED PACKING MATERIALS SPECIFICATIONS: BLADE HARDENED STEEL STATIONARY BLADES:2 ROTATING BLADES:2 ROTATING SHAFT: 7.5 CM DIAMETER SHREDEDER PRIMARY SUPPORT/ENCLOSURE: MS PLATE APP</t>
  </si>
  <si>
    <t xml:space="preserve"> CIVIL WORKS</t>
  </si>
  <si>
    <t xml:space="preserve"> Item Number	Description	Unit	Quantity 			 1	Ultimate ULV Knapsack Power Nebulizer	Unit	1</t>
  </si>
  <si>
    <t xml:space="preserve"> TERMS OF REFERENCE FOR STRUCTURED CABLING											 											 1 .	General Requirements										 	1.1.	All cabling must be permanently labelled at both ends in accordance with labeling scheme as									 		per TIA/EIA-6065-A.									 	1.2.	All Copper </t>
  </si>
  <si>
    <t xml:space="preserve"> SEE ATTACH FILE.</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</si>
  <si>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</si>
  <si>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Republic of the Philippines PROVINCE OF SIQUIJOR Capitol, Bldg., Pulangyuta, Siquijor, Siquijor INVITATION TO BID FOR Supply and Delivery of Various Food Commodities 1.	The Province of Siquijor, through the IPHO Non Office Provincial Nutrition Program Foo</t>
  </si>
  <si>
    <t xml:space="preserve"> 1.	The Local Government Unit of Tukuran, ZDS, through the Local Funds intends to apply the sum of Php 250,000.00 being the Approved Budget for the Contract (ABC) to payments under the contract PURCHASE OF WEIGHING SCALE FOR PREGNANT AND LACTATING WOMEN. B</t>
  </si>
  <si>
    <t xml:space="preserve"> 50  bags   Cement (Portland) 6    pcs     9mm Steel Bar 3    pcs     10mm Steel Bar 12  pcs     2 x 4 x 12 Coco Lumber 16  pcs     2 x 4 x 12 Coco Lumber 24  pcs     Corrugated Sheet 0.5 x 12 7    pcs     Marine Plywood 1/4 35  pcs     S4S 2 x 4 x 12 500 </t>
  </si>
  <si>
    <t xml:space="preserve"> Repair/Rehabilitation of Old BFP Building (for Balay Silangan use)</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</si>
  <si>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</si>
  <si>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CONSTRUCTION SUPPLIES FOR THE RENOVATION OF OLD BRGY HALL TURN INTO WOMEN AND CHILDREN BUILDING PHASE II AT BARANGAY TABONTABON,SIBAGAT,AGUSAN DEL SUR</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</si>
  <si>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</si>
  <si>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INVITATION TO BID The Department of Public Works and Highways (DPWH), Cavite 3rd District Engineering Office, Carmona, Cavite through its Bids and Awards Committee (BAC), invites contractors to submit bids for the following Contract: 7. Contract I.D. No.:</t>
  </si>
  <si>
    <t xml:space="preserve"> Item No.	Quantity	Unit of Issue	Item Description 1	              1	      unit	         Dump Truck 			Specs: Emission Standard                    :  EURO IV Fuel                                           :  Diesel (Turbo Intercooler) Stroke Volume (ml)    </t>
  </si>
  <si>
    <t xml:space="preserve"> Const. Supplies &amp; Materials for the Rehab of Gabriel Fabella St. Item	Quantity	Unit of	Item Description	 No.		Issue		 				 1	1320	bgs	Portland Cement 40 kg	 2	140	cu.m.	Sand	 3	145	cu.m.	Gravel	 4	25	pcs	Flat Bar 2.0" x 6mm thk	 5	20	pcs	Square Bar 3/8"	 </t>
  </si>
  <si>
    <t xml:space="preserve"> SUPPLIES AND MATERIALS FOR ORGANIC AGRICULTURE PRODUCTION NC II, RAC SERVICING NC II, SMAW NC I, SMAW NC II AND DRIVING NC II</t>
  </si>
  <si>
    <t xml:space="preserve"> Submersible pump assembly with stainless body bowls and impeller with a capacity of 55 cu. m./hr., 3-phase, 440 volts, 60 Hz, 3450 RPM</t>
  </si>
  <si>
    <t xml:space="preserve"> DRR Rescue, Emergency Equipment and Supplies	                    175,000.00  1	25.00	UNIT	Reflectorized Raincoat, Heavy Duty w/ Print (Poncho Type)							 2	1.00	UNIT	Rescue Basket							 3	1.00	UNIT	Rescue Rope, 12mm dia., 100 meters							 4	1.00	UNIT	A</t>
  </si>
  <si>
    <t xml:space="preserve"> TAMBOBONG 04-2020 - installation of LED solar lights</t>
  </si>
  <si>
    <t xml:space="preserve"> 1.	Provision of Design Services : Architectural Plan, Civil/Structural Plan, Electrical Plan, Sanitary/Plumbing Plan, Mechanical Plan, Electronic Plan (Duly Signed and sealed by the Registered Professional) 2. Design and Seismic Analysis 3. Preparation of</t>
  </si>
  <si>
    <t xml:space="preserve"> Constructionof Water Treatment House, Fencing of Existing Chlorine House &amp; Filtration House and Installation of Water Treatment Fixture</t>
  </si>
  <si>
    <t xml:space="preserve"> SUPPLIES AND MATERIALS FOR BREAD AND PASTRY PRODUCTION NC II AND COOKERY NC II</t>
  </si>
  <si>
    <t xml:space="preserve"> Submersible Motor, 75hp, 60Hz, 3-phase 440 volts</t>
  </si>
  <si>
    <t xml:space="preserve"> Contract for the Concreting of Road Section at Purok 16, Bulahan, San Isidro, Barangay Tibal-og, Santo Tomas, Davao del Norte The Municipality of Santo Tomas, through 20% MDF CY 2020 intends to apply the sum of P’ 2,999,141.66 being the Approved Budget fo</t>
  </si>
  <si>
    <t xml:space="preserve"> I			Procurement &amp; Installation of Radio Antenna @ EOC (Repair &amp; Maintenance)							 	1.00	unit	Repair and Maintenance:							 			Solar MPPT, Charge Controller							 	1.00	unit	Programmamble, 30 amperes							 			Diamond BC-100, 18-174 mhz vhf high angle	</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</si>
  <si>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</si>
  <si>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EONSTRUCTION MATERIALS &amp; SUPPLIES FOR THE CONSTRUCTION OF MANPOWER/YOUTH DEVELOPMENT CENTER,PHASE XIII AT BARANGAY TABONTABON,SIBAGAT,AGUSAN DEL SUR</t>
  </si>
  <si>
    <t xml:space="preserve"> Republic of the Philippines PROVINCE OF AGUSAN DEL SUR Municipality of Sta. Josefa Invitation to Bid for   SJADS INFRA 20-06: CONSTRUCTION OF LATRINE FOR DESIGNATED EVACUATION CENTER 				                         June 27, 2020 1.	The Municipality of Sta. J</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</si>
  <si>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</si>
  <si>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GAIS-GUIPE 05-2020 - repair &amp; maint of streetlights</t>
  </si>
  <si>
    <t xml:space="preserve"> Contract for the Rehabilitation of Riverbank, P3A, Tagaytay, Barangay Bobongon, Santo Tomas, Davao del Norte The Municipality of Santo Tomas, through LDRRM Fund CY 2020 intends to apply the sum of P’ 2,698,001.13 being the Approved Budget for the Contract</t>
  </si>
  <si>
    <t xml:space="preserve"> DESKTOP UNIT:1 UNIT Specifications: Processor : Intel®Core™i7-9700FProcessor (12M Cache, up to 4.70 GHz) or its equivalent Motherboard : Gigabyte B360M-DS3H MOTHERBOARD or its equivalent Memory : 2pcs-8GB (16GB) DDR4 2400MHZ MEMORY Hard Drive : 1TB HDD SA</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</si>
  <si>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</si>
  <si>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Item Number	Description	Unit	Quantity 			 1	Desktop PC with Windows 7 Professional (OS) and Office	Units	2 2	Desktop PC with Windows Server 2008 R2 (OS) and Office	Units	2 3	Router -24 Port 10/100MBPS	Units	2 4	Patch Panel 24 Port	Units	2 5	Laptop with Wi</t>
  </si>
  <si>
    <t xml:space="preserve"> Item No.	Quantity	Unit of Issue	Item Description 1	2	units	Grass Cutter 2	2	units	Head Immobilizer 3	2	Pcs.	Movable Table  4	5	Pcs.	Shredder Water Rescue Fins 5	5	Pcs.	Googles A148 Snorkeling Breather Pipe Mask  6	3	units	Megaphone 7	4	Pcs.	Utility Box Wh</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</si>
  <si>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</si>
  <si>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INVITATION TO BID FOR Procurement of Medical and Laboratory Supplies 1. The Ospital ng Palawan, through the Trust Fund for CY 2020 intends to apply the sum of Twenty-Nine Million Two Hundred Fifty-Nine Thousand One Hundred Ninety- Nine Pesos and 10/100 Ce</t>
  </si>
  <si>
    <t xml:space="preserve"> SUPPLY AND DELIVERY OF SPARE PARTS FOR VEHICLES.</t>
  </si>
  <si>
    <t xml:space="preserve"> SUPPLY AND DELIVERY OF MATERIALS/SUPPLIES INTENDED FOR OPERATION AND MAINTENANCE USE</t>
  </si>
  <si>
    <t xml:space="preserve"> Please download ITB in the Associated Components</t>
  </si>
  <si>
    <t xml:space="preserve"> furniture and fixtures and supplies</t>
  </si>
  <si>
    <t xml:space="preserve"> SUPPLY AND DELIVERY OF MATERIALS/SUPPLIES FOR OPERATION AND MAINTENANCE USE.</t>
  </si>
  <si>
    <t xml:space="preserve"> office equipment</t>
  </si>
  <si>
    <t xml:space="preserve"> INVITATION TO BID Date: June 26, 2020 1.	The Provincial Government of Davao del Sur, through its Bids and Awards Committee (BAC), invites all potential bidders/suppliers to apply to bid for the following goods. Bids received in excess of the ABC shall be </t>
  </si>
  <si>
    <t xml:space="preserve"> 2 UNIT LAPTOP : INTEL i7 7th Gen Processor 1 unit LAPTOP: INTEL i3 9th Gen Processor 2 unit GEOTAGGING DEVICE: REALME 6PRO 1 unit LAPTOP :i7 7th Gen Processor 1 unit PRINTER</t>
  </si>
  <si>
    <t xml:space="preserve"> SEE ATTACHED BILL OF QUANTITIES.</t>
  </si>
  <si>
    <t xml:space="preserve"> SUPPLY AND DELIVERY OF MATERIALS AND SUPPLIES INTENDED FOR OPERATION AND MAINTENANCE.</t>
  </si>
  <si>
    <t xml:space="preserve"> INVITATION TO BID									 									 The Barangay Masao, Municipality of Tungawan, Province of Zamboanga Sibugay,  through its Bids and Awards Committee 									 Committee (BAC), invites suppliers/ manufacturers/ distributors / contractors to apply for e</t>
  </si>
  <si>
    <t xml:space="preserve"> Republic of the Philippines Province of Camarines Sur MUNICIPALITY OF MINALABAC BARANGAY SALINGOGON -o0o- Invitation to Bid for PURCHASE OF AUTOMATIC TRANSMISSION (for Ambulance) Salingogon, Minalabac, Camarines Sur 1. BLGU-Salingogon, Minalabac, Camarine</t>
  </si>
  <si>
    <t xml:space="preserve"> INVITATION TO BID The Department of Public Works and Highways (DPWH), Cavite 3rd District Engineering Office, Carmona, Cavite through its Bids and Awards Committee (BAC), invites contractors to submit bids for the following Contract: 9. Contract I.D. No.:</t>
  </si>
  <si>
    <t xml:space="preserve"> Republic of the Philippines PROVINCE OF AGUSAN DEL SUR Municipality of Sta. Josefa Invitation to Bid for   SJADS GOODS 20-10: PROCUREMENT OF SPAREPARTS FOR HEAVY EQUIPMENT 					   June 27, 2020 1.	The Municipality of Sta. Josefa through the authorized app</t>
  </si>
  <si>
    <t xml:space="preserve"> BIDS AND AWARDS COMMITTEE INVITATION FOR NEGOTIATED PROCUREMENT (TWO FAILED BIDDINGS)  IB NO. 2020-057/ RJVF Supply and Delivery 1,200 head Free Range Chicken- Male and 6,000 head Free Range Chicken- Female In view of the two (2) failed biddings, the Depa</t>
  </si>
  <si>
    <t xml:space="preserve"> Installtion of 10 units of Solar Streetlights</t>
  </si>
  <si>
    <t xml:space="preserve"> Repair and Rehabilitation of Hand-washing Facilities with a floor area of 16 sq meter with roof and 10 faucets.</t>
  </si>
  <si>
    <t xml:space="preserve"> INVITATION TO BID FOR THE  SUPPLY, DELIVERY, INSTALLATION, PROGRAMMING, TESTING AND COMMISSIONING OF EQUIPMENT AND APPURTENANCES FOR THE UPGRADING OF INLINE BOOSTER FOR LARION BAJO PUMPING STATION 1.	The Metropolitan Tuguegarao Water District through the </t>
  </si>
  <si>
    <t xml:space="preserve"> Republic of the Philippines 	Cebu Normal University 	Osmeña Blvd. Cebu City, 6000 Philippines                                 Office of the Bids and Awards Committee                                         Telephone No.: (+63 32) 254 1452 local 141 or 125</t>
  </si>
  <si>
    <t xml:space="preserve"> The Western Mindanao State University, through its Bids and Awards Committee (BAC), is inviting PhilGEPS registered suppliers to apply for eligibility and to submit bids for the item mentioned hereunder:  1.)	15	Pieces	Flash Drive  - 16GB 			 2.)	3	Pieces</t>
  </si>
  <si>
    <t xml:space="preserve"> INVITATION TO BID FOR THE  SUPPLY AND DELIVERY OF BRASS WATER METER 1.	The Metropolitan Tuguegarao Water District through the Corporate Budget for the Year 2020  intends to apply the sum of Eight Million Six Hundred Seventy Four Thousand Pesos (P 8,674,00</t>
  </si>
  <si>
    <t xml:space="preserve"> Section I. Invitation to Bid Republic of the Philippines Province of Davao del Norte MUNICIPALITY OF TALAINGOD 								27 June, 2020 Invitation to Bid for CONSTRUCTION OF NATIONAL CHILD DEVELOPMENT CENTER (@Purok 4B, Sto. Niño,Talaingod, DdN 1.	The Local </t>
  </si>
  <si>
    <t xml:space="preserve"> Republic of the Philippines Province of Misamis Occidental MUNICIPALITY OF CALAMBA   INVITATION TO BID FOR THE CONCRETING OF SILOY-MAMALAD ROAD 	June 27, 2020 1.	The Local Government Unit of Calamba, Misamis Occidental, through the 20% Development Fund-20</t>
  </si>
  <si>
    <t xml:space="preserve"> Republic of the Philippines DEPARTMENT OF PUBLIC WORKS AND HIGHWAYS BATANGAS III DISTRICT ENGINEERING OFFICE REGIONAL OFFICE IV-A J. Gonzales St., Barangay 4, Tanauan City INVITATION TO BID (CW-2020-037) The DPWH–Batangas III District Engineering Office, </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</si>
  <si>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</si>
  <si>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Rehabilitation / Major Repair of Multi-Purpose Building</t>
  </si>
  <si>
    <t xml:space="preserve"> Structural Improvement of Public Buildings and Construction of Evacuation Center</t>
  </si>
  <si>
    <t xml:space="preserve"> 1. The Lobo Water District through the Corporate Budget for the contract approved by the governing Boards 3 intends to apply the sum of One Million Two Hundred Ninety Eight Thousand Pesos (Php 1,298,000.00) being the Approved Budget for the Contract (ABC)</t>
  </si>
  <si>
    <t xml:space="preserve"> The Western Mindanao State University, through its Bids and Awards Committee (BAC), is inviting PhilGEPS registered suppliers to apply for eligibility and to submit bids for the item mentioned hereunder:  1.)	2	Units	Steel Filing Cabinet 			specification:</t>
  </si>
  <si>
    <t xml:space="preserve"> The Western Mindanao State University, through its Bids and Awards Committee (BAC), is inviting PhilGEPS registered suppliers to apply for eligibility and to submit bids for the item mentioned hereunder:  1.)	42	Units	Computer Table 			* keyboard sliding </t>
  </si>
  <si>
    <t xml:space="preserve"> Municipality of Danao 						 Project Reference Number 			 : 	 2020-001 		  Name of Procuring Entity 						 Name of Project 			 : 	 Improvement/Opening of Brgy. Access Road San Carlos 		  StandardForm Number : SF -GOOD -60 						 Location of the Project   </t>
  </si>
  <si>
    <t xml:space="preserve"> Section I. Invitation to Bid Republic of the Philippines Province of Davao del Norte Municipality of Talaingod 27 June, 2020 INVITATION TO BID FOR CHEMICALS, FERTILIZERS, FARM TOOLS &amp; EQUIPMENT AND SEEDLINGS/CORM (OPLAN AHON SA KAHIRAPAN-BANANA PRODUCTION</t>
  </si>
  <si>
    <t xml:space="preserve"> Contract ID: 20-DO-0086 Contract Name	: Construction/Rehabilitation of Water Supply/Septage and Sewerage/ Rain Water Collectors – Rain Water Collectors in Public Facilities – Construction of Rain Water Collectors at Rodriguez, Rizal Contract Location	: Ro</t>
  </si>
  <si>
    <t xml:space="preserve"> Contract ID: 20-DO-0085 Contract Name: Repair/Rehabilitation of Flood Control Structure at Malaya, Pililla, Rizal Contract Location	: Pililla, Rizal Brief Description	: Repair/Rehabilitation of Flood Control Structure Approved Budget for the Contract (ABC</t>
  </si>
  <si>
    <t xml:space="preserve"> Republic of the Philippines PROVINCE OF AGUSAN DEL SUR Municipality of Sta. Josefa Invitation to Bid for   SJADS INFRA 20-04: ESTABLISHMENT OF ECO-PARK  (SCRAPING AND EMBANKMENT) 				                         June 27, 2020 1.	The Municipality of Sta. Josef</t>
  </si>
  <si>
    <t xml:space="preserve"> Republic of the Philippines Province of Leyte Municipality of Pastrana BARANGAY LANAUAN INVITATION TO BID RENOVATION OF HEALTH CENTER  I.  SIGNBOARD II. EXCAVATION &amp; DEMOLITION   - .832cu.m III.MASSONRY WORKS - 29sq.m IV. CEILING WORKS    - 32sq.m V.  DOO</t>
  </si>
  <si>
    <t xml:space="preserve"> Rehabilitation of Drainage System</t>
  </si>
  <si>
    <t xml:space="preserve"> Repair/Rehabilitation of Roads Damaged by Taal Volcano Eruption</t>
  </si>
  <si>
    <t xml:space="preserve"> Contract ID: 20-DO-0084 Contract Name: Repair/Rehabilitation of Slope Protection along Nagsandig to Sampad, Brgy. Nagsandig &amp; Brgy. Sampad, Cardona, Rizal Contract Location	: Cardona, Rizal Brief Description	: Repair/Rehabilitation of Slope Protection App</t>
  </si>
  <si>
    <t xml:space="preserve"> OFFICE OF THE BIDS AND AWARDS COMMITTEE REQUEST FOR QUOTATION (Negotiated 2-Failed Biddings) Name of Project: 20-05-385 Purchase of Fuel for the Office of the Municipal Mayor (2nd Quarter) Procurement Mode: Negotiated Procurement (Two-Failed Biddings) Cla</t>
  </si>
  <si>
    <t xml:space="preserve"> The Western Mindanao State University, through its Bids and Awards Committee (BAC), is inviting PhilGEPS registered suppliers to apply for eligibility and to submit bids for the item mentioned hereunder:  1.)	1	Unit	LCD Projector 			Specifications: 			* P</t>
  </si>
  <si>
    <t xml:space="preserve"> OFFICE OF THE BIDS AND AWARDS COMMITTEE REQUEST FOR QUOTATION (Negotiated 2-Failed Biddings) Name of Project: 20-05-394 Purchase of Furniture and Fixtures for Office Use (COMELEC) 1st Quarter 2020 Procurement Mode: Negotiated Procurement (Two-Failed Biddi</t>
  </si>
  <si>
    <t xml:space="preserve"> Repair / Maintenance of Public Building</t>
  </si>
  <si>
    <t xml:space="preserve"> Const. Supplies &amp; Materials for the Concreting of Cote-Boybo Road Item No.	Quantity	Unit	Description			 1	280	bags	Portland Cement 40kg			 2	25	cu.m.	Sand			 3	23	cu.m.	Gravel			 4	60	bd.ft	10pcs. 1 x 6 x 12 coco lumber			 5	10	kg	CW nails, assorted</t>
  </si>
  <si>
    <t xml:space="preserve"> The Western Mindanao State University, through its Bids and Awards Committee (BAC), is inviting PhilGEPS registered suppliers to apply for eligibility and to submit bids for the item mentioned hereunder:  1.)	1	Unit	Steel Filing Cabinet 			* 4 drawers, ve</t>
  </si>
  <si>
    <t xml:space="preserve"> Republic of the Philippines PROVINCE OF NUEVA VIZCAYA Invitation to Bid for the  IMPROVEMENT OF PAPAYA-CABINUANGAN-RUNRUNO ROAD Located at Kasibu, Nueva Vizcaya  1.	The Provincial Government of Nueva Vizcaya, through the 2020 20% Development Fund intends </t>
  </si>
  <si>
    <t xml:space="preserve"> Item I:  Hog Line 1 set Scalding Vat -5mm thick SS grade 304 full welded construction with 50mm dia. SS drain gate valve, lifter and counter weight -includes furnace construction with fire bricks insulation and 250mm dia. heat resistant chimney 1.5 meters</t>
  </si>
  <si>
    <t xml:space="preserve"> PROCUREMENT OF THE FOLLOWING SERVICES: CLEARING, DE-SILTING AND REMOVAL OF WASTES OF AKAN CREEK APPROX. 500 LN.M. x 2.50 METERS LABOR SERVICES : CAPABILITY OUTPUT (15 DAYS)                               1 FOREMAN                                14 LABORERS</t>
  </si>
  <si>
    <t xml:space="preserve"> INVITATION TO BID IB NO. CW 2020 –  101 Construction of Capitol in the South at Bagumbayan, Roxas, Oriental Mindoro 1.  The Provincial Government of Oriental Mindoro (PGOM) through the General Fund – SB # 2 intends to apply the sum of Thirty Four Million </t>
  </si>
  <si>
    <t xml:space="preserve"> 124.80 cm (7.62) cubic inch Single cylinder, four stroke 9.40 HP (6.9) @ 75000 RPM 10.40 mm (1.1kgf-m or 7.7 ft lbs) @ 5000 rpm 52.4 *57.9 mm (2.1 * 2.3 inches)</t>
  </si>
  <si>
    <t xml:space="preserve"> IB 2020-07-010 PLPG Procurement of LPG 50 Kgs 2020-10</t>
  </si>
  <si>
    <t xml:space="preserve"> 20CSE008: Consulting Services for the Conduct of Feasibility Study of the Proposed Coron-Culion Bridge, Palawan</t>
  </si>
  <si>
    <t xml:space="preserve"> Office and IT Equipment</t>
  </si>
  <si>
    <t xml:space="preserve"> PROCUREMENT OF THE FOLLOWING SERVICES: CONCRETING OF 0.10 METER THK, 1.0 METER WIDTH, 140.0 LINEAR METERS PATHWALK AT ZONE 8. A. MATERIALS B. LABOR  C. OTHER SERVICES FOR MORE DETAILS VISIT THE BARANGAY</t>
  </si>
  <si>
    <t xml:space="preserve"> 1. The CITY GOVERNMENT OF CALAMBA through the General Fund intends to apply the sum of PHP 3,360,000.00 being the Approved Budget for the Contract (ABC) to payments under the contract for: G-2020-281 Supply and Delivery of Rice Office of the City Mayor, C</t>
  </si>
  <si>
    <t xml:space="preserve"> IB 2020-07-009 POC Procurement of Oxygen Cylinder 1800 PSI and Installation of Oxygen Manifold with Oxygen Pipe-in 2020-09</t>
  </si>
  <si>
    <t xml:space="preserve"> PROCUREMENT OF THE FOLLOWING SERVICES: CLEARING, DE-SILTING AND REMOVAL OF WASTES OF QUIRIAON CREEK APPROX. 500 LN.M. x 1.0 METER LABOR SERVICES : CAPABILITY OUTPUT (15 DAYS)                               1 FOREMAN                                10 LABORE</t>
  </si>
  <si>
    <t xml:space="preserve"> 1. The CITY GOVERNMENT OF CALAMBA through the Special Education Fund intends to apply the sum of PHP 2,232,000.00 being the Approved Budget for the Contract (ABC) to payments under the contract for: G-2020-210 Supply and Delivery of Portable Pressure Wash</t>
  </si>
  <si>
    <t xml:space="preserve"> Construction of Multi-Purpose Building</t>
  </si>
  <si>
    <t xml:space="preserve"> The Western Mindanao State University, through its Bids and Awards Committee (BAC), is inviting PhilGEPS registered suppliers to apply for eligibility and to submit bids for the item mentioned hereunder:  1.)	1	Unit	Laptop 			Specifications: 			Processor:</t>
  </si>
  <si>
    <t xml:space="preserve"> 1. The CITY GOVERNMENT OF CALAMBA through the Special Education Fund intends to apply the sum of PHP 3,450,000.00 being the Approved Budget for the Contract (ABC) to payments under the contract for: G-2020-387 Supply and Delivery of Generator City Schools</t>
  </si>
  <si>
    <t xml:space="preserve"> 1.Super Carry Van 2. Yr. Model 2018 3. 5 doors 4. Passenger capacity-9 including driver 5. Milleage Reaching-not to exceed 8,000 Kms. 6. Fully loaded- Pioneer car stereo and 4 speakers                      - Aricon front and rear                      - he</t>
  </si>
  <si>
    <t xml:space="preserve"> Republic of the Philippines Province of Cagayan Municipality of Piat -o0o- OFFICE OF THE BIDS AND AWARDS COMMITTEE (BAC) INVITATION TO BID FOR PROCUREMENT OF FERTILIZER                                       The Local Government Unit of Piat, through a sha</t>
  </si>
  <si>
    <t xml:space="preserve"> Republic of the Philippines Province of Bukidnon Municipality of Damulog OFFICE OF THE BIDS AND AWARDS COMMITTEE INVITATION TO BID FOR CONCRETING OF MUNICIPAL STREETS (Jct. Jose Rizal St to Gregorio del Pilar St. to Jct. Manlabao St.) AT POBLACION, DAMULO</t>
  </si>
  <si>
    <t xml:space="preserve"> Invitation to Bid for the Construction of Multi-Purpose Building, Brgy. Dogongan, Daet, Camarines Norte 1.	TheProvincial Government of Camarines Norte, through the Aid to BarangayCY 2020intends to apply the sum of Two MillionFour Hundred Ninety-FourThousa</t>
  </si>
  <si>
    <t xml:space="preserve"> 1.	Contract ID: 20EI0179 Contract Name: Repair/Rehab. Of Scoured Shoulder with Slope Protection along CSR K0164+800 – K0164+860, Brgy. Manaul,  Location: Mansalay, Oriental Mindoro Brief Description: Repair/Rehab. Of scoured Shoulder with Slope Protection</t>
  </si>
  <si>
    <t xml:space="preserve"> INVITATION TO BID  for  Supply and Delivery of Various Construction Materials and Agricultural Equipment at Different Barangays within the 4th District of Pangasinan  Solicitation No. PANG-2020-0794 1.	The Provincial Government of Pangasinan, through the </t>
  </si>
  <si>
    <t xml:space="preserve"> Invitation to Bid for the Construction of Three Classroom, Brgy. Poblacion, Sta. Elena, Camarines Norte 1.	TheProvincial Government of Camarines Norte, through the General Fund CY 2020intends to apply the sum of Four MillionFour Hundred Ninety-Five Thousa</t>
  </si>
  <si>
    <t xml:space="preserve"> PROCUREMENT OF SLIPPERS (SANDAL TYPE) FOR AGE 6-12 YEARS The MUNICIPALITY OF AGUTAYA, through its Bids and Awards Committee (BAC), invites eligible suppliers/contractors to bid for the hereunder project: Project		:	 	 Requesting Office/End-user	:	MUNICIPA</t>
  </si>
  <si>
    <t xml:space="preserve"> INVITATION TO BID  for  Construction of Material Recovery Facilities at Lingayen District Hospital, Lingayen, Pangasinan Solicitation No. PANG-2020-0792 1.	The Provincial Government of Pangasinan, through the Maintenance/improvement of Various Hospitals i</t>
  </si>
  <si>
    <t xml:space="preserve"> 2.	Contract ID:  Brief Description: Repair/Rehab. Of scoured Shoulder with Slope Protection of 46.00 ln.m.   Approved Budget for the Contract (ABC): PhP 664,612.34 Source of Funds: GAA FY - 2020 Contract Duration: 30 calendar days Bid Document Amount: PhP</t>
  </si>
  <si>
    <t xml:space="preserve"> INVITATION TO BID  for  Supply and Delivery of 832 MT Asphalt Pre-Mix and 36 drums Emulsified Asphalt at PGO, Lingayen, Pangasinan (for use in the Asphalting/Blocktopping of Lingayen-San Carlos Road Dike at Lingayen, Pangasinan) Solicitation No. PANG-2020</t>
  </si>
  <si>
    <t xml:space="preserve"> Contract ID:      20HL0111 Contract Name: Repair/Maintenance of Flood Control &amp; Drainage Structures: Datag 1                         River Control Upstream "A"  Contract Location:  Datag, Siaton, Negros Oriental Scope of Works:  Construction of River Cont</t>
  </si>
  <si>
    <t xml:space="preserve"> Item No.	Qty.	Unit of Issue	Item Description      1	          1	   length 	        10" Ø x 20' B.I Pipe       2	          1	   length 	        6" Ø x 20' B.I Pipe       3	          1	   length 	        4" Ø x 20' B.I Pipe       4	          2	   length 	  </t>
  </si>
  <si>
    <t xml:space="preserve"> Invitation to Bid for the  Fabrication  and Setting/Deployment of Concrete Artificial Reef 1.The Bureau of Fisheries and Aquatic Resources- Regional Fisheries Office I (BFAR-RFO I), through the General Appropriation Act of 2020 (GAA 2020) intends to apply</t>
  </si>
  <si>
    <t xml:space="preserve"> Republic of the Philippines PROVINCE OF ZAMBALES IBA BIDS AND AWARDS COMMITTEE Invitation to Bid for the Completion of 10 Classroom Two-Storey School Building with Multi-Purpose Covered Court Phase 1, Amungan High School, Iba 1.	The Province of Zambales, </t>
  </si>
  <si>
    <t xml:space="preserve"> 1. The CITY GOVERNMENT OF CALAMBA through the Special Education Fund intends to apply the sum of PHP 19,997,004.00 being the Approved Budget for the Contract (ABC) to payments under the contract for: G-2020-197 Supply and Delivery of School Supplies City </t>
  </si>
  <si>
    <t xml:space="preserve"> Republic of the Philippines                                           Province of Leyte     MUNICIPALITY OF ALBUERA       OFFICE OF THE BIDS AND AWARDS COMMITTEE INVITATION TO BID 	The Local Government Unit of Albuera, Leyte through its Bids and Awards Co</t>
  </si>
  <si>
    <t xml:space="preserve"> Republic of the Philippines        Province of Leyte     MUNICIPALITY OF ALBUERA       OFFICE OF THE BIDS AND AWARDS COMMITTEE INVITATION TO BID 	The Local Government Unit of Albuera, Leyte through its Bids and Awards Committee invites interested supplier</t>
  </si>
  <si>
    <t xml:space="preserve"> INVITATION TO BID  for  Supply and Delivery of 837 MT Asphalt Pre-Mix and 36 drums Emulsified Asphalt at PGO, Lingayen, Pangasinan (for use in the Asphalting of Lingayen-San Carlos Road Dike at San Carlos City, Pangasinan) Solicitation No. PANG-2020-0793 </t>
  </si>
  <si>
    <t xml:space="preserve"> Contract ID:      20HL0110 Contract Name: Repair and Maintenance of Road Safety Facilities - Installation of                         New Traffic Signs along Dumaguete South Road, Dumaguete City-                        Valencia-Bacong Road, Sta. Catalina-P</t>
  </si>
  <si>
    <t xml:space="preserve"> 1. The CITY GOVERNMENT OF CALAMBA through the General Fund intends to apply the sum of PHP 1,717,416.00 being the Approved Budget for the Contract (ABC) to payments under the contract for: G-2020-361 Labor &amp; Materials for the Repair &amp; Maintenance of Water</t>
  </si>
  <si>
    <t xml:space="preserve"> 1. The CITY GOVERNMENT OF CALAMBA through the General Fund intends to apply the sum of PHP 1,276,500.00 being the Approved Budget for the Contract (ABC) to payments under the contract for: G-2020-283 Supply and Delivery of Medical Equipment City Health Se</t>
  </si>
  <si>
    <t xml:space="preserve"> 1. The CITY GOVERNMENT OF CALAMBA through the GAD Fund intends to apply the sum of PHP 3,805,574.40 being the Approved Budget for the Contract (ABC) to payments under the contract for: G-2020-372 Supply and Delivery of Agricultural Inputs: Organic Swine P</t>
  </si>
  <si>
    <t xml:space="preserve"> Item                    QTY                    Unit                             Item Description   # 1                         14                      rolls                    HDPE pipe 63mm o SDR-11 (60/roll) 2                         13                 </t>
  </si>
  <si>
    <t xml:space="preserve"> 1. The CITY GOVERNMENT OF CALAMBA through the General Fund intends to apply the sum of PHP 2,424,000.00 being the Approved Budget for the Contract (ABC) to payments under the contract for: G-2020-370 Supply and Delivery of Wheelchair Office of the City Ma</t>
  </si>
  <si>
    <t xml:space="preserve"> INVITATION TO BID  for  Construction of Provincial Youth Development Center at Lingayen, Pangasinan Solicitation No. PANG-2020-0798 1.	The Provincial Government of Pangasinan, through the PCF-DILG/Community Development Fund intends to apply the sum of Sev</t>
  </si>
  <si>
    <t xml:space="preserve"> 1. The CITY GOVERNMENT OF CALAMBA through the General Fund intends to apply the sum of PHP 7,530,411.00 being the Approved Budget for the Contract (ABC) to payments under the contract for: G-2020-322 Supply and Delivery of Drugs and Medicines City Health </t>
  </si>
  <si>
    <t xml:space="preserve"> Republic of the Philippines Department of Health WESTERN VISAYAS SANITARIUM Santa Barbara, Iloilo INVITATION TO BID FOR Procurement of Various Office Supplies,  Customized Logbooks &amp; Forms and ICT Consumables IB No. 2020-06-012-G The Western Visayas Sanit</t>
  </si>
  <si>
    <t xml:space="preserve"> INVITATION TO BID  for  Upgrading of Poblacion-Cabalaoangan-Guiling Road, Rosales, Pangasinan Solicitation No. PANG-2020-0791 1.	The Provincial Government of Pangasinan, through the DILG-CMGP intends to apply the sum of Forty-Three Million Two Hundred Fif</t>
  </si>
  <si>
    <t xml:space="preserve"> The DPWH Nueva Ecija 1st DEO, through its Bids and Awards Committee (BAC), invites contractors to submit bids for the following contract:			 				 	20CE0210: Construction of 2STY6CL, Mamandil PS, Talavera, Nueva Ecija			 				 				 	CONTRACT DURATION: _____</t>
  </si>
  <si>
    <t xml:space="preserve"> 1.	The Mindanao State University-Tawi-Tawi College of Technology and Oceanography (MSU-TCTO), through the MSU-TCTO TRUST FUND   intends to apply the sum of One Million Five Hundred Pesos and  0/100 Centavos (PhP1,500,000.00) being the Approved Budget for </t>
  </si>
  <si>
    <t xml:space="preserve"> 1.	200		pcs.		Plastic Envelope w/ handle	 2.	1600		pcs.		Notebooks	 3.	200		pcs.		Pencil	 4.	400		pcs.		Ballpen	 5.	200		pcs.		Sharpener	 6.	200		pcs.		Ruler	 7.	200		pcs.		Eraser	 8.	100		pcs.		Pad Paper (Grade 1-4)	 9.	50		pcs.		Intermediate Pad Paper	 </t>
  </si>
  <si>
    <t xml:space="preserve"> various Office Supplies</t>
  </si>
  <si>
    <t xml:space="preserve"> 1. The CITY GOVERNMENT OF CALAMBA through the LDRRM Fund intends to apply the sum of PHP 9,599,999.36 being the Approved Budget for the Contract (ABC) to payments under the contract for: G-2020-369 Supply and Delivery of Advance Life Support Ambulance Loc</t>
  </si>
  <si>
    <t xml:space="preserve"> various Emergency and First Aid Kits</t>
  </si>
  <si>
    <t xml:space="preserve"> The Municipal Government of Luna, Isabela through its Bids and Awards Committee (BAC) invites contractors registered by the Philippine Contractors Accreditation Board (PCAB) to apply and bid for the hereunder project: Name of Project: REHABILITATION OF FA</t>
  </si>
  <si>
    <t xml:space="preserve"> 1. The CITY GOVERNMENT OF CALAMBA through the General Fund intends to apply the sum of PHP 2,914,240.00 being the Approved Budget for the Contract (ABC) to payments under the contract for: G-2019-1080 Supply and Delivery of Pick-Up Patrol Vehicle Public O</t>
  </si>
  <si>
    <t xml:space="preserve"> Republic of the Philippines DEPARTMENT OF PUBLIC WORKS AND HIGHWAYS CAPIZ 2ND DISTRICT ENGINEERING OFFICE REGIONAL OFFICE VI Dumalag, Capiz INVITATION TO BID The Department of Public Works and Highways, Capiz 2nd District Engineering Office through its Bi</t>
  </si>
  <si>
    <t xml:space="preserve"> PARTICULARS	DATE Pre-bid Conference @ BAC Conference Room, GSO, 1st floor, New Capitol Blg, Pigcarangan, Tubod,LDN.	July 9,  2020 @ 10:00 AM Deadline for Submission of Eligibility requirements and bidding documents for  bid opening (all bids must be place</t>
  </si>
  <si>
    <t xml:space="preserve"> 1 45 REAM/S PAPER - BOND,PG,A4,210MMX297MM,70GSM. 2 25 REAM/S PAPER - BOOK LEGAL,216MMX330MM(8-1/2"X13"),MIN OF 70GSM 3 18 PC/S INK - EPSON - BLACK T6641 4 4 PAIR/S SCISSORS - ORDINARY 15CM (6") 5 5 PC/S CORRECTION TAPE - W/ CASE 6 1 PC/S LAMINATES - 1.2m</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</si>
  <si>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</si>
  <si>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The DPWH Nueva Ecija 1st DEO, through its Bids and Awards Committee (BAC), invites contractors to submit bids for the following contract:			 				 	20CE0225: Repair/Maintenance of River Bank Protection along Rio Chico River, Brgy. Mapangpang, Lupao, Nueva </t>
  </si>
  <si>
    <t xml:space="preserve"> The DPWH Nueva Ecija 1st DEO, through its Bids and Awards Committee (BAC), invites contractors to submit bids for the following contract:			 				 	20CE0224: Repair/Maintenance of Collapsed Slope Protection, Cadaclan Bridge 2, along Pantabangan - Canili - </t>
  </si>
  <si>
    <t xml:space="preserve"> The DPWH Nueva Ecija 1st DEO, through its Bids and Awards Committee (BAC), invites contractors to submit bids for the following contract:			 				 	20CE0222: Construction of 1STY2CL, Salvacion 2nd ES, Lupao, Nueva Ecija			 				 				 	CONTRACT DURATION: ___</t>
  </si>
  <si>
    <t xml:space="preserve"> 1.	The Mindanao State University-Tawi-Tawi College of Technology and Oceanography (MSU-TCTO), through the MSU-TCTO Trust Fund,  intends to apply the sum of One Million Seven Hundred Twenty-one Thousand Four Hundred Four Pesos and 67/100 Centavos (PhP 1,72</t>
  </si>
  <si>
    <t xml:space="preserve"> The DPWH Nueva Ecija 1st DEO, through its Bids and Awards Committee (BAC), invites contractors to submit bids for the following contract:			 				 	20CE0221: Construction of 1STY2CL, Maragol IS, Science City of Muñoz, Nueva Ecija			 				 				 	CONTRACT DUR</t>
  </si>
  <si>
    <t xml:space="preserve"> The DPWH Nueva Ecija 1st DEO, through its Bids and Awards Committee (BAC), invites contractors to submit bids for the following contract:			 				 	20CE0220: Construction of 2STY4CL, Muñoz National High School (Annex), Science City of Muñoz, Nueva Ecija			</t>
  </si>
  <si>
    <t xml:space="preserve"> The DPWH Nueva Ecija 1st DEO, through its Bids and Awards Committee (BAC), invites contractors to submit bids for the following contract:			 				 	20CE0219: Construction of 3STY15CL, Cuyapo CS, Cuyapo, Nueva Ecija			 				 				 	CONTRACT DURATION: ________</t>
  </si>
  <si>
    <t xml:space="preserve"> Repair/Rehabilitation of Barangay Hall</t>
  </si>
  <si>
    <t xml:space="preserve"> The DPWH Nueva Ecija 1st DEO, through its Bids and Awards Committee (BAC), invites contractors to submit bids for the following contract:			 				 	20CE0216: Construction of 2STY4CL, Cabaruan ES, Guimba, Nueva Ecija			 				 				 	CONTRACT DURATION: _______</t>
  </si>
  <si>
    <t xml:space="preserve"> The DPWH Nueva Ecija 1st DEO, through its Bids and Awards Committee (BAC), invites contractors to submit bids for the following contract:			 				 	20CE0214: Construction of 2STY6CL, Don Emiliano Soriano ES, Aliaga, Nueva Ecija			 				 				 	CONTRACT DURAT</t>
  </si>
  <si>
    <t xml:space="preserve"> The DPWH Nueva Ecija 1st DEO, through its Bids and Awards Committee (BAC), invites contractors to submit bids for the following contract:			 				 	20CE0223: Construction of 1STY2CL, Camanggahan ES, Carranglan, Nueva Ecija			 				 				 	CONTRACT DURATION: </t>
  </si>
  <si>
    <t xml:space="preserve"> The DPWH Nueva Ecija 1st DEO, through its Bids and Awards Committee (BAC), invites contractors to submit bids for the following contract:			 				 	20CE0212: Construction of 2STY8CL, Minabuyok ES, Talavera, Nueva Ecija			 				 				 	CONTRACT DURATION: ____</t>
  </si>
  <si>
    <t xml:space="preserve"> 1. The CITY GOVERNMENT OF CALAMBA through the General Fund intends to apply the sum of PHP 3,444,000.00 being the Approved Budget for the Contract (ABC) to payments under the contract for: G-2020-280 Supply and Delivery of Rice &amp; Personalized Sacks Office</t>
  </si>
  <si>
    <t xml:space="preserve"> The DPWH Nueva Ecija 1st DEO, through its Bids and Awards Committee (BAC), invites contractors to submit bids for the following contract:			 				 	20CE0211: Construction of 2STY6CL, Homestead I ES, Talavera, Nueva Ecija			 				 				 	CONTRACT DURATION: __</t>
  </si>
  <si>
    <t xml:space="preserve"> The DPWH Nueva Ecija 1st DEO, through its Bids and Awards Committee (BAC), invites contractors to submit bids for the following contract:			 				 	20CE0218: Construction of 2STY6CL, Doroteo R. Jose Elementary School, Cuyapo, Nueva Ecija			 				 				 	CONT</t>
  </si>
  <si>
    <t xml:space="preserve"> SITE CLEARING AND GRUBBING SURPLUS COMMON EXCAVATION SUBGRADE PREPARATION AGGREGATE BASE COURSE PCC PAVEMENT WARNING &amp; HAZARD SIGNS INCLUDING BOLLARDS CONSTRUCTION SAFETY AND HEALTH 4' x 8' Tarpaulin on 5mm thk. Marine Plywood with Helivitica Font (70dpi)</t>
  </si>
  <si>
    <t xml:space="preserve"> The Local Government Unit of the Island Garden City of Samal through the 20% Development Funds (2020) intends to apply the sum of Four Million Seven Hundred Ninety Four Thousand Two Hundred Sixty One Pesos and Thirty Four Centavos (₱4,794,261.34) being th</t>
  </si>
  <si>
    <t xml:space="preserve"> The DPWH Nueva Ecija 1st DEO, through its Bids and Awards Committee (BAC), invites contractors to submit bids for the following contract:			 				 	20CE0213: Construction of 2STY6CL, Collado ES, Talavera, Nueva Ecija			 				 				 	CONTRACT DURATION: ______</t>
  </si>
  <si>
    <t xml:space="preserve"> The DPWH Nueva Ecija 1st DEO, through its Bids and Awards Committee (BAC), invites contractors to submit bids for the following contract:			 				 	20CE0215: Construction of 2STY6CL, Concepcion ES, Santo Domingo, Nueva Ecija			 				 				 	CONTRACT DURATION</t>
  </si>
  <si>
    <t xml:space="preserve"> INVITATION TO BID The Bureau of Fisheries and Aquatic Resources Region 5 (BFAR 5), through the Government of the Philippines (GOP), for CY 2020 intends to apply the sum of Six Hundred Twenty Two Thousand Eight Hundred Pesos (PhP622,800.00) only, being the</t>
  </si>
  <si>
    <t xml:space="preserve"> The Local Government Unit of the Island Garden City of Samal through the 20% Development Fund (2020) intends to apply the sum of One Million Four Hundred Twenty Nine Thousand Nine Hundred Fifty Eight Pesos and Sixty Five Centavos (₱1,429,958.65) being the</t>
  </si>
  <si>
    <t xml:space="preserve"> Republic of the Philippines Province of Compostela Valley Municipality of Monkayo -o0o- INVITATION TO BID FOR THE PROCUREMENT OF MATERIALS FOR THE PROJECT OF CONSTRUCTION OF FLOOD CONTROL DRAINAGE SYSTEM (REPROGRAMMED) LOCATED @ PUROK 7 &amp; PUROK 7A, POBLAC</t>
  </si>
  <si>
    <t xml:space="preserve"> Republic of the Philippines Province of Batanes	 MUNICIPALITY OF BASCO               INVITATION FOR NEGOTIATED PROCUREMENT  Small Value Procurement Project Reference No. :100-3-01-011 Name of Project	      : Drugs and Medicines Location of Project   : MLG</t>
  </si>
  <si>
    <t xml:space="preserve"> INVITATION OF BID The Municipality of Anda, Pangasinan, through its Bids and Awards Committee, invites bidder/suppliers to submit their Bid for the hereunder contract; Name of Contract: CONSTRUCTION OF LINE CANAL ALONG SAN JOSE              JUNCTION-TONDO</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</si>
  <si>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</si>
  <si>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Republic of the Philippines Province of Compostela Valley Municipality of Monkayo -o0o- INVITATION TO BID FOR THE PROCUREMENT OF LABOR &amp; MATERIALS FOR THE PROJECT OF MULTI-PURPOSE HALL IMPROVEMENT-BARANGAY OLAYCON, MONKAYO, DAVAO DE ORO  The Municipality </t>
  </si>
  <si>
    <t xml:space="preserve"> The Local Government Unit of the Island Garden City of Samal, through the 20% Development Fund (SB#1) intends to apply the sum of One Million Nine Hundred Thirty Four Thousand Nine Hundred Sixteen Pesos and Twenty Nine Centavos (₱1,934,916.29) being the A</t>
  </si>
  <si>
    <t xml:space="preserve"> The Local Government Unit-Municipality of Malinao, Aklan through the Bids and Awards Committee, intends to apply the sum of Eighty Four Thousand Five Hundred Twenty Nine Pesos and 00/100 (Php84,529.00) as the Approved Budget for the Contract (ABC) to paym</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</si>
  <si>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</si>
  <si>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</si>
  <si>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Ext. Length 120 mts Width 1.5 mts</t>
  </si>
  <si>
    <t xml:space="preserve"> CONSTRUCTION SUPPLIES AND MATERIALS ONLY</t>
  </si>
  <si>
    <t xml:space="preserve"> Payment for electrical expenses</t>
  </si>
  <si>
    <t xml:space="preserve"> Invitation to Bid SUPPLY AND DELIVERY OF CONSTRUCTION  MATERIALS FOR THE RENOVATION OF TRAINING CENTER (PHASE II) ITB No. R4B-20-06-08 1.The NIA MIMAROPA Regional Office, through the General Appropriations Act of 2020 intends to apply the sum of Two Milli</t>
  </si>
  <si>
    <t xml:space="preserve"> The Local Government Unit of the Island Garden City of Samal, through the Supplemental Budget#1 (2020) intends to apply the sum of Nine Hundred Seventy Seven Thousand Six Hundred Forty Nine Pesos and Twenty Three Centavos (₱977,649.23) being the Approved </t>
  </si>
  <si>
    <t xml:space="preserve"> 30 PC's. 90 watts Automatic solar street lights with remote control 30 PC's. Facricated G.I.post  for solar panel ànd led bulbs</t>
  </si>
  <si>
    <t xml:space="preserve"> Chicken Meat Production  for food sufficiency amidst the threat of Covid-19 Pandemic 5,000 head- one day old chick mixedbreed (immunized) 7 bag - chick booster 42 bag - broiler starter 5 bag - La Sota 650 sachet - Antibiotic (24 grms) 600 sachet - electro</t>
  </si>
  <si>
    <t xml:space="preserve"> INVITATION TO BID June 24, 2020            Contract ID Number	:  20GIA006 P.R. Number		:  2020-03-0041 dated March 18, 2020 (GOODS) A B C			:  P 4,600,000.00 Contract Location	:  Naval, Province of Biliran Brief Description	:  Procurement of DPWH Equipmen</t>
  </si>
  <si>
    <t xml:space="preserve"> The Local Government Unit of the Island Garden City of Samal, through the Special Education Fund intends to apply the sum of One Million Four Hundred Forty Seven Thousand Pesos and Seventy Two Centavos (₱1,447,000.72) being the Approved Budget for the Con</t>
  </si>
  <si>
    <t xml:space="preserve"> The DPWH Nueva Ecija 1st DEO, through its Bids and Awards Committee (BAC), invites contractors to submit bids for the following contract:			 				 	20CE0217: Construction of 2STY8CL, Guimba West CS, Guimba, Nueva Ecija			 				 				 	CONTRACT DURATION: ____</t>
  </si>
  <si>
    <t xml:space="preserve"> DISPERSANT</t>
  </si>
  <si>
    <t xml:space="preserve"> Republic of the Philippines Province of Camarines Norte MUNICIPALITY OF VINZONS BIDS AND AWARDS COMMITTEE (BAC) (Tel. # 446-63-09) 	 INVITATION TO BID FOR: PURCHASE OF EXPANDED NBS TESTING KITS  1.	The Local Government Unit of Vinzons through the MOOE – M</t>
  </si>
  <si>
    <t xml:space="preserve"> OFFICE SUPPLIES</t>
  </si>
  <si>
    <t xml:space="preserve"> Item Description	                                   Quantity	                                              Unit a.	Project Billboard                                 	1	                                              unit b.	Clearing and Grubbing of Source P</t>
  </si>
  <si>
    <t xml:space="preserve"> The Local Government Unit of the Island Garden City of Samal through the Special Education Fund – 2020 AB intends to apply the sum of One Million Four Hundred Eighteen Thousand Four Hundred Eighty Six Pesos and Thirty One Centavos (₱1,418,486.31) being th</t>
  </si>
  <si>
    <t xml:space="preserve"> The Local Government Unit of the Island Garden City of Samal, through the 20% Dev’t. Funds intends to apply the sum of One Million Eight Hundred Sixty Nine Thousand Four Hundred Sixty Three Pesos and Seventy Two Centavos (₱1,869,463.72) being the Approved</t>
  </si>
  <si>
    <t xml:space="preserve"> MUNICIPALITY OF BORBON DESCRIPTION 576 BOTTLES PARACETAMOL 250 MG SYRUP 288 BOTTLES CLOXACILLIN 250 MG SUSPENSION 20 BOXES/100 CLOXACILLIN 500MG CAPSULE 288 BOTTLES 250 MG SUSPENSION 5 BOXES/100 MEFENAMIC 500MG CAP 40 BOXES/100 AMOXICILLIN 500MG CAP 144 B</t>
  </si>
  <si>
    <t xml:space="preserve"> Republic of the Philippines Province of Compostela Valley Municipality of Monkayo -o0o- INVITATION TO BID FOR THE PROCUREMENT OF LABOR &amp; MATERIALS FOR THE PROJECT OF REHABILITATION/IMPROVEMENT OF DRY MARKET @ BLOCK-1 BUILDING BLOCK 1, MARKET SITE, POBLACI</t>
  </si>
  <si>
    <t xml:space="preserve"> June 25, 2020 	 	INVITATION TO BID		 			 	The City Government of Pasig through Ordinance No. 21 Series 2019 dated November 7, 2019 		 duly approved by the Sanggunian Panglungsod appropriated funds in the sum as enumerated 			 below being the Approved Budg</t>
  </si>
  <si>
    <t xml:space="preserve"> Aircondition 2 horse power, window type		unit	2</t>
  </si>
  <si>
    <t xml:space="preserve"> Rebidding of Const. Supply &amp; Materials for the Repair/Maint. of Port Facilities Item	Quantity	Unit of	Item Description	 No.		Issue		 				 1	235	bgs	Portland Cement 40 kg	 2	25	cu.m.	Sand	 3	28	cu.m.	Gravel	 4	10	gal	Epoxy Primer Gray	 5	5	gal	QDE	 6	5	gal</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</si>
  <si>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</si>
  <si>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Billboard; Site Works; Forms and Falseworks; Reinforcing Steel; Structural Concrete;  Safety &amp; Health (Construction Health and Safety Requirement);  Equipment Requirement: Dump truck; bar bender; bar cutter; 21 w.d.</t>
  </si>
  <si>
    <t xml:space="preserve"> Republic of the Philippines DEPARTMENT OF PUBLIC WORKS AND HIGHWAYS CAPIZ 2ND DISTRICT ENGINEERING OFFICE REGIONAL OFFICE VI Dumalag, Capiz INVITATION TO BID The Department of Public Works and Highways, Capiz 2nd District Engineering Office, through its B</t>
  </si>
  <si>
    <t xml:space="preserve"> Diesel Fuel		ltrs	6,680</t>
  </si>
  <si>
    <t xml:space="preserve"> Billboard; Clearing &amp; Excavation; Covered Canal; Safety &amp; Health (Construction Health and Safety Requirement); Equipment Requirement: Cargo/service truck; concrete mixer (1 bagger); Truck with water tank; bar cutter; bar bender; 36 w.d.</t>
  </si>
  <si>
    <t xml:space="preserve"> I. Mobilization II. Excavation III. CSHP IV. Concrete Works V. Steel Works VI. Formworks VII. Masonry Works Labor</t>
  </si>
  <si>
    <t xml:space="preserve"> The Local Government Unit of the Island Garden City of Samal through the 20% Development Fund intends to apply the sum of Nine Hundred Forty Eight Thousand One Hundred Forty Six Pesos and Seventy Centavos (₱948,146.70) being the Approved Budget for the Co</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</si>
  <si>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</si>
  <si>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Laptop 15.6" (Core i7 / 8 gb ram DDR4 Windows 10 / 1 TB HDD</t>
  </si>
  <si>
    <t xml:space="preserve"> 1. The CITY GOVERNMENT OF CALAMBA through the LGD Fund intends to apply the sum of PHP 2,094,000.00 being the Approved Budget for the Contract (ABC) to payments under the contract for: G-2020-371 Supply and Delivery of Blood Bank Refrigerator &amp; Plasma Fre</t>
  </si>
  <si>
    <t xml:space="preserve"> Republic of the Philippines Province of Compostela Valley Municipality of Monkayo -o0o- INVITATION TO BID FOR THE PROCUREMENT OF LABOR &amp; MATERIALS FOR THE PROJECT OF CONSTRUCTION OF MULTI-PURPOSE HALL-BABAG, MONKAYO, DAVAO DE ORO The Municipality of Monka</t>
  </si>
  <si>
    <t xml:space="preserve"> Republic of the Philippines Province of Samar Municipality of Sta. Rita The Municipality of Sta. Rita, through Municipal Agriculture Office MOOE fund intends to apply the sum of TWO MILLION PESOS (Php2,000,000.00) ONLY being the Approved Budget for the Co</t>
  </si>
  <si>
    <t xml:space="preserve"> The Local Government Unit of the Island Garden City of Samal, through the 20% Development Fund (2020) intends to apply the sum of Eight Hundred Fifty Nine Thousand Six Hundred Seventy Pesos (₱859,670.00) being the Approved Budget for the Contract (ABC) to</t>
  </si>
  <si>
    <t xml:space="preserve"> Communication Load Globe and Smart</t>
  </si>
  <si>
    <t xml:space="preserve"> Billboard; Dismantling of dilapidated pathway; site clearing &amp; excavation works; Railings; Concrete  Works; Manual Hauling of Materials;  Safety &amp; Health (Construction Health and safety Requirement); Equipment Requirement: Electric Jack Hammer; cargo/serv</t>
  </si>
  <si>
    <t xml:space="preserve"> Request for Quotation for the Procurement of Deionized Water to be used at Regional Soils Laboratory 1.	The Department of Agriculture-Regional Field Office 7 (DA-RFO 7), through the General Appropriations Act of CY 2020)  intends to apply the sum of Sixty</t>
  </si>
  <si>
    <t xml:space="preserve"> Republic of the Philippines Province of Compostela Valley Municipality of Monkayo -o0o- INVITATION TO BID FOR THE PROCUREMENT OF LABOR &amp; MATERIALS FOR THE PROJECT OF CONSTRUCTION OF MULTI-PURPOSE HALL-UPPER ULIP, MONKAYO, DAVAO DE ORO The Municipality of </t>
  </si>
  <si>
    <t xml:space="preserve"> Republic of the Philippines Province of Compostela Valley Municipality of Monkayo -o0o- INVITATION TO BID FOR THE PROCUREMENT OF DOCUMENT READER FOR ALCUCOA ACCREDITION PURPOSES  The Municipality of Monkayo, through the GENERL FUND intends to apply the su</t>
  </si>
  <si>
    <t xml:space="preserve"> umbrella nails assorted paint</t>
  </si>
  <si>
    <t xml:space="preserve"> Procurement supply and Delivery of 1 unit 4 x 2 AT Pick Up Location: LGU-Balingasag SB Office, Peoples Palace, Balingasag, Misamis Oriental</t>
  </si>
  <si>
    <t xml:space="preserve"> Rebidding of Const. Supply &amp; Materials for the Maint. of BCR, Various Section Item	Quantity	Unit of	Item Description	 No.		Issue		 				 1	155	bgs	Portland Cement 40 kg	 2	20	cu.m.	Sand	 3	27	cu.m.	Gravel	 4	240	bd.ft.	1 x 8 x 12 cocolumber	 5	20	kgs	CW na</t>
  </si>
  <si>
    <t xml:space="preserve"> Republic of the Philippines Municipality of Taytay Barangay Pularaquen  NOTICE TO BIDDERS 1.	BACKFILLING/WIDENING OF BARANGAY ROADS Item#	Description			QTY.		UNIT	 1.	Diesel				2600		lit The two envelope system of procurement shall be observed, Bidding do</t>
  </si>
  <si>
    <t xml:space="preserve"> I. Mobilization II. Demolition III. CSHP IV. Line Canal (L=41.2) V. Steel Grating VI. Equipment</t>
  </si>
  <si>
    <t xml:space="preserve"> Republic of the Philippines Province of Compostela Valley Municipality of Monkayo -o0o- Invitation to Bid for The Procurement of Labor &amp; Materials for The Project of Rehabilitation/ Improvement of Evacuation Center 1- Poblacion, Monkayo, Davao De Oro The </t>
  </si>
  <si>
    <t xml:space="preserve"> The Local Government Unit of the Island Garden City of Samal, through the 20% Development Fund intends to apply the sum of One Million Nine Hundred Thirty Two Thousand Nine Hundred Thirteen Pesos and Thirty Seven Centavos (₱1,932,913.37) being the Approve</t>
  </si>
  <si>
    <t xml:space="preserve"> bond paper printer ink folders</t>
  </si>
  <si>
    <t xml:space="preserve"> Billboard; Safety &amp; Health (Construction Health and safety Requirement); Clearing and Site Preparation; Reinforcing Steel Bars; Concrete Works; Equipment Requirement: one bagger concrete mixer; dump truck; speed cutter; bar bender; 15 w.d</t>
  </si>
  <si>
    <t xml:space="preserve"> The Local Government Unit of the Island Garden City of Samal, through the 20% Development Fund (2020) intends to apply the sum of One Million Nine Hundred Twenty Two Thousand Four Hundred Twenty Pesos and Seventy Four  Centavos (₱1,922,420.74) being the A</t>
  </si>
  <si>
    <t xml:space="preserve"> the specification is available at the Bids and Awards Secretariat MPDC-2nd Floor, Lasam Municipal Town Hall Centro 02, Lasam, Cagayan</t>
  </si>
  <si>
    <t xml:space="preserve"> The Local Government Unit of the Island Garden City of Samal, through the 20% Development Fund (SB#1) intends to apply the sum of One Million Four Hundred Seventy Four Thousand Thirty Three Pesos and Six Centavos (₱1,474,033.06) being the Approved Budget </t>
  </si>
  <si>
    <t xml:space="preserve"> Estimated Expenditures for Lot A - Php 1,070,180.00        Item Description	       Quantity                	Unit a.		uPVC pipe 75 mm θ series-8 w/ rubber ring blue	320	Pcs. b.		uPVC pipe 100 mm θ series-8 w/ rubber ring blue	4	Pcs. c.		uPVC straight coupl</t>
  </si>
  <si>
    <t xml:space="preserve"> I. Mobilization II. CSHP III. Concrete Works (Slab on Grade) IV. Masonry Works V. Equipment Labor</t>
  </si>
  <si>
    <t xml:space="preserve"> 30 MM SQ.</t>
  </si>
  <si>
    <t xml:space="preserve"> The Local Government Unit of the Island Garden City of Samal, through the 20% Development Fund (2020) intends to apply the sum of Nine Hundred Fifty Thousand Nine Hundred Fifty Five Pesos and Fifty Nine Centavos (₱950,955.59) being the Approved Budget for</t>
  </si>
  <si>
    <t xml:space="preserve"> FLOOR STANDING, INVERTER TYPE</t>
  </si>
  <si>
    <t xml:space="preserve"> Republic of the Philippines Province of Samar Municipality of Sta. Rita The Municipality of Sta. Rita, through Municipal Agriculture Office MOOE fund intends to apply the sum of TWO MILLION FIVE HUNDRED THOUSAND PESOS (Php2,500,000.00) ONLY being the Appr</t>
  </si>
  <si>
    <t xml:space="preserve"> BARANGAY USE</t>
  </si>
  <si>
    <t xml:space="preserve"> Item No.      Quantity        Unit of Issue        Description     1                100                  Pcs               Dry Type Water Meter Specifications: * 1/2" diameter, brass, complete with tailpiece * Antimagnetic * Uni-directional Note: 1. This </t>
  </si>
  <si>
    <t xml:space="preserve"> 1.	The Capiz Provincial Government, through the GOP–2020 intends to apply the total amount of Two Million Pesos (Php 2,000,000.00) being the total aggregated Approved Budget for the Contract (ABC) to payments under the contract of Public Bidding for the S</t>
  </si>
  <si>
    <t xml:space="preserve"> PARTICULARS	DATE Pre-bid Conference @ BAC Conference Room, GSO, 1st floor, New Capitol Blg, Pigcarangan, Tubod,LDN.	July 9,  2020 @ 10:00 AM Deadline for Submission of Eligibility requirements and bidding documents for bid opening (all bids must be placed</t>
  </si>
  <si>
    <t xml:space="preserve"> BDRRM EQUIPMENTS</t>
  </si>
  <si>
    <t xml:space="preserve"> Procurement supply and Delivery of One (1) Set Rescue Boat with Outboard Motor Engine and Trailer Location: LGU-Balingasag, Peoples Palace Balingasag, Misamis Oriental</t>
  </si>
  <si>
    <t xml:space="preserve"> Const. Supplies &amp; Materials for the Rehab of Togbongan Multi-Purpose Hall Item	Quantity	Unit of	Item Description	 No.		Issue		 				 1	40	bgs	Portland Cement 40 kg	 2	7	cu.m.	Sand, washed	 3	15	pcs	10mm Std RSB	 4	2	kg	GI Tie Wire #16	 5	12	pcs	1 1/2 dia G</t>
  </si>
  <si>
    <t xml:space="preserve"> Billboard; Clearing and Excavation; PCCP (pathway);Structural Concrete; Grouted Riprap; Installation of Railings;  Safety &amp; Health (Construction Health and safety Requirement); Equipment Requirement: Welding machine; Speed Cutter; Cargo Truck; 22 w.d.</t>
  </si>
  <si>
    <t xml:space="preserve"> Republic of the Philippines Province of Davao Oriental City of Mati BIDS &amp; AWARDS COMMITTEE INVITATION TO BID LOT Procurement of TIRES and AIRCON COMPRESSOR for the Use of the PNP Vehicles in Support to Peace and Public Safety Operation SOURCE OF FUND: PG</t>
  </si>
  <si>
    <t xml:space="preserve"> STRUCTURAL STEEL ROOF TRUSS (RAFTERS) STRUCTURAL STEEL (PURLINS) STRUCTURAL STEEL (FASCIA) METAL STRUCTURE ACCESSORIES (ANCHOR BOLT) METAL STRUCTURE ACCESSORIES (SAG ROD) METAL STRUCTURE ACCESSORIES (TURNBUCKLE) METAL STRUCTURE ACCESSORIES (CROSSBRACING) </t>
  </si>
  <si>
    <t xml:space="preserve"> Republic of the Philippines DEPARTMENT OF PUBLIC WORKS AND HIGHWAYS Region X OFFICE OF THE REGIONAL DIRECTOR Engineers’ Hill, Bulua, Cagayan de Oro City INVITATION TO BID FOR CONTRACT ID NO. 19GSK00052– SUPPLY &amp; INSTALLATION OF MOBILE COLUMN LIFT, POST LI</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</si>
  <si>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</si>
  <si>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Republic of the Philippines Province of Compostela Valley Municipality of Monkayo -o0o- INVITATION TO BID FOR THE PROCUREMENT OF LABOR &amp; MATERIALS FOR THE PROJECT OF REHABILITATION OF DRY MARKET @ BLOCK-2 (PHASE 2) BLACK 2, MARKET SITE, POBLACION, MONKAYO</t>
  </si>
  <si>
    <t xml:space="preserve"> Clearing and Grubbing; Structural Excavation; Reinforcing Steel Bar; Structural Concrete-Class A; Grouted Riprap; Billboard; Manual Hauling of Materials; Transportation;    Safety &amp; Health (Construction Health and safety Requirement); Equipment Requiremen</t>
  </si>
  <si>
    <t xml:space="preserve"> Billboard; Excavation; Grouted Riprap (Class A); Reinforcing Steel Bar (Grade 40); Structural Concrete (Class A);  Safety &amp; Health (Construction Health and safety Requirement); Equipment Requirement: One Bagger Mixer; Concrete vibrator; Water Truck (16000</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</si>
  <si>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</si>
  <si>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Request for Quotation for the Procurement of Autoclavable Plastic to be used in Metarhizium Production 1.	The Department of Agriculture-Regional Field Office 7 (DA-RFO 7), through the General Appropriations Act of CY 2020)  intends to apply the sum of Nin</t>
  </si>
  <si>
    <t xml:space="preserve"> 175 pcs Customized Zippered Tote Nappy Bag 175 pcs Maternity Absorbent Pads 175 pcs Box of Tissue 350 pcs Customized Breastfeeding Cover 175 pcs Wthyl Alcohol 70% 500ml</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</si>
  <si>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</si>
  <si>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This project is own and govern by Barangay Nemeño, Josefina, Zamboanga del Sur.</t>
  </si>
  <si>
    <t xml:space="preserve"> 1. 20GEI0019 - Furnishing and Delivery of Materials for use in the Concrete and Asphalt Pavement along CSR KM123+000-KM193+000 (Intermittent Section),  Contract Location: Bongabong-Bulalacao, Oriental Mindoro Approved Budget for the Contract (ABC):  P 2,0</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</si>
  <si>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</si>
  <si>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The Energy Regulatory Commission (ERC), through the General Appropriations Act of 2020 intends to apply the sum of One Million Pesos (PhP1,000,000.00) being the Approved Budget for the Contract of the Unified Threat Management (UTM) License Renewal and Su</t>
  </si>
  <si>
    <t xml:space="preserve"> The Municipality of Limay, through its Bids and Awards Committee (BAC) invites registered suppliers to apply for eligibility and if found eligible, to bid for the hereunder project/contract: Project/Contract:     PROCUREMENT OF ONE (1) SET THERMOPLASTIC R</t>
  </si>
  <si>
    <t xml:space="preserve"> The LOCAL GOVERNMENT UNIT OF ISLAND GARDEN CITY OF SAMAL, ), through the 20% Development Fund under the account code 1-07-03-040  intends to apply the sum of Seven Hundred Forty Three Thousand Three Hundred Ninety Six Pesos Only (Php743,396.00) being the </t>
  </si>
  <si>
    <t xml:space="preserve"> Republic of the Philippines CITY GOVERNMENT OF LA CARLOTA BIDS AND AWARDS COMMITTEE OFFICE TEL. NO.  735-1370                                                                                                      	               	 INVITATION TO BID FOR THE </t>
  </si>
  <si>
    <t xml:space="preserve"> INVITATION TO REBID FOR SUPPLY AND DELIVERY OF MATERIALS FOR REPLACEMENT AND EXPANSION OF PIPELINES 1.	The Balingasag Water District, through the Balingasag Water District Fund of 2020 intends to apply the following being the Approved Budget for the Contr</t>
  </si>
  <si>
    <t xml:space="preserve"> Republic of the Philippines DEPARTMENT OF PUBLIC WORKS &amp; HIGHWAYS LEYTE THIRD ENGINEERING DISTRICT REGIONAL OFFICE VIII Villaba, Leyte Telefax No. (053) 552-9266 Email Add: dpwh_leyte3@yahoo.com INVITATION TO BID  June 17, 2020 The Department of Public Wo</t>
  </si>
  <si>
    <t xml:space="preserve"> 4head carabao</t>
  </si>
  <si>
    <t xml:space="preserve"> Fabrication and Installation of Steel Goal</t>
  </si>
  <si>
    <t xml:space="preserve"> Republic of the Philippines Province of Davao Oriental City of Mati BIDS &amp; AWARDS COMMITTEE INVITATION TO BID LOT Procurement of SLIDING WINDOWS for Use in the Repair of RSDC Windows SOURCE OF FUND: LCPC FUND [7999D1-200-5-02-99-990] 1.	The Provincial Gov</t>
  </si>
  <si>
    <t xml:space="preserve"> Republic of the Philippines PROVINCE OF BUKIDNON Municipality of Don Carlos BIDS AND AWARDS COMMITTEE Invitation to Bid for the Supply &amp; Delivery of Various Construction Materials intended for Construction of Drainage Canal (Complete Bid) (Project Referen</t>
  </si>
  <si>
    <t xml:space="preserve"> Request for Quotation for the Preventive Maintenance and Calibration of Atomic Absorption Spectrophotometer 1.	The Department of Agriculture-Regional Field Office 7 (DA-RFO 7), through the General Appropriations Act of CY 2020)  intends to apply the sum o</t>
  </si>
  <si>
    <t xml:space="preserve"> CONCRETING: LENGTH : 236 METERS WIDTH : 1.0 METERS THICKNESS: 0.075 MTRS</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</si>
  <si>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</si>
  <si>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Republic of the Philippines          City of Dumaguete Bids and Awards Committee INVITATION TO BID FOR PURCHASE REQUEST OF 5 CU.M SAND STD. AND SPECS OTHER ITEMS 	The City of Dumaguete thru its BIDS AND AWARDS COMMITTEE (BAC), invites all interested manuf</t>
  </si>
  <si>
    <t xml:space="preserve"> The Municipality of Limay, through its Bids and Awards Committee (BAC) invites registered contractors to apply for eligibility and if found eligible, to bid for the hereunder project/contract: Project/Contract:    PROCUREMENT OF ONE (1) UNIT LIFTING PLATF</t>
  </si>
  <si>
    <t xml:space="preserve"> Republic of the Philippines BOHOL ISLAND STATE UNIVERSITY Main Campus, Tagbilaran City INVITATION TO BID FOR “RE-BIDDING: SUPPLY AND DELIVERY OF IT PARTS AND ACCESSORIES (PR NO. 2020-02-0120, 2020-02-0312, 2020-02-0203, 2020-02-0337, 2020-01-0034, 2020-01</t>
  </si>
  <si>
    <t xml:space="preserve"> The LOCAL GOVERNMENT UNIT OF ISLAND GARDEN CITY OF SAMAL, ), through the 20% Development Fund under the account code 1-07-03-050  intends to apply the sum of Eight Hundred Fifty-Nine Thousand One Hundred Pesos and Forty Five Centavos (PhP859,100.45) being</t>
  </si>
  <si>
    <t xml:space="preserve"> Provision of Security Services From March 1- December 31, 2020</t>
  </si>
  <si>
    <t xml:space="preserve"> INVITATION TO BID  for  Upgrading of Urdaneta – Asingan via Calepaan Road, Urdaneta &amp; Asingan, Pangasinan Solicitation No. PANG-2020-0790 1.	The Provincial Government of Pangasinan, through the DILG-CMGP intends to apply the sum of Sixty-Nine Million Eigh</t>
  </si>
  <si>
    <t xml:space="preserve"> Request for Quotation for the Procurement of Animal/Zoological Supplies to be given to the Cooperatives or Farmers Associations in support to Covid-19 Response Program in the Region 1.	The Department of Agriculture-Regional Field Office 7 (DA-RFO 7), thro</t>
  </si>
  <si>
    <t xml:space="preserve"> INVITATION TO BID FOR THE “PROPOSED CONSTRUCTION/REHABILITATION OF DRAINAGE SYSTEM PHASE II (SOUTH SIDE) ALONG OGATIS STREET, LA CARLOTA CITY” The CITY GOVERNMENT OF LA CARLOTA, through the Capital Outlay intends to apply the sum of One Million Sixty Eigh</t>
  </si>
  <si>
    <t xml:space="preserve"> I.	TERMS OF REFERENCE: 1.	Prospective Bidders Shall Bid for the service of Rental of 4 Units of Photocopy Machine listed below to the ICAB at #2 Chicago Street Corner Ermin Garcia, Barangay Pinagkaisahan, Cubao, Quezon City: List of Items and Specificatio</t>
  </si>
  <si>
    <t xml:space="preserve"> CLEARING AND/OR GRUBBING EXCAVATION CURB AND GUTTER CEILING WORKS DOORS ROOFING PAINTING WORKS PROJECT BILLBOARD OTHERS( PLUMBING AND ELECTRICAL ACCESORIES)</t>
  </si>
  <si>
    <t xml:space="preserve"> The LOCAL GOVERNMENT UNIT OF ISLAND GARDEN CITY OF SAMAL, ), through the 20%  Development Fund under the account code 1-07-03-040  intends to apply the sum of Eight Hundred Eighty-Five Thousand Nine Hundred Thirteen Pesos and Twenty- Centavos (Php885,913.</t>
  </si>
  <si>
    <t xml:space="preserve"> Date of Bidding: July 16,2020   Time of Bidding:   10:00 a.m   Place of Bidding: Multi-Purpose Hall, Brgy. Agbatuan,Anilao,Iloilo   MATERIALS: 16 CU.M.    BASE COURSE 235 BAGS  CEMENT 15 CU.M.    SAND 27 CU.M.   GRAVEL CRUSHED (G.I MAX. SIZE) 10 PCS.    R</t>
  </si>
  <si>
    <t xml:space="preserve"> Please submit your quotation for the following items on or before 5:00PM on Jul 06, 2020. ITEM D E S C R I P T I O N QTY. UNIT 1 Radio Transceiver, Handset Radio 3 unit Technical Specification Requirements: Portable handhel radio; water resistant, shock p</t>
  </si>
  <si>
    <t xml:space="preserve"> Republic of the Philippines PROVINCE OF BUKIDNON  Municipality of Don Carlos BIDS AND AWARDS COMMITTEE REQUEST FOR QUOTATION 									 								Date:  								RFQ No.													Name of Project:  T-Shirt w/print 									 								End User:  Name of Compan</t>
  </si>
  <si>
    <t xml:space="preserve"> INVITATION TO BID COMPLETION OF MULTI PURPOSE HALL CUM EVACUATION CENTER 1.	The Local Government Unit of Cabadbaran City through the 20% DEVELOPMENT FUND OF 2019 SUPPLEMENTAL BUDGET NO. 2  intends to apply the sum of  TWO MILLION ONE HUNDRED SIXTY-EIGHT T</t>
  </si>
  <si>
    <t xml:space="preserve"> 1.  12  sets  Tires  8.25x16,  14 ply road lug with tube &amp; flap xxxxxxxxxxxxxxxxxxxxxxxxxxxxxxxxxxxxxxxxxxxxxxxxxxxxxxxxx</t>
  </si>
  <si>
    <t xml:space="preserve"> Republic of the Philippines DEPARTMENT OF PUBLIC WORKS AND HIGHWAYS Region X OFFICE OF THE REGIONAL DIRECTOR Engineers’ Hill, Bulua, Cagayan de Oro City INVITATION TO BID FOR CONTRACT ID NO. 20GSK00013– SUPPLY &amp; DELIVERY OF DESKTOP COMPUTER &amp; LASER PROJEC</t>
  </si>
  <si>
    <t xml:space="preserve"> Request for Quotation for the Procurement of Office Supplies for the DA SAAD PPMSO Bohol 1.	The Department of Agriculture-Regional Field Office 7 (DA-RFO 7), through the General Appropriations Act of CY 2019)  intends to apply the sum of Sixty Thousand Pe</t>
  </si>
  <si>
    <t xml:space="preserve"> INVITATION TO BID  for  Supply and Delivery of One (1) unit Vehicle at Provincial Health Office (for the I Love Pangasinan Kalusugan Karavan) Solicitation No. PANG-2020-801 1.	The Provincial Government of Pangasinan, through the PHO-Maintenance and Other </t>
  </si>
  <si>
    <t xml:space="preserve"> 1.  Open type collapsible tent, 3mtrs x 3mtrs with maruyama cover with print of barangay logo.  Heavy duty G.I.       pipe frame. 2.  Same as number one except 3mtrs x 6 mtrs. 3.  High strength Automatic Loading Ambulance Trolley Stretcher.  Lightweight a</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</si>
  <si>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</si>
  <si>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The LOCAL GOVERNMENT UNIT OF ISLAND GARDEN CITY OF SAMAL, ), through the 20%  Development Fund under the account code 1-07-03-040  intends to apply the sum of One Million Thirty-Nine thousand Eighty Pesos and Forty Centavos Only (Php1,039,080.40) being th</t>
  </si>
  <si>
    <t xml:space="preserve"> Invitation to Bid for the Supply and Delivery of various Medicine for the use of Brgy. Cuta, Batangas City</t>
  </si>
  <si>
    <t xml:space="preserve"> 1.	The Municipality of Baliguian, now invites bids for the Construction of PNP Perimeter Fence with Drainage at PNP Station, Poblacion, Baliguian, Zamboanga del Norte.  2.	Bidding will be conducted in accordance with relevant procedures for open competiti</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</si>
  <si>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</si>
  <si>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Shopping. . .</t>
  </si>
  <si>
    <t xml:space="preserve"> 1 2160 MTR/S PE PIPE - SDR 17-63mmx60m 2 36 PC/S PE COUPLING - 63mm 3 900 MTR/S PE PIPE - 20mm x 90m SDR 17 4 360 MTR/S PE PIPE - 50mm x 60m SDR 17 5 10 PC/S PE COUPLING - 20mm 6 6 PC/S PE COUPLING - 50mm</t>
  </si>
  <si>
    <t xml:space="preserve"> CONSTRUCTION OF CONCRETE CANAL  OVER @ BRGY. CROSSING, SAN ISIDRO, LEYTE Construction of 44 ln. m. x 1.2 m. wide x 0.1 m. thick concrete canal cover at the back of JFKMS.</t>
  </si>
  <si>
    <t xml:space="preserve"> INVITATION TO BID  for  Construction of Two (2) Storey Multi-Purpose Building (for BSP Eastern Pangasinan Council) at Urdaneta City, Pangasinan Solicitation No. PANG-2020-0800 1.	The Provincial Government of Pangasinan, through the Community Development F</t>
  </si>
  <si>
    <t xml:space="preserve"> Procurement of materials (hardware &amp; aggregates)</t>
  </si>
  <si>
    <t xml:space="preserve"> Republic of the Philippines			 			Department of Agriculture			 			         BUREAU OF FISHERIES AND AQUATIC RESOURCES			 			Fisheries Regional Office No. 10			 			Macabalan, Cagayan de Oro City			 			TIN – 000-550-823-017			 _______________________________</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</si>
  <si>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</si>
  <si>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Billboard; Clearing and Grubbing; Structural Concrete Class A (Intake tank) (1.3x1.3x1.3); Structural Concrete Class A(Anchor Deadman-6 units); Installation of Pipeline and skyline cable; Manual Hauling; Safety &amp; Health (Construction Health and safety Req</t>
  </si>
  <si>
    <t xml:space="preserve"> Bidding Date and Time: July 3, 2020 1:00 p.m.</t>
  </si>
  <si>
    <t xml:space="preserve"> The Local Government Unit of the Island Garden City of Samal, through the CDRRMC (Trust Fund): Continuing GF intends to apply the sum of One Million Three Hundred Five Thousand One Hundred Seven Pesos and Sixty One Centavos (₱1,305,107.61) being the Appro</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</si>
  <si>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</si>
  <si>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Repair/Rehabilitation of Students Comfort Room</t>
  </si>
  <si>
    <t xml:space="preserve"> Construction of 50 ln. m. x 0.1 m. thick concrete pathway</t>
  </si>
  <si>
    <t xml:space="preserve"> Description   Construction Works (Perimeter Fence, Guard House, Power House and Storage Room Interested bidder may visit PENRO SK Office at Old Capitol Compound, Kalawag II, Isulan, Sultan Kudarat</t>
  </si>
  <si>
    <t xml:space="preserve"> The Municipality of General Mariano Alvarez, Cavite (GMA, Cavite), invites sealed bids from interested Bidders for the Purchase of 1Unit Brand New Vehicle details stated as follows: 1.	PURCHASE OF 1 UNIT BRANDVEHICLE – ABC Php 980,000.00 1	2	Units	BRAND N</t>
  </si>
  <si>
    <t xml:space="preserve"> Installation of Skyline; Installation of G.I. Pipes/Fittings; Construction of 8’x8’x8’ Distribution Tank; billboard;  Safety &amp; Health (Construction Health and safety Requirement); Equipment Requirement: Chain Block; Pipe Threader; pipe wrench; bar cutter;</t>
  </si>
  <si>
    <t xml:space="preserve"> ITB</t>
  </si>
  <si>
    <t xml:space="preserve"> Billboard; Structure  Excavation; RSB; Structural Concrete;  Safety &amp; Health (Construction Health and safety Requirement); Equipment Requirement: Bar cutter; Bar Bender; Dumptruck; 19 w.d.</t>
  </si>
  <si>
    <t xml:space="preserve"> Billboard; Structure Excavation; RSB Works; Structural Concrete; Grouted Riprap (Class A); Embankment; Safety &amp; Health (Construction Health and safety Requirement);  Equipment Requirement: Dump truck; backhoe; backhoe with breaker; bar cutter; bar bender;</t>
  </si>
  <si>
    <t xml:space="preserve"> Billboard; Dismantling of dilapidated pathway; site clearing and excavation works; railings; concrete works; grouted riprap;  Safety &amp; Health (Construction Health and safety Requirement); Manual Hauling of Materials; Equipment Requirement: Cargo/service t</t>
  </si>
  <si>
    <t xml:space="preserve"> Bars; Concrete Works; Forms and Falseworks; Manual Hauling of Materials; Safety &amp; Health (Construction Health and safety Requirement); Equipment Requirement: Cargo Service Truck; Speed Cutter; Bar bender; Electric Jack Hammer; Safety Shoes; Safety Helmet;</t>
  </si>
  <si>
    <t xml:space="preserve"> Republic of the Philippines DEPARTMENT OF SOCIAL WELFARE AND DEVELOPMENT Field Office XI Ramon Magsaysay Ave. cor. Damaso Suazo St., Davao City Telefax (082) 226-2857 / 227-1964 / 2278746 e-mail: fo11@dswd.gov.ph Website:http://www.dswd.gov.ph INVITATION </t>
  </si>
  <si>
    <t xml:space="preserve"> INVITATION TO BID FOR THE PROCUREMENT OF ICT EQUIPMENT and offic supplies 1.	The Local Government Unit of Buug, through the General Fund  intends to apply the sum of Two Million Six Hundred Forty Thousand Pesos only ( 2,640,000.00) being the Approved Budg</t>
  </si>
  <si>
    <t xml:space="preserve"> 50 pcs Training Shirts 24 pcs MNC Shirts/Uniforms</t>
  </si>
  <si>
    <t xml:space="preserve"> 1  Desktop Computer, core i7 (as per MS specification) - 8 units 1 Desktop Computer, core i5 (as per MS specification) - 1 unit</t>
  </si>
  <si>
    <t xml:space="preserve"> - The Barangay Lumay, call for quotation for the procurement of 1 set pre-fab, fiber glass board with complete accessories. - The Estimated Budget Cost is One Hundred Fifty Thousand Pesos (Php150,000.00). - Interested bidders may obtain further informatio</t>
  </si>
  <si>
    <t xml:space="preserve"> Date of Bidding : July 16,2020    Time of Bidding : 11: am    Place of Bidding:  Multi-Purpose Hall, Brgy. Agbatuan,Anilao,Iloilo    MATERIALS:  24 BAGS  CEMENT  2   CU.M   SAND  3   CU.M   GRAVEL  29 PCS.    RSB-10MMØX6M 24  PCS.    RSB- 9MMØX6M 8    KGS</t>
  </si>
  <si>
    <t xml:space="preserve"> INVITATION TO BID Supply of Labor, Tools and Equipment for the Drilling of One (1) Unit Exploratory/Production Well at Arcon, Tumauini, Isabela 1. The TUMAUINI WATER DISTRICT (TWD), through the Corporate Operating Budget (COB) for the contract approved by</t>
  </si>
  <si>
    <t xml:space="preserve"> Estimated unit cost             Estimated amount 44 boxes Corned Beef ( 160 grams)                         3,2700.00                            143,880.00     44 boxes Beefloat (150  grams)                               1,745.00                           </t>
  </si>
  <si>
    <t xml:space="preserve"> FOR POSTING AND INFORMATION PURPOSES LIGAO CITY WATER DISTRICT Natera St., Dunao, Ligao City REQUEST FOR QUOTATION The LIGAO CITY WATER DISTRICT, Natera St., Dunao Ligao City through its Bids and Awards Committee (BAC), invites suppliers/ manufacturers/di</t>
  </si>
  <si>
    <t xml:space="preserve"> Invitation to Bid The Brgy. Panungyan II, Mendez-Nuñez, Cavite, through the 20% Development Fund of 2020 intends to apply the sum of Sixty Thousand Two Hundred Seventy Pesos only (P60,270.00) being the Approved Budget for the Contract (ABC) to payments un</t>
  </si>
  <si>
    <t xml:space="preserve"> Purchase request submitted by Nora Meneses 1	 1	 set	 AUTOCLAVABLE PIPETTORS    Set includes: •	2 units     0.2 – 2.0ul •	1 unit       1.0 – 10.0ul •	1 unit       2.0 – 20.0ul •	1 unit       10.0 – 100.0ul •	1 unit       20.0 – 200.0ul •	1 unit       100.</t>
  </si>
  <si>
    <t xml:space="preserve"> Please submit your quotation for the following items on or before 5:00PM on Jul 06, 2020. ITEM D E S C R I P T I O N QTY. UNIT  1 Turbidity Meter, Portable 2 unit Technical Specification Requirements: Resolution: 0.01NTU, Turbidity range: 0.00- 1000 NTU, </t>
  </si>
  <si>
    <t xml:space="preserve"> Construction materials and supplies</t>
  </si>
  <si>
    <t xml:space="preserve"> Republic of the Philippines PROVINCE OF NUEVA VIZCAYA Invitation to Bid for the  CONSTRUCTION OF BARANGAY LIPUGA CIS Located at Alfonso Castañeda, Nueva Vizcaya  1.	The Provincial Government of Nueva Vizcaya, through the 2020 20% Development Fund intends </t>
  </si>
  <si>
    <t xml:space="preserve"> REQUEST FOR QUOTATION Date	:	June 23, 2020 Project Title	:	Supply and Delivery of One (1) Lot Various Printing Consumables  ITB No.             	:	FB20-02-004CORa-06 Brief Description 	:	Supply and Delivery of Ink Cartridge for existing PAGCOR HP Designje</t>
  </si>
  <si>
    <t xml:space="preserve"> Purchase request submitted by Rimmon T. Armones 1	 1	 unit	 DIGITAL WATER BATH **Note: (see detailed specifications) ABC is Php 100,000.00</t>
  </si>
  <si>
    <t xml:space="preserve"> INVITATION TO BID FOR Procurement of Technical Scientific Laboratory Equipment for CAFF and CNPAHS at NORSU Pamplona and Main Campuses (Batch 1) GOOD2020-00-03(a) 1. The Negros Oriental State University (NORSU) and the Bids and Awards Committee (BAC), thr</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</si>
  <si>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</si>
  <si>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The Municipality of Baliwag, through its Bids and Awards Committee (BAC), invites contractors to apply for eligibility and to bid the here ender project: Name of Project	:	PRINTING OF LOCALIZED BOOKS FOR BALIWAG 				NORTH AND SOUTH DISTRICT 	 Location		:	</t>
  </si>
  <si>
    <t xml:space="preserve"> Republic of the Philippines PROVINCE OF NUEVA VIZCAYA Invitation to Bid for the  CONSTRUCTION/IMPROVEMENT OF TANDOK-LOCOS-KASERREK FTMR Located at Mabuslo, Bambang, Nueva Vizcaya  1.	The Provincial Government of Nueva Vizcaya, through the 2020 20% Develop</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</si>
  <si>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</si>
  <si>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Billboard; Structure Excavation; Grouted Riprap (class A); PCC Pavement (Plain); Curb &amp; Gutter (Cast in place);  Safety &amp; Health (Construction Health and Safety Requirement);  equipment requirement: one bagger mixer; cargo/service truck; Water truck; conc</t>
  </si>
  <si>
    <t xml:space="preserve"> Invitation to Bid Date: June 25, 2020 IB NO.: G-109-20	 Description: Supply/Delivery of 6 units Multicab Full Body Type Specification: Engine Displacement: 660cc to 1000cc, Manual Transmission Seating capacity: 11-13 persons 4 wheel drive 3 cylinders Fuel</t>
  </si>
  <si>
    <t xml:space="preserve"> The City Government of Naga, through the Medical Supplies Account of Naga City Hospital (NCH), intends to apply the sum of Two Million Nine Hundred Eighty Nine Thousand Six Hundred Eighty (P 2,989,680.00) Pesos being the Approved Budget for the Contract (</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</si>
  <si>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</si>
  <si>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Billboard; Subgrade preparation (unclassified materials); Portland cement concrete pavement; grouted riprap; curb and gutter; construction of cross drainage; concrete barrier; widening blocks;  Safety &amp; Health (Construction Health and Safety Requirement);</t>
  </si>
  <si>
    <t xml:space="preserve"> Contract Reference Number: 007034-2020-01 Name of Project and Location: Drainage at Zone 5 Bgy. Abella Approved Budget for the Contract  (ABC): 2,014,900.00 Contract Duration (calendar days): 120 Equipment Required: jackhammer with compressor,  concrete c</t>
  </si>
  <si>
    <t xml:space="preserve"> Purchase request submitted by Nora Meneses 1 unit	 LAMINAR FLOW HOOD 1 unit	 FUME HOOD ABC is Php 400,000.00</t>
  </si>
  <si>
    <t xml:space="preserve"> Billboard; Clearing &amp; Excavation; Canal; Canal cover (Steel Grating); PCCP;  Safety &amp; Health (Construction Health and safety Requirement); Equipment Requirement: Concrete cutter; Jack Hammer; Dump truck; Cargo truck/dumptruck; bar bender; bar cutter; conc</t>
  </si>
  <si>
    <t xml:space="preserve"> 1.	The Local Government Unit of Las Nieves, through the Budget for the Contract approved by the Sanggunian intends to apply the sum of one million one hundred seventy five thousand four hundred and fifty pesos only (Php 1,175,450.00) for Lot 1 and fifty t</t>
  </si>
  <si>
    <t xml:space="preserve"> Republic of the Philippines PROVINCE OF NUEVA VIZCAYA Invitation to Bid for the  CONCRETING OF BANGANAN-TUCANON-TABUENG ROAD Located at Aritao, Nueva Vizcaya  1.	The Provincial Government of Nueva Vizcaya, through the 2020 20% Development Fund intends to </t>
  </si>
  <si>
    <t xml:space="preserve"> Republic of the Philippines PROVINCE OF NUEVA VIZCAYA Invitation to Bid for the  CONSTRUCTION OF COLINTINAFTMR Located at Imugan, Sta. Fe, Nueva Vizcaya  1.	The Provincial Government of Nueva Vizcaya, through the 2020 20% Development Fund intends to apply</t>
  </si>
  <si>
    <t xml:space="preserve"> Purchase request submitted by Nelsie Grace Gela  1 unit	 BENCHTOP pH METER ABC is Php 50,000.00</t>
  </si>
  <si>
    <t xml:space="preserve"> please download the ITB and its other documents in the associated component</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</si>
  <si>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</si>
  <si>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</si>
  <si>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Please submit your quotation for the following items on or before 5:00PM on Jul 06, 2020. ITEM D E S C R I P T I O N QTY. UNIT 1 Lab. Glassware, Volumetric Flask, 10mL, Glass with Snap Cap and Permanent Graduation Line 20 pc 2 Lab. Glassware, Volumetric F</t>
  </si>
  <si>
    <t xml:space="preserve"> Specifications:  Fuel Type : Diesel  No. of Cylinders: 4  Engine Size/Displacement: 2,488-3,000  Max. Power (Ps):129  Engine Type(VGS): 3  Transmission Type: 5-speed manual WITH ACCESSORIES:  Folder Stretcher  Spine Board  Wall Mounted Blood Pressure Appa</t>
  </si>
  <si>
    <t xml:space="preserve"> Purchase request submitted by Nelsie Grace Gela  1 unit	 ACID STORAGE CABINET ABC is Php 300,000.00</t>
  </si>
  <si>
    <t xml:space="preserve"> UNIT	  DESCRIPTION		QUANTITY	 I.	MASONRY/CONCRETE  WORKS:			 	Qty.= 1 lot			 				 pcs	CHB #6		        7461	   pcs	CHB #4		          660	   bag (s)	Cement		1823	  cu.m	Sand		146	   cu.m	Gravel		117	  pcs	16mmØ Deformed Bar		509	   pcs	12mmØ Deformed Bar		1</t>
  </si>
  <si>
    <t xml:space="preserve"> 1. 1 box Fecal Occult Blood 25’s 2. 4 Casst Glucose 3. 3 Casst Cholesterol 4. 3 Casst Triglyceride 5. 2 Casst ALT 6. 2 Casst AST 7. 1 Casst UREA 8. 5 Casst Creatinine 9. 5 Casst Uric Acid 10. 10 box Cover Slips 200’s 15. 1 set Easylyte Bilevel Control Set</t>
  </si>
  <si>
    <t xml:space="preserve"> The Municipality of Baliwag, through its Bids and Awards Committee (BAC), invites contractors to apply for eligibility and to bid the here ender project: Name of Project	:	PROCUREMENT OF ACTIVITY BOOK FOR  				KINDERGARTEN OF BALIWAG NORTH AND SOUTH 				D</t>
  </si>
  <si>
    <t xml:space="preserve"> The Metro Iloilo Water District (MIWD), through its Bids and Awards Committee (BAC), invites Suppliers / Manufacturers / Contractors to bid for Four (4) units Laptop Computers with Wireless Mouse as per attached Request for Quotation (RFQ) under Purchase </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</si>
  <si>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</si>
  <si>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2 unit Uninterruptible Power Supply (UPS) built in AVR			 	 550 w, 230 V, universal and IEC sockets	 		 1 set Desktop Computer			 	"Intel® Core i3-8100 3.6Ghz processor 8th Generation         Intel® B360 Express Chipset         4 GB DDR4 2666MHz (Up to 32</t>
  </si>
  <si>
    <t xml:space="preserve"> Republic of the Philippines PROVINCE OF NUEVA VIZCAYA Invitation to Bid for the  CONCRETING OF UNAON-STA. LUCIA ROAD Located at Bagabag, Nueva Vizcaya  1.	The Provincial Government of Nueva Vizcaya, through the 2020 20% Development Fund intends to apply t</t>
  </si>
  <si>
    <t xml:space="preserve"> 1.	The Provincial Government of Antique, through the General Fund intends to apply the sum of Two Million Nine Hundred Forty Six Thousand Sixty Three Pesos &amp; 60/100 (Php 2, 946, 063.60) being the Approved Budget for the Contract (ABC) to payments under th</t>
  </si>
  <si>
    <t xml:space="preserve"> Purchase request submitted by Ma. Theresa Alejandrino 1 unit	 WATER BATH ABC is Php 150,000.00</t>
  </si>
  <si>
    <t xml:space="preserve"> INVITATION TO BID SUPPLY AND DELIVERY OF TONERS, IMAGING AND  PHOTOCONDUCTOR KIT FOR MULTIFUNCTION  (COPIER, SCANNER, PRINTER) MACHINE AND LASER PRINTERS OF BIR-RR NO. 9B LAQUEMAR, SAN PABLO CITY  1.	The Bureau of Internal Revenue (BIR), Revenue Region No</t>
  </si>
  <si>
    <t xml:space="preserve"> Billboard; Structure Excavation; Grouted Riprap (Class A); Embankment;  Safety &amp; Health (Construction Health and safety Requirement); Equipment Requirement: Water Truck; Dump Truck; Backhoe (0.80cum); One Bagger Mixer; Cargo Service Truck; Safety Shoes; S</t>
  </si>
  <si>
    <t xml:space="preserve"> No. of Person: Five (5) Persons Contract Duration: 12 Months (January-December 2020) General ABC for 12 Months: 637,820.04 Qualification of Personnel: - Not more than 55 years old - At least high school graduate - With good moral character - Non-PUI/PUM's</t>
  </si>
  <si>
    <t xml:space="preserve"> supply &amp; delivery of construction materials</t>
  </si>
  <si>
    <t xml:space="preserve"> Construction Materials.</t>
  </si>
  <si>
    <t xml:space="preserve"> 1 roll Nylon Rope #22 2 rolls Nylon Rope #24 4 pcs Shovel (spade) 2 pcs Searchlight LED 1 unit Nebulizer 1 gal. Alcohol w/ moisturizer 1 pc. Tent Maruyama 18 x 20 10 pcs Safety Helmet 5 pcs Chain 12 pcs Defense sticks 12 pcs Rescue uniforms 23 pcs Raincoa</t>
  </si>
  <si>
    <t xml:space="preserve"> 10	ream	Accounting form 10	bot.	Alcohol,ethyl,70%, scented, 250ml 121	bottle	Alcohol,ethyl,70%, scented, 500ml 138	pc	Ballpen 5	box	Ballpen, black 20	pc	Ballpen, black, blue &amp; red 2	box	Ballpen, blue 25	pc	Ballpen, green 5	pc	Ballpen, my-gel, 0.5 blue 1	b</t>
  </si>
  <si>
    <t xml:space="preserve"> The Zamboanga State College of Marine Sciences and Technology (ZSCMST), through its Bids and Awards Committee, is inviting PhilGeps registered suppliers to apply for eligibility and to submit bids for the items mentioned hereunder: B-037-2020 PROCUREMENT </t>
  </si>
  <si>
    <t xml:space="preserve"> Request for Quotation for the Procurement of 3,000 sachets Dewormer to be used for the DA SAAD Native Chicken Production Project in Bohol Province 1.	The Department of Agriculture-Regional Field Office 7 (DA-RFO 7), through the General Appropriations Act </t>
  </si>
  <si>
    <t xml:space="preserve"> Purchase request submitted by Ma. Theresa Alejandrino  1 unit Acid Cabinet ABC is Php 300,000.00</t>
  </si>
  <si>
    <t xml:space="preserve"> The Metro Iloilo Water District, through its Bids and Awards Committee (BAC), invites Suppliers / Manufacturers / Contractors to bid for Various Carpentry Materials as per attached Request for Quotation (RFQ) under Purchase Requisition (PR) No. 13811. App</t>
  </si>
  <si>
    <t xml:space="preserve"> Location:  Burnay/Caba/ Pullaan/Pob. South/Pob. West/Dulao/Abinuan ABC: Php 1,250,000.00 Cost of Bid Docs: 5,000.00 The Procurement Schedules are as following: 1. Deadline of buying of Bid Docs: July 8, 2020 @ 5:00 PM 2. Deadline for submission of Bid Doc</t>
  </si>
  <si>
    <t xml:space="preserve"> Procurement of diesel fuel for the branch generator set (2020 Provision)</t>
  </si>
  <si>
    <t xml:space="preserve"> Request for Quotation for the Procurement of Cellcards to be used by the DA SAAD RPMSO, PPMSO Negros Oriental, PPMSO Siquijor and PPMSO Bohol Staff 1.	The Department of Agriculture-Regional Field Office 7 (DA-RFO 7), through the General Appropriations Act</t>
  </si>
  <si>
    <t xml:space="preserve"> Other General Requirements, Civil, Mechanical, Electrical &amp; Sanitary/Plumbing Works, Earthworks, Plain and Reinforced Concrete Work, Finishing and Other Civil Works, Electrical, Drainage and Slope Protection Structures</t>
  </si>
  <si>
    <t xml:space="preserve"> Republic of the Philippines PROVINCE OF NUEVA VIZCAYA 2nd Invitation to Bid for the  CONSTRUCTION/IMPROVEMENT OF SITIO CAINO FTMR Located at Banila, Dupax del Sur, Nueva Vizcaya  1.	The Provincial Government of Nueva Vizcaya, through the 2020 20% Developm</t>
  </si>
  <si>
    <t xml:space="preserve"> PHILIPPINE BIDDING DOCUMENTS (As Harmonized with Development Partners) Procurement for  Installation of Secondary Lines Sitio Maapon, Sitio Pulang Lupa and Sitio Kabilang Piis Barangay Piis Lucban, Quezon BIDDING Government of the Republic of the Philippi</t>
  </si>
  <si>
    <t xml:space="preserve"> 1. 500 ampule Bupivacaine 5% heavy 4ml ampule 2. 30 vial Bupivacaine 5% isobaric 10ml ampule 3. 500 vial Sodium Bicarbonate 50 ml vial 4. 400 ampule Atracurium 25mg/2.5 ml ampule</t>
  </si>
  <si>
    <t xml:space="preserve"> PROJECT REFERENCE NO. CWD 27-2020 Invitation to Bid for Supply of Labor and Materials for the Restoration Works at Different Areas located in Calamba City (Rebidding) Item No.	Item Description	Qty.	Unit	Unit Cost	Total Amount 1	Supply of Labor and Materia</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</si>
  <si>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</si>
  <si>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Contract Reference Number: 007017-2020-01 Name of Project and Location: Covered Court at Sabang High School, Bgy. Sabang Approved Budget for the Contract  (ABC): 4,191,600.00 Contract Duration (calendar days): 200 Equipment Required: concrete mixer, cutti</t>
  </si>
  <si>
    <t xml:space="preserve"> ITB  The JH Cerilles State College, through the Trust Fund- MOOE 2020 intends to apply the sum of ONE MILLION TWO HUNDRED NINE THOUSAND SIX HUNDRED PESOS (PHP1,209,600.00) ONLY  being the Approved Budget for the Contract (ABC) to payments under the contra</t>
  </si>
  <si>
    <t xml:space="preserve"> Location:  Tungngod/ Boliwong/ Abinuan/ Olilicon/ Cudog/ Tupaya/ Pob. West ABC: Php 1,100,000.00 Cost of Bid Docs: 5,000.00 The Procurement Schedules are as following: 1. Deadline of buying of Bid Docs: July 8, 2020 @ 5:00 PM 2. Deadline for submission of</t>
  </si>
  <si>
    <t xml:space="preserve"> Concreting of Katitisan - Gumaga Road at Brgy. Gumaga, Libungan, Cotabato</t>
  </si>
  <si>
    <t xml:space="preserve"> Procurement of transport and hauling services for the proper disposal of shredded banknote</t>
  </si>
  <si>
    <t xml:space="preserve"> Please submit your quotation for the following items on or before 5:00PM on Jul 06, 2020. ITEM D E S C R I P T I O N QTY. UNIT  1 Lab. Eqpt., Flame - Resistant Chemical Storage Cabinet 1 unit Specification Requirements: 2-3 shelves, 20-60 gallon capacity,</t>
  </si>
  <si>
    <t xml:space="preserve"> Rebidding of Improvement of Nueva Fuerza Water System</t>
  </si>
  <si>
    <t xml:space="preserve"> Republic of the Philippines          City of Dumaguete Bids and Awards Committee INVITATION TO BID FOR PURCHASE REQUEST OF 8 PACK WATER PROOFING COMPOUND OTHER ITEMS 	The City of Dumaguete thru its BIDS AND AWARDS COMMITTEE (BAC), invites all interested m</t>
  </si>
  <si>
    <t xml:space="preserve"> Republic of the Philippines          City of Dumaguete Bids and Awards Committee INVITATION TO BID FOR PURCHASE REQUEST OF 20 BAGS TILE ADHESIVE 25 KGS/BAG OTHER ITEMS 	The City of Dumaguete thru its BIDS AND AWARDS COMMITTEE (BAC), invites all interested</t>
  </si>
  <si>
    <t xml:space="preserve"> Purchase request submitted by Ma. Theresa Alejandrino  1 unit	 ELECTRIC STERILIZER ABC is Php 150,000.00</t>
  </si>
  <si>
    <t xml:space="preserve"> Number: 	Quantity: 	Unit	PPMP_Code	PPMP_Code1	PPMP_Code2	PPMP_Remarks	Particulars	StockNo	Unit_Cost	Estimated_Cost 							Supply and Delivery of  Heavy Duty Plastic Pallets			 							.			 1	40	unit					Heavy Duty Plastic Pallets		4,400.00	176,000.00 					</t>
  </si>
  <si>
    <t xml:space="preserve"> Supply and Delivery of 1,800 Pcs of Transparent Hygiene Kit Pouch for Students ABC=75,300.00</t>
  </si>
  <si>
    <t xml:space="preserve"> Republic of the Philippines PROVINCE OF NUEVA VIZCAYA Invitation to Bid for the  IMPROVEMENT OF CVR BAMBANG-SALINAS-SAN FABIAN-PINGKIAN ROAD Located at Kayapa, Nueva Vizcaya  1.	The Provincial Government of Nueva Vizcaya, through the 2020 20% Development </t>
  </si>
  <si>
    <t xml:space="preserve"> Purchase request submitted by Ma. Theresa Alejandrino	 1 unit	 pH METER ABC is Php 60,000.00</t>
  </si>
  <si>
    <t xml:space="preserve"> UNIT	  DESCRIPTION		QUANTITY 	CONCRETING &amp; MASONRY WORKS		 cu.m	Cement		619 cu.m	Sand 		48 cu.m	Gravel		40 pc (s)	10mm Dia x 6.0m Corrugated Round Bar		1541 pc (s)	12mm Dia x 6.0m Corrugated Round Bar		10 pc (s)	20mm Dia x 6.0m Corrugated Round Bar		237 p</t>
  </si>
  <si>
    <t xml:space="preserve"> Republic of the Philippines Department of Education Region V SCHOOLS DIVISION OFFICE OF CAMARINES SUR Office of the Bids and Awards Committee INVITATION TO BID FOR:   SUPPLY, DELIVERY AND INSTALLATION OF EQUIPMENT FOR SDO CAMARINES SUR IT SECTION (LOT 1-3</t>
  </si>
  <si>
    <t xml:space="preserve"> Republic of the Philippines PROVINCE OF NUEVA VIZCAYA Invitation to Bid for the  CONCRETING OF JCT. NATIONAL BATU-BALINTUGON ROAD Located at Alfonso Castañeda, Nueva Vizcaya  1.	The Provincial Government of Nueva Vizcaya, through the 2020 20% Development </t>
  </si>
  <si>
    <t xml:space="preserve"> PROJECT REFERENCE NO. CWD 25-2020 INVITATION TO BID FOR  Supply and Delivery of Chlorine Dioxide (Liquid Solution) (Rebidding) Item No.	Item Description	Qty.	Unit	Unit Cost	Total Amount 1	Chlorine Dioxide (Liquid Solution)	181	Sets  (A &amp; B Components	6,00</t>
  </si>
  <si>
    <t xml:space="preserve"> Location:  Pob. East,Tungngod, Cudog, Luta, Ponghal ABC: Php 1,250,000.00 Cost of Bid Docs: 5,000.00 The Procurement Schedules are as following: 1. Deadline of buying of Bid Docs: July 8, 2020 @ 5:00 PM 2. Deadline for submission of Bid Docs: July 9, 2020</t>
  </si>
  <si>
    <t xml:space="preserve"> Furnishing of Materials, Labor &amp; Equipment Scope of Work: SCPL-Item 1  1.00 l.s.  Provision of field Officer for Engineers SCPL-Item 2  1.00  l.s. Construction Safety and Health Program SCPL-Item 3  96.00  sq.ft  Project Billboard SCPL-Item 4  1.00 l.s.  </t>
  </si>
  <si>
    <t xml:space="preserve"> 1 10 REAM/S PAPER - BOND,PG,LEGAL,216MMX330MM(8-1/2"X13") 70 GSM 2 10 REAM/S PAPER - BOND,PG,A4,210MMX297MM,70GSM. 3 3 BOX BALLPEN - BLACK ORDINARY 50'S 4 20 PC/S CORRECTION TAPE - W/ CASE 5 10 PC/S RECORD BOOK - 300 PAGES,NON-BLOT,215MM X 275MM,55GSM,SMY</t>
  </si>
  <si>
    <t xml:space="preserve"> 200 AGGREGATE SUB-BASE COARSE</t>
  </si>
  <si>
    <t xml:space="preserve"> Location:  LGU-Lagawe ABC: Php 95,000.00 Cost of Bid Docs: 500.00 The Procurement Schedules are as following: 1. Deadline of buying of Bid Docs: July 8, 2020 @ 5:00 PM 2. Deadline for submission of Bid Docs: July 9, 2020 @ 9:00 AM 3. Opening of Bids:  Jul</t>
  </si>
  <si>
    <t xml:space="preserve"> Supply and Delivery of Two-Way Radio for Security Guard ABC=4,000</t>
  </si>
  <si>
    <t xml:space="preserve"> Description   The Zamboanga State College of Marine Sciences and Technology (ZSCMST), through its Bids and Awards Committee, is inviting PhilGeps registered suppliers to apply for eligibility and to submit bids for the items mentioned hereunder: B-036-202</t>
  </si>
  <si>
    <t xml:space="preserve"> Location: LGU-Lagawe ABC: Php 549,000.00 Cost of Bid Docs: 1,000.00 The Procurement Schedules are as following: 1. Deadline of buying of Bid Docs: July 8, 2020 @ 5:00 PM 2. Deadline for submission of Bid Docs: July 9, 2020 @ 9:00 AM 3. Opening of Bids:  J</t>
  </si>
  <si>
    <t xml:space="preserve"> For the repair of swinging gate system</t>
  </si>
  <si>
    <t xml:space="preserve"> Concreting of Montay Road at Brgy. Montay, Libungan, Cotabato</t>
  </si>
  <si>
    <t xml:space="preserve"> Furnishing of Materials, Labor &amp; Equipment SCOPE OF WORK: SCPL-Item 1  1.00  l.s.  Provision of Field Officer for Engineers SCPL-Item 2  1.00  l.s.  Construction Safety and Health Program SCPL-Item 3  96.00  sq.ft  Project Billboard SCPL-Item 4  1.00 l.s.</t>
  </si>
  <si>
    <t xml:space="preserve"> INVITATION TO BID Sealed proposal in ink typewritten one (1) copy will be received fro bonafide contractors on July 10, 2020 at 11:00 AM at Barangay Hall, Barangay Abar 1st, this city on which date, time and place the bid will publicly opened in the prese</t>
  </si>
  <si>
    <t xml:space="preserve"> Establishment of Traffic Warning Signs Along National Roads, Provincial Roads &amp; Municipal Roads @ Buenavista, Agusan del Norte Buenavista, Agusan del Norte Project Category: Fabrication / Installation Project Description: Fabrication/Installation of Traff</t>
  </si>
  <si>
    <t xml:space="preserve"> 1.	The Municipality of Impasugong, through the 20% - Construction of Residual Containment Facility – Sanitary Landfill intends to apply the sum of Two Million Five Hundred Thousand Pesos (PhP2,500,000.00) being the Approved Budget for the Contract (ABC) t</t>
  </si>
  <si>
    <t xml:space="preserve"> Concreting of Batiocan - Demapaco Road at Brgy. Batiocan, Libungan, Cotabato</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</si>
  <si>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</si>
  <si>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NEW INSTALLATION OF LIGHTING FIXTURES STARTING FROM BARANGAY AMBOLONG TO PALAY</t>
  </si>
  <si>
    <t xml:space="preserve"> Invitation to Bid for IMPROVEMENT OF ACCOUNTING OFFICE, A.G. SAMONTE HALL BUILDING, UPLB, COLLEGE, LAGUNA rebid 1.	The U.P. LOS BAÑOS, through the GOP through UPLB Reprogrammed Funds intends to apply the sum of ₱9,694,545.45 being the Approved Budget for </t>
  </si>
  <si>
    <t xml:space="preserve"> 1	lot	     Architectural Design of a Proposed Construction of 2-Storey Midwifery Building	 		             Specifications:	 		               A Proposed Construction of Php12M 2-Storey Midwifery Building	 			*2 Classrooms ground floor with comfort room 			*</t>
  </si>
  <si>
    <t xml:space="preserve"> Republic of the Philippines BOHOL ISLAND STATE UNIVERSITY Main Campus, Tagbilaran City INVITATION TO BID FOR RE-BIDDING: LOT 1- SUPPLY AND DELIVERY OF LABORATORY EQUIPMENT FOR FOOD TECHNOLOGY INSTRUCTION (PR NO. 2020-02-0292) LOT 2- SUPPLY AND DELIVERY OF</t>
  </si>
  <si>
    <t xml:space="preserve"> INVITATION TO BID Sealed proposal in ink typewritten one (1) copy will be received fro bonafide contractors on July 7, 2020 at 11:00 AM at Barangay Hall, Barangay Abar 1st, this city on which date, time and place the bid will publicly opened in the presen</t>
  </si>
  <si>
    <t xml:space="preserve"> Repair/Maintenance of Mauhang River Control, Downstream Left, Brgy. Sta. Cruz Section, sta. 0+432-sta. 0+532</t>
  </si>
  <si>
    <t xml:space="preserve"> Invitation to Bid for PROPOSED GEN-SET HOUSE AND TRANSFORMER ENCLOSURE WITH FIELD STAFF FACILITY, UPLB CAMPUS, COLLEGE, LAGUNA 1.	The U.P. LOS BAÑOS, through the GOP through UPLB Trust Funds intends to apply the sum of ₱5,562,179.76 being the Approved Bud</t>
  </si>
  <si>
    <t xml:space="preserve"> 1. 500 bot - Efavirenz+Lamivudine+Tenofovir Disoproxil Fumarate 600mg/300mg/300mg film coated tab (30tabs/bot)</t>
  </si>
  <si>
    <t xml:space="preserve"> Other General Requirements, Earthworks, Plain and Reinforced Concrete Work, Finishing and Other Civil Works</t>
  </si>
  <si>
    <t xml:space="preserve"> Construction of Access Road at Sitio Kalangitan, Brgy. Cutcut II, Capas, Tarlac</t>
  </si>
  <si>
    <t xml:space="preserve"> Supply/Delivery of Technical and Scientific Equipment</t>
  </si>
  <si>
    <t xml:space="preserve"> construction of Covered court (Flooring )41/2"thick x 25mtrs x 30 meters)</t>
  </si>
  <si>
    <t xml:space="preserve"> INFRASTRUCTURE WORKS FOR THE ROAD CONCRETING OF BARANGAY ROAD AT BARANGAY NAJANDIG,ZAMBOANGUITA, NEGROS ORIENTAL</t>
  </si>
  <si>
    <t xml:space="preserve"> INVITATION TO BID FOR THE PROCUREMENT OF FUEL AND OIL (2nd and 3rd Quarter of 2020) 1.	The Local Government Unit of Buug, through the General Fund  intends to apply the sum of Two Million Four Hundred Forty Two Thousand NIne Hundred Seventy  Pesos only ( </t>
  </si>
  <si>
    <t xml:space="preserve"> I	SURFACE COURSE (Bituminouse Tack Coat)		 a	Emulsified Asphalt SS-1 (Bitumul)	6	drum 			 II	SURFACE COURSE (Bituminous Concrete Surface Course)		 a	FDLRC AC/MIX (Grading E)		 	Bituminous Concrete Surface Course	127	m.t b 	EQUIPMENT (INCLUDED)		 	Asphalt </t>
  </si>
  <si>
    <t xml:space="preserve"> Republic of the Philippines Department of Health Central Luzon Center for Health Development Talavera General Hospital Talavera, Nueva Ecija    ISO QMS Certified INVITATION TO BID  Supply and Delivery of Various Medical, Laboratory, Dental and Radiology E</t>
  </si>
  <si>
    <t xml:space="preserve"> Republic of the Philippines 	CITY OF SAN PEDRO Province of Laguna BIDS AND AWARDS COMMITTEE INVITATION TO APPLY FOR ELIGIBILITY AND TO BID PR NO. 0498 1.	The City Government of San Pedro, Laguna through the 2020 LSB Budget Approved by the Sangguniang Pang</t>
  </si>
  <si>
    <t xml:space="preserve"> Pipeline installation</t>
  </si>
  <si>
    <t xml:space="preserve"> Procurement of 1 Lot Repair and Maintenance of Office Equipment (Printers) for the 3rd Quarter of 2020</t>
  </si>
  <si>
    <t xml:space="preserve"> INFRASTRUCTURE WORKS FOR THE ROAD CONCRETING OF BARANGAY ROAD AT BARANGAY MAYABON, ZAMBOANGUITA, NEGROS ORIENTAL</t>
  </si>
  <si>
    <t xml:space="preserve"> Republic of the Philippines Province of Surigao del Sur Municipality of Lanuza INVITATION TO BID  PROCUREMENT OF SMART TV FOR SCHOOL INSTRUCTIONAL MATERIALS FOR TEACHING AND LEARNING 1.	The Local Government Unit of Lanuza, through the Special Education Fu</t>
  </si>
  <si>
    <t xml:space="preserve"> NEW INSTALLATION OF LIGHTING FIXTURES AT BARANGAY MANDONG</t>
  </si>
  <si>
    <t xml:space="preserve"> INFRASTRUCTURE WORKS FOR THE ROAD CONCRETING OF BARANGAY ROAD AT BARANGAY LUTOBAN, ZAMBOANGUITA, NEGROS ORIENTAL</t>
  </si>
  <si>
    <t xml:space="preserve"> Procurement of 1 Lot Repair and Maintenance of Office Equipment (Desktop Computer) for the 3rd Quarter of 2020</t>
  </si>
  <si>
    <t xml:space="preserve"> INVITATION TO BID FOR THE CONSTRUCTION OF IRRIGATION FACILITIES Lower Akki, Adams, Ilocos Norte 1.	The Municipal Government of Adams, through funds from the 20% Municipal Development Fund intends to apply the sum of P299,522.46 being the Approved Budget f</t>
  </si>
  <si>
    <t xml:space="preserve"> Republic of the Philippines Province of Negros Occidental CITY OF TALISAY INVITATION TO BID  Road Construction with Drainage System (widening of Magsaysay Road from Heaven’s Gate Cemetery onwards east) located at Magsaysay Street, Talisay City  1.	The Cit</t>
  </si>
  <si>
    <t xml:space="preserve"> 23 items of office supplies</t>
  </si>
  <si>
    <t xml:space="preserve"> Procurement of 1 Lot Repair and Maintenance of Office Equipment (Air-condition) for the 3rd Quarter of 2020</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</si>
  <si>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</si>
  <si>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Updating of CLUP 2020-2029				 				 Scope of Work:				 				  # Review and assessment of existing CLUP and   zoning ordinance				  # Review of the Municipal Vision and Mission				  # Gather needed updated data from all sector				  # Identify and assessment</t>
  </si>
  <si>
    <t xml:space="preserve"> 1. Contract ID:	20ND0066         Contract Name:	REPAIR/MAINTENANCE OF DPWH BLDG. MULTI-PURPOSE HALL BUTUAN CITY DISTRICT ENGINEERING OFFICE         Contract Location:	R. Palma Street , Butuan City         Brief Description:	Repair and Maintenance of  Two </t>
  </si>
  <si>
    <t xml:space="preserve"> Portland Cement Coco Lumber 2" x5" 12' Water Mixing Gravel Gravel Common Nails (Assorted)</t>
  </si>
  <si>
    <t xml:space="preserve"> INVITATION TO APPLY FOR ELIGIBILITY AND TO BID  One (1) Lot Lease and Rental of Property   ITB No. 2020-06-007 P.R. No. 2020-05-167 1.	The Mines and Geosciences Bureau, through the General Appropriations Act (GAA) for CY 2020 intends to apply the sum corr</t>
  </si>
  <si>
    <t xml:space="preserve"> Republic of the Philippines Province of South Cotabato Municipality of Sto. Niño BARANGAY POBLACION BIDS AND AWARDS COMMITTEE (BAC) Invitation to Bid 1. The Barangay Local Government of  Poblacion, Sto. Niño, through its Bids and Awards Committee (BAC) in</t>
  </si>
  <si>
    <t xml:space="preserve"> Supply and delivery of Materials for the Repair/Maintenance (Joints &amp; Cracks Sealing and Pothole Patching)</t>
  </si>
  <si>
    <t xml:space="preserve"> 2. Contract ID:	20ND0067         Contract Name:	Construction of Multi-Purpose Building, Brgy. Poblacion, Las Nieves, Agusan del Norte         Contract Location:	Brgy. Tiniwisan, Butuan City         Brief Description:	Repair and Maintenance of  Two  Storey</t>
  </si>
  <si>
    <t xml:space="preserve"> Republic of the Philippines 	CITY OF SAN PEDRO Province of Laguna BIDS AND AWARDS COMMITTEE INVITATION TO APPLY FOR ELIGIBILITY AND TO BID PR NO. 0499 1.	The City Government of San Pedro, Laguna through the 2020 LSB Budget Approved by the Sangguniang Pang</t>
  </si>
  <si>
    <t xml:space="preserve"> INVITATION TO BID FOR THE SUPPLY OF SECURITY SERVICES FOR 2020-2021  1.	The Philippine Crop Insurance Corporation (PCIC), through the PCIC Corporate Operating Budget for 2020 approved by the Board intends to apply the sum of ONE MILLION TWO HUNDRED TWELVE</t>
  </si>
  <si>
    <t xml:space="preserve"> 1	lot	     Licensed Statistical Package for the Social Science with Plagiarism Detector and Grammarly (1 year subscription)			 		          General Description:			 			Statistics base module		 			  1. Descriptive statistics		 			  2. Test to predict numeric</t>
  </si>
  <si>
    <t xml:space="preserve"> ALBAY 3RD DISTRICT ENGINEERING OFFICE																																						 Paulog, Ligao City																																						 																																						 																																						 INVITATION TO BID																											</t>
  </si>
  <si>
    <t xml:space="preserve"> 20-05-183 Procurement of Biosafety Cabinet Type II</t>
  </si>
  <si>
    <t xml:space="preserve"> INVITATION TO BID FOR THE SUPPLY OF JANITORIAL SERVICES FOR 2020-2021  1.	The Philippine Crop Insurance Corporation (PCIC), through the PCIC Corporate Operating Budget for 2020 approved by the Board intends to apply the sum of ONE MILLION TWO HUNDRED TWEL</t>
  </si>
  <si>
    <t xml:space="preserve"> Supply and Delivery of ICT Supplies 3rd Quarter. ABC=28,419.12</t>
  </si>
  <si>
    <t xml:space="preserve"> Procurement of 1 Lot Repair and Maintenance of Office Equipment (Photocopier) for the 3rd Quarter of 2020</t>
  </si>
  <si>
    <t xml:space="preserve"> 1 | P a g e NNP 20-011 – Procurement of Consultancy Services (Individual) for the Cost-Benefit Analysis of Community-Based and Center-Based Intervention for Children in Conflict with the Law NOTICE FOR NEGOTIATED PROCUREMENT (Small Value Procurement) PROC</t>
  </si>
  <si>
    <t xml:space="preserve"> Supply and Delivery of Steel Fence Materials (Hardware Supplies (3rd Quarter) ABC=121,300</t>
  </si>
  <si>
    <t xml:space="preserve"> QTY UNIT  DESCRIPTION 1	pc	Saddle Clamp 4"Ø x 1"Ø G.I 1	roll	P.E pipe 1"Ø (sdr 11) 22	pcs	2"Ø P.E coupling 21	pcs	1 1/2" Ø P.E couping 6	pcs	1" Ø P.E couping 1	pc	2" Ø swing valve 1	pc	1 1/2"Ø swing valve 2	pcs	2" Ø gatevalve 2	pcs	1 1/2"Ø gatevalve 1	pc	</t>
  </si>
  <si>
    <t xml:space="preserve"> Please see attached ITB</t>
  </si>
  <si>
    <t xml:space="preserve"> 0.15m x 5.0m x 220.00ln.m. PCCP 0.15m x 4.0m x 120.00ln.m. PCCP 0.10m x 3.0m x 90.00ln.m. PCCP 0.10m x 2.40m x 48.00ln.m. PCCP 37.15 cu.m. Grouted Riprap</t>
  </si>
  <si>
    <t xml:space="preserve"> Republic of the Philippines Province of Cagayan Tuguegarao City Invitation to Bid for  Construction of Farmer’s Dormitory Building and Construction of PVET Admin Building, Zitanga, Ballesteros, Cagayan 1.	The Provincial Government of Cagayan, through the </t>
  </si>
  <si>
    <t xml:space="preserve"> INVITATION TO BID FOR The Department of Public Works and Highways Camarines Sur 5TH, District Engineering Office through its Bids and Awards Committee (BAC) for Goods, invites suppliers to submit bids for the following Contract: Contract ID No. 20GFN0009 </t>
  </si>
  <si>
    <t xml:space="preserve"> 75 SETS CHLORINE DIOXIDE COMPONENT - A &amp; B</t>
  </si>
  <si>
    <t xml:space="preserve"> INVITATION TO BID FOR The Department of Public Works and Highways Camarines Sur 5TH, District Engineering Office through its Bids and Awards Committee (BAC) for Goods, invites suppliers to submit bids for the following Contract: Contract ID No. 20GFN0010 </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</si>
  <si>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</si>
  <si>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42,075 liters Diesel Fuel</t>
  </si>
  <si>
    <t xml:space="preserve"> as per attached INM</t>
  </si>
  <si>
    <t xml:space="preserve"> BIDS AND AWARDS COMMITTEE FDA-BAC Ref. No. ITB No. 2020-004-RFO/CTQAL INVITATION TO BIDS PROVISION OF SECURITY SERVICES FOR FDA-REGIONAL FIELD OFFICES AND CEBU TESTING  AND QUALITY ASSURANCE LABORATORY 1.	The Food and Drug Administration (FDA) - Field Reg</t>
  </si>
  <si>
    <t xml:space="preserve"> Female, 2 - 10 years old</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</si>
  <si>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</si>
  <si>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Procurement of consumables for Brother HL-L6400DW printers</t>
  </si>
  <si>
    <t xml:space="preserve"> DETAILED ESTIMATES OF UNIT COST 											 FOR VARIOUS ITEMS/SUB-ITEMS											 											 PROJECT TITLE: REHABILITATION OF MUNICIPAL ROAD, SITIO IBABA TO TULAY, MAAHAS, LOS BANOS, LAGUNA 											 LOCATION: MAAHAS, LOS BANOS, LAGUNA					 P 1,383,13</t>
  </si>
  <si>
    <t xml:space="preserve"> NEW INSTALLATION OF LIGHTING FIXTURES STARTING FROM BARANGAY MAN-UP, BATAN TO BARANGAY MAN-UP , ALTAVAS BOUNDARY</t>
  </si>
  <si>
    <t xml:space="preserve"> Republic of the Philippines Province of Misamis Occidental Municipality of Jimenez Barangay Carmen _____________________________________			PR#:  __________________________ _____________________________________			Date: __________________________ 	Please qu</t>
  </si>
  <si>
    <t xml:space="preserve"> Various shirts &amp; personal protective equipment's</t>
  </si>
  <si>
    <t xml:space="preserve"> INVITATION TO BID FOR THE CONSTRUCTION OF IRRIGATION FACILITIES Lower Akki, Adams, Ilocos Norte 1.	The Municipal Government of Adams, through funds from the 20% Municipal Development Fund intends to apply the sum of P249,772.95 being the Approved Budget f</t>
  </si>
  <si>
    <t xml:space="preserve"> NEW INSTALLATION OF LIGHTING FIXTURES AT BARANGAY LUPIT TO BARANGAY MAN-UP</t>
  </si>
  <si>
    <t xml:space="preserve"> Republic of the Philippines Province of Negros Occidental CITY OF TALISAY INVITATION TO BID  Construction of Water Lines &amp; Reservoirs located at Barangay Cabatangan, Talisay City  1.	The City of Talisay, through the 20% ADF 2020 intends to apply the sum o</t>
  </si>
  <si>
    <t xml:space="preserve"> Local Government Unit of Irosin						                                            GOOD-20-2020                 Supply &amp; Delivery of Hardware/Materials  as Assistance to Various Schools-Local School Board Irosin, Sorsogon Standard Form Number: SF-GOOD-05 Re</t>
  </si>
  <si>
    <t xml:space="preserve"> INVITATION TO BID FOR THE PROCUREMENT OF Cellcards 1.	The Local Government Unit of Buug, through the General Fund  intends to apply the sum of Two Hundred Twelve Thousand Five Hundred Twelve Pesos only ( 222,512.00) being the Approved Budget for the Contr</t>
  </si>
  <si>
    <t xml:space="preserve"> The JH Cerilles State College, through the Trust Fund- MOOE 2020 intends to apply the sum of TWO MILLION ONE HUNDRED TEN THOUSAND PESOS (PHP2,110,000.00) ONLY  being the Approved Budget for the Contract (ABC) to payments under the contract for SUPPLY &amp; DE</t>
  </si>
  <si>
    <t xml:space="preserve"> PLS. SEE ATTACHED PURCHASE REQUISITION, TERMS OF REFERENCE &amp; BID DOCUMENTS FOR DETAILS.</t>
  </si>
  <si>
    <t xml:space="preserve"> Republic of the Philippines Province of Cagayan Tuguegarao City Invitation to Bid for  Construction of Material Recovery Facility (Cluster 1) 1.	The Provincial Government of Cagayan, through the Trust Fund intends to apply the sum of P 1,190,427.92  being</t>
  </si>
  <si>
    <t xml:space="preserve"> 420 LI</t>
  </si>
  <si>
    <t xml:space="preserve"> Section I. Invitation to Bid                                             	Republic of the Philippines                                             Municipality of Kalayaan                                             Province of Palawan 	Bids and Awards Com</t>
  </si>
  <si>
    <t xml:space="preserve"> Republic of the Philippines Province of Cagayan Tuguegarao City Invitation to Bid for Sanchez Mira District Hospital Perimeter Fence San Andres , Sanchez Mira, Cagayan  1.	The Provincial Government of Cagayan, through the General Fund SB #1Cy2019 intends </t>
  </si>
  <si>
    <t xml:space="preserve"> INVITATION TO BID The Philippine Children’s Medical Center, through GAA/HFEP (DOH) CY 2019 intends to apply the sum of One Million Pesos  (Php1,000,000.00) being the Approved Budget for the Contract (ABC) to payment under the contract for the following pr</t>
  </si>
  <si>
    <t xml:space="preserve"> Office equipments</t>
  </si>
  <si>
    <t xml:space="preserve"> UNIT	  DESCRIPTION		QUANTITY	 SPL-1	CLEARING OF OTHER OBSTRUCTIONS/STRUCTURE  EXCAVATION			 	Qty.= 1.00    lot			 I.	Labor incl. Equipment Rental			 				 				 DIRECT COST  				 				 INDIRECT COST  			 OCM(15%ofDirect Cost) 	 			Profit(10%of Direct Cost)	 </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</si>
  <si>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</si>
  <si>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Republic of the Philippines Province of Cagayan Tuguegarao City Invitation to Bid for General Repair and Rehabilitation of Baggao District Hospital , Baggao Cagayan  1.	The Provincial Government of Cagayan, through the General Fund Cy2019 intends to apply</t>
  </si>
  <si>
    <t xml:space="preserve"> Department of Education							 Region VI-Western Visayas							 DIVISION OF CADIZ CITY							 VILLACIN NATIONAL HIGH SCHOOL							 Cadiz City							 BUDGETARY REQUIREMENTS							 PROGRAM TITLE:		CONDUCT MEETING WITH THE PTA &amp; STAKEHOLDERS ,QUARTERLY CADR </t>
  </si>
  <si>
    <t xml:space="preserve"> Republic of the Philippines          City of Dumaguete Bids and Awards Committee INVITATION TO BID FOR PURCHASE REQUEST OF 37 CU.M SAND (STD. SPECS) AND OTHER ITEMS 	The City of Dumaguete thru its BIDS AND AWARDS COMMITTEE (BAC), invites all interested ma</t>
  </si>
  <si>
    <t xml:space="preserve"> PCCP 0.20m x 5.00m x 165.00m</t>
  </si>
  <si>
    <t xml:space="preserve"> Republic of the Philippines Province of Cagayan Tuguegarao City Invitation to Bid for Construction of TFLC Building Sanchez Mira, Cagayan  1.	The Provincial Government of Cagayan, through the General Fund intends to apply the sum of P 4,999,662.30 being t</t>
  </si>
  <si>
    <t xml:space="preserve"> Purchase of equipments</t>
  </si>
  <si>
    <t xml:space="preserve"> INVITATION TO BID FOR THE PROCUREMENT OF Construction Materials for the Construction of Drainage Canal Open Type 1.	The Barangay Bliss of Buug, through the General Fund  intends to apply the sum of One Hundred Two Thousand Seven Hundred Ninety Six Pesos o</t>
  </si>
  <si>
    <t xml:space="preserve"> Contract ID:       20GHL0002 Contract Name:  Supply and delivery of 100 drums Penetration Asphalt 60/70 and three  (3) other items for use in the correction of minor scaling/raveling, potholes,  alligator cracks, shoving along DSR, DCVBR, SCPTR, BKR and B</t>
  </si>
  <si>
    <t xml:space="preserve"> Republic of the Philippines Province of Cagayan Tuguegarao City Invitation to Bid for  Construction of Material Recovery Facility (Cluster 2) 1.	The Provincial Government of Cagayan, through the Trust Fund intends to apply the sum of P 1,488,034.90  being</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</si>
  <si>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</si>
  <si>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1 6 REAM/S PAPER - BOND,PG,LEGAL,216MMX330MM(8-1/2"X13") 70 GSM 2 6 REAM/S PAPER - BOOK A4,210MMX297MM,MIN OF 70GSM 3 6 REAM/S PAPER - BOOK LEGAL,216MMX330MM(8-1/2"X13"),MIN OF 70GSM 4 6 PC/S BALLPEN - ORDINARY, BLACK 5 6 PC/S BALLPEN - ORDINARY, RED 6 2 </t>
  </si>
  <si>
    <t xml:space="preserve"> Supply and Delivery of Steel Ladder (Pilipino Bldg.) Materials. (Hardware supplies 3Q)  ABC=36,150.00</t>
  </si>
  <si>
    <t xml:space="preserve"> Prepainted Metal Roofing Sheets GA. 26 Long Span, Fabricated Metal Roofing Accessory (Ridge/Hip Rolls / Flashing/Counted Flashing Nallery Roll), Fabricated Metal Roofing Accessory (Gutter), Ceiling Works, Conduit Boxes and Fittings (Conduit Works/Conduit </t>
  </si>
  <si>
    <t xml:space="preserve"> UNIT	  DESCRIPTION		QUANTITY SPL- 1	LINE CANAL INCL. LAY-BY		 	QTY.= 100.00 l.m		 	L= 100m 	W= 1.20m	 			 	I. Materials		 pcs	RCPC 36"Ø (0.90m)		95 pcs	CHB 4"		900 bags	Cement		80 pcs	10mmØ x 6.0m RSB		112 cu.m	Sand		8 cu.m	Gravel		5 kgs	G.I Tie Wire #16	</t>
  </si>
  <si>
    <t xml:space="preserve"> PLS. SEE ATTACHED PR, TOR &amp; BID DOCS. FOR DETAILS</t>
  </si>
  <si>
    <t xml:space="preserve"> Republic of the Philippines Province of Oriental Mindoro MUNICIPALITY OF PINAMALAYAN OFFICE OF THE BIDS AND AWARDS COMMITTEE Invitation to Bid ITB-2020-16 1.  The Municipal Government of Pinamalayan, Oriental Mindoro, through the authorized appropriations</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</si>
  <si>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</si>
  <si>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Republic of the Philippines Province of Cagayan Tuguegarao City Invitation to Bid for  Cluster 8 Concreting of Gaggabutan West Barangay Road Rizal, Cagayan and Concreting of Poblacion Barangay Road Rizal, Cagayan  1.	The Provincial Government of Cagayan, </t>
  </si>
  <si>
    <t xml:space="preserve"> Supply and Delivery of Cleaning and Disinfecting Products for 3rd Quarter ABC=8,000</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</si>
  <si>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</si>
  <si>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SCOOP OF WORK 1.WIDENING AND EARTHFIL AT LOW PORTION OF THE ROAD 2.SPOT GRAVELLING OF THE REHABILITATE STREET 3.COMPACTION AT EARTHFIL PORTION OF THE ROAD WIDENING OF ROAD  A. RENTALS (OPERATED) B. MATERIALS  TOTAL COST 100.000.00</t>
  </si>
  <si>
    <t xml:space="preserve"> Republic of the Philippines							 Province of Negros Occidental							 Municipality of La Castellana							 Bids and Awards Committee							 							 INVITATION TO APPLY FOR ELIGIBILITY AND TO BID							 							 Name of Project: 		PROPOSED DECOMPOSER SHED</t>
  </si>
  <si>
    <t xml:space="preserve"> Republic of the Philippines Province of South Cotabato BIDS AND AWARDS COMMITTEE Salada Street, Poblacion Tupi, South Cotabato Tel. Fax No.: (083) 226-1045 INVITATION TO BID FOR THE SUPPLY AND DELIVERY OF CONSTRUCTION MATERIALS FOR THE CONCRETING OF POBLA</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</si>
  <si>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</si>
  <si>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1.The Local Government Unit of San Andres, Quezon through its General Fund intends to apply the sum of Seven Hundred Ninety Three Thousand and Nine Hundred Sixty Eight Pesos (Php 793,968.00) only being the Approved Budget for the Contract (ABC) to payment</t>
  </si>
  <si>
    <t xml:space="preserve"> Republic of the Philippines Province of Quezon MUNICIPALITY OF PANUKULAN * * * Invitation to Bid for REPAIR / IMPROVEMENT OF RHU, TB DOTS BUILDING 1.	The Local Government Unit of Panukulan, Quezon  through the  General Fund 2020(Supplemental)  intends to </t>
  </si>
  <si>
    <t xml:space="preserve"> Republic of the Philippines Province of Cagayan Tuguegarao City Invitation to Bid for Alcala Municipal Hospital Construction of Laundry Area, Ambulance Bay, Bantay Waiting Area, Isolation Room, Covered Walk, Septic Tank and Power House   1.	The Provincial</t>
  </si>
  <si>
    <t xml:space="preserve"> PLS. SEE ATTACHED PURCHASE REQUISITION, TERMS OF REFERENCE &amp; BID DOCS FOR DETAILS</t>
  </si>
  <si>
    <t xml:space="preserve"> 210 	pcs	16mm dia def bar	 1,200 	pcs	10mm dia def bar	 75 	kls	Tie Wire	 35 	pcs	Marine Plywood x 1/2	 4 	kls	Nylon #30	 50 	kls	Common Nail x 3	 1,150 	bags	Portland Cement	 75 	kls	Common Nail x 2 1/2	 75 	kls	Common Nail x 4	 10 	kls	Common Nail x 1 1</t>
  </si>
  <si>
    <t xml:space="preserve"> Supply and Delivery of Office Supplies for 3QR 2020 ABC=40,065.65</t>
  </si>
  <si>
    <t xml:space="preserve"> Invitation to Bid for IMPROVEMENT OF PANUKULAN WATER SYSTEM (Construction of Additional Water Source) 1.	The Local Government Unit of Panukulan, Quezon  through the  20% MDF  intends to apply the sum of Five Hundred Seventy Three Thousand Six Hundred Twen</t>
  </si>
  <si>
    <t xml:space="preserve"> 1	Job Note: 	CONSTRUCTION OF SOLAR LIGTHINGS  	Php  133,846.50</t>
  </si>
  <si>
    <t xml:space="preserve"> SUPPLY AND DELIVERY OF MATERIALS AND FITTINGS (GOODS-2020-005) - REBID 1.	The Government of the Philippines, through the Puerto Princesa City Water District  intends to apply the sum of Three Million One Hundred Seventy-Five Thousand Two Hundred Sixty-Fiv</t>
  </si>
  <si>
    <t xml:space="preserve"> Project Ref. Number		:	bolo 20-01-goods			 Project Name		:	Procurement of Selected Borrow for the Rehabilitation of Farm to Market Road			 Project Location			Barangay Bolo, Mulanay, Quezon			 						 				Standard Form Number : SF - Good - 05		 				Revised </t>
  </si>
  <si>
    <t xml:space="preserve"> PLS. SEE ATTACHED PR, TOR &amp; BID DOCS FOR DETAILS.</t>
  </si>
  <si>
    <t xml:space="preserve"> Republic of the Philippines MINDANAO STATE UNIVERSITY General Santos City INVITATION TO BID FOR THE PROCUREMENT OF EQUIPMENT/ITEMS FOR TUNA RESEARCH PROGRAM 1.	The Mindanao State University – General Santos City (MSU-GSC), through the DOST-PCAARRD Fund in</t>
  </si>
  <si>
    <t xml:space="preserve"> Led Road Lighting Fixture 30 watts Daylight model FSL1030DL	40 sets Led Road Lighting Fixture 50 watts Daylight model FSL1050DL	25 sets Photocell Control 6 Ampere	5 pcs Compact Fluorescent Lamp (CFL) 10 Watts	50 pcs Electrical Tape (Big)	21 pcs PVC Pipe ¾</t>
  </si>
  <si>
    <t xml:space="preserve"> INVITATION FOR NEGOTIATED PROCUREMENT  Provision of Courier Services 1.	In view of two (2) failed public biddings, the Department of Budget and Management-Bids and Awards Committee (DBM-BAC) invites interested bidders to participate in the negotiation for</t>
  </si>
  <si>
    <t xml:space="preserve"> The Municipality of Baliwag, through its Bids and Awards Committee (BAC), invites contractors to apply for eligibility and to bid the here ender project: Name of Project	:	SUPPLY AND DELIVERY OF WOODEN ARMCHAIRS 				FOR BALIWAG POLYTECHNIC COLLEGE 	 Locat</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</si>
  <si>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</si>
  <si>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SUPPLY AND DELIVERY OF VALVES, RUBBER EXPANSION JOINT, AND PRESSURE GAUGE (GOODS-2020-006) - REBID 1.	The Government of the Philippines, through the Puerto Princesa City Water District  intends to apply the sum of  Three Million Seven Hundred Seventy Thou</t>
  </si>
  <si>
    <t xml:space="preserve"> Supply and Delivery of snacks for training participants (Junior High Teachers) on the use of online -offline Software Applications in making Instructional and supplemental materials for new normal delivery of Instruction for SY 2020-2021. ABC=21,670.00</t>
  </si>
  <si>
    <t xml:space="preserve"> Rehabilitation/Improvement of Multi-Purpose Building (El Nido Municipal Complex and Covered Court)</t>
  </si>
  <si>
    <t xml:space="preserve"> INVITATION TO BID FOR Procurement of Information Communication Technology (ICT) Laboratory Equipment for CEA and CIT at NORSU Main Campus (Batch 1) GOOD2020-00-02(a) 1. The Negros Oriental State University (NORSU) and the Bids and Awards Committee (BAC), </t>
  </si>
  <si>
    <t xml:space="preserve"> Invitation to Bid for the Road Concreting to Central MRF (Phase 2) 1.	The LGU-Salcedo, through the Local Development  Fund  intends to apply the sum of  Six  Million Two Hundred Thirty Three  Thousand Pesos only (Php 2,079,967.00)  being the Approved Budg</t>
  </si>
  <si>
    <t xml:space="preserve"> PLS. SEE ATTACHE PR, TOR, &amp; BID DOC FOR DETAILS.</t>
  </si>
  <si>
    <t xml:space="preserve"> Republic of the Philippines Province of Cagayan Tuguegarao City Invitation to Bid for Construction / Repair/ Rehab of Vice Governor’s Office, Capitol Hills Peñblanca, Cagayan 1.	The Provincial Government of Cagayan, through the AIP 2020 intends to apply t</t>
  </si>
  <si>
    <t xml:space="preserve"> Republic of the Philippines Province of Cagayan Tuguegarao City Invitation to Bid for Construction of School Multi – Purpose Building Don Mariano High School, Gattaran, Cagayan  1.	The Provincial Government of Cagayan, through the NTLB intends to apply th</t>
  </si>
  <si>
    <t xml:space="preserve"> Republic of the Philippines Province of Oriental Mindoro MUNICIPALITY OF PINAMALAYAN OFFICE OF THE BIDS AND AWARDS COMMITTEE Invitation to Bid ITB-2020-17 1.  The Municipal Government of Pinamalayan, Oriental Mindoro, through the authorized appropriations</t>
  </si>
  <si>
    <t xml:space="preserve"> Project Ref. Number		:	spdro 20-01--goods			 Project Name		:	Supply and Delivery of Materials  for the Concreting of Pavement			 Project Location			Barangay San Pedro, Mulanay, Quezon			 						 				Standard Form Number : SF - Good - 05		 				Revised on  :</t>
  </si>
  <si>
    <t xml:space="preserve"> Republic of the Philippines Province of Nueva Ecija Municipality of General Mamerto Natividad BIDS AND AWARDS COMMITTEE  INVITATION TO BID FOR “CONSTRUCTION OF CENTRALIZED MATERIAL RECOVERY FACILITY (MRF) PHASE 2” 1.	The LGU-General Mamerto Natividad, Nue</t>
  </si>
  <si>
    <t xml:space="preserve"> Republic of the Philippines Province of Cagayan Tuguegarao City Invitation to Bid for Construction of School Multi – Purpose Building Gattaran National Trade School, Gattaran, Cagayan  1.	The Provincial Government of Cagayan, through the NTLB intends to a</t>
  </si>
  <si>
    <t xml:space="preserve"> Republic of the Philippines Province of Dinagat Islands MUNICIPALITY OF TUBAJON Tubajon, Dinagat Islands BIDS AND AWARDS COMMITTEE INVITATION TO BID  FOR  ROAD CONCRETING OF WILSON ST., BRGY SAN VICENTE (INFRA 2020- 012) 1.	The Municipality of Tubajon, Pr</t>
  </si>
  <si>
    <t xml:space="preserve"> cleaning materials</t>
  </si>
  <si>
    <t xml:space="preserve"> INSTALLATION OF BASKETBALL FIBER GLASS BOARD WITH RING</t>
  </si>
  <si>
    <t xml:space="preserve"> Republic of the Philippines Province of Davao del Sur MUNICIPALITY OF STA.CRUZ INVITATION TO BID  PROCUREMENT OF PUMPBOAT FOR TAGABULI BAY CRUISE-2ND POSTING (ITB No. 15-Goods-2020) 1.	The Local Government Unit of Sta. Cruz, Davao del Sur through the Gene</t>
  </si>
  <si>
    <t xml:space="preserve"> Purchase of Materials for Road Concreting</t>
  </si>
  <si>
    <t xml:space="preserve"> PLS. SEE ATTACHED PR, TOR &amp; BID DOCS FOR DETAILS</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</si>
  <si>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</si>
  <si>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Purchase of Meterials for Construction of Seven (7) Purok Centers</t>
  </si>
  <si>
    <t xml:space="preserve"> Supply and Delivery of materials for 500m WINS facilities and electrical repair at room 39, 40, and 41. ABC=52,871.64</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</si>
  <si>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</si>
  <si>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INVITATION TO BID FOR The Department of Public Works and Highways Camarines Sur 5TH, District Engineering Office through its Bids and Awards Committee (BAC) for Goods, invites suppliers to submit bids for the following Contract: Contract ID No. 20GFN0011 </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</si>
  <si>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</si>
  <si>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Project Ref. Number		:	iba yuni 20-01-goods			 Project Name		:	Supply and Delivery of Supplies and Materials to be used for the Rehabilitation of FMR			 Project Location			Barangay Ibabang Yuni, Mulanay, Quezon			 						 				Standard Form Number : SF - Go</t>
  </si>
  <si>
    <t xml:space="preserve"> SUPPLY, DELIVERY, TESTING AND COMMISSIONING OF ON-LINE MULTI-PARAMETER ANALYZER AND WATER LEVEL SENSOR (GOODS-2020-010) - REBID 	 1.	The Government of the Philippines, through the Puerto Princesa City Water District  intends to apply the sum of One Millio</t>
  </si>
  <si>
    <t xml:space="preserve"> Use of the different Deparments of the College</t>
  </si>
  <si>
    <t xml:space="preserve"> Republic of the Philippines DEPARTMENT OF PUBLIC WORKS AND HIGHWAYS BATANGAS II  DISTRICT ENGINEERING OFFICE REGIONAL OFFICE IV-A Kumintang Ilaya, Batangas City INVITATION TO BID For Local Infrastructure Program – Construction/Rehabilitation of Flood Cont</t>
  </si>
  <si>
    <t xml:space="preserve"> 20CSE010 – Consulting Services for the Conduct of Environmental Impact Assessment (EIA), Preparation of Environmental Impact Assessment Statement (EIS) and Application of Environmental Compliance Certificate (ECC) of Widening of Tablas Circumferential Roa</t>
  </si>
  <si>
    <t xml:space="preserve"> ELECTRICAL WORKS: MATERIALS:      THHN WIRE NO. 10- 2 BOX      THHN WIRE NO. 12- 6 BOX      FLEXIBLE HOSE 1/2 - 8 ROOLS      HOSE CLAMP 1/2 - 600 PCS      120 AMP CIRCUIT ROYU BREAKER NO. 3 - 1 PC      60 AMP CIRCUIT BREAKER NO. 3 - 1 PC      PAINT BOX NO</t>
  </si>
  <si>
    <t xml:space="preserve"> School Watchman Services</t>
  </si>
  <si>
    <t xml:space="preserve"> Project Ref. Number		:	ila yuni 20-01-goods			 Project Name		:	Supply and Delivery of Supplies and  Materials  to be used for the Construction of SK Office Building			 Project Location			Barangay Ilayang Yuni, Mulanay, Quezon			 						 				Standard Form N</t>
  </si>
  <si>
    <t xml:space="preserve"> INVITATION TO BID FOR THE  PRINT, SUPPLY AND DELIVERY OF MTWD 2021 CALENDAR 1.	The Metropolitan Tuguegarao Water District through the Corporate Budget for the Year 2020  intends to apply the sum of One Million Pesos (P 1,000,000.00) being the Approved Bud</t>
  </si>
  <si>
    <t xml:space="preserve"> 20CSE009 -  Consulting Services for the Conduct of Environmental Impact Assessment (EIA), Preparation of Environmental Impact Assessment Statement (EIS) and Application of Environmental Compliance Certificate (ECC) of Widening of Palawan Circumferential R</t>
  </si>
  <si>
    <t xml:space="preserve"> REQUEST FOR QUOTATION The Bureau of Customs Port of Cebu, through its Bids and Awards Committee, hereby invites all interested suppliers to quote their price on the item/s listed below, subject to the terms and conditions specified herein, and submit the </t>
  </si>
  <si>
    <t xml:space="preserve"> Use  of the Gymnasium</t>
  </si>
  <si>
    <t xml:space="preserve"> Republic of the Philippines Province of Isabela LOCAL GOVERNMENT UNIT OF BENITO SOLIVEN INVITATION TO BID FOR THE PROCUREMENT OF 6-CYLINDER TURBO DIESEL ENGINE INLINE INJECTION FOR GRADER 1.	The Municipal Government of Benito Soliven, intends to apply the</t>
  </si>
  <si>
    <t xml:space="preserve"> medical supplies and equipment</t>
  </si>
  <si>
    <t xml:space="preserve"> Republic of the Philippines Province of Ilocos Norte Municipality of Paoay BIDS AND AWARDS COMMITTEE INVITATION TO BID 2020-016 Invitation to Bid for the Purchase of kitchen utensils and other materials for the use at the Evacuation Center 1.	The Municipa</t>
  </si>
  <si>
    <t xml:space="preserve"> Resograph machine  Specification will be attached on the bidding documents</t>
  </si>
  <si>
    <t xml:space="preserve"> Republic of the Philippines Province of Ilocos Norte Municipality of Paoay BIDS AND AWARDS COMMITTEE INVITATION TO BID 2020-015 Invitation to Bid for the Purchase of goods for the stock pile of the Municipality 1.	The Municipal Government of Paoay, Ilocos</t>
  </si>
  <si>
    <t xml:space="preserve"> Use of Custodial Care Program</t>
  </si>
  <si>
    <t xml:space="preserve"> Please download ITB and Checklist in the Associated Components.</t>
  </si>
  <si>
    <t xml:space="preserve"> INVITATION TOBID FOR Procurement of Technology Laboratory Equipment for NORSU Bayawan- Sta. Catalina, Guihulngan and Main Campuses (Batch 1) GOOD2020-00-04(a) 1. The Negros Oriental State University (NORSU) and the Bids and Awards Committee (BAC), through</t>
  </si>
  <si>
    <t xml:space="preserve"> Invitation to Bid for Repainting Multi Purpose Hall &amp; Daycare Center  No. 2020-001 1. The Barangay Magyapyap Sur, through the Annual Budget 2020(General Fund) Approved by the Sanggunian intends to apply the sum of One Hundred Fifty Thousand Pesos  (Php 13</t>
  </si>
  <si>
    <t xml:space="preserve"> Use of the Gymnasium</t>
  </si>
  <si>
    <t xml:space="preserve"> Use for the different offices of the college for 3rd quarter of C.Y.2020</t>
  </si>
  <si>
    <t xml:space="preserve"> Public Competitive Bidding for the Supply and Delivery of Various Cancer Medicines of the Department of Health</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</si>
  <si>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</si>
  <si>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INVITATION TO BID June 25, 2020 The DPWH-Quirino District Engineering Office, through its Bids and Awards Committee (BAC), invites contractors to submit bids for the following Contract: 1	Contract I.D.  	:	20BK0147 	Name of Project	:	Repair/Maintenance al</t>
  </si>
  <si>
    <t xml:space="preserve"> Please submit your quotation for the following items on or before 5:00PM on Jul 06, 2020. ITEM D E S C R I P T I O N QTY. UNIT  1 Lab. Eqpt., Bacti-Cinerator 1 unit Technical Specification Requirements: IR or UV sterilizer, optimum heating temperature up </t>
  </si>
  <si>
    <t xml:space="preserve"> Republic of the Philippines PROVINCE OF NUEVA VIZCAYA Invitation to Bid for the  CONCRETING OF KINACAO-KURASAY-KINALABASA ROAD Located at Bagabag, Nueva Vizcaya  1.	The Provincial Government of Nueva Vizcaya, through the 2020 20% Development Fund intends </t>
  </si>
  <si>
    <t xml:space="preserve"> Request for Quotation for the Procurement of Animal/Zoological Supplies to be given to the Cooperatives or Farmers Associations in support to the COVID-19 Response Program in the Region specifically for the Layer Project 1.	The Department of Agriculture-R</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</si>
  <si>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</si>
  <si>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Republic of the Philippines PROVINCE OF NUEVA VIZCAYA Invitation to Bid for the  CONCRETING OF CALDAAN-MONGKOL-MAPAINA ROAD Located at Solano, Nueva Vizcaya  1.	The Provincial Government of Nueva Vizcaya, through the 2020 20% Development Fund intends to a</t>
  </si>
  <si>
    <t xml:space="preserve"> Purchase request submitted by Rimmon Armones 1 unit	 FLAT ROTARY SHAKER ABC is Php 200,000.00</t>
  </si>
  <si>
    <t xml:space="preserve"> Purchase of Goods</t>
  </si>
  <si>
    <t xml:space="preserve"> NON-RETURN VALVE, VALVE, NON-RETURN, STEEL</t>
  </si>
  <si>
    <t xml:space="preserve"> HIGH PRESSURE PISTON PUMP ASSY,  MOTOR WITH PUMP ASSEMBLY (3 UNITS), HIGH PRESSURE</t>
  </si>
  <si>
    <t xml:space="preserve"> HOSE, HYDRAULIC</t>
  </si>
  <si>
    <t xml:space="preserve"> INVITATION TO BID Supply of Labor, Tools and Equipment for the Drilling of One (1) Unit Exploratory/Production Well at Fermeldy, Tumauini, Isabela 1. The TUMAUINI WATER DISTRICT (TWD), through the Corporate Operating Budget (COB) for the contract approved</t>
  </si>
  <si>
    <t xml:space="preserve"> TO SUPPLY LABOR, MATERIALS, TOOLS, EQUIPMENT, CONSUMABLES &amp; TECHNICAL SUPERVISION FOR THE REPLACEMENT OF OLD TUBES OF SHELL &amp; TUBES HEAT EXCHANGER</t>
  </si>
  <si>
    <t xml:space="preserve"> OIL HYDROTUR #46, 10 DRUMS, OIL LUBRICATION</t>
  </si>
  <si>
    <t xml:space="preserve"> TRANSFORMER OIL SHELL DIALA B FOR TAKE-OFF TRANSFORMER</t>
  </si>
  <si>
    <t xml:space="preserve"> Republic of the Philippines DEPARTMENT OF PUBLIC WORKS AND HIGHWAYS SULTAN KUDARAT 2ND DISTRICT ENGINEERING OFFICE REGION XII Lebak, Sultan Kudarat INVITATION TO BID FOR SUPPLY/DELIVERY OF DIESEL FUEL FOR USE OF ASSISTANT DISTRICT ENGINEER’S OFFICE, DPWH </t>
  </si>
  <si>
    <t xml:space="preserve"> materials:    ceiling 1/4 MARINE PLYWOOD	9.00 BLIND RIVET 5/32 X 1/2	2.00 DRILL BIT 5/32	4.00 MASONRY DRILL BIT	1.00 CONCRETE NAIL #1	1.00 1X4X12 CORNEZA	2.00 1X4X8 CORNEZA	12.00 WALL ANGLE 10FT	74.00 .50 METAL FURRING	50.00 BLACK SCREW 1 1/2	150.00 BLACK</t>
  </si>
  <si>
    <t xml:space="preserve"> Republic of the Philippines DEPARTMENT OF PUBLIC WORKS AND HIGHWAYS BATANGAS III DISTRICT ENGINEERING OFFICE REGIONAL OFFICE IV-A J. Gonzales St., Barangay 4, Tanauan City INVITATION TO BID (CW-2020-036) The DPWH–Batangas III District Engineering Office, </t>
  </si>
  <si>
    <t xml:space="preserve"> Republic of the Philippines Office of the Municipal Mayor BIDS AND AWARDS COMMITTEE Sual, Pangasinan Invitation to Bid for PROCUREMENT OF AGRICULTURAL MACHINERY AND EQUIPMENT (Sual, Pangasinan) 1.	The Municipal Government of Sual, Pangasinan, through the </t>
  </si>
  <si>
    <t xml:space="preserve"> XLPE WIRE FOR 13.8KV BURIAL TYPE POWER CABLE, EU / US</t>
  </si>
  <si>
    <t xml:space="preserve"> Republic of the Philippines PROVINCE OF NUEVA VIZCAYA Invitation to Bid for the  CONSTRUCTION/IMPROVEMENT OF PUROK 5 POBLACION FTMR Located at Diadi, Nueva Vizcaya  1.	The Provincial Government of Nueva Vizcaya, through the 2020 20% Development Fund inten</t>
  </si>
  <si>
    <t xml:space="preserve"> Republic of the Philippines Office of the Municipal Mayor BIDS AND AWARDS COMMITTEE Sual, Pangasinan Invitation to Bid for PROCUREMENT OF OFFICE EQUIPMENT (DepED – Sual District Office) 1.	The Municipal Government of Sual, Pangasinan, through the Special </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</si>
  <si>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</si>
  <si>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45 pcs Notebook 45 pcs Ballpen 45 pcs Design Plastic Envelop 45 pcs ID with Lace 50 pcs Face Shield 36 pcs Frames 4 packs Laid Paper (Certificate Paper)</t>
  </si>
  <si>
    <t xml:space="preserve"> To undertake the upgrading of Sewer Treatment Plant (in accordance to DAO 2016-08)</t>
  </si>
  <si>
    <t xml:space="preserve"> Provision of live animals with the following specifications: 1. 1 head of landrace boar and 1 head pietrain boar 2. age-minimum of 195 days old 3. health condition- vaccinated with hog cholera (at least 2x) apparently healthy 4. physical- well-proportione</t>
  </si>
  <si>
    <t xml:space="preserve"> Purchase of CCTV which includes 5 cameras and its accessories</t>
  </si>
  <si>
    <t xml:space="preserve"> Procurement of Books (Lot 1: Procurement of Printed Books; Lot 2: Procurement of e-Books)</t>
  </si>
  <si>
    <t xml:space="preserve"> Request for Quotation for the Procurement of Free-Range Chicken Grower Crumble to be given to the Cooperatives or Farmers Associations in support to Covid-19 response Program in the Region 1.	The Department of Agriculture-Regional Field Office 7 (DA-RFO 7</t>
  </si>
  <si>
    <t xml:space="preserve"> SUPPLY TOOLS, LABOR AND MATERIALS FOR THE REPLACEMENT OF SIX (6) SELECTED FIBER GLASS SKYLIGHT DOME AT POWERHOUSE</t>
  </si>
  <si>
    <t xml:space="preserve"> INVITATION TO BID FOR PURCHASE OF FOOD AND NON-FOOD ITEMS FOR STOCKPILE OF FAMILY FOOD PACKS (FFP)   1.	The DEPARTMENT OF SOCIAL WELFARE AND DEVELOPMENT FIELD OFFICE III through its Bids and Awards Committee and the DRMD intends to apply the sum of LOT NO</t>
  </si>
  <si>
    <t xml:space="preserve"> INVITATION TO BID  1.	The Davao City Water District (DCWD), through the DCWD 2020 Corporate Budget intends to apply the sum indicated below being the Approved Budget for the Contract (ABC) to payments under the contracts as shown below. Bids received in e</t>
  </si>
  <si>
    <t xml:space="preserve"> Tiglawigan Elementary School are inviting bidders to bid for the Communication Load amounting of 8,000.00</t>
  </si>
  <si>
    <t xml:space="preserve"> Republic of the Philippines DEPARTMENT OF PUBLIC WORKS AND HIGHWAYS SULTAN KUDARAT 2ND DISTRICT ENGINEERING OFFICE REGION XII Lebak, Sultan Kudarat INVITATION TO BID FOR SUPPLY/DELIVERY OF DIESEL FUEL FOR USE OF FINANCE SECTION, SULTAN KUDARAT 2ND DISTRIC</t>
  </si>
  <si>
    <t xml:space="preserve"> Republic of the Philippines DEPARTMENT OF PUBLIC WORKS AND HIGHWAYS SULTAN KUDARAT 2ND DISTRICT ENGINEERING OFFICE REGION XII Lebak, Sultan Kudarat INVITATION TO BID FOR SUPPLY/DELIVERY OF OFFICE SUPPLIES FOR USE OF FINANCE SECTION, DPWH SULTAN KUDARAT 2N</t>
  </si>
  <si>
    <t xml:space="preserve"> Republic of the Philippines CITY OF LAPU-LAPU BIDS AND AWARDS COMMITTEE Invitation to Bid FOR THE PROCUREMENT of 1,000 VIALS PURIFIED VERO CELL RABIES VACCINE The City of Lapu-Lapu through the MOOE FUND 4411-5-02-03-070-2 intends to apply the sum of One M</t>
  </si>
  <si>
    <t xml:space="preserve"> Republic of the Philippines Office of the Municipal Mayor BIDS AND AWARDS COMMITTEE Sual, Pangasinan Invitation to Bid for PROCUREMENT OF FURNITURES, FIXTURES, &amp; CONSTRUCTION SUPPLIES (Sual, Pangasinan) 1.	The Municipal Government of Sual, Pangasinan, thr</t>
  </si>
  <si>
    <t xml:space="preserve"> Republic of the Philippines DEPARTMENT OF PUBLIC WORKS AND HIGHWAYS SULTAN KUDARAT 2ND DISTRICT ENGINEERING OFFICE REGION XII Lebak, Sultan Kudarat INVITATION TO BID FOR SUPPLY/DELIVERY OF UPS (UNTERRUPTIBLE POWER SUPPLY) FOR USE OF FINANCE SECTION, SULTA</t>
  </si>
  <si>
    <t xml:space="preserve"> Brief Description of the Project		 Quantity	Unit	Item Description 1.00	lot	Construction &amp; Occupational Health 800.00	sq.m	Mobilization &amp; Site Clearing 732.00	sq.m	Sub-Grade Preparation  73.20 	cu.m.	Aggregate Sub-Base Course  73.20 	cu.m.	Aggregate Base C</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</si>
  <si>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</si>
  <si>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Tiglawigan Elementary School are inviting bidders to bid for the Materials for Module amounting of 67,975.00</t>
  </si>
  <si>
    <t xml:space="preserve"> Republic of the Philippines CITY OF LAPU-LAPU BIDS AND AWARDS COMMITTEE 2nd Invitation to Bid FOR THE PROCUREMENT of OFFICE SUPPLIES The City of Lapu-Lapu through the MOOE 1061-5-02-03-010 intends to apply the sum of One Million Eight  Hundred Twenty-Six </t>
  </si>
  <si>
    <t xml:space="preserve"> INVITATION TO BID PROCUREMENT OF THE ANNUAL SUBSCRIPTION OF  BCDA EMAIL SYSTEM 1.	The BASES CONVERSION AND DEVELOPMENT AUTHORITY (hereinafter referred to as BCDA) through the FY 2020 Corporate Operating Budget, intends to apply the sum of Pesos:  One Mill</t>
  </si>
  <si>
    <t xml:space="preserve"> ELECTRONIC MODULE FOR UNIT 1, 2 &amp; 3, HMI FOR EXCITATION SYSTEM AT CONTROL ROOM</t>
  </si>
  <si>
    <t xml:space="preserve"> REPUBLIC OF THE PHILIPPINES PROVINCE OF EASTERN SAMAR MUNICIPALITY OF LAWAAN REQUEST FOR QUOTATION PR No.: RFQ No.: PR Date: PhilGEPS Reference No. : End-User : Closing Date: ABC:552,200.00 Time: Sir/Madam: Please quote your lowest price on the items/s li</t>
  </si>
  <si>
    <t xml:space="preserve"> 1 – unit CNC Router with 4th Axis 	-	ABC P1,100,000.00 Specifications: Working Area: 600x900x200mm Travelling Positioning Accuracy: +-0.01/300mm Repositioning Accuracy: +-0.03mm Table Surface: T-slot Extrusion with stainless water tank Frame:  Cast Steel </t>
  </si>
  <si>
    <t xml:space="preserve"> Tiglawigan Elementary School are inviting bidders to bid for the IEC on proper Hygiene and COVID-19 Precautionary Measures amounting of 7,000.00</t>
  </si>
  <si>
    <t xml:space="preserve"> INVITATION TO BID FOR 1 LOT REHABILITATION OF WATER SUPPLY SYSTEM OF BARANGAY TAGPANGI, CAGAYAN DE ORO CITY 1.	The Cagayan de Oro City Water District, through the COWD Approved Budget for 2019 under LGU 6 Million Fund Allocation intends to apply the sum o</t>
  </si>
  <si>
    <t xml:space="preserve"> Tiglawigan Elementary School are inviting bidders to bid for the Provision of Fire Alarm amounting of 2,000.00</t>
  </si>
  <si>
    <t xml:space="preserve"> Quantity	Unit	Item Description	 1.00	lot	Construction &amp; Occupational Health	 300.00	cu.m.	Excavation 	 480.00	cu.m.	Stone Masonry</t>
  </si>
  <si>
    <t xml:space="preserve"> Tiglawigan Elementary School are inviting bidders to bid for the Replacement of Water Tank amounting of 7,000.00</t>
  </si>
  <si>
    <t xml:space="preserve"> Name of Projects: Improvement of Road	------------------------------------------------ 485,467.20 Location: Purok Liwliwa Brgy San Isidro Sur	 	 Road Opening at Purok Bougainvilla and Purok Sinamar -----------485,708.40 Location: Brgy. Turod	 	 Opening an</t>
  </si>
  <si>
    <t xml:space="preserve"> Republic of the Philippines PROVINCE OF NUEVA ECIJA City of Palayan -o0o- Invitation to Bid for  CONSTRUCTION OF MULTI-PURPOSE FACILITIES June 26, 2020 1.	The Provincial Government of Nueva Ecija (PGNE), through the Special Educational Fund (SEF) intends </t>
  </si>
  <si>
    <t xml:space="preserve"> Please submit your quotation for the following items on or before 5:00PM on Jul 06, 2020. ITEM D E S C R I P T I O N QTY. UNIT  1 Lab. Eqpt., Biosafety Cabinet (Class II, A2, includes cabinet, manual, stand and pre-installed UV light) 1 unit Awarding is i</t>
  </si>
  <si>
    <t xml:space="preserve"> Project Location: Poblacion, Luna, Apayao Scope of Work: i. Removal of Obstruction ii. Excavation iii. Steel Works iv. Concrete Works v. Masonry vi. Scaffoldings vii. Forms viii. Doors &amp; Windows, PWD Railings &amp; Tabular Rail Guard ix. Plastering (Ground Fl</t>
  </si>
  <si>
    <t xml:space="preserve"> see associated components for downloadable Bidding Documents</t>
  </si>
  <si>
    <t xml:space="preserve"> Supply of Fuel &amp; Lubricants</t>
  </si>
  <si>
    <t xml:space="preserve"> Department of Education Region VI-Western Visayas Cadiz City Alimatoc Elementary School Invitation to BID for the Procurement of Improvement of Kindergarten Comfortroom 1.	The Alimatoc Elementary School, through the School’s MOOE 2020  intends to apply th</t>
  </si>
  <si>
    <t xml:space="preserve"> Republic of the Philippines Province of Isabela LOCAL GOVERNMENT UNIT OF BENITO SOLIVEN INVITATION TO BID FOR THE PROCUREMENT OF 4-CYLINDER DIESEL TURBO ENGINE FOR LOADER 9-IN-1 1.	The Municipal Government of Benito Soliven, intends to apply the sum of On</t>
  </si>
  <si>
    <t xml:space="preserve"> see associated components for downloadable ITB 2020-005</t>
  </si>
  <si>
    <t xml:space="preserve"> Department of Education Region VI-Western Visayas Division of Cadiz City Alimatoc Elementary School INVITATION TO BID FOR THE PROVISION OF MEDICAL SUPPLIES FOR 2020 1.	The Alimatoc Elementary School of Cadiz City, through the Schools MOOE Fund CY 2020  in</t>
  </si>
  <si>
    <t xml:space="preserve"> INVITATION TO BID 1.	The Davao City Water District (DCWD), through the Term Loan with the Development Bank of the Philippines for Package 1-2 and DCWD 2020 Corporate Operating Budget for Package 3, intends to apply the sum indicated below being the Approv</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</si>
  <si>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</si>
  <si>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Parcellary Survey for the Construction of Various Roads and Bridges.</t>
  </si>
  <si>
    <t xml:space="preserve"> Republic of the Philippines Province of Isabela LOCAL GOVERNMENT UNIT OF BENITO SOLIVEN INVITATION TO BID FOR THE PROCUREMENT OF 6-CYLINDER DIESEL ENGINE FOR DUMP TRUCK 1.	The Municipal Government of Benito Soliven, intends to apply the sum of Two Hundred</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</si>
  <si>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</si>
  <si>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</si>
  <si>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</si>
  <si>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</si>
  <si>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</si>
  <si>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Republic of the Philippines                                                                        Municipality of Tagoloan                                                                 PROVINCE OF MISAMIS ORIENTAL                                       </t>
  </si>
  <si>
    <t xml:space="preserve"> SOURCE OF FUND: SUPPLEMENTAL BUDGET#1- CAPITAL OUTLAY - PURCHASE OF TENTS</t>
  </si>
  <si>
    <t xml:space="preserve"> ITEM       QTY     UNIT        DESCRIPTION 1              1        pc           ID MAKER 2              664     pcs         RF ID Cards 3              3         rolls       ID MAKER COLOR RIBBON  4              4        rolls        ID MAKER-RETRANSFER FI</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</si>
  <si>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</si>
  <si>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Republic of the Philippines                                                                  Municipality of Tagoloan                                                          PROVINCE OF MISAMIS ORIENTAL                                                    </t>
  </si>
  <si>
    <t xml:space="preserve"> Republic of the Philippines                                                     PROVINCE OF MISAMIS ORIENTAL                                                             Municipality of Tagoloan                                                              </t>
  </si>
  <si>
    <t xml:space="preserve"> Republic of the Philippines                                                             Municipality of Tagoloan                                                     PROVINCE OF MISAMIS ORIENTAL                                                              </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</si>
  <si>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</si>
  <si>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</si>
  <si>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</si>
  <si>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</si>
  <si>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</si>
  <si>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</si>
  <si>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</si>
  <si>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</si>
  <si>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</si>
  <si>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</si>
  <si>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Office enhancement of Barangay Rizal procurement of materials, equipments, office supplies, utilities, maintenance and other miscellaneous and expenses and council operational expenses and personal services on institution</t>
  </si>
  <si>
    <t xml:space="preserve"> The Subic Bay Metropolitan Authority, through the Corporate Budget for the contract approved by the governing board for 2020 intends to apply the sum of Twenty-Two Million Eight Hundred Thirty Thousand Four Hundred Ninety-Two Pesos and Seventy Centavos (P</t>
  </si>
  <si>
    <t xml:space="preserve"> Republic of the Philippines PROVINCE OF NUEVA ECIJA City of Palayan -o0o- Invitation to Bid for  CONSTRUCTION OF MULTI-PURPOSE FACILITY at Cambitala National High School, Cambitala, Pantabangan, Nueva Ecija June 26, 2020 1.	The Provincial Government of Nu</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</si>
  <si>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</si>
  <si>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Department of Education Region VI-Western Visayas Division of Cadiz City Alimatoc Elementary School INVITATION TO BID FOR PROCUREMENT OF  2 SETS of 3 in 1 PRINTER FOR 2020 1.	The Alimatoc Elementary School of Cadiz City, through the Schools MOOE Fund CY 2</t>
  </si>
  <si>
    <t xml:space="preserve"> Republic of the Philippines DEPARTMENT OF PUBLIC WORKS AND HIGHWAYS SULTAN KUDARAT 2ND DISTRICT ENGINEERING OFFICE REGION XII Lebak, Sultan Kudarat INVITATION TO BID FOR SUPPLY/DELIVERY OF CONSTRUCTION MATERIALS FOR THE MAINTENANCE/IMPROVEMENT OF DPWH BUI</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</si>
  <si>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</si>
  <si>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Republic of the Philippines PROVINCE OF NUEVA ECIJA City of Palayan -o0o- Invitation to Bid for  CONSTRUCTION OF MULTI-PURPOSE FACILITY at Pias Elementary School, Pias, Gen. Tinio, Nueva Ecija June 26, 2020 1.	The Provincial Government of Nueva Ecija (PGN</t>
  </si>
  <si>
    <t xml:space="preserve"> SUPPLY OF MATERIALS, TOOLS, EQUIPMENT, LABOR AND INCLUDING TECHNICAL EXPERTISE FR THE RESTORATION TO NORMAL OPERATING CONDITION OF 30 TR CENTRALIZED AIR CONDITION UNIT</t>
  </si>
  <si>
    <t xml:space="preserve"> RE-CONDITIONED (CLASS A1) SIX WHEELER FIRE TRUCK  1. FEATURES: A. Engine:  4HG1-734629 / 4 Cylinders Engine 115 Horsepower   B. Torque: 404.M (41.0 Kg-m) RPM: 1,500 – 2,600  C. Transmission: 5 speed manual Cubic Meter: 4,570cc  D. Double Body Cab (COWL)  </t>
  </si>
  <si>
    <t xml:space="preserve"> Republic of the Philippines DEPARTMENT OF PUBLIC WORKS AND HIGHWAYS SULTAN KUDARAT 2ND DISTRICT ENGINEERING OFFICE REGION XII Lebak, Sultan Kudarat INVITATION TO BID FOR SUPPLY/DELIVERY OF TONER CARTRIDGE FOR USE OF ADMINISTRATIVE SECTION (RECORDS MANAGEM</t>
  </si>
  <si>
    <t xml:space="preserve"> Republic of the Philippines DEPARTMENT OF PUBLIC WORKS AND HIGHWAYS SULTAN KUDARAT 2ND DISTRICT ENGINEERING OFFICE REGION XII Lebak, Sultan Kudarat INVITATION TO BID FOR SUPPLY/DELIVERY OF MAINTENANCE TOOLS/EQUIPMENTS FOR USE OF ROUTINE/ROADSIDE MAINTENAN</t>
  </si>
  <si>
    <t xml:space="preserve"> The LOCAL GOVERNMENT UNIT OF ISLAND GARDEN CITY OF SAMAL, ), through the 20% Development Fund under the account code 1-07-03-050  intends to apply the sum of Two Million Eight Hundred Ninety-Four Thousand Seven Hundred Fifty-Five (2,894,755.00) being the </t>
  </si>
  <si>
    <t xml:space="preserve"> Billboard; Clearing and Excavation Works; Construction of Watertank (RSB, Formworks, manual hauling of materials); Installation of HDPE Pipe;  Safety &amp; Health (Construction Health and safety Requirement); Equipment Requirement: Cargo/service truck; bar cu</t>
  </si>
  <si>
    <t xml:space="preserve"> Republic of the Philippines Province of Samar Municipality of Sta. Rita Brgy. Dampigan BIDS AND AWARDS COMMITTEE INVITATION TO BID The Brgy. Dampigan, Municipality of Sta. Rita, through Brgy. fund intends to apply the sum of One Hundred Forty Thousand Pes</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</si>
  <si>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</si>
  <si>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Republic of the Philippines DEPARTMENT OF PUBLIC WORKS AND HIGHWAYS SULTAN KUDARAT 2ND DISTRICT ENGINEERING OFFICE REGION XII Lebak, Sultan Kudarat INVITATION TO BID FOR SUPPLY/DELIVERY OF AGGREGATE BASE COURSE FOR THE RESURFACING OF UNPAVED SHOULDER ALON</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</si>
  <si>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</si>
  <si>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Republic of the Philippines DEPARTMENT OF PUBLIC WORKS AND HIGHWAYS SULTAN KUDARAT 2ND DISTRICT ENGINEERING OFFICE REGION XII Lebak, Sultan Kudarat INVITATION TO BID FOR SUPPLY/DELIVERY OF SENIOR EXECUTIVE CHAIR FOR USE OF ASSISTANT DISTRICT ENGINEER’S OF</t>
  </si>
  <si>
    <t xml:space="preserve"> Republic of the Philippines CITY OF LAPU-LAPU BIDS AND AWARDS COMMITTEE Invitation to Bid FOR THE PROCUREMENT of MEDICINES &amp; MEDICAL SUPPLIES The City of Lapu-Lapu through the MOOE FUND 9998-5-02-03-080 intends to apply the sum of One Million Two Hundred </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</si>
  <si>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</si>
  <si>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</si>
  <si>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</si>
  <si>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</si>
  <si>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</si>
  <si>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</si>
  <si>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</si>
  <si>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</si>
  <si>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</si>
  <si>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</si>
  <si>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Roofing Works</t>
  </si>
  <si>
    <t xml:space="preserve"> Road widening with canal, and curb &amp; gutter</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</si>
  <si>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</si>
  <si>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</si>
  <si>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</si>
  <si>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Const. supply &amp; Materials for the Const. of Argao Road Item	Quantity	Unit of	Item Description	 No.		Issue		 				 1	170	bgs	Portland Cement 40 kg	 2	18	cu.m.	Sand	 3	20	cu.m.	Gravel	 4	60	bd.ft	10 pcs. 1 x 6 x 12 coco lumber	 5	10	kg	CW nails, assorted	 Re</t>
  </si>
  <si>
    <t xml:space="preserve"> Tiglawigan Elementary School are inviting bidders to bid for the Materials for Repair and Provision of Additional Hand washing Facilities amounting of 25,325.00</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</si>
  <si>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</si>
  <si>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</si>
  <si>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</si>
  <si>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Availability in Cargo Bed Sizes in length      :   10 ft long Color options                                            :   any color except white Valves                                                     :    8 Gearbox details                            </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</si>
  <si>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</si>
  <si>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Construction of Rainwater Collection System (RWCS)</t>
  </si>
  <si>
    <t xml:space="preserve"> Repair/Maintenance of DPWH Building Super Area (Storage Room)</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</si>
  <si>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</si>
  <si>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Repainting of Concrete Bridges</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</si>
  <si>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</si>
  <si>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</si>
  <si>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1.  10 PCS HEAD LAMP 2.    3 PCS SAFETY HARNESSWITH SKULL GUARD 3.   1 SET ANGLE GRINDER WITH DISC FOR METAL, WOOD AND CONCRETE 4.   4 CAMPING WATER PROOF TENT 5.   2 SETS BP APPARATUS 6.   1 UNIT VAWC FILING CABINET 7.   1 UNIT PRINTER</t>
  </si>
  <si>
    <t xml:space="preserve"> Repair/Maintenance of DPWH Building, Langogan Resthouse</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</si>
  <si>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</si>
  <si>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RFQ for the School and Office Supplies</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</si>
  <si>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</si>
  <si>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</si>
  <si>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</si>
  <si>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</si>
  <si>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</si>
  <si>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</si>
  <si>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</si>
  <si>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</si>
  <si>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</si>
  <si>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</si>
  <si>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</si>
  <si>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</si>
  <si>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</si>
  <si>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</si>
  <si>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</si>
  <si>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</si>
  <si>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</si>
  <si>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</si>
  <si>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</si>
  <si>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</si>
  <si>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</si>
  <si>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</si>
  <si>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</si>
  <si>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</si>
  <si>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</si>
  <si>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</si>
  <si>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</si>
  <si>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</si>
  <si>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</si>
  <si>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</si>
  <si>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</si>
  <si>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</si>
  <si>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2 UNITS ECO SEPTIC TANK) PROVISION AND INSTALLATION OF ECO-SEPTIC TANK FOR 10 HOUSEHOLDS IN BRGY. LA FLORA, TALACOGON. ADS</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</si>
  <si>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</si>
  <si>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Aggregates 1178 cu.m aggregates</t>
  </si>
  <si>
    <t xml:space="preserve"> 2 LENGTHS GI PIPE, ETC. FOR THE ESTABLISHMENT OF 1 RCA AT SITIO BACLISE, BARANGAY ANGAS, STA. JOSEFA, ADS</t>
  </si>
  <si>
    <t xml:space="preserve"> 2 lengths GI Pipe etc.</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</si>
  <si>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</si>
  <si>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1515 SQM. HIGH DESITY POLYETHYLENE (HDPE) LINER) PROCUREMENT AND PROVISION OF HDPE LINER FOR THE CONTRUCTION OF  MINERAL PROCESSING PLANT TAILINGS POND LINING OF CMPZ</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</si>
  <si>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</si>
  <si>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</si>
  <si>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</si>
  <si>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1.	The Development Bank of the Philippines (DBP) intends to apply the sum of Two Hundred One    Million Three Hundred Ninety-Eight Thousand Nine Hundred Sixty -Two and 47/100 Pesos                             (P201,398,962.47) as the Approved Budget for t</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</si>
  <si>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</si>
  <si>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2 Lengths GI Pipe, etc.</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</si>
  <si>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</si>
  <si>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</si>
  <si>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</si>
  <si>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Please see attached docs.</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</si>
  <si>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</si>
  <si>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Delivery and Supply of Construction Materials</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</si>
  <si>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</si>
  <si>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</si>
  <si>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</si>
  <si>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Bid-Opening-July 14, 2020 at 2:00 p.m. at Municipal Conference Room</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</si>
  <si>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</si>
  <si>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</si>
  <si>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Const. of Slope Protection</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</si>
  <si>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</si>
  <si>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</si>
  <si>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</si>
  <si>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</si>
  <si>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</si>
  <si>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this serves as second posting for the second bidding of brgy bagong silang 3 labo project.</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</si>
  <si>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</si>
  <si>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</si>
  <si>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</si>
  <si>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</si>
  <si>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</si>
  <si>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</si>
  <si>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MUNICIPALITY OF BORBON DESCRIPTION: 60 VIALS VAXIRAB N SOLUTION FOR INJECTION 25 VIALS EQUIRAB SOLUTION FOR INJECTION</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</si>
  <si>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</si>
  <si>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</si>
  <si>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</si>
  <si>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</si>
  <si>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BLGU-STAFE-AL-G-01-2020 PURCHASE/INSTALLATION SOLAR STREET LIGHT BRGY. STA. FE, ABUYOG, LEYTE</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</si>
  <si>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</si>
  <si>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COSTRUCTION OF HANDWASHING FACILITY</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</si>
  <si>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</si>
  <si>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</si>
  <si>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</si>
  <si>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1 9 REAM/S PAPER - BOND-SUBS.16,LONG (8 1/2"X13") 2 6 REAM/S PAPER - BOOK A4,210MMX297MM,MIN OF 70GSM 3 6 REAM/S PAPER - BOOK LEGAL,216MMX330MM(8-1/2"X13"),MIN OF 70GSM 4 5 ROLL/S TAPE - MASKING #1 5 10 PC/S BALLPEN - ORDINARY, BLACK 6 10 PC/S BALLPEN - O</t>
  </si>
  <si>
    <t xml:space="preserve"> Weaving Looms, 50" x 50" and warping PGO</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</si>
  <si>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</si>
  <si>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Bid-Opening-July 14, 2020 at 2:00 p.m at Municipal Conference Room</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</si>
  <si>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</si>
  <si>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Const./Rehab. of Rain Water Collector</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</si>
  <si>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</si>
  <si>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</si>
  <si>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MULTI PURPOSE  VEHICLE           1 UNIT Overall (LxWxH) Maximum of: 4,435mm x 1,695mm x 1,705mm Wheelbase  :  Maximum 2,700mm: Size 16in; Wheel Type: Alloy Engine Type:    1.5 Gasoline Displacement:   1,499cc Maximum Output: 102hp@6,000rpm Maximum Torque:</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</si>
  <si>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</si>
  <si>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1665 cu.m aggregates</t>
  </si>
  <si>
    <t xml:space="preserve"> 3926 cu.m. Aggregates</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</si>
  <si>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</si>
  <si>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909		pcs	Mono block Chair</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</si>
  <si>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</si>
  <si>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INSTALLATION OF SOLAR STREET LIGHTS</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</si>
  <si>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</si>
  <si>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purchase of materials &amp; installation of Solar streetlights of the Barangay</t>
  </si>
  <si>
    <t xml:space="preserve"> Republic of the Philippines ANGELES CITY WATER DISTRICT Pampang Road, Brgy. Lourdes Northwest, Angeles City   (045) 458-0384; (045) 458-0382; (045) 458-0372  (045)322-6422; (045)458-0371, Fax No.: (045)322-6926 E-mail address:  angelescitywd@gmail.com Web</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</si>
  <si>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</si>
  <si>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Please see attached purchase request</t>
  </si>
  <si>
    <t xml:space="preserve"> CONSTRUCTION OF POTABLE WATER SYSTEM LEVEL II WITH 1 UNIT 2X2X2 30M CONCRETE RESERVOIR AND 4 UNITS COMMUNAL FAUCET.</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</si>
  <si>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</si>
  <si>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</si>
  <si>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</si>
  <si>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</si>
  <si>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</si>
  <si>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Continuation of Barangay hall rehabilitation at P-2 Camote, Barangay Maon, Butuan City.</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</si>
  <si>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</si>
  <si>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1-unit-Service Van; brand new; white					           Overall Dimensions: 5,265 x 1,950 x 1,990 mm; Wheelbase:					           3,860mm; Seating Capacity: 12; Engine Type: 4 Cylinders,					           In-line Type 16-Valve DOHC; Engine Displacement: 2,755cc			</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</si>
  <si>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</si>
  <si>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</si>
  <si>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PROJECT NAME : REBLOCKING OF MUNICIPAL ROAD AND RECONSTRUCTION OF SLOPE PROTECTION PROJECT LOCATION : BRGY CALERO, JOSE PANGANIBAN, CAMARINES NORTE ABC : PHP 400,000.00 DURATION : 74 DAYS SOURCE OF FUND : 20% CDF 2020</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</si>
  <si>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</si>
  <si>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Supply and Delivery of One (1) Unit Multi Cab (Rebuilt/Reconditioned), Ugac Sur, Tuguegarao City</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</si>
  <si>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</si>
  <si>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</si>
  <si>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</si>
  <si>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</si>
  <si>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</si>
  <si>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164	sacks	Rice for consumption of AFP</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</si>
  <si>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</si>
  <si>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Barangay Apalit Floridablanca Pampanga</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</si>
  <si>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</si>
  <si>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</si>
  <si>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</si>
  <si>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</si>
  <si>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I. Steel and Roofing Works ( includes trusses and pre-painted long span roof) II. Masonry Works with plastering</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</si>
  <si>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</si>
  <si>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</si>
  <si>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NOTICE OF INVITED CONSULTANTS AND REQUEST FOR PROPOSALS (RFP)  (NEGOTIATED PROCUREMENT – Small Value Procurement) 1.	AUGUSTO B. AGOSTO      Proprietor   AA+ APPRAISAL AND       CONSULTANCY INC.    48 Paseo del Sol Baseline      Compound, Juana Osmena,    </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</si>
  <si>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</si>
  <si>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ITEM NO.      ITEM OF WORK                                                           UNIT        QUANTITY      1            STREET LIGHTS POSTS WITH CONCRETE PEDESTAL        UNIT             6      2            ELECTRICAL WIRES                            </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</si>
  <si>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</si>
  <si>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4 bags pre starter feed, 50 kgs etc. OPAG</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</si>
  <si>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</si>
  <si>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</si>
  <si>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</si>
  <si>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</si>
  <si>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</si>
  <si>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Various Construction Materials and Supplies  (attached request for quotation)</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</si>
  <si>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</si>
  <si>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Please see attachment</t>
  </si>
  <si>
    <t xml:space="preserve"> BARANGAY MULTI PURPOSE CENTER CONSTRUCTION FOR VILLA ELIOT AT VILLA ELIOT, PATNONGON, ANTIQUE</t>
  </si>
  <si>
    <t xml:space="preserve"> 122   pcs   Pre- Paintec Rib Type Sheet 14'' .5 3,172   pcs   Tekscrew 18   pcs   Gutter 7   pcs   Pre-Painted Ridge Roll 14''</t>
  </si>
  <si>
    <t xml:space="preserve"> Demolition, Installation of Doors and windows, Floor Tiles and Repainting</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</si>
  <si>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</si>
  <si>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</si>
  <si>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4 units diamond core, drill bit PEO</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</si>
  <si>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</si>
  <si>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Lot 2 Supply &amp; Delivery of IT Equipment for the use of Procurement Unit</t>
  </si>
  <si>
    <t xml:space="preserve"> 1	set	Digital Repeater  	 	Dual Mode (DMR/Analog) Repeater System with  	 	Repeater Unit, Power Supplies, Tower, Antennas, Cables,  	 	Lightning Surge Protectors, Connectors/ Adapters,   	 	Repeater Cabinet/ Enclosure, Other Accessories, System  	 	Design</t>
  </si>
  <si>
    <t xml:space="preserve"> CCTV camera &amp; accessories install within the vicinity of  barangay  Don Manuel</t>
  </si>
  <si>
    <t xml:space="preserve"> 2		unit	CONTAINER VAN (Class B Usable Twenty Footer Container Van.)</t>
  </si>
  <si>
    <t xml:space="preserve"> REPAIR AND MAINTENANCE OF BARANGAY HALL OF BRGY. MAPULO</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</si>
  <si>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</si>
  <si>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</si>
  <si>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</si>
  <si>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L   = 200.00m    W  = 1.00 m   T  = 0.15m TOTAL MATERIALS =  P 142, 426.00 TOTAL LABOR =  P 49, 774.00 Bagger Equipment  = P 7,800.00</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</si>
  <si>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</si>
  <si>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60		pc	2'' X 3'' X 12' Coco Lumber				 108		pc	2'' X 3'' X 10' Coco Lumber				 6		roll	Nylon # 16				 16		kilo	1 1/2'' CWN				 6		kilo	4'' CWN				 1		gal	Soil Poisoning 				 27		cu.m	 Washed Gravel 3/4				 246		bag	Portland Cement 				 19		cu.m	Washed San</t>
  </si>
  <si>
    <t xml:space="preserve"> 1 set  coring machine PEO</t>
  </si>
  <si>
    <t xml:space="preserve"> I UNIT 4D56 ENGINE WITH TRANSMISSION 1 UNIT RADIATOR 4 ROWS 1 UNIT COOLER (TURBO) 2 PCS ENGINE SUPPORT 2 PCS CABLE (SHIFTING)</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</si>
  <si>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</si>
  <si>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Brgy Apalit Floridablanca Pampanga</t>
  </si>
  <si>
    <t xml:space="preserve"> Apalit Floridablanca Pampanga</t>
  </si>
  <si>
    <t xml:space="preserve"> Diesel and Oil and Lubricants (attached request for quotation)</t>
  </si>
  <si>
    <t xml:space="preserve"> The project includes:  1. Project Billboard 2. Sub-grade Preparation 3. Embankment 4. Aggregate Base Course 5. PCCP</t>
  </si>
  <si>
    <t xml:space="preserve"> PROJECT TITLE : CONSTRUCTION OF MULTI-PURPOSE BUILDING (GEN SET HOUSING - PHASE I) PROJECT LOCATION : BRGY NORTH POBLACION, JOSE PANGANIBAN, CAMARINES NORTE DURATION : 80 DAYS ABC : 500,000.00 SOURCE OF FUND 20% CDF 2020</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</si>
  <si>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</si>
  <si>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attached RFQ for specifications</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</si>
  <si>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</si>
  <si>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The project includes: 1. Project Billboard 2. Roadway Excavation 3. Sub-Grade Preparation 4. Aggregate Base Course 5. PCCP 6. RCPC</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</si>
  <si>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</si>
  <si>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Supply &amp; Delivery of materials for the const. of 163Ln.m open channel drainage system at Purok 04, Malapat, Cordon, Isabela.</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</si>
  <si>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</si>
  <si>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Supply of Fuel of various DPWH Vehicles &amp; other Equipment for the 3rd Quarter CY 2020</t>
  </si>
  <si>
    <t xml:space="preserve"> food services</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</si>
  <si>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</si>
  <si>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</si>
  <si>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</si>
  <si>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</si>
  <si>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purchase</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</si>
  <si>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</si>
  <si>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</si>
  <si>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</si>
  <si>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trolling trash bin with barangay official names</t>
  </si>
  <si>
    <t xml:space="preserve"> PURCHASE OF GOODS FOR THE WATER SUPPLY OF THE BARANGAY</t>
  </si>
  <si>
    <t xml:space="preserve"> PROJECT TITLE : CONCRETING OF ACCESS ROAD (BRGY STA ELENA) PROJECT LOCATION : BRGY STA ELENA, JOSE PANGANIBAN, CAMARINES NORTE ABC : 400,000.00 DURATION : 71 DAYS SOURCE OF FUND : 20% CDF 2020</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</si>
  <si>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</si>
  <si>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</si>
  <si>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</si>
  <si>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110		pcs	Ballpen (Black) 				 15		pcs	Ballpen (Blue)				 4		packs	Battery AAA , 3pcs/pack				 103		reams	Bond Paper (A4) 80gsm Multicopy				 17		reams	Bond Paper (Legal) 80 gsm Multicopy				 2		reams	Bond Paper (Letter) 80gsm Multicopy				 2		reams	Bond P</t>
  </si>
  <si>
    <t xml:space="preserve"> TWO (2) UNITS MULTI-PURPOSE VEHICLE</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</si>
  <si>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</si>
  <si>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</si>
  <si>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CONSTRUCTION materials for the repair of Tanod Outpost</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</si>
  <si>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</si>
  <si>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</si>
  <si>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</si>
  <si>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</si>
  <si>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</si>
  <si>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</si>
  <si>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</si>
  <si>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</si>
  <si>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attached RFQ</t>
  </si>
  <si>
    <t xml:space="preserve"> l.	The MUNICIPALITY OF GUINAYANGAN, QUEZON, through  the  2020 MOOE    intends to apply the sum of  One Hundred Eighty Nine Thousand Eighty Pesos                                  (P 189,080.00) being the Approved Budget for the Contract (ABC) to payments </t>
  </si>
  <si>
    <t xml:space="preserve"> Concreting of Access Road to Police and Health Station Aggregate Base Course	 360.00 	 cu.m.  Portland Cement Concrete Pavement	 655.32 	 cu.m.  Structural Concrete	 39.00 	 cu.m.  Formworks	 840.00 	 sq.m  Sub-Project Billboard	 1.00 	 Unit</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</si>
  <si>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</si>
  <si>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</si>
  <si>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</si>
  <si>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Order/download attached Invitation to Bid and print-out Abstract of bids from Philgeps.</t>
  </si>
  <si>
    <t xml:space="preserve"> attached RFQ for the specifications</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</si>
  <si>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</si>
  <si>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</si>
  <si>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</si>
  <si>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</si>
  <si>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l.	The MUNICIPALITY OF GUINAYANGAN, QUEZON, through the  2020  MDF   intends to apply the sum of  One Hundred Forty Six Thousand Seven Hundred Fourteen  Pesos                                  (P 146,714.00) being the Approved Budget for the Contract (ABC)</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</si>
  <si>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</si>
  <si>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</si>
  <si>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1st Quarter Supply ( BUSCO CES) 2020</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</si>
  <si>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</si>
  <si>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</si>
  <si>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Construction of Multi-Purpose Building (New Building Phase I), Ugac Sur, Tuguegarao City</t>
  </si>
  <si>
    <t xml:space="preserve"> CONSTRUCTION OF TWO-STOREY, 6 CLASSROOMS SCHOOL BUILDING</t>
  </si>
  <si>
    <t xml:space="preserve"> please download bidding documents</t>
  </si>
  <si>
    <t xml:space="preserve"> 35 heads Piglets, black, mixed breed, 2 months old etc. OPAG</t>
  </si>
  <si>
    <t xml:space="preserve"> CONSTRUCTION OF 2-STOREY 4-CLASSROOMS AND 1-STOREY, 2-CL. CLASSROOMS SCHOOL BUILDINGS</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</si>
  <si>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</si>
  <si>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</si>
  <si>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</si>
  <si>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</si>
  <si>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</si>
  <si>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</si>
  <si>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</si>
  <si>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</si>
  <si>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</si>
  <si>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Date of Bidding: July 10,2020 Time of Bidding: 10:00 a.m Place of Bidding: Multi-Purpose Hall,Brgy.Sto.Rosario,Anilao,Iloilo 72 heads Piglets ( at least at the average of 10-12 kgs body weight)</t>
  </si>
  <si>
    <t xml:space="preserve"> Printing of Tarpaulin (COVID-19 Advocacy) 2 pcs printing of 8X6 Feet COVID-19 Advocacy Tarpaulin</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</si>
  <si>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</si>
  <si>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</si>
  <si>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item no.       quantity         unit              description  1.                    10             pcs.          electrical tape  2.                    100           pcs.          LED Bulb 9 watts  3.                    50             pcs.          recep</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</si>
  <si>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</si>
  <si>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Smart Mobile Load card worth 700.00 every month from August to December</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</si>
  <si>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</si>
  <si>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attached RFQ for the Specifications</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</si>
  <si>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</si>
  <si>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2 units of Epson printer to be used for the reproduction of Modules.</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</si>
  <si>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</si>
  <si>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</si>
  <si>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I. PURCHASE OF MATERIALS AND INSTALLATION OF LIGHTS 1 LOT</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</si>
  <si>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</si>
  <si>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</si>
  <si>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</si>
  <si>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QTY	UNIT	ITEM DESCRIPTION 		  92.29 	sq.m.	Siteworks  171.76 	sq.m.	Scaffolding &amp; Formworks  3,692.72 	kg/s	Steel Reinforcement Works  28.30 	cu.m.	Concrete Works  244.95 	sq.m.	Masonry Works  113.70 	sq.m.	Roof &amp; Roof Framing Works  12.81 	sq.m.	Fabricat</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</si>
  <si>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</si>
  <si>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Supply and Delivery of Materials to be used in Military, Police, and Security Equipment.</t>
  </si>
  <si>
    <t xml:space="preserve"> 1 1 PC/S INK - EPSON - CYAN T6642 2 1 PC/S INK - EPSON - MAGENTA T6643 3 1 PC/S INK - EPSON - YELLOW T6644 4 5 PC/S PEN - SIGN C4-BLACK 5 15 REAM/S PAPER - BOND,PG,A4,210MMX297MM,70GSM. 6 15 REAM/S PAPER - BOND,PG,LEGAL,216MMX330MM(8-1/2"X13") 70 GSM 7 50</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</si>
  <si>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</si>
  <si>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Please see attached documents.</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</si>
  <si>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</si>
  <si>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</si>
  <si>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5,000 pcs. BIRTHDAY CAKE</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</si>
  <si>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</si>
  <si>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</si>
  <si>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</si>
  <si>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</si>
  <si>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</si>
  <si>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</si>
  <si>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</si>
  <si>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MUNICIPALITY OF BORBON DESCRIPTION: 10,440 PACKS SQUASH MALUNGGGAY 24G PACK                       NUTRILOVE INSTANT DRY CEREAL (348) CHILDREN X 30 DAYS) 10,440 PACKS MILKY BANANA AND OATS 24G OPACK                      NUTRILOVE INSTANT DRY CEREAL  (348 C</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</si>
  <si>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</si>
  <si>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</si>
  <si>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Date of Bidding: July 10, 2020 Time of Bidding: 9:00 a.m Place of Bidding: Multi-Purpose Hall, Brgy. San Carlos,Anilao,Iloilo MATERIALS: 154	bags	Cement			 15	cu.m	Sand			 24	cu.m	Gravel			 188	pcs	RSB -12mmØx6m			 114	pcs	Rough Lumber 2"x2"x8"			 5	pcs	H</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</si>
  <si>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</si>
  <si>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</si>
  <si>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</si>
  <si>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</si>
  <si>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</si>
  <si>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School supplies and materials for MOOE2020 1st and 2nd quarter.</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</si>
  <si>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</si>
  <si>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Republic of the Philippines MUNICIPALITY OF MARIHATAG SURIGAO DEL SUR Bids and Awards Committee   INVITATION TO BID      COMPLETION OF VIEW DECK TREEPARK                                                                                                      </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</si>
  <si>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</si>
  <si>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QTY	UNIT	ITEM DESCRIPTION 		  20.13 	cu.m.	Concrete Works  139.24 	sq.m.	Masonry Works  124.80 	sq.m.	Roofing Works  14.00 	set/s	Installation of Doors  8.00 	sq.m.	Installation of Windows  1.00 	l.s.	Plumbing Works  1.00 	l.s.	Electrical Works  72.96 	sq</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</si>
  <si>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</si>
  <si>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</si>
  <si>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</si>
  <si>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Fabrication and installation of concrete road right-of-way markers.</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</si>
  <si>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</si>
  <si>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</si>
  <si>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</si>
  <si>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</si>
  <si>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REPAIR/REHABILITATION</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</si>
  <si>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</si>
  <si>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LOT NO.          PROPERTY LOCATION                                     CLOA NO                AREA (HA)  LOT NO. 1                    BRGY. HINAGOYONAN, CATUBIG, N. SAMAR     O-CLOA-1634          12.6450      2436                       BRGY. ANONGO, CATUB</t>
  </si>
  <si>
    <t xml:space="preserve"> Item			 No.	Qty	Unit	            Items/Description 			 1	7,225	cu m	Common borrow Item 104</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</si>
  <si>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</si>
  <si>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</si>
  <si>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purchase of  assorted Medical supplies, Health products and PPE's  chargeable to school MOOE's</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</si>
  <si>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</si>
  <si>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Zone 5 c/o Romano Compound Barangay Abella, Naga City</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</si>
  <si>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</si>
  <si>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</si>
  <si>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</si>
  <si>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</si>
  <si>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Movable Stage</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</si>
  <si>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</si>
  <si>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</si>
  <si>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</si>
  <si>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</si>
  <si>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</si>
  <si>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</si>
  <si>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</si>
  <si>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</si>
  <si>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repair /widening of brgy. road at sitio looban</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</si>
  <si>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</si>
  <si>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</si>
  <si>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widening of barangay road- sitio parang</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</si>
  <si>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</si>
  <si>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</si>
  <si>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</si>
  <si>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</si>
  <si>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INVITATION TO BID The DPWH Isabela 4th District Engineering Office through its Bids and Awards Committee (BAC), invites contractors to submit bids for the following Contract: Procurement ID / Contract ID			: 20BH0143 Contract Name/                        </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</si>
  <si>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</si>
  <si>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</si>
  <si>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ALBAY 3RD DISTRICT ENGINEERING OFFICE																											 Paulog, Ligao City																											 																											 INVITATION TO BID																											 																											 The DPWH - Albay 3rd District Engineering O</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</si>
  <si>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</si>
  <si>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</si>
  <si>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</si>
  <si>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</si>
  <si>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</si>
  <si>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INVITATION TO BID The DPWH Isabela 4th District Engineering Office through its Bids and Awards Committee (BAC), invites contractors to submit bids for the following Contract: Procurement ID / Contract ID			: 20BH0144 Contract Name/                        </t>
  </si>
  <si>
    <t xml:space="preserve"> PURCHASE</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</si>
  <si>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</si>
  <si>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</si>
  <si>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</si>
  <si>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</si>
  <si>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</si>
  <si>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</si>
  <si>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INVITATION TO BID The DPWH Isabela 4th District Engineering Office through its Bids and Awards Committee (BAC), invites contractors to submit bids for the following Contract: Procurement ID / Contract ID			: 20BH0145 Contract Name/                        </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</si>
  <si>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</si>
  <si>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</si>
  <si>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</si>
  <si>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National Power Corporation INVITATION TO BID PUBLIC BIDDING 2020-0138 1.	The NATIONAL POWER CORPORATION (NPC), through       its        approved       Corporate Budget of CY 2020 intends to apply   the   sum   of (Please see schedule below) being the Appr</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</si>
  <si>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</si>
  <si>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</si>
  <si>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</si>
  <si>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</si>
  <si>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</si>
  <si>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</si>
  <si>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Purchase of Laptop.   Specifications:       - S145-14IKB 81VB001UPH I3-7020, 8GB, 512GB SSD, MX110, WIN 10</t>
  </si>
  <si>
    <t xml:space="preserve"> SUPPLY &amp; INSTALLATION OF INDUSTRIAL CEILING FAN</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</si>
  <si>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</si>
  <si>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</si>
  <si>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</si>
  <si>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Republic of the Philippines City of Gapan Province of Nueva Ecija ------------------------------------------------------------------------------ Invitation to Bid for the Supply and Delivery of One (1) Unit Service Ambulance 1.	The City Government of Gapa</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</si>
  <si>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</si>
  <si>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</si>
  <si>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</si>
  <si>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</si>
  <si>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</si>
  <si>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</si>
  <si>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1 1 UNIT CAMERA - DIGITAL - Resolution: 16 MP - Sensor Type: CMOS - 16 megapixel High-Resolution 16x Zoom - High-Performance flash lamp 2 1 UNIT WATER DISPENSER - HOT &amp; COLD - Bottom load water dispenser</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</si>
  <si>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</si>
  <si>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TO CONSTRUCT STONE MASONRY SLOPE PROTECTION</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</si>
  <si>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</si>
  <si>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</si>
  <si>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IMPROVEMENT OF RHU II</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</si>
  <si>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</si>
  <si>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INVITATION TO BID FOR THE PROCUREMENT AND DELIVERY OF FUEL TO SUPPORT OPERATIONAL REQUIREMENTS  FOR COVID-19 AND OTHER ACTIVITIES FOR 2ND SEMESTER (RHQ, CAVITE, LAGUNA AND RIZAL) OF BFP REGION IV-A FOR CY 2020</t>
  </si>
  <si>
    <t xml:space="preserve"> 52 units double cubicle with mobile cabinet with 2 unit chairs</t>
  </si>
  <si>
    <t xml:space="preserve"> Please download the attached file (Associated Components) for the Bid Document.</t>
  </si>
  <si>
    <t xml:space="preserve"> To deliver and install 1 large electro mechanical siren  Specifications: sound rating:123 ±2dB(A) 1M(Wide ranged),electric motor:1.5Kw 220-240V AC,50/60Hz,Output Frequency:444/533±20Hz,Single or Multi Tone, with 60 cm*60cm*200cm Metal Housing</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</si>
  <si>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</si>
  <si>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</si>
  <si>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</si>
  <si>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</si>
  <si>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</si>
  <si>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</si>
  <si>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TO CONSTRUCT PCCP WITH STONE MASONRY AND CANAL</t>
  </si>
  <si>
    <t xml:space="preserve"> INVITATION TO BID FOR     ITB NO. 07-08-2020- GOODS                                       The Local Government Unit – Maramag, Bukidnon through the BIDS AND AWARDS COMMITTEE  (BAC) now invites bids for the herein mentioned project: Name of Project        </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</si>
  <si>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</si>
  <si>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REHABILITATION (Concreting) OF ACCESS ROAD LEADING TO TWS WATER SOURCE</t>
  </si>
  <si>
    <t xml:space="preserve"> TO CONSTRUCT BOX CULVERT IRRIGATION CANAL</t>
  </si>
  <si>
    <t xml:space="preserve"> Republic of the Philippines City of Gapan Province of Nueva Ecija -------------------------------------------------------------------------- Invitation to Bid for the Upgrading and Rehabilitation of Damaged Paved Roads and Drainage Canal 1.	The City Gover</t>
  </si>
  <si>
    <t xml:space="preserve"> Contract Labor and Materials for the Construction of Concrete Reservoir located at Sitio 27 - BLGU Kaligutan, Laak, Davao De Oro with an ABC of Php. 550,000.00</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</si>
  <si>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</si>
  <si>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</si>
  <si>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</si>
  <si>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</si>
  <si>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</si>
  <si>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</si>
  <si>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</si>
  <si>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</si>
  <si>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</si>
  <si>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</si>
  <si>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</si>
  <si>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56,827 BAGS - LOT 1: UREA FERTILIZER (46-0-0) @ 50KG/BAG GRANULES/PRILLED DELIVERED IN MUNICIPALITIES: OCCIDENTAL MINDORO - 16,461 ORIENTAL MINDORO - 37,448 ROMBLON - 1,432 MARINDUQUE - 1,486</t>
  </si>
  <si>
    <t xml:space="preserve"> LOT 11: 9,256 BAGS COMPLETE FERTILIZER (14-14-14) DELIVERED IN MUNICIPALITIES: OCCIDENTAL MINDORO - 9,256</t>
  </si>
  <si>
    <t xml:space="preserve"> INVITATION TO BID FOR THE PROCUREMENT AND DELIVERY OF FUEL TO SUPPORT OPERATIONAL REQUIREMENTS  FOR COVID-19 AND OTHER ACTIVITIES FOR 2ND SEMESTER (BATANGAS AND QUEZON) OF BFP REGION IV-A FOR CY 2020</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</si>
  <si>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</si>
  <si>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TO CONSTRUCT PCCP,STONE MASONRY AND RC BOX CULVERT</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</si>
  <si>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</si>
  <si>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</si>
  <si>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</si>
  <si>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</si>
  <si>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</si>
  <si>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</si>
  <si>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Department of Public Works and Highways (DPWH)												 													 	Contract ID		:	20GFB04									 	Contract Name		:	Purchase of Construction Materials for use in the Repair and Maintenance of National Road along Daang Maharlika, K0 513+(-544) - K0</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</si>
  <si>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</si>
  <si>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</si>
  <si>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(see bidding documents in the associated component for further project details)</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</si>
  <si>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</si>
  <si>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</si>
  <si>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</si>
  <si>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Construction of Canal and Pathway at Padilla Compound</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</si>
  <si>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</si>
  <si>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</si>
  <si>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</si>
  <si>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</si>
  <si>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</si>
  <si>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</si>
  <si>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</si>
  <si>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MUNICIPAL AGRICULTURE OFFICE Serbisyong Panghayopan                    	30,000.00 Training in Organic Agriculture Technology	20,000.00 MDRRM OFFICE MDRRMC Meeting                                                                   	20,000.00 Procurement of </t>
  </si>
  <si>
    <t xml:space="preserve"> QUANTITY 	UNIT 	DESCRIPTION                                                     	UNIT COST MUNICIPAL ENGINEERING OFFICE                               		IT Equipment                                                     	40,000.00 MENRO                      </t>
  </si>
  <si>
    <t xml:space="preserve"> at least 6.5" tall. Please see attached specifications.</t>
  </si>
  <si>
    <t xml:space="preserve"> Please see attached ITB and RFQ for Specifications</t>
  </si>
  <si>
    <t xml:space="preserve"> It includes: Dismantling/Chipping Works and Restoration; Supply and Installation of Airconditioning Units and Fan Coil Units; Fabrication and Installation of ACCU Steel Frames and Electrical Installation.</t>
  </si>
  <si>
    <t xml:space="preserve"> For Rehabilitation of Barangay Roads(Alegre, Eman and Tubod) Please see attached ITB and RFQ</t>
  </si>
  <si>
    <t xml:space="preserve"> Free school supplies</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</si>
  <si>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</si>
  <si>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</si>
  <si>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</si>
  <si>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QUANTITY 	UNIT         	DESCRIPTION                             	UNIT COST MUNICIPAL AGRICULTURE OFFICE                                  		Four Drawer Steer Cabinet (MAO)	35,000.00                                 		Office Table (MAO)                     	</t>
  </si>
  <si>
    <t xml:space="preserve"> Food Supplies Expenses</t>
  </si>
  <si>
    <t xml:space="preserve"> Office Supplies Expenses</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</si>
  <si>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</si>
  <si>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QUANTITY 	UNIT 	DESCRIPTION                   	UNIT COST MAO                              		Tire                                	6,400.00                           		Interior                      	2,400.00                               		Battery          </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</si>
  <si>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</si>
  <si>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Materials for the repair of 3 Door WatSan Comfort Room.</t>
  </si>
  <si>
    <t xml:space="preserve"> Purchase of materials used for repair and renovation of water system facilities.</t>
  </si>
  <si>
    <t xml:space="preserve"> Construction of Multi-Purpose Hall (Phase I) Rental of Equipment</t>
  </si>
  <si>
    <t xml:space="preserve"> Purchase of supplies to be used in printing modules to be given to pupils for their lesson.</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</si>
  <si>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</si>
  <si>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</si>
  <si>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One job Furnishing labor and Materials for the Installation of Brgy. Solar Street Lights (Phase2), Brgy. Poblacion Banate, Iloilo (42 units Post and Lighting)</t>
  </si>
  <si>
    <t xml:space="preserve"> Construction of concrete reservoir, 1 intake  box, installation of transmission and  distribution lines and construction of gate  valve and public faucet</t>
  </si>
  <si>
    <t xml:space="preserve"> Construction of 5.00m X 87.50m  X 0.20m PCCP; 2.00m X  34.30m X 0.20m PCCP to  include 2-1.5m X 12.00m  Concrete Retaining Wall, Box  Culvert and CHB Retaining Wall</t>
  </si>
  <si>
    <t xml:space="preserve"> 20CSM00101 - GEOTECHNICAL SUB SURFACE EXPLORATION: PACKAGE No. 2020-01, MLANG AND TULUNAN, NORTH COTABATO</t>
  </si>
  <si>
    <t xml:space="preserve"> Brgy Amambucale appropriate an amount for the construction of two waiting sheds  located at two different area of the brgy.</t>
  </si>
  <si>
    <t xml:space="preserve"> Upgrading of Wire in Junior High School</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</si>
  <si>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</si>
  <si>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Office supplies</t>
  </si>
  <si>
    <t xml:space="preserve"> Other Supplies and Materials Expenses</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</si>
  <si>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</si>
  <si>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Medical, Dental &amp; Laboratory Supplies</t>
  </si>
  <si>
    <t xml:space="preserve"> Purchase of supplies for modules to be given to pupils for their reference in school.</t>
  </si>
  <si>
    <t xml:space="preserve"> Purchase of supplies for pupils to be used for the opening of school year.</t>
  </si>
  <si>
    <t xml:space="preserve"> QUANTITY	UNIT 	DESCRIPTION                                        	UNIT COST SEEDS 3            	cans     	Calabaza Hybrid Suprema (50gms)         	2,265.00 3          	cans         	Water Melon Hybrid Sweet 18 (150 gms.)	3,405.00 20      	cans     	Eggpl</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</si>
  <si>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</si>
  <si>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</si>
  <si>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</si>
  <si>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Please download attached documents for complete details of the project.</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</si>
  <si>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</si>
  <si>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</si>
  <si>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VARIOUS SUPPLIES AND MATERIALS</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</si>
  <si>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</si>
  <si>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</si>
  <si>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</si>
  <si>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</si>
  <si>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The Brgy Council of Brgy. Amambucale agreed to Install 3 Jetmatic Pumps in different areas of the Brgy.</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</si>
  <si>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</si>
  <si>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</si>
  <si>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</si>
  <si>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</si>
  <si>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</si>
  <si>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</si>
  <si>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</si>
  <si>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</si>
  <si>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</si>
  <si>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</si>
  <si>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</si>
  <si>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</si>
  <si>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VEHICLE</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</si>
  <si>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</si>
  <si>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</si>
  <si>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</si>
  <si>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</si>
  <si>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</si>
  <si>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Item Description..............................................................Quantity...............................Unit of Issue Mobile Multi-Purpose Shredder with Diesel Engine......................1..........................................Unit Capaci</t>
  </si>
  <si>
    <t xml:space="preserve"> Republic of the Philippines PROVINCE OF AGUSAN DEL SUR Municipality of Sta. Josefa Invitation to Bid for   SJADS INFRA 20-03: CONSTRUCTION OF MUNICIPAL MRF (RCA) 				                         June 24, 2020 1.	The Municipality of Sta. Josefa through the aut</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</si>
  <si>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</si>
  <si>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</si>
  <si>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PB NO. 2020-042		 			 1.	1	lot	Enhancement of ICT Infrastructure with internet connectivity of SDO-San Pablo City. 			Lot 1: Enhancement 			• Structured Cabling 			• Data Center with servers and storage 			• Network Security 			• Office computing and othe</t>
  </si>
  <si>
    <t xml:space="preserve"> CONSTRUCTION OF ACCESS ROAD</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</si>
  <si>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</si>
  <si>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</si>
  <si>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1. 1 LOT - CONSTRUCTION MATERIALS - 599,382.00 he Complete Schedule of Activities are Listed as Fallows: 1. Submission of Letter of Intent &amp; Issuance of Bid Documents - July 3-15, 2020 @ 8:00am - 5:00pm 2. Opening of Bids - July 16, 2020 @ 09:00am @ Mun. </t>
  </si>
  <si>
    <t xml:space="preserve"> Item Description...........................................Quantity............................................Unit of Issue Motor Vehicle...................................................1.......................................................Unit Speci</t>
  </si>
  <si>
    <t xml:space="preserve"> The Local Government Unit of the Island Garden City of Samal, through the Supplemental Budget#1 (2020) intends to apply the sum of Two Million Eight Hundred Ninety Seven Thousand Nine Hundred Eighty Eight Pesos and Sixty Centavos (₱2,897,988.60) being the</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</si>
  <si>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</si>
  <si>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Billboard; Clearing and Excavation(Manual); Guardrails; Structural Concrete; Painting Works; Manual Hauling; Safety &amp; Health (Construction Health and safety Requirement); Equipment Requirement: Cargo/service truck; generator (diesel or gasoline); welding </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</si>
  <si>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</si>
  <si>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Attached herewith is the Request for Proposal and Terms of Reference.</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</si>
  <si>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</si>
  <si>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</si>
  <si>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</si>
  <si>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</si>
  <si>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</si>
  <si>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</si>
  <si>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</si>
  <si>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</si>
  <si>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</si>
  <si>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REQUEST FOR EXPRESSION OF INTEREST (REI) FOR THE CONSULTANCY SERVICES FOR THE GEOTECHNICAL INVESTIGATION OF CY 2020 PROJECTS 1.	The Department of Public Works and Highways, Rizal 1st District Engineering Office, through the RA 11465 REGULAR CURRENT, inten</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</si>
  <si>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</si>
  <si>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</si>
  <si>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</si>
  <si>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</si>
  <si>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</si>
  <si>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</si>
  <si>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</si>
  <si>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</si>
  <si>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</si>
  <si>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</si>
  <si>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</si>
  <si>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</si>
  <si>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</si>
  <si>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Project Description:		 			Type: Reinforced Boulder Dike		 			Length: 68 l.m.		 			Height: 4.10 l.m. (from River Bed)	 	 			CONTRACT COST:		 1.			SPECIAL ITEM-GENERAL CONDITION		 1.1	LOT	1	Mobilization/Demobilization		8,000.00 1.2	LOT	1	Temporary Facility </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</si>
  <si>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</si>
  <si>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</si>
  <si>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</si>
  <si>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</si>
  <si>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</si>
  <si>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</si>
  <si>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</si>
  <si>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item  100 CLEARING AND CRUBBING         101 REMOVAL OF STRUCTURES &amp; OBSTRUCTIONS         103 STRUCTURE EXCAVATION         105 SUB GRADE PREPARATION         201 AGGREGATE BASE COARSE         311 PORTLAND CEMENT CONCRETE PAVEMENT         500 STORM DRAINS   </t>
  </si>
  <si>
    <t xml:space="preserve"> SUPPLY &amp; DELIVERY OF MATERIALS</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</si>
  <si>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</si>
  <si>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2 lots I. Plastic Crate II. Plastic Bag</t>
  </si>
  <si>
    <t xml:space="preserve"> Issuance of Bid Documents Starts: June 24, 2020 Cost of Bid Document: Php 19,000.00 Venue of Dropping and Opening Bids: BAC Conference Room, Leyte SMED Center, Provincial Capitol Grounds, Tacloban City</t>
  </si>
  <si>
    <t xml:space="preserve"> SEE ATTACHED SPECS</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</si>
  <si>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</si>
  <si>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</si>
  <si>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</si>
  <si>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Provision of FArm Inputs =        Php 164,000.00 Provision of FArm Machineries =Php 280,000.00                                          _________________                                               Php 444,000.00</t>
  </si>
  <si>
    <t xml:space="preserve"> Issuance of Bid Documents Starts: June 24, 2020 Cost of Bid Document: Php 20,000.00 Venue of Dropping and Opening Bids: BAC Conference Room, Leyte SMED Center, Provincial Capitol Grounds, Tacloban City</t>
  </si>
  <si>
    <t xml:space="preserve"> Please see attached canvass (RFQ) form/TOR for complete specifications.</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</si>
  <si>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</si>
  <si>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MODULE PRINTING JHS FOR THEIR HANDOUTS</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</si>
  <si>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</si>
  <si>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MODULE PRINTING SHS FOR STUDENTS HANDOUTS</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</si>
  <si>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</si>
  <si>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ENGINE AND SPECIFICATIONS                                                         1GD-FTV-4 Cylinders, In-line Type, 16 -Valve DOHC, 2,755 cc, 176/3,400 Ps/Rpm, 420/1,400-2,600Nm/Rpm, 92.0x103.6mm, 15.6:1 compression ratio, Common Rail Type Fuel System, E</t>
  </si>
  <si>
    <t xml:space="preserve"> 50.0 LN.M. x 0.75M x 0.65M CHB Drainage Open Canal  Removal of Existing Structures  Structure Excavation (Common Soil) Foundation Fill Lined Canal</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</si>
  <si>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</si>
  <si>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</si>
  <si>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</si>
  <si>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Attahced herewith the Request for Proposal and Terms of Reference.</t>
  </si>
  <si>
    <t xml:space="preserve"> Attached herewith the Request for proposal and Terms of Reference.</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</si>
  <si>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</si>
  <si>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Repair / Maintenance of Multi-Purpose Building</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</si>
  <si>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</si>
  <si>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INVITATION TO BID The Municipality of Mutia through its Bids and  Awards Committee Invites  contractors to apply for eligibility and to bid for the project reflected hereunder; NAME OF PROJECT	:  Purchase of IT Equipment [MDRRMO] LOCATION   :  Mutia, Zamb</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</si>
  <si>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</si>
  <si>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INVITATION TO BID SUPPLY AND DELIVERY  OF ADDITIONAL SUPPLIES AND MATERIALS  FOR THE 2020 CENSUS OF POPULATION AND HOUSING (2020 CPH) 1.	The Philippine Statistics Authority – Regional Statistical Services Office II  (PSA-RSSO II), through the Fiscal Year </t>
  </si>
  <si>
    <t xml:space="preserve"> The Western Mindanao State University, through its Bids and Awards Committee (BAC), is inviting PhilGEPS registered suppliers to apply for eligibility and to submit bids for the item mentioned hereunder:  1.)	4	Bottles	Printer Ink (Brother DCP J100-LC539X</t>
  </si>
  <si>
    <t xml:space="preserve"> Republic of the Philippines PROVINCE OF AGUSAN DEL SUR Municipality of Sta. Josefa Invitation to Bid for   SJADS GOODS 20-11: PROCUREMENT OF IT EQUIPMENT 					   June 27, 2020 1.	The Municipality of Sta. Josefa through the following; a.	CY 2019 Non Office</t>
  </si>
  <si>
    <t xml:space="preserve"> BACKGROUND: Pursuant to Revenue Administrative Order 4 – 2019 dated June 18, 2019, prescribing the splitting of Revenue Region No. 7 – Quezon City to Revenue Region No. 7A – Quezon City and Revenue Region No. 7B – East NCR, redefining its area of jurisdic</t>
  </si>
  <si>
    <t xml:space="preserve"> Re-Bidding for the Supply, Installation and Commissioning of One (1) Unit Earthquake Recording Instrument (ERI)</t>
  </si>
  <si>
    <t xml:space="preserve"> Please see attached file for the terms of reference</t>
  </si>
  <si>
    <t xml:space="preserve"> Spl-1 - Removal of Damage Doors and Windows Spl-2 - Concrete Plastering (Smooth finish) Spl-3 - Painting Works Spl-4 - Doors and Windows</t>
  </si>
  <si>
    <t xml:space="preserve"> SUPPLY AND DELIVERY OF MATERIALS/SUPPLIES FOR OPERATION USE.</t>
  </si>
  <si>
    <t xml:space="preserve"> Convergence on Value Chain Enhancement for Rural Growth and Empowerment (Project ConVERGE) Terms of Reference (TOR) Position			:   Regional Knowledge Management Specialist (RKMS) Type of Engagement	:   Contract of Service Place of Assignment	:   Regional </t>
  </si>
  <si>
    <t xml:space="preserve"> The Western Mindanao State University, through its Bids and Awards Committee (BAC), is inviting PhilGEPS registered suppliers to apply for eligibility and to submit bids for the item mentioned hereunder:  1.)	18	Gallons	Enamel Paint - chocolate brown 			 </t>
  </si>
  <si>
    <t xml:space="preserve"> Spl-1 - Excavation Spl-2 - Concrete Works Spl-3 - Forms and Scaffoldings Spl-4 - G.I. Pipe Railings Spl-5 - Grouted Rip-Rap</t>
  </si>
  <si>
    <t xml:space="preserve"> INVITATION TO BID The Municipal Government of La Trinidad through the Bids and Awards Committee (BAC) invites contractors to bid for the hereunder project: Contract Reference No.: POW - 8751 - 2020 - PCO - 06 Name of Project: Rehabilitation of Municipal B</t>
  </si>
  <si>
    <t xml:space="preserve"> Issuance of Bid Documents Starts: June 24, 2020 Cost of Bid Document: Php 9,500.00 Venue of Dropping and Opening Bids: BAC Conference Room, Leyte SMED Center, Provincial Capitol Grounds, Tacloban City</t>
  </si>
  <si>
    <t xml:space="preserve"> Supply and Delivery of CM for the construction of tire path @ Kellet -Ba-neng phase II</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</si>
  <si>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</si>
  <si>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Please quote us your lowest price inclusive of VAT on the items listed below.</t>
  </si>
  <si>
    <t xml:space="preserve"> Issuance of Bid Documents Starts: June 24, 2020 Cost of Bid Document: Php 4,500.00 Venue of Dropping and Opening Bids: BAC Conference Room, Leyte SMED Center, Provincial Capitol Grounds, Tacloban City</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</si>
  <si>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</si>
  <si>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</si>
  <si>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CONSTRUCTION OF ONE ROOM AT NARRA BARANGAY HEALTH CENTER, BRGY. NARRA, SAN MANUEL, PANGASINAN</t>
  </si>
  <si>
    <t xml:space="preserve"> 28,000 liters Fuel - Diesel 2,500 liters Fuel - Gasoline *********************************** Purpose: for maintenance of Garbage Trucks, Services Vehicles &amp; Heavy Equipments @ Office of the City General Services.</t>
  </si>
  <si>
    <t xml:space="preserve"> 27.5ft.X 34ft.</t>
  </si>
  <si>
    <t xml:space="preserve"> Issuance of Bid Documents Starts: June 24, 2020 Cost of Bid Document: Php 5,500.00 Venue of Dropping and Opening Bids: BAC Conference Room, Leyte SMED Center, Provincial Capitol Grounds, Tacloban City</t>
  </si>
  <si>
    <t xml:space="preserve"> CONSTRUCTION OF FIVE-STOREY COLLEGE OF EDUCATION LABORATORY BUILDING (Phase II) MSU-IIT PROPERTY, Hinaplanon, Iligan City 1.	The MSU-Iligan Institute of Technology, through the GAA funds Year 2020 intends to apply the sum of SEVENTY FIVE MILLION PESOS ONL</t>
  </si>
  <si>
    <t xml:space="preserve"> Issuance of Bid Documents Starts: June 24, 2020 Cost of Bid Document: Php 6,000.00 Venue of Dropping and Opening Bids: BAC Conference Room, Leyte SMED Center, Provincial Capitol Grounds, Tacloban City</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</si>
  <si>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</si>
  <si>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Chicken cut, thigh Chicken cut, breast Chicken cut, wings Chicken cut, drumstick Eggs, large Hotdog, regular size with cheese</t>
  </si>
  <si>
    <t xml:space="preserve"> Issuance of Bid Documents Starts: June 24, 2020 Cost of Bid Document: Php 10,000.00 Venue of Dropping and Opening Bids: BAC Conference Room, Leyte SMED Center, Provincial Capitol Grounds, Tacloban City</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</si>
  <si>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</si>
  <si>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Republic of the Philippines          City of Dumaguete Bids and Awards Committee INVITATION TO BID FOR PURCHASE REQUEST OF 1 ROLL #14 THW WIRE-BLACK AND OTHER ITEMS 	The City of Dumaguete thru its BIDS AND AWARDS COMMITTEE (BAC), invites all interested ma</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</si>
  <si>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</si>
  <si>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Issuance of Bid Documents Starts: June 24, 2020 Cost of Bid Document: Php 3,500.00 Venue of Dropping and Opening Bids: BAC Conference Room, Leyte SMED Center, Provincial Capitol Grounds, Tacloban City</t>
  </si>
  <si>
    <t xml:space="preserve"> Issuance of Bid Documents Starts: June 24, 2020 Cost of Bid Document: Php 7,000.00 Venue of Dropping and Opening Bids: BAC Conference Room, Leyte SMED Center, Provincial Capitol Grounds, Tacloban City</t>
  </si>
  <si>
    <t xml:space="preserve"> 30 Piece Hazmat suit M/L Colored 100 Piece Isolation Gown 1 Roll Compound Crystal Film 6 FTX100 Meters Clear 12 Set Garbage Bins, Med Foot-Pressed 1 Pack Garbage Bags Med Green 100's 1 Pack Garbage Bags Med Black 100's 1 Pack Garbage Bags Med Yellow 100's</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</si>
  <si>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</si>
  <si>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Issuance of Bid Documents Starts: June 24, 2020 Cost of Bid Document: Php 5,000.00 Venue of Dropping and Opening Bids: BAC Conference Room, Leyte SMED Center, Provincial Capitol Grounds, Tacloban City</t>
  </si>
  <si>
    <t xml:space="preserve"> Republic of the Philippines PROVINCE OF AGUSAN DEL SUR Municipality of Sta. Josefa Invitation to Bid for   SJADS INFRA 20-05: COMPLETION OF MOTORPOOL 				                         June 27, 2020 1.	The Municipality of Sta. Josefa through the authorized appr</t>
  </si>
  <si>
    <t xml:space="preserve"> SPECIFICATIONS: RECONDITIONED MULTI-PURPOSE CAB/PICK-UP 0.7 LITER OR HIGHER CYLINDER SHOC GASOLINE ENGINE 64HP AND 90Nm OF TORQUE MANUAL TRANSMISSION NEWLY PAINTED/UPHOLSTERED NEW BATTERY NEW TIRES WITH RESERVE AND MAGS RIM BASIC TOOLS LTO REGISTERED IN T</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</si>
  <si>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</si>
  <si>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</si>
  <si>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INVITATION TO BID The Department of Public Works and Highways (DPWH), Cavite 3rd District Engineering Office, Carmona, Cavite through its Bids and Awards Committee (BAC), invites contractors to submit bids for the following Contract: 8. Contract I.D. No.:</t>
  </si>
  <si>
    <t xml:space="preserve"> INVITATION TO BID The municipal government of Romblon through its Bids and Awards Committee (BAC) invites PhilGEPS registered suppliers to apply to bid for the Rehabilitation of LGU Owned Potable Water System.</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</si>
  <si>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</si>
  <si>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</si>
  <si>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</si>
  <si>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</si>
  <si>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5 pcs 7-5 x R15 Tire Heavy Duty</t>
  </si>
  <si>
    <t xml:space="preserve"> DRUGS AND MEDICINE SUPPLY SMOKING CESSATION CLINIC 2020 NATIONAL TUBERCULOSIS PROGRAM ANTE-NATAL CARE DOH LICENSING 2020</t>
  </si>
  <si>
    <t xml:space="preserve"> QTY  UNIT  DESCRIPTION 5143.72 liters Diesel Fuel</t>
  </si>
  <si>
    <t xml:space="preserve"> Hardware Materials &amp; Supplies</t>
  </si>
  <si>
    <t xml:space="preserve"> See attached document, print Bid Notice Abstract and download ITB No. GOODS-20-115.</t>
  </si>
  <si>
    <t xml:space="preserve"> LABORATORY REAGENTS AND SUPPLY FAMILY PLANNING 2020 HYPERTENSIVE AND DIABETIC CLUB MEETING 2020 NATIONAL TUBERCULOSIS PROGRAM\FACILITY BASED DELIVERY</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</si>
  <si>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</si>
  <si>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</si>
  <si>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1	260	bags	Portland Cement 2	32	cu.m.	Screened Gravel 3	16	cu.m.	Washed Sand 4	222	pcs	10mmΦx 6m RSB 5	10	kls.	#16 Tie Wire 6	30	pcs.	2"x4"x10' Cocolumber 7	10	pcs.	2"x3"x10' Cocolumber 8	3	kls.	4" CW Nails</t>
  </si>
  <si>
    <t xml:space="preserve"> Catering Services and Accommodation (40 pax) (3 Days) 6 Snacks and 7 Meals Start: AM Snacks End: PM Snacks Location: Brgy. Malitubog, Bao, &amp; Polayagan of Alamada &amp; Brgy. Malagap of Banisilan, Cotabato</t>
  </si>
  <si>
    <t xml:space="preserve"> Staking &amp; Formworks  Earth Works Concrete Works Steel Works</t>
  </si>
  <si>
    <t xml:space="preserve"> Construction Materials &amp; Supplies</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</si>
  <si>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</si>
  <si>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Concreting of 80mx2mx.15m</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</si>
  <si>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</si>
  <si>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PURCHASE OF THE MATERIALS FOR THE INSTALLATION OF PANEL STREET LIGHTS OF BARANGAY MINSAPINIT GINGOOG CITY MISAMIS ORIENTAL.</t>
  </si>
  <si>
    <t xml:space="preserve"> Equipment for materials movement.</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</si>
  <si>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</si>
  <si>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</si>
  <si>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Concreting of 120mx2mx.15m</t>
  </si>
  <si>
    <t xml:space="preserve"> 7.50mX6.00m</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</si>
  <si>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</si>
  <si>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Supply and delivery of various medicines for Birthing Facility, RHU, Zumarraga, Samar</t>
  </si>
  <si>
    <t xml:space="preserve"> 6 rolls  Speaker Wire # 16 6 kls.  Nylon #300 50 mtrs  Nylon Rope #10 5 rolls Electrical Tape</t>
  </si>
  <si>
    <t xml:space="preserve"> 1.    18      bots.      Hemorrhagic Septicemia 2.    95      ltrs.        Albendazole (de-wormer) 3.    400    vials       Anti-rabies 4.    10      boxes     Norfloxacine 20 grams 5.    5        boxes     Cotrimoxazole 6.    3        boxes     Amoxicill</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</si>
  <si>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</si>
  <si>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ABC AMOUNT      Php 100,000.00</t>
  </si>
  <si>
    <t xml:space="preserve"> Concreting of 40mx2.5mx.15m</t>
  </si>
  <si>
    <t xml:space="preserve"> CHAMP Support Program.</t>
  </si>
  <si>
    <t xml:space="preserve"> 275sqm.x.15m Concrete Pavement</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</si>
  <si>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</si>
  <si>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</si>
  <si>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</si>
  <si>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175mx 2mx.15m Concrete Pavement</t>
  </si>
  <si>
    <t xml:space="preserve"> Republic of the Philippines PROVINCE OF ZAMBOANGA DEL NORTE Municipality of Sibutad BIDS AND AWARDS COMMITTEE 					                                                                                                                    June 24, 2020 INVITATION</t>
  </si>
  <si>
    <t xml:space="preserve"> No.	"ITEM DESCRIPTION  (ITEM NAME &amp; TECHNICAL SPECIFICATIONS)"	QTY.	UNIT	UNIT COST	APPROVED BUDGET OF CONTRACT (ABC)	 						 	Facilitator, Documentor and Writer for	1	lot	₱100,000.00	 Php100,000.00 	 	the multi-stakeholder processes to fine-				    	 	tun</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</si>
  <si>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</si>
  <si>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</si>
  <si>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</si>
  <si>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</si>
  <si>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Please see attached RFQ. You may also visit our website at www.jhmc.com.ph for more procurement opportunities. Thank you.</t>
  </si>
  <si>
    <t xml:space="preserve"> For more inquiries please contact Engr. Joseph Heraldo BAC Chairman BAC Office Barangay Talisoy Jomalig Quezon 09463286983</t>
  </si>
  <si>
    <t xml:space="preserve"> 2,100 PCS 4" CHB 36 PCS 9 MM RSB 50 PCS 10MM RSB 98 BAGS PORTLAND CEMENT  8 KLS TIE WIRE  4 CU.M RIVER SAND 8 CU.M MIXED AGGREGATES</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</si>
  <si>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</si>
  <si>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</si>
  <si>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</si>
  <si>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</si>
  <si>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Concreting of 65mx3mx.15m</t>
  </si>
  <si>
    <t xml:space="preserve"> 2 units Multi-Shredder Pulveriser Machine</t>
  </si>
  <si>
    <t xml:space="preserve"> Concreting of 45mx3mx.15m</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</si>
  <si>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</si>
  <si>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Republic of the Philippines                                                        Province of Batangas                                                   Nasugbu, Batangas                                                                                    </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</si>
  <si>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</si>
  <si>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</si>
  <si>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50sqm.x.15m Concrete pavement</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</si>
  <si>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</si>
  <si>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Purchase of electrical supplies</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</si>
  <si>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</si>
  <si>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</si>
  <si>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</si>
  <si>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</si>
  <si>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</si>
  <si>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</si>
  <si>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</si>
  <si>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Spareparts and Oil Lubricants for Municipal Vehicles</t>
  </si>
  <si>
    <t xml:space="preserve"> Veterinary Medical Supplies</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</si>
  <si>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</si>
  <si>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</si>
  <si>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Public Bidding Description of work to be done : Part A : Sub-base and Base Course Part B : Surface Courses</t>
  </si>
  <si>
    <t xml:space="preserve"> Structure Excavation, Subgrade Preparation, Aggregate Sub-base Course Concrete Class ‘A’, PCCP, Reinforcing Steel Bar (Drainage Canal), Excavation for Structure, Forms &amp; Scaffoldings</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</si>
  <si>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</si>
  <si>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</si>
  <si>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</si>
  <si>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UNIT	  DESCRIPTION		QUANTITY 105	Subgrade Preparation		 	A = 230m x 5.2m		 	Qty.= 1196 sq.m		 I- Equipment Rental:			 	1 Road Grader for 4 hours		 	1 Road Roller  for 4 hours		 			 II- Labor:			 	1 Foreman  for 0.5 day(s)		 	2 Laborers  for 0.5 day(s)		 	</t>
  </si>
  <si>
    <t xml:space="preserve"> 10    set   LAPTOP</t>
  </si>
  <si>
    <t xml:space="preserve"> Name of Contract: Construction of the Tanjay City Evacuation Center (Phase III) IAC Classification: Small "B" for Buildings PCAB Category "D" Duration: 120 Calendar Days Approved Budget for the Contract: Php 2,000,000.00 xxxxxxxxxxxxxxxx</t>
  </si>
  <si>
    <t xml:space="preserve"> 76         rolls        Adding Machine Tape 272       reams     Bond Paper (Long) S20 232       reams     Bond Paper (Short) S20 272       pcs         Brown Envelope long 196       pcs         Brown Envelope short 1560     pcs         Daily Time Record (D</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</si>
  <si>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</si>
  <si>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1. 1020 Unit - Monthly Preventive Maintenance of CCTV Cameras (120units x 12months) 2. 4 unit - CCTV Outdoor PTZ Dome, 5MP, 30x LENs, 150M</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</si>
  <si>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</si>
  <si>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</si>
  <si>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Location : Legazpi City, Albay Scope of Work : Painting Works of Existing Façade, Left and Right Elevations and Poles including Pedestals</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</si>
  <si>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</si>
  <si>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</si>
  <si>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Issuance of Bid Documents Starts: May 8, 2020 Cost of Bid Document: Php 3,500.00 Venue of Dropping and Opening Bids: BAC Conference Room, Leyte SMED Center, Provincial Capitol Grounds, Tacloban City</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</si>
  <si>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</si>
  <si>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</si>
  <si>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Concreting of 75mx3mx.15m</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</si>
  <si>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</si>
  <si>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299-contnr-Diesel Fuel (32L/Container) 17-L-Brake Fluid 1-pail-Grease 2-barrel-Oil 10 1-barrel-Gear Oil 1-barrel-Oil 40 4-units-Tire w/ flup 100x20 (Dumptruck) 20-units-Tire w/ flup 8.25x20 (Dumptruck)</t>
  </si>
  <si>
    <t xml:space="preserve"> I. Mobilzation II. CSHP III. Road Preparation A. Equipment B. Materials IV Portland Cement Concrete Pavement V. Equipment</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</si>
  <si>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</si>
  <si>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Sub grade Preparation, Aggregate Sub-base Course Concrete Class ‘A’, PCCP, Embankment, Excavation for Structure</t>
  </si>
  <si>
    <t xml:space="preserve"> Machinery and Equipment</t>
  </si>
  <si>
    <t xml:space="preserve"> WIDTH=1.4m, THICKNESS=0.10m, WITH INSTALLATION OF 30m DRAINAGE</t>
  </si>
  <si>
    <t xml:space="preserve"> Gasoline and Diesel</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</si>
  <si>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</si>
  <si>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</si>
  <si>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Aggregate Sub-base Course, Structure Excavation, Cleaning and  Reconditioning, Demolition/Removal of Existing Damage Concrete Class ‘A’, Reinforcing Steel Bar, Forms &amp; Scaffoldings</t>
  </si>
  <si>
    <t xml:space="preserve"> REQUEST FOR QUOTATION Date	:	June 23, 2020 Project Title	:	Supply and Delivery of Various Printed Forms ITB No.             	:	SV20-06-002ANG Approved Budget for the Contract (ABC)	:	Eighty Thousand Pesos (PhP80,000.00), VAT-Exclusive, Zero- Rated Transac</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</si>
  <si>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</si>
  <si>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Issuance of Bid Documents Starts: June 24, 2020 Cost of Bid Document: Php 3,000.00 Venue of Dropping and Opening Bids: BAC Conference Room, Leyte SMED Center, Provincial Capitol Grounds, Tacloban City</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</si>
  <si>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</si>
  <si>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</si>
  <si>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Improvement of One (1) Unit 2 storey-7.5m x 88.5m Municipal Public Market (slab, wall &amp; roofing)</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</si>
  <si>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</si>
  <si>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Issuance of Bid Documents Starts: June 24, 2020 Cost of Bid Document: Php 2,500.00 Venue of Dropping and Opening Bids: BAC Conference Room, Leyte SMED Center, Provincial Capitol Grounds, Tacloban City</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</si>
  <si>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</si>
  <si>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1. 35500 ltr - Diesel 2. 200 ltr - Hydraulic oil 10w 3. 600 ltr - Engine oil 15w-40 4. 200 ltr - Engine oil 40 5. 40 ltr - Gear oil #90 6. 300 ltr - Gear oil #140 7. 60 ltr - Break fluid 8. 60 ltr. - Coolant 9. 40 kg - Grease</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</si>
  <si>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</si>
  <si>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</si>
  <si>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</si>
  <si>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</si>
  <si>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</si>
  <si>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20M00080-Repair/Maintenance of DPWH Building (former Utility Building), DPWH Region 12 Compound, Corner Alunan-Mabini Street, Koronadal City, South Cotabato</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</si>
  <si>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</si>
  <si>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</si>
  <si>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</si>
  <si>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PURCHASE OF HOT ASPHALT 60/70 FOR MAINTENANCE SECTION, CDOC END DEO, MACABALAN, CAGAYAN DE ORO CITY</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</si>
  <si>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</si>
  <si>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</si>
  <si>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</si>
  <si>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</si>
  <si>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</si>
  <si>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</si>
  <si>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</si>
  <si>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Issuance of Bid Documents Starts: May 8, 2020 Cost of Bid Document: Php 2,500.00 Venue of Dropping and Opening Bids: BAC Conference Room, Leyte SMED Center, Provincial Capitol Grounds, Tacloban City</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</si>
  <si>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</si>
  <si>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</si>
  <si>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SAFETY SHOES</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</si>
  <si>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</si>
  <si>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</si>
  <si>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SUPPLY AND DELIVERY FOR THE INSTALLATION OF STREETLIGHTS</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</si>
  <si>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</si>
  <si>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</si>
  <si>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</si>
  <si>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</si>
  <si>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</si>
  <si>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CABLE CONTROL</t>
  </si>
  <si>
    <t xml:space="preserve"> LOT 10: 4,885 BAGS - CERTIFIED PALAY SEEDS INC. OF TRANSPORT COST VARIETIES: PSB Rc18, NSIC Rc160, Rc216, Rc218, Rc402 DELIVERED IN MUNICIPALITIES: ROMBLON - 2,885 MARINDUQUE - 2,000</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</si>
  <si>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</si>
  <si>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Issuance of Bid Documents Starts: June 24, 2020 Cost of Bid Document: Php 2,000.00 Venue of Dropping and Opening Bids: BAC Conference Room, Leyte SMED Center, Provincial Capitol Grounds, Tacloban City</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</si>
  <si>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</si>
  <si>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</si>
  <si>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Issuance of Bid Documents Starts: June 24, 2020 Cost of Bid Document: Php 2,000.00  Venue of Dropping and Opening Bids: BAC Conference Room, Leyte SMED Center, Provincial Capitol Grounds, Tacloban City</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</si>
  <si>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</si>
  <si>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ARGON GAS &amp; 2 other items</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</si>
  <si>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</si>
  <si>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</si>
  <si>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Construction of Masonry Drainage, Along National Highway, Namabbalan Norte, Tuguegarao City, Cagayan</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</si>
  <si>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</si>
  <si>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</si>
  <si>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</si>
  <si>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MULTI TESTER MULTIMEDIA</t>
  </si>
  <si>
    <t xml:space="preserve"> PURCHASE INDOOR CCTV  HIKVISION CAMERA 2MP FOR BRGY. NEW VISAYAS NOTE: Please see attached link below on Other Information for more reference.</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</si>
  <si>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</si>
  <si>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</si>
  <si>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</si>
  <si>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</si>
  <si>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ABSORBENT OIL-SPILL &amp; 6 other items</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</si>
  <si>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</si>
  <si>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I. MATERIALS 1 LOT II. LABOR  LUMPSUM III. ENERGY DEPOSIT (INSTALLATION &amp; INSPECTION FEE) LUMPSUM</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</si>
  <si>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</si>
  <si>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</si>
  <si>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DETERGENT &amp; 6 other items</t>
  </si>
  <si>
    <t xml:space="preserve"> FLUID &amp; 5 other items</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</si>
  <si>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</si>
  <si>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</si>
  <si>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</si>
  <si>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</si>
  <si>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</si>
  <si>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The Zamboanga del Norte 3rd District Engineering Office, through its Bids and Awards Committee (BAC), invites contractors to submit bids for the Contract:												 												 Contract ID:				20JD0109								 Contract Name:				Construction of 1 Unit T</t>
  </si>
  <si>
    <t xml:space="preserve"> TIRES</t>
  </si>
  <si>
    <t xml:space="preserve"> Individual Consultant for the Improvement and Project Management/Supervision on Repair of POPCOM CO/NCR/Region IV Building Complex and its Facilities Duration: July-December 2020 Please see attached Terms of Reference (TOR) Please attach quotation with th</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</si>
  <si>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</si>
  <si>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SAPALAN RIP CY 2020 PACKAGE 7:   Construction of 1-unit Sapalan Main Office Building</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</si>
  <si>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</si>
  <si>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</si>
  <si>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</si>
  <si>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Delivery Breakdown: RIARC, Alcate, Victoria, Oriental Mindoro</t>
  </si>
  <si>
    <t xml:space="preserve"> PURCHASE OUTDOOR CCTV HIKVISION OUTDOOR CCTV HEAVY DUTY FOR BRGY. NEW VISAYAS NOTE: PLEASE SEE ATTACHED LINK BELOW ON OTHER INFORMATION FOR MORE REFERENCE</t>
  </si>
  <si>
    <t xml:space="preserve"> CUTTING DISC &amp; 1 other item</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</si>
  <si>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</si>
  <si>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TALAYAN RIS EXTENSION PROJECT CY 2020: Construction of 2.6 km lined canal at sta. 1+600 to sta. 4+200 Lateral B Extension, 5-units Canal Structures and 2.6km Service Road with Road Surfacing at sta. 1+600 to sta. 4+200 Lateral B Extension.</t>
  </si>
  <si>
    <t xml:space="preserve"> 15 CU.M. DEMOLITION OF EXISTING STRUCTURE 398.2 KGS REBARS 40 SQ.M. FORMWORKS &amp; SCAFFOLDINGS 5.3 CU.M. CONCRETE WORKS 1 I.S ELECTRICAL WORKS 710 SQ.M. CEILING WORKS 718.2 SQ.M. PAINTING WORKS (CEILING) 1 LOT RAILINGS 194 SQ.M. ROOFING SYSTEM</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</si>
  <si>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</si>
  <si>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FUEL FILTERS/OIL FILTERS</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</si>
  <si>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</si>
  <si>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Provision of quality service to the constituents through availability of office supplies, equipment, uniforms, other supplies and the refurbishing of Barangay Poblacion SK Office.</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</si>
  <si>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</si>
  <si>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Name of Project:      1. Construction of Road Improvement of CM Recto &amp; Española Ave. with Solar Light  		           Component Phase IV  Location:                      Brgy., Cabinuangan,New Bataan, Davao De Oro Brief Description:                         </t>
  </si>
  <si>
    <t xml:space="preserve"> Issuance of Bid Documents Starts: June 24, 2020 Cost of Bid Document: Php 1,500.00 Venue of Dropping and Opening Bids: BAC Conference Room, Leyte SMED Center, Provincial Capitol Grounds, Tacloban City</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</si>
  <si>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</si>
  <si>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Delivery Breakdown: Abra de Ilog, Occidental Mindoro - 15 units Magsaysay, Occidental Mindoro - 6 units  Sta. Cruz, Occidental Mindoro - 2 units Rizal, Occidental Mindoro - 8 units San Jose, Occidental Mindoro - 4 units</t>
  </si>
  <si>
    <t xml:space="preserve"> PAINT ASSORTED COLORS for automotive</t>
  </si>
  <si>
    <t xml:space="preserve"> Construction of One (1) Unit 16m x 28.0 mMulti-Purpose/Evacuation Center</t>
  </si>
  <si>
    <t xml:space="preserve"> SUPPLY AND DELIVERY OF COCO PEAT FOR OFFICIAL USE OF MECHANIZED AND MODERNIZED FOREST NURSERY (MMFN) AT TRP, SAN JUAN DE VALDEZ, SAN JOSE, TARLAC</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</si>
  <si>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</si>
  <si>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AIR FILTER &amp; 2 other items</t>
  </si>
  <si>
    <t xml:space="preserve"> Issuance of Bid Documents Starts: May 8, 2020 Cost of Bid Document: Php 1,500.00 Venue of Dropping and Opening Bids: BAC Conference Room, Leyte SMED Center, Provincial Capitol Grounds, Tacloban City</t>
  </si>
  <si>
    <t xml:space="preserve"> BRAKE PADS/SHOE</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</si>
  <si>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</si>
  <si>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MAIN DOCUMENT</t>
  </si>
  <si>
    <t xml:space="preserve"> Issuance of Bid Documents Starts: June 24, 2020 Cost of Bid Document: Php 1,000.00 Venue of Dropping and Opening Bids: BAC Conference Room, Leyte SMED Center, Provincial Capitol Grounds, Tacloban City</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</si>
  <si>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</si>
  <si>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</si>
  <si>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</si>
  <si>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Improvement of MPP Training Center cum mess Hall to be used for isolation facility during Pandemic</t>
  </si>
  <si>
    <t xml:space="preserve"> One job furnishing labor and materials for the CONSTRUCTION OF THREE (3) – UNITS FARMER CENTERS AT BRGY. MERCED, BRGY.CARMELO &amp; BRGY.LIBERTAD, BANATE, ILOILO</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</si>
  <si>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</si>
  <si>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</si>
  <si>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Republic of the Philippines					 Province of Guimaras					 Municipality of Sibunag					 					 BIDS AND AWARDS COMMITTEE					 				June 23,2020	 					 REQUEST FOR QUOTATION					 ______________________________					 ______________________________					 _______</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</si>
  <si>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</si>
  <si>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Extension/Construction of SLR Covered Court as Evacuation Center</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</si>
  <si>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</si>
  <si>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</si>
  <si>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</si>
  <si>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</si>
  <si>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</si>
  <si>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</si>
  <si>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</si>
  <si>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</si>
  <si>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Purchase of one (1) unit Multi-purpose vehicle for conversion into a rescue vehicle, equipped with the necessary equipment and apparatus.</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</si>
  <si>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</si>
  <si>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</si>
  <si>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</si>
  <si>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</si>
  <si>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</si>
  <si>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</si>
  <si>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various general medicines</t>
  </si>
  <si>
    <t xml:space="preserve"> LASER</t>
  </si>
  <si>
    <t xml:space="preserve"> 1 UNIT GRASSCUTTER - . - w/ complete accessories and tools</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</si>
  <si>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</si>
  <si>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Republic of the Philippines					 Province of Guimaras					 Municipality of Sibunag					 					 BIDS AND AWARDS COMMITTEE					 				June  23,2020	 					 REQUEST FOR QUOTATION					 ______________________________					 ______________________________					 ______</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</si>
  <si>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</si>
  <si>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</si>
  <si>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Const. of one (1)public building.</t>
  </si>
  <si>
    <t xml:space="preserve"> 375 BAG/S PORTLAND CEMENT - with delivery at Municipal Warehouse - Type 1</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</si>
  <si>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</si>
  <si>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</si>
  <si>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Item No. 	Item Description					QTY.	Unit	Unit Price	Total Price 1	Digital / Analog Repaeater					1	lot		 	Specifications:								 	136-174Mhz, digital repeater system with built-in power supply, NTC license/engineering plan (1ch duplex), with the followin</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</si>
  <si>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</si>
  <si>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</si>
  <si>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</si>
  <si>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One job furnishing labor and materials for the CONSTRUCTION OF BULLETIN BOARD AND SIGNAGES, BANATE, ILOILO</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</si>
  <si>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</si>
  <si>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</si>
  <si>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</si>
  <si>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</si>
  <si>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</si>
  <si>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</si>
  <si>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</si>
  <si>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</si>
  <si>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</si>
  <si>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</si>
  <si>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</si>
  <si>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Please see attached associated components.</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</si>
  <si>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</si>
  <si>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</si>
  <si>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</si>
  <si>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</si>
  <si>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</si>
  <si>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1 10 PC/S CLEAR BOOK - LONG-40 SHEETS 2 2 ROLL/S DOUBLE SIDED TAPE - #2 3 15 PC/S FOLDER - LONG-PLASTIC THICK PINK 4 10 PC/S PEN - SIGN PEN BLACK-NO.0.3 5 10 PC/S PEN - SIGN PEN BLACK-0.4 6 4 PC/S MAGAZINE RACK - FOLDABLE BLUE-115mmx270mmx325mm</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</si>
  <si>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</si>
  <si>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</si>
  <si>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</si>
  <si>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CONCRETING OF BRGY. FMR</t>
  </si>
  <si>
    <t xml:space="preserve"> Road Opening</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</si>
  <si>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</si>
  <si>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Retaining Wall</t>
  </si>
  <si>
    <t xml:space="preserve"> PCCP (full width), Retaining Wall and Slope Protection</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</si>
  <si>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</si>
  <si>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PCCP (Full Width)</t>
  </si>
  <si>
    <t xml:space="preserve"> Grouted Riprap, PCCP (full width), Road Opening</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</si>
  <si>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</si>
  <si>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PCCP (Tirepath)</t>
  </si>
  <si>
    <t xml:space="preserve"> PCCP (Full width)</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</si>
  <si>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</si>
  <si>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Construction of Intake tank, Laying of HDPE Hose w/ Skyline and Anchor.</t>
  </si>
  <si>
    <t xml:space="preserve"> Concreting of Footpath</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</si>
  <si>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</si>
  <si>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Concreting of Ground, Concrete Canal, Steel Grills</t>
  </si>
  <si>
    <t xml:space="preserve"> Construction of Ramp w/ Railings, Drainage Canal, Concrete Pavement &amp; Steel Gate</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</si>
  <si>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</si>
  <si>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Concreting of Ground</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</si>
  <si>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</si>
  <si>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</si>
  <si>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</si>
  <si>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</si>
  <si>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</si>
  <si>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FOR THE DETAILS, YOU CAN SEND YOUR INQUIRY THRU EMAIL.  FOR THE SITE INSPECTION, YOU CAN DIRECTLY CONTACT: MR. R.L. VEGA, Jr., Division Manager-Agus 7 HEP</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</si>
  <si>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</si>
  <si>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PCCP (tirepath)</t>
  </si>
  <si>
    <t xml:space="preserve"> Grouted Riprap, PCCP</t>
  </si>
  <si>
    <t xml:space="preserve"> Extension of Building 2</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</si>
  <si>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</si>
  <si>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</si>
  <si>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Embankment, Road Clearing, Grouted Riprap, PCCP (Tirepath)</t>
  </si>
  <si>
    <t xml:space="preserve"> Grouted Riprap</t>
  </si>
  <si>
    <t xml:space="preserve"> PCCP (full width)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</si>
  <si>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</si>
  <si>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PCCP</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</si>
  <si>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</si>
  <si>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BIDS AND AWARDS COMMITTEE INVITATION FOR NEGOTIATIONS (TWO-FAILED BIDDINGS) 1.	 3M PHILIPPINES INC.      2.    LEXICON PRESS, INC.          3.   FORMS INTERNATIONAL                         Taguig City                          Quezon City                  </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</si>
  <si>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</si>
  <si>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PCCP (full width and tirepath)</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</si>
  <si>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</si>
  <si>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</si>
  <si>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Various Maintenance Medicines</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</si>
  <si>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</si>
  <si>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</si>
  <si>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Drainage Canal</t>
  </si>
  <si>
    <t xml:space="preserve"> Extension of Canal Wall, Grouted Riprap, Drainage Canal</t>
  </si>
  <si>
    <t xml:space="preserve"> Please download the attached documents or you may visit our website @www.prc.gov.ph</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</si>
  <si>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</si>
  <si>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Improvement of Water tank, Installation of G.I Pipe with Skyline and Anchor, Laying of Hose.</t>
  </si>
  <si>
    <t xml:space="preserve"> REPLACEMENT OF CEILING WITH PAINTING</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</si>
  <si>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</si>
  <si>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Road Rerouting, Grouted Riprap and Embankment</t>
  </si>
  <si>
    <t xml:space="preserve"> Roadway Excavation &amp; Grouted Riprap</t>
  </si>
  <si>
    <t xml:space="preserve"> PCCP (tirepath) and Spillway</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</si>
  <si>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</si>
  <si>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SWITCH 16 PORTS</t>
  </si>
  <si>
    <t xml:space="preserve"> WORK DESCRIPTION:                  a. Mechanical Aspect (Kapingkong Dam Rehabilitation Including Replacement of Steel Gates at Main Canal)					 	 a.1 Barrage Gate (Dam)			                               10	units 	 a.2 Intake Gates (Dam)			                 </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</si>
  <si>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</si>
  <si>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</si>
  <si>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Construction of Multi - Purpose Hall ( Phase I )</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</si>
  <si>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</si>
  <si>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</si>
  <si>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</si>
  <si>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</si>
  <si>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Handrails</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</si>
  <si>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</si>
  <si>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Concreting</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</si>
  <si>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</si>
  <si>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Grouted Riprap, Backfill</t>
  </si>
  <si>
    <t xml:space="preserve"> PCCP, Gate, Grouted Riprap, Tank</t>
  </si>
  <si>
    <t xml:space="preserve"> Open, Closed with Steel Grills Drainage Canal</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</si>
  <si>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</si>
  <si>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Concrete Footpath</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</si>
  <si>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</si>
  <si>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</si>
  <si>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PCCP, Grouted Riprap, Cross Drain with Grills &amp; Railings</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</si>
  <si>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</si>
  <si>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</si>
  <si>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</si>
  <si>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</si>
  <si>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</si>
  <si>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</si>
  <si>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</si>
  <si>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Repair of Barangay Hall</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</si>
  <si>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</si>
  <si>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1.1 Conduct Ocular Inspection 1.2 Field Verification of Lots</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</si>
  <si>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</si>
  <si>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</si>
  <si>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</si>
  <si>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</si>
  <si>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</si>
  <si>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Republic of the Philippines                                                    BARANGAY CITY HEIGHTS                                                        General Santos City                      								             INVITATION TO APPLY FOR ELIGIBILITY A</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</si>
  <si>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</si>
  <si>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for the construction of the Drainage and Pathwalk at Looban 1 Bayawas St. Zone 4, Abella, Naga City</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</si>
  <si>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</si>
  <si>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</si>
  <si>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</si>
  <si>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Attaching herewith RFP &amp; TOR</t>
  </si>
  <si>
    <t xml:space="preserve"> Attached herewith the RFP &amp; TOR</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</si>
  <si>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</si>
  <si>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</si>
  <si>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</si>
  <si>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</si>
  <si>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</si>
  <si>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</si>
  <si>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</si>
  <si>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</si>
  <si>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</si>
  <si>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1,418        PAXS            MEALS               150.00             212,700.00 906           PAXS            SNACKS              30.00              27,188.00                                                                         TOTAL: 239,880.00</t>
  </si>
  <si>
    <t xml:space="preserve"> Construction of City Health Office-Phase III NOTE:To all suppliers bid documents and BAC Resolution No. 2020-029 are available at BAC Office and LGU website.</t>
  </si>
  <si>
    <t xml:space="preserve"> Attached herewith Final RFP &amp; TOR</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</si>
  <si>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</si>
  <si>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</si>
  <si>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</si>
  <si>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</si>
  <si>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INVITATION TO BID FOR PROVISION OF MULTI-YEAR CONTRACT FOR THE HIRING OF SERVICE PROVIDER FOR TERMITE TREATMENT AND GENERAL PEST CONTROL OF DSWD CENTRAL OFFICE AND OTHER SATELLITE OFFICES                                                          FOR CY 202</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</si>
  <si>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</si>
  <si>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PB NO. 2020-040		 			 1.	1	lot	Proposed repair/rehabilitation of road including construction of drainage at Brgy. San Gabriel, San Pablo City. 			By: Contract 			 	Deadline for Submission of Bids: July 13, 2020 10:00 Am</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</si>
  <si>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</si>
  <si>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</si>
  <si>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</si>
  <si>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</si>
  <si>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</si>
  <si>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</si>
  <si>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15 units streetlights</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</si>
  <si>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</si>
  <si>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</si>
  <si>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</si>
  <si>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</si>
  <si>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 PLEASE FIND ATTACHED FILE *** ~nothing follows~</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</si>
  <si>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</si>
  <si>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</si>
  <si>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</si>
  <si>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</si>
  <si>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</si>
  <si>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Unit    Quantity Portland Cement	     bag	337 Washed Sand	             cum	18 Washed Gravel G-1	   cum	36 2"x4" 6m Steel Form	   length	10 10mmØ x 6m Corr Bar   length	208 Tie Wire#16	              kl	5</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</si>
  <si>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</si>
  <si>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Multi Purpose Vehicle etc.  NOTE:To all suppliers bid documents and BAC Resolution  2020-029 are available at BAC Office and LGU website.</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</si>
  <si>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</si>
  <si>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</si>
  <si>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</si>
  <si>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</si>
  <si>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</si>
  <si>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</si>
  <si>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</si>
  <si>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</si>
  <si>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ECG MACHINE WITH THERMAL PAPER</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</si>
  <si>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</si>
  <si>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</si>
  <si>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</si>
  <si>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</si>
  <si>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</si>
  <si>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</si>
  <si>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</si>
  <si>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</si>
  <si>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Request for Quotation RFQ No.		SVP-009-2020 MR No.		10067 Requisition No. 	MLS-20-028 Posting Date:         	June 16, 2020 Deadline for Submission:		June 22, 2020 at 9:00 AM Opening Date:	June 22, 2020, 2020 at 10:00 AM TO:	Name of Supplier:______________</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</si>
  <si>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</si>
  <si>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34mx24m</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</si>
  <si>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</si>
  <si>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</si>
  <si>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</si>
  <si>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CONSTRUCTION</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</si>
  <si>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</si>
  <si>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</si>
  <si>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</si>
  <si>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</si>
  <si>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EQUIPMENT RENTAL</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</si>
  <si>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</si>
  <si>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</si>
  <si>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Procurement and Delivery of Construction Supplies and Materials for the Concreting of San Isidro-Kibalus Road Location: Sitio Kibalus, Barangay San Isidro, Balingasag, Misamis Oriental</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</si>
  <si>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</si>
  <si>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The Energy Regulatory Commission (ERC), through the General Appropriations Act of 2020 intends to apply the sum of One Hundred Thousand Pesos (PhP100,000.00) being the Approved Budget for the Contract of the TrendMicro Interscan Messaging Security License</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</si>
  <si>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</si>
  <si>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</si>
  <si>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Repair/Maintenance/Rehabilitation of Building</t>
  </si>
  <si>
    <t xml:space="preserve"> Repair/Maintenance of Building</t>
  </si>
  <si>
    <t xml:space="preserve"> meter tape, 10 meter etc.</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</si>
  <si>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</si>
  <si>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</si>
  <si>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</si>
  <si>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</si>
  <si>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</si>
  <si>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</si>
  <si>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</si>
  <si>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a) Items and descriptions are specified in the approved PR and RFQ as posted in the associated component of PhilGEPS website.</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</si>
  <si>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</si>
  <si>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</si>
  <si>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Construction of Rainwater Collector System</t>
  </si>
  <si>
    <t xml:space="preserve"> toner Black, Epson 9731 etc.</t>
  </si>
  <si>
    <t xml:space="preserve"> 1 UNIT ELECTRIC FAN - STAND FAN</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</si>
  <si>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</si>
  <si>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delivery of materials, installation and other scope of work</t>
  </si>
  <si>
    <t xml:space="preserve"> Procurement and Delivery of Construction Supplies and Materials for the Concreting of Cesar-Calawag Road Location: Cesar-Calawag, Balingasag, Misamis Oriental</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</si>
  <si>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</si>
  <si>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Republic of the Philippines  Province of Iloilo Municipality of New Lucena                                                                                                               June 23, 2020                                                         </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</si>
  <si>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</si>
  <si>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</si>
  <si>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</si>
  <si>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</si>
  <si>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</si>
  <si>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</si>
  <si>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</si>
  <si>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</si>
  <si>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1 UNIT/S VEHICLE - PICK-UP - BLACK - 4X4 - AUTOMATIC TRANSMISSION - 2.2L-2.5L DIESEL ENGINE - 4 CYLINDER - WITH THE FOLLOWING - 01. LTO REGISTRATION ( 3 YRS. ) - 02.COMPREHENSIVE INSURANCE ( 1 YR. ) - 03.GLASS TINT - 04.FLOOR MAT - 05. SEAT COVER - 06. BE</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</si>
  <si>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</si>
  <si>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</si>
  <si>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</si>
  <si>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</si>
  <si>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Healthy Lifestyle (Provision of Total Blood Chemistry to all LGU Employee **PLEASE REFER TO THE ATTACHED PURCHASE REQUEST AT THE ASSOCIATED COMPONENTS SECTION FOR FURTHER DETAILS.</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</si>
  <si>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</si>
  <si>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1000 HILL/S PINE TREE - . - 700 Hills Norfolk Pine - Length : 2 ft. - 300 Hills Benguet Pine - Length: 2 ft.</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</si>
  <si>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</si>
  <si>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Watchman Services (March 2020-Dec.2020)</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</si>
  <si>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</si>
  <si>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LAPTOP USE AT THE OFFICE OF THE MUNICIPAL CIVIL REGISTRAR **PLEASE REFER TO THE ATTACHED PURCHASE REQUEST AT THE ASSOCIATED COMPONENTS SECTION FOR FURTHER DETAILS.</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</si>
  <si>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</si>
  <si>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CONSTRUCTION OF 7.15M X 9.15M SCHOOL BUILDING</t>
  </si>
  <si>
    <t xml:space="preserve"> for RHU Consultation LGU Cabagan Cabagan, Isabela</t>
  </si>
  <si>
    <t xml:space="preserve"> PURCHASE AND DELIVERY OF EQUIPMENT FOR IMPLEMENTATION OF DA-BAR PROMOTION OF RECOMMENDED RICE VARIETIES PROJECT **PLEASE REFER TO THE ATTACHED PURCHASE REQUEST AT THE ASSOCIATED COMPONENTS SECTION FOR FURTHER DETAILS.</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</si>
  <si>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</si>
  <si>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</si>
  <si>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</si>
  <si>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</si>
  <si>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</si>
  <si>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</si>
  <si>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</si>
  <si>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Procurement and Delivery of Construction Supplies and Materials for the Construction of  Drainage Location: Sitio Cala-cala, Cogon, Balingasag, Misamis Oriental</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</si>
  <si>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</si>
  <si>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Earthworks, Sub-base and Base Course, Surface Course, Bridge Construction, Slope Protection Structures, Miscellaneous</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</si>
  <si>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</si>
  <si>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</si>
  <si>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</si>
  <si>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</si>
  <si>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</si>
  <si>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</si>
  <si>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10 units - Handheld Radio with Charger</t>
  </si>
  <si>
    <t xml:space="preserve"> OFFICE  SUPPLIES AND CONSUMABLES</t>
  </si>
  <si>
    <t xml:space="preserve"> 8 CCTV Camera, HD, Nigth Vision, Motion Detection, 16 - Channel DVR with 1 TB Hard Drive with complete accessories</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</si>
  <si>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</si>
  <si>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1 unit - Photocopier Machine</t>
  </si>
  <si>
    <t xml:space="preserve"> Food packs</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</si>
  <si>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</si>
  <si>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10 units - Handheld Radio with Charger 1 unit - Repeater</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</si>
  <si>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</si>
  <si>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</si>
  <si>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Description, Republic of the Philippines Municipality of Taytay Taytay,Palawan NOTICE TO BIDDERS Item #  Qty      Unit         Description    Amount 1.	  83     SACKS      RICE                199,200 2.	  20     kls            RICE                        </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</si>
  <si>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</si>
  <si>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Ccncreting of Road</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</si>
  <si>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</si>
  <si>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Roadway Clearing, Roadway Excavation (UM w/ Solid Rock)</t>
  </si>
  <si>
    <t xml:space="preserve"> for CCTV Cameras with Installation and Services</t>
  </si>
  <si>
    <t xml:space="preserve"> the specification is available at the Bids and Awards Secretariat MPDC-2nd-Floor, Lasam Municipal Town Hall Centro 02, Lasam, Cagayan</t>
  </si>
  <si>
    <t xml:space="preserve"> 6 units Additional CCTV Camera 5mp 4 units Antenna 1 unit 43" Monitor</t>
  </si>
  <si>
    <t xml:space="preserve"> Earthworks, Sub-base Course, Surface Course, Drainage &amp; Slope Protection Structures, Miscellaneous</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</si>
  <si>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</si>
  <si>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</si>
  <si>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Item	Quantity	Unit	Item Description 1	31	       Rolls	HDPE Hose (1”, Class A Royale) 2	4	      Rolls	HDPE Hose (1/2”, Class A Royale) 3	24	      Rolls	HDPE Hose (2”, Class A Royale) 4	3	      Unit	Water Pump ( Diesel, 7HP, with complete Accessories) 5	2	 </t>
  </si>
  <si>
    <t xml:space="preserve"> Municipality of Danao 						 Project Reference Number 			 : 	 2020-001 		  Name of Procuring Entity 						 Name of Project 			 : 	 Rehabilitation of Barangay Road 		  StandardForm Number : SF -GOOD -60 						 Location of the Project                   			 </t>
  </si>
  <si>
    <t xml:space="preserve"> For 15 Units Cellular Phones (TouchScreen)</t>
  </si>
  <si>
    <t xml:space="preserve"> ITEM 	ITEM &amp;  DESCRIPTION	QUANTITY 		 		 1	Base Course ( Dakal-Dakal)	30 cu.m. 2	2"x 2" x 8'  Coco Lumber	30 pcs. 3	3/4" x 4' x 8' Ordinary Plywood	4 pcs. 4	Assorted C.W. Nails	2 kls. 5	# 16 Tie Wire	3 kls. 6	Concrete Ready Mixed (3,000 psi)	44 cu.m. 7	Po</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</si>
  <si>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</si>
  <si>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For Construction of IP Housing (Labor)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</si>
  <si>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</si>
  <si>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</si>
  <si>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For Construction of IP Housing (Materials)</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</si>
  <si>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</si>
  <si>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</si>
  <si>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</si>
  <si>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30 boxes PDX wire#14 38 Pcs. Rubber Receptacle 38 pcs. electrical bulb 15 W 20 rls. electrical tape 38 pcs. ball insulator</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</si>
  <si>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</si>
  <si>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</si>
  <si>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3KVA Generator Set	                3units Chain Block (3tons Capacity)	1unit Volt Cutter (small)	                1unit Static Kern Mantie Rope (11mm)	100m Seat Harness	                         4sets C-Collar (for adults)	                 4pcs Oxygen Tank </t>
  </si>
  <si>
    <t xml:space="preserve"> 2,200     cu.m.  Common Borrow    800        cu.m.  Base Course</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</si>
  <si>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</si>
  <si>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</si>
  <si>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</si>
  <si>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</si>
  <si>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</si>
  <si>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BAC1-20-006 SUPPLY AND DELIVERY OF VARIOUS CONSTRUCTION SUPPLIES - PABX –  FOR 2020                                                      INVITATION  TO BID 1. The University of the Philippines Manila through its Bids and Awards Committee I (BAC 1), invite</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</si>
  <si>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</si>
  <si>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Road Widening, Retaining Wall and PCCP</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</si>
  <si>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</si>
  <si>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The City Government of Malolos, through its BIDS and AWARDS COMMITTEE (BAC) Invites Suppliers/Manufacturers/Distributors to Bid for hereunder procurement:  PR No. : GSO-2020-05-657 Name of Project : SUPPLY AND DELIVERY OF 600 CAVANS WELL                  </t>
  </si>
  <si>
    <t xml:space="preserve"> ITEM 	ITEM &amp;  DESCRIPTION	QUANTITY NO.		 1	1/4"x2"x2" Angle Bar	23 pcs. 2	3/16"x11/2"x11/2" Angle Bar	13 pcs. 3	3/16"x11/4"11/4" Angle Bar ( Cross Brace)	21 pcs. 4	12mmØ x 6m. Plain Bar ( Cross Tension)	8 pcs. 5	2"x3" C -Purlins (1.5)	34 pcs. 6	10mmØ X 6M</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</si>
  <si>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</si>
  <si>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</si>
  <si>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</si>
  <si>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</si>
  <si>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Construction of Local Road Access- Brgy. Calabaca, Capalonga, Cam. Norte</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</si>
  <si>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</si>
  <si>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</si>
  <si>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</si>
  <si>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</si>
  <si>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</si>
  <si>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</si>
  <si>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538 cubic meter (sand and gravel) road graveling of various barangay roads of Sta. filomena, Dipolog City</t>
  </si>
  <si>
    <t xml:space="preserve"> ITEM 	ITEM &amp;  DESCRIPTION	QUANTITY NO.		 1	2"x6" C- Purlins (Raffer)	6 pcs. 2	2"x4" c- Purlin ( Scollar Cleats)	2 pcs. 3	2"x3" C- Purlins ( Purlins)	18 pcs. 4	10mm x6.0 Plain Bar ( Sag Rod)	8 pcs. 5	1/4"x2-1/2"&lt; Bar ( Wedge Plate)	1 pc. 6	Welding Rod	5 kl</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</si>
  <si>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</si>
  <si>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CY 2019 Repair/Rehabilitation of Department of Education Regional Office VI, Duran Street, Iloilo City (Rebid)</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</si>
  <si>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</si>
  <si>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</si>
  <si>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</si>
  <si>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</si>
  <si>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</si>
  <si>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Republic of the Philippines Province of Masbate MUNICIPALITY OF CATAINGAN BARANGAY VILLAPOGADO   			                                                                                              JULY 23, 2020 INVITATION TO APPLY FOR ELIGIBILITY AND TO BID </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</si>
  <si>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</si>
  <si>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</si>
  <si>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</si>
  <si>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</si>
  <si>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</si>
  <si>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TO AVOID FLU AND OTHER ILLNESS IN THE BARANGAY</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</si>
  <si>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</si>
  <si>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</si>
  <si>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</si>
  <si>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</si>
  <si>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</si>
  <si>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</si>
  <si>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</si>
  <si>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</si>
  <si>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</si>
  <si>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</si>
  <si>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</si>
  <si>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Bid-Opening-July 14,2020 at 2:00 p.m. at Municipal Conference Room</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</si>
  <si>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</si>
  <si>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</si>
  <si>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</si>
  <si>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</si>
  <si>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8 unit Visitor Chair 8 pcs. Filing Cabinet (4 layer metal) 24 pcs. Back pack 75 pcs. Plaque (medium)</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</si>
  <si>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</si>
  <si>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</si>
  <si>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</si>
  <si>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</si>
  <si>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</si>
  <si>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</si>
  <si>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Kindly see attached file for your reference.</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</si>
  <si>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</si>
  <si>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BAC1-20-008 SUPPLY AND DELIVERY OF VARIOUS CONSTRUCTION SUPPLIES - PAINTING  FOR 2020                                                            INVITATION  TO BID 1. The University of the Philippines Manila through its Bids and Awards Committee I (BAC 1)</t>
  </si>
  <si>
    <t xml:space="preserve"> Request for Quotation RFQ No.		SVP-015-2020 MR No.		07118 Requisition No. 	LD-03-2019 Posting Date:         	June 23, 2020 Deadline for Submission:		June 29, 2020 at 9:00 AM Opening Date:	June 29, 2020 at 10:00 AM 	 TO:	Name of Supplier:__________________</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</si>
  <si>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</si>
  <si>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</si>
  <si>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</si>
  <si>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LABOR AND MATERIALS FOR THE CONSTRUCTION OF MUNICIPAL AGRICULTURE OFFICE AT POBALCION,BADIAN,CEBU</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</si>
  <si>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</si>
  <si>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</si>
  <si>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</si>
  <si>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</si>
  <si>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Republic of the Philippines																		 Province of Bohol																		 Municipality of Buenavista																		 																		 Barangay Bonotbonot																		 INVITATION TO APPLY FOR ELIGIBILITY AND TO BID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</si>
  <si>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</si>
  <si>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</si>
  <si>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Please see Invitation to Bid and Bidding Documents attached to Associated Components.O</t>
  </si>
  <si>
    <t xml:space="preserve"> Communication equipment and accsessories..</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</si>
  <si>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</si>
  <si>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</si>
  <si>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</si>
  <si>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</si>
  <si>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</si>
  <si>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INVITATION TO BID FOR  SUPPLY, DELIVERY, INSTALLATION, TESTING AND COMMISSIONING OF MEDICAL EQUIPMENT FOR FY2020</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</si>
  <si>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</si>
  <si>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</si>
  <si>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</si>
  <si>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</si>
  <si>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</si>
  <si>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</si>
  <si>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</si>
  <si>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</si>
  <si>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</si>
  <si>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</si>
  <si>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</si>
  <si>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PURCHASE REQUEST								 Municipality of Buenavista								 							 Department:  				PR:	_______________		Date:	 				SAI No.	_______________		Date:	 Section:							Date:	 Item No	Unit	Qty.		Item Description			Estimated	Estimated 							Unit cost	Total cos</t>
  </si>
  <si>
    <t xml:space="preserve"> DELA COSTA HOMES III BRGY. GRACEVILLE CSJDM, BULACAN</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</si>
  <si>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</si>
  <si>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</si>
  <si>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INSTALLATION OF ELECTRICAL LINES FOR WATER WORKS SYSTEM AT SITIO CENTRO, BRGY. MAPULO</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</si>
  <si>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</si>
  <si>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</si>
  <si>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</si>
  <si>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Please see attached Bidding Documents in the Associated Components. Thank you very much</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</si>
  <si>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</si>
  <si>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</si>
  <si>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</si>
  <si>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ALBAY 3RD DISTRICT ENGINEERING OFFICE																										 Paulog, Ligao City																										 																										 																										 INVITATION TO BID																										 																										 																					</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</si>
  <si>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</si>
  <si>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VILLA SAN JOSE BRGY. GRACEVILLE, CSJDM, BULACAN</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</si>
  <si>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</si>
  <si>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</si>
  <si>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14 Units LAPTOP, INTEL CORE i5-7200 to be used for full Implementation of Basic Education for DEPED Rizal Binangonan Sub-Office</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</si>
  <si>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</si>
  <si>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1 set CCTV system - 6 cameras HDCVI 1080p 1 unit 24" LED TV 2 sets CCTV System - 16 cameras HDCVI - 1080p 1 unit 40" LED TV</t>
  </si>
  <si>
    <t xml:space="preserve"> Purchase of Spare parts and motor vehicles.</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</si>
  <si>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</si>
  <si>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LABOR AND MATERIALS FOR THE CONSTRUCTION OF MUNICIPAL WAREHOUSE AT POBLACION,BADIAN,CEBU</t>
  </si>
  <si>
    <t xml:space="preserve"> BAC1-20-008 SUPPLY AND DELIVERY OF VARIOUS CONSTRUCTION SUPPLIES - MECHANICAL/CMGVS FOR 2020                                                            INVITATION  TO BID 1. The University of the Philippines Manila through its Bids and Awards Committee I </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</si>
  <si>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</si>
  <si>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</si>
  <si>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</si>
  <si>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Removal of Structures and Obstructions  Forms and Scaffolds  Painting Works (Concrete) Painting Works (Metal Painting) Metal Structures</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</si>
  <si>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</si>
  <si>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</si>
  <si>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IN FRONT OF GRACEVILLE ELEMENTARY SCHOOL ZONE V BRGY. GRACEVILLE CSJDM, BULACAN</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</si>
  <si>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</si>
  <si>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ALBAY 3RD DISTRICT ENGINEERING OFFICE																										 Paulog, Ligao City																										 																										 																										 INVITATION TO BID																										 																										 The DPWH - Albay 3rd </t>
  </si>
  <si>
    <t xml:space="preserve"> Request for Quotation RFQ No.		SVP-016-2020 MR No.		11597 Requisition No. 	TSE-2020-036 Posting Date:         	June 23, 2020 Deadline for Submission:		June 29, 2020 at 9:00 AM Opening Date:	June 29, 2020 at 10:00 AM 	 TO:	Name of Supplier:________________</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</si>
  <si>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</si>
  <si>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Request for Quotation RFQ No.		SVP-017-2020 MR Nos.		08100, 08097 &amp; 02601 Requisition Nos. 	OD-019-105, OD-019-108 &amp; OD-019-106 Posting Date:         	June 23, 2020 Deadline for Submission:		June 29, 2020 at 9:00 AM Opening Date:	June 29, 2020 at 10:00 AM</t>
  </si>
  <si>
    <t xml:space="preserve"> Purchase of CCTV Equipments and Its Accessories.</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</si>
  <si>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</si>
  <si>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PART A- Installation of lighting		 Amglobe 4"	 30.00 	pcs Receptacle Outlet 2"x2"	 30.00 	pcs LeD bulb 90 Watts	 30.00 	pcs G.I.Pipe 1¼	 15.00 	pcs 2.0mm sq. THW Wire	 300.00 	mts 3.5mm sq. THW Wire	 2,000.00 	mts PVC Pipe 20mm	 320.00 	pcs PVC Solvent 20</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</si>
  <si>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</si>
  <si>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</si>
  <si>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TOTAL MATERIALS = P 40,510.00 LUMP SUM LABOR = P 59,490.00</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</si>
  <si>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</si>
  <si>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</si>
  <si>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</si>
  <si>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</si>
  <si>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</si>
  <si>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</si>
  <si>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</si>
  <si>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</si>
  <si>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</si>
  <si>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Request for Quotation RFQ No.		SVP-020-2020 MR. No.		10754 Requisition No.	CORPLAN.06.13.2020 Posting Date:         	June 23, 2020 Deadline for Submission:		June 29, 2020 at 9:00 AM Opening Date:	June 29, 2020 at 10:00 AM TO:	Name of Supplier:____________</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</si>
  <si>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</si>
  <si>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</si>
  <si>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</si>
  <si>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</si>
  <si>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</si>
  <si>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</si>
  <si>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Request for Quotation RFQ No.		SVP-018-2020 MR No.		11588 Requisition No. 	TSE-2020-032 Posting Date:         	June 23, 2020 Deadline for Submission:		June 29, 2020 at 9:00 AM Opening Date:	June 29, 2020 at 10:00 AM 	 TO:	Name of Supplier:________________</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</si>
  <si>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</si>
  <si>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</si>
  <si>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</si>
  <si>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MINI DUMP TRUCK Engine Type:   4-cylinder,In-line, 4-stroke,water cooled,direct injection,intercooler turbo,VE Pump                          Engine Displacement:     2.771cc;  Rated Power(kW/rpm:    76KW/3600RPM Horse Power:                   103PS:  ; Ma</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</si>
  <si>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</si>
  <si>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Dumping Fee for 7,142 (m3) of Municipal Waste</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</si>
  <si>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</si>
  <si>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</si>
  <si>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</si>
  <si>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</si>
  <si>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</si>
  <si>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</si>
  <si>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</si>
  <si>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</si>
  <si>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</si>
  <si>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</si>
  <si>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</si>
  <si>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</si>
  <si>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</si>
  <si>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</si>
  <si>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</si>
  <si>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</si>
  <si>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</si>
  <si>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Office Supplies for Learners Module  173 ream Bond Paper A4 Size   2 pcs Printer 3 in 1 10 bottle ink Black 9 Bottle ink colored</t>
  </si>
  <si>
    <t xml:space="preserve"> Purchase request submitted by Rimmon T. Armones ABC is Php 100,000.00</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</si>
  <si>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</si>
  <si>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</si>
  <si>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</si>
  <si>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</si>
  <si>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Construction of Water Tank located at Sitio lower Malubog , Cebu City Amount 514,000.00</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</si>
  <si>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</si>
  <si>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Purchase of Office Equipment Supplies and Consumables for admin and faculty use.</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</si>
  <si>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</si>
  <si>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</si>
  <si>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</si>
  <si>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</si>
  <si>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SCOPE OF WORK: CLEARING AND GRUBBING, SUBGRADE PREPARATION, AGGREGATE BASE COARSE, PCCP, EMBANKMENT, STONE MASONRY</t>
  </si>
  <si>
    <t xml:space="preserve"> SCOPE OF WORK: CLEARING AND GRUBBING, STRUCTURAL EXCAVATION, REINFORCING STEEL BARS, FORMWORKS, STRUCTURAL CONCRETE, STONE MASONRY</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</si>
  <si>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</si>
  <si>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</si>
  <si>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SCOPE OF WORK: CLEARING AND GRUBBING, STRUCTURAL EXCAVATION, REINFORCING STEEL BARS, FORMWORKS, STRUCTURAL CONCRETE</t>
  </si>
  <si>
    <t xml:space="preserve"> Livelihood Assistance to Tricycle Drivers</t>
  </si>
  <si>
    <t xml:space="preserve"> Livelihood Assistance to Farmers in the form of Fertilizer</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</si>
  <si>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</si>
  <si>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</si>
  <si>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</si>
  <si>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</si>
  <si>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</si>
  <si>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</si>
  <si>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</si>
  <si>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Improvement/Upgrading of FMR 146.38 l.m. x 5m. x 0.23m thk. and other scope of works to be done</t>
  </si>
  <si>
    <t xml:space="preserve"> Republic of the Philippines Region XII Province of Cotabato City of Kidapawan OFFICE OF THE BIDS AND AWARD COMMITTEE                                June 22, 2020 INVITATION TO BID FOR  SUPPLY AND DELIVERY OF DUMP TRUCKS FOR THE USE OF THE CITY GOVERNMENT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</si>
  <si>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</si>
  <si>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2	units	Power Tiller 		Engine 10 hp 		Air Cooled Four stroke 		Transmission: Gear Type 		2 Forward &amp; 2 Reverse (high &amp; low) 2	units	STW Motor 5HP</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</si>
  <si>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</si>
  <si>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</si>
  <si>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</si>
  <si>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Package 1 of 1: Supply of Services and Materials for the Printing and Delivery of 2021 DCWD Wall Calendars - 240,000 sets Medium Size (17" x 22”) and 10,000 sets Large Size (22” x 34")</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</si>
  <si>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</si>
  <si>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</si>
  <si>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</si>
  <si>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For Medicines</t>
  </si>
  <si>
    <t xml:space="preserve"> this project consist of delivery of materials, construction projects and other scope of work based on program of work and detailed engineering design</t>
  </si>
  <si>
    <t xml:space="preserve"> fb type vehicle  Engine : 2.2 diesel engine  with spare tire  Registration with insurance  with tire wrench and jack  Brandnew</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</si>
  <si>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</si>
  <si>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</si>
  <si>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Contract ID No.	: 20K00353     Contract Name	: Construction of 2-Lane PCCP Pantar (Lanao del Norte)-Marawi City (Lanao del Sur) Road     Contract Location	: Lanao del Sur     Scope of Work	: Const. of Conc. Road     Appropriation		: Php. 221,926,429.00   </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</si>
  <si>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</si>
  <si>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for Spare Parts for Various Vehicles</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</si>
  <si>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</si>
  <si>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</si>
  <si>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Region XII Province of Cotabato City of Kidapawan OFFICE OF THE BIDS AND AWARD COMMITTEE                               June 22, 2020 INVITATION TO BID FOR  PURCHASE OF HEAVY EQUIPMENT FOR THE LIVE STOCK DEVELOPMENT OF CITY GOVE</t>
  </si>
  <si>
    <t xml:space="preserve"> Republic of the Philippines Region XII Province of Cotabato City of Kidapawan OFFICE OF THE BIDS AND AWARD COMMITTEE                              June 22, 2020 INVITATION TO BID FOR  SUPPLY AND DELIVERY OF HEAVY EQUIPMENT FOR THE USE OF THE CITY GOVERNMEN</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</si>
  <si>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</si>
  <si>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1 pc. Korg Kross Organ (kross-61) 1 set Cymbals (1 ride, 1 crash, 1 set hi hat/clappers) 1 pc. Camera EOS 200D II         SPECIFICATION:               Approx. 122.4mm x 92.6mm x 69.8mm               24.1 megapixel APS-C CMOS sensor               Wi-fi / B</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</si>
  <si>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</si>
  <si>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</si>
  <si>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</si>
  <si>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Construction of Sanitary Toilet &amp; Hygiene Facility, Poblacion, Sta. Catalina, Ilocos Sur</t>
  </si>
  <si>
    <t xml:space="preserve"> Contract ID No.	: 20K00352     Contract Name	: Reconstruction/ Rehabilitation of Bridge along Barangay Road at Kurmatan Matampay     Contract Location	: Lanao del Sur     Scope of Work	: Reconst./Rehab. of Bridge     Appropriation		: Php. 40,000,000.00   </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</si>
  <si>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</si>
  <si>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Rehabilitation of Local Access Road, Subec, Sta. Catalina, Ilocos Sur</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</si>
  <si>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</si>
  <si>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</si>
  <si>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</si>
  <si>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</si>
  <si>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</si>
  <si>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Pls see attached</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</si>
  <si>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</si>
  <si>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</si>
  <si>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</si>
  <si>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</si>
  <si>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</si>
  <si>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MONTHLY ALLOTTED BUDGET  PHP. 15,000.00 x 2 Personnel (10 months) January to February  July to December</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</si>
  <si>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</si>
  <si>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</si>
  <si>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</si>
  <si>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SET OF RAINCOATS AND BOOTS / TRUNCHEON/ STICK</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</si>
  <si>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</si>
  <si>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Construction/Rehabilitation of Water Supply/Septage and Sewerage/Rain Water Collectors include Earthworks; Plain and Reinforced Concrete Work; Finishings and Other Civil Works; and Mechanical.</t>
  </si>
  <si>
    <t xml:space="preserve"> COMMITTEE IDENTIFICATION MULTI COLOR POLO SHIRT WITH PRINT (BARANGAY COMMITTEE/ SITIO MEMBERS)</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</si>
  <si>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</si>
  <si>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</si>
  <si>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</si>
  <si>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Republic of the Philippines                   Department of Health	       CENTRAL OFFICE BIDS AND AWARDS COMMITTEE  INVITATION TO BID FOR THE  PROCUREMENT OF HIV RAPID DIAGNOSTIC TEST-2   (FOR rHIVda CONFIRMATION) RE-BID IB NO. 2020-208-A 1.	The Departmen</t>
  </si>
  <si>
    <t xml:space="preserve"> 2 PERSONAL COMPUTER WITH ACCESSORIES AND PRINTER</t>
  </si>
  <si>
    <t xml:space="preserve"> CCTV CAMERA WITH ACCESSORIES AND INSTALLATION INCLUDED</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</si>
  <si>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</si>
  <si>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</si>
  <si>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LAPTOP COMPUTER WITH ACCESSORIES AND PRINTER</t>
  </si>
  <si>
    <t xml:space="preserve"> Supply and delivery of various materials for the Proposed Improvement of Day Care Center, Brgy. San Antonio, San Enrique, Iloilo. Approved Budget for the Contract: Php. 82,100.00 Source of Fund: 20% Development Fund</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</si>
  <si>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</si>
  <si>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Republic of the Philippines Province of Masbate MUNICIPALITY OF CATAINGAN BARANGAY GAHIT   			                                                                                              JUNE 22, 2020 INVITATION TO APPLY FOR ELIGIBILITY AND TO BID The BA</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</si>
  <si>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</si>
  <si>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</si>
  <si>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</si>
  <si>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</si>
  <si>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441 cu.m Fine Aggregates 674 cu.m Coarse Aggregates</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</si>
  <si>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</si>
  <si>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</si>
  <si>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</si>
  <si>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</si>
  <si>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</si>
  <si>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For further details, please see attached Program of Works in the associated components.</t>
  </si>
  <si>
    <t xml:space="preserve"> Construction of Two – Storey Six (6) Classroom PAGCOR Design School Building at Panitan NHS, Panitan, Capiz Affected by Typhoon Yolanda (Rebid)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</si>
  <si>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</si>
  <si>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</si>
  <si>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1315	bags	Certified Seeds</t>
  </si>
  <si>
    <t xml:space="preserve"> ITEM 	ITEM &amp;  DESCRIPTION	QUANTITY NO.		 		 1	Boulders	46 pcs. 2	Cement	172 bags 3	Sand	11 cu.m. 4	2"x2"x10' G.L.	45 pcs. 5	Gravel	7 cu.m. 6	10mm.Dia. X 6.0 RSB	62 pcs. 7	2" PVC Pipe	30 pcs. 8	# 16 Tie Wire	6 kls. 9	Filling Soil	60 cu.m. 10	Asst'd. C. W. </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</si>
  <si>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</si>
  <si>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FIRE EXTINGUISHERS AND REFILL OF EMPTY FIRE EXTINGUISHERS</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</si>
  <si>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</si>
  <si>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</si>
  <si>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</si>
  <si>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</si>
  <si>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</si>
  <si>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</si>
  <si>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</si>
  <si>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PLANTS IN A POT AND STEEL MATTING FRAME</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</si>
  <si>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</si>
  <si>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Order/download attached Invitation to Bid and print-out Abstract of Bids from Philgeps.</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</si>
  <si>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</si>
  <si>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I. R.C. WORKS: Volume = 15.538 cu m II. MASONRY WORKS: Area = 124.65 sq.m III. FLOORING: Volume = 7.425 cu m IV. ROOFING &amp; ROOF FRAMING: Area = 14.4 m x 8.65 m = 124.56 sq.m V. DOORS: Qty = 1 ls</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</si>
  <si>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</si>
  <si>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</si>
  <si>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</si>
  <si>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293.25	cu m	I. SITE WORKS 293.25	sq.m	II. CONCRETE AND MASONRY WORKS 1	cu m	III. FORMWORKS 1	ls	IV. STEEL WORKS 82.8	sq.m	V. ROOFING WORKS 1	ls	VI. FINISHING WORKS 1	ls	VII. ELECTRICAL WORKS 1	ls	VIII. PLUMBING WORKS</t>
  </si>
  <si>
    <t xml:space="preserve"> 1	ls I. DEMOLITION WORKS 2.46	cu m	II. R.C. WORKS 34.84 sq m III. CHB WALL 13.73 sq m IV. FLOORING  1	ls V. FORMWORKS 46.54 sq m VI. ROOFING AND ROOF FRAMING 1	ls	VII. ELECTRICAL WORKS 1	ls	VIII. PAINTING WORKS 1	ls	IX. DOORS</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</si>
  <si>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</si>
  <si>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</si>
  <si>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Repair of Main Gate (Front Gate) &amp; Construction of Fence	 Fence Area = 160.52 sq.m; Gate Area = 15.64 sq.m; Road Shoulder = 1.932 cu m 1	ls	        I. DEMOLITION 176.16 cu m	II. CONCRETE AND MASONRY 22.57 sq.m	III. STEEL WORKS 28.8	sq.m	        IV. PAINTI</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</si>
  <si>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</si>
  <si>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I. SITE CLEARING AND LAND PREPARATION (PARKING LOT)...............................................674.00 SQ.M. II. DEMOLITION WORKS.......................................................1.00 LOT III. EXCAVATION.............................................</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</si>
  <si>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</si>
  <si>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</si>
  <si>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</si>
  <si>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Purchase of Various Medicines for RHU *see attached file for the lists of medicines</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</si>
  <si>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</si>
  <si>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SEE ATTACHED FILE</t>
  </si>
  <si>
    <t xml:space="preserve"> The City Government of Malolos, through its BIDS and AWARDS COMMITTEE (BAC) Invites Suppliers/Manufacturers/Distributors to Bid for hereunder procurement:  PR No. : GSO-2020-03-459 Name of Project : PURCHASE OF 5 UNITS MINI DUMP TRUCK 6                   </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</si>
  <si>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</si>
  <si>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</si>
  <si>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</si>
  <si>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</si>
  <si>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Ref. No./PR No. : INFRA2020-CDD-001/MG-COM20-002 Description:        REPAIR/REHABILITATION OF WHARF WITH INTEGRATED ELEVATION 702 masl MARKER at                           Barangay Maindig, Binidayan, Lanao del Sur Pre- Bid Conference:  June 29, 2020 at 9:</t>
  </si>
  <si>
    <t xml:space="preserve"> I.	BILLBOARD and SIGNAGE…………………………………………………………….1.00 SET  II.	SITE CLEARING AND PREPARATION……………………………………………………………1.00 LOT III.	EARTHWORKS…………………………………………………………….20.56 CU.M. IV.	REINFORCING STEEL BARS…………………………………………………………….1,935.13 KGS. V.	CONCRETE WORKS</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</si>
  <si>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</si>
  <si>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</si>
  <si>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</si>
  <si>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</si>
  <si>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</si>
  <si>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Weather proof speakers and all the accessories connected therewith</t>
  </si>
  <si>
    <t xml:space="preserve"> Construction Project</t>
  </si>
  <si>
    <t xml:space="preserve"> 6,428  pcs Cacao Planting Materials (Asesual) 1,500  bags  Soil Enhancer (Chicken Dung)</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</si>
  <si>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</si>
  <si>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</si>
  <si>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</si>
  <si>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</si>
  <si>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</si>
  <si>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</si>
  <si>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</si>
  <si>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Construction of Multi-Purposed Building (Tourism Information and Assistance Center) @ Brgy Sapang Uwak, Porac, Pampanga</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</si>
  <si>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</si>
  <si>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</si>
  <si>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</si>
  <si>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</si>
  <si>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I. Electrical Works Labor OCM/CP/VAt</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</si>
  <si>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</si>
  <si>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</si>
  <si>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</si>
  <si>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Brgy. San Miguel, Danao, Bohol  						 Project Reference Number 			 : 	 2020-001 		  Name of Procuring Entity 						 Name of Project 			 : 	 Construction of Deep Wells Potable Water 5 Sitio's (Quarry, Apalili, Centro, Hantud &amp; Kagisukan) 		  StandardForm </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</si>
  <si>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</si>
  <si>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Polo shirt, tactical pants,raincoat,rainboots etc..(1lot)</t>
  </si>
  <si>
    <t xml:space="preserve"> CCTV units and all the accessories connected therewith...(1lot)</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</si>
  <si>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</si>
  <si>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</si>
  <si>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</si>
  <si>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</si>
  <si>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</si>
  <si>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Item	                          Quantity	                        ABC     ALM-300DN                         	362 units	                3,475,200.00     ALM 320DN	                        318 units	                3,863,700.00                                 </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</si>
  <si>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</si>
  <si>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</si>
  <si>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REPUBLIC OF THE PHILIPPINES National Office, Diliman, Quezon City             June 19, 2020 INVITATION TO BID PUBLIC BIDDING NO.  2020-31 (GOODS)   1.	The   Bureau   of   Internal     Revenue – National Office (BIR-NO), through the General Appropriations </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</si>
  <si>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</si>
  <si>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</si>
  <si>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Republic of the Philippines                                                              PROVINCE OF ISABELA                                                            Municipality of Dinapigue                                      INVITATION TO APPLY FOR </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</si>
  <si>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</si>
  <si>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</si>
  <si>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</si>
  <si>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</si>
  <si>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</si>
  <si>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</si>
  <si>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</si>
  <si>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</si>
  <si>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</si>
  <si>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</si>
  <si>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</si>
  <si>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</si>
  <si>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</si>
  <si>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</si>
  <si>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</si>
  <si>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Garbage Collection at Brgy. Bel-Air for CY 2020 		Period of Contract: August to December 31, 2020 		Schedule of Pick-up: 		a. Two (2) 10 Wheeler dump trucks daily ( 7 days a week) 		   For Bel-Air Village 1,2, 3 and 4 		   2 DT's @ P8,500.00 net of VAT 		</t>
  </si>
  <si>
    <t xml:space="preserve"> EXCAVATION, BOX CULVERT</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</si>
  <si>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</si>
  <si>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</si>
  <si>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Please see attached documents for more details.</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</si>
  <si>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</si>
  <si>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You may refer in the attached files for details.</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</si>
  <si>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</si>
  <si>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CONSTRUCTION OF PROTECTION DIKE – RIGHT SIDE DOWNSTREAM @ STA. 0+220 – 0+271.50</t>
  </si>
  <si>
    <t xml:space="preserve"> REQUEST FOR RFQ - SMAW SUPPLIES</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</si>
  <si>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</si>
  <si>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</si>
  <si>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</si>
  <si>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</si>
  <si>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</si>
  <si>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</si>
  <si>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</si>
  <si>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</si>
  <si>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</si>
  <si>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</si>
  <si>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</si>
  <si>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</si>
  <si>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</si>
  <si>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</si>
  <si>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</si>
  <si>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</si>
  <si>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</si>
  <si>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</si>
  <si>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</si>
  <si>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</si>
  <si>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I. Construction Tools &amp; Paints (Bridges)							 1	Paint Latex Gloss (white)				99,000.00	100 		 2	Paint Latex Gloss (black)				99,000.00	100 		 3	Paint Latex Gloss (yellow)				99,000.00	100 		 4	Paint Rollers (152mm)				2,600.00	52 		 5	Brush Paint (101mm</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</si>
  <si>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</si>
  <si>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</si>
  <si>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1	Item 310: Bituminous Concrete Surface				1,799,793.00	209.40		 	Coarse (FD)							 	-x-x-x-x-x-x-x-x-x-x-x-x-x-x							 			Grand Total:		1,799,793.00</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</si>
  <si>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</si>
  <si>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PURCHASE AND DELIVERY OF MACHINERY AND EQUIPMENT FOR OMM-OPERATION OF SLAUGHTERHOUSE **PLEASE REFER TO THE ATTACHED PURCHASE REQUEST AT THE ASSOCIATED COMPONENTS SECTION FOR FURTHER DETAILS</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</si>
  <si>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</si>
  <si>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</si>
  <si>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1. Demolition/Excavation works 2. Reinforced Concrete Works 3. Form Works</t>
  </si>
  <si>
    <t xml:space="preserve"> SOIL TESTING/EXPLORATION (FOR CY 2021 REGULAR INFRASTRUCTURE PROJECTS, BATCH 2)</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</si>
  <si>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</si>
  <si>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Repair/Maintenance of Flood Control</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</si>
  <si>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</si>
  <si>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Repair/Maintenance of National Road</t>
  </si>
  <si>
    <t xml:space="preserve"> Item No.	Unit	Qty.	Description of Articles 1	Unit	1	L300 Cab and Chassis Euro 4 			2.2L Diesel 			5 speed Manual 			Overall Length:                                     mm 4,260 			Overall Width:                                      mm 1,695 			Overall Hei</t>
  </si>
  <si>
    <t xml:space="preserve"> Republic of the Philippines								 Province of Negros Occidental								 Municipality of La Castellana								 Bids and Awards Committee								 								 INVITATION TO APPLY FOR ELIGIBILITY AND TO BID								 								 Name of Project: 		IMPROVEMENT OF PA</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</si>
  <si>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</si>
  <si>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</si>
  <si>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Contract ID No.	: 20GAD005  	Contract Name/	: Purchase of Road/Traffic Warning Signs for use along Manila North   	Location	: Road, Tagudin-Santa Section (accident blackspot), K0313+(-103)- 			K0395+149) Brief Description of  Goods to be Procured	:  		 IT</t>
  </si>
  <si>
    <t xml:space="preserve"> (REFLECTORIZED THERMOPLASTIC PAVEMENT MARKINGS)</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</si>
  <si>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</si>
  <si>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</si>
  <si>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Rehabilitation/ Major Repair of Multi – Purpose Building</t>
  </si>
  <si>
    <t xml:space="preserve"> SUPPLY AND DELIVERY OF MEDICINES Municipal Health Office Balayan, Batangas</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</si>
  <si>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</si>
  <si>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1 unit Passengers Terminal Phase 1</t>
  </si>
  <si>
    <t xml:space="preserve"> Rehabilitation of Concrete Road</t>
  </si>
  <si>
    <t xml:space="preserve"> 1 unit passengers terminal (phase 1)</t>
  </si>
  <si>
    <t xml:space="preserve"> Construction of 4,000 Polyethelene Plastic Water Container</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</si>
  <si>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</si>
  <si>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Location  : Legazpi City, Albay Scope of Work : Repair/Maintenance of DILG Building NAPOLCOM RO-V Main Building Rawis, Legazpi City, Albay</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</si>
  <si>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</si>
  <si>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</si>
  <si>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</si>
  <si>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the specifications and materials required for CCTV are downloadable at associated sections</t>
  </si>
  <si>
    <t xml:space="preserve"> Office Supplies and Materials</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</si>
  <si>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</si>
  <si>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</si>
  <si>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(1 meal (pack lunch with 2 viands and cold beverage) and 2 snacks (packed AM/PM snacks with cold beverage) per day for 15 days activity with 16 participants) and an accommodation for the facilitators for 15days.</t>
  </si>
  <si>
    <t xml:space="preserve"> SUPPLY OF 5.10 DRUMS BITUMINOUS TACK COAT AND 298.41 M.T. BITUMINOUS CONCRETE SURFACE COURSE</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</si>
  <si>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</si>
  <si>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</si>
  <si>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</si>
  <si>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</si>
  <si>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</si>
  <si>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</si>
  <si>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</si>
  <si>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Straight Contract for Construction of Multi-Purpose Building - Dialysis Center See attached link/Url under OTHER INFORMATION BOX</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</si>
  <si>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</si>
  <si>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Five (5) units Mini Dump truck - Surplus Reconditioned See attached link/Url under OTHER INFORMATION BOX</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</si>
  <si>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</si>
  <si>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Straight Contract for Improvement of Commission House See attached link/Url under OTHER INFORMATION BOX</t>
  </si>
  <si>
    <t xml:space="preserve"> Straight Contract for Rehabilitation of Covered Court See attached link/Url under OTHER INFORMATION BOX</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</si>
  <si>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</si>
  <si>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</si>
  <si>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</si>
  <si>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</si>
  <si>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Straight Contract for Water Project See attached link/Url under OTHER INFORMATION BOX</t>
  </si>
  <si>
    <t xml:space="preserve"> Straight Contract for Installation of Street Lights (Phase 2) Along National Highway See attached link/Url under OTHER INFORMATION BOX</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</si>
  <si>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</si>
  <si>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</si>
  <si>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</si>
  <si>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The Municipal Government of Marilao hereby invites suppliers and distributors to apply for eligibility and to bid in accordance with IRR of R.A. 9970 for the supply of labor and materials in the amount of Php 1,400,000.00</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</si>
  <si>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</si>
  <si>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</si>
  <si>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Rehabilitation/ Major Repair of Drainage Structure</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</si>
  <si>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</si>
  <si>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</si>
  <si>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</si>
  <si>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</si>
  <si>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</si>
  <si>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</si>
  <si>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</si>
  <si>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BDF Approved Project</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</si>
  <si>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</si>
  <si>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</si>
  <si>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</si>
  <si>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</si>
  <si>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I. Electrical Works Labor OCM/CP/VAT</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</si>
  <si>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</si>
  <si>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</si>
  <si>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</si>
  <si>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</si>
  <si>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</si>
  <si>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</si>
  <si>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</si>
  <si>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Purchase of Various Medicines for RHU  *see attached file for the list of medicines</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</si>
  <si>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</si>
  <si>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</si>
  <si>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</si>
  <si>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</si>
  <si>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Straight Contract for Construction of Health Center See attached link/Url under OTHER INFORMATION BOX</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</si>
  <si>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</si>
  <si>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</si>
  <si>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</si>
  <si>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Seven (7) units Motorcycles See attached link under OTHER INFORMATION BOX</t>
  </si>
  <si>
    <t xml:space="preserve"> Straight Contract for Water Project Level 3 See attached link under OTHER INFORMATION BOX</t>
  </si>
  <si>
    <t xml:space="preserve"> Straight Contract for Water Project Level 2 See attached link/Url under OTHER INFORMATION BOX</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</si>
  <si>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</si>
  <si>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Supply and Delivery of Tires</t>
  </si>
  <si>
    <t xml:space="preserve"> School Forms JHS for students grades anf files use</t>
  </si>
  <si>
    <t xml:space="preserve"> please refer to attached documents</t>
  </si>
  <si>
    <t xml:space="preserve"> Straight Contract for Water Project Level 3 See attached link/Url under OTHER INFORMATION BOX</t>
  </si>
  <si>
    <t xml:space="preserve"> Please refer to attached documents.</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</si>
  <si>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</si>
  <si>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Supply and Delivery of Oils and Lubricants</t>
  </si>
  <si>
    <t xml:space="preserve"> 1	set	Transmitter with complete accessories	 		    600watts FM Transmitter (Brand New)	 		       - RF Output Power : 0-600 watts 1w/step	 		       - Frequency Range : 87.5-108 Mhz, 100Khz/step	 		       - RF Output Connector : L29-Female	 		       - RF Ou</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</si>
  <si>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</si>
  <si>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</si>
  <si>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</si>
  <si>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Construction of Multi-Purpose Building and other Improvement at Brgy. Talon 2, Las Pinas City</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</si>
  <si>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</si>
  <si>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</si>
  <si>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</si>
  <si>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EARTHWORKS CONCRETE WORKS MASONRY WORKS ROOFING WORKS ELECTRICAL WORKS MECHANICAL WORKS SANITARY/PLUMBING WORKS</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</si>
  <si>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</si>
  <si>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</si>
  <si>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</si>
  <si>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Name of Project: Purchase of 56 units Jet-type Pitcher  Location: Pura, Tarlac  ABC: Php150,000.00</t>
  </si>
  <si>
    <t xml:space="preserve"> The Energy Regulatory Commission (ERC), through the General Appropriations Act of 2020, intends to apply the sum of Seventy-Five Thousand Pesos (PhP75,000.00), being the Approved Budget for the Contract of the TrendMicro Portal Protect License Renewal, wi</t>
  </si>
  <si>
    <t xml:space="preserve"> ITEM            QUANTITY            UNIT                DESCRIPTION 102(2)             61.2                 CU.M               COMMON EXCAVATION 201                 61.2                  CU.M               AGGREGATE BASE COURSE 301                 306    </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</si>
  <si>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</si>
  <si>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</si>
  <si>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</si>
  <si>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</si>
  <si>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</si>
  <si>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</si>
  <si>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</si>
  <si>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The Energy Regulatory Commission (ERC), through the General Appropriations Act of 2020, intends to apply the sum of Five Hundred Seventy Thousand Pesos (PhP570,000.00), being the Approved Budget for the Contract of the Kaspersky AV Renewal, with the follo</t>
  </si>
  <si>
    <t xml:space="preserve"> One (1) Unit Laptop and One (1) Unit External Hard Drive</t>
  </si>
  <si>
    <t xml:space="preserve"> Drainage Improvement including Rehabilitation of Road</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</si>
  <si>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</si>
  <si>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</si>
  <si>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</si>
  <si>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</si>
  <si>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ITEM          DESCRIPTION                          QTY.       UNIT I.              Construction of Water System      2          units</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</si>
  <si>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</si>
  <si>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ITEM: 142 bag/s  Portland Cement 40kg 8     cu.m.  Washed Sand 16   cu.m.  Coarsed Gravel 10   length/s 12mm.dia.x6m.Deformed Bars 100 bd.ft  10-2"x 6" x 10ft Coco Lumber 2     pc/s  Hacksaw Blade 8     kg/s  Assorted Nails 5     liters Asphalt Sealant</t>
  </si>
  <si>
    <t xml:space="preserve"> Republic of the PhilippinesA1:R44C16A1:R31A1:R64A1:R75C16A1:R31A1:R76A1:R74A1:R75A1:R76A1:R75A1:R76						 Department of Environment and Natural Resources						 FORESTLAND MANAGEMENT PROJECT						 Province of Iloilo, Region VI						 						 BILL OF QUANTITI</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</si>
  <si>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</si>
  <si>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</si>
  <si>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</si>
  <si>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</si>
  <si>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</si>
  <si>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</si>
  <si>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Republic of the Philippines						 Department of Environment and Natural Resources						 FORESTLAND MANAGEMENT PROJECT						 Province of Iloilo, Region VI						 						 BILL OF QUANTITIES						 Subproject Title/Name		Construction of Atimonan Irrigation and </t>
  </si>
  <si>
    <t xml:space="preserve"> Construction  of Multi-Purpose Building</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</si>
  <si>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</si>
  <si>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</si>
  <si>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</si>
  <si>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</si>
  <si>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</si>
  <si>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</si>
  <si>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</si>
  <si>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</si>
  <si>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</si>
  <si>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</si>
  <si>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</si>
  <si>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</si>
  <si>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Provision of the following supplies: 1. 15 rolls chicken enclosure net  2. 15 dozens Electrolytes Suppliers with good standing shall only be entertained and preferably within locality. May you send your quotation to this e-mail address (ati7.philgeps@gmai</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</si>
  <si>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</si>
  <si>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</si>
  <si>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</si>
  <si>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</si>
  <si>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</si>
  <si>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Article/Description            Qty       Unit                 TILES 60X60                  120        PCS.                      ADHESIVE                      10        SACKS               GROUTH                          5          KLS.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</si>
  <si>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</si>
  <si>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</si>
  <si>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</si>
  <si>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</si>
  <si>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Article/Description             Qty       Unit                          CEMENT                              858       BAGS                    GRAVEL                                96        CU.M.             SAND                                   48      </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</si>
  <si>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</si>
  <si>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</si>
  <si>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</si>
  <si>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</si>
  <si>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</si>
  <si>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</si>
  <si>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ISO VG68</t>
  </si>
  <si>
    <t xml:space="preserve"> SUPPLY AND DELIVERY OF CONSTRUCTION MATERIALS FOR THE REPAIR OF RADIO STATION BUILDING CHARGE TO NON OFFICE</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</si>
  <si>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</si>
  <si>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WAREHOUSE HANDLING (AND ALLIED) SERVICES FOR NFA-NCR AND BATANES WAREHOUSES</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</si>
  <si>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</si>
  <si>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SUPPLY AND DELIVERY OF CONSTRUCTION MATERIALS FOR THE CONSTRUCTION OF VIEW DECK PHASE II CHARGE TO 20% EDF 2020</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</si>
  <si>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</si>
  <si>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REPUBLIC OF THE PHILIPPINES 		                PROVINCE OF PALAWAN MUNICIPALITY OF LINAPACAN June 5, 2020 											  Date                                                                                                                                     </t>
  </si>
  <si>
    <t xml:space="preserve"> LABOR ONLY</t>
  </si>
  <si>
    <t xml:space="preserve"> REPAIR / REPLACEMENT OF DEFECTIVE CCTV CAMERA AT AGUS 7 SPILLWAY</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</si>
  <si>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</si>
  <si>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Revised on: July 28, 2004                                            INVITATION TO APPLY FOR ELIGIBILITY AND TO BID                        The Local Government Unit of Catanauan, Quezon, through its Bids and Awards Committee (BAC), invites suppliers/manuf</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</si>
  <si>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</si>
  <si>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Department of Public Works and Highways (DPWH) Contract ID: 20G00101 Contract Name: Construction of Revetment Wall along Cangaranan River at Cangaranan Bridge (Abutment A), Bugasong, Antique Location of the Contract: Bugasong, Antique --------------------</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</si>
  <si>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</si>
  <si>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PURCHASE OF VARIOUS RESCUE SUPPLIES</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</si>
  <si>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</si>
  <si>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</si>
  <si>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</si>
  <si>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</si>
  <si>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</si>
  <si>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</si>
  <si>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</si>
  <si>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</si>
  <si>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</si>
  <si>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</si>
  <si>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</si>
  <si>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</si>
  <si>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</si>
  <si>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</si>
  <si>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</si>
  <si>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</si>
  <si>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MAINTENANCE OF CCTV CAMERAS</t>
  </si>
  <si>
    <t xml:space="preserve"> PURCHASE OF VARIOUS MEDICINES</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</si>
  <si>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</si>
  <si>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PROCUREMENT OF MUNICIPAL CAB AND CHASIS EURO 4 VEHICLE WITH THE FOLLOWING SPECIFICATIONS 	 TYPE OF BODY	              COMMERCIAL VEHICLE ENGINE	                      Type (4N14)2.2L in-line 4                                        Turbocharged and Interco</t>
  </si>
  <si>
    <t xml:space="preserve"> 6	mos	Emergency Quick Response (Ambulance Rescue) 		 Period of Coverage: July 01 to December 31, 2020 		 		Coverage: 	1	24/7 Medical Advisory thru given Hotline 	2	Ambulance service within Barangay premises during an emergency 		 to be brought to any of t</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</si>
  <si>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</si>
  <si>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ITEM                       QTY                                  UNIT                                         ITEM DESCRIPTION 1                       27,188.77                             LITERS                                           DIESEL 2          </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</si>
  <si>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</si>
  <si>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</si>
  <si>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Department of Public Works and Highways (DPWH) Contract ID: 20G00099 Contract Name: Repair/Maintenance of DPWH Buildings, Regional Office Location of the Contract: Fort San Pedro, Iloilo City ---------------------------------------------------------------</t>
  </si>
  <si>
    <t xml:space="preserve"> Department of Public Works and Highways Contract ID	:	20MH0107 Contract Name	:	Construction of Two(2)-Storey, Six(6)-Classrooms School Building at                    Sen. Ninoy Aquino National High School, Sen. Ninoy Aquino, Sultan Kudarat Contract Locati</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</si>
  <si>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</si>
  <si>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Completion of Concrete Bridge</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</si>
  <si>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</si>
  <si>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</si>
  <si>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</si>
  <si>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</si>
  <si>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</si>
  <si>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</si>
  <si>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</si>
  <si>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</si>
  <si>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National Power Corporation INVITATION TO BID PUBLIC BIDDING 2020-0130 1.	The NATIONAL POWER CORPORATION (NPC), through       its        approved       Corporate Budget of CY 2020 intends to apply   the   sum   of (Please see schedule below) being the Appr</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</si>
  <si>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</si>
  <si>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</si>
  <si>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ITEM NO.	UNIT		QTY		DESCRIPTION		 							 1	 sq.m. 		 476.00 		Layout ans Staking		 2	 cu.m 		 240.60 		 Earth Works 		 3	 lot  		 1.00 		 Form Works and Scaffoldings 		 4	 kgs. 		 21,210.74 		 Reinforcing Steel 		 5	 cu.m 		 282.14 		 Reinforcing Concret</t>
  </si>
  <si>
    <t xml:space="preserve"> ITEM NO.	UNIT		QTY		DESCRIPTION		 							 1	 meter 		100		Rescue rope, prusik cords (7mm x 100mm)		 					Polymide provided w/ the thermocore technology		 2	 pcs 		5		 Rescue 8 with horn, steel 		 					 Large sized figure eight descender,hot forced alloy 	</t>
  </si>
  <si>
    <t xml:space="preserve"> Proposed Construction of Malimono District Hospital Admin Building, Surigao del Norte</t>
  </si>
  <si>
    <t xml:space="preserve"> 1.	4		rms.		Bond Paper A4		 2.	4		rms.		Bond Paper (Long)		 3.	2		rms.		Bond Paper (Short)		 4.	100		pcs.		Plastic File Envelope		 5.	1000		pcs.		Assorted Notebook		 6.	150		pcs.		Crayola		 7.	50		pcs.		Binder Notebook		 8.	2		bxs.		Ballpen		 9.	100		pcs.</t>
  </si>
  <si>
    <t xml:space="preserve"> Proposed Construction of Cadaver Holding, Lianga District Hospital, Surigao del Sur</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</si>
  <si>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</si>
  <si>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INCIDENT COMMAND CENTER (PHASE 2)</t>
  </si>
  <si>
    <t xml:space="preserve"> Proposed Upgrading of Talacogon District Hospital (Construction of Isolation Building), Talacogon District Hospital, Agusan del Sur</t>
  </si>
  <si>
    <t xml:space="preserve"> Proposed Upgrading of  Bunawan District Hospital (Construction of Additional Ward Building), Bunawan District Hospital, Agusan del Sur</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</si>
  <si>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</si>
  <si>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</si>
  <si>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</si>
  <si>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</si>
  <si>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</si>
  <si>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1.	The LGU-Mallig, Isabela, through the Tobacco Excise Tax 2016 intends to apply the sum of Six Hundred Thousand Nine Hundred Four Pesos &amp; 93/100 Only                        (Php 600,904.93) being the Approved Budget for the Contract (ABC) to payments und</t>
  </si>
  <si>
    <t xml:space="preserve"> Contract ID                :    20CSEG01 Contract Name           :    Geotechnical Investigation for the Proposed  FY 2021                                      Infrastructure Program-Bridges Location of Contract    :    Replacement of Weak Bridge – Tanaba</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</si>
  <si>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</si>
  <si>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</si>
  <si>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</si>
  <si>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</si>
  <si>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</si>
  <si>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</si>
  <si>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Procurement of Medical Equipment (BHS Package)</t>
  </si>
  <si>
    <t xml:space="preserve"> Construction of Slope Protection for 2 Storey 8 Classroom</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</si>
  <si>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</si>
  <si>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</si>
  <si>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Procurement of HIV Test Kits</t>
  </si>
  <si>
    <t xml:space="preserve"> 11 UNITS PORTABLE GENERATOR: 5,500 WATTS ELEC. STARTER W/BATTERY</t>
  </si>
  <si>
    <t xml:space="preserve"> 1	PASSENGER VAN   Service Vehicle 	ENGINE SPECIFICATIONS 	*Model: 1GD-FTV 	*Engine Technology: 4 cylinders, In-line Type 	*Type: 16-Valve DOHC 	*Displacement:   2,755 - 3,000 cc 	*Maximum Output: 176/3,400 Ps/Rpm 	*Maximum Torque: 450/1,600~2,400 Nm/Rpm 	</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</si>
  <si>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</si>
  <si>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IB 2020-007-008 POSE Procurement of Office Supplies &amp; Equipment, Furnitures &amp; Fixtures 2020-08</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</si>
  <si>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</si>
  <si>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</si>
  <si>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PB NO. 2020-039		 			 1.	1	lot	Proposed construction of line canal at Brgy. San Nicolas, San Pablo City. 			By: Contract 			 	Deadline for Submission of Bids: July 9, 2020 1:00 pm</t>
  </si>
  <si>
    <t xml:space="preserve"> ANTHRACITE COAL SILICA SAND</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</si>
  <si>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</si>
  <si>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</si>
  <si>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PB NO. 2020-038		 			 1.	1	lot	Proposed concreting of road at Patria Village, Brgy. Del Remedio, San Pablo City. 			By: Contract 			 	Deadline for Submission of Bids: July 9, 2020 10:00 am</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</si>
  <si>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</si>
  <si>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</si>
  <si>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</si>
  <si>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DIESEL  GASOLINE ATF BRAKE FLUID OIL 40 OIL TREATMENT OIL 30</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</si>
  <si>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</si>
  <si>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</si>
  <si>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One (1) Job Furnishing Labor, Materials and Equipment for the Rehabilitation of Multi-Purpose Hall Phase II</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</si>
  <si>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</si>
  <si>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</si>
  <si>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</si>
  <si>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</si>
  <si>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</si>
  <si>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ANTI RABBIES DRUGS MENTAL HEALTH DRUGS ANTI TETANUS DRUGS ANTI CHOLINERGIC/ANTACID ANTIBACTERIAL/ANTIBIOTICS EXTERNAL OINTMENT/DROPS AND ETC...................</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</si>
  <si>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</si>
  <si>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</si>
  <si>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</si>
  <si>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</si>
  <si>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</si>
  <si>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</si>
  <si>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</si>
  <si>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</si>
  <si>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</si>
  <si>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Please see attached Bid Docs</t>
  </si>
  <si>
    <t xml:space="preserve"> MACHINERIES &amp; EQUIPMENT</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</si>
  <si>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</si>
  <si>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ENGINE Type :                                  2.4L Diesel, 4-Cylinder, 16 Valve DOHC Variable                                            Nozzle Turbo with Front Mounted Intercooler Displacement:                      2,393  Transmission:                  </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</si>
  <si>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</si>
  <si>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</si>
  <si>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</si>
  <si>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</si>
  <si>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</si>
  <si>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</si>
  <si>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</si>
  <si>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QUANTITY	UNIT 	DESCRIPTION                                        	UNIT COST EQUIPMENT 85          	Bags   	Palay ( White Seeds)                               	161,500.00 3      	Btls.       	Iron 100ml                                         	1,716.00 3 </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</si>
  <si>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</si>
  <si>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</si>
  <si>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</si>
  <si>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</si>
  <si>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</si>
  <si>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</si>
  <si>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</si>
  <si>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</si>
  <si>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</si>
  <si>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</si>
  <si>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</si>
  <si>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</si>
  <si>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</si>
  <si>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</si>
  <si>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Procurement of HIV Supplies</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</si>
  <si>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</si>
  <si>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</si>
  <si>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</si>
  <si>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</si>
  <si>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Republic of the Philippines Municipality of Palompon  Barangay Rizal BIDS AND AWARD COMMITTEE Palompon. Leyte INVITATION TO APPLY FOR ELIGIBILITY AND TO BID N0. 2020-0707-001                                                                                 </t>
  </si>
  <si>
    <t xml:space="preserve"> Republic of the Philippines Municipality of Palompon  Barangay Central III BIDS AND AWARD COMMITTEE Palompon. Leyte INVITATION TO APPLY FOR ELIGIBILITY AND TO BID N0. 2020-0707-001                                                                           </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</si>
  <si>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</si>
  <si>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</si>
  <si>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</si>
  <si>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</si>
  <si>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</si>
  <si>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</si>
  <si>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</si>
  <si>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</si>
  <si>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</si>
  <si>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</si>
  <si>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</si>
  <si>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Location : Legazpi City, Albay Scope of Work : Repair/Maintenance of 15.00 l.m. Reinforced Concrete Dike</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</si>
  <si>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</si>
  <si>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4 Cylinder Diesel Engine Manual Transmission 4 Cu. Mtr. Capacity</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</si>
  <si>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</si>
  <si>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4 Cylinder Diesel Engine Manual Transmission Dual A/C</t>
  </si>
  <si>
    <t xml:space="preserve"> DIESEL AND OIL AND LUBRICANT   (ATTACHED REQUEST FOR QUOTATION)</t>
  </si>
  <si>
    <t xml:space="preserve"> REPAIR OF LEGISLATIVE OFFICE/BUILDING</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</si>
  <si>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</si>
  <si>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851 heads Chicken (ready to lay) 49.5 bags Feeds (pdp) 50 kls. 82 heads Piglet (8-10 kls) 64 bags Feeds (starter) 123 bags Feeds (grower) 95 bags Feeds (finisher)</t>
  </si>
  <si>
    <t xml:space="preserve"> Location : Daraga, Albay Scope of Work : Repair/Maintenance of 16.00 l.m. Reinforced Concrete Dike</t>
  </si>
  <si>
    <t xml:space="preserve"> Republic of the Philippines Province of Cotabato Municipality of Aleosan Invitation to Bid  SUPPLY, DELIVERY AND REPAIR OF SPAREPARTS OF HEAVY EQUIPMENT (VIBRATORY COMPACTOR), LGU ALEOSAN, COTABATO                                                          </t>
  </si>
  <si>
    <t xml:space="preserve"> Biologic s</t>
  </si>
  <si>
    <t xml:space="preserve"> 630lm</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</si>
  <si>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</si>
  <si>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</si>
  <si>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Procurement of Labor Cost for Demolition and Reconstruction of MPB (Wellness Center) Php353,600.00</t>
  </si>
  <si>
    <t xml:space="preserve"> Procurement of Airconditioner Php600,000.00</t>
  </si>
  <si>
    <t xml:space="preserve"> ATTACHED</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</si>
  <si>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</si>
  <si>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</si>
  <si>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Procurement of Labor for the Repair of Existing Facilities at Lowan2 -Php200,000.00</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</si>
  <si>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</si>
  <si>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</si>
  <si>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</si>
  <si>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</si>
  <si>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</si>
  <si>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</si>
  <si>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Repair/Maintenance of Big Mateo Bridge Revetment (Limits: K1622+217)</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</si>
  <si>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</si>
  <si>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</si>
  <si>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</si>
  <si>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Installation of Solar Lighting, Concrete Works &amp; Project Marker</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</si>
  <si>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</si>
  <si>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</si>
  <si>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Ink, Master Roll and Rubber Roll, to be used for production of learning modules, worksheets, activity and lesson exemplars</t>
  </si>
  <si>
    <t xml:space="preserve"> Please see the attached Documents</t>
  </si>
  <si>
    <t xml:space="preserve"> ATTACH</t>
  </si>
  <si>
    <t xml:space="preserve"> Bond Paper (Long Sub. 20) to be used for production of learning modules, worksheets, activity and lesson exemplars</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</si>
  <si>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</si>
  <si>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Risograph Machine to be used for production of learning modules, worksheets, activity and lesson exemplars</t>
  </si>
  <si>
    <t xml:space="preserve"> Repair/Maintenance of DILG Building</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</si>
  <si>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</si>
  <si>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</si>
  <si>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Construction/Rehabilitation of Water Supply/Septage and Sewerage/Rain Water Collectors</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</si>
  <si>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</si>
  <si>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</si>
  <si>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</si>
  <si>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Construction of Stone Masonry</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</si>
  <si>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</si>
  <si>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various items ( as per Purchase Request)</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</si>
  <si>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</si>
  <si>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DEMOBILIZATION											 OCCUPATIONAL SAFETY &amp; HEALTH PROGRAM											 CONCRETE WORKS											 REINFORCING STEEL OF REINFORCED CONCRETE											 FORM WORKS &amp; FALSE WORK ONE STOREY)											 PLUMBING WORKS AND FIXTURES											 UN-GLAZED TILES		</t>
  </si>
  <si>
    <t xml:space="preserve"> Deodorizer to be used at different government facility</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</si>
  <si>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</si>
  <si>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various medical and dental and laboratory supplies</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</si>
  <si>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</si>
  <si>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</si>
  <si>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</si>
  <si>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</si>
  <si>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Excavation, grouted riprap, plastering</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</si>
  <si>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</si>
  <si>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Concreting of 2.02 Lane Km.; Width=2.50m, Thk.=0.20m, Installation of 6” CHB Line Canal with Stiffener and 0.910m ø RCPC with Headwall</t>
  </si>
  <si>
    <t xml:space="preserve"> Earthworks excavation, stone masonry works, plastering, material carriage</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</si>
  <si>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</si>
  <si>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</si>
  <si>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</si>
  <si>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Republic of the Philippines Municipality of Taytay Barangay:Sandoval NOTICE TO BIDDERS 							 Item No.	Qty.		Unit of  Item		 Description		 				 1	       	50		sack 			 rice 			  2	      	10   		sack	       		 sugar			  3	       	520    	pcs	      		 g-tas</t>
  </si>
  <si>
    <t xml:space="preserve"> MOBILIZATION/ DEMOBILIZATION											 OCCUPATIONAL SAFETY AND HEALTH PROGRAM											 CONCRETE WORKS											 REINFORCING STEEL OF REINFORCED CONCRETE											 FORM WORKS &amp; FALSE WORK ONE STOREY)											 Fabricated Metal Roofing Accessory (Ridg</t>
  </si>
  <si>
    <t xml:space="preserve"> 6m x 6m</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</si>
  <si>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</si>
  <si>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</si>
  <si>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For Improvement/ Cleaning and Maintenance of Drainage Canal (Materials)</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</si>
  <si>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</si>
  <si>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Sub-grade preparation, base coarse preparation, gravel surface coarse(shouldering), PCCP</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</si>
  <si>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</si>
  <si>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</si>
  <si>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</si>
  <si>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Construction of 1-Storey 2-Classroom School Building (with Toilet) with window grilles (9.5m x 18.0m plus corridor)</t>
  </si>
  <si>
    <t xml:space="preserve"> 1 LOT	Hybrid Soil and Plant Laboratory (Chemistry and Biology) Equipment 							 Specifications/Inclusions:			 1 UNIT Interactive Projector - (Size 35.6 cm X 37.5 cmX 76.8 cm), (Weight- 12.7 kg), (Projector box- 51.6X 49.4X 57.9 cm, shipping weight- 14.5 </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</si>
  <si>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</si>
  <si>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Tree cutting and clearing, excavation, chipping of concrete, clearing &amp; wasting, canal cover, shoulder &amp; gutter and cross drain</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</si>
  <si>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</si>
  <si>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</si>
  <si>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</si>
  <si>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Excavation, concrete works, masonry works, roofing &amp; railings, doors &amp; windows, toilet, kitchen, &amp; tiles, ceiling, septic tank &amp; canal, electrical, gate, pergola &amp; barrier, painting</t>
  </si>
  <si>
    <t xml:space="preserve"> Earthworks: excavation, manual hauling of materials, embankment(stone masonry), concrete topping &amp; plastering</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</si>
  <si>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</si>
  <si>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</si>
  <si>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</si>
  <si>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</si>
  <si>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For Construction of Multi-purpose Building (DSWD)</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</si>
  <si>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</si>
  <si>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</si>
  <si>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for Construction of Multi-purpose Building Phase III</t>
  </si>
  <si>
    <t xml:space="preserve"> For Expansion/ Improvement of Level III Water System</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</si>
  <si>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</si>
  <si>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</si>
  <si>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</si>
  <si>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Approved Budget Cost:  Php 300,000.00 To be delivered within 7 days upon receipt of P.O. Source of Fund:  Corporate Budget Fund Posting at PHILGEPS:  June 19, 2020</t>
  </si>
  <si>
    <t xml:space="preserve"> For Concreting of 120 meters Unpaved road</t>
  </si>
  <si>
    <t xml:space="preserve"> ITEM NO.	UNIT		QTY		DESCRIPTION		 							 1	 ltr. 		35		Albendazole 15% (1liter)		 2	 bts. 		16		 Vitamin ADE (100ml/bottle) 		 3	 vials 		400		 Rabies Vaccine (10 doses/vial) 		 4	 amp 		12		 Ephinephrine 		 5	 pcs 		6821		 Dog tag/ Dog Collar 		 6	 pcs </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</si>
  <si>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</si>
  <si>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Item I Excavation Item II Formworks Item III 2 Barrel RCBC (incl. wingwall, headwall &amp; apron) Item IV Embankment Item V Subgrade Preparation Item VI Portland Cement Concrete Pavement</t>
  </si>
  <si>
    <t xml:space="preserve"> Up keeping and Maintenance of the Port Physical Facilities for a period of  Eleven (11) Months</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</si>
  <si>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</si>
  <si>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For Construction of DRRM Operations Center Phase I</t>
  </si>
  <si>
    <t xml:space="preserve"> Procurement ID/ Contract ID:	20FJ0027 Contract Name:	Repair/ Maintenance of DPWH Building, Motorpool, Masbate III District Engineering Office                                                                  Contract Location:	Brgy. Balocawe, Dimasalang, M</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</si>
  <si>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</si>
  <si>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105(1)	Sub-Grade Preparation			1,200.00 	 sq.m.  201	Aggregate Sub-Base Coarse		        345.00 	 cu.m.  311	Portland Cement Concrete Pavement		 600.00 	 sq.m.</t>
  </si>
  <si>
    <t xml:space="preserve"> For 400 pcs ARAD Water System</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</si>
  <si>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</si>
  <si>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</si>
  <si>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</si>
  <si>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Equipment Rental for the Demolition and Reconstruction of MPB Php83,345.00</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</si>
  <si>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</si>
  <si>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ITEM NO.	UNIT		QTY		DESCRIPTION		 							 					Wood Vinegar Production		 1	 sacks 		80		 Coconut Shells 		 2	 pcs. 		500		 Empty Bottle(1.5) 		 3	 sacks 		100		 Wood Cuttings 		 4	 pcs. 		3		 Pail (Orocan) 		 5	 pcs. 		3		 Plywood Marine (1/2) 		 6	 bd.ft</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</si>
  <si>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</si>
  <si>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</si>
  <si>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see ITB attached</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</si>
  <si>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</si>
  <si>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</si>
  <si>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For Construction of Community Police Assistance Center (COMPAC)</t>
  </si>
  <si>
    <t xml:space="preserve"> Item I Preparation of Base Item II Riprap Item III Concrete Paving</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</si>
  <si>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</si>
  <si>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</si>
  <si>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ITEM NO.	UNIT		QTY		DESCRIPTION		 							 					 BOTIKA NG BAYAN 		 					 Proper Dispensing and Monitoring of Prescribed Medicines 		 1	 bxs 		5		Acetylcysteine 200mg Sachet 100's		 2	 bxs 		10		 Acetylcysteine 600mg Effervescent 100's 		 3	 bxs 		25		 Alu</t>
  </si>
  <si>
    <t xml:space="preserve"> Project 2020-15: Purchase of Assorted Sizes uPVC Pipes S-8 &amp; S-10, Fixed Seal</t>
  </si>
  <si>
    <t xml:space="preserve"> For MMH Medicines</t>
  </si>
  <si>
    <t xml:space="preserve"> For 4 Units Aircon Floor Standing 3HP with Installation</t>
  </si>
  <si>
    <t xml:space="preserve"> 1 unit Submersible Pump Coupled with Submersible Motor w/ the ff. specs;       Pump: Q - 18 lps (300 GPM),      TDH - 135 ft,      NTP - 3",  Motor: Rating - 15 Hp,       Frequency - 60 HZ,      Eff. - 68%,       FS - 1.15,       Phasing – 3,      Voltage</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</si>
  <si>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</si>
  <si>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ITEM NO.	QTY.	UNIT	SPECIFIC DESCRIPTION	     1	         95	 Pcs	150mm(6”)Ø x 6m uPVC Pipe with Rubber Ring (Series 8)		     2	         95	 Pcs	200mm(8”)Ø x 6m uPVC Pipe with Rubber Ring (Series 8)		     3	       240	 Pcs	250mm(10”)Ø x 6m uPVC Pipe with Ru</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</si>
  <si>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</si>
  <si>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</si>
  <si>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Item I Demolition of Existing Structure Item II Subgrade Preparation Item III Masonry Works Item IV Fabrication &amp; Installation of Gate Item V Portland Cement Concrete Pavement</t>
  </si>
  <si>
    <t xml:space="preserve"> ITEM NO.	UNIT		QTY		DESCRIPTION		 							 					Clinical Laboratory Program		 					 Conduct of early diagnosis through Clinical Laboratory 		 					 examination 		 1	 bots 		12		 70% Isoprophyl Alcohol (1 liter) 		 2	 bxs 		16		 Face Mask 		 3	 bxs 		5		 Mi</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</si>
  <si>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</si>
  <si>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</si>
  <si>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</si>
  <si>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</si>
  <si>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</si>
  <si>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</si>
  <si>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For Health Equipment,</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</si>
  <si>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</si>
  <si>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ITEM NO. QTY UNIT DESCRIPTION 1.  580 PCS 4 THICK CHB 2.  48 BAGS CEMENT 3.  4.0 CU M WASH SAND 4.  30 LENGTH 10MM DEF BAR 5.  4 KILOS TIE WIRE # 16 6.  9 SHTS 1/4"X4'X8' B. I. PLATE 7.  16 LENGTH 1/4"X1"X1"X6.0M 8.  6 LENGTH  16MM DIAX6.0 DEF BAR 9.  8 P</t>
  </si>
  <si>
    <t xml:space="preserve"> RFQ-GS-20200616-05 Interested Suppliers are invited to submit Price Quotation for the above listed item. The official LANDBANK Request for Quotation Form may be obtained from MS. LUBELLE LUMABAS (email address: landbank2290@gmail.com; llumabas@mail.landba</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</si>
  <si>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</si>
  <si>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For Medical Supplies for MMH</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</si>
  <si>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</si>
  <si>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</si>
  <si>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</si>
  <si>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</si>
  <si>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</si>
  <si>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</si>
  <si>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</si>
  <si>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Please see the attached file.</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</si>
  <si>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</si>
  <si>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Repair/Renovation of Service Stairwell including Demolition/Dismantling of Elevated Water Tank (Near Accounting Building)</t>
  </si>
  <si>
    <t xml:space="preserve"> Various Construction Materials</t>
  </si>
  <si>
    <t xml:space="preserve"> Angle bar Rib Type, Long Span Roof Purlins Welding Rod Cement Tecscrew, etc</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</si>
  <si>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</si>
  <si>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</si>
  <si>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</si>
  <si>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Renovation of Accounting Office</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</si>
  <si>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</si>
  <si>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</si>
  <si>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</si>
  <si>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</si>
  <si>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Assorted Oil Crude Oil</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</si>
  <si>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</si>
  <si>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For Improvement / Cleaning and Maintenance of Drainage Canal (Labor)</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</si>
  <si>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</si>
  <si>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</si>
  <si>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a.) 601 bags Complete Fertilizer (14-14-14) b.) 405 bags 16-20-0 c.)  848 bags Urea (46-0-0) d.) 69 bags 21-0-0-24S e.) 970 bags Organic Fertilizer (Siglat)</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</si>
  <si>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</si>
  <si>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</si>
  <si>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</si>
  <si>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103(1)	Structural Excavation		     6.48 	 cu.m.  500	Reinforced Concrete Culvert Pipes     6.00 	 LM  506)	Stone Masonry (RCCP Headwall)	     1.92 	 cu.m.  104(1)	Embankment			     130.00 	 cu.m.  105(1)	Sub-Grade Preparation	    1,760.00 	 sq.m.  201	Agg</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</si>
  <si>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</si>
  <si>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Improvement of Regional Comptrollership Division Office</t>
  </si>
  <si>
    <t xml:space="preserve"> See attached files</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</si>
  <si>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</si>
  <si>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</si>
  <si>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</si>
  <si>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</si>
  <si>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SEE ATTACHED FILES IN THE LINK ON "OTHER INFORMATION"</t>
  </si>
  <si>
    <t xml:space="preserve"> CONCRETING OF ACCESS ROAD -STA CRUZ Brgy. Sta. Cruz, Labo, Cams. Norte</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</si>
  <si>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</si>
  <si>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CONSTRUCTION OF SCHOOL BUILDING, CUM EVACUATION CENTER MALAYA HIGH SCHOOL Brgy. Malaya,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</si>
  <si>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</si>
  <si>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CONCRETING OF BARANGAY ROAD BULHAO Brgy. Bulhao, Labo, Cams. Norte</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</si>
  <si>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</si>
  <si>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CONCRETING OF PAVEMENT-BRGY. STA CRUZ Brgy. Sta. Cruz, Labo, Cams. Norte</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</si>
  <si>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</si>
  <si>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</si>
  <si>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</si>
  <si>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a.) Ceiling Works (Q=1 lot.) b.)Tile Works (Q=1 lot.) c.) Painting Works (Q=1 lot) d.) Metal Works (Q= 1 lot) e.) CSHP (Q=1 lot)</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</si>
  <si>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</si>
  <si>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a.) Project Signboard (Q=1 lot) b.) Mobilization/Demobilization (Q=1 lot c.) Construction Safety and Health Program (Q=1 lot) d.) Formworks &amp; wood works (Q-1 lot) e.) Steel Works (Q-1 lot) f.) Concrete Works (V=7,9585 cu.m.) g.) Masonry Works (Q= 1lot) h.</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</si>
  <si>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</si>
  <si>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CONSTRUCTION OF MUNICIPAL DRAINAGE Labo, Cams. Norte</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</si>
  <si>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</si>
  <si>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REPUBLIC OF THE PHILIPPINES 		                PROVINCE OF PALAWAN MUNICIPALITY OF LINAPACAN 	June 5, 2020 Invitation to Bid (ITB No. 10-20) 1.	The Municipal Government of Linapacan, Palawan through the MUNICIPAL DEVELOPMENT FUND  (20% MDF 2019) projects i</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</si>
  <si>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</si>
  <si>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</si>
  <si>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</si>
  <si>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105(1)	Sub-Grade Preparation		 1,200.00 	 sq.m.  201	Aggregate Sub-Base Coarse		 225.00 	 cu.m.  311	Portland Cement Concrete Pavement	 488.00 	 sq.m.</t>
  </si>
  <si>
    <t xml:space="preserve"> Construction of Pigcawayan Fire Station Building</t>
  </si>
  <si>
    <t xml:space="preserve"> Construction of Norala Fire Station Building</t>
  </si>
  <si>
    <t xml:space="preserve"> 105(1)	Sub-Grade Preparation			 300.00 	 sq.m.  201	Aggregate Sub-Base Coarse			 25.00 	 cu.m.  311	Portland Cement Concrete Pavement		150.00 	 sq.m.</t>
  </si>
  <si>
    <t xml:space="preserve"> 103(1)	Structural Excavation			 7.56 	 cu.m.  500	Reinforced Concrete Culvert Pipes	 7.00 	 LM  506)	Stone Masonry (RCCP Headwall)		 1.92 	 cu.m.  105(1)	Sub-Grade Preparation	  1,200.00 	 sq.m.  201	Aggregate Sub-Base Coarse	     385.00 	 cu.m.  311	Port</t>
  </si>
  <si>
    <t xml:space="preserve"> 105(1)	Sub-Grade Preparation		 2,736.00 	 sq.m.  201	Aggregate Sub-Base Coarse		870.00 	 cu.m.  311	Portland Cement Concrete Pavement	1,710.00 	 sq.m.</t>
  </si>
  <si>
    <t xml:space="preserve"> 100	Clearing &amp; Grubbing				 112.00 	 cu.m.  102	Excavtion to Line and Grade		 75.59 	 LM  104(1)	Embankment				 750.00 	 cu.m.  105(1)	Sub-Grade Preparation		 3,210.32 	 sq.m.  201	Aggregate Sub-Base Coarse		 960.00 	 cu.m.  311	Portland Cement Concrete P</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</si>
  <si>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</si>
  <si>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</si>
  <si>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</si>
  <si>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</si>
  <si>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General Items, Intake Sump, Delivery Pipeline, Power House &amp; Pumping Set, Solar Mounting Structure, Perimeter Fence, Project Marker &amp; Signboard, Mobilization/Demobilization</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</si>
  <si>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</si>
  <si>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</si>
  <si>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</si>
  <si>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</si>
  <si>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</si>
  <si>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</si>
  <si>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</si>
  <si>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</si>
  <si>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</si>
  <si>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</si>
  <si>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Construction of Magpet Fire Station Building</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</si>
  <si>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</si>
  <si>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2 UNITS	Type II Wide Body Ambulance 	 		with complete accessories	 		Brand New	 		Description:	 		Inline -4 Cylinder, DOHC, 16 Valves,	 		variable Turbocharger (VGS);	 		Common Rail Direct Injection	 		129PS Max Power;	 		356NM Max Torque;	 		16 Liter fil</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</si>
  <si>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</si>
  <si>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</si>
  <si>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Re-roofing of Brgy. Hall</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</si>
  <si>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</si>
  <si>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</si>
  <si>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</si>
  <si>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</si>
  <si>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QTY	UNIT	ITEM DESCRIPTION 		  1.00 	l.s.	Concrete and Masonry Works  32.18 	sq.m.	Ceiling Works  12.00 	sq.m.	Wall Partition  1.00 	set/s	Installation of Doors  1.00 	l.s.	Plumbing Works  1.00 	l.s.	Electrical Works  1.00 	l.s.	Fabrication/Installation of</t>
  </si>
  <si>
    <t xml:space="preserve"> a.) Excavation (Q=16.20cu.m.) b.)stone masonry (Q=85.50 cu.m.) c.) CSHP (Q=1 lot) d.) Handling of Materials (Q= 1 lot) e.) Project Signboard (Q=1 lot)</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</si>
  <si>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</si>
  <si>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</si>
  <si>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</si>
  <si>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</si>
  <si>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Item No.	  Description		Qty.		Unit 100(1) Clearing and Grubbing- 0.0467 ha. 102(2) Surplus Common Excavation 56.040 cu.m. 103(1)a Structure Excavation, common soil 29.40 cu.m. 104(2)a Embankment from Borrow(Common soil)-57.190 cu.m. 200(1) Aggregate Sub-b</t>
  </si>
  <si>
    <t xml:space="preserve"> QTY	UNIT	ITEM DESCRIPTION 		  85.90 	sq.m.	Masonry Works  1.55 	cu.m.	Concrete Works  64.94 	sq.m.	Roofing Works</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</si>
  <si>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</si>
  <si>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see attached program of work</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</si>
  <si>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</si>
  <si>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</si>
  <si>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</si>
  <si>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</si>
  <si>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Procurement of Toilet Bowl</t>
  </si>
  <si>
    <t xml:space="preserve"> Medical Oxygen etc NOTE:To all suppliers bid documents and BAC Resolution 2020-029 are available at BAC Office and LGU website.</t>
  </si>
  <si>
    <t xml:space="preserve"> see attached program of works</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</si>
  <si>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</si>
  <si>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</si>
  <si>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</si>
  <si>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</si>
  <si>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</si>
  <si>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</si>
  <si>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</si>
  <si>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</si>
  <si>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</si>
  <si>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Construction of concrete box culvert with embankment at Rafael Lacson Street (Slaughterhouse road)</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</si>
  <si>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</si>
  <si>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</si>
  <si>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</si>
  <si>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Construction of MPB</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</si>
  <si>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</si>
  <si>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</si>
  <si>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QTY	UNIT	ITEM DESCRIPTION 		  1.00 	l.s.	Clearing  240.00 	lmtr.	Construction of Line Canal</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</si>
  <si>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</si>
  <si>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ARPA-RADAR Simulator  (Full Mission Ship Bridge Simulator) with complete accessories  (1 Instructor Station and 6 Students Station) including installation and training orientation.      please see attachment for more references...</t>
  </si>
  <si>
    <t xml:space="preserve"> Procurement for various Information Technology Equipment -The project is subdivided into five lots -The submission of bids would be through the "Online Submission of Bids (OSB)" facility found at the ILS website at ils.dole.gov.ph</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</si>
  <si>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</si>
  <si>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</si>
  <si>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</si>
  <si>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</si>
  <si>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</si>
  <si>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</si>
  <si>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</si>
  <si>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</si>
  <si>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4 units Brand New Dump Truck 8x4: COMPLETE KERB MASS (kg): 8x4, GVW (kg): 8500, DIMENSIONS LWH (mm): 10400*2500*3600, FRONT/REAR OVERHANG (mm): 1525/2055, WHEELBASE (mm): 1800+3600+1400, MAX. SPEED (kmh): 88, MIN. TURNING CIRCLE: 17, MIN. GROUND CIRCLE: 3</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</si>
  <si>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</si>
  <si>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</si>
  <si>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Description:		 			Road Canal Section Length: 260 L.m		 			Type:  Grouter Riprap		 			Depth: 0.08m		 			Width, Bottom: 0.60m		 			Top: 0.80m	 	 			CONTRACT COST:	 	 	LOT	1	SPECIAL-ITEM-GENERAL CONDITIONS		 	LOT	1	A. Mobilization and Demobilization		10,000.</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</si>
  <si>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</si>
  <si>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</si>
  <si>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</si>
  <si>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</si>
  <si>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</si>
  <si>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</si>
  <si>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</si>
  <si>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ONE UNIT PICK-UP VEHICLE not less than 2.8L but not more than 3.0L engine displacement 4x4 diesel, manual transmission, model 2020</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</si>
  <si>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</si>
  <si>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</si>
  <si>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</si>
  <si>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CONTRACT COST:		 1.			CONCRETING OF LUNA ST. ROAD SECTION TO PUBLIC MARKET (FROM COR. JOSE ROMERO DRIVE)		 			Work Description:		 			Surface type: Item 311 (PCCP)		 			Width: 6.0 l.m		 			thickness: 0.15m.		 			Road Section Length: 73 l.m	 	 	LOT	1	SPECIA</t>
  </si>
  <si>
    <t xml:space="preserve"> Multicab              1 unit</t>
  </si>
  <si>
    <t xml:space="preserve"> Supply and Delivery of Materials</t>
  </si>
  <si>
    <t xml:space="preserve"> Construction of Convention Center</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</si>
  <si>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</si>
  <si>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</si>
  <si>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</si>
  <si>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</si>
  <si>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</si>
  <si>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</si>
  <si>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</si>
  <si>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</si>
  <si>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</si>
  <si>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</si>
  <si>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</si>
  <si>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</si>
  <si>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</si>
  <si>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</si>
  <si>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</si>
  <si>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Purchase and Delivery of Two (2) Units Laptop Computers and other Equipment and Accessories Santa, Ilocos Sur</t>
  </si>
  <si>
    <t xml:space="preserve"> Purchase and Delivery of Office Supplies for CY 2020 Santa, Ilocos Sur</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</si>
  <si>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</si>
  <si>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Materials for the Completion of Spring Development Project</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</si>
  <si>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</si>
  <si>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Drainage</t>
  </si>
  <si>
    <t xml:space="preserve"> -1,374.00- bags - Thermoplastic Paint White (25 kgs./bag) -153.00- bags - Thermoplastic Paint Yellow (25 kgs./bag) -208.00- bags - Glass Beads (pre-mix) -752.00- liters - Primer -21.00- pc. - G.I. Pipe Schedule 40 6m (76mmØ) -24.00- pcs. - Prohibitory/res</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</si>
  <si>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</si>
  <si>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Descriptions: 120 pcs ceramic toilet bowls Large ordinary</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</si>
  <si>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</si>
  <si>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</si>
  <si>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</si>
  <si>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Surface preparation, base coarse preparation, PCCP, gravel surface coarse(road shouldering)</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</si>
  <si>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</si>
  <si>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</si>
  <si>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</si>
  <si>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Earthworks excavation, stone masonry works(88 lin.m), plastering, manual hauling of materials</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</si>
  <si>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</si>
  <si>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</si>
  <si>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</si>
  <si>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Construction Projects-Construction of Manpower &amp; Training w/GSO Building City Hall Site, Brgy. Awasian, Tandag City</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</si>
  <si>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</si>
  <si>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</si>
  <si>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</si>
  <si>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</si>
  <si>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</si>
  <si>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</si>
  <si>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Construction of Masonry Drainage, Along Atal Street, Cataggaman Viejo, Tuguegarao City</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</si>
  <si>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</si>
  <si>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</si>
  <si>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</si>
  <si>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</si>
  <si>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</si>
  <si>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</si>
  <si>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</si>
  <si>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</si>
  <si>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</si>
  <si>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</si>
  <si>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</si>
  <si>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Fuels and Lubricants for Road Repair and Maintenance (attached request for quotation)</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</si>
  <si>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</si>
  <si>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</si>
  <si>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</si>
  <si>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Name of Procuring Entity:		                        		                              Contract Reference No. LGU-Q-CWC-02-20 LOCAL GOVERNMENT UNIT                           		       Name of Contract: Improvement of Barangay Health Station  QUEZON, ISABELA 		</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</si>
  <si>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</si>
  <si>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</si>
  <si>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</si>
  <si>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</si>
  <si>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</si>
  <si>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Retrofitting/Repair of Bridge</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</si>
  <si>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</si>
  <si>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</si>
  <si>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</si>
  <si>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</si>
  <si>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</si>
  <si>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Republic of the Philippines DEPARTMENT OF PUBLIC WORKS AND HIGHWAYS Region VII            South Road Properties (SRP), Cebu City                                        Contract ID	 : 20H00068 Contract Name   : Construction/Rehabilitation/Improvement of Fa</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</si>
  <si>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</si>
  <si>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</si>
  <si>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</si>
  <si>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</si>
  <si>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</si>
  <si>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</si>
  <si>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</si>
  <si>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</si>
  <si>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</si>
  <si>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</si>
  <si>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</si>
  <si>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Procurement of One Unit Brand New SUV for LGU Operations</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</si>
  <si>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</si>
  <si>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</si>
  <si>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</si>
  <si>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</si>
  <si>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see attached program of works.</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</si>
  <si>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</si>
  <si>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</si>
  <si>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</si>
  <si>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</si>
  <si>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</si>
  <si>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</si>
  <si>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Excavation of 212 mtrs. Creek and Riprapping of Sidewall (Portion)</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</si>
  <si>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</si>
  <si>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Republic of the Philippines Province of Masbate MUNICIPALITY OF CATAINGAN BARANGAY PITOGO   			                                                                                               JUNE 18, 2020 INVITATION TO APPLY FOR ELIGIBILITY AND TO BID The </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</si>
  <si>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</si>
  <si>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</si>
  <si>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</si>
  <si>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</si>
  <si>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</si>
  <si>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</si>
  <si>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</si>
  <si>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Republic of the Philippines Province of Masbate MUNICIPALITY OF CATAINGAN BARANGAY VILLAPOGADO   			                                                                                              JUNE 18, 2020 INVITATION TO APPLY FOR ELIGIBILITY AND TO BID </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</si>
  <si>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</si>
  <si>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</si>
  <si>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115 pairs Uniform (Patrol Shirt and Pants) 115 pairs Patrol Shoes 9 pcs Tshirts with print (Ladies) 55 pcs Traffic Vest 55 pcs Traffic Gloves</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</si>
  <si>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</si>
  <si>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</si>
  <si>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45 units Laptop Specifications: -Intel core i3 7020U -4GB DDR4 -1TB HDD -AMD Radeon 530 2GB DDR5 -Windows 10 Home SL -14" HD -Card Reader -WebCam -WiFi -BT -LAN HDMI -HP 15.6" Value Backpack</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</si>
  <si>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</si>
  <si>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</si>
  <si>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</si>
  <si>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</si>
  <si>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</si>
  <si>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</si>
  <si>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</si>
  <si>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</si>
  <si>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</si>
  <si>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Concreting of 270 cu.m. road pavement</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</si>
  <si>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</si>
  <si>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INVITATION TO BID ON THE SUPPLY, DELIVERY AND INSTALLATION OF                                         1 LOT 645KVA GENERATOR SET OF BUKIDNON STATE UNIVERSITY 1.	The Bukidnon State University through the Bids and Awards Committee &amp; Budget Approved by the B</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</si>
  <si>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</si>
  <si>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</si>
  <si>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</si>
  <si>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</si>
  <si>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Republic of the Philippines                                                                   PROVINCE OF SAMAR                                                                      INVITATION TO BID                                                         </t>
  </si>
  <si>
    <t xml:space="preserve"> One (1) job Furnishing of Labor and Materials for the Rehabilitation of Solid Waste Management Ecological Center at                      Brgy. Capaliz, Dumangas, Iloilo</t>
  </si>
  <si>
    <t xml:space="preserve"> Road Maintenance</t>
  </si>
  <si>
    <t xml:space="preserve"> Removal and Replacement of Sidewalk &amp; Drainage at Orchid St.</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</si>
  <si>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</si>
  <si>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</si>
  <si>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Office table (with 4 drawers)    1 Unit Mahogany Hardwood Lumber Dimension: Length: 60” Width: 35” Height: 30”	 Office table (with 2 drawers)    	10 Units Mahogany Hardwood Lumber Dimension: Length: 48” Width: 24” Height: 30”</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</si>
  <si>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</si>
  <si>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Item No.    : 311 Portland Cement Concrete Pavement Design Mix :  1:2:4 Length       :  75.0 m Width         :   3.0 m Thickness    :   0.15 m Area            :  225.0 sq. m. Volume        :  33.75 cu. m.</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</si>
  <si>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</si>
  <si>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</si>
  <si>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</si>
  <si>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</si>
  <si>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</si>
  <si>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Concreting of Road at Carmen Eco Tourism Park and Spring Resort</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</si>
  <si>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</si>
  <si>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ITEMS: 140      HEADS    BREEDER CHICKEN MALE 1400    HEADS    BREEDER CHICKEN FEMALE</t>
  </si>
  <si>
    <t xml:space="preserve"> REPUBLIC OF THE PHILIPPINES CITY GOVERNMENT OF OROQUIETA BIDS AND AWARD COMMITTEE City Hall, Oroquieta City                                                                                                                       June 17, 2020                </t>
  </si>
  <si>
    <t xml:space="preserve"> Supply and Delivery of 16 rolls AWG ACSR Duplex Wire #2 (1000m/roll) to be used for expansion/installation of NEW Electrical Lines of different Barangays, Brooke’s Point, Palawan</t>
  </si>
  <si>
    <t xml:space="preserve"> Road Concreting</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</si>
  <si>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</si>
  <si>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</si>
  <si>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Procurement of Materials for Rehabilitation of Spring box and pipelines</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</si>
  <si>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</si>
  <si>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Newspaper Publication Services for Republic Acts and Other Presidential Issuances for CY 2020 (Ordering Agreement) – 2nd Newspaper Requirement</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</si>
  <si>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</si>
  <si>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</si>
  <si>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NORTHWEST SAMAR STATE UNIVERSITY-MAIN CAMPUS          	             TELEFAX NOS. (055) 2093122 / 2091554			              Project Reference No. 20-06-123 Name of Project: Supply and Delivery of Laptop Computers for Main Campus Location of Project: NwSSU-Ma</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</si>
  <si>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</si>
  <si>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</si>
  <si>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</si>
  <si>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</si>
  <si>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ITEM: 100    HEADS    GOAT UPGRADED FEMALE</t>
  </si>
  <si>
    <t xml:space="preserve"> Supply and Delivery of 40 rolls AWG ACSR Duplex Wire #6 (1000m/roll) for Electrification Project Expansion of different Barangays, Brooke’s Point, Palawan</t>
  </si>
  <si>
    <t xml:space="preserve"> Installation of Solar Panel Street Lights, Along Zone 01, 02 &amp; 03, Centro 12, Balzain West, Tuguegarao City</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</si>
  <si>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</si>
  <si>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</si>
  <si>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</si>
  <si>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</si>
  <si>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</si>
  <si>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I	135.00	CU.M	EXCAVATION WORKS		 II	1.00	LOT	FORM WORKS		 III	120.00	CU.M	EMBANKMENT WORKS		 IV	106.50	CU.M	CONCRETE WORKS W/ RSB</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</si>
  <si>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</si>
  <si>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</si>
  <si>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Construction of 175 cu.m. capacity reservoir with chlorination house and perimeter fence</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</si>
  <si>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</si>
  <si>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</si>
  <si>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</si>
  <si>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</si>
  <si>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</si>
  <si>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</si>
  <si>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</si>
  <si>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Health Care Benefits of Commission on Appointments' employees for the year 2020-2021</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</si>
  <si>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</si>
  <si>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ITEM: 2   UNITS    Four Wheeled Tractor                   Minimum Specifications:                   ENGINE:                   Rated Power: 50 – 55 HP                   Engine Speed: 2400 – 2500 rpm                   Type: 4 Stroke, Water Cooled,          </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</si>
  <si>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</si>
  <si>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</si>
  <si>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</si>
  <si>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</si>
  <si>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</si>
  <si>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</si>
  <si>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</si>
  <si>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</si>
  <si>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</si>
  <si>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</si>
  <si>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</si>
  <si>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</si>
  <si>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</si>
  <si>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</si>
  <si>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</si>
  <si>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pls refer to attached description</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</si>
  <si>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</si>
  <si>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</si>
  <si>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</si>
  <si>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</si>
  <si>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</si>
  <si>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</si>
  <si>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pls refer to attched description</t>
  </si>
  <si>
    <t xml:space="preserve"> INFORMATION TECHNOLOGY EQUIPMENTS</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</si>
  <si>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</si>
  <si>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</si>
  <si>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</si>
  <si>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</si>
  <si>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</si>
  <si>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</si>
  <si>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</si>
  <si>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</si>
  <si>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</si>
  <si>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</si>
  <si>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</si>
  <si>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</si>
  <si>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</si>
  <si>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</si>
  <si>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</si>
  <si>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</si>
  <si>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</si>
  <si>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SCOPE OF WORKS: I	Installation of Signage	5.00	pcs. II	Site Preparation	2,550.00	sq.m. III	Back filling Works	2,100.00	cu.m. IV	Concrete Works	214.30	cu.m.</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</si>
  <si>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</si>
  <si>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</si>
  <si>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</si>
  <si>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</si>
  <si>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I. GENERAL REQUIREMENTS II. SITE WORKS III. ADMINISTRATIVE BUILDING VI. DORMITORY BUILDING 1 V. DORMITORY BUILDING 2 VI. PERIMETER FENCE VII. MULTI-PURPOSE PAVEMENT</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</si>
  <si>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</si>
  <si>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</si>
  <si>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</si>
  <si>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</si>
  <si>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</si>
  <si>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SCOPE OF WORKS: B.3	         Project Billboard &amp; Sign Board	2.00	each B.7	         Occupational Safety and Health Program	4.00	months	 801(1)	Removal of Structure &amp; Obstruction	1.00	l.s 803(1)a	Structure Excavation, Common Soil	30.00	cu.m. 804(1)b	Embankm</t>
  </si>
  <si>
    <t xml:space="preserve"> DEPARTMENT OF ENVIRONMENT AND NATURAL RESOURCES													 													 CONTRACT REFERENCE NUMBER:  2020-011													 NAME OF THE CONTRACT:  Procurement of ICT Equipment (Desktop Computers and Laptops)													 													 LOCATION OF THE CON</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</si>
  <si>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</si>
  <si>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Delivery and Supply of Abaca Stripping Machine Specification Engine:	                      8-12 HP (Diesel/Gasoline Engine) Model:	                      MMAS Type:	                      Portable, Two Pedals, Spindle Type Output Capacity:	      1.00 - 2.00</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</si>
  <si>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</si>
  <si>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</si>
  <si>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</si>
  <si>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</si>
  <si>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</si>
  <si>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</si>
  <si>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</si>
  <si>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</si>
  <si>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</si>
  <si>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</si>
  <si>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</si>
  <si>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</si>
  <si>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Procurement of Hydraulic Breaker and Hydraulic Grapple for use at EMD (PR No. 20-05-103 dated 5/29/2020), DPWH Regional Office No. V, Rawis, Legazpi City</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</si>
  <si>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</si>
  <si>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</si>
  <si>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</si>
  <si>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Item Description........................................Quantity...............................Unit of Issue 4 x 2, Six Wheeler, Mounted with.....................1..........................................Unit 5.5 cu.m. Dump Truck Body GCM Rating: 16,000 </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</si>
  <si>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</si>
  <si>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Planting Materials (Seedlings) Langka Lansones Macapuno Rambotan</t>
  </si>
  <si>
    <t xml:space="preserve"> Item I	-174.00 sq.m. Finishing and Other Interior Fit-Out Works Item II	-1.00 lot Provision of President’s Office Pantry Item III	-1.00 lot Provision of Toilet and Bath Fixtures Item IV	-1.00 lot Electrical Works</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</si>
  <si>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</si>
  <si>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</si>
  <si>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</si>
  <si>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Item Description........................................Quantity...............................Unit of Issue Bottle and Glass Crusher..................................1..........................................Unit Capacity..............................: </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</si>
  <si>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</si>
  <si>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</si>
  <si>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</si>
  <si>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SUPPLY AND DELIVERY OF MATERIALS FOR THE CONSTRUCTION OF EVACUATION CENTER LOCATED AT BARANGAY NAMBARAN, SANTO DOMINGO, ILOCOS SUR.</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</si>
  <si>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</si>
  <si>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</si>
  <si>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</si>
  <si>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</si>
  <si>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</si>
  <si>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</si>
  <si>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</si>
  <si>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</si>
  <si>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</si>
  <si>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</si>
  <si>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</si>
  <si>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</si>
  <si>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</si>
  <si>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</si>
  <si>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</si>
  <si>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</si>
  <si>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</si>
  <si>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</si>
  <si>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</si>
  <si>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</si>
  <si>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</si>
  <si>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</si>
  <si>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I. BILLBOARD AND SIGNAGE.................................................1.00SET II. EXCAVATION...............................................................30.00CU.M. III. REINFORCING STEEL BARS...........................................................</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</si>
  <si>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</si>
  <si>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</si>
  <si>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Delivery and Supply of Looms Specification: Dimension (LxWxH):	58x39x54 cm Accessories:	        with Sab-ongan/Warping Board, Kalinyasan/Spooling Wheel</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</si>
  <si>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</si>
  <si>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</si>
  <si>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</si>
  <si>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</si>
  <si>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</si>
  <si>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</si>
  <si>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</si>
  <si>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</si>
  <si>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</si>
  <si>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</si>
  <si>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Contract ID: 20CD0167      Contract Name:  Repair/Rehabilitation of Valenzuela-Obando-Meycauayan                                 Flood Control Structures along Palasan River (Panghulo to                                 Paliwas Sec.) Obando, Bulacan      C</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</si>
  <si>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</si>
  <si>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</si>
  <si>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</si>
  <si>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</si>
  <si>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</si>
  <si>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</si>
  <si>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</si>
  <si>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</si>
  <si>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</si>
  <si>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</si>
  <si>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“Garbage Granulator”           CAPACITY: 5 Cu .Meter per Hour a)	Prime Mover:4D35 Diesel Engine                       (Remanufactured) b)	Granulating Chamber: 1”thk. X 70 Cm X 70 Cm X 1.2 Meter c)	BLADES: 19mm x 150mm x 575mm d)	Main Gear Box    : 20 Hp e</t>
  </si>
  <si>
    <t xml:space="preserve"> INSTALLATION OF CONCRETE DRAINAGE SYSTEM OF TAMBUNAN - STA. LUCIA TOURISM ROAD</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</si>
  <si>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</si>
  <si>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Furnishing/ delivering of various common construction materials and supplies ***** Nothing follows *****</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</si>
  <si>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</si>
  <si>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450 liters Insecticide (Active ingredient-Luferurony Carbosulfan)</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</si>
  <si>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</si>
  <si>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Republic of the Philippines                                                        Province of Misamis Oriental                                                MUNICIPALITY OF KINOGUITAN                                           BIDS AND AWARDS COMMITTEE (</t>
  </si>
  <si>
    <t xml:space="preserve"> please download the ITB and its supporting documents in the associated component</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</si>
  <si>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</si>
  <si>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</si>
  <si>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</si>
  <si>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</si>
  <si>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</si>
  <si>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</si>
  <si>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</si>
  <si>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</si>
  <si>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</si>
  <si>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Repainting of Public Buildings. (Barangay Office, Public Market Building, Health Center, AL's Building and BPAT Outpost)</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</si>
  <si>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</si>
  <si>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</si>
  <si>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</si>
  <si>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</si>
  <si>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</si>
  <si>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</si>
  <si>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1 unit Dump truck Specs: Engine            :  Euro 4 Displacement  : 3933cc Max. Power     : 150 ps @2900 rpm Max. Torque: 59 kg-m@ 1,600 rpm Turbo charger: Turbo charger Suspension Type: Semi-elliptic, laminated leaf spring w/shock absorber Fuel Tank Cap</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</si>
  <si>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</si>
  <si>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Work item includes Subgrade preparation, aggregate sub-base course, PCCP, embankment (filling of road shoulders) and rip rapping of existing RCP sides</t>
  </si>
  <si>
    <t xml:space="preserve"> AUDIO AND VISUAL EQUIPMENT</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</si>
  <si>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</si>
  <si>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</si>
  <si>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Work item includes subgrade preparation, aggregate sub base course, PCCP &amp; embankment (filling of road shoulders)</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</si>
  <si>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</si>
  <si>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Republic of the Philippines        PROVINCE OF BUKIDNON             Don Carlos, Bukidnon Invitation to Bid for the Construction of Two-Storey Hall of Justice Building,  Don Carlos, Bukidnon – Phase II (Straight Contract) (Project Reference No. 006-024-202</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</si>
  <si>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</si>
  <si>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Work item includes Subgrade Preparation, Aggregate Sub-base Course, PCCP Class A, Concreting of Adjoining Premises and Grouted Rip rap (Slope Protection)</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</si>
  <si>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</si>
  <si>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</si>
  <si>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</si>
  <si>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Opening of Farm to Market Road Barangay Mabilbila Sur, Santa, Ilocos Sur</t>
  </si>
  <si>
    <t xml:space="preserve"> 1 unit backhoe specs: Engine Power: 40hp Emission : Stage EC Stage lllA Loader Bucket Capacity: 0.36 cu.m. Backhoe Bucket Capacity: 0.08 cu.m. Operating Weight: 4262kg Max. Dig Depth:3.05m Loader Load over Height: up to 2.65m</t>
  </si>
  <si>
    <t xml:space="preserve"> CONSTRUCTION /INSTALLATION OF STREET LIGHTING SYSTEM @ GELERANG KAWAYAN</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</si>
  <si>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</si>
  <si>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</si>
  <si>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</si>
  <si>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concrete pavemernt 303 x 4 m x 4 x.10</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</si>
  <si>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</si>
  <si>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Opening of Farm to Market Road Barangay Bucalag, Santa, Ilocos Sur</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</si>
  <si>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</si>
  <si>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</si>
  <si>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</si>
  <si>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</si>
  <si>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</si>
  <si>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</si>
  <si>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</si>
  <si>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Items of Work: I. Site Preparation.......................................1 Lot II. Excavation, Foundation of Column and Wall Footing.........................1 Lot III. Carpentry and Welding Works, Installation of Steel Truss, Roofing &amp; Ceiling............</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</si>
  <si>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</si>
  <si>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</si>
  <si>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</si>
  <si>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</si>
  <si>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Procurement of FArm Machineries and Equipment-Php 4,000,000.00 35 HP 4WD Tractor - 4 units @ Php 1,000,000.00</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</si>
  <si>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</si>
  <si>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</si>
  <si>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</si>
  <si>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</si>
  <si>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</si>
  <si>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</si>
  <si>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</si>
  <si>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</si>
  <si>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</si>
  <si>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1 unit i5 laptop  1 unit multi function laser copier</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</si>
  <si>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</si>
  <si>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</si>
  <si>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Please see the attached document</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</si>
  <si>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</si>
  <si>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</si>
  <si>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</si>
  <si>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</si>
  <si>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</si>
  <si>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</si>
  <si>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</si>
  <si>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</si>
  <si>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</si>
  <si>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</si>
  <si>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</si>
  <si>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</si>
  <si>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</si>
  <si>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</si>
  <si>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</si>
  <si>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</si>
  <si>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Concreting of Local Road Zone 5, Angustia, Nabua, Camarines Sur</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</si>
  <si>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</si>
  <si>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</si>
  <si>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</si>
  <si>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</si>
  <si>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</si>
  <si>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</si>
  <si>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CONSTRUCTION OF NATIONAL CHILD DEVELOPMENT CENTER @ POBLACION, SAN ISIDRO, LEYTE. FOR THE DETAILED DESCRIPTION, PLEASE SEE ATTACHED FILE  (TECHNICAL REPORT PAGE1 AND PAGE2)</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</si>
  <si>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</si>
  <si>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</si>
  <si>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</si>
  <si>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</si>
  <si>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</si>
  <si>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</si>
  <si>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</si>
  <si>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</si>
  <si>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</si>
  <si>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</si>
  <si>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Republic of the Philippines PROVINCE OF ZAMBOANGA DEL NORTE Municipality of Sibutad BIDS AND AWARDS COMMITTEE 					                                                                                                                    June 17, 2020 INVITATION</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</si>
  <si>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</si>
  <si>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</si>
  <si>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</si>
  <si>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</si>
  <si>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Republic of the Philippines DEPARTMENT OF PUBLIC WORKS AND HIGHWAYS Region VII            South Road Properties (SRP), Cebu City                                        Contract ID	 : 20H00062 Contract Name   : Construction/Repair/Rehabilitation/Improvemen</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</si>
  <si>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</si>
  <si>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</si>
  <si>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</si>
  <si>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</si>
  <si>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</si>
  <si>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</si>
  <si>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</si>
  <si>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Scaffolding                                           LS              LS Plastering at Existing CHB Wall (Exterior and Interior)                          187.20       sq.m Tile Works, Height = 1.80m (Walling and Flooring)                           80.00  </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</si>
  <si>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</si>
  <si>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</si>
  <si>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</si>
  <si>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</si>
  <si>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</si>
  <si>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</si>
  <si>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Concreting of Local Road at Barangay Angustia Going to Brgy. Salvacion Que Gatos, Nabua, Camarines Sur</t>
  </si>
  <si>
    <t xml:space="preserve"> Republic of the Philippines DEPARTMENT OF PUBLIC WORKS AND HIGHWAYS Region VII            South Road Properties (SRP), Cebu City                                        Contract ID	 : 20H00067 Contract Name   : Construction/Repair/Rehabilitation/Improvemen</t>
  </si>
  <si>
    <t xml:space="preserve"> Republic of the Philippines DEPARTMENT OF PUBLIC WORKS AND HIGHWAYS Region VII            South Road Properties (SRP), Cebu City                                        Contract ID	 : 20H00066 Contract Name   : Construction/Repair/Rehabilitation/Improvemen</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</si>
  <si>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</si>
  <si>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</si>
  <si>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Republic of the Philippines                                               Province of Leyte  	                     MUNICIPALITY OF ALBUERA                              OFFICE OF THE MUNICIPAL MAYOR                    OFFICE OF THE BIDS AND AWARDS COMMITTE</t>
  </si>
  <si>
    <t xml:space="preserve"> Completion of Road Concreting at Sitio Ruston, San Antonio Ogbon to La Opinion, Sitio Ruston San Antonio Ogbon, Nabua, Camarines Sur</t>
  </si>
  <si>
    <t xml:space="preserve"> PLEASE SEE ATTACHED PR, TOR AND BID DOCUMENTS FOR DETAILS</t>
  </si>
  <si>
    <t xml:space="preserve"> Contract ID	No. 	      	: 20AD0096 Contract Name	      	: Construction (Completion) of Candon City Hospital    (Satellite ITRMC) Buildings  Contract Location	      	: Candon City, Ilocos Sur	       Brief Description	      	: Construction of Multi-Purpose </t>
  </si>
  <si>
    <t xml:space="preserve"> Republic of the Philippines DEPARTMENT OF PUBLIC WORKS AND HIGHWAYS Region VII            South Road Properties (SRP), Cebu City                                        Contract ID	 : 20H00064 Contract Name   : Construction/Repair/Rehabilitation/Improvemen</t>
  </si>
  <si>
    <t xml:space="preserve"> concrete pavement 455 m x 4 m x .10 m</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</si>
  <si>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</si>
  <si>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</si>
  <si>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Republic of the Philippines DEPARTMENT OF PUBLIC WORKS AND HIGHWAYS Region VII            South Road Properties (SRP), Cebu City                                        Contract ID	 : 20H00065 Contract Name   : Construction/Repair/Rehabilitation/Improvemen</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</si>
  <si>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</si>
  <si>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</si>
  <si>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PLS. SEE ATTACHED PURCHASE REQUISITION, TERMS OF REFERENCE &amp; BID DOCUMENTS FOR DETAILS</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</si>
  <si>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</si>
  <si>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</si>
  <si>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</si>
  <si>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</si>
  <si>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</si>
  <si>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</si>
  <si>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SUPPLY AND INSTALLATION OF DOORS AND WINDOWS PROJECT BILLBOARD</t>
  </si>
  <si>
    <t xml:space="preserve"> 455 m x 4 m x .10 m</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</si>
  <si>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</si>
  <si>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concrete pavement 758 m x 4 m x .10 m</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</si>
  <si>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</si>
  <si>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940 m x 4 m x .10 m</t>
  </si>
  <si>
    <t xml:space="preserve"> PLS. SEE ATTACHED PURCHASE REQUISITION, TERMS OF REFERENCE, &amp; BID DOCUMENTS FOR DETAILS</t>
  </si>
  <si>
    <t xml:space="preserve"> ITEM.	QTY	UNIT OF	DESCRIPTION NO.		ISSUE	 			 1	48	units	Printer 2	997	reams	Bond Paper A4  3	56	set	Ink(black,cyan,magenta,yellow)</t>
  </si>
  <si>
    <t xml:space="preserve"> Nylon # 2 (30meters)- 12 roll CWN # 3 - 36 kgs CWN # 4 - 42 kgs Portland Cement - 1764 bags</t>
  </si>
  <si>
    <t xml:space="preserve"> concrete pavement 667 m x 4 m x .10 m</t>
  </si>
  <si>
    <t xml:space="preserve"> PLS. SEE ATTACHED PURCHASE REQUISITION , TERMS OF REFERENCE &amp; BID DOCUMENTS FOR DETAILS</t>
  </si>
  <si>
    <t xml:space="preserve"> Procurement of Fuel and Oil</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</si>
  <si>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</si>
  <si>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PLS. SEE ATTACHED PURCHASE REQUISITION, TERMS OF REFERENCE, BID DOCUMENTS FOR DETAILS</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</si>
  <si>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</si>
  <si>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</si>
  <si>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Republic of the Philippines                                       Province of Leyte                        MUNICIPALITY OF ALBUERA                     OFFICE OF THE MUNICIPAL MAYOR OFFICE OF THE BIDS AND AWARDS COMMITTEE INVITATION TO BID 	The Local Gover</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</si>
  <si>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</si>
  <si>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</si>
  <si>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I. Lay-out/Staking - 1.00 lot II. Excavation / Back fill - 75.60 cu.m III. Steel Reinforcement - 10,937.63 kgs. IV. Concrete Pouring - 154.07 cu.m V. G.I Pipe Structure Frames - 1.00 lot VI. Roofing Works - 777.23 sq.m VII. Electrical Works - 76.00 In.m V</t>
  </si>
  <si>
    <t xml:space="preserve"> PLS. SEE ATTACHED PURCHASE REQUISITION,TERMS OF REFERENCE &amp; BID DOCUMENTS FOR DETAILS</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</si>
  <si>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</si>
  <si>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</si>
  <si>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</si>
  <si>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</si>
  <si>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concrete pavement 1 km LM</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</si>
  <si>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</si>
  <si>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Item No. 	Item Description					QTY.	Unit	Unit Price	Total Price 1	Communicaiton Equipment					11	units</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</si>
  <si>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</si>
  <si>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</si>
  <si>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PLS. SEE ATTACHED PURCHASE REQUISITION, TERMS OF REFERENCE, &amp; BID DOCS FOR DETAILS</t>
  </si>
  <si>
    <t xml:space="preserve"> PLS. SEE ATTACHED PR, TOR, &amp; BID DOCS FOR DETAILS</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</si>
  <si>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</si>
  <si>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</si>
  <si>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</si>
  <si>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PLS. SEE ATTACHED PURCHASE REQUISITION, TERMS OF REFERENCE&amp; BID DOCUMENTS FOR DETAILS.</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</si>
  <si>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</si>
  <si>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	1.00	UNIT	ONE UNIT BRAND NEW RESCUE AMBULANCE FULLY EQUIPPED 							 			BIG VAN							 			MINIMUM REQUIREMENTS							 			engine displacement: 2,755cc							 			engine type: 4 cylinders, In-line Type; 16 valve DOHC							 			6-speed manual diesel							 </t>
  </si>
  <si>
    <t xml:space="preserve"> Republic of the Philippines                   Department of Health	       CENTRAL OFFICE BIDS AND AWARDS COMMITTEE  INVITATION TO BID FOR THE  PROCUREMENT OF AUDIO VISUAL PRODUCTION SET-UP BUNDLE IB NO. 2020-217 1.	The Department of Health (DOH), through </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</si>
  <si>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</si>
  <si>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Republic of the Philippines Province of Cotabato Municipality of Aleosan Invitation to Bid  SUPPLY AND DELIVERY OF DEVICES AND EQUIPMENTS FOR MUNICIPAL BIRTHING HOME, ALEOSAN, COTABATO                                                                       </t>
  </si>
  <si>
    <t xml:space="preserve"> 3 Storey Multipurpose Building with Function Hall</t>
  </si>
  <si>
    <t xml:space="preserve"> Development of additional existing water system at New Poblacion and Bilis by tapping water from Ribsuan River</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</si>
  <si>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</si>
  <si>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(see bidding document in the associated component for further project details)</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</si>
  <si>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</si>
  <si>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National Power Corporation INVITATION TO BID PUBLIC BIDDING 2020-0128 1.	The NATIONAL POWER CORPORATION (NPC), through       its        approved       Corporate Budget of CY 2020 intends to apply   the   sum   of (Please see schedule below) being the Appr</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</si>
  <si>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</si>
  <si>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Please see attached file. Thanks!</t>
  </si>
  <si>
    <t xml:space="preserve"> ITEM No.	Description	 Quantity 	Unit 	ROAD COMPONENTS		 	PART A- EARTHWORK		 100(3)a1	Individual Removal of Trees (150-300mm dia.)- Small	 159.00 	each 102(2)	Surplus Common Excavation	 1,320.00 	cu.m. 102(3)a	Surplus Rock excavation	 854.00 	cu.m. 104(2)</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</si>
  <si>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</si>
  <si>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</si>
  <si>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</si>
  <si>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</si>
  <si>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</si>
  <si>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</si>
  <si>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See attached Terms of Reference</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</si>
  <si>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</si>
  <si>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66.0 LPS @ 65m TDH SS-316 submersible pump 4.0 LPS LPS @ 85m TDH pump, SS316 3.3 LPS @ 77m TDH  Please see attached bidding documents for the details of the project to be bid.</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</si>
  <si>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</si>
  <si>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</si>
  <si>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Please see attached File Thank you</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</si>
  <si>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</si>
  <si>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</si>
  <si>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</si>
  <si>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</si>
  <si>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</si>
  <si>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Consulting Services for Cabacanan Small Reservoir Irrigation Project-Detailed Engineering</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</si>
  <si>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</si>
  <si>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INVITATION TO BID                                                                   ITB NO. 20-08 	The Lung Center of the Philippines (LCP), through its Bids and Awards Committee (BAC), invites eligible bidders to bid for the : “PROCUREMENT OF VARIOUS MED</t>
  </si>
  <si>
    <t xml:space="preserve"> The Ipil NHS wants to hire 2 Agency Security Guards with an ABC of 240,000.00 in a year.</t>
  </si>
  <si>
    <t xml:space="preserve"> ITEM NO.	UNIT		QTY		DESCRIPTION		 							 1	 unit 		22		Siren		 					 Specs: 		 					 Requires: 220V AC power source 		 					 Specifications of JDW188 Electric Mechanical  		 					 Omnidirectional Warning Alarm Siren 		 					 SKU: 371948935_PH-843166671 	</t>
  </si>
  <si>
    <t xml:space="preserve"> ITEM NO.	UNIT		QTY		DESCRIPTION		 							 1	 serve 		500		Snacks set A (sandwich and water)		 2	 serve 		500		 Snacks set B (sandwich, noodles and water) 		 3	 serve 		350		 Meals set A (rice, meat and water) 		 4	 serve 		500		 Meals set B (meat,veg. fru</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</si>
  <si>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</si>
  <si>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ITEM NO.	UNIT		QTY		DESCRIPTION		 							 1	 l.m 		 248.00 		Layout &amp; Staking		 2	 cu.m 		 954.78 		 Earth Works 		 3	 cu.m 		 99.80 		 Reinforcing Concrete 		 4	 lot 		 1.00 		 Reinforcing Steel 		 5	 sq.m 		 1,612.47 		 Masonry Works 		 6	 l.m 		 248.00</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</si>
  <si>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</si>
  <si>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ALBAY 3RD DISTRICT ENGINEERING OFFICE																											 Paulog, Ligao City																											 																											 INVITATION TO BID																											 																											 The Department of Public Works and Highways</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</si>
  <si>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</si>
  <si>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</si>
  <si>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</si>
  <si>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</si>
  <si>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</si>
  <si>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</si>
  <si>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</si>
  <si>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</si>
  <si>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ITEM NO.	UNIT		QTY		DESCRIPTION		 							 1	 ltrs 		45010		Diesel 		 2	 gals 		152		 Oil #10 		 3	 gals 		75		 Oil #40 		 INVITATION TO BID The Municipality of Sablayan through its Bids and Awards Committee (BAC) invites all interested contractors to appl</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</si>
  <si>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</si>
  <si>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</si>
  <si>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One (1) Job Contract Furnishing Materials, Labor &amp; Equipment for Construction of Evacuation Center Phase 4</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</si>
  <si>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</si>
  <si>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</si>
  <si>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</si>
  <si>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</si>
  <si>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</si>
  <si>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</si>
  <si>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</si>
  <si>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</si>
  <si>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</si>
  <si>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</si>
  <si>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</si>
  <si>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</si>
  <si>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</si>
  <si>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</si>
  <si>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</si>
  <si>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</si>
  <si>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</si>
  <si>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</si>
  <si>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</si>
  <si>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</si>
  <si>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</si>
  <si>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</si>
  <si>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</si>
  <si>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</si>
  <si>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</si>
  <si>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Request for Quotation RFQ No.		SVP-010-2020 MR No.		11596 Requisition No. 	TSE-2020-037 Posting Date:         	June 16, 2020 Deadline for Submission:		June 22, 2020 at 9:00 AM Opening Date:	June 22, 2020, 2020 at 10:00 AM TO:	Name of Supplier:____________</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</si>
  <si>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</si>
  <si>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</si>
  <si>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</si>
  <si>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</si>
  <si>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</si>
  <si>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</si>
  <si>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</si>
  <si>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</si>
  <si>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</si>
  <si>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</si>
  <si>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GEOTECHNICAL AND GEOLOGICAL SURVEY/ INVESTIGATIONS.</t>
  </si>
  <si>
    <t xml:space="preserve"> Procurement of Lynestrenol</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</si>
  <si>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</si>
  <si>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Construction of Fence</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</si>
  <si>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</si>
  <si>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65 Hectares Comprehensive Site Development under the Enhanced National Greening Program Cacao Component located at Brgy. Balaoi, Pagudpud, Ilocos Norte</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</si>
  <si>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</si>
  <si>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365 sacks Noodles (BIHON) at 24 pack/sack 365 cases of Instant Noodles at 72 pieces per case 265 cases SARDINES (100 pcs./ case) 200 packs ECOBAG (size LARGE)</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</si>
  <si>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</si>
  <si>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Invitation to ReBid for  PROCUREMENT OF BACKHOE FOR MENRO/SLF OPERATION ---------------------------------------------------------------------------------------------------------------- ITB NO. 2020I_18 1.The Office of the Municipal Environment &amp; Natural R</t>
  </si>
  <si>
    <t xml:space="preserve"> 3,875 sacks of  RICE at 25 kgs. per sack</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</si>
  <si>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</si>
  <si>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</si>
  <si>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</si>
  <si>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</si>
  <si>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</si>
  <si>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</si>
  <si>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Invitation to Bid for  SUPPLY &amp; DELIVERY OF CONSTRUCTION MATERIALS FOR THE CONSTRUCTION OF SLAUGHTER HOUSE BLDG. @ BRGY. PILINTANGAN, WAO, LANAO DEL SUR ------------------------------------------------------------------------------------------------------</t>
  </si>
  <si>
    <t xml:space="preserve"> Construction of Niches</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</si>
  <si>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</si>
  <si>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2,201 pieces 4" X 8" x 16" Concrete Hollow Block 97 CU.M. washed GRAVEL 78 CU.M. washed SAND</t>
  </si>
  <si>
    <t xml:space="preserve"> I. SUBBASE @ BASE COURSE II. CONCRETE WORKS III. FORMWORKS</t>
  </si>
  <si>
    <t xml:space="preserve"> See attached Documents</t>
  </si>
  <si>
    <t xml:space="preserve"> L=5.5LM;  W=7M, FLOORING EMBANKMENT=1M COL. SIZE= 10"X10"</t>
  </si>
  <si>
    <t xml:space="preserve"> STP at slaugther House</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</si>
  <si>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</si>
  <si>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Construction of Slope Protection</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</si>
  <si>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</si>
  <si>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</si>
  <si>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</si>
  <si>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</si>
  <si>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Invitation to Bid for  SUPPLY &amp; DELIVERY OF CONSTRUCTION MATERIALS FOR THE COMPLETION OF SECOND FLOOR OF WAO MUNICIPAL HALL, MUNICIPAL SITE, BRGY. WESTERN, WAO, LANAO DEL SUR --------------------------------------------------------------------------------</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</si>
  <si>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</si>
  <si>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</si>
  <si>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LGU-ALLEN, NORTHERN SAMAR                                               MUNICIPAL BIDS AND AWARDS COMMITTEE                                                                INVITATION TO BID 	The Municipal Government of Allen Northern Samar through its Bids</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</si>
  <si>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</si>
  <si>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</si>
  <si>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</si>
  <si>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</si>
  <si>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</si>
  <si>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</si>
  <si>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</si>
  <si>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10,000 Food Packs 	*3 kilograms rice (good quality) 	*3 cans sardines (155g) 	*1/2 kilogram pancit (pre-packed) 	*2 cans corned-beef (175g)</t>
  </si>
  <si>
    <t xml:space="preserve"> 125 KVA, 460, 3 phase, generator set, water colled, turbo diesel engine, open- type skid base mounted Please see attached bidding documents for the details of the project to be bid.</t>
  </si>
  <si>
    <t xml:space="preserve"> PARTICULAR		"APPROVED BUDGET FOR THE CONTRACT (ABC)  PH"	SOURCE OF FUND FOR 2020 NO.	ITEM DESCRIPTION		 1	Data Storage	 750,000.00 	GAA 2	Desktop Computer	 2,125,000.00 	 3	Notebook Computer	 1,600,000.00 	 4	Microsoft Office Pro 2019 	 500,000.00 	 5	Des</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</si>
  <si>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</si>
  <si>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</si>
  <si>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</si>
  <si>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</si>
  <si>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</si>
  <si>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</si>
  <si>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Please see BAC Chairman &amp; attached document.</t>
  </si>
  <si>
    <t xml:space="preserve"> Procurement of Male Condom</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</si>
  <si>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</si>
  <si>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</si>
  <si>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</si>
  <si>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Bid-Opening-July 7,2020 at 2:00 p.m. at Municipal Conference Room</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</si>
  <si>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</si>
  <si>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</si>
  <si>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Republic of the Philippines DEPARTMENT OF PUBLIC WORKS AND HIGHWAYS Region VII            South Road Properties (SRP), Cebu City                                        Contract ID	 : 20H00063 Contract Name   : Construction/Repair/Rehabilitation/Improvemen</t>
  </si>
  <si>
    <t xml:space="preserve"> Plumbing Materials</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</si>
  <si>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</si>
  <si>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</si>
  <si>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</si>
  <si>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</si>
  <si>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</si>
  <si>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</si>
  <si>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PB NO. 2020-037		 			 1.	14	persons	Janitorial Service for July 2020 to December 2020 			14 Utility Worker x 17,325.03 x 6 months for 8 hrs. 			 	Deadline for Submission of Bids: July 7, 2020 10:00 am</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</si>
  <si>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</si>
  <si>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</si>
  <si>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</si>
  <si>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</si>
  <si>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</si>
  <si>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</si>
  <si>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</si>
  <si>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</si>
  <si>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ELECTRICAL WIRING, LIGHTING, MAIN SERVICE</t>
  </si>
  <si>
    <t xml:space="preserve"> A=14m x 18m</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</si>
  <si>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</si>
  <si>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</si>
  <si>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</si>
  <si>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</si>
  <si>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See attached file.....</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</si>
  <si>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</si>
  <si>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</si>
  <si>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</si>
  <si>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</si>
  <si>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</si>
  <si>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</si>
  <si>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INVITATION TO APPLY FOR ELIGIBILITY AND BID								 								 The  Municipality  of  Maasin,  Iloilo,  through  its  Bids  and  Awards  Committee (BAC),  invites  suppliers/								 distributors/ contractors to apply for eligibility and to bid for the here</t>
  </si>
  <si>
    <t xml:space="preserve"> 12 sets HOSPITAL BED MANUAL (3 CRANKS) complete accessories with Bedside Table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</si>
  <si>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</si>
  <si>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</si>
  <si>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CONSTRUCTION OF SIKLING FOOTBRIDGE BARANGAY LATANG</t>
  </si>
  <si>
    <t xml:space="preserve"> B.9	Mobilization/Demobiliazation	lot	all	13,211.60 103(1)a	Structure Excavation (Common Soil)	9.30	cu.m.	2,966.70 105(1)	Subgrade Preparation (Common Material)	260	sq.m.	4,563.00 201	Aggregate Base Coarse (100mm thk.)	26	cu.m.	48,360.00 311(1)a	PCC Paveme</t>
  </si>
  <si>
    <t xml:space="preserve"> I	10.00	UNIT	LAPTOP			 			Specifications			 			Raizen 5			 			4GB RAM			 			Quad Core, 2.1 ghz			 			1 TB Hardrive			 			128SSD			 			14" Monitor			 			Wifi &amp; Bluetooth Ready			 			with Camera			 			Windows 10</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</si>
  <si>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</si>
  <si>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</si>
  <si>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</si>
  <si>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</si>
  <si>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</si>
  <si>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CONSTRUCTION OF PROPER KALEO DRAINAGE</t>
  </si>
  <si>
    <t xml:space="preserve"> One (1) Job Contract Furnishing Materials</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</si>
  <si>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</si>
  <si>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</si>
  <si>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REFER TO ATTACHED ITB NO. 010 OF 2020</t>
  </si>
  <si>
    <t xml:space="preserve"> 1 storey building - 88m</t>
  </si>
  <si>
    <t xml:space="preserve"> REFER TO ATTACHED ITB NO. 011 OF 2020</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</si>
  <si>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</si>
  <si>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1 unit 	Water bath/holding tank with thermometer and heater	 	  -Rectangular shape, L1M x W0.6M x H0.5M	 	  -made of stainless steel 304 materials , 3mm thick	 	  -removable inner platform, made of perforated sheet	 	  -hinge cover with gasket	 	  -electr</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</si>
  <si>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</si>
  <si>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</si>
  <si>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</si>
  <si>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</si>
  <si>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</si>
  <si>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</si>
  <si>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</si>
  <si>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QUANTITY	UNIT	ARTICLES				 150	pcs	Longspan Rib Type 20'				 17	pcs	Ridgeroll				 30	pcs	Wall Flashing				 17	pcs	Gutter				 350	pcs	Gutter Rivets				 290	pcs	Plywood, 3/4 				 290	pcs	Plywood, 1/2 				 300	bd. ft.	Coco Lumber (form &amp; scaffolding)				 8	k</t>
  </si>
  <si>
    <t xml:space="preserve"> Construction of Mini-Library</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</si>
  <si>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</si>
  <si>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</si>
  <si>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</si>
  <si>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</si>
  <si>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1 unit 	UV-Vis spectrophotometer - Benchtop type, double-beam, Compact  	 	     (space saver), Wavelength range of 190nm-1100nm, Path length must	 	     be 1 cm, and/or changeable with 1-10cm path, must include at least 2 	 	     cuvettes and all necessar</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</si>
  <si>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</si>
  <si>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</si>
  <si>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REPAIR &amp; MAINTENANCE OF FISHPORT FACILITIES (A. PERIMETER FENCE) REPAIR &amp; MAINTENANCE OF FISHPORT FACILITIES (B. OLD PUBLIC MARKET BLDG.) EXPANSION OF MAGSAYSAY BOULEBARD</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</si>
  <si>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</si>
  <si>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</si>
  <si>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CONSTRUCTION OF DEEP WELL, CONCRETE FLOORING AND COVER, INSTALLATION OF ELECTRIC PUMP &amp; PIPPINGS AND INSTALLATION OF 750.00 LINEAR METERS PIPELINES.</t>
  </si>
  <si>
    <t xml:space="preserve"> 14	unit 	Chest type freezer/chiller - Chest type, Two door, 18 cu ft, Inverter 1	unit 	Ice cream machine - 304 stainless steel blade with adjustable scrapers,  		     ABS Housing, Air cooled,  304 stainless steel inner bowl, Large opening:  		     Allows </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</si>
  <si>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</si>
  <si>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Republic of the Philippines                   Department of Health	       CENTRAL OFFICE BIDS AND AWARDS COMMITTEE  PROCUREMENT OF TROCLOSENE SODIUM IB No. 2020- 176 1.	The Department of Health (DOH), through the General Appropriations Act of 2020 intends</t>
  </si>
  <si>
    <t xml:space="preserve"> CONSUMABLE</t>
  </si>
  <si>
    <t xml:space="preserve"> The detailed Bill of Materials is attached to the Bid Forms.</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</si>
  <si>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</si>
  <si>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</si>
  <si>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</si>
  <si>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</si>
  <si>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1 unit 	Dual-powered solar dryer</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</si>
  <si>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</si>
  <si>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Concreting of 71.0m x 5.0m. local access road (thickness=0.20m). Concrete curb and gutter and concrete canal with reinforced canal cover on both sides of the road including 1.0m. (1.0m x1.0m. x5.0m.) RCBC</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</si>
  <si>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</si>
  <si>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</si>
  <si>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</si>
  <si>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</si>
  <si>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Republic of the Philippines						 City Government of Davao						 						 INVITATION TO BID						 for Infrastructure Projects B13-2020						 						 The City Government of Davao now invites bidders for the project/s under B13-2020 as listed below.   The pros</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</si>
  <si>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</si>
  <si>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</si>
  <si>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</si>
  <si>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</si>
  <si>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1 Set	Water Retort Chamber with Accessories 	 	(steam boiler and cooling tower)	 		 	A. Counter Pressure Retort ,2 - baskets capacity	 	  -  Horizontal type, Stainless Steel T304 type materials	 	  -  Dimensions: L220mm x Diameter 1200mm	 	  -  2" thick r</t>
  </si>
  <si>
    <t xml:space="preserve"> Construction of Bridge ( Phase I &amp; Phase II) at Antipolo Old, Nabua, Camarines Sur</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</si>
  <si>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</si>
  <si>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</si>
  <si>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</si>
  <si>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</si>
  <si>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</si>
  <si>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</si>
  <si>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</si>
  <si>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</si>
  <si>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Republic of the Philippines                   Department of Health	       CENTRAL OFFICE BIDS AND AWARDS COMMITTEE  PROCUREMENT OF RED EVACUATED TUBE IB No. 2020- 189 1.	The Department of Health (DOH), through the General Appropriations Act of 2020 intend</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</si>
  <si>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</si>
  <si>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</si>
  <si>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</si>
  <si>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Completion of Concreting of Local  Road, Inapatan to Angustia, Nabua, Camarines Sur</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</si>
  <si>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</si>
  <si>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</si>
  <si>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Clearing and grubbing, Common excavation manual, Masonry works, Plastering, Installation of paving blocks,     Sub-grade preparation, Aggregate sub-base course, PCCP, COSH</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</si>
  <si>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</si>
  <si>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Riprapping</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</si>
  <si>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</si>
  <si>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Clearing and grubbing, Structure Excavation, Safety and Health</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</si>
  <si>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</si>
  <si>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</si>
  <si>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</si>
  <si>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</si>
  <si>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</si>
  <si>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</si>
  <si>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</si>
  <si>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National Power Corporation INVITATION TO BID PUBLIC BIDDING 2020-0125 1.	The NATIONAL POWER CORPORATION (NPC), through       its        approved       Corporate Budget of CY 2020 intends to apply   the   sum   of (Please see schedule below) being the Appr</t>
  </si>
  <si>
    <t xml:space="preserve"> Removal of structure and obstruction, Structure excavation, Reinforcing steel bar, Structural concrete works, Masonry works w/ plastering, Electrical works, Roofing works, Installation of ACP</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</si>
  <si>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</si>
  <si>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</si>
  <si>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</si>
  <si>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</si>
  <si>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</si>
  <si>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assorted drugs &amp; medicines</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</si>
  <si>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</si>
  <si>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Please download attached documents or visit our website @www.prc.gov.ph for more details.</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</si>
  <si>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</si>
  <si>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National Power Corporation INVITATION TO BID PUBLIC BIDDING 2020-0126 1.	The NATIONAL POWER CORPORATION (NPC), through       its        approved       Corporate Budget of CY 2020 intends to apply   the   sum   of (Please see schedule below) being the Appr</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</si>
  <si>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</si>
  <si>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</si>
  <si>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</si>
  <si>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</si>
  <si>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</si>
  <si>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Plastic monobloc chairs with backrest (beige color)</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</si>
  <si>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</si>
  <si>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</si>
  <si>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</si>
  <si>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</si>
  <si>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</si>
  <si>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</si>
  <si>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</si>
  <si>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Flue curing barn: Excavation works, Masonry works, Roofing works, Hangers, Door ventilation, Flue system, Construction safety and health</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</si>
  <si>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</si>
  <si>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</si>
  <si>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</si>
  <si>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</si>
  <si>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</si>
  <si>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</si>
  <si>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</si>
  <si>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</si>
  <si>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</si>
  <si>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</si>
  <si>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</si>
  <si>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</si>
  <si>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</si>
  <si>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</si>
  <si>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</si>
  <si>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NAME OF PROJECTS: CONSTRUCTION OF MULTIPURPOSE HALL LOCATION: TALOY SUR, TUBA, BENGUET SCOPE OF WORK: INSTALLATION OF SIGNBOARD, STRUCTURAL EXCAVATION, CONSTRUCTION OF TIE BEAM NO. OF WORKING DAYS TO COMPLETE WORK: 9</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</si>
  <si>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</si>
  <si>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</si>
  <si>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</si>
  <si>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LGU Patnanungan, Quezon						Ref.		See other bid docs                                                                                            	 Name of Project	As shown                                                                                    </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</si>
  <si>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</si>
  <si>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</si>
  <si>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</si>
  <si>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</si>
  <si>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</si>
  <si>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</si>
  <si>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Clearing and grubbing, Excavation, RSB, Structural concrete, Construction Safety and Health</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</si>
  <si>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</si>
  <si>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</si>
  <si>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SOURCE DEVELOPMENT; PROVISION OF PUMP AND ITS ACCESSORIES; CONSTRUCTION OF POWER HOUSE</t>
  </si>
  <si>
    <t xml:space="preserve"> CONSTRUCTION/IMPROVEMENT/REHABILITATION</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</si>
  <si>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</si>
  <si>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Clearing &amp; grubbing, Structure excavation, Stone masonry, Embankment fill, Removal of existing concrete pavement, Sub-grade preparation, Aggregate sub-base course, PCCP, RSB, Structural concrete, Construction Safety and Health</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</si>
  <si>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</si>
  <si>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RCDG BRIDGE</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</si>
  <si>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</si>
  <si>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</si>
  <si>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</si>
  <si>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</si>
  <si>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</si>
  <si>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</si>
  <si>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CONSTRUCTION OF SAFIANGON-CHALLOS FOOTBRIDGE</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</si>
  <si>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</si>
  <si>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</si>
  <si>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</si>
  <si>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Invitation to Bid for Purchase of Two (2) units Rescue Vehicle for the use of Emergency response Source of Fund: Trust Fund (5% MDRRMF) Nonrefundable fee for bidding douments: 10,000.00</t>
  </si>
  <si>
    <t xml:space="preserve"> Invitation to Bid for  Purchase of One (1) unit Ambulance for MDRRM use Source of Fund: Trust Fund (5% MDRRMF) Nonrefundable Fee for Bidding Documents: 5,000.00</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</si>
  <si>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</si>
  <si>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</si>
  <si>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</si>
  <si>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</si>
  <si>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</si>
  <si>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ROAD CONSTRUCTION WITH DRAINAGE CANAL AT PUROK 8A, BACACA, BARANGAY 19-B, POBLACION DISTRICT, DAVAO CITY ABC: 3,000,000.00 Location: Barangay 19-B, Davao City Fund Source: SARO-OSEC-19-0014429 Physical Target: Roads and Drainage</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</si>
  <si>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</si>
  <si>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</si>
  <si>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</si>
  <si>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</si>
  <si>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</si>
  <si>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</si>
  <si>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</si>
  <si>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</si>
  <si>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</si>
  <si>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SEE ATTACHED BID DOCS</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</si>
  <si>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</si>
  <si>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</si>
  <si>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CONSTRUCTION OF SA-ONG COVERED DRAINAGE</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</si>
  <si>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</si>
  <si>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INVITATION TO BID FOR (GOODS &amp; SERVICES) 	     20GJC0193 – 8 units Desktop Computer etc. To be used in Planning and Design Section.                          (PR # 20-05-181) 1. 	      The DPWH, 2nd District Engineering Office,Labason,Zamboanga del Norte, </t>
  </si>
  <si>
    <t xml:space="preserve"> CONCRETING &amp; RIPRAPPING</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</si>
  <si>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</si>
  <si>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</si>
  <si>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</si>
  <si>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</si>
  <si>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</si>
  <si>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</si>
  <si>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</si>
  <si>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</si>
  <si>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Portland Cement Gravel Gravel Rough Lumber 2x4x12 CWN Assorted Mixing Water</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</si>
  <si>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</si>
  <si>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Please see attached Bill of Quantities and Invitation to Bid in the Philippine Bidding Documents</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</si>
  <si>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</si>
  <si>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</si>
  <si>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</si>
  <si>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</si>
  <si>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</si>
  <si>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</si>
  <si>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165 m.t. Bituminous Concrete Surface Course (FD-Sandmix) 416 m.t. Bituminous Concrete Surface Course (FD) x-x-x-x-xx-x-x-x-x-x-x-x-x-x-x-x-xxxxxxxxxxxxxxxxxx</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</si>
  <si>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</si>
  <si>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Republic of the Philippines Municipality of Taytay Taytay, Palawan NOTICE TO BIDDERS Item # Qty Unit Description Amount 1. 400 meters Local Access Roads, So. Lake Danao, Bgy. Poblacion                      Width = 6.1M                      Thickness = 20m</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</si>
  <si>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</si>
  <si>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</si>
  <si>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</si>
  <si>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PB NO. 2020-034		 			 1.	100	UNITS	LAPTOP 			SPECIFICATIONS: 			ASUS TUF GAMING FX 505DT-AL182T 			SAND BLASTED FINISH-GUN METAL 			(COLOR/MAKE NAME: GOLD STEEL) 			DIMENSION: 36.0 X 26.2 X 2.50 2.60 CM 			14.17 X 10.31 X 0.98 1.02 INCHES 			PROCESSOR: AM</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</si>
  <si>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</si>
  <si>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1,400 bags Thermoplastic Paint (White) 25kg. 200 bags Thermoplastic Paint (Yellow) 25kg. x-x-xx-x-x-x-x-x-x-x-x-xx-x-xxxxxxxxxxxxxxxxx</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</si>
  <si>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</si>
  <si>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</si>
  <si>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</si>
  <si>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</si>
  <si>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</si>
  <si>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</si>
  <si>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</si>
  <si>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</si>
  <si>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</si>
  <si>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PB NO. 2020-035		 			 1.	1	lot	Proposed Asphalt overlay at Brgy. Sta. Ana, San Pablo City. 			By: Contract 			 	Deadline for Submission of Bids: July 6, 2020 1:00 pm</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</si>
  <si>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</si>
  <si>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</si>
  <si>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</si>
  <si>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</si>
  <si>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</si>
  <si>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</si>
  <si>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</si>
  <si>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</si>
  <si>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</si>
  <si>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</si>
  <si>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</si>
  <si>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</si>
  <si>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</si>
  <si>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Straight Contract</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</si>
  <si>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</si>
  <si>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</si>
  <si>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</si>
  <si>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</si>
  <si>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</si>
  <si>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</si>
  <si>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</si>
  <si>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</si>
  <si>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</si>
  <si>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</si>
  <si>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</si>
  <si>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</si>
  <si>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</si>
  <si>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</si>
  <si>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</si>
  <si>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</si>
  <si>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</si>
  <si>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</si>
  <si>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</si>
  <si>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</si>
  <si>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</si>
  <si>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</si>
  <si>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</si>
  <si>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</si>
  <si>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</si>
  <si>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</si>
  <si>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</si>
  <si>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</si>
  <si>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</si>
  <si>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</si>
  <si>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</si>
  <si>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</si>
  <si>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</si>
  <si>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</si>
  <si>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B.9	Mobilization/Demobiliazation	lot	all	18,854.00 103(1)a	Structure Excavation (CommonSoil)	5.30	cu.m.	1,780.80 105(1)	Subgrade Preparation (Common Material)	312	sq.m.	5,460.00 201	Aggregate Base Coarse (100mm thk.)	31.20	cu.m.	38,073.36 311(1)a	PCC Pave</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</si>
  <si>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</si>
  <si>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IMPROVEMENT OF MUNICIPAL IP HALL GROUND</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</si>
  <si>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</si>
  <si>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</si>
  <si>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Procurement of various materials with installation of CCTV Fiber Optic</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</si>
  <si>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</si>
  <si>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</si>
  <si>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</si>
  <si>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</si>
  <si>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Solar Generator Set 6000 watts with (6) 370 watts panel          - Solar Panel: 370W 36V mono solar panel *6 pcs          - DC Combiner: 4 in 1 out          - Controler: PWM 60A48V          - Inverter: 6000W 48V Pure sine wave          - Battery: 200Ah12V</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</si>
  <si>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</si>
  <si>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</si>
  <si>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</si>
  <si>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</si>
  <si>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</si>
  <si>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</si>
  <si>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</si>
  <si>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</si>
  <si>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</si>
  <si>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</si>
  <si>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</si>
  <si>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</si>
  <si>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</si>
  <si>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</si>
  <si>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</si>
  <si>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</si>
  <si>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</si>
  <si>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</si>
  <si>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PURCHASE OF OFFICES SUPPLIES FOR THE REPRODUCTION OF IM'S IN PREPARATION FOR THE OPENING OF SCHOOL YEAR ON AUGUST 24, 2020, IN WHICH FACE-FACE INSTRUCTION IS WAIVED DUE TO COVID-19 PANDEMIC (BONDPAPER, STAPLER, STAPLE WIRE, INK)</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</si>
  <si>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</si>
  <si>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</si>
  <si>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</si>
  <si>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</si>
  <si>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</si>
  <si>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</si>
  <si>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</si>
  <si>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</si>
  <si>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</si>
  <si>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</si>
  <si>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</si>
  <si>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</si>
  <si>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</si>
  <si>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</si>
  <si>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</si>
  <si>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</si>
  <si>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</si>
  <si>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</si>
  <si>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</si>
  <si>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</si>
  <si>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</si>
  <si>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</si>
  <si>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</si>
  <si>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</si>
  <si>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</si>
  <si>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</si>
  <si>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</si>
  <si>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</si>
  <si>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</si>
  <si>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</si>
  <si>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</si>
  <si>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</si>
  <si>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</si>
  <si>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</si>
  <si>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</si>
  <si>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</si>
  <si>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</si>
  <si>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</si>
  <si>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Supply and Delivery of 10pcs Water Resistant 2-way Radio with extra 2 pcs battery</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</si>
  <si>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</si>
  <si>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</si>
  <si>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</si>
  <si>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</si>
  <si>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</si>
  <si>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</si>
  <si>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</si>
  <si>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</si>
  <si>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</si>
  <si>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</si>
  <si>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</si>
  <si>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</si>
  <si>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</si>
  <si>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Specification: Vehicle type: Dump Truck Dump box capacity: 5 cu.m. Engine: Diesel</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</si>
  <si>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</si>
  <si>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</si>
  <si>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</si>
  <si>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Materials for printing of Modules for SY 2020-2021</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</si>
  <si>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</si>
  <si>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1 mo. CS and HP 101.17 sq.m. unglazed/glazed tiles (stainless letter) 58.76 sq.m. ceiling works 125.70 sq.m. structural steel (sidings cover and frame) 60 sq.m. painting works )metal surfaces/steel trusses)</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</si>
  <si>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</si>
  <si>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</si>
  <si>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</si>
  <si>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</si>
  <si>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</si>
  <si>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</si>
  <si>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2028 bags 21-0-0 (ammonia)</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</si>
  <si>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</si>
  <si>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</si>
  <si>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</si>
  <si>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</si>
  <si>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</si>
  <si>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</si>
  <si>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</si>
  <si>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</si>
  <si>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</si>
  <si>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20 sets Solar Lamp 60w 38mm dia GI s40 Bracket 50mm dia GI s40 Column With Anchorae Bar Stiffener And Concrete Footing Padestal @0.60m depth Labor included</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</si>
  <si>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</si>
  <si>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Finishing Wokrs of Brgy. Imbalbalatong Multi-Purpose Hall</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</si>
  <si>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</si>
  <si>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</si>
  <si>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</si>
  <si>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</si>
  <si>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Palay Seeds: (Certified) 40kg/bag Seeds: (Registered) 20kg/bag</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</si>
  <si>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</si>
  <si>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.13 mo. CS and HP 133.50 sq.m. clearing and grubbing 106.80 cu.m. excavation 189.13 cu.m. stone masonry</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</si>
  <si>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</si>
  <si>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</si>
  <si>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</si>
  <si>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</si>
  <si>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Polycarbonate Roof: Transparent 12ft Chlorine Granules: 50kg Powder Soap: 10kg Formaldehyde: - Steel Wall: - Flexible Hose: 1/2 PVC Tee: 1.5" Alcohol: 70% 500 ml Plankton net: 46 microns Air Stone: - Spatula: 6" Foot Brush: -</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</si>
  <si>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</si>
  <si>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Description   A. Construction of Spring Box I Excavation Works II Reinforced Concrete Works III Formworks B. Conrete Apron C. Transmission Pipe D. Replacement of Distribution Pipes E. Hauling &amp; Transhipment of Materials</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</si>
  <si>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</si>
  <si>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</si>
  <si>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</si>
  <si>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</si>
  <si>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</si>
  <si>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</si>
  <si>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</si>
  <si>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</si>
  <si>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</si>
  <si>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</si>
  <si>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</si>
  <si>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</si>
  <si>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</si>
  <si>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</si>
  <si>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</si>
  <si>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Construction of Masonry Drainage Structure, Along Soriano Street, Centro 11, Balzain East, Tuguegarao City</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</si>
  <si>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</si>
  <si>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see attached programs of works.</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</si>
  <si>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</si>
  <si>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</si>
  <si>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</si>
  <si>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2000 pcs Business Plates 1500 pcs/pairs Tricycle Plates</t>
  </si>
  <si>
    <t xml:space="preserve"> Road Length = 579.00 l.m., PCCP (Width) = 4.0 m, Road Width = +/-6.0 m, Road thicknes = 0.20 m</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</si>
  <si>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</si>
  <si>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Location : Legazpi City, Albay Scope of Work : Repair/Maintenance of DPWH Building (Rediras Building) Albay II District Engineering Office, Airport Site, Legazpi City, Albay</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</si>
  <si>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</si>
  <si>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</si>
  <si>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</si>
  <si>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</si>
  <si>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</si>
  <si>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</si>
  <si>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Road length = 405.00 l.m., Road Width = 6.0 m, Road pavement = 4.0 m, Road thickness = 0.20 m, Grouted Rip-Rap = 340.00 cu.m</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</si>
  <si>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</si>
  <si>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</si>
  <si>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</si>
  <si>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</si>
  <si>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</si>
  <si>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</si>
  <si>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</si>
  <si>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</si>
  <si>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</si>
  <si>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</si>
  <si>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</si>
  <si>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Republic of the Philippines                                                                   PROVINCE OF SAMAR                                                                   2nd  INVITATION TO BID                                                       </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</si>
  <si>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</si>
  <si>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</si>
  <si>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PURCHASE OF ONE(1) UNIT MINI-DUMP TRUCK SURPLUS ABC 850,000.00</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</si>
  <si>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</si>
  <si>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PROVINCE OF SAMAR                                                                    INVITATION TO BID                                                           </t>
  </si>
  <si>
    <t xml:space="preserve"> INVITATION TO BID					 					 Purchase and Delivery of Medical, Dental and Laboratory Supplies					 ITB 2020-06-034(GOODS)					 					 1. The Municipality of Tuba, through the Budget for the contract approved by the Sangguniang Bayan for CY 2020 intends to </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</si>
  <si>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</si>
  <si>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</si>
  <si>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</si>
  <si>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</si>
  <si>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</si>
  <si>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</si>
  <si>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</si>
  <si>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</si>
  <si>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</si>
  <si>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</si>
  <si>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</si>
  <si>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</si>
  <si>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</si>
  <si>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Proposed Upgrading of Nasipit District Hospital (Construction of Laundry Building and Repair Renovation of BEMONC Building)</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</si>
  <si>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</si>
  <si>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</si>
  <si>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1.	1		unit		Printer 3-in-1	 2.	9		unit		Office Table	 3.	9		unit		Office Chair	 4.	1		unit		Ladder - 10ft.	 5.	1		unit		Ladder - 20ft.	 6.	1		set		CCTV Camera</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</si>
  <si>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</si>
  <si>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2020 15TH PUBLIC BIDDING FOR PROCUREMENT OF MEDICAL EQUIPMENT</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</si>
  <si>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</si>
  <si>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</si>
  <si>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Republic of the Philippines						 Department of Environment and Natural Resources						 FORESTLAND MANAGEMENT PROJECT						 Province of Iloilo, Region VI						 						 BILL OF QUANTITIES						 Subproject Title/Name		Construction of Caratagan Irrigation Pip</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</si>
  <si>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</si>
  <si>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</si>
  <si>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Republic of the Philippines						 Department of Environment and Natural Resources						 FORESTLAND MANAGEMENT PROJECT						 Province of Iloilo, Region VI						 						 SUBPROJECT PROGRAM OF WORK						 Subproject Title/Name		Construction of Canauillian Hang</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</si>
  <si>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</si>
  <si>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Hygiene Kit Assistance for Senior Citizens</t>
  </si>
  <si>
    <t xml:space="preserve"> Construction/Rehabilitation of Multi-Purpose Building,</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</si>
  <si>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</si>
  <si>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</si>
  <si>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</si>
  <si>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</si>
  <si>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</si>
  <si>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pipes and fittings, valves installation service connection and restoration and removal of concrete</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</si>
  <si>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</si>
  <si>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Please download PDF @ associated components for more information</t>
  </si>
  <si>
    <t xml:space="preserve"> Please download PDF @ associated components for information</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</si>
  <si>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</si>
  <si>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</si>
  <si>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</si>
  <si>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</si>
  <si>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</si>
  <si>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</si>
  <si>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</si>
  <si>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</si>
  <si>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DESIGN AND BUILD FOR THE CONSTRUCTION OF 2-STOREY PASSENGER TERMINAL BUILDING AT MALATAPAY, BARANGAY MALUAY, ZAMBOANGUITA, NEGROS ORIENTAL</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</si>
  <si>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</si>
  <si>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</si>
  <si>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</si>
  <si>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</si>
  <si>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</si>
  <si>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INFRASTRUCTURE WORKS FOR THE CONSTRUCTION OF LINE CANAL AT BARANGAY CALANGO, ZAMBOANGUITA, NEGROS ORIENTAL</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</si>
  <si>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</si>
  <si>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184 LI</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</si>
  <si>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</si>
  <si>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</si>
  <si>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</si>
  <si>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</si>
  <si>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</si>
  <si>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Construction of 1 unit Rainwater Collector System</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</si>
  <si>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</si>
  <si>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Package I	 Abra        1. Bucay BHS	              1,980,000.00        2. San Miguel BHS	      500,000.00        3. Talogtog BHS	              500,000.00  Package II	 Abra       1. Luba RHU	                       1,000,000.00       2. Manabo RHU	          </t>
  </si>
  <si>
    <t xml:space="preserve"> Supply and Delivery of Office Equipment &amp; I.T. Equipment.</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</si>
  <si>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</si>
  <si>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Procurement of 1 Lot Rehabilitation Supplies for the 3rd Quarter of 2020</t>
  </si>
  <si>
    <t xml:space="preserve"> Procurement of 1 Lot Various Office Supplies for the 3rd Quarter of 2020</t>
  </si>
  <si>
    <t xml:space="preserve"> Procurement of 1 Lot Fuel, Oil and Lubricant Expenses for the 3rd Quarter of 2020</t>
  </si>
  <si>
    <t xml:space="preserve"> Procurement of 1 Lot Various Drugs and Medicines for the 3rd Quarter of 2020</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</si>
  <si>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</si>
  <si>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</si>
  <si>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</si>
  <si>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</si>
  <si>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</si>
  <si>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</si>
  <si>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Available upon request xxxxxxxxxxxxxxxxxxxxx</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</si>
  <si>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</si>
  <si>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</si>
  <si>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Procurement of 1 Lot Printing and Publication for the 3rd Quarter of 2020</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</si>
  <si>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</si>
  <si>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</si>
  <si>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Purchase of 20 units seafood stall.</t>
  </si>
  <si>
    <t xml:space="preserve"> Purchase of 165 pails paint and 1,000 sacks cement.</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</si>
  <si>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</si>
  <si>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</si>
  <si>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</si>
  <si>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</si>
  <si>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</si>
  <si>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</si>
  <si>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SOIL/ GEOTECHNICAL INVESTIGATION FOR THE PROPOSED CONSTRUCTION OF VARIOUS FLOOD CONTROL PROJECTS AND PROPOSED CONSTRUCTION OF BUILDING PROJECT WITHIN 5TH AND 6TH DISTRICT OF PANGASINAN</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</si>
  <si>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</si>
  <si>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</si>
  <si>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</si>
  <si>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</si>
  <si>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Procurement of 1 Lot Military Supplies (Ammunition) for the 3rd Quarter of 2020</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</si>
  <si>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</si>
  <si>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</si>
  <si>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</si>
  <si>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</si>
  <si>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Concreting of 130 meters length; 2 meters in width; 0.15 meters in thickness class "A" concrete mixtures.</t>
  </si>
  <si>
    <t xml:space="preserve"> Concreting of 250 meters length; 3.6 meters in width; 0.15 meters in thickness class "A" concrete mixtures.</t>
  </si>
  <si>
    <t xml:space="preserve"> National Power Corporation INVITATION TO BID PUBLIC BIDDING 2020-0114 1.	The NATIONAL POWER CORPORATION (NPC), through       its        approved       Corporate Budget of CY 2020 intends to apply   the   sum   of (Please see schedule below) being the Appr</t>
  </si>
  <si>
    <t xml:space="preserve"> Republic of the Philippines                   Department of Health	       CENTRAL OFFICE BIDS AND AWARDS COMMITTEE  INVITATION TO BID FOR THE  PROCUREMENT OF EXTERNAL HARD DISK IB NO. 2020-206 1.	The Department of Health (DOH), through the General Appropr</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</si>
  <si>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</si>
  <si>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</si>
  <si>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</si>
  <si>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</si>
  <si>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303	cases	Powdered Milk 700kg x 12 125	bags.	Biscuit Cracker 24g x 15 3622	kls.	Brown Sugar (1/2 kl)</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</si>
  <si>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</si>
  <si>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</si>
  <si>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</si>
  <si>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Republic of the Philippines DEPARTMENT OF PUBLIC WORKS AND HIGHWAYS Region VII   South Road Properties (SRP), Cebu City                                        Contract ID	 : 20H00061 Contract Name  : Cluster Project: Construction of Rain Water Supply/Sept</t>
  </si>
  <si>
    <t xml:space="preserve"> Concreting of 320 meters length; 5 meters in width; 0.20 meters in thickness with one (1) line 910 mm dia. RCPC class "A" concrete mixtures.</t>
  </si>
  <si>
    <t xml:space="preserve"> as per BSP Technical Specifications</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</si>
  <si>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</si>
  <si>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</si>
  <si>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</si>
  <si>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</si>
  <si>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</si>
  <si>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Portland Cement Coco Lumber 2x4x12 Sand Gravel Common Nails #3</t>
  </si>
  <si>
    <t xml:space="preserve"> Reshaping &amp; compaction, including trimming of road side slopes of Katipunan Barangay Road networks.</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</si>
  <si>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</si>
  <si>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</si>
  <si>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Equipment for Banana Tissue Culture Laboratory Kindly see attached file. Thank you!</t>
  </si>
  <si>
    <t xml:space="preserve"> Concrete Paving along River Park 100LM NOTE:To all bidders bid documents and BAC Resolution 2020-029 are available at BAC Office and LGU website.</t>
  </si>
  <si>
    <t xml:space="preserve"> 1	12	Sheets	1/4" thick Marine Plywood 2	150	Bd.Ft.	 2" x 2" x 12' Good lumber 3	160	Bd.Ft.	 2" x 2" x 10' Good lumber 4	55	Bd.Ft.	 2" x 2" x 8' Good lumber 5	10	kgs	  #2 1/2" CWN 6	3	kgs	  #1" CWN 7	12	bd.ft.	1'' x 3'' x 6' good lumber 8	12	bd.ft.	1'' x 3</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</si>
  <si>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</si>
  <si>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Republic of the Philippines                                                       Province of Zamboanga del Norte                                                          MUNICIPALITY OF MANUKAN 	                                                           </t>
  </si>
  <si>
    <t xml:space="preserve"> Diesel Fuel etc. NOTE:To all suppliers bid documents and BAC Resolution 2020-029 are available at  BAC Office and LGU website.</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</si>
  <si>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</si>
  <si>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SEE ATTACHED INVITATION TO BID, CHECKLISTS, BIDDING DOCUMENTS, STANDARD BIDDING FORMS AND PLANS</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</si>
  <si>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</si>
  <si>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</si>
  <si>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</si>
  <si>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</si>
  <si>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</si>
  <si>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</si>
  <si>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</si>
  <si>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</si>
  <si>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A) REQUEST FOR QUOTATION 1. 1 unit DSLR CAMERA with 18-105mm Kit Lens Specifications: Sensor: 24.2MP APS-C CMOS 4, 23.5 x 15.6mm Image Processor: EXPEED 4 AF points: 11-point AF, 1 cross-type ISO range: 100 to 25,600 Max image size: 6,000 x 4,000px Meteri</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</si>
  <si>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</si>
  <si>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Republic of the Philippines                   Department of Health	       CENTRAL OFFICE BIDS AND AWARDS COMMITTEE  INVITATION TO BID FOR  PROCUREMENT FOR THE EXPANSION OF EXISTING SOLID STATE DRIVE (SSD) IB NO. 2020-222 1.	The Department of Health (DOH),</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</si>
  <si>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</si>
  <si>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</si>
  <si>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</si>
  <si>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Request for Quotation RFQ No.	SVP-008-2020 MR No.	10904 Requisition No.	ADM# 03-012020 Posting Date:	June 9, 2020 Deadline for Submission:	June 16, 2020 at 9:00 AM Opening Date:	June 16, 2020 at 10:00 AM TO:	Name of Supplier:  	 Address:  	 Contact No.:  </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</si>
  <si>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</si>
  <si>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</si>
  <si>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</si>
  <si>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</si>
  <si>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Concreting of 160 meters length; 5 meters in width; 0.20 meters in thickness class "A" concrete mixtures.</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</si>
  <si>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</si>
  <si>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Concreting of 210 meters length; 5 meters in width; 0.15 meters in thickness class "A" concrete mixtures.</t>
  </si>
  <si>
    <t xml:space="preserve"> Concreting of 200 meters length and 370 meters concrete pathway, 2 meters in width, 0.15 meter in thickness "class A".</t>
  </si>
  <si>
    <t xml:space="preserve"> REQUEST FOR QUOTATION 				 							Date:        June 1, 2020 							RFQ No.    DGPD20-003 							PR NO.      PD2003-12-084     To All Eligible Suppliers  Please quote your lowest price inclusive of VAT on the item/s listed below, subject to the Terms and C</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</si>
  <si>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</si>
  <si>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20CSHN09 -Appraisal Services for Road-Right-of-Way Acquisition – Road Widening - Secondary Roads - Consolacion-Tayud-Liloan  Road - Chainage 1920 - Chainage 2823, Consolacion, Cebu Scope of Work		:	Appraisal Services</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</si>
  <si>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</si>
  <si>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</si>
  <si>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</si>
  <si>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ITB NO. 2020-0012 Design, Supply, Fabrication of Mounting Brackets and Installation and Testing of Antenna Panels for the Zamboanga Transmitter Station of the People’s Television Network Inc. (PTNI)</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</si>
  <si>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</si>
  <si>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1	BEDDINGS FOR GH# 1 &amp; 2 SINGLE SIZE	75	SET	 1,000.00  2	BEDDINGS FOR GH# 1 &amp; 2 QUEEN SIZE	44	SET		 1,200.00  3	BEDDINGS FOR GH 1 &amp; 2 KING SIZE	5	SET		 1,500.00  4	CANISTER JAR CANISTER JAR	10	PC		 100.00  5	CHAIRS GENERAL OFFICE CHAIRS	100	PC		 400.00  6</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</si>
  <si>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</si>
  <si>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</si>
  <si>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</si>
  <si>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</si>
  <si>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</si>
  <si>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</si>
  <si>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</si>
  <si>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</si>
  <si>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q   30 sq.m</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</si>
  <si>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</si>
  <si>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qcctv   1 set</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</si>
  <si>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</si>
  <si>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</si>
  <si>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</si>
  <si>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</si>
  <si>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</si>
  <si>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</si>
  <si>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</si>
  <si>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Concreting of Alley Road</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</si>
  <si>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</si>
  <si>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</si>
  <si>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</si>
  <si>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</si>
  <si>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</si>
  <si>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SEE ATTACHED BIDDING DOCS, PLANS AND CHECKLIST</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</si>
  <si>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</si>
  <si>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Piglets Hog Starter Hog Grower Hog Finisher Dewormer (Injectable Ivermection, 10 ml/bottle -3 ml/cycle for 2 heads (.3 bottle/cycle Vitamin B. Complaex (Injectable BEXAN SP20 ml/bottle)-8 ml/cycle for 2 heads (08 bottle/cycle)</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</si>
  <si>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</si>
  <si>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</si>
  <si>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</si>
  <si>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</si>
  <si>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ITB NO. 2020-0011 Provision of Security  Services of People’s Television Network, Inc. Manila Office and its Provincial Station</t>
  </si>
  <si>
    <t xml:space="preserve"> 20 W Solar Panel 5w LED Buld 10A Solar Charge Controller, Weatherproof, Dush Till Dawn 16ah Solar Battery  2"Post with Padestal 6" AMCO Globe</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</si>
  <si>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</si>
  <si>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</si>
  <si>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</si>
  <si>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</si>
  <si>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</si>
  <si>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</si>
  <si>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</si>
  <si>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</si>
  <si>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</si>
  <si>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</si>
  <si>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Issuance of Bid Documents Starts: June 3, 2020 Cost of Bid Document: Php 1,000.00 Venue of Dropping and Opening Bids: BAC Conference Room, Leyte SMED Center, Provincial Capitol Grounds, Tacloban City</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</si>
  <si>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</si>
  <si>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</si>
  <si>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</si>
  <si>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</si>
  <si>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20F00123 - OO1: Ensure Safe and Reliable National Road System – Bridge Program – Widening of Permanent Bridges – Pili Airport Br. (B00418LZ) along Pili Airport Road, Pili, Camarines Sur 3rd Legislative District</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</si>
  <si>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</si>
  <si>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</si>
  <si>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Concreting of Alley RoadC</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</si>
  <si>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</si>
  <si>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</si>
  <si>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tables and chairs, secretary at session hall</t>
  </si>
  <si>
    <t xml:space="preserve"> Invitation to Bid for the Procurement of Various Equipment, Instruments and Furnitures for TANJAY WATER DISTRICT</t>
  </si>
  <si>
    <t xml:space="preserve"> 74462 - Procurement of Airconditioning Check-up and Cleaning Services Posting Date: June 3, 2020 Closing Date: June 16, 2020</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</si>
  <si>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</si>
  <si>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</si>
  <si>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</si>
  <si>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</si>
  <si>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A) REQUEST FOR QUOTATION 1. 2 ltr Termiticide, water base 2. 28 bag Cement 3. 3 cu. m Gravel 4. 2 cu. m Sand 5. 31 pc Deformed bar, 10mmØ 6. 165 pc CHB, 4" 7. 2 kg GI wire, #16 8. 152 pc Ceramic floor tiles, 0.40 x 0.40m, verify design and color 9. 5 bag </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</si>
  <si>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</si>
  <si>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Please quote using the attached RFQ form with your lowest possible price and email at IleenVista@dti.gov.ph not later than June 1, 2020, 10:00 AM.   For those who have not yet submitted their SUPPLIERS’ ACCREDITATION REQUIREMENTS, please attach photocopie</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</si>
  <si>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</si>
  <si>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</si>
  <si>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</si>
  <si>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</si>
  <si>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</si>
  <si>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</si>
  <si>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</si>
  <si>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</si>
  <si>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Handheld Radios</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</si>
  <si>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</si>
  <si>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</si>
  <si>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Cadiz City SF-GOOD-60 Standard Form Title: Request for Quotation 										_______________ 									             ______________________ ______________________ 	Please quote your lowest price on the items listed below, subject to the General Conditions on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</si>
  <si>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</si>
  <si>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SUPPLY/DELIVERY AND INSTALLATION OF COMPUTER DESKTOP</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</si>
  <si>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</si>
  <si>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</si>
  <si>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Republic of the Philippines                   Department of Health	       CENTRAL OFFICE BIDS AND AWARDS COMMITTEE  INVITATION TO BID FOR THE  PROCUREMENT OF DELTAMETHRIN – REBID  IB NO. 2020-172-A 1.	The Department of Health (DOH), through the General Ap</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</si>
  <si>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</si>
  <si>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</si>
  <si>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</si>
  <si>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Request for Quotation RFQ No.		SVP-003-2020 MR No.		08049 Requisition No. 	19-0153-Area I Posting Date:         	May 29, 2020 Deadline for Submission:		June 4, 2020 at 9:00 AM Opening Date:	June 4, 2020, 2020 at 10:00 AM TO:	Name of Supplier:_____________</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</si>
  <si>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</si>
  <si>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</si>
  <si>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</si>
  <si>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Lot 1: One (1) Lot Application of Polyurethane Foam on all BSP Buildings of BSP Cebu RO (see attached Scope of Work and Specifications)                                                                Lot 2: One (1) Lot Application of Polyurethane Foam Insu</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</si>
  <si>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</si>
  <si>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</si>
  <si>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</si>
  <si>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A) REQUEST FOR QUOTATION Aircon Repair of H.G Starex  1. 1 pc Control Switch Assembly 2. 1 pc Expansion Valve (Front) 3. 1 pc Expansion Valve (Rear) Delivery Period: Five (5) Working Days B) USE COMPANY LETTERHEAD FOR YOUR QUOTATION &amp; ADDRESS TO: DIR. JAM</t>
  </si>
  <si>
    <t xml:space="preserve"> 1	lot	Professional Services (Highly Technical) to provide for Engineering Plans for the following: 		1.  Generator Set System of BSWM 		2. Fume Hood Ducting System of Laboratory 		3. Architectural Plan of BSWM 		4. Site Development Plan of BSWM 		Delivera</t>
  </si>
  <si>
    <t xml:space="preserve"> INVITATION TO BID The DPWH Regional Office IX, Veterans Avenue Extension, Tetuan, Zamboanga City, through its Bids and Awards Committee (BAC), invites contractors to submit bids for the following Contract: Contract ID	:	20J00176 Contract Name	:	Constructi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</si>
  <si>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</si>
  <si>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Technical and Scientific Equipment 3	pc	Scientific Calculator 		Specs: 		fx50f Plus 406 functions Dual Power Programable 406 function; 12 digits 2 line display; dot matrix 4 program areas; Two Way power 615	btl	Water Sampling Collection Plastic Bottle 		S</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</si>
  <si>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</si>
  <si>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INVITATION TO BID The DPWH Regional Office IX, Veterans Avenue Extension, Tetuan, Zamboanga City, through its Bids and Awards Committee (BAC), invites contractors to submit bids for the following Contract: Contract ID	:	20J00177 Contract Name	:	Constructi</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</si>
  <si>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</si>
  <si>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Republic of the Philippines DEPARTMENT OF PUBLIC WORKS AND HIGHWAYS CENTRAL OFFICE Manila Roads Management Cluster 1 (Bilateral), Unified Project Management Office 2nd Street, Port Area, Manila -------------------------------------------------------------</t>
  </si>
  <si>
    <t xml:space="preserve"> OTHER MACHINERY AND EQUIPMENT 2	ass	1.  Pump Coupled with MOTOR: Submersible pump 		Capacity of at least 60m3 per day at the following conditions: 		a. Operating condition: TDH=25-35m (operating head); Flow rate (7-10cmh) 		b. Pump Efficieny;  50% (minimu</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</si>
  <si>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</si>
  <si>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</si>
  <si>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Procurement of supply and delivery of Laboratory Supplies 98	box	Facemask, cotton, good quality, 50’s 50	box	Syringe, disposable, good quality, 3 ml, 100’s 50	box	Syringe, disposable, good quality, 5 ml, 100’s 50	box	Syringe, disposable, good quality, 10 </t>
  </si>
  <si>
    <t xml:space="preserve"> To be used in the collection of Local Revenues. Delivery Term: 30-45 days after receipt of PO.</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</si>
  <si>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</si>
  <si>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</si>
  <si>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</si>
  <si>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see attached bid docs</t>
  </si>
  <si>
    <t xml:space="preserve"> INVITATION TO BID The DPWH Regional Office IX, Veterans Avenue Extension, Tetuan, Zamboanga City, through its Bids and Awards Committee (BAC), invites contractors to submit bids for the following Contract: Contract ID	:	20J00179 Contract Name	:	Constructi</t>
  </si>
  <si>
    <t xml:space="preserve"> INVITATION TO BID The DPWH Regional Office IX, Veterans Avenue Extension, Tetuan, Zamboanga City, through its Bids and Awards Committee (BAC), invites contractors to submit bids for the following Contract: Contract ID	:	20J00178 Contract Name	:	Constructi</t>
  </si>
  <si>
    <t xml:space="preserve"> Item/	                                                                                ABC Qty	Unit	Description	                                                                        Unit Cost 1	Lot	Water Quality Analysis	                                 </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</si>
  <si>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</si>
  <si>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</si>
  <si>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The DPWH Regional Office IX, Veterans Avenue Extension, Tetuan, Zamboanga City, through its Bids and Awards Committee (BAC), invites contractors to submit bids for the following Contract: Contract ID	:	20J00188 Contract Name	:	Constructi</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</si>
  <si>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</si>
  <si>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</si>
  <si>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</si>
  <si>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</si>
  <si>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</si>
  <si>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</si>
  <si>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</si>
  <si>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</si>
  <si>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</si>
  <si>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</si>
  <si>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</si>
  <si>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</si>
  <si>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</si>
  <si>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</si>
  <si>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</si>
  <si>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Construction of Multi-Purpose Building includes Civil, Mechanical, Electrical, and Sanitary/Plumbing Works; Earthwork; Plain and Reinforced Concrete Work; and Finishings and Other Civil Works; Electrical; Mechanical</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</si>
  <si>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</si>
  <si>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</si>
  <si>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</si>
  <si>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</si>
  <si>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</si>
  <si>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</si>
  <si>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</si>
  <si>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PLEASE ATTACHED TOR</t>
  </si>
  <si>
    <t xml:space="preserve"> ALBAY 3RD DISTRICT ENGINEERING OFFICE																											 Paulog, Ligao City																											 																											 																											 INVITATION TO BID																											 																											 															</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</si>
  <si>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</si>
  <si>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</si>
  <si>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</si>
  <si>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INVITATION TO BID The DPWH Regional Office IX, Veterans Avenue Extension, Tetuan, Zamboanga City, through its Bids and Awards Committee (BAC), invites contractors to submit bids for the following Contract: Contract ID	:	20J00183 Contract Name	:	Constructi</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</si>
  <si>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</si>
  <si>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Republic of the Philippines SOUTHERN LEYTE STATE UNIVERSITY-TOMAS OPPUS San Isidro, Tomas Oppus, Southern Leyte Website: www.slsuonline.edu.ph Invitation to Bid for the  Supply, Delivery &amp; Installation of Science Laboratories and Research Facilities 1.	Th</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</si>
  <si>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</si>
  <si>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INVITATION TO BID The DPWH Regional Office IX, Veterans Avenue Extension, Tetuan, Zamboanga City, through its Bids and Awards Committee (BAC), invites contractors to submit bids for the following Contract: Contract ID	:	20J00181 Contract Name	:	Constructi</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</si>
  <si>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</si>
  <si>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100	pcs	LongRun P3 Module  64 x 64 (Indoor LED Display) 6	unit	Uninterruptible Power Supply; Capacity 1500VA; INPUT: 230VAC; OUTPUT: ± 10% BATTERY 12 V/10 Ah x 2; Real Panel: 1. AC Input  2. Backup Output 3. Bypass Output  4.  USB Port  5.  RJ11 6.  Cooli</t>
  </si>
  <si>
    <t xml:space="preserve"> 1 	lot	Strong Motion Accelerograph	 		23 pcs Strong Motion Accelerograph	 		-1x Fully tested 3-axis MEMS accelerograph	 		circuit board	 		-1x Vertical Earth motion monitoring sensor	 		("geophone", 4.5 Hz)	 		-1x Raspberry Pi single-board computer	 		-1x</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</si>
  <si>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</si>
  <si>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</si>
  <si>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</si>
  <si>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</si>
  <si>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</si>
  <si>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</si>
  <si>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142.05 kgs 15L-16mm dia. Deformed Steel bar 1 kg #16 Tie Wire 1 pc Hacksaw Blade 5 cu.m Pre-Mixed Concrete 1 sheet Ordinary Plywood 1/2" thk</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</si>
  <si>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</si>
  <si>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Procurement of supply and delivery of ICT Supplies  7	unit	Digital Capturing Device (bezel-less phone, Android 9.0 (pie): one UI OS version, dual standby sim, Octacore CPU, 128 GB storage, 6 GB RAM, microSd external storage, non-removable Li-Po 6000mAh ba</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</si>
  <si>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</si>
  <si>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Republic of the Philippines				 				                   Office of the Municipal Mayor				 					       BIDS AND AWARDS COMMITTEE				 					            Sta. Barbara, Pangasinan				 									 					               Invitation to Bid 				 					                    </t>
  </si>
  <si>
    <t xml:space="preserve"> The DPWH Nueva Ecija 1st DEO, through its Bids and Awards Committee (BAC), invites contractors to submit bids for the following contract:			 				 	20CE0203: Construction of Multi-Purpose Buildings (Covered Court), Talavera National High School, Talavera, </t>
  </si>
  <si>
    <t xml:space="preserve"> The DPWH Nueva Ecija 1st DEO, through its Bids and Awards Committee (BAC), invites contractors to submit bids for the following contract:			 				 	20CE0202: Construction of Multi-Purpose Building (Gymnasium), Talavera National High School, Talavera, Nueva</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</si>
  <si>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</si>
  <si>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</si>
  <si>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The San Francisco Water District through its Bids and Award committee will invites you to quote;</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</si>
  <si>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</si>
  <si>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</si>
  <si>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1 unit Submersible Motor 100HP see attached complete specifications</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</si>
  <si>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</si>
  <si>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</si>
  <si>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</si>
  <si>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</si>
  <si>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1. The Department of Transportation (DOTr) through the 2020 GAA Locally Funded Projects intends to apply the sum of Seven Hundred Fifty-Nine Million Eighty Thousand Three Hundred Sixty-Seven Pesos and Thirteen Centavos (Php 759,080,367.13) being the Appro</t>
  </si>
  <si>
    <t xml:space="preserve"> Republic of the Philippines National Kidney and Transplant Institute Bids and Awards Committee East Avenue, Quezon City 1100 981-0300 / 981-0400 local 1157 http://www.nkti.gov.ph/	 INVITATION TO BID for the ITB No. 20-049 ONE (1) LOT SUPPLY AND DELIVERY 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</si>
  <si>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</si>
  <si>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</si>
  <si>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Contract Name: Construction and / or Repair / Rehabilitation of Multi – Purpose Building Brgy. 72, Zone 6, Tondo Manila       Contract Location: Tondo, Manila       Brief Description: Construction/ Repair/ Rehabilitation of Multi – Purpose Building       </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</si>
  <si>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</si>
  <si>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</si>
  <si>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1) DIGITAL  COLOR COPIER:............................................. One (1) unit ........ P144,500.00        -with network printing, color scanning, and network fax        -maximum duty cycle 65,000/month + consumables            ***nothing follows*** </t>
  </si>
  <si>
    <t xml:space="preserve"> CLARK DEVELOPMENT CORPORATION Clark Freeport Zone, Philippines NOTICE TO CONDUCT NEGOTIATED PROCUREMENT ASPHALT OVERLAY AT CLARK MUSEUM AREA  The Clark Development Corporation (CDC), through the CDC Corporate Budget for CY 2020, intends to apply the sum o</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</si>
  <si>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</si>
  <si>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In need of transportation and touring service for the 2020 Subic, Zambales Student Tour</t>
  </si>
  <si>
    <t xml:space="preserve"> National Power Corporation INVITATION TO BID PUBLIC BIDDING 2020-0085 1.	The NATIONAL POWER CORPORATION (NPC), through       its        approved       Corporate Budget of CY 2020 intends to apply   the   sum   of (Please see schedule below) being the Appr</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</si>
  <si>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</si>
  <si>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1)  Plastic Filler for Seagull : .......................500 packs ...... P75.00/pack        -A4 size;  10pcs / pack  2)  Ring Binder: .......................................... 70 pcs  ....... P300.00/pack        -3-ring cover file, A4 size,          hard</t>
  </si>
  <si>
    <t xml:space="preserve"> 1)  Office Table: 120(L) x 60(W) x 75(H)cm   ........... Four (4)units ........ ₱12,000.00/unit     - with center drawer and 3 side drawers 2)  Office Table: 160(L) x 70(W) x 75(H)cm   .......... One (1)	unit    .......   18,000.00/unit      - with center</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</si>
  <si>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</si>
  <si>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</si>
  <si>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</si>
  <si>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1)  BATTERY   (for UPS):   ........................      Five (5) pcs .............. P1,200.00/pc   2)  DESKTOP COMPUTER:  .......................      Two (2) sets .............  39,208.00/set          -Intel Core i5  7700, 3.6Ghz         -H110 M-Motherb</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</si>
  <si>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</si>
  <si>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Please quote hereunder your lowest possible price for the Supply and Delivery of High Voltage Power Supply for Surge Test Apparatus. Original Request for Quotation form will be available for pick-up or download from PhilGEPS starting March 7, 2020 until M</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</si>
  <si>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</si>
  <si>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Contract Name: Installation of Pumping Station (Mini Pump) at Barangay 598 Zone 59, Manila City       Contract Location: Manila City       Brief Description: Installation of Mini Pump       Approved Budget for the Contract (ABC):  Php 53,074,892.40       </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</si>
  <si>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</si>
  <si>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Construction/Rehabilitation of Various District Engineering Office including construction of Multi-Purpose Gym, Renovation of Old DPWH Office, Multipurpose Hall at roofdeck including CCTV, Paging System and Air-Conditioning</t>
  </si>
  <si>
    <t xml:space="preserve"> Supply of Labor and Materials Transmission and Distribution Line Valves and Hydrant (3 units gate valve 20 mm) Service Connection (30 sets new service connection) Pavement demolition and restoration</t>
  </si>
  <si>
    <t xml:space="preserve"> Supply of Labor and Materials Concreting Works v = 2.00cu.m. Masonry Works (Wall/Septic Tank) Roofing works Doors and Windows Plumbing works Electrical works Tileworks Ceiling works</t>
  </si>
  <si>
    <t xml:space="preserve"> INVITATION TO BID The DPWH Regional Office IX, Veterans Avenue Extension, Tetuan, Zamboanga City, through its Bids and Awards Committee (BAC), invites contractors to submit bids for the following Contract: Contract ID	:	20J00182 Contract Name	:	Concreting</t>
  </si>
  <si>
    <t xml:space="preserve"> Supply of Labor and Materials Masonry Works Concreting Works V =5.21 cu.m. Doors and windows Roofing Works Plumbing works</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</si>
  <si>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</si>
  <si>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National Power Corporation INVITATION TO BID PUBLIC BIDDING 2020-0081 1.	The NATIONAL POWER CORPORATION (NPC), through       its        approved       Corporate Budget of CY 2020 intends to apply   the   sum   of (Please see schedule below) being the Appr</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</si>
  <si>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</si>
  <si>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</si>
  <si>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Informing the public that the 74122- 1 UNIT SINGLE STAGE VERTICAL IN-LINE CENTRIFUGAL PUMP 15 LPS per PR. No. 74122 with a Total Approved Budget of the Contract (ABC) P250,000.00 Will be done through Shopping Mode of Procurement. The said undertaking is i</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</si>
  <si>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</si>
  <si>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</si>
  <si>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</si>
  <si>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</si>
  <si>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PR NO.S1-PAL19-002</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</si>
  <si>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</si>
  <si>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</si>
  <si>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National Power Corporation INVITATION TO BID PUBLIC BIDDING 2020-0078 1.	The NATIONAL POWER CORPORATION (NPC), through       its        approved       Corporate Budget of CY 2020 intends to apply   the   sum   of (Please see schedule below) being the Appr</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</si>
  <si>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</si>
  <si>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REPUBLIC OF THE PHILIPPINES SOUTHERN LEYTE STATE UNIVERSITY – TOMAS OPPUS 6605 SAN ISIDRO, TOMAS OPPUS,  SOUTHERN LEYTE www.slsuonline.edu.ph Invitation to Bid  Supply, Delivery &amp; Installation of Equipment and Furniture and Fixture for Theater Lot 2 and L</t>
  </si>
  <si>
    <t xml:space="preserve"> TABULATING FILE CABINET : ..... Six (6) pcs  .........P25,000.00/pc        -Card Size: 5-1/4” (H) x 8-5/8”     -Over-all Dimension:        57-1/2”(H)  x  21” (W)  x 28-1/2” (D) with ball caster               ***nothing follows***                       Not</t>
  </si>
  <si>
    <t xml:space="preserve"> REQUEST FOR EXPRESSION OF INTEREST  CONSULTING SERVICES FOR THE IMPLEMENTATION OF PHILIPPINE FINANCIAL REPORTING STANDARD (PFRS 9) – FINANCIAL INSTRUMENTS The Pag-IBIG Fund, through its Special Bids and Awards Committee - Consulting Services (SBAC - CS), </t>
  </si>
  <si>
    <t xml:space="preserve"> CLARK DEVELOPMENT CORPORATION Clark Freeport Zone, Philippines NOTICE TO CONDUCT NEGOTIATED PROCUREMENT IMPROVEMENT OF MULTI-PURPOSE BUILDING  The Clark Development Corporation (CDC), through the CDC Corporate Budget for CY 2020, intends to apply the sum </t>
  </si>
  <si>
    <t xml:space="preserve"> Contract ID: 			20GO0038 Contract 	Name: 			 Widening/Improvement/Upgrading of Honorata Manalo  (Buri Road), Brgy. Mandalagan, Bacolod City Contract 	Location: 		 Brgy. Mandalagan, Bacolod City, Negros Occidental Brief Description:                   Widen</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</si>
  <si>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</si>
  <si>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</si>
  <si>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</si>
  <si>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</si>
  <si>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</si>
  <si>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</si>
  <si>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Supply of Labor and Materials Roofing Works Electrical Works Painting Works</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</si>
  <si>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</si>
  <si>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</si>
  <si>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</si>
  <si>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1	CAMERA, DIGITAL 20.1 MP, 5 X ZOOM (WIDE), HD V	1 PC		Php 20,000.00 2	DOCUMENT SCANNER AUTO DOCUMENT FEEDER, DUPLEX SCANNING MAX RESOLUTION	1 UNIT		       75,000.00 3	LAPTOP (INTEL CORE I7, 0.S WINDOWS)	2 UNIT		      55,000.00</t>
  </si>
  <si>
    <t xml:space="preserve"> The DPWH Nueva Ecija 1st DEO, through its Bids and Awards Committee (BAC), invites contractors to submit bids for the following contract:			 				 	20CE0199: Rehabilitation of Municipal Health Center, Lupao, Nueva Ecija			 				 				 	CONTRACT DURATION: ___</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</si>
  <si>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</si>
  <si>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</si>
  <si>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see attached.</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</si>
  <si>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</si>
  <si>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</si>
  <si>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</si>
  <si>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</si>
  <si>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pulvurizer, shredder ect...</t>
  </si>
  <si>
    <t xml:space="preserve"> Procurement and Delivery of ICT Equipment</t>
  </si>
  <si>
    <t xml:space="preserve"> Conctract ID No.:	:	20K00285 Conctract Name:	:	Construction of Multi-Purpose Building, Brgy. Ranao-Baning, Amai Manabilang, Lanao del Sur Conctract Location:	:	Lanao del Sur Scope of Work:	:	Construction of Multi-Purpose Building Appropriation:	:	PHP 5,00</t>
  </si>
  <si>
    <t xml:space="preserve"> CLARK DEVELOPMENT CORPORATION Clark Freeport Zone, Philippines INVITATION TO BID The Clark Development Corporation (CDC), through its Bids and Awards Committee (BAC), invites suppliers to bid for: Name of Project	:	Supply and Delivery of Brand New Thirtee</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</si>
  <si>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</si>
  <si>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</si>
  <si>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</si>
  <si>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Project Reference No.: I-2020-12             Date:          February 21, 2020 INVITATION TO BID FOR PROPOSED TWO-STOREY FOUR CLASSROOMS AT THE MENESES CAMPUS (INFRA-2020-12) 1.	The Bulacan State University (BulSU), through the Income Fund 2020 intends to </t>
  </si>
  <si>
    <t xml:space="preserve"> Republic of the Philippines DEPARTMENT OF HEALTH TALISAY DISTRICT HOSPITAL        (DR. JACINTO VELEZ SR. MEMORIAL HOSPITAL) San Isidro, Talisay City, Cebu (032)273-3226  (032) 273-3226 talisaydistricthospital@gmail.com http://www.tdh.doh.gov.ph INVITAT</t>
  </si>
  <si>
    <t xml:space="preserve"> Project Reference No.: I-2020-11              Date:          February 21, 2020 INVITATION TO BID FOR RENOVATION OF CLASSROOMS AT THE COLLEGE OF INFORMATION AND COMMUNICATIONS TECHNOLOGY BUILDING   (INFRA-2020-11) 1.	The Bulacan State University (BulSU), t</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</si>
  <si>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</si>
  <si>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Conctract ID No.:	:	20K00282 Conctract Name:	:	Construction of Multi-Purpose Building, Barangay Gadongan, Marawi City, Lanao del Sur Conctract Location:	:	Lanao del Sur Scope of Work:	:	Construction of Multi-Purpose Building Appropriation:	:	PHP 3,000,000</t>
  </si>
  <si>
    <t xml:space="preserve"> Conctract ID No.:	:	20K00275 Conctract Name:	:	Construction of Multi-Purpose Building, Katogonan, Buadiposo Buntong, Lanao del Sur Conctract Location:	:	Lanao del Sur Scope of Work:	:	Construction of Multi-Purpose Building Appropriation:	:	PHP 3,500,000.0</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</si>
  <si>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</si>
  <si>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Project Reference No.: I-2020-08                                                                                               Date:          February 11, 2020 INVITATION TO BID FOR RE-BIDDING FOR THE RENOVATION OF THE COLLEGE OF SOCIAL SCIENCES AND PHILO</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</si>
  <si>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</si>
  <si>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Name: Construction of Multi – Purpose Buildings ( Daycare Centers), Manila City Contract Location: Manila City      Brief Description: Construction of Multi – Purpose Buildings      Approved Budget for the Contract (ABC):  Php 97,998,833.48      </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</si>
  <si>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</si>
  <si>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</si>
  <si>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</si>
  <si>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Contract Name: Rehabilitation of Multi – Purpose Building, Brgy 636, Sta. Mesa, Manila Contract Location: Manila City      Brief Description: Rehabilitation of Multi – Purpose Building       Approved Budget for the Contract (ABC):  Php 9,899,596.36      S</t>
  </si>
  <si>
    <t xml:space="preserve"> Project Reference No.: I-2020-06             Date:          February 11, 2020 INVITATION TO BID FOR  RE-BIDDING FOR THE PROPOSED AUDIO VISUAL ROOM AT THE MENESES CAMPUS  (INFRA-2020-06) 1.	The Bulacan State University (BulSU), through the Income Fund 2020</t>
  </si>
  <si>
    <t xml:space="preserve"> Please download the ATTACHED ASSOCIATED COMPONENTS for details/schedules.</t>
  </si>
  <si>
    <t xml:space="preserve"> Contract Name: Continuation of Multi – Purpose Building, Brgy. 259, Tondo, Manila Contract Location: Manila City      Brief Description: Rehabilitation of Multi – Purpose Building      Approved Budget for the Contract (ABC):  Php 14,849,659.73      Source</t>
  </si>
  <si>
    <t xml:space="preserve"> CLARK DEVELOPMENT CORPORATION Clark Freeport Zone, Philippines NOTICE TO CONDUCT NEGOTIATED PROCUREMENT SLOPE PROTECTION OF DRAINAGE AT THE BACK OF MSK/NAYONG PILIPINO The Clark Development Corporation (CDC), through the CDC Corporate Budget for CY 2020, </t>
  </si>
  <si>
    <t xml:space="preserve"> Specs: Backup &amp; Replication with Standard Perpetual License</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</si>
  <si>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</si>
  <si>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</si>
  <si>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National Power Corporation INVITATION TO BID PUBLIC BIDDING 2020-0065 1.	The NATIONAL POWER CORPORATION (NPC), through       its        approved       Corporate Budget of CY 2020 intends to apply   the   sum   of (Please see schedule below) being the Appr</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</si>
  <si>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</si>
  <si>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No. 20-002                   ONE (1) YEAR GARBAGE COLLECTION, TRANSPORT AND DISPOSAL SERVICES 1.	The Cultural Center of the Philippines (CCP), through  its Corporate Operati</t>
  </si>
  <si>
    <t xml:space="preserve"> Construction of School Building</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</si>
  <si>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</si>
  <si>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Please quote hereunder your lowest possible price for the IT EQUIPMENT (EXPO DUBAI). For more specifications and for the sample please see attached Request for Quotation form and sample. Original Request for Quotation form will be available for pick-up or</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</si>
  <si>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</si>
  <si>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</si>
  <si>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</si>
  <si>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INVITATION TO BID FOR CIVIL WORKS December 05, 2019 1.	The Department of Public Works and Highways (DPWH), Bukidnon Second District Engineering Office, Pinamaloy, Don Carlos, Bukidnon through its Bids and Awards Committee BAC, invites contractors to submi</t>
  </si>
  <si>
    <t xml:space="preserve"> INVITATION TO BID The DPWH Regional Office IX, Veterans Avenue Extension, Tetuan, Zamboanga City, through its Bids and Awards Committee (BAC), invites contractors to submit bids for the following Contract: Contract ID	:	20J00092 Contract Name	:	Replacemen</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</si>
  <si>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</si>
  <si>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INVITATION TO BID The DPWH Regional Office IX, Veterans Avenue Extension, Tetuan, Zamboanga City, through its Bids and Awards Committee (BAC), invites contractors to submit bids for the following Contract: Contract ID	:	20J00089 Contract Name	:	Replacemen</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</si>
  <si>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</si>
  <si>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</si>
  <si>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</si>
  <si>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</si>
  <si>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</si>
  <si>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UPGRADING OF ELECTRICAL SYSTEM AND SUBMETERING OF THE MAIN BUILDING OF THE DEPARTMENT OF ENVIRONMENT AND NATURAL RESOURCES-CENTRAL OFFICE (DENR-CO) Bid Ref. No. DENR-CO-2020-002 REBID Approved Budget for the Contract:P30,000,000.00 1.	The   Department of </t>
  </si>
  <si>
    <t xml:space="preserve"> INVITATION TO BID The DPWH Regional Office IX, Veterans Avenue Extension, Tetuan, Zamboanga City, through its Bids and Awards Committee (BAC), invites contractors to submit bids for the following Contract: Contract ID	:	20J00090 Contract Name	:	Replacemen</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</si>
  <si>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</si>
  <si>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A. Clearing. Layout and false works B. Excavation C. Concrete Line Canal with Concrete Cover and Concrete Shoulder D. Concrete Line Canal</t>
  </si>
  <si>
    <t xml:space="preserve"> Republic of the Philippines DEPARTMENT OF HEALTH TALISAY DISTRICT HOSPITAL        (DR. JACINTO VELEZ SR. MEMORIAL HOSPITAL) San Isidro, Talisay City, Cebu (032)273-8785  (032) 273-8785 talisaydistricthospital@gmail.com http://www.tdh.doh.gov.ph INVITAT</t>
  </si>
  <si>
    <t xml:space="preserve"> INVITATION TO BID The DPWH Regional Office IX, Veterans Avenue Extension, Tetuan, Zamboanga City, through its Bids and Awards Committee (BAC), invites contractors to submit bids for the following Contract: Contract ID	:	20J00091 Contract Name	:	Replacemen</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</si>
  <si>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</si>
  <si>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Contract Name: Rehabilitation of Multi – Purpose Building (Bacood Health Center), Manila Contract Location: Manila City      Brief Description: Rehabilitation of Multi – Purpose Building       Approved Budget for the Contract (ABC):  Php 9,799,932.60     </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</si>
  <si>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</si>
  <si>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Republic of the Philippines DEPARTMENT OF PUBLIC WORKS AND HIGHWAYS CAMARINES NORTE  DISTRICT ENGINEERING OFFICE REGIONAL OFFICE V Daet, Camarines Norte REQUEST FOR EXPRESSION OF INTEREST (REI) Contract ID		: 19CSFC03 Contract Name	: CONDUCT OF GEOTECHNIC</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</si>
  <si>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</si>
  <si>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</si>
  <si>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Asset Preservation / Rehabilitation / Reconstruction / Upgrading of Road</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</si>
  <si>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</si>
  <si>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</si>
  <si>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</si>
  <si>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CLARK DEVELOPMENT CORPORATION Clark Freeport Zone, Philippines  NOTICE TO CONDUCT NEGOTIATED PROCUREMENT WIDENING OF J. ABAD SANTOS EXTENSION  The Clark Development Corporation (CDC), through the CDC Corporate Budget for CY 2020, intends to apply the sum </t>
  </si>
  <si>
    <t xml:space="preserve"> The Supreme Court intends to apply, through the General Appropriations Act for F.Y. 2020 (R.A. No. 11465), the sum of Seventeen Million Four Hundred Thousand Pesos (₱17,400,000.00), inclusive of Value-Added Tax, being the Approved Budget for the Contract </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</si>
  <si>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</si>
  <si>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Supply of Labor and Materials Culvert Installation 83 pcs RCCP # 36 Sidewalk/Curbs and Gutter V = 29.50 cu.m. Masonry works Manhole Cover</t>
  </si>
  <si>
    <t xml:space="preserve"> 1	COFFEE MAKER AUTOMATIC COFFE MAKER Please see attached specifications	2 unit		Php 2,000.00 	 2	EXTENSION CORD 12-GANG UNIVERSAL TOWER WITH SWITCH	10 pc		1,000.00	 3	OVEN MICROWAVE (TOASTER ELECTRIC 23L)	1 pc		4,000.00	 4	PAPER CUTTER HEAVY DUTY	1 pc		3,</t>
  </si>
  <si>
    <t xml:space="preserve"> Supply of Labor and Materials  Retaining Wall V = 432.48 cu.m. Culvert Installation 80pcs RCCP #36 / RCCP #42 Concreting Works V= 103.43 cu.m. Manhole/Manhole Cover</t>
  </si>
  <si>
    <t xml:space="preserve"> Supply of Labor and Materials  Concreting Works  v = 6.19 cu.m. Masonry Works Rebarworks Roofing Works Doors and Windows Electrical Works</t>
  </si>
  <si>
    <t xml:space="preserve"> Please download attached BSP Invitation for Negotiation, Terms of References, Forms and Annexes</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</si>
  <si>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</si>
  <si>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Supply of Labor and Materials  Backfilling works Culvert Installation 48 pcs RCCP #24 Concreting works V = 10.80 cu.m. Masonry works Manhole cover</t>
  </si>
  <si>
    <t xml:space="preserve"> Supply of Labor and Materials Rebar works Masonry Works A = 100.80 sq.m. Concreting works V = 20.47 cu.m. Electrical Works Roofing Works Perimeter Fence L = 33.00 m (rebarworks, masonry works, concreting works, steelworks) Sdewalk (rebarworks, masonry wor</t>
  </si>
  <si>
    <t xml:space="preserve"> Supply of Labor and Materials  L=156.00m;  w = 4.00m; t = 0.20m 105 Subgrade Preparation A = 780.00sq.m. 201 Aggregate Base Coarse V = 93.60 cu.m. compacted volume/ v= 112.32 cu.m. loose volume 311 Portland Cement Concrete Pavement V124.80 cu.m. / A = 624</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</si>
  <si>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</si>
  <si>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Rehabilitation/Upgrading and Improvement of Road</t>
  </si>
  <si>
    <t xml:space="preserve"> 1.The Bureau of Quarantine, through the General Appropriations Act intends to apply the sum of Six Million Forty-Eight Thousand One Pesos (Php 6,048,000.00) being the Approved Budget for the Contract (ABC) to payments under the contract for Procurement of</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</si>
  <si>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</si>
  <si>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</si>
  <si>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</si>
  <si>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</si>
  <si>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</si>
  <si>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</si>
  <si>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see line item</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</si>
  <si>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</si>
  <si>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</si>
  <si>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</si>
  <si>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</si>
  <si>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1 Lot Establishment of Video Wall Project for Security Operation Center (Physical and Cybersecurity) and Network Operation Center Please email us at opbacsec@malacanang.gov.ph to view the Actual Bidding Documents. Thank you.</t>
  </si>
  <si>
    <t xml:space="preserve"> Medical Materials for the BSWM Clinic 6	btls	Dexamethasone 1 mg neomycin sulfate 3,500 iu, polymycin B sulfates 6,000 u (maxitrol eye drop 5ml) 6	btls	Antipyrine 54mg., benzocaline 14mg oxyquinoline sulfate 375mg (auralgan 10ml) 6	btls	Loratadine + Betame</t>
  </si>
  <si>
    <t xml:space="preserve"> ICT Spareparts 4	pc	RAM (8GB) 2	pc	Video Card (RTX 2080 8GB) 2	pc	Processor (i9-7900) 2	pc	Motherboard (X299LGa2066 Motherboard) 4	pc	Internal SSD (500GB) 4	pc	Power Supply 4	pc	Casing (full tower) 		 *********** End user: 	GSITD																		 Deadlin</t>
  </si>
  <si>
    <t xml:space="preserve"> MA-A2H20-006..BATTERY BANK, STATION BATTERY, AGUS 1 HE PLANT ABC  : P 8,500,000.00 PLACE OF DELIVERY  : AGUS 1 HEP WAREHOUSE MARAWI CITY AMOUNT OF BID DOCUMENTS  : P 10,000.00</t>
  </si>
  <si>
    <t xml:space="preserve"> Sea Ambulance with 2 Stroke Double Engine 75 HP, 25 Passenger Capacity, GPS big 14 inches, Big Oxygen Tank and with Medical Kit</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</si>
  <si>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</si>
  <si>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</si>
  <si>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</si>
  <si>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PR # 2020-02-1005 4	units	LAPTOP 		Processor : Intel Core i5 		Display: 14' to 15.6" 		Display: Resolution: up to 1080p 		RAM: 4GB to 8GB 		Storage: 1Tb 		Video: Dedicated 2GB 		Operating System: Windows 1064bit 1	unit	LAPTOP 		Processor : Intel Core i7 	</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</si>
  <si>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</si>
  <si>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Republic of the Philippines City of Dapitan BIDS AND AWARDS COMMITTEE 						March 23, 2020 NOTICE FOR NEGOTIATED - SMALL VALUE PROCUREMENT 	The City Government of Dapitan through the Bids and Awards Committee (BAC) would like to inform PhilGEPS registered</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</si>
  <si>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</si>
  <si>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</si>
  <si>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PROVISION OF WATCHMAN SERVICES FROM MARCH 1-DECEMBER 31, 2020</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</si>
  <si>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</si>
  <si>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</si>
  <si>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supplier within Bacolod City.</t>
  </si>
  <si>
    <t xml:space="preserve"> Issuance of Bid Documents  : 8:00AM - 5:00PM July 03, 2020 to 8:00AM - 10:00AM, July 14, 2020</t>
  </si>
  <si>
    <t xml:space="preserve"> Supplier within Bacolod City</t>
  </si>
  <si>
    <t xml:space="preserve"> supllier within Bacolod City</t>
  </si>
  <si>
    <t xml:space="preserve"> The BAC shall issue bidding documents upon payment of Twenty Five Thousand Pesos Only (Php25,000.00) to the disbursing/collecting officer of the LGU.</t>
  </si>
  <si>
    <t xml:space="preserve"> Requirements:</t>
  </si>
  <si>
    <t xml:space="preserve"> BID Doc posted: July 3, 2020 (Friday)</t>
  </si>
  <si>
    <t xml:space="preserve"> REMINDERS:</t>
  </si>
  <si>
    <t xml:space="preserve"> Purpose:  for Engineering and Construction Department.</t>
  </si>
  <si>
    <t xml:space="preserve"> BID TENDER								</t>
  </si>
  <si>
    <t xml:space="preserve"> BID DOCS posted: July 3, 2020 (Friday)</t>
  </si>
  <si>
    <t xml:space="preserve"> The BAC shall issue bidding documents upon payment of Five Thousand Pesos Only (Php5,000.00) to the disbursing/ collecting officer of the LGU.</t>
  </si>
  <si>
    <t xml:space="preserve"> BIDDERS: GENERAL SANTOS CITY AREA ONLY</t>
  </si>
  <si>
    <t xml:space="preserve"> Purpose: for use in water treatment.</t>
  </si>
  <si>
    <t xml:space="preserve"> Purpose: for Subdivision Interconnection Works for Fatima Homes Subdivision, San Roque.</t>
  </si>
  <si>
    <t xml:space="preserve"> GENERAL INSTRUCTIONS TO BIDDERS:							</t>
  </si>
  <si>
    <t xml:space="preserve"> Deadline for submission of bid, 2pm July 13, 2020.</t>
  </si>
  <si>
    <t xml:space="preserve"> Deadline for submission of Bid, 2pm July 13, 2020.</t>
  </si>
  <si>
    <t xml:space="preserve"> Include Brand, Model, Quality and Warranty</t>
  </si>
  <si>
    <t xml:space="preserve"> 1	Bidders are required to read the instructions  and fill ALL the blanks in typewritten form or written legibly in permanent ink.						</t>
  </si>
  <si>
    <t xml:space="preserve"> https://tinyurl.com/y7l3z8cr</t>
  </si>
  <si>
    <t xml:space="preserve"> 1. Issuance of Bidding Documents</t>
  </si>
  <si>
    <t xml:space="preserve"> Also available at the DPWH Website.</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</si>
  <si>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</si>
  <si>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see associated components</t>
  </si>
  <si>
    <t xml:space="preserve"> Pls. see attached other documents for other information.</t>
  </si>
  <si>
    <t xml:space="preserve"> 1. Funded under the General Fund 20% Development Fund with an ABC of 267,777.56</t>
  </si>
  <si>
    <t xml:space="preserve"> PLEASE SEE ATTACHED SPECIFICATIONS</t>
  </si>
  <si>
    <t xml:space="preserve"> • Similar Contracts: Supply and delivery of handheld on-line partial discharge tester and power quality analyzer and energy meter or electrical testing equipment /test instruments</t>
  </si>
  <si>
    <t xml:space="preserve"> Please see attached files</t>
  </si>
  <si>
    <t xml:space="preserve"> Bidding will be conducted through open competitive bidding procedures using non-discretionary “pass/fail” criterion as specified in the 2016 Revised Implementing Rules and Regulations (IRR) of Republic Act 9184 (RA 9184), otherwise known as the “Government Procurement Reform Act.”</t>
  </si>
  <si>
    <t xml:space="preserve"> BID TENDER														</t>
  </si>
  <si>
    <t xml:space="preserve"> Please download RFQ in the Associated Components for Quotation.</t>
  </si>
  <si>
    <t xml:space="preserve"> • Similar Contracts: Supply and delivery of Diesel Generating Sets or Mechanical and/or Electrical Parts / Components / Equipment for Diesel Generating Sets or Power Barges</t>
  </si>
  <si>
    <t xml:space="preserve"> The Schedule of BAC Activities is as follows:</t>
  </si>
  <si>
    <t xml:space="preserve"> Quotations may be submitted through email at rodelserrano77@yahoo.com or delivered to the address indicated below:  </t>
  </si>
  <si>
    <t xml:space="preserve"> FOR INQUIRY PROCEED TO BARANGAY HALL OF BARANGAY BACAO TAYSAN BATANGAS</t>
  </si>
  <si>
    <t xml:space="preserve"> DELIVER AND INSTALL AT MAMFIC, FR. 3,  TIBAL-OG, Sto. Tomas, Davao Del Norte</t>
  </si>
  <si>
    <t xml:space="preserve"> BID TENDER							</t>
  </si>
  <si>
    <t xml:space="preserve"> For development of land for the relocation site of informal settlers</t>
  </si>
  <si>
    <t xml:space="preserve"> All quotations will be collated and checked a day after the 7 days posting. </t>
  </si>
  <si>
    <t xml:space="preserve"> For construction/rehabilitation of Dapatan barangay Road</t>
  </si>
  <si>
    <t xml:space="preserve"> Please contact SDO, Pasay Supply Office for specifications of materials</t>
  </si>
  <si>
    <t xml:space="preserve"> The deadline of Submission and opening of the RFQ are as follows:	</t>
  </si>
  <si>
    <t xml:space="preserve"> Download RFQ and Memo at the associated components and submit both documents.</t>
  </si>
  <si>
    <t xml:space="preserve"> BASILIO T. PEPITO</t>
  </si>
  <si>
    <t xml:space="preserve"> Kindly submit your quotations in a sealed envelope addressed to Ms. Rosalia G. Climaco  Chairman of the Bids and Awards Committee (BAC) of POPCOM Caraga located at Butuan-Cagayan-Iligan Road, Purok 1 Abilan, Buenavista, Agusan del Norte on or before 1:00pm of July 6, 2020.</t>
  </si>
  <si>
    <t xml:space="preserve"> Please contact SDO, Pasay, Supply Office for specifications</t>
  </si>
  <si>
    <t xml:space="preserve"> For the use of OG2, 2ID, PA</t>
  </si>
  <si>
    <t xml:space="preserve"> please call To:  0998-247-0239  &amp;  0906-256-9238  for other details . . .</t>
  </si>
  <si>
    <t xml:space="preserve"> Bidding Document are available to prospective bidders who will pay the bidding documents frm the Mahongkong Barangay Treasurer at Barangay Mahongkog,Magpet,Cotabato</t>
  </si>
  <si>
    <t xml:space="preserve"> Contact Person: Ronald M. Alquiros/ Hazel Jane M. Orge</t>
  </si>
  <si>
    <t xml:space="preserve"> For use in the repair/maint. Of Payloader</t>
  </si>
  <si>
    <t xml:space="preserve"> Note: Kindly submit your updated PhilGEPS documents, Tax Clearance, Mayor’s permit, SEC Certificate/DTI permit, and brochures if any.</t>
  </si>
  <si>
    <t xml:space="preserve"> Please DOWNLOAD attached file/s for Specifications.</t>
  </si>
  <si>
    <t xml:space="preserve"> For use in the repair/maint. Of Road Grader</t>
  </si>
  <si>
    <t xml:space="preserve"> FRANCISCO TAM-IS</t>
  </si>
  <si>
    <t xml:space="preserve"> DOCUMENTARY REQUIREMENTS FOR ALTERNATIVE METHODS OF PROCUREMENT</t>
  </si>
  <si>
    <t xml:space="preserve"> You may see the M.E., Municipality of Caibiran</t>
  </si>
  <si>
    <t xml:space="preserve"> Please submit sealed quotation</t>
  </si>
  <si>
    <t xml:space="preserve"> CONTACT PERSON:</t>
  </si>
  <si>
    <t xml:space="preserve"> Please dial 8711-4276 and look for Ms. Susan</t>
  </si>
  <si>
    <t xml:space="preserve"> Bidders must download the attached main document in associated component section.</t>
  </si>
  <si>
    <t xml:space="preserve"> deliver on site at SIFA, STO. NINO, NEW CORELLA, DAVAO DEL NORTE</t>
  </si>
  <si>
    <t xml:space="preserve"> REQUIREMENTS:</t>
  </si>
  <si>
    <t xml:space="preserve"> SEE RFQ</t>
  </si>
  <si>
    <t xml:space="preserve"> Other Information:</t>
  </si>
  <si>
    <t xml:space="preserve"> uel Capucao de Loyola</t>
  </si>
  <si>
    <t xml:space="preserve"> CONTACT:  MRS. RHODORA C. SEGARANG AT ENGINEERING OFFICE 2ND FLOOR</t>
  </si>
  <si>
    <t xml:space="preserve"> You may see the S,O., Municipality of Caibiran</t>
  </si>
  <si>
    <t xml:space="preserve"> INTERESTED BIDDERS ARE ADVISED TO DOWNLOAD THE ATTACHED DOCUMENTS IN THE ASSOCIATED COMPONENTS SECTION OF THE BID OPPORTUNITY FOR GUIDANCE.  PLEASE SEND YOUR QUOTATIONS AND OTHER DOCUMENTARY REQUIREMENTS ON OR BEFORE THE CLOSING DATE,  9 JULY 2020, 4:00PM   THRU  </t>
  </si>
  <si>
    <t xml:space="preserve"> Rebid.</t>
  </si>
  <si>
    <t xml:space="preserve"> GENERAL SPECIFICATION	4WD 6-SPEED M/T</t>
  </si>
  <si>
    <t xml:space="preserve"> For more details please visit our office or call the CCC Chairman</t>
  </si>
  <si>
    <t xml:space="preserve"> For rehabilitation/re-wiring of public market at Ground floor</t>
  </si>
  <si>
    <t xml:space="preserve"> Ruel Capucao de Loyola</t>
  </si>
  <si>
    <t xml:space="preserve"> BIDDERS MUST DOWNLOAD THE ATTACHED DOCUMENT IN THE ASSOCIATED COMPONENTS SECTION</t>
  </si>
  <si>
    <t xml:space="preserve"> Much better if binding is included (if possible)</t>
  </si>
  <si>
    <t xml:space="preserve"> MARIE ROSE AGUILAR DELOS REYES</t>
  </si>
  <si>
    <t xml:space="preserve"> Please send your quotations to evv.pelayo@philrice.gov.ph or jonathanmudlong@gmail.com</t>
  </si>
  <si>
    <t xml:space="preserve"> For construction of temporary shelter/ Covid-19 isolation faculty Housing site</t>
  </si>
  <si>
    <t xml:space="preserve"> Please quote at your government price inclusive of  VAT and state the time within which you can make delivery.   It will be appreciated if we can have your quotation duly signed by your representative at the UPM  PROCUREMENT OFFICE, now located at UPM Student Dormitory Building, along Pedro Gil, Taft Ave., Manila,  not later than  5:00 PM,  07 JULY, 2020,  or you may email your quotation at mbdeleon6@up.edu.ph c/o Ms. Cecil De Leon.</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</si>
  <si>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t>
  </si>
  <si>
    <t xml:space="preserve"> LABOR FOR THE COVERING CANAL IN FRONT OF BARANGAY CHAPEL, CONCRETING OF ACCESS ROAD AT P-1, CONCRETING OF CATWALK W/ RIPRAP AT 4</t>
  </si>
  <si>
    <t xml:space="preserve"> 1. Bidders are required to read the instructions and fill ALL the blanks in typewritten form or written legibly in permanent ink. </t>
  </si>
  <si>
    <t xml:space="preserve"> SECOND POSTING</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</si>
  <si>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</si>
  <si>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</si>
  <si>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For use in the repair/maint. Of DT (Howo-371)</t>
  </si>
  <si>
    <t xml:space="preserve"> FUNDED UNDER BDF 2020</t>
  </si>
  <si>
    <t xml:space="preserve"> Please see file on associated componet</t>
  </si>
  <si>
    <t xml:space="preserve"> 1.	Availability of Request for Quotation (RFQ) Form is on July 3, 2020 until 5:00 pm of July 7, 2020 (working days only).</t>
  </si>
  <si>
    <t xml:space="preserve"> For more details you may call/visit BAC Secretariat @ LGU POLANCO, Polanco, Z. N.</t>
  </si>
  <si>
    <t xml:space="preserve"> July 3, 2020</t>
  </si>
  <si>
    <t xml:space="preserve"> Please see attached associated components for the complete and detailed specifications</t>
  </si>
  <si>
    <t xml:space="preserve"> BIDDERS MUST DOWNLOAD THE ATTACHED DOCUMENT IN THE ASSOCIATED COMPONENT SECTION</t>
  </si>
  <si>
    <t xml:space="preserve"> See attached Quotation form</t>
  </si>
  <si>
    <t xml:space="preserve"> SUPPLIER OR BIDDER MUST DOWNLOAD THE ATTACHED DOCUMENT IN THE ASSOCIATED COMPONENT SECTION.</t>
  </si>
  <si>
    <t xml:space="preserve"> Sport Utility Vehicle - not exceeding 3000cc engine displacement</t>
  </si>
  <si>
    <t xml:space="preserve"> Bid Opening shall be on July 10, 2020 @ 09:30 AM at the Conference Room, Office of the Mayor, 2/f Municipal Hall Building, Municipal Compound, Brgy. Poblacion, Calintaan, Occ. Mindoro.</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</si>
  <si>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</si>
  <si>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</si>
  <si>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The BAC shall issue bidding documents upon payment of One Thousand Pesos Only (Php1,000.00) to the disbursing/collecting officer of the LGU.</t>
  </si>
  <si>
    <t xml:space="preserve"> Same time and venue.</t>
  </si>
  <si>
    <t xml:space="preserve"> Other Information</t>
  </si>
  <si>
    <t xml:space="preserve"> Deadline for submission, 2pm July 13, 2020.</t>
  </si>
  <si>
    <t xml:space="preserve"> To Our Supplier, Bid Documents are Available at BAC Secretariat</t>
  </si>
  <si>
    <t xml:space="preserve"> Conduct and delivery of goods will be at the function hall of the establishment in Cotabato City.</t>
  </si>
  <si>
    <t xml:space="preserve"> https://tinyurl.com/ybolqwjr</t>
  </si>
  <si>
    <t xml:space="preserve"> https://drive.google.com/file/d/11R_rObFd6b6a82ijKlqsJtI2vKmWM_B0/view?usp=drivesdk</t>
  </si>
  <si>
    <t xml:space="preserve"> Opening of Request for Quotation is on July 10, 2020 at exactly 3:00 p.m. at DENR-PENRO Office, Malaybalay City, Bukidnon.</t>
  </si>
  <si>
    <t xml:space="preserve"> Deadline of submission of bid, 2pm July 13, 2020.</t>
  </si>
  <si>
    <t xml:space="preserve"> upon submission of legal documents and requirements</t>
  </si>
  <si>
    <t xml:space="preserve"> "Item</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</si>
  <si>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</si>
  <si>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INVITATION TO BID</t>
  </si>
  <si>
    <t xml:space="preserve"> For use in the repair/maint. Of DT (YHL-490)</t>
  </si>
  <si>
    <t xml:space="preserve"> Within Conner, Apayao only</t>
  </si>
  <si>
    <t xml:space="preserve"> Free delivery</t>
  </si>
  <si>
    <t xml:space="preserve"> NOTE: BUDGET AMOUNT IS INCLUSIVE OF VAT</t>
  </si>
  <si>
    <t xml:space="preserve"> https://drive.google.com/file/d/1QHu5nXg-Ejmq_YaUfg83Yyupl_2u-J7V/view?usp=drivesdk</t>
  </si>
  <si>
    <t xml:space="preserve"> For information:</t>
  </si>
  <si>
    <t xml:space="preserve"> please call To: 0998-247-0239  &amp;  0906-256-9238  for other details . . . .</t>
  </si>
  <si>
    <t xml:space="preserve"> Interested supplier must download Associated Components or pick-up rfq  at Office</t>
  </si>
  <si>
    <t xml:space="preserve"> Issuance of Bid Documents Starts: July 2, 2020</t>
  </si>
  <si>
    <t xml:space="preserve"> Within Alfonso Lista, Ifugao only</t>
  </si>
  <si>
    <t xml:space="preserve"> https://drive.google.com/file/d/148PlhUhMijT2adMvQ_Ip79IJgcbItRLV/view?usp=drivesdk</t>
  </si>
  <si>
    <t xml:space="preserve"> Schedule of Activities:</t>
  </si>
  <si>
    <t xml:space="preserve"> Please send your quotations to jc.mudlong@philrice.gov.ph or jonathanmudlong@gmail.com</t>
  </si>
  <si>
    <t xml:space="preserve"> james03repita@gmail.com</t>
  </si>
  <si>
    <t xml:space="preserve"> For the use of ARESCOM, PA</t>
  </si>
  <si>
    <t xml:space="preserve"> NONE</t>
  </si>
  <si>
    <t xml:space="preserve"> Please contact BAC Secretariat for any queries.</t>
  </si>
  <si>
    <t xml:space="preserve"> DESCRIPTION - BACKFILLING</t>
  </si>
  <si>
    <t xml:space="preserve"> Please see download and see attachment.</t>
  </si>
  <si>
    <t xml:space="preserve"> Interested Bidder may purchase Bidding Documents in the amount of 500.00 pesos at the BAC Secretariat, Treasurer's Office, Municipal Hall Building.</t>
  </si>
  <si>
    <t xml:space="preserve"> Suppliers must  download the attached document in the associated component section</t>
  </si>
  <si>
    <t xml:space="preserve"> For more information, please see or contact the BAC Members of LGU-Magallanes, Sorsogon.</t>
  </si>
  <si>
    <t xml:space="preserve"> For further information, please refer to:</t>
  </si>
  <si>
    <t xml:space="preserve"> BIDDERS MUST DOWNLOAD THE ATTACHED DOCUMENT</t>
  </si>
  <si>
    <t xml:space="preserve"> LCRB</t>
  </si>
  <si>
    <t xml:space="preserve"> https://drive.google.com/file/d/1mK_c55iwYGnFqYOYqE1mAB2JneHp0iC3/view?usp=drivesdk</t>
  </si>
  <si>
    <t xml:space="preserve"> PLS. SEE ATTACHED PDF DOCUMENTS.</t>
  </si>
  <si>
    <t xml:space="preserve"> Please call MIRDC  c/o Ronnie Alamon for further question</t>
  </si>
  <si>
    <t xml:space="preserve"> INVITATION TO APPLY FOR ELIGIBILITY AND TO BID</t>
  </si>
  <si>
    <t xml:space="preserve"> A. Repainting of Roof and Directory			</t>
  </si>
  <si>
    <t xml:space="preserve"> For more information , please contact Mr. Mario A. Baya  : Mobile number 09955191723</t>
  </si>
  <si>
    <t xml:space="preserve"> MYLA D. ABAYON</t>
  </si>
  <si>
    <t xml:space="preserve"> Reservation Clause:</t>
  </si>
  <si>
    <t xml:space="preserve"> BAC Activity Schedule:</t>
  </si>
  <si>
    <t xml:space="preserve"> For more information please visit or contact  the BAC Secretariat  at Brgy Tinglan, Mutia Z.N</t>
  </si>
  <si>
    <t xml:space="preserve"> Please visit BAC office</t>
  </si>
  <si>
    <t xml:space="preserve"> ISSUANCE OF BIDDING DOCUMENTS: July 3, 2020- July 27, 2020</t>
  </si>
  <si>
    <t xml:space="preserve"> https://www.philgeps.gov.ph/GEPSNONPILOT/Tender/CreateNoticeStep2UI.aspx?RefID=7083055</t>
  </si>
  <si>
    <t xml:space="preserve"> https://drive.google.com/file/d/1h-O8L5a2aDldgKmfA_30WVuS9q4eaRnx/view?usp=drivesdk</t>
  </si>
  <si>
    <t xml:space="preserve"> For Inquiries and Information you may contact 	Ms. Emily L. Alferez tel. nos. (032) 272-6655/56 loc. 133/156 Telefax (032) 239-1427 or email us at PSemilyalferez@gmail.com  or download request for quotation (see associated components).</t>
  </si>
  <si>
    <t xml:space="preserve"> Please copy the link below and print for a copy of Bidding Document</t>
  </si>
  <si>
    <t xml:space="preserve"> https://www.philgeps.gov.ph/GEPSNONPILOT/Tender/CreateNoticeStep2UI.aspx?RefID=7083036</t>
  </si>
  <si>
    <t xml:space="preserve"> https://www.philgeps.gov.ph/GEPSNONPILOT/Tender/CreateNoticeStep2UI.aspx?RefID=7083068</t>
  </si>
  <si>
    <t xml:space="preserve"> Bidder must download the attached document in the associated component section</t>
  </si>
  <si>
    <t xml:space="preserve"> EMERGENCY PURCHASE</t>
  </si>
  <si>
    <t xml:space="preserve"> https://drive.google.com/file/d/1i9iI_mYRnHn3Dht1tXw_NRaABoIKSE1Q/view?usp=drivesdk</t>
  </si>
  <si>
    <t xml:space="preserve"> https://www.philgeps.gov.ph/GEPSNONPILOT/Tender/CreateNoticeStep2UI.aspx?RefID=7083133</t>
  </si>
  <si>
    <t xml:space="preserve"> *Total cost is inclusive of VAT &amp; delivery charges to the identified site – Dipolog City.</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</si>
  <si>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</si>
  <si>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Interested bidders must download the bidding documents in the following links:</t>
  </si>
  <si>
    <t xml:space="preserve"> Prospective Bidders should have the experience in undertaking a similar contract within the last five (5) years. Bidding will be conducted through open competitive bidding procedures using a non-discretionary "Pass/Fail" criterion as specified under Implementing Rules and Regulations of R.A.9184 otherwise known as the Government Procurement Reform Act.</t>
  </si>
  <si>
    <t xml:space="preserve"> Pub: July 03-05, 2020</t>
  </si>
  <si>
    <t xml:space="preserve"> 1.	Issuance of bid documents is on July 3, 2020 until 1:00 pm of July 15, 2020 (working days only).</t>
  </si>
  <si>
    <t xml:space="preserve"> BID DOCUMENT IS AVAILABLE AT ENGINEERING OFFICE, BAC SECRETARIAT.</t>
  </si>
  <si>
    <t xml:space="preserve"> Item	          Description	                   Quantity	Unit</t>
  </si>
  <si>
    <t xml:space="preserve"> For additional details, please contact:</t>
  </si>
  <si>
    <t xml:space="preserve"> All quotations must be in the prescribed canvass form and suppliers or its duly authorized representative shall personally submit the same to the Procurement Section, Rizal Provincial Government.</t>
  </si>
  <si>
    <t xml:space="preserve"> For inquiries, please call:</t>
  </si>
  <si>
    <t xml:space="preserve"> You may download ITB # 07-2020-010 in the Associated Component in this page.</t>
  </si>
  <si>
    <t xml:space="preserve"> https://drive.google.com/file/d/1nA3LFlEiPJIS_bp6tOSZxPlnqjryLphz/view?usp=drivesdk</t>
  </si>
  <si>
    <t xml:space="preserve"> Small Value Procurement documents are available at Cantuod Barangay Hall</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</si>
  <si>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</si>
  <si>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You may also send your quotation at psa.cavite@yahoo.com and call 046-686-5728 for inquiries.</t>
  </si>
  <si>
    <t xml:space="preserve"> • Supply and delivery of Diesel Generating Sets or Mechanical and/or Electrical Spare Parts/ Components/ Equipment for Diesel Generating Sets</t>
  </si>
  <si>
    <t xml:space="preserve"> for queries, pls. contact MS. ANJ EMETERIO at 84057234, email address: mqemeterio@gmail.com</t>
  </si>
  <si>
    <t xml:space="preserve"> *7 Units	USB Wifi Adapter</t>
  </si>
  <si>
    <t xml:space="preserve"> Province of Iloilo</t>
  </si>
  <si>
    <t xml:space="preserve"> SUBMIT QUOTATION ON OR BEFORE JULY 8, 2020 - 10:00AM AT BAC OFFICE</t>
  </si>
  <si>
    <t xml:space="preserve"> Republic of the Philippines</t>
  </si>
  <si>
    <t xml:space="preserve"> Pls. send quotation at philricebatacpmu@gmail.com</t>
  </si>
  <si>
    <t xml:space="preserve"> Delivery at the job site.</t>
  </si>
  <si>
    <t xml:space="preserve"> Please forward the RFQ to Tuguegarao Airport</t>
  </si>
  <si>
    <t xml:space="preserve"> For further information, please refer to:					</t>
  </si>
  <si>
    <t xml:space="preserve"> •  Supply and Delivery of Diesel Generating Sets or Mechanical and/or Electrical Parts/Components/Equipment for Diesel Generating Sets</t>
  </si>
  <si>
    <t xml:space="preserve"> Please submit all documentary requirement stated in our RFQ</t>
  </si>
  <si>
    <t xml:space="preserve"> For inquires call BAC Secretariat at tel # (056) 333-6310</t>
  </si>
  <si>
    <t xml:space="preserve"> Please send your quotation to:</t>
  </si>
  <si>
    <t xml:space="preserve"> Below is the link of the bidding document for this Project.</t>
  </si>
  <si>
    <t xml:space="preserve"> BIDDERS MUST DOWNLOAD THE ATTACHE DOCUMENT IN THE ASSOCIATED COMPONENT SECTION</t>
  </si>
  <si>
    <t xml:space="preserve"> Please download RFQ thru the Associated Component under the Bid Notice Abstract</t>
  </si>
  <si>
    <t xml:space="preserve"> Contact Person:</t>
  </si>
  <si>
    <t xml:space="preserve"> Availability of RFQ: July 2 - 6, 2020, 8:00 AM-5:00 PM; Monday through Friday</t>
  </si>
  <si>
    <t xml:space="preserve"> REQUEST FOR QUOTATION FORM WILL BE AVAILABLE AT GINGOOG CITY WATER DISTRICT OFFICE</t>
  </si>
  <si>
    <t xml:space="preserve"> For Inquiries and Information you may contact 	Ms. Miraluna R. Lara  tel. nos. (032) 272-6655/56 loc. 133/156 Telefax (032) 239-1427 or email us at PSmiralunalara@gmail.com  or download attached request for quotations (see associated components).</t>
  </si>
  <si>
    <t xml:space="preserve"> BAC ACTIVITIES</t>
  </si>
  <si>
    <t xml:space="preserve"> BAC ACTIVITY DATES:</t>
  </si>
  <si>
    <t xml:space="preserve"> DOWNLOAD RFQ &amp; MEMO @ THE ASSOCIATED COMPONENTS</t>
  </si>
  <si>
    <t xml:space="preserve"> Specification:			</t>
  </si>
  <si>
    <t xml:space="preserve"> Details and other information relative to this proposed contract will be discuss during pre-bid conference.</t>
  </si>
  <si>
    <t xml:space="preserve"> https://drive.google.com/file/d/1ppLQ06pqjivr1QSmIp4t9EtO6rj5rNKk/view?usp=drivesdk</t>
  </si>
  <si>
    <t xml:space="preserve"> INVITATION TO BID FOR </t>
  </si>
  <si>
    <t xml:space="preserve"> ***Please see attached Request for Quotation...</t>
  </si>
  <si>
    <t xml:space="preserve"> 	Option to reserve the stock for the VMMC: seven (7) working days after the opening of this canvass</t>
  </si>
  <si>
    <t xml:space="preserve"> Quotation shall be submitted via email (lbphobac@mail.landbank.com) not later than July 8,2020, 3:00PM</t>
  </si>
  <si>
    <t xml:space="preserve"> Instruction for Suppliers on How to View/Download the document:</t>
  </si>
  <si>
    <t xml:space="preserve"> Details and other information relative to this propose contract will be discuss during pre-bid conference.</t>
  </si>
  <si>
    <t xml:space="preserve"> Please contact:</t>
  </si>
  <si>
    <t xml:space="preserve"> Cost of Bid Docs: Php 500.00</t>
  </si>
  <si>
    <t xml:space="preserve"> Instruction for Suppliers on how to View/Download the document just go to the link below:</t>
  </si>
  <si>
    <t xml:space="preserve"> Cost of Bid Docs: Php 1,000.00</t>
  </si>
  <si>
    <t xml:space="preserve"> Bidding will set by BAC of RADC upon notice to Commission on Audit.</t>
  </si>
  <si>
    <t xml:space="preserve"> https://drive.google.com/file/d/1fQKW56-zrJiraRWtZPOMcdAnUrrvfRd-/view?usp=drivesdk</t>
  </si>
  <si>
    <t xml:space="preserve"> PCAB License</t>
  </si>
  <si>
    <t xml:space="preserve"> BIDDERS/SUPPLIER MUST DOWNLOAD THE ATTACHED DOCUMENTS IN THE ASSOCIATED SECTIONS.</t>
  </si>
  <si>
    <t xml:space="preserve"> https://drive.google.com/file/d/1x76xhkz0maPO8s1ZOYZAh5hQJRUL6Prb/view?usp=drivesdk</t>
  </si>
  <si>
    <t xml:space="preserve"> https://drive.google.com/file/d/1cJckUY6dbb3nybV_gI1L1KQ6yS019-XD/view?usp=drivesdk</t>
  </si>
  <si>
    <t xml:space="preserve"> for queries, pls contact MS. JENKIN DY at 8-5512200 locals 2290, 2979; email address: jenkindy26@yahoo.com</t>
  </si>
  <si>
    <t xml:space="preserve"> Barangay San Francisco is a small barangay that composed of Barangay Officials and Constituents.</t>
  </si>
  <si>
    <t xml:space="preserve"> Visit our school for your bidding estimation</t>
  </si>
  <si>
    <t xml:space="preserve"> Mechanical Testing upon delivery. User Guide needed</t>
  </si>
  <si>
    <t xml:space="preserve"> PLEASE CHECK SIMILAR INFORMATION POSTED AT THE WEBSITE OF THE PROCURING ENTITY</t>
  </si>
  <si>
    <t xml:space="preserve"> Visit our school for your estimation.</t>
  </si>
  <si>
    <t xml:space="preserve"> Please see attached E-file for further Information</t>
  </si>
  <si>
    <t xml:space="preserve"> Specifications: A4 sized white paper, 60-70 gsm, with sorting and arranging, single page printing and with 5% </t>
  </si>
  <si>
    <t xml:space="preserve"> You may submit your quotation through the ff.:</t>
  </si>
  <si>
    <t xml:space="preserve"> SITIO PALANAS  PHP 63,175.00</t>
  </si>
  <si>
    <t xml:space="preserve"> https://drive.google.com/file/d/19N1HCxAxdkDn1VMUCyQA5D95X60bCDHw/view?usp=drivesdk</t>
  </si>
  <si>
    <t xml:space="preserve"> https://drive.google.com/file/d/1n5Fm20lAZyF3VMI1YTrfnBzFqfW_WhIc/view?usp=drivesdk</t>
  </si>
  <si>
    <t xml:space="preserve"> https://drive.google.com/file/d/1sZu-nC2HfOkxbXxXhWYS4XFBwNxlG1rS/view?usp=drivesdk</t>
  </si>
  <si>
    <t xml:space="preserve"> price is inclusive of delivery charge.</t>
  </si>
  <si>
    <t xml:space="preserve"> https://drive.google.com/file/d/1RE7PjyTu7dNEcgAkYq5cFxgwo_3LSqWj/view?usp=drivesdk</t>
  </si>
  <si>
    <t xml:space="preserve"> Please download the attached Invitation to Bid, Bidding Documents, Terms of Reference, Bill of Quantities (BOQ), Design and Build Scheme, and Eligibility Checklist in the associated component.</t>
  </si>
  <si>
    <t xml:space="preserve"> Submit LOI</t>
  </si>
  <si>
    <t xml:space="preserve"> Please download the attached Invitation to Bid, Bidding Documents, Eligibility Checklist for Goods, and Design Customized Waste Collection in the associated component.</t>
  </si>
  <si>
    <t xml:space="preserve"> Please copy the link below and paste it on new tab:</t>
  </si>
  <si>
    <t xml:space="preserve"> Deadline of submission of quotation is on July 7, 2020 at 10:00 AM.</t>
  </si>
  <si>
    <t xml:space="preserve"> Interested suppliers must be willing to deliver in advance. Payment will be issued upon the release of budget</t>
  </si>
  <si>
    <t xml:space="preserve"> 1.  The Barangay Council of Barangay Unat , intends to apply the sum above-stated being the Approved Budget for the Contract (ABC) to payments under the contract for the above-mentioned contract.  Bids received in excess of the ABC shall automatically rejected, the bid opening.</t>
  </si>
  <si>
    <t xml:space="preserve"> Publication - July 3-10, 2020</t>
  </si>
  <si>
    <t xml:space="preserve"> Copy of drawings/plans are not downloaded due to limited MB. Interested bidder/s may secure copy at BAC Office.</t>
  </si>
  <si>
    <t xml:space="preserve"> Pls. Indicate brand name,specification and warranty clause.</t>
  </si>
  <si>
    <t xml:space="preserve"> https://drive.google.com/file/d/1iSMnhBkLRM3bkfSjgJXVQRRQv8rSr0-Q/view?usp=drivesdk</t>
  </si>
  <si>
    <t xml:space="preserve"> Please download the RFQ here:</t>
  </si>
  <si>
    <t xml:space="preserve"> Inquire at the Office of Doña Marta Memorial District Hospital for details.</t>
  </si>
  <si>
    <t xml:space="preserve"> Inquire at the Office of Polillo Medicare Community Hospital for details.</t>
  </si>
  <si>
    <t xml:space="preserve"> Inquire at the Office of Ma. L. Eleazar Memorial District Hospital for details.</t>
  </si>
  <si>
    <t xml:space="preserve"> https://drive.google.com/file/d/1nAfDdzd0EC7TvMIuprZj828mwZiw-6mj/view?usp=drivesdk</t>
  </si>
  <si>
    <t xml:space="preserve"> Inquire at the Office of the Provincial Accountant for details.</t>
  </si>
  <si>
    <t xml:space="preserve"> Inquire at the office of Provincial Information for details.</t>
  </si>
  <si>
    <t xml:space="preserve"> Inquire at the Office of the Provincial Assessor for details.</t>
  </si>
  <si>
    <t xml:space="preserve"> NEIL SPENCER S. BARBON</t>
  </si>
  <si>
    <t xml:space="preserve"> created by the BAC Chairman</t>
  </si>
  <si>
    <t xml:space="preserve"> Pre-Bid : July 8,2020  - 10:00am</t>
  </si>
  <si>
    <t xml:space="preserve"> ALL INTERESTED BIDDERS ARE REQUIRED TO SUBMIT THEIR COMPLETE ELIGIBILITY REQUIREMENTS TO THE BAC FOR EVALUATION DURING THE PRE-BID CONFERENCE ON JULY 9, 2020 8:00A.M. AT THE BAC SECRETARIAT OFFICE, 2ND FLOOR, CITY HALL OF DASMARIÑAS, CAVITE. BIDDERS WHO SHALL FAIL TO ATTEND THE PRE-BID SHALL NOT BE ALLOWED TO JOIN THE BIDDING FOR THE AFORESAID PROJECT. </t>
  </si>
  <si>
    <t xml:space="preserve"> Created by:              Bartolome Carolino Cacho</t>
  </si>
  <si>
    <t xml:space="preserve"> Inquire at the Office of Quezon Medical Center for details.</t>
  </si>
  <si>
    <t xml:space="preserve"> Inquire at the Office of Bondoc Peninsula District Hospital for details.</t>
  </si>
  <si>
    <t xml:space="preserve"> CONTACT: MRS. RHODORA C. SEGARANG AT ENGINEERING OFFICE</t>
  </si>
  <si>
    <t xml:space="preserve"> NOTE: WEAR FACE MASK AND OBSERVED SOCIAL DISTANCING DURING THE OPENING OF BIDS.</t>
  </si>
  <si>
    <t xml:space="preserve"> Prospective bidder/s should attach PhilGEPS Registration Certificate and Notarized Omnibus Sworn Statement with the quotation.</t>
  </si>
  <si>
    <t xml:space="preserve"> SUBMISSION OF QUOTATION NOT LATER THAN JULY 9, 2020 UNTIL 12:00NN</t>
  </si>
  <si>
    <t xml:space="preserve"> BIDDERS MUST DOWNLOAD THE ATTACHED DOCUMENTS IN THE ASSOCIATED COMPONENTS SECTION</t>
  </si>
  <si>
    <t xml:space="preserve"> Purchase of Other Machineries and Equipment</t>
  </si>
  <si>
    <t xml:space="preserve"> Contact Person/s : Dominador I. Discaya , Jr.</t>
  </si>
  <si>
    <t xml:space="preserve"> The  schedule of activities is listed, as follows:							</t>
  </si>
  <si>
    <t xml:space="preserve"> Termite and Pest Control Services of Public Market</t>
  </si>
  <si>
    <t xml:space="preserve"> CNPH use</t>
  </si>
  <si>
    <t xml:space="preserve"> for the use of Office of the Internal Audit Service</t>
  </si>
  <si>
    <t xml:space="preserve"> for PTO use</t>
  </si>
  <si>
    <t xml:space="preserve"> PCSSD use</t>
  </si>
  <si>
    <t xml:space="preserve"> 1.)	1	length	Flat Bar No. 2 x ¼”</t>
  </si>
  <si>
    <t xml:space="preserve"> PESO use</t>
  </si>
  <si>
    <t xml:space="preserve"> Repair and Maintenance of Vehicle</t>
  </si>
  <si>
    <t xml:space="preserve"> Last day of submission of quotation is on July 6, 2020 9:00am.</t>
  </si>
  <si>
    <t xml:space="preserve"> 1.)	1	pc	Transmission support (transfer case)</t>
  </si>
  <si>
    <t xml:space="preserve"> for CNPH use</t>
  </si>
  <si>
    <t xml:space="preserve"> for the use of Provincial Accountant's Office</t>
  </si>
  <si>
    <t xml:space="preserve"> for the use of Provincial Accountant's Office and PBO (E-NGAS and Ebudget implementation)</t>
  </si>
  <si>
    <t xml:space="preserve"> Bidders must download the attached document in the associated components section.</t>
  </si>
  <si>
    <t xml:space="preserve"> Cost of Repair and Maintenance of SKU 670</t>
  </si>
  <si>
    <t xml:space="preserve"> Capalonga Medicare Community Hospital use</t>
  </si>
  <si>
    <t xml:space="preserve"> 1.)	1	pc	Fab belt, steering</t>
  </si>
  <si>
    <t xml:space="preserve"> Opening of bids on 6 July 2020 @ 2:00PM, BSP Legazpi Branch</t>
  </si>
  <si>
    <t xml:space="preserve"> 1.)	528	bd.ft	Coco stake</t>
  </si>
  <si>
    <t xml:space="preserve"> To all interested supplier/s kindly address your quotation/s to Mr. CICERO DY CLARO BAC Secretariat and attach the documentary requirements. Supplier’s submission of incomplete requirements is automatically disqualified.  Kindly submit in sealed quotation.</t>
  </si>
  <si>
    <t xml:space="preserve"> 1.)	251	bd.ft	Hard lumber</t>
  </si>
  <si>
    <t xml:space="preserve"> Kindly download the attached file in the associated component section</t>
  </si>
  <si>
    <t xml:space="preserve"> Interested Suppliers may download and submit 3 copies of RFQ using the prescribed template and shall conformed with the Technical Specifications attached herein.</t>
  </si>
  <si>
    <t xml:space="preserve"> 1.)	600	bottles	D5 0.3 NaCL 500ml</t>
  </si>
  <si>
    <t xml:space="preserve"> funded under BDF 2020</t>
  </si>
  <si>
    <t xml:space="preserve"> Prospective Bidders are encouraged to attend the Pre-Bid Conference on the above stated schedule and venue.</t>
  </si>
  <si>
    <t xml:space="preserve"> For further questions/clarifications please contact DM Pedro R. Comia of Sta. Rosa Branch at (049) 534-2914.</t>
  </si>
  <si>
    <t xml:space="preserve"> CNPH - Blood Service Facility Section use</t>
  </si>
  <si>
    <t xml:space="preserve"> 1 Unit 4x4 DOUBLE CAB UTILITY VEHICLE (4 WHEELER)</t>
  </si>
  <si>
    <t xml:space="preserve"> SUPPLIER MUST DOWNLOAD THE ATTACHED DOCUMENTS IN THE ASSOCIATED COMPONENTS SECTION</t>
  </si>
  <si>
    <t xml:space="preserve"> 1.) 1 Unit	Netbook:</t>
  </si>
  <si>
    <t xml:space="preserve"> for Pharmacy use</t>
  </si>
  <si>
    <t xml:space="preserve"> for Pharmacy Section use</t>
  </si>
  <si>
    <t xml:space="preserve"> TECHNICAL SPECIFICATIONS</t>
  </si>
  <si>
    <t xml:space="preserve"> Terms and Conditions:</t>
  </si>
  <si>
    <t xml:space="preserve"> Reminder:</t>
  </si>
  <si>
    <t xml:space="preserve"> https://drive.google.com/file/d/1j2r06fR9jlWHpAnDLQ6ZepETjXIQiueo/view?usp=drivesdk</t>
  </si>
  <si>
    <t xml:space="preserve"> https://drive.google.com/file/d/1GQOMwj7ZlLoyEt7cwiaLSwrJvpmhtw9A/view?usp=drivesdk</t>
  </si>
  <si>
    <t xml:space="preserve"> e mail your quotations only to ptmendiola22@yahoo.com</t>
  </si>
  <si>
    <t xml:space="preserve"> Subject to the submission of the following requirements:</t>
  </si>
  <si>
    <t xml:space="preserve"> July 2,2020</t>
  </si>
  <si>
    <t xml:space="preserve"> MATERIALS NEEDED:</t>
  </si>
  <si>
    <t xml:space="preserve"> https://drive.google.com/file/d/1FiSL8qyrcgIoswcHVjkY9TfDmSrx6B7b/view?usp=drivesdk</t>
  </si>
  <si>
    <t xml:space="preserve"> 1. Funded under the General Fund, 20% Development Fund with an ABC of Php 132,985.13</t>
  </si>
  <si>
    <t xml:space="preserve"> Quotations submitted thru mail/fax will not be accepted.</t>
  </si>
  <si>
    <t xml:space="preserve"> ISSUANCE OF BIDDING DOCUMENTS: July 2, 2020- July 27, 2020</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</si>
  <si>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</si>
  <si>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https://drive.google.com/file/d/1Woet1MUXwyHnLQCkNIHa5DJ5BOvxe7DE/view?usp=drivesdk</t>
  </si>
  <si>
    <t xml:space="preserve"> Please see attached Bid form and sample pictures for detailed specifications and preferences.</t>
  </si>
  <si>
    <t xml:space="preserve"> 20% EDF CY 2020 Projects</t>
  </si>
  <si>
    <t xml:space="preserve"> 100 sets LED Streetlights with Installation 30w Streetlights Arm 8ft w/ bolt &amp; nut strap machine bolt w/ insulator photocel extreme</t>
  </si>
  <si>
    <t xml:space="preserve"> For Particular, inquire at BAC Secretariat of Brgy. Balugohin Atimonan, Quezon</t>
  </si>
  <si>
    <t xml:space="preserve"> SSUANCE OF BIDDING DOCUMENTS: July 2, 2020- July 27, 2020</t>
  </si>
  <si>
    <t xml:space="preserve"> July 2, 2020</t>
  </si>
  <si>
    <t xml:space="preserve"> Please see attached Bid Form and sample pictures for detailed specifications and preferences.</t>
  </si>
  <si>
    <t xml:space="preserve"> Please see attached Bid Form and attached sample pictures for detailed specifications and preference.</t>
  </si>
  <si>
    <t xml:space="preserve"> Materials for Rehabilitation of Health Center</t>
  </si>
  <si>
    <t xml:space="preserve"> pls. download RFQ in the associated component.</t>
  </si>
  <si>
    <t xml:space="preserve"> All quotation must be submitted in a sealed envelope directly to LPGH&amp;STC, address to Ms. Cecille P. Manipon, BAC Chairman or email, together with the following requirements;</t>
  </si>
  <si>
    <t xml:space="preserve"> Please use the official quotation attached and provide a copy of PhilGEPS Certificate (Platinum).</t>
  </si>
  <si>
    <t xml:space="preserve"> Note: Online Submission of Bids still not available as of this writing.</t>
  </si>
  <si>
    <t xml:space="preserve"> FOB ODIONGAN WATER DISTRICT</t>
  </si>
  <si>
    <t xml:space="preserve"> Annual Budget CY 2020</t>
  </si>
  <si>
    <t xml:space="preserve"> All suppliers must submit their quotation together with the following:</t>
  </si>
  <si>
    <t xml:space="preserve"> None</t>
  </si>
  <si>
    <t xml:space="preserve"> For other information and queries, visit us at Headquarters 113th Contracting Office, AFPPS, Camp O'Donnell, Brgy Sta Lucia, Capas Tarlac and look for Chief 113th CO, AFPPS. Submission of Request for Quotation must reach to this Office not later than 061330H July 2020 for the opening of Canvass at 113th CO conference room.</t>
  </si>
  <si>
    <t xml:space="preserve"> For more information and details, please contact the BAC Secretariat</t>
  </si>
  <si>
    <t xml:space="preserve"> Please copy the link below and print for a copy Bidding Document</t>
  </si>
  <si>
    <t xml:space="preserve"> Bidders must download the attached document in the associated component.</t>
  </si>
  <si>
    <t xml:space="preserve"> Please see attached quotation.</t>
  </si>
  <si>
    <t xml:space="preserve"> Contact BAC Secretariat, Laua-an, Antique</t>
  </si>
  <si>
    <t xml:space="preserve"> Please see attached ITB and Bid Documents</t>
  </si>
  <si>
    <t xml:space="preserve"> Opening of bids will be on 6 July 2020</t>
  </si>
  <si>
    <t xml:space="preserve"> Please contact to Mr. Reno C. Salazar the BAC Secretary with CP # 09459852914 or you may call to Ms. Ma. Teresa L. Minguez. Thanks and God Bless us all.</t>
  </si>
  <si>
    <t xml:space="preserve"> Materials should be delivered in school.</t>
  </si>
  <si>
    <t xml:space="preserve"> Total Charges should be inclusive of all applicable taxes and shall be withheld as appropriate.</t>
  </si>
  <si>
    <t xml:space="preserve"> You can also download the items and specifications at our official website: www.cebucity.gov.ph under For</t>
  </si>
  <si>
    <t xml:space="preserve"> Bidders must download the document in the associated component section.</t>
  </si>
  <si>
    <t xml:space="preserve"> July 2, 2020 - Issuance of Bidding Documents</t>
  </si>
  <si>
    <t xml:space="preserve"> oOption to reserve the stock for the VMMC: seven (3) working days after the opening of this canvass</t>
  </si>
  <si>
    <t xml:space="preserve"> For the use of 2IMB, IMCOM, PA</t>
  </si>
  <si>
    <t xml:space="preserve"> Small Value Procurement documents are available at Arpili Barangay Hall</t>
  </si>
  <si>
    <t xml:space="preserve"> Shopping documents are available at Arpili Barangay Hall</t>
  </si>
  <si>
    <t xml:space="preserve"> Opening of Bids will be on 6 July 2020</t>
  </si>
  <si>
    <t xml:space="preserve"> SPL- I	Installation of Billboard	                   unit	1.00		</t>
  </si>
  <si>
    <t xml:space="preserve"> DONA D. SALMOS, RN, MAN </t>
  </si>
  <si>
    <t xml:space="preserve"> https://drive.google.com/file/d/1IKn_-m-bx9NeqNZxWgCBJo1HjGAYAFT9/view?usp=drivesdk</t>
  </si>
  <si>
    <t xml:space="preserve"> CONTACT PERSON:  MRS. RHODORA C. SEGARANG AT ENGINEERING OFFICE</t>
  </si>
  <si>
    <t xml:space="preserve"> 1 Facilities for the Engineer:</t>
  </si>
  <si>
    <t xml:space="preserve"> Requirements;</t>
  </si>
  <si>
    <t xml:space="preserve"> https://drive.google.com/file/d/1WYTbdOJYkBDMLuToD1rgSuf9cWw8qrXC/view?usp=drivesdk</t>
  </si>
  <si>
    <t xml:space="preserve"> Also available at DPWH website.</t>
  </si>
  <si>
    <t xml:space="preserve"> for more information, please contact Kag. Rogie Gumaro at 8838-2296.</t>
  </si>
  <si>
    <t xml:space="preserve"> Please submit sealed quotation.</t>
  </si>
  <si>
    <t xml:space="preserve"> Opening of Bids: July 22, 2020</t>
  </si>
  <si>
    <t xml:space="preserve"> Form of Quotation, Annex "A" may avail at BAC secretariat manually</t>
  </si>
  <si>
    <t xml:space="preserve"> Cost of Bid Documents: PhP1,000.00</t>
  </si>
  <si>
    <t xml:space="preserve"> Availability of Bid Documents: July 02 - 22, 2020; 8:00 AM-5:00 PM; Monday through Friday</t>
  </si>
  <si>
    <t xml:space="preserve"> Cost of Documents: 1,000.00</t>
  </si>
  <si>
    <t xml:space="preserve"> All quotations must be in the prescribed canvass form and suppliers or its duly authorized representative shall personally submit the same to the City Procurement Office, City Government of Antipolo.</t>
  </si>
  <si>
    <t xml:space="preserve"> Contact Person: 					</t>
  </si>
  <si>
    <t xml:space="preserve"> DATE OF PUBLIC BIDDING: JULY 09, 2020 @ 10:00 AM </t>
  </si>
  <si>
    <t xml:space="preserve"> -For Nissan Navara vehicle (4x4, 2012 model)</t>
  </si>
  <si>
    <t xml:space="preserve"> https://drive.google.com/file/d/1-78I-jq26yVZ-u-Yaa5hgyf3DTcJINlZ/view?usp=drivesdk</t>
  </si>
  <si>
    <t xml:space="preserve"> Submit your quotation at BAC Secretariat office 2nd Floor, Municipal building, New Bataan, Davao de Oro, or you can also email your quotation at bacnewbataan@gmail.com.</t>
  </si>
  <si>
    <t xml:space="preserve"> 4.	Interested bidders may obtain further information from Municipality of San Antonio, Zambales and inspect the Bidding Documents at the address given below from 8:00 AM to 5:00 PM.</t>
  </si>
  <si>
    <t xml:space="preserve"> "                                                                     GENERAL CONDITIONS</t>
  </si>
  <si>
    <t xml:space="preserve"> Eligibility Check July 9, 2020 @ BAC OFFICE 3RD DEO SEGABE PIÑAN, ZN</t>
  </si>
  <si>
    <t xml:space="preserve"> A.  Please submit your quotation in a sealed envelope, addressed to:</t>
  </si>
  <si>
    <t xml:space="preserve"> Opening of bids July 22, 2020 at 10:00 AM at Dap-ay di Tubo Poblacion Tubo Abra.</t>
  </si>
  <si>
    <t xml:space="preserve"> for more information just contact barangay secretariat of Barangay Dapdap Tigbauan, Iloilo</t>
  </si>
  <si>
    <t xml:space="preserve"> Eligibility check July 9, 2020 @ BAC OFFICE, 3RD DEO SEGABE PIÑAN, ZN</t>
  </si>
  <si>
    <t xml:space="preserve"> Suppliers are required to submit their quotation/written proposal with the following documents on or before JULY 06, 2020 9:00 AM at BAC Office, this LGU, to wit:</t>
  </si>
  <si>
    <t xml:space="preserve"> 20% EDF Fund CY 2020</t>
  </si>
  <si>
    <t xml:space="preserve"> All bidders must download the attached document in the associated component section.</t>
  </si>
  <si>
    <t xml:space="preserve"> for more information just contact barangay secretariat of Barangay DAPDAP Tigbauan, Iloilo</t>
  </si>
  <si>
    <t xml:space="preserve"> For the use of 2CAV, 2ID, PA</t>
  </si>
  <si>
    <t xml:space="preserve"> 1. Bidders are required to read the instruction.</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</si>
  <si>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</si>
  <si>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Bidder must be download the attached document in the associated component</t>
  </si>
  <si>
    <t xml:space="preserve"> Pre-Bid Conference</t>
  </si>
  <si>
    <t xml:space="preserve"> The schedule of opening of bid will be on July 23, 2020 at exactly 10:00 o'clock in the morning at the BAC Office c/o Budget Office LGU Dauis, Bohol.</t>
  </si>
  <si>
    <t xml:space="preserve"> For more information, please contact Ms Deborrah Dayao at 8924-6031 loc 231.</t>
  </si>
  <si>
    <t xml:space="preserve"> RFQ# 109CO – 06 – 2020 – 107 is ready and available at 109th CO, AFPPS, Camp Elias Angeles, San Jose, Pili, Camarines Sur</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</si>
  <si>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</si>
  <si>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Delivery should be delivered at school and inspected by school property costudian</t>
  </si>
  <si>
    <t xml:space="preserve"> Terms of Payment</t>
  </si>
  <si>
    <t xml:space="preserve"> SOF - LOCAL DISASTER RISK REDUCTION MANAGEMENT FUND 2020 (LDRRMF 2020)</t>
  </si>
  <si>
    <t xml:space="preserve"> Please look MR. FREDERICK VILLAS and Ms. Rowena Rodriguez for other information.</t>
  </si>
  <si>
    <t xml:space="preserve"> Schedule of BAC Activities:</t>
  </si>
  <si>
    <t xml:space="preserve"> Requirements if letter of intent is submitted through Authorized Representative</t>
  </si>
  <si>
    <t xml:space="preserve"> Please coordinate with BAC Secretariat:    Phone numbers: (02) 304-6523; 09178971826; 09988877455</t>
  </si>
  <si>
    <t xml:space="preserve"> Interested qualified supplier/bidder may obtain the canvass form from the BAC secretariat at the Schools Division Office of Tayabas City beginning July 2, 2020. Deadline for the submission of duly signed and sealed quotation is until July 7, 2020, 05:00 pm along with the following eligibility requirements:</t>
  </si>
  <si>
    <t xml:space="preserve"> Concreting of Alley Roads</t>
  </si>
  <si>
    <t xml:space="preserve"> 15.	For further information, please refer to:</t>
  </si>
  <si>
    <t xml:space="preserve"> https://drive.google.com/file/d/1GwoO0Xs73GhXEUenk8b2_ofMkFoN6Svl/view?usp=drivesdk</t>
  </si>
  <si>
    <t xml:space="preserve"> Contact Person:Mariel S. Peria</t>
  </si>
  <si>
    <t xml:space="preserve"> Fax your Price Quotation at Tel. Fax#: 426-30-45 / 927-64-26 loc 2561 or Email at bacveterans@gmail.com. Please indicate the brand name, complete specifications and attach CPR.</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</si>
  <si>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</si>
  <si>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RFQ# 109CO – 06 – 2020 – 108 is ready and available at 109th CO, AFPPS, Camp Elias Angeles, San Jose, Pili, Camarines Sur</t>
  </si>
  <si>
    <t xml:space="preserve"> https://drive.google.com/file/d/12SUyzPhBuG-SISA4-OL4i_l35vo9-LhF/view?usp=drivesdk</t>
  </si>
  <si>
    <t xml:space="preserve"> MS. PATRICIA D. RAMOS </t>
  </si>
  <si>
    <t xml:space="preserve"> For more information kindly contact:</t>
  </si>
  <si>
    <t xml:space="preserve"> o	Option to reserve the stock for the VMMC: seven (7) working days after the opening of this canvass</t>
  </si>
  <si>
    <t xml:space="preserve"> REQUIREMENT FOR COMMUNITY PARTICIPATION:</t>
  </si>
  <si>
    <t xml:space="preserve"> Please see attached documents for Specifications.</t>
  </si>
  <si>
    <t xml:space="preserve"> Continuation of Development Center</t>
  </si>
  <si>
    <t xml:space="preserve"> Pursuant to par.(g), Section 8.2.2 of RA 9184 &amp; its 2016 IRR, the BFAR-MIMAROPA BAC does not depend on the PHILGEPS Certificate of Registration's Annex A (List of Eligibility Documents) and reserves its authority to actually check the bidders' eligibilities. Thus, interested bidders for all our Invitations to Bid must still submit the required original/ certified true copy of legal, technical, and financial documents (duly signed on each page by the bidder) together with BFAR-MIMAROPA's official Request for Quotation (RFQ) Form. All bids submitted shall be subject to the procurement procedures prescribed by RA 9184 and its IRR; and the evaluation of the BAC.</t>
  </si>
  <si>
    <t xml:space="preserve"> https://drive.google.com/file/d/11Ap-01xpIkVy9EqKNazsOYCCDwGURbdE/view?usp=drivesdk</t>
  </si>
  <si>
    <t xml:space="preserve"> Kindly download the attached bidding documents  requirements and specifications.</t>
  </si>
  <si>
    <t xml:space="preserve"> BIDDERS MUST DOWNLOAD ELECTRONIC COPY OF BIDDING DOCUMENTS IN THE LINK BELOW:</t>
  </si>
  <si>
    <t xml:space="preserve"> 400 SACKS OF CERTIFIED RICE SEEDS, GOOD QUALITY</t>
  </si>
  <si>
    <t xml:space="preserve"> For more Information please contact the BAC Secretariat, LGU Tigbauan, at (033) 511-8790</t>
  </si>
  <si>
    <t xml:space="preserve"> Submission and Opening of Bids: July 10, 2020 @ 10:00 A.M.</t>
  </si>
  <si>
    <t xml:space="preserve"> INSTRUCTIONS/TERMS AND CONDITIONS:								</t>
  </si>
  <si>
    <t xml:space="preserve"> ACTIVITIES SCHEDULE:</t>
  </si>
  <si>
    <t xml:space="preserve"> https://drive.google.com/file/d/1pXzS-f3_UybcFtW9a8PtG_7OsxqhpEZC/view?usp=drivesdk</t>
  </si>
  <si>
    <t xml:space="preserve"> THE FOLLOWING REQUIRE SHALL BE SUBMITTED UPON SUBMISSION OF OFFERS. 1) MAYOR'S PERMIT 2) PHILGEPS</t>
  </si>
  <si>
    <t xml:space="preserve"> Submission and Opening of Bids: July 22, 2020 @ 10:00 A.M.</t>
  </si>
  <si>
    <t xml:space="preserve"> 1.	https://drive.google.com/file/d/1J3ZFUnkHrQiq5aR8Ewut9VTkUn32UCqo/view?usp=drivesdk</t>
  </si>
  <si>
    <t xml:space="preserve"> https://drive.google.com/file/d/1Y7Csaxc_gzr9y5ZNUGlXZp5f8i_qRUg9/view?usp=drivesdk</t>
  </si>
  <si>
    <t xml:space="preserve"> https://drive.google.com/file/d/1lcycuYG6cMZGVD1YaeOwNzVW5C-SBAx2/view?usp=drivesdk</t>
  </si>
  <si>
    <t xml:space="preserve"> Suppliers/bidders must download the attached documents in the associated component section.</t>
  </si>
  <si>
    <t xml:space="preserve"> https://drive.google.com/file/d/1QyAhRC9UNDSUwKNQwf_jChxiPkxakJWH/view?usp=drivesdk</t>
  </si>
  <si>
    <t xml:space="preserve"> This is subject to the availability of supplies at the PS-DBM.</t>
  </si>
  <si>
    <t xml:space="preserve"> KINDLY DOWNLOAD THE ATTACHMENT FROM ASSOCIATED COMPONENT.</t>
  </si>
  <si>
    <t xml:space="preserve"> Please submit all documentary requirements stated in our Request for Quotation</t>
  </si>
  <si>
    <t xml:space="preserve"> Please submit documentary requirement stated in our RFQ</t>
  </si>
  <si>
    <t xml:space="preserve"> PREVENTIVE MAINTENANCE SERVICE CONTRACT SHALL BE AWARDED TO AUTHORIZED MITSUBISHI MOTORS SERVICE CENTERS ONLY.</t>
  </si>
  <si>
    <t xml:space="preserve"> For inquires cal BAC Secretariat at tel No. (056) 333-6310</t>
  </si>
  <si>
    <t xml:space="preserve"> https://drive.google.com/file/d/1O7Vd7V-xLsKJlEPD1tbMNP-JeRN_pMqn/view?usp=drivesdk</t>
  </si>
  <si>
    <t xml:space="preserve"> https://tinyurl.com/yca94w7m</t>
  </si>
  <si>
    <t xml:space="preserve"> https://drive.google.com/file/d/1Iou6vxhWQJwG51LB-2z56YNFAUJJZ616/view?usp=drivesdk</t>
  </si>
  <si>
    <t xml:space="preserve"> https://drive.google.com/file/d/1xjlw3BUQ7TaS9PBjdbPjd6IIpHJqDhw0/view?usp=drivesdk</t>
  </si>
  <si>
    <t xml:space="preserve"> https://drive.google.com/file/d/11-XcXAVTzsOEFyHREfrz1wOFHzqC7zXZ/view?usp=drivesdk</t>
  </si>
  <si>
    <t xml:space="preserve"> For inquiries text or call BAC Secretariat at 0906-1246388.</t>
  </si>
  <si>
    <t xml:space="preserve"> https://drive.google.com/file/d/1rS3Z18VTFre_aEBxafilfH9-eoWM_J3S/view?usp=drivesdk</t>
  </si>
  <si>
    <t xml:space="preserve"> Contact Person: 						</t>
  </si>
  <si>
    <t xml:space="preserve"> This is already the 2nd bidding</t>
  </si>
  <si>
    <t xml:space="preserve"> https://drive.google.com/file/d/1433QSs9CvtGpyJYU3VlLM2QSvSLZZ_Py/view?usp=drivesdk</t>
  </si>
  <si>
    <t xml:space="preserve"> https://drive.google.com/file/d/16CrUuuTHPl9DS5zDuPDZrf_IsS-KT3i7/view?usp=drivesdk</t>
  </si>
  <si>
    <t xml:space="preserve"> https://drive.google.com/file/d/1uSmPOKBLqffQeL54B7vZ-LiFJRYAqB-P/view?usp=drivesdk</t>
  </si>
  <si>
    <t xml:space="preserve"> Publication - July 2-9, 2020</t>
  </si>
  <si>
    <t xml:space="preserve"> Bid Openig Venue: BAC Office, 9:00AM</t>
  </si>
  <si>
    <t xml:space="preserve"> KINDLY DOWNLOAD THE ATTACHMENT THROUGH THE ASSOCIATED COMPONENTS.</t>
  </si>
  <si>
    <t xml:space="preserve"> Bidders/Suppliers must download the attached document in the Associated Components section.</t>
  </si>
  <si>
    <t xml:space="preserve"> please go to link https://drive.google.com/file/d/1s3J9LaCY_cBzkAMpn2dmtsZt9DRl1Dgd/view?usp=drivesdk for a copy of the Bidding Documents</t>
  </si>
  <si>
    <t xml:space="preserve"> For further information, please refer to the following:</t>
  </si>
  <si>
    <t xml:space="preserve"> Certification: This is to certify that item(s) requested are/is included in approved Project Procurement Management Plan (PPMP) for CY 2020 with BAC Resolution No. 2020-07, as that, the procurement is under SMALL VALUE.</t>
  </si>
  <si>
    <t xml:space="preserve"> Quotation shall be submitted via email (lbphobac@mail.landbank.com) not later than July 15,2020, 3:00PM</t>
  </si>
  <si>
    <t xml:space="preserve"> PRINTING OF LEARNERS MODULE FOR SENIOR HIGH SCHOOL</t>
  </si>
  <si>
    <t xml:space="preserve"> The deadline of submission is on or before the closing date.</t>
  </si>
  <si>
    <t xml:space="preserve"> https://drive.google.com/file/d/16L25KResLPakYCiHFsM1DI2Q2lF2x2V6/view?usp=drivesdk</t>
  </si>
  <si>
    <t xml:space="preserve"> The Schedule of BAC Activities are as follows:</t>
  </si>
  <si>
    <t xml:space="preserve"> Bidder must submit the ff:</t>
  </si>
  <si>
    <t xml:space="preserve"> quotation shall be submitted via email (lbphobac@mail.landbank.com) not later than July 8,2020, 3:00PM</t>
  </si>
  <si>
    <t xml:space="preserve"> https://drive.google.com/file/d/1b2XOkw4fum9xcDYEfJ6ooBe4Db4LjtmD/view?usp=drivesdk</t>
  </si>
  <si>
    <t xml:space="preserve"> he Schedule of BAC Activities are as follows:</t>
  </si>
  <si>
    <t xml:space="preserve"> ITB, Bidding Documents and Plans can be download in the Associated Components.</t>
  </si>
  <si>
    <t xml:space="preserve"> https://drive.google.com/file/d/1PUldPeR9BP6Kd2eXrMDIJT0S6yrJUnaV/view?usp=drivesdk</t>
  </si>
  <si>
    <t xml:space="preserve"> SHERVANDO S. MACALA</t>
  </si>
  <si>
    <t xml:space="preserve"> NENITA A. GEMILGA</t>
  </si>
  <si>
    <t xml:space="preserve"> Please look for BAC Secretary/TWG for bidding documents/clarification,failure of submitting necessary documents will be subjected to disqualification.</t>
  </si>
  <si>
    <t xml:space="preserve"> https://drive.google.com/file/d/1XZ8Sku4S8cEDTidV1hX0ngKWMXxUAdS8/view?usp=drivesdk</t>
  </si>
  <si>
    <t xml:space="preserve"> Created by:             Bartolome Carolino Cacho</t>
  </si>
  <si>
    <t xml:space="preserve"> Only suppliers from Bacolod City will be short listed</t>
  </si>
  <si>
    <t xml:space="preserve"> MIERBEN H. EUPENADO</t>
  </si>
  <si>
    <t xml:space="preserve"> Please submit your quotation and legal documents  not later than  07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</si>
  <si>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1.  Please see associated components to download Request for Quotation Form</t>
  </si>
  <si>
    <t xml:space="preserve"> You may email your quotation to jbramos9184@nbdb.gov.ph, or call 0933-995-9479 for clarifications/ queries.</t>
  </si>
  <si>
    <t xml:space="preserve"> The Above-listed documents (including the MS Word file for RFP) can also be downloaded at the DPWH website:</t>
  </si>
  <si>
    <t xml:space="preserve"> Delivery of materials and other scope of the project.</t>
  </si>
  <si>
    <t xml:space="preserve"> Please see attached file for quotation</t>
  </si>
  <si>
    <t xml:space="preserve"> Please send your RFQ to Tuguegarao Airport</t>
  </si>
  <si>
    <t xml:space="preserve"> Issuance of bid documents - July 1-21, 2020</t>
  </si>
  <si>
    <t xml:space="preserve"> Please forward RFQ at Tuguegarao Airport</t>
  </si>
  <si>
    <t xml:space="preserve"> Please see the attached in the associated components</t>
  </si>
  <si>
    <t xml:space="preserve"> Diluent 20 Liters	9	Box</t>
  </si>
  <si>
    <t xml:space="preserve"> https://drive.google.com/file/d/1JyYwjaM8FzgZKncknVsKcl_q9PNDZyBK/view?usp=drivesdk</t>
  </si>
  <si>
    <t xml:space="preserve"> Stock	Unit	Item Description	Qty.</t>
  </si>
  <si>
    <t xml:space="preserve"> Check associated components.</t>
  </si>
  <si>
    <t xml:space="preserve"> 6M AND 4M X 13.50M </t>
  </si>
  <si>
    <t xml:space="preserve"> Pneumococcal Vaccine single dose vial conjugate	593	Vial</t>
  </si>
  <si>
    <t xml:space="preserve"> Stock	Unit		Item Description				Qty.</t>
  </si>
  <si>
    <t xml:space="preserve"> BIDDERS MUST DOWNLOAD THE DOCUMENTS IN THE ASSOCIATED COMPONENT</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</si>
  <si>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</si>
  <si>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The BAC has the sole responsibility to accept and reject incomplete bids. The cost of Bid Documents is P1,000.00 which is non-refundable.</t>
  </si>
  <si>
    <t xml:space="preserve"> The BAC has the sole responsibility to accept and reject incomplete bids. The cost of Bid Documents is P500.00 which is non-refundable.</t>
  </si>
  <si>
    <t xml:space="preserve"> The BAC has the sole responsibility to accept and reject incomplete bids. The cost of Bid Documents is P5,000.00 which is non-refundable.</t>
  </si>
  <si>
    <t xml:space="preserve"> Financial Bid Opening will be schedule on July 28, 2020</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</si>
  <si>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Office, 3rd Floor, Provincial Capitol Building, Bontoc, Mountain Province.</t>
  </si>
  <si>
    <t xml:space="preserve"> Click order link of the associated components</t>
  </si>
  <si>
    <t xml:space="preserve"> THE BIDDER MUST DOWNLOAD THE ASSOCIATED COMPONENT/S.</t>
  </si>
  <si>
    <t xml:space="preserve"> THE BIDDER MUST DOWNLOAD THE ASSOCIATED COMPOENT/S.</t>
  </si>
  <si>
    <t xml:space="preserve"> Bidding document amount is Php500.00</t>
  </si>
  <si>
    <t xml:space="preserve"> Republic of the Philippines </t>
  </si>
  <si>
    <t xml:space="preserve"> For the use of 74IB, 2ID, PA</t>
  </si>
  <si>
    <t xml:space="preserve"> For the use of 1IB, 2ID, PA</t>
  </si>
  <si>
    <t xml:space="preserve"> Source of Fund: 20% Development Fund/General Fund Supplemental Budget #1</t>
  </si>
  <si>
    <t xml:space="preserve"> YOU MAY DOWNLOAD THE ITB FROM THE ASSOCIATED COMPONENTS</t>
  </si>
  <si>
    <t xml:space="preserve"> Please see attached PDF file for more information.</t>
  </si>
  <si>
    <t xml:space="preserve"> Financial Proposal will be opened on July 28,2020</t>
  </si>
  <si>
    <t xml:space="preserve"> Source of Fund : 20% Development Fund</t>
  </si>
  <si>
    <t xml:space="preserve"> NOTE: Please copy the link below and paste to the web browser to download the attached RFQ form.</t>
  </si>
  <si>
    <t xml:space="preserve"> Source of Fund : General Fund Supplemental Budget No. 01</t>
  </si>
  <si>
    <t xml:space="preserve"> ***Note: Please copy the link below and paste to the web browser to download the attached RFQ form.</t>
  </si>
  <si>
    <t xml:space="preserve"> For the use 22DRC, 2ID, PA</t>
  </si>
  <si>
    <t xml:space="preserve"> For the use of 21DRC, 2ID, PA</t>
  </si>
  <si>
    <t xml:space="preserve"> Please download the Bid Document in the Associated Component.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</si>
  <si>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</si>
  <si>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For suppliers who want to send their quotation, you can also email at dost7supply@gmail.com or fax at fax no. (032) 256-3345.</t>
  </si>
  <si>
    <t xml:space="preserve"> NOTE: The email address leonilyn_noche@yahoo.com is no longer in use. Please send your quotation to the email address procurementsection16@yahoo.com</t>
  </si>
  <si>
    <t xml:space="preserve"> THE FOLLOWING REQUIRE SHALL BE SUBMITTED UPON SUBMISSION OF OFFERS 1) MAYOR'S PERMIT 2) PHILGEPS REG. NUMBER 3) INCOME TAX RETURN 4) COR</t>
  </si>
  <si>
    <t xml:space="preserve"> For more details, please copy the link below and paste it on the URL to see the Bidding Documents:</t>
  </si>
  <si>
    <t xml:space="preserve"> PLEASE SEE ATTACHED ASSOCIATED COMPONENTS.</t>
  </si>
  <si>
    <t xml:space="preserve"> Note:</t>
  </si>
  <si>
    <t xml:space="preserve"> For the use of 23DRC, 2ID, PA</t>
  </si>
  <si>
    <t xml:space="preserve"> Note: Please copy the link below and paste to the web browser for the attached RFQ Form.</t>
  </si>
  <si>
    <t xml:space="preserve"> Qualifications:</t>
  </si>
  <si>
    <t xml:space="preserve"> INTERESTED BIDDER MAY SUBMIT QUOTATION AT</t>
  </si>
  <si>
    <t xml:space="preserve"> Quotation must be submitted with company’s letter head. Stating Specification, unit cost and total amount offer.</t>
  </si>
  <si>
    <t xml:space="preserve"> the others documents is also available in Barangay Hall office.</t>
  </si>
  <si>
    <t xml:space="preserve"> Canvass - https://drive.google.com/file/d/1jfEPuR-sxA-NY_RdiYPnaZMqZhStZtvc/view</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</si>
  <si>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</si>
  <si>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fax or email your quotation</t>
  </si>
  <si>
    <t xml:space="preserve"> -VAT Inclusive</t>
  </si>
  <si>
    <t xml:space="preserve"> See Associated Components</t>
  </si>
  <si>
    <t xml:space="preserve"> JAYSON B. RECOPELACION</t>
  </si>
  <si>
    <t xml:space="preserve"> Bidding is on July 9, 2020 at ten o'clock at the Municipal Conference Hall</t>
  </si>
  <si>
    <t xml:space="preserve"> . The National Irrigation Administration (NIA), Regional Irrigation Office No.7, through the Small Irrigation Project 2020 intends to apply the sum of Four Million Six Hundred Thirty-Three Thousand Two Hundred Nine Pesos &amp; 52/100 (P 4,633,209.52) being the Approved Budget for Contract (ABC) to payment under contract for CALASGAAN SIP, Bais City, Negros Oriental with Contract No. NOSO-LMC-SIP-21-2020. Bids received in excess of the ABC shall be automatically rejected at bid opening.</t>
  </si>
  <si>
    <t xml:space="preserve"> Please look Mr. FREDERICK VILLAS and Ms. Rowena Rodriguez for other information.</t>
  </si>
  <si>
    <t xml:space="preserve"> Kindly download bid docs on the associated component.</t>
  </si>
  <si>
    <t xml:space="preserve"> Purchase Order: July 8, 2020</t>
  </si>
  <si>
    <t xml:space="preserve"> Activity	Date and Time	Venue</t>
  </si>
  <si>
    <t xml:space="preserve"> For other information and queries, visit us at Headquarters 113th Contracting Office, AFPPS, Camp O'Donnell, Brgy Sta Lucia, Capas Tarlac and look for Chief 113th CO, AFPPS. Submission of Request for Quotation must reach to this Office not later than 061000H July 2020 for the opening of Canvass at 113th CO conference room.</t>
  </si>
  <si>
    <t xml:space="preserve"> Please secure bidding documents for full information including Term of References</t>
  </si>
  <si>
    <t xml:space="preserve"> https://drive.google.com/file/d/1Y814598DZFtm3N8FSRj_3rx-om6R4UIf/view?usp=drivesdk</t>
  </si>
  <si>
    <t xml:space="preserve"> See Associated COmponents</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</si>
  <si>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</si>
  <si>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Suppliers are required to submit their quotation/written proposal with the following documents on or before JULY 08, 2020 9:00 AM at BAC Office, this LGU, to wit:</t>
  </si>
  <si>
    <t xml:space="preserve"> The National Irrigation Administration (NIA), Regional Irrigation Office No.7, through the Small Irrigation Project 2020 intends to apply the sum of Four Million Five Hundred Eighty-Five Thousand Seven Hundred Pesos &amp; 60/100 (P 4,585,700.60) being the Approved Budget for Contract (ABC) to payment under contract for CAMBAGUIO SIP, Bais City, Negros Oriental with Contract No. NOSO-LMC-SIP-22-2020. Bids received in excess of the ABC shall be automatically rejected at bid opening.</t>
  </si>
  <si>
    <t xml:space="preserve"> Activities	Schedule</t>
  </si>
  <si>
    <t xml:space="preserve"> Pre-Bid : July 8,2020 - 10:00am</t>
  </si>
  <si>
    <t xml:space="preserve"> https://drive.google.com/file/d/1_wLlSYWA8jXU9jZm8PvLUVUur9Sd0k-h/view?usp=drivesdk</t>
  </si>
  <si>
    <t xml:space="preserve"> Pub: July 01-05, 2020</t>
  </si>
  <si>
    <t xml:space="preserve"> Deadline of Submission of Bid Documents JULY 21 2020 10:00AM</t>
  </si>
  <si>
    <t xml:space="preserve"> 4. Interested Bidders may obtain further information from The National Irrigation Administration (NIA), Regional Irrigation Office No.7 and inspect Bidding Documents at the address given below from 8:00 AM to 5:00 PM.</t>
  </si>
  <si>
    <t xml:space="preserve"> PLS. SUBMIT MANUALLY IN SEALED ENVELOPE OR THROUGH EMAIL THE ABOVEMENTIONED REQUIREMENTS</t>
  </si>
  <si>
    <t xml:space="preserve"> Please download the Price Quotation Form and Omnibus Sworn Statement using the links below:</t>
  </si>
  <si>
    <t xml:space="preserve"> Please submit your quotations to the General Services Office of the Local Government Unit of Dupax del Norte.</t>
  </si>
  <si>
    <t xml:space="preserve"> Pre-Bid Conference 2:00 P.M. July 07, 2020 DPWH Pampanga 2nd DEO BAC-Office</t>
  </si>
  <si>
    <t xml:space="preserve"> https://drive.google.com/file/d/1QULJ2CF1Hyf7M4Qt0-xIsc93un4iTIQZ/view?usp=drivesdk</t>
  </si>
  <si>
    <t xml:space="preserve"> please send Request for Quotation  - msbslh14@gmail.com</t>
  </si>
  <si>
    <t xml:space="preserve"> A. Additional documents to be submitted</t>
  </si>
  <si>
    <t xml:space="preserve"> BIDDERS MUST DOWNLOAD THE ATTACHED DOCUMENTS IN THE ASSOCIATED COMPONENTS SECTIONS</t>
  </si>
  <si>
    <t xml:space="preserve"> Please send your quotation at rd.badua@philrice.gov.ph or richardbadua29@gmail.com</t>
  </si>
  <si>
    <t xml:space="preserve"> Fund: 101</t>
  </si>
  <si>
    <t xml:space="preserve"> Fund:101</t>
  </si>
  <si>
    <t xml:space="preserve"> Deadline for submission of price quotation will be on July 6, 2020 at 10:00 a.m.</t>
  </si>
  <si>
    <t xml:space="preserve"> Bidders must download the attached main document in the associated component section.</t>
  </si>
  <si>
    <t xml:space="preserve"> Fund: External</t>
  </si>
  <si>
    <t xml:space="preserve"> see attached associated components.</t>
  </si>
  <si>
    <t xml:space="preserve"> Bidders must download documents in the associated components section.</t>
  </si>
  <si>
    <t xml:space="preserve"> Submission of Bids before 10 a.m. of July 21, 2020</t>
  </si>
  <si>
    <t xml:space="preserve"> Prospective bidder may seek further information through BAC Office @ 469-9056.</t>
  </si>
  <si>
    <t xml:space="preserve"> Refer to:</t>
  </si>
  <si>
    <t xml:space="preserve"> Blue Guard Services - August to Dec. 2020</t>
  </si>
  <si>
    <t xml:space="preserve"> 1) CALIBRATION OF THE LABORATORY EQUIPMENT: ATTACHED LIST OF EQUIPMENT. - 1 LOT  = PHP 75,000.00</t>
  </si>
  <si>
    <t xml:space="preserve"> BOC-BAC Secretariat</t>
  </si>
  <si>
    <t xml:space="preserve"> Bidders/Suppliers Must Download the Attached Document in the Associated Component Section </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</si>
  <si>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poblacion Bontoc, Mountain Province.</t>
  </si>
  <si>
    <t xml:space="preserve"> The BAC is conducting the public bidding for this Contract in accordance with Republic Act No. 9184 and its Implementing Rules and Regulations (IRR).</t>
  </si>
  <si>
    <t xml:space="preserve"> Bidders must download the attached main document in the associate component section.</t>
  </si>
  <si>
    <t xml:space="preserve"> https://drive.google.com/file/d/1nUtm6yYj5wIcoasEs7_T9dVzpH0Ikw9E/view?usp=drivesdk</t>
  </si>
  <si>
    <t xml:space="preserve"> Please download "associated components" in the link, fill-up completely, place in a sealed envelop and sent to BAC</t>
  </si>
  <si>
    <t xml:space="preserve"> https://drive.google.com/file/d/19ts5fp-V3hWuCUSEIgE1iCOy-7pSe9Qf/view?usp=drivesdk</t>
  </si>
  <si>
    <t xml:space="preserve"> 1.	Advertisement /Posting of Invitation to Bid/Request for Express of interest	July 1, 2020 - July 8, 2020	PhilGeps, GSO</t>
  </si>
  <si>
    <t xml:space="preserve"> Please look BAC Secretary/TWG for bidding documents/clarification,failure of submitting necessary documents will be subjected to disqualification.</t>
  </si>
  <si>
    <t xml:space="preserve"> - other information may be discussed during pre-bid conference.</t>
  </si>
  <si>
    <t xml:space="preserve"> kindly look for MS. Rhea Retaga for other information at Brgy Hall of Brgy. Niugan City of Cabuyao, Laguna</t>
  </si>
  <si>
    <t xml:space="preserve"> https://drive.google.com/file/d/19XkioDSQ2yk6RI9LH-nFjr6aSVh6Hg_O/view?usp=drivesdk</t>
  </si>
  <si>
    <t xml:space="preserve"> Please look Ms. Mhelet Benales and Ms. Rowena Rodriguez for other information.</t>
  </si>
  <si>
    <t xml:space="preserve"> Please see attached PR and submit sealed quotations with the following eligibility requirements:</t>
  </si>
  <si>
    <t xml:space="preserve"> https://drive.google.com/file/d/18GpJUlb48e62yYkrQfBBwHK7Xb2bDVqs/view?usp=drivesdk</t>
  </si>
  <si>
    <t xml:space="preserve"> https://drive.google.com/file/d/1aYIHP_JsD829Vz9G0R_Ux7FbHzY1MGSl/view?usp=drivesdk</t>
  </si>
  <si>
    <t xml:space="preserve"> Please Quote your lowest price on the item/s listed above, subject to the General Conditions, stating the shortest time of delivery and submit your quotation duly signed by your representative not later than July 6, 2020 (9:00 AM) at the Bids and Awards Committee 3rd floor Provincial Capitol, Poblacion, Bontoc, Mountain Province.</t>
  </si>
  <si>
    <t xml:space="preserve"> https://drive.google.com/file/d/1G09I0nJmnBdxqMrTIZMiyIhWV79CV8Gs/view?usp=drivesdk</t>
  </si>
  <si>
    <t xml:space="preserve"> Opening of quotation will be on July 6, 2020 - 9:30 in the morning at 3rd Floor Conference Room, BFP Building General Macario Peralta Jr., Drive, Iloilo City</t>
  </si>
  <si>
    <t xml:space="preserve"> Please visit the links below to download the FLOOR PLAN/LAY-OUT:</t>
  </si>
  <si>
    <t xml:space="preserve"> https://drive.google.com/file/d/1CSLYG5I5-ZpruUXAlSg0X-n_gztfKVPn/view?usp=drivesdk</t>
  </si>
  <si>
    <t xml:space="preserve"> https://drive.google.com/file/d/1yhZ_VT6Hj-24NWNfj_BEgw5NAFJVhLmV/view?usp=drivesdk</t>
  </si>
  <si>
    <t xml:space="preserve"> For interested suppliers, you can also email your quotation at dost7supply@gmail.com or fax at fax no. (032) 256-3345.</t>
  </si>
  <si>
    <t xml:space="preserve"> https://drive.google.com/file/d/1XQx_Tu94TFaa2RbB24PkUvlwAfFLPMBP/view?usp=drivesdk</t>
  </si>
  <si>
    <t xml:space="preserve"> Area of Delivery: Quezon City</t>
  </si>
  <si>
    <t xml:space="preserve"> https://drive.google.com/file/d/1D8l5Rvd8R2zOTdbWBf2lK1zItzWlV-nm/view?usp=drivesdk</t>
  </si>
  <si>
    <t xml:space="preserve"> Pre bid Conference: June 26, 2020 2:00 P.M.</t>
  </si>
  <si>
    <t xml:space="preserve"> Note: All entries must be typewritten in your company letterhead.</t>
  </si>
  <si>
    <t xml:space="preserve"> https://drive.google.com/file/d/1FxN58I7XKhMnyM-2AilF6SHS1Qo2BjSz/view?usp=drivesdk</t>
  </si>
  <si>
    <t xml:space="preserve"> https://drive.google.com/file/d/1zqQH2JlUOzmmpG4gwoycHCA1XHcP7ddV/view?usp=drivesdk</t>
  </si>
  <si>
    <t xml:space="preserve"> https://drive.google.com/file/d/17Kwx-LYjl6ryOsOp4G_QJYyUjjtjfJlj/view?usp=drivesdk</t>
  </si>
  <si>
    <t xml:space="preserve"> BIDDER MUST DOWNLOAD THE ATTACHED DOCUMENT IN THE ASSOCIATED COMPONENT SECTION.</t>
  </si>
  <si>
    <t xml:space="preserve"> https://drive.google.com/file/d/18XiC9GqCqpGdFs9BR2UhEJEFICWZSl3c/view?usp=drivesdk</t>
  </si>
  <si>
    <t xml:space="preserve"> Please download the Bidding Requirements using the links below:</t>
  </si>
  <si>
    <t xml:space="preserve"> https://drive.google.com/file/d/1sE0YLnS-AWbcaSSOUNSQ2r9AhheR9Vpz/view?usp=drivesdk</t>
  </si>
  <si>
    <t xml:space="preserve"> Kindly submit your quotations to on or before July 7, 2020</t>
  </si>
  <si>
    <t xml:space="preserve"> kindly look for Ms. Rhea Retaga for more information at Brgy. Hall of Brgy Niugan City of Cabuyao, Laguna</t>
  </si>
  <si>
    <t xml:space="preserve"> Note:								</t>
  </si>
  <si>
    <t xml:space="preserve"> Bidders must download the attached document in the associated component section.</t>
  </si>
  <si>
    <t xml:space="preserve"> Please visit MPDO/BAC Office for details</t>
  </si>
  <si>
    <t xml:space="preserve"> For further information please see attached RFQ or contact BAC Secretariat.</t>
  </si>
  <si>
    <t xml:space="preserve"> The LGU-IGaCoS reserves the right to accept or reject any bid, to annul the bidding process, and to reject all bids at any time prior to contract award, without thereby incurring any liability to the affected bidder or bidders. </t>
  </si>
  <si>
    <t xml:space="preserve"> Date of Bidding: July 8, 2020</t>
  </si>
  <si>
    <t xml:space="preserve"> DETAILS/COST ESTIMATES/FLOOR PLAN AND OTHER DOCUMENTS SUCH AS REQUEST FOR QUOTATION (RFQ) AVAILABLE AT LAND BANK OF THE PHILIPPINES, SARA BRANCH, SARA ILOILO C/O ROLIEN DELEGENCIA AT TELEPHONE No. (033) 392-0251 OR (033) 392-0255.</t>
  </si>
  <si>
    <t xml:space="preserve"> RFQ# 109CO – 06 – 2020 – 104 is ready and available at 109th CO, AFPPS, Camp Elias Angeles, San Jose, Pili, Camarines Sur</t>
  </si>
  <si>
    <t xml:space="preserve"> SAID REQUEST IS PER LOT.</t>
  </si>
  <si>
    <t xml:space="preserve"> LABOR REQUIREMENT:</t>
  </si>
  <si>
    <t xml:space="preserve"> You may download bidding documents using the link below:</t>
  </si>
  <si>
    <t xml:space="preserve"> for queries, pls. contact MS. LUBELLE LUMABAS, tel no. 8-405-7233 to 34; email address: landbank2290@gmail.com</t>
  </si>
  <si>
    <t xml:space="preserve"> CHECKLIST FOR BIDDING OF GOODS</t>
  </si>
  <si>
    <t xml:space="preserve"> https://drive.google.com/file/d/1lIr_7DTY1RAhkQvktaxHztIA-rA3EAbf/view?usp=drivesdk</t>
  </si>
  <si>
    <t xml:space="preserve"> 1.       288      bd.ft.        24 pcs, 2' x 6' x 12'   Cocolumber</t>
  </si>
  <si>
    <t xml:space="preserve"> For any clarifications/Inquiries you may contact Engr. Zenaida M. Cabiles, Regional Manager, RO XI, through Cellphone Number (0998) 9687961.</t>
  </si>
  <si>
    <t xml:space="preserve"> For further information please see attached RFQ or contact BAC Secretariat</t>
  </si>
  <si>
    <t xml:space="preserve"> https://drive.google.com/file/d/1rookyPd-TfwZ0BaLF_rdipBl-ZBDXW55/view?usp=drivesdk</t>
  </si>
  <si>
    <t xml:space="preserve"> WITH LABOR REQUIREMENT:</t>
  </si>
  <si>
    <t xml:space="preserve"> https://drive.google.com/file/d/1pzXpgvkRDNYJGG2O2ShYDYn2YDU0oJDc/view?usp=drivesdk</t>
  </si>
  <si>
    <t xml:space="preserve"> BIDDING DATE: JULY 20, 2020 @ 9:00 A.M.</t>
  </si>
  <si>
    <t xml:space="preserve"> https://drive.google.com/file/d/1T8tFbc_qY1ZQ47IsjuNlux2SG7dc5w0B/view?usp=drivesdk</t>
  </si>
  <si>
    <t xml:space="preserve"> Please download Associated Components</t>
  </si>
  <si>
    <t xml:space="preserve"> https://drive.google.com/file/d/1MuRv5uRbAg--C3kqxTaX7RTwh5M_l2bn/view?usp=drivesdk</t>
  </si>
  <si>
    <t xml:space="preserve"> Opening of bid will be on 21 July 2020, 09:30 A.M. at 3rd Flr. Conference Room, General Macario Peralta Jr. Drive, Iloilo City.</t>
  </si>
  <si>
    <t xml:space="preserve"> https://drive.google.com/file/d/1akD2F0uot14nRSa8bROA4soc0zixNUbj/view?usp=drivesdk</t>
  </si>
  <si>
    <t xml:space="preserve"> https://drive.google.com/file/d/1dDbQXo_E4PVlqcBJhdOsggCEjry-G3Ww/view?usp=drivesdk</t>
  </si>
  <si>
    <t xml:space="preserve"> https://drive.google.com/file/d/1b-AwI_DwRdJPujfoRWN77jrL3F5YKLHQ/view?usp=drivesdk</t>
  </si>
  <si>
    <t xml:space="preserve"> https://drive.google.com/file/d/1IUa5ezNUjDIJpeoopHhKKpOH_kVKtzKT/view?usp=drivesdk</t>
  </si>
  <si>
    <t xml:space="preserve"> KINDLY SEE ATTACHED FILE FOR YOUR REFERENCE</t>
  </si>
  <si>
    <t xml:space="preserve"> BID DOCUMENT IS AVAILABLE AT ENGINEERING OFFICE, BAC SECRETARIAT</t>
  </si>
  <si>
    <t xml:space="preserve"> Bidders are required to read the instructions and fill ALL the blanks in typewritten form or written legibly in permanent ink.</t>
  </si>
  <si>
    <t xml:space="preserve"> KINDLY SEE ATTACHED DOCUMENT FOR YOUR REFERENCE.</t>
  </si>
  <si>
    <t xml:space="preserve"> https://drive.google.com/file/d/11RsMjTot6af6UUJk_ZV65rCLwwkPyD-q/view?usp=drivesdk</t>
  </si>
  <si>
    <t xml:space="preserve"> https://drive.google.com/file/d/1e7fAsOMaH_MtAIpSJxbM2jN4zSHeFpYs/view?usp=drivesdk</t>
  </si>
  <si>
    <t xml:space="preserve"> https://drive.google.com/file/d/1VIBekMcX9U7C3YYCu4ZrAkEbmAt4vknw/view?usp=drivesdk</t>
  </si>
  <si>
    <t xml:space="preserve"> Opening of bid will be on July 21, 2020, 09:30 A.M. at 3rd Flr. Conference Room, General Macario Peralta Jr. Drive, Iloilo City.</t>
  </si>
  <si>
    <t xml:space="preserve"> RFQ# 109CO – 06 – 2020 – 105 is ready and available at 109th CO, AFPPS, Camp Elias Angeles, San Jose, Pili, Camarines Sur</t>
  </si>
  <si>
    <t xml:space="preserve"> The BAC will use NON-DISCRETIONARY PASS/FAIL CRITERIA in the Eligibility Check/Screening as well as the Preliminary Examination of Bids.  The BAC will conduct post-qualification of the lowest calculated bid.</t>
  </si>
  <si>
    <t xml:space="preserve"> Opening of bid will be on July 21, 2020, 09:30 A.M.  at 3rd Flr. Conference Room, General Macario Peralta Jr. Drive, Iloilo City.</t>
  </si>
  <si>
    <t xml:space="preserve"> Mr. RUEL C. DE LOYOLA</t>
  </si>
  <si>
    <t xml:space="preserve"> https://drive.google.com/file/d/1uhgg_YD3JcSW9pH1-JLepeWRyG8SPtfv/view?usp=drivesdk</t>
  </si>
  <si>
    <t xml:space="preserve"> Please send your Quotations thru sealed bid addressed to the Regional Bids and Awards Committee Area IV-B c/o RBAC Secretariat, Landbank San Pablo Branch (2nd floor), Colago Avenue Brgy. I-A San Pablo City, Laguna</t>
  </si>
  <si>
    <t xml:space="preserve"> Note: </t>
  </si>
  <si>
    <t xml:space="preserve"> "Prospective supplier must be registered at the Philippine Government Electronic Procurement System (PhilGEPS). You may visit the PhilGEPS website at www. philgeps.gov.ph to register". The Notice for Negotiated Procurement can also be downloaded from www.fo4b.dswd.gov.ph</t>
  </si>
  <si>
    <t xml:space="preserve"> RFQ# 109CO – 06 – 2020 – 106 is ready and available at 109th CO, AFPPS, Camp Elias Angeles, San Jose, Pili, Camarines Sur</t>
  </si>
  <si>
    <t xml:space="preserve"> PLEASE DOWNLOAD AND BID DOCUMENT FOR OTHER INFORMATION</t>
  </si>
  <si>
    <t xml:space="preserve"> Bidding Documents:</t>
  </si>
  <si>
    <t xml:space="preserve"> Please submit your Price Quotation together with the ff:</t>
  </si>
  <si>
    <t xml:space="preserve"> Delivery Site:</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</si>
  <si>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</si>
  <si>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PLEASE DOWNLOAD AND BID DOCUMENT FOR OTHER INFORMATION.</t>
  </si>
  <si>
    <t xml:space="preserve"> Please submit the following: </t>
  </si>
  <si>
    <t xml:space="preserve"> Deadline for the submission of bid is on July 9, 2020 at 2:00 PM and opening of bids to follow immediately.Please submit your sealed bid/quotation at BAC Office, New Civil Aviation Authority of the Philippines Bldg., Mactan-Cebu Int'l. Airport, Lapu-lapu City , Cebu and look for Hannah. </t>
  </si>
  <si>
    <t xml:space="preserve"> 20% EDF CY 2020</t>
  </si>
  <si>
    <t xml:space="preserve"> https://drive.google.com/file/d/1GtSHGGJwxGazXxWC0tS-F7_YJyyZN8lA/view?usp=drivesdk</t>
  </si>
  <si>
    <t xml:space="preserve"> Interested bidder/supplier/contractor must be able to log-in in the Philippine Government Electronic Procurement System (PhilGeps) wherein the name of the company will be reflected in the Document Request List (DRL) of this Bid Notice Abstract. Kindly bring a printed-out copy of the Bid Notice Abstract and the Document Request List (DRL) before securing Order of Payment for Bid Documents/Forms.</t>
  </si>
  <si>
    <t xml:space="preserve"> Tel No. : 8983-93-21</t>
  </si>
  <si>
    <t xml:space="preserve"> https://drive.google.com/file/d/1M97inp73sq5trQVTuMSnUDxxFTPW8zDc/view?usp=drivesdk</t>
  </si>
  <si>
    <t xml:space="preserve"> Tel. No.: 8983-93-21</t>
  </si>
  <si>
    <t xml:space="preserve"> 20CE0233: Construction of Multi-Purpose Building (Phase 1), Brgy. Saint John, Guimba, Nueva Ecija; Invitation to Bid including Plans and other Supporting Docs</t>
  </si>
  <si>
    <t xml:space="preserve"> It will be appreciated if you can submit your OPEN QUOTATION in the NEWBORN SCREENING REFERENCE CENTER not later than 12:00 pm on 6 July 2020. Please fax your quotation at tel no. (+632) 8-247-6002 or email at sctulinao@up.edu.ph attention to Sahara C. Tulinao. Thank you.</t>
  </si>
  <si>
    <t xml:space="preserve"> 20CE0235: Widening of Permanent Bridges Manicla Br. (B01968LZ) along Daang Maharlika (LZ); Invitation to Bid including Plans and other Supporting Docs</t>
  </si>
  <si>
    <t xml:space="preserve"> Since the Barangay has no PhilGEPS account with the Municipal BAC consent we were able to post this notice.</t>
  </si>
  <si>
    <t xml:space="preserve"> 20CE0234: Construction of Multi-Purpose Building with Covered Court, Zaragoza, Nueva Ecija; Invitation to Bid including Plans and other Supporting Docs</t>
  </si>
  <si>
    <t xml:space="preserve"> Bidding will set by BAC upon submission of COA Request</t>
  </si>
  <si>
    <t xml:space="preserve"> 20CE0236: Replacement of Permanent Weak Bridges Amawinan Br. (B01981LZ) along Daang Maharlika (LZ); Invitation to Bid including Plans and other Supporting Docs</t>
  </si>
  <si>
    <t xml:space="preserve"> Name of Project - Supply and delivery of DRRM Rescue Vehicles</t>
  </si>
  <si>
    <t xml:space="preserve"> For inquiries Please contact Ms. Anabel Alis Basas @09500981535 or email @anabel.basas@deped.gov.ph</t>
  </si>
  <si>
    <t xml:space="preserve"> Downloads available at the Associated Components/Bid Supplements pages.</t>
  </si>
  <si>
    <t xml:space="preserve"> Bidders are required to read the instructions:</t>
  </si>
  <si>
    <t xml:space="preserve"> EMERGENCY PURCHASE FOR FRONLINERS (BAYANIHAN FUND)</t>
  </si>
  <si>
    <t xml:space="preserve"> Opening of RFQs will be on July 7, 2020 at 10:00 am at the Division Office,Penaplata, Samal District, IGACOS</t>
  </si>
  <si>
    <t xml:space="preserve"> Opening of RFQs will be on July 7, 2020 at 10:00 am at Limao NHS, Brgy. Limao, Samal District, IGACOS</t>
  </si>
  <si>
    <t xml:space="preserve"> Furnish and Delivery of Item 104 Material for RTC Branch 27 and IBP - Cotabato Building</t>
  </si>
  <si>
    <t xml:space="preserve"> Opening of RFQs will be on July 7, 2020 at 10;00 am at Cogon NHS, Brgy.Cogon, Babak District, IGACOS</t>
  </si>
  <si>
    <t xml:space="preserve"> Please submit the following:</t>
  </si>
  <si>
    <t xml:space="preserve"> 9.	For further information, please refer to:</t>
  </si>
  <si>
    <t xml:space="preserve"> Open to suppliers in Abra ONLY.</t>
  </si>
  <si>
    <t xml:space="preserve"> 1	unit	FIRE TRUCK Double Cab	1</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</si>
  <si>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</si>
  <si>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https://drive.google.com/file/d/1uLJS8hJ7455PzxgOVDbkPJ95f7Th3pvI/view?usp=drivesdk</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</si>
  <si>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</si>
  <si>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Bidders must download the attached document in the associated component</t>
  </si>
  <si>
    <t xml:space="preserve"> CABIAO WATER DISTRICT</t>
  </si>
  <si>
    <t xml:space="preserve"> https://drive.google.com/file/d/1A7wHrc8o5kdMWVPiTTfamo15ebO32oM8/view?usp=drivesdk</t>
  </si>
  <si>
    <t xml:space="preserve"> https://drive.google.com/file/d/1N35NOeF8byb32IJf-nSe-ZY_cWhxUrHz/view?usp=drivesdk</t>
  </si>
  <si>
    <t xml:space="preserve"> IV Cannula G18	1600	Piece</t>
  </si>
  <si>
    <t xml:space="preserve"> MOTOR VEHICLE</t>
  </si>
  <si>
    <t xml:space="preserve"> Bidders must download the attached documents in the associated component section.</t>
  </si>
  <si>
    <t xml:space="preserve"> Bidder's must download the attached document in the associated component section.</t>
  </si>
  <si>
    <t xml:space="preserve"> Mini Dump Truck</t>
  </si>
  <si>
    <t xml:space="preserve"> CREATED BY BAC CHAIRMAN</t>
  </si>
  <si>
    <t xml:space="preserve"> NOTE: THIS IS A REBIDDING FOR ALL ITEMS IN THIS PURCHASE REQUEST.</t>
  </si>
  <si>
    <t xml:space="preserve"> NOTE: THIS IS A REBIDDING FOR THE SAID ITEM IN THIS PURCHASE REQUEST.</t>
  </si>
  <si>
    <t xml:space="preserve"> NOTE: THIS IS A REBIDDING FOR THE SAID ITEM IN THIS PURCHASE REQUEST..</t>
  </si>
  <si>
    <t xml:space="preserve"> NOTE: THIS IS A REBIDDING FOR THE SAID SERVICES IN THIS PURCHASE REQUEST.</t>
  </si>
  <si>
    <t xml:space="preserve"> for more information just contact barangay secretariat of Barangay Pamul-ogan, Cabatuan, Iloilo</t>
  </si>
  <si>
    <t xml:space="preserve"> for more information just contact barangay secretariat of Barangay Namocon Tigbauan, Iloilo</t>
  </si>
  <si>
    <t xml:space="preserve"> for more information just contact barangay secretariat of Barangay Barroc Tigbauan, Iloilo</t>
  </si>
  <si>
    <t xml:space="preserve"> Description: </t>
  </si>
  <si>
    <t xml:space="preserve"> 20CE0231: Asset Preservation – Preventive Maintenance – Secondary Roads - Bongabon – Rizal – Aurora Rd K0153+819 – K0153+1000; Invitation to Bid including Plans and other Supporting Docs</t>
  </si>
  <si>
    <t xml:space="preserve"> https://drive.google.com/file/d/1ibR6yUQJQNiCuXTvbIfZmpINRILFSOQk/view?usp=drivesdk</t>
  </si>
  <si>
    <t xml:space="preserve"> 20CE0230: Network Development – Construction of By-Pass and Diversion Roads - San Roque – Bacayao Road, Guimba By-Pass, Package 2, Nueva Ecija; Invitation to Bid including Plans and other Supporting Docs</t>
  </si>
  <si>
    <t xml:space="preserve"> 20CE0232: Asset Preservation – Rehabilitation/Reconstruction/Upgrading of Damaged Paved Roads – Primary Roads - Sn Jose – Lupao Rd - K0172+192 – K0172+259; Invitation to Bid including Plans and other Supporting Docs</t>
  </si>
  <si>
    <t xml:space="preserve"> ITB -  BEAUTIFICATION OF BOULEVARD ROAD (PLANT BOX AND LANDSCAPING)</t>
  </si>
  <si>
    <t xml:space="preserve"> Bidding Documents will be available to prospective bidders who purchase the bidding documents from the office of the Municipal Treasurer of the Local Government Unit of Magpet.</t>
  </si>
  <si>
    <t xml:space="preserve"> Please see the attached files.</t>
  </si>
  <si>
    <t xml:space="preserve"> Please contact at the Barangay Hall Sta.Filomena</t>
  </si>
  <si>
    <t xml:space="preserve"> ITB -  CONSTRUCTION REHABILITATION OF CONCRETE ROAD</t>
  </si>
  <si>
    <t xml:space="preserve"> TERMS OF PAYMENT = 30 DAYS</t>
  </si>
  <si>
    <t xml:space="preserve"> For more information, please see or contact the BAC Members of Brgy. Behia, Magallanes, Sorsogon.</t>
  </si>
  <si>
    <t xml:space="preserve"> ITB -  REHABILITATION OF LINED CANAL AND DRAINAGE (PARTIAL)</t>
  </si>
  <si>
    <t xml:space="preserve"> Contact person: Phebe Gayle M. Angellano</t>
  </si>
  <si>
    <t xml:space="preserve"> https://drive.google.com/file/d/17aNrcBR5qH1hqgXo_SsMqtPGYpKEXLrB/view?usp=drivesdk</t>
  </si>
  <si>
    <t xml:space="preserve"> Construction supplies to be used of CPSH repair &amp; Maintenance</t>
  </si>
  <si>
    <t xml:space="preserve"> https://drive.google.com/file/d/1WAHpmFe6tTfuEHOQ-ch8QDNZsv6O489n/view?usp=drivesdk</t>
  </si>
  <si>
    <t xml:space="preserve"> https://drive.google.com/file/d/1BJyyg4gBTVncTEHR786V-OqmPJvMozGj/view?usp=drivesdk</t>
  </si>
  <si>
    <t xml:space="preserve"> NOTE: Please copy the link below and paste to the web browser to download the complete set of bidding documents.</t>
  </si>
  <si>
    <t xml:space="preserve"> ***NOTE: Please copy the link below and paste to the web browser for the attached set of Bidding Documents.</t>
  </si>
  <si>
    <t xml:space="preserve"> contact person: Phebe Gayle M. Angellano</t>
  </si>
  <si>
    <t xml:space="preserve"> Interested Bidders may download attached documents located in the Associated Components Section.</t>
  </si>
  <si>
    <t xml:space="preserve"> Kindly submit your Price Quotation together with the ff. reqs:</t>
  </si>
  <si>
    <t xml:space="preserve"> Delivery and Supply of Construction Supplies &amp; Materials for the Establishment of MRF  and One (1) unit Plastic and Glass Bottle Shredder/Pulverizer-Grinder</t>
  </si>
  <si>
    <t xml:space="preserve"> It may also be downloaded free of charge from the website of the Philippine Ports Authority at www.ppa.com.ph</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</si>
  <si>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Building, Bontoc, Mountain Province.</t>
  </si>
  <si>
    <t xml:space="preserve"> https://drive.google.com/file/d/1Fm6y37jiLNRCA78J1ZTTx52VL-5pI57j/view?usp=drivesdk</t>
  </si>
  <si>
    <t xml:space="preserve"> SUPPLIERS/BIDDERS MUST DOWNLOAD THE ATTACHED DOCUMENT IN THE ASSOCIATED COMPONENT SECTION.</t>
  </si>
  <si>
    <t xml:space="preserve"> The closing date shall be on the 3rd day after the date published in the Philgeps website</t>
  </si>
  <si>
    <t xml:space="preserve"> 6. The National Irrigation Administration (NIA), Regional Irrigation Office No.7, will hold a Pre-Bid Conference on July 8, 2020, 10:00 AM at NIA Regional Office 7 Conference Room, Dao District, Tagbilaran City, which shall be open to prospective bidders.</t>
  </si>
  <si>
    <t xml:space="preserve"> 1. Submission of canvass on or before July 13, 2020 @ 2:00 P.M.</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</si>
  <si>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</si>
  <si>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https://drive.google.com/file/d/1IYSmpRhw9E8AreJutcGh-PdUyA5WBv5G/view?usp=drivesdk</t>
  </si>
  <si>
    <t xml:space="preserve"> Bidders must download the attached documents in the associated component</t>
  </si>
  <si>
    <t xml:space="preserve"> Please address the said quotation to:</t>
  </si>
  <si>
    <t xml:space="preserve"> https://drive.google.com/file/d/1Iw4jZdjgAGJSSe0iHtMO7RXwadixhPMa/view?usp=drivesdk</t>
  </si>
  <si>
    <t xml:space="preserve"> BAC Schedule of Activities;</t>
  </si>
  <si>
    <t xml:space="preserve"> https://drive.google.com/file/d/1LUutvae3LesXIetTXNGJjr9pjlMHQnoC/view?usp=drivesdk</t>
  </si>
  <si>
    <t xml:space="preserve"> https://drive.google.com/file/d/156wwMi_fCYIF2yNaKDQ3H6iUGnXScC40/view?usp=drivesdk</t>
  </si>
  <si>
    <t xml:space="preserve"> Please see attached at Associated Components</t>
  </si>
  <si>
    <t xml:space="preserve"> Quantity		Unit 		Item Description	</t>
  </si>
  <si>
    <t xml:space="preserve"> 1	SELF-LOADING PRIME MOVER (SURPLUS)        1 UNIT</t>
  </si>
  <si>
    <t xml:space="preserve"> INVITATION TO BID FOR THE PRODUCTION, SUPPLY, AND DELIVERY OF TOURIST PHILCARE KIT</t>
  </si>
  <si>
    <t xml:space="preserve"> 1	Portland cement	170	Bag</t>
  </si>
  <si>
    <t xml:space="preserve"> SUBMIT LETTER OF INTENT ON OR BEFORE JULY 7, 2020.</t>
  </si>
  <si>
    <t xml:space="preserve"> Second Time Bidding</t>
  </si>
  <si>
    <t xml:space="preserve"> LEA C. MENGULLO</t>
  </si>
  <si>
    <t xml:space="preserve"> - other information may be discussed during pre-bid conference</t>
  </si>
  <si>
    <t xml:space="preserve"> 1	Omni safety breaker Reg. 2P 30A	5	Pcs</t>
  </si>
  <si>
    <t xml:space="preserve"> 1	4.5x3mx6mm glass wall partition w/ powdered coated 1 aluminum frame	13.5	Sqm</t>
  </si>
  <si>
    <t xml:space="preserve"> Bidding Documents may be purchased by the Interested Bidders on July 3, 2020 from 8:00 A.M to 5:00 P.M. and upon payment of non - refundable fee of One Thousand Five Hundred Pesos (Php 1,500.00).</t>
  </si>
  <si>
    <t xml:space="preserve"> Bidding Documents may be purchased by the Interested Bidders on July 3, 2020 from 8:00 A.M to 5:00 P.M. and upon payment of non - refundable fee of One Thousand Pesos (Php 1,000.00).</t>
  </si>
  <si>
    <t xml:space="preserve"> 1	Portland Cement	385 	Bags</t>
  </si>
  <si>
    <t xml:space="preserve"> Bidding Documents may be purchased by the Interested Bidders on July 3, 2020 from 8:00 A.M to 5:00 P.M. and upon payment of non - refundable fee of Five Hundred Pesos (Php 500.00).</t>
  </si>
  <si>
    <t xml:space="preserve"> SEE ATTACHED SUPPORTING DOCUMENTS</t>
  </si>
  <si>
    <t xml:space="preserve"> BID OPENING: JULY 7, 2020   1:00 PM  BAC OFFICE, MUNICIPAL HALL, STA. MARCELA, APAYAO</t>
  </si>
  <si>
    <t xml:space="preserve"> 1	5mm x 4"x8" plain steel plate	6	Sht		</t>
  </si>
  <si>
    <t xml:space="preserve"> Bidding is on July 8, 2020 at ten o'clock in the morning at the 3rd Floor, RHU, Siniloan, Laguna</t>
  </si>
  <si>
    <t xml:space="preserve"> You may download the complete bidding documents using the link below: </t>
  </si>
  <si>
    <t xml:space="preserve"> ATTACHED POW</t>
  </si>
  <si>
    <t xml:space="preserve"> Annual Budget (LCPC) CY 2020</t>
  </si>
  <si>
    <t xml:space="preserve"> MOOE 2020</t>
  </si>
  <si>
    <t xml:space="preserve"> Bidding Documents may be secured from the BAC Secretariat, Office of the Municipal Treasurer – Supply Section upon payment to the MTO Cashier of a non-refundable amount of ₱ 500.00. </t>
  </si>
  <si>
    <t xml:space="preserve"> Please contact us for further details.</t>
  </si>
  <si>
    <t xml:space="preserve"> Complete Bidding document can be downloaded using the link below:</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</si>
  <si>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</si>
  <si>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You may download complete bidding documents using the links below:</t>
  </si>
  <si>
    <t xml:space="preserve"> Date of Bid Opening: July 7, 2020; 10:00 a.m.</t>
  </si>
  <si>
    <t xml:space="preserve"> BIDDING DOCUMENTS MAY BE INITIALLY SENT ELECTRONICALLY THROUGH OUR OFFICIAL EMAIL ADDRESS. HARD COPIES SHALL FOLLOW.</t>
  </si>
  <si>
    <t xml:space="preserve"> 1.	Interested supplier/bidder/services should submit their quotation in an official Request for Quotation Form. ( forms are available at Taysan NHS Property Officer)</t>
  </si>
  <si>
    <t xml:space="preserve"> https://drive.google.com/file/d/1fog4TBtIsOXLV5j4CCExjxIBmirtG9bQ/view?usp=drivesdk</t>
  </si>
  <si>
    <t xml:space="preserve"> EMERGENCY PURCHASE/COVID 19 PROJECT RELATED</t>
  </si>
  <si>
    <t xml:space="preserve"> Please Call BAC for your inquiry at tel # (056) 333-6310</t>
  </si>
  <si>
    <t xml:space="preserve"> For more information please visit or contact the BAC Secretariat at Brgy Diolen Mutia Z.N</t>
  </si>
  <si>
    <t xml:space="preserve"> Bidders may download attached documents located in the Associated Component Section.</t>
  </si>
  <si>
    <t xml:space="preserve"> Note: Each item number is considered as one lot, an absence of any item/s in the lot shall be considered as non-responsive.</t>
  </si>
  <si>
    <t xml:space="preserve"> Item Number	Description	Quantity	Unit</t>
  </si>
  <si>
    <t xml:space="preserve"> Item No.	UNIT	 ITEM DESCRIPTION 	QUANTITY</t>
  </si>
  <si>
    <t xml:space="preserve"> For more information, please see or contact the BAC Membersw of Brgy. Magsaysay, Magallanes, Sorsogon.</t>
  </si>
  <si>
    <t xml:space="preserve"> -All interested PCAB Licensed Contractors are advised to inquire at the Municipal Engineering Office for verification of plans, specifications, items of work and other matters pertaining to this procurement.</t>
  </si>
  <si>
    <t xml:space="preserve"> click link https://drive.google.com/file/d/1evRH8xmkXocr7CLPyAPhUMfKPPMjWHHR/view?usp=drivesdk for the plan</t>
  </si>
  <si>
    <t xml:space="preserve"> Interested bidders may download attached documents located in the Associated Component Section.</t>
  </si>
  <si>
    <t xml:space="preserve"> For inquiries and submission of quotation, please contact Leonilyn Noche of the Procurement Section at (02)8724 0656 loc. 215. Thank You!</t>
  </si>
  <si>
    <t xml:space="preserve"> LOT I – VARIOUS FILTERS (ABC – P465,415.00)</t>
  </si>
  <si>
    <t xml:space="preserve"> Pay Item No.	Description	Unit	Quantity</t>
  </si>
  <si>
    <t xml:space="preserve"> 1.)	2	bxs	Polypropylene 6-0 with Needle Cutting Edge x 12’s (31mm Round Bodied; 75cm, sterile, packed individually)</t>
  </si>
  <si>
    <t xml:space="preserve"> Brand names of all items must be indicated in the bid.</t>
  </si>
  <si>
    <t xml:space="preserve"> For further information, please refer to :</t>
  </si>
  <si>
    <t xml:space="preserve"> Checklist for Alternative Mode of Procurement</t>
  </si>
  <si>
    <t xml:space="preserve"> Brand name of item must be indicated in the bid.</t>
  </si>
  <si>
    <t xml:space="preserve"> FOR INFORMATION PURPOSES ONLY</t>
  </si>
  <si>
    <t xml:space="preserve"> 20CSCE006 - CONSULTING SERVICES FOR THE CONDUCT OF SOIL/GEOTECHNICAL INVESTIGATION FOR THE PROPOSED CONSTRUCTION/REHABILITATION/REPLACEMENT OF VARIOUS BRIDGES PROJECTS</t>
  </si>
  <si>
    <t xml:space="preserve"> Please download and print the complete set of bidding document using the link below:</t>
  </si>
  <si>
    <t xml:space="preserve"> Please contact BAC secretariat for complete information of the unit.</t>
  </si>
  <si>
    <t xml:space="preserve"> - All interested PCAB Licensed Contractors are advised to inquire at the Municipal Engineering Office for verification of plans, specifications, items of work and other matters pertaining to this procurement.</t>
  </si>
  <si>
    <t xml:space="preserve"> Please contact the BAC secretariat for further information.</t>
  </si>
  <si>
    <t xml:space="preserve"> For more details, please contact the Municipal Engineer Jopson D. Baones with his Mobile No. 09399029802.</t>
  </si>
  <si>
    <t xml:space="preserve"> Please submit your quotation and legal documents  not later than  08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</si>
  <si>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</si>
  <si>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2.	https://drive.google.com/file/d/1idHJ8D1pmUXgEU8-TWy_VILC8id1Gidv/view?usp=drivesdk</t>
  </si>
  <si>
    <t xml:space="preserve"> DETAILS/COST ESTIMATES/FLOOR PLAN AND OTHER DOCUMENTS SUCH AS REQUEST FOR QUOTATION (RFQ) AVAILABLE AT LAND BANK OF THE PHILIPPINES, SARA BRANCH, SARA ILOILO C/O ROLIEN DELEGENCIA AT TELEPHONE No. (033) 392-0251, 392-0255</t>
  </si>
  <si>
    <t xml:space="preserve"> 1.	https://drive.google.com/file/d/1XcYKoqf4_Y3iI8tWRsXUizGpzvRJk8Hr/view?usp=drivesdk</t>
  </si>
  <si>
    <t xml:space="preserve"> Rehabilitation of seawall - P 71,602.00</t>
  </si>
  <si>
    <t xml:space="preserve"> Bidding Documents Link:</t>
  </si>
  <si>
    <t xml:space="preserve"> Visit our school for your bidding estimation.</t>
  </si>
  <si>
    <t xml:space="preserve"> FOR BID DOCS:</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</si>
  <si>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</si>
  <si>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Please download and print the complete set of bidding documents using the link below:</t>
  </si>
  <si>
    <t xml:space="preserve"> Bidder-supplier must see and download the attached main document (Request for Quotation) file.</t>
  </si>
  <si>
    <t xml:space="preserve"> For more information, please call the BAC Secretariat Section Office at telephone nos. 8522-7252 / 5335-1777 or 87 loc. 397.</t>
  </si>
  <si>
    <t xml:space="preserve"> Pre-Bid will be on July 8, 2020 @ 10:00 A.M. @ Bids and Awards Committee Office</t>
  </si>
  <si>
    <t xml:space="preserve"> Please see the attached RFQ for more details.</t>
  </si>
  <si>
    <t xml:space="preserve"> Please indicate Project Address in the sealed bidding envelope.</t>
  </si>
  <si>
    <t xml:space="preserve"> Submission of Quotation until July 6, 2020 @ 10:00 A.M.</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</si>
  <si>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</si>
  <si>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 Similar Contracts: Construction / renovation of commercial of industrial building</t>
  </si>
  <si>
    <t xml:space="preserve"> • Similar Contracts: Supply and delivery of Diesel Generating Sets or Mechanical and/or Electrical Parts / Components / Equipment for Diesel Generating Sets</t>
  </si>
  <si>
    <t xml:space="preserve"> https://drive.google.com/file/d/1xLaBZ9pQOwd1rr_VvurquMaWlnFPCW8s/view?usp=drivesdk</t>
  </si>
  <si>
    <t xml:space="preserve"> For any Information, please call Mr. Fidel G. Zaragoza or Sally Sharon M. Madariaga at +63-8826-2095</t>
  </si>
  <si>
    <t xml:space="preserve"> Submission of Quotation until July 6, 2020 @ 10:30 A.M.</t>
  </si>
  <si>
    <t xml:space="preserve"> 1. BIDDERS ARE STRICTLY REQUIRED TO SUBMIT LETTER OF INTENT WHEN BUYING BID DOCUMENTS AT THE BAC SECRETARIAT.</t>
  </si>
  <si>
    <t xml:space="preserve"> PRE BID CONFERENCE:</t>
  </si>
  <si>
    <t xml:space="preserve"> Please submit your quotation and legal documents until 6 JULY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</si>
  <si>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NERIA D. MONJE</t>
  </si>
  <si>
    <t xml:space="preserve"> Bring Letter of Intent- 3 Copies</t>
  </si>
  <si>
    <t xml:space="preserve"> NOTE:</t>
  </si>
  <si>
    <t xml:space="preserve"> Please indicate Project Address in your sealed bidding envelope.</t>
  </si>
  <si>
    <t xml:space="preserve"> Purpose: Training Equipment for the Completed Three (3) Storey Building of the ZSCMST Regional Maritime Training Center for Basic Training (Formerly SOLAS).</t>
  </si>
  <si>
    <t xml:space="preserve"> https://drive.google.com/file/d/1MnRkFC41hyKQX09Taz3-MgkMYcwD9UwY/view?usp=drivesdk</t>
  </si>
  <si>
    <t xml:space="preserve"> https://drive.google.com/file/d/19SPcT2YzhkrUI1c_lU1skY4ZSPsxMKFV/view?usp=drivesdk</t>
  </si>
  <si>
    <t xml:space="preserve"> https://drive.google.com/file/d/1FZDRkREnxm5MTGIurb8ExJOvCmjdg-Mw/view?usp=drivesdk</t>
  </si>
  <si>
    <t xml:space="preserve"> https://drive.google.com/file/d/1AXHiuIdbUP2FBo7GaUqcZrRjmEnibO3i/view?usp=drivesdk</t>
  </si>
  <si>
    <t xml:space="preserve"> SUPPLIER MUST SUBMIT LOCAL BUSINESS PERMIT AT ILIGAN CITY</t>
  </si>
  <si>
    <t xml:space="preserve"> 1	2020-0433	Photography and Videography Services for the 2020 Regional Awarding DOH-RO VI partners and stakeholders in November 27,2020 in Iloilo City	1					 40,000.00 	 2020 Health Promotion Fund 	DR. M. A. STA. LUCIA</t>
  </si>
  <si>
    <t xml:space="preserve"> 2020-0503	LED Wall and Audio System Rental and Services for the 2020 Regional Recognition of DOH CHD WV Partners and Stakeholders						 100,000.00 	 2020 Health Promotion Fund 	DR. MA.STA LUCIA</t>
  </si>
  <si>
    <t xml:space="preserve"> https://drive.google.com/file/d/1vYcrcqguOT7LWetysMameL25_M_YF5Wm/view?usp=drivesdk</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</si>
  <si>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</si>
  <si>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1.  The Barangay Council of Barangay Agbago, intends to apply the sum above-stated being the Approved Budget for the Contract (ABC) to payments under the contract for the above-mentioned contract.  Bids received in excess of the ABC shall automatically rejected, the bid opening.</t>
  </si>
  <si>
    <t xml:space="preserve"> 2020 20% DF</t>
  </si>
  <si>
    <t xml:space="preserve"> 1	2020-0718	Oil Proof Performance Sprayer	80	Unit					 1,200,000.00 	 PHM 	DR. M.J.R. JUANICO</t>
  </si>
  <si>
    <t xml:space="preserve"> CONTACT BAC SECRETARIAT</t>
  </si>
  <si>
    <t xml:space="preserve"> 1	2020-0423	Branded Laptop	22	 Unit 					 660,000.00 	  (HFEP INFRA CY 2009) 	DR. R. NACANAYNAY</t>
  </si>
  <si>
    <t xml:space="preserve"> 1	2020-0703	Purchase of Bond Paper Long Size (8.5 x 13")	1200						 300,000.00 	 PHM Polled funds for COVID 	DR.J.AGUILING</t>
  </si>
  <si>
    <t xml:space="preserve"> 1	2020-0687	Freight and Handling/Distribution Services of Routine Immunization Logistics for 2nd Quarter Needs in Western Visayas					 480,000.00 	 SAA 2019-07-0899 	DR. MA.MATILLANO</t>
  </si>
  <si>
    <t xml:space="preserve"> 1	2020-0719	Radio Plugging of Emerging Re-emerging Infectious Diseases (EREID) Program, Thrusts &amp; Iniatiatives in One (1) Loacal AM Stations with coverage in Panay Island 	285 Spots				 997,500.00 	 2020 Health Promotion Fund  	DR.M.A. STA LUCIA</t>
  </si>
  <si>
    <t xml:space="preserve"> 1	2020-0617	ENDPOINT SECURITY Enterprise Suite Integrated Enterprise Security and Unified Endpoint Management Console. 	100	PCS					 315,000.00 	 2019 CONAP PHM 	MR. A.ZAFRA</t>
  </si>
  <si>
    <t xml:space="preserve"> 1	2020-0634	Collapsible Water Drinking Container	1000	pcs				 250,000.00 	 2019 HEMS CoNap HEPR 	MS. F.GALLARDO</t>
  </si>
  <si>
    <t xml:space="preserve"> Pre-bid Conference is open to all interested bidders.</t>
  </si>
  <si>
    <t xml:space="preserve"> DOWNLOAD RFQ &amp; MEMO @ THE ASSOCIATED COMPONENTS. SUBMIT BOTH DOCS</t>
  </si>
  <si>
    <t xml:space="preserve"> MR. MOHAMADSUAIB  B. ESMAEL, BAC-B, Chairperson</t>
  </si>
  <si>
    <t xml:space="preserve"> 1	2020-0653	Procurement of Emergency Newborn Kits	1,000	pcs				 500,000.00 	 CONAP 2019 PHM 	DR. MA. MATILLANO</t>
  </si>
  <si>
    <t xml:space="preserve"> The Works consists of Provision of 21 rolls 63mmøx60m HDPE Pipe, sdr 17 (1260 Ln.m) and 2 units Plastic Tank (2cu.m. capacity) w/ 6 distribution lines each tank using (32mmøx100m HDPE pipe, sdr 17).</t>
  </si>
  <si>
    <t xml:space="preserve"> 1	2020-0724	Purchase of Toner Genuine (Samsung):	20						 60,000.00 	 PHM 	DR.J.AGUILING</t>
  </si>
  <si>
    <t xml:space="preserve"> For More Info. Please Contact:</t>
  </si>
  <si>
    <t xml:space="preserve"> BAC ACTIVITIES	DATE	VENUE</t>
  </si>
  <si>
    <t xml:space="preserve"> 1	2020-0689	SUPPLY, DELIVERY &amp; INSTALLATION OF THREE (3) UNITS, 333KVA DISTRIBUTION TRANSFORMERS, 7620/13200Y, 120/240V, SILICON DOUBLE BUSHING WITH TERMINAL LUGS, LONG BARREL, 2-HOLES FOR 250mm2 WIRES, AND COMPLETE WITH THE FOLLOWING ACCESSORIES TO WIT;							 1,850,000.00 	 2019 PHM ConAp 	ENGR.A.CELESTINO</t>
  </si>
  <si>
    <t xml:space="preserve"> 1	2020-0654	Airing of TV advertisement for Violence and Injury Prevention Program	44				 440,000.00 	 ConAp SAA 2019-08-1625 	DR. R. M. LAMIREZ</t>
  </si>
  <si>
    <t xml:space="preserve"> The Works consists of Provision of 15.8l.m. (74.96 cu.m.) stone masonry slope protection structure.</t>
  </si>
  <si>
    <t xml:space="preserve"> The Works consists of Provision of 29.30 l.m. (198.15 cu.m.) stone masonry slope protection structure and 29.30 l.m. concrete shoulder.</t>
  </si>
  <si>
    <t xml:space="preserve"> The Works consists of Construction of 210.00 ln.m. 4” THK CHB (3 layers and 2 layers) canal lining with concrete stiffener and column space at every 5.00m with 1 unit concrete crossing.</t>
  </si>
  <si>
    <t xml:space="preserve"> The Works consists of Construction of Drainage Canal (0.60m x 0.60m x 26.0m) w/ floor slab and top slab from Dietary Building tom Street Canal and Syphoning of 15 cu.m. Septic Vault between OR Bdlg. And Laundry Bldg.</t>
  </si>
  <si>
    <t xml:space="preserve"> The Works consists of Provision of 26.5 l.m. (46.38 cu.m.) rubble concrete structure, 26.5 l.m. (84.05 cu.m.) Groutd riprap and 25.901 l.m. (19.88 sq.m. x 0.15m thk) concrete shoulder.</t>
  </si>
  <si>
    <t xml:space="preserve"> The Works consists of Provision of 61.00 l.m (174.39 cu.m.) stone masonry slope protection and 36.00 l.m. concrete shoulder.</t>
  </si>
  <si>
    <t xml:space="preserve"> The Works consists of Provision of 20.00l.m. stone masonry slope protection structure.</t>
  </si>
  <si>
    <t xml:space="preserve"> Please visit LGU-San Mateo offices for actual measurements</t>
  </si>
  <si>
    <t xml:space="preserve"> The Works consists of Provision of 11 pcs.-24” ø RCPC cross drain with 21.50 ln.m. (30.70 cu.m.) Stone Masonry Headwall with 2 unit catch basin; Concreting of 56.00m long x 4.00m wide x 0.15m thick PCCP Plain.</t>
  </si>
  <si>
    <t xml:space="preserve"> https://drive.google.com/file/d/1qPsCTkHdWYXHbSxien54s5iq5TWhcy4t/view?usp=drivesdk</t>
  </si>
  <si>
    <t xml:space="preserve"> DOWNLOAD RFQ @ MEMO @ THE ASSOCIATED COMPONENTS. SUBMIT BOTH DOCS.</t>
  </si>
  <si>
    <t xml:space="preserve"> for inquiries, you may call us at tel. no. 8 364-8242 and look for Mr. Arenas</t>
  </si>
  <si>
    <t xml:space="preserve"> 20CSCE005  - CONSULTING SERVICES FOR THE CONDUCT OF a.) PARCELLARY SURVEY b.) DETAILED ENGINEERING SURVEY c.) STRUCTURAL/UTILITY/FACILITIES SURVEY d.) MONUMENTING e.) RESEARCH WORKS for the CONSTRUCTION OF RIZAL BY-PASS, NUEVA ECIJA 2nd LEGISLATIVE DISTRICT"</t>
  </si>
  <si>
    <t xml:space="preserve"> For information only.</t>
  </si>
  <si>
    <t xml:space="preserve"> BAC Documents are available at the Office of the Punong Barangay</t>
  </si>
  <si>
    <t xml:space="preserve"> Please be informed that the bid documents cannot be downloaded from the website. It is non – electronic. </t>
  </si>
  <si>
    <t xml:space="preserve"> INVITATION TO BID FOR THE PRODUCTION, SUPPLY, AND DELIVERY OF TEN (10) THOUSAND PIECES CORPORATE TOTE BAG WITH SEVEN (7) DIFFERENT WEAVE CLOTH DESIGN</t>
  </si>
  <si>
    <t xml:space="preserve"> The Works consists of Provision of 38.896 ln. m. stone masonry slope protection structure.</t>
  </si>
  <si>
    <t xml:space="preserve"> Rosalia Aglay Ayag Elementary School located at Brgy. Tawantawan, Baguio District, Davao City</t>
  </si>
  <si>
    <t xml:space="preserve"> For additional information please dial (8) 711-42-76 local 224/240 (Ms. Lucille/Cristy/ Mr. Dom)</t>
  </si>
  <si>
    <t xml:space="preserve"> INTERESTED BIDDERS ARE ADVISED TO DOWNLOAD THE ATTACHED DOCUMENTS LOCATED IN ASSOCIATED COMPONENT SECTION FOR GUIDANCE.</t>
  </si>
  <si>
    <t xml:space="preserve"> contact person</t>
  </si>
  <si>
    <t xml:space="preserve"> Source of Funds: Annual Budget CY 2020 20% Development Fund</t>
  </si>
  <si>
    <t xml:space="preserve"> Please download the attached Invitation to Bid, Bidding Documents, Terms of Reference and Eligibility Checklist in the associated component.</t>
  </si>
  <si>
    <t xml:space="preserve"> Please download the attached Invitation to bid, Bidding Documents, Terms of Reference and Eligibility Checklist in the associated Component.</t>
  </si>
  <si>
    <t xml:space="preserve"> Note: Please see the uploaded file at associated components.</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</si>
  <si>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</si>
  <si>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DOWNLOAD RFQ &amp; MEMO @ THE ASSOCIATED COMPONENTS. SUBMIT BOTH DOCUMENTS</t>
  </si>
  <si>
    <t xml:space="preserve"> You may download and check the bidding documents using the link below:</t>
  </si>
  <si>
    <t xml:space="preserve"> INTERESTED BIDDERS ARE ADVISED TO DOWNLOAD THE ATTACHED DOCUMENTS LOCATED AT THE ASSOCIATED COMPONENT SECTION FOR GUIDANCE.</t>
  </si>
  <si>
    <t xml:space="preserve"> You may see the Supply Officer, Municipality of Caibiran</t>
  </si>
  <si>
    <t xml:space="preserve"> https://drive.google.com/file/d/1wr10iE09r6gtoAXBMJwZY7vZuqqbg4O_/view?usp=drivesdk</t>
  </si>
  <si>
    <t xml:space="preserve"> INTERESTED BIDDERS ARE ADVISED TO DOWNLOAD THE ATTACHED DOCUMENTS LOCATED AT THE ASSOCIATED COMPONENT SECTION FOR GUIDANCE</t>
  </si>
  <si>
    <t xml:space="preserve"> (Please Refer to the attached Instructions to Bidders for the Technical Specifications).</t>
  </si>
  <si>
    <t xml:space="preserve"> https://drive.google.com/file/d/13C9yPHeb-iDdaEXhaUToklb5-GsTGXgV/view?usp=drivesdk</t>
  </si>
  <si>
    <t xml:space="preserve"> https://drive.google.com/file/d/1cCLfbsLMYbm41CUeh1YcYC6FtbuX_L7D/view?usp=drivesdk</t>
  </si>
  <si>
    <t xml:space="preserve"> MINI DUMP TRUCK, (Brand new) 4 Cylinders inline, water cooling,CDRI,15” Tire, inclusive of GSIS Insurance and LTO Registration</t>
  </si>
  <si>
    <t xml:space="preserve"> https://drive.google.com/file/d/1LqQys6-aTqeT_r3VFgO0mEYUPkJc-pFd/view?usp=drivesdk</t>
  </si>
  <si>
    <t xml:space="preserve"> The Partido Development Administration, through the PDA Corporate Operating Budget of 2020 intends to apply the sum of TWO MILLION SIX HUNDRED EIGHT THOUSAND TWO HUNDRED PESOS ONLY (P 2,608,200.00) being the Approved Budget for the Contract (ABC) to payments under the contract for the Supply and Delivery of 1,620 Pails Aluminum Sulfate (PDA 2020-003). Bids received in excess of the ABC shall be automatically rejected at bid opening. </t>
  </si>
  <si>
    <t xml:space="preserve"> https://drive.google.com/file/d/10m5aWHTOwFjpEfe-jwQgoKGwisBSC90M/view?usp=drivesdk</t>
  </si>
  <si>
    <t xml:space="preserve"> BID FORM</t>
  </si>
  <si>
    <t xml:space="preserve"> Please see attached Bidding Documents for more information.</t>
  </si>
  <si>
    <t xml:space="preserve"> BILL OF QUANTITIES</t>
  </si>
  <si>
    <t xml:space="preserve"> Item no.3 has new specifications</t>
  </si>
  <si>
    <t xml:space="preserve"> Deadline of Submission of BIDs: July 10, 2020; 02:00 PM</t>
  </si>
  <si>
    <t xml:space="preserve"> Deadline of Submission of BIDs : July 10, 2020; 02:00 PM</t>
  </si>
  <si>
    <t xml:space="preserve"> 1.	Issuance of bid documents is on June 29, 2020 until 9:00 am of July 7, 2020 (working days only).</t>
  </si>
  <si>
    <t xml:space="preserve"> Please Contact Jaren D. Ducay, BAC Secretariat at 09956498330</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</si>
  <si>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</si>
  <si>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Created By: Amor Luisa Flores</t>
  </si>
  <si>
    <t xml:space="preserve"> Please see attached RFQ in the associated component</t>
  </si>
  <si>
    <t xml:space="preserve"> Deadline of Submission of BIDs : July 10, 2020;  2:00 PM</t>
  </si>
  <si>
    <t xml:space="preserve"> Procurement of Anti-flu vaccines for the youth of Barangay Magallanes for Calendar Year 2020:</t>
  </si>
  <si>
    <t xml:space="preserve"> Criteria: Pass or Fail </t>
  </si>
  <si>
    <t xml:space="preserve"> Inquire at the Office of Magsaysay Memorial District Hospital for details.</t>
  </si>
  <si>
    <t xml:space="preserve"> Inquire at the Office of IPHO-Technical Services Division for details.</t>
  </si>
  <si>
    <t xml:space="preserve"> ONLY COMPLETE DOCUMENTS ARE ALLOWED TO JOIN THE BIDDING.</t>
  </si>
  <si>
    <t xml:space="preserve"> Inquire at the Office of the Provincial Agriculturist for details.</t>
  </si>
  <si>
    <t xml:space="preserve"> Inquire at the Office of the Provincial Vice Governor for details.</t>
  </si>
  <si>
    <t xml:space="preserve"> When and where to send applications:</t>
  </si>
  <si>
    <t xml:space="preserve"> Please contact BAC Secretariat or Technical Working Group for more details.</t>
  </si>
  <si>
    <t xml:space="preserve"> Please Contact:</t>
  </si>
  <si>
    <t xml:space="preserve"> Bid Docs Available</t>
  </si>
  <si>
    <t xml:space="preserve"> Supplies must be within the CHICKS Area. (Cauayan,Hinobaan, Ilog, Candoni, Kabnakalan, Sipalay Area)</t>
  </si>
  <si>
    <t xml:space="preserve"> https://drive.google.com/file/d/12FQvlWyuYNwVK-TCtNKLjHRsYx0nsWux/view?usp=drivesdk</t>
  </si>
  <si>
    <t xml:space="preserve"> https://drive.google.com/file/d/1WQTpdk0ciZCQA7C2IWYCjWOW6gPwK9Yt/view?usp=drivesdk</t>
  </si>
  <si>
    <t xml:space="preserve"> The glass panels and glass door that will be used in improvement of the admission area will be provided by the Procuring Entity</t>
  </si>
  <si>
    <t xml:space="preserve"> Warranty : 6 months from receipt of materials</t>
  </si>
  <si>
    <t xml:space="preserve"> must be engrave w/PRO 11</t>
  </si>
  <si>
    <t xml:space="preserve"> Description:</t>
  </si>
  <si>
    <t xml:space="preserve"> https://drive.google.com/file/d/1TgCgKRjm5M6dvcpqRXJ5S1cRpPRzvjQ2/view?usp=drivesdk</t>
  </si>
  <si>
    <t xml:space="preserve"> https://drive.google.com/file/d/1NEWa6pgH4CRlLJeybtj4K7fd9rFFjzCK/view?usp=drivesdk</t>
  </si>
  <si>
    <t xml:space="preserve"> https://drive.google.com/file/d/172_4XoB9MbMkpgq4aGgiKbntA4Y5wLzf/view?usp=drivesdk</t>
  </si>
  <si>
    <t xml:space="preserve"> Quote your best offer for the items/described  therein,</t>
  </si>
  <si>
    <t xml:space="preserve"> Buyer: N.B. Camama</t>
  </si>
  <si>
    <t xml:space="preserve"> Schedule of Activities</t>
  </si>
  <si>
    <t xml:space="preserve"> Bid Docs Available.</t>
  </si>
  <si>
    <t xml:space="preserve"> All interested bidders must purchase bid document at Municipal Treasury Office together with the letter of intent before going to the BAC Office, 3rd floor, Municipal Bldg. Abatan, Buguias, Benguet from June 30, 2020 starting 2:00 PM - 4:00 PM.</t>
  </si>
  <si>
    <t xml:space="preserve"> Bidders must download the attached document in the Associated Component Section.</t>
  </si>
  <si>
    <t xml:space="preserve"> issuance of bidding documents - June 27-July 16, 2020</t>
  </si>
  <si>
    <t xml:space="preserve"> DELIVERY OF MINI-DUMPTRUCK BARANGAY HALL OF BARANGAY MANUAL, KIBLAWAN, DAVAO DEL SUR</t>
  </si>
  <si>
    <t xml:space="preserve"> The Works consists of Provision of 26 rolls 63mmøx60m HDPE Pipe, Sdr 17 (1560ln.m.) and 1 unit Plastic Tank (2 cu.m. capacity) w/ 2x2 m concrete platform w/ 6 distribution lines using (32mmøx100m HDPE pipe, sdr 17).</t>
  </si>
  <si>
    <t xml:space="preserve"> PLEASE SEE/READ AND AGREE TO THE ATTACHED TERMS OF REFERENCES.</t>
  </si>
  <si>
    <t xml:space="preserve"> For more information, please see pr contact the BAC Members of Brgy. Biga, Magallanes, Sorsogon.</t>
  </si>
  <si>
    <t xml:space="preserve"> https://drive.google.com/file/d/1xlZtTNpwzRUgf51cmRmseMrpgFHolhEy/view?usp=drivesdk</t>
  </si>
  <si>
    <t xml:space="preserve"> For interested suppliers, please also submit the following documents along with the accomplished RFQ:</t>
  </si>
  <si>
    <t xml:space="preserve"> You may see the Brgy. Chairman of Brgy. Uson Municipality of Caibiran</t>
  </si>
  <si>
    <t xml:space="preserve"> https://drive.google.com/file/d/17rbw0FKbFpPNoRiszsQzf6dLeUU5EtcY/view?usp=drivesdk</t>
  </si>
  <si>
    <t xml:space="preserve"> For more information, please see or contact the BAC Members of Brgy. Biga, Magallanes, Sorsogon.</t>
  </si>
  <si>
    <t xml:space="preserve"> You may see the Brgy. Chiarman of Brgy. Uson, Muicipality of Caibiran</t>
  </si>
  <si>
    <t xml:space="preserve"> You may see the Brgy. Chairman of Brgy. Uson, Municipality of Caibiran</t>
  </si>
  <si>
    <t xml:space="preserve"> INQUIRE AT BAC OFFICE</t>
  </si>
  <si>
    <t xml:space="preserve"> BAC Secretariat</t>
  </si>
  <si>
    <t xml:space="preserve"> https://drive.google.com/file/d/1LORpBpRXvghYZ-S22Ljss5nYPUwtSdhb/view?usp=drivesdk</t>
  </si>
  <si>
    <t xml:space="preserve"> The Region II Trauma and Medical Center will be conducting the Negotiation on     July 6, 2020 at 2:00 PM at the 4th Floor Trauma Conference Room, R2TMC Trauma Building, R2TMC, Bayombong, Nueva Vizcaya.</t>
  </si>
  <si>
    <t xml:space="preserve"> BAC Activities / Schedule</t>
  </si>
  <si>
    <t xml:space="preserve"> https://drive.google.com/file/d/1WT8ACyTd8pUEv8Aj-aEXk2mIH9WT53Zm/view?usp=drivesdk</t>
  </si>
  <si>
    <t xml:space="preserve"> You may see the Brgy. Chairman of Brgy. Palanay, Municipality of Caibiran</t>
  </si>
  <si>
    <t xml:space="preserve"> Fund Source 20% EDF</t>
  </si>
  <si>
    <t xml:space="preserve"> Issuance of bidding documents at BAC Office on June 29, 2020 to July 6, 2020 at 10:00 a.m.</t>
  </si>
  <si>
    <t xml:space="preserve"> NOTE: To all Suppliers,</t>
  </si>
  <si>
    <t xml:space="preserve"> for further information, please refer to:</t>
  </si>
  <si>
    <t xml:space="preserve"> PLEASE SEE ATTACHED DOCUMENTS IN THE ASSOCIATED COMPONENTS</t>
  </si>
  <si>
    <t xml:space="preserve"> 1 unit Service Vehicle (Barangay Patrol)</t>
  </si>
  <si>
    <t xml:space="preserve"> Please submit the letter of intent on or before July 6, 2020 at the Pre-Bid Conference.</t>
  </si>
  <si>
    <t xml:space="preserve"> Also available at DPWh website.</t>
  </si>
  <si>
    <t xml:space="preserve"> PR0033-20 – TOURISM ANNEX (Lights Enhancement Phase III)</t>
  </si>
  <si>
    <t xml:space="preserve"> SOURCE OF FUND:ANNUAL BUDGET 2020</t>
  </si>
  <si>
    <t xml:space="preserve"> SOURCE OF FUND: AB-2020</t>
  </si>
  <si>
    <t xml:space="preserve"> Availability of Bid Documents: June 27 - July 16, 2020; 8:00 AM-5:00 PM; Monday through Friday</t>
  </si>
  <si>
    <t xml:space="preserve"> CO-Mayor's Office</t>
  </si>
  <si>
    <t xml:space="preserve"> 1</t>
  </si>
  <si>
    <t xml:space="preserve"> BID DOCUMENT IS AVAILABLE AT THE BAC OFFICE DURING OFFICE HOUR.</t>
  </si>
  <si>
    <t xml:space="preserve"> Terms of Delivery: FOB Zamboanga City-WMSU</t>
  </si>
  <si>
    <t xml:space="preserve"> terms of Delivery: FOB Zamboanga City-WMSU</t>
  </si>
  <si>
    <t xml:space="preserve"> https://drive.google.com/file/d/1ex_-aP3wOS6Qm3Ps4K6oGJXUM4Zbo-E5/view?usp=drivesdk</t>
  </si>
  <si>
    <t xml:space="preserve"> https://drive.google.com/file/d/1dvkkiB04Ay-a9h6vIfiyMAPKJlZMxwjy/view?usp=drivesdk</t>
  </si>
  <si>
    <t xml:space="preserve"> https://drive.google.com/file/d/1136t9F0nP8l5OPI3rOs-FVcwh90mhrXT/view?usp=drivesdk</t>
  </si>
  <si>
    <t xml:space="preserve"> https://drive.google.com/file/d/1cAr0XW-FGGh_UXjHyZDbt6jKEZ4IEmEC/view?usp=drivesdk</t>
  </si>
  <si>
    <t xml:space="preserve"> https://drive.google.com/file/d/1mDI6oyHdgu_LlpNeUAqmxx3tQj9J6cGg/view?usp=drivesdk</t>
  </si>
  <si>
    <t xml:space="preserve"> https://drive.google.com/file/d/1IjK_nvus7os-Qj5WF7g5XUCPOtmb_6Bm/view?usp=drivesdk</t>
  </si>
  <si>
    <t xml:space="preserve"> https://drive.google.com/file/d/1WWRqqXSSJ4x33z8wBM52P5Lq6MatOWAT/view?usp=drivesdk</t>
  </si>
  <si>
    <t xml:space="preserve"> https://drive.google.com/file/d/1anmfLiRQcWz0t1unPdxavKENbbmSZMNj/view?usp=drivesdk</t>
  </si>
  <si>
    <t xml:space="preserve"> The Works consists of Provision of 30.9l.m. grouted riprap, 30.9 l.m. rubble concrete and 30.9 sq.m. concrete shoulder.</t>
  </si>
  <si>
    <t xml:space="preserve"> CO Mayor's Office</t>
  </si>
  <si>
    <t xml:space="preserve"> none</t>
  </si>
  <si>
    <t xml:space="preserve"> Posted at three conspicuous places.</t>
  </si>
  <si>
    <t xml:space="preserve"> 2.	https://drive.google.com/file/d/1VgjGpAk9eZ5ptUQeoLMhroPkDL402YCO/view?usp=drivesdk</t>
  </si>
  <si>
    <t xml:space="preserve"> 3.	https://drive.google.com/file/d/1mum5J17d8yHisGAbEHJeNpQ9nSIRKmB4/view?usp=drivesdk</t>
  </si>
  <si>
    <t xml:space="preserve"> https://drive.google.com/file/d/1XY2g_VS9oxny-nKrddVRQvslWqI4qrjh/view?usp=drivesdk</t>
  </si>
  <si>
    <t xml:space="preserve"> https://drive.google.com/file/d/1LJTRmYbY4dUqe1EiLGTffymTPVcnU-p-/view?usp=drivesdk</t>
  </si>
  <si>
    <t xml:space="preserve"> BAC Activities                                                         Date                                        Venue</t>
  </si>
  <si>
    <t xml:space="preserve"> Prospective Bidders are encouraged to attend the pre-bid conference as scheduled.</t>
  </si>
  <si>
    <t xml:space="preserve"> 20CE0210: Construction of 2STY6CL, Mamandil PS, Talavera, Nueva Ecija; Invitation to Bid including Plans and other Supporting Docs</t>
  </si>
  <si>
    <t xml:space="preserve"> https://drive.google.com/file/d/1x7OPivf3mOb5L7PLAQS6YHMQ342ists9/view?usp=drivesdk</t>
  </si>
  <si>
    <t xml:space="preserve"> 20CE0229: Repair /Maintenance of DILG Building, Lupao Fire Station Building, Lupao, Nueva Ecija; Notice to Bidders including Plans and other Supporting Docs</t>
  </si>
  <si>
    <t xml:space="preserve"> 20CE0228: Repair /Maintenance of DILG Building Bureau of Fire Protection – Rizal Fire Station, Rizal, Nueva Ecija; Notice to Bidders including Plans and other Supporting Docs</t>
  </si>
  <si>
    <t xml:space="preserve"> 20CE0227: Repair /Maintenance of DILG Building Bureau of Fire Protection – Talavera Fire Station Building, Brgy. Sampaloc, Talavera, Nueva Ecija; Notice to Bidders including Plans and other Supporting Docs</t>
  </si>
  <si>
    <t xml:space="preserve"> 20CE0226: Repair/Maintenance of DPWH Building Covered Court, Nueva Ecija I District Engineering Office, La Torre, Talavera, Nueva Ecija; Invitation to Bid including Plans and other Supporting Docs</t>
  </si>
  <si>
    <t xml:space="preserve"> 20CE0225: Repair/Maintenance of River Bank Protection along Rio Chico River, Brgy. Mapangpang, Lupao, Nueva Ecija; Invitation to Bid including Plans and other Supporting Docs</t>
  </si>
  <si>
    <t xml:space="preserve"> 20CE0224: Repair/Maintenance of Collapsed Slope Protection, Cadaclan Bridge 2, along Pantabangan - Canili - Basal - Baler Road, K0181+600, Brgy. Cadaclan, Pantabangan, Nueva Ecija; Invitation to Bid including Plans and other Supporting Docs</t>
  </si>
  <si>
    <t xml:space="preserve"> 20CE0222: Construction of 1STY2CL, Salvacion 2nd ES, Lupao, Nueva Ecija; Invitation to Bid including Plans and other Supporting Docs</t>
  </si>
  <si>
    <t xml:space="preserve"> 20CE0221: Construction of 1STY2CL, Maragol IS, Science City of Muñoz, Nueva Ecija; Invitation to Bid including Plans and other Supporting Docs</t>
  </si>
  <si>
    <t xml:space="preserve"> 20CE0220: Construction of 2STY4CL, Muñoz National High School (Annex), Science City of Muñoz, Nueva Ecija; Invitation to Bid including Plans and other Supporting Docs</t>
  </si>
  <si>
    <t xml:space="preserve"> 20CE0219: Construction of 3STY15CL, Cuyapo CS, Cuyapo, Nueva Ecija; Invitation to Bid including Plans and other Supporting Docs</t>
  </si>
  <si>
    <t xml:space="preserve"> 20CE0216: Construction of 2STY4CL, Cabaruan ES, Guimba, Nueva Ecija; Invitation to Bid including Plans and other Supporting Docs</t>
  </si>
  <si>
    <t xml:space="preserve"> 20CE0214: Construction of 2STY6CL, Don Emiliano Soriano ES, Aliaga, Nueva Ecija; Invitation to Bid including Plans and other Supporting Docs</t>
  </si>
  <si>
    <t xml:space="preserve"> 20CE0223: Construction of 1STY2CL, Camanggahan ES, Carranglan, Nueva Ecija; Invitation to Bid including Plans and other Supporting Docs</t>
  </si>
  <si>
    <t xml:space="preserve"> 20CE0212: Construction of 2STY8CL, Minabuyok ES, Talavera, Nueva Ecija; Invitation to Bid including Plans and other Supporting Docs</t>
  </si>
  <si>
    <t xml:space="preserve"> 20CE0211: Construction of 2STY6CL, Homestead I ES, Talavera, Nueva Ecija; Invitation to Bid including Plans and other Supporting Docs</t>
  </si>
  <si>
    <t xml:space="preserve"> 20CE0218: Construction of 2STY6CL, Doroteo R. Jose Elementary School, Cuyapo, Nueva Ecija; Invitation to Bid including Plans and other Supporting Docs</t>
  </si>
  <si>
    <t xml:space="preserve"> The ROAD CONCRETING @ PALANCA VILLAGE has already been awarded to CJEP BUILDERS AND ENGINEERING SERVICES for a bid of Php 449,814.44 as the LOWEST CALCULATED RESPONSIVE BID during on November 13, 2019 bid opening. This instrument is a re-posting of the process.</t>
  </si>
  <si>
    <t xml:space="preserve"> Interested bidders may obtain further information from BAC Secretariat, BAC Office, City Hall Compound, Peñaplata, IGaCoS and inspect the Bidding Documents at the address given below from 8:00 AM - 5:00PM.</t>
  </si>
  <si>
    <t xml:space="preserve"> 20CE0213: Construction of 2STY6CL, Collado ES, Talavera, Nueva Ecija; Invitation to Bid including Plans and other Supporting Docs</t>
  </si>
  <si>
    <t xml:space="preserve"> 20CE0215: Construction of 2STY6CL, Concepcion ES, Santo Domingo, Nueva Ecija; Invitation to Bid including Plans and other Supporting Docs</t>
  </si>
  <si>
    <t xml:space="preserve"> Interested bidders may obtain further information from Local Government Unit of the Island Garden City of Samal and inspect the Bidding Documents at the address given below during 8:00 A.M. to 5:00 P.M.</t>
  </si>
  <si>
    <t xml:space="preserve"> Interested bidders may obtain further information from BAC Secretariat, BAC Office, City Hall Compound, Peñaplata, IGaCoS and inspect the Bidding Documents at the address given below from 9:00 AM – 5:00 PM.</t>
  </si>
  <si>
    <t xml:space="preserve"> https://drive.google.com/file/d/13-XYkoWu3Giwifu_ZkCxpXAG63cT4uQM/view?usp=drivesdk</t>
  </si>
  <si>
    <t xml:space="preserve"> Submission of sealed envelopes and opening of bids: July 15, 2020/ 10:00 A.M./ Alimodian Municipal Conference Room</t>
  </si>
  <si>
    <t xml:space="preserve"> 20CE0217: Construction of 2STY8CL, Guimba West CS, Guimba, Nueva Ecija; Invitation to Bid including Plans and other Supporting Docs</t>
  </si>
  <si>
    <t xml:space="preserve"> https://drive.google.com/file/d/1ChhdE7IYoNTP6dAYdxt-hrU3YamTWI0W/view?usp=drivesdk</t>
  </si>
  <si>
    <t xml:space="preserve"> NOTE TO PROSPECTIVE BIDDERS</t>
  </si>
  <si>
    <t xml:space="preserve"> For use Rural Health Unit</t>
  </si>
  <si>
    <t xml:space="preserve"> For transportation assistance of our Indigent Constituents</t>
  </si>
  <si>
    <t xml:space="preserve"> https://drive.google.com/file/d/1kDXzejfWKJagl50HDoYIRfFH7aZxsW8o/view?usp=drivesdk</t>
  </si>
  <si>
    <t xml:space="preserve"> SOURCE OF FUND: 5% DISASTER PREPAREDNESS QUICK RESPONSE FUND</t>
  </si>
  <si>
    <t xml:space="preserve"> 1.)	4	Pcs	Tire No. 205/70 R15</t>
  </si>
  <si>
    <t xml:space="preserve"> BID OPENING: JULY 16, 2020 AT 1:00 PM  BAC OFFICE, MUNICIPAL HALL, STA. MARCELA, APAYAO </t>
  </si>
  <si>
    <t xml:space="preserve"> 1.	https://drive.google.com/file/d/1T9PE46WZY8k2QnVsvUxUn8U6-AiluXhL/view?usp=drivesdk</t>
  </si>
  <si>
    <t xml:space="preserve"> The ERC now invites suppliers to submit their best offer or quotation for the contract which must be delivered in a sealed envelope to:</t>
  </si>
  <si>
    <t xml:space="preserve"> The LGU-IGACOS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</si>
  <si>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Warranty Period : 6 months from receipt of materials</t>
  </si>
  <si>
    <t xml:space="preserve"> this posting is done in behalf of unregistered PHILGEPS PE BRGY.  Tagugpo.</t>
  </si>
  <si>
    <t xml:space="preserve"> 1.)	1	Unit	Sliding Windows 50”x58.5”</t>
  </si>
  <si>
    <t xml:space="preserve"> A complete set of Bidding Documents may be acquired by interested Bidders or his duly authorized representative from the BAC Secretariat for the period June 26, 2020 to July 6,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</si>
  <si>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BID OPENING JULY 10, 2020 - 10:00AM AT LUMBANG, PILAR, SORSOGON</t>
  </si>
  <si>
    <t xml:space="preserve"> https://drive.google.com/file/d/1nyy4YyCGaNWHGEQ1KfHA96Le9P9uGDLU/view?usp=drivesdk</t>
  </si>
  <si>
    <t xml:space="preserve"> BID OPENING: JULY 17, 2020 AT 2:30 PM   BAC OFFICE, MUNICIPAL HALL, STA. MARCELA, APAYAO</t>
  </si>
  <si>
    <t xml:space="preserve"> Deadline of submission is on or before July 6,2020 @ 1:00pm</t>
  </si>
  <si>
    <t xml:space="preserve"> - other information may be discussed during pre-bid cnference.</t>
  </si>
  <si>
    <t xml:space="preserve"> BID DOCS PhP: 500.00</t>
  </si>
  <si>
    <t xml:space="preserve"> BID DOCS PhP 500.00</t>
  </si>
  <si>
    <t xml:space="preserve"> for documents</t>
  </si>
  <si>
    <t xml:space="preserve"> The Works consists of Provision of 65 rolls 63mmøx60m HDPE Pipe, sdr 17 (3900ln.m.) w/ 100ln.m. Cable Gi Wire, #8.</t>
  </si>
  <si>
    <t xml:space="preserve"> Please download the attached file</t>
  </si>
  <si>
    <t xml:space="preserve"> SUPPLIERS/ BIDDERS MUST DOWNLOAD THE ATTACHED DOCUMENT IN ASSOCIATED COMPONENT SECTION.</t>
  </si>
  <si>
    <t xml:space="preserve"> The Works consists of Concreting of 200.00m long x 3.0m wide x0.15m thick PCCP Plain.</t>
  </si>
  <si>
    <t xml:space="preserve"> Interested bidders may obtain further information from Bids and Awards Committee Secretariat and inspect the Bidding Documents at the address given below from 9:00am to 5:00pm.</t>
  </si>
  <si>
    <t xml:space="preserve"> https://tinyurl.com/yce8hcwy</t>
  </si>
  <si>
    <t xml:space="preserve"> The Works consists of Concreting of 509.5 m long x 6.10m wide x 0.20 thick PCCP Provincial Road, Provision of 14.00m (30.41 cu.m.) stone masonry headwall &amp; slope protection structure and laying of 10.00 l.m. 910mmø RCPC.</t>
  </si>
  <si>
    <t xml:space="preserve"> The Works consists of Construction of 8.0ln.m Rubble Masonry Protection Wall;, Construction of 176.0 ln.m. concrete ditch canal with column spaced at every 5.00m and concreting of 135.00m long x 2.50m wide x 0.15m thick PCCP FTMR.</t>
  </si>
  <si>
    <t xml:space="preserve"> Please use and submit the attached prescribed Request for Quotation Form (RFQ).</t>
  </si>
  <si>
    <t xml:space="preserve"> Section III. Bid Data Sheet</t>
  </si>
  <si>
    <t xml:space="preserve"> The Works consists of Concreting of 437.6 m long x 5.00m wide x 0.20 thick PCCP Provincial Road, and Provision of 22.00m stone masonry structure and headwall 14.00l.m. 910mmø RCPC.</t>
  </si>
  <si>
    <t xml:space="preserve"> Bid opening shall be on July 16, 2020 at 9:00 A.M. at the Municipal Hall, Poblacion, Santa Fe, Romblon</t>
  </si>
  <si>
    <t xml:space="preserve"> Reference: PR No: 20-06-004</t>
  </si>
  <si>
    <t xml:space="preserve"> Please use and submit the attached prescribed Request for Quotation form</t>
  </si>
  <si>
    <t xml:space="preserve"> Bid Opening shall be on July 16, 2020 at 9:00 A.M. at the Municipal Hall, Poblacion, Santa Fe, Romblon</t>
  </si>
  <si>
    <t xml:space="preserve"> Please see attached files @ Other Information</t>
  </si>
  <si>
    <t xml:space="preserve"> The Works consists of Concreting of 262.00m long x 2.50m wide x 0.15m thick PCCP FTMR.</t>
  </si>
  <si>
    <t xml:space="preserve"> Bid Opening shall be on July 16, 2020 at 9:00A.M. at the Municipal Hall, Poblacion, Santa Fe, Romblon</t>
  </si>
  <si>
    <t xml:space="preserve"> For copies of the bidding documents, scope of works and bill of quantities, kindly click the associated components.</t>
  </si>
  <si>
    <t xml:space="preserve"> https://drive.google.com/file/d/17G1_f_k4QO-i0Nj42w1i4vDnVodV2uNd/view?usp=drivesdk</t>
  </si>
  <si>
    <t xml:space="preserve"> The Works consists of Provision of 93.70l.m. stone masonry protection structure, 3.00l.m. stone masonry headwall &amp; 1.00 unit catch basin, 16.20l.m. rubble concrete shoulder, reblocking of one lane x 12.00m long PCCP and 2.00 l.m. 910mmø RCPC.</t>
  </si>
  <si>
    <t xml:space="preserve"> https://drive.google.com/file/d/1dboRQA-qgq6OZwNiIuDkwfdJ-eF1sEqa/view?usp=drivesdk</t>
  </si>
  <si>
    <t xml:space="preserve"> The Works consists of Concreting of 164.00m long x 6.10m wide x 0.20m thick Plain PCCP Provincial Road; Provision of 15.00 l.m. (6.09 cu.m.) stone masonry headwall and 13.65 cu.m. catch basin and 11.00 l.m. 910mmøRCPC.</t>
  </si>
  <si>
    <t xml:space="preserve"> For copies of the bidding documents and technical specifications, kindly click the associated components.</t>
  </si>
  <si>
    <t xml:space="preserve"> Transformer w/ Installation and Metering</t>
  </si>
  <si>
    <t xml:space="preserve"> Reference: PR No: 20-06-005</t>
  </si>
  <si>
    <t xml:space="preserve"> I.	Earthworks		</t>
  </si>
  <si>
    <t xml:space="preserve"> https://drive.google.com/file/d/1ZwhmrhJ-ngJ2XM8OAoYwhlUpSv9mxU4E/view?usp=drivesdk</t>
  </si>
  <si>
    <t xml:space="preserve"> Opening of bids shall be done 48 hours after the deadline of submission of bid or on July 6, 2020 (MONDAY), 2:00p.m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(Noted: July 5, 2020 falls on Sunday). </t>
  </si>
  <si>
    <t xml:space="preserve"> https://drive.google.com/file/d/1qhjrltBqvtk0qxwyP45q-iE45TgC3o_n/view?usp=drivesdk</t>
  </si>
  <si>
    <t xml:space="preserve"> PHILIPPINE BIDDING DOCUMENTS</t>
  </si>
  <si>
    <t xml:space="preserve"> ELIGIBILITY CHECK REQUIREMENTS FOR THE PROCUREMENT OF GOODS</t>
  </si>
  <si>
    <t xml:space="preserve"> BAC ACTIVITIES AND SCHEDULE</t>
  </si>
  <si>
    <t xml:space="preserve"> The schedule of key procurement activities for this Contract are shown below:</t>
  </si>
  <si>
    <t xml:space="preserve"> https://drive.google.com/file/d/1-IYuXsnJCWvLh80qwiROzl1LH0pMtCCQ/view?usp=drivesdk</t>
  </si>
  <si>
    <t xml:space="preserve"> https://drive.google.com/file/d/1O4Mh91Mq7hsK-PW9dMJYamMLQwd99CXB/view?usp=drivesdk</t>
  </si>
  <si>
    <t xml:space="preserve"> https://drive.google.com/file/d/1keFXkDqA9e6TMLOSdV13kYdoTbRNYGrG/view?usp=drivesdk</t>
  </si>
  <si>
    <t xml:space="preserve"> https://drive.google.com/file/d/1WR4iO01PGCk2ke8W7WE-Va5ROxj7Qru9/view?usp=drivesdk</t>
  </si>
  <si>
    <t xml:space="preserve"> https://drive.google.com/file/d/1wsk-XpitvKs93JC5tSFJlxbnUhOEdhiq/view?usp=drivesdk</t>
  </si>
  <si>
    <t xml:space="preserve"> https://drive.google.com/file/d/1-uxAM4zsMaY6gYqI3rZwdzNplg6VXWnA/view?usp=drivesdk</t>
  </si>
  <si>
    <t xml:space="preserve"> The Works consists of Concreting of 219.07 m long x 6.10m wide x 0.20m thick plain PCCP and provision of 56.2 l.m. l.m. stone masonry slope protection structure.</t>
  </si>
  <si>
    <t xml:space="preserve"> The Works consists of Concreting of 253.5 m long x 6.10m wide x 0.20 thick PCCP Provincial Road, and Provision of 214.00m (237.52 cu.m.) stone masonry structure and 5 pcs. – 610mmø RCPC.</t>
  </si>
  <si>
    <t xml:space="preserve"> OPENING OF BIDS IS ON JULY 16, 2020 (09:00 AM) AT THE CONFERENCE ROOM, ADMIN. BUILDING</t>
  </si>
  <si>
    <t xml:space="preserve"> https://drive.google.com/file/d/1mQBAqUyINj8zFOmurzgqRW28MtiMIDJC/view?usp=drivesdk</t>
  </si>
  <si>
    <t xml:space="preserve"> OPENING OF BIDS IS ON JULY 15, 2020 (09:00 AM) AT THE CONFERENCE ROOM, ADMIN. BUILDING</t>
  </si>
  <si>
    <t xml:space="preserve"> The Works consists of Construction of 7.0ln.m x 4m. wide Overflow Bridge with 5-ROW 24” ø RCPC, Rubble masonry Base &amp; Concrete Apron, Const. of Rubble Masonry wing wall and 8.0ln.m. x 4m wide x 0.15thk PCCP Plain.</t>
  </si>
  <si>
    <t xml:space="preserve"> 1	3200	liters	Diesel fuel</t>
  </si>
  <si>
    <t xml:space="preserve"> https://drive.google.com/file/d/1GyCxgP0AWALvRh_2_RdVA_yBBvi_g2fU/view?usp=drivesdk</t>
  </si>
  <si>
    <t xml:space="preserve"> Bids received in excess of the ABC shall be automatically rejected at the opening of the Financial Proposals.</t>
  </si>
  <si>
    <t xml:space="preserve"> Terms of Delivery: FOB for the following Delivery Hub/Location</t>
  </si>
  <si>
    <t xml:space="preserve"> Bid Documents are also downloadable in the DPWH Website</t>
  </si>
  <si>
    <t xml:space="preserve"> Terms of Delivery:b FOB Zamboanga City-WMSU</t>
  </si>
  <si>
    <t xml:space="preserve"> Mazda Bongo XTD</t>
  </si>
  <si>
    <t xml:space="preserve"> https://drive.google.com/file/d/1mnYOu4BfMeT5zdQb0AuBdvaDnsOmDfAK/view?usp=drivesdk</t>
  </si>
  <si>
    <t xml:space="preserve"> https://drive.google.com/file/d/1Jid32240KGlF_qNwjvoRqeOXHYcpBzjw/view?usp=drivesdk</t>
  </si>
  <si>
    <t xml:space="preserve"> https://drive.google.com/file/d/1V1ZFl6us22EzJfDm2FhI6gmfnlwA9vp8/view?usp=drivesdk</t>
  </si>
  <si>
    <t xml:space="preserve"> https://drive.google.com/file/d/1t9EJ6OTBWcwR1gp5LQJirKd-scNzHO2p/view?usp=drivesdk</t>
  </si>
  <si>
    <t xml:space="preserve"> https://drive.google.com/file/d/1y7aj_hNCdro8pIieY9shQy1ist8Za75Y/view?usp=drivesdk</t>
  </si>
  <si>
    <t xml:space="preserve"> https://drive.google.com/file/d/1W95gF6DqbGw-ZLTKIw43GfdOUa5L2p4h/view?usp=drivesdk</t>
  </si>
  <si>
    <t xml:space="preserve"> https://drive.google.com/file/d/15i3DiuhKEVHjs0pkM80ypze-pDqnIVps/view?usp=drivesdk</t>
  </si>
  <si>
    <t xml:space="preserve"> Please see attached Specifications</t>
  </si>
  <si>
    <t xml:space="preserve"> Pre-Bid Conference 2:00 P.M. July 01, 2020 DPWH Pampanga 2nd DEO BAC-Office</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</si>
  <si>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</si>
  <si>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Please download the document at the associated components.</t>
  </si>
  <si>
    <t xml:space="preserve"> please call To: 0998-247-0239  &amp;  0906-256-9238  for other details. .</t>
  </si>
  <si>
    <t xml:space="preserve"> NOTICE TO PROSPECTIVE BIDDERS</t>
  </si>
  <si>
    <t xml:space="preserve"> EMERGENCY TRANSPORT MOTOR VEHICLE</t>
  </si>
  <si>
    <t xml:space="preserve"> CONSTRUCTION OF WASH AREA AND FABRICATION OF ACRYLIC SNEEZE GUARDS	FOR THE PUPILS AND TEACHERS OF CHFES-MAIN</t>
  </si>
  <si>
    <t xml:space="preserve"> https://drive.google.com/file/d/1wryrsz7M4MR2due6Pz6mlvuYFzSU0aIa/view?usp=drivesdk</t>
  </si>
  <si>
    <t xml:space="preserve"> ENGR. LUKE C. CADOYAS</t>
  </si>
  <si>
    <t xml:space="preserve"> Specifications:</t>
  </si>
  <si>
    <t xml:space="preserve"> https://drive.google.com/file/d/17Ax7XN5ZFFzL9ONgbQCdZPyYEA5FcTS_/view?usp=drivesdk</t>
  </si>
  <si>
    <t xml:space="preserve"> https://drive.google.com/file/d/1lH9HQ_F6t5heE8ZjNaKIAfCqXkDZ54gz/view?usp=drivesdk</t>
  </si>
  <si>
    <t xml:space="preserve"> PLEASE SEE ASSOCIATED COMPONENTS FOR THE COMPLETE SET OF BIDDING DOCUMENTS</t>
  </si>
  <si>
    <t xml:space="preserve"> https://drive.google.com/file/d/1e6DXb35HM97E8BhE3hIbHZg7T1qnxfbe/view?usp=drivesdk</t>
  </si>
  <si>
    <t xml:space="preserve"> FOR COMPLETE LIST OF ITEMS PLEASE SEE ATTACHED REQUEST FOR QUOTATION</t>
  </si>
  <si>
    <t xml:space="preserve"> https://drive.google.com/file/d/1kD1qcnx3Y11vUw3kgem6YBq60-OAC-WI/view?usp=drivesdk</t>
  </si>
  <si>
    <t xml:space="preserve"> Bidders must download the attached document in the associated component section and can also be downloaded at www.ilocossur.gov.ph.</t>
  </si>
  <si>
    <t xml:space="preserve"> https://drive.google.com/file/d/1BwSSTulHH8CGtc_u-6hnBtCgqD7LU8DD/view?usp=drivesdk</t>
  </si>
  <si>
    <t xml:space="preserve"> Re-post</t>
  </si>
  <si>
    <t xml:space="preserve"> BID DOCUMENT SECTION 1-7 IS AVAILABLE</t>
  </si>
  <si>
    <t xml:space="preserve"> 7.	For further information, please refer to:</t>
  </si>
  <si>
    <t xml:space="preserve"> The BAC shall issue bidding documents upon payment of Five Hundred Pesos Only (Php 500.00)  to the disbursing/collecting officer of the LGU.</t>
  </si>
  <si>
    <t xml:space="preserve"> Item I	EARTHWORKS		</t>
  </si>
  <si>
    <t xml:space="preserve"> https://drive.google.com/file/d/1GxCurdWHFP5_Xt__QX3DiNfSDMU3YxPO/view?usp=drivesdk</t>
  </si>
  <si>
    <t xml:space="preserve"> For more information, you may contact the BAC Chairman or the BAC Secretary's contact number 09954552660.</t>
  </si>
  <si>
    <t xml:space="preserve"> NO</t>
  </si>
  <si>
    <t xml:space="preserve"> https://drive.google.com/file/d/1xLoqfeOnyaQGHpGKLDqTjAYNEcoYWOnU/view?usp=drivesdk PLAN 20CN0101 PART 1</t>
  </si>
  <si>
    <t xml:space="preserve"> https://drive.google.com/file/d/11Ndq6BJBL-_60i9PfAQygbZG_msDn524/view?usp=drivesdk</t>
  </si>
  <si>
    <t xml:space="preserve"> FOR INQUIRY PLEASE PROCEED TO BRGY. MAPULO</t>
  </si>
  <si>
    <t xml:space="preserve"> Deadline for submission of bids will be on JULY 07, 2020, 10:00 A.M. at the Supply Office, Town Hall, Poblacion, Kibungan, Benguet.</t>
  </si>
  <si>
    <t xml:space="preserve"> Pls. see Municipal Engineer"s Office for details.</t>
  </si>
  <si>
    <t xml:space="preserve"> https://drive.google.com/file/d/1IZkKaTErVXW_llnsHula0Lk7XFhd5700/view?usp=drivesdk PLAN 20CN0153 PART 1</t>
  </si>
  <si>
    <t xml:space="preserve"> Deadline for submission of bids will be on JULY 14, 2020, 10:00 A.M. at the Supply Office, Town Hall, Poblacion, Kibungan, Benguet.</t>
  </si>
  <si>
    <t xml:space="preserve"> https://drive.google.com/file/d/1hhdw1mVorjiccaWOhfssegxPMBSITzVP/view?usp=drivesdk</t>
  </si>
  <si>
    <t xml:space="preserve"> https://drive.google.com/file/d/1qeGQ9vzCunB-s9WskI0z8W6Yc94DMUbD/view?usp=drivesdk PLAN 20CN0154 PART 1</t>
  </si>
  <si>
    <t xml:space="preserve"> 1.	All items must be delivered on site (Bohol Island State University- Calape Campus, Calape, Bohol).</t>
  </si>
  <si>
    <t xml:space="preserve"> please click this link to download bidding documents</t>
  </si>
  <si>
    <t xml:space="preserve"> https://drive.google.com/file/d/1eC0r0t4WF5os-HhdVo4CuufGg2CPev_S/view?usp=drivesdk</t>
  </si>
  <si>
    <t xml:space="preserve"> The complete schedule of activities is listed, as follows:</t>
  </si>
  <si>
    <t xml:space="preserve"> NOTICE TO PROSPECTIVE BIDDER</t>
  </si>
  <si>
    <t xml:space="preserve"> please click this link to download bidding documents </t>
  </si>
  <si>
    <t xml:space="preserve"> 902	Reinforcing Steel 				16.88%	pc/s </t>
  </si>
  <si>
    <t xml:space="preserve"> Bid Opening</t>
  </si>
  <si>
    <t xml:space="preserve"> contact BAC Secretariat for specs &amp; requirements</t>
  </si>
  <si>
    <t xml:space="preserve"> contact school BAC and school Head</t>
  </si>
  <si>
    <t xml:space="preserve"> ELIGIBILITY CHECK REQUIREMENTS FOR THE PROCUREMENT OF INFRASTRUCTURE PROJECT</t>
  </si>
  <si>
    <t xml:space="preserve"> 1.		Amlodipine 10 mg Tablet	60,000	Tablets	44,400.00	</t>
  </si>
  <si>
    <t xml:space="preserve"> Bidding Documents may be secured from the BAC Secretariat, Office of the Municipal Treasurer – Supply Section upon payment to the MTO Cashier of a non-refundable amount of ₱ 5,000.00. </t>
  </si>
  <si>
    <t xml:space="preserve"> https://drive.google.com/file/d/1NGgSBjYSAjVjHvGXnQV-OQkT7iCNLajk/view?usp=drivesdk</t>
  </si>
  <si>
    <t xml:space="preserve"> NOTE: ALL DOCUMENTS LISTED IN THE CHECKLIST SHOULD BE SUBMITTED REGARDLESS IF APPLICABLE OR NOT APPLICABLE.</t>
  </si>
  <si>
    <t xml:space="preserve"> 1.	NAAT – LAMP Reagents and Consumables	37	Packages	2,035,000.00	Within 30 Calendar Days from receipt of the NTP	DOH – WV CHD</t>
  </si>
  <si>
    <t xml:space="preserve"> https://drive.google.com/file/d/12t0RccWPft6PPezw305z4yWToICCCDSi/view?usp=drivesdk</t>
  </si>
  <si>
    <t xml:space="preserve"> https://drive.google.com/file/d/1kpFv84I6SX3Z4y5zXDnTWJmGgd5-rmBb/view?usp=drivesdk</t>
  </si>
  <si>
    <t xml:space="preserve"> https://drive.google.com/file/d/1utsLwDAM7fY6Wo2KJ3kb9AuAEHEHaFAO/view?usp=drivesdk</t>
  </si>
  <si>
    <t xml:space="preserve"> Kindly download the attached bidding documents for the requirements and technical specifications.</t>
  </si>
  <si>
    <t xml:space="preserve"> Bid Docs Fee P/5,000.00</t>
  </si>
  <si>
    <t xml:space="preserve"> The BAC shall issue bidding documents upon payment of Five Thousand Pesos Only (Php5,000.00) to the disbursing/collecting officer of the LGU.</t>
  </si>
  <si>
    <t xml:space="preserve"> Schedule of Bidding Activities: </t>
  </si>
  <si>
    <t xml:space="preserve"> https://drive.google.com/file/d/1fuoLjFBwrV8_xOBwJew0SJOzxYJ6x7Mj/view?usp=drivesdk</t>
  </si>
  <si>
    <t xml:space="preserve"> https://drive.google.com/file/d/14splrRYzgMoIwoPKEvfkvSxQnSdBSNDX/view?usp=drivesd</t>
  </si>
  <si>
    <t xml:space="preserve"> Item No.	Description	Qty	Unit	ABC	Delivered	Delivery Site</t>
  </si>
  <si>
    <t xml:space="preserve"> https://drive.google.com/file/d/1GIrH9MjU6PwBfOl2QTU6167fxrqg9CUT/view?usp=drivesdk</t>
  </si>
  <si>
    <t xml:space="preserve"> PLEASE SEE ATTACHED INVITATION TO BID.</t>
  </si>
  <si>
    <t xml:space="preserve"> All items must be delivered at Bohol Island State University- Calape Campus, Calape, Bohol</t>
  </si>
  <si>
    <t xml:space="preserve"> https://drive.google.com/file/d/175gXfkJnVPr3tW2jV3ujGV_tfN_K14WV/view?usp=drivesdk</t>
  </si>
  <si>
    <t xml:space="preserve"> For complete set/copy of Bidding Documents, please visit the BSP Website. Complete set of documents were not uploaded to this website due to file size restriction.</t>
  </si>
  <si>
    <t xml:space="preserve"> https://drive.google.com/file/d/12WCBbtkIkSYNYgSvCmliGAf29R_LC-Ay/view?usp=drivesdk</t>
  </si>
  <si>
    <t xml:space="preserve"> BAC Schedule of Activities</t>
  </si>
  <si>
    <t xml:space="preserve"> Downloadables are available in the Associated Component / Supplemental Page</t>
  </si>
  <si>
    <t xml:space="preserve"> 2	unit	Brand New Dump Truck</t>
  </si>
  <si>
    <t xml:space="preserve"> SB - 7 UNITS LAPTOP</t>
  </si>
  <si>
    <t xml:space="preserve"> https://drive.google.com/file/d/1fG0ROx1KVNsqWyIV-6qUVVgIblsYVbib/view?usp=drivesdk</t>
  </si>
  <si>
    <t xml:space="preserve"> Kindly download the attached documents for the requirements and technical specifications.</t>
  </si>
  <si>
    <t xml:space="preserve"> Bid Documents must be secured from the BAC Secretariat, Leyte SMED Center, Provincial Capitol Grounds, Tacloban City</t>
  </si>
  <si>
    <t xml:space="preserve"> Please download canvass (RFQ) form/TOR, completely fill-out and submit either through any  of the following:</t>
  </si>
  <si>
    <t xml:space="preserve"> https://drive.google.com/file/d/1C2RhrfeugkB5KkKNX9BXbtJ0bUeJwLav/view?usp=drivesdk</t>
  </si>
  <si>
    <t xml:space="preserve"> Only the Project Manager will attend the Pre - Bid Conference.</t>
  </si>
  <si>
    <t xml:space="preserve"> https://drive.google.com/file/d/1M7GoUxWpNH-Hc2UL68DuRY9b7Ub4u2uw/view?usp=drivesdk</t>
  </si>
  <si>
    <t xml:space="preserve"> https://drive.google.com/file/d/1iZNXbvZKvaF5heoIm9hgpn36euddknuE/view?usp=drivesdk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</si>
  <si>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</si>
  <si>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https://drive.google.com/file/d/1gk1jsn947aWVinpuOKAataMYuThL2Pdu/view?usp=drivesdk</t>
  </si>
  <si>
    <t xml:space="preserve"> PLEASE SEE READ AND AGREE TO THE ATTACHED TERMS OF REFERENCES.</t>
  </si>
  <si>
    <t xml:space="preserve"> https://drive.google.com/file/d/1FgxFXO2fKac2rDZlz4ST5QLROrrtvwqk/view?usp=drivesdk</t>
  </si>
  <si>
    <t xml:space="preserve"> Also available at DPWH website</t>
  </si>
  <si>
    <t xml:space="preserve"> BID DOCUMENT IS AVAILABLE ATE ENGINEERING OFFICE , BAC SECRETARIAT.</t>
  </si>
  <si>
    <t xml:space="preserve"> A complete set of bidding document may be purchased by interested bidders on June 24, 2020 to July 13, 2020 from the address below upon payment of a non-refundable fee for the bidding documents in the amount of P500.00</t>
  </si>
  <si>
    <t xml:space="preserve"> https://drive.google.com/file/d/1h13dJ3YLNR4dO1Z_N0AJiqenSSfwS1-j/view?usp=drivesdk</t>
  </si>
  <si>
    <t xml:space="preserve"> INQUIRE AT BAC OFFICE, MUNICIPAL HALL, TAMBULIG, ZAMBOANGA DEL SUR</t>
  </si>
  <si>
    <t xml:space="preserve"> https://drive.google.com/file/d/1ImxXzPDs1Oy7eNvrzlg5lFb65TvlZvui/view?usp=drivesdk</t>
  </si>
  <si>
    <t xml:space="preserve"> Bidding Documents are available to prospective bidders who purchase the bidding documents at the office of the Municipal Treasurer office of the Local Government Unit of magpet.</t>
  </si>
  <si>
    <t xml:space="preserve"> https://drive.google.com/file/d/1k-lANZ_TdLNe4vslV8fLoPUEMrp0Psvm/view?usp=drivesdk</t>
  </si>
  <si>
    <t xml:space="preserve"> RFQ - Available @ Lungsodaan Brgy.  Hall</t>
  </si>
  <si>
    <t xml:space="preserve"> GEO-TAGGING INFORMATION</t>
  </si>
  <si>
    <t xml:space="preserve"> https://drive.google.com/file/d/19lp6w8j2QJTlPUZOOCLQEsAt296DPd_R/view?usp=drivesdk</t>
  </si>
  <si>
    <t xml:space="preserve"> General requirements - 1 lot</t>
  </si>
  <si>
    <t xml:space="preserve"> June 24, 2020 to July 13, 2020</t>
  </si>
  <si>
    <t xml:space="preserve"> https://drive.google.com/file/d/1rWvummZrOVami-x2dlQkxrmQaLVERnBU/view?usp=drivesdk</t>
  </si>
  <si>
    <t xml:space="preserve"> https://drive.google.com/file/d/1ADWCCOsllwidSECrNwV2ifJO6aGwP_op/view?usp=drivesdk</t>
  </si>
  <si>
    <t xml:space="preserve"> https://drive.google.com/file/d/1njlDjaXrTd7IRk8VoG-tThAF3eJcG_s4/view?usp=drivesdk</t>
  </si>
  <si>
    <t xml:space="preserve"> Bidding date July 9,2020 @ 10:00am at HRMO Office</t>
  </si>
  <si>
    <t xml:space="preserve"> https://drive.google.com/file/d/1VVKXHVDODXRw3ObMhGIvJkwQDfBFO0i4/view?usp=drivesdk</t>
  </si>
  <si>
    <t xml:space="preserve"> https://drive.google.com/file/d/1kfijS5JprkC8ih6vNf-F5wN29UJJQExd/view?usp=drivesdk</t>
  </si>
  <si>
    <t xml:space="preserve"> https://drive.google.com/file/d/1BLzW9kq3CQC1wOpc5Jbqpbj_6g7PQyFB/view?usp=drivesdk PLAN 20CN0073</t>
  </si>
  <si>
    <t xml:space="preserve"> 1.    26  units Duplicating Machine </t>
  </si>
  <si>
    <t xml:space="preserve"> 1. Must provide a Free 3 Years LTO Registration</t>
  </si>
  <si>
    <t xml:space="preserve"> https://drive.google.com/file/d/1NceBnVCJsGEz3-vPWoT9_9LMAwI4QArf/view?usp=drivesdk</t>
  </si>
  <si>
    <t xml:space="preserve"> https://drive.google.com/file/d/1A1twUukyNq00Aj8vg_dFrswrop264mw7/view?usp=drivesdk</t>
  </si>
  <si>
    <t xml:space="preserve"> The complete schedule of BAC activities is listed as follows:</t>
  </si>
  <si>
    <t xml:space="preserve"> Health and Accident Insurance (BPATs)</t>
  </si>
  <si>
    <t xml:space="preserve"> 1.	All interested bidders/suppliers may now submit Eligibility Documents and other documents.</t>
  </si>
  <si>
    <t xml:space="preserve"> https://drive.google.com/file/d/1wWEoxOGxH5xBWezKVSrW2O8EF9fX91Rw/view?usp=drivesdk</t>
  </si>
  <si>
    <t xml:space="preserve"> I.	DEMOLITION WORKS	1	LOT</t>
  </si>
  <si>
    <t xml:space="preserve"> https://drive.google.com/file/d/1DEMe5Cci6h6wFnQ7hYDyTOQ2_-yzBPu3/view?usp=drivesdk</t>
  </si>
  <si>
    <t xml:space="preserve"> Deadline of Submission of Bidding Documents JULY 16, 2020 10:00AM</t>
  </si>
  <si>
    <t xml:space="preserve"> https://drive.google.com/file/d/1xWpasuCw5Ijgj4DnhBjS6o5hcC9kEyzq/view?usp=drivesdk</t>
  </si>
  <si>
    <t xml:space="preserve"> PLEASE SEE ATTACHED INVITATION TO BID AND TECHNICAL SPECIFICATIONS.</t>
  </si>
  <si>
    <t xml:space="preserve"> https://drive.google.com/file/d/182Gs21Kbgh_2LCR9SetxnIk47OlqQ3ZI/view?usp=drivesdk</t>
  </si>
  <si>
    <t xml:space="preserve"> Please download ITB &amp; Biddocs in the Associated Components for reference.</t>
  </si>
  <si>
    <t xml:space="preserve"> CONTACT: MRS. RHODORA A. SEGARANG AT ENGINEERING OFFICE</t>
  </si>
  <si>
    <t xml:space="preserve"> JULLIAN KYLE GONZAGA SAN MATEO</t>
  </si>
  <si>
    <t xml:space="preserve"> BAC  Schedule of Activities		</t>
  </si>
  <si>
    <t xml:space="preserve"> https://drive.google.com/file/d/15UjV0kLCLW6PEUUbYGdRX6ksFIgN_rfr/view?usp=drivesdk</t>
  </si>
  <si>
    <t xml:space="preserve"> BAC Activities	Schedule	</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</si>
  <si>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</si>
  <si>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https://drive.google.com/file/d/14u_s5cdjsT-0oFeOw-o-afkLUEOL73Cv/view?usp=drivesdk</t>
  </si>
  <si>
    <t xml:space="preserve"> associated components</t>
  </si>
  <si>
    <t xml:space="preserve"> Very Important Instruction:</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</si>
  <si>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</si>
  <si>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1. Procurement is done by Lot.</t>
  </si>
  <si>
    <t xml:space="preserve"> Please see attached Bidding Documents for more details</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</si>
  <si>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</si>
  <si>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LINKS to download the Terms of Reference</t>
  </si>
  <si>
    <t xml:space="preserve"> For Particulars: Inquire at BAC Secretariat of Barangay Zone IV Poblacion, Atimonan, Quezon</t>
  </si>
  <si>
    <t xml:space="preserve"> Upon Purchase of Bidding Documents, please submit the following documents: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</si>
  <si>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</si>
  <si>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https://drive.google.com/file/d/18gdKDTCFnfb44H_RYV_RE_OqQXnhYVb9/view?usp=drivesdk</t>
  </si>
  <si>
    <t xml:space="preserve"> https://drive.google.com/file/d/1zrp1afFeuG68utHQzMRQmEEQZrzOhTvP/view?usp=drivesdk</t>
  </si>
  <si>
    <t xml:space="preserve"> please see attached documents</t>
  </si>
  <si>
    <t xml:space="preserve"> Please see bidding documents for details</t>
  </si>
  <si>
    <t xml:space="preserve"> Kindly download the attached bidding documents for details of requirements and specifications.</t>
  </si>
  <si>
    <t xml:space="preserve"> To be assigned at Maritime Industry Authority, Regional Office No. V located at Regional Center Site, Rawis, Legazpi City</t>
  </si>
  <si>
    <t xml:space="preserve"> Double Cab Truck w/ Customized Casket Compartment</t>
  </si>
  <si>
    <t xml:space="preserve"> Kindly download the attached bidding documents for the requirements and specifications.</t>
  </si>
  <si>
    <t xml:space="preserve"> BLUE GUARD SECURITY</t>
  </si>
  <si>
    <t xml:space="preserve"> Service Vehicle (Pick up)</t>
  </si>
  <si>
    <t xml:space="preserve"> A complete set of Bidding Documents may be acquired by interested June 22, 2020 to July 10, 2020 from the address below.</t>
  </si>
  <si>
    <t xml:space="preserve"> BILL OF MATERIALS</t>
  </si>
  <si>
    <t xml:space="preserve"> 1.)	65	boxes	Syringe w/ Needle 5ml Disposable G.23x1”x100’s (sterile, packed individually, non-toxic, non-pyrogenic) air tight plunger</t>
  </si>
  <si>
    <t xml:space="preserve"> 2 Units Floor Mounted Aircon 4.0 HP</t>
  </si>
  <si>
    <t xml:space="preserve"> FOR INQUIRY PLEASE PROCEED TO BAC OFFICE</t>
  </si>
  <si>
    <t xml:space="preserve"> Buyer: K.C. Lacatan</t>
  </si>
  <si>
    <t xml:space="preserve"> PLEASE SEE ASSOCIATED COMPONENTS</t>
  </si>
  <si>
    <t xml:space="preserve"> PLEASE SEE BAC SECRETARIAT</t>
  </si>
  <si>
    <t xml:space="preserve"> All interested bidders shall pay 5,000 for the bid docs</t>
  </si>
  <si>
    <t xml:space="preserve"> Prospective bidders should have experience in undertaking a similar project within the last (2) two years with an 				</t>
  </si>
  <si>
    <t xml:space="preserve"> Bid Opening: July 13, 2020 @ 09:00 a.m. at BAC Office, Dap-ay di Tubo, Poblacion, Tubo, Abra</t>
  </si>
  <si>
    <t xml:space="preserve"> Deadline of Submission of Bid Documents JULY 16 2020 10:00AM</t>
  </si>
  <si>
    <t xml:space="preserve"> sEE aSSOCIATED COMPONENTS</t>
  </si>
  <si>
    <t xml:space="preserve"> for Documents</t>
  </si>
  <si>
    <t xml:space="preserve"> https://drive.google.com/file/d/1aewgzS7m_BpJ_0tU22M6zehXwKf-AJIH/view?usp=drivesdk</t>
  </si>
  <si>
    <t xml:space="preserve"> Pls contact Bac Secretariat at 09750779875</t>
  </si>
  <si>
    <t xml:space="preserve"> https://drive.google.com/file/d/11_UCrb3yyW5N-__uGVfTNhbHmHtcuFOm/view?usp=drivesdk</t>
  </si>
  <si>
    <t xml:space="preserve"> 88	pax	Venue Rental</t>
  </si>
  <si>
    <t xml:space="preserve"> Please see attached Program of Work</t>
  </si>
  <si>
    <t xml:space="preserve"> Procurement is done by Lot.</t>
  </si>
  <si>
    <t xml:space="preserve"> https://drive.google.com/file/d/1T9hNS9BkMy9uw5-8jE3jmnKkLHR5G4P8/view?usp=drivesdk</t>
  </si>
  <si>
    <t xml:space="preserve"> https://drive.google.com/file/d/1TaEhUv6c4G5uao3Q6_TOF8_9F7CPs8pa/view?usp=drivesdk</t>
  </si>
  <si>
    <t xml:space="preserve"> Please download bid documents at:</t>
  </si>
  <si>
    <t xml:space="preserve"> 1. Pre-bid Conference - July 2, 2020 @ 10:00AM at ASSCAT Conference Room</t>
  </si>
  <si>
    <t xml:space="preserve"> ADDITIONAL INSTRUCTION TO BIDDERS:</t>
  </si>
  <si>
    <t xml:space="preserve"> For the additional requirements (Eligibility, Technical and Financial list of required documents) you may send an email to pgss.embregion3@gmail.com</t>
  </si>
  <si>
    <t xml:space="preserve"> 1.  Issuance of Bid Documents	June 23, 2020</t>
  </si>
  <si>
    <t xml:space="preserve"> https://drive.google.com/file/d/1k7bfe1ezGdY0c74rbuplkpkPBKAXvmvr/view?usp=drivesdk</t>
  </si>
  <si>
    <t xml:space="preserve"> https://drive.google.com/file/d/11EKfoINESiUX9FSb48IUsXIvlrNGVPQa/view?usp=drivesdk</t>
  </si>
  <si>
    <t xml:space="preserve"> https://drive.google.com/file/d/1zmjJdPl3pRQds6gVBRrKihX6IxV61HoS/view?usp=drivesdk</t>
  </si>
  <si>
    <t xml:space="preserve"> https://drive.google.com/file/d/1iqy7hJY-Pl-PXMHh_-89lBekOlUW8ikN/view?usp=drivesdk</t>
  </si>
  <si>
    <t xml:space="preserve"> Please see attached bidding documents for details.</t>
  </si>
  <si>
    <t xml:space="preserve"> Only Authorized personnel are allowed to purchase bidding documents. Please bring authorization letter from the company/contractor/supplier, valid ID or company ID</t>
  </si>
  <si>
    <t xml:space="preserve"> For Inquiries Please contact Ms. Anabel Alis Basas BAC Secretariat @09500981535</t>
  </si>
  <si>
    <t xml:space="preserve"> Prospective bidders are encouraged to attend the prebid conference as scheduled.</t>
  </si>
  <si>
    <t xml:space="preserve"> 2019-LGSF-AM</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</si>
  <si>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</si>
  <si>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https://drive.google.com/file/d/1sjQcZX4Wa9Hw9DRH8cgMpLpaO4JQWWyZ/view?usp=drivesdk</t>
  </si>
  <si>
    <t xml:space="preserve"> Issuance of bid documents - June 22, 2020- July 14, 2020</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</si>
  <si>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</si>
  <si>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</si>
  <si>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https://drive.google.com/file/d/1e8CLQyIyyKO-cT_fLi6gEQ2FPvt-QFmn/view?usp=drivesdk</t>
  </si>
  <si>
    <t xml:space="preserve"> Plans:</t>
  </si>
  <si>
    <t xml:space="preserve"> 1. Please Download ITB and bidding documents in the associated component</t>
  </si>
  <si>
    <t xml:space="preserve"> https://drive.google.com/file/d/1g1EltkLI4xpC6vl2UIczibrpA6XuWU8G/view?usp=drivesdk</t>
  </si>
  <si>
    <t xml:space="preserve"> Lot A 	3,115,922.75		</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</si>
  <si>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</si>
  <si>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Bidder / Supplier must download the attached documents in Associated Components.</t>
  </si>
  <si>
    <t xml:space="preserve"> For more information, please contact barangay treasurer - 09432418991</t>
  </si>
  <si>
    <t xml:space="preserve"> PLEASE SUBMIT YOUR LETTER ON INTENT ON OR BEFORE THE PRE-BID CONFERENCE AT THE BRK OFFICE.</t>
  </si>
  <si>
    <t xml:space="preserve"> PLEASE SEE SIMILAR INFORMATION POSTED AT THE WEBSITE OF THE PROCURING ENTITY</t>
  </si>
  <si>
    <t xml:space="preserve"> Bid opening on July 15, 2020 at 9:00A.M at the Municipal Hall.</t>
  </si>
  <si>
    <t xml:space="preserve"> It may also be downloaded free of charge from the website of the Bangko Sentral ng Pilipinas (www.bsp.gov.ph) provided that bidders shall pay the applicable fee for the Bidding Documents not later than the submission of their bids.</t>
  </si>
  <si>
    <t xml:space="preserve"> For UOM of Lots 4 to 9:</t>
  </si>
  <si>
    <t xml:space="preserve"> PROCUREMENT ACTIVITIES	DATE	TIME (BFAR8 2nd floor Biometric Clock)	VENUE</t>
  </si>
  <si>
    <t xml:space="preserve"> Please copy the LINK below for the PLAN</t>
  </si>
  <si>
    <t xml:space="preserve"> invitation to bid</t>
  </si>
  <si>
    <t xml:space="preserve"> The schedule of key procurement activities for this Contract is shown below:  </t>
  </si>
  <si>
    <t xml:space="preserve"> Cost of Bid Docs: Php 5,000.00</t>
  </si>
  <si>
    <t xml:space="preserve"> bidders/supplier must download the attached file in the associated section.</t>
  </si>
  <si>
    <t xml:space="preserve"> Procurement of Office Supplies for Barangay Magallanes use :</t>
  </si>
  <si>
    <t xml:space="preserve"> ITB20-06-027A</t>
  </si>
  <si>
    <t xml:space="preserve"> ITB20-06-027C</t>
  </si>
  <si>
    <t xml:space="preserve"> Issuance of Bid Documents  : 8:00AM - 5:00PM June 20, 2020 to 8:00AM - 10:00AM, July 14, 2020</t>
  </si>
  <si>
    <t xml:space="preserve"> ITB20-06-027B</t>
  </si>
  <si>
    <t xml:space="preserve"> Pre-bid Conference is on 01 July 2020 12:00PM Katapatan Conference Room (Boardroom), 4th Floor, DSWD Central Office, IBP Road, Constitution Hills, Quezon City</t>
  </si>
  <si>
    <t xml:space="preserve"> ITB20-06-027D</t>
  </si>
  <si>
    <t xml:space="preserve"> Pre-Bid Conference will be held at the BAC Office, DPWH Masbate 1st District Engineering Office, San Fernando, Masbate on June 30, 2020 at 10:00 a.m.</t>
  </si>
  <si>
    <t xml:space="preserve"> Please see attached Part I of the Bidding Documents</t>
  </si>
  <si>
    <t xml:space="preserve"> Also available at the DPWH Website</t>
  </si>
  <si>
    <t xml:space="preserve"> To View the Bidding Document Please Click</t>
  </si>
  <si>
    <t xml:space="preserve"> - kindly submit the basic documents, as such (1) DTI/SEC/CDA Registration; (2) Tax Clearance; (3) PhilGeps Registration; and (4) Mayor's Permit</t>
  </si>
  <si>
    <t xml:space="preserve"> - kindly submit the 4 basic documents as such: (1) DTI, SEC, CDA Registration; (2) Tax Clearance; (3) Philgeps Registration; and (4) Mayor's Permit with bid proposal</t>
  </si>
  <si>
    <t xml:space="preserve"> to view the bidding documents click: https://drive.google.com/file/d/1w18odiMeWWvy7umz_0ndFUjLrsu9WsDN/view?usp=drivesdk</t>
  </si>
  <si>
    <t xml:space="preserve"> https://drive.google.com/file/d/1wJVT4G7yWGZFl5iUNHBhypmMMO_0jq_g/view?usp=drivesdk</t>
  </si>
  <si>
    <t xml:space="preserve"> to view the bidding document please click</t>
  </si>
  <si>
    <t xml:space="preserve"> To view the bidding document, please click https://drive.google.com/file/d/1fNJxMdJsSxRdXdz8U2bWL_JG4CHEhqVg/view?usp=drivesdk</t>
  </si>
  <si>
    <t xml:space="preserve"> https://drive.google.com/file/d/1uQqXD516dNKnvDd6UWB5LkvygVnoGM3K/view?usp=drivesdk</t>
  </si>
  <si>
    <t xml:space="preserve"> To view the bidding document, please click https://drive.google.com/file/d/1jkO_l-ddDaGVjvKY7uCOw9w4vlc04RTs/view?usp=drivesdk</t>
  </si>
  <si>
    <t xml:space="preserve"> 2nd Publication</t>
  </si>
  <si>
    <t xml:space="preserve"> The ERC now invites suppliers to submit their best offer or quotation</t>
  </si>
  <si>
    <t xml:space="preserve"> BIDDERS MUST DOWNLOAD THE ATTACHED DOCUMENT IN THE ASSOCIATED COMPONENT SECTION.</t>
  </si>
  <si>
    <t xml:space="preserve"> To view the Bid Docs Click: </t>
  </si>
  <si>
    <t xml:space="preserve"> 1 unit	Hanging Cabinet</t>
  </si>
  <si>
    <t xml:space="preserve"> MTO:</t>
  </si>
  <si>
    <t xml:space="preserve"> 7. https://drive.google.com/file/d/19Pqc9hBi10E2A9rx8v2zQDb6fcV20xZN/view?usp=drivesdk</t>
  </si>
  <si>
    <t xml:space="preserve"> 6. https://drive.google.com/file/d/13ISk4cm87N-gW_QwvP1dS3AWj0FQ2boN/view?usp=drivesdk</t>
  </si>
  <si>
    <t xml:space="preserve"> 5. https://drive.google.com/file/d/1AZ3I3xwvpydi48yZEpmd24xiEvDXVx69/view?usp=drivesdk</t>
  </si>
  <si>
    <t xml:space="preserve"> to view the bidding documents;https://drive.google.com/file/d/1SWOd9A2dVxC75dCkWxtdDtaVFfpGp-SX/view?usp=drivesdk</t>
  </si>
  <si>
    <t xml:space="preserve"> 4. https://drive.google.com/file/d/1QvTYXPAnIMcgu61iz8h4Yo2NAtXD04Gj/view?usp=drivesdk</t>
  </si>
  <si>
    <t xml:space="preserve"> 3. https://drive.google.com/file/d/1sH0MJGvJzGWCuaKj_TH7ROGOsvGRHu0v/view?usp=drivesdk</t>
  </si>
  <si>
    <t xml:space="preserve"> https://drive.google.com/file/d/1pBqou3gob9Y36d4KbKTcO5A7SWTevPTM/view?usp=drivesdk</t>
  </si>
  <si>
    <t xml:space="preserve"> 15. https://drive.google.com/file/d/1RoOk8GzttOXbuvehYn_FYJaGdyOiA7rw/view?usp=drivesdk</t>
  </si>
  <si>
    <t xml:space="preserve"> to view the bidding documents;https://drive.google.com/file/d/1FG5-KnZ4qKhgUyMSbxwU22Umr9_euwMy/view?usp=drivesdk</t>
  </si>
  <si>
    <t xml:space="preserve"> 14. https://drive.google.com/file/d/1H8QpXmEvfUxRUiu_F__JomOtFGWzN_rI/view?usp=drivesdk</t>
  </si>
  <si>
    <t xml:space="preserve"> 16. https://drive.google.com/file/d/1wSFZDfWu2jaQePzJ3_oaLHGMhk5Hv8aO/view?usp=drivesdk</t>
  </si>
  <si>
    <t xml:space="preserve"> 13. https://drive.google.com/file/d/1vR9XN4ymdCD3X63gRfSkiZOkPPWPJgHx/view?usp=drivesdk</t>
  </si>
  <si>
    <t xml:space="preserve"> to view the bidding documents;https://drive.google.com/file/d/1NpOGGmLElD0yQJP2gNJ1L5rRGq0zauPu/view?usp=drivesdk</t>
  </si>
  <si>
    <t xml:space="preserve"> 27. https://drive.google.com/file/d/103f9_gphXSOV62ETU_vgrmwXC_ZWjEXs/view?usp=drivesdk</t>
  </si>
  <si>
    <t xml:space="preserve"> Bidders must download the attached documents associated in the component section.</t>
  </si>
  <si>
    <t xml:space="preserve"> 26. https://drive.google.com/file/d/1Em876bz8t6q2NZ3CgavxqN5TXB2VkC6G/view?usp=drivesdk</t>
  </si>
  <si>
    <t xml:space="preserve"> 23. https://drive.google.com/file/d/1e9fm3VQUtKu6VMkS9VqLzdbfJTVJyRhS/view?usp=drivesdk</t>
  </si>
  <si>
    <t xml:space="preserve"> 21. https://drive.google.com/file/d/1oZZRv2k5qxVy8A2Ml9ggqWsipET4j5nw/view?usp=drivesdk</t>
  </si>
  <si>
    <t xml:space="preserve"> 28. https://drive.google.com/file/d/1zbx_-T51ntcXh_zgz_QUYquMbF-ET06o/view?usp=drivesdk</t>
  </si>
  <si>
    <t xml:space="preserve"> 25. https://drive.google.com/file/d/1VenIsOBbysq38uejNA7jd5WieVYfjbaT/view?usp=drivesdk</t>
  </si>
  <si>
    <t xml:space="preserve"> 22. https://drive.google.com/file/d/1R0kN0yJy9hrAZPzkgbyONhENiYdQbbYL/view?usp=drivesdk</t>
  </si>
  <si>
    <t xml:space="preserve"> The BAC is conducting the public bidding for this Contract in accordance with Republic Act NO. 9184 and its implementing Rules and Regulations (IRR).</t>
  </si>
  <si>
    <t xml:space="preserve"> To View the bidding Document Please Click</t>
  </si>
  <si>
    <t xml:space="preserve"> 32. https://drive.google.com/file/d/1YZeSY2QmQ26gvjZ_3VM4Wsp52_cjAkPz/view?usp=drivesdk</t>
  </si>
  <si>
    <t xml:space="preserve"> 31. https://drive.google.com/file/d/1mxaJ8S-SirvgCMV3QKkAMBlQTnfaejEW/view?usp=drivesdk</t>
  </si>
  <si>
    <t xml:space="preserve"> 36. https://drive.google.com/file/d/1YVHC2JLzkpHy1TndhyqOEBVF2KMYcsHZ/view?usp=drivesdk</t>
  </si>
  <si>
    <t xml:space="preserve"> 35. https://drive.google.com/file/d/10Bs61ZYnoxw_k5IcjG3tG5PGmkOgdbS-/view?usp=drivesdk</t>
  </si>
  <si>
    <t xml:space="preserve"> https://drive.google.com/file/d/1GBnCKlFUU7WJFmurh7jhovYgTzJRsK3o/view?usp=drivesdk</t>
  </si>
  <si>
    <t xml:space="preserve"> 20. https://drive.google.com/file/d/1bP7N-O9p6A8aRRYFxmaLLwACQ3_DC6ly/view?usp=drivesdk</t>
  </si>
  <si>
    <t xml:space="preserve"> 33. https://drive.google.com/file/d/1nBqg_TBjL9zy4N1bBPHgZeNxq6pgy7KG/view?usp=drivesdk</t>
  </si>
  <si>
    <t xml:space="preserve"> 43. https://drive.google.com/file/d/10BCfuDjHLObebu2Dc_kRio-kdw51_kGC/view?usp=drivesdk</t>
  </si>
  <si>
    <t xml:space="preserve"> INSTRUCTION:</t>
  </si>
  <si>
    <t xml:space="preserve"> 34. https://drive.google.com/file/d/1Ebl4qYNeWRV0NN1Sft_ykifNDE9DnhI4/view?usp=drivesdk</t>
  </si>
  <si>
    <t xml:space="preserve"> 42. https://drive.google.com/file/d/1RSwZwZLAMtCfHWvFXgZGLO_OY3UBX_12/view?usp=drivesdk</t>
  </si>
  <si>
    <t xml:space="preserve"> 24. https://drive.google.com/file/d/15BBL9xmbxQeZ4cenUhhxkrldcLbNaUFP/view?usp=drivesdk</t>
  </si>
  <si>
    <t xml:space="preserve"> 41. https://drive.google.com/file/d/14o6fPtf74_OOAo10mu5ox4LxX4SDZ0i7/view?usp=drivesdk</t>
  </si>
  <si>
    <t xml:space="preserve"> 1. ISSUANCE OF BID DOCUMENTS - JUNE 19, 2020 - JULY 8, 2020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</si>
  <si>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</si>
  <si>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1 set Biodegradable Heavy Duty Shredder with Trailer</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</si>
  <si>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</si>
  <si>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1. ISSUANCE OF BID DOCUMENTS - JUNE 19, 2000 - JULY 8, 2000</t>
  </si>
  <si>
    <t xml:space="preserve"> 37. https://drive.google.com/file/d/1one7NeL7s9dnLnZuVdWfY2Gr5d9jBI8C/view?usp=drivesdk</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</si>
  <si>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</si>
  <si>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40. https://drive.google.com/file/d/1GJFoODUr7yCdjw399PBI8Rs3eOf9i6_U/view?usp=drivesdk</t>
  </si>
  <si>
    <t xml:space="preserve"> 38. https://drive.google.com/file/d/1EqfeyuTWxDs-j0y9DzNQVW2c70akqimQ/view?usp=drivesdk</t>
  </si>
  <si>
    <t xml:space="preserve"> https://drive.google.com/file/d/1E6FzbCyeTt3tpjyJoFU5UILWfuY01YwF/view?usp=drivesdk</t>
  </si>
  <si>
    <t xml:space="preserve"> https://drive.google.com/file/d/1c3lBxtkMXgk8re2ajgyjKtE7XnlH42p1/view?usp=drivesdk</t>
  </si>
  <si>
    <t xml:space="preserve"> https://drive.google.com/file/d/1Jwq7DIc8jhatD84LmUXUiUTlLn8XClbn/view?usp=drivesdk</t>
  </si>
  <si>
    <t xml:space="preserve"> 39. https://drive.google.com/file/d/1K6DFrc30g6nvF37E-qm-CaPj95i38Tml/view?usp=drivesdk</t>
  </si>
  <si>
    <t xml:space="preserve"> https://drive.google.com/file/d/1sMECckpmOlfhdWAf2UXB9gEW6nOwaPu2/view?usp=sharing</t>
  </si>
  <si>
    <t xml:space="preserve"> https://drive.google.com/file/d/1uhCL24oTGi3QPGIub_vtbQygUgkq5ylO/view?usp=sharing</t>
  </si>
  <si>
    <t xml:space="preserve"> https://drive.google.com/file/d/1tEPf2v14hKUD0Ci-9BGemRJSpo9kFoj2/view?usp=sharing</t>
  </si>
  <si>
    <t xml:space="preserve"> https://drive.google.com/file/d/1cyvXay_Qjyjd0quDVYidk_dIsFxTcRfr/view?usp=sharing</t>
  </si>
  <si>
    <t xml:space="preserve"> https://drive.google.com/file/d/1GCtDHNh1YjaCLkYYSv_MiEALq6q6MIhV/view?usp=sharing</t>
  </si>
  <si>
    <t xml:space="preserve"> Any requests for additional information concerning this bidding shall be directed to the following:</t>
  </si>
  <si>
    <t xml:space="preserve"> BAC ACTIVITIES	SCHEDULE</t>
  </si>
  <si>
    <t xml:space="preserve"> Submission of Letter of Intent						June 18-20,2020		</t>
  </si>
  <si>
    <t xml:space="preserve"> Approved Budget for the Contract - Php 1,088,200.00</t>
  </si>
  <si>
    <t xml:space="preserve"> https://drive.google.com/file/d/15WgbD9r9mGknLYKA88Cqrr7KRkx74-5f/view?usp=drivesdk</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</si>
  <si>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</si>
  <si>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Bid Documents are available at the Office of the Punong Barangay</t>
  </si>
  <si>
    <t xml:space="preserve"> To View The Bidding document, pleas Click</t>
  </si>
  <si>
    <t xml:space="preserve"> https://drive.google.com/file/d/1zTdqxupiH63cVNV_5BTCO7IqxFXlWdfS/view?usp=drivesdk</t>
  </si>
  <si>
    <t xml:space="preserve"> Contact 09460493915</t>
  </si>
  <si>
    <t xml:space="preserve"> to view the bidding documents please click</t>
  </si>
  <si>
    <t xml:space="preserve"> Issuance of Bidding Documents starts June 19, 2020 until 1:00 PM of July 10, 2020</t>
  </si>
  <si>
    <t xml:space="preserve"> To view the bidding documents click: https://drive.google.com/file/d/1oGT9VScQB4wVly4poJVwMWQddbLdN8KE/view?usp=drivesdk</t>
  </si>
  <si>
    <t xml:space="preserve"> Issuance of Bidding Documents starts June 19, 2020 until 1:00 PM of July 10,2020</t>
  </si>
  <si>
    <t xml:space="preserve"> Prospective bidders in need for the further information may forward their inquiry to:</t>
  </si>
  <si>
    <t xml:space="preserve"> CONTACT 09460493915</t>
  </si>
  <si>
    <t xml:space="preserve"> https://drive.google.com/file/d/16AY2o7TWjfIcU9vEGpM2sP6ThdGFUtnO/view?usp=drivesdk</t>
  </si>
  <si>
    <t xml:space="preserve"> Also available in DPWH Website</t>
  </si>
  <si>
    <t xml:space="preserve"> https://drive.google.com/file/d/1cxQq67r4NP-pZZP6-OveA_8yCW2vFu1p/view?usp=drivesdk</t>
  </si>
  <si>
    <t xml:space="preserve"> https://drive.google.com/file/d/1CKHVB8l5t6ToHsV3vU0q9A6Ly_XyVa-Z/view?usp=drivesdk</t>
  </si>
  <si>
    <t xml:space="preserve"> https://drive.google.com/file/d/1voToBdmMNtiUrQpSqwnFkcnagrGiS1PE/view?usp=drivesdk</t>
  </si>
  <si>
    <t xml:space="preserve"> CONTANT 09460493915</t>
  </si>
  <si>
    <t xml:space="preserve"> at brgy Bato I, Maasin City, Southern Leyte</t>
  </si>
  <si>
    <t xml:space="preserve"> To view the bidding document, please click https://drive.google.com/file/d/1peBoCUM9Li8pqHCHdLWoJBuXucZEFG6Z/view?usp=drivesdk</t>
  </si>
  <si>
    <t xml:space="preserve"> https://drive.google.com/file/d/1j91SFdQHtebmWXUCcdZU_txECvXHy_aZ/view?usp=drivesdk</t>
  </si>
  <si>
    <t xml:space="preserve"> at brgy Sta. Cruz, Maasin City, Southern Leyte</t>
  </si>
  <si>
    <t xml:space="preserve"> Please see attached bidding document in associated component</t>
  </si>
  <si>
    <t xml:space="preserve"> at brgy Tam-is (Lower), Maasin City, Southern Leyte</t>
  </si>
  <si>
    <t xml:space="preserve"> 7300 tank Medical Oxygen, 50lbs.</t>
  </si>
  <si>
    <t xml:space="preserve"> at brgy Mambajao, Maasin City, Southern Leyte</t>
  </si>
  <si>
    <t xml:space="preserve"> To view the bidding document, please click </t>
  </si>
  <si>
    <t xml:space="preserve"> at DANAO, brgy Malapoc Norte, Maasin City, Southern Leyte</t>
  </si>
  <si>
    <t xml:space="preserve"> at brgy Tunga-tunga, Maasin City, Southern Leyte</t>
  </si>
  <si>
    <t xml:space="preserve"> Please Download the Associated Components</t>
  </si>
  <si>
    <t xml:space="preserve"> Bid Documents</t>
  </si>
  <si>
    <t xml:space="preserve"> THE SUPPLIER MUST DOWNLOAD THE ATTACHED DOCUMENTS IN THE ASSOCIATED COMPONENTS.</t>
  </si>
  <si>
    <t xml:space="preserve"> SOURCE OF FUND: 20% Municipal Development Fund (MDF) CY 2020</t>
  </si>
  <si>
    <t xml:space="preserve"> The BAC is conducting the public bidding for this Contract in accordance with RA 9184 and its Implementing Rules and Regulations.</t>
  </si>
  <si>
    <t xml:space="preserve"> uploaded docs are also available in DPWH website</t>
  </si>
  <si>
    <t xml:space="preserve"> https://drive.google.com/file/d/1W4I-xRSFGBBR1xVfWoSWemkd-ktbO9kk/view?usp=drivesdk</t>
  </si>
  <si>
    <t xml:space="preserve"> https://drive.google.com/file/d/1q_H3Gby0V2RhQMCPg6VML7gZjXibwc7h/view?usp=drivesdk</t>
  </si>
  <si>
    <t xml:space="preserve"> https://drive.google.com/file/d/1odri7x4MrX46g7qm1mOXqqYu4UIRF9jG/view?usp=drivesdk</t>
  </si>
  <si>
    <t xml:space="preserve"> quotation shall be submitted via email (lbphobac@mail.landbank.com) not later than June 23,2020, 3:00PM</t>
  </si>
  <si>
    <t xml:space="preserve"> https://drive.google.com/file/d/1h9J8A7fULSmscmKIXodtbthUk_fjRK4c/view?usp=drivesdk</t>
  </si>
  <si>
    <t xml:space="preserve"> https://drive.google.com/file/d/14X7lI0lhEXQgWx6ObnrjILgs4fA7guIs/view?usp=drivesdk</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</si>
  <si>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</si>
  <si>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https://drive.google.com/file/d/1mnGRVBqsCwu69iqhrTZkVvKPCHGe6umI/view?usp=drivesdk</t>
  </si>
  <si>
    <t xml:space="preserve"> Item	Qty	Unit of 	Item Description 	</t>
  </si>
  <si>
    <t xml:space="preserve"> Project Description	: Construction</t>
  </si>
  <si>
    <t xml:space="preserve"> a.	Improvt. of Donsol District Hospital Grounds (Landscaping)	650,000.00</t>
  </si>
  <si>
    <t xml:space="preserve"> Please see attached Bidding Document</t>
  </si>
  <si>
    <t xml:space="preserve"> https://drive.google.com/file/d/1dPrTzrctwxSNnncodJ5g2kQ3g1vsspPX/view?usp=drivesdk</t>
  </si>
  <si>
    <t xml:space="preserve"> a.	Concreting/Reblocking of San Juan Bag-o-Abad Santos-	    900,000.00</t>
  </si>
  <si>
    <t xml:space="preserve"> The Above-listed documents can de downloaded at the DPWH website: </t>
  </si>
  <si>
    <t xml:space="preserve"> https://drive.google.com/file/d/1DP8ZT1jk-xQ918ghkEoEwKIz0tjgTaop/view?usp=drivesdk</t>
  </si>
  <si>
    <t xml:space="preserve"> Bureau of Fire Memorandum Circular 2020-016.</t>
  </si>
  <si>
    <t xml:space="preserve"> Pre-Bid conference will be on June 25, 2020 and Competitive Bidding is on July 7, 2020</t>
  </si>
  <si>
    <t xml:space="preserve"> Pre-Bid conference will be on June 25, 2020 and Competitive Bidding will be on July 7, 2020</t>
  </si>
  <si>
    <t xml:space="preserve"> Pre-Bid conference will be on June 25, 2020 &amp; Competitive bidding is on July 7, 2020</t>
  </si>
  <si>
    <t xml:space="preserve"> ELIGIBILITY REQUIREMENTS:</t>
  </si>
  <si>
    <t xml:space="preserve"> for queries, you may email MS. NADIA ILETO at iletonadia25@gmail.com</t>
  </si>
  <si>
    <t xml:space="preserve"> Pre-bid conference will be on June 25, 2020 &amp; Competitive Bidding is on July 7, 2020.</t>
  </si>
  <si>
    <t xml:space="preserve"> https://drive.google.com/file/d/1vCgALvJYyOicDj3sbjGk2KcJxnTrYnMT/view?usp=drivesdk</t>
  </si>
  <si>
    <t xml:space="preserve"> Pre bid conference will be on June 25, 2020 and competitive bidding is on July 7, 2020</t>
  </si>
  <si>
    <t xml:space="preserve"> for queries, you may email MS. JAM FABELLA at jamfabella@gmail.com</t>
  </si>
  <si>
    <t xml:space="preserve"> pre-bid conference will be on June 25, 2020 &amp; competitive bidding is on July 7, 2020</t>
  </si>
  <si>
    <t xml:space="preserve"> please see attachment for more info.</t>
  </si>
  <si>
    <t xml:space="preserve"> 1.	Bidders should have completed a contract similar to the Project. The description of an eligible bidder is contained in the Bidding Documents, particularly, in Section 2. Instructions to Bidders.</t>
  </si>
  <si>
    <t xml:space="preserve"> Pre-bid conference will be on June 25, 2020 &amp; competitive bidding will be on July 7, 2020</t>
  </si>
  <si>
    <t xml:space="preserve"> https://drive.google.com/file/d/1Owhv0OZct8pX33hCp_Y88_8AULI1J1C4/view?usp=drivesdk</t>
  </si>
  <si>
    <t xml:space="preserve"> https://drive.google.com/file/d/1MHcVeihWdIDOI4jf8MZYDflF1PLGBRhy/view?usp=drivesdk</t>
  </si>
  <si>
    <t xml:space="preserve"> ITEM NO.	ITEM &amp; DESCRIPTION	UNIT	QTY</t>
  </si>
  <si>
    <t xml:space="preserve"> https://drive.google.com/file/d/1m3gKWhy_4l3BWBpYAvFVSWCP0fJ8UNaM/view?usp=drivesdk</t>
  </si>
  <si>
    <t xml:space="preserve"> https://drive.google.com/file/d/10rDbTbga7K7zUx_6Mb9RFyi4pMWQvfiA/view?usp=drivesdk</t>
  </si>
  <si>
    <t xml:space="preserve"> for queries, you may email MS. ANJ EMETERIO at mqemeterio@gmail.com</t>
  </si>
  <si>
    <t xml:space="preserve"> Please refer attached documents.</t>
  </si>
  <si>
    <t xml:space="preserve"> for queries, you may email MR. RUEL MARCA at ruelmarca@yahoo.com</t>
  </si>
  <si>
    <t xml:space="preserve"> Please see personally the head of the BAC secretariat for the availability of the bid document upon payment of the non-refundable amount of P 5,000.00 to the cashierl</t>
  </si>
  <si>
    <t xml:space="preserve"> 1. Pre-Bid Conference: June 29, 2020, 2:00PM at the Municipal Conference Hall, Galimuyod, Ilocos Sur</t>
  </si>
  <si>
    <t xml:space="preserve"> ARPA-RADAR Simulator  (Full Mission Ship Bridge Simulator) with complete accessories (1 Instructor Station and 6 Students Station) including installation and training orientation.</t>
  </si>
  <si>
    <t xml:space="preserve"> Please see attached documents for other information</t>
  </si>
  <si>
    <t xml:space="preserve"> to view to bidding documents please click</t>
  </si>
  <si>
    <t xml:space="preserve"> to View the Bidding Documents Pls. Click: </t>
  </si>
  <si>
    <t xml:space="preserve"> To view the bidding document pls click: </t>
  </si>
  <si>
    <t xml:space="preserve"> To view the Bidding Document pls click https://drive.google.com/file/d/1Zut-DwBX48jyPtzFyErCC24GIK3TBwl1/view?usp=drivesdk</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</si>
  <si>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</si>
  <si>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To view the bidding documents, please click https://drive.google.com/file/d/1aZNVflVAjiJ7Clt5s0hG5e-3tuWoHSm-/view?usp=drivesdk</t>
  </si>
  <si>
    <t xml:space="preserve"> Please see personally the head of the BAC Secretariat for the availability of the bid document upon payment of the non-refundable amount of P 5,000.00 to the cashier.</t>
  </si>
  <si>
    <t xml:space="preserve"> opening of Bids: July 08, 2020 at 2:00 pm. at BAC office, Dap-ay di Tubo, Poblacion, Tubo, Abra</t>
  </si>
  <si>
    <t xml:space="preserve"> at brgy Tam-is (Upper), Maasin City, Southern Leyte</t>
  </si>
  <si>
    <t xml:space="preserve"> THE CHAIRMAN</t>
  </si>
  <si>
    <t xml:space="preserve"> at brgy Nonok Norte, Maasin City, Southern Leyte</t>
  </si>
  <si>
    <t xml:space="preserve"> Cost of Bid Documents: Php1,000.00</t>
  </si>
  <si>
    <t xml:space="preserve"> Bid opening shall be on July 6, 2020; 09:30 A.M at the Conference Room,  Office of the Mayor, 2/f building, Municipal Compound, Brgy. Poblacion, Calintaan, Occ. Mindoro.</t>
  </si>
  <si>
    <t xml:space="preserve"> Cost of Bid Documents: Php5,000.00</t>
  </si>
  <si>
    <t xml:space="preserve"> https://drive.google.com/file/d/1ji6BK00bwU68tOJoVrFeINcTKGM9wifO/view?usp=drivesdk</t>
  </si>
  <si>
    <t xml:space="preserve"> contact the BAC Chairman, Engr. Noel Salvatierra</t>
  </si>
  <si>
    <t xml:space="preserve"> For the copy of ITB please follow this link; </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</si>
  <si>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</si>
  <si>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</si>
  <si>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https://drive.google.com/file/d/1bjMD36nkIXPX5tG4jcUmhFEbigaxk89e/view?usp=drivesdk</t>
  </si>
  <si>
    <t xml:space="preserve"> To view the bidding document, please click https://drive.google.com/file/d/1WU5Pxp6xjJKS4xN4tDT9sE_0UfEpgNBx/view?usp=drivesdk</t>
  </si>
  <si>
    <t xml:space="preserve"> https://drive.google.com/file/d/1WX0rGrMs6L_0AYwyVyc1PP4b0u8RVgCG/view?usp=drivesdk</t>
  </si>
  <si>
    <t xml:space="preserve"> The Works consists of Concreting of 171.00m long x 5.00m wide x 0.20thk PCCP provincial road and provision of 20 l.m. (33.32 cu.m.) stone masonry protection structure.</t>
  </si>
  <si>
    <t xml:space="preserve"> https://drive.google.com/file/d/1kuEiSQzsfl-lNaYOqc1whGLejNRba09B/view?usp=drivesdk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</si>
  <si>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</si>
  <si>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The Works consists of Concreting of 257.20m long x 6.10m wide x 0.20m thk provincial road; provision of 186.00l.m. (244.67cu.m.) stone masonry slope protection structure.</t>
  </si>
  <si>
    <t xml:space="preserve"> The Works consists of Concreting of 95.45m long x 6.10m wide x 0.20m thk plain PCCP, 82.7.00m long x 5.00m wide x 0.20m thk plain PCCP, 36.30m long x 1.05m wide concrete road expansion at both existing PCCP and 131.75l.m. curb &amp; gutter.</t>
  </si>
  <si>
    <t xml:space="preserve"> https://drive.google.com/file/d/1mW_j0TXEbOFxvU2gAPkGvSXnc_5LhjjB/view?usp=drivesdk</t>
  </si>
  <si>
    <t xml:space="preserve"> For the copy of ITB, please follow this link: </t>
  </si>
  <si>
    <t xml:space="preserve"> To view the bidding document, please click https://drive.google.com/file/d/1O-UHBuo7KJpm6HV8C7ZApe_kJklE1eBI/view?usp=drivesdk</t>
  </si>
  <si>
    <t xml:space="preserve"> please Download the complete bidding documents using the links below</t>
  </si>
  <si>
    <t xml:space="preserve"> The Works consists of 60 lm. Drilling and installation of Submersible pump – 840. Installation of transmission pipe – 4.25m x 7.50m construction of Reservoir and Pump house.</t>
  </si>
  <si>
    <t xml:space="preserve"> To view the bidding document, please click https://drive.google.com/file/d/1GUEBzrumEurgLCVf3y5k_aqzs2d_p-OC/view?usp=drivesdk</t>
  </si>
  <si>
    <t xml:space="preserve"> 1.  Issuance of Bid Documents	June 18, 2020	</t>
  </si>
  <si>
    <t xml:space="preserve"> Pleas see attached associated components.</t>
  </si>
  <si>
    <t xml:space="preserve"> BAC Schedule of Activity:</t>
  </si>
  <si>
    <t xml:space="preserve"> https://drive.google.com/file/d/1O5SyJj0l8iB14UFTIw_hnYELZOvTS3cM/view?usp=drivesdk</t>
  </si>
  <si>
    <t xml:space="preserve"> Please see Associated Component attached.</t>
  </si>
  <si>
    <t xml:space="preserve"> https://drive.google.com/file/d/1FdAmgEspLfdtdm8Y6Bj1vE_TXkP_wxxr/view?usp=drivesdk</t>
  </si>
  <si>
    <t xml:space="preserve"> FOR 2ND BIDDING</t>
  </si>
  <si>
    <t xml:space="preserve"> Bid Docs Fee P/5,000.00 available at BAC Office</t>
  </si>
  <si>
    <t xml:space="preserve"> https://drive.google.com/file/d/1UlHwZ0XsF4TQn4Abcxavj1yOBspRSAxx/view?usp=drivesdk</t>
  </si>
  <si>
    <t xml:space="preserve"> Availability of Bid Documents: June 18 - July 07, 2020; 8:00 AM-5:00 PM; Monday through Friday</t>
  </si>
  <si>
    <t xml:space="preserve"> The Schedule of BAC activities are as follows:						</t>
  </si>
  <si>
    <t xml:space="preserve"> Bid Docs available at BAC Office</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</si>
  <si>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</si>
  <si>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Bid Documents and Plans are also downloadable in the DPWH Website</t>
  </si>
  <si>
    <t xml:space="preserve"> Bid Opening is on July 7, 2020 at the Mun. Session Hall, Mun. Bldg., Pagsanghan, Samar</t>
  </si>
  <si>
    <t xml:space="preserve"> https://drive.google.com/file/d/19qdWZw_mVuzsK32QmjjezP75qHb4-tM2/view?usp=drivesdk</t>
  </si>
  <si>
    <t xml:space="preserve"> https://drive.google.com/file/d/1RfLjM4sDXSh5o6IHig3dJbWbVVrgwuYK/view?usp=drivesdk</t>
  </si>
  <si>
    <t xml:space="preserve"> https://drive.google.com/file/d/1H1KFpKxY4FMFw1CIoPYwbkZq4Zm2rN4e/view?usp=drivesdk</t>
  </si>
  <si>
    <t xml:space="preserve"> https://drive.google.com/file/d/11SUCDecrZLlmcHphyFU-N4naRcEPYot7/view?usp=drivesdk</t>
  </si>
  <si>
    <t xml:space="preserve"> Bid Documents and Plans are also dwnloadable in the DPWH Website</t>
  </si>
  <si>
    <t xml:space="preserve"> https://drive.google.com/file/d/1I0IgQ5KDIXKxFHOyomcQJ6YHxXhkAzPF/view?usp=drivesdk</t>
  </si>
  <si>
    <t xml:space="preserve"> https://drive.google.com/file/d/1LA2-1oTSX-fFKgKWZIhKHuxBb6BbKuz9/view?usp=drivesdk</t>
  </si>
  <si>
    <t xml:space="preserve"> https://drive.google.com/file/d/1GRr_3D0_xvS0J3oxJu4wE6KMe_JJhrwU/view?usp=drivesdk</t>
  </si>
  <si>
    <t xml:space="preserve"> https://drive.google.com/file/d/1QhYBGqOB3dkSY3J7iGOh01m1OwLtDCUV/view?usp=drivesdk</t>
  </si>
  <si>
    <t xml:space="preserve"> https://drive.google.com/file/d/1ZMHGepnCHpQ87ZaJgc67pD4DGWliyHqG/view?usp=drivesdk</t>
  </si>
  <si>
    <t xml:space="preserve"> https://drive.google.com/file/d/1cHjm0H2ViWRRLo8ebn60C5wgpuijfvY1/view?usp=drivesdk</t>
  </si>
  <si>
    <t xml:space="preserve"> 1.  Submission of Letter of Intent and Application of Eligibility					June 18, 2020	-	June 25, 2020</t>
  </si>
  <si>
    <t xml:space="preserve"> Pre-Bid Conference: June 24, 2020 @ 2:00 PM</t>
  </si>
  <si>
    <t xml:space="preserve"> BID TENDER											</t>
  </si>
  <si>
    <t xml:space="preserve"> Contact Person: Jerry Donato</t>
  </si>
  <si>
    <t xml:space="preserve"> Unit	Item Description	Qty.</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</si>
  <si>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</si>
  <si>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</si>
  <si>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The BAC shall issue bidding documents upon payment of Five Hundred Pesos Only (Php500.00) to the disbursing/collecting officer of the LGU.</t>
  </si>
  <si>
    <t xml:space="preserve"> The deadline of submission is on or before July 7, 2020 at 1:30 in the afternoon, 2nd floor, BAC Office, Municipal Hall of Don Carlos, Don Carlos, Bukidnon.</t>
  </si>
  <si>
    <t xml:space="preserve"> 1.BIDDERS ARE ADVISED TO DOWNLOAD ALL ASSOCIATED COMPONENTS FOR GUIDANCE AND REFERENCE.</t>
  </si>
  <si>
    <t xml:space="preserve"> The deadline of submission is on or before July 7, 2020 at 1:30 in the afternoon, 2nd floor, BAC Office, Municipal Hall of Don Carlos, Don Carlos, Bukidnon</t>
  </si>
  <si>
    <t xml:space="preserve"> Please download P.B.D. in the associated components.</t>
  </si>
  <si>
    <t xml:space="preserve"> 1	Diesoline	 30,260   Liters</t>
  </si>
  <si>
    <t xml:space="preserve"> Project Description:</t>
  </si>
  <si>
    <t xml:space="preserve"> Download Bidding Document at:</t>
  </si>
  <si>
    <t xml:space="preserve"> 1	Portland cement	240	Bags</t>
  </si>
  <si>
    <t xml:space="preserve"> Please click the Associated Components for the Checklist of Requirements. Thank you.</t>
  </si>
  <si>
    <t xml:space="preserve"> You may see the PISO Manager. Municipality of Caibiran</t>
  </si>
  <si>
    <t xml:space="preserve"> quotation shall be submitted via email (lbphobac@mail.landbank.com) not later than June 24,2020, 3:00PM</t>
  </si>
  <si>
    <t xml:space="preserve"> https://drive.google.com/file/d/1ZZhgeIl_tRI9WHqBAI5oq-nJxSksijEK/view?usp=drivesdk</t>
  </si>
  <si>
    <t xml:space="preserve"> BID DOCS PhP 5,000.00</t>
  </si>
  <si>
    <t xml:space="preserve"> Please refer to https://www.pnu.edu.ph/bidding-opportunities/ for the Drawings.</t>
  </si>
  <si>
    <t xml:space="preserve"> https://drive.google.com/file/d/1M6IadHoPvQXC7QFfZptV6v5wnW99TQa2/view?usp=drivesdk</t>
  </si>
  <si>
    <t xml:space="preserve"> https://drive.google.com/file/d/1JSPYiZDYF70sQ798yb7DMcmpdBn3ncz_/view?usp=drivesdk</t>
  </si>
  <si>
    <t xml:space="preserve"> https://drive.google.com/file/d/1H8IjkLL_KkDrRvndDYhYatH2wyloX_VX/view?usp=drivesdk</t>
  </si>
  <si>
    <t xml:space="preserve"> Pls. download bid documents @ https://drive.google.com/file/d/1v9vsnI7H5s6TrUpjGOct3NEA4pPsLpoj/view?usp=drivesdk</t>
  </si>
  <si>
    <t xml:space="preserve"> Interested Bidders may secure bidding documents at the Bids and Awards Committee, Dapitan City Water District or may call 065-213-6406.</t>
  </si>
  <si>
    <t xml:space="preserve"> https://drive.google.com/file/d/1tARHVUtwEr4AHH7lmSLi1kdLwz7QEqDB/view?usp=drivesdk</t>
  </si>
  <si>
    <t xml:space="preserve"> Download Bidding Documents @ https://drive.google.com/file/d/1v9vsnI7H5s6TrUpjGOct3NEA4pPsLpoj/view?usp=drivesdk</t>
  </si>
  <si>
    <t xml:space="preserve"> see attached BQ (specifications) for details</t>
  </si>
  <si>
    <t xml:space="preserve"> see attached Bill of Quantities for reference.</t>
  </si>
  <si>
    <t xml:space="preserve"> For more information and clarification, please feel free to contact our BAC Secretariat.</t>
  </si>
  <si>
    <t xml:space="preserve"> BID OPENING: JULY 6 2020    1:00PM BAC OFFICE, MUNICIPAL HALL, STA. MARCELA, APAYAO</t>
  </si>
  <si>
    <t xml:space="preserve"> see Bill of Quantities for reference</t>
  </si>
  <si>
    <t xml:space="preserve"> FIRST ENVELOPE (ELIGIBILITY &amp; TECHNICAL COMPONENTS) </t>
  </si>
  <si>
    <t xml:space="preserve"> BAC Activities	Schedule</t>
  </si>
  <si>
    <t xml:space="preserve"> https://tinyurl.com/y874pclj</t>
  </si>
  <si>
    <t xml:space="preserve"> Specs:</t>
  </si>
  <si>
    <t xml:space="preserve"> https://drive.google.com/file/d/154Vu4trVTFT-ge6jCF-u9oKthOOz9523/view?usp=drivesdk</t>
  </si>
  <si>
    <t xml:space="preserve"> https://drive.google.com/file/d/1It5wZBHAMktqn4E2kZ6cb-V6d0oN3yYb/view?usp=drivesdk</t>
  </si>
  <si>
    <t xml:space="preserve"> https://drive.google.com/file/d/1v-hpFtPzz90-tLOOncAyu0n9hvZ9h8hE/view?usp=drivesdk</t>
  </si>
  <si>
    <t xml:space="preserve"> https://drive.google.com/file/d/13Wz23TeTMpg6Cm2M9i58r-nUZaErcepp/view?usp=drivesdk</t>
  </si>
  <si>
    <t xml:space="preserve"> https://drive.google.com/file/d/13L_cg_VRH00l-d0ij7S8USzuDljNeHcK/view?usp=drivesdk</t>
  </si>
  <si>
    <t xml:space="preserve"> https://drive.google.com/file/d/15w_xwnMIh0bgwD-WCVi0e_wJflBkxNJZ/view?usp=drivesdk</t>
  </si>
  <si>
    <t xml:space="preserve"> Availability of Bid Documents: June 17 – July 06, 2020; 8:00 AM-5:00 PM; Monday through Friday</t>
  </si>
  <si>
    <t xml:space="preserve"> Schedule of Bidding Activities:</t>
  </si>
  <si>
    <t xml:space="preserve"> DPWH Laguna 2nd District Engineering Office Conference Room, Brgy. Bambang Los Baños, Laguna</t>
  </si>
  <si>
    <t xml:space="preserve"> https://drive.google.com/file/d/1FIn0ACYZUbS9ALWOaCSAiwCBev5EN6r1/view?usp=drivesdk</t>
  </si>
  <si>
    <t xml:space="preserve"> • Similar Contracts: Provision, configuration and testing of messaging and collaboration platform for at least 2300 users</t>
  </si>
  <si>
    <t xml:space="preserve"> Upgrading of BiPSU Electrical System Main Campus and Biliran Campus</t>
  </si>
  <si>
    <t xml:space="preserve"> Bid documents will be available to prospective bidders who  purchase the bidding documents  from the office of the Municipal Treasurer of the Local Government Unit of Mapet</t>
  </si>
  <si>
    <t xml:space="preserve"> https://drive.google.com/file/d/1YgPwD_L2G1JTBLN1equXfy0qg69Ednwr/view</t>
  </si>
  <si>
    <t xml:space="preserve"> Please give us a call at 924-6101 local 1063/1067</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</si>
  <si>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</si>
  <si>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Total Book  Titles= 123</t>
  </si>
  <si>
    <t xml:space="preserve"> You may see the Municipal Engineer, Municipality of Caibiran</t>
  </si>
  <si>
    <t xml:space="preserve"> 1.  Submission of Letter of Intent and Application of Eligibility				June 16, 2020 - June 23, 2020		</t>
  </si>
  <si>
    <t xml:space="preserve"> Medicine and Medical Supplies Rack, 1st bay double side, 7 levels, H1.8mx W 6.870m x L900mm, Wire Mesh racking, Beige Color, Powder Coated, 100Kg Load capacity per level	9	unit</t>
  </si>
  <si>
    <t xml:space="preserve"> Kindly download bid documents on the associated component.</t>
  </si>
  <si>
    <t xml:space="preserve"> COPY AND PASTE IN THE BROWSER THE LINK BELOW TO VIEW BIDDING DOCUMENTS; </t>
  </si>
  <si>
    <t xml:space="preserve"> KINDLY DOWNLOAD BID DOCUMENTS ON THE ASSOCIATED COMPONENT.</t>
  </si>
  <si>
    <t xml:space="preserve"> For further information, please contact Ms. JOCELYN A.</t>
  </si>
  <si>
    <t xml:space="preserve"> https://drive.google.com/file/d/1ohktBYBTai9oJUKwWwBm3g56Iet9u4oa/view?usp=drivesdk</t>
  </si>
  <si>
    <t xml:space="preserve"> For more info, please notify Mrs Rebecca Taboñiag, Barangay Secretary of Brgy Bogo Calabat, Josefina, Zamboanga del Sur with contact number 09514893412.</t>
  </si>
  <si>
    <t xml:space="preserve"> COPY AND PASTE IN THE BROWSER THE LINK BELOW TO VIEW THE BIDDING DOCUMENTS; </t>
  </si>
  <si>
    <t xml:space="preserve"> FOR MORE DETAILED INFORMATION, PLEASE CONTACT THE BIDS AND AWARDS COMMITTEE.</t>
  </si>
  <si>
    <t xml:space="preserve"> https://drive.google.com/file/d/1_uizNyXFOweEiQzKGj40-hZrloJSyHLB/view?usp=drivesdk</t>
  </si>
  <si>
    <t xml:space="preserve"> • Similar Contracts: Supply, delivery, installation, configuration and testing of CPU Hyper-Converged Integrated System (HCIS) Server</t>
  </si>
  <si>
    <t xml:space="preserve"> https://drive.google.com/file/d/1CEgGGG1g56M3v64dfkA1YR5tDLOjCK1i/view?usp=drivesdk</t>
  </si>
  <si>
    <t xml:space="preserve"> The National Forensic Science Training Institute (NFSTI) is a Constitutive Unit (CU) of the PPSC located in Camp Vicente Lim Brgy. Mayapa Canlubang Laguna.</t>
  </si>
  <si>
    <t xml:space="preserve"> Please click link below to download Plan.</t>
  </si>
  <si>
    <t xml:space="preserve"> June 17, 2020 to July 6, 2020</t>
  </si>
  <si>
    <t xml:space="preserve"> 1. 3 rolls 1/2" dia. P.E Pipe, 300 mtrs SDR 11, ISO</t>
  </si>
  <si>
    <t xml:space="preserve"> 1.		DIESOLINE		1	Lot</t>
  </si>
  <si>
    <t xml:space="preserve"> BID OPENING: JULY 6 2020    2:30PM   BAC OFFICE, MUNICIPAL HALL, STA. MARCELA, APAYAO</t>
  </si>
  <si>
    <t xml:space="preserve"> https://drive.google.com/file/d/1dAjSpCezvEkmCXnpMcHYLKSt5-yDYjqe/view?usp=drivesdk</t>
  </si>
  <si>
    <t xml:space="preserve"> https://drive.google.com/file/d/1ECC1x9E53mC3EuwZNpFyJGyj2dScAqnJ/view?usp=drivesdk</t>
  </si>
  <si>
    <t xml:space="preserve"> Pre-bid Conference will be done through teleconference. Any interested bidder you could contact the Head BAC Secretariat or email us.</t>
  </si>
  <si>
    <t xml:space="preserve"> https://drive.google.com/file/d/1Se4C4Dn_JWsx8kTY-PbAv7Fy41U_LC5l/view?usp=drivesdk</t>
  </si>
  <si>
    <t xml:space="preserve"> https://drive.google.com/file/d/1ES3gMDHG4BaII6JGhFiyH99HWH2VIU3C/view?usp=drivesdk</t>
  </si>
  <si>
    <t xml:space="preserve"> https://drive.google.com/file/d/1x7SOPF9QcpNCipvjqhH459nUGq6EkWsC/view?usp=drivesdk</t>
  </si>
  <si>
    <t xml:space="preserve"> BID DOCS PhP 10,000.00</t>
  </si>
  <si>
    <t xml:space="preserve"> INQUIRE AT BAC OFFICE, TAMBULIG, MUNICIPAL HALL, TAMBULIG, ZAMBOANGA DLE SUR</t>
  </si>
  <si>
    <t xml:space="preserve"> 1. BIDDERS ARE ADVISED TO DOWNLOAD ALL ASSOCIATED COMPONENTS</t>
  </si>
  <si>
    <t xml:space="preserve"> BID DOCS PhP. 5,000.00</t>
  </si>
  <si>
    <t xml:space="preserve"> Please copy the link below and print for a copy of Bidding Document.</t>
  </si>
  <si>
    <t xml:space="preserve"> https://drive.google.com/file/d/1kQt4ro205WQ4i_pSQZQcgWFm0diL2N89/view?usp=drivesdk</t>
  </si>
  <si>
    <t xml:space="preserve"> Please download the complete bidding documents using he link below:</t>
  </si>
  <si>
    <t xml:space="preserve"> Please download the complete bidding documents using the link below:</t>
  </si>
  <si>
    <t xml:space="preserve"> Please download the complete Bidding Documents using the link below:</t>
  </si>
  <si>
    <t xml:space="preserve"> SEE ASSOCIATED COMPONENTS</t>
  </si>
  <si>
    <t xml:space="preserve"> Please see attached bidding documents for more details.</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</si>
  <si>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</si>
  <si>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https://drive.google.com/file/d/1GkLTa0K0iU2O6aoP1WuAqJahuVHrUKMq/view?usp=drivesdk</t>
  </si>
  <si>
    <t xml:space="preserve"> • Similar Contracts: Supply and delivery of various Personnel Protective Equipment (PPE) and/or any two (2) similar items under this contract</t>
  </si>
  <si>
    <t xml:space="preserve"> • Similar Contracts: On-site overhauling / rebuilding / repair works of diesel engines for diesel power plants</t>
  </si>
  <si>
    <t xml:space="preserve"> https://drive.google.com/file/d/11pOgrjSN9vx66UVLHeBCFgw14stR7TyS/view?usp=drivesdk</t>
  </si>
  <si>
    <t xml:space="preserve"> https://drive.google.com/file/d/1RfNwpgZ4nKhWLJ_7F-T1c_T5kgX7xDRQ/view?usp=drivesdk</t>
  </si>
  <si>
    <t xml:space="preserve"> https://drive.google.com/file/d/1kMLEozAXgkW1orBOSvNNjdbnKL_7mAPz/view?usp=drivesdk</t>
  </si>
  <si>
    <t xml:space="preserve"> https://drive.google.com/file/d/1Bxk0GmdiYY1lZOjG2wOrTR2W_FqKGWR4/view?usp=drivesdk</t>
  </si>
  <si>
    <t xml:space="preserve"> https://drive.google.com/file/d/1N8xk1GpL3fuS3teIClj2RFRLWaP7R_Hn/view?usp=drivesdk</t>
  </si>
  <si>
    <t xml:space="preserve"> https://drive.google.com/file/d/1LpN7m14i915AqJLNSjx--RfwuCohZek3/view?usp=drivesdk</t>
  </si>
  <si>
    <t xml:space="preserve"> ABC is Two Million Five Hundred Thousand Pesos Only (Php.2,500,000.00).</t>
  </si>
  <si>
    <t xml:space="preserve"> Please inquire at the Office of the BAC Secretariat for more details</t>
  </si>
  <si>
    <t xml:space="preserve"> https://drive.google.com/file/d/1Jw2ZuWkmwUF_SWnYQr43J12iboPh1IZ0/view?usp=drivesdk</t>
  </si>
  <si>
    <t xml:space="preserve"> Inquire at the Office of the Provincial Engineer for details.</t>
  </si>
  <si>
    <t xml:space="preserve"> https://drive.google.com/file/d/1x93sa1W8kByeJXmqtPS1qHBql1_J2v2I/view?usp=drivesdk</t>
  </si>
  <si>
    <t xml:space="preserve"> 1. Issuance of Bidding Documents	:	June 16, 2020 to July 07, 2020</t>
  </si>
  <si>
    <t xml:space="preserve"> https://drive.google.com/file/d/1ZpmEg1-w_OX2xGCe0KeseWNoFBg9bQmk/view?usp=drivesdk</t>
  </si>
  <si>
    <t xml:space="preserve"> https://drive.google.com/file/d/19IxS2V13Afb_GQ_3ONVkajUc1ryw34X2/view?usp=drivesdk</t>
  </si>
  <si>
    <t xml:space="preserve"> Activity	Date &amp; Time	Venue</t>
  </si>
  <si>
    <t xml:space="preserve"> Travelling Rice Mill</t>
  </si>
  <si>
    <t xml:space="preserve"> Copy and paste the link below in the URL to download Bidding documents attached.</t>
  </si>
  <si>
    <t xml:space="preserve"> Please see attached PDF for more information.</t>
  </si>
  <si>
    <t xml:space="preserve"> Please see attached PDF files for more information.</t>
  </si>
  <si>
    <t xml:space="preserve"> Instruction for Suppliers on how to View/Download the document:</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</si>
  <si>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</si>
  <si>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</si>
  <si>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10. For further information, please refer to:</t>
  </si>
  <si>
    <t xml:space="preserve"> please go to link https://drive.google.com/file/d/1NLo-qSzuKBpH9VMgq9x7Y-GJq5jHG9nY/view?usp=drivesdk for a copy of the Bidding Documents</t>
  </si>
  <si>
    <t xml:space="preserve"> ttps://drive.google.com/file/d/1Hk98lTI3c7OfiiupxKhsnVQ5lG-MJQyL/view?usp=drivesdk</t>
  </si>
  <si>
    <t xml:space="preserve"> For further information, please contact</t>
  </si>
  <si>
    <t xml:space="preserve"> https://drive.google.com/file/d/1Pq5d7vAi_EzFsPKs3HS4YhqajZAScNWm/view?usp=drivesdk</t>
  </si>
  <si>
    <t xml:space="preserve"> https://drive.google.com/file/d/1eJqRrgxhlI1if8_K-b_FwtO5ZuQK0mpS/view?usp=drivesdk</t>
  </si>
  <si>
    <t xml:space="preserve"> https://drive.google.com/file/d/1FKr_18uFlfP0x51-_LmnnF4ETNrzKEIb/view?usp=drivesdk</t>
  </si>
  <si>
    <t xml:space="preserve"> https://drive.google.com/file/d/1MEsNk8flqs8vDqk8GA2Eoft7mQjOh6sO/view?usp=drivesdk</t>
  </si>
  <si>
    <t xml:space="preserve"> Buyer: J.S. Medina</t>
  </si>
  <si>
    <t xml:space="preserve"> https://drive.google.com/file/d/16S9zQkvbzpL6YDQSLmIHaZFS8GnQoIuK/view?usp=drivesdk</t>
  </si>
  <si>
    <t xml:space="preserve"> https://drive.google.com/file/d/1EO_yu8YXQXYAXaPcECLPZIxmoiyKxY-5/view?usp=drivesdk</t>
  </si>
  <si>
    <t xml:space="preserve"> https://drive.google.com/file/d/1UwNvNB9bvxymZunlw81mZeHxzBoRatDE/view?usp=drivesdk</t>
  </si>
  <si>
    <t xml:space="preserve"> https://drive.google.com/file/d/1oRSpiWcMTZ6GRm6XMEjV-w0SyjSqHH-P/view?usp=drivesdk</t>
  </si>
  <si>
    <t xml:space="preserve"> To view the bidding document, please click https://drive.google.com/file/d/1LBKbjvkUWr4bnEh6xXKE5jPl5UziuzFd/view?usp=drivesdk</t>
  </si>
  <si>
    <t xml:space="preserve"> https://drive.google.com/file/d/1zJOgufhI068GBvgBMttap6_VQ94zOcIX/view?usp=drivesdk</t>
  </si>
  <si>
    <t xml:space="preserve"> to view the bidding documents, please click</t>
  </si>
  <si>
    <t xml:space="preserve"> Bid Documents are available at the office of the Punong Barangay</t>
  </si>
  <si>
    <t xml:space="preserve"> To View The Bidding DOcument Please Click</t>
  </si>
  <si>
    <t xml:space="preserve"> to view the Bidding Documents Click: </t>
  </si>
  <si>
    <t xml:space="preserve"> You may email publicbidding.dohchd5@gmail.com, for a copy of the bidding documents</t>
  </si>
  <si>
    <t xml:space="preserve"> Bidding document 500.00 Non-refundable</t>
  </si>
  <si>
    <t xml:space="preserve"> Pre-bid conference will be on June 26, 2020, 2:00 pm at MPDO, Municipal Hall, Sibulan, Negros Oriental and Opening of bids will be on July 8, 2020, 2:00 pm at the same venue.</t>
  </si>
  <si>
    <t xml:space="preserve"> 29. https://drive.google.com/file/d/1GFriRcqf1BbldME0Mq_ACwq8qywhCQ-D/view?usp=drivesdk</t>
  </si>
  <si>
    <t xml:space="preserve"> 19. https://drive.google.com/file/d/1yLj6B7-XMX3weFLgrvc_qSdyzy11Y1mo/view?usp=drivesdk</t>
  </si>
  <si>
    <t xml:space="preserve"> 30. https://drive.google.com/file/d/1JbE1bDgdPlkjVgnoKcxCn6LzY3oEpjVa/view?usp=drivesdk</t>
  </si>
  <si>
    <t xml:space="preserve"> 12.  https://drive.google.com/file/d/138NiCCcoPcwewCvhkFJM4x6X_rGZNz1H/view?usp=drivesdk</t>
  </si>
  <si>
    <t xml:space="preserve"> 18. https://drive.google.com/file/d/1ZvCoRYyw5APrP5kxWwas799eqKwFCofX/view?usp=drivesdk</t>
  </si>
  <si>
    <t xml:space="preserve"> 11. https://drive.google.com/file/d/1FTiU1xBJpBMXfz_AfshyqMIN13flTXfG/view?usp=drivesdk</t>
  </si>
  <si>
    <t xml:space="preserve"> 17. https://drive.google.com/file/d/1bn6Oc1NeuCkWgKiKqQqBHaMwoWMKiMJ2/view?usp=drivesdk</t>
  </si>
  <si>
    <t xml:space="preserve"> to view the bidding documents;https://drive.google.com/file/d/1Wh61m2KjMNDSHw1NLV7J46YHQiTPKAQS/view?usp=drivesdk</t>
  </si>
  <si>
    <t xml:space="preserve"> 10. https://drive.google.com/file/d/1YZld1GY_lxhwfm9lIwPrTIAygmS-l8rT/view?usp=drivesdk</t>
  </si>
  <si>
    <t xml:space="preserve"> 2. https://drive.google.com/file/d/1uZAEbQi9aJpffSA7HPOaiMPc28hPNqtR/view?usp=drivesdk</t>
  </si>
  <si>
    <t xml:space="preserve"> 1. https://drive.google.com/file/d/13ev0UFkHXGWa4F9yFXDdUUQupLVZZs3y/view?usp=drivesdk</t>
  </si>
  <si>
    <t xml:space="preserve"> 8. https://drive.google.com/file/d/1gobUix9EeYU1X_itrMojR7zXL2LsULNy/view?usp=drivesdk</t>
  </si>
  <si>
    <t xml:space="preserve"> 9. https://drive.google.com/file/d/1VTOy7rFzWlJCUBQXchcxTtQTRN-EYeGE/view?usp=drivesdk</t>
  </si>
  <si>
    <t xml:space="preserve"> to view the bidding documents click https://drive.google.com/file/d/1w5vdyBqRDlr9fQA_hxPBnN9GgXlirp_V/view?usp=drivesdk</t>
  </si>
  <si>
    <t xml:space="preserve"> Fund 101</t>
  </si>
  <si>
    <t xml:space="preserve"> Fund 164</t>
  </si>
  <si>
    <t xml:space="preserve"> https://drive.google.com/file/d/1PkaNyMy5EDTKNbSGscYObHDnuycUOAfg/view?usp=drivesdk</t>
  </si>
  <si>
    <t xml:space="preserve"> The BAC is conducting the public bidding for this contract in accordance with RA 9184 and its Implementing Rules and Regulations (IRR).</t>
  </si>
  <si>
    <t xml:space="preserve"> Interested bidders may obtain further information from Palawan 2nd District Engineering Office (BAC Secretariat) and inspect the Bidding Documents at the address given below during 8:00am to 5:00pm.</t>
  </si>
  <si>
    <t xml:space="preserve"> Submission of Bids June 11, 2020 until July 8, 2020 @12noon</t>
  </si>
  <si>
    <t xml:space="preserve"> Please download complete Bid Documents for your reference.</t>
  </si>
  <si>
    <t xml:space="preserve"> It may also be downloaded free of charge for the website of the Philippine Ports Authority at www.ppa.com.ph</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</si>
  <si>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</si>
  <si>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https://drive.google.com/file/d/1fjI6SwKQAp5cnWbFQuD83AgleZJujMnS/view?usp=drivesdk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</si>
  <si>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</si>
  <si>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https://drive.google.com/file/d/1J3S1xwpjJ2DndBVmJyKlKpzzdIg1UBX7/view?usp=drivesdk</t>
  </si>
  <si>
    <t xml:space="preserve"> Contact Person</t>
  </si>
  <si>
    <t xml:space="preserve"> https://drive.google.com/file/d/1Op9CkAkOnfzy89C13fTlKPO9NV_ZeUft/view?usp=drivesdk</t>
  </si>
  <si>
    <t xml:space="preserve"> Buyer: K.F. Andal</t>
  </si>
  <si>
    <t xml:space="preserve"> https://drive.google.com/file/d/1ZHHAbRTyg10HwBBhYLTCc7sTSK5VhI9O/view?usp=drivesdk</t>
  </si>
  <si>
    <t xml:space="preserve"> https://drive.google.com/file/d/19WOIURr1s2YQB2aL2GnZtntXEGwbre0S/view?usp=drivesdk</t>
  </si>
  <si>
    <t xml:space="preserve"> https://drive.google.com/file/d/1nb6vK_XpIbFLjZ0sPR_RoHGLfwhqMLdZ/view?usp=drivesdk</t>
  </si>
  <si>
    <t xml:space="preserve"> 1.	Request for Expression of Interest	:	June 11, 2020 to June 18, 2020</t>
  </si>
  <si>
    <t xml:space="preserve"> https://drive.google.com/file/d/1S6AMxFSt3QsXNHdNXda-dolkWuFZ3IkS/view?usp=drivesdk</t>
  </si>
  <si>
    <t xml:space="preserve"> https://drive.google.com/file/d/1DxYmysjvVmF2bRdJ-Mff4_KKzTU97TmU/view?usp=drivesdk</t>
  </si>
  <si>
    <t xml:space="preserve"> (i)   Allow full inspection by the Fund of all bid documentation and related records;  </t>
  </si>
  <si>
    <t xml:space="preserve"> 20CE0208: Replacement of Permanent Weak Bridges Amawinan Br. (B01981LZ) along Daang Maharlika (LZ); Invitation to Bid including Plans and other Supporting Docs</t>
  </si>
  <si>
    <t xml:space="preserve"> 20CE0207: Widening of Permanent Bridges Manicla Br. (B01968LZ) along Daang Maharlika (LZ); Invitation to Bid including Plans and other Supporting Docs</t>
  </si>
  <si>
    <t xml:space="preserve"> Concreting of Alley  Road</t>
  </si>
  <si>
    <t xml:space="preserve"> for queries, you may email MS. KIM STO. TOMAS  at kimjoyangeles@yahoo.com</t>
  </si>
  <si>
    <t xml:space="preserve"> for queries, you may contact MS. LUBELLE LUMABAS AT TEL NO. 84057233 TO 34</t>
  </si>
  <si>
    <t xml:space="preserve"> for queries, you may email Ms. Anj Emeterio at mqemeterio@gmail.com</t>
  </si>
  <si>
    <t xml:space="preserve"> AS PER INVITATION TO BID</t>
  </si>
  <si>
    <t xml:space="preserve"> REGIONAL BIDS AND AWARDS COMMITTEE – CEBU REGIONAL OFFICE</t>
  </si>
  <si>
    <t xml:space="preserve"> You can also download the items and specifications at our official website: www.cebucity.gov.ph under For </t>
  </si>
  <si>
    <t xml:space="preserve"> IMPORTANT NOTE:  					</t>
  </si>
  <si>
    <t xml:space="preserve"> for inquiries, pls contact MS. ARVIE ESTRELLA at tel no. 8-405-7233 to 34, 8-5512200 locals 2452, 2453, 2731, 2609, 2979 &amp; 2290</t>
  </si>
  <si>
    <t xml:space="preserve"> https://drive.google.com/file/d/1JiEPSL-_WivNItFo0IzRBQdfDRJ4b51j/view?usp=drivesdk</t>
  </si>
  <si>
    <t xml:space="preserve"> https://drive.google.com/file/d/1fc33Sp9qpE37s7np9HlqZpTV8hwXJGp3/view?usp=drivesdk</t>
  </si>
  <si>
    <t xml:space="preserve"> https://drive.google.com/file/d/1qA0y2qeI7amNjxmvIYNs2UycHj1huDAc/view?usp=drivesdk</t>
  </si>
  <si>
    <t xml:space="preserve"> for queries, pls. contact MS. ANJ EMETERIO at vtel nos. 8-4057234, 8-4057233, 8-5512200 locals 2452, 2453, 2290, 2979</t>
  </si>
  <si>
    <t xml:space="preserve"> 20CE0203: Construction of Multi-Purpose Buildings (Covered Court), Talavera National High School, Talavera, Nueva Ecija; Invitation to Bid including Plans and other Supporting Docs</t>
  </si>
  <si>
    <t xml:space="preserve"> 20CE0202: Construction of Multi-Purpose Building (Gymnasium), Talavera National High School, Talavera, Nueva Ecija; Invitation to Bid including Plans and other Supporting Docs</t>
  </si>
  <si>
    <t xml:space="preserve"> https://drive.google.com/file/d/1zNSuEZiSloL5kuWUnOp-YljNaI9pVKCo/view?usp=drivesdk</t>
  </si>
  <si>
    <t xml:space="preserve"> Scope of Works:</t>
  </si>
  <si>
    <t xml:space="preserve"> https://drive.google.com/file/d/1AaNPLShVUb8a0PaJwU9vo5R7eV2VoOAN/view?usp=drivesdk</t>
  </si>
  <si>
    <t xml:space="preserve"> for queries, pls. contact MS. JENKIN DY at tel no. 085512200 locals 2290, 2979, 4169, 2609</t>
  </si>
  <si>
    <t xml:space="preserve"> Please quote at your government price  inclusive of  VAT and state the time within which you can make delivery.    It will  be    appreciated if we can have your sealed quotation  at  the  UPM  Internal Audit  Office, 8th Floor PGH Central Block building not later than  1:00 PM,   16 MARCH  2020.</t>
  </si>
  <si>
    <t xml:space="preserve"> • Similar Contracts: Supply, delivery, installation, configuration and testing of Data Analytics License and/or enterprise application software</t>
  </si>
  <si>
    <t xml:space="preserve"> Please quote at your government price inclusive of VAT and state the time within which you can make delivery. It will be appreciated if we can have your  quotation duly signed by your representative at the UP Manila  PROCUREMENT OFFICE located at 8th Floor Central Block Bldg. PGH, Taft Ave., Manila not later than 1:00 PM,  13 MARCH 2020.  Or you may email your quotation at mbdeleon6@up.edu.ph</t>
  </si>
  <si>
    <t xml:space="preserve"> Bidding Documents and Plans are also downloadable in the DPWH Website</t>
  </si>
  <si>
    <t xml:space="preserve"> Bididng Documents and Plans are also downloadable in the DPWh Website</t>
  </si>
  <si>
    <t xml:space="preserve"> Please quote at your government price inclusive of VAT and state the time within which you can make delivery. It will be appreciated if we can have your sealed quotation duly signed by your representative at the UP Manila Internal Audit Office located at 8th Floor Central Block Bldg. PGH, Taft Ave., Manila not later than 1:00 PM,  13 MARCH 2020.</t>
  </si>
  <si>
    <t xml:space="preserve"> Please quote at your government price inclusive of VAT and state the time within which you can make delivery. It will be appreciated if we can have your  quotation duly signed by your representative at the UP Manila  PROCUREMENT OFFICE located at 8th Floor Central Block Bldg. PGH, Taft Ave., Manila not later than 1:00 PM,  13 MARCH 2020.  Or you may email your quotation at mbdeleon6@up.edu.ph.</t>
  </si>
  <si>
    <t xml:space="preserve"> https://drive.google.com/file/d/1vHUImqTUEA8sxppcI-jrA8Qu2iHXODms/view?usp=drivesdk</t>
  </si>
  <si>
    <t xml:space="preserve"> Source of Fund: 20% Development Fund</t>
  </si>
  <si>
    <t xml:space="preserve"> https://drive.google.com/file/d/1yFfnTorHjScb1I4UjVbO_2bjM7OvjhCi/view?usp=drivesdk</t>
  </si>
  <si>
    <t xml:space="preserve"> Source of Fund: 20% Development FUnd</t>
  </si>
  <si>
    <t xml:space="preserve"> • Similar Contracts: Dry docking and ship repair</t>
  </si>
  <si>
    <t xml:space="preserve"> Bidding Documents Alternative download link: https://drive.google.com/file/d/1Y8yrDa1NKkg8jFIjxKzc8Zukp-IgROcR/view?usp=drivesdk</t>
  </si>
  <si>
    <t xml:space="preserve"> Bidding Documents Alternative download link: https://drive.google.com/file/d/1nBG0u2BCXPOmqO8P7WMSIrk3REuQgjMe/view?usp=drivesdk</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</si>
  <si>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</si>
  <si>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</si>
  <si>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Bidding Documents Alternative download link: https://drive.google.com/file/d/1whGgoAQ61DuQ32goaJ0EFwVFinYFSBtR/view?usp=drivesdk</t>
  </si>
  <si>
    <t xml:space="preserve"> For query,  pls. contact MS. NADZ ILETO at tel no. 8-5512200 locals 2290, 2979, 2609, 4169</t>
  </si>
  <si>
    <t xml:space="preserve"> For query,  pls. contact MS. ANJ EMETERIO at tel no. 8-4057234, 8-4057233, 8-5512200 LOCALS 2452, 2453, 2731</t>
  </si>
  <si>
    <t xml:space="preserve"> PLEASE SEE ATTACHED BID DOCUMENTS</t>
  </si>
  <si>
    <t xml:space="preserve"> Bidding Documents Alternative download link: https://drive.google.com/file/d/1keVLxe-xcaWDd9n-C8xZ9A1JLT97j4U4/view?usp=drivesdk</t>
  </si>
  <si>
    <t xml:space="preserve"> For query,  pls. contact MR. JENKIN DY at tel no. 8-5512200 locals 2290, 2979, 2609, 4169</t>
  </si>
  <si>
    <t xml:space="preserve"> • Similar Contracts: Supply, Delivery, Test and Commissioning of Diesel Power Generations Systems with aggregate output capacity of at least 5.0 MW e.</t>
  </si>
  <si>
    <t xml:space="preserve"> Please quote at your government price  inclusive of  VAT and state the time within which you can make delivery.    It will  be    appreciated if we can have your sealed quotation  at  the  UPM  Internal Audit  Office, 8th Floor PGH Central Block building not later than  1:00 PM,   11 MARCH  2020.</t>
  </si>
  <si>
    <t xml:space="preserve"> please download associated documents</t>
  </si>
  <si>
    <t xml:space="preserve"> Bidding Documents Alternative download link: https://drive.google.com/file/d/1fdsQwz0IceO5pmHQzleRyPW-_yvQCkmr/view?usp=drivesdk</t>
  </si>
  <si>
    <t xml:space="preserve"> 20CE0199: Rehabilitation of Municipal Health Center, Lupao, Nueva Ecija; Invitation to Bid including Plans and other Supporting Docs</t>
  </si>
  <si>
    <t xml:space="preserve"> https://drive.google.com/file/d/15dxq8qcQWGpyxnIZ83ZRyLP9JP8VGoiA/view?usp=drivesdk</t>
  </si>
  <si>
    <t xml:space="preserve"> Pls download attached file</t>
  </si>
  <si>
    <t xml:space="preserve"> Please download soft copy of the bidding documents in the associated component section.</t>
  </si>
  <si>
    <t xml:space="preserve"> Please download soft copies of bidding documents in the associated component section.</t>
  </si>
  <si>
    <t xml:space="preserve"> https://drive.google.com/file/d/1765yUIL_TplU609gdIOkLy_Oogjdkofn/view?usp=drivesdk</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</si>
  <si>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</si>
  <si>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look for:</t>
  </si>
  <si>
    <t xml:space="preserve"> https://drive.google.com/file/d/1FRFXTNpricv_CKsGrRCZVSNCSqUEW5U2/view?usp=drivesdk</t>
  </si>
  <si>
    <t xml:space="preserve"> Also available at DPWH Website.</t>
  </si>
  <si>
    <t xml:space="preserve"> BIDDING DOCUMENTS:</t>
  </si>
  <si>
    <t xml:space="preserve"> https://drive.google.com/file/d/1lyHKapyEa3Y2QlSPcwGMStQkyj2cvxXI/view?usp=drivesdk</t>
  </si>
  <si>
    <t xml:space="preserve"> Source of Fund: MDRRMF</t>
  </si>
  <si>
    <t xml:space="preserve"> Source of Fund: SEF - Continuing Appropriations</t>
  </si>
  <si>
    <t xml:space="preserve"> Source of Fund: 20% Development Fund-Current</t>
  </si>
  <si>
    <t xml:space="preserve"> Source of Fund: Continuing Appropriation - GAD</t>
  </si>
  <si>
    <t xml:space="preserve"> Bidding Documents Link: https://drive.google.com/file/d/1MMtmI7ZQcgL7YXOp9dm19H2LRjPKHTwG/view?usp=drivesdk</t>
  </si>
  <si>
    <t xml:space="preserve"> Please see Associated Components attached</t>
  </si>
  <si>
    <t xml:space="preserve"> for queries, pls. contact MS. NADZ ILETO at tel no. 85512200 locals 2979, 2290, 2609; 8405-7233 to 34</t>
  </si>
  <si>
    <t xml:space="preserve"> for queries, pls. contact MR. CHARM FLORIDO at tel nos. 85512200 locals 2452, 2453; 84057233 to 34</t>
  </si>
  <si>
    <t>Genevieve Nuñez</t>
  </si>
  <si>
    <t>Roland Dayuno Morales</t>
  </si>
  <si>
    <t>M.A Cueva</t>
  </si>
  <si>
    <t>Arthur Molenilla Balmadrid</t>
  </si>
  <si>
    <t>Roxanne Padilla</t>
  </si>
  <si>
    <t>LYN MONTALBAN CAJUCOM</t>
  </si>
  <si>
    <t>DELIZA M CUTARA</t>
  </si>
  <si>
    <t>ELIZABETH S. FERNANDEZ</t>
  </si>
  <si>
    <t>Manuel Jesus Dufourt Roxas III</t>
  </si>
  <si>
    <t>JAZERA DINOPOL OYAO</t>
  </si>
  <si>
    <t>RONALD S LANGBAN</t>
  </si>
  <si>
    <t>Korina Sibulo Tronqued</t>
  </si>
  <si>
    <t>Arniel A. Abellonar</t>
  </si>
  <si>
    <t>Rodel H. Lim</t>
  </si>
  <si>
    <t>Harold C. Duremdes</t>
  </si>
  <si>
    <t>Mark J. Arceo</t>
  </si>
  <si>
    <t>Castor Gracilla Verdeblanco</t>
  </si>
  <si>
    <t>Roy C Gonzales</t>
  </si>
  <si>
    <t>Daniel Apilado Suyat</t>
  </si>
  <si>
    <t>RAFAEL LACBAYO SANTIAGO</t>
  </si>
  <si>
    <t>Editha Ignacio De Lemos</t>
  </si>
  <si>
    <t>Lorena Pasco Bodoso</t>
  </si>
  <si>
    <t>Amelia P. Santos</t>
  </si>
  <si>
    <t>Marife Aglosolos</t>
  </si>
  <si>
    <t>Lawrence Nacpil Carlos</t>
  </si>
  <si>
    <t>Rosevie Tallera Bartolome</t>
  </si>
  <si>
    <t>Nathaniel G Echano</t>
  </si>
  <si>
    <t>Amadel A Gonzales</t>
  </si>
  <si>
    <t>Angelika A. Paladan</t>
  </si>
  <si>
    <t>Roch Jerome L Capistrano</t>
  </si>
  <si>
    <t>Kelly Sajo</t>
  </si>
  <si>
    <t>Christian Ian Caligagan Villarin</t>
  </si>
  <si>
    <t>Chona Salonga Dizon</t>
  </si>
  <si>
    <t>Frenzel Ray Kitan Tomas</t>
  </si>
  <si>
    <t>Ryan Saguyod Apolonio</t>
  </si>
  <si>
    <t>Josie Delos Santos Villanueva</t>
  </si>
  <si>
    <t>Jed D Panes</t>
  </si>
  <si>
    <t>EMMA SARAYAN LUBRINO</t>
  </si>
  <si>
    <t>Alan Lawas</t>
  </si>
  <si>
    <t>Nurhima Injani Badol</t>
  </si>
  <si>
    <t>Rodelio Jr. Abordo Vera</t>
  </si>
  <si>
    <t>Ramer B. Panes</t>
  </si>
  <si>
    <t>Marc Alexis M Arabe</t>
  </si>
  <si>
    <t>Jevic Gadon Daguno</t>
  </si>
  <si>
    <t>Marilou Seno Villanueva</t>
  </si>
  <si>
    <t>Rosario Fe Quizon Arevalo</t>
  </si>
  <si>
    <t>Sherrymine C. Lazaga</t>
  </si>
  <si>
    <t>Joseph Cañas Hernani</t>
  </si>
  <si>
    <t>Santiaga Macavinta Deseo</t>
  </si>
  <si>
    <t>ALFREDO DANDO DELOS SANTOS</t>
  </si>
  <si>
    <t>Roxanne C. Pimentel</t>
  </si>
  <si>
    <t>Gemma Bandoy Espadero</t>
  </si>
  <si>
    <t>Nerichelle R Bobis</t>
  </si>
  <si>
    <t>Sheila Marie S Chua</t>
  </si>
  <si>
    <t>Lealoraine A. Gomez</t>
  </si>
  <si>
    <t>Cynthlyn Alfante Gutierez</t>
  </si>
  <si>
    <t>Rommel T Reamico</t>
  </si>
  <si>
    <t>Carlos J Martus</t>
  </si>
  <si>
    <t>Riza Joy Barnizo Pele-in</t>
  </si>
  <si>
    <t>Pinky Miriam D Canlas</t>
  </si>
  <si>
    <t>Katherine V Veracruz</t>
  </si>
  <si>
    <t>John Carlo V Alegre</t>
  </si>
  <si>
    <t>Ursicio Mantiza Ungab</t>
  </si>
  <si>
    <t>Rommel Oroceo Subaldo</t>
  </si>
  <si>
    <t>German Dichoson Salanio</t>
  </si>
  <si>
    <t>Zandro A. Samarista</t>
  </si>
  <si>
    <t>Ma. Felicidad Rebong Payba</t>
  </si>
  <si>
    <t>Bernadette Baua</t>
  </si>
  <si>
    <t>ALLAN JAY DE LIMA NAPIZA</t>
  </si>
  <si>
    <t>Marites Abocado Coballes</t>
  </si>
  <si>
    <t>Ronelio N Hernandez</t>
  </si>
  <si>
    <t>Manny Maturan Da-ang</t>
  </si>
  <si>
    <t>Mark Andrew Abas Dilay</t>
  </si>
  <si>
    <t>Loel Bacatan Fajardo</t>
  </si>
  <si>
    <t>Aries Ramos Alahan</t>
  </si>
  <si>
    <t>Jennylyn Fernando Macapagal</t>
  </si>
  <si>
    <t>CLARKSON KEE NAVARRO</t>
  </si>
  <si>
    <t>Rosemarie B. Rivera</t>
  </si>
  <si>
    <t>Jovellen G. Diaz</t>
  </si>
  <si>
    <t>Michael, Jr. N Quizon</t>
  </si>
  <si>
    <t>ALODIA U MAPANAO</t>
  </si>
  <si>
    <t>Lea Marie  P.  Gulloy</t>
  </si>
  <si>
    <t>Normalyn M. Florin</t>
  </si>
  <si>
    <t>Joel R Perez</t>
  </si>
  <si>
    <t>Liza C Dorado</t>
  </si>
  <si>
    <t>Melanie Calura Rufino</t>
  </si>
  <si>
    <t>Eduardo D. Fernandez</t>
  </si>
  <si>
    <t>Esmeralda Bareng Antonio</t>
  </si>
  <si>
    <t>Reynante B. Quiros</t>
  </si>
  <si>
    <t>Jomar Feliciano Doncillo</t>
  </si>
  <si>
    <t>Bazil Nacman Cabria</t>
  </si>
  <si>
    <t>ALLEN JOY M. ESCALONA</t>
  </si>
  <si>
    <t>Brian D. Lumague</t>
  </si>
  <si>
    <t>Fe P Sagre</t>
  </si>
  <si>
    <t>Buenaventura Zaldivar Flandez</t>
  </si>
  <si>
    <t>Allen G Candaliza</t>
  </si>
  <si>
    <t>Ellen M Reyes</t>
  </si>
  <si>
    <t>Arnel Correa Sabuco</t>
  </si>
  <si>
    <t>Gemma Pugong Luglug</t>
  </si>
  <si>
    <t>Vivian Enriquez Villanueva</t>
  </si>
  <si>
    <t>Michael Angelo J. Paras</t>
  </si>
  <si>
    <t>Joseph R. Sermonia</t>
  </si>
  <si>
    <t>Richard San Juan Miguel</t>
  </si>
  <si>
    <t>EDUARDO SANTILLAN DIONISIO</t>
  </si>
  <si>
    <t>Marino E Martinquilla</t>
  </si>
  <si>
    <t>Kristine Alonzo Gealan</t>
  </si>
  <si>
    <t>Eleonor Subrado</t>
  </si>
  <si>
    <t>dipolog water bac</t>
  </si>
  <si>
    <t>ANECITA A. SESPEÑE</t>
  </si>
  <si>
    <t>Irma Danganan Lugue</t>
  </si>
  <si>
    <t>Marlone Dagle Alejado</t>
  </si>
  <si>
    <t>Maylen Asuncion</t>
  </si>
  <si>
    <t>Haydee Asparin Espinosa</t>
  </si>
  <si>
    <t>Melchor Talosig Halog</t>
  </si>
  <si>
    <t>Veronica CV Esguerra</t>
  </si>
  <si>
    <t>Jhea E Ebal</t>
  </si>
  <si>
    <t>Rowena De la Vida Prado</t>
  </si>
  <si>
    <t>Aurelia Araoarao Bongcac</t>
  </si>
  <si>
    <t>TECHIE SAYAG MANARANG</t>
  </si>
  <si>
    <t>Socorro Brenda Acuna</t>
  </si>
  <si>
    <t>Glory Vi A. Mesina</t>
  </si>
  <si>
    <t>Alerry Layog</t>
  </si>
  <si>
    <t>Engimer A. Ludovice</t>
  </si>
  <si>
    <t>SALMA QUIBAYEN PADILLA</t>
  </si>
  <si>
    <t>Victor Ariong Aglipay</t>
  </si>
  <si>
    <t>Maria Cristina Macarayan Dapal</t>
  </si>
  <si>
    <t>Brett Andrew Surell</t>
  </si>
  <si>
    <t>REYSHA  T.  QUIMADO</t>
  </si>
  <si>
    <t>BIENVENIDA PAMAN DULCERO</t>
  </si>
  <si>
    <t>ROEL B CADAGAT</t>
  </si>
  <si>
    <t>GRIFFRINEO C. FLORES</t>
  </si>
  <si>
    <t>Ramon Jr. Paras Dela Cruz</t>
  </si>
  <si>
    <t>Vanezza Blanche F Agbayani</t>
  </si>
  <si>
    <t>Sharmaine J. Vicente</t>
  </si>
  <si>
    <t>Michael Rey Villaluz Biado</t>
  </si>
  <si>
    <t>Olive V Ferreras</t>
  </si>
  <si>
    <t>Joseph Rommel A Bascar</t>
  </si>
  <si>
    <t>Generoso Jr. Projillo Maghopoy</t>
  </si>
  <si>
    <t>VALERIE VERBO SAGIBO</t>
  </si>
  <si>
    <t>Zosimo B. Coloma</t>
  </si>
  <si>
    <t>Penarando Surquia</t>
  </si>
  <si>
    <t>Patria Pailan Guizano</t>
  </si>
  <si>
    <t>MARY ANNE C LADO</t>
  </si>
  <si>
    <t>Juanito Biadnes Acorin</t>
  </si>
  <si>
    <t>Cyrene T Palparan</t>
  </si>
  <si>
    <t>Leonor F.  Santos</t>
  </si>
  <si>
    <t>Kristine Joy Fernandez Dacasin</t>
  </si>
  <si>
    <t>SAUDI AGUANTA ARABE</t>
  </si>
  <si>
    <t>Gilbert C Mondroy</t>
  </si>
  <si>
    <t>29/01/2018</t>
  </si>
  <si>
    <t>10/11/2019</t>
  </si>
  <si>
    <t>11/04/2020</t>
  </si>
  <si>
    <t>02/01/2020</t>
  </si>
  <si>
    <t>15/09/2019</t>
  </si>
  <si>
    <t>11/05/2020</t>
  </si>
  <si>
    <t>22/03/2020</t>
  </si>
  <si>
    <t>04/01/2019</t>
  </si>
  <si>
    <t>23/04/2020</t>
  </si>
  <si>
    <t>18/05/2020</t>
  </si>
  <si>
    <t>05/05/2020</t>
  </si>
  <si>
    <t>24/05/2020</t>
  </si>
  <si>
    <t>29/04/2020</t>
  </si>
  <si>
    <t>19/04/2020</t>
  </si>
  <si>
    <t>29/03/2020</t>
  </si>
  <si>
    <t>04/04/2020</t>
  </si>
  <si>
    <t>15/03/2020</t>
  </si>
  <si>
    <t>25/04/2020</t>
  </si>
  <si>
    <t>08/02/2020</t>
  </si>
  <si>
    <t>13/02/2020</t>
  </si>
  <si>
    <t>21/01/2020</t>
  </si>
  <si>
    <t>28/01/2020</t>
  </si>
  <si>
    <t>05/02/2020</t>
  </si>
  <si>
    <t>22/08/2019</t>
  </si>
  <si>
    <t>30/10/2019</t>
  </si>
  <si>
    <t>19/12/2019</t>
  </si>
  <si>
    <t>06/01/2020</t>
  </si>
  <si>
    <t>05/11/2019</t>
  </si>
  <si>
    <t>05/12/2019</t>
  </si>
  <si>
    <t>15/01/2020</t>
  </si>
  <si>
    <t>23/02/2020</t>
  </si>
  <si>
    <t>01/03/2020</t>
  </si>
  <si>
    <t>16/04/2020</t>
  </si>
  <si>
    <t>23/03/2020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</si>
</sst>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21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HYPERLINK("https://www.philgeps.gov.ph/GEPSNONPILOT/Tender/SplashBidNoticeAbstractUI.aspx?menuIndex=3&amp;refID=7031781&amp;Result=3","7031781")</f>
        <v>0</v>
      </c>
      <c r="B2" t="s">
        <v>24</v>
      </c>
      <c r="C2" t="s">
        <v>3532</v>
      </c>
      <c r="D2" t="s">
        <v>18100</v>
      </c>
      <c r="E2" t="s">
        <v>18201</v>
      </c>
      <c r="F2" t="s">
        <v>31362</v>
      </c>
      <c r="G2" t="s">
        <v>31368</v>
      </c>
      <c r="H2" t="s">
        <v>15799</v>
      </c>
      <c r="I2" t="s">
        <v>31380</v>
      </c>
      <c r="J2" t="s">
        <v>31517</v>
      </c>
      <c r="K2" t="s">
        <v>40661</v>
      </c>
      <c r="M2" t="s">
        <v>40958</v>
      </c>
      <c r="N2" t="s">
        <v>44905</v>
      </c>
      <c r="O2" t="s">
        <v>44906</v>
      </c>
      <c r="P2">
        <v>0</v>
      </c>
      <c r="Q2">
        <v>1</v>
      </c>
      <c r="R2" t="s">
        <v>44907</v>
      </c>
      <c r="S2" t="s">
        <v>45026</v>
      </c>
      <c r="T2" t="s">
        <v>46391</v>
      </c>
      <c r="U2" t="s">
        <v>46920</v>
      </c>
      <c r="V2" t="s">
        <v>59047</v>
      </c>
      <c r="W2" t="s">
        <v>40958</v>
      </c>
      <c r="X2" t="s">
        <v>44935</v>
      </c>
    </row>
    <row r="3" spans="1:24">
      <c r="A3">
        <f>HYPERLINK("https://www.philgeps.gov.ph/GEPSNONPILOT/Tender/SplashBidNoticeAbstractUI.aspx?menuIndex=3&amp;refID=7050808&amp;Result=3","7050808")</f>
        <v>0</v>
      </c>
      <c r="B3" t="s">
        <v>25</v>
      </c>
      <c r="C3" t="s">
        <v>3533</v>
      </c>
      <c r="E3" t="s">
        <v>18202</v>
      </c>
      <c r="F3" t="s">
        <v>31362</v>
      </c>
      <c r="G3" t="s">
        <v>31369</v>
      </c>
      <c r="H3" t="s">
        <v>15799</v>
      </c>
      <c r="I3" t="s">
        <v>31381</v>
      </c>
      <c r="J3" t="s">
        <v>31518</v>
      </c>
      <c r="K3" t="s">
        <v>40662</v>
      </c>
      <c r="M3" t="s">
        <v>40959</v>
      </c>
      <c r="N3" t="s">
        <v>44905</v>
      </c>
      <c r="O3" t="s">
        <v>44906</v>
      </c>
      <c r="P3">
        <v>0</v>
      </c>
      <c r="Q3">
        <v>3</v>
      </c>
      <c r="R3" t="s">
        <v>44907</v>
      </c>
      <c r="S3" t="s">
        <v>45026</v>
      </c>
      <c r="T3" t="s">
        <v>46392</v>
      </c>
      <c r="U3" t="s">
        <v>46921</v>
      </c>
      <c r="V3" t="s">
        <v>59048</v>
      </c>
      <c r="W3" t="s">
        <v>40959</v>
      </c>
      <c r="X3" t="s">
        <v>44923</v>
      </c>
    </row>
    <row r="4" spans="1:24">
      <c r="A4">
        <f>HYPERLINK("https://www.philgeps.gov.ph/GEPSNONPILOT/Tender/SplashBidNoticeAbstractUI.aspx?menuIndex=3&amp;refID=7031763&amp;Result=3","7031763")</f>
        <v>0</v>
      </c>
      <c r="B4" t="s">
        <v>24</v>
      </c>
      <c r="C4" t="s">
        <v>3534</v>
      </c>
      <c r="D4" t="s">
        <v>18100</v>
      </c>
      <c r="E4" t="s">
        <v>18203</v>
      </c>
      <c r="F4" t="s">
        <v>31362</v>
      </c>
      <c r="G4" t="s">
        <v>31368</v>
      </c>
      <c r="H4" t="s">
        <v>15799</v>
      </c>
      <c r="I4" t="s">
        <v>31382</v>
      </c>
      <c r="J4" t="s">
        <v>31519</v>
      </c>
      <c r="K4" t="s">
        <v>40661</v>
      </c>
      <c r="M4" t="s">
        <v>40958</v>
      </c>
      <c r="N4" t="s">
        <v>44905</v>
      </c>
      <c r="O4" t="s">
        <v>44906</v>
      </c>
      <c r="P4">
        <v>0</v>
      </c>
      <c r="Q4">
        <v>2</v>
      </c>
      <c r="R4" t="s">
        <v>44907</v>
      </c>
      <c r="S4" t="s">
        <v>45026</v>
      </c>
      <c r="T4" t="s">
        <v>46391</v>
      </c>
      <c r="U4" t="s">
        <v>46922</v>
      </c>
      <c r="V4" t="s">
        <v>59049</v>
      </c>
      <c r="W4" t="s">
        <v>40958</v>
      </c>
      <c r="X4" t="s">
        <v>44935</v>
      </c>
    </row>
    <row r="5" spans="1:24">
      <c r="A5">
        <f>HYPERLINK("https://www.philgeps.gov.ph/GEPSNONPILOT/Tender/SplashBidNoticeAbstractUI.aspx?menuIndex=3&amp;refID=7050817&amp;Result=3","7050817")</f>
        <v>0</v>
      </c>
      <c r="B5" t="s">
        <v>25</v>
      </c>
      <c r="C5" t="s">
        <v>3535</v>
      </c>
      <c r="E5" t="s">
        <v>18204</v>
      </c>
      <c r="F5" t="s">
        <v>31362</v>
      </c>
      <c r="G5" t="s">
        <v>31369</v>
      </c>
      <c r="H5" t="s">
        <v>15799</v>
      </c>
      <c r="I5" t="s">
        <v>31383</v>
      </c>
      <c r="J5" t="s">
        <v>31520</v>
      </c>
      <c r="K5" t="s">
        <v>40662</v>
      </c>
      <c r="M5" t="s">
        <v>40959</v>
      </c>
      <c r="N5" t="s">
        <v>44905</v>
      </c>
      <c r="O5" t="s">
        <v>44906</v>
      </c>
      <c r="P5">
        <v>0</v>
      </c>
      <c r="Q5">
        <v>1</v>
      </c>
      <c r="R5" t="s">
        <v>44907</v>
      </c>
      <c r="S5" t="s">
        <v>45026</v>
      </c>
      <c r="T5" t="s">
        <v>46392</v>
      </c>
      <c r="U5" t="s">
        <v>46923</v>
      </c>
      <c r="V5" t="s">
        <v>59048</v>
      </c>
      <c r="W5" t="s">
        <v>40959</v>
      </c>
      <c r="X5" t="s">
        <v>44923</v>
      </c>
    </row>
    <row r="6" spans="1:24">
      <c r="A6">
        <f>HYPERLINK("https://www.philgeps.gov.ph/GEPSNONPILOT/Tender/SplashBidNoticeAbstractUI.aspx?menuIndex=3&amp;refID=7062436&amp;Result=3","7062436")</f>
        <v>0</v>
      </c>
      <c r="B6" t="s">
        <v>26</v>
      </c>
      <c r="C6" t="s">
        <v>3536</v>
      </c>
      <c r="E6" t="s">
        <v>18205</v>
      </c>
      <c r="F6" t="s">
        <v>31362</v>
      </c>
      <c r="G6" t="s">
        <v>31370</v>
      </c>
      <c r="H6" t="s">
        <v>15799</v>
      </c>
      <c r="I6" t="s">
        <v>6373</v>
      </c>
      <c r="J6" t="s">
        <v>31521</v>
      </c>
      <c r="K6" t="s">
        <v>40662</v>
      </c>
      <c r="M6" t="s">
        <v>40960</v>
      </c>
      <c r="N6" t="s">
        <v>44905</v>
      </c>
      <c r="O6" t="s">
        <v>44906</v>
      </c>
      <c r="P6">
        <v>0</v>
      </c>
      <c r="Q6">
        <v>1</v>
      </c>
      <c r="R6" t="s">
        <v>44907</v>
      </c>
      <c r="S6" t="s">
        <v>45026</v>
      </c>
      <c r="T6" t="s">
        <v>46393</v>
      </c>
      <c r="U6" t="s">
        <v>46924</v>
      </c>
      <c r="W6" t="s">
        <v>40960</v>
      </c>
      <c r="X6" t="s">
        <v>44917</v>
      </c>
    </row>
    <row r="7" spans="1:24">
      <c r="A7">
        <f>HYPERLINK("https://www.philgeps.gov.ph/GEPSNONPILOT/Tender/SplashBidNoticeAbstractUI.aspx?menuIndex=3&amp;refID=7050796&amp;Result=3","7050796")</f>
        <v>0</v>
      </c>
      <c r="B7" t="s">
        <v>25</v>
      </c>
      <c r="C7" t="s">
        <v>3537</v>
      </c>
      <c r="E7" t="s">
        <v>18206</v>
      </c>
      <c r="F7" t="s">
        <v>31362</v>
      </c>
      <c r="G7" t="s">
        <v>31369</v>
      </c>
      <c r="H7" t="s">
        <v>15799</v>
      </c>
      <c r="I7" t="s">
        <v>31384</v>
      </c>
      <c r="J7" t="s">
        <v>31522</v>
      </c>
      <c r="K7" t="s">
        <v>40662</v>
      </c>
      <c r="M7" t="s">
        <v>40959</v>
      </c>
      <c r="N7" t="s">
        <v>44905</v>
      </c>
      <c r="O7" t="s">
        <v>44906</v>
      </c>
      <c r="P7">
        <v>0</v>
      </c>
      <c r="Q7">
        <v>2</v>
      </c>
      <c r="R7" t="s">
        <v>44907</v>
      </c>
      <c r="S7" t="s">
        <v>45026</v>
      </c>
      <c r="T7" t="s">
        <v>46392</v>
      </c>
      <c r="U7" t="s">
        <v>46925</v>
      </c>
      <c r="V7" t="s">
        <v>59048</v>
      </c>
      <c r="W7" t="s">
        <v>40959</v>
      </c>
      <c r="X7" t="s">
        <v>44923</v>
      </c>
    </row>
    <row r="8" spans="1:24">
      <c r="A8">
        <f>HYPERLINK("https://www.philgeps.gov.ph/GEPSNONPILOT/Tender/SplashBidNoticeAbstractUI.aspx?menuIndex=3&amp;refID=7049642-2&amp;Result=3","7049642-2")</f>
        <v>0</v>
      </c>
      <c r="B8" t="s">
        <v>27</v>
      </c>
      <c r="C8" t="s">
        <v>3538</v>
      </c>
      <c r="D8" t="s">
        <v>18101</v>
      </c>
      <c r="E8" t="s">
        <v>18207</v>
      </c>
      <c r="F8" t="s">
        <v>31362</v>
      </c>
      <c r="G8" t="s">
        <v>31369</v>
      </c>
      <c r="H8" t="s">
        <v>31377</v>
      </c>
      <c r="I8" t="s">
        <v>31377</v>
      </c>
      <c r="J8" t="s">
        <v>31523</v>
      </c>
      <c r="K8" t="s">
        <v>40663</v>
      </c>
      <c r="M8" t="s">
        <v>40961</v>
      </c>
      <c r="N8" t="s">
        <v>44905</v>
      </c>
      <c r="O8" t="s">
        <v>44906</v>
      </c>
      <c r="P8">
        <v>0</v>
      </c>
      <c r="Q8">
        <v>0</v>
      </c>
      <c r="R8" t="s">
        <v>44907</v>
      </c>
      <c r="S8" t="s">
        <v>45026</v>
      </c>
      <c r="T8" t="s">
        <v>46392</v>
      </c>
      <c r="U8" t="s">
        <v>46926</v>
      </c>
      <c r="W8" t="s">
        <v>40961</v>
      </c>
      <c r="X8" t="s">
        <v>44908</v>
      </c>
    </row>
    <row r="9" spans="1:24">
      <c r="A9">
        <f>HYPERLINK("https://www.philgeps.gov.ph/GEPSNONPILOT/Tender/SplashBidNoticeAbstractUI.aspx?menuIndex=3&amp;refID=7049625-2&amp;Result=3","7049625-2")</f>
        <v>0</v>
      </c>
      <c r="B9" t="s">
        <v>27</v>
      </c>
      <c r="C9" t="s">
        <v>3539</v>
      </c>
      <c r="D9" t="s">
        <v>18101</v>
      </c>
      <c r="E9" t="s">
        <v>18208</v>
      </c>
      <c r="F9" t="s">
        <v>31362</v>
      </c>
      <c r="G9" t="s">
        <v>31369</v>
      </c>
      <c r="H9" t="s">
        <v>31377</v>
      </c>
      <c r="I9" t="s">
        <v>31377</v>
      </c>
      <c r="J9" t="s">
        <v>31524</v>
      </c>
      <c r="K9" t="s">
        <v>40664</v>
      </c>
      <c r="M9" t="s">
        <v>40961</v>
      </c>
      <c r="N9" t="s">
        <v>44905</v>
      </c>
      <c r="O9" t="s">
        <v>44906</v>
      </c>
      <c r="P9">
        <v>0</v>
      </c>
      <c r="Q9">
        <v>0</v>
      </c>
      <c r="R9" t="s">
        <v>44907</v>
      </c>
      <c r="S9" t="s">
        <v>45026</v>
      </c>
      <c r="T9" t="s">
        <v>46392</v>
      </c>
      <c r="U9" t="s">
        <v>46927</v>
      </c>
      <c r="W9" t="s">
        <v>40961</v>
      </c>
      <c r="X9" t="s">
        <v>44908</v>
      </c>
    </row>
    <row r="10" spans="1:24">
      <c r="A10">
        <f>HYPERLINK("https://www.philgeps.gov.ph/GEPSNONPILOT/Tender/SplashBidNoticeAbstractUI.aspx?menuIndex=3&amp;refID=7043146&amp;Result=3","7043146")</f>
        <v>0</v>
      </c>
      <c r="B10" t="s">
        <v>28</v>
      </c>
      <c r="C10" t="s">
        <v>3540</v>
      </c>
      <c r="D10" t="s">
        <v>18102</v>
      </c>
      <c r="E10" t="s">
        <v>18209</v>
      </c>
      <c r="F10" t="s">
        <v>31362</v>
      </c>
      <c r="G10" t="s">
        <v>31368</v>
      </c>
      <c r="H10" t="s">
        <v>31378</v>
      </c>
      <c r="I10" t="s">
        <v>3582</v>
      </c>
      <c r="J10" t="s">
        <v>31525</v>
      </c>
      <c r="K10" t="s">
        <v>40665</v>
      </c>
      <c r="M10" t="s">
        <v>40962</v>
      </c>
      <c r="N10" t="s">
        <v>44905</v>
      </c>
      <c r="O10" t="s">
        <v>44906</v>
      </c>
      <c r="P10">
        <v>0</v>
      </c>
      <c r="Q10">
        <v>0</v>
      </c>
      <c r="R10" t="s">
        <v>44907</v>
      </c>
      <c r="S10" t="s">
        <v>45026</v>
      </c>
      <c r="T10" t="s">
        <v>46392</v>
      </c>
      <c r="U10" t="s">
        <v>46928</v>
      </c>
      <c r="W10" t="s">
        <v>40962</v>
      </c>
      <c r="X10" t="s">
        <v>44929</v>
      </c>
    </row>
    <row r="11" spans="1:24">
      <c r="A11">
        <f>HYPERLINK("https://www.philgeps.gov.ph/GEPSNONPILOT/Tender/SplashBidNoticeAbstractUI.aspx?menuIndex=3&amp;refID=7066154&amp;Result=3","7066154")</f>
        <v>0</v>
      </c>
      <c r="B11" t="s">
        <v>29</v>
      </c>
      <c r="C11" t="s">
        <v>3541</v>
      </c>
      <c r="D11" t="s">
        <v>18103</v>
      </c>
      <c r="E11" t="s">
        <v>18210</v>
      </c>
      <c r="F11" t="s">
        <v>31362</v>
      </c>
      <c r="G11" t="s">
        <v>31370</v>
      </c>
      <c r="H11" t="s">
        <v>15799</v>
      </c>
      <c r="I11" t="s">
        <v>31385</v>
      </c>
      <c r="J11" t="s">
        <v>31526</v>
      </c>
      <c r="K11" t="s">
        <v>40666</v>
      </c>
      <c r="M11" t="s">
        <v>40963</v>
      </c>
      <c r="N11" t="s">
        <v>44905</v>
      </c>
      <c r="O11" t="s">
        <v>44906</v>
      </c>
      <c r="P11">
        <v>0</v>
      </c>
      <c r="Q11">
        <v>7</v>
      </c>
      <c r="R11" t="s">
        <v>44907</v>
      </c>
      <c r="S11" t="s">
        <v>45026</v>
      </c>
      <c r="T11" t="s">
        <v>46394</v>
      </c>
      <c r="U11" t="s">
        <v>46929</v>
      </c>
      <c r="W11" t="s">
        <v>40963</v>
      </c>
      <c r="X11" t="s">
        <v>44916</v>
      </c>
    </row>
    <row r="12" spans="1:24">
      <c r="A12">
        <f>HYPERLINK("https://www.philgeps.gov.ph/GEPSNONPILOT/Tender/SplashBidNoticeAbstractUI.aspx?menuIndex=3&amp;refID=7050803&amp;Result=3","7050803")</f>
        <v>0</v>
      </c>
      <c r="B12" t="s">
        <v>25</v>
      </c>
      <c r="C12" t="s">
        <v>3542</v>
      </c>
      <c r="E12" t="s">
        <v>18211</v>
      </c>
      <c r="F12" t="s">
        <v>31362</v>
      </c>
      <c r="G12" t="s">
        <v>31369</v>
      </c>
      <c r="H12" t="s">
        <v>15799</v>
      </c>
      <c r="I12" t="s">
        <v>31384</v>
      </c>
      <c r="J12" t="s">
        <v>31527</v>
      </c>
      <c r="K12" t="s">
        <v>40662</v>
      </c>
      <c r="M12" t="s">
        <v>40959</v>
      </c>
      <c r="N12" t="s">
        <v>44905</v>
      </c>
      <c r="O12" t="s">
        <v>44906</v>
      </c>
      <c r="P12">
        <v>0</v>
      </c>
      <c r="Q12">
        <v>2</v>
      </c>
      <c r="R12" t="s">
        <v>44907</v>
      </c>
      <c r="S12" t="s">
        <v>45026</v>
      </c>
      <c r="T12" t="s">
        <v>46392</v>
      </c>
      <c r="U12" t="s">
        <v>46925</v>
      </c>
      <c r="V12" t="s">
        <v>59048</v>
      </c>
      <c r="W12" t="s">
        <v>40959</v>
      </c>
      <c r="X12" t="s">
        <v>44923</v>
      </c>
    </row>
    <row r="13" spans="1:24">
      <c r="A13">
        <f>HYPERLINK("https://www.philgeps.gov.ph/GEPSNONPILOT/Tender/SplashBidNoticeAbstractUI.aspx?menuIndex=3&amp;refID=7063436&amp;Result=3","7063436")</f>
        <v>0</v>
      </c>
      <c r="B13" t="s">
        <v>26</v>
      </c>
      <c r="C13" t="s">
        <v>3543</v>
      </c>
      <c r="E13" t="s">
        <v>18212</v>
      </c>
      <c r="F13" t="s">
        <v>31362</v>
      </c>
      <c r="G13" t="s">
        <v>31370</v>
      </c>
      <c r="H13" t="s">
        <v>15799</v>
      </c>
      <c r="I13" t="s">
        <v>6373</v>
      </c>
      <c r="J13" t="s">
        <v>31528</v>
      </c>
      <c r="K13" t="s">
        <v>40662</v>
      </c>
      <c r="M13" t="s">
        <v>40960</v>
      </c>
      <c r="N13" t="s">
        <v>44905</v>
      </c>
      <c r="O13" t="s">
        <v>44906</v>
      </c>
      <c r="P13">
        <v>0</v>
      </c>
      <c r="Q13">
        <v>0</v>
      </c>
      <c r="R13" t="s">
        <v>44907</v>
      </c>
      <c r="S13" t="s">
        <v>45026</v>
      </c>
      <c r="T13" t="s">
        <v>46393</v>
      </c>
      <c r="U13" t="s">
        <v>46924</v>
      </c>
      <c r="W13" t="s">
        <v>40960</v>
      </c>
      <c r="X13" t="s">
        <v>44917</v>
      </c>
    </row>
    <row r="14" spans="1:24">
      <c r="A14">
        <f>HYPERLINK("https://www.philgeps.gov.ph/GEPSNONPILOT/Tender/SplashBidNoticeAbstractUI.aspx?menuIndex=3&amp;refID=7065645&amp;Result=3","7065645")</f>
        <v>0</v>
      </c>
      <c r="B14" t="s">
        <v>30</v>
      </c>
      <c r="C14" t="s">
        <v>3544</v>
      </c>
      <c r="D14" t="s">
        <v>18104</v>
      </c>
      <c r="E14" t="s">
        <v>18213</v>
      </c>
      <c r="F14" t="s">
        <v>31362</v>
      </c>
      <c r="G14" t="s">
        <v>31369</v>
      </c>
      <c r="H14" t="s">
        <v>15799</v>
      </c>
      <c r="I14" t="s">
        <v>7188</v>
      </c>
      <c r="J14" t="s">
        <v>31529</v>
      </c>
      <c r="K14" t="s">
        <v>40665</v>
      </c>
      <c r="M14" t="s">
        <v>40964</v>
      </c>
      <c r="N14" t="s">
        <v>44905</v>
      </c>
      <c r="O14" t="s">
        <v>44906</v>
      </c>
      <c r="P14">
        <v>0</v>
      </c>
      <c r="Q14">
        <v>1</v>
      </c>
      <c r="R14" t="s">
        <v>44907</v>
      </c>
      <c r="S14" t="s">
        <v>45026</v>
      </c>
      <c r="T14" t="s">
        <v>46395</v>
      </c>
      <c r="U14" t="s">
        <v>46930</v>
      </c>
      <c r="W14" t="s">
        <v>40964</v>
      </c>
      <c r="X14" t="s">
        <v>44916</v>
      </c>
    </row>
    <row r="15" spans="1:24">
      <c r="A15">
        <f>HYPERLINK("https://www.philgeps.gov.ph/GEPSNONPILOT/Tender/SplashBidNoticeAbstractUI.aspx?menuIndex=3&amp;refID=7064739&amp;Result=3","7064739")</f>
        <v>0</v>
      </c>
      <c r="B15" t="s">
        <v>31</v>
      </c>
      <c r="C15" t="s">
        <v>3545</v>
      </c>
      <c r="D15" t="s">
        <v>18105</v>
      </c>
      <c r="E15" t="s">
        <v>18214</v>
      </c>
      <c r="F15" t="s">
        <v>31362</v>
      </c>
      <c r="G15" t="s">
        <v>31369</v>
      </c>
      <c r="H15" t="s">
        <v>31378</v>
      </c>
      <c r="I15" t="s">
        <v>31386</v>
      </c>
      <c r="J15" t="s">
        <v>31530</v>
      </c>
      <c r="K15" t="s">
        <v>40667</v>
      </c>
      <c r="M15" t="s">
        <v>40965</v>
      </c>
      <c r="N15" t="s">
        <v>44905</v>
      </c>
      <c r="O15" t="s">
        <v>44906</v>
      </c>
      <c r="P15">
        <v>0</v>
      </c>
      <c r="Q15">
        <v>0</v>
      </c>
      <c r="R15" t="s">
        <v>44907</v>
      </c>
      <c r="S15" t="s">
        <v>45026</v>
      </c>
      <c r="T15" t="s">
        <v>46396</v>
      </c>
      <c r="U15" t="s">
        <v>46931</v>
      </c>
      <c r="W15" t="s">
        <v>40965</v>
      </c>
      <c r="X15" t="s">
        <v>44916</v>
      </c>
    </row>
    <row r="16" spans="1:24">
      <c r="A16">
        <f>HYPERLINK("https://www.philgeps.gov.ph/GEPSNONPILOT/Tender/SplashBidNoticeAbstractUI.aspx?menuIndex=3&amp;refID=7064700&amp;Result=3","7064700")</f>
        <v>0</v>
      </c>
      <c r="B16" t="s">
        <v>32</v>
      </c>
      <c r="C16" t="s">
        <v>3545</v>
      </c>
      <c r="D16" t="s">
        <v>18105</v>
      </c>
      <c r="E16" t="s">
        <v>18215</v>
      </c>
      <c r="F16" t="s">
        <v>31362</v>
      </c>
      <c r="G16" t="s">
        <v>31369</v>
      </c>
      <c r="H16" t="s">
        <v>31378</v>
      </c>
      <c r="I16" t="s">
        <v>31386</v>
      </c>
      <c r="J16" t="s">
        <v>31531</v>
      </c>
      <c r="K16" t="s">
        <v>40668</v>
      </c>
      <c r="M16" t="s">
        <v>40966</v>
      </c>
      <c r="N16" t="s">
        <v>44905</v>
      </c>
      <c r="O16" t="s">
        <v>44906</v>
      </c>
      <c r="P16">
        <v>0</v>
      </c>
      <c r="Q16">
        <v>0</v>
      </c>
      <c r="R16" t="s">
        <v>44907</v>
      </c>
      <c r="S16" t="s">
        <v>45026</v>
      </c>
      <c r="T16" t="s">
        <v>46396</v>
      </c>
      <c r="U16" t="s">
        <v>46932</v>
      </c>
      <c r="W16" t="s">
        <v>40966</v>
      </c>
      <c r="X16" t="s">
        <v>44916</v>
      </c>
    </row>
    <row r="17" spans="1:24">
      <c r="A17">
        <f>HYPERLINK("https://www.philgeps.gov.ph/GEPSNONPILOT/Tender/SplashBidNoticeAbstractUI.aspx?menuIndex=3&amp;refID=7067994&amp;Result=3","7067994")</f>
        <v>0</v>
      </c>
      <c r="B17" t="s">
        <v>33</v>
      </c>
      <c r="C17" t="s">
        <v>3546</v>
      </c>
      <c r="D17" t="s">
        <v>18106</v>
      </c>
      <c r="E17" t="s">
        <v>18216</v>
      </c>
      <c r="F17" t="s">
        <v>31362</v>
      </c>
      <c r="G17" t="s">
        <v>31368</v>
      </c>
      <c r="H17" t="s">
        <v>31378</v>
      </c>
      <c r="I17" t="s">
        <v>31387</v>
      </c>
      <c r="J17" t="s">
        <v>31532</v>
      </c>
      <c r="K17" t="s">
        <v>40661</v>
      </c>
      <c r="M17" t="s">
        <v>40967</v>
      </c>
      <c r="N17" t="s">
        <v>44905</v>
      </c>
      <c r="O17" t="s">
        <v>44906</v>
      </c>
      <c r="P17">
        <v>0</v>
      </c>
      <c r="Q17">
        <v>0</v>
      </c>
      <c r="R17" t="s">
        <v>44907</v>
      </c>
      <c r="S17" t="s">
        <v>45026</v>
      </c>
      <c r="T17" t="s">
        <v>46397</v>
      </c>
      <c r="U17" t="s">
        <v>46933</v>
      </c>
      <c r="W17" t="s">
        <v>40967</v>
      </c>
      <c r="X17" t="s">
        <v>44915</v>
      </c>
    </row>
    <row r="18" spans="1:24">
      <c r="A18">
        <f>HYPERLINK("https://www.philgeps.gov.ph/GEPSNONPILOT/Tender/SplashBidNoticeAbstractUI.aspx?menuIndex=3&amp;refID=7031801&amp;Result=3","7031801")</f>
        <v>0</v>
      </c>
      <c r="B18" t="s">
        <v>24</v>
      </c>
      <c r="C18" t="s">
        <v>3547</v>
      </c>
      <c r="D18" t="s">
        <v>18100</v>
      </c>
      <c r="E18" t="s">
        <v>18217</v>
      </c>
      <c r="F18" t="s">
        <v>31362</v>
      </c>
      <c r="G18" t="s">
        <v>31368</v>
      </c>
      <c r="H18" t="s">
        <v>15799</v>
      </c>
      <c r="I18" t="s">
        <v>6373</v>
      </c>
      <c r="J18" t="s">
        <v>31533</v>
      </c>
      <c r="K18" t="s">
        <v>40661</v>
      </c>
      <c r="M18" t="s">
        <v>40958</v>
      </c>
      <c r="N18" t="s">
        <v>44905</v>
      </c>
      <c r="O18" t="s">
        <v>44906</v>
      </c>
      <c r="P18">
        <v>0</v>
      </c>
      <c r="Q18">
        <v>1</v>
      </c>
      <c r="R18" t="s">
        <v>44907</v>
      </c>
      <c r="S18" t="s">
        <v>45026</v>
      </c>
      <c r="T18" t="s">
        <v>46391</v>
      </c>
      <c r="U18" t="s">
        <v>46934</v>
      </c>
      <c r="V18" t="s">
        <v>59050</v>
      </c>
      <c r="W18" t="s">
        <v>40958</v>
      </c>
      <c r="X18" t="s">
        <v>44935</v>
      </c>
    </row>
    <row r="19" spans="1:24">
      <c r="A19">
        <f>HYPERLINK("https://www.philgeps.gov.ph/GEPSNONPILOT/Tender/SplashBidNoticeAbstractUI.aspx?menuIndex=3&amp;refID=7073929&amp;Result=3","7073929")</f>
        <v>0</v>
      </c>
      <c r="B19" t="s">
        <v>34</v>
      </c>
      <c r="C19" t="s">
        <v>3548</v>
      </c>
      <c r="D19" t="s">
        <v>18107</v>
      </c>
      <c r="E19" t="s">
        <v>18218</v>
      </c>
      <c r="F19" t="s">
        <v>31362</v>
      </c>
      <c r="G19" t="s">
        <v>31369</v>
      </c>
      <c r="H19" t="s">
        <v>31378</v>
      </c>
      <c r="I19" t="s">
        <v>31386</v>
      </c>
      <c r="J19" t="s">
        <v>31534</v>
      </c>
      <c r="K19" t="s">
        <v>40669</v>
      </c>
      <c r="M19" t="s">
        <v>40968</v>
      </c>
      <c r="N19" t="s">
        <v>44905</v>
      </c>
      <c r="O19" t="s">
        <v>44906</v>
      </c>
      <c r="P19">
        <v>0</v>
      </c>
      <c r="Q19">
        <v>0</v>
      </c>
      <c r="R19" t="s">
        <v>44907</v>
      </c>
      <c r="S19" t="s">
        <v>45026</v>
      </c>
      <c r="T19" t="s">
        <v>46398</v>
      </c>
      <c r="U19" t="s">
        <v>46935</v>
      </c>
      <c r="V19" t="s">
        <v>59051</v>
      </c>
      <c r="W19" t="s">
        <v>40968</v>
      </c>
      <c r="X19" t="s">
        <v>44911</v>
      </c>
    </row>
    <row r="20" spans="1:24">
      <c r="A20">
        <f>HYPERLINK("https://www.philgeps.gov.ph/GEPSNONPILOT/Tender/SplashBidNoticeAbstractUI.aspx?menuIndex=3&amp;refID=7050833&amp;Result=3","7050833")</f>
        <v>0</v>
      </c>
      <c r="B20" t="s">
        <v>25</v>
      </c>
      <c r="C20" t="s">
        <v>3549</v>
      </c>
      <c r="E20" t="s">
        <v>18219</v>
      </c>
      <c r="F20" t="s">
        <v>31362</v>
      </c>
      <c r="G20" t="s">
        <v>31369</v>
      </c>
      <c r="H20" t="s">
        <v>15799</v>
      </c>
      <c r="I20" t="s">
        <v>13635</v>
      </c>
      <c r="J20" t="s">
        <v>31535</v>
      </c>
      <c r="K20" t="s">
        <v>40662</v>
      </c>
      <c r="M20" t="s">
        <v>40959</v>
      </c>
      <c r="N20" t="s">
        <v>44905</v>
      </c>
      <c r="O20" t="s">
        <v>44906</v>
      </c>
      <c r="P20">
        <v>0</v>
      </c>
      <c r="Q20">
        <v>1</v>
      </c>
      <c r="R20" t="s">
        <v>44907</v>
      </c>
      <c r="S20" t="s">
        <v>45026</v>
      </c>
      <c r="T20" t="s">
        <v>46392</v>
      </c>
      <c r="U20" t="s">
        <v>46936</v>
      </c>
      <c r="V20" t="s">
        <v>59048</v>
      </c>
      <c r="W20" t="s">
        <v>40959</v>
      </c>
      <c r="X20" t="s">
        <v>44923</v>
      </c>
    </row>
    <row r="21" spans="1:24">
      <c r="A21">
        <f>HYPERLINK("https://www.philgeps.gov.ph/GEPSNONPILOT/Tender/SplashBidNoticeAbstractUI.aspx?menuIndex=3&amp;refID=7073060&amp;Result=3","7073060")</f>
        <v>0</v>
      </c>
      <c r="B21" t="s">
        <v>35</v>
      </c>
      <c r="C21" t="s">
        <v>3550</v>
      </c>
      <c r="D21" t="s">
        <v>18108</v>
      </c>
      <c r="E21" t="s">
        <v>18220</v>
      </c>
      <c r="F21" t="s">
        <v>31362</v>
      </c>
      <c r="G21" t="s">
        <v>31368</v>
      </c>
      <c r="H21" t="s">
        <v>15799</v>
      </c>
      <c r="I21" t="s">
        <v>31388</v>
      </c>
      <c r="J21" t="s">
        <v>31536</v>
      </c>
      <c r="K21" t="s">
        <v>40670</v>
      </c>
      <c r="M21" t="s">
        <v>40969</v>
      </c>
      <c r="N21" t="s">
        <v>44905</v>
      </c>
      <c r="O21" t="s">
        <v>44906</v>
      </c>
      <c r="P21">
        <v>0</v>
      </c>
      <c r="Q21">
        <v>0</v>
      </c>
      <c r="R21" t="s">
        <v>44907</v>
      </c>
      <c r="S21" t="s">
        <v>45026</v>
      </c>
      <c r="T21" t="s">
        <v>46399</v>
      </c>
      <c r="U21" t="s">
        <v>46937</v>
      </c>
      <c r="V21" t="s">
        <v>59052</v>
      </c>
      <c r="W21" t="s">
        <v>40969</v>
      </c>
      <c r="X21" t="s">
        <v>44912</v>
      </c>
    </row>
    <row r="22" spans="1:24">
      <c r="A22">
        <f>HYPERLINK("https://www.philgeps.gov.ph/GEPSNONPILOT/Tender/SplashBidNoticeAbstractUI.aspx?menuIndex=3&amp;refID=7064787&amp;Result=3","7064787")</f>
        <v>0</v>
      </c>
      <c r="B22" t="s">
        <v>36</v>
      </c>
      <c r="C22" t="s">
        <v>3545</v>
      </c>
      <c r="D22" t="s">
        <v>18105</v>
      </c>
      <c r="E22" t="s">
        <v>18221</v>
      </c>
      <c r="F22" t="s">
        <v>31362</v>
      </c>
      <c r="G22" t="s">
        <v>31369</v>
      </c>
      <c r="H22" t="s">
        <v>31378</v>
      </c>
      <c r="I22" t="s">
        <v>31386</v>
      </c>
      <c r="J22" t="s">
        <v>31531</v>
      </c>
      <c r="K22" t="s">
        <v>40671</v>
      </c>
      <c r="M22" t="s">
        <v>40970</v>
      </c>
      <c r="N22" t="s">
        <v>44905</v>
      </c>
      <c r="O22" t="s">
        <v>44906</v>
      </c>
      <c r="P22">
        <v>0</v>
      </c>
      <c r="Q22">
        <v>0</v>
      </c>
      <c r="R22" t="s">
        <v>44907</v>
      </c>
      <c r="S22" t="s">
        <v>45026</v>
      </c>
      <c r="T22" t="s">
        <v>46396</v>
      </c>
      <c r="U22" t="s">
        <v>46938</v>
      </c>
      <c r="W22" t="s">
        <v>40970</v>
      </c>
      <c r="X22" t="s">
        <v>44916</v>
      </c>
    </row>
    <row r="23" spans="1:24">
      <c r="A23">
        <f>HYPERLINK("https://www.philgeps.gov.ph/GEPSNONPILOT/Tender/SplashBidNoticeAbstractUI.aspx?menuIndex=3&amp;refID=7073057&amp;Result=3","7073057")</f>
        <v>0</v>
      </c>
      <c r="B23" t="s">
        <v>35</v>
      </c>
      <c r="C23" t="s">
        <v>3551</v>
      </c>
      <c r="D23" t="s">
        <v>18108</v>
      </c>
      <c r="E23" t="s">
        <v>18222</v>
      </c>
      <c r="F23" t="s">
        <v>31362</v>
      </c>
      <c r="G23" t="s">
        <v>31368</v>
      </c>
      <c r="H23" t="s">
        <v>15799</v>
      </c>
      <c r="I23" t="s">
        <v>31389</v>
      </c>
      <c r="J23" t="s">
        <v>31537</v>
      </c>
      <c r="K23" t="s">
        <v>40670</v>
      </c>
      <c r="M23" t="s">
        <v>40969</v>
      </c>
      <c r="N23" t="s">
        <v>44905</v>
      </c>
      <c r="O23" t="s">
        <v>44906</v>
      </c>
      <c r="P23">
        <v>0</v>
      </c>
      <c r="Q23">
        <v>0</v>
      </c>
      <c r="R23" t="s">
        <v>44907</v>
      </c>
      <c r="S23" t="s">
        <v>45026</v>
      </c>
      <c r="T23" t="s">
        <v>46399</v>
      </c>
      <c r="U23" t="s">
        <v>46939</v>
      </c>
      <c r="V23" t="s">
        <v>59052</v>
      </c>
      <c r="W23" t="s">
        <v>40969</v>
      </c>
      <c r="X23" t="s">
        <v>44912</v>
      </c>
    </row>
    <row r="24" spans="1:24">
      <c r="A24">
        <f>HYPERLINK("https://www.philgeps.gov.ph/GEPSNONPILOT/Tender/SplashBidNoticeAbstractUI.aspx?menuIndex=3&amp;refID=7072823&amp;Result=3","7072823")</f>
        <v>0</v>
      </c>
      <c r="B24" t="s">
        <v>37</v>
      </c>
      <c r="C24" t="s">
        <v>3552</v>
      </c>
      <c r="D24" t="s">
        <v>18109</v>
      </c>
      <c r="E24" t="s">
        <v>18201</v>
      </c>
      <c r="F24" t="s">
        <v>31362</v>
      </c>
      <c r="G24" t="s">
        <v>31370</v>
      </c>
      <c r="H24" t="s">
        <v>15799</v>
      </c>
      <c r="I24" t="s">
        <v>31390</v>
      </c>
      <c r="J24" t="s">
        <v>31538</v>
      </c>
      <c r="K24" t="s">
        <v>40672</v>
      </c>
      <c r="M24" t="s">
        <v>40971</v>
      </c>
      <c r="N24" t="s">
        <v>44905</v>
      </c>
      <c r="O24" t="s">
        <v>44906</v>
      </c>
      <c r="P24">
        <v>0</v>
      </c>
      <c r="Q24">
        <v>0</v>
      </c>
      <c r="R24" t="s">
        <v>44907</v>
      </c>
      <c r="S24" t="s">
        <v>45026</v>
      </c>
      <c r="T24" t="s">
        <v>46400</v>
      </c>
      <c r="U24" t="s">
        <v>46940</v>
      </c>
      <c r="W24" t="s">
        <v>40971</v>
      </c>
      <c r="X24" t="s">
        <v>44912</v>
      </c>
    </row>
    <row r="25" spans="1:24">
      <c r="A25">
        <f>HYPERLINK("https://www.philgeps.gov.ph/GEPSNONPILOT/Tender/SplashBidNoticeAbstractUI.aspx?menuIndex=3&amp;refID=7071012&amp;Result=3","7071012")</f>
        <v>0</v>
      </c>
      <c r="B25" t="s">
        <v>38</v>
      </c>
      <c r="C25" t="s">
        <v>3553</v>
      </c>
      <c r="E25" t="s">
        <v>18223</v>
      </c>
      <c r="F25" t="s">
        <v>31362</v>
      </c>
      <c r="G25" t="s">
        <v>31369</v>
      </c>
      <c r="H25" t="s">
        <v>15799</v>
      </c>
      <c r="I25" t="s">
        <v>31380</v>
      </c>
      <c r="J25" t="s">
        <v>31539</v>
      </c>
      <c r="K25" t="s">
        <v>40662</v>
      </c>
      <c r="M25" t="s">
        <v>40972</v>
      </c>
      <c r="N25" t="s">
        <v>44905</v>
      </c>
      <c r="O25" t="s">
        <v>44906</v>
      </c>
      <c r="P25">
        <v>0</v>
      </c>
      <c r="Q25">
        <v>9</v>
      </c>
      <c r="R25" t="s">
        <v>44907</v>
      </c>
      <c r="S25" t="s">
        <v>45026</v>
      </c>
      <c r="T25" t="s">
        <v>46401</v>
      </c>
      <c r="U25" t="s">
        <v>46941</v>
      </c>
      <c r="W25" t="s">
        <v>40972</v>
      </c>
      <c r="X25" t="s">
        <v>44914</v>
      </c>
    </row>
    <row r="26" spans="1:24">
      <c r="A26">
        <f>HYPERLINK("https://www.philgeps.gov.ph/GEPSNONPILOT/Tender/SplashBidNoticeAbstractUI.aspx?menuIndex=3&amp;refID=7071005&amp;Result=3","7071005")</f>
        <v>0</v>
      </c>
      <c r="B26" t="s">
        <v>38</v>
      </c>
      <c r="C26" t="s">
        <v>3554</v>
      </c>
      <c r="E26" t="s">
        <v>18224</v>
      </c>
      <c r="F26" t="s">
        <v>31362</v>
      </c>
      <c r="G26" t="s">
        <v>31369</v>
      </c>
      <c r="H26" t="s">
        <v>15799</v>
      </c>
      <c r="I26" t="s">
        <v>31380</v>
      </c>
      <c r="J26" t="s">
        <v>31540</v>
      </c>
      <c r="K26" t="s">
        <v>40662</v>
      </c>
      <c r="M26" t="s">
        <v>40972</v>
      </c>
      <c r="N26" t="s">
        <v>44905</v>
      </c>
      <c r="O26" t="s">
        <v>44906</v>
      </c>
      <c r="P26">
        <v>0</v>
      </c>
      <c r="Q26">
        <v>3</v>
      </c>
      <c r="R26" t="s">
        <v>44907</v>
      </c>
      <c r="S26" t="s">
        <v>45026</v>
      </c>
      <c r="T26" t="s">
        <v>46401</v>
      </c>
      <c r="U26" t="s">
        <v>46942</v>
      </c>
      <c r="W26" t="s">
        <v>40972</v>
      </c>
      <c r="X26" t="s">
        <v>44914</v>
      </c>
    </row>
    <row r="27" spans="1:24">
      <c r="A27">
        <f>HYPERLINK("https://www.philgeps.gov.ph/GEPSNONPILOT/Tender/SplashBidNoticeAbstractUI.aspx?menuIndex=3&amp;refID=7067911&amp;Result=3","7067911")</f>
        <v>0</v>
      </c>
      <c r="B27" t="s">
        <v>33</v>
      </c>
      <c r="C27" t="s">
        <v>3555</v>
      </c>
      <c r="D27" t="s">
        <v>18106</v>
      </c>
      <c r="E27" t="s">
        <v>18225</v>
      </c>
      <c r="F27" t="s">
        <v>31362</v>
      </c>
      <c r="G27" t="s">
        <v>31368</v>
      </c>
      <c r="H27" t="s">
        <v>15799</v>
      </c>
      <c r="I27" t="s">
        <v>31391</v>
      </c>
      <c r="J27" t="s">
        <v>31541</v>
      </c>
      <c r="K27" t="s">
        <v>40673</v>
      </c>
      <c r="M27" t="s">
        <v>40967</v>
      </c>
      <c r="N27" t="s">
        <v>44905</v>
      </c>
      <c r="O27" t="s">
        <v>44906</v>
      </c>
      <c r="P27">
        <v>0</v>
      </c>
      <c r="Q27">
        <v>0</v>
      </c>
      <c r="R27" t="s">
        <v>44907</v>
      </c>
      <c r="S27" t="s">
        <v>45026</v>
      </c>
      <c r="T27" t="s">
        <v>46397</v>
      </c>
      <c r="U27" t="s">
        <v>46933</v>
      </c>
      <c r="W27" t="s">
        <v>40967</v>
      </c>
      <c r="X27" t="s">
        <v>44915</v>
      </c>
    </row>
    <row r="28" spans="1:24">
      <c r="A28">
        <f>HYPERLINK("https://www.philgeps.gov.ph/GEPSNONPILOT/Tender/SplashBidNoticeAbstractUI.aspx?menuIndex=3&amp;refID=7074323&amp;Result=3","7074323")</f>
        <v>0</v>
      </c>
      <c r="B28" t="s">
        <v>39</v>
      </c>
      <c r="C28" t="s">
        <v>3556</v>
      </c>
      <c r="D28" t="s">
        <v>18110</v>
      </c>
      <c r="E28" t="s">
        <v>18226</v>
      </c>
      <c r="F28" t="s">
        <v>31362</v>
      </c>
      <c r="G28" t="s">
        <v>31369</v>
      </c>
      <c r="H28" t="s">
        <v>15799</v>
      </c>
      <c r="I28" t="s">
        <v>7090</v>
      </c>
      <c r="J28" t="s">
        <v>31542</v>
      </c>
      <c r="K28" t="s">
        <v>40661</v>
      </c>
      <c r="M28" t="s">
        <v>40973</v>
      </c>
      <c r="N28" t="s">
        <v>44905</v>
      </c>
      <c r="O28" t="s">
        <v>44906</v>
      </c>
      <c r="P28">
        <v>0</v>
      </c>
      <c r="Q28">
        <v>3</v>
      </c>
      <c r="R28" t="s">
        <v>44907</v>
      </c>
      <c r="S28" t="s">
        <v>45026</v>
      </c>
      <c r="T28" t="s">
        <v>46402</v>
      </c>
      <c r="U28" t="s">
        <v>46943</v>
      </c>
      <c r="W28" t="s">
        <v>40973</v>
      </c>
      <c r="X28" t="s">
        <v>44911</v>
      </c>
    </row>
    <row r="29" spans="1:24">
      <c r="A29">
        <f>HYPERLINK("https://www.philgeps.gov.ph/GEPSNONPILOT/Tender/SplashBidNoticeAbstractUI.aspx?menuIndex=3&amp;refID=7076354&amp;Result=3","7076354")</f>
        <v>0</v>
      </c>
      <c r="B29" t="s">
        <v>40</v>
      </c>
      <c r="C29" t="s">
        <v>3557</v>
      </c>
      <c r="D29" t="s">
        <v>18111</v>
      </c>
      <c r="E29" t="s">
        <v>18227</v>
      </c>
      <c r="F29" t="s">
        <v>31362</v>
      </c>
      <c r="G29" t="s">
        <v>31369</v>
      </c>
      <c r="H29" t="s">
        <v>15799</v>
      </c>
      <c r="I29" t="s">
        <v>31392</v>
      </c>
      <c r="J29" t="s">
        <v>31543</v>
      </c>
      <c r="K29" t="s">
        <v>40661</v>
      </c>
      <c r="L29" t="s">
        <v>40</v>
      </c>
      <c r="M29" t="s">
        <v>40974</v>
      </c>
      <c r="N29" t="s">
        <v>44905</v>
      </c>
      <c r="O29" t="s">
        <v>44906</v>
      </c>
      <c r="P29">
        <v>0</v>
      </c>
      <c r="Q29">
        <v>1</v>
      </c>
      <c r="R29" t="s">
        <v>44907</v>
      </c>
      <c r="S29" t="s">
        <v>45026</v>
      </c>
      <c r="T29" t="s">
        <v>46403</v>
      </c>
      <c r="U29" t="s">
        <v>46944</v>
      </c>
      <c r="W29" t="s">
        <v>40974</v>
      </c>
      <c r="X29" t="s">
        <v>44910</v>
      </c>
    </row>
    <row r="30" spans="1:24">
      <c r="A30">
        <f>HYPERLINK("https://www.philgeps.gov.ph/GEPSNONPILOT/Tender/SplashBidNoticeAbstractUI.aspx?menuIndex=3&amp;refID=7063445&amp;Result=3","7063445")</f>
        <v>0</v>
      </c>
      <c r="B30" t="s">
        <v>26</v>
      </c>
      <c r="C30" t="s">
        <v>3558</v>
      </c>
      <c r="E30" t="s">
        <v>18228</v>
      </c>
      <c r="F30" t="s">
        <v>31362</v>
      </c>
      <c r="G30" t="s">
        <v>31370</v>
      </c>
      <c r="H30" t="s">
        <v>15799</v>
      </c>
      <c r="I30" t="s">
        <v>6373</v>
      </c>
      <c r="J30" t="s">
        <v>31544</v>
      </c>
      <c r="K30" t="s">
        <v>40662</v>
      </c>
      <c r="M30" t="s">
        <v>40960</v>
      </c>
      <c r="N30" t="s">
        <v>44905</v>
      </c>
      <c r="O30" t="s">
        <v>44906</v>
      </c>
      <c r="P30">
        <v>0</v>
      </c>
      <c r="Q30">
        <v>0</v>
      </c>
      <c r="R30" t="s">
        <v>44907</v>
      </c>
      <c r="S30" t="s">
        <v>45026</v>
      </c>
      <c r="T30" t="s">
        <v>46393</v>
      </c>
      <c r="U30" t="s">
        <v>46924</v>
      </c>
      <c r="W30" t="s">
        <v>40960</v>
      </c>
      <c r="X30" t="s">
        <v>44917</v>
      </c>
    </row>
    <row r="31" spans="1:24">
      <c r="A31">
        <f>HYPERLINK("https://www.philgeps.gov.ph/GEPSNONPILOT/Tender/SplashBidNoticeAbstractUI.aspx?menuIndex=3&amp;refID=7075849&amp;Result=3","7075849")</f>
        <v>0</v>
      </c>
      <c r="B31" t="s">
        <v>41</v>
      </c>
      <c r="C31" t="s">
        <v>3559</v>
      </c>
      <c r="D31" t="s">
        <v>18112</v>
      </c>
      <c r="E31" t="s">
        <v>18229</v>
      </c>
      <c r="F31" t="s">
        <v>31362</v>
      </c>
      <c r="G31" t="s">
        <v>31368</v>
      </c>
      <c r="H31" t="s">
        <v>15799</v>
      </c>
      <c r="I31" t="s">
        <v>31393</v>
      </c>
      <c r="J31" t="s">
        <v>31545</v>
      </c>
      <c r="K31" t="s">
        <v>40661</v>
      </c>
      <c r="M31" t="s">
        <v>40975</v>
      </c>
      <c r="N31" t="s">
        <v>44905</v>
      </c>
      <c r="O31" t="s">
        <v>44906</v>
      </c>
      <c r="P31">
        <v>0</v>
      </c>
      <c r="Q31">
        <v>2</v>
      </c>
      <c r="R31" t="s">
        <v>44907</v>
      </c>
      <c r="S31" t="s">
        <v>45026</v>
      </c>
      <c r="T31" t="s">
        <v>46404</v>
      </c>
      <c r="U31" t="s">
        <v>46945</v>
      </c>
      <c r="W31" t="s">
        <v>40975</v>
      </c>
      <c r="X31" t="s">
        <v>44911</v>
      </c>
    </row>
    <row r="32" spans="1:24">
      <c r="A32">
        <f>HYPERLINK("https://www.philgeps.gov.ph/GEPSNONPILOT/Tender/SplashBidNoticeAbstractUI.aspx?menuIndex=3&amp;refID=7075203&amp;Result=3","7075203")</f>
        <v>0</v>
      </c>
      <c r="B32" t="s">
        <v>42</v>
      </c>
      <c r="C32" t="s">
        <v>3560</v>
      </c>
      <c r="D32" t="s">
        <v>18113</v>
      </c>
      <c r="E32" t="s">
        <v>18230</v>
      </c>
      <c r="F32" t="s">
        <v>31362</v>
      </c>
      <c r="G32" t="s">
        <v>31369</v>
      </c>
      <c r="H32" t="s">
        <v>15799</v>
      </c>
      <c r="I32" t="s">
        <v>31383</v>
      </c>
      <c r="J32" t="s">
        <v>31546</v>
      </c>
      <c r="K32" t="s">
        <v>40665</v>
      </c>
      <c r="M32" t="s">
        <v>40976</v>
      </c>
      <c r="N32" t="s">
        <v>44905</v>
      </c>
      <c r="O32" t="s">
        <v>44906</v>
      </c>
      <c r="P32">
        <v>0</v>
      </c>
      <c r="Q32">
        <v>0</v>
      </c>
      <c r="R32" t="s">
        <v>44907</v>
      </c>
      <c r="S32" t="s">
        <v>45026</v>
      </c>
      <c r="T32" t="s">
        <v>46405</v>
      </c>
      <c r="U32" t="s">
        <v>46946</v>
      </c>
      <c r="V32" t="s">
        <v>59053</v>
      </c>
      <c r="W32" t="s">
        <v>40976</v>
      </c>
      <c r="X32" t="s">
        <v>44911</v>
      </c>
    </row>
    <row r="33" spans="1:24">
      <c r="A33">
        <f>HYPERLINK("https://www.philgeps.gov.ph/GEPSNONPILOT/Tender/SplashBidNoticeAbstractUI.aspx?menuIndex=3&amp;refID=7070995&amp;Result=3","7070995")</f>
        <v>0</v>
      </c>
      <c r="B33" t="s">
        <v>38</v>
      </c>
      <c r="C33" t="s">
        <v>3561</v>
      </c>
      <c r="E33" t="s">
        <v>18231</v>
      </c>
      <c r="F33" t="s">
        <v>31362</v>
      </c>
      <c r="G33" t="s">
        <v>31369</v>
      </c>
      <c r="H33" t="s">
        <v>15799</v>
      </c>
      <c r="I33" t="s">
        <v>31380</v>
      </c>
      <c r="J33" t="s">
        <v>31547</v>
      </c>
      <c r="K33" t="s">
        <v>40662</v>
      </c>
      <c r="M33" t="s">
        <v>40972</v>
      </c>
      <c r="N33" t="s">
        <v>44905</v>
      </c>
      <c r="O33" t="s">
        <v>44906</v>
      </c>
      <c r="P33">
        <v>0</v>
      </c>
      <c r="Q33">
        <v>3</v>
      </c>
      <c r="R33" t="s">
        <v>44907</v>
      </c>
      <c r="S33" t="s">
        <v>45026</v>
      </c>
      <c r="T33" t="s">
        <v>46401</v>
      </c>
      <c r="U33" t="s">
        <v>46947</v>
      </c>
      <c r="W33" t="s">
        <v>40972</v>
      </c>
      <c r="X33" t="s">
        <v>44914</v>
      </c>
    </row>
    <row r="34" spans="1:24">
      <c r="A34">
        <f>HYPERLINK("https://www.philgeps.gov.ph/GEPSNONPILOT/Tender/SplashBidNoticeAbstractUI.aspx?menuIndex=3&amp;refID=7072822&amp;Result=3","7072822")</f>
        <v>0</v>
      </c>
      <c r="B34" t="s">
        <v>37</v>
      </c>
      <c r="C34" t="s">
        <v>3552</v>
      </c>
      <c r="D34" t="s">
        <v>18109</v>
      </c>
      <c r="E34" t="s">
        <v>18203</v>
      </c>
      <c r="F34" t="s">
        <v>31362</v>
      </c>
      <c r="G34" t="s">
        <v>31370</v>
      </c>
      <c r="H34" t="s">
        <v>15799</v>
      </c>
      <c r="I34" t="s">
        <v>31390</v>
      </c>
      <c r="J34" t="s">
        <v>31548</v>
      </c>
      <c r="K34" t="s">
        <v>40672</v>
      </c>
      <c r="M34" t="s">
        <v>40971</v>
      </c>
      <c r="N34" t="s">
        <v>44905</v>
      </c>
      <c r="O34" t="s">
        <v>44906</v>
      </c>
      <c r="P34">
        <v>0</v>
      </c>
      <c r="Q34">
        <v>0</v>
      </c>
      <c r="R34" t="s">
        <v>44907</v>
      </c>
      <c r="S34" t="s">
        <v>45026</v>
      </c>
      <c r="T34" t="s">
        <v>46406</v>
      </c>
      <c r="U34" t="s">
        <v>46948</v>
      </c>
      <c r="W34" t="s">
        <v>40971</v>
      </c>
      <c r="X34" t="s">
        <v>44912</v>
      </c>
    </row>
    <row r="35" spans="1:24">
      <c r="A35">
        <f>HYPERLINK("https://www.philgeps.gov.ph/GEPSNONPILOT/Tender/SplashBidNoticeAbstractUI.aspx?menuIndex=3&amp;refID=7070432&amp;Result=3","7070432")</f>
        <v>0</v>
      </c>
      <c r="B35" t="s">
        <v>43</v>
      </c>
      <c r="C35" t="s">
        <v>3562</v>
      </c>
      <c r="D35" t="s">
        <v>18111</v>
      </c>
      <c r="E35" t="s">
        <v>18232</v>
      </c>
      <c r="F35" t="s">
        <v>31362</v>
      </c>
      <c r="G35" t="s">
        <v>31369</v>
      </c>
      <c r="H35" t="s">
        <v>15799</v>
      </c>
      <c r="I35" t="s">
        <v>4942</v>
      </c>
      <c r="J35" t="s">
        <v>31549</v>
      </c>
      <c r="K35" t="s">
        <v>40661</v>
      </c>
      <c r="M35" t="s">
        <v>40977</v>
      </c>
      <c r="N35" t="s">
        <v>44905</v>
      </c>
      <c r="O35" t="s">
        <v>44906</v>
      </c>
      <c r="P35">
        <v>0</v>
      </c>
      <c r="Q35">
        <v>0</v>
      </c>
      <c r="R35" t="s">
        <v>44907</v>
      </c>
      <c r="S35" t="s">
        <v>45026</v>
      </c>
      <c r="T35" t="s">
        <v>46407</v>
      </c>
      <c r="U35" t="s">
        <v>46949</v>
      </c>
      <c r="W35" t="s">
        <v>40977</v>
      </c>
      <c r="X35" t="s">
        <v>44914</v>
      </c>
    </row>
    <row r="36" spans="1:24">
      <c r="A36">
        <f>HYPERLINK("https://www.philgeps.gov.ph/GEPSNONPILOT/Tender/SplashBidNoticeAbstractUI.aspx?menuIndex=3&amp;refID=7067898&amp;Result=3","7067898")</f>
        <v>0</v>
      </c>
      <c r="B36" t="s">
        <v>44</v>
      </c>
      <c r="C36" t="s">
        <v>3563</v>
      </c>
      <c r="D36" t="s">
        <v>18114</v>
      </c>
      <c r="E36" t="s">
        <v>18233</v>
      </c>
      <c r="F36" t="s">
        <v>31362</v>
      </c>
      <c r="G36" t="s">
        <v>31369</v>
      </c>
      <c r="H36" t="s">
        <v>31378</v>
      </c>
      <c r="I36" t="s">
        <v>31386</v>
      </c>
      <c r="J36" t="s">
        <v>31550</v>
      </c>
      <c r="K36" t="s">
        <v>40674</v>
      </c>
      <c r="M36" t="s">
        <v>40978</v>
      </c>
      <c r="N36" t="s">
        <v>44905</v>
      </c>
      <c r="O36" t="s">
        <v>44906</v>
      </c>
      <c r="P36">
        <v>0</v>
      </c>
      <c r="Q36">
        <v>0</v>
      </c>
      <c r="R36" t="s">
        <v>44907</v>
      </c>
      <c r="S36" t="s">
        <v>45026</v>
      </c>
      <c r="T36" t="s">
        <v>46408</v>
      </c>
      <c r="U36" t="s">
        <v>46950</v>
      </c>
      <c r="W36" t="s">
        <v>40978</v>
      </c>
      <c r="X36" t="s">
        <v>44915</v>
      </c>
    </row>
    <row r="37" spans="1:24">
      <c r="A37">
        <f>HYPERLINK("https://www.philgeps.gov.ph/GEPSNONPILOT/Tender/SplashBidNoticeAbstractUI.aspx?menuIndex=3&amp;refID=7076662&amp;Result=3","7076662")</f>
        <v>0</v>
      </c>
      <c r="B37" t="s">
        <v>45</v>
      </c>
      <c r="C37" t="s">
        <v>3564</v>
      </c>
      <c r="D37" t="s">
        <v>18115</v>
      </c>
      <c r="E37" t="s">
        <v>18234</v>
      </c>
      <c r="F37" t="s">
        <v>31362</v>
      </c>
      <c r="G37" t="s">
        <v>31368</v>
      </c>
      <c r="H37" t="s">
        <v>15799</v>
      </c>
      <c r="I37" t="s">
        <v>7090</v>
      </c>
      <c r="J37" t="s">
        <v>31551</v>
      </c>
      <c r="K37" t="s">
        <v>40661</v>
      </c>
      <c r="M37" t="s">
        <v>40979</v>
      </c>
      <c r="N37" t="s">
        <v>44905</v>
      </c>
      <c r="O37" t="s">
        <v>44906</v>
      </c>
      <c r="P37">
        <v>0</v>
      </c>
      <c r="Q37">
        <v>0</v>
      </c>
      <c r="R37" t="s">
        <v>44907</v>
      </c>
      <c r="S37" t="s">
        <v>45026</v>
      </c>
      <c r="T37" t="s">
        <v>46397</v>
      </c>
      <c r="U37" t="s">
        <v>46951</v>
      </c>
      <c r="V37" t="s">
        <v>59054</v>
      </c>
      <c r="W37" t="s">
        <v>40979</v>
      </c>
      <c r="X37" t="s">
        <v>44910</v>
      </c>
    </row>
    <row r="38" spans="1:24">
      <c r="A38">
        <f>HYPERLINK("https://www.philgeps.gov.ph/GEPSNONPILOT/Tender/SplashBidNoticeAbstractUI.aspx?menuIndex=3&amp;refID=7076498&amp;Result=3","7076498")</f>
        <v>0</v>
      </c>
      <c r="B38" t="s">
        <v>46</v>
      </c>
      <c r="C38" t="s">
        <v>3565</v>
      </c>
      <c r="D38" t="s">
        <v>18116</v>
      </c>
      <c r="E38" t="s">
        <v>18235</v>
      </c>
      <c r="F38" t="s">
        <v>31362</v>
      </c>
      <c r="G38" t="s">
        <v>31368</v>
      </c>
      <c r="H38" t="s">
        <v>15799</v>
      </c>
      <c r="I38" t="s">
        <v>7719</v>
      </c>
      <c r="J38" t="s">
        <v>31552</v>
      </c>
      <c r="K38" t="s">
        <v>40661</v>
      </c>
      <c r="M38" t="s">
        <v>40980</v>
      </c>
      <c r="N38" t="s">
        <v>44905</v>
      </c>
      <c r="O38" t="s">
        <v>44906</v>
      </c>
      <c r="P38">
        <v>0</v>
      </c>
      <c r="Q38">
        <v>4</v>
      </c>
      <c r="R38" t="s">
        <v>44907</v>
      </c>
      <c r="S38" t="s">
        <v>45026</v>
      </c>
      <c r="T38" t="s">
        <v>46409</v>
      </c>
      <c r="U38" t="s">
        <v>46952</v>
      </c>
      <c r="W38" t="s">
        <v>40980</v>
      </c>
      <c r="X38" t="s">
        <v>44910</v>
      </c>
    </row>
    <row r="39" spans="1:24">
      <c r="A39">
        <f>HYPERLINK("https://www.philgeps.gov.ph/GEPSNONPILOT/Tender/SplashBidNoticeAbstractUI.aspx?menuIndex=3&amp;refID=7076443&amp;Result=3","7076443")</f>
        <v>0</v>
      </c>
      <c r="B39" t="s">
        <v>47</v>
      </c>
      <c r="C39" t="s">
        <v>3566</v>
      </c>
      <c r="D39" t="s">
        <v>18104</v>
      </c>
      <c r="E39" t="s">
        <v>18236</v>
      </c>
      <c r="F39" t="s">
        <v>31362</v>
      </c>
      <c r="G39" t="s">
        <v>31368</v>
      </c>
      <c r="H39" t="s">
        <v>15799</v>
      </c>
      <c r="I39" t="s">
        <v>3815</v>
      </c>
      <c r="J39" t="s">
        <v>31553</v>
      </c>
      <c r="K39" t="s">
        <v>40665</v>
      </c>
      <c r="M39" t="s">
        <v>40981</v>
      </c>
      <c r="N39" t="s">
        <v>44905</v>
      </c>
      <c r="O39" t="s">
        <v>44906</v>
      </c>
      <c r="P39">
        <v>0</v>
      </c>
      <c r="Q39">
        <v>0</v>
      </c>
      <c r="R39" t="s">
        <v>44907</v>
      </c>
      <c r="S39" t="s">
        <v>45026</v>
      </c>
      <c r="T39" t="s">
        <v>46410</v>
      </c>
      <c r="U39" t="s">
        <v>46953</v>
      </c>
      <c r="V39" t="s">
        <v>59055</v>
      </c>
      <c r="W39" t="s">
        <v>40981</v>
      </c>
      <c r="X39" t="s">
        <v>44910</v>
      </c>
    </row>
    <row r="40" spans="1:24">
      <c r="A40">
        <f>HYPERLINK("https://www.philgeps.gov.ph/GEPSNONPILOT/Tender/SplashBidNoticeAbstractUI.aspx?menuIndex=3&amp;refID=7050813&amp;Result=3","7050813")</f>
        <v>0</v>
      </c>
      <c r="B40" t="s">
        <v>25</v>
      </c>
      <c r="C40" t="s">
        <v>3567</v>
      </c>
      <c r="E40" t="s">
        <v>18237</v>
      </c>
      <c r="F40" t="s">
        <v>31362</v>
      </c>
      <c r="G40" t="s">
        <v>31369</v>
      </c>
      <c r="H40" t="s">
        <v>15799</v>
      </c>
      <c r="I40" t="s">
        <v>31383</v>
      </c>
      <c r="J40" t="s">
        <v>31554</v>
      </c>
      <c r="K40" t="s">
        <v>40662</v>
      </c>
      <c r="M40" t="s">
        <v>40959</v>
      </c>
      <c r="N40" t="s">
        <v>44905</v>
      </c>
      <c r="O40" t="s">
        <v>44906</v>
      </c>
      <c r="P40">
        <v>0</v>
      </c>
      <c r="Q40">
        <v>1</v>
      </c>
      <c r="R40" t="s">
        <v>44907</v>
      </c>
      <c r="S40" t="s">
        <v>45026</v>
      </c>
      <c r="T40" t="s">
        <v>46392</v>
      </c>
      <c r="U40" t="s">
        <v>46954</v>
      </c>
      <c r="V40" t="s">
        <v>59048</v>
      </c>
      <c r="W40" t="s">
        <v>40959</v>
      </c>
      <c r="X40" t="s">
        <v>44923</v>
      </c>
    </row>
    <row r="41" spans="1:24">
      <c r="A41">
        <f>HYPERLINK("https://www.philgeps.gov.ph/GEPSNONPILOT/Tender/SplashBidNoticeAbstractUI.aspx?menuIndex=3&amp;refID=7077249&amp;Result=3","7077249")</f>
        <v>0</v>
      </c>
      <c r="B41" t="s">
        <v>48</v>
      </c>
      <c r="C41" t="s">
        <v>3568</v>
      </c>
      <c r="D41" t="s">
        <v>18117</v>
      </c>
      <c r="E41" t="s">
        <v>18238</v>
      </c>
      <c r="F41" t="s">
        <v>31362</v>
      </c>
      <c r="G41" t="s">
        <v>31369</v>
      </c>
      <c r="H41" t="s">
        <v>15799</v>
      </c>
      <c r="I41" t="s">
        <v>3815</v>
      </c>
      <c r="J41" t="s">
        <v>31555</v>
      </c>
      <c r="K41" t="s">
        <v>40661</v>
      </c>
      <c r="M41" t="s">
        <v>40982</v>
      </c>
      <c r="N41" t="s">
        <v>44905</v>
      </c>
      <c r="O41" t="s">
        <v>44906</v>
      </c>
      <c r="P41">
        <v>0</v>
      </c>
      <c r="Q41">
        <v>0</v>
      </c>
      <c r="R41" t="s">
        <v>44907</v>
      </c>
      <c r="S41" t="s">
        <v>45026</v>
      </c>
      <c r="T41" t="s">
        <v>46403</v>
      </c>
      <c r="U41" t="s">
        <v>46955</v>
      </c>
      <c r="V41" t="s">
        <v>59056</v>
      </c>
      <c r="W41" t="s">
        <v>40982</v>
      </c>
      <c r="X41" t="s">
        <v>44910</v>
      </c>
    </row>
    <row r="42" spans="1:24">
      <c r="A42">
        <f>HYPERLINK("https://www.philgeps.gov.ph/GEPSNONPILOT/Tender/SplashBidNoticeAbstractUI.aspx?menuIndex=3&amp;refID=7077193&amp;Result=3","7077193")</f>
        <v>0</v>
      </c>
      <c r="B42" t="s">
        <v>42</v>
      </c>
      <c r="C42" t="s">
        <v>3569</v>
      </c>
      <c r="D42" t="s">
        <v>18113</v>
      </c>
      <c r="E42" t="s">
        <v>18239</v>
      </c>
      <c r="F42" t="s">
        <v>31362</v>
      </c>
      <c r="G42" t="s">
        <v>31369</v>
      </c>
      <c r="H42" t="s">
        <v>31378</v>
      </c>
      <c r="I42" t="s">
        <v>31386</v>
      </c>
      <c r="J42" t="s">
        <v>31556</v>
      </c>
      <c r="K42" t="s">
        <v>40674</v>
      </c>
      <c r="M42" t="s">
        <v>40976</v>
      </c>
      <c r="N42" t="s">
        <v>44905</v>
      </c>
      <c r="O42" t="s">
        <v>44906</v>
      </c>
      <c r="P42">
        <v>0</v>
      </c>
      <c r="Q42">
        <v>1</v>
      </c>
      <c r="R42" t="s">
        <v>44907</v>
      </c>
      <c r="S42" t="s">
        <v>45026</v>
      </c>
      <c r="T42" t="s">
        <v>46405</v>
      </c>
      <c r="U42" t="s">
        <v>46956</v>
      </c>
      <c r="V42" t="s">
        <v>59057</v>
      </c>
      <c r="W42" t="s">
        <v>40976</v>
      </c>
      <c r="X42" t="s">
        <v>44910</v>
      </c>
    </row>
    <row r="43" spans="1:24">
      <c r="A43">
        <f>HYPERLINK("https://www.philgeps.gov.ph/GEPSNONPILOT/Tender/SplashBidNoticeAbstractUI.aspx?menuIndex=3&amp;refID=7077187&amp;Result=3","7077187")</f>
        <v>0</v>
      </c>
      <c r="B43" t="s">
        <v>34</v>
      </c>
      <c r="C43" t="s">
        <v>3570</v>
      </c>
      <c r="D43" t="s">
        <v>18107</v>
      </c>
      <c r="E43" t="s">
        <v>18240</v>
      </c>
      <c r="F43" t="s">
        <v>31362</v>
      </c>
      <c r="G43" t="s">
        <v>31369</v>
      </c>
      <c r="H43" t="s">
        <v>15799</v>
      </c>
      <c r="I43" t="s">
        <v>7090</v>
      </c>
      <c r="J43" t="s">
        <v>31557</v>
      </c>
      <c r="K43" t="s">
        <v>40665</v>
      </c>
      <c r="M43" t="s">
        <v>40968</v>
      </c>
      <c r="N43" t="s">
        <v>44905</v>
      </c>
      <c r="O43" t="s">
        <v>44906</v>
      </c>
      <c r="P43">
        <v>0</v>
      </c>
      <c r="Q43">
        <v>1</v>
      </c>
      <c r="R43" t="s">
        <v>44907</v>
      </c>
      <c r="S43" t="s">
        <v>45026</v>
      </c>
      <c r="T43" t="s">
        <v>46398</v>
      </c>
      <c r="U43" t="s">
        <v>46957</v>
      </c>
      <c r="V43" t="s">
        <v>59058</v>
      </c>
      <c r="W43" t="s">
        <v>40968</v>
      </c>
      <c r="X43" t="s">
        <v>44910</v>
      </c>
    </row>
    <row r="44" spans="1:24">
      <c r="A44">
        <f>HYPERLINK("https://www.philgeps.gov.ph/GEPSNONPILOT/Tender/SplashBidNoticeAbstractUI.aspx?menuIndex=3&amp;refID=7075482&amp;Result=3","7075482")</f>
        <v>0</v>
      </c>
      <c r="B44" t="s">
        <v>42</v>
      </c>
      <c r="C44" t="s">
        <v>3571</v>
      </c>
      <c r="D44" t="s">
        <v>18113</v>
      </c>
      <c r="E44" t="s">
        <v>18241</v>
      </c>
      <c r="F44" t="s">
        <v>31362</v>
      </c>
      <c r="G44" t="s">
        <v>31369</v>
      </c>
      <c r="H44" t="s">
        <v>15799</v>
      </c>
      <c r="I44" t="s">
        <v>31394</v>
      </c>
      <c r="J44" t="s">
        <v>31558</v>
      </c>
      <c r="K44" t="s">
        <v>40675</v>
      </c>
      <c r="M44" t="s">
        <v>40976</v>
      </c>
      <c r="N44" t="s">
        <v>44905</v>
      </c>
      <c r="O44" t="s">
        <v>44906</v>
      </c>
      <c r="P44">
        <v>0</v>
      </c>
      <c r="Q44">
        <v>1</v>
      </c>
      <c r="R44" t="s">
        <v>44907</v>
      </c>
      <c r="S44" t="s">
        <v>45026</v>
      </c>
      <c r="T44" t="s">
        <v>46405</v>
      </c>
      <c r="U44" t="s">
        <v>46958</v>
      </c>
      <c r="V44" t="s">
        <v>59059</v>
      </c>
      <c r="W44" t="s">
        <v>40976</v>
      </c>
      <c r="X44" t="s">
        <v>44911</v>
      </c>
    </row>
    <row r="45" spans="1:24">
      <c r="A45">
        <f>HYPERLINK("https://www.philgeps.gov.ph/GEPSNONPILOT/Tender/SplashBidNoticeAbstractUI.aspx?menuIndex=3&amp;refID=7077177&amp;Result=3","7077177")</f>
        <v>0</v>
      </c>
      <c r="B45" t="s">
        <v>49</v>
      </c>
      <c r="C45" t="s">
        <v>3572</v>
      </c>
      <c r="D45" t="s">
        <v>18108</v>
      </c>
      <c r="E45" t="s">
        <v>18242</v>
      </c>
      <c r="F45" t="s">
        <v>31362</v>
      </c>
      <c r="G45" t="s">
        <v>31369</v>
      </c>
      <c r="H45" t="s">
        <v>15799</v>
      </c>
      <c r="I45" t="s">
        <v>7090</v>
      </c>
      <c r="J45" t="s">
        <v>31559</v>
      </c>
      <c r="K45" t="s">
        <v>40662</v>
      </c>
      <c r="M45" t="s">
        <v>40983</v>
      </c>
      <c r="N45" t="s">
        <v>44905</v>
      </c>
      <c r="O45" t="s">
        <v>44906</v>
      </c>
      <c r="P45">
        <v>0</v>
      </c>
      <c r="Q45">
        <v>10</v>
      </c>
      <c r="R45" t="s">
        <v>44907</v>
      </c>
      <c r="S45" t="s">
        <v>45026</v>
      </c>
      <c r="T45" t="s">
        <v>46398</v>
      </c>
      <c r="U45" t="s">
        <v>46959</v>
      </c>
      <c r="W45" t="s">
        <v>40983</v>
      </c>
      <c r="X45" t="s">
        <v>44910</v>
      </c>
    </row>
    <row r="46" spans="1:24">
      <c r="A46">
        <f>HYPERLINK("https://www.philgeps.gov.ph/GEPSNONPILOT/Tender/SplashBidNoticeAbstractUI.aspx?menuIndex=3&amp;refID=7070975&amp;Result=3","7070975")</f>
        <v>0</v>
      </c>
      <c r="B46" t="s">
        <v>38</v>
      </c>
      <c r="C46" t="s">
        <v>3573</v>
      </c>
      <c r="E46" t="s">
        <v>18243</v>
      </c>
      <c r="F46" t="s">
        <v>31362</v>
      </c>
      <c r="G46" t="s">
        <v>31369</v>
      </c>
      <c r="H46" t="s">
        <v>15799</v>
      </c>
      <c r="I46" t="s">
        <v>31380</v>
      </c>
      <c r="J46" t="s">
        <v>31560</v>
      </c>
      <c r="K46" t="s">
        <v>40662</v>
      </c>
      <c r="M46" t="s">
        <v>40972</v>
      </c>
      <c r="N46" t="s">
        <v>44905</v>
      </c>
      <c r="O46" t="s">
        <v>44906</v>
      </c>
      <c r="P46">
        <v>0</v>
      </c>
      <c r="Q46">
        <v>5</v>
      </c>
      <c r="R46" t="s">
        <v>44907</v>
      </c>
      <c r="S46" t="s">
        <v>45026</v>
      </c>
      <c r="T46" t="s">
        <v>46401</v>
      </c>
      <c r="U46" t="s">
        <v>46960</v>
      </c>
      <c r="W46" t="s">
        <v>40972</v>
      </c>
      <c r="X46" t="s">
        <v>44914</v>
      </c>
    </row>
    <row r="47" spans="1:24">
      <c r="A47">
        <f>HYPERLINK("https://www.philgeps.gov.ph/GEPSNONPILOT/Tender/SplashBidNoticeAbstractUI.aspx?menuIndex=3&amp;refID=7077515&amp;Result=3","7077515")</f>
        <v>0</v>
      </c>
      <c r="B47" t="s">
        <v>50</v>
      </c>
      <c r="C47" t="s">
        <v>3574</v>
      </c>
      <c r="D47" t="s">
        <v>18100</v>
      </c>
      <c r="E47" t="s">
        <v>18244</v>
      </c>
      <c r="F47" t="s">
        <v>31363</v>
      </c>
      <c r="G47" t="s">
        <v>31370</v>
      </c>
      <c r="H47" t="s">
        <v>15799</v>
      </c>
      <c r="I47" t="s">
        <v>31385</v>
      </c>
      <c r="J47" t="s">
        <v>31561</v>
      </c>
      <c r="K47" t="s">
        <v>40661</v>
      </c>
      <c r="M47" t="s">
        <v>40984</v>
      </c>
      <c r="N47" t="s">
        <v>44905</v>
      </c>
      <c r="O47" t="s">
        <v>44906</v>
      </c>
      <c r="P47">
        <v>0</v>
      </c>
      <c r="Q47">
        <v>1</v>
      </c>
      <c r="R47" t="s">
        <v>44907</v>
      </c>
      <c r="S47" t="s">
        <v>45026</v>
      </c>
      <c r="T47" t="s">
        <v>46408</v>
      </c>
      <c r="U47" t="s">
        <v>46961</v>
      </c>
      <c r="W47" t="s">
        <v>40984</v>
      </c>
      <c r="X47" t="s">
        <v>44910</v>
      </c>
    </row>
    <row r="48" spans="1:24">
      <c r="A48">
        <f>HYPERLINK("https://www.philgeps.gov.ph/GEPSNONPILOT/Tender/SplashBidNoticeAbstractUI.aspx?menuIndex=3&amp;refID=7077359&amp;Result=3","7077359")</f>
        <v>0</v>
      </c>
      <c r="B48" t="s">
        <v>51</v>
      </c>
      <c r="C48" t="s">
        <v>3575</v>
      </c>
      <c r="D48" t="s">
        <v>18118</v>
      </c>
      <c r="E48" t="s">
        <v>18245</v>
      </c>
      <c r="F48" t="s">
        <v>31362</v>
      </c>
      <c r="G48" t="s">
        <v>31371</v>
      </c>
      <c r="H48" t="s">
        <v>15799</v>
      </c>
      <c r="I48" t="s">
        <v>6373</v>
      </c>
      <c r="J48" t="s">
        <v>31562</v>
      </c>
      <c r="K48" t="s">
        <v>40661</v>
      </c>
      <c r="M48" t="s">
        <v>40985</v>
      </c>
      <c r="N48" t="s">
        <v>44905</v>
      </c>
      <c r="O48" t="s">
        <v>44906</v>
      </c>
      <c r="P48">
        <v>0</v>
      </c>
      <c r="Q48">
        <v>2</v>
      </c>
      <c r="R48" t="s">
        <v>44907</v>
      </c>
      <c r="S48" t="s">
        <v>45026</v>
      </c>
      <c r="T48" t="s">
        <v>46411</v>
      </c>
      <c r="U48" t="s">
        <v>46962</v>
      </c>
      <c r="W48" t="s">
        <v>40985</v>
      </c>
      <c r="X48" t="s">
        <v>44910</v>
      </c>
    </row>
    <row r="49" spans="1:24">
      <c r="A49">
        <f>HYPERLINK("https://www.philgeps.gov.ph/GEPSNONPILOT/Tender/SplashBidNoticeAbstractUI.aspx?menuIndex=3&amp;refID=7076373&amp;Result=3","7076373")</f>
        <v>0</v>
      </c>
      <c r="B49" t="s">
        <v>47</v>
      </c>
      <c r="C49" t="s">
        <v>3576</v>
      </c>
      <c r="D49" t="s">
        <v>18104</v>
      </c>
      <c r="E49" t="s">
        <v>18246</v>
      </c>
      <c r="F49" t="s">
        <v>31362</v>
      </c>
      <c r="G49" t="s">
        <v>31368</v>
      </c>
      <c r="H49" t="s">
        <v>15799</v>
      </c>
      <c r="I49" t="s">
        <v>31395</v>
      </c>
      <c r="J49" t="s">
        <v>31545</v>
      </c>
      <c r="K49" t="s">
        <v>40676</v>
      </c>
      <c r="M49" t="s">
        <v>40981</v>
      </c>
      <c r="N49" t="s">
        <v>44905</v>
      </c>
      <c r="O49" t="s">
        <v>44906</v>
      </c>
      <c r="P49">
        <v>0</v>
      </c>
      <c r="Q49">
        <v>2</v>
      </c>
      <c r="R49" t="s">
        <v>44907</v>
      </c>
      <c r="S49" t="s">
        <v>45026</v>
      </c>
      <c r="T49" t="s">
        <v>46410</v>
      </c>
      <c r="U49" t="s">
        <v>46963</v>
      </c>
      <c r="V49" t="s">
        <v>59060</v>
      </c>
      <c r="W49" t="s">
        <v>40981</v>
      </c>
      <c r="X49" t="s">
        <v>44910</v>
      </c>
    </row>
    <row r="50" spans="1:24">
      <c r="A50">
        <f>HYPERLINK("https://www.philgeps.gov.ph/GEPSNONPILOT/Tender/SplashBidNoticeAbstractUI.aspx?menuIndex=3&amp;refID=7077079&amp;Result=3","7077079")</f>
        <v>0</v>
      </c>
      <c r="B50" t="s">
        <v>45</v>
      </c>
      <c r="C50" t="s">
        <v>3564</v>
      </c>
      <c r="D50" t="s">
        <v>18115</v>
      </c>
      <c r="E50" t="s">
        <v>18247</v>
      </c>
      <c r="F50" t="s">
        <v>31362</v>
      </c>
      <c r="G50" t="s">
        <v>31368</v>
      </c>
      <c r="H50" t="s">
        <v>15799</v>
      </c>
      <c r="I50" t="s">
        <v>7090</v>
      </c>
      <c r="J50" t="s">
        <v>31563</v>
      </c>
      <c r="K50" t="s">
        <v>40661</v>
      </c>
      <c r="M50" t="s">
        <v>40979</v>
      </c>
      <c r="N50" t="s">
        <v>44905</v>
      </c>
      <c r="O50" t="s">
        <v>44906</v>
      </c>
      <c r="P50">
        <v>0</v>
      </c>
      <c r="Q50">
        <v>0</v>
      </c>
      <c r="R50" t="s">
        <v>44907</v>
      </c>
      <c r="S50" t="s">
        <v>45026</v>
      </c>
      <c r="T50" t="s">
        <v>46397</v>
      </c>
      <c r="U50" t="s">
        <v>46964</v>
      </c>
      <c r="V50" t="s">
        <v>59054</v>
      </c>
      <c r="W50" t="s">
        <v>40979</v>
      </c>
      <c r="X50" t="s">
        <v>44910</v>
      </c>
    </row>
    <row r="51" spans="1:24">
      <c r="A51">
        <f>HYPERLINK("https://www.philgeps.gov.ph/GEPSNONPILOT/Tender/SplashBidNoticeAbstractUI.aspx?menuIndex=3&amp;refID=7077200&amp;Result=3","7077200")</f>
        <v>0</v>
      </c>
      <c r="B51" t="s">
        <v>45</v>
      </c>
      <c r="C51" t="s">
        <v>3577</v>
      </c>
      <c r="D51" t="s">
        <v>18115</v>
      </c>
      <c r="E51" t="s">
        <v>18248</v>
      </c>
      <c r="F51" t="s">
        <v>31362</v>
      </c>
      <c r="G51" t="s">
        <v>31368</v>
      </c>
      <c r="H51" t="s">
        <v>15799</v>
      </c>
      <c r="I51" t="s">
        <v>7090</v>
      </c>
      <c r="J51" t="s">
        <v>31564</v>
      </c>
      <c r="K51" t="s">
        <v>40661</v>
      </c>
      <c r="M51" t="s">
        <v>40979</v>
      </c>
      <c r="N51" t="s">
        <v>44905</v>
      </c>
      <c r="O51" t="s">
        <v>44906</v>
      </c>
      <c r="P51">
        <v>0</v>
      </c>
      <c r="Q51">
        <v>0</v>
      </c>
      <c r="R51" t="s">
        <v>44907</v>
      </c>
      <c r="S51" t="s">
        <v>45026</v>
      </c>
      <c r="T51" t="s">
        <v>46397</v>
      </c>
      <c r="U51" t="s">
        <v>46965</v>
      </c>
      <c r="V51" t="s">
        <v>59054</v>
      </c>
      <c r="W51" t="s">
        <v>40979</v>
      </c>
      <c r="X51" t="s">
        <v>44910</v>
      </c>
    </row>
    <row r="52" spans="1:24">
      <c r="A52">
        <f>HYPERLINK("https://www.philgeps.gov.ph/GEPSNONPILOT/Tender/SplashBidNoticeAbstractUI.aspx?menuIndex=3&amp;refID=7070990&amp;Result=3","7070990")</f>
        <v>0</v>
      </c>
      <c r="B52" t="s">
        <v>38</v>
      </c>
      <c r="C52" t="s">
        <v>3578</v>
      </c>
      <c r="E52" t="s">
        <v>18249</v>
      </c>
      <c r="F52" t="s">
        <v>31362</v>
      </c>
      <c r="G52" t="s">
        <v>31369</v>
      </c>
      <c r="H52" t="s">
        <v>15799</v>
      </c>
      <c r="I52" t="s">
        <v>31380</v>
      </c>
      <c r="J52" t="s">
        <v>31565</v>
      </c>
      <c r="K52" t="s">
        <v>40662</v>
      </c>
      <c r="M52" t="s">
        <v>40972</v>
      </c>
      <c r="N52" t="s">
        <v>44905</v>
      </c>
      <c r="O52" t="s">
        <v>44906</v>
      </c>
      <c r="P52">
        <v>0</v>
      </c>
      <c r="Q52">
        <v>8</v>
      </c>
      <c r="R52" t="s">
        <v>44907</v>
      </c>
      <c r="S52" t="s">
        <v>45026</v>
      </c>
      <c r="T52" t="s">
        <v>46401</v>
      </c>
      <c r="U52" t="s">
        <v>46966</v>
      </c>
      <c r="W52" t="s">
        <v>40972</v>
      </c>
      <c r="X52" t="s">
        <v>44914</v>
      </c>
    </row>
    <row r="53" spans="1:24">
      <c r="A53">
        <f>HYPERLINK("https://www.philgeps.gov.ph/GEPSNONPILOT/Tender/SplashBidNoticeAbstractUI.aspx?menuIndex=3&amp;refID=7076867&amp;Result=3","7076867")</f>
        <v>0</v>
      </c>
      <c r="B53" t="s">
        <v>52</v>
      </c>
      <c r="C53" t="s">
        <v>3579</v>
      </c>
      <c r="D53" t="s">
        <v>18109</v>
      </c>
      <c r="E53" t="s">
        <v>18250</v>
      </c>
      <c r="F53" t="s">
        <v>31362</v>
      </c>
      <c r="G53" t="s">
        <v>31370</v>
      </c>
      <c r="H53" t="s">
        <v>15799</v>
      </c>
      <c r="I53" t="s">
        <v>7090</v>
      </c>
      <c r="J53" t="s">
        <v>31566</v>
      </c>
      <c r="K53" t="s">
        <v>40666</v>
      </c>
      <c r="M53" t="s">
        <v>40986</v>
      </c>
      <c r="N53" t="s">
        <v>44905</v>
      </c>
      <c r="O53" t="s">
        <v>44906</v>
      </c>
      <c r="P53">
        <v>0</v>
      </c>
      <c r="Q53">
        <v>0</v>
      </c>
      <c r="R53" t="s">
        <v>44907</v>
      </c>
      <c r="S53" t="s">
        <v>45026</v>
      </c>
      <c r="T53" t="s">
        <v>46400</v>
      </c>
      <c r="U53" t="s">
        <v>46967</v>
      </c>
      <c r="W53" t="s">
        <v>40986</v>
      </c>
      <c r="X53" t="s">
        <v>44910</v>
      </c>
    </row>
    <row r="54" spans="1:24">
      <c r="A54">
        <f>HYPERLINK("https://www.philgeps.gov.ph/GEPSNONPILOT/Tender/SplashBidNoticeAbstractUI.aspx?menuIndex=3&amp;refID=7077272&amp;Result=3","7077272")</f>
        <v>0</v>
      </c>
      <c r="B54" t="s">
        <v>42</v>
      </c>
      <c r="C54" t="s">
        <v>3580</v>
      </c>
      <c r="D54" t="s">
        <v>18113</v>
      </c>
      <c r="E54" t="s">
        <v>18251</v>
      </c>
      <c r="F54" t="s">
        <v>31362</v>
      </c>
      <c r="G54" t="s">
        <v>31369</v>
      </c>
      <c r="H54" t="s">
        <v>31378</v>
      </c>
      <c r="I54" t="s">
        <v>31386</v>
      </c>
      <c r="J54" t="s">
        <v>31567</v>
      </c>
      <c r="K54" t="s">
        <v>40677</v>
      </c>
      <c r="M54" t="s">
        <v>40976</v>
      </c>
      <c r="N54" t="s">
        <v>44905</v>
      </c>
      <c r="O54" t="s">
        <v>44906</v>
      </c>
      <c r="P54">
        <v>0</v>
      </c>
      <c r="Q54">
        <v>1</v>
      </c>
      <c r="R54" t="s">
        <v>44907</v>
      </c>
      <c r="S54" t="s">
        <v>45026</v>
      </c>
      <c r="T54" t="s">
        <v>46405</v>
      </c>
      <c r="U54" t="s">
        <v>46968</v>
      </c>
      <c r="V54" t="s">
        <v>59057</v>
      </c>
      <c r="W54" t="s">
        <v>40976</v>
      </c>
      <c r="X54" t="s">
        <v>44910</v>
      </c>
    </row>
    <row r="55" spans="1:24">
      <c r="A55">
        <f>HYPERLINK("https://www.philgeps.gov.ph/GEPSNONPILOT/Tender/SplashBidNoticeAbstractUI.aspx?menuIndex=3&amp;refID=7077336&amp;Result=3","7077336")</f>
        <v>0</v>
      </c>
      <c r="B55" t="s">
        <v>47</v>
      </c>
      <c r="C55" t="s">
        <v>3581</v>
      </c>
      <c r="D55" t="s">
        <v>18104</v>
      </c>
      <c r="E55" t="s">
        <v>18252</v>
      </c>
      <c r="F55" t="s">
        <v>31362</v>
      </c>
      <c r="G55" t="s">
        <v>31368</v>
      </c>
      <c r="H55" t="s">
        <v>15799</v>
      </c>
      <c r="I55" t="s">
        <v>31387</v>
      </c>
      <c r="J55" t="s">
        <v>31568</v>
      </c>
      <c r="K55" t="s">
        <v>40675</v>
      </c>
      <c r="M55" t="s">
        <v>40981</v>
      </c>
      <c r="N55" t="s">
        <v>44905</v>
      </c>
      <c r="O55" t="s">
        <v>44906</v>
      </c>
      <c r="P55">
        <v>0</v>
      </c>
      <c r="Q55">
        <v>1</v>
      </c>
      <c r="R55" t="s">
        <v>44907</v>
      </c>
      <c r="S55" t="s">
        <v>45026</v>
      </c>
      <c r="T55" t="s">
        <v>46410</v>
      </c>
      <c r="U55" t="s">
        <v>46969</v>
      </c>
      <c r="V55" t="s">
        <v>59061</v>
      </c>
      <c r="W55" t="s">
        <v>40981</v>
      </c>
      <c r="X55" t="s">
        <v>44910</v>
      </c>
    </row>
    <row r="56" spans="1:24">
      <c r="A56">
        <f>HYPERLINK("https://www.philgeps.gov.ph/GEPSNONPILOT/Tender/SplashBidNoticeAbstractUI.aspx?menuIndex=3&amp;refID=7077145&amp;Result=3","7077145")</f>
        <v>0</v>
      </c>
      <c r="B56" t="s">
        <v>49</v>
      </c>
      <c r="C56" t="s">
        <v>3572</v>
      </c>
      <c r="D56" t="s">
        <v>18108</v>
      </c>
      <c r="E56" t="s">
        <v>18253</v>
      </c>
      <c r="F56" t="s">
        <v>31362</v>
      </c>
      <c r="G56" t="s">
        <v>31369</v>
      </c>
      <c r="H56" t="s">
        <v>15799</v>
      </c>
      <c r="I56" t="s">
        <v>31380</v>
      </c>
      <c r="J56" t="s">
        <v>31569</v>
      </c>
      <c r="K56" t="s">
        <v>40662</v>
      </c>
      <c r="M56" t="s">
        <v>40983</v>
      </c>
      <c r="N56" t="s">
        <v>44905</v>
      </c>
      <c r="O56" t="s">
        <v>44906</v>
      </c>
      <c r="P56">
        <v>0</v>
      </c>
      <c r="Q56">
        <v>15</v>
      </c>
      <c r="R56" t="s">
        <v>44907</v>
      </c>
      <c r="S56" t="s">
        <v>45026</v>
      </c>
      <c r="T56" t="s">
        <v>46398</v>
      </c>
      <c r="U56" t="s">
        <v>46959</v>
      </c>
      <c r="W56" t="s">
        <v>40983</v>
      </c>
      <c r="X56" t="s">
        <v>44910</v>
      </c>
    </row>
    <row r="57" spans="1:24">
      <c r="A57">
        <f>HYPERLINK("https://www.philgeps.gov.ph/GEPSNONPILOT/Tender/SplashBidNoticeAbstractUI.aspx?menuIndex=3&amp;refID=7077676&amp;Result=3","7077676")</f>
        <v>0</v>
      </c>
      <c r="B57" t="s">
        <v>45</v>
      </c>
      <c r="C57" t="s">
        <v>3582</v>
      </c>
      <c r="D57" t="s">
        <v>18115</v>
      </c>
      <c r="E57" t="s">
        <v>18254</v>
      </c>
      <c r="F57" t="s">
        <v>31362</v>
      </c>
      <c r="G57" t="s">
        <v>31368</v>
      </c>
      <c r="H57" t="s">
        <v>15799</v>
      </c>
      <c r="I57" t="s">
        <v>3582</v>
      </c>
      <c r="J57" t="s">
        <v>31570</v>
      </c>
      <c r="K57" t="s">
        <v>40661</v>
      </c>
      <c r="M57" t="s">
        <v>40979</v>
      </c>
      <c r="N57" t="s">
        <v>44905</v>
      </c>
      <c r="O57" t="s">
        <v>44906</v>
      </c>
      <c r="P57">
        <v>0</v>
      </c>
      <c r="Q57">
        <v>0</v>
      </c>
      <c r="R57" t="s">
        <v>44907</v>
      </c>
      <c r="S57" t="s">
        <v>45026</v>
      </c>
      <c r="T57" t="s">
        <v>46397</v>
      </c>
      <c r="U57" t="s">
        <v>46970</v>
      </c>
      <c r="V57" t="s">
        <v>59054</v>
      </c>
      <c r="W57" t="s">
        <v>40979</v>
      </c>
      <c r="X57" t="s">
        <v>44910</v>
      </c>
    </row>
    <row r="58" spans="1:24">
      <c r="A58">
        <f>HYPERLINK("https://www.philgeps.gov.ph/GEPSNONPILOT/Tender/SplashBidNoticeAbstractUI.aspx?menuIndex=3&amp;refID=7077667&amp;Result=3","7077667")</f>
        <v>0</v>
      </c>
      <c r="B58" t="s">
        <v>38</v>
      </c>
      <c r="C58" t="s">
        <v>3583</v>
      </c>
      <c r="E58" t="s">
        <v>18255</v>
      </c>
      <c r="F58" t="s">
        <v>31362</v>
      </c>
      <c r="G58" t="s">
        <v>31369</v>
      </c>
      <c r="H58" t="s">
        <v>15799</v>
      </c>
      <c r="I58" t="s">
        <v>31396</v>
      </c>
      <c r="J58" t="s">
        <v>31571</v>
      </c>
      <c r="K58" t="s">
        <v>40662</v>
      </c>
      <c r="M58" t="s">
        <v>40972</v>
      </c>
      <c r="N58" t="s">
        <v>44905</v>
      </c>
      <c r="O58" t="s">
        <v>44906</v>
      </c>
      <c r="P58">
        <v>0</v>
      </c>
      <c r="Q58">
        <v>4</v>
      </c>
      <c r="R58" t="s">
        <v>44907</v>
      </c>
      <c r="S58" t="s">
        <v>45026</v>
      </c>
      <c r="T58" t="s">
        <v>46398</v>
      </c>
      <c r="U58" t="s">
        <v>46971</v>
      </c>
      <c r="W58" t="s">
        <v>40972</v>
      </c>
      <c r="X58" t="s">
        <v>44910</v>
      </c>
    </row>
    <row r="59" spans="1:24">
      <c r="A59">
        <f>HYPERLINK("https://www.philgeps.gov.ph/GEPSNONPILOT/Tender/SplashBidNoticeAbstractUI.aspx?menuIndex=3&amp;refID=7077041&amp;Result=3","7077041")</f>
        <v>0</v>
      </c>
      <c r="B59" t="s">
        <v>49</v>
      </c>
      <c r="C59" t="s">
        <v>3572</v>
      </c>
      <c r="D59" t="s">
        <v>18108</v>
      </c>
      <c r="E59" t="s">
        <v>18256</v>
      </c>
      <c r="F59" t="s">
        <v>31362</v>
      </c>
      <c r="G59" t="s">
        <v>31369</v>
      </c>
      <c r="H59" t="s">
        <v>15799</v>
      </c>
      <c r="I59" t="s">
        <v>4283</v>
      </c>
      <c r="J59" t="s">
        <v>31572</v>
      </c>
      <c r="K59" t="s">
        <v>40662</v>
      </c>
      <c r="M59" t="s">
        <v>40983</v>
      </c>
      <c r="N59" t="s">
        <v>44905</v>
      </c>
      <c r="O59" t="s">
        <v>44906</v>
      </c>
      <c r="P59">
        <v>0</v>
      </c>
      <c r="Q59">
        <v>18</v>
      </c>
      <c r="R59" t="s">
        <v>44907</v>
      </c>
      <c r="S59" t="s">
        <v>45026</v>
      </c>
      <c r="T59" t="s">
        <v>46398</v>
      </c>
      <c r="U59" t="s">
        <v>46959</v>
      </c>
      <c r="W59" t="s">
        <v>40983</v>
      </c>
      <c r="X59" t="s">
        <v>44910</v>
      </c>
    </row>
    <row r="60" spans="1:24">
      <c r="A60">
        <f>HYPERLINK("https://www.philgeps.gov.ph/GEPSNONPILOT/Tender/SplashBidNoticeAbstractUI.aspx?menuIndex=3&amp;refID=7077632&amp;Result=3","7077632")</f>
        <v>0</v>
      </c>
      <c r="B60" t="s">
        <v>38</v>
      </c>
      <c r="C60" t="s">
        <v>3584</v>
      </c>
      <c r="E60" t="s">
        <v>18257</v>
      </c>
      <c r="F60" t="s">
        <v>31362</v>
      </c>
      <c r="G60" t="s">
        <v>31369</v>
      </c>
      <c r="H60" t="s">
        <v>15799</v>
      </c>
      <c r="I60" t="s">
        <v>31396</v>
      </c>
      <c r="J60" t="s">
        <v>31573</v>
      </c>
      <c r="K60" t="s">
        <v>40662</v>
      </c>
      <c r="M60" t="s">
        <v>40972</v>
      </c>
      <c r="N60" t="s">
        <v>44905</v>
      </c>
      <c r="O60" t="s">
        <v>44906</v>
      </c>
      <c r="P60">
        <v>0</v>
      </c>
      <c r="Q60">
        <v>10</v>
      </c>
      <c r="R60" t="s">
        <v>44907</v>
      </c>
      <c r="S60" t="s">
        <v>45026</v>
      </c>
      <c r="T60" t="s">
        <v>46398</v>
      </c>
      <c r="U60" t="s">
        <v>46972</v>
      </c>
      <c r="W60" t="s">
        <v>40972</v>
      </c>
      <c r="X60" t="s">
        <v>44910</v>
      </c>
    </row>
    <row r="61" spans="1:24">
      <c r="A61">
        <f>HYPERLINK("https://www.philgeps.gov.ph/GEPSNONPILOT/Tender/SplashBidNoticeAbstractUI.aspx?menuIndex=3&amp;refID=7077574&amp;Result=3","7077574")</f>
        <v>0</v>
      </c>
      <c r="B61" t="s">
        <v>53</v>
      </c>
      <c r="C61" t="s">
        <v>3585</v>
      </c>
      <c r="D61" t="s">
        <v>18107</v>
      </c>
      <c r="E61" t="s">
        <v>18258</v>
      </c>
      <c r="F61" t="s">
        <v>31362</v>
      </c>
      <c r="G61" t="s">
        <v>31368</v>
      </c>
      <c r="H61" t="s">
        <v>15799</v>
      </c>
      <c r="I61" t="s">
        <v>7188</v>
      </c>
      <c r="J61" t="s">
        <v>31531</v>
      </c>
      <c r="K61" t="s">
        <v>40665</v>
      </c>
      <c r="M61" t="s">
        <v>40987</v>
      </c>
      <c r="N61" t="s">
        <v>44905</v>
      </c>
      <c r="O61" t="s">
        <v>44906</v>
      </c>
      <c r="P61">
        <v>0</v>
      </c>
      <c r="Q61">
        <v>3</v>
      </c>
      <c r="R61" t="s">
        <v>44907</v>
      </c>
      <c r="S61" t="s">
        <v>45026</v>
      </c>
      <c r="T61" t="s">
        <v>46403</v>
      </c>
      <c r="U61" t="s">
        <v>46973</v>
      </c>
      <c r="W61" t="s">
        <v>40987</v>
      </c>
      <c r="X61" t="s">
        <v>44910</v>
      </c>
    </row>
    <row r="62" spans="1:24">
      <c r="A62">
        <f>HYPERLINK("https://www.philgeps.gov.ph/GEPSNONPILOT/Tender/SplashBidNoticeAbstractUI.aspx?menuIndex=3&amp;refID=7077834&amp;Result=3","7077834")</f>
        <v>0</v>
      </c>
      <c r="B62" t="s">
        <v>54</v>
      </c>
      <c r="C62" t="s">
        <v>3586</v>
      </c>
      <c r="D62" t="s">
        <v>18119</v>
      </c>
      <c r="E62" t="s">
        <v>18259</v>
      </c>
      <c r="F62" t="s">
        <v>31362</v>
      </c>
      <c r="G62" t="s">
        <v>31368</v>
      </c>
      <c r="H62" t="s">
        <v>15799</v>
      </c>
      <c r="I62" t="s">
        <v>31397</v>
      </c>
      <c r="J62" t="s">
        <v>31574</v>
      </c>
      <c r="K62" t="s">
        <v>40670</v>
      </c>
      <c r="M62" t="s">
        <v>40988</v>
      </c>
      <c r="N62" t="s">
        <v>44905</v>
      </c>
      <c r="O62" t="s">
        <v>44906</v>
      </c>
      <c r="P62">
        <v>0</v>
      </c>
      <c r="Q62">
        <v>0</v>
      </c>
      <c r="R62" t="s">
        <v>44907</v>
      </c>
      <c r="S62" t="s">
        <v>45026</v>
      </c>
      <c r="T62" t="s">
        <v>46412</v>
      </c>
      <c r="U62" t="s">
        <v>46974</v>
      </c>
      <c r="V62" t="s">
        <v>59062</v>
      </c>
      <c r="W62" t="s">
        <v>40988</v>
      </c>
      <c r="X62" t="s">
        <v>44910</v>
      </c>
    </row>
    <row r="63" spans="1:24">
      <c r="A63">
        <f>HYPERLINK("https://www.philgeps.gov.ph/GEPSNONPILOT/Tender/SplashBidNoticeAbstractUI.aspx?menuIndex=3&amp;refID=7076790&amp;Result=3","7076790")</f>
        <v>0</v>
      </c>
      <c r="B63" t="s">
        <v>55</v>
      </c>
      <c r="C63" t="s">
        <v>3587</v>
      </c>
      <c r="D63" t="s">
        <v>18120</v>
      </c>
      <c r="E63" t="s">
        <v>18260</v>
      </c>
      <c r="F63" t="s">
        <v>31362</v>
      </c>
      <c r="G63" t="s">
        <v>31370</v>
      </c>
      <c r="H63" t="s">
        <v>15799</v>
      </c>
      <c r="I63" t="s">
        <v>31398</v>
      </c>
      <c r="J63" t="s">
        <v>31575</v>
      </c>
      <c r="K63" t="s">
        <v>40665</v>
      </c>
      <c r="M63" t="s">
        <v>40989</v>
      </c>
      <c r="N63" t="s">
        <v>44905</v>
      </c>
      <c r="O63" t="s">
        <v>44906</v>
      </c>
      <c r="P63">
        <v>0</v>
      </c>
      <c r="Q63">
        <v>1</v>
      </c>
      <c r="R63" t="s">
        <v>44907</v>
      </c>
      <c r="S63" t="s">
        <v>45026</v>
      </c>
      <c r="T63" t="s">
        <v>46404</v>
      </c>
      <c r="U63" t="s">
        <v>46975</v>
      </c>
      <c r="W63" t="s">
        <v>40989</v>
      </c>
      <c r="X63" t="s">
        <v>44910</v>
      </c>
    </row>
    <row r="64" spans="1:24">
      <c r="A64">
        <f>HYPERLINK("https://www.philgeps.gov.ph/GEPSNONPILOT/Tender/SplashBidNoticeAbstractUI.aspx?menuIndex=3&amp;refID=7077794&amp;Result=3","7077794")</f>
        <v>0</v>
      </c>
      <c r="B64" t="s">
        <v>56</v>
      </c>
      <c r="C64" t="s">
        <v>3588</v>
      </c>
      <c r="D64" t="s">
        <v>18106</v>
      </c>
      <c r="E64" t="s">
        <v>18261</v>
      </c>
      <c r="F64" t="s">
        <v>31362</v>
      </c>
      <c r="G64" t="s">
        <v>31368</v>
      </c>
      <c r="H64" t="s">
        <v>15799</v>
      </c>
      <c r="I64" t="s">
        <v>31399</v>
      </c>
      <c r="J64" t="s">
        <v>31576</v>
      </c>
      <c r="K64" t="s">
        <v>40666</v>
      </c>
      <c r="M64" t="s">
        <v>40990</v>
      </c>
      <c r="N64" t="s">
        <v>44905</v>
      </c>
      <c r="O64" t="s">
        <v>44906</v>
      </c>
      <c r="P64">
        <v>0</v>
      </c>
      <c r="Q64">
        <v>0</v>
      </c>
      <c r="R64" t="s">
        <v>44907</v>
      </c>
      <c r="S64" t="s">
        <v>45026</v>
      </c>
      <c r="T64" t="s">
        <v>46413</v>
      </c>
      <c r="U64" t="s">
        <v>46976</v>
      </c>
      <c r="V64" t="s">
        <v>59063</v>
      </c>
      <c r="W64" t="s">
        <v>40990</v>
      </c>
      <c r="X64" t="s">
        <v>44910</v>
      </c>
    </row>
    <row r="65" spans="1:24">
      <c r="A65">
        <f>HYPERLINK("https://www.philgeps.gov.ph/GEPSNONPILOT/Tender/SplashBidNoticeAbstractUI.aspx?menuIndex=3&amp;refID=7077774&amp;Result=3","7077774")</f>
        <v>0</v>
      </c>
      <c r="B65" t="s">
        <v>26</v>
      </c>
      <c r="C65" t="s">
        <v>3589</v>
      </c>
      <c r="E65" t="s">
        <v>18262</v>
      </c>
      <c r="F65" t="s">
        <v>31362</v>
      </c>
      <c r="G65" t="s">
        <v>31368</v>
      </c>
      <c r="H65" t="s">
        <v>15799</v>
      </c>
      <c r="I65" t="s">
        <v>31400</v>
      </c>
      <c r="J65" t="s">
        <v>31577</v>
      </c>
      <c r="K65" t="s">
        <v>40662</v>
      </c>
      <c r="M65" t="s">
        <v>40960</v>
      </c>
      <c r="N65" t="s">
        <v>44905</v>
      </c>
      <c r="O65" t="s">
        <v>44906</v>
      </c>
      <c r="P65">
        <v>0</v>
      </c>
      <c r="Q65">
        <v>0</v>
      </c>
      <c r="R65" t="s">
        <v>44907</v>
      </c>
      <c r="S65" t="s">
        <v>45026</v>
      </c>
      <c r="T65" t="s">
        <v>46393</v>
      </c>
      <c r="U65" t="s">
        <v>46924</v>
      </c>
      <c r="W65" t="s">
        <v>40960</v>
      </c>
      <c r="X65" t="s">
        <v>44910</v>
      </c>
    </row>
    <row r="66" spans="1:24">
      <c r="A66">
        <f>HYPERLINK("https://www.philgeps.gov.ph/GEPSNONPILOT/Tender/SplashBidNoticeAbstractUI.aspx?menuIndex=3&amp;refID=7077767&amp;Result=3","7077767")</f>
        <v>0</v>
      </c>
      <c r="B66" t="s">
        <v>26</v>
      </c>
      <c r="C66" t="s">
        <v>3590</v>
      </c>
      <c r="E66" t="s">
        <v>18263</v>
      </c>
      <c r="F66" t="s">
        <v>31362</v>
      </c>
      <c r="G66" t="s">
        <v>31368</v>
      </c>
      <c r="H66" t="s">
        <v>15799</v>
      </c>
      <c r="I66" t="s">
        <v>31401</v>
      </c>
      <c r="J66" t="s">
        <v>31578</v>
      </c>
      <c r="K66" t="s">
        <v>40662</v>
      </c>
      <c r="M66" t="s">
        <v>40960</v>
      </c>
      <c r="N66" t="s">
        <v>44905</v>
      </c>
      <c r="O66" t="s">
        <v>44906</v>
      </c>
      <c r="P66">
        <v>0</v>
      </c>
      <c r="Q66">
        <v>0</v>
      </c>
      <c r="R66" t="s">
        <v>44907</v>
      </c>
      <c r="S66" t="s">
        <v>45026</v>
      </c>
      <c r="T66" t="s">
        <v>46393</v>
      </c>
      <c r="U66" t="s">
        <v>46924</v>
      </c>
      <c r="W66" t="s">
        <v>40960</v>
      </c>
      <c r="X66" t="s">
        <v>44910</v>
      </c>
    </row>
    <row r="67" spans="1:24">
      <c r="A67">
        <f>HYPERLINK("https://www.philgeps.gov.ph/GEPSNONPILOT/Tender/SplashBidNoticeAbstractUI.aspx?menuIndex=3&amp;refID=7076975&amp;Result=3","7076975")</f>
        <v>0</v>
      </c>
      <c r="B67" t="s">
        <v>57</v>
      </c>
      <c r="C67" t="s">
        <v>3591</v>
      </c>
      <c r="D67" t="s">
        <v>18120</v>
      </c>
      <c r="E67" t="s">
        <v>18264</v>
      </c>
      <c r="F67" t="s">
        <v>31362</v>
      </c>
      <c r="G67" t="s">
        <v>31368</v>
      </c>
      <c r="H67" t="s">
        <v>15799</v>
      </c>
      <c r="I67" t="s">
        <v>4942</v>
      </c>
      <c r="J67" t="s">
        <v>31579</v>
      </c>
      <c r="K67" t="s">
        <v>40661</v>
      </c>
      <c r="M67" t="s">
        <v>40991</v>
      </c>
      <c r="N67" t="s">
        <v>44905</v>
      </c>
      <c r="O67" t="s">
        <v>44906</v>
      </c>
      <c r="P67">
        <v>0</v>
      </c>
      <c r="Q67">
        <v>0</v>
      </c>
      <c r="R67" t="s">
        <v>44907</v>
      </c>
      <c r="S67" t="s">
        <v>45026</v>
      </c>
      <c r="T67" t="s">
        <v>46414</v>
      </c>
      <c r="U67" t="s">
        <v>46977</v>
      </c>
      <c r="W67" t="s">
        <v>40991</v>
      </c>
      <c r="X67" t="s">
        <v>44910</v>
      </c>
    </row>
    <row r="68" spans="1:24">
      <c r="A68">
        <f>HYPERLINK("https://www.philgeps.gov.ph/GEPSNONPILOT/Tender/SplashBidNoticeAbstractUI.aspx?menuIndex=3&amp;refID=7077776&amp;Result=3","7077776")</f>
        <v>0</v>
      </c>
      <c r="B68" t="s">
        <v>38</v>
      </c>
      <c r="C68" t="s">
        <v>3592</v>
      </c>
      <c r="E68" t="s">
        <v>18265</v>
      </c>
      <c r="F68" t="s">
        <v>31362</v>
      </c>
      <c r="G68" t="s">
        <v>31369</v>
      </c>
      <c r="H68" t="s">
        <v>15799</v>
      </c>
      <c r="I68" t="s">
        <v>31396</v>
      </c>
      <c r="J68" t="s">
        <v>31580</v>
      </c>
      <c r="K68" t="s">
        <v>40662</v>
      </c>
      <c r="M68" t="s">
        <v>40972</v>
      </c>
      <c r="N68" t="s">
        <v>44905</v>
      </c>
      <c r="O68" t="s">
        <v>44906</v>
      </c>
      <c r="P68">
        <v>0</v>
      </c>
      <c r="Q68">
        <v>2</v>
      </c>
      <c r="R68" t="s">
        <v>44907</v>
      </c>
      <c r="S68" t="s">
        <v>45026</v>
      </c>
      <c r="T68" t="s">
        <v>46398</v>
      </c>
      <c r="U68" t="s">
        <v>46978</v>
      </c>
      <c r="W68" t="s">
        <v>40972</v>
      </c>
      <c r="X68" t="s">
        <v>44910</v>
      </c>
    </row>
    <row r="69" spans="1:24">
      <c r="A69">
        <f>HYPERLINK("https://www.philgeps.gov.ph/GEPSNONPILOT/Tender/SplashBidNoticeAbstractUI.aspx?menuIndex=3&amp;refID=7077756&amp;Result=3","7077756")</f>
        <v>0</v>
      </c>
      <c r="B69" t="s">
        <v>26</v>
      </c>
      <c r="C69" t="s">
        <v>3593</v>
      </c>
      <c r="E69" t="s">
        <v>18266</v>
      </c>
      <c r="F69" t="s">
        <v>31362</v>
      </c>
      <c r="G69" t="s">
        <v>31368</v>
      </c>
      <c r="H69" t="s">
        <v>15799</v>
      </c>
      <c r="I69" t="s">
        <v>31402</v>
      </c>
      <c r="J69" t="s">
        <v>31581</v>
      </c>
      <c r="K69" t="s">
        <v>40662</v>
      </c>
      <c r="M69" t="s">
        <v>40960</v>
      </c>
      <c r="N69" t="s">
        <v>44905</v>
      </c>
      <c r="O69" t="s">
        <v>44906</v>
      </c>
      <c r="P69">
        <v>0</v>
      </c>
      <c r="Q69">
        <v>1</v>
      </c>
      <c r="R69" t="s">
        <v>44907</v>
      </c>
      <c r="S69" t="s">
        <v>45026</v>
      </c>
      <c r="T69" t="s">
        <v>46393</v>
      </c>
      <c r="U69" t="s">
        <v>46924</v>
      </c>
      <c r="W69" t="s">
        <v>40960</v>
      </c>
      <c r="X69" t="s">
        <v>44910</v>
      </c>
    </row>
    <row r="70" spans="1:24">
      <c r="A70">
        <f>HYPERLINK("https://www.philgeps.gov.ph/GEPSNONPILOT/Tender/SplashBidNoticeAbstractUI.aspx?menuIndex=3&amp;refID=7077780&amp;Result=3","7077780")</f>
        <v>0</v>
      </c>
      <c r="B70" t="s">
        <v>57</v>
      </c>
      <c r="C70" t="s">
        <v>3594</v>
      </c>
      <c r="D70" t="s">
        <v>18120</v>
      </c>
      <c r="E70" t="s">
        <v>18267</v>
      </c>
      <c r="F70" t="s">
        <v>31362</v>
      </c>
      <c r="G70" t="s">
        <v>31369</v>
      </c>
      <c r="H70" t="s">
        <v>15799</v>
      </c>
      <c r="I70" t="s">
        <v>3815</v>
      </c>
      <c r="J70" t="s">
        <v>31582</v>
      </c>
      <c r="K70" t="s">
        <v>40662</v>
      </c>
      <c r="M70" t="s">
        <v>40992</v>
      </c>
      <c r="N70" t="s">
        <v>44905</v>
      </c>
      <c r="O70" t="s">
        <v>44906</v>
      </c>
      <c r="P70">
        <v>0</v>
      </c>
      <c r="Q70">
        <v>0</v>
      </c>
      <c r="R70" t="s">
        <v>44907</v>
      </c>
      <c r="S70" t="s">
        <v>45026</v>
      </c>
      <c r="T70" t="s">
        <v>46415</v>
      </c>
      <c r="U70" t="s">
        <v>46979</v>
      </c>
      <c r="W70" t="s">
        <v>40992</v>
      </c>
      <c r="X70" t="s">
        <v>44910</v>
      </c>
    </row>
    <row r="71" spans="1:24">
      <c r="A71">
        <f>HYPERLINK("https://www.philgeps.gov.ph/GEPSNONPILOT/Tender/SplashBidNoticeAbstractUI.aspx?menuIndex=3&amp;refID=7077754&amp;Result=3","7077754")</f>
        <v>0</v>
      </c>
      <c r="B71" t="s">
        <v>38</v>
      </c>
      <c r="C71" t="s">
        <v>3595</v>
      </c>
      <c r="E71" t="s">
        <v>18268</v>
      </c>
      <c r="F71" t="s">
        <v>31362</v>
      </c>
      <c r="G71" t="s">
        <v>31369</v>
      </c>
      <c r="H71" t="s">
        <v>15799</v>
      </c>
      <c r="I71" t="s">
        <v>31396</v>
      </c>
      <c r="J71" t="s">
        <v>31583</v>
      </c>
      <c r="K71" t="s">
        <v>40662</v>
      </c>
      <c r="M71" t="s">
        <v>40972</v>
      </c>
      <c r="N71" t="s">
        <v>44905</v>
      </c>
      <c r="O71" t="s">
        <v>44906</v>
      </c>
      <c r="P71">
        <v>0</v>
      </c>
      <c r="Q71">
        <v>4</v>
      </c>
      <c r="R71" t="s">
        <v>44907</v>
      </c>
      <c r="S71" t="s">
        <v>45026</v>
      </c>
      <c r="T71" t="s">
        <v>46398</v>
      </c>
      <c r="U71" t="s">
        <v>46980</v>
      </c>
      <c r="W71" t="s">
        <v>40972</v>
      </c>
      <c r="X71" t="s">
        <v>44910</v>
      </c>
    </row>
    <row r="72" spans="1:24">
      <c r="A72">
        <f>HYPERLINK("https://www.philgeps.gov.ph/GEPSNONPILOT/Tender/SplashBidNoticeAbstractUI.aspx?menuIndex=3&amp;refID=7076732&amp;Result=3","7076732")</f>
        <v>0</v>
      </c>
      <c r="B72" t="s">
        <v>49</v>
      </c>
      <c r="C72" t="s">
        <v>3572</v>
      </c>
      <c r="D72" t="s">
        <v>18108</v>
      </c>
      <c r="E72" t="s">
        <v>18269</v>
      </c>
      <c r="F72" t="s">
        <v>31362</v>
      </c>
      <c r="G72" t="s">
        <v>31369</v>
      </c>
      <c r="H72" t="s">
        <v>15799</v>
      </c>
      <c r="I72" t="s">
        <v>7090</v>
      </c>
      <c r="J72" t="s">
        <v>31584</v>
      </c>
      <c r="K72" t="s">
        <v>40662</v>
      </c>
      <c r="M72" t="s">
        <v>40983</v>
      </c>
      <c r="N72" t="s">
        <v>44905</v>
      </c>
      <c r="O72" t="s">
        <v>44906</v>
      </c>
      <c r="P72">
        <v>0</v>
      </c>
      <c r="Q72">
        <v>6</v>
      </c>
      <c r="R72" t="s">
        <v>44907</v>
      </c>
      <c r="S72" t="s">
        <v>45026</v>
      </c>
      <c r="T72" t="s">
        <v>46398</v>
      </c>
      <c r="U72" t="s">
        <v>46959</v>
      </c>
      <c r="W72" t="s">
        <v>40983</v>
      </c>
      <c r="X72" t="s">
        <v>44910</v>
      </c>
    </row>
    <row r="73" spans="1:24">
      <c r="A73">
        <f>HYPERLINK("https://www.philgeps.gov.ph/GEPSNONPILOT/Tender/SplashBidNoticeAbstractUI.aspx?menuIndex=3&amp;refID=7077785&amp;Result=3","7077785")</f>
        <v>0</v>
      </c>
      <c r="B73" t="s">
        <v>26</v>
      </c>
      <c r="C73" t="s">
        <v>3596</v>
      </c>
      <c r="E73" t="s">
        <v>18270</v>
      </c>
      <c r="F73" t="s">
        <v>31362</v>
      </c>
      <c r="G73" t="s">
        <v>31368</v>
      </c>
      <c r="H73" t="s">
        <v>15799</v>
      </c>
      <c r="I73" t="s">
        <v>31403</v>
      </c>
      <c r="J73" t="s">
        <v>31585</v>
      </c>
      <c r="K73" t="s">
        <v>40662</v>
      </c>
      <c r="M73" t="s">
        <v>40960</v>
      </c>
      <c r="N73" t="s">
        <v>44905</v>
      </c>
      <c r="O73" t="s">
        <v>44906</v>
      </c>
      <c r="P73">
        <v>0</v>
      </c>
      <c r="Q73">
        <v>0</v>
      </c>
      <c r="R73" t="s">
        <v>44907</v>
      </c>
      <c r="S73" t="s">
        <v>45026</v>
      </c>
      <c r="T73" t="s">
        <v>46393</v>
      </c>
      <c r="U73" t="s">
        <v>46924</v>
      </c>
      <c r="W73" t="s">
        <v>40960</v>
      </c>
      <c r="X73" t="s">
        <v>44910</v>
      </c>
    </row>
    <row r="74" spans="1:24">
      <c r="A74">
        <f>HYPERLINK("https://www.philgeps.gov.ph/GEPSNONPILOT/Tender/SplashBidNoticeAbstractUI.aspx?menuIndex=3&amp;refID=7077740&amp;Result=3","7077740")</f>
        <v>0</v>
      </c>
      <c r="B74" t="s">
        <v>56</v>
      </c>
      <c r="C74" t="s">
        <v>3597</v>
      </c>
      <c r="D74" t="s">
        <v>18106</v>
      </c>
      <c r="E74" t="s">
        <v>18271</v>
      </c>
      <c r="F74" t="s">
        <v>31362</v>
      </c>
      <c r="G74" t="s">
        <v>31368</v>
      </c>
      <c r="H74" t="s">
        <v>15799</v>
      </c>
      <c r="I74" t="s">
        <v>31391</v>
      </c>
      <c r="J74" t="s">
        <v>31576</v>
      </c>
      <c r="K74" t="s">
        <v>40666</v>
      </c>
      <c r="M74" t="s">
        <v>40990</v>
      </c>
      <c r="N74" t="s">
        <v>44905</v>
      </c>
      <c r="O74" t="s">
        <v>44906</v>
      </c>
      <c r="P74">
        <v>0</v>
      </c>
      <c r="Q74">
        <v>0</v>
      </c>
      <c r="R74" t="s">
        <v>44907</v>
      </c>
      <c r="S74" t="s">
        <v>45026</v>
      </c>
      <c r="T74" t="s">
        <v>46413</v>
      </c>
      <c r="U74" t="s">
        <v>46976</v>
      </c>
      <c r="V74" t="s">
        <v>59064</v>
      </c>
      <c r="W74" t="s">
        <v>40990</v>
      </c>
      <c r="X74" t="s">
        <v>44910</v>
      </c>
    </row>
    <row r="75" spans="1:24">
      <c r="A75">
        <f>HYPERLINK("https://www.philgeps.gov.ph/GEPSNONPILOT/Tender/SplashBidNoticeAbstractUI.aspx?menuIndex=3&amp;refID=7077695&amp;Result=3","7077695")</f>
        <v>0</v>
      </c>
      <c r="B75" t="s">
        <v>58</v>
      </c>
      <c r="C75" t="s">
        <v>3598</v>
      </c>
      <c r="D75" t="s">
        <v>18121</v>
      </c>
      <c r="E75" t="s">
        <v>18272</v>
      </c>
      <c r="F75" t="s">
        <v>31362</v>
      </c>
      <c r="G75" t="s">
        <v>31368</v>
      </c>
      <c r="H75" t="s">
        <v>15799</v>
      </c>
      <c r="I75" t="s">
        <v>31393</v>
      </c>
      <c r="J75" t="s">
        <v>31586</v>
      </c>
      <c r="K75" t="s">
        <v>40672</v>
      </c>
      <c r="M75" t="s">
        <v>40993</v>
      </c>
      <c r="N75" t="s">
        <v>44905</v>
      </c>
      <c r="O75" t="s">
        <v>44906</v>
      </c>
      <c r="P75">
        <v>0</v>
      </c>
      <c r="Q75">
        <v>4</v>
      </c>
      <c r="R75" t="s">
        <v>44907</v>
      </c>
      <c r="S75" t="s">
        <v>45026</v>
      </c>
      <c r="T75" t="s">
        <v>46416</v>
      </c>
      <c r="U75" t="s">
        <v>46981</v>
      </c>
      <c r="V75" t="s">
        <v>59065</v>
      </c>
      <c r="W75" t="s">
        <v>40993</v>
      </c>
      <c r="X75" t="s">
        <v>44910</v>
      </c>
    </row>
    <row r="76" spans="1:24">
      <c r="A76">
        <f>HYPERLINK("https://www.philgeps.gov.ph/GEPSNONPILOT/Tender/SplashBidNoticeAbstractUI.aspx?menuIndex=3&amp;refID=7077688&amp;Result=3","7077688")</f>
        <v>0</v>
      </c>
      <c r="B76" t="s">
        <v>59</v>
      </c>
      <c r="C76" t="s">
        <v>3599</v>
      </c>
      <c r="D76" t="s">
        <v>18122</v>
      </c>
      <c r="E76" t="s">
        <v>18273</v>
      </c>
      <c r="F76" t="s">
        <v>31362</v>
      </c>
      <c r="G76" t="s">
        <v>31369</v>
      </c>
      <c r="H76" t="s">
        <v>31378</v>
      </c>
      <c r="I76" t="s">
        <v>31386</v>
      </c>
      <c r="J76" t="s">
        <v>31587</v>
      </c>
      <c r="K76" t="s">
        <v>40678</v>
      </c>
      <c r="M76" t="s">
        <v>40994</v>
      </c>
      <c r="N76" t="s">
        <v>44905</v>
      </c>
      <c r="O76" t="s">
        <v>44906</v>
      </c>
      <c r="P76">
        <v>0</v>
      </c>
      <c r="Q76">
        <v>14</v>
      </c>
      <c r="R76" t="s">
        <v>44907</v>
      </c>
      <c r="S76" t="s">
        <v>45026</v>
      </c>
      <c r="T76" t="s">
        <v>46417</v>
      </c>
      <c r="U76" t="s">
        <v>46982</v>
      </c>
      <c r="W76" t="s">
        <v>40994</v>
      </c>
      <c r="X76" t="s">
        <v>44910</v>
      </c>
    </row>
    <row r="77" spans="1:24">
      <c r="A77">
        <f>HYPERLINK("https://www.philgeps.gov.ph/GEPSNONPILOT/Tender/SplashBidNoticeAbstractUI.aspx?menuIndex=3&amp;refID=7078083&amp;Result=3","7078083")</f>
        <v>0</v>
      </c>
      <c r="B77" t="s">
        <v>26</v>
      </c>
      <c r="C77" t="s">
        <v>3600</v>
      </c>
      <c r="E77" t="s">
        <v>18274</v>
      </c>
      <c r="F77" t="s">
        <v>31362</v>
      </c>
      <c r="G77" t="s">
        <v>31368</v>
      </c>
      <c r="H77" t="s">
        <v>15799</v>
      </c>
      <c r="I77" t="s">
        <v>31403</v>
      </c>
      <c r="J77" t="s">
        <v>31543</v>
      </c>
      <c r="K77" t="s">
        <v>40662</v>
      </c>
      <c r="M77" t="s">
        <v>40960</v>
      </c>
      <c r="N77" t="s">
        <v>44905</v>
      </c>
      <c r="O77" t="s">
        <v>44906</v>
      </c>
      <c r="P77">
        <v>0</v>
      </c>
      <c r="Q77">
        <v>0</v>
      </c>
      <c r="R77" t="s">
        <v>44907</v>
      </c>
      <c r="S77" t="s">
        <v>45026</v>
      </c>
      <c r="T77" t="s">
        <v>46393</v>
      </c>
      <c r="U77" t="s">
        <v>46924</v>
      </c>
      <c r="W77" t="s">
        <v>40960</v>
      </c>
      <c r="X77" t="s">
        <v>44910</v>
      </c>
    </row>
    <row r="78" spans="1:24">
      <c r="A78">
        <f>HYPERLINK("https://www.philgeps.gov.ph/GEPSNONPILOT/Tender/SplashBidNoticeAbstractUI.aspx?menuIndex=3&amp;refID=7077765&amp;Result=3","7077765")</f>
        <v>0</v>
      </c>
      <c r="B78" t="s">
        <v>59</v>
      </c>
      <c r="C78" t="s">
        <v>3601</v>
      </c>
      <c r="D78" t="s">
        <v>18122</v>
      </c>
      <c r="E78" t="s">
        <v>18275</v>
      </c>
      <c r="F78" t="s">
        <v>31362</v>
      </c>
      <c r="G78" t="s">
        <v>31369</v>
      </c>
      <c r="H78" t="s">
        <v>31378</v>
      </c>
      <c r="I78" t="s">
        <v>31386</v>
      </c>
      <c r="J78" t="s">
        <v>31588</v>
      </c>
      <c r="K78" t="s">
        <v>40678</v>
      </c>
      <c r="M78" t="s">
        <v>40994</v>
      </c>
      <c r="N78" t="s">
        <v>44905</v>
      </c>
      <c r="O78" t="s">
        <v>44906</v>
      </c>
      <c r="P78">
        <v>0</v>
      </c>
      <c r="Q78">
        <v>14</v>
      </c>
      <c r="R78" t="s">
        <v>44907</v>
      </c>
      <c r="S78" t="s">
        <v>45026</v>
      </c>
      <c r="T78" t="s">
        <v>46417</v>
      </c>
      <c r="U78" t="s">
        <v>46983</v>
      </c>
      <c r="W78" t="s">
        <v>40994</v>
      </c>
      <c r="X78" t="s">
        <v>44910</v>
      </c>
    </row>
    <row r="79" spans="1:24">
      <c r="A79">
        <f>HYPERLINK("https://www.philgeps.gov.ph/GEPSNONPILOT/Tender/SplashBidNoticeAbstractUI.aspx?menuIndex=3&amp;refID=7078069&amp;Result=3","7078069")</f>
        <v>0</v>
      </c>
      <c r="B79" t="s">
        <v>26</v>
      </c>
      <c r="C79" t="s">
        <v>3602</v>
      </c>
      <c r="E79" t="s">
        <v>18276</v>
      </c>
      <c r="F79" t="s">
        <v>31362</v>
      </c>
      <c r="G79" t="s">
        <v>31368</v>
      </c>
      <c r="H79" t="s">
        <v>15799</v>
      </c>
      <c r="I79" t="s">
        <v>31400</v>
      </c>
      <c r="J79" t="s">
        <v>31589</v>
      </c>
      <c r="K79" t="s">
        <v>40662</v>
      </c>
      <c r="M79" t="s">
        <v>40960</v>
      </c>
      <c r="N79" t="s">
        <v>44905</v>
      </c>
      <c r="O79" t="s">
        <v>44906</v>
      </c>
      <c r="P79">
        <v>0</v>
      </c>
      <c r="Q79">
        <v>0</v>
      </c>
      <c r="R79" t="s">
        <v>44907</v>
      </c>
      <c r="S79" t="s">
        <v>45026</v>
      </c>
      <c r="T79" t="s">
        <v>46393</v>
      </c>
      <c r="U79" t="s">
        <v>46924</v>
      </c>
      <c r="W79" t="s">
        <v>40960</v>
      </c>
      <c r="X79" t="s">
        <v>44910</v>
      </c>
    </row>
    <row r="80" spans="1:24">
      <c r="A80">
        <f>HYPERLINK("https://www.philgeps.gov.ph/GEPSNONPILOT/Tender/SplashBidNoticeAbstractUI.aspx?menuIndex=3&amp;refID=7078057&amp;Result=3","7078057")</f>
        <v>0</v>
      </c>
      <c r="B80" t="s">
        <v>38</v>
      </c>
      <c r="C80" t="s">
        <v>3603</v>
      </c>
      <c r="E80" t="s">
        <v>18277</v>
      </c>
      <c r="F80" t="s">
        <v>31362</v>
      </c>
      <c r="G80" t="s">
        <v>31369</v>
      </c>
      <c r="H80" t="s">
        <v>15799</v>
      </c>
      <c r="I80" t="s">
        <v>31396</v>
      </c>
      <c r="J80" t="s">
        <v>31590</v>
      </c>
      <c r="K80" t="s">
        <v>40662</v>
      </c>
      <c r="M80" t="s">
        <v>40972</v>
      </c>
      <c r="N80" t="s">
        <v>44905</v>
      </c>
      <c r="O80" t="s">
        <v>44906</v>
      </c>
      <c r="P80">
        <v>0</v>
      </c>
      <c r="Q80">
        <v>10</v>
      </c>
      <c r="R80" t="s">
        <v>44907</v>
      </c>
      <c r="S80" t="s">
        <v>45026</v>
      </c>
      <c r="T80" t="s">
        <v>46398</v>
      </c>
      <c r="U80" t="s">
        <v>46984</v>
      </c>
      <c r="W80" t="s">
        <v>40972</v>
      </c>
      <c r="X80" t="s">
        <v>44910</v>
      </c>
    </row>
    <row r="81" spans="1:24">
      <c r="A81">
        <f>HYPERLINK("https://www.philgeps.gov.ph/GEPSNONPILOT/Tender/SplashBidNoticeAbstractUI.aspx?menuIndex=3&amp;refID=7077762&amp;Result=3","7077762")</f>
        <v>0</v>
      </c>
      <c r="B81" t="s">
        <v>60</v>
      </c>
      <c r="C81" t="s">
        <v>3604</v>
      </c>
      <c r="D81" t="s">
        <v>18123</v>
      </c>
      <c r="E81" t="s">
        <v>18278</v>
      </c>
      <c r="F81" t="s">
        <v>31362</v>
      </c>
      <c r="G81" t="s">
        <v>31369</v>
      </c>
      <c r="H81" t="s">
        <v>31378</v>
      </c>
      <c r="I81" t="s">
        <v>31386</v>
      </c>
      <c r="J81" t="s">
        <v>31591</v>
      </c>
      <c r="K81" t="s">
        <v>40665</v>
      </c>
      <c r="M81" t="s">
        <v>40995</v>
      </c>
      <c r="N81" t="s">
        <v>44905</v>
      </c>
      <c r="O81" t="s">
        <v>44906</v>
      </c>
      <c r="P81">
        <v>0</v>
      </c>
      <c r="Q81">
        <v>0</v>
      </c>
      <c r="R81" t="s">
        <v>44907</v>
      </c>
      <c r="S81" t="s">
        <v>45026</v>
      </c>
      <c r="T81" t="s">
        <v>46418</v>
      </c>
      <c r="U81" t="s">
        <v>46985</v>
      </c>
      <c r="W81" t="s">
        <v>40995</v>
      </c>
      <c r="X81" t="s">
        <v>44910</v>
      </c>
    </row>
    <row r="82" spans="1:24">
      <c r="A82">
        <f>HYPERLINK("https://www.philgeps.gov.ph/GEPSNONPILOT/Tender/SplashBidNoticeAbstractUI.aspx?menuIndex=3&amp;refID=7078025&amp;Result=3","7078025")</f>
        <v>0</v>
      </c>
      <c r="B82" t="s">
        <v>61</v>
      </c>
      <c r="C82" t="s">
        <v>3605</v>
      </c>
      <c r="D82" t="s">
        <v>18124</v>
      </c>
      <c r="E82" t="s">
        <v>18279</v>
      </c>
      <c r="F82" t="s">
        <v>31362</v>
      </c>
      <c r="G82" t="s">
        <v>31368</v>
      </c>
      <c r="H82" t="s">
        <v>15799</v>
      </c>
      <c r="I82" t="s">
        <v>31404</v>
      </c>
      <c r="J82" t="s">
        <v>31592</v>
      </c>
      <c r="K82" t="s">
        <v>40679</v>
      </c>
      <c r="M82" t="s">
        <v>40996</v>
      </c>
      <c r="N82" t="s">
        <v>44905</v>
      </c>
      <c r="O82" t="s">
        <v>44906</v>
      </c>
      <c r="P82">
        <v>0</v>
      </c>
      <c r="Q82">
        <v>0</v>
      </c>
      <c r="R82" t="s">
        <v>44907</v>
      </c>
      <c r="S82" t="s">
        <v>45026</v>
      </c>
      <c r="T82" t="s">
        <v>46419</v>
      </c>
      <c r="U82" t="s">
        <v>46986</v>
      </c>
      <c r="W82" t="s">
        <v>40996</v>
      </c>
      <c r="X82" t="s">
        <v>44910</v>
      </c>
    </row>
    <row r="83" spans="1:24">
      <c r="A83">
        <f>HYPERLINK("https://www.philgeps.gov.ph/GEPSNONPILOT/Tender/SplashBidNoticeAbstractUI.aspx?menuIndex=3&amp;refID=7077699&amp;Result=3","7077699")</f>
        <v>0</v>
      </c>
      <c r="B83" t="s">
        <v>38</v>
      </c>
      <c r="C83" t="s">
        <v>3606</v>
      </c>
      <c r="E83" t="s">
        <v>18280</v>
      </c>
      <c r="F83" t="s">
        <v>31362</v>
      </c>
      <c r="G83" t="s">
        <v>31369</v>
      </c>
      <c r="H83" t="s">
        <v>15799</v>
      </c>
      <c r="I83" t="s">
        <v>31396</v>
      </c>
      <c r="J83" t="s">
        <v>31593</v>
      </c>
      <c r="K83" t="s">
        <v>40662</v>
      </c>
      <c r="M83" t="s">
        <v>40972</v>
      </c>
      <c r="N83" t="s">
        <v>44905</v>
      </c>
      <c r="O83" t="s">
        <v>44906</v>
      </c>
      <c r="P83">
        <v>0</v>
      </c>
      <c r="Q83">
        <v>5</v>
      </c>
      <c r="R83" t="s">
        <v>44907</v>
      </c>
      <c r="S83" t="s">
        <v>45026</v>
      </c>
      <c r="T83" t="s">
        <v>46398</v>
      </c>
      <c r="U83" t="s">
        <v>46987</v>
      </c>
      <c r="W83" t="s">
        <v>40972</v>
      </c>
      <c r="X83" t="s">
        <v>44910</v>
      </c>
    </row>
    <row r="84" spans="1:24">
      <c r="A84">
        <f>HYPERLINK("https://www.philgeps.gov.ph/GEPSNONPILOT/Tender/SplashBidNoticeAbstractUI.aspx?menuIndex=3&amp;refID=7078015&amp;Result=3","7078015")</f>
        <v>0</v>
      </c>
      <c r="B84" t="s">
        <v>49</v>
      </c>
      <c r="C84" t="s">
        <v>3572</v>
      </c>
      <c r="D84" t="s">
        <v>18108</v>
      </c>
      <c r="E84" t="s">
        <v>18281</v>
      </c>
      <c r="F84" t="s">
        <v>31362</v>
      </c>
      <c r="G84" t="s">
        <v>31369</v>
      </c>
      <c r="H84" t="s">
        <v>15799</v>
      </c>
      <c r="I84" t="s">
        <v>31405</v>
      </c>
      <c r="J84" t="s">
        <v>31594</v>
      </c>
      <c r="K84" t="s">
        <v>40662</v>
      </c>
      <c r="M84" t="s">
        <v>40983</v>
      </c>
      <c r="N84" t="s">
        <v>44905</v>
      </c>
      <c r="O84" t="s">
        <v>44906</v>
      </c>
      <c r="P84">
        <v>0</v>
      </c>
      <c r="Q84">
        <v>1</v>
      </c>
      <c r="R84" t="s">
        <v>44907</v>
      </c>
      <c r="S84" t="s">
        <v>45026</v>
      </c>
      <c r="T84" t="s">
        <v>46398</v>
      </c>
      <c r="U84" t="s">
        <v>46959</v>
      </c>
      <c r="W84" t="s">
        <v>40983</v>
      </c>
      <c r="X84" t="s">
        <v>44910</v>
      </c>
    </row>
    <row r="85" spans="1:24">
      <c r="A85">
        <f>HYPERLINK("https://www.philgeps.gov.ph/GEPSNONPILOT/Tender/SplashBidNoticeAbstractUI.aspx?menuIndex=3&amp;refID=7078009&amp;Result=3","7078009")</f>
        <v>0</v>
      </c>
      <c r="B85" t="s">
        <v>54</v>
      </c>
      <c r="C85" t="s">
        <v>3607</v>
      </c>
      <c r="E85" t="s">
        <v>18282</v>
      </c>
      <c r="F85" t="s">
        <v>31362</v>
      </c>
      <c r="G85" t="s">
        <v>31368</v>
      </c>
      <c r="H85" t="s">
        <v>15799</v>
      </c>
      <c r="I85" t="s">
        <v>31397</v>
      </c>
      <c r="J85" t="s">
        <v>31595</v>
      </c>
      <c r="K85" t="s">
        <v>40662</v>
      </c>
      <c r="M85" t="s">
        <v>40988</v>
      </c>
      <c r="N85" t="s">
        <v>44905</v>
      </c>
      <c r="O85" t="s">
        <v>44906</v>
      </c>
      <c r="P85">
        <v>0</v>
      </c>
      <c r="Q85">
        <v>1</v>
      </c>
      <c r="R85" t="s">
        <v>44907</v>
      </c>
      <c r="S85" t="s">
        <v>45026</v>
      </c>
      <c r="T85" t="s">
        <v>46412</v>
      </c>
      <c r="U85" t="s">
        <v>46988</v>
      </c>
      <c r="V85" t="s">
        <v>59066</v>
      </c>
      <c r="W85" t="s">
        <v>40988</v>
      </c>
      <c r="X85" t="s">
        <v>44910</v>
      </c>
    </row>
    <row r="86" spans="1:24">
      <c r="A86">
        <f>HYPERLINK("https://www.philgeps.gov.ph/GEPSNONPILOT/Tender/SplashBidNoticeAbstractUI.aspx?menuIndex=3&amp;refID=7078004&amp;Result=3","7078004")</f>
        <v>0</v>
      </c>
      <c r="B86" t="s">
        <v>48</v>
      </c>
      <c r="C86" t="s">
        <v>3608</v>
      </c>
      <c r="D86" t="s">
        <v>18117</v>
      </c>
      <c r="E86" t="s">
        <v>18283</v>
      </c>
      <c r="F86" t="s">
        <v>31362</v>
      </c>
      <c r="G86" t="s">
        <v>31369</v>
      </c>
      <c r="H86" t="s">
        <v>15799</v>
      </c>
      <c r="I86" t="s">
        <v>31385</v>
      </c>
      <c r="J86" t="s">
        <v>31596</v>
      </c>
      <c r="K86" t="s">
        <v>40680</v>
      </c>
      <c r="M86" t="s">
        <v>40997</v>
      </c>
      <c r="N86" t="s">
        <v>44905</v>
      </c>
      <c r="O86" t="s">
        <v>44906</v>
      </c>
      <c r="P86">
        <v>0</v>
      </c>
      <c r="Q86">
        <v>0</v>
      </c>
      <c r="R86" t="s">
        <v>44907</v>
      </c>
      <c r="S86" t="s">
        <v>45026</v>
      </c>
      <c r="T86" t="s">
        <v>46403</v>
      </c>
      <c r="U86" t="s">
        <v>46989</v>
      </c>
      <c r="V86" t="s">
        <v>59056</v>
      </c>
      <c r="W86" t="s">
        <v>40997</v>
      </c>
      <c r="X86" t="s">
        <v>44910</v>
      </c>
    </row>
    <row r="87" spans="1:24">
      <c r="A87">
        <f>HYPERLINK("https://www.philgeps.gov.ph/GEPSNONPILOT/Tender/SplashBidNoticeAbstractUI.aspx?menuIndex=3&amp;refID=7077417&amp;Result=3","7077417")</f>
        <v>0</v>
      </c>
      <c r="B87" t="s">
        <v>45</v>
      </c>
      <c r="C87" t="s">
        <v>3609</v>
      </c>
      <c r="D87" t="s">
        <v>18115</v>
      </c>
      <c r="E87" t="s">
        <v>18284</v>
      </c>
      <c r="F87" t="s">
        <v>31362</v>
      </c>
      <c r="G87" t="s">
        <v>31368</v>
      </c>
      <c r="H87" t="s">
        <v>15799</v>
      </c>
      <c r="I87" t="s">
        <v>31406</v>
      </c>
      <c r="J87" t="s">
        <v>31597</v>
      </c>
      <c r="K87" t="s">
        <v>40661</v>
      </c>
      <c r="M87" t="s">
        <v>40979</v>
      </c>
      <c r="N87" t="s">
        <v>44905</v>
      </c>
      <c r="O87" t="s">
        <v>44906</v>
      </c>
      <c r="P87">
        <v>0</v>
      </c>
      <c r="Q87">
        <v>0</v>
      </c>
      <c r="R87" t="s">
        <v>44907</v>
      </c>
      <c r="S87" t="s">
        <v>45026</v>
      </c>
      <c r="T87" t="s">
        <v>46397</v>
      </c>
      <c r="U87" t="s">
        <v>46990</v>
      </c>
      <c r="V87" t="s">
        <v>59054</v>
      </c>
      <c r="W87" t="s">
        <v>40979</v>
      </c>
      <c r="X87" t="s">
        <v>44910</v>
      </c>
    </row>
    <row r="88" spans="1:24">
      <c r="A88">
        <f>HYPERLINK("https://www.philgeps.gov.ph/GEPSNONPILOT/Tender/SplashBidNoticeAbstractUI.aspx?menuIndex=3&amp;refID=7078068&amp;Result=3","7078068")</f>
        <v>0</v>
      </c>
      <c r="B88" t="s">
        <v>48</v>
      </c>
      <c r="C88" t="s">
        <v>3610</v>
      </c>
      <c r="D88" t="s">
        <v>18117</v>
      </c>
      <c r="E88" t="s">
        <v>18285</v>
      </c>
      <c r="F88" t="s">
        <v>31362</v>
      </c>
      <c r="G88" t="s">
        <v>31369</v>
      </c>
      <c r="H88" t="s">
        <v>15799</v>
      </c>
      <c r="I88" t="s">
        <v>31407</v>
      </c>
      <c r="J88" t="s">
        <v>31598</v>
      </c>
      <c r="K88" t="s">
        <v>40680</v>
      </c>
      <c r="M88" t="s">
        <v>40997</v>
      </c>
      <c r="N88" t="s">
        <v>44905</v>
      </c>
      <c r="O88" t="s">
        <v>44906</v>
      </c>
      <c r="P88">
        <v>0</v>
      </c>
      <c r="Q88">
        <v>0</v>
      </c>
      <c r="R88" t="s">
        <v>44907</v>
      </c>
      <c r="S88" t="s">
        <v>45026</v>
      </c>
      <c r="T88" t="s">
        <v>46403</v>
      </c>
      <c r="U88" t="s">
        <v>46991</v>
      </c>
      <c r="V88" t="s">
        <v>59056</v>
      </c>
      <c r="W88" t="s">
        <v>40997</v>
      </c>
      <c r="X88" t="s">
        <v>44910</v>
      </c>
    </row>
    <row r="89" spans="1:24">
      <c r="A89">
        <f>HYPERLINK("https://www.philgeps.gov.ph/GEPSNONPILOT/Tender/SplashBidNoticeAbstractUI.aspx?menuIndex=3&amp;refID=7078040&amp;Result=3","7078040")</f>
        <v>0</v>
      </c>
      <c r="B89" t="s">
        <v>38</v>
      </c>
      <c r="C89" t="s">
        <v>3611</v>
      </c>
      <c r="E89" t="s">
        <v>18286</v>
      </c>
      <c r="F89" t="s">
        <v>31362</v>
      </c>
      <c r="G89" t="s">
        <v>31369</v>
      </c>
      <c r="H89" t="s">
        <v>15799</v>
      </c>
      <c r="I89" t="s">
        <v>31396</v>
      </c>
      <c r="J89" t="s">
        <v>31599</v>
      </c>
      <c r="K89" t="s">
        <v>40662</v>
      </c>
      <c r="M89" t="s">
        <v>40972</v>
      </c>
      <c r="N89" t="s">
        <v>44905</v>
      </c>
      <c r="O89" t="s">
        <v>44906</v>
      </c>
      <c r="P89">
        <v>0</v>
      </c>
      <c r="Q89">
        <v>6</v>
      </c>
      <c r="R89" t="s">
        <v>44907</v>
      </c>
      <c r="S89" t="s">
        <v>45026</v>
      </c>
      <c r="T89" t="s">
        <v>46398</v>
      </c>
      <c r="U89" t="s">
        <v>46992</v>
      </c>
      <c r="W89" t="s">
        <v>40972</v>
      </c>
      <c r="X89" t="s">
        <v>44910</v>
      </c>
    </row>
    <row r="90" spans="1:24">
      <c r="A90">
        <f>HYPERLINK("https://www.philgeps.gov.ph/GEPSNONPILOT/Tender/SplashBidNoticeAbstractUI.aspx?menuIndex=3&amp;refID=7077947&amp;Result=3","7077947")</f>
        <v>0</v>
      </c>
      <c r="B90" t="s">
        <v>38</v>
      </c>
      <c r="C90" t="s">
        <v>3612</v>
      </c>
      <c r="E90" t="s">
        <v>18287</v>
      </c>
      <c r="F90" t="s">
        <v>31362</v>
      </c>
      <c r="G90" t="s">
        <v>31369</v>
      </c>
      <c r="H90" t="s">
        <v>15799</v>
      </c>
      <c r="I90" t="s">
        <v>31396</v>
      </c>
      <c r="J90" t="s">
        <v>31600</v>
      </c>
      <c r="K90" t="s">
        <v>40662</v>
      </c>
      <c r="M90" t="s">
        <v>40972</v>
      </c>
      <c r="N90" t="s">
        <v>44905</v>
      </c>
      <c r="O90" t="s">
        <v>44906</v>
      </c>
      <c r="P90">
        <v>0</v>
      </c>
      <c r="Q90">
        <v>6</v>
      </c>
      <c r="R90" t="s">
        <v>44907</v>
      </c>
      <c r="S90" t="s">
        <v>45026</v>
      </c>
      <c r="T90" t="s">
        <v>46398</v>
      </c>
      <c r="U90" t="s">
        <v>46993</v>
      </c>
      <c r="W90" t="s">
        <v>40972</v>
      </c>
      <c r="X90" t="s">
        <v>44910</v>
      </c>
    </row>
    <row r="91" spans="1:24">
      <c r="A91">
        <f>HYPERLINK("https://www.philgeps.gov.ph/GEPSNONPILOT/Tender/SplashBidNoticeAbstractUI.aspx?menuIndex=3&amp;refID=7077950&amp;Result=3","7077950")</f>
        <v>0</v>
      </c>
      <c r="B91" t="s">
        <v>48</v>
      </c>
      <c r="C91" t="s">
        <v>3613</v>
      </c>
      <c r="D91" t="s">
        <v>18117</v>
      </c>
      <c r="E91" t="s">
        <v>18288</v>
      </c>
      <c r="F91" t="s">
        <v>31362</v>
      </c>
      <c r="G91" t="s">
        <v>31369</v>
      </c>
      <c r="H91" t="s">
        <v>15799</v>
      </c>
      <c r="I91" t="s">
        <v>31380</v>
      </c>
      <c r="J91" t="s">
        <v>31601</v>
      </c>
      <c r="K91" t="s">
        <v>40680</v>
      </c>
      <c r="M91" t="s">
        <v>40997</v>
      </c>
      <c r="N91" t="s">
        <v>44905</v>
      </c>
      <c r="O91" t="s">
        <v>44906</v>
      </c>
      <c r="P91">
        <v>0</v>
      </c>
      <c r="Q91">
        <v>0</v>
      </c>
      <c r="R91" t="s">
        <v>44907</v>
      </c>
      <c r="S91" t="s">
        <v>45026</v>
      </c>
      <c r="T91" t="s">
        <v>46398</v>
      </c>
      <c r="U91" t="s">
        <v>46994</v>
      </c>
      <c r="V91" t="s">
        <v>59056</v>
      </c>
      <c r="W91" t="s">
        <v>40997</v>
      </c>
      <c r="X91" t="s">
        <v>44910</v>
      </c>
    </row>
    <row r="92" spans="1:24">
      <c r="A92">
        <f>HYPERLINK("https://www.philgeps.gov.ph/GEPSNONPILOT/Tender/SplashBidNoticeAbstractUI.aspx?menuIndex=3&amp;refID=7077937&amp;Result=3","7077937")</f>
        <v>0</v>
      </c>
      <c r="B92" t="s">
        <v>38</v>
      </c>
      <c r="C92" t="s">
        <v>3614</v>
      </c>
      <c r="E92" t="s">
        <v>18289</v>
      </c>
      <c r="F92" t="s">
        <v>31362</v>
      </c>
      <c r="G92" t="s">
        <v>31369</v>
      </c>
      <c r="H92" t="s">
        <v>15799</v>
      </c>
      <c r="I92" t="s">
        <v>31396</v>
      </c>
      <c r="J92" t="s">
        <v>31602</v>
      </c>
      <c r="K92" t="s">
        <v>40662</v>
      </c>
      <c r="M92" t="s">
        <v>40972</v>
      </c>
      <c r="N92" t="s">
        <v>44905</v>
      </c>
      <c r="O92" t="s">
        <v>44906</v>
      </c>
      <c r="P92">
        <v>0</v>
      </c>
      <c r="Q92">
        <v>5</v>
      </c>
      <c r="R92" t="s">
        <v>44907</v>
      </c>
      <c r="S92" t="s">
        <v>45026</v>
      </c>
      <c r="T92" t="s">
        <v>46398</v>
      </c>
      <c r="U92" t="s">
        <v>46995</v>
      </c>
      <c r="W92" t="s">
        <v>40972</v>
      </c>
      <c r="X92" t="s">
        <v>44910</v>
      </c>
    </row>
    <row r="93" spans="1:24">
      <c r="A93">
        <f>HYPERLINK("https://www.philgeps.gov.ph/GEPSNONPILOT/Tender/SplashBidNoticeAbstractUI.aspx?menuIndex=3&amp;refID=7077683&amp;Result=3","7077683")</f>
        <v>0</v>
      </c>
      <c r="B93" t="s">
        <v>38</v>
      </c>
      <c r="C93" t="s">
        <v>3615</v>
      </c>
      <c r="E93" t="s">
        <v>18290</v>
      </c>
      <c r="F93" t="s">
        <v>31362</v>
      </c>
      <c r="G93" t="s">
        <v>31369</v>
      </c>
      <c r="H93" t="s">
        <v>15799</v>
      </c>
      <c r="I93" t="s">
        <v>31396</v>
      </c>
      <c r="J93" t="s">
        <v>31603</v>
      </c>
      <c r="K93" t="s">
        <v>40662</v>
      </c>
      <c r="M93" t="s">
        <v>40972</v>
      </c>
      <c r="N93" t="s">
        <v>44905</v>
      </c>
      <c r="O93" t="s">
        <v>44906</v>
      </c>
      <c r="P93">
        <v>0</v>
      </c>
      <c r="Q93">
        <v>8</v>
      </c>
      <c r="R93" t="s">
        <v>44907</v>
      </c>
      <c r="S93" t="s">
        <v>45026</v>
      </c>
      <c r="T93" t="s">
        <v>46398</v>
      </c>
      <c r="U93" t="s">
        <v>46996</v>
      </c>
      <c r="W93" t="s">
        <v>40972</v>
      </c>
      <c r="X93" t="s">
        <v>44910</v>
      </c>
    </row>
    <row r="94" spans="1:24">
      <c r="A94">
        <f>HYPERLINK("https://www.philgeps.gov.ph/GEPSNONPILOT/Tender/SplashBidNoticeAbstractUI.aspx?menuIndex=3&amp;refID=7077925&amp;Result=3","7077925")</f>
        <v>0</v>
      </c>
      <c r="B94" t="s">
        <v>38</v>
      </c>
      <c r="C94" t="s">
        <v>3616</v>
      </c>
      <c r="E94" t="s">
        <v>18291</v>
      </c>
      <c r="F94" t="s">
        <v>31362</v>
      </c>
      <c r="G94" t="s">
        <v>31369</v>
      </c>
      <c r="H94" t="s">
        <v>15799</v>
      </c>
      <c r="I94" t="s">
        <v>31396</v>
      </c>
      <c r="J94" t="s">
        <v>31604</v>
      </c>
      <c r="K94" t="s">
        <v>40662</v>
      </c>
      <c r="M94" t="s">
        <v>40972</v>
      </c>
      <c r="N94" t="s">
        <v>44905</v>
      </c>
      <c r="O94" t="s">
        <v>44906</v>
      </c>
      <c r="P94">
        <v>0</v>
      </c>
      <c r="Q94">
        <v>4</v>
      </c>
      <c r="R94" t="s">
        <v>44907</v>
      </c>
      <c r="S94" t="s">
        <v>45026</v>
      </c>
      <c r="T94" t="s">
        <v>46398</v>
      </c>
      <c r="U94" t="s">
        <v>46997</v>
      </c>
      <c r="W94" t="s">
        <v>40972</v>
      </c>
      <c r="X94" t="s">
        <v>44910</v>
      </c>
    </row>
    <row r="95" spans="1:24">
      <c r="A95">
        <f>HYPERLINK("https://www.philgeps.gov.ph/GEPSNONPILOT/Tender/SplashBidNoticeAbstractUI.aspx?menuIndex=3&amp;refID=7077903&amp;Result=3","7077903")</f>
        <v>0</v>
      </c>
      <c r="B95" t="s">
        <v>38</v>
      </c>
      <c r="C95" t="s">
        <v>3617</v>
      </c>
      <c r="E95" t="s">
        <v>18292</v>
      </c>
      <c r="F95" t="s">
        <v>31362</v>
      </c>
      <c r="G95" t="s">
        <v>31369</v>
      </c>
      <c r="H95" t="s">
        <v>15799</v>
      </c>
      <c r="I95" t="s">
        <v>31396</v>
      </c>
      <c r="J95" t="s">
        <v>31605</v>
      </c>
      <c r="K95" t="s">
        <v>40662</v>
      </c>
      <c r="M95" t="s">
        <v>40972</v>
      </c>
      <c r="N95" t="s">
        <v>44905</v>
      </c>
      <c r="O95" t="s">
        <v>44906</v>
      </c>
      <c r="P95">
        <v>0</v>
      </c>
      <c r="Q95">
        <v>2</v>
      </c>
      <c r="R95" t="s">
        <v>44907</v>
      </c>
      <c r="S95" t="s">
        <v>45026</v>
      </c>
      <c r="T95" t="s">
        <v>46398</v>
      </c>
      <c r="U95" t="s">
        <v>46998</v>
      </c>
      <c r="W95" t="s">
        <v>40972</v>
      </c>
      <c r="X95" t="s">
        <v>44910</v>
      </c>
    </row>
    <row r="96" spans="1:24">
      <c r="A96">
        <f>HYPERLINK("https://www.philgeps.gov.ph/GEPSNONPILOT/Tender/SplashBidNoticeAbstractUI.aspx?menuIndex=3&amp;refID=7078023&amp;Result=3","7078023")</f>
        <v>0</v>
      </c>
      <c r="B96" t="s">
        <v>38</v>
      </c>
      <c r="C96" t="s">
        <v>3618</v>
      </c>
      <c r="E96" t="s">
        <v>18293</v>
      </c>
      <c r="F96" t="s">
        <v>31362</v>
      </c>
      <c r="G96" t="s">
        <v>31369</v>
      </c>
      <c r="H96" t="s">
        <v>15799</v>
      </c>
      <c r="I96" t="s">
        <v>31396</v>
      </c>
      <c r="J96" t="s">
        <v>31606</v>
      </c>
      <c r="K96" t="s">
        <v>40662</v>
      </c>
      <c r="M96" t="s">
        <v>40972</v>
      </c>
      <c r="N96" t="s">
        <v>44905</v>
      </c>
      <c r="O96" t="s">
        <v>44906</v>
      </c>
      <c r="P96">
        <v>0</v>
      </c>
      <c r="Q96">
        <v>3</v>
      </c>
      <c r="R96" t="s">
        <v>44907</v>
      </c>
      <c r="S96" t="s">
        <v>45026</v>
      </c>
      <c r="T96" t="s">
        <v>46398</v>
      </c>
      <c r="U96" t="s">
        <v>46999</v>
      </c>
      <c r="W96" t="s">
        <v>40972</v>
      </c>
      <c r="X96" t="s">
        <v>44910</v>
      </c>
    </row>
    <row r="97" spans="1:24">
      <c r="A97">
        <f>HYPERLINK("https://www.philgeps.gov.ph/GEPSNONPILOT/Tender/SplashBidNoticeAbstractUI.aspx?menuIndex=3&amp;refID=7078238&amp;Result=3","7078238")</f>
        <v>0</v>
      </c>
      <c r="B97" t="s">
        <v>57</v>
      </c>
      <c r="C97" t="s">
        <v>3619</v>
      </c>
      <c r="D97" t="s">
        <v>18120</v>
      </c>
      <c r="E97" t="s">
        <v>18294</v>
      </c>
      <c r="F97" t="s">
        <v>31362</v>
      </c>
      <c r="G97" t="s">
        <v>31369</v>
      </c>
      <c r="H97" t="s">
        <v>15799</v>
      </c>
      <c r="I97" t="s">
        <v>31408</v>
      </c>
      <c r="J97" t="s">
        <v>31607</v>
      </c>
      <c r="K97" t="s">
        <v>40662</v>
      </c>
      <c r="M97" t="s">
        <v>40992</v>
      </c>
      <c r="N97" t="s">
        <v>44905</v>
      </c>
      <c r="O97" t="s">
        <v>44906</v>
      </c>
      <c r="P97">
        <v>0</v>
      </c>
      <c r="Q97">
        <v>3</v>
      </c>
      <c r="R97" t="s">
        <v>44907</v>
      </c>
      <c r="S97" t="s">
        <v>45026</v>
      </c>
      <c r="T97" t="s">
        <v>46395</v>
      </c>
      <c r="U97" t="s">
        <v>47000</v>
      </c>
      <c r="W97" t="s">
        <v>40992</v>
      </c>
      <c r="X97" t="s">
        <v>44910</v>
      </c>
    </row>
    <row r="98" spans="1:24">
      <c r="A98">
        <f>HYPERLINK("https://www.philgeps.gov.ph/GEPSNONPILOT/Tender/SplashBidNoticeAbstractUI.aspx?menuIndex=3&amp;refID=7077923&amp;Result=3","7077923")</f>
        <v>0</v>
      </c>
      <c r="B98" t="s">
        <v>48</v>
      </c>
      <c r="C98" t="s">
        <v>3620</v>
      </c>
      <c r="D98" t="s">
        <v>18117</v>
      </c>
      <c r="E98" t="s">
        <v>18295</v>
      </c>
      <c r="F98" t="s">
        <v>31362</v>
      </c>
      <c r="G98" t="s">
        <v>31369</v>
      </c>
      <c r="H98" t="s">
        <v>15799</v>
      </c>
      <c r="I98" t="s">
        <v>31380</v>
      </c>
      <c r="J98" t="s">
        <v>31608</v>
      </c>
      <c r="K98" t="s">
        <v>40680</v>
      </c>
      <c r="M98" t="s">
        <v>40997</v>
      </c>
      <c r="N98" t="s">
        <v>44905</v>
      </c>
      <c r="O98" t="s">
        <v>44906</v>
      </c>
      <c r="P98">
        <v>0</v>
      </c>
      <c r="Q98">
        <v>0</v>
      </c>
      <c r="R98" t="s">
        <v>44907</v>
      </c>
      <c r="S98" t="s">
        <v>45026</v>
      </c>
      <c r="T98" t="s">
        <v>46396</v>
      </c>
      <c r="U98" t="s">
        <v>47001</v>
      </c>
      <c r="V98" t="s">
        <v>59056</v>
      </c>
      <c r="W98" t="s">
        <v>40997</v>
      </c>
      <c r="X98" t="s">
        <v>44910</v>
      </c>
    </row>
    <row r="99" spans="1:24">
      <c r="A99">
        <f>HYPERLINK("https://www.philgeps.gov.ph/GEPSNONPILOT/Tender/SplashBidNoticeAbstractUI.aspx?menuIndex=3&amp;refID=7078211&amp;Result=3","7078211")</f>
        <v>0</v>
      </c>
      <c r="B99" t="s">
        <v>57</v>
      </c>
      <c r="C99" t="s">
        <v>3621</v>
      </c>
      <c r="D99" t="s">
        <v>18120</v>
      </c>
      <c r="E99" t="s">
        <v>18296</v>
      </c>
      <c r="F99" t="s">
        <v>31362</v>
      </c>
      <c r="G99" t="s">
        <v>31369</v>
      </c>
      <c r="H99" t="s">
        <v>15799</v>
      </c>
      <c r="I99" t="s">
        <v>31385</v>
      </c>
      <c r="J99" t="s">
        <v>31609</v>
      </c>
      <c r="K99" t="s">
        <v>40662</v>
      </c>
      <c r="M99" t="s">
        <v>40992</v>
      </c>
      <c r="N99" t="s">
        <v>44905</v>
      </c>
      <c r="O99" t="s">
        <v>44906</v>
      </c>
      <c r="P99">
        <v>0</v>
      </c>
      <c r="Q99">
        <v>3</v>
      </c>
      <c r="R99" t="s">
        <v>44907</v>
      </c>
      <c r="S99" t="s">
        <v>45026</v>
      </c>
      <c r="T99" t="s">
        <v>46415</v>
      </c>
      <c r="U99" t="s">
        <v>47002</v>
      </c>
      <c r="W99" t="s">
        <v>40992</v>
      </c>
      <c r="X99" t="s">
        <v>44910</v>
      </c>
    </row>
    <row r="100" spans="1:24">
      <c r="A100">
        <f>HYPERLINK("https://www.philgeps.gov.ph/GEPSNONPILOT/Tender/SplashBidNoticeAbstractUI.aspx?menuIndex=3&amp;refID=7077868&amp;Result=3","7077868")</f>
        <v>0</v>
      </c>
      <c r="B100" t="s">
        <v>48</v>
      </c>
      <c r="C100" t="s">
        <v>3622</v>
      </c>
      <c r="D100" t="s">
        <v>18117</v>
      </c>
      <c r="E100" t="s">
        <v>18297</v>
      </c>
      <c r="F100" t="s">
        <v>31362</v>
      </c>
      <c r="G100" t="s">
        <v>31369</v>
      </c>
      <c r="H100" t="s">
        <v>15799</v>
      </c>
      <c r="I100" t="s">
        <v>7719</v>
      </c>
      <c r="J100" t="s">
        <v>31610</v>
      </c>
      <c r="K100" t="s">
        <v>40680</v>
      </c>
      <c r="M100" t="s">
        <v>40997</v>
      </c>
      <c r="N100" t="s">
        <v>44905</v>
      </c>
      <c r="O100" t="s">
        <v>44906</v>
      </c>
      <c r="P100">
        <v>0</v>
      </c>
      <c r="Q100">
        <v>3</v>
      </c>
      <c r="R100" t="s">
        <v>44907</v>
      </c>
      <c r="S100" t="s">
        <v>45026</v>
      </c>
      <c r="T100" t="s">
        <v>46403</v>
      </c>
      <c r="U100" t="s">
        <v>47003</v>
      </c>
      <c r="V100" t="s">
        <v>59056</v>
      </c>
      <c r="W100" t="s">
        <v>40997</v>
      </c>
      <c r="X100" t="s">
        <v>44910</v>
      </c>
    </row>
    <row r="101" spans="1:24">
      <c r="A101">
        <f>HYPERLINK("https://www.philgeps.gov.ph/GEPSNONPILOT/Tender/SplashBidNoticeAbstractUI.aspx?menuIndex=3&amp;refID=7078206&amp;Result=3","7078206")</f>
        <v>0</v>
      </c>
      <c r="B101" t="s">
        <v>62</v>
      </c>
      <c r="C101" t="s">
        <v>3623</v>
      </c>
      <c r="D101" t="s">
        <v>18125</v>
      </c>
      <c r="E101" t="s">
        <v>18298</v>
      </c>
      <c r="F101" t="s">
        <v>31362</v>
      </c>
      <c r="G101" t="s">
        <v>31369</v>
      </c>
      <c r="H101" t="s">
        <v>15799</v>
      </c>
      <c r="I101" t="s">
        <v>31409</v>
      </c>
      <c r="J101" t="s">
        <v>31611</v>
      </c>
      <c r="K101" t="s">
        <v>40681</v>
      </c>
      <c r="M101" t="s">
        <v>40998</v>
      </c>
      <c r="N101" t="s">
        <v>44905</v>
      </c>
      <c r="O101" t="s">
        <v>44906</v>
      </c>
      <c r="P101">
        <v>0</v>
      </c>
      <c r="Q101">
        <v>4</v>
      </c>
      <c r="R101" t="s">
        <v>44907</v>
      </c>
      <c r="S101" t="s">
        <v>45026</v>
      </c>
      <c r="T101" t="s">
        <v>46402</v>
      </c>
      <c r="U101" t="s">
        <v>47004</v>
      </c>
      <c r="W101" t="s">
        <v>40998</v>
      </c>
      <c r="X101" t="s">
        <v>44910</v>
      </c>
    </row>
    <row r="102" spans="1:24">
      <c r="A102">
        <f>HYPERLINK("https://www.philgeps.gov.ph/GEPSNONPILOT/Tender/SplashBidNoticeAbstractUI.aspx?menuIndex=3&amp;refID=7078192&amp;Result=3","7078192")</f>
        <v>0</v>
      </c>
      <c r="B102" t="s">
        <v>57</v>
      </c>
      <c r="C102" t="s">
        <v>3624</v>
      </c>
      <c r="D102" t="s">
        <v>18120</v>
      </c>
      <c r="E102" t="s">
        <v>18299</v>
      </c>
      <c r="F102" t="s">
        <v>31362</v>
      </c>
      <c r="G102" t="s">
        <v>31369</v>
      </c>
      <c r="H102" t="s">
        <v>15799</v>
      </c>
      <c r="I102" t="s">
        <v>4942</v>
      </c>
      <c r="J102" t="s">
        <v>31612</v>
      </c>
      <c r="K102" t="s">
        <v>40662</v>
      </c>
      <c r="M102" t="s">
        <v>40992</v>
      </c>
      <c r="N102" t="s">
        <v>44905</v>
      </c>
      <c r="O102" t="s">
        <v>44906</v>
      </c>
      <c r="P102">
        <v>0</v>
      </c>
      <c r="Q102">
        <v>0</v>
      </c>
      <c r="R102" t="s">
        <v>44907</v>
      </c>
      <c r="S102" t="s">
        <v>45026</v>
      </c>
      <c r="T102" t="s">
        <v>46415</v>
      </c>
      <c r="U102" t="s">
        <v>47005</v>
      </c>
      <c r="W102" t="s">
        <v>40992</v>
      </c>
      <c r="X102" t="s">
        <v>44910</v>
      </c>
    </row>
    <row r="103" spans="1:24">
      <c r="A103">
        <f>HYPERLINK("https://www.philgeps.gov.ph/GEPSNONPILOT/Tender/SplashBidNoticeAbstractUI.aspx?menuIndex=3&amp;refID=7078191&amp;Result=3","7078191")</f>
        <v>0</v>
      </c>
      <c r="B103" t="s">
        <v>62</v>
      </c>
      <c r="C103" t="s">
        <v>3625</v>
      </c>
      <c r="D103" t="s">
        <v>18125</v>
      </c>
      <c r="E103" t="s">
        <v>18300</v>
      </c>
      <c r="F103" t="s">
        <v>31362</v>
      </c>
      <c r="G103" t="s">
        <v>31369</v>
      </c>
      <c r="H103" t="s">
        <v>15799</v>
      </c>
      <c r="I103" t="s">
        <v>31409</v>
      </c>
      <c r="J103" t="s">
        <v>31613</v>
      </c>
      <c r="K103" t="s">
        <v>40681</v>
      </c>
      <c r="M103" t="s">
        <v>40998</v>
      </c>
      <c r="N103" t="s">
        <v>44905</v>
      </c>
      <c r="O103" t="s">
        <v>44906</v>
      </c>
      <c r="P103">
        <v>0</v>
      </c>
      <c r="Q103">
        <v>4</v>
      </c>
      <c r="R103" t="s">
        <v>44907</v>
      </c>
      <c r="S103" t="s">
        <v>45026</v>
      </c>
      <c r="T103" t="s">
        <v>46402</v>
      </c>
      <c r="U103" t="s">
        <v>47006</v>
      </c>
      <c r="V103" t="s">
        <v>59067</v>
      </c>
      <c r="W103" t="s">
        <v>40998</v>
      </c>
      <c r="X103" t="s">
        <v>44910</v>
      </c>
    </row>
    <row r="104" spans="1:24">
      <c r="A104">
        <f>HYPERLINK("https://www.philgeps.gov.ph/GEPSNONPILOT/Tender/SplashBidNoticeAbstractUI.aspx?menuIndex=3&amp;refID=7077981&amp;Result=3","7077981")</f>
        <v>0</v>
      </c>
      <c r="B104" t="s">
        <v>38</v>
      </c>
      <c r="C104" t="s">
        <v>3626</v>
      </c>
      <c r="E104" t="s">
        <v>18301</v>
      </c>
      <c r="F104" t="s">
        <v>31362</v>
      </c>
      <c r="G104" t="s">
        <v>31369</v>
      </c>
      <c r="H104" t="s">
        <v>15799</v>
      </c>
      <c r="I104" t="s">
        <v>31396</v>
      </c>
      <c r="J104" t="s">
        <v>31614</v>
      </c>
      <c r="K104" t="s">
        <v>40662</v>
      </c>
      <c r="M104" t="s">
        <v>40972</v>
      </c>
      <c r="N104" t="s">
        <v>44905</v>
      </c>
      <c r="O104" t="s">
        <v>44906</v>
      </c>
      <c r="P104">
        <v>0</v>
      </c>
      <c r="Q104">
        <v>5</v>
      </c>
      <c r="R104" t="s">
        <v>44907</v>
      </c>
      <c r="S104" t="s">
        <v>45026</v>
      </c>
      <c r="T104" t="s">
        <v>46398</v>
      </c>
      <c r="U104" t="s">
        <v>47007</v>
      </c>
      <c r="W104" t="s">
        <v>40972</v>
      </c>
      <c r="X104" t="s">
        <v>44910</v>
      </c>
    </row>
    <row r="105" spans="1:24">
      <c r="A105">
        <f>HYPERLINK("https://www.philgeps.gov.ph/GEPSNONPILOT/Tender/SplashBidNoticeAbstractUI.aspx?menuIndex=3&amp;refID=7078215&amp;Result=3","7078215")</f>
        <v>0</v>
      </c>
      <c r="B105" t="s">
        <v>38</v>
      </c>
      <c r="C105" t="s">
        <v>3627</v>
      </c>
      <c r="E105" t="s">
        <v>18302</v>
      </c>
      <c r="F105" t="s">
        <v>31362</v>
      </c>
      <c r="G105" t="s">
        <v>31369</v>
      </c>
      <c r="H105" t="s">
        <v>15799</v>
      </c>
      <c r="I105" t="s">
        <v>31396</v>
      </c>
      <c r="J105" t="s">
        <v>31615</v>
      </c>
      <c r="K105" t="s">
        <v>40662</v>
      </c>
      <c r="M105" t="s">
        <v>40972</v>
      </c>
      <c r="N105" t="s">
        <v>44905</v>
      </c>
      <c r="O105" t="s">
        <v>44906</v>
      </c>
      <c r="P105">
        <v>0</v>
      </c>
      <c r="Q105">
        <v>6</v>
      </c>
      <c r="R105" t="s">
        <v>44907</v>
      </c>
      <c r="S105" t="s">
        <v>45026</v>
      </c>
      <c r="T105" t="s">
        <v>46398</v>
      </c>
      <c r="U105" t="s">
        <v>47008</v>
      </c>
      <c r="W105" t="s">
        <v>40972</v>
      </c>
      <c r="X105" t="s">
        <v>44910</v>
      </c>
    </row>
    <row r="106" spans="1:24">
      <c r="A106">
        <f>HYPERLINK("https://www.philgeps.gov.ph/GEPSNONPILOT/Tender/SplashBidNoticeAbstractUI.aspx?menuIndex=3&amp;refID=7078184&amp;Result=3","7078184")</f>
        <v>0</v>
      </c>
      <c r="B106" t="s">
        <v>54</v>
      </c>
      <c r="C106" t="s">
        <v>3628</v>
      </c>
      <c r="E106" t="s">
        <v>18303</v>
      </c>
      <c r="F106" t="s">
        <v>31362</v>
      </c>
      <c r="G106" t="s">
        <v>31368</v>
      </c>
      <c r="H106" t="s">
        <v>15799</v>
      </c>
      <c r="I106" t="s">
        <v>31410</v>
      </c>
      <c r="J106" t="s">
        <v>31616</v>
      </c>
      <c r="K106" t="s">
        <v>40662</v>
      </c>
      <c r="M106" t="s">
        <v>40988</v>
      </c>
      <c r="N106" t="s">
        <v>44905</v>
      </c>
      <c r="O106" t="s">
        <v>44906</v>
      </c>
      <c r="P106">
        <v>0</v>
      </c>
      <c r="Q106">
        <v>0</v>
      </c>
      <c r="R106" t="s">
        <v>44907</v>
      </c>
      <c r="S106" t="s">
        <v>45026</v>
      </c>
      <c r="T106" t="s">
        <v>46412</v>
      </c>
      <c r="U106" t="s">
        <v>47009</v>
      </c>
      <c r="V106" t="s">
        <v>59066</v>
      </c>
      <c r="W106" t="s">
        <v>40988</v>
      </c>
      <c r="X106" t="s">
        <v>44910</v>
      </c>
    </row>
    <row r="107" spans="1:24">
      <c r="A107">
        <f>HYPERLINK("https://www.philgeps.gov.ph/GEPSNONPILOT/Tender/SplashBidNoticeAbstractUI.aspx?menuIndex=3&amp;refID=7078613&amp;Result=3","7078613")</f>
        <v>0</v>
      </c>
      <c r="B107" t="s">
        <v>63</v>
      </c>
      <c r="C107" t="s">
        <v>3629</v>
      </c>
      <c r="D107" t="s">
        <v>18108</v>
      </c>
      <c r="E107" t="s">
        <v>18304</v>
      </c>
      <c r="F107" t="s">
        <v>31362</v>
      </c>
      <c r="G107" t="s">
        <v>31369</v>
      </c>
      <c r="H107" t="s">
        <v>15799</v>
      </c>
      <c r="I107" t="s">
        <v>31385</v>
      </c>
      <c r="J107" t="s">
        <v>31617</v>
      </c>
      <c r="K107" t="s">
        <v>40661</v>
      </c>
      <c r="M107" t="s">
        <v>40999</v>
      </c>
      <c r="N107" t="s">
        <v>44905</v>
      </c>
      <c r="O107" t="s">
        <v>44906</v>
      </c>
      <c r="P107">
        <v>0</v>
      </c>
      <c r="Q107">
        <v>2</v>
      </c>
      <c r="R107" t="s">
        <v>44907</v>
      </c>
      <c r="S107" t="s">
        <v>45026</v>
      </c>
      <c r="T107" t="s">
        <v>46420</v>
      </c>
      <c r="U107" t="s">
        <v>47010</v>
      </c>
      <c r="W107" t="s">
        <v>40999</v>
      </c>
      <c r="X107" t="s">
        <v>44910</v>
      </c>
    </row>
    <row r="108" spans="1:24">
      <c r="A108">
        <f>HYPERLINK("https://www.philgeps.gov.ph/GEPSNONPILOT/Tender/SplashBidNoticeAbstractUI.aspx?menuIndex=3&amp;refID=7078591&amp;Result=3","7078591")</f>
        <v>0</v>
      </c>
      <c r="B108" t="s">
        <v>63</v>
      </c>
      <c r="C108" t="s">
        <v>3630</v>
      </c>
      <c r="D108" t="s">
        <v>18108</v>
      </c>
      <c r="E108" t="s">
        <v>18305</v>
      </c>
      <c r="F108" t="s">
        <v>31362</v>
      </c>
      <c r="G108" t="s">
        <v>31369</v>
      </c>
      <c r="H108" t="s">
        <v>15799</v>
      </c>
      <c r="I108" t="s">
        <v>31411</v>
      </c>
      <c r="J108" t="s">
        <v>31618</v>
      </c>
      <c r="K108" t="s">
        <v>40661</v>
      </c>
      <c r="M108" t="s">
        <v>40999</v>
      </c>
      <c r="N108" t="s">
        <v>44905</v>
      </c>
      <c r="O108" t="s">
        <v>44906</v>
      </c>
      <c r="P108">
        <v>0</v>
      </c>
      <c r="Q108">
        <v>4</v>
      </c>
      <c r="R108" t="s">
        <v>44907</v>
      </c>
      <c r="S108" t="s">
        <v>45026</v>
      </c>
      <c r="T108" t="s">
        <v>46420</v>
      </c>
      <c r="U108" t="s">
        <v>47011</v>
      </c>
      <c r="W108" t="s">
        <v>40999</v>
      </c>
      <c r="X108" t="s">
        <v>44910</v>
      </c>
    </row>
    <row r="109" spans="1:24">
      <c r="A109">
        <f>HYPERLINK("https://www.philgeps.gov.ph/GEPSNONPILOT/Tender/SplashBidNoticeAbstractUI.aspx?menuIndex=3&amp;refID=7077990&amp;Result=3","7077990")</f>
        <v>0</v>
      </c>
      <c r="B109" t="s">
        <v>38</v>
      </c>
      <c r="C109" t="s">
        <v>3631</v>
      </c>
      <c r="E109" t="s">
        <v>18306</v>
      </c>
      <c r="F109" t="s">
        <v>31362</v>
      </c>
      <c r="G109" t="s">
        <v>31369</v>
      </c>
      <c r="H109" t="s">
        <v>15799</v>
      </c>
      <c r="I109" t="s">
        <v>31396</v>
      </c>
      <c r="J109" t="s">
        <v>31619</v>
      </c>
      <c r="K109" t="s">
        <v>40662</v>
      </c>
      <c r="M109" t="s">
        <v>40972</v>
      </c>
      <c r="N109" t="s">
        <v>44905</v>
      </c>
      <c r="O109" t="s">
        <v>44906</v>
      </c>
      <c r="P109">
        <v>0</v>
      </c>
      <c r="Q109">
        <v>5</v>
      </c>
      <c r="R109" t="s">
        <v>44907</v>
      </c>
      <c r="S109" t="s">
        <v>45026</v>
      </c>
      <c r="T109" t="s">
        <v>46398</v>
      </c>
      <c r="U109" t="s">
        <v>47012</v>
      </c>
      <c r="W109" t="s">
        <v>40972</v>
      </c>
      <c r="X109" t="s">
        <v>44910</v>
      </c>
    </row>
    <row r="110" spans="1:24">
      <c r="A110">
        <f>HYPERLINK("https://www.philgeps.gov.ph/GEPSNONPILOT/Tender/SplashBidNoticeAbstractUI.aspx?menuIndex=3&amp;refID=7078575&amp;Result=3","7078575")</f>
        <v>0</v>
      </c>
      <c r="B110" t="s">
        <v>64</v>
      </c>
      <c r="C110" t="s">
        <v>3632</v>
      </c>
      <c r="D110" t="s">
        <v>18126</v>
      </c>
      <c r="E110" t="s">
        <v>18307</v>
      </c>
      <c r="F110" t="s">
        <v>31362</v>
      </c>
      <c r="G110" t="s">
        <v>31369</v>
      </c>
      <c r="H110" t="s">
        <v>31377</v>
      </c>
      <c r="I110" t="s">
        <v>31412</v>
      </c>
      <c r="J110" t="s">
        <v>31620</v>
      </c>
      <c r="K110" t="s">
        <v>40682</v>
      </c>
      <c r="M110" t="s">
        <v>41000</v>
      </c>
      <c r="N110" t="s">
        <v>44905</v>
      </c>
      <c r="O110" t="s">
        <v>44906</v>
      </c>
      <c r="Q110">
        <v>0</v>
      </c>
      <c r="R110" t="s">
        <v>44907</v>
      </c>
      <c r="S110" t="s">
        <v>45027</v>
      </c>
      <c r="T110" t="s">
        <v>46421</v>
      </c>
      <c r="U110" t="s">
        <v>47013</v>
      </c>
      <c r="W110" t="s">
        <v>41000</v>
      </c>
      <c r="X110" t="s">
        <v>44910</v>
      </c>
    </row>
    <row r="111" spans="1:24">
      <c r="A111">
        <f>HYPERLINK("https://www.philgeps.gov.ph/GEPSNONPILOT/Tender/SplashBidNoticeAbstractUI.aspx?menuIndex=3&amp;refID=7078190&amp;Result=3","7078190")</f>
        <v>0</v>
      </c>
      <c r="B111" t="s">
        <v>38</v>
      </c>
      <c r="C111" t="s">
        <v>3633</v>
      </c>
      <c r="E111" t="s">
        <v>18308</v>
      </c>
      <c r="F111" t="s">
        <v>31362</v>
      </c>
      <c r="G111" t="s">
        <v>31369</v>
      </c>
      <c r="H111" t="s">
        <v>15799</v>
      </c>
      <c r="I111" t="s">
        <v>31396</v>
      </c>
      <c r="J111" t="s">
        <v>31621</v>
      </c>
      <c r="K111" t="s">
        <v>40662</v>
      </c>
      <c r="M111" t="s">
        <v>40972</v>
      </c>
      <c r="N111" t="s">
        <v>44905</v>
      </c>
      <c r="O111" t="s">
        <v>44906</v>
      </c>
      <c r="P111">
        <v>0</v>
      </c>
      <c r="Q111">
        <v>5</v>
      </c>
      <c r="R111" t="s">
        <v>44907</v>
      </c>
      <c r="S111" t="s">
        <v>45026</v>
      </c>
      <c r="T111" t="s">
        <v>46398</v>
      </c>
      <c r="U111" t="s">
        <v>47014</v>
      </c>
      <c r="W111" t="s">
        <v>40972</v>
      </c>
      <c r="X111" t="s">
        <v>44910</v>
      </c>
    </row>
    <row r="112" spans="1:24">
      <c r="A112">
        <f>HYPERLINK("https://www.philgeps.gov.ph/GEPSNONPILOT/Tender/SplashBidNoticeAbstractUI.aspx?menuIndex=3&amp;refID=7078255&amp;Result=3","7078255")</f>
        <v>0</v>
      </c>
      <c r="B112" t="s">
        <v>65</v>
      </c>
      <c r="C112" t="s">
        <v>3634</v>
      </c>
      <c r="D112" t="s">
        <v>18127</v>
      </c>
      <c r="E112" t="s">
        <v>18309</v>
      </c>
      <c r="F112" t="s">
        <v>31362</v>
      </c>
      <c r="G112" t="s">
        <v>31368</v>
      </c>
      <c r="H112" t="s">
        <v>15799</v>
      </c>
      <c r="I112" t="s">
        <v>31391</v>
      </c>
      <c r="J112" t="s">
        <v>31545</v>
      </c>
      <c r="K112" t="s">
        <v>40665</v>
      </c>
      <c r="M112" t="s">
        <v>41001</v>
      </c>
      <c r="N112" t="s">
        <v>44905</v>
      </c>
      <c r="O112" t="s">
        <v>44906</v>
      </c>
      <c r="P112">
        <v>0</v>
      </c>
      <c r="Q112">
        <v>0</v>
      </c>
      <c r="R112" t="s">
        <v>44907</v>
      </c>
      <c r="S112" t="s">
        <v>45026</v>
      </c>
      <c r="T112" t="s">
        <v>46422</v>
      </c>
      <c r="U112" t="s">
        <v>47015</v>
      </c>
      <c r="W112" t="s">
        <v>41001</v>
      </c>
      <c r="X112" t="s">
        <v>44910</v>
      </c>
    </row>
    <row r="113" spans="1:24">
      <c r="A113">
        <f>HYPERLINK("https://www.philgeps.gov.ph/GEPSNONPILOT/Tender/SplashBidNoticeAbstractUI.aspx?menuIndex=3&amp;refID=7078160&amp;Result=3","7078160")</f>
        <v>0</v>
      </c>
      <c r="B113" t="s">
        <v>57</v>
      </c>
      <c r="C113" t="s">
        <v>3635</v>
      </c>
      <c r="D113" t="s">
        <v>18120</v>
      </c>
      <c r="E113" t="s">
        <v>18310</v>
      </c>
      <c r="F113" t="s">
        <v>31362</v>
      </c>
      <c r="G113" t="s">
        <v>31369</v>
      </c>
      <c r="H113" t="s">
        <v>15799</v>
      </c>
      <c r="I113" t="s">
        <v>31413</v>
      </c>
      <c r="J113" t="s">
        <v>31591</v>
      </c>
      <c r="K113" t="s">
        <v>40662</v>
      </c>
      <c r="M113" t="s">
        <v>40992</v>
      </c>
      <c r="N113" t="s">
        <v>44905</v>
      </c>
      <c r="O113" t="s">
        <v>44906</v>
      </c>
      <c r="P113">
        <v>0</v>
      </c>
      <c r="Q113">
        <v>1</v>
      </c>
      <c r="R113" t="s">
        <v>44907</v>
      </c>
      <c r="S113" t="s">
        <v>45026</v>
      </c>
      <c r="T113" t="s">
        <v>46415</v>
      </c>
      <c r="U113" t="s">
        <v>47016</v>
      </c>
      <c r="W113" t="s">
        <v>40992</v>
      </c>
      <c r="X113" t="s">
        <v>44910</v>
      </c>
    </row>
    <row r="114" spans="1:24">
      <c r="A114">
        <f>HYPERLINK("https://www.philgeps.gov.ph/GEPSNONPILOT/Tender/SplashBidNoticeAbstractUI.aspx?menuIndex=3&amp;refID=7078142&amp;Result=3","7078142")</f>
        <v>0</v>
      </c>
      <c r="B114" t="s">
        <v>38</v>
      </c>
      <c r="C114" t="s">
        <v>3636</v>
      </c>
      <c r="E114" t="s">
        <v>18311</v>
      </c>
      <c r="F114" t="s">
        <v>31362</v>
      </c>
      <c r="G114" t="s">
        <v>31369</v>
      </c>
      <c r="H114" t="s">
        <v>15799</v>
      </c>
      <c r="I114" t="s">
        <v>31396</v>
      </c>
      <c r="J114" t="s">
        <v>31622</v>
      </c>
      <c r="K114" t="s">
        <v>40662</v>
      </c>
      <c r="M114" t="s">
        <v>40972</v>
      </c>
      <c r="N114" t="s">
        <v>44905</v>
      </c>
      <c r="O114" t="s">
        <v>44906</v>
      </c>
      <c r="P114">
        <v>0</v>
      </c>
      <c r="Q114">
        <v>3</v>
      </c>
      <c r="R114" t="s">
        <v>44907</v>
      </c>
      <c r="S114" t="s">
        <v>45026</v>
      </c>
      <c r="T114" t="s">
        <v>46398</v>
      </c>
      <c r="U114" t="s">
        <v>47017</v>
      </c>
      <c r="W114" t="s">
        <v>40972</v>
      </c>
      <c r="X114" t="s">
        <v>44910</v>
      </c>
    </row>
    <row r="115" spans="1:24">
      <c r="A115">
        <f>HYPERLINK("https://www.philgeps.gov.ph/GEPSNONPILOT/Tender/SplashBidNoticeAbstractUI.aspx?menuIndex=3&amp;refID=7078127&amp;Result=3","7078127")</f>
        <v>0</v>
      </c>
      <c r="B115" t="s">
        <v>38</v>
      </c>
      <c r="C115" t="s">
        <v>3637</v>
      </c>
      <c r="E115" t="s">
        <v>18312</v>
      </c>
      <c r="F115" t="s">
        <v>31362</v>
      </c>
      <c r="G115" t="s">
        <v>31369</v>
      </c>
      <c r="H115" t="s">
        <v>15799</v>
      </c>
      <c r="I115" t="s">
        <v>31396</v>
      </c>
      <c r="J115" t="s">
        <v>31623</v>
      </c>
      <c r="K115" t="s">
        <v>40662</v>
      </c>
      <c r="M115" t="s">
        <v>40972</v>
      </c>
      <c r="N115" t="s">
        <v>44905</v>
      </c>
      <c r="O115" t="s">
        <v>44906</v>
      </c>
      <c r="P115">
        <v>0</v>
      </c>
      <c r="Q115">
        <v>6</v>
      </c>
      <c r="R115" t="s">
        <v>44907</v>
      </c>
      <c r="S115" t="s">
        <v>45026</v>
      </c>
      <c r="T115" t="s">
        <v>46398</v>
      </c>
      <c r="U115" t="s">
        <v>47018</v>
      </c>
      <c r="W115" t="s">
        <v>40972</v>
      </c>
      <c r="X115" t="s">
        <v>44910</v>
      </c>
    </row>
    <row r="116" spans="1:24">
      <c r="A116">
        <f>HYPERLINK("https://www.philgeps.gov.ph/GEPSNONPILOT/Tender/SplashBidNoticeAbstractUI.aspx?menuIndex=3&amp;refID=7078623&amp;Result=3","7078623")</f>
        <v>0</v>
      </c>
      <c r="B116" t="s">
        <v>66</v>
      </c>
      <c r="C116" t="s">
        <v>3638</v>
      </c>
      <c r="D116" t="s">
        <v>18122</v>
      </c>
      <c r="E116" t="s">
        <v>18313</v>
      </c>
      <c r="F116" t="s">
        <v>31362</v>
      </c>
      <c r="G116" t="s">
        <v>31369</v>
      </c>
      <c r="H116" t="s">
        <v>15799</v>
      </c>
      <c r="I116" t="s">
        <v>31386</v>
      </c>
      <c r="J116" t="s">
        <v>31624</v>
      </c>
      <c r="K116" t="s">
        <v>40662</v>
      </c>
      <c r="M116" t="s">
        <v>41002</v>
      </c>
      <c r="N116" t="s">
        <v>44905</v>
      </c>
      <c r="O116" t="s">
        <v>44906</v>
      </c>
      <c r="P116">
        <v>0</v>
      </c>
      <c r="Q116">
        <v>1</v>
      </c>
      <c r="R116" t="s">
        <v>44907</v>
      </c>
      <c r="S116" t="s">
        <v>45026</v>
      </c>
      <c r="T116" t="s">
        <v>46423</v>
      </c>
      <c r="U116" t="s">
        <v>47019</v>
      </c>
      <c r="W116" t="s">
        <v>41002</v>
      </c>
      <c r="X116" t="s">
        <v>44910</v>
      </c>
    </row>
    <row r="117" spans="1:24">
      <c r="A117">
        <f>HYPERLINK("https://www.philgeps.gov.ph/GEPSNONPILOT/Tender/SplashBidNoticeAbstractUI.aspx?menuIndex=3&amp;refID=7078973&amp;Result=3","7078973")</f>
        <v>0</v>
      </c>
      <c r="B117" t="s">
        <v>67</v>
      </c>
      <c r="C117" t="s">
        <v>3639</v>
      </c>
      <c r="D117" t="s">
        <v>18128</v>
      </c>
      <c r="E117" t="s">
        <v>18314</v>
      </c>
      <c r="F117" t="s">
        <v>31362</v>
      </c>
      <c r="G117" t="s">
        <v>31369</v>
      </c>
      <c r="H117" t="s">
        <v>15799</v>
      </c>
      <c r="I117" t="s">
        <v>31414</v>
      </c>
      <c r="J117" t="s">
        <v>31625</v>
      </c>
      <c r="K117" t="s">
        <v>40682</v>
      </c>
      <c r="M117" t="s">
        <v>41003</v>
      </c>
      <c r="N117" t="s">
        <v>44905</v>
      </c>
      <c r="O117" t="s">
        <v>44906</v>
      </c>
      <c r="P117">
        <v>0</v>
      </c>
      <c r="Q117">
        <v>3</v>
      </c>
      <c r="R117" t="s">
        <v>44907</v>
      </c>
      <c r="S117" t="s">
        <v>45026</v>
      </c>
      <c r="T117" t="s">
        <v>46424</v>
      </c>
      <c r="U117" t="s">
        <v>47020</v>
      </c>
      <c r="V117" t="s">
        <v>59068</v>
      </c>
      <c r="W117" t="s">
        <v>41003</v>
      </c>
      <c r="X117" t="s">
        <v>44909</v>
      </c>
    </row>
    <row r="118" spans="1:24">
      <c r="A118">
        <f>HYPERLINK("https://www.philgeps.gov.ph/GEPSNONPILOT/Tender/SplashBidNoticeAbstractUI.aspx?menuIndex=3&amp;refID=7078921&amp;Result=3","7078921")</f>
        <v>0</v>
      </c>
      <c r="B118" t="s">
        <v>68</v>
      </c>
      <c r="C118" t="s">
        <v>3640</v>
      </c>
      <c r="D118" t="s">
        <v>18117</v>
      </c>
      <c r="E118" t="s">
        <v>18315</v>
      </c>
      <c r="F118" t="s">
        <v>31362</v>
      </c>
      <c r="G118" t="s">
        <v>31368</v>
      </c>
      <c r="H118" t="s">
        <v>15799</v>
      </c>
      <c r="I118" t="s">
        <v>7090</v>
      </c>
      <c r="J118" t="s">
        <v>31626</v>
      </c>
      <c r="K118" t="s">
        <v>40661</v>
      </c>
      <c r="M118" t="s">
        <v>41004</v>
      </c>
      <c r="N118" t="s">
        <v>44905</v>
      </c>
      <c r="O118" t="s">
        <v>44906</v>
      </c>
      <c r="P118">
        <v>0</v>
      </c>
      <c r="Q118">
        <v>0</v>
      </c>
      <c r="R118" t="s">
        <v>44907</v>
      </c>
      <c r="S118" t="s">
        <v>45026</v>
      </c>
      <c r="T118" t="s">
        <v>46425</v>
      </c>
      <c r="U118" t="s">
        <v>47021</v>
      </c>
      <c r="W118" t="s">
        <v>41004</v>
      </c>
      <c r="X118" t="s">
        <v>44909</v>
      </c>
    </row>
    <row r="119" spans="1:24">
      <c r="A119">
        <f>HYPERLINK("https://www.philgeps.gov.ph/GEPSNONPILOT/Tender/SplashBidNoticeAbstractUI.aspx?menuIndex=3&amp;refID=7078908&amp;Result=3","7078908")</f>
        <v>0</v>
      </c>
      <c r="B119" t="s">
        <v>69</v>
      </c>
      <c r="C119" t="s">
        <v>3641</v>
      </c>
      <c r="D119" t="s">
        <v>18114</v>
      </c>
      <c r="E119" t="s">
        <v>18316</v>
      </c>
      <c r="F119" t="s">
        <v>31362</v>
      </c>
      <c r="G119" t="s">
        <v>31369</v>
      </c>
      <c r="H119" t="s">
        <v>31378</v>
      </c>
      <c r="I119" t="s">
        <v>31386</v>
      </c>
      <c r="J119" t="s">
        <v>31627</v>
      </c>
      <c r="K119" t="s">
        <v>40683</v>
      </c>
      <c r="M119" t="s">
        <v>41005</v>
      </c>
      <c r="N119" t="s">
        <v>44905</v>
      </c>
      <c r="O119" t="s">
        <v>44906</v>
      </c>
      <c r="P119">
        <v>0</v>
      </c>
      <c r="Q119">
        <v>0</v>
      </c>
      <c r="R119" t="s">
        <v>44907</v>
      </c>
      <c r="S119" t="s">
        <v>45026</v>
      </c>
      <c r="T119" t="s">
        <v>46417</v>
      </c>
      <c r="U119" t="s">
        <v>47022</v>
      </c>
      <c r="W119" t="s">
        <v>41005</v>
      </c>
      <c r="X119" t="s">
        <v>44909</v>
      </c>
    </row>
    <row r="120" spans="1:24">
      <c r="A120">
        <f>HYPERLINK("https://www.philgeps.gov.ph/GEPSNONPILOT/Tender/SplashBidNoticeAbstractUI.aspx?menuIndex=3&amp;refID=7078158&amp;Result=3","7078158")</f>
        <v>0</v>
      </c>
      <c r="B120" t="s">
        <v>68</v>
      </c>
      <c r="C120" t="s">
        <v>3642</v>
      </c>
      <c r="D120" t="s">
        <v>18117</v>
      </c>
      <c r="E120" t="s">
        <v>18317</v>
      </c>
      <c r="F120" t="s">
        <v>31362</v>
      </c>
      <c r="G120" t="s">
        <v>31368</v>
      </c>
      <c r="H120" t="s">
        <v>15799</v>
      </c>
      <c r="I120" t="s">
        <v>31380</v>
      </c>
      <c r="J120" t="s">
        <v>31628</v>
      </c>
      <c r="K120" t="s">
        <v>40661</v>
      </c>
      <c r="M120" t="s">
        <v>41004</v>
      </c>
      <c r="N120" t="s">
        <v>44905</v>
      </c>
      <c r="O120" t="s">
        <v>44906</v>
      </c>
      <c r="P120">
        <v>0</v>
      </c>
      <c r="Q120">
        <v>2</v>
      </c>
      <c r="R120" t="s">
        <v>44907</v>
      </c>
      <c r="S120" t="s">
        <v>45026</v>
      </c>
      <c r="T120" t="s">
        <v>46426</v>
      </c>
      <c r="U120" t="s">
        <v>47021</v>
      </c>
      <c r="W120" t="s">
        <v>41004</v>
      </c>
      <c r="X120" t="s">
        <v>44910</v>
      </c>
    </row>
    <row r="121" spans="1:24">
      <c r="A121">
        <f>HYPERLINK("https://www.philgeps.gov.ph/GEPSNONPILOT/Tender/SplashBidNoticeAbstractUI.aspx?menuIndex=3&amp;refID=7078103&amp;Result=3","7078103")</f>
        <v>0</v>
      </c>
      <c r="B121" t="s">
        <v>26</v>
      </c>
      <c r="C121" t="s">
        <v>3643</v>
      </c>
      <c r="E121" t="s">
        <v>18318</v>
      </c>
      <c r="F121" t="s">
        <v>31362</v>
      </c>
      <c r="G121" t="s">
        <v>31370</v>
      </c>
      <c r="H121" t="s">
        <v>15799</v>
      </c>
      <c r="I121" t="s">
        <v>6373</v>
      </c>
      <c r="J121" t="s">
        <v>31629</v>
      </c>
      <c r="K121" t="s">
        <v>40662</v>
      </c>
      <c r="M121" t="s">
        <v>40960</v>
      </c>
      <c r="N121" t="s">
        <v>44905</v>
      </c>
      <c r="O121" t="s">
        <v>44906</v>
      </c>
      <c r="P121">
        <v>0</v>
      </c>
      <c r="Q121">
        <v>0</v>
      </c>
      <c r="R121" t="s">
        <v>44907</v>
      </c>
      <c r="S121" t="s">
        <v>45026</v>
      </c>
      <c r="T121" t="s">
        <v>46393</v>
      </c>
      <c r="U121" t="s">
        <v>46924</v>
      </c>
      <c r="W121" t="s">
        <v>40960</v>
      </c>
      <c r="X121" t="s">
        <v>44910</v>
      </c>
    </row>
    <row r="122" spans="1:24">
      <c r="A122">
        <f>HYPERLINK("https://www.philgeps.gov.ph/GEPSNONPILOT/Tender/SplashBidNoticeAbstractUI.aspx?menuIndex=3&amp;refID=7079171&amp;Result=3","7079171")</f>
        <v>0</v>
      </c>
      <c r="B122" t="s">
        <v>70</v>
      </c>
      <c r="C122" t="s">
        <v>3644</v>
      </c>
      <c r="D122" t="s">
        <v>18112</v>
      </c>
      <c r="E122" t="s">
        <v>18319</v>
      </c>
      <c r="F122" t="s">
        <v>31362</v>
      </c>
      <c r="G122" t="s">
        <v>31371</v>
      </c>
      <c r="H122" t="s">
        <v>15799</v>
      </c>
      <c r="I122" t="s">
        <v>6373</v>
      </c>
      <c r="J122" t="s">
        <v>31630</v>
      </c>
      <c r="K122" t="s">
        <v>40661</v>
      </c>
      <c r="M122" t="s">
        <v>41006</v>
      </c>
      <c r="N122" t="s">
        <v>44905</v>
      </c>
      <c r="O122" t="s">
        <v>44906</v>
      </c>
      <c r="P122">
        <v>0</v>
      </c>
      <c r="Q122">
        <v>0</v>
      </c>
      <c r="R122" t="s">
        <v>44907</v>
      </c>
      <c r="S122" t="s">
        <v>45026</v>
      </c>
      <c r="T122" t="s">
        <v>46427</v>
      </c>
      <c r="U122" t="s">
        <v>47023</v>
      </c>
      <c r="W122" t="s">
        <v>41006</v>
      </c>
      <c r="X122" t="s">
        <v>44909</v>
      </c>
    </row>
    <row r="123" spans="1:24">
      <c r="A123">
        <f>HYPERLINK("https://www.philgeps.gov.ph/GEPSNONPILOT/Tender/SplashBidNoticeAbstractUI.aspx?menuIndex=3&amp;refID=7078514&amp;Result=3","7078514")</f>
        <v>0</v>
      </c>
      <c r="B123" t="s">
        <v>71</v>
      </c>
      <c r="C123" t="s">
        <v>3645</v>
      </c>
      <c r="D123" t="s">
        <v>18129</v>
      </c>
      <c r="E123" t="s">
        <v>3645</v>
      </c>
      <c r="F123" t="s">
        <v>31362</v>
      </c>
      <c r="G123" t="s">
        <v>31368</v>
      </c>
      <c r="H123" t="s">
        <v>15799</v>
      </c>
      <c r="I123" t="s">
        <v>31415</v>
      </c>
      <c r="J123" t="s">
        <v>31631</v>
      </c>
      <c r="K123" t="s">
        <v>40666</v>
      </c>
      <c r="L123" t="s">
        <v>71</v>
      </c>
      <c r="M123" t="s">
        <v>41007</v>
      </c>
      <c r="N123" t="s">
        <v>44905</v>
      </c>
      <c r="O123" t="s">
        <v>44906</v>
      </c>
      <c r="P123">
        <v>0</v>
      </c>
      <c r="Q123">
        <v>0</v>
      </c>
      <c r="R123" t="s">
        <v>44907</v>
      </c>
      <c r="S123" t="s">
        <v>45026</v>
      </c>
      <c r="T123" t="s">
        <v>46414</v>
      </c>
      <c r="U123" t="s">
        <v>47024</v>
      </c>
      <c r="W123" t="s">
        <v>41007</v>
      </c>
      <c r="X123" t="s">
        <v>44910</v>
      </c>
    </row>
    <row r="124" spans="1:24">
      <c r="A124">
        <f>HYPERLINK("https://www.philgeps.gov.ph/GEPSNONPILOT/Tender/SplashBidNoticeAbstractUI.aspx?menuIndex=3&amp;refID=7078199&amp;Result=3","7078199")</f>
        <v>0</v>
      </c>
      <c r="B124" t="s">
        <v>38</v>
      </c>
      <c r="C124" t="s">
        <v>3646</v>
      </c>
      <c r="E124" t="s">
        <v>18320</v>
      </c>
      <c r="F124" t="s">
        <v>31362</v>
      </c>
      <c r="G124" t="s">
        <v>31369</v>
      </c>
      <c r="H124" t="s">
        <v>15799</v>
      </c>
      <c r="I124" t="s">
        <v>31396</v>
      </c>
      <c r="J124" t="s">
        <v>31632</v>
      </c>
      <c r="K124" t="s">
        <v>40662</v>
      </c>
      <c r="M124" t="s">
        <v>40972</v>
      </c>
      <c r="N124" t="s">
        <v>44905</v>
      </c>
      <c r="O124" t="s">
        <v>44906</v>
      </c>
      <c r="P124">
        <v>0</v>
      </c>
      <c r="Q124">
        <v>6</v>
      </c>
      <c r="R124" t="s">
        <v>44907</v>
      </c>
      <c r="S124" t="s">
        <v>45026</v>
      </c>
      <c r="T124" t="s">
        <v>46398</v>
      </c>
      <c r="U124" t="s">
        <v>47025</v>
      </c>
      <c r="W124" t="s">
        <v>40972</v>
      </c>
      <c r="X124" t="s">
        <v>44910</v>
      </c>
    </row>
    <row r="125" spans="1:24">
      <c r="A125">
        <f>HYPERLINK("https://www.philgeps.gov.ph/GEPSNONPILOT/Tender/SplashBidNoticeAbstractUI.aspx?menuIndex=3&amp;refID=7079009&amp;Result=3","7079009")</f>
        <v>0</v>
      </c>
      <c r="B125" t="s">
        <v>72</v>
      </c>
      <c r="C125" t="s">
        <v>3647</v>
      </c>
      <c r="D125" t="s">
        <v>18130</v>
      </c>
      <c r="E125" t="s">
        <v>18321</v>
      </c>
      <c r="F125" t="s">
        <v>31362</v>
      </c>
      <c r="G125" t="s">
        <v>31368</v>
      </c>
      <c r="H125" t="s">
        <v>15799</v>
      </c>
      <c r="I125" t="s">
        <v>7090</v>
      </c>
      <c r="J125" t="s">
        <v>31633</v>
      </c>
      <c r="K125" t="s">
        <v>40666</v>
      </c>
      <c r="M125" t="s">
        <v>41008</v>
      </c>
      <c r="N125" t="s">
        <v>44905</v>
      </c>
      <c r="O125" t="s">
        <v>44906</v>
      </c>
      <c r="P125">
        <v>0</v>
      </c>
      <c r="Q125">
        <v>0</v>
      </c>
      <c r="R125" t="s">
        <v>44907</v>
      </c>
      <c r="S125" t="s">
        <v>45026</v>
      </c>
      <c r="T125" t="s">
        <v>46428</v>
      </c>
      <c r="U125" t="s">
        <v>47026</v>
      </c>
      <c r="W125" t="s">
        <v>41008</v>
      </c>
      <c r="X125" t="s">
        <v>44909</v>
      </c>
    </row>
    <row r="126" spans="1:24">
      <c r="A126">
        <f>HYPERLINK("https://www.philgeps.gov.ph/GEPSNONPILOT/Tender/SplashBidNoticeAbstractUI.aspx?menuIndex=3&amp;refID=7078102&amp;Result=3","7078102")</f>
        <v>0</v>
      </c>
      <c r="B126" t="s">
        <v>48</v>
      </c>
      <c r="C126" t="s">
        <v>3648</v>
      </c>
      <c r="D126" t="s">
        <v>18117</v>
      </c>
      <c r="E126" t="s">
        <v>18322</v>
      </c>
      <c r="F126" t="s">
        <v>31362</v>
      </c>
      <c r="G126" t="s">
        <v>31369</v>
      </c>
      <c r="H126" t="s">
        <v>15799</v>
      </c>
      <c r="I126" t="s">
        <v>4283</v>
      </c>
      <c r="J126" t="s">
        <v>31634</v>
      </c>
      <c r="K126" t="s">
        <v>40680</v>
      </c>
      <c r="M126" t="s">
        <v>40997</v>
      </c>
      <c r="N126" t="s">
        <v>44905</v>
      </c>
      <c r="O126" t="s">
        <v>44906</v>
      </c>
      <c r="P126">
        <v>0</v>
      </c>
      <c r="Q126">
        <v>4</v>
      </c>
      <c r="R126" t="s">
        <v>44907</v>
      </c>
      <c r="S126" t="s">
        <v>45026</v>
      </c>
      <c r="T126" t="s">
        <v>46398</v>
      </c>
      <c r="U126" t="s">
        <v>47027</v>
      </c>
      <c r="V126" t="s">
        <v>59056</v>
      </c>
      <c r="W126" t="s">
        <v>40997</v>
      </c>
      <c r="X126" t="s">
        <v>44910</v>
      </c>
    </row>
    <row r="127" spans="1:24">
      <c r="A127">
        <f>HYPERLINK("https://www.philgeps.gov.ph/GEPSNONPILOT/Tender/SplashBidNoticeAbstractUI.aspx?menuIndex=3&amp;refID=7078884&amp;Result=3","7078884")</f>
        <v>0</v>
      </c>
      <c r="B127" t="s">
        <v>73</v>
      </c>
      <c r="C127" t="s">
        <v>3649</v>
      </c>
      <c r="D127" t="s">
        <v>18102</v>
      </c>
      <c r="E127" t="s">
        <v>18323</v>
      </c>
      <c r="F127" t="s">
        <v>31362</v>
      </c>
      <c r="G127" t="s">
        <v>31369</v>
      </c>
      <c r="H127" t="s">
        <v>31378</v>
      </c>
      <c r="I127" t="s">
        <v>31386</v>
      </c>
      <c r="J127" t="s">
        <v>31606</v>
      </c>
      <c r="K127" t="s">
        <v>40675</v>
      </c>
      <c r="M127" t="s">
        <v>41009</v>
      </c>
      <c r="N127" t="s">
        <v>44905</v>
      </c>
      <c r="O127" t="s">
        <v>44906</v>
      </c>
      <c r="P127">
        <v>0</v>
      </c>
      <c r="Q127">
        <v>0</v>
      </c>
      <c r="R127" t="s">
        <v>44907</v>
      </c>
      <c r="S127" t="s">
        <v>45026</v>
      </c>
      <c r="T127" t="s">
        <v>46429</v>
      </c>
      <c r="U127" t="s">
        <v>47028</v>
      </c>
      <c r="W127" t="s">
        <v>41009</v>
      </c>
      <c r="X127" t="s">
        <v>44909</v>
      </c>
    </row>
    <row r="128" spans="1:24">
      <c r="A128">
        <f>HYPERLINK("https://www.philgeps.gov.ph/GEPSNONPILOT/Tender/SplashBidNoticeAbstractUI.aspx?menuIndex=3&amp;refID=7079162&amp;Result=3","7079162")</f>
        <v>0</v>
      </c>
      <c r="B128" t="s">
        <v>74</v>
      </c>
      <c r="C128" t="s">
        <v>3650</v>
      </c>
      <c r="D128" t="s">
        <v>18108</v>
      </c>
      <c r="E128" t="s">
        <v>18324</v>
      </c>
      <c r="F128" t="s">
        <v>31362</v>
      </c>
      <c r="G128" t="s">
        <v>31371</v>
      </c>
      <c r="H128" t="s">
        <v>15799</v>
      </c>
      <c r="I128" t="s">
        <v>3815</v>
      </c>
      <c r="J128" t="s">
        <v>31635</v>
      </c>
      <c r="K128" t="s">
        <v>40666</v>
      </c>
      <c r="M128" t="s">
        <v>41010</v>
      </c>
      <c r="N128" t="s">
        <v>44905</v>
      </c>
      <c r="O128" t="s">
        <v>44906</v>
      </c>
      <c r="P128">
        <v>0</v>
      </c>
      <c r="Q128">
        <v>1</v>
      </c>
      <c r="R128" t="s">
        <v>44907</v>
      </c>
      <c r="S128" t="s">
        <v>45026</v>
      </c>
      <c r="T128" t="s">
        <v>46417</v>
      </c>
      <c r="U128" t="s">
        <v>47029</v>
      </c>
      <c r="W128" t="s">
        <v>41010</v>
      </c>
      <c r="X128" t="s">
        <v>44909</v>
      </c>
    </row>
    <row r="129" spans="1:24">
      <c r="A129">
        <f>HYPERLINK("https://www.philgeps.gov.ph/GEPSNONPILOT/Tender/SplashBidNoticeAbstractUI.aspx?menuIndex=3&amp;refID=7079120&amp;Result=3","7079120")</f>
        <v>0</v>
      </c>
      <c r="B129" t="s">
        <v>75</v>
      </c>
      <c r="C129" t="s">
        <v>3651</v>
      </c>
      <c r="D129" t="s">
        <v>18108</v>
      </c>
      <c r="E129" t="s">
        <v>18325</v>
      </c>
      <c r="F129" t="s">
        <v>31362</v>
      </c>
      <c r="G129" t="s">
        <v>31369</v>
      </c>
      <c r="H129" t="s">
        <v>31378</v>
      </c>
      <c r="I129" t="s">
        <v>31386</v>
      </c>
      <c r="J129" t="s">
        <v>31636</v>
      </c>
      <c r="K129" t="s">
        <v>40684</v>
      </c>
      <c r="M129" t="s">
        <v>41011</v>
      </c>
      <c r="N129" t="s">
        <v>44905</v>
      </c>
      <c r="O129" t="s">
        <v>44906</v>
      </c>
      <c r="P129">
        <v>0</v>
      </c>
      <c r="Q129">
        <v>1</v>
      </c>
      <c r="R129" t="s">
        <v>44907</v>
      </c>
      <c r="S129" t="s">
        <v>45026</v>
      </c>
      <c r="T129" t="s">
        <v>46395</v>
      </c>
      <c r="U129" t="s">
        <v>47030</v>
      </c>
      <c r="W129" t="s">
        <v>41011</v>
      </c>
      <c r="X129" t="s">
        <v>44909</v>
      </c>
    </row>
    <row r="130" spans="1:24">
      <c r="A130">
        <f>HYPERLINK("https://www.philgeps.gov.ph/GEPSNONPILOT/Tender/SplashBidNoticeAbstractUI.aspx?menuIndex=3&amp;refID=7078902&amp;Result=3","7078902")</f>
        <v>0</v>
      </c>
      <c r="B130" t="s">
        <v>67</v>
      </c>
      <c r="C130" t="s">
        <v>3652</v>
      </c>
      <c r="D130" t="s">
        <v>18128</v>
      </c>
      <c r="E130" t="s">
        <v>18326</v>
      </c>
      <c r="F130" t="s">
        <v>31362</v>
      </c>
      <c r="G130" t="s">
        <v>31369</v>
      </c>
      <c r="H130" t="s">
        <v>15799</v>
      </c>
      <c r="I130" t="s">
        <v>31384</v>
      </c>
      <c r="J130" t="s">
        <v>31570</v>
      </c>
      <c r="K130" t="s">
        <v>40665</v>
      </c>
      <c r="M130" t="s">
        <v>41003</v>
      </c>
      <c r="N130" t="s">
        <v>44905</v>
      </c>
      <c r="O130" t="s">
        <v>44906</v>
      </c>
      <c r="P130">
        <v>0</v>
      </c>
      <c r="Q130">
        <v>1</v>
      </c>
      <c r="R130" t="s">
        <v>44907</v>
      </c>
      <c r="S130" t="s">
        <v>45026</v>
      </c>
      <c r="T130" t="s">
        <v>46430</v>
      </c>
      <c r="U130" t="s">
        <v>47031</v>
      </c>
      <c r="V130" t="s">
        <v>59068</v>
      </c>
      <c r="W130" t="s">
        <v>41003</v>
      </c>
      <c r="X130" t="s">
        <v>44909</v>
      </c>
    </row>
    <row r="131" spans="1:24">
      <c r="A131">
        <f>HYPERLINK("https://www.philgeps.gov.ph/GEPSNONPILOT/Tender/SplashBidNoticeAbstractUI.aspx?menuIndex=3&amp;refID=7078872&amp;Result=3","7078872")</f>
        <v>0</v>
      </c>
      <c r="B131" t="s">
        <v>73</v>
      </c>
      <c r="C131" t="s">
        <v>3653</v>
      </c>
      <c r="D131" t="s">
        <v>18102</v>
      </c>
      <c r="E131" t="s">
        <v>18327</v>
      </c>
      <c r="F131" t="s">
        <v>31362</v>
      </c>
      <c r="G131" t="s">
        <v>31369</v>
      </c>
      <c r="H131" t="s">
        <v>31378</v>
      </c>
      <c r="I131" t="s">
        <v>31386</v>
      </c>
      <c r="J131" t="s">
        <v>31637</v>
      </c>
      <c r="K131" t="s">
        <v>40675</v>
      </c>
      <c r="M131" t="s">
        <v>41009</v>
      </c>
      <c r="N131" t="s">
        <v>44905</v>
      </c>
      <c r="O131" t="s">
        <v>44906</v>
      </c>
      <c r="P131">
        <v>0</v>
      </c>
      <c r="Q131">
        <v>0</v>
      </c>
      <c r="R131" t="s">
        <v>44907</v>
      </c>
      <c r="S131" t="s">
        <v>45026</v>
      </c>
      <c r="T131" t="s">
        <v>46429</v>
      </c>
      <c r="U131" t="s">
        <v>47032</v>
      </c>
      <c r="W131" t="s">
        <v>41009</v>
      </c>
      <c r="X131" t="s">
        <v>44909</v>
      </c>
    </row>
    <row r="132" spans="1:24">
      <c r="A132">
        <f>HYPERLINK("https://www.philgeps.gov.ph/GEPSNONPILOT/Tender/SplashBidNoticeAbstractUI.aspx?menuIndex=3&amp;refID=7077929&amp;Result=3","7077929")</f>
        <v>0</v>
      </c>
      <c r="B132" t="s">
        <v>76</v>
      </c>
      <c r="C132" t="s">
        <v>3654</v>
      </c>
      <c r="D132" t="s">
        <v>18112</v>
      </c>
      <c r="E132" t="s">
        <v>18328</v>
      </c>
      <c r="F132" t="s">
        <v>31362</v>
      </c>
      <c r="G132" t="s">
        <v>31368</v>
      </c>
      <c r="H132" t="s">
        <v>15799</v>
      </c>
      <c r="I132" t="s">
        <v>31404</v>
      </c>
      <c r="J132" t="s">
        <v>31578</v>
      </c>
      <c r="K132" t="s">
        <v>40665</v>
      </c>
      <c r="M132" t="s">
        <v>41012</v>
      </c>
      <c r="N132" t="s">
        <v>44905</v>
      </c>
      <c r="O132" t="s">
        <v>44906</v>
      </c>
      <c r="P132">
        <v>0</v>
      </c>
      <c r="Q132">
        <v>0</v>
      </c>
      <c r="R132" t="s">
        <v>44907</v>
      </c>
      <c r="S132" t="s">
        <v>45026</v>
      </c>
      <c r="T132" t="s">
        <v>46417</v>
      </c>
      <c r="U132" t="s">
        <v>47033</v>
      </c>
      <c r="W132" t="s">
        <v>41012</v>
      </c>
      <c r="X132" t="s">
        <v>44910</v>
      </c>
    </row>
    <row r="133" spans="1:24">
      <c r="A133">
        <f>HYPERLINK("https://www.philgeps.gov.ph/GEPSNONPILOT/Tender/SplashBidNoticeAbstractUI.aspx?menuIndex=3&amp;refID=7078655&amp;Result=3","7078655")</f>
        <v>0</v>
      </c>
      <c r="B133" t="s">
        <v>77</v>
      </c>
      <c r="C133" t="s">
        <v>3655</v>
      </c>
      <c r="D133" t="s">
        <v>18116</v>
      </c>
      <c r="E133" t="s">
        <v>18329</v>
      </c>
      <c r="F133" t="s">
        <v>31362</v>
      </c>
      <c r="G133" t="s">
        <v>31369</v>
      </c>
      <c r="H133" t="s">
        <v>31378</v>
      </c>
      <c r="I133" t="s">
        <v>31386</v>
      </c>
      <c r="J133" t="s">
        <v>31611</v>
      </c>
      <c r="K133" t="s">
        <v>40683</v>
      </c>
      <c r="M133" t="s">
        <v>41013</v>
      </c>
      <c r="N133" t="s">
        <v>44905</v>
      </c>
      <c r="O133" t="s">
        <v>44906</v>
      </c>
      <c r="P133">
        <v>0</v>
      </c>
      <c r="Q133">
        <v>0</v>
      </c>
      <c r="R133" t="s">
        <v>44907</v>
      </c>
      <c r="S133" t="s">
        <v>45026</v>
      </c>
      <c r="T133" t="s">
        <v>46431</v>
      </c>
      <c r="U133" t="s">
        <v>47034</v>
      </c>
      <c r="W133" t="s">
        <v>41013</v>
      </c>
      <c r="X133" t="s">
        <v>44910</v>
      </c>
    </row>
    <row r="134" spans="1:24">
      <c r="A134">
        <f>HYPERLINK("https://www.philgeps.gov.ph/GEPSNONPILOT/Tender/SplashBidNoticeAbstractUI.aspx?menuIndex=3&amp;refID=7078646&amp;Result=3","7078646")</f>
        <v>0</v>
      </c>
      <c r="B134" t="s">
        <v>77</v>
      </c>
      <c r="C134" t="s">
        <v>3656</v>
      </c>
      <c r="D134" t="s">
        <v>18116</v>
      </c>
      <c r="E134" t="s">
        <v>18330</v>
      </c>
      <c r="F134" t="s">
        <v>31362</v>
      </c>
      <c r="G134" t="s">
        <v>31369</v>
      </c>
      <c r="H134" t="s">
        <v>31378</v>
      </c>
      <c r="I134" t="s">
        <v>31386</v>
      </c>
      <c r="J134" t="s">
        <v>31638</v>
      </c>
      <c r="K134" t="s">
        <v>40679</v>
      </c>
      <c r="M134" t="s">
        <v>41013</v>
      </c>
      <c r="N134" t="s">
        <v>44905</v>
      </c>
      <c r="O134" t="s">
        <v>44906</v>
      </c>
      <c r="P134">
        <v>0</v>
      </c>
      <c r="Q134">
        <v>0</v>
      </c>
      <c r="R134" t="s">
        <v>44907</v>
      </c>
      <c r="S134" t="s">
        <v>45026</v>
      </c>
      <c r="T134" t="s">
        <v>46431</v>
      </c>
      <c r="U134" t="s">
        <v>47035</v>
      </c>
      <c r="W134" t="s">
        <v>41013</v>
      </c>
      <c r="X134" t="s">
        <v>44910</v>
      </c>
    </row>
    <row r="135" spans="1:24">
      <c r="A135">
        <f>HYPERLINK("https://www.philgeps.gov.ph/GEPSNONPILOT/Tender/SplashBidNoticeAbstractUI.aspx?menuIndex=3&amp;refID=7078639&amp;Result=3","7078639")</f>
        <v>0</v>
      </c>
      <c r="B135" t="s">
        <v>77</v>
      </c>
      <c r="C135" t="s">
        <v>3657</v>
      </c>
      <c r="D135" t="s">
        <v>18116</v>
      </c>
      <c r="E135" t="s">
        <v>18331</v>
      </c>
      <c r="F135" t="s">
        <v>31362</v>
      </c>
      <c r="G135" t="s">
        <v>31369</v>
      </c>
      <c r="H135" t="s">
        <v>31378</v>
      </c>
      <c r="I135" t="s">
        <v>31386</v>
      </c>
      <c r="J135" t="s">
        <v>31639</v>
      </c>
      <c r="K135" t="s">
        <v>40676</v>
      </c>
      <c r="M135" t="s">
        <v>41013</v>
      </c>
      <c r="N135" t="s">
        <v>44905</v>
      </c>
      <c r="O135" t="s">
        <v>44906</v>
      </c>
      <c r="P135">
        <v>0</v>
      </c>
      <c r="Q135">
        <v>0</v>
      </c>
      <c r="R135" t="s">
        <v>44907</v>
      </c>
      <c r="S135" t="s">
        <v>45026</v>
      </c>
      <c r="T135" t="s">
        <v>46431</v>
      </c>
      <c r="U135" t="s">
        <v>47036</v>
      </c>
      <c r="W135" t="s">
        <v>41013</v>
      </c>
      <c r="X135" t="s">
        <v>44910</v>
      </c>
    </row>
    <row r="136" spans="1:24">
      <c r="A136">
        <f>HYPERLINK("https://www.philgeps.gov.ph/GEPSNONPILOT/Tender/SplashBidNoticeAbstractUI.aspx?menuIndex=3&amp;refID=7078630&amp;Result=3","7078630")</f>
        <v>0</v>
      </c>
      <c r="B136" t="s">
        <v>66</v>
      </c>
      <c r="C136" t="s">
        <v>3658</v>
      </c>
      <c r="D136" t="s">
        <v>18122</v>
      </c>
      <c r="E136" t="s">
        <v>18332</v>
      </c>
      <c r="F136" t="s">
        <v>31362</v>
      </c>
      <c r="G136" t="s">
        <v>31369</v>
      </c>
      <c r="H136" t="s">
        <v>15799</v>
      </c>
      <c r="I136" t="s">
        <v>31386</v>
      </c>
      <c r="J136" t="s">
        <v>31640</v>
      </c>
      <c r="K136" t="s">
        <v>40662</v>
      </c>
      <c r="M136" t="s">
        <v>41002</v>
      </c>
      <c r="N136" t="s">
        <v>44905</v>
      </c>
      <c r="O136" t="s">
        <v>44906</v>
      </c>
      <c r="P136">
        <v>0</v>
      </c>
      <c r="Q136">
        <v>5</v>
      </c>
      <c r="R136" t="s">
        <v>44907</v>
      </c>
      <c r="S136" t="s">
        <v>45026</v>
      </c>
      <c r="T136" t="s">
        <v>46423</v>
      </c>
      <c r="U136" t="s">
        <v>47037</v>
      </c>
      <c r="W136" t="s">
        <v>41002</v>
      </c>
      <c r="X136" t="s">
        <v>44910</v>
      </c>
    </row>
    <row r="137" spans="1:24">
      <c r="A137">
        <f>HYPERLINK("https://www.philgeps.gov.ph/GEPSNONPILOT/Tender/SplashBidNoticeAbstractUI.aspx?menuIndex=3&amp;refID=7078987&amp;Result=3","7078987")</f>
        <v>0</v>
      </c>
      <c r="B137" t="s">
        <v>73</v>
      </c>
      <c r="C137" t="s">
        <v>3659</v>
      </c>
      <c r="D137" t="s">
        <v>18102</v>
      </c>
      <c r="E137" t="s">
        <v>18333</v>
      </c>
      <c r="F137" t="s">
        <v>31362</v>
      </c>
      <c r="G137" t="s">
        <v>31369</v>
      </c>
      <c r="H137" t="s">
        <v>31378</v>
      </c>
      <c r="I137" t="s">
        <v>31386</v>
      </c>
      <c r="J137" t="s">
        <v>31641</v>
      </c>
      <c r="K137" t="s">
        <v>40675</v>
      </c>
      <c r="M137" t="s">
        <v>41009</v>
      </c>
      <c r="N137" t="s">
        <v>44905</v>
      </c>
      <c r="O137" t="s">
        <v>44906</v>
      </c>
      <c r="P137">
        <v>0</v>
      </c>
      <c r="Q137">
        <v>0</v>
      </c>
      <c r="R137" t="s">
        <v>44907</v>
      </c>
      <c r="S137" t="s">
        <v>45026</v>
      </c>
      <c r="T137" t="s">
        <v>46429</v>
      </c>
      <c r="U137" t="s">
        <v>47038</v>
      </c>
      <c r="W137" t="s">
        <v>41009</v>
      </c>
      <c r="X137" t="s">
        <v>44909</v>
      </c>
    </row>
    <row r="138" spans="1:24">
      <c r="A138">
        <f>HYPERLINK("https://www.philgeps.gov.ph/GEPSNONPILOT/Tender/SplashBidNoticeAbstractUI.aspx?menuIndex=3&amp;refID=7078875&amp;Result=3","7078875")</f>
        <v>0</v>
      </c>
      <c r="B138" t="s">
        <v>78</v>
      </c>
      <c r="C138" t="s">
        <v>3660</v>
      </c>
      <c r="D138" t="s">
        <v>18108</v>
      </c>
      <c r="E138" t="s">
        <v>18334</v>
      </c>
      <c r="F138" t="s">
        <v>31362</v>
      </c>
      <c r="G138" t="s">
        <v>31368</v>
      </c>
      <c r="H138" t="s">
        <v>15799</v>
      </c>
      <c r="I138" t="s">
        <v>31411</v>
      </c>
      <c r="J138" t="s">
        <v>31642</v>
      </c>
      <c r="K138" t="s">
        <v>40662</v>
      </c>
      <c r="M138" t="s">
        <v>41014</v>
      </c>
      <c r="N138" t="s">
        <v>44905</v>
      </c>
      <c r="O138" t="s">
        <v>44906</v>
      </c>
      <c r="P138">
        <v>0</v>
      </c>
      <c r="Q138">
        <v>6</v>
      </c>
      <c r="R138" t="s">
        <v>44907</v>
      </c>
      <c r="S138" t="s">
        <v>45026</v>
      </c>
      <c r="T138" t="s">
        <v>46432</v>
      </c>
      <c r="U138" t="s">
        <v>47039</v>
      </c>
      <c r="W138" t="s">
        <v>41014</v>
      </c>
      <c r="X138" t="s">
        <v>44909</v>
      </c>
    </row>
    <row r="139" spans="1:24">
      <c r="A139">
        <f>HYPERLINK("https://www.philgeps.gov.ph/GEPSNONPILOT/Tender/SplashBidNoticeAbstractUI.aspx?menuIndex=3&amp;refID=7078852&amp;Result=3","7078852")</f>
        <v>0</v>
      </c>
      <c r="B139" t="s">
        <v>79</v>
      </c>
      <c r="C139" t="s">
        <v>3661</v>
      </c>
      <c r="D139" t="s">
        <v>18114</v>
      </c>
      <c r="E139" t="s">
        <v>3661</v>
      </c>
      <c r="F139" t="s">
        <v>31362</v>
      </c>
      <c r="G139" t="s">
        <v>31370</v>
      </c>
      <c r="H139" t="s">
        <v>15799</v>
      </c>
      <c r="I139" t="s">
        <v>4942</v>
      </c>
      <c r="J139" t="s">
        <v>31643</v>
      </c>
      <c r="K139" t="s">
        <v>40665</v>
      </c>
      <c r="M139" t="s">
        <v>41015</v>
      </c>
      <c r="N139" t="s">
        <v>44905</v>
      </c>
      <c r="O139" t="s">
        <v>44906</v>
      </c>
      <c r="P139">
        <v>0</v>
      </c>
      <c r="Q139">
        <v>0</v>
      </c>
      <c r="R139" t="s">
        <v>44907</v>
      </c>
      <c r="S139" t="s">
        <v>45026</v>
      </c>
      <c r="T139" t="s">
        <v>46425</v>
      </c>
      <c r="U139" t="s">
        <v>47040</v>
      </c>
      <c r="W139" t="s">
        <v>41015</v>
      </c>
      <c r="X139" t="s">
        <v>44909</v>
      </c>
    </row>
    <row r="140" spans="1:24">
      <c r="A140">
        <f>HYPERLINK("https://www.philgeps.gov.ph/GEPSNONPILOT/Tender/SplashBidNoticeAbstractUI.aspx?menuIndex=3&amp;refID=7078842&amp;Result=3","7078842")</f>
        <v>0</v>
      </c>
      <c r="B140" t="s">
        <v>66</v>
      </c>
      <c r="C140" t="s">
        <v>3662</v>
      </c>
      <c r="D140" t="s">
        <v>18122</v>
      </c>
      <c r="E140" t="s">
        <v>18335</v>
      </c>
      <c r="F140" t="s">
        <v>31362</v>
      </c>
      <c r="G140" t="s">
        <v>31369</v>
      </c>
      <c r="H140" t="s">
        <v>15799</v>
      </c>
      <c r="I140" t="s">
        <v>7090</v>
      </c>
      <c r="J140" t="s">
        <v>31644</v>
      </c>
      <c r="K140" t="s">
        <v>40662</v>
      </c>
      <c r="M140" t="s">
        <v>41002</v>
      </c>
      <c r="N140" t="s">
        <v>44905</v>
      </c>
      <c r="O140" t="s">
        <v>44906</v>
      </c>
      <c r="P140">
        <v>0</v>
      </c>
      <c r="Q140">
        <v>0</v>
      </c>
      <c r="R140" t="s">
        <v>44907</v>
      </c>
      <c r="S140" t="s">
        <v>45026</v>
      </c>
      <c r="T140" t="s">
        <v>46423</v>
      </c>
      <c r="U140" t="s">
        <v>47019</v>
      </c>
      <c r="W140" t="s">
        <v>41002</v>
      </c>
      <c r="X140" t="s">
        <v>44909</v>
      </c>
    </row>
    <row r="141" spans="1:24">
      <c r="A141">
        <f>HYPERLINK("https://www.philgeps.gov.ph/GEPSNONPILOT/Tender/SplashBidNoticeAbstractUI.aspx?menuIndex=3&amp;refID=7079085&amp;Result=3","7079085")</f>
        <v>0</v>
      </c>
      <c r="B141" t="s">
        <v>80</v>
      </c>
      <c r="C141" t="s">
        <v>3663</v>
      </c>
      <c r="D141" t="s">
        <v>18131</v>
      </c>
      <c r="E141" t="s">
        <v>18336</v>
      </c>
      <c r="F141" t="s">
        <v>31362</v>
      </c>
      <c r="G141" t="s">
        <v>31368</v>
      </c>
      <c r="H141" t="s">
        <v>15799</v>
      </c>
      <c r="I141" t="s">
        <v>31377</v>
      </c>
      <c r="J141" t="s">
        <v>31645</v>
      </c>
      <c r="K141" t="s">
        <v>40665</v>
      </c>
      <c r="M141" t="s">
        <v>41016</v>
      </c>
      <c r="N141" t="s">
        <v>44905</v>
      </c>
      <c r="O141" t="s">
        <v>44906</v>
      </c>
      <c r="P141">
        <v>0</v>
      </c>
      <c r="Q141">
        <v>0</v>
      </c>
      <c r="R141" t="s">
        <v>44907</v>
      </c>
      <c r="S141" t="s">
        <v>45026</v>
      </c>
      <c r="T141" t="s">
        <v>46396</v>
      </c>
      <c r="U141" t="s">
        <v>47041</v>
      </c>
      <c r="W141" t="s">
        <v>41016</v>
      </c>
      <c r="X141" t="s">
        <v>44909</v>
      </c>
    </row>
    <row r="142" spans="1:24">
      <c r="A142">
        <f>HYPERLINK("https://www.philgeps.gov.ph/GEPSNONPILOT/Tender/SplashBidNoticeAbstractUI.aspx?menuIndex=3&amp;refID=7079220&amp;Result=3","7079220")</f>
        <v>0</v>
      </c>
      <c r="B142" t="s">
        <v>81</v>
      </c>
      <c r="C142" t="s">
        <v>3664</v>
      </c>
      <c r="E142" t="s">
        <v>18337</v>
      </c>
      <c r="F142" t="s">
        <v>31364</v>
      </c>
      <c r="G142" t="s">
        <v>31370</v>
      </c>
      <c r="H142" t="s">
        <v>15799</v>
      </c>
      <c r="I142" t="s">
        <v>31416</v>
      </c>
      <c r="J142" t="s">
        <v>31646</v>
      </c>
      <c r="K142" t="s">
        <v>40662</v>
      </c>
      <c r="M142" t="s">
        <v>41017</v>
      </c>
      <c r="N142" t="s">
        <v>44905</v>
      </c>
      <c r="O142" t="s">
        <v>44906</v>
      </c>
      <c r="P142">
        <v>0</v>
      </c>
      <c r="Q142">
        <v>0</v>
      </c>
      <c r="R142" t="s">
        <v>44907</v>
      </c>
      <c r="S142" t="s">
        <v>45026</v>
      </c>
      <c r="T142" t="s">
        <v>46403</v>
      </c>
      <c r="U142" t="s">
        <v>47042</v>
      </c>
      <c r="W142" t="s">
        <v>41017</v>
      </c>
      <c r="X142" t="s">
        <v>44909</v>
      </c>
    </row>
    <row r="143" spans="1:24">
      <c r="A143">
        <f>HYPERLINK("https://www.philgeps.gov.ph/GEPSNONPILOT/Tender/SplashBidNoticeAbstractUI.aspx?menuIndex=3&amp;refID=7079411&amp;Result=3","7079411")</f>
        <v>0</v>
      </c>
      <c r="B143" t="s">
        <v>82</v>
      </c>
      <c r="C143" t="s">
        <v>3665</v>
      </c>
      <c r="D143" t="s">
        <v>18118</v>
      </c>
      <c r="E143" t="s">
        <v>18338</v>
      </c>
      <c r="F143" t="s">
        <v>31362</v>
      </c>
      <c r="G143" t="s">
        <v>31369</v>
      </c>
      <c r="H143" t="s">
        <v>31378</v>
      </c>
      <c r="I143" t="s">
        <v>31386</v>
      </c>
      <c r="J143" t="s">
        <v>31647</v>
      </c>
      <c r="K143" t="s">
        <v>40685</v>
      </c>
      <c r="M143" t="s">
        <v>41018</v>
      </c>
      <c r="N143" t="s">
        <v>44905</v>
      </c>
      <c r="O143" t="s">
        <v>44906</v>
      </c>
      <c r="P143">
        <v>0</v>
      </c>
      <c r="Q143">
        <v>0</v>
      </c>
      <c r="R143" t="s">
        <v>44907</v>
      </c>
      <c r="S143" t="s">
        <v>45026</v>
      </c>
      <c r="T143" t="s">
        <v>46433</v>
      </c>
      <c r="U143" t="s">
        <v>47043</v>
      </c>
      <c r="W143" t="s">
        <v>41018</v>
      </c>
      <c r="X143" t="s">
        <v>44909</v>
      </c>
    </row>
    <row r="144" spans="1:24">
      <c r="A144">
        <f>HYPERLINK("https://www.philgeps.gov.ph/GEPSNONPILOT/Tender/SplashBidNoticeAbstractUI.aspx?menuIndex=3&amp;refID=7079386&amp;Result=3","7079386")</f>
        <v>0</v>
      </c>
      <c r="B144" t="s">
        <v>82</v>
      </c>
      <c r="C144" t="s">
        <v>3666</v>
      </c>
      <c r="D144" t="s">
        <v>18118</v>
      </c>
      <c r="E144" t="s">
        <v>18339</v>
      </c>
      <c r="F144" t="s">
        <v>31362</v>
      </c>
      <c r="G144" t="s">
        <v>31369</v>
      </c>
      <c r="H144" t="s">
        <v>31378</v>
      </c>
      <c r="I144" t="s">
        <v>31386</v>
      </c>
      <c r="J144" t="s">
        <v>31647</v>
      </c>
      <c r="K144" t="s">
        <v>40685</v>
      </c>
      <c r="M144" t="s">
        <v>41018</v>
      </c>
      <c r="N144" t="s">
        <v>44905</v>
      </c>
      <c r="O144" t="s">
        <v>44906</v>
      </c>
      <c r="P144">
        <v>0</v>
      </c>
      <c r="Q144">
        <v>1</v>
      </c>
      <c r="R144" t="s">
        <v>44907</v>
      </c>
      <c r="S144" t="s">
        <v>45026</v>
      </c>
      <c r="T144" t="s">
        <v>46433</v>
      </c>
      <c r="U144" t="s">
        <v>47043</v>
      </c>
      <c r="W144" t="s">
        <v>41018</v>
      </c>
      <c r="X144" t="s">
        <v>44909</v>
      </c>
    </row>
    <row r="145" spans="1:24">
      <c r="A145">
        <f>HYPERLINK("https://www.philgeps.gov.ph/GEPSNONPILOT/Tender/SplashBidNoticeAbstractUI.aspx?menuIndex=3&amp;refID=7079355&amp;Result=3","7079355")</f>
        <v>0</v>
      </c>
      <c r="B145" t="s">
        <v>81</v>
      </c>
      <c r="C145" t="s">
        <v>3667</v>
      </c>
      <c r="E145" t="s">
        <v>18340</v>
      </c>
      <c r="F145" t="s">
        <v>31364</v>
      </c>
      <c r="G145" t="s">
        <v>31370</v>
      </c>
      <c r="H145" t="s">
        <v>15799</v>
      </c>
      <c r="I145" t="s">
        <v>31416</v>
      </c>
      <c r="J145" t="s">
        <v>31648</v>
      </c>
      <c r="K145" t="s">
        <v>40662</v>
      </c>
      <c r="M145" t="s">
        <v>41017</v>
      </c>
      <c r="N145" t="s">
        <v>44905</v>
      </c>
      <c r="O145" t="s">
        <v>44906</v>
      </c>
      <c r="P145">
        <v>0</v>
      </c>
      <c r="Q145">
        <v>0</v>
      </c>
      <c r="R145" t="s">
        <v>44907</v>
      </c>
      <c r="S145" t="s">
        <v>45026</v>
      </c>
      <c r="T145" t="s">
        <v>46403</v>
      </c>
      <c r="U145" t="s">
        <v>47044</v>
      </c>
      <c r="W145" t="s">
        <v>41017</v>
      </c>
      <c r="X145" t="s">
        <v>44909</v>
      </c>
    </row>
    <row r="146" spans="1:24">
      <c r="A146">
        <f>HYPERLINK("https://www.philgeps.gov.ph/GEPSNONPILOT/Tender/SplashBidNoticeAbstractUI.aspx?menuIndex=3&amp;refID=7079343&amp;Result=3","7079343")</f>
        <v>0</v>
      </c>
      <c r="B146" t="s">
        <v>82</v>
      </c>
      <c r="C146" t="s">
        <v>3668</v>
      </c>
      <c r="D146" t="s">
        <v>18118</v>
      </c>
      <c r="E146" t="s">
        <v>18341</v>
      </c>
      <c r="F146" t="s">
        <v>31362</v>
      </c>
      <c r="G146" t="s">
        <v>31369</v>
      </c>
      <c r="H146" t="s">
        <v>31378</v>
      </c>
      <c r="I146" t="s">
        <v>31386</v>
      </c>
      <c r="J146" t="s">
        <v>31649</v>
      </c>
      <c r="K146" t="s">
        <v>40686</v>
      </c>
      <c r="M146" t="s">
        <v>41018</v>
      </c>
      <c r="N146" t="s">
        <v>44905</v>
      </c>
      <c r="O146" t="s">
        <v>44906</v>
      </c>
      <c r="P146">
        <v>0</v>
      </c>
      <c r="Q146">
        <v>1</v>
      </c>
      <c r="R146" t="s">
        <v>44907</v>
      </c>
      <c r="S146" t="s">
        <v>45026</v>
      </c>
      <c r="T146" t="s">
        <v>46433</v>
      </c>
      <c r="U146" t="s">
        <v>47043</v>
      </c>
      <c r="W146" t="s">
        <v>41018</v>
      </c>
      <c r="X146" t="s">
        <v>44909</v>
      </c>
    </row>
    <row r="147" spans="1:24">
      <c r="A147">
        <f>HYPERLINK("https://www.philgeps.gov.ph/GEPSNONPILOT/Tender/SplashBidNoticeAbstractUI.aspx?menuIndex=3&amp;refID=7079325&amp;Result=3","7079325")</f>
        <v>0</v>
      </c>
      <c r="B147" t="s">
        <v>83</v>
      </c>
      <c r="C147" t="s">
        <v>3669</v>
      </c>
      <c r="D147" t="s">
        <v>18116</v>
      </c>
      <c r="E147" t="s">
        <v>18342</v>
      </c>
      <c r="F147" t="s">
        <v>31362</v>
      </c>
      <c r="G147" t="s">
        <v>31370</v>
      </c>
      <c r="H147" t="s">
        <v>15799</v>
      </c>
      <c r="I147" t="s">
        <v>4283</v>
      </c>
      <c r="J147" t="s">
        <v>31650</v>
      </c>
      <c r="K147" t="s">
        <v>40661</v>
      </c>
      <c r="M147" t="s">
        <v>41019</v>
      </c>
      <c r="N147" t="s">
        <v>44905</v>
      </c>
      <c r="O147" t="s">
        <v>44906</v>
      </c>
      <c r="P147">
        <v>0</v>
      </c>
      <c r="Q147">
        <v>0</v>
      </c>
      <c r="R147" t="s">
        <v>44907</v>
      </c>
      <c r="S147" t="s">
        <v>45026</v>
      </c>
      <c r="T147" t="s">
        <v>46427</v>
      </c>
      <c r="U147" t="s">
        <v>47045</v>
      </c>
      <c r="W147" t="s">
        <v>41019</v>
      </c>
      <c r="X147" t="s">
        <v>44909</v>
      </c>
    </row>
    <row r="148" spans="1:24">
      <c r="A148">
        <f>HYPERLINK("https://www.philgeps.gov.ph/GEPSNONPILOT/Tender/SplashBidNoticeAbstractUI.aspx?menuIndex=3&amp;refID=7079321&amp;Result=3","7079321")</f>
        <v>0</v>
      </c>
      <c r="B148" t="s">
        <v>82</v>
      </c>
      <c r="C148" t="s">
        <v>3670</v>
      </c>
      <c r="D148" t="s">
        <v>18118</v>
      </c>
      <c r="E148" t="s">
        <v>18343</v>
      </c>
      <c r="F148" t="s">
        <v>31362</v>
      </c>
      <c r="G148" t="s">
        <v>31369</v>
      </c>
      <c r="H148" t="s">
        <v>31378</v>
      </c>
      <c r="I148" t="s">
        <v>31386</v>
      </c>
      <c r="J148" t="s">
        <v>31651</v>
      </c>
      <c r="K148" t="s">
        <v>40685</v>
      </c>
      <c r="M148" t="s">
        <v>41018</v>
      </c>
      <c r="N148" t="s">
        <v>44905</v>
      </c>
      <c r="O148" t="s">
        <v>44906</v>
      </c>
      <c r="P148">
        <v>0</v>
      </c>
      <c r="Q148">
        <v>1</v>
      </c>
      <c r="R148" t="s">
        <v>44907</v>
      </c>
      <c r="S148" t="s">
        <v>45026</v>
      </c>
      <c r="T148" t="s">
        <v>46433</v>
      </c>
      <c r="U148" t="s">
        <v>47043</v>
      </c>
      <c r="W148" t="s">
        <v>41018</v>
      </c>
      <c r="X148" t="s">
        <v>44909</v>
      </c>
    </row>
    <row r="149" spans="1:24">
      <c r="A149">
        <f>HYPERLINK("https://www.philgeps.gov.ph/GEPSNONPILOT/Tender/SplashBidNoticeAbstractUI.aspx?menuIndex=3&amp;refID=7079304&amp;Result=3","7079304")</f>
        <v>0</v>
      </c>
      <c r="B149" t="s">
        <v>84</v>
      </c>
      <c r="C149" t="s">
        <v>3671</v>
      </c>
      <c r="D149" t="s">
        <v>18132</v>
      </c>
      <c r="E149" t="s">
        <v>18344</v>
      </c>
      <c r="F149" t="s">
        <v>31362</v>
      </c>
      <c r="G149" t="s">
        <v>31368</v>
      </c>
      <c r="H149" t="s">
        <v>15799</v>
      </c>
      <c r="I149" t="s">
        <v>4283</v>
      </c>
      <c r="J149" t="s">
        <v>31652</v>
      </c>
      <c r="K149" t="s">
        <v>40662</v>
      </c>
      <c r="M149" t="s">
        <v>41020</v>
      </c>
      <c r="N149" t="s">
        <v>44905</v>
      </c>
      <c r="O149" t="s">
        <v>44906</v>
      </c>
      <c r="P149">
        <v>0</v>
      </c>
      <c r="Q149">
        <v>5</v>
      </c>
      <c r="R149" t="s">
        <v>44907</v>
      </c>
      <c r="S149" t="s">
        <v>45026</v>
      </c>
      <c r="T149" t="s">
        <v>46434</v>
      </c>
      <c r="U149" t="s">
        <v>47046</v>
      </c>
      <c r="W149" t="s">
        <v>41020</v>
      </c>
      <c r="X149" t="s">
        <v>44909</v>
      </c>
    </row>
    <row r="150" spans="1:24">
      <c r="A150">
        <f>HYPERLINK("https://www.philgeps.gov.ph/GEPSNONPILOT/Tender/SplashBidNoticeAbstractUI.aspx?menuIndex=3&amp;refID=7079456&amp;Result=3","7079456")</f>
        <v>0</v>
      </c>
      <c r="B150" t="s">
        <v>85</v>
      </c>
      <c r="C150" t="s">
        <v>3672</v>
      </c>
      <c r="D150" t="s">
        <v>18133</v>
      </c>
      <c r="E150" t="s">
        <v>18345</v>
      </c>
      <c r="F150" t="s">
        <v>31362</v>
      </c>
      <c r="G150" t="s">
        <v>31369</v>
      </c>
      <c r="H150" t="s">
        <v>15799</v>
      </c>
      <c r="I150" t="s">
        <v>31386</v>
      </c>
      <c r="J150" t="s">
        <v>31653</v>
      </c>
      <c r="K150" t="s">
        <v>40670</v>
      </c>
      <c r="M150" t="s">
        <v>41021</v>
      </c>
      <c r="N150" t="s">
        <v>44905</v>
      </c>
      <c r="O150" t="s">
        <v>44906</v>
      </c>
      <c r="P150">
        <v>0</v>
      </c>
      <c r="Q150">
        <v>0</v>
      </c>
      <c r="R150" t="s">
        <v>44907</v>
      </c>
      <c r="S150" t="s">
        <v>45026</v>
      </c>
      <c r="T150" t="s">
        <v>46408</v>
      </c>
      <c r="U150" t="s">
        <v>47047</v>
      </c>
      <c r="W150" t="s">
        <v>41021</v>
      </c>
      <c r="X150" t="s">
        <v>44909</v>
      </c>
    </row>
    <row r="151" spans="1:24">
      <c r="A151">
        <f>HYPERLINK("https://www.philgeps.gov.ph/GEPSNONPILOT/Tender/SplashBidNoticeAbstractUI.aspx?menuIndex=3&amp;refID=7079242&amp;Result=3","7079242")</f>
        <v>0</v>
      </c>
      <c r="B151" t="s">
        <v>86</v>
      </c>
      <c r="C151" t="s">
        <v>3673</v>
      </c>
      <c r="D151" t="s">
        <v>18134</v>
      </c>
      <c r="E151" t="s">
        <v>18346</v>
      </c>
      <c r="F151" t="s">
        <v>31362</v>
      </c>
      <c r="G151" t="s">
        <v>31371</v>
      </c>
      <c r="H151" t="s">
        <v>15799</v>
      </c>
      <c r="I151" t="s">
        <v>31385</v>
      </c>
      <c r="J151" t="s">
        <v>31654</v>
      </c>
      <c r="K151" t="s">
        <v>40687</v>
      </c>
      <c r="M151" t="s">
        <v>41022</v>
      </c>
      <c r="N151" t="s">
        <v>44905</v>
      </c>
      <c r="O151" t="s">
        <v>44906</v>
      </c>
      <c r="P151">
        <v>0</v>
      </c>
      <c r="Q151">
        <v>0</v>
      </c>
      <c r="R151" t="s">
        <v>44907</v>
      </c>
      <c r="S151" t="s">
        <v>45026</v>
      </c>
      <c r="T151" t="s">
        <v>46394</v>
      </c>
      <c r="U151" t="s">
        <v>47048</v>
      </c>
      <c r="W151" t="s">
        <v>41022</v>
      </c>
      <c r="X151" t="s">
        <v>44909</v>
      </c>
    </row>
    <row r="152" spans="1:24">
      <c r="A152">
        <f>HYPERLINK("https://www.philgeps.gov.ph/GEPSNONPILOT/Tender/SplashBidNoticeAbstractUI.aspx?menuIndex=3&amp;refID=7079265&amp;Result=3","7079265")</f>
        <v>0</v>
      </c>
      <c r="B152" t="s">
        <v>81</v>
      </c>
      <c r="C152" t="s">
        <v>3674</v>
      </c>
      <c r="E152" t="s">
        <v>18347</v>
      </c>
      <c r="F152" t="s">
        <v>31364</v>
      </c>
      <c r="G152" t="s">
        <v>31370</v>
      </c>
      <c r="H152" t="s">
        <v>15799</v>
      </c>
      <c r="I152" t="s">
        <v>31416</v>
      </c>
      <c r="J152" t="s">
        <v>31655</v>
      </c>
      <c r="K152" t="s">
        <v>40662</v>
      </c>
      <c r="M152" t="s">
        <v>41017</v>
      </c>
      <c r="N152" t="s">
        <v>44905</v>
      </c>
      <c r="O152" t="s">
        <v>44906</v>
      </c>
      <c r="P152">
        <v>0</v>
      </c>
      <c r="Q152">
        <v>0</v>
      </c>
      <c r="R152" t="s">
        <v>44907</v>
      </c>
      <c r="S152" t="s">
        <v>45026</v>
      </c>
      <c r="T152" t="s">
        <v>46403</v>
      </c>
      <c r="U152" t="s">
        <v>47049</v>
      </c>
      <c r="W152" t="s">
        <v>41017</v>
      </c>
      <c r="X152" t="s">
        <v>44909</v>
      </c>
    </row>
    <row r="153" spans="1:24">
      <c r="A153">
        <f>HYPERLINK("https://www.philgeps.gov.ph/GEPSNONPILOT/Tender/SplashBidNoticeAbstractUI.aspx?menuIndex=3&amp;refID=7079514&amp;Result=3","7079514")</f>
        <v>0</v>
      </c>
      <c r="B153" t="s">
        <v>82</v>
      </c>
      <c r="C153" t="s">
        <v>3675</v>
      </c>
      <c r="D153" t="s">
        <v>18118</v>
      </c>
      <c r="E153" t="s">
        <v>18348</v>
      </c>
      <c r="F153" t="s">
        <v>31362</v>
      </c>
      <c r="G153" t="s">
        <v>31369</v>
      </c>
      <c r="H153" t="s">
        <v>31378</v>
      </c>
      <c r="I153" t="s">
        <v>31386</v>
      </c>
      <c r="J153" t="s">
        <v>31656</v>
      </c>
      <c r="K153" t="s">
        <v>40688</v>
      </c>
      <c r="M153" t="s">
        <v>41018</v>
      </c>
      <c r="N153" t="s">
        <v>44905</v>
      </c>
      <c r="O153" t="s">
        <v>44906</v>
      </c>
      <c r="P153">
        <v>0</v>
      </c>
      <c r="Q153">
        <v>0</v>
      </c>
      <c r="R153" t="s">
        <v>44907</v>
      </c>
      <c r="S153" t="s">
        <v>45026</v>
      </c>
      <c r="T153" t="s">
        <v>46433</v>
      </c>
      <c r="U153" t="s">
        <v>47043</v>
      </c>
      <c r="W153" t="s">
        <v>41018</v>
      </c>
      <c r="X153" t="s">
        <v>44909</v>
      </c>
    </row>
    <row r="154" spans="1:24">
      <c r="A154">
        <f>HYPERLINK("https://www.philgeps.gov.ph/GEPSNONPILOT/Tender/SplashBidNoticeAbstractUI.aspx?menuIndex=3&amp;refID=7079500&amp;Result=3","7079500")</f>
        <v>0</v>
      </c>
      <c r="B154" t="s">
        <v>82</v>
      </c>
      <c r="C154" t="s">
        <v>3676</v>
      </c>
      <c r="D154" t="s">
        <v>18118</v>
      </c>
      <c r="E154" t="s">
        <v>18349</v>
      </c>
      <c r="F154" t="s">
        <v>31362</v>
      </c>
      <c r="G154" t="s">
        <v>31369</v>
      </c>
      <c r="H154" t="s">
        <v>31378</v>
      </c>
      <c r="I154" t="s">
        <v>31386</v>
      </c>
      <c r="J154" t="s">
        <v>31657</v>
      </c>
      <c r="K154" t="s">
        <v>40689</v>
      </c>
      <c r="M154" t="s">
        <v>41018</v>
      </c>
      <c r="N154" t="s">
        <v>44905</v>
      </c>
      <c r="O154" t="s">
        <v>44906</v>
      </c>
      <c r="P154">
        <v>0</v>
      </c>
      <c r="Q154">
        <v>0</v>
      </c>
      <c r="R154" t="s">
        <v>44907</v>
      </c>
      <c r="S154" t="s">
        <v>45026</v>
      </c>
      <c r="T154" t="s">
        <v>46433</v>
      </c>
      <c r="U154" t="s">
        <v>47043</v>
      </c>
      <c r="W154" t="s">
        <v>41018</v>
      </c>
      <c r="X154" t="s">
        <v>44909</v>
      </c>
    </row>
    <row r="155" spans="1:24">
      <c r="A155">
        <f>HYPERLINK("https://www.philgeps.gov.ph/GEPSNONPILOT/Tender/SplashBidNoticeAbstractUI.aspx?menuIndex=3&amp;refID=7079318&amp;Result=3","7079318")</f>
        <v>0</v>
      </c>
      <c r="B155" t="s">
        <v>81</v>
      </c>
      <c r="C155" t="s">
        <v>3677</v>
      </c>
      <c r="E155" t="s">
        <v>18350</v>
      </c>
      <c r="F155" t="s">
        <v>31364</v>
      </c>
      <c r="G155" t="s">
        <v>31370</v>
      </c>
      <c r="H155" t="s">
        <v>15799</v>
      </c>
      <c r="I155" t="s">
        <v>31416</v>
      </c>
      <c r="J155" t="s">
        <v>31646</v>
      </c>
      <c r="K155" t="s">
        <v>40662</v>
      </c>
      <c r="M155" t="s">
        <v>41017</v>
      </c>
      <c r="N155" t="s">
        <v>44905</v>
      </c>
      <c r="O155" t="s">
        <v>44906</v>
      </c>
      <c r="P155">
        <v>0</v>
      </c>
      <c r="Q155">
        <v>0</v>
      </c>
      <c r="R155" t="s">
        <v>44907</v>
      </c>
      <c r="S155" t="s">
        <v>45026</v>
      </c>
      <c r="T155" t="s">
        <v>46403</v>
      </c>
      <c r="U155" t="s">
        <v>47050</v>
      </c>
      <c r="W155" t="s">
        <v>41017</v>
      </c>
      <c r="X155" t="s">
        <v>44909</v>
      </c>
    </row>
    <row r="156" spans="1:24">
      <c r="A156">
        <f>HYPERLINK("https://www.philgeps.gov.ph/GEPSNONPILOT/Tender/SplashBidNoticeAbstractUI.aspx?menuIndex=3&amp;refID=7079491&amp;Result=3","7079491")</f>
        <v>0</v>
      </c>
      <c r="B156" t="s">
        <v>82</v>
      </c>
      <c r="C156" t="s">
        <v>3678</v>
      </c>
      <c r="D156" t="s">
        <v>18118</v>
      </c>
      <c r="E156" t="s">
        <v>18351</v>
      </c>
      <c r="F156" t="s">
        <v>31362</v>
      </c>
      <c r="G156" t="s">
        <v>31369</v>
      </c>
      <c r="H156" t="s">
        <v>31378</v>
      </c>
      <c r="I156" t="s">
        <v>31386</v>
      </c>
      <c r="J156" t="s">
        <v>31658</v>
      </c>
      <c r="K156" t="s">
        <v>40690</v>
      </c>
      <c r="M156" t="s">
        <v>41018</v>
      </c>
      <c r="N156" t="s">
        <v>44905</v>
      </c>
      <c r="O156" t="s">
        <v>44906</v>
      </c>
      <c r="P156">
        <v>0</v>
      </c>
      <c r="Q156">
        <v>1</v>
      </c>
      <c r="R156" t="s">
        <v>44907</v>
      </c>
      <c r="S156" t="s">
        <v>45026</v>
      </c>
      <c r="T156" t="s">
        <v>46433</v>
      </c>
      <c r="U156" t="s">
        <v>47043</v>
      </c>
      <c r="W156" t="s">
        <v>41018</v>
      </c>
      <c r="X156" t="s">
        <v>44909</v>
      </c>
    </row>
    <row r="157" spans="1:24">
      <c r="A157">
        <f>HYPERLINK("https://www.philgeps.gov.ph/GEPSNONPILOT/Tender/SplashBidNoticeAbstractUI.aspx?menuIndex=3&amp;refID=7079525&amp;Result=3","7079525")</f>
        <v>0</v>
      </c>
      <c r="B157" t="s">
        <v>87</v>
      </c>
      <c r="C157" t="s">
        <v>3679</v>
      </c>
      <c r="D157" t="s">
        <v>18109</v>
      </c>
      <c r="E157" t="s">
        <v>18352</v>
      </c>
      <c r="F157" t="s">
        <v>31362</v>
      </c>
      <c r="G157" t="s">
        <v>31368</v>
      </c>
      <c r="H157" t="s">
        <v>15799</v>
      </c>
      <c r="I157" t="s">
        <v>6240</v>
      </c>
      <c r="J157" t="s">
        <v>31659</v>
      </c>
      <c r="K157" t="s">
        <v>40661</v>
      </c>
      <c r="M157" t="s">
        <v>41023</v>
      </c>
      <c r="N157" t="s">
        <v>44905</v>
      </c>
      <c r="O157" t="s">
        <v>44906</v>
      </c>
      <c r="P157">
        <v>0</v>
      </c>
      <c r="Q157">
        <v>0</v>
      </c>
      <c r="R157" t="s">
        <v>44907</v>
      </c>
      <c r="S157" t="s">
        <v>45026</v>
      </c>
      <c r="T157" t="s">
        <v>46435</v>
      </c>
      <c r="U157" t="s">
        <v>47051</v>
      </c>
      <c r="W157" t="s">
        <v>60832</v>
      </c>
      <c r="X157" t="s">
        <v>44909</v>
      </c>
    </row>
    <row r="158" spans="1:24">
      <c r="A158">
        <f>HYPERLINK("https://www.philgeps.gov.ph/GEPSNONPILOT/Tender/SplashBidNoticeAbstractUI.aspx?menuIndex=3&amp;refID=7079230&amp;Result=3","7079230")</f>
        <v>0</v>
      </c>
      <c r="B158" t="s">
        <v>45</v>
      </c>
      <c r="C158" t="s">
        <v>3680</v>
      </c>
      <c r="D158" t="s">
        <v>18115</v>
      </c>
      <c r="E158" t="s">
        <v>18353</v>
      </c>
      <c r="F158" t="s">
        <v>31362</v>
      </c>
      <c r="G158" t="s">
        <v>31368</v>
      </c>
      <c r="H158" t="s">
        <v>15799</v>
      </c>
      <c r="I158" t="s">
        <v>7719</v>
      </c>
      <c r="J158" t="s">
        <v>31577</v>
      </c>
      <c r="K158" t="s">
        <v>40661</v>
      </c>
      <c r="M158" t="s">
        <v>41024</v>
      </c>
      <c r="N158" t="s">
        <v>44905</v>
      </c>
      <c r="O158" t="s">
        <v>44906</v>
      </c>
      <c r="P158">
        <v>0</v>
      </c>
      <c r="Q158">
        <v>6</v>
      </c>
      <c r="R158" t="s">
        <v>44907</v>
      </c>
      <c r="S158" t="s">
        <v>45026</v>
      </c>
      <c r="T158" t="s">
        <v>46397</v>
      </c>
      <c r="U158" t="s">
        <v>47052</v>
      </c>
      <c r="V158" t="s">
        <v>59054</v>
      </c>
      <c r="W158" t="s">
        <v>41024</v>
      </c>
      <c r="X158" t="s">
        <v>44909</v>
      </c>
    </row>
    <row r="159" spans="1:24">
      <c r="A159">
        <f>HYPERLINK("https://www.philgeps.gov.ph/GEPSNONPILOT/Tender/SplashBidNoticeAbstractUI.aspx?menuIndex=3&amp;refID=7079559&amp;Result=3","7079559")</f>
        <v>0</v>
      </c>
      <c r="B159" t="s">
        <v>73</v>
      </c>
      <c r="C159" t="s">
        <v>3681</v>
      </c>
      <c r="D159" t="s">
        <v>18102</v>
      </c>
      <c r="E159" t="s">
        <v>18354</v>
      </c>
      <c r="F159" t="s">
        <v>31362</v>
      </c>
      <c r="G159" t="s">
        <v>31369</v>
      </c>
      <c r="H159" t="s">
        <v>31378</v>
      </c>
      <c r="I159" t="s">
        <v>31386</v>
      </c>
      <c r="J159" t="s">
        <v>31542</v>
      </c>
      <c r="K159" t="s">
        <v>40675</v>
      </c>
      <c r="M159" t="s">
        <v>41009</v>
      </c>
      <c r="N159" t="s">
        <v>44905</v>
      </c>
      <c r="O159" t="s">
        <v>44906</v>
      </c>
      <c r="P159">
        <v>0</v>
      </c>
      <c r="Q159">
        <v>0</v>
      </c>
      <c r="R159" t="s">
        <v>44907</v>
      </c>
      <c r="S159" t="s">
        <v>45026</v>
      </c>
      <c r="T159" t="s">
        <v>46429</v>
      </c>
      <c r="U159" t="s">
        <v>47053</v>
      </c>
      <c r="W159" t="s">
        <v>41009</v>
      </c>
      <c r="X159" t="s">
        <v>44909</v>
      </c>
    </row>
    <row r="160" spans="1:24">
      <c r="A160">
        <f>HYPERLINK("https://www.philgeps.gov.ph/GEPSNONPILOT/Tender/SplashBidNoticeAbstractUI.aspx?menuIndex=3&amp;refID=7079645&amp;Result=3","7079645")</f>
        <v>0</v>
      </c>
      <c r="B160" t="s">
        <v>88</v>
      </c>
      <c r="C160" t="s">
        <v>3682</v>
      </c>
      <c r="D160" t="s">
        <v>18135</v>
      </c>
      <c r="E160" t="s">
        <v>18355</v>
      </c>
      <c r="F160" t="s">
        <v>31362</v>
      </c>
      <c r="G160" t="s">
        <v>31369</v>
      </c>
      <c r="H160" t="s">
        <v>15799</v>
      </c>
      <c r="I160" t="s">
        <v>31417</v>
      </c>
      <c r="J160" t="s">
        <v>31542</v>
      </c>
      <c r="K160" t="s">
        <v>40662</v>
      </c>
      <c r="M160" t="s">
        <v>41025</v>
      </c>
      <c r="N160" t="s">
        <v>44905</v>
      </c>
      <c r="O160" t="s">
        <v>44906</v>
      </c>
      <c r="P160">
        <v>0</v>
      </c>
      <c r="Q160">
        <v>0</v>
      </c>
      <c r="R160" t="s">
        <v>44907</v>
      </c>
      <c r="S160" t="s">
        <v>45026</v>
      </c>
      <c r="T160" t="s">
        <v>46436</v>
      </c>
      <c r="U160" t="s">
        <v>47054</v>
      </c>
      <c r="W160" t="s">
        <v>41025</v>
      </c>
      <c r="X160" t="s">
        <v>44909</v>
      </c>
    </row>
    <row r="161" spans="1:24">
      <c r="A161">
        <f>HYPERLINK("https://www.philgeps.gov.ph/GEPSNONPILOT/Tender/SplashBidNoticeAbstractUI.aspx?menuIndex=3&amp;refID=7079628&amp;Result=3","7079628")</f>
        <v>0</v>
      </c>
      <c r="B161" t="s">
        <v>89</v>
      </c>
      <c r="C161" t="s">
        <v>3683</v>
      </c>
      <c r="D161" t="s">
        <v>18109</v>
      </c>
      <c r="E161" t="s">
        <v>18356</v>
      </c>
      <c r="F161" t="s">
        <v>31362</v>
      </c>
      <c r="G161" t="s">
        <v>31369</v>
      </c>
      <c r="H161" t="s">
        <v>31378</v>
      </c>
      <c r="I161" t="s">
        <v>31386</v>
      </c>
      <c r="J161" t="s">
        <v>31660</v>
      </c>
      <c r="K161" t="s">
        <v>40691</v>
      </c>
      <c r="M161" t="s">
        <v>41026</v>
      </c>
      <c r="N161" t="s">
        <v>44905</v>
      </c>
      <c r="O161" t="s">
        <v>44906</v>
      </c>
      <c r="P161">
        <v>0</v>
      </c>
      <c r="Q161">
        <v>0</v>
      </c>
      <c r="R161" t="s">
        <v>44907</v>
      </c>
      <c r="S161" t="s">
        <v>45026</v>
      </c>
      <c r="T161" t="s">
        <v>46437</v>
      </c>
      <c r="U161" t="s">
        <v>47055</v>
      </c>
      <c r="V161" t="s">
        <v>59069</v>
      </c>
      <c r="W161" t="s">
        <v>60833</v>
      </c>
      <c r="X161" t="s">
        <v>44909</v>
      </c>
    </row>
    <row r="162" spans="1:24">
      <c r="A162">
        <f>HYPERLINK("https://www.philgeps.gov.ph/GEPSNONPILOT/Tender/SplashBidNoticeAbstractUI.aspx?menuIndex=3&amp;refID=7079433&amp;Result=3","7079433")</f>
        <v>0</v>
      </c>
      <c r="B162" t="s">
        <v>82</v>
      </c>
      <c r="C162" t="s">
        <v>3684</v>
      </c>
      <c r="D162" t="s">
        <v>18118</v>
      </c>
      <c r="E162" t="s">
        <v>18357</v>
      </c>
      <c r="F162" t="s">
        <v>31362</v>
      </c>
      <c r="G162" t="s">
        <v>31369</v>
      </c>
      <c r="H162" t="s">
        <v>31378</v>
      </c>
      <c r="I162" t="s">
        <v>31386</v>
      </c>
      <c r="J162" t="s">
        <v>31661</v>
      </c>
      <c r="K162" t="s">
        <v>40688</v>
      </c>
      <c r="M162" t="s">
        <v>41018</v>
      </c>
      <c r="N162" t="s">
        <v>44905</v>
      </c>
      <c r="O162" t="s">
        <v>44906</v>
      </c>
      <c r="P162">
        <v>0</v>
      </c>
      <c r="Q162">
        <v>1</v>
      </c>
      <c r="R162" t="s">
        <v>44907</v>
      </c>
      <c r="S162" t="s">
        <v>45026</v>
      </c>
      <c r="T162" t="s">
        <v>46433</v>
      </c>
      <c r="U162" t="s">
        <v>47043</v>
      </c>
      <c r="W162" t="s">
        <v>41018</v>
      </c>
      <c r="X162" t="s">
        <v>44909</v>
      </c>
    </row>
    <row r="163" spans="1:24">
      <c r="A163">
        <f>HYPERLINK("https://www.philgeps.gov.ph/GEPSNONPILOT/Tender/SplashBidNoticeAbstractUI.aspx?menuIndex=3&amp;refID=7079626&amp;Result=3","7079626")</f>
        <v>0</v>
      </c>
      <c r="B163" t="s">
        <v>90</v>
      </c>
      <c r="C163" t="s">
        <v>3685</v>
      </c>
      <c r="E163" t="s">
        <v>18358</v>
      </c>
      <c r="F163" t="s">
        <v>31362</v>
      </c>
      <c r="G163" t="s">
        <v>31368</v>
      </c>
      <c r="H163" t="s">
        <v>15799</v>
      </c>
      <c r="I163" t="s">
        <v>4057</v>
      </c>
      <c r="J163" t="s">
        <v>31662</v>
      </c>
      <c r="K163" t="s">
        <v>40662</v>
      </c>
      <c r="M163" t="s">
        <v>41027</v>
      </c>
      <c r="N163" t="s">
        <v>44905</v>
      </c>
      <c r="O163" t="s">
        <v>44906</v>
      </c>
      <c r="P163">
        <v>0</v>
      </c>
      <c r="Q163">
        <v>1</v>
      </c>
      <c r="R163" t="s">
        <v>44907</v>
      </c>
      <c r="S163" t="s">
        <v>45026</v>
      </c>
      <c r="T163" t="s">
        <v>46438</v>
      </c>
      <c r="U163" t="s">
        <v>47056</v>
      </c>
      <c r="W163" t="s">
        <v>41027</v>
      </c>
      <c r="X163" t="s">
        <v>44909</v>
      </c>
    </row>
    <row r="164" spans="1:24">
      <c r="A164">
        <f>HYPERLINK("https://www.philgeps.gov.ph/GEPSNONPILOT/Tender/SplashBidNoticeAbstractUI.aspx?menuIndex=3&amp;refID=7079619&amp;Result=3","7079619")</f>
        <v>0</v>
      </c>
      <c r="B164" t="s">
        <v>88</v>
      </c>
      <c r="C164" t="s">
        <v>3686</v>
      </c>
      <c r="D164" t="s">
        <v>18135</v>
      </c>
      <c r="E164" t="s">
        <v>18359</v>
      </c>
      <c r="F164" t="s">
        <v>31362</v>
      </c>
      <c r="G164" t="s">
        <v>31369</v>
      </c>
      <c r="H164" t="s">
        <v>31378</v>
      </c>
      <c r="I164" t="s">
        <v>31386</v>
      </c>
      <c r="J164" t="s">
        <v>31663</v>
      </c>
      <c r="K164" t="s">
        <v>40662</v>
      </c>
      <c r="M164" t="s">
        <v>41025</v>
      </c>
      <c r="N164" t="s">
        <v>44905</v>
      </c>
      <c r="O164" t="s">
        <v>44906</v>
      </c>
      <c r="P164">
        <v>0</v>
      </c>
      <c r="Q164">
        <v>0</v>
      </c>
      <c r="R164" t="s">
        <v>44907</v>
      </c>
      <c r="S164" t="s">
        <v>45026</v>
      </c>
      <c r="T164" t="s">
        <v>46439</v>
      </c>
      <c r="U164" t="s">
        <v>47057</v>
      </c>
      <c r="W164" t="s">
        <v>41025</v>
      </c>
      <c r="X164" t="s">
        <v>44909</v>
      </c>
    </row>
    <row r="165" spans="1:24">
      <c r="A165">
        <f>HYPERLINK("https://www.philgeps.gov.ph/GEPSNONPILOT/Tender/SplashBidNoticeAbstractUI.aspx?menuIndex=3&amp;refID=7079614&amp;Result=3","7079614")</f>
        <v>0</v>
      </c>
      <c r="B165" t="s">
        <v>91</v>
      </c>
      <c r="C165" t="s">
        <v>3687</v>
      </c>
      <c r="D165" t="s">
        <v>18136</v>
      </c>
      <c r="E165" t="s">
        <v>18360</v>
      </c>
      <c r="F165" t="s">
        <v>31362</v>
      </c>
      <c r="G165" t="s">
        <v>31370</v>
      </c>
      <c r="H165" t="s">
        <v>15799</v>
      </c>
      <c r="I165" t="s">
        <v>31393</v>
      </c>
      <c r="J165" t="s">
        <v>31536</v>
      </c>
      <c r="K165" t="s">
        <v>40661</v>
      </c>
      <c r="M165" t="s">
        <v>41028</v>
      </c>
      <c r="N165" t="s">
        <v>44905</v>
      </c>
      <c r="O165" t="s">
        <v>44906</v>
      </c>
      <c r="P165">
        <v>0</v>
      </c>
      <c r="Q165">
        <v>0</v>
      </c>
      <c r="R165" t="s">
        <v>44907</v>
      </c>
      <c r="S165" t="s">
        <v>45026</v>
      </c>
      <c r="T165" t="s">
        <v>46411</v>
      </c>
      <c r="U165" t="s">
        <v>47058</v>
      </c>
      <c r="W165" t="s">
        <v>41028</v>
      </c>
      <c r="X165" t="s">
        <v>44909</v>
      </c>
    </row>
    <row r="166" spans="1:24">
      <c r="A166">
        <f>HYPERLINK("https://www.philgeps.gov.ph/GEPSNONPILOT/Tender/SplashBidNoticeAbstractUI.aspx?menuIndex=3&amp;refID=7079653&amp;Result=3","7079653")</f>
        <v>0</v>
      </c>
      <c r="B166" t="s">
        <v>90</v>
      </c>
      <c r="C166" t="s">
        <v>3688</v>
      </c>
      <c r="E166" t="s">
        <v>18361</v>
      </c>
      <c r="F166" t="s">
        <v>31362</v>
      </c>
      <c r="G166" t="s">
        <v>31368</v>
      </c>
      <c r="H166" t="s">
        <v>15799</v>
      </c>
      <c r="I166" t="s">
        <v>4057</v>
      </c>
      <c r="J166" t="s">
        <v>31664</v>
      </c>
      <c r="K166" t="s">
        <v>40662</v>
      </c>
      <c r="M166" t="s">
        <v>41027</v>
      </c>
      <c r="N166" t="s">
        <v>44905</v>
      </c>
      <c r="O166" t="s">
        <v>44906</v>
      </c>
      <c r="P166">
        <v>0</v>
      </c>
      <c r="Q166">
        <v>1</v>
      </c>
      <c r="R166" t="s">
        <v>44907</v>
      </c>
      <c r="S166" t="s">
        <v>45026</v>
      </c>
      <c r="T166" t="s">
        <v>46438</v>
      </c>
      <c r="U166" t="s">
        <v>47059</v>
      </c>
      <c r="W166" t="s">
        <v>41027</v>
      </c>
      <c r="X166" t="s">
        <v>44909</v>
      </c>
    </row>
    <row r="167" spans="1:24">
      <c r="A167">
        <f>HYPERLINK("https://www.philgeps.gov.ph/GEPSNONPILOT/Tender/SplashBidNoticeAbstractUI.aspx?menuIndex=3&amp;refID=7079611&amp;Result=3","7079611")</f>
        <v>0</v>
      </c>
      <c r="B167" t="s">
        <v>87</v>
      </c>
      <c r="C167" t="s">
        <v>3689</v>
      </c>
      <c r="D167" t="s">
        <v>18109</v>
      </c>
      <c r="E167" t="s">
        <v>18362</v>
      </c>
      <c r="F167" t="s">
        <v>31362</v>
      </c>
      <c r="G167" t="s">
        <v>31368</v>
      </c>
      <c r="H167" t="s">
        <v>15799</v>
      </c>
      <c r="I167" t="s">
        <v>6240</v>
      </c>
      <c r="J167" t="s">
        <v>31665</v>
      </c>
      <c r="K167" t="s">
        <v>40661</v>
      </c>
      <c r="M167" t="s">
        <v>41023</v>
      </c>
      <c r="N167" t="s">
        <v>44905</v>
      </c>
      <c r="O167" t="s">
        <v>44906</v>
      </c>
      <c r="P167">
        <v>0</v>
      </c>
      <c r="Q167">
        <v>0</v>
      </c>
      <c r="R167" t="s">
        <v>44907</v>
      </c>
      <c r="S167" t="s">
        <v>45026</v>
      </c>
      <c r="T167" t="s">
        <v>46435</v>
      </c>
      <c r="U167" t="s">
        <v>47051</v>
      </c>
      <c r="W167" t="s">
        <v>60832</v>
      </c>
      <c r="X167" t="s">
        <v>44909</v>
      </c>
    </row>
    <row r="168" spans="1:24">
      <c r="A168">
        <f>HYPERLINK("https://www.philgeps.gov.ph/GEPSNONPILOT/Tender/SplashBidNoticeAbstractUI.aspx?menuIndex=3&amp;refID=7079478&amp;Result=3","7079478")</f>
        <v>0</v>
      </c>
      <c r="B168" t="s">
        <v>82</v>
      </c>
      <c r="C168" t="s">
        <v>3690</v>
      </c>
      <c r="D168" t="s">
        <v>18118</v>
      </c>
      <c r="E168" t="s">
        <v>18363</v>
      </c>
      <c r="F168" t="s">
        <v>31362</v>
      </c>
      <c r="G168" t="s">
        <v>31369</v>
      </c>
      <c r="H168" t="s">
        <v>31378</v>
      </c>
      <c r="I168" t="s">
        <v>31386</v>
      </c>
      <c r="J168" t="s">
        <v>31666</v>
      </c>
      <c r="K168" t="s">
        <v>40688</v>
      </c>
      <c r="M168" t="s">
        <v>41018</v>
      </c>
      <c r="N168" t="s">
        <v>44905</v>
      </c>
      <c r="O168" t="s">
        <v>44906</v>
      </c>
      <c r="P168">
        <v>0</v>
      </c>
      <c r="Q168">
        <v>0</v>
      </c>
      <c r="R168" t="s">
        <v>44907</v>
      </c>
      <c r="S168" t="s">
        <v>45026</v>
      </c>
      <c r="T168" t="s">
        <v>46433</v>
      </c>
      <c r="U168" t="s">
        <v>47043</v>
      </c>
      <c r="W168" t="s">
        <v>41018</v>
      </c>
      <c r="X168" t="s">
        <v>44909</v>
      </c>
    </row>
    <row r="169" spans="1:24">
      <c r="A169">
        <f>HYPERLINK("https://www.philgeps.gov.ph/GEPSNONPILOT/Tender/SplashBidNoticeAbstractUI.aspx?menuIndex=3&amp;refID=7079591&amp;Result=3","7079591")</f>
        <v>0</v>
      </c>
      <c r="B169" t="s">
        <v>87</v>
      </c>
      <c r="C169" t="s">
        <v>3691</v>
      </c>
      <c r="D169" t="s">
        <v>18109</v>
      </c>
      <c r="E169" t="s">
        <v>18364</v>
      </c>
      <c r="F169" t="s">
        <v>31362</v>
      </c>
      <c r="G169" t="s">
        <v>31368</v>
      </c>
      <c r="H169" t="s">
        <v>15799</v>
      </c>
      <c r="I169" t="s">
        <v>31418</v>
      </c>
      <c r="J169" t="s">
        <v>31667</v>
      </c>
      <c r="K169" t="s">
        <v>40661</v>
      </c>
      <c r="M169" t="s">
        <v>41023</v>
      </c>
      <c r="N169" t="s">
        <v>44905</v>
      </c>
      <c r="O169" t="s">
        <v>44906</v>
      </c>
      <c r="P169">
        <v>0</v>
      </c>
      <c r="Q169">
        <v>0</v>
      </c>
      <c r="R169" t="s">
        <v>44907</v>
      </c>
      <c r="S169" t="s">
        <v>45026</v>
      </c>
      <c r="T169" t="s">
        <v>46435</v>
      </c>
      <c r="U169" t="s">
        <v>47051</v>
      </c>
      <c r="W169" t="s">
        <v>60832</v>
      </c>
      <c r="X169" t="s">
        <v>44909</v>
      </c>
    </row>
    <row r="170" spans="1:24">
      <c r="A170">
        <f>HYPERLINK("https://www.philgeps.gov.ph/GEPSNONPILOT/Tender/SplashBidNoticeAbstractUI.aspx?menuIndex=3&amp;refID=7079688&amp;Result=3","7079688")</f>
        <v>0</v>
      </c>
      <c r="B170" t="s">
        <v>45</v>
      </c>
      <c r="C170" t="s">
        <v>3692</v>
      </c>
      <c r="D170" t="s">
        <v>18115</v>
      </c>
      <c r="E170" t="s">
        <v>18365</v>
      </c>
      <c r="F170" t="s">
        <v>31362</v>
      </c>
      <c r="G170" t="s">
        <v>31368</v>
      </c>
      <c r="H170" t="s">
        <v>15799</v>
      </c>
      <c r="I170" t="s">
        <v>7719</v>
      </c>
      <c r="J170" t="s">
        <v>31668</v>
      </c>
      <c r="K170" t="s">
        <v>40661</v>
      </c>
      <c r="M170" t="s">
        <v>41024</v>
      </c>
      <c r="N170" t="s">
        <v>44905</v>
      </c>
      <c r="O170" t="s">
        <v>44906</v>
      </c>
      <c r="P170">
        <v>0</v>
      </c>
      <c r="Q170">
        <v>3</v>
      </c>
      <c r="R170" t="s">
        <v>44907</v>
      </c>
      <c r="S170" t="s">
        <v>45026</v>
      </c>
      <c r="T170" t="s">
        <v>46397</v>
      </c>
      <c r="U170" t="s">
        <v>47060</v>
      </c>
      <c r="V170" t="s">
        <v>59054</v>
      </c>
      <c r="W170" t="s">
        <v>41024</v>
      </c>
      <c r="X170" t="s">
        <v>44909</v>
      </c>
    </row>
    <row r="171" spans="1:24">
      <c r="A171">
        <f>HYPERLINK("https://www.philgeps.gov.ph/GEPSNONPILOT/Tender/SplashBidNoticeAbstractUI.aspx?menuIndex=3&amp;refID=7079679&amp;Result=3","7079679")</f>
        <v>0</v>
      </c>
      <c r="B171" t="s">
        <v>89</v>
      </c>
      <c r="C171" t="s">
        <v>3693</v>
      </c>
      <c r="D171" t="s">
        <v>18109</v>
      </c>
      <c r="E171" t="s">
        <v>18366</v>
      </c>
      <c r="F171" t="s">
        <v>31362</v>
      </c>
      <c r="G171" t="s">
        <v>31369</v>
      </c>
      <c r="H171" t="s">
        <v>31378</v>
      </c>
      <c r="I171" t="s">
        <v>31386</v>
      </c>
      <c r="J171" t="s">
        <v>31669</v>
      </c>
      <c r="K171" t="s">
        <v>40692</v>
      </c>
      <c r="M171" t="s">
        <v>41026</v>
      </c>
      <c r="N171" t="s">
        <v>44905</v>
      </c>
      <c r="O171" t="s">
        <v>44906</v>
      </c>
      <c r="Q171">
        <v>1</v>
      </c>
      <c r="R171" t="s">
        <v>44907</v>
      </c>
      <c r="S171" t="s">
        <v>45028</v>
      </c>
      <c r="T171" t="s">
        <v>46437</v>
      </c>
      <c r="U171" t="s">
        <v>47061</v>
      </c>
      <c r="V171" t="s">
        <v>59069</v>
      </c>
      <c r="W171" t="s">
        <v>60833</v>
      </c>
      <c r="X171" t="s">
        <v>44909</v>
      </c>
    </row>
    <row r="172" spans="1:24">
      <c r="A172">
        <f>HYPERLINK("https://www.philgeps.gov.ph/GEPSNONPILOT/Tender/SplashBidNoticeAbstractUI.aspx?menuIndex=3&amp;refID=7079616&amp;Result=3","7079616")</f>
        <v>0</v>
      </c>
      <c r="B172" t="s">
        <v>92</v>
      </c>
      <c r="C172" t="s">
        <v>3694</v>
      </c>
      <c r="D172" t="s">
        <v>18100</v>
      </c>
      <c r="E172" t="s">
        <v>18367</v>
      </c>
      <c r="F172" t="s">
        <v>31362</v>
      </c>
      <c r="G172" t="s">
        <v>31368</v>
      </c>
      <c r="H172" t="s">
        <v>15799</v>
      </c>
      <c r="I172" t="s">
        <v>6240</v>
      </c>
      <c r="J172" t="s">
        <v>31670</v>
      </c>
      <c r="K172" t="s">
        <v>40677</v>
      </c>
      <c r="M172" t="s">
        <v>41029</v>
      </c>
      <c r="N172" t="s">
        <v>44905</v>
      </c>
      <c r="O172" t="s">
        <v>44906</v>
      </c>
      <c r="P172">
        <v>0</v>
      </c>
      <c r="Q172">
        <v>0</v>
      </c>
      <c r="R172" t="s">
        <v>44907</v>
      </c>
      <c r="S172" t="s">
        <v>45026</v>
      </c>
      <c r="T172" t="s">
        <v>46440</v>
      </c>
      <c r="U172" t="s">
        <v>47062</v>
      </c>
      <c r="W172" t="s">
        <v>60834</v>
      </c>
      <c r="X172" t="s">
        <v>44909</v>
      </c>
    </row>
    <row r="173" spans="1:24">
      <c r="A173">
        <f>HYPERLINK("https://www.philgeps.gov.ph/GEPSNONPILOT/Tender/SplashBidNoticeAbstractUI.aspx?menuIndex=3&amp;refID=7079567&amp;Result=3","7079567")</f>
        <v>0</v>
      </c>
      <c r="B173" t="s">
        <v>90</v>
      </c>
      <c r="C173" t="s">
        <v>3695</v>
      </c>
      <c r="E173" t="s">
        <v>18368</v>
      </c>
      <c r="F173" t="s">
        <v>31362</v>
      </c>
      <c r="G173" t="s">
        <v>31368</v>
      </c>
      <c r="H173" t="s">
        <v>15799</v>
      </c>
      <c r="I173" t="s">
        <v>4057</v>
      </c>
      <c r="J173" t="s">
        <v>31671</v>
      </c>
      <c r="K173" t="s">
        <v>40662</v>
      </c>
      <c r="M173" t="s">
        <v>41027</v>
      </c>
      <c r="N173" t="s">
        <v>44905</v>
      </c>
      <c r="O173" t="s">
        <v>44906</v>
      </c>
      <c r="P173">
        <v>0</v>
      </c>
      <c r="Q173">
        <v>1</v>
      </c>
      <c r="R173" t="s">
        <v>44907</v>
      </c>
      <c r="S173" t="s">
        <v>45026</v>
      </c>
      <c r="T173" t="s">
        <v>46438</v>
      </c>
      <c r="U173" t="s">
        <v>47063</v>
      </c>
      <c r="W173" t="s">
        <v>41027</v>
      </c>
      <c r="X173" t="s">
        <v>44909</v>
      </c>
    </row>
    <row r="174" spans="1:24">
      <c r="A174">
        <f>HYPERLINK("https://www.philgeps.gov.ph/GEPSNONPILOT/Tender/SplashBidNoticeAbstractUI.aspx?menuIndex=3&amp;refID=7079674&amp;Result=3","7079674")</f>
        <v>0</v>
      </c>
      <c r="B174" t="s">
        <v>93</v>
      </c>
      <c r="C174" t="s">
        <v>3696</v>
      </c>
      <c r="D174" t="s">
        <v>18108</v>
      </c>
      <c r="E174" t="s">
        <v>18369</v>
      </c>
      <c r="F174" t="s">
        <v>31362</v>
      </c>
      <c r="G174" t="s">
        <v>31368</v>
      </c>
      <c r="H174" t="s">
        <v>15799</v>
      </c>
      <c r="I174" t="s">
        <v>13635</v>
      </c>
      <c r="J174" t="s">
        <v>31672</v>
      </c>
      <c r="K174" t="s">
        <v>40662</v>
      </c>
      <c r="M174" t="s">
        <v>41030</v>
      </c>
      <c r="N174" t="s">
        <v>44905</v>
      </c>
      <c r="O174" t="s">
        <v>44906</v>
      </c>
      <c r="P174">
        <v>0</v>
      </c>
      <c r="Q174">
        <v>2</v>
      </c>
      <c r="R174" t="s">
        <v>44907</v>
      </c>
      <c r="S174" t="s">
        <v>45026</v>
      </c>
      <c r="T174" t="s">
        <v>46411</v>
      </c>
      <c r="U174" t="s">
        <v>47064</v>
      </c>
      <c r="V174" t="s">
        <v>59070</v>
      </c>
      <c r="W174" t="s">
        <v>41030</v>
      </c>
      <c r="X174" t="s">
        <v>44909</v>
      </c>
    </row>
    <row r="175" spans="1:24">
      <c r="A175">
        <f>HYPERLINK("https://www.philgeps.gov.ph/GEPSNONPILOT/Tender/SplashBidNoticeAbstractUI.aspx?menuIndex=3&amp;refID=7079576&amp;Result=3","7079576")</f>
        <v>0</v>
      </c>
      <c r="B175" t="s">
        <v>73</v>
      </c>
      <c r="C175" t="s">
        <v>3697</v>
      </c>
      <c r="D175" t="s">
        <v>18102</v>
      </c>
      <c r="E175" t="s">
        <v>18370</v>
      </c>
      <c r="F175" t="s">
        <v>31362</v>
      </c>
      <c r="G175" t="s">
        <v>31369</v>
      </c>
      <c r="H175" t="s">
        <v>31378</v>
      </c>
      <c r="I175" t="s">
        <v>31386</v>
      </c>
      <c r="J175" t="s">
        <v>31542</v>
      </c>
      <c r="K175" t="s">
        <v>40665</v>
      </c>
      <c r="M175" t="s">
        <v>41009</v>
      </c>
      <c r="N175" t="s">
        <v>44905</v>
      </c>
      <c r="O175" t="s">
        <v>44906</v>
      </c>
      <c r="P175">
        <v>0</v>
      </c>
      <c r="Q175">
        <v>0</v>
      </c>
      <c r="R175" t="s">
        <v>44907</v>
      </c>
      <c r="S175" t="s">
        <v>45026</v>
      </c>
      <c r="T175" t="s">
        <v>46429</v>
      </c>
      <c r="U175" t="s">
        <v>47065</v>
      </c>
      <c r="W175" t="s">
        <v>41009</v>
      </c>
      <c r="X175" t="s">
        <v>44909</v>
      </c>
    </row>
    <row r="176" spans="1:24">
      <c r="A176">
        <f>HYPERLINK("https://www.philgeps.gov.ph/GEPSNONPILOT/Tender/SplashBidNoticeAbstractUI.aspx?menuIndex=3&amp;refID=7079454&amp;Result=3","7079454")</f>
        <v>0</v>
      </c>
      <c r="B176" t="s">
        <v>82</v>
      </c>
      <c r="C176" t="s">
        <v>3698</v>
      </c>
      <c r="D176" t="s">
        <v>18118</v>
      </c>
      <c r="E176" t="s">
        <v>18371</v>
      </c>
      <c r="F176" t="s">
        <v>31362</v>
      </c>
      <c r="G176" t="s">
        <v>31369</v>
      </c>
      <c r="H176" t="s">
        <v>31378</v>
      </c>
      <c r="I176" t="s">
        <v>31386</v>
      </c>
      <c r="J176" t="s">
        <v>31673</v>
      </c>
      <c r="K176" t="s">
        <v>40685</v>
      </c>
      <c r="M176" t="s">
        <v>41018</v>
      </c>
      <c r="N176" t="s">
        <v>44905</v>
      </c>
      <c r="O176" t="s">
        <v>44906</v>
      </c>
      <c r="P176">
        <v>0</v>
      </c>
      <c r="Q176">
        <v>0</v>
      </c>
      <c r="R176" t="s">
        <v>44907</v>
      </c>
      <c r="S176" t="s">
        <v>45026</v>
      </c>
      <c r="T176" t="s">
        <v>46433</v>
      </c>
      <c r="U176" t="s">
        <v>47043</v>
      </c>
      <c r="W176" t="s">
        <v>41018</v>
      </c>
      <c r="X176" t="s">
        <v>44909</v>
      </c>
    </row>
    <row r="177" spans="1:24">
      <c r="A177">
        <f>HYPERLINK("https://www.philgeps.gov.ph/GEPSNONPILOT/Tender/SplashBidNoticeAbstractUI.aspx?menuIndex=3&amp;refID=7079637&amp;Result=3","7079637")</f>
        <v>0</v>
      </c>
      <c r="B177" t="s">
        <v>94</v>
      </c>
      <c r="C177" t="s">
        <v>3699</v>
      </c>
      <c r="D177" t="s">
        <v>18116</v>
      </c>
      <c r="E177" t="s">
        <v>18372</v>
      </c>
      <c r="F177" t="s">
        <v>31362</v>
      </c>
      <c r="G177" t="s">
        <v>31368</v>
      </c>
      <c r="H177" t="s">
        <v>15799</v>
      </c>
      <c r="I177" t="s">
        <v>31393</v>
      </c>
      <c r="J177" t="s">
        <v>31674</v>
      </c>
      <c r="K177" t="s">
        <v>40665</v>
      </c>
      <c r="M177" t="s">
        <v>41031</v>
      </c>
      <c r="N177" t="s">
        <v>44905</v>
      </c>
      <c r="O177" t="s">
        <v>44906</v>
      </c>
      <c r="P177">
        <v>0</v>
      </c>
      <c r="Q177">
        <v>1</v>
      </c>
      <c r="R177" t="s">
        <v>44907</v>
      </c>
      <c r="S177" t="s">
        <v>45026</v>
      </c>
      <c r="T177" t="s">
        <v>46417</v>
      </c>
      <c r="U177" t="s">
        <v>47066</v>
      </c>
      <c r="W177" t="s">
        <v>41031</v>
      </c>
      <c r="X177" t="s">
        <v>44909</v>
      </c>
    </row>
    <row r="178" spans="1:24">
      <c r="A178">
        <f>HYPERLINK("https://www.philgeps.gov.ph/GEPSNONPILOT/Tender/SplashBidNoticeAbstractUI.aspx?menuIndex=3&amp;refID=7079575&amp;Result=3","7079575")</f>
        <v>0</v>
      </c>
      <c r="B178" t="s">
        <v>49</v>
      </c>
      <c r="C178" t="s">
        <v>3572</v>
      </c>
      <c r="D178" t="s">
        <v>18108</v>
      </c>
      <c r="E178" t="s">
        <v>18373</v>
      </c>
      <c r="F178" t="s">
        <v>31362</v>
      </c>
      <c r="G178" t="s">
        <v>31369</v>
      </c>
      <c r="H178" t="s">
        <v>15799</v>
      </c>
      <c r="I178" t="s">
        <v>7090</v>
      </c>
      <c r="J178" t="s">
        <v>31675</v>
      </c>
      <c r="K178" t="s">
        <v>40662</v>
      </c>
      <c r="M178" t="s">
        <v>40983</v>
      </c>
      <c r="N178" t="s">
        <v>44905</v>
      </c>
      <c r="O178" t="s">
        <v>44906</v>
      </c>
      <c r="P178">
        <v>0</v>
      </c>
      <c r="Q178">
        <v>8</v>
      </c>
      <c r="R178" t="s">
        <v>44907</v>
      </c>
      <c r="S178" t="s">
        <v>45026</v>
      </c>
      <c r="T178" t="s">
        <v>46398</v>
      </c>
      <c r="U178" t="s">
        <v>46959</v>
      </c>
      <c r="W178" t="s">
        <v>40983</v>
      </c>
      <c r="X178" t="s">
        <v>44909</v>
      </c>
    </row>
    <row r="179" spans="1:24">
      <c r="A179">
        <f>HYPERLINK("https://www.philgeps.gov.ph/GEPSNONPILOT/Tender/SplashBidNoticeAbstractUI.aspx?menuIndex=3&amp;refID=7079535&amp;Result=3","7079535")</f>
        <v>0</v>
      </c>
      <c r="B179" t="s">
        <v>82</v>
      </c>
      <c r="C179" t="s">
        <v>3700</v>
      </c>
      <c r="D179" t="s">
        <v>18118</v>
      </c>
      <c r="E179" t="s">
        <v>18374</v>
      </c>
      <c r="F179" t="s">
        <v>31362</v>
      </c>
      <c r="G179" t="s">
        <v>31369</v>
      </c>
      <c r="H179" t="s">
        <v>31378</v>
      </c>
      <c r="I179" t="s">
        <v>31386</v>
      </c>
      <c r="J179" t="s">
        <v>31676</v>
      </c>
      <c r="K179" t="s">
        <v>40684</v>
      </c>
      <c r="M179" t="s">
        <v>41018</v>
      </c>
      <c r="N179" t="s">
        <v>44905</v>
      </c>
      <c r="O179" t="s">
        <v>44906</v>
      </c>
      <c r="P179">
        <v>0</v>
      </c>
      <c r="Q179">
        <v>0</v>
      </c>
      <c r="R179" t="s">
        <v>44907</v>
      </c>
      <c r="S179" t="s">
        <v>45026</v>
      </c>
      <c r="T179" t="s">
        <v>46433</v>
      </c>
      <c r="U179" t="s">
        <v>47043</v>
      </c>
      <c r="W179" t="s">
        <v>41018</v>
      </c>
      <c r="X179" t="s">
        <v>44909</v>
      </c>
    </row>
    <row r="180" spans="1:24">
      <c r="A180">
        <f>HYPERLINK("https://www.philgeps.gov.ph/GEPSNONPILOT/Tender/SplashBidNoticeAbstractUI.aspx?menuIndex=3&amp;refID=7079655&amp;Result=3","7079655")</f>
        <v>0</v>
      </c>
      <c r="B180" t="s">
        <v>95</v>
      </c>
      <c r="C180" t="s">
        <v>3701</v>
      </c>
      <c r="D180" t="s">
        <v>18133</v>
      </c>
      <c r="E180" t="s">
        <v>18375</v>
      </c>
      <c r="F180" t="s">
        <v>31362</v>
      </c>
      <c r="G180" t="s">
        <v>31368</v>
      </c>
      <c r="H180" t="s">
        <v>15799</v>
      </c>
      <c r="I180" t="s">
        <v>3815</v>
      </c>
      <c r="J180" t="s">
        <v>31564</v>
      </c>
      <c r="K180" t="s">
        <v>40672</v>
      </c>
      <c r="M180" t="s">
        <v>41032</v>
      </c>
      <c r="N180" t="s">
        <v>44905</v>
      </c>
      <c r="O180" t="s">
        <v>44906</v>
      </c>
      <c r="P180">
        <v>0</v>
      </c>
      <c r="Q180">
        <v>0</v>
      </c>
      <c r="R180" t="s">
        <v>44907</v>
      </c>
      <c r="S180" t="s">
        <v>45026</v>
      </c>
      <c r="T180" t="s">
        <v>46400</v>
      </c>
      <c r="U180" t="s">
        <v>47067</v>
      </c>
      <c r="W180" t="s">
        <v>41032</v>
      </c>
      <c r="X180" t="s">
        <v>44909</v>
      </c>
    </row>
    <row r="181" spans="1:24">
      <c r="A181">
        <f>HYPERLINK("https://www.philgeps.gov.ph/GEPSNONPILOT/Tender/SplashBidNoticeAbstractUI.aspx?menuIndex=3&amp;refID=7079685&amp;Result=3","7079685")</f>
        <v>0</v>
      </c>
      <c r="B181" t="s">
        <v>90</v>
      </c>
      <c r="C181" t="s">
        <v>3702</v>
      </c>
      <c r="E181" t="s">
        <v>18376</v>
      </c>
      <c r="F181" t="s">
        <v>31362</v>
      </c>
      <c r="G181" t="s">
        <v>31368</v>
      </c>
      <c r="H181" t="s">
        <v>15799</v>
      </c>
      <c r="I181" t="s">
        <v>4057</v>
      </c>
      <c r="J181" t="s">
        <v>31677</v>
      </c>
      <c r="K181" t="s">
        <v>40662</v>
      </c>
      <c r="M181" t="s">
        <v>41027</v>
      </c>
      <c r="N181" t="s">
        <v>44905</v>
      </c>
      <c r="O181" t="s">
        <v>44906</v>
      </c>
      <c r="P181">
        <v>0</v>
      </c>
      <c r="Q181">
        <v>1</v>
      </c>
      <c r="R181" t="s">
        <v>44907</v>
      </c>
      <c r="S181" t="s">
        <v>45026</v>
      </c>
      <c r="T181" t="s">
        <v>46438</v>
      </c>
      <c r="U181" t="s">
        <v>47068</v>
      </c>
      <c r="W181" t="s">
        <v>41027</v>
      </c>
      <c r="X181" t="s">
        <v>44909</v>
      </c>
    </row>
    <row r="182" spans="1:24">
      <c r="A182">
        <f>HYPERLINK("https://www.philgeps.gov.ph/GEPSNONPILOT/Tender/SplashBidNoticeAbstractUI.aspx?menuIndex=3&amp;refID=7079927&amp;Result=3","7079927")</f>
        <v>0</v>
      </c>
      <c r="B182" t="s">
        <v>96</v>
      </c>
      <c r="C182" t="s">
        <v>3703</v>
      </c>
      <c r="D182" t="s">
        <v>18106</v>
      </c>
      <c r="E182" t="s">
        <v>18377</v>
      </c>
      <c r="F182" t="s">
        <v>31362</v>
      </c>
      <c r="G182" t="s">
        <v>31370</v>
      </c>
      <c r="H182" t="s">
        <v>15799</v>
      </c>
      <c r="I182" t="s">
        <v>3815</v>
      </c>
      <c r="J182" t="s">
        <v>31678</v>
      </c>
      <c r="K182" t="s">
        <v>40693</v>
      </c>
      <c r="M182" t="s">
        <v>41033</v>
      </c>
      <c r="N182" t="s">
        <v>44905</v>
      </c>
      <c r="O182" t="s">
        <v>44906</v>
      </c>
      <c r="P182">
        <v>0</v>
      </c>
      <c r="Q182">
        <v>0</v>
      </c>
      <c r="R182" t="s">
        <v>44907</v>
      </c>
      <c r="S182" t="s">
        <v>45026</v>
      </c>
      <c r="T182" t="s">
        <v>46414</v>
      </c>
      <c r="U182" t="s">
        <v>47069</v>
      </c>
      <c r="W182" t="s">
        <v>41033</v>
      </c>
      <c r="X182" t="s">
        <v>44909</v>
      </c>
    </row>
    <row r="183" spans="1:24">
      <c r="A183">
        <f>HYPERLINK("https://www.philgeps.gov.ph/GEPSNONPILOT/Tender/SplashBidNoticeAbstractUI.aspx?menuIndex=3&amp;refID=7079796&amp;Result=3","7079796")</f>
        <v>0</v>
      </c>
      <c r="B183" t="s">
        <v>59</v>
      </c>
      <c r="C183" t="s">
        <v>3704</v>
      </c>
      <c r="D183" t="s">
        <v>18122</v>
      </c>
      <c r="E183" t="s">
        <v>18378</v>
      </c>
      <c r="F183" t="s">
        <v>31362</v>
      </c>
      <c r="G183" t="s">
        <v>31369</v>
      </c>
      <c r="H183" t="s">
        <v>31378</v>
      </c>
      <c r="I183" t="s">
        <v>31386</v>
      </c>
      <c r="J183" t="s">
        <v>31679</v>
      </c>
      <c r="K183" t="s">
        <v>40686</v>
      </c>
      <c r="M183" t="s">
        <v>40994</v>
      </c>
      <c r="N183" t="s">
        <v>44905</v>
      </c>
      <c r="O183" t="s">
        <v>44906</v>
      </c>
      <c r="P183">
        <v>0</v>
      </c>
      <c r="Q183">
        <v>14</v>
      </c>
      <c r="R183" t="s">
        <v>44907</v>
      </c>
      <c r="S183" t="s">
        <v>45026</v>
      </c>
      <c r="T183" t="s">
        <v>46417</v>
      </c>
      <c r="U183" t="s">
        <v>47070</v>
      </c>
      <c r="W183" t="s">
        <v>40994</v>
      </c>
      <c r="X183" t="s">
        <v>44909</v>
      </c>
    </row>
    <row r="184" spans="1:24">
      <c r="A184">
        <f>HYPERLINK("https://www.philgeps.gov.ph/GEPSNONPILOT/Tender/SplashBidNoticeAbstractUI.aspx?menuIndex=3&amp;refID=7079777&amp;Result=3","7079777")</f>
        <v>0</v>
      </c>
      <c r="B184" t="s">
        <v>73</v>
      </c>
      <c r="C184" t="s">
        <v>3705</v>
      </c>
      <c r="D184" t="s">
        <v>18102</v>
      </c>
      <c r="E184" t="s">
        <v>18379</v>
      </c>
      <c r="F184" t="s">
        <v>31362</v>
      </c>
      <c r="G184" t="s">
        <v>31369</v>
      </c>
      <c r="H184" t="s">
        <v>31378</v>
      </c>
      <c r="I184" t="s">
        <v>31386</v>
      </c>
      <c r="J184" t="s">
        <v>31606</v>
      </c>
      <c r="K184" t="s">
        <v>40682</v>
      </c>
      <c r="M184" t="s">
        <v>41009</v>
      </c>
      <c r="N184" t="s">
        <v>44905</v>
      </c>
      <c r="O184" t="s">
        <v>44906</v>
      </c>
      <c r="P184">
        <v>0</v>
      </c>
      <c r="Q184">
        <v>0</v>
      </c>
      <c r="R184" t="s">
        <v>44907</v>
      </c>
      <c r="S184" t="s">
        <v>45026</v>
      </c>
      <c r="T184" t="s">
        <v>46429</v>
      </c>
      <c r="U184" t="s">
        <v>47071</v>
      </c>
      <c r="W184" t="s">
        <v>41009</v>
      </c>
      <c r="X184" t="s">
        <v>44909</v>
      </c>
    </row>
    <row r="185" spans="1:24">
      <c r="A185">
        <f>HYPERLINK("https://www.philgeps.gov.ph/GEPSNONPILOT/Tender/SplashBidNoticeAbstractUI.aspx?menuIndex=3&amp;refID=7079722&amp;Result=3","7079722")</f>
        <v>0</v>
      </c>
      <c r="B185" t="s">
        <v>93</v>
      </c>
      <c r="C185" t="s">
        <v>3706</v>
      </c>
      <c r="D185" t="s">
        <v>18108</v>
      </c>
      <c r="E185" t="s">
        <v>18380</v>
      </c>
      <c r="F185" t="s">
        <v>31362</v>
      </c>
      <c r="G185" t="s">
        <v>31368</v>
      </c>
      <c r="H185" t="s">
        <v>15799</v>
      </c>
      <c r="I185" t="s">
        <v>31387</v>
      </c>
      <c r="J185" t="s">
        <v>31680</v>
      </c>
      <c r="K185" t="s">
        <v>40662</v>
      </c>
      <c r="M185" t="s">
        <v>41030</v>
      </c>
      <c r="N185" t="s">
        <v>44905</v>
      </c>
      <c r="O185" t="s">
        <v>44906</v>
      </c>
      <c r="P185">
        <v>0</v>
      </c>
      <c r="Q185">
        <v>1</v>
      </c>
      <c r="R185" t="s">
        <v>44907</v>
      </c>
      <c r="S185" t="s">
        <v>45026</v>
      </c>
      <c r="T185" t="s">
        <v>46411</v>
      </c>
      <c r="U185" t="s">
        <v>47072</v>
      </c>
      <c r="V185" t="s">
        <v>59070</v>
      </c>
      <c r="W185" t="s">
        <v>41030</v>
      </c>
      <c r="X185" t="s">
        <v>44909</v>
      </c>
    </row>
    <row r="186" spans="1:24">
      <c r="A186">
        <f>HYPERLINK("https://www.philgeps.gov.ph/GEPSNONPILOT/Tender/SplashBidNoticeAbstractUI.aspx?menuIndex=3&amp;refID=7079800&amp;Result=3","7079800")</f>
        <v>0</v>
      </c>
      <c r="B186" t="s">
        <v>73</v>
      </c>
      <c r="C186" t="s">
        <v>3707</v>
      </c>
      <c r="D186" t="s">
        <v>18102</v>
      </c>
      <c r="E186" t="s">
        <v>18381</v>
      </c>
      <c r="F186" t="s">
        <v>31362</v>
      </c>
      <c r="G186" t="s">
        <v>31369</v>
      </c>
      <c r="H186" t="s">
        <v>31378</v>
      </c>
      <c r="I186" t="s">
        <v>31386</v>
      </c>
      <c r="J186" t="s">
        <v>31634</v>
      </c>
      <c r="K186" t="s">
        <v>40675</v>
      </c>
      <c r="M186" t="s">
        <v>41009</v>
      </c>
      <c r="N186" t="s">
        <v>44905</v>
      </c>
      <c r="O186" t="s">
        <v>44906</v>
      </c>
      <c r="P186">
        <v>0</v>
      </c>
      <c r="Q186">
        <v>0</v>
      </c>
      <c r="R186" t="s">
        <v>44907</v>
      </c>
      <c r="S186" t="s">
        <v>45026</v>
      </c>
      <c r="T186" t="s">
        <v>46429</v>
      </c>
      <c r="U186" t="s">
        <v>47073</v>
      </c>
      <c r="W186" t="s">
        <v>41009</v>
      </c>
      <c r="X186" t="s">
        <v>44909</v>
      </c>
    </row>
    <row r="187" spans="1:24">
      <c r="A187">
        <f>HYPERLINK("https://www.philgeps.gov.ph/GEPSNONPILOT/Tender/SplashBidNoticeAbstractUI.aspx?menuIndex=3&amp;refID=7079769&amp;Result=3","7079769")</f>
        <v>0</v>
      </c>
      <c r="B187" t="s">
        <v>90</v>
      </c>
      <c r="C187" t="s">
        <v>3708</v>
      </c>
      <c r="E187" t="s">
        <v>18382</v>
      </c>
      <c r="F187" t="s">
        <v>31362</v>
      </c>
      <c r="G187" t="s">
        <v>31368</v>
      </c>
      <c r="H187" t="s">
        <v>15799</v>
      </c>
      <c r="I187" t="s">
        <v>4057</v>
      </c>
      <c r="J187" t="s">
        <v>31681</v>
      </c>
      <c r="K187" t="s">
        <v>40662</v>
      </c>
      <c r="M187" t="s">
        <v>41027</v>
      </c>
      <c r="N187" t="s">
        <v>44905</v>
      </c>
      <c r="O187" t="s">
        <v>44906</v>
      </c>
      <c r="P187">
        <v>0</v>
      </c>
      <c r="Q187">
        <v>1</v>
      </c>
      <c r="R187" t="s">
        <v>44907</v>
      </c>
      <c r="S187" t="s">
        <v>45026</v>
      </c>
      <c r="T187" t="s">
        <v>46438</v>
      </c>
      <c r="U187" t="s">
        <v>47074</v>
      </c>
      <c r="W187" t="s">
        <v>41027</v>
      </c>
      <c r="X187" t="s">
        <v>44909</v>
      </c>
    </row>
    <row r="188" spans="1:24">
      <c r="A188">
        <f>HYPERLINK("https://www.philgeps.gov.ph/GEPSNONPILOT/Tender/SplashBidNoticeAbstractUI.aspx?menuIndex=3&amp;refID=7079789&amp;Result=3","7079789")</f>
        <v>0</v>
      </c>
      <c r="B188" t="s">
        <v>73</v>
      </c>
      <c r="C188" t="s">
        <v>3709</v>
      </c>
      <c r="D188" t="s">
        <v>18102</v>
      </c>
      <c r="E188" t="s">
        <v>18383</v>
      </c>
      <c r="F188" t="s">
        <v>31362</v>
      </c>
      <c r="G188" t="s">
        <v>31369</v>
      </c>
      <c r="H188" t="s">
        <v>31378</v>
      </c>
      <c r="I188" t="s">
        <v>31386</v>
      </c>
      <c r="J188" t="s">
        <v>31542</v>
      </c>
      <c r="K188" t="s">
        <v>40682</v>
      </c>
      <c r="M188" t="s">
        <v>41009</v>
      </c>
      <c r="N188" t="s">
        <v>44905</v>
      </c>
      <c r="O188" t="s">
        <v>44906</v>
      </c>
      <c r="P188">
        <v>0</v>
      </c>
      <c r="Q188">
        <v>0</v>
      </c>
      <c r="R188" t="s">
        <v>44907</v>
      </c>
      <c r="S188" t="s">
        <v>45026</v>
      </c>
      <c r="T188" t="s">
        <v>46429</v>
      </c>
      <c r="U188" t="s">
        <v>47075</v>
      </c>
      <c r="W188" t="s">
        <v>41009</v>
      </c>
      <c r="X188" t="s">
        <v>44909</v>
      </c>
    </row>
    <row r="189" spans="1:24">
      <c r="A189">
        <f>HYPERLINK("https://www.philgeps.gov.ph/GEPSNONPILOT/Tender/SplashBidNoticeAbstractUI.aspx?menuIndex=3&amp;refID=7079751&amp;Result=3","7079751")</f>
        <v>0</v>
      </c>
      <c r="B189" t="s">
        <v>93</v>
      </c>
      <c r="C189" t="s">
        <v>3710</v>
      </c>
      <c r="D189" t="s">
        <v>18108</v>
      </c>
      <c r="E189" t="s">
        <v>18384</v>
      </c>
      <c r="F189" t="s">
        <v>31362</v>
      </c>
      <c r="G189" t="s">
        <v>31368</v>
      </c>
      <c r="H189" t="s">
        <v>15799</v>
      </c>
      <c r="I189" t="s">
        <v>31419</v>
      </c>
      <c r="J189" t="s">
        <v>31682</v>
      </c>
      <c r="K189" t="s">
        <v>40662</v>
      </c>
      <c r="M189" t="s">
        <v>41030</v>
      </c>
      <c r="N189" t="s">
        <v>44905</v>
      </c>
      <c r="O189" t="s">
        <v>44906</v>
      </c>
      <c r="P189">
        <v>0</v>
      </c>
      <c r="Q189">
        <v>3</v>
      </c>
      <c r="R189" t="s">
        <v>44907</v>
      </c>
      <c r="S189" t="s">
        <v>45026</v>
      </c>
      <c r="T189" t="s">
        <v>46411</v>
      </c>
      <c r="U189" t="s">
        <v>47076</v>
      </c>
      <c r="V189" t="s">
        <v>59070</v>
      </c>
      <c r="W189" t="s">
        <v>41030</v>
      </c>
      <c r="X189" t="s">
        <v>44909</v>
      </c>
    </row>
    <row r="190" spans="1:24">
      <c r="A190">
        <f>HYPERLINK("https://www.philgeps.gov.ph/GEPSNONPILOT/Tender/SplashBidNoticeAbstractUI.aspx?menuIndex=3&amp;refID=7079747&amp;Result=3","7079747")</f>
        <v>0</v>
      </c>
      <c r="B190" t="s">
        <v>73</v>
      </c>
      <c r="C190" t="s">
        <v>3711</v>
      </c>
      <c r="D190" t="s">
        <v>18102</v>
      </c>
      <c r="E190" t="s">
        <v>18385</v>
      </c>
      <c r="F190" t="s">
        <v>31362</v>
      </c>
      <c r="G190" t="s">
        <v>31369</v>
      </c>
      <c r="H190" t="s">
        <v>31378</v>
      </c>
      <c r="I190" t="s">
        <v>31386</v>
      </c>
      <c r="J190" t="s">
        <v>31637</v>
      </c>
      <c r="K190" t="s">
        <v>40694</v>
      </c>
      <c r="M190" t="s">
        <v>41009</v>
      </c>
      <c r="N190" t="s">
        <v>44905</v>
      </c>
      <c r="O190" t="s">
        <v>44906</v>
      </c>
      <c r="P190">
        <v>0</v>
      </c>
      <c r="Q190">
        <v>0</v>
      </c>
      <c r="R190" t="s">
        <v>44907</v>
      </c>
      <c r="S190" t="s">
        <v>45026</v>
      </c>
      <c r="T190" t="s">
        <v>46429</v>
      </c>
      <c r="U190" t="s">
        <v>47077</v>
      </c>
      <c r="W190" t="s">
        <v>41009</v>
      </c>
      <c r="X190" t="s">
        <v>44909</v>
      </c>
    </row>
    <row r="191" spans="1:24">
      <c r="A191">
        <f>HYPERLINK("https://www.philgeps.gov.ph/GEPSNONPILOT/Tender/SplashBidNoticeAbstractUI.aspx?menuIndex=3&amp;refID=7080021&amp;Result=3","7080021")</f>
        <v>0</v>
      </c>
      <c r="B191" t="s">
        <v>97</v>
      </c>
      <c r="C191" t="s">
        <v>3712</v>
      </c>
      <c r="D191" t="s">
        <v>18108</v>
      </c>
      <c r="E191" t="s">
        <v>18386</v>
      </c>
      <c r="F191" t="s">
        <v>31362</v>
      </c>
      <c r="G191" t="s">
        <v>31369</v>
      </c>
      <c r="H191" t="s">
        <v>15799</v>
      </c>
      <c r="I191" t="s">
        <v>31420</v>
      </c>
      <c r="J191" t="s">
        <v>31683</v>
      </c>
      <c r="K191" t="s">
        <v>40662</v>
      </c>
      <c r="M191" t="s">
        <v>41034</v>
      </c>
      <c r="N191" t="s">
        <v>44905</v>
      </c>
      <c r="O191" t="s">
        <v>44906</v>
      </c>
      <c r="P191">
        <v>0</v>
      </c>
      <c r="Q191">
        <v>8</v>
      </c>
      <c r="R191" t="s">
        <v>44907</v>
      </c>
      <c r="S191" t="s">
        <v>45026</v>
      </c>
      <c r="T191" t="s">
        <v>46441</v>
      </c>
      <c r="U191" t="s">
        <v>47078</v>
      </c>
      <c r="W191" t="s">
        <v>41034</v>
      </c>
      <c r="X191" t="s">
        <v>44909</v>
      </c>
    </row>
    <row r="192" spans="1:24">
      <c r="A192">
        <f>HYPERLINK("https://www.philgeps.gov.ph/GEPSNONPILOT/Tender/SplashBidNoticeAbstractUI.aspx?menuIndex=3&amp;refID=7079773&amp;Result=3","7079773")</f>
        <v>0</v>
      </c>
      <c r="B192" t="s">
        <v>93</v>
      </c>
      <c r="C192" t="s">
        <v>3713</v>
      </c>
      <c r="D192" t="s">
        <v>18108</v>
      </c>
      <c r="E192" t="s">
        <v>18387</v>
      </c>
      <c r="F192" t="s">
        <v>31362</v>
      </c>
      <c r="G192" t="s">
        <v>31368</v>
      </c>
      <c r="H192" t="s">
        <v>15799</v>
      </c>
      <c r="I192" t="s">
        <v>31393</v>
      </c>
      <c r="J192" t="s">
        <v>31684</v>
      </c>
      <c r="K192" t="s">
        <v>40662</v>
      </c>
      <c r="M192" t="s">
        <v>41030</v>
      </c>
      <c r="N192" t="s">
        <v>44905</v>
      </c>
      <c r="O192" t="s">
        <v>44906</v>
      </c>
      <c r="P192">
        <v>0</v>
      </c>
      <c r="Q192">
        <v>6</v>
      </c>
      <c r="R192" t="s">
        <v>44907</v>
      </c>
      <c r="S192" t="s">
        <v>45026</v>
      </c>
      <c r="T192" t="s">
        <v>46411</v>
      </c>
      <c r="U192" t="s">
        <v>47079</v>
      </c>
      <c r="V192" t="s">
        <v>59070</v>
      </c>
      <c r="W192" t="s">
        <v>41030</v>
      </c>
      <c r="X192" t="s">
        <v>44909</v>
      </c>
    </row>
    <row r="193" spans="1:24">
      <c r="A193">
        <f>HYPERLINK("https://www.philgeps.gov.ph/GEPSNONPILOT/Tender/SplashBidNoticeAbstractUI.aspx?menuIndex=3&amp;refID=7079951&amp;Result=3","7079951")</f>
        <v>0</v>
      </c>
      <c r="B193" t="s">
        <v>49</v>
      </c>
      <c r="C193" t="s">
        <v>3572</v>
      </c>
      <c r="D193" t="s">
        <v>18108</v>
      </c>
      <c r="E193" t="s">
        <v>18388</v>
      </c>
      <c r="F193" t="s">
        <v>31362</v>
      </c>
      <c r="G193" t="s">
        <v>31369</v>
      </c>
      <c r="H193" t="s">
        <v>15799</v>
      </c>
      <c r="I193" t="s">
        <v>31393</v>
      </c>
      <c r="J193" t="s">
        <v>31685</v>
      </c>
      <c r="K193" t="s">
        <v>40662</v>
      </c>
      <c r="M193" t="s">
        <v>40983</v>
      </c>
      <c r="N193" t="s">
        <v>44905</v>
      </c>
      <c r="O193" t="s">
        <v>44906</v>
      </c>
      <c r="P193">
        <v>0</v>
      </c>
      <c r="Q193">
        <v>20</v>
      </c>
      <c r="R193" t="s">
        <v>44907</v>
      </c>
      <c r="S193" t="s">
        <v>45026</v>
      </c>
      <c r="T193" t="s">
        <v>46398</v>
      </c>
      <c r="U193" t="s">
        <v>46959</v>
      </c>
      <c r="W193" t="s">
        <v>40983</v>
      </c>
      <c r="X193" t="s">
        <v>44909</v>
      </c>
    </row>
    <row r="194" spans="1:24">
      <c r="A194">
        <f>HYPERLINK("https://www.philgeps.gov.ph/GEPSNONPILOT/Tender/SplashBidNoticeAbstractUI.aspx?menuIndex=3&amp;refID=7079932&amp;Result=3","7079932")</f>
        <v>0</v>
      </c>
      <c r="B194" t="s">
        <v>98</v>
      </c>
      <c r="C194" t="s">
        <v>3714</v>
      </c>
      <c r="D194" t="s">
        <v>18115</v>
      </c>
      <c r="E194" t="s">
        <v>18389</v>
      </c>
      <c r="F194" t="s">
        <v>31362</v>
      </c>
      <c r="G194" t="s">
        <v>31368</v>
      </c>
      <c r="H194" t="s">
        <v>15799</v>
      </c>
      <c r="I194" t="s">
        <v>3815</v>
      </c>
      <c r="J194" t="s">
        <v>31686</v>
      </c>
      <c r="K194" t="s">
        <v>40666</v>
      </c>
      <c r="M194" t="s">
        <v>41035</v>
      </c>
      <c r="N194" t="s">
        <v>44905</v>
      </c>
      <c r="O194" t="s">
        <v>44906</v>
      </c>
      <c r="P194">
        <v>0</v>
      </c>
      <c r="Q194">
        <v>0</v>
      </c>
      <c r="R194" t="s">
        <v>44907</v>
      </c>
      <c r="S194" t="s">
        <v>45026</v>
      </c>
      <c r="T194" t="s">
        <v>46435</v>
      </c>
      <c r="U194" t="s">
        <v>47080</v>
      </c>
      <c r="W194" t="s">
        <v>60835</v>
      </c>
      <c r="X194" t="s">
        <v>44909</v>
      </c>
    </row>
    <row r="195" spans="1:24">
      <c r="A195">
        <f>HYPERLINK("https://www.philgeps.gov.ph/GEPSNONPILOT/Tender/SplashBidNoticeAbstractUI.aspx?menuIndex=3&amp;refID=7079931&amp;Result=3","7079931")</f>
        <v>0</v>
      </c>
      <c r="B195" t="s">
        <v>99</v>
      </c>
      <c r="C195" t="s">
        <v>3715</v>
      </c>
      <c r="D195" t="s">
        <v>18127</v>
      </c>
      <c r="E195" t="s">
        <v>18390</v>
      </c>
      <c r="F195" t="s">
        <v>31362</v>
      </c>
      <c r="G195" t="s">
        <v>31372</v>
      </c>
      <c r="H195" t="s">
        <v>31378</v>
      </c>
      <c r="I195" t="s">
        <v>31386</v>
      </c>
      <c r="J195" t="s">
        <v>31687</v>
      </c>
      <c r="K195" t="s">
        <v>40665</v>
      </c>
      <c r="M195" t="s">
        <v>41036</v>
      </c>
      <c r="N195" t="s">
        <v>44905</v>
      </c>
      <c r="O195" t="s">
        <v>44906</v>
      </c>
      <c r="P195">
        <v>0</v>
      </c>
      <c r="Q195">
        <v>0</v>
      </c>
      <c r="R195" t="s">
        <v>44907</v>
      </c>
      <c r="S195" t="s">
        <v>45026</v>
      </c>
      <c r="T195" t="s">
        <v>46396</v>
      </c>
      <c r="U195" t="s">
        <v>47081</v>
      </c>
      <c r="W195" t="s">
        <v>41036</v>
      </c>
      <c r="X195" t="s">
        <v>44909</v>
      </c>
    </row>
    <row r="196" spans="1:24">
      <c r="A196">
        <f>HYPERLINK("https://www.philgeps.gov.ph/GEPSNONPILOT/Tender/SplashBidNoticeAbstractUI.aspx?menuIndex=3&amp;refID=7080172&amp;Result=3","7080172")</f>
        <v>0</v>
      </c>
      <c r="B196" t="s">
        <v>73</v>
      </c>
      <c r="C196" t="s">
        <v>3716</v>
      </c>
      <c r="D196" t="s">
        <v>18102</v>
      </c>
      <c r="E196" t="s">
        <v>18391</v>
      </c>
      <c r="F196" t="s">
        <v>31362</v>
      </c>
      <c r="G196" t="s">
        <v>31369</v>
      </c>
      <c r="H196" t="s">
        <v>31378</v>
      </c>
      <c r="I196" t="s">
        <v>31386</v>
      </c>
      <c r="J196" t="s">
        <v>31606</v>
      </c>
      <c r="K196" t="s">
        <v>40682</v>
      </c>
      <c r="M196" t="s">
        <v>41009</v>
      </c>
      <c r="N196" t="s">
        <v>44905</v>
      </c>
      <c r="O196" t="s">
        <v>44906</v>
      </c>
      <c r="P196">
        <v>0</v>
      </c>
      <c r="Q196">
        <v>0</v>
      </c>
      <c r="R196" t="s">
        <v>44907</v>
      </c>
      <c r="S196" t="s">
        <v>45026</v>
      </c>
      <c r="T196" t="s">
        <v>46429</v>
      </c>
      <c r="U196" t="s">
        <v>47082</v>
      </c>
      <c r="W196" t="s">
        <v>41009</v>
      </c>
      <c r="X196" t="s">
        <v>44909</v>
      </c>
    </row>
    <row r="197" spans="1:24">
      <c r="A197">
        <f>HYPERLINK("https://www.philgeps.gov.ph/GEPSNONPILOT/Tender/SplashBidNoticeAbstractUI.aspx?menuIndex=3&amp;refID=7079818&amp;Result=3","7079818")</f>
        <v>0</v>
      </c>
      <c r="B197" t="s">
        <v>93</v>
      </c>
      <c r="C197" t="s">
        <v>3717</v>
      </c>
      <c r="D197" t="s">
        <v>18108</v>
      </c>
      <c r="E197" t="s">
        <v>18392</v>
      </c>
      <c r="F197" t="s">
        <v>31362</v>
      </c>
      <c r="G197" t="s">
        <v>31368</v>
      </c>
      <c r="H197" t="s">
        <v>15799</v>
      </c>
      <c r="I197" t="s">
        <v>31400</v>
      </c>
      <c r="J197" t="s">
        <v>31688</v>
      </c>
      <c r="K197" t="s">
        <v>40662</v>
      </c>
      <c r="M197" t="s">
        <v>41030</v>
      </c>
      <c r="N197" t="s">
        <v>44905</v>
      </c>
      <c r="O197" t="s">
        <v>44906</v>
      </c>
      <c r="P197">
        <v>0</v>
      </c>
      <c r="Q197">
        <v>3</v>
      </c>
      <c r="R197" t="s">
        <v>44907</v>
      </c>
      <c r="S197" t="s">
        <v>45026</v>
      </c>
      <c r="T197" t="s">
        <v>46411</v>
      </c>
      <c r="U197" t="s">
        <v>47083</v>
      </c>
      <c r="V197" t="s">
        <v>59070</v>
      </c>
      <c r="W197" t="s">
        <v>41030</v>
      </c>
      <c r="X197" t="s">
        <v>44909</v>
      </c>
    </row>
    <row r="198" spans="1:24">
      <c r="A198">
        <f>HYPERLINK("https://www.philgeps.gov.ph/GEPSNONPILOT/Tender/SplashBidNoticeAbstractUI.aspx?menuIndex=3&amp;refID=7079721&amp;Result=3","7079721")</f>
        <v>0</v>
      </c>
      <c r="B198" t="s">
        <v>90</v>
      </c>
      <c r="C198" t="s">
        <v>3718</v>
      </c>
      <c r="E198" t="s">
        <v>18393</v>
      </c>
      <c r="F198" t="s">
        <v>31362</v>
      </c>
      <c r="G198" t="s">
        <v>31368</v>
      </c>
      <c r="H198" t="s">
        <v>15799</v>
      </c>
      <c r="I198" t="s">
        <v>4057</v>
      </c>
      <c r="J198" t="s">
        <v>31689</v>
      </c>
      <c r="K198" t="s">
        <v>40662</v>
      </c>
      <c r="M198" t="s">
        <v>41027</v>
      </c>
      <c r="N198" t="s">
        <v>44905</v>
      </c>
      <c r="O198" t="s">
        <v>44906</v>
      </c>
      <c r="P198">
        <v>0</v>
      </c>
      <c r="Q198">
        <v>1</v>
      </c>
      <c r="R198" t="s">
        <v>44907</v>
      </c>
      <c r="S198" t="s">
        <v>45026</v>
      </c>
      <c r="T198" t="s">
        <v>46438</v>
      </c>
      <c r="U198" t="s">
        <v>47084</v>
      </c>
      <c r="W198" t="s">
        <v>41027</v>
      </c>
      <c r="X198" t="s">
        <v>44909</v>
      </c>
    </row>
    <row r="199" spans="1:24">
      <c r="A199">
        <f>HYPERLINK("https://www.philgeps.gov.ph/GEPSNONPILOT/Tender/SplashBidNoticeAbstractUI.aspx?menuIndex=3&amp;refID=7080580&amp;Result=3","7080580")</f>
        <v>0</v>
      </c>
      <c r="B199" t="s">
        <v>100</v>
      </c>
      <c r="C199" t="s">
        <v>3719</v>
      </c>
      <c r="E199" t="s">
        <v>18394</v>
      </c>
      <c r="F199" t="s">
        <v>31362</v>
      </c>
      <c r="G199" t="s">
        <v>31369</v>
      </c>
      <c r="H199" t="s">
        <v>31378</v>
      </c>
      <c r="I199" t="s">
        <v>31386</v>
      </c>
      <c r="J199" t="s">
        <v>31578</v>
      </c>
      <c r="K199" t="s">
        <v>40695</v>
      </c>
      <c r="M199" t="s">
        <v>41037</v>
      </c>
      <c r="N199" t="s">
        <v>44905</v>
      </c>
      <c r="O199" t="s">
        <v>44906</v>
      </c>
      <c r="P199">
        <v>0</v>
      </c>
      <c r="Q199">
        <v>0</v>
      </c>
      <c r="R199" t="s">
        <v>44907</v>
      </c>
      <c r="S199" t="s">
        <v>45026</v>
      </c>
      <c r="T199" t="s">
        <v>46442</v>
      </c>
      <c r="U199" t="s">
        <v>47085</v>
      </c>
      <c r="W199" t="s">
        <v>41037</v>
      </c>
      <c r="X199" t="s">
        <v>44909</v>
      </c>
    </row>
    <row r="200" spans="1:24">
      <c r="A200">
        <f>HYPERLINK("https://www.philgeps.gov.ph/GEPSNONPILOT/Tender/SplashBidNoticeAbstractUI.aspx?menuIndex=3&amp;refID=7079758&amp;Result=3","7079758")</f>
        <v>0</v>
      </c>
      <c r="B200" t="s">
        <v>73</v>
      </c>
      <c r="C200" t="s">
        <v>3720</v>
      </c>
      <c r="D200" t="s">
        <v>18102</v>
      </c>
      <c r="E200" t="s">
        <v>18395</v>
      </c>
      <c r="F200" t="s">
        <v>31362</v>
      </c>
      <c r="G200" t="s">
        <v>31369</v>
      </c>
      <c r="H200" t="s">
        <v>31378</v>
      </c>
      <c r="I200" t="s">
        <v>31386</v>
      </c>
      <c r="J200" t="s">
        <v>31637</v>
      </c>
      <c r="K200" t="s">
        <v>40694</v>
      </c>
      <c r="M200" t="s">
        <v>41009</v>
      </c>
      <c r="N200" t="s">
        <v>44905</v>
      </c>
      <c r="O200" t="s">
        <v>44906</v>
      </c>
      <c r="P200">
        <v>0</v>
      </c>
      <c r="Q200">
        <v>0</v>
      </c>
      <c r="R200" t="s">
        <v>44907</v>
      </c>
      <c r="S200" t="s">
        <v>45026</v>
      </c>
      <c r="T200" t="s">
        <v>46429</v>
      </c>
      <c r="U200" t="s">
        <v>47086</v>
      </c>
      <c r="W200" t="s">
        <v>41009</v>
      </c>
      <c r="X200" t="s">
        <v>44909</v>
      </c>
    </row>
    <row r="201" spans="1:24">
      <c r="A201">
        <f>HYPERLINK("https://www.philgeps.gov.ph/GEPSNONPILOT/Tender/SplashBidNoticeAbstractUI.aspx?menuIndex=3&amp;refID=7079744&amp;Result=3","7079744")</f>
        <v>0</v>
      </c>
      <c r="B201" t="s">
        <v>90</v>
      </c>
      <c r="C201" t="s">
        <v>3721</v>
      </c>
      <c r="E201" t="s">
        <v>18396</v>
      </c>
      <c r="F201" t="s">
        <v>31362</v>
      </c>
      <c r="G201" t="s">
        <v>31368</v>
      </c>
      <c r="H201" t="s">
        <v>15799</v>
      </c>
      <c r="I201" t="s">
        <v>4057</v>
      </c>
      <c r="J201" t="s">
        <v>31690</v>
      </c>
      <c r="K201" t="s">
        <v>40662</v>
      </c>
      <c r="M201" t="s">
        <v>41027</v>
      </c>
      <c r="N201" t="s">
        <v>44905</v>
      </c>
      <c r="O201" t="s">
        <v>44906</v>
      </c>
      <c r="P201">
        <v>0</v>
      </c>
      <c r="Q201">
        <v>1</v>
      </c>
      <c r="R201" t="s">
        <v>44907</v>
      </c>
      <c r="S201" t="s">
        <v>45026</v>
      </c>
      <c r="T201" t="s">
        <v>46438</v>
      </c>
      <c r="U201" t="s">
        <v>47087</v>
      </c>
      <c r="W201" t="s">
        <v>41027</v>
      </c>
      <c r="X201" t="s">
        <v>44909</v>
      </c>
    </row>
    <row r="202" spans="1:24">
      <c r="A202">
        <f>HYPERLINK("https://www.philgeps.gov.ph/GEPSNONPILOT/Tender/SplashBidNoticeAbstractUI.aspx?menuIndex=3&amp;refID=7080503&amp;Result=3","7080503")</f>
        <v>0</v>
      </c>
      <c r="B202" t="s">
        <v>101</v>
      </c>
      <c r="C202" t="s">
        <v>3722</v>
      </c>
      <c r="E202" t="s">
        <v>18397</v>
      </c>
      <c r="F202" t="s">
        <v>31365</v>
      </c>
      <c r="G202" t="s">
        <v>31369</v>
      </c>
      <c r="H202" t="s">
        <v>31378</v>
      </c>
      <c r="I202" t="s">
        <v>31386</v>
      </c>
      <c r="J202" t="s">
        <v>31691</v>
      </c>
      <c r="K202" t="s">
        <v>40662</v>
      </c>
      <c r="M202" t="s">
        <v>41038</v>
      </c>
      <c r="N202" t="s">
        <v>44905</v>
      </c>
      <c r="O202" t="s">
        <v>44906</v>
      </c>
      <c r="P202">
        <v>0</v>
      </c>
      <c r="Q202">
        <v>1</v>
      </c>
      <c r="R202" t="s">
        <v>44907</v>
      </c>
      <c r="S202" t="s">
        <v>45026</v>
      </c>
      <c r="T202" t="s">
        <v>46420</v>
      </c>
      <c r="U202" t="s">
        <v>47088</v>
      </c>
      <c r="W202" t="s">
        <v>41038</v>
      </c>
      <c r="X202" t="s">
        <v>44909</v>
      </c>
    </row>
    <row r="203" spans="1:24">
      <c r="A203">
        <f>HYPERLINK("https://www.philgeps.gov.ph/GEPSNONPILOT/Tender/SplashBidNoticeAbstractUI.aspx?menuIndex=3&amp;refID=7080155&amp;Result=3","7080155")</f>
        <v>0</v>
      </c>
      <c r="B203" t="s">
        <v>73</v>
      </c>
      <c r="C203" t="s">
        <v>3723</v>
      </c>
      <c r="D203" t="s">
        <v>18102</v>
      </c>
      <c r="E203" t="s">
        <v>18398</v>
      </c>
      <c r="F203" t="s">
        <v>31362</v>
      </c>
      <c r="G203" t="s">
        <v>31369</v>
      </c>
      <c r="H203" t="s">
        <v>31378</v>
      </c>
      <c r="I203" t="s">
        <v>31386</v>
      </c>
      <c r="J203" t="s">
        <v>31606</v>
      </c>
      <c r="K203" t="s">
        <v>40682</v>
      </c>
      <c r="M203" t="s">
        <v>41009</v>
      </c>
      <c r="N203" t="s">
        <v>44905</v>
      </c>
      <c r="O203" t="s">
        <v>44906</v>
      </c>
      <c r="P203">
        <v>0</v>
      </c>
      <c r="Q203">
        <v>0</v>
      </c>
      <c r="R203" t="s">
        <v>44907</v>
      </c>
      <c r="S203" t="s">
        <v>45026</v>
      </c>
      <c r="T203" t="s">
        <v>46429</v>
      </c>
      <c r="U203" t="s">
        <v>47089</v>
      </c>
      <c r="W203" t="s">
        <v>41009</v>
      </c>
      <c r="X203" t="s">
        <v>44909</v>
      </c>
    </row>
    <row r="204" spans="1:24">
      <c r="A204">
        <f>HYPERLINK("https://www.philgeps.gov.ph/GEPSNONPILOT/Tender/SplashBidNoticeAbstractUI.aspx?menuIndex=3&amp;refID=7080315&amp;Result=3","7080315")</f>
        <v>0</v>
      </c>
      <c r="B204" t="s">
        <v>102</v>
      </c>
      <c r="C204" t="s">
        <v>3724</v>
      </c>
      <c r="D204" t="s">
        <v>18133</v>
      </c>
      <c r="E204" t="s">
        <v>18399</v>
      </c>
      <c r="F204" t="s">
        <v>31362</v>
      </c>
      <c r="G204" t="s">
        <v>31368</v>
      </c>
      <c r="H204" t="s">
        <v>15799</v>
      </c>
      <c r="I204" t="s">
        <v>3815</v>
      </c>
      <c r="J204" t="s">
        <v>31604</v>
      </c>
      <c r="K204" t="s">
        <v>40661</v>
      </c>
      <c r="M204" t="s">
        <v>41039</v>
      </c>
      <c r="N204" t="s">
        <v>44905</v>
      </c>
      <c r="O204" t="s">
        <v>44906</v>
      </c>
      <c r="P204">
        <v>0</v>
      </c>
      <c r="Q204">
        <v>0</v>
      </c>
      <c r="R204" t="s">
        <v>44907</v>
      </c>
      <c r="S204" t="s">
        <v>45026</v>
      </c>
      <c r="T204" t="s">
        <v>46443</v>
      </c>
      <c r="U204" t="s">
        <v>47090</v>
      </c>
      <c r="W204" t="s">
        <v>41039</v>
      </c>
      <c r="X204" t="s">
        <v>44909</v>
      </c>
    </row>
    <row r="205" spans="1:24">
      <c r="A205">
        <f>HYPERLINK("https://www.philgeps.gov.ph/GEPSNONPILOT/Tender/SplashBidNoticeAbstractUI.aspx?menuIndex=3&amp;refID=7080784&amp;Result=3","7080784")</f>
        <v>0</v>
      </c>
      <c r="B205" t="s">
        <v>103</v>
      </c>
      <c r="C205" t="s">
        <v>3725</v>
      </c>
      <c r="D205" t="s">
        <v>18137</v>
      </c>
      <c r="E205" t="s">
        <v>18400</v>
      </c>
      <c r="F205" t="s">
        <v>31362</v>
      </c>
      <c r="G205" t="s">
        <v>31369</v>
      </c>
      <c r="H205" t="s">
        <v>31378</v>
      </c>
      <c r="I205" t="s">
        <v>31386</v>
      </c>
      <c r="J205" t="s">
        <v>31692</v>
      </c>
      <c r="K205" t="s">
        <v>40692</v>
      </c>
      <c r="M205" t="s">
        <v>41040</v>
      </c>
      <c r="N205" t="s">
        <v>44905</v>
      </c>
      <c r="O205" t="s">
        <v>44906</v>
      </c>
      <c r="P205">
        <v>0</v>
      </c>
      <c r="Q205">
        <v>0</v>
      </c>
      <c r="R205" t="s">
        <v>44907</v>
      </c>
      <c r="S205" t="s">
        <v>45026</v>
      </c>
      <c r="T205" t="s">
        <v>46401</v>
      </c>
      <c r="U205" t="s">
        <v>47091</v>
      </c>
      <c r="W205" t="s">
        <v>41040</v>
      </c>
      <c r="X205" t="s">
        <v>44909</v>
      </c>
    </row>
    <row r="206" spans="1:24">
      <c r="A206">
        <f>HYPERLINK("https://www.philgeps.gov.ph/GEPSNONPILOT/Tender/SplashBidNoticeAbstractUI.aspx?menuIndex=3&amp;refID=7080715&amp;Result=3","7080715")</f>
        <v>0</v>
      </c>
      <c r="B206" t="s">
        <v>73</v>
      </c>
      <c r="C206" t="s">
        <v>3726</v>
      </c>
      <c r="D206" t="s">
        <v>18102</v>
      </c>
      <c r="E206" t="s">
        <v>18401</v>
      </c>
      <c r="F206" t="s">
        <v>31362</v>
      </c>
      <c r="G206" t="s">
        <v>31369</v>
      </c>
      <c r="H206" t="s">
        <v>15799</v>
      </c>
      <c r="I206" t="s">
        <v>31409</v>
      </c>
      <c r="J206" t="s">
        <v>31693</v>
      </c>
      <c r="K206" t="s">
        <v>40666</v>
      </c>
      <c r="M206" t="s">
        <v>41009</v>
      </c>
      <c r="N206" t="s">
        <v>44905</v>
      </c>
      <c r="O206" t="s">
        <v>44906</v>
      </c>
      <c r="P206">
        <v>0</v>
      </c>
      <c r="Q206">
        <v>5</v>
      </c>
      <c r="R206" t="s">
        <v>44907</v>
      </c>
      <c r="S206" t="s">
        <v>45026</v>
      </c>
      <c r="T206" t="s">
        <v>46429</v>
      </c>
      <c r="U206" t="s">
        <v>47092</v>
      </c>
      <c r="W206" t="s">
        <v>41009</v>
      </c>
      <c r="X206" t="s">
        <v>44909</v>
      </c>
    </row>
    <row r="207" spans="1:24">
      <c r="A207">
        <f>HYPERLINK("https://www.philgeps.gov.ph/GEPSNONPILOT/Tender/SplashBidNoticeAbstractUI.aspx?menuIndex=3&amp;refID=7080714&amp;Result=3","7080714")</f>
        <v>0</v>
      </c>
      <c r="B207" t="s">
        <v>104</v>
      </c>
      <c r="C207" t="s">
        <v>3727</v>
      </c>
      <c r="D207" t="s">
        <v>18127</v>
      </c>
      <c r="E207" t="s">
        <v>18402</v>
      </c>
      <c r="F207" t="s">
        <v>31362</v>
      </c>
      <c r="G207" t="s">
        <v>31368</v>
      </c>
      <c r="H207" t="s">
        <v>31378</v>
      </c>
      <c r="I207" t="s">
        <v>31386</v>
      </c>
      <c r="J207" t="s">
        <v>31694</v>
      </c>
      <c r="K207" t="s">
        <v>40675</v>
      </c>
      <c r="M207" t="s">
        <v>41041</v>
      </c>
      <c r="N207" t="s">
        <v>44905</v>
      </c>
      <c r="O207" t="s">
        <v>44906</v>
      </c>
      <c r="P207">
        <v>0</v>
      </c>
      <c r="Q207">
        <v>0</v>
      </c>
      <c r="R207" t="s">
        <v>44907</v>
      </c>
      <c r="S207" t="s">
        <v>45026</v>
      </c>
      <c r="T207" t="s">
        <v>46444</v>
      </c>
      <c r="U207" t="s">
        <v>47093</v>
      </c>
      <c r="W207" t="s">
        <v>41041</v>
      </c>
      <c r="X207" t="s">
        <v>44909</v>
      </c>
    </row>
    <row r="208" spans="1:24">
      <c r="A208">
        <f>HYPERLINK("https://www.philgeps.gov.ph/GEPSNONPILOT/Tender/SplashBidNoticeAbstractUI.aspx?menuIndex=3&amp;refID=7080713&amp;Result=3","7080713")</f>
        <v>0</v>
      </c>
      <c r="B208" t="s">
        <v>105</v>
      </c>
      <c r="C208" t="s">
        <v>3728</v>
      </c>
      <c r="D208" t="s">
        <v>18110</v>
      </c>
      <c r="E208" t="s">
        <v>18403</v>
      </c>
      <c r="F208" t="s">
        <v>31362</v>
      </c>
      <c r="G208" t="s">
        <v>31369</v>
      </c>
      <c r="H208" t="s">
        <v>15799</v>
      </c>
      <c r="I208" t="s">
        <v>31411</v>
      </c>
      <c r="J208" t="s">
        <v>31695</v>
      </c>
      <c r="K208" t="s">
        <v>40696</v>
      </c>
      <c r="M208" t="s">
        <v>41042</v>
      </c>
      <c r="N208" t="s">
        <v>44905</v>
      </c>
      <c r="O208" t="s">
        <v>44906</v>
      </c>
      <c r="P208">
        <v>0</v>
      </c>
      <c r="Q208">
        <v>6</v>
      </c>
      <c r="R208" t="s">
        <v>44907</v>
      </c>
      <c r="S208" t="s">
        <v>45026</v>
      </c>
      <c r="T208" t="s">
        <v>46431</v>
      </c>
      <c r="U208" t="s">
        <v>47094</v>
      </c>
      <c r="W208" t="s">
        <v>41042</v>
      </c>
      <c r="X208" t="s">
        <v>44909</v>
      </c>
    </row>
    <row r="209" spans="1:24">
      <c r="A209">
        <f>HYPERLINK("https://www.philgeps.gov.ph/GEPSNONPILOT/Tender/SplashBidNoticeAbstractUI.aspx?menuIndex=3&amp;refID=7080702&amp;Result=3","7080702")</f>
        <v>0</v>
      </c>
      <c r="B209" t="s">
        <v>106</v>
      </c>
      <c r="C209" t="s">
        <v>3729</v>
      </c>
      <c r="D209" t="s">
        <v>18131</v>
      </c>
      <c r="E209" t="s">
        <v>18404</v>
      </c>
      <c r="F209" t="s">
        <v>31362</v>
      </c>
      <c r="G209" t="s">
        <v>31369</v>
      </c>
      <c r="H209" t="s">
        <v>31378</v>
      </c>
      <c r="I209" t="s">
        <v>31386</v>
      </c>
      <c r="J209" t="s">
        <v>31696</v>
      </c>
      <c r="K209" t="s">
        <v>40678</v>
      </c>
      <c r="M209" t="s">
        <v>41043</v>
      </c>
      <c r="N209" t="s">
        <v>44905</v>
      </c>
      <c r="O209" t="s">
        <v>44906</v>
      </c>
      <c r="P209">
        <v>0</v>
      </c>
      <c r="Q209">
        <v>6</v>
      </c>
      <c r="R209" t="s">
        <v>44907</v>
      </c>
      <c r="S209" t="s">
        <v>45026</v>
      </c>
      <c r="T209" t="s">
        <v>46401</v>
      </c>
      <c r="U209" t="s">
        <v>47095</v>
      </c>
      <c r="W209" t="s">
        <v>41043</v>
      </c>
      <c r="X209" t="s">
        <v>44909</v>
      </c>
    </row>
    <row r="210" spans="1:24">
      <c r="A210">
        <f>HYPERLINK("https://www.philgeps.gov.ph/GEPSNONPILOT/Tender/SplashBidNoticeAbstractUI.aspx?menuIndex=3&amp;refID=7080638&amp;Result=3","7080638")</f>
        <v>0</v>
      </c>
      <c r="B210" t="s">
        <v>107</v>
      </c>
      <c r="C210" t="s">
        <v>3730</v>
      </c>
      <c r="D210" t="s">
        <v>18138</v>
      </c>
      <c r="E210" t="s">
        <v>18405</v>
      </c>
      <c r="F210" t="s">
        <v>31362</v>
      </c>
      <c r="G210" t="s">
        <v>31368</v>
      </c>
      <c r="H210" t="s">
        <v>15799</v>
      </c>
      <c r="I210" t="s">
        <v>31385</v>
      </c>
      <c r="J210" t="s">
        <v>31530</v>
      </c>
      <c r="K210" t="s">
        <v>40697</v>
      </c>
      <c r="M210" t="s">
        <v>41044</v>
      </c>
      <c r="N210" t="s">
        <v>44905</v>
      </c>
      <c r="O210" t="s">
        <v>44906</v>
      </c>
      <c r="P210">
        <v>0</v>
      </c>
      <c r="Q210">
        <v>0</v>
      </c>
      <c r="R210" t="s">
        <v>44907</v>
      </c>
      <c r="S210" t="s">
        <v>45026</v>
      </c>
      <c r="T210" t="s">
        <v>46445</v>
      </c>
      <c r="U210" t="s">
        <v>47096</v>
      </c>
      <c r="V210" t="s">
        <v>59071</v>
      </c>
      <c r="W210" t="s">
        <v>41044</v>
      </c>
      <c r="X210" t="s">
        <v>44909</v>
      </c>
    </row>
    <row r="211" spans="1:24">
      <c r="A211">
        <f>HYPERLINK("https://www.philgeps.gov.ph/GEPSNONPILOT/Tender/SplashBidNoticeAbstractUI.aspx?menuIndex=3&amp;refID=7080232&amp;Result=3","7080232")</f>
        <v>0</v>
      </c>
      <c r="B211" t="s">
        <v>108</v>
      </c>
      <c r="C211" t="s">
        <v>3731</v>
      </c>
      <c r="D211" t="s">
        <v>18139</v>
      </c>
      <c r="E211" t="s">
        <v>18406</v>
      </c>
      <c r="F211" t="s">
        <v>31362</v>
      </c>
      <c r="G211" t="s">
        <v>31368</v>
      </c>
      <c r="H211" t="s">
        <v>15799</v>
      </c>
      <c r="I211" t="s">
        <v>31404</v>
      </c>
      <c r="J211" t="s">
        <v>31531</v>
      </c>
      <c r="K211" t="s">
        <v>40679</v>
      </c>
      <c r="M211" t="s">
        <v>41045</v>
      </c>
      <c r="N211" t="s">
        <v>44905</v>
      </c>
      <c r="O211" t="s">
        <v>44906</v>
      </c>
      <c r="P211">
        <v>0</v>
      </c>
      <c r="Q211">
        <v>0</v>
      </c>
      <c r="R211" t="s">
        <v>44907</v>
      </c>
      <c r="S211" t="s">
        <v>45026</v>
      </c>
      <c r="T211" t="s">
        <v>46409</v>
      </c>
      <c r="U211" t="s">
        <v>47097</v>
      </c>
      <c r="V211" t="s">
        <v>59072</v>
      </c>
      <c r="W211" t="s">
        <v>41045</v>
      </c>
      <c r="X211" t="s">
        <v>44909</v>
      </c>
    </row>
    <row r="212" spans="1:24">
      <c r="A212">
        <f>HYPERLINK("https://www.philgeps.gov.ph/GEPSNONPILOT/Tender/SplashBidNoticeAbstractUI.aspx?menuIndex=3&amp;refID=7080505&amp;Result=3","7080505")</f>
        <v>0</v>
      </c>
      <c r="B212" t="s">
        <v>105</v>
      </c>
      <c r="C212" t="s">
        <v>3732</v>
      </c>
      <c r="D212" t="s">
        <v>18110</v>
      </c>
      <c r="E212" t="s">
        <v>18407</v>
      </c>
      <c r="F212" t="s">
        <v>31362</v>
      </c>
      <c r="G212" t="s">
        <v>31369</v>
      </c>
      <c r="H212" t="s">
        <v>15799</v>
      </c>
      <c r="I212" t="s">
        <v>31411</v>
      </c>
      <c r="J212" t="s">
        <v>31697</v>
      </c>
      <c r="K212" t="s">
        <v>40665</v>
      </c>
      <c r="M212" t="s">
        <v>41042</v>
      </c>
      <c r="N212" t="s">
        <v>44905</v>
      </c>
      <c r="O212" t="s">
        <v>44906</v>
      </c>
      <c r="P212">
        <v>0</v>
      </c>
      <c r="Q212">
        <v>3</v>
      </c>
      <c r="R212" t="s">
        <v>44907</v>
      </c>
      <c r="S212" t="s">
        <v>45026</v>
      </c>
      <c r="T212" t="s">
        <v>46431</v>
      </c>
      <c r="U212" t="s">
        <v>47098</v>
      </c>
      <c r="W212" t="s">
        <v>41042</v>
      </c>
      <c r="X212" t="s">
        <v>44909</v>
      </c>
    </row>
    <row r="213" spans="1:24">
      <c r="A213">
        <f>HYPERLINK("https://www.philgeps.gov.ph/GEPSNONPILOT/Tender/SplashBidNoticeAbstractUI.aspx?menuIndex=3&amp;refID=7080501&amp;Result=3","7080501")</f>
        <v>0</v>
      </c>
      <c r="B213" t="s">
        <v>109</v>
      </c>
      <c r="C213" t="s">
        <v>3733</v>
      </c>
      <c r="D213" t="s">
        <v>18140</v>
      </c>
      <c r="E213" t="s">
        <v>18408</v>
      </c>
      <c r="F213" t="s">
        <v>31362</v>
      </c>
      <c r="G213" t="s">
        <v>31368</v>
      </c>
      <c r="H213" t="s">
        <v>31377</v>
      </c>
      <c r="I213" t="s">
        <v>31377</v>
      </c>
      <c r="J213" t="s">
        <v>31698</v>
      </c>
      <c r="K213" t="s">
        <v>40667</v>
      </c>
      <c r="M213" t="s">
        <v>41046</v>
      </c>
      <c r="N213" t="s">
        <v>44905</v>
      </c>
      <c r="O213" t="s">
        <v>44906</v>
      </c>
      <c r="P213">
        <v>0</v>
      </c>
      <c r="Q213">
        <v>0</v>
      </c>
      <c r="R213" t="s">
        <v>44907</v>
      </c>
      <c r="S213" t="s">
        <v>45026</v>
      </c>
      <c r="T213" t="s">
        <v>46446</v>
      </c>
      <c r="U213" t="s">
        <v>47099</v>
      </c>
      <c r="W213" t="s">
        <v>41046</v>
      </c>
      <c r="X213" t="s">
        <v>44909</v>
      </c>
    </row>
    <row r="214" spans="1:24">
      <c r="A214">
        <f>HYPERLINK("https://www.philgeps.gov.ph/GEPSNONPILOT/Tender/SplashBidNoticeAbstractUI.aspx?menuIndex=3&amp;refID=7080339&amp;Result=3","7080339")</f>
        <v>0</v>
      </c>
      <c r="B214" t="s">
        <v>95</v>
      </c>
      <c r="C214" t="s">
        <v>3734</v>
      </c>
      <c r="D214" t="s">
        <v>18133</v>
      </c>
      <c r="E214" t="s">
        <v>18409</v>
      </c>
      <c r="F214" t="s">
        <v>31362</v>
      </c>
      <c r="G214" t="s">
        <v>31368</v>
      </c>
      <c r="H214" t="s">
        <v>15799</v>
      </c>
      <c r="I214" t="s">
        <v>3815</v>
      </c>
      <c r="J214" t="s">
        <v>31564</v>
      </c>
      <c r="K214" t="s">
        <v>40672</v>
      </c>
      <c r="M214" t="s">
        <v>41032</v>
      </c>
      <c r="N214" t="s">
        <v>44905</v>
      </c>
      <c r="O214" t="s">
        <v>44906</v>
      </c>
      <c r="P214">
        <v>0</v>
      </c>
      <c r="Q214">
        <v>0</v>
      </c>
      <c r="R214" t="s">
        <v>44907</v>
      </c>
      <c r="S214" t="s">
        <v>45026</v>
      </c>
      <c r="T214" t="s">
        <v>46400</v>
      </c>
      <c r="U214" t="s">
        <v>47100</v>
      </c>
      <c r="W214" t="s">
        <v>41032</v>
      </c>
      <c r="X214" t="s">
        <v>44909</v>
      </c>
    </row>
    <row r="215" spans="1:24">
      <c r="A215">
        <f>HYPERLINK("https://www.philgeps.gov.ph/GEPSNONPILOT/Tender/SplashBidNoticeAbstractUI.aspx?menuIndex=3&amp;refID=7080214&amp;Result=3","7080214")</f>
        <v>0</v>
      </c>
      <c r="B215" t="s">
        <v>108</v>
      </c>
      <c r="C215" t="s">
        <v>3735</v>
      </c>
      <c r="D215" t="s">
        <v>18139</v>
      </c>
      <c r="E215" t="s">
        <v>18410</v>
      </c>
      <c r="F215" t="s">
        <v>31362</v>
      </c>
      <c r="G215" t="s">
        <v>31368</v>
      </c>
      <c r="H215" t="s">
        <v>15799</v>
      </c>
      <c r="I215" t="s">
        <v>31414</v>
      </c>
      <c r="J215" t="s">
        <v>31699</v>
      </c>
      <c r="K215" t="s">
        <v>40665</v>
      </c>
      <c r="M215" t="s">
        <v>41045</v>
      </c>
      <c r="N215" t="s">
        <v>44905</v>
      </c>
      <c r="O215" t="s">
        <v>44906</v>
      </c>
      <c r="P215">
        <v>0</v>
      </c>
      <c r="Q215">
        <v>0</v>
      </c>
      <c r="R215" t="s">
        <v>44907</v>
      </c>
      <c r="S215" t="s">
        <v>45026</v>
      </c>
      <c r="T215" t="s">
        <v>46409</v>
      </c>
      <c r="U215" t="s">
        <v>47101</v>
      </c>
      <c r="V215" t="s">
        <v>59072</v>
      </c>
      <c r="W215" t="s">
        <v>41045</v>
      </c>
      <c r="X215" t="s">
        <v>44909</v>
      </c>
    </row>
    <row r="216" spans="1:24">
      <c r="A216">
        <f>HYPERLINK("https://www.philgeps.gov.ph/GEPSNONPILOT/Tender/SplashBidNoticeAbstractUI.aspx?menuIndex=3&amp;refID=7080833&amp;Result=3","7080833")</f>
        <v>0</v>
      </c>
      <c r="B216" t="s">
        <v>110</v>
      </c>
      <c r="C216" t="s">
        <v>3736</v>
      </c>
      <c r="D216" t="s">
        <v>18119</v>
      </c>
      <c r="E216" t="s">
        <v>18411</v>
      </c>
      <c r="F216" t="s">
        <v>31362</v>
      </c>
      <c r="G216" t="s">
        <v>31368</v>
      </c>
      <c r="H216" t="s">
        <v>15799</v>
      </c>
      <c r="I216" t="s">
        <v>13635</v>
      </c>
      <c r="J216" t="s">
        <v>31700</v>
      </c>
      <c r="K216" t="s">
        <v>40670</v>
      </c>
      <c r="M216" t="s">
        <v>41047</v>
      </c>
      <c r="N216" t="s">
        <v>44905</v>
      </c>
      <c r="O216" t="s">
        <v>44906</v>
      </c>
      <c r="P216">
        <v>0</v>
      </c>
      <c r="Q216">
        <v>0</v>
      </c>
      <c r="R216" t="s">
        <v>44907</v>
      </c>
      <c r="S216" t="s">
        <v>45026</v>
      </c>
      <c r="T216" t="s">
        <v>46447</v>
      </c>
      <c r="U216" t="s">
        <v>47102</v>
      </c>
      <c r="W216" t="s">
        <v>41047</v>
      </c>
      <c r="X216" t="s">
        <v>44909</v>
      </c>
    </row>
    <row r="217" spans="1:24">
      <c r="A217">
        <f>HYPERLINK("https://www.philgeps.gov.ph/GEPSNONPILOT/Tender/SplashBidNoticeAbstractUI.aspx?menuIndex=3&amp;refID=7080659&amp;Result=3","7080659")</f>
        <v>0</v>
      </c>
      <c r="B217" t="s">
        <v>105</v>
      </c>
      <c r="C217" t="s">
        <v>3737</v>
      </c>
      <c r="D217" t="s">
        <v>18110</v>
      </c>
      <c r="E217" t="s">
        <v>18412</v>
      </c>
      <c r="F217" t="s">
        <v>31362</v>
      </c>
      <c r="G217" t="s">
        <v>31369</v>
      </c>
      <c r="H217" t="s">
        <v>15799</v>
      </c>
      <c r="I217" t="s">
        <v>7188</v>
      </c>
      <c r="J217" t="s">
        <v>31701</v>
      </c>
      <c r="K217" t="s">
        <v>40680</v>
      </c>
      <c r="M217" t="s">
        <v>41042</v>
      </c>
      <c r="N217" t="s">
        <v>44905</v>
      </c>
      <c r="O217" t="s">
        <v>44906</v>
      </c>
      <c r="P217">
        <v>0</v>
      </c>
      <c r="Q217">
        <v>6</v>
      </c>
      <c r="R217" t="s">
        <v>44907</v>
      </c>
      <c r="S217" t="s">
        <v>45026</v>
      </c>
      <c r="T217" t="s">
        <v>46431</v>
      </c>
      <c r="U217" t="s">
        <v>47103</v>
      </c>
      <c r="W217" t="s">
        <v>41042</v>
      </c>
      <c r="X217" t="s">
        <v>44909</v>
      </c>
    </row>
    <row r="218" spans="1:24">
      <c r="A218">
        <f>HYPERLINK("https://www.philgeps.gov.ph/GEPSNONPILOT/Tender/SplashBidNoticeAbstractUI.aspx?menuIndex=3&amp;refID=7081117&amp;Result=3","7081117")</f>
        <v>0</v>
      </c>
      <c r="B218" t="s">
        <v>111</v>
      </c>
      <c r="C218" t="s">
        <v>3738</v>
      </c>
      <c r="D218" t="s">
        <v>18127</v>
      </c>
      <c r="E218" t="s">
        <v>18413</v>
      </c>
      <c r="F218" t="s">
        <v>31362</v>
      </c>
      <c r="G218" t="s">
        <v>31369</v>
      </c>
      <c r="H218" t="s">
        <v>31378</v>
      </c>
      <c r="I218" t="s">
        <v>31386</v>
      </c>
      <c r="J218" t="s">
        <v>31702</v>
      </c>
      <c r="K218" t="s">
        <v>40678</v>
      </c>
      <c r="M218" t="s">
        <v>41048</v>
      </c>
      <c r="N218" t="s">
        <v>44905</v>
      </c>
      <c r="O218" t="s">
        <v>44906</v>
      </c>
      <c r="P218">
        <v>0</v>
      </c>
      <c r="Q218">
        <v>0</v>
      </c>
      <c r="R218" t="s">
        <v>44907</v>
      </c>
      <c r="S218" t="s">
        <v>45026</v>
      </c>
      <c r="T218" t="s">
        <v>46448</v>
      </c>
      <c r="U218" t="s">
        <v>47104</v>
      </c>
      <c r="W218" t="s">
        <v>41048</v>
      </c>
      <c r="X218" t="s">
        <v>44909</v>
      </c>
    </row>
    <row r="219" spans="1:24">
      <c r="A219">
        <f>HYPERLINK("https://www.philgeps.gov.ph/GEPSNONPILOT/Tender/SplashBidNoticeAbstractUI.aspx?menuIndex=3&amp;refID=7080235&amp;Result=3","7080235")</f>
        <v>0</v>
      </c>
      <c r="B219" t="s">
        <v>102</v>
      </c>
      <c r="C219" t="s">
        <v>3739</v>
      </c>
      <c r="D219" t="s">
        <v>18133</v>
      </c>
      <c r="E219" t="s">
        <v>18414</v>
      </c>
      <c r="F219" t="s">
        <v>31362</v>
      </c>
      <c r="G219" t="s">
        <v>31368</v>
      </c>
      <c r="H219" t="s">
        <v>15799</v>
      </c>
      <c r="I219" t="s">
        <v>31400</v>
      </c>
      <c r="J219" t="s">
        <v>31703</v>
      </c>
      <c r="K219" t="s">
        <v>40661</v>
      </c>
      <c r="M219" t="s">
        <v>41039</v>
      </c>
      <c r="N219" t="s">
        <v>44905</v>
      </c>
      <c r="O219" t="s">
        <v>44906</v>
      </c>
      <c r="P219">
        <v>0</v>
      </c>
      <c r="Q219">
        <v>1</v>
      </c>
      <c r="R219" t="s">
        <v>44907</v>
      </c>
      <c r="S219" t="s">
        <v>45026</v>
      </c>
      <c r="T219" t="s">
        <v>46443</v>
      </c>
      <c r="U219" t="s">
        <v>47105</v>
      </c>
      <c r="W219" t="s">
        <v>41039</v>
      </c>
      <c r="X219" t="s">
        <v>44909</v>
      </c>
    </row>
    <row r="220" spans="1:24">
      <c r="A220">
        <f>HYPERLINK("https://www.philgeps.gov.ph/GEPSNONPILOT/Tender/SplashBidNoticeAbstractUI.aspx?menuIndex=3&amp;refID=7081097&amp;Result=3","7081097")</f>
        <v>0</v>
      </c>
      <c r="B220" t="s">
        <v>106</v>
      </c>
      <c r="C220" t="s">
        <v>3740</v>
      </c>
      <c r="D220" t="s">
        <v>18122</v>
      </c>
      <c r="E220" t="s">
        <v>18415</v>
      </c>
      <c r="F220" t="s">
        <v>31362</v>
      </c>
      <c r="G220" t="s">
        <v>31369</v>
      </c>
      <c r="H220" t="s">
        <v>31378</v>
      </c>
      <c r="I220" t="s">
        <v>31386</v>
      </c>
      <c r="J220" t="s">
        <v>31696</v>
      </c>
      <c r="K220" t="s">
        <v>40678</v>
      </c>
      <c r="M220" t="s">
        <v>41043</v>
      </c>
      <c r="N220" t="s">
        <v>44905</v>
      </c>
      <c r="O220" t="s">
        <v>44906</v>
      </c>
      <c r="P220">
        <v>0</v>
      </c>
      <c r="Q220">
        <v>4</v>
      </c>
      <c r="R220" t="s">
        <v>44907</v>
      </c>
      <c r="S220" t="s">
        <v>45026</v>
      </c>
      <c r="T220" t="s">
        <v>46449</v>
      </c>
      <c r="U220" t="s">
        <v>47095</v>
      </c>
      <c r="W220" t="s">
        <v>41043</v>
      </c>
      <c r="X220" t="s">
        <v>44909</v>
      </c>
    </row>
    <row r="221" spans="1:24">
      <c r="A221">
        <f>HYPERLINK("https://www.philgeps.gov.ph/GEPSNONPILOT/Tender/SplashBidNoticeAbstractUI.aspx?menuIndex=3&amp;refID=7080217&amp;Result=3","7080217")</f>
        <v>0</v>
      </c>
      <c r="B221" t="s">
        <v>73</v>
      </c>
      <c r="C221" t="s">
        <v>3741</v>
      </c>
      <c r="D221" t="s">
        <v>18102</v>
      </c>
      <c r="E221" t="s">
        <v>18416</v>
      </c>
      <c r="F221" t="s">
        <v>31362</v>
      </c>
      <c r="G221" t="s">
        <v>31369</v>
      </c>
      <c r="H221" t="s">
        <v>15799</v>
      </c>
      <c r="I221" t="s">
        <v>4283</v>
      </c>
      <c r="J221" t="s">
        <v>31704</v>
      </c>
      <c r="K221" t="s">
        <v>40666</v>
      </c>
      <c r="M221" t="s">
        <v>41009</v>
      </c>
      <c r="N221" t="s">
        <v>44905</v>
      </c>
      <c r="O221" t="s">
        <v>44906</v>
      </c>
      <c r="P221">
        <v>0</v>
      </c>
      <c r="Q221">
        <v>5</v>
      </c>
      <c r="R221" t="s">
        <v>44907</v>
      </c>
      <c r="S221" t="s">
        <v>45026</v>
      </c>
      <c r="T221" t="s">
        <v>46429</v>
      </c>
      <c r="U221" t="s">
        <v>47106</v>
      </c>
      <c r="W221" t="s">
        <v>41009</v>
      </c>
      <c r="X221" t="s">
        <v>44909</v>
      </c>
    </row>
    <row r="222" spans="1:24">
      <c r="A222">
        <f>HYPERLINK("https://www.philgeps.gov.ph/GEPSNONPILOT/Tender/SplashBidNoticeAbstractUI.aspx?menuIndex=3&amp;refID=7079798&amp;Result=3","7079798")</f>
        <v>0</v>
      </c>
      <c r="B222" t="s">
        <v>93</v>
      </c>
      <c r="C222" t="s">
        <v>3742</v>
      </c>
      <c r="D222" t="s">
        <v>18108</v>
      </c>
      <c r="E222" t="s">
        <v>18417</v>
      </c>
      <c r="F222" t="s">
        <v>31362</v>
      </c>
      <c r="G222" t="s">
        <v>31368</v>
      </c>
      <c r="H222" t="s">
        <v>15799</v>
      </c>
      <c r="I222" t="s">
        <v>7188</v>
      </c>
      <c r="J222" t="s">
        <v>31705</v>
      </c>
      <c r="K222" t="s">
        <v>40662</v>
      </c>
      <c r="M222" t="s">
        <v>41030</v>
      </c>
      <c r="N222" t="s">
        <v>44905</v>
      </c>
      <c r="O222" t="s">
        <v>44906</v>
      </c>
      <c r="P222">
        <v>0</v>
      </c>
      <c r="Q222">
        <v>6</v>
      </c>
      <c r="R222" t="s">
        <v>44907</v>
      </c>
      <c r="S222" t="s">
        <v>45026</v>
      </c>
      <c r="T222" t="s">
        <v>46411</v>
      </c>
      <c r="U222" t="s">
        <v>47107</v>
      </c>
      <c r="V222" t="s">
        <v>59070</v>
      </c>
      <c r="W222" t="s">
        <v>41030</v>
      </c>
      <c r="X222" t="s">
        <v>44909</v>
      </c>
    </row>
    <row r="223" spans="1:24">
      <c r="A223">
        <f>HYPERLINK("https://www.philgeps.gov.ph/GEPSNONPILOT/Tender/SplashBidNoticeAbstractUI.aspx?menuIndex=3&amp;refID=7080176&amp;Result=3","7080176")</f>
        <v>0</v>
      </c>
      <c r="B223" t="s">
        <v>112</v>
      </c>
      <c r="C223" t="s">
        <v>3743</v>
      </c>
      <c r="D223" t="s">
        <v>18126</v>
      </c>
      <c r="E223" t="s">
        <v>18418</v>
      </c>
      <c r="F223" t="s">
        <v>31362</v>
      </c>
      <c r="G223" t="s">
        <v>31369</v>
      </c>
      <c r="H223" t="s">
        <v>31378</v>
      </c>
      <c r="I223" t="s">
        <v>31386</v>
      </c>
      <c r="J223" t="s">
        <v>31706</v>
      </c>
      <c r="K223" t="s">
        <v>40668</v>
      </c>
      <c r="M223" t="s">
        <v>41049</v>
      </c>
      <c r="N223" t="s">
        <v>44905</v>
      </c>
      <c r="O223" t="s">
        <v>44906</v>
      </c>
      <c r="P223">
        <v>0</v>
      </c>
      <c r="Q223">
        <v>0</v>
      </c>
      <c r="R223" t="s">
        <v>44907</v>
      </c>
      <c r="S223" t="s">
        <v>45026</v>
      </c>
      <c r="T223" t="s">
        <v>46396</v>
      </c>
      <c r="U223" t="s">
        <v>47108</v>
      </c>
      <c r="V223" t="s">
        <v>59073</v>
      </c>
      <c r="W223" t="s">
        <v>41049</v>
      </c>
      <c r="X223" t="s">
        <v>44909</v>
      </c>
    </row>
    <row r="224" spans="1:24">
      <c r="A224">
        <f>HYPERLINK("https://www.philgeps.gov.ph/GEPSNONPILOT/Tender/SplashBidNoticeAbstractUI.aspx?menuIndex=3&amp;refID=7081025&amp;Result=3","7081025")</f>
        <v>0</v>
      </c>
      <c r="B224" t="s">
        <v>111</v>
      </c>
      <c r="C224" t="s">
        <v>3744</v>
      </c>
      <c r="D224" t="s">
        <v>18127</v>
      </c>
      <c r="E224" t="s">
        <v>18419</v>
      </c>
      <c r="F224" t="s">
        <v>31362</v>
      </c>
      <c r="G224" t="s">
        <v>31369</v>
      </c>
      <c r="H224" t="s">
        <v>31378</v>
      </c>
      <c r="I224" t="s">
        <v>31386</v>
      </c>
      <c r="J224" t="s">
        <v>31702</v>
      </c>
      <c r="K224" t="s">
        <v>40678</v>
      </c>
      <c r="M224" t="s">
        <v>41048</v>
      </c>
      <c r="N224" t="s">
        <v>44905</v>
      </c>
      <c r="O224" t="s">
        <v>44906</v>
      </c>
      <c r="P224">
        <v>0</v>
      </c>
      <c r="Q224">
        <v>0</v>
      </c>
      <c r="R224" t="s">
        <v>44907</v>
      </c>
      <c r="S224" t="s">
        <v>45026</v>
      </c>
      <c r="T224" t="s">
        <v>46448</v>
      </c>
      <c r="U224" t="s">
        <v>47104</v>
      </c>
      <c r="W224" t="s">
        <v>41048</v>
      </c>
      <c r="X224" t="s">
        <v>44909</v>
      </c>
    </row>
    <row r="225" spans="1:24">
      <c r="A225">
        <f>HYPERLINK("https://www.philgeps.gov.ph/GEPSNONPILOT/Tender/SplashBidNoticeAbstractUI.aspx?menuIndex=3&amp;refID=7081134&amp;Result=3","7081134")</f>
        <v>0</v>
      </c>
      <c r="B225" t="s">
        <v>113</v>
      </c>
      <c r="C225" t="s">
        <v>3745</v>
      </c>
      <c r="D225" t="s">
        <v>18136</v>
      </c>
      <c r="E225" t="s">
        <v>18420</v>
      </c>
      <c r="F225" t="s">
        <v>31362</v>
      </c>
      <c r="G225" t="s">
        <v>31370</v>
      </c>
      <c r="H225" t="s">
        <v>15799</v>
      </c>
      <c r="I225" t="s">
        <v>7188</v>
      </c>
      <c r="J225" t="s">
        <v>31536</v>
      </c>
      <c r="K225" t="s">
        <v>40662</v>
      </c>
      <c r="M225" t="s">
        <v>41050</v>
      </c>
      <c r="N225" t="s">
        <v>44905</v>
      </c>
      <c r="O225" t="s">
        <v>44906</v>
      </c>
      <c r="P225">
        <v>0</v>
      </c>
      <c r="Q225">
        <v>0</v>
      </c>
      <c r="R225" t="s">
        <v>44907</v>
      </c>
      <c r="S225" t="s">
        <v>45026</v>
      </c>
      <c r="T225" t="s">
        <v>46432</v>
      </c>
      <c r="U225" t="s">
        <v>47109</v>
      </c>
      <c r="V225" t="s">
        <v>59074</v>
      </c>
      <c r="W225" t="s">
        <v>41050</v>
      </c>
      <c r="X225" t="s">
        <v>44909</v>
      </c>
    </row>
    <row r="226" spans="1:24">
      <c r="A226">
        <f>HYPERLINK("https://www.philgeps.gov.ph/GEPSNONPILOT/Tender/SplashBidNoticeAbstractUI.aspx?menuIndex=3&amp;refID=7081003&amp;Result=3","7081003")</f>
        <v>0</v>
      </c>
      <c r="B226" t="s">
        <v>106</v>
      </c>
      <c r="C226" t="s">
        <v>3746</v>
      </c>
      <c r="D226" t="s">
        <v>18128</v>
      </c>
      <c r="E226" t="s">
        <v>18421</v>
      </c>
      <c r="F226" t="s">
        <v>31362</v>
      </c>
      <c r="G226" t="s">
        <v>31369</v>
      </c>
      <c r="H226" t="s">
        <v>31378</v>
      </c>
      <c r="I226" t="s">
        <v>31386</v>
      </c>
      <c r="J226" t="s">
        <v>31696</v>
      </c>
      <c r="K226" t="s">
        <v>40678</v>
      </c>
      <c r="M226" t="s">
        <v>41043</v>
      </c>
      <c r="N226" t="s">
        <v>44905</v>
      </c>
      <c r="O226" t="s">
        <v>44906</v>
      </c>
      <c r="P226">
        <v>0</v>
      </c>
      <c r="Q226">
        <v>4</v>
      </c>
      <c r="R226" t="s">
        <v>44907</v>
      </c>
      <c r="S226" t="s">
        <v>45026</v>
      </c>
      <c r="T226" t="s">
        <v>46450</v>
      </c>
      <c r="U226" t="s">
        <v>47095</v>
      </c>
      <c r="W226" t="s">
        <v>41043</v>
      </c>
      <c r="X226" t="s">
        <v>44909</v>
      </c>
    </row>
    <row r="227" spans="1:24">
      <c r="A227">
        <f>HYPERLINK("https://www.philgeps.gov.ph/GEPSNONPILOT/Tender/SplashBidNoticeAbstractUI.aspx?menuIndex=3&amp;refID=7080996&amp;Result=3","7080996")</f>
        <v>0</v>
      </c>
      <c r="B227" t="s">
        <v>114</v>
      </c>
      <c r="C227" t="s">
        <v>3747</v>
      </c>
      <c r="D227" t="s">
        <v>18141</v>
      </c>
      <c r="E227" t="s">
        <v>18422</v>
      </c>
      <c r="F227" t="s">
        <v>31362</v>
      </c>
      <c r="G227" t="s">
        <v>31369</v>
      </c>
      <c r="H227" t="s">
        <v>31378</v>
      </c>
      <c r="I227" t="s">
        <v>31386</v>
      </c>
      <c r="J227" t="s">
        <v>31707</v>
      </c>
      <c r="K227" t="s">
        <v>40663</v>
      </c>
      <c r="M227" t="s">
        <v>41051</v>
      </c>
      <c r="N227" t="s">
        <v>44905</v>
      </c>
      <c r="O227" t="s">
        <v>44906</v>
      </c>
      <c r="P227">
        <v>0</v>
      </c>
      <c r="Q227">
        <v>0</v>
      </c>
      <c r="R227" t="s">
        <v>44907</v>
      </c>
      <c r="S227" t="s">
        <v>45026</v>
      </c>
      <c r="T227" t="s">
        <v>46417</v>
      </c>
      <c r="U227" t="s">
        <v>47110</v>
      </c>
      <c r="W227" t="s">
        <v>41051</v>
      </c>
      <c r="X227" t="s">
        <v>44909</v>
      </c>
    </row>
    <row r="228" spans="1:24">
      <c r="A228">
        <f>HYPERLINK("https://www.philgeps.gov.ph/GEPSNONPILOT/Tender/SplashBidNoticeAbstractUI.aspx?menuIndex=3&amp;refID=7080982&amp;Result=3","7080982")</f>
        <v>0</v>
      </c>
      <c r="B228" t="s">
        <v>96</v>
      </c>
      <c r="C228" t="s">
        <v>3748</v>
      </c>
      <c r="D228" t="s">
        <v>18106</v>
      </c>
      <c r="E228" t="s">
        <v>18423</v>
      </c>
      <c r="F228" t="s">
        <v>31362</v>
      </c>
      <c r="G228" t="s">
        <v>31368</v>
      </c>
      <c r="H228" t="s">
        <v>15799</v>
      </c>
      <c r="I228" t="s">
        <v>7090</v>
      </c>
      <c r="J228" t="s">
        <v>31708</v>
      </c>
      <c r="K228" t="s">
        <v>40693</v>
      </c>
      <c r="M228" t="s">
        <v>41033</v>
      </c>
      <c r="N228" t="s">
        <v>44905</v>
      </c>
      <c r="O228" t="s">
        <v>44906</v>
      </c>
      <c r="P228">
        <v>0</v>
      </c>
      <c r="Q228">
        <v>0</v>
      </c>
      <c r="R228" t="s">
        <v>44907</v>
      </c>
      <c r="S228" t="s">
        <v>45026</v>
      </c>
      <c r="T228" t="s">
        <v>46409</v>
      </c>
      <c r="U228" t="s">
        <v>47111</v>
      </c>
      <c r="W228" t="s">
        <v>41033</v>
      </c>
      <c r="X228" t="s">
        <v>44909</v>
      </c>
    </row>
    <row r="229" spans="1:24">
      <c r="A229">
        <f>HYPERLINK("https://www.philgeps.gov.ph/GEPSNONPILOT/Tender/SplashBidNoticeAbstractUI.aspx?menuIndex=3&amp;refID=7081091&amp;Result=3","7081091")</f>
        <v>0</v>
      </c>
      <c r="B229" t="s">
        <v>115</v>
      </c>
      <c r="C229" t="s">
        <v>3749</v>
      </c>
      <c r="D229" t="s">
        <v>18137</v>
      </c>
      <c r="E229" t="s">
        <v>18424</v>
      </c>
      <c r="F229" t="s">
        <v>31362</v>
      </c>
      <c r="G229" t="s">
        <v>31373</v>
      </c>
      <c r="H229" t="s">
        <v>31378</v>
      </c>
      <c r="I229" t="s">
        <v>31386</v>
      </c>
      <c r="J229" t="s">
        <v>31709</v>
      </c>
      <c r="K229" t="s">
        <v>40662</v>
      </c>
      <c r="L229" t="s">
        <v>115</v>
      </c>
      <c r="M229" t="s">
        <v>41052</v>
      </c>
      <c r="N229" t="s">
        <v>44905</v>
      </c>
      <c r="O229" t="s">
        <v>44906</v>
      </c>
      <c r="Q229">
        <v>0</v>
      </c>
      <c r="R229" t="s">
        <v>44907</v>
      </c>
      <c r="S229" t="s">
        <v>45029</v>
      </c>
      <c r="T229" t="s">
        <v>46431</v>
      </c>
      <c r="U229" t="s">
        <v>47112</v>
      </c>
      <c r="W229" t="s">
        <v>41052</v>
      </c>
      <c r="X229" t="s">
        <v>44909</v>
      </c>
    </row>
    <row r="230" spans="1:24">
      <c r="A230">
        <f>HYPERLINK("https://www.philgeps.gov.ph/GEPSNONPILOT/Tender/SplashBidNoticeAbstractUI.aspx?menuIndex=3&amp;refID=7080969&amp;Result=3","7080969")</f>
        <v>0</v>
      </c>
      <c r="B230" t="s">
        <v>116</v>
      </c>
      <c r="C230" t="s">
        <v>3750</v>
      </c>
      <c r="D230" t="s">
        <v>18141</v>
      </c>
      <c r="E230" t="s">
        <v>18425</v>
      </c>
      <c r="F230" t="s">
        <v>31362</v>
      </c>
      <c r="G230" t="s">
        <v>31372</v>
      </c>
      <c r="H230" t="s">
        <v>15799</v>
      </c>
      <c r="I230" t="s">
        <v>31421</v>
      </c>
      <c r="J230" t="s">
        <v>31710</v>
      </c>
      <c r="K230" t="s">
        <v>40661</v>
      </c>
      <c r="M230" t="s">
        <v>41053</v>
      </c>
      <c r="N230" t="s">
        <v>44905</v>
      </c>
      <c r="O230" t="s">
        <v>44906</v>
      </c>
      <c r="P230">
        <v>0</v>
      </c>
      <c r="Q230">
        <v>3</v>
      </c>
      <c r="R230" t="s">
        <v>44907</v>
      </c>
      <c r="S230" t="s">
        <v>45026</v>
      </c>
      <c r="T230" t="s">
        <v>46404</v>
      </c>
      <c r="U230" t="s">
        <v>47113</v>
      </c>
      <c r="W230" t="s">
        <v>41053</v>
      </c>
      <c r="X230" t="s">
        <v>44909</v>
      </c>
    </row>
    <row r="231" spans="1:24">
      <c r="A231">
        <f>HYPERLINK("https://www.philgeps.gov.ph/GEPSNONPILOT/Tender/SplashBidNoticeAbstractUI.aspx?menuIndex=3&amp;refID=7080955&amp;Result=3","7080955")</f>
        <v>0</v>
      </c>
      <c r="B231" t="s">
        <v>110</v>
      </c>
      <c r="C231" t="s">
        <v>3751</v>
      </c>
      <c r="D231" t="s">
        <v>18119</v>
      </c>
      <c r="E231" t="s">
        <v>18426</v>
      </c>
      <c r="F231" t="s">
        <v>31362</v>
      </c>
      <c r="G231" t="s">
        <v>31368</v>
      </c>
      <c r="H231" t="s">
        <v>15799</v>
      </c>
      <c r="I231" t="s">
        <v>31422</v>
      </c>
      <c r="J231" t="s">
        <v>31711</v>
      </c>
      <c r="K231" t="s">
        <v>40670</v>
      </c>
      <c r="M231" t="s">
        <v>41047</v>
      </c>
      <c r="N231" t="s">
        <v>44905</v>
      </c>
      <c r="O231" t="s">
        <v>44906</v>
      </c>
      <c r="P231">
        <v>0</v>
      </c>
      <c r="Q231">
        <v>0</v>
      </c>
      <c r="R231" t="s">
        <v>44907</v>
      </c>
      <c r="S231" t="s">
        <v>45026</v>
      </c>
      <c r="T231" t="s">
        <v>46409</v>
      </c>
      <c r="U231" t="s">
        <v>47114</v>
      </c>
      <c r="W231" t="s">
        <v>41047</v>
      </c>
      <c r="X231" t="s">
        <v>44909</v>
      </c>
    </row>
    <row r="232" spans="1:24">
      <c r="A232">
        <f>HYPERLINK("https://www.philgeps.gov.ph/GEPSNONPILOT/Tender/SplashBidNoticeAbstractUI.aspx?menuIndex=3&amp;refID=7080932&amp;Result=3","7080932")</f>
        <v>0</v>
      </c>
      <c r="B232" t="s">
        <v>117</v>
      </c>
      <c r="C232" t="s">
        <v>3752</v>
      </c>
      <c r="D232" t="s">
        <v>18104</v>
      </c>
      <c r="E232" t="s">
        <v>18427</v>
      </c>
      <c r="F232" t="s">
        <v>31362</v>
      </c>
      <c r="G232" t="s">
        <v>31370</v>
      </c>
      <c r="H232" t="s">
        <v>15799</v>
      </c>
      <c r="I232" t="s">
        <v>31423</v>
      </c>
      <c r="J232" t="s">
        <v>31712</v>
      </c>
      <c r="K232" t="s">
        <v>40662</v>
      </c>
      <c r="M232" t="s">
        <v>41054</v>
      </c>
      <c r="N232" t="s">
        <v>44905</v>
      </c>
      <c r="O232" t="s">
        <v>44906</v>
      </c>
      <c r="P232">
        <v>0</v>
      </c>
      <c r="Q232">
        <v>0</v>
      </c>
      <c r="R232" t="s">
        <v>44907</v>
      </c>
      <c r="S232" t="s">
        <v>45026</v>
      </c>
      <c r="T232" t="s">
        <v>46451</v>
      </c>
      <c r="U232" t="s">
        <v>47115</v>
      </c>
      <c r="W232" t="s">
        <v>41054</v>
      </c>
      <c r="X232" t="s">
        <v>44909</v>
      </c>
    </row>
    <row r="233" spans="1:24">
      <c r="A233">
        <f>HYPERLINK("https://www.philgeps.gov.ph/GEPSNONPILOT/Tender/SplashBidNoticeAbstractUI.aspx?menuIndex=3&amp;refID=7081233&amp;Result=3","7081233")</f>
        <v>0</v>
      </c>
      <c r="B233" t="s">
        <v>118</v>
      </c>
      <c r="C233" t="s">
        <v>3753</v>
      </c>
      <c r="D233" t="s">
        <v>18142</v>
      </c>
      <c r="E233" t="s">
        <v>18428</v>
      </c>
      <c r="F233" t="s">
        <v>31362</v>
      </c>
      <c r="G233" t="s">
        <v>31369</v>
      </c>
      <c r="H233" t="s">
        <v>31378</v>
      </c>
      <c r="I233" t="s">
        <v>31386</v>
      </c>
      <c r="J233" t="s">
        <v>31536</v>
      </c>
      <c r="K233" t="s">
        <v>40667</v>
      </c>
      <c r="M233" t="s">
        <v>41055</v>
      </c>
      <c r="N233" t="s">
        <v>44905</v>
      </c>
      <c r="O233" t="s">
        <v>44906</v>
      </c>
      <c r="P233">
        <v>0</v>
      </c>
      <c r="Q233">
        <v>0</v>
      </c>
      <c r="R233" t="s">
        <v>44907</v>
      </c>
      <c r="S233" t="s">
        <v>45026</v>
      </c>
      <c r="T233" t="s">
        <v>46452</v>
      </c>
      <c r="U233" t="s">
        <v>47116</v>
      </c>
      <c r="W233" t="s">
        <v>41055</v>
      </c>
      <c r="X233" t="s">
        <v>44909</v>
      </c>
    </row>
    <row r="234" spans="1:24">
      <c r="A234">
        <f>HYPERLINK("https://www.philgeps.gov.ph/GEPSNONPILOT/Tender/SplashBidNoticeAbstractUI.aspx?menuIndex=3&amp;refID=7081524&amp;Result=3","7081524")</f>
        <v>0</v>
      </c>
      <c r="B234" t="s">
        <v>119</v>
      </c>
      <c r="C234" t="s">
        <v>3754</v>
      </c>
      <c r="D234" t="s">
        <v>18108</v>
      </c>
      <c r="E234" t="s">
        <v>18429</v>
      </c>
      <c r="F234" t="s">
        <v>31362</v>
      </c>
      <c r="G234" t="s">
        <v>31368</v>
      </c>
      <c r="H234" t="s">
        <v>15799</v>
      </c>
      <c r="I234" t="s">
        <v>31380</v>
      </c>
      <c r="J234" t="s">
        <v>31578</v>
      </c>
      <c r="K234" t="s">
        <v>40661</v>
      </c>
      <c r="M234" t="s">
        <v>41056</v>
      </c>
      <c r="N234" t="s">
        <v>44905</v>
      </c>
      <c r="O234" t="s">
        <v>44906</v>
      </c>
      <c r="P234">
        <v>0</v>
      </c>
      <c r="Q234">
        <v>7</v>
      </c>
      <c r="R234" t="s">
        <v>44907</v>
      </c>
      <c r="S234" t="s">
        <v>45026</v>
      </c>
      <c r="T234" t="s">
        <v>46453</v>
      </c>
      <c r="U234" t="s">
        <v>47117</v>
      </c>
      <c r="W234" t="s">
        <v>41056</v>
      </c>
      <c r="X234" t="s">
        <v>44909</v>
      </c>
    </row>
    <row r="235" spans="1:24">
      <c r="A235">
        <f>HYPERLINK("https://www.philgeps.gov.ph/GEPSNONPILOT/Tender/SplashBidNoticeAbstractUI.aspx?menuIndex=3&amp;refID=7081513&amp;Result=3","7081513")</f>
        <v>0</v>
      </c>
      <c r="B235" t="s">
        <v>120</v>
      </c>
      <c r="C235" t="s">
        <v>3755</v>
      </c>
      <c r="D235" t="s">
        <v>18143</v>
      </c>
      <c r="E235" t="s">
        <v>18430</v>
      </c>
      <c r="F235" t="s">
        <v>31362</v>
      </c>
      <c r="G235" t="s">
        <v>31370</v>
      </c>
      <c r="H235" t="s">
        <v>31379</v>
      </c>
      <c r="I235" t="s">
        <v>31424</v>
      </c>
      <c r="J235" t="s">
        <v>31713</v>
      </c>
      <c r="K235" t="s">
        <v>40698</v>
      </c>
      <c r="M235" t="s">
        <v>41057</v>
      </c>
      <c r="N235" t="s">
        <v>44905</v>
      </c>
      <c r="O235" t="s">
        <v>44906</v>
      </c>
      <c r="P235">
        <v>0</v>
      </c>
      <c r="Q235">
        <v>0</v>
      </c>
      <c r="R235" t="s">
        <v>44907</v>
      </c>
      <c r="S235" t="s">
        <v>45026</v>
      </c>
      <c r="T235" t="s">
        <v>46394</v>
      </c>
      <c r="U235" t="s">
        <v>47118</v>
      </c>
      <c r="W235" t="s">
        <v>41057</v>
      </c>
      <c r="X235" t="s">
        <v>44909</v>
      </c>
    </row>
    <row r="236" spans="1:24">
      <c r="A236">
        <f>HYPERLINK("https://www.philgeps.gov.ph/GEPSNONPILOT/Tender/SplashBidNoticeAbstractUI.aspx?menuIndex=3&amp;refID=7079696&amp;Result=3","7079696")</f>
        <v>0</v>
      </c>
      <c r="B236" t="s">
        <v>93</v>
      </c>
      <c r="C236" t="s">
        <v>3756</v>
      </c>
      <c r="D236" t="s">
        <v>18108</v>
      </c>
      <c r="E236" t="s">
        <v>18431</v>
      </c>
      <c r="F236" t="s">
        <v>31362</v>
      </c>
      <c r="G236" t="s">
        <v>31368</v>
      </c>
      <c r="H236" t="s">
        <v>15799</v>
      </c>
      <c r="I236" t="s">
        <v>7719</v>
      </c>
      <c r="J236" t="s">
        <v>31586</v>
      </c>
      <c r="K236" t="s">
        <v>40662</v>
      </c>
      <c r="M236" t="s">
        <v>41030</v>
      </c>
      <c r="N236" t="s">
        <v>44905</v>
      </c>
      <c r="O236" t="s">
        <v>44906</v>
      </c>
      <c r="P236">
        <v>0</v>
      </c>
      <c r="Q236">
        <v>7</v>
      </c>
      <c r="R236" t="s">
        <v>44907</v>
      </c>
      <c r="S236" t="s">
        <v>45026</v>
      </c>
      <c r="T236" t="s">
        <v>46411</v>
      </c>
      <c r="U236" t="s">
        <v>47119</v>
      </c>
      <c r="V236" t="s">
        <v>59070</v>
      </c>
      <c r="W236" t="s">
        <v>41030</v>
      </c>
      <c r="X236" t="s">
        <v>44909</v>
      </c>
    </row>
    <row r="237" spans="1:24">
      <c r="A237">
        <f>HYPERLINK("https://www.philgeps.gov.ph/GEPSNONPILOT/Tender/SplashBidNoticeAbstractUI.aspx?menuIndex=3&amp;refID=7081506&amp;Result=3","7081506")</f>
        <v>0</v>
      </c>
      <c r="B237" t="s">
        <v>121</v>
      </c>
      <c r="C237" t="s">
        <v>3757</v>
      </c>
      <c r="D237" t="s">
        <v>18144</v>
      </c>
      <c r="E237" t="s">
        <v>18432</v>
      </c>
      <c r="F237" t="s">
        <v>31362</v>
      </c>
      <c r="G237" t="s">
        <v>31370</v>
      </c>
      <c r="H237" t="s">
        <v>15799</v>
      </c>
      <c r="I237" t="s">
        <v>31425</v>
      </c>
      <c r="J237" t="s">
        <v>31545</v>
      </c>
      <c r="K237" t="s">
        <v>40697</v>
      </c>
      <c r="M237" t="s">
        <v>41058</v>
      </c>
      <c r="N237" t="s">
        <v>44905</v>
      </c>
      <c r="O237" t="s">
        <v>44906</v>
      </c>
      <c r="P237">
        <v>0</v>
      </c>
      <c r="Q237">
        <v>0</v>
      </c>
      <c r="R237" t="s">
        <v>44907</v>
      </c>
      <c r="S237" t="s">
        <v>45026</v>
      </c>
      <c r="T237" t="s">
        <v>46454</v>
      </c>
      <c r="U237" t="s">
        <v>47120</v>
      </c>
      <c r="W237" t="s">
        <v>41058</v>
      </c>
      <c r="X237" t="s">
        <v>44909</v>
      </c>
    </row>
    <row r="238" spans="1:24">
      <c r="A238">
        <f>HYPERLINK("https://www.philgeps.gov.ph/GEPSNONPILOT/Tender/SplashBidNoticeAbstractUI.aspx?menuIndex=3&amp;refID=7081082&amp;Result=3","7081082")</f>
        <v>0</v>
      </c>
      <c r="B238" t="s">
        <v>116</v>
      </c>
      <c r="C238" t="s">
        <v>3758</v>
      </c>
      <c r="D238" t="s">
        <v>18141</v>
      </c>
      <c r="E238" t="s">
        <v>18433</v>
      </c>
      <c r="F238" t="s">
        <v>31362</v>
      </c>
      <c r="G238" t="s">
        <v>31372</v>
      </c>
      <c r="H238" t="s">
        <v>15799</v>
      </c>
      <c r="I238" t="s">
        <v>31385</v>
      </c>
      <c r="J238" t="s">
        <v>31714</v>
      </c>
      <c r="K238" t="s">
        <v>40661</v>
      </c>
      <c r="M238" t="s">
        <v>41053</v>
      </c>
      <c r="N238" t="s">
        <v>44905</v>
      </c>
      <c r="O238" t="s">
        <v>44906</v>
      </c>
      <c r="P238">
        <v>0</v>
      </c>
      <c r="Q238">
        <v>1</v>
      </c>
      <c r="R238" t="s">
        <v>44907</v>
      </c>
      <c r="S238" t="s">
        <v>45026</v>
      </c>
      <c r="T238" t="s">
        <v>46404</v>
      </c>
      <c r="U238" t="s">
        <v>47113</v>
      </c>
      <c r="W238" t="s">
        <v>41053</v>
      </c>
      <c r="X238" t="s">
        <v>44909</v>
      </c>
    </row>
    <row r="239" spans="1:24">
      <c r="A239">
        <f>HYPERLINK("https://www.philgeps.gov.ph/GEPSNONPILOT/Tender/SplashBidNoticeAbstractUI.aspx?menuIndex=3&amp;refID=7081441&amp;Result=3","7081441")</f>
        <v>0</v>
      </c>
      <c r="B239" t="s">
        <v>122</v>
      </c>
      <c r="C239" t="s">
        <v>3759</v>
      </c>
      <c r="D239" t="s">
        <v>18145</v>
      </c>
      <c r="E239" t="s">
        <v>18434</v>
      </c>
      <c r="F239" t="s">
        <v>31362</v>
      </c>
      <c r="G239" t="s">
        <v>31369</v>
      </c>
      <c r="H239" t="s">
        <v>15799</v>
      </c>
      <c r="I239" t="s">
        <v>31426</v>
      </c>
      <c r="J239" t="s">
        <v>31693</v>
      </c>
      <c r="K239" t="s">
        <v>40682</v>
      </c>
      <c r="M239" t="s">
        <v>41059</v>
      </c>
      <c r="N239" t="s">
        <v>44905</v>
      </c>
      <c r="O239" t="s">
        <v>44906</v>
      </c>
      <c r="P239">
        <v>0</v>
      </c>
      <c r="Q239">
        <v>4</v>
      </c>
      <c r="R239" t="s">
        <v>44907</v>
      </c>
      <c r="S239" t="s">
        <v>45026</v>
      </c>
      <c r="T239" t="s">
        <v>46455</v>
      </c>
      <c r="U239" t="s">
        <v>47121</v>
      </c>
      <c r="V239" t="s">
        <v>59075</v>
      </c>
      <c r="W239" t="s">
        <v>41059</v>
      </c>
      <c r="X239" t="s">
        <v>44909</v>
      </c>
    </row>
    <row r="240" spans="1:24">
      <c r="A240">
        <f>HYPERLINK("https://www.philgeps.gov.ph/GEPSNONPILOT/Tender/SplashBidNoticeAbstractUI.aspx?menuIndex=3&amp;refID=7081491&amp;Result=3","7081491")</f>
        <v>0</v>
      </c>
      <c r="B240" t="s">
        <v>120</v>
      </c>
      <c r="C240" t="s">
        <v>3760</v>
      </c>
      <c r="D240" t="s">
        <v>18143</v>
      </c>
      <c r="E240" t="s">
        <v>18435</v>
      </c>
      <c r="F240" t="s">
        <v>31362</v>
      </c>
      <c r="G240" t="s">
        <v>31370</v>
      </c>
      <c r="H240" t="s">
        <v>31379</v>
      </c>
      <c r="I240" t="s">
        <v>31388</v>
      </c>
      <c r="J240" t="s">
        <v>31715</v>
      </c>
      <c r="K240" t="s">
        <v>40698</v>
      </c>
      <c r="M240" t="s">
        <v>41057</v>
      </c>
      <c r="N240" t="s">
        <v>44905</v>
      </c>
      <c r="O240" t="s">
        <v>44906</v>
      </c>
      <c r="P240">
        <v>0</v>
      </c>
      <c r="Q240">
        <v>1</v>
      </c>
      <c r="R240" t="s">
        <v>44907</v>
      </c>
      <c r="S240" t="s">
        <v>45026</v>
      </c>
      <c r="T240" t="s">
        <v>46394</v>
      </c>
      <c r="U240" t="s">
        <v>47122</v>
      </c>
      <c r="W240" t="s">
        <v>41057</v>
      </c>
      <c r="X240" t="s">
        <v>44909</v>
      </c>
    </row>
    <row r="241" spans="1:24">
      <c r="A241">
        <f>HYPERLINK("https://www.philgeps.gov.ph/GEPSNONPILOT/Tender/SplashBidNoticeAbstractUI.aspx?menuIndex=3&amp;refID=7080985&amp;Result=3","7080985")</f>
        <v>0</v>
      </c>
      <c r="B241" t="s">
        <v>123</v>
      </c>
      <c r="C241" t="s">
        <v>3761</v>
      </c>
      <c r="D241" t="s">
        <v>18127</v>
      </c>
      <c r="E241" t="s">
        <v>18436</v>
      </c>
      <c r="F241" t="s">
        <v>31362</v>
      </c>
      <c r="G241" t="s">
        <v>31369</v>
      </c>
      <c r="H241" t="s">
        <v>15799</v>
      </c>
      <c r="I241" t="s">
        <v>31397</v>
      </c>
      <c r="J241" t="s">
        <v>31716</v>
      </c>
      <c r="K241" t="s">
        <v>40699</v>
      </c>
      <c r="M241" t="s">
        <v>41060</v>
      </c>
      <c r="N241" t="s">
        <v>44905</v>
      </c>
      <c r="O241" t="s">
        <v>44906</v>
      </c>
      <c r="P241">
        <v>0</v>
      </c>
      <c r="Q241">
        <v>3</v>
      </c>
      <c r="R241" t="s">
        <v>44907</v>
      </c>
      <c r="S241" t="s">
        <v>45026</v>
      </c>
      <c r="T241" t="s">
        <v>46456</v>
      </c>
      <c r="U241" t="s">
        <v>47123</v>
      </c>
      <c r="V241" t="s">
        <v>59076</v>
      </c>
      <c r="W241" t="s">
        <v>41060</v>
      </c>
      <c r="X241" t="s">
        <v>44909</v>
      </c>
    </row>
    <row r="242" spans="1:24">
      <c r="A242">
        <f>HYPERLINK("https://www.philgeps.gov.ph/GEPSNONPILOT/Tender/SplashBidNoticeAbstractUI.aspx?menuIndex=3&amp;refID=7081354&amp;Result=3","7081354")</f>
        <v>0</v>
      </c>
      <c r="B242" t="s">
        <v>124</v>
      </c>
      <c r="C242" t="s">
        <v>3762</v>
      </c>
      <c r="D242" t="s">
        <v>18146</v>
      </c>
      <c r="E242" t="s">
        <v>18437</v>
      </c>
      <c r="F242" t="s">
        <v>31362</v>
      </c>
      <c r="G242" t="s">
        <v>31369</v>
      </c>
      <c r="H242" t="s">
        <v>15799</v>
      </c>
      <c r="I242" t="s">
        <v>31427</v>
      </c>
      <c r="J242" t="s">
        <v>31717</v>
      </c>
      <c r="K242" t="s">
        <v>40675</v>
      </c>
      <c r="M242" t="s">
        <v>41061</v>
      </c>
      <c r="N242" t="s">
        <v>44905</v>
      </c>
      <c r="O242" t="s">
        <v>44906</v>
      </c>
      <c r="P242">
        <v>0</v>
      </c>
      <c r="Q242">
        <v>0</v>
      </c>
      <c r="R242" t="s">
        <v>44907</v>
      </c>
      <c r="S242" t="s">
        <v>45026</v>
      </c>
      <c r="T242" t="s">
        <v>46457</v>
      </c>
      <c r="U242" t="s">
        <v>47124</v>
      </c>
      <c r="V242" t="s">
        <v>59077</v>
      </c>
      <c r="W242" t="s">
        <v>41061</v>
      </c>
      <c r="X242" t="s">
        <v>44909</v>
      </c>
    </row>
    <row r="243" spans="1:24">
      <c r="A243">
        <f>HYPERLINK("https://www.philgeps.gov.ph/GEPSNONPILOT/Tender/SplashBidNoticeAbstractUI.aspx?menuIndex=3&amp;refID=7081047&amp;Result=3","7081047")</f>
        <v>0</v>
      </c>
      <c r="B243" t="s">
        <v>125</v>
      </c>
      <c r="C243" t="s">
        <v>3763</v>
      </c>
      <c r="D243" t="s">
        <v>18104</v>
      </c>
      <c r="E243" t="s">
        <v>18438</v>
      </c>
      <c r="F243" t="s">
        <v>31362</v>
      </c>
      <c r="G243" t="s">
        <v>31369</v>
      </c>
      <c r="H243" t="s">
        <v>15799</v>
      </c>
      <c r="I243" t="s">
        <v>31427</v>
      </c>
      <c r="J243" t="s">
        <v>31718</v>
      </c>
      <c r="K243" t="s">
        <v>40675</v>
      </c>
      <c r="M243" t="s">
        <v>41062</v>
      </c>
      <c r="N243" t="s">
        <v>44905</v>
      </c>
      <c r="O243" t="s">
        <v>44906</v>
      </c>
      <c r="P243">
        <v>0</v>
      </c>
      <c r="Q243">
        <v>1</v>
      </c>
      <c r="R243" t="s">
        <v>44907</v>
      </c>
      <c r="S243" t="s">
        <v>45026</v>
      </c>
      <c r="T243" t="s">
        <v>46458</v>
      </c>
      <c r="U243" t="s">
        <v>47125</v>
      </c>
      <c r="W243" t="s">
        <v>41062</v>
      </c>
      <c r="X243" t="s">
        <v>44909</v>
      </c>
    </row>
    <row r="244" spans="1:24">
      <c r="A244">
        <f>HYPERLINK("https://www.philgeps.gov.ph/GEPSNONPILOT/Tender/SplashBidNoticeAbstractUI.aspx?menuIndex=3&amp;refID=7081343&amp;Result=3","7081343")</f>
        <v>0</v>
      </c>
      <c r="B244" t="s">
        <v>126</v>
      </c>
      <c r="C244" t="s">
        <v>3764</v>
      </c>
      <c r="D244" t="s">
        <v>18125</v>
      </c>
      <c r="E244" t="s">
        <v>18439</v>
      </c>
      <c r="F244" t="s">
        <v>31362</v>
      </c>
      <c r="G244" t="s">
        <v>31368</v>
      </c>
      <c r="H244" t="s">
        <v>15799</v>
      </c>
      <c r="I244" t="s">
        <v>31384</v>
      </c>
      <c r="J244" t="s">
        <v>31719</v>
      </c>
      <c r="K244" t="s">
        <v>40673</v>
      </c>
      <c r="M244" t="s">
        <v>41063</v>
      </c>
      <c r="N244" t="s">
        <v>44905</v>
      </c>
      <c r="O244" t="s">
        <v>44906</v>
      </c>
      <c r="P244">
        <v>0</v>
      </c>
      <c r="Q244">
        <v>2</v>
      </c>
      <c r="R244" t="s">
        <v>44907</v>
      </c>
      <c r="S244" t="s">
        <v>45026</v>
      </c>
      <c r="T244" t="s">
        <v>46411</v>
      </c>
      <c r="U244" t="s">
        <v>47126</v>
      </c>
      <c r="W244" t="s">
        <v>41063</v>
      </c>
      <c r="X244" t="s">
        <v>44909</v>
      </c>
    </row>
    <row r="245" spans="1:24">
      <c r="A245">
        <f>HYPERLINK("https://www.philgeps.gov.ph/GEPSNONPILOT/Tender/SplashBidNoticeAbstractUI.aspx?menuIndex=3&amp;refID=7081449&amp;Result=3","7081449")</f>
        <v>0</v>
      </c>
      <c r="B245" t="s">
        <v>127</v>
      </c>
      <c r="C245" t="s">
        <v>3765</v>
      </c>
      <c r="D245" t="s">
        <v>18116</v>
      </c>
      <c r="E245" t="s">
        <v>18440</v>
      </c>
      <c r="F245" t="s">
        <v>31362</v>
      </c>
      <c r="G245" t="s">
        <v>31370</v>
      </c>
      <c r="H245" t="s">
        <v>15799</v>
      </c>
      <c r="I245" t="s">
        <v>31392</v>
      </c>
      <c r="J245" t="s">
        <v>31720</v>
      </c>
      <c r="K245" t="s">
        <v>40672</v>
      </c>
      <c r="M245" t="s">
        <v>41064</v>
      </c>
      <c r="N245" t="s">
        <v>44905</v>
      </c>
      <c r="O245" t="s">
        <v>44906</v>
      </c>
      <c r="P245">
        <v>0</v>
      </c>
      <c r="Q245">
        <v>0</v>
      </c>
      <c r="R245" t="s">
        <v>44907</v>
      </c>
      <c r="S245" t="s">
        <v>45026</v>
      </c>
      <c r="T245" t="s">
        <v>46459</v>
      </c>
      <c r="U245" t="s">
        <v>47127</v>
      </c>
      <c r="W245" t="s">
        <v>41064</v>
      </c>
      <c r="X245" t="s">
        <v>44909</v>
      </c>
    </row>
    <row r="246" spans="1:24">
      <c r="A246">
        <f>HYPERLINK("https://www.philgeps.gov.ph/GEPSNONPILOT/Tender/SplashBidNoticeAbstractUI.aspx?menuIndex=3&amp;refID=7081333&amp;Result=3","7081333")</f>
        <v>0</v>
      </c>
      <c r="B246" t="s">
        <v>128</v>
      </c>
      <c r="C246" t="s">
        <v>3766</v>
      </c>
      <c r="D246" t="s">
        <v>18106</v>
      </c>
      <c r="E246" t="s">
        <v>18441</v>
      </c>
      <c r="F246" t="s">
        <v>31362</v>
      </c>
      <c r="G246" t="s">
        <v>31368</v>
      </c>
      <c r="H246" t="s">
        <v>15799</v>
      </c>
      <c r="I246" t="s">
        <v>31422</v>
      </c>
      <c r="J246" t="s">
        <v>31531</v>
      </c>
      <c r="K246" t="s">
        <v>40666</v>
      </c>
      <c r="M246" t="s">
        <v>41065</v>
      </c>
      <c r="N246" t="s">
        <v>44905</v>
      </c>
      <c r="O246" t="s">
        <v>44906</v>
      </c>
      <c r="P246">
        <v>0</v>
      </c>
      <c r="Q246">
        <v>1</v>
      </c>
      <c r="R246" t="s">
        <v>44907</v>
      </c>
      <c r="S246" t="s">
        <v>45026</v>
      </c>
      <c r="T246" t="s">
        <v>46460</v>
      </c>
      <c r="U246" t="s">
        <v>47128</v>
      </c>
      <c r="W246" t="s">
        <v>41065</v>
      </c>
      <c r="X246" t="s">
        <v>44909</v>
      </c>
    </row>
    <row r="247" spans="1:24">
      <c r="A247">
        <f>HYPERLINK("https://www.philgeps.gov.ph/GEPSNONPILOT/Tender/SplashBidNoticeAbstractUI.aspx?menuIndex=3&amp;refID=7081288&amp;Result=3","7081288")</f>
        <v>0</v>
      </c>
      <c r="B247" t="s">
        <v>111</v>
      </c>
      <c r="C247" t="s">
        <v>3767</v>
      </c>
      <c r="D247" t="s">
        <v>18127</v>
      </c>
      <c r="E247" t="s">
        <v>18442</v>
      </c>
      <c r="F247" t="s">
        <v>31362</v>
      </c>
      <c r="G247" t="s">
        <v>31369</v>
      </c>
      <c r="H247" t="s">
        <v>31378</v>
      </c>
      <c r="I247" t="s">
        <v>31386</v>
      </c>
      <c r="J247" t="s">
        <v>31721</v>
      </c>
      <c r="K247" t="s">
        <v>40691</v>
      </c>
      <c r="M247" t="s">
        <v>41048</v>
      </c>
      <c r="N247" t="s">
        <v>44905</v>
      </c>
      <c r="O247" t="s">
        <v>44906</v>
      </c>
      <c r="P247">
        <v>0</v>
      </c>
      <c r="Q247">
        <v>0</v>
      </c>
      <c r="R247" t="s">
        <v>44907</v>
      </c>
      <c r="S247" t="s">
        <v>45026</v>
      </c>
      <c r="T247" t="s">
        <v>46448</v>
      </c>
      <c r="U247" t="s">
        <v>47104</v>
      </c>
      <c r="W247" t="s">
        <v>41048</v>
      </c>
      <c r="X247" t="s">
        <v>44909</v>
      </c>
    </row>
    <row r="248" spans="1:24">
      <c r="A248">
        <f>HYPERLINK("https://www.philgeps.gov.ph/GEPSNONPILOT/Tender/SplashBidNoticeAbstractUI.aspx?menuIndex=3&amp;refID=7081399&amp;Result=3","7081399")</f>
        <v>0</v>
      </c>
      <c r="B248" t="s">
        <v>129</v>
      </c>
      <c r="C248" t="s">
        <v>3768</v>
      </c>
      <c r="D248" t="s">
        <v>18147</v>
      </c>
      <c r="E248" t="s">
        <v>18443</v>
      </c>
      <c r="F248" t="s">
        <v>31362</v>
      </c>
      <c r="G248" t="s">
        <v>31368</v>
      </c>
      <c r="H248" t="s">
        <v>15799</v>
      </c>
      <c r="I248" t="s">
        <v>31404</v>
      </c>
      <c r="J248" t="s">
        <v>31722</v>
      </c>
      <c r="K248" t="s">
        <v>40672</v>
      </c>
      <c r="M248" t="s">
        <v>41066</v>
      </c>
      <c r="N248" t="s">
        <v>44905</v>
      </c>
      <c r="O248" t="s">
        <v>44906</v>
      </c>
      <c r="P248">
        <v>0</v>
      </c>
      <c r="Q248">
        <v>0</v>
      </c>
      <c r="R248" t="s">
        <v>44907</v>
      </c>
      <c r="S248" t="s">
        <v>45026</v>
      </c>
      <c r="T248" t="s">
        <v>46432</v>
      </c>
      <c r="U248" t="s">
        <v>47129</v>
      </c>
      <c r="W248" t="s">
        <v>41066</v>
      </c>
      <c r="X248" t="s">
        <v>44909</v>
      </c>
    </row>
    <row r="249" spans="1:24">
      <c r="A249">
        <f>HYPERLINK("https://www.philgeps.gov.ph/GEPSNONPILOT/Tender/SplashBidNoticeAbstractUI.aspx?menuIndex=3&amp;refID=7081038&amp;Result=3","7081038")</f>
        <v>0</v>
      </c>
      <c r="B249" t="s">
        <v>130</v>
      </c>
      <c r="C249" t="s">
        <v>3769</v>
      </c>
      <c r="D249" t="s">
        <v>18109</v>
      </c>
      <c r="E249" t="s">
        <v>3769</v>
      </c>
      <c r="F249" t="s">
        <v>31362</v>
      </c>
      <c r="G249" t="s">
        <v>31368</v>
      </c>
      <c r="H249" t="s">
        <v>15799</v>
      </c>
      <c r="I249" t="s">
        <v>31419</v>
      </c>
      <c r="J249" t="s">
        <v>31723</v>
      </c>
      <c r="K249" t="s">
        <v>40662</v>
      </c>
      <c r="M249" t="s">
        <v>41067</v>
      </c>
      <c r="N249" t="s">
        <v>44905</v>
      </c>
      <c r="O249" t="s">
        <v>44906</v>
      </c>
      <c r="P249">
        <v>0</v>
      </c>
      <c r="Q249">
        <v>1</v>
      </c>
      <c r="R249" t="s">
        <v>44907</v>
      </c>
      <c r="S249" t="s">
        <v>45026</v>
      </c>
      <c r="T249" t="s">
        <v>46394</v>
      </c>
      <c r="U249" t="s">
        <v>47130</v>
      </c>
      <c r="W249" t="s">
        <v>41067</v>
      </c>
      <c r="X249" t="s">
        <v>44909</v>
      </c>
    </row>
    <row r="250" spans="1:24">
      <c r="A250">
        <f>HYPERLINK("https://www.philgeps.gov.ph/GEPSNONPILOT/Tender/SplashBidNoticeAbstractUI.aspx?menuIndex=3&amp;refID=7081181&amp;Result=3","7081181")</f>
        <v>0</v>
      </c>
      <c r="B250" t="s">
        <v>48</v>
      </c>
      <c r="C250" t="s">
        <v>3770</v>
      </c>
      <c r="D250" t="s">
        <v>18117</v>
      </c>
      <c r="E250" t="s">
        <v>18444</v>
      </c>
      <c r="F250" t="s">
        <v>31362</v>
      </c>
      <c r="G250" t="s">
        <v>31369</v>
      </c>
      <c r="H250" t="s">
        <v>15799</v>
      </c>
      <c r="I250" t="s">
        <v>31382</v>
      </c>
      <c r="J250" t="s">
        <v>31724</v>
      </c>
      <c r="K250" t="s">
        <v>40665</v>
      </c>
      <c r="M250" t="s">
        <v>41068</v>
      </c>
      <c r="N250" t="s">
        <v>44905</v>
      </c>
      <c r="O250" t="s">
        <v>44906</v>
      </c>
      <c r="P250">
        <v>0</v>
      </c>
      <c r="Q250">
        <v>1</v>
      </c>
      <c r="R250" t="s">
        <v>44907</v>
      </c>
      <c r="S250" t="s">
        <v>45026</v>
      </c>
      <c r="T250" t="s">
        <v>46398</v>
      </c>
      <c r="U250" t="s">
        <v>47131</v>
      </c>
      <c r="V250" t="s">
        <v>59078</v>
      </c>
      <c r="W250" t="s">
        <v>41068</v>
      </c>
      <c r="X250" t="s">
        <v>44909</v>
      </c>
    </row>
    <row r="251" spans="1:24">
      <c r="A251">
        <f>HYPERLINK("https://www.philgeps.gov.ph/GEPSNONPILOT/Tender/SplashBidNoticeAbstractUI.aspx?menuIndex=3&amp;refID=7081314&amp;Result=3","7081314")</f>
        <v>0</v>
      </c>
      <c r="B251" t="s">
        <v>131</v>
      </c>
      <c r="C251" t="s">
        <v>3771</v>
      </c>
      <c r="D251" t="s">
        <v>18125</v>
      </c>
      <c r="E251" t="s">
        <v>18445</v>
      </c>
      <c r="F251" t="s">
        <v>31362</v>
      </c>
      <c r="G251" t="s">
        <v>31368</v>
      </c>
      <c r="H251" t="s">
        <v>15799</v>
      </c>
      <c r="I251" t="s">
        <v>31428</v>
      </c>
      <c r="J251" t="s">
        <v>31725</v>
      </c>
      <c r="K251" t="s">
        <v>40670</v>
      </c>
      <c r="L251" t="s">
        <v>131</v>
      </c>
      <c r="M251" t="s">
        <v>41069</v>
      </c>
      <c r="N251" t="s">
        <v>44905</v>
      </c>
      <c r="O251" t="s">
        <v>44906</v>
      </c>
      <c r="P251">
        <v>0</v>
      </c>
      <c r="Q251">
        <v>1</v>
      </c>
      <c r="R251" t="s">
        <v>44907</v>
      </c>
      <c r="S251" t="s">
        <v>45026</v>
      </c>
      <c r="T251" t="s">
        <v>46443</v>
      </c>
      <c r="U251" t="s">
        <v>47132</v>
      </c>
      <c r="V251" t="s">
        <v>59079</v>
      </c>
      <c r="W251" t="s">
        <v>41069</v>
      </c>
      <c r="X251" t="s">
        <v>44909</v>
      </c>
    </row>
    <row r="252" spans="1:24">
      <c r="A252">
        <f>HYPERLINK("https://www.philgeps.gov.ph/GEPSNONPILOT/Tender/SplashBidNoticeAbstractUI.aspx?menuIndex=3&amp;refID=7081267&amp;Result=3","7081267")</f>
        <v>0</v>
      </c>
      <c r="B252" t="s">
        <v>111</v>
      </c>
      <c r="C252" t="s">
        <v>3772</v>
      </c>
      <c r="D252" t="s">
        <v>18127</v>
      </c>
      <c r="E252" t="s">
        <v>18446</v>
      </c>
      <c r="F252" t="s">
        <v>31362</v>
      </c>
      <c r="G252" t="s">
        <v>31369</v>
      </c>
      <c r="H252" t="s">
        <v>31378</v>
      </c>
      <c r="I252" t="s">
        <v>31386</v>
      </c>
      <c r="J252" t="s">
        <v>31726</v>
      </c>
      <c r="K252" t="s">
        <v>40700</v>
      </c>
      <c r="M252" t="s">
        <v>41048</v>
      </c>
      <c r="N252" t="s">
        <v>44905</v>
      </c>
      <c r="O252" t="s">
        <v>44906</v>
      </c>
      <c r="P252">
        <v>0</v>
      </c>
      <c r="Q252">
        <v>0</v>
      </c>
      <c r="R252" t="s">
        <v>44907</v>
      </c>
      <c r="S252" t="s">
        <v>45026</v>
      </c>
      <c r="T252" t="s">
        <v>46448</v>
      </c>
      <c r="U252" t="s">
        <v>47104</v>
      </c>
      <c r="W252" t="s">
        <v>41048</v>
      </c>
      <c r="X252" t="s">
        <v>44909</v>
      </c>
    </row>
    <row r="253" spans="1:24">
      <c r="A253">
        <f>HYPERLINK("https://www.philgeps.gov.ph/GEPSNONPILOT/Tender/SplashBidNoticeAbstractUI.aspx?menuIndex=3&amp;refID=7081612&amp;Result=3","7081612")</f>
        <v>0</v>
      </c>
      <c r="B253" t="s">
        <v>117</v>
      </c>
      <c r="C253" t="s">
        <v>3773</v>
      </c>
      <c r="D253" t="s">
        <v>18104</v>
      </c>
      <c r="E253" t="s">
        <v>18447</v>
      </c>
      <c r="F253" t="s">
        <v>31362</v>
      </c>
      <c r="G253" t="s">
        <v>31370</v>
      </c>
      <c r="H253" t="s">
        <v>15799</v>
      </c>
      <c r="I253" t="s">
        <v>31423</v>
      </c>
      <c r="J253" t="s">
        <v>31727</v>
      </c>
      <c r="K253" t="s">
        <v>40662</v>
      </c>
      <c r="M253" t="s">
        <v>41054</v>
      </c>
      <c r="N253" t="s">
        <v>44905</v>
      </c>
      <c r="O253" t="s">
        <v>44906</v>
      </c>
      <c r="P253">
        <v>0</v>
      </c>
      <c r="Q253">
        <v>0</v>
      </c>
      <c r="R253" t="s">
        <v>44907</v>
      </c>
      <c r="S253" t="s">
        <v>45026</v>
      </c>
      <c r="T253" t="s">
        <v>46403</v>
      </c>
      <c r="U253" t="s">
        <v>47133</v>
      </c>
      <c r="W253" t="s">
        <v>41054</v>
      </c>
      <c r="X253" t="s">
        <v>44909</v>
      </c>
    </row>
    <row r="254" spans="1:24">
      <c r="A254">
        <f>HYPERLINK("https://www.philgeps.gov.ph/GEPSNONPILOT/Tender/SplashBidNoticeAbstractUI.aspx?menuIndex=3&amp;refID=7081236&amp;Result=3","7081236")</f>
        <v>0</v>
      </c>
      <c r="B254" t="s">
        <v>48</v>
      </c>
      <c r="C254" t="s">
        <v>3774</v>
      </c>
      <c r="D254" t="s">
        <v>18117</v>
      </c>
      <c r="E254" t="s">
        <v>18448</v>
      </c>
      <c r="F254" t="s">
        <v>31362</v>
      </c>
      <c r="G254" t="s">
        <v>31369</v>
      </c>
      <c r="H254" t="s">
        <v>15799</v>
      </c>
      <c r="I254" t="s">
        <v>31382</v>
      </c>
      <c r="J254" t="s">
        <v>31728</v>
      </c>
      <c r="K254" t="s">
        <v>40665</v>
      </c>
      <c r="M254" t="s">
        <v>41068</v>
      </c>
      <c r="N254" t="s">
        <v>44905</v>
      </c>
      <c r="O254" t="s">
        <v>44906</v>
      </c>
      <c r="P254">
        <v>0</v>
      </c>
      <c r="Q254">
        <v>1</v>
      </c>
      <c r="R254" t="s">
        <v>44907</v>
      </c>
      <c r="S254" t="s">
        <v>45026</v>
      </c>
      <c r="T254" t="s">
        <v>46398</v>
      </c>
      <c r="U254" t="s">
        <v>47134</v>
      </c>
      <c r="V254" t="s">
        <v>59078</v>
      </c>
      <c r="W254" t="s">
        <v>41068</v>
      </c>
      <c r="X254" t="s">
        <v>44909</v>
      </c>
    </row>
    <row r="255" spans="1:24">
      <c r="A255">
        <f>HYPERLINK("https://www.philgeps.gov.ph/GEPSNONPILOT/Tender/SplashBidNoticeAbstractUI.aspx?menuIndex=3&amp;refID=7081434&amp;Result=3","7081434")</f>
        <v>0</v>
      </c>
      <c r="B255" t="s">
        <v>122</v>
      </c>
      <c r="C255" t="s">
        <v>3775</v>
      </c>
      <c r="D255" t="s">
        <v>18145</v>
      </c>
      <c r="E255" t="s">
        <v>18449</v>
      </c>
      <c r="F255" t="s">
        <v>31362</v>
      </c>
      <c r="G255" t="s">
        <v>31369</v>
      </c>
      <c r="H255" t="s">
        <v>15799</v>
      </c>
      <c r="I255" t="s">
        <v>31426</v>
      </c>
      <c r="J255" t="s">
        <v>31729</v>
      </c>
      <c r="K255" t="s">
        <v>40682</v>
      </c>
      <c r="M255" t="s">
        <v>41059</v>
      </c>
      <c r="N255" t="s">
        <v>44905</v>
      </c>
      <c r="O255" t="s">
        <v>44906</v>
      </c>
      <c r="P255">
        <v>0</v>
      </c>
      <c r="Q255">
        <v>3</v>
      </c>
      <c r="R255" t="s">
        <v>44907</v>
      </c>
      <c r="S255" t="s">
        <v>45026</v>
      </c>
      <c r="T255" t="s">
        <v>46455</v>
      </c>
      <c r="U255" t="s">
        <v>47121</v>
      </c>
      <c r="V255" t="s">
        <v>59080</v>
      </c>
      <c r="W255" t="s">
        <v>41059</v>
      </c>
      <c r="X255" t="s">
        <v>44909</v>
      </c>
    </row>
    <row r="256" spans="1:24">
      <c r="A256">
        <f>HYPERLINK("https://www.philgeps.gov.ph/GEPSNONPILOT/Tender/SplashBidNoticeAbstractUI.aspx?menuIndex=3&amp;refID=7081736&amp;Result=3","7081736")</f>
        <v>0</v>
      </c>
      <c r="B256" t="s">
        <v>132</v>
      </c>
      <c r="C256" t="s">
        <v>3776</v>
      </c>
      <c r="D256" t="s">
        <v>18131</v>
      </c>
      <c r="E256" t="s">
        <v>18450</v>
      </c>
      <c r="F256" t="s">
        <v>31362</v>
      </c>
      <c r="G256" t="s">
        <v>31369</v>
      </c>
      <c r="H256" t="s">
        <v>31378</v>
      </c>
      <c r="I256" t="s">
        <v>31386</v>
      </c>
      <c r="J256" t="s">
        <v>31578</v>
      </c>
      <c r="K256" t="s">
        <v>40682</v>
      </c>
      <c r="L256" t="s">
        <v>132</v>
      </c>
      <c r="M256" t="s">
        <v>41070</v>
      </c>
      <c r="N256" t="s">
        <v>44905</v>
      </c>
      <c r="O256" t="s">
        <v>44906</v>
      </c>
      <c r="P256">
        <v>0</v>
      </c>
      <c r="Q256">
        <v>0</v>
      </c>
      <c r="R256" t="s">
        <v>44907</v>
      </c>
      <c r="S256" t="s">
        <v>45026</v>
      </c>
      <c r="T256" t="s">
        <v>46461</v>
      </c>
      <c r="U256" t="s">
        <v>47135</v>
      </c>
      <c r="W256" t="s">
        <v>41070</v>
      </c>
      <c r="X256" t="s">
        <v>44909</v>
      </c>
    </row>
    <row r="257" spans="1:24">
      <c r="A257">
        <f>HYPERLINK("https://www.philgeps.gov.ph/GEPSNONPILOT/Tender/SplashBidNoticeAbstractUI.aspx?menuIndex=3&amp;refID=7081744&amp;Result=3","7081744")</f>
        <v>0</v>
      </c>
      <c r="B257" t="s">
        <v>133</v>
      </c>
      <c r="C257" t="s">
        <v>3777</v>
      </c>
      <c r="D257" t="s">
        <v>18148</v>
      </c>
      <c r="E257" t="s">
        <v>18451</v>
      </c>
      <c r="F257" t="s">
        <v>31362</v>
      </c>
      <c r="G257" t="s">
        <v>31371</v>
      </c>
      <c r="H257" t="s">
        <v>15799</v>
      </c>
      <c r="I257" t="s">
        <v>31382</v>
      </c>
      <c r="J257" t="s">
        <v>31730</v>
      </c>
      <c r="K257" t="s">
        <v>40672</v>
      </c>
      <c r="M257" t="s">
        <v>41071</v>
      </c>
      <c r="N257" t="s">
        <v>44905</v>
      </c>
      <c r="O257" t="s">
        <v>44906</v>
      </c>
      <c r="P257">
        <v>0</v>
      </c>
      <c r="Q257">
        <v>4</v>
      </c>
      <c r="R257" t="s">
        <v>44907</v>
      </c>
      <c r="S257" t="s">
        <v>45026</v>
      </c>
      <c r="T257" t="s">
        <v>46414</v>
      </c>
      <c r="U257" t="s">
        <v>47136</v>
      </c>
      <c r="W257" t="s">
        <v>41071</v>
      </c>
      <c r="X257" t="s">
        <v>44909</v>
      </c>
    </row>
    <row r="258" spans="1:24">
      <c r="A258">
        <f>HYPERLINK("https://www.philgeps.gov.ph/GEPSNONPILOT/Tender/SplashBidNoticeAbstractUI.aspx?menuIndex=3&amp;refID=7081743&amp;Result=3","7081743")</f>
        <v>0</v>
      </c>
      <c r="B258" t="s">
        <v>132</v>
      </c>
      <c r="C258" t="s">
        <v>3778</v>
      </c>
      <c r="D258" t="s">
        <v>18131</v>
      </c>
      <c r="E258" t="s">
        <v>18450</v>
      </c>
      <c r="F258" t="s">
        <v>31362</v>
      </c>
      <c r="G258" t="s">
        <v>31369</v>
      </c>
      <c r="H258" t="s">
        <v>31378</v>
      </c>
      <c r="I258" t="s">
        <v>31386</v>
      </c>
      <c r="J258" t="s">
        <v>31531</v>
      </c>
      <c r="K258" t="s">
        <v>40682</v>
      </c>
      <c r="L258" t="s">
        <v>132</v>
      </c>
      <c r="M258" t="s">
        <v>41070</v>
      </c>
      <c r="N258" t="s">
        <v>44905</v>
      </c>
      <c r="O258" t="s">
        <v>44906</v>
      </c>
      <c r="P258">
        <v>0</v>
      </c>
      <c r="Q258">
        <v>0</v>
      </c>
      <c r="R258" t="s">
        <v>44907</v>
      </c>
      <c r="S258" t="s">
        <v>45026</v>
      </c>
      <c r="T258" t="s">
        <v>46461</v>
      </c>
      <c r="U258" t="s">
        <v>47137</v>
      </c>
      <c r="W258" t="s">
        <v>41070</v>
      </c>
      <c r="X258" t="s">
        <v>44909</v>
      </c>
    </row>
    <row r="259" spans="1:24">
      <c r="A259">
        <f>HYPERLINK("https://www.philgeps.gov.ph/GEPSNONPILOT/Tender/SplashBidNoticeAbstractUI.aspx?menuIndex=3&amp;refID=7081421&amp;Result=3","7081421")</f>
        <v>0</v>
      </c>
      <c r="B259" t="s">
        <v>134</v>
      </c>
      <c r="C259" t="s">
        <v>3779</v>
      </c>
      <c r="D259" t="s">
        <v>18108</v>
      </c>
      <c r="E259" t="s">
        <v>18452</v>
      </c>
      <c r="F259" t="s">
        <v>31362</v>
      </c>
      <c r="G259" t="s">
        <v>31368</v>
      </c>
      <c r="H259" t="s">
        <v>15799</v>
      </c>
      <c r="I259" t="s">
        <v>3815</v>
      </c>
      <c r="J259" t="s">
        <v>31731</v>
      </c>
      <c r="K259" t="s">
        <v>40662</v>
      </c>
      <c r="M259" t="s">
        <v>41072</v>
      </c>
      <c r="N259" t="s">
        <v>44905</v>
      </c>
      <c r="O259" t="s">
        <v>44906</v>
      </c>
      <c r="P259">
        <v>0</v>
      </c>
      <c r="Q259">
        <v>1</v>
      </c>
      <c r="R259" t="s">
        <v>44907</v>
      </c>
      <c r="S259" t="s">
        <v>45026</v>
      </c>
      <c r="T259" t="s">
        <v>46443</v>
      </c>
      <c r="U259" t="s">
        <v>47138</v>
      </c>
      <c r="W259" t="s">
        <v>41072</v>
      </c>
      <c r="X259" t="s">
        <v>44909</v>
      </c>
    </row>
    <row r="260" spans="1:24">
      <c r="A260">
        <f>HYPERLINK("https://www.philgeps.gov.ph/GEPSNONPILOT/Tender/SplashBidNoticeAbstractUI.aspx?menuIndex=3&amp;refID=7081620&amp;Result=3","7081620")</f>
        <v>0</v>
      </c>
      <c r="B260" t="s">
        <v>135</v>
      </c>
      <c r="C260" t="s">
        <v>3780</v>
      </c>
      <c r="D260" t="s">
        <v>18149</v>
      </c>
      <c r="E260" t="s">
        <v>18319</v>
      </c>
      <c r="F260" t="s">
        <v>31362</v>
      </c>
      <c r="G260" t="s">
        <v>31369</v>
      </c>
      <c r="H260" t="s">
        <v>31378</v>
      </c>
      <c r="I260" t="s">
        <v>31386</v>
      </c>
      <c r="J260" t="s">
        <v>31732</v>
      </c>
      <c r="K260" t="s">
        <v>40701</v>
      </c>
      <c r="M260" t="s">
        <v>41073</v>
      </c>
      <c r="N260" t="s">
        <v>44905</v>
      </c>
      <c r="O260" t="s">
        <v>44906</v>
      </c>
      <c r="P260">
        <v>0</v>
      </c>
      <c r="Q260">
        <v>0</v>
      </c>
      <c r="R260" t="s">
        <v>44907</v>
      </c>
      <c r="S260" t="s">
        <v>45026</v>
      </c>
      <c r="T260" t="s">
        <v>46462</v>
      </c>
      <c r="U260" t="s">
        <v>47139</v>
      </c>
      <c r="W260" t="s">
        <v>41073</v>
      </c>
      <c r="X260" t="s">
        <v>44909</v>
      </c>
    </row>
    <row r="261" spans="1:24">
      <c r="A261">
        <f>HYPERLINK("https://www.philgeps.gov.ph/GEPSNONPILOT/Tender/SplashBidNoticeAbstractUI.aspx?menuIndex=3&amp;refID=7081733&amp;Result=3","7081733")</f>
        <v>0</v>
      </c>
      <c r="B261" t="s">
        <v>104</v>
      </c>
      <c r="C261" t="s">
        <v>3781</v>
      </c>
      <c r="D261" t="s">
        <v>18127</v>
      </c>
      <c r="E261" t="s">
        <v>18453</v>
      </c>
      <c r="F261" t="s">
        <v>31362</v>
      </c>
      <c r="G261" t="s">
        <v>31368</v>
      </c>
      <c r="H261" t="s">
        <v>15799</v>
      </c>
      <c r="I261" t="s">
        <v>7090</v>
      </c>
      <c r="J261" t="s">
        <v>31733</v>
      </c>
      <c r="K261" t="s">
        <v>40665</v>
      </c>
      <c r="M261" t="s">
        <v>41041</v>
      </c>
      <c r="N261" t="s">
        <v>44905</v>
      </c>
      <c r="O261" t="s">
        <v>44906</v>
      </c>
      <c r="P261">
        <v>0</v>
      </c>
      <c r="Q261">
        <v>1</v>
      </c>
      <c r="R261" t="s">
        <v>44907</v>
      </c>
      <c r="S261" t="s">
        <v>45026</v>
      </c>
      <c r="T261" t="s">
        <v>46444</v>
      </c>
      <c r="U261" t="s">
        <v>47140</v>
      </c>
      <c r="W261" t="s">
        <v>41041</v>
      </c>
      <c r="X261" t="s">
        <v>44909</v>
      </c>
    </row>
    <row r="262" spans="1:24">
      <c r="A262">
        <f>HYPERLINK("https://www.philgeps.gov.ph/GEPSNONPILOT/Tender/SplashBidNoticeAbstractUI.aspx?menuIndex=3&amp;refID=7081732&amp;Result=3","7081732")</f>
        <v>0</v>
      </c>
      <c r="B262" t="s">
        <v>132</v>
      </c>
      <c r="C262" t="s">
        <v>3782</v>
      </c>
      <c r="D262" t="s">
        <v>18131</v>
      </c>
      <c r="E262" t="s">
        <v>18450</v>
      </c>
      <c r="F262" t="s">
        <v>31362</v>
      </c>
      <c r="G262" t="s">
        <v>31369</v>
      </c>
      <c r="H262" t="s">
        <v>31378</v>
      </c>
      <c r="I262" t="s">
        <v>31386</v>
      </c>
      <c r="J262" t="s">
        <v>31578</v>
      </c>
      <c r="K262" t="s">
        <v>40682</v>
      </c>
      <c r="L262" t="s">
        <v>132</v>
      </c>
      <c r="M262" t="s">
        <v>41070</v>
      </c>
      <c r="N262" t="s">
        <v>44905</v>
      </c>
      <c r="O262" t="s">
        <v>44906</v>
      </c>
      <c r="P262">
        <v>0</v>
      </c>
      <c r="Q262">
        <v>0</v>
      </c>
      <c r="R262" t="s">
        <v>44907</v>
      </c>
      <c r="S262" t="s">
        <v>45026</v>
      </c>
      <c r="T262" t="s">
        <v>46461</v>
      </c>
      <c r="U262" t="s">
        <v>47141</v>
      </c>
      <c r="W262" t="s">
        <v>41070</v>
      </c>
      <c r="X262" t="s">
        <v>44909</v>
      </c>
    </row>
    <row r="263" spans="1:24">
      <c r="A263">
        <f>HYPERLINK("https://www.philgeps.gov.ph/GEPSNONPILOT/Tender/SplashBidNoticeAbstractUI.aspx?menuIndex=3&amp;refID=7081702&amp;Result=3","7081702")</f>
        <v>0</v>
      </c>
      <c r="B263" t="s">
        <v>132</v>
      </c>
      <c r="C263" t="s">
        <v>3783</v>
      </c>
      <c r="D263" t="s">
        <v>18131</v>
      </c>
      <c r="E263" t="s">
        <v>18450</v>
      </c>
      <c r="F263" t="s">
        <v>31362</v>
      </c>
      <c r="G263" t="s">
        <v>31369</v>
      </c>
      <c r="H263" t="s">
        <v>31378</v>
      </c>
      <c r="I263" t="s">
        <v>31386</v>
      </c>
      <c r="J263" t="s">
        <v>31578</v>
      </c>
      <c r="K263" t="s">
        <v>40682</v>
      </c>
      <c r="L263" t="s">
        <v>132</v>
      </c>
      <c r="M263" t="s">
        <v>41070</v>
      </c>
      <c r="N263" t="s">
        <v>44905</v>
      </c>
      <c r="O263" t="s">
        <v>44906</v>
      </c>
      <c r="P263">
        <v>0</v>
      </c>
      <c r="Q263">
        <v>1</v>
      </c>
      <c r="R263" t="s">
        <v>44907</v>
      </c>
      <c r="S263" t="s">
        <v>45026</v>
      </c>
      <c r="T263" t="s">
        <v>46461</v>
      </c>
      <c r="U263" t="s">
        <v>47141</v>
      </c>
      <c r="W263" t="s">
        <v>41070</v>
      </c>
      <c r="X263" t="s">
        <v>44909</v>
      </c>
    </row>
    <row r="264" spans="1:24">
      <c r="A264">
        <f>HYPERLINK("https://www.philgeps.gov.ph/GEPSNONPILOT/Tender/SplashBidNoticeAbstractUI.aspx?menuIndex=3&amp;refID=7081735&amp;Result=3","7081735")</f>
        <v>0</v>
      </c>
      <c r="B264" t="s">
        <v>121</v>
      </c>
      <c r="C264" t="s">
        <v>3784</v>
      </c>
      <c r="D264" t="s">
        <v>18144</v>
      </c>
      <c r="E264" t="s">
        <v>18454</v>
      </c>
      <c r="F264" t="s">
        <v>31362</v>
      </c>
      <c r="G264" t="s">
        <v>31369</v>
      </c>
      <c r="H264" t="s">
        <v>15799</v>
      </c>
      <c r="I264" t="s">
        <v>31425</v>
      </c>
      <c r="J264" t="s">
        <v>31734</v>
      </c>
      <c r="K264" t="s">
        <v>40661</v>
      </c>
      <c r="M264" t="s">
        <v>41058</v>
      </c>
      <c r="N264" t="s">
        <v>44905</v>
      </c>
      <c r="O264" t="s">
        <v>44906</v>
      </c>
      <c r="P264">
        <v>0</v>
      </c>
      <c r="Q264">
        <v>0</v>
      </c>
      <c r="R264" t="s">
        <v>44907</v>
      </c>
      <c r="S264" t="s">
        <v>45026</v>
      </c>
      <c r="T264" t="s">
        <v>46392</v>
      </c>
      <c r="U264" t="s">
        <v>47142</v>
      </c>
      <c r="W264" t="s">
        <v>41058</v>
      </c>
      <c r="X264" t="s">
        <v>44909</v>
      </c>
    </row>
    <row r="265" spans="1:24">
      <c r="A265">
        <f>HYPERLINK("https://www.philgeps.gov.ph/GEPSNONPILOT/Tender/SplashBidNoticeAbstractUI.aspx?menuIndex=3&amp;refID=7081741&amp;Result=3","7081741")</f>
        <v>0</v>
      </c>
      <c r="B265" t="s">
        <v>136</v>
      </c>
      <c r="C265" t="s">
        <v>3785</v>
      </c>
      <c r="D265" t="s">
        <v>18108</v>
      </c>
      <c r="E265" t="s">
        <v>18455</v>
      </c>
      <c r="F265" t="s">
        <v>31362</v>
      </c>
      <c r="G265" t="s">
        <v>31368</v>
      </c>
      <c r="H265" t="s">
        <v>15799</v>
      </c>
      <c r="I265" t="s">
        <v>31380</v>
      </c>
      <c r="J265" t="s">
        <v>31735</v>
      </c>
      <c r="K265" t="s">
        <v>40682</v>
      </c>
      <c r="M265" t="s">
        <v>41074</v>
      </c>
      <c r="N265" t="s">
        <v>44905</v>
      </c>
      <c r="O265" t="s">
        <v>44906</v>
      </c>
      <c r="P265">
        <v>0</v>
      </c>
      <c r="Q265">
        <v>0</v>
      </c>
      <c r="R265" t="s">
        <v>44907</v>
      </c>
      <c r="S265" t="s">
        <v>45026</v>
      </c>
      <c r="T265" t="s">
        <v>46416</v>
      </c>
      <c r="U265" t="s">
        <v>47143</v>
      </c>
      <c r="W265" t="s">
        <v>60836</v>
      </c>
      <c r="X265" t="s">
        <v>44909</v>
      </c>
    </row>
    <row r="266" spans="1:24">
      <c r="A266">
        <f>HYPERLINK("https://www.philgeps.gov.ph/GEPSNONPILOT/Tender/SplashBidNoticeAbstractUI.aspx?menuIndex=3&amp;refID=7081740&amp;Result=3","7081740")</f>
        <v>0</v>
      </c>
      <c r="B266" t="s">
        <v>132</v>
      </c>
      <c r="C266" t="s">
        <v>3786</v>
      </c>
      <c r="D266" t="s">
        <v>18131</v>
      </c>
      <c r="E266" t="s">
        <v>18450</v>
      </c>
      <c r="F266" t="s">
        <v>31362</v>
      </c>
      <c r="G266" t="s">
        <v>31369</v>
      </c>
      <c r="H266" t="s">
        <v>31378</v>
      </c>
      <c r="I266" t="s">
        <v>31386</v>
      </c>
      <c r="J266" t="s">
        <v>31530</v>
      </c>
      <c r="K266" t="s">
        <v>40665</v>
      </c>
      <c r="L266" t="s">
        <v>132</v>
      </c>
      <c r="M266" t="s">
        <v>41070</v>
      </c>
      <c r="N266" t="s">
        <v>44905</v>
      </c>
      <c r="O266" t="s">
        <v>44906</v>
      </c>
      <c r="P266">
        <v>0</v>
      </c>
      <c r="Q266">
        <v>0</v>
      </c>
      <c r="R266" t="s">
        <v>44907</v>
      </c>
      <c r="S266" t="s">
        <v>45026</v>
      </c>
      <c r="T266" t="s">
        <v>46461</v>
      </c>
      <c r="U266" t="s">
        <v>47144</v>
      </c>
      <c r="W266" t="s">
        <v>41070</v>
      </c>
      <c r="X266" t="s">
        <v>44909</v>
      </c>
    </row>
    <row r="267" spans="1:24">
      <c r="A267">
        <f>HYPERLINK("https://www.philgeps.gov.ph/GEPSNONPILOT/Tender/SplashBidNoticeAbstractUI.aspx?menuIndex=3&amp;refID=7081665&amp;Result=3","7081665")</f>
        <v>0</v>
      </c>
      <c r="B267" t="s">
        <v>132</v>
      </c>
      <c r="C267" t="s">
        <v>3787</v>
      </c>
      <c r="D267" t="s">
        <v>18131</v>
      </c>
      <c r="E267" t="s">
        <v>18450</v>
      </c>
      <c r="F267" t="s">
        <v>31362</v>
      </c>
      <c r="G267" t="s">
        <v>31369</v>
      </c>
      <c r="H267" t="s">
        <v>31378</v>
      </c>
      <c r="I267" t="s">
        <v>31386</v>
      </c>
      <c r="J267" t="s">
        <v>31578</v>
      </c>
      <c r="K267" t="s">
        <v>40682</v>
      </c>
      <c r="L267" t="s">
        <v>132</v>
      </c>
      <c r="M267" t="s">
        <v>41070</v>
      </c>
      <c r="N267" t="s">
        <v>44905</v>
      </c>
      <c r="O267" t="s">
        <v>44906</v>
      </c>
      <c r="P267">
        <v>0</v>
      </c>
      <c r="Q267">
        <v>1</v>
      </c>
      <c r="R267" t="s">
        <v>44907</v>
      </c>
      <c r="S267" t="s">
        <v>45026</v>
      </c>
      <c r="T267" t="s">
        <v>46461</v>
      </c>
      <c r="U267" t="s">
        <v>47141</v>
      </c>
      <c r="W267" t="s">
        <v>41070</v>
      </c>
      <c r="X267" t="s">
        <v>44909</v>
      </c>
    </row>
    <row r="268" spans="1:24">
      <c r="A268">
        <f>HYPERLINK("https://www.philgeps.gov.ph/GEPSNONPILOT/Tender/SplashBidNoticeAbstractUI.aspx?menuIndex=3&amp;refID=7081229&amp;Result=3","7081229")</f>
        <v>0</v>
      </c>
      <c r="B268" t="s">
        <v>48</v>
      </c>
      <c r="C268" t="s">
        <v>3788</v>
      </c>
      <c r="D268" t="s">
        <v>18117</v>
      </c>
      <c r="E268" t="s">
        <v>18456</v>
      </c>
      <c r="F268" t="s">
        <v>31362</v>
      </c>
      <c r="G268" t="s">
        <v>31369</v>
      </c>
      <c r="H268" t="s">
        <v>15799</v>
      </c>
      <c r="I268" t="s">
        <v>31382</v>
      </c>
      <c r="J268" t="s">
        <v>31736</v>
      </c>
      <c r="K268" t="s">
        <v>40665</v>
      </c>
      <c r="M268" t="s">
        <v>41068</v>
      </c>
      <c r="N268" t="s">
        <v>44905</v>
      </c>
      <c r="O268" t="s">
        <v>44906</v>
      </c>
      <c r="P268">
        <v>0</v>
      </c>
      <c r="Q268">
        <v>1</v>
      </c>
      <c r="R268" t="s">
        <v>44907</v>
      </c>
      <c r="S268" t="s">
        <v>45026</v>
      </c>
      <c r="T268" t="s">
        <v>46398</v>
      </c>
      <c r="U268" t="s">
        <v>47145</v>
      </c>
      <c r="V268" t="s">
        <v>59078</v>
      </c>
      <c r="W268" t="s">
        <v>41068</v>
      </c>
      <c r="X268" t="s">
        <v>44909</v>
      </c>
    </row>
    <row r="269" spans="1:24">
      <c r="A269">
        <f>HYPERLINK("https://www.philgeps.gov.ph/GEPSNONPILOT/Tender/SplashBidNoticeAbstractUI.aspx?menuIndex=3&amp;refID=7081657&amp;Result=3","7081657")</f>
        <v>0</v>
      </c>
      <c r="B269" t="s">
        <v>137</v>
      </c>
      <c r="C269" t="s">
        <v>3789</v>
      </c>
      <c r="D269" t="s">
        <v>18141</v>
      </c>
      <c r="E269" t="s">
        <v>18457</v>
      </c>
      <c r="F269" t="s">
        <v>31363</v>
      </c>
      <c r="G269" t="s">
        <v>31369</v>
      </c>
      <c r="H269" t="s">
        <v>15799</v>
      </c>
      <c r="I269" t="s">
        <v>3815</v>
      </c>
      <c r="J269" t="s">
        <v>31737</v>
      </c>
      <c r="K269" t="s">
        <v>40665</v>
      </c>
      <c r="M269" t="s">
        <v>41075</v>
      </c>
      <c r="N269" t="s">
        <v>44905</v>
      </c>
      <c r="O269" t="s">
        <v>44906</v>
      </c>
      <c r="P269">
        <v>0</v>
      </c>
      <c r="Q269">
        <v>0</v>
      </c>
      <c r="R269" t="s">
        <v>44907</v>
      </c>
      <c r="S269" t="s">
        <v>45026</v>
      </c>
      <c r="T269" t="s">
        <v>46449</v>
      </c>
      <c r="U269" t="s">
        <v>47146</v>
      </c>
      <c r="W269" t="s">
        <v>41075</v>
      </c>
      <c r="X269" t="s">
        <v>44909</v>
      </c>
    </row>
    <row r="270" spans="1:24">
      <c r="A270">
        <f>HYPERLINK("https://www.philgeps.gov.ph/GEPSNONPILOT/Tender/SplashBidNoticeAbstractUI.aspx?menuIndex=3&amp;refID=7081801&amp;Result=3","7081801")</f>
        <v>0</v>
      </c>
      <c r="B270" t="s">
        <v>138</v>
      </c>
      <c r="C270" t="s">
        <v>3790</v>
      </c>
      <c r="D270" t="s">
        <v>18108</v>
      </c>
      <c r="E270" t="s">
        <v>18458</v>
      </c>
      <c r="F270" t="s">
        <v>31362</v>
      </c>
      <c r="G270" t="s">
        <v>31368</v>
      </c>
      <c r="H270" t="s">
        <v>31377</v>
      </c>
      <c r="I270" t="s">
        <v>31377</v>
      </c>
      <c r="J270" t="s">
        <v>31578</v>
      </c>
      <c r="K270" t="s">
        <v>40662</v>
      </c>
      <c r="M270" t="s">
        <v>41076</v>
      </c>
      <c r="N270" t="s">
        <v>44905</v>
      </c>
      <c r="O270" t="s">
        <v>44906</v>
      </c>
      <c r="P270">
        <v>0</v>
      </c>
      <c r="Q270">
        <v>1</v>
      </c>
      <c r="R270" t="s">
        <v>44907</v>
      </c>
      <c r="S270" t="s">
        <v>45026</v>
      </c>
      <c r="T270" t="s">
        <v>46463</v>
      </c>
      <c r="U270" t="s">
        <v>47147</v>
      </c>
      <c r="W270" t="s">
        <v>41076</v>
      </c>
      <c r="X270" t="s">
        <v>44908</v>
      </c>
    </row>
    <row r="271" spans="1:24">
      <c r="A271">
        <f>HYPERLINK("https://www.philgeps.gov.ph/GEPSNONPILOT/Tender/SplashBidNoticeAbstractUI.aspx?menuIndex=3&amp;refID=7081685&amp;Result=3","7081685")</f>
        <v>0</v>
      </c>
      <c r="B271" t="s">
        <v>132</v>
      </c>
      <c r="C271" t="s">
        <v>3791</v>
      </c>
      <c r="D271" t="s">
        <v>18131</v>
      </c>
      <c r="E271" t="s">
        <v>18450</v>
      </c>
      <c r="F271" t="s">
        <v>31362</v>
      </c>
      <c r="G271" t="s">
        <v>31369</v>
      </c>
      <c r="H271" t="s">
        <v>31378</v>
      </c>
      <c r="I271" t="s">
        <v>31386</v>
      </c>
      <c r="J271" t="s">
        <v>31578</v>
      </c>
      <c r="K271" t="s">
        <v>40682</v>
      </c>
      <c r="L271" t="s">
        <v>132</v>
      </c>
      <c r="M271" t="s">
        <v>41070</v>
      </c>
      <c r="N271" t="s">
        <v>44905</v>
      </c>
      <c r="O271" t="s">
        <v>44906</v>
      </c>
      <c r="P271">
        <v>0</v>
      </c>
      <c r="Q271">
        <v>1</v>
      </c>
      <c r="R271" t="s">
        <v>44907</v>
      </c>
      <c r="S271" t="s">
        <v>45026</v>
      </c>
      <c r="T271" t="s">
        <v>46464</v>
      </c>
      <c r="U271" t="s">
        <v>47148</v>
      </c>
      <c r="W271" t="s">
        <v>41070</v>
      </c>
      <c r="X271" t="s">
        <v>44909</v>
      </c>
    </row>
    <row r="272" spans="1:24">
      <c r="A272">
        <f>HYPERLINK("https://www.philgeps.gov.ph/GEPSNONPILOT/Tender/SplashBidNoticeAbstractUI.aspx?menuIndex=3&amp;refID=7081807&amp;Result=3","7081807")</f>
        <v>0</v>
      </c>
      <c r="B272" t="s">
        <v>132</v>
      </c>
      <c r="C272" t="s">
        <v>3792</v>
      </c>
      <c r="D272" t="s">
        <v>18131</v>
      </c>
      <c r="E272" t="s">
        <v>18450</v>
      </c>
      <c r="F272" t="s">
        <v>31362</v>
      </c>
      <c r="G272" t="s">
        <v>31369</v>
      </c>
      <c r="H272" t="s">
        <v>31378</v>
      </c>
      <c r="I272" t="s">
        <v>31386</v>
      </c>
      <c r="J272" t="s">
        <v>31530</v>
      </c>
      <c r="K272" t="s">
        <v>40665</v>
      </c>
      <c r="L272" t="s">
        <v>132</v>
      </c>
      <c r="M272" t="s">
        <v>41070</v>
      </c>
      <c r="N272" t="s">
        <v>44905</v>
      </c>
      <c r="O272" t="s">
        <v>44906</v>
      </c>
      <c r="P272">
        <v>0</v>
      </c>
      <c r="Q272">
        <v>0</v>
      </c>
      <c r="R272" t="s">
        <v>44907</v>
      </c>
      <c r="S272" t="s">
        <v>45026</v>
      </c>
      <c r="T272" t="s">
        <v>46461</v>
      </c>
      <c r="U272" t="s">
        <v>47149</v>
      </c>
      <c r="W272" t="s">
        <v>41070</v>
      </c>
      <c r="X272" t="s">
        <v>44908</v>
      </c>
    </row>
    <row r="273" spans="1:24">
      <c r="A273">
        <f>HYPERLINK("https://www.philgeps.gov.ph/GEPSNONPILOT/Tender/SplashBidNoticeAbstractUI.aspx?menuIndex=3&amp;refID=7081674&amp;Result=3","7081674")</f>
        <v>0</v>
      </c>
      <c r="B273" t="s">
        <v>132</v>
      </c>
      <c r="C273" t="s">
        <v>3793</v>
      </c>
      <c r="D273" t="s">
        <v>18131</v>
      </c>
      <c r="E273" t="s">
        <v>18450</v>
      </c>
      <c r="F273" t="s">
        <v>31362</v>
      </c>
      <c r="G273" t="s">
        <v>31369</v>
      </c>
      <c r="H273" t="s">
        <v>31378</v>
      </c>
      <c r="I273" t="s">
        <v>31386</v>
      </c>
      <c r="J273" t="s">
        <v>31578</v>
      </c>
      <c r="K273" t="s">
        <v>40682</v>
      </c>
      <c r="L273" t="s">
        <v>132</v>
      </c>
      <c r="M273" t="s">
        <v>41070</v>
      </c>
      <c r="N273" t="s">
        <v>44905</v>
      </c>
      <c r="O273" t="s">
        <v>44906</v>
      </c>
      <c r="P273">
        <v>0</v>
      </c>
      <c r="Q273">
        <v>0</v>
      </c>
      <c r="R273" t="s">
        <v>44907</v>
      </c>
      <c r="S273" t="s">
        <v>45026</v>
      </c>
      <c r="T273" t="s">
        <v>46465</v>
      </c>
      <c r="U273" t="s">
        <v>47141</v>
      </c>
      <c r="W273" t="s">
        <v>41070</v>
      </c>
      <c r="X273" t="s">
        <v>44909</v>
      </c>
    </row>
    <row r="274" spans="1:24">
      <c r="A274">
        <f>HYPERLINK("https://www.philgeps.gov.ph/GEPSNONPILOT/Tender/SplashBidNoticeAbstractUI.aspx?menuIndex=3&amp;refID=7081806&amp;Result=3","7081806")</f>
        <v>0</v>
      </c>
      <c r="B274" t="s">
        <v>138</v>
      </c>
      <c r="C274" t="s">
        <v>3794</v>
      </c>
      <c r="D274" t="s">
        <v>18108</v>
      </c>
      <c r="E274" t="s">
        <v>18459</v>
      </c>
      <c r="F274" t="s">
        <v>31362</v>
      </c>
      <c r="G274" t="s">
        <v>31368</v>
      </c>
      <c r="H274" t="s">
        <v>31377</v>
      </c>
      <c r="I274" t="s">
        <v>31377</v>
      </c>
      <c r="J274" t="s">
        <v>31738</v>
      </c>
      <c r="K274" t="s">
        <v>40662</v>
      </c>
      <c r="M274" t="s">
        <v>41076</v>
      </c>
      <c r="N274" t="s">
        <v>44905</v>
      </c>
      <c r="O274" t="s">
        <v>44906</v>
      </c>
      <c r="P274">
        <v>0</v>
      </c>
      <c r="Q274">
        <v>2</v>
      </c>
      <c r="R274" t="s">
        <v>44907</v>
      </c>
      <c r="S274" t="s">
        <v>45026</v>
      </c>
      <c r="T274" t="s">
        <v>46463</v>
      </c>
      <c r="U274" t="s">
        <v>47150</v>
      </c>
      <c r="W274" t="s">
        <v>41076</v>
      </c>
      <c r="X274" t="s">
        <v>44908</v>
      </c>
    </row>
    <row r="275" spans="1:24">
      <c r="A275">
        <f>HYPERLINK("https://www.philgeps.gov.ph/GEPSNONPILOT/Tender/SplashBidNoticeAbstractUI.aspx?menuIndex=3&amp;refID=7081803&amp;Result=3","7081803")</f>
        <v>0</v>
      </c>
      <c r="B275" t="s">
        <v>139</v>
      </c>
      <c r="C275" t="s">
        <v>3795</v>
      </c>
      <c r="D275" t="s">
        <v>18100</v>
      </c>
      <c r="E275" t="s">
        <v>18460</v>
      </c>
      <c r="F275" t="s">
        <v>31362</v>
      </c>
      <c r="G275" t="s">
        <v>31369</v>
      </c>
      <c r="H275" t="s">
        <v>15799</v>
      </c>
      <c r="I275" t="s">
        <v>6373</v>
      </c>
      <c r="J275" t="s">
        <v>31739</v>
      </c>
      <c r="K275" t="s">
        <v>40662</v>
      </c>
      <c r="M275" t="s">
        <v>41077</v>
      </c>
      <c r="N275" t="s">
        <v>44905</v>
      </c>
      <c r="O275" t="s">
        <v>44906</v>
      </c>
      <c r="P275">
        <v>0</v>
      </c>
      <c r="Q275">
        <v>2</v>
      </c>
      <c r="R275" t="s">
        <v>44907</v>
      </c>
      <c r="S275" t="s">
        <v>45026</v>
      </c>
      <c r="T275" t="s">
        <v>46401</v>
      </c>
      <c r="U275" t="s">
        <v>47151</v>
      </c>
      <c r="W275" t="s">
        <v>41077</v>
      </c>
      <c r="X275" t="s">
        <v>44908</v>
      </c>
    </row>
    <row r="276" spans="1:24">
      <c r="A276">
        <f>HYPERLINK("https://www.philgeps.gov.ph/GEPSNONPILOT/Tender/SplashBidNoticeAbstractUI.aspx?menuIndex=3&amp;refID=7081629&amp;Result=3","7081629")</f>
        <v>0</v>
      </c>
      <c r="B276" t="s">
        <v>140</v>
      </c>
      <c r="C276" t="s">
        <v>3796</v>
      </c>
      <c r="D276" t="s">
        <v>18150</v>
      </c>
      <c r="E276" t="s">
        <v>18461</v>
      </c>
      <c r="F276" t="s">
        <v>31362</v>
      </c>
      <c r="G276" t="s">
        <v>31369</v>
      </c>
      <c r="H276" t="s">
        <v>15799</v>
      </c>
      <c r="I276" t="s">
        <v>31380</v>
      </c>
      <c r="J276" t="s">
        <v>31740</v>
      </c>
      <c r="K276" t="s">
        <v>40702</v>
      </c>
      <c r="M276" t="s">
        <v>41078</v>
      </c>
      <c r="N276" t="s">
        <v>44905</v>
      </c>
      <c r="O276" t="s">
        <v>44906</v>
      </c>
      <c r="P276">
        <v>0</v>
      </c>
      <c r="Q276">
        <v>2</v>
      </c>
      <c r="R276" t="s">
        <v>44907</v>
      </c>
      <c r="S276" t="s">
        <v>45026</v>
      </c>
      <c r="T276" t="s">
        <v>46466</v>
      </c>
      <c r="U276" t="s">
        <v>47152</v>
      </c>
      <c r="W276" t="s">
        <v>41078</v>
      </c>
      <c r="X276" t="s">
        <v>44909</v>
      </c>
    </row>
    <row r="277" spans="1:24">
      <c r="A277">
        <f>HYPERLINK("https://www.philgeps.gov.ph/GEPSNONPILOT/Tender/SplashBidNoticeAbstractUI.aspx?menuIndex=3&amp;refID=7081707&amp;Result=3","7081707")</f>
        <v>0</v>
      </c>
      <c r="B277" t="s">
        <v>132</v>
      </c>
      <c r="C277" t="s">
        <v>3797</v>
      </c>
      <c r="D277" t="s">
        <v>18131</v>
      </c>
      <c r="E277" t="s">
        <v>18450</v>
      </c>
      <c r="F277" t="s">
        <v>31362</v>
      </c>
      <c r="G277" t="s">
        <v>31369</v>
      </c>
      <c r="H277" t="s">
        <v>31378</v>
      </c>
      <c r="I277" t="s">
        <v>31386</v>
      </c>
      <c r="J277" t="s">
        <v>31578</v>
      </c>
      <c r="K277" t="s">
        <v>40682</v>
      </c>
      <c r="L277" t="s">
        <v>132</v>
      </c>
      <c r="M277" t="s">
        <v>41070</v>
      </c>
      <c r="N277" t="s">
        <v>44905</v>
      </c>
      <c r="O277" t="s">
        <v>44906</v>
      </c>
      <c r="P277">
        <v>0</v>
      </c>
      <c r="Q277">
        <v>0</v>
      </c>
      <c r="R277" t="s">
        <v>44907</v>
      </c>
      <c r="S277" t="s">
        <v>45026</v>
      </c>
      <c r="T277" t="s">
        <v>46461</v>
      </c>
      <c r="U277" t="s">
        <v>47141</v>
      </c>
      <c r="W277" t="s">
        <v>41070</v>
      </c>
      <c r="X277" t="s">
        <v>44909</v>
      </c>
    </row>
    <row r="278" spans="1:24">
      <c r="A278">
        <f>HYPERLINK("https://www.philgeps.gov.ph/GEPSNONPILOT/Tender/SplashBidNoticeAbstractUI.aspx?menuIndex=3&amp;refID=7081798&amp;Result=3","7081798")</f>
        <v>0</v>
      </c>
      <c r="B278" t="s">
        <v>132</v>
      </c>
      <c r="C278" t="s">
        <v>3798</v>
      </c>
      <c r="D278" t="s">
        <v>18131</v>
      </c>
      <c r="E278" t="s">
        <v>18450</v>
      </c>
      <c r="F278" t="s">
        <v>31362</v>
      </c>
      <c r="G278" t="s">
        <v>31369</v>
      </c>
      <c r="H278" t="s">
        <v>31378</v>
      </c>
      <c r="I278" t="s">
        <v>31386</v>
      </c>
      <c r="J278" t="s">
        <v>31531</v>
      </c>
      <c r="K278" t="s">
        <v>40682</v>
      </c>
      <c r="L278" t="s">
        <v>132</v>
      </c>
      <c r="M278" t="s">
        <v>41070</v>
      </c>
      <c r="N278" t="s">
        <v>44905</v>
      </c>
      <c r="O278" t="s">
        <v>44906</v>
      </c>
      <c r="P278">
        <v>0</v>
      </c>
      <c r="Q278">
        <v>0</v>
      </c>
      <c r="R278" t="s">
        <v>44907</v>
      </c>
      <c r="S278" t="s">
        <v>45026</v>
      </c>
      <c r="T278" t="s">
        <v>46461</v>
      </c>
      <c r="U278" t="s">
        <v>47137</v>
      </c>
      <c r="W278" t="s">
        <v>41070</v>
      </c>
      <c r="X278" t="s">
        <v>44909</v>
      </c>
    </row>
    <row r="279" spans="1:24">
      <c r="A279">
        <f>HYPERLINK("https://www.philgeps.gov.ph/GEPSNONPILOT/Tender/SplashBidNoticeAbstractUI.aspx?menuIndex=3&amp;refID=7081156&amp;Result=3","7081156")</f>
        <v>0</v>
      </c>
      <c r="B279" t="s">
        <v>111</v>
      </c>
      <c r="C279" t="s">
        <v>3799</v>
      </c>
      <c r="D279" t="s">
        <v>18127</v>
      </c>
      <c r="E279" t="s">
        <v>18462</v>
      </c>
      <c r="F279" t="s">
        <v>31362</v>
      </c>
      <c r="G279" t="s">
        <v>31369</v>
      </c>
      <c r="H279" t="s">
        <v>31378</v>
      </c>
      <c r="I279" t="s">
        <v>31386</v>
      </c>
      <c r="J279" t="s">
        <v>31741</v>
      </c>
      <c r="K279" t="s">
        <v>40703</v>
      </c>
      <c r="M279" t="s">
        <v>41048</v>
      </c>
      <c r="N279" t="s">
        <v>44905</v>
      </c>
      <c r="O279" t="s">
        <v>44906</v>
      </c>
      <c r="P279">
        <v>0</v>
      </c>
      <c r="Q279">
        <v>0</v>
      </c>
      <c r="R279" t="s">
        <v>44907</v>
      </c>
      <c r="S279" t="s">
        <v>45026</v>
      </c>
      <c r="T279" t="s">
        <v>46448</v>
      </c>
      <c r="U279" t="s">
        <v>47104</v>
      </c>
      <c r="W279" t="s">
        <v>41048</v>
      </c>
      <c r="X279" t="s">
        <v>44909</v>
      </c>
    </row>
    <row r="280" spans="1:24">
      <c r="A280">
        <f>HYPERLINK("https://www.philgeps.gov.ph/GEPSNONPILOT/Tender/SplashBidNoticeAbstractUI.aspx?menuIndex=3&amp;refID=7081795&amp;Result=3","7081795")</f>
        <v>0</v>
      </c>
      <c r="B280" t="s">
        <v>132</v>
      </c>
      <c r="C280" t="s">
        <v>3800</v>
      </c>
      <c r="D280" t="s">
        <v>18131</v>
      </c>
      <c r="E280" t="s">
        <v>18450</v>
      </c>
      <c r="F280" t="s">
        <v>31362</v>
      </c>
      <c r="G280" t="s">
        <v>31369</v>
      </c>
      <c r="H280" t="s">
        <v>31378</v>
      </c>
      <c r="I280" t="s">
        <v>31386</v>
      </c>
      <c r="J280" t="s">
        <v>31591</v>
      </c>
      <c r="K280" t="s">
        <v>40686</v>
      </c>
      <c r="L280" t="s">
        <v>132</v>
      </c>
      <c r="M280" t="s">
        <v>41070</v>
      </c>
      <c r="N280" t="s">
        <v>44905</v>
      </c>
      <c r="O280" t="s">
        <v>44906</v>
      </c>
      <c r="P280">
        <v>0</v>
      </c>
      <c r="Q280">
        <v>0</v>
      </c>
      <c r="R280" t="s">
        <v>44907</v>
      </c>
      <c r="S280" t="s">
        <v>45026</v>
      </c>
      <c r="T280" t="s">
        <v>46461</v>
      </c>
      <c r="U280" t="s">
        <v>47153</v>
      </c>
      <c r="W280" t="s">
        <v>41070</v>
      </c>
      <c r="X280" t="s">
        <v>44909</v>
      </c>
    </row>
    <row r="281" spans="1:24">
      <c r="A281">
        <f>HYPERLINK("https://www.philgeps.gov.ph/GEPSNONPILOT/Tender/SplashBidNoticeAbstractUI.aspx?menuIndex=3&amp;refID=7081790&amp;Result=3","7081790")</f>
        <v>0</v>
      </c>
      <c r="B281" t="s">
        <v>132</v>
      </c>
      <c r="C281" t="s">
        <v>3801</v>
      </c>
      <c r="D281" t="s">
        <v>18131</v>
      </c>
      <c r="E281" t="s">
        <v>18450</v>
      </c>
      <c r="F281" t="s">
        <v>31362</v>
      </c>
      <c r="G281" t="s">
        <v>31369</v>
      </c>
      <c r="H281" t="s">
        <v>31378</v>
      </c>
      <c r="I281" t="s">
        <v>31386</v>
      </c>
      <c r="J281" t="s">
        <v>31531</v>
      </c>
      <c r="K281" t="s">
        <v>40682</v>
      </c>
      <c r="L281" t="s">
        <v>132</v>
      </c>
      <c r="M281" t="s">
        <v>41070</v>
      </c>
      <c r="N281" t="s">
        <v>44905</v>
      </c>
      <c r="O281" t="s">
        <v>44906</v>
      </c>
      <c r="P281">
        <v>0</v>
      </c>
      <c r="Q281">
        <v>1</v>
      </c>
      <c r="R281" t="s">
        <v>44907</v>
      </c>
      <c r="S281" t="s">
        <v>45026</v>
      </c>
      <c r="T281" t="s">
        <v>46461</v>
      </c>
      <c r="U281" t="s">
        <v>47137</v>
      </c>
      <c r="W281" t="s">
        <v>41070</v>
      </c>
      <c r="X281" t="s">
        <v>44909</v>
      </c>
    </row>
    <row r="282" spans="1:24">
      <c r="A282">
        <f>HYPERLINK("https://www.philgeps.gov.ph/GEPSNONPILOT/Tender/SplashBidNoticeAbstractUI.aspx?menuIndex=3&amp;refID=7081804&amp;Result=3","7081804")</f>
        <v>0</v>
      </c>
      <c r="B282" t="s">
        <v>139</v>
      </c>
      <c r="C282" t="s">
        <v>3802</v>
      </c>
      <c r="D282" t="s">
        <v>18100</v>
      </c>
      <c r="E282" t="s">
        <v>18460</v>
      </c>
      <c r="F282" t="s">
        <v>31362</v>
      </c>
      <c r="G282" t="s">
        <v>31369</v>
      </c>
      <c r="H282" t="s">
        <v>15799</v>
      </c>
      <c r="I282" t="s">
        <v>31380</v>
      </c>
      <c r="J282" t="s">
        <v>31742</v>
      </c>
      <c r="K282" t="s">
        <v>40662</v>
      </c>
      <c r="M282" t="s">
        <v>41077</v>
      </c>
      <c r="N282" t="s">
        <v>44905</v>
      </c>
      <c r="O282" t="s">
        <v>44906</v>
      </c>
      <c r="P282">
        <v>0</v>
      </c>
      <c r="Q282">
        <v>3</v>
      </c>
      <c r="R282" t="s">
        <v>44907</v>
      </c>
      <c r="S282" t="s">
        <v>45026</v>
      </c>
      <c r="T282" t="s">
        <v>46401</v>
      </c>
      <c r="U282" t="s">
        <v>47154</v>
      </c>
      <c r="W282" t="s">
        <v>41077</v>
      </c>
      <c r="X282" t="s">
        <v>44908</v>
      </c>
    </row>
    <row r="283" spans="1:24">
      <c r="A283">
        <f>HYPERLINK("https://www.philgeps.gov.ph/GEPSNONPILOT/Tender/SplashBidNoticeAbstractUI.aspx?menuIndex=3&amp;refID=7081785&amp;Result=3","7081785")</f>
        <v>0</v>
      </c>
      <c r="B283" t="s">
        <v>132</v>
      </c>
      <c r="C283" t="s">
        <v>3803</v>
      </c>
      <c r="D283" t="s">
        <v>18131</v>
      </c>
      <c r="E283" t="s">
        <v>18450</v>
      </c>
      <c r="F283" t="s">
        <v>31362</v>
      </c>
      <c r="G283" t="s">
        <v>31369</v>
      </c>
      <c r="H283" t="s">
        <v>31378</v>
      </c>
      <c r="I283" t="s">
        <v>31386</v>
      </c>
      <c r="J283" t="s">
        <v>31578</v>
      </c>
      <c r="K283" t="s">
        <v>40682</v>
      </c>
      <c r="M283" t="s">
        <v>41070</v>
      </c>
      <c r="N283" t="s">
        <v>44905</v>
      </c>
      <c r="O283" t="s">
        <v>44906</v>
      </c>
      <c r="P283">
        <v>0</v>
      </c>
      <c r="Q283">
        <v>0</v>
      </c>
      <c r="R283" t="s">
        <v>44907</v>
      </c>
      <c r="S283" t="s">
        <v>45026</v>
      </c>
      <c r="T283" t="s">
        <v>46461</v>
      </c>
      <c r="U283" t="s">
        <v>47137</v>
      </c>
      <c r="W283" t="s">
        <v>41070</v>
      </c>
      <c r="X283" t="s">
        <v>44909</v>
      </c>
    </row>
    <row r="284" spans="1:24">
      <c r="A284">
        <f>HYPERLINK("https://www.philgeps.gov.ph/GEPSNONPILOT/Tender/SplashBidNoticeAbstractUI.aspx?menuIndex=3&amp;refID=7081713&amp;Result=3","7081713")</f>
        <v>0</v>
      </c>
      <c r="B284" t="s">
        <v>104</v>
      </c>
      <c r="C284" t="s">
        <v>3804</v>
      </c>
      <c r="D284" t="s">
        <v>18127</v>
      </c>
      <c r="E284" t="s">
        <v>18463</v>
      </c>
      <c r="F284" t="s">
        <v>31362</v>
      </c>
      <c r="G284" t="s">
        <v>31368</v>
      </c>
      <c r="H284" t="s">
        <v>15799</v>
      </c>
      <c r="I284" t="s">
        <v>7090</v>
      </c>
      <c r="J284" t="s">
        <v>31743</v>
      </c>
      <c r="K284" t="s">
        <v>40675</v>
      </c>
      <c r="M284" t="s">
        <v>41041</v>
      </c>
      <c r="N284" t="s">
        <v>44905</v>
      </c>
      <c r="O284" t="s">
        <v>44906</v>
      </c>
      <c r="P284">
        <v>0</v>
      </c>
      <c r="Q284">
        <v>1</v>
      </c>
      <c r="R284" t="s">
        <v>44907</v>
      </c>
      <c r="S284" t="s">
        <v>45026</v>
      </c>
      <c r="T284" t="s">
        <v>46444</v>
      </c>
      <c r="U284" t="s">
        <v>47155</v>
      </c>
      <c r="W284" t="s">
        <v>41041</v>
      </c>
      <c r="X284" t="s">
        <v>44909</v>
      </c>
    </row>
    <row r="285" spans="1:24">
      <c r="A285">
        <f>HYPERLINK("https://www.philgeps.gov.ph/GEPSNONPILOT/Tender/SplashBidNoticeAbstractUI.aspx?menuIndex=3&amp;refID=7081802&amp;Result=3","7081802")</f>
        <v>0</v>
      </c>
      <c r="B285" t="s">
        <v>132</v>
      </c>
      <c r="C285" t="s">
        <v>3805</v>
      </c>
      <c r="D285" t="s">
        <v>18131</v>
      </c>
      <c r="E285" t="s">
        <v>18450</v>
      </c>
      <c r="F285" t="s">
        <v>31362</v>
      </c>
      <c r="G285" t="s">
        <v>31369</v>
      </c>
      <c r="H285" t="s">
        <v>31378</v>
      </c>
      <c r="I285" t="s">
        <v>31386</v>
      </c>
      <c r="J285" t="s">
        <v>31578</v>
      </c>
      <c r="K285" t="s">
        <v>40682</v>
      </c>
      <c r="L285" t="s">
        <v>132</v>
      </c>
      <c r="M285" t="s">
        <v>41070</v>
      </c>
      <c r="N285" t="s">
        <v>44905</v>
      </c>
      <c r="O285" t="s">
        <v>44906</v>
      </c>
      <c r="P285">
        <v>0</v>
      </c>
      <c r="Q285">
        <v>0</v>
      </c>
      <c r="R285" t="s">
        <v>44907</v>
      </c>
      <c r="S285" t="s">
        <v>45026</v>
      </c>
      <c r="T285" t="s">
        <v>46461</v>
      </c>
      <c r="U285" t="s">
        <v>47137</v>
      </c>
      <c r="W285" t="s">
        <v>41070</v>
      </c>
      <c r="X285" t="s">
        <v>44908</v>
      </c>
    </row>
    <row r="286" spans="1:24">
      <c r="A286">
        <f>HYPERLINK("https://www.philgeps.gov.ph/GEPSNONPILOT/Tender/SplashBidNoticeAbstractUI.aspx?menuIndex=3&amp;refID=7081777&amp;Result=3","7081777")</f>
        <v>0</v>
      </c>
      <c r="B286" t="s">
        <v>132</v>
      </c>
      <c r="C286" t="s">
        <v>3806</v>
      </c>
      <c r="D286" t="s">
        <v>18131</v>
      </c>
      <c r="E286" t="s">
        <v>18450</v>
      </c>
      <c r="F286" t="s">
        <v>31362</v>
      </c>
      <c r="G286" t="s">
        <v>31369</v>
      </c>
      <c r="H286" t="s">
        <v>31378</v>
      </c>
      <c r="I286" t="s">
        <v>31386</v>
      </c>
      <c r="J286" t="s">
        <v>31578</v>
      </c>
      <c r="K286" t="s">
        <v>40682</v>
      </c>
      <c r="L286" t="s">
        <v>132</v>
      </c>
      <c r="M286" t="s">
        <v>41070</v>
      </c>
      <c r="N286" t="s">
        <v>44905</v>
      </c>
      <c r="O286" t="s">
        <v>44906</v>
      </c>
      <c r="P286">
        <v>0</v>
      </c>
      <c r="Q286">
        <v>0</v>
      </c>
      <c r="R286" t="s">
        <v>44907</v>
      </c>
      <c r="S286" t="s">
        <v>45026</v>
      </c>
      <c r="T286" t="s">
        <v>46461</v>
      </c>
      <c r="U286" t="s">
        <v>47137</v>
      </c>
      <c r="W286" t="s">
        <v>41070</v>
      </c>
      <c r="X286" t="s">
        <v>44909</v>
      </c>
    </row>
    <row r="287" spans="1:24">
      <c r="A287">
        <f>HYPERLINK("https://www.philgeps.gov.ph/GEPSNONPILOT/Tender/SplashBidNoticeAbstractUI.aspx?menuIndex=3&amp;refID=7081805&amp;Result=3","7081805")</f>
        <v>0</v>
      </c>
      <c r="B287" t="s">
        <v>132</v>
      </c>
      <c r="C287" t="s">
        <v>3807</v>
      </c>
      <c r="D287" t="s">
        <v>18131</v>
      </c>
      <c r="E287" t="s">
        <v>18450</v>
      </c>
      <c r="F287" t="s">
        <v>31362</v>
      </c>
      <c r="G287" t="s">
        <v>31369</v>
      </c>
      <c r="H287" t="s">
        <v>31378</v>
      </c>
      <c r="I287" t="s">
        <v>31386</v>
      </c>
      <c r="J287" t="s">
        <v>31530</v>
      </c>
      <c r="K287" t="s">
        <v>40665</v>
      </c>
      <c r="L287" t="s">
        <v>132</v>
      </c>
      <c r="M287" t="s">
        <v>41070</v>
      </c>
      <c r="N287" t="s">
        <v>44905</v>
      </c>
      <c r="O287" t="s">
        <v>44906</v>
      </c>
      <c r="P287">
        <v>0</v>
      </c>
      <c r="Q287">
        <v>1</v>
      </c>
      <c r="R287" t="s">
        <v>44907</v>
      </c>
      <c r="S287" t="s">
        <v>45026</v>
      </c>
      <c r="T287" t="s">
        <v>46461</v>
      </c>
      <c r="U287" t="s">
        <v>47156</v>
      </c>
      <c r="W287" t="s">
        <v>41070</v>
      </c>
      <c r="X287" t="s">
        <v>44908</v>
      </c>
    </row>
    <row r="288" spans="1:24">
      <c r="A288">
        <f>HYPERLINK("https://www.philgeps.gov.ph/GEPSNONPILOT/Tender/SplashBidNoticeAbstractUI.aspx?menuIndex=3&amp;refID=7081788&amp;Result=3","7081788")</f>
        <v>0</v>
      </c>
      <c r="B288" t="s">
        <v>141</v>
      </c>
      <c r="C288" t="s">
        <v>3808</v>
      </c>
      <c r="D288" t="s">
        <v>18108</v>
      </c>
      <c r="E288" t="s">
        <v>18440</v>
      </c>
      <c r="F288" t="s">
        <v>31362</v>
      </c>
      <c r="G288" t="s">
        <v>31368</v>
      </c>
      <c r="H288" t="s">
        <v>31378</v>
      </c>
      <c r="I288" t="s">
        <v>31386</v>
      </c>
      <c r="J288" t="s">
        <v>31744</v>
      </c>
      <c r="K288" t="s">
        <v>40665</v>
      </c>
      <c r="M288" t="s">
        <v>41079</v>
      </c>
      <c r="N288" t="s">
        <v>44905</v>
      </c>
      <c r="O288" t="s">
        <v>44906</v>
      </c>
      <c r="P288">
        <v>0</v>
      </c>
      <c r="Q288">
        <v>0</v>
      </c>
      <c r="R288" t="s">
        <v>44907</v>
      </c>
      <c r="S288" t="s">
        <v>45026</v>
      </c>
      <c r="T288" t="s">
        <v>46467</v>
      </c>
      <c r="U288" t="s">
        <v>47157</v>
      </c>
      <c r="W288" t="s">
        <v>41079</v>
      </c>
      <c r="X288" t="s">
        <v>44909</v>
      </c>
    </row>
    <row r="289" spans="1:24">
      <c r="A289">
        <f>HYPERLINK("https://www.philgeps.gov.ph/GEPSNONPILOT/Tender/SplashBidNoticeAbstractUI.aspx?menuIndex=3&amp;refID=7081779&amp;Result=3","7081779")</f>
        <v>0</v>
      </c>
      <c r="B289" t="s">
        <v>142</v>
      </c>
      <c r="C289" t="s">
        <v>3809</v>
      </c>
      <c r="D289" t="s">
        <v>18108</v>
      </c>
      <c r="E289" t="s">
        <v>18464</v>
      </c>
      <c r="F289" t="s">
        <v>31362</v>
      </c>
      <c r="G289" t="s">
        <v>31368</v>
      </c>
      <c r="H289" t="s">
        <v>15799</v>
      </c>
      <c r="I289" t="s">
        <v>6155</v>
      </c>
      <c r="J289" t="s">
        <v>31745</v>
      </c>
      <c r="K289" t="s">
        <v>40670</v>
      </c>
      <c r="M289" t="s">
        <v>41080</v>
      </c>
      <c r="N289" t="s">
        <v>44905</v>
      </c>
      <c r="O289" t="s">
        <v>44906</v>
      </c>
      <c r="P289">
        <v>0</v>
      </c>
      <c r="Q289">
        <v>5</v>
      </c>
      <c r="R289" t="s">
        <v>44907</v>
      </c>
      <c r="S289" t="s">
        <v>45026</v>
      </c>
      <c r="T289" t="s">
        <v>46438</v>
      </c>
      <c r="U289" t="s">
        <v>47158</v>
      </c>
      <c r="W289" t="s">
        <v>41080</v>
      </c>
      <c r="X289" t="s">
        <v>44909</v>
      </c>
    </row>
    <row r="290" spans="1:24">
      <c r="A290">
        <f>HYPERLINK("https://www.philgeps.gov.ph/GEPSNONPILOT/Tender/SplashBidNoticeAbstractUI.aspx?menuIndex=3&amp;refID=7081748&amp;Result=3","7081748")</f>
        <v>0</v>
      </c>
      <c r="B290" t="s">
        <v>63</v>
      </c>
      <c r="C290" t="s">
        <v>3810</v>
      </c>
      <c r="D290" t="s">
        <v>18108</v>
      </c>
      <c r="E290" t="s">
        <v>18465</v>
      </c>
      <c r="F290" t="s">
        <v>31362</v>
      </c>
      <c r="G290" t="s">
        <v>31369</v>
      </c>
      <c r="H290" t="s">
        <v>15799</v>
      </c>
      <c r="I290" t="s">
        <v>31390</v>
      </c>
      <c r="J290" t="s">
        <v>31746</v>
      </c>
      <c r="K290" t="s">
        <v>40661</v>
      </c>
      <c r="M290" t="s">
        <v>40999</v>
      </c>
      <c r="N290" t="s">
        <v>44905</v>
      </c>
      <c r="O290" t="s">
        <v>44906</v>
      </c>
      <c r="P290">
        <v>0</v>
      </c>
      <c r="Q290">
        <v>0</v>
      </c>
      <c r="R290" t="s">
        <v>44907</v>
      </c>
      <c r="S290" t="s">
        <v>45026</v>
      </c>
      <c r="T290" t="s">
        <v>46420</v>
      </c>
      <c r="U290" t="s">
        <v>47159</v>
      </c>
      <c r="W290" t="s">
        <v>40999</v>
      </c>
      <c r="X290" t="s">
        <v>44909</v>
      </c>
    </row>
    <row r="291" spans="1:24">
      <c r="A291">
        <f>HYPERLINK("https://www.philgeps.gov.ph/GEPSNONPILOT/Tender/SplashBidNoticeAbstractUI.aspx?menuIndex=3&amp;refID=7081778&amp;Result=3","7081778")</f>
        <v>0</v>
      </c>
      <c r="B291" t="s">
        <v>141</v>
      </c>
      <c r="C291" t="s">
        <v>3811</v>
      </c>
      <c r="D291" t="s">
        <v>18108</v>
      </c>
      <c r="E291" t="s">
        <v>18466</v>
      </c>
      <c r="F291" t="s">
        <v>31362</v>
      </c>
      <c r="G291" t="s">
        <v>31368</v>
      </c>
      <c r="H291" t="s">
        <v>31378</v>
      </c>
      <c r="I291" t="s">
        <v>31386</v>
      </c>
      <c r="J291" t="s">
        <v>31747</v>
      </c>
      <c r="K291" t="s">
        <v>40665</v>
      </c>
      <c r="M291" t="s">
        <v>41079</v>
      </c>
      <c r="N291" t="s">
        <v>44905</v>
      </c>
      <c r="O291" t="s">
        <v>44906</v>
      </c>
      <c r="P291">
        <v>0</v>
      </c>
      <c r="Q291">
        <v>0</v>
      </c>
      <c r="R291" t="s">
        <v>44907</v>
      </c>
      <c r="S291" t="s">
        <v>45026</v>
      </c>
      <c r="T291" t="s">
        <v>46467</v>
      </c>
      <c r="U291" t="s">
        <v>47160</v>
      </c>
      <c r="W291" t="s">
        <v>41079</v>
      </c>
      <c r="X291" t="s">
        <v>44909</v>
      </c>
    </row>
    <row r="292" spans="1:24">
      <c r="A292">
        <f>HYPERLINK("https://www.philgeps.gov.ph/GEPSNONPILOT/Tender/SplashBidNoticeAbstractUI.aspx?menuIndex=3&amp;refID=7081623&amp;Result=3","7081623")</f>
        <v>0</v>
      </c>
      <c r="B292" t="s">
        <v>41</v>
      </c>
      <c r="C292" t="s">
        <v>3795</v>
      </c>
      <c r="D292" t="s">
        <v>18112</v>
      </c>
      <c r="E292" t="s">
        <v>18467</v>
      </c>
      <c r="F292" t="s">
        <v>31362</v>
      </c>
      <c r="G292" t="s">
        <v>31371</v>
      </c>
      <c r="H292" t="s">
        <v>15799</v>
      </c>
      <c r="I292" t="s">
        <v>31385</v>
      </c>
      <c r="J292" t="s">
        <v>31545</v>
      </c>
      <c r="K292" t="s">
        <v>40661</v>
      </c>
      <c r="M292" t="s">
        <v>40975</v>
      </c>
      <c r="N292" t="s">
        <v>44905</v>
      </c>
      <c r="O292" t="s">
        <v>44906</v>
      </c>
      <c r="P292">
        <v>0</v>
      </c>
      <c r="Q292">
        <v>0</v>
      </c>
      <c r="R292" t="s">
        <v>44907</v>
      </c>
      <c r="S292" t="s">
        <v>45026</v>
      </c>
      <c r="T292" t="s">
        <v>46468</v>
      </c>
      <c r="U292" t="s">
        <v>47161</v>
      </c>
      <c r="W292" t="s">
        <v>40975</v>
      </c>
      <c r="X292" t="s">
        <v>44909</v>
      </c>
    </row>
    <row r="293" spans="1:24">
      <c r="A293">
        <f>HYPERLINK("https://www.philgeps.gov.ph/GEPSNONPILOT/Tender/SplashBidNoticeAbstractUI.aspx?menuIndex=3&amp;refID=7080913&amp;Result=3","7080913")</f>
        <v>0</v>
      </c>
      <c r="B293" t="s">
        <v>103</v>
      </c>
      <c r="C293" t="s">
        <v>3812</v>
      </c>
      <c r="D293" t="s">
        <v>18137</v>
      </c>
      <c r="E293" t="s">
        <v>18468</v>
      </c>
      <c r="F293" t="s">
        <v>31362</v>
      </c>
      <c r="G293" t="s">
        <v>31369</v>
      </c>
      <c r="H293" t="s">
        <v>31378</v>
      </c>
      <c r="I293" t="s">
        <v>31386</v>
      </c>
      <c r="J293" t="s">
        <v>31748</v>
      </c>
      <c r="K293" t="s">
        <v>40692</v>
      </c>
      <c r="M293" t="s">
        <v>41040</v>
      </c>
      <c r="N293" t="s">
        <v>44905</v>
      </c>
      <c r="O293" t="s">
        <v>44906</v>
      </c>
      <c r="P293">
        <v>0</v>
      </c>
      <c r="Q293">
        <v>0</v>
      </c>
      <c r="R293" t="s">
        <v>44907</v>
      </c>
      <c r="S293" t="s">
        <v>45026</v>
      </c>
      <c r="T293" t="s">
        <v>46401</v>
      </c>
      <c r="U293" t="s">
        <v>47162</v>
      </c>
      <c r="W293" t="s">
        <v>41040</v>
      </c>
      <c r="X293" t="s">
        <v>44909</v>
      </c>
    </row>
    <row r="294" spans="1:24">
      <c r="A294">
        <f>HYPERLINK("https://www.philgeps.gov.ph/GEPSNONPILOT/Tender/SplashBidNoticeAbstractUI.aspx?menuIndex=3&amp;refID=7081772&amp;Result=3","7081772")</f>
        <v>0</v>
      </c>
      <c r="B294" t="s">
        <v>132</v>
      </c>
      <c r="C294" t="s">
        <v>3813</v>
      </c>
      <c r="D294" t="s">
        <v>18131</v>
      </c>
      <c r="E294" t="s">
        <v>18450</v>
      </c>
      <c r="F294" t="s">
        <v>31362</v>
      </c>
      <c r="G294" t="s">
        <v>31369</v>
      </c>
      <c r="H294" t="s">
        <v>31378</v>
      </c>
      <c r="I294" t="s">
        <v>31386</v>
      </c>
      <c r="J294" t="s">
        <v>31578</v>
      </c>
      <c r="K294" t="s">
        <v>40682</v>
      </c>
      <c r="L294" t="s">
        <v>132</v>
      </c>
      <c r="M294" t="s">
        <v>41070</v>
      </c>
      <c r="N294" t="s">
        <v>44905</v>
      </c>
      <c r="O294" t="s">
        <v>44906</v>
      </c>
      <c r="P294">
        <v>0</v>
      </c>
      <c r="Q294">
        <v>1</v>
      </c>
      <c r="R294" t="s">
        <v>44907</v>
      </c>
      <c r="S294" t="s">
        <v>45026</v>
      </c>
      <c r="T294" t="s">
        <v>46461</v>
      </c>
      <c r="U294" t="s">
        <v>47137</v>
      </c>
      <c r="W294" t="s">
        <v>41070</v>
      </c>
      <c r="X294" t="s">
        <v>44909</v>
      </c>
    </row>
    <row r="295" spans="1:24">
      <c r="A295">
        <f>HYPERLINK("https://www.philgeps.gov.ph/GEPSNONPILOT/Tender/SplashBidNoticeAbstractUI.aspx?menuIndex=3&amp;refID=7080810&amp;Result=3","7080810")</f>
        <v>0</v>
      </c>
      <c r="B295" t="s">
        <v>105</v>
      </c>
      <c r="C295" t="s">
        <v>3814</v>
      </c>
      <c r="D295" t="s">
        <v>18110</v>
      </c>
      <c r="E295" t="s">
        <v>18469</v>
      </c>
      <c r="F295" t="s">
        <v>31362</v>
      </c>
      <c r="G295" t="s">
        <v>31369</v>
      </c>
      <c r="H295" t="s">
        <v>15799</v>
      </c>
      <c r="I295" t="s">
        <v>31409</v>
      </c>
      <c r="J295" t="s">
        <v>31602</v>
      </c>
      <c r="K295" t="s">
        <v>40665</v>
      </c>
      <c r="M295" t="s">
        <v>41042</v>
      </c>
      <c r="N295" t="s">
        <v>44905</v>
      </c>
      <c r="O295" t="s">
        <v>44906</v>
      </c>
      <c r="P295">
        <v>0</v>
      </c>
      <c r="Q295">
        <v>6</v>
      </c>
      <c r="R295" t="s">
        <v>44907</v>
      </c>
      <c r="S295" t="s">
        <v>45026</v>
      </c>
      <c r="T295" t="s">
        <v>46431</v>
      </c>
      <c r="U295" t="s">
        <v>47163</v>
      </c>
      <c r="W295" t="s">
        <v>41042</v>
      </c>
      <c r="X295" t="s">
        <v>44909</v>
      </c>
    </row>
    <row r="296" spans="1:24">
      <c r="A296">
        <f>HYPERLINK("https://www.philgeps.gov.ph/GEPSNONPILOT/Tender/SplashBidNoticeAbstractUI.aspx?menuIndex=3&amp;refID=7080788&amp;Result=3","7080788")</f>
        <v>0</v>
      </c>
      <c r="B296" t="s">
        <v>143</v>
      </c>
      <c r="C296" t="s">
        <v>3815</v>
      </c>
      <c r="D296" t="s">
        <v>18151</v>
      </c>
      <c r="E296" t="s">
        <v>18470</v>
      </c>
      <c r="F296" t="s">
        <v>31362</v>
      </c>
      <c r="G296" t="s">
        <v>31368</v>
      </c>
      <c r="H296" t="s">
        <v>15799</v>
      </c>
      <c r="I296" t="s">
        <v>3815</v>
      </c>
      <c r="J296" t="s">
        <v>31749</v>
      </c>
      <c r="K296" t="s">
        <v>40661</v>
      </c>
      <c r="M296" t="s">
        <v>41081</v>
      </c>
      <c r="N296" t="s">
        <v>44905</v>
      </c>
      <c r="O296" t="s">
        <v>44906</v>
      </c>
      <c r="P296">
        <v>0</v>
      </c>
      <c r="Q296">
        <v>0</v>
      </c>
      <c r="R296" t="s">
        <v>44907</v>
      </c>
      <c r="S296" t="s">
        <v>45026</v>
      </c>
      <c r="T296" t="s">
        <v>46412</v>
      </c>
      <c r="U296" t="s">
        <v>47164</v>
      </c>
      <c r="V296" t="s">
        <v>59081</v>
      </c>
      <c r="W296" t="s">
        <v>41081</v>
      </c>
      <c r="X296" t="s">
        <v>44909</v>
      </c>
    </row>
    <row r="297" spans="1:24">
      <c r="A297">
        <f>HYPERLINK("https://www.philgeps.gov.ph/GEPSNONPILOT/Tender/SplashBidNoticeAbstractUI.aspx?menuIndex=3&amp;refID=7081800&amp;Result=3","7081800")</f>
        <v>0</v>
      </c>
      <c r="B297" t="s">
        <v>139</v>
      </c>
      <c r="C297" t="s">
        <v>3816</v>
      </c>
      <c r="D297" t="s">
        <v>18100</v>
      </c>
      <c r="E297" t="s">
        <v>18460</v>
      </c>
      <c r="F297" t="s">
        <v>31362</v>
      </c>
      <c r="G297" t="s">
        <v>31369</v>
      </c>
      <c r="H297" t="s">
        <v>15799</v>
      </c>
      <c r="I297" t="s">
        <v>31385</v>
      </c>
      <c r="J297" t="s">
        <v>31750</v>
      </c>
      <c r="K297" t="s">
        <v>40662</v>
      </c>
      <c r="M297" t="s">
        <v>41077</v>
      </c>
      <c r="N297" t="s">
        <v>44905</v>
      </c>
      <c r="O297" t="s">
        <v>44906</v>
      </c>
      <c r="P297">
        <v>0</v>
      </c>
      <c r="Q297">
        <v>2</v>
      </c>
      <c r="R297" t="s">
        <v>44907</v>
      </c>
      <c r="S297" t="s">
        <v>45026</v>
      </c>
      <c r="T297" t="s">
        <v>46401</v>
      </c>
      <c r="U297" t="s">
        <v>47165</v>
      </c>
      <c r="W297" t="s">
        <v>41077</v>
      </c>
      <c r="X297" t="s">
        <v>44909</v>
      </c>
    </row>
    <row r="298" spans="1:24">
      <c r="A298">
        <f>HYPERLINK("https://www.philgeps.gov.ph/GEPSNONPILOT/Tender/SplashBidNoticeAbstractUI.aspx?menuIndex=3&amp;refID=7081600&amp;Result=3","7081600")</f>
        <v>0</v>
      </c>
      <c r="B298" t="s">
        <v>144</v>
      </c>
      <c r="C298" t="s">
        <v>3817</v>
      </c>
      <c r="D298" t="s">
        <v>18108</v>
      </c>
      <c r="E298" t="s">
        <v>18471</v>
      </c>
      <c r="F298" t="s">
        <v>31362</v>
      </c>
      <c r="G298" t="s">
        <v>31369</v>
      </c>
      <c r="H298" t="s">
        <v>15799</v>
      </c>
      <c r="I298" t="s">
        <v>6155</v>
      </c>
      <c r="J298" t="s">
        <v>31751</v>
      </c>
      <c r="K298" t="s">
        <v>40680</v>
      </c>
      <c r="M298" t="s">
        <v>41082</v>
      </c>
      <c r="N298" t="s">
        <v>44905</v>
      </c>
      <c r="O298" t="s">
        <v>44906</v>
      </c>
      <c r="P298">
        <v>0</v>
      </c>
      <c r="Q298">
        <v>9</v>
      </c>
      <c r="R298" t="s">
        <v>44907</v>
      </c>
      <c r="S298" t="s">
        <v>45026</v>
      </c>
      <c r="T298" t="s">
        <v>46408</v>
      </c>
      <c r="U298" t="s">
        <v>47166</v>
      </c>
      <c r="W298" t="s">
        <v>41082</v>
      </c>
      <c r="X298" t="s">
        <v>44909</v>
      </c>
    </row>
    <row r="299" spans="1:24">
      <c r="A299">
        <f>HYPERLINK("https://www.philgeps.gov.ph/GEPSNONPILOT/Tender/SplashBidNoticeAbstractUI.aspx?menuIndex=3&amp;refID=7080860&amp;Result=3","7080860")</f>
        <v>0</v>
      </c>
      <c r="B299" t="s">
        <v>103</v>
      </c>
      <c r="C299" t="s">
        <v>3818</v>
      </c>
      <c r="D299" t="s">
        <v>18137</v>
      </c>
      <c r="E299" t="s">
        <v>18472</v>
      </c>
      <c r="F299" t="s">
        <v>31362</v>
      </c>
      <c r="G299" t="s">
        <v>31369</v>
      </c>
      <c r="H299" t="s">
        <v>31378</v>
      </c>
      <c r="I299" t="s">
        <v>31386</v>
      </c>
      <c r="J299" t="s">
        <v>31752</v>
      </c>
      <c r="K299" t="s">
        <v>40692</v>
      </c>
      <c r="M299" t="s">
        <v>41040</v>
      </c>
      <c r="N299" t="s">
        <v>44905</v>
      </c>
      <c r="O299" t="s">
        <v>44906</v>
      </c>
      <c r="P299">
        <v>0</v>
      </c>
      <c r="Q299">
        <v>0</v>
      </c>
      <c r="R299" t="s">
        <v>44907</v>
      </c>
      <c r="S299" t="s">
        <v>45026</v>
      </c>
      <c r="T299" t="s">
        <v>46401</v>
      </c>
      <c r="U299" t="s">
        <v>47167</v>
      </c>
      <c r="W299" t="s">
        <v>41040</v>
      </c>
      <c r="X299" t="s">
        <v>44909</v>
      </c>
    </row>
    <row r="300" spans="1:24">
      <c r="A300">
        <f>HYPERLINK("https://www.philgeps.gov.ph/GEPSNONPILOT/Tender/SplashBidNoticeAbstractUI.aspx?menuIndex=3&amp;refID=7081767&amp;Result=3","7081767")</f>
        <v>0</v>
      </c>
      <c r="B300" t="s">
        <v>132</v>
      </c>
      <c r="C300" t="s">
        <v>3819</v>
      </c>
      <c r="D300" t="s">
        <v>18131</v>
      </c>
      <c r="E300" t="s">
        <v>18450</v>
      </c>
      <c r="F300" t="s">
        <v>31362</v>
      </c>
      <c r="G300" t="s">
        <v>31369</v>
      </c>
      <c r="H300" t="s">
        <v>31378</v>
      </c>
      <c r="I300" t="s">
        <v>31386</v>
      </c>
      <c r="J300" t="s">
        <v>31578</v>
      </c>
      <c r="K300" t="s">
        <v>40682</v>
      </c>
      <c r="L300" t="s">
        <v>132</v>
      </c>
      <c r="M300" t="s">
        <v>41070</v>
      </c>
      <c r="N300" t="s">
        <v>44905</v>
      </c>
      <c r="O300" t="s">
        <v>44906</v>
      </c>
      <c r="P300">
        <v>0</v>
      </c>
      <c r="Q300">
        <v>1</v>
      </c>
      <c r="R300" t="s">
        <v>44907</v>
      </c>
      <c r="S300" t="s">
        <v>45026</v>
      </c>
      <c r="T300" t="s">
        <v>46461</v>
      </c>
      <c r="U300" t="s">
        <v>47137</v>
      </c>
      <c r="W300" t="s">
        <v>41070</v>
      </c>
      <c r="X300" t="s">
        <v>44909</v>
      </c>
    </row>
    <row r="301" spans="1:24">
      <c r="A301">
        <f>HYPERLINK("https://www.philgeps.gov.ph/GEPSNONPILOT/Tender/SplashBidNoticeAbstractUI.aspx?menuIndex=3&amp;refID=7081776&amp;Result=3","7081776")</f>
        <v>0</v>
      </c>
      <c r="B301" t="s">
        <v>145</v>
      </c>
      <c r="C301" t="s">
        <v>3820</v>
      </c>
      <c r="D301" t="s">
        <v>18116</v>
      </c>
      <c r="E301" t="s">
        <v>18473</v>
      </c>
      <c r="F301" t="s">
        <v>31362</v>
      </c>
      <c r="G301" t="s">
        <v>31369</v>
      </c>
      <c r="H301" t="s">
        <v>31378</v>
      </c>
      <c r="I301" t="s">
        <v>31386</v>
      </c>
      <c r="J301" t="s">
        <v>31530</v>
      </c>
      <c r="K301" t="s">
        <v>40666</v>
      </c>
      <c r="M301" t="s">
        <v>41083</v>
      </c>
      <c r="N301" t="s">
        <v>44905</v>
      </c>
      <c r="O301" t="s">
        <v>44906</v>
      </c>
      <c r="P301">
        <v>0</v>
      </c>
      <c r="Q301">
        <v>0</v>
      </c>
      <c r="R301" t="s">
        <v>44907</v>
      </c>
      <c r="S301" t="s">
        <v>45026</v>
      </c>
      <c r="T301" t="s">
        <v>46469</v>
      </c>
      <c r="U301" t="s">
        <v>47168</v>
      </c>
      <c r="W301" t="s">
        <v>41083</v>
      </c>
      <c r="X301" t="s">
        <v>44909</v>
      </c>
    </row>
    <row r="302" spans="1:24">
      <c r="A302">
        <f>HYPERLINK("https://www.philgeps.gov.ph/GEPSNONPILOT/Tender/SplashBidNoticeAbstractUI.aspx?menuIndex=3&amp;refID=7081808&amp;Result=3","7081808")</f>
        <v>0</v>
      </c>
      <c r="B302" t="s">
        <v>132</v>
      </c>
      <c r="C302" t="s">
        <v>3821</v>
      </c>
      <c r="D302" t="s">
        <v>18131</v>
      </c>
      <c r="E302" t="s">
        <v>18450</v>
      </c>
      <c r="F302" t="s">
        <v>31362</v>
      </c>
      <c r="G302" t="s">
        <v>31369</v>
      </c>
      <c r="H302" t="s">
        <v>31378</v>
      </c>
      <c r="I302" t="s">
        <v>31386</v>
      </c>
      <c r="J302" t="s">
        <v>31531</v>
      </c>
      <c r="K302" t="s">
        <v>40682</v>
      </c>
      <c r="L302" t="s">
        <v>132</v>
      </c>
      <c r="M302" t="s">
        <v>41070</v>
      </c>
      <c r="N302" t="s">
        <v>44905</v>
      </c>
      <c r="O302" t="s">
        <v>44906</v>
      </c>
      <c r="P302">
        <v>0</v>
      </c>
      <c r="Q302">
        <v>0</v>
      </c>
      <c r="R302" t="s">
        <v>44907</v>
      </c>
      <c r="S302" t="s">
        <v>45026</v>
      </c>
      <c r="T302" t="s">
        <v>46461</v>
      </c>
      <c r="U302" t="s">
        <v>47169</v>
      </c>
      <c r="W302" t="s">
        <v>41070</v>
      </c>
      <c r="X302" t="s">
        <v>44908</v>
      </c>
    </row>
    <row r="303" spans="1:24">
      <c r="A303">
        <f>HYPERLINK("https://www.philgeps.gov.ph/GEPSNONPILOT/Tender/SplashBidNoticeAbstractUI.aspx?menuIndex=3&amp;refID=7081821&amp;Result=3","7081821")</f>
        <v>0</v>
      </c>
      <c r="B303" t="s">
        <v>146</v>
      </c>
      <c r="C303" t="s">
        <v>3822</v>
      </c>
      <c r="D303" t="s">
        <v>18112</v>
      </c>
      <c r="E303" t="s">
        <v>18474</v>
      </c>
      <c r="F303" t="s">
        <v>31362</v>
      </c>
      <c r="G303" t="s">
        <v>31368</v>
      </c>
      <c r="H303" t="s">
        <v>15799</v>
      </c>
      <c r="I303" t="s">
        <v>31409</v>
      </c>
      <c r="J303" t="s">
        <v>31753</v>
      </c>
      <c r="K303" t="s">
        <v>40665</v>
      </c>
      <c r="M303" t="s">
        <v>41084</v>
      </c>
      <c r="N303" t="s">
        <v>44905</v>
      </c>
      <c r="O303" t="s">
        <v>44906</v>
      </c>
      <c r="P303">
        <v>0</v>
      </c>
      <c r="Q303">
        <v>1</v>
      </c>
      <c r="R303" t="s">
        <v>44907</v>
      </c>
      <c r="S303" t="s">
        <v>45026</v>
      </c>
      <c r="T303" t="s">
        <v>46470</v>
      </c>
      <c r="U303" t="s">
        <v>47170</v>
      </c>
      <c r="W303" t="s">
        <v>41084</v>
      </c>
      <c r="X303" t="s">
        <v>44908</v>
      </c>
    </row>
    <row r="304" spans="1:24">
      <c r="A304">
        <f>HYPERLINK("https://www.philgeps.gov.ph/GEPSNONPILOT/Tender/SplashBidNoticeAbstractUI.aspx?menuIndex=3&amp;refID=7081816&amp;Result=3","7081816")</f>
        <v>0</v>
      </c>
      <c r="B304" t="s">
        <v>147</v>
      </c>
      <c r="C304" t="s">
        <v>3823</v>
      </c>
      <c r="E304" t="s">
        <v>18475</v>
      </c>
      <c r="F304" t="s">
        <v>31362</v>
      </c>
      <c r="G304" t="s">
        <v>31369</v>
      </c>
      <c r="H304" t="s">
        <v>15799</v>
      </c>
      <c r="I304" t="s">
        <v>31392</v>
      </c>
      <c r="J304" t="s">
        <v>31536</v>
      </c>
      <c r="K304" t="s">
        <v>40662</v>
      </c>
      <c r="M304" t="s">
        <v>41085</v>
      </c>
      <c r="N304" t="s">
        <v>44905</v>
      </c>
      <c r="O304" t="s">
        <v>44906</v>
      </c>
      <c r="P304">
        <v>0</v>
      </c>
      <c r="Q304">
        <v>0</v>
      </c>
      <c r="R304" t="s">
        <v>44907</v>
      </c>
      <c r="S304" t="s">
        <v>45026</v>
      </c>
      <c r="T304" t="s">
        <v>46471</v>
      </c>
      <c r="U304" t="s">
        <v>47171</v>
      </c>
      <c r="W304" t="s">
        <v>60837</v>
      </c>
      <c r="X304" t="s">
        <v>44908</v>
      </c>
    </row>
    <row r="305" spans="1:24">
      <c r="A305">
        <f>HYPERLINK("https://www.philgeps.gov.ph/GEPSNONPILOT/Tender/SplashBidNoticeAbstractUI.aspx?menuIndex=3&amp;refID=7081815&amp;Result=3","7081815")</f>
        <v>0</v>
      </c>
      <c r="B305" t="s">
        <v>148</v>
      </c>
      <c r="C305" t="s">
        <v>3824</v>
      </c>
      <c r="E305" t="s">
        <v>18476</v>
      </c>
      <c r="F305" t="s">
        <v>31362</v>
      </c>
      <c r="G305" t="s">
        <v>31369</v>
      </c>
      <c r="H305" t="s">
        <v>31378</v>
      </c>
      <c r="I305" t="s">
        <v>31386</v>
      </c>
      <c r="J305" t="s">
        <v>31754</v>
      </c>
      <c r="K305" t="s">
        <v>40662</v>
      </c>
      <c r="M305" t="s">
        <v>41086</v>
      </c>
      <c r="N305" t="s">
        <v>44905</v>
      </c>
      <c r="O305" t="s">
        <v>44906</v>
      </c>
      <c r="P305">
        <v>0</v>
      </c>
      <c r="Q305">
        <v>0</v>
      </c>
      <c r="R305" t="s">
        <v>44907</v>
      </c>
      <c r="S305" t="s">
        <v>45026</v>
      </c>
      <c r="T305" t="s">
        <v>46471</v>
      </c>
      <c r="U305" t="s">
        <v>47172</v>
      </c>
      <c r="W305" t="s">
        <v>41086</v>
      </c>
      <c r="X305" t="s">
        <v>44908</v>
      </c>
    </row>
    <row r="306" spans="1:24">
      <c r="A306">
        <f>HYPERLINK("https://www.philgeps.gov.ph/GEPSNONPILOT/Tender/SplashBidNoticeAbstractUI.aspx?menuIndex=3&amp;refID=7081814&amp;Result=3","7081814")</f>
        <v>0</v>
      </c>
      <c r="B306" t="s">
        <v>149</v>
      </c>
      <c r="C306" t="s">
        <v>3825</v>
      </c>
      <c r="D306" t="s">
        <v>18111</v>
      </c>
      <c r="E306" t="s">
        <v>18477</v>
      </c>
      <c r="F306" t="s">
        <v>31362</v>
      </c>
      <c r="G306" t="s">
        <v>31370</v>
      </c>
      <c r="H306" t="s">
        <v>15799</v>
      </c>
      <c r="I306" t="s">
        <v>3815</v>
      </c>
      <c r="J306" t="s">
        <v>31755</v>
      </c>
      <c r="K306" t="s">
        <v>40673</v>
      </c>
      <c r="M306" t="s">
        <v>41087</v>
      </c>
      <c r="N306" t="s">
        <v>44905</v>
      </c>
      <c r="O306" t="s">
        <v>44906</v>
      </c>
      <c r="P306">
        <v>0</v>
      </c>
      <c r="Q306">
        <v>0</v>
      </c>
      <c r="R306" t="s">
        <v>44907</v>
      </c>
      <c r="S306" t="s">
        <v>45026</v>
      </c>
      <c r="T306" t="s">
        <v>46408</v>
      </c>
      <c r="U306" t="s">
        <v>47173</v>
      </c>
      <c r="W306" t="s">
        <v>41087</v>
      </c>
      <c r="X306" t="s">
        <v>44908</v>
      </c>
    </row>
    <row r="307" spans="1:24">
      <c r="A307">
        <f>HYPERLINK("https://www.philgeps.gov.ph/GEPSNONPILOT/Tender/SplashBidNoticeAbstractUI.aspx?menuIndex=3&amp;refID=7081813&amp;Result=3","7081813")</f>
        <v>0</v>
      </c>
      <c r="B307" t="s">
        <v>149</v>
      </c>
      <c r="C307" t="s">
        <v>3825</v>
      </c>
      <c r="D307" t="s">
        <v>18111</v>
      </c>
      <c r="E307" t="s">
        <v>18478</v>
      </c>
      <c r="F307" t="s">
        <v>31362</v>
      </c>
      <c r="G307" t="s">
        <v>31370</v>
      </c>
      <c r="H307" t="s">
        <v>15799</v>
      </c>
      <c r="I307" t="s">
        <v>3815</v>
      </c>
      <c r="J307" t="s">
        <v>31756</v>
      </c>
      <c r="K307" t="s">
        <v>40673</v>
      </c>
      <c r="M307" t="s">
        <v>41087</v>
      </c>
      <c r="N307" t="s">
        <v>44905</v>
      </c>
      <c r="O307" t="s">
        <v>44906</v>
      </c>
      <c r="P307">
        <v>0</v>
      </c>
      <c r="Q307">
        <v>0</v>
      </c>
      <c r="R307" t="s">
        <v>44907</v>
      </c>
      <c r="S307" t="s">
        <v>45026</v>
      </c>
      <c r="T307" t="s">
        <v>46408</v>
      </c>
      <c r="U307" t="s">
        <v>47174</v>
      </c>
      <c r="W307" t="s">
        <v>41087</v>
      </c>
      <c r="X307" t="s">
        <v>44908</v>
      </c>
    </row>
    <row r="308" spans="1:24">
      <c r="A308">
        <f>HYPERLINK("https://www.philgeps.gov.ph/GEPSNONPILOT/Tender/SplashBidNoticeAbstractUI.aspx?menuIndex=3&amp;refID=7081812&amp;Result=3","7081812")</f>
        <v>0</v>
      </c>
      <c r="B308" t="s">
        <v>150</v>
      </c>
      <c r="C308" t="s">
        <v>3826</v>
      </c>
      <c r="D308" t="s">
        <v>18101</v>
      </c>
      <c r="E308" t="s">
        <v>18479</v>
      </c>
      <c r="F308" t="s">
        <v>31363</v>
      </c>
      <c r="G308" t="s">
        <v>31370</v>
      </c>
      <c r="H308" t="s">
        <v>15799</v>
      </c>
      <c r="I308" t="s">
        <v>31380</v>
      </c>
      <c r="J308" t="s">
        <v>31757</v>
      </c>
      <c r="K308" t="s">
        <v>40677</v>
      </c>
      <c r="M308" t="s">
        <v>41088</v>
      </c>
      <c r="N308" t="s">
        <v>44905</v>
      </c>
      <c r="O308" t="s">
        <v>44906</v>
      </c>
      <c r="P308">
        <v>0</v>
      </c>
      <c r="Q308">
        <v>1</v>
      </c>
      <c r="R308" t="s">
        <v>44907</v>
      </c>
      <c r="S308" t="s">
        <v>45026</v>
      </c>
      <c r="T308" t="s">
        <v>46410</v>
      </c>
      <c r="U308" t="s">
        <v>47175</v>
      </c>
      <c r="W308" t="s">
        <v>41088</v>
      </c>
      <c r="X308" t="s">
        <v>44908</v>
      </c>
    </row>
    <row r="309" spans="1:24">
      <c r="A309">
        <f>HYPERLINK("https://www.philgeps.gov.ph/GEPSNONPILOT/Tender/SplashBidNoticeAbstractUI.aspx?menuIndex=3&amp;refID=7081811&amp;Result=3","7081811")</f>
        <v>0</v>
      </c>
      <c r="B309" t="s">
        <v>139</v>
      </c>
      <c r="C309" t="s">
        <v>3827</v>
      </c>
      <c r="D309" t="s">
        <v>18100</v>
      </c>
      <c r="E309" t="s">
        <v>18460</v>
      </c>
      <c r="F309" t="s">
        <v>31362</v>
      </c>
      <c r="G309" t="s">
        <v>31369</v>
      </c>
      <c r="H309" t="s">
        <v>15799</v>
      </c>
      <c r="I309" t="s">
        <v>31385</v>
      </c>
      <c r="J309" t="s">
        <v>31758</v>
      </c>
      <c r="K309" t="s">
        <v>40662</v>
      </c>
      <c r="M309" t="s">
        <v>41077</v>
      </c>
      <c r="N309" t="s">
        <v>44905</v>
      </c>
      <c r="O309" t="s">
        <v>44906</v>
      </c>
      <c r="P309">
        <v>0</v>
      </c>
      <c r="Q309">
        <v>3</v>
      </c>
      <c r="R309" t="s">
        <v>44907</v>
      </c>
      <c r="S309" t="s">
        <v>45026</v>
      </c>
      <c r="T309" t="s">
        <v>46401</v>
      </c>
      <c r="U309" t="s">
        <v>47176</v>
      </c>
      <c r="W309" t="s">
        <v>41077</v>
      </c>
      <c r="X309" t="s">
        <v>44908</v>
      </c>
    </row>
    <row r="310" spans="1:24">
      <c r="A310">
        <f>HYPERLINK("https://www.philgeps.gov.ph/GEPSNONPILOT/Tender/SplashBidNoticeAbstractUI.aspx?menuIndex=3&amp;refID=7081809&amp;Result=3","7081809")</f>
        <v>0</v>
      </c>
      <c r="B310" t="s">
        <v>139</v>
      </c>
      <c r="C310" t="s">
        <v>3828</v>
      </c>
      <c r="D310" t="s">
        <v>18100</v>
      </c>
      <c r="E310" t="s">
        <v>18460</v>
      </c>
      <c r="F310" t="s">
        <v>31362</v>
      </c>
      <c r="G310" t="s">
        <v>31369</v>
      </c>
      <c r="H310" t="s">
        <v>15799</v>
      </c>
      <c r="I310" t="s">
        <v>6373</v>
      </c>
      <c r="J310" t="s">
        <v>31759</v>
      </c>
      <c r="K310" t="s">
        <v>40662</v>
      </c>
      <c r="M310" t="s">
        <v>41077</v>
      </c>
      <c r="N310" t="s">
        <v>44905</v>
      </c>
      <c r="O310" t="s">
        <v>44906</v>
      </c>
      <c r="P310">
        <v>0</v>
      </c>
      <c r="Q310">
        <v>1</v>
      </c>
      <c r="R310" t="s">
        <v>44907</v>
      </c>
      <c r="S310" t="s">
        <v>45026</v>
      </c>
      <c r="T310" t="s">
        <v>46401</v>
      </c>
      <c r="U310" t="s">
        <v>47177</v>
      </c>
      <c r="W310" t="s">
        <v>41077</v>
      </c>
      <c r="X310" t="s">
        <v>44908</v>
      </c>
    </row>
    <row r="311" spans="1:24">
      <c r="A311">
        <f>HYPERLINK("https://www.philgeps.gov.ph/GEPSNONPILOT/Tender/SplashBidNoticeAbstractUI.aspx?menuIndex=3&amp;refID=7081810&amp;Result=3","7081810")</f>
        <v>0</v>
      </c>
      <c r="B311" t="s">
        <v>139</v>
      </c>
      <c r="C311" t="s">
        <v>3829</v>
      </c>
      <c r="D311" t="s">
        <v>18100</v>
      </c>
      <c r="E311" t="s">
        <v>18460</v>
      </c>
      <c r="F311" t="s">
        <v>31362</v>
      </c>
      <c r="G311" t="s">
        <v>31369</v>
      </c>
      <c r="H311" t="s">
        <v>15799</v>
      </c>
      <c r="I311" t="s">
        <v>31380</v>
      </c>
      <c r="J311" t="s">
        <v>31561</v>
      </c>
      <c r="K311" t="s">
        <v>40662</v>
      </c>
      <c r="M311" t="s">
        <v>41077</v>
      </c>
      <c r="N311" t="s">
        <v>44905</v>
      </c>
      <c r="O311" t="s">
        <v>44906</v>
      </c>
      <c r="P311">
        <v>0</v>
      </c>
      <c r="Q311">
        <v>1</v>
      </c>
      <c r="R311" t="s">
        <v>44907</v>
      </c>
      <c r="S311" t="s">
        <v>45026</v>
      </c>
      <c r="T311" t="s">
        <v>46401</v>
      </c>
      <c r="U311" t="s">
        <v>47178</v>
      </c>
      <c r="W311" t="s">
        <v>41077</v>
      </c>
      <c r="X311" t="s">
        <v>44908</v>
      </c>
    </row>
    <row r="312" spans="1:24">
      <c r="A312">
        <f>HYPERLINK("https://www.philgeps.gov.ph/GEPSNONPILOT/Tender/SplashBidNoticeAbstractUI.aspx?menuIndex=3&amp;refID=7081832&amp;Result=3","7081832")</f>
        <v>0</v>
      </c>
      <c r="B312" t="s">
        <v>151</v>
      </c>
      <c r="C312" t="s">
        <v>3830</v>
      </c>
      <c r="D312" t="s">
        <v>18110</v>
      </c>
      <c r="E312" t="s">
        <v>18480</v>
      </c>
      <c r="F312" t="s">
        <v>31362</v>
      </c>
      <c r="G312" t="s">
        <v>31368</v>
      </c>
      <c r="H312" t="s">
        <v>15799</v>
      </c>
      <c r="I312" t="s">
        <v>13635</v>
      </c>
      <c r="J312" t="s">
        <v>31760</v>
      </c>
      <c r="K312" t="s">
        <v>40665</v>
      </c>
      <c r="M312" t="s">
        <v>41089</v>
      </c>
      <c r="N312" t="s">
        <v>44905</v>
      </c>
      <c r="O312" t="s">
        <v>44906</v>
      </c>
      <c r="P312">
        <v>0</v>
      </c>
      <c r="Q312">
        <v>4</v>
      </c>
      <c r="R312" t="s">
        <v>44907</v>
      </c>
      <c r="S312" t="s">
        <v>45026</v>
      </c>
      <c r="T312" t="s">
        <v>46438</v>
      </c>
      <c r="U312" t="s">
        <v>47179</v>
      </c>
      <c r="V312" t="s">
        <v>59082</v>
      </c>
      <c r="W312" t="s">
        <v>41089</v>
      </c>
      <c r="X312" t="s">
        <v>44908</v>
      </c>
    </row>
    <row r="313" spans="1:24">
      <c r="A313">
        <f>HYPERLINK("https://www.philgeps.gov.ph/GEPSNONPILOT/Tender/SplashBidNoticeAbstractUI.aspx?menuIndex=3&amp;refID=7081825&amp;Result=3","7081825")</f>
        <v>0</v>
      </c>
      <c r="B313" t="s">
        <v>137</v>
      </c>
      <c r="C313" t="s">
        <v>3831</v>
      </c>
      <c r="D313" t="s">
        <v>18141</v>
      </c>
      <c r="E313" t="s">
        <v>18481</v>
      </c>
      <c r="F313" t="s">
        <v>31363</v>
      </c>
      <c r="G313" t="s">
        <v>31369</v>
      </c>
      <c r="H313" t="s">
        <v>15799</v>
      </c>
      <c r="I313" t="s">
        <v>3815</v>
      </c>
      <c r="J313" t="s">
        <v>31761</v>
      </c>
      <c r="K313" t="s">
        <v>40670</v>
      </c>
      <c r="M313" t="s">
        <v>41075</v>
      </c>
      <c r="N313" t="s">
        <v>44905</v>
      </c>
      <c r="O313" t="s">
        <v>44906</v>
      </c>
      <c r="P313">
        <v>0</v>
      </c>
      <c r="Q313">
        <v>0</v>
      </c>
      <c r="R313" t="s">
        <v>44907</v>
      </c>
      <c r="S313" t="s">
        <v>45026</v>
      </c>
      <c r="T313" t="s">
        <v>46449</v>
      </c>
      <c r="U313" t="s">
        <v>47180</v>
      </c>
      <c r="W313" t="s">
        <v>41075</v>
      </c>
      <c r="X313" t="s">
        <v>44908</v>
      </c>
    </row>
    <row r="314" spans="1:24">
      <c r="A314">
        <f>HYPERLINK("https://www.philgeps.gov.ph/GEPSNONPILOT/Tender/SplashBidNoticeAbstractUI.aspx?menuIndex=3&amp;refID=7081823&amp;Result=3","7081823")</f>
        <v>0</v>
      </c>
      <c r="B314" t="s">
        <v>137</v>
      </c>
      <c r="C314" t="s">
        <v>3832</v>
      </c>
      <c r="D314" t="s">
        <v>18141</v>
      </c>
      <c r="E314" t="s">
        <v>18482</v>
      </c>
      <c r="F314" t="s">
        <v>31363</v>
      </c>
      <c r="G314" t="s">
        <v>31369</v>
      </c>
      <c r="H314" t="s">
        <v>15799</v>
      </c>
      <c r="I314" t="s">
        <v>3815</v>
      </c>
      <c r="J314" t="s">
        <v>31762</v>
      </c>
      <c r="K314" t="s">
        <v>40670</v>
      </c>
      <c r="M314" t="s">
        <v>41075</v>
      </c>
      <c r="N314" t="s">
        <v>44905</v>
      </c>
      <c r="O314" t="s">
        <v>44906</v>
      </c>
      <c r="P314">
        <v>0</v>
      </c>
      <c r="Q314">
        <v>0</v>
      </c>
      <c r="R314" t="s">
        <v>44907</v>
      </c>
      <c r="S314" t="s">
        <v>45026</v>
      </c>
      <c r="T314" t="s">
        <v>46449</v>
      </c>
      <c r="U314" t="s">
        <v>47181</v>
      </c>
      <c r="W314" t="s">
        <v>41075</v>
      </c>
      <c r="X314" t="s">
        <v>44908</v>
      </c>
    </row>
    <row r="315" spans="1:24">
      <c r="A315">
        <f>HYPERLINK("https://www.philgeps.gov.ph/GEPSNONPILOT/Tender/SplashBidNoticeAbstractUI.aspx?menuIndex=3&amp;refID=7081820&amp;Result=3","7081820")</f>
        <v>0</v>
      </c>
      <c r="B315" t="s">
        <v>137</v>
      </c>
      <c r="C315" t="s">
        <v>3833</v>
      </c>
      <c r="D315" t="s">
        <v>18141</v>
      </c>
      <c r="E315" t="s">
        <v>18483</v>
      </c>
      <c r="F315" t="s">
        <v>31363</v>
      </c>
      <c r="G315" t="s">
        <v>31369</v>
      </c>
      <c r="H315" t="s">
        <v>15799</v>
      </c>
      <c r="I315" t="s">
        <v>3815</v>
      </c>
      <c r="J315" t="s">
        <v>31763</v>
      </c>
      <c r="K315" t="s">
        <v>40670</v>
      </c>
      <c r="M315" t="s">
        <v>41075</v>
      </c>
      <c r="N315" t="s">
        <v>44905</v>
      </c>
      <c r="O315" t="s">
        <v>44906</v>
      </c>
      <c r="P315">
        <v>0</v>
      </c>
      <c r="Q315">
        <v>0</v>
      </c>
      <c r="R315" t="s">
        <v>44907</v>
      </c>
      <c r="S315" t="s">
        <v>45026</v>
      </c>
      <c r="T315" t="s">
        <v>46449</v>
      </c>
      <c r="U315" t="s">
        <v>47182</v>
      </c>
      <c r="W315" t="s">
        <v>41075</v>
      </c>
      <c r="X315" t="s">
        <v>44908</v>
      </c>
    </row>
    <row r="316" spans="1:24">
      <c r="A316">
        <f>HYPERLINK("https://www.philgeps.gov.ph/GEPSNONPILOT/Tender/SplashBidNoticeAbstractUI.aspx?menuIndex=3&amp;refID=7081835&amp;Result=3","7081835")</f>
        <v>0</v>
      </c>
      <c r="B316" t="s">
        <v>152</v>
      </c>
      <c r="C316" t="s">
        <v>3834</v>
      </c>
      <c r="D316" t="s">
        <v>18143</v>
      </c>
      <c r="E316" t="s">
        <v>18484</v>
      </c>
      <c r="F316" t="s">
        <v>31362</v>
      </c>
      <c r="G316" t="s">
        <v>31370</v>
      </c>
      <c r="H316" t="s">
        <v>15799</v>
      </c>
      <c r="I316" t="s">
        <v>31414</v>
      </c>
      <c r="J316" t="s">
        <v>31764</v>
      </c>
      <c r="K316" t="s">
        <v>40693</v>
      </c>
      <c r="M316" t="s">
        <v>41090</v>
      </c>
      <c r="N316" t="s">
        <v>44905</v>
      </c>
      <c r="O316" t="s">
        <v>44906</v>
      </c>
      <c r="P316">
        <v>0</v>
      </c>
      <c r="Q316">
        <v>2</v>
      </c>
      <c r="R316" t="s">
        <v>44907</v>
      </c>
      <c r="S316" t="s">
        <v>45026</v>
      </c>
      <c r="T316" t="s">
        <v>46432</v>
      </c>
      <c r="U316" t="s">
        <v>47183</v>
      </c>
      <c r="W316" t="s">
        <v>41090</v>
      </c>
      <c r="X316" t="s">
        <v>44908</v>
      </c>
    </row>
    <row r="317" spans="1:24">
      <c r="A317">
        <f>HYPERLINK("https://www.philgeps.gov.ph/GEPSNONPILOT/Tender/SplashBidNoticeAbstractUI.aspx?menuIndex=3&amp;refID=7081831&amp;Result=3","7081831")</f>
        <v>0</v>
      </c>
      <c r="B317" t="s">
        <v>137</v>
      </c>
      <c r="C317" t="s">
        <v>3835</v>
      </c>
      <c r="D317" t="s">
        <v>18141</v>
      </c>
      <c r="E317" t="s">
        <v>18485</v>
      </c>
      <c r="F317" t="s">
        <v>31363</v>
      </c>
      <c r="G317" t="s">
        <v>31369</v>
      </c>
      <c r="H317" t="s">
        <v>15799</v>
      </c>
      <c r="I317" t="s">
        <v>3815</v>
      </c>
      <c r="J317" t="s">
        <v>31762</v>
      </c>
      <c r="K317" t="s">
        <v>40670</v>
      </c>
      <c r="M317" t="s">
        <v>41075</v>
      </c>
      <c r="N317" t="s">
        <v>44905</v>
      </c>
      <c r="O317" t="s">
        <v>44906</v>
      </c>
      <c r="P317">
        <v>0</v>
      </c>
      <c r="Q317">
        <v>0</v>
      </c>
      <c r="R317" t="s">
        <v>44907</v>
      </c>
      <c r="S317" t="s">
        <v>45026</v>
      </c>
      <c r="T317" t="s">
        <v>46449</v>
      </c>
      <c r="U317" t="s">
        <v>47184</v>
      </c>
      <c r="W317" t="s">
        <v>41075</v>
      </c>
      <c r="X317" t="s">
        <v>44908</v>
      </c>
    </row>
    <row r="318" spans="1:24">
      <c r="A318">
        <f>HYPERLINK("https://www.philgeps.gov.ph/GEPSNONPILOT/Tender/SplashBidNoticeAbstractUI.aspx?menuIndex=3&amp;refID=7081834&amp;Result=3","7081834")</f>
        <v>0</v>
      </c>
      <c r="B318" t="s">
        <v>153</v>
      </c>
      <c r="C318" t="s">
        <v>3836</v>
      </c>
      <c r="D318" t="s">
        <v>18116</v>
      </c>
      <c r="E318" t="s">
        <v>18486</v>
      </c>
      <c r="F318" t="s">
        <v>31362</v>
      </c>
      <c r="G318" t="s">
        <v>31369</v>
      </c>
      <c r="H318" t="s">
        <v>31378</v>
      </c>
      <c r="I318" t="s">
        <v>31386</v>
      </c>
      <c r="J318" t="s">
        <v>31765</v>
      </c>
      <c r="K318" t="s">
        <v>40675</v>
      </c>
      <c r="M318" t="s">
        <v>41091</v>
      </c>
      <c r="N318" t="s">
        <v>44905</v>
      </c>
      <c r="O318" t="s">
        <v>44906</v>
      </c>
      <c r="P318">
        <v>0</v>
      </c>
      <c r="Q318">
        <v>0</v>
      </c>
      <c r="R318" t="s">
        <v>44907</v>
      </c>
      <c r="S318" t="s">
        <v>45026</v>
      </c>
      <c r="T318" t="s">
        <v>46396</v>
      </c>
      <c r="U318" t="s">
        <v>47185</v>
      </c>
      <c r="V318" t="s">
        <v>59083</v>
      </c>
      <c r="W318" t="s">
        <v>41091</v>
      </c>
      <c r="X318" t="s">
        <v>44908</v>
      </c>
    </row>
    <row r="319" spans="1:24">
      <c r="A319">
        <f>HYPERLINK("https://www.philgeps.gov.ph/GEPSNONPILOT/Tender/SplashBidNoticeAbstractUI.aspx?menuIndex=3&amp;refID=7081829&amp;Result=3","7081829")</f>
        <v>0</v>
      </c>
      <c r="B319" t="s">
        <v>137</v>
      </c>
      <c r="C319" t="s">
        <v>3837</v>
      </c>
      <c r="D319" t="s">
        <v>18141</v>
      </c>
      <c r="E319" t="s">
        <v>18487</v>
      </c>
      <c r="F319" t="s">
        <v>31363</v>
      </c>
      <c r="G319" t="s">
        <v>31369</v>
      </c>
      <c r="H319" t="s">
        <v>15799</v>
      </c>
      <c r="I319" t="s">
        <v>3815</v>
      </c>
      <c r="J319" t="s">
        <v>31766</v>
      </c>
      <c r="K319" t="s">
        <v>40670</v>
      </c>
      <c r="M319" t="s">
        <v>41075</v>
      </c>
      <c r="N319" t="s">
        <v>44905</v>
      </c>
      <c r="O319" t="s">
        <v>44906</v>
      </c>
      <c r="P319">
        <v>0</v>
      </c>
      <c r="Q319">
        <v>0</v>
      </c>
      <c r="R319" t="s">
        <v>44907</v>
      </c>
      <c r="S319" t="s">
        <v>45026</v>
      </c>
      <c r="T319" t="s">
        <v>46449</v>
      </c>
      <c r="U319" t="s">
        <v>47186</v>
      </c>
      <c r="W319" t="s">
        <v>41075</v>
      </c>
      <c r="X319" t="s">
        <v>44908</v>
      </c>
    </row>
    <row r="320" spans="1:24">
      <c r="A320">
        <f>HYPERLINK("https://www.philgeps.gov.ph/GEPSNONPILOT/Tender/SplashBidNoticeAbstractUI.aspx?menuIndex=3&amp;refID=7081833&amp;Result=3","7081833")</f>
        <v>0</v>
      </c>
      <c r="B320" t="s">
        <v>154</v>
      </c>
      <c r="C320" t="s">
        <v>3838</v>
      </c>
      <c r="D320" t="s">
        <v>18109</v>
      </c>
      <c r="E320" t="s">
        <v>18488</v>
      </c>
      <c r="F320" t="s">
        <v>31362</v>
      </c>
      <c r="G320" t="s">
        <v>31369</v>
      </c>
      <c r="H320" t="s">
        <v>31378</v>
      </c>
      <c r="I320" t="s">
        <v>31386</v>
      </c>
      <c r="J320" t="s">
        <v>31625</v>
      </c>
      <c r="K320" t="s">
        <v>40682</v>
      </c>
      <c r="M320" t="s">
        <v>41092</v>
      </c>
      <c r="N320" t="s">
        <v>44905</v>
      </c>
      <c r="O320" t="s">
        <v>44906</v>
      </c>
      <c r="P320">
        <v>0</v>
      </c>
      <c r="Q320">
        <v>0</v>
      </c>
      <c r="R320" t="s">
        <v>44907</v>
      </c>
      <c r="S320" t="s">
        <v>45026</v>
      </c>
      <c r="T320" t="s">
        <v>46472</v>
      </c>
      <c r="U320" t="s">
        <v>47187</v>
      </c>
      <c r="W320" t="s">
        <v>41092</v>
      </c>
      <c r="X320" t="s">
        <v>44908</v>
      </c>
    </row>
    <row r="321" spans="1:24">
      <c r="A321">
        <f>HYPERLINK("https://www.philgeps.gov.ph/GEPSNONPILOT/Tender/SplashBidNoticeAbstractUI.aspx?menuIndex=3&amp;refID=7081847&amp;Result=3","7081847")</f>
        <v>0</v>
      </c>
      <c r="B321" t="s">
        <v>155</v>
      </c>
      <c r="C321" t="s">
        <v>3839</v>
      </c>
      <c r="D321" t="s">
        <v>18108</v>
      </c>
      <c r="E321" t="s">
        <v>18489</v>
      </c>
      <c r="F321" t="s">
        <v>31362</v>
      </c>
      <c r="G321" t="s">
        <v>31368</v>
      </c>
      <c r="H321" t="s">
        <v>15799</v>
      </c>
      <c r="I321" t="s">
        <v>6373</v>
      </c>
      <c r="J321" t="s">
        <v>31767</v>
      </c>
      <c r="K321" t="s">
        <v>40662</v>
      </c>
      <c r="M321" t="s">
        <v>41093</v>
      </c>
      <c r="N321" t="s">
        <v>44905</v>
      </c>
      <c r="O321" t="s">
        <v>44906</v>
      </c>
      <c r="P321">
        <v>0</v>
      </c>
      <c r="Q321">
        <v>5</v>
      </c>
      <c r="R321" t="s">
        <v>44907</v>
      </c>
      <c r="S321" t="s">
        <v>45026</v>
      </c>
      <c r="T321" t="s">
        <v>46473</v>
      </c>
      <c r="U321" t="s">
        <v>47188</v>
      </c>
      <c r="W321" t="s">
        <v>41093</v>
      </c>
      <c r="X321" t="s">
        <v>44908</v>
      </c>
    </row>
    <row r="322" spans="1:24">
      <c r="A322">
        <f>HYPERLINK("https://www.philgeps.gov.ph/GEPSNONPILOT/Tender/SplashBidNoticeAbstractUI.aspx?menuIndex=3&amp;refID=7081818&amp;Result=3","7081818")</f>
        <v>0</v>
      </c>
      <c r="B322" t="s">
        <v>137</v>
      </c>
      <c r="C322" t="s">
        <v>3840</v>
      </c>
      <c r="D322" t="s">
        <v>18141</v>
      </c>
      <c r="E322" t="s">
        <v>18490</v>
      </c>
      <c r="F322" t="s">
        <v>31363</v>
      </c>
      <c r="G322" t="s">
        <v>31369</v>
      </c>
      <c r="H322" t="s">
        <v>15799</v>
      </c>
      <c r="I322" t="s">
        <v>3815</v>
      </c>
      <c r="J322" t="s">
        <v>31768</v>
      </c>
      <c r="K322" t="s">
        <v>40670</v>
      </c>
      <c r="M322" t="s">
        <v>41075</v>
      </c>
      <c r="N322" t="s">
        <v>44905</v>
      </c>
      <c r="O322" t="s">
        <v>44906</v>
      </c>
      <c r="P322">
        <v>0</v>
      </c>
      <c r="Q322">
        <v>0</v>
      </c>
      <c r="R322" t="s">
        <v>44907</v>
      </c>
      <c r="S322" t="s">
        <v>45026</v>
      </c>
      <c r="T322" t="s">
        <v>46449</v>
      </c>
      <c r="U322" t="s">
        <v>47189</v>
      </c>
      <c r="W322" t="s">
        <v>41075</v>
      </c>
      <c r="X322" t="s">
        <v>44908</v>
      </c>
    </row>
    <row r="323" spans="1:24">
      <c r="A323">
        <f>HYPERLINK("https://www.philgeps.gov.ph/GEPSNONPILOT/Tender/SplashBidNoticeAbstractUI.aspx?menuIndex=3&amp;refID=7081844&amp;Result=3","7081844")</f>
        <v>0</v>
      </c>
      <c r="B323" t="s">
        <v>152</v>
      </c>
      <c r="C323" t="s">
        <v>3841</v>
      </c>
      <c r="D323" t="s">
        <v>18143</v>
      </c>
      <c r="E323" t="s">
        <v>18491</v>
      </c>
      <c r="F323" t="s">
        <v>31362</v>
      </c>
      <c r="G323" t="s">
        <v>31370</v>
      </c>
      <c r="H323" t="s">
        <v>15799</v>
      </c>
      <c r="I323" t="s">
        <v>31397</v>
      </c>
      <c r="J323" t="s">
        <v>31769</v>
      </c>
      <c r="K323" t="s">
        <v>40693</v>
      </c>
      <c r="M323" t="s">
        <v>41090</v>
      </c>
      <c r="N323" t="s">
        <v>44905</v>
      </c>
      <c r="O323" t="s">
        <v>44906</v>
      </c>
      <c r="P323">
        <v>0</v>
      </c>
      <c r="Q323">
        <v>0</v>
      </c>
      <c r="R323" t="s">
        <v>44907</v>
      </c>
      <c r="S323" t="s">
        <v>45026</v>
      </c>
      <c r="T323" t="s">
        <v>46432</v>
      </c>
      <c r="U323" t="s">
        <v>47190</v>
      </c>
      <c r="W323" t="s">
        <v>41090</v>
      </c>
      <c r="X323" t="s">
        <v>44908</v>
      </c>
    </row>
    <row r="324" spans="1:24">
      <c r="A324">
        <f>HYPERLINK("https://www.philgeps.gov.ph/GEPSNONPILOT/Tender/SplashBidNoticeAbstractUI.aspx?menuIndex=3&amp;refID=7081858&amp;Result=3","7081858")</f>
        <v>0</v>
      </c>
      <c r="B324" t="s">
        <v>152</v>
      </c>
      <c r="C324" t="s">
        <v>3842</v>
      </c>
      <c r="D324" t="s">
        <v>18143</v>
      </c>
      <c r="E324" t="s">
        <v>18492</v>
      </c>
      <c r="F324" t="s">
        <v>31362</v>
      </c>
      <c r="G324" t="s">
        <v>31370</v>
      </c>
      <c r="H324" t="s">
        <v>15799</v>
      </c>
      <c r="I324" t="s">
        <v>31390</v>
      </c>
      <c r="J324" t="s">
        <v>31770</v>
      </c>
      <c r="K324" t="s">
        <v>40693</v>
      </c>
      <c r="M324" t="s">
        <v>41090</v>
      </c>
      <c r="N324" t="s">
        <v>44905</v>
      </c>
      <c r="O324" t="s">
        <v>44906</v>
      </c>
      <c r="P324">
        <v>0</v>
      </c>
      <c r="Q324">
        <v>0</v>
      </c>
      <c r="R324" t="s">
        <v>44907</v>
      </c>
      <c r="S324" t="s">
        <v>45026</v>
      </c>
      <c r="T324" t="s">
        <v>46432</v>
      </c>
      <c r="U324" t="s">
        <v>47191</v>
      </c>
      <c r="W324" t="s">
        <v>41090</v>
      </c>
      <c r="X324" t="s">
        <v>44908</v>
      </c>
    </row>
    <row r="325" spans="1:24">
      <c r="A325">
        <f>HYPERLINK("https://www.philgeps.gov.ph/GEPSNONPILOT/Tender/SplashBidNoticeAbstractUI.aspx?menuIndex=3&amp;refID=7081849&amp;Result=3","7081849")</f>
        <v>0</v>
      </c>
      <c r="B325" t="s">
        <v>156</v>
      </c>
      <c r="C325" t="s">
        <v>3843</v>
      </c>
      <c r="D325" t="s">
        <v>18122</v>
      </c>
      <c r="E325" t="s">
        <v>18493</v>
      </c>
      <c r="F325" t="s">
        <v>31362</v>
      </c>
      <c r="G325" t="s">
        <v>31369</v>
      </c>
      <c r="H325" t="s">
        <v>15799</v>
      </c>
      <c r="I325" t="s">
        <v>3815</v>
      </c>
      <c r="J325" t="s">
        <v>31771</v>
      </c>
      <c r="K325" t="s">
        <v>40675</v>
      </c>
      <c r="M325" t="s">
        <v>41094</v>
      </c>
      <c r="N325" t="s">
        <v>44905</v>
      </c>
      <c r="O325" t="s">
        <v>44906</v>
      </c>
      <c r="P325">
        <v>0</v>
      </c>
      <c r="Q325">
        <v>0</v>
      </c>
      <c r="R325" t="s">
        <v>44907</v>
      </c>
      <c r="S325" t="s">
        <v>45026</v>
      </c>
      <c r="T325" t="s">
        <v>46474</v>
      </c>
      <c r="U325" t="s">
        <v>47192</v>
      </c>
      <c r="W325" t="s">
        <v>41094</v>
      </c>
      <c r="X325" t="s">
        <v>44908</v>
      </c>
    </row>
    <row r="326" spans="1:24">
      <c r="A326">
        <f>HYPERLINK("https://www.philgeps.gov.ph/GEPSNONPILOT/Tender/SplashBidNoticeAbstractUI.aspx?menuIndex=3&amp;refID=7081856&amp;Result=3","7081856")</f>
        <v>0</v>
      </c>
      <c r="B326" t="s">
        <v>157</v>
      </c>
      <c r="C326" t="s">
        <v>3844</v>
      </c>
      <c r="D326" t="s">
        <v>18141</v>
      </c>
      <c r="E326" t="s">
        <v>3844</v>
      </c>
      <c r="F326" t="s">
        <v>31362</v>
      </c>
      <c r="G326" t="s">
        <v>31368</v>
      </c>
      <c r="H326" t="s">
        <v>15799</v>
      </c>
      <c r="I326" t="s">
        <v>31429</v>
      </c>
      <c r="J326" t="s">
        <v>31772</v>
      </c>
      <c r="K326" t="s">
        <v>40666</v>
      </c>
      <c r="M326" t="s">
        <v>41095</v>
      </c>
      <c r="N326" t="s">
        <v>44905</v>
      </c>
      <c r="O326" t="s">
        <v>44906</v>
      </c>
      <c r="P326">
        <v>0</v>
      </c>
      <c r="Q326">
        <v>1</v>
      </c>
      <c r="R326" t="s">
        <v>44907</v>
      </c>
      <c r="S326" t="s">
        <v>45026</v>
      </c>
      <c r="T326" t="s">
        <v>46417</v>
      </c>
      <c r="U326" t="s">
        <v>47193</v>
      </c>
      <c r="W326" t="s">
        <v>41095</v>
      </c>
      <c r="X326" t="s">
        <v>44908</v>
      </c>
    </row>
    <row r="327" spans="1:24">
      <c r="A327">
        <f>HYPERLINK("https://www.philgeps.gov.ph/GEPSNONPILOT/Tender/SplashBidNoticeAbstractUI.aspx?menuIndex=3&amp;refID=7081851&amp;Result=3","7081851")</f>
        <v>0</v>
      </c>
      <c r="B327" t="s">
        <v>158</v>
      </c>
      <c r="C327" t="s">
        <v>3845</v>
      </c>
      <c r="E327" t="s">
        <v>18494</v>
      </c>
      <c r="F327" t="s">
        <v>31362</v>
      </c>
      <c r="G327" t="s">
        <v>31370</v>
      </c>
      <c r="H327" t="s">
        <v>15799</v>
      </c>
      <c r="I327" t="s">
        <v>31430</v>
      </c>
      <c r="J327" t="s">
        <v>31773</v>
      </c>
      <c r="K327" t="s">
        <v>40662</v>
      </c>
      <c r="M327" t="s">
        <v>41096</v>
      </c>
      <c r="N327" t="s">
        <v>44905</v>
      </c>
      <c r="O327" t="s">
        <v>44906</v>
      </c>
      <c r="P327">
        <v>0</v>
      </c>
      <c r="Q327">
        <v>0</v>
      </c>
      <c r="R327" t="s">
        <v>44907</v>
      </c>
      <c r="S327" t="s">
        <v>45026</v>
      </c>
      <c r="T327" t="s">
        <v>46475</v>
      </c>
      <c r="U327" t="s">
        <v>47194</v>
      </c>
      <c r="W327" t="s">
        <v>41096</v>
      </c>
      <c r="X327" t="s">
        <v>44908</v>
      </c>
    </row>
    <row r="328" spans="1:24">
      <c r="A328">
        <f>HYPERLINK("https://www.philgeps.gov.ph/GEPSNONPILOT/Tender/SplashBidNoticeAbstractUI.aspx?menuIndex=3&amp;refID=7081817&amp;Result=3","7081817")</f>
        <v>0</v>
      </c>
      <c r="B328" t="s">
        <v>149</v>
      </c>
      <c r="C328" t="s">
        <v>3846</v>
      </c>
      <c r="D328" t="s">
        <v>18111</v>
      </c>
      <c r="E328" t="s">
        <v>18495</v>
      </c>
      <c r="F328" t="s">
        <v>31362</v>
      </c>
      <c r="G328" t="s">
        <v>31370</v>
      </c>
      <c r="H328" t="s">
        <v>15799</v>
      </c>
      <c r="I328" t="s">
        <v>6373</v>
      </c>
      <c r="J328" t="s">
        <v>31774</v>
      </c>
      <c r="K328" t="s">
        <v>40673</v>
      </c>
      <c r="M328" t="s">
        <v>41087</v>
      </c>
      <c r="N328" t="s">
        <v>44905</v>
      </c>
      <c r="O328" t="s">
        <v>44906</v>
      </c>
      <c r="P328">
        <v>0</v>
      </c>
      <c r="Q328">
        <v>1</v>
      </c>
      <c r="R328" t="s">
        <v>44907</v>
      </c>
      <c r="S328" t="s">
        <v>45026</v>
      </c>
      <c r="T328" t="s">
        <v>46408</v>
      </c>
      <c r="U328" t="s">
        <v>47195</v>
      </c>
      <c r="W328" t="s">
        <v>41087</v>
      </c>
      <c r="X328" t="s">
        <v>44908</v>
      </c>
    </row>
    <row r="329" spans="1:24">
      <c r="A329">
        <f>HYPERLINK("https://www.philgeps.gov.ph/GEPSNONPILOT/Tender/SplashBidNoticeAbstractUI.aspx?menuIndex=3&amp;refID=7081846&amp;Result=3","7081846")</f>
        <v>0</v>
      </c>
      <c r="B329" t="s">
        <v>159</v>
      </c>
      <c r="C329" t="s">
        <v>3845</v>
      </c>
      <c r="E329" t="s">
        <v>18496</v>
      </c>
      <c r="F329" t="s">
        <v>31362</v>
      </c>
      <c r="G329" t="s">
        <v>31370</v>
      </c>
      <c r="H329" t="s">
        <v>15799</v>
      </c>
      <c r="I329" t="s">
        <v>6240</v>
      </c>
      <c r="J329" t="s">
        <v>31775</v>
      </c>
      <c r="K329" t="s">
        <v>40662</v>
      </c>
      <c r="M329" t="s">
        <v>41097</v>
      </c>
      <c r="N329" t="s">
        <v>44905</v>
      </c>
      <c r="O329" t="s">
        <v>44906</v>
      </c>
      <c r="P329">
        <v>0</v>
      </c>
      <c r="Q329">
        <v>0</v>
      </c>
      <c r="R329" t="s">
        <v>44907</v>
      </c>
      <c r="S329" t="s">
        <v>45026</v>
      </c>
      <c r="T329" t="s">
        <v>46476</v>
      </c>
      <c r="U329" t="s">
        <v>47196</v>
      </c>
      <c r="W329" t="s">
        <v>41097</v>
      </c>
      <c r="X329" t="s">
        <v>44908</v>
      </c>
    </row>
    <row r="330" spans="1:24">
      <c r="A330">
        <f>HYPERLINK("https://www.philgeps.gov.ph/GEPSNONPILOT/Tender/SplashBidNoticeAbstractUI.aspx?menuIndex=3&amp;refID=7081842&amp;Result=3","7081842")</f>
        <v>0</v>
      </c>
      <c r="B330" t="s">
        <v>152</v>
      </c>
      <c r="C330" t="s">
        <v>3847</v>
      </c>
      <c r="D330" t="s">
        <v>18143</v>
      </c>
      <c r="E330" t="s">
        <v>18497</v>
      </c>
      <c r="F330" t="s">
        <v>31362</v>
      </c>
      <c r="G330" t="s">
        <v>31370</v>
      </c>
      <c r="H330" t="s">
        <v>15799</v>
      </c>
      <c r="I330" t="s">
        <v>31390</v>
      </c>
      <c r="J330" t="s">
        <v>31776</v>
      </c>
      <c r="K330" t="s">
        <v>40693</v>
      </c>
      <c r="M330" t="s">
        <v>41090</v>
      </c>
      <c r="N330" t="s">
        <v>44905</v>
      </c>
      <c r="O330" t="s">
        <v>44906</v>
      </c>
      <c r="P330">
        <v>0</v>
      </c>
      <c r="Q330">
        <v>0</v>
      </c>
      <c r="R330" t="s">
        <v>44907</v>
      </c>
      <c r="S330" t="s">
        <v>45026</v>
      </c>
      <c r="T330" t="s">
        <v>46432</v>
      </c>
      <c r="U330" t="s">
        <v>47197</v>
      </c>
      <c r="W330" t="s">
        <v>41090</v>
      </c>
      <c r="X330" t="s">
        <v>44908</v>
      </c>
    </row>
    <row r="331" spans="1:24">
      <c r="A331">
        <f>HYPERLINK("https://www.philgeps.gov.ph/GEPSNONPILOT/Tender/SplashBidNoticeAbstractUI.aspx?menuIndex=3&amp;refID=7081841&amp;Result=3","7081841")</f>
        <v>0</v>
      </c>
      <c r="B331" t="s">
        <v>160</v>
      </c>
      <c r="C331" t="s">
        <v>3848</v>
      </c>
      <c r="D331" t="s">
        <v>18104</v>
      </c>
      <c r="E331" t="s">
        <v>18498</v>
      </c>
      <c r="F331" t="s">
        <v>31362</v>
      </c>
      <c r="G331" t="s">
        <v>31368</v>
      </c>
      <c r="H331" t="s">
        <v>15799</v>
      </c>
      <c r="I331" t="s">
        <v>7188</v>
      </c>
      <c r="J331" t="s">
        <v>31564</v>
      </c>
      <c r="K331" t="s">
        <v>40673</v>
      </c>
      <c r="M331" t="s">
        <v>41098</v>
      </c>
      <c r="N331" t="s">
        <v>44905</v>
      </c>
      <c r="O331" t="s">
        <v>44906</v>
      </c>
      <c r="P331">
        <v>0</v>
      </c>
      <c r="Q331">
        <v>2</v>
      </c>
      <c r="R331" t="s">
        <v>44907</v>
      </c>
      <c r="S331" t="s">
        <v>45026</v>
      </c>
      <c r="T331" t="s">
        <v>46477</v>
      </c>
      <c r="U331" t="s">
        <v>47198</v>
      </c>
      <c r="W331" t="s">
        <v>41098</v>
      </c>
      <c r="X331" t="s">
        <v>44908</v>
      </c>
    </row>
    <row r="332" spans="1:24">
      <c r="A332">
        <f>HYPERLINK("https://www.philgeps.gov.ph/GEPSNONPILOT/Tender/SplashBidNoticeAbstractUI.aspx?menuIndex=3&amp;refID=7081840&amp;Result=3","7081840")</f>
        <v>0</v>
      </c>
      <c r="B332" t="s">
        <v>152</v>
      </c>
      <c r="C332" t="s">
        <v>3849</v>
      </c>
      <c r="D332" t="s">
        <v>18143</v>
      </c>
      <c r="E332" t="s">
        <v>18499</v>
      </c>
      <c r="F332" t="s">
        <v>31362</v>
      </c>
      <c r="G332" t="s">
        <v>31370</v>
      </c>
      <c r="H332" t="s">
        <v>15799</v>
      </c>
      <c r="I332" t="s">
        <v>31414</v>
      </c>
      <c r="J332" t="s">
        <v>31777</v>
      </c>
      <c r="K332" t="s">
        <v>40693</v>
      </c>
      <c r="M332" t="s">
        <v>41090</v>
      </c>
      <c r="N332" t="s">
        <v>44905</v>
      </c>
      <c r="O332" t="s">
        <v>44906</v>
      </c>
      <c r="P332">
        <v>0</v>
      </c>
      <c r="Q332">
        <v>0</v>
      </c>
      <c r="R332" t="s">
        <v>44907</v>
      </c>
      <c r="S332" t="s">
        <v>45026</v>
      </c>
      <c r="T332" t="s">
        <v>46432</v>
      </c>
      <c r="U332" t="s">
        <v>47199</v>
      </c>
      <c r="W332" t="s">
        <v>41090</v>
      </c>
      <c r="X332" t="s">
        <v>44908</v>
      </c>
    </row>
    <row r="333" spans="1:24">
      <c r="A333">
        <f>HYPERLINK("https://www.philgeps.gov.ph/GEPSNONPILOT/Tender/SplashBidNoticeAbstractUI.aspx?menuIndex=3&amp;refID=7081839&amp;Result=3","7081839")</f>
        <v>0</v>
      </c>
      <c r="B333" t="s">
        <v>161</v>
      </c>
      <c r="C333" t="s">
        <v>3850</v>
      </c>
      <c r="D333" t="s">
        <v>18106</v>
      </c>
      <c r="E333" t="s">
        <v>18500</v>
      </c>
      <c r="F333" t="s">
        <v>31362</v>
      </c>
      <c r="G333" t="s">
        <v>31371</v>
      </c>
      <c r="H333" t="s">
        <v>15799</v>
      </c>
      <c r="I333" t="s">
        <v>31385</v>
      </c>
      <c r="J333" t="s">
        <v>31778</v>
      </c>
      <c r="K333" t="s">
        <v>40697</v>
      </c>
      <c r="M333" t="s">
        <v>41099</v>
      </c>
      <c r="N333" t="s">
        <v>44905</v>
      </c>
      <c r="O333" t="s">
        <v>44906</v>
      </c>
      <c r="P333">
        <v>0</v>
      </c>
      <c r="Q333">
        <v>0</v>
      </c>
      <c r="R333" t="s">
        <v>44907</v>
      </c>
      <c r="S333" t="s">
        <v>45026</v>
      </c>
      <c r="T333" t="s">
        <v>46414</v>
      </c>
      <c r="U333" t="s">
        <v>47200</v>
      </c>
      <c r="W333" t="s">
        <v>41099</v>
      </c>
      <c r="X333" t="s">
        <v>44908</v>
      </c>
    </row>
    <row r="334" spans="1:24">
      <c r="A334">
        <f>HYPERLINK("https://www.philgeps.gov.ph/GEPSNONPILOT/Tender/SplashBidNoticeAbstractUI.aspx?menuIndex=3&amp;refID=7081838&amp;Result=3","7081838")</f>
        <v>0</v>
      </c>
      <c r="B334" t="s">
        <v>152</v>
      </c>
      <c r="C334" t="s">
        <v>3834</v>
      </c>
      <c r="D334" t="s">
        <v>18143</v>
      </c>
      <c r="E334" t="s">
        <v>18501</v>
      </c>
      <c r="F334" t="s">
        <v>31362</v>
      </c>
      <c r="G334" t="s">
        <v>31370</v>
      </c>
      <c r="H334" t="s">
        <v>15799</v>
      </c>
      <c r="I334" t="s">
        <v>31414</v>
      </c>
      <c r="J334" t="s">
        <v>31779</v>
      </c>
      <c r="K334" t="s">
        <v>40693</v>
      </c>
      <c r="M334" t="s">
        <v>41090</v>
      </c>
      <c r="N334" t="s">
        <v>44905</v>
      </c>
      <c r="O334" t="s">
        <v>44906</v>
      </c>
      <c r="P334">
        <v>0</v>
      </c>
      <c r="Q334">
        <v>0</v>
      </c>
      <c r="R334" t="s">
        <v>44907</v>
      </c>
      <c r="S334" t="s">
        <v>45026</v>
      </c>
      <c r="T334" t="s">
        <v>46432</v>
      </c>
      <c r="U334" t="s">
        <v>47201</v>
      </c>
      <c r="W334" t="s">
        <v>41090</v>
      </c>
      <c r="X334" t="s">
        <v>44908</v>
      </c>
    </row>
    <row r="335" spans="1:24">
      <c r="A335">
        <f>HYPERLINK("https://www.philgeps.gov.ph/GEPSNONPILOT/Tender/SplashBidNoticeAbstractUI.aspx?menuIndex=3&amp;refID=7081836&amp;Result=3","7081836")</f>
        <v>0</v>
      </c>
      <c r="B335" t="s">
        <v>152</v>
      </c>
      <c r="C335" t="s">
        <v>3851</v>
      </c>
      <c r="D335" t="s">
        <v>18143</v>
      </c>
      <c r="E335" t="s">
        <v>18502</v>
      </c>
      <c r="F335" t="s">
        <v>31362</v>
      </c>
      <c r="G335" t="s">
        <v>31370</v>
      </c>
      <c r="H335" t="s">
        <v>15799</v>
      </c>
      <c r="I335" t="s">
        <v>31397</v>
      </c>
      <c r="J335" t="s">
        <v>31780</v>
      </c>
      <c r="K335" t="s">
        <v>40693</v>
      </c>
      <c r="M335" t="s">
        <v>41090</v>
      </c>
      <c r="N335" t="s">
        <v>44905</v>
      </c>
      <c r="O335" t="s">
        <v>44906</v>
      </c>
      <c r="P335">
        <v>0</v>
      </c>
      <c r="Q335">
        <v>0</v>
      </c>
      <c r="R335" t="s">
        <v>44907</v>
      </c>
      <c r="S335" t="s">
        <v>45026</v>
      </c>
      <c r="T335" t="s">
        <v>46432</v>
      </c>
      <c r="U335" t="s">
        <v>47202</v>
      </c>
      <c r="W335" t="s">
        <v>41090</v>
      </c>
      <c r="X335" t="s">
        <v>44908</v>
      </c>
    </row>
    <row r="336" spans="1:24">
      <c r="A336">
        <f>HYPERLINK("https://www.philgeps.gov.ph/GEPSNONPILOT/Tender/SplashBidNoticeAbstractUI.aspx?menuIndex=3&amp;refID=7081859&amp;Result=3","7081859")</f>
        <v>0</v>
      </c>
      <c r="B336" t="s">
        <v>162</v>
      </c>
      <c r="C336" t="s">
        <v>3852</v>
      </c>
      <c r="D336" t="s">
        <v>18120</v>
      </c>
      <c r="E336" t="s">
        <v>18503</v>
      </c>
      <c r="F336" t="s">
        <v>31362</v>
      </c>
      <c r="G336" t="s">
        <v>31368</v>
      </c>
      <c r="H336" t="s">
        <v>15799</v>
      </c>
      <c r="I336" t="s">
        <v>31414</v>
      </c>
      <c r="J336" t="s">
        <v>31781</v>
      </c>
      <c r="K336" t="s">
        <v>40665</v>
      </c>
      <c r="M336" t="s">
        <v>41100</v>
      </c>
      <c r="N336" t="s">
        <v>44905</v>
      </c>
      <c r="O336" t="s">
        <v>44906</v>
      </c>
      <c r="P336">
        <v>0</v>
      </c>
      <c r="Q336">
        <v>1</v>
      </c>
      <c r="R336" t="s">
        <v>44907</v>
      </c>
      <c r="S336" t="s">
        <v>45026</v>
      </c>
      <c r="T336" t="s">
        <v>46409</v>
      </c>
      <c r="U336" t="s">
        <v>47203</v>
      </c>
      <c r="V336" t="s">
        <v>59084</v>
      </c>
      <c r="W336" t="s">
        <v>41100</v>
      </c>
      <c r="X336" t="s">
        <v>44908</v>
      </c>
    </row>
    <row r="337" spans="1:24">
      <c r="A337">
        <f>HYPERLINK("https://www.philgeps.gov.ph/GEPSNONPILOT/Tender/SplashBidNoticeAbstractUI.aspx?menuIndex=3&amp;refID=7081843&amp;Result=3","7081843")</f>
        <v>0</v>
      </c>
      <c r="B337" t="s">
        <v>163</v>
      </c>
      <c r="C337" t="s">
        <v>3853</v>
      </c>
      <c r="D337" t="s">
        <v>18106</v>
      </c>
      <c r="E337" t="s">
        <v>18504</v>
      </c>
      <c r="F337" t="s">
        <v>31362</v>
      </c>
      <c r="G337" t="s">
        <v>31368</v>
      </c>
      <c r="H337" t="s">
        <v>15799</v>
      </c>
      <c r="I337" t="s">
        <v>31380</v>
      </c>
      <c r="J337" t="s">
        <v>31782</v>
      </c>
      <c r="K337" t="s">
        <v>40697</v>
      </c>
      <c r="M337" t="s">
        <v>41101</v>
      </c>
      <c r="N337" t="s">
        <v>44905</v>
      </c>
      <c r="O337" t="s">
        <v>44906</v>
      </c>
      <c r="P337">
        <v>0</v>
      </c>
      <c r="Q337">
        <v>2</v>
      </c>
      <c r="R337" t="s">
        <v>44907</v>
      </c>
      <c r="S337" t="s">
        <v>45026</v>
      </c>
      <c r="T337" t="s">
        <v>46478</v>
      </c>
      <c r="U337" t="s">
        <v>47204</v>
      </c>
      <c r="W337" t="s">
        <v>41101</v>
      </c>
      <c r="X337" t="s">
        <v>44908</v>
      </c>
    </row>
    <row r="338" spans="1:24">
      <c r="A338">
        <f>HYPERLINK("https://www.philgeps.gov.ph/GEPSNONPILOT/Tender/SplashBidNoticeAbstractUI.aspx?menuIndex=3&amp;refID=7081872&amp;Result=3","7081872")</f>
        <v>0</v>
      </c>
      <c r="B338" t="s">
        <v>48</v>
      </c>
      <c r="C338" t="s">
        <v>3854</v>
      </c>
      <c r="D338" t="s">
        <v>18117</v>
      </c>
      <c r="E338" t="s">
        <v>18505</v>
      </c>
      <c r="F338" t="s">
        <v>31362</v>
      </c>
      <c r="G338" t="s">
        <v>31369</v>
      </c>
      <c r="H338" t="s">
        <v>15799</v>
      </c>
      <c r="I338" t="s">
        <v>7719</v>
      </c>
      <c r="J338" t="s">
        <v>31783</v>
      </c>
      <c r="K338" t="s">
        <v>40680</v>
      </c>
      <c r="M338" t="s">
        <v>41068</v>
      </c>
      <c r="N338" t="s">
        <v>44905</v>
      </c>
      <c r="O338" t="s">
        <v>44906</v>
      </c>
      <c r="P338">
        <v>0</v>
      </c>
      <c r="Q338">
        <v>2</v>
      </c>
      <c r="R338" t="s">
        <v>44907</v>
      </c>
      <c r="S338" t="s">
        <v>45026</v>
      </c>
      <c r="T338" t="s">
        <v>46403</v>
      </c>
      <c r="U338" t="s">
        <v>47205</v>
      </c>
      <c r="V338" t="s">
        <v>59085</v>
      </c>
      <c r="W338" t="s">
        <v>41068</v>
      </c>
      <c r="X338" t="s">
        <v>44908</v>
      </c>
    </row>
    <row r="339" spans="1:24">
      <c r="A339">
        <f>HYPERLINK("https://www.philgeps.gov.ph/GEPSNONPILOT/Tender/SplashBidNoticeAbstractUI.aspx?menuIndex=3&amp;refID=7081870&amp;Result=3","7081870")</f>
        <v>0</v>
      </c>
      <c r="B339" t="s">
        <v>164</v>
      </c>
      <c r="C339" t="s">
        <v>3855</v>
      </c>
      <c r="D339" t="s">
        <v>18109</v>
      </c>
      <c r="E339" t="s">
        <v>18506</v>
      </c>
      <c r="F339" t="s">
        <v>31362</v>
      </c>
      <c r="G339" t="s">
        <v>31368</v>
      </c>
      <c r="H339" t="s">
        <v>15799</v>
      </c>
      <c r="I339" t="s">
        <v>31393</v>
      </c>
      <c r="J339" t="s">
        <v>31784</v>
      </c>
      <c r="K339" t="s">
        <v>40666</v>
      </c>
      <c r="M339" t="s">
        <v>41102</v>
      </c>
      <c r="N339" t="s">
        <v>44905</v>
      </c>
      <c r="O339" t="s">
        <v>44906</v>
      </c>
      <c r="P339">
        <v>0</v>
      </c>
      <c r="Q339">
        <v>0</v>
      </c>
      <c r="R339" t="s">
        <v>44907</v>
      </c>
      <c r="S339" t="s">
        <v>45026</v>
      </c>
      <c r="T339" t="s">
        <v>46393</v>
      </c>
      <c r="U339" t="s">
        <v>47206</v>
      </c>
      <c r="W339" t="s">
        <v>41102</v>
      </c>
      <c r="X339" t="s">
        <v>44908</v>
      </c>
    </row>
    <row r="340" spans="1:24">
      <c r="A340">
        <f>HYPERLINK("https://www.philgeps.gov.ph/GEPSNONPILOT/Tender/SplashBidNoticeAbstractUI.aspx?menuIndex=3&amp;refID=7081881&amp;Result=3","7081881")</f>
        <v>0</v>
      </c>
      <c r="B340" t="s">
        <v>165</v>
      </c>
      <c r="C340" t="s">
        <v>3856</v>
      </c>
      <c r="D340" t="s">
        <v>18109</v>
      </c>
      <c r="E340" t="s">
        <v>18507</v>
      </c>
      <c r="F340" t="s">
        <v>31363</v>
      </c>
      <c r="G340" t="s">
        <v>31369</v>
      </c>
      <c r="H340" t="s">
        <v>31378</v>
      </c>
      <c r="I340" t="s">
        <v>31386</v>
      </c>
      <c r="J340" t="s">
        <v>31785</v>
      </c>
      <c r="K340" t="s">
        <v>40682</v>
      </c>
      <c r="M340" t="s">
        <v>41103</v>
      </c>
      <c r="N340" t="s">
        <v>44905</v>
      </c>
      <c r="O340" t="s">
        <v>44906</v>
      </c>
      <c r="P340">
        <v>0</v>
      </c>
      <c r="Q340">
        <v>0</v>
      </c>
      <c r="R340" t="s">
        <v>44907</v>
      </c>
      <c r="S340" t="s">
        <v>45026</v>
      </c>
      <c r="T340" t="s">
        <v>46472</v>
      </c>
      <c r="U340" t="s">
        <v>47207</v>
      </c>
      <c r="W340" t="s">
        <v>41103</v>
      </c>
      <c r="X340" t="s">
        <v>44908</v>
      </c>
    </row>
    <row r="341" spans="1:24">
      <c r="A341">
        <f>HYPERLINK("https://www.philgeps.gov.ph/GEPSNONPILOT/Tender/SplashBidNoticeAbstractUI.aspx?menuIndex=3&amp;refID=7081837&amp;Result=3","7081837")</f>
        <v>0</v>
      </c>
      <c r="B341" t="s">
        <v>166</v>
      </c>
      <c r="C341" t="s">
        <v>3857</v>
      </c>
      <c r="D341" t="s">
        <v>18144</v>
      </c>
      <c r="E341" t="s">
        <v>18508</v>
      </c>
      <c r="F341" t="s">
        <v>31362</v>
      </c>
      <c r="G341" t="s">
        <v>31369</v>
      </c>
      <c r="H341" t="s">
        <v>31378</v>
      </c>
      <c r="I341" t="s">
        <v>31386</v>
      </c>
      <c r="J341" t="s">
        <v>31786</v>
      </c>
      <c r="K341" t="s">
        <v>40704</v>
      </c>
      <c r="M341" t="s">
        <v>41104</v>
      </c>
      <c r="N341" t="s">
        <v>44905</v>
      </c>
      <c r="O341" t="s">
        <v>44906</v>
      </c>
      <c r="P341">
        <v>0</v>
      </c>
      <c r="Q341">
        <v>0</v>
      </c>
      <c r="R341" t="s">
        <v>44907</v>
      </c>
      <c r="S341" t="s">
        <v>45026</v>
      </c>
      <c r="T341" t="s">
        <v>46479</v>
      </c>
      <c r="U341" t="s">
        <v>47208</v>
      </c>
      <c r="W341" t="s">
        <v>41104</v>
      </c>
      <c r="X341" t="s">
        <v>44908</v>
      </c>
    </row>
    <row r="342" spans="1:24">
      <c r="A342">
        <f>HYPERLINK("https://www.philgeps.gov.ph/GEPSNONPILOT/Tender/SplashBidNoticeAbstractUI.aspx?menuIndex=3&amp;refID=7081878&amp;Result=3","7081878")</f>
        <v>0</v>
      </c>
      <c r="B342" t="s">
        <v>167</v>
      </c>
      <c r="C342" t="s">
        <v>3858</v>
      </c>
      <c r="D342" t="s">
        <v>18152</v>
      </c>
      <c r="E342" t="s">
        <v>18509</v>
      </c>
      <c r="F342" t="s">
        <v>31362</v>
      </c>
      <c r="G342" t="s">
        <v>31369</v>
      </c>
      <c r="H342" t="s">
        <v>15799</v>
      </c>
      <c r="I342" t="s">
        <v>3815</v>
      </c>
      <c r="J342" t="s">
        <v>31787</v>
      </c>
      <c r="K342" t="s">
        <v>40670</v>
      </c>
      <c r="M342" t="s">
        <v>41105</v>
      </c>
      <c r="N342" t="s">
        <v>44905</v>
      </c>
      <c r="O342" t="s">
        <v>44906</v>
      </c>
      <c r="P342">
        <v>0</v>
      </c>
      <c r="Q342">
        <v>0</v>
      </c>
      <c r="R342" t="s">
        <v>44907</v>
      </c>
      <c r="S342" t="s">
        <v>45026</v>
      </c>
      <c r="T342" t="s">
        <v>46462</v>
      </c>
      <c r="U342" t="s">
        <v>47209</v>
      </c>
      <c r="V342" t="s">
        <v>59086</v>
      </c>
      <c r="W342" t="s">
        <v>41105</v>
      </c>
      <c r="X342" t="s">
        <v>44908</v>
      </c>
    </row>
    <row r="343" spans="1:24">
      <c r="A343">
        <f>HYPERLINK("https://www.philgeps.gov.ph/GEPSNONPILOT/Tender/SplashBidNoticeAbstractUI.aspx?menuIndex=3&amp;refID=7081855&amp;Result=3","7081855")</f>
        <v>0</v>
      </c>
      <c r="B343" t="s">
        <v>168</v>
      </c>
      <c r="C343" t="s">
        <v>3859</v>
      </c>
      <c r="D343" t="s">
        <v>18102</v>
      </c>
      <c r="E343" t="s">
        <v>18510</v>
      </c>
      <c r="F343" t="s">
        <v>31362</v>
      </c>
      <c r="G343" t="s">
        <v>31370</v>
      </c>
      <c r="H343" t="s">
        <v>15799</v>
      </c>
      <c r="I343" t="s">
        <v>7188</v>
      </c>
      <c r="J343" t="s">
        <v>31577</v>
      </c>
      <c r="K343" t="s">
        <v>40666</v>
      </c>
      <c r="M343" t="s">
        <v>41106</v>
      </c>
      <c r="N343" t="s">
        <v>44905</v>
      </c>
      <c r="O343" t="s">
        <v>44906</v>
      </c>
      <c r="P343">
        <v>0</v>
      </c>
      <c r="Q343">
        <v>0</v>
      </c>
      <c r="R343" t="s">
        <v>44907</v>
      </c>
      <c r="S343" t="s">
        <v>45026</v>
      </c>
      <c r="T343" t="s">
        <v>46404</v>
      </c>
      <c r="U343" t="s">
        <v>47210</v>
      </c>
      <c r="V343" t="s">
        <v>59087</v>
      </c>
      <c r="W343" t="s">
        <v>41106</v>
      </c>
      <c r="X343" t="s">
        <v>44908</v>
      </c>
    </row>
    <row r="344" spans="1:24">
      <c r="A344">
        <f>HYPERLINK("https://www.philgeps.gov.ph/GEPSNONPILOT/Tender/SplashBidNoticeAbstractUI.aspx?menuIndex=3&amp;refID=7081876&amp;Result=3","7081876")</f>
        <v>0</v>
      </c>
      <c r="B344" t="s">
        <v>169</v>
      </c>
      <c r="C344" t="s">
        <v>3860</v>
      </c>
      <c r="D344" t="s">
        <v>18108</v>
      </c>
      <c r="E344" t="s">
        <v>18511</v>
      </c>
      <c r="F344" t="s">
        <v>31362</v>
      </c>
      <c r="G344" t="s">
        <v>31368</v>
      </c>
      <c r="H344" t="s">
        <v>15799</v>
      </c>
      <c r="I344" t="s">
        <v>31402</v>
      </c>
      <c r="J344" t="s">
        <v>31788</v>
      </c>
      <c r="K344" t="s">
        <v>40665</v>
      </c>
      <c r="M344" t="s">
        <v>41107</v>
      </c>
      <c r="N344" t="s">
        <v>44905</v>
      </c>
      <c r="O344" t="s">
        <v>44906</v>
      </c>
      <c r="P344">
        <v>0</v>
      </c>
      <c r="Q344">
        <v>0</v>
      </c>
      <c r="R344" t="s">
        <v>44907</v>
      </c>
      <c r="S344" t="s">
        <v>45026</v>
      </c>
      <c r="T344" t="s">
        <v>46411</v>
      </c>
      <c r="U344" t="s">
        <v>47211</v>
      </c>
      <c r="W344" t="s">
        <v>41107</v>
      </c>
      <c r="X344" t="s">
        <v>44908</v>
      </c>
    </row>
    <row r="345" spans="1:24">
      <c r="A345">
        <f>HYPERLINK("https://www.philgeps.gov.ph/GEPSNONPILOT/Tender/SplashBidNoticeAbstractUI.aspx?menuIndex=3&amp;refID=7081869&amp;Result=3","7081869")</f>
        <v>0</v>
      </c>
      <c r="B345" t="s">
        <v>170</v>
      </c>
      <c r="C345" t="s">
        <v>3861</v>
      </c>
      <c r="D345" t="s">
        <v>18103</v>
      </c>
      <c r="E345" t="s">
        <v>18512</v>
      </c>
      <c r="F345" t="s">
        <v>31362</v>
      </c>
      <c r="G345" t="s">
        <v>31368</v>
      </c>
      <c r="H345" t="s">
        <v>31378</v>
      </c>
      <c r="I345" t="s">
        <v>3582</v>
      </c>
      <c r="J345" t="s">
        <v>31578</v>
      </c>
      <c r="K345" t="s">
        <v>40661</v>
      </c>
      <c r="M345" t="s">
        <v>41108</v>
      </c>
      <c r="N345" t="s">
        <v>44905</v>
      </c>
      <c r="O345" t="s">
        <v>44906</v>
      </c>
      <c r="P345">
        <v>0</v>
      </c>
      <c r="Q345">
        <v>0</v>
      </c>
      <c r="R345" t="s">
        <v>44907</v>
      </c>
      <c r="S345" t="s">
        <v>45026</v>
      </c>
      <c r="T345" t="s">
        <v>46432</v>
      </c>
      <c r="U345" t="s">
        <v>47212</v>
      </c>
      <c r="W345" t="s">
        <v>41108</v>
      </c>
      <c r="X345" t="s">
        <v>44908</v>
      </c>
    </row>
    <row r="346" spans="1:24">
      <c r="A346">
        <f>HYPERLINK("https://www.philgeps.gov.ph/GEPSNONPILOT/Tender/SplashBidNoticeAbstractUI.aspx?menuIndex=3&amp;refID=7081868&amp;Result=3","7081868")</f>
        <v>0</v>
      </c>
      <c r="B346" t="s">
        <v>167</v>
      </c>
      <c r="C346" t="s">
        <v>3858</v>
      </c>
      <c r="D346" t="s">
        <v>18152</v>
      </c>
      <c r="E346" t="s">
        <v>18513</v>
      </c>
      <c r="F346" t="s">
        <v>31362</v>
      </c>
      <c r="G346" t="s">
        <v>31369</v>
      </c>
      <c r="H346" t="s">
        <v>15799</v>
      </c>
      <c r="I346" t="s">
        <v>3815</v>
      </c>
      <c r="J346" t="s">
        <v>31789</v>
      </c>
      <c r="K346" t="s">
        <v>40670</v>
      </c>
      <c r="M346" t="s">
        <v>41105</v>
      </c>
      <c r="N346" t="s">
        <v>44905</v>
      </c>
      <c r="O346" t="s">
        <v>44906</v>
      </c>
      <c r="P346">
        <v>0</v>
      </c>
      <c r="Q346">
        <v>0</v>
      </c>
      <c r="R346" t="s">
        <v>44907</v>
      </c>
      <c r="S346" t="s">
        <v>45026</v>
      </c>
      <c r="T346" t="s">
        <v>46462</v>
      </c>
      <c r="U346" t="s">
        <v>47213</v>
      </c>
      <c r="V346" t="s">
        <v>59088</v>
      </c>
      <c r="W346" t="s">
        <v>41105</v>
      </c>
      <c r="X346" t="s">
        <v>44908</v>
      </c>
    </row>
    <row r="347" spans="1:24">
      <c r="A347">
        <f>HYPERLINK("https://www.philgeps.gov.ph/GEPSNONPILOT/Tender/SplashBidNoticeAbstractUI.aspx?menuIndex=3&amp;refID=7081880&amp;Result=3","7081880")</f>
        <v>0</v>
      </c>
      <c r="B347" t="s">
        <v>171</v>
      </c>
      <c r="C347" t="s">
        <v>3862</v>
      </c>
      <c r="D347" t="s">
        <v>18116</v>
      </c>
      <c r="E347" t="s">
        <v>18514</v>
      </c>
      <c r="F347" t="s">
        <v>31362</v>
      </c>
      <c r="G347" t="s">
        <v>31369</v>
      </c>
      <c r="H347" t="s">
        <v>31378</v>
      </c>
      <c r="I347" t="s">
        <v>31386</v>
      </c>
      <c r="J347" t="s">
        <v>31790</v>
      </c>
      <c r="K347" t="s">
        <v>40665</v>
      </c>
      <c r="M347" t="s">
        <v>41109</v>
      </c>
      <c r="N347" t="s">
        <v>44905</v>
      </c>
      <c r="O347" t="s">
        <v>44906</v>
      </c>
      <c r="P347">
        <v>0</v>
      </c>
      <c r="Q347">
        <v>0</v>
      </c>
      <c r="R347" t="s">
        <v>44907</v>
      </c>
      <c r="S347" t="s">
        <v>45026</v>
      </c>
      <c r="T347" t="s">
        <v>46459</v>
      </c>
      <c r="U347" t="s">
        <v>47214</v>
      </c>
      <c r="W347" t="s">
        <v>41109</v>
      </c>
      <c r="X347" t="s">
        <v>44908</v>
      </c>
    </row>
    <row r="348" spans="1:24">
      <c r="A348">
        <f>HYPERLINK("https://www.philgeps.gov.ph/GEPSNONPILOT/Tender/SplashBidNoticeAbstractUI.aspx?menuIndex=3&amp;refID=7081867&amp;Result=3","7081867")</f>
        <v>0</v>
      </c>
      <c r="B348" t="s">
        <v>172</v>
      </c>
      <c r="C348" t="s">
        <v>3863</v>
      </c>
      <c r="D348" t="s">
        <v>18141</v>
      </c>
      <c r="E348" t="s">
        <v>18515</v>
      </c>
      <c r="F348" t="s">
        <v>31362</v>
      </c>
      <c r="G348" t="s">
        <v>31368</v>
      </c>
      <c r="H348" t="s">
        <v>31378</v>
      </c>
      <c r="I348" t="s">
        <v>31386</v>
      </c>
      <c r="J348" t="s">
        <v>31791</v>
      </c>
      <c r="K348" t="s">
        <v>40682</v>
      </c>
      <c r="M348" t="s">
        <v>41110</v>
      </c>
      <c r="N348" t="s">
        <v>44905</v>
      </c>
      <c r="O348" t="s">
        <v>44906</v>
      </c>
      <c r="P348">
        <v>0</v>
      </c>
      <c r="Q348">
        <v>0</v>
      </c>
      <c r="R348" t="s">
        <v>44907</v>
      </c>
      <c r="S348" t="s">
        <v>45026</v>
      </c>
      <c r="T348" t="s">
        <v>46432</v>
      </c>
      <c r="U348" t="s">
        <v>47215</v>
      </c>
      <c r="W348" t="s">
        <v>41110</v>
      </c>
      <c r="X348" t="s">
        <v>44908</v>
      </c>
    </row>
    <row r="349" spans="1:24">
      <c r="A349">
        <f>HYPERLINK("https://www.philgeps.gov.ph/GEPSNONPILOT/Tender/SplashBidNoticeAbstractUI.aspx?menuIndex=3&amp;refID=7081873&amp;Result=3","7081873")</f>
        <v>0</v>
      </c>
      <c r="B349" t="s">
        <v>152</v>
      </c>
      <c r="C349" t="s">
        <v>3864</v>
      </c>
      <c r="D349" t="s">
        <v>18143</v>
      </c>
      <c r="E349" t="s">
        <v>18516</v>
      </c>
      <c r="F349" t="s">
        <v>31362</v>
      </c>
      <c r="G349" t="s">
        <v>31368</v>
      </c>
      <c r="H349" t="s">
        <v>15799</v>
      </c>
      <c r="I349" t="s">
        <v>4057</v>
      </c>
      <c r="J349" t="s">
        <v>31792</v>
      </c>
      <c r="K349" t="s">
        <v>40697</v>
      </c>
      <c r="M349" t="s">
        <v>41090</v>
      </c>
      <c r="N349" t="s">
        <v>44905</v>
      </c>
      <c r="O349" t="s">
        <v>44906</v>
      </c>
      <c r="P349">
        <v>0</v>
      </c>
      <c r="Q349">
        <v>1</v>
      </c>
      <c r="R349" t="s">
        <v>44907</v>
      </c>
      <c r="S349" t="s">
        <v>45026</v>
      </c>
      <c r="T349" t="s">
        <v>46432</v>
      </c>
      <c r="U349" t="s">
        <v>47216</v>
      </c>
      <c r="W349" t="s">
        <v>41090</v>
      </c>
      <c r="X349" t="s">
        <v>44908</v>
      </c>
    </row>
    <row r="350" spans="1:24">
      <c r="A350">
        <f>HYPERLINK("https://www.philgeps.gov.ph/GEPSNONPILOT/Tender/SplashBidNoticeAbstractUI.aspx?menuIndex=3&amp;refID=7081865&amp;Result=3","7081865")</f>
        <v>0</v>
      </c>
      <c r="B350" t="s">
        <v>173</v>
      </c>
      <c r="C350" t="s">
        <v>3865</v>
      </c>
      <c r="D350" t="s">
        <v>18108</v>
      </c>
      <c r="E350" t="s">
        <v>18517</v>
      </c>
      <c r="F350" t="s">
        <v>31362</v>
      </c>
      <c r="G350" t="s">
        <v>31370</v>
      </c>
      <c r="H350" t="s">
        <v>15799</v>
      </c>
      <c r="I350" t="s">
        <v>31431</v>
      </c>
      <c r="J350" t="s">
        <v>31793</v>
      </c>
      <c r="K350" t="s">
        <v>40661</v>
      </c>
      <c r="M350" t="s">
        <v>41111</v>
      </c>
      <c r="N350" t="s">
        <v>44905</v>
      </c>
      <c r="O350" t="s">
        <v>44906</v>
      </c>
      <c r="P350">
        <v>0</v>
      </c>
      <c r="Q350">
        <v>5</v>
      </c>
      <c r="R350" t="s">
        <v>44907</v>
      </c>
      <c r="S350" t="s">
        <v>45026</v>
      </c>
      <c r="T350" t="s">
        <v>46404</v>
      </c>
      <c r="U350" t="s">
        <v>47217</v>
      </c>
      <c r="W350" t="s">
        <v>41111</v>
      </c>
      <c r="X350" t="s">
        <v>44908</v>
      </c>
    </row>
    <row r="351" spans="1:24">
      <c r="A351">
        <f>HYPERLINK("https://www.philgeps.gov.ph/GEPSNONPILOT/Tender/SplashBidNoticeAbstractUI.aspx?menuIndex=3&amp;refID=7081875&amp;Result=3","7081875")</f>
        <v>0</v>
      </c>
      <c r="B351" t="s">
        <v>171</v>
      </c>
      <c r="C351" t="s">
        <v>3866</v>
      </c>
      <c r="D351" t="s">
        <v>18116</v>
      </c>
      <c r="E351" t="s">
        <v>18514</v>
      </c>
      <c r="F351" t="s">
        <v>31362</v>
      </c>
      <c r="G351" t="s">
        <v>31369</v>
      </c>
      <c r="H351" t="s">
        <v>31378</v>
      </c>
      <c r="I351" t="s">
        <v>31386</v>
      </c>
      <c r="J351" t="s">
        <v>31794</v>
      </c>
      <c r="K351" t="s">
        <v>40665</v>
      </c>
      <c r="M351" t="s">
        <v>41109</v>
      </c>
      <c r="N351" t="s">
        <v>44905</v>
      </c>
      <c r="O351" t="s">
        <v>44906</v>
      </c>
      <c r="P351">
        <v>0</v>
      </c>
      <c r="Q351">
        <v>0</v>
      </c>
      <c r="R351" t="s">
        <v>44907</v>
      </c>
      <c r="S351" t="s">
        <v>45026</v>
      </c>
      <c r="T351" t="s">
        <v>46459</v>
      </c>
      <c r="U351" t="s">
        <v>47218</v>
      </c>
      <c r="W351" t="s">
        <v>41109</v>
      </c>
      <c r="X351" t="s">
        <v>44908</v>
      </c>
    </row>
    <row r="352" spans="1:24">
      <c r="A352">
        <f>HYPERLINK("https://www.philgeps.gov.ph/GEPSNONPILOT/Tender/SplashBidNoticeAbstractUI.aspx?menuIndex=3&amp;refID=7081866&amp;Result=3","7081866")</f>
        <v>0</v>
      </c>
      <c r="B352" t="s">
        <v>152</v>
      </c>
      <c r="C352" t="s">
        <v>3864</v>
      </c>
      <c r="D352" t="s">
        <v>18143</v>
      </c>
      <c r="E352" t="s">
        <v>18518</v>
      </c>
      <c r="F352" t="s">
        <v>31362</v>
      </c>
      <c r="G352" t="s">
        <v>31368</v>
      </c>
      <c r="H352" t="s">
        <v>15799</v>
      </c>
      <c r="I352" t="s">
        <v>4057</v>
      </c>
      <c r="J352" t="s">
        <v>31792</v>
      </c>
      <c r="K352" t="s">
        <v>40697</v>
      </c>
      <c r="M352" t="s">
        <v>41090</v>
      </c>
      <c r="N352" t="s">
        <v>44905</v>
      </c>
      <c r="O352" t="s">
        <v>44906</v>
      </c>
      <c r="P352">
        <v>0</v>
      </c>
      <c r="Q352">
        <v>0</v>
      </c>
      <c r="R352" t="s">
        <v>44907</v>
      </c>
      <c r="S352" t="s">
        <v>45026</v>
      </c>
      <c r="T352" t="s">
        <v>46393</v>
      </c>
      <c r="U352" t="s">
        <v>47216</v>
      </c>
      <c r="W352" t="s">
        <v>41090</v>
      </c>
      <c r="X352" t="s">
        <v>44908</v>
      </c>
    </row>
    <row r="353" spans="1:24">
      <c r="A353">
        <f>HYPERLINK("https://www.philgeps.gov.ph/GEPSNONPILOT/Tender/SplashBidNoticeAbstractUI.aspx?menuIndex=3&amp;refID=7081864&amp;Result=3","7081864")</f>
        <v>0</v>
      </c>
      <c r="B353" t="s">
        <v>174</v>
      </c>
      <c r="C353" t="s">
        <v>3867</v>
      </c>
      <c r="D353" t="s">
        <v>18108</v>
      </c>
      <c r="E353" t="s">
        <v>18519</v>
      </c>
      <c r="F353" t="s">
        <v>31362</v>
      </c>
      <c r="G353" t="s">
        <v>31368</v>
      </c>
      <c r="H353" t="s">
        <v>31378</v>
      </c>
      <c r="I353" t="s">
        <v>3815</v>
      </c>
      <c r="J353" t="s">
        <v>31795</v>
      </c>
      <c r="K353" t="s">
        <v>40682</v>
      </c>
      <c r="M353" t="s">
        <v>41112</v>
      </c>
      <c r="N353" t="s">
        <v>44905</v>
      </c>
      <c r="O353" t="s">
        <v>44906</v>
      </c>
      <c r="P353">
        <v>0</v>
      </c>
      <c r="Q353">
        <v>1</v>
      </c>
      <c r="R353" t="s">
        <v>44907</v>
      </c>
      <c r="S353" t="s">
        <v>45026</v>
      </c>
      <c r="T353" t="s">
        <v>46480</v>
      </c>
      <c r="U353" t="s">
        <v>47219</v>
      </c>
      <c r="V353" t="s">
        <v>59089</v>
      </c>
      <c r="W353" t="s">
        <v>41112</v>
      </c>
      <c r="X353" t="s">
        <v>44908</v>
      </c>
    </row>
    <row r="354" spans="1:24">
      <c r="A354">
        <f>HYPERLINK("https://www.philgeps.gov.ph/GEPSNONPILOT/Tender/SplashBidNoticeAbstractUI.aspx?menuIndex=3&amp;refID=7081822&amp;Result=3","7081822")</f>
        <v>0</v>
      </c>
      <c r="B354" t="s">
        <v>137</v>
      </c>
      <c r="C354" t="s">
        <v>3868</v>
      </c>
      <c r="D354" t="s">
        <v>18141</v>
      </c>
      <c r="E354" t="s">
        <v>18520</v>
      </c>
      <c r="F354" t="s">
        <v>31363</v>
      </c>
      <c r="G354" t="s">
        <v>31369</v>
      </c>
      <c r="H354" t="s">
        <v>15799</v>
      </c>
      <c r="I354" t="s">
        <v>3815</v>
      </c>
      <c r="J354" t="s">
        <v>31796</v>
      </c>
      <c r="K354" t="s">
        <v>40670</v>
      </c>
      <c r="M354" t="s">
        <v>41075</v>
      </c>
      <c r="N354" t="s">
        <v>44905</v>
      </c>
      <c r="O354" t="s">
        <v>44906</v>
      </c>
      <c r="P354">
        <v>0</v>
      </c>
      <c r="Q354">
        <v>0</v>
      </c>
      <c r="R354" t="s">
        <v>44907</v>
      </c>
      <c r="S354" t="s">
        <v>45026</v>
      </c>
      <c r="T354" t="s">
        <v>46449</v>
      </c>
      <c r="U354" t="s">
        <v>47220</v>
      </c>
      <c r="W354" t="s">
        <v>41075</v>
      </c>
      <c r="X354" t="s">
        <v>44908</v>
      </c>
    </row>
    <row r="355" spans="1:24">
      <c r="A355">
        <f>HYPERLINK("https://www.philgeps.gov.ph/GEPSNONPILOT/Tender/SplashBidNoticeAbstractUI.aspx?menuIndex=3&amp;refID=7081874&amp;Result=3","7081874")</f>
        <v>0</v>
      </c>
      <c r="B355" t="s">
        <v>175</v>
      </c>
      <c r="C355" t="s">
        <v>3869</v>
      </c>
      <c r="D355" t="s">
        <v>18153</v>
      </c>
      <c r="E355" t="s">
        <v>18521</v>
      </c>
      <c r="F355" t="s">
        <v>31362</v>
      </c>
      <c r="G355" t="s">
        <v>31370</v>
      </c>
      <c r="H355" t="s">
        <v>15799</v>
      </c>
      <c r="I355" t="s">
        <v>6155</v>
      </c>
      <c r="J355" t="s">
        <v>31546</v>
      </c>
      <c r="K355" t="s">
        <v>40661</v>
      </c>
      <c r="L355" t="s">
        <v>175</v>
      </c>
      <c r="M355" t="s">
        <v>41113</v>
      </c>
      <c r="N355" t="s">
        <v>44905</v>
      </c>
      <c r="O355" t="s">
        <v>44906</v>
      </c>
      <c r="P355">
        <v>0</v>
      </c>
      <c r="Q355">
        <v>6</v>
      </c>
      <c r="R355" t="s">
        <v>44907</v>
      </c>
      <c r="S355" t="s">
        <v>45026</v>
      </c>
      <c r="T355" t="s">
        <v>46428</v>
      </c>
      <c r="U355" t="s">
        <v>47221</v>
      </c>
      <c r="V355" t="s">
        <v>59090</v>
      </c>
      <c r="W355" t="s">
        <v>41113</v>
      </c>
      <c r="X355" t="s">
        <v>44908</v>
      </c>
    </row>
    <row r="356" spans="1:24">
      <c r="A356">
        <f>HYPERLINK("https://www.philgeps.gov.ph/GEPSNONPILOT/Tender/SplashBidNoticeAbstractUI.aspx?menuIndex=3&amp;refID=7081907&amp;Result=3","7081907")</f>
        <v>0</v>
      </c>
      <c r="B356" t="s">
        <v>176</v>
      </c>
      <c r="C356" t="s">
        <v>3870</v>
      </c>
      <c r="E356" t="s">
        <v>18522</v>
      </c>
      <c r="F356" t="s">
        <v>31362</v>
      </c>
      <c r="G356" t="s">
        <v>31368</v>
      </c>
      <c r="H356" t="s">
        <v>15799</v>
      </c>
      <c r="I356" t="s">
        <v>31432</v>
      </c>
      <c r="J356" t="s">
        <v>31545</v>
      </c>
      <c r="K356" t="s">
        <v>40662</v>
      </c>
      <c r="M356" t="s">
        <v>41114</v>
      </c>
      <c r="N356" t="s">
        <v>44905</v>
      </c>
      <c r="O356" t="s">
        <v>44906</v>
      </c>
      <c r="P356">
        <v>0</v>
      </c>
      <c r="Q356">
        <v>1</v>
      </c>
      <c r="R356" t="s">
        <v>44907</v>
      </c>
      <c r="S356" t="s">
        <v>45026</v>
      </c>
      <c r="T356" t="s">
        <v>46481</v>
      </c>
      <c r="U356" t="s">
        <v>47222</v>
      </c>
      <c r="W356" t="s">
        <v>41114</v>
      </c>
      <c r="X356" t="s">
        <v>44908</v>
      </c>
    </row>
    <row r="357" spans="1:24">
      <c r="A357">
        <f>HYPERLINK("https://www.philgeps.gov.ph/GEPSNONPILOT/Tender/SplashBidNoticeAbstractUI.aspx?menuIndex=3&amp;refID=7081906&amp;Result=3","7081906")</f>
        <v>0</v>
      </c>
      <c r="B357" t="s">
        <v>167</v>
      </c>
      <c r="C357" t="s">
        <v>3858</v>
      </c>
      <c r="D357" t="s">
        <v>18152</v>
      </c>
      <c r="E357" t="s">
        <v>18523</v>
      </c>
      <c r="F357" t="s">
        <v>31362</v>
      </c>
      <c r="G357" t="s">
        <v>31369</v>
      </c>
      <c r="H357" t="s">
        <v>15799</v>
      </c>
      <c r="I357" t="s">
        <v>3815</v>
      </c>
      <c r="J357" t="s">
        <v>31797</v>
      </c>
      <c r="K357" t="s">
        <v>40670</v>
      </c>
      <c r="M357" t="s">
        <v>41105</v>
      </c>
      <c r="N357" t="s">
        <v>44905</v>
      </c>
      <c r="O357" t="s">
        <v>44906</v>
      </c>
      <c r="P357">
        <v>0</v>
      </c>
      <c r="Q357">
        <v>0</v>
      </c>
      <c r="R357" t="s">
        <v>44907</v>
      </c>
      <c r="S357" t="s">
        <v>45026</v>
      </c>
      <c r="T357" t="s">
        <v>46462</v>
      </c>
      <c r="U357" t="s">
        <v>47223</v>
      </c>
      <c r="V357" t="s">
        <v>59086</v>
      </c>
      <c r="W357" t="s">
        <v>41105</v>
      </c>
      <c r="X357" t="s">
        <v>44908</v>
      </c>
    </row>
    <row r="358" spans="1:24">
      <c r="A358">
        <f>HYPERLINK("https://www.philgeps.gov.ph/GEPSNONPILOT/Tender/SplashBidNoticeAbstractUI.aspx?menuIndex=3&amp;refID=7081862&amp;Result=3","7081862")</f>
        <v>0</v>
      </c>
      <c r="B358" t="s">
        <v>152</v>
      </c>
      <c r="C358" t="s">
        <v>3871</v>
      </c>
      <c r="D358" t="s">
        <v>18143</v>
      </c>
      <c r="E358" t="s">
        <v>18524</v>
      </c>
      <c r="F358" t="s">
        <v>31362</v>
      </c>
      <c r="G358" t="s">
        <v>31370</v>
      </c>
      <c r="H358" t="s">
        <v>15799</v>
      </c>
      <c r="I358" t="s">
        <v>31406</v>
      </c>
      <c r="J358" t="s">
        <v>31798</v>
      </c>
      <c r="K358" t="s">
        <v>40693</v>
      </c>
      <c r="M358" t="s">
        <v>41090</v>
      </c>
      <c r="N358" t="s">
        <v>44905</v>
      </c>
      <c r="O358" t="s">
        <v>44906</v>
      </c>
      <c r="P358">
        <v>0</v>
      </c>
      <c r="Q358">
        <v>3</v>
      </c>
      <c r="R358" t="s">
        <v>44907</v>
      </c>
      <c r="S358" t="s">
        <v>45026</v>
      </c>
      <c r="T358" t="s">
        <v>46432</v>
      </c>
      <c r="U358" t="s">
        <v>47224</v>
      </c>
      <c r="W358" t="s">
        <v>41090</v>
      </c>
      <c r="X358" t="s">
        <v>44908</v>
      </c>
    </row>
    <row r="359" spans="1:24">
      <c r="A359">
        <f>HYPERLINK("https://www.philgeps.gov.ph/GEPSNONPILOT/Tender/SplashBidNoticeAbstractUI.aspx?menuIndex=3&amp;refID=7081903&amp;Result=3","7081903")</f>
        <v>0</v>
      </c>
      <c r="B359" t="s">
        <v>177</v>
      </c>
      <c r="C359" t="s">
        <v>3872</v>
      </c>
      <c r="D359" t="s">
        <v>18154</v>
      </c>
      <c r="E359" t="s">
        <v>18525</v>
      </c>
      <c r="F359" t="s">
        <v>31362</v>
      </c>
      <c r="G359" t="s">
        <v>31369</v>
      </c>
      <c r="H359" t="s">
        <v>15799</v>
      </c>
      <c r="I359" t="s">
        <v>3815</v>
      </c>
      <c r="J359" t="s">
        <v>31799</v>
      </c>
      <c r="K359" t="s">
        <v>40662</v>
      </c>
      <c r="M359" t="s">
        <v>41115</v>
      </c>
      <c r="N359" t="s">
        <v>44905</v>
      </c>
      <c r="O359" t="s">
        <v>44906</v>
      </c>
      <c r="P359">
        <v>0</v>
      </c>
      <c r="Q359">
        <v>1</v>
      </c>
      <c r="R359" t="s">
        <v>44907</v>
      </c>
      <c r="S359" t="s">
        <v>45026</v>
      </c>
      <c r="T359" t="s">
        <v>46403</v>
      </c>
      <c r="U359" t="s">
        <v>47225</v>
      </c>
      <c r="W359" t="s">
        <v>41115</v>
      </c>
      <c r="X359" t="s">
        <v>44908</v>
      </c>
    </row>
    <row r="360" spans="1:24">
      <c r="A360">
        <f>HYPERLINK("https://www.philgeps.gov.ph/GEPSNONPILOT/Tender/SplashBidNoticeAbstractUI.aspx?menuIndex=3&amp;refID=7081909&amp;Result=3","7081909")</f>
        <v>0</v>
      </c>
      <c r="B360" t="s">
        <v>178</v>
      </c>
      <c r="C360" t="s">
        <v>3873</v>
      </c>
      <c r="D360" t="s">
        <v>18126</v>
      </c>
      <c r="E360" t="s">
        <v>18526</v>
      </c>
      <c r="F360" t="s">
        <v>31362</v>
      </c>
      <c r="G360" t="s">
        <v>31369</v>
      </c>
      <c r="H360" t="s">
        <v>15799</v>
      </c>
      <c r="I360" t="s">
        <v>7719</v>
      </c>
      <c r="J360" t="s">
        <v>31800</v>
      </c>
      <c r="K360" t="s">
        <v>40670</v>
      </c>
      <c r="M360" t="s">
        <v>41116</v>
      </c>
      <c r="N360" t="s">
        <v>44905</v>
      </c>
      <c r="O360" t="s">
        <v>44906</v>
      </c>
      <c r="Q360">
        <v>7</v>
      </c>
      <c r="R360" t="s">
        <v>44907</v>
      </c>
      <c r="S360" t="s">
        <v>45030</v>
      </c>
      <c r="T360" t="s">
        <v>46424</v>
      </c>
      <c r="U360" t="s">
        <v>47226</v>
      </c>
      <c r="W360" t="s">
        <v>41116</v>
      </c>
      <c r="X360" t="s">
        <v>44908</v>
      </c>
    </row>
    <row r="361" spans="1:24">
      <c r="A361">
        <f>HYPERLINK("https://www.philgeps.gov.ph/GEPSNONPILOT/Tender/SplashBidNoticeAbstractUI.aspx?menuIndex=3&amp;refID=7081902&amp;Result=3","7081902")</f>
        <v>0</v>
      </c>
      <c r="B361" t="s">
        <v>179</v>
      </c>
      <c r="C361" t="s">
        <v>3874</v>
      </c>
      <c r="D361" t="s">
        <v>18155</v>
      </c>
      <c r="E361" t="s">
        <v>18527</v>
      </c>
      <c r="F361" t="s">
        <v>31362</v>
      </c>
      <c r="G361" t="s">
        <v>31368</v>
      </c>
      <c r="H361" t="s">
        <v>15799</v>
      </c>
      <c r="I361" t="s">
        <v>3815</v>
      </c>
      <c r="J361" t="s">
        <v>31801</v>
      </c>
      <c r="K361" t="s">
        <v>40665</v>
      </c>
      <c r="M361" t="s">
        <v>41117</v>
      </c>
      <c r="N361" t="s">
        <v>44905</v>
      </c>
      <c r="O361" t="s">
        <v>44906</v>
      </c>
      <c r="P361">
        <v>0</v>
      </c>
      <c r="Q361">
        <v>1</v>
      </c>
      <c r="R361" t="s">
        <v>44907</v>
      </c>
      <c r="S361" t="s">
        <v>45026</v>
      </c>
      <c r="T361" t="s">
        <v>46482</v>
      </c>
      <c r="U361" t="s">
        <v>47227</v>
      </c>
      <c r="V361" t="s">
        <v>59091</v>
      </c>
      <c r="W361" t="s">
        <v>60838</v>
      </c>
      <c r="X361" t="s">
        <v>44908</v>
      </c>
    </row>
    <row r="362" spans="1:24">
      <c r="A362">
        <f>HYPERLINK("https://www.philgeps.gov.ph/GEPSNONPILOT/Tender/SplashBidNoticeAbstractUI.aspx?menuIndex=3&amp;refID=7081900&amp;Result=3","7081900")</f>
        <v>0</v>
      </c>
      <c r="B362" t="s">
        <v>180</v>
      </c>
      <c r="C362" t="s">
        <v>3875</v>
      </c>
      <c r="D362" t="s">
        <v>18112</v>
      </c>
      <c r="E362" t="s">
        <v>18528</v>
      </c>
      <c r="F362" t="s">
        <v>31362</v>
      </c>
      <c r="G362" t="s">
        <v>31368</v>
      </c>
      <c r="H362" t="s">
        <v>15799</v>
      </c>
      <c r="I362" t="s">
        <v>6373</v>
      </c>
      <c r="J362" t="s">
        <v>31802</v>
      </c>
      <c r="K362" t="s">
        <v>40680</v>
      </c>
      <c r="M362" t="s">
        <v>41118</v>
      </c>
      <c r="N362" t="s">
        <v>44905</v>
      </c>
      <c r="O362" t="s">
        <v>44906</v>
      </c>
      <c r="P362">
        <v>0</v>
      </c>
      <c r="Q362">
        <v>0</v>
      </c>
      <c r="R362" t="s">
        <v>44907</v>
      </c>
      <c r="S362" t="s">
        <v>45026</v>
      </c>
      <c r="T362" t="s">
        <v>46483</v>
      </c>
      <c r="U362" t="s">
        <v>47228</v>
      </c>
      <c r="W362" t="s">
        <v>41118</v>
      </c>
      <c r="X362" t="s">
        <v>44908</v>
      </c>
    </row>
    <row r="363" spans="1:24">
      <c r="A363">
        <f>HYPERLINK("https://www.philgeps.gov.ph/GEPSNONPILOT/Tender/SplashBidNoticeAbstractUI.aspx?menuIndex=3&amp;refID=7081863&amp;Result=3","7081863")</f>
        <v>0</v>
      </c>
      <c r="B363" t="s">
        <v>181</v>
      </c>
      <c r="C363" t="s">
        <v>3876</v>
      </c>
      <c r="D363" t="s">
        <v>18103</v>
      </c>
      <c r="E363" t="s">
        <v>18529</v>
      </c>
      <c r="F363" t="s">
        <v>31362</v>
      </c>
      <c r="G363" t="s">
        <v>31370</v>
      </c>
      <c r="H363" t="s">
        <v>15799</v>
      </c>
      <c r="I363" t="s">
        <v>31380</v>
      </c>
      <c r="J363" t="s">
        <v>31803</v>
      </c>
      <c r="K363" t="s">
        <v>40662</v>
      </c>
      <c r="M363" t="s">
        <v>41119</v>
      </c>
      <c r="N363" t="s">
        <v>44905</v>
      </c>
      <c r="O363" t="s">
        <v>44906</v>
      </c>
      <c r="P363">
        <v>0</v>
      </c>
      <c r="Q363">
        <v>3</v>
      </c>
      <c r="R363" t="s">
        <v>44907</v>
      </c>
      <c r="S363" t="s">
        <v>45026</v>
      </c>
      <c r="T363" t="s">
        <v>46432</v>
      </c>
      <c r="U363" t="s">
        <v>47229</v>
      </c>
      <c r="W363" t="s">
        <v>60839</v>
      </c>
      <c r="X363" t="s">
        <v>44908</v>
      </c>
    </row>
    <row r="364" spans="1:24">
      <c r="A364">
        <f>HYPERLINK("https://www.philgeps.gov.ph/GEPSNONPILOT/Tender/SplashBidNoticeAbstractUI.aspx?menuIndex=3&amp;refID=7081896&amp;Result=3","7081896")</f>
        <v>0</v>
      </c>
      <c r="B364" t="s">
        <v>182</v>
      </c>
      <c r="C364" t="s">
        <v>3877</v>
      </c>
      <c r="D364" t="s">
        <v>18101</v>
      </c>
      <c r="E364" t="s">
        <v>18530</v>
      </c>
      <c r="F364" t="s">
        <v>31362</v>
      </c>
      <c r="G364" t="s">
        <v>31370</v>
      </c>
      <c r="H364" t="s">
        <v>15799</v>
      </c>
      <c r="I364" t="s">
        <v>3815</v>
      </c>
      <c r="J364" t="s">
        <v>31804</v>
      </c>
      <c r="K364" t="s">
        <v>40662</v>
      </c>
      <c r="M364" t="s">
        <v>41120</v>
      </c>
      <c r="N364" t="s">
        <v>44905</v>
      </c>
      <c r="O364" t="s">
        <v>44906</v>
      </c>
      <c r="P364">
        <v>0</v>
      </c>
      <c r="Q364">
        <v>0</v>
      </c>
      <c r="R364" t="s">
        <v>44907</v>
      </c>
      <c r="S364" t="s">
        <v>45026</v>
      </c>
      <c r="T364" t="s">
        <v>46434</v>
      </c>
      <c r="U364" t="s">
        <v>47230</v>
      </c>
      <c r="W364" t="s">
        <v>60840</v>
      </c>
      <c r="X364" t="s">
        <v>44908</v>
      </c>
    </row>
    <row r="365" spans="1:24">
      <c r="A365">
        <f>HYPERLINK("https://www.philgeps.gov.ph/GEPSNONPILOT/Tender/SplashBidNoticeAbstractUI.aspx?menuIndex=3&amp;refID=7081905&amp;Result=3","7081905")</f>
        <v>0</v>
      </c>
      <c r="B365" t="s">
        <v>183</v>
      </c>
      <c r="C365" t="s">
        <v>3878</v>
      </c>
      <c r="D365" t="s">
        <v>18129</v>
      </c>
      <c r="E365" t="s">
        <v>18531</v>
      </c>
      <c r="F365" t="s">
        <v>31362</v>
      </c>
      <c r="G365" t="s">
        <v>31368</v>
      </c>
      <c r="H365" t="s">
        <v>15799</v>
      </c>
      <c r="I365" t="s">
        <v>31403</v>
      </c>
      <c r="J365" t="s">
        <v>31805</v>
      </c>
      <c r="K365" t="s">
        <v>40697</v>
      </c>
      <c r="M365" t="s">
        <v>41121</v>
      </c>
      <c r="N365" t="s">
        <v>44905</v>
      </c>
      <c r="O365" t="s">
        <v>44906</v>
      </c>
      <c r="P365">
        <v>0</v>
      </c>
      <c r="Q365">
        <v>0</v>
      </c>
      <c r="R365" t="s">
        <v>44907</v>
      </c>
      <c r="S365" t="s">
        <v>45026</v>
      </c>
      <c r="T365" t="s">
        <v>46446</v>
      </c>
      <c r="U365" t="s">
        <v>47231</v>
      </c>
      <c r="W365" t="s">
        <v>41121</v>
      </c>
      <c r="X365" t="s">
        <v>44908</v>
      </c>
    </row>
    <row r="366" spans="1:24">
      <c r="A366">
        <f>HYPERLINK("https://www.philgeps.gov.ph/GEPSNONPILOT/Tender/SplashBidNoticeAbstractUI.aspx?menuIndex=3&amp;refID=7081895&amp;Result=3","7081895")</f>
        <v>0</v>
      </c>
      <c r="B366" t="s">
        <v>184</v>
      </c>
      <c r="C366" t="s">
        <v>3879</v>
      </c>
      <c r="D366" t="s">
        <v>18123</v>
      </c>
      <c r="E366" t="s">
        <v>18532</v>
      </c>
      <c r="F366" t="s">
        <v>31362</v>
      </c>
      <c r="G366" t="s">
        <v>31368</v>
      </c>
      <c r="H366" t="s">
        <v>15799</v>
      </c>
      <c r="I366" t="s">
        <v>31396</v>
      </c>
      <c r="J366" t="s">
        <v>31806</v>
      </c>
      <c r="K366" t="s">
        <v>40665</v>
      </c>
      <c r="M366" t="s">
        <v>41122</v>
      </c>
      <c r="N366" t="s">
        <v>44905</v>
      </c>
      <c r="O366" t="s">
        <v>44906</v>
      </c>
      <c r="P366">
        <v>0</v>
      </c>
      <c r="Q366">
        <v>2</v>
      </c>
      <c r="R366" t="s">
        <v>44907</v>
      </c>
      <c r="S366" t="s">
        <v>45026</v>
      </c>
      <c r="T366" t="s">
        <v>46435</v>
      </c>
      <c r="U366" t="s">
        <v>47232</v>
      </c>
      <c r="W366" t="s">
        <v>41122</v>
      </c>
      <c r="X366" t="s">
        <v>44908</v>
      </c>
    </row>
    <row r="367" spans="1:24">
      <c r="A367">
        <f>HYPERLINK("https://www.philgeps.gov.ph/GEPSNONPILOT/Tender/SplashBidNoticeAbstractUI.aspx?menuIndex=3&amp;refID=7081891&amp;Result=3","7081891")</f>
        <v>0</v>
      </c>
      <c r="B367" t="s">
        <v>185</v>
      </c>
      <c r="C367" t="s">
        <v>3880</v>
      </c>
      <c r="D367" t="s">
        <v>18153</v>
      </c>
      <c r="E367" t="s">
        <v>18533</v>
      </c>
      <c r="F367" t="s">
        <v>31362</v>
      </c>
      <c r="G367" t="s">
        <v>31368</v>
      </c>
      <c r="H367" t="s">
        <v>15799</v>
      </c>
      <c r="I367" t="s">
        <v>31385</v>
      </c>
      <c r="J367" t="s">
        <v>31546</v>
      </c>
      <c r="K367" t="s">
        <v>40666</v>
      </c>
      <c r="M367" t="s">
        <v>41123</v>
      </c>
      <c r="N367" t="s">
        <v>44905</v>
      </c>
      <c r="O367" t="s">
        <v>44906</v>
      </c>
      <c r="P367">
        <v>0</v>
      </c>
      <c r="Q367">
        <v>4</v>
      </c>
      <c r="R367" t="s">
        <v>44907</v>
      </c>
      <c r="S367" t="s">
        <v>45026</v>
      </c>
      <c r="T367" t="s">
        <v>46483</v>
      </c>
      <c r="U367" t="s">
        <v>47233</v>
      </c>
      <c r="W367" t="s">
        <v>41123</v>
      </c>
      <c r="X367" t="s">
        <v>44908</v>
      </c>
    </row>
    <row r="368" spans="1:24">
      <c r="A368">
        <f>HYPERLINK("https://www.philgeps.gov.ph/GEPSNONPILOT/Tender/SplashBidNoticeAbstractUI.aspx?menuIndex=3&amp;refID=7081890&amp;Result=3","7081890")</f>
        <v>0</v>
      </c>
      <c r="B368" t="s">
        <v>87</v>
      </c>
      <c r="C368" t="s">
        <v>3881</v>
      </c>
      <c r="D368" t="s">
        <v>18109</v>
      </c>
      <c r="E368" t="s">
        <v>18534</v>
      </c>
      <c r="F368" t="s">
        <v>31362</v>
      </c>
      <c r="G368" t="s">
        <v>31371</v>
      </c>
      <c r="H368" t="s">
        <v>15799</v>
      </c>
      <c r="I368" t="s">
        <v>31385</v>
      </c>
      <c r="J368" t="s">
        <v>31807</v>
      </c>
      <c r="K368" t="s">
        <v>40661</v>
      </c>
      <c r="M368" t="s">
        <v>41023</v>
      </c>
      <c r="N368" t="s">
        <v>44905</v>
      </c>
      <c r="O368" t="s">
        <v>44906</v>
      </c>
      <c r="P368">
        <v>0</v>
      </c>
      <c r="Q368">
        <v>0</v>
      </c>
      <c r="R368" t="s">
        <v>44907</v>
      </c>
      <c r="S368" t="s">
        <v>45026</v>
      </c>
      <c r="T368" t="s">
        <v>46435</v>
      </c>
      <c r="U368" t="s">
        <v>47234</v>
      </c>
      <c r="W368" t="s">
        <v>60832</v>
      </c>
      <c r="X368" t="s">
        <v>44908</v>
      </c>
    </row>
    <row r="369" spans="1:24">
      <c r="A369">
        <f>HYPERLINK("https://www.philgeps.gov.ph/GEPSNONPILOT/Tender/SplashBidNoticeAbstractUI.aspx?menuIndex=3&amp;refID=7081888&amp;Result=3","7081888")</f>
        <v>0</v>
      </c>
      <c r="B369" t="s">
        <v>186</v>
      </c>
      <c r="C369" t="s">
        <v>3882</v>
      </c>
      <c r="D369" t="s">
        <v>18114</v>
      </c>
      <c r="E369" t="s">
        <v>18535</v>
      </c>
      <c r="F369" t="s">
        <v>31362</v>
      </c>
      <c r="G369" t="s">
        <v>31369</v>
      </c>
      <c r="H369" t="s">
        <v>31378</v>
      </c>
      <c r="I369" t="s">
        <v>3815</v>
      </c>
      <c r="J369" t="s">
        <v>31808</v>
      </c>
      <c r="K369" t="s">
        <v>40705</v>
      </c>
      <c r="M369" t="s">
        <v>41124</v>
      </c>
      <c r="N369" t="s">
        <v>44905</v>
      </c>
      <c r="O369" t="s">
        <v>44906</v>
      </c>
      <c r="P369">
        <v>0</v>
      </c>
      <c r="Q369">
        <v>0</v>
      </c>
      <c r="R369" t="s">
        <v>44907</v>
      </c>
      <c r="S369" t="s">
        <v>45026</v>
      </c>
      <c r="T369" t="s">
        <v>46396</v>
      </c>
      <c r="U369" t="s">
        <v>47235</v>
      </c>
      <c r="W369" t="s">
        <v>41124</v>
      </c>
      <c r="X369" t="s">
        <v>44908</v>
      </c>
    </row>
    <row r="370" spans="1:24">
      <c r="A370">
        <f>HYPERLINK("https://www.philgeps.gov.ph/GEPSNONPILOT/Tender/SplashBidNoticeAbstractUI.aspx?menuIndex=3&amp;refID=7081887&amp;Result=3","7081887")</f>
        <v>0</v>
      </c>
      <c r="B370" t="s">
        <v>187</v>
      </c>
      <c r="C370" t="s">
        <v>3883</v>
      </c>
      <c r="D370" t="s">
        <v>18155</v>
      </c>
      <c r="E370" t="s">
        <v>18536</v>
      </c>
      <c r="F370" t="s">
        <v>31362</v>
      </c>
      <c r="G370" t="s">
        <v>31369</v>
      </c>
      <c r="H370" t="s">
        <v>31379</v>
      </c>
      <c r="I370" t="s">
        <v>31433</v>
      </c>
      <c r="J370" t="s">
        <v>31809</v>
      </c>
      <c r="K370" t="s">
        <v>40665</v>
      </c>
      <c r="M370" t="s">
        <v>41125</v>
      </c>
      <c r="N370" t="s">
        <v>44905</v>
      </c>
      <c r="O370" t="s">
        <v>44906</v>
      </c>
      <c r="Q370">
        <v>0</v>
      </c>
      <c r="R370" t="s">
        <v>44907</v>
      </c>
      <c r="S370" t="s">
        <v>45031</v>
      </c>
      <c r="T370" t="s">
        <v>46484</v>
      </c>
      <c r="U370" t="s">
        <v>47236</v>
      </c>
      <c r="W370" t="s">
        <v>41125</v>
      </c>
      <c r="X370" t="s">
        <v>44908</v>
      </c>
    </row>
    <row r="371" spans="1:24">
      <c r="A371">
        <f>HYPERLINK("https://www.philgeps.gov.ph/GEPSNONPILOT/Tender/SplashBidNoticeAbstractUI.aspx?menuIndex=3&amp;refID=7081885&amp;Result=3","7081885")</f>
        <v>0</v>
      </c>
      <c r="B371" t="s">
        <v>152</v>
      </c>
      <c r="C371" t="s">
        <v>3884</v>
      </c>
      <c r="D371" t="s">
        <v>18143</v>
      </c>
      <c r="E371" t="s">
        <v>18537</v>
      </c>
      <c r="F371" t="s">
        <v>31362</v>
      </c>
      <c r="G371" t="s">
        <v>31368</v>
      </c>
      <c r="H371" t="s">
        <v>15799</v>
      </c>
      <c r="I371" t="s">
        <v>4057</v>
      </c>
      <c r="J371" t="s">
        <v>31810</v>
      </c>
      <c r="K371" t="s">
        <v>40661</v>
      </c>
      <c r="M371" t="s">
        <v>41090</v>
      </c>
      <c r="N371" t="s">
        <v>44905</v>
      </c>
      <c r="O371" t="s">
        <v>44906</v>
      </c>
      <c r="P371">
        <v>0</v>
      </c>
      <c r="Q371">
        <v>0</v>
      </c>
      <c r="R371" t="s">
        <v>44907</v>
      </c>
      <c r="S371" t="s">
        <v>45026</v>
      </c>
      <c r="T371" t="s">
        <v>46393</v>
      </c>
      <c r="U371" t="s">
        <v>47237</v>
      </c>
      <c r="W371" t="s">
        <v>41090</v>
      </c>
      <c r="X371" t="s">
        <v>44908</v>
      </c>
    </row>
    <row r="372" spans="1:24">
      <c r="A372">
        <f>HYPERLINK("https://www.philgeps.gov.ph/GEPSNONPILOT/Tender/SplashBidNoticeAbstractUI.aspx?menuIndex=3&amp;refID=7081898&amp;Result=3","7081898")</f>
        <v>0</v>
      </c>
      <c r="B372" t="s">
        <v>186</v>
      </c>
      <c r="C372" t="s">
        <v>3885</v>
      </c>
      <c r="D372" t="s">
        <v>18114</v>
      </c>
      <c r="E372" t="s">
        <v>18538</v>
      </c>
      <c r="F372" t="s">
        <v>31362</v>
      </c>
      <c r="G372" t="s">
        <v>31369</v>
      </c>
      <c r="H372" t="s">
        <v>31379</v>
      </c>
      <c r="I372" t="s">
        <v>31388</v>
      </c>
      <c r="J372" t="s">
        <v>31811</v>
      </c>
      <c r="K372" t="s">
        <v>40670</v>
      </c>
      <c r="M372" t="s">
        <v>41124</v>
      </c>
      <c r="N372" t="s">
        <v>44905</v>
      </c>
      <c r="O372" t="s">
        <v>44906</v>
      </c>
      <c r="P372">
        <v>0</v>
      </c>
      <c r="Q372">
        <v>0</v>
      </c>
      <c r="R372" t="s">
        <v>44907</v>
      </c>
      <c r="S372" t="s">
        <v>45026</v>
      </c>
      <c r="T372" t="s">
        <v>46396</v>
      </c>
      <c r="U372" t="s">
        <v>47238</v>
      </c>
      <c r="W372" t="s">
        <v>41124</v>
      </c>
      <c r="X372" t="s">
        <v>44908</v>
      </c>
    </row>
    <row r="373" spans="1:24">
      <c r="A373">
        <f>HYPERLINK("https://www.philgeps.gov.ph/GEPSNONPILOT/Tender/SplashBidNoticeAbstractUI.aspx?menuIndex=3&amp;refID=7081904&amp;Result=3","7081904")</f>
        <v>0</v>
      </c>
      <c r="B373" t="s">
        <v>188</v>
      </c>
      <c r="C373" t="s">
        <v>3886</v>
      </c>
      <c r="D373" t="s">
        <v>18134</v>
      </c>
      <c r="E373" t="s">
        <v>18539</v>
      </c>
      <c r="F373" t="s">
        <v>31362</v>
      </c>
      <c r="G373" t="s">
        <v>31372</v>
      </c>
      <c r="H373" t="s">
        <v>15799</v>
      </c>
      <c r="I373" t="s">
        <v>3815</v>
      </c>
      <c r="J373" t="s">
        <v>31812</v>
      </c>
      <c r="K373" t="s">
        <v>40661</v>
      </c>
      <c r="M373" t="s">
        <v>41126</v>
      </c>
      <c r="N373" t="s">
        <v>44905</v>
      </c>
      <c r="O373" t="s">
        <v>44906</v>
      </c>
      <c r="P373">
        <v>0</v>
      </c>
      <c r="Q373">
        <v>0</v>
      </c>
      <c r="R373" t="s">
        <v>44907</v>
      </c>
      <c r="S373" t="s">
        <v>45026</v>
      </c>
      <c r="T373" t="s">
        <v>46470</v>
      </c>
      <c r="U373" t="s">
        <v>47239</v>
      </c>
      <c r="V373" t="s">
        <v>59092</v>
      </c>
      <c r="W373" t="s">
        <v>41126</v>
      </c>
      <c r="X373" t="s">
        <v>44908</v>
      </c>
    </row>
    <row r="374" spans="1:24">
      <c r="A374">
        <f>HYPERLINK("https://www.philgeps.gov.ph/GEPSNONPILOT/Tender/SplashBidNoticeAbstractUI.aspx?menuIndex=3&amp;refID=7081893&amp;Result=3","7081893")</f>
        <v>0</v>
      </c>
      <c r="B374" t="s">
        <v>189</v>
      </c>
      <c r="C374" t="s">
        <v>3887</v>
      </c>
      <c r="D374" t="s">
        <v>18125</v>
      </c>
      <c r="E374" t="s">
        <v>18540</v>
      </c>
      <c r="F374" t="s">
        <v>31362</v>
      </c>
      <c r="G374" t="s">
        <v>31368</v>
      </c>
      <c r="H374" t="s">
        <v>15799</v>
      </c>
      <c r="I374" t="s">
        <v>6155</v>
      </c>
      <c r="J374" t="s">
        <v>31813</v>
      </c>
      <c r="K374" t="s">
        <v>40665</v>
      </c>
      <c r="M374" t="s">
        <v>41127</v>
      </c>
      <c r="N374" t="s">
        <v>44905</v>
      </c>
      <c r="O374" t="s">
        <v>44906</v>
      </c>
      <c r="P374">
        <v>0</v>
      </c>
      <c r="Q374">
        <v>8</v>
      </c>
      <c r="R374" t="s">
        <v>44907</v>
      </c>
      <c r="S374" t="s">
        <v>45026</v>
      </c>
      <c r="T374" t="s">
        <v>46434</v>
      </c>
      <c r="U374" t="s">
        <v>47240</v>
      </c>
      <c r="V374" t="s">
        <v>59093</v>
      </c>
      <c r="W374" t="s">
        <v>41127</v>
      </c>
      <c r="X374" t="s">
        <v>44908</v>
      </c>
    </row>
    <row r="375" spans="1:24">
      <c r="A375">
        <f>HYPERLINK("https://www.philgeps.gov.ph/GEPSNONPILOT/Tender/SplashBidNoticeAbstractUI.aspx?menuIndex=3&amp;refID=7081860&amp;Result=3","7081860")</f>
        <v>0</v>
      </c>
      <c r="B375" t="s">
        <v>174</v>
      </c>
      <c r="C375" t="s">
        <v>3888</v>
      </c>
      <c r="D375" t="s">
        <v>18108</v>
      </c>
      <c r="E375" t="s">
        <v>18541</v>
      </c>
      <c r="F375" t="s">
        <v>31362</v>
      </c>
      <c r="G375" t="s">
        <v>31368</v>
      </c>
      <c r="H375" t="s">
        <v>31378</v>
      </c>
      <c r="I375" t="s">
        <v>3815</v>
      </c>
      <c r="J375" t="s">
        <v>31814</v>
      </c>
      <c r="K375" t="s">
        <v>40665</v>
      </c>
      <c r="M375" t="s">
        <v>41112</v>
      </c>
      <c r="N375" t="s">
        <v>44905</v>
      </c>
      <c r="O375" t="s">
        <v>44906</v>
      </c>
      <c r="P375">
        <v>0</v>
      </c>
      <c r="Q375">
        <v>1</v>
      </c>
      <c r="R375" t="s">
        <v>44907</v>
      </c>
      <c r="S375" t="s">
        <v>45026</v>
      </c>
      <c r="T375" t="s">
        <v>46480</v>
      </c>
      <c r="U375" t="s">
        <v>47241</v>
      </c>
      <c r="V375" t="s">
        <v>59094</v>
      </c>
      <c r="W375" t="s">
        <v>41112</v>
      </c>
      <c r="X375" t="s">
        <v>44908</v>
      </c>
    </row>
    <row r="376" spans="1:24">
      <c r="A376">
        <f>HYPERLINK("https://www.philgeps.gov.ph/GEPSNONPILOT/Tender/SplashBidNoticeAbstractUI.aspx?menuIndex=3&amp;refID=7081911&amp;Result=3","7081911")</f>
        <v>0</v>
      </c>
      <c r="B376" t="s">
        <v>190</v>
      </c>
      <c r="C376" t="s">
        <v>3889</v>
      </c>
      <c r="D376" t="s">
        <v>18156</v>
      </c>
      <c r="E376" t="s">
        <v>18542</v>
      </c>
      <c r="F376" t="s">
        <v>31362</v>
      </c>
      <c r="G376" t="s">
        <v>31368</v>
      </c>
      <c r="H376" t="s">
        <v>15799</v>
      </c>
      <c r="I376" t="s">
        <v>7090</v>
      </c>
      <c r="J376" t="s">
        <v>31815</v>
      </c>
      <c r="K376" t="s">
        <v>40666</v>
      </c>
      <c r="M376" t="s">
        <v>41128</v>
      </c>
      <c r="N376" t="s">
        <v>44905</v>
      </c>
      <c r="O376" t="s">
        <v>44906</v>
      </c>
      <c r="P376">
        <v>0</v>
      </c>
      <c r="Q376">
        <v>0</v>
      </c>
      <c r="R376" t="s">
        <v>44907</v>
      </c>
      <c r="S376" t="s">
        <v>45026</v>
      </c>
      <c r="T376" t="s">
        <v>46409</v>
      </c>
      <c r="U376" t="s">
        <v>47242</v>
      </c>
      <c r="V376" t="s">
        <v>59095</v>
      </c>
      <c r="W376" t="s">
        <v>41128</v>
      </c>
      <c r="X376" t="s">
        <v>44908</v>
      </c>
    </row>
    <row r="377" spans="1:24">
      <c r="A377">
        <f>HYPERLINK("https://www.philgeps.gov.ph/GEPSNONPILOT/Tender/SplashBidNoticeAbstractUI.aspx?menuIndex=3&amp;refID=7081929&amp;Result=3","7081929")</f>
        <v>0</v>
      </c>
      <c r="B377" t="s">
        <v>191</v>
      </c>
      <c r="C377" t="s">
        <v>3890</v>
      </c>
      <c r="D377" t="s">
        <v>18154</v>
      </c>
      <c r="E377" t="s">
        <v>18543</v>
      </c>
      <c r="F377" t="s">
        <v>31362</v>
      </c>
      <c r="G377" t="s">
        <v>31370</v>
      </c>
      <c r="H377" t="s">
        <v>15799</v>
      </c>
      <c r="I377" t="s">
        <v>31404</v>
      </c>
      <c r="J377" t="s">
        <v>31816</v>
      </c>
      <c r="K377" t="s">
        <v>40661</v>
      </c>
      <c r="M377" t="s">
        <v>41129</v>
      </c>
      <c r="N377" t="s">
        <v>44905</v>
      </c>
      <c r="O377" t="s">
        <v>44906</v>
      </c>
      <c r="P377">
        <v>0</v>
      </c>
      <c r="Q377">
        <v>0</v>
      </c>
      <c r="R377" t="s">
        <v>44907</v>
      </c>
      <c r="S377" t="s">
        <v>45026</v>
      </c>
      <c r="T377" t="s">
        <v>46434</v>
      </c>
      <c r="U377" t="s">
        <v>47243</v>
      </c>
      <c r="W377" t="s">
        <v>41129</v>
      </c>
      <c r="X377" t="s">
        <v>44908</v>
      </c>
    </row>
    <row r="378" spans="1:24">
      <c r="A378">
        <f>HYPERLINK("https://www.philgeps.gov.ph/GEPSNONPILOT/Tender/SplashBidNoticeAbstractUI.aspx?menuIndex=3&amp;refID=7081882&amp;Result=3","7081882")</f>
        <v>0</v>
      </c>
      <c r="B378" t="s">
        <v>169</v>
      </c>
      <c r="C378" t="s">
        <v>3891</v>
      </c>
      <c r="D378" t="s">
        <v>18108</v>
      </c>
      <c r="E378" t="s">
        <v>18544</v>
      </c>
      <c r="F378" t="s">
        <v>31362</v>
      </c>
      <c r="G378" t="s">
        <v>31368</v>
      </c>
      <c r="H378" t="s">
        <v>15799</v>
      </c>
      <c r="I378" t="s">
        <v>31402</v>
      </c>
      <c r="J378" t="s">
        <v>31817</v>
      </c>
      <c r="K378" t="s">
        <v>40665</v>
      </c>
      <c r="M378" t="s">
        <v>41107</v>
      </c>
      <c r="N378" t="s">
        <v>44905</v>
      </c>
      <c r="O378" t="s">
        <v>44906</v>
      </c>
      <c r="P378">
        <v>0</v>
      </c>
      <c r="Q378">
        <v>2</v>
      </c>
      <c r="R378" t="s">
        <v>44907</v>
      </c>
      <c r="S378" t="s">
        <v>45026</v>
      </c>
      <c r="T378" t="s">
        <v>46411</v>
      </c>
      <c r="U378" t="s">
        <v>47211</v>
      </c>
      <c r="W378" t="s">
        <v>41107</v>
      </c>
      <c r="X378" t="s">
        <v>44908</v>
      </c>
    </row>
    <row r="379" spans="1:24">
      <c r="A379">
        <f>HYPERLINK("https://www.philgeps.gov.ph/GEPSNONPILOT/Tender/SplashBidNoticeAbstractUI.aspx?menuIndex=3&amp;refID=7081928&amp;Result=3","7081928")</f>
        <v>0</v>
      </c>
      <c r="B379" t="s">
        <v>192</v>
      </c>
      <c r="C379" t="s">
        <v>3892</v>
      </c>
      <c r="D379" t="s">
        <v>18122</v>
      </c>
      <c r="E379" t="s">
        <v>18545</v>
      </c>
      <c r="F379" t="s">
        <v>31362</v>
      </c>
      <c r="G379" t="s">
        <v>31368</v>
      </c>
      <c r="H379" t="s">
        <v>15799</v>
      </c>
      <c r="I379" t="s">
        <v>31380</v>
      </c>
      <c r="J379" t="s">
        <v>31818</v>
      </c>
      <c r="K379" t="s">
        <v>40662</v>
      </c>
      <c r="M379" t="s">
        <v>41130</v>
      </c>
      <c r="N379" t="s">
        <v>44905</v>
      </c>
      <c r="O379" t="s">
        <v>44906</v>
      </c>
      <c r="P379">
        <v>0</v>
      </c>
      <c r="Q379">
        <v>4</v>
      </c>
      <c r="R379" t="s">
        <v>44907</v>
      </c>
      <c r="S379" t="s">
        <v>45026</v>
      </c>
      <c r="T379" t="s">
        <v>46412</v>
      </c>
      <c r="U379" t="s">
        <v>47244</v>
      </c>
      <c r="V379" t="s">
        <v>59096</v>
      </c>
      <c r="W379" t="s">
        <v>41130</v>
      </c>
      <c r="X379" t="s">
        <v>44908</v>
      </c>
    </row>
    <row r="380" spans="1:24">
      <c r="A380">
        <f>HYPERLINK("https://www.philgeps.gov.ph/GEPSNONPILOT/Tender/SplashBidNoticeAbstractUI.aspx?menuIndex=3&amp;refID=7081861&amp;Result=3","7081861")</f>
        <v>0</v>
      </c>
      <c r="B380" t="s">
        <v>152</v>
      </c>
      <c r="C380" t="s">
        <v>3893</v>
      </c>
      <c r="D380" t="s">
        <v>18143</v>
      </c>
      <c r="E380" t="s">
        <v>18546</v>
      </c>
      <c r="F380" t="s">
        <v>31362</v>
      </c>
      <c r="G380" t="s">
        <v>31370</v>
      </c>
      <c r="H380" t="s">
        <v>15799</v>
      </c>
      <c r="I380" t="s">
        <v>31390</v>
      </c>
      <c r="J380" t="s">
        <v>31819</v>
      </c>
      <c r="K380" t="s">
        <v>40693</v>
      </c>
      <c r="M380" t="s">
        <v>41090</v>
      </c>
      <c r="N380" t="s">
        <v>44905</v>
      </c>
      <c r="O380" t="s">
        <v>44906</v>
      </c>
      <c r="P380">
        <v>0</v>
      </c>
      <c r="Q380">
        <v>0</v>
      </c>
      <c r="R380" t="s">
        <v>44907</v>
      </c>
      <c r="S380" t="s">
        <v>45026</v>
      </c>
      <c r="T380" t="s">
        <v>46432</v>
      </c>
      <c r="U380" t="s">
        <v>47245</v>
      </c>
      <c r="W380" t="s">
        <v>41090</v>
      </c>
      <c r="X380" t="s">
        <v>44908</v>
      </c>
    </row>
    <row r="381" spans="1:24">
      <c r="A381">
        <f>HYPERLINK("https://www.philgeps.gov.ph/GEPSNONPILOT/Tender/SplashBidNoticeAbstractUI.aspx?menuIndex=3&amp;refID=7081938&amp;Result=3","7081938")</f>
        <v>0</v>
      </c>
      <c r="B381" t="s">
        <v>159</v>
      </c>
      <c r="C381" t="s">
        <v>3894</v>
      </c>
      <c r="D381" t="s">
        <v>18125</v>
      </c>
      <c r="E381" t="s">
        <v>18547</v>
      </c>
      <c r="F381" t="s">
        <v>31362</v>
      </c>
      <c r="G381" t="s">
        <v>31370</v>
      </c>
      <c r="H381" t="s">
        <v>15799</v>
      </c>
      <c r="I381" t="s">
        <v>13635</v>
      </c>
      <c r="J381" t="s">
        <v>31820</v>
      </c>
      <c r="K381" t="s">
        <v>40662</v>
      </c>
      <c r="M381" t="s">
        <v>41097</v>
      </c>
      <c r="N381" t="s">
        <v>44905</v>
      </c>
      <c r="O381" t="s">
        <v>44906</v>
      </c>
      <c r="P381">
        <v>0</v>
      </c>
      <c r="Q381">
        <v>0</v>
      </c>
      <c r="R381" t="s">
        <v>44907</v>
      </c>
      <c r="S381" t="s">
        <v>45026</v>
      </c>
      <c r="T381" t="s">
        <v>46485</v>
      </c>
      <c r="U381" t="s">
        <v>47246</v>
      </c>
      <c r="W381" t="s">
        <v>41097</v>
      </c>
      <c r="X381" t="s">
        <v>44908</v>
      </c>
    </row>
    <row r="382" spans="1:24">
      <c r="A382">
        <f>HYPERLINK("https://www.philgeps.gov.ph/GEPSNONPILOT/Tender/SplashBidNoticeAbstractUI.aspx?menuIndex=3&amp;refID=7081889&amp;Result=3","7081889")</f>
        <v>0</v>
      </c>
      <c r="B382" t="s">
        <v>193</v>
      </c>
      <c r="C382" t="s">
        <v>3895</v>
      </c>
      <c r="D382" t="s">
        <v>18143</v>
      </c>
      <c r="E382" t="s">
        <v>18548</v>
      </c>
      <c r="F382" t="s">
        <v>31362</v>
      </c>
      <c r="G382" t="s">
        <v>31369</v>
      </c>
      <c r="H382" t="s">
        <v>15799</v>
      </c>
      <c r="I382" t="s">
        <v>31409</v>
      </c>
      <c r="J382" t="s">
        <v>31821</v>
      </c>
      <c r="K382" t="s">
        <v>40661</v>
      </c>
      <c r="M382" t="s">
        <v>41131</v>
      </c>
      <c r="N382" t="s">
        <v>44905</v>
      </c>
      <c r="O382" t="s">
        <v>44906</v>
      </c>
      <c r="P382">
        <v>0</v>
      </c>
      <c r="Q382">
        <v>2</v>
      </c>
      <c r="R382" t="s">
        <v>44907</v>
      </c>
      <c r="S382" t="s">
        <v>45026</v>
      </c>
      <c r="T382" t="s">
        <v>46415</v>
      </c>
      <c r="U382" t="s">
        <v>47247</v>
      </c>
      <c r="W382" t="s">
        <v>41131</v>
      </c>
      <c r="X382" t="s">
        <v>44908</v>
      </c>
    </row>
    <row r="383" spans="1:24">
      <c r="A383">
        <f>HYPERLINK("https://www.philgeps.gov.ph/GEPSNONPILOT/Tender/SplashBidNoticeAbstractUI.aspx?menuIndex=3&amp;refID=7081910&amp;Result=3","7081910")</f>
        <v>0</v>
      </c>
      <c r="B383" t="s">
        <v>182</v>
      </c>
      <c r="C383" t="s">
        <v>3896</v>
      </c>
      <c r="D383" t="s">
        <v>18101</v>
      </c>
      <c r="E383" t="s">
        <v>18549</v>
      </c>
      <c r="F383" t="s">
        <v>31362</v>
      </c>
      <c r="G383" t="s">
        <v>31370</v>
      </c>
      <c r="H383" t="s">
        <v>15799</v>
      </c>
      <c r="I383" t="s">
        <v>31387</v>
      </c>
      <c r="J383" t="s">
        <v>31822</v>
      </c>
      <c r="K383" t="s">
        <v>40662</v>
      </c>
      <c r="M383" t="s">
        <v>41120</v>
      </c>
      <c r="N383" t="s">
        <v>44905</v>
      </c>
      <c r="O383" t="s">
        <v>44906</v>
      </c>
      <c r="P383">
        <v>0</v>
      </c>
      <c r="Q383">
        <v>0</v>
      </c>
      <c r="R383" t="s">
        <v>44907</v>
      </c>
      <c r="S383" t="s">
        <v>45026</v>
      </c>
      <c r="T383" t="s">
        <v>46434</v>
      </c>
      <c r="U383" t="s">
        <v>47248</v>
      </c>
      <c r="W383" t="s">
        <v>60840</v>
      </c>
      <c r="X383" t="s">
        <v>44908</v>
      </c>
    </row>
    <row r="384" spans="1:24">
      <c r="A384">
        <f>HYPERLINK("https://www.philgeps.gov.ph/GEPSNONPILOT/Tender/SplashBidNoticeAbstractUI.aspx?menuIndex=3&amp;refID=7081935&amp;Result=3","7081935")</f>
        <v>0</v>
      </c>
      <c r="B384" t="s">
        <v>194</v>
      </c>
      <c r="C384" t="s">
        <v>3897</v>
      </c>
      <c r="D384" t="s">
        <v>18143</v>
      </c>
      <c r="E384" t="s">
        <v>18550</v>
      </c>
      <c r="F384" t="s">
        <v>31362</v>
      </c>
      <c r="G384" t="s">
        <v>31368</v>
      </c>
      <c r="H384" t="s">
        <v>15799</v>
      </c>
      <c r="I384" t="s">
        <v>7090</v>
      </c>
      <c r="J384" t="s">
        <v>31823</v>
      </c>
      <c r="K384" t="s">
        <v>40666</v>
      </c>
      <c r="M384" t="s">
        <v>41132</v>
      </c>
      <c r="N384" t="s">
        <v>44905</v>
      </c>
      <c r="O384" t="s">
        <v>44906</v>
      </c>
      <c r="P384">
        <v>0</v>
      </c>
      <c r="Q384">
        <v>2</v>
      </c>
      <c r="R384" t="s">
        <v>44907</v>
      </c>
      <c r="S384" t="s">
        <v>45026</v>
      </c>
      <c r="T384" t="s">
        <v>46447</v>
      </c>
      <c r="U384" t="s">
        <v>47249</v>
      </c>
      <c r="W384" t="s">
        <v>41132</v>
      </c>
      <c r="X384" t="s">
        <v>44908</v>
      </c>
    </row>
    <row r="385" spans="1:24">
      <c r="A385">
        <f>HYPERLINK("https://www.philgeps.gov.ph/GEPSNONPILOT/Tender/SplashBidNoticeAbstractUI.aspx?menuIndex=3&amp;refID=7081930&amp;Result=3","7081930")</f>
        <v>0</v>
      </c>
      <c r="B385" t="s">
        <v>181</v>
      </c>
      <c r="C385" t="s">
        <v>3898</v>
      </c>
      <c r="D385" t="s">
        <v>18103</v>
      </c>
      <c r="E385" t="s">
        <v>18551</v>
      </c>
      <c r="F385" t="s">
        <v>31362</v>
      </c>
      <c r="G385" t="s">
        <v>31370</v>
      </c>
      <c r="H385" t="s">
        <v>15799</v>
      </c>
      <c r="I385" t="s">
        <v>31380</v>
      </c>
      <c r="J385" t="s">
        <v>31824</v>
      </c>
      <c r="K385" t="s">
        <v>40662</v>
      </c>
      <c r="M385" t="s">
        <v>41119</v>
      </c>
      <c r="N385" t="s">
        <v>44905</v>
      </c>
      <c r="O385" t="s">
        <v>44906</v>
      </c>
      <c r="P385">
        <v>0</v>
      </c>
      <c r="Q385">
        <v>4</v>
      </c>
      <c r="R385" t="s">
        <v>44907</v>
      </c>
      <c r="S385" t="s">
        <v>45026</v>
      </c>
      <c r="T385" t="s">
        <v>46434</v>
      </c>
      <c r="U385" t="s">
        <v>47250</v>
      </c>
      <c r="W385" t="s">
        <v>60839</v>
      </c>
      <c r="X385" t="s">
        <v>44908</v>
      </c>
    </row>
    <row r="386" spans="1:24">
      <c r="A386">
        <f>HYPERLINK("https://www.philgeps.gov.ph/GEPSNONPILOT/Tender/SplashBidNoticeAbstractUI.aspx?menuIndex=3&amp;refID=7081924&amp;Result=3","7081924")</f>
        <v>0</v>
      </c>
      <c r="B386" t="s">
        <v>184</v>
      </c>
      <c r="C386" t="s">
        <v>3899</v>
      </c>
      <c r="D386" t="s">
        <v>18123</v>
      </c>
      <c r="E386" t="s">
        <v>18552</v>
      </c>
      <c r="F386" t="s">
        <v>31362</v>
      </c>
      <c r="G386" t="s">
        <v>31368</v>
      </c>
      <c r="H386" t="s">
        <v>15799</v>
      </c>
      <c r="I386" t="s">
        <v>31387</v>
      </c>
      <c r="J386" t="s">
        <v>31806</v>
      </c>
      <c r="K386" t="s">
        <v>40665</v>
      </c>
      <c r="M386" t="s">
        <v>41133</v>
      </c>
      <c r="N386" t="s">
        <v>44905</v>
      </c>
      <c r="O386" t="s">
        <v>44906</v>
      </c>
      <c r="P386">
        <v>0</v>
      </c>
      <c r="Q386">
        <v>1</v>
      </c>
      <c r="R386" t="s">
        <v>44907</v>
      </c>
      <c r="S386" t="s">
        <v>45026</v>
      </c>
      <c r="T386" t="s">
        <v>46435</v>
      </c>
      <c r="U386" t="s">
        <v>47251</v>
      </c>
      <c r="W386" t="s">
        <v>41133</v>
      </c>
      <c r="X386" t="s">
        <v>44908</v>
      </c>
    </row>
    <row r="387" spans="1:24">
      <c r="A387">
        <f>HYPERLINK("https://www.philgeps.gov.ph/GEPSNONPILOT/Tender/SplashBidNoticeAbstractUI.aspx?menuIndex=3&amp;refID=7081923&amp;Result=3","7081923")</f>
        <v>0</v>
      </c>
      <c r="B387" t="s">
        <v>195</v>
      </c>
      <c r="C387" t="s">
        <v>3900</v>
      </c>
      <c r="E387" t="s">
        <v>18553</v>
      </c>
      <c r="F387" t="s">
        <v>31362</v>
      </c>
      <c r="G387" t="s">
        <v>31374</v>
      </c>
      <c r="H387" t="s">
        <v>15799</v>
      </c>
      <c r="I387" t="s">
        <v>31390</v>
      </c>
      <c r="J387" t="s">
        <v>31724</v>
      </c>
      <c r="K387" t="s">
        <v>40662</v>
      </c>
      <c r="M387" t="s">
        <v>41134</v>
      </c>
      <c r="N387" t="s">
        <v>44905</v>
      </c>
      <c r="O387" t="s">
        <v>44906</v>
      </c>
      <c r="P387">
        <v>0</v>
      </c>
      <c r="Q387">
        <v>0</v>
      </c>
      <c r="R387" t="s">
        <v>44907</v>
      </c>
      <c r="S387" t="s">
        <v>45026</v>
      </c>
      <c r="T387" t="s">
        <v>46400</v>
      </c>
      <c r="U387" t="s">
        <v>47252</v>
      </c>
      <c r="W387" t="s">
        <v>41134</v>
      </c>
      <c r="X387" t="s">
        <v>44908</v>
      </c>
    </row>
    <row r="388" spans="1:24">
      <c r="A388">
        <f>HYPERLINK("https://www.philgeps.gov.ph/GEPSNONPILOT/Tender/SplashBidNoticeAbstractUI.aspx?menuIndex=3&amp;refID=7081937&amp;Result=3","7081937")</f>
        <v>0</v>
      </c>
      <c r="B388" t="s">
        <v>196</v>
      </c>
      <c r="C388" t="s">
        <v>3901</v>
      </c>
      <c r="D388" t="s">
        <v>18157</v>
      </c>
      <c r="E388" t="s">
        <v>18554</v>
      </c>
      <c r="F388" t="s">
        <v>31362</v>
      </c>
      <c r="G388" t="s">
        <v>31368</v>
      </c>
      <c r="H388" t="s">
        <v>15799</v>
      </c>
      <c r="I388" t="s">
        <v>31391</v>
      </c>
      <c r="J388" t="s">
        <v>31825</v>
      </c>
      <c r="K388" t="s">
        <v>40665</v>
      </c>
      <c r="M388" t="s">
        <v>41135</v>
      </c>
      <c r="N388" t="s">
        <v>44905</v>
      </c>
      <c r="O388" t="s">
        <v>44906</v>
      </c>
      <c r="P388">
        <v>0</v>
      </c>
      <c r="Q388">
        <v>0</v>
      </c>
      <c r="R388" t="s">
        <v>44907</v>
      </c>
      <c r="S388" t="s">
        <v>45026</v>
      </c>
      <c r="T388" t="s">
        <v>46447</v>
      </c>
      <c r="U388" t="s">
        <v>47253</v>
      </c>
      <c r="W388" t="s">
        <v>41135</v>
      </c>
      <c r="X388" t="s">
        <v>44908</v>
      </c>
    </row>
    <row r="389" spans="1:24">
      <c r="A389">
        <f>HYPERLINK("https://www.philgeps.gov.ph/GEPSNONPILOT/Tender/SplashBidNoticeAbstractUI.aspx?menuIndex=3&amp;refID=7081922&amp;Result=3","7081922")</f>
        <v>0</v>
      </c>
      <c r="B389" t="s">
        <v>197</v>
      </c>
      <c r="C389" t="s">
        <v>3902</v>
      </c>
      <c r="D389" t="s">
        <v>18134</v>
      </c>
      <c r="E389" t="s">
        <v>18555</v>
      </c>
      <c r="F389" t="s">
        <v>31362</v>
      </c>
      <c r="G389" t="s">
        <v>31368</v>
      </c>
      <c r="H389" t="s">
        <v>15799</v>
      </c>
      <c r="I389" t="s">
        <v>31394</v>
      </c>
      <c r="J389" t="s">
        <v>31546</v>
      </c>
      <c r="K389" t="s">
        <v>40665</v>
      </c>
      <c r="M389" t="s">
        <v>41136</v>
      </c>
      <c r="N389" t="s">
        <v>44905</v>
      </c>
      <c r="O389" t="s">
        <v>44906</v>
      </c>
      <c r="P389">
        <v>0</v>
      </c>
      <c r="Q389">
        <v>0</v>
      </c>
      <c r="R389" t="s">
        <v>44907</v>
      </c>
      <c r="S389" t="s">
        <v>45026</v>
      </c>
      <c r="T389" t="s">
        <v>46425</v>
      </c>
      <c r="U389" t="s">
        <v>47254</v>
      </c>
      <c r="W389" t="s">
        <v>41136</v>
      </c>
      <c r="X389" t="s">
        <v>44908</v>
      </c>
    </row>
    <row r="390" spans="1:24">
      <c r="A390">
        <f>HYPERLINK("https://www.philgeps.gov.ph/GEPSNONPILOT/Tender/SplashBidNoticeAbstractUI.aspx?menuIndex=3&amp;refID=7081925&amp;Result=3","7081925")</f>
        <v>0</v>
      </c>
      <c r="B390" t="s">
        <v>198</v>
      </c>
      <c r="C390" t="s">
        <v>3903</v>
      </c>
      <c r="D390" t="s">
        <v>18123</v>
      </c>
      <c r="E390" t="s">
        <v>18556</v>
      </c>
      <c r="F390" t="s">
        <v>31362</v>
      </c>
      <c r="G390" t="s">
        <v>31369</v>
      </c>
      <c r="H390" t="s">
        <v>31378</v>
      </c>
      <c r="I390" t="s">
        <v>31386</v>
      </c>
      <c r="J390" t="s">
        <v>31826</v>
      </c>
      <c r="K390" t="s">
        <v>40665</v>
      </c>
      <c r="M390" t="s">
        <v>41137</v>
      </c>
      <c r="N390" t="s">
        <v>44905</v>
      </c>
      <c r="O390" t="s">
        <v>44906</v>
      </c>
      <c r="P390">
        <v>0</v>
      </c>
      <c r="Q390">
        <v>0</v>
      </c>
      <c r="R390" t="s">
        <v>44907</v>
      </c>
      <c r="S390" t="s">
        <v>45026</v>
      </c>
      <c r="T390" t="s">
        <v>46402</v>
      </c>
      <c r="U390" t="s">
        <v>47255</v>
      </c>
      <c r="V390" t="s">
        <v>59097</v>
      </c>
      <c r="W390" t="s">
        <v>41137</v>
      </c>
      <c r="X390" t="s">
        <v>44908</v>
      </c>
    </row>
    <row r="391" spans="1:24">
      <c r="A391">
        <f>HYPERLINK("https://www.philgeps.gov.ph/GEPSNONPILOT/Tender/SplashBidNoticeAbstractUI.aspx?menuIndex=3&amp;refID=7081919&amp;Result=3","7081919")</f>
        <v>0</v>
      </c>
      <c r="B391" t="s">
        <v>199</v>
      </c>
      <c r="C391" t="s">
        <v>3904</v>
      </c>
      <c r="D391" t="s">
        <v>18139</v>
      </c>
      <c r="E391" t="s">
        <v>18557</v>
      </c>
      <c r="F391" t="s">
        <v>31362</v>
      </c>
      <c r="G391" t="s">
        <v>31368</v>
      </c>
      <c r="H391" t="s">
        <v>15799</v>
      </c>
      <c r="I391" t="s">
        <v>31388</v>
      </c>
      <c r="J391" t="s">
        <v>31545</v>
      </c>
      <c r="K391" t="s">
        <v>40662</v>
      </c>
      <c r="M391" t="s">
        <v>41138</v>
      </c>
      <c r="N391" t="s">
        <v>44905</v>
      </c>
      <c r="O391" t="s">
        <v>44906</v>
      </c>
      <c r="P391">
        <v>0</v>
      </c>
      <c r="Q391">
        <v>1</v>
      </c>
      <c r="R391" t="s">
        <v>44907</v>
      </c>
      <c r="S391" t="s">
        <v>45026</v>
      </c>
      <c r="T391" t="s">
        <v>46416</v>
      </c>
      <c r="U391" t="s">
        <v>47256</v>
      </c>
      <c r="V391" t="s">
        <v>59098</v>
      </c>
      <c r="W391" t="s">
        <v>41138</v>
      </c>
      <c r="X391" t="s">
        <v>44908</v>
      </c>
    </row>
    <row r="392" spans="1:24">
      <c r="A392">
        <f>HYPERLINK("https://www.philgeps.gov.ph/GEPSNONPILOT/Tender/SplashBidNoticeAbstractUI.aspx?menuIndex=3&amp;refID=7081917&amp;Result=3","7081917")</f>
        <v>0</v>
      </c>
      <c r="B392" t="s">
        <v>200</v>
      </c>
      <c r="C392" t="s">
        <v>3905</v>
      </c>
      <c r="D392" t="s">
        <v>18106</v>
      </c>
      <c r="E392" t="s">
        <v>18558</v>
      </c>
      <c r="F392" t="s">
        <v>31362</v>
      </c>
      <c r="G392" t="s">
        <v>31368</v>
      </c>
      <c r="H392" t="s">
        <v>15799</v>
      </c>
      <c r="I392" t="s">
        <v>31421</v>
      </c>
      <c r="J392" t="s">
        <v>31827</v>
      </c>
      <c r="K392" t="s">
        <v>40670</v>
      </c>
      <c r="M392" t="s">
        <v>41139</v>
      </c>
      <c r="N392" t="s">
        <v>44905</v>
      </c>
      <c r="O392" t="s">
        <v>44906</v>
      </c>
      <c r="P392">
        <v>0</v>
      </c>
      <c r="Q392">
        <v>1</v>
      </c>
      <c r="R392" t="s">
        <v>44907</v>
      </c>
      <c r="S392" t="s">
        <v>45026</v>
      </c>
      <c r="T392" t="s">
        <v>46447</v>
      </c>
      <c r="U392" t="s">
        <v>47257</v>
      </c>
      <c r="W392" t="s">
        <v>41139</v>
      </c>
      <c r="X392" t="s">
        <v>44908</v>
      </c>
    </row>
    <row r="393" spans="1:24">
      <c r="A393">
        <f>HYPERLINK("https://www.philgeps.gov.ph/GEPSNONPILOT/Tender/SplashBidNoticeAbstractUI.aspx?menuIndex=3&amp;refID=7081920&amp;Result=3","7081920")</f>
        <v>0</v>
      </c>
      <c r="B393" t="s">
        <v>201</v>
      </c>
      <c r="C393" t="s">
        <v>3906</v>
      </c>
      <c r="E393" t="s">
        <v>18559</v>
      </c>
      <c r="F393" t="s">
        <v>31362</v>
      </c>
      <c r="G393" t="s">
        <v>31368</v>
      </c>
      <c r="H393" t="s">
        <v>15799</v>
      </c>
      <c r="I393" t="s">
        <v>31427</v>
      </c>
      <c r="J393" t="s">
        <v>31828</v>
      </c>
      <c r="K393" t="s">
        <v>40662</v>
      </c>
      <c r="M393" t="s">
        <v>41140</v>
      </c>
      <c r="N393" t="s">
        <v>44905</v>
      </c>
      <c r="O393" t="s">
        <v>44906</v>
      </c>
      <c r="P393">
        <v>0</v>
      </c>
      <c r="Q393">
        <v>2</v>
      </c>
      <c r="R393" t="s">
        <v>44907</v>
      </c>
      <c r="S393" t="s">
        <v>45026</v>
      </c>
      <c r="T393" t="s">
        <v>46414</v>
      </c>
      <c r="U393" t="s">
        <v>47258</v>
      </c>
      <c r="W393" t="s">
        <v>41140</v>
      </c>
      <c r="X393" t="s">
        <v>44908</v>
      </c>
    </row>
    <row r="394" spans="1:24">
      <c r="A394">
        <f>HYPERLINK("https://www.philgeps.gov.ph/GEPSNONPILOT/Tender/SplashBidNoticeAbstractUI.aspx?menuIndex=3&amp;refID=7081921&amp;Result=3","7081921")</f>
        <v>0</v>
      </c>
      <c r="B394" t="s">
        <v>94</v>
      </c>
      <c r="C394" t="s">
        <v>3907</v>
      </c>
      <c r="D394" t="s">
        <v>18116</v>
      </c>
      <c r="E394" t="s">
        <v>18560</v>
      </c>
      <c r="F394" t="s">
        <v>31362</v>
      </c>
      <c r="G394" t="s">
        <v>31368</v>
      </c>
      <c r="H394" t="s">
        <v>15799</v>
      </c>
      <c r="I394" t="s">
        <v>31384</v>
      </c>
      <c r="J394" t="s">
        <v>31753</v>
      </c>
      <c r="K394" t="s">
        <v>40665</v>
      </c>
      <c r="M394" t="s">
        <v>41031</v>
      </c>
      <c r="N394" t="s">
        <v>44905</v>
      </c>
      <c r="O394" t="s">
        <v>44906</v>
      </c>
      <c r="P394">
        <v>0</v>
      </c>
      <c r="Q394">
        <v>6</v>
      </c>
      <c r="R394" t="s">
        <v>44907</v>
      </c>
      <c r="S394" t="s">
        <v>45026</v>
      </c>
      <c r="T394" t="s">
        <v>46408</v>
      </c>
      <c r="U394" t="s">
        <v>47259</v>
      </c>
      <c r="W394" t="s">
        <v>41031</v>
      </c>
      <c r="X394" t="s">
        <v>44908</v>
      </c>
    </row>
    <row r="395" spans="1:24">
      <c r="A395">
        <f>HYPERLINK("https://www.philgeps.gov.ph/GEPSNONPILOT/Tender/SplashBidNoticeAbstractUI.aspx?menuIndex=3&amp;refID=7081914&amp;Result=3","7081914")</f>
        <v>0</v>
      </c>
      <c r="B395" t="s">
        <v>202</v>
      </c>
      <c r="C395" t="s">
        <v>3908</v>
      </c>
      <c r="D395" t="s">
        <v>18158</v>
      </c>
      <c r="E395" t="s">
        <v>18561</v>
      </c>
      <c r="F395" t="s">
        <v>31362</v>
      </c>
      <c r="G395" t="s">
        <v>31370</v>
      </c>
      <c r="H395" t="s">
        <v>15799</v>
      </c>
      <c r="I395" t="s">
        <v>3815</v>
      </c>
      <c r="J395" t="s">
        <v>31829</v>
      </c>
      <c r="K395" t="s">
        <v>40673</v>
      </c>
      <c r="M395" t="s">
        <v>41141</v>
      </c>
      <c r="N395" t="s">
        <v>44905</v>
      </c>
      <c r="O395" t="s">
        <v>44906</v>
      </c>
      <c r="P395">
        <v>0</v>
      </c>
      <c r="Q395">
        <v>0</v>
      </c>
      <c r="R395" t="s">
        <v>44907</v>
      </c>
      <c r="S395" t="s">
        <v>45026</v>
      </c>
      <c r="T395" t="s">
        <v>46432</v>
      </c>
      <c r="U395" t="s">
        <v>47260</v>
      </c>
      <c r="W395" t="s">
        <v>41141</v>
      </c>
      <c r="X395" t="s">
        <v>44908</v>
      </c>
    </row>
    <row r="396" spans="1:24">
      <c r="A396">
        <f>HYPERLINK("https://www.philgeps.gov.ph/GEPSNONPILOT/Tender/SplashBidNoticeAbstractUI.aspx?menuIndex=3&amp;refID=7081912&amp;Result=3","7081912")</f>
        <v>0</v>
      </c>
      <c r="B396" t="s">
        <v>203</v>
      </c>
      <c r="C396" t="s">
        <v>3909</v>
      </c>
      <c r="D396" t="s">
        <v>18153</v>
      </c>
      <c r="E396" t="s">
        <v>18562</v>
      </c>
      <c r="F396" t="s">
        <v>31362</v>
      </c>
      <c r="G396" t="s">
        <v>31368</v>
      </c>
      <c r="H396" t="s">
        <v>15799</v>
      </c>
      <c r="I396" t="s">
        <v>31430</v>
      </c>
      <c r="J396" t="s">
        <v>31830</v>
      </c>
      <c r="K396" t="s">
        <v>40665</v>
      </c>
      <c r="M396" t="s">
        <v>41142</v>
      </c>
      <c r="N396" t="s">
        <v>44905</v>
      </c>
      <c r="O396" t="s">
        <v>44906</v>
      </c>
      <c r="P396">
        <v>0</v>
      </c>
      <c r="Q396">
        <v>0</v>
      </c>
      <c r="R396" t="s">
        <v>44907</v>
      </c>
      <c r="S396" t="s">
        <v>45026</v>
      </c>
      <c r="T396" t="s">
        <v>46410</v>
      </c>
      <c r="U396" t="s">
        <v>47261</v>
      </c>
      <c r="V396" t="s">
        <v>51712</v>
      </c>
      <c r="W396" t="s">
        <v>41142</v>
      </c>
      <c r="X396" t="s">
        <v>44908</v>
      </c>
    </row>
    <row r="397" spans="1:24">
      <c r="A397">
        <f>HYPERLINK("https://www.philgeps.gov.ph/GEPSNONPILOT/Tender/SplashBidNoticeAbstractUI.aspx?menuIndex=3&amp;refID=7081931&amp;Result=3","7081931")</f>
        <v>0</v>
      </c>
      <c r="B397" t="s">
        <v>167</v>
      </c>
      <c r="C397" t="s">
        <v>3910</v>
      </c>
      <c r="D397" t="s">
        <v>18152</v>
      </c>
      <c r="E397" t="s">
        <v>18563</v>
      </c>
      <c r="F397" t="s">
        <v>31362</v>
      </c>
      <c r="G397" t="s">
        <v>31369</v>
      </c>
      <c r="H397" t="s">
        <v>15799</v>
      </c>
      <c r="I397" t="s">
        <v>6240</v>
      </c>
      <c r="J397" t="s">
        <v>31831</v>
      </c>
      <c r="K397" t="s">
        <v>40670</v>
      </c>
      <c r="M397" t="s">
        <v>41105</v>
      </c>
      <c r="N397" t="s">
        <v>44905</v>
      </c>
      <c r="O397" t="s">
        <v>44906</v>
      </c>
      <c r="P397">
        <v>0</v>
      </c>
      <c r="Q397">
        <v>0</v>
      </c>
      <c r="R397" t="s">
        <v>44907</v>
      </c>
      <c r="S397" t="s">
        <v>45026</v>
      </c>
      <c r="T397" t="s">
        <v>46462</v>
      </c>
      <c r="U397" t="s">
        <v>47262</v>
      </c>
      <c r="V397" t="s">
        <v>59099</v>
      </c>
      <c r="W397" t="s">
        <v>41105</v>
      </c>
      <c r="X397" t="s">
        <v>44908</v>
      </c>
    </row>
    <row r="398" spans="1:24">
      <c r="A398">
        <f>HYPERLINK("https://www.philgeps.gov.ph/GEPSNONPILOT/Tender/SplashBidNoticeAbstractUI.aspx?menuIndex=3&amp;refID=7081883&amp;Result=3","7081883")</f>
        <v>0</v>
      </c>
      <c r="B398" t="s">
        <v>186</v>
      </c>
      <c r="C398" t="s">
        <v>3911</v>
      </c>
      <c r="D398" t="s">
        <v>18114</v>
      </c>
      <c r="E398" t="s">
        <v>18564</v>
      </c>
      <c r="F398" t="s">
        <v>31362</v>
      </c>
      <c r="G398" t="s">
        <v>31369</v>
      </c>
      <c r="H398" t="s">
        <v>31378</v>
      </c>
      <c r="I398" t="s">
        <v>31386</v>
      </c>
      <c r="J398" t="s">
        <v>31832</v>
      </c>
      <c r="K398" t="s">
        <v>40706</v>
      </c>
      <c r="M398" t="s">
        <v>41124</v>
      </c>
      <c r="N398" t="s">
        <v>44905</v>
      </c>
      <c r="O398" t="s">
        <v>44906</v>
      </c>
      <c r="P398">
        <v>0</v>
      </c>
      <c r="Q398">
        <v>0</v>
      </c>
      <c r="R398" t="s">
        <v>44907</v>
      </c>
      <c r="S398" t="s">
        <v>45026</v>
      </c>
      <c r="T398" t="s">
        <v>46396</v>
      </c>
      <c r="U398" t="s">
        <v>47235</v>
      </c>
      <c r="W398" t="s">
        <v>41124</v>
      </c>
      <c r="X398" t="s">
        <v>44908</v>
      </c>
    </row>
    <row r="399" spans="1:24">
      <c r="A399">
        <f>HYPERLINK("https://www.philgeps.gov.ph/GEPSNONPILOT/Tender/SplashBidNoticeAbstractUI.aspx?menuIndex=3&amp;refID=7081915&amp;Result=3","7081915")</f>
        <v>0</v>
      </c>
      <c r="B399" t="s">
        <v>87</v>
      </c>
      <c r="C399" t="s">
        <v>3912</v>
      </c>
      <c r="D399" t="s">
        <v>18109</v>
      </c>
      <c r="E399" t="s">
        <v>18565</v>
      </c>
      <c r="F399" t="s">
        <v>31362</v>
      </c>
      <c r="G399" t="s">
        <v>31368</v>
      </c>
      <c r="H399" t="s">
        <v>15799</v>
      </c>
      <c r="I399" t="s">
        <v>31404</v>
      </c>
      <c r="J399" t="s">
        <v>31833</v>
      </c>
      <c r="K399" t="s">
        <v>40661</v>
      </c>
      <c r="M399" t="s">
        <v>41023</v>
      </c>
      <c r="N399" t="s">
        <v>44905</v>
      </c>
      <c r="O399" t="s">
        <v>44906</v>
      </c>
      <c r="P399">
        <v>0</v>
      </c>
      <c r="Q399">
        <v>0</v>
      </c>
      <c r="R399" t="s">
        <v>44907</v>
      </c>
      <c r="S399" t="s">
        <v>45026</v>
      </c>
      <c r="T399" t="s">
        <v>46435</v>
      </c>
      <c r="U399" t="s">
        <v>47051</v>
      </c>
      <c r="W399" t="s">
        <v>60832</v>
      </c>
      <c r="X399" t="s">
        <v>44908</v>
      </c>
    </row>
    <row r="400" spans="1:24">
      <c r="A400">
        <f>HYPERLINK("https://www.philgeps.gov.ph/GEPSNONPILOT/Tender/SplashBidNoticeAbstractUI.aspx?menuIndex=3&amp;refID=7081956&amp;Result=3","7081956")</f>
        <v>0</v>
      </c>
      <c r="B400" t="s">
        <v>180</v>
      </c>
      <c r="C400" t="s">
        <v>3913</v>
      </c>
      <c r="D400" t="s">
        <v>18112</v>
      </c>
      <c r="E400" t="s">
        <v>18566</v>
      </c>
      <c r="F400" t="s">
        <v>31362</v>
      </c>
      <c r="G400" t="s">
        <v>31368</v>
      </c>
      <c r="H400" t="s">
        <v>15799</v>
      </c>
      <c r="I400" t="s">
        <v>31415</v>
      </c>
      <c r="J400" t="s">
        <v>31834</v>
      </c>
      <c r="K400" t="s">
        <v>40680</v>
      </c>
      <c r="M400" t="s">
        <v>41118</v>
      </c>
      <c r="N400" t="s">
        <v>44905</v>
      </c>
      <c r="O400" t="s">
        <v>44906</v>
      </c>
      <c r="P400">
        <v>0</v>
      </c>
      <c r="Q400">
        <v>0</v>
      </c>
      <c r="R400" t="s">
        <v>44907</v>
      </c>
      <c r="S400" t="s">
        <v>45026</v>
      </c>
      <c r="T400" t="s">
        <v>46483</v>
      </c>
      <c r="U400" t="s">
        <v>47263</v>
      </c>
      <c r="W400" t="s">
        <v>41118</v>
      </c>
      <c r="X400" t="s">
        <v>44908</v>
      </c>
    </row>
    <row r="401" spans="1:24">
      <c r="A401">
        <f>HYPERLINK("https://www.philgeps.gov.ph/GEPSNONPILOT/Tender/SplashBidNoticeAbstractUI.aspx?menuIndex=3&amp;refID=7081952&amp;Result=3","7081952")</f>
        <v>0</v>
      </c>
      <c r="B401" t="s">
        <v>181</v>
      </c>
      <c r="C401" t="s">
        <v>3914</v>
      </c>
      <c r="D401" t="s">
        <v>18103</v>
      </c>
      <c r="E401" t="s">
        <v>18567</v>
      </c>
      <c r="F401" t="s">
        <v>31362</v>
      </c>
      <c r="G401" t="s">
        <v>31371</v>
      </c>
      <c r="H401" t="s">
        <v>15799</v>
      </c>
      <c r="I401" t="s">
        <v>31422</v>
      </c>
      <c r="J401" t="s">
        <v>31835</v>
      </c>
      <c r="K401" t="s">
        <v>40662</v>
      </c>
      <c r="M401" t="s">
        <v>41119</v>
      </c>
      <c r="N401" t="s">
        <v>44905</v>
      </c>
      <c r="O401" t="s">
        <v>44906</v>
      </c>
      <c r="P401">
        <v>0</v>
      </c>
      <c r="Q401">
        <v>9</v>
      </c>
      <c r="R401" t="s">
        <v>44907</v>
      </c>
      <c r="S401" t="s">
        <v>45026</v>
      </c>
      <c r="T401" t="s">
        <v>46411</v>
      </c>
      <c r="U401" t="s">
        <v>47264</v>
      </c>
      <c r="W401" t="s">
        <v>60839</v>
      </c>
      <c r="X401" t="s">
        <v>44908</v>
      </c>
    </row>
    <row r="402" spans="1:24">
      <c r="A402">
        <f>HYPERLINK("https://www.philgeps.gov.ph/GEPSNONPILOT/Tender/SplashBidNoticeAbstractUI.aspx?menuIndex=3&amp;refID=7081950&amp;Result=3","7081950")</f>
        <v>0</v>
      </c>
      <c r="B402" t="s">
        <v>204</v>
      </c>
      <c r="C402" t="s">
        <v>3915</v>
      </c>
      <c r="D402" t="s">
        <v>18127</v>
      </c>
      <c r="E402" t="s">
        <v>18203</v>
      </c>
      <c r="F402" t="s">
        <v>31362</v>
      </c>
      <c r="G402" t="s">
        <v>31369</v>
      </c>
      <c r="H402" t="s">
        <v>31378</v>
      </c>
      <c r="I402" t="s">
        <v>31386</v>
      </c>
      <c r="J402" t="s">
        <v>31836</v>
      </c>
      <c r="K402" t="s">
        <v>40675</v>
      </c>
      <c r="M402" t="s">
        <v>41143</v>
      </c>
      <c r="N402" t="s">
        <v>44905</v>
      </c>
      <c r="O402" t="s">
        <v>44906</v>
      </c>
      <c r="P402">
        <v>0</v>
      </c>
      <c r="Q402">
        <v>0</v>
      </c>
      <c r="R402" t="s">
        <v>44907</v>
      </c>
      <c r="S402" t="s">
        <v>45026</v>
      </c>
      <c r="T402" t="s">
        <v>46486</v>
      </c>
      <c r="U402" t="s">
        <v>47265</v>
      </c>
      <c r="W402" t="s">
        <v>41143</v>
      </c>
      <c r="X402" t="s">
        <v>44908</v>
      </c>
    </row>
    <row r="403" spans="1:24">
      <c r="A403">
        <f>HYPERLINK("https://www.philgeps.gov.ph/GEPSNONPILOT/Tender/SplashBidNoticeAbstractUI.aspx?menuIndex=3&amp;refID=7081939&amp;Result=3","7081939")</f>
        <v>0</v>
      </c>
      <c r="B403" t="s">
        <v>205</v>
      </c>
      <c r="C403" t="s">
        <v>3916</v>
      </c>
      <c r="E403" t="s">
        <v>18568</v>
      </c>
      <c r="F403" t="s">
        <v>31362</v>
      </c>
      <c r="G403" t="s">
        <v>31368</v>
      </c>
      <c r="H403" t="s">
        <v>15799</v>
      </c>
      <c r="I403" t="s">
        <v>7090</v>
      </c>
      <c r="J403" t="s">
        <v>31837</v>
      </c>
      <c r="K403" t="s">
        <v>40662</v>
      </c>
      <c r="M403" t="s">
        <v>41144</v>
      </c>
      <c r="N403" t="s">
        <v>44905</v>
      </c>
      <c r="O403" t="s">
        <v>44906</v>
      </c>
      <c r="P403">
        <v>0</v>
      </c>
      <c r="Q403">
        <v>0</v>
      </c>
      <c r="R403" t="s">
        <v>44907</v>
      </c>
      <c r="S403" t="s">
        <v>45026</v>
      </c>
      <c r="T403" t="s">
        <v>46393</v>
      </c>
      <c r="U403" t="s">
        <v>47266</v>
      </c>
      <c r="W403" t="s">
        <v>41144</v>
      </c>
      <c r="X403" t="s">
        <v>44908</v>
      </c>
    </row>
    <row r="404" spans="1:24">
      <c r="A404">
        <f>HYPERLINK("https://www.philgeps.gov.ph/GEPSNONPILOT/Tender/SplashBidNoticeAbstractUI.aspx?menuIndex=3&amp;refID=7081940&amp;Result=3","7081940")</f>
        <v>0</v>
      </c>
      <c r="B404" t="s">
        <v>206</v>
      </c>
      <c r="C404" t="s">
        <v>3917</v>
      </c>
      <c r="D404" t="s">
        <v>18143</v>
      </c>
      <c r="E404" t="s">
        <v>18569</v>
      </c>
      <c r="F404" t="s">
        <v>31362</v>
      </c>
      <c r="G404" t="s">
        <v>31369</v>
      </c>
      <c r="H404" t="s">
        <v>15799</v>
      </c>
      <c r="I404" t="s">
        <v>3815</v>
      </c>
      <c r="J404" t="s">
        <v>31838</v>
      </c>
      <c r="K404" t="s">
        <v>40679</v>
      </c>
      <c r="M404" t="s">
        <v>41145</v>
      </c>
      <c r="N404" t="s">
        <v>44905</v>
      </c>
      <c r="O404" t="s">
        <v>44906</v>
      </c>
      <c r="P404">
        <v>0</v>
      </c>
      <c r="Q404">
        <v>0</v>
      </c>
      <c r="R404" t="s">
        <v>44907</v>
      </c>
      <c r="S404" t="s">
        <v>45026</v>
      </c>
      <c r="T404" t="s">
        <v>46487</v>
      </c>
      <c r="U404" t="s">
        <v>47267</v>
      </c>
      <c r="W404" t="s">
        <v>41145</v>
      </c>
      <c r="X404" t="s">
        <v>44908</v>
      </c>
    </row>
    <row r="405" spans="1:24">
      <c r="A405">
        <f>HYPERLINK("https://www.philgeps.gov.ph/GEPSNONPILOT/Tender/SplashBidNoticeAbstractUI.aspx?menuIndex=3&amp;refID=7081845&amp;Result=3","7081845")</f>
        <v>0</v>
      </c>
      <c r="B405" t="s">
        <v>163</v>
      </c>
      <c r="C405" t="s">
        <v>3918</v>
      </c>
      <c r="D405" t="s">
        <v>18106</v>
      </c>
      <c r="E405" t="s">
        <v>18570</v>
      </c>
      <c r="F405" t="s">
        <v>31362</v>
      </c>
      <c r="G405" t="s">
        <v>31370</v>
      </c>
      <c r="H405" t="s">
        <v>15799</v>
      </c>
      <c r="I405" t="s">
        <v>6373</v>
      </c>
      <c r="J405" t="s">
        <v>31839</v>
      </c>
      <c r="K405" t="s">
        <v>40697</v>
      </c>
      <c r="M405" t="s">
        <v>41101</v>
      </c>
      <c r="N405" t="s">
        <v>44905</v>
      </c>
      <c r="O405" t="s">
        <v>44906</v>
      </c>
      <c r="P405">
        <v>0</v>
      </c>
      <c r="Q405">
        <v>4</v>
      </c>
      <c r="R405" t="s">
        <v>44907</v>
      </c>
      <c r="S405" t="s">
        <v>45026</v>
      </c>
      <c r="T405" t="s">
        <v>46478</v>
      </c>
      <c r="U405" t="s">
        <v>47268</v>
      </c>
      <c r="W405" t="s">
        <v>41101</v>
      </c>
      <c r="X405" t="s">
        <v>44908</v>
      </c>
    </row>
    <row r="406" spans="1:24">
      <c r="A406">
        <f>HYPERLINK("https://www.philgeps.gov.ph/GEPSNONPILOT/Tender/SplashBidNoticeAbstractUI.aspx?menuIndex=3&amp;refID=7081947&amp;Result=3","7081947")</f>
        <v>0</v>
      </c>
      <c r="B406" t="s">
        <v>207</v>
      </c>
      <c r="C406" t="s">
        <v>3919</v>
      </c>
      <c r="D406" t="s">
        <v>18127</v>
      </c>
      <c r="E406" t="s">
        <v>18571</v>
      </c>
      <c r="F406" t="s">
        <v>31362</v>
      </c>
      <c r="G406" t="s">
        <v>31370</v>
      </c>
      <c r="H406" t="s">
        <v>15799</v>
      </c>
      <c r="I406" t="s">
        <v>31380</v>
      </c>
      <c r="J406" t="s">
        <v>31840</v>
      </c>
      <c r="K406" t="s">
        <v>40661</v>
      </c>
      <c r="M406" t="s">
        <v>41146</v>
      </c>
      <c r="N406" t="s">
        <v>44905</v>
      </c>
      <c r="O406" t="s">
        <v>44906</v>
      </c>
      <c r="P406">
        <v>0</v>
      </c>
      <c r="Q406">
        <v>5</v>
      </c>
      <c r="R406" t="s">
        <v>44907</v>
      </c>
      <c r="S406" t="s">
        <v>45026</v>
      </c>
      <c r="T406" t="s">
        <v>46417</v>
      </c>
      <c r="U406" t="s">
        <v>47269</v>
      </c>
      <c r="V406" t="s">
        <v>59100</v>
      </c>
      <c r="W406" t="s">
        <v>41146</v>
      </c>
      <c r="X406" t="s">
        <v>44908</v>
      </c>
    </row>
    <row r="407" spans="1:24">
      <c r="A407">
        <f>HYPERLINK("https://www.philgeps.gov.ph/GEPSNONPILOT/Tender/SplashBidNoticeAbstractUI.aspx?menuIndex=3&amp;refID=7081958&amp;Result=3","7081958")</f>
        <v>0</v>
      </c>
      <c r="B407" t="s">
        <v>208</v>
      </c>
      <c r="C407" t="s">
        <v>3920</v>
      </c>
      <c r="D407" t="s">
        <v>18159</v>
      </c>
      <c r="E407" t="s">
        <v>18572</v>
      </c>
      <c r="F407" t="s">
        <v>31362</v>
      </c>
      <c r="G407" t="s">
        <v>31369</v>
      </c>
      <c r="H407" t="s">
        <v>15799</v>
      </c>
      <c r="I407" t="s">
        <v>31399</v>
      </c>
      <c r="J407" t="s">
        <v>31625</v>
      </c>
      <c r="K407" t="s">
        <v>40665</v>
      </c>
      <c r="M407" t="s">
        <v>41147</v>
      </c>
      <c r="N407" t="s">
        <v>44905</v>
      </c>
      <c r="O407" t="s">
        <v>44906</v>
      </c>
      <c r="P407">
        <v>0</v>
      </c>
      <c r="Q407">
        <v>2</v>
      </c>
      <c r="R407" t="s">
        <v>44907</v>
      </c>
      <c r="S407" t="s">
        <v>45026</v>
      </c>
      <c r="T407" t="s">
        <v>46419</v>
      </c>
      <c r="U407" t="s">
        <v>47270</v>
      </c>
      <c r="V407" t="s">
        <v>59101</v>
      </c>
      <c r="W407" t="s">
        <v>41147</v>
      </c>
      <c r="X407" t="s">
        <v>44908</v>
      </c>
    </row>
    <row r="408" spans="1:24">
      <c r="A408">
        <f>HYPERLINK("https://www.philgeps.gov.ph/GEPSNONPILOT/Tender/SplashBidNoticeAbstractUI.aspx?menuIndex=3&amp;refID=7081964&amp;Result=3","7081964")</f>
        <v>0</v>
      </c>
      <c r="B408" t="s">
        <v>167</v>
      </c>
      <c r="C408" t="s">
        <v>3921</v>
      </c>
      <c r="D408" t="s">
        <v>18152</v>
      </c>
      <c r="E408" t="s">
        <v>18573</v>
      </c>
      <c r="F408" t="s">
        <v>31362</v>
      </c>
      <c r="G408" t="s">
        <v>31369</v>
      </c>
      <c r="H408" t="s">
        <v>15799</v>
      </c>
      <c r="I408" t="s">
        <v>6240</v>
      </c>
      <c r="J408" t="s">
        <v>31841</v>
      </c>
      <c r="K408" t="s">
        <v>40670</v>
      </c>
      <c r="M408" t="s">
        <v>41105</v>
      </c>
      <c r="N408" t="s">
        <v>44905</v>
      </c>
      <c r="O408" t="s">
        <v>44906</v>
      </c>
      <c r="P408">
        <v>0</v>
      </c>
      <c r="Q408">
        <v>0</v>
      </c>
      <c r="R408" t="s">
        <v>44907</v>
      </c>
      <c r="S408" t="s">
        <v>45026</v>
      </c>
      <c r="T408" t="s">
        <v>46462</v>
      </c>
      <c r="U408" t="s">
        <v>47271</v>
      </c>
      <c r="V408" t="s">
        <v>59102</v>
      </c>
      <c r="W408" t="s">
        <v>41105</v>
      </c>
      <c r="X408" t="s">
        <v>44908</v>
      </c>
    </row>
    <row r="409" spans="1:24">
      <c r="A409">
        <f>HYPERLINK("https://www.philgeps.gov.ph/GEPSNONPILOT/Tender/SplashBidNoticeAbstractUI.aspx?menuIndex=3&amp;refID=7081957&amp;Result=3","7081957")</f>
        <v>0</v>
      </c>
      <c r="B409" t="s">
        <v>209</v>
      </c>
      <c r="C409" t="s">
        <v>3922</v>
      </c>
      <c r="E409" t="s">
        <v>18574</v>
      </c>
      <c r="F409" t="s">
        <v>31362</v>
      </c>
      <c r="G409" t="s">
        <v>31370</v>
      </c>
      <c r="H409" t="s">
        <v>31379</v>
      </c>
      <c r="I409" t="s">
        <v>31434</v>
      </c>
      <c r="J409" t="s">
        <v>31806</v>
      </c>
      <c r="K409" t="s">
        <v>40672</v>
      </c>
      <c r="M409" t="s">
        <v>41148</v>
      </c>
      <c r="N409" t="s">
        <v>44905</v>
      </c>
      <c r="O409" t="s">
        <v>44906</v>
      </c>
      <c r="P409">
        <v>0</v>
      </c>
      <c r="Q409">
        <v>0</v>
      </c>
      <c r="R409" t="s">
        <v>44907</v>
      </c>
      <c r="S409" t="s">
        <v>45026</v>
      </c>
      <c r="T409" t="s">
        <v>46400</v>
      </c>
      <c r="U409" t="s">
        <v>47272</v>
      </c>
      <c r="W409" t="s">
        <v>41148</v>
      </c>
      <c r="X409" t="s">
        <v>44908</v>
      </c>
    </row>
    <row r="410" spans="1:24">
      <c r="A410">
        <f>HYPERLINK("https://www.philgeps.gov.ph/GEPSNONPILOT/Tender/SplashBidNoticeAbstractUI.aspx?menuIndex=3&amp;refID=7081960&amp;Result=3","7081960")</f>
        <v>0</v>
      </c>
      <c r="B410" t="s">
        <v>210</v>
      </c>
      <c r="C410" t="s">
        <v>3795</v>
      </c>
      <c r="D410" t="s">
        <v>18160</v>
      </c>
      <c r="E410" t="s">
        <v>18575</v>
      </c>
      <c r="F410" t="s">
        <v>31362</v>
      </c>
      <c r="G410" t="s">
        <v>31368</v>
      </c>
      <c r="H410" t="s">
        <v>15799</v>
      </c>
      <c r="I410" t="s">
        <v>6373</v>
      </c>
      <c r="J410" t="s">
        <v>31842</v>
      </c>
      <c r="K410" t="s">
        <v>40662</v>
      </c>
      <c r="M410" t="s">
        <v>41149</v>
      </c>
      <c r="N410" t="s">
        <v>44905</v>
      </c>
      <c r="O410" t="s">
        <v>44906</v>
      </c>
      <c r="P410">
        <v>0</v>
      </c>
      <c r="Q410">
        <v>5</v>
      </c>
      <c r="R410" t="s">
        <v>44907</v>
      </c>
      <c r="S410" t="s">
        <v>45026</v>
      </c>
      <c r="T410" t="s">
        <v>46454</v>
      </c>
      <c r="U410" t="s">
        <v>47273</v>
      </c>
      <c r="W410" t="s">
        <v>41149</v>
      </c>
      <c r="X410" t="s">
        <v>44908</v>
      </c>
    </row>
    <row r="411" spans="1:24">
      <c r="A411">
        <f>HYPERLINK("https://www.philgeps.gov.ph/GEPSNONPILOT/Tender/SplashBidNoticeAbstractUI.aspx?menuIndex=3&amp;refID=7081959&amp;Result=3","7081959")</f>
        <v>0</v>
      </c>
      <c r="B411" t="s">
        <v>87</v>
      </c>
      <c r="C411" t="s">
        <v>3923</v>
      </c>
      <c r="D411" t="s">
        <v>18109</v>
      </c>
      <c r="E411" t="s">
        <v>18576</v>
      </c>
      <c r="F411" t="s">
        <v>31362</v>
      </c>
      <c r="G411" t="s">
        <v>31368</v>
      </c>
      <c r="H411" t="s">
        <v>15799</v>
      </c>
      <c r="I411" t="s">
        <v>31409</v>
      </c>
      <c r="J411" t="s">
        <v>31843</v>
      </c>
      <c r="K411" t="s">
        <v>40661</v>
      </c>
      <c r="M411" t="s">
        <v>41023</v>
      </c>
      <c r="N411" t="s">
        <v>44905</v>
      </c>
      <c r="O411" t="s">
        <v>44906</v>
      </c>
      <c r="P411">
        <v>0</v>
      </c>
      <c r="Q411">
        <v>0</v>
      </c>
      <c r="R411" t="s">
        <v>44907</v>
      </c>
      <c r="S411" t="s">
        <v>45026</v>
      </c>
      <c r="T411" t="s">
        <v>46435</v>
      </c>
      <c r="U411" t="s">
        <v>47051</v>
      </c>
      <c r="W411" t="s">
        <v>60832</v>
      </c>
      <c r="X411" t="s">
        <v>44908</v>
      </c>
    </row>
    <row r="412" spans="1:24">
      <c r="A412">
        <f>HYPERLINK("https://www.philgeps.gov.ph/GEPSNONPILOT/Tender/SplashBidNoticeAbstractUI.aspx?menuIndex=3&amp;refID=7081945&amp;Result=3","7081945")</f>
        <v>0</v>
      </c>
      <c r="B412" t="s">
        <v>188</v>
      </c>
      <c r="C412" t="s">
        <v>3924</v>
      </c>
      <c r="D412" t="s">
        <v>18134</v>
      </c>
      <c r="E412" t="s">
        <v>18577</v>
      </c>
      <c r="F412" t="s">
        <v>31362</v>
      </c>
      <c r="G412" t="s">
        <v>31369</v>
      </c>
      <c r="H412" t="s">
        <v>15799</v>
      </c>
      <c r="I412" t="s">
        <v>31387</v>
      </c>
      <c r="J412" t="s">
        <v>31844</v>
      </c>
      <c r="K412" t="s">
        <v>40661</v>
      </c>
      <c r="M412" t="s">
        <v>41126</v>
      </c>
      <c r="N412" t="s">
        <v>44905</v>
      </c>
      <c r="O412" t="s">
        <v>44906</v>
      </c>
      <c r="P412">
        <v>0</v>
      </c>
      <c r="Q412">
        <v>0</v>
      </c>
      <c r="R412" t="s">
        <v>44907</v>
      </c>
      <c r="S412" t="s">
        <v>45026</v>
      </c>
      <c r="T412" t="s">
        <v>46396</v>
      </c>
      <c r="U412" t="s">
        <v>47274</v>
      </c>
      <c r="V412" t="s">
        <v>59103</v>
      </c>
      <c r="W412" t="s">
        <v>41126</v>
      </c>
      <c r="X412" t="s">
        <v>44908</v>
      </c>
    </row>
    <row r="413" spans="1:24">
      <c r="A413">
        <f>HYPERLINK("https://www.philgeps.gov.ph/GEPSNONPILOT/Tender/SplashBidNoticeAbstractUI.aspx?menuIndex=3&amp;refID=7081944&amp;Result=3","7081944")</f>
        <v>0</v>
      </c>
      <c r="B413" t="s">
        <v>87</v>
      </c>
      <c r="C413" t="s">
        <v>3925</v>
      </c>
      <c r="D413" t="s">
        <v>18109</v>
      </c>
      <c r="E413" t="s">
        <v>18578</v>
      </c>
      <c r="F413" t="s">
        <v>31362</v>
      </c>
      <c r="G413" t="s">
        <v>31368</v>
      </c>
      <c r="H413" t="s">
        <v>15799</v>
      </c>
      <c r="I413" t="s">
        <v>31388</v>
      </c>
      <c r="J413" t="s">
        <v>31845</v>
      </c>
      <c r="K413" t="s">
        <v>40661</v>
      </c>
      <c r="M413" t="s">
        <v>41023</v>
      </c>
      <c r="N413" t="s">
        <v>44905</v>
      </c>
      <c r="O413" t="s">
        <v>44906</v>
      </c>
      <c r="P413">
        <v>0</v>
      </c>
      <c r="Q413">
        <v>0</v>
      </c>
      <c r="R413" t="s">
        <v>44907</v>
      </c>
      <c r="S413" t="s">
        <v>45026</v>
      </c>
      <c r="T413" t="s">
        <v>46435</v>
      </c>
      <c r="U413" t="s">
        <v>47051</v>
      </c>
      <c r="W413" t="s">
        <v>60832</v>
      </c>
      <c r="X413" t="s">
        <v>44908</v>
      </c>
    </row>
    <row r="414" spans="1:24">
      <c r="A414">
        <f>HYPERLINK("https://www.philgeps.gov.ph/GEPSNONPILOT/Tender/SplashBidNoticeAbstractUI.aspx?menuIndex=3&amp;refID=7081951&amp;Result=3","7081951")</f>
        <v>0</v>
      </c>
      <c r="B414" t="s">
        <v>184</v>
      </c>
      <c r="C414" t="s">
        <v>3926</v>
      </c>
      <c r="D414" t="s">
        <v>18123</v>
      </c>
      <c r="E414" t="s">
        <v>18579</v>
      </c>
      <c r="F414" t="s">
        <v>31362</v>
      </c>
      <c r="G414" t="s">
        <v>31368</v>
      </c>
      <c r="H414" t="s">
        <v>15799</v>
      </c>
      <c r="I414" t="s">
        <v>31380</v>
      </c>
      <c r="J414" t="s">
        <v>31846</v>
      </c>
      <c r="K414" t="s">
        <v>40670</v>
      </c>
      <c r="M414" t="s">
        <v>41122</v>
      </c>
      <c r="N414" t="s">
        <v>44905</v>
      </c>
      <c r="O414" t="s">
        <v>44906</v>
      </c>
      <c r="P414">
        <v>0</v>
      </c>
      <c r="Q414">
        <v>4</v>
      </c>
      <c r="R414" t="s">
        <v>44907</v>
      </c>
      <c r="S414" t="s">
        <v>45026</v>
      </c>
      <c r="T414" t="s">
        <v>46435</v>
      </c>
      <c r="U414" t="s">
        <v>47275</v>
      </c>
      <c r="W414" t="s">
        <v>41122</v>
      </c>
      <c r="X414" t="s">
        <v>44908</v>
      </c>
    </row>
    <row r="415" spans="1:24">
      <c r="A415">
        <f>HYPERLINK("https://www.philgeps.gov.ph/GEPSNONPILOT/Tender/SplashBidNoticeAbstractUI.aspx?menuIndex=3&amp;refID=7081943&amp;Result=3","7081943")</f>
        <v>0</v>
      </c>
      <c r="B415" t="s">
        <v>211</v>
      </c>
      <c r="C415" t="s">
        <v>3927</v>
      </c>
      <c r="D415" t="s">
        <v>18161</v>
      </c>
      <c r="E415" t="s">
        <v>18580</v>
      </c>
      <c r="F415" t="s">
        <v>31362</v>
      </c>
      <c r="G415" t="s">
        <v>31369</v>
      </c>
      <c r="H415" t="s">
        <v>31378</v>
      </c>
      <c r="I415" t="s">
        <v>31386</v>
      </c>
      <c r="J415" t="s">
        <v>31847</v>
      </c>
      <c r="K415" t="s">
        <v>40679</v>
      </c>
      <c r="M415" t="s">
        <v>41150</v>
      </c>
      <c r="N415" t="s">
        <v>44905</v>
      </c>
      <c r="O415" t="s">
        <v>44906</v>
      </c>
      <c r="P415">
        <v>0</v>
      </c>
      <c r="Q415">
        <v>0</v>
      </c>
      <c r="R415" t="s">
        <v>44907</v>
      </c>
      <c r="S415" t="s">
        <v>45026</v>
      </c>
      <c r="T415" t="s">
        <v>46449</v>
      </c>
      <c r="U415" t="s">
        <v>47276</v>
      </c>
      <c r="W415" t="s">
        <v>41150</v>
      </c>
      <c r="X415" t="s">
        <v>44908</v>
      </c>
    </row>
    <row r="416" spans="1:24">
      <c r="A416">
        <f>HYPERLINK("https://www.philgeps.gov.ph/GEPSNONPILOT/Tender/SplashBidNoticeAbstractUI.aspx?menuIndex=3&amp;refID=7081941&amp;Result=3","7081941")</f>
        <v>0</v>
      </c>
      <c r="B416" t="s">
        <v>212</v>
      </c>
      <c r="C416" t="s">
        <v>3928</v>
      </c>
      <c r="D416" t="s">
        <v>18162</v>
      </c>
      <c r="E416" t="s">
        <v>18581</v>
      </c>
      <c r="F416" t="s">
        <v>31362</v>
      </c>
      <c r="G416" t="s">
        <v>31368</v>
      </c>
      <c r="H416" t="s">
        <v>15799</v>
      </c>
      <c r="I416" t="s">
        <v>31383</v>
      </c>
      <c r="J416" t="s">
        <v>31848</v>
      </c>
      <c r="K416" t="s">
        <v>40670</v>
      </c>
      <c r="M416" t="s">
        <v>41151</v>
      </c>
      <c r="N416" t="s">
        <v>44905</v>
      </c>
      <c r="O416" t="s">
        <v>44906</v>
      </c>
      <c r="P416">
        <v>0</v>
      </c>
      <c r="Q416">
        <v>0</v>
      </c>
      <c r="R416" t="s">
        <v>44907</v>
      </c>
      <c r="S416" t="s">
        <v>45026</v>
      </c>
      <c r="T416" t="s">
        <v>46438</v>
      </c>
      <c r="U416" t="s">
        <v>47277</v>
      </c>
      <c r="V416" t="s">
        <v>59104</v>
      </c>
      <c r="W416" t="s">
        <v>41151</v>
      </c>
      <c r="X416" t="s">
        <v>44908</v>
      </c>
    </row>
    <row r="417" spans="1:24">
      <c r="A417">
        <f>HYPERLINK("https://www.philgeps.gov.ph/GEPSNONPILOT/Tender/SplashBidNoticeAbstractUI.aspx?menuIndex=3&amp;refID=7081946&amp;Result=3","7081946")</f>
        <v>0</v>
      </c>
      <c r="B417" t="s">
        <v>213</v>
      </c>
      <c r="C417" t="s">
        <v>3929</v>
      </c>
      <c r="D417" t="s">
        <v>18121</v>
      </c>
      <c r="E417" t="s">
        <v>18582</v>
      </c>
      <c r="F417" t="s">
        <v>31362</v>
      </c>
      <c r="G417" t="s">
        <v>31372</v>
      </c>
      <c r="H417" t="s">
        <v>15799</v>
      </c>
      <c r="I417" t="s">
        <v>7188</v>
      </c>
      <c r="J417" t="s">
        <v>31849</v>
      </c>
      <c r="K417" t="s">
        <v>40677</v>
      </c>
      <c r="M417" t="s">
        <v>41152</v>
      </c>
      <c r="N417" t="s">
        <v>44905</v>
      </c>
      <c r="O417" t="s">
        <v>44906</v>
      </c>
      <c r="P417">
        <v>0</v>
      </c>
      <c r="Q417">
        <v>1</v>
      </c>
      <c r="R417" t="s">
        <v>44907</v>
      </c>
      <c r="S417" t="s">
        <v>45026</v>
      </c>
      <c r="T417" t="s">
        <v>46396</v>
      </c>
      <c r="U417" t="s">
        <v>47278</v>
      </c>
      <c r="V417" t="s">
        <v>59105</v>
      </c>
      <c r="W417" t="s">
        <v>41152</v>
      </c>
      <c r="X417" t="s">
        <v>44908</v>
      </c>
    </row>
    <row r="418" spans="1:24">
      <c r="A418">
        <f>HYPERLINK("https://www.philgeps.gov.ph/GEPSNONPILOT/Tender/SplashBidNoticeAbstractUI.aspx?menuIndex=3&amp;refID=7081819&amp;Result=3","7081819")</f>
        <v>0</v>
      </c>
      <c r="B418" t="s">
        <v>149</v>
      </c>
      <c r="C418" t="s">
        <v>3930</v>
      </c>
      <c r="D418" t="s">
        <v>18111</v>
      </c>
      <c r="E418" t="s">
        <v>18583</v>
      </c>
      <c r="F418" t="s">
        <v>31362</v>
      </c>
      <c r="G418" t="s">
        <v>31370</v>
      </c>
      <c r="H418" t="s">
        <v>15799</v>
      </c>
      <c r="I418" t="s">
        <v>31431</v>
      </c>
      <c r="J418" t="s">
        <v>31850</v>
      </c>
      <c r="K418" t="s">
        <v>40673</v>
      </c>
      <c r="M418" t="s">
        <v>41087</v>
      </c>
      <c r="N418" t="s">
        <v>44905</v>
      </c>
      <c r="O418" t="s">
        <v>44906</v>
      </c>
      <c r="P418">
        <v>0</v>
      </c>
      <c r="Q418">
        <v>0</v>
      </c>
      <c r="R418" t="s">
        <v>44907</v>
      </c>
      <c r="S418" t="s">
        <v>45026</v>
      </c>
      <c r="T418" t="s">
        <v>46408</v>
      </c>
      <c r="U418" t="s">
        <v>47279</v>
      </c>
      <c r="W418" t="s">
        <v>41087</v>
      </c>
      <c r="X418" t="s">
        <v>44908</v>
      </c>
    </row>
    <row r="419" spans="1:24">
      <c r="A419">
        <f>HYPERLINK("https://www.philgeps.gov.ph/GEPSNONPILOT/Tender/SplashBidNoticeAbstractUI.aspx?menuIndex=3&amp;refID=7081949&amp;Result=3","7081949")</f>
        <v>0</v>
      </c>
      <c r="B419" t="s">
        <v>196</v>
      </c>
      <c r="C419" t="s">
        <v>3931</v>
      </c>
      <c r="D419" t="s">
        <v>18157</v>
      </c>
      <c r="E419" t="s">
        <v>18584</v>
      </c>
      <c r="F419" t="s">
        <v>31362</v>
      </c>
      <c r="G419" t="s">
        <v>31368</v>
      </c>
      <c r="H419" t="s">
        <v>15799</v>
      </c>
      <c r="I419" t="s">
        <v>31415</v>
      </c>
      <c r="J419" t="s">
        <v>31851</v>
      </c>
      <c r="K419" t="s">
        <v>40665</v>
      </c>
      <c r="M419" t="s">
        <v>41135</v>
      </c>
      <c r="N419" t="s">
        <v>44905</v>
      </c>
      <c r="O419" t="s">
        <v>44906</v>
      </c>
      <c r="P419">
        <v>0</v>
      </c>
      <c r="Q419">
        <v>0</v>
      </c>
      <c r="R419" t="s">
        <v>44907</v>
      </c>
      <c r="S419" t="s">
        <v>45026</v>
      </c>
      <c r="T419" t="s">
        <v>46447</v>
      </c>
      <c r="U419" t="s">
        <v>47280</v>
      </c>
      <c r="W419" t="s">
        <v>41135</v>
      </c>
      <c r="X419" t="s">
        <v>44908</v>
      </c>
    </row>
    <row r="420" spans="1:24">
      <c r="A420">
        <f>HYPERLINK("https://www.philgeps.gov.ph/GEPSNONPILOT/Tender/SplashBidNoticeAbstractUI.aspx?menuIndex=3&amp;refID=7081965&amp;Result=3","7081965")</f>
        <v>0</v>
      </c>
      <c r="B420" t="s">
        <v>182</v>
      </c>
      <c r="C420" t="s">
        <v>3932</v>
      </c>
      <c r="D420" t="s">
        <v>18101</v>
      </c>
      <c r="E420" t="s">
        <v>18585</v>
      </c>
      <c r="F420" t="s">
        <v>31362</v>
      </c>
      <c r="G420" t="s">
        <v>31370</v>
      </c>
      <c r="H420" t="s">
        <v>15799</v>
      </c>
      <c r="I420" t="s">
        <v>31431</v>
      </c>
      <c r="J420" t="s">
        <v>31852</v>
      </c>
      <c r="K420" t="s">
        <v>40662</v>
      </c>
      <c r="M420" t="s">
        <v>41120</v>
      </c>
      <c r="N420" t="s">
        <v>44905</v>
      </c>
      <c r="O420" t="s">
        <v>44906</v>
      </c>
      <c r="P420">
        <v>0</v>
      </c>
      <c r="Q420">
        <v>0</v>
      </c>
      <c r="R420" t="s">
        <v>44907</v>
      </c>
      <c r="S420" t="s">
        <v>45026</v>
      </c>
      <c r="T420" t="s">
        <v>46434</v>
      </c>
      <c r="U420" t="s">
        <v>47281</v>
      </c>
      <c r="W420" t="s">
        <v>60840</v>
      </c>
      <c r="X420" t="s">
        <v>44908</v>
      </c>
    </row>
    <row r="421" spans="1:24">
      <c r="A421">
        <f>HYPERLINK("https://www.philgeps.gov.ph/GEPSNONPILOT/Tender/SplashBidNoticeAbstractUI.aspx?menuIndex=3&amp;refID=7081973&amp;Result=3","7081973")</f>
        <v>0</v>
      </c>
      <c r="B421" t="s">
        <v>180</v>
      </c>
      <c r="C421" t="s">
        <v>3933</v>
      </c>
      <c r="D421" t="s">
        <v>18112</v>
      </c>
      <c r="E421" t="s">
        <v>18586</v>
      </c>
      <c r="F421" t="s">
        <v>31362</v>
      </c>
      <c r="G421" t="s">
        <v>31368</v>
      </c>
      <c r="H421" t="s">
        <v>15799</v>
      </c>
      <c r="I421" t="s">
        <v>4942</v>
      </c>
      <c r="J421" t="s">
        <v>31853</v>
      </c>
      <c r="K421" t="s">
        <v>40680</v>
      </c>
      <c r="M421" t="s">
        <v>41118</v>
      </c>
      <c r="N421" t="s">
        <v>44905</v>
      </c>
      <c r="O421" t="s">
        <v>44906</v>
      </c>
      <c r="P421">
        <v>0</v>
      </c>
      <c r="Q421">
        <v>0</v>
      </c>
      <c r="R421" t="s">
        <v>44907</v>
      </c>
      <c r="S421" t="s">
        <v>45026</v>
      </c>
      <c r="T421" t="s">
        <v>46483</v>
      </c>
      <c r="U421" t="s">
        <v>47282</v>
      </c>
      <c r="W421" t="s">
        <v>41118</v>
      </c>
      <c r="X421" t="s">
        <v>44908</v>
      </c>
    </row>
    <row r="422" spans="1:24">
      <c r="A422">
        <f>HYPERLINK("https://www.philgeps.gov.ph/GEPSNONPILOT/Tender/SplashBidNoticeAbstractUI.aspx?menuIndex=3&amp;refID=7081962&amp;Result=3","7081962")</f>
        <v>0</v>
      </c>
      <c r="B422" t="s">
        <v>211</v>
      </c>
      <c r="C422" t="s">
        <v>3934</v>
      </c>
      <c r="D422" t="s">
        <v>18161</v>
      </c>
      <c r="E422" t="s">
        <v>18587</v>
      </c>
      <c r="F422" t="s">
        <v>31362</v>
      </c>
      <c r="G422" t="s">
        <v>31369</v>
      </c>
      <c r="H422" t="s">
        <v>31378</v>
      </c>
      <c r="I422" t="s">
        <v>31386</v>
      </c>
      <c r="J422" t="s">
        <v>31854</v>
      </c>
      <c r="K422" t="s">
        <v>40707</v>
      </c>
      <c r="M422" t="s">
        <v>41150</v>
      </c>
      <c r="N422" t="s">
        <v>44905</v>
      </c>
      <c r="O422" t="s">
        <v>44906</v>
      </c>
      <c r="P422">
        <v>0</v>
      </c>
      <c r="Q422">
        <v>0</v>
      </c>
      <c r="R422" t="s">
        <v>44907</v>
      </c>
      <c r="S422" t="s">
        <v>45026</v>
      </c>
      <c r="T422" t="s">
        <v>46449</v>
      </c>
      <c r="U422" t="s">
        <v>47283</v>
      </c>
      <c r="W422" t="s">
        <v>41150</v>
      </c>
      <c r="X422" t="s">
        <v>44908</v>
      </c>
    </row>
    <row r="423" spans="1:24">
      <c r="A423">
        <f>HYPERLINK("https://www.philgeps.gov.ph/GEPSNONPILOT/Tender/SplashBidNoticeAbstractUI.aspx?menuIndex=3&amp;refID=7081971&amp;Result=3","7081971")</f>
        <v>0</v>
      </c>
      <c r="B423" t="s">
        <v>196</v>
      </c>
      <c r="C423" t="s">
        <v>3935</v>
      </c>
      <c r="D423" t="s">
        <v>18157</v>
      </c>
      <c r="E423" t="s">
        <v>18588</v>
      </c>
      <c r="F423" t="s">
        <v>31362</v>
      </c>
      <c r="G423" t="s">
        <v>31368</v>
      </c>
      <c r="H423" t="s">
        <v>15799</v>
      </c>
      <c r="I423" t="s">
        <v>31380</v>
      </c>
      <c r="J423" t="s">
        <v>31855</v>
      </c>
      <c r="K423" t="s">
        <v>40665</v>
      </c>
      <c r="M423" t="s">
        <v>41135</v>
      </c>
      <c r="N423" t="s">
        <v>44905</v>
      </c>
      <c r="O423" t="s">
        <v>44906</v>
      </c>
      <c r="P423">
        <v>0</v>
      </c>
      <c r="Q423">
        <v>2</v>
      </c>
      <c r="R423" t="s">
        <v>44907</v>
      </c>
      <c r="S423" t="s">
        <v>45026</v>
      </c>
      <c r="T423" t="s">
        <v>46447</v>
      </c>
      <c r="U423" t="s">
        <v>47284</v>
      </c>
      <c r="W423" t="s">
        <v>41135</v>
      </c>
      <c r="X423" t="s">
        <v>44908</v>
      </c>
    </row>
    <row r="424" spans="1:24">
      <c r="A424">
        <f>HYPERLINK("https://www.philgeps.gov.ph/GEPSNONPILOT/Tender/SplashBidNoticeAbstractUI.aspx?menuIndex=3&amp;refID=7081970&amp;Result=3","7081970")</f>
        <v>0</v>
      </c>
      <c r="B424" t="s">
        <v>214</v>
      </c>
      <c r="C424" t="s">
        <v>3936</v>
      </c>
      <c r="D424" t="s">
        <v>18158</v>
      </c>
      <c r="E424" t="s">
        <v>18589</v>
      </c>
      <c r="F424" t="s">
        <v>31362</v>
      </c>
      <c r="G424" t="s">
        <v>31369</v>
      </c>
      <c r="H424" t="s">
        <v>15799</v>
      </c>
      <c r="I424" t="s">
        <v>31380</v>
      </c>
      <c r="J424" t="s">
        <v>31856</v>
      </c>
      <c r="K424" t="s">
        <v>40677</v>
      </c>
      <c r="M424" t="s">
        <v>41153</v>
      </c>
      <c r="N424" t="s">
        <v>44905</v>
      </c>
      <c r="O424" t="s">
        <v>44906</v>
      </c>
      <c r="P424">
        <v>0</v>
      </c>
      <c r="Q424">
        <v>8</v>
      </c>
      <c r="R424" t="s">
        <v>44907</v>
      </c>
      <c r="S424" t="s">
        <v>45026</v>
      </c>
      <c r="T424" t="s">
        <v>46433</v>
      </c>
      <c r="U424" t="s">
        <v>47285</v>
      </c>
      <c r="W424" t="s">
        <v>41153</v>
      </c>
      <c r="X424" t="s">
        <v>44908</v>
      </c>
    </row>
    <row r="425" spans="1:24">
      <c r="A425">
        <f>HYPERLINK("https://www.philgeps.gov.ph/GEPSNONPILOT/Tender/SplashBidNoticeAbstractUI.aspx?menuIndex=3&amp;refID=7081969&amp;Result=3","7081969")</f>
        <v>0</v>
      </c>
      <c r="B425" t="s">
        <v>189</v>
      </c>
      <c r="C425" t="s">
        <v>3937</v>
      </c>
      <c r="D425" t="s">
        <v>18125</v>
      </c>
      <c r="E425" t="s">
        <v>18590</v>
      </c>
      <c r="F425" t="s">
        <v>31362</v>
      </c>
      <c r="G425" t="s">
        <v>31368</v>
      </c>
      <c r="H425" t="s">
        <v>15799</v>
      </c>
      <c r="I425" t="s">
        <v>6155</v>
      </c>
      <c r="J425" t="s">
        <v>31536</v>
      </c>
      <c r="K425" t="s">
        <v>40677</v>
      </c>
      <c r="M425" t="s">
        <v>41127</v>
      </c>
      <c r="N425" t="s">
        <v>44905</v>
      </c>
      <c r="O425" t="s">
        <v>44906</v>
      </c>
      <c r="P425">
        <v>0</v>
      </c>
      <c r="Q425">
        <v>1</v>
      </c>
      <c r="R425" t="s">
        <v>44907</v>
      </c>
      <c r="S425" t="s">
        <v>45026</v>
      </c>
      <c r="T425" t="s">
        <v>46434</v>
      </c>
      <c r="U425" t="s">
        <v>47286</v>
      </c>
      <c r="V425" t="s">
        <v>59093</v>
      </c>
      <c r="W425" t="s">
        <v>41127</v>
      </c>
      <c r="X425" t="s">
        <v>44908</v>
      </c>
    </row>
    <row r="426" spans="1:24">
      <c r="A426">
        <f>HYPERLINK("https://www.philgeps.gov.ph/GEPSNONPILOT/Tender/SplashBidNoticeAbstractUI.aspx?menuIndex=3&amp;refID=7081966&amp;Result=3","7081966")</f>
        <v>0</v>
      </c>
      <c r="B426" t="s">
        <v>87</v>
      </c>
      <c r="C426" t="s">
        <v>3938</v>
      </c>
      <c r="D426" t="s">
        <v>18109</v>
      </c>
      <c r="E426" t="s">
        <v>18591</v>
      </c>
      <c r="F426" t="s">
        <v>31362</v>
      </c>
      <c r="G426" t="s">
        <v>31368</v>
      </c>
      <c r="H426" t="s">
        <v>15799</v>
      </c>
      <c r="I426" t="s">
        <v>6240</v>
      </c>
      <c r="J426" t="s">
        <v>31857</v>
      </c>
      <c r="K426" t="s">
        <v>40661</v>
      </c>
      <c r="M426" t="s">
        <v>41023</v>
      </c>
      <c r="N426" t="s">
        <v>44905</v>
      </c>
      <c r="O426" t="s">
        <v>44906</v>
      </c>
      <c r="P426">
        <v>0</v>
      </c>
      <c r="Q426">
        <v>0</v>
      </c>
      <c r="R426" t="s">
        <v>44907</v>
      </c>
      <c r="S426" t="s">
        <v>45026</v>
      </c>
      <c r="T426" t="s">
        <v>46435</v>
      </c>
      <c r="U426" t="s">
        <v>47287</v>
      </c>
      <c r="W426" t="s">
        <v>60832</v>
      </c>
      <c r="X426" t="s">
        <v>44908</v>
      </c>
    </row>
    <row r="427" spans="1:24">
      <c r="A427">
        <f>HYPERLINK("https://www.philgeps.gov.ph/GEPSNONPILOT/Tender/SplashBidNoticeAbstractUI.aspx?menuIndex=3&amp;refID=7081942&amp;Result=3","7081942")</f>
        <v>0</v>
      </c>
      <c r="B427" t="s">
        <v>215</v>
      </c>
      <c r="C427" t="s">
        <v>3939</v>
      </c>
      <c r="D427" t="s">
        <v>18108</v>
      </c>
      <c r="E427" t="s">
        <v>18592</v>
      </c>
      <c r="F427" t="s">
        <v>31362</v>
      </c>
      <c r="G427" t="s">
        <v>31371</v>
      </c>
      <c r="H427" t="s">
        <v>15799</v>
      </c>
      <c r="I427" t="s">
        <v>7188</v>
      </c>
      <c r="J427" t="s">
        <v>31858</v>
      </c>
      <c r="K427" t="s">
        <v>40661</v>
      </c>
      <c r="M427" t="s">
        <v>41154</v>
      </c>
      <c r="N427" t="s">
        <v>44905</v>
      </c>
      <c r="O427" t="s">
        <v>44906</v>
      </c>
      <c r="P427">
        <v>0</v>
      </c>
      <c r="Q427">
        <v>0</v>
      </c>
      <c r="R427" t="s">
        <v>44907</v>
      </c>
      <c r="S427" t="s">
        <v>45026</v>
      </c>
      <c r="T427" t="s">
        <v>46488</v>
      </c>
      <c r="U427" t="s">
        <v>47288</v>
      </c>
      <c r="V427" t="s">
        <v>59106</v>
      </c>
      <c r="W427" t="s">
        <v>41154</v>
      </c>
      <c r="X427" t="s">
        <v>44908</v>
      </c>
    </row>
    <row r="428" spans="1:24">
      <c r="A428">
        <f>HYPERLINK("https://www.philgeps.gov.ph/GEPSNONPILOT/Tender/SplashBidNoticeAbstractUI.aspx?menuIndex=3&amp;refID=7081988&amp;Result=3","7081988")</f>
        <v>0</v>
      </c>
      <c r="B428" t="s">
        <v>216</v>
      </c>
      <c r="C428" t="s">
        <v>3940</v>
      </c>
      <c r="D428" t="s">
        <v>18113</v>
      </c>
      <c r="E428" t="s">
        <v>18593</v>
      </c>
      <c r="F428" t="s">
        <v>31362</v>
      </c>
      <c r="G428" t="s">
        <v>31368</v>
      </c>
      <c r="H428" t="s">
        <v>15799</v>
      </c>
      <c r="I428" t="s">
        <v>31389</v>
      </c>
      <c r="J428" t="s">
        <v>31859</v>
      </c>
      <c r="K428" t="s">
        <v>40662</v>
      </c>
      <c r="M428" t="s">
        <v>41155</v>
      </c>
      <c r="N428" t="s">
        <v>44905</v>
      </c>
      <c r="O428" t="s">
        <v>44906</v>
      </c>
      <c r="P428">
        <v>0</v>
      </c>
      <c r="Q428">
        <v>0</v>
      </c>
      <c r="R428" t="s">
        <v>44907</v>
      </c>
      <c r="S428" t="s">
        <v>45026</v>
      </c>
      <c r="T428" t="s">
        <v>46393</v>
      </c>
      <c r="U428" t="s">
        <v>47289</v>
      </c>
      <c r="V428" t="s">
        <v>59107</v>
      </c>
      <c r="W428" t="s">
        <v>41155</v>
      </c>
      <c r="X428" t="s">
        <v>44908</v>
      </c>
    </row>
    <row r="429" spans="1:24">
      <c r="A429">
        <f>HYPERLINK("https://www.philgeps.gov.ph/GEPSNONPILOT/Tender/SplashBidNoticeAbstractUI.aspx?menuIndex=3&amp;refID=7081986&amp;Result=3","7081986")</f>
        <v>0</v>
      </c>
      <c r="B429" t="s">
        <v>217</v>
      </c>
      <c r="C429" t="s">
        <v>3941</v>
      </c>
      <c r="D429" t="s">
        <v>18108</v>
      </c>
      <c r="E429" t="s">
        <v>18594</v>
      </c>
      <c r="F429" t="s">
        <v>31362</v>
      </c>
      <c r="G429" t="s">
        <v>31370</v>
      </c>
      <c r="H429" t="s">
        <v>15799</v>
      </c>
      <c r="I429" t="s">
        <v>31380</v>
      </c>
      <c r="J429" t="s">
        <v>31860</v>
      </c>
      <c r="K429" t="s">
        <v>40661</v>
      </c>
      <c r="M429" t="s">
        <v>41156</v>
      </c>
      <c r="N429" t="s">
        <v>44905</v>
      </c>
      <c r="O429" t="s">
        <v>44906</v>
      </c>
      <c r="P429">
        <v>0</v>
      </c>
      <c r="Q429">
        <v>2</v>
      </c>
      <c r="R429" t="s">
        <v>44907</v>
      </c>
      <c r="S429" t="s">
        <v>45026</v>
      </c>
      <c r="T429" t="s">
        <v>46438</v>
      </c>
      <c r="U429" t="s">
        <v>47290</v>
      </c>
      <c r="V429" t="s">
        <v>59108</v>
      </c>
      <c r="W429" t="s">
        <v>41156</v>
      </c>
      <c r="X429" t="s">
        <v>44908</v>
      </c>
    </row>
    <row r="430" spans="1:24">
      <c r="A430">
        <f>HYPERLINK("https://www.philgeps.gov.ph/GEPSNONPILOT/Tender/SplashBidNoticeAbstractUI.aspx?menuIndex=3&amp;refID=7081982&amp;Result=3","7081982")</f>
        <v>0</v>
      </c>
      <c r="B430" t="s">
        <v>218</v>
      </c>
      <c r="C430" t="s">
        <v>3942</v>
      </c>
      <c r="D430" t="s">
        <v>18101</v>
      </c>
      <c r="E430" t="s">
        <v>3942</v>
      </c>
      <c r="F430" t="s">
        <v>31362</v>
      </c>
      <c r="G430" t="s">
        <v>31369</v>
      </c>
      <c r="H430" t="s">
        <v>31378</v>
      </c>
      <c r="I430" t="s">
        <v>31435</v>
      </c>
      <c r="J430" t="s">
        <v>31861</v>
      </c>
      <c r="K430" t="s">
        <v>40678</v>
      </c>
      <c r="M430" t="s">
        <v>41157</v>
      </c>
      <c r="N430" t="s">
        <v>44905</v>
      </c>
      <c r="O430" t="s">
        <v>44906</v>
      </c>
      <c r="Q430">
        <v>5</v>
      </c>
      <c r="R430" t="s">
        <v>44907</v>
      </c>
      <c r="S430" t="s">
        <v>45032</v>
      </c>
      <c r="T430" t="s">
        <v>46489</v>
      </c>
      <c r="U430" t="s">
        <v>47291</v>
      </c>
      <c r="V430" t="s">
        <v>59109</v>
      </c>
      <c r="W430" t="s">
        <v>41157</v>
      </c>
      <c r="X430" t="s">
        <v>44908</v>
      </c>
    </row>
    <row r="431" spans="1:24">
      <c r="A431">
        <f>HYPERLINK("https://www.philgeps.gov.ph/GEPSNONPILOT/Tender/SplashBidNoticeAbstractUI.aspx?menuIndex=3&amp;refID=7081981&amp;Result=3","7081981")</f>
        <v>0</v>
      </c>
      <c r="B431" t="s">
        <v>219</v>
      </c>
      <c r="C431" t="s">
        <v>3943</v>
      </c>
      <c r="D431" t="s">
        <v>18124</v>
      </c>
      <c r="E431" t="s">
        <v>18595</v>
      </c>
      <c r="F431" t="s">
        <v>31362</v>
      </c>
      <c r="G431" t="s">
        <v>31369</v>
      </c>
      <c r="H431" t="s">
        <v>15799</v>
      </c>
      <c r="I431" t="s">
        <v>3815</v>
      </c>
      <c r="J431" t="s">
        <v>31862</v>
      </c>
      <c r="K431" t="s">
        <v>40666</v>
      </c>
      <c r="M431" t="s">
        <v>41158</v>
      </c>
      <c r="N431" t="s">
        <v>44905</v>
      </c>
      <c r="O431" t="s">
        <v>44906</v>
      </c>
      <c r="P431">
        <v>0</v>
      </c>
      <c r="Q431">
        <v>0</v>
      </c>
      <c r="R431" t="s">
        <v>44907</v>
      </c>
      <c r="S431" t="s">
        <v>45026</v>
      </c>
      <c r="T431" t="s">
        <v>46402</v>
      </c>
      <c r="U431" t="s">
        <v>47292</v>
      </c>
      <c r="W431" t="s">
        <v>41751</v>
      </c>
      <c r="X431" t="s">
        <v>44908</v>
      </c>
    </row>
    <row r="432" spans="1:24">
      <c r="A432">
        <f>HYPERLINK("https://www.philgeps.gov.ph/GEPSNONPILOT/Tender/SplashBidNoticeAbstractUI.aspx?menuIndex=3&amp;refID=7081980&amp;Result=3","7081980")</f>
        <v>0</v>
      </c>
      <c r="B432" t="s">
        <v>210</v>
      </c>
      <c r="C432" t="s">
        <v>3944</v>
      </c>
      <c r="D432" t="s">
        <v>18160</v>
      </c>
      <c r="E432" t="s">
        <v>18596</v>
      </c>
      <c r="F432" t="s">
        <v>31362</v>
      </c>
      <c r="G432" t="s">
        <v>31368</v>
      </c>
      <c r="H432" t="s">
        <v>15799</v>
      </c>
      <c r="I432" t="s">
        <v>7719</v>
      </c>
      <c r="J432" t="s">
        <v>31863</v>
      </c>
      <c r="K432" t="s">
        <v>40662</v>
      </c>
      <c r="M432" t="s">
        <v>41149</v>
      </c>
      <c r="N432" t="s">
        <v>44905</v>
      </c>
      <c r="O432" t="s">
        <v>44906</v>
      </c>
      <c r="P432">
        <v>0</v>
      </c>
      <c r="Q432">
        <v>3</v>
      </c>
      <c r="R432" t="s">
        <v>44907</v>
      </c>
      <c r="S432" t="s">
        <v>45026</v>
      </c>
      <c r="T432" t="s">
        <v>46454</v>
      </c>
      <c r="U432" t="s">
        <v>47293</v>
      </c>
      <c r="W432" t="s">
        <v>41149</v>
      </c>
      <c r="X432" t="s">
        <v>44908</v>
      </c>
    </row>
    <row r="433" spans="1:24">
      <c r="A433">
        <f>HYPERLINK("https://www.philgeps.gov.ph/GEPSNONPILOT/Tender/SplashBidNoticeAbstractUI.aspx?menuIndex=3&amp;refID=7081984&amp;Result=3","7081984")</f>
        <v>0</v>
      </c>
      <c r="B433" t="s">
        <v>207</v>
      </c>
      <c r="C433" t="s">
        <v>3945</v>
      </c>
      <c r="D433" t="s">
        <v>18127</v>
      </c>
      <c r="E433" t="s">
        <v>18597</v>
      </c>
      <c r="F433" t="s">
        <v>31362</v>
      </c>
      <c r="G433" t="s">
        <v>31370</v>
      </c>
      <c r="H433" t="s">
        <v>15799</v>
      </c>
      <c r="I433" t="s">
        <v>31380</v>
      </c>
      <c r="J433" t="s">
        <v>31645</v>
      </c>
      <c r="K433" t="s">
        <v>40661</v>
      </c>
      <c r="M433" t="s">
        <v>41146</v>
      </c>
      <c r="N433" t="s">
        <v>44905</v>
      </c>
      <c r="O433" t="s">
        <v>44906</v>
      </c>
      <c r="P433">
        <v>0</v>
      </c>
      <c r="Q433">
        <v>1</v>
      </c>
      <c r="R433" t="s">
        <v>44907</v>
      </c>
      <c r="S433" t="s">
        <v>45026</v>
      </c>
      <c r="T433" t="s">
        <v>46417</v>
      </c>
      <c r="U433" t="s">
        <v>47294</v>
      </c>
      <c r="V433" t="s">
        <v>59100</v>
      </c>
      <c r="W433" t="s">
        <v>41146</v>
      </c>
      <c r="X433" t="s">
        <v>44908</v>
      </c>
    </row>
    <row r="434" spans="1:24">
      <c r="A434">
        <f>HYPERLINK("https://www.philgeps.gov.ph/GEPSNONPILOT/Tender/SplashBidNoticeAbstractUI.aspx?menuIndex=3&amp;refID=7081978&amp;Result=3","7081978")</f>
        <v>0</v>
      </c>
      <c r="B434" t="s">
        <v>182</v>
      </c>
      <c r="C434" t="s">
        <v>3946</v>
      </c>
      <c r="D434" t="s">
        <v>18101</v>
      </c>
      <c r="E434" t="s">
        <v>18598</v>
      </c>
      <c r="F434" t="s">
        <v>31362</v>
      </c>
      <c r="G434" t="s">
        <v>31370</v>
      </c>
      <c r="H434" t="s">
        <v>15799</v>
      </c>
      <c r="I434" t="s">
        <v>6373</v>
      </c>
      <c r="J434" t="s">
        <v>31864</v>
      </c>
      <c r="K434" t="s">
        <v>40662</v>
      </c>
      <c r="M434" t="s">
        <v>41120</v>
      </c>
      <c r="N434" t="s">
        <v>44905</v>
      </c>
      <c r="O434" t="s">
        <v>44906</v>
      </c>
      <c r="P434">
        <v>0</v>
      </c>
      <c r="Q434">
        <v>0</v>
      </c>
      <c r="R434" t="s">
        <v>44907</v>
      </c>
      <c r="S434" t="s">
        <v>45026</v>
      </c>
      <c r="T434" t="s">
        <v>46434</v>
      </c>
      <c r="U434" t="s">
        <v>47295</v>
      </c>
      <c r="W434" t="s">
        <v>60840</v>
      </c>
      <c r="X434" t="s">
        <v>44908</v>
      </c>
    </row>
    <row r="435" spans="1:24">
      <c r="A435">
        <f>HYPERLINK("https://www.philgeps.gov.ph/GEPSNONPILOT/Tender/SplashBidNoticeAbstractUI.aspx?menuIndex=3&amp;refID=7081989&amp;Result=3","7081989")</f>
        <v>0</v>
      </c>
      <c r="B435" t="s">
        <v>220</v>
      </c>
      <c r="C435" t="s">
        <v>3947</v>
      </c>
      <c r="D435" t="s">
        <v>18140</v>
      </c>
      <c r="E435" t="s">
        <v>18599</v>
      </c>
      <c r="F435" t="s">
        <v>31362</v>
      </c>
      <c r="G435" t="s">
        <v>31370</v>
      </c>
      <c r="H435" t="s">
        <v>15799</v>
      </c>
      <c r="I435" t="s">
        <v>31385</v>
      </c>
      <c r="J435" t="s">
        <v>31865</v>
      </c>
      <c r="K435" t="s">
        <v>40666</v>
      </c>
      <c r="M435" t="s">
        <v>41159</v>
      </c>
      <c r="N435" t="s">
        <v>44905</v>
      </c>
      <c r="O435" t="s">
        <v>44906</v>
      </c>
      <c r="P435">
        <v>0</v>
      </c>
      <c r="Q435">
        <v>0</v>
      </c>
      <c r="R435" t="s">
        <v>44907</v>
      </c>
      <c r="S435" t="s">
        <v>45026</v>
      </c>
      <c r="T435" t="s">
        <v>46483</v>
      </c>
      <c r="U435" t="s">
        <v>47296</v>
      </c>
      <c r="W435" t="s">
        <v>41159</v>
      </c>
      <c r="X435" t="s">
        <v>44908</v>
      </c>
    </row>
    <row r="436" spans="1:24">
      <c r="A436">
        <f>HYPERLINK("https://www.philgeps.gov.ph/GEPSNONPILOT/Tender/SplashBidNoticeAbstractUI.aspx?menuIndex=3&amp;refID=7081990&amp;Result=3","7081990")</f>
        <v>0</v>
      </c>
      <c r="B436" t="s">
        <v>221</v>
      </c>
      <c r="C436" t="s">
        <v>3948</v>
      </c>
      <c r="D436" t="s">
        <v>18127</v>
      </c>
      <c r="E436" t="s">
        <v>18203</v>
      </c>
      <c r="F436" t="s">
        <v>31362</v>
      </c>
      <c r="G436" t="s">
        <v>31370</v>
      </c>
      <c r="H436" t="s">
        <v>15799</v>
      </c>
      <c r="I436" t="s">
        <v>31394</v>
      </c>
      <c r="J436" t="s">
        <v>31866</v>
      </c>
      <c r="K436" t="s">
        <v>40661</v>
      </c>
      <c r="M436" t="s">
        <v>41160</v>
      </c>
      <c r="N436" t="s">
        <v>44905</v>
      </c>
      <c r="O436" t="s">
        <v>44906</v>
      </c>
      <c r="P436">
        <v>0</v>
      </c>
      <c r="Q436">
        <v>0</v>
      </c>
      <c r="R436" t="s">
        <v>44907</v>
      </c>
      <c r="S436" t="s">
        <v>45026</v>
      </c>
      <c r="T436" t="s">
        <v>46432</v>
      </c>
      <c r="U436" t="s">
        <v>47297</v>
      </c>
      <c r="W436" t="s">
        <v>41160</v>
      </c>
      <c r="X436" t="s">
        <v>44908</v>
      </c>
    </row>
    <row r="437" spans="1:24">
      <c r="A437">
        <f>HYPERLINK("https://www.philgeps.gov.ph/GEPSNONPILOT/Tender/SplashBidNoticeAbstractUI.aspx?menuIndex=3&amp;refID=7081972&amp;Result=3","7081972")</f>
        <v>0</v>
      </c>
      <c r="B437" t="s">
        <v>222</v>
      </c>
      <c r="C437" t="s">
        <v>3949</v>
      </c>
      <c r="E437" t="s">
        <v>18600</v>
      </c>
      <c r="F437" t="s">
        <v>31362</v>
      </c>
      <c r="G437" t="s">
        <v>31370</v>
      </c>
      <c r="H437" t="s">
        <v>15799</v>
      </c>
      <c r="I437" t="s">
        <v>31422</v>
      </c>
      <c r="J437" t="s">
        <v>31867</v>
      </c>
      <c r="K437" t="s">
        <v>40665</v>
      </c>
      <c r="M437" t="s">
        <v>41161</v>
      </c>
      <c r="N437" t="s">
        <v>44905</v>
      </c>
      <c r="O437" t="s">
        <v>44906</v>
      </c>
      <c r="P437">
        <v>0</v>
      </c>
      <c r="Q437">
        <v>0</v>
      </c>
      <c r="R437" t="s">
        <v>44907</v>
      </c>
      <c r="S437" t="s">
        <v>45026</v>
      </c>
      <c r="T437" t="s">
        <v>46438</v>
      </c>
      <c r="U437" t="s">
        <v>47298</v>
      </c>
      <c r="W437" t="s">
        <v>41161</v>
      </c>
      <c r="X437" t="s">
        <v>44908</v>
      </c>
    </row>
    <row r="438" spans="1:24">
      <c r="A438">
        <f>HYPERLINK("https://www.philgeps.gov.ph/GEPSNONPILOT/Tender/SplashBidNoticeAbstractUI.aspx?menuIndex=3&amp;refID=7082006&amp;Result=3","7082006")</f>
        <v>0</v>
      </c>
      <c r="B438" t="s">
        <v>61</v>
      </c>
      <c r="C438" t="s">
        <v>3950</v>
      </c>
      <c r="D438" t="s">
        <v>18124</v>
      </c>
      <c r="E438" t="s">
        <v>18601</v>
      </c>
      <c r="F438" t="s">
        <v>31362</v>
      </c>
      <c r="G438" t="s">
        <v>31368</v>
      </c>
      <c r="H438" t="s">
        <v>15799</v>
      </c>
      <c r="I438" t="s">
        <v>3815</v>
      </c>
      <c r="J438" t="s">
        <v>31868</v>
      </c>
      <c r="K438" t="s">
        <v>40679</v>
      </c>
      <c r="M438" t="s">
        <v>40996</v>
      </c>
      <c r="N438" t="s">
        <v>44905</v>
      </c>
      <c r="O438" t="s">
        <v>44906</v>
      </c>
      <c r="P438">
        <v>0</v>
      </c>
      <c r="Q438">
        <v>0</v>
      </c>
      <c r="R438" t="s">
        <v>44907</v>
      </c>
      <c r="S438" t="s">
        <v>45026</v>
      </c>
      <c r="T438" t="s">
        <v>46490</v>
      </c>
      <c r="U438" t="s">
        <v>46986</v>
      </c>
      <c r="W438" t="s">
        <v>40996</v>
      </c>
      <c r="X438" t="s">
        <v>44908</v>
      </c>
    </row>
    <row r="439" spans="1:24">
      <c r="A439">
        <f>HYPERLINK("https://www.philgeps.gov.ph/GEPSNONPILOT/Tender/SplashBidNoticeAbstractUI.aspx?menuIndex=3&amp;refID=7082005&amp;Result=3","7082005")</f>
        <v>0</v>
      </c>
      <c r="B439" t="s">
        <v>223</v>
      </c>
      <c r="C439" t="s">
        <v>3951</v>
      </c>
      <c r="D439" t="s">
        <v>18153</v>
      </c>
      <c r="E439" t="s">
        <v>18602</v>
      </c>
      <c r="F439" t="s">
        <v>31362</v>
      </c>
      <c r="G439" t="s">
        <v>31368</v>
      </c>
      <c r="H439" t="s">
        <v>15799</v>
      </c>
      <c r="I439" t="s">
        <v>4057</v>
      </c>
      <c r="J439" t="s">
        <v>31869</v>
      </c>
      <c r="K439" t="s">
        <v>40666</v>
      </c>
      <c r="M439" t="s">
        <v>41162</v>
      </c>
      <c r="N439" t="s">
        <v>44905</v>
      </c>
      <c r="O439" t="s">
        <v>44906</v>
      </c>
      <c r="P439">
        <v>0</v>
      </c>
      <c r="Q439">
        <v>0</v>
      </c>
      <c r="R439" t="s">
        <v>44907</v>
      </c>
      <c r="S439" t="s">
        <v>45026</v>
      </c>
      <c r="T439" t="s">
        <v>46435</v>
      </c>
      <c r="U439" t="s">
        <v>47299</v>
      </c>
      <c r="W439" t="s">
        <v>41162</v>
      </c>
      <c r="X439" t="s">
        <v>44908</v>
      </c>
    </row>
    <row r="440" spans="1:24">
      <c r="A440">
        <f>HYPERLINK("https://www.philgeps.gov.ph/GEPSNONPILOT/Tender/SplashBidNoticeAbstractUI.aspx?menuIndex=3&amp;refID=7081992&amp;Result=3","7081992")</f>
        <v>0</v>
      </c>
      <c r="B440" t="s">
        <v>87</v>
      </c>
      <c r="C440" t="s">
        <v>3952</v>
      </c>
      <c r="D440" t="s">
        <v>18109</v>
      </c>
      <c r="E440" t="s">
        <v>18603</v>
      </c>
      <c r="F440" t="s">
        <v>31362</v>
      </c>
      <c r="G440" t="s">
        <v>31368</v>
      </c>
      <c r="H440" t="s">
        <v>15799</v>
      </c>
      <c r="I440" t="s">
        <v>31387</v>
      </c>
      <c r="J440" t="s">
        <v>31870</v>
      </c>
      <c r="K440" t="s">
        <v>40661</v>
      </c>
      <c r="M440" t="s">
        <v>41023</v>
      </c>
      <c r="N440" t="s">
        <v>44905</v>
      </c>
      <c r="O440" t="s">
        <v>44906</v>
      </c>
      <c r="P440">
        <v>0</v>
      </c>
      <c r="Q440">
        <v>0</v>
      </c>
      <c r="R440" t="s">
        <v>44907</v>
      </c>
      <c r="S440" t="s">
        <v>45026</v>
      </c>
      <c r="T440" t="s">
        <v>46435</v>
      </c>
      <c r="U440" t="s">
        <v>47051</v>
      </c>
      <c r="W440" t="s">
        <v>60832</v>
      </c>
      <c r="X440" t="s">
        <v>44908</v>
      </c>
    </row>
    <row r="441" spans="1:24">
      <c r="A441">
        <f>HYPERLINK("https://www.philgeps.gov.ph/GEPSNONPILOT/Tender/SplashBidNoticeAbstractUI.aspx?menuIndex=3&amp;refID=7082011&amp;Result=3","7082011")</f>
        <v>0</v>
      </c>
      <c r="B441" t="s">
        <v>207</v>
      </c>
      <c r="C441" t="s">
        <v>3953</v>
      </c>
      <c r="D441" t="s">
        <v>18127</v>
      </c>
      <c r="E441" t="s">
        <v>18604</v>
      </c>
      <c r="F441" t="s">
        <v>31362</v>
      </c>
      <c r="G441" t="s">
        <v>31368</v>
      </c>
      <c r="H441" t="s">
        <v>15799</v>
      </c>
      <c r="I441" t="s">
        <v>31380</v>
      </c>
      <c r="J441" t="s">
        <v>31871</v>
      </c>
      <c r="K441" t="s">
        <v>40661</v>
      </c>
      <c r="M441" t="s">
        <v>41146</v>
      </c>
      <c r="N441" t="s">
        <v>44905</v>
      </c>
      <c r="O441" t="s">
        <v>44906</v>
      </c>
      <c r="P441">
        <v>0</v>
      </c>
      <c r="Q441">
        <v>2</v>
      </c>
      <c r="R441" t="s">
        <v>44907</v>
      </c>
      <c r="S441" t="s">
        <v>45026</v>
      </c>
      <c r="T441" t="s">
        <v>46417</v>
      </c>
      <c r="U441" t="s">
        <v>47300</v>
      </c>
      <c r="V441" t="s">
        <v>59100</v>
      </c>
      <c r="W441" t="s">
        <v>41146</v>
      </c>
      <c r="X441" t="s">
        <v>44908</v>
      </c>
    </row>
    <row r="442" spans="1:24">
      <c r="A442">
        <f>HYPERLINK("https://www.philgeps.gov.ph/GEPSNONPILOT/Tender/SplashBidNoticeAbstractUI.aspx?menuIndex=3&amp;refID=7082010&amp;Result=3","7082010")</f>
        <v>0</v>
      </c>
      <c r="B442" t="s">
        <v>184</v>
      </c>
      <c r="C442" t="s">
        <v>3954</v>
      </c>
      <c r="D442" t="s">
        <v>18123</v>
      </c>
      <c r="E442" t="s">
        <v>18605</v>
      </c>
      <c r="F442" t="s">
        <v>31362</v>
      </c>
      <c r="G442" t="s">
        <v>31368</v>
      </c>
      <c r="H442" t="s">
        <v>15799</v>
      </c>
      <c r="I442" t="s">
        <v>31422</v>
      </c>
      <c r="J442" t="s">
        <v>31872</v>
      </c>
      <c r="K442" t="s">
        <v>40665</v>
      </c>
      <c r="M442" t="s">
        <v>41133</v>
      </c>
      <c r="N442" t="s">
        <v>44905</v>
      </c>
      <c r="O442" t="s">
        <v>44906</v>
      </c>
      <c r="P442">
        <v>0</v>
      </c>
      <c r="Q442">
        <v>0</v>
      </c>
      <c r="R442" t="s">
        <v>44907</v>
      </c>
      <c r="S442" t="s">
        <v>45026</v>
      </c>
      <c r="T442" t="s">
        <v>46435</v>
      </c>
      <c r="U442" t="s">
        <v>47301</v>
      </c>
      <c r="W442" t="s">
        <v>41133</v>
      </c>
      <c r="X442" t="s">
        <v>44908</v>
      </c>
    </row>
    <row r="443" spans="1:24">
      <c r="A443">
        <f>HYPERLINK("https://www.philgeps.gov.ph/GEPSNONPILOT/Tender/SplashBidNoticeAbstractUI.aspx?menuIndex=3&amp;refID=7082008&amp;Result=3","7082008")</f>
        <v>0</v>
      </c>
      <c r="B443" t="s">
        <v>224</v>
      </c>
      <c r="C443" t="s">
        <v>3955</v>
      </c>
      <c r="D443" t="s">
        <v>18149</v>
      </c>
      <c r="E443" t="s">
        <v>18606</v>
      </c>
      <c r="F443" t="s">
        <v>31362</v>
      </c>
      <c r="G443" t="s">
        <v>31369</v>
      </c>
      <c r="H443" t="s">
        <v>15799</v>
      </c>
      <c r="I443" t="s">
        <v>31400</v>
      </c>
      <c r="J443" t="s">
        <v>31873</v>
      </c>
      <c r="K443" t="s">
        <v>40665</v>
      </c>
      <c r="M443" t="s">
        <v>41163</v>
      </c>
      <c r="N443" t="s">
        <v>44905</v>
      </c>
      <c r="O443" t="s">
        <v>44906</v>
      </c>
      <c r="P443">
        <v>0</v>
      </c>
      <c r="Q443">
        <v>0</v>
      </c>
      <c r="R443" t="s">
        <v>44907</v>
      </c>
      <c r="S443" t="s">
        <v>45026</v>
      </c>
      <c r="T443" t="s">
        <v>46491</v>
      </c>
      <c r="U443" t="s">
        <v>47302</v>
      </c>
      <c r="W443" t="s">
        <v>41163</v>
      </c>
      <c r="X443" t="s">
        <v>44908</v>
      </c>
    </row>
    <row r="444" spans="1:24">
      <c r="A444">
        <f>HYPERLINK("https://www.philgeps.gov.ph/GEPSNONPILOT/Tender/SplashBidNoticeAbstractUI.aspx?menuIndex=3&amp;refID=7081977&amp;Result=3","7081977")</f>
        <v>0</v>
      </c>
      <c r="B444" t="s">
        <v>225</v>
      </c>
      <c r="C444" t="s">
        <v>3956</v>
      </c>
      <c r="D444" t="s">
        <v>18158</v>
      </c>
      <c r="E444" t="s">
        <v>18607</v>
      </c>
      <c r="F444" t="s">
        <v>31362</v>
      </c>
      <c r="G444" t="s">
        <v>31368</v>
      </c>
      <c r="H444" t="s">
        <v>15799</v>
      </c>
      <c r="I444" t="s">
        <v>3815</v>
      </c>
      <c r="J444" t="s">
        <v>31874</v>
      </c>
      <c r="K444" t="s">
        <v>40670</v>
      </c>
      <c r="M444" t="s">
        <v>41164</v>
      </c>
      <c r="N444" t="s">
        <v>44905</v>
      </c>
      <c r="O444" t="s">
        <v>44906</v>
      </c>
      <c r="P444">
        <v>0</v>
      </c>
      <c r="Q444">
        <v>1</v>
      </c>
      <c r="R444" t="s">
        <v>44907</v>
      </c>
      <c r="S444" t="s">
        <v>45026</v>
      </c>
      <c r="T444" t="s">
        <v>46396</v>
      </c>
      <c r="U444" t="s">
        <v>47303</v>
      </c>
      <c r="W444" t="s">
        <v>41164</v>
      </c>
      <c r="X444" t="s">
        <v>44908</v>
      </c>
    </row>
    <row r="445" spans="1:24">
      <c r="A445">
        <f>HYPERLINK("https://www.philgeps.gov.ph/GEPSNONPILOT/Tender/SplashBidNoticeAbstractUI.aspx?menuIndex=3&amp;refID=7082007&amp;Result=3","7082007")</f>
        <v>0</v>
      </c>
      <c r="B445" t="s">
        <v>226</v>
      </c>
      <c r="C445" t="s">
        <v>3957</v>
      </c>
      <c r="D445" t="s">
        <v>18132</v>
      </c>
      <c r="E445" t="s">
        <v>18608</v>
      </c>
      <c r="F445" t="s">
        <v>31362</v>
      </c>
      <c r="G445" t="s">
        <v>31373</v>
      </c>
      <c r="H445" t="s">
        <v>15799</v>
      </c>
      <c r="I445" t="s">
        <v>31436</v>
      </c>
      <c r="J445" t="s">
        <v>31875</v>
      </c>
      <c r="K445" t="s">
        <v>40686</v>
      </c>
      <c r="M445" t="s">
        <v>41165</v>
      </c>
      <c r="N445" t="s">
        <v>44905</v>
      </c>
      <c r="O445" t="s">
        <v>44906</v>
      </c>
      <c r="P445">
        <v>0</v>
      </c>
      <c r="Q445">
        <v>0</v>
      </c>
      <c r="R445" t="s">
        <v>44907</v>
      </c>
      <c r="S445" t="s">
        <v>45026</v>
      </c>
      <c r="T445" t="s">
        <v>46429</v>
      </c>
      <c r="U445" t="s">
        <v>47304</v>
      </c>
      <c r="W445" t="s">
        <v>41165</v>
      </c>
      <c r="X445" t="s">
        <v>44908</v>
      </c>
    </row>
    <row r="446" spans="1:24">
      <c r="A446">
        <f>HYPERLINK("https://www.philgeps.gov.ph/GEPSNONPILOT/Tender/SplashBidNoticeAbstractUI.aspx?menuIndex=3&amp;refID=7082004&amp;Result=3","7082004")</f>
        <v>0</v>
      </c>
      <c r="B446" t="s">
        <v>227</v>
      </c>
      <c r="C446" t="s">
        <v>3958</v>
      </c>
      <c r="D446" t="s">
        <v>18102</v>
      </c>
      <c r="E446" t="s">
        <v>18609</v>
      </c>
      <c r="F446" t="s">
        <v>31362</v>
      </c>
      <c r="G446" t="s">
        <v>31368</v>
      </c>
      <c r="H446" t="s">
        <v>15799</v>
      </c>
      <c r="I446" t="s">
        <v>3815</v>
      </c>
      <c r="J446" t="s">
        <v>31753</v>
      </c>
      <c r="K446" t="s">
        <v>40662</v>
      </c>
      <c r="M446" t="s">
        <v>41166</v>
      </c>
      <c r="N446" t="s">
        <v>44905</v>
      </c>
      <c r="O446" t="s">
        <v>44906</v>
      </c>
      <c r="P446">
        <v>0</v>
      </c>
      <c r="Q446">
        <v>0</v>
      </c>
      <c r="R446" t="s">
        <v>44907</v>
      </c>
      <c r="S446" t="s">
        <v>45026</v>
      </c>
      <c r="T446" t="s">
        <v>46492</v>
      </c>
      <c r="U446" t="s">
        <v>47305</v>
      </c>
      <c r="W446" t="s">
        <v>41166</v>
      </c>
      <c r="X446" t="s">
        <v>44908</v>
      </c>
    </row>
    <row r="447" spans="1:24">
      <c r="A447">
        <f>HYPERLINK("https://www.philgeps.gov.ph/GEPSNONPILOT/Tender/SplashBidNoticeAbstractUI.aspx?menuIndex=3&amp;refID=7082002&amp;Result=3","7082002")</f>
        <v>0</v>
      </c>
      <c r="B447" t="s">
        <v>162</v>
      </c>
      <c r="C447" t="s">
        <v>3959</v>
      </c>
      <c r="D447" t="s">
        <v>18120</v>
      </c>
      <c r="E447" t="s">
        <v>18610</v>
      </c>
      <c r="F447" t="s">
        <v>31362</v>
      </c>
      <c r="G447" t="s">
        <v>31368</v>
      </c>
      <c r="H447" t="s">
        <v>15799</v>
      </c>
      <c r="I447" t="s">
        <v>3815</v>
      </c>
      <c r="J447" t="s">
        <v>31876</v>
      </c>
      <c r="K447" t="s">
        <v>40665</v>
      </c>
      <c r="M447" t="s">
        <v>41100</v>
      </c>
      <c r="N447" t="s">
        <v>44905</v>
      </c>
      <c r="O447" t="s">
        <v>44906</v>
      </c>
      <c r="P447">
        <v>0</v>
      </c>
      <c r="Q447">
        <v>0</v>
      </c>
      <c r="R447" t="s">
        <v>44907</v>
      </c>
      <c r="S447" t="s">
        <v>45026</v>
      </c>
      <c r="T447" t="s">
        <v>46409</v>
      </c>
      <c r="U447" t="s">
        <v>47306</v>
      </c>
      <c r="V447" t="s">
        <v>59110</v>
      </c>
      <c r="W447" t="s">
        <v>41100</v>
      </c>
      <c r="X447" t="s">
        <v>44908</v>
      </c>
    </row>
    <row r="448" spans="1:24">
      <c r="A448">
        <f>HYPERLINK("https://www.philgeps.gov.ph/GEPSNONPILOT/Tender/SplashBidNoticeAbstractUI.aspx?menuIndex=3&amp;refID=7082001&amp;Result=3","7082001")</f>
        <v>0</v>
      </c>
      <c r="B448" t="s">
        <v>228</v>
      </c>
      <c r="C448" t="s">
        <v>3960</v>
      </c>
      <c r="D448" t="s">
        <v>18108</v>
      </c>
      <c r="E448" t="s">
        <v>18611</v>
      </c>
      <c r="F448" t="s">
        <v>31362</v>
      </c>
      <c r="G448" t="s">
        <v>31368</v>
      </c>
      <c r="H448" t="s">
        <v>15799</v>
      </c>
      <c r="I448" t="s">
        <v>31380</v>
      </c>
      <c r="J448" t="s">
        <v>31877</v>
      </c>
      <c r="K448" t="s">
        <v>40662</v>
      </c>
      <c r="M448" t="s">
        <v>41167</v>
      </c>
      <c r="N448" t="s">
        <v>44905</v>
      </c>
      <c r="O448" t="s">
        <v>44906</v>
      </c>
      <c r="P448">
        <v>0</v>
      </c>
      <c r="Q448">
        <v>2</v>
      </c>
      <c r="R448" t="s">
        <v>44907</v>
      </c>
      <c r="S448" t="s">
        <v>45026</v>
      </c>
      <c r="T448" t="s">
        <v>46454</v>
      </c>
      <c r="U448" t="s">
        <v>47307</v>
      </c>
      <c r="V448" t="s">
        <v>59111</v>
      </c>
      <c r="W448" t="s">
        <v>41167</v>
      </c>
      <c r="X448" t="s">
        <v>44908</v>
      </c>
    </row>
    <row r="449" spans="1:24">
      <c r="A449">
        <f>HYPERLINK("https://www.philgeps.gov.ph/GEPSNONPILOT/Tender/SplashBidNoticeAbstractUI.aspx?menuIndex=3&amp;refID=7082000&amp;Result=3","7082000")</f>
        <v>0</v>
      </c>
      <c r="B449" t="s">
        <v>229</v>
      </c>
      <c r="C449" t="s">
        <v>3961</v>
      </c>
      <c r="D449" t="s">
        <v>18107</v>
      </c>
      <c r="E449" t="s">
        <v>18612</v>
      </c>
      <c r="F449" t="s">
        <v>31362</v>
      </c>
      <c r="G449" t="s">
        <v>31370</v>
      </c>
      <c r="H449" t="s">
        <v>15799</v>
      </c>
      <c r="I449" t="s">
        <v>31380</v>
      </c>
      <c r="J449" t="s">
        <v>31878</v>
      </c>
      <c r="K449" t="s">
        <v>40693</v>
      </c>
      <c r="M449" t="s">
        <v>41168</v>
      </c>
      <c r="N449" t="s">
        <v>44905</v>
      </c>
      <c r="O449" t="s">
        <v>44906</v>
      </c>
      <c r="P449">
        <v>0</v>
      </c>
      <c r="Q449">
        <v>2</v>
      </c>
      <c r="R449" t="s">
        <v>44907</v>
      </c>
      <c r="S449" t="s">
        <v>45026</v>
      </c>
      <c r="T449" t="s">
        <v>46400</v>
      </c>
      <c r="U449" t="s">
        <v>47308</v>
      </c>
      <c r="V449" t="s">
        <v>59112</v>
      </c>
      <c r="W449" t="s">
        <v>41168</v>
      </c>
      <c r="X449" t="s">
        <v>44908</v>
      </c>
    </row>
    <row r="450" spans="1:24">
      <c r="A450">
        <f>HYPERLINK("https://www.philgeps.gov.ph/GEPSNONPILOT/Tender/SplashBidNoticeAbstractUI.aspx?menuIndex=3&amp;refID=7081998&amp;Result=3","7081998")</f>
        <v>0</v>
      </c>
      <c r="B450" t="s">
        <v>230</v>
      </c>
      <c r="C450" t="s">
        <v>3962</v>
      </c>
      <c r="D450" t="s">
        <v>18130</v>
      </c>
      <c r="E450" t="s">
        <v>18464</v>
      </c>
      <c r="F450" t="s">
        <v>31362</v>
      </c>
      <c r="G450" t="s">
        <v>31368</v>
      </c>
      <c r="H450" t="s">
        <v>15799</v>
      </c>
      <c r="I450" t="s">
        <v>4283</v>
      </c>
      <c r="J450" t="s">
        <v>31879</v>
      </c>
      <c r="K450" t="s">
        <v>40677</v>
      </c>
      <c r="M450" t="s">
        <v>41169</v>
      </c>
      <c r="N450" t="s">
        <v>44905</v>
      </c>
      <c r="O450" t="s">
        <v>44906</v>
      </c>
      <c r="P450">
        <v>0</v>
      </c>
      <c r="Q450">
        <v>1</v>
      </c>
      <c r="R450" t="s">
        <v>44907</v>
      </c>
      <c r="S450" t="s">
        <v>45026</v>
      </c>
      <c r="T450" t="s">
        <v>46410</v>
      </c>
      <c r="U450" t="s">
        <v>47309</v>
      </c>
      <c r="W450" t="s">
        <v>41169</v>
      </c>
      <c r="X450" t="s">
        <v>44908</v>
      </c>
    </row>
    <row r="451" spans="1:24">
      <c r="A451">
        <f>HYPERLINK("https://www.philgeps.gov.ph/GEPSNONPILOT/Tender/SplashBidNoticeAbstractUI.aspx?menuIndex=3&amp;refID=7081976&amp;Result=3","7081976")</f>
        <v>0</v>
      </c>
      <c r="B451" t="s">
        <v>231</v>
      </c>
      <c r="C451" t="s">
        <v>3963</v>
      </c>
      <c r="D451" t="s">
        <v>18161</v>
      </c>
      <c r="E451" t="s">
        <v>18613</v>
      </c>
      <c r="F451" t="s">
        <v>31362</v>
      </c>
      <c r="G451" t="s">
        <v>31368</v>
      </c>
      <c r="H451" t="s">
        <v>15799</v>
      </c>
      <c r="I451" t="s">
        <v>31390</v>
      </c>
      <c r="J451" t="s">
        <v>31880</v>
      </c>
      <c r="K451" t="s">
        <v>40679</v>
      </c>
      <c r="M451" t="s">
        <v>41170</v>
      </c>
      <c r="N451" t="s">
        <v>44905</v>
      </c>
      <c r="O451" t="s">
        <v>44906</v>
      </c>
      <c r="P451">
        <v>0</v>
      </c>
      <c r="Q451">
        <v>1</v>
      </c>
      <c r="R451" t="s">
        <v>44907</v>
      </c>
      <c r="S451" t="s">
        <v>45026</v>
      </c>
      <c r="T451" t="s">
        <v>46412</v>
      </c>
      <c r="U451" t="s">
        <v>47310</v>
      </c>
      <c r="W451" t="s">
        <v>41170</v>
      </c>
      <c r="X451" t="s">
        <v>44908</v>
      </c>
    </row>
    <row r="452" spans="1:24">
      <c r="A452">
        <f>HYPERLINK("https://www.philgeps.gov.ph/GEPSNONPILOT/Tender/SplashBidNoticeAbstractUI.aspx?menuIndex=3&amp;refID=7081997&amp;Result=3","7081997")</f>
        <v>0</v>
      </c>
      <c r="B452" t="s">
        <v>232</v>
      </c>
      <c r="C452" t="s">
        <v>3964</v>
      </c>
      <c r="D452" t="s">
        <v>18101</v>
      </c>
      <c r="E452" t="s">
        <v>18614</v>
      </c>
      <c r="F452" t="s">
        <v>31362</v>
      </c>
      <c r="G452" t="s">
        <v>31368</v>
      </c>
      <c r="H452" t="s">
        <v>15799</v>
      </c>
      <c r="I452" t="s">
        <v>7188</v>
      </c>
      <c r="J452" t="s">
        <v>31881</v>
      </c>
      <c r="K452" t="s">
        <v>40661</v>
      </c>
      <c r="M452" t="s">
        <v>41171</v>
      </c>
      <c r="N452" t="s">
        <v>44905</v>
      </c>
      <c r="O452" t="s">
        <v>44906</v>
      </c>
      <c r="P452">
        <v>0</v>
      </c>
      <c r="Q452">
        <v>0</v>
      </c>
      <c r="R452" t="s">
        <v>44907</v>
      </c>
      <c r="S452" t="s">
        <v>45026</v>
      </c>
      <c r="T452" t="s">
        <v>46409</v>
      </c>
      <c r="U452" t="s">
        <v>47311</v>
      </c>
      <c r="W452" t="s">
        <v>41171</v>
      </c>
      <c r="X452" t="s">
        <v>44908</v>
      </c>
    </row>
    <row r="453" spans="1:24">
      <c r="A453">
        <f>HYPERLINK("https://www.philgeps.gov.ph/GEPSNONPILOT/Tender/SplashBidNoticeAbstractUI.aspx?menuIndex=3&amp;refID=7081979&amp;Result=3","7081979")</f>
        <v>0</v>
      </c>
      <c r="B453" t="s">
        <v>221</v>
      </c>
      <c r="C453" t="s">
        <v>3965</v>
      </c>
      <c r="D453" t="s">
        <v>18127</v>
      </c>
      <c r="E453" t="s">
        <v>18201</v>
      </c>
      <c r="F453" t="s">
        <v>31362</v>
      </c>
      <c r="G453" t="s">
        <v>31372</v>
      </c>
      <c r="H453" t="s">
        <v>15799</v>
      </c>
      <c r="I453" t="s">
        <v>3815</v>
      </c>
      <c r="J453" t="s">
        <v>31882</v>
      </c>
      <c r="K453" t="s">
        <v>40665</v>
      </c>
      <c r="M453" t="s">
        <v>41160</v>
      </c>
      <c r="N453" t="s">
        <v>44905</v>
      </c>
      <c r="O453" t="s">
        <v>44906</v>
      </c>
      <c r="P453">
        <v>0</v>
      </c>
      <c r="Q453">
        <v>0</v>
      </c>
      <c r="R453" t="s">
        <v>44907</v>
      </c>
      <c r="S453" t="s">
        <v>45026</v>
      </c>
      <c r="T453" t="s">
        <v>46486</v>
      </c>
      <c r="U453" t="s">
        <v>47312</v>
      </c>
      <c r="W453" t="s">
        <v>41160</v>
      </c>
      <c r="X453" t="s">
        <v>44908</v>
      </c>
    </row>
    <row r="454" spans="1:24">
      <c r="A454">
        <f>HYPERLINK("https://www.philgeps.gov.ph/GEPSNONPILOT/Tender/SplashBidNoticeAbstractUI.aspx?menuIndex=3&amp;refID=7081996&amp;Result=3","7081996")</f>
        <v>0</v>
      </c>
      <c r="B454" t="s">
        <v>182</v>
      </c>
      <c r="C454" t="s">
        <v>3966</v>
      </c>
      <c r="D454" t="s">
        <v>18101</v>
      </c>
      <c r="E454" t="s">
        <v>18615</v>
      </c>
      <c r="F454" t="s">
        <v>31362</v>
      </c>
      <c r="G454" t="s">
        <v>31370</v>
      </c>
      <c r="H454" t="s">
        <v>15799</v>
      </c>
      <c r="I454" t="s">
        <v>31419</v>
      </c>
      <c r="J454" t="s">
        <v>31541</v>
      </c>
      <c r="K454" t="s">
        <v>40662</v>
      </c>
      <c r="M454" t="s">
        <v>41120</v>
      </c>
      <c r="N454" t="s">
        <v>44905</v>
      </c>
      <c r="O454" t="s">
        <v>44906</v>
      </c>
      <c r="P454">
        <v>0</v>
      </c>
      <c r="Q454">
        <v>1</v>
      </c>
      <c r="R454" t="s">
        <v>44907</v>
      </c>
      <c r="S454" t="s">
        <v>45026</v>
      </c>
      <c r="T454" t="s">
        <v>46434</v>
      </c>
      <c r="U454" t="s">
        <v>47313</v>
      </c>
      <c r="W454" t="s">
        <v>60840</v>
      </c>
      <c r="X454" t="s">
        <v>44908</v>
      </c>
    </row>
    <row r="455" spans="1:24">
      <c r="A455">
        <f>HYPERLINK("https://www.philgeps.gov.ph/GEPSNONPILOT/Tender/SplashBidNoticeAbstractUI.aspx?menuIndex=3&amp;refID=7082037&amp;Result=3","7082037")</f>
        <v>0</v>
      </c>
      <c r="B455" t="s">
        <v>233</v>
      </c>
      <c r="C455" t="s">
        <v>3967</v>
      </c>
      <c r="D455" t="s">
        <v>18108</v>
      </c>
      <c r="E455" t="s">
        <v>18616</v>
      </c>
      <c r="F455" t="s">
        <v>31362</v>
      </c>
      <c r="G455" t="s">
        <v>31368</v>
      </c>
      <c r="H455" t="s">
        <v>15799</v>
      </c>
      <c r="I455" t="s">
        <v>31388</v>
      </c>
      <c r="J455" t="s">
        <v>31883</v>
      </c>
      <c r="K455" t="s">
        <v>40672</v>
      </c>
      <c r="M455" t="s">
        <v>41172</v>
      </c>
      <c r="N455" t="s">
        <v>44905</v>
      </c>
      <c r="O455" t="s">
        <v>44906</v>
      </c>
      <c r="P455">
        <v>0</v>
      </c>
      <c r="Q455">
        <v>4</v>
      </c>
      <c r="R455" t="s">
        <v>44907</v>
      </c>
      <c r="S455" t="s">
        <v>45026</v>
      </c>
      <c r="T455" t="s">
        <v>46480</v>
      </c>
      <c r="U455" t="s">
        <v>47314</v>
      </c>
      <c r="W455" t="s">
        <v>41172</v>
      </c>
      <c r="X455" t="s">
        <v>44908</v>
      </c>
    </row>
    <row r="456" spans="1:24">
      <c r="A456">
        <f>HYPERLINK("https://www.philgeps.gov.ph/GEPSNONPILOT/Tender/SplashBidNoticeAbstractUI.aspx?menuIndex=3&amp;refID=7082003&amp;Result=3","7082003")</f>
        <v>0</v>
      </c>
      <c r="B456" t="s">
        <v>234</v>
      </c>
      <c r="C456" t="s">
        <v>3968</v>
      </c>
      <c r="D456" t="s">
        <v>18108</v>
      </c>
      <c r="E456" t="s">
        <v>18617</v>
      </c>
      <c r="F456" t="s">
        <v>31362</v>
      </c>
      <c r="G456" t="s">
        <v>31368</v>
      </c>
      <c r="H456" t="s">
        <v>15799</v>
      </c>
      <c r="I456" t="s">
        <v>31431</v>
      </c>
      <c r="J456" t="s">
        <v>31884</v>
      </c>
      <c r="K456" t="s">
        <v>40665</v>
      </c>
      <c r="M456" t="s">
        <v>41173</v>
      </c>
      <c r="N456" t="s">
        <v>44905</v>
      </c>
      <c r="O456" t="s">
        <v>44906</v>
      </c>
      <c r="P456">
        <v>0</v>
      </c>
      <c r="Q456">
        <v>2</v>
      </c>
      <c r="R456" t="s">
        <v>44907</v>
      </c>
      <c r="S456" t="s">
        <v>45026</v>
      </c>
      <c r="T456" t="s">
        <v>46493</v>
      </c>
      <c r="U456" t="s">
        <v>47315</v>
      </c>
      <c r="W456" t="s">
        <v>41173</v>
      </c>
      <c r="X456" t="s">
        <v>44908</v>
      </c>
    </row>
    <row r="457" spans="1:24">
      <c r="A457">
        <f>HYPERLINK("https://www.philgeps.gov.ph/GEPSNONPILOT/Tender/SplashBidNoticeAbstractUI.aspx?menuIndex=3&amp;refID=7082031&amp;Result=3","7082031")</f>
        <v>0</v>
      </c>
      <c r="B457" t="s">
        <v>235</v>
      </c>
      <c r="C457" t="s">
        <v>3969</v>
      </c>
      <c r="D457" t="s">
        <v>18100</v>
      </c>
      <c r="E457" t="s">
        <v>18618</v>
      </c>
      <c r="F457" t="s">
        <v>31362</v>
      </c>
      <c r="G457" t="s">
        <v>31368</v>
      </c>
      <c r="H457" t="s">
        <v>15799</v>
      </c>
      <c r="I457" t="s">
        <v>31393</v>
      </c>
      <c r="J457" t="s">
        <v>31536</v>
      </c>
      <c r="K457" t="s">
        <v>40661</v>
      </c>
      <c r="M457" t="s">
        <v>41174</v>
      </c>
      <c r="N457" t="s">
        <v>44905</v>
      </c>
      <c r="O457" t="s">
        <v>44906</v>
      </c>
      <c r="P457">
        <v>0</v>
      </c>
      <c r="Q457">
        <v>1</v>
      </c>
      <c r="R457" t="s">
        <v>44907</v>
      </c>
      <c r="S457" t="s">
        <v>45026</v>
      </c>
      <c r="T457" t="s">
        <v>46408</v>
      </c>
      <c r="U457" t="s">
        <v>47316</v>
      </c>
      <c r="W457" t="s">
        <v>41174</v>
      </c>
      <c r="X457" t="s">
        <v>44908</v>
      </c>
    </row>
    <row r="458" spans="1:24">
      <c r="A458">
        <f>HYPERLINK("https://www.philgeps.gov.ph/GEPSNONPILOT/Tender/SplashBidNoticeAbstractUI.aspx?menuIndex=3&amp;refID=7082009&amp;Result=3","7082009")</f>
        <v>0</v>
      </c>
      <c r="B458" t="s">
        <v>236</v>
      </c>
      <c r="C458" t="s">
        <v>3970</v>
      </c>
      <c r="D458" t="s">
        <v>18127</v>
      </c>
      <c r="E458" t="s">
        <v>18203</v>
      </c>
      <c r="F458" t="s">
        <v>31362</v>
      </c>
      <c r="G458" t="s">
        <v>31372</v>
      </c>
      <c r="H458" t="s">
        <v>15799</v>
      </c>
      <c r="I458" t="s">
        <v>3815</v>
      </c>
      <c r="J458" t="s">
        <v>31885</v>
      </c>
      <c r="K458" t="s">
        <v>40665</v>
      </c>
      <c r="M458" t="s">
        <v>41175</v>
      </c>
      <c r="N458" t="s">
        <v>44905</v>
      </c>
      <c r="O458" t="s">
        <v>44906</v>
      </c>
      <c r="P458">
        <v>0</v>
      </c>
      <c r="Q458">
        <v>0</v>
      </c>
      <c r="R458" t="s">
        <v>44907</v>
      </c>
      <c r="S458" t="s">
        <v>45026</v>
      </c>
      <c r="T458" t="s">
        <v>46486</v>
      </c>
      <c r="U458" t="s">
        <v>47317</v>
      </c>
      <c r="W458" t="s">
        <v>41175</v>
      </c>
      <c r="X458" t="s">
        <v>44908</v>
      </c>
    </row>
    <row r="459" spans="1:24">
      <c r="A459">
        <f>HYPERLINK("https://www.philgeps.gov.ph/GEPSNONPILOT/Tender/SplashBidNoticeAbstractUI.aspx?menuIndex=3&amp;refID=7081975&amp;Result=3","7081975")</f>
        <v>0</v>
      </c>
      <c r="B459" t="s">
        <v>155</v>
      </c>
      <c r="C459" t="s">
        <v>3971</v>
      </c>
      <c r="D459" t="s">
        <v>18108</v>
      </c>
      <c r="E459" t="s">
        <v>18619</v>
      </c>
      <c r="F459" t="s">
        <v>31362</v>
      </c>
      <c r="G459" t="s">
        <v>31368</v>
      </c>
      <c r="H459" t="s">
        <v>15799</v>
      </c>
      <c r="I459" t="s">
        <v>31393</v>
      </c>
      <c r="J459" t="s">
        <v>31886</v>
      </c>
      <c r="K459" t="s">
        <v>40662</v>
      </c>
      <c r="M459" t="s">
        <v>41093</v>
      </c>
      <c r="N459" t="s">
        <v>44905</v>
      </c>
      <c r="O459" t="s">
        <v>44906</v>
      </c>
      <c r="P459">
        <v>0</v>
      </c>
      <c r="Q459">
        <v>12</v>
      </c>
      <c r="R459" t="s">
        <v>44907</v>
      </c>
      <c r="S459" t="s">
        <v>45026</v>
      </c>
      <c r="T459" t="s">
        <v>46473</v>
      </c>
      <c r="U459" t="s">
        <v>47318</v>
      </c>
      <c r="W459" t="s">
        <v>41093</v>
      </c>
      <c r="X459" t="s">
        <v>44908</v>
      </c>
    </row>
    <row r="460" spans="1:24">
      <c r="A460">
        <f>HYPERLINK("https://www.philgeps.gov.ph/GEPSNONPILOT/Tender/SplashBidNoticeAbstractUI.aspx?menuIndex=3&amp;refID=7082030&amp;Result=3","7082030")</f>
        <v>0</v>
      </c>
      <c r="B460" t="s">
        <v>231</v>
      </c>
      <c r="C460" t="s">
        <v>3972</v>
      </c>
      <c r="D460" t="s">
        <v>18161</v>
      </c>
      <c r="E460" t="s">
        <v>18620</v>
      </c>
      <c r="F460" t="s">
        <v>31362</v>
      </c>
      <c r="G460" t="s">
        <v>31368</v>
      </c>
      <c r="H460" t="s">
        <v>15799</v>
      </c>
      <c r="I460" t="s">
        <v>31393</v>
      </c>
      <c r="J460" t="s">
        <v>31668</v>
      </c>
      <c r="K460" t="s">
        <v>40661</v>
      </c>
      <c r="M460" t="s">
        <v>41170</v>
      </c>
      <c r="N460" t="s">
        <v>44905</v>
      </c>
      <c r="O460" t="s">
        <v>44906</v>
      </c>
      <c r="P460">
        <v>0</v>
      </c>
      <c r="Q460">
        <v>0</v>
      </c>
      <c r="R460" t="s">
        <v>44907</v>
      </c>
      <c r="S460" t="s">
        <v>45026</v>
      </c>
      <c r="T460" t="s">
        <v>46400</v>
      </c>
      <c r="U460" t="s">
        <v>47319</v>
      </c>
      <c r="W460" t="s">
        <v>41170</v>
      </c>
      <c r="X460" t="s">
        <v>44908</v>
      </c>
    </row>
    <row r="461" spans="1:24">
      <c r="A461">
        <f>HYPERLINK("https://www.philgeps.gov.ph/GEPSNONPILOT/Tender/SplashBidNoticeAbstractUI.aspx?menuIndex=3&amp;refID=7082036&amp;Result=3","7082036")</f>
        <v>0</v>
      </c>
      <c r="B461" t="s">
        <v>237</v>
      </c>
      <c r="C461" t="s">
        <v>3973</v>
      </c>
      <c r="D461" t="s">
        <v>18108</v>
      </c>
      <c r="E461" t="s">
        <v>18621</v>
      </c>
      <c r="F461" t="s">
        <v>31362</v>
      </c>
      <c r="G461" t="s">
        <v>31370</v>
      </c>
      <c r="H461" t="s">
        <v>15799</v>
      </c>
      <c r="I461" t="s">
        <v>7090</v>
      </c>
      <c r="J461" t="s">
        <v>31884</v>
      </c>
      <c r="K461" t="s">
        <v>40670</v>
      </c>
      <c r="M461" t="s">
        <v>41176</v>
      </c>
      <c r="N461" t="s">
        <v>44905</v>
      </c>
      <c r="O461" t="s">
        <v>44906</v>
      </c>
      <c r="P461">
        <v>0</v>
      </c>
      <c r="Q461">
        <v>1</v>
      </c>
      <c r="R461" t="s">
        <v>44907</v>
      </c>
      <c r="S461" t="s">
        <v>45026</v>
      </c>
      <c r="T461" t="s">
        <v>46494</v>
      </c>
      <c r="U461" t="s">
        <v>47320</v>
      </c>
      <c r="V461" t="s">
        <v>59113</v>
      </c>
      <c r="W461" t="s">
        <v>41176</v>
      </c>
      <c r="X461" t="s">
        <v>44908</v>
      </c>
    </row>
    <row r="462" spans="1:24">
      <c r="A462">
        <f>HYPERLINK("https://www.philgeps.gov.ph/GEPSNONPILOT/Tender/SplashBidNoticeAbstractUI.aspx?menuIndex=3&amp;refID=7082026&amp;Result=3","7082026")</f>
        <v>0</v>
      </c>
      <c r="B462" t="s">
        <v>61</v>
      </c>
      <c r="C462" t="s">
        <v>3974</v>
      </c>
      <c r="D462" t="s">
        <v>18124</v>
      </c>
      <c r="E462" t="s">
        <v>18622</v>
      </c>
      <c r="F462" t="s">
        <v>31362</v>
      </c>
      <c r="G462" t="s">
        <v>31368</v>
      </c>
      <c r="H462" t="s">
        <v>15799</v>
      </c>
      <c r="I462" t="s">
        <v>31385</v>
      </c>
      <c r="J462" t="s">
        <v>31561</v>
      </c>
      <c r="K462" t="s">
        <v>40679</v>
      </c>
      <c r="M462" t="s">
        <v>40996</v>
      </c>
      <c r="N462" t="s">
        <v>44905</v>
      </c>
      <c r="O462" t="s">
        <v>44906</v>
      </c>
      <c r="P462">
        <v>0</v>
      </c>
      <c r="Q462">
        <v>0</v>
      </c>
      <c r="R462" t="s">
        <v>44907</v>
      </c>
      <c r="S462" t="s">
        <v>45026</v>
      </c>
      <c r="T462" t="s">
        <v>46396</v>
      </c>
      <c r="U462" t="s">
        <v>46986</v>
      </c>
      <c r="W462" t="s">
        <v>40996</v>
      </c>
      <c r="X462" t="s">
        <v>44908</v>
      </c>
    </row>
    <row r="463" spans="1:24">
      <c r="A463">
        <f>HYPERLINK("https://www.philgeps.gov.ph/GEPSNONPILOT/Tender/SplashBidNoticeAbstractUI.aspx?menuIndex=3&amp;refID=7082024&amp;Result=3","7082024")</f>
        <v>0</v>
      </c>
      <c r="B463" t="s">
        <v>87</v>
      </c>
      <c r="C463" t="s">
        <v>3975</v>
      </c>
      <c r="D463" t="s">
        <v>18109</v>
      </c>
      <c r="E463" t="s">
        <v>18623</v>
      </c>
      <c r="F463" t="s">
        <v>31362</v>
      </c>
      <c r="G463" t="s">
        <v>31368</v>
      </c>
      <c r="H463" t="s">
        <v>15799</v>
      </c>
      <c r="I463" t="s">
        <v>31429</v>
      </c>
      <c r="J463" t="s">
        <v>31887</v>
      </c>
      <c r="K463" t="s">
        <v>40661</v>
      </c>
      <c r="M463" t="s">
        <v>41023</v>
      </c>
      <c r="N463" t="s">
        <v>44905</v>
      </c>
      <c r="O463" t="s">
        <v>44906</v>
      </c>
      <c r="P463">
        <v>0</v>
      </c>
      <c r="Q463">
        <v>1</v>
      </c>
      <c r="R463" t="s">
        <v>44907</v>
      </c>
      <c r="S463" t="s">
        <v>45026</v>
      </c>
      <c r="T463" t="s">
        <v>46435</v>
      </c>
      <c r="U463" t="s">
        <v>47051</v>
      </c>
      <c r="W463" t="s">
        <v>60832</v>
      </c>
      <c r="X463" t="s">
        <v>44908</v>
      </c>
    </row>
    <row r="464" spans="1:24">
      <c r="A464">
        <f>HYPERLINK("https://www.philgeps.gov.ph/GEPSNONPILOT/Tender/SplashBidNoticeAbstractUI.aspx?menuIndex=3&amp;refID=7082032&amp;Result=3","7082032")</f>
        <v>0</v>
      </c>
      <c r="B464" t="s">
        <v>238</v>
      </c>
      <c r="C464" t="s">
        <v>3976</v>
      </c>
      <c r="D464" t="s">
        <v>18163</v>
      </c>
      <c r="E464" t="s">
        <v>18624</v>
      </c>
      <c r="F464" t="s">
        <v>31362</v>
      </c>
      <c r="G464" t="s">
        <v>31368</v>
      </c>
      <c r="H464" t="s">
        <v>15799</v>
      </c>
      <c r="I464" t="s">
        <v>3815</v>
      </c>
      <c r="J464" t="s">
        <v>31888</v>
      </c>
      <c r="K464" t="s">
        <v>40666</v>
      </c>
      <c r="M464" t="s">
        <v>41177</v>
      </c>
      <c r="N464" t="s">
        <v>44905</v>
      </c>
      <c r="O464" t="s">
        <v>44906</v>
      </c>
      <c r="P464">
        <v>0</v>
      </c>
      <c r="Q464">
        <v>0</v>
      </c>
      <c r="R464" t="s">
        <v>44907</v>
      </c>
      <c r="S464" t="s">
        <v>45026</v>
      </c>
      <c r="T464" t="s">
        <v>46409</v>
      </c>
      <c r="U464" t="s">
        <v>47321</v>
      </c>
      <c r="W464" t="s">
        <v>41177</v>
      </c>
      <c r="X464" t="s">
        <v>44908</v>
      </c>
    </row>
    <row r="465" spans="1:24">
      <c r="A465">
        <f>HYPERLINK("https://www.philgeps.gov.ph/GEPSNONPILOT/Tender/SplashBidNoticeAbstractUI.aspx?menuIndex=3&amp;refID=7082022&amp;Result=3","7082022")</f>
        <v>0</v>
      </c>
      <c r="B465" t="s">
        <v>230</v>
      </c>
      <c r="C465" t="s">
        <v>3977</v>
      </c>
      <c r="D465" t="s">
        <v>18130</v>
      </c>
      <c r="E465" t="s">
        <v>18625</v>
      </c>
      <c r="F465" t="s">
        <v>31362</v>
      </c>
      <c r="G465" t="s">
        <v>31368</v>
      </c>
      <c r="H465" t="s">
        <v>15799</v>
      </c>
      <c r="I465" t="s">
        <v>31430</v>
      </c>
      <c r="J465" t="s">
        <v>31889</v>
      </c>
      <c r="K465" t="s">
        <v>40677</v>
      </c>
      <c r="M465" t="s">
        <v>41169</v>
      </c>
      <c r="N465" t="s">
        <v>44905</v>
      </c>
      <c r="O465" t="s">
        <v>44906</v>
      </c>
      <c r="P465">
        <v>0</v>
      </c>
      <c r="Q465">
        <v>0</v>
      </c>
      <c r="R465" t="s">
        <v>44907</v>
      </c>
      <c r="S465" t="s">
        <v>45026</v>
      </c>
      <c r="T465" t="s">
        <v>46410</v>
      </c>
      <c r="U465" t="s">
        <v>47322</v>
      </c>
      <c r="W465" t="s">
        <v>41169</v>
      </c>
      <c r="X465" t="s">
        <v>44908</v>
      </c>
    </row>
    <row r="466" spans="1:24">
      <c r="A466">
        <f>HYPERLINK("https://www.philgeps.gov.ph/GEPSNONPILOT/Tender/SplashBidNoticeAbstractUI.aspx?menuIndex=3&amp;refID=7082021&amp;Result=3","7082021")</f>
        <v>0</v>
      </c>
      <c r="B466" t="s">
        <v>236</v>
      </c>
      <c r="C466" t="s">
        <v>3978</v>
      </c>
      <c r="D466" t="s">
        <v>18127</v>
      </c>
      <c r="E466" t="s">
        <v>18203</v>
      </c>
      <c r="F466" t="s">
        <v>31362</v>
      </c>
      <c r="G466" t="s">
        <v>31370</v>
      </c>
      <c r="H466" t="s">
        <v>15799</v>
      </c>
      <c r="I466" t="s">
        <v>7090</v>
      </c>
      <c r="J466" t="s">
        <v>31890</v>
      </c>
      <c r="K466" t="s">
        <v>40661</v>
      </c>
      <c r="M466" t="s">
        <v>41175</v>
      </c>
      <c r="N466" t="s">
        <v>44905</v>
      </c>
      <c r="O466" t="s">
        <v>44906</v>
      </c>
      <c r="P466">
        <v>0</v>
      </c>
      <c r="Q466">
        <v>0</v>
      </c>
      <c r="R466" t="s">
        <v>44907</v>
      </c>
      <c r="S466" t="s">
        <v>45026</v>
      </c>
      <c r="T466" t="s">
        <v>46432</v>
      </c>
      <c r="U466" t="s">
        <v>47323</v>
      </c>
      <c r="W466" t="s">
        <v>41175</v>
      </c>
      <c r="X466" t="s">
        <v>44908</v>
      </c>
    </row>
    <row r="467" spans="1:24">
      <c r="A467">
        <f>HYPERLINK("https://www.philgeps.gov.ph/GEPSNONPILOT/Tender/SplashBidNoticeAbstractUI.aspx?menuIndex=3&amp;refID=7082019&amp;Result=3","7082019")</f>
        <v>0</v>
      </c>
      <c r="B467" t="s">
        <v>191</v>
      </c>
      <c r="C467" t="s">
        <v>3979</v>
      </c>
      <c r="D467" t="s">
        <v>18154</v>
      </c>
      <c r="E467" t="s">
        <v>18626</v>
      </c>
      <c r="F467" t="s">
        <v>31362</v>
      </c>
      <c r="G467" t="s">
        <v>31370</v>
      </c>
      <c r="H467" t="s">
        <v>15799</v>
      </c>
      <c r="I467" t="s">
        <v>31437</v>
      </c>
      <c r="J467" t="s">
        <v>31891</v>
      </c>
      <c r="K467" t="s">
        <v>40661</v>
      </c>
      <c r="M467" t="s">
        <v>41129</v>
      </c>
      <c r="N467" t="s">
        <v>44905</v>
      </c>
      <c r="O467" t="s">
        <v>44906</v>
      </c>
      <c r="P467">
        <v>0</v>
      </c>
      <c r="Q467">
        <v>0</v>
      </c>
      <c r="R467" t="s">
        <v>44907</v>
      </c>
      <c r="S467" t="s">
        <v>45026</v>
      </c>
      <c r="T467" t="s">
        <v>46434</v>
      </c>
      <c r="U467" t="s">
        <v>47324</v>
      </c>
      <c r="W467" t="s">
        <v>41129</v>
      </c>
      <c r="X467" t="s">
        <v>44908</v>
      </c>
    </row>
    <row r="468" spans="1:24">
      <c r="A468">
        <f>HYPERLINK("https://www.philgeps.gov.ph/GEPSNONPILOT/Tender/SplashBidNoticeAbstractUI.aspx?menuIndex=3&amp;refID=7082018&amp;Result=3","7082018")</f>
        <v>0</v>
      </c>
      <c r="B468" t="s">
        <v>212</v>
      </c>
      <c r="C468" t="s">
        <v>3980</v>
      </c>
      <c r="D468" t="s">
        <v>18162</v>
      </c>
      <c r="E468" t="s">
        <v>18627</v>
      </c>
      <c r="F468" t="s">
        <v>31362</v>
      </c>
      <c r="G468" t="s">
        <v>31368</v>
      </c>
      <c r="H468" t="s">
        <v>15799</v>
      </c>
      <c r="I468" t="s">
        <v>31404</v>
      </c>
      <c r="J468" t="s">
        <v>31892</v>
      </c>
      <c r="K468" t="s">
        <v>40670</v>
      </c>
      <c r="M468" t="s">
        <v>41151</v>
      </c>
      <c r="N468" t="s">
        <v>44905</v>
      </c>
      <c r="O468" t="s">
        <v>44906</v>
      </c>
      <c r="P468">
        <v>0</v>
      </c>
      <c r="Q468">
        <v>0</v>
      </c>
      <c r="R468" t="s">
        <v>44907</v>
      </c>
      <c r="S468" t="s">
        <v>45026</v>
      </c>
      <c r="T468" t="s">
        <v>46438</v>
      </c>
      <c r="U468" t="s">
        <v>47325</v>
      </c>
      <c r="V468" t="s">
        <v>59104</v>
      </c>
      <c r="W468" t="s">
        <v>41151</v>
      </c>
      <c r="X468" t="s">
        <v>44908</v>
      </c>
    </row>
    <row r="469" spans="1:24">
      <c r="A469">
        <f>HYPERLINK("https://www.philgeps.gov.ph/GEPSNONPILOT/Tender/SplashBidNoticeAbstractUI.aspx?menuIndex=3&amp;refID=7082017&amp;Result=3","7082017")</f>
        <v>0</v>
      </c>
      <c r="B469" t="s">
        <v>189</v>
      </c>
      <c r="C469" t="s">
        <v>3887</v>
      </c>
      <c r="D469" t="s">
        <v>18125</v>
      </c>
      <c r="E469" t="s">
        <v>18628</v>
      </c>
      <c r="F469" t="s">
        <v>31362</v>
      </c>
      <c r="G469" t="s">
        <v>31368</v>
      </c>
      <c r="H469" t="s">
        <v>15799</v>
      </c>
      <c r="I469" t="s">
        <v>6155</v>
      </c>
      <c r="J469" t="s">
        <v>31578</v>
      </c>
      <c r="K469" t="s">
        <v>40665</v>
      </c>
      <c r="M469" t="s">
        <v>41127</v>
      </c>
      <c r="N469" t="s">
        <v>44905</v>
      </c>
      <c r="O469" t="s">
        <v>44906</v>
      </c>
      <c r="P469">
        <v>0</v>
      </c>
      <c r="Q469">
        <v>7</v>
      </c>
      <c r="R469" t="s">
        <v>44907</v>
      </c>
      <c r="S469" t="s">
        <v>45026</v>
      </c>
      <c r="T469" t="s">
        <v>46434</v>
      </c>
      <c r="U469" t="s">
        <v>47326</v>
      </c>
      <c r="V469" t="s">
        <v>59093</v>
      </c>
      <c r="W469" t="s">
        <v>41127</v>
      </c>
      <c r="X469" t="s">
        <v>44908</v>
      </c>
    </row>
    <row r="470" spans="1:24">
      <c r="A470">
        <f>HYPERLINK("https://www.philgeps.gov.ph/GEPSNONPILOT/Tender/SplashBidNoticeAbstractUI.aspx?menuIndex=3&amp;refID=7082027&amp;Result=3","7082027")</f>
        <v>0</v>
      </c>
      <c r="B470" t="s">
        <v>239</v>
      </c>
      <c r="C470" t="s">
        <v>3981</v>
      </c>
      <c r="D470" t="s">
        <v>18127</v>
      </c>
      <c r="E470" t="s">
        <v>18203</v>
      </c>
      <c r="F470" t="s">
        <v>31362</v>
      </c>
      <c r="G470" t="s">
        <v>31370</v>
      </c>
      <c r="H470" t="s">
        <v>15799</v>
      </c>
      <c r="I470" t="s">
        <v>7188</v>
      </c>
      <c r="J470" t="s">
        <v>31893</v>
      </c>
      <c r="K470" t="s">
        <v>40661</v>
      </c>
      <c r="M470" t="s">
        <v>41178</v>
      </c>
      <c r="N470" t="s">
        <v>44905</v>
      </c>
      <c r="O470" t="s">
        <v>44906</v>
      </c>
      <c r="P470">
        <v>0</v>
      </c>
      <c r="Q470">
        <v>0</v>
      </c>
      <c r="R470" t="s">
        <v>44907</v>
      </c>
      <c r="S470" t="s">
        <v>45026</v>
      </c>
      <c r="T470" t="s">
        <v>46432</v>
      </c>
      <c r="U470" t="s">
        <v>47327</v>
      </c>
      <c r="W470" t="s">
        <v>41178</v>
      </c>
      <c r="X470" t="s">
        <v>44908</v>
      </c>
    </row>
    <row r="471" spans="1:24">
      <c r="A471">
        <f>HYPERLINK("https://www.philgeps.gov.ph/GEPSNONPILOT/Tender/SplashBidNoticeAbstractUI.aspx?menuIndex=3&amp;refID=7082014&amp;Result=3","7082014")</f>
        <v>0</v>
      </c>
      <c r="B471" t="s">
        <v>240</v>
      </c>
      <c r="C471" t="s">
        <v>3982</v>
      </c>
      <c r="D471" t="s">
        <v>18122</v>
      </c>
      <c r="E471" t="s">
        <v>18629</v>
      </c>
      <c r="F471" t="s">
        <v>31362</v>
      </c>
      <c r="G471" t="s">
        <v>31368</v>
      </c>
      <c r="H471" t="s">
        <v>15799</v>
      </c>
      <c r="I471" t="s">
        <v>31387</v>
      </c>
      <c r="J471" t="s">
        <v>31894</v>
      </c>
      <c r="K471" t="s">
        <v>40665</v>
      </c>
      <c r="M471" t="s">
        <v>41179</v>
      </c>
      <c r="N471" t="s">
        <v>44905</v>
      </c>
      <c r="O471" t="s">
        <v>44906</v>
      </c>
      <c r="P471">
        <v>0</v>
      </c>
      <c r="Q471">
        <v>0</v>
      </c>
      <c r="R471" t="s">
        <v>44907</v>
      </c>
      <c r="S471" t="s">
        <v>45026</v>
      </c>
      <c r="T471" t="s">
        <v>46495</v>
      </c>
      <c r="U471" t="s">
        <v>47328</v>
      </c>
      <c r="V471" t="s">
        <v>59114</v>
      </c>
      <c r="W471" t="s">
        <v>41179</v>
      </c>
      <c r="X471" t="s">
        <v>44908</v>
      </c>
    </row>
    <row r="472" spans="1:24">
      <c r="A472">
        <f>HYPERLINK("https://www.philgeps.gov.ph/GEPSNONPILOT/Tender/SplashBidNoticeAbstractUI.aspx?menuIndex=3&amp;refID=7082025&amp;Result=3","7082025")</f>
        <v>0</v>
      </c>
      <c r="B472" t="s">
        <v>241</v>
      </c>
      <c r="C472" t="s">
        <v>3983</v>
      </c>
      <c r="D472" t="s">
        <v>18143</v>
      </c>
      <c r="E472" t="s">
        <v>18630</v>
      </c>
      <c r="F472" t="s">
        <v>31362</v>
      </c>
      <c r="G472" t="s">
        <v>31369</v>
      </c>
      <c r="H472" t="s">
        <v>31378</v>
      </c>
      <c r="I472" t="s">
        <v>31386</v>
      </c>
      <c r="J472" t="s">
        <v>31895</v>
      </c>
      <c r="K472" t="s">
        <v>40678</v>
      </c>
      <c r="M472" t="s">
        <v>41180</v>
      </c>
      <c r="N472" t="s">
        <v>44905</v>
      </c>
      <c r="O472" t="s">
        <v>44906</v>
      </c>
      <c r="P472">
        <v>0</v>
      </c>
      <c r="Q472">
        <v>0</v>
      </c>
      <c r="R472" t="s">
        <v>44907</v>
      </c>
      <c r="S472" t="s">
        <v>45026</v>
      </c>
      <c r="T472" t="s">
        <v>46496</v>
      </c>
      <c r="U472" t="s">
        <v>47329</v>
      </c>
      <c r="V472" t="s">
        <v>59115</v>
      </c>
      <c r="W472" t="s">
        <v>41180</v>
      </c>
      <c r="X472" t="s">
        <v>44908</v>
      </c>
    </row>
    <row r="473" spans="1:24">
      <c r="A473">
        <f>HYPERLINK("https://www.philgeps.gov.ph/GEPSNONPILOT/Tender/SplashBidNoticeAbstractUI.aspx?menuIndex=3&amp;refID=7082012&amp;Result=3","7082012")</f>
        <v>0</v>
      </c>
      <c r="B473" t="s">
        <v>242</v>
      </c>
      <c r="C473" t="s">
        <v>3984</v>
      </c>
      <c r="E473" t="s">
        <v>18631</v>
      </c>
      <c r="F473" t="s">
        <v>31362</v>
      </c>
      <c r="G473" t="s">
        <v>31371</v>
      </c>
      <c r="H473" t="s">
        <v>15799</v>
      </c>
      <c r="I473" t="s">
        <v>31390</v>
      </c>
      <c r="J473" t="s">
        <v>31896</v>
      </c>
      <c r="K473" t="s">
        <v>40662</v>
      </c>
      <c r="M473" t="s">
        <v>41181</v>
      </c>
      <c r="N473" t="s">
        <v>44905</v>
      </c>
      <c r="O473" t="s">
        <v>44906</v>
      </c>
      <c r="P473">
        <v>0</v>
      </c>
      <c r="Q473">
        <v>0</v>
      </c>
      <c r="R473" t="s">
        <v>44907</v>
      </c>
      <c r="S473" t="s">
        <v>45026</v>
      </c>
      <c r="T473" t="s">
        <v>46400</v>
      </c>
      <c r="U473" t="s">
        <v>47330</v>
      </c>
      <c r="W473" t="s">
        <v>41181</v>
      </c>
      <c r="X473" t="s">
        <v>44908</v>
      </c>
    </row>
    <row r="474" spans="1:24">
      <c r="A474">
        <f>HYPERLINK("https://www.philgeps.gov.ph/GEPSNONPILOT/Tender/SplashBidNoticeAbstractUI.aspx?menuIndex=3&amp;refID=7081995&amp;Result=3","7081995")</f>
        <v>0</v>
      </c>
      <c r="B474" t="s">
        <v>189</v>
      </c>
      <c r="C474" t="s">
        <v>3937</v>
      </c>
      <c r="D474" t="s">
        <v>18125</v>
      </c>
      <c r="E474" t="s">
        <v>18632</v>
      </c>
      <c r="F474" t="s">
        <v>31362</v>
      </c>
      <c r="G474" t="s">
        <v>31368</v>
      </c>
      <c r="H474" t="s">
        <v>15799</v>
      </c>
      <c r="I474" t="s">
        <v>6155</v>
      </c>
      <c r="J474" t="s">
        <v>31897</v>
      </c>
      <c r="K474" t="s">
        <v>40677</v>
      </c>
      <c r="M474" t="s">
        <v>41127</v>
      </c>
      <c r="N474" t="s">
        <v>44905</v>
      </c>
      <c r="O474" t="s">
        <v>44906</v>
      </c>
      <c r="P474">
        <v>0</v>
      </c>
      <c r="Q474">
        <v>1</v>
      </c>
      <c r="R474" t="s">
        <v>44907</v>
      </c>
      <c r="S474" t="s">
        <v>45026</v>
      </c>
      <c r="T474" t="s">
        <v>46434</v>
      </c>
      <c r="U474" t="s">
        <v>47331</v>
      </c>
      <c r="V474" t="s">
        <v>59093</v>
      </c>
      <c r="W474" t="s">
        <v>41127</v>
      </c>
      <c r="X474" t="s">
        <v>44908</v>
      </c>
    </row>
    <row r="475" spans="1:24">
      <c r="A475">
        <f>HYPERLINK("https://www.philgeps.gov.ph/GEPSNONPILOT/Tender/SplashBidNoticeAbstractUI.aspx?menuIndex=3&amp;refID=7081983&amp;Result=3","7081983")</f>
        <v>0</v>
      </c>
      <c r="B475" t="s">
        <v>184</v>
      </c>
      <c r="C475" t="s">
        <v>3926</v>
      </c>
      <c r="D475" t="s">
        <v>18123</v>
      </c>
      <c r="E475" t="s">
        <v>18633</v>
      </c>
      <c r="F475" t="s">
        <v>31362</v>
      </c>
      <c r="G475" t="s">
        <v>31368</v>
      </c>
      <c r="H475" t="s">
        <v>15799</v>
      </c>
      <c r="I475" t="s">
        <v>31380</v>
      </c>
      <c r="J475" t="s">
        <v>31898</v>
      </c>
      <c r="K475" t="s">
        <v>40670</v>
      </c>
      <c r="M475" t="s">
        <v>41122</v>
      </c>
      <c r="N475" t="s">
        <v>44905</v>
      </c>
      <c r="O475" t="s">
        <v>44906</v>
      </c>
      <c r="P475">
        <v>0</v>
      </c>
      <c r="Q475">
        <v>4</v>
      </c>
      <c r="R475" t="s">
        <v>44907</v>
      </c>
      <c r="S475" t="s">
        <v>45026</v>
      </c>
      <c r="T475" t="s">
        <v>46435</v>
      </c>
      <c r="U475" t="s">
        <v>47332</v>
      </c>
      <c r="W475" t="s">
        <v>41122</v>
      </c>
      <c r="X475" t="s">
        <v>44908</v>
      </c>
    </row>
    <row r="476" spans="1:24">
      <c r="A476">
        <f>HYPERLINK("https://www.philgeps.gov.ph/GEPSNONPILOT/Tender/SplashBidNoticeAbstractUI.aspx?menuIndex=3&amp;refID=7081994&amp;Result=3","7081994")</f>
        <v>0</v>
      </c>
      <c r="B476" t="s">
        <v>213</v>
      </c>
      <c r="C476" t="s">
        <v>3985</v>
      </c>
      <c r="D476" t="s">
        <v>18121</v>
      </c>
      <c r="E476" t="s">
        <v>18634</v>
      </c>
      <c r="F476" t="s">
        <v>31362</v>
      </c>
      <c r="G476" t="s">
        <v>31368</v>
      </c>
      <c r="H476" t="s">
        <v>15799</v>
      </c>
      <c r="I476" t="s">
        <v>31430</v>
      </c>
      <c r="J476" t="s">
        <v>31577</v>
      </c>
      <c r="K476" t="s">
        <v>40677</v>
      </c>
      <c r="M476" t="s">
        <v>41152</v>
      </c>
      <c r="N476" t="s">
        <v>44905</v>
      </c>
      <c r="O476" t="s">
        <v>44906</v>
      </c>
      <c r="P476">
        <v>0</v>
      </c>
      <c r="Q476">
        <v>0</v>
      </c>
      <c r="R476" t="s">
        <v>44907</v>
      </c>
      <c r="S476" t="s">
        <v>45026</v>
      </c>
      <c r="T476" t="s">
        <v>46403</v>
      </c>
      <c r="U476" t="s">
        <v>47333</v>
      </c>
      <c r="V476" t="s">
        <v>59116</v>
      </c>
      <c r="W476" t="s">
        <v>41152</v>
      </c>
      <c r="X476" t="s">
        <v>44908</v>
      </c>
    </row>
    <row r="477" spans="1:24">
      <c r="A477">
        <f>HYPERLINK("https://www.philgeps.gov.ph/GEPSNONPILOT/Tender/SplashBidNoticeAbstractUI.aspx?menuIndex=3&amp;refID=7082039&amp;Result=3","7082039")</f>
        <v>0</v>
      </c>
      <c r="B477" t="s">
        <v>243</v>
      </c>
      <c r="C477" t="s">
        <v>3986</v>
      </c>
      <c r="D477" t="s">
        <v>18144</v>
      </c>
      <c r="E477" t="s">
        <v>18635</v>
      </c>
      <c r="F477" t="s">
        <v>31362</v>
      </c>
      <c r="G477" t="s">
        <v>31370</v>
      </c>
      <c r="H477" t="s">
        <v>15799</v>
      </c>
      <c r="I477" t="s">
        <v>3815</v>
      </c>
      <c r="J477" t="s">
        <v>31899</v>
      </c>
      <c r="K477" t="s">
        <v>40670</v>
      </c>
      <c r="M477" t="s">
        <v>41182</v>
      </c>
      <c r="N477" t="s">
        <v>44905</v>
      </c>
      <c r="O477" t="s">
        <v>44906</v>
      </c>
      <c r="P477">
        <v>0</v>
      </c>
      <c r="Q477">
        <v>0</v>
      </c>
      <c r="R477" t="s">
        <v>44907</v>
      </c>
      <c r="S477" t="s">
        <v>45026</v>
      </c>
      <c r="T477" t="s">
        <v>46443</v>
      </c>
      <c r="U477" t="s">
        <v>47334</v>
      </c>
      <c r="W477" t="s">
        <v>41182</v>
      </c>
      <c r="X477" t="s">
        <v>44908</v>
      </c>
    </row>
    <row r="478" spans="1:24">
      <c r="A478">
        <f>HYPERLINK("https://www.philgeps.gov.ph/GEPSNONPILOT/Tender/SplashBidNoticeAbstractUI.aspx?menuIndex=3&amp;refID=7082016&amp;Result=3","7082016")</f>
        <v>0</v>
      </c>
      <c r="B478" t="s">
        <v>215</v>
      </c>
      <c r="C478" t="s">
        <v>3987</v>
      </c>
      <c r="D478" t="s">
        <v>18108</v>
      </c>
      <c r="E478" t="s">
        <v>18636</v>
      </c>
      <c r="F478" t="s">
        <v>31362</v>
      </c>
      <c r="G478" t="s">
        <v>31371</v>
      </c>
      <c r="H478" t="s">
        <v>15799</v>
      </c>
      <c r="I478" t="s">
        <v>7188</v>
      </c>
      <c r="J478" t="s">
        <v>31900</v>
      </c>
      <c r="K478" t="s">
        <v>40661</v>
      </c>
      <c r="M478" t="s">
        <v>41154</v>
      </c>
      <c r="N478" t="s">
        <v>44905</v>
      </c>
      <c r="O478" t="s">
        <v>44906</v>
      </c>
      <c r="P478">
        <v>0</v>
      </c>
      <c r="Q478">
        <v>2</v>
      </c>
      <c r="R478" t="s">
        <v>44907</v>
      </c>
      <c r="S478" t="s">
        <v>45026</v>
      </c>
      <c r="T478" t="s">
        <v>46488</v>
      </c>
      <c r="U478" t="s">
        <v>47335</v>
      </c>
      <c r="V478" t="s">
        <v>59106</v>
      </c>
      <c r="W478" t="s">
        <v>41154</v>
      </c>
      <c r="X478" t="s">
        <v>44908</v>
      </c>
    </row>
    <row r="479" spans="1:24">
      <c r="A479">
        <f>HYPERLINK("https://www.philgeps.gov.ph/GEPSNONPILOT/Tender/SplashBidNoticeAbstractUI.aspx?menuIndex=3&amp;refID=7082060&amp;Result=3","7082060")</f>
        <v>0</v>
      </c>
      <c r="B479" t="s">
        <v>182</v>
      </c>
      <c r="C479" t="s">
        <v>3988</v>
      </c>
      <c r="D479" t="s">
        <v>18101</v>
      </c>
      <c r="E479" t="s">
        <v>18637</v>
      </c>
      <c r="F479" t="s">
        <v>31362</v>
      </c>
      <c r="G479" t="s">
        <v>31370</v>
      </c>
      <c r="H479" t="s">
        <v>15799</v>
      </c>
      <c r="I479" t="s">
        <v>31387</v>
      </c>
      <c r="J479" t="s">
        <v>31901</v>
      </c>
      <c r="K479" t="s">
        <v>40662</v>
      </c>
      <c r="M479" t="s">
        <v>41120</v>
      </c>
      <c r="N479" t="s">
        <v>44905</v>
      </c>
      <c r="O479" t="s">
        <v>44906</v>
      </c>
      <c r="P479">
        <v>0</v>
      </c>
      <c r="Q479">
        <v>0</v>
      </c>
      <c r="R479" t="s">
        <v>44907</v>
      </c>
      <c r="S479" t="s">
        <v>45026</v>
      </c>
      <c r="T479" t="s">
        <v>46434</v>
      </c>
      <c r="U479" t="s">
        <v>47336</v>
      </c>
      <c r="W479" t="s">
        <v>60840</v>
      </c>
      <c r="X479" t="s">
        <v>44908</v>
      </c>
    </row>
    <row r="480" spans="1:24">
      <c r="A480">
        <f>HYPERLINK("https://www.philgeps.gov.ph/GEPSNONPILOT/Tender/SplashBidNoticeAbstractUI.aspx?menuIndex=3&amp;refID=7082023&amp;Result=3","7082023")</f>
        <v>0</v>
      </c>
      <c r="B480" t="s">
        <v>244</v>
      </c>
      <c r="C480" t="s">
        <v>3989</v>
      </c>
      <c r="D480" t="s">
        <v>18160</v>
      </c>
      <c r="E480" t="s">
        <v>18638</v>
      </c>
      <c r="F480" t="s">
        <v>31362</v>
      </c>
      <c r="G480" t="s">
        <v>31368</v>
      </c>
      <c r="H480" t="s">
        <v>15799</v>
      </c>
      <c r="I480" t="s">
        <v>31422</v>
      </c>
      <c r="J480" t="s">
        <v>31902</v>
      </c>
      <c r="K480" t="s">
        <v>40661</v>
      </c>
      <c r="L480" t="s">
        <v>244</v>
      </c>
      <c r="M480" t="s">
        <v>41183</v>
      </c>
      <c r="N480" t="s">
        <v>44905</v>
      </c>
      <c r="O480" t="s">
        <v>44906</v>
      </c>
      <c r="P480">
        <v>0</v>
      </c>
      <c r="Q480">
        <v>4</v>
      </c>
      <c r="R480" t="s">
        <v>44907</v>
      </c>
      <c r="S480" t="s">
        <v>45026</v>
      </c>
      <c r="T480" t="s">
        <v>46497</v>
      </c>
      <c r="U480" t="s">
        <v>47337</v>
      </c>
      <c r="W480" t="s">
        <v>41183</v>
      </c>
      <c r="X480" t="s">
        <v>44908</v>
      </c>
    </row>
    <row r="481" spans="1:24">
      <c r="A481">
        <f>HYPERLINK("https://www.philgeps.gov.ph/GEPSNONPILOT/Tender/SplashBidNoticeAbstractUI.aspx?menuIndex=3&amp;refID=7082013&amp;Result=3","7082013")</f>
        <v>0</v>
      </c>
      <c r="B481" t="s">
        <v>182</v>
      </c>
      <c r="C481" t="s">
        <v>3990</v>
      </c>
      <c r="D481" t="s">
        <v>18101</v>
      </c>
      <c r="E481" t="s">
        <v>18639</v>
      </c>
      <c r="F481" t="s">
        <v>31362</v>
      </c>
      <c r="G481" t="s">
        <v>31370</v>
      </c>
      <c r="H481" t="s">
        <v>15799</v>
      </c>
      <c r="I481" t="s">
        <v>31384</v>
      </c>
      <c r="J481" t="s">
        <v>31646</v>
      </c>
      <c r="K481" t="s">
        <v>40662</v>
      </c>
      <c r="M481" t="s">
        <v>41120</v>
      </c>
      <c r="N481" t="s">
        <v>44905</v>
      </c>
      <c r="O481" t="s">
        <v>44906</v>
      </c>
      <c r="P481">
        <v>0</v>
      </c>
      <c r="Q481">
        <v>2</v>
      </c>
      <c r="R481" t="s">
        <v>44907</v>
      </c>
      <c r="S481" t="s">
        <v>45026</v>
      </c>
      <c r="T481" t="s">
        <v>46434</v>
      </c>
      <c r="U481" t="s">
        <v>47338</v>
      </c>
      <c r="W481" t="s">
        <v>60840</v>
      </c>
      <c r="X481" t="s">
        <v>44908</v>
      </c>
    </row>
    <row r="482" spans="1:24">
      <c r="A482">
        <f>HYPERLINK("https://www.philgeps.gov.ph/GEPSNONPILOT/Tender/SplashBidNoticeAbstractUI.aspx?menuIndex=3&amp;refID=7082054&amp;Result=3","7082054")</f>
        <v>0</v>
      </c>
      <c r="B482" t="s">
        <v>245</v>
      </c>
      <c r="C482" t="s">
        <v>3991</v>
      </c>
      <c r="D482" t="s">
        <v>18108</v>
      </c>
      <c r="E482" t="s">
        <v>18640</v>
      </c>
      <c r="F482" t="s">
        <v>31362</v>
      </c>
      <c r="G482" t="s">
        <v>31368</v>
      </c>
      <c r="H482" t="s">
        <v>15799</v>
      </c>
      <c r="I482" t="s">
        <v>31411</v>
      </c>
      <c r="J482" t="s">
        <v>31903</v>
      </c>
      <c r="K482" t="s">
        <v>40666</v>
      </c>
      <c r="M482" t="s">
        <v>41184</v>
      </c>
      <c r="N482" t="s">
        <v>44905</v>
      </c>
      <c r="O482" t="s">
        <v>44906</v>
      </c>
      <c r="P482">
        <v>0</v>
      </c>
      <c r="Q482">
        <v>5</v>
      </c>
      <c r="R482" t="s">
        <v>44907</v>
      </c>
      <c r="S482" t="s">
        <v>45026</v>
      </c>
      <c r="T482" t="s">
        <v>46488</v>
      </c>
      <c r="U482" t="s">
        <v>47339</v>
      </c>
      <c r="V482" t="s">
        <v>59117</v>
      </c>
      <c r="W482" t="s">
        <v>41184</v>
      </c>
      <c r="X482" t="s">
        <v>44908</v>
      </c>
    </row>
    <row r="483" spans="1:24">
      <c r="A483">
        <f>HYPERLINK("https://www.philgeps.gov.ph/GEPSNONPILOT/Tender/SplashBidNoticeAbstractUI.aspx?menuIndex=3&amp;refID=7081993&amp;Result=3","7081993")</f>
        <v>0</v>
      </c>
      <c r="B483" t="s">
        <v>246</v>
      </c>
      <c r="C483" t="s">
        <v>3992</v>
      </c>
      <c r="D483" t="s">
        <v>18104</v>
      </c>
      <c r="E483" t="s">
        <v>18641</v>
      </c>
      <c r="F483" t="s">
        <v>31362</v>
      </c>
      <c r="G483" t="s">
        <v>31368</v>
      </c>
      <c r="H483" t="s">
        <v>15799</v>
      </c>
      <c r="I483" t="s">
        <v>7188</v>
      </c>
      <c r="J483" t="s">
        <v>31904</v>
      </c>
      <c r="K483" t="s">
        <v>40666</v>
      </c>
      <c r="M483" t="s">
        <v>41185</v>
      </c>
      <c r="N483" t="s">
        <v>44905</v>
      </c>
      <c r="O483" t="s">
        <v>44906</v>
      </c>
      <c r="P483">
        <v>0</v>
      </c>
      <c r="Q483">
        <v>0</v>
      </c>
      <c r="R483" t="s">
        <v>44907</v>
      </c>
      <c r="S483" t="s">
        <v>45026</v>
      </c>
      <c r="T483" t="s">
        <v>46411</v>
      </c>
      <c r="U483" t="s">
        <v>47340</v>
      </c>
      <c r="W483" t="s">
        <v>60841</v>
      </c>
      <c r="X483" t="s">
        <v>44908</v>
      </c>
    </row>
    <row r="484" spans="1:24">
      <c r="A484">
        <f>HYPERLINK("https://www.philgeps.gov.ph/GEPSNONPILOT/Tender/SplashBidNoticeAbstractUI.aspx?menuIndex=3&amp;refID=7082053&amp;Result=3","7082053")</f>
        <v>0</v>
      </c>
      <c r="B484" t="s">
        <v>208</v>
      </c>
      <c r="C484" t="s">
        <v>3993</v>
      </c>
      <c r="D484" t="s">
        <v>18159</v>
      </c>
      <c r="E484" t="s">
        <v>18642</v>
      </c>
      <c r="F484" t="s">
        <v>31362</v>
      </c>
      <c r="G484" t="s">
        <v>31369</v>
      </c>
      <c r="H484" t="s">
        <v>15799</v>
      </c>
      <c r="I484" t="s">
        <v>31421</v>
      </c>
      <c r="J484" t="s">
        <v>31606</v>
      </c>
      <c r="K484" t="s">
        <v>40666</v>
      </c>
      <c r="M484" t="s">
        <v>41147</v>
      </c>
      <c r="N484" t="s">
        <v>44905</v>
      </c>
      <c r="O484" t="s">
        <v>44906</v>
      </c>
      <c r="P484">
        <v>0</v>
      </c>
      <c r="Q484">
        <v>2</v>
      </c>
      <c r="R484" t="s">
        <v>44907</v>
      </c>
      <c r="S484" t="s">
        <v>45026</v>
      </c>
      <c r="T484" t="s">
        <v>46419</v>
      </c>
      <c r="U484" t="s">
        <v>47341</v>
      </c>
      <c r="V484" t="s">
        <v>59101</v>
      </c>
      <c r="W484" t="s">
        <v>41147</v>
      </c>
      <c r="X484" t="s">
        <v>44908</v>
      </c>
    </row>
    <row r="485" spans="1:24">
      <c r="A485">
        <f>HYPERLINK("https://www.philgeps.gov.ph/GEPSNONPILOT/Tender/SplashBidNoticeAbstractUI.aspx?menuIndex=3&amp;refID=7082038&amp;Result=3","7082038")</f>
        <v>0</v>
      </c>
      <c r="B485" t="s">
        <v>247</v>
      </c>
      <c r="C485" t="s">
        <v>3994</v>
      </c>
      <c r="D485" t="s">
        <v>18117</v>
      </c>
      <c r="E485" t="s">
        <v>18643</v>
      </c>
      <c r="F485" t="s">
        <v>31362</v>
      </c>
      <c r="G485" t="s">
        <v>31368</v>
      </c>
      <c r="H485" t="s">
        <v>15799</v>
      </c>
      <c r="I485" t="s">
        <v>6373</v>
      </c>
      <c r="J485" t="s">
        <v>31905</v>
      </c>
      <c r="K485" t="s">
        <v>40670</v>
      </c>
      <c r="M485" t="s">
        <v>41186</v>
      </c>
      <c r="N485" t="s">
        <v>44905</v>
      </c>
      <c r="O485" t="s">
        <v>44906</v>
      </c>
      <c r="P485">
        <v>0</v>
      </c>
      <c r="Q485">
        <v>0</v>
      </c>
      <c r="R485" t="s">
        <v>44907</v>
      </c>
      <c r="S485" t="s">
        <v>45026</v>
      </c>
      <c r="T485" t="s">
        <v>46438</v>
      </c>
      <c r="U485" t="s">
        <v>47342</v>
      </c>
      <c r="W485" t="s">
        <v>41186</v>
      </c>
      <c r="X485" t="s">
        <v>44908</v>
      </c>
    </row>
    <row r="486" spans="1:24">
      <c r="A486">
        <f>HYPERLINK("https://www.philgeps.gov.ph/GEPSNONPILOT/Tender/SplashBidNoticeAbstractUI.aspx?menuIndex=3&amp;refID=7082059&amp;Result=3","7082059")</f>
        <v>0</v>
      </c>
      <c r="B486" t="s">
        <v>248</v>
      </c>
      <c r="C486" t="s">
        <v>3995</v>
      </c>
      <c r="D486" t="s">
        <v>18133</v>
      </c>
      <c r="E486" t="s">
        <v>18644</v>
      </c>
      <c r="F486" t="s">
        <v>31362</v>
      </c>
      <c r="G486" t="s">
        <v>31369</v>
      </c>
      <c r="H486" t="s">
        <v>31378</v>
      </c>
      <c r="I486" t="s">
        <v>31386</v>
      </c>
      <c r="J486" t="s">
        <v>31906</v>
      </c>
      <c r="K486" t="s">
        <v>40666</v>
      </c>
      <c r="M486" t="s">
        <v>41187</v>
      </c>
      <c r="N486" t="s">
        <v>44905</v>
      </c>
      <c r="O486" t="s">
        <v>44906</v>
      </c>
      <c r="P486">
        <v>0</v>
      </c>
      <c r="Q486">
        <v>0</v>
      </c>
      <c r="R486" t="s">
        <v>44907</v>
      </c>
      <c r="S486" t="s">
        <v>45026</v>
      </c>
      <c r="T486" t="s">
        <v>46401</v>
      </c>
      <c r="U486" t="s">
        <v>47343</v>
      </c>
      <c r="W486" t="s">
        <v>41187</v>
      </c>
      <c r="X486" t="s">
        <v>44908</v>
      </c>
    </row>
    <row r="487" spans="1:24">
      <c r="A487">
        <f>HYPERLINK("https://www.philgeps.gov.ph/GEPSNONPILOT/Tender/SplashBidNoticeAbstractUI.aspx?menuIndex=3&amp;refID=7082049&amp;Result=3","7082049")</f>
        <v>0</v>
      </c>
      <c r="B487" t="s">
        <v>237</v>
      </c>
      <c r="C487" t="s">
        <v>3996</v>
      </c>
      <c r="D487" t="s">
        <v>18108</v>
      </c>
      <c r="E487" t="s">
        <v>18645</v>
      </c>
      <c r="F487" t="s">
        <v>31362</v>
      </c>
      <c r="G487" t="s">
        <v>31370</v>
      </c>
      <c r="H487" t="s">
        <v>15799</v>
      </c>
      <c r="I487" t="s">
        <v>7090</v>
      </c>
      <c r="J487" t="s">
        <v>31907</v>
      </c>
      <c r="K487" t="s">
        <v>40670</v>
      </c>
      <c r="M487" t="s">
        <v>41176</v>
      </c>
      <c r="N487" t="s">
        <v>44905</v>
      </c>
      <c r="O487" t="s">
        <v>44906</v>
      </c>
      <c r="P487">
        <v>0</v>
      </c>
      <c r="Q487">
        <v>0</v>
      </c>
      <c r="R487" t="s">
        <v>44907</v>
      </c>
      <c r="S487" t="s">
        <v>45026</v>
      </c>
      <c r="T487" t="s">
        <v>46494</v>
      </c>
      <c r="U487" t="s">
        <v>47344</v>
      </c>
      <c r="V487" t="s">
        <v>59113</v>
      </c>
      <c r="W487" t="s">
        <v>41176</v>
      </c>
      <c r="X487" t="s">
        <v>44908</v>
      </c>
    </row>
    <row r="488" spans="1:24">
      <c r="A488">
        <f>HYPERLINK("https://www.philgeps.gov.ph/GEPSNONPILOT/Tender/SplashBidNoticeAbstractUI.aspx?menuIndex=3&amp;refID=7082058&amp;Result=3","7082058")</f>
        <v>0</v>
      </c>
      <c r="B488" t="s">
        <v>249</v>
      </c>
      <c r="C488" t="s">
        <v>3997</v>
      </c>
      <c r="D488" t="s">
        <v>18110</v>
      </c>
      <c r="E488" t="s">
        <v>18646</v>
      </c>
      <c r="F488" t="s">
        <v>31362</v>
      </c>
      <c r="G488" t="s">
        <v>31368</v>
      </c>
      <c r="H488" t="s">
        <v>15799</v>
      </c>
      <c r="I488" t="s">
        <v>4942</v>
      </c>
      <c r="J488" t="s">
        <v>31577</v>
      </c>
      <c r="K488" t="s">
        <v>40662</v>
      </c>
      <c r="M488" t="s">
        <v>41188</v>
      </c>
      <c r="N488" t="s">
        <v>44905</v>
      </c>
      <c r="O488" t="s">
        <v>44906</v>
      </c>
      <c r="P488">
        <v>0</v>
      </c>
      <c r="Q488">
        <v>2</v>
      </c>
      <c r="R488" t="s">
        <v>44907</v>
      </c>
      <c r="S488" t="s">
        <v>45026</v>
      </c>
      <c r="T488" t="s">
        <v>46435</v>
      </c>
      <c r="U488" t="s">
        <v>47345</v>
      </c>
      <c r="W488" t="s">
        <v>41188</v>
      </c>
      <c r="X488" t="s">
        <v>44908</v>
      </c>
    </row>
    <row r="489" spans="1:24">
      <c r="A489">
        <f>HYPERLINK("https://www.philgeps.gov.ph/GEPSNONPILOT/Tender/SplashBidNoticeAbstractUI.aspx?menuIndex=3&amp;refID=7082048&amp;Result=3","7082048")</f>
        <v>0</v>
      </c>
      <c r="B489" t="s">
        <v>250</v>
      </c>
      <c r="C489" t="s">
        <v>3998</v>
      </c>
      <c r="D489" t="s">
        <v>18152</v>
      </c>
      <c r="E489" t="s">
        <v>18647</v>
      </c>
      <c r="F489" t="s">
        <v>31362</v>
      </c>
      <c r="G489" t="s">
        <v>31368</v>
      </c>
      <c r="H489" t="s">
        <v>15799</v>
      </c>
      <c r="I489" t="s">
        <v>31415</v>
      </c>
      <c r="J489" t="s">
        <v>31908</v>
      </c>
      <c r="K489" t="s">
        <v>40666</v>
      </c>
      <c r="M489" t="s">
        <v>41189</v>
      </c>
      <c r="N489" t="s">
        <v>44905</v>
      </c>
      <c r="O489" t="s">
        <v>44906</v>
      </c>
      <c r="P489">
        <v>0</v>
      </c>
      <c r="Q489">
        <v>0</v>
      </c>
      <c r="R489" t="s">
        <v>44907</v>
      </c>
      <c r="S489" t="s">
        <v>45026</v>
      </c>
      <c r="T489" t="s">
        <v>46432</v>
      </c>
      <c r="U489" t="s">
        <v>47346</v>
      </c>
      <c r="W489" t="s">
        <v>41189</v>
      </c>
      <c r="X489" t="s">
        <v>44908</v>
      </c>
    </row>
    <row r="490" spans="1:24">
      <c r="A490">
        <f>HYPERLINK("https://www.philgeps.gov.ph/GEPSNONPILOT/Tender/SplashBidNoticeAbstractUI.aspx?menuIndex=3&amp;refID=7082046&amp;Result=3","7082046")</f>
        <v>0</v>
      </c>
      <c r="B490" t="s">
        <v>251</v>
      </c>
      <c r="C490" t="s">
        <v>3999</v>
      </c>
      <c r="D490" t="s">
        <v>18108</v>
      </c>
      <c r="E490" t="s">
        <v>18648</v>
      </c>
      <c r="F490" t="s">
        <v>31362</v>
      </c>
      <c r="G490" t="s">
        <v>31368</v>
      </c>
      <c r="H490" t="s">
        <v>15799</v>
      </c>
      <c r="I490" t="s">
        <v>6155</v>
      </c>
      <c r="J490" t="s">
        <v>31909</v>
      </c>
      <c r="K490" t="s">
        <v>40697</v>
      </c>
      <c r="M490" t="s">
        <v>41190</v>
      </c>
      <c r="N490" t="s">
        <v>44905</v>
      </c>
      <c r="O490" t="s">
        <v>44906</v>
      </c>
      <c r="P490">
        <v>0</v>
      </c>
      <c r="Q490">
        <v>2</v>
      </c>
      <c r="R490" t="s">
        <v>44907</v>
      </c>
      <c r="S490" t="s">
        <v>45026</v>
      </c>
      <c r="T490" t="s">
        <v>46396</v>
      </c>
      <c r="U490" t="s">
        <v>47347</v>
      </c>
      <c r="W490" t="s">
        <v>41190</v>
      </c>
      <c r="X490" t="s">
        <v>44908</v>
      </c>
    </row>
    <row r="491" spans="1:24">
      <c r="A491">
        <f>HYPERLINK("https://www.philgeps.gov.ph/GEPSNONPILOT/Tender/SplashBidNoticeAbstractUI.aspx?menuIndex=3&amp;refID=7082045&amp;Result=3","7082045")</f>
        <v>0</v>
      </c>
      <c r="B491" t="s">
        <v>252</v>
      </c>
      <c r="C491" t="s">
        <v>4000</v>
      </c>
      <c r="D491" t="s">
        <v>18103</v>
      </c>
      <c r="E491" t="s">
        <v>18649</v>
      </c>
      <c r="F491" t="s">
        <v>31362</v>
      </c>
      <c r="G491" t="s">
        <v>31370</v>
      </c>
      <c r="H491" t="s">
        <v>15799</v>
      </c>
      <c r="I491" t="s">
        <v>31393</v>
      </c>
      <c r="J491" t="s">
        <v>31910</v>
      </c>
      <c r="K491" t="s">
        <v>40661</v>
      </c>
      <c r="M491" t="s">
        <v>41191</v>
      </c>
      <c r="N491" t="s">
        <v>44905</v>
      </c>
      <c r="O491" t="s">
        <v>44906</v>
      </c>
      <c r="P491">
        <v>0</v>
      </c>
      <c r="Q491">
        <v>5</v>
      </c>
      <c r="R491" t="s">
        <v>44907</v>
      </c>
      <c r="S491" t="s">
        <v>45026</v>
      </c>
      <c r="T491" t="s">
        <v>46447</v>
      </c>
      <c r="U491" t="s">
        <v>47348</v>
      </c>
      <c r="W491" t="s">
        <v>41191</v>
      </c>
      <c r="X491" t="s">
        <v>44908</v>
      </c>
    </row>
    <row r="492" spans="1:24">
      <c r="A492">
        <f>HYPERLINK("https://www.philgeps.gov.ph/GEPSNONPILOT/Tender/SplashBidNoticeAbstractUI.aspx?menuIndex=3&amp;refID=7082052&amp;Result=3","7082052")</f>
        <v>0</v>
      </c>
      <c r="B492" t="s">
        <v>123</v>
      </c>
      <c r="C492" t="s">
        <v>4001</v>
      </c>
      <c r="D492" t="s">
        <v>18107</v>
      </c>
      <c r="E492" t="s">
        <v>18650</v>
      </c>
      <c r="F492" t="s">
        <v>31362</v>
      </c>
      <c r="G492" t="s">
        <v>31368</v>
      </c>
      <c r="H492" t="s">
        <v>15799</v>
      </c>
      <c r="I492" t="s">
        <v>31422</v>
      </c>
      <c r="J492" t="s">
        <v>31536</v>
      </c>
      <c r="K492" t="s">
        <v>40661</v>
      </c>
      <c r="M492" t="s">
        <v>41192</v>
      </c>
      <c r="N492" t="s">
        <v>44905</v>
      </c>
      <c r="O492" t="s">
        <v>44906</v>
      </c>
      <c r="P492">
        <v>0</v>
      </c>
      <c r="Q492">
        <v>1</v>
      </c>
      <c r="R492" t="s">
        <v>44907</v>
      </c>
      <c r="S492" t="s">
        <v>45026</v>
      </c>
      <c r="T492" t="s">
        <v>46493</v>
      </c>
      <c r="U492" t="s">
        <v>47349</v>
      </c>
      <c r="W492" t="s">
        <v>41192</v>
      </c>
      <c r="X492" t="s">
        <v>44908</v>
      </c>
    </row>
    <row r="493" spans="1:24">
      <c r="A493">
        <f>HYPERLINK("https://www.philgeps.gov.ph/GEPSNONPILOT/Tender/SplashBidNoticeAbstractUI.aspx?menuIndex=3&amp;refID=7082050&amp;Result=3","7082050")</f>
        <v>0</v>
      </c>
      <c r="B493" t="s">
        <v>253</v>
      </c>
      <c r="C493" t="s">
        <v>4002</v>
      </c>
      <c r="D493" t="s">
        <v>18108</v>
      </c>
      <c r="E493" t="s">
        <v>18651</v>
      </c>
      <c r="F493" t="s">
        <v>31362</v>
      </c>
      <c r="G493" t="s">
        <v>31368</v>
      </c>
      <c r="H493" t="s">
        <v>15799</v>
      </c>
      <c r="I493" t="s">
        <v>7719</v>
      </c>
      <c r="J493" t="s">
        <v>31911</v>
      </c>
      <c r="K493" t="s">
        <v>40665</v>
      </c>
      <c r="M493" t="s">
        <v>41193</v>
      </c>
      <c r="N493" t="s">
        <v>44905</v>
      </c>
      <c r="O493" t="s">
        <v>44906</v>
      </c>
      <c r="P493">
        <v>0</v>
      </c>
      <c r="Q493">
        <v>8</v>
      </c>
      <c r="R493" t="s">
        <v>44907</v>
      </c>
      <c r="S493" t="s">
        <v>45026</v>
      </c>
      <c r="T493" t="s">
        <v>46498</v>
      </c>
      <c r="U493" t="s">
        <v>47350</v>
      </c>
      <c r="W493" t="s">
        <v>41193</v>
      </c>
      <c r="X493" t="s">
        <v>44908</v>
      </c>
    </row>
    <row r="494" spans="1:24">
      <c r="A494">
        <f>HYPERLINK("https://www.philgeps.gov.ph/GEPSNONPILOT/Tender/SplashBidNoticeAbstractUI.aspx?menuIndex=3&amp;refID=7082082&amp;Result=3","7082082")</f>
        <v>0</v>
      </c>
      <c r="B494" t="s">
        <v>254</v>
      </c>
      <c r="C494" t="s">
        <v>4003</v>
      </c>
      <c r="D494" t="s">
        <v>18127</v>
      </c>
      <c r="E494" t="s">
        <v>18652</v>
      </c>
      <c r="F494" t="s">
        <v>31362</v>
      </c>
      <c r="G494" t="s">
        <v>31368</v>
      </c>
      <c r="H494" t="s">
        <v>15799</v>
      </c>
      <c r="I494" t="s">
        <v>31393</v>
      </c>
      <c r="J494" t="s">
        <v>31912</v>
      </c>
      <c r="K494" t="s">
        <v>40672</v>
      </c>
      <c r="M494" t="s">
        <v>41194</v>
      </c>
      <c r="N494" t="s">
        <v>44905</v>
      </c>
      <c r="O494" t="s">
        <v>44906</v>
      </c>
      <c r="P494">
        <v>0</v>
      </c>
      <c r="Q494">
        <v>0</v>
      </c>
      <c r="R494" t="s">
        <v>44907</v>
      </c>
      <c r="S494" t="s">
        <v>45026</v>
      </c>
      <c r="T494" t="s">
        <v>46438</v>
      </c>
      <c r="U494" t="s">
        <v>47351</v>
      </c>
      <c r="W494" t="s">
        <v>41194</v>
      </c>
      <c r="X494" t="s">
        <v>44908</v>
      </c>
    </row>
    <row r="495" spans="1:24">
      <c r="A495">
        <f>HYPERLINK("https://www.philgeps.gov.ph/GEPSNONPILOT/Tender/SplashBidNoticeAbstractUI.aspx?menuIndex=3&amp;refID=7082080&amp;Result=3","7082080")</f>
        <v>0</v>
      </c>
      <c r="B495" t="s">
        <v>255</v>
      </c>
      <c r="C495" t="s">
        <v>4004</v>
      </c>
      <c r="E495" t="s">
        <v>18653</v>
      </c>
      <c r="F495" t="s">
        <v>31362</v>
      </c>
      <c r="G495" t="s">
        <v>31368</v>
      </c>
      <c r="H495" t="s">
        <v>15799</v>
      </c>
      <c r="I495" t="s">
        <v>31380</v>
      </c>
      <c r="J495" t="s">
        <v>31913</v>
      </c>
      <c r="K495" t="s">
        <v>40662</v>
      </c>
      <c r="M495" t="s">
        <v>41195</v>
      </c>
      <c r="N495" t="s">
        <v>44905</v>
      </c>
      <c r="O495" t="s">
        <v>44906</v>
      </c>
      <c r="P495">
        <v>0</v>
      </c>
      <c r="Q495">
        <v>1</v>
      </c>
      <c r="R495" t="s">
        <v>44907</v>
      </c>
      <c r="S495" t="s">
        <v>45026</v>
      </c>
      <c r="T495" t="s">
        <v>46462</v>
      </c>
      <c r="U495" t="s">
        <v>47352</v>
      </c>
      <c r="W495" t="s">
        <v>41195</v>
      </c>
      <c r="X495" t="s">
        <v>44908</v>
      </c>
    </row>
    <row r="496" spans="1:24">
      <c r="A496">
        <f>HYPERLINK("https://www.philgeps.gov.ph/GEPSNONPILOT/Tender/SplashBidNoticeAbstractUI.aspx?menuIndex=3&amp;refID=7082079&amp;Result=3","7082079")</f>
        <v>0</v>
      </c>
      <c r="B496" t="s">
        <v>227</v>
      </c>
      <c r="C496" t="s">
        <v>4005</v>
      </c>
      <c r="D496" t="s">
        <v>18111</v>
      </c>
      <c r="E496" t="s">
        <v>18654</v>
      </c>
      <c r="F496" t="s">
        <v>31362</v>
      </c>
      <c r="G496" t="s">
        <v>31368</v>
      </c>
      <c r="H496" t="s">
        <v>15799</v>
      </c>
      <c r="I496" t="s">
        <v>3815</v>
      </c>
      <c r="J496" t="s">
        <v>31753</v>
      </c>
      <c r="K496" t="s">
        <v>40662</v>
      </c>
      <c r="M496" t="s">
        <v>41166</v>
      </c>
      <c r="N496" t="s">
        <v>44905</v>
      </c>
      <c r="O496" t="s">
        <v>44906</v>
      </c>
      <c r="P496">
        <v>0</v>
      </c>
      <c r="Q496">
        <v>2</v>
      </c>
      <c r="R496" t="s">
        <v>44907</v>
      </c>
      <c r="S496" t="s">
        <v>45026</v>
      </c>
      <c r="T496" t="s">
        <v>46492</v>
      </c>
      <c r="U496" t="s">
        <v>47353</v>
      </c>
      <c r="W496" t="s">
        <v>41166</v>
      </c>
      <c r="X496" t="s">
        <v>44908</v>
      </c>
    </row>
    <row r="497" spans="1:24">
      <c r="A497">
        <f>HYPERLINK("https://www.philgeps.gov.ph/GEPSNONPILOT/Tender/SplashBidNoticeAbstractUI.aspx?menuIndex=3&amp;refID=7082078&amp;Result=3","7082078")</f>
        <v>0</v>
      </c>
      <c r="B497" t="s">
        <v>179</v>
      </c>
      <c r="C497" t="s">
        <v>4006</v>
      </c>
      <c r="D497" t="s">
        <v>18155</v>
      </c>
      <c r="E497" t="s">
        <v>18655</v>
      </c>
      <c r="F497" t="s">
        <v>31362</v>
      </c>
      <c r="G497" t="s">
        <v>31368</v>
      </c>
      <c r="H497" t="s">
        <v>15799</v>
      </c>
      <c r="I497" t="s">
        <v>7188</v>
      </c>
      <c r="J497" t="s">
        <v>31897</v>
      </c>
      <c r="K497" t="s">
        <v>40696</v>
      </c>
      <c r="M497" t="s">
        <v>41196</v>
      </c>
      <c r="N497" t="s">
        <v>44905</v>
      </c>
      <c r="O497" t="s">
        <v>44906</v>
      </c>
      <c r="P497">
        <v>0</v>
      </c>
      <c r="Q497">
        <v>3</v>
      </c>
      <c r="R497" t="s">
        <v>44907</v>
      </c>
      <c r="S497" t="s">
        <v>45026</v>
      </c>
      <c r="T497" t="s">
        <v>46482</v>
      </c>
      <c r="U497" t="s">
        <v>47354</v>
      </c>
      <c r="W497" t="s">
        <v>60842</v>
      </c>
      <c r="X497" t="s">
        <v>44908</v>
      </c>
    </row>
    <row r="498" spans="1:24">
      <c r="A498">
        <f>HYPERLINK("https://www.philgeps.gov.ph/GEPSNONPILOT/Tender/SplashBidNoticeAbstractUI.aspx?menuIndex=3&amp;refID=7082076&amp;Result=3","7082076")</f>
        <v>0</v>
      </c>
      <c r="B498" t="s">
        <v>235</v>
      </c>
      <c r="C498" t="s">
        <v>4007</v>
      </c>
      <c r="D498" t="s">
        <v>18100</v>
      </c>
      <c r="E498" t="s">
        <v>18656</v>
      </c>
      <c r="F498" t="s">
        <v>31362</v>
      </c>
      <c r="G498" t="s">
        <v>31375</v>
      </c>
      <c r="H498" t="s">
        <v>15799</v>
      </c>
      <c r="I498" t="s">
        <v>31385</v>
      </c>
      <c r="J498" t="s">
        <v>31897</v>
      </c>
      <c r="K498" t="s">
        <v>40661</v>
      </c>
      <c r="M498" t="s">
        <v>41174</v>
      </c>
      <c r="N498" t="s">
        <v>44905</v>
      </c>
      <c r="O498" t="s">
        <v>44906</v>
      </c>
      <c r="P498">
        <v>0</v>
      </c>
      <c r="Q498">
        <v>0</v>
      </c>
      <c r="R498" t="s">
        <v>44907</v>
      </c>
      <c r="S498" t="s">
        <v>45026</v>
      </c>
      <c r="T498" t="s">
        <v>46408</v>
      </c>
      <c r="U498" t="s">
        <v>47355</v>
      </c>
      <c r="W498" t="s">
        <v>41174</v>
      </c>
      <c r="X498" t="s">
        <v>44908</v>
      </c>
    </row>
    <row r="499" spans="1:24">
      <c r="A499">
        <f>HYPERLINK("https://www.philgeps.gov.ph/GEPSNONPILOT/Tender/SplashBidNoticeAbstractUI.aspx?menuIndex=3&amp;refID=7082075&amp;Result=3","7082075")</f>
        <v>0</v>
      </c>
      <c r="B499" t="s">
        <v>256</v>
      </c>
      <c r="C499" t="s">
        <v>4008</v>
      </c>
      <c r="D499" t="s">
        <v>18107</v>
      </c>
      <c r="E499" t="s">
        <v>18657</v>
      </c>
      <c r="F499" t="s">
        <v>31362</v>
      </c>
      <c r="G499" t="s">
        <v>31369</v>
      </c>
      <c r="H499" t="s">
        <v>15799</v>
      </c>
      <c r="I499" t="s">
        <v>4057</v>
      </c>
      <c r="J499" t="s">
        <v>31604</v>
      </c>
      <c r="K499" t="s">
        <v>40666</v>
      </c>
      <c r="M499" t="s">
        <v>41197</v>
      </c>
      <c r="N499" t="s">
        <v>44905</v>
      </c>
      <c r="O499" t="s">
        <v>44906</v>
      </c>
      <c r="P499">
        <v>0</v>
      </c>
      <c r="Q499">
        <v>0</v>
      </c>
      <c r="R499" t="s">
        <v>44907</v>
      </c>
      <c r="S499" t="s">
        <v>45026</v>
      </c>
      <c r="T499" t="s">
        <v>46472</v>
      </c>
      <c r="U499" t="s">
        <v>47356</v>
      </c>
      <c r="W499" t="s">
        <v>41197</v>
      </c>
      <c r="X499" t="s">
        <v>44908</v>
      </c>
    </row>
    <row r="500" spans="1:24">
      <c r="A500">
        <f>HYPERLINK("https://www.philgeps.gov.ph/GEPSNONPILOT/Tender/SplashBidNoticeAbstractUI.aspx?menuIndex=3&amp;refID=7082074&amp;Result=3","7082074")</f>
        <v>0</v>
      </c>
      <c r="B500" t="s">
        <v>257</v>
      </c>
      <c r="C500" t="s">
        <v>4009</v>
      </c>
      <c r="D500" t="s">
        <v>18104</v>
      </c>
      <c r="E500" t="s">
        <v>18658</v>
      </c>
      <c r="F500" t="s">
        <v>31362</v>
      </c>
      <c r="G500" t="s">
        <v>31368</v>
      </c>
      <c r="H500" t="s">
        <v>15799</v>
      </c>
      <c r="I500" t="s">
        <v>6240</v>
      </c>
      <c r="J500" t="s">
        <v>31914</v>
      </c>
      <c r="K500" t="s">
        <v>40666</v>
      </c>
      <c r="M500" t="s">
        <v>41198</v>
      </c>
      <c r="N500" t="s">
        <v>44905</v>
      </c>
      <c r="O500" t="s">
        <v>44906</v>
      </c>
      <c r="P500">
        <v>0</v>
      </c>
      <c r="Q500">
        <v>0</v>
      </c>
      <c r="R500" t="s">
        <v>44907</v>
      </c>
      <c r="S500" t="s">
        <v>45026</v>
      </c>
      <c r="T500" t="s">
        <v>46470</v>
      </c>
      <c r="U500" t="s">
        <v>47357</v>
      </c>
      <c r="W500" t="s">
        <v>41198</v>
      </c>
      <c r="X500" t="s">
        <v>44908</v>
      </c>
    </row>
    <row r="501" spans="1:24">
      <c r="A501">
        <f>HYPERLINK("https://www.philgeps.gov.ph/GEPSNONPILOT/Tender/SplashBidNoticeAbstractUI.aspx?menuIndex=3&amp;refID=7082073&amp;Result=3","7082073")</f>
        <v>0</v>
      </c>
      <c r="B501" t="s">
        <v>258</v>
      </c>
      <c r="C501" t="s">
        <v>4010</v>
      </c>
      <c r="D501" t="s">
        <v>18125</v>
      </c>
      <c r="E501" t="s">
        <v>18659</v>
      </c>
      <c r="F501" t="s">
        <v>31362</v>
      </c>
      <c r="G501" t="s">
        <v>31368</v>
      </c>
      <c r="H501" t="s">
        <v>15799</v>
      </c>
      <c r="I501" t="s">
        <v>6155</v>
      </c>
      <c r="J501" t="s">
        <v>31915</v>
      </c>
      <c r="K501" t="s">
        <v>40677</v>
      </c>
      <c r="M501" t="s">
        <v>41199</v>
      </c>
      <c r="N501" t="s">
        <v>44905</v>
      </c>
      <c r="O501" t="s">
        <v>44906</v>
      </c>
      <c r="P501">
        <v>0</v>
      </c>
      <c r="Q501">
        <v>1</v>
      </c>
      <c r="R501" t="s">
        <v>44907</v>
      </c>
      <c r="S501" t="s">
        <v>45026</v>
      </c>
      <c r="T501" t="s">
        <v>46416</v>
      </c>
      <c r="U501" t="s">
        <v>47358</v>
      </c>
      <c r="W501" t="s">
        <v>41199</v>
      </c>
      <c r="X501" t="s">
        <v>44908</v>
      </c>
    </row>
    <row r="502" spans="1:24">
      <c r="A502">
        <f>HYPERLINK("https://www.philgeps.gov.ph/GEPSNONPILOT/Tender/SplashBidNoticeAbstractUI.aspx?menuIndex=3&amp;refID=7082083&amp;Result=3","7082083")</f>
        <v>0</v>
      </c>
      <c r="B502" t="s">
        <v>259</v>
      </c>
      <c r="C502" t="s">
        <v>4011</v>
      </c>
      <c r="D502" t="s">
        <v>18100</v>
      </c>
      <c r="E502" t="s">
        <v>18660</v>
      </c>
      <c r="F502" t="s">
        <v>31362</v>
      </c>
      <c r="G502" t="s">
        <v>31368</v>
      </c>
      <c r="H502" t="s">
        <v>15799</v>
      </c>
      <c r="I502" t="s">
        <v>6155</v>
      </c>
      <c r="J502" t="s">
        <v>31916</v>
      </c>
      <c r="K502" t="s">
        <v>40693</v>
      </c>
      <c r="M502" t="s">
        <v>41200</v>
      </c>
      <c r="N502" t="s">
        <v>44905</v>
      </c>
      <c r="O502" t="s">
        <v>44906</v>
      </c>
      <c r="P502">
        <v>0</v>
      </c>
      <c r="Q502">
        <v>0</v>
      </c>
      <c r="R502" t="s">
        <v>44907</v>
      </c>
      <c r="S502" t="s">
        <v>45026</v>
      </c>
      <c r="T502" t="s">
        <v>46426</v>
      </c>
      <c r="U502" t="s">
        <v>47359</v>
      </c>
      <c r="W502" t="s">
        <v>41200</v>
      </c>
      <c r="X502" t="s">
        <v>44908</v>
      </c>
    </row>
    <row r="503" spans="1:24">
      <c r="A503">
        <f>HYPERLINK("https://www.philgeps.gov.ph/GEPSNONPILOT/Tender/SplashBidNoticeAbstractUI.aspx?menuIndex=3&amp;refID=7082072&amp;Result=3","7082072")</f>
        <v>0</v>
      </c>
      <c r="B503" t="s">
        <v>260</v>
      </c>
      <c r="C503" t="s">
        <v>4012</v>
      </c>
      <c r="D503" t="s">
        <v>18112</v>
      </c>
      <c r="E503" t="s">
        <v>18661</v>
      </c>
      <c r="F503" t="s">
        <v>31362</v>
      </c>
      <c r="G503" t="s">
        <v>31368</v>
      </c>
      <c r="H503" t="s">
        <v>15799</v>
      </c>
      <c r="I503" t="s">
        <v>31438</v>
      </c>
      <c r="J503" t="s">
        <v>31564</v>
      </c>
      <c r="K503" t="s">
        <v>40662</v>
      </c>
      <c r="M503" t="s">
        <v>41201</v>
      </c>
      <c r="N503" t="s">
        <v>44905</v>
      </c>
      <c r="O503" t="s">
        <v>44906</v>
      </c>
      <c r="P503">
        <v>0</v>
      </c>
      <c r="Q503">
        <v>1</v>
      </c>
      <c r="R503" t="s">
        <v>44907</v>
      </c>
      <c r="S503" t="s">
        <v>45026</v>
      </c>
      <c r="T503" t="s">
        <v>46414</v>
      </c>
      <c r="U503" t="s">
        <v>47360</v>
      </c>
      <c r="W503" t="s">
        <v>41201</v>
      </c>
      <c r="X503" t="s">
        <v>44908</v>
      </c>
    </row>
    <row r="504" spans="1:24">
      <c r="A504">
        <f>HYPERLINK("https://www.philgeps.gov.ph/GEPSNONPILOT/Tender/SplashBidNoticeAbstractUI.aspx?menuIndex=3&amp;refID=7082071&amp;Result=3","7082071")</f>
        <v>0</v>
      </c>
      <c r="B504" t="s">
        <v>261</v>
      </c>
      <c r="C504" t="s">
        <v>4013</v>
      </c>
      <c r="D504" t="s">
        <v>18109</v>
      </c>
      <c r="E504" t="s">
        <v>18662</v>
      </c>
      <c r="F504" t="s">
        <v>31362</v>
      </c>
      <c r="G504" t="s">
        <v>31368</v>
      </c>
      <c r="H504" t="s">
        <v>15799</v>
      </c>
      <c r="I504" t="s">
        <v>31430</v>
      </c>
      <c r="J504" t="s">
        <v>31806</v>
      </c>
      <c r="K504" t="s">
        <v>40661</v>
      </c>
      <c r="M504" t="s">
        <v>41202</v>
      </c>
      <c r="N504" t="s">
        <v>44905</v>
      </c>
      <c r="O504" t="s">
        <v>44906</v>
      </c>
      <c r="P504">
        <v>0</v>
      </c>
      <c r="Q504">
        <v>0</v>
      </c>
      <c r="R504" t="s">
        <v>44907</v>
      </c>
      <c r="S504" t="s">
        <v>45026</v>
      </c>
      <c r="T504" t="s">
        <v>46446</v>
      </c>
      <c r="U504" t="s">
        <v>47361</v>
      </c>
      <c r="W504" t="s">
        <v>41202</v>
      </c>
      <c r="X504" t="s">
        <v>44908</v>
      </c>
    </row>
    <row r="505" spans="1:24">
      <c r="A505">
        <f>HYPERLINK("https://www.philgeps.gov.ph/GEPSNONPILOT/Tender/SplashBidNoticeAbstractUI.aspx?menuIndex=3&amp;refID=7082070&amp;Result=3","7082070")</f>
        <v>0</v>
      </c>
      <c r="B505" t="s">
        <v>87</v>
      </c>
      <c r="C505" t="s">
        <v>4014</v>
      </c>
      <c r="D505" t="s">
        <v>18109</v>
      </c>
      <c r="E505" t="s">
        <v>18663</v>
      </c>
      <c r="F505" t="s">
        <v>31362</v>
      </c>
      <c r="G505" t="s">
        <v>31368</v>
      </c>
      <c r="H505" t="s">
        <v>15799</v>
      </c>
      <c r="I505" t="s">
        <v>6240</v>
      </c>
      <c r="J505" t="s">
        <v>31917</v>
      </c>
      <c r="K505" t="s">
        <v>40661</v>
      </c>
      <c r="M505" t="s">
        <v>41023</v>
      </c>
      <c r="N505" t="s">
        <v>44905</v>
      </c>
      <c r="O505" t="s">
        <v>44906</v>
      </c>
      <c r="P505">
        <v>0</v>
      </c>
      <c r="Q505">
        <v>0</v>
      </c>
      <c r="R505" t="s">
        <v>44907</v>
      </c>
      <c r="S505" t="s">
        <v>45026</v>
      </c>
      <c r="T505" t="s">
        <v>46435</v>
      </c>
      <c r="U505" t="s">
        <v>47051</v>
      </c>
      <c r="W505" t="s">
        <v>60832</v>
      </c>
      <c r="X505" t="s">
        <v>44908</v>
      </c>
    </row>
    <row r="506" spans="1:24">
      <c r="A506">
        <f>HYPERLINK("https://www.philgeps.gov.ph/GEPSNONPILOT/Tender/SplashBidNoticeAbstractUI.aspx?menuIndex=3&amp;refID=7082084&amp;Result=3","7082084")</f>
        <v>0</v>
      </c>
      <c r="B506" t="s">
        <v>262</v>
      </c>
      <c r="C506" t="s">
        <v>4015</v>
      </c>
      <c r="D506" t="s">
        <v>18127</v>
      </c>
      <c r="E506" t="s">
        <v>18664</v>
      </c>
      <c r="F506" t="s">
        <v>31362</v>
      </c>
      <c r="G506" t="s">
        <v>31368</v>
      </c>
      <c r="H506" t="s">
        <v>15799</v>
      </c>
      <c r="I506" t="s">
        <v>31385</v>
      </c>
      <c r="J506" t="s">
        <v>31918</v>
      </c>
      <c r="K506" t="s">
        <v>40662</v>
      </c>
      <c r="M506" t="s">
        <v>41203</v>
      </c>
      <c r="N506" t="s">
        <v>44905</v>
      </c>
      <c r="O506" t="s">
        <v>44906</v>
      </c>
      <c r="P506">
        <v>0</v>
      </c>
      <c r="Q506">
        <v>1</v>
      </c>
      <c r="R506" t="s">
        <v>44907</v>
      </c>
      <c r="S506" t="s">
        <v>45026</v>
      </c>
      <c r="T506" t="s">
        <v>46412</v>
      </c>
      <c r="U506" t="s">
        <v>47362</v>
      </c>
      <c r="W506" t="s">
        <v>41203</v>
      </c>
      <c r="X506" t="s">
        <v>44908</v>
      </c>
    </row>
    <row r="507" spans="1:24">
      <c r="A507">
        <f>HYPERLINK("https://www.philgeps.gov.ph/GEPSNONPILOT/Tender/SplashBidNoticeAbstractUI.aspx?menuIndex=3&amp;refID=7082101&amp;Result=3","7082101")</f>
        <v>0</v>
      </c>
      <c r="B507" t="s">
        <v>168</v>
      </c>
      <c r="C507" t="s">
        <v>4016</v>
      </c>
      <c r="D507" t="s">
        <v>18102</v>
      </c>
      <c r="E507" t="s">
        <v>18665</v>
      </c>
      <c r="F507" t="s">
        <v>31362</v>
      </c>
      <c r="G507" t="s">
        <v>31370</v>
      </c>
      <c r="H507" t="s">
        <v>15799</v>
      </c>
      <c r="I507" t="s">
        <v>31413</v>
      </c>
      <c r="J507" t="s">
        <v>31919</v>
      </c>
      <c r="K507" t="s">
        <v>40675</v>
      </c>
      <c r="M507" t="s">
        <v>41106</v>
      </c>
      <c r="N507" t="s">
        <v>44905</v>
      </c>
      <c r="O507" t="s">
        <v>44906</v>
      </c>
      <c r="P507">
        <v>0</v>
      </c>
      <c r="Q507">
        <v>1</v>
      </c>
      <c r="R507" t="s">
        <v>44907</v>
      </c>
      <c r="S507" t="s">
        <v>45026</v>
      </c>
      <c r="T507" t="s">
        <v>46404</v>
      </c>
      <c r="U507" t="s">
        <v>47363</v>
      </c>
      <c r="V507" t="s">
        <v>59087</v>
      </c>
      <c r="W507" t="s">
        <v>41106</v>
      </c>
      <c r="X507" t="s">
        <v>44908</v>
      </c>
    </row>
    <row r="508" spans="1:24">
      <c r="A508">
        <f>HYPERLINK("https://www.philgeps.gov.ph/GEPSNONPILOT/Tender/SplashBidNoticeAbstractUI.aspx?menuIndex=3&amp;refID=7082108&amp;Result=3","7082108")</f>
        <v>0</v>
      </c>
      <c r="B508" t="s">
        <v>185</v>
      </c>
      <c r="C508" t="s">
        <v>4017</v>
      </c>
      <c r="D508" t="s">
        <v>18153</v>
      </c>
      <c r="E508" t="s">
        <v>18666</v>
      </c>
      <c r="F508" t="s">
        <v>31362</v>
      </c>
      <c r="G508" t="s">
        <v>31368</v>
      </c>
      <c r="H508" t="s">
        <v>15799</v>
      </c>
      <c r="I508" t="s">
        <v>7719</v>
      </c>
      <c r="J508" t="s">
        <v>31920</v>
      </c>
      <c r="K508" t="s">
        <v>40666</v>
      </c>
      <c r="M508" t="s">
        <v>41123</v>
      </c>
      <c r="N508" t="s">
        <v>44905</v>
      </c>
      <c r="O508" t="s">
        <v>44906</v>
      </c>
      <c r="P508">
        <v>0</v>
      </c>
      <c r="Q508">
        <v>3</v>
      </c>
      <c r="R508" t="s">
        <v>44907</v>
      </c>
      <c r="S508" t="s">
        <v>45026</v>
      </c>
      <c r="T508" t="s">
        <v>46483</v>
      </c>
      <c r="U508" t="s">
        <v>47364</v>
      </c>
      <c r="V508" t="s">
        <v>59118</v>
      </c>
      <c r="W508" t="s">
        <v>41123</v>
      </c>
      <c r="X508" t="s">
        <v>44908</v>
      </c>
    </row>
    <row r="509" spans="1:24">
      <c r="A509">
        <f>HYPERLINK("https://www.philgeps.gov.ph/GEPSNONPILOT/Tender/SplashBidNoticeAbstractUI.aspx?menuIndex=3&amp;refID=7082047&amp;Result=3","7082047")</f>
        <v>0</v>
      </c>
      <c r="B509" t="s">
        <v>61</v>
      </c>
      <c r="C509" t="s">
        <v>4018</v>
      </c>
      <c r="D509" t="s">
        <v>18124</v>
      </c>
      <c r="E509" t="s">
        <v>18667</v>
      </c>
      <c r="F509" t="s">
        <v>31362</v>
      </c>
      <c r="G509" t="s">
        <v>31368</v>
      </c>
      <c r="H509" t="s">
        <v>15799</v>
      </c>
      <c r="I509" t="s">
        <v>31385</v>
      </c>
      <c r="J509" t="s">
        <v>31921</v>
      </c>
      <c r="K509" t="s">
        <v>40679</v>
      </c>
      <c r="M509" t="s">
        <v>40996</v>
      </c>
      <c r="N509" t="s">
        <v>44905</v>
      </c>
      <c r="O509" t="s">
        <v>44906</v>
      </c>
      <c r="P509">
        <v>0</v>
      </c>
      <c r="Q509">
        <v>0</v>
      </c>
      <c r="R509" t="s">
        <v>44907</v>
      </c>
      <c r="S509" t="s">
        <v>45026</v>
      </c>
      <c r="T509" t="s">
        <v>46419</v>
      </c>
      <c r="U509" t="s">
        <v>46986</v>
      </c>
      <c r="W509" t="s">
        <v>40996</v>
      </c>
      <c r="X509" t="s">
        <v>44908</v>
      </c>
    </row>
    <row r="510" spans="1:24">
      <c r="A510">
        <f>HYPERLINK("https://www.philgeps.gov.ph/GEPSNONPILOT/Tender/SplashBidNoticeAbstractUI.aspx?menuIndex=3&amp;refID=7082107&amp;Result=3","7082107")</f>
        <v>0</v>
      </c>
      <c r="B510" t="s">
        <v>241</v>
      </c>
      <c r="C510" t="s">
        <v>4019</v>
      </c>
      <c r="D510" t="s">
        <v>18143</v>
      </c>
      <c r="E510" t="s">
        <v>18668</v>
      </c>
      <c r="F510" t="s">
        <v>31362</v>
      </c>
      <c r="G510" t="s">
        <v>31368</v>
      </c>
      <c r="H510" t="s">
        <v>15799</v>
      </c>
      <c r="I510" t="s">
        <v>31415</v>
      </c>
      <c r="J510" t="s">
        <v>31922</v>
      </c>
      <c r="K510" t="s">
        <v>40661</v>
      </c>
      <c r="M510" t="s">
        <v>41180</v>
      </c>
      <c r="N510" t="s">
        <v>44905</v>
      </c>
      <c r="O510" t="s">
        <v>44906</v>
      </c>
      <c r="P510">
        <v>0</v>
      </c>
      <c r="Q510">
        <v>0</v>
      </c>
      <c r="R510" t="s">
        <v>44907</v>
      </c>
      <c r="S510" t="s">
        <v>45026</v>
      </c>
      <c r="T510" t="s">
        <v>46446</v>
      </c>
      <c r="U510" t="s">
        <v>47365</v>
      </c>
      <c r="W510" t="s">
        <v>41180</v>
      </c>
      <c r="X510" t="s">
        <v>44908</v>
      </c>
    </row>
    <row r="511" spans="1:24">
      <c r="A511">
        <f>HYPERLINK("https://www.philgeps.gov.ph/GEPSNONPILOT/Tender/SplashBidNoticeAbstractUI.aspx?menuIndex=3&amp;refID=7082106&amp;Result=3","7082106")</f>
        <v>0</v>
      </c>
      <c r="B511" t="s">
        <v>263</v>
      </c>
      <c r="C511" t="s">
        <v>4020</v>
      </c>
      <c r="D511" t="s">
        <v>18109</v>
      </c>
      <c r="E511" t="s">
        <v>18669</v>
      </c>
      <c r="F511" t="s">
        <v>31362</v>
      </c>
      <c r="G511" t="s">
        <v>31370</v>
      </c>
      <c r="H511" t="s">
        <v>15799</v>
      </c>
      <c r="I511" t="s">
        <v>4942</v>
      </c>
      <c r="J511" t="s">
        <v>31923</v>
      </c>
      <c r="K511" t="s">
        <v>40666</v>
      </c>
      <c r="M511" t="s">
        <v>41204</v>
      </c>
      <c r="N511" t="s">
        <v>44905</v>
      </c>
      <c r="O511" t="s">
        <v>44906</v>
      </c>
      <c r="P511">
        <v>0</v>
      </c>
      <c r="Q511">
        <v>1</v>
      </c>
      <c r="R511" t="s">
        <v>44907</v>
      </c>
      <c r="S511" t="s">
        <v>45026</v>
      </c>
      <c r="T511" t="s">
        <v>46411</v>
      </c>
      <c r="U511" t="s">
        <v>47366</v>
      </c>
      <c r="W511" t="s">
        <v>41204</v>
      </c>
      <c r="X511" t="s">
        <v>44908</v>
      </c>
    </row>
    <row r="512" spans="1:24">
      <c r="A512">
        <f>HYPERLINK("https://www.philgeps.gov.ph/GEPSNONPILOT/Tender/SplashBidNoticeAbstractUI.aspx?menuIndex=3&amp;refID=7082103&amp;Result=3","7082103")</f>
        <v>0</v>
      </c>
      <c r="B512" t="s">
        <v>264</v>
      </c>
      <c r="C512" t="s">
        <v>4021</v>
      </c>
      <c r="D512" t="s">
        <v>18138</v>
      </c>
      <c r="E512" t="s">
        <v>18670</v>
      </c>
      <c r="F512" t="s">
        <v>31362</v>
      </c>
      <c r="G512" t="s">
        <v>31369</v>
      </c>
      <c r="H512" t="s">
        <v>15799</v>
      </c>
      <c r="I512" t="s">
        <v>31409</v>
      </c>
      <c r="J512" t="s">
        <v>31606</v>
      </c>
      <c r="K512" t="s">
        <v>40681</v>
      </c>
      <c r="M512" t="s">
        <v>41205</v>
      </c>
      <c r="N512" t="s">
        <v>44905</v>
      </c>
      <c r="O512" t="s">
        <v>44906</v>
      </c>
      <c r="P512">
        <v>0</v>
      </c>
      <c r="Q512">
        <v>7</v>
      </c>
      <c r="R512" t="s">
        <v>44907</v>
      </c>
      <c r="S512" t="s">
        <v>45026</v>
      </c>
      <c r="T512" t="s">
        <v>46431</v>
      </c>
      <c r="U512" t="s">
        <v>47367</v>
      </c>
      <c r="V512" t="s">
        <v>59119</v>
      </c>
      <c r="W512" t="s">
        <v>41205</v>
      </c>
      <c r="X512" t="s">
        <v>44908</v>
      </c>
    </row>
    <row r="513" spans="1:24">
      <c r="A513">
        <f>HYPERLINK("https://www.philgeps.gov.ph/GEPSNONPILOT/Tender/SplashBidNoticeAbstractUI.aspx?menuIndex=3&amp;refID=7082102&amp;Result=3","7082102")</f>
        <v>0</v>
      </c>
      <c r="B513" t="s">
        <v>265</v>
      </c>
      <c r="C513" t="s">
        <v>4022</v>
      </c>
      <c r="D513" t="s">
        <v>18103</v>
      </c>
      <c r="E513" t="s">
        <v>18671</v>
      </c>
      <c r="F513" t="s">
        <v>31362</v>
      </c>
      <c r="G513" t="s">
        <v>31368</v>
      </c>
      <c r="H513" t="s">
        <v>15799</v>
      </c>
      <c r="I513" t="s">
        <v>7090</v>
      </c>
      <c r="J513" t="s">
        <v>31897</v>
      </c>
      <c r="K513" t="s">
        <v>40661</v>
      </c>
      <c r="M513" t="s">
        <v>41206</v>
      </c>
      <c r="N513" t="s">
        <v>44905</v>
      </c>
      <c r="O513" t="s">
        <v>44906</v>
      </c>
      <c r="P513">
        <v>0</v>
      </c>
      <c r="Q513">
        <v>0</v>
      </c>
      <c r="R513" t="s">
        <v>44907</v>
      </c>
      <c r="S513" t="s">
        <v>45026</v>
      </c>
      <c r="T513" t="s">
        <v>46409</v>
      </c>
      <c r="U513" t="s">
        <v>47368</v>
      </c>
      <c r="V513" t="s">
        <v>59120</v>
      </c>
      <c r="W513" t="s">
        <v>41206</v>
      </c>
      <c r="X513" t="s">
        <v>44908</v>
      </c>
    </row>
    <row r="514" spans="1:24">
      <c r="A514">
        <f>HYPERLINK("https://www.philgeps.gov.ph/GEPSNONPILOT/Tender/SplashBidNoticeAbstractUI.aspx?menuIndex=3&amp;refID=7082100&amp;Result=3","7082100")</f>
        <v>0</v>
      </c>
      <c r="B514" t="s">
        <v>266</v>
      </c>
      <c r="C514" t="s">
        <v>4023</v>
      </c>
      <c r="D514" t="s">
        <v>18164</v>
      </c>
      <c r="E514" t="s">
        <v>18672</v>
      </c>
      <c r="F514" t="s">
        <v>31362</v>
      </c>
      <c r="G514" t="s">
        <v>31369</v>
      </c>
      <c r="H514" t="s">
        <v>15799</v>
      </c>
      <c r="I514" t="s">
        <v>3815</v>
      </c>
      <c r="J514" t="s">
        <v>31924</v>
      </c>
      <c r="K514" t="s">
        <v>40682</v>
      </c>
      <c r="M514" t="s">
        <v>41207</v>
      </c>
      <c r="N514" t="s">
        <v>44905</v>
      </c>
      <c r="O514" t="s">
        <v>44906</v>
      </c>
      <c r="P514">
        <v>0</v>
      </c>
      <c r="Q514">
        <v>0</v>
      </c>
      <c r="R514" t="s">
        <v>44907</v>
      </c>
      <c r="S514" t="s">
        <v>45026</v>
      </c>
      <c r="T514" t="s">
        <v>46499</v>
      </c>
      <c r="U514" t="s">
        <v>47369</v>
      </c>
      <c r="W514" t="s">
        <v>41207</v>
      </c>
      <c r="X514" t="s">
        <v>44908</v>
      </c>
    </row>
    <row r="515" spans="1:24">
      <c r="A515">
        <f>HYPERLINK("https://www.philgeps.gov.ph/GEPSNONPILOT/Tender/SplashBidNoticeAbstractUI.aspx?menuIndex=3&amp;refID=7082057&amp;Result=3","7082057")</f>
        <v>0</v>
      </c>
      <c r="B515" t="s">
        <v>167</v>
      </c>
      <c r="C515" t="s">
        <v>4024</v>
      </c>
      <c r="D515" t="s">
        <v>18152</v>
      </c>
      <c r="E515" t="s">
        <v>18673</v>
      </c>
      <c r="F515" t="s">
        <v>31362</v>
      </c>
      <c r="G515" t="s">
        <v>31369</v>
      </c>
      <c r="H515" t="s">
        <v>15799</v>
      </c>
      <c r="I515" t="s">
        <v>13635</v>
      </c>
      <c r="J515" t="s">
        <v>31925</v>
      </c>
      <c r="K515" t="s">
        <v>40670</v>
      </c>
      <c r="M515" t="s">
        <v>41105</v>
      </c>
      <c r="N515" t="s">
        <v>44905</v>
      </c>
      <c r="O515" t="s">
        <v>44906</v>
      </c>
      <c r="P515">
        <v>0</v>
      </c>
      <c r="Q515">
        <v>1</v>
      </c>
      <c r="R515" t="s">
        <v>44907</v>
      </c>
      <c r="S515" t="s">
        <v>45026</v>
      </c>
      <c r="T515" t="s">
        <v>46462</v>
      </c>
      <c r="U515" t="s">
        <v>47370</v>
      </c>
      <c r="V515" t="s">
        <v>59121</v>
      </c>
      <c r="W515" t="s">
        <v>41105</v>
      </c>
      <c r="X515" t="s">
        <v>44908</v>
      </c>
    </row>
    <row r="516" spans="1:24">
      <c r="A516">
        <f>HYPERLINK("https://www.philgeps.gov.ph/GEPSNONPILOT/Tender/SplashBidNoticeAbstractUI.aspx?menuIndex=3&amp;refID=7082056&amp;Result=3","7082056")</f>
        <v>0</v>
      </c>
      <c r="B516" t="s">
        <v>267</v>
      </c>
      <c r="C516" t="s">
        <v>4025</v>
      </c>
      <c r="D516" t="s">
        <v>18154</v>
      </c>
      <c r="E516" t="s">
        <v>18674</v>
      </c>
      <c r="F516" t="s">
        <v>31362</v>
      </c>
      <c r="G516" t="s">
        <v>31369</v>
      </c>
      <c r="H516" t="s">
        <v>15799</v>
      </c>
      <c r="I516" t="s">
        <v>3815</v>
      </c>
      <c r="J516" t="s">
        <v>31926</v>
      </c>
      <c r="K516" t="s">
        <v>40670</v>
      </c>
      <c r="M516" t="s">
        <v>41208</v>
      </c>
      <c r="N516" t="s">
        <v>44905</v>
      </c>
      <c r="O516" t="s">
        <v>44906</v>
      </c>
      <c r="P516">
        <v>0</v>
      </c>
      <c r="Q516">
        <v>0</v>
      </c>
      <c r="R516" t="s">
        <v>44907</v>
      </c>
      <c r="S516" t="s">
        <v>45026</v>
      </c>
      <c r="T516" t="s">
        <v>46392</v>
      </c>
      <c r="U516" t="s">
        <v>47371</v>
      </c>
      <c r="W516" t="s">
        <v>41208</v>
      </c>
      <c r="X516" t="s">
        <v>44908</v>
      </c>
    </row>
    <row r="517" spans="1:24">
      <c r="A517">
        <f>HYPERLINK("https://www.philgeps.gov.ph/GEPSNONPILOT/Tender/SplashBidNoticeAbstractUI.aspx?menuIndex=3&amp;refID=7082104&amp;Result=3","7082104")</f>
        <v>0</v>
      </c>
      <c r="B517" t="s">
        <v>240</v>
      </c>
      <c r="C517" t="s">
        <v>4026</v>
      </c>
      <c r="D517" t="s">
        <v>18122</v>
      </c>
      <c r="E517" t="s">
        <v>18675</v>
      </c>
      <c r="F517" t="s">
        <v>31362</v>
      </c>
      <c r="G517" t="s">
        <v>31368</v>
      </c>
      <c r="H517" t="s">
        <v>15799</v>
      </c>
      <c r="I517" t="s">
        <v>13635</v>
      </c>
      <c r="J517" t="s">
        <v>31927</v>
      </c>
      <c r="K517" t="s">
        <v>40665</v>
      </c>
      <c r="M517" t="s">
        <v>41179</v>
      </c>
      <c r="N517" t="s">
        <v>44905</v>
      </c>
      <c r="O517" t="s">
        <v>44906</v>
      </c>
      <c r="P517">
        <v>0</v>
      </c>
      <c r="Q517">
        <v>0</v>
      </c>
      <c r="R517" t="s">
        <v>44907</v>
      </c>
      <c r="S517" t="s">
        <v>45026</v>
      </c>
      <c r="T517" t="s">
        <v>46500</v>
      </c>
      <c r="U517" t="s">
        <v>47372</v>
      </c>
      <c r="V517" t="s">
        <v>59122</v>
      </c>
      <c r="W517" t="s">
        <v>41179</v>
      </c>
      <c r="X517" t="s">
        <v>44908</v>
      </c>
    </row>
    <row r="518" spans="1:24">
      <c r="A518">
        <f>HYPERLINK("https://www.philgeps.gov.ph/GEPSNONPILOT/Tender/SplashBidNoticeAbstractUI.aspx?menuIndex=3&amp;refID=7082096&amp;Result=3","7082096")</f>
        <v>0</v>
      </c>
      <c r="B518" t="s">
        <v>179</v>
      </c>
      <c r="C518" t="s">
        <v>4027</v>
      </c>
      <c r="D518" t="s">
        <v>18155</v>
      </c>
      <c r="E518" t="s">
        <v>18676</v>
      </c>
      <c r="F518" t="s">
        <v>31362</v>
      </c>
      <c r="G518" t="s">
        <v>31368</v>
      </c>
      <c r="H518" t="s">
        <v>15799</v>
      </c>
      <c r="I518" t="s">
        <v>7188</v>
      </c>
      <c r="J518" t="s">
        <v>31578</v>
      </c>
      <c r="K518" t="s">
        <v>40665</v>
      </c>
      <c r="M518" t="s">
        <v>41209</v>
      </c>
      <c r="N518" t="s">
        <v>44905</v>
      </c>
      <c r="O518" t="s">
        <v>44906</v>
      </c>
      <c r="P518">
        <v>0</v>
      </c>
      <c r="Q518">
        <v>3</v>
      </c>
      <c r="R518" t="s">
        <v>44907</v>
      </c>
      <c r="S518" t="s">
        <v>45026</v>
      </c>
      <c r="T518" t="s">
        <v>46482</v>
      </c>
      <c r="U518" t="s">
        <v>47373</v>
      </c>
      <c r="W518" t="s">
        <v>60842</v>
      </c>
      <c r="X518" t="s">
        <v>44908</v>
      </c>
    </row>
    <row r="519" spans="1:24">
      <c r="A519">
        <f>HYPERLINK("https://www.philgeps.gov.ph/GEPSNONPILOT/Tender/SplashBidNoticeAbstractUI.aspx?menuIndex=3&amp;refID=7082095&amp;Result=3","7082095")</f>
        <v>0</v>
      </c>
      <c r="B519" t="s">
        <v>87</v>
      </c>
      <c r="C519" t="s">
        <v>4028</v>
      </c>
      <c r="D519" t="s">
        <v>18109</v>
      </c>
      <c r="E519" t="s">
        <v>18677</v>
      </c>
      <c r="F519" t="s">
        <v>31362</v>
      </c>
      <c r="G519" t="s">
        <v>31368</v>
      </c>
      <c r="H519" t="s">
        <v>15799</v>
      </c>
      <c r="I519" t="s">
        <v>31387</v>
      </c>
      <c r="J519" t="s">
        <v>31928</v>
      </c>
      <c r="K519" t="s">
        <v>40661</v>
      </c>
      <c r="M519" t="s">
        <v>41023</v>
      </c>
      <c r="N519" t="s">
        <v>44905</v>
      </c>
      <c r="O519" t="s">
        <v>44906</v>
      </c>
      <c r="P519">
        <v>0</v>
      </c>
      <c r="Q519">
        <v>0</v>
      </c>
      <c r="R519" t="s">
        <v>44907</v>
      </c>
      <c r="S519" t="s">
        <v>45026</v>
      </c>
      <c r="T519" t="s">
        <v>46435</v>
      </c>
      <c r="U519" t="s">
        <v>47051</v>
      </c>
      <c r="W519" t="s">
        <v>60832</v>
      </c>
      <c r="X519" t="s">
        <v>44908</v>
      </c>
    </row>
    <row r="520" spans="1:24">
      <c r="A520">
        <f>HYPERLINK("https://www.philgeps.gov.ph/GEPSNONPILOT/Tender/SplashBidNoticeAbstractUI.aspx?menuIndex=3&amp;refID=7082092&amp;Result=3","7082092")</f>
        <v>0</v>
      </c>
      <c r="B520" t="s">
        <v>268</v>
      </c>
      <c r="C520" t="s">
        <v>4029</v>
      </c>
      <c r="D520" t="s">
        <v>18165</v>
      </c>
      <c r="E520" t="s">
        <v>18678</v>
      </c>
      <c r="F520" t="s">
        <v>31362</v>
      </c>
      <c r="G520" t="s">
        <v>31372</v>
      </c>
      <c r="H520" t="s">
        <v>15799</v>
      </c>
      <c r="I520" t="s">
        <v>31430</v>
      </c>
      <c r="J520" t="s">
        <v>31929</v>
      </c>
      <c r="K520" t="s">
        <v>40661</v>
      </c>
      <c r="M520" t="s">
        <v>41210</v>
      </c>
      <c r="N520" t="s">
        <v>44905</v>
      </c>
      <c r="O520" t="s">
        <v>44906</v>
      </c>
      <c r="P520">
        <v>0</v>
      </c>
      <c r="Q520">
        <v>0</v>
      </c>
      <c r="R520" t="s">
        <v>44907</v>
      </c>
      <c r="S520" t="s">
        <v>45026</v>
      </c>
      <c r="T520" t="s">
        <v>46432</v>
      </c>
      <c r="U520" t="s">
        <v>47374</v>
      </c>
      <c r="W520" t="s">
        <v>41210</v>
      </c>
      <c r="X520" t="s">
        <v>44908</v>
      </c>
    </row>
    <row r="521" spans="1:24">
      <c r="A521">
        <f>HYPERLINK("https://www.philgeps.gov.ph/GEPSNONPILOT/Tender/SplashBidNoticeAbstractUI.aspx?menuIndex=3&amp;refID=7082090&amp;Result=3","7082090")</f>
        <v>0</v>
      </c>
      <c r="B521" t="s">
        <v>267</v>
      </c>
      <c r="C521" t="s">
        <v>4030</v>
      </c>
      <c r="D521" t="s">
        <v>18154</v>
      </c>
      <c r="E521" t="s">
        <v>18679</v>
      </c>
      <c r="F521" t="s">
        <v>31362</v>
      </c>
      <c r="G521" t="s">
        <v>31369</v>
      </c>
      <c r="H521" t="s">
        <v>15799</v>
      </c>
      <c r="I521" t="s">
        <v>4283</v>
      </c>
      <c r="J521" t="s">
        <v>31930</v>
      </c>
      <c r="K521" t="s">
        <v>40670</v>
      </c>
      <c r="M521" t="s">
        <v>41208</v>
      </c>
      <c r="N521" t="s">
        <v>44905</v>
      </c>
      <c r="O521" t="s">
        <v>44906</v>
      </c>
      <c r="P521">
        <v>0</v>
      </c>
      <c r="Q521">
        <v>1</v>
      </c>
      <c r="R521" t="s">
        <v>44907</v>
      </c>
      <c r="S521" t="s">
        <v>45026</v>
      </c>
      <c r="T521" t="s">
        <v>46392</v>
      </c>
      <c r="U521" t="s">
        <v>47375</v>
      </c>
      <c r="W521" t="s">
        <v>41208</v>
      </c>
      <c r="X521" t="s">
        <v>44908</v>
      </c>
    </row>
    <row r="522" spans="1:24">
      <c r="A522">
        <f>HYPERLINK("https://www.philgeps.gov.ph/GEPSNONPILOT/Tender/SplashBidNoticeAbstractUI.aspx?menuIndex=3&amp;refID=7082098&amp;Result=3","7082098")</f>
        <v>0</v>
      </c>
      <c r="B522" t="s">
        <v>269</v>
      </c>
      <c r="C522" t="s">
        <v>4031</v>
      </c>
      <c r="D522" t="s">
        <v>18117</v>
      </c>
      <c r="E522" t="s">
        <v>18680</v>
      </c>
      <c r="F522" t="s">
        <v>31362</v>
      </c>
      <c r="G522" t="s">
        <v>31369</v>
      </c>
      <c r="H522" t="s">
        <v>15799</v>
      </c>
      <c r="I522" t="s">
        <v>3815</v>
      </c>
      <c r="J522" t="s">
        <v>31931</v>
      </c>
      <c r="K522" t="s">
        <v>40666</v>
      </c>
      <c r="M522" t="s">
        <v>41211</v>
      </c>
      <c r="N522" t="s">
        <v>44905</v>
      </c>
      <c r="O522" t="s">
        <v>44906</v>
      </c>
      <c r="P522">
        <v>0</v>
      </c>
      <c r="Q522">
        <v>1</v>
      </c>
      <c r="R522" t="s">
        <v>44907</v>
      </c>
      <c r="S522" t="s">
        <v>45026</v>
      </c>
      <c r="T522" t="s">
        <v>46501</v>
      </c>
      <c r="U522" t="s">
        <v>47376</v>
      </c>
      <c r="W522" t="s">
        <v>41211</v>
      </c>
      <c r="X522" t="s">
        <v>44908</v>
      </c>
    </row>
    <row r="523" spans="1:24">
      <c r="A523">
        <f>HYPERLINK("https://www.philgeps.gov.ph/GEPSNONPILOT/Tender/SplashBidNoticeAbstractUI.aspx?menuIndex=3&amp;refID=7082089&amp;Result=3","7082089")</f>
        <v>0</v>
      </c>
      <c r="B523" t="s">
        <v>270</v>
      </c>
      <c r="C523" t="s">
        <v>4032</v>
      </c>
      <c r="D523" t="s">
        <v>18166</v>
      </c>
      <c r="E523" t="s">
        <v>18681</v>
      </c>
      <c r="F523" t="s">
        <v>31362</v>
      </c>
      <c r="G523" t="s">
        <v>31369</v>
      </c>
      <c r="H523" t="s">
        <v>15799</v>
      </c>
      <c r="I523" t="s">
        <v>4283</v>
      </c>
      <c r="J523" t="s">
        <v>31932</v>
      </c>
      <c r="K523" t="s">
        <v>40661</v>
      </c>
      <c r="M523" t="s">
        <v>41212</v>
      </c>
      <c r="N523" t="s">
        <v>44905</v>
      </c>
      <c r="O523" t="s">
        <v>44906</v>
      </c>
      <c r="P523">
        <v>0</v>
      </c>
      <c r="Q523">
        <v>1</v>
      </c>
      <c r="R523" t="s">
        <v>44907</v>
      </c>
      <c r="S523" t="s">
        <v>45026</v>
      </c>
      <c r="T523" t="s">
        <v>46462</v>
      </c>
      <c r="U523" t="s">
        <v>47377</v>
      </c>
      <c r="W523" t="s">
        <v>41212</v>
      </c>
      <c r="X523" t="s">
        <v>44908</v>
      </c>
    </row>
    <row r="524" spans="1:24">
      <c r="A524">
        <f>HYPERLINK("https://www.philgeps.gov.ph/GEPSNONPILOT/Tender/SplashBidNoticeAbstractUI.aspx?menuIndex=3&amp;refID=7082088&amp;Result=3","7082088")</f>
        <v>0</v>
      </c>
      <c r="B524" t="s">
        <v>271</v>
      </c>
      <c r="C524" t="s">
        <v>4033</v>
      </c>
      <c r="D524" t="s">
        <v>18152</v>
      </c>
      <c r="E524" t="s">
        <v>18682</v>
      </c>
      <c r="F524" t="s">
        <v>31362</v>
      </c>
      <c r="G524" t="s">
        <v>31368</v>
      </c>
      <c r="H524" t="s">
        <v>15799</v>
      </c>
      <c r="I524" t="s">
        <v>31409</v>
      </c>
      <c r="J524" t="s">
        <v>31933</v>
      </c>
      <c r="K524" t="s">
        <v>40665</v>
      </c>
      <c r="M524" t="s">
        <v>41213</v>
      </c>
      <c r="N524" t="s">
        <v>44905</v>
      </c>
      <c r="O524" t="s">
        <v>44906</v>
      </c>
      <c r="P524">
        <v>0</v>
      </c>
      <c r="Q524">
        <v>0</v>
      </c>
      <c r="R524" t="s">
        <v>44907</v>
      </c>
      <c r="S524" t="s">
        <v>45026</v>
      </c>
      <c r="T524" t="s">
        <v>46403</v>
      </c>
      <c r="U524" t="s">
        <v>47378</v>
      </c>
      <c r="W524" t="s">
        <v>41213</v>
      </c>
      <c r="X524" t="s">
        <v>44908</v>
      </c>
    </row>
    <row r="525" spans="1:24">
      <c r="A525">
        <f>HYPERLINK("https://www.philgeps.gov.ph/GEPSNONPILOT/Tender/SplashBidNoticeAbstractUI.aspx?menuIndex=3&amp;refID=7082068&amp;Result=3","7082068")</f>
        <v>0</v>
      </c>
      <c r="B525" t="s">
        <v>272</v>
      </c>
      <c r="C525" t="s">
        <v>4034</v>
      </c>
      <c r="D525" t="s">
        <v>18110</v>
      </c>
      <c r="E525" t="s">
        <v>18683</v>
      </c>
      <c r="F525" t="s">
        <v>31362</v>
      </c>
      <c r="G525" t="s">
        <v>31368</v>
      </c>
      <c r="H525" t="s">
        <v>31379</v>
      </c>
      <c r="I525" t="s">
        <v>31412</v>
      </c>
      <c r="J525" t="s">
        <v>31536</v>
      </c>
      <c r="K525" t="s">
        <v>40686</v>
      </c>
      <c r="M525" t="s">
        <v>41214</v>
      </c>
      <c r="N525" t="s">
        <v>44905</v>
      </c>
      <c r="O525" t="s">
        <v>44906</v>
      </c>
      <c r="P525">
        <v>0</v>
      </c>
      <c r="Q525">
        <v>1</v>
      </c>
      <c r="R525" t="s">
        <v>44907</v>
      </c>
      <c r="S525" t="s">
        <v>45026</v>
      </c>
      <c r="T525" t="s">
        <v>46454</v>
      </c>
      <c r="U525" t="s">
        <v>47379</v>
      </c>
      <c r="W525" t="s">
        <v>60843</v>
      </c>
      <c r="X525" t="s">
        <v>44908</v>
      </c>
    </row>
    <row r="526" spans="1:24">
      <c r="A526">
        <f>HYPERLINK("https://www.philgeps.gov.ph/GEPSNONPILOT/Tender/SplashBidNoticeAbstractUI.aspx?menuIndex=3&amp;refID=7082015&amp;Result=3","7082015")</f>
        <v>0</v>
      </c>
      <c r="B526" t="s">
        <v>252</v>
      </c>
      <c r="C526" t="s">
        <v>4035</v>
      </c>
      <c r="D526" t="s">
        <v>18103</v>
      </c>
      <c r="E526" t="s">
        <v>18684</v>
      </c>
      <c r="F526" t="s">
        <v>31362</v>
      </c>
      <c r="G526" t="s">
        <v>31370</v>
      </c>
      <c r="H526" t="s">
        <v>15799</v>
      </c>
      <c r="I526" t="s">
        <v>31400</v>
      </c>
      <c r="J526" t="s">
        <v>31934</v>
      </c>
      <c r="K526" t="s">
        <v>40670</v>
      </c>
      <c r="M526" t="s">
        <v>41191</v>
      </c>
      <c r="N526" t="s">
        <v>44905</v>
      </c>
      <c r="O526" t="s">
        <v>44906</v>
      </c>
      <c r="P526">
        <v>0</v>
      </c>
      <c r="Q526">
        <v>4</v>
      </c>
      <c r="R526" t="s">
        <v>44907</v>
      </c>
      <c r="S526" t="s">
        <v>45026</v>
      </c>
      <c r="T526" t="s">
        <v>46393</v>
      </c>
      <c r="U526" t="s">
        <v>47348</v>
      </c>
      <c r="W526" t="s">
        <v>41191</v>
      </c>
      <c r="X526" t="s">
        <v>44908</v>
      </c>
    </row>
    <row r="527" spans="1:24">
      <c r="A527">
        <f>HYPERLINK("https://www.philgeps.gov.ph/GEPSNONPILOT/Tender/SplashBidNoticeAbstractUI.aspx?menuIndex=3&amp;refID=7082067&amp;Result=3","7082067")</f>
        <v>0</v>
      </c>
      <c r="B527" t="s">
        <v>194</v>
      </c>
      <c r="C527" t="s">
        <v>4036</v>
      </c>
      <c r="D527" t="s">
        <v>18143</v>
      </c>
      <c r="E527" t="s">
        <v>18685</v>
      </c>
      <c r="F527" t="s">
        <v>31362</v>
      </c>
      <c r="G527" t="s">
        <v>31368</v>
      </c>
      <c r="H527" t="s">
        <v>15799</v>
      </c>
      <c r="I527" t="s">
        <v>31387</v>
      </c>
      <c r="J527" t="s">
        <v>31935</v>
      </c>
      <c r="K527" t="s">
        <v>40666</v>
      </c>
      <c r="M527" t="s">
        <v>41132</v>
      </c>
      <c r="N527" t="s">
        <v>44905</v>
      </c>
      <c r="O527" t="s">
        <v>44906</v>
      </c>
      <c r="P527">
        <v>0</v>
      </c>
      <c r="Q527">
        <v>0</v>
      </c>
      <c r="R527" t="s">
        <v>44907</v>
      </c>
      <c r="S527" t="s">
        <v>45026</v>
      </c>
      <c r="T527" t="s">
        <v>46447</v>
      </c>
      <c r="U527" t="s">
        <v>47380</v>
      </c>
      <c r="W527" t="s">
        <v>41132</v>
      </c>
      <c r="X527" t="s">
        <v>44908</v>
      </c>
    </row>
    <row r="528" spans="1:24">
      <c r="A528">
        <f>HYPERLINK("https://www.philgeps.gov.ph/GEPSNONPILOT/Tender/SplashBidNoticeAbstractUI.aspx?menuIndex=3&amp;refID=7082065&amp;Result=3","7082065")</f>
        <v>0</v>
      </c>
      <c r="B528" t="s">
        <v>210</v>
      </c>
      <c r="C528" t="s">
        <v>4037</v>
      </c>
      <c r="D528" t="s">
        <v>18160</v>
      </c>
      <c r="E528" t="s">
        <v>18686</v>
      </c>
      <c r="F528" t="s">
        <v>31362</v>
      </c>
      <c r="G528" t="s">
        <v>31368</v>
      </c>
      <c r="H528" t="s">
        <v>15799</v>
      </c>
      <c r="I528" t="s">
        <v>31380</v>
      </c>
      <c r="J528" t="s">
        <v>31936</v>
      </c>
      <c r="K528" t="s">
        <v>40662</v>
      </c>
      <c r="M528" t="s">
        <v>41149</v>
      </c>
      <c r="N528" t="s">
        <v>44905</v>
      </c>
      <c r="O528" t="s">
        <v>44906</v>
      </c>
      <c r="P528">
        <v>0</v>
      </c>
      <c r="Q528">
        <v>3</v>
      </c>
      <c r="R528" t="s">
        <v>44907</v>
      </c>
      <c r="S528" t="s">
        <v>45026</v>
      </c>
      <c r="T528" t="s">
        <v>46454</v>
      </c>
      <c r="U528" t="s">
        <v>47381</v>
      </c>
      <c r="W528" t="s">
        <v>41149</v>
      </c>
      <c r="X528" t="s">
        <v>44908</v>
      </c>
    </row>
    <row r="529" spans="1:24">
      <c r="A529">
        <f>HYPERLINK("https://www.philgeps.gov.ph/GEPSNONPILOT/Tender/SplashBidNoticeAbstractUI.aspx?menuIndex=3&amp;refID=7082094&amp;Result=3","7082094")</f>
        <v>0</v>
      </c>
      <c r="B529" t="s">
        <v>273</v>
      </c>
      <c r="C529" t="s">
        <v>4038</v>
      </c>
      <c r="D529" t="s">
        <v>18108</v>
      </c>
      <c r="E529" t="s">
        <v>18687</v>
      </c>
      <c r="F529" t="s">
        <v>31362</v>
      </c>
      <c r="G529" t="s">
        <v>31370</v>
      </c>
      <c r="H529" t="s">
        <v>15799</v>
      </c>
      <c r="I529" t="s">
        <v>7719</v>
      </c>
      <c r="J529" t="s">
        <v>31937</v>
      </c>
      <c r="K529" t="s">
        <v>40666</v>
      </c>
      <c r="M529" t="s">
        <v>41215</v>
      </c>
      <c r="N529" t="s">
        <v>44905</v>
      </c>
      <c r="O529" t="s">
        <v>44906</v>
      </c>
      <c r="P529">
        <v>0</v>
      </c>
      <c r="Q529">
        <v>2</v>
      </c>
      <c r="R529" t="s">
        <v>44907</v>
      </c>
      <c r="S529" t="s">
        <v>45026</v>
      </c>
      <c r="T529" t="s">
        <v>46410</v>
      </c>
      <c r="U529" t="s">
        <v>47382</v>
      </c>
      <c r="V529" t="s">
        <v>59123</v>
      </c>
      <c r="W529" t="s">
        <v>60844</v>
      </c>
      <c r="X529" t="s">
        <v>44908</v>
      </c>
    </row>
    <row r="530" spans="1:24">
      <c r="A530">
        <f>HYPERLINK("https://www.philgeps.gov.ph/GEPSNONPILOT/Tender/SplashBidNoticeAbstractUI.aspx?menuIndex=3&amp;refID=7082091&amp;Result=3","7082091")</f>
        <v>0</v>
      </c>
      <c r="B530" t="s">
        <v>274</v>
      </c>
      <c r="C530" t="s">
        <v>4039</v>
      </c>
      <c r="D530" t="s">
        <v>18110</v>
      </c>
      <c r="E530" t="s">
        <v>18688</v>
      </c>
      <c r="F530" t="s">
        <v>31362</v>
      </c>
      <c r="G530" t="s">
        <v>31370</v>
      </c>
      <c r="H530" t="s">
        <v>15799</v>
      </c>
      <c r="I530" t="s">
        <v>31385</v>
      </c>
      <c r="J530" t="s">
        <v>31866</v>
      </c>
      <c r="K530" t="s">
        <v>40693</v>
      </c>
      <c r="M530" t="s">
        <v>41216</v>
      </c>
      <c r="N530" t="s">
        <v>44905</v>
      </c>
      <c r="O530" t="s">
        <v>44906</v>
      </c>
      <c r="P530">
        <v>0</v>
      </c>
      <c r="Q530">
        <v>0</v>
      </c>
      <c r="R530" t="s">
        <v>44907</v>
      </c>
      <c r="S530" t="s">
        <v>45026</v>
      </c>
      <c r="T530" t="s">
        <v>46414</v>
      </c>
      <c r="U530" t="s">
        <v>47383</v>
      </c>
      <c r="W530" t="s">
        <v>41216</v>
      </c>
      <c r="X530" t="s">
        <v>44908</v>
      </c>
    </row>
    <row r="531" spans="1:24">
      <c r="A531">
        <f>HYPERLINK("https://www.philgeps.gov.ph/GEPSNONPILOT/Tender/SplashBidNoticeAbstractUI.aspx?menuIndex=3&amp;refID=7082069&amp;Result=3","7082069")</f>
        <v>0</v>
      </c>
      <c r="B531" t="s">
        <v>116</v>
      </c>
      <c r="C531" t="s">
        <v>4040</v>
      </c>
      <c r="D531" t="s">
        <v>18141</v>
      </c>
      <c r="E531" t="s">
        <v>18689</v>
      </c>
      <c r="F531" t="s">
        <v>31362</v>
      </c>
      <c r="G531" t="s">
        <v>31372</v>
      </c>
      <c r="H531" t="s">
        <v>15799</v>
      </c>
      <c r="I531" t="s">
        <v>31422</v>
      </c>
      <c r="J531" t="s">
        <v>31578</v>
      </c>
      <c r="K531" t="s">
        <v>40661</v>
      </c>
      <c r="M531" t="s">
        <v>41053</v>
      </c>
      <c r="N531" t="s">
        <v>44905</v>
      </c>
      <c r="O531" t="s">
        <v>44906</v>
      </c>
      <c r="P531">
        <v>0</v>
      </c>
      <c r="Q531">
        <v>4</v>
      </c>
      <c r="R531" t="s">
        <v>44907</v>
      </c>
      <c r="S531" t="s">
        <v>45026</v>
      </c>
      <c r="T531" t="s">
        <v>46404</v>
      </c>
      <c r="U531" t="s">
        <v>47113</v>
      </c>
      <c r="W531" t="s">
        <v>41053</v>
      </c>
      <c r="X531" t="s">
        <v>44908</v>
      </c>
    </row>
    <row r="532" spans="1:24">
      <c r="A532">
        <f>HYPERLINK("https://www.philgeps.gov.ph/GEPSNONPILOT/Tender/SplashBidNoticeAbstractUI.aspx?menuIndex=3&amp;refID=7082097&amp;Result=3","7082097")</f>
        <v>0</v>
      </c>
      <c r="B532" t="s">
        <v>246</v>
      </c>
      <c r="C532" t="s">
        <v>4041</v>
      </c>
      <c r="D532" t="s">
        <v>18104</v>
      </c>
      <c r="E532" t="s">
        <v>18690</v>
      </c>
      <c r="F532" t="s">
        <v>31362</v>
      </c>
      <c r="G532" t="s">
        <v>31368</v>
      </c>
      <c r="H532" t="s">
        <v>15799</v>
      </c>
      <c r="I532" t="s">
        <v>31437</v>
      </c>
      <c r="J532" t="s">
        <v>31938</v>
      </c>
      <c r="K532" t="s">
        <v>40666</v>
      </c>
      <c r="M532" t="s">
        <v>41185</v>
      </c>
      <c r="N532" t="s">
        <v>44905</v>
      </c>
      <c r="O532" t="s">
        <v>44906</v>
      </c>
      <c r="P532">
        <v>0</v>
      </c>
      <c r="Q532">
        <v>0</v>
      </c>
      <c r="R532" t="s">
        <v>44907</v>
      </c>
      <c r="S532" t="s">
        <v>45026</v>
      </c>
      <c r="T532" t="s">
        <v>46411</v>
      </c>
      <c r="U532" t="s">
        <v>47340</v>
      </c>
      <c r="W532" t="s">
        <v>60841</v>
      </c>
      <c r="X532" t="s">
        <v>44908</v>
      </c>
    </row>
    <row r="533" spans="1:24">
      <c r="A533">
        <f>HYPERLINK("https://www.philgeps.gov.ph/GEPSNONPILOT/Tender/SplashBidNoticeAbstractUI.aspx?menuIndex=3&amp;refID=7082130&amp;Result=3","7082130")</f>
        <v>0</v>
      </c>
      <c r="B533" t="s">
        <v>275</v>
      </c>
      <c r="C533" t="s">
        <v>4042</v>
      </c>
      <c r="D533" t="s">
        <v>18140</v>
      </c>
      <c r="E533" t="s">
        <v>18691</v>
      </c>
      <c r="F533" t="s">
        <v>31362</v>
      </c>
      <c r="G533" t="s">
        <v>31368</v>
      </c>
      <c r="H533" t="s">
        <v>15799</v>
      </c>
      <c r="I533" t="s">
        <v>31433</v>
      </c>
      <c r="J533" t="s">
        <v>31939</v>
      </c>
      <c r="K533" t="s">
        <v>40661</v>
      </c>
      <c r="M533" t="s">
        <v>41217</v>
      </c>
      <c r="N533" t="s">
        <v>44905</v>
      </c>
      <c r="O533" t="s">
        <v>44906</v>
      </c>
      <c r="P533">
        <v>0</v>
      </c>
      <c r="Q533">
        <v>0</v>
      </c>
      <c r="R533" t="s">
        <v>44907</v>
      </c>
      <c r="S533" t="s">
        <v>45026</v>
      </c>
      <c r="T533" t="s">
        <v>46470</v>
      </c>
      <c r="U533" t="s">
        <v>47384</v>
      </c>
      <c r="W533" t="s">
        <v>41217</v>
      </c>
      <c r="X533" t="s">
        <v>44908</v>
      </c>
    </row>
    <row r="534" spans="1:24">
      <c r="A534">
        <f>HYPERLINK("https://www.philgeps.gov.ph/GEPSNONPILOT/Tender/SplashBidNoticeAbstractUI.aspx?menuIndex=3&amp;refID=7082086&amp;Result=3","7082086")</f>
        <v>0</v>
      </c>
      <c r="B534" t="s">
        <v>276</v>
      </c>
      <c r="C534" t="s">
        <v>4043</v>
      </c>
      <c r="D534" t="s">
        <v>18106</v>
      </c>
      <c r="E534" t="s">
        <v>18692</v>
      </c>
      <c r="F534" t="s">
        <v>31362</v>
      </c>
      <c r="G534" t="s">
        <v>31371</v>
      </c>
      <c r="H534" t="s">
        <v>15799</v>
      </c>
      <c r="I534" t="s">
        <v>6373</v>
      </c>
      <c r="J534" t="s">
        <v>31578</v>
      </c>
      <c r="K534" t="s">
        <v>40661</v>
      </c>
      <c r="M534" t="s">
        <v>41218</v>
      </c>
      <c r="N534" t="s">
        <v>44905</v>
      </c>
      <c r="O534" t="s">
        <v>44906</v>
      </c>
      <c r="P534">
        <v>0</v>
      </c>
      <c r="Q534">
        <v>0</v>
      </c>
      <c r="R534" t="s">
        <v>44907</v>
      </c>
      <c r="S534" t="s">
        <v>45026</v>
      </c>
      <c r="T534" t="s">
        <v>46438</v>
      </c>
      <c r="U534" t="s">
        <v>47385</v>
      </c>
      <c r="W534" t="s">
        <v>41218</v>
      </c>
      <c r="X534" t="s">
        <v>44908</v>
      </c>
    </row>
    <row r="535" spans="1:24">
      <c r="A535">
        <f>HYPERLINK("https://www.philgeps.gov.ph/GEPSNONPILOT/Tender/SplashBidNoticeAbstractUI.aspx?menuIndex=3&amp;refID=7082129&amp;Result=3","7082129")</f>
        <v>0</v>
      </c>
      <c r="B535" t="s">
        <v>277</v>
      </c>
      <c r="C535" t="s">
        <v>4044</v>
      </c>
      <c r="D535" t="s">
        <v>18149</v>
      </c>
      <c r="E535" t="s">
        <v>18693</v>
      </c>
      <c r="F535" t="s">
        <v>31362</v>
      </c>
      <c r="G535" t="s">
        <v>31368</v>
      </c>
      <c r="H535" t="s">
        <v>15799</v>
      </c>
      <c r="I535" t="s">
        <v>31409</v>
      </c>
      <c r="J535" t="s">
        <v>31940</v>
      </c>
      <c r="K535" t="s">
        <v>40666</v>
      </c>
      <c r="M535" t="s">
        <v>41219</v>
      </c>
      <c r="N535" t="s">
        <v>44905</v>
      </c>
      <c r="O535" t="s">
        <v>44906</v>
      </c>
      <c r="P535">
        <v>0</v>
      </c>
      <c r="Q535">
        <v>0</v>
      </c>
      <c r="R535" t="s">
        <v>44907</v>
      </c>
      <c r="S535" t="s">
        <v>45026</v>
      </c>
      <c r="T535" t="s">
        <v>46443</v>
      </c>
      <c r="U535" t="s">
        <v>47386</v>
      </c>
      <c r="W535" t="s">
        <v>41219</v>
      </c>
      <c r="X535" t="s">
        <v>44908</v>
      </c>
    </row>
    <row r="536" spans="1:24">
      <c r="A536">
        <f>HYPERLINK("https://www.philgeps.gov.ph/GEPSNONPILOT/Tender/SplashBidNoticeAbstractUI.aspx?menuIndex=3&amp;refID=7082127&amp;Result=3","7082127")</f>
        <v>0</v>
      </c>
      <c r="B536" t="s">
        <v>278</v>
      </c>
      <c r="C536" t="s">
        <v>4045</v>
      </c>
      <c r="D536" t="s">
        <v>18113</v>
      </c>
      <c r="E536" t="s">
        <v>18694</v>
      </c>
      <c r="F536" t="s">
        <v>31362</v>
      </c>
      <c r="G536" t="s">
        <v>31369</v>
      </c>
      <c r="H536" t="s">
        <v>31378</v>
      </c>
      <c r="I536" t="s">
        <v>31439</v>
      </c>
      <c r="J536" t="s">
        <v>31941</v>
      </c>
      <c r="K536" t="s">
        <v>40683</v>
      </c>
      <c r="M536" t="s">
        <v>41220</v>
      </c>
      <c r="N536" t="s">
        <v>44905</v>
      </c>
      <c r="O536" t="s">
        <v>44906</v>
      </c>
      <c r="P536">
        <v>0</v>
      </c>
      <c r="Q536">
        <v>1</v>
      </c>
      <c r="R536" t="s">
        <v>44907</v>
      </c>
      <c r="S536" t="s">
        <v>45026</v>
      </c>
      <c r="T536" t="s">
        <v>46405</v>
      </c>
      <c r="U536" t="s">
        <v>47387</v>
      </c>
      <c r="W536" t="s">
        <v>41220</v>
      </c>
      <c r="X536" t="s">
        <v>44908</v>
      </c>
    </row>
    <row r="537" spans="1:24">
      <c r="A537">
        <f>HYPERLINK("https://www.philgeps.gov.ph/GEPSNONPILOT/Tender/SplashBidNoticeAbstractUI.aspx?menuIndex=3&amp;refID=7082064&amp;Result=3","7082064")</f>
        <v>0</v>
      </c>
      <c r="B537" t="s">
        <v>279</v>
      </c>
      <c r="C537" t="s">
        <v>4046</v>
      </c>
      <c r="D537" t="s">
        <v>18139</v>
      </c>
      <c r="E537" t="s">
        <v>18695</v>
      </c>
      <c r="F537" t="s">
        <v>31362</v>
      </c>
      <c r="G537" t="s">
        <v>31370</v>
      </c>
      <c r="H537" t="s">
        <v>15799</v>
      </c>
      <c r="I537" t="s">
        <v>31384</v>
      </c>
      <c r="J537" t="s">
        <v>31942</v>
      </c>
      <c r="K537" t="s">
        <v>40672</v>
      </c>
      <c r="M537" t="s">
        <v>41221</v>
      </c>
      <c r="N537" t="s">
        <v>44905</v>
      </c>
      <c r="O537" t="s">
        <v>44906</v>
      </c>
      <c r="P537">
        <v>0</v>
      </c>
      <c r="Q537">
        <v>1</v>
      </c>
      <c r="R537" t="s">
        <v>44907</v>
      </c>
      <c r="S537" t="s">
        <v>45026</v>
      </c>
      <c r="T537" t="s">
        <v>46434</v>
      </c>
      <c r="U537" t="s">
        <v>47388</v>
      </c>
      <c r="W537" t="s">
        <v>41221</v>
      </c>
      <c r="X537" t="s">
        <v>44908</v>
      </c>
    </row>
    <row r="538" spans="1:24">
      <c r="A538">
        <f>HYPERLINK("https://www.philgeps.gov.ph/GEPSNONPILOT/Tender/SplashBidNoticeAbstractUI.aspx?menuIndex=3&amp;refID=7082124&amp;Result=3","7082124")</f>
        <v>0</v>
      </c>
      <c r="B538" t="s">
        <v>280</v>
      </c>
      <c r="C538" t="s">
        <v>4047</v>
      </c>
      <c r="D538" t="s">
        <v>18108</v>
      </c>
      <c r="E538" t="s">
        <v>18696</v>
      </c>
      <c r="F538" t="s">
        <v>31362</v>
      </c>
      <c r="G538" t="s">
        <v>31368</v>
      </c>
      <c r="H538" t="s">
        <v>15799</v>
      </c>
      <c r="I538" t="s">
        <v>6155</v>
      </c>
      <c r="J538" t="s">
        <v>31535</v>
      </c>
      <c r="K538" t="s">
        <v>40661</v>
      </c>
      <c r="M538" t="s">
        <v>41222</v>
      </c>
      <c r="N538" t="s">
        <v>44905</v>
      </c>
      <c r="O538" t="s">
        <v>44906</v>
      </c>
      <c r="P538">
        <v>0</v>
      </c>
      <c r="Q538">
        <v>4</v>
      </c>
      <c r="R538" t="s">
        <v>44907</v>
      </c>
      <c r="S538" t="s">
        <v>45026</v>
      </c>
      <c r="T538" t="s">
        <v>46394</v>
      </c>
      <c r="U538" t="s">
        <v>47389</v>
      </c>
      <c r="V538" t="s">
        <v>59124</v>
      </c>
      <c r="W538" t="s">
        <v>41222</v>
      </c>
      <c r="X538" t="s">
        <v>44908</v>
      </c>
    </row>
    <row r="539" spans="1:24">
      <c r="A539">
        <f>HYPERLINK("https://www.philgeps.gov.ph/GEPSNONPILOT/Tender/SplashBidNoticeAbstractUI.aspx?menuIndex=3&amp;refID=7082134&amp;Result=3","7082134")</f>
        <v>0</v>
      </c>
      <c r="B539" t="s">
        <v>281</v>
      </c>
      <c r="C539" t="s">
        <v>4048</v>
      </c>
      <c r="D539" t="s">
        <v>18167</v>
      </c>
      <c r="E539" t="s">
        <v>18697</v>
      </c>
      <c r="F539" t="s">
        <v>31362</v>
      </c>
      <c r="G539" t="s">
        <v>31370</v>
      </c>
      <c r="H539" t="s">
        <v>15799</v>
      </c>
      <c r="I539" t="s">
        <v>6373</v>
      </c>
      <c r="J539" t="s">
        <v>31943</v>
      </c>
      <c r="K539" t="s">
        <v>40697</v>
      </c>
      <c r="M539" t="s">
        <v>41223</v>
      </c>
      <c r="N539" t="s">
        <v>44905</v>
      </c>
      <c r="O539" t="s">
        <v>44906</v>
      </c>
      <c r="P539">
        <v>0</v>
      </c>
      <c r="Q539">
        <v>0</v>
      </c>
      <c r="R539" t="s">
        <v>44907</v>
      </c>
      <c r="S539" t="s">
        <v>45026</v>
      </c>
      <c r="T539" t="s">
        <v>46414</v>
      </c>
      <c r="U539" t="s">
        <v>47390</v>
      </c>
      <c r="V539" t="s">
        <v>59125</v>
      </c>
      <c r="W539" t="s">
        <v>41223</v>
      </c>
      <c r="X539" t="s">
        <v>44908</v>
      </c>
    </row>
    <row r="540" spans="1:24">
      <c r="A540">
        <f>HYPERLINK("https://www.philgeps.gov.ph/GEPSNONPILOT/Tender/SplashBidNoticeAbstractUI.aspx?menuIndex=3&amp;refID=7082123&amp;Result=3","7082123")</f>
        <v>0</v>
      </c>
      <c r="B540" t="s">
        <v>282</v>
      </c>
      <c r="C540" t="s">
        <v>4049</v>
      </c>
      <c r="D540" t="s">
        <v>18118</v>
      </c>
      <c r="E540" t="s">
        <v>18698</v>
      </c>
      <c r="F540" t="s">
        <v>31362</v>
      </c>
      <c r="G540" t="s">
        <v>31369</v>
      </c>
      <c r="H540" t="s">
        <v>15799</v>
      </c>
      <c r="I540" t="s">
        <v>31397</v>
      </c>
      <c r="J540" t="s">
        <v>31545</v>
      </c>
      <c r="K540" t="s">
        <v>40672</v>
      </c>
      <c r="M540" t="s">
        <v>41224</v>
      </c>
      <c r="N540" t="s">
        <v>44905</v>
      </c>
      <c r="O540" t="s">
        <v>44906</v>
      </c>
      <c r="P540">
        <v>0</v>
      </c>
      <c r="Q540">
        <v>0</v>
      </c>
      <c r="R540" t="s">
        <v>44907</v>
      </c>
      <c r="S540" t="s">
        <v>45026</v>
      </c>
      <c r="T540" t="s">
        <v>46502</v>
      </c>
      <c r="U540" t="s">
        <v>47391</v>
      </c>
      <c r="W540" t="s">
        <v>41224</v>
      </c>
      <c r="X540" t="s">
        <v>44908</v>
      </c>
    </row>
    <row r="541" spans="1:24">
      <c r="A541">
        <f>HYPERLINK("https://www.philgeps.gov.ph/GEPSNONPILOT/Tender/SplashBidNoticeAbstractUI.aspx?menuIndex=3&amp;refID=7082119&amp;Result=3","7082119")</f>
        <v>0</v>
      </c>
      <c r="B541" t="s">
        <v>237</v>
      </c>
      <c r="C541" t="s">
        <v>4050</v>
      </c>
      <c r="D541" t="s">
        <v>18108</v>
      </c>
      <c r="E541" t="s">
        <v>18699</v>
      </c>
      <c r="F541" t="s">
        <v>31362</v>
      </c>
      <c r="G541" t="s">
        <v>31368</v>
      </c>
      <c r="H541" t="s">
        <v>15799</v>
      </c>
      <c r="I541" t="s">
        <v>31388</v>
      </c>
      <c r="J541" t="s">
        <v>31546</v>
      </c>
      <c r="K541" t="s">
        <v>40670</v>
      </c>
      <c r="M541" t="s">
        <v>41176</v>
      </c>
      <c r="N541" t="s">
        <v>44905</v>
      </c>
      <c r="O541" t="s">
        <v>44906</v>
      </c>
      <c r="P541">
        <v>0</v>
      </c>
      <c r="Q541">
        <v>1</v>
      </c>
      <c r="R541" t="s">
        <v>44907</v>
      </c>
      <c r="S541" t="s">
        <v>45026</v>
      </c>
      <c r="T541" t="s">
        <v>46492</v>
      </c>
      <c r="U541" t="s">
        <v>47392</v>
      </c>
      <c r="V541" t="s">
        <v>59113</v>
      </c>
      <c r="W541" t="s">
        <v>41176</v>
      </c>
      <c r="X541" t="s">
        <v>44908</v>
      </c>
    </row>
    <row r="542" spans="1:24">
      <c r="A542">
        <f>HYPERLINK("https://www.philgeps.gov.ph/GEPSNONPILOT/Tender/SplashBidNoticeAbstractUI.aspx?menuIndex=3&amp;refID=7082133&amp;Result=3","7082133")</f>
        <v>0</v>
      </c>
      <c r="B542" t="s">
        <v>283</v>
      </c>
      <c r="C542" t="s">
        <v>4051</v>
      </c>
      <c r="D542" t="s">
        <v>18139</v>
      </c>
      <c r="E542" t="s">
        <v>18700</v>
      </c>
      <c r="F542" t="s">
        <v>31362</v>
      </c>
      <c r="G542" t="s">
        <v>31368</v>
      </c>
      <c r="H542" t="s">
        <v>15799</v>
      </c>
      <c r="I542" t="s">
        <v>4057</v>
      </c>
      <c r="J542" t="s">
        <v>31944</v>
      </c>
      <c r="K542" t="s">
        <v>40662</v>
      </c>
      <c r="M542" t="s">
        <v>41225</v>
      </c>
      <c r="N542" t="s">
        <v>44905</v>
      </c>
      <c r="O542" t="s">
        <v>44906</v>
      </c>
      <c r="P542">
        <v>0</v>
      </c>
      <c r="Q542">
        <v>2</v>
      </c>
      <c r="R542" t="s">
        <v>44907</v>
      </c>
      <c r="S542" t="s">
        <v>45026</v>
      </c>
      <c r="T542" t="s">
        <v>46503</v>
      </c>
      <c r="U542" t="s">
        <v>47393</v>
      </c>
      <c r="W542" t="s">
        <v>41225</v>
      </c>
      <c r="X542" t="s">
        <v>44908</v>
      </c>
    </row>
    <row r="543" spans="1:24">
      <c r="A543">
        <f>HYPERLINK("https://www.philgeps.gov.ph/GEPSNONPILOT/Tender/SplashBidNoticeAbstractUI.aspx?menuIndex=3&amp;refID=7082131&amp;Result=3","7082131")</f>
        <v>0</v>
      </c>
      <c r="B543" t="s">
        <v>284</v>
      </c>
      <c r="C543" t="s">
        <v>4052</v>
      </c>
      <c r="D543" t="s">
        <v>18131</v>
      </c>
      <c r="E543" t="s">
        <v>18701</v>
      </c>
      <c r="F543" t="s">
        <v>31362</v>
      </c>
      <c r="G543" t="s">
        <v>31370</v>
      </c>
      <c r="H543" t="s">
        <v>15799</v>
      </c>
      <c r="I543" t="s">
        <v>6373</v>
      </c>
      <c r="J543" t="s">
        <v>31945</v>
      </c>
      <c r="K543" t="s">
        <v>40666</v>
      </c>
      <c r="M543" t="s">
        <v>41226</v>
      </c>
      <c r="N543" t="s">
        <v>44905</v>
      </c>
      <c r="O543" t="s">
        <v>44906</v>
      </c>
      <c r="P543">
        <v>0</v>
      </c>
      <c r="Q543">
        <v>1</v>
      </c>
      <c r="R543" t="s">
        <v>44907</v>
      </c>
      <c r="S543" t="s">
        <v>45026</v>
      </c>
      <c r="T543" t="s">
        <v>46447</v>
      </c>
      <c r="U543" t="s">
        <v>47394</v>
      </c>
      <c r="W543" t="s">
        <v>41226</v>
      </c>
      <c r="X543" t="s">
        <v>44908</v>
      </c>
    </row>
    <row r="544" spans="1:24">
      <c r="A544">
        <f>HYPERLINK("https://www.philgeps.gov.ph/GEPSNONPILOT/Tender/SplashBidNoticeAbstractUI.aspx?menuIndex=3&amp;refID=7082116&amp;Result=3","7082116")</f>
        <v>0</v>
      </c>
      <c r="B544" t="s">
        <v>72</v>
      </c>
      <c r="C544" t="s">
        <v>4053</v>
      </c>
      <c r="D544" t="s">
        <v>18130</v>
      </c>
      <c r="E544" t="s">
        <v>18702</v>
      </c>
      <c r="F544" t="s">
        <v>31362</v>
      </c>
      <c r="G544" t="s">
        <v>31370</v>
      </c>
      <c r="H544" t="s">
        <v>15799</v>
      </c>
      <c r="I544" t="s">
        <v>4057</v>
      </c>
      <c r="J544" t="s">
        <v>31545</v>
      </c>
      <c r="K544" t="s">
        <v>40672</v>
      </c>
      <c r="M544" t="s">
        <v>41008</v>
      </c>
      <c r="N544" t="s">
        <v>44905</v>
      </c>
      <c r="O544" t="s">
        <v>44906</v>
      </c>
      <c r="P544">
        <v>0</v>
      </c>
      <c r="Q544">
        <v>0</v>
      </c>
      <c r="R544" t="s">
        <v>44907</v>
      </c>
      <c r="S544" t="s">
        <v>45026</v>
      </c>
      <c r="T544" t="s">
        <v>46428</v>
      </c>
      <c r="U544" t="s">
        <v>47395</v>
      </c>
      <c r="W544" t="s">
        <v>41008</v>
      </c>
      <c r="X544" t="s">
        <v>44908</v>
      </c>
    </row>
    <row r="545" spans="1:24">
      <c r="A545">
        <f>HYPERLINK("https://www.philgeps.gov.ph/GEPSNONPILOT/Tender/SplashBidNoticeAbstractUI.aspx?menuIndex=3&amp;refID=7082160&amp;Result=3","7082160")</f>
        <v>0</v>
      </c>
      <c r="B545" t="s">
        <v>199</v>
      </c>
      <c r="C545" t="s">
        <v>4054</v>
      </c>
      <c r="D545" t="s">
        <v>18139</v>
      </c>
      <c r="E545" t="s">
        <v>18703</v>
      </c>
      <c r="F545" t="s">
        <v>31362</v>
      </c>
      <c r="G545" t="s">
        <v>31368</v>
      </c>
      <c r="H545" t="s">
        <v>15799</v>
      </c>
      <c r="I545" t="s">
        <v>31385</v>
      </c>
      <c r="J545" t="s">
        <v>31946</v>
      </c>
      <c r="K545" t="s">
        <v>40666</v>
      </c>
      <c r="M545" t="s">
        <v>41227</v>
      </c>
      <c r="N545" t="s">
        <v>44905</v>
      </c>
      <c r="O545" t="s">
        <v>44906</v>
      </c>
      <c r="P545">
        <v>0</v>
      </c>
      <c r="Q545">
        <v>2</v>
      </c>
      <c r="R545" t="s">
        <v>44907</v>
      </c>
      <c r="S545" t="s">
        <v>45026</v>
      </c>
      <c r="T545" t="s">
        <v>46443</v>
      </c>
      <c r="U545" t="s">
        <v>47396</v>
      </c>
      <c r="V545" t="s">
        <v>59126</v>
      </c>
      <c r="W545" t="s">
        <v>41227</v>
      </c>
      <c r="X545" t="s">
        <v>44908</v>
      </c>
    </row>
    <row r="546" spans="1:24">
      <c r="A546">
        <f>HYPERLINK("https://www.philgeps.gov.ph/GEPSNONPILOT/Tender/SplashBidNoticeAbstractUI.aspx?menuIndex=3&amp;refID=7082122&amp;Result=3","7082122")</f>
        <v>0</v>
      </c>
      <c r="B546" t="s">
        <v>285</v>
      </c>
      <c r="C546" t="s">
        <v>4055</v>
      </c>
      <c r="D546" t="s">
        <v>18134</v>
      </c>
      <c r="E546" t="s">
        <v>18704</v>
      </c>
      <c r="F546" t="s">
        <v>31362</v>
      </c>
      <c r="G546" t="s">
        <v>31368</v>
      </c>
      <c r="H546" t="s">
        <v>15799</v>
      </c>
      <c r="I546" t="s">
        <v>6240</v>
      </c>
      <c r="J546" t="s">
        <v>31947</v>
      </c>
      <c r="K546" t="s">
        <v>40661</v>
      </c>
      <c r="M546" t="s">
        <v>41228</v>
      </c>
      <c r="N546" t="s">
        <v>44905</v>
      </c>
      <c r="O546" t="s">
        <v>44906</v>
      </c>
      <c r="P546">
        <v>0</v>
      </c>
      <c r="Q546">
        <v>0</v>
      </c>
      <c r="R546" t="s">
        <v>44907</v>
      </c>
      <c r="S546" t="s">
        <v>45026</v>
      </c>
      <c r="T546" t="s">
        <v>46414</v>
      </c>
      <c r="U546" t="s">
        <v>47397</v>
      </c>
      <c r="W546" t="s">
        <v>41228</v>
      </c>
      <c r="X546" t="s">
        <v>44908</v>
      </c>
    </row>
    <row r="547" spans="1:24">
      <c r="A547">
        <f>HYPERLINK("https://www.philgeps.gov.ph/GEPSNONPILOT/Tender/SplashBidNoticeAbstractUI.aspx?menuIndex=3&amp;refID=7082120&amp;Result=3","7082120")</f>
        <v>0</v>
      </c>
      <c r="B547" t="s">
        <v>87</v>
      </c>
      <c r="C547" t="s">
        <v>4056</v>
      </c>
      <c r="D547" t="s">
        <v>18109</v>
      </c>
      <c r="E547" t="s">
        <v>18705</v>
      </c>
      <c r="F547" t="s">
        <v>31362</v>
      </c>
      <c r="G547" t="s">
        <v>31371</v>
      </c>
      <c r="H547" t="s">
        <v>15799</v>
      </c>
      <c r="I547" t="s">
        <v>31431</v>
      </c>
      <c r="J547" t="s">
        <v>31948</v>
      </c>
      <c r="K547" t="s">
        <v>40661</v>
      </c>
      <c r="M547" t="s">
        <v>41023</v>
      </c>
      <c r="N547" t="s">
        <v>44905</v>
      </c>
      <c r="O547" t="s">
        <v>44906</v>
      </c>
      <c r="P547">
        <v>0</v>
      </c>
      <c r="Q547">
        <v>0</v>
      </c>
      <c r="R547" t="s">
        <v>44907</v>
      </c>
      <c r="S547" t="s">
        <v>45026</v>
      </c>
      <c r="T547" t="s">
        <v>46435</v>
      </c>
      <c r="U547" t="s">
        <v>47234</v>
      </c>
      <c r="W547" t="s">
        <v>60832</v>
      </c>
      <c r="X547" t="s">
        <v>44908</v>
      </c>
    </row>
    <row r="548" spans="1:24">
      <c r="A548">
        <f>HYPERLINK("https://www.philgeps.gov.ph/GEPSNONPILOT/Tender/SplashBidNoticeAbstractUI.aspx?menuIndex=3&amp;refID=7082117&amp;Result=3","7082117")</f>
        <v>0</v>
      </c>
      <c r="B548" t="s">
        <v>286</v>
      </c>
      <c r="C548" t="s">
        <v>4057</v>
      </c>
      <c r="E548" t="s">
        <v>18706</v>
      </c>
      <c r="F548" t="s">
        <v>31362</v>
      </c>
      <c r="G548" t="s">
        <v>31368</v>
      </c>
      <c r="H548" t="s">
        <v>15799</v>
      </c>
      <c r="I548" t="s">
        <v>4057</v>
      </c>
      <c r="J548" t="s">
        <v>31545</v>
      </c>
      <c r="K548" t="s">
        <v>40693</v>
      </c>
      <c r="M548" t="s">
        <v>41229</v>
      </c>
      <c r="N548" t="s">
        <v>44905</v>
      </c>
      <c r="O548" t="s">
        <v>44906</v>
      </c>
      <c r="P548">
        <v>0</v>
      </c>
      <c r="Q548">
        <v>1</v>
      </c>
      <c r="R548" t="s">
        <v>44907</v>
      </c>
      <c r="S548" t="s">
        <v>45026</v>
      </c>
      <c r="T548" t="s">
        <v>46467</v>
      </c>
      <c r="U548" t="s">
        <v>47398</v>
      </c>
      <c r="W548" t="s">
        <v>41229</v>
      </c>
      <c r="X548" t="s">
        <v>44908</v>
      </c>
    </row>
    <row r="549" spans="1:24">
      <c r="A549">
        <f>HYPERLINK("https://www.philgeps.gov.ph/GEPSNONPILOT/Tender/SplashBidNoticeAbstractUI.aspx?menuIndex=3&amp;refID=7082125&amp;Result=3","7082125")</f>
        <v>0</v>
      </c>
      <c r="B549" t="s">
        <v>287</v>
      </c>
      <c r="C549" t="s">
        <v>4058</v>
      </c>
      <c r="D549" t="s">
        <v>18147</v>
      </c>
      <c r="E549" t="s">
        <v>18707</v>
      </c>
      <c r="F549" t="s">
        <v>31362</v>
      </c>
      <c r="G549" t="s">
        <v>31370</v>
      </c>
      <c r="H549" t="s">
        <v>15799</v>
      </c>
      <c r="I549" t="s">
        <v>4283</v>
      </c>
      <c r="J549" t="s">
        <v>31949</v>
      </c>
      <c r="K549" t="s">
        <v>40672</v>
      </c>
      <c r="L549" t="s">
        <v>287</v>
      </c>
      <c r="M549" t="s">
        <v>41230</v>
      </c>
      <c r="N549" t="s">
        <v>44905</v>
      </c>
      <c r="O549" t="s">
        <v>44906</v>
      </c>
      <c r="P549">
        <v>0</v>
      </c>
      <c r="Q549">
        <v>0</v>
      </c>
      <c r="R549" t="s">
        <v>44907</v>
      </c>
      <c r="S549" t="s">
        <v>45026</v>
      </c>
      <c r="T549" t="s">
        <v>46397</v>
      </c>
      <c r="U549" t="s">
        <v>47399</v>
      </c>
      <c r="W549" t="s">
        <v>41230</v>
      </c>
      <c r="X549" t="s">
        <v>44908</v>
      </c>
    </row>
    <row r="550" spans="1:24">
      <c r="A550">
        <f>HYPERLINK("https://www.philgeps.gov.ph/GEPSNONPILOT/Tender/SplashBidNoticeAbstractUI.aspx?menuIndex=3&amp;refID=7082152&amp;Result=3","7082152")</f>
        <v>0</v>
      </c>
      <c r="B550" t="s">
        <v>288</v>
      </c>
      <c r="C550" t="s">
        <v>4059</v>
      </c>
      <c r="D550" t="s">
        <v>18102</v>
      </c>
      <c r="E550" t="s">
        <v>18708</v>
      </c>
      <c r="F550" t="s">
        <v>31362</v>
      </c>
      <c r="G550" t="s">
        <v>31373</v>
      </c>
      <c r="H550" t="s">
        <v>31379</v>
      </c>
      <c r="I550" t="s">
        <v>31436</v>
      </c>
      <c r="J550" t="s">
        <v>31950</v>
      </c>
      <c r="K550" t="s">
        <v>40669</v>
      </c>
      <c r="M550" t="s">
        <v>41231</v>
      </c>
      <c r="N550" t="s">
        <v>44905</v>
      </c>
      <c r="O550" t="s">
        <v>44906</v>
      </c>
      <c r="P550">
        <v>0</v>
      </c>
      <c r="Q550">
        <v>1</v>
      </c>
      <c r="R550" t="s">
        <v>44907</v>
      </c>
      <c r="S550" t="s">
        <v>45026</v>
      </c>
      <c r="T550" t="s">
        <v>46449</v>
      </c>
      <c r="U550" t="s">
        <v>47400</v>
      </c>
      <c r="W550" t="s">
        <v>41231</v>
      </c>
      <c r="X550" t="s">
        <v>44908</v>
      </c>
    </row>
    <row r="551" spans="1:24">
      <c r="A551">
        <f>HYPERLINK("https://www.philgeps.gov.ph/GEPSNONPILOT/Tender/SplashBidNoticeAbstractUI.aspx?menuIndex=3&amp;refID=7082151&amp;Result=3","7082151")</f>
        <v>0</v>
      </c>
      <c r="B551" t="s">
        <v>289</v>
      </c>
      <c r="C551" t="s">
        <v>4060</v>
      </c>
      <c r="D551" t="s">
        <v>18108</v>
      </c>
      <c r="E551" t="s">
        <v>18467</v>
      </c>
      <c r="F551" t="s">
        <v>31362</v>
      </c>
      <c r="G551" t="s">
        <v>31370</v>
      </c>
      <c r="H551" t="s">
        <v>15799</v>
      </c>
      <c r="I551" t="s">
        <v>31393</v>
      </c>
      <c r="J551" t="s">
        <v>31951</v>
      </c>
      <c r="K551" t="s">
        <v>40662</v>
      </c>
      <c r="M551" t="s">
        <v>41232</v>
      </c>
      <c r="N551" t="s">
        <v>44905</v>
      </c>
      <c r="O551" t="s">
        <v>44906</v>
      </c>
      <c r="P551">
        <v>0</v>
      </c>
      <c r="Q551">
        <v>12</v>
      </c>
      <c r="R551" t="s">
        <v>44907</v>
      </c>
      <c r="S551" t="s">
        <v>45026</v>
      </c>
      <c r="T551" t="s">
        <v>46438</v>
      </c>
      <c r="U551" t="s">
        <v>47401</v>
      </c>
      <c r="W551" t="s">
        <v>41232</v>
      </c>
      <c r="X551" t="s">
        <v>44908</v>
      </c>
    </row>
    <row r="552" spans="1:24">
      <c r="A552">
        <f>HYPERLINK("https://www.philgeps.gov.ph/GEPSNONPILOT/Tender/SplashBidNoticeAbstractUI.aspx?menuIndex=3&amp;refID=7082150&amp;Result=3","7082150")</f>
        <v>0</v>
      </c>
      <c r="B552" t="s">
        <v>290</v>
      </c>
      <c r="C552" t="s">
        <v>4061</v>
      </c>
      <c r="E552" t="s">
        <v>18648</v>
      </c>
      <c r="F552" t="s">
        <v>31362</v>
      </c>
      <c r="G552" t="s">
        <v>31368</v>
      </c>
      <c r="H552" t="s">
        <v>15799</v>
      </c>
      <c r="I552" t="s">
        <v>31384</v>
      </c>
      <c r="J552" t="s">
        <v>31536</v>
      </c>
      <c r="K552" t="s">
        <v>40662</v>
      </c>
      <c r="M552" t="s">
        <v>41233</v>
      </c>
      <c r="N552" t="s">
        <v>44905</v>
      </c>
      <c r="O552" t="s">
        <v>44906</v>
      </c>
      <c r="P552">
        <v>0</v>
      </c>
      <c r="Q552">
        <v>2</v>
      </c>
      <c r="R552" t="s">
        <v>44907</v>
      </c>
      <c r="S552" t="s">
        <v>45026</v>
      </c>
      <c r="T552" t="s">
        <v>46443</v>
      </c>
      <c r="U552" t="s">
        <v>47402</v>
      </c>
      <c r="W552" t="s">
        <v>60845</v>
      </c>
      <c r="X552" t="s">
        <v>44908</v>
      </c>
    </row>
    <row r="553" spans="1:24">
      <c r="A553">
        <f>HYPERLINK("https://www.philgeps.gov.ph/GEPSNONPILOT/Tender/SplashBidNoticeAbstractUI.aspx?menuIndex=3&amp;refID=7082149&amp;Result=3","7082149")</f>
        <v>0</v>
      </c>
      <c r="B553" t="s">
        <v>184</v>
      </c>
      <c r="C553" t="s">
        <v>3926</v>
      </c>
      <c r="D553" t="s">
        <v>18123</v>
      </c>
      <c r="E553" t="s">
        <v>18709</v>
      </c>
      <c r="F553" t="s">
        <v>31362</v>
      </c>
      <c r="G553" t="s">
        <v>31368</v>
      </c>
      <c r="H553" t="s">
        <v>15799</v>
      </c>
      <c r="I553" t="s">
        <v>31380</v>
      </c>
      <c r="J553" t="s">
        <v>31952</v>
      </c>
      <c r="K553" t="s">
        <v>40670</v>
      </c>
      <c r="M553" t="s">
        <v>41122</v>
      </c>
      <c r="N553" t="s">
        <v>44905</v>
      </c>
      <c r="O553" t="s">
        <v>44906</v>
      </c>
      <c r="P553">
        <v>0</v>
      </c>
      <c r="Q553">
        <v>1</v>
      </c>
      <c r="R553" t="s">
        <v>44907</v>
      </c>
      <c r="S553" t="s">
        <v>45026</v>
      </c>
      <c r="T553" t="s">
        <v>46435</v>
      </c>
      <c r="U553" t="s">
        <v>47403</v>
      </c>
      <c r="W553" t="s">
        <v>41122</v>
      </c>
      <c r="X553" t="s">
        <v>44908</v>
      </c>
    </row>
    <row r="554" spans="1:24">
      <c r="A554">
        <f>HYPERLINK("https://www.philgeps.gov.ph/GEPSNONPILOT/Tender/SplashBidNoticeAbstractUI.aspx?menuIndex=3&amp;refID=7082148&amp;Result=3","7082148")</f>
        <v>0</v>
      </c>
      <c r="B554" t="s">
        <v>72</v>
      </c>
      <c r="C554" t="s">
        <v>4062</v>
      </c>
      <c r="D554" t="s">
        <v>18130</v>
      </c>
      <c r="E554" t="s">
        <v>18710</v>
      </c>
      <c r="F554" t="s">
        <v>31362</v>
      </c>
      <c r="G554" t="s">
        <v>31368</v>
      </c>
      <c r="H554" t="s">
        <v>15799</v>
      </c>
      <c r="I554" t="s">
        <v>31381</v>
      </c>
      <c r="J554" t="s">
        <v>31530</v>
      </c>
      <c r="K554" t="s">
        <v>40670</v>
      </c>
      <c r="M554" t="s">
        <v>41008</v>
      </c>
      <c r="N554" t="s">
        <v>44905</v>
      </c>
      <c r="O554" t="s">
        <v>44906</v>
      </c>
      <c r="P554">
        <v>0</v>
      </c>
      <c r="Q554">
        <v>1</v>
      </c>
      <c r="R554" t="s">
        <v>44907</v>
      </c>
      <c r="S554" t="s">
        <v>45026</v>
      </c>
      <c r="T554" t="s">
        <v>46428</v>
      </c>
      <c r="U554" t="s">
        <v>47404</v>
      </c>
      <c r="W554" t="s">
        <v>41008</v>
      </c>
      <c r="X554" t="s">
        <v>44908</v>
      </c>
    </row>
    <row r="555" spans="1:24">
      <c r="A555">
        <f>HYPERLINK("https://www.philgeps.gov.ph/GEPSNONPILOT/Tender/SplashBidNoticeAbstractUI.aspx?menuIndex=3&amp;refID=7082157&amp;Result=3","7082157")</f>
        <v>0</v>
      </c>
      <c r="B555" t="s">
        <v>291</v>
      </c>
      <c r="C555" t="s">
        <v>4063</v>
      </c>
      <c r="D555" t="s">
        <v>18158</v>
      </c>
      <c r="E555" t="s">
        <v>18711</v>
      </c>
      <c r="F555" t="s">
        <v>31362</v>
      </c>
      <c r="G555" t="s">
        <v>31368</v>
      </c>
      <c r="H555" t="s">
        <v>15799</v>
      </c>
      <c r="I555" t="s">
        <v>4057</v>
      </c>
      <c r="J555" t="s">
        <v>31890</v>
      </c>
      <c r="K555" t="s">
        <v>40662</v>
      </c>
      <c r="M555" t="s">
        <v>41234</v>
      </c>
      <c r="N555" t="s">
        <v>44905</v>
      </c>
      <c r="O555" t="s">
        <v>44906</v>
      </c>
      <c r="P555">
        <v>0</v>
      </c>
      <c r="Q555">
        <v>0</v>
      </c>
      <c r="R555" t="s">
        <v>44907</v>
      </c>
      <c r="S555" t="s">
        <v>45026</v>
      </c>
      <c r="T555" t="s">
        <v>46409</v>
      </c>
      <c r="U555" t="s">
        <v>47405</v>
      </c>
      <c r="W555" t="s">
        <v>41234</v>
      </c>
      <c r="X555" t="s">
        <v>44908</v>
      </c>
    </row>
    <row r="556" spans="1:24">
      <c r="A556">
        <f>HYPERLINK("https://www.philgeps.gov.ph/GEPSNONPILOT/Tender/SplashBidNoticeAbstractUI.aspx?menuIndex=3&amp;refID=7082146&amp;Result=3","7082146")</f>
        <v>0</v>
      </c>
      <c r="B556" t="s">
        <v>269</v>
      </c>
      <c r="C556" t="s">
        <v>4064</v>
      </c>
      <c r="D556" t="s">
        <v>18117</v>
      </c>
      <c r="E556" t="s">
        <v>18712</v>
      </c>
      <c r="F556" t="s">
        <v>31362</v>
      </c>
      <c r="G556" t="s">
        <v>31369</v>
      </c>
      <c r="H556" t="s">
        <v>15799</v>
      </c>
      <c r="I556" t="s">
        <v>3815</v>
      </c>
      <c r="J556" t="s">
        <v>31953</v>
      </c>
      <c r="K556" t="s">
        <v>40666</v>
      </c>
      <c r="M556" t="s">
        <v>41211</v>
      </c>
      <c r="N556" t="s">
        <v>44905</v>
      </c>
      <c r="O556" t="s">
        <v>44906</v>
      </c>
      <c r="P556">
        <v>0</v>
      </c>
      <c r="Q556">
        <v>3</v>
      </c>
      <c r="R556" t="s">
        <v>44907</v>
      </c>
      <c r="S556" t="s">
        <v>45026</v>
      </c>
      <c r="T556" t="s">
        <v>46501</v>
      </c>
      <c r="U556" t="s">
        <v>47376</v>
      </c>
      <c r="W556" t="s">
        <v>41211</v>
      </c>
      <c r="X556" t="s">
        <v>44908</v>
      </c>
    </row>
    <row r="557" spans="1:24">
      <c r="A557">
        <f>HYPERLINK("https://www.philgeps.gov.ph/GEPSNONPILOT/Tender/SplashBidNoticeAbstractUI.aspx?menuIndex=3&amp;refID=7082153&amp;Result=3","7082153")</f>
        <v>0</v>
      </c>
      <c r="B557" t="s">
        <v>292</v>
      </c>
      <c r="C557" t="s">
        <v>4065</v>
      </c>
      <c r="D557" t="s">
        <v>18143</v>
      </c>
      <c r="E557" t="s">
        <v>18713</v>
      </c>
      <c r="F557" t="s">
        <v>31362</v>
      </c>
      <c r="G557" t="s">
        <v>31368</v>
      </c>
      <c r="H557" t="s">
        <v>15799</v>
      </c>
      <c r="I557" t="s">
        <v>3815</v>
      </c>
      <c r="J557" t="s">
        <v>31954</v>
      </c>
      <c r="K557" t="s">
        <v>40661</v>
      </c>
      <c r="M557" t="s">
        <v>41235</v>
      </c>
      <c r="N557" t="s">
        <v>44905</v>
      </c>
      <c r="O557" t="s">
        <v>44906</v>
      </c>
      <c r="P557">
        <v>0</v>
      </c>
      <c r="Q557">
        <v>0</v>
      </c>
      <c r="R557" t="s">
        <v>44907</v>
      </c>
      <c r="S557" t="s">
        <v>45026</v>
      </c>
      <c r="T557" t="s">
        <v>46415</v>
      </c>
      <c r="U557" t="s">
        <v>47406</v>
      </c>
      <c r="W557" t="s">
        <v>41235</v>
      </c>
      <c r="X557" t="s">
        <v>44908</v>
      </c>
    </row>
    <row r="558" spans="1:24">
      <c r="A558">
        <f>HYPERLINK("https://www.philgeps.gov.ph/GEPSNONPILOT/Tender/SplashBidNoticeAbstractUI.aspx?menuIndex=3&amp;refID=7082145&amp;Result=3","7082145")</f>
        <v>0</v>
      </c>
      <c r="B558" t="s">
        <v>293</v>
      </c>
      <c r="C558" t="s">
        <v>4066</v>
      </c>
      <c r="D558" t="s">
        <v>18108</v>
      </c>
      <c r="E558" t="s">
        <v>18714</v>
      </c>
      <c r="F558" t="s">
        <v>31362</v>
      </c>
      <c r="G558" t="s">
        <v>31371</v>
      </c>
      <c r="H558" t="s">
        <v>15799</v>
      </c>
      <c r="I558" t="s">
        <v>6373</v>
      </c>
      <c r="J558" t="s">
        <v>31955</v>
      </c>
      <c r="K558" t="s">
        <v>40661</v>
      </c>
      <c r="M558" t="s">
        <v>41236</v>
      </c>
      <c r="N558" t="s">
        <v>44905</v>
      </c>
      <c r="O558" t="s">
        <v>44906</v>
      </c>
      <c r="P558">
        <v>0</v>
      </c>
      <c r="Q558">
        <v>7</v>
      </c>
      <c r="R558" t="s">
        <v>44907</v>
      </c>
      <c r="S558" t="s">
        <v>45026</v>
      </c>
      <c r="T558" t="s">
        <v>46454</v>
      </c>
      <c r="U558" t="s">
        <v>47407</v>
      </c>
      <c r="W558" t="s">
        <v>41236</v>
      </c>
      <c r="X558" t="s">
        <v>44908</v>
      </c>
    </row>
    <row r="559" spans="1:24">
      <c r="A559">
        <f>HYPERLINK("https://www.philgeps.gov.ph/GEPSNONPILOT/Tender/SplashBidNoticeAbstractUI.aspx?menuIndex=3&amp;refID=7082183&amp;Result=3","7082183")</f>
        <v>0</v>
      </c>
      <c r="B559" t="s">
        <v>294</v>
      </c>
      <c r="C559" t="s">
        <v>4067</v>
      </c>
      <c r="D559" t="s">
        <v>18119</v>
      </c>
      <c r="E559" t="s">
        <v>18606</v>
      </c>
      <c r="F559" t="s">
        <v>31362</v>
      </c>
      <c r="G559" t="s">
        <v>31369</v>
      </c>
      <c r="H559" t="s">
        <v>15799</v>
      </c>
      <c r="I559" t="s">
        <v>3815</v>
      </c>
      <c r="J559" t="s">
        <v>31956</v>
      </c>
      <c r="K559" t="s">
        <v>40662</v>
      </c>
      <c r="M559" t="s">
        <v>41237</v>
      </c>
      <c r="N559" t="s">
        <v>44905</v>
      </c>
      <c r="O559" t="s">
        <v>44906</v>
      </c>
      <c r="P559">
        <v>0</v>
      </c>
      <c r="Q559">
        <v>1</v>
      </c>
      <c r="R559" t="s">
        <v>44907</v>
      </c>
      <c r="S559" t="s">
        <v>45026</v>
      </c>
      <c r="T559" t="s">
        <v>46429</v>
      </c>
      <c r="U559" t="s">
        <v>47408</v>
      </c>
      <c r="W559" t="s">
        <v>41237</v>
      </c>
      <c r="X559" t="s">
        <v>44908</v>
      </c>
    </row>
    <row r="560" spans="1:24">
      <c r="A560">
        <f>HYPERLINK("https://www.philgeps.gov.ph/GEPSNONPILOT/Tender/SplashBidNoticeAbstractUI.aspx?menuIndex=3&amp;refID=7082182&amp;Result=3","7082182")</f>
        <v>0</v>
      </c>
      <c r="B560" t="s">
        <v>295</v>
      </c>
      <c r="C560" t="s">
        <v>4068</v>
      </c>
      <c r="D560" t="s">
        <v>18164</v>
      </c>
      <c r="E560" t="s">
        <v>18715</v>
      </c>
      <c r="F560" t="s">
        <v>31362</v>
      </c>
      <c r="G560" t="s">
        <v>31369</v>
      </c>
      <c r="H560" t="s">
        <v>31378</v>
      </c>
      <c r="I560" t="s">
        <v>31386</v>
      </c>
      <c r="J560" t="s">
        <v>31957</v>
      </c>
      <c r="K560" t="s">
        <v>40686</v>
      </c>
      <c r="M560" t="s">
        <v>41238</v>
      </c>
      <c r="N560" t="s">
        <v>44905</v>
      </c>
      <c r="O560" t="s">
        <v>44906</v>
      </c>
      <c r="P560">
        <v>0</v>
      </c>
      <c r="Q560">
        <v>0</v>
      </c>
      <c r="R560" t="s">
        <v>44907</v>
      </c>
      <c r="S560" t="s">
        <v>45026</v>
      </c>
      <c r="T560" t="s">
        <v>46504</v>
      </c>
      <c r="U560" t="s">
        <v>47409</v>
      </c>
      <c r="W560" t="s">
        <v>41238</v>
      </c>
      <c r="X560" t="s">
        <v>44908</v>
      </c>
    </row>
    <row r="561" spans="1:24">
      <c r="A561">
        <f>HYPERLINK("https://www.philgeps.gov.ph/GEPSNONPILOT/Tender/SplashBidNoticeAbstractUI.aspx?menuIndex=3&amp;refID=7082180&amp;Result=3","7082180")</f>
        <v>0</v>
      </c>
      <c r="B561" t="s">
        <v>285</v>
      </c>
      <c r="C561" t="s">
        <v>4069</v>
      </c>
      <c r="D561" t="s">
        <v>18134</v>
      </c>
      <c r="E561" t="s">
        <v>18716</v>
      </c>
      <c r="F561" t="s">
        <v>31362</v>
      </c>
      <c r="G561" t="s">
        <v>31368</v>
      </c>
      <c r="H561" t="s">
        <v>15799</v>
      </c>
      <c r="I561" t="s">
        <v>31430</v>
      </c>
      <c r="J561" t="s">
        <v>31958</v>
      </c>
      <c r="K561" t="s">
        <v>40661</v>
      </c>
      <c r="M561" t="s">
        <v>41228</v>
      </c>
      <c r="N561" t="s">
        <v>44905</v>
      </c>
      <c r="O561" t="s">
        <v>44906</v>
      </c>
      <c r="P561">
        <v>0</v>
      </c>
      <c r="Q561">
        <v>1</v>
      </c>
      <c r="R561" t="s">
        <v>44907</v>
      </c>
      <c r="S561" t="s">
        <v>45026</v>
      </c>
      <c r="T561" t="s">
        <v>46414</v>
      </c>
      <c r="U561" t="s">
        <v>47397</v>
      </c>
      <c r="W561" t="s">
        <v>41228</v>
      </c>
      <c r="X561" t="s">
        <v>44908</v>
      </c>
    </row>
    <row r="562" spans="1:24">
      <c r="A562">
        <f>HYPERLINK("https://www.philgeps.gov.ph/GEPSNONPILOT/Tender/SplashBidNoticeAbstractUI.aspx?menuIndex=3&amp;refID=7082118&amp;Result=3","7082118")</f>
        <v>0</v>
      </c>
      <c r="B562" t="s">
        <v>269</v>
      </c>
      <c r="C562" t="s">
        <v>4070</v>
      </c>
      <c r="D562" t="s">
        <v>18117</v>
      </c>
      <c r="E562" t="s">
        <v>18717</v>
      </c>
      <c r="F562" t="s">
        <v>31362</v>
      </c>
      <c r="G562" t="s">
        <v>31369</v>
      </c>
      <c r="H562" t="s">
        <v>15799</v>
      </c>
      <c r="I562" t="s">
        <v>3815</v>
      </c>
      <c r="J562" t="s">
        <v>31959</v>
      </c>
      <c r="K562" t="s">
        <v>40666</v>
      </c>
      <c r="M562" t="s">
        <v>41211</v>
      </c>
      <c r="N562" t="s">
        <v>44905</v>
      </c>
      <c r="O562" t="s">
        <v>44906</v>
      </c>
      <c r="P562">
        <v>0</v>
      </c>
      <c r="Q562">
        <v>1</v>
      </c>
      <c r="R562" t="s">
        <v>44907</v>
      </c>
      <c r="S562" t="s">
        <v>45026</v>
      </c>
      <c r="T562" t="s">
        <v>46501</v>
      </c>
      <c r="U562" t="s">
        <v>47376</v>
      </c>
      <c r="W562" t="s">
        <v>41211</v>
      </c>
      <c r="X562" t="s">
        <v>44908</v>
      </c>
    </row>
    <row r="563" spans="1:24">
      <c r="A563">
        <f>HYPERLINK("https://www.philgeps.gov.ph/GEPSNONPILOT/Tender/SplashBidNoticeAbstractUI.aspx?menuIndex=3&amp;refID=7082147&amp;Result=3","7082147")</f>
        <v>0</v>
      </c>
      <c r="B563" t="s">
        <v>240</v>
      </c>
      <c r="C563" t="s">
        <v>4071</v>
      </c>
      <c r="D563" t="s">
        <v>18122</v>
      </c>
      <c r="E563" t="s">
        <v>18718</v>
      </c>
      <c r="F563" t="s">
        <v>31362</v>
      </c>
      <c r="G563" t="s">
        <v>31368</v>
      </c>
      <c r="H563" t="s">
        <v>15799</v>
      </c>
      <c r="I563" t="s">
        <v>13635</v>
      </c>
      <c r="J563" t="s">
        <v>31960</v>
      </c>
      <c r="K563" t="s">
        <v>40665</v>
      </c>
      <c r="M563" t="s">
        <v>41179</v>
      </c>
      <c r="N563" t="s">
        <v>44905</v>
      </c>
      <c r="O563" t="s">
        <v>44906</v>
      </c>
      <c r="P563">
        <v>0</v>
      </c>
      <c r="Q563">
        <v>0</v>
      </c>
      <c r="R563" t="s">
        <v>44907</v>
      </c>
      <c r="S563" t="s">
        <v>45026</v>
      </c>
      <c r="T563" t="s">
        <v>46500</v>
      </c>
      <c r="U563" t="s">
        <v>47410</v>
      </c>
      <c r="V563" t="s">
        <v>59122</v>
      </c>
      <c r="W563" t="s">
        <v>41179</v>
      </c>
      <c r="X563" t="s">
        <v>44908</v>
      </c>
    </row>
    <row r="564" spans="1:24">
      <c r="A564">
        <f>HYPERLINK("https://www.philgeps.gov.ph/GEPSNONPILOT/Tender/SplashBidNoticeAbstractUI.aspx?menuIndex=3&amp;refID=7082156&amp;Result=3","7082156")</f>
        <v>0</v>
      </c>
      <c r="B564" t="s">
        <v>296</v>
      </c>
      <c r="C564" t="s">
        <v>4072</v>
      </c>
      <c r="D564" t="s">
        <v>18156</v>
      </c>
      <c r="E564" t="s">
        <v>18548</v>
      </c>
      <c r="F564" t="s">
        <v>31362</v>
      </c>
      <c r="G564" t="s">
        <v>31369</v>
      </c>
      <c r="H564" t="s">
        <v>15799</v>
      </c>
      <c r="I564" t="s">
        <v>4283</v>
      </c>
      <c r="J564" t="s">
        <v>31961</v>
      </c>
      <c r="K564" t="s">
        <v>40661</v>
      </c>
      <c r="M564" t="s">
        <v>41239</v>
      </c>
      <c r="N564" t="s">
        <v>44905</v>
      </c>
      <c r="O564" t="s">
        <v>44906</v>
      </c>
      <c r="P564">
        <v>0</v>
      </c>
      <c r="Q564">
        <v>1</v>
      </c>
      <c r="R564" t="s">
        <v>44907</v>
      </c>
      <c r="S564" t="s">
        <v>45026</v>
      </c>
      <c r="T564" t="s">
        <v>46505</v>
      </c>
      <c r="U564" t="s">
        <v>47411</v>
      </c>
      <c r="W564" t="s">
        <v>41239</v>
      </c>
      <c r="X564" t="s">
        <v>44908</v>
      </c>
    </row>
    <row r="565" spans="1:24">
      <c r="A565">
        <f>HYPERLINK("https://www.philgeps.gov.ph/GEPSNONPILOT/Tender/SplashBidNoticeAbstractUI.aspx?menuIndex=3&amp;refID=7082177&amp;Result=3","7082177")</f>
        <v>0</v>
      </c>
      <c r="B565" t="s">
        <v>297</v>
      </c>
      <c r="C565" t="s">
        <v>4073</v>
      </c>
      <c r="D565" t="s">
        <v>18133</v>
      </c>
      <c r="E565" t="s">
        <v>18719</v>
      </c>
      <c r="F565" t="s">
        <v>31362</v>
      </c>
      <c r="G565" t="s">
        <v>31368</v>
      </c>
      <c r="H565" t="s">
        <v>15799</v>
      </c>
      <c r="I565" t="s">
        <v>7719</v>
      </c>
      <c r="J565" t="s">
        <v>31927</v>
      </c>
      <c r="K565" t="s">
        <v>40661</v>
      </c>
      <c r="M565" t="s">
        <v>41240</v>
      </c>
      <c r="N565" t="s">
        <v>44905</v>
      </c>
      <c r="O565" t="s">
        <v>44906</v>
      </c>
      <c r="P565">
        <v>0</v>
      </c>
      <c r="Q565">
        <v>6</v>
      </c>
      <c r="R565" t="s">
        <v>44907</v>
      </c>
      <c r="S565" t="s">
        <v>45026</v>
      </c>
      <c r="T565" t="s">
        <v>46506</v>
      </c>
      <c r="U565" t="s">
        <v>47412</v>
      </c>
      <c r="W565" t="s">
        <v>41240</v>
      </c>
      <c r="X565" t="s">
        <v>44908</v>
      </c>
    </row>
    <row r="566" spans="1:24">
      <c r="A566">
        <f>HYPERLINK("https://www.philgeps.gov.ph/GEPSNONPILOT/Tender/SplashBidNoticeAbstractUI.aspx?menuIndex=3&amp;refID=7082176&amp;Result=3","7082176")</f>
        <v>0</v>
      </c>
      <c r="B566" t="s">
        <v>298</v>
      </c>
      <c r="C566" t="s">
        <v>4074</v>
      </c>
      <c r="D566" t="s">
        <v>18168</v>
      </c>
      <c r="E566" t="s">
        <v>18720</v>
      </c>
      <c r="F566" t="s">
        <v>31362</v>
      </c>
      <c r="G566" t="s">
        <v>31368</v>
      </c>
      <c r="H566" t="s">
        <v>15799</v>
      </c>
      <c r="I566" t="s">
        <v>31440</v>
      </c>
      <c r="J566" t="s">
        <v>31962</v>
      </c>
      <c r="K566" t="s">
        <v>40662</v>
      </c>
      <c r="M566" t="s">
        <v>41241</v>
      </c>
      <c r="N566" t="s">
        <v>44905</v>
      </c>
      <c r="O566" t="s">
        <v>44906</v>
      </c>
      <c r="P566">
        <v>0</v>
      </c>
      <c r="Q566">
        <v>0</v>
      </c>
      <c r="R566" t="s">
        <v>44907</v>
      </c>
      <c r="S566" t="s">
        <v>45026</v>
      </c>
      <c r="T566" t="s">
        <v>46506</v>
      </c>
      <c r="U566" t="s">
        <v>47413</v>
      </c>
      <c r="W566" t="s">
        <v>41241</v>
      </c>
      <c r="X566" t="s">
        <v>44908</v>
      </c>
    </row>
    <row r="567" spans="1:24">
      <c r="A567">
        <f>HYPERLINK("https://www.philgeps.gov.ph/GEPSNONPILOT/Tender/SplashBidNoticeAbstractUI.aspx?menuIndex=3&amp;refID=7082174&amp;Result=3","7082174")</f>
        <v>0</v>
      </c>
      <c r="B567" t="s">
        <v>292</v>
      </c>
      <c r="C567" t="s">
        <v>4075</v>
      </c>
      <c r="D567" t="s">
        <v>18143</v>
      </c>
      <c r="E567" t="s">
        <v>18721</v>
      </c>
      <c r="F567" t="s">
        <v>31362</v>
      </c>
      <c r="G567" t="s">
        <v>31368</v>
      </c>
      <c r="H567" t="s">
        <v>15799</v>
      </c>
      <c r="I567" t="s">
        <v>31393</v>
      </c>
      <c r="J567" t="s">
        <v>31963</v>
      </c>
      <c r="K567" t="s">
        <v>40661</v>
      </c>
      <c r="M567" t="s">
        <v>41235</v>
      </c>
      <c r="N567" t="s">
        <v>44905</v>
      </c>
      <c r="O567" t="s">
        <v>44906</v>
      </c>
      <c r="P567">
        <v>0</v>
      </c>
      <c r="Q567">
        <v>3</v>
      </c>
      <c r="R567" t="s">
        <v>44907</v>
      </c>
      <c r="S567" t="s">
        <v>45026</v>
      </c>
      <c r="T567" t="s">
        <v>46415</v>
      </c>
      <c r="U567" t="s">
        <v>47414</v>
      </c>
      <c r="W567" t="s">
        <v>41235</v>
      </c>
      <c r="X567" t="s">
        <v>44908</v>
      </c>
    </row>
    <row r="568" spans="1:24">
      <c r="A568">
        <f>HYPERLINK("https://www.philgeps.gov.ph/GEPSNONPILOT/Tender/SplashBidNoticeAbstractUI.aspx?menuIndex=3&amp;refID=7082173&amp;Result=3","7082173")</f>
        <v>0</v>
      </c>
      <c r="B568" t="s">
        <v>72</v>
      </c>
      <c r="C568" t="s">
        <v>4076</v>
      </c>
      <c r="D568" t="s">
        <v>18130</v>
      </c>
      <c r="E568" t="s">
        <v>18722</v>
      </c>
      <c r="F568" t="s">
        <v>31362</v>
      </c>
      <c r="G568" t="s">
        <v>31370</v>
      </c>
      <c r="H568" t="s">
        <v>15799</v>
      </c>
      <c r="I568" t="s">
        <v>31422</v>
      </c>
      <c r="J568" t="s">
        <v>31964</v>
      </c>
      <c r="K568" t="s">
        <v>40670</v>
      </c>
      <c r="M568" t="s">
        <v>41008</v>
      </c>
      <c r="N568" t="s">
        <v>44905</v>
      </c>
      <c r="O568" t="s">
        <v>44906</v>
      </c>
      <c r="P568">
        <v>0</v>
      </c>
      <c r="Q568">
        <v>0</v>
      </c>
      <c r="R568" t="s">
        <v>44907</v>
      </c>
      <c r="S568" t="s">
        <v>45026</v>
      </c>
      <c r="T568" t="s">
        <v>46428</v>
      </c>
      <c r="U568" t="s">
        <v>47415</v>
      </c>
      <c r="W568" t="s">
        <v>41008</v>
      </c>
      <c r="X568" t="s">
        <v>44908</v>
      </c>
    </row>
    <row r="569" spans="1:24">
      <c r="A569">
        <f>HYPERLINK("https://www.philgeps.gov.ph/GEPSNONPILOT/Tender/SplashBidNoticeAbstractUI.aspx?menuIndex=3&amp;refID=7082171&amp;Result=3","7082171")</f>
        <v>0</v>
      </c>
      <c r="B569" t="s">
        <v>260</v>
      </c>
      <c r="C569" t="s">
        <v>4077</v>
      </c>
      <c r="D569" t="s">
        <v>18164</v>
      </c>
      <c r="E569" t="s">
        <v>18723</v>
      </c>
      <c r="F569" t="s">
        <v>31362</v>
      </c>
      <c r="G569" t="s">
        <v>31368</v>
      </c>
      <c r="H569" t="s">
        <v>15799</v>
      </c>
      <c r="I569" t="s">
        <v>31438</v>
      </c>
      <c r="J569" t="s">
        <v>31564</v>
      </c>
      <c r="K569" t="s">
        <v>40662</v>
      </c>
      <c r="M569" t="s">
        <v>41201</v>
      </c>
      <c r="N569" t="s">
        <v>44905</v>
      </c>
      <c r="O569" t="s">
        <v>44906</v>
      </c>
      <c r="P569">
        <v>0</v>
      </c>
      <c r="Q569">
        <v>0</v>
      </c>
      <c r="R569" t="s">
        <v>44907</v>
      </c>
      <c r="S569" t="s">
        <v>45026</v>
      </c>
      <c r="T569" t="s">
        <v>46414</v>
      </c>
      <c r="U569" t="s">
        <v>47360</v>
      </c>
      <c r="W569" t="s">
        <v>41201</v>
      </c>
      <c r="X569" t="s">
        <v>44908</v>
      </c>
    </row>
    <row r="570" spans="1:24">
      <c r="A570">
        <f>HYPERLINK("https://www.philgeps.gov.ph/GEPSNONPILOT/Tender/SplashBidNoticeAbstractUI.aspx?menuIndex=3&amp;refID=7082170&amp;Result=3","7082170")</f>
        <v>0</v>
      </c>
      <c r="B570" t="s">
        <v>167</v>
      </c>
      <c r="C570" t="s">
        <v>3858</v>
      </c>
      <c r="D570" t="s">
        <v>18152</v>
      </c>
      <c r="E570" t="s">
        <v>18724</v>
      </c>
      <c r="F570" t="s">
        <v>31362</v>
      </c>
      <c r="G570" t="s">
        <v>31369</v>
      </c>
      <c r="H570" t="s">
        <v>15799</v>
      </c>
      <c r="I570" t="s">
        <v>3815</v>
      </c>
      <c r="J570" t="s">
        <v>31965</v>
      </c>
      <c r="K570" t="s">
        <v>40670</v>
      </c>
      <c r="M570" t="s">
        <v>41105</v>
      </c>
      <c r="N570" t="s">
        <v>44905</v>
      </c>
      <c r="O570" t="s">
        <v>44906</v>
      </c>
      <c r="P570">
        <v>0</v>
      </c>
      <c r="Q570">
        <v>0</v>
      </c>
      <c r="R570" t="s">
        <v>44907</v>
      </c>
      <c r="S570" t="s">
        <v>45026</v>
      </c>
      <c r="T570" t="s">
        <v>46462</v>
      </c>
      <c r="U570" t="s">
        <v>47416</v>
      </c>
      <c r="V570" t="s">
        <v>59127</v>
      </c>
      <c r="W570" t="s">
        <v>41105</v>
      </c>
      <c r="X570" t="s">
        <v>44908</v>
      </c>
    </row>
    <row r="571" spans="1:24">
      <c r="A571">
        <f>HYPERLINK("https://www.philgeps.gov.ph/GEPSNONPILOT/Tender/SplashBidNoticeAbstractUI.aspx?menuIndex=3&amp;refID=7082169&amp;Result=3","7082169")</f>
        <v>0</v>
      </c>
      <c r="B571" t="s">
        <v>262</v>
      </c>
      <c r="C571" t="s">
        <v>4078</v>
      </c>
      <c r="D571" t="s">
        <v>18127</v>
      </c>
      <c r="E571" t="s">
        <v>18725</v>
      </c>
      <c r="F571" t="s">
        <v>31362</v>
      </c>
      <c r="G571" t="s">
        <v>31368</v>
      </c>
      <c r="H571" t="s">
        <v>15799</v>
      </c>
      <c r="I571" t="s">
        <v>31404</v>
      </c>
      <c r="J571" t="s">
        <v>31966</v>
      </c>
      <c r="K571" t="s">
        <v>40662</v>
      </c>
      <c r="M571" t="s">
        <v>41203</v>
      </c>
      <c r="N571" t="s">
        <v>44905</v>
      </c>
      <c r="O571" t="s">
        <v>44906</v>
      </c>
      <c r="P571">
        <v>0</v>
      </c>
      <c r="Q571">
        <v>0</v>
      </c>
      <c r="R571" t="s">
        <v>44907</v>
      </c>
      <c r="S571" t="s">
        <v>45026</v>
      </c>
      <c r="T571" t="s">
        <v>46412</v>
      </c>
      <c r="U571" t="s">
        <v>47362</v>
      </c>
      <c r="W571" t="s">
        <v>41203</v>
      </c>
      <c r="X571" t="s">
        <v>44908</v>
      </c>
    </row>
    <row r="572" spans="1:24">
      <c r="A572">
        <f>HYPERLINK("https://www.philgeps.gov.ph/GEPSNONPILOT/Tender/SplashBidNoticeAbstractUI.aspx?menuIndex=3&amp;refID=7082178&amp;Result=3","7082178")</f>
        <v>0</v>
      </c>
      <c r="B572" t="s">
        <v>299</v>
      </c>
      <c r="C572" t="s">
        <v>4079</v>
      </c>
      <c r="D572" t="s">
        <v>18108</v>
      </c>
      <c r="E572" t="s">
        <v>18726</v>
      </c>
      <c r="F572" t="s">
        <v>31362</v>
      </c>
      <c r="G572" t="s">
        <v>31370</v>
      </c>
      <c r="H572" t="s">
        <v>15799</v>
      </c>
      <c r="I572" t="s">
        <v>6373</v>
      </c>
      <c r="J572" t="s">
        <v>31967</v>
      </c>
      <c r="K572" t="s">
        <v>40661</v>
      </c>
      <c r="M572" t="s">
        <v>41242</v>
      </c>
      <c r="N572" t="s">
        <v>44905</v>
      </c>
      <c r="O572" t="s">
        <v>44906</v>
      </c>
      <c r="P572">
        <v>0</v>
      </c>
      <c r="Q572">
        <v>9</v>
      </c>
      <c r="R572" t="s">
        <v>44907</v>
      </c>
      <c r="S572" t="s">
        <v>45026</v>
      </c>
      <c r="T572" t="s">
        <v>46438</v>
      </c>
      <c r="U572" t="s">
        <v>47417</v>
      </c>
      <c r="V572" t="s">
        <v>59128</v>
      </c>
      <c r="W572" t="s">
        <v>41242</v>
      </c>
      <c r="X572" t="s">
        <v>44908</v>
      </c>
    </row>
    <row r="573" spans="1:24">
      <c r="A573">
        <f>HYPERLINK("https://www.philgeps.gov.ph/GEPSNONPILOT/Tender/SplashBidNoticeAbstractUI.aspx?menuIndex=3&amp;refID=7082167&amp;Result=3","7082167")</f>
        <v>0</v>
      </c>
      <c r="B573" t="s">
        <v>140</v>
      </c>
      <c r="C573" t="s">
        <v>4080</v>
      </c>
      <c r="D573" t="s">
        <v>18169</v>
      </c>
      <c r="E573" t="s">
        <v>18727</v>
      </c>
      <c r="F573" t="s">
        <v>31362</v>
      </c>
      <c r="G573" t="s">
        <v>31369</v>
      </c>
      <c r="H573" t="s">
        <v>15799</v>
      </c>
      <c r="I573" t="s">
        <v>31390</v>
      </c>
      <c r="J573" t="s">
        <v>31968</v>
      </c>
      <c r="K573" t="s">
        <v>40682</v>
      </c>
      <c r="M573" t="s">
        <v>41078</v>
      </c>
      <c r="N573" t="s">
        <v>44905</v>
      </c>
      <c r="O573" t="s">
        <v>44906</v>
      </c>
      <c r="P573">
        <v>0</v>
      </c>
      <c r="Q573">
        <v>4</v>
      </c>
      <c r="R573" t="s">
        <v>44907</v>
      </c>
      <c r="S573" t="s">
        <v>45026</v>
      </c>
      <c r="T573" t="s">
        <v>46466</v>
      </c>
      <c r="U573" t="s">
        <v>47418</v>
      </c>
      <c r="W573" t="s">
        <v>41078</v>
      </c>
      <c r="X573" t="s">
        <v>44908</v>
      </c>
    </row>
    <row r="574" spans="1:24">
      <c r="A574">
        <f>HYPERLINK("https://www.philgeps.gov.ph/GEPSNONPILOT/Tender/SplashBidNoticeAbstractUI.aspx?menuIndex=3&amp;refID=7082166&amp;Result=3","7082166")</f>
        <v>0</v>
      </c>
      <c r="B574" t="s">
        <v>175</v>
      </c>
      <c r="C574" t="s">
        <v>4081</v>
      </c>
      <c r="D574" t="s">
        <v>18153</v>
      </c>
      <c r="E574" t="s">
        <v>18728</v>
      </c>
      <c r="F574" t="s">
        <v>31362</v>
      </c>
      <c r="G574" t="s">
        <v>31370</v>
      </c>
      <c r="H574" t="s">
        <v>15799</v>
      </c>
      <c r="I574" t="s">
        <v>3815</v>
      </c>
      <c r="J574" t="s">
        <v>31645</v>
      </c>
      <c r="K574" t="s">
        <v>40661</v>
      </c>
      <c r="L574" t="s">
        <v>175</v>
      </c>
      <c r="M574" t="s">
        <v>41113</v>
      </c>
      <c r="N574" t="s">
        <v>44905</v>
      </c>
      <c r="O574" t="s">
        <v>44906</v>
      </c>
      <c r="P574">
        <v>0</v>
      </c>
      <c r="Q574">
        <v>0</v>
      </c>
      <c r="R574" t="s">
        <v>44907</v>
      </c>
      <c r="S574" t="s">
        <v>45026</v>
      </c>
      <c r="T574" t="s">
        <v>46507</v>
      </c>
      <c r="U574" t="s">
        <v>47419</v>
      </c>
      <c r="V574" t="s">
        <v>59090</v>
      </c>
      <c r="W574" t="s">
        <v>41113</v>
      </c>
      <c r="X574" t="s">
        <v>44908</v>
      </c>
    </row>
    <row r="575" spans="1:24">
      <c r="A575">
        <f>HYPERLINK("https://www.philgeps.gov.ph/GEPSNONPILOT/Tender/SplashBidNoticeAbstractUI.aspx?menuIndex=3&amp;refID=7082165&amp;Result=3","7082165")</f>
        <v>0</v>
      </c>
      <c r="B575" t="s">
        <v>283</v>
      </c>
      <c r="C575" t="s">
        <v>4082</v>
      </c>
      <c r="D575" t="s">
        <v>18139</v>
      </c>
      <c r="E575" t="s">
        <v>18729</v>
      </c>
      <c r="F575" t="s">
        <v>31362</v>
      </c>
      <c r="G575" t="s">
        <v>31368</v>
      </c>
      <c r="H575" t="s">
        <v>31377</v>
      </c>
      <c r="I575" t="s">
        <v>31388</v>
      </c>
      <c r="J575" t="s">
        <v>31969</v>
      </c>
      <c r="K575" t="s">
        <v>40662</v>
      </c>
      <c r="M575" t="s">
        <v>41225</v>
      </c>
      <c r="N575" t="s">
        <v>44905</v>
      </c>
      <c r="O575" t="s">
        <v>44906</v>
      </c>
      <c r="P575">
        <v>0</v>
      </c>
      <c r="Q575">
        <v>1</v>
      </c>
      <c r="R575" t="s">
        <v>44907</v>
      </c>
      <c r="S575" t="s">
        <v>45026</v>
      </c>
      <c r="T575" t="s">
        <v>46467</v>
      </c>
      <c r="U575" t="s">
        <v>47420</v>
      </c>
      <c r="W575" t="s">
        <v>41225</v>
      </c>
      <c r="X575" t="s">
        <v>44908</v>
      </c>
    </row>
    <row r="576" spans="1:24">
      <c r="A576">
        <f>HYPERLINK("https://www.philgeps.gov.ph/GEPSNONPILOT/Tender/SplashBidNoticeAbstractUI.aspx?menuIndex=3&amp;refID=7082164&amp;Result=3","7082164")</f>
        <v>0</v>
      </c>
      <c r="B576" t="s">
        <v>300</v>
      </c>
      <c r="C576" t="s">
        <v>4083</v>
      </c>
      <c r="D576" t="s">
        <v>18122</v>
      </c>
      <c r="E576" t="s">
        <v>18730</v>
      </c>
      <c r="F576" t="s">
        <v>31362</v>
      </c>
      <c r="G576" t="s">
        <v>31368</v>
      </c>
      <c r="H576" t="s">
        <v>15799</v>
      </c>
      <c r="I576" t="s">
        <v>31402</v>
      </c>
      <c r="J576" t="s">
        <v>31970</v>
      </c>
      <c r="K576" t="s">
        <v>40662</v>
      </c>
      <c r="M576" t="s">
        <v>41243</v>
      </c>
      <c r="N576" t="s">
        <v>44905</v>
      </c>
      <c r="O576" t="s">
        <v>44906</v>
      </c>
      <c r="P576">
        <v>0</v>
      </c>
      <c r="Q576">
        <v>0</v>
      </c>
      <c r="R576" t="s">
        <v>44907</v>
      </c>
      <c r="S576" t="s">
        <v>45026</v>
      </c>
      <c r="T576" t="s">
        <v>46435</v>
      </c>
      <c r="U576" t="s">
        <v>47421</v>
      </c>
      <c r="V576" t="s">
        <v>59129</v>
      </c>
      <c r="W576" t="s">
        <v>41243</v>
      </c>
      <c r="X576" t="s">
        <v>44908</v>
      </c>
    </row>
    <row r="577" spans="1:24">
      <c r="A577">
        <f>HYPERLINK("https://www.philgeps.gov.ph/GEPSNONPILOT/Tender/SplashBidNoticeAbstractUI.aspx?menuIndex=3&amp;refID=7082163&amp;Result=3","7082163")</f>
        <v>0</v>
      </c>
      <c r="B577" t="s">
        <v>268</v>
      </c>
      <c r="C577" t="s">
        <v>4084</v>
      </c>
      <c r="D577" t="s">
        <v>18165</v>
      </c>
      <c r="E577" t="s">
        <v>18731</v>
      </c>
      <c r="F577" t="s">
        <v>31362</v>
      </c>
      <c r="G577" t="s">
        <v>31372</v>
      </c>
      <c r="H577" t="s">
        <v>15799</v>
      </c>
      <c r="I577" t="s">
        <v>31404</v>
      </c>
      <c r="J577" t="s">
        <v>31971</v>
      </c>
      <c r="K577" t="s">
        <v>40661</v>
      </c>
      <c r="M577" t="s">
        <v>41210</v>
      </c>
      <c r="N577" t="s">
        <v>44905</v>
      </c>
      <c r="O577" t="s">
        <v>44906</v>
      </c>
      <c r="P577">
        <v>0</v>
      </c>
      <c r="Q577">
        <v>0</v>
      </c>
      <c r="R577" t="s">
        <v>44907</v>
      </c>
      <c r="S577" t="s">
        <v>45026</v>
      </c>
      <c r="T577" t="s">
        <v>46432</v>
      </c>
      <c r="U577" t="s">
        <v>47422</v>
      </c>
      <c r="W577" t="s">
        <v>41210</v>
      </c>
      <c r="X577" t="s">
        <v>44908</v>
      </c>
    </row>
    <row r="578" spans="1:24">
      <c r="A578">
        <f>HYPERLINK("https://www.philgeps.gov.ph/GEPSNONPILOT/Tender/SplashBidNoticeAbstractUI.aspx?menuIndex=3&amp;refID=7082181&amp;Result=3","7082181")</f>
        <v>0</v>
      </c>
      <c r="B578" t="s">
        <v>301</v>
      </c>
      <c r="C578" t="s">
        <v>4085</v>
      </c>
      <c r="D578" t="s">
        <v>18164</v>
      </c>
      <c r="E578" t="s">
        <v>18732</v>
      </c>
      <c r="F578" t="s">
        <v>31362</v>
      </c>
      <c r="G578" t="s">
        <v>31370</v>
      </c>
      <c r="H578" t="s">
        <v>15799</v>
      </c>
      <c r="I578" t="s">
        <v>31437</v>
      </c>
      <c r="J578" t="s">
        <v>31972</v>
      </c>
      <c r="K578" t="s">
        <v>40670</v>
      </c>
      <c r="M578" t="s">
        <v>41244</v>
      </c>
      <c r="N578" t="s">
        <v>44905</v>
      </c>
      <c r="O578" t="s">
        <v>44906</v>
      </c>
      <c r="P578">
        <v>0</v>
      </c>
      <c r="Q578">
        <v>0</v>
      </c>
      <c r="R578" t="s">
        <v>44907</v>
      </c>
      <c r="S578" t="s">
        <v>45026</v>
      </c>
      <c r="T578" t="s">
        <v>46447</v>
      </c>
      <c r="U578" t="s">
        <v>47423</v>
      </c>
      <c r="W578" t="s">
        <v>41244</v>
      </c>
      <c r="X578" t="s">
        <v>44908</v>
      </c>
    </row>
    <row r="579" spans="1:24">
      <c r="A579">
        <f>HYPERLINK("https://www.philgeps.gov.ph/GEPSNONPILOT/Tender/SplashBidNoticeAbstractUI.aspx?menuIndex=3&amp;refID=7082161&amp;Result=3","7082161")</f>
        <v>0</v>
      </c>
      <c r="B579" t="s">
        <v>302</v>
      </c>
      <c r="C579" t="s">
        <v>4086</v>
      </c>
      <c r="D579" t="s">
        <v>18131</v>
      </c>
      <c r="E579" t="s">
        <v>18733</v>
      </c>
      <c r="F579" t="s">
        <v>31362</v>
      </c>
      <c r="G579" t="s">
        <v>31369</v>
      </c>
      <c r="H579" t="s">
        <v>31378</v>
      </c>
      <c r="I579" t="s">
        <v>31441</v>
      </c>
      <c r="J579" t="s">
        <v>31973</v>
      </c>
      <c r="K579" t="s">
        <v>40662</v>
      </c>
      <c r="M579" t="s">
        <v>41245</v>
      </c>
      <c r="N579" t="s">
        <v>44905</v>
      </c>
      <c r="O579" t="s">
        <v>44906</v>
      </c>
      <c r="P579">
        <v>0</v>
      </c>
      <c r="Q579">
        <v>0</v>
      </c>
      <c r="R579" t="s">
        <v>44907</v>
      </c>
      <c r="S579" t="s">
        <v>45026</v>
      </c>
      <c r="T579" t="s">
        <v>46508</v>
      </c>
      <c r="U579" t="s">
        <v>47424</v>
      </c>
      <c r="V579" t="s">
        <v>59130</v>
      </c>
      <c r="W579" t="s">
        <v>41245</v>
      </c>
      <c r="X579" t="s">
        <v>44908</v>
      </c>
    </row>
    <row r="580" spans="1:24">
      <c r="A580">
        <f>HYPERLINK("https://www.philgeps.gov.ph/GEPSNONPILOT/Tender/SplashBidNoticeAbstractUI.aspx?menuIndex=3&amp;refID=7082144&amp;Result=3","7082144")</f>
        <v>0</v>
      </c>
      <c r="B580" t="s">
        <v>71</v>
      </c>
      <c r="C580" t="s">
        <v>4087</v>
      </c>
      <c r="D580" t="s">
        <v>18129</v>
      </c>
      <c r="E580" t="s">
        <v>4087</v>
      </c>
      <c r="F580" t="s">
        <v>31362</v>
      </c>
      <c r="G580" t="s">
        <v>31368</v>
      </c>
      <c r="H580" t="s">
        <v>15799</v>
      </c>
      <c r="I580" t="s">
        <v>31430</v>
      </c>
      <c r="J580" t="s">
        <v>31974</v>
      </c>
      <c r="K580" t="s">
        <v>40666</v>
      </c>
      <c r="L580" t="s">
        <v>71</v>
      </c>
      <c r="M580" t="s">
        <v>41007</v>
      </c>
      <c r="N580" t="s">
        <v>44905</v>
      </c>
      <c r="O580" t="s">
        <v>44906</v>
      </c>
      <c r="P580">
        <v>0</v>
      </c>
      <c r="Q580">
        <v>0</v>
      </c>
      <c r="R580" t="s">
        <v>44907</v>
      </c>
      <c r="S580" t="s">
        <v>45026</v>
      </c>
      <c r="T580" t="s">
        <v>46414</v>
      </c>
      <c r="U580" t="s">
        <v>47425</v>
      </c>
      <c r="W580" t="s">
        <v>41007</v>
      </c>
      <c r="X580" t="s">
        <v>44908</v>
      </c>
    </row>
    <row r="581" spans="1:24">
      <c r="A581">
        <f>HYPERLINK("https://www.philgeps.gov.ph/GEPSNONPILOT/Tender/SplashBidNoticeAbstractUI.aspx?menuIndex=3&amp;refID=7082141&amp;Result=3","7082141")</f>
        <v>0</v>
      </c>
      <c r="B581" t="s">
        <v>255</v>
      </c>
      <c r="C581" t="s">
        <v>4088</v>
      </c>
      <c r="E581" t="s">
        <v>18734</v>
      </c>
      <c r="F581" t="s">
        <v>31362</v>
      </c>
      <c r="G581" t="s">
        <v>31368</v>
      </c>
      <c r="H581" t="s">
        <v>15799</v>
      </c>
      <c r="I581" t="s">
        <v>4057</v>
      </c>
      <c r="J581" t="s">
        <v>31975</v>
      </c>
      <c r="K581" t="s">
        <v>40662</v>
      </c>
      <c r="M581" t="s">
        <v>41195</v>
      </c>
      <c r="N581" t="s">
        <v>44905</v>
      </c>
      <c r="O581" t="s">
        <v>44906</v>
      </c>
      <c r="P581">
        <v>0</v>
      </c>
      <c r="Q581">
        <v>0</v>
      </c>
      <c r="R581" t="s">
        <v>44907</v>
      </c>
      <c r="S581" t="s">
        <v>45026</v>
      </c>
      <c r="T581" t="s">
        <v>46393</v>
      </c>
      <c r="U581" t="s">
        <v>47426</v>
      </c>
      <c r="W581" t="s">
        <v>41195</v>
      </c>
      <c r="X581" t="s">
        <v>44908</v>
      </c>
    </row>
    <row r="582" spans="1:24">
      <c r="A582">
        <f>HYPERLINK("https://www.philgeps.gov.ph/GEPSNONPILOT/Tender/SplashBidNoticeAbstractUI.aspx?menuIndex=3&amp;refID=7082155&amp;Result=3","7082155")</f>
        <v>0</v>
      </c>
      <c r="B582" t="s">
        <v>295</v>
      </c>
      <c r="C582" t="s">
        <v>4089</v>
      </c>
      <c r="D582" t="s">
        <v>18164</v>
      </c>
      <c r="E582" t="s">
        <v>18735</v>
      </c>
      <c r="F582" t="s">
        <v>31362</v>
      </c>
      <c r="G582" t="s">
        <v>31369</v>
      </c>
      <c r="H582" t="s">
        <v>15799</v>
      </c>
      <c r="I582" t="s">
        <v>7188</v>
      </c>
      <c r="J582" t="s">
        <v>31535</v>
      </c>
      <c r="K582" t="s">
        <v>40675</v>
      </c>
      <c r="M582" t="s">
        <v>41238</v>
      </c>
      <c r="N582" t="s">
        <v>44905</v>
      </c>
      <c r="O582" t="s">
        <v>44906</v>
      </c>
      <c r="P582">
        <v>0</v>
      </c>
      <c r="Q582">
        <v>2</v>
      </c>
      <c r="R582" t="s">
        <v>44907</v>
      </c>
      <c r="S582" t="s">
        <v>45026</v>
      </c>
      <c r="T582" t="s">
        <v>46396</v>
      </c>
      <c r="U582" t="s">
        <v>47427</v>
      </c>
      <c r="W582" t="s">
        <v>41238</v>
      </c>
      <c r="X582" t="s">
        <v>44908</v>
      </c>
    </row>
    <row r="583" spans="1:24">
      <c r="A583">
        <f>HYPERLINK("https://www.philgeps.gov.ph/GEPSNONPILOT/Tender/SplashBidNoticeAbstractUI.aspx?menuIndex=3&amp;refID=7082140&amp;Result=3","7082140")</f>
        <v>0</v>
      </c>
      <c r="B583" t="s">
        <v>173</v>
      </c>
      <c r="C583" t="s">
        <v>4090</v>
      </c>
      <c r="D583" t="s">
        <v>18108</v>
      </c>
      <c r="E583" t="s">
        <v>18736</v>
      </c>
      <c r="F583" t="s">
        <v>31362</v>
      </c>
      <c r="G583" t="s">
        <v>31371</v>
      </c>
      <c r="H583" t="s">
        <v>15799</v>
      </c>
      <c r="I583" t="s">
        <v>6373</v>
      </c>
      <c r="J583" t="s">
        <v>31564</v>
      </c>
      <c r="K583" t="s">
        <v>40661</v>
      </c>
      <c r="M583" t="s">
        <v>41111</v>
      </c>
      <c r="N583" t="s">
        <v>44905</v>
      </c>
      <c r="O583" t="s">
        <v>44906</v>
      </c>
      <c r="P583">
        <v>0</v>
      </c>
      <c r="Q583">
        <v>1</v>
      </c>
      <c r="R583" t="s">
        <v>44907</v>
      </c>
      <c r="S583" t="s">
        <v>45026</v>
      </c>
      <c r="T583" t="s">
        <v>46404</v>
      </c>
      <c r="U583" t="s">
        <v>47428</v>
      </c>
      <c r="W583" t="s">
        <v>41111</v>
      </c>
      <c r="X583" t="s">
        <v>44908</v>
      </c>
    </row>
    <row r="584" spans="1:24">
      <c r="A584">
        <f>HYPERLINK("https://www.philgeps.gov.ph/GEPSNONPILOT/Tender/SplashBidNoticeAbstractUI.aspx?menuIndex=3&amp;refID=7082139&amp;Result=3","7082139")</f>
        <v>0</v>
      </c>
      <c r="B584" t="s">
        <v>298</v>
      </c>
      <c r="C584" t="s">
        <v>4074</v>
      </c>
      <c r="D584" t="s">
        <v>18168</v>
      </c>
      <c r="E584" t="s">
        <v>18737</v>
      </c>
      <c r="F584" t="s">
        <v>31362</v>
      </c>
      <c r="G584" t="s">
        <v>31368</v>
      </c>
      <c r="H584" t="s">
        <v>15799</v>
      </c>
      <c r="I584" t="s">
        <v>31440</v>
      </c>
      <c r="J584" t="s">
        <v>31976</v>
      </c>
      <c r="K584" t="s">
        <v>40662</v>
      </c>
      <c r="M584" t="s">
        <v>41241</v>
      </c>
      <c r="N584" t="s">
        <v>44905</v>
      </c>
      <c r="O584" t="s">
        <v>44906</v>
      </c>
      <c r="P584">
        <v>0</v>
      </c>
      <c r="Q584">
        <v>0</v>
      </c>
      <c r="R584" t="s">
        <v>44907</v>
      </c>
      <c r="S584" t="s">
        <v>45026</v>
      </c>
      <c r="T584" t="s">
        <v>46506</v>
      </c>
      <c r="U584" t="s">
        <v>47413</v>
      </c>
      <c r="W584" t="s">
        <v>41241</v>
      </c>
      <c r="X584" t="s">
        <v>44908</v>
      </c>
    </row>
    <row r="585" spans="1:24">
      <c r="A585">
        <f>HYPERLINK("https://www.philgeps.gov.ph/GEPSNONPILOT/Tender/SplashBidNoticeAbstractUI.aspx?menuIndex=3&amp;refID=7082135&amp;Result=3","7082135")</f>
        <v>0</v>
      </c>
      <c r="B585" t="s">
        <v>292</v>
      </c>
      <c r="C585" t="s">
        <v>4091</v>
      </c>
      <c r="D585" t="s">
        <v>18143</v>
      </c>
      <c r="E585" t="s">
        <v>18738</v>
      </c>
      <c r="F585" t="s">
        <v>31362</v>
      </c>
      <c r="G585" t="s">
        <v>31368</v>
      </c>
      <c r="H585" t="s">
        <v>15799</v>
      </c>
      <c r="I585" t="s">
        <v>3815</v>
      </c>
      <c r="J585" t="s">
        <v>31977</v>
      </c>
      <c r="K585" t="s">
        <v>40661</v>
      </c>
      <c r="M585" t="s">
        <v>41235</v>
      </c>
      <c r="N585" t="s">
        <v>44905</v>
      </c>
      <c r="O585" t="s">
        <v>44906</v>
      </c>
      <c r="P585">
        <v>0</v>
      </c>
      <c r="Q585">
        <v>0</v>
      </c>
      <c r="R585" t="s">
        <v>44907</v>
      </c>
      <c r="S585" t="s">
        <v>45026</v>
      </c>
      <c r="T585" t="s">
        <v>46415</v>
      </c>
      <c r="U585" t="s">
        <v>47429</v>
      </c>
      <c r="W585" t="s">
        <v>41235</v>
      </c>
      <c r="X585" t="s">
        <v>44908</v>
      </c>
    </row>
    <row r="586" spans="1:24">
      <c r="A586">
        <f>HYPERLINK("https://www.philgeps.gov.ph/GEPSNONPILOT/Tender/SplashBidNoticeAbstractUI.aspx?menuIndex=3&amp;refID=7082115&amp;Result=3","7082115")</f>
        <v>0</v>
      </c>
      <c r="B586" t="s">
        <v>215</v>
      </c>
      <c r="C586" t="s">
        <v>4092</v>
      </c>
      <c r="D586" t="s">
        <v>18108</v>
      </c>
      <c r="E586" t="s">
        <v>18739</v>
      </c>
      <c r="F586" t="s">
        <v>31362</v>
      </c>
      <c r="G586" t="s">
        <v>31371</v>
      </c>
      <c r="H586" t="s">
        <v>31379</v>
      </c>
      <c r="I586" t="s">
        <v>31388</v>
      </c>
      <c r="J586" t="s">
        <v>31978</v>
      </c>
      <c r="K586" t="s">
        <v>40661</v>
      </c>
      <c r="M586" t="s">
        <v>41154</v>
      </c>
      <c r="N586" t="s">
        <v>44905</v>
      </c>
      <c r="O586" t="s">
        <v>44906</v>
      </c>
      <c r="P586">
        <v>0</v>
      </c>
      <c r="Q586">
        <v>0</v>
      </c>
      <c r="R586" t="s">
        <v>44907</v>
      </c>
      <c r="S586" t="s">
        <v>45026</v>
      </c>
      <c r="T586" t="s">
        <v>46488</v>
      </c>
      <c r="U586" t="s">
        <v>47430</v>
      </c>
      <c r="V586" t="s">
        <v>59106</v>
      </c>
      <c r="W586" t="s">
        <v>41154</v>
      </c>
      <c r="X586" t="s">
        <v>44908</v>
      </c>
    </row>
    <row r="587" spans="1:24">
      <c r="A587">
        <f>HYPERLINK("https://www.philgeps.gov.ph/GEPSNONPILOT/Tender/SplashBidNoticeAbstractUI.aspx?menuIndex=3&amp;refID=7082112&amp;Result=3","7082112")</f>
        <v>0</v>
      </c>
      <c r="B587" t="s">
        <v>255</v>
      </c>
      <c r="C587" t="s">
        <v>4093</v>
      </c>
      <c r="E587" t="s">
        <v>18740</v>
      </c>
      <c r="F587" t="s">
        <v>31362</v>
      </c>
      <c r="G587" t="s">
        <v>31368</v>
      </c>
      <c r="H587" t="s">
        <v>15799</v>
      </c>
      <c r="I587" t="s">
        <v>6373</v>
      </c>
      <c r="J587" t="s">
        <v>31979</v>
      </c>
      <c r="K587" t="s">
        <v>40662</v>
      </c>
      <c r="M587" t="s">
        <v>41246</v>
      </c>
      <c r="N587" t="s">
        <v>44905</v>
      </c>
      <c r="O587" t="s">
        <v>44906</v>
      </c>
      <c r="P587">
        <v>0</v>
      </c>
      <c r="Q587">
        <v>0</v>
      </c>
      <c r="R587" t="s">
        <v>44907</v>
      </c>
      <c r="S587" t="s">
        <v>45026</v>
      </c>
      <c r="T587" t="s">
        <v>46499</v>
      </c>
      <c r="U587" t="s">
        <v>47431</v>
      </c>
      <c r="W587" t="s">
        <v>41246</v>
      </c>
      <c r="X587" t="s">
        <v>44908</v>
      </c>
    </row>
    <row r="588" spans="1:24">
      <c r="A588">
        <f>HYPERLINK("https://www.philgeps.gov.ph/GEPSNONPILOT/Tender/SplashBidNoticeAbstractUI.aspx?menuIndex=3&amp;refID=7082162&amp;Result=3","7082162")</f>
        <v>0</v>
      </c>
      <c r="B588" t="s">
        <v>303</v>
      </c>
      <c r="C588" t="s">
        <v>4094</v>
      </c>
      <c r="D588" t="s">
        <v>18121</v>
      </c>
      <c r="E588" t="s">
        <v>18741</v>
      </c>
      <c r="F588" t="s">
        <v>31362</v>
      </c>
      <c r="G588" t="s">
        <v>31371</v>
      </c>
      <c r="H588" t="s">
        <v>15799</v>
      </c>
      <c r="I588" t="s">
        <v>31380</v>
      </c>
      <c r="J588" t="s">
        <v>31980</v>
      </c>
      <c r="K588" t="s">
        <v>40665</v>
      </c>
      <c r="M588" t="s">
        <v>41247</v>
      </c>
      <c r="N588" t="s">
        <v>44905</v>
      </c>
      <c r="O588" t="s">
        <v>44906</v>
      </c>
      <c r="P588">
        <v>0</v>
      </c>
      <c r="Q588">
        <v>0</v>
      </c>
      <c r="R588" t="s">
        <v>44907</v>
      </c>
      <c r="S588" t="s">
        <v>45026</v>
      </c>
      <c r="T588" t="s">
        <v>46409</v>
      </c>
      <c r="U588" t="s">
        <v>47432</v>
      </c>
      <c r="W588" t="s">
        <v>41247</v>
      </c>
      <c r="X588" t="s">
        <v>44908</v>
      </c>
    </row>
    <row r="589" spans="1:24">
      <c r="A589">
        <f>HYPERLINK("https://www.philgeps.gov.ph/GEPSNONPILOT/Tender/SplashBidNoticeAbstractUI.aspx?menuIndex=3&amp;refID=7082128&amp;Result=3","7082128")</f>
        <v>0</v>
      </c>
      <c r="B589" t="s">
        <v>304</v>
      </c>
      <c r="C589" t="s">
        <v>4095</v>
      </c>
      <c r="D589" t="s">
        <v>18101</v>
      </c>
      <c r="E589" t="s">
        <v>18742</v>
      </c>
      <c r="F589" t="s">
        <v>31362</v>
      </c>
      <c r="G589" t="s">
        <v>31368</v>
      </c>
      <c r="H589" t="s">
        <v>15799</v>
      </c>
      <c r="I589" t="s">
        <v>7090</v>
      </c>
      <c r="J589" t="s">
        <v>31724</v>
      </c>
      <c r="K589" t="s">
        <v>40662</v>
      </c>
      <c r="M589" t="s">
        <v>41248</v>
      </c>
      <c r="N589" t="s">
        <v>44905</v>
      </c>
      <c r="O589" t="s">
        <v>44906</v>
      </c>
      <c r="P589">
        <v>0</v>
      </c>
      <c r="Q589">
        <v>0</v>
      </c>
      <c r="R589" t="s">
        <v>44907</v>
      </c>
      <c r="S589" t="s">
        <v>45026</v>
      </c>
      <c r="T589" t="s">
        <v>46425</v>
      </c>
      <c r="U589" t="s">
        <v>47433</v>
      </c>
      <c r="W589" t="s">
        <v>41248</v>
      </c>
      <c r="X589" t="s">
        <v>44908</v>
      </c>
    </row>
    <row r="590" spans="1:24">
      <c r="A590">
        <f>HYPERLINK("https://www.philgeps.gov.ph/GEPSNONPILOT/Tender/SplashBidNoticeAbstractUI.aspx?menuIndex=3&amp;refID=7082063&amp;Result=3","7082063")</f>
        <v>0</v>
      </c>
      <c r="B590" t="s">
        <v>305</v>
      </c>
      <c r="C590" t="s">
        <v>4096</v>
      </c>
      <c r="D590" t="s">
        <v>18110</v>
      </c>
      <c r="E590" t="s">
        <v>18743</v>
      </c>
      <c r="F590" t="s">
        <v>31362</v>
      </c>
      <c r="G590" t="s">
        <v>31369</v>
      </c>
      <c r="H590" t="s">
        <v>15799</v>
      </c>
      <c r="I590" t="s">
        <v>31409</v>
      </c>
      <c r="J590" t="s">
        <v>31981</v>
      </c>
      <c r="K590" t="s">
        <v>40662</v>
      </c>
      <c r="M590" t="s">
        <v>41249</v>
      </c>
      <c r="N590" t="s">
        <v>44905</v>
      </c>
      <c r="O590" t="s">
        <v>44906</v>
      </c>
      <c r="P590">
        <v>0</v>
      </c>
      <c r="Q590">
        <v>4</v>
      </c>
      <c r="R590" t="s">
        <v>44907</v>
      </c>
      <c r="S590" t="s">
        <v>45026</v>
      </c>
      <c r="T590" t="s">
        <v>46396</v>
      </c>
      <c r="U590" t="s">
        <v>47434</v>
      </c>
      <c r="W590" t="s">
        <v>41249</v>
      </c>
      <c r="X590" t="s">
        <v>44908</v>
      </c>
    </row>
    <row r="591" spans="1:24">
      <c r="A591">
        <f>HYPERLINK("https://www.philgeps.gov.ph/GEPSNONPILOT/Tender/SplashBidNoticeAbstractUI.aspx?menuIndex=3&amp;refID=7082179&amp;Result=3","7082179")</f>
        <v>0</v>
      </c>
      <c r="B591" t="s">
        <v>306</v>
      </c>
      <c r="C591" t="s">
        <v>4097</v>
      </c>
      <c r="D591" t="s">
        <v>18170</v>
      </c>
      <c r="E591" t="s">
        <v>18744</v>
      </c>
      <c r="F591" t="s">
        <v>31362</v>
      </c>
      <c r="G591" t="s">
        <v>31371</v>
      </c>
      <c r="H591" t="s">
        <v>15799</v>
      </c>
      <c r="I591" t="s">
        <v>6373</v>
      </c>
      <c r="J591" t="s">
        <v>31982</v>
      </c>
      <c r="K591" t="s">
        <v>40662</v>
      </c>
      <c r="M591" t="s">
        <v>41250</v>
      </c>
      <c r="N591" t="s">
        <v>44905</v>
      </c>
      <c r="O591" t="s">
        <v>44906</v>
      </c>
      <c r="P591">
        <v>0</v>
      </c>
      <c r="Q591">
        <v>0</v>
      </c>
      <c r="R591" t="s">
        <v>44907</v>
      </c>
      <c r="S591" t="s">
        <v>45026</v>
      </c>
      <c r="T591" t="s">
        <v>46454</v>
      </c>
      <c r="U591" t="s">
        <v>47435</v>
      </c>
      <c r="W591" t="s">
        <v>41250</v>
      </c>
      <c r="X591" t="s">
        <v>44908</v>
      </c>
    </row>
    <row r="592" spans="1:24">
      <c r="A592">
        <f>HYPERLINK("https://www.philgeps.gov.ph/GEPSNONPILOT/Tender/SplashBidNoticeAbstractUI.aspx?menuIndex=3&amp;refID=7082062&amp;Result=3","7082062")</f>
        <v>0</v>
      </c>
      <c r="B592" t="s">
        <v>307</v>
      </c>
      <c r="C592" t="s">
        <v>4098</v>
      </c>
      <c r="D592" t="s">
        <v>18114</v>
      </c>
      <c r="E592" t="s">
        <v>18745</v>
      </c>
      <c r="F592" t="s">
        <v>31362</v>
      </c>
      <c r="G592" t="s">
        <v>31368</v>
      </c>
      <c r="H592" t="s">
        <v>15799</v>
      </c>
      <c r="I592" t="s">
        <v>31440</v>
      </c>
      <c r="J592" t="s">
        <v>31983</v>
      </c>
      <c r="K592" t="s">
        <v>40661</v>
      </c>
      <c r="M592" t="s">
        <v>41251</v>
      </c>
      <c r="N592" t="s">
        <v>44905</v>
      </c>
      <c r="O592" t="s">
        <v>44906</v>
      </c>
      <c r="P592">
        <v>0</v>
      </c>
      <c r="Q592">
        <v>1</v>
      </c>
      <c r="R592" t="s">
        <v>44907</v>
      </c>
      <c r="S592" t="s">
        <v>45026</v>
      </c>
      <c r="T592" t="s">
        <v>46452</v>
      </c>
      <c r="U592" t="s">
        <v>47436</v>
      </c>
      <c r="W592" t="s">
        <v>41251</v>
      </c>
      <c r="X592" t="s">
        <v>44908</v>
      </c>
    </row>
    <row r="593" spans="1:24">
      <c r="A593">
        <f>HYPERLINK("https://www.philgeps.gov.ph/GEPSNONPILOT/Tender/SplashBidNoticeAbstractUI.aspx?menuIndex=3&amp;refID=7082044&amp;Result=3","7082044")</f>
        <v>0</v>
      </c>
      <c r="B593" t="s">
        <v>179</v>
      </c>
      <c r="C593" t="s">
        <v>4099</v>
      </c>
      <c r="D593" t="s">
        <v>18155</v>
      </c>
      <c r="E593" t="s">
        <v>18746</v>
      </c>
      <c r="F593" t="s">
        <v>31362</v>
      </c>
      <c r="G593" t="s">
        <v>31368</v>
      </c>
      <c r="H593" t="s">
        <v>15799</v>
      </c>
      <c r="I593" t="s">
        <v>7188</v>
      </c>
      <c r="J593" t="s">
        <v>31604</v>
      </c>
      <c r="K593" t="s">
        <v>40665</v>
      </c>
      <c r="M593" t="s">
        <v>41209</v>
      </c>
      <c r="N593" t="s">
        <v>44905</v>
      </c>
      <c r="O593" t="s">
        <v>44906</v>
      </c>
      <c r="P593">
        <v>0</v>
      </c>
      <c r="Q593">
        <v>1</v>
      </c>
      <c r="R593" t="s">
        <v>44907</v>
      </c>
      <c r="S593" t="s">
        <v>45026</v>
      </c>
      <c r="T593" t="s">
        <v>46482</v>
      </c>
      <c r="U593" t="s">
        <v>47437</v>
      </c>
      <c r="W593" t="s">
        <v>60842</v>
      </c>
      <c r="X593" t="s">
        <v>44908</v>
      </c>
    </row>
    <row r="594" spans="1:24">
      <c r="A594">
        <f>HYPERLINK("https://www.philgeps.gov.ph/GEPSNONPILOT/Tender/SplashBidNoticeAbstractUI.aspx?menuIndex=3&amp;refID=7082138&amp;Result=3","7082138")</f>
        <v>0</v>
      </c>
      <c r="B594" t="s">
        <v>308</v>
      </c>
      <c r="C594" t="s">
        <v>4100</v>
      </c>
      <c r="D594" t="s">
        <v>18123</v>
      </c>
      <c r="E594" t="s">
        <v>18747</v>
      </c>
      <c r="F594" t="s">
        <v>31362</v>
      </c>
      <c r="G594" t="s">
        <v>31368</v>
      </c>
      <c r="H594" t="s">
        <v>15799</v>
      </c>
      <c r="I594" t="s">
        <v>31413</v>
      </c>
      <c r="J594" t="s">
        <v>31687</v>
      </c>
      <c r="K594" t="s">
        <v>40679</v>
      </c>
      <c r="M594" t="s">
        <v>41252</v>
      </c>
      <c r="N594" t="s">
        <v>44905</v>
      </c>
      <c r="O594" t="s">
        <v>44906</v>
      </c>
      <c r="P594">
        <v>0</v>
      </c>
      <c r="Q594">
        <v>3</v>
      </c>
      <c r="R594" t="s">
        <v>44907</v>
      </c>
      <c r="S594" t="s">
        <v>45026</v>
      </c>
      <c r="T594" t="s">
        <v>46397</v>
      </c>
      <c r="U594" t="s">
        <v>47438</v>
      </c>
      <c r="W594" t="s">
        <v>41252</v>
      </c>
      <c r="X594" t="s">
        <v>44908</v>
      </c>
    </row>
    <row r="595" spans="1:24">
      <c r="A595">
        <f>HYPERLINK("https://www.philgeps.gov.ph/GEPSNONPILOT/Tender/SplashBidNoticeAbstractUI.aspx?menuIndex=3&amp;refID=7082040&amp;Result=3","7082040")</f>
        <v>0</v>
      </c>
      <c r="B595" t="s">
        <v>189</v>
      </c>
      <c r="C595" t="s">
        <v>4101</v>
      </c>
      <c r="D595" t="s">
        <v>18171</v>
      </c>
      <c r="E595" t="s">
        <v>18498</v>
      </c>
      <c r="F595" t="s">
        <v>31362</v>
      </c>
      <c r="G595" t="s">
        <v>31368</v>
      </c>
      <c r="H595" t="s">
        <v>15799</v>
      </c>
      <c r="I595" t="s">
        <v>31386</v>
      </c>
      <c r="J595" t="s">
        <v>31984</v>
      </c>
      <c r="K595" t="s">
        <v>40682</v>
      </c>
      <c r="M595" t="s">
        <v>41127</v>
      </c>
      <c r="N595" t="s">
        <v>44905</v>
      </c>
      <c r="O595" t="s">
        <v>44906</v>
      </c>
      <c r="P595">
        <v>0</v>
      </c>
      <c r="Q595">
        <v>0</v>
      </c>
      <c r="R595" t="s">
        <v>44907</v>
      </c>
      <c r="S595" t="s">
        <v>45026</v>
      </c>
      <c r="T595" t="s">
        <v>46434</v>
      </c>
      <c r="U595" t="s">
        <v>47439</v>
      </c>
      <c r="V595" t="s">
        <v>59093</v>
      </c>
      <c r="W595" t="s">
        <v>41127</v>
      </c>
      <c r="X595" t="s">
        <v>44908</v>
      </c>
    </row>
    <row r="596" spans="1:24">
      <c r="A596">
        <f>HYPERLINK("https://www.philgeps.gov.ph/GEPSNONPILOT/Tender/SplashBidNoticeAbstractUI.aspx?menuIndex=3&amp;refID=7082186&amp;Result=3","7082186")</f>
        <v>0</v>
      </c>
      <c r="B596" t="s">
        <v>309</v>
      </c>
      <c r="C596" t="s">
        <v>4102</v>
      </c>
      <c r="D596" t="s">
        <v>18106</v>
      </c>
      <c r="E596" t="s">
        <v>18748</v>
      </c>
      <c r="F596" t="s">
        <v>31362</v>
      </c>
      <c r="G596" t="s">
        <v>31372</v>
      </c>
      <c r="H596" t="s">
        <v>15799</v>
      </c>
      <c r="I596" t="s">
        <v>31386</v>
      </c>
      <c r="J596" t="s">
        <v>31890</v>
      </c>
      <c r="K596" t="s">
        <v>40670</v>
      </c>
      <c r="M596" t="s">
        <v>41253</v>
      </c>
      <c r="N596" t="s">
        <v>44905</v>
      </c>
      <c r="O596" t="s">
        <v>44906</v>
      </c>
      <c r="P596">
        <v>0</v>
      </c>
      <c r="Q596">
        <v>0</v>
      </c>
      <c r="R596" t="s">
        <v>44907</v>
      </c>
      <c r="S596" t="s">
        <v>45026</v>
      </c>
      <c r="T596" t="s">
        <v>46414</v>
      </c>
      <c r="U596" t="s">
        <v>47440</v>
      </c>
      <c r="W596" t="s">
        <v>41253</v>
      </c>
      <c r="X596" t="s">
        <v>44908</v>
      </c>
    </row>
    <row r="597" spans="1:24">
      <c r="A597">
        <f>HYPERLINK("https://www.philgeps.gov.ph/GEPSNONPILOT/Tender/SplashBidNoticeAbstractUI.aspx?menuIndex=3&amp;refID=7082114&amp;Result=3","7082114")</f>
        <v>0</v>
      </c>
      <c r="B597" t="s">
        <v>310</v>
      </c>
      <c r="C597" t="s">
        <v>4103</v>
      </c>
      <c r="D597" t="s">
        <v>18117</v>
      </c>
      <c r="E597" t="s">
        <v>18749</v>
      </c>
      <c r="F597" t="s">
        <v>31362</v>
      </c>
      <c r="G597" t="s">
        <v>31368</v>
      </c>
      <c r="H597" t="s">
        <v>15799</v>
      </c>
      <c r="I597" t="s">
        <v>6373</v>
      </c>
      <c r="J597" t="s">
        <v>31985</v>
      </c>
      <c r="K597" t="s">
        <v>40666</v>
      </c>
      <c r="M597" t="s">
        <v>41254</v>
      </c>
      <c r="N597" t="s">
        <v>44905</v>
      </c>
      <c r="O597" t="s">
        <v>44906</v>
      </c>
      <c r="P597">
        <v>0</v>
      </c>
      <c r="Q597">
        <v>0</v>
      </c>
      <c r="R597" t="s">
        <v>44907</v>
      </c>
      <c r="S597" t="s">
        <v>45026</v>
      </c>
      <c r="T597" t="s">
        <v>46409</v>
      </c>
      <c r="U597" t="s">
        <v>47441</v>
      </c>
      <c r="W597" t="s">
        <v>41254</v>
      </c>
      <c r="X597" t="s">
        <v>44908</v>
      </c>
    </row>
    <row r="598" spans="1:24">
      <c r="A598">
        <f>HYPERLINK("https://www.philgeps.gov.ph/GEPSNONPILOT/Tender/SplashBidNoticeAbstractUI.aspx?menuIndex=3&amp;refID=7082111&amp;Result=3","7082111")</f>
        <v>0</v>
      </c>
      <c r="B598" t="s">
        <v>298</v>
      </c>
      <c r="C598" t="s">
        <v>4074</v>
      </c>
      <c r="D598" t="s">
        <v>18168</v>
      </c>
      <c r="E598" t="s">
        <v>18750</v>
      </c>
      <c r="F598" t="s">
        <v>31362</v>
      </c>
      <c r="G598" t="s">
        <v>31368</v>
      </c>
      <c r="H598" t="s">
        <v>15799</v>
      </c>
      <c r="I598" t="s">
        <v>31440</v>
      </c>
      <c r="J598" t="s">
        <v>31986</v>
      </c>
      <c r="K598" t="s">
        <v>40662</v>
      </c>
      <c r="M598" t="s">
        <v>41241</v>
      </c>
      <c r="N598" t="s">
        <v>44905</v>
      </c>
      <c r="O598" t="s">
        <v>44906</v>
      </c>
      <c r="P598">
        <v>0</v>
      </c>
      <c r="Q598">
        <v>0</v>
      </c>
      <c r="R598" t="s">
        <v>44907</v>
      </c>
      <c r="S598" t="s">
        <v>45026</v>
      </c>
      <c r="T598" t="s">
        <v>46506</v>
      </c>
      <c r="U598" t="s">
        <v>47442</v>
      </c>
      <c r="W598" t="s">
        <v>41241</v>
      </c>
      <c r="X598" t="s">
        <v>44908</v>
      </c>
    </row>
    <row r="599" spans="1:24">
      <c r="A599">
        <f>HYPERLINK("https://www.philgeps.gov.ph/GEPSNONPILOT/Tender/SplashBidNoticeAbstractUI.aspx?menuIndex=3&amp;refID=7082184&amp;Result=3","7082184")</f>
        <v>0</v>
      </c>
      <c r="B599" t="s">
        <v>54</v>
      </c>
      <c r="C599" t="s">
        <v>4104</v>
      </c>
      <c r="E599" t="s">
        <v>18751</v>
      </c>
      <c r="F599" t="s">
        <v>31362</v>
      </c>
      <c r="G599" t="s">
        <v>31368</v>
      </c>
      <c r="H599" t="s">
        <v>15799</v>
      </c>
      <c r="I599" t="s">
        <v>31394</v>
      </c>
      <c r="J599" t="s">
        <v>31987</v>
      </c>
      <c r="K599" t="s">
        <v>40666</v>
      </c>
      <c r="M599" t="s">
        <v>41255</v>
      </c>
      <c r="N599" t="s">
        <v>44905</v>
      </c>
      <c r="O599" t="s">
        <v>44906</v>
      </c>
      <c r="P599">
        <v>0</v>
      </c>
      <c r="Q599">
        <v>2</v>
      </c>
      <c r="R599" t="s">
        <v>44907</v>
      </c>
      <c r="S599" t="s">
        <v>45026</v>
      </c>
      <c r="T599" t="s">
        <v>46454</v>
      </c>
      <c r="U599" t="s">
        <v>47443</v>
      </c>
      <c r="V599" t="s">
        <v>59131</v>
      </c>
      <c r="W599" t="s">
        <v>41255</v>
      </c>
      <c r="X599" t="s">
        <v>44908</v>
      </c>
    </row>
    <row r="600" spans="1:24">
      <c r="A600">
        <f>HYPERLINK("https://www.philgeps.gov.ph/GEPSNONPILOT/Tender/SplashBidNoticeAbstractUI.aspx?menuIndex=3&amp;refID=7082205&amp;Result=3","7082205")</f>
        <v>0</v>
      </c>
      <c r="B600" t="s">
        <v>311</v>
      </c>
      <c r="C600" t="s">
        <v>4105</v>
      </c>
      <c r="D600" t="s">
        <v>18154</v>
      </c>
      <c r="E600" t="s">
        <v>18752</v>
      </c>
      <c r="F600" t="s">
        <v>31362</v>
      </c>
      <c r="G600" t="s">
        <v>31370</v>
      </c>
      <c r="H600" t="s">
        <v>15799</v>
      </c>
      <c r="I600" t="s">
        <v>3815</v>
      </c>
      <c r="J600" t="s">
        <v>31988</v>
      </c>
      <c r="K600" t="s">
        <v>40665</v>
      </c>
      <c r="M600" t="s">
        <v>41256</v>
      </c>
      <c r="N600" t="s">
        <v>44905</v>
      </c>
      <c r="O600" t="s">
        <v>44906</v>
      </c>
      <c r="P600">
        <v>0</v>
      </c>
      <c r="Q600">
        <v>0</v>
      </c>
      <c r="R600" t="s">
        <v>44907</v>
      </c>
      <c r="S600" t="s">
        <v>45026</v>
      </c>
      <c r="T600" t="s">
        <v>46509</v>
      </c>
      <c r="U600" t="s">
        <v>47444</v>
      </c>
      <c r="W600" t="s">
        <v>41256</v>
      </c>
      <c r="X600" t="s">
        <v>44908</v>
      </c>
    </row>
    <row r="601" spans="1:24">
      <c r="A601">
        <f>HYPERLINK("https://www.philgeps.gov.ph/GEPSNONPILOT/Tender/SplashBidNoticeAbstractUI.aspx?menuIndex=3&amp;refID=7082204&amp;Result=3","7082204")</f>
        <v>0</v>
      </c>
      <c r="B601" t="s">
        <v>312</v>
      </c>
      <c r="C601" t="s">
        <v>4106</v>
      </c>
      <c r="D601" t="s">
        <v>18119</v>
      </c>
      <c r="E601" t="s">
        <v>18753</v>
      </c>
      <c r="F601" t="s">
        <v>31362</v>
      </c>
      <c r="G601" t="s">
        <v>31369</v>
      </c>
      <c r="H601" t="s">
        <v>31378</v>
      </c>
      <c r="I601" t="s">
        <v>31386</v>
      </c>
      <c r="J601" t="s">
        <v>31989</v>
      </c>
      <c r="K601" t="s">
        <v>40679</v>
      </c>
      <c r="M601" t="s">
        <v>41257</v>
      </c>
      <c r="N601" t="s">
        <v>44905</v>
      </c>
      <c r="O601" t="s">
        <v>44906</v>
      </c>
      <c r="P601">
        <v>0</v>
      </c>
      <c r="Q601">
        <v>0</v>
      </c>
      <c r="R601" t="s">
        <v>44907</v>
      </c>
      <c r="S601" t="s">
        <v>45026</v>
      </c>
      <c r="T601" t="s">
        <v>46510</v>
      </c>
      <c r="U601" t="s">
        <v>47445</v>
      </c>
      <c r="W601" t="s">
        <v>41257</v>
      </c>
      <c r="X601" t="s">
        <v>44908</v>
      </c>
    </row>
    <row r="602" spans="1:24">
      <c r="A602">
        <f>HYPERLINK("https://www.philgeps.gov.ph/GEPSNONPILOT/Tender/SplashBidNoticeAbstractUI.aspx?menuIndex=3&amp;refID=7082061&amp;Result=3","7082061")</f>
        <v>0</v>
      </c>
      <c r="B602" t="s">
        <v>313</v>
      </c>
      <c r="C602" t="s">
        <v>4107</v>
      </c>
      <c r="D602" t="s">
        <v>18111</v>
      </c>
      <c r="E602" t="s">
        <v>18754</v>
      </c>
      <c r="F602" t="s">
        <v>31362</v>
      </c>
      <c r="G602" t="s">
        <v>31369</v>
      </c>
      <c r="H602" t="s">
        <v>15799</v>
      </c>
      <c r="I602" t="s">
        <v>3815</v>
      </c>
      <c r="J602" t="s">
        <v>31990</v>
      </c>
      <c r="K602" t="s">
        <v>40670</v>
      </c>
      <c r="M602" t="s">
        <v>41258</v>
      </c>
      <c r="N602" t="s">
        <v>44905</v>
      </c>
      <c r="O602" t="s">
        <v>44906</v>
      </c>
      <c r="P602">
        <v>0</v>
      </c>
      <c r="Q602">
        <v>3</v>
      </c>
      <c r="R602" t="s">
        <v>44907</v>
      </c>
      <c r="S602" t="s">
        <v>45026</v>
      </c>
      <c r="T602" t="s">
        <v>46458</v>
      </c>
      <c r="U602" t="s">
        <v>47446</v>
      </c>
      <c r="W602" t="s">
        <v>41258</v>
      </c>
      <c r="X602" t="s">
        <v>44908</v>
      </c>
    </row>
    <row r="603" spans="1:24">
      <c r="A603">
        <f>HYPERLINK("https://www.philgeps.gov.ph/GEPSNONPILOT/Tender/SplashBidNoticeAbstractUI.aspx?menuIndex=3&amp;refID=7082202&amp;Result=3","7082202")</f>
        <v>0</v>
      </c>
      <c r="B603" t="s">
        <v>246</v>
      </c>
      <c r="C603" t="s">
        <v>4108</v>
      </c>
      <c r="D603" t="s">
        <v>18104</v>
      </c>
      <c r="E603" t="s">
        <v>18755</v>
      </c>
      <c r="F603" t="s">
        <v>31362</v>
      </c>
      <c r="G603" t="s">
        <v>31368</v>
      </c>
      <c r="H603" t="s">
        <v>15799</v>
      </c>
      <c r="I603" t="s">
        <v>7188</v>
      </c>
      <c r="J603" t="s">
        <v>31991</v>
      </c>
      <c r="K603" t="s">
        <v>40666</v>
      </c>
      <c r="M603" t="s">
        <v>41185</v>
      </c>
      <c r="N603" t="s">
        <v>44905</v>
      </c>
      <c r="O603" t="s">
        <v>44906</v>
      </c>
      <c r="P603">
        <v>0</v>
      </c>
      <c r="Q603">
        <v>0</v>
      </c>
      <c r="R603" t="s">
        <v>44907</v>
      </c>
      <c r="S603" t="s">
        <v>45026</v>
      </c>
      <c r="T603" t="s">
        <v>46411</v>
      </c>
      <c r="U603" t="s">
        <v>47447</v>
      </c>
      <c r="W603" t="s">
        <v>60841</v>
      </c>
      <c r="X603" t="s">
        <v>44908</v>
      </c>
    </row>
    <row r="604" spans="1:24">
      <c r="A604">
        <f>HYPERLINK("https://www.philgeps.gov.ph/GEPSNONPILOT/Tender/SplashBidNoticeAbstractUI.aspx?menuIndex=3&amp;refID=7082215&amp;Result=3","7082215")</f>
        <v>0</v>
      </c>
      <c r="B604" t="s">
        <v>140</v>
      </c>
      <c r="C604" t="s">
        <v>4109</v>
      </c>
      <c r="D604" t="s">
        <v>18169</v>
      </c>
      <c r="E604" t="s">
        <v>18756</v>
      </c>
      <c r="F604" t="s">
        <v>31362</v>
      </c>
      <c r="G604" t="s">
        <v>31369</v>
      </c>
      <c r="H604" t="s">
        <v>15799</v>
      </c>
      <c r="I604" t="s">
        <v>7090</v>
      </c>
      <c r="J604" t="s">
        <v>31992</v>
      </c>
      <c r="K604" t="s">
        <v>40702</v>
      </c>
      <c r="M604" t="s">
        <v>41078</v>
      </c>
      <c r="N604" t="s">
        <v>44905</v>
      </c>
      <c r="O604" t="s">
        <v>44906</v>
      </c>
      <c r="P604">
        <v>0</v>
      </c>
      <c r="Q604">
        <v>1</v>
      </c>
      <c r="R604" t="s">
        <v>44907</v>
      </c>
      <c r="S604" t="s">
        <v>45026</v>
      </c>
      <c r="T604" t="s">
        <v>46464</v>
      </c>
      <c r="U604" t="s">
        <v>47448</v>
      </c>
      <c r="W604" t="s">
        <v>41078</v>
      </c>
      <c r="X604" t="s">
        <v>44908</v>
      </c>
    </row>
    <row r="605" spans="1:24">
      <c r="A605">
        <f>HYPERLINK("https://www.philgeps.gov.ph/GEPSNONPILOT/Tender/SplashBidNoticeAbstractUI.aspx?menuIndex=3&amp;refID=7082211&amp;Result=3","7082211")</f>
        <v>0</v>
      </c>
      <c r="B605" t="s">
        <v>314</v>
      </c>
      <c r="C605" t="s">
        <v>4110</v>
      </c>
      <c r="D605" t="s">
        <v>18148</v>
      </c>
      <c r="E605" t="s">
        <v>18694</v>
      </c>
      <c r="F605" t="s">
        <v>31362</v>
      </c>
      <c r="G605" t="s">
        <v>31369</v>
      </c>
      <c r="H605" t="s">
        <v>31378</v>
      </c>
      <c r="I605" t="s">
        <v>31392</v>
      </c>
      <c r="J605" t="s">
        <v>31536</v>
      </c>
      <c r="K605" t="s">
        <v>40666</v>
      </c>
      <c r="M605" t="s">
        <v>41259</v>
      </c>
      <c r="N605" t="s">
        <v>44905</v>
      </c>
      <c r="O605" t="s">
        <v>44906</v>
      </c>
      <c r="P605">
        <v>0</v>
      </c>
      <c r="Q605">
        <v>0</v>
      </c>
      <c r="R605" t="s">
        <v>44907</v>
      </c>
      <c r="S605" t="s">
        <v>45026</v>
      </c>
      <c r="T605" t="s">
        <v>46401</v>
      </c>
      <c r="U605" t="s">
        <v>47449</v>
      </c>
      <c r="W605" t="s">
        <v>41259</v>
      </c>
      <c r="X605" t="s">
        <v>44908</v>
      </c>
    </row>
    <row r="606" spans="1:24">
      <c r="A606">
        <f>HYPERLINK("https://www.philgeps.gov.ph/GEPSNONPILOT/Tender/SplashBidNoticeAbstractUI.aspx?menuIndex=3&amp;refID=7082142&amp;Result=3","7082142")</f>
        <v>0</v>
      </c>
      <c r="B606" t="s">
        <v>259</v>
      </c>
      <c r="C606" t="s">
        <v>4111</v>
      </c>
      <c r="D606" t="s">
        <v>18100</v>
      </c>
      <c r="E606" t="s">
        <v>18757</v>
      </c>
      <c r="F606" t="s">
        <v>31362</v>
      </c>
      <c r="G606" t="s">
        <v>31368</v>
      </c>
      <c r="H606" t="s">
        <v>15799</v>
      </c>
      <c r="I606" t="s">
        <v>31442</v>
      </c>
      <c r="J606" t="s">
        <v>31575</v>
      </c>
      <c r="K606" t="s">
        <v>40693</v>
      </c>
      <c r="M606" t="s">
        <v>41200</v>
      </c>
      <c r="N606" t="s">
        <v>44905</v>
      </c>
      <c r="O606" t="s">
        <v>44906</v>
      </c>
      <c r="P606">
        <v>0</v>
      </c>
      <c r="Q606">
        <v>0</v>
      </c>
      <c r="R606" t="s">
        <v>44907</v>
      </c>
      <c r="S606" t="s">
        <v>45026</v>
      </c>
      <c r="T606" t="s">
        <v>46426</v>
      </c>
      <c r="U606" t="s">
        <v>47450</v>
      </c>
      <c r="W606" t="s">
        <v>41200</v>
      </c>
      <c r="X606" t="s">
        <v>44908</v>
      </c>
    </row>
    <row r="607" spans="1:24">
      <c r="A607">
        <f>HYPERLINK("https://www.philgeps.gov.ph/GEPSNONPILOT/Tender/SplashBidNoticeAbstractUI.aspx?menuIndex=3&amp;refID=7082206&amp;Result=3","7082206")</f>
        <v>0</v>
      </c>
      <c r="B607" t="s">
        <v>315</v>
      </c>
      <c r="C607" t="s">
        <v>4112</v>
      </c>
      <c r="D607" t="s">
        <v>18100</v>
      </c>
      <c r="E607" t="s">
        <v>18758</v>
      </c>
      <c r="F607" t="s">
        <v>31362</v>
      </c>
      <c r="G607" t="s">
        <v>31369</v>
      </c>
      <c r="H607" t="s">
        <v>15799</v>
      </c>
      <c r="I607" t="s">
        <v>31390</v>
      </c>
      <c r="J607" t="s">
        <v>31993</v>
      </c>
      <c r="K607" t="s">
        <v>40662</v>
      </c>
      <c r="M607" t="s">
        <v>41260</v>
      </c>
      <c r="N607" t="s">
        <v>44905</v>
      </c>
      <c r="O607" t="s">
        <v>44906</v>
      </c>
      <c r="P607">
        <v>0</v>
      </c>
      <c r="Q607">
        <v>0</v>
      </c>
      <c r="R607" t="s">
        <v>44907</v>
      </c>
      <c r="S607" t="s">
        <v>45026</v>
      </c>
      <c r="T607" t="s">
        <v>46511</v>
      </c>
      <c r="U607" t="s">
        <v>47451</v>
      </c>
      <c r="W607" t="s">
        <v>41260</v>
      </c>
      <c r="X607" t="s">
        <v>44908</v>
      </c>
    </row>
    <row r="608" spans="1:24">
      <c r="A608">
        <f>HYPERLINK("https://www.philgeps.gov.ph/GEPSNONPILOT/Tender/SplashBidNoticeAbstractUI.aspx?menuIndex=3&amp;refID=7082208&amp;Result=3","7082208")</f>
        <v>0</v>
      </c>
      <c r="B608" t="s">
        <v>316</v>
      </c>
      <c r="C608" t="s">
        <v>4113</v>
      </c>
      <c r="D608" t="s">
        <v>18149</v>
      </c>
      <c r="E608" t="s">
        <v>18759</v>
      </c>
      <c r="F608" t="s">
        <v>31362</v>
      </c>
      <c r="G608" t="s">
        <v>31368</v>
      </c>
      <c r="H608" t="s">
        <v>15799</v>
      </c>
      <c r="I608" t="s">
        <v>7188</v>
      </c>
      <c r="J608" t="s">
        <v>31994</v>
      </c>
      <c r="K608" t="s">
        <v>40661</v>
      </c>
      <c r="M608" t="s">
        <v>41261</v>
      </c>
      <c r="N608" t="s">
        <v>44905</v>
      </c>
      <c r="O608" t="s">
        <v>44906</v>
      </c>
      <c r="P608">
        <v>0</v>
      </c>
      <c r="Q608">
        <v>2</v>
      </c>
      <c r="R608" t="s">
        <v>44907</v>
      </c>
      <c r="S608" t="s">
        <v>45026</v>
      </c>
      <c r="T608" t="s">
        <v>46426</v>
      </c>
      <c r="U608" t="s">
        <v>47452</v>
      </c>
      <c r="W608" t="s">
        <v>41261</v>
      </c>
      <c r="X608" t="s">
        <v>44908</v>
      </c>
    </row>
    <row r="609" spans="1:24">
      <c r="A609">
        <f>HYPERLINK("https://www.philgeps.gov.ph/GEPSNONPILOT/Tender/SplashBidNoticeAbstractUI.aspx?menuIndex=3&amp;refID=7082207&amp;Result=3","7082207")</f>
        <v>0</v>
      </c>
      <c r="B609" t="s">
        <v>292</v>
      </c>
      <c r="C609" t="s">
        <v>4114</v>
      </c>
      <c r="D609" t="s">
        <v>18143</v>
      </c>
      <c r="E609" t="s">
        <v>18760</v>
      </c>
      <c r="F609" t="s">
        <v>31362</v>
      </c>
      <c r="G609" t="s">
        <v>31368</v>
      </c>
      <c r="H609" t="s">
        <v>15799</v>
      </c>
      <c r="I609" t="s">
        <v>3815</v>
      </c>
      <c r="J609" t="s">
        <v>31995</v>
      </c>
      <c r="K609" t="s">
        <v>40661</v>
      </c>
      <c r="M609" t="s">
        <v>41235</v>
      </c>
      <c r="N609" t="s">
        <v>44905</v>
      </c>
      <c r="O609" t="s">
        <v>44906</v>
      </c>
      <c r="P609">
        <v>0</v>
      </c>
      <c r="Q609">
        <v>0</v>
      </c>
      <c r="R609" t="s">
        <v>44907</v>
      </c>
      <c r="S609" t="s">
        <v>45026</v>
      </c>
      <c r="T609" t="s">
        <v>46415</v>
      </c>
      <c r="U609" t="s">
        <v>47453</v>
      </c>
      <c r="W609" t="s">
        <v>41235</v>
      </c>
      <c r="X609" t="s">
        <v>44908</v>
      </c>
    </row>
    <row r="610" spans="1:24">
      <c r="A610">
        <f>HYPERLINK("https://www.philgeps.gov.ph/GEPSNONPILOT/Tender/SplashBidNoticeAbstractUI.aspx?menuIndex=3&amp;refID=7082199&amp;Result=3","7082199")</f>
        <v>0</v>
      </c>
      <c r="B610" t="s">
        <v>250</v>
      </c>
      <c r="C610" t="s">
        <v>4115</v>
      </c>
      <c r="D610" t="s">
        <v>18152</v>
      </c>
      <c r="E610" t="s">
        <v>18761</v>
      </c>
      <c r="F610" t="s">
        <v>31362</v>
      </c>
      <c r="G610" t="s">
        <v>31368</v>
      </c>
      <c r="H610" t="s">
        <v>15799</v>
      </c>
      <c r="I610" t="s">
        <v>4942</v>
      </c>
      <c r="J610" t="s">
        <v>31897</v>
      </c>
      <c r="K610" t="s">
        <v>40666</v>
      </c>
      <c r="M610" t="s">
        <v>41189</v>
      </c>
      <c r="N610" t="s">
        <v>44905</v>
      </c>
      <c r="O610" t="s">
        <v>44906</v>
      </c>
      <c r="P610">
        <v>0</v>
      </c>
      <c r="Q610">
        <v>0</v>
      </c>
      <c r="R610" t="s">
        <v>44907</v>
      </c>
      <c r="S610" t="s">
        <v>45026</v>
      </c>
      <c r="T610" t="s">
        <v>46432</v>
      </c>
      <c r="U610" t="s">
        <v>47454</v>
      </c>
      <c r="W610" t="s">
        <v>41189</v>
      </c>
      <c r="X610" t="s">
        <v>44908</v>
      </c>
    </row>
    <row r="611" spans="1:24">
      <c r="A611">
        <f>HYPERLINK("https://www.philgeps.gov.ph/GEPSNONPILOT/Tender/SplashBidNoticeAbstractUI.aspx?menuIndex=3&amp;refID=7082195&amp;Result=3","7082195")</f>
        <v>0</v>
      </c>
      <c r="B611" t="s">
        <v>130</v>
      </c>
      <c r="C611" t="s">
        <v>4116</v>
      </c>
      <c r="D611" t="s">
        <v>18109</v>
      </c>
      <c r="E611" t="s">
        <v>18762</v>
      </c>
      <c r="F611" t="s">
        <v>31362</v>
      </c>
      <c r="G611" t="s">
        <v>31368</v>
      </c>
      <c r="H611" t="s">
        <v>15799</v>
      </c>
      <c r="I611" t="s">
        <v>3815</v>
      </c>
      <c r="J611" t="s">
        <v>31996</v>
      </c>
      <c r="K611" t="s">
        <v>40662</v>
      </c>
      <c r="M611" t="s">
        <v>41067</v>
      </c>
      <c r="N611" t="s">
        <v>44905</v>
      </c>
      <c r="O611" t="s">
        <v>44906</v>
      </c>
      <c r="P611">
        <v>0</v>
      </c>
      <c r="Q611">
        <v>1</v>
      </c>
      <c r="R611" t="s">
        <v>44907</v>
      </c>
      <c r="S611" t="s">
        <v>45026</v>
      </c>
      <c r="T611" t="s">
        <v>46394</v>
      </c>
      <c r="U611" t="s">
        <v>47455</v>
      </c>
      <c r="W611" t="s">
        <v>41067</v>
      </c>
      <c r="X611" t="s">
        <v>44908</v>
      </c>
    </row>
    <row r="612" spans="1:24">
      <c r="A612">
        <f>HYPERLINK("https://www.philgeps.gov.ph/GEPSNONPILOT/Tender/SplashBidNoticeAbstractUI.aspx?menuIndex=3&amp;refID=7082213&amp;Result=3","7082213")</f>
        <v>0</v>
      </c>
      <c r="B612" t="s">
        <v>276</v>
      </c>
      <c r="C612" t="s">
        <v>4117</v>
      </c>
      <c r="D612" t="s">
        <v>18106</v>
      </c>
      <c r="E612" t="s">
        <v>18763</v>
      </c>
      <c r="F612" t="s">
        <v>31362</v>
      </c>
      <c r="G612" t="s">
        <v>31368</v>
      </c>
      <c r="H612" t="s">
        <v>15799</v>
      </c>
      <c r="I612" t="s">
        <v>31414</v>
      </c>
      <c r="J612" t="s">
        <v>31997</v>
      </c>
      <c r="K612" t="s">
        <v>40661</v>
      </c>
      <c r="M612" t="s">
        <v>41218</v>
      </c>
      <c r="N612" t="s">
        <v>44905</v>
      </c>
      <c r="O612" t="s">
        <v>44906</v>
      </c>
      <c r="P612">
        <v>0</v>
      </c>
      <c r="Q612">
        <v>1</v>
      </c>
      <c r="R612" t="s">
        <v>44907</v>
      </c>
      <c r="S612" t="s">
        <v>45026</v>
      </c>
      <c r="T612" t="s">
        <v>46438</v>
      </c>
      <c r="U612" t="s">
        <v>47456</v>
      </c>
      <c r="W612" t="s">
        <v>41218</v>
      </c>
      <c r="X612" t="s">
        <v>44908</v>
      </c>
    </row>
    <row r="613" spans="1:24">
      <c r="A613">
        <f>HYPERLINK("https://www.philgeps.gov.ph/GEPSNONPILOT/Tender/SplashBidNoticeAbstractUI.aspx?menuIndex=3&amp;refID=7082192&amp;Result=3","7082192")</f>
        <v>0</v>
      </c>
      <c r="B613" t="s">
        <v>292</v>
      </c>
      <c r="C613" t="s">
        <v>4118</v>
      </c>
      <c r="D613" t="s">
        <v>18143</v>
      </c>
      <c r="E613" t="s">
        <v>18764</v>
      </c>
      <c r="F613" t="s">
        <v>31362</v>
      </c>
      <c r="G613" t="s">
        <v>31368</v>
      </c>
      <c r="H613" t="s">
        <v>15799</v>
      </c>
      <c r="I613" t="s">
        <v>7090</v>
      </c>
      <c r="J613" t="s">
        <v>31998</v>
      </c>
      <c r="K613" t="s">
        <v>40661</v>
      </c>
      <c r="M613" t="s">
        <v>41235</v>
      </c>
      <c r="N613" t="s">
        <v>44905</v>
      </c>
      <c r="O613" t="s">
        <v>44906</v>
      </c>
      <c r="P613">
        <v>0</v>
      </c>
      <c r="Q613">
        <v>0</v>
      </c>
      <c r="R613" t="s">
        <v>44907</v>
      </c>
      <c r="S613" t="s">
        <v>45026</v>
      </c>
      <c r="T613" t="s">
        <v>46415</v>
      </c>
      <c r="U613" t="s">
        <v>47457</v>
      </c>
      <c r="W613" t="s">
        <v>41235</v>
      </c>
      <c r="X613" t="s">
        <v>44908</v>
      </c>
    </row>
    <row r="614" spans="1:24">
      <c r="A614">
        <f>HYPERLINK("https://www.philgeps.gov.ph/GEPSNONPILOT/Tender/SplashBidNoticeAbstractUI.aspx?menuIndex=3&amp;refID=7082191&amp;Result=3","7082191")</f>
        <v>0</v>
      </c>
      <c r="B614" t="s">
        <v>155</v>
      </c>
      <c r="C614" t="s">
        <v>4119</v>
      </c>
      <c r="D614" t="s">
        <v>18108</v>
      </c>
      <c r="E614" t="s">
        <v>18765</v>
      </c>
      <c r="F614" t="s">
        <v>31362</v>
      </c>
      <c r="G614" t="s">
        <v>31368</v>
      </c>
      <c r="H614" t="s">
        <v>15799</v>
      </c>
      <c r="I614" t="s">
        <v>31411</v>
      </c>
      <c r="J614" t="s">
        <v>31999</v>
      </c>
      <c r="K614" t="s">
        <v>40662</v>
      </c>
      <c r="M614" t="s">
        <v>41093</v>
      </c>
      <c r="N614" t="s">
        <v>44905</v>
      </c>
      <c r="O614" t="s">
        <v>44906</v>
      </c>
      <c r="P614">
        <v>0</v>
      </c>
      <c r="Q614">
        <v>5</v>
      </c>
      <c r="R614" t="s">
        <v>44907</v>
      </c>
      <c r="S614" t="s">
        <v>45026</v>
      </c>
      <c r="T614" t="s">
        <v>46473</v>
      </c>
      <c r="U614" t="s">
        <v>47458</v>
      </c>
      <c r="W614" t="s">
        <v>41093</v>
      </c>
      <c r="X614" t="s">
        <v>44908</v>
      </c>
    </row>
    <row r="615" spans="1:24">
      <c r="A615">
        <f>HYPERLINK("https://www.philgeps.gov.ph/GEPSNONPILOT/Tender/SplashBidNoticeAbstractUI.aspx?menuIndex=3&amp;refID=7082194&amp;Result=3","7082194")</f>
        <v>0</v>
      </c>
      <c r="B615" t="s">
        <v>317</v>
      </c>
      <c r="C615" t="s">
        <v>4120</v>
      </c>
      <c r="D615" t="s">
        <v>18165</v>
      </c>
      <c r="E615" t="s">
        <v>18766</v>
      </c>
      <c r="F615" t="s">
        <v>31362</v>
      </c>
      <c r="G615" t="s">
        <v>31368</v>
      </c>
      <c r="H615" t="s">
        <v>15799</v>
      </c>
      <c r="I615" t="s">
        <v>31402</v>
      </c>
      <c r="J615" t="s">
        <v>32000</v>
      </c>
      <c r="K615" t="s">
        <v>40665</v>
      </c>
      <c r="M615" t="s">
        <v>41262</v>
      </c>
      <c r="N615" t="s">
        <v>44905</v>
      </c>
      <c r="O615" t="s">
        <v>44906</v>
      </c>
      <c r="P615">
        <v>0</v>
      </c>
      <c r="Q615">
        <v>0</v>
      </c>
      <c r="R615" t="s">
        <v>44907</v>
      </c>
      <c r="S615" t="s">
        <v>45026</v>
      </c>
      <c r="T615" t="s">
        <v>46480</v>
      </c>
      <c r="U615" t="s">
        <v>47459</v>
      </c>
      <c r="W615" t="s">
        <v>60846</v>
      </c>
      <c r="X615" t="s">
        <v>44908</v>
      </c>
    </row>
    <row r="616" spans="1:24">
      <c r="A616">
        <f>HYPERLINK("https://www.philgeps.gov.ph/GEPSNONPILOT/Tender/SplashBidNoticeAbstractUI.aspx?menuIndex=3&amp;refID=7082222&amp;Result=3","7082222")</f>
        <v>0</v>
      </c>
      <c r="B616" t="s">
        <v>318</v>
      </c>
      <c r="C616" t="s">
        <v>4121</v>
      </c>
      <c r="D616" t="s">
        <v>18131</v>
      </c>
      <c r="E616" t="s">
        <v>18767</v>
      </c>
      <c r="F616" t="s">
        <v>31362</v>
      </c>
      <c r="G616" t="s">
        <v>31368</v>
      </c>
      <c r="H616" t="s">
        <v>15799</v>
      </c>
      <c r="I616" t="s">
        <v>31422</v>
      </c>
      <c r="J616" t="s">
        <v>32001</v>
      </c>
      <c r="K616" t="s">
        <v>40697</v>
      </c>
      <c r="M616" t="s">
        <v>41263</v>
      </c>
      <c r="N616" t="s">
        <v>44905</v>
      </c>
      <c r="O616" t="s">
        <v>44906</v>
      </c>
      <c r="P616">
        <v>0</v>
      </c>
      <c r="Q616">
        <v>1</v>
      </c>
      <c r="R616" t="s">
        <v>44907</v>
      </c>
      <c r="S616" t="s">
        <v>45026</v>
      </c>
      <c r="T616" t="s">
        <v>46454</v>
      </c>
      <c r="U616" t="s">
        <v>47460</v>
      </c>
      <c r="W616" t="s">
        <v>41263</v>
      </c>
      <c r="X616" t="s">
        <v>44908</v>
      </c>
    </row>
    <row r="617" spans="1:24">
      <c r="A617">
        <f>HYPERLINK("https://www.philgeps.gov.ph/GEPSNONPILOT/Tender/SplashBidNoticeAbstractUI.aspx?menuIndex=3&amp;refID=7082042&amp;Result=3","7082042")</f>
        <v>0</v>
      </c>
      <c r="B617" t="s">
        <v>319</v>
      </c>
      <c r="C617" t="s">
        <v>4122</v>
      </c>
      <c r="D617" t="s">
        <v>18127</v>
      </c>
      <c r="E617" t="s">
        <v>18201</v>
      </c>
      <c r="F617" t="s">
        <v>31362</v>
      </c>
      <c r="G617" t="s">
        <v>31369</v>
      </c>
      <c r="H617" t="s">
        <v>31378</v>
      </c>
      <c r="I617" t="s">
        <v>31386</v>
      </c>
      <c r="J617" t="s">
        <v>32002</v>
      </c>
      <c r="K617" t="s">
        <v>40665</v>
      </c>
      <c r="M617" t="s">
        <v>41264</v>
      </c>
      <c r="N617" t="s">
        <v>44905</v>
      </c>
      <c r="O617" t="s">
        <v>44906</v>
      </c>
      <c r="P617">
        <v>0</v>
      </c>
      <c r="Q617">
        <v>0</v>
      </c>
      <c r="R617" t="s">
        <v>44907</v>
      </c>
      <c r="S617" t="s">
        <v>45026</v>
      </c>
      <c r="T617" t="s">
        <v>46479</v>
      </c>
      <c r="U617" t="s">
        <v>47461</v>
      </c>
      <c r="W617" t="s">
        <v>41264</v>
      </c>
      <c r="X617" t="s">
        <v>44908</v>
      </c>
    </row>
    <row r="618" spans="1:24">
      <c r="A618">
        <f>HYPERLINK("https://www.philgeps.gov.ph/GEPSNONPILOT/Tender/SplashBidNoticeAbstractUI.aspx?menuIndex=3&amp;refID=7082196&amp;Result=3","7082196")</f>
        <v>0</v>
      </c>
      <c r="B618" t="s">
        <v>277</v>
      </c>
      <c r="C618" t="s">
        <v>4123</v>
      </c>
      <c r="D618" t="s">
        <v>18149</v>
      </c>
      <c r="E618" t="s">
        <v>18768</v>
      </c>
      <c r="F618" t="s">
        <v>31362</v>
      </c>
      <c r="G618" t="s">
        <v>31368</v>
      </c>
      <c r="H618" t="s">
        <v>15799</v>
      </c>
      <c r="I618" t="s">
        <v>31385</v>
      </c>
      <c r="J618" t="s">
        <v>32003</v>
      </c>
      <c r="K618" t="s">
        <v>40670</v>
      </c>
      <c r="M618" t="s">
        <v>41219</v>
      </c>
      <c r="N618" t="s">
        <v>44905</v>
      </c>
      <c r="O618" t="s">
        <v>44906</v>
      </c>
      <c r="P618">
        <v>0</v>
      </c>
      <c r="Q618">
        <v>1</v>
      </c>
      <c r="R618" t="s">
        <v>44907</v>
      </c>
      <c r="S618" t="s">
        <v>45026</v>
      </c>
      <c r="T618" t="s">
        <v>46432</v>
      </c>
      <c r="U618" t="s">
        <v>47462</v>
      </c>
      <c r="W618" t="s">
        <v>41219</v>
      </c>
      <c r="X618" t="s">
        <v>44908</v>
      </c>
    </row>
    <row r="619" spans="1:24">
      <c r="A619">
        <f>HYPERLINK("https://www.philgeps.gov.ph/GEPSNONPILOT/Tender/SplashBidNoticeAbstractUI.aspx?menuIndex=3&amp;refID=7082221&amp;Result=3","7082221")</f>
        <v>0</v>
      </c>
      <c r="B619" t="s">
        <v>320</v>
      </c>
      <c r="C619" t="s">
        <v>4124</v>
      </c>
      <c r="D619" t="s">
        <v>18172</v>
      </c>
      <c r="E619" t="s">
        <v>18769</v>
      </c>
      <c r="F619" t="s">
        <v>31362</v>
      </c>
      <c r="G619" t="s">
        <v>31369</v>
      </c>
      <c r="H619" t="s">
        <v>31378</v>
      </c>
      <c r="I619" t="s">
        <v>31386</v>
      </c>
      <c r="J619" t="s">
        <v>32004</v>
      </c>
      <c r="K619" t="s">
        <v>40666</v>
      </c>
      <c r="M619" t="s">
        <v>41265</v>
      </c>
      <c r="N619" t="s">
        <v>44905</v>
      </c>
      <c r="O619" t="s">
        <v>44906</v>
      </c>
      <c r="P619">
        <v>0</v>
      </c>
      <c r="Q619">
        <v>0</v>
      </c>
      <c r="R619" t="s">
        <v>44907</v>
      </c>
      <c r="S619" t="s">
        <v>45026</v>
      </c>
      <c r="T619" t="s">
        <v>46396</v>
      </c>
      <c r="U619" t="s">
        <v>47463</v>
      </c>
      <c r="V619" t="s">
        <v>59132</v>
      </c>
      <c r="W619" t="s">
        <v>41265</v>
      </c>
      <c r="X619" t="s">
        <v>44908</v>
      </c>
    </row>
    <row r="620" spans="1:24">
      <c r="A620">
        <f>HYPERLINK("https://www.philgeps.gov.ph/GEPSNONPILOT/Tender/SplashBidNoticeAbstractUI.aspx?menuIndex=3&amp;refID=7082217&amp;Result=3","7082217")</f>
        <v>0</v>
      </c>
      <c r="B620" t="s">
        <v>82</v>
      </c>
      <c r="C620" t="s">
        <v>4125</v>
      </c>
      <c r="D620" t="s">
        <v>18118</v>
      </c>
      <c r="E620" t="s">
        <v>18770</v>
      </c>
      <c r="F620" t="s">
        <v>31362</v>
      </c>
      <c r="G620" t="s">
        <v>31369</v>
      </c>
      <c r="H620" t="s">
        <v>15799</v>
      </c>
      <c r="I620" t="s">
        <v>31430</v>
      </c>
      <c r="J620" t="s">
        <v>32005</v>
      </c>
      <c r="K620" t="s">
        <v>40666</v>
      </c>
      <c r="M620" t="s">
        <v>41266</v>
      </c>
      <c r="N620" t="s">
        <v>44905</v>
      </c>
      <c r="O620" t="s">
        <v>44906</v>
      </c>
      <c r="P620">
        <v>0</v>
      </c>
      <c r="Q620">
        <v>0</v>
      </c>
      <c r="R620" t="s">
        <v>44907</v>
      </c>
      <c r="S620" t="s">
        <v>45026</v>
      </c>
      <c r="T620" t="s">
        <v>46433</v>
      </c>
      <c r="U620" t="s">
        <v>47043</v>
      </c>
      <c r="W620" t="s">
        <v>41266</v>
      </c>
      <c r="X620" t="s">
        <v>44908</v>
      </c>
    </row>
    <row r="621" spans="1:24">
      <c r="A621">
        <f>HYPERLINK("https://www.philgeps.gov.ph/GEPSNONPILOT/Tender/SplashBidNoticeAbstractUI.aspx?menuIndex=3&amp;refID=7082245&amp;Result=3","7082245")</f>
        <v>0</v>
      </c>
      <c r="B621" t="s">
        <v>292</v>
      </c>
      <c r="C621" t="s">
        <v>4126</v>
      </c>
      <c r="D621" t="s">
        <v>18143</v>
      </c>
      <c r="E621" t="s">
        <v>18771</v>
      </c>
      <c r="F621" t="s">
        <v>31362</v>
      </c>
      <c r="G621" t="s">
        <v>31368</v>
      </c>
      <c r="H621" t="s">
        <v>15799</v>
      </c>
      <c r="I621" t="s">
        <v>7090</v>
      </c>
      <c r="J621" t="s">
        <v>31734</v>
      </c>
      <c r="K621" t="s">
        <v>40670</v>
      </c>
      <c r="M621" t="s">
        <v>41235</v>
      </c>
      <c r="N621" t="s">
        <v>44905</v>
      </c>
      <c r="O621" t="s">
        <v>44906</v>
      </c>
      <c r="P621">
        <v>0</v>
      </c>
      <c r="Q621">
        <v>4</v>
      </c>
      <c r="R621" t="s">
        <v>44907</v>
      </c>
      <c r="S621" t="s">
        <v>45026</v>
      </c>
      <c r="T621" t="s">
        <v>46415</v>
      </c>
      <c r="U621" t="s">
        <v>47464</v>
      </c>
      <c r="W621" t="s">
        <v>41235</v>
      </c>
      <c r="X621" t="s">
        <v>44908</v>
      </c>
    </row>
    <row r="622" spans="1:24">
      <c r="A622">
        <f>HYPERLINK("https://www.philgeps.gov.ph/GEPSNONPILOT/Tender/SplashBidNoticeAbstractUI.aspx?menuIndex=3&amp;refID=7082243&amp;Result=3","7082243")</f>
        <v>0</v>
      </c>
      <c r="B622" t="s">
        <v>312</v>
      </c>
      <c r="C622" t="s">
        <v>4127</v>
      </c>
      <c r="D622" t="s">
        <v>18119</v>
      </c>
      <c r="E622" t="s">
        <v>18772</v>
      </c>
      <c r="F622" t="s">
        <v>31362</v>
      </c>
      <c r="G622" t="s">
        <v>31369</v>
      </c>
      <c r="H622" t="s">
        <v>31378</v>
      </c>
      <c r="I622" t="s">
        <v>31386</v>
      </c>
      <c r="J622" t="s">
        <v>32006</v>
      </c>
      <c r="K622" t="s">
        <v>40686</v>
      </c>
      <c r="M622" t="s">
        <v>41257</v>
      </c>
      <c r="N622" t="s">
        <v>44905</v>
      </c>
      <c r="O622" t="s">
        <v>44906</v>
      </c>
      <c r="P622">
        <v>0</v>
      </c>
      <c r="Q622">
        <v>0</v>
      </c>
      <c r="R622" t="s">
        <v>44907</v>
      </c>
      <c r="S622" t="s">
        <v>45026</v>
      </c>
      <c r="T622" t="s">
        <v>46512</v>
      </c>
      <c r="U622" t="s">
        <v>47465</v>
      </c>
      <c r="W622" t="s">
        <v>41257</v>
      </c>
      <c r="X622" t="s">
        <v>44908</v>
      </c>
    </row>
    <row r="623" spans="1:24">
      <c r="A623">
        <f>HYPERLINK("https://www.philgeps.gov.ph/GEPSNONPILOT/Tender/SplashBidNoticeAbstractUI.aspx?menuIndex=3&amp;refID=7082241&amp;Result=3","7082241")</f>
        <v>0</v>
      </c>
      <c r="B623" t="s">
        <v>321</v>
      </c>
      <c r="C623" t="s">
        <v>4128</v>
      </c>
      <c r="D623" t="s">
        <v>18104</v>
      </c>
      <c r="E623" t="s">
        <v>18773</v>
      </c>
      <c r="F623" t="s">
        <v>31362</v>
      </c>
      <c r="G623" t="s">
        <v>31369</v>
      </c>
      <c r="H623" t="s">
        <v>31378</v>
      </c>
      <c r="I623" t="s">
        <v>3815</v>
      </c>
      <c r="J623" t="s">
        <v>32007</v>
      </c>
      <c r="K623" t="s">
        <v>40683</v>
      </c>
      <c r="M623" t="s">
        <v>41267</v>
      </c>
      <c r="N623" t="s">
        <v>44905</v>
      </c>
      <c r="O623" t="s">
        <v>44906</v>
      </c>
      <c r="P623">
        <v>0</v>
      </c>
      <c r="Q623">
        <v>1</v>
      </c>
      <c r="R623" t="s">
        <v>44907</v>
      </c>
      <c r="S623" t="s">
        <v>45026</v>
      </c>
      <c r="T623" t="s">
        <v>46401</v>
      </c>
      <c r="U623" t="s">
        <v>47466</v>
      </c>
      <c r="V623" t="s">
        <v>59133</v>
      </c>
      <c r="W623" t="s">
        <v>41267</v>
      </c>
      <c r="X623" t="s">
        <v>44908</v>
      </c>
    </row>
    <row r="624" spans="1:24">
      <c r="A624">
        <f>HYPERLINK("https://www.philgeps.gov.ph/GEPSNONPILOT/Tender/SplashBidNoticeAbstractUI.aspx?menuIndex=3&amp;refID=7082239&amp;Result=3","7082239")</f>
        <v>0</v>
      </c>
      <c r="B624" t="s">
        <v>322</v>
      </c>
      <c r="C624" t="s">
        <v>4129</v>
      </c>
      <c r="D624" t="s">
        <v>18173</v>
      </c>
      <c r="E624" t="s">
        <v>18774</v>
      </c>
      <c r="F624" t="s">
        <v>31362</v>
      </c>
      <c r="G624" t="s">
        <v>31368</v>
      </c>
      <c r="H624" t="s">
        <v>15799</v>
      </c>
      <c r="I624" t="s">
        <v>31419</v>
      </c>
      <c r="J624" t="s">
        <v>32008</v>
      </c>
      <c r="K624" t="s">
        <v>40697</v>
      </c>
      <c r="M624" t="s">
        <v>41268</v>
      </c>
      <c r="N624" t="s">
        <v>44905</v>
      </c>
      <c r="O624" t="s">
        <v>44906</v>
      </c>
      <c r="P624">
        <v>0</v>
      </c>
      <c r="Q624">
        <v>2</v>
      </c>
      <c r="R624" t="s">
        <v>44907</v>
      </c>
      <c r="S624" t="s">
        <v>45026</v>
      </c>
      <c r="T624" t="s">
        <v>46400</v>
      </c>
      <c r="U624" t="s">
        <v>47467</v>
      </c>
      <c r="W624" t="s">
        <v>41268</v>
      </c>
      <c r="X624" t="s">
        <v>44908</v>
      </c>
    </row>
    <row r="625" spans="1:24">
      <c r="A625">
        <f>HYPERLINK("https://www.philgeps.gov.ph/GEPSNONPILOT/Tender/SplashBidNoticeAbstractUI.aspx?menuIndex=3&amp;refID=7082236&amp;Result=3","7082236")</f>
        <v>0</v>
      </c>
      <c r="B625" t="s">
        <v>270</v>
      </c>
      <c r="C625" t="s">
        <v>4130</v>
      </c>
      <c r="D625" t="s">
        <v>18166</v>
      </c>
      <c r="E625" t="s">
        <v>18775</v>
      </c>
      <c r="F625" t="s">
        <v>31362</v>
      </c>
      <c r="G625" t="s">
        <v>31369</v>
      </c>
      <c r="H625" t="s">
        <v>15799</v>
      </c>
      <c r="I625" t="s">
        <v>31380</v>
      </c>
      <c r="J625" t="s">
        <v>32009</v>
      </c>
      <c r="K625" t="s">
        <v>40661</v>
      </c>
      <c r="M625" t="s">
        <v>41212</v>
      </c>
      <c r="N625" t="s">
        <v>44905</v>
      </c>
      <c r="O625" t="s">
        <v>44906</v>
      </c>
      <c r="P625">
        <v>0</v>
      </c>
      <c r="Q625">
        <v>1</v>
      </c>
      <c r="R625" t="s">
        <v>44907</v>
      </c>
      <c r="S625" t="s">
        <v>45026</v>
      </c>
      <c r="T625" t="s">
        <v>46462</v>
      </c>
      <c r="U625" t="s">
        <v>47377</v>
      </c>
      <c r="W625" t="s">
        <v>41212</v>
      </c>
      <c r="X625" t="s">
        <v>44908</v>
      </c>
    </row>
    <row r="626" spans="1:24">
      <c r="A626">
        <f>HYPERLINK("https://www.philgeps.gov.ph/GEPSNONPILOT/Tender/SplashBidNoticeAbstractUI.aspx?menuIndex=3&amp;refID=7082238&amp;Result=3","7082238")</f>
        <v>0</v>
      </c>
      <c r="B626" t="s">
        <v>231</v>
      </c>
      <c r="C626" t="s">
        <v>3972</v>
      </c>
      <c r="D626" t="s">
        <v>18161</v>
      </c>
      <c r="E626" t="s">
        <v>18776</v>
      </c>
      <c r="F626" t="s">
        <v>31362</v>
      </c>
      <c r="G626" t="s">
        <v>31368</v>
      </c>
      <c r="H626" t="s">
        <v>15799</v>
      </c>
      <c r="I626" t="s">
        <v>31385</v>
      </c>
      <c r="J626" t="s">
        <v>32010</v>
      </c>
      <c r="K626" t="s">
        <v>40672</v>
      </c>
      <c r="M626" t="s">
        <v>41170</v>
      </c>
      <c r="N626" t="s">
        <v>44905</v>
      </c>
      <c r="O626" t="s">
        <v>44906</v>
      </c>
      <c r="P626">
        <v>0</v>
      </c>
      <c r="Q626">
        <v>1</v>
      </c>
      <c r="R626" t="s">
        <v>44907</v>
      </c>
      <c r="S626" t="s">
        <v>45026</v>
      </c>
      <c r="T626" t="s">
        <v>46412</v>
      </c>
      <c r="U626" t="s">
        <v>47319</v>
      </c>
      <c r="W626" t="s">
        <v>41170</v>
      </c>
      <c r="X626" t="s">
        <v>44908</v>
      </c>
    </row>
    <row r="627" spans="1:24">
      <c r="A627">
        <f>HYPERLINK("https://www.philgeps.gov.ph/GEPSNONPILOT/Tender/SplashBidNoticeAbstractUI.aspx?menuIndex=3&amp;refID=7082244&amp;Result=3","7082244")</f>
        <v>0</v>
      </c>
      <c r="B627" t="s">
        <v>323</v>
      </c>
      <c r="C627" t="s">
        <v>4131</v>
      </c>
      <c r="D627" t="s">
        <v>18168</v>
      </c>
      <c r="E627" t="s">
        <v>18777</v>
      </c>
      <c r="F627" t="s">
        <v>31362</v>
      </c>
      <c r="G627" t="s">
        <v>31370</v>
      </c>
      <c r="H627" t="s">
        <v>15799</v>
      </c>
      <c r="I627" t="s">
        <v>31443</v>
      </c>
      <c r="J627" t="s">
        <v>32011</v>
      </c>
      <c r="K627" t="s">
        <v>40666</v>
      </c>
      <c r="M627" t="s">
        <v>41269</v>
      </c>
      <c r="N627" t="s">
        <v>44905</v>
      </c>
      <c r="O627" t="s">
        <v>44906</v>
      </c>
      <c r="P627">
        <v>0</v>
      </c>
      <c r="Q627">
        <v>1</v>
      </c>
      <c r="R627" t="s">
        <v>44907</v>
      </c>
      <c r="S627" t="s">
        <v>45026</v>
      </c>
      <c r="T627" t="s">
        <v>46414</v>
      </c>
      <c r="U627" t="s">
        <v>47468</v>
      </c>
      <c r="W627" t="s">
        <v>41269</v>
      </c>
      <c r="X627" t="s">
        <v>44908</v>
      </c>
    </row>
    <row r="628" spans="1:24">
      <c r="A628">
        <f>HYPERLINK("https://www.philgeps.gov.ph/GEPSNONPILOT/Tender/SplashBidNoticeAbstractUI.aspx?menuIndex=3&amp;refID=7082189&amp;Result=3","7082189")</f>
        <v>0</v>
      </c>
      <c r="B628" t="s">
        <v>324</v>
      </c>
      <c r="C628" t="s">
        <v>4132</v>
      </c>
      <c r="D628" t="s">
        <v>18174</v>
      </c>
      <c r="E628" t="s">
        <v>18778</v>
      </c>
      <c r="F628" t="s">
        <v>31362</v>
      </c>
      <c r="G628" t="s">
        <v>31370</v>
      </c>
      <c r="H628" t="s">
        <v>15799</v>
      </c>
      <c r="I628" t="s">
        <v>31418</v>
      </c>
      <c r="J628" t="s">
        <v>31998</v>
      </c>
      <c r="K628" t="s">
        <v>40665</v>
      </c>
      <c r="M628" t="s">
        <v>41270</v>
      </c>
      <c r="N628" t="s">
        <v>44905</v>
      </c>
      <c r="O628" t="s">
        <v>44906</v>
      </c>
      <c r="P628">
        <v>0</v>
      </c>
      <c r="Q628">
        <v>0</v>
      </c>
      <c r="R628" t="s">
        <v>44907</v>
      </c>
      <c r="S628" t="s">
        <v>45026</v>
      </c>
      <c r="T628" t="s">
        <v>46513</v>
      </c>
      <c r="U628" t="s">
        <v>47469</v>
      </c>
      <c r="W628" t="s">
        <v>41270</v>
      </c>
      <c r="X628" t="s">
        <v>44908</v>
      </c>
    </row>
    <row r="629" spans="1:24">
      <c r="A629">
        <f>HYPERLINK("https://www.philgeps.gov.ph/GEPSNONPILOT/Tender/SplashBidNoticeAbstractUI.aspx?menuIndex=3&amp;refID=7082233&amp;Result=3","7082233")</f>
        <v>0</v>
      </c>
      <c r="B629" t="s">
        <v>325</v>
      </c>
      <c r="C629" t="s">
        <v>4133</v>
      </c>
      <c r="E629" t="s">
        <v>18779</v>
      </c>
      <c r="F629" t="s">
        <v>31362</v>
      </c>
      <c r="G629" t="s">
        <v>31368</v>
      </c>
      <c r="H629" t="s">
        <v>15799</v>
      </c>
      <c r="I629" t="s">
        <v>3815</v>
      </c>
      <c r="J629" t="s">
        <v>32012</v>
      </c>
      <c r="K629" t="s">
        <v>40662</v>
      </c>
      <c r="M629" t="s">
        <v>41271</v>
      </c>
      <c r="N629" t="s">
        <v>44905</v>
      </c>
      <c r="O629" t="s">
        <v>44906</v>
      </c>
      <c r="P629">
        <v>0</v>
      </c>
      <c r="Q629">
        <v>0</v>
      </c>
      <c r="R629" t="s">
        <v>44907</v>
      </c>
      <c r="S629" t="s">
        <v>45026</v>
      </c>
      <c r="T629" t="s">
        <v>46394</v>
      </c>
      <c r="U629" t="s">
        <v>47470</v>
      </c>
      <c r="W629" t="s">
        <v>41271</v>
      </c>
      <c r="X629" t="s">
        <v>44908</v>
      </c>
    </row>
    <row r="630" spans="1:24">
      <c r="A630">
        <f>HYPERLINK("https://www.philgeps.gov.ph/GEPSNONPILOT/Tender/SplashBidNoticeAbstractUI.aspx?menuIndex=3&amp;refID=7082237&amp;Result=3","7082237")</f>
        <v>0</v>
      </c>
      <c r="B630" t="s">
        <v>82</v>
      </c>
      <c r="C630" t="s">
        <v>4134</v>
      </c>
      <c r="D630" t="s">
        <v>18118</v>
      </c>
      <c r="E630" t="s">
        <v>18780</v>
      </c>
      <c r="F630" t="s">
        <v>31362</v>
      </c>
      <c r="G630" t="s">
        <v>31369</v>
      </c>
      <c r="H630" t="s">
        <v>15799</v>
      </c>
      <c r="I630" t="s">
        <v>31385</v>
      </c>
      <c r="J630" t="s">
        <v>32013</v>
      </c>
      <c r="K630" t="s">
        <v>40666</v>
      </c>
      <c r="M630" t="s">
        <v>41266</v>
      </c>
      <c r="N630" t="s">
        <v>44905</v>
      </c>
      <c r="O630" t="s">
        <v>44906</v>
      </c>
      <c r="P630">
        <v>0</v>
      </c>
      <c r="Q630">
        <v>0</v>
      </c>
      <c r="R630" t="s">
        <v>44907</v>
      </c>
      <c r="S630" t="s">
        <v>45026</v>
      </c>
      <c r="T630" t="s">
        <v>46433</v>
      </c>
      <c r="U630" t="s">
        <v>47043</v>
      </c>
      <c r="W630" t="s">
        <v>41266</v>
      </c>
      <c r="X630" t="s">
        <v>44908</v>
      </c>
    </row>
    <row r="631" spans="1:24">
      <c r="A631">
        <f>HYPERLINK("https://www.philgeps.gov.ph/GEPSNONPILOT/Tender/SplashBidNoticeAbstractUI.aspx?menuIndex=3&amp;refID=7082201&amp;Result=3","7082201")</f>
        <v>0</v>
      </c>
      <c r="B631" t="s">
        <v>326</v>
      </c>
      <c r="C631" t="s">
        <v>4135</v>
      </c>
      <c r="D631" t="s">
        <v>18148</v>
      </c>
      <c r="E631" t="s">
        <v>18781</v>
      </c>
      <c r="F631" t="s">
        <v>31362</v>
      </c>
      <c r="G631" t="s">
        <v>31368</v>
      </c>
      <c r="H631" t="s">
        <v>15799</v>
      </c>
      <c r="I631" t="s">
        <v>31430</v>
      </c>
      <c r="J631" t="s">
        <v>32014</v>
      </c>
      <c r="K631" t="s">
        <v>40670</v>
      </c>
      <c r="M631" t="s">
        <v>41272</v>
      </c>
      <c r="N631" t="s">
        <v>44905</v>
      </c>
      <c r="O631" t="s">
        <v>44906</v>
      </c>
      <c r="P631">
        <v>0</v>
      </c>
      <c r="Q631">
        <v>0</v>
      </c>
      <c r="R631" t="s">
        <v>44907</v>
      </c>
      <c r="S631" t="s">
        <v>45026</v>
      </c>
      <c r="T631" t="s">
        <v>46409</v>
      </c>
      <c r="U631" t="s">
        <v>47471</v>
      </c>
      <c r="W631" t="s">
        <v>41272</v>
      </c>
      <c r="X631" t="s">
        <v>44908</v>
      </c>
    </row>
    <row r="632" spans="1:24">
      <c r="A632">
        <f>HYPERLINK("https://www.philgeps.gov.ph/GEPSNONPILOT/Tender/SplashBidNoticeAbstractUI.aspx?menuIndex=3&amp;refID=7082232&amp;Result=3","7082232")</f>
        <v>0</v>
      </c>
      <c r="B632" t="s">
        <v>70</v>
      </c>
      <c r="C632" t="s">
        <v>4136</v>
      </c>
      <c r="D632" t="s">
        <v>18112</v>
      </c>
      <c r="E632" t="s">
        <v>18782</v>
      </c>
      <c r="F632" t="s">
        <v>31362</v>
      </c>
      <c r="G632" t="s">
        <v>31371</v>
      </c>
      <c r="H632" t="s">
        <v>15799</v>
      </c>
      <c r="I632" t="s">
        <v>31380</v>
      </c>
      <c r="J632" t="s">
        <v>32015</v>
      </c>
      <c r="K632" t="s">
        <v>40661</v>
      </c>
      <c r="M632" t="s">
        <v>41006</v>
      </c>
      <c r="N632" t="s">
        <v>44905</v>
      </c>
      <c r="O632" t="s">
        <v>44906</v>
      </c>
      <c r="P632">
        <v>0</v>
      </c>
      <c r="Q632">
        <v>0</v>
      </c>
      <c r="R632" t="s">
        <v>44907</v>
      </c>
      <c r="S632" t="s">
        <v>45026</v>
      </c>
      <c r="T632" t="s">
        <v>46427</v>
      </c>
      <c r="U632" t="s">
        <v>47472</v>
      </c>
      <c r="W632" t="s">
        <v>41006</v>
      </c>
      <c r="X632" t="s">
        <v>44908</v>
      </c>
    </row>
    <row r="633" spans="1:24">
      <c r="A633">
        <f>HYPERLINK("https://www.philgeps.gov.ph/GEPSNONPILOT/Tender/SplashBidNoticeAbstractUI.aspx?menuIndex=3&amp;refID=7082185&amp;Result=3","7082185")</f>
        <v>0</v>
      </c>
      <c r="B633" t="s">
        <v>259</v>
      </c>
      <c r="C633" t="s">
        <v>4137</v>
      </c>
      <c r="D633" t="s">
        <v>18100</v>
      </c>
      <c r="E633" t="s">
        <v>18783</v>
      </c>
      <c r="F633" t="s">
        <v>31362</v>
      </c>
      <c r="G633" t="s">
        <v>31368</v>
      </c>
      <c r="H633" t="s">
        <v>15799</v>
      </c>
      <c r="I633" t="s">
        <v>31444</v>
      </c>
      <c r="J633" t="s">
        <v>31537</v>
      </c>
      <c r="K633" t="s">
        <v>40693</v>
      </c>
      <c r="M633" t="s">
        <v>41200</v>
      </c>
      <c r="N633" t="s">
        <v>44905</v>
      </c>
      <c r="O633" t="s">
        <v>44906</v>
      </c>
      <c r="P633">
        <v>0</v>
      </c>
      <c r="Q633">
        <v>0</v>
      </c>
      <c r="R633" t="s">
        <v>44907</v>
      </c>
      <c r="S633" t="s">
        <v>45026</v>
      </c>
      <c r="T633" t="s">
        <v>46426</v>
      </c>
      <c r="U633" t="s">
        <v>47473</v>
      </c>
      <c r="W633" t="s">
        <v>41200</v>
      </c>
      <c r="X633" t="s">
        <v>44908</v>
      </c>
    </row>
    <row r="634" spans="1:24">
      <c r="A634">
        <f>HYPERLINK("https://www.philgeps.gov.ph/GEPSNONPILOT/Tender/SplashBidNoticeAbstractUI.aspx?menuIndex=3&amp;refID=7082269&amp;Result=3","7082269")</f>
        <v>0</v>
      </c>
      <c r="B634" t="s">
        <v>255</v>
      </c>
      <c r="C634" t="s">
        <v>4138</v>
      </c>
      <c r="E634" t="s">
        <v>18784</v>
      </c>
      <c r="F634" t="s">
        <v>31362</v>
      </c>
      <c r="G634" t="s">
        <v>31368</v>
      </c>
      <c r="H634" t="s">
        <v>15799</v>
      </c>
      <c r="I634" t="s">
        <v>4057</v>
      </c>
      <c r="J634" t="s">
        <v>31975</v>
      </c>
      <c r="K634" t="s">
        <v>40662</v>
      </c>
      <c r="M634" t="s">
        <v>41195</v>
      </c>
      <c r="N634" t="s">
        <v>44905</v>
      </c>
      <c r="O634" t="s">
        <v>44906</v>
      </c>
      <c r="P634">
        <v>0</v>
      </c>
      <c r="Q634">
        <v>0</v>
      </c>
      <c r="R634" t="s">
        <v>44907</v>
      </c>
      <c r="S634" t="s">
        <v>45026</v>
      </c>
      <c r="T634" t="s">
        <v>46393</v>
      </c>
      <c r="U634" t="s">
        <v>47474</v>
      </c>
      <c r="W634" t="s">
        <v>41195</v>
      </c>
      <c r="X634" t="s">
        <v>44908</v>
      </c>
    </row>
    <row r="635" spans="1:24">
      <c r="A635">
        <f>HYPERLINK("https://www.philgeps.gov.ph/GEPSNONPILOT/Tender/SplashBidNoticeAbstractUI.aspx?menuIndex=3&amp;refID=7082276&amp;Result=3","7082276")</f>
        <v>0</v>
      </c>
      <c r="B635" t="s">
        <v>155</v>
      </c>
      <c r="C635" t="s">
        <v>4139</v>
      </c>
      <c r="D635" t="s">
        <v>18108</v>
      </c>
      <c r="E635" t="s">
        <v>18785</v>
      </c>
      <c r="F635" t="s">
        <v>31362</v>
      </c>
      <c r="G635" t="s">
        <v>31368</v>
      </c>
      <c r="H635" t="s">
        <v>15799</v>
      </c>
      <c r="I635" t="s">
        <v>6373</v>
      </c>
      <c r="J635" t="s">
        <v>32016</v>
      </c>
      <c r="K635" t="s">
        <v>40662</v>
      </c>
      <c r="M635" t="s">
        <v>41093</v>
      </c>
      <c r="N635" t="s">
        <v>44905</v>
      </c>
      <c r="O635" t="s">
        <v>44906</v>
      </c>
      <c r="P635">
        <v>0</v>
      </c>
      <c r="Q635">
        <v>2</v>
      </c>
      <c r="R635" t="s">
        <v>44907</v>
      </c>
      <c r="S635" t="s">
        <v>45026</v>
      </c>
      <c r="T635" t="s">
        <v>46473</v>
      </c>
      <c r="U635" t="s">
        <v>47475</v>
      </c>
      <c r="W635" t="s">
        <v>41093</v>
      </c>
      <c r="X635" t="s">
        <v>44908</v>
      </c>
    </row>
    <row r="636" spans="1:24">
      <c r="A636">
        <f>HYPERLINK("https://www.philgeps.gov.ph/GEPSNONPILOT/Tender/SplashBidNoticeAbstractUI.aspx?menuIndex=3&amp;refID=7082235&amp;Result=3","7082235")</f>
        <v>0</v>
      </c>
      <c r="B636" t="s">
        <v>173</v>
      </c>
      <c r="C636" t="s">
        <v>4140</v>
      </c>
      <c r="D636" t="s">
        <v>18108</v>
      </c>
      <c r="E636" t="s">
        <v>18786</v>
      </c>
      <c r="F636" t="s">
        <v>31362</v>
      </c>
      <c r="G636" t="s">
        <v>31371</v>
      </c>
      <c r="H636" t="s">
        <v>15799</v>
      </c>
      <c r="I636" t="s">
        <v>6373</v>
      </c>
      <c r="J636" t="s">
        <v>31564</v>
      </c>
      <c r="K636" t="s">
        <v>40661</v>
      </c>
      <c r="M636" t="s">
        <v>41111</v>
      </c>
      <c r="N636" t="s">
        <v>44905</v>
      </c>
      <c r="O636" t="s">
        <v>44906</v>
      </c>
      <c r="P636">
        <v>0</v>
      </c>
      <c r="Q636">
        <v>1</v>
      </c>
      <c r="R636" t="s">
        <v>44907</v>
      </c>
      <c r="S636" t="s">
        <v>45026</v>
      </c>
      <c r="T636" t="s">
        <v>46404</v>
      </c>
      <c r="U636" t="s">
        <v>47476</v>
      </c>
      <c r="W636" t="s">
        <v>41111</v>
      </c>
      <c r="X636" t="s">
        <v>44908</v>
      </c>
    </row>
    <row r="637" spans="1:24">
      <c r="A637">
        <f>HYPERLINK("https://www.philgeps.gov.ph/GEPSNONPILOT/Tender/SplashBidNoticeAbstractUI.aspx?menuIndex=3&amp;refID=7082226&amp;Result=3","7082226")</f>
        <v>0</v>
      </c>
      <c r="B637" t="s">
        <v>298</v>
      </c>
      <c r="C637" t="s">
        <v>4141</v>
      </c>
      <c r="D637" t="s">
        <v>18168</v>
      </c>
      <c r="E637" t="s">
        <v>18787</v>
      </c>
      <c r="F637" t="s">
        <v>31362</v>
      </c>
      <c r="G637" t="s">
        <v>31368</v>
      </c>
      <c r="H637" t="s">
        <v>15799</v>
      </c>
      <c r="I637" t="s">
        <v>7719</v>
      </c>
      <c r="J637" t="s">
        <v>31942</v>
      </c>
      <c r="K637" t="s">
        <v>40662</v>
      </c>
      <c r="M637" t="s">
        <v>41241</v>
      </c>
      <c r="N637" t="s">
        <v>44905</v>
      </c>
      <c r="O637" t="s">
        <v>44906</v>
      </c>
      <c r="P637">
        <v>0</v>
      </c>
      <c r="Q637">
        <v>6</v>
      </c>
      <c r="R637" t="s">
        <v>44907</v>
      </c>
      <c r="S637" t="s">
        <v>45026</v>
      </c>
      <c r="T637" t="s">
        <v>46506</v>
      </c>
      <c r="U637" t="s">
        <v>47477</v>
      </c>
      <c r="W637" t="s">
        <v>41241</v>
      </c>
      <c r="X637" t="s">
        <v>44908</v>
      </c>
    </row>
    <row r="638" spans="1:24">
      <c r="A638">
        <f>HYPERLINK("https://www.philgeps.gov.ph/GEPSNONPILOT/Tender/SplashBidNoticeAbstractUI.aspx?menuIndex=3&amp;refID=7082273&amp;Result=3","7082273")</f>
        <v>0</v>
      </c>
      <c r="B638" t="s">
        <v>91</v>
      </c>
      <c r="C638" t="s">
        <v>4142</v>
      </c>
      <c r="D638" t="s">
        <v>18136</v>
      </c>
      <c r="E638" t="s">
        <v>18788</v>
      </c>
      <c r="F638" t="s">
        <v>31362</v>
      </c>
      <c r="G638" t="s">
        <v>31370</v>
      </c>
      <c r="H638" t="s">
        <v>15799</v>
      </c>
      <c r="I638" t="s">
        <v>31385</v>
      </c>
      <c r="J638" t="s">
        <v>32017</v>
      </c>
      <c r="K638" t="s">
        <v>40661</v>
      </c>
      <c r="M638" t="s">
        <v>41028</v>
      </c>
      <c r="N638" t="s">
        <v>44905</v>
      </c>
      <c r="O638" t="s">
        <v>44906</v>
      </c>
      <c r="P638">
        <v>0</v>
      </c>
      <c r="Q638">
        <v>0</v>
      </c>
      <c r="R638" t="s">
        <v>44907</v>
      </c>
      <c r="S638" t="s">
        <v>45026</v>
      </c>
      <c r="T638" t="s">
        <v>46411</v>
      </c>
      <c r="U638" t="s">
        <v>47478</v>
      </c>
      <c r="W638" t="s">
        <v>41028</v>
      </c>
      <c r="X638" t="s">
        <v>44908</v>
      </c>
    </row>
    <row r="639" spans="1:24">
      <c r="A639">
        <f>HYPERLINK("https://www.philgeps.gov.ph/GEPSNONPILOT/Tender/SplashBidNoticeAbstractUI.aspx?menuIndex=3&amp;refID=7082240&amp;Result=3","7082240")</f>
        <v>0</v>
      </c>
      <c r="B639" t="s">
        <v>128</v>
      </c>
      <c r="C639" t="s">
        <v>4143</v>
      </c>
      <c r="D639" t="s">
        <v>18106</v>
      </c>
      <c r="E639" t="s">
        <v>18789</v>
      </c>
      <c r="F639" t="s">
        <v>31362</v>
      </c>
      <c r="G639" t="s">
        <v>31368</v>
      </c>
      <c r="H639" t="s">
        <v>15799</v>
      </c>
      <c r="I639" t="s">
        <v>31445</v>
      </c>
      <c r="J639" t="s">
        <v>31760</v>
      </c>
      <c r="K639" t="s">
        <v>40666</v>
      </c>
      <c r="M639" t="s">
        <v>41065</v>
      </c>
      <c r="N639" t="s">
        <v>44905</v>
      </c>
      <c r="O639" t="s">
        <v>44906</v>
      </c>
      <c r="P639">
        <v>0</v>
      </c>
      <c r="Q639">
        <v>2</v>
      </c>
      <c r="R639" t="s">
        <v>44907</v>
      </c>
      <c r="S639" t="s">
        <v>45026</v>
      </c>
      <c r="T639" t="s">
        <v>46460</v>
      </c>
      <c r="U639" t="s">
        <v>47479</v>
      </c>
      <c r="W639" t="s">
        <v>41065</v>
      </c>
      <c r="X639" t="s">
        <v>44908</v>
      </c>
    </row>
    <row r="640" spans="1:24">
      <c r="A640">
        <f>HYPERLINK("https://www.philgeps.gov.ph/GEPSNONPILOT/Tender/SplashBidNoticeAbstractUI.aspx?menuIndex=3&amp;refID=7082271&amp;Result=3","7082271")</f>
        <v>0</v>
      </c>
      <c r="B640" t="s">
        <v>322</v>
      </c>
      <c r="C640" t="s">
        <v>4144</v>
      </c>
      <c r="D640" t="s">
        <v>18173</v>
      </c>
      <c r="E640" t="s">
        <v>18790</v>
      </c>
      <c r="F640" t="s">
        <v>31362</v>
      </c>
      <c r="G640" t="s">
        <v>31368</v>
      </c>
      <c r="H640" t="s">
        <v>15799</v>
      </c>
      <c r="I640" t="s">
        <v>31446</v>
      </c>
      <c r="J640" t="s">
        <v>32018</v>
      </c>
      <c r="K640" t="s">
        <v>40697</v>
      </c>
      <c r="M640" t="s">
        <v>41268</v>
      </c>
      <c r="N640" t="s">
        <v>44905</v>
      </c>
      <c r="O640" t="s">
        <v>44906</v>
      </c>
      <c r="P640">
        <v>0</v>
      </c>
      <c r="Q640">
        <v>0</v>
      </c>
      <c r="R640" t="s">
        <v>44907</v>
      </c>
      <c r="S640" t="s">
        <v>45026</v>
      </c>
      <c r="T640" t="s">
        <v>46400</v>
      </c>
      <c r="U640" t="s">
        <v>47467</v>
      </c>
      <c r="W640" t="s">
        <v>41268</v>
      </c>
      <c r="X640" t="s">
        <v>44908</v>
      </c>
    </row>
    <row r="641" spans="1:24">
      <c r="A641">
        <f>HYPERLINK("https://www.philgeps.gov.ph/GEPSNONPILOT/Tender/SplashBidNoticeAbstractUI.aspx?menuIndex=3&amp;refID=7082041&amp;Result=3","7082041")</f>
        <v>0</v>
      </c>
      <c r="B641" t="s">
        <v>327</v>
      </c>
      <c r="C641" t="s">
        <v>4145</v>
      </c>
      <c r="D641" t="s">
        <v>18108</v>
      </c>
      <c r="E641" t="s">
        <v>18791</v>
      </c>
      <c r="F641" t="s">
        <v>31362</v>
      </c>
      <c r="G641" t="s">
        <v>31368</v>
      </c>
      <c r="H641" t="s">
        <v>15799</v>
      </c>
      <c r="I641" t="s">
        <v>6373</v>
      </c>
      <c r="J641" t="s">
        <v>32019</v>
      </c>
      <c r="K641" t="s">
        <v>40662</v>
      </c>
      <c r="M641" t="s">
        <v>41273</v>
      </c>
      <c r="N641" t="s">
        <v>44905</v>
      </c>
      <c r="O641" t="s">
        <v>44906</v>
      </c>
      <c r="P641">
        <v>0</v>
      </c>
      <c r="Q641">
        <v>5</v>
      </c>
      <c r="R641" t="s">
        <v>44907</v>
      </c>
      <c r="S641" t="s">
        <v>45026</v>
      </c>
      <c r="T641" t="s">
        <v>46438</v>
      </c>
      <c r="U641" t="s">
        <v>47480</v>
      </c>
      <c r="W641" t="s">
        <v>41273</v>
      </c>
      <c r="X641" t="s">
        <v>44908</v>
      </c>
    </row>
    <row r="642" spans="1:24">
      <c r="A642">
        <f>HYPERLINK("https://www.philgeps.gov.ph/GEPSNONPILOT/Tender/SplashBidNoticeAbstractUI.aspx?menuIndex=3&amp;refID=7082275&amp;Result=3","7082275")</f>
        <v>0</v>
      </c>
      <c r="B642" t="s">
        <v>328</v>
      </c>
      <c r="C642" t="s">
        <v>4146</v>
      </c>
      <c r="D642" t="s">
        <v>18175</v>
      </c>
      <c r="E642" t="s">
        <v>18792</v>
      </c>
      <c r="F642" t="s">
        <v>31362</v>
      </c>
      <c r="G642" t="s">
        <v>31368</v>
      </c>
      <c r="H642" t="s">
        <v>15799</v>
      </c>
      <c r="I642" t="s">
        <v>3815</v>
      </c>
      <c r="J642" t="s">
        <v>31577</v>
      </c>
      <c r="K642" t="s">
        <v>40665</v>
      </c>
      <c r="M642" t="s">
        <v>41274</v>
      </c>
      <c r="N642" t="s">
        <v>44905</v>
      </c>
      <c r="O642" t="s">
        <v>44906</v>
      </c>
      <c r="P642">
        <v>0</v>
      </c>
      <c r="Q642">
        <v>0</v>
      </c>
      <c r="R642" t="s">
        <v>44907</v>
      </c>
      <c r="S642" t="s">
        <v>45026</v>
      </c>
      <c r="T642" t="s">
        <v>46447</v>
      </c>
      <c r="U642" t="s">
        <v>47481</v>
      </c>
      <c r="W642" t="s">
        <v>41274</v>
      </c>
      <c r="X642" t="s">
        <v>44908</v>
      </c>
    </row>
    <row r="643" spans="1:24">
      <c r="A643">
        <f>HYPERLINK("https://www.philgeps.gov.ph/GEPSNONPILOT/Tender/SplashBidNoticeAbstractUI.aspx?menuIndex=3&amp;refID=7082266&amp;Result=3","7082266")</f>
        <v>0</v>
      </c>
      <c r="B643" t="s">
        <v>329</v>
      </c>
      <c r="C643" t="s">
        <v>4147</v>
      </c>
      <c r="D643" t="s">
        <v>18160</v>
      </c>
      <c r="E643" t="s">
        <v>18793</v>
      </c>
      <c r="F643" t="s">
        <v>31362</v>
      </c>
      <c r="G643" t="s">
        <v>31368</v>
      </c>
      <c r="H643" t="s">
        <v>15799</v>
      </c>
      <c r="I643" t="s">
        <v>31421</v>
      </c>
      <c r="J643" t="s">
        <v>32020</v>
      </c>
      <c r="K643" t="s">
        <v>40662</v>
      </c>
      <c r="M643" t="s">
        <v>41275</v>
      </c>
      <c r="N643" t="s">
        <v>44905</v>
      </c>
      <c r="O643" t="s">
        <v>44906</v>
      </c>
      <c r="P643">
        <v>0</v>
      </c>
      <c r="Q643">
        <v>0</v>
      </c>
      <c r="R643" t="s">
        <v>44907</v>
      </c>
      <c r="S643" t="s">
        <v>45026</v>
      </c>
      <c r="T643" t="s">
        <v>46514</v>
      </c>
      <c r="U643" t="s">
        <v>47482</v>
      </c>
      <c r="W643" t="s">
        <v>41275</v>
      </c>
      <c r="X643" t="s">
        <v>44908</v>
      </c>
    </row>
    <row r="644" spans="1:24">
      <c r="A644">
        <f>HYPERLINK("https://www.philgeps.gov.ph/GEPSNONPILOT/Tender/SplashBidNoticeAbstractUI.aspx?menuIndex=3&amp;refID=7082262&amp;Result=3","7082262")</f>
        <v>0</v>
      </c>
      <c r="B644" t="s">
        <v>330</v>
      </c>
      <c r="C644" t="s">
        <v>4148</v>
      </c>
      <c r="D644" t="s">
        <v>18154</v>
      </c>
      <c r="E644" t="s">
        <v>18794</v>
      </c>
      <c r="F644" t="s">
        <v>31362</v>
      </c>
      <c r="G644" t="s">
        <v>31368</v>
      </c>
      <c r="H644" t="s">
        <v>15799</v>
      </c>
      <c r="I644" t="s">
        <v>31422</v>
      </c>
      <c r="J644" t="s">
        <v>31575</v>
      </c>
      <c r="K644" t="s">
        <v>40665</v>
      </c>
      <c r="M644" t="s">
        <v>41276</v>
      </c>
      <c r="N644" t="s">
        <v>44905</v>
      </c>
      <c r="O644" t="s">
        <v>44906</v>
      </c>
      <c r="P644">
        <v>0</v>
      </c>
      <c r="Q644">
        <v>2</v>
      </c>
      <c r="R644" t="s">
        <v>44907</v>
      </c>
      <c r="S644" t="s">
        <v>45026</v>
      </c>
      <c r="T644" t="s">
        <v>46409</v>
      </c>
      <c r="U644" t="s">
        <v>47483</v>
      </c>
      <c r="W644" t="s">
        <v>41276</v>
      </c>
      <c r="X644" t="s">
        <v>44908</v>
      </c>
    </row>
    <row r="645" spans="1:24">
      <c r="A645">
        <f>HYPERLINK("https://www.philgeps.gov.ph/GEPSNONPILOT/Tender/SplashBidNoticeAbstractUI.aspx?menuIndex=3&amp;refID=7082261&amp;Result=3","7082261")</f>
        <v>0</v>
      </c>
      <c r="B645" t="s">
        <v>308</v>
      </c>
      <c r="C645" t="s">
        <v>4149</v>
      </c>
      <c r="D645" t="s">
        <v>18123</v>
      </c>
      <c r="E645" t="s">
        <v>18795</v>
      </c>
      <c r="F645" t="s">
        <v>31362</v>
      </c>
      <c r="G645" t="s">
        <v>31368</v>
      </c>
      <c r="H645" t="s">
        <v>15799</v>
      </c>
      <c r="I645" t="s">
        <v>31413</v>
      </c>
      <c r="J645" t="s">
        <v>32021</v>
      </c>
      <c r="K645" t="s">
        <v>40665</v>
      </c>
      <c r="M645" t="s">
        <v>41252</v>
      </c>
      <c r="N645" t="s">
        <v>44905</v>
      </c>
      <c r="O645" t="s">
        <v>44906</v>
      </c>
      <c r="P645">
        <v>0</v>
      </c>
      <c r="Q645">
        <v>1</v>
      </c>
      <c r="R645" t="s">
        <v>44907</v>
      </c>
      <c r="S645" t="s">
        <v>45026</v>
      </c>
      <c r="T645" t="s">
        <v>46503</v>
      </c>
      <c r="U645" t="s">
        <v>47484</v>
      </c>
      <c r="W645" t="s">
        <v>41252</v>
      </c>
      <c r="X645" t="s">
        <v>44908</v>
      </c>
    </row>
    <row r="646" spans="1:24">
      <c r="A646">
        <f>HYPERLINK("https://www.philgeps.gov.ph/GEPSNONPILOT/Tender/SplashBidNoticeAbstractUI.aspx?menuIndex=3&amp;refID=7082257&amp;Result=3","7082257")</f>
        <v>0</v>
      </c>
      <c r="B646" t="s">
        <v>331</v>
      </c>
      <c r="C646" t="s">
        <v>4150</v>
      </c>
      <c r="D646" t="s">
        <v>18100</v>
      </c>
      <c r="E646" t="s">
        <v>18796</v>
      </c>
      <c r="F646" t="s">
        <v>31362</v>
      </c>
      <c r="G646" t="s">
        <v>31370</v>
      </c>
      <c r="H646" t="s">
        <v>15799</v>
      </c>
      <c r="I646" t="s">
        <v>7188</v>
      </c>
      <c r="J646" t="s">
        <v>32022</v>
      </c>
      <c r="K646" t="s">
        <v>40672</v>
      </c>
      <c r="M646" t="s">
        <v>41277</v>
      </c>
      <c r="N646" t="s">
        <v>44905</v>
      </c>
      <c r="O646" t="s">
        <v>44906</v>
      </c>
      <c r="P646">
        <v>0</v>
      </c>
      <c r="Q646">
        <v>0</v>
      </c>
      <c r="R646" t="s">
        <v>44907</v>
      </c>
      <c r="S646" t="s">
        <v>45026</v>
      </c>
      <c r="T646" t="s">
        <v>46393</v>
      </c>
      <c r="U646" t="s">
        <v>47485</v>
      </c>
      <c r="W646" t="s">
        <v>41277</v>
      </c>
      <c r="X646" t="s">
        <v>44908</v>
      </c>
    </row>
    <row r="647" spans="1:24">
      <c r="A647">
        <f>HYPERLINK("https://www.philgeps.gov.ph/GEPSNONPILOT/Tender/SplashBidNoticeAbstractUI.aspx?menuIndex=3&amp;refID=7082256&amp;Result=3","7082256")</f>
        <v>0</v>
      </c>
      <c r="B647" t="s">
        <v>307</v>
      </c>
      <c r="C647" t="s">
        <v>4151</v>
      </c>
      <c r="D647" t="s">
        <v>18114</v>
      </c>
      <c r="E647" t="s">
        <v>18797</v>
      </c>
      <c r="F647" t="s">
        <v>31362</v>
      </c>
      <c r="G647" t="s">
        <v>31368</v>
      </c>
      <c r="H647" t="s">
        <v>15799</v>
      </c>
      <c r="I647" t="s">
        <v>7090</v>
      </c>
      <c r="J647" t="s">
        <v>31564</v>
      </c>
      <c r="K647" t="s">
        <v>40661</v>
      </c>
      <c r="M647" t="s">
        <v>41251</v>
      </c>
      <c r="N647" t="s">
        <v>44905</v>
      </c>
      <c r="O647" t="s">
        <v>44906</v>
      </c>
      <c r="P647">
        <v>0</v>
      </c>
      <c r="Q647">
        <v>2</v>
      </c>
      <c r="R647" t="s">
        <v>44907</v>
      </c>
      <c r="S647" t="s">
        <v>45026</v>
      </c>
      <c r="T647" t="s">
        <v>46452</v>
      </c>
      <c r="U647" t="s">
        <v>47436</v>
      </c>
      <c r="W647" t="s">
        <v>41251</v>
      </c>
      <c r="X647" t="s">
        <v>44908</v>
      </c>
    </row>
    <row r="648" spans="1:24">
      <c r="A648">
        <f>HYPERLINK("https://www.philgeps.gov.ph/GEPSNONPILOT/Tender/SplashBidNoticeAbstractUI.aspx?menuIndex=3&amp;refID=7082281&amp;Result=3","7082281")</f>
        <v>0</v>
      </c>
      <c r="B648" t="s">
        <v>320</v>
      </c>
      <c r="C648" t="s">
        <v>4152</v>
      </c>
      <c r="D648" t="s">
        <v>18172</v>
      </c>
      <c r="E648" t="s">
        <v>18798</v>
      </c>
      <c r="F648" t="s">
        <v>31362</v>
      </c>
      <c r="G648" t="s">
        <v>31369</v>
      </c>
      <c r="H648" t="s">
        <v>15799</v>
      </c>
      <c r="I648" t="s">
        <v>31433</v>
      </c>
      <c r="J648" t="s">
        <v>32023</v>
      </c>
      <c r="K648" t="s">
        <v>40670</v>
      </c>
      <c r="M648" t="s">
        <v>41265</v>
      </c>
      <c r="N648" t="s">
        <v>44905</v>
      </c>
      <c r="O648" t="s">
        <v>44906</v>
      </c>
      <c r="P648">
        <v>0</v>
      </c>
      <c r="Q648">
        <v>0</v>
      </c>
      <c r="R648" t="s">
        <v>44907</v>
      </c>
      <c r="S648" t="s">
        <v>45026</v>
      </c>
      <c r="T648" t="s">
        <v>46396</v>
      </c>
      <c r="U648" t="s">
        <v>47486</v>
      </c>
      <c r="V648" t="s">
        <v>59132</v>
      </c>
      <c r="W648" t="s">
        <v>41265</v>
      </c>
      <c r="X648" t="s">
        <v>44908</v>
      </c>
    </row>
    <row r="649" spans="1:24">
      <c r="A649">
        <f>HYPERLINK("https://www.philgeps.gov.ph/GEPSNONPILOT/Tender/SplashBidNoticeAbstractUI.aspx?menuIndex=3&amp;refID=7082272&amp;Result=3","7082272")</f>
        <v>0</v>
      </c>
      <c r="B649" t="s">
        <v>94</v>
      </c>
      <c r="C649" t="s">
        <v>4153</v>
      </c>
      <c r="D649" t="s">
        <v>18116</v>
      </c>
      <c r="E649" t="s">
        <v>18799</v>
      </c>
      <c r="F649" t="s">
        <v>31362</v>
      </c>
      <c r="G649" t="s">
        <v>31368</v>
      </c>
      <c r="H649" t="s">
        <v>15799</v>
      </c>
      <c r="I649" t="s">
        <v>3815</v>
      </c>
      <c r="J649" t="s">
        <v>32024</v>
      </c>
      <c r="K649" t="s">
        <v>40665</v>
      </c>
      <c r="M649" t="s">
        <v>41031</v>
      </c>
      <c r="N649" t="s">
        <v>44905</v>
      </c>
      <c r="O649" t="s">
        <v>44906</v>
      </c>
      <c r="P649">
        <v>0</v>
      </c>
      <c r="Q649">
        <v>0</v>
      </c>
      <c r="R649" t="s">
        <v>44907</v>
      </c>
      <c r="S649" t="s">
        <v>45026</v>
      </c>
      <c r="T649" t="s">
        <v>46454</v>
      </c>
      <c r="U649" t="s">
        <v>47487</v>
      </c>
      <c r="W649" t="s">
        <v>41031</v>
      </c>
      <c r="X649" t="s">
        <v>44908</v>
      </c>
    </row>
    <row r="650" spans="1:24">
      <c r="A650">
        <f>HYPERLINK("https://www.philgeps.gov.ph/GEPSNONPILOT/Tender/SplashBidNoticeAbstractUI.aspx?menuIndex=3&amp;refID=7082279&amp;Result=3","7082279")</f>
        <v>0</v>
      </c>
      <c r="B650" t="s">
        <v>332</v>
      </c>
      <c r="C650" t="s">
        <v>4154</v>
      </c>
      <c r="D650" t="s">
        <v>18153</v>
      </c>
      <c r="E650" t="s">
        <v>18800</v>
      </c>
      <c r="F650" t="s">
        <v>31363</v>
      </c>
      <c r="G650" t="s">
        <v>31369</v>
      </c>
      <c r="H650" t="s">
        <v>31378</v>
      </c>
      <c r="I650" t="s">
        <v>31386</v>
      </c>
      <c r="J650" t="s">
        <v>32025</v>
      </c>
      <c r="K650" t="s">
        <v>40702</v>
      </c>
      <c r="M650" t="s">
        <v>41278</v>
      </c>
      <c r="N650" t="s">
        <v>44905</v>
      </c>
      <c r="O650" t="s">
        <v>44906</v>
      </c>
      <c r="P650">
        <v>0</v>
      </c>
      <c r="Q650">
        <v>0</v>
      </c>
      <c r="R650" t="s">
        <v>44907</v>
      </c>
      <c r="S650" t="s">
        <v>45026</v>
      </c>
      <c r="T650" t="s">
        <v>46472</v>
      </c>
      <c r="U650" t="s">
        <v>47488</v>
      </c>
      <c r="W650" t="s">
        <v>41278</v>
      </c>
      <c r="X650" t="s">
        <v>44908</v>
      </c>
    </row>
    <row r="651" spans="1:24">
      <c r="A651">
        <f>HYPERLINK("https://www.philgeps.gov.ph/GEPSNONPILOT/Tender/SplashBidNoticeAbstractUI.aspx?menuIndex=3&amp;refID=7082268&amp;Result=3","7082268")</f>
        <v>0</v>
      </c>
      <c r="B651" t="s">
        <v>207</v>
      </c>
      <c r="C651" t="s">
        <v>4155</v>
      </c>
      <c r="D651" t="s">
        <v>18127</v>
      </c>
      <c r="E651" t="s">
        <v>18801</v>
      </c>
      <c r="F651" t="s">
        <v>31362</v>
      </c>
      <c r="G651" t="s">
        <v>31370</v>
      </c>
      <c r="H651" t="s">
        <v>15799</v>
      </c>
      <c r="I651" t="s">
        <v>31380</v>
      </c>
      <c r="J651" t="s">
        <v>31793</v>
      </c>
      <c r="K651" t="s">
        <v>40661</v>
      </c>
      <c r="M651" t="s">
        <v>41146</v>
      </c>
      <c r="N651" t="s">
        <v>44905</v>
      </c>
      <c r="O651" t="s">
        <v>44906</v>
      </c>
      <c r="P651">
        <v>0</v>
      </c>
      <c r="Q651">
        <v>1</v>
      </c>
      <c r="R651" t="s">
        <v>44907</v>
      </c>
      <c r="S651" t="s">
        <v>45026</v>
      </c>
      <c r="T651" t="s">
        <v>46417</v>
      </c>
      <c r="U651" t="s">
        <v>47489</v>
      </c>
      <c r="V651" t="s">
        <v>59100</v>
      </c>
      <c r="W651" t="s">
        <v>41146</v>
      </c>
      <c r="X651" t="s">
        <v>44908</v>
      </c>
    </row>
    <row r="652" spans="1:24">
      <c r="A652">
        <f>HYPERLINK("https://www.philgeps.gov.ph/GEPSNONPILOT/Tender/SplashBidNoticeAbstractUI.aspx?menuIndex=3&amp;refID=7082306&amp;Result=3","7082306")</f>
        <v>0</v>
      </c>
      <c r="B652" t="s">
        <v>298</v>
      </c>
      <c r="C652" t="s">
        <v>4156</v>
      </c>
      <c r="D652" t="s">
        <v>18168</v>
      </c>
      <c r="E652" t="s">
        <v>18802</v>
      </c>
      <c r="F652" t="s">
        <v>31362</v>
      </c>
      <c r="G652" t="s">
        <v>31368</v>
      </c>
      <c r="H652" t="s">
        <v>15799</v>
      </c>
      <c r="I652" t="s">
        <v>4057</v>
      </c>
      <c r="J652" t="s">
        <v>32026</v>
      </c>
      <c r="K652" t="s">
        <v>40662</v>
      </c>
      <c r="M652" t="s">
        <v>41241</v>
      </c>
      <c r="N652" t="s">
        <v>44905</v>
      </c>
      <c r="O652" t="s">
        <v>44906</v>
      </c>
      <c r="P652">
        <v>0</v>
      </c>
      <c r="Q652">
        <v>0</v>
      </c>
      <c r="R652" t="s">
        <v>44907</v>
      </c>
      <c r="S652" t="s">
        <v>45026</v>
      </c>
      <c r="T652" t="s">
        <v>46506</v>
      </c>
      <c r="U652" t="s">
        <v>47490</v>
      </c>
      <c r="W652" t="s">
        <v>41241</v>
      </c>
      <c r="X652" t="s">
        <v>44908</v>
      </c>
    </row>
    <row r="653" spans="1:24">
      <c r="A653">
        <f>HYPERLINK("https://www.philgeps.gov.ph/GEPSNONPILOT/Tender/SplashBidNoticeAbstractUI.aspx?menuIndex=3&amp;refID=7082304&amp;Result=3","7082304")</f>
        <v>0</v>
      </c>
      <c r="B653" t="s">
        <v>321</v>
      </c>
      <c r="C653" t="s">
        <v>4157</v>
      </c>
      <c r="D653" t="s">
        <v>18104</v>
      </c>
      <c r="E653" t="s">
        <v>18803</v>
      </c>
      <c r="F653" t="s">
        <v>31362</v>
      </c>
      <c r="G653" t="s">
        <v>31369</v>
      </c>
      <c r="H653" t="s">
        <v>31378</v>
      </c>
      <c r="I653" t="s">
        <v>3815</v>
      </c>
      <c r="J653" t="s">
        <v>32027</v>
      </c>
      <c r="K653" t="s">
        <v>40692</v>
      </c>
      <c r="M653" t="s">
        <v>41267</v>
      </c>
      <c r="N653" t="s">
        <v>44905</v>
      </c>
      <c r="O653" t="s">
        <v>44906</v>
      </c>
      <c r="P653">
        <v>0</v>
      </c>
      <c r="Q653">
        <v>1</v>
      </c>
      <c r="R653" t="s">
        <v>44907</v>
      </c>
      <c r="S653" t="s">
        <v>45026</v>
      </c>
      <c r="T653" t="s">
        <v>46401</v>
      </c>
      <c r="U653" t="s">
        <v>47466</v>
      </c>
      <c r="V653" t="s">
        <v>59134</v>
      </c>
      <c r="W653" t="s">
        <v>41267</v>
      </c>
      <c r="X653" t="s">
        <v>44908</v>
      </c>
    </row>
    <row r="654" spans="1:24">
      <c r="A654">
        <f>HYPERLINK("https://www.philgeps.gov.ph/GEPSNONPILOT/Tender/SplashBidNoticeAbstractUI.aspx?menuIndex=3&amp;refID=7082227&amp;Result=3","7082227")</f>
        <v>0</v>
      </c>
      <c r="B654" t="s">
        <v>333</v>
      </c>
      <c r="C654" t="s">
        <v>4158</v>
      </c>
      <c r="D654" t="s">
        <v>18113</v>
      </c>
      <c r="E654" t="s">
        <v>18804</v>
      </c>
      <c r="F654" t="s">
        <v>31362</v>
      </c>
      <c r="G654" t="s">
        <v>31371</v>
      </c>
      <c r="H654" t="s">
        <v>15799</v>
      </c>
      <c r="I654" t="s">
        <v>13635</v>
      </c>
      <c r="J654" t="s">
        <v>32028</v>
      </c>
      <c r="K654" t="s">
        <v>40661</v>
      </c>
      <c r="M654" t="s">
        <v>41279</v>
      </c>
      <c r="N654" t="s">
        <v>44905</v>
      </c>
      <c r="O654" t="s">
        <v>44906</v>
      </c>
      <c r="P654">
        <v>0</v>
      </c>
      <c r="Q654">
        <v>0</v>
      </c>
      <c r="R654" t="s">
        <v>44907</v>
      </c>
      <c r="S654" t="s">
        <v>45026</v>
      </c>
      <c r="T654" t="s">
        <v>46411</v>
      </c>
      <c r="U654" t="s">
        <v>47491</v>
      </c>
      <c r="W654" t="s">
        <v>60847</v>
      </c>
      <c r="X654" t="s">
        <v>44908</v>
      </c>
    </row>
    <row r="655" spans="1:24">
      <c r="A655">
        <f>HYPERLINK("https://www.philgeps.gov.ph/GEPSNONPILOT/Tender/SplashBidNoticeAbstractUI.aspx?menuIndex=3&amp;refID=7082303&amp;Result=3","7082303")</f>
        <v>0</v>
      </c>
      <c r="B655" t="s">
        <v>313</v>
      </c>
      <c r="C655" t="s">
        <v>4159</v>
      </c>
      <c r="D655" t="s">
        <v>18111</v>
      </c>
      <c r="E655" t="s">
        <v>18805</v>
      </c>
      <c r="F655" t="s">
        <v>31362</v>
      </c>
      <c r="G655" t="s">
        <v>31369</v>
      </c>
      <c r="H655" t="s">
        <v>15799</v>
      </c>
      <c r="I655" t="s">
        <v>31427</v>
      </c>
      <c r="J655" t="s">
        <v>32029</v>
      </c>
      <c r="K655" t="s">
        <v>40670</v>
      </c>
      <c r="M655" t="s">
        <v>41258</v>
      </c>
      <c r="N655" t="s">
        <v>44905</v>
      </c>
      <c r="O655" t="s">
        <v>44906</v>
      </c>
      <c r="P655">
        <v>0</v>
      </c>
      <c r="Q655">
        <v>2</v>
      </c>
      <c r="R655" t="s">
        <v>44907</v>
      </c>
      <c r="S655" t="s">
        <v>45026</v>
      </c>
      <c r="T655" t="s">
        <v>46458</v>
      </c>
      <c r="U655" t="s">
        <v>47492</v>
      </c>
      <c r="W655" t="s">
        <v>41258</v>
      </c>
      <c r="X655" t="s">
        <v>44908</v>
      </c>
    </row>
    <row r="656" spans="1:24">
      <c r="A656">
        <f>HYPERLINK("https://www.philgeps.gov.ph/GEPSNONPILOT/Tender/SplashBidNoticeAbstractUI.aspx?menuIndex=3&amp;refID=7082302&amp;Result=3","7082302")</f>
        <v>0</v>
      </c>
      <c r="B656" t="s">
        <v>255</v>
      </c>
      <c r="C656" t="s">
        <v>4160</v>
      </c>
      <c r="E656" t="s">
        <v>18806</v>
      </c>
      <c r="F656" t="s">
        <v>31362</v>
      </c>
      <c r="G656" t="s">
        <v>31368</v>
      </c>
      <c r="H656" t="s">
        <v>15799</v>
      </c>
      <c r="I656" t="s">
        <v>4057</v>
      </c>
      <c r="J656" t="s">
        <v>32030</v>
      </c>
      <c r="K656" t="s">
        <v>40662</v>
      </c>
      <c r="M656" t="s">
        <v>41195</v>
      </c>
      <c r="N656" t="s">
        <v>44905</v>
      </c>
      <c r="O656" t="s">
        <v>44906</v>
      </c>
      <c r="P656">
        <v>0</v>
      </c>
      <c r="Q656">
        <v>1</v>
      </c>
      <c r="R656" t="s">
        <v>44907</v>
      </c>
      <c r="S656" t="s">
        <v>45026</v>
      </c>
      <c r="T656" t="s">
        <v>46446</v>
      </c>
      <c r="U656" t="s">
        <v>47493</v>
      </c>
      <c r="W656" t="s">
        <v>41195</v>
      </c>
      <c r="X656" t="s">
        <v>44908</v>
      </c>
    </row>
    <row r="657" spans="1:24">
      <c r="A657">
        <f>HYPERLINK("https://www.philgeps.gov.ph/GEPSNONPILOT/Tender/SplashBidNoticeAbstractUI.aspx?menuIndex=3&amp;refID=7082299&amp;Result=3","7082299")</f>
        <v>0</v>
      </c>
      <c r="B657" t="s">
        <v>333</v>
      </c>
      <c r="C657" t="s">
        <v>4161</v>
      </c>
      <c r="D657" t="s">
        <v>18138</v>
      </c>
      <c r="E657" t="s">
        <v>18807</v>
      </c>
      <c r="F657" t="s">
        <v>31362</v>
      </c>
      <c r="G657" t="s">
        <v>31368</v>
      </c>
      <c r="H657" t="s">
        <v>15799</v>
      </c>
      <c r="I657" t="s">
        <v>31404</v>
      </c>
      <c r="J657" t="s">
        <v>32031</v>
      </c>
      <c r="K657" t="s">
        <v>40661</v>
      </c>
      <c r="M657" t="s">
        <v>41279</v>
      </c>
      <c r="N657" t="s">
        <v>44905</v>
      </c>
      <c r="O657" t="s">
        <v>44906</v>
      </c>
      <c r="P657">
        <v>0</v>
      </c>
      <c r="Q657">
        <v>0</v>
      </c>
      <c r="R657" t="s">
        <v>44907</v>
      </c>
      <c r="S657" t="s">
        <v>45026</v>
      </c>
      <c r="T657" t="s">
        <v>46411</v>
      </c>
      <c r="U657" t="s">
        <v>47494</v>
      </c>
      <c r="W657" t="s">
        <v>60847</v>
      </c>
      <c r="X657" t="s">
        <v>44908</v>
      </c>
    </row>
    <row r="658" spans="1:24">
      <c r="A658">
        <f>HYPERLINK("https://www.philgeps.gov.ph/GEPSNONPILOT/Tender/SplashBidNoticeAbstractUI.aspx?menuIndex=3&amp;refID=7082297&amp;Result=3","7082297")</f>
        <v>0</v>
      </c>
      <c r="B658" t="s">
        <v>334</v>
      </c>
      <c r="C658" t="s">
        <v>4162</v>
      </c>
      <c r="D658" t="s">
        <v>18116</v>
      </c>
      <c r="E658" t="s">
        <v>18808</v>
      </c>
      <c r="F658" t="s">
        <v>31362</v>
      </c>
      <c r="G658" t="s">
        <v>31368</v>
      </c>
      <c r="H658" t="s">
        <v>15799</v>
      </c>
      <c r="I658" t="s">
        <v>31447</v>
      </c>
      <c r="J658" t="s">
        <v>32032</v>
      </c>
      <c r="K658" t="s">
        <v>40662</v>
      </c>
      <c r="M658" t="s">
        <v>41280</v>
      </c>
      <c r="N658" t="s">
        <v>44905</v>
      </c>
      <c r="O658" t="s">
        <v>44906</v>
      </c>
      <c r="P658">
        <v>0</v>
      </c>
      <c r="Q658">
        <v>0</v>
      </c>
      <c r="R658" t="s">
        <v>44907</v>
      </c>
      <c r="S658" t="s">
        <v>45026</v>
      </c>
      <c r="T658" t="s">
        <v>46416</v>
      </c>
      <c r="U658" t="s">
        <v>47495</v>
      </c>
      <c r="W658" t="s">
        <v>41280</v>
      </c>
      <c r="X658" t="s">
        <v>44908</v>
      </c>
    </row>
    <row r="659" spans="1:24">
      <c r="A659">
        <f>HYPERLINK("https://www.philgeps.gov.ph/GEPSNONPILOT/Tender/SplashBidNoticeAbstractUI.aspx?menuIndex=3&amp;refID=7082295&amp;Result=3","7082295")</f>
        <v>0</v>
      </c>
      <c r="B659" t="s">
        <v>335</v>
      </c>
      <c r="C659" t="s">
        <v>4163</v>
      </c>
      <c r="D659" t="s">
        <v>18108</v>
      </c>
      <c r="E659" t="s">
        <v>18809</v>
      </c>
      <c r="F659" t="s">
        <v>31362</v>
      </c>
      <c r="G659" t="s">
        <v>31368</v>
      </c>
      <c r="H659" t="s">
        <v>15799</v>
      </c>
      <c r="I659" t="s">
        <v>4942</v>
      </c>
      <c r="J659" t="s">
        <v>31577</v>
      </c>
      <c r="K659" t="s">
        <v>40661</v>
      </c>
      <c r="M659" t="s">
        <v>41281</v>
      </c>
      <c r="N659" t="s">
        <v>44905</v>
      </c>
      <c r="O659" t="s">
        <v>44906</v>
      </c>
      <c r="P659">
        <v>0</v>
      </c>
      <c r="Q659">
        <v>0</v>
      </c>
      <c r="R659" t="s">
        <v>44907</v>
      </c>
      <c r="S659" t="s">
        <v>45026</v>
      </c>
      <c r="T659" t="s">
        <v>46447</v>
      </c>
      <c r="U659" t="s">
        <v>47496</v>
      </c>
      <c r="W659" t="s">
        <v>41281</v>
      </c>
      <c r="X659" t="s">
        <v>44908</v>
      </c>
    </row>
    <row r="660" spans="1:24">
      <c r="A660">
        <f>HYPERLINK("https://www.philgeps.gov.ph/GEPSNONPILOT/Tender/SplashBidNoticeAbstractUI.aspx?menuIndex=3&amp;refID=7082294&amp;Result=3","7082294")</f>
        <v>0</v>
      </c>
      <c r="B660" t="s">
        <v>276</v>
      </c>
      <c r="C660" t="s">
        <v>3585</v>
      </c>
      <c r="D660" t="s">
        <v>18106</v>
      </c>
      <c r="E660" t="s">
        <v>18810</v>
      </c>
      <c r="F660" t="s">
        <v>31362</v>
      </c>
      <c r="G660" t="s">
        <v>31368</v>
      </c>
      <c r="H660" t="s">
        <v>15799</v>
      </c>
      <c r="I660" t="s">
        <v>7188</v>
      </c>
      <c r="J660" t="s">
        <v>32033</v>
      </c>
      <c r="K660" t="s">
        <v>40661</v>
      </c>
      <c r="M660" t="s">
        <v>41218</v>
      </c>
      <c r="N660" t="s">
        <v>44905</v>
      </c>
      <c r="O660" t="s">
        <v>44906</v>
      </c>
      <c r="P660">
        <v>0</v>
      </c>
      <c r="Q660">
        <v>0</v>
      </c>
      <c r="R660" t="s">
        <v>44907</v>
      </c>
      <c r="S660" t="s">
        <v>45026</v>
      </c>
      <c r="T660" t="s">
        <v>46438</v>
      </c>
      <c r="U660" t="s">
        <v>47497</v>
      </c>
      <c r="W660" t="s">
        <v>41218</v>
      </c>
      <c r="X660" t="s">
        <v>44908</v>
      </c>
    </row>
    <row r="661" spans="1:24">
      <c r="A661">
        <f>HYPERLINK("https://www.philgeps.gov.ph/GEPSNONPILOT/Tender/SplashBidNoticeAbstractUI.aspx?menuIndex=3&amp;refID=7082305&amp;Result=3","7082305")</f>
        <v>0</v>
      </c>
      <c r="B661" t="s">
        <v>167</v>
      </c>
      <c r="C661" t="s">
        <v>3921</v>
      </c>
      <c r="D661" t="s">
        <v>18152</v>
      </c>
      <c r="E661" t="s">
        <v>18811</v>
      </c>
      <c r="F661" t="s">
        <v>31362</v>
      </c>
      <c r="G661" t="s">
        <v>31369</v>
      </c>
      <c r="H661" t="s">
        <v>15799</v>
      </c>
      <c r="I661" t="s">
        <v>6240</v>
      </c>
      <c r="J661" t="s">
        <v>32034</v>
      </c>
      <c r="K661" t="s">
        <v>40670</v>
      </c>
      <c r="M661" t="s">
        <v>41105</v>
      </c>
      <c r="N661" t="s">
        <v>44905</v>
      </c>
      <c r="O661" t="s">
        <v>44906</v>
      </c>
      <c r="P661">
        <v>0</v>
      </c>
      <c r="Q661">
        <v>0</v>
      </c>
      <c r="R661" t="s">
        <v>44907</v>
      </c>
      <c r="S661" t="s">
        <v>45026</v>
      </c>
      <c r="T661" t="s">
        <v>46462</v>
      </c>
      <c r="U661" t="s">
        <v>47498</v>
      </c>
      <c r="V661" t="s">
        <v>59135</v>
      </c>
      <c r="W661" t="s">
        <v>41105</v>
      </c>
      <c r="X661" t="s">
        <v>44908</v>
      </c>
    </row>
    <row r="662" spans="1:24">
      <c r="A662">
        <f>HYPERLINK("https://www.philgeps.gov.ph/GEPSNONPILOT/Tender/SplashBidNoticeAbstractUI.aspx?menuIndex=3&amp;refID=7082260&amp;Result=3","7082260")</f>
        <v>0</v>
      </c>
      <c r="B662" t="s">
        <v>292</v>
      </c>
      <c r="C662" t="s">
        <v>4164</v>
      </c>
      <c r="D662" t="s">
        <v>18143</v>
      </c>
      <c r="E662" t="s">
        <v>18812</v>
      </c>
      <c r="F662" t="s">
        <v>31362</v>
      </c>
      <c r="G662" t="s">
        <v>31368</v>
      </c>
      <c r="H662" t="s">
        <v>15799</v>
      </c>
      <c r="I662" t="s">
        <v>3815</v>
      </c>
      <c r="J662" t="s">
        <v>32035</v>
      </c>
      <c r="K662" t="s">
        <v>40661</v>
      </c>
      <c r="M662" t="s">
        <v>41235</v>
      </c>
      <c r="N662" t="s">
        <v>44905</v>
      </c>
      <c r="O662" t="s">
        <v>44906</v>
      </c>
      <c r="P662">
        <v>0</v>
      </c>
      <c r="Q662">
        <v>0</v>
      </c>
      <c r="R662" t="s">
        <v>44907</v>
      </c>
      <c r="S662" t="s">
        <v>45026</v>
      </c>
      <c r="T662" t="s">
        <v>46415</v>
      </c>
      <c r="U662" t="s">
        <v>47499</v>
      </c>
      <c r="W662" t="s">
        <v>41235</v>
      </c>
      <c r="X662" t="s">
        <v>44908</v>
      </c>
    </row>
    <row r="663" spans="1:24">
      <c r="A663">
        <f>HYPERLINK("https://www.philgeps.gov.ph/GEPSNONPILOT/Tender/SplashBidNoticeAbstractUI.aspx?menuIndex=3&amp;refID=7082288&amp;Result=3","7082288")</f>
        <v>0</v>
      </c>
      <c r="B663" t="s">
        <v>336</v>
      </c>
      <c r="C663" t="s">
        <v>4165</v>
      </c>
      <c r="D663" t="s">
        <v>18160</v>
      </c>
      <c r="E663" t="s">
        <v>10823</v>
      </c>
      <c r="F663" t="s">
        <v>31362</v>
      </c>
      <c r="G663" t="s">
        <v>31369</v>
      </c>
      <c r="H663" t="s">
        <v>31378</v>
      </c>
      <c r="I663" t="s">
        <v>31386</v>
      </c>
      <c r="J663" t="s">
        <v>31530</v>
      </c>
      <c r="K663" t="s">
        <v>40708</v>
      </c>
      <c r="M663" t="s">
        <v>41282</v>
      </c>
      <c r="N663" t="s">
        <v>44905</v>
      </c>
      <c r="O663" t="s">
        <v>44906</v>
      </c>
      <c r="P663">
        <v>0</v>
      </c>
      <c r="Q663">
        <v>0</v>
      </c>
      <c r="R663" t="s">
        <v>44907</v>
      </c>
      <c r="S663" t="s">
        <v>45026</v>
      </c>
      <c r="T663" t="s">
        <v>46515</v>
      </c>
      <c r="U663" t="s">
        <v>47500</v>
      </c>
      <c r="W663" t="s">
        <v>41282</v>
      </c>
      <c r="X663" t="s">
        <v>44908</v>
      </c>
    </row>
    <row r="664" spans="1:24">
      <c r="A664">
        <f>HYPERLINK("https://www.philgeps.gov.ph/GEPSNONPILOT/Tender/SplashBidNoticeAbstractUI.aspx?menuIndex=3&amp;refID=7082287&amp;Result=3","7082287")</f>
        <v>0</v>
      </c>
      <c r="B664" t="s">
        <v>337</v>
      </c>
      <c r="C664" t="s">
        <v>4166</v>
      </c>
      <c r="D664" t="s">
        <v>18148</v>
      </c>
      <c r="E664" t="s">
        <v>18813</v>
      </c>
      <c r="F664" t="s">
        <v>31362</v>
      </c>
      <c r="G664" t="s">
        <v>31368</v>
      </c>
      <c r="H664" t="s">
        <v>15799</v>
      </c>
      <c r="I664" t="s">
        <v>7188</v>
      </c>
      <c r="J664" t="s">
        <v>32036</v>
      </c>
      <c r="K664" t="s">
        <v>40662</v>
      </c>
      <c r="M664" t="s">
        <v>41283</v>
      </c>
      <c r="N664" t="s">
        <v>44905</v>
      </c>
      <c r="O664" t="s">
        <v>44906</v>
      </c>
      <c r="P664">
        <v>0</v>
      </c>
      <c r="Q664">
        <v>0</v>
      </c>
      <c r="R664" t="s">
        <v>44907</v>
      </c>
      <c r="S664" t="s">
        <v>45026</v>
      </c>
      <c r="T664" t="s">
        <v>46414</v>
      </c>
      <c r="U664" t="s">
        <v>47501</v>
      </c>
      <c r="W664" t="s">
        <v>41283</v>
      </c>
      <c r="X664" t="s">
        <v>44908</v>
      </c>
    </row>
    <row r="665" spans="1:24">
      <c r="A665">
        <f>HYPERLINK("https://www.philgeps.gov.ph/GEPSNONPILOT/Tender/SplashBidNoticeAbstractUI.aspx?menuIndex=3&amp;refID=7082282&amp;Result=3","7082282")</f>
        <v>0</v>
      </c>
      <c r="B665" t="s">
        <v>338</v>
      </c>
      <c r="C665" t="s">
        <v>4167</v>
      </c>
      <c r="D665" t="s">
        <v>18109</v>
      </c>
      <c r="E665" t="s">
        <v>18814</v>
      </c>
      <c r="F665" t="s">
        <v>31362</v>
      </c>
      <c r="G665" t="s">
        <v>31369</v>
      </c>
      <c r="H665" t="s">
        <v>31378</v>
      </c>
      <c r="I665" t="s">
        <v>31386</v>
      </c>
      <c r="J665" t="s">
        <v>31738</v>
      </c>
      <c r="K665" t="s">
        <v>40675</v>
      </c>
      <c r="M665" t="s">
        <v>41284</v>
      </c>
      <c r="N665" t="s">
        <v>44905</v>
      </c>
      <c r="O665" t="s">
        <v>44906</v>
      </c>
      <c r="P665">
        <v>0</v>
      </c>
      <c r="Q665">
        <v>0</v>
      </c>
      <c r="R665" t="s">
        <v>44907</v>
      </c>
      <c r="S665" t="s">
        <v>45026</v>
      </c>
      <c r="T665" t="s">
        <v>46403</v>
      </c>
      <c r="U665" t="s">
        <v>47502</v>
      </c>
      <c r="V665" t="s">
        <v>59136</v>
      </c>
      <c r="W665" t="s">
        <v>41284</v>
      </c>
      <c r="X665" t="s">
        <v>44908</v>
      </c>
    </row>
    <row r="666" spans="1:24">
      <c r="A666">
        <f>HYPERLINK("https://www.philgeps.gov.ph/GEPSNONPILOT/Tender/SplashBidNoticeAbstractUI.aspx?menuIndex=3&amp;refID=7082277&amp;Result=3","7082277")</f>
        <v>0</v>
      </c>
      <c r="B666" t="s">
        <v>339</v>
      </c>
      <c r="C666" t="s">
        <v>4168</v>
      </c>
      <c r="D666" t="s">
        <v>18106</v>
      </c>
      <c r="E666" t="s">
        <v>18815</v>
      </c>
      <c r="F666" t="s">
        <v>31362</v>
      </c>
      <c r="G666" t="s">
        <v>31368</v>
      </c>
      <c r="H666" t="s">
        <v>15799</v>
      </c>
      <c r="I666" t="s">
        <v>7090</v>
      </c>
      <c r="J666" t="s">
        <v>32037</v>
      </c>
      <c r="K666" t="s">
        <v>40662</v>
      </c>
      <c r="M666" t="s">
        <v>41285</v>
      </c>
      <c r="N666" t="s">
        <v>44905</v>
      </c>
      <c r="O666" t="s">
        <v>44906</v>
      </c>
      <c r="Q666">
        <v>0</v>
      </c>
      <c r="R666" t="s">
        <v>44907</v>
      </c>
      <c r="S666" t="s">
        <v>45033</v>
      </c>
      <c r="T666" t="s">
        <v>46435</v>
      </c>
      <c r="U666" t="s">
        <v>47503</v>
      </c>
      <c r="W666" t="s">
        <v>41285</v>
      </c>
      <c r="X666" t="s">
        <v>44908</v>
      </c>
    </row>
    <row r="667" spans="1:24">
      <c r="A667">
        <f>HYPERLINK("https://www.philgeps.gov.ph/GEPSNONPILOT/Tender/SplashBidNoticeAbstractUI.aspx?menuIndex=3&amp;refID=7082274&amp;Result=3","7082274")</f>
        <v>0</v>
      </c>
      <c r="B667" t="s">
        <v>340</v>
      </c>
      <c r="C667" t="s">
        <v>4169</v>
      </c>
      <c r="D667" t="s">
        <v>18112</v>
      </c>
      <c r="E667" t="s">
        <v>18816</v>
      </c>
      <c r="F667" t="s">
        <v>31362</v>
      </c>
      <c r="G667" t="s">
        <v>31368</v>
      </c>
      <c r="H667" t="s">
        <v>15799</v>
      </c>
      <c r="I667" t="s">
        <v>4942</v>
      </c>
      <c r="J667" t="s">
        <v>31564</v>
      </c>
      <c r="K667" t="s">
        <v>40665</v>
      </c>
      <c r="M667" t="s">
        <v>41286</v>
      </c>
      <c r="N667" t="s">
        <v>44905</v>
      </c>
      <c r="O667" t="s">
        <v>44906</v>
      </c>
      <c r="P667">
        <v>0</v>
      </c>
      <c r="Q667">
        <v>0</v>
      </c>
      <c r="R667" t="s">
        <v>44907</v>
      </c>
      <c r="S667" t="s">
        <v>45026</v>
      </c>
      <c r="T667" t="s">
        <v>46454</v>
      </c>
      <c r="U667" t="s">
        <v>47504</v>
      </c>
      <c r="V667" t="s">
        <v>59137</v>
      </c>
      <c r="W667" t="s">
        <v>41286</v>
      </c>
      <c r="X667" t="s">
        <v>44908</v>
      </c>
    </row>
    <row r="668" spans="1:24">
      <c r="A668">
        <f>HYPERLINK("https://www.philgeps.gov.ph/GEPSNONPILOT/Tender/SplashBidNoticeAbstractUI.aspx?menuIndex=3&amp;refID=7082255&amp;Result=3","7082255")</f>
        <v>0</v>
      </c>
      <c r="B668" t="s">
        <v>320</v>
      </c>
      <c r="C668" t="s">
        <v>4170</v>
      </c>
      <c r="D668" t="s">
        <v>18172</v>
      </c>
      <c r="E668" t="s">
        <v>18817</v>
      </c>
      <c r="F668" t="s">
        <v>31362</v>
      </c>
      <c r="G668" t="s">
        <v>31369</v>
      </c>
      <c r="H668" t="s">
        <v>31378</v>
      </c>
      <c r="I668" t="s">
        <v>3815</v>
      </c>
      <c r="J668" t="s">
        <v>32038</v>
      </c>
      <c r="K668" t="s">
        <v>40670</v>
      </c>
      <c r="M668" t="s">
        <v>41265</v>
      </c>
      <c r="N668" t="s">
        <v>44905</v>
      </c>
      <c r="O668" t="s">
        <v>44906</v>
      </c>
      <c r="P668">
        <v>0</v>
      </c>
      <c r="Q668">
        <v>0</v>
      </c>
      <c r="R668" t="s">
        <v>44907</v>
      </c>
      <c r="S668" t="s">
        <v>45026</v>
      </c>
      <c r="T668" t="s">
        <v>46396</v>
      </c>
      <c r="U668" t="s">
        <v>47505</v>
      </c>
      <c r="V668" t="s">
        <v>59132</v>
      </c>
      <c r="W668" t="s">
        <v>41265</v>
      </c>
      <c r="X668" t="s">
        <v>44908</v>
      </c>
    </row>
    <row r="669" spans="1:24">
      <c r="A669">
        <f>HYPERLINK("https://www.philgeps.gov.ph/GEPSNONPILOT/Tender/SplashBidNoticeAbstractUI.aspx?menuIndex=3&amp;refID=7082253&amp;Result=3","7082253")</f>
        <v>0</v>
      </c>
      <c r="B669" t="s">
        <v>341</v>
      </c>
      <c r="C669" t="s">
        <v>4171</v>
      </c>
      <c r="D669" t="s">
        <v>18160</v>
      </c>
      <c r="E669" t="s">
        <v>18818</v>
      </c>
      <c r="F669" t="s">
        <v>31362</v>
      </c>
      <c r="G669" t="s">
        <v>31368</v>
      </c>
      <c r="H669" t="s">
        <v>31378</v>
      </c>
      <c r="I669" t="s">
        <v>31435</v>
      </c>
      <c r="J669" t="s">
        <v>31890</v>
      </c>
      <c r="K669" t="s">
        <v>40673</v>
      </c>
      <c r="M669" t="s">
        <v>41287</v>
      </c>
      <c r="N669" t="s">
        <v>44905</v>
      </c>
      <c r="O669" t="s">
        <v>44906</v>
      </c>
      <c r="P669">
        <v>0</v>
      </c>
      <c r="Q669">
        <v>0</v>
      </c>
      <c r="R669" t="s">
        <v>44907</v>
      </c>
      <c r="S669" t="s">
        <v>45026</v>
      </c>
      <c r="T669" t="s">
        <v>46427</v>
      </c>
      <c r="U669" t="s">
        <v>47506</v>
      </c>
      <c r="W669" t="s">
        <v>41287</v>
      </c>
      <c r="X669" t="s">
        <v>44908</v>
      </c>
    </row>
    <row r="670" spans="1:24">
      <c r="A670">
        <f>HYPERLINK("https://www.philgeps.gov.ph/GEPSNONPILOT/Tender/SplashBidNoticeAbstractUI.aspx?menuIndex=3&amp;refID=7082249&amp;Result=3","7082249")</f>
        <v>0</v>
      </c>
      <c r="B670" t="s">
        <v>298</v>
      </c>
      <c r="C670" t="s">
        <v>4156</v>
      </c>
      <c r="D670" t="s">
        <v>18168</v>
      </c>
      <c r="E670" t="s">
        <v>18819</v>
      </c>
      <c r="F670" t="s">
        <v>31362</v>
      </c>
      <c r="G670" t="s">
        <v>31368</v>
      </c>
      <c r="H670" t="s">
        <v>15799</v>
      </c>
      <c r="I670" t="s">
        <v>4057</v>
      </c>
      <c r="J670" t="s">
        <v>31564</v>
      </c>
      <c r="K670" t="s">
        <v>40662</v>
      </c>
      <c r="M670" t="s">
        <v>41241</v>
      </c>
      <c r="N670" t="s">
        <v>44905</v>
      </c>
      <c r="O670" t="s">
        <v>44906</v>
      </c>
      <c r="P670">
        <v>0</v>
      </c>
      <c r="Q670">
        <v>0</v>
      </c>
      <c r="R670" t="s">
        <v>44907</v>
      </c>
      <c r="S670" t="s">
        <v>45026</v>
      </c>
      <c r="T670" t="s">
        <v>46506</v>
      </c>
      <c r="U670" t="s">
        <v>47507</v>
      </c>
      <c r="W670" t="s">
        <v>41241</v>
      </c>
      <c r="X670" t="s">
        <v>44908</v>
      </c>
    </row>
    <row r="671" spans="1:24">
      <c r="A671">
        <f>HYPERLINK("https://www.philgeps.gov.ph/GEPSNONPILOT/Tender/SplashBidNoticeAbstractUI.aspx?menuIndex=3&amp;refID=7082248&amp;Result=3","7082248")</f>
        <v>0</v>
      </c>
      <c r="B671" t="s">
        <v>140</v>
      </c>
      <c r="C671" t="s">
        <v>4172</v>
      </c>
      <c r="D671" t="s">
        <v>18169</v>
      </c>
      <c r="E671" t="s">
        <v>18820</v>
      </c>
      <c r="F671" t="s">
        <v>31362</v>
      </c>
      <c r="G671" t="s">
        <v>31369</v>
      </c>
      <c r="H671" t="s">
        <v>31378</v>
      </c>
      <c r="I671" t="s">
        <v>31386</v>
      </c>
      <c r="J671" t="s">
        <v>32039</v>
      </c>
      <c r="K671" t="s">
        <v>40678</v>
      </c>
      <c r="M671" t="s">
        <v>41078</v>
      </c>
      <c r="N671" t="s">
        <v>44905</v>
      </c>
      <c r="O671" t="s">
        <v>44906</v>
      </c>
      <c r="P671">
        <v>0</v>
      </c>
      <c r="Q671">
        <v>0</v>
      </c>
      <c r="R671" t="s">
        <v>44907</v>
      </c>
      <c r="S671" t="s">
        <v>45026</v>
      </c>
      <c r="T671" t="s">
        <v>46466</v>
      </c>
      <c r="U671" t="s">
        <v>47508</v>
      </c>
      <c r="W671" t="s">
        <v>41078</v>
      </c>
      <c r="X671" t="s">
        <v>44908</v>
      </c>
    </row>
    <row r="672" spans="1:24">
      <c r="A672">
        <f>HYPERLINK("https://www.philgeps.gov.ph/GEPSNONPILOT/Tender/SplashBidNoticeAbstractUI.aspx?menuIndex=3&amp;refID=7082246&amp;Result=3","7082246")</f>
        <v>0</v>
      </c>
      <c r="B672" t="s">
        <v>342</v>
      </c>
      <c r="C672" t="s">
        <v>4173</v>
      </c>
      <c r="D672" t="s">
        <v>18114</v>
      </c>
      <c r="E672" t="s">
        <v>18821</v>
      </c>
      <c r="F672" t="s">
        <v>31362</v>
      </c>
      <c r="G672" t="s">
        <v>31369</v>
      </c>
      <c r="H672" t="s">
        <v>31378</v>
      </c>
      <c r="I672" t="s">
        <v>31386</v>
      </c>
      <c r="J672" t="s">
        <v>32040</v>
      </c>
      <c r="K672" t="s">
        <v>40665</v>
      </c>
      <c r="M672" t="s">
        <v>41288</v>
      </c>
      <c r="N672" t="s">
        <v>44905</v>
      </c>
      <c r="O672" t="s">
        <v>44906</v>
      </c>
      <c r="P672">
        <v>0</v>
      </c>
      <c r="Q672">
        <v>0</v>
      </c>
      <c r="R672" t="s">
        <v>44907</v>
      </c>
      <c r="S672" t="s">
        <v>45026</v>
      </c>
      <c r="T672" t="s">
        <v>46392</v>
      </c>
      <c r="U672" t="s">
        <v>47509</v>
      </c>
      <c r="W672" t="s">
        <v>41288</v>
      </c>
      <c r="X672" t="s">
        <v>44908</v>
      </c>
    </row>
    <row r="673" spans="1:24">
      <c r="A673">
        <f>HYPERLINK("https://www.philgeps.gov.ph/GEPSNONPILOT/Tender/SplashBidNoticeAbstractUI.aspx?menuIndex=3&amp;refID=7082283&amp;Result=3","7082283")</f>
        <v>0</v>
      </c>
      <c r="B673" t="s">
        <v>343</v>
      </c>
      <c r="C673" t="s">
        <v>3839</v>
      </c>
      <c r="D673" t="s">
        <v>18101</v>
      </c>
      <c r="E673" t="s">
        <v>18822</v>
      </c>
      <c r="F673" t="s">
        <v>31362</v>
      </c>
      <c r="G673" t="s">
        <v>31368</v>
      </c>
      <c r="H673" t="s">
        <v>15799</v>
      </c>
      <c r="I673" t="s">
        <v>31385</v>
      </c>
      <c r="J673" t="s">
        <v>32041</v>
      </c>
      <c r="K673" t="s">
        <v>40670</v>
      </c>
      <c r="M673" t="s">
        <v>41289</v>
      </c>
      <c r="N673" t="s">
        <v>44905</v>
      </c>
      <c r="O673" t="s">
        <v>44906</v>
      </c>
      <c r="P673">
        <v>0</v>
      </c>
      <c r="Q673">
        <v>0</v>
      </c>
      <c r="R673" t="s">
        <v>44907</v>
      </c>
      <c r="S673" t="s">
        <v>45026</v>
      </c>
      <c r="T673" t="s">
        <v>46438</v>
      </c>
      <c r="U673" t="s">
        <v>47510</v>
      </c>
      <c r="V673" t="s">
        <v>59138</v>
      </c>
      <c r="W673" t="s">
        <v>41289</v>
      </c>
      <c r="X673" t="s">
        <v>44908</v>
      </c>
    </row>
    <row r="674" spans="1:24">
      <c r="A674">
        <f>HYPERLINK("https://www.philgeps.gov.ph/GEPSNONPILOT/Tender/SplashBidNoticeAbstractUI.aspx?menuIndex=3&amp;refID=7082308&amp;Result=3","7082308")</f>
        <v>0</v>
      </c>
      <c r="B674" t="s">
        <v>91</v>
      </c>
      <c r="C674" t="s">
        <v>4174</v>
      </c>
      <c r="D674" t="s">
        <v>18136</v>
      </c>
      <c r="E674" t="s">
        <v>18823</v>
      </c>
      <c r="F674" t="s">
        <v>31362</v>
      </c>
      <c r="G674" t="s">
        <v>31370</v>
      </c>
      <c r="H674" t="s">
        <v>15799</v>
      </c>
      <c r="I674" t="s">
        <v>3815</v>
      </c>
      <c r="J674" t="s">
        <v>32042</v>
      </c>
      <c r="K674" t="s">
        <v>40661</v>
      </c>
      <c r="M674" t="s">
        <v>41028</v>
      </c>
      <c r="N674" t="s">
        <v>44905</v>
      </c>
      <c r="O674" t="s">
        <v>44906</v>
      </c>
      <c r="P674">
        <v>0</v>
      </c>
      <c r="Q674">
        <v>0</v>
      </c>
      <c r="R674" t="s">
        <v>44907</v>
      </c>
      <c r="S674" t="s">
        <v>45026</v>
      </c>
      <c r="T674" t="s">
        <v>46411</v>
      </c>
      <c r="U674" t="s">
        <v>47511</v>
      </c>
      <c r="W674" t="s">
        <v>41028</v>
      </c>
      <c r="X674" t="s">
        <v>44908</v>
      </c>
    </row>
    <row r="675" spans="1:24">
      <c r="A675">
        <f>HYPERLINK("https://www.philgeps.gov.ph/GEPSNONPILOT/Tender/SplashBidNoticeAbstractUI.aspx?menuIndex=3&amp;refID=7082334&amp;Result=3","7082334")</f>
        <v>0</v>
      </c>
      <c r="B675" t="s">
        <v>344</v>
      </c>
      <c r="C675" t="s">
        <v>4175</v>
      </c>
      <c r="D675" t="s">
        <v>18148</v>
      </c>
      <c r="E675" t="s">
        <v>18824</v>
      </c>
      <c r="F675" t="s">
        <v>31362</v>
      </c>
      <c r="G675" t="s">
        <v>31369</v>
      </c>
      <c r="H675" t="s">
        <v>15799</v>
      </c>
      <c r="I675" t="s">
        <v>31385</v>
      </c>
      <c r="J675" t="s">
        <v>32043</v>
      </c>
      <c r="K675" t="s">
        <v>40675</v>
      </c>
      <c r="M675" t="s">
        <v>41290</v>
      </c>
      <c r="N675" t="s">
        <v>44905</v>
      </c>
      <c r="O675" t="s">
        <v>44906</v>
      </c>
      <c r="P675">
        <v>0</v>
      </c>
      <c r="Q675">
        <v>0</v>
      </c>
      <c r="R675" t="s">
        <v>44907</v>
      </c>
      <c r="S675" t="s">
        <v>45026</v>
      </c>
      <c r="T675" t="s">
        <v>46397</v>
      </c>
      <c r="U675" t="s">
        <v>47512</v>
      </c>
      <c r="W675" t="s">
        <v>41290</v>
      </c>
      <c r="X675" t="s">
        <v>44908</v>
      </c>
    </row>
    <row r="676" spans="1:24">
      <c r="A676">
        <f>HYPERLINK("https://www.philgeps.gov.ph/GEPSNONPILOT/Tender/SplashBidNoticeAbstractUI.aspx?menuIndex=3&amp;refID=7082290&amp;Result=3","7082290")</f>
        <v>0</v>
      </c>
      <c r="B676" t="s">
        <v>345</v>
      </c>
      <c r="C676" t="s">
        <v>4176</v>
      </c>
      <c r="D676" t="s">
        <v>18149</v>
      </c>
      <c r="E676" t="s">
        <v>18825</v>
      </c>
      <c r="F676" t="s">
        <v>31362</v>
      </c>
      <c r="G676" t="s">
        <v>31369</v>
      </c>
      <c r="H676" t="s">
        <v>31378</v>
      </c>
      <c r="I676" t="s">
        <v>31386</v>
      </c>
      <c r="J676" t="s">
        <v>31591</v>
      </c>
      <c r="K676" t="s">
        <v>40675</v>
      </c>
      <c r="M676" t="s">
        <v>41291</v>
      </c>
      <c r="N676" t="s">
        <v>44905</v>
      </c>
      <c r="O676" t="s">
        <v>44906</v>
      </c>
      <c r="P676">
        <v>0</v>
      </c>
      <c r="Q676">
        <v>0</v>
      </c>
      <c r="R676" t="s">
        <v>44907</v>
      </c>
      <c r="S676" t="s">
        <v>45026</v>
      </c>
      <c r="T676" t="s">
        <v>46516</v>
      </c>
      <c r="U676" t="s">
        <v>47513</v>
      </c>
      <c r="W676" t="s">
        <v>41291</v>
      </c>
      <c r="X676" t="s">
        <v>44908</v>
      </c>
    </row>
    <row r="677" spans="1:24">
      <c r="A677">
        <f>HYPERLINK("https://www.philgeps.gov.ph/GEPSNONPILOT/Tender/SplashBidNoticeAbstractUI.aspx?menuIndex=3&amp;refID=7082332&amp;Result=3","7082332")</f>
        <v>0</v>
      </c>
      <c r="B677" t="s">
        <v>322</v>
      </c>
      <c r="C677" t="s">
        <v>4177</v>
      </c>
      <c r="D677" t="s">
        <v>18173</v>
      </c>
      <c r="E677" t="s">
        <v>18826</v>
      </c>
      <c r="F677" t="s">
        <v>31362</v>
      </c>
      <c r="G677" t="s">
        <v>31368</v>
      </c>
      <c r="H677" t="s">
        <v>15799</v>
      </c>
      <c r="I677" t="s">
        <v>31430</v>
      </c>
      <c r="J677" t="s">
        <v>31586</v>
      </c>
      <c r="K677" t="s">
        <v>40697</v>
      </c>
      <c r="M677" t="s">
        <v>41268</v>
      </c>
      <c r="N677" t="s">
        <v>44905</v>
      </c>
      <c r="O677" t="s">
        <v>44906</v>
      </c>
      <c r="P677">
        <v>0</v>
      </c>
      <c r="Q677">
        <v>0</v>
      </c>
      <c r="R677" t="s">
        <v>44907</v>
      </c>
      <c r="S677" t="s">
        <v>45026</v>
      </c>
      <c r="T677" t="s">
        <v>46400</v>
      </c>
      <c r="U677" t="s">
        <v>47514</v>
      </c>
      <c r="W677" t="s">
        <v>41268</v>
      </c>
      <c r="X677" t="s">
        <v>44908</v>
      </c>
    </row>
    <row r="678" spans="1:24">
      <c r="A678">
        <f>HYPERLINK("https://www.philgeps.gov.ph/GEPSNONPILOT/Tender/SplashBidNoticeAbstractUI.aspx?menuIndex=3&amp;refID=7082329&amp;Result=3","7082329")</f>
        <v>0</v>
      </c>
      <c r="B678" t="s">
        <v>336</v>
      </c>
      <c r="C678" t="s">
        <v>4178</v>
      </c>
      <c r="D678" t="s">
        <v>18160</v>
      </c>
      <c r="E678" t="s">
        <v>11036</v>
      </c>
      <c r="F678" t="s">
        <v>31362</v>
      </c>
      <c r="G678" t="s">
        <v>31369</v>
      </c>
      <c r="H678" t="s">
        <v>31378</v>
      </c>
      <c r="I678" t="s">
        <v>31386</v>
      </c>
      <c r="J678" t="s">
        <v>31578</v>
      </c>
      <c r="K678" t="s">
        <v>40666</v>
      </c>
      <c r="M678" t="s">
        <v>41282</v>
      </c>
      <c r="N678" t="s">
        <v>44905</v>
      </c>
      <c r="O678" t="s">
        <v>44906</v>
      </c>
      <c r="P678">
        <v>0</v>
      </c>
      <c r="Q678">
        <v>0</v>
      </c>
      <c r="R678" t="s">
        <v>44907</v>
      </c>
      <c r="S678" t="s">
        <v>45026</v>
      </c>
      <c r="T678" t="s">
        <v>46517</v>
      </c>
      <c r="U678" t="s">
        <v>47515</v>
      </c>
      <c r="W678" t="s">
        <v>41282</v>
      </c>
      <c r="X678" t="s">
        <v>44908</v>
      </c>
    </row>
    <row r="679" spans="1:24">
      <c r="A679">
        <f>HYPERLINK("https://www.philgeps.gov.ph/GEPSNONPILOT/Tender/SplashBidNoticeAbstractUI.aspx?menuIndex=3&amp;refID=7082328&amp;Result=3","7082328")</f>
        <v>0</v>
      </c>
      <c r="B679" t="s">
        <v>346</v>
      </c>
      <c r="C679" t="s">
        <v>4179</v>
      </c>
      <c r="D679" t="s">
        <v>18152</v>
      </c>
      <c r="E679" t="s">
        <v>18827</v>
      </c>
      <c r="F679" t="s">
        <v>31362</v>
      </c>
      <c r="G679" t="s">
        <v>31368</v>
      </c>
      <c r="H679" t="s">
        <v>15799</v>
      </c>
      <c r="I679" t="s">
        <v>7090</v>
      </c>
      <c r="J679" t="s">
        <v>32044</v>
      </c>
      <c r="K679" t="s">
        <v>40665</v>
      </c>
      <c r="L679" t="s">
        <v>346</v>
      </c>
      <c r="M679" t="s">
        <v>41292</v>
      </c>
      <c r="N679" t="s">
        <v>44905</v>
      </c>
      <c r="O679" t="s">
        <v>44906</v>
      </c>
      <c r="P679">
        <v>0</v>
      </c>
      <c r="Q679">
        <v>0</v>
      </c>
      <c r="R679" t="s">
        <v>44907</v>
      </c>
      <c r="S679" t="s">
        <v>45026</v>
      </c>
      <c r="T679" t="s">
        <v>46462</v>
      </c>
      <c r="U679" t="s">
        <v>47516</v>
      </c>
      <c r="V679" t="s">
        <v>59139</v>
      </c>
      <c r="W679" t="s">
        <v>41292</v>
      </c>
      <c r="X679" t="s">
        <v>44908</v>
      </c>
    </row>
    <row r="680" spans="1:24">
      <c r="A680">
        <f>HYPERLINK("https://www.philgeps.gov.ph/GEPSNONPILOT/Tender/SplashBidNoticeAbstractUI.aspx?menuIndex=3&amp;refID=7082327&amp;Result=3","7082327")</f>
        <v>0</v>
      </c>
      <c r="B680" t="s">
        <v>334</v>
      </c>
      <c r="C680" t="s">
        <v>4180</v>
      </c>
      <c r="D680" t="s">
        <v>18116</v>
      </c>
      <c r="E680" t="s">
        <v>18828</v>
      </c>
      <c r="F680" t="s">
        <v>31362</v>
      </c>
      <c r="G680" t="s">
        <v>31368</v>
      </c>
      <c r="H680" t="s">
        <v>15799</v>
      </c>
      <c r="I680" t="s">
        <v>7188</v>
      </c>
      <c r="J680" t="s">
        <v>32045</v>
      </c>
      <c r="K680" t="s">
        <v>40662</v>
      </c>
      <c r="M680" t="s">
        <v>41280</v>
      </c>
      <c r="N680" t="s">
        <v>44905</v>
      </c>
      <c r="O680" t="s">
        <v>44906</v>
      </c>
      <c r="P680">
        <v>0</v>
      </c>
      <c r="Q680">
        <v>0</v>
      </c>
      <c r="R680" t="s">
        <v>44907</v>
      </c>
      <c r="S680" t="s">
        <v>45026</v>
      </c>
      <c r="T680" t="s">
        <v>46416</v>
      </c>
      <c r="U680" t="s">
        <v>47517</v>
      </c>
      <c r="W680" t="s">
        <v>41280</v>
      </c>
      <c r="X680" t="s">
        <v>44908</v>
      </c>
    </row>
    <row r="681" spans="1:24">
      <c r="A681">
        <f>HYPERLINK("https://www.philgeps.gov.ph/GEPSNONPILOT/Tender/SplashBidNoticeAbstractUI.aspx?menuIndex=3&amp;refID=7082284&amp;Result=3","7082284")</f>
        <v>0</v>
      </c>
      <c r="B681" t="s">
        <v>347</v>
      </c>
      <c r="C681" t="s">
        <v>4181</v>
      </c>
      <c r="D681" t="s">
        <v>18120</v>
      </c>
      <c r="E681" t="s">
        <v>18829</v>
      </c>
      <c r="F681" t="s">
        <v>31362</v>
      </c>
      <c r="G681" t="s">
        <v>31370</v>
      </c>
      <c r="H681" t="s">
        <v>31379</v>
      </c>
      <c r="I681" t="s">
        <v>3815</v>
      </c>
      <c r="J681" t="s">
        <v>32046</v>
      </c>
      <c r="K681" t="s">
        <v>40661</v>
      </c>
      <c r="M681" t="s">
        <v>41293</v>
      </c>
      <c r="N681" t="s">
        <v>44905</v>
      </c>
      <c r="O681" t="s">
        <v>44906</v>
      </c>
      <c r="P681">
        <v>0</v>
      </c>
      <c r="Q681">
        <v>0</v>
      </c>
      <c r="R681" t="s">
        <v>44907</v>
      </c>
      <c r="S681" t="s">
        <v>45026</v>
      </c>
      <c r="T681" t="s">
        <v>46409</v>
      </c>
      <c r="U681" t="s">
        <v>47518</v>
      </c>
      <c r="W681" t="s">
        <v>41293</v>
      </c>
      <c r="X681" t="s">
        <v>44908</v>
      </c>
    </row>
    <row r="682" spans="1:24">
      <c r="A682">
        <f>HYPERLINK("https://www.philgeps.gov.ph/GEPSNONPILOT/Tender/SplashBidNoticeAbstractUI.aspx?menuIndex=3&amp;refID=7082326&amp;Result=3","7082326")</f>
        <v>0</v>
      </c>
      <c r="B682" t="s">
        <v>348</v>
      </c>
      <c r="C682" t="s">
        <v>4182</v>
      </c>
      <c r="D682" t="s">
        <v>18122</v>
      </c>
      <c r="E682" t="s">
        <v>18830</v>
      </c>
      <c r="F682" t="s">
        <v>31362</v>
      </c>
      <c r="G682" t="s">
        <v>31368</v>
      </c>
      <c r="H682" t="s">
        <v>15799</v>
      </c>
      <c r="I682" t="s">
        <v>6240</v>
      </c>
      <c r="J682" t="s">
        <v>32047</v>
      </c>
      <c r="K682" t="s">
        <v>40682</v>
      </c>
      <c r="M682" t="s">
        <v>41294</v>
      </c>
      <c r="N682" t="s">
        <v>44905</v>
      </c>
      <c r="O682" t="s">
        <v>44906</v>
      </c>
      <c r="P682">
        <v>0</v>
      </c>
      <c r="Q682">
        <v>0</v>
      </c>
      <c r="R682" t="s">
        <v>44907</v>
      </c>
      <c r="S682" t="s">
        <v>45026</v>
      </c>
      <c r="T682" t="s">
        <v>46425</v>
      </c>
      <c r="U682" t="s">
        <v>47519</v>
      </c>
      <c r="W682" t="s">
        <v>41294</v>
      </c>
      <c r="X682" t="s">
        <v>44908</v>
      </c>
    </row>
    <row r="683" spans="1:24">
      <c r="A683">
        <f>HYPERLINK("https://www.philgeps.gov.ph/GEPSNONPILOT/Tender/SplashBidNoticeAbstractUI.aspx?menuIndex=3&amp;refID=7082324&amp;Result=3","7082324")</f>
        <v>0</v>
      </c>
      <c r="B683" t="s">
        <v>349</v>
      </c>
      <c r="C683" t="s">
        <v>4183</v>
      </c>
      <c r="D683" t="s">
        <v>18160</v>
      </c>
      <c r="E683" t="s">
        <v>18831</v>
      </c>
      <c r="F683" t="s">
        <v>31362</v>
      </c>
      <c r="G683" t="s">
        <v>31368</v>
      </c>
      <c r="H683" t="s">
        <v>15799</v>
      </c>
      <c r="I683" t="s">
        <v>31393</v>
      </c>
      <c r="J683" t="s">
        <v>32048</v>
      </c>
      <c r="K683" t="s">
        <v>40661</v>
      </c>
      <c r="M683" t="s">
        <v>41295</v>
      </c>
      <c r="N683" t="s">
        <v>44905</v>
      </c>
      <c r="O683" t="s">
        <v>44906</v>
      </c>
      <c r="P683">
        <v>0</v>
      </c>
      <c r="Q683">
        <v>0</v>
      </c>
      <c r="R683" t="s">
        <v>44907</v>
      </c>
      <c r="S683" t="s">
        <v>45026</v>
      </c>
      <c r="T683" t="s">
        <v>46425</v>
      </c>
      <c r="U683" t="s">
        <v>47520</v>
      </c>
      <c r="W683" t="s">
        <v>41295</v>
      </c>
      <c r="X683" t="s">
        <v>44908</v>
      </c>
    </row>
    <row r="684" spans="1:24">
      <c r="A684">
        <f>HYPERLINK("https://www.philgeps.gov.ph/GEPSNONPILOT/Tender/SplashBidNoticeAbstractUI.aspx?menuIndex=3&amp;refID=7082291&amp;Result=3","7082291")</f>
        <v>0</v>
      </c>
      <c r="B684" t="s">
        <v>350</v>
      </c>
      <c r="C684" t="s">
        <v>4184</v>
      </c>
      <c r="D684" t="s">
        <v>18169</v>
      </c>
      <c r="E684" t="s">
        <v>18832</v>
      </c>
      <c r="F684" t="s">
        <v>31362</v>
      </c>
      <c r="G684" t="s">
        <v>31368</v>
      </c>
      <c r="H684" t="s">
        <v>15799</v>
      </c>
      <c r="I684" t="s">
        <v>31383</v>
      </c>
      <c r="J684" t="s">
        <v>31545</v>
      </c>
      <c r="K684" t="s">
        <v>40662</v>
      </c>
      <c r="M684" t="s">
        <v>41296</v>
      </c>
      <c r="N684" t="s">
        <v>44905</v>
      </c>
      <c r="O684" t="s">
        <v>44906</v>
      </c>
      <c r="P684">
        <v>0</v>
      </c>
      <c r="Q684">
        <v>0</v>
      </c>
      <c r="R684" t="s">
        <v>44907</v>
      </c>
      <c r="S684" t="s">
        <v>45026</v>
      </c>
      <c r="T684" t="s">
        <v>46438</v>
      </c>
      <c r="U684" t="s">
        <v>47521</v>
      </c>
      <c r="V684" t="s">
        <v>59140</v>
      </c>
      <c r="W684" t="s">
        <v>41296</v>
      </c>
      <c r="X684" t="s">
        <v>44908</v>
      </c>
    </row>
    <row r="685" spans="1:24">
      <c r="A685">
        <f>HYPERLINK("https://www.philgeps.gov.ph/GEPSNONPILOT/Tender/SplashBidNoticeAbstractUI.aspx?menuIndex=3&amp;refID=7082323&amp;Result=3","7082323")</f>
        <v>0</v>
      </c>
      <c r="B685" t="s">
        <v>335</v>
      </c>
      <c r="C685" t="s">
        <v>4185</v>
      </c>
      <c r="D685" t="s">
        <v>18108</v>
      </c>
      <c r="E685" t="s">
        <v>18833</v>
      </c>
      <c r="F685" t="s">
        <v>31362</v>
      </c>
      <c r="G685" t="s">
        <v>31368</v>
      </c>
      <c r="H685" t="s">
        <v>15799</v>
      </c>
      <c r="I685" t="s">
        <v>31430</v>
      </c>
      <c r="J685" t="s">
        <v>32049</v>
      </c>
      <c r="K685" t="s">
        <v>40661</v>
      </c>
      <c r="M685" t="s">
        <v>41281</v>
      </c>
      <c r="N685" t="s">
        <v>44905</v>
      </c>
      <c r="O685" t="s">
        <v>44906</v>
      </c>
      <c r="P685">
        <v>0</v>
      </c>
      <c r="Q685">
        <v>0</v>
      </c>
      <c r="R685" t="s">
        <v>44907</v>
      </c>
      <c r="S685" t="s">
        <v>45026</v>
      </c>
      <c r="T685" t="s">
        <v>46447</v>
      </c>
      <c r="U685" t="s">
        <v>47522</v>
      </c>
      <c r="W685" t="s">
        <v>41281</v>
      </c>
      <c r="X685" t="s">
        <v>44908</v>
      </c>
    </row>
    <row r="686" spans="1:24">
      <c r="A686">
        <f>HYPERLINK("https://www.philgeps.gov.ph/GEPSNONPILOT/Tender/SplashBidNoticeAbstractUI.aspx?menuIndex=3&amp;refID=7082320&amp;Result=3","7082320")</f>
        <v>0</v>
      </c>
      <c r="B686" t="s">
        <v>227</v>
      </c>
      <c r="C686" t="s">
        <v>4186</v>
      </c>
      <c r="D686" t="s">
        <v>18108</v>
      </c>
      <c r="E686" t="s">
        <v>18834</v>
      </c>
      <c r="F686" t="s">
        <v>31362</v>
      </c>
      <c r="G686" t="s">
        <v>31368</v>
      </c>
      <c r="H686" t="s">
        <v>15799</v>
      </c>
      <c r="I686" t="s">
        <v>31448</v>
      </c>
      <c r="J686" t="s">
        <v>31723</v>
      </c>
      <c r="K686" t="s">
        <v>40662</v>
      </c>
      <c r="M686" t="s">
        <v>41297</v>
      </c>
      <c r="N686" t="s">
        <v>44905</v>
      </c>
      <c r="O686" t="s">
        <v>44906</v>
      </c>
      <c r="P686">
        <v>0</v>
      </c>
      <c r="Q686">
        <v>0</v>
      </c>
      <c r="R686" t="s">
        <v>44907</v>
      </c>
      <c r="S686" t="s">
        <v>45026</v>
      </c>
      <c r="T686" t="s">
        <v>46518</v>
      </c>
      <c r="U686" t="s">
        <v>47523</v>
      </c>
      <c r="W686" t="s">
        <v>41297</v>
      </c>
      <c r="X686" t="s">
        <v>44908</v>
      </c>
    </row>
    <row r="687" spans="1:24">
      <c r="A687">
        <f>HYPERLINK("https://www.philgeps.gov.ph/GEPSNONPILOT/Tender/SplashBidNoticeAbstractUI.aspx?menuIndex=3&amp;refID=7082319&amp;Result=3","7082319")</f>
        <v>0</v>
      </c>
      <c r="B687" t="s">
        <v>351</v>
      </c>
      <c r="C687" t="s">
        <v>4187</v>
      </c>
      <c r="D687" t="s">
        <v>18142</v>
      </c>
      <c r="E687" t="s">
        <v>18835</v>
      </c>
      <c r="F687" t="s">
        <v>31362</v>
      </c>
      <c r="G687" t="s">
        <v>31369</v>
      </c>
      <c r="H687" t="s">
        <v>31378</v>
      </c>
      <c r="I687" t="s">
        <v>31386</v>
      </c>
      <c r="J687" t="s">
        <v>32050</v>
      </c>
      <c r="K687" t="s">
        <v>40670</v>
      </c>
      <c r="M687" t="s">
        <v>41298</v>
      </c>
      <c r="N687" t="s">
        <v>44905</v>
      </c>
      <c r="O687" t="s">
        <v>44906</v>
      </c>
      <c r="P687">
        <v>0</v>
      </c>
      <c r="Q687">
        <v>0</v>
      </c>
      <c r="R687" t="s">
        <v>44907</v>
      </c>
      <c r="S687" t="s">
        <v>45026</v>
      </c>
      <c r="T687" t="s">
        <v>46519</v>
      </c>
      <c r="U687" t="s">
        <v>47524</v>
      </c>
      <c r="W687" t="s">
        <v>41298</v>
      </c>
      <c r="X687" t="s">
        <v>44908</v>
      </c>
    </row>
    <row r="688" spans="1:24">
      <c r="A688">
        <f>HYPERLINK("https://www.philgeps.gov.ph/GEPSNONPILOT/Tender/SplashBidNoticeAbstractUI.aspx?menuIndex=3&amp;refID=7082251&amp;Result=3","7082251")</f>
        <v>0</v>
      </c>
      <c r="B688" t="s">
        <v>232</v>
      </c>
      <c r="C688" t="s">
        <v>4188</v>
      </c>
      <c r="D688" t="s">
        <v>18101</v>
      </c>
      <c r="E688" t="s">
        <v>18836</v>
      </c>
      <c r="F688" t="s">
        <v>31362</v>
      </c>
      <c r="G688" t="s">
        <v>31370</v>
      </c>
      <c r="H688" t="s">
        <v>15799</v>
      </c>
      <c r="I688" t="s">
        <v>31385</v>
      </c>
      <c r="J688" t="s">
        <v>32051</v>
      </c>
      <c r="K688" t="s">
        <v>40661</v>
      </c>
      <c r="M688" t="s">
        <v>41171</v>
      </c>
      <c r="N688" t="s">
        <v>44905</v>
      </c>
      <c r="O688" t="s">
        <v>44906</v>
      </c>
      <c r="P688">
        <v>0</v>
      </c>
      <c r="Q688">
        <v>0</v>
      </c>
      <c r="R688" t="s">
        <v>44907</v>
      </c>
      <c r="S688" t="s">
        <v>45026</v>
      </c>
      <c r="T688" t="s">
        <v>46409</v>
      </c>
      <c r="U688" t="s">
        <v>47525</v>
      </c>
      <c r="W688" t="s">
        <v>41171</v>
      </c>
      <c r="X688" t="s">
        <v>44908</v>
      </c>
    </row>
    <row r="689" spans="1:24">
      <c r="A689">
        <f>HYPERLINK("https://www.philgeps.gov.ph/GEPSNONPILOT/Tender/SplashBidNoticeAbstractUI.aspx?menuIndex=3&amp;refID=7082296&amp;Result=3","7082296")</f>
        <v>0</v>
      </c>
      <c r="B689" t="s">
        <v>352</v>
      </c>
      <c r="C689" t="s">
        <v>4048</v>
      </c>
      <c r="D689" t="s">
        <v>18122</v>
      </c>
      <c r="E689" t="s">
        <v>18476</v>
      </c>
      <c r="F689" t="s">
        <v>31362</v>
      </c>
      <c r="G689" t="s">
        <v>31368</v>
      </c>
      <c r="H689" t="s">
        <v>15799</v>
      </c>
      <c r="I689" t="s">
        <v>6373</v>
      </c>
      <c r="J689" t="s">
        <v>32052</v>
      </c>
      <c r="K689" t="s">
        <v>40666</v>
      </c>
      <c r="M689" t="s">
        <v>41299</v>
      </c>
      <c r="N689" t="s">
        <v>44905</v>
      </c>
      <c r="O689" t="s">
        <v>44906</v>
      </c>
      <c r="P689">
        <v>0</v>
      </c>
      <c r="Q689">
        <v>0</v>
      </c>
      <c r="R689" t="s">
        <v>44907</v>
      </c>
      <c r="S689" t="s">
        <v>45026</v>
      </c>
      <c r="T689" t="s">
        <v>46505</v>
      </c>
      <c r="U689" t="s">
        <v>47526</v>
      </c>
      <c r="W689" t="s">
        <v>41299</v>
      </c>
      <c r="X689" t="s">
        <v>44908</v>
      </c>
    </row>
    <row r="690" spans="1:24">
      <c r="A690">
        <f>HYPERLINK("https://www.philgeps.gov.ph/GEPSNONPILOT/Tender/SplashBidNoticeAbstractUI.aspx?menuIndex=3&amp;refID=7082231&amp;Result=3","7082231")</f>
        <v>0</v>
      </c>
      <c r="B690" t="s">
        <v>353</v>
      </c>
      <c r="C690" t="s">
        <v>4189</v>
      </c>
      <c r="D690" t="s">
        <v>18148</v>
      </c>
      <c r="E690" t="s">
        <v>18837</v>
      </c>
      <c r="F690" t="s">
        <v>31362</v>
      </c>
      <c r="G690" t="s">
        <v>31369</v>
      </c>
      <c r="H690" t="s">
        <v>15799</v>
      </c>
      <c r="I690" t="s">
        <v>31409</v>
      </c>
      <c r="J690" t="s">
        <v>31709</v>
      </c>
      <c r="K690" t="s">
        <v>40675</v>
      </c>
      <c r="M690" t="s">
        <v>41300</v>
      </c>
      <c r="N690" t="s">
        <v>44905</v>
      </c>
      <c r="O690" t="s">
        <v>44906</v>
      </c>
      <c r="P690">
        <v>0</v>
      </c>
      <c r="Q690">
        <v>4</v>
      </c>
      <c r="R690" t="s">
        <v>44907</v>
      </c>
      <c r="S690" t="s">
        <v>45026</v>
      </c>
      <c r="T690" t="s">
        <v>46402</v>
      </c>
      <c r="U690" t="s">
        <v>47527</v>
      </c>
      <c r="V690" t="s">
        <v>59141</v>
      </c>
      <c r="W690" t="s">
        <v>41300</v>
      </c>
      <c r="X690" t="s">
        <v>44908</v>
      </c>
    </row>
    <row r="691" spans="1:24">
      <c r="A691">
        <f>HYPERLINK("https://www.philgeps.gov.ph/GEPSNONPILOT/Tender/SplashBidNoticeAbstractUI.aspx?menuIndex=3&amp;refID=7082356&amp;Result=3","7082356")</f>
        <v>0</v>
      </c>
      <c r="B691" t="s">
        <v>354</v>
      </c>
      <c r="C691" t="s">
        <v>4190</v>
      </c>
      <c r="D691" t="s">
        <v>18141</v>
      </c>
      <c r="E691" t="s">
        <v>18838</v>
      </c>
      <c r="F691" t="s">
        <v>31362</v>
      </c>
      <c r="G691" t="s">
        <v>31370</v>
      </c>
      <c r="H691" t="s">
        <v>15799</v>
      </c>
      <c r="I691" t="s">
        <v>31438</v>
      </c>
      <c r="J691" t="s">
        <v>31577</v>
      </c>
      <c r="K691" t="s">
        <v>40666</v>
      </c>
      <c r="M691" t="s">
        <v>41301</v>
      </c>
      <c r="N691" t="s">
        <v>44905</v>
      </c>
      <c r="O691" t="s">
        <v>44906</v>
      </c>
      <c r="P691">
        <v>0</v>
      </c>
      <c r="Q691">
        <v>1</v>
      </c>
      <c r="R691" t="s">
        <v>44907</v>
      </c>
      <c r="S691" t="s">
        <v>45026</v>
      </c>
      <c r="T691" t="s">
        <v>46497</v>
      </c>
      <c r="U691" t="s">
        <v>47528</v>
      </c>
      <c r="W691" t="s">
        <v>41301</v>
      </c>
      <c r="X691" t="s">
        <v>44908</v>
      </c>
    </row>
    <row r="692" spans="1:24">
      <c r="A692">
        <f>HYPERLINK("https://www.philgeps.gov.ph/GEPSNONPILOT/Tender/SplashBidNoticeAbstractUI.aspx?menuIndex=3&amp;refID=7082316&amp;Result=3","7082316")</f>
        <v>0</v>
      </c>
      <c r="B692" t="s">
        <v>322</v>
      </c>
      <c r="C692" t="s">
        <v>4191</v>
      </c>
      <c r="D692" t="s">
        <v>18173</v>
      </c>
      <c r="E692" t="s">
        <v>18839</v>
      </c>
      <c r="F692" t="s">
        <v>31362</v>
      </c>
      <c r="G692" t="s">
        <v>31368</v>
      </c>
      <c r="H692" t="s">
        <v>15799</v>
      </c>
      <c r="I692" t="s">
        <v>31430</v>
      </c>
      <c r="J692" t="s">
        <v>32053</v>
      </c>
      <c r="K692" t="s">
        <v>40697</v>
      </c>
      <c r="M692" t="s">
        <v>41268</v>
      </c>
      <c r="N692" t="s">
        <v>44905</v>
      </c>
      <c r="O692" t="s">
        <v>44906</v>
      </c>
      <c r="P692">
        <v>0</v>
      </c>
      <c r="Q692">
        <v>0</v>
      </c>
      <c r="R692" t="s">
        <v>44907</v>
      </c>
      <c r="S692" t="s">
        <v>45026</v>
      </c>
      <c r="T692" t="s">
        <v>46400</v>
      </c>
      <c r="U692" t="s">
        <v>47467</v>
      </c>
      <c r="W692" t="s">
        <v>41268</v>
      </c>
      <c r="X692" t="s">
        <v>44908</v>
      </c>
    </row>
    <row r="693" spans="1:24">
      <c r="A693">
        <f>HYPERLINK("https://www.philgeps.gov.ph/GEPSNONPILOT/Tender/SplashBidNoticeAbstractUI.aspx?menuIndex=3&amp;refID=7082315&amp;Result=3","7082315")</f>
        <v>0</v>
      </c>
      <c r="B693" t="s">
        <v>355</v>
      </c>
      <c r="C693" t="s">
        <v>4192</v>
      </c>
      <c r="D693" t="s">
        <v>18134</v>
      </c>
      <c r="E693" t="s">
        <v>18840</v>
      </c>
      <c r="F693" t="s">
        <v>31362</v>
      </c>
      <c r="G693" t="s">
        <v>31368</v>
      </c>
      <c r="H693" t="s">
        <v>15799</v>
      </c>
      <c r="I693" t="s">
        <v>31408</v>
      </c>
      <c r="J693" t="s">
        <v>32054</v>
      </c>
      <c r="K693" t="s">
        <v>40666</v>
      </c>
      <c r="M693" t="s">
        <v>41302</v>
      </c>
      <c r="N693" t="s">
        <v>44905</v>
      </c>
      <c r="O693" t="s">
        <v>44906</v>
      </c>
      <c r="P693">
        <v>0</v>
      </c>
      <c r="Q693">
        <v>0</v>
      </c>
      <c r="R693" t="s">
        <v>44907</v>
      </c>
      <c r="S693" t="s">
        <v>45026</v>
      </c>
      <c r="T693" t="s">
        <v>46447</v>
      </c>
      <c r="U693" t="s">
        <v>47529</v>
      </c>
      <c r="W693" t="s">
        <v>41302</v>
      </c>
      <c r="X693" t="s">
        <v>44908</v>
      </c>
    </row>
    <row r="694" spans="1:24">
      <c r="A694">
        <f>HYPERLINK("https://www.philgeps.gov.ph/GEPSNONPILOT/Tender/SplashBidNoticeAbstractUI.aspx?menuIndex=3&amp;refID=7082352&amp;Result=3","7082352")</f>
        <v>0</v>
      </c>
      <c r="B694" t="s">
        <v>322</v>
      </c>
      <c r="C694" t="s">
        <v>4193</v>
      </c>
      <c r="D694" t="s">
        <v>18173</v>
      </c>
      <c r="E694" t="s">
        <v>18841</v>
      </c>
      <c r="F694" t="s">
        <v>31362</v>
      </c>
      <c r="G694" t="s">
        <v>31368</v>
      </c>
      <c r="H694" t="s">
        <v>15799</v>
      </c>
      <c r="I694" t="s">
        <v>6373</v>
      </c>
      <c r="J694" t="s">
        <v>31531</v>
      </c>
      <c r="K694" t="s">
        <v>40697</v>
      </c>
      <c r="M694" t="s">
        <v>41268</v>
      </c>
      <c r="N694" t="s">
        <v>44905</v>
      </c>
      <c r="O694" t="s">
        <v>44906</v>
      </c>
      <c r="P694">
        <v>0</v>
      </c>
      <c r="Q694">
        <v>3</v>
      </c>
      <c r="R694" t="s">
        <v>44907</v>
      </c>
      <c r="S694" t="s">
        <v>45026</v>
      </c>
      <c r="T694" t="s">
        <v>46400</v>
      </c>
      <c r="U694" t="s">
        <v>47467</v>
      </c>
      <c r="W694" t="s">
        <v>41268</v>
      </c>
      <c r="X694" t="s">
        <v>44908</v>
      </c>
    </row>
    <row r="695" spans="1:24">
      <c r="A695">
        <f>HYPERLINK("https://www.philgeps.gov.ph/GEPSNONPILOT/Tender/SplashBidNoticeAbstractUI.aspx?menuIndex=3&amp;refID=7082351&amp;Result=3","7082351")</f>
        <v>0</v>
      </c>
      <c r="B695" t="s">
        <v>333</v>
      </c>
      <c r="C695" t="s">
        <v>4194</v>
      </c>
      <c r="D695" t="s">
        <v>18113</v>
      </c>
      <c r="E695" t="s">
        <v>18842</v>
      </c>
      <c r="F695" t="s">
        <v>31362</v>
      </c>
      <c r="G695" t="s">
        <v>31368</v>
      </c>
      <c r="H695" t="s">
        <v>15799</v>
      </c>
      <c r="I695" t="s">
        <v>6240</v>
      </c>
      <c r="J695" t="s">
        <v>32055</v>
      </c>
      <c r="K695" t="s">
        <v>40662</v>
      </c>
      <c r="M695" t="s">
        <v>41279</v>
      </c>
      <c r="N695" t="s">
        <v>44905</v>
      </c>
      <c r="O695" t="s">
        <v>44906</v>
      </c>
      <c r="P695">
        <v>0</v>
      </c>
      <c r="Q695">
        <v>0</v>
      </c>
      <c r="R695" t="s">
        <v>44907</v>
      </c>
      <c r="S695" t="s">
        <v>45026</v>
      </c>
      <c r="T695" t="s">
        <v>46411</v>
      </c>
      <c r="U695" t="s">
        <v>47530</v>
      </c>
      <c r="W695" t="s">
        <v>60847</v>
      </c>
      <c r="X695" t="s">
        <v>44908</v>
      </c>
    </row>
    <row r="696" spans="1:24">
      <c r="A696">
        <f>HYPERLINK("https://www.philgeps.gov.ph/GEPSNONPILOT/Tender/SplashBidNoticeAbstractUI.aspx?menuIndex=3&amp;refID=7082350&amp;Result=3","7082350")</f>
        <v>0</v>
      </c>
      <c r="B696" t="s">
        <v>356</v>
      </c>
      <c r="C696" t="s">
        <v>4195</v>
      </c>
      <c r="D696" t="s">
        <v>18107</v>
      </c>
      <c r="E696" t="s">
        <v>18843</v>
      </c>
      <c r="F696" t="s">
        <v>31362</v>
      </c>
      <c r="G696" t="s">
        <v>31368</v>
      </c>
      <c r="H696" t="s">
        <v>15799</v>
      </c>
      <c r="I696" t="s">
        <v>31410</v>
      </c>
      <c r="J696" t="s">
        <v>32056</v>
      </c>
      <c r="K696" t="s">
        <v>40665</v>
      </c>
      <c r="M696" t="s">
        <v>41303</v>
      </c>
      <c r="N696" t="s">
        <v>44905</v>
      </c>
      <c r="O696" t="s">
        <v>44906</v>
      </c>
      <c r="P696">
        <v>0</v>
      </c>
      <c r="Q696">
        <v>1</v>
      </c>
      <c r="R696" t="s">
        <v>44907</v>
      </c>
      <c r="S696" t="s">
        <v>45026</v>
      </c>
      <c r="T696" t="s">
        <v>46454</v>
      </c>
      <c r="U696" t="s">
        <v>47531</v>
      </c>
      <c r="W696" t="s">
        <v>41303</v>
      </c>
      <c r="X696" t="s">
        <v>44908</v>
      </c>
    </row>
    <row r="697" spans="1:24">
      <c r="A697">
        <f>HYPERLINK("https://www.philgeps.gov.ph/GEPSNONPILOT/Tender/SplashBidNoticeAbstractUI.aspx?menuIndex=3&amp;refID=7082349&amp;Result=3","7082349")</f>
        <v>0</v>
      </c>
      <c r="B697" t="s">
        <v>357</v>
      </c>
      <c r="C697" t="s">
        <v>4196</v>
      </c>
      <c r="D697" t="s">
        <v>18158</v>
      </c>
      <c r="E697" t="s">
        <v>18844</v>
      </c>
      <c r="F697" t="s">
        <v>31362</v>
      </c>
      <c r="G697" t="s">
        <v>31370</v>
      </c>
      <c r="H697" t="s">
        <v>15799</v>
      </c>
      <c r="I697" t="s">
        <v>31387</v>
      </c>
      <c r="J697" t="s">
        <v>32057</v>
      </c>
      <c r="K697" t="s">
        <v>40677</v>
      </c>
      <c r="M697" t="s">
        <v>41304</v>
      </c>
      <c r="N697" t="s">
        <v>44905</v>
      </c>
      <c r="O697" t="s">
        <v>44906</v>
      </c>
      <c r="P697">
        <v>0</v>
      </c>
      <c r="Q697">
        <v>0</v>
      </c>
      <c r="R697" t="s">
        <v>44907</v>
      </c>
      <c r="S697" t="s">
        <v>45026</v>
      </c>
      <c r="T697" t="s">
        <v>46520</v>
      </c>
      <c r="U697" t="s">
        <v>47532</v>
      </c>
      <c r="W697" t="s">
        <v>41304</v>
      </c>
      <c r="X697" t="s">
        <v>44908</v>
      </c>
    </row>
    <row r="698" spans="1:24">
      <c r="A698">
        <f>HYPERLINK("https://www.philgeps.gov.ph/GEPSNONPILOT/Tender/SplashBidNoticeAbstractUI.aspx?menuIndex=3&amp;refID=7082333&amp;Result=3","7082333")</f>
        <v>0</v>
      </c>
      <c r="B698" t="s">
        <v>358</v>
      </c>
      <c r="C698" t="s">
        <v>4197</v>
      </c>
      <c r="D698" t="s">
        <v>18109</v>
      </c>
      <c r="E698" t="s">
        <v>18648</v>
      </c>
      <c r="F698" t="s">
        <v>31362</v>
      </c>
      <c r="G698" t="s">
        <v>31368</v>
      </c>
      <c r="H698" t="s">
        <v>15799</v>
      </c>
      <c r="I698" t="s">
        <v>4942</v>
      </c>
      <c r="J698" t="s">
        <v>32058</v>
      </c>
      <c r="K698" t="s">
        <v>40661</v>
      </c>
      <c r="M698" t="s">
        <v>41305</v>
      </c>
      <c r="N698" t="s">
        <v>44905</v>
      </c>
      <c r="O698" t="s">
        <v>44906</v>
      </c>
      <c r="P698">
        <v>0</v>
      </c>
      <c r="Q698">
        <v>1</v>
      </c>
      <c r="R698" t="s">
        <v>44907</v>
      </c>
      <c r="S698" t="s">
        <v>45026</v>
      </c>
      <c r="T698" t="s">
        <v>46411</v>
      </c>
      <c r="U698" t="s">
        <v>47533</v>
      </c>
      <c r="W698" t="s">
        <v>41305</v>
      </c>
      <c r="X698" t="s">
        <v>44908</v>
      </c>
    </row>
    <row r="699" spans="1:24">
      <c r="A699">
        <f>HYPERLINK("https://www.philgeps.gov.ph/GEPSNONPILOT/Tender/SplashBidNoticeAbstractUI.aspx?menuIndex=3&amp;refID=7082348&amp;Result=3","7082348")</f>
        <v>0</v>
      </c>
      <c r="B699" t="s">
        <v>344</v>
      </c>
      <c r="C699" t="s">
        <v>4198</v>
      </c>
      <c r="D699" t="s">
        <v>18148</v>
      </c>
      <c r="E699" t="s">
        <v>18845</v>
      </c>
      <c r="F699" t="s">
        <v>31362</v>
      </c>
      <c r="G699" t="s">
        <v>31369</v>
      </c>
      <c r="H699" t="s">
        <v>15799</v>
      </c>
      <c r="I699" t="s">
        <v>31380</v>
      </c>
      <c r="J699" t="s">
        <v>31531</v>
      </c>
      <c r="K699" t="s">
        <v>40665</v>
      </c>
      <c r="M699" t="s">
        <v>41290</v>
      </c>
      <c r="N699" t="s">
        <v>44905</v>
      </c>
      <c r="O699" t="s">
        <v>44906</v>
      </c>
      <c r="P699">
        <v>0</v>
      </c>
      <c r="Q699">
        <v>1</v>
      </c>
      <c r="R699" t="s">
        <v>44907</v>
      </c>
      <c r="S699" t="s">
        <v>45026</v>
      </c>
      <c r="T699" t="s">
        <v>46396</v>
      </c>
      <c r="U699" t="s">
        <v>47512</v>
      </c>
      <c r="W699" t="s">
        <v>41290</v>
      </c>
      <c r="X699" t="s">
        <v>44908</v>
      </c>
    </row>
    <row r="700" spans="1:24">
      <c r="A700">
        <f>HYPERLINK("https://www.philgeps.gov.ph/GEPSNONPILOT/Tender/SplashBidNoticeAbstractUI.aspx?menuIndex=3&amp;refID=7082354&amp;Result=3","7082354")</f>
        <v>0</v>
      </c>
      <c r="B700" t="s">
        <v>359</v>
      </c>
      <c r="C700" t="s">
        <v>4199</v>
      </c>
      <c r="D700" t="s">
        <v>18123</v>
      </c>
      <c r="E700" t="s">
        <v>18846</v>
      </c>
      <c r="F700" t="s">
        <v>31362</v>
      </c>
      <c r="G700" t="s">
        <v>31368</v>
      </c>
      <c r="H700" t="s">
        <v>15799</v>
      </c>
      <c r="I700" t="s">
        <v>31430</v>
      </c>
      <c r="J700" t="s">
        <v>32059</v>
      </c>
      <c r="K700" t="s">
        <v>40661</v>
      </c>
      <c r="M700" t="s">
        <v>41306</v>
      </c>
      <c r="N700" t="s">
        <v>44905</v>
      </c>
      <c r="O700" t="s">
        <v>44906</v>
      </c>
      <c r="P700">
        <v>0</v>
      </c>
      <c r="Q700">
        <v>0</v>
      </c>
      <c r="R700" t="s">
        <v>44907</v>
      </c>
      <c r="S700" t="s">
        <v>45026</v>
      </c>
      <c r="T700" t="s">
        <v>46432</v>
      </c>
      <c r="U700" t="s">
        <v>47534</v>
      </c>
      <c r="W700" t="s">
        <v>60848</v>
      </c>
      <c r="X700" t="s">
        <v>44908</v>
      </c>
    </row>
    <row r="701" spans="1:24">
      <c r="A701">
        <f>HYPERLINK("https://www.philgeps.gov.ph/GEPSNONPILOT/Tender/SplashBidNoticeAbstractUI.aspx?menuIndex=3&amp;refID=7082345&amp;Result=3","7082345")</f>
        <v>0</v>
      </c>
      <c r="B701" t="s">
        <v>360</v>
      </c>
      <c r="C701" t="s">
        <v>4200</v>
      </c>
      <c r="D701" t="s">
        <v>18161</v>
      </c>
      <c r="E701" t="s">
        <v>18847</v>
      </c>
      <c r="F701" t="s">
        <v>31362</v>
      </c>
      <c r="G701" t="s">
        <v>31368</v>
      </c>
      <c r="H701" t="s">
        <v>15799</v>
      </c>
      <c r="I701" t="s">
        <v>31396</v>
      </c>
      <c r="J701" t="s">
        <v>32060</v>
      </c>
      <c r="K701" t="s">
        <v>40662</v>
      </c>
      <c r="M701" t="s">
        <v>41307</v>
      </c>
      <c r="N701" t="s">
        <v>44905</v>
      </c>
      <c r="O701" t="s">
        <v>44906</v>
      </c>
      <c r="P701">
        <v>0</v>
      </c>
      <c r="Q701">
        <v>2</v>
      </c>
      <c r="R701" t="s">
        <v>44907</v>
      </c>
      <c r="S701" t="s">
        <v>45026</v>
      </c>
      <c r="T701" t="s">
        <v>46394</v>
      </c>
      <c r="U701" t="s">
        <v>47535</v>
      </c>
      <c r="W701" t="s">
        <v>41307</v>
      </c>
      <c r="X701" t="s">
        <v>44908</v>
      </c>
    </row>
    <row r="702" spans="1:24">
      <c r="A702">
        <f>HYPERLINK("https://www.philgeps.gov.ph/GEPSNONPILOT/Tender/SplashBidNoticeAbstractUI.aspx?menuIndex=3&amp;refID=7082344&amp;Result=3","7082344")</f>
        <v>0</v>
      </c>
      <c r="B702" t="s">
        <v>273</v>
      </c>
      <c r="C702" t="s">
        <v>4201</v>
      </c>
      <c r="D702" t="s">
        <v>18108</v>
      </c>
      <c r="E702" t="s">
        <v>18848</v>
      </c>
      <c r="F702" t="s">
        <v>31362</v>
      </c>
      <c r="G702" t="s">
        <v>31370</v>
      </c>
      <c r="H702" t="s">
        <v>15799</v>
      </c>
      <c r="I702" t="s">
        <v>7719</v>
      </c>
      <c r="J702" t="s">
        <v>31536</v>
      </c>
      <c r="K702" t="s">
        <v>40666</v>
      </c>
      <c r="M702" t="s">
        <v>41215</v>
      </c>
      <c r="N702" t="s">
        <v>44905</v>
      </c>
      <c r="O702" t="s">
        <v>44906</v>
      </c>
      <c r="P702">
        <v>0</v>
      </c>
      <c r="Q702">
        <v>3</v>
      </c>
      <c r="R702" t="s">
        <v>44907</v>
      </c>
      <c r="S702" t="s">
        <v>45026</v>
      </c>
      <c r="T702" t="s">
        <v>46410</v>
      </c>
      <c r="U702" t="s">
        <v>47536</v>
      </c>
      <c r="V702" t="s">
        <v>59142</v>
      </c>
      <c r="W702" t="s">
        <v>60844</v>
      </c>
      <c r="X702" t="s">
        <v>44908</v>
      </c>
    </row>
    <row r="703" spans="1:24">
      <c r="A703">
        <f>HYPERLINK("https://www.philgeps.gov.ph/GEPSNONPILOT/Tender/SplashBidNoticeAbstractUI.aspx?menuIndex=3&amp;refID=7082380&amp;Result=3","7082380")</f>
        <v>0</v>
      </c>
      <c r="B703" t="s">
        <v>361</v>
      </c>
      <c r="C703" t="s">
        <v>4202</v>
      </c>
      <c r="E703" t="s">
        <v>18849</v>
      </c>
      <c r="F703" t="s">
        <v>31362</v>
      </c>
      <c r="G703" t="s">
        <v>31368</v>
      </c>
      <c r="H703" t="s">
        <v>15799</v>
      </c>
      <c r="I703" t="s">
        <v>31397</v>
      </c>
      <c r="J703" t="s">
        <v>32061</v>
      </c>
      <c r="K703" t="s">
        <v>40666</v>
      </c>
      <c r="M703" t="s">
        <v>41308</v>
      </c>
      <c r="N703" t="s">
        <v>44905</v>
      </c>
      <c r="O703" t="s">
        <v>44906</v>
      </c>
      <c r="P703">
        <v>0</v>
      </c>
      <c r="Q703">
        <v>1</v>
      </c>
      <c r="R703" t="s">
        <v>44907</v>
      </c>
      <c r="S703" t="s">
        <v>45026</v>
      </c>
      <c r="T703" t="s">
        <v>46412</v>
      </c>
      <c r="U703" t="s">
        <v>47537</v>
      </c>
      <c r="V703" t="s">
        <v>59143</v>
      </c>
      <c r="W703" t="s">
        <v>41308</v>
      </c>
      <c r="X703" t="s">
        <v>44908</v>
      </c>
    </row>
    <row r="704" spans="1:24">
      <c r="A704">
        <f>HYPERLINK("https://www.philgeps.gov.ph/GEPSNONPILOT/Tender/SplashBidNoticeAbstractUI.aspx?menuIndex=3&amp;refID=7082377&amp;Result=3","7082377")</f>
        <v>0</v>
      </c>
      <c r="B704" t="s">
        <v>250</v>
      </c>
      <c r="C704" t="s">
        <v>4203</v>
      </c>
      <c r="D704" t="s">
        <v>18152</v>
      </c>
      <c r="E704" t="s">
        <v>18850</v>
      </c>
      <c r="F704" t="s">
        <v>31362</v>
      </c>
      <c r="G704" t="s">
        <v>31368</v>
      </c>
      <c r="H704" t="s">
        <v>15799</v>
      </c>
      <c r="I704" t="s">
        <v>31427</v>
      </c>
      <c r="J704" t="s">
        <v>32062</v>
      </c>
      <c r="K704" t="s">
        <v>40666</v>
      </c>
      <c r="M704" t="s">
        <v>41189</v>
      </c>
      <c r="N704" t="s">
        <v>44905</v>
      </c>
      <c r="O704" t="s">
        <v>44906</v>
      </c>
      <c r="P704">
        <v>0</v>
      </c>
      <c r="Q704">
        <v>0</v>
      </c>
      <c r="R704" t="s">
        <v>44907</v>
      </c>
      <c r="S704" t="s">
        <v>45026</v>
      </c>
      <c r="T704" t="s">
        <v>46432</v>
      </c>
      <c r="U704" t="s">
        <v>47538</v>
      </c>
      <c r="W704" t="s">
        <v>41189</v>
      </c>
      <c r="X704" t="s">
        <v>44908</v>
      </c>
    </row>
    <row r="705" spans="1:24">
      <c r="A705">
        <f>HYPERLINK("https://www.philgeps.gov.ph/GEPSNONPILOT/Tender/SplashBidNoticeAbstractUI.aspx?menuIndex=3&amp;refID=7082376&amp;Result=3","7082376")</f>
        <v>0</v>
      </c>
      <c r="B705" t="s">
        <v>335</v>
      </c>
      <c r="C705" t="s">
        <v>4204</v>
      </c>
      <c r="D705" t="s">
        <v>18108</v>
      </c>
      <c r="E705" t="s">
        <v>18851</v>
      </c>
      <c r="F705" t="s">
        <v>31362</v>
      </c>
      <c r="G705" t="s">
        <v>31368</v>
      </c>
      <c r="H705" t="s">
        <v>15799</v>
      </c>
      <c r="I705" t="s">
        <v>31421</v>
      </c>
      <c r="J705" t="s">
        <v>32063</v>
      </c>
      <c r="K705" t="s">
        <v>40661</v>
      </c>
      <c r="M705" t="s">
        <v>41281</v>
      </c>
      <c r="N705" t="s">
        <v>44905</v>
      </c>
      <c r="O705" t="s">
        <v>44906</v>
      </c>
      <c r="P705">
        <v>0</v>
      </c>
      <c r="Q705">
        <v>0</v>
      </c>
      <c r="R705" t="s">
        <v>44907</v>
      </c>
      <c r="S705" t="s">
        <v>45026</v>
      </c>
      <c r="T705" t="s">
        <v>46447</v>
      </c>
      <c r="U705" t="s">
        <v>47539</v>
      </c>
      <c r="W705" t="s">
        <v>41281</v>
      </c>
      <c r="X705" t="s">
        <v>44908</v>
      </c>
    </row>
    <row r="706" spans="1:24">
      <c r="A706">
        <f>HYPERLINK("https://www.philgeps.gov.ph/GEPSNONPILOT/Tender/SplashBidNoticeAbstractUI.aspx?menuIndex=3&amp;refID=7082375&amp;Result=3","7082375")</f>
        <v>0</v>
      </c>
      <c r="B706" t="s">
        <v>94</v>
      </c>
      <c r="C706" t="s">
        <v>4205</v>
      </c>
      <c r="D706" t="s">
        <v>18116</v>
      </c>
      <c r="E706" t="s">
        <v>18852</v>
      </c>
      <c r="F706" t="s">
        <v>31362</v>
      </c>
      <c r="G706" t="s">
        <v>31368</v>
      </c>
      <c r="H706" t="s">
        <v>15799</v>
      </c>
      <c r="I706" t="s">
        <v>31388</v>
      </c>
      <c r="J706" t="s">
        <v>32064</v>
      </c>
      <c r="K706" t="s">
        <v>40682</v>
      </c>
      <c r="M706" t="s">
        <v>41031</v>
      </c>
      <c r="N706" t="s">
        <v>44905</v>
      </c>
      <c r="O706" t="s">
        <v>44906</v>
      </c>
      <c r="P706">
        <v>0</v>
      </c>
      <c r="Q706">
        <v>1</v>
      </c>
      <c r="R706" t="s">
        <v>44907</v>
      </c>
      <c r="S706" t="s">
        <v>45026</v>
      </c>
      <c r="T706" t="s">
        <v>46454</v>
      </c>
      <c r="U706" t="s">
        <v>47540</v>
      </c>
      <c r="W706" t="s">
        <v>41031</v>
      </c>
      <c r="X706" t="s">
        <v>44908</v>
      </c>
    </row>
    <row r="707" spans="1:24">
      <c r="A707">
        <f>HYPERLINK("https://www.philgeps.gov.ph/GEPSNONPILOT/Tender/SplashBidNoticeAbstractUI.aspx?menuIndex=3&amp;refID=7082374&amp;Result=3","7082374")</f>
        <v>0</v>
      </c>
      <c r="B707" t="s">
        <v>259</v>
      </c>
      <c r="C707" t="s">
        <v>4206</v>
      </c>
      <c r="D707" t="s">
        <v>18100</v>
      </c>
      <c r="E707" t="s">
        <v>18853</v>
      </c>
      <c r="F707" t="s">
        <v>31362</v>
      </c>
      <c r="G707" t="s">
        <v>31368</v>
      </c>
      <c r="H707" t="s">
        <v>15799</v>
      </c>
      <c r="I707" t="s">
        <v>13635</v>
      </c>
      <c r="J707" t="s">
        <v>32065</v>
      </c>
      <c r="K707" t="s">
        <v>40693</v>
      </c>
      <c r="M707" t="s">
        <v>41200</v>
      </c>
      <c r="N707" t="s">
        <v>44905</v>
      </c>
      <c r="O707" t="s">
        <v>44906</v>
      </c>
      <c r="P707">
        <v>0</v>
      </c>
      <c r="Q707">
        <v>0</v>
      </c>
      <c r="R707" t="s">
        <v>44907</v>
      </c>
      <c r="S707" t="s">
        <v>45026</v>
      </c>
      <c r="T707" t="s">
        <v>46426</v>
      </c>
      <c r="U707" t="s">
        <v>47541</v>
      </c>
      <c r="W707" t="s">
        <v>41200</v>
      </c>
      <c r="X707" t="s">
        <v>44908</v>
      </c>
    </row>
    <row r="708" spans="1:24">
      <c r="A708">
        <f>HYPERLINK("https://www.philgeps.gov.ph/GEPSNONPILOT/Tender/SplashBidNoticeAbstractUI.aspx?menuIndex=3&amp;refID=7082373&amp;Result=3","7082373")</f>
        <v>0</v>
      </c>
      <c r="B708" t="s">
        <v>298</v>
      </c>
      <c r="C708" t="s">
        <v>4207</v>
      </c>
      <c r="D708" t="s">
        <v>18168</v>
      </c>
      <c r="E708" t="s">
        <v>18854</v>
      </c>
      <c r="F708" t="s">
        <v>31362</v>
      </c>
      <c r="G708" t="s">
        <v>31368</v>
      </c>
      <c r="H708" t="s">
        <v>15799</v>
      </c>
      <c r="I708" t="s">
        <v>3815</v>
      </c>
      <c r="J708" t="s">
        <v>31530</v>
      </c>
      <c r="K708" t="s">
        <v>40662</v>
      </c>
      <c r="M708" t="s">
        <v>41241</v>
      </c>
      <c r="N708" t="s">
        <v>44905</v>
      </c>
      <c r="O708" t="s">
        <v>44906</v>
      </c>
      <c r="P708">
        <v>0</v>
      </c>
      <c r="Q708">
        <v>0</v>
      </c>
      <c r="R708" t="s">
        <v>44907</v>
      </c>
      <c r="S708" t="s">
        <v>45026</v>
      </c>
      <c r="T708" t="s">
        <v>46506</v>
      </c>
      <c r="U708" t="s">
        <v>47542</v>
      </c>
      <c r="W708" t="s">
        <v>41241</v>
      </c>
      <c r="X708" t="s">
        <v>44908</v>
      </c>
    </row>
    <row r="709" spans="1:24">
      <c r="A709">
        <f>HYPERLINK("https://www.philgeps.gov.ph/GEPSNONPILOT/Tender/SplashBidNoticeAbstractUI.aspx?menuIndex=3&amp;refID=7082378&amp;Result=3","7082378")</f>
        <v>0</v>
      </c>
      <c r="B709" t="s">
        <v>362</v>
      </c>
      <c r="C709" t="s">
        <v>4208</v>
      </c>
      <c r="D709" t="s">
        <v>18103</v>
      </c>
      <c r="E709" t="s">
        <v>18855</v>
      </c>
      <c r="F709" t="s">
        <v>31362</v>
      </c>
      <c r="G709" t="s">
        <v>31368</v>
      </c>
      <c r="H709" t="s">
        <v>15799</v>
      </c>
      <c r="I709" t="s">
        <v>31430</v>
      </c>
      <c r="J709" t="s">
        <v>32066</v>
      </c>
      <c r="K709" t="s">
        <v>40677</v>
      </c>
      <c r="M709" t="s">
        <v>41309</v>
      </c>
      <c r="N709" t="s">
        <v>44905</v>
      </c>
      <c r="O709" t="s">
        <v>44906</v>
      </c>
      <c r="P709">
        <v>0</v>
      </c>
      <c r="Q709">
        <v>2</v>
      </c>
      <c r="R709" t="s">
        <v>44907</v>
      </c>
      <c r="S709" t="s">
        <v>45026</v>
      </c>
      <c r="T709" t="s">
        <v>46409</v>
      </c>
      <c r="U709" t="s">
        <v>47543</v>
      </c>
      <c r="V709" t="s">
        <v>59144</v>
      </c>
      <c r="W709" t="s">
        <v>60849</v>
      </c>
      <c r="X709" t="s">
        <v>44908</v>
      </c>
    </row>
    <row r="710" spans="1:24">
      <c r="A710">
        <f>HYPERLINK("https://www.philgeps.gov.ph/GEPSNONPILOT/Tender/SplashBidNoticeAbstractUI.aspx?menuIndex=3&amp;refID=7082371&amp;Result=3","7082371")</f>
        <v>0</v>
      </c>
      <c r="B710" t="s">
        <v>91</v>
      </c>
      <c r="C710" t="s">
        <v>4209</v>
      </c>
      <c r="D710" t="s">
        <v>18136</v>
      </c>
      <c r="E710" t="s">
        <v>18856</v>
      </c>
      <c r="F710" t="s">
        <v>31362</v>
      </c>
      <c r="G710" t="s">
        <v>31370</v>
      </c>
      <c r="H710" t="s">
        <v>15799</v>
      </c>
      <c r="I710" t="s">
        <v>31404</v>
      </c>
      <c r="J710" t="s">
        <v>32067</v>
      </c>
      <c r="K710" t="s">
        <v>40661</v>
      </c>
      <c r="M710" t="s">
        <v>41028</v>
      </c>
      <c r="N710" t="s">
        <v>44905</v>
      </c>
      <c r="O710" t="s">
        <v>44906</v>
      </c>
      <c r="P710">
        <v>0</v>
      </c>
      <c r="Q710">
        <v>0</v>
      </c>
      <c r="R710" t="s">
        <v>44907</v>
      </c>
      <c r="S710" t="s">
        <v>45026</v>
      </c>
      <c r="T710" t="s">
        <v>46411</v>
      </c>
      <c r="U710" t="s">
        <v>47544</v>
      </c>
      <c r="W710" t="s">
        <v>41028</v>
      </c>
      <c r="X710" t="s">
        <v>44908</v>
      </c>
    </row>
    <row r="711" spans="1:24">
      <c r="A711">
        <f>HYPERLINK("https://www.philgeps.gov.ph/GEPSNONPILOT/Tender/SplashBidNoticeAbstractUI.aspx?menuIndex=3&amp;refID=7082370&amp;Result=3","7082370")</f>
        <v>0</v>
      </c>
      <c r="B711" t="s">
        <v>237</v>
      </c>
      <c r="C711" t="s">
        <v>4210</v>
      </c>
      <c r="D711" t="s">
        <v>18108</v>
      </c>
      <c r="E711" t="s">
        <v>18857</v>
      </c>
      <c r="F711" t="s">
        <v>31362</v>
      </c>
      <c r="G711" t="s">
        <v>31370</v>
      </c>
      <c r="H711" t="s">
        <v>15799</v>
      </c>
      <c r="I711" t="s">
        <v>31449</v>
      </c>
      <c r="J711" t="s">
        <v>32068</v>
      </c>
      <c r="K711" t="s">
        <v>40670</v>
      </c>
      <c r="M711" t="s">
        <v>41176</v>
      </c>
      <c r="N711" t="s">
        <v>44905</v>
      </c>
      <c r="O711" t="s">
        <v>44906</v>
      </c>
      <c r="P711">
        <v>0</v>
      </c>
      <c r="Q711">
        <v>0</v>
      </c>
      <c r="R711" t="s">
        <v>44907</v>
      </c>
      <c r="S711" t="s">
        <v>45026</v>
      </c>
      <c r="T711" t="s">
        <v>46494</v>
      </c>
      <c r="U711" t="s">
        <v>47545</v>
      </c>
      <c r="V711" t="s">
        <v>59113</v>
      </c>
      <c r="W711" t="s">
        <v>41176</v>
      </c>
      <c r="X711" t="s">
        <v>44908</v>
      </c>
    </row>
    <row r="712" spans="1:24">
      <c r="A712">
        <f>HYPERLINK("https://www.philgeps.gov.ph/GEPSNONPILOT/Tender/SplashBidNoticeAbstractUI.aspx?menuIndex=3&amp;refID=7082325&amp;Result=3","7082325")</f>
        <v>0</v>
      </c>
      <c r="B712" t="s">
        <v>155</v>
      </c>
      <c r="C712" t="s">
        <v>4211</v>
      </c>
      <c r="D712" t="s">
        <v>18108</v>
      </c>
      <c r="E712" t="s">
        <v>18858</v>
      </c>
      <c r="F712" t="s">
        <v>31362</v>
      </c>
      <c r="G712" t="s">
        <v>31368</v>
      </c>
      <c r="H712" t="s">
        <v>15799</v>
      </c>
      <c r="I712" t="s">
        <v>7719</v>
      </c>
      <c r="J712" t="s">
        <v>31686</v>
      </c>
      <c r="K712" t="s">
        <v>40662</v>
      </c>
      <c r="M712" t="s">
        <v>41093</v>
      </c>
      <c r="N712" t="s">
        <v>44905</v>
      </c>
      <c r="O712" t="s">
        <v>44906</v>
      </c>
      <c r="P712">
        <v>0</v>
      </c>
      <c r="Q712">
        <v>9</v>
      </c>
      <c r="R712" t="s">
        <v>44907</v>
      </c>
      <c r="S712" t="s">
        <v>45026</v>
      </c>
      <c r="T712" t="s">
        <v>46473</v>
      </c>
      <c r="U712" t="s">
        <v>47546</v>
      </c>
      <c r="W712" t="s">
        <v>41093</v>
      </c>
      <c r="X712" t="s">
        <v>44908</v>
      </c>
    </row>
    <row r="713" spans="1:24">
      <c r="A713">
        <f>HYPERLINK("https://www.philgeps.gov.ph/GEPSNONPILOT/Tender/SplashBidNoticeAbstractUI.aspx?menuIndex=3&amp;refID=7082369&amp;Result=3","7082369")</f>
        <v>0</v>
      </c>
      <c r="B713" t="s">
        <v>363</v>
      </c>
      <c r="C713" t="s">
        <v>4212</v>
      </c>
      <c r="D713" t="s">
        <v>18136</v>
      </c>
      <c r="E713" t="s">
        <v>18859</v>
      </c>
      <c r="F713" t="s">
        <v>31362</v>
      </c>
      <c r="G713" t="s">
        <v>31369</v>
      </c>
      <c r="H713" t="s">
        <v>31378</v>
      </c>
      <c r="I713" t="s">
        <v>31386</v>
      </c>
      <c r="J713" t="s">
        <v>31625</v>
      </c>
      <c r="K713" t="s">
        <v>40709</v>
      </c>
      <c r="M713" t="s">
        <v>41310</v>
      </c>
      <c r="N713" t="s">
        <v>44905</v>
      </c>
      <c r="O713" t="s">
        <v>44906</v>
      </c>
      <c r="P713">
        <v>0</v>
      </c>
      <c r="Q713">
        <v>0</v>
      </c>
      <c r="R713" t="s">
        <v>44907</v>
      </c>
      <c r="S713" t="s">
        <v>45026</v>
      </c>
      <c r="T713" t="s">
        <v>46521</v>
      </c>
      <c r="U713" t="s">
        <v>47547</v>
      </c>
      <c r="W713" t="s">
        <v>41310</v>
      </c>
      <c r="X713" t="s">
        <v>44908</v>
      </c>
    </row>
    <row r="714" spans="1:24">
      <c r="A714">
        <f>HYPERLINK("https://www.philgeps.gov.ph/GEPSNONPILOT/Tender/SplashBidNoticeAbstractUI.aspx?menuIndex=3&amp;refID=7082368&amp;Result=3","7082368")</f>
        <v>0</v>
      </c>
      <c r="B714" t="s">
        <v>364</v>
      </c>
      <c r="C714" t="s">
        <v>4213</v>
      </c>
      <c r="D714" t="s">
        <v>18138</v>
      </c>
      <c r="E714" t="s">
        <v>18860</v>
      </c>
      <c r="F714" t="s">
        <v>31362</v>
      </c>
      <c r="G714" t="s">
        <v>31368</v>
      </c>
      <c r="H714" t="s">
        <v>15799</v>
      </c>
      <c r="I714" t="s">
        <v>31400</v>
      </c>
      <c r="J714" t="s">
        <v>32069</v>
      </c>
      <c r="K714" t="s">
        <v>40662</v>
      </c>
      <c r="M714" t="s">
        <v>41311</v>
      </c>
      <c r="N714" t="s">
        <v>44905</v>
      </c>
      <c r="O714" t="s">
        <v>44906</v>
      </c>
      <c r="P714">
        <v>0</v>
      </c>
      <c r="Q714">
        <v>2</v>
      </c>
      <c r="R714" t="s">
        <v>44907</v>
      </c>
      <c r="S714" t="s">
        <v>45026</v>
      </c>
      <c r="T714" t="s">
        <v>46409</v>
      </c>
      <c r="U714" t="s">
        <v>47548</v>
      </c>
      <c r="W714" t="s">
        <v>41311</v>
      </c>
      <c r="X714" t="s">
        <v>44908</v>
      </c>
    </row>
    <row r="715" spans="1:24">
      <c r="A715">
        <f>HYPERLINK("https://www.philgeps.gov.ph/GEPSNONPILOT/Tender/SplashBidNoticeAbstractUI.aspx?menuIndex=3&amp;refID=7082384&amp;Result=3","7082384")</f>
        <v>0</v>
      </c>
      <c r="B715" t="s">
        <v>246</v>
      </c>
      <c r="C715" t="s">
        <v>4214</v>
      </c>
      <c r="D715" t="s">
        <v>18104</v>
      </c>
      <c r="E715" t="s">
        <v>18861</v>
      </c>
      <c r="F715" t="s">
        <v>31362</v>
      </c>
      <c r="G715" t="s">
        <v>31368</v>
      </c>
      <c r="H715" t="s">
        <v>15799</v>
      </c>
      <c r="I715" t="s">
        <v>31387</v>
      </c>
      <c r="J715" t="s">
        <v>32070</v>
      </c>
      <c r="K715" t="s">
        <v>40666</v>
      </c>
      <c r="M715" t="s">
        <v>41185</v>
      </c>
      <c r="N715" t="s">
        <v>44905</v>
      </c>
      <c r="O715" t="s">
        <v>44906</v>
      </c>
      <c r="P715">
        <v>0</v>
      </c>
      <c r="Q715">
        <v>0</v>
      </c>
      <c r="R715" t="s">
        <v>44907</v>
      </c>
      <c r="S715" t="s">
        <v>45026</v>
      </c>
      <c r="T715" t="s">
        <v>46411</v>
      </c>
      <c r="U715" t="s">
        <v>47549</v>
      </c>
      <c r="W715" t="s">
        <v>60841</v>
      </c>
      <c r="X715" t="s">
        <v>44908</v>
      </c>
    </row>
    <row r="716" spans="1:24">
      <c r="A716">
        <f>HYPERLINK("https://www.philgeps.gov.ph/GEPSNONPILOT/Tender/SplashBidNoticeAbstractUI.aspx?menuIndex=3&amp;refID=7082346&amp;Result=3","7082346")</f>
        <v>0</v>
      </c>
      <c r="B716" t="s">
        <v>365</v>
      </c>
      <c r="C716" t="s">
        <v>4215</v>
      </c>
      <c r="D716" t="s">
        <v>18126</v>
      </c>
      <c r="E716" t="s">
        <v>18862</v>
      </c>
      <c r="F716" t="s">
        <v>31362</v>
      </c>
      <c r="G716" t="s">
        <v>31369</v>
      </c>
      <c r="H716" t="s">
        <v>15799</v>
      </c>
      <c r="I716" t="s">
        <v>31409</v>
      </c>
      <c r="J716" t="s">
        <v>31679</v>
      </c>
      <c r="K716" t="s">
        <v>40665</v>
      </c>
      <c r="M716" t="s">
        <v>41312</v>
      </c>
      <c r="N716" t="s">
        <v>44905</v>
      </c>
      <c r="O716" t="s">
        <v>44906</v>
      </c>
      <c r="P716">
        <v>0</v>
      </c>
      <c r="Q716">
        <v>4</v>
      </c>
      <c r="R716" t="s">
        <v>44907</v>
      </c>
      <c r="S716" t="s">
        <v>45026</v>
      </c>
      <c r="T716" t="s">
        <v>46431</v>
      </c>
      <c r="U716" t="s">
        <v>47550</v>
      </c>
      <c r="V716" t="s">
        <v>59145</v>
      </c>
      <c r="W716" t="s">
        <v>41312</v>
      </c>
      <c r="X716" t="s">
        <v>44908</v>
      </c>
    </row>
    <row r="717" spans="1:24">
      <c r="A717">
        <f>HYPERLINK("https://www.philgeps.gov.ph/GEPSNONPILOT/Tender/SplashBidNoticeAbstractUI.aspx?menuIndex=3&amp;refID=7082366&amp;Result=3","7082366")</f>
        <v>0</v>
      </c>
      <c r="B717" t="s">
        <v>322</v>
      </c>
      <c r="C717" t="s">
        <v>4216</v>
      </c>
      <c r="D717" t="s">
        <v>18173</v>
      </c>
      <c r="E717" t="s">
        <v>18863</v>
      </c>
      <c r="F717" t="s">
        <v>31362</v>
      </c>
      <c r="G717" t="s">
        <v>31368</v>
      </c>
      <c r="H717" t="s">
        <v>15799</v>
      </c>
      <c r="I717" t="s">
        <v>31380</v>
      </c>
      <c r="J717" t="s">
        <v>31708</v>
      </c>
      <c r="K717" t="s">
        <v>40697</v>
      </c>
      <c r="M717" t="s">
        <v>41268</v>
      </c>
      <c r="N717" t="s">
        <v>44905</v>
      </c>
      <c r="O717" t="s">
        <v>44906</v>
      </c>
      <c r="P717">
        <v>0</v>
      </c>
      <c r="Q717">
        <v>3</v>
      </c>
      <c r="R717" t="s">
        <v>44907</v>
      </c>
      <c r="S717" t="s">
        <v>45026</v>
      </c>
      <c r="T717" t="s">
        <v>46400</v>
      </c>
      <c r="U717" t="s">
        <v>47467</v>
      </c>
      <c r="W717" t="s">
        <v>41268</v>
      </c>
      <c r="X717" t="s">
        <v>44908</v>
      </c>
    </row>
    <row r="718" spans="1:24">
      <c r="A718">
        <f>HYPERLINK("https://www.philgeps.gov.ph/GEPSNONPILOT/Tender/SplashBidNoticeAbstractUI.aspx?menuIndex=3&amp;refID=7082357&amp;Result=3","7082357")</f>
        <v>0</v>
      </c>
      <c r="B718" t="s">
        <v>366</v>
      </c>
      <c r="C718" t="s">
        <v>4217</v>
      </c>
      <c r="D718" t="s">
        <v>18100</v>
      </c>
      <c r="E718" t="s">
        <v>18382</v>
      </c>
      <c r="F718" t="s">
        <v>31362</v>
      </c>
      <c r="G718" t="s">
        <v>31369</v>
      </c>
      <c r="H718" t="s">
        <v>15799</v>
      </c>
      <c r="I718" t="s">
        <v>7188</v>
      </c>
      <c r="J718" t="s">
        <v>32071</v>
      </c>
      <c r="K718" t="s">
        <v>40693</v>
      </c>
      <c r="M718" t="s">
        <v>41313</v>
      </c>
      <c r="N718" t="s">
        <v>44905</v>
      </c>
      <c r="O718" t="s">
        <v>44906</v>
      </c>
      <c r="P718">
        <v>0</v>
      </c>
      <c r="Q718">
        <v>0</v>
      </c>
      <c r="R718" t="s">
        <v>44907</v>
      </c>
      <c r="S718" t="s">
        <v>45026</v>
      </c>
      <c r="T718" t="s">
        <v>46522</v>
      </c>
      <c r="U718" t="s">
        <v>47551</v>
      </c>
      <c r="W718" t="s">
        <v>41313</v>
      </c>
      <c r="X718" t="s">
        <v>44908</v>
      </c>
    </row>
    <row r="719" spans="1:24">
      <c r="A719">
        <f>HYPERLINK("https://www.philgeps.gov.ph/GEPSNONPILOT/Tender/SplashBidNoticeAbstractUI.aspx?menuIndex=3&amp;refID=7082404&amp;Result=3","7082404")</f>
        <v>0</v>
      </c>
      <c r="B719" t="s">
        <v>346</v>
      </c>
      <c r="C719" t="s">
        <v>4218</v>
      </c>
      <c r="D719" t="s">
        <v>18152</v>
      </c>
      <c r="E719" t="s">
        <v>18864</v>
      </c>
      <c r="F719" t="s">
        <v>31362</v>
      </c>
      <c r="G719" t="s">
        <v>31369</v>
      </c>
      <c r="H719" t="s">
        <v>15799</v>
      </c>
      <c r="I719" t="s">
        <v>3815</v>
      </c>
      <c r="J719" t="s">
        <v>32072</v>
      </c>
      <c r="K719" t="s">
        <v>40665</v>
      </c>
      <c r="L719" t="s">
        <v>346</v>
      </c>
      <c r="M719" t="s">
        <v>41292</v>
      </c>
      <c r="N719" t="s">
        <v>44905</v>
      </c>
      <c r="O719" t="s">
        <v>44906</v>
      </c>
      <c r="P719">
        <v>0</v>
      </c>
      <c r="Q719">
        <v>0</v>
      </c>
      <c r="R719" t="s">
        <v>44907</v>
      </c>
      <c r="S719" t="s">
        <v>45026</v>
      </c>
      <c r="T719" t="s">
        <v>46462</v>
      </c>
      <c r="U719" t="s">
        <v>47552</v>
      </c>
      <c r="V719" t="s">
        <v>59139</v>
      </c>
      <c r="W719" t="s">
        <v>41292</v>
      </c>
      <c r="X719" t="s">
        <v>44908</v>
      </c>
    </row>
    <row r="720" spans="1:24">
      <c r="A720">
        <f>HYPERLINK("https://www.philgeps.gov.ph/GEPSNONPILOT/Tender/SplashBidNoticeAbstractUI.aspx?menuIndex=3&amp;refID=7082403&amp;Result=3","7082403")</f>
        <v>0</v>
      </c>
      <c r="B720" t="s">
        <v>367</v>
      </c>
      <c r="C720" t="s">
        <v>4219</v>
      </c>
      <c r="D720" t="s">
        <v>18134</v>
      </c>
      <c r="E720" t="s">
        <v>18865</v>
      </c>
      <c r="F720" t="s">
        <v>31362</v>
      </c>
      <c r="G720" t="s">
        <v>31368</v>
      </c>
      <c r="H720" t="s">
        <v>31378</v>
      </c>
      <c r="I720" t="s">
        <v>31386</v>
      </c>
      <c r="J720" t="s">
        <v>32073</v>
      </c>
      <c r="K720" t="s">
        <v>40665</v>
      </c>
      <c r="M720" t="s">
        <v>41314</v>
      </c>
      <c r="N720" t="s">
        <v>44905</v>
      </c>
      <c r="O720" t="s">
        <v>44906</v>
      </c>
      <c r="P720">
        <v>0</v>
      </c>
      <c r="Q720">
        <v>0</v>
      </c>
      <c r="R720" t="s">
        <v>44907</v>
      </c>
      <c r="S720" t="s">
        <v>45026</v>
      </c>
      <c r="T720" t="s">
        <v>46447</v>
      </c>
      <c r="U720" t="s">
        <v>47553</v>
      </c>
      <c r="W720" t="s">
        <v>41314</v>
      </c>
      <c r="X720" t="s">
        <v>44908</v>
      </c>
    </row>
    <row r="721" spans="1:24">
      <c r="A721">
        <f>HYPERLINK("https://www.philgeps.gov.ph/GEPSNONPILOT/Tender/SplashBidNoticeAbstractUI.aspx?menuIndex=3&amp;refID=7082400&amp;Result=3","7082400")</f>
        <v>0</v>
      </c>
      <c r="B721" t="s">
        <v>291</v>
      </c>
      <c r="C721" t="s">
        <v>4220</v>
      </c>
      <c r="D721" t="s">
        <v>18158</v>
      </c>
      <c r="E721" t="s">
        <v>18866</v>
      </c>
      <c r="F721" t="s">
        <v>31362</v>
      </c>
      <c r="G721" t="s">
        <v>31368</v>
      </c>
      <c r="H721" t="s">
        <v>15799</v>
      </c>
      <c r="I721" t="s">
        <v>31422</v>
      </c>
      <c r="J721" t="s">
        <v>32074</v>
      </c>
      <c r="K721" t="s">
        <v>40662</v>
      </c>
      <c r="M721" t="s">
        <v>41234</v>
      </c>
      <c r="N721" t="s">
        <v>44905</v>
      </c>
      <c r="O721" t="s">
        <v>44906</v>
      </c>
      <c r="P721">
        <v>0</v>
      </c>
      <c r="Q721">
        <v>0</v>
      </c>
      <c r="R721" t="s">
        <v>44907</v>
      </c>
      <c r="S721" t="s">
        <v>45026</v>
      </c>
      <c r="T721" t="s">
        <v>46409</v>
      </c>
      <c r="U721" t="s">
        <v>47554</v>
      </c>
      <c r="W721" t="s">
        <v>41234</v>
      </c>
      <c r="X721" t="s">
        <v>44908</v>
      </c>
    </row>
    <row r="722" spans="1:24">
      <c r="A722">
        <f>HYPERLINK("https://www.philgeps.gov.ph/GEPSNONPILOT/Tender/SplashBidNoticeAbstractUI.aspx?menuIndex=3&amp;refID=7082398&amp;Result=3","7082398")</f>
        <v>0</v>
      </c>
      <c r="B722" t="s">
        <v>368</v>
      </c>
      <c r="C722" t="s">
        <v>4221</v>
      </c>
      <c r="D722" t="s">
        <v>18167</v>
      </c>
      <c r="E722" t="s">
        <v>18867</v>
      </c>
      <c r="F722" t="s">
        <v>31362</v>
      </c>
      <c r="G722" t="s">
        <v>31369</v>
      </c>
      <c r="H722" t="s">
        <v>31378</v>
      </c>
      <c r="I722" t="s">
        <v>31386</v>
      </c>
      <c r="J722" t="s">
        <v>32075</v>
      </c>
      <c r="K722" t="s">
        <v>40675</v>
      </c>
      <c r="M722" t="s">
        <v>41315</v>
      </c>
      <c r="N722" t="s">
        <v>44905</v>
      </c>
      <c r="O722" t="s">
        <v>44906</v>
      </c>
      <c r="P722">
        <v>0</v>
      </c>
      <c r="Q722">
        <v>1</v>
      </c>
      <c r="R722" t="s">
        <v>44907</v>
      </c>
      <c r="S722" t="s">
        <v>45026</v>
      </c>
      <c r="T722" t="s">
        <v>46523</v>
      </c>
      <c r="U722" t="s">
        <v>47555</v>
      </c>
      <c r="V722" t="s">
        <v>59146</v>
      </c>
      <c r="W722" t="s">
        <v>41315</v>
      </c>
      <c r="X722" t="s">
        <v>44908</v>
      </c>
    </row>
    <row r="723" spans="1:24">
      <c r="A723">
        <f>HYPERLINK("https://www.philgeps.gov.ph/GEPSNONPILOT/Tender/SplashBidNoticeAbstractUI.aspx?menuIndex=3&amp;refID=7082397&amp;Result=3","7082397")</f>
        <v>0</v>
      </c>
      <c r="B723" t="s">
        <v>369</v>
      </c>
      <c r="C723" t="s">
        <v>4222</v>
      </c>
      <c r="D723" t="s">
        <v>18152</v>
      </c>
      <c r="E723" t="s">
        <v>18868</v>
      </c>
      <c r="F723" t="s">
        <v>31362</v>
      </c>
      <c r="G723" t="s">
        <v>31369</v>
      </c>
      <c r="H723" t="s">
        <v>31378</v>
      </c>
      <c r="I723" t="s">
        <v>31386</v>
      </c>
      <c r="J723" t="s">
        <v>32076</v>
      </c>
      <c r="K723" t="s">
        <v>40682</v>
      </c>
      <c r="M723" t="s">
        <v>41316</v>
      </c>
      <c r="N723" t="s">
        <v>44905</v>
      </c>
      <c r="O723" t="s">
        <v>44906</v>
      </c>
      <c r="P723">
        <v>0</v>
      </c>
      <c r="Q723">
        <v>0</v>
      </c>
      <c r="R723" t="s">
        <v>44907</v>
      </c>
      <c r="S723" t="s">
        <v>45026</v>
      </c>
      <c r="T723" t="s">
        <v>46524</v>
      </c>
      <c r="U723" t="s">
        <v>47556</v>
      </c>
      <c r="W723" t="s">
        <v>41316</v>
      </c>
      <c r="X723" t="s">
        <v>44908</v>
      </c>
    </row>
    <row r="724" spans="1:24">
      <c r="A724">
        <f>HYPERLINK("https://www.philgeps.gov.ph/GEPSNONPILOT/Tender/SplashBidNoticeAbstractUI.aspx?menuIndex=3&amp;refID=7082396&amp;Result=3","7082396")</f>
        <v>0</v>
      </c>
      <c r="B724" t="s">
        <v>370</v>
      </c>
      <c r="C724" t="s">
        <v>4223</v>
      </c>
      <c r="D724" t="s">
        <v>18148</v>
      </c>
      <c r="E724" t="s">
        <v>18869</v>
      </c>
      <c r="F724" t="s">
        <v>31362</v>
      </c>
      <c r="G724" t="s">
        <v>31370</v>
      </c>
      <c r="H724" t="s">
        <v>15799</v>
      </c>
      <c r="I724" t="s">
        <v>7090</v>
      </c>
      <c r="J724" t="s">
        <v>31578</v>
      </c>
      <c r="K724" t="s">
        <v>40662</v>
      </c>
      <c r="M724" t="s">
        <v>41317</v>
      </c>
      <c r="N724" t="s">
        <v>44905</v>
      </c>
      <c r="O724" t="s">
        <v>44906</v>
      </c>
      <c r="P724">
        <v>0</v>
      </c>
      <c r="Q724">
        <v>2</v>
      </c>
      <c r="R724" t="s">
        <v>44907</v>
      </c>
      <c r="S724" t="s">
        <v>45026</v>
      </c>
      <c r="T724" t="s">
        <v>46478</v>
      </c>
      <c r="U724" t="s">
        <v>47557</v>
      </c>
      <c r="V724" t="s">
        <v>59147</v>
      </c>
      <c r="W724" t="s">
        <v>41317</v>
      </c>
      <c r="X724" t="s">
        <v>44908</v>
      </c>
    </row>
    <row r="725" spans="1:24">
      <c r="A725">
        <f>HYPERLINK("https://www.philgeps.gov.ph/GEPSNONPILOT/Tender/SplashBidNoticeAbstractUI.aspx?menuIndex=3&amp;refID=7082399&amp;Result=3","7082399")</f>
        <v>0</v>
      </c>
      <c r="B725" t="s">
        <v>321</v>
      </c>
      <c r="C725" t="s">
        <v>4224</v>
      </c>
      <c r="D725" t="s">
        <v>18104</v>
      </c>
      <c r="E725" t="s">
        <v>18870</v>
      </c>
      <c r="F725" t="s">
        <v>31362</v>
      </c>
      <c r="G725" t="s">
        <v>31369</v>
      </c>
      <c r="H725" t="s">
        <v>31378</v>
      </c>
      <c r="I725" t="s">
        <v>3815</v>
      </c>
      <c r="J725" t="s">
        <v>32077</v>
      </c>
      <c r="K725" t="s">
        <v>40679</v>
      </c>
      <c r="M725" t="s">
        <v>41267</v>
      </c>
      <c r="N725" t="s">
        <v>44905</v>
      </c>
      <c r="O725" t="s">
        <v>44906</v>
      </c>
      <c r="P725">
        <v>0</v>
      </c>
      <c r="Q725">
        <v>1</v>
      </c>
      <c r="R725" t="s">
        <v>44907</v>
      </c>
      <c r="S725" t="s">
        <v>45026</v>
      </c>
      <c r="T725" t="s">
        <v>46401</v>
      </c>
      <c r="U725" t="s">
        <v>47466</v>
      </c>
      <c r="V725" t="s">
        <v>59148</v>
      </c>
      <c r="W725" t="s">
        <v>41267</v>
      </c>
      <c r="X725" t="s">
        <v>44908</v>
      </c>
    </row>
    <row r="726" spans="1:24">
      <c r="A726">
        <f>HYPERLINK("https://www.philgeps.gov.ph/GEPSNONPILOT/Tender/SplashBidNoticeAbstractUI.aspx?menuIndex=3&amp;refID=7082405&amp;Result=3","7082405")</f>
        <v>0</v>
      </c>
      <c r="B726" t="s">
        <v>371</v>
      </c>
      <c r="C726" t="s">
        <v>4225</v>
      </c>
      <c r="D726" t="s">
        <v>18157</v>
      </c>
      <c r="E726" t="s">
        <v>18871</v>
      </c>
      <c r="F726" t="s">
        <v>31362</v>
      </c>
      <c r="G726" t="s">
        <v>31368</v>
      </c>
      <c r="H726" t="s">
        <v>15799</v>
      </c>
      <c r="I726" t="s">
        <v>31427</v>
      </c>
      <c r="J726" t="s">
        <v>32078</v>
      </c>
      <c r="K726" t="s">
        <v>40665</v>
      </c>
      <c r="M726" t="s">
        <v>41318</v>
      </c>
      <c r="N726" t="s">
        <v>44905</v>
      </c>
      <c r="O726" t="s">
        <v>44906</v>
      </c>
      <c r="P726">
        <v>0</v>
      </c>
      <c r="Q726">
        <v>6</v>
      </c>
      <c r="R726" t="s">
        <v>44907</v>
      </c>
      <c r="S726" t="s">
        <v>45026</v>
      </c>
      <c r="T726" t="s">
        <v>46498</v>
      </c>
      <c r="U726" t="s">
        <v>47558</v>
      </c>
      <c r="W726" t="s">
        <v>41318</v>
      </c>
      <c r="X726" t="s">
        <v>44908</v>
      </c>
    </row>
    <row r="727" spans="1:24">
      <c r="A727">
        <f>HYPERLINK("https://www.philgeps.gov.ph/GEPSNONPILOT/Tender/SplashBidNoticeAbstractUI.aspx?menuIndex=3&amp;refID=7082367&amp;Result=3","7082367")</f>
        <v>0</v>
      </c>
      <c r="B727" t="s">
        <v>372</v>
      </c>
      <c r="C727" t="s">
        <v>4226</v>
      </c>
      <c r="D727" t="s">
        <v>18176</v>
      </c>
      <c r="E727" t="s">
        <v>18872</v>
      </c>
      <c r="F727" t="s">
        <v>31362</v>
      </c>
      <c r="G727" t="s">
        <v>31369</v>
      </c>
      <c r="H727" t="s">
        <v>15799</v>
      </c>
      <c r="I727" t="s">
        <v>31429</v>
      </c>
      <c r="J727" t="s">
        <v>32079</v>
      </c>
      <c r="K727" t="s">
        <v>40662</v>
      </c>
      <c r="M727" t="s">
        <v>41319</v>
      </c>
      <c r="N727" t="s">
        <v>44905</v>
      </c>
      <c r="O727" t="s">
        <v>44906</v>
      </c>
      <c r="P727">
        <v>0</v>
      </c>
      <c r="Q727">
        <v>0</v>
      </c>
      <c r="R727" t="s">
        <v>44907</v>
      </c>
      <c r="S727" t="s">
        <v>45026</v>
      </c>
      <c r="T727" t="s">
        <v>46396</v>
      </c>
      <c r="U727" t="s">
        <v>47559</v>
      </c>
      <c r="W727" t="s">
        <v>41319</v>
      </c>
      <c r="X727" t="s">
        <v>44908</v>
      </c>
    </row>
    <row r="728" spans="1:24">
      <c r="A728">
        <f>HYPERLINK("https://www.philgeps.gov.ph/GEPSNONPILOT/Tender/SplashBidNoticeAbstractUI.aspx?menuIndex=3&amp;refID=7082401&amp;Result=3","7082401")</f>
        <v>0</v>
      </c>
      <c r="B728" t="s">
        <v>373</v>
      </c>
      <c r="C728" t="s">
        <v>4227</v>
      </c>
      <c r="D728" t="s">
        <v>18127</v>
      </c>
      <c r="E728" t="s">
        <v>18873</v>
      </c>
      <c r="F728" t="s">
        <v>31362</v>
      </c>
      <c r="G728" t="s">
        <v>31371</v>
      </c>
      <c r="H728" t="s">
        <v>15799</v>
      </c>
      <c r="I728" t="s">
        <v>13635</v>
      </c>
      <c r="J728" t="s">
        <v>32080</v>
      </c>
      <c r="K728" t="s">
        <v>40662</v>
      </c>
      <c r="M728" t="s">
        <v>41320</v>
      </c>
      <c r="N728" t="s">
        <v>44905</v>
      </c>
      <c r="O728" t="s">
        <v>44906</v>
      </c>
      <c r="P728">
        <v>0</v>
      </c>
      <c r="Q728">
        <v>0</v>
      </c>
      <c r="R728" t="s">
        <v>44907</v>
      </c>
      <c r="S728" t="s">
        <v>45026</v>
      </c>
      <c r="T728" t="s">
        <v>46432</v>
      </c>
      <c r="U728" t="s">
        <v>47560</v>
      </c>
      <c r="W728" t="s">
        <v>41320</v>
      </c>
      <c r="X728" t="s">
        <v>44908</v>
      </c>
    </row>
    <row r="729" spans="1:24">
      <c r="A729">
        <f>HYPERLINK("https://www.philgeps.gov.ph/GEPSNONPILOT/Tender/SplashBidNoticeAbstractUI.aspx?menuIndex=3&amp;refID=7082372&amp;Result=3","7082372")</f>
        <v>0</v>
      </c>
      <c r="B729" t="s">
        <v>374</v>
      </c>
      <c r="C729" t="s">
        <v>4228</v>
      </c>
      <c r="D729" t="s">
        <v>18106</v>
      </c>
      <c r="E729" t="s">
        <v>18648</v>
      </c>
      <c r="F729" t="s">
        <v>31362</v>
      </c>
      <c r="G729" t="s">
        <v>31369</v>
      </c>
      <c r="H729" t="s">
        <v>31378</v>
      </c>
      <c r="I729" t="s">
        <v>31392</v>
      </c>
      <c r="J729" t="s">
        <v>32081</v>
      </c>
      <c r="K729" t="s">
        <v>40662</v>
      </c>
      <c r="M729" t="s">
        <v>41321</v>
      </c>
      <c r="N729" t="s">
        <v>44905</v>
      </c>
      <c r="O729" t="s">
        <v>44906</v>
      </c>
      <c r="P729">
        <v>0</v>
      </c>
      <c r="Q729">
        <v>0</v>
      </c>
      <c r="R729" t="s">
        <v>44907</v>
      </c>
      <c r="S729" t="s">
        <v>45026</v>
      </c>
      <c r="T729" t="s">
        <v>46429</v>
      </c>
      <c r="U729" t="s">
        <v>47561</v>
      </c>
      <c r="W729" t="s">
        <v>41321</v>
      </c>
      <c r="X729" t="s">
        <v>44908</v>
      </c>
    </row>
    <row r="730" spans="1:24">
      <c r="A730">
        <f>HYPERLINK("https://www.philgeps.gov.ph/GEPSNONPILOT/Tender/SplashBidNoticeAbstractUI.aspx?menuIndex=3&amp;refID=7082353&amp;Result=3","7082353")</f>
        <v>0</v>
      </c>
      <c r="B730" t="s">
        <v>358</v>
      </c>
      <c r="C730" t="s">
        <v>4229</v>
      </c>
      <c r="D730" t="s">
        <v>18109</v>
      </c>
      <c r="E730" t="s">
        <v>18874</v>
      </c>
      <c r="F730" t="s">
        <v>31362</v>
      </c>
      <c r="G730" t="s">
        <v>31368</v>
      </c>
      <c r="H730" t="s">
        <v>15799</v>
      </c>
      <c r="I730" t="s">
        <v>31382</v>
      </c>
      <c r="J730" t="s">
        <v>32082</v>
      </c>
      <c r="K730" t="s">
        <v>40661</v>
      </c>
      <c r="M730" t="s">
        <v>41305</v>
      </c>
      <c r="N730" t="s">
        <v>44905</v>
      </c>
      <c r="O730" t="s">
        <v>44906</v>
      </c>
      <c r="P730">
        <v>0</v>
      </c>
      <c r="Q730">
        <v>1</v>
      </c>
      <c r="R730" t="s">
        <v>44907</v>
      </c>
      <c r="S730" t="s">
        <v>45026</v>
      </c>
      <c r="T730" t="s">
        <v>46411</v>
      </c>
      <c r="U730" t="s">
        <v>47562</v>
      </c>
      <c r="W730" t="s">
        <v>41305</v>
      </c>
      <c r="X730" t="s">
        <v>44908</v>
      </c>
    </row>
    <row r="731" spans="1:24">
      <c r="A731">
        <f>HYPERLINK("https://www.philgeps.gov.ph/GEPSNONPILOT/Tender/SplashBidNoticeAbstractUI.aspx?menuIndex=3&amp;refID=7082395&amp;Result=3","7082395")</f>
        <v>0</v>
      </c>
      <c r="B731" t="s">
        <v>360</v>
      </c>
      <c r="C731" t="s">
        <v>4230</v>
      </c>
      <c r="D731" t="s">
        <v>18161</v>
      </c>
      <c r="E731" t="s">
        <v>18875</v>
      </c>
      <c r="F731" t="s">
        <v>31362</v>
      </c>
      <c r="G731" t="s">
        <v>31368</v>
      </c>
      <c r="H731" t="s">
        <v>15799</v>
      </c>
      <c r="I731" t="s">
        <v>31380</v>
      </c>
      <c r="J731" t="s">
        <v>32083</v>
      </c>
      <c r="K731" t="s">
        <v>40662</v>
      </c>
      <c r="M731" t="s">
        <v>41307</v>
      </c>
      <c r="N731" t="s">
        <v>44905</v>
      </c>
      <c r="O731" t="s">
        <v>44906</v>
      </c>
      <c r="P731">
        <v>0</v>
      </c>
      <c r="Q731">
        <v>2</v>
      </c>
      <c r="R731" t="s">
        <v>44907</v>
      </c>
      <c r="S731" t="s">
        <v>45026</v>
      </c>
      <c r="T731" t="s">
        <v>46394</v>
      </c>
      <c r="U731" t="s">
        <v>47535</v>
      </c>
      <c r="W731" t="s">
        <v>41307</v>
      </c>
      <c r="X731" t="s">
        <v>44908</v>
      </c>
    </row>
    <row r="732" spans="1:24">
      <c r="A732">
        <f>HYPERLINK("https://www.philgeps.gov.ph/GEPSNONPILOT/Tender/SplashBidNoticeAbstractUI.aspx?menuIndex=3&amp;refID=7082429&amp;Result=3","7082429")</f>
        <v>0</v>
      </c>
      <c r="B732" t="s">
        <v>90</v>
      </c>
      <c r="C732" t="s">
        <v>4231</v>
      </c>
      <c r="E732" t="s">
        <v>18876</v>
      </c>
      <c r="F732" t="s">
        <v>31362</v>
      </c>
      <c r="G732" t="s">
        <v>31368</v>
      </c>
      <c r="H732" t="s">
        <v>15799</v>
      </c>
      <c r="I732" t="s">
        <v>4057</v>
      </c>
      <c r="J732" t="s">
        <v>32084</v>
      </c>
      <c r="K732" t="s">
        <v>40662</v>
      </c>
      <c r="M732" t="s">
        <v>41027</v>
      </c>
      <c r="N732" t="s">
        <v>44905</v>
      </c>
      <c r="O732" t="s">
        <v>44906</v>
      </c>
      <c r="P732">
        <v>0</v>
      </c>
      <c r="Q732">
        <v>2</v>
      </c>
      <c r="R732" t="s">
        <v>44907</v>
      </c>
      <c r="S732" t="s">
        <v>45026</v>
      </c>
      <c r="T732" t="s">
        <v>46438</v>
      </c>
      <c r="U732" t="s">
        <v>47563</v>
      </c>
      <c r="W732" t="s">
        <v>41027</v>
      </c>
      <c r="X732" t="s">
        <v>44908</v>
      </c>
    </row>
    <row r="733" spans="1:24">
      <c r="A733">
        <f>HYPERLINK("https://www.philgeps.gov.ph/GEPSNONPILOT/Tender/SplashBidNoticeAbstractUI.aspx?menuIndex=3&amp;refID=7082388&amp;Result=3","7082388")</f>
        <v>0</v>
      </c>
      <c r="B733" t="s">
        <v>348</v>
      </c>
      <c r="C733" t="s">
        <v>4232</v>
      </c>
      <c r="D733" t="s">
        <v>18122</v>
      </c>
      <c r="E733" t="s">
        <v>18877</v>
      </c>
      <c r="F733" t="s">
        <v>31362</v>
      </c>
      <c r="G733" t="s">
        <v>31368</v>
      </c>
      <c r="H733" t="s">
        <v>15799</v>
      </c>
      <c r="I733" t="s">
        <v>31422</v>
      </c>
      <c r="J733" t="s">
        <v>31545</v>
      </c>
      <c r="K733" t="s">
        <v>40661</v>
      </c>
      <c r="M733" t="s">
        <v>41294</v>
      </c>
      <c r="N733" t="s">
        <v>44905</v>
      </c>
      <c r="O733" t="s">
        <v>44906</v>
      </c>
      <c r="P733">
        <v>0</v>
      </c>
      <c r="Q733">
        <v>0</v>
      </c>
      <c r="R733" t="s">
        <v>44907</v>
      </c>
      <c r="S733" t="s">
        <v>45026</v>
      </c>
      <c r="T733" t="s">
        <v>46425</v>
      </c>
      <c r="U733" t="s">
        <v>47564</v>
      </c>
      <c r="W733" t="s">
        <v>41294</v>
      </c>
      <c r="X733" t="s">
        <v>44908</v>
      </c>
    </row>
    <row r="734" spans="1:24">
      <c r="A734">
        <f>HYPERLINK("https://www.philgeps.gov.ph/GEPSNONPILOT/Tender/SplashBidNoticeAbstractUI.aspx?menuIndex=3&amp;refID=7082428&amp;Result=3","7082428")</f>
        <v>0</v>
      </c>
      <c r="B734" t="s">
        <v>375</v>
      </c>
      <c r="C734" t="s">
        <v>4233</v>
      </c>
      <c r="D734" t="s">
        <v>18177</v>
      </c>
      <c r="E734" t="s">
        <v>18878</v>
      </c>
      <c r="F734" t="s">
        <v>31362</v>
      </c>
      <c r="G734" t="s">
        <v>31368</v>
      </c>
      <c r="H734" t="s">
        <v>15799</v>
      </c>
      <c r="I734" t="s">
        <v>31430</v>
      </c>
      <c r="J734" t="s">
        <v>31546</v>
      </c>
      <c r="K734" t="s">
        <v>40665</v>
      </c>
      <c r="M734" t="s">
        <v>41322</v>
      </c>
      <c r="N734" t="s">
        <v>44905</v>
      </c>
      <c r="O734" t="s">
        <v>44906</v>
      </c>
      <c r="P734">
        <v>0</v>
      </c>
      <c r="Q734">
        <v>0</v>
      </c>
      <c r="R734" t="s">
        <v>44907</v>
      </c>
      <c r="S734" t="s">
        <v>45026</v>
      </c>
      <c r="T734" t="s">
        <v>46432</v>
      </c>
      <c r="U734" t="s">
        <v>47565</v>
      </c>
      <c r="W734" t="s">
        <v>41322</v>
      </c>
      <c r="X734" t="s">
        <v>44908</v>
      </c>
    </row>
    <row r="735" spans="1:24">
      <c r="A735">
        <f>HYPERLINK("https://www.philgeps.gov.ph/GEPSNONPILOT/Tender/SplashBidNoticeAbstractUI.aspx?menuIndex=3&amp;refID=7082427&amp;Result=3","7082427")</f>
        <v>0</v>
      </c>
      <c r="B735" t="s">
        <v>376</v>
      </c>
      <c r="C735" t="s">
        <v>4234</v>
      </c>
      <c r="D735" t="s">
        <v>18160</v>
      </c>
      <c r="E735" t="s">
        <v>18879</v>
      </c>
      <c r="F735" t="s">
        <v>31362</v>
      </c>
      <c r="G735" t="s">
        <v>31368</v>
      </c>
      <c r="H735" t="s">
        <v>15799</v>
      </c>
      <c r="I735" t="s">
        <v>6373</v>
      </c>
      <c r="J735" t="s">
        <v>32085</v>
      </c>
      <c r="K735" t="s">
        <v>40662</v>
      </c>
      <c r="M735" t="s">
        <v>41323</v>
      </c>
      <c r="N735" t="s">
        <v>44905</v>
      </c>
      <c r="O735" t="s">
        <v>44906</v>
      </c>
      <c r="P735">
        <v>0</v>
      </c>
      <c r="Q735">
        <v>3</v>
      </c>
      <c r="R735" t="s">
        <v>44907</v>
      </c>
      <c r="S735" t="s">
        <v>45026</v>
      </c>
      <c r="T735" t="s">
        <v>46409</v>
      </c>
      <c r="U735" t="s">
        <v>47566</v>
      </c>
      <c r="W735" t="s">
        <v>60850</v>
      </c>
      <c r="X735" t="s">
        <v>44908</v>
      </c>
    </row>
    <row r="736" spans="1:24">
      <c r="A736">
        <f>HYPERLINK("https://www.philgeps.gov.ph/GEPSNONPILOT/Tender/SplashBidNoticeAbstractUI.aspx?menuIndex=3&amp;refID=7082426&amp;Result=3","7082426")</f>
        <v>0</v>
      </c>
      <c r="B736" t="s">
        <v>259</v>
      </c>
      <c r="C736" t="s">
        <v>4235</v>
      </c>
      <c r="D736" t="s">
        <v>18100</v>
      </c>
      <c r="E736" t="s">
        <v>18880</v>
      </c>
      <c r="F736" t="s">
        <v>31362</v>
      </c>
      <c r="G736" t="s">
        <v>31368</v>
      </c>
      <c r="H736" t="s">
        <v>15799</v>
      </c>
      <c r="I736" t="s">
        <v>13635</v>
      </c>
      <c r="J736" t="s">
        <v>32086</v>
      </c>
      <c r="K736" t="s">
        <v>40693</v>
      </c>
      <c r="M736" t="s">
        <v>41200</v>
      </c>
      <c r="N736" t="s">
        <v>44905</v>
      </c>
      <c r="O736" t="s">
        <v>44906</v>
      </c>
      <c r="P736">
        <v>0</v>
      </c>
      <c r="Q736">
        <v>0</v>
      </c>
      <c r="R736" t="s">
        <v>44907</v>
      </c>
      <c r="S736" t="s">
        <v>45026</v>
      </c>
      <c r="T736" t="s">
        <v>46426</v>
      </c>
      <c r="U736" t="s">
        <v>47567</v>
      </c>
      <c r="W736" t="s">
        <v>41200</v>
      </c>
      <c r="X736" t="s">
        <v>44908</v>
      </c>
    </row>
    <row r="737" spans="1:24">
      <c r="A737">
        <f>HYPERLINK("https://www.philgeps.gov.ph/GEPSNONPILOT/Tender/SplashBidNoticeAbstractUI.aspx?menuIndex=3&amp;refID=7082423&amp;Result=3","7082423")</f>
        <v>0</v>
      </c>
      <c r="B737" t="s">
        <v>225</v>
      </c>
      <c r="C737" t="s">
        <v>4236</v>
      </c>
      <c r="D737" t="s">
        <v>18158</v>
      </c>
      <c r="E737" t="s">
        <v>18881</v>
      </c>
      <c r="F737" t="s">
        <v>31362</v>
      </c>
      <c r="G737" t="s">
        <v>31368</v>
      </c>
      <c r="H737" t="s">
        <v>15799</v>
      </c>
      <c r="I737" t="s">
        <v>3815</v>
      </c>
      <c r="J737" t="s">
        <v>32087</v>
      </c>
      <c r="K737" t="s">
        <v>40670</v>
      </c>
      <c r="M737" t="s">
        <v>41164</v>
      </c>
      <c r="N737" t="s">
        <v>44905</v>
      </c>
      <c r="O737" t="s">
        <v>44906</v>
      </c>
      <c r="P737">
        <v>0</v>
      </c>
      <c r="Q737">
        <v>1</v>
      </c>
      <c r="R737" t="s">
        <v>44907</v>
      </c>
      <c r="S737" t="s">
        <v>45026</v>
      </c>
      <c r="T737" t="s">
        <v>46396</v>
      </c>
      <c r="U737" t="s">
        <v>47303</v>
      </c>
      <c r="W737" t="s">
        <v>41164</v>
      </c>
      <c r="X737" t="s">
        <v>44908</v>
      </c>
    </row>
    <row r="738" spans="1:24">
      <c r="A738">
        <f>HYPERLINK("https://www.philgeps.gov.ph/GEPSNONPILOT/Tender/SplashBidNoticeAbstractUI.aspx?menuIndex=3&amp;refID=7082422&amp;Result=3","7082422")</f>
        <v>0</v>
      </c>
      <c r="B738" t="s">
        <v>199</v>
      </c>
      <c r="C738" t="s">
        <v>4237</v>
      </c>
      <c r="D738" t="s">
        <v>18139</v>
      </c>
      <c r="E738" t="s">
        <v>18882</v>
      </c>
      <c r="F738" t="s">
        <v>31362</v>
      </c>
      <c r="G738" t="s">
        <v>31368</v>
      </c>
      <c r="H738" t="s">
        <v>15799</v>
      </c>
      <c r="I738" t="s">
        <v>31422</v>
      </c>
      <c r="J738" t="s">
        <v>32088</v>
      </c>
      <c r="K738" t="s">
        <v>40666</v>
      </c>
      <c r="M738" t="s">
        <v>41227</v>
      </c>
      <c r="N738" t="s">
        <v>44905</v>
      </c>
      <c r="O738" t="s">
        <v>44906</v>
      </c>
      <c r="P738">
        <v>0</v>
      </c>
      <c r="Q738">
        <v>2</v>
      </c>
      <c r="R738" t="s">
        <v>44907</v>
      </c>
      <c r="S738" t="s">
        <v>45026</v>
      </c>
      <c r="T738" t="s">
        <v>46443</v>
      </c>
      <c r="U738" t="s">
        <v>47568</v>
      </c>
      <c r="V738" t="s">
        <v>59126</v>
      </c>
      <c r="W738" t="s">
        <v>41227</v>
      </c>
      <c r="X738" t="s">
        <v>44908</v>
      </c>
    </row>
    <row r="739" spans="1:24">
      <c r="A739">
        <f>HYPERLINK("https://www.philgeps.gov.ph/GEPSNONPILOT/Tender/SplashBidNoticeAbstractUI.aspx?menuIndex=3&amp;refID=7082421&amp;Result=3","7082421")</f>
        <v>0</v>
      </c>
      <c r="B739" t="s">
        <v>377</v>
      </c>
      <c r="C739" t="s">
        <v>4238</v>
      </c>
      <c r="D739" t="s">
        <v>18108</v>
      </c>
      <c r="E739" t="s">
        <v>18883</v>
      </c>
      <c r="F739" t="s">
        <v>31362</v>
      </c>
      <c r="G739" t="s">
        <v>31368</v>
      </c>
      <c r="H739" t="s">
        <v>15799</v>
      </c>
      <c r="I739" t="s">
        <v>31450</v>
      </c>
      <c r="J739" t="s">
        <v>32089</v>
      </c>
      <c r="K739" t="s">
        <v>40665</v>
      </c>
      <c r="M739" t="s">
        <v>41324</v>
      </c>
      <c r="N739" t="s">
        <v>44905</v>
      </c>
      <c r="O739" t="s">
        <v>44906</v>
      </c>
      <c r="P739">
        <v>0</v>
      </c>
      <c r="Q739">
        <v>0</v>
      </c>
      <c r="R739" t="s">
        <v>44907</v>
      </c>
      <c r="S739" t="s">
        <v>45026</v>
      </c>
      <c r="T739" t="s">
        <v>46478</v>
      </c>
      <c r="U739" t="s">
        <v>47569</v>
      </c>
      <c r="W739" t="s">
        <v>41324</v>
      </c>
      <c r="X739" t="s">
        <v>44908</v>
      </c>
    </row>
    <row r="740" spans="1:24">
      <c r="A740">
        <f>HYPERLINK("https://www.philgeps.gov.ph/GEPSNONPILOT/Tender/SplashBidNoticeAbstractUI.aspx?menuIndex=3&amp;refID=7082420&amp;Result=3","7082420")</f>
        <v>0</v>
      </c>
      <c r="B740" t="s">
        <v>378</v>
      </c>
      <c r="C740" t="s">
        <v>4239</v>
      </c>
      <c r="D740" t="s">
        <v>18156</v>
      </c>
      <c r="E740" t="s">
        <v>18884</v>
      </c>
      <c r="F740" t="s">
        <v>31362</v>
      </c>
      <c r="G740" t="s">
        <v>31368</v>
      </c>
      <c r="H740" t="s">
        <v>15799</v>
      </c>
      <c r="I740" t="s">
        <v>31430</v>
      </c>
      <c r="J740" t="s">
        <v>32090</v>
      </c>
      <c r="K740" t="s">
        <v>40661</v>
      </c>
      <c r="M740" t="s">
        <v>41325</v>
      </c>
      <c r="N740" t="s">
        <v>44905</v>
      </c>
      <c r="O740" t="s">
        <v>44906</v>
      </c>
      <c r="P740">
        <v>0</v>
      </c>
      <c r="Q740">
        <v>0</v>
      </c>
      <c r="R740" t="s">
        <v>44907</v>
      </c>
      <c r="S740" t="s">
        <v>45026</v>
      </c>
      <c r="T740" t="s">
        <v>46434</v>
      </c>
      <c r="U740" t="s">
        <v>47570</v>
      </c>
      <c r="W740" t="s">
        <v>41325</v>
      </c>
      <c r="X740" t="s">
        <v>44908</v>
      </c>
    </row>
    <row r="741" spans="1:24">
      <c r="A741">
        <f>HYPERLINK("https://www.philgeps.gov.ph/GEPSNONPILOT/Tender/SplashBidNoticeAbstractUI.aspx?menuIndex=3&amp;refID=7082419&amp;Result=3","7082419")</f>
        <v>0</v>
      </c>
      <c r="B741" t="s">
        <v>370</v>
      </c>
      <c r="C741" t="s">
        <v>4240</v>
      </c>
      <c r="D741" t="s">
        <v>18148</v>
      </c>
      <c r="E741" t="s">
        <v>18885</v>
      </c>
      <c r="F741" t="s">
        <v>31362</v>
      </c>
      <c r="G741" t="s">
        <v>31370</v>
      </c>
      <c r="H741" t="s">
        <v>15799</v>
      </c>
      <c r="I741" t="s">
        <v>31449</v>
      </c>
      <c r="J741" t="s">
        <v>31722</v>
      </c>
      <c r="K741" t="s">
        <v>40662</v>
      </c>
      <c r="M741" t="s">
        <v>41317</v>
      </c>
      <c r="N741" t="s">
        <v>44905</v>
      </c>
      <c r="O741" t="s">
        <v>44906</v>
      </c>
      <c r="P741">
        <v>0</v>
      </c>
      <c r="Q741">
        <v>0</v>
      </c>
      <c r="R741" t="s">
        <v>44907</v>
      </c>
      <c r="S741" t="s">
        <v>45026</v>
      </c>
      <c r="T741" t="s">
        <v>46478</v>
      </c>
      <c r="U741" t="s">
        <v>47557</v>
      </c>
      <c r="V741" t="s">
        <v>59147</v>
      </c>
      <c r="W741" t="s">
        <v>41317</v>
      </c>
      <c r="X741" t="s">
        <v>44908</v>
      </c>
    </row>
    <row r="742" spans="1:24">
      <c r="A742">
        <f>HYPERLINK("https://www.philgeps.gov.ph/GEPSNONPILOT/Tender/SplashBidNoticeAbstractUI.aspx?menuIndex=3&amp;refID=7082418&amp;Result=3","7082418")</f>
        <v>0</v>
      </c>
      <c r="B742" t="s">
        <v>155</v>
      </c>
      <c r="C742" t="s">
        <v>4241</v>
      </c>
      <c r="D742" t="s">
        <v>18108</v>
      </c>
      <c r="E742" t="s">
        <v>18886</v>
      </c>
      <c r="F742" t="s">
        <v>31362</v>
      </c>
      <c r="G742" t="s">
        <v>31368</v>
      </c>
      <c r="H742" t="s">
        <v>15799</v>
      </c>
      <c r="I742" t="s">
        <v>7188</v>
      </c>
      <c r="J742" t="s">
        <v>31530</v>
      </c>
      <c r="K742" t="s">
        <v>40662</v>
      </c>
      <c r="M742" t="s">
        <v>41093</v>
      </c>
      <c r="N742" t="s">
        <v>44905</v>
      </c>
      <c r="O742" t="s">
        <v>44906</v>
      </c>
      <c r="P742">
        <v>0</v>
      </c>
      <c r="Q742">
        <v>5</v>
      </c>
      <c r="R742" t="s">
        <v>44907</v>
      </c>
      <c r="S742" t="s">
        <v>45026</v>
      </c>
      <c r="T742" t="s">
        <v>46473</v>
      </c>
      <c r="U742" t="s">
        <v>47571</v>
      </c>
      <c r="W742" t="s">
        <v>41093</v>
      </c>
      <c r="X742" t="s">
        <v>44908</v>
      </c>
    </row>
    <row r="743" spans="1:24">
      <c r="A743">
        <f>HYPERLINK("https://www.philgeps.gov.ph/GEPSNONPILOT/Tender/SplashBidNoticeAbstractUI.aspx?menuIndex=3&amp;refID=7082416&amp;Result=3","7082416")</f>
        <v>0</v>
      </c>
      <c r="B743" t="s">
        <v>379</v>
      </c>
      <c r="C743" t="s">
        <v>4242</v>
      </c>
      <c r="D743" t="s">
        <v>18131</v>
      </c>
      <c r="E743" t="s">
        <v>18887</v>
      </c>
      <c r="F743" t="s">
        <v>31362</v>
      </c>
      <c r="G743" t="s">
        <v>31374</v>
      </c>
      <c r="H743" t="s">
        <v>15799</v>
      </c>
      <c r="I743" t="s">
        <v>3582</v>
      </c>
      <c r="J743" t="s">
        <v>32091</v>
      </c>
      <c r="K743" t="s">
        <v>40661</v>
      </c>
      <c r="M743" t="s">
        <v>41326</v>
      </c>
      <c r="N743" t="s">
        <v>44905</v>
      </c>
      <c r="O743" t="s">
        <v>44906</v>
      </c>
      <c r="P743">
        <v>0</v>
      </c>
      <c r="Q743">
        <v>0</v>
      </c>
      <c r="R743" t="s">
        <v>44907</v>
      </c>
      <c r="S743" t="s">
        <v>45026</v>
      </c>
      <c r="T743" t="s">
        <v>46393</v>
      </c>
      <c r="U743" t="s">
        <v>47572</v>
      </c>
      <c r="W743" t="s">
        <v>41326</v>
      </c>
      <c r="X743" t="s">
        <v>44908</v>
      </c>
    </row>
    <row r="744" spans="1:24">
      <c r="A744">
        <f>HYPERLINK("https://www.philgeps.gov.ph/GEPSNONPILOT/Tender/SplashBidNoticeAbstractUI.aspx?menuIndex=3&amp;refID=7082424&amp;Result=3","7082424")</f>
        <v>0</v>
      </c>
      <c r="B744" t="s">
        <v>34</v>
      </c>
      <c r="C744" t="s">
        <v>4243</v>
      </c>
      <c r="D744" t="s">
        <v>18107</v>
      </c>
      <c r="E744" t="s">
        <v>18888</v>
      </c>
      <c r="F744" t="s">
        <v>31362</v>
      </c>
      <c r="G744" t="s">
        <v>31369</v>
      </c>
      <c r="H744" t="s">
        <v>31378</v>
      </c>
      <c r="I744" t="s">
        <v>31386</v>
      </c>
      <c r="J744" t="s">
        <v>32092</v>
      </c>
      <c r="K744" t="s">
        <v>40665</v>
      </c>
      <c r="M744" t="s">
        <v>40968</v>
      </c>
      <c r="N744" t="s">
        <v>44905</v>
      </c>
      <c r="O744" t="s">
        <v>44906</v>
      </c>
      <c r="P744">
        <v>0</v>
      </c>
      <c r="Q744">
        <v>0</v>
      </c>
      <c r="R744" t="s">
        <v>44907</v>
      </c>
      <c r="S744" t="s">
        <v>45026</v>
      </c>
      <c r="T744" t="s">
        <v>46398</v>
      </c>
      <c r="U744" t="s">
        <v>47573</v>
      </c>
      <c r="V744" t="s">
        <v>59149</v>
      </c>
      <c r="W744" t="s">
        <v>40968</v>
      </c>
      <c r="X744" t="s">
        <v>44908</v>
      </c>
    </row>
    <row r="745" spans="1:24">
      <c r="A745">
        <f>HYPERLINK("https://www.philgeps.gov.ph/GEPSNONPILOT/Tender/SplashBidNoticeAbstractUI.aspx?menuIndex=3&amp;refID=7082415&amp;Result=3","7082415")</f>
        <v>0</v>
      </c>
      <c r="B745" t="s">
        <v>220</v>
      </c>
      <c r="C745" t="s">
        <v>4244</v>
      </c>
      <c r="D745" t="s">
        <v>18140</v>
      </c>
      <c r="E745" t="s">
        <v>18889</v>
      </c>
      <c r="F745" t="s">
        <v>31362</v>
      </c>
      <c r="G745" t="s">
        <v>31370</v>
      </c>
      <c r="H745" t="s">
        <v>15799</v>
      </c>
      <c r="I745" t="s">
        <v>31431</v>
      </c>
      <c r="J745" t="s">
        <v>32093</v>
      </c>
      <c r="K745" t="s">
        <v>40666</v>
      </c>
      <c r="M745" t="s">
        <v>41159</v>
      </c>
      <c r="N745" t="s">
        <v>44905</v>
      </c>
      <c r="O745" t="s">
        <v>44906</v>
      </c>
      <c r="P745">
        <v>0</v>
      </c>
      <c r="Q745">
        <v>0</v>
      </c>
      <c r="R745" t="s">
        <v>44907</v>
      </c>
      <c r="S745" t="s">
        <v>45026</v>
      </c>
      <c r="T745" t="s">
        <v>46483</v>
      </c>
      <c r="U745" t="s">
        <v>47574</v>
      </c>
      <c r="W745" t="s">
        <v>41159</v>
      </c>
      <c r="X745" t="s">
        <v>44908</v>
      </c>
    </row>
    <row r="746" spans="1:24">
      <c r="A746">
        <f>HYPERLINK("https://www.philgeps.gov.ph/GEPSNONPILOT/Tender/SplashBidNoticeAbstractUI.aspx?menuIndex=3&amp;refID=7082389&amp;Result=3","7082389")</f>
        <v>0</v>
      </c>
      <c r="B746" t="s">
        <v>313</v>
      </c>
      <c r="C746" t="s">
        <v>4245</v>
      </c>
      <c r="D746" t="s">
        <v>18111</v>
      </c>
      <c r="E746" t="s">
        <v>18890</v>
      </c>
      <c r="F746" t="s">
        <v>31362</v>
      </c>
      <c r="G746" t="s">
        <v>31369</v>
      </c>
      <c r="H746" t="s">
        <v>31378</v>
      </c>
      <c r="I746" t="s">
        <v>31386</v>
      </c>
      <c r="J746" t="s">
        <v>32094</v>
      </c>
      <c r="K746" t="s">
        <v>40686</v>
      </c>
      <c r="M746" t="s">
        <v>41258</v>
      </c>
      <c r="N746" t="s">
        <v>44905</v>
      </c>
      <c r="O746" t="s">
        <v>44906</v>
      </c>
      <c r="P746">
        <v>0</v>
      </c>
      <c r="Q746">
        <v>2</v>
      </c>
      <c r="R746" t="s">
        <v>44907</v>
      </c>
      <c r="S746" t="s">
        <v>45026</v>
      </c>
      <c r="T746" t="s">
        <v>46458</v>
      </c>
      <c r="U746" t="s">
        <v>47575</v>
      </c>
      <c r="W746" t="s">
        <v>41258</v>
      </c>
      <c r="X746" t="s">
        <v>44908</v>
      </c>
    </row>
    <row r="747" spans="1:24">
      <c r="A747">
        <f>HYPERLINK("https://www.philgeps.gov.ph/GEPSNONPILOT/Tender/SplashBidNoticeAbstractUI.aspx?menuIndex=3&amp;refID=7082454&amp;Result=3","7082454")</f>
        <v>0</v>
      </c>
      <c r="B747" t="s">
        <v>377</v>
      </c>
      <c r="C747" t="s">
        <v>4246</v>
      </c>
      <c r="D747" t="s">
        <v>18108</v>
      </c>
      <c r="E747" t="s">
        <v>18891</v>
      </c>
      <c r="F747" t="s">
        <v>31362</v>
      </c>
      <c r="G747" t="s">
        <v>31368</v>
      </c>
      <c r="H747" t="s">
        <v>15799</v>
      </c>
      <c r="I747" t="s">
        <v>31426</v>
      </c>
      <c r="J747" t="s">
        <v>32095</v>
      </c>
      <c r="K747" t="s">
        <v>40682</v>
      </c>
      <c r="M747" t="s">
        <v>41324</v>
      </c>
      <c r="N747" t="s">
        <v>44905</v>
      </c>
      <c r="O747" t="s">
        <v>44906</v>
      </c>
      <c r="P747">
        <v>0</v>
      </c>
      <c r="Q747">
        <v>0</v>
      </c>
      <c r="R747" t="s">
        <v>44907</v>
      </c>
      <c r="S747" t="s">
        <v>45026</v>
      </c>
      <c r="T747" t="s">
        <v>46478</v>
      </c>
      <c r="U747" t="s">
        <v>47569</v>
      </c>
      <c r="W747" t="s">
        <v>41324</v>
      </c>
      <c r="X747" t="s">
        <v>44908</v>
      </c>
    </row>
    <row r="748" spans="1:24">
      <c r="A748">
        <f>HYPERLINK("https://www.philgeps.gov.ph/GEPSNONPILOT/Tender/SplashBidNoticeAbstractUI.aspx?menuIndex=3&amp;refID=7082425&amp;Result=3","7082425")</f>
        <v>0</v>
      </c>
      <c r="B748" t="s">
        <v>363</v>
      </c>
      <c r="C748" t="s">
        <v>4247</v>
      </c>
      <c r="D748" t="s">
        <v>18136</v>
      </c>
      <c r="E748" t="s">
        <v>18892</v>
      </c>
      <c r="F748" t="s">
        <v>31362</v>
      </c>
      <c r="G748" t="s">
        <v>31369</v>
      </c>
      <c r="H748" t="s">
        <v>31378</v>
      </c>
      <c r="I748" t="s">
        <v>31386</v>
      </c>
      <c r="J748" t="s">
        <v>32096</v>
      </c>
      <c r="K748" t="s">
        <v>40710</v>
      </c>
      <c r="M748" t="s">
        <v>41310</v>
      </c>
      <c r="N748" t="s">
        <v>44905</v>
      </c>
      <c r="O748" t="s">
        <v>44906</v>
      </c>
      <c r="P748">
        <v>0</v>
      </c>
      <c r="Q748">
        <v>0</v>
      </c>
      <c r="R748" t="s">
        <v>44907</v>
      </c>
      <c r="S748" t="s">
        <v>45026</v>
      </c>
      <c r="T748" t="s">
        <v>46521</v>
      </c>
      <c r="U748" t="s">
        <v>47576</v>
      </c>
      <c r="W748" t="s">
        <v>41310</v>
      </c>
      <c r="X748" t="s">
        <v>44908</v>
      </c>
    </row>
    <row r="749" spans="1:24">
      <c r="A749">
        <f>HYPERLINK("https://www.philgeps.gov.ph/GEPSNONPILOT/Tender/SplashBidNoticeAbstractUI.aspx?menuIndex=3&amp;refID=7082453&amp;Result=3","7082453")</f>
        <v>0</v>
      </c>
      <c r="B749" t="s">
        <v>237</v>
      </c>
      <c r="C749" t="s">
        <v>4248</v>
      </c>
      <c r="D749" t="s">
        <v>18108</v>
      </c>
      <c r="E749" t="s">
        <v>18893</v>
      </c>
      <c r="F749" t="s">
        <v>31362</v>
      </c>
      <c r="G749" t="s">
        <v>31370</v>
      </c>
      <c r="H749" t="s">
        <v>15799</v>
      </c>
      <c r="I749" t="s">
        <v>31451</v>
      </c>
      <c r="J749" t="s">
        <v>32097</v>
      </c>
      <c r="K749" t="s">
        <v>40670</v>
      </c>
      <c r="M749" t="s">
        <v>41176</v>
      </c>
      <c r="N749" t="s">
        <v>44905</v>
      </c>
      <c r="O749" t="s">
        <v>44906</v>
      </c>
      <c r="P749">
        <v>0</v>
      </c>
      <c r="Q749">
        <v>2</v>
      </c>
      <c r="R749" t="s">
        <v>44907</v>
      </c>
      <c r="S749" t="s">
        <v>45026</v>
      </c>
      <c r="T749" t="s">
        <v>46494</v>
      </c>
      <c r="U749" t="s">
        <v>47577</v>
      </c>
      <c r="V749" t="s">
        <v>59113</v>
      </c>
      <c r="W749" t="s">
        <v>41176</v>
      </c>
      <c r="X749" t="s">
        <v>44908</v>
      </c>
    </row>
    <row r="750" spans="1:24">
      <c r="A750">
        <f>HYPERLINK("https://www.philgeps.gov.ph/GEPSNONPILOT/Tender/SplashBidNoticeAbstractUI.aspx?menuIndex=3&amp;refID=7082393&amp;Result=3","7082393")</f>
        <v>0</v>
      </c>
      <c r="B750" t="s">
        <v>308</v>
      </c>
      <c r="C750" t="s">
        <v>4249</v>
      </c>
      <c r="D750" t="s">
        <v>18123</v>
      </c>
      <c r="E750" t="s">
        <v>18894</v>
      </c>
      <c r="F750" t="s">
        <v>31362</v>
      </c>
      <c r="G750" t="s">
        <v>31368</v>
      </c>
      <c r="H750" t="s">
        <v>15799</v>
      </c>
      <c r="I750" t="s">
        <v>31387</v>
      </c>
      <c r="J750" t="s">
        <v>31724</v>
      </c>
      <c r="K750" t="s">
        <v>40665</v>
      </c>
      <c r="M750" t="s">
        <v>41252</v>
      </c>
      <c r="N750" t="s">
        <v>44905</v>
      </c>
      <c r="O750" t="s">
        <v>44906</v>
      </c>
      <c r="P750">
        <v>0</v>
      </c>
      <c r="Q750">
        <v>0</v>
      </c>
      <c r="R750" t="s">
        <v>44907</v>
      </c>
      <c r="S750" t="s">
        <v>45026</v>
      </c>
      <c r="T750" t="s">
        <v>46503</v>
      </c>
      <c r="U750" t="s">
        <v>47578</v>
      </c>
      <c r="W750" t="s">
        <v>41252</v>
      </c>
      <c r="X750" t="s">
        <v>44908</v>
      </c>
    </row>
    <row r="751" spans="1:24">
      <c r="A751">
        <f>HYPERLINK("https://www.philgeps.gov.ph/GEPSNONPILOT/Tender/SplashBidNoticeAbstractUI.aspx?menuIndex=3&amp;refID=7082451&amp;Result=3","7082451")</f>
        <v>0</v>
      </c>
      <c r="B751" t="s">
        <v>227</v>
      </c>
      <c r="C751" t="s">
        <v>4250</v>
      </c>
      <c r="D751" t="s">
        <v>18108</v>
      </c>
      <c r="E751" t="s">
        <v>18895</v>
      </c>
      <c r="F751" t="s">
        <v>31362</v>
      </c>
      <c r="G751" t="s">
        <v>31370</v>
      </c>
      <c r="H751" t="s">
        <v>15799</v>
      </c>
      <c r="I751" t="s">
        <v>31393</v>
      </c>
      <c r="J751" t="s">
        <v>31897</v>
      </c>
      <c r="K751" t="s">
        <v>40662</v>
      </c>
      <c r="M751" t="s">
        <v>41166</v>
      </c>
      <c r="N751" t="s">
        <v>44905</v>
      </c>
      <c r="O751" t="s">
        <v>44906</v>
      </c>
      <c r="P751">
        <v>0</v>
      </c>
      <c r="Q751">
        <v>8</v>
      </c>
      <c r="R751" t="s">
        <v>44907</v>
      </c>
      <c r="S751" t="s">
        <v>45026</v>
      </c>
      <c r="T751" t="s">
        <v>46492</v>
      </c>
      <c r="U751" t="s">
        <v>47579</v>
      </c>
      <c r="W751" t="s">
        <v>41297</v>
      </c>
      <c r="X751" t="s">
        <v>44908</v>
      </c>
    </row>
    <row r="752" spans="1:24">
      <c r="A752">
        <f>HYPERLINK("https://www.philgeps.gov.ph/GEPSNONPILOT/Tender/SplashBidNoticeAbstractUI.aspx?menuIndex=3&amp;refID=7082449&amp;Result=3","7082449")</f>
        <v>0</v>
      </c>
      <c r="B752" t="s">
        <v>380</v>
      </c>
      <c r="C752" t="s">
        <v>4251</v>
      </c>
      <c r="D752" t="s">
        <v>18110</v>
      </c>
      <c r="E752" t="s">
        <v>18896</v>
      </c>
      <c r="F752" t="s">
        <v>31362</v>
      </c>
      <c r="G752" t="s">
        <v>31369</v>
      </c>
      <c r="H752" t="s">
        <v>15799</v>
      </c>
      <c r="I752" t="s">
        <v>31452</v>
      </c>
      <c r="J752" t="s">
        <v>32098</v>
      </c>
      <c r="K752" t="s">
        <v>40665</v>
      </c>
      <c r="M752" t="s">
        <v>41327</v>
      </c>
      <c r="N752" t="s">
        <v>44905</v>
      </c>
      <c r="O752" t="s">
        <v>44906</v>
      </c>
      <c r="P752">
        <v>0</v>
      </c>
      <c r="Q752">
        <v>3</v>
      </c>
      <c r="R752" t="s">
        <v>44907</v>
      </c>
      <c r="S752" t="s">
        <v>45026</v>
      </c>
      <c r="T752" t="s">
        <v>46417</v>
      </c>
      <c r="U752" t="s">
        <v>47580</v>
      </c>
      <c r="W752" t="s">
        <v>41327</v>
      </c>
      <c r="X752" t="s">
        <v>44908</v>
      </c>
    </row>
    <row r="753" spans="1:24">
      <c r="A753">
        <f>HYPERLINK("https://www.philgeps.gov.ph/GEPSNONPILOT/Tender/SplashBidNoticeAbstractUI.aspx?menuIndex=3&amp;refID=7082417&amp;Result=3","7082417")</f>
        <v>0</v>
      </c>
      <c r="B753" t="s">
        <v>372</v>
      </c>
      <c r="C753" t="s">
        <v>4252</v>
      </c>
      <c r="D753" t="s">
        <v>18176</v>
      </c>
      <c r="E753" t="s">
        <v>18897</v>
      </c>
      <c r="F753" t="s">
        <v>31362</v>
      </c>
      <c r="G753" t="s">
        <v>31369</v>
      </c>
      <c r="H753" t="s">
        <v>15799</v>
      </c>
      <c r="I753" t="s">
        <v>7188</v>
      </c>
      <c r="J753" t="s">
        <v>31564</v>
      </c>
      <c r="K753" t="s">
        <v>40662</v>
      </c>
      <c r="M753" t="s">
        <v>41319</v>
      </c>
      <c r="N753" t="s">
        <v>44905</v>
      </c>
      <c r="O753" t="s">
        <v>44906</v>
      </c>
      <c r="P753">
        <v>0</v>
      </c>
      <c r="Q753">
        <v>0</v>
      </c>
      <c r="R753" t="s">
        <v>44907</v>
      </c>
      <c r="S753" t="s">
        <v>45026</v>
      </c>
      <c r="T753" t="s">
        <v>46396</v>
      </c>
      <c r="U753" t="s">
        <v>47581</v>
      </c>
      <c r="W753" t="s">
        <v>41319</v>
      </c>
      <c r="X753" t="s">
        <v>44908</v>
      </c>
    </row>
    <row r="754" spans="1:24">
      <c r="A754">
        <f>HYPERLINK("https://www.philgeps.gov.ph/GEPSNONPILOT/Tender/SplashBidNoticeAbstractUI.aspx?menuIndex=3&amp;refID=7082447&amp;Result=3","7082447")</f>
        <v>0</v>
      </c>
      <c r="B754" t="s">
        <v>381</v>
      </c>
      <c r="C754" t="s">
        <v>4253</v>
      </c>
      <c r="D754" t="s">
        <v>18167</v>
      </c>
      <c r="E754" t="s">
        <v>18898</v>
      </c>
      <c r="F754" t="s">
        <v>31362</v>
      </c>
      <c r="G754" t="s">
        <v>31370</v>
      </c>
      <c r="H754" t="s">
        <v>15799</v>
      </c>
      <c r="I754" t="s">
        <v>31385</v>
      </c>
      <c r="J754" t="s">
        <v>32099</v>
      </c>
      <c r="K754" t="s">
        <v>40697</v>
      </c>
      <c r="M754" t="s">
        <v>41328</v>
      </c>
      <c r="N754" t="s">
        <v>44905</v>
      </c>
      <c r="O754" t="s">
        <v>44906</v>
      </c>
      <c r="P754">
        <v>0</v>
      </c>
      <c r="Q754">
        <v>3</v>
      </c>
      <c r="R754" t="s">
        <v>44907</v>
      </c>
      <c r="S754" t="s">
        <v>45026</v>
      </c>
      <c r="T754" t="s">
        <v>46432</v>
      </c>
      <c r="U754" t="s">
        <v>47582</v>
      </c>
      <c r="W754" t="s">
        <v>41328</v>
      </c>
      <c r="X754" t="s">
        <v>44908</v>
      </c>
    </row>
    <row r="755" spans="1:24">
      <c r="A755">
        <f>HYPERLINK("https://www.philgeps.gov.ph/GEPSNONPILOT/Tender/SplashBidNoticeAbstractUI.aspx?menuIndex=3&amp;refID=7082445&amp;Result=3","7082445")</f>
        <v>0</v>
      </c>
      <c r="B755" t="s">
        <v>382</v>
      </c>
      <c r="C755" t="s">
        <v>4254</v>
      </c>
      <c r="D755" t="s">
        <v>18142</v>
      </c>
      <c r="E755" t="s">
        <v>18899</v>
      </c>
      <c r="F755" t="s">
        <v>31362</v>
      </c>
      <c r="G755" t="s">
        <v>31368</v>
      </c>
      <c r="H755" t="s">
        <v>15799</v>
      </c>
      <c r="I755" t="s">
        <v>7188</v>
      </c>
      <c r="J755" t="s">
        <v>31725</v>
      </c>
      <c r="K755" t="s">
        <v>40661</v>
      </c>
      <c r="M755" t="s">
        <v>41329</v>
      </c>
      <c r="N755" t="s">
        <v>44905</v>
      </c>
      <c r="O755" t="s">
        <v>44906</v>
      </c>
      <c r="P755">
        <v>0</v>
      </c>
      <c r="Q755">
        <v>0</v>
      </c>
      <c r="R755" t="s">
        <v>44907</v>
      </c>
      <c r="S755" t="s">
        <v>45026</v>
      </c>
      <c r="T755" t="s">
        <v>46403</v>
      </c>
      <c r="U755" t="s">
        <v>47583</v>
      </c>
      <c r="W755" t="s">
        <v>41329</v>
      </c>
      <c r="X755" t="s">
        <v>44908</v>
      </c>
    </row>
    <row r="756" spans="1:24">
      <c r="A756">
        <f>HYPERLINK("https://www.philgeps.gov.ph/GEPSNONPILOT/Tender/SplashBidNoticeAbstractUI.aspx?menuIndex=3&amp;refID=7082444&amp;Result=3","7082444")</f>
        <v>0</v>
      </c>
      <c r="B756" t="s">
        <v>237</v>
      </c>
      <c r="C756" t="s">
        <v>4255</v>
      </c>
      <c r="D756" t="s">
        <v>18108</v>
      </c>
      <c r="E756" t="s">
        <v>18900</v>
      </c>
      <c r="F756" t="s">
        <v>31362</v>
      </c>
      <c r="G756" t="s">
        <v>31370</v>
      </c>
      <c r="H756" t="s">
        <v>15799</v>
      </c>
      <c r="I756" t="s">
        <v>31380</v>
      </c>
      <c r="J756" t="s">
        <v>32071</v>
      </c>
      <c r="K756" t="s">
        <v>40670</v>
      </c>
      <c r="M756" t="s">
        <v>41330</v>
      </c>
      <c r="N756" t="s">
        <v>44905</v>
      </c>
      <c r="O756" t="s">
        <v>44906</v>
      </c>
      <c r="P756">
        <v>0</v>
      </c>
      <c r="Q756">
        <v>2</v>
      </c>
      <c r="R756" t="s">
        <v>44907</v>
      </c>
      <c r="S756" t="s">
        <v>45026</v>
      </c>
      <c r="T756" t="s">
        <v>46454</v>
      </c>
      <c r="U756" t="s">
        <v>47584</v>
      </c>
      <c r="W756" t="s">
        <v>41330</v>
      </c>
      <c r="X756" t="s">
        <v>44908</v>
      </c>
    </row>
    <row r="757" spans="1:24">
      <c r="A757">
        <f>HYPERLINK("https://www.philgeps.gov.ph/GEPSNONPILOT/Tender/SplashBidNoticeAbstractUI.aspx?menuIndex=3&amp;refID=7082479&amp;Result=3","7082479")</f>
        <v>0</v>
      </c>
      <c r="B757" t="s">
        <v>175</v>
      </c>
      <c r="C757" t="s">
        <v>4256</v>
      </c>
      <c r="D757" t="s">
        <v>18153</v>
      </c>
      <c r="E757" t="s">
        <v>18901</v>
      </c>
      <c r="F757" t="s">
        <v>31362</v>
      </c>
      <c r="G757" t="s">
        <v>31369</v>
      </c>
      <c r="H757" t="s">
        <v>31378</v>
      </c>
      <c r="I757" t="s">
        <v>31386</v>
      </c>
      <c r="J757" t="s">
        <v>32100</v>
      </c>
      <c r="K757" t="s">
        <v>40694</v>
      </c>
      <c r="L757" t="s">
        <v>175</v>
      </c>
      <c r="M757" t="s">
        <v>41113</v>
      </c>
      <c r="N757" t="s">
        <v>44905</v>
      </c>
      <c r="O757" t="s">
        <v>44906</v>
      </c>
      <c r="P757">
        <v>0</v>
      </c>
      <c r="Q757">
        <v>0</v>
      </c>
      <c r="R757" t="s">
        <v>44907</v>
      </c>
      <c r="S757" t="s">
        <v>45026</v>
      </c>
      <c r="T757" t="s">
        <v>46525</v>
      </c>
      <c r="U757" t="s">
        <v>47585</v>
      </c>
      <c r="V757" t="s">
        <v>59150</v>
      </c>
      <c r="W757" t="s">
        <v>41113</v>
      </c>
      <c r="X757" t="s">
        <v>44908</v>
      </c>
    </row>
    <row r="758" spans="1:24">
      <c r="A758">
        <f>HYPERLINK("https://www.philgeps.gov.ph/GEPSNONPILOT/Tender/SplashBidNoticeAbstractUI.aspx?menuIndex=3&amp;refID=7082452&amp;Result=3","7082452")</f>
        <v>0</v>
      </c>
      <c r="B758" t="s">
        <v>344</v>
      </c>
      <c r="C758" t="s">
        <v>4257</v>
      </c>
      <c r="D758" t="s">
        <v>18148</v>
      </c>
      <c r="E758" t="s">
        <v>18902</v>
      </c>
      <c r="F758" t="s">
        <v>31362</v>
      </c>
      <c r="G758" t="s">
        <v>31368</v>
      </c>
      <c r="H758" t="s">
        <v>15799</v>
      </c>
      <c r="I758" t="s">
        <v>31380</v>
      </c>
      <c r="J758" t="s">
        <v>31546</v>
      </c>
      <c r="K758" t="s">
        <v>40665</v>
      </c>
      <c r="M758" t="s">
        <v>41290</v>
      </c>
      <c r="N758" t="s">
        <v>44905</v>
      </c>
      <c r="O758" t="s">
        <v>44906</v>
      </c>
      <c r="P758">
        <v>0</v>
      </c>
      <c r="Q758">
        <v>1</v>
      </c>
      <c r="R758" t="s">
        <v>44907</v>
      </c>
      <c r="S758" t="s">
        <v>45026</v>
      </c>
      <c r="T758" t="s">
        <v>46470</v>
      </c>
      <c r="U758" t="s">
        <v>47586</v>
      </c>
      <c r="W758" t="s">
        <v>41290</v>
      </c>
      <c r="X758" t="s">
        <v>44908</v>
      </c>
    </row>
    <row r="759" spans="1:24">
      <c r="A759">
        <f>HYPERLINK("https://www.philgeps.gov.ph/GEPSNONPILOT/Tender/SplashBidNoticeAbstractUI.aspx?menuIndex=3&amp;refID=7082482&amp;Result=3","7082482")</f>
        <v>0</v>
      </c>
      <c r="B759" t="s">
        <v>383</v>
      </c>
      <c r="C759" t="s">
        <v>4258</v>
      </c>
      <c r="D759" t="s">
        <v>18116</v>
      </c>
      <c r="E759" t="s">
        <v>18648</v>
      </c>
      <c r="F759" t="s">
        <v>31362</v>
      </c>
      <c r="G759" t="s">
        <v>31368</v>
      </c>
      <c r="H759" t="s">
        <v>15799</v>
      </c>
      <c r="I759" t="s">
        <v>31385</v>
      </c>
      <c r="J759" t="s">
        <v>32086</v>
      </c>
      <c r="K759" t="s">
        <v>40672</v>
      </c>
      <c r="M759" t="s">
        <v>41331</v>
      </c>
      <c r="N759" t="s">
        <v>44905</v>
      </c>
      <c r="O759" t="s">
        <v>44906</v>
      </c>
      <c r="P759">
        <v>0</v>
      </c>
      <c r="Q759">
        <v>0</v>
      </c>
      <c r="R759" t="s">
        <v>44907</v>
      </c>
      <c r="S759" t="s">
        <v>45026</v>
      </c>
      <c r="T759" t="s">
        <v>46403</v>
      </c>
      <c r="U759" t="s">
        <v>47587</v>
      </c>
      <c r="V759" t="s">
        <v>59151</v>
      </c>
      <c r="W759" t="s">
        <v>41331</v>
      </c>
      <c r="X759" t="s">
        <v>44908</v>
      </c>
    </row>
    <row r="760" spans="1:24">
      <c r="A760">
        <f>HYPERLINK("https://www.philgeps.gov.ph/GEPSNONPILOT/Tender/SplashBidNoticeAbstractUI.aspx?menuIndex=3&amp;refID=7082481&amp;Result=3","7082481")</f>
        <v>0</v>
      </c>
      <c r="B760" t="s">
        <v>267</v>
      </c>
      <c r="C760" t="s">
        <v>4259</v>
      </c>
      <c r="D760" t="s">
        <v>18154</v>
      </c>
      <c r="E760" t="s">
        <v>18903</v>
      </c>
      <c r="F760" t="s">
        <v>31362</v>
      </c>
      <c r="G760" t="s">
        <v>31368</v>
      </c>
      <c r="H760" t="s">
        <v>15799</v>
      </c>
      <c r="I760" t="s">
        <v>31404</v>
      </c>
      <c r="J760" t="s">
        <v>32101</v>
      </c>
      <c r="K760" t="s">
        <v>40661</v>
      </c>
      <c r="M760" t="s">
        <v>41208</v>
      </c>
      <c r="N760" t="s">
        <v>44905</v>
      </c>
      <c r="O760" t="s">
        <v>44906</v>
      </c>
      <c r="P760">
        <v>0</v>
      </c>
      <c r="Q760">
        <v>0</v>
      </c>
      <c r="R760" t="s">
        <v>44907</v>
      </c>
      <c r="S760" t="s">
        <v>45026</v>
      </c>
      <c r="T760" t="s">
        <v>46447</v>
      </c>
      <c r="U760" t="s">
        <v>47588</v>
      </c>
      <c r="W760" t="s">
        <v>41208</v>
      </c>
      <c r="X760" t="s">
        <v>44908</v>
      </c>
    </row>
    <row r="761" spans="1:24">
      <c r="A761">
        <f>HYPERLINK("https://www.philgeps.gov.ph/GEPSNONPILOT/Tender/SplashBidNoticeAbstractUI.aspx?menuIndex=3&amp;refID=7082455&amp;Result=3","7082455")</f>
        <v>0</v>
      </c>
      <c r="B761" t="s">
        <v>356</v>
      </c>
      <c r="C761" t="s">
        <v>4260</v>
      </c>
      <c r="D761" t="s">
        <v>18107</v>
      </c>
      <c r="E761" t="s">
        <v>18843</v>
      </c>
      <c r="F761" t="s">
        <v>31362</v>
      </c>
      <c r="G761" t="s">
        <v>31368</v>
      </c>
      <c r="H761" t="s">
        <v>15799</v>
      </c>
      <c r="I761" t="s">
        <v>31385</v>
      </c>
      <c r="J761" t="s">
        <v>32102</v>
      </c>
      <c r="K761" t="s">
        <v>40665</v>
      </c>
      <c r="M761" t="s">
        <v>41303</v>
      </c>
      <c r="N761" t="s">
        <v>44905</v>
      </c>
      <c r="O761" t="s">
        <v>44906</v>
      </c>
      <c r="P761">
        <v>0</v>
      </c>
      <c r="Q761">
        <v>2</v>
      </c>
      <c r="R761" t="s">
        <v>44907</v>
      </c>
      <c r="S761" t="s">
        <v>45026</v>
      </c>
      <c r="T761" t="s">
        <v>46454</v>
      </c>
      <c r="U761" t="s">
        <v>47531</v>
      </c>
      <c r="W761" t="s">
        <v>41303</v>
      </c>
      <c r="X761" t="s">
        <v>44908</v>
      </c>
    </row>
    <row r="762" spans="1:24">
      <c r="A762">
        <f>HYPERLINK("https://www.philgeps.gov.ph/GEPSNONPILOT/Tender/SplashBidNoticeAbstractUI.aspx?menuIndex=3&amp;refID=7082480&amp;Result=3","7082480")</f>
        <v>0</v>
      </c>
      <c r="B762" t="s">
        <v>384</v>
      </c>
      <c r="C762" t="s">
        <v>4261</v>
      </c>
      <c r="D762" t="s">
        <v>18154</v>
      </c>
      <c r="E762" t="s">
        <v>18904</v>
      </c>
      <c r="F762" t="s">
        <v>31362</v>
      </c>
      <c r="G762" t="s">
        <v>31369</v>
      </c>
      <c r="H762" t="s">
        <v>15799</v>
      </c>
      <c r="I762" t="s">
        <v>3815</v>
      </c>
      <c r="J762" t="s">
        <v>32103</v>
      </c>
      <c r="K762" t="s">
        <v>40662</v>
      </c>
      <c r="M762" t="s">
        <v>41332</v>
      </c>
      <c r="N762" t="s">
        <v>44905</v>
      </c>
      <c r="O762" t="s">
        <v>44906</v>
      </c>
      <c r="P762">
        <v>0</v>
      </c>
      <c r="Q762">
        <v>0</v>
      </c>
      <c r="R762" t="s">
        <v>44907</v>
      </c>
      <c r="S762" t="s">
        <v>45026</v>
      </c>
      <c r="T762" t="s">
        <v>46396</v>
      </c>
      <c r="U762" t="s">
        <v>47589</v>
      </c>
      <c r="W762" t="s">
        <v>41332</v>
      </c>
      <c r="X762" t="s">
        <v>44908</v>
      </c>
    </row>
    <row r="763" spans="1:24">
      <c r="A763">
        <f>HYPERLINK("https://www.philgeps.gov.ph/GEPSNONPILOT/Tender/SplashBidNoticeAbstractUI.aspx?menuIndex=3&amp;refID=7082478&amp;Result=3","7082478")</f>
        <v>0</v>
      </c>
      <c r="B763" t="s">
        <v>225</v>
      </c>
      <c r="C763" t="s">
        <v>4262</v>
      </c>
      <c r="D763" t="s">
        <v>18158</v>
      </c>
      <c r="E763" t="s">
        <v>18905</v>
      </c>
      <c r="F763" t="s">
        <v>31362</v>
      </c>
      <c r="G763" t="s">
        <v>31368</v>
      </c>
      <c r="H763" t="s">
        <v>15799</v>
      </c>
      <c r="I763" t="s">
        <v>31437</v>
      </c>
      <c r="J763" t="s">
        <v>32104</v>
      </c>
      <c r="K763" t="s">
        <v>40670</v>
      </c>
      <c r="M763" t="s">
        <v>41164</v>
      </c>
      <c r="N763" t="s">
        <v>44905</v>
      </c>
      <c r="O763" t="s">
        <v>44906</v>
      </c>
      <c r="P763">
        <v>0</v>
      </c>
      <c r="Q763">
        <v>0</v>
      </c>
      <c r="R763" t="s">
        <v>44907</v>
      </c>
      <c r="S763" t="s">
        <v>45026</v>
      </c>
      <c r="T763" t="s">
        <v>46396</v>
      </c>
      <c r="U763" t="s">
        <v>47303</v>
      </c>
      <c r="W763" t="s">
        <v>41164</v>
      </c>
      <c r="X763" t="s">
        <v>44908</v>
      </c>
    </row>
    <row r="764" spans="1:24">
      <c r="A764">
        <f>HYPERLINK("https://www.philgeps.gov.ph/GEPSNONPILOT/Tender/SplashBidNoticeAbstractUI.aspx?menuIndex=3&amp;refID=7082448&amp;Result=3","7082448")</f>
        <v>0</v>
      </c>
      <c r="B764" t="s">
        <v>207</v>
      </c>
      <c r="C764" t="s">
        <v>4263</v>
      </c>
      <c r="D764" t="s">
        <v>18127</v>
      </c>
      <c r="E764" t="s">
        <v>18906</v>
      </c>
      <c r="F764" t="s">
        <v>31362</v>
      </c>
      <c r="G764" t="s">
        <v>31368</v>
      </c>
      <c r="H764" t="s">
        <v>15799</v>
      </c>
      <c r="I764" t="s">
        <v>31380</v>
      </c>
      <c r="J764" t="s">
        <v>32105</v>
      </c>
      <c r="K764" t="s">
        <v>40661</v>
      </c>
      <c r="M764" t="s">
        <v>41146</v>
      </c>
      <c r="N764" t="s">
        <v>44905</v>
      </c>
      <c r="O764" t="s">
        <v>44906</v>
      </c>
      <c r="P764">
        <v>0</v>
      </c>
      <c r="Q764">
        <v>1</v>
      </c>
      <c r="R764" t="s">
        <v>44907</v>
      </c>
      <c r="S764" t="s">
        <v>45026</v>
      </c>
      <c r="T764" t="s">
        <v>46417</v>
      </c>
      <c r="U764" t="s">
        <v>47590</v>
      </c>
      <c r="V764" t="s">
        <v>59100</v>
      </c>
      <c r="W764" t="s">
        <v>41146</v>
      </c>
      <c r="X764" t="s">
        <v>44908</v>
      </c>
    </row>
    <row r="765" spans="1:24">
      <c r="A765">
        <f>HYPERLINK("https://www.philgeps.gov.ph/GEPSNONPILOT/Tender/SplashBidNoticeAbstractUI.aspx?menuIndex=3&amp;refID=7082476&amp;Result=3","7082476")</f>
        <v>0</v>
      </c>
      <c r="B765" t="s">
        <v>56</v>
      </c>
      <c r="C765" t="s">
        <v>4264</v>
      </c>
      <c r="D765" t="s">
        <v>18106</v>
      </c>
      <c r="E765" t="s">
        <v>18907</v>
      </c>
      <c r="F765" t="s">
        <v>31362</v>
      </c>
      <c r="G765" t="s">
        <v>31368</v>
      </c>
      <c r="H765" t="s">
        <v>15799</v>
      </c>
      <c r="I765" t="s">
        <v>31411</v>
      </c>
      <c r="J765" t="s">
        <v>31943</v>
      </c>
      <c r="K765" t="s">
        <v>40666</v>
      </c>
      <c r="M765" t="s">
        <v>40990</v>
      </c>
      <c r="N765" t="s">
        <v>44905</v>
      </c>
      <c r="O765" t="s">
        <v>44906</v>
      </c>
      <c r="P765">
        <v>0</v>
      </c>
      <c r="Q765">
        <v>1</v>
      </c>
      <c r="R765" t="s">
        <v>44907</v>
      </c>
      <c r="S765" t="s">
        <v>45026</v>
      </c>
      <c r="T765" t="s">
        <v>46413</v>
      </c>
      <c r="U765" t="s">
        <v>46976</v>
      </c>
      <c r="V765" t="s">
        <v>59152</v>
      </c>
      <c r="W765" t="s">
        <v>40990</v>
      </c>
      <c r="X765" t="s">
        <v>44908</v>
      </c>
    </row>
    <row r="766" spans="1:24">
      <c r="A766">
        <f>HYPERLINK("https://www.philgeps.gov.ph/GEPSNONPILOT/Tender/SplashBidNoticeAbstractUI.aspx?menuIndex=3&amp;refID=7082412&amp;Result=3","7082412")</f>
        <v>0</v>
      </c>
      <c r="B766" t="s">
        <v>298</v>
      </c>
      <c r="C766" t="s">
        <v>4265</v>
      </c>
      <c r="D766" t="s">
        <v>18168</v>
      </c>
      <c r="E766" t="s">
        <v>18908</v>
      </c>
      <c r="F766" t="s">
        <v>31362</v>
      </c>
      <c r="G766" t="s">
        <v>31368</v>
      </c>
      <c r="H766" t="s">
        <v>15799</v>
      </c>
      <c r="I766" t="s">
        <v>31390</v>
      </c>
      <c r="J766" t="s">
        <v>32106</v>
      </c>
      <c r="K766" t="s">
        <v>40662</v>
      </c>
      <c r="M766" t="s">
        <v>41241</v>
      </c>
      <c r="N766" t="s">
        <v>44905</v>
      </c>
      <c r="O766" t="s">
        <v>44906</v>
      </c>
      <c r="P766">
        <v>0</v>
      </c>
      <c r="Q766">
        <v>0</v>
      </c>
      <c r="R766" t="s">
        <v>44907</v>
      </c>
      <c r="S766" t="s">
        <v>45026</v>
      </c>
      <c r="T766" t="s">
        <v>46506</v>
      </c>
      <c r="U766" t="s">
        <v>47591</v>
      </c>
      <c r="W766" t="s">
        <v>41241</v>
      </c>
      <c r="X766" t="s">
        <v>44908</v>
      </c>
    </row>
    <row r="767" spans="1:24">
      <c r="A767">
        <f>HYPERLINK("https://www.philgeps.gov.ph/GEPSNONPILOT/Tender/SplashBidNoticeAbstractUI.aspx?menuIndex=3&amp;refID=7082472&amp;Result=3","7082472")</f>
        <v>0</v>
      </c>
      <c r="B767" t="s">
        <v>385</v>
      </c>
      <c r="C767" t="s">
        <v>4266</v>
      </c>
      <c r="D767" t="s">
        <v>18108</v>
      </c>
      <c r="E767" t="s">
        <v>18909</v>
      </c>
      <c r="F767" t="s">
        <v>31362</v>
      </c>
      <c r="G767" t="s">
        <v>31370</v>
      </c>
      <c r="H767" t="s">
        <v>15799</v>
      </c>
      <c r="I767" t="s">
        <v>3815</v>
      </c>
      <c r="J767" t="s">
        <v>32107</v>
      </c>
      <c r="K767" t="s">
        <v>40666</v>
      </c>
      <c r="M767" t="s">
        <v>41333</v>
      </c>
      <c r="N767" t="s">
        <v>44905</v>
      </c>
      <c r="O767" t="s">
        <v>44906</v>
      </c>
      <c r="P767">
        <v>0</v>
      </c>
      <c r="Q767">
        <v>1</v>
      </c>
      <c r="R767" t="s">
        <v>44907</v>
      </c>
      <c r="S767" t="s">
        <v>45026</v>
      </c>
      <c r="T767" t="s">
        <v>46470</v>
      </c>
      <c r="U767" t="s">
        <v>47592</v>
      </c>
      <c r="W767" t="s">
        <v>60851</v>
      </c>
      <c r="X767" t="s">
        <v>44908</v>
      </c>
    </row>
    <row r="768" spans="1:24">
      <c r="A768">
        <f>HYPERLINK("https://www.philgeps.gov.ph/GEPSNONPILOT/Tender/SplashBidNoticeAbstractUI.aspx?menuIndex=3&amp;refID=7082469&amp;Result=3","7082469")</f>
        <v>0</v>
      </c>
      <c r="B768" t="s">
        <v>376</v>
      </c>
      <c r="C768" t="s">
        <v>4267</v>
      </c>
      <c r="D768" t="s">
        <v>18160</v>
      </c>
      <c r="E768" t="s">
        <v>18910</v>
      </c>
      <c r="F768" t="s">
        <v>31362</v>
      </c>
      <c r="G768" t="s">
        <v>31368</v>
      </c>
      <c r="H768" t="s">
        <v>15799</v>
      </c>
      <c r="I768" t="s">
        <v>31444</v>
      </c>
      <c r="J768" t="s">
        <v>31708</v>
      </c>
      <c r="K768" t="s">
        <v>40662</v>
      </c>
      <c r="M768" t="s">
        <v>41323</v>
      </c>
      <c r="N768" t="s">
        <v>44905</v>
      </c>
      <c r="O768" t="s">
        <v>44906</v>
      </c>
      <c r="P768">
        <v>0</v>
      </c>
      <c r="Q768">
        <v>4</v>
      </c>
      <c r="R768" t="s">
        <v>44907</v>
      </c>
      <c r="S768" t="s">
        <v>45026</v>
      </c>
      <c r="T768" t="s">
        <v>46409</v>
      </c>
      <c r="U768" t="s">
        <v>47593</v>
      </c>
      <c r="W768" t="s">
        <v>60850</v>
      </c>
      <c r="X768" t="s">
        <v>44908</v>
      </c>
    </row>
    <row r="769" spans="1:24">
      <c r="A769">
        <f>HYPERLINK("https://www.philgeps.gov.ph/GEPSNONPILOT/Tender/SplashBidNoticeAbstractUI.aspx?menuIndex=3&amp;refID=7082391&amp;Result=3","7082391")</f>
        <v>0</v>
      </c>
      <c r="B769" t="s">
        <v>386</v>
      </c>
      <c r="C769" t="s">
        <v>4268</v>
      </c>
      <c r="D769" t="s">
        <v>18108</v>
      </c>
      <c r="E769" t="s">
        <v>18911</v>
      </c>
      <c r="F769" t="s">
        <v>31362</v>
      </c>
      <c r="G769" t="s">
        <v>31368</v>
      </c>
      <c r="H769" t="s">
        <v>15799</v>
      </c>
      <c r="I769" t="s">
        <v>31422</v>
      </c>
      <c r="J769" t="s">
        <v>32108</v>
      </c>
      <c r="K769" t="s">
        <v>40661</v>
      </c>
      <c r="M769" t="s">
        <v>41334</v>
      </c>
      <c r="N769" t="s">
        <v>44905</v>
      </c>
      <c r="O769" t="s">
        <v>44906</v>
      </c>
      <c r="P769">
        <v>0</v>
      </c>
      <c r="Q769">
        <v>5</v>
      </c>
      <c r="R769" t="s">
        <v>44907</v>
      </c>
      <c r="S769" t="s">
        <v>45026</v>
      </c>
      <c r="T769" t="s">
        <v>46438</v>
      </c>
      <c r="U769" t="s">
        <v>47594</v>
      </c>
      <c r="W769" t="s">
        <v>41334</v>
      </c>
      <c r="X769" t="s">
        <v>44908</v>
      </c>
    </row>
    <row r="770" spans="1:24">
      <c r="A770">
        <f>HYPERLINK("https://www.philgeps.gov.ph/GEPSNONPILOT/Tender/SplashBidNoticeAbstractUI.aspx?menuIndex=3&amp;refID=7082474&amp;Result=3","7082474")</f>
        <v>0</v>
      </c>
      <c r="B770" t="s">
        <v>91</v>
      </c>
      <c r="C770" t="s">
        <v>4269</v>
      </c>
      <c r="D770" t="s">
        <v>18136</v>
      </c>
      <c r="E770" t="s">
        <v>18912</v>
      </c>
      <c r="F770" t="s">
        <v>31362</v>
      </c>
      <c r="G770" t="s">
        <v>31370</v>
      </c>
      <c r="H770" t="s">
        <v>15799</v>
      </c>
      <c r="I770" t="s">
        <v>31430</v>
      </c>
      <c r="J770" t="s">
        <v>32109</v>
      </c>
      <c r="K770" t="s">
        <v>40661</v>
      </c>
      <c r="M770" t="s">
        <v>41028</v>
      </c>
      <c r="N770" t="s">
        <v>44905</v>
      </c>
      <c r="O770" t="s">
        <v>44906</v>
      </c>
      <c r="P770">
        <v>0</v>
      </c>
      <c r="Q770">
        <v>0</v>
      </c>
      <c r="R770" t="s">
        <v>44907</v>
      </c>
      <c r="S770" t="s">
        <v>45026</v>
      </c>
      <c r="T770" t="s">
        <v>46411</v>
      </c>
      <c r="U770" t="s">
        <v>47595</v>
      </c>
      <c r="W770" t="s">
        <v>41028</v>
      </c>
      <c r="X770" t="s">
        <v>44908</v>
      </c>
    </row>
    <row r="771" spans="1:24">
      <c r="A771">
        <f>HYPERLINK("https://www.philgeps.gov.ph/GEPSNONPILOT/Tender/SplashBidNoticeAbstractUI.aspx?menuIndex=3&amp;refID=7082463&amp;Result=3","7082463")</f>
        <v>0</v>
      </c>
      <c r="B771" t="s">
        <v>367</v>
      </c>
      <c r="C771" t="s">
        <v>4270</v>
      </c>
      <c r="D771" t="s">
        <v>18134</v>
      </c>
      <c r="E771" t="s">
        <v>18913</v>
      </c>
      <c r="F771" t="s">
        <v>31362</v>
      </c>
      <c r="G771" t="s">
        <v>31368</v>
      </c>
      <c r="H771" t="s">
        <v>31378</v>
      </c>
      <c r="I771" t="s">
        <v>31386</v>
      </c>
      <c r="J771" t="s">
        <v>32110</v>
      </c>
      <c r="K771" t="s">
        <v>40711</v>
      </c>
      <c r="M771" t="s">
        <v>41314</v>
      </c>
      <c r="N771" t="s">
        <v>44905</v>
      </c>
      <c r="O771" t="s">
        <v>44906</v>
      </c>
      <c r="P771">
        <v>0</v>
      </c>
      <c r="Q771">
        <v>0</v>
      </c>
      <c r="R771" t="s">
        <v>44907</v>
      </c>
      <c r="S771" t="s">
        <v>45026</v>
      </c>
      <c r="T771" t="s">
        <v>46447</v>
      </c>
      <c r="U771" t="s">
        <v>47596</v>
      </c>
      <c r="W771" t="s">
        <v>41314</v>
      </c>
      <c r="X771" t="s">
        <v>44908</v>
      </c>
    </row>
    <row r="772" spans="1:24">
      <c r="A772">
        <f>HYPERLINK("https://www.philgeps.gov.ph/GEPSNONPILOT/Tender/SplashBidNoticeAbstractUI.aspx?menuIndex=3&amp;refID=7082477&amp;Result=3","7082477")</f>
        <v>0</v>
      </c>
      <c r="B772" t="s">
        <v>387</v>
      </c>
      <c r="C772" t="s">
        <v>4271</v>
      </c>
      <c r="D772" t="s">
        <v>18152</v>
      </c>
      <c r="E772" t="s">
        <v>18914</v>
      </c>
      <c r="F772" t="s">
        <v>31362</v>
      </c>
      <c r="G772" t="s">
        <v>31369</v>
      </c>
      <c r="H772" t="s">
        <v>15799</v>
      </c>
      <c r="I772" t="s">
        <v>3815</v>
      </c>
      <c r="J772" t="s">
        <v>32111</v>
      </c>
      <c r="K772" t="s">
        <v>40665</v>
      </c>
      <c r="M772" t="s">
        <v>41335</v>
      </c>
      <c r="N772" t="s">
        <v>44905</v>
      </c>
      <c r="O772" t="s">
        <v>44906</v>
      </c>
      <c r="P772">
        <v>0</v>
      </c>
      <c r="Q772">
        <v>0</v>
      </c>
      <c r="R772" t="s">
        <v>44907</v>
      </c>
      <c r="S772" t="s">
        <v>45026</v>
      </c>
      <c r="T772" t="s">
        <v>46462</v>
      </c>
      <c r="U772" t="s">
        <v>47597</v>
      </c>
      <c r="V772" t="s">
        <v>59153</v>
      </c>
      <c r="W772" t="s">
        <v>41335</v>
      </c>
      <c r="X772" t="s">
        <v>44908</v>
      </c>
    </row>
    <row r="773" spans="1:24">
      <c r="A773">
        <f>HYPERLINK("https://www.philgeps.gov.ph/GEPSNONPILOT/Tender/SplashBidNoticeAbstractUI.aspx?menuIndex=3&amp;refID=7082462&amp;Result=3","7082462")</f>
        <v>0</v>
      </c>
      <c r="B773" t="s">
        <v>388</v>
      </c>
      <c r="C773" t="s">
        <v>4272</v>
      </c>
      <c r="D773" t="s">
        <v>18108</v>
      </c>
      <c r="E773" t="s">
        <v>18915</v>
      </c>
      <c r="F773" t="s">
        <v>31362</v>
      </c>
      <c r="G773" t="s">
        <v>31369</v>
      </c>
      <c r="H773" t="s">
        <v>15799</v>
      </c>
      <c r="I773" t="s">
        <v>7188</v>
      </c>
      <c r="J773" t="s">
        <v>32112</v>
      </c>
      <c r="K773" t="s">
        <v>40662</v>
      </c>
      <c r="M773" t="s">
        <v>41336</v>
      </c>
      <c r="N773" t="s">
        <v>44905</v>
      </c>
      <c r="O773" t="s">
        <v>44906</v>
      </c>
      <c r="P773">
        <v>0</v>
      </c>
      <c r="Q773">
        <v>4</v>
      </c>
      <c r="R773" t="s">
        <v>44907</v>
      </c>
      <c r="S773" t="s">
        <v>45026</v>
      </c>
      <c r="T773" t="s">
        <v>46452</v>
      </c>
      <c r="U773" t="s">
        <v>47598</v>
      </c>
      <c r="W773" t="s">
        <v>41336</v>
      </c>
      <c r="X773" t="s">
        <v>44908</v>
      </c>
    </row>
    <row r="774" spans="1:24">
      <c r="A774">
        <f>HYPERLINK("https://www.philgeps.gov.ph/GEPSNONPILOT/Tender/SplashBidNoticeAbstractUI.aspx?menuIndex=3&amp;refID=7082459&amp;Result=3","7082459")</f>
        <v>0</v>
      </c>
      <c r="B774" t="s">
        <v>267</v>
      </c>
      <c r="C774" t="s">
        <v>4259</v>
      </c>
      <c r="D774" t="s">
        <v>18154</v>
      </c>
      <c r="E774" t="s">
        <v>18916</v>
      </c>
      <c r="F774" t="s">
        <v>31362</v>
      </c>
      <c r="G774" t="s">
        <v>31368</v>
      </c>
      <c r="H774" t="s">
        <v>15799</v>
      </c>
      <c r="I774" t="s">
        <v>31404</v>
      </c>
      <c r="J774" t="s">
        <v>32101</v>
      </c>
      <c r="K774" t="s">
        <v>40661</v>
      </c>
      <c r="M774" t="s">
        <v>41208</v>
      </c>
      <c r="N774" t="s">
        <v>44905</v>
      </c>
      <c r="O774" t="s">
        <v>44906</v>
      </c>
      <c r="P774">
        <v>0</v>
      </c>
      <c r="Q774">
        <v>0</v>
      </c>
      <c r="R774" t="s">
        <v>44907</v>
      </c>
      <c r="S774" t="s">
        <v>45026</v>
      </c>
      <c r="T774" t="s">
        <v>46447</v>
      </c>
      <c r="U774" t="s">
        <v>47588</v>
      </c>
      <c r="W774" t="s">
        <v>41208</v>
      </c>
      <c r="X774" t="s">
        <v>44908</v>
      </c>
    </row>
    <row r="775" spans="1:24">
      <c r="A775">
        <f>HYPERLINK("https://www.philgeps.gov.ph/GEPSNONPILOT/Tender/SplashBidNoticeAbstractUI.aspx?menuIndex=3&amp;refID=7082457&amp;Result=3","7082457")</f>
        <v>0</v>
      </c>
      <c r="B775" t="s">
        <v>134</v>
      </c>
      <c r="C775" t="s">
        <v>4273</v>
      </c>
      <c r="D775" t="s">
        <v>18108</v>
      </c>
      <c r="E775" t="s">
        <v>18917</v>
      </c>
      <c r="F775" t="s">
        <v>31362</v>
      </c>
      <c r="G775" t="s">
        <v>31368</v>
      </c>
      <c r="H775" t="s">
        <v>15799</v>
      </c>
      <c r="I775" t="s">
        <v>31406</v>
      </c>
      <c r="J775" t="s">
        <v>32113</v>
      </c>
      <c r="K775" t="s">
        <v>40662</v>
      </c>
      <c r="M775" t="s">
        <v>41072</v>
      </c>
      <c r="N775" t="s">
        <v>44905</v>
      </c>
      <c r="O775" t="s">
        <v>44906</v>
      </c>
      <c r="P775">
        <v>0</v>
      </c>
      <c r="Q775">
        <v>7</v>
      </c>
      <c r="R775" t="s">
        <v>44907</v>
      </c>
      <c r="S775" t="s">
        <v>45026</v>
      </c>
      <c r="T775" t="s">
        <v>46443</v>
      </c>
      <c r="U775" t="s">
        <v>47599</v>
      </c>
      <c r="W775" t="s">
        <v>41072</v>
      </c>
      <c r="X775" t="s">
        <v>44908</v>
      </c>
    </row>
    <row r="776" spans="1:24">
      <c r="A776">
        <f>HYPERLINK("https://www.philgeps.gov.ph/GEPSNONPILOT/Tender/SplashBidNoticeAbstractUI.aspx?menuIndex=3&amp;refID=7082470&amp;Result=3","7082470")</f>
        <v>0</v>
      </c>
      <c r="B776" t="s">
        <v>267</v>
      </c>
      <c r="C776" t="s">
        <v>4259</v>
      </c>
      <c r="D776" t="s">
        <v>18154</v>
      </c>
      <c r="E776" t="s">
        <v>18918</v>
      </c>
      <c r="F776" t="s">
        <v>31362</v>
      </c>
      <c r="G776" t="s">
        <v>31368</v>
      </c>
      <c r="H776" t="s">
        <v>15799</v>
      </c>
      <c r="I776" t="s">
        <v>31404</v>
      </c>
      <c r="J776" t="s">
        <v>32101</v>
      </c>
      <c r="K776" t="s">
        <v>40661</v>
      </c>
      <c r="M776" t="s">
        <v>41208</v>
      </c>
      <c r="N776" t="s">
        <v>44905</v>
      </c>
      <c r="O776" t="s">
        <v>44906</v>
      </c>
      <c r="P776">
        <v>0</v>
      </c>
      <c r="Q776">
        <v>0</v>
      </c>
      <c r="R776" t="s">
        <v>44907</v>
      </c>
      <c r="S776" t="s">
        <v>45026</v>
      </c>
      <c r="T776" t="s">
        <v>46447</v>
      </c>
      <c r="U776" t="s">
        <v>47588</v>
      </c>
      <c r="W776" t="s">
        <v>41208</v>
      </c>
      <c r="X776" t="s">
        <v>44908</v>
      </c>
    </row>
    <row r="777" spans="1:24">
      <c r="A777">
        <f>HYPERLINK("https://www.philgeps.gov.ph/GEPSNONPILOT/Tender/SplashBidNoticeAbstractUI.aspx?menuIndex=3&amp;refID=7082442&amp;Result=3","7082442")</f>
        <v>0</v>
      </c>
      <c r="B777" t="s">
        <v>70</v>
      </c>
      <c r="C777" t="s">
        <v>4136</v>
      </c>
      <c r="D777" t="s">
        <v>18112</v>
      </c>
      <c r="E777" t="s">
        <v>18919</v>
      </c>
      <c r="F777" t="s">
        <v>31362</v>
      </c>
      <c r="G777" t="s">
        <v>31371</v>
      </c>
      <c r="H777" t="s">
        <v>15799</v>
      </c>
      <c r="I777" t="s">
        <v>31421</v>
      </c>
      <c r="J777" t="s">
        <v>32114</v>
      </c>
      <c r="K777" t="s">
        <v>40661</v>
      </c>
      <c r="M777" t="s">
        <v>41006</v>
      </c>
      <c r="N777" t="s">
        <v>44905</v>
      </c>
      <c r="O777" t="s">
        <v>44906</v>
      </c>
      <c r="P777">
        <v>0</v>
      </c>
      <c r="Q777">
        <v>0</v>
      </c>
      <c r="R777" t="s">
        <v>44907</v>
      </c>
      <c r="S777" t="s">
        <v>45026</v>
      </c>
      <c r="T777" t="s">
        <v>46427</v>
      </c>
      <c r="U777" t="s">
        <v>47600</v>
      </c>
      <c r="W777" t="s">
        <v>41006</v>
      </c>
      <c r="X777" t="s">
        <v>44908</v>
      </c>
    </row>
    <row r="778" spans="1:24">
      <c r="A778">
        <f>HYPERLINK("https://www.philgeps.gov.ph/GEPSNONPILOT/Tender/SplashBidNoticeAbstractUI.aspx?menuIndex=3&amp;refID=7082466&amp;Result=3","7082466")</f>
        <v>0</v>
      </c>
      <c r="B778" t="s">
        <v>155</v>
      </c>
      <c r="C778" t="s">
        <v>4274</v>
      </c>
      <c r="D778" t="s">
        <v>18108</v>
      </c>
      <c r="E778" t="s">
        <v>18920</v>
      </c>
      <c r="F778" t="s">
        <v>31362</v>
      </c>
      <c r="G778" t="s">
        <v>31368</v>
      </c>
      <c r="H778" t="s">
        <v>15799</v>
      </c>
      <c r="I778" t="s">
        <v>31453</v>
      </c>
      <c r="J778" t="s">
        <v>32115</v>
      </c>
      <c r="K778" t="s">
        <v>40662</v>
      </c>
      <c r="M778" t="s">
        <v>41093</v>
      </c>
      <c r="N778" t="s">
        <v>44905</v>
      </c>
      <c r="O778" t="s">
        <v>44906</v>
      </c>
      <c r="P778">
        <v>0</v>
      </c>
      <c r="Q778">
        <v>4</v>
      </c>
      <c r="R778" t="s">
        <v>44907</v>
      </c>
      <c r="S778" t="s">
        <v>45026</v>
      </c>
      <c r="T778" t="s">
        <v>46473</v>
      </c>
      <c r="U778" t="s">
        <v>47601</v>
      </c>
      <c r="W778" t="s">
        <v>41093</v>
      </c>
      <c r="X778" t="s">
        <v>44908</v>
      </c>
    </row>
    <row r="779" spans="1:24">
      <c r="A779">
        <f>HYPERLINK("https://www.philgeps.gov.ph/GEPSNONPILOT/Tender/SplashBidNoticeAbstractUI.aspx?menuIndex=3&amp;refID=7082438&amp;Result=3","7082438")</f>
        <v>0</v>
      </c>
      <c r="B779" t="s">
        <v>234</v>
      </c>
      <c r="C779" t="s">
        <v>4275</v>
      </c>
      <c r="D779" t="s">
        <v>18108</v>
      </c>
      <c r="E779" t="s">
        <v>18921</v>
      </c>
      <c r="F779" t="s">
        <v>31362</v>
      </c>
      <c r="G779" t="s">
        <v>31368</v>
      </c>
      <c r="H779" t="s">
        <v>15799</v>
      </c>
      <c r="I779" t="s">
        <v>31454</v>
      </c>
      <c r="J779" t="s">
        <v>32116</v>
      </c>
      <c r="K779" t="s">
        <v>40679</v>
      </c>
      <c r="M779" t="s">
        <v>41173</v>
      </c>
      <c r="N779" t="s">
        <v>44905</v>
      </c>
      <c r="O779" t="s">
        <v>44906</v>
      </c>
      <c r="P779">
        <v>0</v>
      </c>
      <c r="Q779">
        <v>7</v>
      </c>
      <c r="R779" t="s">
        <v>44907</v>
      </c>
      <c r="S779" t="s">
        <v>45026</v>
      </c>
      <c r="T779" t="s">
        <v>46493</v>
      </c>
      <c r="U779" t="s">
        <v>47602</v>
      </c>
      <c r="W779" t="s">
        <v>41173</v>
      </c>
      <c r="X779" t="s">
        <v>44908</v>
      </c>
    </row>
    <row r="780" spans="1:24">
      <c r="A780">
        <f>HYPERLINK("https://www.philgeps.gov.ph/GEPSNONPILOT/Tender/SplashBidNoticeAbstractUI.aspx?menuIndex=3&amp;refID=7082465&amp;Result=3","7082465")</f>
        <v>0</v>
      </c>
      <c r="B780" t="s">
        <v>351</v>
      </c>
      <c r="C780" t="s">
        <v>4276</v>
      </c>
      <c r="D780" t="s">
        <v>18142</v>
      </c>
      <c r="E780" t="s">
        <v>18922</v>
      </c>
      <c r="F780" t="s">
        <v>31362</v>
      </c>
      <c r="G780" t="s">
        <v>31369</v>
      </c>
      <c r="H780" t="s">
        <v>31378</v>
      </c>
      <c r="I780" t="s">
        <v>31386</v>
      </c>
      <c r="J780" t="s">
        <v>32117</v>
      </c>
      <c r="K780" t="s">
        <v>40677</v>
      </c>
      <c r="M780" t="s">
        <v>41298</v>
      </c>
      <c r="N780" t="s">
        <v>44905</v>
      </c>
      <c r="O780" t="s">
        <v>44906</v>
      </c>
      <c r="P780">
        <v>0</v>
      </c>
      <c r="Q780">
        <v>0</v>
      </c>
      <c r="R780" t="s">
        <v>44907</v>
      </c>
      <c r="S780" t="s">
        <v>45026</v>
      </c>
      <c r="T780" t="s">
        <v>46519</v>
      </c>
      <c r="U780" t="s">
        <v>47524</v>
      </c>
      <c r="W780" t="s">
        <v>41298</v>
      </c>
      <c r="X780" t="s">
        <v>44908</v>
      </c>
    </row>
    <row r="781" spans="1:24">
      <c r="A781">
        <f>HYPERLINK("https://www.philgeps.gov.ph/GEPSNONPILOT/Tender/SplashBidNoticeAbstractUI.aspx?menuIndex=3&amp;refID=7082436&amp;Result=3","7082436")</f>
        <v>0</v>
      </c>
      <c r="B781" t="s">
        <v>389</v>
      </c>
      <c r="C781" t="s">
        <v>4277</v>
      </c>
      <c r="D781" t="s">
        <v>18123</v>
      </c>
      <c r="E781" t="s">
        <v>18923</v>
      </c>
      <c r="F781" t="s">
        <v>31362</v>
      </c>
      <c r="G781" t="s">
        <v>31368</v>
      </c>
      <c r="H781" t="s">
        <v>15799</v>
      </c>
      <c r="I781" t="s">
        <v>4057</v>
      </c>
      <c r="J781" t="s">
        <v>32118</v>
      </c>
      <c r="K781" t="s">
        <v>40693</v>
      </c>
      <c r="M781" t="s">
        <v>41337</v>
      </c>
      <c r="N781" t="s">
        <v>44905</v>
      </c>
      <c r="O781" t="s">
        <v>44906</v>
      </c>
      <c r="P781">
        <v>0</v>
      </c>
      <c r="Q781">
        <v>0</v>
      </c>
      <c r="R781" t="s">
        <v>44907</v>
      </c>
      <c r="S781" t="s">
        <v>45026</v>
      </c>
      <c r="T781" t="s">
        <v>46446</v>
      </c>
      <c r="U781" t="s">
        <v>47603</v>
      </c>
      <c r="V781" t="s">
        <v>59154</v>
      </c>
      <c r="W781" t="s">
        <v>41337</v>
      </c>
      <c r="X781" t="s">
        <v>44908</v>
      </c>
    </row>
    <row r="782" spans="1:24">
      <c r="A782">
        <f>HYPERLINK("https://www.philgeps.gov.ph/GEPSNONPILOT/Tender/SplashBidNoticeAbstractUI.aspx?menuIndex=3&amp;refID=7082355&amp;Result=3","7082355")</f>
        <v>0</v>
      </c>
      <c r="B782" t="s">
        <v>390</v>
      </c>
      <c r="C782" t="s">
        <v>4278</v>
      </c>
      <c r="D782" t="s">
        <v>18117</v>
      </c>
      <c r="E782" t="s">
        <v>18924</v>
      </c>
      <c r="F782" t="s">
        <v>31362</v>
      </c>
      <c r="G782" t="s">
        <v>31370</v>
      </c>
      <c r="H782" t="s">
        <v>15799</v>
      </c>
      <c r="I782" t="s">
        <v>31387</v>
      </c>
      <c r="J782" t="s">
        <v>32119</v>
      </c>
      <c r="K782" t="s">
        <v>40697</v>
      </c>
      <c r="M782" t="s">
        <v>41338</v>
      </c>
      <c r="N782" t="s">
        <v>44905</v>
      </c>
      <c r="O782" t="s">
        <v>44906</v>
      </c>
      <c r="P782">
        <v>0</v>
      </c>
      <c r="Q782">
        <v>0</v>
      </c>
      <c r="R782" t="s">
        <v>44907</v>
      </c>
      <c r="S782" t="s">
        <v>45026</v>
      </c>
      <c r="T782" t="s">
        <v>46438</v>
      </c>
      <c r="U782" t="s">
        <v>47604</v>
      </c>
      <c r="W782" t="s">
        <v>41338</v>
      </c>
      <c r="X782" t="s">
        <v>44908</v>
      </c>
    </row>
    <row r="783" spans="1:24">
      <c r="A783">
        <f>HYPERLINK("https://www.philgeps.gov.ph/GEPSNONPILOT/Tender/SplashBidNoticeAbstractUI.aspx?menuIndex=3&amp;refID=7082456&amp;Result=3","7082456")</f>
        <v>0</v>
      </c>
      <c r="B783" t="s">
        <v>371</v>
      </c>
      <c r="C783" t="s">
        <v>4279</v>
      </c>
      <c r="D783" t="s">
        <v>18157</v>
      </c>
      <c r="E783" t="s">
        <v>18925</v>
      </c>
      <c r="F783" t="s">
        <v>31362</v>
      </c>
      <c r="G783" t="s">
        <v>31368</v>
      </c>
      <c r="H783" t="s">
        <v>15799</v>
      </c>
      <c r="I783" t="s">
        <v>31427</v>
      </c>
      <c r="J783" t="s">
        <v>32120</v>
      </c>
      <c r="K783" t="s">
        <v>40665</v>
      </c>
      <c r="M783" t="s">
        <v>41318</v>
      </c>
      <c r="N783" t="s">
        <v>44905</v>
      </c>
      <c r="O783" t="s">
        <v>44906</v>
      </c>
      <c r="P783">
        <v>0</v>
      </c>
      <c r="Q783">
        <v>5</v>
      </c>
      <c r="R783" t="s">
        <v>44907</v>
      </c>
      <c r="S783" t="s">
        <v>45026</v>
      </c>
      <c r="T783" t="s">
        <v>46498</v>
      </c>
      <c r="U783" t="s">
        <v>47605</v>
      </c>
      <c r="W783" t="s">
        <v>41318</v>
      </c>
      <c r="X783" t="s">
        <v>44908</v>
      </c>
    </row>
    <row r="784" spans="1:24">
      <c r="A784">
        <f>HYPERLINK("https://www.philgeps.gov.ph/GEPSNONPILOT/Tender/SplashBidNoticeAbstractUI.aspx?menuIndex=3&amp;refID=7082437&amp;Result=3","7082437")</f>
        <v>0</v>
      </c>
      <c r="B784" t="s">
        <v>91</v>
      </c>
      <c r="C784" t="s">
        <v>4280</v>
      </c>
      <c r="D784" t="s">
        <v>18136</v>
      </c>
      <c r="E784" t="s">
        <v>18926</v>
      </c>
      <c r="F784" t="s">
        <v>31362</v>
      </c>
      <c r="G784" t="s">
        <v>31370</v>
      </c>
      <c r="H784" t="s">
        <v>15799</v>
      </c>
      <c r="I784" t="s">
        <v>31384</v>
      </c>
      <c r="J784" t="s">
        <v>32121</v>
      </c>
      <c r="K784" t="s">
        <v>40661</v>
      </c>
      <c r="M784" t="s">
        <v>41028</v>
      </c>
      <c r="N784" t="s">
        <v>44905</v>
      </c>
      <c r="O784" t="s">
        <v>44906</v>
      </c>
      <c r="P784">
        <v>0</v>
      </c>
      <c r="Q784">
        <v>1</v>
      </c>
      <c r="R784" t="s">
        <v>44907</v>
      </c>
      <c r="S784" t="s">
        <v>45026</v>
      </c>
      <c r="T784" t="s">
        <v>46411</v>
      </c>
      <c r="U784" t="s">
        <v>47606</v>
      </c>
      <c r="W784" t="s">
        <v>41028</v>
      </c>
      <c r="X784" t="s">
        <v>44908</v>
      </c>
    </row>
    <row r="785" spans="1:24">
      <c r="A785">
        <f>HYPERLINK("https://www.philgeps.gov.ph/GEPSNONPILOT/Tender/SplashBidNoticeAbstractUI.aspx?menuIndex=3&amp;refID=7082507&amp;Result=3","7082507")</f>
        <v>0</v>
      </c>
      <c r="B785" t="s">
        <v>117</v>
      </c>
      <c r="C785" t="s">
        <v>4281</v>
      </c>
      <c r="D785" t="s">
        <v>18104</v>
      </c>
      <c r="E785" t="s">
        <v>18927</v>
      </c>
      <c r="F785" t="s">
        <v>31362</v>
      </c>
      <c r="G785" t="s">
        <v>31368</v>
      </c>
      <c r="H785" t="s">
        <v>31377</v>
      </c>
      <c r="I785" t="s">
        <v>31377</v>
      </c>
      <c r="J785" t="s">
        <v>32122</v>
      </c>
      <c r="K785" t="s">
        <v>40662</v>
      </c>
      <c r="M785" t="s">
        <v>41054</v>
      </c>
      <c r="N785" t="s">
        <v>44905</v>
      </c>
      <c r="O785" t="s">
        <v>44906</v>
      </c>
      <c r="P785">
        <v>0</v>
      </c>
      <c r="Q785">
        <v>0</v>
      </c>
      <c r="R785" t="s">
        <v>44907</v>
      </c>
      <c r="S785" t="s">
        <v>45026</v>
      </c>
      <c r="T785" t="s">
        <v>46403</v>
      </c>
      <c r="U785" t="s">
        <v>47607</v>
      </c>
      <c r="W785" t="s">
        <v>41054</v>
      </c>
      <c r="X785" t="s">
        <v>44908</v>
      </c>
    </row>
    <row r="786" spans="1:24">
      <c r="A786">
        <f>HYPERLINK("https://www.philgeps.gov.ph/GEPSNONPILOT/Tender/SplashBidNoticeAbstractUI.aspx?menuIndex=3&amp;refID=7082441&amp;Result=3","7082441")</f>
        <v>0</v>
      </c>
      <c r="B786" t="s">
        <v>351</v>
      </c>
      <c r="C786" t="s">
        <v>4282</v>
      </c>
      <c r="D786" t="s">
        <v>18142</v>
      </c>
      <c r="E786" t="s">
        <v>18928</v>
      </c>
      <c r="F786" t="s">
        <v>31362</v>
      </c>
      <c r="G786" t="s">
        <v>31369</v>
      </c>
      <c r="H786" t="s">
        <v>31378</v>
      </c>
      <c r="I786" t="s">
        <v>31386</v>
      </c>
      <c r="J786" t="s">
        <v>32123</v>
      </c>
      <c r="K786" t="s">
        <v>40677</v>
      </c>
      <c r="M786" t="s">
        <v>41298</v>
      </c>
      <c r="N786" t="s">
        <v>44905</v>
      </c>
      <c r="O786" t="s">
        <v>44906</v>
      </c>
      <c r="P786">
        <v>0</v>
      </c>
      <c r="Q786">
        <v>0</v>
      </c>
      <c r="R786" t="s">
        <v>44907</v>
      </c>
      <c r="S786" t="s">
        <v>45026</v>
      </c>
      <c r="T786" t="s">
        <v>46519</v>
      </c>
      <c r="U786" t="s">
        <v>47524</v>
      </c>
      <c r="W786" t="s">
        <v>41298</v>
      </c>
      <c r="X786" t="s">
        <v>44908</v>
      </c>
    </row>
    <row r="787" spans="1:24">
      <c r="A787">
        <f>HYPERLINK("https://www.philgeps.gov.ph/GEPSNONPILOT/Tender/SplashBidNoticeAbstractUI.aspx?menuIndex=3&amp;refID=7082504&amp;Result=3","7082504")</f>
        <v>0</v>
      </c>
      <c r="B787" t="s">
        <v>359</v>
      </c>
      <c r="C787" t="s">
        <v>4283</v>
      </c>
      <c r="D787" t="s">
        <v>18123</v>
      </c>
      <c r="E787" t="s">
        <v>18929</v>
      </c>
      <c r="F787" t="s">
        <v>31362</v>
      </c>
      <c r="G787" t="s">
        <v>31368</v>
      </c>
      <c r="H787" t="s">
        <v>15799</v>
      </c>
      <c r="I787" t="s">
        <v>4283</v>
      </c>
      <c r="J787" t="s">
        <v>32124</v>
      </c>
      <c r="K787" t="s">
        <v>40661</v>
      </c>
      <c r="M787" t="s">
        <v>41306</v>
      </c>
      <c r="N787" t="s">
        <v>44905</v>
      </c>
      <c r="O787" t="s">
        <v>44906</v>
      </c>
      <c r="P787">
        <v>0</v>
      </c>
      <c r="Q787">
        <v>0</v>
      </c>
      <c r="R787" t="s">
        <v>44907</v>
      </c>
      <c r="S787" t="s">
        <v>45026</v>
      </c>
      <c r="T787" t="s">
        <v>46432</v>
      </c>
      <c r="U787" t="s">
        <v>47534</v>
      </c>
      <c r="W787" t="s">
        <v>60848</v>
      </c>
      <c r="X787" t="s">
        <v>44908</v>
      </c>
    </row>
    <row r="788" spans="1:24">
      <c r="A788">
        <f>HYPERLINK("https://www.philgeps.gov.ph/GEPSNONPILOT/Tender/SplashBidNoticeAbstractUI.aspx?menuIndex=3&amp;refID=7082502&amp;Result=3","7082502")</f>
        <v>0</v>
      </c>
      <c r="B788" t="s">
        <v>62</v>
      </c>
      <c r="C788" t="s">
        <v>4284</v>
      </c>
      <c r="D788" t="s">
        <v>18125</v>
      </c>
      <c r="E788" t="s">
        <v>18548</v>
      </c>
      <c r="F788" t="s">
        <v>31362</v>
      </c>
      <c r="G788" t="s">
        <v>31370</v>
      </c>
      <c r="H788" t="s">
        <v>15799</v>
      </c>
      <c r="I788" t="s">
        <v>3815</v>
      </c>
      <c r="J788" t="s">
        <v>32125</v>
      </c>
      <c r="K788" t="s">
        <v>40670</v>
      </c>
      <c r="M788" t="s">
        <v>40998</v>
      </c>
      <c r="N788" t="s">
        <v>44905</v>
      </c>
      <c r="O788" t="s">
        <v>44906</v>
      </c>
      <c r="P788">
        <v>0</v>
      </c>
      <c r="Q788">
        <v>0</v>
      </c>
      <c r="R788" t="s">
        <v>44907</v>
      </c>
      <c r="S788" t="s">
        <v>45026</v>
      </c>
      <c r="T788" t="s">
        <v>46409</v>
      </c>
      <c r="U788" t="s">
        <v>47608</v>
      </c>
      <c r="V788" t="s">
        <v>59155</v>
      </c>
      <c r="W788" t="s">
        <v>40998</v>
      </c>
      <c r="X788" t="s">
        <v>44908</v>
      </c>
    </row>
    <row r="789" spans="1:24">
      <c r="A789">
        <f>HYPERLINK("https://www.philgeps.gov.ph/GEPSNONPILOT/Tender/SplashBidNoticeAbstractUI.aspx?menuIndex=3&amp;refID=7082435&amp;Result=3","7082435")</f>
        <v>0</v>
      </c>
      <c r="B789" t="s">
        <v>391</v>
      </c>
      <c r="C789" t="s">
        <v>4285</v>
      </c>
      <c r="D789" t="s">
        <v>18108</v>
      </c>
      <c r="E789" t="s">
        <v>18930</v>
      </c>
      <c r="F789" t="s">
        <v>31362</v>
      </c>
      <c r="G789" t="s">
        <v>31368</v>
      </c>
      <c r="H789" t="s">
        <v>15799</v>
      </c>
      <c r="I789" t="s">
        <v>31395</v>
      </c>
      <c r="J789" t="s">
        <v>32126</v>
      </c>
      <c r="K789" t="s">
        <v>40662</v>
      </c>
      <c r="M789" t="s">
        <v>41339</v>
      </c>
      <c r="N789" t="s">
        <v>44905</v>
      </c>
      <c r="O789" t="s">
        <v>44906</v>
      </c>
      <c r="P789">
        <v>0</v>
      </c>
      <c r="Q789">
        <v>1</v>
      </c>
      <c r="R789" t="s">
        <v>44907</v>
      </c>
      <c r="S789" t="s">
        <v>45026</v>
      </c>
      <c r="T789" t="s">
        <v>46416</v>
      </c>
      <c r="U789" t="s">
        <v>47609</v>
      </c>
      <c r="W789" t="s">
        <v>41339</v>
      </c>
      <c r="X789" t="s">
        <v>44908</v>
      </c>
    </row>
    <row r="790" spans="1:24">
      <c r="A790">
        <f>HYPERLINK("https://www.philgeps.gov.ph/GEPSNONPILOT/Tender/SplashBidNoticeAbstractUI.aspx?menuIndex=3&amp;refID=7082501&amp;Result=3","7082501")</f>
        <v>0</v>
      </c>
      <c r="B790" t="s">
        <v>392</v>
      </c>
      <c r="C790" t="s">
        <v>4286</v>
      </c>
      <c r="E790" t="s">
        <v>18931</v>
      </c>
      <c r="F790" t="s">
        <v>31362</v>
      </c>
      <c r="G790" t="s">
        <v>31369</v>
      </c>
      <c r="H790" t="s">
        <v>31378</v>
      </c>
      <c r="I790" t="s">
        <v>31436</v>
      </c>
      <c r="J790" t="s">
        <v>32127</v>
      </c>
      <c r="K790" t="s">
        <v>40662</v>
      </c>
      <c r="M790" t="s">
        <v>41340</v>
      </c>
      <c r="N790" t="s">
        <v>44905</v>
      </c>
      <c r="O790" t="s">
        <v>44906</v>
      </c>
      <c r="P790">
        <v>0</v>
      </c>
      <c r="Q790">
        <v>2</v>
      </c>
      <c r="R790" t="s">
        <v>44907</v>
      </c>
      <c r="S790" t="s">
        <v>45026</v>
      </c>
      <c r="T790" t="s">
        <v>46408</v>
      </c>
      <c r="U790" t="s">
        <v>47610</v>
      </c>
      <c r="W790" t="s">
        <v>41340</v>
      </c>
      <c r="X790" t="s">
        <v>44908</v>
      </c>
    </row>
    <row r="791" spans="1:24">
      <c r="A791">
        <f>HYPERLINK("https://www.philgeps.gov.ph/GEPSNONPILOT/Tender/SplashBidNoticeAbstractUI.aspx?menuIndex=3&amp;refID=7082499&amp;Result=3","7082499")</f>
        <v>0</v>
      </c>
      <c r="B791" t="s">
        <v>375</v>
      </c>
      <c r="C791" t="s">
        <v>4287</v>
      </c>
      <c r="D791" t="s">
        <v>18177</v>
      </c>
      <c r="E791" t="s">
        <v>18932</v>
      </c>
      <c r="F791" t="s">
        <v>31362</v>
      </c>
      <c r="G791" t="s">
        <v>31368</v>
      </c>
      <c r="H791" t="s">
        <v>15799</v>
      </c>
      <c r="I791" t="s">
        <v>31430</v>
      </c>
      <c r="J791" t="s">
        <v>31889</v>
      </c>
      <c r="K791" t="s">
        <v>40665</v>
      </c>
      <c r="M791" t="s">
        <v>41322</v>
      </c>
      <c r="N791" t="s">
        <v>44905</v>
      </c>
      <c r="O791" t="s">
        <v>44906</v>
      </c>
      <c r="P791">
        <v>0</v>
      </c>
      <c r="Q791">
        <v>1</v>
      </c>
      <c r="R791" t="s">
        <v>44907</v>
      </c>
      <c r="S791" t="s">
        <v>45026</v>
      </c>
      <c r="T791" t="s">
        <v>46432</v>
      </c>
      <c r="U791" t="s">
        <v>47611</v>
      </c>
      <c r="W791" t="s">
        <v>41322</v>
      </c>
      <c r="X791" t="s">
        <v>44908</v>
      </c>
    </row>
    <row r="792" spans="1:24">
      <c r="A792">
        <f>HYPERLINK("https://www.philgeps.gov.ph/GEPSNONPILOT/Tender/SplashBidNoticeAbstractUI.aspx?menuIndex=3&amp;refID=7082498&amp;Result=3","7082498")</f>
        <v>0</v>
      </c>
      <c r="B792" t="s">
        <v>393</v>
      </c>
      <c r="C792" t="s">
        <v>4288</v>
      </c>
      <c r="E792" t="s">
        <v>18933</v>
      </c>
      <c r="F792" t="s">
        <v>31362</v>
      </c>
      <c r="G792" t="s">
        <v>31368</v>
      </c>
      <c r="H792" t="s">
        <v>15799</v>
      </c>
      <c r="I792" t="s">
        <v>31455</v>
      </c>
      <c r="J792" t="s">
        <v>31545</v>
      </c>
      <c r="K792" t="s">
        <v>40666</v>
      </c>
      <c r="M792" t="s">
        <v>41341</v>
      </c>
      <c r="N792" t="s">
        <v>44905</v>
      </c>
      <c r="O792" t="s">
        <v>44906</v>
      </c>
      <c r="P792">
        <v>0</v>
      </c>
      <c r="Q792">
        <v>0</v>
      </c>
      <c r="R792" t="s">
        <v>44907</v>
      </c>
      <c r="S792" t="s">
        <v>45026</v>
      </c>
      <c r="T792" t="s">
        <v>46409</v>
      </c>
      <c r="U792" t="s">
        <v>47612</v>
      </c>
      <c r="W792" t="s">
        <v>41341</v>
      </c>
      <c r="X792" t="s">
        <v>44908</v>
      </c>
    </row>
    <row r="793" spans="1:24">
      <c r="A793">
        <f>HYPERLINK("https://www.philgeps.gov.ph/GEPSNONPILOT/Tender/SplashBidNoticeAbstractUI.aspx?menuIndex=3&amp;refID=7082497&amp;Result=3","7082497")</f>
        <v>0</v>
      </c>
      <c r="B793" t="s">
        <v>394</v>
      </c>
      <c r="C793" t="s">
        <v>4289</v>
      </c>
      <c r="D793" t="s">
        <v>18107</v>
      </c>
      <c r="E793" t="s">
        <v>18934</v>
      </c>
      <c r="F793" t="s">
        <v>31362</v>
      </c>
      <c r="G793" t="s">
        <v>31369</v>
      </c>
      <c r="H793" t="s">
        <v>31378</v>
      </c>
      <c r="I793" t="s">
        <v>31386</v>
      </c>
      <c r="J793" t="s">
        <v>32128</v>
      </c>
      <c r="K793" t="s">
        <v>40679</v>
      </c>
      <c r="M793" t="s">
        <v>41342</v>
      </c>
      <c r="N793" t="s">
        <v>44905</v>
      </c>
      <c r="O793" t="s">
        <v>44906</v>
      </c>
      <c r="P793">
        <v>0</v>
      </c>
      <c r="Q793">
        <v>0</v>
      </c>
      <c r="R793" t="s">
        <v>44907</v>
      </c>
      <c r="S793" t="s">
        <v>45026</v>
      </c>
      <c r="T793" t="s">
        <v>46405</v>
      </c>
      <c r="U793" t="s">
        <v>47613</v>
      </c>
      <c r="W793" t="s">
        <v>41342</v>
      </c>
      <c r="X793" t="s">
        <v>44908</v>
      </c>
    </row>
    <row r="794" spans="1:24">
      <c r="A794">
        <f>HYPERLINK("https://www.philgeps.gov.ph/GEPSNONPILOT/Tender/SplashBidNoticeAbstractUI.aspx?menuIndex=3&amp;refID=7082495&amp;Result=3","7082495")</f>
        <v>0</v>
      </c>
      <c r="B794" t="s">
        <v>395</v>
      </c>
      <c r="C794" t="s">
        <v>4290</v>
      </c>
      <c r="D794" t="s">
        <v>18114</v>
      </c>
      <c r="E794" t="s">
        <v>18935</v>
      </c>
      <c r="F794" t="s">
        <v>31362</v>
      </c>
      <c r="G794" t="s">
        <v>31369</v>
      </c>
      <c r="H794" t="s">
        <v>15799</v>
      </c>
      <c r="I794" t="s">
        <v>31398</v>
      </c>
      <c r="J794" t="s">
        <v>31530</v>
      </c>
      <c r="K794" t="s">
        <v>40672</v>
      </c>
      <c r="M794" t="s">
        <v>41343</v>
      </c>
      <c r="N794" t="s">
        <v>44905</v>
      </c>
      <c r="O794" t="s">
        <v>44906</v>
      </c>
      <c r="P794">
        <v>0</v>
      </c>
      <c r="Q794">
        <v>0</v>
      </c>
      <c r="R794" t="s">
        <v>44907</v>
      </c>
      <c r="S794" t="s">
        <v>45026</v>
      </c>
      <c r="T794" t="s">
        <v>46473</v>
      </c>
      <c r="U794" t="s">
        <v>47614</v>
      </c>
      <c r="W794" t="s">
        <v>41343</v>
      </c>
      <c r="X794" t="s">
        <v>44908</v>
      </c>
    </row>
    <row r="795" spans="1:24">
      <c r="A795">
        <f>HYPERLINK("https://www.philgeps.gov.ph/GEPSNONPILOT/Tender/SplashBidNoticeAbstractUI.aspx?menuIndex=3&amp;refID=7082458&amp;Result=3","7082458")</f>
        <v>0</v>
      </c>
      <c r="B795" t="s">
        <v>372</v>
      </c>
      <c r="C795" t="s">
        <v>4291</v>
      </c>
      <c r="D795" t="s">
        <v>18176</v>
      </c>
      <c r="E795" t="s">
        <v>18936</v>
      </c>
      <c r="F795" t="s">
        <v>31362</v>
      </c>
      <c r="G795" t="s">
        <v>31369</v>
      </c>
      <c r="H795" t="s">
        <v>15799</v>
      </c>
      <c r="I795" t="s">
        <v>3815</v>
      </c>
      <c r="J795" t="s">
        <v>32129</v>
      </c>
      <c r="K795" t="s">
        <v>40662</v>
      </c>
      <c r="M795" t="s">
        <v>41319</v>
      </c>
      <c r="N795" t="s">
        <v>44905</v>
      </c>
      <c r="O795" t="s">
        <v>44906</v>
      </c>
      <c r="P795">
        <v>0</v>
      </c>
      <c r="Q795">
        <v>0</v>
      </c>
      <c r="R795" t="s">
        <v>44907</v>
      </c>
      <c r="S795" t="s">
        <v>45026</v>
      </c>
      <c r="T795" t="s">
        <v>46396</v>
      </c>
      <c r="U795" t="s">
        <v>47615</v>
      </c>
      <c r="W795" t="s">
        <v>41319</v>
      </c>
      <c r="X795" t="s">
        <v>44908</v>
      </c>
    </row>
    <row r="796" spans="1:24">
      <c r="A796">
        <f>HYPERLINK("https://www.philgeps.gov.ph/GEPSNONPILOT/Tender/SplashBidNoticeAbstractUI.aspx?menuIndex=3&amp;refID=7082503&amp;Result=3","7082503")</f>
        <v>0</v>
      </c>
      <c r="B796" t="s">
        <v>363</v>
      </c>
      <c r="C796" t="s">
        <v>4292</v>
      </c>
      <c r="D796" t="s">
        <v>18136</v>
      </c>
      <c r="E796" t="s">
        <v>18937</v>
      </c>
      <c r="F796" t="s">
        <v>31362</v>
      </c>
      <c r="G796" t="s">
        <v>31372</v>
      </c>
      <c r="H796" t="s">
        <v>15799</v>
      </c>
      <c r="I796" t="s">
        <v>31409</v>
      </c>
      <c r="J796" t="s">
        <v>31542</v>
      </c>
      <c r="K796" t="s">
        <v>40679</v>
      </c>
      <c r="M796" t="s">
        <v>41310</v>
      </c>
      <c r="N796" t="s">
        <v>44905</v>
      </c>
      <c r="O796" t="s">
        <v>44906</v>
      </c>
      <c r="P796">
        <v>0</v>
      </c>
      <c r="Q796">
        <v>4</v>
      </c>
      <c r="R796" t="s">
        <v>44907</v>
      </c>
      <c r="S796" t="s">
        <v>45026</v>
      </c>
      <c r="T796" t="s">
        <v>46521</v>
      </c>
      <c r="U796" t="s">
        <v>47616</v>
      </c>
      <c r="W796" t="s">
        <v>41310</v>
      </c>
      <c r="X796" t="s">
        <v>44908</v>
      </c>
    </row>
    <row r="797" spans="1:24">
      <c r="A797">
        <f>HYPERLINK("https://www.philgeps.gov.ph/GEPSNONPILOT/Tender/SplashBidNoticeAbstractUI.aspx?menuIndex=3&amp;refID=7082491&amp;Result=3","7082491")</f>
        <v>0</v>
      </c>
      <c r="B797" t="s">
        <v>396</v>
      </c>
      <c r="C797" t="s">
        <v>4293</v>
      </c>
      <c r="D797" t="s">
        <v>18155</v>
      </c>
      <c r="E797" t="s">
        <v>18938</v>
      </c>
      <c r="F797" t="s">
        <v>31362</v>
      </c>
      <c r="G797" t="s">
        <v>31369</v>
      </c>
      <c r="H797" t="s">
        <v>15799</v>
      </c>
      <c r="I797" t="s">
        <v>31409</v>
      </c>
      <c r="J797" t="s">
        <v>32130</v>
      </c>
      <c r="K797" t="s">
        <v>40682</v>
      </c>
      <c r="M797" t="s">
        <v>41344</v>
      </c>
      <c r="N797" t="s">
        <v>44905</v>
      </c>
      <c r="O797" t="s">
        <v>44906</v>
      </c>
      <c r="P797">
        <v>0</v>
      </c>
      <c r="Q797">
        <v>4</v>
      </c>
      <c r="R797" t="s">
        <v>44907</v>
      </c>
      <c r="S797" t="s">
        <v>45026</v>
      </c>
      <c r="T797" t="s">
        <v>46403</v>
      </c>
      <c r="U797" t="s">
        <v>47617</v>
      </c>
      <c r="W797" t="s">
        <v>41344</v>
      </c>
      <c r="X797" t="s">
        <v>44908</v>
      </c>
    </row>
    <row r="798" spans="1:24">
      <c r="A798">
        <f>HYPERLINK("https://www.philgeps.gov.ph/GEPSNONPILOT/Tender/SplashBidNoticeAbstractUI.aspx?menuIndex=3&amp;refID=7082496&amp;Result=3","7082496")</f>
        <v>0</v>
      </c>
      <c r="B798" t="s">
        <v>397</v>
      </c>
      <c r="C798" t="s">
        <v>4294</v>
      </c>
      <c r="D798" t="s">
        <v>18151</v>
      </c>
      <c r="E798" t="s">
        <v>18939</v>
      </c>
      <c r="F798" t="s">
        <v>31362</v>
      </c>
      <c r="G798" t="s">
        <v>31369</v>
      </c>
      <c r="H798" t="s">
        <v>15799</v>
      </c>
      <c r="I798" t="s">
        <v>31409</v>
      </c>
      <c r="J798" t="s">
        <v>31641</v>
      </c>
      <c r="K798" t="s">
        <v>40662</v>
      </c>
      <c r="M798" t="s">
        <v>41345</v>
      </c>
      <c r="N798" t="s">
        <v>44905</v>
      </c>
      <c r="O798" t="s">
        <v>44906</v>
      </c>
      <c r="P798">
        <v>0</v>
      </c>
      <c r="Q798">
        <v>5</v>
      </c>
      <c r="R798" t="s">
        <v>44907</v>
      </c>
      <c r="S798" t="s">
        <v>45026</v>
      </c>
      <c r="T798" t="s">
        <v>46526</v>
      </c>
      <c r="U798" t="s">
        <v>47618</v>
      </c>
      <c r="V798" t="s">
        <v>59156</v>
      </c>
      <c r="W798" t="s">
        <v>60852</v>
      </c>
      <c r="X798" t="s">
        <v>44908</v>
      </c>
    </row>
    <row r="799" spans="1:24">
      <c r="A799">
        <f>HYPERLINK("https://www.philgeps.gov.ph/GEPSNONPILOT/Tender/SplashBidNoticeAbstractUI.aspx?menuIndex=3&amp;refID=7082488&amp;Result=3","7082488")</f>
        <v>0</v>
      </c>
      <c r="B799" t="s">
        <v>134</v>
      </c>
      <c r="C799" t="s">
        <v>4295</v>
      </c>
      <c r="D799" t="s">
        <v>18108</v>
      </c>
      <c r="E799" t="s">
        <v>18940</v>
      </c>
      <c r="F799" t="s">
        <v>31362</v>
      </c>
      <c r="G799" t="s">
        <v>31368</v>
      </c>
      <c r="H799" t="s">
        <v>15799</v>
      </c>
      <c r="I799" t="s">
        <v>7719</v>
      </c>
      <c r="J799" t="s">
        <v>32131</v>
      </c>
      <c r="K799" t="s">
        <v>40662</v>
      </c>
      <c r="M799" t="s">
        <v>41072</v>
      </c>
      <c r="N799" t="s">
        <v>44905</v>
      </c>
      <c r="O799" t="s">
        <v>44906</v>
      </c>
      <c r="P799">
        <v>0</v>
      </c>
      <c r="Q799">
        <v>4</v>
      </c>
      <c r="R799" t="s">
        <v>44907</v>
      </c>
      <c r="S799" t="s">
        <v>45026</v>
      </c>
      <c r="T799" t="s">
        <v>46443</v>
      </c>
      <c r="U799" t="s">
        <v>47619</v>
      </c>
      <c r="W799" t="s">
        <v>41072</v>
      </c>
      <c r="X799" t="s">
        <v>44908</v>
      </c>
    </row>
    <row r="800" spans="1:24">
      <c r="A800">
        <f>HYPERLINK("https://www.philgeps.gov.ph/GEPSNONPILOT/Tender/SplashBidNoticeAbstractUI.aspx?menuIndex=3&amp;refID=7082486&amp;Result=3","7082486")</f>
        <v>0</v>
      </c>
      <c r="B800" t="s">
        <v>377</v>
      </c>
      <c r="C800" t="s">
        <v>4296</v>
      </c>
      <c r="D800" t="s">
        <v>18108</v>
      </c>
      <c r="E800" t="s">
        <v>18941</v>
      </c>
      <c r="F800" t="s">
        <v>31362</v>
      </c>
      <c r="G800" t="s">
        <v>31368</v>
      </c>
      <c r="H800" t="s">
        <v>15799</v>
      </c>
      <c r="I800" t="s">
        <v>31391</v>
      </c>
      <c r="J800" t="s">
        <v>32132</v>
      </c>
      <c r="K800" t="s">
        <v>40665</v>
      </c>
      <c r="M800" t="s">
        <v>41324</v>
      </c>
      <c r="N800" t="s">
        <v>44905</v>
      </c>
      <c r="O800" t="s">
        <v>44906</v>
      </c>
      <c r="P800">
        <v>0</v>
      </c>
      <c r="Q800">
        <v>5</v>
      </c>
      <c r="R800" t="s">
        <v>44907</v>
      </c>
      <c r="S800" t="s">
        <v>45026</v>
      </c>
      <c r="T800" t="s">
        <v>46478</v>
      </c>
      <c r="U800" t="s">
        <v>47569</v>
      </c>
      <c r="W800" t="s">
        <v>41324</v>
      </c>
      <c r="X800" t="s">
        <v>44908</v>
      </c>
    </row>
    <row r="801" spans="1:24">
      <c r="A801">
        <f>HYPERLINK("https://www.philgeps.gov.ph/GEPSNONPILOT/Tender/SplashBidNoticeAbstractUI.aspx?menuIndex=3&amp;refID=7082485&amp;Result=3","7082485")</f>
        <v>0</v>
      </c>
      <c r="B801" t="s">
        <v>387</v>
      </c>
      <c r="C801" t="s">
        <v>4297</v>
      </c>
      <c r="D801" t="s">
        <v>18152</v>
      </c>
      <c r="E801" t="s">
        <v>18942</v>
      </c>
      <c r="F801" t="s">
        <v>31362</v>
      </c>
      <c r="G801" t="s">
        <v>31369</v>
      </c>
      <c r="H801" t="s">
        <v>15799</v>
      </c>
      <c r="I801" t="s">
        <v>3815</v>
      </c>
      <c r="J801" t="s">
        <v>32133</v>
      </c>
      <c r="K801" t="s">
        <v>40665</v>
      </c>
      <c r="M801" t="s">
        <v>41335</v>
      </c>
      <c r="N801" t="s">
        <v>44905</v>
      </c>
      <c r="O801" t="s">
        <v>44906</v>
      </c>
      <c r="P801">
        <v>0</v>
      </c>
      <c r="Q801">
        <v>0</v>
      </c>
      <c r="R801" t="s">
        <v>44907</v>
      </c>
      <c r="S801" t="s">
        <v>45026</v>
      </c>
      <c r="T801" t="s">
        <v>46462</v>
      </c>
      <c r="U801" t="s">
        <v>47597</v>
      </c>
      <c r="V801" t="s">
        <v>59153</v>
      </c>
      <c r="W801" t="s">
        <v>41335</v>
      </c>
      <c r="X801" t="s">
        <v>44908</v>
      </c>
    </row>
    <row r="802" spans="1:24">
      <c r="A802">
        <f>HYPERLINK("https://www.philgeps.gov.ph/GEPSNONPILOT/Tender/SplashBidNoticeAbstractUI.aspx?menuIndex=3&amp;refID=7082461&amp;Result=3","7082461")</f>
        <v>0</v>
      </c>
      <c r="B802" t="s">
        <v>387</v>
      </c>
      <c r="C802" t="s">
        <v>4298</v>
      </c>
      <c r="D802" t="s">
        <v>18152</v>
      </c>
      <c r="E802" t="s">
        <v>18943</v>
      </c>
      <c r="F802" t="s">
        <v>31362</v>
      </c>
      <c r="G802" t="s">
        <v>31369</v>
      </c>
      <c r="H802" t="s">
        <v>15799</v>
      </c>
      <c r="I802" t="s">
        <v>7090</v>
      </c>
      <c r="J802" t="s">
        <v>32134</v>
      </c>
      <c r="K802" t="s">
        <v>40665</v>
      </c>
      <c r="M802" t="s">
        <v>41335</v>
      </c>
      <c r="N802" t="s">
        <v>44905</v>
      </c>
      <c r="O802" t="s">
        <v>44906</v>
      </c>
      <c r="P802">
        <v>0</v>
      </c>
      <c r="Q802">
        <v>0</v>
      </c>
      <c r="R802" t="s">
        <v>44907</v>
      </c>
      <c r="S802" t="s">
        <v>45026</v>
      </c>
      <c r="T802" t="s">
        <v>46462</v>
      </c>
      <c r="U802" t="s">
        <v>47597</v>
      </c>
      <c r="V802" t="s">
        <v>59153</v>
      </c>
      <c r="W802" t="s">
        <v>41335</v>
      </c>
      <c r="X802" t="s">
        <v>44908</v>
      </c>
    </row>
    <row r="803" spans="1:24">
      <c r="A803">
        <f>HYPERLINK("https://www.philgeps.gov.ph/GEPSNONPILOT/Tender/SplashBidNoticeAbstractUI.aspx?menuIndex=3&amp;refID=7082494&amp;Result=3","7082494")</f>
        <v>0</v>
      </c>
      <c r="B803" t="s">
        <v>351</v>
      </c>
      <c r="C803" t="s">
        <v>4299</v>
      </c>
      <c r="D803" t="s">
        <v>18142</v>
      </c>
      <c r="E803" t="s">
        <v>18944</v>
      </c>
      <c r="F803" t="s">
        <v>31362</v>
      </c>
      <c r="G803" t="s">
        <v>31369</v>
      </c>
      <c r="H803" t="s">
        <v>31378</v>
      </c>
      <c r="I803" t="s">
        <v>31386</v>
      </c>
      <c r="J803" t="s">
        <v>32135</v>
      </c>
      <c r="K803" t="s">
        <v>40665</v>
      </c>
      <c r="M803" t="s">
        <v>41298</v>
      </c>
      <c r="N803" t="s">
        <v>44905</v>
      </c>
      <c r="O803" t="s">
        <v>44906</v>
      </c>
      <c r="P803">
        <v>0</v>
      </c>
      <c r="Q803">
        <v>0</v>
      </c>
      <c r="R803" t="s">
        <v>44907</v>
      </c>
      <c r="S803" t="s">
        <v>45026</v>
      </c>
      <c r="T803" t="s">
        <v>46519</v>
      </c>
      <c r="U803" t="s">
        <v>47524</v>
      </c>
      <c r="W803" t="s">
        <v>41298</v>
      </c>
      <c r="X803" t="s">
        <v>44908</v>
      </c>
    </row>
    <row r="804" spans="1:24">
      <c r="A804">
        <f>HYPERLINK("https://www.philgeps.gov.ph/GEPSNONPILOT/Tender/SplashBidNoticeAbstractUI.aspx?menuIndex=3&amp;refID=7082483&amp;Result=3","7082483")</f>
        <v>0</v>
      </c>
      <c r="B804" t="s">
        <v>123</v>
      </c>
      <c r="C804" t="s">
        <v>4300</v>
      </c>
      <c r="D804" t="s">
        <v>18127</v>
      </c>
      <c r="E804" t="s">
        <v>18945</v>
      </c>
      <c r="F804" t="s">
        <v>31362</v>
      </c>
      <c r="G804" t="s">
        <v>31368</v>
      </c>
      <c r="H804" t="s">
        <v>31379</v>
      </c>
      <c r="I804" t="s">
        <v>7719</v>
      </c>
      <c r="J804" t="s">
        <v>32136</v>
      </c>
      <c r="K804" t="s">
        <v>40682</v>
      </c>
      <c r="M804" t="s">
        <v>41346</v>
      </c>
      <c r="N804" t="s">
        <v>44905</v>
      </c>
      <c r="O804" t="s">
        <v>44906</v>
      </c>
      <c r="P804">
        <v>0</v>
      </c>
      <c r="Q804">
        <v>12</v>
      </c>
      <c r="R804" t="s">
        <v>44907</v>
      </c>
      <c r="S804" t="s">
        <v>45026</v>
      </c>
      <c r="T804" t="s">
        <v>46396</v>
      </c>
      <c r="U804" t="s">
        <v>47620</v>
      </c>
      <c r="V804" t="s">
        <v>47665</v>
      </c>
      <c r="W804" t="s">
        <v>41346</v>
      </c>
      <c r="X804" t="s">
        <v>44908</v>
      </c>
    </row>
    <row r="805" spans="1:24">
      <c r="A805">
        <f>HYPERLINK("https://www.philgeps.gov.ph/GEPSNONPILOT/Tender/SplashBidNoticeAbstractUI.aspx?menuIndex=3&amp;refID=7082432&amp;Result=3","7082432")</f>
        <v>0</v>
      </c>
      <c r="B805" t="s">
        <v>92</v>
      </c>
      <c r="C805" t="s">
        <v>4301</v>
      </c>
      <c r="D805" t="s">
        <v>18100</v>
      </c>
      <c r="E805" t="s">
        <v>18946</v>
      </c>
      <c r="F805" t="s">
        <v>31362</v>
      </c>
      <c r="G805" t="s">
        <v>31369</v>
      </c>
      <c r="H805" t="s">
        <v>15799</v>
      </c>
      <c r="I805" t="s">
        <v>31380</v>
      </c>
      <c r="J805" t="s">
        <v>32137</v>
      </c>
      <c r="K805" t="s">
        <v>40677</v>
      </c>
      <c r="M805" t="s">
        <v>41029</v>
      </c>
      <c r="N805" t="s">
        <v>44905</v>
      </c>
      <c r="O805" t="s">
        <v>44906</v>
      </c>
      <c r="P805">
        <v>0</v>
      </c>
      <c r="Q805">
        <v>6</v>
      </c>
      <c r="R805" t="s">
        <v>44907</v>
      </c>
      <c r="S805" t="s">
        <v>45026</v>
      </c>
      <c r="T805" t="s">
        <v>46527</v>
      </c>
      <c r="U805" t="s">
        <v>47621</v>
      </c>
      <c r="W805" t="s">
        <v>60834</v>
      </c>
      <c r="X805" t="s">
        <v>44908</v>
      </c>
    </row>
    <row r="806" spans="1:24">
      <c r="A806">
        <f>HYPERLINK("https://www.philgeps.gov.ph/GEPSNONPILOT/Tender/SplashBidNoticeAbstractUI.aspx?menuIndex=3&amp;refID=7082431&amp;Result=3","7082431")</f>
        <v>0</v>
      </c>
      <c r="B806" t="s">
        <v>372</v>
      </c>
      <c r="C806" t="s">
        <v>4302</v>
      </c>
      <c r="D806" t="s">
        <v>18176</v>
      </c>
      <c r="E806" t="s">
        <v>18947</v>
      </c>
      <c r="F806" t="s">
        <v>31362</v>
      </c>
      <c r="G806" t="s">
        <v>31369</v>
      </c>
      <c r="H806" t="s">
        <v>15799</v>
      </c>
      <c r="I806" t="s">
        <v>7188</v>
      </c>
      <c r="J806" t="s">
        <v>31531</v>
      </c>
      <c r="K806" t="s">
        <v>40662</v>
      </c>
      <c r="M806" t="s">
        <v>41319</v>
      </c>
      <c r="N806" t="s">
        <v>44905</v>
      </c>
      <c r="O806" t="s">
        <v>44906</v>
      </c>
      <c r="P806">
        <v>0</v>
      </c>
      <c r="Q806">
        <v>0</v>
      </c>
      <c r="R806" t="s">
        <v>44907</v>
      </c>
      <c r="S806" t="s">
        <v>45026</v>
      </c>
      <c r="T806" t="s">
        <v>46396</v>
      </c>
      <c r="U806" t="s">
        <v>47622</v>
      </c>
      <c r="W806" t="s">
        <v>41319</v>
      </c>
      <c r="X806" t="s">
        <v>44908</v>
      </c>
    </row>
    <row r="807" spans="1:24">
      <c r="A807">
        <f>HYPERLINK("https://www.philgeps.gov.ph/GEPSNONPILOT/Tender/SplashBidNoticeAbstractUI.aspx?menuIndex=3&amp;refID=7082484&amp;Result=3","7082484")</f>
        <v>0</v>
      </c>
      <c r="B807" t="s">
        <v>398</v>
      </c>
      <c r="C807" t="s">
        <v>4303</v>
      </c>
      <c r="D807" t="s">
        <v>18112</v>
      </c>
      <c r="E807" t="s">
        <v>18948</v>
      </c>
      <c r="F807" t="s">
        <v>31362</v>
      </c>
      <c r="G807" t="s">
        <v>31368</v>
      </c>
      <c r="H807" t="s">
        <v>15799</v>
      </c>
      <c r="I807" t="s">
        <v>7188</v>
      </c>
      <c r="J807" t="s">
        <v>32138</v>
      </c>
      <c r="K807" t="s">
        <v>40665</v>
      </c>
      <c r="L807" t="s">
        <v>398</v>
      </c>
      <c r="M807" t="s">
        <v>41347</v>
      </c>
      <c r="N807" t="s">
        <v>44905</v>
      </c>
      <c r="O807" t="s">
        <v>44906</v>
      </c>
      <c r="P807">
        <v>0</v>
      </c>
      <c r="Q807">
        <v>1</v>
      </c>
      <c r="R807" t="s">
        <v>44907</v>
      </c>
      <c r="S807" t="s">
        <v>45026</v>
      </c>
      <c r="T807" t="s">
        <v>46454</v>
      </c>
      <c r="U807" t="s">
        <v>47623</v>
      </c>
      <c r="V807" t="s">
        <v>59157</v>
      </c>
      <c r="W807" t="s">
        <v>41347</v>
      </c>
      <c r="X807" t="s">
        <v>44908</v>
      </c>
    </row>
    <row r="808" spans="1:24">
      <c r="A808">
        <f>HYPERLINK("https://www.philgeps.gov.ph/GEPSNONPILOT/Tender/SplashBidNoticeAbstractUI.aspx?menuIndex=3&amp;refID=7082509&amp;Result=3","7082509")</f>
        <v>0</v>
      </c>
      <c r="B808" t="s">
        <v>343</v>
      </c>
      <c r="C808" t="s">
        <v>4304</v>
      </c>
      <c r="D808" t="s">
        <v>18101</v>
      </c>
      <c r="E808" t="s">
        <v>18949</v>
      </c>
      <c r="F808" t="s">
        <v>31362</v>
      </c>
      <c r="G808" t="s">
        <v>31368</v>
      </c>
      <c r="H808" t="s">
        <v>15799</v>
      </c>
      <c r="I808" t="s">
        <v>31411</v>
      </c>
      <c r="J808" t="s">
        <v>32139</v>
      </c>
      <c r="K808" t="s">
        <v>40666</v>
      </c>
      <c r="M808" t="s">
        <v>41289</v>
      </c>
      <c r="N808" t="s">
        <v>44905</v>
      </c>
      <c r="O808" t="s">
        <v>44906</v>
      </c>
      <c r="P808">
        <v>0</v>
      </c>
      <c r="Q808">
        <v>1</v>
      </c>
      <c r="R808" t="s">
        <v>44907</v>
      </c>
      <c r="S808" t="s">
        <v>45026</v>
      </c>
      <c r="T808" t="s">
        <v>46438</v>
      </c>
      <c r="U808" t="s">
        <v>47624</v>
      </c>
      <c r="V808" t="s">
        <v>59138</v>
      </c>
      <c r="W808" t="s">
        <v>41289</v>
      </c>
      <c r="X808" t="s">
        <v>44908</v>
      </c>
    </row>
    <row r="809" spans="1:24">
      <c r="A809">
        <f>HYPERLINK("https://www.philgeps.gov.ph/GEPSNONPILOT/Tender/SplashBidNoticeAbstractUI.aspx?menuIndex=3&amp;refID=7082500&amp;Result=3","7082500")</f>
        <v>0</v>
      </c>
      <c r="B809" t="s">
        <v>137</v>
      </c>
      <c r="C809" t="s">
        <v>4305</v>
      </c>
      <c r="D809" t="s">
        <v>18141</v>
      </c>
      <c r="E809" t="s">
        <v>18950</v>
      </c>
      <c r="F809" t="s">
        <v>31363</v>
      </c>
      <c r="G809" t="s">
        <v>31369</v>
      </c>
      <c r="H809" t="s">
        <v>15799</v>
      </c>
      <c r="I809" t="s">
        <v>3815</v>
      </c>
      <c r="J809" t="s">
        <v>32140</v>
      </c>
      <c r="K809" t="s">
        <v>40670</v>
      </c>
      <c r="M809" t="s">
        <v>41075</v>
      </c>
      <c r="N809" t="s">
        <v>44905</v>
      </c>
      <c r="O809" t="s">
        <v>44906</v>
      </c>
      <c r="P809">
        <v>0</v>
      </c>
      <c r="Q809">
        <v>0</v>
      </c>
      <c r="R809" t="s">
        <v>44907</v>
      </c>
      <c r="S809" t="s">
        <v>45026</v>
      </c>
      <c r="T809" t="s">
        <v>46449</v>
      </c>
      <c r="U809" t="s">
        <v>47625</v>
      </c>
      <c r="W809" t="s">
        <v>41075</v>
      </c>
      <c r="X809" t="s">
        <v>44908</v>
      </c>
    </row>
    <row r="810" spans="1:24">
      <c r="A810">
        <f>HYPERLINK("https://www.philgeps.gov.ph/GEPSNONPILOT/Tender/SplashBidNoticeAbstractUI.aspx?menuIndex=3&amp;refID=7082430&amp;Result=3","7082430")</f>
        <v>0</v>
      </c>
      <c r="B810" t="s">
        <v>347</v>
      </c>
      <c r="C810" t="s">
        <v>4306</v>
      </c>
      <c r="D810" t="s">
        <v>18120</v>
      </c>
      <c r="E810" t="s">
        <v>18951</v>
      </c>
      <c r="F810" t="s">
        <v>31362</v>
      </c>
      <c r="G810" t="s">
        <v>31370</v>
      </c>
      <c r="H810" t="s">
        <v>15799</v>
      </c>
      <c r="I810" t="s">
        <v>31400</v>
      </c>
      <c r="J810" t="s">
        <v>32141</v>
      </c>
      <c r="K810" t="s">
        <v>40661</v>
      </c>
      <c r="M810" t="s">
        <v>41293</v>
      </c>
      <c r="N810" t="s">
        <v>44905</v>
      </c>
      <c r="O810" t="s">
        <v>44906</v>
      </c>
      <c r="P810">
        <v>0</v>
      </c>
      <c r="Q810">
        <v>0</v>
      </c>
      <c r="R810" t="s">
        <v>44907</v>
      </c>
      <c r="S810" t="s">
        <v>45026</v>
      </c>
      <c r="T810" t="s">
        <v>46409</v>
      </c>
      <c r="U810" t="s">
        <v>47626</v>
      </c>
      <c r="W810" t="s">
        <v>41293</v>
      </c>
      <c r="X810" t="s">
        <v>44908</v>
      </c>
    </row>
    <row r="811" spans="1:24">
      <c r="A811">
        <f>HYPERLINK("https://www.philgeps.gov.ph/GEPSNONPILOT/Tender/SplashBidNoticeAbstractUI.aspx?menuIndex=3&amp;refID=7082532&amp;Result=3","7082532")</f>
        <v>0</v>
      </c>
      <c r="B811" t="s">
        <v>399</v>
      </c>
      <c r="C811" t="s">
        <v>4307</v>
      </c>
      <c r="D811" t="s">
        <v>18148</v>
      </c>
      <c r="E811" t="s">
        <v>18952</v>
      </c>
      <c r="F811" t="s">
        <v>31362</v>
      </c>
      <c r="G811" t="s">
        <v>31369</v>
      </c>
      <c r="H811" t="s">
        <v>15799</v>
      </c>
      <c r="I811" t="s">
        <v>31404</v>
      </c>
      <c r="J811" t="s">
        <v>32142</v>
      </c>
      <c r="K811" t="s">
        <v>40712</v>
      </c>
      <c r="M811" t="s">
        <v>41348</v>
      </c>
      <c r="N811" t="s">
        <v>44905</v>
      </c>
      <c r="O811" t="s">
        <v>44906</v>
      </c>
      <c r="P811">
        <v>0</v>
      </c>
      <c r="Q811">
        <v>0</v>
      </c>
      <c r="R811" t="s">
        <v>44907</v>
      </c>
      <c r="S811" t="s">
        <v>45026</v>
      </c>
      <c r="T811" t="s">
        <v>46397</v>
      </c>
      <c r="U811" t="s">
        <v>47627</v>
      </c>
      <c r="W811" t="s">
        <v>41348</v>
      </c>
      <c r="X811" t="s">
        <v>44908</v>
      </c>
    </row>
    <row r="812" spans="1:24">
      <c r="A812">
        <f>HYPERLINK("https://www.philgeps.gov.ph/GEPSNONPILOT/Tender/SplashBidNoticeAbstractUI.aspx?menuIndex=3&amp;refID=7082530&amp;Result=3","7082530")</f>
        <v>0</v>
      </c>
      <c r="B812" t="s">
        <v>259</v>
      </c>
      <c r="C812" t="s">
        <v>4308</v>
      </c>
      <c r="D812" t="s">
        <v>18100</v>
      </c>
      <c r="E812" t="s">
        <v>18953</v>
      </c>
      <c r="F812" t="s">
        <v>31362</v>
      </c>
      <c r="G812" t="s">
        <v>31368</v>
      </c>
      <c r="H812" t="s">
        <v>15799</v>
      </c>
      <c r="I812" t="s">
        <v>31387</v>
      </c>
      <c r="J812" t="s">
        <v>32143</v>
      </c>
      <c r="K812" t="s">
        <v>40693</v>
      </c>
      <c r="M812" t="s">
        <v>41200</v>
      </c>
      <c r="N812" t="s">
        <v>44905</v>
      </c>
      <c r="O812" t="s">
        <v>44906</v>
      </c>
      <c r="P812">
        <v>0</v>
      </c>
      <c r="Q812">
        <v>0</v>
      </c>
      <c r="R812" t="s">
        <v>44907</v>
      </c>
      <c r="S812" t="s">
        <v>45026</v>
      </c>
      <c r="T812" t="s">
        <v>46426</v>
      </c>
      <c r="U812" t="s">
        <v>47628</v>
      </c>
      <c r="W812" t="s">
        <v>41200</v>
      </c>
      <c r="X812" t="s">
        <v>44908</v>
      </c>
    </row>
    <row r="813" spans="1:24">
      <c r="A813">
        <f>HYPERLINK("https://www.philgeps.gov.ph/GEPSNONPILOT/Tender/SplashBidNoticeAbstractUI.aspx?menuIndex=3&amp;refID=7082527&amp;Result=3","7082527")</f>
        <v>0</v>
      </c>
      <c r="B813" t="s">
        <v>385</v>
      </c>
      <c r="C813" t="s">
        <v>4309</v>
      </c>
      <c r="D813" t="s">
        <v>18108</v>
      </c>
      <c r="E813" t="s">
        <v>18954</v>
      </c>
      <c r="F813" t="s">
        <v>31362</v>
      </c>
      <c r="G813" t="s">
        <v>31370</v>
      </c>
      <c r="H813" t="s">
        <v>15799</v>
      </c>
      <c r="I813" t="s">
        <v>31385</v>
      </c>
      <c r="J813" t="s">
        <v>31734</v>
      </c>
      <c r="K813" t="s">
        <v>40666</v>
      </c>
      <c r="M813" t="s">
        <v>41333</v>
      </c>
      <c r="N813" t="s">
        <v>44905</v>
      </c>
      <c r="O813" t="s">
        <v>44906</v>
      </c>
      <c r="P813">
        <v>0</v>
      </c>
      <c r="Q813">
        <v>0</v>
      </c>
      <c r="R813" t="s">
        <v>44907</v>
      </c>
      <c r="S813" t="s">
        <v>45026</v>
      </c>
      <c r="T813" t="s">
        <v>46470</v>
      </c>
      <c r="U813" t="s">
        <v>47629</v>
      </c>
      <c r="W813" t="s">
        <v>60851</v>
      </c>
      <c r="X813" t="s">
        <v>44908</v>
      </c>
    </row>
    <row r="814" spans="1:24">
      <c r="A814">
        <f>HYPERLINK("https://www.philgeps.gov.ph/GEPSNONPILOT/Tender/SplashBidNoticeAbstractUI.aspx?menuIndex=3&amp;refID=7082526&amp;Result=3","7082526")</f>
        <v>0</v>
      </c>
      <c r="B814" t="s">
        <v>400</v>
      </c>
      <c r="C814" t="s">
        <v>4310</v>
      </c>
      <c r="D814" t="s">
        <v>18178</v>
      </c>
      <c r="E814" t="s">
        <v>18955</v>
      </c>
      <c r="F814" t="s">
        <v>31362</v>
      </c>
      <c r="G814" t="s">
        <v>31368</v>
      </c>
      <c r="H814" t="s">
        <v>15799</v>
      </c>
      <c r="I814" t="s">
        <v>31455</v>
      </c>
      <c r="J814" t="s">
        <v>31546</v>
      </c>
      <c r="K814" t="s">
        <v>40661</v>
      </c>
      <c r="M814" t="s">
        <v>41349</v>
      </c>
      <c r="N814" t="s">
        <v>44905</v>
      </c>
      <c r="O814" t="s">
        <v>44906</v>
      </c>
      <c r="P814">
        <v>0</v>
      </c>
      <c r="Q814">
        <v>0</v>
      </c>
      <c r="R814" t="s">
        <v>44907</v>
      </c>
      <c r="S814" t="s">
        <v>45026</v>
      </c>
      <c r="T814" t="s">
        <v>46454</v>
      </c>
      <c r="U814" t="s">
        <v>47630</v>
      </c>
      <c r="W814" t="s">
        <v>41349</v>
      </c>
      <c r="X814" t="s">
        <v>44908</v>
      </c>
    </row>
    <row r="815" spans="1:24">
      <c r="A815">
        <f>HYPERLINK("https://www.philgeps.gov.ph/GEPSNONPILOT/Tender/SplashBidNoticeAbstractUI.aspx?menuIndex=3&amp;refID=7082525&amp;Result=3","7082525")</f>
        <v>0</v>
      </c>
      <c r="B815" t="s">
        <v>56</v>
      </c>
      <c r="C815" t="s">
        <v>4311</v>
      </c>
      <c r="D815" t="s">
        <v>18106</v>
      </c>
      <c r="E815" t="s">
        <v>18956</v>
      </c>
      <c r="F815" t="s">
        <v>31362</v>
      </c>
      <c r="G815" t="s">
        <v>31368</v>
      </c>
      <c r="H815" t="s">
        <v>15799</v>
      </c>
      <c r="I815" t="s">
        <v>31422</v>
      </c>
      <c r="J815" t="s">
        <v>32144</v>
      </c>
      <c r="K815" t="s">
        <v>40666</v>
      </c>
      <c r="M815" t="s">
        <v>40990</v>
      </c>
      <c r="N815" t="s">
        <v>44905</v>
      </c>
      <c r="O815" t="s">
        <v>44906</v>
      </c>
      <c r="P815">
        <v>0</v>
      </c>
      <c r="Q815">
        <v>0</v>
      </c>
      <c r="R815" t="s">
        <v>44907</v>
      </c>
      <c r="S815" t="s">
        <v>45026</v>
      </c>
      <c r="T815" t="s">
        <v>46413</v>
      </c>
      <c r="U815" t="s">
        <v>46976</v>
      </c>
      <c r="V815" t="s">
        <v>59158</v>
      </c>
      <c r="W815" t="s">
        <v>40990</v>
      </c>
      <c r="X815" t="s">
        <v>44908</v>
      </c>
    </row>
    <row r="816" spans="1:24">
      <c r="A816">
        <f>HYPERLINK("https://www.philgeps.gov.ph/GEPSNONPILOT/Tender/SplashBidNoticeAbstractUI.aspx?menuIndex=3&amp;refID=7082523&amp;Result=3","7082523")</f>
        <v>0</v>
      </c>
      <c r="B816" t="s">
        <v>378</v>
      </c>
      <c r="C816" t="s">
        <v>4312</v>
      </c>
      <c r="D816" t="s">
        <v>18156</v>
      </c>
      <c r="E816" t="s">
        <v>18957</v>
      </c>
      <c r="F816" t="s">
        <v>31362</v>
      </c>
      <c r="G816" t="s">
        <v>31368</v>
      </c>
      <c r="H816" t="s">
        <v>15799</v>
      </c>
      <c r="I816" t="s">
        <v>3815</v>
      </c>
      <c r="J816" t="s">
        <v>32145</v>
      </c>
      <c r="K816" t="s">
        <v>40661</v>
      </c>
      <c r="M816" t="s">
        <v>41350</v>
      </c>
      <c r="N816" t="s">
        <v>44905</v>
      </c>
      <c r="O816" t="s">
        <v>44906</v>
      </c>
      <c r="P816">
        <v>0</v>
      </c>
      <c r="Q816">
        <v>0</v>
      </c>
      <c r="R816" t="s">
        <v>44907</v>
      </c>
      <c r="S816" t="s">
        <v>45026</v>
      </c>
      <c r="T816" t="s">
        <v>46409</v>
      </c>
      <c r="U816" t="s">
        <v>47631</v>
      </c>
      <c r="W816" t="s">
        <v>41350</v>
      </c>
      <c r="X816" t="s">
        <v>44908</v>
      </c>
    </row>
    <row r="817" spans="1:24">
      <c r="A817">
        <f>HYPERLINK("https://www.philgeps.gov.ph/GEPSNONPILOT/Tender/SplashBidNoticeAbstractUI.aspx?menuIndex=3&amp;refID=7082522&amp;Result=3","7082522")</f>
        <v>0</v>
      </c>
      <c r="B817" t="s">
        <v>91</v>
      </c>
      <c r="C817" t="s">
        <v>4142</v>
      </c>
      <c r="D817" t="s">
        <v>18136</v>
      </c>
      <c r="E817" t="s">
        <v>18958</v>
      </c>
      <c r="F817" t="s">
        <v>31362</v>
      </c>
      <c r="G817" t="s">
        <v>31370</v>
      </c>
      <c r="H817" t="s">
        <v>15799</v>
      </c>
      <c r="I817" t="s">
        <v>31385</v>
      </c>
      <c r="J817" t="s">
        <v>32146</v>
      </c>
      <c r="K817" t="s">
        <v>40661</v>
      </c>
      <c r="M817" t="s">
        <v>41028</v>
      </c>
      <c r="N817" t="s">
        <v>44905</v>
      </c>
      <c r="O817" t="s">
        <v>44906</v>
      </c>
      <c r="P817">
        <v>0</v>
      </c>
      <c r="Q817">
        <v>0</v>
      </c>
      <c r="R817" t="s">
        <v>44907</v>
      </c>
      <c r="S817" t="s">
        <v>45026</v>
      </c>
      <c r="T817" t="s">
        <v>46411</v>
      </c>
      <c r="U817" t="s">
        <v>47632</v>
      </c>
      <c r="W817" t="s">
        <v>41028</v>
      </c>
      <c r="X817" t="s">
        <v>44908</v>
      </c>
    </row>
    <row r="818" spans="1:24">
      <c r="A818">
        <f>HYPERLINK("https://www.philgeps.gov.ph/GEPSNONPILOT/Tender/SplashBidNoticeAbstractUI.aspx?menuIndex=3&amp;refID=7082533&amp;Result=3","7082533")</f>
        <v>0</v>
      </c>
      <c r="B818" t="s">
        <v>376</v>
      </c>
      <c r="C818" t="s">
        <v>4313</v>
      </c>
      <c r="D818" t="s">
        <v>18160</v>
      </c>
      <c r="E818" t="s">
        <v>18959</v>
      </c>
      <c r="F818" t="s">
        <v>31362</v>
      </c>
      <c r="G818" t="s">
        <v>31368</v>
      </c>
      <c r="H818" t="s">
        <v>31378</v>
      </c>
      <c r="I818" t="s">
        <v>31449</v>
      </c>
      <c r="J818" t="s">
        <v>32147</v>
      </c>
      <c r="K818" t="s">
        <v>40662</v>
      </c>
      <c r="M818" t="s">
        <v>41323</v>
      </c>
      <c r="N818" t="s">
        <v>44905</v>
      </c>
      <c r="O818" t="s">
        <v>44906</v>
      </c>
      <c r="P818">
        <v>0</v>
      </c>
      <c r="Q818">
        <v>0</v>
      </c>
      <c r="R818" t="s">
        <v>44907</v>
      </c>
      <c r="S818" t="s">
        <v>45026</v>
      </c>
      <c r="T818" t="s">
        <v>46409</v>
      </c>
      <c r="U818" t="s">
        <v>47633</v>
      </c>
      <c r="W818" t="s">
        <v>60850</v>
      </c>
      <c r="X818" t="s">
        <v>44908</v>
      </c>
    </row>
    <row r="819" spans="1:24">
      <c r="A819">
        <f>HYPERLINK("https://www.philgeps.gov.ph/GEPSNONPILOT/Tender/SplashBidNoticeAbstractUI.aspx?menuIndex=3&amp;refID=7082521&amp;Result=3","7082521")</f>
        <v>0</v>
      </c>
      <c r="B819" t="s">
        <v>401</v>
      </c>
      <c r="C819" t="s">
        <v>4314</v>
      </c>
      <c r="D819" t="s">
        <v>18132</v>
      </c>
      <c r="E819" t="s">
        <v>18960</v>
      </c>
      <c r="F819" t="s">
        <v>31362</v>
      </c>
      <c r="G819" t="s">
        <v>31369</v>
      </c>
      <c r="H819" t="s">
        <v>15799</v>
      </c>
      <c r="I819" t="s">
        <v>3815</v>
      </c>
      <c r="J819" t="s">
        <v>32148</v>
      </c>
      <c r="K819" t="s">
        <v>40666</v>
      </c>
      <c r="M819" t="s">
        <v>41351</v>
      </c>
      <c r="N819" t="s">
        <v>44905</v>
      </c>
      <c r="O819" t="s">
        <v>44906</v>
      </c>
      <c r="P819">
        <v>0</v>
      </c>
      <c r="Q819">
        <v>0</v>
      </c>
      <c r="R819" t="s">
        <v>44907</v>
      </c>
      <c r="S819" t="s">
        <v>45026</v>
      </c>
      <c r="T819" t="s">
        <v>46521</v>
      </c>
      <c r="U819" t="s">
        <v>47634</v>
      </c>
      <c r="W819" t="s">
        <v>41351</v>
      </c>
      <c r="X819" t="s">
        <v>44908</v>
      </c>
    </row>
    <row r="820" spans="1:24">
      <c r="A820">
        <f>HYPERLINK("https://www.philgeps.gov.ph/GEPSNONPILOT/Tender/SplashBidNoticeAbstractUI.aspx?menuIndex=3&amp;refID=7082531&amp;Result=3","7082531")</f>
        <v>0</v>
      </c>
      <c r="B820" t="s">
        <v>134</v>
      </c>
      <c r="C820" t="s">
        <v>4315</v>
      </c>
      <c r="D820" t="s">
        <v>18108</v>
      </c>
      <c r="E820" t="s">
        <v>18961</v>
      </c>
      <c r="F820" t="s">
        <v>31362</v>
      </c>
      <c r="G820" t="s">
        <v>31368</v>
      </c>
      <c r="H820" t="s">
        <v>15799</v>
      </c>
      <c r="I820" t="s">
        <v>31380</v>
      </c>
      <c r="J820" t="s">
        <v>32149</v>
      </c>
      <c r="K820" t="s">
        <v>40662</v>
      </c>
      <c r="M820" t="s">
        <v>41072</v>
      </c>
      <c r="N820" t="s">
        <v>44905</v>
      </c>
      <c r="O820" t="s">
        <v>44906</v>
      </c>
      <c r="P820">
        <v>0</v>
      </c>
      <c r="Q820">
        <v>4</v>
      </c>
      <c r="R820" t="s">
        <v>44907</v>
      </c>
      <c r="S820" t="s">
        <v>45026</v>
      </c>
      <c r="T820" t="s">
        <v>46443</v>
      </c>
      <c r="U820" t="s">
        <v>47635</v>
      </c>
      <c r="W820" t="s">
        <v>41072</v>
      </c>
      <c r="X820" t="s">
        <v>44908</v>
      </c>
    </row>
    <row r="821" spans="1:24">
      <c r="A821">
        <f>HYPERLINK("https://www.philgeps.gov.ph/GEPSNONPILOT/Tender/SplashBidNoticeAbstractUI.aspx?menuIndex=3&amp;refID=7082518&amp;Result=3","7082518")</f>
        <v>0</v>
      </c>
      <c r="B821" t="s">
        <v>402</v>
      </c>
      <c r="C821" t="s">
        <v>4316</v>
      </c>
      <c r="D821" t="s">
        <v>18139</v>
      </c>
      <c r="E821" t="s">
        <v>18962</v>
      </c>
      <c r="F821" t="s">
        <v>31362</v>
      </c>
      <c r="G821" t="s">
        <v>31369</v>
      </c>
      <c r="H821" t="s">
        <v>31378</v>
      </c>
      <c r="I821" t="s">
        <v>31386</v>
      </c>
      <c r="J821" t="s">
        <v>32150</v>
      </c>
      <c r="K821" t="s">
        <v>40713</v>
      </c>
      <c r="M821" t="s">
        <v>41352</v>
      </c>
      <c r="N821" t="s">
        <v>44905</v>
      </c>
      <c r="O821" t="s">
        <v>44906</v>
      </c>
      <c r="P821">
        <v>0</v>
      </c>
      <c r="Q821">
        <v>0</v>
      </c>
      <c r="R821" t="s">
        <v>44907</v>
      </c>
      <c r="S821" t="s">
        <v>45026</v>
      </c>
      <c r="T821" t="s">
        <v>46465</v>
      </c>
      <c r="U821" t="s">
        <v>47636</v>
      </c>
      <c r="W821" t="s">
        <v>41352</v>
      </c>
      <c r="X821" t="s">
        <v>44908</v>
      </c>
    </row>
    <row r="822" spans="1:24">
      <c r="A822">
        <f>HYPERLINK("https://www.philgeps.gov.ph/GEPSNONPILOT/Tender/SplashBidNoticeAbstractUI.aspx?menuIndex=3&amp;refID=7082514&amp;Result=3","7082514")</f>
        <v>0</v>
      </c>
      <c r="B822" t="s">
        <v>385</v>
      </c>
      <c r="C822" t="s">
        <v>4317</v>
      </c>
      <c r="D822" t="s">
        <v>18108</v>
      </c>
      <c r="E822" t="s">
        <v>18963</v>
      </c>
      <c r="F822" t="s">
        <v>31362</v>
      </c>
      <c r="G822" t="s">
        <v>31370</v>
      </c>
      <c r="H822" t="s">
        <v>15799</v>
      </c>
      <c r="I822" t="s">
        <v>3815</v>
      </c>
      <c r="J822" t="s">
        <v>32151</v>
      </c>
      <c r="K822" t="s">
        <v>40666</v>
      </c>
      <c r="M822" t="s">
        <v>41333</v>
      </c>
      <c r="N822" t="s">
        <v>44905</v>
      </c>
      <c r="O822" t="s">
        <v>44906</v>
      </c>
      <c r="P822">
        <v>0</v>
      </c>
      <c r="Q822">
        <v>0</v>
      </c>
      <c r="R822" t="s">
        <v>44907</v>
      </c>
      <c r="S822" t="s">
        <v>45026</v>
      </c>
      <c r="T822" t="s">
        <v>46470</v>
      </c>
      <c r="U822" t="s">
        <v>47637</v>
      </c>
      <c r="W822" t="s">
        <v>60851</v>
      </c>
      <c r="X822" t="s">
        <v>44908</v>
      </c>
    </row>
    <row r="823" spans="1:24">
      <c r="A823">
        <f>HYPERLINK("https://www.philgeps.gov.ph/GEPSNONPILOT/Tender/SplashBidNoticeAbstractUI.aspx?menuIndex=3&amp;refID=7082513&amp;Result=3","7082513")</f>
        <v>0</v>
      </c>
      <c r="B823" t="s">
        <v>403</v>
      </c>
      <c r="C823" t="s">
        <v>4318</v>
      </c>
      <c r="E823" t="s">
        <v>18964</v>
      </c>
      <c r="F823" t="s">
        <v>31362</v>
      </c>
      <c r="G823" t="s">
        <v>31369</v>
      </c>
      <c r="H823" t="s">
        <v>31378</v>
      </c>
      <c r="I823" t="s">
        <v>3815</v>
      </c>
      <c r="J823" t="s">
        <v>32152</v>
      </c>
      <c r="K823" t="s">
        <v>40662</v>
      </c>
      <c r="M823" t="s">
        <v>41353</v>
      </c>
      <c r="N823" t="s">
        <v>44905</v>
      </c>
      <c r="O823" t="s">
        <v>44906</v>
      </c>
      <c r="P823">
        <v>0</v>
      </c>
      <c r="Q823">
        <v>0</v>
      </c>
      <c r="R823" t="s">
        <v>44907</v>
      </c>
      <c r="S823" t="s">
        <v>45026</v>
      </c>
      <c r="T823" t="s">
        <v>46396</v>
      </c>
      <c r="U823" t="s">
        <v>47638</v>
      </c>
      <c r="W823" t="s">
        <v>41353</v>
      </c>
      <c r="X823" t="s">
        <v>44908</v>
      </c>
    </row>
    <row r="824" spans="1:24">
      <c r="A824">
        <f>HYPERLINK("https://www.philgeps.gov.ph/GEPSNONPILOT/Tender/SplashBidNoticeAbstractUI.aspx?menuIndex=3&amp;refID=7082512&amp;Result=3","7082512")</f>
        <v>0</v>
      </c>
      <c r="B824" t="s">
        <v>321</v>
      </c>
      <c r="C824" t="s">
        <v>4319</v>
      </c>
      <c r="D824" t="s">
        <v>18104</v>
      </c>
      <c r="E824" t="s">
        <v>18965</v>
      </c>
      <c r="F824" t="s">
        <v>31362</v>
      </c>
      <c r="G824" t="s">
        <v>31369</v>
      </c>
      <c r="H824" t="s">
        <v>31378</v>
      </c>
      <c r="I824" t="s">
        <v>3815</v>
      </c>
      <c r="J824" t="s">
        <v>32153</v>
      </c>
      <c r="K824" t="s">
        <v>40686</v>
      </c>
      <c r="M824" t="s">
        <v>41267</v>
      </c>
      <c r="N824" t="s">
        <v>44905</v>
      </c>
      <c r="O824" t="s">
        <v>44906</v>
      </c>
      <c r="P824">
        <v>0</v>
      </c>
      <c r="Q824">
        <v>1</v>
      </c>
      <c r="R824" t="s">
        <v>44907</v>
      </c>
      <c r="S824" t="s">
        <v>45026</v>
      </c>
      <c r="T824" t="s">
        <v>46401</v>
      </c>
      <c r="U824" t="s">
        <v>47466</v>
      </c>
      <c r="V824" t="s">
        <v>59133</v>
      </c>
      <c r="W824" t="s">
        <v>41267</v>
      </c>
      <c r="X824" t="s">
        <v>44908</v>
      </c>
    </row>
    <row r="825" spans="1:24">
      <c r="A825">
        <f>HYPERLINK("https://www.philgeps.gov.ph/GEPSNONPILOT/Tender/SplashBidNoticeAbstractUI.aspx?menuIndex=3&amp;refID=7082520&amp;Result=3","7082520")</f>
        <v>0</v>
      </c>
      <c r="B825" t="s">
        <v>328</v>
      </c>
      <c r="C825" t="s">
        <v>4320</v>
      </c>
      <c r="D825" t="s">
        <v>18175</v>
      </c>
      <c r="E825" t="s">
        <v>18966</v>
      </c>
      <c r="F825" t="s">
        <v>31362</v>
      </c>
      <c r="G825" t="s">
        <v>31368</v>
      </c>
      <c r="H825" t="s">
        <v>15799</v>
      </c>
      <c r="I825" t="s">
        <v>3815</v>
      </c>
      <c r="J825" t="s">
        <v>32154</v>
      </c>
      <c r="K825" t="s">
        <v>40665</v>
      </c>
      <c r="M825" t="s">
        <v>41274</v>
      </c>
      <c r="N825" t="s">
        <v>44905</v>
      </c>
      <c r="O825" t="s">
        <v>44906</v>
      </c>
      <c r="P825">
        <v>0</v>
      </c>
      <c r="Q825">
        <v>0</v>
      </c>
      <c r="R825" t="s">
        <v>44907</v>
      </c>
      <c r="S825" t="s">
        <v>45026</v>
      </c>
      <c r="T825" t="s">
        <v>46447</v>
      </c>
      <c r="U825" t="s">
        <v>47639</v>
      </c>
      <c r="W825" t="s">
        <v>41274</v>
      </c>
      <c r="X825" t="s">
        <v>44908</v>
      </c>
    </row>
    <row r="826" spans="1:24">
      <c r="A826">
        <f>HYPERLINK("https://www.philgeps.gov.ph/GEPSNONPILOT/Tender/SplashBidNoticeAbstractUI.aspx?menuIndex=3&amp;refID=7082516&amp;Result=3","7082516")</f>
        <v>0</v>
      </c>
      <c r="B826" t="s">
        <v>134</v>
      </c>
      <c r="C826" t="s">
        <v>4321</v>
      </c>
      <c r="D826" t="s">
        <v>18108</v>
      </c>
      <c r="E826" t="s">
        <v>18967</v>
      </c>
      <c r="F826" t="s">
        <v>31362</v>
      </c>
      <c r="G826" t="s">
        <v>31368</v>
      </c>
      <c r="H826" t="s">
        <v>15799</v>
      </c>
      <c r="I826" t="s">
        <v>7719</v>
      </c>
      <c r="J826" t="s">
        <v>31579</v>
      </c>
      <c r="K826" t="s">
        <v>40662</v>
      </c>
      <c r="M826" t="s">
        <v>41072</v>
      </c>
      <c r="N826" t="s">
        <v>44905</v>
      </c>
      <c r="O826" t="s">
        <v>44906</v>
      </c>
      <c r="P826">
        <v>0</v>
      </c>
      <c r="Q826">
        <v>5</v>
      </c>
      <c r="R826" t="s">
        <v>44907</v>
      </c>
      <c r="S826" t="s">
        <v>45026</v>
      </c>
      <c r="T826" t="s">
        <v>46443</v>
      </c>
      <c r="U826" t="s">
        <v>47640</v>
      </c>
      <c r="W826" t="s">
        <v>41072</v>
      </c>
      <c r="X826" t="s">
        <v>44908</v>
      </c>
    </row>
    <row r="827" spans="1:24">
      <c r="A827">
        <f>HYPERLINK("https://www.philgeps.gov.ph/GEPSNONPILOT/Tender/SplashBidNoticeAbstractUI.aspx?menuIndex=3&amp;refID=7082434&amp;Result=3","7082434")</f>
        <v>0</v>
      </c>
      <c r="B827" t="s">
        <v>373</v>
      </c>
      <c r="C827" t="s">
        <v>4322</v>
      </c>
      <c r="D827" t="s">
        <v>18127</v>
      </c>
      <c r="E827" t="s">
        <v>18968</v>
      </c>
      <c r="F827" t="s">
        <v>31362</v>
      </c>
      <c r="G827" t="s">
        <v>31371</v>
      </c>
      <c r="H827" t="s">
        <v>15799</v>
      </c>
      <c r="I827" t="s">
        <v>13635</v>
      </c>
      <c r="J827" t="s">
        <v>32155</v>
      </c>
      <c r="K827" t="s">
        <v>40662</v>
      </c>
      <c r="M827" t="s">
        <v>41320</v>
      </c>
      <c r="N827" t="s">
        <v>44905</v>
      </c>
      <c r="O827" t="s">
        <v>44906</v>
      </c>
      <c r="P827">
        <v>0</v>
      </c>
      <c r="Q827">
        <v>0</v>
      </c>
      <c r="R827" t="s">
        <v>44907</v>
      </c>
      <c r="S827" t="s">
        <v>45026</v>
      </c>
      <c r="T827" t="s">
        <v>46432</v>
      </c>
      <c r="U827" t="s">
        <v>47641</v>
      </c>
      <c r="W827" t="s">
        <v>41320</v>
      </c>
      <c r="X827" t="s">
        <v>44908</v>
      </c>
    </row>
    <row r="828" spans="1:24">
      <c r="A828">
        <f>HYPERLINK("https://www.philgeps.gov.ph/GEPSNONPILOT/Tender/SplashBidNoticeAbstractUI.aspx?menuIndex=3&amp;refID=7082410&amp;Result=3","7082410")</f>
        <v>0</v>
      </c>
      <c r="B828" t="s">
        <v>404</v>
      </c>
      <c r="C828" t="s">
        <v>4323</v>
      </c>
      <c r="D828" t="s">
        <v>18108</v>
      </c>
      <c r="E828" t="s">
        <v>18969</v>
      </c>
      <c r="F828" t="s">
        <v>31362</v>
      </c>
      <c r="G828" t="s">
        <v>31370</v>
      </c>
      <c r="H828" t="s">
        <v>15799</v>
      </c>
      <c r="I828" t="s">
        <v>31385</v>
      </c>
      <c r="J828" t="s">
        <v>31537</v>
      </c>
      <c r="K828" t="s">
        <v>40666</v>
      </c>
      <c r="M828" t="s">
        <v>41354</v>
      </c>
      <c r="N828" t="s">
        <v>44905</v>
      </c>
      <c r="O828" t="s">
        <v>44906</v>
      </c>
      <c r="P828">
        <v>0</v>
      </c>
      <c r="Q828">
        <v>1</v>
      </c>
      <c r="R828" t="s">
        <v>44907</v>
      </c>
      <c r="S828" t="s">
        <v>45026</v>
      </c>
      <c r="T828" t="s">
        <v>46447</v>
      </c>
      <c r="U828" t="s">
        <v>47642</v>
      </c>
      <c r="V828" t="s">
        <v>59159</v>
      </c>
      <c r="W828" t="s">
        <v>41354</v>
      </c>
      <c r="X828" t="s">
        <v>44908</v>
      </c>
    </row>
    <row r="829" spans="1:24">
      <c r="A829">
        <f>HYPERLINK("https://www.philgeps.gov.ph/GEPSNONPILOT/Tender/SplashBidNoticeAbstractUI.aspx?menuIndex=3&amp;refID=7082515&amp;Result=3","7082515")</f>
        <v>0</v>
      </c>
      <c r="B829" t="s">
        <v>372</v>
      </c>
      <c r="C829" t="s">
        <v>4324</v>
      </c>
      <c r="D829" t="s">
        <v>18176</v>
      </c>
      <c r="E829" t="s">
        <v>18970</v>
      </c>
      <c r="F829" t="s">
        <v>31362</v>
      </c>
      <c r="G829" t="s">
        <v>31369</v>
      </c>
      <c r="H829" t="s">
        <v>15799</v>
      </c>
      <c r="I829" t="s">
        <v>31386</v>
      </c>
      <c r="J829" t="s">
        <v>31606</v>
      </c>
      <c r="K829" t="s">
        <v>40662</v>
      </c>
      <c r="M829" t="s">
        <v>41319</v>
      </c>
      <c r="N829" t="s">
        <v>44905</v>
      </c>
      <c r="O829" t="s">
        <v>44906</v>
      </c>
      <c r="P829">
        <v>0</v>
      </c>
      <c r="Q829">
        <v>1</v>
      </c>
      <c r="R829" t="s">
        <v>44907</v>
      </c>
      <c r="S829" t="s">
        <v>45026</v>
      </c>
      <c r="T829" t="s">
        <v>46429</v>
      </c>
      <c r="U829" t="s">
        <v>47643</v>
      </c>
      <c r="W829" t="s">
        <v>41319</v>
      </c>
      <c r="X829" t="s">
        <v>44908</v>
      </c>
    </row>
    <row r="830" spans="1:24">
      <c r="A830">
        <f>HYPERLINK("https://www.philgeps.gov.ph/GEPSNONPILOT/Tender/SplashBidNoticeAbstractUI.aspx?menuIndex=3&amp;refID=7082407&amp;Result=3","7082407")</f>
        <v>0</v>
      </c>
      <c r="B830" t="s">
        <v>351</v>
      </c>
      <c r="C830" t="s">
        <v>4325</v>
      </c>
      <c r="D830" t="s">
        <v>18142</v>
      </c>
      <c r="E830" t="s">
        <v>18971</v>
      </c>
      <c r="F830" t="s">
        <v>31362</v>
      </c>
      <c r="G830" t="s">
        <v>31369</v>
      </c>
      <c r="H830" t="s">
        <v>31378</v>
      </c>
      <c r="I830" t="s">
        <v>31386</v>
      </c>
      <c r="J830" t="s">
        <v>32156</v>
      </c>
      <c r="K830" t="s">
        <v>40674</v>
      </c>
      <c r="M830" t="s">
        <v>41298</v>
      </c>
      <c r="N830" t="s">
        <v>44905</v>
      </c>
      <c r="O830" t="s">
        <v>44906</v>
      </c>
      <c r="P830">
        <v>0</v>
      </c>
      <c r="Q830">
        <v>0</v>
      </c>
      <c r="R830" t="s">
        <v>44907</v>
      </c>
      <c r="S830" t="s">
        <v>45026</v>
      </c>
      <c r="T830" t="s">
        <v>46519</v>
      </c>
      <c r="U830" t="s">
        <v>47524</v>
      </c>
      <c r="W830" t="s">
        <v>41298</v>
      </c>
      <c r="X830" t="s">
        <v>44908</v>
      </c>
    </row>
    <row r="831" spans="1:24">
      <c r="A831">
        <f>HYPERLINK("https://www.philgeps.gov.ph/GEPSNONPILOT/Tender/SplashBidNoticeAbstractUI.aspx?menuIndex=3&amp;refID=7082406&amp;Result=3","7082406")</f>
        <v>0</v>
      </c>
      <c r="B831" t="s">
        <v>405</v>
      </c>
      <c r="C831" t="s">
        <v>4326</v>
      </c>
      <c r="D831" t="s">
        <v>18100</v>
      </c>
      <c r="E831" t="s">
        <v>18972</v>
      </c>
      <c r="F831" t="s">
        <v>31362</v>
      </c>
      <c r="G831" t="s">
        <v>31368</v>
      </c>
      <c r="H831" t="s">
        <v>15799</v>
      </c>
      <c r="I831" t="s">
        <v>6373</v>
      </c>
      <c r="J831" t="s">
        <v>32157</v>
      </c>
      <c r="K831" t="s">
        <v>40673</v>
      </c>
      <c r="M831" t="s">
        <v>41355</v>
      </c>
      <c r="N831" t="s">
        <v>44905</v>
      </c>
      <c r="O831" t="s">
        <v>44906</v>
      </c>
      <c r="P831">
        <v>0</v>
      </c>
      <c r="Q831">
        <v>1</v>
      </c>
      <c r="R831" t="s">
        <v>44907</v>
      </c>
      <c r="S831" t="s">
        <v>45026</v>
      </c>
      <c r="T831" t="s">
        <v>46438</v>
      </c>
      <c r="U831" t="s">
        <v>47644</v>
      </c>
      <c r="W831" t="s">
        <v>41355</v>
      </c>
      <c r="X831" t="s">
        <v>44908</v>
      </c>
    </row>
    <row r="832" spans="1:24">
      <c r="A832">
        <f>HYPERLINK("https://www.philgeps.gov.ph/GEPSNONPILOT/Tender/SplashBidNoticeAbstractUI.aspx?menuIndex=3&amp;refID=7082383&amp;Result=3","7082383")</f>
        <v>0</v>
      </c>
      <c r="B832" t="s">
        <v>406</v>
      </c>
      <c r="C832" t="s">
        <v>4327</v>
      </c>
      <c r="E832" t="s">
        <v>18973</v>
      </c>
      <c r="F832" t="s">
        <v>31362</v>
      </c>
      <c r="G832" t="s">
        <v>31368</v>
      </c>
      <c r="H832" t="s">
        <v>15799</v>
      </c>
      <c r="I832" t="s">
        <v>7090</v>
      </c>
      <c r="J832" t="s">
        <v>32158</v>
      </c>
      <c r="K832" t="s">
        <v>40662</v>
      </c>
      <c r="M832" t="s">
        <v>41356</v>
      </c>
      <c r="N832" t="s">
        <v>44905</v>
      </c>
      <c r="O832" t="s">
        <v>44906</v>
      </c>
      <c r="P832">
        <v>0</v>
      </c>
      <c r="Q832">
        <v>1</v>
      </c>
      <c r="R832" t="s">
        <v>44907</v>
      </c>
      <c r="S832" t="s">
        <v>45026</v>
      </c>
      <c r="T832" t="s">
        <v>46414</v>
      </c>
      <c r="U832" t="s">
        <v>46933</v>
      </c>
      <c r="W832" t="s">
        <v>41356</v>
      </c>
      <c r="X832" t="s">
        <v>44908</v>
      </c>
    </row>
    <row r="833" spans="1:24">
      <c r="A833">
        <f>HYPERLINK("https://www.philgeps.gov.ph/GEPSNONPILOT/Tender/SplashBidNoticeAbstractUI.aspx?menuIndex=3&amp;refID=7082510&amp;Result=3","7082510")</f>
        <v>0</v>
      </c>
      <c r="B833" t="s">
        <v>365</v>
      </c>
      <c r="C833" t="s">
        <v>4328</v>
      </c>
      <c r="D833" t="s">
        <v>18126</v>
      </c>
      <c r="E833" t="s">
        <v>18974</v>
      </c>
      <c r="F833" t="s">
        <v>31362</v>
      </c>
      <c r="G833" t="s">
        <v>31369</v>
      </c>
      <c r="H833" t="s">
        <v>15799</v>
      </c>
      <c r="I833" t="s">
        <v>31382</v>
      </c>
      <c r="J833" t="s">
        <v>32159</v>
      </c>
      <c r="K833" t="s">
        <v>40665</v>
      </c>
      <c r="M833" t="s">
        <v>41312</v>
      </c>
      <c r="N833" t="s">
        <v>44905</v>
      </c>
      <c r="O833" t="s">
        <v>44906</v>
      </c>
      <c r="P833">
        <v>0</v>
      </c>
      <c r="Q833">
        <v>4</v>
      </c>
      <c r="R833" t="s">
        <v>44907</v>
      </c>
      <c r="S833" t="s">
        <v>45026</v>
      </c>
      <c r="T833" t="s">
        <v>46431</v>
      </c>
      <c r="U833" t="s">
        <v>47550</v>
      </c>
      <c r="V833" t="s">
        <v>59160</v>
      </c>
      <c r="W833" t="s">
        <v>41312</v>
      </c>
      <c r="X833" t="s">
        <v>44908</v>
      </c>
    </row>
    <row r="834" spans="1:24">
      <c r="A834">
        <f>HYPERLINK("https://www.philgeps.gov.ph/GEPSNONPILOT/Tender/SplashBidNoticeAbstractUI.aspx?menuIndex=3&amp;refID=7082382&amp;Result=3","7082382")</f>
        <v>0</v>
      </c>
      <c r="B834" t="s">
        <v>338</v>
      </c>
      <c r="C834" t="s">
        <v>4329</v>
      </c>
      <c r="D834" t="s">
        <v>18109</v>
      </c>
      <c r="E834" t="s">
        <v>18975</v>
      </c>
      <c r="F834" t="s">
        <v>31362</v>
      </c>
      <c r="G834" t="s">
        <v>31369</v>
      </c>
      <c r="H834" t="s">
        <v>31378</v>
      </c>
      <c r="I834" t="s">
        <v>31386</v>
      </c>
      <c r="J834" t="s">
        <v>31738</v>
      </c>
      <c r="K834" t="s">
        <v>40675</v>
      </c>
      <c r="M834" t="s">
        <v>41284</v>
      </c>
      <c r="N834" t="s">
        <v>44905</v>
      </c>
      <c r="O834" t="s">
        <v>44906</v>
      </c>
      <c r="P834">
        <v>0</v>
      </c>
      <c r="Q834">
        <v>0</v>
      </c>
      <c r="R834" t="s">
        <v>44907</v>
      </c>
      <c r="S834" t="s">
        <v>45026</v>
      </c>
      <c r="T834" t="s">
        <v>46403</v>
      </c>
      <c r="U834" t="s">
        <v>47645</v>
      </c>
      <c r="V834" t="s">
        <v>59136</v>
      </c>
      <c r="W834" t="s">
        <v>41284</v>
      </c>
      <c r="X834" t="s">
        <v>44908</v>
      </c>
    </row>
    <row r="835" spans="1:24">
      <c r="A835">
        <f>HYPERLINK("https://www.philgeps.gov.ph/GEPSNONPILOT/Tender/SplashBidNoticeAbstractUI.aspx?menuIndex=3&amp;refID=7082508&amp;Result=3","7082508")</f>
        <v>0</v>
      </c>
      <c r="B835" t="s">
        <v>356</v>
      </c>
      <c r="C835" t="s">
        <v>4330</v>
      </c>
      <c r="D835" t="s">
        <v>18107</v>
      </c>
      <c r="E835" t="s">
        <v>18843</v>
      </c>
      <c r="F835" t="s">
        <v>31362</v>
      </c>
      <c r="G835" t="s">
        <v>31368</v>
      </c>
      <c r="H835" t="s">
        <v>15799</v>
      </c>
      <c r="I835" t="s">
        <v>31430</v>
      </c>
      <c r="J835" t="s">
        <v>32160</v>
      </c>
      <c r="K835" t="s">
        <v>40665</v>
      </c>
      <c r="M835" t="s">
        <v>41303</v>
      </c>
      <c r="N835" t="s">
        <v>44905</v>
      </c>
      <c r="O835" t="s">
        <v>44906</v>
      </c>
      <c r="P835">
        <v>0</v>
      </c>
      <c r="Q835">
        <v>3</v>
      </c>
      <c r="R835" t="s">
        <v>44907</v>
      </c>
      <c r="S835" t="s">
        <v>45026</v>
      </c>
      <c r="T835" t="s">
        <v>46454</v>
      </c>
      <c r="U835" t="s">
        <v>47531</v>
      </c>
      <c r="W835" t="s">
        <v>41303</v>
      </c>
      <c r="X835" t="s">
        <v>44908</v>
      </c>
    </row>
    <row r="836" spans="1:24">
      <c r="A836">
        <f>HYPERLINK("https://www.philgeps.gov.ph/GEPSNONPILOT/Tender/SplashBidNoticeAbstractUI.aspx?menuIndex=3&amp;refID=7082558&amp;Result=3","7082558")</f>
        <v>0</v>
      </c>
      <c r="B836" t="s">
        <v>407</v>
      </c>
      <c r="C836" t="s">
        <v>4331</v>
      </c>
      <c r="D836" t="s">
        <v>18142</v>
      </c>
      <c r="E836" t="s">
        <v>18976</v>
      </c>
      <c r="F836" t="s">
        <v>31362</v>
      </c>
      <c r="G836" t="s">
        <v>31368</v>
      </c>
      <c r="H836" t="s">
        <v>15799</v>
      </c>
      <c r="I836" t="s">
        <v>31404</v>
      </c>
      <c r="J836" t="s">
        <v>32161</v>
      </c>
      <c r="K836" t="s">
        <v>40670</v>
      </c>
      <c r="M836" t="s">
        <v>41357</v>
      </c>
      <c r="N836" t="s">
        <v>44905</v>
      </c>
      <c r="O836" t="s">
        <v>44906</v>
      </c>
      <c r="P836">
        <v>0</v>
      </c>
      <c r="Q836">
        <v>0</v>
      </c>
      <c r="R836" t="s">
        <v>44907</v>
      </c>
      <c r="S836" t="s">
        <v>45026</v>
      </c>
      <c r="T836" t="s">
        <v>46470</v>
      </c>
      <c r="U836" t="s">
        <v>47646</v>
      </c>
      <c r="W836" t="s">
        <v>41357</v>
      </c>
      <c r="X836" t="s">
        <v>44908</v>
      </c>
    </row>
    <row r="837" spans="1:24">
      <c r="A837">
        <f>HYPERLINK("https://www.philgeps.gov.ph/GEPSNONPILOT/Tender/SplashBidNoticeAbstractUI.aspx?menuIndex=3&amp;refID=7082411&amp;Result=3","7082411")</f>
        <v>0</v>
      </c>
      <c r="B837" t="s">
        <v>91</v>
      </c>
      <c r="C837" t="s">
        <v>4209</v>
      </c>
      <c r="D837" t="s">
        <v>18136</v>
      </c>
      <c r="E837" t="s">
        <v>18977</v>
      </c>
      <c r="F837" t="s">
        <v>31362</v>
      </c>
      <c r="G837" t="s">
        <v>31370</v>
      </c>
      <c r="H837" t="s">
        <v>15799</v>
      </c>
      <c r="I837" t="s">
        <v>31404</v>
      </c>
      <c r="J837" t="s">
        <v>32162</v>
      </c>
      <c r="K837" t="s">
        <v>40661</v>
      </c>
      <c r="M837" t="s">
        <v>41028</v>
      </c>
      <c r="N837" t="s">
        <v>44905</v>
      </c>
      <c r="O837" t="s">
        <v>44906</v>
      </c>
      <c r="P837">
        <v>0</v>
      </c>
      <c r="Q837">
        <v>0</v>
      </c>
      <c r="R837" t="s">
        <v>44907</v>
      </c>
      <c r="S837" t="s">
        <v>45026</v>
      </c>
      <c r="T837" t="s">
        <v>46411</v>
      </c>
      <c r="U837" t="s">
        <v>47647</v>
      </c>
      <c r="W837" t="s">
        <v>41028</v>
      </c>
      <c r="X837" t="s">
        <v>44908</v>
      </c>
    </row>
    <row r="838" spans="1:24">
      <c r="A838">
        <f>HYPERLINK("https://www.philgeps.gov.ph/GEPSNONPILOT/Tender/SplashBidNoticeAbstractUI.aspx?menuIndex=3&amp;refID=7082556&amp;Result=3","7082556")</f>
        <v>0</v>
      </c>
      <c r="B838" t="s">
        <v>91</v>
      </c>
      <c r="C838" t="s">
        <v>4332</v>
      </c>
      <c r="D838" t="s">
        <v>18136</v>
      </c>
      <c r="E838" t="s">
        <v>18978</v>
      </c>
      <c r="F838" t="s">
        <v>31362</v>
      </c>
      <c r="G838" t="s">
        <v>31370</v>
      </c>
      <c r="H838" t="s">
        <v>15799</v>
      </c>
      <c r="I838" t="s">
        <v>31383</v>
      </c>
      <c r="J838" t="s">
        <v>32163</v>
      </c>
      <c r="K838" t="s">
        <v>40661</v>
      </c>
      <c r="M838" t="s">
        <v>41028</v>
      </c>
      <c r="N838" t="s">
        <v>44905</v>
      </c>
      <c r="O838" t="s">
        <v>44906</v>
      </c>
      <c r="P838">
        <v>0</v>
      </c>
      <c r="Q838">
        <v>0</v>
      </c>
      <c r="R838" t="s">
        <v>44907</v>
      </c>
      <c r="S838" t="s">
        <v>45026</v>
      </c>
      <c r="T838" t="s">
        <v>46411</v>
      </c>
      <c r="U838" t="s">
        <v>47648</v>
      </c>
      <c r="W838" t="s">
        <v>41028</v>
      </c>
      <c r="X838" t="s">
        <v>44908</v>
      </c>
    </row>
    <row r="839" spans="1:24">
      <c r="A839">
        <f>HYPERLINK("https://www.philgeps.gov.ph/GEPSNONPILOT/Tender/SplashBidNoticeAbstractUI.aspx?menuIndex=3&amp;refID=7082552&amp;Result=3","7082552")</f>
        <v>0</v>
      </c>
      <c r="B839" t="s">
        <v>385</v>
      </c>
      <c r="C839" t="s">
        <v>4333</v>
      </c>
      <c r="D839" t="s">
        <v>18108</v>
      </c>
      <c r="E839" t="s">
        <v>18979</v>
      </c>
      <c r="F839" t="s">
        <v>31362</v>
      </c>
      <c r="G839" t="s">
        <v>31370</v>
      </c>
      <c r="H839" t="s">
        <v>15799</v>
      </c>
      <c r="I839" t="s">
        <v>31430</v>
      </c>
      <c r="J839" t="s">
        <v>32164</v>
      </c>
      <c r="K839" t="s">
        <v>40666</v>
      </c>
      <c r="M839" t="s">
        <v>41333</v>
      </c>
      <c r="N839" t="s">
        <v>44905</v>
      </c>
      <c r="O839" t="s">
        <v>44906</v>
      </c>
      <c r="P839">
        <v>0</v>
      </c>
      <c r="Q839">
        <v>0</v>
      </c>
      <c r="R839" t="s">
        <v>44907</v>
      </c>
      <c r="S839" t="s">
        <v>45026</v>
      </c>
      <c r="T839" t="s">
        <v>46470</v>
      </c>
      <c r="U839" t="s">
        <v>47649</v>
      </c>
      <c r="W839" t="s">
        <v>60851</v>
      </c>
      <c r="X839" t="s">
        <v>44908</v>
      </c>
    </row>
    <row r="840" spans="1:24">
      <c r="A840">
        <f>HYPERLINK("https://www.philgeps.gov.ph/GEPSNONPILOT/Tender/SplashBidNoticeAbstractUI.aspx?menuIndex=3&amp;refID=7082385&amp;Result=3","7082385")</f>
        <v>0</v>
      </c>
      <c r="B840" t="s">
        <v>307</v>
      </c>
      <c r="C840" t="s">
        <v>4334</v>
      </c>
      <c r="D840" t="s">
        <v>18114</v>
      </c>
      <c r="E840" t="s">
        <v>18980</v>
      </c>
      <c r="F840" t="s">
        <v>31362</v>
      </c>
      <c r="G840" t="s">
        <v>31369</v>
      </c>
      <c r="H840" t="s">
        <v>15799</v>
      </c>
      <c r="I840" t="s">
        <v>31380</v>
      </c>
      <c r="J840" t="s">
        <v>32165</v>
      </c>
      <c r="K840" t="s">
        <v>40665</v>
      </c>
      <c r="M840" t="s">
        <v>41251</v>
      </c>
      <c r="N840" t="s">
        <v>44905</v>
      </c>
      <c r="O840" t="s">
        <v>44906</v>
      </c>
      <c r="P840">
        <v>0</v>
      </c>
      <c r="Q840">
        <v>2</v>
      </c>
      <c r="R840" t="s">
        <v>44907</v>
      </c>
      <c r="S840" t="s">
        <v>45026</v>
      </c>
      <c r="T840" t="s">
        <v>46528</v>
      </c>
      <c r="U840" t="s">
        <v>47650</v>
      </c>
      <c r="W840" t="s">
        <v>41251</v>
      </c>
      <c r="X840" t="s">
        <v>44908</v>
      </c>
    </row>
    <row r="841" spans="1:24">
      <c r="A841">
        <f>HYPERLINK("https://www.philgeps.gov.ph/GEPSNONPILOT/Tender/SplashBidNoticeAbstractUI.aspx?menuIndex=3&amp;refID=7082550&amp;Result=3","7082550")</f>
        <v>0</v>
      </c>
      <c r="B841" t="s">
        <v>369</v>
      </c>
      <c r="C841" t="s">
        <v>4335</v>
      </c>
      <c r="D841" t="s">
        <v>18152</v>
      </c>
      <c r="E841" t="s">
        <v>18981</v>
      </c>
      <c r="F841" t="s">
        <v>31362</v>
      </c>
      <c r="G841" t="s">
        <v>31369</v>
      </c>
      <c r="H841" t="s">
        <v>15799</v>
      </c>
      <c r="I841" t="s">
        <v>31413</v>
      </c>
      <c r="J841" t="s">
        <v>31625</v>
      </c>
      <c r="K841" t="s">
        <v>40666</v>
      </c>
      <c r="M841" t="s">
        <v>41316</v>
      </c>
      <c r="N841" t="s">
        <v>44905</v>
      </c>
      <c r="O841" t="s">
        <v>44906</v>
      </c>
      <c r="P841">
        <v>0</v>
      </c>
      <c r="Q841">
        <v>1</v>
      </c>
      <c r="R841" t="s">
        <v>44907</v>
      </c>
      <c r="S841" t="s">
        <v>45026</v>
      </c>
      <c r="T841" t="s">
        <v>46524</v>
      </c>
      <c r="U841" t="s">
        <v>47651</v>
      </c>
      <c r="W841" t="s">
        <v>41316</v>
      </c>
      <c r="X841" t="s">
        <v>44908</v>
      </c>
    </row>
    <row r="842" spans="1:24">
      <c r="A842">
        <f>HYPERLINK("https://www.philgeps.gov.ph/GEPSNONPILOT/Tender/SplashBidNoticeAbstractUI.aspx?menuIndex=3&amp;refID=7082547&amp;Result=3","7082547")</f>
        <v>0</v>
      </c>
      <c r="B842" t="s">
        <v>408</v>
      </c>
      <c r="C842" t="s">
        <v>4336</v>
      </c>
      <c r="D842" t="s">
        <v>18125</v>
      </c>
      <c r="E842" t="s">
        <v>18982</v>
      </c>
      <c r="F842" t="s">
        <v>31362</v>
      </c>
      <c r="G842" t="s">
        <v>31369</v>
      </c>
      <c r="H842" t="s">
        <v>15799</v>
      </c>
      <c r="I842" t="s">
        <v>31404</v>
      </c>
      <c r="J842" t="s">
        <v>32166</v>
      </c>
      <c r="K842" t="s">
        <v>40678</v>
      </c>
      <c r="M842" t="s">
        <v>41358</v>
      </c>
      <c r="N842" t="s">
        <v>44905</v>
      </c>
      <c r="O842" t="s">
        <v>44906</v>
      </c>
      <c r="P842">
        <v>0</v>
      </c>
      <c r="Q842">
        <v>1</v>
      </c>
      <c r="R842" t="s">
        <v>44907</v>
      </c>
      <c r="S842" t="s">
        <v>45026</v>
      </c>
      <c r="T842" t="s">
        <v>46429</v>
      </c>
      <c r="U842" t="s">
        <v>47652</v>
      </c>
      <c r="W842" t="s">
        <v>41358</v>
      </c>
      <c r="X842" t="s">
        <v>44908</v>
      </c>
    </row>
    <row r="843" spans="1:24">
      <c r="A843">
        <f>HYPERLINK("https://www.philgeps.gov.ph/GEPSNONPILOT/Tender/SplashBidNoticeAbstractUI.aspx?menuIndex=3&amp;refID=7082557&amp;Result=3","7082557")</f>
        <v>0</v>
      </c>
      <c r="B843" t="s">
        <v>409</v>
      </c>
      <c r="C843" t="s">
        <v>4337</v>
      </c>
      <c r="D843" t="s">
        <v>18111</v>
      </c>
      <c r="E843" t="s">
        <v>18983</v>
      </c>
      <c r="F843" t="s">
        <v>31362</v>
      </c>
      <c r="G843" t="s">
        <v>31370</v>
      </c>
      <c r="H843" t="s">
        <v>15799</v>
      </c>
      <c r="I843" t="s">
        <v>31387</v>
      </c>
      <c r="J843" t="s">
        <v>32167</v>
      </c>
      <c r="K843" t="s">
        <v>40670</v>
      </c>
      <c r="M843" t="s">
        <v>41359</v>
      </c>
      <c r="N843" t="s">
        <v>44905</v>
      </c>
      <c r="O843" t="s">
        <v>44906</v>
      </c>
      <c r="P843">
        <v>0</v>
      </c>
      <c r="Q843">
        <v>1</v>
      </c>
      <c r="R843" t="s">
        <v>44907</v>
      </c>
      <c r="S843" t="s">
        <v>45026</v>
      </c>
      <c r="T843" t="s">
        <v>46446</v>
      </c>
      <c r="U843" t="s">
        <v>47653</v>
      </c>
      <c r="W843" t="s">
        <v>41359</v>
      </c>
      <c r="X843" t="s">
        <v>44908</v>
      </c>
    </row>
    <row r="844" spans="1:24">
      <c r="A844">
        <f>HYPERLINK("https://www.philgeps.gov.ph/GEPSNONPILOT/Tender/SplashBidNoticeAbstractUI.aspx?menuIndex=3&amp;refID=7082546&amp;Result=3","7082546")</f>
        <v>0</v>
      </c>
      <c r="B844" t="s">
        <v>410</v>
      </c>
      <c r="C844" t="s">
        <v>4338</v>
      </c>
      <c r="D844" t="s">
        <v>18179</v>
      </c>
      <c r="E844" t="s">
        <v>18984</v>
      </c>
      <c r="F844" t="s">
        <v>31362</v>
      </c>
      <c r="G844" t="s">
        <v>31368</v>
      </c>
      <c r="H844" t="s">
        <v>15799</v>
      </c>
      <c r="I844" t="s">
        <v>6373</v>
      </c>
      <c r="J844" t="s">
        <v>31724</v>
      </c>
      <c r="K844" t="s">
        <v>40662</v>
      </c>
      <c r="M844" t="s">
        <v>41360</v>
      </c>
      <c r="N844" t="s">
        <v>44905</v>
      </c>
      <c r="O844" t="s">
        <v>44906</v>
      </c>
      <c r="P844">
        <v>0</v>
      </c>
      <c r="Q844">
        <v>2</v>
      </c>
      <c r="R844" t="s">
        <v>44907</v>
      </c>
      <c r="S844" t="s">
        <v>45026</v>
      </c>
      <c r="T844" t="s">
        <v>46409</v>
      </c>
      <c r="U844" t="s">
        <v>47654</v>
      </c>
      <c r="W844" t="s">
        <v>41360</v>
      </c>
      <c r="X844" t="s">
        <v>44908</v>
      </c>
    </row>
    <row r="845" spans="1:24">
      <c r="A845">
        <f>HYPERLINK("https://www.philgeps.gov.ph/GEPSNONPILOT/Tender/SplashBidNoticeAbstractUI.aspx?menuIndex=3&amp;refID=7082553&amp;Result=3","7082553")</f>
        <v>0</v>
      </c>
      <c r="B845" t="s">
        <v>399</v>
      </c>
      <c r="C845" t="s">
        <v>4339</v>
      </c>
      <c r="D845" t="s">
        <v>18148</v>
      </c>
      <c r="E845" t="s">
        <v>18985</v>
      </c>
      <c r="F845" t="s">
        <v>31362</v>
      </c>
      <c r="G845" t="s">
        <v>31369</v>
      </c>
      <c r="H845" t="s">
        <v>15799</v>
      </c>
      <c r="I845" t="s">
        <v>31430</v>
      </c>
      <c r="J845" t="s">
        <v>32168</v>
      </c>
      <c r="K845" t="s">
        <v>40665</v>
      </c>
      <c r="M845" t="s">
        <v>41348</v>
      </c>
      <c r="N845" t="s">
        <v>44905</v>
      </c>
      <c r="O845" t="s">
        <v>44906</v>
      </c>
      <c r="P845">
        <v>0</v>
      </c>
      <c r="Q845">
        <v>0</v>
      </c>
      <c r="R845" t="s">
        <v>44907</v>
      </c>
      <c r="S845" t="s">
        <v>45026</v>
      </c>
      <c r="T845" t="s">
        <v>46397</v>
      </c>
      <c r="U845" t="s">
        <v>47627</v>
      </c>
      <c r="W845" t="s">
        <v>41348</v>
      </c>
      <c r="X845" t="s">
        <v>44908</v>
      </c>
    </row>
    <row r="846" spans="1:24">
      <c r="A846">
        <f>HYPERLINK("https://www.philgeps.gov.ph/GEPSNONPILOT/Tender/SplashBidNoticeAbstractUI.aspx?menuIndex=3&amp;refID=7082551&amp;Result=3","7082551")</f>
        <v>0</v>
      </c>
      <c r="B846" t="s">
        <v>338</v>
      </c>
      <c r="C846" t="s">
        <v>4340</v>
      </c>
      <c r="D846" t="s">
        <v>18109</v>
      </c>
      <c r="E846" t="s">
        <v>18986</v>
      </c>
      <c r="F846" t="s">
        <v>31362</v>
      </c>
      <c r="G846" t="s">
        <v>31369</v>
      </c>
      <c r="H846" t="s">
        <v>31378</v>
      </c>
      <c r="I846" t="s">
        <v>31386</v>
      </c>
      <c r="J846" t="s">
        <v>32169</v>
      </c>
      <c r="K846" t="s">
        <v>40675</v>
      </c>
      <c r="M846" t="s">
        <v>41284</v>
      </c>
      <c r="N846" t="s">
        <v>44905</v>
      </c>
      <c r="O846" t="s">
        <v>44906</v>
      </c>
      <c r="P846">
        <v>0</v>
      </c>
      <c r="Q846">
        <v>0</v>
      </c>
      <c r="R846" t="s">
        <v>44907</v>
      </c>
      <c r="S846" t="s">
        <v>45026</v>
      </c>
      <c r="T846" t="s">
        <v>46403</v>
      </c>
      <c r="U846" t="s">
        <v>47655</v>
      </c>
      <c r="V846" t="s">
        <v>59136</v>
      </c>
      <c r="W846" t="s">
        <v>41284</v>
      </c>
      <c r="X846" t="s">
        <v>44908</v>
      </c>
    </row>
    <row r="847" spans="1:24">
      <c r="A847">
        <f>HYPERLINK("https://www.philgeps.gov.ph/GEPSNONPILOT/Tender/SplashBidNoticeAbstractUI.aspx?menuIndex=3&amp;refID=7082387&amp;Result=3","7082387")</f>
        <v>0</v>
      </c>
      <c r="B847" t="s">
        <v>316</v>
      </c>
      <c r="C847" t="s">
        <v>4113</v>
      </c>
      <c r="D847" t="s">
        <v>18149</v>
      </c>
      <c r="E847" t="s">
        <v>18987</v>
      </c>
      <c r="F847" t="s">
        <v>31362</v>
      </c>
      <c r="G847" t="s">
        <v>31368</v>
      </c>
      <c r="H847" t="s">
        <v>31378</v>
      </c>
      <c r="I847" t="s">
        <v>7188</v>
      </c>
      <c r="J847" t="s">
        <v>31998</v>
      </c>
      <c r="K847" t="s">
        <v>40661</v>
      </c>
      <c r="M847" t="s">
        <v>41261</v>
      </c>
      <c r="N847" t="s">
        <v>44905</v>
      </c>
      <c r="O847" t="s">
        <v>44906</v>
      </c>
      <c r="P847">
        <v>0</v>
      </c>
      <c r="Q847">
        <v>2</v>
      </c>
      <c r="R847" t="s">
        <v>44907</v>
      </c>
      <c r="S847" t="s">
        <v>45026</v>
      </c>
      <c r="T847" t="s">
        <v>46426</v>
      </c>
      <c r="U847" t="s">
        <v>47656</v>
      </c>
      <c r="W847" t="s">
        <v>41261</v>
      </c>
      <c r="X847" t="s">
        <v>44908</v>
      </c>
    </row>
    <row r="848" spans="1:24">
      <c r="A848">
        <f>HYPERLINK("https://www.philgeps.gov.ph/GEPSNONPILOT/Tender/SplashBidNoticeAbstractUI.aspx?menuIndex=3&amp;refID=7082543&amp;Result=3","7082543")</f>
        <v>0</v>
      </c>
      <c r="B848" t="s">
        <v>396</v>
      </c>
      <c r="C848" t="s">
        <v>4341</v>
      </c>
      <c r="D848" t="s">
        <v>18155</v>
      </c>
      <c r="E848" t="s">
        <v>18988</v>
      </c>
      <c r="F848" t="s">
        <v>31362</v>
      </c>
      <c r="G848" t="s">
        <v>31369</v>
      </c>
      <c r="H848" t="s">
        <v>15799</v>
      </c>
      <c r="I848" t="s">
        <v>31445</v>
      </c>
      <c r="J848" t="s">
        <v>31589</v>
      </c>
      <c r="K848" t="s">
        <v>40665</v>
      </c>
      <c r="M848" t="s">
        <v>41344</v>
      </c>
      <c r="N848" t="s">
        <v>44905</v>
      </c>
      <c r="O848" t="s">
        <v>44906</v>
      </c>
      <c r="P848">
        <v>0</v>
      </c>
      <c r="Q848">
        <v>0</v>
      </c>
      <c r="R848" t="s">
        <v>44907</v>
      </c>
      <c r="S848" t="s">
        <v>45026</v>
      </c>
      <c r="T848" t="s">
        <v>46408</v>
      </c>
      <c r="U848" t="s">
        <v>47657</v>
      </c>
      <c r="W848" t="s">
        <v>41344</v>
      </c>
      <c r="X848" t="s">
        <v>44908</v>
      </c>
    </row>
    <row r="849" spans="1:24">
      <c r="A849">
        <f>HYPERLINK("https://www.philgeps.gov.ph/GEPSNONPILOT/Tender/SplashBidNoticeAbstractUI.aspx?menuIndex=3&amp;refID=7082541&amp;Result=3","7082541")</f>
        <v>0</v>
      </c>
      <c r="B849" t="s">
        <v>92</v>
      </c>
      <c r="C849" t="s">
        <v>4342</v>
      </c>
      <c r="D849" t="s">
        <v>18100</v>
      </c>
      <c r="E849" t="s">
        <v>18989</v>
      </c>
      <c r="F849" t="s">
        <v>31362</v>
      </c>
      <c r="G849" t="s">
        <v>31369</v>
      </c>
      <c r="H849" t="s">
        <v>15799</v>
      </c>
      <c r="I849" t="s">
        <v>4283</v>
      </c>
      <c r="J849" t="s">
        <v>32170</v>
      </c>
      <c r="K849" t="s">
        <v>40677</v>
      </c>
      <c r="M849" t="s">
        <v>41029</v>
      </c>
      <c r="N849" t="s">
        <v>44905</v>
      </c>
      <c r="O849" t="s">
        <v>44906</v>
      </c>
      <c r="P849">
        <v>0</v>
      </c>
      <c r="Q849">
        <v>1</v>
      </c>
      <c r="R849" t="s">
        <v>44907</v>
      </c>
      <c r="S849" t="s">
        <v>45026</v>
      </c>
      <c r="T849" t="s">
        <v>46527</v>
      </c>
      <c r="U849" t="s">
        <v>47621</v>
      </c>
      <c r="W849" t="s">
        <v>60834</v>
      </c>
      <c r="X849" t="s">
        <v>44908</v>
      </c>
    </row>
    <row r="850" spans="1:24">
      <c r="A850">
        <f>HYPERLINK("https://www.philgeps.gov.ph/GEPSNONPILOT/Tender/SplashBidNoticeAbstractUI.aspx?menuIndex=3&amp;refID=7082489&amp;Result=3","7082489")</f>
        <v>0</v>
      </c>
      <c r="B850" t="s">
        <v>361</v>
      </c>
      <c r="C850" t="s">
        <v>4343</v>
      </c>
      <c r="E850" t="s">
        <v>18990</v>
      </c>
      <c r="F850" t="s">
        <v>31362</v>
      </c>
      <c r="G850" t="s">
        <v>31368</v>
      </c>
      <c r="H850" t="s">
        <v>15799</v>
      </c>
      <c r="I850" t="s">
        <v>31455</v>
      </c>
      <c r="J850" t="s">
        <v>32171</v>
      </c>
      <c r="K850" t="s">
        <v>40666</v>
      </c>
      <c r="M850" t="s">
        <v>41308</v>
      </c>
      <c r="N850" t="s">
        <v>44905</v>
      </c>
      <c r="O850" t="s">
        <v>44906</v>
      </c>
      <c r="P850">
        <v>0</v>
      </c>
      <c r="Q850">
        <v>0</v>
      </c>
      <c r="R850" t="s">
        <v>44907</v>
      </c>
      <c r="S850" t="s">
        <v>45026</v>
      </c>
      <c r="T850" t="s">
        <v>46412</v>
      </c>
      <c r="U850" t="s">
        <v>47658</v>
      </c>
      <c r="V850" t="s">
        <v>59143</v>
      </c>
      <c r="W850" t="s">
        <v>41308</v>
      </c>
      <c r="X850" t="s">
        <v>44908</v>
      </c>
    </row>
    <row r="851" spans="1:24">
      <c r="A851">
        <f>HYPERLINK("https://www.philgeps.gov.ph/GEPSNONPILOT/Tender/SplashBidNoticeAbstractUI.aspx?menuIndex=3&amp;refID=7082584&amp;Result=3","7082584")</f>
        <v>0</v>
      </c>
      <c r="B851" t="s">
        <v>367</v>
      </c>
      <c r="C851" t="s">
        <v>4344</v>
      </c>
      <c r="D851" t="s">
        <v>18134</v>
      </c>
      <c r="E851" t="s">
        <v>18991</v>
      </c>
      <c r="F851" t="s">
        <v>31362</v>
      </c>
      <c r="G851" t="s">
        <v>31368</v>
      </c>
      <c r="H851" t="s">
        <v>15799</v>
      </c>
      <c r="I851" t="s">
        <v>31383</v>
      </c>
      <c r="J851" t="s">
        <v>32172</v>
      </c>
      <c r="K851" t="s">
        <v>40677</v>
      </c>
      <c r="M851" t="s">
        <v>41314</v>
      </c>
      <c r="N851" t="s">
        <v>44905</v>
      </c>
      <c r="O851" t="s">
        <v>44906</v>
      </c>
      <c r="P851">
        <v>0</v>
      </c>
      <c r="Q851">
        <v>0</v>
      </c>
      <c r="R851" t="s">
        <v>44907</v>
      </c>
      <c r="S851" t="s">
        <v>45026</v>
      </c>
      <c r="T851" t="s">
        <v>46447</v>
      </c>
      <c r="U851" t="s">
        <v>47659</v>
      </c>
      <c r="W851" t="s">
        <v>41314</v>
      </c>
      <c r="X851" t="s">
        <v>44908</v>
      </c>
    </row>
    <row r="852" spans="1:24">
      <c r="A852">
        <f>HYPERLINK("https://www.philgeps.gov.ph/GEPSNONPILOT/Tender/SplashBidNoticeAbstractUI.aspx?menuIndex=3&amp;refID=7082544&amp;Result=3","7082544")</f>
        <v>0</v>
      </c>
      <c r="B852" t="s">
        <v>363</v>
      </c>
      <c r="C852" t="s">
        <v>4345</v>
      </c>
      <c r="D852" t="s">
        <v>18136</v>
      </c>
      <c r="E852" t="s">
        <v>18992</v>
      </c>
      <c r="F852" t="s">
        <v>31362</v>
      </c>
      <c r="G852" t="s">
        <v>31369</v>
      </c>
      <c r="H852" t="s">
        <v>15799</v>
      </c>
      <c r="I852" t="s">
        <v>4283</v>
      </c>
      <c r="J852" t="s">
        <v>32173</v>
      </c>
      <c r="K852" t="s">
        <v>40665</v>
      </c>
      <c r="M852" t="s">
        <v>41310</v>
      </c>
      <c r="N852" t="s">
        <v>44905</v>
      </c>
      <c r="O852" t="s">
        <v>44906</v>
      </c>
      <c r="P852">
        <v>0</v>
      </c>
      <c r="Q852">
        <v>2</v>
      </c>
      <c r="R852" t="s">
        <v>44907</v>
      </c>
      <c r="S852" t="s">
        <v>45026</v>
      </c>
      <c r="T852" t="s">
        <v>46499</v>
      </c>
      <c r="U852" t="s">
        <v>47660</v>
      </c>
      <c r="W852" t="s">
        <v>41310</v>
      </c>
      <c r="X852" t="s">
        <v>44908</v>
      </c>
    </row>
    <row r="853" spans="1:24">
      <c r="A853">
        <f>HYPERLINK("https://www.philgeps.gov.ph/GEPSNONPILOT/Tender/SplashBidNoticeAbstractUI.aspx?menuIndex=3&amp;refID=7082581&amp;Result=3","7082581")</f>
        <v>0</v>
      </c>
      <c r="B853" t="s">
        <v>321</v>
      </c>
      <c r="C853" t="s">
        <v>4346</v>
      </c>
      <c r="D853" t="s">
        <v>18104</v>
      </c>
      <c r="E853" t="s">
        <v>18993</v>
      </c>
      <c r="F853" t="s">
        <v>31362</v>
      </c>
      <c r="G853" t="s">
        <v>31369</v>
      </c>
      <c r="H853" t="s">
        <v>31378</v>
      </c>
      <c r="I853" t="s">
        <v>3815</v>
      </c>
      <c r="J853" t="s">
        <v>32174</v>
      </c>
      <c r="K853" t="s">
        <v>40665</v>
      </c>
      <c r="M853" t="s">
        <v>41267</v>
      </c>
      <c r="N853" t="s">
        <v>44905</v>
      </c>
      <c r="O853" t="s">
        <v>44906</v>
      </c>
      <c r="P853">
        <v>0</v>
      </c>
      <c r="Q853">
        <v>1</v>
      </c>
      <c r="R853" t="s">
        <v>44907</v>
      </c>
      <c r="S853" t="s">
        <v>45026</v>
      </c>
      <c r="T853" t="s">
        <v>46401</v>
      </c>
      <c r="U853" t="s">
        <v>47466</v>
      </c>
      <c r="V853" t="s">
        <v>59161</v>
      </c>
      <c r="W853" t="s">
        <v>41267</v>
      </c>
      <c r="X853" t="s">
        <v>44908</v>
      </c>
    </row>
    <row r="854" spans="1:24">
      <c r="A854">
        <f>HYPERLINK("https://www.philgeps.gov.ph/GEPSNONPILOT/Tender/SplashBidNoticeAbstractUI.aspx?menuIndex=3&amp;refID=7082548&amp;Result=3","7082548")</f>
        <v>0</v>
      </c>
      <c r="B854" t="s">
        <v>411</v>
      </c>
      <c r="C854" t="s">
        <v>4347</v>
      </c>
      <c r="D854" t="s">
        <v>18148</v>
      </c>
      <c r="E854" t="s">
        <v>18994</v>
      </c>
      <c r="F854" t="s">
        <v>31362</v>
      </c>
      <c r="G854" t="s">
        <v>31370</v>
      </c>
      <c r="H854" t="s">
        <v>15799</v>
      </c>
      <c r="I854" t="s">
        <v>31387</v>
      </c>
      <c r="J854" t="s">
        <v>32175</v>
      </c>
      <c r="K854" t="s">
        <v>40662</v>
      </c>
      <c r="M854" t="s">
        <v>41361</v>
      </c>
      <c r="N854" t="s">
        <v>44905</v>
      </c>
      <c r="O854" t="s">
        <v>44906</v>
      </c>
      <c r="P854">
        <v>0</v>
      </c>
      <c r="Q854">
        <v>1</v>
      </c>
      <c r="R854" t="s">
        <v>44907</v>
      </c>
      <c r="S854" t="s">
        <v>45026</v>
      </c>
      <c r="T854" t="s">
        <v>46409</v>
      </c>
      <c r="U854" t="s">
        <v>47661</v>
      </c>
      <c r="W854" t="s">
        <v>41361</v>
      </c>
      <c r="X854" t="s">
        <v>44908</v>
      </c>
    </row>
    <row r="855" spans="1:24">
      <c r="A855">
        <f>HYPERLINK("https://www.philgeps.gov.ph/GEPSNONPILOT/Tender/SplashBidNoticeAbstractUI.aspx?menuIndex=3&amp;refID=7082578&amp;Result=3","7082578")</f>
        <v>0</v>
      </c>
      <c r="B855" t="s">
        <v>412</v>
      </c>
      <c r="C855" t="s">
        <v>4348</v>
      </c>
      <c r="D855" t="s">
        <v>18127</v>
      </c>
      <c r="E855" t="s">
        <v>18995</v>
      </c>
      <c r="F855" t="s">
        <v>31362</v>
      </c>
      <c r="G855" t="s">
        <v>31369</v>
      </c>
      <c r="H855" t="s">
        <v>31378</v>
      </c>
      <c r="I855" t="s">
        <v>31386</v>
      </c>
      <c r="J855" t="s">
        <v>32176</v>
      </c>
      <c r="K855" t="s">
        <v>40675</v>
      </c>
      <c r="M855" t="s">
        <v>41362</v>
      </c>
      <c r="N855" t="s">
        <v>44905</v>
      </c>
      <c r="O855" t="s">
        <v>44906</v>
      </c>
      <c r="P855">
        <v>0</v>
      </c>
      <c r="Q855">
        <v>0</v>
      </c>
      <c r="R855" t="s">
        <v>44907</v>
      </c>
      <c r="S855" t="s">
        <v>45026</v>
      </c>
      <c r="T855" t="s">
        <v>46529</v>
      </c>
      <c r="U855" t="s">
        <v>47662</v>
      </c>
      <c r="V855" t="s">
        <v>59162</v>
      </c>
      <c r="W855" t="s">
        <v>41362</v>
      </c>
      <c r="X855" t="s">
        <v>44908</v>
      </c>
    </row>
    <row r="856" spans="1:24">
      <c r="A856">
        <f>HYPERLINK("https://www.philgeps.gov.ph/GEPSNONPILOT/Tender/SplashBidNoticeAbstractUI.aspx?menuIndex=3&amp;refID=7082542&amp;Result=3","7082542")</f>
        <v>0</v>
      </c>
      <c r="B856" t="s">
        <v>351</v>
      </c>
      <c r="C856" t="s">
        <v>4349</v>
      </c>
      <c r="D856" t="s">
        <v>18142</v>
      </c>
      <c r="E856" t="s">
        <v>18996</v>
      </c>
      <c r="F856" t="s">
        <v>31362</v>
      </c>
      <c r="G856" t="s">
        <v>31369</v>
      </c>
      <c r="H856" t="s">
        <v>31378</v>
      </c>
      <c r="I856" t="s">
        <v>31386</v>
      </c>
      <c r="J856" t="s">
        <v>32177</v>
      </c>
      <c r="K856" t="s">
        <v>40670</v>
      </c>
      <c r="M856" t="s">
        <v>41298</v>
      </c>
      <c r="N856" t="s">
        <v>44905</v>
      </c>
      <c r="O856" t="s">
        <v>44906</v>
      </c>
      <c r="P856">
        <v>0</v>
      </c>
      <c r="Q856">
        <v>0</v>
      </c>
      <c r="R856" t="s">
        <v>44907</v>
      </c>
      <c r="S856" t="s">
        <v>45026</v>
      </c>
      <c r="T856" t="s">
        <v>46519</v>
      </c>
      <c r="U856" t="s">
        <v>47524</v>
      </c>
      <c r="W856" t="s">
        <v>41298</v>
      </c>
      <c r="X856" t="s">
        <v>44908</v>
      </c>
    </row>
    <row r="857" spans="1:24">
      <c r="A857">
        <f>HYPERLINK("https://www.philgeps.gov.ph/GEPSNONPILOT/Tender/SplashBidNoticeAbstractUI.aspx?menuIndex=3&amp;refID=7082580&amp;Result=3","7082580")</f>
        <v>0</v>
      </c>
      <c r="B857" t="s">
        <v>117</v>
      </c>
      <c r="C857" t="s">
        <v>4350</v>
      </c>
      <c r="D857" t="s">
        <v>18104</v>
      </c>
      <c r="E857" t="s">
        <v>18997</v>
      </c>
      <c r="F857" t="s">
        <v>31362</v>
      </c>
      <c r="G857" t="s">
        <v>31368</v>
      </c>
      <c r="H857" t="s">
        <v>31377</v>
      </c>
      <c r="I857" t="s">
        <v>31377</v>
      </c>
      <c r="J857" t="s">
        <v>32122</v>
      </c>
      <c r="K857" t="s">
        <v>40662</v>
      </c>
      <c r="M857" t="s">
        <v>41054</v>
      </c>
      <c r="N857" t="s">
        <v>44905</v>
      </c>
      <c r="O857" t="s">
        <v>44906</v>
      </c>
      <c r="P857">
        <v>0</v>
      </c>
      <c r="Q857">
        <v>0</v>
      </c>
      <c r="R857" t="s">
        <v>44907</v>
      </c>
      <c r="S857" t="s">
        <v>45026</v>
      </c>
      <c r="T857" t="s">
        <v>46403</v>
      </c>
      <c r="U857" t="s">
        <v>47663</v>
      </c>
      <c r="W857" t="s">
        <v>41054</v>
      </c>
      <c r="X857" t="s">
        <v>44908</v>
      </c>
    </row>
    <row r="858" spans="1:24">
      <c r="A858">
        <f>HYPERLINK("https://www.philgeps.gov.ph/GEPSNONPILOT/Tender/SplashBidNoticeAbstractUI.aspx?menuIndex=3&amp;refID=7082490&amp;Result=3","7082490")</f>
        <v>0</v>
      </c>
      <c r="B858" t="s">
        <v>413</v>
      </c>
      <c r="C858" t="s">
        <v>4351</v>
      </c>
      <c r="D858" t="s">
        <v>18127</v>
      </c>
      <c r="E858" t="s">
        <v>18998</v>
      </c>
      <c r="F858" t="s">
        <v>31362</v>
      </c>
      <c r="G858" t="s">
        <v>31369</v>
      </c>
      <c r="H858" t="s">
        <v>15799</v>
      </c>
      <c r="I858" t="s">
        <v>31409</v>
      </c>
      <c r="J858" t="s">
        <v>32016</v>
      </c>
      <c r="K858" t="s">
        <v>40661</v>
      </c>
      <c r="M858" t="s">
        <v>41363</v>
      </c>
      <c r="N858" t="s">
        <v>44905</v>
      </c>
      <c r="O858" t="s">
        <v>44906</v>
      </c>
      <c r="P858">
        <v>0</v>
      </c>
      <c r="Q858">
        <v>1</v>
      </c>
      <c r="R858" t="s">
        <v>44907</v>
      </c>
      <c r="S858" t="s">
        <v>45026</v>
      </c>
      <c r="T858" t="s">
        <v>46499</v>
      </c>
      <c r="U858" t="s">
        <v>47664</v>
      </c>
      <c r="W858" t="s">
        <v>41363</v>
      </c>
      <c r="X858" t="s">
        <v>44908</v>
      </c>
    </row>
    <row r="859" spans="1:24">
      <c r="A859">
        <f>HYPERLINK("https://www.philgeps.gov.ph/GEPSNONPILOT/Tender/SplashBidNoticeAbstractUI.aspx?menuIndex=3&amp;refID=7082577&amp;Result=3","7082577")</f>
        <v>0</v>
      </c>
      <c r="B859" t="s">
        <v>414</v>
      </c>
      <c r="C859" t="s">
        <v>4352</v>
      </c>
      <c r="E859" t="s">
        <v>18999</v>
      </c>
      <c r="F859" t="s">
        <v>31362</v>
      </c>
      <c r="G859" t="s">
        <v>31368</v>
      </c>
      <c r="H859" t="s">
        <v>15799</v>
      </c>
      <c r="I859" t="s">
        <v>31385</v>
      </c>
      <c r="J859" t="s">
        <v>31564</v>
      </c>
      <c r="K859" t="s">
        <v>40662</v>
      </c>
      <c r="M859" t="s">
        <v>41364</v>
      </c>
      <c r="N859" t="s">
        <v>44905</v>
      </c>
      <c r="O859" t="s">
        <v>44906</v>
      </c>
      <c r="P859">
        <v>0</v>
      </c>
      <c r="Q859">
        <v>7</v>
      </c>
      <c r="R859" t="s">
        <v>44907</v>
      </c>
      <c r="S859" t="s">
        <v>45026</v>
      </c>
      <c r="T859" t="s">
        <v>46438</v>
      </c>
      <c r="U859" t="s">
        <v>47665</v>
      </c>
      <c r="W859" t="s">
        <v>41364</v>
      </c>
      <c r="X859" t="s">
        <v>44908</v>
      </c>
    </row>
    <row r="860" spans="1:24">
      <c r="A860">
        <f>HYPERLINK("https://www.philgeps.gov.ph/GEPSNONPILOT/Tender/SplashBidNoticeAbstractUI.aspx?menuIndex=3&amp;refID=7082572&amp;Result=3","7082572")</f>
        <v>0</v>
      </c>
      <c r="B860" t="s">
        <v>415</v>
      </c>
      <c r="C860" t="s">
        <v>4353</v>
      </c>
      <c r="D860" t="s">
        <v>18100</v>
      </c>
      <c r="E860" t="s">
        <v>19000</v>
      </c>
      <c r="F860" t="s">
        <v>31362</v>
      </c>
      <c r="G860" t="s">
        <v>31370</v>
      </c>
      <c r="H860" t="s">
        <v>15799</v>
      </c>
      <c r="I860" t="s">
        <v>7188</v>
      </c>
      <c r="J860" t="s">
        <v>32178</v>
      </c>
      <c r="K860" t="s">
        <v>40661</v>
      </c>
      <c r="M860" t="s">
        <v>41365</v>
      </c>
      <c r="N860" t="s">
        <v>44905</v>
      </c>
      <c r="O860" t="s">
        <v>44906</v>
      </c>
      <c r="P860">
        <v>0</v>
      </c>
      <c r="Q860">
        <v>0</v>
      </c>
      <c r="R860" t="s">
        <v>44907</v>
      </c>
      <c r="S860" t="s">
        <v>45026</v>
      </c>
      <c r="T860" t="s">
        <v>46409</v>
      </c>
      <c r="U860" t="s">
        <v>47666</v>
      </c>
      <c r="W860" t="s">
        <v>41365</v>
      </c>
      <c r="X860" t="s">
        <v>44908</v>
      </c>
    </row>
    <row r="861" spans="1:24">
      <c r="A861">
        <f>HYPERLINK("https://www.philgeps.gov.ph/GEPSNONPILOT/Tender/SplashBidNoticeAbstractUI.aspx?menuIndex=3&amp;refID=7082571&amp;Result=3","7082571")</f>
        <v>0</v>
      </c>
      <c r="B861" t="s">
        <v>416</v>
      </c>
      <c r="C861" t="s">
        <v>4354</v>
      </c>
      <c r="D861" t="s">
        <v>18169</v>
      </c>
      <c r="E861" t="s">
        <v>19001</v>
      </c>
      <c r="F861" t="s">
        <v>31362</v>
      </c>
      <c r="G861" t="s">
        <v>31370</v>
      </c>
      <c r="H861" t="s">
        <v>15799</v>
      </c>
      <c r="I861" t="s">
        <v>4057</v>
      </c>
      <c r="J861" t="s">
        <v>31545</v>
      </c>
      <c r="K861" t="s">
        <v>40672</v>
      </c>
      <c r="M861" t="s">
        <v>41366</v>
      </c>
      <c r="N861" t="s">
        <v>44905</v>
      </c>
      <c r="O861" t="s">
        <v>44906</v>
      </c>
      <c r="P861">
        <v>0</v>
      </c>
      <c r="Q861">
        <v>0</v>
      </c>
      <c r="R861" t="s">
        <v>44907</v>
      </c>
      <c r="S861" t="s">
        <v>45026</v>
      </c>
      <c r="T861" t="s">
        <v>46414</v>
      </c>
      <c r="U861" t="s">
        <v>47667</v>
      </c>
      <c r="W861" t="s">
        <v>41366</v>
      </c>
      <c r="X861" t="s">
        <v>44908</v>
      </c>
    </row>
    <row r="862" spans="1:24">
      <c r="A862">
        <f>HYPERLINK("https://www.philgeps.gov.ph/GEPSNONPILOT/Tender/SplashBidNoticeAbstractUI.aspx?menuIndex=3&amp;refID=7082569&amp;Result=3","7082569")</f>
        <v>0</v>
      </c>
      <c r="B862" t="s">
        <v>417</v>
      </c>
      <c r="C862" t="s">
        <v>4355</v>
      </c>
      <c r="D862" t="s">
        <v>18165</v>
      </c>
      <c r="E862" t="s">
        <v>19002</v>
      </c>
      <c r="F862" t="s">
        <v>31362</v>
      </c>
      <c r="G862" t="s">
        <v>31368</v>
      </c>
      <c r="H862" t="s">
        <v>15799</v>
      </c>
      <c r="I862" t="s">
        <v>4942</v>
      </c>
      <c r="J862" t="s">
        <v>32179</v>
      </c>
      <c r="K862" t="s">
        <v>40670</v>
      </c>
      <c r="M862" t="s">
        <v>41367</v>
      </c>
      <c r="N862" t="s">
        <v>44905</v>
      </c>
      <c r="O862" t="s">
        <v>44906</v>
      </c>
      <c r="P862">
        <v>0</v>
      </c>
      <c r="Q862">
        <v>0</v>
      </c>
      <c r="R862" t="s">
        <v>44907</v>
      </c>
      <c r="S862" t="s">
        <v>45026</v>
      </c>
      <c r="T862" t="s">
        <v>46454</v>
      </c>
      <c r="U862" t="s">
        <v>47668</v>
      </c>
      <c r="W862" t="s">
        <v>41367</v>
      </c>
      <c r="X862" t="s">
        <v>44908</v>
      </c>
    </row>
    <row r="863" spans="1:24">
      <c r="A863">
        <f>HYPERLINK("https://www.philgeps.gov.ph/GEPSNONPILOT/Tender/SplashBidNoticeAbstractUI.aspx?menuIndex=3&amp;refID=7082567&amp;Result=3","7082567")</f>
        <v>0</v>
      </c>
      <c r="B863" t="s">
        <v>259</v>
      </c>
      <c r="C863" t="s">
        <v>4356</v>
      </c>
      <c r="D863" t="s">
        <v>18100</v>
      </c>
      <c r="E863" t="s">
        <v>19003</v>
      </c>
      <c r="F863" t="s">
        <v>31362</v>
      </c>
      <c r="G863" t="s">
        <v>31368</v>
      </c>
      <c r="H863" t="s">
        <v>15799</v>
      </c>
      <c r="I863" t="s">
        <v>31387</v>
      </c>
      <c r="J863" t="s">
        <v>32143</v>
      </c>
      <c r="K863" t="s">
        <v>40693</v>
      </c>
      <c r="M863" t="s">
        <v>41200</v>
      </c>
      <c r="N863" t="s">
        <v>44905</v>
      </c>
      <c r="O863" t="s">
        <v>44906</v>
      </c>
      <c r="P863">
        <v>0</v>
      </c>
      <c r="Q863">
        <v>0</v>
      </c>
      <c r="R863" t="s">
        <v>44907</v>
      </c>
      <c r="S863" t="s">
        <v>45026</v>
      </c>
      <c r="T863" t="s">
        <v>46426</v>
      </c>
      <c r="U863" t="s">
        <v>47669</v>
      </c>
      <c r="W863" t="s">
        <v>41200</v>
      </c>
      <c r="X863" t="s">
        <v>44908</v>
      </c>
    </row>
    <row r="864" spans="1:24">
      <c r="A864">
        <f>HYPERLINK("https://www.philgeps.gov.ph/GEPSNONPILOT/Tender/SplashBidNoticeAbstractUI.aspx?menuIndex=3&amp;refID=7082565&amp;Result=3","7082565")</f>
        <v>0</v>
      </c>
      <c r="B864" t="s">
        <v>92</v>
      </c>
      <c r="C864" t="s">
        <v>4357</v>
      </c>
      <c r="D864" t="s">
        <v>18100</v>
      </c>
      <c r="E864" t="s">
        <v>19004</v>
      </c>
      <c r="F864" t="s">
        <v>31362</v>
      </c>
      <c r="G864" t="s">
        <v>31369</v>
      </c>
      <c r="H864" t="s">
        <v>15799</v>
      </c>
      <c r="I864" t="s">
        <v>31385</v>
      </c>
      <c r="J864" t="s">
        <v>32180</v>
      </c>
      <c r="K864" t="s">
        <v>40677</v>
      </c>
      <c r="M864" t="s">
        <v>41029</v>
      </c>
      <c r="N864" t="s">
        <v>44905</v>
      </c>
      <c r="O864" t="s">
        <v>44906</v>
      </c>
      <c r="P864">
        <v>0</v>
      </c>
      <c r="Q864">
        <v>1</v>
      </c>
      <c r="R864" t="s">
        <v>44907</v>
      </c>
      <c r="S864" t="s">
        <v>45026</v>
      </c>
      <c r="T864" t="s">
        <v>46527</v>
      </c>
      <c r="U864" t="s">
        <v>47621</v>
      </c>
      <c r="W864" t="s">
        <v>60834</v>
      </c>
      <c r="X864" t="s">
        <v>44908</v>
      </c>
    </row>
    <row r="865" spans="1:24">
      <c r="A865">
        <f>HYPERLINK("https://www.philgeps.gov.ph/GEPSNONPILOT/Tender/SplashBidNoticeAbstractUI.aspx?menuIndex=3&amp;refID=7082562&amp;Result=3","7082562")</f>
        <v>0</v>
      </c>
      <c r="B865" t="s">
        <v>291</v>
      </c>
      <c r="C865" t="s">
        <v>4358</v>
      </c>
      <c r="D865" t="s">
        <v>18158</v>
      </c>
      <c r="E865" t="s">
        <v>19005</v>
      </c>
      <c r="F865" t="s">
        <v>31362</v>
      </c>
      <c r="G865" t="s">
        <v>31368</v>
      </c>
      <c r="H865" t="s">
        <v>15799</v>
      </c>
      <c r="I865" t="s">
        <v>7188</v>
      </c>
      <c r="J865" t="s">
        <v>31983</v>
      </c>
      <c r="K865" t="s">
        <v>40662</v>
      </c>
      <c r="M865" t="s">
        <v>41234</v>
      </c>
      <c r="N865" t="s">
        <v>44905</v>
      </c>
      <c r="O865" t="s">
        <v>44906</v>
      </c>
      <c r="P865">
        <v>0</v>
      </c>
      <c r="Q865">
        <v>0</v>
      </c>
      <c r="R865" t="s">
        <v>44907</v>
      </c>
      <c r="S865" t="s">
        <v>45026</v>
      </c>
      <c r="T865" t="s">
        <v>46409</v>
      </c>
      <c r="U865" t="s">
        <v>47670</v>
      </c>
      <c r="W865" t="s">
        <v>41234</v>
      </c>
      <c r="X865" t="s">
        <v>44908</v>
      </c>
    </row>
    <row r="866" spans="1:24">
      <c r="A866">
        <f>HYPERLINK("https://www.philgeps.gov.ph/GEPSNONPILOT/Tender/SplashBidNoticeAbstractUI.aspx?menuIndex=3&amp;refID=7082561&amp;Result=3","7082561")</f>
        <v>0</v>
      </c>
      <c r="B866" t="s">
        <v>363</v>
      </c>
      <c r="C866" t="s">
        <v>4359</v>
      </c>
      <c r="D866" t="s">
        <v>18136</v>
      </c>
      <c r="E866" t="s">
        <v>19006</v>
      </c>
      <c r="F866" t="s">
        <v>31362</v>
      </c>
      <c r="G866" t="s">
        <v>31369</v>
      </c>
      <c r="H866" t="s">
        <v>15799</v>
      </c>
      <c r="I866" t="s">
        <v>4283</v>
      </c>
      <c r="J866" t="s">
        <v>32181</v>
      </c>
      <c r="K866" t="s">
        <v>40665</v>
      </c>
      <c r="M866" t="s">
        <v>41310</v>
      </c>
      <c r="N866" t="s">
        <v>44905</v>
      </c>
      <c r="O866" t="s">
        <v>44906</v>
      </c>
      <c r="P866">
        <v>0</v>
      </c>
      <c r="Q866">
        <v>1</v>
      </c>
      <c r="R866" t="s">
        <v>44907</v>
      </c>
      <c r="S866" t="s">
        <v>45026</v>
      </c>
      <c r="T866" t="s">
        <v>46499</v>
      </c>
      <c r="U866" t="s">
        <v>47671</v>
      </c>
      <c r="W866" t="s">
        <v>41310</v>
      </c>
      <c r="X866" t="s">
        <v>44908</v>
      </c>
    </row>
    <row r="867" spans="1:24">
      <c r="A867">
        <f>HYPERLINK("https://www.philgeps.gov.ph/GEPSNONPILOT/Tender/SplashBidNoticeAbstractUI.aspx?menuIndex=3&amp;refID=7082583&amp;Result=3","7082583")</f>
        <v>0</v>
      </c>
      <c r="B867" t="s">
        <v>418</v>
      </c>
      <c r="C867" t="s">
        <v>4360</v>
      </c>
      <c r="D867" t="s">
        <v>18100</v>
      </c>
      <c r="E867" t="s">
        <v>19007</v>
      </c>
      <c r="F867" t="s">
        <v>31362</v>
      </c>
      <c r="G867" t="s">
        <v>31372</v>
      </c>
      <c r="H867" t="s">
        <v>15799</v>
      </c>
      <c r="I867" t="s">
        <v>31456</v>
      </c>
      <c r="J867" t="s">
        <v>32182</v>
      </c>
      <c r="K867" t="s">
        <v>40662</v>
      </c>
      <c r="M867" t="s">
        <v>41368</v>
      </c>
      <c r="N867" t="s">
        <v>44905</v>
      </c>
      <c r="O867" t="s">
        <v>44906</v>
      </c>
      <c r="P867">
        <v>0</v>
      </c>
      <c r="Q867">
        <v>2</v>
      </c>
      <c r="R867" t="s">
        <v>44907</v>
      </c>
      <c r="S867" t="s">
        <v>45026</v>
      </c>
      <c r="T867" t="s">
        <v>46412</v>
      </c>
      <c r="U867" t="s">
        <v>47672</v>
      </c>
      <c r="W867" t="s">
        <v>41368</v>
      </c>
      <c r="X867" t="s">
        <v>44908</v>
      </c>
    </row>
    <row r="868" spans="1:24">
      <c r="A868">
        <f>HYPERLINK("https://www.philgeps.gov.ph/GEPSNONPILOT/Tender/SplashBidNoticeAbstractUI.aspx?menuIndex=3&amp;refID=7082540&amp;Result=3","7082540")</f>
        <v>0</v>
      </c>
      <c r="B868" t="s">
        <v>419</v>
      </c>
      <c r="C868" t="s">
        <v>4361</v>
      </c>
      <c r="D868" t="s">
        <v>18159</v>
      </c>
      <c r="E868" t="s">
        <v>19008</v>
      </c>
      <c r="F868" t="s">
        <v>31362</v>
      </c>
      <c r="G868" t="s">
        <v>31368</v>
      </c>
      <c r="H868" t="s">
        <v>15799</v>
      </c>
      <c r="I868" t="s">
        <v>31430</v>
      </c>
      <c r="J868" t="s">
        <v>32183</v>
      </c>
      <c r="K868" t="s">
        <v>40665</v>
      </c>
      <c r="M868" t="s">
        <v>41369</v>
      </c>
      <c r="N868" t="s">
        <v>44905</v>
      </c>
      <c r="O868" t="s">
        <v>44906</v>
      </c>
      <c r="P868">
        <v>0</v>
      </c>
      <c r="Q868">
        <v>0</v>
      </c>
      <c r="R868" t="s">
        <v>44907</v>
      </c>
      <c r="S868" t="s">
        <v>45026</v>
      </c>
      <c r="T868" t="s">
        <v>46409</v>
      </c>
      <c r="U868" t="s">
        <v>47673</v>
      </c>
      <c r="W868" t="s">
        <v>41369</v>
      </c>
      <c r="X868" t="s">
        <v>44908</v>
      </c>
    </row>
    <row r="869" spans="1:24">
      <c r="A869">
        <f>HYPERLINK("https://www.philgeps.gov.ph/GEPSNONPILOT/Tender/SplashBidNoticeAbstractUI.aspx?menuIndex=3&amp;refID=7082560&amp;Result=3","7082560")</f>
        <v>0</v>
      </c>
      <c r="B869" t="s">
        <v>134</v>
      </c>
      <c r="C869" t="s">
        <v>4362</v>
      </c>
      <c r="D869" t="s">
        <v>18108</v>
      </c>
      <c r="E869" t="s">
        <v>19009</v>
      </c>
      <c r="F869" t="s">
        <v>31362</v>
      </c>
      <c r="G869" t="s">
        <v>31369</v>
      </c>
      <c r="H869" t="s">
        <v>15799</v>
      </c>
      <c r="I869" t="s">
        <v>7719</v>
      </c>
      <c r="J869" t="s">
        <v>32184</v>
      </c>
      <c r="K869" t="s">
        <v>40662</v>
      </c>
      <c r="L869" t="s">
        <v>134</v>
      </c>
      <c r="M869" t="s">
        <v>41370</v>
      </c>
      <c r="N869" t="s">
        <v>44905</v>
      </c>
      <c r="O869" t="s">
        <v>44906</v>
      </c>
      <c r="P869">
        <v>0</v>
      </c>
      <c r="Q869">
        <v>13</v>
      </c>
      <c r="R869" t="s">
        <v>44907</v>
      </c>
      <c r="S869" t="s">
        <v>45026</v>
      </c>
      <c r="T869" t="s">
        <v>46431</v>
      </c>
      <c r="U869" t="s">
        <v>47674</v>
      </c>
      <c r="W869" t="s">
        <v>41370</v>
      </c>
      <c r="X869" t="s">
        <v>44908</v>
      </c>
    </row>
    <row r="870" spans="1:24">
      <c r="A870">
        <f>HYPERLINK("https://www.philgeps.gov.ph/GEPSNONPILOT/Tender/SplashBidNoticeAbstractUI.aspx?menuIndex=3&amp;refID=7082579&amp;Result=3","7082579")</f>
        <v>0</v>
      </c>
      <c r="B870" t="s">
        <v>167</v>
      </c>
      <c r="C870" t="s">
        <v>3921</v>
      </c>
      <c r="D870" t="s">
        <v>18152</v>
      </c>
      <c r="E870" t="s">
        <v>19010</v>
      </c>
      <c r="F870" t="s">
        <v>31362</v>
      </c>
      <c r="G870" t="s">
        <v>31369</v>
      </c>
      <c r="H870" t="s">
        <v>15799</v>
      </c>
      <c r="I870" t="s">
        <v>6240</v>
      </c>
      <c r="J870" t="s">
        <v>32185</v>
      </c>
      <c r="K870" t="s">
        <v>40670</v>
      </c>
      <c r="M870" t="s">
        <v>41105</v>
      </c>
      <c r="N870" t="s">
        <v>44905</v>
      </c>
      <c r="O870" t="s">
        <v>44906</v>
      </c>
      <c r="P870">
        <v>0</v>
      </c>
      <c r="Q870">
        <v>0</v>
      </c>
      <c r="R870" t="s">
        <v>44907</v>
      </c>
      <c r="S870" t="s">
        <v>45026</v>
      </c>
      <c r="T870" t="s">
        <v>46462</v>
      </c>
      <c r="U870" t="s">
        <v>47675</v>
      </c>
      <c r="V870" t="s">
        <v>59163</v>
      </c>
      <c r="W870" t="s">
        <v>41105</v>
      </c>
      <c r="X870" t="s">
        <v>44908</v>
      </c>
    </row>
    <row r="871" spans="1:24">
      <c r="A871">
        <f>HYPERLINK("https://www.philgeps.gov.ph/GEPSNONPILOT/Tender/SplashBidNoticeAbstractUI.aspx?menuIndex=3&amp;refID=7082563&amp;Result=3","7082563")</f>
        <v>0</v>
      </c>
      <c r="B871" t="s">
        <v>420</v>
      </c>
      <c r="C871" t="s">
        <v>4363</v>
      </c>
      <c r="D871" t="s">
        <v>18124</v>
      </c>
      <c r="E871" t="s">
        <v>19011</v>
      </c>
      <c r="F871" t="s">
        <v>31362</v>
      </c>
      <c r="G871" t="s">
        <v>31370</v>
      </c>
      <c r="H871" t="s">
        <v>15799</v>
      </c>
      <c r="I871" t="s">
        <v>31404</v>
      </c>
      <c r="J871" t="s">
        <v>32186</v>
      </c>
      <c r="K871" t="s">
        <v>40670</v>
      </c>
      <c r="M871" t="s">
        <v>41371</v>
      </c>
      <c r="N871" t="s">
        <v>44905</v>
      </c>
      <c r="O871" t="s">
        <v>44906</v>
      </c>
      <c r="P871">
        <v>0</v>
      </c>
      <c r="Q871">
        <v>0</v>
      </c>
      <c r="R871" t="s">
        <v>44907</v>
      </c>
      <c r="S871" t="s">
        <v>45026</v>
      </c>
      <c r="T871" t="s">
        <v>46530</v>
      </c>
      <c r="U871" t="s">
        <v>47676</v>
      </c>
      <c r="W871" t="s">
        <v>41371</v>
      </c>
      <c r="X871" t="s">
        <v>44908</v>
      </c>
    </row>
    <row r="872" spans="1:24">
      <c r="A872">
        <f>HYPERLINK("https://www.philgeps.gov.ph/GEPSNONPILOT/Tender/SplashBidNoticeAbstractUI.aspx?menuIndex=3&amp;refID=7082539&amp;Result=3","7082539")</f>
        <v>0</v>
      </c>
      <c r="B872" t="s">
        <v>421</v>
      </c>
      <c r="C872" t="s">
        <v>4364</v>
      </c>
      <c r="D872" t="s">
        <v>18133</v>
      </c>
      <c r="E872" t="s">
        <v>19012</v>
      </c>
      <c r="F872" t="s">
        <v>31362</v>
      </c>
      <c r="G872" t="s">
        <v>31369</v>
      </c>
      <c r="H872" t="s">
        <v>31378</v>
      </c>
      <c r="I872" t="s">
        <v>31386</v>
      </c>
      <c r="J872" t="s">
        <v>32187</v>
      </c>
      <c r="K872" t="s">
        <v>40714</v>
      </c>
      <c r="M872" t="s">
        <v>41372</v>
      </c>
      <c r="N872" t="s">
        <v>44905</v>
      </c>
      <c r="O872" t="s">
        <v>44906</v>
      </c>
      <c r="P872">
        <v>0</v>
      </c>
      <c r="Q872">
        <v>0</v>
      </c>
      <c r="R872" t="s">
        <v>44907</v>
      </c>
      <c r="S872" t="s">
        <v>45026</v>
      </c>
      <c r="T872" t="s">
        <v>46531</v>
      </c>
      <c r="U872" t="s">
        <v>47677</v>
      </c>
      <c r="W872" t="s">
        <v>41372</v>
      </c>
      <c r="X872" t="s">
        <v>44908</v>
      </c>
    </row>
    <row r="873" spans="1:24">
      <c r="A873">
        <f>HYPERLINK("https://www.philgeps.gov.ph/GEPSNONPILOT/Tender/SplashBidNoticeAbstractUI.aspx?menuIndex=3&amp;refID=7082537&amp;Result=3","7082537")</f>
        <v>0</v>
      </c>
      <c r="B873" t="s">
        <v>422</v>
      </c>
      <c r="C873" t="s">
        <v>4365</v>
      </c>
      <c r="D873" t="s">
        <v>18180</v>
      </c>
      <c r="E873" t="s">
        <v>19013</v>
      </c>
      <c r="F873" t="s">
        <v>31362</v>
      </c>
      <c r="G873" t="s">
        <v>31368</v>
      </c>
      <c r="H873" t="s">
        <v>15799</v>
      </c>
      <c r="I873" t="s">
        <v>31397</v>
      </c>
      <c r="J873" t="s">
        <v>32188</v>
      </c>
      <c r="K873" t="s">
        <v>40672</v>
      </c>
      <c r="M873" t="s">
        <v>41373</v>
      </c>
      <c r="N873" t="s">
        <v>44905</v>
      </c>
      <c r="O873" t="s">
        <v>44906</v>
      </c>
      <c r="P873">
        <v>0</v>
      </c>
      <c r="Q873">
        <v>1</v>
      </c>
      <c r="R873" t="s">
        <v>44907</v>
      </c>
      <c r="S873" t="s">
        <v>45026</v>
      </c>
      <c r="T873" t="s">
        <v>46427</v>
      </c>
      <c r="U873" t="s">
        <v>47678</v>
      </c>
      <c r="V873" t="s">
        <v>59164</v>
      </c>
      <c r="W873" t="s">
        <v>41373</v>
      </c>
      <c r="X873" t="s">
        <v>44908</v>
      </c>
    </row>
    <row r="874" spans="1:24">
      <c r="A874">
        <f>HYPERLINK("https://www.philgeps.gov.ph/GEPSNONPILOT/Tender/SplashBidNoticeAbstractUI.aspx?menuIndex=3&amp;refID=7082586&amp;Result=3","7082586")</f>
        <v>0</v>
      </c>
      <c r="B874" t="s">
        <v>423</v>
      </c>
      <c r="C874" t="s">
        <v>4366</v>
      </c>
      <c r="D874" t="s">
        <v>18104</v>
      </c>
      <c r="E874" t="s">
        <v>19014</v>
      </c>
      <c r="F874" t="s">
        <v>31362</v>
      </c>
      <c r="G874" t="s">
        <v>31368</v>
      </c>
      <c r="H874" t="s">
        <v>15799</v>
      </c>
      <c r="I874" t="s">
        <v>31430</v>
      </c>
      <c r="J874" t="s">
        <v>32189</v>
      </c>
      <c r="K874" t="s">
        <v>40670</v>
      </c>
      <c r="M874" t="s">
        <v>41374</v>
      </c>
      <c r="N874" t="s">
        <v>44905</v>
      </c>
      <c r="O874" t="s">
        <v>44906</v>
      </c>
      <c r="P874">
        <v>0</v>
      </c>
      <c r="Q874">
        <v>1</v>
      </c>
      <c r="R874" t="s">
        <v>44907</v>
      </c>
      <c r="S874" t="s">
        <v>45026</v>
      </c>
      <c r="T874" t="s">
        <v>46438</v>
      </c>
      <c r="U874" t="s">
        <v>47679</v>
      </c>
      <c r="W874" t="s">
        <v>41374</v>
      </c>
      <c r="X874" t="s">
        <v>44908</v>
      </c>
    </row>
    <row r="875" spans="1:24">
      <c r="A875">
        <f>HYPERLINK("https://www.philgeps.gov.ph/GEPSNONPILOT/Tender/SplashBidNoticeAbstractUI.aspx?menuIndex=3&amp;refID=7082573&amp;Result=3","7082573")</f>
        <v>0</v>
      </c>
      <c r="B875" t="s">
        <v>377</v>
      </c>
      <c r="C875" t="s">
        <v>4367</v>
      </c>
      <c r="D875" t="s">
        <v>18108</v>
      </c>
      <c r="E875" t="s">
        <v>19015</v>
      </c>
      <c r="F875" t="s">
        <v>31362</v>
      </c>
      <c r="G875" t="s">
        <v>31368</v>
      </c>
      <c r="H875" t="s">
        <v>15799</v>
      </c>
      <c r="I875" t="s">
        <v>31422</v>
      </c>
      <c r="J875" t="s">
        <v>32190</v>
      </c>
      <c r="K875" t="s">
        <v>40680</v>
      </c>
      <c r="M875" t="s">
        <v>41324</v>
      </c>
      <c r="N875" t="s">
        <v>44905</v>
      </c>
      <c r="O875" t="s">
        <v>44906</v>
      </c>
      <c r="P875">
        <v>0</v>
      </c>
      <c r="Q875">
        <v>4</v>
      </c>
      <c r="R875" t="s">
        <v>44907</v>
      </c>
      <c r="S875" t="s">
        <v>45026</v>
      </c>
      <c r="T875" t="s">
        <v>46478</v>
      </c>
      <c r="U875" t="s">
        <v>47569</v>
      </c>
      <c r="W875" t="s">
        <v>41324</v>
      </c>
      <c r="X875" t="s">
        <v>44908</v>
      </c>
    </row>
    <row r="876" spans="1:24">
      <c r="A876">
        <f>HYPERLINK("https://www.philgeps.gov.ph/GEPSNONPILOT/Tender/SplashBidNoticeAbstractUI.aspx?menuIndex=3&amp;refID=7082609&amp;Result=3","7082609")</f>
        <v>0</v>
      </c>
      <c r="B876" t="s">
        <v>137</v>
      </c>
      <c r="C876" t="s">
        <v>4368</v>
      </c>
      <c r="D876" t="s">
        <v>18141</v>
      </c>
      <c r="E876" t="s">
        <v>19016</v>
      </c>
      <c r="F876" t="s">
        <v>31363</v>
      </c>
      <c r="G876" t="s">
        <v>31369</v>
      </c>
      <c r="H876" t="s">
        <v>15799</v>
      </c>
      <c r="I876" t="s">
        <v>3815</v>
      </c>
      <c r="J876" t="s">
        <v>31762</v>
      </c>
      <c r="K876" t="s">
        <v>40670</v>
      </c>
      <c r="M876" t="s">
        <v>41075</v>
      </c>
      <c r="N876" t="s">
        <v>44905</v>
      </c>
      <c r="O876" t="s">
        <v>44906</v>
      </c>
      <c r="P876">
        <v>0</v>
      </c>
      <c r="Q876">
        <v>0</v>
      </c>
      <c r="R876" t="s">
        <v>44907</v>
      </c>
      <c r="S876" t="s">
        <v>45026</v>
      </c>
      <c r="T876" t="s">
        <v>46449</v>
      </c>
      <c r="U876" t="s">
        <v>47680</v>
      </c>
      <c r="W876" t="s">
        <v>41075</v>
      </c>
      <c r="X876" t="s">
        <v>44908</v>
      </c>
    </row>
    <row r="877" spans="1:24">
      <c r="A877">
        <f>HYPERLINK("https://www.philgeps.gov.ph/GEPSNONPILOT/Tender/SplashBidNoticeAbstractUI.aspx?menuIndex=3&amp;refID=7082568&amp;Result=3","7082568")</f>
        <v>0</v>
      </c>
      <c r="B877" t="s">
        <v>424</v>
      </c>
      <c r="C877" t="s">
        <v>4369</v>
      </c>
      <c r="D877" t="s">
        <v>18168</v>
      </c>
      <c r="E877" t="s">
        <v>4369</v>
      </c>
      <c r="F877" t="s">
        <v>31362</v>
      </c>
      <c r="G877" t="s">
        <v>31370</v>
      </c>
      <c r="H877" t="s">
        <v>15799</v>
      </c>
      <c r="I877" t="s">
        <v>31385</v>
      </c>
      <c r="J877" t="s">
        <v>32191</v>
      </c>
      <c r="K877" t="s">
        <v>40665</v>
      </c>
      <c r="M877" t="s">
        <v>41375</v>
      </c>
      <c r="N877" t="s">
        <v>44905</v>
      </c>
      <c r="O877" t="s">
        <v>44906</v>
      </c>
      <c r="P877">
        <v>0</v>
      </c>
      <c r="Q877">
        <v>0</v>
      </c>
      <c r="R877" t="s">
        <v>44907</v>
      </c>
      <c r="S877" t="s">
        <v>45026</v>
      </c>
      <c r="T877" t="s">
        <v>46532</v>
      </c>
      <c r="U877" t="s">
        <v>47681</v>
      </c>
      <c r="W877" t="s">
        <v>41375</v>
      </c>
      <c r="X877" t="s">
        <v>44908</v>
      </c>
    </row>
    <row r="878" spans="1:24">
      <c r="A878">
        <f>HYPERLINK("https://www.philgeps.gov.ph/GEPSNONPILOT/Tender/SplashBidNoticeAbstractUI.aspx?menuIndex=3&amp;refID=7082559&amp;Result=3","7082559")</f>
        <v>0</v>
      </c>
      <c r="B878" t="s">
        <v>268</v>
      </c>
      <c r="C878" t="s">
        <v>4370</v>
      </c>
      <c r="D878" t="s">
        <v>18165</v>
      </c>
      <c r="E878" t="s">
        <v>19017</v>
      </c>
      <c r="F878" t="s">
        <v>31362</v>
      </c>
      <c r="G878" t="s">
        <v>31368</v>
      </c>
      <c r="H878" t="s">
        <v>15799</v>
      </c>
      <c r="I878" t="s">
        <v>4942</v>
      </c>
      <c r="J878" t="s">
        <v>32192</v>
      </c>
      <c r="K878" t="s">
        <v>40661</v>
      </c>
      <c r="M878" t="s">
        <v>41210</v>
      </c>
      <c r="N878" t="s">
        <v>44905</v>
      </c>
      <c r="O878" t="s">
        <v>44906</v>
      </c>
      <c r="P878">
        <v>0</v>
      </c>
      <c r="Q878">
        <v>0</v>
      </c>
      <c r="R878" t="s">
        <v>44907</v>
      </c>
      <c r="S878" t="s">
        <v>45026</v>
      </c>
      <c r="T878" t="s">
        <v>46432</v>
      </c>
      <c r="U878" t="s">
        <v>47682</v>
      </c>
      <c r="W878" t="s">
        <v>41210</v>
      </c>
      <c r="X878" t="s">
        <v>44908</v>
      </c>
    </row>
    <row r="879" spans="1:24">
      <c r="A879">
        <f>HYPERLINK("https://www.philgeps.gov.ph/GEPSNONPILOT/Tender/SplashBidNoticeAbstractUI.aspx?menuIndex=3&amp;refID=7082603&amp;Result=3","7082603")</f>
        <v>0</v>
      </c>
      <c r="B879" t="s">
        <v>418</v>
      </c>
      <c r="C879" t="s">
        <v>4371</v>
      </c>
      <c r="D879" t="s">
        <v>18100</v>
      </c>
      <c r="E879" t="s">
        <v>19018</v>
      </c>
      <c r="F879" t="s">
        <v>31362</v>
      </c>
      <c r="G879" t="s">
        <v>31372</v>
      </c>
      <c r="H879" t="s">
        <v>15799</v>
      </c>
      <c r="I879" t="s">
        <v>3815</v>
      </c>
      <c r="J879" t="s">
        <v>32193</v>
      </c>
      <c r="K879" t="s">
        <v>40662</v>
      </c>
      <c r="M879" t="s">
        <v>41368</v>
      </c>
      <c r="N879" t="s">
        <v>44905</v>
      </c>
      <c r="O879" t="s">
        <v>44906</v>
      </c>
      <c r="P879">
        <v>0</v>
      </c>
      <c r="Q879">
        <v>1</v>
      </c>
      <c r="R879" t="s">
        <v>44907</v>
      </c>
      <c r="S879" t="s">
        <v>45026</v>
      </c>
      <c r="T879" t="s">
        <v>46412</v>
      </c>
      <c r="U879" t="s">
        <v>47683</v>
      </c>
      <c r="W879" t="s">
        <v>41368</v>
      </c>
      <c r="X879" t="s">
        <v>44908</v>
      </c>
    </row>
    <row r="880" spans="1:24">
      <c r="A880">
        <f>HYPERLINK("https://www.philgeps.gov.ph/GEPSNONPILOT/Tender/SplashBidNoticeAbstractUI.aspx?menuIndex=3&amp;refID=7082602&amp;Result=3","7082602")</f>
        <v>0</v>
      </c>
      <c r="B880" t="s">
        <v>214</v>
      </c>
      <c r="C880" t="s">
        <v>4372</v>
      </c>
      <c r="D880" t="s">
        <v>18158</v>
      </c>
      <c r="E880" t="s">
        <v>19019</v>
      </c>
      <c r="F880" t="s">
        <v>31362</v>
      </c>
      <c r="G880" t="s">
        <v>31368</v>
      </c>
      <c r="H880" t="s">
        <v>15799</v>
      </c>
      <c r="I880" t="s">
        <v>6240</v>
      </c>
      <c r="J880" t="s">
        <v>32194</v>
      </c>
      <c r="K880" t="s">
        <v>40670</v>
      </c>
      <c r="M880" t="s">
        <v>41153</v>
      </c>
      <c r="N880" t="s">
        <v>44905</v>
      </c>
      <c r="O880" t="s">
        <v>44906</v>
      </c>
      <c r="P880">
        <v>0</v>
      </c>
      <c r="Q880">
        <v>0</v>
      </c>
      <c r="R880" t="s">
        <v>44907</v>
      </c>
      <c r="S880" t="s">
        <v>45026</v>
      </c>
      <c r="T880" t="s">
        <v>46497</v>
      </c>
      <c r="U880" t="s">
        <v>47684</v>
      </c>
      <c r="W880" t="s">
        <v>41153</v>
      </c>
      <c r="X880" t="s">
        <v>44908</v>
      </c>
    </row>
    <row r="881" spans="1:24">
      <c r="A881">
        <f>HYPERLINK("https://www.philgeps.gov.ph/GEPSNONPILOT/Tender/SplashBidNoticeAbstractUI.aspx?menuIndex=3&amp;refID=7082575&amp;Result=3","7082575")</f>
        <v>0</v>
      </c>
      <c r="B881" t="s">
        <v>225</v>
      </c>
      <c r="C881" t="s">
        <v>4373</v>
      </c>
      <c r="D881" t="s">
        <v>18158</v>
      </c>
      <c r="E881" t="s">
        <v>19020</v>
      </c>
      <c r="F881" t="s">
        <v>31362</v>
      </c>
      <c r="G881" t="s">
        <v>31368</v>
      </c>
      <c r="H881" t="s">
        <v>15799</v>
      </c>
      <c r="I881" t="s">
        <v>3815</v>
      </c>
      <c r="J881" t="s">
        <v>31578</v>
      </c>
      <c r="K881" t="s">
        <v>40670</v>
      </c>
      <c r="M881" t="s">
        <v>41164</v>
      </c>
      <c r="N881" t="s">
        <v>44905</v>
      </c>
      <c r="O881" t="s">
        <v>44906</v>
      </c>
      <c r="P881">
        <v>0</v>
      </c>
      <c r="Q881">
        <v>1</v>
      </c>
      <c r="R881" t="s">
        <v>44907</v>
      </c>
      <c r="S881" t="s">
        <v>45026</v>
      </c>
      <c r="T881" t="s">
        <v>46396</v>
      </c>
      <c r="U881" t="s">
        <v>47303</v>
      </c>
      <c r="W881" t="s">
        <v>41164</v>
      </c>
      <c r="X881" t="s">
        <v>44908</v>
      </c>
    </row>
    <row r="882" spans="1:24">
      <c r="A882">
        <f>HYPERLINK("https://www.philgeps.gov.ph/GEPSNONPILOT/Tender/SplashBidNoticeAbstractUI.aspx?menuIndex=3&amp;refID=7082601&amp;Result=3","7082601")</f>
        <v>0</v>
      </c>
      <c r="B882" t="s">
        <v>94</v>
      </c>
      <c r="C882" t="s">
        <v>4374</v>
      </c>
      <c r="D882" t="s">
        <v>18116</v>
      </c>
      <c r="E882" t="s">
        <v>19021</v>
      </c>
      <c r="F882" t="s">
        <v>31362</v>
      </c>
      <c r="G882" t="s">
        <v>31368</v>
      </c>
      <c r="H882" t="s">
        <v>15799</v>
      </c>
      <c r="I882" t="s">
        <v>6155</v>
      </c>
      <c r="J882" t="s">
        <v>31578</v>
      </c>
      <c r="K882" t="s">
        <v>40665</v>
      </c>
      <c r="M882" t="s">
        <v>41031</v>
      </c>
      <c r="N882" t="s">
        <v>44905</v>
      </c>
      <c r="O882" t="s">
        <v>44906</v>
      </c>
      <c r="P882">
        <v>0</v>
      </c>
      <c r="Q882">
        <v>7</v>
      </c>
      <c r="R882" t="s">
        <v>44907</v>
      </c>
      <c r="S882" t="s">
        <v>45026</v>
      </c>
      <c r="T882" t="s">
        <v>46454</v>
      </c>
      <c r="U882" t="s">
        <v>47685</v>
      </c>
      <c r="W882" t="s">
        <v>41031</v>
      </c>
      <c r="X882" t="s">
        <v>44908</v>
      </c>
    </row>
    <row r="883" spans="1:24">
      <c r="A883">
        <f>HYPERLINK("https://www.philgeps.gov.ph/GEPSNONPILOT/Tender/SplashBidNoticeAbstractUI.aspx?menuIndex=3&amp;refID=7082597&amp;Result=3","7082597")</f>
        <v>0</v>
      </c>
      <c r="B883" t="s">
        <v>376</v>
      </c>
      <c r="C883" t="s">
        <v>4375</v>
      </c>
      <c r="D883" t="s">
        <v>18160</v>
      </c>
      <c r="E883" t="s">
        <v>19022</v>
      </c>
      <c r="F883" t="s">
        <v>31362</v>
      </c>
      <c r="G883" t="s">
        <v>31368</v>
      </c>
      <c r="H883" t="s">
        <v>15799</v>
      </c>
      <c r="I883" t="s">
        <v>4942</v>
      </c>
      <c r="J883" t="s">
        <v>32195</v>
      </c>
      <c r="K883" t="s">
        <v>40662</v>
      </c>
      <c r="M883" t="s">
        <v>41323</v>
      </c>
      <c r="N883" t="s">
        <v>44905</v>
      </c>
      <c r="O883" t="s">
        <v>44906</v>
      </c>
      <c r="P883">
        <v>0</v>
      </c>
      <c r="Q883">
        <v>0</v>
      </c>
      <c r="R883" t="s">
        <v>44907</v>
      </c>
      <c r="S883" t="s">
        <v>45026</v>
      </c>
      <c r="T883" t="s">
        <v>46409</v>
      </c>
      <c r="U883" t="s">
        <v>47686</v>
      </c>
      <c r="W883" t="s">
        <v>60850</v>
      </c>
      <c r="X883" t="s">
        <v>44908</v>
      </c>
    </row>
    <row r="884" spans="1:24">
      <c r="A884">
        <f>HYPERLINK("https://www.philgeps.gov.ph/GEPSNONPILOT/Tender/SplashBidNoticeAbstractUI.aspx?menuIndex=3&amp;refID=7082608&amp;Result=3","7082608")</f>
        <v>0</v>
      </c>
      <c r="B884" t="s">
        <v>134</v>
      </c>
      <c r="C884" t="s">
        <v>4376</v>
      </c>
      <c r="D884" t="s">
        <v>18108</v>
      </c>
      <c r="E884" t="s">
        <v>19023</v>
      </c>
      <c r="F884" t="s">
        <v>31362</v>
      </c>
      <c r="G884" t="s">
        <v>31369</v>
      </c>
      <c r="H884" t="s">
        <v>15799</v>
      </c>
      <c r="I884" t="s">
        <v>4942</v>
      </c>
      <c r="J884" t="s">
        <v>32196</v>
      </c>
      <c r="K884" t="s">
        <v>40662</v>
      </c>
      <c r="L884" t="s">
        <v>134</v>
      </c>
      <c r="M884" t="s">
        <v>41370</v>
      </c>
      <c r="N884" t="s">
        <v>44905</v>
      </c>
      <c r="O884" t="s">
        <v>44906</v>
      </c>
      <c r="Q884">
        <v>1</v>
      </c>
      <c r="R884" t="s">
        <v>44907</v>
      </c>
      <c r="S884" t="s">
        <v>45034</v>
      </c>
      <c r="T884" t="s">
        <v>46431</v>
      </c>
      <c r="U884" t="s">
        <v>47674</v>
      </c>
      <c r="W884" t="s">
        <v>41370</v>
      </c>
      <c r="X884" t="s">
        <v>44908</v>
      </c>
    </row>
    <row r="885" spans="1:24">
      <c r="A885">
        <f>HYPERLINK("https://www.philgeps.gov.ph/GEPSNONPILOT/Tender/SplashBidNoticeAbstractUI.aspx?menuIndex=3&amp;refID=7082607&amp;Result=3","7082607")</f>
        <v>0</v>
      </c>
      <c r="B885" t="s">
        <v>417</v>
      </c>
      <c r="C885" t="s">
        <v>4355</v>
      </c>
      <c r="D885" t="s">
        <v>18166</v>
      </c>
      <c r="E885" t="s">
        <v>19024</v>
      </c>
      <c r="F885" t="s">
        <v>31362</v>
      </c>
      <c r="G885" t="s">
        <v>31368</v>
      </c>
      <c r="H885" t="s">
        <v>15799</v>
      </c>
      <c r="I885" t="s">
        <v>4942</v>
      </c>
      <c r="J885" t="s">
        <v>32197</v>
      </c>
      <c r="K885" t="s">
        <v>40670</v>
      </c>
      <c r="M885" t="s">
        <v>41367</v>
      </c>
      <c r="N885" t="s">
        <v>44905</v>
      </c>
      <c r="O885" t="s">
        <v>44906</v>
      </c>
      <c r="P885">
        <v>0</v>
      </c>
      <c r="Q885">
        <v>0</v>
      </c>
      <c r="R885" t="s">
        <v>44907</v>
      </c>
      <c r="S885" t="s">
        <v>45026</v>
      </c>
      <c r="T885" t="s">
        <v>46454</v>
      </c>
      <c r="U885" t="s">
        <v>47687</v>
      </c>
      <c r="W885" t="s">
        <v>41367</v>
      </c>
      <c r="X885" t="s">
        <v>44908</v>
      </c>
    </row>
    <row r="886" spans="1:24">
      <c r="A886">
        <f>HYPERLINK("https://www.philgeps.gov.ph/GEPSNONPILOT/Tender/SplashBidNoticeAbstractUI.aspx?menuIndex=3&amp;refID=7082599&amp;Result=3","7082599")</f>
        <v>0</v>
      </c>
      <c r="B886" t="s">
        <v>425</v>
      </c>
      <c r="C886" t="s">
        <v>4377</v>
      </c>
      <c r="D886" t="s">
        <v>18139</v>
      </c>
      <c r="E886" t="s">
        <v>19025</v>
      </c>
      <c r="F886" t="s">
        <v>31362</v>
      </c>
      <c r="G886" t="s">
        <v>31368</v>
      </c>
      <c r="H886" t="s">
        <v>15799</v>
      </c>
      <c r="I886" t="s">
        <v>31429</v>
      </c>
      <c r="J886" t="s">
        <v>32198</v>
      </c>
      <c r="K886" t="s">
        <v>40666</v>
      </c>
      <c r="M886" t="s">
        <v>41376</v>
      </c>
      <c r="N886" t="s">
        <v>44905</v>
      </c>
      <c r="O886" t="s">
        <v>44906</v>
      </c>
      <c r="P886">
        <v>0</v>
      </c>
      <c r="Q886">
        <v>0</v>
      </c>
      <c r="R886" t="s">
        <v>44907</v>
      </c>
      <c r="S886" t="s">
        <v>45026</v>
      </c>
      <c r="T886" t="s">
        <v>46414</v>
      </c>
      <c r="U886" t="s">
        <v>47688</v>
      </c>
      <c r="W886" t="s">
        <v>41376</v>
      </c>
      <c r="X886" t="s">
        <v>44908</v>
      </c>
    </row>
    <row r="887" spans="1:24">
      <c r="A887">
        <f>HYPERLINK("https://www.philgeps.gov.ph/GEPSNONPILOT/Tender/SplashBidNoticeAbstractUI.aspx?menuIndex=3&amp;refID=7082538&amp;Result=3","7082538")</f>
        <v>0</v>
      </c>
      <c r="B887" t="s">
        <v>426</v>
      </c>
      <c r="C887" t="s">
        <v>4378</v>
      </c>
      <c r="D887" t="s">
        <v>18102</v>
      </c>
      <c r="E887" t="s">
        <v>19026</v>
      </c>
      <c r="F887" t="s">
        <v>31362</v>
      </c>
      <c r="G887" t="s">
        <v>31368</v>
      </c>
      <c r="H887" t="s">
        <v>15799</v>
      </c>
      <c r="I887" t="s">
        <v>31387</v>
      </c>
      <c r="J887" t="s">
        <v>32199</v>
      </c>
      <c r="K887" t="s">
        <v>40670</v>
      </c>
      <c r="M887" t="s">
        <v>41377</v>
      </c>
      <c r="N887" t="s">
        <v>44905</v>
      </c>
      <c r="O887" t="s">
        <v>44906</v>
      </c>
      <c r="P887">
        <v>0</v>
      </c>
      <c r="Q887">
        <v>1</v>
      </c>
      <c r="R887" t="s">
        <v>44907</v>
      </c>
      <c r="S887" t="s">
        <v>45026</v>
      </c>
      <c r="T887" t="s">
        <v>46400</v>
      </c>
      <c r="U887" t="s">
        <v>47689</v>
      </c>
      <c r="W887" t="s">
        <v>60853</v>
      </c>
      <c r="X887" t="s">
        <v>44908</v>
      </c>
    </row>
    <row r="888" spans="1:24">
      <c r="A888">
        <f>HYPERLINK("https://www.philgeps.gov.ph/GEPSNONPILOT/Tender/SplashBidNoticeAbstractUI.aspx?menuIndex=3&amp;refID=7082590&amp;Result=3","7082590")</f>
        <v>0</v>
      </c>
      <c r="B888" t="s">
        <v>427</v>
      </c>
      <c r="C888" t="s">
        <v>4379</v>
      </c>
      <c r="D888" t="s">
        <v>18119</v>
      </c>
      <c r="E888" t="s">
        <v>19027</v>
      </c>
      <c r="F888" t="s">
        <v>31362</v>
      </c>
      <c r="G888" t="s">
        <v>31368</v>
      </c>
      <c r="H888" t="s">
        <v>15799</v>
      </c>
      <c r="I888" t="s">
        <v>31457</v>
      </c>
      <c r="J888" t="s">
        <v>32200</v>
      </c>
      <c r="K888" t="s">
        <v>40666</v>
      </c>
      <c r="M888" t="s">
        <v>41378</v>
      </c>
      <c r="N888" t="s">
        <v>44905</v>
      </c>
      <c r="O888" t="s">
        <v>44906</v>
      </c>
      <c r="P888">
        <v>0</v>
      </c>
      <c r="Q888">
        <v>0</v>
      </c>
      <c r="R888" t="s">
        <v>44907</v>
      </c>
      <c r="S888" t="s">
        <v>45026</v>
      </c>
      <c r="T888" t="s">
        <v>46443</v>
      </c>
      <c r="U888" t="s">
        <v>47690</v>
      </c>
      <c r="W888" t="s">
        <v>41378</v>
      </c>
      <c r="X888" t="s">
        <v>44908</v>
      </c>
    </row>
    <row r="889" spans="1:24">
      <c r="A889">
        <f>HYPERLINK("https://www.philgeps.gov.ph/GEPSNONPILOT/Tender/SplashBidNoticeAbstractUI.aspx?menuIndex=3&amp;refID=7082600&amp;Result=3","7082600")</f>
        <v>0</v>
      </c>
      <c r="B889" t="s">
        <v>428</v>
      </c>
      <c r="C889" t="s">
        <v>4380</v>
      </c>
      <c r="D889" t="s">
        <v>18148</v>
      </c>
      <c r="E889" t="s">
        <v>19028</v>
      </c>
      <c r="F889" t="s">
        <v>31362</v>
      </c>
      <c r="G889" t="s">
        <v>31368</v>
      </c>
      <c r="H889" t="s">
        <v>15799</v>
      </c>
      <c r="I889" t="s">
        <v>31396</v>
      </c>
      <c r="J889" t="s">
        <v>32201</v>
      </c>
      <c r="K889" t="s">
        <v>40697</v>
      </c>
      <c r="M889" t="s">
        <v>41379</v>
      </c>
      <c r="N889" t="s">
        <v>44905</v>
      </c>
      <c r="O889" t="s">
        <v>44906</v>
      </c>
      <c r="P889">
        <v>0</v>
      </c>
      <c r="Q889">
        <v>3</v>
      </c>
      <c r="R889" t="s">
        <v>44907</v>
      </c>
      <c r="S889" t="s">
        <v>45026</v>
      </c>
      <c r="T889" t="s">
        <v>46444</v>
      </c>
      <c r="U889" t="s">
        <v>47691</v>
      </c>
      <c r="W889" t="s">
        <v>41379</v>
      </c>
      <c r="X889" t="s">
        <v>44908</v>
      </c>
    </row>
    <row r="890" spans="1:24">
      <c r="A890">
        <f>HYPERLINK("https://www.philgeps.gov.ph/GEPSNONPILOT/Tender/SplashBidNoticeAbstractUI.aspx?menuIndex=3&amp;refID=7082589&amp;Result=3","7082589")</f>
        <v>0</v>
      </c>
      <c r="B890" t="s">
        <v>363</v>
      </c>
      <c r="C890" t="s">
        <v>4381</v>
      </c>
      <c r="D890" t="s">
        <v>18136</v>
      </c>
      <c r="E890" t="s">
        <v>19029</v>
      </c>
      <c r="F890" t="s">
        <v>31362</v>
      </c>
      <c r="G890" t="s">
        <v>31369</v>
      </c>
      <c r="H890" t="s">
        <v>15799</v>
      </c>
      <c r="I890" t="s">
        <v>7719</v>
      </c>
      <c r="J890" t="s">
        <v>32202</v>
      </c>
      <c r="K890" t="s">
        <v>40665</v>
      </c>
      <c r="M890" t="s">
        <v>41310</v>
      </c>
      <c r="N890" t="s">
        <v>44905</v>
      </c>
      <c r="O890" t="s">
        <v>44906</v>
      </c>
      <c r="P890">
        <v>0</v>
      </c>
      <c r="Q890">
        <v>3</v>
      </c>
      <c r="R890" t="s">
        <v>44907</v>
      </c>
      <c r="S890" t="s">
        <v>45026</v>
      </c>
      <c r="T890" t="s">
        <v>46499</v>
      </c>
      <c r="U890" t="s">
        <v>47692</v>
      </c>
      <c r="W890" t="s">
        <v>41310</v>
      </c>
      <c r="X890" t="s">
        <v>44908</v>
      </c>
    </row>
    <row r="891" spans="1:24">
      <c r="A891">
        <f>HYPERLINK("https://www.philgeps.gov.ph/GEPSNONPILOT/Tender/SplashBidNoticeAbstractUI.aspx?menuIndex=3&amp;refID=7082594&amp;Result=3","7082594")</f>
        <v>0</v>
      </c>
      <c r="B891" t="s">
        <v>429</v>
      </c>
      <c r="C891" t="s">
        <v>4382</v>
      </c>
      <c r="D891" t="s">
        <v>18138</v>
      </c>
      <c r="E891" t="s">
        <v>18777</v>
      </c>
      <c r="F891" t="s">
        <v>31362</v>
      </c>
      <c r="G891" t="s">
        <v>31368</v>
      </c>
      <c r="H891" t="s">
        <v>15799</v>
      </c>
      <c r="I891" t="s">
        <v>31422</v>
      </c>
      <c r="J891" t="s">
        <v>31535</v>
      </c>
      <c r="K891" t="s">
        <v>40672</v>
      </c>
      <c r="M891" t="s">
        <v>41380</v>
      </c>
      <c r="N891" t="s">
        <v>44905</v>
      </c>
      <c r="O891" t="s">
        <v>44906</v>
      </c>
      <c r="P891">
        <v>0</v>
      </c>
      <c r="Q891">
        <v>0</v>
      </c>
      <c r="R891" t="s">
        <v>44907</v>
      </c>
      <c r="S891" t="s">
        <v>45026</v>
      </c>
      <c r="T891" t="s">
        <v>46446</v>
      </c>
      <c r="U891" t="s">
        <v>47693</v>
      </c>
      <c r="V891" t="s">
        <v>59165</v>
      </c>
      <c r="W891" t="s">
        <v>41380</v>
      </c>
      <c r="X891" t="s">
        <v>44908</v>
      </c>
    </row>
    <row r="892" spans="1:24">
      <c r="A892">
        <f>HYPERLINK("https://www.philgeps.gov.ph/GEPSNONPILOT/Tender/SplashBidNoticeAbstractUI.aspx?menuIndex=3&amp;refID=7082637&amp;Result=3","7082637")</f>
        <v>0</v>
      </c>
      <c r="B892" t="s">
        <v>430</v>
      </c>
      <c r="C892" t="s">
        <v>4383</v>
      </c>
      <c r="D892" t="s">
        <v>18112</v>
      </c>
      <c r="E892" t="s">
        <v>19030</v>
      </c>
      <c r="F892" t="s">
        <v>31362</v>
      </c>
      <c r="G892" t="s">
        <v>31371</v>
      </c>
      <c r="H892" t="s">
        <v>15799</v>
      </c>
      <c r="I892" t="s">
        <v>31404</v>
      </c>
      <c r="J892" t="s">
        <v>31886</v>
      </c>
      <c r="K892" t="s">
        <v>40665</v>
      </c>
      <c r="M892" t="s">
        <v>41381</v>
      </c>
      <c r="N892" t="s">
        <v>44905</v>
      </c>
      <c r="O892" t="s">
        <v>44906</v>
      </c>
      <c r="P892">
        <v>0</v>
      </c>
      <c r="Q892">
        <v>2</v>
      </c>
      <c r="R892" t="s">
        <v>44907</v>
      </c>
      <c r="S892" t="s">
        <v>45026</v>
      </c>
      <c r="T892" t="s">
        <v>46397</v>
      </c>
      <c r="U892" t="s">
        <v>47694</v>
      </c>
      <c r="V892" t="s">
        <v>59166</v>
      </c>
      <c r="W892" t="s">
        <v>41381</v>
      </c>
      <c r="X892" t="s">
        <v>44908</v>
      </c>
    </row>
    <row r="893" spans="1:24">
      <c r="A893">
        <f>HYPERLINK("https://www.philgeps.gov.ph/GEPSNONPILOT/Tender/SplashBidNoticeAbstractUI.aspx?menuIndex=3&amp;refID=7082636&amp;Result=3","7082636")</f>
        <v>0</v>
      </c>
      <c r="B893" t="s">
        <v>411</v>
      </c>
      <c r="C893" t="s">
        <v>4384</v>
      </c>
      <c r="D893" t="s">
        <v>18148</v>
      </c>
      <c r="E893" t="s">
        <v>19031</v>
      </c>
      <c r="F893" t="s">
        <v>31362</v>
      </c>
      <c r="G893" t="s">
        <v>31370</v>
      </c>
      <c r="H893" t="s">
        <v>15799</v>
      </c>
      <c r="I893" t="s">
        <v>7090</v>
      </c>
      <c r="J893" t="s">
        <v>32203</v>
      </c>
      <c r="K893" t="s">
        <v>40662</v>
      </c>
      <c r="M893" t="s">
        <v>41361</v>
      </c>
      <c r="N893" t="s">
        <v>44905</v>
      </c>
      <c r="O893" t="s">
        <v>44906</v>
      </c>
      <c r="P893">
        <v>0</v>
      </c>
      <c r="Q893">
        <v>0</v>
      </c>
      <c r="R893" t="s">
        <v>44907</v>
      </c>
      <c r="S893" t="s">
        <v>45026</v>
      </c>
      <c r="T893" t="s">
        <v>46409</v>
      </c>
      <c r="U893" t="s">
        <v>47695</v>
      </c>
      <c r="W893" t="s">
        <v>41361</v>
      </c>
      <c r="X893" t="s">
        <v>44908</v>
      </c>
    </row>
    <row r="894" spans="1:24">
      <c r="A894">
        <f>HYPERLINK("https://www.philgeps.gov.ph/GEPSNONPILOT/Tender/SplashBidNoticeAbstractUI.aspx?menuIndex=3&amp;refID=7082635&amp;Result=3","7082635")</f>
        <v>0</v>
      </c>
      <c r="B894" t="s">
        <v>354</v>
      </c>
      <c r="C894" t="s">
        <v>4385</v>
      </c>
      <c r="D894" t="s">
        <v>18141</v>
      </c>
      <c r="E894" t="s">
        <v>19032</v>
      </c>
      <c r="F894" t="s">
        <v>31362</v>
      </c>
      <c r="G894" t="s">
        <v>31370</v>
      </c>
      <c r="H894" t="s">
        <v>15799</v>
      </c>
      <c r="I894" t="s">
        <v>31438</v>
      </c>
      <c r="J894" t="s">
        <v>31577</v>
      </c>
      <c r="K894" t="s">
        <v>40661</v>
      </c>
      <c r="M894" t="s">
        <v>41301</v>
      </c>
      <c r="N894" t="s">
        <v>44905</v>
      </c>
      <c r="O894" t="s">
        <v>44906</v>
      </c>
      <c r="P894">
        <v>0</v>
      </c>
      <c r="Q894">
        <v>0</v>
      </c>
      <c r="R894" t="s">
        <v>44907</v>
      </c>
      <c r="S894" t="s">
        <v>45026</v>
      </c>
      <c r="T894" t="s">
        <v>46497</v>
      </c>
      <c r="U894" t="s">
        <v>47696</v>
      </c>
      <c r="W894" t="s">
        <v>41301</v>
      </c>
      <c r="X894" t="s">
        <v>44908</v>
      </c>
    </row>
    <row r="895" spans="1:24">
      <c r="A895">
        <f>HYPERLINK("https://www.philgeps.gov.ph/GEPSNONPILOT/Tender/SplashBidNoticeAbstractUI.aspx?menuIndex=3&amp;refID=7082634&amp;Result=3","7082634")</f>
        <v>0</v>
      </c>
      <c r="B895" t="s">
        <v>199</v>
      </c>
      <c r="C895" t="s">
        <v>4386</v>
      </c>
      <c r="D895" t="s">
        <v>18139</v>
      </c>
      <c r="E895" t="s">
        <v>19033</v>
      </c>
      <c r="F895" t="s">
        <v>31362</v>
      </c>
      <c r="G895" t="s">
        <v>31368</v>
      </c>
      <c r="H895" t="s">
        <v>15799</v>
      </c>
      <c r="I895" t="s">
        <v>31400</v>
      </c>
      <c r="J895" t="s">
        <v>32204</v>
      </c>
      <c r="K895" t="s">
        <v>40666</v>
      </c>
      <c r="M895" t="s">
        <v>41382</v>
      </c>
      <c r="N895" t="s">
        <v>44905</v>
      </c>
      <c r="O895" t="s">
        <v>44906</v>
      </c>
      <c r="P895">
        <v>0</v>
      </c>
      <c r="Q895">
        <v>3</v>
      </c>
      <c r="R895" t="s">
        <v>44907</v>
      </c>
      <c r="S895" t="s">
        <v>45026</v>
      </c>
      <c r="T895" t="s">
        <v>46435</v>
      </c>
      <c r="U895" t="s">
        <v>47697</v>
      </c>
      <c r="W895" t="s">
        <v>41382</v>
      </c>
      <c r="X895" t="s">
        <v>44908</v>
      </c>
    </row>
    <row r="896" spans="1:24">
      <c r="A896">
        <f>HYPERLINK("https://www.philgeps.gov.ph/GEPSNONPILOT/Tender/SplashBidNoticeAbstractUI.aspx?menuIndex=3&amp;refID=7082595&amp;Result=3","7082595")</f>
        <v>0</v>
      </c>
      <c r="B896" t="s">
        <v>424</v>
      </c>
      <c r="C896" t="s">
        <v>4387</v>
      </c>
      <c r="D896" t="s">
        <v>18168</v>
      </c>
      <c r="E896" t="s">
        <v>4387</v>
      </c>
      <c r="F896" t="s">
        <v>31362</v>
      </c>
      <c r="G896" t="s">
        <v>31370</v>
      </c>
      <c r="H896" t="s">
        <v>15799</v>
      </c>
      <c r="I896" t="s">
        <v>31385</v>
      </c>
      <c r="J896" t="s">
        <v>32205</v>
      </c>
      <c r="K896" t="s">
        <v>40665</v>
      </c>
      <c r="M896" t="s">
        <v>41375</v>
      </c>
      <c r="N896" t="s">
        <v>44905</v>
      </c>
      <c r="O896" t="s">
        <v>44906</v>
      </c>
      <c r="P896">
        <v>0</v>
      </c>
      <c r="Q896">
        <v>0</v>
      </c>
      <c r="R896" t="s">
        <v>44907</v>
      </c>
      <c r="S896" t="s">
        <v>45026</v>
      </c>
      <c r="T896" t="s">
        <v>46532</v>
      </c>
      <c r="U896" t="s">
        <v>47698</v>
      </c>
      <c r="W896" t="s">
        <v>41375</v>
      </c>
      <c r="X896" t="s">
        <v>44908</v>
      </c>
    </row>
    <row r="897" spans="1:24">
      <c r="A897">
        <f>HYPERLINK("https://www.philgeps.gov.ph/GEPSNONPILOT/Tender/SplashBidNoticeAbstractUI.aspx?menuIndex=3&amp;refID=7082627&amp;Result=3","7082627")</f>
        <v>0</v>
      </c>
      <c r="B897" t="s">
        <v>321</v>
      </c>
      <c r="C897" t="s">
        <v>4388</v>
      </c>
      <c r="D897" t="s">
        <v>18136</v>
      </c>
      <c r="E897" t="s">
        <v>19034</v>
      </c>
      <c r="F897" t="s">
        <v>31362</v>
      </c>
      <c r="G897" t="s">
        <v>31369</v>
      </c>
      <c r="H897" t="s">
        <v>31378</v>
      </c>
      <c r="I897" t="s">
        <v>3815</v>
      </c>
      <c r="J897" t="s">
        <v>32206</v>
      </c>
      <c r="K897" t="s">
        <v>40682</v>
      </c>
      <c r="M897" t="s">
        <v>41267</v>
      </c>
      <c r="N897" t="s">
        <v>44905</v>
      </c>
      <c r="O897" t="s">
        <v>44906</v>
      </c>
      <c r="P897">
        <v>0</v>
      </c>
      <c r="Q897">
        <v>0</v>
      </c>
      <c r="R897" t="s">
        <v>44907</v>
      </c>
      <c r="S897" t="s">
        <v>45026</v>
      </c>
      <c r="T897" t="s">
        <v>46401</v>
      </c>
      <c r="U897" t="s">
        <v>47466</v>
      </c>
      <c r="V897" t="s">
        <v>59161</v>
      </c>
      <c r="W897" t="s">
        <v>41267</v>
      </c>
      <c r="X897" t="s">
        <v>44908</v>
      </c>
    </row>
    <row r="898" spans="1:24">
      <c r="A898">
        <f>HYPERLINK("https://www.philgeps.gov.ph/GEPSNONPILOT/Tender/SplashBidNoticeAbstractUI.aspx?menuIndex=3&amp;refID=7082626&amp;Result=3","7082626")</f>
        <v>0</v>
      </c>
      <c r="B898" t="s">
        <v>259</v>
      </c>
      <c r="C898" t="s">
        <v>4389</v>
      </c>
      <c r="D898" t="s">
        <v>18100</v>
      </c>
      <c r="E898" t="s">
        <v>19035</v>
      </c>
      <c r="F898" t="s">
        <v>31362</v>
      </c>
      <c r="G898" t="s">
        <v>31368</v>
      </c>
      <c r="H898" t="s">
        <v>15799</v>
      </c>
      <c r="I898" t="s">
        <v>31427</v>
      </c>
      <c r="J898" t="s">
        <v>31890</v>
      </c>
      <c r="K898" t="s">
        <v>40693</v>
      </c>
      <c r="M898" t="s">
        <v>41200</v>
      </c>
      <c r="N898" t="s">
        <v>44905</v>
      </c>
      <c r="O898" t="s">
        <v>44906</v>
      </c>
      <c r="P898">
        <v>0</v>
      </c>
      <c r="Q898">
        <v>0</v>
      </c>
      <c r="R898" t="s">
        <v>44907</v>
      </c>
      <c r="S898" t="s">
        <v>45026</v>
      </c>
      <c r="T898" t="s">
        <v>46426</v>
      </c>
      <c r="U898" t="s">
        <v>47699</v>
      </c>
      <c r="W898" t="s">
        <v>41200</v>
      </c>
      <c r="X898" t="s">
        <v>44908</v>
      </c>
    </row>
    <row r="899" spans="1:24">
      <c r="A899">
        <f>HYPERLINK("https://www.philgeps.gov.ph/GEPSNONPILOT/Tender/SplashBidNoticeAbstractUI.aspx?menuIndex=3&amp;refID=7082591&amp;Result=3","7082591")</f>
        <v>0</v>
      </c>
      <c r="B899" t="s">
        <v>431</v>
      </c>
      <c r="C899" t="s">
        <v>4390</v>
      </c>
      <c r="D899" t="s">
        <v>18159</v>
      </c>
      <c r="E899" t="s">
        <v>4390</v>
      </c>
      <c r="F899" t="s">
        <v>31362</v>
      </c>
      <c r="G899" t="s">
        <v>31370</v>
      </c>
      <c r="H899" t="s">
        <v>15799</v>
      </c>
      <c r="I899" t="s">
        <v>7188</v>
      </c>
      <c r="J899" t="s">
        <v>31724</v>
      </c>
      <c r="K899" t="s">
        <v>40661</v>
      </c>
      <c r="L899" t="s">
        <v>431</v>
      </c>
      <c r="M899" t="s">
        <v>41383</v>
      </c>
      <c r="N899" t="s">
        <v>44905</v>
      </c>
      <c r="O899" t="s">
        <v>44906</v>
      </c>
      <c r="P899">
        <v>0</v>
      </c>
      <c r="Q899">
        <v>1</v>
      </c>
      <c r="R899" t="s">
        <v>44907</v>
      </c>
      <c r="S899" t="s">
        <v>45026</v>
      </c>
      <c r="T899" t="s">
        <v>46406</v>
      </c>
      <c r="U899" t="s">
        <v>47700</v>
      </c>
      <c r="W899" t="s">
        <v>41383</v>
      </c>
      <c r="X899" t="s">
        <v>44908</v>
      </c>
    </row>
    <row r="900" spans="1:24">
      <c r="A900">
        <f>HYPERLINK("https://www.philgeps.gov.ph/GEPSNONPILOT/Tender/SplashBidNoticeAbstractUI.aspx?menuIndex=3&amp;refID=7082623&amp;Result=3","7082623")</f>
        <v>0</v>
      </c>
      <c r="B900" t="s">
        <v>365</v>
      </c>
      <c r="C900" t="s">
        <v>4391</v>
      </c>
      <c r="D900" t="s">
        <v>18126</v>
      </c>
      <c r="E900" t="s">
        <v>19036</v>
      </c>
      <c r="F900" t="s">
        <v>31362</v>
      </c>
      <c r="G900" t="s">
        <v>31369</v>
      </c>
      <c r="H900" t="s">
        <v>15799</v>
      </c>
      <c r="I900" t="s">
        <v>4283</v>
      </c>
      <c r="J900" t="s">
        <v>31637</v>
      </c>
      <c r="K900" t="s">
        <v>40665</v>
      </c>
      <c r="M900" t="s">
        <v>41312</v>
      </c>
      <c r="N900" t="s">
        <v>44905</v>
      </c>
      <c r="O900" t="s">
        <v>44906</v>
      </c>
      <c r="P900">
        <v>0</v>
      </c>
      <c r="Q900">
        <v>2</v>
      </c>
      <c r="R900" t="s">
        <v>44907</v>
      </c>
      <c r="S900" t="s">
        <v>45026</v>
      </c>
      <c r="T900" t="s">
        <v>46431</v>
      </c>
      <c r="U900" t="s">
        <v>47550</v>
      </c>
      <c r="V900" t="s">
        <v>59160</v>
      </c>
      <c r="W900" t="s">
        <v>41312</v>
      </c>
      <c r="X900" t="s">
        <v>44908</v>
      </c>
    </row>
    <row r="901" spans="1:24">
      <c r="A901">
        <f>HYPERLINK("https://www.philgeps.gov.ph/GEPSNONPILOT/Tender/SplashBidNoticeAbstractUI.aspx?menuIndex=3&amp;refID=7082629&amp;Result=3","7082629")</f>
        <v>0</v>
      </c>
      <c r="B901" t="s">
        <v>214</v>
      </c>
      <c r="C901" t="s">
        <v>4392</v>
      </c>
      <c r="D901" t="s">
        <v>18158</v>
      </c>
      <c r="E901" t="s">
        <v>19037</v>
      </c>
      <c r="F901" t="s">
        <v>31362</v>
      </c>
      <c r="G901" t="s">
        <v>31368</v>
      </c>
      <c r="H901" t="s">
        <v>15799</v>
      </c>
      <c r="I901" t="s">
        <v>6373</v>
      </c>
      <c r="J901" t="s">
        <v>32207</v>
      </c>
      <c r="K901" t="s">
        <v>40666</v>
      </c>
      <c r="M901" t="s">
        <v>41153</v>
      </c>
      <c r="N901" t="s">
        <v>44905</v>
      </c>
      <c r="O901" t="s">
        <v>44906</v>
      </c>
      <c r="P901">
        <v>0</v>
      </c>
      <c r="Q901">
        <v>3</v>
      </c>
      <c r="R901" t="s">
        <v>44907</v>
      </c>
      <c r="S901" t="s">
        <v>45026</v>
      </c>
      <c r="T901" t="s">
        <v>46497</v>
      </c>
      <c r="U901" t="s">
        <v>47701</v>
      </c>
      <c r="W901" t="s">
        <v>41153</v>
      </c>
      <c r="X901" t="s">
        <v>44908</v>
      </c>
    </row>
    <row r="902" spans="1:24">
      <c r="A902">
        <f>HYPERLINK("https://www.philgeps.gov.ph/GEPSNONPILOT/Tender/SplashBidNoticeAbstractUI.aspx?menuIndex=3&amp;refID=7082621&amp;Result=3","7082621")</f>
        <v>0</v>
      </c>
      <c r="B902" t="s">
        <v>432</v>
      </c>
      <c r="C902" t="s">
        <v>4393</v>
      </c>
      <c r="D902" t="s">
        <v>18106</v>
      </c>
      <c r="E902" t="s">
        <v>19038</v>
      </c>
      <c r="F902" t="s">
        <v>31362</v>
      </c>
      <c r="G902" t="s">
        <v>31371</v>
      </c>
      <c r="H902" t="s">
        <v>15799</v>
      </c>
      <c r="I902" t="s">
        <v>31431</v>
      </c>
      <c r="J902" t="s">
        <v>31546</v>
      </c>
      <c r="K902" t="s">
        <v>40697</v>
      </c>
      <c r="M902" t="s">
        <v>41384</v>
      </c>
      <c r="N902" t="s">
        <v>44905</v>
      </c>
      <c r="O902" t="s">
        <v>44906</v>
      </c>
      <c r="P902">
        <v>0</v>
      </c>
      <c r="Q902">
        <v>0</v>
      </c>
      <c r="R902" t="s">
        <v>44907</v>
      </c>
      <c r="S902" t="s">
        <v>45026</v>
      </c>
      <c r="T902" t="s">
        <v>46443</v>
      </c>
      <c r="U902" t="s">
        <v>47702</v>
      </c>
      <c r="W902" t="s">
        <v>41384</v>
      </c>
      <c r="X902" t="s">
        <v>44908</v>
      </c>
    </row>
    <row r="903" spans="1:24">
      <c r="A903">
        <f>HYPERLINK("https://www.philgeps.gov.ph/GEPSNONPILOT/Tender/SplashBidNoticeAbstractUI.aspx?menuIndex=3&amp;refID=7082611&amp;Result=3","7082611")</f>
        <v>0</v>
      </c>
      <c r="B903" t="s">
        <v>424</v>
      </c>
      <c r="C903" t="s">
        <v>4394</v>
      </c>
      <c r="D903" t="s">
        <v>18168</v>
      </c>
      <c r="E903" t="s">
        <v>4394</v>
      </c>
      <c r="F903" t="s">
        <v>31362</v>
      </c>
      <c r="G903" t="s">
        <v>31368</v>
      </c>
      <c r="H903" t="s">
        <v>15799</v>
      </c>
      <c r="I903" t="s">
        <v>6155</v>
      </c>
      <c r="J903" t="s">
        <v>31806</v>
      </c>
      <c r="K903" t="s">
        <v>40665</v>
      </c>
      <c r="M903" t="s">
        <v>41375</v>
      </c>
      <c r="N903" t="s">
        <v>44905</v>
      </c>
      <c r="O903" t="s">
        <v>44906</v>
      </c>
      <c r="P903">
        <v>0</v>
      </c>
      <c r="Q903">
        <v>1</v>
      </c>
      <c r="R903" t="s">
        <v>44907</v>
      </c>
      <c r="S903" t="s">
        <v>45026</v>
      </c>
      <c r="T903" t="s">
        <v>46532</v>
      </c>
      <c r="U903" t="s">
        <v>47703</v>
      </c>
      <c r="W903" t="s">
        <v>41375</v>
      </c>
      <c r="X903" t="s">
        <v>44908</v>
      </c>
    </row>
    <row r="904" spans="1:24">
      <c r="A904">
        <f>HYPERLINK("https://www.philgeps.gov.ph/GEPSNONPILOT/Tender/SplashBidNoticeAbstractUI.aspx?menuIndex=3&amp;refID=7082619&amp;Result=3","7082619")</f>
        <v>0</v>
      </c>
      <c r="B904" t="s">
        <v>230</v>
      </c>
      <c r="C904" t="s">
        <v>4395</v>
      </c>
      <c r="D904" t="s">
        <v>18130</v>
      </c>
      <c r="E904" t="s">
        <v>19039</v>
      </c>
      <c r="F904" t="s">
        <v>31362</v>
      </c>
      <c r="G904" t="s">
        <v>31368</v>
      </c>
      <c r="H904" t="s">
        <v>15799</v>
      </c>
      <c r="I904" t="s">
        <v>4057</v>
      </c>
      <c r="J904" t="s">
        <v>31724</v>
      </c>
      <c r="K904" t="s">
        <v>40661</v>
      </c>
      <c r="M904" t="s">
        <v>41169</v>
      </c>
      <c r="N904" t="s">
        <v>44905</v>
      </c>
      <c r="O904" t="s">
        <v>44906</v>
      </c>
      <c r="P904">
        <v>0</v>
      </c>
      <c r="Q904">
        <v>0</v>
      </c>
      <c r="R904" t="s">
        <v>44907</v>
      </c>
      <c r="S904" t="s">
        <v>45026</v>
      </c>
      <c r="T904" t="s">
        <v>46410</v>
      </c>
      <c r="U904" t="s">
        <v>47704</v>
      </c>
      <c r="W904" t="s">
        <v>41169</v>
      </c>
      <c r="X904" t="s">
        <v>44908</v>
      </c>
    </row>
    <row r="905" spans="1:24">
      <c r="A905">
        <f>HYPERLINK("https://www.philgeps.gov.ph/GEPSNONPILOT/Tender/SplashBidNoticeAbstractUI.aspx?menuIndex=3&amp;refID=7082618&amp;Result=3","7082618")</f>
        <v>0</v>
      </c>
      <c r="B905" t="s">
        <v>397</v>
      </c>
      <c r="C905" t="s">
        <v>4396</v>
      </c>
      <c r="D905" t="s">
        <v>18151</v>
      </c>
      <c r="E905" t="s">
        <v>19040</v>
      </c>
      <c r="F905" t="s">
        <v>31362</v>
      </c>
      <c r="G905" t="s">
        <v>31369</v>
      </c>
      <c r="H905" t="s">
        <v>15799</v>
      </c>
      <c r="I905" t="s">
        <v>31409</v>
      </c>
      <c r="J905" t="s">
        <v>32208</v>
      </c>
      <c r="K905" t="s">
        <v>40662</v>
      </c>
      <c r="M905" t="s">
        <v>41345</v>
      </c>
      <c r="N905" t="s">
        <v>44905</v>
      </c>
      <c r="O905" t="s">
        <v>44906</v>
      </c>
      <c r="P905">
        <v>0</v>
      </c>
      <c r="Q905">
        <v>1</v>
      </c>
      <c r="R905" t="s">
        <v>44907</v>
      </c>
      <c r="S905" t="s">
        <v>45026</v>
      </c>
      <c r="T905" t="s">
        <v>46530</v>
      </c>
      <c r="U905" t="s">
        <v>47705</v>
      </c>
      <c r="V905" t="s">
        <v>59167</v>
      </c>
      <c r="W905" t="s">
        <v>60852</v>
      </c>
      <c r="X905" t="s">
        <v>44908</v>
      </c>
    </row>
    <row r="906" spans="1:24">
      <c r="A906">
        <f>HYPERLINK("https://www.philgeps.gov.ph/GEPSNONPILOT/Tender/SplashBidNoticeAbstractUI.aspx?menuIndex=3&amp;refID=7082616&amp;Result=3","7082616")</f>
        <v>0</v>
      </c>
      <c r="B906" t="s">
        <v>433</v>
      </c>
      <c r="C906" t="s">
        <v>4397</v>
      </c>
      <c r="D906" t="s">
        <v>18111</v>
      </c>
      <c r="E906" t="s">
        <v>19041</v>
      </c>
      <c r="F906" t="s">
        <v>31362</v>
      </c>
      <c r="G906" t="s">
        <v>31370</v>
      </c>
      <c r="H906" t="s">
        <v>15799</v>
      </c>
      <c r="I906" t="s">
        <v>3815</v>
      </c>
      <c r="J906" t="s">
        <v>31755</v>
      </c>
      <c r="K906" t="s">
        <v>40670</v>
      </c>
      <c r="M906" t="s">
        <v>41385</v>
      </c>
      <c r="N906" t="s">
        <v>44905</v>
      </c>
      <c r="O906" t="s">
        <v>44906</v>
      </c>
      <c r="P906">
        <v>0</v>
      </c>
      <c r="Q906">
        <v>0</v>
      </c>
      <c r="R906" t="s">
        <v>44907</v>
      </c>
      <c r="S906" t="s">
        <v>45026</v>
      </c>
      <c r="T906" t="s">
        <v>46416</v>
      </c>
      <c r="U906" t="s">
        <v>47706</v>
      </c>
      <c r="W906" t="s">
        <v>41385</v>
      </c>
      <c r="X906" t="s">
        <v>44908</v>
      </c>
    </row>
    <row r="907" spans="1:24">
      <c r="A907">
        <f>HYPERLINK("https://www.philgeps.gov.ph/GEPSNONPILOT/Tender/SplashBidNoticeAbstractUI.aspx?menuIndex=3&amp;refID=7082615&amp;Result=3","7082615")</f>
        <v>0</v>
      </c>
      <c r="B907" t="s">
        <v>91</v>
      </c>
      <c r="C907" t="s">
        <v>4174</v>
      </c>
      <c r="D907" t="s">
        <v>18136</v>
      </c>
      <c r="E907" t="s">
        <v>19042</v>
      </c>
      <c r="F907" t="s">
        <v>31362</v>
      </c>
      <c r="G907" t="s">
        <v>31370</v>
      </c>
      <c r="H907" t="s">
        <v>15799</v>
      </c>
      <c r="I907" t="s">
        <v>3815</v>
      </c>
      <c r="J907" t="s">
        <v>32209</v>
      </c>
      <c r="K907" t="s">
        <v>40661</v>
      </c>
      <c r="M907" t="s">
        <v>41028</v>
      </c>
      <c r="N907" t="s">
        <v>44905</v>
      </c>
      <c r="O907" t="s">
        <v>44906</v>
      </c>
      <c r="P907">
        <v>0</v>
      </c>
      <c r="Q907">
        <v>0</v>
      </c>
      <c r="R907" t="s">
        <v>44907</v>
      </c>
      <c r="S907" t="s">
        <v>45026</v>
      </c>
      <c r="T907" t="s">
        <v>46411</v>
      </c>
      <c r="U907" t="s">
        <v>47707</v>
      </c>
      <c r="W907" t="s">
        <v>41028</v>
      </c>
      <c r="X907" t="s">
        <v>44908</v>
      </c>
    </row>
    <row r="908" spans="1:24">
      <c r="A908">
        <f>HYPERLINK("https://www.philgeps.gov.ph/GEPSNONPILOT/Tender/SplashBidNoticeAbstractUI.aspx?menuIndex=3&amp;refID=7082604&amp;Result=3","7082604")</f>
        <v>0</v>
      </c>
      <c r="B908" t="s">
        <v>434</v>
      </c>
      <c r="C908" t="s">
        <v>4398</v>
      </c>
      <c r="D908" t="s">
        <v>18148</v>
      </c>
      <c r="E908" t="s">
        <v>19043</v>
      </c>
      <c r="F908" t="s">
        <v>31362</v>
      </c>
      <c r="G908" t="s">
        <v>31368</v>
      </c>
      <c r="H908" t="s">
        <v>31378</v>
      </c>
      <c r="I908" t="s">
        <v>31386</v>
      </c>
      <c r="J908" t="s">
        <v>32210</v>
      </c>
      <c r="K908" t="s">
        <v>40666</v>
      </c>
      <c r="M908" t="s">
        <v>41386</v>
      </c>
      <c r="N908" t="s">
        <v>44905</v>
      </c>
      <c r="O908" t="s">
        <v>44906</v>
      </c>
      <c r="P908">
        <v>0</v>
      </c>
      <c r="Q908">
        <v>0</v>
      </c>
      <c r="R908" t="s">
        <v>44907</v>
      </c>
      <c r="S908" t="s">
        <v>45026</v>
      </c>
      <c r="T908" t="s">
        <v>46408</v>
      </c>
      <c r="U908" t="s">
        <v>47708</v>
      </c>
      <c r="V908" t="s">
        <v>59168</v>
      </c>
      <c r="W908" t="s">
        <v>41386</v>
      </c>
      <c r="X908" t="s">
        <v>44908</v>
      </c>
    </row>
    <row r="909" spans="1:24">
      <c r="A909">
        <f>HYPERLINK("https://www.philgeps.gov.ph/GEPSNONPILOT/Tender/SplashBidNoticeAbstractUI.aspx?menuIndex=3&amp;refID=7082614&amp;Result=3","7082614")</f>
        <v>0</v>
      </c>
      <c r="B909" t="s">
        <v>435</v>
      </c>
      <c r="C909" t="s">
        <v>4399</v>
      </c>
      <c r="D909" t="s">
        <v>18169</v>
      </c>
      <c r="E909" t="s">
        <v>19044</v>
      </c>
      <c r="F909" t="s">
        <v>31362</v>
      </c>
      <c r="G909" t="s">
        <v>31370</v>
      </c>
      <c r="H909" t="s">
        <v>15799</v>
      </c>
      <c r="I909" t="s">
        <v>31421</v>
      </c>
      <c r="J909" t="s">
        <v>31597</v>
      </c>
      <c r="K909" t="s">
        <v>40715</v>
      </c>
      <c r="M909" t="s">
        <v>41387</v>
      </c>
      <c r="N909" t="s">
        <v>44905</v>
      </c>
      <c r="O909" t="s">
        <v>44906</v>
      </c>
      <c r="P909">
        <v>0</v>
      </c>
      <c r="Q909">
        <v>1</v>
      </c>
      <c r="R909" t="s">
        <v>44907</v>
      </c>
      <c r="S909" t="s">
        <v>45026</v>
      </c>
      <c r="T909" t="s">
        <v>46409</v>
      </c>
      <c r="U909" t="s">
        <v>47709</v>
      </c>
      <c r="W909" t="s">
        <v>60854</v>
      </c>
      <c r="X909" t="s">
        <v>44908</v>
      </c>
    </row>
    <row r="910" spans="1:24">
      <c r="A910">
        <f>HYPERLINK("https://www.philgeps.gov.ph/GEPSNONPILOT/Tender/SplashBidNoticeAbstractUI.aspx?menuIndex=3&amp;refID=7082612&amp;Result=3","7082612")</f>
        <v>0</v>
      </c>
      <c r="B910" t="s">
        <v>436</v>
      </c>
      <c r="C910" t="s">
        <v>4400</v>
      </c>
      <c r="D910" t="s">
        <v>18158</v>
      </c>
      <c r="E910" t="s">
        <v>19045</v>
      </c>
      <c r="F910" t="s">
        <v>31362</v>
      </c>
      <c r="G910" t="s">
        <v>31369</v>
      </c>
      <c r="H910" t="s">
        <v>15799</v>
      </c>
      <c r="I910" t="s">
        <v>7188</v>
      </c>
      <c r="J910" t="s">
        <v>32211</v>
      </c>
      <c r="K910" t="s">
        <v>40665</v>
      </c>
      <c r="L910" t="s">
        <v>436</v>
      </c>
      <c r="M910" t="s">
        <v>41388</v>
      </c>
      <c r="N910" t="s">
        <v>44905</v>
      </c>
      <c r="O910" t="s">
        <v>44906</v>
      </c>
      <c r="P910">
        <v>0</v>
      </c>
      <c r="Q910">
        <v>3</v>
      </c>
      <c r="R910" t="s">
        <v>44907</v>
      </c>
      <c r="S910" t="s">
        <v>45026</v>
      </c>
      <c r="T910" t="s">
        <v>46533</v>
      </c>
      <c r="U910" t="s">
        <v>47710</v>
      </c>
      <c r="V910" t="s">
        <v>55485</v>
      </c>
      <c r="W910" t="s">
        <v>41388</v>
      </c>
      <c r="X910" t="s">
        <v>44908</v>
      </c>
    </row>
    <row r="911" spans="1:24">
      <c r="A911">
        <f>HYPERLINK("https://www.philgeps.gov.ph/GEPSNONPILOT/Tender/SplashBidNoticeAbstractUI.aspx?menuIndex=3&amp;refID=7082592&amp;Result=3","7082592")</f>
        <v>0</v>
      </c>
      <c r="B911" t="s">
        <v>175</v>
      </c>
      <c r="C911" t="s">
        <v>4401</v>
      </c>
      <c r="D911" t="s">
        <v>18153</v>
      </c>
      <c r="E911" t="s">
        <v>18728</v>
      </c>
      <c r="F911" t="s">
        <v>31362</v>
      </c>
      <c r="G911" t="s">
        <v>31368</v>
      </c>
      <c r="H911" t="s">
        <v>15799</v>
      </c>
      <c r="I911" t="s">
        <v>31387</v>
      </c>
      <c r="J911" t="s">
        <v>32212</v>
      </c>
      <c r="K911" t="s">
        <v>40661</v>
      </c>
      <c r="L911" t="s">
        <v>175</v>
      </c>
      <c r="M911" t="s">
        <v>41113</v>
      </c>
      <c r="N911" t="s">
        <v>44905</v>
      </c>
      <c r="O911" t="s">
        <v>44906</v>
      </c>
      <c r="P911">
        <v>0</v>
      </c>
      <c r="Q911">
        <v>0</v>
      </c>
      <c r="R911" t="s">
        <v>44907</v>
      </c>
      <c r="S911" t="s">
        <v>45026</v>
      </c>
      <c r="T911" t="s">
        <v>46507</v>
      </c>
      <c r="U911" t="s">
        <v>47711</v>
      </c>
      <c r="V911" t="s">
        <v>59090</v>
      </c>
      <c r="W911" t="s">
        <v>41113</v>
      </c>
      <c r="X911" t="s">
        <v>44908</v>
      </c>
    </row>
    <row r="912" spans="1:24">
      <c r="A912">
        <f>HYPERLINK("https://www.philgeps.gov.ph/GEPSNONPILOT/Tender/SplashBidNoticeAbstractUI.aspx?menuIndex=3&amp;refID=7082610&amp;Result=3","7082610")</f>
        <v>0</v>
      </c>
      <c r="B912" t="s">
        <v>414</v>
      </c>
      <c r="C912" t="s">
        <v>4402</v>
      </c>
      <c r="E912" t="s">
        <v>19046</v>
      </c>
      <c r="F912" t="s">
        <v>31362</v>
      </c>
      <c r="G912" t="s">
        <v>31368</v>
      </c>
      <c r="H912" t="s">
        <v>15799</v>
      </c>
      <c r="I912" t="s">
        <v>4057</v>
      </c>
      <c r="J912" t="s">
        <v>31939</v>
      </c>
      <c r="K912" t="s">
        <v>40662</v>
      </c>
      <c r="M912" t="s">
        <v>41364</v>
      </c>
      <c r="N912" t="s">
        <v>44905</v>
      </c>
      <c r="O912" t="s">
        <v>44906</v>
      </c>
      <c r="P912">
        <v>0</v>
      </c>
      <c r="Q912">
        <v>1</v>
      </c>
      <c r="R912" t="s">
        <v>44907</v>
      </c>
      <c r="S912" t="s">
        <v>45026</v>
      </c>
      <c r="T912" t="s">
        <v>46438</v>
      </c>
      <c r="U912" t="s">
        <v>47665</v>
      </c>
      <c r="W912" t="s">
        <v>41364</v>
      </c>
      <c r="X912" t="s">
        <v>44908</v>
      </c>
    </row>
    <row r="913" spans="1:24">
      <c r="A913">
        <f>HYPERLINK("https://www.philgeps.gov.ph/GEPSNONPILOT/Tender/SplashBidNoticeAbstractUI.aspx?menuIndex=3&amp;refID=7082585&amp;Result=3","7082585")</f>
        <v>0</v>
      </c>
      <c r="B913" t="s">
        <v>192</v>
      </c>
      <c r="C913" t="s">
        <v>4403</v>
      </c>
      <c r="D913" t="s">
        <v>18122</v>
      </c>
      <c r="E913" t="s">
        <v>19047</v>
      </c>
      <c r="F913" t="s">
        <v>31362</v>
      </c>
      <c r="G913" t="s">
        <v>31368</v>
      </c>
      <c r="H913" t="s">
        <v>15799</v>
      </c>
      <c r="I913" t="s">
        <v>4283</v>
      </c>
      <c r="J913" t="s">
        <v>32213</v>
      </c>
      <c r="K913" t="s">
        <v>40662</v>
      </c>
      <c r="M913" t="s">
        <v>41130</v>
      </c>
      <c r="N913" t="s">
        <v>44905</v>
      </c>
      <c r="O913" t="s">
        <v>44906</v>
      </c>
      <c r="P913">
        <v>0</v>
      </c>
      <c r="Q913">
        <v>3</v>
      </c>
      <c r="R913" t="s">
        <v>44907</v>
      </c>
      <c r="S913" t="s">
        <v>45026</v>
      </c>
      <c r="T913" t="s">
        <v>46412</v>
      </c>
      <c r="U913" t="s">
        <v>47244</v>
      </c>
      <c r="V913" t="s">
        <v>59169</v>
      </c>
      <c r="W913" t="s">
        <v>41130</v>
      </c>
      <c r="X913" t="s">
        <v>44908</v>
      </c>
    </row>
    <row r="914" spans="1:24">
      <c r="A914">
        <f>HYPERLINK("https://www.philgeps.gov.ph/GEPSNONPILOT/Tender/SplashBidNoticeAbstractUI.aspx?menuIndex=3&amp;refID=7082622&amp;Result=3","7082622")</f>
        <v>0</v>
      </c>
      <c r="B914" t="s">
        <v>437</v>
      </c>
      <c r="C914" t="s">
        <v>4404</v>
      </c>
      <c r="D914" t="s">
        <v>18108</v>
      </c>
      <c r="E914" t="s">
        <v>19048</v>
      </c>
      <c r="F914" t="s">
        <v>31362</v>
      </c>
      <c r="G914" t="s">
        <v>31368</v>
      </c>
      <c r="H914" t="s">
        <v>15799</v>
      </c>
      <c r="I914" t="s">
        <v>31417</v>
      </c>
      <c r="J914" t="s">
        <v>32214</v>
      </c>
      <c r="K914" t="s">
        <v>40666</v>
      </c>
      <c r="M914" t="s">
        <v>41389</v>
      </c>
      <c r="N914" t="s">
        <v>44905</v>
      </c>
      <c r="O914" t="s">
        <v>44906</v>
      </c>
      <c r="P914">
        <v>0</v>
      </c>
      <c r="Q914">
        <v>0</v>
      </c>
      <c r="R914" t="s">
        <v>44907</v>
      </c>
      <c r="S914" t="s">
        <v>45026</v>
      </c>
      <c r="T914" t="s">
        <v>46410</v>
      </c>
      <c r="U914" t="s">
        <v>47712</v>
      </c>
      <c r="V914" t="s">
        <v>59170</v>
      </c>
      <c r="W914" t="s">
        <v>41389</v>
      </c>
      <c r="X914" t="s">
        <v>44908</v>
      </c>
    </row>
    <row r="915" spans="1:24">
      <c r="A915">
        <f>HYPERLINK("https://www.philgeps.gov.ph/GEPSNONPILOT/Tender/SplashBidNoticeAbstractUI.aspx?menuIndex=3&amp;refID=7082620&amp;Result=3","7082620")</f>
        <v>0</v>
      </c>
      <c r="B915" t="s">
        <v>411</v>
      </c>
      <c r="C915" t="s">
        <v>4405</v>
      </c>
      <c r="D915" t="s">
        <v>18148</v>
      </c>
      <c r="E915" t="s">
        <v>19049</v>
      </c>
      <c r="F915" t="s">
        <v>31362</v>
      </c>
      <c r="G915" t="s">
        <v>31370</v>
      </c>
      <c r="H915" t="s">
        <v>15799</v>
      </c>
      <c r="I915" t="s">
        <v>6240</v>
      </c>
      <c r="J915" t="s">
        <v>32215</v>
      </c>
      <c r="K915" t="s">
        <v>40662</v>
      </c>
      <c r="M915" t="s">
        <v>41361</v>
      </c>
      <c r="N915" t="s">
        <v>44905</v>
      </c>
      <c r="O915" t="s">
        <v>44906</v>
      </c>
      <c r="P915">
        <v>0</v>
      </c>
      <c r="Q915">
        <v>0</v>
      </c>
      <c r="R915" t="s">
        <v>44907</v>
      </c>
      <c r="S915" t="s">
        <v>45026</v>
      </c>
      <c r="T915" t="s">
        <v>46409</v>
      </c>
      <c r="U915" t="s">
        <v>47713</v>
      </c>
      <c r="W915" t="s">
        <v>41361</v>
      </c>
      <c r="X915" t="s">
        <v>44908</v>
      </c>
    </row>
    <row r="916" spans="1:24">
      <c r="A916">
        <f>HYPERLINK("https://www.philgeps.gov.ph/GEPSNONPILOT/Tender/SplashBidNoticeAbstractUI.aspx?menuIndex=3&amp;refID=7082659&amp;Result=3","7082659")</f>
        <v>0</v>
      </c>
      <c r="B916" t="s">
        <v>411</v>
      </c>
      <c r="C916" t="s">
        <v>4406</v>
      </c>
      <c r="D916" t="s">
        <v>18148</v>
      </c>
      <c r="E916" t="s">
        <v>19050</v>
      </c>
      <c r="F916" t="s">
        <v>31362</v>
      </c>
      <c r="G916" t="s">
        <v>31370</v>
      </c>
      <c r="H916" t="s">
        <v>15799</v>
      </c>
      <c r="I916" t="s">
        <v>31393</v>
      </c>
      <c r="J916" t="s">
        <v>32216</v>
      </c>
      <c r="K916" t="s">
        <v>40662</v>
      </c>
      <c r="M916" t="s">
        <v>41361</v>
      </c>
      <c r="N916" t="s">
        <v>44905</v>
      </c>
      <c r="O916" t="s">
        <v>44906</v>
      </c>
      <c r="P916">
        <v>0</v>
      </c>
      <c r="Q916">
        <v>0</v>
      </c>
      <c r="R916" t="s">
        <v>44907</v>
      </c>
      <c r="S916" t="s">
        <v>45026</v>
      </c>
      <c r="T916" t="s">
        <v>46409</v>
      </c>
      <c r="U916" t="s">
        <v>47714</v>
      </c>
      <c r="W916" t="s">
        <v>41361</v>
      </c>
      <c r="X916" t="s">
        <v>44908</v>
      </c>
    </row>
    <row r="917" spans="1:24">
      <c r="A917">
        <f>HYPERLINK("https://www.philgeps.gov.ph/GEPSNONPILOT/Tender/SplashBidNoticeAbstractUI.aspx?menuIndex=3&amp;refID=7082657&amp;Result=3","7082657")</f>
        <v>0</v>
      </c>
      <c r="B917" t="s">
        <v>68</v>
      </c>
      <c r="C917" t="s">
        <v>4407</v>
      </c>
      <c r="D917" t="s">
        <v>18117</v>
      </c>
      <c r="E917" t="s">
        <v>19051</v>
      </c>
      <c r="F917" t="s">
        <v>31362</v>
      </c>
      <c r="G917" t="s">
        <v>31368</v>
      </c>
      <c r="H917" t="s">
        <v>15799</v>
      </c>
      <c r="I917" t="s">
        <v>31458</v>
      </c>
      <c r="J917" t="s">
        <v>32217</v>
      </c>
      <c r="K917" t="s">
        <v>40661</v>
      </c>
      <c r="M917" t="s">
        <v>41004</v>
      </c>
      <c r="N917" t="s">
        <v>44905</v>
      </c>
      <c r="O917" t="s">
        <v>44906</v>
      </c>
      <c r="P917">
        <v>0</v>
      </c>
      <c r="Q917">
        <v>3</v>
      </c>
      <c r="R917" t="s">
        <v>44907</v>
      </c>
      <c r="S917" t="s">
        <v>45026</v>
      </c>
      <c r="T917" t="s">
        <v>46426</v>
      </c>
      <c r="U917" t="s">
        <v>47021</v>
      </c>
      <c r="W917" t="s">
        <v>41004</v>
      </c>
      <c r="X917" t="s">
        <v>44908</v>
      </c>
    </row>
    <row r="918" spans="1:24">
      <c r="A918">
        <f>HYPERLINK("https://www.philgeps.gov.ph/GEPSNONPILOT/Tender/SplashBidNoticeAbstractUI.aspx?menuIndex=3&amp;refID=7082652&amp;Result=3","7082652")</f>
        <v>0</v>
      </c>
      <c r="B918" t="s">
        <v>438</v>
      </c>
      <c r="C918" t="s">
        <v>4408</v>
      </c>
      <c r="D918" t="s">
        <v>18159</v>
      </c>
      <c r="E918" t="s">
        <v>19052</v>
      </c>
      <c r="F918" t="s">
        <v>31362</v>
      </c>
      <c r="G918" t="s">
        <v>31368</v>
      </c>
      <c r="H918" t="s">
        <v>15799</v>
      </c>
      <c r="I918" t="s">
        <v>31397</v>
      </c>
      <c r="J918" t="s">
        <v>32218</v>
      </c>
      <c r="K918" t="s">
        <v>40666</v>
      </c>
      <c r="M918" t="s">
        <v>41390</v>
      </c>
      <c r="N918" t="s">
        <v>44905</v>
      </c>
      <c r="O918" t="s">
        <v>44906</v>
      </c>
      <c r="P918">
        <v>0</v>
      </c>
      <c r="Q918">
        <v>1</v>
      </c>
      <c r="R918" t="s">
        <v>44907</v>
      </c>
      <c r="S918" t="s">
        <v>45026</v>
      </c>
      <c r="T918" t="s">
        <v>46534</v>
      </c>
      <c r="U918" t="s">
        <v>47715</v>
      </c>
      <c r="W918" t="s">
        <v>41390</v>
      </c>
      <c r="X918" t="s">
        <v>44908</v>
      </c>
    </row>
    <row r="919" spans="1:24">
      <c r="A919">
        <f>HYPERLINK("https://www.philgeps.gov.ph/GEPSNONPILOT/Tender/SplashBidNoticeAbstractUI.aspx?menuIndex=3&amp;refID=7082651&amp;Result=3","7082651")</f>
        <v>0</v>
      </c>
      <c r="B919" t="s">
        <v>439</v>
      </c>
      <c r="C919" t="s">
        <v>4409</v>
      </c>
      <c r="D919" t="s">
        <v>18115</v>
      </c>
      <c r="E919" t="s">
        <v>19053</v>
      </c>
      <c r="F919" t="s">
        <v>31362</v>
      </c>
      <c r="G919" t="s">
        <v>31368</v>
      </c>
      <c r="H919" t="s">
        <v>15799</v>
      </c>
      <c r="I919" t="s">
        <v>31422</v>
      </c>
      <c r="J919" t="s">
        <v>31536</v>
      </c>
      <c r="K919" t="s">
        <v>40666</v>
      </c>
      <c r="M919" t="s">
        <v>41391</v>
      </c>
      <c r="N919" t="s">
        <v>44905</v>
      </c>
      <c r="O919" t="s">
        <v>44906</v>
      </c>
      <c r="P919">
        <v>0</v>
      </c>
      <c r="Q919">
        <v>1</v>
      </c>
      <c r="R919" t="s">
        <v>44907</v>
      </c>
      <c r="S919" t="s">
        <v>45026</v>
      </c>
      <c r="T919" t="s">
        <v>46414</v>
      </c>
      <c r="U919" t="s">
        <v>47716</v>
      </c>
      <c r="W919" t="s">
        <v>41391</v>
      </c>
      <c r="X919" t="s">
        <v>44908</v>
      </c>
    </row>
    <row r="920" spans="1:24">
      <c r="A920">
        <f>HYPERLINK("https://www.philgeps.gov.ph/GEPSNONPILOT/Tender/SplashBidNoticeAbstractUI.aspx?menuIndex=3&amp;refID=7082650&amp;Result=3","7082650")</f>
        <v>0</v>
      </c>
      <c r="B920" t="s">
        <v>117</v>
      </c>
      <c r="C920" t="s">
        <v>4410</v>
      </c>
      <c r="D920" t="s">
        <v>18104</v>
      </c>
      <c r="E920" t="s">
        <v>19054</v>
      </c>
      <c r="F920" t="s">
        <v>31362</v>
      </c>
      <c r="G920" t="s">
        <v>31368</v>
      </c>
      <c r="H920" t="s">
        <v>31377</v>
      </c>
      <c r="I920" t="s">
        <v>31377</v>
      </c>
      <c r="J920" t="s">
        <v>32219</v>
      </c>
      <c r="K920" t="s">
        <v>40662</v>
      </c>
      <c r="M920" t="s">
        <v>41054</v>
      </c>
      <c r="N920" t="s">
        <v>44905</v>
      </c>
      <c r="O920" t="s">
        <v>44906</v>
      </c>
      <c r="P920">
        <v>0</v>
      </c>
      <c r="Q920">
        <v>1</v>
      </c>
      <c r="R920" t="s">
        <v>44907</v>
      </c>
      <c r="S920" t="s">
        <v>45026</v>
      </c>
      <c r="T920" t="s">
        <v>46403</v>
      </c>
      <c r="U920" t="s">
        <v>47717</v>
      </c>
      <c r="W920" t="s">
        <v>41054</v>
      </c>
      <c r="X920" t="s">
        <v>44908</v>
      </c>
    </row>
    <row r="921" spans="1:24">
      <c r="A921">
        <f>HYPERLINK("https://www.philgeps.gov.ph/GEPSNONPILOT/Tender/SplashBidNoticeAbstractUI.aspx?menuIndex=3&amp;refID=7082649&amp;Result=3","7082649")</f>
        <v>0</v>
      </c>
      <c r="B921" t="s">
        <v>214</v>
      </c>
      <c r="C921" t="s">
        <v>4411</v>
      </c>
      <c r="D921" t="s">
        <v>18158</v>
      </c>
      <c r="E921" t="s">
        <v>19055</v>
      </c>
      <c r="F921" t="s">
        <v>31362</v>
      </c>
      <c r="G921" t="s">
        <v>31368</v>
      </c>
      <c r="H921" t="s">
        <v>15799</v>
      </c>
      <c r="I921" t="s">
        <v>31396</v>
      </c>
      <c r="J921" t="s">
        <v>32220</v>
      </c>
      <c r="K921" t="s">
        <v>40682</v>
      </c>
      <c r="M921" t="s">
        <v>41153</v>
      </c>
      <c r="N921" t="s">
        <v>44905</v>
      </c>
      <c r="O921" t="s">
        <v>44906</v>
      </c>
      <c r="P921">
        <v>0</v>
      </c>
      <c r="Q921">
        <v>1</v>
      </c>
      <c r="R921" t="s">
        <v>44907</v>
      </c>
      <c r="S921" t="s">
        <v>45026</v>
      </c>
      <c r="T921" t="s">
        <v>46497</v>
      </c>
      <c r="U921" t="s">
        <v>47718</v>
      </c>
      <c r="W921" t="s">
        <v>41153</v>
      </c>
      <c r="X921" t="s">
        <v>44908</v>
      </c>
    </row>
    <row r="922" spans="1:24">
      <c r="A922">
        <f>HYPERLINK("https://www.philgeps.gov.ph/GEPSNONPILOT/Tender/SplashBidNoticeAbstractUI.aspx?menuIndex=3&amp;refID=7082648&amp;Result=3","7082648")</f>
        <v>0</v>
      </c>
      <c r="B922" t="s">
        <v>365</v>
      </c>
      <c r="C922" t="s">
        <v>4412</v>
      </c>
      <c r="D922" t="s">
        <v>18126</v>
      </c>
      <c r="E922" t="s">
        <v>19056</v>
      </c>
      <c r="F922" t="s">
        <v>31362</v>
      </c>
      <c r="G922" t="s">
        <v>31369</v>
      </c>
      <c r="H922" t="s">
        <v>15799</v>
      </c>
      <c r="I922" t="s">
        <v>31414</v>
      </c>
      <c r="J922" t="s">
        <v>32221</v>
      </c>
      <c r="K922" t="s">
        <v>40682</v>
      </c>
      <c r="M922" t="s">
        <v>41312</v>
      </c>
      <c r="N922" t="s">
        <v>44905</v>
      </c>
      <c r="O922" t="s">
        <v>44906</v>
      </c>
      <c r="P922">
        <v>0</v>
      </c>
      <c r="Q922">
        <v>1</v>
      </c>
      <c r="R922" t="s">
        <v>44907</v>
      </c>
      <c r="S922" t="s">
        <v>45026</v>
      </c>
      <c r="T922" t="s">
        <v>46431</v>
      </c>
      <c r="U922" t="s">
        <v>47550</v>
      </c>
      <c r="V922" t="s">
        <v>59160</v>
      </c>
      <c r="W922" t="s">
        <v>41312</v>
      </c>
      <c r="X922" t="s">
        <v>44908</v>
      </c>
    </row>
    <row r="923" spans="1:24">
      <c r="A923">
        <f>HYPERLINK("https://www.philgeps.gov.ph/GEPSNONPILOT/Tender/SplashBidNoticeAbstractUI.aspx?menuIndex=3&amp;refID=7082647&amp;Result=3","7082647")</f>
        <v>0</v>
      </c>
      <c r="B923" t="s">
        <v>413</v>
      </c>
      <c r="C923" t="s">
        <v>4413</v>
      </c>
      <c r="D923" t="s">
        <v>18127</v>
      </c>
      <c r="E923" t="s">
        <v>19057</v>
      </c>
      <c r="F923" t="s">
        <v>31362</v>
      </c>
      <c r="G923" t="s">
        <v>31371</v>
      </c>
      <c r="H923" t="s">
        <v>15799</v>
      </c>
      <c r="I923" t="s">
        <v>31384</v>
      </c>
      <c r="J923" t="s">
        <v>31921</v>
      </c>
      <c r="K923" t="s">
        <v>40697</v>
      </c>
      <c r="M923" t="s">
        <v>41363</v>
      </c>
      <c r="N923" t="s">
        <v>44905</v>
      </c>
      <c r="O923" t="s">
        <v>44906</v>
      </c>
      <c r="P923">
        <v>0</v>
      </c>
      <c r="Q923">
        <v>1</v>
      </c>
      <c r="R923" t="s">
        <v>44907</v>
      </c>
      <c r="S923" t="s">
        <v>45026</v>
      </c>
      <c r="T923" t="s">
        <v>46393</v>
      </c>
      <c r="U923" t="s">
        <v>47719</v>
      </c>
      <c r="W923" t="s">
        <v>41363</v>
      </c>
      <c r="X923" t="s">
        <v>44908</v>
      </c>
    </row>
    <row r="924" spans="1:24">
      <c r="A924">
        <f>HYPERLINK("https://www.philgeps.gov.ph/GEPSNONPILOT/Tender/SplashBidNoticeAbstractUI.aspx?menuIndex=3&amp;refID=7082646&amp;Result=3","7082646")</f>
        <v>0</v>
      </c>
      <c r="B924" t="s">
        <v>440</v>
      </c>
      <c r="C924" t="s">
        <v>4414</v>
      </c>
      <c r="D924" t="s">
        <v>18154</v>
      </c>
      <c r="E924" t="s">
        <v>19058</v>
      </c>
      <c r="F924" t="s">
        <v>31362</v>
      </c>
      <c r="G924" t="s">
        <v>31368</v>
      </c>
      <c r="H924" t="s">
        <v>15799</v>
      </c>
      <c r="I924" t="s">
        <v>31404</v>
      </c>
      <c r="J924" t="s">
        <v>32222</v>
      </c>
      <c r="K924" t="s">
        <v>40662</v>
      </c>
      <c r="M924" t="s">
        <v>41392</v>
      </c>
      <c r="N924" t="s">
        <v>44905</v>
      </c>
      <c r="O924" t="s">
        <v>44906</v>
      </c>
      <c r="P924">
        <v>0</v>
      </c>
      <c r="Q924">
        <v>0</v>
      </c>
      <c r="R924" t="s">
        <v>44907</v>
      </c>
      <c r="S924" t="s">
        <v>45026</v>
      </c>
      <c r="T924" t="s">
        <v>46447</v>
      </c>
      <c r="U924" t="s">
        <v>47720</v>
      </c>
      <c r="W924" t="s">
        <v>41392</v>
      </c>
      <c r="X924" t="s">
        <v>44908</v>
      </c>
    </row>
    <row r="925" spans="1:24">
      <c r="A925">
        <f>HYPERLINK("https://www.philgeps.gov.ph/GEPSNONPILOT/Tender/SplashBidNoticeAbstractUI.aspx?menuIndex=3&amp;refID=7082645&amp;Result=3","7082645")</f>
        <v>0</v>
      </c>
      <c r="B925" t="s">
        <v>54</v>
      </c>
      <c r="C925" t="s">
        <v>4415</v>
      </c>
      <c r="E925" t="s">
        <v>19059</v>
      </c>
      <c r="F925" t="s">
        <v>31362</v>
      </c>
      <c r="G925" t="s">
        <v>31368</v>
      </c>
      <c r="H925" t="s">
        <v>15799</v>
      </c>
      <c r="I925" t="s">
        <v>4283</v>
      </c>
      <c r="J925" t="s">
        <v>32223</v>
      </c>
      <c r="K925" t="s">
        <v>40670</v>
      </c>
      <c r="M925" t="s">
        <v>41393</v>
      </c>
      <c r="N925" t="s">
        <v>44905</v>
      </c>
      <c r="O925" t="s">
        <v>44906</v>
      </c>
      <c r="P925">
        <v>0</v>
      </c>
      <c r="Q925">
        <v>3</v>
      </c>
      <c r="R925" t="s">
        <v>44907</v>
      </c>
      <c r="S925" t="s">
        <v>45026</v>
      </c>
      <c r="T925" t="s">
        <v>46412</v>
      </c>
      <c r="U925" t="s">
        <v>47721</v>
      </c>
      <c r="V925" t="s">
        <v>59066</v>
      </c>
      <c r="W925" t="s">
        <v>41393</v>
      </c>
      <c r="X925" t="s">
        <v>44908</v>
      </c>
    </row>
    <row r="926" spans="1:24">
      <c r="A926">
        <f>HYPERLINK("https://www.philgeps.gov.ph/GEPSNONPILOT/Tender/SplashBidNoticeAbstractUI.aspx?menuIndex=3&amp;refID=7082655&amp;Result=3","7082655")</f>
        <v>0</v>
      </c>
      <c r="B926" t="s">
        <v>134</v>
      </c>
      <c r="C926" t="s">
        <v>4416</v>
      </c>
      <c r="D926" t="s">
        <v>18108</v>
      </c>
      <c r="E926" t="s">
        <v>19060</v>
      </c>
      <c r="F926" t="s">
        <v>31362</v>
      </c>
      <c r="G926" t="s">
        <v>31369</v>
      </c>
      <c r="H926" t="s">
        <v>15799</v>
      </c>
      <c r="I926" t="s">
        <v>7719</v>
      </c>
      <c r="J926" t="s">
        <v>32224</v>
      </c>
      <c r="K926" t="s">
        <v>40662</v>
      </c>
      <c r="L926" t="s">
        <v>134</v>
      </c>
      <c r="M926" t="s">
        <v>41370</v>
      </c>
      <c r="N926" t="s">
        <v>44905</v>
      </c>
      <c r="O926" t="s">
        <v>44906</v>
      </c>
      <c r="P926">
        <v>0</v>
      </c>
      <c r="Q926">
        <v>10</v>
      </c>
      <c r="R926" t="s">
        <v>44907</v>
      </c>
      <c r="S926" t="s">
        <v>45026</v>
      </c>
      <c r="T926" t="s">
        <v>46431</v>
      </c>
      <c r="U926" t="s">
        <v>47674</v>
      </c>
      <c r="W926" t="s">
        <v>41370</v>
      </c>
      <c r="X926" t="s">
        <v>44908</v>
      </c>
    </row>
    <row r="927" spans="1:24">
      <c r="A927">
        <f>HYPERLINK("https://www.philgeps.gov.ph/GEPSNONPILOT/Tender/SplashBidNoticeAbstractUI.aspx?menuIndex=3&amp;refID=7082643&amp;Result=3","7082643")</f>
        <v>0</v>
      </c>
      <c r="B927" t="s">
        <v>191</v>
      </c>
      <c r="C927" t="s">
        <v>4417</v>
      </c>
      <c r="D927" t="s">
        <v>18154</v>
      </c>
      <c r="E927" t="s">
        <v>19061</v>
      </c>
      <c r="F927" t="s">
        <v>31362</v>
      </c>
      <c r="G927" t="s">
        <v>31370</v>
      </c>
      <c r="H927" t="s">
        <v>15799</v>
      </c>
      <c r="I927" t="s">
        <v>31393</v>
      </c>
      <c r="J927" t="s">
        <v>32225</v>
      </c>
      <c r="K927" t="s">
        <v>40661</v>
      </c>
      <c r="M927" t="s">
        <v>41129</v>
      </c>
      <c r="N927" t="s">
        <v>44905</v>
      </c>
      <c r="O927" t="s">
        <v>44906</v>
      </c>
      <c r="P927">
        <v>0</v>
      </c>
      <c r="Q927">
        <v>0</v>
      </c>
      <c r="R927" t="s">
        <v>44907</v>
      </c>
      <c r="S927" t="s">
        <v>45026</v>
      </c>
      <c r="T927" t="s">
        <v>46434</v>
      </c>
      <c r="U927" t="s">
        <v>47722</v>
      </c>
      <c r="W927" t="s">
        <v>41129</v>
      </c>
      <c r="X927" t="s">
        <v>44908</v>
      </c>
    </row>
    <row r="928" spans="1:24">
      <c r="A928">
        <f>HYPERLINK("https://www.philgeps.gov.ph/GEPSNONPILOT/Tender/SplashBidNoticeAbstractUI.aspx?menuIndex=3&amp;refID=7082587&amp;Result=3","7082587")</f>
        <v>0</v>
      </c>
      <c r="B928" t="s">
        <v>91</v>
      </c>
      <c r="C928" t="s">
        <v>4418</v>
      </c>
      <c r="D928" t="s">
        <v>18136</v>
      </c>
      <c r="E928" t="s">
        <v>19062</v>
      </c>
      <c r="F928" t="s">
        <v>31362</v>
      </c>
      <c r="G928" t="s">
        <v>31370</v>
      </c>
      <c r="H928" t="s">
        <v>15799</v>
      </c>
      <c r="I928" t="s">
        <v>7090</v>
      </c>
      <c r="J928" t="s">
        <v>32226</v>
      </c>
      <c r="K928" t="s">
        <v>40661</v>
      </c>
      <c r="M928" t="s">
        <v>41028</v>
      </c>
      <c r="N928" t="s">
        <v>44905</v>
      </c>
      <c r="O928" t="s">
        <v>44906</v>
      </c>
      <c r="P928">
        <v>0</v>
      </c>
      <c r="Q928">
        <v>0</v>
      </c>
      <c r="R928" t="s">
        <v>44907</v>
      </c>
      <c r="S928" t="s">
        <v>45026</v>
      </c>
      <c r="T928" t="s">
        <v>46411</v>
      </c>
      <c r="U928" t="s">
        <v>47723</v>
      </c>
      <c r="W928" t="s">
        <v>41028</v>
      </c>
      <c r="X928" t="s">
        <v>44908</v>
      </c>
    </row>
    <row r="929" spans="1:24">
      <c r="A929">
        <f>HYPERLINK("https://www.philgeps.gov.ph/GEPSNONPILOT/Tender/SplashBidNoticeAbstractUI.aspx?menuIndex=3&amp;refID=7082642&amp;Result=3","7082642")</f>
        <v>0</v>
      </c>
      <c r="B929" t="s">
        <v>441</v>
      </c>
      <c r="C929" t="s">
        <v>4419</v>
      </c>
      <c r="D929" t="s">
        <v>18158</v>
      </c>
      <c r="E929" t="s">
        <v>19063</v>
      </c>
      <c r="F929" t="s">
        <v>31362</v>
      </c>
      <c r="G929" t="s">
        <v>31370</v>
      </c>
      <c r="H929" t="s">
        <v>15799</v>
      </c>
      <c r="I929" t="s">
        <v>31429</v>
      </c>
      <c r="J929" t="s">
        <v>31806</v>
      </c>
      <c r="K929" t="s">
        <v>40697</v>
      </c>
      <c r="M929" t="s">
        <v>41394</v>
      </c>
      <c r="N929" t="s">
        <v>44905</v>
      </c>
      <c r="O929" t="s">
        <v>44906</v>
      </c>
      <c r="P929">
        <v>0</v>
      </c>
      <c r="Q929">
        <v>2</v>
      </c>
      <c r="R929" t="s">
        <v>44907</v>
      </c>
      <c r="S929" t="s">
        <v>45026</v>
      </c>
      <c r="T929" t="s">
        <v>46409</v>
      </c>
      <c r="U929" t="s">
        <v>47724</v>
      </c>
      <c r="W929" t="s">
        <v>41394</v>
      </c>
      <c r="X929" t="s">
        <v>44908</v>
      </c>
    </row>
    <row r="930" spans="1:24">
      <c r="A930">
        <f>HYPERLINK("https://www.philgeps.gov.ph/GEPSNONPILOT/Tender/SplashBidNoticeAbstractUI.aspx?menuIndex=3&amp;refID=7082664&amp;Result=3","7082664")</f>
        <v>0</v>
      </c>
      <c r="B930" t="s">
        <v>442</v>
      </c>
      <c r="C930" t="s">
        <v>4420</v>
      </c>
      <c r="D930" t="s">
        <v>18180</v>
      </c>
      <c r="E930" t="s">
        <v>19064</v>
      </c>
      <c r="F930" t="s">
        <v>31362</v>
      </c>
      <c r="G930" t="s">
        <v>31369</v>
      </c>
      <c r="H930" t="s">
        <v>15799</v>
      </c>
      <c r="I930" t="s">
        <v>31382</v>
      </c>
      <c r="J930" t="s">
        <v>32227</v>
      </c>
      <c r="K930" t="s">
        <v>40682</v>
      </c>
      <c r="M930" t="s">
        <v>41395</v>
      </c>
      <c r="N930" t="s">
        <v>44905</v>
      </c>
      <c r="O930" t="s">
        <v>44906</v>
      </c>
      <c r="P930">
        <v>0</v>
      </c>
      <c r="Q930">
        <v>19</v>
      </c>
      <c r="R930" t="s">
        <v>44907</v>
      </c>
      <c r="S930" t="s">
        <v>45026</v>
      </c>
      <c r="T930" t="s">
        <v>46535</v>
      </c>
      <c r="U930" t="s">
        <v>47725</v>
      </c>
      <c r="W930" t="s">
        <v>41395</v>
      </c>
      <c r="X930" t="s">
        <v>44908</v>
      </c>
    </row>
    <row r="931" spans="1:24">
      <c r="A931">
        <f>HYPERLINK("https://www.philgeps.gov.ph/GEPSNONPILOT/Tender/SplashBidNoticeAbstractUI.aspx?menuIndex=3&amp;refID=7082660&amp;Result=3","7082660")</f>
        <v>0</v>
      </c>
      <c r="B931" t="s">
        <v>443</v>
      </c>
      <c r="C931" t="s">
        <v>4421</v>
      </c>
      <c r="D931" t="s">
        <v>18131</v>
      </c>
      <c r="E931" t="s">
        <v>19065</v>
      </c>
      <c r="F931" t="s">
        <v>31362</v>
      </c>
      <c r="G931" t="s">
        <v>31368</v>
      </c>
      <c r="H931" t="s">
        <v>15799</v>
      </c>
      <c r="I931" t="s">
        <v>31400</v>
      </c>
      <c r="J931" t="s">
        <v>31530</v>
      </c>
      <c r="K931" t="s">
        <v>40662</v>
      </c>
      <c r="L931" t="s">
        <v>443</v>
      </c>
      <c r="M931" t="s">
        <v>41396</v>
      </c>
      <c r="N931" t="s">
        <v>44905</v>
      </c>
      <c r="O931" t="s">
        <v>44906</v>
      </c>
      <c r="P931">
        <v>0</v>
      </c>
      <c r="Q931">
        <v>0</v>
      </c>
      <c r="R931" t="s">
        <v>44907</v>
      </c>
      <c r="S931" t="s">
        <v>45026</v>
      </c>
      <c r="T931" t="s">
        <v>46454</v>
      </c>
      <c r="U931" t="s">
        <v>47726</v>
      </c>
      <c r="W931" t="s">
        <v>41396</v>
      </c>
      <c r="X931" t="s">
        <v>44908</v>
      </c>
    </row>
    <row r="932" spans="1:24">
      <c r="A932">
        <f>HYPERLINK("https://www.philgeps.gov.ph/GEPSNONPILOT/Tender/SplashBidNoticeAbstractUI.aspx?menuIndex=3&amp;refID=7082686&amp;Result=3","7082686")</f>
        <v>0</v>
      </c>
      <c r="B932" t="s">
        <v>137</v>
      </c>
      <c r="C932" t="s">
        <v>4422</v>
      </c>
      <c r="D932" t="s">
        <v>18141</v>
      </c>
      <c r="E932" t="s">
        <v>19066</v>
      </c>
      <c r="F932" t="s">
        <v>31363</v>
      </c>
      <c r="G932" t="s">
        <v>31369</v>
      </c>
      <c r="H932" t="s">
        <v>15799</v>
      </c>
      <c r="I932" t="s">
        <v>3815</v>
      </c>
      <c r="J932" t="s">
        <v>32228</v>
      </c>
      <c r="K932" t="s">
        <v>40666</v>
      </c>
      <c r="M932" t="s">
        <v>41075</v>
      </c>
      <c r="N932" t="s">
        <v>44905</v>
      </c>
      <c r="O932" t="s">
        <v>44906</v>
      </c>
      <c r="P932">
        <v>0</v>
      </c>
      <c r="Q932">
        <v>0</v>
      </c>
      <c r="R932" t="s">
        <v>44907</v>
      </c>
      <c r="S932" t="s">
        <v>45026</v>
      </c>
      <c r="T932" t="s">
        <v>46449</v>
      </c>
      <c r="U932" t="s">
        <v>47727</v>
      </c>
      <c r="W932" t="s">
        <v>41075</v>
      </c>
      <c r="X932" t="s">
        <v>44908</v>
      </c>
    </row>
    <row r="933" spans="1:24">
      <c r="A933">
        <f>HYPERLINK("https://www.philgeps.gov.ph/GEPSNONPILOT/Tender/SplashBidNoticeAbstractUI.aspx?menuIndex=3&amp;refID=7082685&amp;Result=3","7082685")</f>
        <v>0</v>
      </c>
      <c r="B933" t="s">
        <v>438</v>
      </c>
      <c r="C933" t="s">
        <v>4423</v>
      </c>
      <c r="D933" t="s">
        <v>18159</v>
      </c>
      <c r="E933" t="s">
        <v>19067</v>
      </c>
      <c r="F933" t="s">
        <v>31362</v>
      </c>
      <c r="G933" t="s">
        <v>31368</v>
      </c>
      <c r="H933" t="s">
        <v>15799</v>
      </c>
      <c r="I933" t="s">
        <v>31385</v>
      </c>
      <c r="J933" t="s">
        <v>32229</v>
      </c>
      <c r="K933" t="s">
        <v>40666</v>
      </c>
      <c r="M933" t="s">
        <v>41390</v>
      </c>
      <c r="N933" t="s">
        <v>44905</v>
      </c>
      <c r="O933" t="s">
        <v>44906</v>
      </c>
      <c r="P933">
        <v>0</v>
      </c>
      <c r="Q933">
        <v>0</v>
      </c>
      <c r="R933" t="s">
        <v>44907</v>
      </c>
      <c r="S933" t="s">
        <v>45026</v>
      </c>
      <c r="T933" t="s">
        <v>46534</v>
      </c>
      <c r="U933" t="s">
        <v>47728</v>
      </c>
      <c r="W933" t="s">
        <v>41390</v>
      </c>
      <c r="X933" t="s">
        <v>44908</v>
      </c>
    </row>
    <row r="934" spans="1:24">
      <c r="A934">
        <f>HYPERLINK("https://www.philgeps.gov.ph/GEPSNONPILOT/Tender/SplashBidNoticeAbstractUI.aspx?menuIndex=3&amp;refID=7082683&amp;Result=3","7082683")</f>
        <v>0</v>
      </c>
      <c r="B934" t="s">
        <v>444</v>
      </c>
      <c r="C934" t="s">
        <v>4424</v>
      </c>
      <c r="D934" t="s">
        <v>18146</v>
      </c>
      <c r="E934" t="s">
        <v>19068</v>
      </c>
      <c r="F934" t="s">
        <v>31362</v>
      </c>
      <c r="G934" t="s">
        <v>31368</v>
      </c>
      <c r="H934" t="s">
        <v>15799</v>
      </c>
      <c r="I934" t="s">
        <v>31397</v>
      </c>
      <c r="J934" t="s">
        <v>32230</v>
      </c>
      <c r="K934" t="s">
        <v>40697</v>
      </c>
      <c r="M934" t="s">
        <v>41397</v>
      </c>
      <c r="N934" t="s">
        <v>44905</v>
      </c>
      <c r="O934" t="s">
        <v>44906</v>
      </c>
      <c r="P934">
        <v>0</v>
      </c>
      <c r="Q934">
        <v>3</v>
      </c>
      <c r="R934" t="s">
        <v>44907</v>
      </c>
      <c r="S934" t="s">
        <v>45026</v>
      </c>
      <c r="T934" t="s">
        <v>46432</v>
      </c>
      <c r="U934" t="s">
        <v>47729</v>
      </c>
      <c r="W934" t="s">
        <v>41397</v>
      </c>
      <c r="X934" t="s">
        <v>44908</v>
      </c>
    </row>
    <row r="935" spans="1:24">
      <c r="A935">
        <f>HYPERLINK("https://www.philgeps.gov.ph/GEPSNONPILOT/Tender/SplashBidNoticeAbstractUI.aspx?menuIndex=3&amp;refID=7082653&amp;Result=3","7082653")</f>
        <v>0</v>
      </c>
      <c r="B935" t="s">
        <v>351</v>
      </c>
      <c r="C935" t="s">
        <v>4425</v>
      </c>
      <c r="E935" t="s">
        <v>19069</v>
      </c>
      <c r="F935" t="s">
        <v>31362</v>
      </c>
      <c r="G935" t="s">
        <v>31369</v>
      </c>
      <c r="H935" t="s">
        <v>31378</v>
      </c>
      <c r="I935" t="s">
        <v>31386</v>
      </c>
      <c r="J935" t="s">
        <v>32231</v>
      </c>
      <c r="K935" t="s">
        <v>40687</v>
      </c>
      <c r="M935" t="s">
        <v>41298</v>
      </c>
      <c r="N935" t="s">
        <v>44905</v>
      </c>
      <c r="O935" t="s">
        <v>44906</v>
      </c>
      <c r="P935">
        <v>0</v>
      </c>
      <c r="Q935">
        <v>0</v>
      </c>
      <c r="R935" t="s">
        <v>44907</v>
      </c>
      <c r="S935" t="s">
        <v>45026</v>
      </c>
      <c r="T935" t="s">
        <v>46519</v>
      </c>
      <c r="U935" t="s">
        <v>47524</v>
      </c>
      <c r="W935" t="s">
        <v>41298</v>
      </c>
      <c r="X935" t="s">
        <v>44908</v>
      </c>
    </row>
    <row r="936" spans="1:24">
      <c r="A936">
        <f>HYPERLINK("https://www.philgeps.gov.ph/GEPSNONPILOT/Tender/SplashBidNoticeAbstractUI.aspx?menuIndex=3&amp;refID=7082682&amp;Result=3","7082682")</f>
        <v>0</v>
      </c>
      <c r="B936" t="s">
        <v>175</v>
      </c>
      <c r="C936" t="s">
        <v>4426</v>
      </c>
      <c r="D936" t="s">
        <v>18153</v>
      </c>
      <c r="E936" t="s">
        <v>18728</v>
      </c>
      <c r="F936" t="s">
        <v>31362</v>
      </c>
      <c r="G936" t="s">
        <v>31368</v>
      </c>
      <c r="H936" t="s">
        <v>15799</v>
      </c>
      <c r="I936" t="s">
        <v>31433</v>
      </c>
      <c r="J936" t="s">
        <v>32232</v>
      </c>
      <c r="K936" t="s">
        <v>40661</v>
      </c>
      <c r="L936" t="s">
        <v>175</v>
      </c>
      <c r="M936" t="s">
        <v>41113</v>
      </c>
      <c r="N936" t="s">
        <v>44905</v>
      </c>
      <c r="O936" t="s">
        <v>44906</v>
      </c>
      <c r="P936">
        <v>0</v>
      </c>
      <c r="Q936">
        <v>0</v>
      </c>
      <c r="R936" t="s">
        <v>44907</v>
      </c>
      <c r="S936" t="s">
        <v>45026</v>
      </c>
      <c r="T936" t="s">
        <v>46536</v>
      </c>
      <c r="U936" t="s">
        <v>47730</v>
      </c>
      <c r="V936" t="s">
        <v>59090</v>
      </c>
      <c r="W936" t="s">
        <v>41113</v>
      </c>
      <c r="X936" t="s">
        <v>44908</v>
      </c>
    </row>
    <row r="937" spans="1:24">
      <c r="A937">
        <f>HYPERLINK("https://www.philgeps.gov.ph/GEPSNONPILOT/Tender/SplashBidNoticeAbstractUI.aspx?menuIndex=3&amp;refID=7082681&amp;Result=3","7082681")</f>
        <v>0</v>
      </c>
      <c r="B937" t="s">
        <v>440</v>
      </c>
      <c r="C937" t="s">
        <v>4427</v>
      </c>
      <c r="D937" t="s">
        <v>18154</v>
      </c>
      <c r="E937" t="s">
        <v>19070</v>
      </c>
      <c r="F937" t="s">
        <v>31362</v>
      </c>
      <c r="G937" t="s">
        <v>31368</v>
      </c>
      <c r="H937" t="s">
        <v>15799</v>
      </c>
      <c r="I937" t="s">
        <v>31404</v>
      </c>
      <c r="J937" t="s">
        <v>32233</v>
      </c>
      <c r="K937" t="s">
        <v>40662</v>
      </c>
      <c r="M937" t="s">
        <v>41392</v>
      </c>
      <c r="N937" t="s">
        <v>44905</v>
      </c>
      <c r="O937" t="s">
        <v>44906</v>
      </c>
      <c r="P937">
        <v>0</v>
      </c>
      <c r="Q937">
        <v>0</v>
      </c>
      <c r="R937" t="s">
        <v>44907</v>
      </c>
      <c r="S937" t="s">
        <v>45026</v>
      </c>
      <c r="T937" t="s">
        <v>46447</v>
      </c>
      <c r="U937" t="s">
        <v>47731</v>
      </c>
      <c r="W937" t="s">
        <v>41392</v>
      </c>
      <c r="X937" t="s">
        <v>44908</v>
      </c>
    </row>
    <row r="938" spans="1:24">
      <c r="A938">
        <f>HYPERLINK("https://www.philgeps.gov.ph/GEPSNONPILOT/Tender/SplashBidNoticeAbstractUI.aspx?menuIndex=3&amp;refID=7082680&amp;Result=3","7082680")</f>
        <v>0</v>
      </c>
      <c r="B938" t="s">
        <v>259</v>
      </c>
      <c r="C938" t="s">
        <v>4428</v>
      </c>
      <c r="D938" t="s">
        <v>18100</v>
      </c>
      <c r="E938" t="s">
        <v>19071</v>
      </c>
      <c r="F938" t="s">
        <v>31362</v>
      </c>
      <c r="G938" t="s">
        <v>31368</v>
      </c>
      <c r="H938" t="s">
        <v>15799</v>
      </c>
      <c r="I938" t="s">
        <v>7188</v>
      </c>
      <c r="J938" t="s">
        <v>32234</v>
      </c>
      <c r="K938" t="s">
        <v>40693</v>
      </c>
      <c r="M938" t="s">
        <v>41200</v>
      </c>
      <c r="N938" t="s">
        <v>44905</v>
      </c>
      <c r="O938" t="s">
        <v>44906</v>
      </c>
      <c r="P938">
        <v>0</v>
      </c>
      <c r="Q938">
        <v>0</v>
      </c>
      <c r="R938" t="s">
        <v>44907</v>
      </c>
      <c r="S938" t="s">
        <v>45026</v>
      </c>
      <c r="T938" t="s">
        <v>46426</v>
      </c>
      <c r="U938" t="s">
        <v>47732</v>
      </c>
      <c r="W938" t="s">
        <v>41200</v>
      </c>
      <c r="X938" t="s">
        <v>44908</v>
      </c>
    </row>
    <row r="939" spans="1:24">
      <c r="A939">
        <f>HYPERLINK("https://www.philgeps.gov.ph/GEPSNONPILOT/Tender/SplashBidNoticeAbstractUI.aspx?menuIndex=3&amp;refID=7082677&amp;Result=3","7082677")</f>
        <v>0</v>
      </c>
      <c r="B939" t="s">
        <v>56</v>
      </c>
      <c r="C939" t="s">
        <v>4429</v>
      </c>
      <c r="D939" t="s">
        <v>18106</v>
      </c>
      <c r="E939" t="s">
        <v>19072</v>
      </c>
      <c r="F939" t="s">
        <v>31362</v>
      </c>
      <c r="G939" t="s">
        <v>31368</v>
      </c>
      <c r="H939" t="s">
        <v>15799</v>
      </c>
      <c r="I939" t="s">
        <v>31391</v>
      </c>
      <c r="J939" t="s">
        <v>32235</v>
      </c>
      <c r="K939" t="s">
        <v>40666</v>
      </c>
      <c r="M939" t="s">
        <v>40990</v>
      </c>
      <c r="N939" t="s">
        <v>44905</v>
      </c>
      <c r="O939" t="s">
        <v>44906</v>
      </c>
      <c r="P939">
        <v>0</v>
      </c>
      <c r="Q939">
        <v>0</v>
      </c>
      <c r="R939" t="s">
        <v>44907</v>
      </c>
      <c r="S939" t="s">
        <v>45026</v>
      </c>
      <c r="T939" t="s">
        <v>46413</v>
      </c>
      <c r="U939" t="s">
        <v>46976</v>
      </c>
      <c r="V939" t="s">
        <v>59063</v>
      </c>
      <c r="W939" t="s">
        <v>40990</v>
      </c>
      <c r="X939" t="s">
        <v>44908</v>
      </c>
    </row>
    <row r="940" spans="1:24">
      <c r="A940">
        <f>HYPERLINK("https://www.philgeps.gov.ph/GEPSNONPILOT/Tender/SplashBidNoticeAbstractUI.aspx?menuIndex=3&amp;refID=7082676&amp;Result=3","7082676")</f>
        <v>0</v>
      </c>
      <c r="B940" t="s">
        <v>438</v>
      </c>
      <c r="C940" t="s">
        <v>4430</v>
      </c>
      <c r="D940" t="s">
        <v>18159</v>
      </c>
      <c r="E940" t="s">
        <v>19073</v>
      </c>
      <c r="F940" t="s">
        <v>31362</v>
      </c>
      <c r="G940" t="s">
        <v>31368</v>
      </c>
      <c r="H940" t="s">
        <v>15799</v>
      </c>
      <c r="I940" t="s">
        <v>31396</v>
      </c>
      <c r="J940" t="s">
        <v>31727</v>
      </c>
      <c r="K940" t="s">
        <v>40666</v>
      </c>
      <c r="M940" t="s">
        <v>41390</v>
      </c>
      <c r="N940" t="s">
        <v>44905</v>
      </c>
      <c r="O940" t="s">
        <v>44906</v>
      </c>
      <c r="P940">
        <v>0</v>
      </c>
      <c r="Q940">
        <v>2</v>
      </c>
      <c r="R940" t="s">
        <v>44907</v>
      </c>
      <c r="S940" t="s">
        <v>45026</v>
      </c>
      <c r="T940" t="s">
        <v>46534</v>
      </c>
      <c r="U940" t="s">
        <v>47733</v>
      </c>
      <c r="W940" t="s">
        <v>41390</v>
      </c>
      <c r="X940" t="s">
        <v>44908</v>
      </c>
    </row>
    <row r="941" spans="1:24">
      <c r="A941">
        <f>HYPERLINK("https://www.philgeps.gov.ph/GEPSNONPILOT/Tender/SplashBidNoticeAbstractUI.aspx?menuIndex=3&amp;refID=7082675&amp;Result=3","7082675")</f>
        <v>0</v>
      </c>
      <c r="B941" t="s">
        <v>91</v>
      </c>
      <c r="C941" t="s">
        <v>4431</v>
      </c>
      <c r="D941" t="s">
        <v>18136</v>
      </c>
      <c r="E941" t="s">
        <v>18823</v>
      </c>
      <c r="F941" t="s">
        <v>31362</v>
      </c>
      <c r="G941" t="s">
        <v>31370</v>
      </c>
      <c r="H941" t="s">
        <v>15799</v>
      </c>
      <c r="I941" t="s">
        <v>31388</v>
      </c>
      <c r="J941" t="s">
        <v>31829</v>
      </c>
      <c r="K941" t="s">
        <v>40661</v>
      </c>
      <c r="M941" t="s">
        <v>41028</v>
      </c>
      <c r="N941" t="s">
        <v>44905</v>
      </c>
      <c r="O941" t="s">
        <v>44906</v>
      </c>
      <c r="P941">
        <v>0</v>
      </c>
      <c r="Q941">
        <v>0</v>
      </c>
      <c r="R941" t="s">
        <v>44907</v>
      </c>
      <c r="S941" t="s">
        <v>45026</v>
      </c>
      <c r="T941" t="s">
        <v>46411</v>
      </c>
      <c r="U941" t="s">
        <v>47734</v>
      </c>
      <c r="W941" t="s">
        <v>41028</v>
      </c>
      <c r="X941" t="s">
        <v>44908</v>
      </c>
    </row>
    <row r="942" spans="1:24">
      <c r="A942">
        <f>HYPERLINK("https://www.philgeps.gov.ph/GEPSNONPILOT/Tender/SplashBidNoticeAbstractUI.aspx?menuIndex=3&amp;refID=7082674&amp;Result=3","7082674")</f>
        <v>0</v>
      </c>
      <c r="B942" t="s">
        <v>230</v>
      </c>
      <c r="C942" t="s">
        <v>4432</v>
      </c>
      <c r="D942" t="s">
        <v>18130</v>
      </c>
      <c r="E942" t="s">
        <v>18777</v>
      </c>
      <c r="F942" t="s">
        <v>31362</v>
      </c>
      <c r="G942" t="s">
        <v>31368</v>
      </c>
      <c r="H942" t="s">
        <v>15799</v>
      </c>
      <c r="I942" t="s">
        <v>31404</v>
      </c>
      <c r="J942" t="s">
        <v>32236</v>
      </c>
      <c r="K942" t="s">
        <v>40677</v>
      </c>
      <c r="M942" t="s">
        <v>41169</v>
      </c>
      <c r="N942" t="s">
        <v>44905</v>
      </c>
      <c r="O942" t="s">
        <v>44906</v>
      </c>
      <c r="P942">
        <v>0</v>
      </c>
      <c r="Q942">
        <v>0</v>
      </c>
      <c r="R942" t="s">
        <v>44907</v>
      </c>
      <c r="S942" t="s">
        <v>45026</v>
      </c>
      <c r="T942" t="s">
        <v>46410</v>
      </c>
      <c r="U942" t="s">
        <v>47735</v>
      </c>
      <c r="W942" t="s">
        <v>41169</v>
      </c>
      <c r="X942" t="s">
        <v>44908</v>
      </c>
    </row>
    <row r="943" spans="1:24">
      <c r="A943">
        <f>HYPERLINK("https://www.philgeps.gov.ph/GEPSNONPILOT/Tender/SplashBidNoticeAbstractUI.aspx?menuIndex=3&amp;refID=7082672&amp;Result=3","7082672")</f>
        <v>0</v>
      </c>
      <c r="B943" t="s">
        <v>367</v>
      </c>
      <c r="C943" t="s">
        <v>4433</v>
      </c>
      <c r="D943" t="s">
        <v>18134</v>
      </c>
      <c r="E943" t="s">
        <v>19074</v>
      </c>
      <c r="F943" t="s">
        <v>31362</v>
      </c>
      <c r="G943" t="s">
        <v>31369</v>
      </c>
      <c r="H943" t="s">
        <v>15799</v>
      </c>
      <c r="I943" t="s">
        <v>31459</v>
      </c>
      <c r="J943" t="s">
        <v>32237</v>
      </c>
      <c r="K943" t="s">
        <v>40679</v>
      </c>
      <c r="M943" t="s">
        <v>41398</v>
      </c>
      <c r="N943" t="s">
        <v>44905</v>
      </c>
      <c r="O943" t="s">
        <v>44906</v>
      </c>
      <c r="P943">
        <v>0</v>
      </c>
      <c r="Q943">
        <v>0</v>
      </c>
      <c r="R943" t="s">
        <v>44907</v>
      </c>
      <c r="S943" t="s">
        <v>45026</v>
      </c>
      <c r="T943" t="s">
        <v>46449</v>
      </c>
      <c r="U943" t="s">
        <v>47736</v>
      </c>
      <c r="V943" t="s">
        <v>59171</v>
      </c>
      <c r="W943" t="s">
        <v>41398</v>
      </c>
      <c r="X943" t="s">
        <v>44908</v>
      </c>
    </row>
    <row r="944" spans="1:24">
      <c r="A944">
        <f>HYPERLINK("https://www.philgeps.gov.ph/GEPSNONPILOT/Tender/SplashBidNoticeAbstractUI.aspx?menuIndex=3&amp;refID=7082671&amp;Result=3","7082671")</f>
        <v>0</v>
      </c>
      <c r="B944" t="s">
        <v>445</v>
      </c>
      <c r="C944" t="s">
        <v>4434</v>
      </c>
      <c r="E944" t="s">
        <v>19075</v>
      </c>
      <c r="F944" t="s">
        <v>31362</v>
      </c>
      <c r="G944" t="s">
        <v>31369</v>
      </c>
      <c r="H944" t="s">
        <v>31378</v>
      </c>
      <c r="I944" t="s">
        <v>31386</v>
      </c>
      <c r="J944" t="s">
        <v>32238</v>
      </c>
      <c r="K944" t="s">
        <v>40679</v>
      </c>
      <c r="M944" t="s">
        <v>41399</v>
      </c>
      <c r="N944" t="s">
        <v>44905</v>
      </c>
      <c r="O944" t="s">
        <v>44906</v>
      </c>
      <c r="P944">
        <v>0</v>
      </c>
      <c r="Q944">
        <v>1</v>
      </c>
      <c r="R944" t="s">
        <v>44907</v>
      </c>
      <c r="S944" t="s">
        <v>45026</v>
      </c>
      <c r="T944" t="s">
        <v>46396</v>
      </c>
      <c r="U944" t="s">
        <v>47737</v>
      </c>
      <c r="W944" t="s">
        <v>41399</v>
      </c>
      <c r="X944" t="s">
        <v>44908</v>
      </c>
    </row>
    <row r="945" spans="1:24">
      <c r="A945">
        <f>HYPERLINK("https://www.philgeps.gov.ph/GEPSNONPILOT/Tender/SplashBidNoticeAbstractUI.aspx?menuIndex=3&amp;refID=7082644&amp;Result=3","7082644")</f>
        <v>0</v>
      </c>
      <c r="B945" t="s">
        <v>428</v>
      </c>
      <c r="C945" t="s">
        <v>4435</v>
      </c>
      <c r="D945" t="s">
        <v>18148</v>
      </c>
      <c r="E945" t="s">
        <v>19076</v>
      </c>
      <c r="F945" t="s">
        <v>31362</v>
      </c>
      <c r="G945" t="s">
        <v>31368</v>
      </c>
      <c r="H945" t="s">
        <v>15799</v>
      </c>
      <c r="I945" t="s">
        <v>31404</v>
      </c>
      <c r="J945" t="s">
        <v>31546</v>
      </c>
      <c r="K945" t="s">
        <v>40697</v>
      </c>
      <c r="M945" t="s">
        <v>41379</v>
      </c>
      <c r="N945" t="s">
        <v>44905</v>
      </c>
      <c r="O945" t="s">
        <v>44906</v>
      </c>
      <c r="P945">
        <v>0</v>
      </c>
      <c r="Q945">
        <v>0</v>
      </c>
      <c r="R945" t="s">
        <v>44907</v>
      </c>
      <c r="S945" t="s">
        <v>45026</v>
      </c>
      <c r="T945" t="s">
        <v>46444</v>
      </c>
      <c r="U945" t="s">
        <v>47738</v>
      </c>
      <c r="W945" t="s">
        <v>41379</v>
      </c>
      <c r="X945" t="s">
        <v>44908</v>
      </c>
    </row>
    <row r="946" spans="1:24">
      <c r="A946">
        <f>HYPERLINK("https://www.philgeps.gov.ph/GEPSNONPILOT/Tender/SplashBidNoticeAbstractUI.aspx?menuIndex=3&amp;refID=7082679&amp;Result=3","7082679")</f>
        <v>0</v>
      </c>
      <c r="B946" t="s">
        <v>363</v>
      </c>
      <c r="C946" t="s">
        <v>4436</v>
      </c>
      <c r="D946" t="s">
        <v>18136</v>
      </c>
      <c r="E946" t="s">
        <v>19077</v>
      </c>
      <c r="F946" t="s">
        <v>31362</v>
      </c>
      <c r="G946" t="s">
        <v>31369</v>
      </c>
      <c r="H946" t="s">
        <v>15799</v>
      </c>
      <c r="I946" t="s">
        <v>31404</v>
      </c>
      <c r="J946" t="s">
        <v>32239</v>
      </c>
      <c r="K946" t="s">
        <v>40665</v>
      </c>
      <c r="M946" t="s">
        <v>41310</v>
      </c>
      <c r="N946" t="s">
        <v>44905</v>
      </c>
      <c r="O946" t="s">
        <v>44906</v>
      </c>
      <c r="P946">
        <v>0</v>
      </c>
      <c r="Q946">
        <v>0</v>
      </c>
      <c r="R946" t="s">
        <v>44907</v>
      </c>
      <c r="S946" t="s">
        <v>45026</v>
      </c>
      <c r="T946" t="s">
        <v>46499</v>
      </c>
      <c r="U946" t="s">
        <v>47739</v>
      </c>
      <c r="W946" t="s">
        <v>41310</v>
      </c>
      <c r="X946" t="s">
        <v>44908</v>
      </c>
    </row>
    <row r="947" spans="1:24">
      <c r="A947">
        <f>HYPERLINK("https://www.philgeps.gov.ph/GEPSNONPILOT/Tender/SplashBidNoticeAbstractUI.aspx?menuIndex=3&amp;refID=7082668&amp;Result=3","7082668")</f>
        <v>0</v>
      </c>
      <c r="B947" t="s">
        <v>446</v>
      </c>
      <c r="C947" t="s">
        <v>4437</v>
      </c>
      <c r="D947" t="s">
        <v>18108</v>
      </c>
      <c r="E947" t="s">
        <v>19078</v>
      </c>
      <c r="F947" t="s">
        <v>31362</v>
      </c>
      <c r="G947" t="s">
        <v>31370</v>
      </c>
      <c r="H947" t="s">
        <v>15799</v>
      </c>
      <c r="I947" t="s">
        <v>31393</v>
      </c>
      <c r="J947" t="s">
        <v>31940</v>
      </c>
      <c r="K947" t="s">
        <v>40661</v>
      </c>
      <c r="M947" t="s">
        <v>41400</v>
      </c>
      <c r="N947" t="s">
        <v>44905</v>
      </c>
      <c r="O947" t="s">
        <v>44906</v>
      </c>
      <c r="P947">
        <v>0</v>
      </c>
      <c r="Q947">
        <v>5</v>
      </c>
      <c r="R947" t="s">
        <v>44907</v>
      </c>
      <c r="S947" t="s">
        <v>45026</v>
      </c>
      <c r="T947" t="s">
        <v>46416</v>
      </c>
      <c r="U947" t="s">
        <v>47740</v>
      </c>
      <c r="W947" t="s">
        <v>41400</v>
      </c>
      <c r="X947" t="s">
        <v>44908</v>
      </c>
    </row>
    <row r="948" spans="1:24">
      <c r="A948">
        <f>HYPERLINK("https://www.philgeps.gov.ph/GEPSNONPILOT/Tender/SplashBidNoticeAbstractUI.aspx?menuIndex=3&amp;refID=7082665&amp;Result=3","7082665")</f>
        <v>0</v>
      </c>
      <c r="B948" t="s">
        <v>432</v>
      </c>
      <c r="C948" t="s">
        <v>4438</v>
      </c>
      <c r="D948" t="s">
        <v>18106</v>
      </c>
      <c r="E948" t="s">
        <v>19079</v>
      </c>
      <c r="F948" t="s">
        <v>31362</v>
      </c>
      <c r="G948" t="s">
        <v>31368</v>
      </c>
      <c r="H948" t="s">
        <v>15799</v>
      </c>
      <c r="I948" t="s">
        <v>31394</v>
      </c>
      <c r="J948" t="s">
        <v>32240</v>
      </c>
      <c r="K948" t="s">
        <v>40697</v>
      </c>
      <c r="M948" t="s">
        <v>41384</v>
      </c>
      <c r="N948" t="s">
        <v>44905</v>
      </c>
      <c r="O948" t="s">
        <v>44906</v>
      </c>
      <c r="P948">
        <v>0</v>
      </c>
      <c r="Q948">
        <v>0</v>
      </c>
      <c r="R948" t="s">
        <v>44907</v>
      </c>
      <c r="S948" t="s">
        <v>45026</v>
      </c>
      <c r="T948" t="s">
        <v>46443</v>
      </c>
      <c r="U948" t="s">
        <v>47741</v>
      </c>
      <c r="W948" t="s">
        <v>41384</v>
      </c>
      <c r="X948" t="s">
        <v>44908</v>
      </c>
    </row>
    <row r="949" spans="1:24">
      <c r="A949">
        <f>HYPERLINK("https://www.philgeps.gov.ph/GEPSNONPILOT/Tender/SplashBidNoticeAbstractUI.aspx?menuIndex=3&amp;refID=7082663&amp;Result=3","7082663")</f>
        <v>0</v>
      </c>
      <c r="B949" t="s">
        <v>417</v>
      </c>
      <c r="C949" t="s">
        <v>4439</v>
      </c>
      <c r="D949" t="s">
        <v>18166</v>
      </c>
      <c r="E949" t="s">
        <v>19080</v>
      </c>
      <c r="F949" t="s">
        <v>31362</v>
      </c>
      <c r="G949" t="s">
        <v>31368</v>
      </c>
      <c r="H949" t="s">
        <v>15799</v>
      </c>
      <c r="I949" t="s">
        <v>7090</v>
      </c>
      <c r="J949" t="s">
        <v>32241</v>
      </c>
      <c r="K949" t="s">
        <v>40670</v>
      </c>
      <c r="M949" t="s">
        <v>41367</v>
      </c>
      <c r="N949" t="s">
        <v>44905</v>
      </c>
      <c r="O949" t="s">
        <v>44906</v>
      </c>
      <c r="P949">
        <v>0</v>
      </c>
      <c r="Q949">
        <v>0</v>
      </c>
      <c r="R949" t="s">
        <v>44907</v>
      </c>
      <c r="S949" t="s">
        <v>45026</v>
      </c>
      <c r="T949" t="s">
        <v>46454</v>
      </c>
      <c r="U949" t="s">
        <v>47742</v>
      </c>
      <c r="W949" t="s">
        <v>41367</v>
      </c>
      <c r="X949" t="s">
        <v>44908</v>
      </c>
    </row>
    <row r="950" spans="1:24">
      <c r="A950">
        <f>HYPERLINK("https://www.philgeps.gov.ph/GEPSNONPILOT/Tender/SplashBidNoticeAbstractUI.aspx?menuIndex=3&amp;refID=7082640&amp;Result=3","7082640")</f>
        <v>0</v>
      </c>
      <c r="B950" t="s">
        <v>422</v>
      </c>
      <c r="C950" t="s">
        <v>4440</v>
      </c>
      <c r="D950" t="s">
        <v>18132</v>
      </c>
      <c r="E950" t="s">
        <v>19081</v>
      </c>
      <c r="F950" t="s">
        <v>31362</v>
      </c>
      <c r="G950" t="s">
        <v>31368</v>
      </c>
      <c r="H950" t="s">
        <v>15799</v>
      </c>
      <c r="I950" t="s">
        <v>31410</v>
      </c>
      <c r="J950" t="s">
        <v>32242</v>
      </c>
      <c r="K950" t="s">
        <v>40672</v>
      </c>
      <c r="M950" t="s">
        <v>41373</v>
      </c>
      <c r="N950" t="s">
        <v>44905</v>
      </c>
      <c r="O950" t="s">
        <v>44906</v>
      </c>
      <c r="P950">
        <v>0</v>
      </c>
      <c r="Q950">
        <v>0</v>
      </c>
      <c r="R950" t="s">
        <v>44907</v>
      </c>
      <c r="S950" t="s">
        <v>45026</v>
      </c>
      <c r="T950" t="s">
        <v>46427</v>
      </c>
      <c r="U950" t="s">
        <v>47743</v>
      </c>
      <c r="V950" t="s">
        <v>59172</v>
      </c>
      <c r="W950" t="s">
        <v>41373</v>
      </c>
      <c r="X950" t="s">
        <v>44908</v>
      </c>
    </row>
    <row r="951" spans="1:24">
      <c r="A951">
        <f>HYPERLINK("https://www.philgeps.gov.ph/GEPSNONPILOT/Tender/SplashBidNoticeAbstractUI.aspx?menuIndex=3&amp;refID=7082669&amp;Result=3","7082669")</f>
        <v>0</v>
      </c>
      <c r="B951" t="s">
        <v>447</v>
      </c>
      <c r="C951" t="s">
        <v>4441</v>
      </c>
      <c r="D951" t="s">
        <v>18109</v>
      </c>
      <c r="E951" t="s">
        <v>19082</v>
      </c>
      <c r="F951" t="s">
        <v>31362</v>
      </c>
      <c r="G951" t="s">
        <v>31368</v>
      </c>
      <c r="H951" t="s">
        <v>15799</v>
      </c>
      <c r="I951" t="s">
        <v>31385</v>
      </c>
      <c r="J951" t="s">
        <v>31604</v>
      </c>
      <c r="K951" t="s">
        <v>40670</v>
      </c>
      <c r="M951" t="s">
        <v>41401</v>
      </c>
      <c r="N951" t="s">
        <v>44905</v>
      </c>
      <c r="O951" t="s">
        <v>44906</v>
      </c>
      <c r="P951">
        <v>0</v>
      </c>
      <c r="Q951">
        <v>0</v>
      </c>
      <c r="R951" t="s">
        <v>44907</v>
      </c>
      <c r="S951" t="s">
        <v>45026</v>
      </c>
      <c r="T951" t="s">
        <v>46409</v>
      </c>
      <c r="U951" t="s">
        <v>47744</v>
      </c>
      <c r="V951" t="s">
        <v>59173</v>
      </c>
      <c r="W951" t="s">
        <v>41401</v>
      </c>
      <c r="X951" t="s">
        <v>44908</v>
      </c>
    </row>
    <row r="952" spans="1:24">
      <c r="A952">
        <f>HYPERLINK("https://www.philgeps.gov.ph/GEPSNONPILOT/Tender/SplashBidNoticeAbstractUI.aspx?menuIndex=3&amp;refID=7082638&amp;Result=3","7082638")</f>
        <v>0</v>
      </c>
      <c r="B952" t="s">
        <v>448</v>
      </c>
      <c r="C952" t="s">
        <v>4442</v>
      </c>
      <c r="D952" t="s">
        <v>18167</v>
      </c>
      <c r="E952" t="s">
        <v>19083</v>
      </c>
      <c r="F952" t="s">
        <v>31362</v>
      </c>
      <c r="G952" t="s">
        <v>31369</v>
      </c>
      <c r="H952" t="s">
        <v>15799</v>
      </c>
      <c r="I952" t="s">
        <v>31409</v>
      </c>
      <c r="J952" t="s">
        <v>31615</v>
      </c>
      <c r="K952" t="s">
        <v>40666</v>
      </c>
      <c r="M952" t="s">
        <v>41402</v>
      </c>
      <c r="N952" t="s">
        <v>44905</v>
      </c>
      <c r="O952" t="s">
        <v>44906</v>
      </c>
      <c r="P952">
        <v>0</v>
      </c>
      <c r="Q952">
        <v>5</v>
      </c>
      <c r="R952" t="s">
        <v>44907</v>
      </c>
      <c r="S952" t="s">
        <v>45026</v>
      </c>
      <c r="T952" t="s">
        <v>46499</v>
      </c>
      <c r="U952" t="s">
        <v>47745</v>
      </c>
      <c r="W952" t="s">
        <v>41402</v>
      </c>
      <c r="X952" t="s">
        <v>44908</v>
      </c>
    </row>
    <row r="953" spans="1:24">
      <c r="A953">
        <f>HYPERLINK("https://www.philgeps.gov.ph/GEPSNONPILOT/Tender/SplashBidNoticeAbstractUI.aspx?menuIndex=3&amp;refID=7082536&amp;Result=3","7082536")</f>
        <v>0</v>
      </c>
      <c r="B953" t="s">
        <v>137</v>
      </c>
      <c r="C953" t="s">
        <v>4443</v>
      </c>
      <c r="D953" t="s">
        <v>18141</v>
      </c>
      <c r="E953" t="s">
        <v>18950</v>
      </c>
      <c r="F953" t="s">
        <v>31363</v>
      </c>
      <c r="G953" t="s">
        <v>31369</v>
      </c>
      <c r="H953" t="s">
        <v>15799</v>
      </c>
      <c r="I953" t="s">
        <v>3815</v>
      </c>
      <c r="J953" t="s">
        <v>31762</v>
      </c>
      <c r="K953" t="s">
        <v>40670</v>
      </c>
      <c r="M953" t="s">
        <v>41075</v>
      </c>
      <c r="N953" t="s">
        <v>44905</v>
      </c>
      <c r="O953" t="s">
        <v>44906</v>
      </c>
      <c r="P953">
        <v>0</v>
      </c>
      <c r="Q953">
        <v>0</v>
      </c>
      <c r="R953" t="s">
        <v>44907</v>
      </c>
      <c r="S953" t="s">
        <v>45026</v>
      </c>
      <c r="T953" t="s">
        <v>46449</v>
      </c>
      <c r="U953" t="s">
        <v>47746</v>
      </c>
      <c r="W953" t="s">
        <v>41075</v>
      </c>
      <c r="X953" t="s">
        <v>44908</v>
      </c>
    </row>
    <row r="954" spans="1:24">
      <c r="A954">
        <f>HYPERLINK("https://www.philgeps.gov.ph/GEPSNONPILOT/Tender/SplashBidNoticeAbstractUI.aspx?menuIndex=3&amp;refID=7082534&amp;Result=3","7082534")</f>
        <v>0</v>
      </c>
      <c r="B954" t="s">
        <v>377</v>
      </c>
      <c r="C954" t="s">
        <v>4444</v>
      </c>
      <c r="D954" t="s">
        <v>18108</v>
      </c>
      <c r="E954" t="s">
        <v>19084</v>
      </c>
      <c r="F954" t="s">
        <v>31362</v>
      </c>
      <c r="G954" t="s">
        <v>31368</v>
      </c>
      <c r="H954" t="s">
        <v>15799</v>
      </c>
      <c r="I954" t="s">
        <v>31389</v>
      </c>
      <c r="J954" t="s">
        <v>32243</v>
      </c>
      <c r="K954" t="s">
        <v>40675</v>
      </c>
      <c r="M954" t="s">
        <v>41324</v>
      </c>
      <c r="N954" t="s">
        <v>44905</v>
      </c>
      <c r="O954" t="s">
        <v>44906</v>
      </c>
      <c r="P954">
        <v>0</v>
      </c>
      <c r="Q954">
        <v>7</v>
      </c>
      <c r="R954" t="s">
        <v>44907</v>
      </c>
      <c r="S954" t="s">
        <v>45026</v>
      </c>
      <c r="T954" t="s">
        <v>46478</v>
      </c>
      <c r="U954" t="s">
        <v>47569</v>
      </c>
      <c r="W954" t="s">
        <v>41324</v>
      </c>
      <c r="X954" t="s">
        <v>44908</v>
      </c>
    </row>
    <row r="955" spans="1:24">
      <c r="A955">
        <f>HYPERLINK("https://www.philgeps.gov.ph/GEPSNONPILOT/Tender/SplashBidNoticeAbstractUI.aspx?menuIndex=3&amp;refID=7082662&amp;Result=3","7082662")</f>
        <v>0</v>
      </c>
      <c r="B955" t="s">
        <v>370</v>
      </c>
      <c r="C955" t="s">
        <v>4445</v>
      </c>
      <c r="D955" t="s">
        <v>18148</v>
      </c>
      <c r="E955" t="s">
        <v>19085</v>
      </c>
      <c r="F955" t="s">
        <v>31362</v>
      </c>
      <c r="G955" t="s">
        <v>31370</v>
      </c>
      <c r="H955" t="s">
        <v>15799</v>
      </c>
      <c r="I955" t="s">
        <v>31380</v>
      </c>
      <c r="J955" t="s">
        <v>32244</v>
      </c>
      <c r="K955" t="s">
        <v>40662</v>
      </c>
      <c r="M955" t="s">
        <v>41317</v>
      </c>
      <c r="N955" t="s">
        <v>44905</v>
      </c>
      <c r="O955" t="s">
        <v>44906</v>
      </c>
      <c r="P955">
        <v>0</v>
      </c>
      <c r="Q955">
        <v>3</v>
      </c>
      <c r="R955" t="s">
        <v>44907</v>
      </c>
      <c r="S955" t="s">
        <v>45026</v>
      </c>
      <c r="T955" t="s">
        <v>46478</v>
      </c>
      <c r="U955" t="s">
        <v>47557</v>
      </c>
      <c r="V955" t="s">
        <v>59147</v>
      </c>
      <c r="W955" t="s">
        <v>41317</v>
      </c>
      <c r="X955" t="s">
        <v>44908</v>
      </c>
    </row>
    <row r="956" spans="1:24">
      <c r="A956">
        <f>HYPERLINK("https://www.philgeps.gov.ph/GEPSNONPILOT/Tender/SplashBidNoticeAbstractUI.aspx?menuIndex=3&amp;refID=7082641&amp;Result=3","7082641")</f>
        <v>0</v>
      </c>
      <c r="B956" t="s">
        <v>438</v>
      </c>
      <c r="C956" t="s">
        <v>4446</v>
      </c>
      <c r="D956" t="s">
        <v>18159</v>
      </c>
      <c r="E956" t="s">
        <v>19086</v>
      </c>
      <c r="F956" t="s">
        <v>31362</v>
      </c>
      <c r="G956" t="s">
        <v>31368</v>
      </c>
      <c r="H956" t="s">
        <v>15799</v>
      </c>
      <c r="I956" t="s">
        <v>31459</v>
      </c>
      <c r="J956" t="s">
        <v>32245</v>
      </c>
      <c r="K956" t="s">
        <v>40666</v>
      </c>
      <c r="M956" t="s">
        <v>41390</v>
      </c>
      <c r="N956" t="s">
        <v>44905</v>
      </c>
      <c r="O956" t="s">
        <v>44906</v>
      </c>
      <c r="P956">
        <v>0</v>
      </c>
      <c r="Q956">
        <v>0</v>
      </c>
      <c r="R956" t="s">
        <v>44907</v>
      </c>
      <c r="S956" t="s">
        <v>45026</v>
      </c>
      <c r="T956" t="s">
        <v>46534</v>
      </c>
      <c r="U956" t="s">
        <v>47747</v>
      </c>
      <c r="W956" t="s">
        <v>41390</v>
      </c>
      <c r="X956" t="s">
        <v>44908</v>
      </c>
    </row>
    <row r="957" spans="1:24">
      <c r="A957">
        <f>HYPERLINK("https://www.philgeps.gov.ph/GEPSNONPILOT/Tender/SplashBidNoticeAbstractUI.aspx?menuIndex=3&amp;refID=7082365&amp;Result=3","7082365")</f>
        <v>0</v>
      </c>
      <c r="B957" t="s">
        <v>370</v>
      </c>
      <c r="C957" t="s">
        <v>4447</v>
      </c>
      <c r="D957" t="s">
        <v>18148</v>
      </c>
      <c r="E957" t="s">
        <v>19087</v>
      </c>
      <c r="F957" t="s">
        <v>31362</v>
      </c>
      <c r="G957" t="s">
        <v>31370</v>
      </c>
      <c r="H957" t="s">
        <v>15799</v>
      </c>
      <c r="I957" t="s">
        <v>31382</v>
      </c>
      <c r="J957" t="s">
        <v>31577</v>
      </c>
      <c r="K957" t="s">
        <v>40662</v>
      </c>
      <c r="M957" t="s">
        <v>41317</v>
      </c>
      <c r="N957" t="s">
        <v>44905</v>
      </c>
      <c r="O957" t="s">
        <v>44906</v>
      </c>
      <c r="P957">
        <v>0</v>
      </c>
      <c r="Q957">
        <v>1</v>
      </c>
      <c r="R957" t="s">
        <v>44907</v>
      </c>
      <c r="S957" t="s">
        <v>45026</v>
      </c>
      <c r="T957" t="s">
        <v>46478</v>
      </c>
      <c r="U957" t="s">
        <v>47557</v>
      </c>
      <c r="V957" t="s">
        <v>59147</v>
      </c>
      <c r="W957" t="s">
        <v>41317</v>
      </c>
      <c r="X957" t="s">
        <v>44908</v>
      </c>
    </row>
    <row r="958" spans="1:24">
      <c r="A958">
        <f>HYPERLINK("https://www.philgeps.gov.ph/GEPSNONPILOT/Tender/SplashBidNoticeAbstractUI.aspx?menuIndex=3&amp;refID=7082364&amp;Result=3","7082364")</f>
        <v>0</v>
      </c>
      <c r="B958" t="s">
        <v>449</v>
      </c>
      <c r="C958" t="s">
        <v>4448</v>
      </c>
      <c r="D958" t="s">
        <v>18143</v>
      </c>
      <c r="E958" t="s">
        <v>19088</v>
      </c>
      <c r="F958" t="s">
        <v>31362</v>
      </c>
      <c r="G958" t="s">
        <v>31369</v>
      </c>
      <c r="H958" t="s">
        <v>15799</v>
      </c>
      <c r="I958" t="s">
        <v>31387</v>
      </c>
      <c r="J958" t="s">
        <v>32246</v>
      </c>
      <c r="K958" t="s">
        <v>40675</v>
      </c>
      <c r="M958" t="s">
        <v>41403</v>
      </c>
      <c r="N958" t="s">
        <v>44905</v>
      </c>
      <c r="O958" t="s">
        <v>44906</v>
      </c>
      <c r="P958">
        <v>0</v>
      </c>
      <c r="Q958">
        <v>1</v>
      </c>
      <c r="R958" t="s">
        <v>44907</v>
      </c>
      <c r="S958" t="s">
        <v>45026</v>
      </c>
      <c r="T958" t="s">
        <v>46396</v>
      </c>
      <c r="U958" t="s">
        <v>47748</v>
      </c>
      <c r="W958" t="s">
        <v>41403</v>
      </c>
      <c r="X958" t="s">
        <v>44908</v>
      </c>
    </row>
    <row r="959" spans="1:24">
      <c r="A959">
        <f>HYPERLINK("https://www.philgeps.gov.ph/GEPSNONPILOT/Tender/SplashBidNoticeAbstractUI.aspx?menuIndex=3&amp;refID=7082362&amp;Result=3","7082362")</f>
        <v>0</v>
      </c>
      <c r="B959" t="s">
        <v>450</v>
      </c>
      <c r="C959" t="s">
        <v>4449</v>
      </c>
      <c r="D959" t="s">
        <v>18128</v>
      </c>
      <c r="E959" t="s">
        <v>19089</v>
      </c>
      <c r="F959" t="s">
        <v>31362</v>
      </c>
      <c r="G959" t="s">
        <v>31368</v>
      </c>
      <c r="H959" t="s">
        <v>15799</v>
      </c>
      <c r="I959" t="s">
        <v>31385</v>
      </c>
      <c r="J959" t="s">
        <v>32247</v>
      </c>
      <c r="K959" t="s">
        <v>40665</v>
      </c>
      <c r="M959" t="s">
        <v>41404</v>
      </c>
      <c r="N959" t="s">
        <v>44905</v>
      </c>
      <c r="O959" t="s">
        <v>44906</v>
      </c>
      <c r="P959">
        <v>0</v>
      </c>
      <c r="Q959">
        <v>1</v>
      </c>
      <c r="R959" t="s">
        <v>44907</v>
      </c>
      <c r="S959" t="s">
        <v>45026</v>
      </c>
      <c r="T959" t="s">
        <v>46462</v>
      </c>
      <c r="U959" t="s">
        <v>47749</v>
      </c>
      <c r="V959" t="s">
        <v>59174</v>
      </c>
      <c r="W959" t="s">
        <v>41404</v>
      </c>
      <c r="X959" t="s">
        <v>44908</v>
      </c>
    </row>
    <row r="960" spans="1:24">
      <c r="A960">
        <f>HYPERLINK("https://www.philgeps.gov.ph/GEPSNONPILOT/Tender/SplashBidNoticeAbstractUI.aspx?menuIndex=3&amp;refID=7082359&amp;Result=3","7082359")</f>
        <v>0</v>
      </c>
      <c r="B960" t="s">
        <v>404</v>
      </c>
      <c r="C960" t="s">
        <v>4450</v>
      </c>
      <c r="D960" t="s">
        <v>18108</v>
      </c>
      <c r="E960" t="s">
        <v>19090</v>
      </c>
      <c r="F960" t="s">
        <v>31362</v>
      </c>
      <c r="G960" t="s">
        <v>31370</v>
      </c>
      <c r="H960" t="s">
        <v>15799</v>
      </c>
      <c r="I960" t="s">
        <v>31385</v>
      </c>
      <c r="J960" t="s">
        <v>32146</v>
      </c>
      <c r="K960" t="s">
        <v>40666</v>
      </c>
      <c r="M960" t="s">
        <v>41354</v>
      </c>
      <c r="N960" t="s">
        <v>44905</v>
      </c>
      <c r="O960" t="s">
        <v>44906</v>
      </c>
      <c r="P960">
        <v>0</v>
      </c>
      <c r="Q960">
        <v>4</v>
      </c>
      <c r="R960" t="s">
        <v>44907</v>
      </c>
      <c r="S960" t="s">
        <v>45026</v>
      </c>
      <c r="T960" t="s">
        <v>46447</v>
      </c>
      <c r="U960" t="s">
        <v>47750</v>
      </c>
      <c r="V960" t="s">
        <v>59159</v>
      </c>
      <c r="W960" t="s">
        <v>41354</v>
      </c>
      <c r="X960" t="s">
        <v>44908</v>
      </c>
    </row>
    <row r="961" spans="1:24">
      <c r="A961">
        <f>HYPERLINK("https://www.philgeps.gov.ph/GEPSNONPILOT/Tender/SplashBidNoticeAbstractUI.aspx?menuIndex=3&amp;refID=7082358&amp;Result=3","7082358")</f>
        <v>0</v>
      </c>
      <c r="B961" t="s">
        <v>367</v>
      </c>
      <c r="C961" t="s">
        <v>4451</v>
      </c>
      <c r="D961" t="s">
        <v>18134</v>
      </c>
      <c r="E961" t="s">
        <v>19091</v>
      </c>
      <c r="F961" t="s">
        <v>31362</v>
      </c>
      <c r="G961" t="s">
        <v>31368</v>
      </c>
      <c r="H961" t="s">
        <v>15799</v>
      </c>
      <c r="I961" t="s">
        <v>4283</v>
      </c>
      <c r="J961" t="s">
        <v>32248</v>
      </c>
      <c r="K961" t="s">
        <v>40677</v>
      </c>
      <c r="M961" t="s">
        <v>41314</v>
      </c>
      <c r="N961" t="s">
        <v>44905</v>
      </c>
      <c r="O961" t="s">
        <v>44906</v>
      </c>
      <c r="P961">
        <v>0</v>
      </c>
      <c r="Q961">
        <v>0</v>
      </c>
      <c r="R961" t="s">
        <v>44907</v>
      </c>
      <c r="S961" t="s">
        <v>45026</v>
      </c>
      <c r="T961" t="s">
        <v>46447</v>
      </c>
      <c r="U961" t="s">
        <v>47751</v>
      </c>
      <c r="W961" t="s">
        <v>41314</v>
      </c>
      <c r="X961" t="s">
        <v>44908</v>
      </c>
    </row>
    <row r="962" spans="1:24">
      <c r="A962">
        <f>HYPERLINK("https://www.philgeps.gov.ph/GEPSNONPILOT/Tender/SplashBidNoticeAbstractUI.aspx?menuIndex=3&amp;refID=7082687&amp;Result=3","7082687")</f>
        <v>0</v>
      </c>
      <c r="B962" t="s">
        <v>354</v>
      </c>
      <c r="C962" t="s">
        <v>4452</v>
      </c>
      <c r="D962" t="s">
        <v>18141</v>
      </c>
      <c r="E962" t="s">
        <v>19092</v>
      </c>
      <c r="F962" t="s">
        <v>31362</v>
      </c>
      <c r="G962" t="s">
        <v>31370</v>
      </c>
      <c r="H962" t="s">
        <v>15799</v>
      </c>
      <c r="I962" t="s">
        <v>31438</v>
      </c>
      <c r="J962" t="s">
        <v>31546</v>
      </c>
      <c r="K962" t="s">
        <v>40661</v>
      </c>
      <c r="M962" t="s">
        <v>41301</v>
      </c>
      <c r="N962" t="s">
        <v>44905</v>
      </c>
      <c r="O962" t="s">
        <v>44906</v>
      </c>
      <c r="P962">
        <v>0</v>
      </c>
      <c r="Q962">
        <v>1</v>
      </c>
      <c r="R962" t="s">
        <v>44907</v>
      </c>
      <c r="S962" t="s">
        <v>45026</v>
      </c>
      <c r="T962" t="s">
        <v>46497</v>
      </c>
      <c r="U962" t="s">
        <v>47752</v>
      </c>
      <c r="W962" t="s">
        <v>41301</v>
      </c>
      <c r="X962" t="s">
        <v>44908</v>
      </c>
    </row>
    <row r="963" spans="1:24">
      <c r="A963">
        <f>HYPERLINK("https://www.philgeps.gov.ph/GEPSNONPILOT/Tender/SplashBidNoticeAbstractUI.aspx?menuIndex=3&amp;refID=7082701&amp;Result=3","7082701")</f>
        <v>0</v>
      </c>
      <c r="B963" t="s">
        <v>343</v>
      </c>
      <c r="C963" t="s">
        <v>4453</v>
      </c>
      <c r="D963" t="s">
        <v>18101</v>
      </c>
      <c r="E963" t="s">
        <v>19093</v>
      </c>
      <c r="F963" t="s">
        <v>31362</v>
      </c>
      <c r="G963" t="s">
        <v>31372</v>
      </c>
      <c r="H963" t="s">
        <v>15799</v>
      </c>
      <c r="I963" t="s">
        <v>31387</v>
      </c>
      <c r="J963" t="s">
        <v>32249</v>
      </c>
      <c r="K963" t="s">
        <v>40670</v>
      </c>
      <c r="M963" t="s">
        <v>41289</v>
      </c>
      <c r="N963" t="s">
        <v>44905</v>
      </c>
      <c r="O963" t="s">
        <v>44906</v>
      </c>
      <c r="P963">
        <v>0</v>
      </c>
      <c r="Q963">
        <v>0</v>
      </c>
      <c r="R963" t="s">
        <v>44907</v>
      </c>
      <c r="S963" t="s">
        <v>45026</v>
      </c>
      <c r="T963" t="s">
        <v>46438</v>
      </c>
      <c r="U963" t="s">
        <v>47753</v>
      </c>
      <c r="V963" t="s">
        <v>59138</v>
      </c>
      <c r="W963" t="s">
        <v>41289</v>
      </c>
      <c r="X963" t="s">
        <v>44908</v>
      </c>
    </row>
    <row r="964" spans="1:24">
      <c r="A964">
        <f>HYPERLINK("https://www.philgeps.gov.ph/GEPSNONPILOT/Tender/SplashBidNoticeAbstractUI.aspx?menuIndex=3&amp;refID=7082381&amp;Result=3","7082381")</f>
        <v>0</v>
      </c>
      <c r="B964" t="s">
        <v>421</v>
      </c>
      <c r="C964" t="s">
        <v>4454</v>
      </c>
      <c r="D964" t="s">
        <v>18133</v>
      </c>
      <c r="E964" t="s">
        <v>19094</v>
      </c>
      <c r="F964" t="s">
        <v>31362</v>
      </c>
      <c r="G964" t="s">
        <v>31369</v>
      </c>
      <c r="H964" t="s">
        <v>31378</v>
      </c>
      <c r="I964" t="s">
        <v>31386</v>
      </c>
      <c r="J964" t="s">
        <v>32250</v>
      </c>
      <c r="K964" t="s">
        <v>40716</v>
      </c>
      <c r="M964" t="s">
        <v>41372</v>
      </c>
      <c r="N964" t="s">
        <v>44905</v>
      </c>
      <c r="O964" t="s">
        <v>44906</v>
      </c>
      <c r="P964">
        <v>0</v>
      </c>
      <c r="Q964">
        <v>0</v>
      </c>
      <c r="R964" t="s">
        <v>44907</v>
      </c>
      <c r="S964" t="s">
        <v>45026</v>
      </c>
      <c r="T964" t="s">
        <v>46535</v>
      </c>
      <c r="U964" t="s">
        <v>47754</v>
      </c>
      <c r="W964" t="s">
        <v>41372</v>
      </c>
      <c r="X964" t="s">
        <v>44908</v>
      </c>
    </row>
    <row r="965" spans="1:24">
      <c r="A965">
        <f>HYPERLINK("https://www.philgeps.gov.ph/GEPSNONPILOT/Tender/SplashBidNoticeAbstractUI.aspx?menuIndex=3&amp;refID=7082709&amp;Result=3","7082709")</f>
        <v>0</v>
      </c>
      <c r="B965" t="s">
        <v>96</v>
      </c>
      <c r="C965" t="s">
        <v>4455</v>
      </c>
      <c r="D965" t="s">
        <v>18106</v>
      </c>
      <c r="E965" t="s">
        <v>19095</v>
      </c>
      <c r="F965" t="s">
        <v>31362</v>
      </c>
      <c r="G965" t="s">
        <v>31368</v>
      </c>
      <c r="H965" t="s">
        <v>15799</v>
      </c>
      <c r="I965" t="s">
        <v>31460</v>
      </c>
      <c r="J965" t="s">
        <v>31536</v>
      </c>
      <c r="K965" t="s">
        <v>40693</v>
      </c>
      <c r="M965" t="s">
        <v>41033</v>
      </c>
      <c r="N965" t="s">
        <v>44905</v>
      </c>
      <c r="O965" t="s">
        <v>44906</v>
      </c>
      <c r="P965">
        <v>0</v>
      </c>
      <c r="Q965">
        <v>1</v>
      </c>
      <c r="R965" t="s">
        <v>44907</v>
      </c>
      <c r="S965" t="s">
        <v>45026</v>
      </c>
      <c r="T965" t="s">
        <v>46409</v>
      </c>
      <c r="U965" t="s">
        <v>47755</v>
      </c>
      <c r="W965" t="s">
        <v>41033</v>
      </c>
      <c r="X965" t="s">
        <v>44908</v>
      </c>
    </row>
    <row r="966" spans="1:24">
      <c r="A966">
        <f>HYPERLINK("https://www.philgeps.gov.ph/GEPSNONPILOT/Tender/SplashBidNoticeAbstractUI.aspx?menuIndex=3&amp;refID=7082708&amp;Result=3","7082708")</f>
        <v>0</v>
      </c>
      <c r="B966" t="s">
        <v>451</v>
      </c>
      <c r="C966" t="s">
        <v>4456</v>
      </c>
      <c r="D966" t="s">
        <v>18112</v>
      </c>
      <c r="E966" t="s">
        <v>19096</v>
      </c>
      <c r="F966" t="s">
        <v>31362</v>
      </c>
      <c r="G966" t="s">
        <v>31369</v>
      </c>
      <c r="H966" t="s">
        <v>15799</v>
      </c>
      <c r="I966" t="s">
        <v>3815</v>
      </c>
      <c r="J966" t="s">
        <v>32251</v>
      </c>
      <c r="K966" t="s">
        <v>40670</v>
      </c>
      <c r="M966" t="s">
        <v>41405</v>
      </c>
      <c r="N966" t="s">
        <v>44905</v>
      </c>
      <c r="O966" t="s">
        <v>44906</v>
      </c>
      <c r="P966">
        <v>0</v>
      </c>
      <c r="Q966">
        <v>0</v>
      </c>
      <c r="R966" t="s">
        <v>44907</v>
      </c>
      <c r="S966" t="s">
        <v>45026</v>
      </c>
      <c r="T966" t="s">
        <v>46537</v>
      </c>
      <c r="U966" t="s">
        <v>47756</v>
      </c>
      <c r="W966" t="s">
        <v>41405</v>
      </c>
      <c r="X966" t="s">
        <v>44908</v>
      </c>
    </row>
    <row r="967" spans="1:24">
      <c r="A967">
        <f>HYPERLINK("https://www.philgeps.gov.ph/GEPSNONPILOT/Tender/SplashBidNoticeAbstractUI.aspx?menuIndex=3&amp;refID=7082639&amp;Result=3","7082639")</f>
        <v>0</v>
      </c>
      <c r="B967" t="s">
        <v>313</v>
      </c>
      <c r="C967" t="s">
        <v>4457</v>
      </c>
      <c r="D967" t="s">
        <v>18111</v>
      </c>
      <c r="E967" t="s">
        <v>19097</v>
      </c>
      <c r="F967" t="s">
        <v>31362</v>
      </c>
      <c r="G967" t="s">
        <v>31369</v>
      </c>
      <c r="H967" t="s">
        <v>15799</v>
      </c>
      <c r="I967" t="s">
        <v>31400</v>
      </c>
      <c r="J967" t="s">
        <v>31536</v>
      </c>
      <c r="K967" t="s">
        <v>40670</v>
      </c>
      <c r="M967" t="s">
        <v>41258</v>
      </c>
      <c r="N967" t="s">
        <v>44905</v>
      </c>
      <c r="O967" t="s">
        <v>44906</v>
      </c>
      <c r="P967">
        <v>0</v>
      </c>
      <c r="Q967">
        <v>4</v>
      </c>
      <c r="R967" t="s">
        <v>44907</v>
      </c>
      <c r="S967" t="s">
        <v>45026</v>
      </c>
      <c r="T967" t="s">
        <v>46458</v>
      </c>
      <c r="U967" t="s">
        <v>47757</v>
      </c>
      <c r="W967" t="s">
        <v>41258</v>
      </c>
      <c r="X967" t="s">
        <v>44908</v>
      </c>
    </row>
    <row r="968" spans="1:24">
      <c r="A968">
        <f>HYPERLINK("https://www.philgeps.gov.ph/GEPSNONPILOT/Tender/SplashBidNoticeAbstractUI.aspx?menuIndex=3&amp;refID=7082705&amp;Result=3","7082705")</f>
        <v>0</v>
      </c>
      <c r="B968" t="s">
        <v>56</v>
      </c>
      <c r="C968" t="s">
        <v>4458</v>
      </c>
      <c r="D968" t="s">
        <v>18106</v>
      </c>
      <c r="E968" t="s">
        <v>19098</v>
      </c>
      <c r="F968" t="s">
        <v>31362</v>
      </c>
      <c r="G968" t="s">
        <v>31368</v>
      </c>
      <c r="H968" t="s">
        <v>15799</v>
      </c>
      <c r="I968" t="s">
        <v>6373</v>
      </c>
      <c r="J968" t="s">
        <v>32252</v>
      </c>
      <c r="K968" t="s">
        <v>40666</v>
      </c>
      <c r="M968" t="s">
        <v>40990</v>
      </c>
      <c r="N968" t="s">
        <v>44905</v>
      </c>
      <c r="O968" t="s">
        <v>44906</v>
      </c>
      <c r="P968">
        <v>0</v>
      </c>
      <c r="Q968">
        <v>0</v>
      </c>
      <c r="R968" t="s">
        <v>44907</v>
      </c>
      <c r="S968" t="s">
        <v>45026</v>
      </c>
      <c r="T968" t="s">
        <v>46413</v>
      </c>
      <c r="U968" t="s">
        <v>46976</v>
      </c>
      <c r="V968" t="s">
        <v>59063</v>
      </c>
      <c r="W968" t="s">
        <v>40990</v>
      </c>
      <c r="X968" t="s">
        <v>44908</v>
      </c>
    </row>
    <row r="969" spans="1:24">
      <c r="A969">
        <f>HYPERLINK("https://www.philgeps.gov.ph/GEPSNONPILOT/Tender/SplashBidNoticeAbstractUI.aspx?menuIndex=3&amp;refID=7082704&amp;Result=3","7082704")</f>
        <v>0</v>
      </c>
      <c r="B969" t="s">
        <v>452</v>
      </c>
      <c r="C969" t="s">
        <v>4459</v>
      </c>
      <c r="D969" t="s">
        <v>18122</v>
      </c>
      <c r="E969" t="s">
        <v>19099</v>
      </c>
      <c r="F969" t="s">
        <v>31362</v>
      </c>
      <c r="G969" t="s">
        <v>31369</v>
      </c>
      <c r="H969" t="s">
        <v>31378</v>
      </c>
      <c r="I969" t="s">
        <v>31386</v>
      </c>
      <c r="J969" t="s">
        <v>32253</v>
      </c>
      <c r="K969" t="s">
        <v>40682</v>
      </c>
      <c r="M969" t="s">
        <v>41406</v>
      </c>
      <c r="N969" t="s">
        <v>44905</v>
      </c>
      <c r="O969" t="s">
        <v>44906</v>
      </c>
      <c r="P969">
        <v>0</v>
      </c>
      <c r="Q969">
        <v>1</v>
      </c>
      <c r="R969" t="s">
        <v>44907</v>
      </c>
      <c r="S969" t="s">
        <v>45026</v>
      </c>
      <c r="T969" t="s">
        <v>46429</v>
      </c>
      <c r="U969" t="s">
        <v>47758</v>
      </c>
      <c r="W969" t="s">
        <v>41406</v>
      </c>
      <c r="X969" t="s">
        <v>44908</v>
      </c>
    </row>
    <row r="970" spans="1:24">
      <c r="A970">
        <f>HYPERLINK("https://www.philgeps.gov.ph/GEPSNONPILOT/Tender/SplashBidNoticeAbstractUI.aspx?menuIndex=3&amp;refID=7082707&amp;Result=3","7082707")</f>
        <v>0</v>
      </c>
      <c r="B970" t="s">
        <v>428</v>
      </c>
      <c r="C970" t="s">
        <v>4460</v>
      </c>
      <c r="D970" t="s">
        <v>18148</v>
      </c>
      <c r="E970" t="s">
        <v>19100</v>
      </c>
      <c r="F970" t="s">
        <v>31362</v>
      </c>
      <c r="G970" t="s">
        <v>31368</v>
      </c>
      <c r="H970" t="s">
        <v>15799</v>
      </c>
      <c r="I970" t="s">
        <v>31404</v>
      </c>
      <c r="J970" t="s">
        <v>32254</v>
      </c>
      <c r="K970" t="s">
        <v>40697</v>
      </c>
      <c r="M970" t="s">
        <v>41379</v>
      </c>
      <c r="N970" t="s">
        <v>44905</v>
      </c>
      <c r="O970" t="s">
        <v>44906</v>
      </c>
      <c r="P970">
        <v>0</v>
      </c>
      <c r="Q970">
        <v>0</v>
      </c>
      <c r="R970" t="s">
        <v>44907</v>
      </c>
      <c r="S970" t="s">
        <v>45026</v>
      </c>
      <c r="T970" t="s">
        <v>46444</v>
      </c>
      <c r="U970" t="s">
        <v>47759</v>
      </c>
      <c r="W970" t="s">
        <v>41379</v>
      </c>
      <c r="X970" t="s">
        <v>44908</v>
      </c>
    </row>
    <row r="971" spans="1:24">
      <c r="A971">
        <f>HYPERLINK("https://www.philgeps.gov.ph/GEPSNONPILOT/Tender/SplashBidNoticeAbstractUI.aspx?menuIndex=3&amp;refID=7082700&amp;Result=3","7082700")</f>
        <v>0</v>
      </c>
      <c r="B971" t="s">
        <v>230</v>
      </c>
      <c r="C971" t="s">
        <v>4461</v>
      </c>
      <c r="D971" t="s">
        <v>18130</v>
      </c>
      <c r="E971" t="s">
        <v>18744</v>
      </c>
      <c r="F971" t="s">
        <v>31362</v>
      </c>
      <c r="G971" t="s">
        <v>31368</v>
      </c>
      <c r="H971" t="s">
        <v>15799</v>
      </c>
      <c r="I971" t="s">
        <v>31430</v>
      </c>
      <c r="J971" t="s">
        <v>32255</v>
      </c>
      <c r="K971" t="s">
        <v>40661</v>
      </c>
      <c r="M971" t="s">
        <v>41169</v>
      </c>
      <c r="N971" t="s">
        <v>44905</v>
      </c>
      <c r="O971" t="s">
        <v>44906</v>
      </c>
      <c r="P971">
        <v>0</v>
      </c>
      <c r="Q971">
        <v>0</v>
      </c>
      <c r="R971" t="s">
        <v>44907</v>
      </c>
      <c r="S971" t="s">
        <v>45026</v>
      </c>
      <c r="T971" t="s">
        <v>46410</v>
      </c>
      <c r="U971" t="s">
        <v>47760</v>
      </c>
      <c r="W971" t="s">
        <v>41169</v>
      </c>
      <c r="X971" t="s">
        <v>44908</v>
      </c>
    </row>
    <row r="972" spans="1:24">
      <c r="A972">
        <f>HYPERLINK("https://www.philgeps.gov.ph/GEPSNONPILOT/Tender/SplashBidNoticeAbstractUI.aspx?menuIndex=3&amp;refID=7082703&amp;Result=3","7082703")</f>
        <v>0</v>
      </c>
      <c r="B972" t="s">
        <v>409</v>
      </c>
      <c r="C972" t="s">
        <v>4462</v>
      </c>
      <c r="D972" t="s">
        <v>18111</v>
      </c>
      <c r="E972" t="s">
        <v>19101</v>
      </c>
      <c r="F972" t="s">
        <v>31362</v>
      </c>
      <c r="G972" t="s">
        <v>31370</v>
      </c>
      <c r="H972" t="s">
        <v>15799</v>
      </c>
      <c r="I972" t="s">
        <v>6373</v>
      </c>
      <c r="J972" t="s">
        <v>32256</v>
      </c>
      <c r="K972" t="s">
        <v>40670</v>
      </c>
      <c r="M972" t="s">
        <v>41359</v>
      </c>
      <c r="N972" t="s">
        <v>44905</v>
      </c>
      <c r="O972" t="s">
        <v>44906</v>
      </c>
      <c r="P972">
        <v>0</v>
      </c>
      <c r="Q972">
        <v>1</v>
      </c>
      <c r="R972" t="s">
        <v>44907</v>
      </c>
      <c r="S972" t="s">
        <v>45026</v>
      </c>
      <c r="T972" t="s">
        <v>46446</v>
      </c>
      <c r="U972" t="s">
        <v>47761</v>
      </c>
      <c r="W972" t="s">
        <v>41359</v>
      </c>
      <c r="X972" t="s">
        <v>44908</v>
      </c>
    </row>
    <row r="973" spans="1:24">
      <c r="A973">
        <f>HYPERLINK("https://www.philgeps.gov.ph/GEPSNONPILOT/Tender/SplashBidNoticeAbstractUI.aspx?menuIndex=3&amp;refID=7082697&amp;Result=3","7082697")</f>
        <v>0</v>
      </c>
      <c r="B973" t="s">
        <v>367</v>
      </c>
      <c r="C973" t="s">
        <v>4463</v>
      </c>
      <c r="D973" t="s">
        <v>18134</v>
      </c>
      <c r="E973" t="s">
        <v>19102</v>
      </c>
      <c r="F973" t="s">
        <v>31362</v>
      </c>
      <c r="G973" t="s">
        <v>31369</v>
      </c>
      <c r="H973" t="s">
        <v>15799</v>
      </c>
      <c r="I973" t="s">
        <v>31410</v>
      </c>
      <c r="J973" t="s">
        <v>32257</v>
      </c>
      <c r="K973" t="s">
        <v>40678</v>
      </c>
      <c r="M973" t="s">
        <v>41398</v>
      </c>
      <c r="N973" t="s">
        <v>44905</v>
      </c>
      <c r="O973" t="s">
        <v>44906</v>
      </c>
      <c r="P973">
        <v>0</v>
      </c>
      <c r="Q973">
        <v>0</v>
      </c>
      <c r="R973" t="s">
        <v>44907</v>
      </c>
      <c r="S973" t="s">
        <v>45026</v>
      </c>
      <c r="T973" t="s">
        <v>46449</v>
      </c>
      <c r="U973" t="s">
        <v>47762</v>
      </c>
      <c r="V973" t="s">
        <v>59171</v>
      </c>
      <c r="W973" t="s">
        <v>41398</v>
      </c>
      <c r="X973" t="s">
        <v>44908</v>
      </c>
    </row>
    <row r="974" spans="1:24">
      <c r="A974">
        <f>HYPERLINK("https://www.philgeps.gov.ph/GEPSNONPILOT/Tender/SplashBidNoticeAbstractUI.aspx?menuIndex=3&amp;refID=7082684&amp;Result=3","7082684")</f>
        <v>0</v>
      </c>
      <c r="B974" t="s">
        <v>74</v>
      </c>
      <c r="C974" t="s">
        <v>4464</v>
      </c>
      <c r="D974" t="s">
        <v>18108</v>
      </c>
      <c r="E974" t="s">
        <v>19103</v>
      </c>
      <c r="F974" t="s">
        <v>31362</v>
      </c>
      <c r="G974" t="s">
        <v>31368</v>
      </c>
      <c r="H974" t="s">
        <v>15799</v>
      </c>
      <c r="I974" t="s">
        <v>31421</v>
      </c>
      <c r="J974" t="s">
        <v>31687</v>
      </c>
      <c r="K974" t="s">
        <v>40662</v>
      </c>
      <c r="M974" t="s">
        <v>41407</v>
      </c>
      <c r="N974" t="s">
        <v>44905</v>
      </c>
      <c r="O974" t="s">
        <v>44906</v>
      </c>
      <c r="P974">
        <v>0</v>
      </c>
      <c r="Q974">
        <v>1</v>
      </c>
      <c r="R974" t="s">
        <v>44907</v>
      </c>
      <c r="S974" t="s">
        <v>45026</v>
      </c>
      <c r="T974" t="s">
        <v>46404</v>
      </c>
      <c r="U974" t="s">
        <v>47763</v>
      </c>
      <c r="W974" t="s">
        <v>41407</v>
      </c>
      <c r="X974" t="s">
        <v>44908</v>
      </c>
    </row>
    <row r="975" spans="1:24">
      <c r="A975">
        <f>HYPERLINK("https://www.philgeps.gov.ph/GEPSNONPILOT/Tender/SplashBidNoticeAbstractUI.aspx?menuIndex=3&amp;refID=7082696&amp;Result=3","7082696")</f>
        <v>0</v>
      </c>
      <c r="B975" t="s">
        <v>134</v>
      </c>
      <c r="C975" t="s">
        <v>4465</v>
      </c>
      <c r="D975" t="s">
        <v>18108</v>
      </c>
      <c r="E975" t="s">
        <v>19104</v>
      </c>
      <c r="F975" t="s">
        <v>31362</v>
      </c>
      <c r="G975" t="s">
        <v>31369</v>
      </c>
      <c r="H975" t="s">
        <v>15799</v>
      </c>
      <c r="I975" t="s">
        <v>7719</v>
      </c>
      <c r="J975" t="s">
        <v>32086</v>
      </c>
      <c r="K975" t="s">
        <v>40662</v>
      </c>
      <c r="L975" t="s">
        <v>134</v>
      </c>
      <c r="M975" t="s">
        <v>41370</v>
      </c>
      <c r="N975" t="s">
        <v>44905</v>
      </c>
      <c r="O975" t="s">
        <v>44906</v>
      </c>
      <c r="P975">
        <v>0</v>
      </c>
      <c r="Q975">
        <v>6</v>
      </c>
      <c r="R975" t="s">
        <v>44907</v>
      </c>
      <c r="S975" t="s">
        <v>45026</v>
      </c>
      <c r="T975" t="s">
        <v>46431</v>
      </c>
      <c r="U975" t="s">
        <v>47674</v>
      </c>
      <c r="W975" t="s">
        <v>41370</v>
      </c>
      <c r="X975" t="s">
        <v>44908</v>
      </c>
    </row>
    <row r="976" spans="1:24">
      <c r="A976">
        <f>HYPERLINK("https://www.philgeps.gov.ph/GEPSNONPILOT/Tender/SplashBidNoticeAbstractUI.aspx?menuIndex=3&amp;refID=7082693&amp;Result=3","7082693")</f>
        <v>0</v>
      </c>
      <c r="B976" t="s">
        <v>453</v>
      </c>
      <c r="C976" t="s">
        <v>4466</v>
      </c>
      <c r="E976" t="s">
        <v>19105</v>
      </c>
      <c r="F976" t="s">
        <v>31362</v>
      </c>
      <c r="G976" t="s">
        <v>31369</v>
      </c>
      <c r="H976" t="s">
        <v>31378</v>
      </c>
      <c r="I976" t="s">
        <v>31386</v>
      </c>
      <c r="J976" t="s">
        <v>31688</v>
      </c>
      <c r="K976" t="s">
        <v>40698</v>
      </c>
      <c r="M976" t="s">
        <v>40965</v>
      </c>
      <c r="N976" t="s">
        <v>44905</v>
      </c>
      <c r="O976" t="s">
        <v>44906</v>
      </c>
      <c r="P976">
        <v>0</v>
      </c>
      <c r="Q976">
        <v>0</v>
      </c>
      <c r="R976" t="s">
        <v>44907</v>
      </c>
      <c r="S976" t="s">
        <v>45026</v>
      </c>
      <c r="T976" t="s">
        <v>46505</v>
      </c>
      <c r="U976" t="s">
        <v>47764</v>
      </c>
      <c r="W976" t="s">
        <v>40965</v>
      </c>
      <c r="X976" t="s">
        <v>44908</v>
      </c>
    </row>
    <row r="977" spans="1:24">
      <c r="A977">
        <f>HYPERLINK("https://www.philgeps.gov.ph/GEPSNONPILOT/Tender/SplashBidNoticeAbstractUI.aspx?menuIndex=3&amp;refID=7082698&amp;Result=3","7082698")</f>
        <v>0</v>
      </c>
      <c r="B977" t="s">
        <v>419</v>
      </c>
      <c r="C977" t="s">
        <v>4467</v>
      </c>
      <c r="D977" t="s">
        <v>18159</v>
      </c>
      <c r="E977" t="s">
        <v>19106</v>
      </c>
      <c r="F977" t="s">
        <v>31362</v>
      </c>
      <c r="G977" t="s">
        <v>31368</v>
      </c>
      <c r="H977" t="s">
        <v>15799</v>
      </c>
      <c r="I977" t="s">
        <v>3815</v>
      </c>
      <c r="J977" t="s">
        <v>32258</v>
      </c>
      <c r="K977" t="s">
        <v>40665</v>
      </c>
      <c r="M977" t="s">
        <v>41369</v>
      </c>
      <c r="N977" t="s">
        <v>44905</v>
      </c>
      <c r="O977" t="s">
        <v>44906</v>
      </c>
      <c r="P977">
        <v>0</v>
      </c>
      <c r="Q977">
        <v>0</v>
      </c>
      <c r="R977" t="s">
        <v>44907</v>
      </c>
      <c r="S977" t="s">
        <v>45026</v>
      </c>
      <c r="T977" t="s">
        <v>46409</v>
      </c>
      <c r="U977" t="s">
        <v>47765</v>
      </c>
      <c r="W977" t="s">
        <v>41369</v>
      </c>
      <c r="X977" t="s">
        <v>44908</v>
      </c>
    </row>
    <row r="978" spans="1:24">
      <c r="A978">
        <f>HYPERLINK("https://www.philgeps.gov.ph/GEPSNONPILOT/Tender/SplashBidNoticeAbstractUI.aspx?menuIndex=3&amp;refID=7082691&amp;Result=3","7082691")</f>
        <v>0</v>
      </c>
      <c r="B978" t="s">
        <v>68</v>
      </c>
      <c r="C978" t="s">
        <v>4468</v>
      </c>
      <c r="D978" t="s">
        <v>18117</v>
      </c>
      <c r="E978" t="s">
        <v>19107</v>
      </c>
      <c r="F978" t="s">
        <v>31362</v>
      </c>
      <c r="G978" t="s">
        <v>31368</v>
      </c>
      <c r="H978" t="s">
        <v>15799</v>
      </c>
      <c r="I978" t="s">
        <v>31386</v>
      </c>
      <c r="J978" t="s">
        <v>31574</v>
      </c>
      <c r="K978" t="s">
        <v>40661</v>
      </c>
      <c r="M978" t="s">
        <v>41004</v>
      </c>
      <c r="N978" t="s">
        <v>44905</v>
      </c>
      <c r="O978" t="s">
        <v>44906</v>
      </c>
      <c r="P978">
        <v>0</v>
      </c>
      <c r="Q978">
        <v>0</v>
      </c>
      <c r="R978" t="s">
        <v>44907</v>
      </c>
      <c r="S978" t="s">
        <v>45026</v>
      </c>
      <c r="T978" t="s">
        <v>46426</v>
      </c>
      <c r="U978" t="s">
        <v>47021</v>
      </c>
      <c r="W978" t="s">
        <v>41004</v>
      </c>
      <c r="X978" t="s">
        <v>44908</v>
      </c>
    </row>
    <row r="979" spans="1:24">
      <c r="A979">
        <f>HYPERLINK("https://www.philgeps.gov.ph/GEPSNONPILOT/Tender/SplashBidNoticeAbstractUI.aspx?menuIndex=3&amp;refID=7082690&amp;Result=3","7082690")</f>
        <v>0</v>
      </c>
      <c r="B979" t="s">
        <v>454</v>
      </c>
      <c r="C979" t="s">
        <v>4469</v>
      </c>
      <c r="D979" t="s">
        <v>18140</v>
      </c>
      <c r="E979" t="s">
        <v>18464</v>
      </c>
      <c r="F979" t="s">
        <v>31362</v>
      </c>
      <c r="G979" t="s">
        <v>31369</v>
      </c>
      <c r="H979" t="s">
        <v>15799</v>
      </c>
      <c r="I979" t="s">
        <v>31409</v>
      </c>
      <c r="J979" t="s">
        <v>31536</v>
      </c>
      <c r="K979" t="s">
        <v>40661</v>
      </c>
      <c r="M979" t="s">
        <v>41408</v>
      </c>
      <c r="N979" t="s">
        <v>44905</v>
      </c>
      <c r="O979" t="s">
        <v>44906</v>
      </c>
      <c r="P979">
        <v>0</v>
      </c>
      <c r="Q979">
        <v>1</v>
      </c>
      <c r="R979" t="s">
        <v>44907</v>
      </c>
      <c r="S979" t="s">
        <v>45026</v>
      </c>
      <c r="T979" t="s">
        <v>46396</v>
      </c>
      <c r="U979" t="s">
        <v>47766</v>
      </c>
      <c r="W979" t="s">
        <v>41408</v>
      </c>
      <c r="X979" t="s">
        <v>44908</v>
      </c>
    </row>
    <row r="980" spans="1:24">
      <c r="A980">
        <f>HYPERLINK("https://www.philgeps.gov.ph/GEPSNONPILOT/Tender/SplashBidNoticeAbstractUI.aspx?menuIndex=3&amp;refID=7082692&amp;Result=3","7082692")</f>
        <v>0</v>
      </c>
      <c r="B980" t="s">
        <v>259</v>
      </c>
      <c r="C980" t="s">
        <v>4470</v>
      </c>
      <c r="D980" t="s">
        <v>18100</v>
      </c>
      <c r="E980" t="s">
        <v>19108</v>
      </c>
      <c r="F980" t="s">
        <v>31362</v>
      </c>
      <c r="G980" t="s">
        <v>31368</v>
      </c>
      <c r="H980" t="s">
        <v>15799</v>
      </c>
      <c r="I980" t="s">
        <v>12925</v>
      </c>
      <c r="J980" t="s">
        <v>31768</v>
      </c>
      <c r="K980" t="s">
        <v>40693</v>
      </c>
      <c r="M980" t="s">
        <v>41200</v>
      </c>
      <c r="N980" t="s">
        <v>44905</v>
      </c>
      <c r="O980" t="s">
        <v>44906</v>
      </c>
      <c r="P980">
        <v>0</v>
      </c>
      <c r="Q980">
        <v>0</v>
      </c>
      <c r="R980" t="s">
        <v>44907</v>
      </c>
      <c r="S980" t="s">
        <v>45026</v>
      </c>
      <c r="T980" t="s">
        <v>46426</v>
      </c>
      <c r="U980" t="s">
        <v>47767</v>
      </c>
      <c r="W980" t="s">
        <v>41200</v>
      </c>
      <c r="X980" t="s">
        <v>44908</v>
      </c>
    </row>
    <row r="981" spans="1:24">
      <c r="A981">
        <f>HYPERLINK("https://www.philgeps.gov.ph/GEPSNONPILOT/Tender/SplashBidNoticeAbstractUI.aspx?menuIndex=3&amp;refID=7082625&amp;Result=3","7082625")</f>
        <v>0</v>
      </c>
      <c r="B981" t="s">
        <v>418</v>
      </c>
      <c r="C981" t="s">
        <v>4471</v>
      </c>
      <c r="D981" t="s">
        <v>18100</v>
      </c>
      <c r="E981" t="s">
        <v>19109</v>
      </c>
      <c r="F981" t="s">
        <v>31362</v>
      </c>
      <c r="G981" t="s">
        <v>31372</v>
      </c>
      <c r="H981" t="s">
        <v>15799</v>
      </c>
      <c r="I981" t="s">
        <v>31385</v>
      </c>
      <c r="J981" t="s">
        <v>32259</v>
      </c>
      <c r="K981" t="s">
        <v>40662</v>
      </c>
      <c r="M981" t="s">
        <v>41368</v>
      </c>
      <c r="N981" t="s">
        <v>44905</v>
      </c>
      <c r="O981" t="s">
        <v>44906</v>
      </c>
      <c r="P981">
        <v>0</v>
      </c>
      <c r="Q981">
        <v>3</v>
      </c>
      <c r="R981" t="s">
        <v>44907</v>
      </c>
      <c r="S981" t="s">
        <v>45026</v>
      </c>
      <c r="T981" t="s">
        <v>46412</v>
      </c>
      <c r="U981" t="s">
        <v>47683</v>
      </c>
      <c r="W981" t="s">
        <v>41368</v>
      </c>
      <c r="X981" t="s">
        <v>44908</v>
      </c>
    </row>
    <row r="982" spans="1:24">
      <c r="A982">
        <f>HYPERLINK("https://www.philgeps.gov.ph/GEPSNONPILOT/Tender/SplashBidNoticeAbstractUI.aspx?menuIndex=3&amp;refID=7082734&amp;Result=3","7082734")</f>
        <v>0</v>
      </c>
      <c r="B982" t="s">
        <v>402</v>
      </c>
      <c r="C982" t="s">
        <v>4472</v>
      </c>
      <c r="D982" t="s">
        <v>18139</v>
      </c>
      <c r="E982" t="s">
        <v>19110</v>
      </c>
      <c r="F982" t="s">
        <v>31362</v>
      </c>
      <c r="G982" t="s">
        <v>31370</v>
      </c>
      <c r="H982" t="s">
        <v>15799</v>
      </c>
      <c r="I982" t="s">
        <v>7188</v>
      </c>
      <c r="J982" t="s">
        <v>32260</v>
      </c>
      <c r="K982" t="s">
        <v>40661</v>
      </c>
      <c r="M982" t="s">
        <v>41352</v>
      </c>
      <c r="N982" t="s">
        <v>44905</v>
      </c>
      <c r="O982" t="s">
        <v>44906</v>
      </c>
      <c r="P982">
        <v>0</v>
      </c>
      <c r="Q982">
        <v>0</v>
      </c>
      <c r="R982" t="s">
        <v>44907</v>
      </c>
      <c r="S982" t="s">
        <v>45026</v>
      </c>
      <c r="T982" t="s">
        <v>46400</v>
      </c>
      <c r="U982" t="s">
        <v>47768</v>
      </c>
      <c r="W982" t="s">
        <v>41352</v>
      </c>
      <c r="X982" t="s">
        <v>44908</v>
      </c>
    </row>
    <row r="983" spans="1:24">
      <c r="A983">
        <f>HYPERLINK("https://www.philgeps.gov.ph/GEPSNONPILOT/Tender/SplashBidNoticeAbstractUI.aspx?menuIndex=3&amp;refID=7082694&amp;Result=3","7082694")</f>
        <v>0</v>
      </c>
      <c r="B983" t="s">
        <v>455</v>
      </c>
      <c r="C983" t="s">
        <v>4473</v>
      </c>
      <c r="E983" t="s">
        <v>19111</v>
      </c>
      <c r="F983" t="s">
        <v>31362</v>
      </c>
      <c r="G983" t="s">
        <v>31370</v>
      </c>
      <c r="H983" t="s">
        <v>15799</v>
      </c>
      <c r="I983" t="s">
        <v>31385</v>
      </c>
      <c r="J983" t="s">
        <v>32261</v>
      </c>
      <c r="K983" t="s">
        <v>40662</v>
      </c>
      <c r="M983" t="s">
        <v>41409</v>
      </c>
      <c r="N983" t="s">
        <v>44905</v>
      </c>
      <c r="O983" t="s">
        <v>44906</v>
      </c>
      <c r="P983">
        <v>0</v>
      </c>
      <c r="Q983">
        <v>1</v>
      </c>
      <c r="R983" t="s">
        <v>44907</v>
      </c>
      <c r="S983" t="s">
        <v>45026</v>
      </c>
      <c r="T983" t="s">
        <v>46409</v>
      </c>
      <c r="U983" t="s">
        <v>47769</v>
      </c>
      <c r="W983" t="s">
        <v>41409</v>
      </c>
      <c r="X983" t="s">
        <v>44908</v>
      </c>
    </row>
    <row r="984" spans="1:24">
      <c r="A984">
        <f>HYPERLINK("https://www.philgeps.gov.ph/GEPSNONPILOT/Tender/SplashBidNoticeAbstractUI.aspx?menuIndex=3&amp;refID=7082732&amp;Result=3","7082732")</f>
        <v>0</v>
      </c>
      <c r="B984" t="s">
        <v>191</v>
      </c>
      <c r="C984" t="s">
        <v>4474</v>
      </c>
      <c r="D984" t="s">
        <v>18154</v>
      </c>
      <c r="E984" t="s">
        <v>19112</v>
      </c>
      <c r="F984" t="s">
        <v>31362</v>
      </c>
      <c r="G984" t="s">
        <v>31370</v>
      </c>
      <c r="H984" t="s">
        <v>15799</v>
      </c>
      <c r="I984" t="s">
        <v>4283</v>
      </c>
      <c r="J984" t="s">
        <v>32262</v>
      </c>
      <c r="K984" t="s">
        <v>40661</v>
      </c>
      <c r="M984" t="s">
        <v>41129</v>
      </c>
      <c r="N984" t="s">
        <v>44905</v>
      </c>
      <c r="O984" t="s">
        <v>44906</v>
      </c>
      <c r="P984">
        <v>0</v>
      </c>
      <c r="Q984">
        <v>2</v>
      </c>
      <c r="R984" t="s">
        <v>44907</v>
      </c>
      <c r="S984" t="s">
        <v>45026</v>
      </c>
      <c r="T984" t="s">
        <v>46434</v>
      </c>
      <c r="U984" t="s">
        <v>47770</v>
      </c>
      <c r="W984" t="s">
        <v>41129</v>
      </c>
      <c r="X984" t="s">
        <v>44908</v>
      </c>
    </row>
    <row r="985" spans="1:24">
      <c r="A985">
        <f>HYPERLINK("https://www.philgeps.gov.ph/GEPSNONPILOT/Tender/SplashBidNoticeAbstractUI.aspx?menuIndex=3&amp;refID=7082730&amp;Result=3","7082730")</f>
        <v>0</v>
      </c>
      <c r="B985" t="s">
        <v>68</v>
      </c>
      <c r="C985" t="s">
        <v>4475</v>
      </c>
      <c r="D985" t="s">
        <v>18117</v>
      </c>
      <c r="E985" t="s">
        <v>19113</v>
      </c>
      <c r="F985" t="s">
        <v>31362</v>
      </c>
      <c r="G985" t="s">
        <v>31371</v>
      </c>
      <c r="H985" t="s">
        <v>15799</v>
      </c>
      <c r="I985" t="s">
        <v>31400</v>
      </c>
      <c r="J985" t="s">
        <v>32263</v>
      </c>
      <c r="K985" t="s">
        <v>40661</v>
      </c>
      <c r="M985" t="s">
        <v>41004</v>
      </c>
      <c r="N985" t="s">
        <v>44905</v>
      </c>
      <c r="O985" t="s">
        <v>44906</v>
      </c>
      <c r="P985">
        <v>0</v>
      </c>
      <c r="Q985">
        <v>3</v>
      </c>
      <c r="R985" t="s">
        <v>44907</v>
      </c>
      <c r="S985" t="s">
        <v>45026</v>
      </c>
      <c r="T985" t="s">
        <v>46426</v>
      </c>
      <c r="U985" t="s">
        <v>47771</v>
      </c>
      <c r="W985" t="s">
        <v>41004</v>
      </c>
      <c r="X985" t="s">
        <v>44908</v>
      </c>
    </row>
    <row r="986" spans="1:24">
      <c r="A986">
        <f>HYPERLINK("https://www.philgeps.gov.ph/GEPSNONPILOT/Tender/SplashBidNoticeAbstractUI.aspx?menuIndex=3&amp;refID=7082729&amp;Result=3","7082729")</f>
        <v>0</v>
      </c>
      <c r="B986" t="s">
        <v>456</v>
      </c>
      <c r="C986" t="s">
        <v>4476</v>
      </c>
      <c r="E986" t="s">
        <v>19114</v>
      </c>
      <c r="F986" t="s">
        <v>31362</v>
      </c>
      <c r="G986" t="s">
        <v>31368</v>
      </c>
      <c r="H986" t="s">
        <v>15799</v>
      </c>
      <c r="I986" t="s">
        <v>7090</v>
      </c>
      <c r="J986" t="s">
        <v>32264</v>
      </c>
      <c r="K986" t="s">
        <v>40662</v>
      </c>
      <c r="M986" t="s">
        <v>41410</v>
      </c>
      <c r="N986" t="s">
        <v>44905</v>
      </c>
      <c r="O986" t="s">
        <v>44906</v>
      </c>
      <c r="P986">
        <v>0</v>
      </c>
      <c r="Q986">
        <v>0</v>
      </c>
      <c r="R986" t="s">
        <v>44907</v>
      </c>
      <c r="S986" t="s">
        <v>45026</v>
      </c>
      <c r="T986" t="s">
        <v>46443</v>
      </c>
      <c r="U986" t="s">
        <v>47772</v>
      </c>
      <c r="W986" t="s">
        <v>41410</v>
      </c>
      <c r="X986" t="s">
        <v>44908</v>
      </c>
    </row>
    <row r="987" spans="1:24">
      <c r="A987">
        <f>HYPERLINK("https://www.philgeps.gov.ph/GEPSNONPILOT/Tender/SplashBidNoticeAbstractUI.aspx?menuIndex=3&amp;refID=7082727&amp;Result=3","7082727")</f>
        <v>0</v>
      </c>
      <c r="B987" t="s">
        <v>447</v>
      </c>
      <c r="C987" t="s">
        <v>4477</v>
      </c>
      <c r="D987" t="s">
        <v>18109</v>
      </c>
      <c r="E987" t="s">
        <v>19115</v>
      </c>
      <c r="F987" t="s">
        <v>31362</v>
      </c>
      <c r="G987" t="s">
        <v>31368</v>
      </c>
      <c r="H987" t="s">
        <v>15799</v>
      </c>
      <c r="I987" t="s">
        <v>31422</v>
      </c>
      <c r="J987" t="s">
        <v>31768</v>
      </c>
      <c r="K987" t="s">
        <v>40670</v>
      </c>
      <c r="M987" t="s">
        <v>41401</v>
      </c>
      <c r="N987" t="s">
        <v>44905</v>
      </c>
      <c r="O987" t="s">
        <v>44906</v>
      </c>
      <c r="P987">
        <v>0</v>
      </c>
      <c r="Q987">
        <v>1</v>
      </c>
      <c r="R987" t="s">
        <v>44907</v>
      </c>
      <c r="S987" t="s">
        <v>45026</v>
      </c>
      <c r="T987" t="s">
        <v>46409</v>
      </c>
      <c r="U987" t="s">
        <v>47773</v>
      </c>
      <c r="V987" t="s">
        <v>59173</v>
      </c>
      <c r="W987" t="s">
        <v>41401</v>
      </c>
      <c r="X987" t="s">
        <v>44908</v>
      </c>
    </row>
    <row r="988" spans="1:24">
      <c r="A988">
        <f>HYPERLINK("https://www.philgeps.gov.ph/GEPSNONPILOT/Tender/SplashBidNoticeAbstractUI.aspx?menuIndex=3&amp;refID=7082723&amp;Result=3","7082723")</f>
        <v>0</v>
      </c>
      <c r="B988" t="s">
        <v>443</v>
      </c>
      <c r="C988" t="s">
        <v>4478</v>
      </c>
      <c r="D988" t="s">
        <v>18131</v>
      </c>
      <c r="E988" t="s">
        <v>19116</v>
      </c>
      <c r="F988" t="s">
        <v>31362</v>
      </c>
      <c r="G988" t="s">
        <v>31368</v>
      </c>
      <c r="H988" t="s">
        <v>15799</v>
      </c>
      <c r="I988" t="s">
        <v>7188</v>
      </c>
      <c r="J988" t="s">
        <v>31933</v>
      </c>
      <c r="K988" t="s">
        <v>40662</v>
      </c>
      <c r="L988" t="s">
        <v>443</v>
      </c>
      <c r="M988" t="s">
        <v>41396</v>
      </c>
      <c r="N988" t="s">
        <v>44905</v>
      </c>
      <c r="O988" t="s">
        <v>44906</v>
      </c>
      <c r="P988">
        <v>0</v>
      </c>
      <c r="Q988">
        <v>3</v>
      </c>
      <c r="R988" t="s">
        <v>44907</v>
      </c>
      <c r="S988" t="s">
        <v>45026</v>
      </c>
      <c r="T988" t="s">
        <v>46454</v>
      </c>
      <c r="U988" t="s">
        <v>47726</v>
      </c>
      <c r="W988" t="s">
        <v>41396</v>
      </c>
      <c r="X988" t="s">
        <v>44908</v>
      </c>
    </row>
    <row r="989" spans="1:24">
      <c r="A989">
        <f>HYPERLINK("https://www.philgeps.gov.ph/GEPSNONPILOT/Tender/SplashBidNoticeAbstractUI.aspx?menuIndex=3&amp;refID=7082695&amp;Result=3","7082695")</f>
        <v>0</v>
      </c>
      <c r="B989" t="s">
        <v>457</v>
      </c>
      <c r="C989" t="s">
        <v>4479</v>
      </c>
      <c r="D989" t="s">
        <v>18155</v>
      </c>
      <c r="E989" t="s">
        <v>19117</v>
      </c>
      <c r="F989" t="s">
        <v>31362</v>
      </c>
      <c r="G989" t="s">
        <v>31368</v>
      </c>
      <c r="H989" t="s">
        <v>31378</v>
      </c>
      <c r="I989" t="s">
        <v>31449</v>
      </c>
      <c r="J989" t="s">
        <v>32265</v>
      </c>
      <c r="K989" t="s">
        <v>40675</v>
      </c>
      <c r="M989" t="s">
        <v>41411</v>
      </c>
      <c r="N989" t="s">
        <v>44905</v>
      </c>
      <c r="O989" t="s">
        <v>44906</v>
      </c>
      <c r="P989">
        <v>0</v>
      </c>
      <c r="Q989">
        <v>1</v>
      </c>
      <c r="R989" t="s">
        <v>44907</v>
      </c>
      <c r="S989" t="s">
        <v>45026</v>
      </c>
      <c r="T989" t="s">
        <v>46505</v>
      </c>
      <c r="U989" t="s">
        <v>47774</v>
      </c>
      <c r="W989" t="s">
        <v>41411</v>
      </c>
      <c r="X989" t="s">
        <v>44908</v>
      </c>
    </row>
    <row r="990" spans="1:24">
      <c r="A990">
        <f>HYPERLINK("https://www.philgeps.gov.ph/GEPSNONPILOT/Tender/SplashBidNoticeAbstractUI.aspx?menuIndex=3&amp;refID=7082721&amp;Result=3","7082721")</f>
        <v>0</v>
      </c>
      <c r="B990" t="s">
        <v>440</v>
      </c>
      <c r="C990" t="s">
        <v>4480</v>
      </c>
      <c r="D990" t="s">
        <v>18154</v>
      </c>
      <c r="E990" t="s">
        <v>19118</v>
      </c>
      <c r="F990" t="s">
        <v>31362</v>
      </c>
      <c r="G990" t="s">
        <v>31368</v>
      </c>
      <c r="H990" t="s">
        <v>15799</v>
      </c>
      <c r="I990" t="s">
        <v>31404</v>
      </c>
      <c r="J990" t="s">
        <v>32266</v>
      </c>
      <c r="K990" t="s">
        <v>40662</v>
      </c>
      <c r="M990" t="s">
        <v>41392</v>
      </c>
      <c r="N990" t="s">
        <v>44905</v>
      </c>
      <c r="O990" t="s">
        <v>44906</v>
      </c>
      <c r="P990">
        <v>0</v>
      </c>
      <c r="Q990">
        <v>0</v>
      </c>
      <c r="R990" t="s">
        <v>44907</v>
      </c>
      <c r="S990" t="s">
        <v>45026</v>
      </c>
      <c r="T990" t="s">
        <v>46447</v>
      </c>
      <c r="U990" t="s">
        <v>47775</v>
      </c>
      <c r="W990" t="s">
        <v>41392</v>
      </c>
      <c r="X990" t="s">
        <v>44908</v>
      </c>
    </row>
    <row r="991" spans="1:24">
      <c r="A991">
        <f>HYPERLINK("https://www.philgeps.gov.ph/GEPSNONPILOT/Tender/SplashBidNoticeAbstractUI.aspx?menuIndex=3&amp;refID=7082731&amp;Result=3","7082731")</f>
        <v>0</v>
      </c>
      <c r="B991" t="s">
        <v>363</v>
      </c>
      <c r="C991" t="s">
        <v>4481</v>
      </c>
      <c r="D991" t="s">
        <v>18136</v>
      </c>
      <c r="E991" t="s">
        <v>19119</v>
      </c>
      <c r="F991" t="s">
        <v>31362</v>
      </c>
      <c r="G991" t="s">
        <v>31369</v>
      </c>
      <c r="H991" t="s">
        <v>15799</v>
      </c>
      <c r="I991" t="s">
        <v>31384</v>
      </c>
      <c r="J991" t="s">
        <v>32267</v>
      </c>
      <c r="K991" t="s">
        <v>40665</v>
      </c>
      <c r="M991" t="s">
        <v>41310</v>
      </c>
      <c r="N991" t="s">
        <v>44905</v>
      </c>
      <c r="O991" t="s">
        <v>44906</v>
      </c>
      <c r="P991">
        <v>0</v>
      </c>
      <c r="Q991">
        <v>2</v>
      </c>
      <c r="R991" t="s">
        <v>44907</v>
      </c>
      <c r="S991" t="s">
        <v>45026</v>
      </c>
      <c r="T991" t="s">
        <v>46538</v>
      </c>
      <c r="U991" t="s">
        <v>47776</v>
      </c>
      <c r="W991" t="s">
        <v>41310</v>
      </c>
      <c r="X991" t="s">
        <v>44908</v>
      </c>
    </row>
    <row r="992" spans="1:24">
      <c r="A992">
        <f>HYPERLINK("https://www.philgeps.gov.ph/GEPSNONPILOT/Tender/SplashBidNoticeAbstractUI.aspx?menuIndex=3&amp;refID=7082719&amp;Result=3","7082719")</f>
        <v>0</v>
      </c>
      <c r="B992" t="s">
        <v>458</v>
      </c>
      <c r="C992" t="s">
        <v>4482</v>
      </c>
      <c r="D992" t="s">
        <v>18169</v>
      </c>
      <c r="E992" t="s">
        <v>19120</v>
      </c>
      <c r="F992" t="s">
        <v>31362</v>
      </c>
      <c r="G992" t="s">
        <v>31376</v>
      </c>
      <c r="H992" t="s">
        <v>31377</v>
      </c>
      <c r="I992" t="s">
        <v>31377</v>
      </c>
      <c r="J992" t="s">
        <v>32268</v>
      </c>
      <c r="K992" t="s">
        <v>40712</v>
      </c>
      <c r="M992" t="s">
        <v>41412</v>
      </c>
      <c r="N992" t="s">
        <v>44905</v>
      </c>
      <c r="O992" t="s">
        <v>44906</v>
      </c>
      <c r="P992">
        <v>0</v>
      </c>
      <c r="Q992">
        <v>0</v>
      </c>
      <c r="R992" t="s">
        <v>44907</v>
      </c>
      <c r="S992" t="s">
        <v>45026</v>
      </c>
      <c r="T992" t="s">
        <v>46417</v>
      </c>
      <c r="U992" t="s">
        <v>47777</v>
      </c>
      <c r="W992" t="s">
        <v>41412</v>
      </c>
      <c r="X992" t="s">
        <v>44908</v>
      </c>
    </row>
    <row r="993" spans="1:24">
      <c r="A993">
        <f>HYPERLINK("https://www.philgeps.gov.ph/GEPSNONPILOT/Tender/SplashBidNoticeAbstractUI.aspx?menuIndex=3&amp;refID=7082688&amp;Result=3","7082688")</f>
        <v>0</v>
      </c>
      <c r="B993" t="s">
        <v>199</v>
      </c>
      <c r="C993" t="s">
        <v>4483</v>
      </c>
      <c r="D993" t="s">
        <v>18139</v>
      </c>
      <c r="E993" t="s">
        <v>19121</v>
      </c>
      <c r="F993" t="s">
        <v>31362</v>
      </c>
      <c r="G993" t="s">
        <v>31368</v>
      </c>
      <c r="H993" t="s">
        <v>15799</v>
      </c>
      <c r="I993" t="s">
        <v>31385</v>
      </c>
      <c r="J993" t="s">
        <v>32269</v>
      </c>
      <c r="K993" t="s">
        <v>40666</v>
      </c>
      <c r="M993" t="s">
        <v>41227</v>
      </c>
      <c r="N993" t="s">
        <v>44905</v>
      </c>
      <c r="O993" t="s">
        <v>44906</v>
      </c>
      <c r="P993">
        <v>0</v>
      </c>
      <c r="Q993">
        <v>2</v>
      </c>
      <c r="R993" t="s">
        <v>44907</v>
      </c>
      <c r="S993" t="s">
        <v>45026</v>
      </c>
      <c r="T993" t="s">
        <v>46443</v>
      </c>
      <c r="U993" t="s">
        <v>47778</v>
      </c>
      <c r="V993" t="s">
        <v>59175</v>
      </c>
      <c r="W993" t="s">
        <v>41227</v>
      </c>
      <c r="X993" t="s">
        <v>44908</v>
      </c>
    </row>
    <row r="994" spans="1:24">
      <c r="A994">
        <f>HYPERLINK("https://www.philgeps.gov.ph/GEPSNONPILOT/Tender/SplashBidNoticeAbstractUI.aspx?menuIndex=3&amp;refID=7082725&amp;Result=3","7082725")</f>
        <v>0</v>
      </c>
      <c r="B994" t="s">
        <v>459</v>
      </c>
      <c r="C994" t="s">
        <v>4484</v>
      </c>
      <c r="D994" t="s">
        <v>18170</v>
      </c>
      <c r="E994" t="s">
        <v>19122</v>
      </c>
      <c r="F994" t="s">
        <v>31362</v>
      </c>
      <c r="G994" t="s">
        <v>31369</v>
      </c>
      <c r="H994" t="s">
        <v>15799</v>
      </c>
      <c r="I994" t="s">
        <v>31397</v>
      </c>
      <c r="J994" t="s">
        <v>32270</v>
      </c>
      <c r="K994" t="s">
        <v>40666</v>
      </c>
      <c r="M994" t="s">
        <v>41413</v>
      </c>
      <c r="N994" t="s">
        <v>44905</v>
      </c>
      <c r="O994" t="s">
        <v>44906</v>
      </c>
      <c r="P994">
        <v>0</v>
      </c>
      <c r="Q994">
        <v>1</v>
      </c>
      <c r="R994" t="s">
        <v>44907</v>
      </c>
      <c r="S994" t="s">
        <v>45026</v>
      </c>
      <c r="T994" t="s">
        <v>46405</v>
      </c>
      <c r="U994" t="s">
        <v>47779</v>
      </c>
      <c r="W994" t="s">
        <v>41413</v>
      </c>
      <c r="X994" t="s">
        <v>44908</v>
      </c>
    </row>
    <row r="995" spans="1:24">
      <c r="A995">
        <f>HYPERLINK("https://www.philgeps.gov.ph/GEPSNONPILOT/Tender/SplashBidNoticeAbstractUI.aspx?menuIndex=3&amp;refID=7082722&amp;Result=3","7082722")</f>
        <v>0</v>
      </c>
      <c r="B995" t="s">
        <v>117</v>
      </c>
      <c r="C995" t="s">
        <v>4485</v>
      </c>
      <c r="D995" t="s">
        <v>18104</v>
      </c>
      <c r="E995" t="s">
        <v>19123</v>
      </c>
      <c r="F995" t="s">
        <v>31362</v>
      </c>
      <c r="G995" t="s">
        <v>31368</v>
      </c>
      <c r="H995" t="s">
        <v>31377</v>
      </c>
      <c r="I995" t="s">
        <v>31377</v>
      </c>
      <c r="J995" t="s">
        <v>32271</v>
      </c>
      <c r="K995" t="s">
        <v>40662</v>
      </c>
      <c r="M995" t="s">
        <v>41054</v>
      </c>
      <c r="N995" t="s">
        <v>44905</v>
      </c>
      <c r="O995" t="s">
        <v>44906</v>
      </c>
      <c r="P995">
        <v>0</v>
      </c>
      <c r="Q995">
        <v>0</v>
      </c>
      <c r="R995" t="s">
        <v>44907</v>
      </c>
      <c r="S995" t="s">
        <v>45026</v>
      </c>
      <c r="T995" t="s">
        <v>46403</v>
      </c>
      <c r="U995" t="s">
        <v>47780</v>
      </c>
      <c r="W995" t="s">
        <v>41054</v>
      </c>
      <c r="X995" t="s">
        <v>44908</v>
      </c>
    </row>
    <row r="996" spans="1:24">
      <c r="A996">
        <f>HYPERLINK("https://www.philgeps.gov.ph/GEPSNONPILOT/Tender/SplashBidNoticeAbstractUI.aspx?menuIndex=3&amp;refID=7082736&amp;Result=3","7082736")</f>
        <v>0</v>
      </c>
      <c r="B996" t="s">
        <v>377</v>
      </c>
      <c r="C996" t="s">
        <v>4486</v>
      </c>
      <c r="D996" t="s">
        <v>18108</v>
      </c>
      <c r="E996" t="s">
        <v>19124</v>
      </c>
      <c r="F996" t="s">
        <v>31362</v>
      </c>
      <c r="G996" t="s">
        <v>31368</v>
      </c>
      <c r="H996" t="s">
        <v>15799</v>
      </c>
      <c r="I996" t="s">
        <v>31430</v>
      </c>
      <c r="J996" t="s">
        <v>32272</v>
      </c>
      <c r="K996" t="s">
        <v>40661</v>
      </c>
      <c r="M996" t="s">
        <v>41324</v>
      </c>
      <c r="N996" t="s">
        <v>44905</v>
      </c>
      <c r="O996" t="s">
        <v>44906</v>
      </c>
      <c r="P996">
        <v>0</v>
      </c>
      <c r="Q996">
        <v>1</v>
      </c>
      <c r="R996" t="s">
        <v>44907</v>
      </c>
      <c r="S996" t="s">
        <v>45026</v>
      </c>
      <c r="T996" t="s">
        <v>46478</v>
      </c>
      <c r="U996" t="s">
        <v>47569</v>
      </c>
      <c r="W996" t="s">
        <v>41324</v>
      </c>
      <c r="X996" t="s">
        <v>44908</v>
      </c>
    </row>
    <row r="997" spans="1:24">
      <c r="A997">
        <f>HYPERLINK("https://www.philgeps.gov.ph/GEPSNONPILOT/Tender/SplashBidNoticeAbstractUI.aspx?menuIndex=3&amp;refID=7082720&amp;Result=3","7082720")</f>
        <v>0</v>
      </c>
      <c r="B997" t="s">
        <v>298</v>
      </c>
      <c r="C997" t="s">
        <v>4487</v>
      </c>
      <c r="D997" t="s">
        <v>18168</v>
      </c>
      <c r="E997" t="s">
        <v>19125</v>
      </c>
      <c r="F997" t="s">
        <v>31362</v>
      </c>
      <c r="G997" t="s">
        <v>31368</v>
      </c>
      <c r="H997" t="s">
        <v>15799</v>
      </c>
      <c r="I997" t="s">
        <v>31388</v>
      </c>
      <c r="J997" t="s">
        <v>31604</v>
      </c>
      <c r="K997" t="s">
        <v>40662</v>
      </c>
      <c r="M997" t="s">
        <v>41241</v>
      </c>
      <c r="N997" t="s">
        <v>44905</v>
      </c>
      <c r="O997" t="s">
        <v>44906</v>
      </c>
      <c r="P997">
        <v>0</v>
      </c>
      <c r="Q997">
        <v>0</v>
      </c>
      <c r="R997" t="s">
        <v>44907</v>
      </c>
      <c r="S997" t="s">
        <v>45026</v>
      </c>
      <c r="T997" t="s">
        <v>46506</v>
      </c>
      <c r="U997" t="s">
        <v>47781</v>
      </c>
      <c r="W997" t="s">
        <v>41241</v>
      </c>
      <c r="X997" t="s">
        <v>44908</v>
      </c>
    </row>
    <row r="998" spans="1:24">
      <c r="A998">
        <f>HYPERLINK("https://www.philgeps.gov.ph/GEPSNONPILOT/Tender/SplashBidNoticeAbstractUI.aspx?menuIndex=3&amp;refID=7082757&amp;Result=3","7082757")</f>
        <v>0</v>
      </c>
      <c r="B998" t="s">
        <v>417</v>
      </c>
      <c r="C998" t="s">
        <v>4488</v>
      </c>
      <c r="D998" t="s">
        <v>18166</v>
      </c>
      <c r="E998" t="s">
        <v>19126</v>
      </c>
      <c r="F998" t="s">
        <v>31362</v>
      </c>
      <c r="G998" t="s">
        <v>31368</v>
      </c>
      <c r="H998" t="s">
        <v>15799</v>
      </c>
      <c r="I998" t="s">
        <v>31409</v>
      </c>
      <c r="J998" t="s">
        <v>31806</v>
      </c>
      <c r="K998" t="s">
        <v>40670</v>
      </c>
      <c r="M998" t="s">
        <v>41367</v>
      </c>
      <c r="N998" t="s">
        <v>44905</v>
      </c>
      <c r="O998" t="s">
        <v>44906</v>
      </c>
      <c r="P998">
        <v>0</v>
      </c>
      <c r="Q998">
        <v>0</v>
      </c>
      <c r="R998" t="s">
        <v>44907</v>
      </c>
      <c r="S998" t="s">
        <v>45026</v>
      </c>
      <c r="T998" t="s">
        <v>46454</v>
      </c>
      <c r="U998" t="s">
        <v>47782</v>
      </c>
      <c r="W998" t="s">
        <v>41367</v>
      </c>
      <c r="X998" t="s">
        <v>44908</v>
      </c>
    </row>
    <row r="999" spans="1:24">
      <c r="A999">
        <f>HYPERLINK("https://www.philgeps.gov.ph/GEPSNONPILOT/Tender/SplashBidNoticeAbstractUI.aspx?menuIndex=3&amp;refID=7082702&amp;Result=3","7082702")</f>
        <v>0</v>
      </c>
      <c r="B999" t="s">
        <v>440</v>
      </c>
      <c r="C999" t="s">
        <v>4489</v>
      </c>
      <c r="D999" t="s">
        <v>18154</v>
      </c>
      <c r="E999" t="s">
        <v>19127</v>
      </c>
      <c r="F999" t="s">
        <v>31362</v>
      </c>
      <c r="G999" t="s">
        <v>31368</v>
      </c>
      <c r="H999" t="s">
        <v>15799</v>
      </c>
      <c r="I999" t="s">
        <v>31404</v>
      </c>
      <c r="J999" t="s">
        <v>32273</v>
      </c>
      <c r="K999" t="s">
        <v>40662</v>
      </c>
      <c r="M999" t="s">
        <v>41392</v>
      </c>
      <c r="N999" t="s">
        <v>44905</v>
      </c>
      <c r="O999" t="s">
        <v>44906</v>
      </c>
      <c r="P999">
        <v>0</v>
      </c>
      <c r="Q999">
        <v>0</v>
      </c>
      <c r="R999" t="s">
        <v>44907</v>
      </c>
      <c r="S999" t="s">
        <v>45026</v>
      </c>
      <c r="T999" t="s">
        <v>46447</v>
      </c>
      <c r="U999" t="s">
        <v>47783</v>
      </c>
      <c r="W999" t="s">
        <v>41392</v>
      </c>
      <c r="X999" t="s">
        <v>44908</v>
      </c>
    </row>
    <row r="1000" spans="1:24">
      <c r="A1000">
        <f>HYPERLINK("https://www.philgeps.gov.ph/GEPSNONPILOT/Tender/SplashBidNoticeAbstractUI.aspx?menuIndex=3&amp;refID=7082717&amp;Result=3","7082717")</f>
        <v>0</v>
      </c>
      <c r="B1000" t="s">
        <v>460</v>
      </c>
      <c r="C1000" t="s">
        <v>4490</v>
      </c>
      <c r="D1000" t="s">
        <v>18108</v>
      </c>
      <c r="E1000" t="s">
        <v>19128</v>
      </c>
      <c r="F1000" t="s">
        <v>31363</v>
      </c>
      <c r="G1000" t="s">
        <v>31369</v>
      </c>
      <c r="H1000" t="s">
        <v>15799</v>
      </c>
      <c r="I1000" t="s">
        <v>7090</v>
      </c>
      <c r="J1000" t="s">
        <v>32274</v>
      </c>
      <c r="K1000" t="s">
        <v>40665</v>
      </c>
      <c r="M1000" t="s">
        <v>41414</v>
      </c>
      <c r="N1000" t="s">
        <v>44905</v>
      </c>
      <c r="O1000" t="s">
        <v>44906</v>
      </c>
      <c r="P1000">
        <v>0</v>
      </c>
      <c r="Q1000">
        <v>0</v>
      </c>
      <c r="R1000" t="s">
        <v>44907</v>
      </c>
      <c r="S1000" t="s">
        <v>45026</v>
      </c>
      <c r="T1000" t="s">
        <v>46539</v>
      </c>
      <c r="U1000" t="s">
        <v>47784</v>
      </c>
      <c r="W1000" t="s">
        <v>41414</v>
      </c>
      <c r="X1000" t="s">
        <v>44908</v>
      </c>
    </row>
    <row r="1001" spans="1:24">
      <c r="A1001">
        <f>HYPERLINK("https://www.philgeps.gov.ph/GEPSNONPILOT/Tender/SplashBidNoticeAbstractUI.aspx?menuIndex=3&amp;refID=7082753&amp;Result=3","7082753")</f>
        <v>0</v>
      </c>
      <c r="B1001" t="s">
        <v>461</v>
      </c>
      <c r="C1001" t="s">
        <v>4491</v>
      </c>
      <c r="D1001" t="s">
        <v>18112</v>
      </c>
      <c r="E1001" t="s">
        <v>19129</v>
      </c>
      <c r="F1001" t="s">
        <v>31362</v>
      </c>
      <c r="G1001" t="s">
        <v>31368</v>
      </c>
      <c r="H1001" t="s">
        <v>15799</v>
      </c>
      <c r="I1001" t="s">
        <v>4057</v>
      </c>
      <c r="J1001" t="s">
        <v>32275</v>
      </c>
      <c r="K1001" t="s">
        <v>40670</v>
      </c>
      <c r="M1001" t="s">
        <v>41415</v>
      </c>
      <c r="N1001" t="s">
        <v>44905</v>
      </c>
      <c r="O1001" t="s">
        <v>44906</v>
      </c>
      <c r="P1001">
        <v>0</v>
      </c>
      <c r="Q1001">
        <v>0</v>
      </c>
      <c r="R1001" t="s">
        <v>44907</v>
      </c>
      <c r="S1001" t="s">
        <v>45026</v>
      </c>
      <c r="T1001" t="s">
        <v>46446</v>
      </c>
      <c r="U1001" t="s">
        <v>47785</v>
      </c>
      <c r="V1001" t="s">
        <v>59176</v>
      </c>
      <c r="W1001" t="s">
        <v>41415</v>
      </c>
      <c r="X1001" t="s">
        <v>44908</v>
      </c>
    </row>
    <row r="1002" spans="1:24">
      <c r="A1002">
        <f>HYPERLINK("https://www.philgeps.gov.ph/GEPSNONPILOT/Tender/SplashBidNoticeAbstractUI.aspx?menuIndex=3&amp;refID=7082752&amp;Result=3","7082752")</f>
        <v>0</v>
      </c>
      <c r="B1002" t="s">
        <v>448</v>
      </c>
      <c r="C1002" t="s">
        <v>4492</v>
      </c>
      <c r="D1002" t="s">
        <v>18167</v>
      </c>
      <c r="E1002" t="s">
        <v>19130</v>
      </c>
      <c r="F1002" t="s">
        <v>31362</v>
      </c>
      <c r="G1002" t="s">
        <v>31369</v>
      </c>
      <c r="H1002" t="s">
        <v>15799</v>
      </c>
      <c r="I1002" t="s">
        <v>6373</v>
      </c>
      <c r="J1002" t="s">
        <v>32276</v>
      </c>
      <c r="K1002" t="s">
        <v>40666</v>
      </c>
      <c r="M1002" t="s">
        <v>41402</v>
      </c>
      <c r="N1002" t="s">
        <v>44905</v>
      </c>
      <c r="O1002" t="s">
        <v>44906</v>
      </c>
      <c r="P1002">
        <v>0</v>
      </c>
      <c r="Q1002">
        <v>0</v>
      </c>
      <c r="R1002" t="s">
        <v>44907</v>
      </c>
      <c r="S1002" t="s">
        <v>45026</v>
      </c>
      <c r="T1002" t="s">
        <v>46499</v>
      </c>
      <c r="U1002" t="s">
        <v>47786</v>
      </c>
      <c r="W1002" t="s">
        <v>41402</v>
      </c>
      <c r="X1002" t="s">
        <v>44908</v>
      </c>
    </row>
    <row r="1003" spans="1:24">
      <c r="A1003">
        <f>HYPERLINK("https://www.philgeps.gov.ph/GEPSNONPILOT/Tender/SplashBidNoticeAbstractUI.aspx?menuIndex=3&amp;refID=7082754&amp;Result=3","7082754")</f>
        <v>0</v>
      </c>
      <c r="B1003" t="s">
        <v>117</v>
      </c>
      <c r="C1003" t="s">
        <v>4493</v>
      </c>
      <c r="D1003" t="s">
        <v>18104</v>
      </c>
      <c r="E1003" t="s">
        <v>19131</v>
      </c>
      <c r="F1003" t="s">
        <v>31362</v>
      </c>
      <c r="G1003" t="s">
        <v>31368</v>
      </c>
      <c r="H1003" t="s">
        <v>31377</v>
      </c>
      <c r="I1003" t="s">
        <v>31377</v>
      </c>
      <c r="J1003" t="s">
        <v>32122</v>
      </c>
      <c r="K1003" t="s">
        <v>40662</v>
      </c>
      <c r="M1003" t="s">
        <v>41054</v>
      </c>
      <c r="N1003" t="s">
        <v>44905</v>
      </c>
      <c r="O1003" t="s">
        <v>44906</v>
      </c>
      <c r="P1003">
        <v>0</v>
      </c>
      <c r="Q1003">
        <v>0</v>
      </c>
      <c r="R1003" t="s">
        <v>44907</v>
      </c>
      <c r="S1003" t="s">
        <v>45026</v>
      </c>
      <c r="T1003" t="s">
        <v>46403</v>
      </c>
      <c r="U1003" t="s">
        <v>47787</v>
      </c>
      <c r="W1003" t="s">
        <v>41054</v>
      </c>
      <c r="X1003" t="s">
        <v>44908</v>
      </c>
    </row>
    <row r="1004" spans="1:24">
      <c r="A1004">
        <f>HYPERLINK("https://www.philgeps.gov.ph/GEPSNONPILOT/Tender/SplashBidNoticeAbstractUI.aspx?menuIndex=3&amp;refID=7082750&amp;Result=3","7082750")</f>
        <v>0</v>
      </c>
      <c r="B1004" t="s">
        <v>137</v>
      </c>
      <c r="C1004" t="s">
        <v>4494</v>
      </c>
      <c r="D1004" t="s">
        <v>18141</v>
      </c>
      <c r="E1004" t="s">
        <v>19132</v>
      </c>
      <c r="F1004" t="s">
        <v>31363</v>
      </c>
      <c r="G1004" t="s">
        <v>31369</v>
      </c>
      <c r="H1004" t="s">
        <v>15799</v>
      </c>
      <c r="I1004" t="s">
        <v>3815</v>
      </c>
      <c r="J1004" t="s">
        <v>32277</v>
      </c>
      <c r="K1004" t="s">
        <v>40666</v>
      </c>
      <c r="M1004" t="s">
        <v>41075</v>
      </c>
      <c r="N1004" t="s">
        <v>44905</v>
      </c>
      <c r="O1004" t="s">
        <v>44906</v>
      </c>
      <c r="P1004">
        <v>0</v>
      </c>
      <c r="Q1004">
        <v>0</v>
      </c>
      <c r="R1004" t="s">
        <v>44907</v>
      </c>
      <c r="S1004" t="s">
        <v>45026</v>
      </c>
      <c r="T1004" t="s">
        <v>46449</v>
      </c>
      <c r="U1004" t="s">
        <v>47788</v>
      </c>
      <c r="W1004" t="s">
        <v>41075</v>
      </c>
      <c r="X1004" t="s">
        <v>44908</v>
      </c>
    </row>
    <row r="1005" spans="1:24">
      <c r="A1005">
        <f>HYPERLINK("https://www.philgeps.gov.ph/GEPSNONPILOT/Tender/SplashBidNoticeAbstractUI.aspx?menuIndex=3&amp;refID=7082361&amp;Result=3","7082361")</f>
        <v>0</v>
      </c>
      <c r="B1005" t="s">
        <v>87</v>
      </c>
      <c r="C1005" t="s">
        <v>4495</v>
      </c>
      <c r="D1005" t="s">
        <v>18109</v>
      </c>
      <c r="E1005" t="s">
        <v>19133</v>
      </c>
      <c r="F1005" t="s">
        <v>31362</v>
      </c>
      <c r="G1005" t="s">
        <v>31371</v>
      </c>
      <c r="H1005" t="s">
        <v>15799</v>
      </c>
      <c r="I1005" t="s">
        <v>7188</v>
      </c>
      <c r="J1005" t="s">
        <v>31564</v>
      </c>
      <c r="K1005" t="s">
        <v>40661</v>
      </c>
      <c r="M1005" t="s">
        <v>41023</v>
      </c>
      <c r="N1005" t="s">
        <v>44905</v>
      </c>
      <c r="O1005" t="s">
        <v>44906</v>
      </c>
      <c r="P1005">
        <v>0</v>
      </c>
      <c r="Q1005">
        <v>0</v>
      </c>
      <c r="R1005" t="s">
        <v>44907</v>
      </c>
      <c r="S1005" t="s">
        <v>45026</v>
      </c>
      <c r="T1005" t="s">
        <v>46435</v>
      </c>
      <c r="U1005" t="s">
        <v>47789</v>
      </c>
      <c r="W1005" t="s">
        <v>60832</v>
      </c>
      <c r="X1005" t="s">
        <v>44908</v>
      </c>
    </row>
    <row r="1006" spans="1:24">
      <c r="A1006">
        <f>HYPERLINK("https://www.philgeps.gov.ph/GEPSNONPILOT/Tender/SplashBidNoticeAbstractUI.aspx?menuIndex=3&amp;refID=7082749&amp;Result=3","7082749")</f>
        <v>0</v>
      </c>
      <c r="B1006" t="s">
        <v>74</v>
      </c>
      <c r="C1006" t="s">
        <v>4496</v>
      </c>
      <c r="D1006" t="s">
        <v>18108</v>
      </c>
      <c r="E1006" t="s">
        <v>19134</v>
      </c>
      <c r="F1006" t="s">
        <v>31362</v>
      </c>
      <c r="G1006" t="s">
        <v>31368</v>
      </c>
      <c r="H1006" t="s">
        <v>15799</v>
      </c>
      <c r="I1006" t="s">
        <v>31422</v>
      </c>
      <c r="J1006" t="s">
        <v>32278</v>
      </c>
      <c r="K1006" t="s">
        <v>40662</v>
      </c>
      <c r="M1006" t="s">
        <v>41407</v>
      </c>
      <c r="N1006" t="s">
        <v>44905</v>
      </c>
      <c r="O1006" t="s">
        <v>44906</v>
      </c>
      <c r="P1006">
        <v>0</v>
      </c>
      <c r="Q1006">
        <v>1</v>
      </c>
      <c r="R1006" t="s">
        <v>44907</v>
      </c>
      <c r="S1006" t="s">
        <v>45026</v>
      </c>
      <c r="T1006" t="s">
        <v>46404</v>
      </c>
      <c r="U1006" t="s">
        <v>47790</v>
      </c>
      <c r="W1006" t="s">
        <v>41407</v>
      </c>
      <c r="X1006" t="s">
        <v>44908</v>
      </c>
    </row>
    <row r="1007" spans="1:24">
      <c r="A1007">
        <f>HYPERLINK("https://www.philgeps.gov.ph/GEPSNONPILOT/Tender/SplashBidNoticeAbstractUI.aspx?menuIndex=3&amp;refID=7082751&amp;Result=3","7082751")</f>
        <v>0</v>
      </c>
      <c r="B1007" t="s">
        <v>116</v>
      </c>
      <c r="C1007" t="s">
        <v>4497</v>
      </c>
      <c r="D1007" t="s">
        <v>18141</v>
      </c>
      <c r="E1007" t="s">
        <v>19135</v>
      </c>
      <c r="F1007" t="s">
        <v>31362</v>
      </c>
      <c r="G1007" t="s">
        <v>31372</v>
      </c>
      <c r="H1007" t="s">
        <v>15799</v>
      </c>
      <c r="I1007" t="s">
        <v>31394</v>
      </c>
      <c r="J1007" t="s">
        <v>32279</v>
      </c>
      <c r="K1007" t="s">
        <v>40661</v>
      </c>
      <c r="M1007" t="s">
        <v>41053</v>
      </c>
      <c r="N1007" t="s">
        <v>44905</v>
      </c>
      <c r="O1007" t="s">
        <v>44906</v>
      </c>
      <c r="P1007">
        <v>0</v>
      </c>
      <c r="Q1007">
        <v>0</v>
      </c>
      <c r="R1007" t="s">
        <v>44907</v>
      </c>
      <c r="S1007" t="s">
        <v>45026</v>
      </c>
      <c r="T1007" t="s">
        <v>46404</v>
      </c>
      <c r="U1007" t="s">
        <v>47113</v>
      </c>
      <c r="W1007" t="s">
        <v>41053</v>
      </c>
      <c r="X1007" t="s">
        <v>44908</v>
      </c>
    </row>
    <row r="1008" spans="1:24">
      <c r="A1008">
        <f>HYPERLINK("https://www.philgeps.gov.ph/GEPSNONPILOT/Tender/SplashBidNoticeAbstractUI.aspx?menuIndex=3&amp;refID=7082746&amp;Result=3","7082746")</f>
        <v>0</v>
      </c>
      <c r="B1008" t="s">
        <v>462</v>
      </c>
      <c r="C1008" t="s">
        <v>4498</v>
      </c>
      <c r="D1008" t="s">
        <v>18150</v>
      </c>
      <c r="E1008" t="s">
        <v>19136</v>
      </c>
      <c r="F1008" t="s">
        <v>31362</v>
      </c>
      <c r="G1008" t="s">
        <v>31368</v>
      </c>
      <c r="H1008" t="s">
        <v>15799</v>
      </c>
      <c r="I1008" t="s">
        <v>6373</v>
      </c>
      <c r="J1008" t="s">
        <v>32280</v>
      </c>
      <c r="K1008" t="s">
        <v>40665</v>
      </c>
      <c r="M1008" t="s">
        <v>41416</v>
      </c>
      <c r="N1008" t="s">
        <v>44905</v>
      </c>
      <c r="O1008" t="s">
        <v>44906</v>
      </c>
      <c r="P1008">
        <v>0</v>
      </c>
      <c r="Q1008">
        <v>2</v>
      </c>
      <c r="R1008" t="s">
        <v>44907</v>
      </c>
      <c r="S1008" t="s">
        <v>45026</v>
      </c>
      <c r="T1008" t="s">
        <v>46540</v>
      </c>
      <c r="U1008" t="s">
        <v>47791</v>
      </c>
      <c r="W1008" t="s">
        <v>60855</v>
      </c>
      <c r="X1008" t="s">
        <v>44908</v>
      </c>
    </row>
    <row r="1009" spans="1:24">
      <c r="A1009">
        <f>HYPERLINK("https://www.philgeps.gov.ph/GEPSNONPILOT/Tender/SplashBidNoticeAbstractUI.aspx?menuIndex=3&amp;refID=7082588&amp;Result=3","7082588")</f>
        <v>0</v>
      </c>
      <c r="B1009" t="s">
        <v>286</v>
      </c>
      <c r="C1009" t="s">
        <v>4499</v>
      </c>
      <c r="E1009" t="s">
        <v>19137</v>
      </c>
      <c r="F1009" t="s">
        <v>31362</v>
      </c>
      <c r="G1009" t="s">
        <v>31368</v>
      </c>
      <c r="H1009" t="s">
        <v>15799</v>
      </c>
      <c r="I1009" t="s">
        <v>31380</v>
      </c>
      <c r="J1009" t="s">
        <v>32281</v>
      </c>
      <c r="K1009" t="s">
        <v>40670</v>
      </c>
      <c r="M1009" t="s">
        <v>41229</v>
      </c>
      <c r="N1009" t="s">
        <v>44905</v>
      </c>
      <c r="O1009" t="s">
        <v>44906</v>
      </c>
      <c r="P1009">
        <v>0</v>
      </c>
      <c r="Q1009">
        <v>0</v>
      </c>
      <c r="R1009" t="s">
        <v>44907</v>
      </c>
      <c r="S1009" t="s">
        <v>45026</v>
      </c>
      <c r="T1009" t="s">
        <v>46416</v>
      </c>
      <c r="U1009" t="s">
        <v>47792</v>
      </c>
      <c r="W1009" t="s">
        <v>41229</v>
      </c>
      <c r="X1009" t="s">
        <v>44908</v>
      </c>
    </row>
    <row r="1010" spans="1:24">
      <c r="A1010">
        <f>HYPERLINK("https://www.philgeps.gov.ph/GEPSNONPILOT/Tender/SplashBidNoticeAbstractUI.aspx?menuIndex=3&amp;refID=7082745&amp;Result=3","7082745")</f>
        <v>0</v>
      </c>
      <c r="B1010" t="s">
        <v>55</v>
      </c>
      <c r="C1010" t="s">
        <v>4500</v>
      </c>
      <c r="D1010" t="s">
        <v>18120</v>
      </c>
      <c r="E1010" t="s">
        <v>19138</v>
      </c>
      <c r="F1010" t="s">
        <v>31362</v>
      </c>
      <c r="G1010" t="s">
        <v>31370</v>
      </c>
      <c r="H1010" t="s">
        <v>15799</v>
      </c>
      <c r="I1010" t="s">
        <v>31405</v>
      </c>
      <c r="J1010" t="s">
        <v>31536</v>
      </c>
      <c r="K1010" t="s">
        <v>40665</v>
      </c>
      <c r="M1010" t="s">
        <v>40989</v>
      </c>
      <c r="N1010" t="s">
        <v>44905</v>
      </c>
      <c r="O1010" t="s">
        <v>44906</v>
      </c>
      <c r="P1010">
        <v>0</v>
      </c>
      <c r="Q1010">
        <v>1</v>
      </c>
      <c r="R1010" t="s">
        <v>44907</v>
      </c>
      <c r="S1010" t="s">
        <v>45026</v>
      </c>
      <c r="T1010" t="s">
        <v>46404</v>
      </c>
      <c r="U1010" t="s">
        <v>47793</v>
      </c>
      <c r="W1010" t="s">
        <v>40989</v>
      </c>
      <c r="X1010" t="s">
        <v>44908</v>
      </c>
    </row>
    <row r="1011" spans="1:24">
      <c r="A1011">
        <f>HYPERLINK("https://www.philgeps.gov.ph/GEPSNONPILOT/Tender/SplashBidNoticeAbstractUI.aspx?menuIndex=3&amp;refID=7082742&amp;Result=3","7082742")</f>
        <v>0</v>
      </c>
      <c r="B1011" t="s">
        <v>367</v>
      </c>
      <c r="C1011" t="s">
        <v>4501</v>
      </c>
      <c r="D1011" t="s">
        <v>18134</v>
      </c>
      <c r="E1011" t="s">
        <v>19139</v>
      </c>
      <c r="F1011" t="s">
        <v>31362</v>
      </c>
      <c r="G1011" t="s">
        <v>31369</v>
      </c>
      <c r="H1011" t="s">
        <v>15799</v>
      </c>
      <c r="I1011" t="s">
        <v>4283</v>
      </c>
      <c r="J1011" t="s">
        <v>32282</v>
      </c>
      <c r="K1011" t="s">
        <v>40665</v>
      </c>
      <c r="M1011" t="s">
        <v>41398</v>
      </c>
      <c r="N1011" t="s">
        <v>44905</v>
      </c>
      <c r="O1011" t="s">
        <v>44906</v>
      </c>
      <c r="P1011">
        <v>0</v>
      </c>
      <c r="Q1011">
        <v>0</v>
      </c>
      <c r="R1011" t="s">
        <v>44907</v>
      </c>
      <c r="S1011" t="s">
        <v>45026</v>
      </c>
      <c r="T1011" t="s">
        <v>46449</v>
      </c>
      <c r="U1011" t="s">
        <v>47794</v>
      </c>
      <c r="V1011" t="s">
        <v>59171</v>
      </c>
      <c r="W1011" t="s">
        <v>41398</v>
      </c>
      <c r="X1011" t="s">
        <v>44908</v>
      </c>
    </row>
    <row r="1012" spans="1:24">
      <c r="A1012">
        <f>HYPERLINK("https://www.philgeps.gov.ph/GEPSNONPILOT/Tender/SplashBidNoticeAbstractUI.aspx?menuIndex=3&amp;refID=7082740&amp;Result=3","7082740")</f>
        <v>0</v>
      </c>
      <c r="B1012" t="s">
        <v>91</v>
      </c>
      <c r="C1012" t="s">
        <v>4142</v>
      </c>
      <c r="D1012" t="s">
        <v>18136</v>
      </c>
      <c r="E1012" t="s">
        <v>19140</v>
      </c>
      <c r="F1012" t="s">
        <v>31362</v>
      </c>
      <c r="G1012" t="s">
        <v>31370</v>
      </c>
      <c r="H1012" t="s">
        <v>15799</v>
      </c>
      <c r="I1012" t="s">
        <v>31385</v>
      </c>
      <c r="J1012" t="s">
        <v>32283</v>
      </c>
      <c r="K1012" t="s">
        <v>40661</v>
      </c>
      <c r="M1012" t="s">
        <v>41028</v>
      </c>
      <c r="N1012" t="s">
        <v>44905</v>
      </c>
      <c r="O1012" t="s">
        <v>44906</v>
      </c>
      <c r="P1012">
        <v>0</v>
      </c>
      <c r="Q1012">
        <v>0</v>
      </c>
      <c r="R1012" t="s">
        <v>44907</v>
      </c>
      <c r="S1012" t="s">
        <v>45026</v>
      </c>
      <c r="T1012" t="s">
        <v>46411</v>
      </c>
      <c r="U1012" t="s">
        <v>47795</v>
      </c>
      <c r="W1012" t="s">
        <v>41028</v>
      </c>
      <c r="X1012" t="s">
        <v>44908</v>
      </c>
    </row>
    <row r="1013" spans="1:24">
      <c r="A1013">
        <f>HYPERLINK("https://www.philgeps.gov.ph/GEPSNONPILOT/Tender/SplashBidNoticeAbstractUI.aspx?menuIndex=3&amp;refID=7082747&amp;Result=3","7082747")</f>
        <v>0</v>
      </c>
      <c r="B1013" t="s">
        <v>463</v>
      </c>
      <c r="C1013" t="s">
        <v>4502</v>
      </c>
      <c r="D1013" t="s">
        <v>18134</v>
      </c>
      <c r="E1013" t="s">
        <v>19141</v>
      </c>
      <c r="F1013" t="s">
        <v>31362</v>
      </c>
      <c r="G1013" t="s">
        <v>31369</v>
      </c>
      <c r="H1013" t="s">
        <v>15799</v>
      </c>
      <c r="I1013" t="s">
        <v>31398</v>
      </c>
      <c r="J1013" t="s">
        <v>31604</v>
      </c>
      <c r="K1013" t="s">
        <v>40697</v>
      </c>
      <c r="M1013" t="s">
        <v>41417</v>
      </c>
      <c r="N1013" t="s">
        <v>44905</v>
      </c>
      <c r="O1013" t="s">
        <v>44906</v>
      </c>
      <c r="P1013">
        <v>0</v>
      </c>
      <c r="Q1013">
        <v>1</v>
      </c>
      <c r="R1013" t="s">
        <v>44907</v>
      </c>
      <c r="S1013" t="s">
        <v>45026</v>
      </c>
      <c r="T1013" t="s">
        <v>46499</v>
      </c>
      <c r="U1013" t="s">
        <v>47796</v>
      </c>
      <c r="W1013" t="s">
        <v>41417</v>
      </c>
      <c r="X1013" t="s">
        <v>44908</v>
      </c>
    </row>
    <row r="1014" spans="1:24">
      <c r="A1014">
        <f>HYPERLINK("https://www.philgeps.gov.ph/GEPSNONPILOT/Tender/SplashBidNoticeAbstractUI.aspx?menuIndex=3&amp;refID=7082739&amp;Result=3","7082739")</f>
        <v>0</v>
      </c>
      <c r="B1014" t="s">
        <v>232</v>
      </c>
      <c r="C1014" t="s">
        <v>4503</v>
      </c>
      <c r="D1014" t="s">
        <v>18101</v>
      </c>
      <c r="E1014" t="s">
        <v>19142</v>
      </c>
      <c r="F1014" t="s">
        <v>31362</v>
      </c>
      <c r="G1014" t="s">
        <v>31368</v>
      </c>
      <c r="H1014" t="s">
        <v>15799</v>
      </c>
      <c r="I1014" t="s">
        <v>31431</v>
      </c>
      <c r="J1014" t="s">
        <v>31943</v>
      </c>
      <c r="K1014" t="s">
        <v>40661</v>
      </c>
      <c r="M1014" t="s">
        <v>41171</v>
      </c>
      <c r="N1014" t="s">
        <v>44905</v>
      </c>
      <c r="O1014" t="s">
        <v>44906</v>
      </c>
      <c r="P1014">
        <v>0</v>
      </c>
      <c r="Q1014">
        <v>0</v>
      </c>
      <c r="R1014" t="s">
        <v>44907</v>
      </c>
      <c r="S1014" t="s">
        <v>45026</v>
      </c>
      <c r="T1014" t="s">
        <v>46409</v>
      </c>
      <c r="U1014" t="s">
        <v>47797</v>
      </c>
      <c r="W1014" t="s">
        <v>41171</v>
      </c>
      <c r="X1014" t="s">
        <v>44908</v>
      </c>
    </row>
    <row r="1015" spans="1:24">
      <c r="A1015">
        <f>HYPERLINK("https://www.philgeps.gov.ph/GEPSNONPILOT/Tender/SplashBidNoticeAbstractUI.aspx?menuIndex=3&amp;refID=7082735&amp;Result=3","7082735")</f>
        <v>0</v>
      </c>
      <c r="B1015" t="s">
        <v>464</v>
      </c>
      <c r="C1015" t="s">
        <v>4504</v>
      </c>
      <c r="D1015" t="s">
        <v>18179</v>
      </c>
      <c r="E1015" t="s">
        <v>19143</v>
      </c>
      <c r="F1015" t="s">
        <v>31362</v>
      </c>
      <c r="G1015" t="s">
        <v>31369</v>
      </c>
      <c r="H1015" t="s">
        <v>15799</v>
      </c>
      <c r="I1015" t="s">
        <v>31392</v>
      </c>
      <c r="J1015" t="s">
        <v>32284</v>
      </c>
      <c r="K1015" t="s">
        <v>40686</v>
      </c>
      <c r="M1015" t="s">
        <v>41418</v>
      </c>
      <c r="N1015" t="s">
        <v>44905</v>
      </c>
      <c r="O1015" t="s">
        <v>44906</v>
      </c>
      <c r="P1015">
        <v>0</v>
      </c>
      <c r="Q1015">
        <v>2</v>
      </c>
      <c r="R1015" t="s">
        <v>44907</v>
      </c>
      <c r="S1015" t="s">
        <v>45026</v>
      </c>
      <c r="T1015" t="s">
        <v>46511</v>
      </c>
      <c r="U1015" t="s">
        <v>47798</v>
      </c>
      <c r="W1015" t="s">
        <v>41418</v>
      </c>
      <c r="X1015" t="s">
        <v>44908</v>
      </c>
    </row>
    <row r="1016" spans="1:24">
      <c r="A1016">
        <f>HYPERLINK("https://www.philgeps.gov.ph/GEPSNONPILOT/Tender/SplashBidNoticeAbstractUI.aspx?menuIndex=3&amp;refID=7082738&amp;Result=3","7082738")</f>
        <v>0</v>
      </c>
      <c r="B1016" t="s">
        <v>190</v>
      </c>
      <c r="C1016" t="s">
        <v>3889</v>
      </c>
      <c r="D1016" t="s">
        <v>18114</v>
      </c>
      <c r="E1016" t="s">
        <v>19144</v>
      </c>
      <c r="F1016" t="s">
        <v>31362</v>
      </c>
      <c r="G1016" t="s">
        <v>31368</v>
      </c>
      <c r="H1016" t="s">
        <v>15799</v>
      </c>
      <c r="I1016" t="s">
        <v>3815</v>
      </c>
      <c r="J1016" t="s">
        <v>32285</v>
      </c>
      <c r="K1016" t="s">
        <v>40666</v>
      </c>
      <c r="M1016" t="s">
        <v>41128</v>
      </c>
      <c r="N1016" t="s">
        <v>44905</v>
      </c>
      <c r="O1016" t="s">
        <v>44906</v>
      </c>
      <c r="P1016">
        <v>0</v>
      </c>
      <c r="Q1016">
        <v>0</v>
      </c>
      <c r="R1016" t="s">
        <v>44907</v>
      </c>
      <c r="S1016" t="s">
        <v>45026</v>
      </c>
      <c r="T1016" t="s">
        <v>46409</v>
      </c>
      <c r="U1016" t="s">
        <v>47799</v>
      </c>
      <c r="V1016" t="s">
        <v>59177</v>
      </c>
      <c r="W1016" t="s">
        <v>41128</v>
      </c>
      <c r="X1016" t="s">
        <v>44908</v>
      </c>
    </row>
    <row r="1017" spans="1:24">
      <c r="A1017">
        <f>HYPERLINK("https://www.philgeps.gov.ph/GEPSNONPILOT/Tender/SplashBidNoticeAbstractUI.aspx?menuIndex=3&amp;refID=7082715&amp;Result=3","7082715")</f>
        <v>0</v>
      </c>
      <c r="B1017" t="s">
        <v>465</v>
      </c>
      <c r="C1017" t="s">
        <v>4505</v>
      </c>
      <c r="D1017" t="s">
        <v>18107</v>
      </c>
      <c r="E1017" t="s">
        <v>19145</v>
      </c>
      <c r="F1017" t="s">
        <v>31362</v>
      </c>
      <c r="G1017" t="s">
        <v>31368</v>
      </c>
      <c r="H1017" t="s">
        <v>31379</v>
      </c>
      <c r="I1017" t="s">
        <v>31380</v>
      </c>
      <c r="J1017" t="s">
        <v>31711</v>
      </c>
      <c r="K1017" t="s">
        <v>40670</v>
      </c>
      <c r="M1017" t="s">
        <v>41419</v>
      </c>
      <c r="N1017" t="s">
        <v>44905</v>
      </c>
      <c r="O1017" t="s">
        <v>44906</v>
      </c>
      <c r="P1017">
        <v>0</v>
      </c>
      <c r="Q1017">
        <v>0</v>
      </c>
      <c r="R1017" t="s">
        <v>44907</v>
      </c>
      <c r="S1017" t="s">
        <v>45026</v>
      </c>
      <c r="T1017" t="s">
        <v>46417</v>
      </c>
      <c r="U1017" t="s">
        <v>47800</v>
      </c>
      <c r="W1017" t="s">
        <v>41419</v>
      </c>
      <c r="X1017" t="s">
        <v>44908</v>
      </c>
    </row>
    <row r="1018" spans="1:24">
      <c r="A1018">
        <f>HYPERLINK("https://www.philgeps.gov.ph/GEPSNONPILOT/Tender/SplashBidNoticeAbstractUI.aspx?menuIndex=3&amp;refID=7082748&amp;Result=3","7082748")</f>
        <v>0</v>
      </c>
      <c r="B1018" t="s">
        <v>92</v>
      </c>
      <c r="C1018" t="s">
        <v>4506</v>
      </c>
      <c r="D1018" t="s">
        <v>18100</v>
      </c>
      <c r="E1018" t="s">
        <v>19146</v>
      </c>
      <c r="F1018" t="s">
        <v>31362</v>
      </c>
      <c r="G1018" t="s">
        <v>31369</v>
      </c>
      <c r="H1018" t="s">
        <v>15799</v>
      </c>
      <c r="I1018" t="s">
        <v>4283</v>
      </c>
      <c r="J1018" t="s">
        <v>32286</v>
      </c>
      <c r="K1018" t="s">
        <v>40677</v>
      </c>
      <c r="M1018" t="s">
        <v>41029</v>
      </c>
      <c r="N1018" t="s">
        <v>44905</v>
      </c>
      <c r="O1018" t="s">
        <v>44906</v>
      </c>
      <c r="P1018">
        <v>0</v>
      </c>
      <c r="Q1018">
        <v>0</v>
      </c>
      <c r="R1018" t="s">
        <v>44907</v>
      </c>
      <c r="S1018" t="s">
        <v>45026</v>
      </c>
      <c r="T1018" t="s">
        <v>46527</v>
      </c>
      <c r="U1018" t="s">
        <v>47621</v>
      </c>
      <c r="W1018" t="s">
        <v>60834</v>
      </c>
      <c r="X1018" t="s">
        <v>44908</v>
      </c>
    </row>
    <row r="1019" spans="1:24">
      <c r="A1019">
        <f>HYPERLINK("https://www.philgeps.gov.ph/GEPSNONPILOT/Tender/SplashBidNoticeAbstractUI.aspx?menuIndex=3&amp;refID=7082714&amp;Result=3","7082714")</f>
        <v>0</v>
      </c>
      <c r="B1019" t="s">
        <v>466</v>
      </c>
      <c r="C1019" t="s">
        <v>4507</v>
      </c>
      <c r="D1019" t="s">
        <v>18155</v>
      </c>
      <c r="E1019" t="s">
        <v>19147</v>
      </c>
      <c r="F1019" t="s">
        <v>31362</v>
      </c>
      <c r="G1019" t="s">
        <v>31368</v>
      </c>
      <c r="H1019" t="s">
        <v>15799</v>
      </c>
      <c r="I1019" t="s">
        <v>7719</v>
      </c>
      <c r="J1019" t="s">
        <v>32287</v>
      </c>
      <c r="K1019" t="s">
        <v>40662</v>
      </c>
      <c r="M1019" t="s">
        <v>41420</v>
      </c>
      <c r="N1019" t="s">
        <v>44905</v>
      </c>
      <c r="O1019" t="s">
        <v>44906</v>
      </c>
      <c r="P1019">
        <v>0</v>
      </c>
      <c r="Q1019">
        <v>1</v>
      </c>
      <c r="R1019" t="s">
        <v>44907</v>
      </c>
      <c r="S1019" t="s">
        <v>45026</v>
      </c>
      <c r="T1019" t="s">
        <v>46454</v>
      </c>
      <c r="U1019" t="s">
        <v>47801</v>
      </c>
      <c r="W1019" t="s">
        <v>41420</v>
      </c>
      <c r="X1019" t="s">
        <v>44908</v>
      </c>
    </row>
    <row r="1020" spans="1:24">
      <c r="A1020">
        <f>HYPERLINK("https://www.philgeps.gov.ph/GEPSNONPILOT/Tender/SplashBidNoticeAbstractUI.aspx?menuIndex=3&amp;refID=7082711&amp;Result=3","7082711")</f>
        <v>0</v>
      </c>
      <c r="B1020" t="s">
        <v>417</v>
      </c>
      <c r="C1020" t="s">
        <v>4488</v>
      </c>
      <c r="D1020" t="s">
        <v>18166</v>
      </c>
      <c r="E1020" t="s">
        <v>19148</v>
      </c>
      <c r="F1020" t="s">
        <v>31362</v>
      </c>
      <c r="G1020" t="s">
        <v>31368</v>
      </c>
      <c r="H1020" t="s">
        <v>15799</v>
      </c>
      <c r="I1020" t="s">
        <v>31409</v>
      </c>
      <c r="J1020" t="s">
        <v>31806</v>
      </c>
      <c r="K1020" t="s">
        <v>40670</v>
      </c>
      <c r="M1020" t="s">
        <v>41367</v>
      </c>
      <c r="N1020" t="s">
        <v>44905</v>
      </c>
      <c r="O1020" t="s">
        <v>44906</v>
      </c>
      <c r="P1020">
        <v>0</v>
      </c>
      <c r="Q1020">
        <v>0</v>
      </c>
      <c r="R1020" t="s">
        <v>44907</v>
      </c>
      <c r="S1020" t="s">
        <v>45026</v>
      </c>
      <c r="T1020" t="s">
        <v>46454</v>
      </c>
      <c r="U1020" t="s">
        <v>47782</v>
      </c>
      <c r="W1020" t="s">
        <v>41367</v>
      </c>
      <c r="X1020" t="s">
        <v>44908</v>
      </c>
    </row>
    <row r="1021" spans="1:24">
      <c r="A1021">
        <f>HYPERLINK("https://www.philgeps.gov.ph/GEPSNONPILOT/Tender/SplashBidNoticeAbstractUI.aspx?menuIndex=3&amp;refID=7082710&amp;Result=3","7082710")</f>
        <v>0</v>
      </c>
      <c r="B1021" t="s">
        <v>191</v>
      </c>
      <c r="C1021" t="s">
        <v>4508</v>
      </c>
      <c r="D1021" t="s">
        <v>18154</v>
      </c>
      <c r="E1021" t="s">
        <v>19149</v>
      </c>
      <c r="F1021" t="s">
        <v>31362</v>
      </c>
      <c r="G1021" t="s">
        <v>31371</v>
      </c>
      <c r="H1021" t="s">
        <v>15799</v>
      </c>
      <c r="I1021" t="s">
        <v>31385</v>
      </c>
      <c r="J1021" t="s">
        <v>32288</v>
      </c>
      <c r="K1021" t="s">
        <v>40661</v>
      </c>
      <c r="M1021" t="s">
        <v>41129</v>
      </c>
      <c r="N1021" t="s">
        <v>44905</v>
      </c>
      <c r="O1021" t="s">
        <v>44906</v>
      </c>
      <c r="P1021">
        <v>0</v>
      </c>
      <c r="Q1021">
        <v>0</v>
      </c>
      <c r="R1021" t="s">
        <v>44907</v>
      </c>
      <c r="S1021" t="s">
        <v>45026</v>
      </c>
      <c r="T1021" t="s">
        <v>46434</v>
      </c>
      <c r="U1021" t="s">
        <v>47722</v>
      </c>
      <c r="W1021" t="s">
        <v>41129</v>
      </c>
      <c r="X1021" t="s">
        <v>44908</v>
      </c>
    </row>
    <row r="1022" spans="1:24">
      <c r="A1022">
        <f>HYPERLINK("https://www.philgeps.gov.ph/GEPSNONPILOT/Tender/SplashBidNoticeAbstractUI.aspx?menuIndex=3&amp;refID=7082756&amp;Result=3","7082756")</f>
        <v>0</v>
      </c>
      <c r="B1022" t="s">
        <v>467</v>
      </c>
      <c r="C1022" t="s">
        <v>4509</v>
      </c>
      <c r="D1022" t="s">
        <v>18134</v>
      </c>
      <c r="E1022" t="s">
        <v>19150</v>
      </c>
      <c r="F1022" t="s">
        <v>31362</v>
      </c>
      <c r="G1022" t="s">
        <v>31368</v>
      </c>
      <c r="H1022" t="s">
        <v>15799</v>
      </c>
      <c r="I1022" t="s">
        <v>3815</v>
      </c>
      <c r="J1022" t="s">
        <v>32289</v>
      </c>
      <c r="K1022" t="s">
        <v>40677</v>
      </c>
      <c r="M1022" t="s">
        <v>41421</v>
      </c>
      <c r="N1022" t="s">
        <v>44905</v>
      </c>
      <c r="O1022" t="s">
        <v>44906</v>
      </c>
      <c r="P1022">
        <v>0</v>
      </c>
      <c r="Q1022">
        <v>1</v>
      </c>
      <c r="R1022" t="s">
        <v>44907</v>
      </c>
      <c r="S1022" t="s">
        <v>45026</v>
      </c>
      <c r="T1022" t="s">
        <v>46396</v>
      </c>
      <c r="U1022" t="s">
        <v>47802</v>
      </c>
      <c r="V1022" t="s">
        <v>59178</v>
      </c>
      <c r="W1022" t="s">
        <v>41421</v>
      </c>
      <c r="X1022" t="s">
        <v>44908</v>
      </c>
    </row>
    <row r="1023" spans="1:24">
      <c r="A1023">
        <f>HYPERLINK("https://www.philgeps.gov.ph/GEPSNONPILOT/Tender/SplashBidNoticeAbstractUI.aspx?menuIndex=3&amp;refID=7082343&amp;Result=3","7082343")</f>
        <v>0</v>
      </c>
      <c r="B1023" t="s">
        <v>137</v>
      </c>
      <c r="C1023" t="s">
        <v>4510</v>
      </c>
      <c r="D1023" t="s">
        <v>18141</v>
      </c>
      <c r="E1023" t="s">
        <v>19151</v>
      </c>
      <c r="F1023" t="s">
        <v>31363</v>
      </c>
      <c r="G1023" t="s">
        <v>31369</v>
      </c>
      <c r="H1023" t="s">
        <v>15799</v>
      </c>
      <c r="I1023" t="s">
        <v>3815</v>
      </c>
      <c r="J1023" t="s">
        <v>32290</v>
      </c>
      <c r="K1023" t="s">
        <v>40670</v>
      </c>
      <c r="M1023" t="s">
        <v>41075</v>
      </c>
      <c r="N1023" t="s">
        <v>44905</v>
      </c>
      <c r="O1023" t="s">
        <v>44906</v>
      </c>
      <c r="P1023">
        <v>0</v>
      </c>
      <c r="Q1023">
        <v>0</v>
      </c>
      <c r="R1023" t="s">
        <v>44907</v>
      </c>
      <c r="S1023" t="s">
        <v>45026</v>
      </c>
      <c r="T1023" t="s">
        <v>46449</v>
      </c>
      <c r="U1023" t="s">
        <v>47803</v>
      </c>
      <c r="W1023" t="s">
        <v>41075</v>
      </c>
      <c r="X1023" t="s">
        <v>44908</v>
      </c>
    </row>
    <row r="1024" spans="1:24">
      <c r="A1024">
        <f>HYPERLINK("https://www.philgeps.gov.ph/GEPSNONPILOT/Tender/SplashBidNoticeAbstractUI.aspx?menuIndex=3&amp;refID=7082341&amp;Result=3","7082341")</f>
        <v>0</v>
      </c>
      <c r="B1024" t="s">
        <v>91</v>
      </c>
      <c r="C1024" t="s">
        <v>4142</v>
      </c>
      <c r="D1024" t="s">
        <v>18136</v>
      </c>
      <c r="E1024" t="s">
        <v>19152</v>
      </c>
      <c r="F1024" t="s">
        <v>31362</v>
      </c>
      <c r="G1024" t="s">
        <v>31370</v>
      </c>
      <c r="H1024" t="s">
        <v>15799</v>
      </c>
      <c r="I1024" t="s">
        <v>31385</v>
      </c>
      <c r="J1024" t="s">
        <v>32291</v>
      </c>
      <c r="K1024" t="s">
        <v>40661</v>
      </c>
      <c r="M1024" t="s">
        <v>41028</v>
      </c>
      <c r="N1024" t="s">
        <v>44905</v>
      </c>
      <c r="O1024" t="s">
        <v>44906</v>
      </c>
      <c r="P1024">
        <v>0</v>
      </c>
      <c r="Q1024">
        <v>0</v>
      </c>
      <c r="R1024" t="s">
        <v>44907</v>
      </c>
      <c r="S1024" t="s">
        <v>45026</v>
      </c>
      <c r="T1024" t="s">
        <v>46411</v>
      </c>
      <c r="U1024" t="s">
        <v>47804</v>
      </c>
      <c r="W1024" t="s">
        <v>41028</v>
      </c>
      <c r="X1024" t="s">
        <v>44908</v>
      </c>
    </row>
    <row r="1025" spans="1:24">
      <c r="A1025">
        <f>HYPERLINK("https://www.philgeps.gov.ph/GEPSNONPILOT/Tender/SplashBidNoticeAbstractUI.aspx?menuIndex=3&amp;refID=7082340&amp;Result=3","7082340")</f>
        <v>0</v>
      </c>
      <c r="B1025" t="s">
        <v>334</v>
      </c>
      <c r="C1025" t="s">
        <v>4511</v>
      </c>
      <c r="D1025" t="s">
        <v>18116</v>
      </c>
      <c r="E1025" t="s">
        <v>19153</v>
      </c>
      <c r="F1025" t="s">
        <v>31362</v>
      </c>
      <c r="G1025" t="s">
        <v>31368</v>
      </c>
      <c r="H1025" t="s">
        <v>15799</v>
      </c>
      <c r="I1025" t="s">
        <v>31427</v>
      </c>
      <c r="J1025" t="s">
        <v>32292</v>
      </c>
      <c r="K1025" t="s">
        <v>40662</v>
      </c>
      <c r="M1025" t="s">
        <v>41280</v>
      </c>
      <c r="N1025" t="s">
        <v>44905</v>
      </c>
      <c r="O1025" t="s">
        <v>44906</v>
      </c>
      <c r="P1025">
        <v>0</v>
      </c>
      <c r="Q1025">
        <v>1</v>
      </c>
      <c r="R1025" t="s">
        <v>44907</v>
      </c>
      <c r="S1025" t="s">
        <v>45026</v>
      </c>
      <c r="T1025" t="s">
        <v>46416</v>
      </c>
      <c r="U1025" t="s">
        <v>47805</v>
      </c>
      <c r="W1025" t="s">
        <v>41280</v>
      </c>
      <c r="X1025" t="s">
        <v>44908</v>
      </c>
    </row>
    <row r="1026" spans="1:24">
      <c r="A1026">
        <f>HYPERLINK("https://www.philgeps.gov.ph/GEPSNONPILOT/Tender/SplashBidNoticeAbstractUI.aspx?menuIndex=3&amp;refID=7082338&amp;Result=3","7082338")</f>
        <v>0</v>
      </c>
      <c r="B1026" t="s">
        <v>328</v>
      </c>
      <c r="C1026" t="s">
        <v>4512</v>
      </c>
      <c r="D1026" t="s">
        <v>18175</v>
      </c>
      <c r="E1026" t="s">
        <v>19154</v>
      </c>
      <c r="F1026" t="s">
        <v>31362</v>
      </c>
      <c r="G1026" t="s">
        <v>31368</v>
      </c>
      <c r="H1026" t="s">
        <v>15799</v>
      </c>
      <c r="I1026" t="s">
        <v>31404</v>
      </c>
      <c r="J1026" t="s">
        <v>31578</v>
      </c>
      <c r="K1026" t="s">
        <v>40693</v>
      </c>
      <c r="M1026" t="s">
        <v>41274</v>
      </c>
      <c r="N1026" t="s">
        <v>44905</v>
      </c>
      <c r="O1026" t="s">
        <v>44906</v>
      </c>
      <c r="P1026">
        <v>0</v>
      </c>
      <c r="Q1026">
        <v>0</v>
      </c>
      <c r="R1026" t="s">
        <v>44907</v>
      </c>
      <c r="S1026" t="s">
        <v>45026</v>
      </c>
      <c r="T1026" t="s">
        <v>46447</v>
      </c>
      <c r="U1026" t="s">
        <v>47806</v>
      </c>
      <c r="W1026" t="s">
        <v>41274</v>
      </c>
      <c r="X1026" t="s">
        <v>44908</v>
      </c>
    </row>
    <row r="1027" spans="1:24">
      <c r="A1027">
        <f>HYPERLINK("https://www.philgeps.gov.ph/GEPSNONPILOT/Tender/SplashBidNoticeAbstractUI.aspx?menuIndex=3&amp;refID=7082337&amp;Result=3","7082337")</f>
        <v>0</v>
      </c>
      <c r="B1027" t="s">
        <v>370</v>
      </c>
      <c r="C1027" t="s">
        <v>4513</v>
      </c>
      <c r="D1027" t="s">
        <v>18148</v>
      </c>
      <c r="E1027" t="s">
        <v>19155</v>
      </c>
      <c r="F1027" t="s">
        <v>31362</v>
      </c>
      <c r="G1027" t="s">
        <v>31370</v>
      </c>
      <c r="H1027" t="s">
        <v>15799</v>
      </c>
      <c r="I1027" t="s">
        <v>31382</v>
      </c>
      <c r="J1027" t="s">
        <v>31575</v>
      </c>
      <c r="K1027" t="s">
        <v>40662</v>
      </c>
      <c r="M1027" t="s">
        <v>41317</v>
      </c>
      <c r="N1027" t="s">
        <v>44905</v>
      </c>
      <c r="O1027" t="s">
        <v>44906</v>
      </c>
      <c r="P1027">
        <v>0</v>
      </c>
      <c r="Q1027">
        <v>2</v>
      </c>
      <c r="R1027" t="s">
        <v>44907</v>
      </c>
      <c r="S1027" t="s">
        <v>45026</v>
      </c>
      <c r="T1027" t="s">
        <v>46478</v>
      </c>
      <c r="U1027" t="s">
        <v>47557</v>
      </c>
      <c r="V1027" t="s">
        <v>59147</v>
      </c>
      <c r="W1027" t="s">
        <v>41317</v>
      </c>
      <c r="X1027" t="s">
        <v>44908</v>
      </c>
    </row>
    <row r="1028" spans="1:24">
      <c r="A1028">
        <f>HYPERLINK("https://www.philgeps.gov.ph/GEPSNONPILOT/Tender/SplashBidNoticeAbstractUI.aspx?menuIndex=3&amp;refID=7082712&amp;Result=3","7082712")</f>
        <v>0</v>
      </c>
      <c r="B1028" t="s">
        <v>448</v>
      </c>
      <c r="C1028" t="s">
        <v>4514</v>
      </c>
      <c r="D1028" t="s">
        <v>18167</v>
      </c>
      <c r="E1028" t="s">
        <v>19156</v>
      </c>
      <c r="F1028" t="s">
        <v>31362</v>
      </c>
      <c r="G1028" t="s">
        <v>31369</v>
      </c>
      <c r="H1028" t="s">
        <v>15799</v>
      </c>
      <c r="I1028" t="s">
        <v>31409</v>
      </c>
      <c r="J1028" t="s">
        <v>31615</v>
      </c>
      <c r="K1028" t="s">
        <v>40666</v>
      </c>
      <c r="M1028" t="s">
        <v>41402</v>
      </c>
      <c r="N1028" t="s">
        <v>44905</v>
      </c>
      <c r="O1028" t="s">
        <v>44906</v>
      </c>
      <c r="P1028">
        <v>0</v>
      </c>
      <c r="Q1028">
        <v>2</v>
      </c>
      <c r="R1028" t="s">
        <v>44907</v>
      </c>
      <c r="S1028" t="s">
        <v>45026</v>
      </c>
      <c r="T1028" t="s">
        <v>46499</v>
      </c>
      <c r="U1028" t="s">
        <v>47745</v>
      </c>
      <c r="W1028" t="s">
        <v>41402</v>
      </c>
      <c r="X1028" t="s">
        <v>44908</v>
      </c>
    </row>
    <row r="1029" spans="1:24">
      <c r="A1029">
        <f>HYPERLINK("https://www.philgeps.gov.ph/GEPSNONPILOT/Tender/SplashBidNoticeAbstractUI.aspx?menuIndex=3&amp;refID=7082777&amp;Result=3","7082777")</f>
        <v>0</v>
      </c>
      <c r="B1029" t="s">
        <v>468</v>
      </c>
      <c r="C1029" t="s">
        <v>4515</v>
      </c>
      <c r="D1029" t="s">
        <v>18126</v>
      </c>
      <c r="E1029" t="s">
        <v>19157</v>
      </c>
      <c r="F1029" t="s">
        <v>31362</v>
      </c>
      <c r="G1029" t="s">
        <v>31368</v>
      </c>
      <c r="H1029" t="s">
        <v>15799</v>
      </c>
      <c r="I1029" t="s">
        <v>31448</v>
      </c>
      <c r="J1029" t="s">
        <v>32293</v>
      </c>
      <c r="K1029" t="s">
        <v>40665</v>
      </c>
      <c r="M1029" t="s">
        <v>41422</v>
      </c>
      <c r="N1029" t="s">
        <v>44905</v>
      </c>
      <c r="O1029" t="s">
        <v>44906</v>
      </c>
      <c r="P1029">
        <v>0</v>
      </c>
      <c r="Q1029">
        <v>2</v>
      </c>
      <c r="R1029" t="s">
        <v>44907</v>
      </c>
      <c r="S1029" t="s">
        <v>45026</v>
      </c>
      <c r="T1029" t="s">
        <v>46541</v>
      </c>
      <c r="U1029" t="s">
        <v>47807</v>
      </c>
      <c r="W1029" t="s">
        <v>41422</v>
      </c>
      <c r="X1029" t="s">
        <v>44908</v>
      </c>
    </row>
    <row r="1030" spans="1:24">
      <c r="A1030">
        <f>HYPERLINK("https://www.philgeps.gov.ph/GEPSNONPILOT/Tender/SplashBidNoticeAbstractUI.aspx?menuIndex=3&amp;refID=7082781&amp;Result=3","7082781")</f>
        <v>0</v>
      </c>
      <c r="B1030" t="s">
        <v>96</v>
      </c>
      <c r="C1030" t="s">
        <v>4516</v>
      </c>
      <c r="D1030" t="s">
        <v>18106</v>
      </c>
      <c r="E1030" t="s">
        <v>19158</v>
      </c>
      <c r="F1030" t="s">
        <v>31362</v>
      </c>
      <c r="G1030" t="s">
        <v>31368</v>
      </c>
      <c r="H1030" t="s">
        <v>15799</v>
      </c>
      <c r="I1030" t="s">
        <v>7188</v>
      </c>
      <c r="J1030" t="s">
        <v>32294</v>
      </c>
      <c r="K1030" t="s">
        <v>40693</v>
      </c>
      <c r="M1030" t="s">
        <v>41033</v>
      </c>
      <c r="N1030" t="s">
        <v>44905</v>
      </c>
      <c r="O1030" t="s">
        <v>44906</v>
      </c>
      <c r="P1030">
        <v>0</v>
      </c>
      <c r="Q1030">
        <v>1</v>
      </c>
      <c r="R1030" t="s">
        <v>44907</v>
      </c>
      <c r="S1030" t="s">
        <v>45026</v>
      </c>
      <c r="T1030" t="s">
        <v>46409</v>
      </c>
      <c r="U1030" t="s">
        <v>47808</v>
      </c>
      <c r="W1030" t="s">
        <v>41033</v>
      </c>
      <c r="X1030" t="s">
        <v>44908</v>
      </c>
    </row>
    <row r="1031" spans="1:24">
      <c r="A1031">
        <f>HYPERLINK("https://www.philgeps.gov.ph/GEPSNONPILOT/Tender/SplashBidNoticeAbstractUI.aspx?menuIndex=3&amp;refID=7082743&amp;Result=3","7082743")</f>
        <v>0</v>
      </c>
      <c r="B1031" t="s">
        <v>469</v>
      </c>
      <c r="C1031" t="s">
        <v>4517</v>
      </c>
      <c r="D1031" t="s">
        <v>18146</v>
      </c>
      <c r="E1031" t="s">
        <v>19159</v>
      </c>
      <c r="F1031" t="s">
        <v>31362</v>
      </c>
      <c r="G1031" t="s">
        <v>31369</v>
      </c>
      <c r="H1031" t="s">
        <v>15799</v>
      </c>
      <c r="I1031" t="s">
        <v>31461</v>
      </c>
      <c r="J1031" t="s">
        <v>31734</v>
      </c>
      <c r="K1031" t="s">
        <v>40670</v>
      </c>
      <c r="M1031" t="s">
        <v>41423</v>
      </c>
      <c r="N1031" t="s">
        <v>44905</v>
      </c>
      <c r="O1031" t="s">
        <v>44906</v>
      </c>
      <c r="P1031">
        <v>0</v>
      </c>
      <c r="Q1031">
        <v>2</v>
      </c>
      <c r="R1031" t="s">
        <v>44907</v>
      </c>
      <c r="S1031" t="s">
        <v>45026</v>
      </c>
      <c r="T1031" t="s">
        <v>46396</v>
      </c>
      <c r="U1031" t="s">
        <v>47809</v>
      </c>
      <c r="V1031" t="s">
        <v>59179</v>
      </c>
      <c r="W1031" t="s">
        <v>41423</v>
      </c>
      <c r="X1031" t="s">
        <v>44908</v>
      </c>
    </row>
    <row r="1032" spans="1:24">
      <c r="A1032">
        <f>HYPERLINK("https://www.philgeps.gov.ph/GEPSNONPILOT/Tender/SplashBidNoticeAbstractUI.aspx?menuIndex=3&amp;refID=7082780&amp;Result=3","7082780")</f>
        <v>0</v>
      </c>
      <c r="B1032" t="s">
        <v>443</v>
      </c>
      <c r="C1032" t="s">
        <v>4518</v>
      </c>
      <c r="D1032" t="s">
        <v>18131</v>
      </c>
      <c r="E1032" t="s">
        <v>19160</v>
      </c>
      <c r="F1032" t="s">
        <v>31362</v>
      </c>
      <c r="G1032" t="s">
        <v>31368</v>
      </c>
      <c r="H1032" t="s">
        <v>31378</v>
      </c>
      <c r="I1032" t="s">
        <v>31386</v>
      </c>
      <c r="J1032" t="s">
        <v>32295</v>
      </c>
      <c r="K1032" t="s">
        <v>40662</v>
      </c>
      <c r="L1032" t="s">
        <v>443</v>
      </c>
      <c r="M1032" t="s">
        <v>41396</v>
      </c>
      <c r="N1032" t="s">
        <v>44905</v>
      </c>
      <c r="O1032" t="s">
        <v>44906</v>
      </c>
      <c r="P1032">
        <v>0</v>
      </c>
      <c r="Q1032">
        <v>1</v>
      </c>
      <c r="R1032" t="s">
        <v>44907</v>
      </c>
      <c r="S1032" t="s">
        <v>45026</v>
      </c>
      <c r="T1032" t="s">
        <v>46454</v>
      </c>
      <c r="U1032" t="s">
        <v>47726</v>
      </c>
      <c r="W1032" t="s">
        <v>41396</v>
      </c>
      <c r="X1032" t="s">
        <v>44908</v>
      </c>
    </row>
    <row r="1033" spans="1:24">
      <c r="A1033">
        <f>HYPERLINK("https://www.philgeps.gov.ph/GEPSNONPILOT/Tender/SplashBidNoticeAbstractUI.aspx?menuIndex=3&amp;refID=7082779&amp;Result=3","7082779")</f>
        <v>0</v>
      </c>
      <c r="B1033" t="s">
        <v>367</v>
      </c>
      <c r="C1033" t="s">
        <v>4519</v>
      </c>
      <c r="D1033" t="s">
        <v>18134</v>
      </c>
      <c r="E1033" t="s">
        <v>19161</v>
      </c>
      <c r="F1033" t="s">
        <v>31362</v>
      </c>
      <c r="G1033" t="s">
        <v>31369</v>
      </c>
      <c r="H1033" t="s">
        <v>15799</v>
      </c>
      <c r="I1033" t="s">
        <v>31384</v>
      </c>
      <c r="J1033" t="s">
        <v>32296</v>
      </c>
      <c r="K1033" t="s">
        <v>40682</v>
      </c>
      <c r="M1033" t="s">
        <v>41398</v>
      </c>
      <c r="N1033" t="s">
        <v>44905</v>
      </c>
      <c r="O1033" t="s">
        <v>44906</v>
      </c>
      <c r="P1033">
        <v>0</v>
      </c>
      <c r="Q1033">
        <v>3</v>
      </c>
      <c r="R1033" t="s">
        <v>44907</v>
      </c>
      <c r="S1033" t="s">
        <v>45026</v>
      </c>
      <c r="T1033" t="s">
        <v>46449</v>
      </c>
      <c r="U1033" t="s">
        <v>47810</v>
      </c>
      <c r="V1033" t="s">
        <v>59171</v>
      </c>
      <c r="W1033" t="s">
        <v>41398</v>
      </c>
      <c r="X1033" t="s">
        <v>44908</v>
      </c>
    </row>
    <row r="1034" spans="1:24">
      <c r="A1034">
        <f>HYPERLINK("https://www.philgeps.gov.ph/GEPSNONPILOT/Tender/SplashBidNoticeAbstractUI.aspx?menuIndex=3&amp;refID=7082741&amp;Result=3","7082741")</f>
        <v>0</v>
      </c>
      <c r="B1034" t="s">
        <v>470</v>
      </c>
      <c r="C1034" t="s">
        <v>4520</v>
      </c>
      <c r="D1034" t="s">
        <v>18107</v>
      </c>
      <c r="E1034" t="s">
        <v>19162</v>
      </c>
      <c r="F1034" t="s">
        <v>31362</v>
      </c>
      <c r="G1034" t="s">
        <v>31369</v>
      </c>
      <c r="H1034" t="s">
        <v>31378</v>
      </c>
      <c r="I1034" t="s">
        <v>31386</v>
      </c>
      <c r="J1034" t="s">
        <v>32297</v>
      </c>
      <c r="K1034" t="s">
        <v>40682</v>
      </c>
      <c r="M1034" t="s">
        <v>41424</v>
      </c>
      <c r="N1034" t="s">
        <v>44905</v>
      </c>
      <c r="O1034" t="s">
        <v>44906</v>
      </c>
      <c r="P1034">
        <v>0</v>
      </c>
      <c r="Q1034">
        <v>0</v>
      </c>
      <c r="R1034" t="s">
        <v>44907</v>
      </c>
      <c r="S1034" t="s">
        <v>45026</v>
      </c>
      <c r="T1034" t="s">
        <v>46436</v>
      </c>
      <c r="U1034" t="s">
        <v>47811</v>
      </c>
      <c r="V1034" t="s">
        <v>59180</v>
      </c>
      <c r="W1034" t="s">
        <v>41424</v>
      </c>
      <c r="X1034" t="s">
        <v>44908</v>
      </c>
    </row>
    <row r="1035" spans="1:24">
      <c r="A1035">
        <f>HYPERLINK("https://www.philgeps.gov.ph/GEPSNONPILOT/Tender/SplashBidNoticeAbstractUI.aspx?menuIndex=3&amp;refID=7082778&amp;Result=3","7082778")</f>
        <v>0</v>
      </c>
      <c r="B1035" t="s">
        <v>416</v>
      </c>
      <c r="C1035" t="s">
        <v>4521</v>
      </c>
      <c r="D1035" t="s">
        <v>18169</v>
      </c>
      <c r="E1035" t="s">
        <v>19163</v>
      </c>
      <c r="F1035" t="s">
        <v>31362</v>
      </c>
      <c r="G1035" t="s">
        <v>31370</v>
      </c>
      <c r="H1035" t="s">
        <v>15799</v>
      </c>
      <c r="I1035" t="s">
        <v>31414</v>
      </c>
      <c r="J1035" t="s">
        <v>31551</v>
      </c>
      <c r="K1035" t="s">
        <v>40661</v>
      </c>
      <c r="M1035" t="s">
        <v>41366</v>
      </c>
      <c r="N1035" t="s">
        <v>44905</v>
      </c>
      <c r="O1035" t="s">
        <v>44906</v>
      </c>
      <c r="P1035">
        <v>0</v>
      </c>
      <c r="Q1035">
        <v>0</v>
      </c>
      <c r="R1035" t="s">
        <v>44907</v>
      </c>
      <c r="S1035" t="s">
        <v>45026</v>
      </c>
      <c r="T1035" t="s">
        <v>46414</v>
      </c>
      <c r="U1035" t="s">
        <v>47812</v>
      </c>
      <c r="W1035" t="s">
        <v>41366</v>
      </c>
      <c r="X1035" t="s">
        <v>44908</v>
      </c>
    </row>
    <row r="1036" spans="1:24">
      <c r="A1036">
        <f>HYPERLINK("https://www.philgeps.gov.ph/GEPSNONPILOT/Tender/SplashBidNoticeAbstractUI.aspx?menuIndex=3&amp;refID=7082776&amp;Result=3","7082776")</f>
        <v>0</v>
      </c>
      <c r="B1036" t="s">
        <v>471</v>
      </c>
      <c r="C1036" t="s">
        <v>4522</v>
      </c>
      <c r="E1036" t="s">
        <v>19164</v>
      </c>
      <c r="F1036" t="s">
        <v>31362</v>
      </c>
      <c r="G1036" t="s">
        <v>31369</v>
      </c>
      <c r="H1036" t="s">
        <v>15799</v>
      </c>
      <c r="I1036" t="s">
        <v>31409</v>
      </c>
      <c r="J1036" t="s">
        <v>31615</v>
      </c>
      <c r="K1036" t="s">
        <v>40662</v>
      </c>
      <c r="M1036" t="s">
        <v>41425</v>
      </c>
      <c r="N1036" t="s">
        <v>44905</v>
      </c>
      <c r="O1036" t="s">
        <v>44906</v>
      </c>
      <c r="P1036">
        <v>0</v>
      </c>
      <c r="Q1036">
        <v>2</v>
      </c>
      <c r="R1036" t="s">
        <v>44907</v>
      </c>
      <c r="S1036" t="s">
        <v>45026</v>
      </c>
      <c r="T1036" t="s">
        <v>46408</v>
      </c>
      <c r="U1036" t="s">
        <v>47813</v>
      </c>
      <c r="W1036" t="s">
        <v>41425</v>
      </c>
      <c r="X1036" t="s">
        <v>44908</v>
      </c>
    </row>
    <row r="1037" spans="1:24">
      <c r="A1037">
        <f>HYPERLINK("https://www.philgeps.gov.ph/GEPSNONPILOT/Tender/SplashBidNoticeAbstractUI.aspx?menuIndex=3&amp;refID=7082774&amp;Result=3","7082774")</f>
        <v>0</v>
      </c>
      <c r="B1037" t="s">
        <v>472</v>
      </c>
      <c r="C1037" t="s">
        <v>4523</v>
      </c>
      <c r="D1037" t="s">
        <v>18134</v>
      </c>
      <c r="E1037" t="s">
        <v>19165</v>
      </c>
      <c r="F1037" t="s">
        <v>31362</v>
      </c>
      <c r="G1037" t="s">
        <v>31368</v>
      </c>
      <c r="H1037" t="s">
        <v>31378</v>
      </c>
      <c r="I1037" t="s">
        <v>31386</v>
      </c>
      <c r="J1037" t="s">
        <v>32298</v>
      </c>
      <c r="K1037" t="s">
        <v>40711</v>
      </c>
      <c r="M1037" t="s">
        <v>41426</v>
      </c>
      <c r="N1037" t="s">
        <v>44905</v>
      </c>
      <c r="O1037" t="s">
        <v>44906</v>
      </c>
      <c r="P1037">
        <v>0</v>
      </c>
      <c r="Q1037">
        <v>0</v>
      </c>
      <c r="R1037" t="s">
        <v>44907</v>
      </c>
      <c r="S1037" t="s">
        <v>45026</v>
      </c>
      <c r="T1037" t="s">
        <v>46412</v>
      </c>
      <c r="U1037" t="s">
        <v>47814</v>
      </c>
      <c r="W1037" t="s">
        <v>41426</v>
      </c>
      <c r="X1037" t="s">
        <v>44908</v>
      </c>
    </row>
    <row r="1038" spans="1:24">
      <c r="A1038">
        <f>HYPERLINK("https://www.philgeps.gov.ph/GEPSNONPILOT/Tender/SplashBidNoticeAbstractUI.aspx?menuIndex=3&amp;refID=7082718&amp;Result=3","7082718")</f>
        <v>0</v>
      </c>
      <c r="B1038" t="s">
        <v>409</v>
      </c>
      <c r="C1038" t="s">
        <v>4337</v>
      </c>
      <c r="D1038" t="s">
        <v>18111</v>
      </c>
      <c r="E1038" t="s">
        <v>19166</v>
      </c>
      <c r="F1038" t="s">
        <v>31362</v>
      </c>
      <c r="G1038" t="s">
        <v>31370</v>
      </c>
      <c r="H1038" t="s">
        <v>15799</v>
      </c>
      <c r="I1038" t="s">
        <v>31387</v>
      </c>
      <c r="J1038" t="s">
        <v>32299</v>
      </c>
      <c r="K1038" t="s">
        <v>40670</v>
      </c>
      <c r="M1038" t="s">
        <v>41359</v>
      </c>
      <c r="N1038" t="s">
        <v>44905</v>
      </c>
      <c r="O1038" t="s">
        <v>44906</v>
      </c>
      <c r="P1038">
        <v>0</v>
      </c>
      <c r="Q1038">
        <v>1</v>
      </c>
      <c r="R1038" t="s">
        <v>44907</v>
      </c>
      <c r="S1038" t="s">
        <v>45026</v>
      </c>
      <c r="T1038" t="s">
        <v>46446</v>
      </c>
      <c r="U1038" t="s">
        <v>47653</v>
      </c>
      <c r="W1038" t="s">
        <v>41359</v>
      </c>
      <c r="X1038" t="s">
        <v>44908</v>
      </c>
    </row>
    <row r="1039" spans="1:24">
      <c r="A1039">
        <f>HYPERLINK("https://www.philgeps.gov.ph/GEPSNONPILOT/Tender/SplashBidNoticeAbstractUI.aspx?menuIndex=3&amp;refID=7082773&amp;Result=3","7082773")</f>
        <v>0</v>
      </c>
      <c r="B1039" t="s">
        <v>473</v>
      </c>
      <c r="C1039" t="s">
        <v>4524</v>
      </c>
      <c r="D1039" t="s">
        <v>18114</v>
      </c>
      <c r="E1039" t="s">
        <v>19167</v>
      </c>
      <c r="F1039" t="s">
        <v>31363</v>
      </c>
      <c r="G1039" t="s">
        <v>31368</v>
      </c>
      <c r="H1039" t="s">
        <v>15799</v>
      </c>
      <c r="I1039" t="s">
        <v>3815</v>
      </c>
      <c r="J1039" t="s">
        <v>32086</v>
      </c>
      <c r="K1039" t="s">
        <v>40673</v>
      </c>
      <c r="M1039" t="s">
        <v>41427</v>
      </c>
      <c r="N1039" t="s">
        <v>44905</v>
      </c>
      <c r="O1039" t="s">
        <v>44906</v>
      </c>
      <c r="P1039">
        <v>0</v>
      </c>
      <c r="Q1039">
        <v>1</v>
      </c>
      <c r="R1039" t="s">
        <v>44907</v>
      </c>
      <c r="S1039" t="s">
        <v>45026</v>
      </c>
      <c r="T1039" t="s">
        <v>46397</v>
      </c>
      <c r="U1039" t="s">
        <v>47815</v>
      </c>
      <c r="V1039" t="s">
        <v>59181</v>
      </c>
      <c r="W1039" t="s">
        <v>41427</v>
      </c>
      <c r="X1039" t="s">
        <v>44908</v>
      </c>
    </row>
    <row r="1040" spans="1:24">
      <c r="A1040">
        <f>HYPERLINK("https://www.philgeps.gov.ph/GEPSNONPILOT/Tender/SplashBidNoticeAbstractUI.aspx?menuIndex=3&amp;refID=7082782&amp;Result=3","7082782")</f>
        <v>0</v>
      </c>
      <c r="B1040" t="s">
        <v>409</v>
      </c>
      <c r="C1040" t="s">
        <v>4462</v>
      </c>
      <c r="D1040" t="s">
        <v>18111</v>
      </c>
      <c r="E1040" t="s">
        <v>19168</v>
      </c>
      <c r="F1040" t="s">
        <v>31362</v>
      </c>
      <c r="G1040" t="s">
        <v>31370</v>
      </c>
      <c r="H1040" t="s">
        <v>15799</v>
      </c>
      <c r="I1040" t="s">
        <v>6373</v>
      </c>
      <c r="J1040" t="s">
        <v>32300</v>
      </c>
      <c r="K1040" t="s">
        <v>40670</v>
      </c>
      <c r="M1040" t="s">
        <v>41359</v>
      </c>
      <c r="N1040" t="s">
        <v>44905</v>
      </c>
      <c r="O1040" t="s">
        <v>44906</v>
      </c>
      <c r="P1040">
        <v>0</v>
      </c>
      <c r="Q1040">
        <v>2</v>
      </c>
      <c r="R1040" t="s">
        <v>44907</v>
      </c>
      <c r="S1040" t="s">
        <v>45026</v>
      </c>
      <c r="T1040" t="s">
        <v>46446</v>
      </c>
      <c r="U1040" t="s">
        <v>47761</v>
      </c>
      <c r="W1040" t="s">
        <v>41359</v>
      </c>
      <c r="X1040" t="s">
        <v>44908</v>
      </c>
    </row>
    <row r="1041" spans="1:24">
      <c r="A1041">
        <f>HYPERLINK("https://www.philgeps.gov.ph/GEPSNONPILOT/Tender/SplashBidNoticeAbstractUI.aspx?menuIndex=3&amp;refID=7082772&amp;Result=3","7082772")</f>
        <v>0</v>
      </c>
      <c r="B1041" t="s">
        <v>378</v>
      </c>
      <c r="C1041" t="s">
        <v>4525</v>
      </c>
      <c r="D1041" t="s">
        <v>18156</v>
      </c>
      <c r="E1041" t="s">
        <v>19169</v>
      </c>
      <c r="F1041" t="s">
        <v>31362</v>
      </c>
      <c r="G1041" t="s">
        <v>31368</v>
      </c>
      <c r="H1041" t="s">
        <v>15799</v>
      </c>
      <c r="I1041" t="s">
        <v>31385</v>
      </c>
      <c r="J1041" t="s">
        <v>32301</v>
      </c>
      <c r="K1041" t="s">
        <v>40661</v>
      </c>
      <c r="M1041" t="s">
        <v>41325</v>
      </c>
      <c r="N1041" t="s">
        <v>44905</v>
      </c>
      <c r="O1041" t="s">
        <v>44906</v>
      </c>
      <c r="P1041">
        <v>0</v>
      </c>
      <c r="Q1041">
        <v>2</v>
      </c>
      <c r="R1041" t="s">
        <v>44907</v>
      </c>
      <c r="S1041" t="s">
        <v>45026</v>
      </c>
      <c r="T1041" t="s">
        <v>46434</v>
      </c>
      <c r="U1041" t="s">
        <v>47816</v>
      </c>
      <c r="W1041" t="s">
        <v>41325</v>
      </c>
      <c r="X1041" t="s">
        <v>44908</v>
      </c>
    </row>
    <row r="1042" spans="1:24">
      <c r="A1042">
        <f>HYPERLINK("https://www.philgeps.gov.ph/GEPSNONPILOT/Tender/SplashBidNoticeAbstractUI.aspx?menuIndex=3&amp;refID=7082770&amp;Result=3","7082770")</f>
        <v>0</v>
      </c>
      <c r="B1042" t="s">
        <v>458</v>
      </c>
      <c r="C1042" t="s">
        <v>4526</v>
      </c>
      <c r="D1042" t="s">
        <v>18169</v>
      </c>
      <c r="E1042" t="s">
        <v>19170</v>
      </c>
      <c r="F1042" t="s">
        <v>31362</v>
      </c>
      <c r="G1042" t="s">
        <v>31376</v>
      </c>
      <c r="H1042" t="s">
        <v>31377</v>
      </c>
      <c r="I1042" t="s">
        <v>31377</v>
      </c>
      <c r="J1042" t="s">
        <v>32302</v>
      </c>
      <c r="K1042" t="s">
        <v>40712</v>
      </c>
      <c r="M1042" t="s">
        <v>41412</v>
      </c>
      <c r="N1042" t="s">
        <v>44905</v>
      </c>
      <c r="O1042" t="s">
        <v>44906</v>
      </c>
      <c r="P1042">
        <v>0</v>
      </c>
      <c r="Q1042">
        <v>0</v>
      </c>
      <c r="R1042" t="s">
        <v>44907</v>
      </c>
      <c r="S1042" t="s">
        <v>45026</v>
      </c>
      <c r="T1042" t="s">
        <v>46417</v>
      </c>
      <c r="U1042" t="s">
        <v>47817</v>
      </c>
      <c r="W1042" t="s">
        <v>41412</v>
      </c>
      <c r="X1042" t="s">
        <v>44908</v>
      </c>
    </row>
    <row r="1043" spans="1:24">
      <c r="A1043">
        <f>HYPERLINK("https://www.philgeps.gov.ph/GEPSNONPILOT/Tender/SplashBidNoticeAbstractUI.aspx?menuIndex=3&amp;refID=7082342&amp;Result=3","7082342")</f>
        <v>0</v>
      </c>
      <c r="B1043" t="s">
        <v>474</v>
      </c>
      <c r="C1043" t="s">
        <v>4527</v>
      </c>
      <c r="D1043" t="s">
        <v>18158</v>
      </c>
      <c r="E1043" t="s">
        <v>19171</v>
      </c>
      <c r="F1043" t="s">
        <v>31362</v>
      </c>
      <c r="G1043" t="s">
        <v>31369</v>
      </c>
      <c r="H1043" t="s">
        <v>15799</v>
      </c>
      <c r="I1043" t="s">
        <v>7188</v>
      </c>
      <c r="J1043" t="s">
        <v>32021</v>
      </c>
      <c r="K1043" t="s">
        <v>40666</v>
      </c>
      <c r="M1043" t="s">
        <v>41428</v>
      </c>
      <c r="N1043" t="s">
        <v>44905</v>
      </c>
      <c r="O1043" t="s">
        <v>44906</v>
      </c>
      <c r="P1043">
        <v>0</v>
      </c>
      <c r="Q1043">
        <v>2</v>
      </c>
      <c r="R1043" t="s">
        <v>44907</v>
      </c>
      <c r="S1043" t="s">
        <v>45026</v>
      </c>
      <c r="T1043" t="s">
        <v>46542</v>
      </c>
      <c r="U1043" t="s">
        <v>47818</v>
      </c>
      <c r="V1043" t="s">
        <v>59182</v>
      </c>
      <c r="W1043" t="s">
        <v>41428</v>
      </c>
      <c r="X1043" t="s">
        <v>44908</v>
      </c>
    </row>
    <row r="1044" spans="1:24">
      <c r="A1044">
        <f>HYPERLINK("https://www.philgeps.gov.ph/GEPSNONPILOT/Tender/SplashBidNoticeAbstractUI.aspx?menuIndex=3&amp;refID=7082764&amp;Result=3","7082764")</f>
        <v>0</v>
      </c>
      <c r="B1044" t="s">
        <v>475</v>
      </c>
      <c r="C1044" t="s">
        <v>4528</v>
      </c>
      <c r="D1044" t="s">
        <v>18148</v>
      </c>
      <c r="E1044" t="s">
        <v>19172</v>
      </c>
      <c r="F1044" t="s">
        <v>31362</v>
      </c>
      <c r="G1044" t="s">
        <v>31369</v>
      </c>
      <c r="H1044" t="s">
        <v>15799</v>
      </c>
      <c r="I1044" t="s">
        <v>7188</v>
      </c>
      <c r="J1044" t="s">
        <v>32303</v>
      </c>
      <c r="K1044" t="s">
        <v>40665</v>
      </c>
      <c r="M1044" t="s">
        <v>41429</v>
      </c>
      <c r="N1044" t="s">
        <v>44905</v>
      </c>
      <c r="O1044" t="s">
        <v>44906</v>
      </c>
      <c r="P1044">
        <v>0</v>
      </c>
      <c r="Q1044">
        <v>2</v>
      </c>
      <c r="R1044" t="s">
        <v>44907</v>
      </c>
      <c r="S1044" t="s">
        <v>45026</v>
      </c>
      <c r="T1044" t="s">
        <v>46543</v>
      </c>
      <c r="U1044" t="s">
        <v>47819</v>
      </c>
      <c r="W1044" t="s">
        <v>41429</v>
      </c>
      <c r="X1044" t="s">
        <v>44908</v>
      </c>
    </row>
    <row r="1045" spans="1:24">
      <c r="A1045">
        <f>HYPERLINK("https://www.philgeps.gov.ph/GEPSNONPILOT/Tender/SplashBidNoticeAbstractUI.aspx?menuIndex=3&amp;refID=7082766&amp;Result=3","7082766")</f>
        <v>0</v>
      </c>
      <c r="B1045" t="s">
        <v>448</v>
      </c>
      <c r="C1045" t="s">
        <v>4529</v>
      </c>
      <c r="D1045" t="s">
        <v>18167</v>
      </c>
      <c r="E1045" t="s">
        <v>19173</v>
      </c>
      <c r="F1045" t="s">
        <v>31362</v>
      </c>
      <c r="G1045" t="s">
        <v>31369</v>
      </c>
      <c r="H1045" t="s">
        <v>15799</v>
      </c>
      <c r="I1045" t="s">
        <v>31409</v>
      </c>
      <c r="J1045" t="s">
        <v>31615</v>
      </c>
      <c r="K1045" t="s">
        <v>40666</v>
      </c>
      <c r="M1045" t="s">
        <v>41402</v>
      </c>
      <c r="N1045" t="s">
        <v>44905</v>
      </c>
      <c r="O1045" t="s">
        <v>44906</v>
      </c>
      <c r="P1045">
        <v>0</v>
      </c>
      <c r="Q1045">
        <v>2</v>
      </c>
      <c r="R1045" t="s">
        <v>44907</v>
      </c>
      <c r="S1045" t="s">
        <v>45026</v>
      </c>
      <c r="T1045" t="s">
        <v>46499</v>
      </c>
      <c r="U1045" t="s">
        <v>47745</v>
      </c>
      <c r="W1045" t="s">
        <v>41402</v>
      </c>
      <c r="X1045" t="s">
        <v>44908</v>
      </c>
    </row>
    <row r="1046" spans="1:24">
      <c r="A1046">
        <f>HYPERLINK("https://www.philgeps.gov.ph/GEPSNONPILOT/Tender/SplashBidNoticeAbstractUI.aspx?menuIndex=3&amp;refID=7082713&amp;Result=3","7082713")</f>
        <v>0</v>
      </c>
      <c r="B1046" t="s">
        <v>315</v>
      </c>
      <c r="C1046" t="s">
        <v>4530</v>
      </c>
      <c r="D1046" t="s">
        <v>18100</v>
      </c>
      <c r="E1046" t="s">
        <v>19174</v>
      </c>
      <c r="F1046" t="s">
        <v>31362</v>
      </c>
      <c r="G1046" t="s">
        <v>31369</v>
      </c>
      <c r="H1046" t="s">
        <v>15799</v>
      </c>
      <c r="I1046" t="s">
        <v>31442</v>
      </c>
      <c r="J1046" t="s">
        <v>32304</v>
      </c>
      <c r="K1046" t="s">
        <v>40662</v>
      </c>
      <c r="M1046" t="s">
        <v>41260</v>
      </c>
      <c r="N1046" t="s">
        <v>44905</v>
      </c>
      <c r="O1046" t="s">
        <v>44906</v>
      </c>
      <c r="P1046">
        <v>0</v>
      </c>
      <c r="Q1046">
        <v>0</v>
      </c>
      <c r="R1046" t="s">
        <v>44907</v>
      </c>
      <c r="S1046" t="s">
        <v>45026</v>
      </c>
      <c r="T1046" t="s">
        <v>46511</v>
      </c>
      <c r="U1046" t="s">
        <v>47820</v>
      </c>
      <c r="W1046" t="s">
        <v>41260</v>
      </c>
      <c r="X1046" t="s">
        <v>44908</v>
      </c>
    </row>
    <row r="1047" spans="1:24">
      <c r="A1047">
        <f>HYPERLINK("https://www.philgeps.gov.ph/GEPSNONPILOT/Tender/SplashBidNoticeAbstractUI.aspx?menuIndex=3&amp;refID=7082800&amp;Result=3","7082800")</f>
        <v>0</v>
      </c>
      <c r="B1047" t="s">
        <v>476</v>
      </c>
      <c r="C1047" t="s">
        <v>4531</v>
      </c>
      <c r="D1047" t="s">
        <v>18131</v>
      </c>
      <c r="E1047" t="s">
        <v>18694</v>
      </c>
      <c r="F1047" t="s">
        <v>31362</v>
      </c>
      <c r="G1047" t="s">
        <v>31369</v>
      </c>
      <c r="H1047" t="s">
        <v>31378</v>
      </c>
      <c r="I1047" t="s">
        <v>31386</v>
      </c>
      <c r="J1047" t="s">
        <v>31536</v>
      </c>
      <c r="K1047" t="s">
        <v>40665</v>
      </c>
      <c r="M1047" t="s">
        <v>41430</v>
      </c>
      <c r="N1047" t="s">
        <v>44905</v>
      </c>
      <c r="O1047" t="s">
        <v>44906</v>
      </c>
      <c r="P1047">
        <v>0</v>
      </c>
      <c r="Q1047">
        <v>0</v>
      </c>
      <c r="R1047" t="s">
        <v>44907</v>
      </c>
      <c r="S1047" t="s">
        <v>45026</v>
      </c>
      <c r="T1047" t="s">
        <v>46396</v>
      </c>
      <c r="U1047" t="s">
        <v>47041</v>
      </c>
      <c r="W1047" t="s">
        <v>41430</v>
      </c>
      <c r="X1047" t="s">
        <v>44908</v>
      </c>
    </row>
    <row r="1048" spans="1:24">
      <c r="A1048">
        <f>HYPERLINK("https://www.philgeps.gov.ph/GEPSNONPILOT/Tender/SplashBidNoticeAbstractUI.aspx?menuIndex=3&amp;refID=7082775&amp;Result=3","7082775")</f>
        <v>0</v>
      </c>
      <c r="B1048" t="s">
        <v>409</v>
      </c>
      <c r="C1048" t="s">
        <v>4462</v>
      </c>
      <c r="D1048" t="s">
        <v>18111</v>
      </c>
      <c r="E1048" t="s">
        <v>19175</v>
      </c>
      <c r="F1048" t="s">
        <v>31362</v>
      </c>
      <c r="G1048" t="s">
        <v>31370</v>
      </c>
      <c r="H1048" t="s">
        <v>15799</v>
      </c>
      <c r="I1048" t="s">
        <v>6373</v>
      </c>
      <c r="J1048" t="s">
        <v>32305</v>
      </c>
      <c r="K1048" t="s">
        <v>40670</v>
      </c>
      <c r="M1048" t="s">
        <v>41359</v>
      </c>
      <c r="N1048" t="s">
        <v>44905</v>
      </c>
      <c r="O1048" t="s">
        <v>44906</v>
      </c>
      <c r="P1048">
        <v>0</v>
      </c>
      <c r="Q1048">
        <v>3</v>
      </c>
      <c r="R1048" t="s">
        <v>44907</v>
      </c>
      <c r="S1048" t="s">
        <v>45026</v>
      </c>
      <c r="T1048" t="s">
        <v>46446</v>
      </c>
      <c r="U1048" t="s">
        <v>47761</v>
      </c>
      <c r="W1048" t="s">
        <v>41359</v>
      </c>
      <c r="X1048" t="s">
        <v>44908</v>
      </c>
    </row>
    <row r="1049" spans="1:24">
      <c r="A1049">
        <f>HYPERLINK("https://www.philgeps.gov.ph/GEPSNONPILOT/Tender/SplashBidNoticeAbstractUI.aspx?menuIndex=3&amp;refID=7082805&amp;Result=3","7082805")</f>
        <v>0</v>
      </c>
      <c r="B1049" t="s">
        <v>477</v>
      </c>
      <c r="C1049" t="s">
        <v>4532</v>
      </c>
      <c r="D1049" t="s">
        <v>18158</v>
      </c>
      <c r="E1049" t="s">
        <v>19176</v>
      </c>
      <c r="F1049" t="s">
        <v>31362</v>
      </c>
      <c r="G1049" t="s">
        <v>31370</v>
      </c>
      <c r="H1049" t="s">
        <v>15799</v>
      </c>
      <c r="I1049" t="s">
        <v>3815</v>
      </c>
      <c r="J1049" t="s">
        <v>32306</v>
      </c>
      <c r="K1049" t="s">
        <v>40665</v>
      </c>
      <c r="M1049" t="s">
        <v>41431</v>
      </c>
      <c r="N1049" t="s">
        <v>44905</v>
      </c>
      <c r="O1049" t="s">
        <v>44906</v>
      </c>
      <c r="P1049">
        <v>0</v>
      </c>
      <c r="Q1049">
        <v>0</v>
      </c>
      <c r="R1049" t="s">
        <v>44907</v>
      </c>
      <c r="S1049" t="s">
        <v>45026</v>
      </c>
      <c r="T1049" t="s">
        <v>46409</v>
      </c>
      <c r="U1049" t="s">
        <v>47821</v>
      </c>
      <c r="W1049" t="s">
        <v>41431</v>
      </c>
      <c r="X1049" t="s">
        <v>44908</v>
      </c>
    </row>
    <row r="1050" spans="1:24">
      <c r="A1050">
        <f>HYPERLINK("https://www.philgeps.gov.ph/GEPSNONPILOT/Tender/SplashBidNoticeAbstractUI.aspx?menuIndex=3&amp;refID=7082768&amp;Result=3","7082768")</f>
        <v>0</v>
      </c>
      <c r="B1050" t="s">
        <v>465</v>
      </c>
      <c r="C1050" t="s">
        <v>4533</v>
      </c>
      <c r="D1050" t="s">
        <v>18107</v>
      </c>
      <c r="E1050" t="s">
        <v>19177</v>
      </c>
      <c r="F1050" t="s">
        <v>31362</v>
      </c>
      <c r="G1050" t="s">
        <v>31368</v>
      </c>
      <c r="H1050" t="s">
        <v>31379</v>
      </c>
      <c r="I1050" t="s">
        <v>31382</v>
      </c>
      <c r="J1050" t="s">
        <v>31910</v>
      </c>
      <c r="K1050" t="s">
        <v>40670</v>
      </c>
      <c r="M1050" t="s">
        <v>41419</v>
      </c>
      <c r="N1050" t="s">
        <v>44905</v>
      </c>
      <c r="O1050" t="s">
        <v>44906</v>
      </c>
      <c r="P1050">
        <v>0</v>
      </c>
      <c r="Q1050">
        <v>2</v>
      </c>
      <c r="R1050" t="s">
        <v>44907</v>
      </c>
      <c r="S1050" t="s">
        <v>45026</v>
      </c>
      <c r="T1050" t="s">
        <v>46544</v>
      </c>
      <c r="U1050" t="s">
        <v>47822</v>
      </c>
      <c r="W1050" t="s">
        <v>41419</v>
      </c>
      <c r="X1050" t="s">
        <v>44908</v>
      </c>
    </row>
    <row r="1051" spans="1:24">
      <c r="A1051">
        <f>HYPERLINK("https://www.philgeps.gov.ph/GEPSNONPILOT/Tender/SplashBidNoticeAbstractUI.aspx?menuIndex=3&amp;refID=7082763&amp;Result=3","7082763")</f>
        <v>0</v>
      </c>
      <c r="B1051" t="s">
        <v>363</v>
      </c>
      <c r="C1051" t="s">
        <v>4436</v>
      </c>
      <c r="D1051" t="s">
        <v>18136</v>
      </c>
      <c r="E1051" t="s">
        <v>19178</v>
      </c>
      <c r="F1051" t="s">
        <v>31362</v>
      </c>
      <c r="G1051" t="s">
        <v>31369</v>
      </c>
      <c r="H1051" t="s">
        <v>15799</v>
      </c>
      <c r="I1051" t="s">
        <v>31404</v>
      </c>
      <c r="J1051" t="s">
        <v>31738</v>
      </c>
      <c r="K1051" t="s">
        <v>40665</v>
      </c>
      <c r="M1051" t="s">
        <v>41310</v>
      </c>
      <c r="N1051" t="s">
        <v>44905</v>
      </c>
      <c r="O1051" t="s">
        <v>44906</v>
      </c>
      <c r="P1051">
        <v>0</v>
      </c>
      <c r="Q1051">
        <v>0</v>
      </c>
      <c r="R1051" t="s">
        <v>44907</v>
      </c>
      <c r="S1051" t="s">
        <v>45026</v>
      </c>
      <c r="T1051" t="s">
        <v>46499</v>
      </c>
      <c r="U1051" t="s">
        <v>47823</v>
      </c>
      <c r="W1051" t="s">
        <v>41310</v>
      </c>
      <c r="X1051" t="s">
        <v>44908</v>
      </c>
    </row>
    <row r="1052" spans="1:24">
      <c r="A1052">
        <f>HYPERLINK("https://www.philgeps.gov.ph/GEPSNONPILOT/Tender/SplashBidNoticeAbstractUI.aspx?menuIndex=3&amp;refID=7082796&amp;Result=3","7082796")</f>
        <v>0</v>
      </c>
      <c r="B1052" t="s">
        <v>478</v>
      </c>
      <c r="C1052" t="s">
        <v>4534</v>
      </c>
      <c r="E1052" t="s">
        <v>19179</v>
      </c>
      <c r="F1052" t="s">
        <v>31362</v>
      </c>
      <c r="G1052" t="s">
        <v>31368</v>
      </c>
      <c r="H1052" t="s">
        <v>15799</v>
      </c>
      <c r="I1052" t="s">
        <v>31400</v>
      </c>
      <c r="J1052" t="s">
        <v>32260</v>
      </c>
      <c r="K1052" t="s">
        <v>40661</v>
      </c>
      <c r="M1052" t="s">
        <v>41432</v>
      </c>
      <c r="N1052" t="s">
        <v>44905</v>
      </c>
      <c r="O1052" t="s">
        <v>44906</v>
      </c>
      <c r="P1052">
        <v>0</v>
      </c>
      <c r="Q1052">
        <v>1</v>
      </c>
      <c r="R1052" t="s">
        <v>44907</v>
      </c>
      <c r="S1052" t="s">
        <v>45026</v>
      </c>
      <c r="T1052" t="s">
        <v>46412</v>
      </c>
      <c r="U1052" t="s">
        <v>47824</v>
      </c>
      <c r="W1052" t="s">
        <v>41432</v>
      </c>
      <c r="X1052" t="s">
        <v>44908</v>
      </c>
    </row>
    <row r="1053" spans="1:24">
      <c r="A1053">
        <f>HYPERLINK("https://www.philgeps.gov.ph/GEPSNONPILOT/Tender/SplashBidNoticeAbstractUI.aspx?menuIndex=3&amp;refID=7082762&amp;Result=3","7082762")</f>
        <v>0</v>
      </c>
      <c r="B1053" t="s">
        <v>375</v>
      </c>
      <c r="C1053" t="s">
        <v>4535</v>
      </c>
      <c r="D1053" t="s">
        <v>18177</v>
      </c>
      <c r="E1053" t="s">
        <v>19180</v>
      </c>
      <c r="F1053" t="s">
        <v>31362</v>
      </c>
      <c r="G1053" t="s">
        <v>31368</v>
      </c>
      <c r="H1053" t="s">
        <v>15799</v>
      </c>
      <c r="I1053" t="s">
        <v>31389</v>
      </c>
      <c r="J1053" t="s">
        <v>31564</v>
      </c>
      <c r="K1053" t="s">
        <v>40665</v>
      </c>
      <c r="M1053" t="s">
        <v>41322</v>
      </c>
      <c r="N1053" t="s">
        <v>44905</v>
      </c>
      <c r="O1053" t="s">
        <v>44906</v>
      </c>
      <c r="P1053">
        <v>0</v>
      </c>
      <c r="Q1053">
        <v>1</v>
      </c>
      <c r="R1053" t="s">
        <v>44907</v>
      </c>
      <c r="S1053" t="s">
        <v>45026</v>
      </c>
      <c r="T1053" t="s">
        <v>46432</v>
      </c>
      <c r="U1053" t="s">
        <v>47825</v>
      </c>
      <c r="W1053" t="s">
        <v>41322</v>
      </c>
      <c r="X1053" t="s">
        <v>44908</v>
      </c>
    </row>
    <row r="1054" spans="1:24">
      <c r="A1054">
        <f>HYPERLINK("https://www.philgeps.gov.ph/GEPSNONPILOT/Tender/SplashBidNoticeAbstractUI.aspx?menuIndex=3&amp;refID=7082795&amp;Result=3","7082795")</f>
        <v>0</v>
      </c>
      <c r="B1054" t="s">
        <v>367</v>
      </c>
      <c r="C1054" t="s">
        <v>4536</v>
      </c>
      <c r="D1054" t="s">
        <v>18134</v>
      </c>
      <c r="E1054" t="s">
        <v>19181</v>
      </c>
      <c r="F1054" t="s">
        <v>31362</v>
      </c>
      <c r="G1054" t="s">
        <v>31369</v>
      </c>
      <c r="H1054" t="s">
        <v>15799</v>
      </c>
      <c r="I1054" t="s">
        <v>4283</v>
      </c>
      <c r="J1054" t="s">
        <v>32307</v>
      </c>
      <c r="K1054" t="s">
        <v>40665</v>
      </c>
      <c r="M1054" t="s">
        <v>41398</v>
      </c>
      <c r="N1054" t="s">
        <v>44905</v>
      </c>
      <c r="O1054" t="s">
        <v>44906</v>
      </c>
      <c r="P1054">
        <v>0</v>
      </c>
      <c r="Q1054">
        <v>0</v>
      </c>
      <c r="R1054" t="s">
        <v>44907</v>
      </c>
      <c r="S1054" t="s">
        <v>45026</v>
      </c>
      <c r="T1054" t="s">
        <v>46449</v>
      </c>
      <c r="U1054" t="s">
        <v>47826</v>
      </c>
      <c r="V1054" t="s">
        <v>59171</v>
      </c>
      <c r="W1054" t="s">
        <v>41398</v>
      </c>
      <c r="X1054" t="s">
        <v>44908</v>
      </c>
    </row>
    <row r="1055" spans="1:24">
      <c r="A1055">
        <f>HYPERLINK("https://www.philgeps.gov.ph/GEPSNONPILOT/Tender/SplashBidNoticeAbstractUI.aspx?menuIndex=3&amp;refID=7082801&amp;Result=3","7082801")</f>
        <v>0</v>
      </c>
      <c r="B1055" t="s">
        <v>467</v>
      </c>
      <c r="C1055" t="s">
        <v>4537</v>
      </c>
      <c r="D1055" t="s">
        <v>18134</v>
      </c>
      <c r="E1055" t="s">
        <v>19182</v>
      </c>
      <c r="F1055" t="s">
        <v>31362</v>
      </c>
      <c r="G1055" t="s">
        <v>31368</v>
      </c>
      <c r="H1055" t="s">
        <v>15799</v>
      </c>
      <c r="I1055" t="s">
        <v>31385</v>
      </c>
      <c r="J1055" t="s">
        <v>32308</v>
      </c>
      <c r="K1055" t="s">
        <v>40677</v>
      </c>
      <c r="M1055" t="s">
        <v>41421</v>
      </c>
      <c r="N1055" t="s">
        <v>44905</v>
      </c>
      <c r="O1055" t="s">
        <v>44906</v>
      </c>
      <c r="P1055">
        <v>0</v>
      </c>
      <c r="Q1055">
        <v>0</v>
      </c>
      <c r="R1055" t="s">
        <v>44907</v>
      </c>
      <c r="S1055" t="s">
        <v>45026</v>
      </c>
      <c r="T1055" t="s">
        <v>46396</v>
      </c>
      <c r="U1055" t="s">
        <v>47827</v>
      </c>
      <c r="V1055" t="s">
        <v>59178</v>
      </c>
      <c r="W1055" t="s">
        <v>41421</v>
      </c>
      <c r="X1055" t="s">
        <v>44908</v>
      </c>
    </row>
    <row r="1056" spans="1:24">
      <c r="A1056">
        <f>HYPERLINK("https://www.philgeps.gov.ph/GEPSNONPILOT/Tender/SplashBidNoticeAbstractUI.aspx?menuIndex=3&amp;refID=7082792&amp;Result=3","7082792")</f>
        <v>0</v>
      </c>
      <c r="B1056" t="s">
        <v>472</v>
      </c>
      <c r="C1056" t="s">
        <v>4538</v>
      </c>
      <c r="D1056" t="s">
        <v>18134</v>
      </c>
      <c r="E1056" t="s">
        <v>19183</v>
      </c>
      <c r="F1056" t="s">
        <v>31362</v>
      </c>
      <c r="G1056" t="s">
        <v>31368</v>
      </c>
      <c r="H1056" t="s">
        <v>31378</v>
      </c>
      <c r="I1056" t="s">
        <v>31386</v>
      </c>
      <c r="J1056" t="s">
        <v>32309</v>
      </c>
      <c r="K1056" t="s">
        <v>40696</v>
      </c>
      <c r="M1056" t="s">
        <v>41426</v>
      </c>
      <c r="N1056" t="s">
        <v>44905</v>
      </c>
      <c r="O1056" t="s">
        <v>44906</v>
      </c>
      <c r="P1056">
        <v>0</v>
      </c>
      <c r="Q1056">
        <v>0</v>
      </c>
      <c r="R1056" t="s">
        <v>44907</v>
      </c>
      <c r="S1056" t="s">
        <v>45026</v>
      </c>
      <c r="T1056" t="s">
        <v>46412</v>
      </c>
      <c r="U1056" t="s">
        <v>47828</v>
      </c>
      <c r="W1056" t="s">
        <v>41426</v>
      </c>
      <c r="X1056" t="s">
        <v>44908</v>
      </c>
    </row>
    <row r="1057" spans="1:24">
      <c r="A1057">
        <f>HYPERLINK("https://www.philgeps.gov.ph/GEPSNONPILOT/Tender/SplashBidNoticeAbstractUI.aspx?menuIndex=3&amp;refID=7082799&amp;Result=3","7082799")</f>
        <v>0</v>
      </c>
      <c r="B1057" t="s">
        <v>91</v>
      </c>
      <c r="C1057" t="s">
        <v>4539</v>
      </c>
      <c r="D1057" t="s">
        <v>18136</v>
      </c>
      <c r="E1057" t="s">
        <v>19184</v>
      </c>
      <c r="F1057" t="s">
        <v>31362</v>
      </c>
      <c r="G1057" t="s">
        <v>31368</v>
      </c>
      <c r="H1057" t="s">
        <v>15799</v>
      </c>
      <c r="I1057" t="s">
        <v>4057</v>
      </c>
      <c r="J1057" t="s">
        <v>32310</v>
      </c>
      <c r="K1057" t="s">
        <v>40661</v>
      </c>
      <c r="M1057" t="s">
        <v>41028</v>
      </c>
      <c r="N1057" t="s">
        <v>44905</v>
      </c>
      <c r="O1057" t="s">
        <v>44906</v>
      </c>
      <c r="P1057">
        <v>0</v>
      </c>
      <c r="Q1057">
        <v>0</v>
      </c>
      <c r="R1057" t="s">
        <v>44907</v>
      </c>
      <c r="S1057" t="s">
        <v>45026</v>
      </c>
      <c r="T1057" t="s">
        <v>46411</v>
      </c>
      <c r="U1057" t="s">
        <v>47829</v>
      </c>
      <c r="W1057" t="s">
        <v>41028</v>
      </c>
      <c r="X1057" t="s">
        <v>44908</v>
      </c>
    </row>
    <row r="1058" spans="1:24">
      <c r="A1058">
        <f>HYPERLINK("https://www.philgeps.gov.ph/GEPSNONPILOT/Tender/SplashBidNoticeAbstractUI.aspx?menuIndex=3&amp;refID=7082771&amp;Result=3","7082771")</f>
        <v>0</v>
      </c>
      <c r="B1058" t="s">
        <v>479</v>
      </c>
      <c r="C1058" t="s">
        <v>4540</v>
      </c>
      <c r="D1058" t="s">
        <v>18106</v>
      </c>
      <c r="E1058" t="s">
        <v>19185</v>
      </c>
      <c r="F1058" t="s">
        <v>31362</v>
      </c>
      <c r="G1058" t="s">
        <v>31369</v>
      </c>
      <c r="H1058" t="s">
        <v>15799</v>
      </c>
      <c r="I1058" t="s">
        <v>31399</v>
      </c>
      <c r="J1058" t="s">
        <v>31536</v>
      </c>
      <c r="K1058" t="s">
        <v>40665</v>
      </c>
      <c r="M1058" t="s">
        <v>41433</v>
      </c>
      <c r="N1058" t="s">
        <v>44905</v>
      </c>
      <c r="O1058" t="s">
        <v>44906</v>
      </c>
      <c r="P1058">
        <v>0</v>
      </c>
      <c r="Q1058">
        <v>1</v>
      </c>
      <c r="R1058" t="s">
        <v>44907</v>
      </c>
      <c r="S1058" t="s">
        <v>45026</v>
      </c>
      <c r="T1058" t="s">
        <v>46417</v>
      </c>
      <c r="U1058" t="s">
        <v>47830</v>
      </c>
      <c r="W1058" t="s">
        <v>41433</v>
      </c>
      <c r="X1058" t="s">
        <v>44908</v>
      </c>
    </row>
    <row r="1059" spans="1:24">
      <c r="A1059">
        <f>HYPERLINK("https://www.philgeps.gov.ph/GEPSNONPILOT/Tender/SplashBidNoticeAbstractUI.aspx?menuIndex=3&amp;refID=7082791&amp;Result=3","7082791")</f>
        <v>0</v>
      </c>
      <c r="B1059" t="s">
        <v>480</v>
      </c>
      <c r="C1059" t="s">
        <v>4541</v>
      </c>
      <c r="D1059" t="s">
        <v>18123</v>
      </c>
      <c r="E1059" t="s">
        <v>19186</v>
      </c>
      <c r="F1059" t="s">
        <v>31362</v>
      </c>
      <c r="G1059" t="s">
        <v>31369</v>
      </c>
      <c r="H1059" t="s">
        <v>31378</v>
      </c>
      <c r="I1059" t="s">
        <v>31412</v>
      </c>
      <c r="J1059" t="s">
        <v>32311</v>
      </c>
      <c r="K1059" t="s">
        <v>40665</v>
      </c>
      <c r="M1059" t="s">
        <v>41434</v>
      </c>
      <c r="N1059" t="s">
        <v>44905</v>
      </c>
      <c r="O1059" t="s">
        <v>44906</v>
      </c>
      <c r="P1059">
        <v>0</v>
      </c>
      <c r="Q1059">
        <v>1</v>
      </c>
      <c r="R1059" t="s">
        <v>44907</v>
      </c>
      <c r="S1059" t="s">
        <v>45026</v>
      </c>
      <c r="T1059" t="s">
        <v>46408</v>
      </c>
      <c r="U1059" t="s">
        <v>47831</v>
      </c>
      <c r="W1059" t="s">
        <v>41434</v>
      </c>
      <c r="X1059" t="s">
        <v>44908</v>
      </c>
    </row>
    <row r="1060" spans="1:24">
      <c r="A1060">
        <f>HYPERLINK("https://www.philgeps.gov.ph/GEPSNONPILOT/Tender/SplashBidNoticeAbstractUI.aspx?menuIndex=3&amp;refID=7082790&amp;Result=3","7082790")</f>
        <v>0</v>
      </c>
      <c r="B1060" t="s">
        <v>447</v>
      </c>
      <c r="C1060" t="s">
        <v>4542</v>
      </c>
      <c r="D1060" t="s">
        <v>18109</v>
      </c>
      <c r="E1060" t="s">
        <v>19187</v>
      </c>
      <c r="F1060" t="s">
        <v>31362</v>
      </c>
      <c r="G1060" t="s">
        <v>31368</v>
      </c>
      <c r="H1060" t="s">
        <v>15799</v>
      </c>
      <c r="I1060" t="s">
        <v>31422</v>
      </c>
      <c r="J1060" t="s">
        <v>32143</v>
      </c>
      <c r="K1060" t="s">
        <v>40670</v>
      </c>
      <c r="M1060" t="s">
        <v>41401</v>
      </c>
      <c r="N1060" t="s">
        <v>44905</v>
      </c>
      <c r="O1060" t="s">
        <v>44906</v>
      </c>
      <c r="P1060">
        <v>0</v>
      </c>
      <c r="Q1060">
        <v>0</v>
      </c>
      <c r="R1060" t="s">
        <v>44907</v>
      </c>
      <c r="S1060" t="s">
        <v>45026</v>
      </c>
      <c r="T1060" t="s">
        <v>46409</v>
      </c>
      <c r="U1060" t="s">
        <v>47832</v>
      </c>
      <c r="V1060" t="s">
        <v>59173</v>
      </c>
      <c r="W1060" t="s">
        <v>41401</v>
      </c>
      <c r="X1060" t="s">
        <v>44908</v>
      </c>
    </row>
    <row r="1061" spans="1:24">
      <c r="A1061">
        <f>HYPERLINK("https://www.philgeps.gov.ph/GEPSNONPILOT/Tender/SplashBidNoticeAbstractUI.aspx?menuIndex=3&amp;refID=7082788&amp;Result=3","7082788")</f>
        <v>0</v>
      </c>
      <c r="B1061" t="s">
        <v>481</v>
      </c>
      <c r="C1061" t="s">
        <v>4543</v>
      </c>
      <c r="D1061" t="s">
        <v>18131</v>
      </c>
      <c r="E1061" t="s">
        <v>18694</v>
      </c>
      <c r="F1061" t="s">
        <v>31362</v>
      </c>
      <c r="G1061" t="s">
        <v>31369</v>
      </c>
      <c r="H1061" t="s">
        <v>31378</v>
      </c>
      <c r="I1061" t="s">
        <v>31386</v>
      </c>
      <c r="J1061" t="s">
        <v>32312</v>
      </c>
      <c r="K1061" t="s">
        <v>40665</v>
      </c>
      <c r="M1061" t="s">
        <v>41435</v>
      </c>
      <c r="N1061" t="s">
        <v>44905</v>
      </c>
      <c r="O1061" t="s">
        <v>44906</v>
      </c>
      <c r="P1061">
        <v>0</v>
      </c>
      <c r="Q1061">
        <v>1</v>
      </c>
      <c r="R1061" t="s">
        <v>44907</v>
      </c>
      <c r="S1061" t="s">
        <v>45026</v>
      </c>
      <c r="T1061" t="s">
        <v>46396</v>
      </c>
      <c r="U1061" t="s">
        <v>47041</v>
      </c>
      <c r="W1061" t="s">
        <v>41435</v>
      </c>
      <c r="X1061" t="s">
        <v>44908</v>
      </c>
    </row>
    <row r="1062" spans="1:24">
      <c r="A1062">
        <f>HYPERLINK("https://www.philgeps.gov.ph/GEPSNONPILOT/Tender/SplashBidNoticeAbstractUI.aspx?menuIndex=3&amp;refID=7082787&amp;Result=3","7082787")</f>
        <v>0</v>
      </c>
      <c r="B1062" t="s">
        <v>421</v>
      </c>
      <c r="C1062" t="s">
        <v>4544</v>
      </c>
      <c r="D1062" t="s">
        <v>18133</v>
      </c>
      <c r="E1062" t="s">
        <v>19188</v>
      </c>
      <c r="F1062" t="s">
        <v>31362</v>
      </c>
      <c r="G1062" t="s">
        <v>31369</v>
      </c>
      <c r="H1062" t="s">
        <v>31378</v>
      </c>
      <c r="I1062" t="s">
        <v>31386</v>
      </c>
      <c r="J1062" t="s">
        <v>32187</v>
      </c>
      <c r="K1062" t="s">
        <v>40714</v>
      </c>
      <c r="M1062" t="s">
        <v>41372</v>
      </c>
      <c r="N1062" t="s">
        <v>44905</v>
      </c>
      <c r="O1062" t="s">
        <v>44906</v>
      </c>
      <c r="P1062">
        <v>0</v>
      </c>
      <c r="Q1062">
        <v>0</v>
      </c>
      <c r="R1062" t="s">
        <v>44907</v>
      </c>
      <c r="S1062" t="s">
        <v>45026</v>
      </c>
      <c r="T1062" t="s">
        <v>46496</v>
      </c>
      <c r="U1062" t="s">
        <v>47833</v>
      </c>
      <c r="W1062" t="s">
        <v>41372</v>
      </c>
      <c r="X1062" t="s">
        <v>44908</v>
      </c>
    </row>
    <row r="1063" spans="1:24">
      <c r="A1063">
        <f>HYPERLINK("https://www.philgeps.gov.ph/GEPSNONPILOT/Tender/SplashBidNoticeAbstractUI.aspx?menuIndex=3&amp;refID=7082785&amp;Result=3","7082785")</f>
        <v>0</v>
      </c>
      <c r="B1063" t="s">
        <v>70</v>
      </c>
      <c r="C1063" t="s">
        <v>4136</v>
      </c>
      <c r="D1063" t="s">
        <v>18112</v>
      </c>
      <c r="E1063" t="s">
        <v>19189</v>
      </c>
      <c r="F1063" t="s">
        <v>31362</v>
      </c>
      <c r="G1063" t="s">
        <v>31371</v>
      </c>
      <c r="H1063" t="s">
        <v>15799</v>
      </c>
      <c r="I1063" t="s">
        <v>31387</v>
      </c>
      <c r="J1063" t="s">
        <v>32313</v>
      </c>
      <c r="K1063" t="s">
        <v>40661</v>
      </c>
      <c r="M1063" t="s">
        <v>41006</v>
      </c>
      <c r="N1063" t="s">
        <v>44905</v>
      </c>
      <c r="O1063" t="s">
        <v>44906</v>
      </c>
      <c r="P1063">
        <v>0</v>
      </c>
      <c r="Q1063">
        <v>0</v>
      </c>
      <c r="R1063" t="s">
        <v>44907</v>
      </c>
      <c r="S1063" t="s">
        <v>45026</v>
      </c>
      <c r="T1063" t="s">
        <v>46545</v>
      </c>
      <c r="U1063" t="s">
        <v>47834</v>
      </c>
      <c r="W1063" t="s">
        <v>41006</v>
      </c>
      <c r="X1063" t="s">
        <v>44908</v>
      </c>
    </row>
    <row r="1064" spans="1:24">
      <c r="A1064">
        <f>HYPERLINK("https://www.philgeps.gov.ph/GEPSNONPILOT/Tender/SplashBidNoticeAbstractUI.aspx?menuIndex=3&amp;refID=7082794&amp;Result=3","7082794")</f>
        <v>0</v>
      </c>
      <c r="B1064" t="s">
        <v>363</v>
      </c>
      <c r="C1064" t="s">
        <v>4545</v>
      </c>
      <c r="D1064" t="s">
        <v>18136</v>
      </c>
      <c r="E1064" t="s">
        <v>19190</v>
      </c>
      <c r="F1064" t="s">
        <v>31362</v>
      </c>
      <c r="G1064" t="s">
        <v>31369</v>
      </c>
      <c r="H1064" t="s">
        <v>15799</v>
      </c>
      <c r="I1064" t="s">
        <v>3815</v>
      </c>
      <c r="J1064" t="s">
        <v>32314</v>
      </c>
      <c r="K1064" t="s">
        <v>40665</v>
      </c>
      <c r="M1064" t="s">
        <v>41310</v>
      </c>
      <c r="N1064" t="s">
        <v>44905</v>
      </c>
      <c r="O1064" t="s">
        <v>44906</v>
      </c>
      <c r="P1064">
        <v>0</v>
      </c>
      <c r="Q1064">
        <v>1</v>
      </c>
      <c r="R1064" t="s">
        <v>44907</v>
      </c>
      <c r="S1064" t="s">
        <v>45026</v>
      </c>
      <c r="T1064" t="s">
        <v>46499</v>
      </c>
      <c r="U1064" t="s">
        <v>47835</v>
      </c>
      <c r="W1064" t="s">
        <v>41310</v>
      </c>
      <c r="X1064" t="s">
        <v>44908</v>
      </c>
    </row>
    <row r="1065" spans="1:24">
      <c r="A1065">
        <f>HYPERLINK("https://www.philgeps.gov.ph/GEPSNONPILOT/Tender/SplashBidNoticeAbstractUI.aspx?menuIndex=3&amp;refID=7082793&amp;Result=3","7082793")</f>
        <v>0</v>
      </c>
      <c r="B1065" t="s">
        <v>364</v>
      </c>
      <c r="C1065" t="s">
        <v>4546</v>
      </c>
      <c r="D1065" t="s">
        <v>18138</v>
      </c>
      <c r="E1065" t="s">
        <v>19191</v>
      </c>
      <c r="F1065" t="s">
        <v>31362</v>
      </c>
      <c r="G1065" t="s">
        <v>31368</v>
      </c>
      <c r="H1065" t="s">
        <v>15799</v>
      </c>
      <c r="I1065" t="s">
        <v>31385</v>
      </c>
      <c r="J1065" t="s">
        <v>32315</v>
      </c>
      <c r="K1065" t="s">
        <v>40662</v>
      </c>
      <c r="M1065" t="s">
        <v>41311</v>
      </c>
      <c r="N1065" t="s">
        <v>44905</v>
      </c>
      <c r="O1065" t="s">
        <v>44906</v>
      </c>
      <c r="P1065">
        <v>0</v>
      </c>
      <c r="Q1065">
        <v>3</v>
      </c>
      <c r="R1065" t="s">
        <v>44907</v>
      </c>
      <c r="S1065" t="s">
        <v>45026</v>
      </c>
      <c r="T1065" t="s">
        <v>46409</v>
      </c>
      <c r="U1065" t="s">
        <v>47548</v>
      </c>
      <c r="W1065" t="s">
        <v>41311</v>
      </c>
      <c r="X1065" t="s">
        <v>44908</v>
      </c>
    </row>
    <row r="1066" spans="1:24">
      <c r="A1066">
        <f>HYPERLINK("https://www.philgeps.gov.ph/GEPSNONPILOT/Tender/SplashBidNoticeAbstractUI.aspx?menuIndex=3&amp;refID=7082784&amp;Result=3","7082784")</f>
        <v>0</v>
      </c>
      <c r="B1066" t="s">
        <v>444</v>
      </c>
      <c r="C1066" t="s">
        <v>4547</v>
      </c>
      <c r="D1066" t="s">
        <v>18146</v>
      </c>
      <c r="E1066" t="s">
        <v>19192</v>
      </c>
      <c r="F1066" t="s">
        <v>31362</v>
      </c>
      <c r="G1066" t="s">
        <v>31368</v>
      </c>
      <c r="H1066" t="s">
        <v>15799</v>
      </c>
      <c r="I1066" t="s">
        <v>7188</v>
      </c>
      <c r="J1066" t="s">
        <v>31545</v>
      </c>
      <c r="K1066" t="s">
        <v>40697</v>
      </c>
      <c r="M1066" t="s">
        <v>41397</v>
      </c>
      <c r="N1066" t="s">
        <v>44905</v>
      </c>
      <c r="O1066" t="s">
        <v>44906</v>
      </c>
      <c r="P1066">
        <v>0</v>
      </c>
      <c r="Q1066">
        <v>0</v>
      </c>
      <c r="R1066" t="s">
        <v>44907</v>
      </c>
      <c r="S1066" t="s">
        <v>45026</v>
      </c>
      <c r="T1066" t="s">
        <v>46393</v>
      </c>
      <c r="U1066" t="s">
        <v>47836</v>
      </c>
      <c r="W1066" t="s">
        <v>41397</v>
      </c>
      <c r="X1066" t="s">
        <v>44908</v>
      </c>
    </row>
    <row r="1067" spans="1:24">
      <c r="A1067">
        <f>HYPERLINK("https://www.philgeps.gov.ph/GEPSNONPILOT/Tender/SplashBidNoticeAbstractUI.aspx?menuIndex=3&amp;refID=7082783&amp;Result=3","7082783")</f>
        <v>0</v>
      </c>
      <c r="B1067" t="s">
        <v>482</v>
      </c>
      <c r="C1067" t="s">
        <v>4548</v>
      </c>
      <c r="D1067" t="s">
        <v>18108</v>
      </c>
      <c r="E1067" t="s">
        <v>19193</v>
      </c>
      <c r="F1067" t="s">
        <v>31362</v>
      </c>
      <c r="G1067" t="s">
        <v>31368</v>
      </c>
      <c r="H1067" t="s">
        <v>15799</v>
      </c>
      <c r="I1067" t="s">
        <v>6373</v>
      </c>
      <c r="J1067" t="s">
        <v>32316</v>
      </c>
      <c r="K1067" t="s">
        <v>40665</v>
      </c>
      <c r="M1067" t="s">
        <v>41436</v>
      </c>
      <c r="N1067" t="s">
        <v>44905</v>
      </c>
      <c r="O1067" t="s">
        <v>44906</v>
      </c>
      <c r="P1067">
        <v>0</v>
      </c>
      <c r="Q1067">
        <v>3</v>
      </c>
      <c r="R1067" t="s">
        <v>44907</v>
      </c>
      <c r="S1067" t="s">
        <v>45026</v>
      </c>
      <c r="T1067" t="s">
        <v>46393</v>
      </c>
      <c r="U1067" t="s">
        <v>47837</v>
      </c>
      <c r="W1067" t="s">
        <v>41436</v>
      </c>
      <c r="X1067" t="s">
        <v>44908</v>
      </c>
    </row>
    <row r="1068" spans="1:24">
      <c r="A1068">
        <f>HYPERLINK("https://www.philgeps.gov.ph/GEPSNONPILOT/Tender/SplashBidNoticeAbstractUI.aspx?menuIndex=3&amp;refID=7082759&amp;Result=3","7082759")</f>
        <v>0</v>
      </c>
      <c r="B1068" t="s">
        <v>409</v>
      </c>
      <c r="C1068" t="s">
        <v>4462</v>
      </c>
      <c r="D1068" t="s">
        <v>18111</v>
      </c>
      <c r="E1068" t="s">
        <v>19194</v>
      </c>
      <c r="F1068" t="s">
        <v>31362</v>
      </c>
      <c r="G1068" t="s">
        <v>31370</v>
      </c>
      <c r="H1068" t="s">
        <v>15799</v>
      </c>
      <c r="I1068" t="s">
        <v>6373</v>
      </c>
      <c r="J1068" t="s">
        <v>32317</v>
      </c>
      <c r="K1068" t="s">
        <v>40670</v>
      </c>
      <c r="M1068" t="s">
        <v>41359</v>
      </c>
      <c r="N1068" t="s">
        <v>44905</v>
      </c>
      <c r="O1068" t="s">
        <v>44906</v>
      </c>
      <c r="P1068">
        <v>0</v>
      </c>
      <c r="Q1068">
        <v>2</v>
      </c>
      <c r="R1068" t="s">
        <v>44907</v>
      </c>
      <c r="S1068" t="s">
        <v>45026</v>
      </c>
      <c r="T1068" t="s">
        <v>46446</v>
      </c>
      <c r="U1068" t="s">
        <v>47761</v>
      </c>
      <c r="W1068" t="s">
        <v>41359</v>
      </c>
      <c r="X1068" t="s">
        <v>44908</v>
      </c>
    </row>
    <row r="1069" spans="1:24">
      <c r="A1069">
        <f>HYPERLINK("https://www.philgeps.gov.ph/GEPSNONPILOT/Tender/SplashBidNoticeAbstractUI.aspx?menuIndex=3&amp;refID=7082335&amp;Result=3","7082335")</f>
        <v>0</v>
      </c>
      <c r="B1069" t="s">
        <v>252</v>
      </c>
      <c r="C1069" t="s">
        <v>4549</v>
      </c>
      <c r="D1069" t="s">
        <v>18103</v>
      </c>
      <c r="E1069" t="s">
        <v>19195</v>
      </c>
      <c r="F1069" t="s">
        <v>31362</v>
      </c>
      <c r="G1069" t="s">
        <v>31368</v>
      </c>
      <c r="H1069" t="s">
        <v>15799</v>
      </c>
      <c r="I1069" t="s">
        <v>31427</v>
      </c>
      <c r="J1069" t="s">
        <v>32318</v>
      </c>
      <c r="K1069" t="s">
        <v>40661</v>
      </c>
      <c r="M1069" t="s">
        <v>41191</v>
      </c>
      <c r="N1069" t="s">
        <v>44905</v>
      </c>
      <c r="O1069" t="s">
        <v>44906</v>
      </c>
      <c r="P1069">
        <v>0</v>
      </c>
      <c r="Q1069">
        <v>2</v>
      </c>
      <c r="R1069" t="s">
        <v>44907</v>
      </c>
      <c r="S1069" t="s">
        <v>45026</v>
      </c>
      <c r="T1069" t="s">
        <v>46435</v>
      </c>
      <c r="U1069" t="s">
        <v>47838</v>
      </c>
      <c r="W1069" t="s">
        <v>41191</v>
      </c>
      <c r="X1069" t="s">
        <v>44908</v>
      </c>
    </row>
    <row r="1070" spans="1:24">
      <c r="A1070">
        <f>HYPERLINK("https://www.philgeps.gov.ph/GEPSNONPILOT/Tender/SplashBidNoticeAbstractUI.aspx?menuIndex=3&amp;refID=7082789&amp;Result=3","7082789")</f>
        <v>0</v>
      </c>
      <c r="B1070" t="s">
        <v>483</v>
      </c>
      <c r="C1070" t="s">
        <v>4550</v>
      </c>
      <c r="D1070" t="s">
        <v>18102</v>
      </c>
      <c r="E1070" t="s">
        <v>19196</v>
      </c>
      <c r="F1070" t="s">
        <v>31362</v>
      </c>
      <c r="G1070" t="s">
        <v>31368</v>
      </c>
      <c r="H1070" t="s">
        <v>15799</v>
      </c>
      <c r="I1070" t="s">
        <v>31387</v>
      </c>
      <c r="J1070" t="s">
        <v>32319</v>
      </c>
      <c r="K1070" t="s">
        <v>40661</v>
      </c>
      <c r="M1070" t="s">
        <v>41437</v>
      </c>
      <c r="N1070" t="s">
        <v>44905</v>
      </c>
      <c r="O1070" t="s">
        <v>44906</v>
      </c>
      <c r="P1070">
        <v>0</v>
      </c>
      <c r="Q1070">
        <v>0</v>
      </c>
      <c r="R1070" t="s">
        <v>44907</v>
      </c>
      <c r="S1070" t="s">
        <v>45026</v>
      </c>
      <c r="T1070" t="s">
        <v>46503</v>
      </c>
      <c r="U1070" t="s">
        <v>47839</v>
      </c>
      <c r="V1070" t="s">
        <v>59183</v>
      </c>
      <c r="W1070" t="s">
        <v>41437</v>
      </c>
      <c r="X1070" t="s">
        <v>44908</v>
      </c>
    </row>
    <row r="1071" spans="1:24">
      <c r="A1071">
        <f>HYPERLINK("https://www.philgeps.gov.ph/GEPSNONPILOT/Tender/SplashBidNoticeAbstractUI.aspx?menuIndex=3&amp;refID=7082312&amp;Result=3","7082312")</f>
        <v>0</v>
      </c>
      <c r="B1071" t="s">
        <v>484</v>
      </c>
      <c r="C1071" t="s">
        <v>4551</v>
      </c>
      <c r="D1071" t="s">
        <v>18108</v>
      </c>
      <c r="E1071" t="s">
        <v>19197</v>
      </c>
      <c r="F1071" t="s">
        <v>31362</v>
      </c>
      <c r="G1071" t="s">
        <v>31368</v>
      </c>
      <c r="H1071" t="s">
        <v>15799</v>
      </c>
      <c r="I1071" t="s">
        <v>31398</v>
      </c>
      <c r="J1071" t="s">
        <v>32320</v>
      </c>
      <c r="K1071" t="s">
        <v>40662</v>
      </c>
      <c r="M1071" t="s">
        <v>41438</v>
      </c>
      <c r="N1071" t="s">
        <v>44905</v>
      </c>
      <c r="O1071" t="s">
        <v>44906</v>
      </c>
      <c r="P1071">
        <v>0</v>
      </c>
      <c r="Q1071">
        <v>0</v>
      </c>
      <c r="R1071" t="s">
        <v>44907</v>
      </c>
      <c r="S1071" t="s">
        <v>45026</v>
      </c>
      <c r="T1071" t="s">
        <v>46434</v>
      </c>
      <c r="U1071" t="s">
        <v>47840</v>
      </c>
      <c r="W1071" t="s">
        <v>41438</v>
      </c>
      <c r="X1071" t="s">
        <v>44908</v>
      </c>
    </row>
    <row r="1072" spans="1:24">
      <c r="A1072">
        <f>HYPERLINK("https://www.philgeps.gov.ph/GEPSNONPILOT/Tender/SplashBidNoticeAbstractUI.aspx?menuIndex=3&amp;refID=7082786&amp;Result=3","7082786")</f>
        <v>0</v>
      </c>
      <c r="B1072" t="s">
        <v>451</v>
      </c>
      <c r="C1072" t="s">
        <v>4552</v>
      </c>
      <c r="D1072" t="s">
        <v>18112</v>
      </c>
      <c r="E1072" t="s">
        <v>19198</v>
      </c>
      <c r="F1072" t="s">
        <v>31362</v>
      </c>
      <c r="G1072" t="s">
        <v>31369</v>
      </c>
      <c r="H1072" t="s">
        <v>15799</v>
      </c>
      <c r="I1072" t="s">
        <v>3815</v>
      </c>
      <c r="J1072" t="s">
        <v>32090</v>
      </c>
      <c r="K1072" t="s">
        <v>40670</v>
      </c>
      <c r="M1072" t="s">
        <v>41405</v>
      </c>
      <c r="N1072" t="s">
        <v>44905</v>
      </c>
      <c r="O1072" t="s">
        <v>44906</v>
      </c>
      <c r="P1072">
        <v>0</v>
      </c>
      <c r="Q1072">
        <v>0</v>
      </c>
      <c r="R1072" t="s">
        <v>44907</v>
      </c>
      <c r="S1072" t="s">
        <v>45026</v>
      </c>
      <c r="T1072" t="s">
        <v>46537</v>
      </c>
      <c r="U1072" t="s">
        <v>47841</v>
      </c>
      <c r="W1072" t="s">
        <v>41405</v>
      </c>
      <c r="X1072" t="s">
        <v>44908</v>
      </c>
    </row>
    <row r="1073" spans="1:24">
      <c r="A1073">
        <f>HYPERLINK("https://www.philgeps.gov.ph/GEPSNONPILOT/Tender/SplashBidNoticeAbstractUI.aspx?menuIndex=3&amp;refID=7082307&amp;Result=3","7082307")</f>
        <v>0</v>
      </c>
      <c r="B1073" t="s">
        <v>363</v>
      </c>
      <c r="C1073" t="s">
        <v>4553</v>
      </c>
      <c r="D1073" t="s">
        <v>18136</v>
      </c>
      <c r="E1073" t="s">
        <v>19199</v>
      </c>
      <c r="F1073" t="s">
        <v>31362</v>
      </c>
      <c r="G1073" t="s">
        <v>31369</v>
      </c>
      <c r="H1073" t="s">
        <v>15799</v>
      </c>
      <c r="I1073" t="s">
        <v>4283</v>
      </c>
      <c r="J1073" t="s">
        <v>32321</v>
      </c>
      <c r="K1073" t="s">
        <v>40665</v>
      </c>
      <c r="M1073" t="s">
        <v>41310</v>
      </c>
      <c r="N1073" t="s">
        <v>44905</v>
      </c>
      <c r="O1073" t="s">
        <v>44906</v>
      </c>
      <c r="P1073">
        <v>0</v>
      </c>
      <c r="Q1073">
        <v>1</v>
      </c>
      <c r="R1073" t="s">
        <v>44907</v>
      </c>
      <c r="S1073" t="s">
        <v>45026</v>
      </c>
      <c r="T1073" t="s">
        <v>46521</v>
      </c>
      <c r="U1073" t="s">
        <v>47842</v>
      </c>
      <c r="W1073" t="s">
        <v>41310</v>
      </c>
      <c r="X1073" t="s">
        <v>44908</v>
      </c>
    </row>
    <row r="1074" spans="1:24">
      <c r="A1074">
        <f>HYPERLINK("https://www.philgeps.gov.ph/GEPSNONPILOT/Tender/SplashBidNoticeAbstractUI.aspx?menuIndex=3&amp;refID=7082758&amp;Result=3","7082758")</f>
        <v>0</v>
      </c>
      <c r="B1074" t="s">
        <v>472</v>
      </c>
      <c r="C1074" t="s">
        <v>4554</v>
      </c>
      <c r="D1074" t="s">
        <v>18134</v>
      </c>
      <c r="E1074" t="s">
        <v>19200</v>
      </c>
      <c r="F1074" t="s">
        <v>31362</v>
      </c>
      <c r="G1074" t="s">
        <v>31368</v>
      </c>
      <c r="H1074" t="s">
        <v>31378</v>
      </c>
      <c r="I1074" t="s">
        <v>31386</v>
      </c>
      <c r="J1074" t="s">
        <v>32322</v>
      </c>
      <c r="K1074" t="s">
        <v>40717</v>
      </c>
      <c r="M1074" t="s">
        <v>41426</v>
      </c>
      <c r="N1074" t="s">
        <v>44905</v>
      </c>
      <c r="O1074" t="s">
        <v>44906</v>
      </c>
      <c r="P1074">
        <v>0</v>
      </c>
      <c r="Q1074">
        <v>0</v>
      </c>
      <c r="R1074" t="s">
        <v>44907</v>
      </c>
      <c r="S1074" t="s">
        <v>45026</v>
      </c>
      <c r="T1074" t="s">
        <v>46412</v>
      </c>
      <c r="U1074" t="s">
        <v>47843</v>
      </c>
      <c r="W1074" t="s">
        <v>41426</v>
      </c>
      <c r="X1074" t="s">
        <v>44908</v>
      </c>
    </row>
    <row r="1075" spans="1:24">
      <c r="A1075">
        <f>HYPERLINK("https://www.philgeps.gov.ph/GEPSNONPILOT/Tender/SplashBidNoticeAbstractUI.aspx?menuIndex=3&amp;refID=7082798&amp;Result=3","7082798")</f>
        <v>0</v>
      </c>
      <c r="B1075" t="s">
        <v>74</v>
      </c>
      <c r="C1075" t="s">
        <v>4555</v>
      </c>
      <c r="D1075" t="s">
        <v>18108</v>
      </c>
      <c r="E1075" t="s">
        <v>19201</v>
      </c>
      <c r="F1075" t="s">
        <v>31362</v>
      </c>
      <c r="G1075" t="s">
        <v>31368</v>
      </c>
      <c r="H1075" t="s">
        <v>15799</v>
      </c>
      <c r="I1075" t="s">
        <v>31422</v>
      </c>
      <c r="J1075" t="s">
        <v>32323</v>
      </c>
      <c r="K1075" t="s">
        <v>40662</v>
      </c>
      <c r="M1075" t="s">
        <v>41407</v>
      </c>
      <c r="N1075" t="s">
        <v>44905</v>
      </c>
      <c r="O1075" t="s">
        <v>44906</v>
      </c>
      <c r="P1075">
        <v>0</v>
      </c>
      <c r="Q1075">
        <v>4</v>
      </c>
      <c r="R1075" t="s">
        <v>44907</v>
      </c>
      <c r="S1075" t="s">
        <v>45026</v>
      </c>
      <c r="T1075" t="s">
        <v>46404</v>
      </c>
      <c r="U1075" t="s">
        <v>47844</v>
      </c>
      <c r="W1075" t="s">
        <v>41407</v>
      </c>
      <c r="X1075" t="s">
        <v>44908</v>
      </c>
    </row>
    <row r="1076" spans="1:24">
      <c r="A1076">
        <f>HYPERLINK("https://www.philgeps.gov.ph/GEPSNONPILOT/Tender/SplashBidNoticeAbstractUI.aspx?menuIndex=3&amp;refID=7082314&amp;Result=3","7082314")</f>
        <v>0</v>
      </c>
      <c r="B1076" t="s">
        <v>259</v>
      </c>
      <c r="C1076" t="s">
        <v>4556</v>
      </c>
      <c r="D1076" t="s">
        <v>18100</v>
      </c>
      <c r="E1076" t="s">
        <v>19202</v>
      </c>
      <c r="F1076" t="s">
        <v>31362</v>
      </c>
      <c r="G1076" t="s">
        <v>31368</v>
      </c>
      <c r="H1076" t="s">
        <v>15799</v>
      </c>
      <c r="I1076" t="s">
        <v>31387</v>
      </c>
      <c r="J1076" t="s">
        <v>31890</v>
      </c>
      <c r="K1076" t="s">
        <v>40693</v>
      </c>
      <c r="M1076" t="s">
        <v>41200</v>
      </c>
      <c r="N1076" t="s">
        <v>44905</v>
      </c>
      <c r="O1076" t="s">
        <v>44906</v>
      </c>
      <c r="P1076">
        <v>0</v>
      </c>
      <c r="Q1076">
        <v>0</v>
      </c>
      <c r="R1076" t="s">
        <v>44907</v>
      </c>
      <c r="S1076" t="s">
        <v>45026</v>
      </c>
      <c r="T1076" t="s">
        <v>46426</v>
      </c>
      <c r="U1076" t="s">
        <v>47845</v>
      </c>
      <c r="W1076" t="s">
        <v>41200</v>
      </c>
      <c r="X1076" t="s">
        <v>44908</v>
      </c>
    </row>
    <row r="1077" spans="1:24">
      <c r="A1077">
        <f>HYPERLINK("https://www.philgeps.gov.ph/GEPSNONPILOT/Tender/SplashBidNoticeAbstractUI.aspx?menuIndex=3&amp;refID=7082806&amp;Result=3","7082806")</f>
        <v>0</v>
      </c>
      <c r="B1077" t="s">
        <v>452</v>
      </c>
      <c r="C1077" t="s">
        <v>4557</v>
      </c>
      <c r="D1077" t="s">
        <v>18122</v>
      </c>
      <c r="E1077" t="s">
        <v>19203</v>
      </c>
      <c r="F1077" t="s">
        <v>31362</v>
      </c>
      <c r="G1077" t="s">
        <v>31368</v>
      </c>
      <c r="H1077" t="s">
        <v>15799</v>
      </c>
      <c r="I1077" t="s">
        <v>31389</v>
      </c>
      <c r="J1077" t="s">
        <v>32324</v>
      </c>
      <c r="K1077" t="s">
        <v>40674</v>
      </c>
      <c r="M1077" t="s">
        <v>41439</v>
      </c>
      <c r="N1077" t="s">
        <v>44905</v>
      </c>
      <c r="O1077" t="s">
        <v>44906</v>
      </c>
      <c r="P1077">
        <v>0</v>
      </c>
      <c r="Q1077">
        <v>3</v>
      </c>
      <c r="R1077" t="s">
        <v>44907</v>
      </c>
      <c r="S1077" t="s">
        <v>45026</v>
      </c>
      <c r="T1077" t="s">
        <v>46470</v>
      </c>
      <c r="U1077" t="s">
        <v>47846</v>
      </c>
      <c r="W1077" t="s">
        <v>41439</v>
      </c>
      <c r="X1077" t="s">
        <v>44908</v>
      </c>
    </row>
    <row r="1078" spans="1:24">
      <c r="A1078">
        <f>HYPERLINK("https://www.philgeps.gov.ph/GEPSNONPILOT/Tender/SplashBidNoticeAbstractUI.aspx?menuIndex=3&amp;refID=7082825&amp;Result=3","7082825")</f>
        <v>0</v>
      </c>
      <c r="B1078" t="s">
        <v>367</v>
      </c>
      <c r="C1078" t="s">
        <v>4558</v>
      </c>
      <c r="D1078" t="s">
        <v>18134</v>
      </c>
      <c r="E1078" t="s">
        <v>19204</v>
      </c>
      <c r="F1078" t="s">
        <v>31362</v>
      </c>
      <c r="G1078" t="s">
        <v>31369</v>
      </c>
      <c r="H1078" t="s">
        <v>15799</v>
      </c>
      <c r="I1078" t="s">
        <v>31427</v>
      </c>
      <c r="J1078" t="s">
        <v>32325</v>
      </c>
      <c r="K1078" t="s">
        <v>40665</v>
      </c>
      <c r="M1078" t="s">
        <v>41398</v>
      </c>
      <c r="N1078" t="s">
        <v>44905</v>
      </c>
      <c r="O1078" t="s">
        <v>44906</v>
      </c>
      <c r="P1078">
        <v>0</v>
      </c>
      <c r="Q1078">
        <v>0</v>
      </c>
      <c r="R1078" t="s">
        <v>44907</v>
      </c>
      <c r="S1078" t="s">
        <v>45026</v>
      </c>
      <c r="T1078" t="s">
        <v>46449</v>
      </c>
      <c r="U1078" t="s">
        <v>47847</v>
      </c>
      <c r="V1078" t="s">
        <v>59171</v>
      </c>
      <c r="W1078" t="s">
        <v>41398</v>
      </c>
      <c r="X1078" t="s">
        <v>44908</v>
      </c>
    </row>
    <row r="1079" spans="1:24">
      <c r="A1079">
        <f>HYPERLINK("https://www.philgeps.gov.ph/GEPSNONPILOT/Tender/SplashBidNoticeAbstractUI.aspx?menuIndex=3&amp;refID=7082313&amp;Result=3","7082313")</f>
        <v>0</v>
      </c>
      <c r="B1079" t="s">
        <v>371</v>
      </c>
      <c r="C1079" t="s">
        <v>4559</v>
      </c>
      <c r="D1079" t="s">
        <v>18157</v>
      </c>
      <c r="E1079" t="s">
        <v>19205</v>
      </c>
      <c r="F1079" t="s">
        <v>31362</v>
      </c>
      <c r="G1079" t="s">
        <v>31368</v>
      </c>
      <c r="H1079" t="s">
        <v>15799</v>
      </c>
      <c r="I1079" t="s">
        <v>31427</v>
      </c>
      <c r="J1079" t="s">
        <v>31725</v>
      </c>
      <c r="K1079" t="s">
        <v>40665</v>
      </c>
      <c r="M1079" t="s">
        <v>41318</v>
      </c>
      <c r="N1079" t="s">
        <v>44905</v>
      </c>
      <c r="O1079" t="s">
        <v>44906</v>
      </c>
      <c r="P1079">
        <v>0</v>
      </c>
      <c r="Q1079">
        <v>7</v>
      </c>
      <c r="R1079" t="s">
        <v>44907</v>
      </c>
      <c r="S1079" t="s">
        <v>45026</v>
      </c>
      <c r="T1079" t="s">
        <v>46498</v>
      </c>
      <c r="U1079" t="s">
        <v>47848</v>
      </c>
      <c r="W1079" t="s">
        <v>41318</v>
      </c>
      <c r="X1079" t="s">
        <v>44908</v>
      </c>
    </row>
    <row r="1080" spans="1:24">
      <c r="A1080">
        <f>HYPERLINK("https://www.philgeps.gov.ph/GEPSNONPILOT/Tender/SplashBidNoticeAbstractUI.aspx?menuIndex=3&amp;refID=7082822&amp;Result=3","7082822")</f>
        <v>0</v>
      </c>
      <c r="B1080" t="s">
        <v>179</v>
      </c>
      <c r="C1080" t="s">
        <v>4560</v>
      </c>
      <c r="E1080" t="s">
        <v>19206</v>
      </c>
      <c r="F1080" t="s">
        <v>31362</v>
      </c>
      <c r="G1080" t="s">
        <v>31369</v>
      </c>
      <c r="H1080" t="s">
        <v>15799</v>
      </c>
      <c r="I1080" t="s">
        <v>31393</v>
      </c>
      <c r="J1080" t="s">
        <v>31542</v>
      </c>
      <c r="K1080" t="s">
        <v>40675</v>
      </c>
      <c r="M1080" t="s">
        <v>41117</v>
      </c>
      <c r="N1080" t="s">
        <v>44905</v>
      </c>
      <c r="O1080" t="s">
        <v>44906</v>
      </c>
      <c r="P1080">
        <v>0</v>
      </c>
      <c r="Q1080">
        <v>4</v>
      </c>
      <c r="R1080" t="s">
        <v>44907</v>
      </c>
      <c r="S1080" t="s">
        <v>45026</v>
      </c>
      <c r="T1080" t="s">
        <v>46546</v>
      </c>
      <c r="U1080" t="s">
        <v>47849</v>
      </c>
      <c r="W1080" t="s">
        <v>41209</v>
      </c>
      <c r="X1080" t="s">
        <v>44908</v>
      </c>
    </row>
    <row r="1081" spans="1:24">
      <c r="A1081">
        <f>HYPERLINK("https://www.philgeps.gov.ph/GEPSNONPILOT/Tender/SplashBidNoticeAbstractUI.aspx?menuIndex=3&amp;refID=7082224&amp;Result=3","7082224")</f>
        <v>0</v>
      </c>
      <c r="B1081" t="s">
        <v>292</v>
      </c>
      <c r="C1081" t="s">
        <v>4561</v>
      </c>
      <c r="D1081" t="s">
        <v>18143</v>
      </c>
      <c r="E1081" t="s">
        <v>19207</v>
      </c>
      <c r="F1081" t="s">
        <v>31362</v>
      </c>
      <c r="G1081" t="s">
        <v>31368</v>
      </c>
      <c r="H1081" t="s">
        <v>15799</v>
      </c>
      <c r="I1081" t="s">
        <v>3815</v>
      </c>
      <c r="J1081" t="s">
        <v>32326</v>
      </c>
      <c r="K1081" t="s">
        <v>40661</v>
      </c>
      <c r="M1081" t="s">
        <v>41235</v>
      </c>
      <c r="N1081" t="s">
        <v>44905</v>
      </c>
      <c r="O1081" t="s">
        <v>44906</v>
      </c>
      <c r="P1081">
        <v>0</v>
      </c>
      <c r="Q1081">
        <v>0</v>
      </c>
      <c r="R1081" t="s">
        <v>44907</v>
      </c>
      <c r="S1081" t="s">
        <v>45026</v>
      </c>
      <c r="T1081" t="s">
        <v>46415</v>
      </c>
      <c r="U1081" t="s">
        <v>47850</v>
      </c>
      <c r="W1081" t="s">
        <v>41235</v>
      </c>
      <c r="X1081" t="s">
        <v>44908</v>
      </c>
    </row>
    <row r="1082" spans="1:24">
      <c r="A1082">
        <f>HYPERLINK("https://www.philgeps.gov.ph/GEPSNONPILOT/Tender/SplashBidNoticeAbstractUI.aspx?menuIndex=3&amp;refID=7082216&amp;Result=3","7082216")</f>
        <v>0</v>
      </c>
      <c r="B1082" t="s">
        <v>347</v>
      </c>
      <c r="C1082" t="s">
        <v>4562</v>
      </c>
      <c r="D1082" t="s">
        <v>18120</v>
      </c>
      <c r="E1082" t="s">
        <v>19208</v>
      </c>
      <c r="F1082" t="s">
        <v>31362</v>
      </c>
      <c r="G1082" t="s">
        <v>31370</v>
      </c>
      <c r="H1082" t="s">
        <v>15799</v>
      </c>
      <c r="I1082" t="s">
        <v>3815</v>
      </c>
      <c r="J1082" t="s">
        <v>32327</v>
      </c>
      <c r="K1082" t="s">
        <v>40661</v>
      </c>
      <c r="M1082" t="s">
        <v>41293</v>
      </c>
      <c r="N1082" t="s">
        <v>44905</v>
      </c>
      <c r="O1082" t="s">
        <v>44906</v>
      </c>
      <c r="P1082">
        <v>0</v>
      </c>
      <c r="Q1082">
        <v>0</v>
      </c>
      <c r="R1082" t="s">
        <v>44907</v>
      </c>
      <c r="S1082" t="s">
        <v>45026</v>
      </c>
      <c r="T1082" t="s">
        <v>46409</v>
      </c>
      <c r="U1082" t="s">
        <v>47851</v>
      </c>
      <c r="W1082" t="s">
        <v>41293</v>
      </c>
      <c r="X1082" t="s">
        <v>44908</v>
      </c>
    </row>
    <row r="1083" spans="1:24">
      <c r="A1083">
        <f>HYPERLINK("https://www.philgeps.gov.ph/GEPSNONPILOT/Tender/SplashBidNoticeAbstractUI.aspx?menuIndex=3&amp;refID=7082802&amp;Result=3","7082802")</f>
        <v>0</v>
      </c>
      <c r="B1083" t="s">
        <v>375</v>
      </c>
      <c r="C1083" t="s">
        <v>4563</v>
      </c>
      <c r="D1083" t="s">
        <v>18177</v>
      </c>
      <c r="E1083" t="s">
        <v>19209</v>
      </c>
      <c r="F1083" t="s">
        <v>31362</v>
      </c>
      <c r="G1083" t="s">
        <v>31368</v>
      </c>
      <c r="H1083" t="s">
        <v>15799</v>
      </c>
      <c r="I1083" t="s">
        <v>31389</v>
      </c>
      <c r="J1083" t="s">
        <v>31580</v>
      </c>
      <c r="K1083" t="s">
        <v>40665</v>
      </c>
      <c r="M1083" t="s">
        <v>41322</v>
      </c>
      <c r="N1083" t="s">
        <v>44905</v>
      </c>
      <c r="O1083" t="s">
        <v>44906</v>
      </c>
      <c r="P1083">
        <v>0</v>
      </c>
      <c r="Q1083">
        <v>1</v>
      </c>
      <c r="R1083" t="s">
        <v>44907</v>
      </c>
      <c r="S1083" t="s">
        <v>45026</v>
      </c>
      <c r="T1083" t="s">
        <v>46432</v>
      </c>
      <c r="U1083" t="s">
        <v>47852</v>
      </c>
      <c r="W1083" t="s">
        <v>41322</v>
      </c>
      <c r="X1083" t="s">
        <v>44908</v>
      </c>
    </row>
    <row r="1084" spans="1:24">
      <c r="A1084">
        <f>HYPERLINK("https://www.philgeps.gov.ph/GEPSNONPILOT/Tender/SplashBidNoticeAbstractUI.aspx?menuIndex=3&amp;refID=7082834&amp;Result=3","7082834")</f>
        <v>0</v>
      </c>
      <c r="B1084" t="s">
        <v>485</v>
      </c>
      <c r="C1084" t="s">
        <v>4564</v>
      </c>
      <c r="D1084" t="s">
        <v>18158</v>
      </c>
      <c r="E1084" t="s">
        <v>19210</v>
      </c>
      <c r="F1084" t="s">
        <v>31362</v>
      </c>
      <c r="G1084" t="s">
        <v>31368</v>
      </c>
      <c r="H1084" t="s">
        <v>31379</v>
      </c>
      <c r="I1084" t="s">
        <v>31424</v>
      </c>
      <c r="J1084" t="s">
        <v>31987</v>
      </c>
      <c r="K1084" t="s">
        <v>40718</v>
      </c>
      <c r="M1084" t="s">
        <v>41440</v>
      </c>
      <c r="N1084" t="s">
        <v>44905</v>
      </c>
      <c r="O1084" t="s">
        <v>44906</v>
      </c>
      <c r="P1084">
        <v>0</v>
      </c>
      <c r="Q1084">
        <v>0</v>
      </c>
      <c r="R1084" t="s">
        <v>44907</v>
      </c>
      <c r="S1084" t="s">
        <v>45026</v>
      </c>
      <c r="T1084" t="s">
        <v>46447</v>
      </c>
      <c r="U1084" t="s">
        <v>47853</v>
      </c>
      <c r="W1084" t="s">
        <v>41440</v>
      </c>
      <c r="X1084" t="s">
        <v>44908</v>
      </c>
    </row>
    <row r="1085" spans="1:24">
      <c r="A1085">
        <f>HYPERLINK("https://www.philgeps.gov.ph/GEPSNONPILOT/Tender/SplashBidNoticeAbstractUI.aspx?menuIndex=3&amp;refID=7082821&amp;Result=3","7082821")</f>
        <v>0</v>
      </c>
      <c r="B1085" t="s">
        <v>92</v>
      </c>
      <c r="C1085" t="s">
        <v>4565</v>
      </c>
      <c r="D1085" t="s">
        <v>18100</v>
      </c>
      <c r="E1085" t="s">
        <v>19211</v>
      </c>
      <c r="F1085" t="s">
        <v>31362</v>
      </c>
      <c r="G1085" t="s">
        <v>31369</v>
      </c>
      <c r="H1085" t="s">
        <v>15799</v>
      </c>
      <c r="I1085" t="s">
        <v>31380</v>
      </c>
      <c r="J1085" t="s">
        <v>32328</v>
      </c>
      <c r="K1085" t="s">
        <v>40677</v>
      </c>
      <c r="M1085" t="s">
        <v>41029</v>
      </c>
      <c r="N1085" t="s">
        <v>44905</v>
      </c>
      <c r="O1085" t="s">
        <v>44906</v>
      </c>
      <c r="P1085">
        <v>0</v>
      </c>
      <c r="Q1085">
        <v>1</v>
      </c>
      <c r="R1085" t="s">
        <v>44907</v>
      </c>
      <c r="S1085" t="s">
        <v>45026</v>
      </c>
      <c r="T1085" t="s">
        <v>46527</v>
      </c>
      <c r="U1085" t="s">
        <v>47621</v>
      </c>
      <c r="W1085" t="s">
        <v>60834</v>
      </c>
      <c r="X1085" t="s">
        <v>44908</v>
      </c>
    </row>
    <row r="1086" spans="1:24">
      <c r="A1086">
        <f>HYPERLINK("https://www.philgeps.gov.ph/GEPSNONPILOT/Tender/SplashBidNoticeAbstractUI.aspx?menuIndex=3&amp;refID=7082832&amp;Result=3","7082832")</f>
        <v>0</v>
      </c>
      <c r="B1086" t="s">
        <v>420</v>
      </c>
      <c r="C1086" t="s">
        <v>4566</v>
      </c>
      <c r="D1086" t="s">
        <v>18124</v>
      </c>
      <c r="E1086" t="s">
        <v>19212</v>
      </c>
      <c r="F1086" t="s">
        <v>31362</v>
      </c>
      <c r="G1086" t="s">
        <v>31369</v>
      </c>
      <c r="H1086" t="s">
        <v>15799</v>
      </c>
      <c r="I1086" t="s">
        <v>31385</v>
      </c>
      <c r="J1086" t="s">
        <v>32329</v>
      </c>
      <c r="K1086" t="s">
        <v>40670</v>
      </c>
      <c r="M1086" t="s">
        <v>41371</v>
      </c>
      <c r="N1086" t="s">
        <v>44905</v>
      </c>
      <c r="O1086" t="s">
        <v>44906</v>
      </c>
      <c r="P1086">
        <v>0</v>
      </c>
      <c r="Q1086">
        <v>0</v>
      </c>
      <c r="R1086" t="s">
        <v>44907</v>
      </c>
      <c r="S1086" t="s">
        <v>45026</v>
      </c>
      <c r="T1086" t="s">
        <v>46484</v>
      </c>
      <c r="U1086" t="s">
        <v>47854</v>
      </c>
      <c r="W1086" t="s">
        <v>41371</v>
      </c>
      <c r="X1086" t="s">
        <v>44908</v>
      </c>
    </row>
    <row r="1087" spans="1:24">
      <c r="A1087">
        <f>HYPERLINK("https://www.philgeps.gov.ph/GEPSNONPILOT/Tender/SplashBidNoticeAbstractUI.aspx?menuIndex=3&amp;refID=7082819&amp;Result=3","7082819")</f>
        <v>0</v>
      </c>
      <c r="B1087" t="s">
        <v>486</v>
      </c>
      <c r="C1087" t="s">
        <v>4567</v>
      </c>
      <c r="D1087" t="s">
        <v>18148</v>
      </c>
      <c r="E1087" t="s">
        <v>19213</v>
      </c>
      <c r="F1087" t="s">
        <v>31362</v>
      </c>
      <c r="G1087" t="s">
        <v>31368</v>
      </c>
      <c r="H1087" t="s">
        <v>15799</v>
      </c>
      <c r="I1087" t="s">
        <v>31427</v>
      </c>
      <c r="J1087" t="s">
        <v>32330</v>
      </c>
      <c r="K1087" t="s">
        <v>40665</v>
      </c>
      <c r="M1087" t="s">
        <v>41441</v>
      </c>
      <c r="N1087" t="s">
        <v>44905</v>
      </c>
      <c r="O1087" t="s">
        <v>44906</v>
      </c>
      <c r="P1087">
        <v>0</v>
      </c>
      <c r="Q1087">
        <v>0</v>
      </c>
      <c r="R1087" t="s">
        <v>44907</v>
      </c>
      <c r="S1087" t="s">
        <v>45026</v>
      </c>
      <c r="T1087" t="s">
        <v>46443</v>
      </c>
      <c r="U1087" t="s">
        <v>47855</v>
      </c>
      <c r="W1087" t="s">
        <v>41441</v>
      </c>
      <c r="X1087" t="s">
        <v>44908</v>
      </c>
    </row>
    <row r="1088" spans="1:24">
      <c r="A1088">
        <f>HYPERLINK("https://www.philgeps.gov.ph/GEPSNONPILOT/Tender/SplashBidNoticeAbstractUI.aspx?menuIndex=3&amp;refID=7082831&amp;Result=3","7082831")</f>
        <v>0</v>
      </c>
      <c r="B1088" t="s">
        <v>74</v>
      </c>
      <c r="C1088" t="s">
        <v>4568</v>
      </c>
      <c r="D1088" t="s">
        <v>18108</v>
      </c>
      <c r="E1088" t="s">
        <v>19214</v>
      </c>
      <c r="F1088" t="s">
        <v>31362</v>
      </c>
      <c r="G1088" t="s">
        <v>31368</v>
      </c>
      <c r="H1088" t="s">
        <v>15799</v>
      </c>
      <c r="I1088" t="s">
        <v>31422</v>
      </c>
      <c r="J1088" t="s">
        <v>32331</v>
      </c>
      <c r="K1088" t="s">
        <v>40665</v>
      </c>
      <c r="M1088" t="s">
        <v>41407</v>
      </c>
      <c r="N1088" t="s">
        <v>44905</v>
      </c>
      <c r="O1088" t="s">
        <v>44906</v>
      </c>
      <c r="P1088">
        <v>0</v>
      </c>
      <c r="Q1088">
        <v>9</v>
      </c>
      <c r="R1088" t="s">
        <v>44907</v>
      </c>
      <c r="S1088" t="s">
        <v>45026</v>
      </c>
      <c r="T1088" t="s">
        <v>46404</v>
      </c>
      <c r="U1088" t="s">
        <v>47856</v>
      </c>
      <c r="W1088" t="s">
        <v>41407</v>
      </c>
      <c r="X1088" t="s">
        <v>44908</v>
      </c>
    </row>
    <row r="1089" spans="1:24">
      <c r="A1089">
        <f>HYPERLINK("https://www.philgeps.gov.ph/GEPSNONPILOT/Tender/SplashBidNoticeAbstractUI.aspx?menuIndex=3&amp;refID=7082828&amp;Result=3","7082828")</f>
        <v>0</v>
      </c>
      <c r="B1089" t="s">
        <v>447</v>
      </c>
      <c r="C1089" t="s">
        <v>4569</v>
      </c>
      <c r="D1089" t="s">
        <v>18109</v>
      </c>
      <c r="E1089" t="s">
        <v>19215</v>
      </c>
      <c r="F1089" t="s">
        <v>31362</v>
      </c>
      <c r="G1089" t="s">
        <v>31368</v>
      </c>
      <c r="H1089" t="s">
        <v>15799</v>
      </c>
      <c r="I1089" t="s">
        <v>31462</v>
      </c>
      <c r="J1089" t="s">
        <v>32045</v>
      </c>
      <c r="K1089" t="s">
        <v>40670</v>
      </c>
      <c r="M1089" t="s">
        <v>41401</v>
      </c>
      <c r="N1089" t="s">
        <v>44905</v>
      </c>
      <c r="O1089" t="s">
        <v>44906</v>
      </c>
      <c r="P1089">
        <v>0</v>
      </c>
      <c r="Q1089">
        <v>0</v>
      </c>
      <c r="R1089" t="s">
        <v>44907</v>
      </c>
      <c r="S1089" t="s">
        <v>45026</v>
      </c>
      <c r="T1089" t="s">
        <v>46409</v>
      </c>
      <c r="U1089" t="s">
        <v>47857</v>
      </c>
      <c r="V1089" t="s">
        <v>59173</v>
      </c>
      <c r="W1089" t="s">
        <v>41401</v>
      </c>
      <c r="X1089" t="s">
        <v>44908</v>
      </c>
    </row>
    <row r="1090" spans="1:24">
      <c r="A1090">
        <f>HYPERLINK("https://www.philgeps.gov.ph/GEPSNONPILOT/Tender/SplashBidNoticeAbstractUI.aspx?menuIndex=3&amp;refID=7082817&amp;Result=3","7082817")</f>
        <v>0</v>
      </c>
      <c r="B1090" t="s">
        <v>487</v>
      </c>
      <c r="C1090" t="s">
        <v>4570</v>
      </c>
      <c r="E1090" t="s">
        <v>19216</v>
      </c>
      <c r="F1090" t="s">
        <v>31362</v>
      </c>
      <c r="G1090" t="s">
        <v>31372</v>
      </c>
      <c r="H1090" t="s">
        <v>15799</v>
      </c>
      <c r="I1090" t="s">
        <v>3815</v>
      </c>
      <c r="J1090" t="s">
        <v>32332</v>
      </c>
      <c r="K1090" t="s">
        <v>40662</v>
      </c>
      <c r="M1090" t="s">
        <v>41442</v>
      </c>
      <c r="N1090" t="s">
        <v>44905</v>
      </c>
      <c r="O1090" t="s">
        <v>44906</v>
      </c>
      <c r="P1090">
        <v>0</v>
      </c>
      <c r="Q1090">
        <v>0</v>
      </c>
      <c r="R1090" t="s">
        <v>44907</v>
      </c>
      <c r="S1090" t="s">
        <v>45026</v>
      </c>
      <c r="T1090" t="s">
        <v>46483</v>
      </c>
      <c r="U1090" t="s">
        <v>47858</v>
      </c>
      <c r="W1090" t="s">
        <v>41442</v>
      </c>
      <c r="X1090" t="s">
        <v>44908</v>
      </c>
    </row>
    <row r="1091" spans="1:24">
      <c r="A1091">
        <f>HYPERLINK("https://www.philgeps.gov.ph/GEPSNONPILOT/Tender/SplashBidNoticeAbstractUI.aspx?menuIndex=3&amp;refID=7082827&amp;Result=3","7082827")</f>
        <v>0</v>
      </c>
      <c r="B1091" t="s">
        <v>445</v>
      </c>
      <c r="C1091" t="s">
        <v>4571</v>
      </c>
      <c r="D1091" t="s">
        <v>18148</v>
      </c>
      <c r="E1091" t="s">
        <v>19217</v>
      </c>
      <c r="F1091" t="s">
        <v>31362</v>
      </c>
      <c r="G1091" t="s">
        <v>31369</v>
      </c>
      <c r="H1091" t="s">
        <v>31378</v>
      </c>
      <c r="I1091" t="s">
        <v>31386</v>
      </c>
      <c r="J1091" t="s">
        <v>32333</v>
      </c>
      <c r="K1091" t="s">
        <v>40679</v>
      </c>
      <c r="M1091" t="s">
        <v>41399</v>
      </c>
      <c r="N1091" t="s">
        <v>44905</v>
      </c>
      <c r="O1091" t="s">
        <v>44906</v>
      </c>
      <c r="P1091">
        <v>0</v>
      </c>
      <c r="Q1091">
        <v>0</v>
      </c>
      <c r="R1091" t="s">
        <v>44907</v>
      </c>
      <c r="S1091" t="s">
        <v>45026</v>
      </c>
      <c r="T1091" t="s">
        <v>46396</v>
      </c>
      <c r="U1091" t="s">
        <v>47859</v>
      </c>
      <c r="W1091" t="s">
        <v>41399</v>
      </c>
      <c r="X1091" t="s">
        <v>44908</v>
      </c>
    </row>
    <row r="1092" spans="1:24">
      <c r="A1092">
        <f>HYPERLINK("https://www.philgeps.gov.ph/GEPSNONPILOT/Tender/SplashBidNoticeAbstractUI.aspx?menuIndex=3&amp;refID=7082814&amp;Result=3","7082814")</f>
        <v>0</v>
      </c>
      <c r="B1092" t="s">
        <v>95</v>
      </c>
      <c r="C1092" t="s">
        <v>4572</v>
      </c>
      <c r="D1092" t="s">
        <v>18133</v>
      </c>
      <c r="E1092" t="s">
        <v>19218</v>
      </c>
      <c r="F1092" t="s">
        <v>31362</v>
      </c>
      <c r="G1092" t="s">
        <v>31368</v>
      </c>
      <c r="H1092" t="s">
        <v>15799</v>
      </c>
      <c r="I1092" t="s">
        <v>3815</v>
      </c>
      <c r="J1092" t="s">
        <v>31723</v>
      </c>
      <c r="K1092" t="s">
        <v>40672</v>
      </c>
      <c r="M1092" t="s">
        <v>41032</v>
      </c>
      <c r="N1092" t="s">
        <v>44905</v>
      </c>
      <c r="O1092" t="s">
        <v>44906</v>
      </c>
      <c r="P1092">
        <v>0</v>
      </c>
      <c r="Q1092">
        <v>0</v>
      </c>
      <c r="R1092" t="s">
        <v>44907</v>
      </c>
      <c r="S1092" t="s">
        <v>45026</v>
      </c>
      <c r="T1092" t="s">
        <v>46427</v>
      </c>
      <c r="U1092" t="s">
        <v>47860</v>
      </c>
      <c r="W1092" t="s">
        <v>41032</v>
      </c>
      <c r="X1092" t="s">
        <v>44908</v>
      </c>
    </row>
    <row r="1093" spans="1:24">
      <c r="A1093">
        <f>HYPERLINK("https://www.philgeps.gov.ph/GEPSNONPILOT/Tender/SplashBidNoticeAbstractUI.aspx?menuIndex=3&amp;refID=7082820&amp;Result=3","7082820")</f>
        <v>0</v>
      </c>
      <c r="B1093" t="s">
        <v>488</v>
      </c>
      <c r="C1093" t="s">
        <v>4573</v>
      </c>
      <c r="D1093" t="s">
        <v>18177</v>
      </c>
      <c r="E1093" t="s">
        <v>19219</v>
      </c>
      <c r="F1093" t="s">
        <v>31362</v>
      </c>
      <c r="G1093" t="s">
        <v>31371</v>
      </c>
      <c r="H1093" t="s">
        <v>15799</v>
      </c>
      <c r="I1093" t="s">
        <v>31385</v>
      </c>
      <c r="J1093" t="s">
        <v>32334</v>
      </c>
      <c r="K1093" t="s">
        <v>40666</v>
      </c>
      <c r="M1093" t="s">
        <v>41443</v>
      </c>
      <c r="N1093" t="s">
        <v>44905</v>
      </c>
      <c r="O1093" t="s">
        <v>44906</v>
      </c>
      <c r="P1093">
        <v>0</v>
      </c>
      <c r="Q1093">
        <v>0</v>
      </c>
      <c r="R1093" t="s">
        <v>44907</v>
      </c>
      <c r="S1093" t="s">
        <v>45026</v>
      </c>
      <c r="T1093" t="s">
        <v>46414</v>
      </c>
      <c r="U1093" t="s">
        <v>47861</v>
      </c>
      <c r="W1093" t="s">
        <v>41443</v>
      </c>
      <c r="X1093" t="s">
        <v>44908</v>
      </c>
    </row>
    <row r="1094" spans="1:24">
      <c r="A1094">
        <f>HYPERLINK("https://www.philgeps.gov.ph/GEPSNONPILOT/Tender/SplashBidNoticeAbstractUI.aspx?menuIndex=3&amp;refID=7082813&amp;Result=3","7082813")</f>
        <v>0</v>
      </c>
      <c r="B1094" t="s">
        <v>419</v>
      </c>
      <c r="C1094" t="s">
        <v>4574</v>
      </c>
      <c r="D1094" t="s">
        <v>18159</v>
      </c>
      <c r="E1094" t="s">
        <v>19220</v>
      </c>
      <c r="F1094" t="s">
        <v>31362</v>
      </c>
      <c r="G1094" t="s">
        <v>31368</v>
      </c>
      <c r="H1094" t="s">
        <v>15799</v>
      </c>
      <c r="I1094" t="s">
        <v>31395</v>
      </c>
      <c r="J1094" t="s">
        <v>32335</v>
      </c>
      <c r="K1094" t="s">
        <v>40665</v>
      </c>
      <c r="M1094" t="s">
        <v>41369</v>
      </c>
      <c r="N1094" t="s">
        <v>44905</v>
      </c>
      <c r="O1094" t="s">
        <v>44906</v>
      </c>
      <c r="P1094">
        <v>0</v>
      </c>
      <c r="Q1094">
        <v>0</v>
      </c>
      <c r="R1094" t="s">
        <v>44907</v>
      </c>
      <c r="S1094" t="s">
        <v>45026</v>
      </c>
      <c r="T1094" t="s">
        <v>46409</v>
      </c>
      <c r="U1094" t="s">
        <v>47862</v>
      </c>
      <c r="W1094" t="s">
        <v>41369</v>
      </c>
      <c r="X1094" t="s">
        <v>44908</v>
      </c>
    </row>
    <row r="1095" spans="1:24">
      <c r="A1095">
        <f>HYPERLINK("https://www.philgeps.gov.ph/GEPSNONPILOT/Tender/SplashBidNoticeAbstractUI.aspx?menuIndex=3&amp;refID=7082808&amp;Result=3","7082808")</f>
        <v>0</v>
      </c>
      <c r="B1095" t="s">
        <v>367</v>
      </c>
      <c r="C1095" t="s">
        <v>4575</v>
      </c>
      <c r="D1095" t="s">
        <v>18134</v>
      </c>
      <c r="E1095" t="s">
        <v>19221</v>
      </c>
      <c r="F1095" t="s">
        <v>31362</v>
      </c>
      <c r="G1095" t="s">
        <v>31369</v>
      </c>
      <c r="H1095" t="s">
        <v>15799</v>
      </c>
      <c r="I1095" t="s">
        <v>7719</v>
      </c>
      <c r="J1095" t="s">
        <v>32336</v>
      </c>
      <c r="K1095" t="s">
        <v>40665</v>
      </c>
      <c r="M1095" t="s">
        <v>41398</v>
      </c>
      <c r="N1095" t="s">
        <v>44905</v>
      </c>
      <c r="O1095" t="s">
        <v>44906</v>
      </c>
      <c r="P1095">
        <v>0</v>
      </c>
      <c r="Q1095">
        <v>4</v>
      </c>
      <c r="R1095" t="s">
        <v>44907</v>
      </c>
      <c r="S1095" t="s">
        <v>45026</v>
      </c>
      <c r="T1095" t="s">
        <v>46449</v>
      </c>
      <c r="U1095" t="s">
        <v>47863</v>
      </c>
      <c r="V1095" t="s">
        <v>59171</v>
      </c>
      <c r="W1095" t="s">
        <v>41398</v>
      </c>
      <c r="X1095" t="s">
        <v>44908</v>
      </c>
    </row>
    <row r="1096" spans="1:24">
      <c r="A1096">
        <f>HYPERLINK("https://www.philgeps.gov.ph/GEPSNONPILOT/Tender/SplashBidNoticeAbstractUI.aspx?menuIndex=3&amp;refID=7082807&amp;Result=3","7082807")</f>
        <v>0</v>
      </c>
      <c r="B1096" t="s">
        <v>472</v>
      </c>
      <c r="C1096" t="s">
        <v>4576</v>
      </c>
      <c r="D1096" t="s">
        <v>18134</v>
      </c>
      <c r="E1096" t="s">
        <v>19222</v>
      </c>
      <c r="F1096" t="s">
        <v>31362</v>
      </c>
      <c r="G1096" t="s">
        <v>31368</v>
      </c>
      <c r="H1096" t="s">
        <v>31378</v>
      </c>
      <c r="I1096" t="s">
        <v>31386</v>
      </c>
      <c r="J1096" t="s">
        <v>32337</v>
      </c>
      <c r="K1096" t="s">
        <v>40665</v>
      </c>
      <c r="M1096" t="s">
        <v>41426</v>
      </c>
      <c r="N1096" t="s">
        <v>44905</v>
      </c>
      <c r="O1096" t="s">
        <v>44906</v>
      </c>
      <c r="P1096">
        <v>0</v>
      </c>
      <c r="Q1096">
        <v>0</v>
      </c>
      <c r="R1096" t="s">
        <v>44907</v>
      </c>
      <c r="S1096" t="s">
        <v>45026</v>
      </c>
      <c r="T1096" t="s">
        <v>46412</v>
      </c>
      <c r="U1096" t="s">
        <v>47864</v>
      </c>
      <c r="W1096" t="s">
        <v>41426</v>
      </c>
      <c r="X1096" t="s">
        <v>44908</v>
      </c>
    </row>
    <row r="1097" spans="1:24">
      <c r="A1097">
        <f>HYPERLINK("https://www.philgeps.gov.ph/GEPSNONPILOT/Tender/SplashBidNoticeAbstractUI.aspx?menuIndex=3&amp;refID=7082826&amp;Result=3","7082826")</f>
        <v>0</v>
      </c>
      <c r="B1097" t="s">
        <v>489</v>
      </c>
      <c r="C1097" t="s">
        <v>4577</v>
      </c>
      <c r="D1097" t="s">
        <v>18133</v>
      </c>
      <c r="E1097" t="s">
        <v>18606</v>
      </c>
      <c r="F1097" t="s">
        <v>31362</v>
      </c>
      <c r="G1097" t="s">
        <v>31370</v>
      </c>
      <c r="H1097" t="s">
        <v>15799</v>
      </c>
      <c r="I1097" t="s">
        <v>31463</v>
      </c>
      <c r="J1097" t="s">
        <v>31536</v>
      </c>
      <c r="K1097" t="s">
        <v>40661</v>
      </c>
      <c r="M1097" t="s">
        <v>41444</v>
      </c>
      <c r="N1097" t="s">
        <v>44905</v>
      </c>
      <c r="O1097" t="s">
        <v>44906</v>
      </c>
      <c r="P1097">
        <v>0</v>
      </c>
      <c r="Q1097">
        <v>1</v>
      </c>
      <c r="R1097" t="s">
        <v>44907</v>
      </c>
      <c r="S1097" t="s">
        <v>45026</v>
      </c>
      <c r="T1097" t="s">
        <v>46427</v>
      </c>
      <c r="U1097" t="s">
        <v>47865</v>
      </c>
      <c r="W1097" t="s">
        <v>41444</v>
      </c>
      <c r="X1097" t="s">
        <v>44908</v>
      </c>
    </row>
    <row r="1098" spans="1:24">
      <c r="A1098">
        <f>HYPERLINK("https://www.philgeps.gov.ph/GEPSNONPILOT/Tender/SplashBidNoticeAbstractUI.aspx?menuIndex=3&amp;refID=7082815&amp;Result=3","7082815")</f>
        <v>0</v>
      </c>
      <c r="B1098" t="s">
        <v>417</v>
      </c>
      <c r="C1098" t="s">
        <v>3673</v>
      </c>
      <c r="D1098" t="s">
        <v>18166</v>
      </c>
      <c r="E1098" t="s">
        <v>19223</v>
      </c>
      <c r="F1098" t="s">
        <v>31362</v>
      </c>
      <c r="G1098" t="s">
        <v>31371</v>
      </c>
      <c r="H1098" t="s">
        <v>15799</v>
      </c>
      <c r="I1098" t="s">
        <v>31385</v>
      </c>
      <c r="J1098" t="s">
        <v>31724</v>
      </c>
      <c r="K1098" t="s">
        <v>40670</v>
      </c>
      <c r="M1098" t="s">
        <v>41367</v>
      </c>
      <c r="N1098" t="s">
        <v>44905</v>
      </c>
      <c r="O1098" t="s">
        <v>44906</v>
      </c>
      <c r="P1098">
        <v>0</v>
      </c>
      <c r="Q1098">
        <v>2</v>
      </c>
      <c r="R1098" t="s">
        <v>44907</v>
      </c>
      <c r="S1098" t="s">
        <v>45026</v>
      </c>
      <c r="T1098" t="s">
        <v>46454</v>
      </c>
      <c r="U1098" t="s">
        <v>47268</v>
      </c>
      <c r="W1098" t="s">
        <v>41367</v>
      </c>
      <c r="X1098" t="s">
        <v>44908</v>
      </c>
    </row>
    <row r="1099" spans="1:24">
      <c r="A1099">
        <f>HYPERLINK("https://www.philgeps.gov.ph/GEPSNONPILOT/Tender/SplashBidNoticeAbstractUI.aspx?menuIndex=3&amp;refID=7082829&amp;Result=3","7082829")</f>
        <v>0</v>
      </c>
      <c r="B1099" t="s">
        <v>490</v>
      </c>
      <c r="C1099" t="s">
        <v>4578</v>
      </c>
      <c r="D1099" t="s">
        <v>18114</v>
      </c>
      <c r="E1099" t="s">
        <v>19224</v>
      </c>
      <c r="F1099" t="s">
        <v>31362</v>
      </c>
      <c r="G1099" t="s">
        <v>31368</v>
      </c>
      <c r="H1099" t="s">
        <v>31378</v>
      </c>
      <c r="I1099" t="s">
        <v>6240</v>
      </c>
      <c r="J1099" t="s">
        <v>31536</v>
      </c>
      <c r="K1099" t="s">
        <v>40666</v>
      </c>
      <c r="M1099" t="s">
        <v>41445</v>
      </c>
      <c r="N1099" t="s">
        <v>44905</v>
      </c>
      <c r="O1099" t="s">
        <v>44906</v>
      </c>
      <c r="P1099">
        <v>0</v>
      </c>
      <c r="Q1099">
        <v>0</v>
      </c>
      <c r="R1099" t="s">
        <v>44907</v>
      </c>
      <c r="S1099" t="s">
        <v>45026</v>
      </c>
      <c r="T1099" t="s">
        <v>46503</v>
      </c>
      <c r="U1099" t="s">
        <v>47866</v>
      </c>
      <c r="W1099" t="s">
        <v>41445</v>
      </c>
      <c r="X1099" t="s">
        <v>44908</v>
      </c>
    </row>
    <row r="1100" spans="1:24">
      <c r="A1100">
        <f>HYPERLINK("https://www.philgeps.gov.ph/GEPSNONPILOT/Tender/SplashBidNoticeAbstractUI.aspx?menuIndex=3&amp;refID=7082309&amp;Result=3","7082309")</f>
        <v>0</v>
      </c>
      <c r="B1100" t="s">
        <v>270</v>
      </c>
      <c r="C1100" t="s">
        <v>4032</v>
      </c>
      <c r="D1100" t="s">
        <v>18166</v>
      </c>
      <c r="E1100" t="s">
        <v>19225</v>
      </c>
      <c r="F1100" t="s">
        <v>31362</v>
      </c>
      <c r="G1100" t="s">
        <v>31369</v>
      </c>
      <c r="H1100" t="s">
        <v>15799</v>
      </c>
      <c r="I1100" t="s">
        <v>4283</v>
      </c>
      <c r="J1100" t="s">
        <v>32338</v>
      </c>
      <c r="K1100" t="s">
        <v>40661</v>
      </c>
      <c r="M1100" t="s">
        <v>41212</v>
      </c>
      <c r="N1100" t="s">
        <v>44905</v>
      </c>
      <c r="O1100" t="s">
        <v>44906</v>
      </c>
      <c r="P1100">
        <v>0</v>
      </c>
      <c r="Q1100">
        <v>0</v>
      </c>
      <c r="R1100" t="s">
        <v>44907</v>
      </c>
      <c r="S1100" t="s">
        <v>45026</v>
      </c>
      <c r="T1100" t="s">
        <v>46462</v>
      </c>
      <c r="U1100" t="s">
        <v>47377</v>
      </c>
      <c r="W1100" t="s">
        <v>41212</v>
      </c>
      <c r="X1100" t="s">
        <v>44908</v>
      </c>
    </row>
    <row r="1101" spans="1:24">
      <c r="A1101">
        <f>HYPERLINK("https://www.philgeps.gov.ph/GEPSNONPILOT/Tender/SplashBidNoticeAbstractUI.aspx?menuIndex=3&amp;refID=7082835&amp;Result=3","7082835")</f>
        <v>0</v>
      </c>
      <c r="B1101" t="s">
        <v>491</v>
      </c>
      <c r="C1101" t="s">
        <v>4579</v>
      </c>
      <c r="D1101" t="s">
        <v>18126</v>
      </c>
      <c r="E1101" t="s">
        <v>19226</v>
      </c>
      <c r="F1101" t="s">
        <v>31362</v>
      </c>
      <c r="G1101" t="s">
        <v>31369</v>
      </c>
      <c r="H1101" t="s">
        <v>15799</v>
      </c>
      <c r="I1101" t="s">
        <v>31413</v>
      </c>
      <c r="J1101" t="s">
        <v>32339</v>
      </c>
      <c r="K1101" t="s">
        <v>40666</v>
      </c>
      <c r="M1101" t="s">
        <v>41446</v>
      </c>
      <c r="N1101" t="s">
        <v>44905</v>
      </c>
      <c r="O1101" t="s">
        <v>44906</v>
      </c>
      <c r="P1101">
        <v>0</v>
      </c>
      <c r="Q1101">
        <v>0</v>
      </c>
      <c r="R1101" t="s">
        <v>44907</v>
      </c>
      <c r="S1101" t="s">
        <v>45026</v>
      </c>
      <c r="T1101" t="s">
        <v>46524</v>
      </c>
      <c r="U1101" t="s">
        <v>47867</v>
      </c>
      <c r="W1101" t="s">
        <v>41446</v>
      </c>
      <c r="X1101" t="s">
        <v>44908</v>
      </c>
    </row>
    <row r="1102" spans="1:24">
      <c r="A1102">
        <f>HYPERLINK("https://www.philgeps.gov.ph/GEPSNONPILOT/Tender/SplashBidNoticeAbstractUI.aspx?menuIndex=3&amp;refID=7082847&amp;Result=3","7082847")</f>
        <v>0</v>
      </c>
      <c r="B1102" t="s">
        <v>486</v>
      </c>
      <c r="C1102" t="s">
        <v>4580</v>
      </c>
      <c r="D1102" t="s">
        <v>18148</v>
      </c>
      <c r="E1102" t="s">
        <v>19227</v>
      </c>
      <c r="F1102" t="s">
        <v>31362</v>
      </c>
      <c r="G1102" t="s">
        <v>31368</v>
      </c>
      <c r="H1102" t="s">
        <v>15799</v>
      </c>
      <c r="I1102" t="s">
        <v>31387</v>
      </c>
      <c r="J1102" t="s">
        <v>31519</v>
      </c>
      <c r="K1102" t="s">
        <v>40665</v>
      </c>
      <c r="M1102" t="s">
        <v>41441</v>
      </c>
      <c r="N1102" t="s">
        <v>44905</v>
      </c>
      <c r="O1102" t="s">
        <v>44906</v>
      </c>
      <c r="P1102">
        <v>0</v>
      </c>
      <c r="Q1102">
        <v>0</v>
      </c>
      <c r="R1102" t="s">
        <v>44907</v>
      </c>
      <c r="S1102" t="s">
        <v>45026</v>
      </c>
      <c r="T1102" t="s">
        <v>46443</v>
      </c>
      <c r="U1102" t="s">
        <v>47855</v>
      </c>
      <c r="W1102" t="s">
        <v>41441</v>
      </c>
      <c r="X1102" t="s">
        <v>44908</v>
      </c>
    </row>
    <row r="1103" spans="1:24">
      <c r="A1103">
        <f>HYPERLINK("https://www.philgeps.gov.ph/GEPSNONPILOT/Tender/SplashBidNoticeAbstractUI.aspx?menuIndex=3&amp;refID=7082845&amp;Result=3","7082845")</f>
        <v>0</v>
      </c>
      <c r="B1103" t="s">
        <v>492</v>
      </c>
      <c r="C1103" t="s">
        <v>4581</v>
      </c>
      <c r="D1103" t="s">
        <v>18170</v>
      </c>
      <c r="E1103" t="s">
        <v>19228</v>
      </c>
      <c r="F1103" t="s">
        <v>31362</v>
      </c>
      <c r="G1103" t="s">
        <v>31369</v>
      </c>
      <c r="H1103" t="s">
        <v>31378</v>
      </c>
      <c r="I1103" t="s">
        <v>3815</v>
      </c>
      <c r="J1103" t="s">
        <v>31530</v>
      </c>
      <c r="K1103" t="s">
        <v>40665</v>
      </c>
      <c r="M1103" t="s">
        <v>41447</v>
      </c>
      <c r="N1103" t="s">
        <v>44905</v>
      </c>
      <c r="O1103" t="s">
        <v>44906</v>
      </c>
      <c r="P1103">
        <v>0</v>
      </c>
      <c r="Q1103">
        <v>1</v>
      </c>
      <c r="R1103" t="s">
        <v>44907</v>
      </c>
      <c r="S1103" t="s">
        <v>45026</v>
      </c>
      <c r="T1103" t="s">
        <v>46403</v>
      </c>
      <c r="U1103" t="s">
        <v>47868</v>
      </c>
      <c r="W1103" t="s">
        <v>41447</v>
      </c>
      <c r="X1103" t="s">
        <v>44908</v>
      </c>
    </row>
    <row r="1104" spans="1:24">
      <c r="A1104">
        <f>HYPERLINK("https://www.philgeps.gov.ph/GEPSNONPILOT/Tender/SplashBidNoticeAbstractUI.aspx?menuIndex=3&amp;refID=7082843&amp;Result=3","7082843")</f>
        <v>0</v>
      </c>
      <c r="B1104" t="s">
        <v>493</v>
      </c>
      <c r="C1104" t="s">
        <v>4582</v>
      </c>
      <c r="D1104" t="s">
        <v>18152</v>
      </c>
      <c r="E1104" t="s">
        <v>19229</v>
      </c>
      <c r="F1104" t="s">
        <v>31362</v>
      </c>
      <c r="G1104" t="s">
        <v>31369</v>
      </c>
      <c r="H1104" t="s">
        <v>15799</v>
      </c>
      <c r="I1104" t="s">
        <v>3815</v>
      </c>
      <c r="J1104" t="s">
        <v>32340</v>
      </c>
      <c r="K1104" t="s">
        <v>40670</v>
      </c>
      <c r="M1104" t="s">
        <v>41448</v>
      </c>
      <c r="N1104" t="s">
        <v>44905</v>
      </c>
      <c r="O1104" t="s">
        <v>44906</v>
      </c>
      <c r="P1104">
        <v>0</v>
      </c>
      <c r="Q1104">
        <v>0</v>
      </c>
      <c r="R1104" t="s">
        <v>44907</v>
      </c>
      <c r="S1104" t="s">
        <v>45026</v>
      </c>
      <c r="T1104" t="s">
        <v>46523</v>
      </c>
      <c r="U1104" t="s">
        <v>47869</v>
      </c>
      <c r="W1104" t="s">
        <v>41448</v>
      </c>
      <c r="X1104" t="s">
        <v>44908</v>
      </c>
    </row>
    <row r="1105" spans="1:24">
      <c r="A1105">
        <f>HYPERLINK("https://www.philgeps.gov.ph/GEPSNONPILOT/Tender/SplashBidNoticeAbstractUI.aspx?menuIndex=3&amp;refID=7082842&amp;Result=3","7082842")</f>
        <v>0</v>
      </c>
      <c r="B1105" t="s">
        <v>91</v>
      </c>
      <c r="C1105" t="s">
        <v>4583</v>
      </c>
      <c r="D1105" t="s">
        <v>18136</v>
      </c>
      <c r="E1105" t="s">
        <v>19230</v>
      </c>
      <c r="F1105" t="s">
        <v>31362</v>
      </c>
      <c r="G1105" t="s">
        <v>31370</v>
      </c>
      <c r="H1105" t="s">
        <v>15799</v>
      </c>
      <c r="I1105" t="s">
        <v>31400</v>
      </c>
      <c r="J1105" t="s">
        <v>31575</v>
      </c>
      <c r="K1105" t="s">
        <v>40661</v>
      </c>
      <c r="M1105" t="s">
        <v>41028</v>
      </c>
      <c r="N1105" t="s">
        <v>44905</v>
      </c>
      <c r="O1105" t="s">
        <v>44906</v>
      </c>
      <c r="P1105">
        <v>0</v>
      </c>
      <c r="Q1105">
        <v>0</v>
      </c>
      <c r="R1105" t="s">
        <v>44907</v>
      </c>
      <c r="S1105" t="s">
        <v>45026</v>
      </c>
      <c r="T1105" t="s">
        <v>46411</v>
      </c>
      <c r="U1105" t="s">
        <v>47870</v>
      </c>
      <c r="W1105" t="s">
        <v>41028</v>
      </c>
      <c r="X1105" t="s">
        <v>44908</v>
      </c>
    </row>
    <row r="1106" spans="1:24">
      <c r="A1106">
        <f>HYPERLINK("https://www.philgeps.gov.ph/GEPSNONPILOT/Tender/SplashBidNoticeAbstractUI.aspx?menuIndex=3&amp;refID=7082837&amp;Result=3","7082837")</f>
        <v>0</v>
      </c>
      <c r="B1106" t="s">
        <v>378</v>
      </c>
      <c r="C1106" t="s">
        <v>4584</v>
      </c>
      <c r="D1106" t="s">
        <v>18156</v>
      </c>
      <c r="E1106" t="s">
        <v>19231</v>
      </c>
      <c r="F1106" t="s">
        <v>31362</v>
      </c>
      <c r="G1106" t="s">
        <v>31368</v>
      </c>
      <c r="H1106" t="s">
        <v>15799</v>
      </c>
      <c r="I1106" t="s">
        <v>31393</v>
      </c>
      <c r="J1106" t="s">
        <v>32341</v>
      </c>
      <c r="K1106" t="s">
        <v>40661</v>
      </c>
      <c r="M1106" t="s">
        <v>41325</v>
      </c>
      <c r="N1106" t="s">
        <v>44905</v>
      </c>
      <c r="O1106" t="s">
        <v>44906</v>
      </c>
      <c r="P1106">
        <v>0</v>
      </c>
      <c r="Q1106">
        <v>2</v>
      </c>
      <c r="R1106" t="s">
        <v>44907</v>
      </c>
      <c r="S1106" t="s">
        <v>45026</v>
      </c>
      <c r="T1106" t="s">
        <v>46434</v>
      </c>
      <c r="U1106" t="s">
        <v>47871</v>
      </c>
      <c r="W1106" t="s">
        <v>41325</v>
      </c>
      <c r="X1106" t="s">
        <v>44908</v>
      </c>
    </row>
    <row r="1107" spans="1:24">
      <c r="A1107">
        <f>HYPERLINK("https://www.philgeps.gov.ph/GEPSNONPILOT/Tender/SplashBidNoticeAbstractUI.aspx?menuIndex=3&amp;refID=7082823&amp;Result=3","7082823")</f>
        <v>0</v>
      </c>
      <c r="B1107" t="s">
        <v>494</v>
      </c>
      <c r="C1107" t="s">
        <v>4585</v>
      </c>
      <c r="D1107" t="s">
        <v>18115</v>
      </c>
      <c r="E1107" t="s">
        <v>19232</v>
      </c>
      <c r="F1107" t="s">
        <v>31362</v>
      </c>
      <c r="G1107" t="s">
        <v>31368</v>
      </c>
      <c r="H1107" t="s">
        <v>15799</v>
      </c>
      <c r="I1107" t="s">
        <v>31430</v>
      </c>
      <c r="J1107" t="s">
        <v>32342</v>
      </c>
      <c r="K1107" t="s">
        <v>40672</v>
      </c>
      <c r="M1107" t="s">
        <v>41449</v>
      </c>
      <c r="N1107" t="s">
        <v>44905</v>
      </c>
      <c r="O1107" t="s">
        <v>44906</v>
      </c>
      <c r="P1107">
        <v>0</v>
      </c>
      <c r="Q1107">
        <v>0</v>
      </c>
      <c r="R1107" t="s">
        <v>44907</v>
      </c>
      <c r="S1107" t="s">
        <v>45026</v>
      </c>
      <c r="T1107" t="s">
        <v>46470</v>
      </c>
      <c r="U1107" t="s">
        <v>47872</v>
      </c>
      <c r="V1107" t="s">
        <v>59184</v>
      </c>
      <c r="W1107" t="s">
        <v>41449</v>
      </c>
      <c r="X1107" t="s">
        <v>44908</v>
      </c>
    </row>
    <row r="1108" spans="1:24">
      <c r="A1108">
        <f>HYPERLINK("https://www.philgeps.gov.ph/GEPSNONPILOT/Tender/SplashBidNoticeAbstractUI.aspx?menuIndex=3&amp;refID=7082841&amp;Result=3","7082841")</f>
        <v>0</v>
      </c>
      <c r="B1108" t="s">
        <v>495</v>
      </c>
      <c r="C1108" t="s">
        <v>4586</v>
      </c>
      <c r="D1108" t="s">
        <v>18116</v>
      </c>
      <c r="E1108" t="s">
        <v>19233</v>
      </c>
      <c r="F1108" t="s">
        <v>31362</v>
      </c>
      <c r="G1108" t="s">
        <v>31368</v>
      </c>
      <c r="H1108" t="s">
        <v>31378</v>
      </c>
      <c r="I1108" t="s">
        <v>3815</v>
      </c>
      <c r="J1108" t="s">
        <v>32343</v>
      </c>
      <c r="K1108" t="s">
        <v>40661</v>
      </c>
      <c r="M1108" t="s">
        <v>41450</v>
      </c>
      <c r="N1108" t="s">
        <v>44905</v>
      </c>
      <c r="O1108" t="s">
        <v>44906</v>
      </c>
      <c r="P1108">
        <v>0</v>
      </c>
      <c r="Q1108">
        <v>0</v>
      </c>
      <c r="R1108" t="s">
        <v>44907</v>
      </c>
      <c r="S1108" t="s">
        <v>45026</v>
      </c>
      <c r="T1108" t="s">
        <v>46434</v>
      </c>
      <c r="U1108" t="s">
        <v>47873</v>
      </c>
      <c r="W1108" t="s">
        <v>41450</v>
      </c>
      <c r="X1108" t="s">
        <v>44908</v>
      </c>
    </row>
    <row r="1109" spans="1:24">
      <c r="A1109">
        <f>HYPERLINK("https://www.philgeps.gov.ph/GEPSNONPILOT/Tender/SplashBidNoticeAbstractUI.aspx?menuIndex=3&amp;refID=7082850&amp;Result=3","7082850")</f>
        <v>0</v>
      </c>
      <c r="B1109" t="s">
        <v>463</v>
      </c>
      <c r="C1109" t="s">
        <v>4587</v>
      </c>
      <c r="D1109" t="s">
        <v>18134</v>
      </c>
      <c r="E1109" t="s">
        <v>19141</v>
      </c>
      <c r="F1109" t="s">
        <v>31362</v>
      </c>
      <c r="G1109" t="s">
        <v>31369</v>
      </c>
      <c r="H1109" t="s">
        <v>15799</v>
      </c>
      <c r="I1109" t="s">
        <v>31419</v>
      </c>
      <c r="J1109" t="s">
        <v>31626</v>
      </c>
      <c r="K1109" t="s">
        <v>40672</v>
      </c>
      <c r="M1109" t="s">
        <v>41417</v>
      </c>
      <c r="N1109" t="s">
        <v>44905</v>
      </c>
      <c r="O1109" t="s">
        <v>44906</v>
      </c>
      <c r="P1109">
        <v>0</v>
      </c>
      <c r="Q1109">
        <v>2</v>
      </c>
      <c r="R1109" t="s">
        <v>44907</v>
      </c>
      <c r="S1109" t="s">
        <v>45026</v>
      </c>
      <c r="T1109" t="s">
        <v>46499</v>
      </c>
      <c r="U1109" t="s">
        <v>47874</v>
      </c>
      <c r="W1109" t="s">
        <v>41417</v>
      </c>
      <c r="X1109" t="s">
        <v>44908</v>
      </c>
    </row>
    <row r="1110" spans="1:24">
      <c r="A1110">
        <f>HYPERLINK("https://www.philgeps.gov.ph/GEPSNONPILOT/Tender/SplashBidNoticeAbstractUI.aspx?menuIndex=3&amp;refID=7082840&amp;Result=3","7082840")</f>
        <v>0</v>
      </c>
      <c r="B1110" t="s">
        <v>496</v>
      </c>
      <c r="C1110" t="s">
        <v>4588</v>
      </c>
      <c r="D1110" t="s">
        <v>18137</v>
      </c>
      <c r="E1110" t="s">
        <v>19234</v>
      </c>
      <c r="F1110" t="s">
        <v>31362</v>
      </c>
      <c r="G1110" t="s">
        <v>31369</v>
      </c>
      <c r="H1110" t="s">
        <v>15799</v>
      </c>
      <c r="I1110" t="s">
        <v>3815</v>
      </c>
      <c r="J1110" t="s">
        <v>32344</v>
      </c>
      <c r="K1110" t="s">
        <v>40697</v>
      </c>
      <c r="M1110" t="s">
        <v>41451</v>
      </c>
      <c r="N1110" t="s">
        <v>44905</v>
      </c>
      <c r="O1110" t="s">
        <v>44906</v>
      </c>
      <c r="P1110">
        <v>0</v>
      </c>
      <c r="Q1110">
        <v>0</v>
      </c>
      <c r="R1110" t="s">
        <v>44907</v>
      </c>
      <c r="S1110" t="s">
        <v>45026</v>
      </c>
      <c r="T1110" t="s">
        <v>46499</v>
      </c>
      <c r="U1110" t="s">
        <v>47875</v>
      </c>
      <c r="V1110" t="s">
        <v>59185</v>
      </c>
      <c r="W1110" t="s">
        <v>41451</v>
      </c>
      <c r="X1110" t="s">
        <v>44908</v>
      </c>
    </row>
    <row r="1111" spans="1:24">
      <c r="A1111">
        <f>HYPERLINK("https://www.philgeps.gov.ph/GEPSNONPILOT/Tender/SplashBidNoticeAbstractUI.aspx?menuIndex=3&amp;refID=7082839&amp;Result=3","7082839")</f>
        <v>0</v>
      </c>
      <c r="B1111" t="s">
        <v>220</v>
      </c>
      <c r="C1111" t="s">
        <v>4589</v>
      </c>
      <c r="D1111" t="s">
        <v>18140</v>
      </c>
      <c r="E1111" t="s">
        <v>19235</v>
      </c>
      <c r="F1111" t="s">
        <v>31362</v>
      </c>
      <c r="G1111" t="s">
        <v>31370</v>
      </c>
      <c r="H1111" t="s">
        <v>15799</v>
      </c>
      <c r="I1111" t="s">
        <v>31400</v>
      </c>
      <c r="J1111" t="s">
        <v>31546</v>
      </c>
      <c r="K1111" t="s">
        <v>40666</v>
      </c>
      <c r="M1111" t="s">
        <v>41159</v>
      </c>
      <c r="N1111" t="s">
        <v>44905</v>
      </c>
      <c r="O1111" t="s">
        <v>44906</v>
      </c>
      <c r="P1111">
        <v>0</v>
      </c>
      <c r="Q1111">
        <v>2</v>
      </c>
      <c r="R1111" t="s">
        <v>44907</v>
      </c>
      <c r="S1111" t="s">
        <v>45026</v>
      </c>
      <c r="T1111" t="s">
        <v>46483</v>
      </c>
      <c r="U1111" t="s">
        <v>47876</v>
      </c>
      <c r="W1111" t="s">
        <v>41159</v>
      </c>
      <c r="X1111" t="s">
        <v>44908</v>
      </c>
    </row>
    <row r="1112" spans="1:24">
      <c r="A1112">
        <f>HYPERLINK("https://www.philgeps.gov.ph/GEPSNONPILOT/Tender/SplashBidNoticeAbstractUI.aspx?menuIndex=3&amp;refID=7082838&amp;Result=3","7082838")</f>
        <v>0</v>
      </c>
      <c r="B1112" t="s">
        <v>126</v>
      </c>
      <c r="C1112" t="s">
        <v>4590</v>
      </c>
      <c r="D1112" t="s">
        <v>18125</v>
      </c>
      <c r="E1112" t="s">
        <v>19236</v>
      </c>
      <c r="F1112" t="s">
        <v>31362</v>
      </c>
      <c r="G1112" t="s">
        <v>31368</v>
      </c>
      <c r="H1112" t="s">
        <v>15799</v>
      </c>
      <c r="I1112" t="s">
        <v>31421</v>
      </c>
      <c r="J1112" t="s">
        <v>31564</v>
      </c>
      <c r="K1112" t="s">
        <v>40661</v>
      </c>
      <c r="M1112" t="s">
        <v>41063</v>
      </c>
      <c r="N1112" t="s">
        <v>44905</v>
      </c>
      <c r="O1112" t="s">
        <v>44906</v>
      </c>
      <c r="P1112">
        <v>0</v>
      </c>
      <c r="Q1112">
        <v>0</v>
      </c>
      <c r="R1112" t="s">
        <v>44907</v>
      </c>
      <c r="S1112" t="s">
        <v>45026</v>
      </c>
      <c r="T1112" t="s">
        <v>46411</v>
      </c>
      <c r="U1112" t="s">
        <v>47877</v>
      </c>
      <c r="W1112" t="s">
        <v>41063</v>
      </c>
      <c r="X1112" t="s">
        <v>44908</v>
      </c>
    </row>
    <row r="1113" spans="1:24">
      <c r="A1113">
        <f>HYPERLINK("https://www.philgeps.gov.ph/GEPSNONPILOT/Tender/SplashBidNoticeAbstractUI.aspx?menuIndex=3&amp;refID=7082856&amp;Result=3","7082856")</f>
        <v>0</v>
      </c>
      <c r="B1113" t="s">
        <v>273</v>
      </c>
      <c r="C1113" t="s">
        <v>4591</v>
      </c>
      <c r="D1113" t="s">
        <v>18108</v>
      </c>
      <c r="E1113" t="s">
        <v>19237</v>
      </c>
      <c r="F1113" t="s">
        <v>31362</v>
      </c>
      <c r="G1113" t="s">
        <v>31370</v>
      </c>
      <c r="H1113" t="s">
        <v>15799</v>
      </c>
      <c r="I1113" t="s">
        <v>7719</v>
      </c>
      <c r="J1113" t="s">
        <v>32345</v>
      </c>
      <c r="K1113" t="s">
        <v>40666</v>
      </c>
      <c r="M1113" t="s">
        <v>41215</v>
      </c>
      <c r="N1113" t="s">
        <v>44905</v>
      </c>
      <c r="O1113" t="s">
        <v>44906</v>
      </c>
      <c r="P1113">
        <v>0</v>
      </c>
      <c r="Q1113">
        <v>6</v>
      </c>
      <c r="R1113" t="s">
        <v>44907</v>
      </c>
      <c r="S1113" t="s">
        <v>45026</v>
      </c>
      <c r="T1113" t="s">
        <v>46410</v>
      </c>
      <c r="U1113" t="s">
        <v>47878</v>
      </c>
      <c r="V1113" t="s">
        <v>59186</v>
      </c>
      <c r="W1113" t="s">
        <v>60844</v>
      </c>
      <c r="X1113" t="s">
        <v>44908</v>
      </c>
    </row>
    <row r="1114" spans="1:24">
      <c r="A1114">
        <f>HYPERLINK("https://www.philgeps.gov.ph/GEPSNONPILOT/Tender/SplashBidNoticeAbstractUI.aspx?menuIndex=3&amp;refID=7082854&amp;Result=3","7082854")</f>
        <v>0</v>
      </c>
      <c r="B1114" t="s">
        <v>467</v>
      </c>
      <c r="C1114" t="s">
        <v>4592</v>
      </c>
      <c r="D1114" t="s">
        <v>18134</v>
      </c>
      <c r="E1114" t="s">
        <v>19238</v>
      </c>
      <c r="F1114" t="s">
        <v>31362</v>
      </c>
      <c r="G1114" t="s">
        <v>31368</v>
      </c>
      <c r="H1114" t="s">
        <v>15799</v>
      </c>
      <c r="I1114" t="s">
        <v>31387</v>
      </c>
      <c r="J1114" t="s">
        <v>32346</v>
      </c>
      <c r="K1114" t="s">
        <v>40677</v>
      </c>
      <c r="M1114" t="s">
        <v>41421</v>
      </c>
      <c r="N1114" t="s">
        <v>44905</v>
      </c>
      <c r="O1114" t="s">
        <v>44906</v>
      </c>
      <c r="P1114">
        <v>0</v>
      </c>
      <c r="Q1114">
        <v>0</v>
      </c>
      <c r="R1114" t="s">
        <v>44907</v>
      </c>
      <c r="S1114" t="s">
        <v>45026</v>
      </c>
      <c r="T1114" t="s">
        <v>46396</v>
      </c>
      <c r="U1114" t="s">
        <v>47879</v>
      </c>
      <c r="V1114" t="s">
        <v>59178</v>
      </c>
      <c r="W1114" t="s">
        <v>41421</v>
      </c>
      <c r="X1114" t="s">
        <v>44908</v>
      </c>
    </row>
    <row r="1115" spans="1:24">
      <c r="A1115">
        <f>HYPERLINK("https://www.philgeps.gov.ph/GEPSNONPILOT/Tender/SplashBidNoticeAbstractUI.aspx?menuIndex=3&amp;refID=7082853&amp;Result=3","7082853")</f>
        <v>0</v>
      </c>
      <c r="B1115" t="s">
        <v>428</v>
      </c>
      <c r="C1115" t="s">
        <v>4593</v>
      </c>
      <c r="D1115" t="s">
        <v>18148</v>
      </c>
      <c r="E1115" t="s">
        <v>19239</v>
      </c>
      <c r="F1115" t="s">
        <v>31362</v>
      </c>
      <c r="G1115" t="s">
        <v>31368</v>
      </c>
      <c r="H1115" t="s">
        <v>15799</v>
      </c>
      <c r="I1115" t="s">
        <v>31404</v>
      </c>
      <c r="J1115" t="s">
        <v>31918</v>
      </c>
      <c r="K1115" t="s">
        <v>40697</v>
      </c>
      <c r="M1115" t="s">
        <v>41379</v>
      </c>
      <c r="N1115" t="s">
        <v>44905</v>
      </c>
      <c r="O1115" t="s">
        <v>44906</v>
      </c>
      <c r="P1115">
        <v>0</v>
      </c>
      <c r="Q1115">
        <v>0</v>
      </c>
      <c r="R1115" t="s">
        <v>44907</v>
      </c>
      <c r="S1115" t="s">
        <v>45026</v>
      </c>
      <c r="T1115" t="s">
        <v>46444</v>
      </c>
      <c r="U1115" t="s">
        <v>47759</v>
      </c>
      <c r="W1115" t="s">
        <v>41379</v>
      </c>
      <c r="X1115" t="s">
        <v>44908</v>
      </c>
    </row>
    <row r="1116" spans="1:24">
      <c r="A1116">
        <f>HYPERLINK("https://www.philgeps.gov.ph/GEPSNONPILOT/Tender/SplashBidNoticeAbstractUI.aspx?menuIndex=3&amp;refID=7082852&amp;Result=3","7082852")</f>
        <v>0</v>
      </c>
      <c r="B1116" t="s">
        <v>497</v>
      </c>
      <c r="C1116" t="s">
        <v>4594</v>
      </c>
      <c r="D1116" t="s">
        <v>18181</v>
      </c>
      <c r="E1116" t="s">
        <v>19240</v>
      </c>
      <c r="F1116" t="s">
        <v>31362</v>
      </c>
      <c r="G1116" t="s">
        <v>31368</v>
      </c>
      <c r="H1116" t="s">
        <v>15799</v>
      </c>
      <c r="I1116" t="s">
        <v>4942</v>
      </c>
      <c r="J1116" t="s">
        <v>32347</v>
      </c>
      <c r="K1116" t="s">
        <v>40662</v>
      </c>
      <c r="M1116" t="s">
        <v>41452</v>
      </c>
      <c r="N1116" t="s">
        <v>44905</v>
      </c>
      <c r="O1116" t="s">
        <v>44906</v>
      </c>
      <c r="P1116">
        <v>0</v>
      </c>
      <c r="Q1116">
        <v>1</v>
      </c>
      <c r="R1116" t="s">
        <v>44907</v>
      </c>
      <c r="S1116" t="s">
        <v>45026</v>
      </c>
      <c r="T1116" t="s">
        <v>46400</v>
      </c>
      <c r="U1116" t="s">
        <v>47880</v>
      </c>
      <c r="W1116" t="s">
        <v>41452</v>
      </c>
      <c r="X1116" t="s">
        <v>44908</v>
      </c>
    </row>
    <row r="1117" spans="1:24">
      <c r="A1117">
        <f>HYPERLINK("https://www.philgeps.gov.ph/GEPSNONPILOT/Tender/SplashBidNoticeAbstractUI.aspx?menuIndex=3&amp;refID=7082851&amp;Result=3","7082851")</f>
        <v>0</v>
      </c>
      <c r="B1117" t="s">
        <v>498</v>
      </c>
      <c r="C1117" t="s">
        <v>4595</v>
      </c>
      <c r="D1117" t="s">
        <v>18108</v>
      </c>
      <c r="E1117" t="s">
        <v>19189</v>
      </c>
      <c r="F1117" t="s">
        <v>31362</v>
      </c>
      <c r="G1117" t="s">
        <v>31368</v>
      </c>
      <c r="H1117" t="s">
        <v>31379</v>
      </c>
      <c r="I1117" t="s">
        <v>31386</v>
      </c>
      <c r="J1117" t="s">
        <v>32339</v>
      </c>
      <c r="K1117" t="s">
        <v>40665</v>
      </c>
      <c r="M1117" t="s">
        <v>41453</v>
      </c>
      <c r="N1117" t="s">
        <v>44905</v>
      </c>
      <c r="O1117" t="s">
        <v>44906</v>
      </c>
      <c r="P1117">
        <v>0</v>
      </c>
      <c r="Q1117">
        <v>3</v>
      </c>
      <c r="R1117" t="s">
        <v>44907</v>
      </c>
      <c r="S1117" t="s">
        <v>45026</v>
      </c>
      <c r="T1117" t="s">
        <v>46412</v>
      </c>
      <c r="U1117" t="s">
        <v>47881</v>
      </c>
      <c r="W1117" t="s">
        <v>41453</v>
      </c>
      <c r="X1117" t="s">
        <v>44908</v>
      </c>
    </row>
    <row r="1118" spans="1:24">
      <c r="A1118">
        <f>HYPERLINK("https://www.philgeps.gov.ph/GEPSNONPILOT/Tender/SplashBidNoticeAbstractUI.aspx?menuIndex=3&amp;refID=7082846&amp;Result=3","7082846")</f>
        <v>0</v>
      </c>
      <c r="B1118" t="s">
        <v>499</v>
      </c>
      <c r="C1118" t="s">
        <v>4596</v>
      </c>
      <c r="D1118" t="s">
        <v>18127</v>
      </c>
      <c r="E1118" t="s">
        <v>19241</v>
      </c>
      <c r="F1118" t="s">
        <v>31362</v>
      </c>
      <c r="G1118" t="s">
        <v>31368</v>
      </c>
      <c r="H1118" t="s">
        <v>15799</v>
      </c>
      <c r="I1118" t="s">
        <v>31430</v>
      </c>
      <c r="J1118" t="s">
        <v>32348</v>
      </c>
      <c r="K1118" t="s">
        <v>40670</v>
      </c>
      <c r="M1118" t="s">
        <v>41454</v>
      </c>
      <c r="N1118" t="s">
        <v>44905</v>
      </c>
      <c r="O1118" t="s">
        <v>44906</v>
      </c>
      <c r="P1118">
        <v>0</v>
      </c>
      <c r="Q1118">
        <v>0</v>
      </c>
      <c r="R1118" t="s">
        <v>44907</v>
      </c>
      <c r="S1118" t="s">
        <v>45026</v>
      </c>
      <c r="T1118" t="s">
        <v>46488</v>
      </c>
      <c r="U1118" t="s">
        <v>47882</v>
      </c>
      <c r="V1118" t="s">
        <v>59187</v>
      </c>
      <c r="W1118" t="s">
        <v>41454</v>
      </c>
      <c r="X1118" t="s">
        <v>44908</v>
      </c>
    </row>
    <row r="1119" spans="1:24">
      <c r="A1119">
        <f>HYPERLINK("https://www.philgeps.gov.ph/GEPSNONPILOT/Tender/SplashBidNoticeAbstractUI.aspx?menuIndex=3&amp;refID=7082855&amp;Result=3","7082855")</f>
        <v>0</v>
      </c>
      <c r="B1119" t="s">
        <v>500</v>
      </c>
      <c r="C1119" t="s">
        <v>4597</v>
      </c>
      <c r="D1119" t="s">
        <v>18165</v>
      </c>
      <c r="E1119" t="s">
        <v>19242</v>
      </c>
      <c r="F1119" t="s">
        <v>31362</v>
      </c>
      <c r="G1119" t="s">
        <v>31371</v>
      </c>
      <c r="H1119" t="s">
        <v>15799</v>
      </c>
      <c r="I1119" t="s">
        <v>31385</v>
      </c>
      <c r="J1119" t="s">
        <v>32349</v>
      </c>
      <c r="K1119" t="s">
        <v>40670</v>
      </c>
      <c r="M1119" t="s">
        <v>41455</v>
      </c>
      <c r="N1119" t="s">
        <v>44905</v>
      </c>
      <c r="O1119" t="s">
        <v>44906</v>
      </c>
      <c r="P1119">
        <v>0</v>
      </c>
      <c r="Q1119">
        <v>0</v>
      </c>
      <c r="R1119" t="s">
        <v>44907</v>
      </c>
      <c r="S1119" t="s">
        <v>45026</v>
      </c>
      <c r="T1119" t="s">
        <v>46432</v>
      </c>
      <c r="U1119" t="s">
        <v>47883</v>
      </c>
      <c r="W1119" t="s">
        <v>41455</v>
      </c>
      <c r="X1119" t="s">
        <v>44908</v>
      </c>
    </row>
    <row r="1120" spans="1:24">
      <c r="A1120">
        <f>HYPERLINK("https://www.philgeps.gov.ph/GEPSNONPILOT/Tender/SplashBidNoticeAbstractUI.aspx?menuIndex=3&amp;refID=7082849&amp;Result=3","7082849")</f>
        <v>0</v>
      </c>
      <c r="B1120" t="s">
        <v>175</v>
      </c>
      <c r="C1120" t="s">
        <v>4598</v>
      </c>
      <c r="D1120" t="s">
        <v>18153</v>
      </c>
      <c r="E1120" t="s">
        <v>18728</v>
      </c>
      <c r="F1120" t="s">
        <v>31362</v>
      </c>
      <c r="G1120" t="s">
        <v>31368</v>
      </c>
      <c r="H1120" t="s">
        <v>15799</v>
      </c>
      <c r="I1120" t="s">
        <v>31430</v>
      </c>
      <c r="J1120" t="s">
        <v>32350</v>
      </c>
      <c r="K1120" t="s">
        <v>40661</v>
      </c>
      <c r="L1120" t="s">
        <v>175</v>
      </c>
      <c r="M1120" t="s">
        <v>41113</v>
      </c>
      <c r="N1120" t="s">
        <v>44905</v>
      </c>
      <c r="O1120" t="s">
        <v>44906</v>
      </c>
      <c r="P1120">
        <v>0</v>
      </c>
      <c r="Q1120">
        <v>0</v>
      </c>
      <c r="R1120" t="s">
        <v>44907</v>
      </c>
      <c r="S1120" t="s">
        <v>45026</v>
      </c>
      <c r="T1120" t="s">
        <v>46507</v>
      </c>
      <c r="U1120" t="s">
        <v>47884</v>
      </c>
      <c r="V1120" t="s">
        <v>59090</v>
      </c>
      <c r="W1120" t="s">
        <v>41113</v>
      </c>
      <c r="X1120" t="s">
        <v>44908</v>
      </c>
    </row>
    <row r="1121" spans="1:24">
      <c r="A1121">
        <f>HYPERLINK("https://www.philgeps.gov.ph/GEPSNONPILOT/Tender/SplashBidNoticeAbstractUI.aspx?menuIndex=3&amp;refID=7082860&amp;Result=3","7082860")</f>
        <v>0</v>
      </c>
      <c r="B1121" t="s">
        <v>378</v>
      </c>
      <c r="C1121" t="s">
        <v>4599</v>
      </c>
      <c r="D1121" t="s">
        <v>18156</v>
      </c>
      <c r="E1121" t="s">
        <v>19243</v>
      </c>
      <c r="F1121" t="s">
        <v>31362</v>
      </c>
      <c r="G1121" t="s">
        <v>31370</v>
      </c>
      <c r="H1121" t="s">
        <v>15799</v>
      </c>
      <c r="I1121" t="s">
        <v>31430</v>
      </c>
      <c r="J1121" t="s">
        <v>32351</v>
      </c>
      <c r="K1121" t="s">
        <v>40661</v>
      </c>
      <c r="M1121" t="s">
        <v>41325</v>
      </c>
      <c r="N1121" t="s">
        <v>44905</v>
      </c>
      <c r="O1121" t="s">
        <v>44906</v>
      </c>
      <c r="P1121">
        <v>0</v>
      </c>
      <c r="Q1121">
        <v>0</v>
      </c>
      <c r="R1121" t="s">
        <v>44907</v>
      </c>
      <c r="S1121" t="s">
        <v>45026</v>
      </c>
      <c r="T1121" t="s">
        <v>46434</v>
      </c>
      <c r="U1121" t="s">
        <v>47885</v>
      </c>
      <c r="W1121" t="s">
        <v>41325</v>
      </c>
      <c r="X1121" t="s">
        <v>44908</v>
      </c>
    </row>
    <row r="1122" spans="1:24">
      <c r="A1122">
        <f>HYPERLINK("https://www.philgeps.gov.ph/GEPSNONPILOT/Tender/SplashBidNoticeAbstractUI.aspx?menuIndex=3&amp;refID=7082877&amp;Result=3","7082877")</f>
        <v>0</v>
      </c>
      <c r="B1122" t="s">
        <v>91</v>
      </c>
      <c r="C1122" t="s">
        <v>4600</v>
      </c>
      <c r="D1122" t="s">
        <v>18136</v>
      </c>
      <c r="E1122" t="s">
        <v>19244</v>
      </c>
      <c r="F1122" t="s">
        <v>31362</v>
      </c>
      <c r="G1122" t="s">
        <v>31370</v>
      </c>
      <c r="H1122" t="s">
        <v>15799</v>
      </c>
      <c r="I1122" t="s">
        <v>7090</v>
      </c>
      <c r="J1122" t="s">
        <v>32352</v>
      </c>
      <c r="K1122" t="s">
        <v>40661</v>
      </c>
      <c r="M1122" t="s">
        <v>41028</v>
      </c>
      <c r="N1122" t="s">
        <v>44905</v>
      </c>
      <c r="O1122" t="s">
        <v>44906</v>
      </c>
      <c r="P1122">
        <v>0</v>
      </c>
      <c r="Q1122">
        <v>0</v>
      </c>
      <c r="R1122" t="s">
        <v>44907</v>
      </c>
      <c r="S1122" t="s">
        <v>45026</v>
      </c>
      <c r="T1122" t="s">
        <v>46411</v>
      </c>
      <c r="U1122" t="s">
        <v>47886</v>
      </c>
      <c r="W1122" t="s">
        <v>41028</v>
      </c>
      <c r="X1122" t="s">
        <v>44908</v>
      </c>
    </row>
    <row r="1123" spans="1:24">
      <c r="A1123">
        <f>HYPERLINK("https://www.philgeps.gov.ph/GEPSNONPILOT/Tender/SplashBidNoticeAbstractUI.aspx?menuIndex=3&amp;refID=7082873&amp;Result=3","7082873")</f>
        <v>0</v>
      </c>
      <c r="B1123" t="s">
        <v>91</v>
      </c>
      <c r="C1123" t="s">
        <v>4142</v>
      </c>
      <c r="D1123" t="s">
        <v>18136</v>
      </c>
      <c r="E1123" t="s">
        <v>19245</v>
      </c>
      <c r="F1123" t="s">
        <v>31362</v>
      </c>
      <c r="G1123" t="s">
        <v>31370</v>
      </c>
      <c r="H1123" t="s">
        <v>15799</v>
      </c>
      <c r="I1123" t="s">
        <v>31385</v>
      </c>
      <c r="J1123" t="s">
        <v>32353</v>
      </c>
      <c r="K1123" t="s">
        <v>40661</v>
      </c>
      <c r="M1123" t="s">
        <v>41028</v>
      </c>
      <c r="N1123" t="s">
        <v>44905</v>
      </c>
      <c r="O1123" t="s">
        <v>44906</v>
      </c>
      <c r="P1123">
        <v>0</v>
      </c>
      <c r="Q1123">
        <v>0</v>
      </c>
      <c r="R1123" t="s">
        <v>44907</v>
      </c>
      <c r="S1123" t="s">
        <v>45026</v>
      </c>
      <c r="T1123" t="s">
        <v>46411</v>
      </c>
      <c r="U1123" t="s">
        <v>47887</v>
      </c>
      <c r="W1123" t="s">
        <v>41028</v>
      </c>
      <c r="X1123" t="s">
        <v>44908</v>
      </c>
    </row>
    <row r="1124" spans="1:24">
      <c r="A1124">
        <f>HYPERLINK("https://www.philgeps.gov.ph/GEPSNONPILOT/Tender/SplashBidNoticeAbstractUI.aspx?menuIndex=3&amp;refID=7082848&amp;Result=3","7082848")</f>
        <v>0</v>
      </c>
      <c r="B1124" t="s">
        <v>123</v>
      </c>
      <c r="C1124" t="s">
        <v>4601</v>
      </c>
      <c r="D1124" t="s">
        <v>18107</v>
      </c>
      <c r="E1124" t="s">
        <v>19246</v>
      </c>
      <c r="F1124" t="s">
        <v>31362</v>
      </c>
      <c r="G1124" t="s">
        <v>31368</v>
      </c>
      <c r="H1124" t="s">
        <v>31379</v>
      </c>
      <c r="I1124" t="s">
        <v>31400</v>
      </c>
      <c r="J1124" t="s">
        <v>31915</v>
      </c>
      <c r="K1124" t="s">
        <v>40665</v>
      </c>
      <c r="M1124" t="s">
        <v>41346</v>
      </c>
      <c r="N1124" t="s">
        <v>44905</v>
      </c>
      <c r="O1124" t="s">
        <v>44906</v>
      </c>
      <c r="P1124">
        <v>0</v>
      </c>
      <c r="Q1124">
        <v>0</v>
      </c>
      <c r="R1124" t="s">
        <v>44907</v>
      </c>
      <c r="S1124" t="s">
        <v>45026</v>
      </c>
      <c r="T1124" t="s">
        <v>46502</v>
      </c>
      <c r="U1124" t="s">
        <v>47888</v>
      </c>
      <c r="V1124" t="s">
        <v>47665</v>
      </c>
      <c r="W1124" t="s">
        <v>41346</v>
      </c>
      <c r="X1124" t="s">
        <v>44908</v>
      </c>
    </row>
    <row r="1125" spans="1:24">
      <c r="A1125">
        <f>HYPERLINK("https://www.philgeps.gov.ph/GEPSNONPILOT/Tender/SplashBidNoticeAbstractUI.aspx?menuIndex=3&amp;refID=7082871&amp;Result=3","7082871")</f>
        <v>0</v>
      </c>
      <c r="B1125" t="s">
        <v>501</v>
      </c>
      <c r="C1125" t="s">
        <v>4602</v>
      </c>
      <c r="E1125" t="s">
        <v>19247</v>
      </c>
      <c r="F1125" t="s">
        <v>31362</v>
      </c>
      <c r="G1125" t="s">
        <v>31368</v>
      </c>
      <c r="H1125" t="s">
        <v>15799</v>
      </c>
      <c r="I1125" t="s">
        <v>31386</v>
      </c>
      <c r="J1125" t="s">
        <v>32354</v>
      </c>
      <c r="K1125" t="s">
        <v>40670</v>
      </c>
      <c r="M1125" t="s">
        <v>41456</v>
      </c>
      <c r="N1125" t="s">
        <v>44905</v>
      </c>
      <c r="O1125" t="s">
        <v>44906</v>
      </c>
      <c r="P1125">
        <v>0</v>
      </c>
      <c r="Q1125">
        <v>0</v>
      </c>
      <c r="R1125" t="s">
        <v>44907</v>
      </c>
      <c r="S1125" t="s">
        <v>45026</v>
      </c>
      <c r="T1125" t="s">
        <v>46411</v>
      </c>
      <c r="U1125" t="s">
        <v>47889</v>
      </c>
      <c r="W1125" t="s">
        <v>41456</v>
      </c>
      <c r="X1125" t="s">
        <v>44908</v>
      </c>
    </row>
    <row r="1126" spans="1:24">
      <c r="A1126">
        <f>HYPERLINK("https://www.philgeps.gov.ph/GEPSNONPILOT/Tender/SplashBidNoticeAbstractUI.aspx?menuIndex=3&amp;refID=7082869&amp;Result=3","7082869")</f>
        <v>0</v>
      </c>
      <c r="B1126" t="s">
        <v>102</v>
      </c>
      <c r="C1126" t="s">
        <v>4603</v>
      </c>
      <c r="D1126" t="s">
        <v>18133</v>
      </c>
      <c r="E1126" t="s">
        <v>19248</v>
      </c>
      <c r="F1126" t="s">
        <v>31362</v>
      </c>
      <c r="G1126" t="s">
        <v>31368</v>
      </c>
      <c r="H1126" t="s">
        <v>15799</v>
      </c>
      <c r="I1126" t="s">
        <v>6155</v>
      </c>
      <c r="J1126" t="s">
        <v>31724</v>
      </c>
      <c r="K1126" t="s">
        <v>40661</v>
      </c>
      <c r="M1126" t="s">
        <v>41039</v>
      </c>
      <c r="N1126" t="s">
        <v>44905</v>
      </c>
      <c r="O1126" t="s">
        <v>44906</v>
      </c>
      <c r="P1126">
        <v>0</v>
      </c>
      <c r="Q1126">
        <v>2</v>
      </c>
      <c r="R1126" t="s">
        <v>44907</v>
      </c>
      <c r="S1126" t="s">
        <v>45026</v>
      </c>
      <c r="T1126" t="s">
        <v>46432</v>
      </c>
      <c r="U1126" t="s">
        <v>47890</v>
      </c>
      <c r="W1126" t="s">
        <v>41039</v>
      </c>
      <c r="X1126" t="s">
        <v>44908</v>
      </c>
    </row>
    <row r="1127" spans="1:24">
      <c r="A1127">
        <f>HYPERLINK("https://www.philgeps.gov.ph/GEPSNONPILOT/Tender/SplashBidNoticeAbstractUI.aspx?menuIndex=3&amp;refID=7082864&amp;Result=3","7082864")</f>
        <v>0</v>
      </c>
      <c r="B1127" t="s">
        <v>502</v>
      </c>
      <c r="C1127" t="s">
        <v>4604</v>
      </c>
      <c r="D1127" t="s">
        <v>18138</v>
      </c>
      <c r="E1127" t="s">
        <v>19249</v>
      </c>
      <c r="F1127" t="s">
        <v>31362</v>
      </c>
      <c r="G1127" t="s">
        <v>31368</v>
      </c>
      <c r="H1127" t="s">
        <v>15799</v>
      </c>
      <c r="I1127" t="s">
        <v>31400</v>
      </c>
      <c r="J1127" t="s">
        <v>32090</v>
      </c>
      <c r="K1127" t="s">
        <v>40661</v>
      </c>
      <c r="M1127" t="s">
        <v>41457</v>
      </c>
      <c r="N1127" t="s">
        <v>44905</v>
      </c>
      <c r="O1127" t="s">
        <v>44906</v>
      </c>
      <c r="P1127">
        <v>0</v>
      </c>
      <c r="Q1127">
        <v>0</v>
      </c>
      <c r="R1127" t="s">
        <v>44907</v>
      </c>
      <c r="S1127" t="s">
        <v>45026</v>
      </c>
      <c r="T1127" t="s">
        <v>46435</v>
      </c>
      <c r="U1127" t="s">
        <v>47891</v>
      </c>
      <c r="W1127" t="s">
        <v>41457</v>
      </c>
      <c r="X1127" t="s">
        <v>44908</v>
      </c>
    </row>
    <row r="1128" spans="1:24">
      <c r="A1128">
        <f>HYPERLINK("https://www.philgeps.gov.ph/GEPSNONPILOT/Tender/SplashBidNoticeAbstractUI.aspx?menuIndex=3&amp;refID=7082876&amp;Result=3","7082876")</f>
        <v>0</v>
      </c>
      <c r="B1128" t="s">
        <v>447</v>
      </c>
      <c r="C1128" t="s">
        <v>4605</v>
      </c>
      <c r="D1128" t="s">
        <v>18109</v>
      </c>
      <c r="E1128" t="s">
        <v>19250</v>
      </c>
      <c r="F1128" t="s">
        <v>31362</v>
      </c>
      <c r="G1128" t="s">
        <v>31368</v>
      </c>
      <c r="H1128" t="s">
        <v>15799</v>
      </c>
      <c r="I1128" t="s">
        <v>31423</v>
      </c>
      <c r="J1128" t="s">
        <v>32355</v>
      </c>
      <c r="K1128" t="s">
        <v>40670</v>
      </c>
      <c r="M1128" t="s">
        <v>41401</v>
      </c>
      <c r="N1128" t="s">
        <v>44905</v>
      </c>
      <c r="O1128" t="s">
        <v>44906</v>
      </c>
      <c r="P1128">
        <v>0</v>
      </c>
      <c r="Q1128">
        <v>0</v>
      </c>
      <c r="R1128" t="s">
        <v>44907</v>
      </c>
      <c r="S1128" t="s">
        <v>45026</v>
      </c>
      <c r="T1128" t="s">
        <v>46409</v>
      </c>
      <c r="U1128" t="s">
        <v>47892</v>
      </c>
      <c r="V1128" t="s">
        <v>59188</v>
      </c>
      <c r="W1128" t="s">
        <v>41401</v>
      </c>
      <c r="X1128" t="s">
        <v>44908</v>
      </c>
    </row>
    <row r="1129" spans="1:24">
      <c r="A1129">
        <f>HYPERLINK("https://www.philgeps.gov.ph/GEPSNONPILOT/Tender/SplashBidNoticeAbstractUI.aspx?menuIndex=3&amp;refID=7082868&amp;Result=3","7082868")</f>
        <v>0</v>
      </c>
      <c r="B1129" t="s">
        <v>116</v>
      </c>
      <c r="C1129" t="s">
        <v>4606</v>
      </c>
      <c r="D1129" t="s">
        <v>18141</v>
      </c>
      <c r="E1129" t="s">
        <v>19251</v>
      </c>
      <c r="F1129" t="s">
        <v>31362</v>
      </c>
      <c r="G1129" t="s">
        <v>31372</v>
      </c>
      <c r="H1129" t="s">
        <v>15799</v>
      </c>
      <c r="I1129" t="s">
        <v>31394</v>
      </c>
      <c r="J1129" t="s">
        <v>32217</v>
      </c>
      <c r="K1129" t="s">
        <v>40661</v>
      </c>
      <c r="M1129" t="s">
        <v>41053</v>
      </c>
      <c r="N1129" t="s">
        <v>44905</v>
      </c>
      <c r="O1129" t="s">
        <v>44906</v>
      </c>
      <c r="P1129">
        <v>0</v>
      </c>
      <c r="Q1129">
        <v>1</v>
      </c>
      <c r="R1129" t="s">
        <v>44907</v>
      </c>
      <c r="S1129" t="s">
        <v>45026</v>
      </c>
      <c r="T1129" t="s">
        <v>46404</v>
      </c>
      <c r="U1129" t="s">
        <v>47113</v>
      </c>
      <c r="W1129" t="s">
        <v>41053</v>
      </c>
      <c r="X1129" t="s">
        <v>44908</v>
      </c>
    </row>
    <row r="1130" spans="1:24">
      <c r="A1130">
        <f>HYPERLINK("https://www.philgeps.gov.ph/GEPSNONPILOT/Tender/SplashBidNoticeAbstractUI.aspx?menuIndex=3&amp;refID=7082867&amp;Result=3","7082867")</f>
        <v>0</v>
      </c>
      <c r="B1130" t="s">
        <v>503</v>
      </c>
      <c r="C1130" t="s">
        <v>4607</v>
      </c>
      <c r="D1130" t="s">
        <v>18127</v>
      </c>
      <c r="E1130" t="s">
        <v>19252</v>
      </c>
      <c r="F1130" t="s">
        <v>31363</v>
      </c>
      <c r="G1130" t="s">
        <v>31368</v>
      </c>
      <c r="H1130" t="s">
        <v>15799</v>
      </c>
      <c r="I1130" t="s">
        <v>31422</v>
      </c>
      <c r="J1130" t="s">
        <v>32356</v>
      </c>
      <c r="K1130" t="s">
        <v>40672</v>
      </c>
      <c r="M1130" t="s">
        <v>41458</v>
      </c>
      <c r="N1130" t="s">
        <v>44905</v>
      </c>
      <c r="O1130" t="s">
        <v>44906</v>
      </c>
      <c r="P1130">
        <v>0</v>
      </c>
      <c r="Q1130">
        <v>0</v>
      </c>
      <c r="R1130" t="s">
        <v>44907</v>
      </c>
      <c r="S1130" t="s">
        <v>45026</v>
      </c>
      <c r="T1130" t="s">
        <v>46408</v>
      </c>
      <c r="U1130" t="s">
        <v>47893</v>
      </c>
      <c r="W1130" t="s">
        <v>41458</v>
      </c>
      <c r="X1130" t="s">
        <v>44908</v>
      </c>
    </row>
    <row r="1131" spans="1:24">
      <c r="A1131">
        <f>HYPERLINK("https://www.philgeps.gov.ph/GEPSNONPILOT/Tender/SplashBidNoticeAbstractUI.aspx?menuIndex=3&amp;refID=7082866&amp;Result=3","7082866")</f>
        <v>0</v>
      </c>
      <c r="B1131" t="s">
        <v>504</v>
      </c>
      <c r="C1131" t="s">
        <v>4608</v>
      </c>
      <c r="D1131" t="s">
        <v>18116</v>
      </c>
      <c r="E1131" t="s">
        <v>19253</v>
      </c>
      <c r="F1131" t="s">
        <v>31362</v>
      </c>
      <c r="G1131" t="s">
        <v>31369</v>
      </c>
      <c r="H1131" t="s">
        <v>15799</v>
      </c>
      <c r="I1131" t="s">
        <v>31415</v>
      </c>
      <c r="J1131" t="s">
        <v>31648</v>
      </c>
      <c r="K1131" t="s">
        <v>40672</v>
      </c>
      <c r="M1131" t="s">
        <v>41459</v>
      </c>
      <c r="N1131" t="s">
        <v>44905</v>
      </c>
      <c r="O1131" t="s">
        <v>44906</v>
      </c>
      <c r="P1131">
        <v>0</v>
      </c>
      <c r="Q1131">
        <v>0</v>
      </c>
      <c r="R1131" t="s">
        <v>44907</v>
      </c>
      <c r="S1131" t="s">
        <v>45026</v>
      </c>
      <c r="T1131" t="s">
        <v>46547</v>
      </c>
      <c r="U1131" t="s">
        <v>47894</v>
      </c>
      <c r="W1131" t="s">
        <v>41459</v>
      </c>
      <c r="X1131" t="s">
        <v>44908</v>
      </c>
    </row>
    <row r="1132" spans="1:24">
      <c r="A1132">
        <f>HYPERLINK("https://www.philgeps.gov.ph/GEPSNONPILOT/Tender/SplashBidNoticeAbstractUI.aspx?menuIndex=3&amp;refID=7082885&amp;Result=3","7082885")</f>
        <v>0</v>
      </c>
      <c r="B1132" t="s">
        <v>451</v>
      </c>
      <c r="C1132" t="s">
        <v>4609</v>
      </c>
      <c r="D1132" t="s">
        <v>18112</v>
      </c>
      <c r="E1132" t="s">
        <v>19174</v>
      </c>
      <c r="F1132" t="s">
        <v>31362</v>
      </c>
      <c r="G1132" t="s">
        <v>31369</v>
      </c>
      <c r="H1132" t="s">
        <v>15799</v>
      </c>
      <c r="I1132" t="s">
        <v>3815</v>
      </c>
      <c r="J1132" t="s">
        <v>32357</v>
      </c>
      <c r="K1132" t="s">
        <v>40670</v>
      </c>
      <c r="M1132" t="s">
        <v>41405</v>
      </c>
      <c r="N1132" t="s">
        <v>44905</v>
      </c>
      <c r="O1132" t="s">
        <v>44906</v>
      </c>
      <c r="P1132">
        <v>0</v>
      </c>
      <c r="Q1132">
        <v>0</v>
      </c>
      <c r="R1132" t="s">
        <v>44907</v>
      </c>
      <c r="S1132" t="s">
        <v>45026</v>
      </c>
      <c r="T1132" t="s">
        <v>46537</v>
      </c>
      <c r="U1132" t="s">
        <v>47895</v>
      </c>
      <c r="W1132" t="s">
        <v>41405</v>
      </c>
      <c r="X1132" t="s">
        <v>44908</v>
      </c>
    </row>
    <row r="1133" spans="1:24">
      <c r="A1133">
        <f>HYPERLINK("https://www.philgeps.gov.ph/GEPSNONPILOT/Tender/SplashBidNoticeAbstractUI.aspx?menuIndex=3&amp;refID=7082857&amp;Result=3","7082857")</f>
        <v>0</v>
      </c>
      <c r="B1133" t="s">
        <v>367</v>
      </c>
      <c r="C1133" t="s">
        <v>4610</v>
      </c>
      <c r="D1133" t="s">
        <v>18134</v>
      </c>
      <c r="E1133" t="s">
        <v>19254</v>
      </c>
      <c r="F1133" t="s">
        <v>31362</v>
      </c>
      <c r="G1133" t="s">
        <v>31369</v>
      </c>
      <c r="H1133" t="s">
        <v>15799</v>
      </c>
      <c r="I1133" t="s">
        <v>31392</v>
      </c>
      <c r="J1133" t="s">
        <v>32358</v>
      </c>
      <c r="K1133" t="s">
        <v>40665</v>
      </c>
      <c r="M1133" t="s">
        <v>41398</v>
      </c>
      <c r="N1133" t="s">
        <v>44905</v>
      </c>
      <c r="O1133" t="s">
        <v>44906</v>
      </c>
      <c r="P1133">
        <v>0</v>
      </c>
      <c r="Q1133">
        <v>2</v>
      </c>
      <c r="R1133" t="s">
        <v>44907</v>
      </c>
      <c r="S1133" t="s">
        <v>45026</v>
      </c>
      <c r="T1133" t="s">
        <v>46449</v>
      </c>
      <c r="U1133" t="s">
        <v>47896</v>
      </c>
      <c r="V1133" t="s">
        <v>59171</v>
      </c>
      <c r="W1133" t="s">
        <v>41398</v>
      </c>
      <c r="X1133" t="s">
        <v>44908</v>
      </c>
    </row>
    <row r="1134" spans="1:24">
      <c r="A1134">
        <f>HYPERLINK("https://www.philgeps.gov.ph/GEPSNONPILOT/Tender/SplashBidNoticeAbstractUI.aspx?menuIndex=3&amp;refID=7082882&amp;Result=3","7082882")</f>
        <v>0</v>
      </c>
      <c r="B1134" t="s">
        <v>505</v>
      </c>
      <c r="C1134" t="s">
        <v>4611</v>
      </c>
      <c r="D1134" t="s">
        <v>18158</v>
      </c>
      <c r="E1134" t="s">
        <v>19255</v>
      </c>
      <c r="F1134" t="s">
        <v>31362</v>
      </c>
      <c r="G1134" t="s">
        <v>31369</v>
      </c>
      <c r="H1134" t="s">
        <v>15799</v>
      </c>
      <c r="I1134" t="s">
        <v>31386</v>
      </c>
      <c r="J1134" t="s">
        <v>31536</v>
      </c>
      <c r="K1134" t="s">
        <v>40665</v>
      </c>
      <c r="M1134" t="s">
        <v>41460</v>
      </c>
      <c r="N1134" t="s">
        <v>44905</v>
      </c>
      <c r="O1134" t="s">
        <v>44906</v>
      </c>
      <c r="P1134">
        <v>0</v>
      </c>
      <c r="Q1134">
        <v>0</v>
      </c>
      <c r="R1134" t="s">
        <v>44907</v>
      </c>
      <c r="S1134" t="s">
        <v>45026</v>
      </c>
      <c r="T1134" t="s">
        <v>46490</v>
      </c>
      <c r="U1134" t="s">
        <v>47897</v>
      </c>
      <c r="W1134" t="s">
        <v>41460</v>
      </c>
      <c r="X1134" t="s">
        <v>44908</v>
      </c>
    </row>
    <row r="1135" spans="1:24">
      <c r="A1135">
        <f>HYPERLINK("https://www.philgeps.gov.ph/GEPSNONPILOT/Tender/SplashBidNoticeAbstractUI.aspx?menuIndex=3&amp;refID=7082865&amp;Result=3","7082865")</f>
        <v>0</v>
      </c>
      <c r="B1135" t="s">
        <v>33</v>
      </c>
      <c r="C1135" t="s">
        <v>4612</v>
      </c>
      <c r="D1135" t="s">
        <v>18106</v>
      </c>
      <c r="E1135" t="s">
        <v>19256</v>
      </c>
      <c r="F1135" t="s">
        <v>31362</v>
      </c>
      <c r="G1135" t="s">
        <v>31368</v>
      </c>
      <c r="H1135" t="s">
        <v>15799</v>
      </c>
      <c r="I1135" t="s">
        <v>31457</v>
      </c>
      <c r="J1135" t="s">
        <v>32359</v>
      </c>
      <c r="K1135" t="s">
        <v>40661</v>
      </c>
      <c r="M1135" t="s">
        <v>40967</v>
      </c>
      <c r="N1135" t="s">
        <v>44905</v>
      </c>
      <c r="O1135" t="s">
        <v>44906</v>
      </c>
      <c r="P1135">
        <v>0</v>
      </c>
      <c r="Q1135">
        <v>0</v>
      </c>
      <c r="R1135" t="s">
        <v>44907</v>
      </c>
      <c r="S1135" t="s">
        <v>45026</v>
      </c>
      <c r="T1135" t="s">
        <v>46397</v>
      </c>
      <c r="U1135" t="s">
        <v>47898</v>
      </c>
      <c r="W1135" t="s">
        <v>40967</v>
      </c>
      <c r="X1135" t="s">
        <v>44908</v>
      </c>
    </row>
    <row r="1136" spans="1:24">
      <c r="A1136">
        <f>HYPERLINK("https://www.philgeps.gov.ph/GEPSNONPILOT/Tender/SplashBidNoticeAbstractUI.aspx?menuIndex=3&amp;refID=7082888&amp;Result=3","7082888")</f>
        <v>0</v>
      </c>
      <c r="B1136" t="s">
        <v>506</v>
      </c>
      <c r="C1136" t="s">
        <v>4613</v>
      </c>
      <c r="D1136" t="s">
        <v>18110</v>
      </c>
      <c r="E1136" t="s">
        <v>19257</v>
      </c>
      <c r="F1136" t="s">
        <v>31362</v>
      </c>
      <c r="G1136" t="s">
        <v>31369</v>
      </c>
      <c r="H1136" t="s">
        <v>15799</v>
      </c>
      <c r="I1136" t="s">
        <v>3815</v>
      </c>
      <c r="J1136" t="s">
        <v>32360</v>
      </c>
      <c r="K1136" t="s">
        <v>40670</v>
      </c>
      <c r="M1136" t="s">
        <v>41461</v>
      </c>
      <c r="N1136" t="s">
        <v>44905</v>
      </c>
      <c r="O1136" t="s">
        <v>44906</v>
      </c>
      <c r="P1136">
        <v>0</v>
      </c>
      <c r="Q1136">
        <v>0</v>
      </c>
      <c r="R1136" t="s">
        <v>44907</v>
      </c>
      <c r="S1136" t="s">
        <v>45026</v>
      </c>
      <c r="T1136" t="s">
        <v>46396</v>
      </c>
      <c r="U1136" t="s">
        <v>47899</v>
      </c>
      <c r="W1136" t="s">
        <v>41461</v>
      </c>
      <c r="X1136" t="s">
        <v>44908</v>
      </c>
    </row>
    <row r="1137" spans="1:24">
      <c r="A1137">
        <f>HYPERLINK("https://www.philgeps.gov.ph/GEPSNONPILOT/Tender/SplashBidNoticeAbstractUI.aspx?menuIndex=3&amp;refID=7082872&amp;Result=3","7082872")</f>
        <v>0</v>
      </c>
      <c r="B1137" t="s">
        <v>444</v>
      </c>
      <c r="C1137" t="s">
        <v>4614</v>
      </c>
      <c r="D1137" t="s">
        <v>18146</v>
      </c>
      <c r="E1137" t="s">
        <v>19258</v>
      </c>
      <c r="F1137" t="s">
        <v>31362</v>
      </c>
      <c r="G1137" t="s">
        <v>31369</v>
      </c>
      <c r="H1137" t="s">
        <v>31378</v>
      </c>
      <c r="I1137" t="s">
        <v>31386</v>
      </c>
      <c r="J1137" t="s">
        <v>31591</v>
      </c>
      <c r="K1137" t="s">
        <v>40676</v>
      </c>
      <c r="M1137" t="s">
        <v>41397</v>
      </c>
      <c r="N1137" t="s">
        <v>44905</v>
      </c>
      <c r="O1137" t="s">
        <v>44906</v>
      </c>
      <c r="P1137">
        <v>0</v>
      </c>
      <c r="Q1137">
        <v>0</v>
      </c>
      <c r="R1137" t="s">
        <v>44907</v>
      </c>
      <c r="S1137" t="s">
        <v>45026</v>
      </c>
      <c r="T1137" t="s">
        <v>46449</v>
      </c>
      <c r="U1137" t="s">
        <v>47900</v>
      </c>
      <c r="W1137" t="s">
        <v>41397</v>
      </c>
      <c r="X1137" t="s">
        <v>44908</v>
      </c>
    </row>
    <row r="1138" spans="1:24">
      <c r="A1138">
        <f>HYPERLINK("https://www.philgeps.gov.ph/GEPSNONPILOT/Tender/SplashBidNoticeAbstractUI.aspx?menuIndex=3&amp;refID=7082886&amp;Result=3","7082886")</f>
        <v>0</v>
      </c>
      <c r="B1138" t="s">
        <v>507</v>
      </c>
      <c r="C1138" t="s">
        <v>4615</v>
      </c>
      <c r="D1138" t="s">
        <v>18102</v>
      </c>
      <c r="E1138" t="s">
        <v>18464</v>
      </c>
      <c r="F1138" t="s">
        <v>31364</v>
      </c>
      <c r="G1138" t="s">
        <v>31371</v>
      </c>
      <c r="H1138" t="s">
        <v>15799</v>
      </c>
      <c r="I1138" t="s">
        <v>31431</v>
      </c>
      <c r="J1138" t="s">
        <v>32361</v>
      </c>
      <c r="K1138" t="s">
        <v>40661</v>
      </c>
      <c r="M1138" t="s">
        <v>41462</v>
      </c>
      <c r="N1138" t="s">
        <v>44905</v>
      </c>
      <c r="O1138" t="s">
        <v>44906</v>
      </c>
      <c r="P1138">
        <v>0</v>
      </c>
      <c r="Q1138">
        <v>2</v>
      </c>
      <c r="R1138" t="s">
        <v>44907</v>
      </c>
      <c r="S1138" t="s">
        <v>45026</v>
      </c>
      <c r="T1138" t="s">
        <v>46459</v>
      </c>
      <c r="U1138" t="s">
        <v>47901</v>
      </c>
      <c r="W1138" t="s">
        <v>41462</v>
      </c>
      <c r="X1138" t="s">
        <v>44908</v>
      </c>
    </row>
    <row r="1139" spans="1:24">
      <c r="A1139">
        <f>HYPERLINK("https://www.philgeps.gov.ph/GEPSNONPILOT/Tender/SplashBidNoticeAbstractUI.aspx?menuIndex=3&amp;refID=7082909&amp;Result=3","7082909")</f>
        <v>0</v>
      </c>
      <c r="B1139" t="s">
        <v>508</v>
      </c>
      <c r="C1139" t="s">
        <v>4616</v>
      </c>
      <c r="D1139" t="s">
        <v>18131</v>
      </c>
      <c r="E1139" t="s">
        <v>19259</v>
      </c>
      <c r="F1139" t="s">
        <v>31362</v>
      </c>
      <c r="G1139" t="s">
        <v>31368</v>
      </c>
      <c r="H1139" t="s">
        <v>15799</v>
      </c>
      <c r="I1139" t="s">
        <v>31440</v>
      </c>
      <c r="J1139" t="s">
        <v>32362</v>
      </c>
      <c r="K1139" t="s">
        <v>40662</v>
      </c>
      <c r="M1139" t="s">
        <v>41463</v>
      </c>
      <c r="N1139" t="s">
        <v>44905</v>
      </c>
      <c r="O1139" t="s">
        <v>44906</v>
      </c>
      <c r="P1139">
        <v>0</v>
      </c>
      <c r="Q1139">
        <v>0</v>
      </c>
      <c r="R1139" t="s">
        <v>44907</v>
      </c>
      <c r="S1139" t="s">
        <v>45026</v>
      </c>
      <c r="T1139" t="s">
        <v>46432</v>
      </c>
      <c r="U1139" t="s">
        <v>47902</v>
      </c>
      <c r="W1139" t="s">
        <v>41463</v>
      </c>
      <c r="X1139" t="s">
        <v>44908</v>
      </c>
    </row>
    <row r="1140" spans="1:24">
      <c r="A1140">
        <f>HYPERLINK("https://www.philgeps.gov.ph/GEPSNONPILOT/Tender/SplashBidNoticeAbstractUI.aspx?menuIndex=3&amp;refID=7082878&amp;Result=3","7082878")</f>
        <v>0</v>
      </c>
      <c r="B1140" t="s">
        <v>249</v>
      </c>
      <c r="C1140" t="s">
        <v>4617</v>
      </c>
      <c r="D1140" t="s">
        <v>18110</v>
      </c>
      <c r="E1140" t="s">
        <v>19260</v>
      </c>
      <c r="F1140" t="s">
        <v>31362</v>
      </c>
      <c r="G1140" t="s">
        <v>31371</v>
      </c>
      <c r="H1140" t="s">
        <v>15799</v>
      </c>
      <c r="I1140" t="s">
        <v>31464</v>
      </c>
      <c r="J1140" t="s">
        <v>32363</v>
      </c>
      <c r="K1140" t="s">
        <v>40662</v>
      </c>
      <c r="M1140" t="s">
        <v>41188</v>
      </c>
      <c r="N1140" t="s">
        <v>44905</v>
      </c>
      <c r="O1140" t="s">
        <v>44906</v>
      </c>
      <c r="P1140">
        <v>0</v>
      </c>
      <c r="Q1140">
        <v>0</v>
      </c>
      <c r="R1140" t="s">
        <v>44907</v>
      </c>
      <c r="S1140" t="s">
        <v>45026</v>
      </c>
      <c r="T1140" t="s">
        <v>46499</v>
      </c>
      <c r="U1140" t="s">
        <v>47345</v>
      </c>
      <c r="W1140" t="s">
        <v>41188</v>
      </c>
      <c r="X1140" t="s">
        <v>44908</v>
      </c>
    </row>
    <row r="1141" spans="1:24">
      <c r="A1141">
        <f>HYPERLINK("https://www.philgeps.gov.ph/GEPSNONPILOT/Tender/SplashBidNoticeAbstractUI.aspx?menuIndex=3&amp;refID=7082908&amp;Result=3","7082908")</f>
        <v>0</v>
      </c>
      <c r="B1141" t="s">
        <v>509</v>
      </c>
      <c r="C1141" t="s">
        <v>4618</v>
      </c>
      <c r="D1141" t="s">
        <v>18163</v>
      </c>
      <c r="E1141" t="s">
        <v>19261</v>
      </c>
      <c r="F1141" t="s">
        <v>31362</v>
      </c>
      <c r="G1141" t="s">
        <v>31369</v>
      </c>
      <c r="H1141" t="s">
        <v>15799</v>
      </c>
      <c r="I1141" t="s">
        <v>31409</v>
      </c>
      <c r="J1141" t="s">
        <v>31709</v>
      </c>
      <c r="K1141" t="s">
        <v>40679</v>
      </c>
      <c r="L1141" t="s">
        <v>509</v>
      </c>
      <c r="M1141" t="s">
        <v>41464</v>
      </c>
      <c r="N1141" t="s">
        <v>44905</v>
      </c>
      <c r="O1141" t="s">
        <v>44906</v>
      </c>
      <c r="P1141">
        <v>0</v>
      </c>
      <c r="Q1141">
        <v>4</v>
      </c>
      <c r="R1141" t="s">
        <v>44907</v>
      </c>
      <c r="S1141" t="s">
        <v>45026</v>
      </c>
      <c r="T1141" t="s">
        <v>46511</v>
      </c>
      <c r="U1141" t="s">
        <v>47903</v>
      </c>
      <c r="V1141" t="s">
        <v>59189</v>
      </c>
      <c r="W1141" t="s">
        <v>41464</v>
      </c>
      <c r="X1141" t="s">
        <v>44908</v>
      </c>
    </row>
    <row r="1142" spans="1:24">
      <c r="A1142">
        <f>HYPERLINK("https://www.philgeps.gov.ph/GEPSNONPILOT/Tender/SplashBidNoticeAbstractUI.aspx?menuIndex=3&amp;refID=7082874&amp;Result=3","7082874")</f>
        <v>0</v>
      </c>
      <c r="B1142" t="s">
        <v>500</v>
      </c>
      <c r="C1142" t="s">
        <v>4619</v>
      </c>
      <c r="D1142" t="s">
        <v>18165</v>
      </c>
      <c r="E1142" t="s">
        <v>19262</v>
      </c>
      <c r="F1142" t="s">
        <v>31362</v>
      </c>
      <c r="G1142" t="s">
        <v>31370</v>
      </c>
      <c r="H1142" t="s">
        <v>15799</v>
      </c>
      <c r="I1142" t="s">
        <v>6155</v>
      </c>
      <c r="J1142" t="s">
        <v>32364</v>
      </c>
      <c r="K1142" t="s">
        <v>40670</v>
      </c>
      <c r="M1142" t="s">
        <v>41455</v>
      </c>
      <c r="N1142" t="s">
        <v>44905</v>
      </c>
      <c r="O1142" t="s">
        <v>44906</v>
      </c>
      <c r="P1142">
        <v>0</v>
      </c>
      <c r="Q1142">
        <v>3</v>
      </c>
      <c r="R1142" t="s">
        <v>44907</v>
      </c>
      <c r="S1142" t="s">
        <v>45026</v>
      </c>
      <c r="T1142" t="s">
        <v>46432</v>
      </c>
      <c r="U1142" t="s">
        <v>47883</v>
      </c>
      <c r="W1142" t="s">
        <v>41455</v>
      </c>
      <c r="X1142" t="s">
        <v>44908</v>
      </c>
    </row>
    <row r="1143" spans="1:24">
      <c r="A1143">
        <f>HYPERLINK("https://www.philgeps.gov.ph/GEPSNONPILOT/Tender/SplashBidNoticeAbstractUI.aspx?menuIndex=3&amp;refID=7082906&amp;Result=3","7082906")</f>
        <v>0</v>
      </c>
      <c r="B1143" t="s">
        <v>443</v>
      </c>
      <c r="C1143" t="s">
        <v>4620</v>
      </c>
      <c r="D1143" t="s">
        <v>18131</v>
      </c>
      <c r="E1143" t="s">
        <v>19263</v>
      </c>
      <c r="F1143" t="s">
        <v>31362</v>
      </c>
      <c r="G1143" t="s">
        <v>31371</v>
      </c>
      <c r="H1143" t="s">
        <v>15799</v>
      </c>
      <c r="I1143" t="s">
        <v>6373</v>
      </c>
      <c r="J1143" t="s">
        <v>32365</v>
      </c>
      <c r="K1143" t="s">
        <v>40662</v>
      </c>
      <c r="L1143" t="s">
        <v>443</v>
      </c>
      <c r="M1143" t="s">
        <v>41396</v>
      </c>
      <c r="N1143" t="s">
        <v>44905</v>
      </c>
      <c r="O1143" t="s">
        <v>44906</v>
      </c>
      <c r="P1143">
        <v>0</v>
      </c>
      <c r="Q1143">
        <v>2</v>
      </c>
      <c r="R1143" t="s">
        <v>44907</v>
      </c>
      <c r="S1143" t="s">
        <v>45026</v>
      </c>
      <c r="T1143" t="s">
        <v>46454</v>
      </c>
      <c r="U1143" t="s">
        <v>47726</v>
      </c>
      <c r="W1143" t="s">
        <v>41396</v>
      </c>
      <c r="X1143" t="s">
        <v>44908</v>
      </c>
    </row>
    <row r="1144" spans="1:24">
      <c r="A1144">
        <f>HYPERLINK("https://www.philgeps.gov.ph/GEPSNONPILOT/Tender/SplashBidNoticeAbstractUI.aspx?menuIndex=3&amp;refID=7082889&amp;Result=3","7082889")</f>
        <v>0</v>
      </c>
      <c r="B1144" t="s">
        <v>418</v>
      </c>
      <c r="C1144" t="s">
        <v>4621</v>
      </c>
      <c r="D1144" t="s">
        <v>18100</v>
      </c>
      <c r="E1144" t="s">
        <v>19264</v>
      </c>
      <c r="F1144" t="s">
        <v>31362</v>
      </c>
      <c r="G1144" t="s">
        <v>31368</v>
      </c>
      <c r="H1144" t="s">
        <v>15799</v>
      </c>
      <c r="I1144" t="s">
        <v>31386</v>
      </c>
      <c r="J1144" t="s">
        <v>32366</v>
      </c>
      <c r="K1144" t="s">
        <v>40662</v>
      </c>
      <c r="M1144" t="s">
        <v>41368</v>
      </c>
      <c r="N1144" t="s">
        <v>44905</v>
      </c>
      <c r="O1144" t="s">
        <v>44906</v>
      </c>
      <c r="P1144">
        <v>0</v>
      </c>
      <c r="Q1144">
        <v>0</v>
      </c>
      <c r="R1144" t="s">
        <v>44907</v>
      </c>
      <c r="S1144" t="s">
        <v>45026</v>
      </c>
      <c r="T1144" t="s">
        <v>46412</v>
      </c>
      <c r="U1144" t="s">
        <v>47683</v>
      </c>
      <c r="W1144" t="s">
        <v>41368</v>
      </c>
      <c r="X1144" t="s">
        <v>44908</v>
      </c>
    </row>
    <row r="1145" spans="1:24">
      <c r="A1145">
        <f>HYPERLINK("https://www.philgeps.gov.ph/GEPSNONPILOT/Tender/SplashBidNoticeAbstractUI.aspx?menuIndex=3&amp;refID=7082899&amp;Result=3","7082899")</f>
        <v>0</v>
      </c>
      <c r="B1145" t="s">
        <v>123</v>
      </c>
      <c r="C1145" t="s">
        <v>4622</v>
      </c>
      <c r="D1145" t="s">
        <v>18127</v>
      </c>
      <c r="E1145" t="s">
        <v>19265</v>
      </c>
      <c r="F1145" t="s">
        <v>31362</v>
      </c>
      <c r="G1145" t="s">
        <v>31368</v>
      </c>
      <c r="H1145" t="s">
        <v>31379</v>
      </c>
      <c r="I1145" t="s">
        <v>6155</v>
      </c>
      <c r="J1145" t="s">
        <v>32367</v>
      </c>
      <c r="K1145" t="s">
        <v>40665</v>
      </c>
      <c r="M1145" t="s">
        <v>41346</v>
      </c>
      <c r="N1145" t="s">
        <v>44905</v>
      </c>
      <c r="O1145" t="s">
        <v>44906</v>
      </c>
      <c r="P1145">
        <v>0</v>
      </c>
      <c r="Q1145">
        <v>8</v>
      </c>
      <c r="R1145" t="s">
        <v>44907</v>
      </c>
      <c r="S1145" t="s">
        <v>45026</v>
      </c>
      <c r="T1145" t="s">
        <v>46502</v>
      </c>
      <c r="U1145" t="s">
        <v>47904</v>
      </c>
      <c r="V1145" t="s">
        <v>47665</v>
      </c>
      <c r="W1145" t="s">
        <v>41346</v>
      </c>
      <c r="X1145" t="s">
        <v>44908</v>
      </c>
    </row>
    <row r="1146" spans="1:24">
      <c r="A1146">
        <f>HYPERLINK("https://www.philgeps.gov.ph/GEPSNONPILOT/Tender/SplashBidNoticeAbstractUI.aspx?menuIndex=3&amp;refID=7082884&amp;Result=3","7082884")</f>
        <v>0</v>
      </c>
      <c r="B1146" t="s">
        <v>123</v>
      </c>
      <c r="C1146" t="s">
        <v>4623</v>
      </c>
      <c r="D1146" t="s">
        <v>18127</v>
      </c>
      <c r="E1146" t="s">
        <v>19266</v>
      </c>
      <c r="F1146" t="s">
        <v>31362</v>
      </c>
      <c r="G1146" t="s">
        <v>31368</v>
      </c>
      <c r="H1146" t="s">
        <v>15799</v>
      </c>
      <c r="I1146" t="s">
        <v>3815</v>
      </c>
      <c r="J1146" t="s">
        <v>32368</v>
      </c>
      <c r="K1146" t="s">
        <v>40666</v>
      </c>
      <c r="M1146" t="s">
        <v>41346</v>
      </c>
      <c r="N1146" t="s">
        <v>44905</v>
      </c>
      <c r="O1146" t="s">
        <v>44906</v>
      </c>
      <c r="P1146">
        <v>0</v>
      </c>
      <c r="Q1146">
        <v>0</v>
      </c>
      <c r="R1146" t="s">
        <v>44907</v>
      </c>
      <c r="S1146" t="s">
        <v>45026</v>
      </c>
      <c r="T1146" t="s">
        <v>46397</v>
      </c>
      <c r="U1146" t="s">
        <v>47905</v>
      </c>
      <c r="V1146" t="s">
        <v>47665</v>
      </c>
      <c r="W1146" t="s">
        <v>41346</v>
      </c>
      <c r="X1146" t="s">
        <v>44908</v>
      </c>
    </row>
    <row r="1147" spans="1:24">
      <c r="A1147">
        <f>HYPERLINK("https://www.philgeps.gov.ph/GEPSNONPILOT/Tender/SplashBidNoticeAbstractUI.aspx?menuIndex=3&amp;refID=7082912&amp;Result=3","7082912")</f>
        <v>0</v>
      </c>
      <c r="B1147" t="s">
        <v>421</v>
      </c>
      <c r="C1147" t="s">
        <v>4624</v>
      </c>
      <c r="D1147" t="s">
        <v>18133</v>
      </c>
      <c r="E1147" t="s">
        <v>19267</v>
      </c>
      <c r="F1147" t="s">
        <v>31362</v>
      </c>
      <c r="G1147" t="s">
        <v>31369</v>
      </c>
      <c r="H1147" t="s">
        <v>31378</v>
      </c>
      <c r="I1147" t="s">
        <v>31386</v>
      </c>
      <c r="J1147" t="s">
        <v>32369</v>
      </c>
      <c r="K1147" t="s">
        <v>40719</v>
      </c>
      <c r="M1147" t="s">
        <v>41372</v>
      </c>
      <c r="N1147" t="s">
        <v>44905</v>
      </c>
      <c r="O1147" t="s">
        <v>44906</v>
      </c>
      <c r="P1147">
        <v>0</v>
      </c>
      <c r="Q1147">
        <v>0</v>
      </c>
      <c r="R1147" t="s">
        <v>44907</v>
      </c>
      <c r="S1147" t="s">
        <v>45026</v>
      </c>
      <c r="T1147" t="s">
        <v>46496</v>
      </c>
      <c r="U1147" t="s">
        <v>47906</v>
      </c>
      <c r="W1147" t="s">
        <v>41372</v>
      </c>
      <c r="X1147" t="s">
        <v>44908</v>
      </c>
    </row>
    <row r="1148" spans="1:24">
      <c r="A1148">
        <f>HYPERLINK("https://www.philgeps.gov.ph/GEPSNONPILOT/Tender/SplashBidNoticeAbstractUI.aspx?menuIndex=3&amp;refID=7082883&amp;Result=3","7082883")</f>
        <v>0</v>
      </c>
      <c r="B1148" t="s">
        <v>249</v>
      </c>
      <c r="C1148" t="s">
        <v>4625</v>
      </c>
      <c r="D1148" t="s">
        <v>18110</v>
      </c>
      <c r="E1148" t="s">
        <v>19268</v>
      </c>
      <c r="F1148" t="s">
        <v>31362</v>
      </c>
      <c r="G1148" t="s">
        <v>31371</v>
      </c>
      <c r="H1148" t="s">
        <v>15799</v>
      </c>
      <c r="I1148" t="s">
        <v>31393</v>
      </c>
      <c r="J1148" t="s">
        <v>32370</v>
      </c>
      <c r="K1148" t="s">
        <v>40662</v>
      </c>
      <c r="M1148" t="s">
        <v>41188</v>
      </c>
      <c r="N1148" t="s">
        <v>44905</v>
      </c>
      <c r="O1148" t="s">
        <v>44906</v>
      </c>
      <c r="P1148">
        <v>0</v>
      </c>
      <c r="Q1148">
        <v>3</v>
      </c>
      <c r="R1148" t="s">
        <v>44907</v>
      </c>
      <c r="S1148" t="s">
        <v>45026</v>
      </c>
      <c r="T1148" t="s">
        <v>46499</v>
      </c>
      <c r="U1148" t="s">
        <v>47345</v>
      </c>
      <c r="W1148" t="s">
        <v>41188</v>
      </c>
      <c r="X1148" t="s">
        <v>44908</v>
      </c>
    </row>
    <row r="1149" spans="1:24">
      <c r="A1149">
        <f>HYPERLINK("https://www.philgeps.gov.ph/GEPSNONPILOT/Tender/SplashBidNoticeAbstractUI.aspx?menuIndex=3&amp;refID=7082875&amp;Result=3","7082875")</f>
        <v>0</v>
      </c>
      <c r="B1149" t="s">
        <v>510</v>
      </c>
      <c r="C1149" t="s">
        <v>4626</v>
      </c>
      <c r="D1149" t="s">
        <v>18158</v>
      </c>
      <c r="E1149" t="s">
        <v>18476</v>
      </c>
      <c r="F1149" t="s">
        <v>31362</v>
      </c>
      <c r="G1149" t="s">
        <v>31369</v>
      </c>
      <c r="H1149" t="s">
        <v>15799</v>
      </c>
      <c r="I1149" t="s">
        <v>31384</v>
      </c>
      <c r="J1149" t="s">
        <v>31536</v>
      </c>
      <c r="K1149" t="s">
        <v>40665</v>
      </c>
      <c r="M1149" t="s">
        <v>41465</v>
      </c>
      <c r="N1149" t="s">
        <v>44905</v>
      </c>
      <c r="O1149" t="s">
        <v>44906</v>
      </c>
      <c r="P1149">
        <v>0</v>
      </c>
      <c r="Q1149">
        <v>1</v>
      </c>
      <c r="R1149" t="s">
        <v>44907</v>
      </c>
      <c r="S1149" t="s">
        <v>45026</v>
      </c>
      <c r="T1149" t="s">
        <v>46397</v>
      </c>
      <c r="U1149" t="s">
        <v>47907</v>
      </c>
      <c r="W1149" t="s">
        <v>41465</v>
      </c>
      <c r="X1149" t="s">
        <v>44908</v>
      </c>
    </row>
    <row r="1150" spans="1:24">
      <c r="A1150">
        <f>HYPERLINK("https://www.philgeps.gov.ph/GEPSNONPILOT/Tender/SplashBidNoticeAbstractUI.aspx?menuIndex=3&amp;refID=7082898&amp;Result=3","7082898")</f>
        <v>0</v>
      </c>
      <c r="B1150" t="s">
        <v>117</v>
      </c>
      <c r="C1150" t="s">
        <v>4627</v>
      </c>
      <c r="D1150" t="s">
        <v>18152</v>
      </c>
      <c r="E1150" t="s">
        <v>19269</v>
      </c>
      <c r="F1150" t="s">
        <v>31362</v>
      </c>
      <c r="G1150" t="s">
        <v>31368</v>
      </c>
      <c r="H1150" t="s">
        <v>15799</v>
      </c>
      <c r="I1150" t="s">
        <v>31463</v>
      </c>
      <c r="J1150" t="s">
        <v>31536</v>
      </c>
      <c r="K1150" t="s">
        <v>40662</v>
      </c>
      <c r="M1150" t="s">
        <v>41054</v>
      </c>
      <c r="N1150" t="s">
        <v>44905</v>
      </c>
      <c r="O1150" t="s">
        <v>44906</v>
      </c>
      <c r="P1150">
        <v>0</v>
      </c>
      <c r="Q1150">
        <v>0</v>
      </c>
      <c r="R1150" t="s">
        <v>44907</v>
      </c>
      <c r="S1150" t="s">
        <v>45026</v>
      </c>
      <c r="T1150" t="s">
        <v>46434</v>
      </c>
      <c r="U1150" t="s">
        <v>47908</v>
      </c>
      <c r="W1150" t="s">
        <v>41054</v>
      </c>
      <c r="X1150" t="s">
        <v>44908</v>
      </c>
    </row>
    <row r="1151" spans="1:24">
      <c r="A1151">
        <f>HYPERLINK("https://www.philgeps.gov.ph/GEPSNONPILOT/Tender/SplashBidNoticeAbstractUI.aspx?menuIndex=3&amp;refID=7082903&amp;Result=3","7082903")</f>
        <v>0</v>
      </c>
      <c r="B1151" t="s">
        <v>500</v>
      </c>
      <c r="C1151" t="s">
        <v>4628</v>
      </c>
      <c r="D1151" t="s">
        <v>18165</v>
      </c>
      <c r="E1151" t="s">
        <v>19270</v>
      </c>
      <c r="F1151" t="s">
        <v>31362</v>
      </c>
      <c r="G1151" t="s">
        <v>31369</v>
      </c>
      <c r="H1151" t="s">
        <v>15799</v>
      </c>
      <c r="I1151" t="s">
        <v>31404</v>
      </c>
      <c r="J1151" t="s">
        <v>31591</v>
      </c>
      <c r="K1151" t="s">
        <v>40670</v>
      </c>
      <c r="M1151" t="s">
        <v>41455</v>
      </c>
      <c r="N1151" t="s">
        <v>44905</v>
      </c>
      <c r="O1151" t="s">
        <v>44906</v>
      </c>
      <c r="P1151">
        <v>0</v>
      </c>
      <c r="Q1151">
        <v>0</v>
      </c>
      <c r="R1151" t="s">
        <v>44907</v>
      </c>
      <c r="S1151" t="s">
        <v>45026</v>
      </c>
      <c r="T1151" t="s">
        <v>46538</v>
      </c>
      <c r="U1151" t="s">
        <v>47909</v>
      </c>
      <c r="W1151" t="s">
        <v>41455</v>
      </c>
      <c r="X1151" t="s">
        <v>44908</v>
      </c>
    </row>
    <row r="1152" spans="1:24">
      <c r="A1152">
        <f>HYPERLINK("https://www.philgeps.gov.ph/GEPSNONPILOT/Tender/SplashBidNoticeAbstractUI.aspx?menuIndex=3&amp;refID=7082897&amp;Result=3","7082897")</f>
        <v>0</v>
      </c>
      <c r="B1152" t="s">
        <v>511</v>
      </c>
      <c r="C1152" t="s">
        <v>4629</v>
      </c>
      <c r="D1152" t="s">
        <v>18164</v>
      </c>
      <c r="E1152" t="s">
        <v>19271</v>
      </c>
      <c r="F1152" t="s">
        <v>31362</v>
      </c>
      <c r="G1152" t="s">
        <v>31369</v>
      </c>
      <c r="H1152" t="s">
        <v>15799</v>
      </c>
      <c r="I1152" t="s">
        <v>3815</v>
      </c>
      <c r="J1152" t="s">
        <v>32371</v>
      </c>
      <c r="K1152" t="s">
        <v>40665</v>
      </c>
      <c r="M1152" t="s">
        <v>41466</v>
      </c>
      <c r="N1152" t="s">
        <v>44905</v>
      </c>
      <c r="O1152" t="s">
        <v>44906</v>
      </c>
      <c r="P1152">
        <v>0</v>
      </c>
      <c r="Q1152">
        <v>0</v>
      </c>
      <c r="R1152" t="s">
        <v>44907</v>
      </c>
      <c r="S1152" t="s">
        <v>45026</v>
      </c>
      <c r="T1152" t="s">
        <v>46481</v>
      </c>
      <c r="U1152" t="s">
        <v>47910</v>
      </c>
      <c r="W1152" t="s">
        <v>41466</v>
      </c>
      <c r="X1152" t="s">
        <v>44908</v>
      </c>
    </row>
    <row r="1153" spans="1:24">
      <c r="A1153">
        <f>HYPERLINK("https://www.philgeps.gov.ph/GEPSNONPILOT/Tender/SplashBidNoticeAbstractUI.aspx?menuIndex=3&amp;refID=7082895&amp;Result=3","7082895")</f>
        <v>0</v>
      </c>
      <c r="B1153" t="s">
        <v>508</v>
      </c>
      <c r="C1153" t="s">
        <v>4630</v>
      </c>
      <c r="D1153" t="s">
        <v>18131</v>
      </c>
      <c r="E1153" t="s">
        <v>19272</v>
      </c>
      <c r="F1153" t="s">
        <v>31362</v>
      </c>
      <c r="G1153" t="s">
        <v>31368</v>
      </c>
      <c r="H1153" t="s">
        <v>15799</v>
      </c>
      <c r="I1153" t="s">
        <v>3815</v>
      </c>
      <c r="J1153" t="s">
        <v>32372</v>
      </c>
      <c r="K1153" t="s">
        <v>40662</v>
      </c>
      <c r="M1153" t="s">
        <v>41463</v>
      </c>
      <c r="N1153" t="s">
        <v>44905</v>
      </c>
      <c r="O1153" t="s">
        <v>44906</v>
      </c>
      <c r="P1153">
        <v>0</v>
      </c>
      <c r="Q1153">
        <v>0</v>
      </c>
      <c r="R1153" t="s">
        <v>44907</v>
      </c>
      <c r="S1153" t="s">
        <v>45026</v>
      </c>
      <c r="T1153" t="s">
        <v>46432</v>
      </c>
      <c r="U1153" t="s">
        <v>47911</v>
      </c>
      <c r="W1153" t="s">
        <v>41463</v>
      </c>
      <c r="X1153" t="s">
        <v>44908</v>
      </c>
    </row>
    <row r="1154" spans="1:24">
      <c r="A1154">
        <f>HYPERLINK("https://www.philgeps.gov.ph/GEPSNONPILOT/Tender/SplashBidNoticeAbstractUI.aspx?menuIndex=3&amp;refID=7082900&amp;Result=3","7082900")</f>
        <v>0</v>
      </c>
      <c r="B1154" t="s">
        <v>512</v>
      </c>
      <c r="C1154" t="s">
        <v>4631</v>
      </c>
      <c r="D1154" t="s">
        <v>18108</v>
      </c>
      <c r="E1154" t="s">
        <v>19273</v>
      </c>
      <c r="F1154" t="s">
        <v>31362</v>
      </c>
      <c r="G1154" t="s">
        <v>31368</v>
      </c>
      <c r="H1154" t="s">
        <v>15799</v>
      </c>
      <c r="I1154" t="s">
        <v>31413</v>
      </c>
      <c r="J1154" t="s">
        <v>31734</v>
      </c>
      <c r="K1154" t="s">
        <v>40682</v>
      </c>
      <c r="M1154" t="s">
        <v>41467</v>
      </c>
      <c r="N1154" t="s">
        <v>44905</v>
      </c>
      <c r="O1154" t="s">
        <v>44906</v>
      </c>
      <c r="P1154">
        <v>0</v>
      </c>
      <c r="Q1154">
        <v>0</v>
      </c>
      <c r="R1154" t="s">
        <v>44907</v>
      </c>
      <c r="S1154" t="s">
        <v>45026</v>
      </c>
      <c r="T1154" t="s">
        <v>46548</v>
      </c>
      <c r="U1154" t="s">
        <v>47912</v>
      </c>
      <c r="V1154" t="s">
        <v>59190</v>
      </c>
      <c r="W1154" t="s">
        <v>41467</v>
      </c>
      <c r="X1154" t="s">
        <v>44908</v>
      </c>
    </row>
    <row r="1155" spans="1:24">
      <c r="A1155">
        <f>HYPERLINK("https://www.philgeps.gov.ph/GEPSNONPILOT/Tender/SplashBidNoticeAbstractUI.aspx?menuIndex=3&amp;refID=7082894&amp;Result=3","7082894")</f>
        <v>0</v>
      </c>
      <c r="B1155" t="s">
        <v>513</v>
      </c>
      <c r="C1155" t="s">
        <v>4632</v>
      </c>
      <c r="D1155" t="s">
        <v>18141</v>
      </c>
      <c r="E1155" t="s">
        <v>19274</v>
      </c>
      <c r="F1155" t="s">
        <v>31362</v>
      </c>
      <c r="G1155" t="s">
        <v>31369</v>
      </c>
      <c r="H1155" t="s">
        <v>31378</v>
      </c>
      <c r="I1155" t="s">
        <v>31386</v>
      </c>
      <c r="J1155" t="s">
        <v>32373</v>
      </c>
      <c r="K1155" t="s">
        <v>40665</v>
      </c>
      <c r="M1155" t="s">
        <v>41468</v>
      </c>
      <c r="N1155" t="s">
        <v>44905</v>
      </c>
      <c r="O1155" t="s">
        <v>44906</v>
      </c>
      <c r="P1155">
        <v>0</v>
      </c>
      <c r="Q1155">
        <v>0</v>
      </c>
      <c r="R1155" t="s">
        <v>44907</v>
      </c>
      <c r="S1155" t="s">
        <v>45026</v>
      </c>
      <c r="T1155" t="s">
        <v>46431</v>
      </c>
      <c r="U1155" t="s">
        <v>47913</v>
      </c>
      <c r="W1155" t="s">
        <v>41468</v>
      </c>
      <c r="X1155" t="s">
        <v>44908</v>
      </c>
    </row>
    <row r="1156" spans="1:24">
      <c r="A1156">
        <f>HYPERLINK("https://www.philgeps.gov.ph/GEPSNONPILOT/Tender/SplashBidNoticeAbstractUI.aspx?menuIndex=3&amp;refID=7082890&amp;Result=3","7082890")</f>
        <v>0</v>
      </c>
      <c r="B1156" t="s">
        <v>443</v>
      </c>
      <c r="C1156" t="s">
        <v>4633</v>
      </c>
      <c r="D1156" t="s">
        <v>18131</v>
      </c>
      <c r="E1156" t="s">
        <v>19275</v>
      </c>
      <c r="F1156" t="s">
        <v>31362</v>
      </c>
      <c r="G1156" t="s">
        <v>31368</v>
      </c>
      <c r="H1156" t="s">
        <v>15799</v>
      </c>
      <c r="I1156" t="s">
        <v>13635</v>
      </c>
      <c r="J1156" t="s">
        <v>32374</v>
      </c>
      <c r="K1156" t="s">
        <v>40662</v>
      </c>
      <c r="L1156" t="s">
        <v>443</v>
      </c>
      <c r="M1156" t="s">
        <v>41396</v>
      </c>
      <c r="N1156" t="s">
        <v>44905</v>
      </c>
      <c r="O1156" t="s">
        <v>44906</v>
      </c>
      <c r="P1156">
        <v>0</v>
      </c>
      <c r="Q1156">
        <v>1</v>
      </c>
      <c r="R1156" t="s">
        <v>44907</v>
      </c>
      <c r="S1156" t="s">
        <v>45026</v>
      </c>
      <c r="T1156" t="s">
        <v>46454</v>
      </c>
      <c r="U1156" t="s">
        <v>47726</v>
      </c>
      <c r="W1156" t="s">
        <v>41396</v>
      </c>
      <c r="X1156" t="s">
        <v>44908</v>
      </c>
    </row>
    <row r="1157" spans="1:24">
      <c r="A1157">
        <f>HYPERLINK("https://www.philgeps.gov.ph/GEPSNONPILOT/Tender/SplashBidNoticeAbstractUI.aspx?menuIndex=3&amp;refID=7082915&amp;Result=3","7082915")</f>
        <v>0</v>
      </c>
      <c r="B1157" t="s">
        <v>509</v>
      </c>
      <c r="C1157" t="s">
        <v>4634</v>
      </c>
      <c r="D1157" t="s">
        <v>18163</v>
      </c>
      <c r="E1157" t="s">
        <v>19276</v>
      </c>
      <c r="F1157" t="s">
        <v>31362</v>
      </c>
      <c r="G1157" t="s">
        <v>31369</v>
      </c>
      <c r="H1157" t="s">
        <v>15799</v>
      </c>
      <c r="I1157" t="s">
        <v>3815</v>
      </c>
      <c r="J1157" t="s">
        <v>32375</v>
      </c>
      <c r="K1157" t="s">
        <v>40682</v>
      </c>
      <c r="L1157" t="s">
        <v>509</v>
      </c>
      <c r="M1157" t="s">
        <v>41464</v>
      </c>
      <c r="N1157" t="s">
        <v>44905</v>
      </c>
      <c r="O1157" t="s">
        <v>44906</v>
      </c>
      <c r="P1157">
        <v>0</v>
      </c>
      <c r="Q1157">
        <v>0</v>
      </c>
      <c r="R1157" t="s">
        <v>44907</v>
      </c>
      <c r="S1157" t="s">
        <v>45026</v>
      </c>
      <c r="T1157" t="s">
        <v>46511</v>
      </c>
      <c r="U1157" t="s">
        <v>47914</v>
      </c>
      <c r="V1157" t="s">
        <v>59189</v>
      </c>
      <c r="W1157" t="s">
        <v>41464</v>
      </c>
      <c r="X1157" t="s">
        <v>44908</v>
      </c>
    </row>
    <row r="1158" spans="1:24">
      <c r="A1158">
        <f>HYPERLINK("https://www.philgeps.gov.ph/GEPSNONPILOT/Tender/SplashBidNoticeAbstractUI.aspx?menuIndex=3&amp;refID=7082913&amp;Result=3","7082913")</f>
        <v>0</v>
      </c>
      <c r="B1158" t="s">
        <v>509</v>
      </c>
      <c r="C1158" t="s">
        <v>4635</v>
      </c>
      <c r="D1158" t="s">
        <v>18163</v>
      </c>
      <c r="E1158" t="s">
        <v>19277</v>
      </c>
      <c r="F1158" t="s">
        <v>31362</v>
      </c>
      <c r="G1158" t="s">
        <v>31369</v>
      </c>
      <c r="H1158" t="s">
        <v>15799</v>
      </c>
      <c r="I1158" t="s">
        <v>31409</v>
      </c>
      <c r="J1158" t="s">
        <v>32376</v>
      </c>
      <c r="K1158" t="s">
        <v>40665</v>
      </c>
      <c r="L1158" t="s">
        <v>509</v>
      </c>
      <c r="M1158" t="s">
        <v>41464</v>
      </c>
      <c r="N1158" t="s">
        <v>44905</v>
      </c>
      <c r="O1158" t="s">
        <v>44906</v>
      </c>
      <c r="P1158">
        <v>0</v>
      </c>
      <c r="Q1158">
        <v>3</v>
      </c>
      <c r="R1158" t="s">
        <v>44907</v>
      </c>
      <c r="S1158" t="s">
        <v>45026</v>
      </c>
      <c r="T1158" t="s">
        <v>46511</v>
      </c>
      <c r="U1158" t="s">
        <v>47915</v>
      </c>
      <c r="V1158" t="s">
        <v>59189</v>
      </c>
      <c r="W1158" t="s">
        <v>41464</v>
      </c>
      <c r="X1158" t="s">
        <v>44908</v>
      </c>
    </row>
    <row r="1159" spans="1:24">
      <c r="A1159">
        <f>HYPERLINK("https://www.philgeps.gov.ph/GEPSNONPILOT/Tender/SplashBidNoticeAbstractUI.aspx?menuIndex=3&amp;refID=7082942&amp;Result=3","7082942")</f>
        <v>0</v>
      </c>
      <c r="B1159" t="s">
        <v>514</v>
      </c>
      <c r="C1159" t="s">
        <v>4636</v>
      </c>
      <c r="E1159" t="s">
        <v>19278</v>
      </c>
      <c r="F1159" t="s">
        <v>31362</v>
      </c>
      <c r="G1159" t="s">
        <v>31368</v>
      </c>
      <c r="H1159" t="s">
        <v>15799</v>
      </c>
      <c r="I1159" t="s">
        <v>31380</v>
      </c>
      <c r="J1159" t="s">
        <v>32377</v>
      </c>
      <c r="K1159" t="s">
        <v>40662</v>
      </c>
      <c r="M1159" t="s">
        <v>41469</v>
      </c>
      <c r="N1159" t="s">
        <v>44905</v>
      </c>
      <c r="O1159" t="s">
        <v>44906</v>
      </c>
      <c r="P1159">
        <v>0</v>
      </c>
      <c r="Q1159">
        <v>6</v>
      </c>
      <c r="R1159" t="s">
        <v>44907</v>
      </c>
      <c r="S1159" t="s">
        <v>45026</v>
      </c>
      <c r="T1159" t="s">
        <v>46447</v>
      </c>
      <c r="U1159" t="s">
        <v>47916</v>
      </c>
      <c r="W1159" t="s">
        <v>60856</v>
      </c>
      <c r="X1159" t="s">
        <v>44908</v>
      </c>
    </row>
    <row r="1160" spans="1:24">
      <c r="A1160">
        <f>HYPERLINK("https://www.philgeps.gov.ph/GEPSNONPILOT/Tender/SplashBidNoticeAbstractUI.aspx?menuIndex=3&amp;refID=7082941&amp;Result=3","7082941")</f>
        <v>0</v>
      </c>
      <c r="B1160" t="s">
        <v>452</v>
      </c>
      <c r="C1160" t="s">
        <v>4637</v>
      </c>
      <c r="D1160" t="s">
        <v>18122</v>
      </c>
      <c r="E1160" t="s">
        <v>19279</v>
      </c>
      <c r="F1160" t="s">
        <v>31362</v>
      </c>
      <c r="G1160" t="s">
        <v>31368</v>
      </c>
      <c r="H1160" t="s">
        <v>15799</v>
      </c>
      <c r="I1160" t="s">
        <v>6373</v>
      </c>
      <c r="J1160" t="s">
        <v>32378</v>
      </c>
      <c r="K1160" t="s">
        <v>40665</v>
      </c>
      <c r="M1160" t="s">
        <v>41439</v>
      </c>
      <c r="N1160" t="s">
        <v>44905</v>
      </c>
      <c r="O1160" t="s">
        <v>44906</v>
      </c>
      <c r="P1160">
        <v>0</v>
      </c>
      <c r="Q1160">
        <v>1</v>
      </c>
      <c r="R1160" t="s">
        <v>44907</v>
      </c>
      <c r="S1160" t="s">
        <v>45026</v>
      </c>
      <c r="T1160" t="s">
        <v>46470</v>
      </c>
      <c r="U1160" t="s">
        <v>47846</v>
      </c>
      <c r="W1160" t="s">
        <v>41439</v>
      </c>
      <c r="X1160" t="s">
        <v>44908</v>
      </c>
    </row>
    <row r="1161" spans="1:24">
      <c r="A1161">
        <f>HYPERLINK("https://www.philgeps.gov.ph/GEPSNONPILOT/Tender/SplashBidNoticeAbstractUI.aspx?menuIndex=3&amp;refID=7082940&amp;Result=3","7082940")</f>
        <v>0</v>
      </c>
      <c r="B1161" t="s">
        <v>497</v>
      </c>
      <c r="C1161" t="s">
        <v>4638</v>
      </c>
      <c r="D1161" t="s">
        <v>18181</v>
      </c>
      <c r="E1161" t="s">
        <v>19280</v>
      </c>
      <c r="F1161" t="s">
        <v>31362</v>
      </c>
      <c r="G1161" t="s">
        <v>31369</v>
      </c>
      <c r="H1161" t="s">
        <v>15799</v>
      </c>
      <c r="I1161" t="s">
        <v>3815</v>
      </c>
      <c r="J1161" t="s">
        <v>32379</v>
      </c>
      <c r="K1161" t="s">
        <v>40662</v>
      </c>
      <c r="M1161" t="s">
        <v>41452</v>
      </c>
      <c r="N1161" t="s">
        <v>44905</v>
      </c>
      <c r="O1161" t="s">
        <v>44906</v>
      </c>
      <c r="P1161">
        <v>0</v>
      </c>
      <c r="Q1161">
        <v>0</v>
      </c>
      <c r="R1161" t="s">
        <v>44907</v>
      </c>
      <c r="S1161" t="s">
        <v>45026</v>
      </c>
      <c r="T1161" t="s">
        <v>46408</v>
      </c>
      <c r="U1161" t="s">
        <v>47917</v>
      </c>
      <c r="W1161" t="s">
        <v>41452</v>
      </c>
      <c r="X1161" t="s">
        <v>44908</v>
      </c>
    </row>
    <row r="1162" spans="1:24">
      <c r="A1162">
        <f>HYPERLINK("https://www.philgeps.gov.ph/GEPSNONPILOT/Tender/SplashBidNoticeAbstractUI.aspx?menuIndex=3&amp;refID=7082934&amp;Result=3","7082934")</f>
        <v>0</v>
      </c>
      <c r="B1162" t="s">
        <v>273</v>
      </c>
      <c r="C1162" t="s">
        <v>4639</v>
      </c>
      <c r="D1162" t="s">
        <v>18108</v>
      </c>
      <c r="E1162" t="s">
        <v>19281</v>
      </c>
      <c r="F1162" t="s">
        <v>31362</v>
      </c>
      <c r="G1162" t="s">
        <v>31370</v>
      </c>
      <c r="H1162" t="s">
        <v>15799</v>
      </c>
      <c r="I1162" t="s">
        <v>7719</v>
      </c>
      <c r="J1162" t="s">
        <v>32380</v>
      </c>
      <c r="K1162" t="s">
        <v>40666</v>
      </c>
      <c r="M1162" t="s">
        <v>41215</v>
      </c>
      <c r="N1162" t="s">
        <v>44905</v>
      </c>
      <c r="O1162" t="s">
        <v>44906</v>
      </c>
      <c r="P1162">
        <v>0</v>
      </c>
      <c r="Q1162">
        <v>8</v>
      </c>
      <c r="R1162" t="s">
        <v>44907</v>
      </c>
      <c r="S1162" t="s">
        <v>45026</v>
      </c>
      <c r="T1162" t="s">
        <v>46410</v>
      </c>
      <c r="U1162" t="s">
        <v>47918</v>
      </c>
      <c r="V1162" t="s">
        <v>59142</v>
      </c>
      <c r="W1162" t="s">
        <v>60844</v>
      </c>
      <c r="X1162" t="s">
        <v>44908</v>
      </c>
    </row>
    <row r="1163" spans="1:24">
      <c r="A1163">
        <f>HYPERLINK("https://www.philgeps.gov.ph/GEPSNONPILOT/Tender/SplashBidNoticeAbstractUI.aspx?menuIndex=3&amp;refID=7082910&amp;Result=3","7082910")</f>
        <v>0</v>
      </c>
      <c r="B1163" t="s">
        <v>515</v>
      </c>
      <c r="C1163" t="s">
        <v>4640</v>
      </c>
      <c r="D1163" t="s">
        <v>18109</v>
      </c>
      <c r="E1163" t="s">
        <v>19282</v>
      </c>
      <c r="F1163" t="s">
        <v>31362</v>
      </c>
      <c r="G1163" t="s">
        <v>31368</v>
      </c>
      <c r="H1163" t="s">
        <v>31378</v>
      </c>
      <c r="I1163" t="s">
        <v>31386</v>
      </c>
      <c r="J1163" t="s">
        <v>32381</v>
      </c>
      <c r="K1163" t="s">
        <v>40720</v>
      </c>
      <c r="M1163" t="s">
        <v>41470</v>
      </c>
      <c r="N1163" t="s">
        <v>44905</v>
      </c>
      <c r="O1163" t="s">
        <v>44906</v>
      </c>
      <c r="P1163">
        <v>0</v>
      </c>
      <c r="Q1163">
        <v>0</v>
      </c>
      <c r="R1163" t="s">
        <v>44907</v>
      </c>
      <c r="S1163" t="s">
        <v>45026</v>
      </c>
      <c r="T1163" t="s">
        <v>46549</v>
      </c>
      <c r="U1163" t="s">
        <v>47919</v>
      </c>
      <c r="W1163" t="s">
        <v>41470</v>
      </c>
      <c r="X1163" t="s">
        <v>44908</v>
      </c>
    </row>
    <row r="1164" spans="1:24">
      <c r="A1164">
        <f>HYPERLINK("https://www.philgeps.gov.ph/GEPSNONPILOT/Tender/SplashBidNoticeAbstractUI.aspx?menuIndex=3&amp;refID=7082933&amp;Result=3","7082933")</f>
        <v>0</v>
      </c>
      <c r="B1164" t="s">
        <v>516</v>
      </c>
      <c r="C1164" t="s">
        <v>4641</v>
      </c>
      <c r="D1164" t="s">
        <v>18111</v>
      </c>
      <c r="E1164" t="s">
        <v>19283</v>
      </c>
      <c r="F1164" t="s">
        <v>31362</v>
      </c>
      <c r="G1164" t="s">
        <v>31368</v>
      </c>
      <c r="H1164" t="s">
        <v>15799</v>
      </c>
      <c r="I1164" t="s">
        <v>31430</v>
      </c>
      <c r="J1164" t="s">
        <v>31604</v>
      </c>
      <c r="K1164" t="s">
        <v>40665</v>
      </c>
      <c r="M1164" t="s">
        <v>41471</v>
      </c>
      <c r="N1164" t="s">
        <v>44905</v>
      </c>
      <c r="O1164" t="s">
        <v>44906</v>
      </c>
      <c r="P1164">
        <v>0</v>
      </c>
      <c r="Q1164">
        <v>1</v>
      </c>
      <c r="R1164" t="s">
        <v>44907</v>
      </c>
      <c r="S1164" t="s">
        <v>45026</v>
      </c>
      <c r="T1164" t="s">
        <v>46459</v>
      </c>
      <c r="U1164" t="s">
        <v>47920</v>
      </c>
      <c r="W1164" t="s">
        <v>41471</v>
      </c>
      <c r="X1164" t="s">
        <v>44908</v>
      </c>
    </row>
    <row r="1165" spans="1:24">
      <c r="A1165">
        <f>HYPERLINK("https://www.philgeps.gov.ph/GEPSNONPILOT/Tender/SplashBidNoticeAbstractUI.aspx?menuIndex=3&amp;refID=7082931&amp;Result=3","7082931")</f>
        <v>0</v>
      </c>
      <c r="B1165" t="s">
        <v>130</v>
      </c>
      <c r="C1165" t="s">
        <v>4642</v>
      </c>
      <c r="D1165" t="s">
        <v>18109</v>
      </c>
      <c r="E1165" t="s">
        <v>4642</v>
      </c>
      <c r="F1165" t="s">
        <v>31362</v>
      </c>
      <c r="G1165" t="s">
        <v>31368</v>
      </c>
      <c r="H1165" t="s">
        <v>31378</v>
      </c>
      <c r="I1165" t="s">
        <v>31449</v>
      </c>
      <c r="J1165" t="s">
        <v>32382</v>
      </c>
      <c r="K1165" t="s">
        <v>40662</v>
      </c>
      <c r="M1165" t="s">
        <v>41472</v>
      </c>
      <c r="N1165" t="s">
        <v>44905</v>
      </c>
      <c r="O1165" t="s">
        <v>44906</v>
      </c>
      <c r="P1165">
        <v>0</v>
      </c>
      <c r="Q1165">
        <v>0</v>
      </c>
      <c r="R1165" t="s">
        <v>44907</v>
      </c>
      <c r="S1165" t="s">
        <v>45026</v>
      </c>
      <c r="T1165" t="s">
        <v>46452</v>
      </c>
      <c r="U1165" t="s">
        <v>47921</v>
      </c>
      <c r="W1165" t="s">
        <v>41472</v>
      </c>
      <c r="X1165" t="s">
        <v>44908</v>
      </c>
    </row>
    <row r="1166" spans="1:24">
      <c r="A1166">
        <f>HYPERLINK("https://www.philgeps.gov.ph/GEPSNONPILOT/Tender/SplashBidNoticeAbstractUI.aspx?menuIndex=3&amp;refID=7082929&amp;Result=3","7082929")</f>
        <v>0</v>
      </c>
      <c r="B1166" t="s">
        <v>509</v>
      </c>
      <c r="C1166" t="s">
        <v>4643</v>
      </c>
      <c r="D1166" t="s">
        <v>18163</v>
      </c>
      <c r="E1166" t="s">
        <v>19284</v>
      </c>
      <c r="F1166" t="s">
        <v>31362</v>
      </c>
      <c r="G1166" t="s">
        <v>31369</v>
      </c>
      <c r="H1166" t="s">
        <v>15799</v>
      </c>
      <c r="I1166" t="s">
        <v>31397</v>
      </c>
      <c r="J1166" t="s">
        <v>32383</v>
      </c>
      <c r="K1166" t="s">
        <v>40666</v>
      </c>
      <c r="L1166" t="s">
        <v>509</v>
      </c>
      <c r="M1166" t="s">
        <v>41464</v>
      </c>
      <c r="N1166" t="s">
        <v>44905</v>
      </c>
      <c r="O1166" t="s">
        <v>44906</v>
      </c>
      <c r="P1166">
        <v>0</v>
      </c>
      <c r="Q1166">
        <v>2</v>
      </c>
      <c r="R1166" t="s">
        <v>44907</v>
      </c>
      <c r="S1166" t="s">
        <v>45026</v>
      </c>
      <c r="T1166" t="s">
        <v>46511</v>
      </c>
      <c r="U1166" t="s">
        <v>47922</v>
      </c>
      <c r="V1166" t="s">
        <v>59189</v>
      </c>
      <c r="W1166" t="s">
        <v>41464</v>
      </c>
      <c r="X1166" t="s">
        <v>44908</v>
      </c>
    </row>
    <row r="1167" spans="1:24">
      <c r="A1167">
        <f>HYPERLINK("https://www.philgeps.gov.ph/GEPSNONPILOT/Tender/SplashBidNoticeAbstractUI.aspx?menuIndex=3&amp;refID=7082928&amp;Result=3","7082928")</f>
        <v>0</v>
      </c>
      <c r="B1167" t="s">
        <v>452</v>
      </c>
      <c r="C1167" t="s">
        <v>4644</v>
      </c>
      <c r="D1167" t="s">
        <v>18122</v>
      </c>
      <c r="E1167" t="s">
        <v>19285</v>
      </c>
      <c r="F1167" t="s">
        <v>31362</v>
      </c>
      <c r="G1167" t="s">
        <v>31368</v>
      </c>
      <c r="H1167" t="s">
        <v>15799</v>
      </c>
      <c r="I1167" t="s">
        <v>31465</v>
      </c>
      <c r="J1167" t="s">
        <v>32384</v>
      </c>
      <c r="K1167" t="s">
        <v>40665</v>
      </c>
      <c r="M1167" t="s">
        <v>41439</v>
      </c>
      <c r="N1167" t="s">
        <v>44905</v>
      </c>
      <c r="O1167" t="s">
        <v>44906</v>
      </c>
      <c r="P1167">
        <v>0</v>
      </c>
      <c r="Q1167">
        <v>2</v>
      </c>
      <c r="R1167" t="s">
        <v>44907</v>
      </c>
      <c r="S1167" t="s">
        <v>45026</v>
      </c>
      <c r="T1167" t="s">
        <v>46470</v>
      </c>
      <c r="U1167" t="s">
        <v>47846</v>
      </c>
      <c r="W1167" t="s">
        <v>41439</v>
      </c>
      <c r="X1167" t="s">
        <v>44908</v>
      </c>
    </row>
    <row r="1168" spans="1:24">
      <c r="A1168">
        <f>HYPERLINK("https://www.philgeps.gov.ph/GEPSNONPILOT/Tender/SplashBidNoticeAbstractUI.aspx?menuIndex=3&amp;refID=7082950&amp;Result=3","7082950")</f>
        <v>0</v>
      </c>
      <c r="B1168" t="s">
        <v>517</v>
      </c>
      <c r="C1168" t="s">
        <v>4645</v>
      </c>
      <c r="D1168" t="s">
        <v>18117</v>
      </c>
      <c r="E1168" t="s">
        <v>19286</v>
      </c>
      <c r="F1168" t="s">
        <v>31362</v>
      </c>
      <c r="G1168" t="s">
        <v>31369</v>
      </c>
      <c r="H1168" t="s">
        <v>31378</v>
      </c>
      <c r="I1168" t="s">
        <v>31435</v>
      </c>
      <c r="J1168" t="s">
        <v>32385</v>
      </c>
      <c r="K1168" t="s">
        <v>40679</v>
      </c>
      <c r="M1168" t="s">
        <v>41473</v>
      </c>
      <c r="N1168" t="s">
        <v>44905</v>
      </c>
      <c r="O1168" t="s">
        <v>44906</v>
      </c>
      <c r="P1168">
        <v>0</v>
      </c>
      <c r="Q1168">
        <v>0</v>
      </c>
      <c r="R1168" t="s">
        <v>44907</v>
      </c>
      <c r="S1168" t="s">
        <v>45026</v>
      </c>
      <c r="T1168" t="s">
        <v>46504</v>
      </c>
      <c r="U1168" t="s">
        <v>47923</v>
      </c>
      <c r="W1168" t="s">
        <v>41473</v>
      </c>
      <c r="X1168" t="s">
        <v>44908</v>
      </c>
    </row>
    <row r="1169" spans="1:24">
      <c r="A1169">
        <f>HYPERLINK("https://www.philgeps.gov.ph/GEPSNONPILOT/Tender/SplashBidNoticeAbstractUI.aspx?menuIndex=3&amp;refID=7082949&amp;Result=3","7082949")</f>
        <v>0</v>
      </c>
      <c r="B1169" t="s">
        <v>378</v>
      </c>
      <c r="C1169" t="s">
        <v>4646</v>
      </c>
      <c r="D1169" t="s">
        <v>18156</v>
      </c>
      <c r="E1169" t="s">
        <v>19287</v>
      </c>
      <c r="F1169" t="s">
        <v>31362</v>
      </c>
      <c r="G1169" t="s">
        <v>31370</v>
      </c>
      <c r="H1169" t="s">
        <v>15799</v>
      </c>
      <c r="I1169" t="s">
        <v>31430</v>
      </c>
      <c r="J1169" t="s">
        <v>32386</v>
      </c>
      <c r="K1169" t="s">
        <v>40661</v>
      </c>
      <c r="M1169" t="s">
        <v>41325</v>
      </c>
      <c r="N1169" t="s">
        <v>44905</v>
      </c>
      <c r="O1169" t="s">
        <v>44906</v>
      </c>
      <c r="P1169">
        <v>0</v>
      </c>
      <c r="Q1169">
        <v>1</v>
      </c>
      <c r="R1169" t="s">
        <v>44907</v>
      </c>
      <c r="S1169" t="s">
        <v>45026</v>
      </c>
      <c r="T1169" t="s">
        <v>46434</v>
      </c>
      <c r="U1169" t="s">
        <v>47924</v>
      </c>
      <c r="W1169" t="s">
        <v>41325</v>
      </c>
      <c r="X1169" t="s">
        <v>44908</v>
      </c>
    </row>
    <row r="1170" spans="1:24">
      <c r="A1170">
        <f>HYPERLINK("https://www.philgeps.gov.ph/GEPSNONPILOT/Tender/SplashBidNoticeAbstractUI.aspx?menuIndex=3&amp;refID=7082948&amp;Result=3","7082948")</f>
        <v>0</v>
      </c>
      <c r="B1170" t="s">
        <v>518</v>
      </c>
      <c r="C1170" t="s">
        <v>4647</v>
      </c>
      <c r="D1170" t="s">
        <v>18131</v>
      </c>
      <c r="E1170" t="s">
        <v>19288</v>
      </c>
      <c r="F1170" t="s">
        <v>31362</v>
      </c>
      <c r="G1170" t="s">
        <v>31369</v>
      </c>
      <c r="H1170" t="s">
        <v>15799</v>
      </c>
      <c r="I1170" t="s">
        <v>6865</v>
      </c>
      <c r="J1170" t="s">
        <v>32387</v>
      </c>
      <c r="K1170" t="s">
        <v>40662</v>
      </c>
      <c r="M1170" t="s">
        <v>41474</v>
      </c>
      <c r="N1170" t="s">
        <v>44905</v>
      </c>
      <c r="O1170" t="s">
        <v>44906</v>
      </c>
      <c r="P1170">
        <v>0</v>
      </c>
      <c r="Q1170">
        <v>6</v>
      </c>
      <c r="R1170" t="s">
        <v>44907</v>
      </c>
      <c r="S1170" t="s">
        <v>45026</v>
      </c>
      <c r="T1170" t="s">
        <v>46392</v>
      </c>
      <c r="U1170" t="s">
        <v>47925</v>
      </c>
      <c r="W1170" t="s">
        <v>41474</v>
      </c>
      <c r="X1170" t="s">
        <v>44908</v>
      </c>
    </row>
    <row r="1171" spans="1:24">
      <c r="A1171">
        <f>HYPERLINK("https://www.philgeps.gov.ph/GEPSNONPILOT/Tender/SplashBidNoticeAbstractUI.aspx?menuIndex=3&amp;refID=7082945&amp;Result=3","7082945")</f>
        <v>0</v>
      </c>
      <c r="B1171" t="s">
        <v>175</v>
      </c>
      <c r="C1171" t="s">
        <v>4648</v>
      </c>
      <c r="D1171" t="s">
        <v>18153</v>
      </c>
      <c r="E1171" t="s">
        <v>19289</v>
      </c>
      <c r="F1171" t="s">
        <v>31362</v>
      </c>
      <c r="G1171" t="s">
        <v>31370</v>
      </c>
      <c r="H1171" t="s">
        <v>15799</v>
      </c>
      <c r="I1171" t="s">
        <v>3815</v>
      </c>
      <c r="J1171" t="s">
        <v>32388</v>
      </c>
      <c r="K1171" t="s">
        <v>40661</v>
      </c>
      <c r="L1171" t="s">
        <v>175</v>
      </c>
      <c r="M1171" t="s">
        <v>41113</v>
      </c>
      <c r="N1171" t="s">
        <v>44905</v>
      </c>
      <c r="O1171" t="s">
        <v>44906</v>
      </c>
      <c r="P1171">
        <v>0</v>
      </c>
      <c r="Q1171">
        <v>0</v>
      </c>
      <c r="R1171" t="s">
        <v>44907</v>
      </c>
      <c r="S1171" t="s">
        <v>45026</v>
      </c>
      <c r="T1171" t="s">
        <v>46507</v>
      </c>
      <c r="U1171" t="s">
        <v>47926</v>
      </c>
      <c r="V1171" t="s">
        <v>59090</v>
      </c>
      <c r="W1171" t="s">
        <v>41113</v>
      </c>
      <c r="X1171" t="s">
        <v>44908</v>
      </c>
    </row>
    <row r="1172" spans="1:24">
      <c r="A1172">
        <f>HYPERLINK("https://www.philgeps.gov.ph/GEPSNONPILOT/Tender/SplashBidNoticeAbstractUI.aspx?menuIndex=3&amp;refID=7082939&amp;Result=3","7082939")</f>
        <v>0</v>
      </c>
      <c r="B1172" t="s">
        <v>510</v>
      </c>
      <c r="C1172" t="s">
        <v>4626</v>
      </c>
      <c r="D1172" t="s">
        <v>18158</v>
      </c>
      <c r="E1172" t="s">
        <v>18475</v>
      </c>
      <c r="F1172" t="s">
        <v>31362</v>
      </c>
      <c r="G1172" t="s">
        <v>31372</v>
      </c>
      <c r="H1172" t="s">
        <v>15799</v>
      </c>
      <c r="I1172" t="s">
        <v>31456</v>
      </c>
      <c r="J1172" t="s">
        <v>31575</v>
      </c>
      <c r="K1172" t="s">
        <v>40665</v>
      </c>
      <c r="M1172" t="s">
        <v>41465</v>
      </c>
      <c r="N1172" t="s">
        <v>44905</v>
      </c>
      <c r="O1172" t="s">
        <v>44906</v>
      </c>
      <c r="P1172">
        <v>0</v>
      </c>
      <c r="Q1172">
        <v>1</v>
      </c>
      <c r="R1172" t="s">
        <v>44907</v>
      </c>
      <c r="S1172" t="s">
        <v>45026</v>
      </c>
      <c r="T1172" t="s">
        <v>46397</v>
      </c>
      <c r="U1172" t="s">
        <v>47927</v>
      </c>
      <c r="W1172" t="s">
        <v>41465</v>
      </c>
      <c r="X1172" t="s">
        <v>44908</v>
      </c>
    </row>
    <row r="1173" spans="1:24">
      <c r="A1173">
        <f>HYPERLINK("https://www.philgeps.gov.ph/GEPSNONPILOT/Tender/SplashBidNoticeAbstractUI.aspx?menuIndex=3&amp;refID=7082926&amp;Result=3","7082926")</f>
        <v>0</v>
      </c>
      <c r="B1173" t="s">
        <v>500</v>
      </c>
      <c r="C1173" t="s">
        <v>4649</v>
      </c>
      <c r="D1173" t="s">
        <v>18165</v>
      </c>
      <c r="E1173" t="s">
        <v>19290</v>
      </c>
      <c r="F1173" t="s">
        <v>31362</v>
      </c>
      <c r="G1173" t="s">
        <v>31371</v>
      </c>
      <c r="H1173" t="s">
        <v>15799</v>
      </c>
      <c r="I1173" t="s">
        <v>31385</v>
      </c>
      <c r="J1173" t="s">
        <v>32389</v>
      </c>
      <c r="K1173" t="s">
        <v>40670</v>
      </c>
      <c r="M1173" t="s">
        <v>41455</v>
      </c>
      <c r="N1173" t="s">
        <v>44905</v>
      </c>
      <c r="O1173" t="s">
        <v>44906</v>
      </c>
      <c r="P1173">
        <v>0</v>
      </c>
      <c r="Q1173">
        <v>0</v>
      </c>
      <c r="R1173" t="s">
        <v>44907</v>
      </c>
      <c r="S1173" t="s">
        <v>45026</v>
      </c>
      <c r="T1173" t="s">
        <v>46432</v>
      </c>
      <c r="U1173" t="s">
        <v>47883</v>
      </c>
      <c r="W1173" t="s">
        <v>41455</v>
      </c>
      <c r="X1173" t="s">
        <v>44908</v>
      </c>
    </row>
    <row r="1174" spans="1:24">
      <c r="A1174">
        <f>HYPERLINK("https://www.philgeps.gov.ph/GEPSNONPILOT/Tender/SplashBidNoticeAbstractUI.aspx?menuIndex=3&amp;refID=7082921&amp;Result=3","7082921")</f>
        <v>0</v>
      </c>
      <c r="B1174" t="s">
        <v>509</v>
      </c>
      <c r="C1174" t="s">
        <v>4650</v>
      </c>
      <c r="D1174" t="s">
        <v>18163</v>
      </c>
      <c r="E1174" t="s">
        <v>19291</v>
      </c>
      <c r="F1174" t="s">
        <v>31362</v>
      </c>
      <c r="G1174" t="s">
        <v>31369</v>
      </c>
      <c r="H1174" t="s">
        <v>31378</v>
      </c>
      <c r="I1174" t="s">
        <v>31386</v>
      </c>
      <c r="J1174" t="s">
        <v>32390</v>
      </c>
      <c r="K1174" t="s">
        <v>40721</v>
      </c>
      <c r="L1174" t="s">
        <v>509</v>
      </c>
      <c r="M1174" t="s">
        <v>41464</v>
      </c>
      <c r="N1174" t="s">
        <v>44905</v>
      </c>
      <c r="O1174" t="s">
        <v>44906</v>
      </c>
      <c r="P1174">
        <v>0</v>
      </c>
      <c r="Q1174">
        <v>0</v>
      </c>
      <c r="R1174" t="s">
        <v>44907</v>
      </c>
      <c r="S1174" t="s">
        <v>45026</v>
      </c>
      <c r="T1174" t="s">
        <v>46511</v>
      </c>
      <c r="U1174" t="s">
        <v>47928</v>
      </c>
      <c r="V1174" t="s">
        <v>59189</v>
      </c>
      <c r="W1174" t="s">
        <v>41464</v>
      </c>
      <c r="X1174" t="s">
        <v>44908</v>
      </c>
    </row>
    <row r="1175" spans="1:24">
      <c r="A1175">
        <f>HYPERLINK("https://www.philgeps.gov.ph/GEPSNONPILOT/Tender/SplashBidNoticeAbstractUI.aspx?menuIndex=3&amp;refID=7082951&amp;Result=3","7082951")</f>
        <v>0</v>
      </c>
      <c r="B1175" t="s">
        <v>196</v>
      </c>
      <c r="C1175" t="s">
        <v>4651</v>
      </c>
      <c r="D1175" t="s">
        <v>18157</v>
      </c>
      <c r="E1175" t="s">
        <v>19292</v>
      </c>
      <c r="F1175" t="s">
        <v>31362</v>
      </c>
      <c r="G1175" t="s">
        <v>31368</v>
      </c>
      <c r="H1175" t="s">
        <v>15799</v>
      </c>
      <c r="I1175" t="s">
        <v>31414</v>
      </c>
      <c r="J1175" t="s">
        <v>31724</v>
      </c>
      <c r="K1175" t="s">
        <v>40665</v>
      </c>
      <c r="M1175" t="s">
        <v>41135</v>
      </c>
      <c r="N1175" t="s">
        <v>44905</v>
      </c>
      <c r="O1175" t="s">
        <v>44906</v>
      </c>
      <c r="P1175">
        <v>0</v>
      </c>
      <c r="Q1175">
        <v>1</v>
      </c>
      <c r="R1175" t="s">
        <v>44907</v>
      </c>
      <c r="S1175" t="s">
        <v>45026</v>
      </c>
      <c r="T1175" t="s">
        <v>46447</v>
      </c>
      <c r="U1175" t="s">
        <v>47929</v>
      </c>
      <c r="W1175" t="s">
        <v>41135</v>
      </c>
      <c r="X1175" t="s">
        <v>44908</v>
      </c>
    </row>
    <row r="1176" spans="1:24">
      <c r="A1176">
        <f>HYPERLINK("https://www.philgeps.gov.ph/GEPSNONPILOT/Tender/SplashBidNoticeAbstractUI.aspx?menuIndex=3&amp;refID=7082944&amp;Result=3","7082944")</f>
        <v>0</v>
      </c>
      <c r="B1176" t="s">
        <v>363</v>
      </c>
      <c r="C1176" t="s">
        <v>4652</v>
      </c>
      <c r="D1176" t="s">
        <v>18136</v>
      </c>
      <c r="E1176" t="s">
        <v>19293</v>
      </c>
      <c r="F1176" t="s">
        <v>31362</v>
      </c>
      <c r="G1176" t="s">
        <v>31368</v>
      </c>
      <c r="H1176" t="s">
        <v>15799</v>
      </c>
      <c r="I1176" t="s">
        <v>4283</v>
      </c>
      <c r="J1176" t="s">
        <v>32391</v>
      </c>
      <c r="K1176" t="s">
        <v>40665</v>
      </c>
      <c r="M1176" t="s">
        <v>41310</v>
      </c>
      <c r="N1176" t="s">
        <v>44905</v>
      </c>
      <c r="O1176" t="s">
        <v>44906</v>
      </c>
      <c r="P1176">
        <v>0</v>
      </c>
      <c r="Q1176">
        <v>0</v>
      </c>
      <c r="R1176" t="s">
        <v>44907</v>
      </c>
      <c r="S1176" t="s">
        <v>45026</v>
      </c>
      <c r="T1176" t="s">
        <v>46432</v>
      </c>
      <c r="U1176" t="s">
        <v>47930</v>
      </c>
      <c r="W1176" t="s">
        <v>41310</v>
      </c>
      <c r="X1176" t="s">
        <v>44908</v>
      </c>
    </row>
    <row r="1177" spans="1:24">
      <c r="A1177">
        <f>HYPERLINK("https://www.philgeps.gov.ph/GEPSNONPILOT/Tender/SplashBidNoticeAbstractUI.aspx?menuIndex=3&amp;refID=7082970&amp;Result=3","7082970")</f>
        <v>0</v>
      </c>
      <c r="B1177" t="s">
        <v>231</v>
      </c>
      <c r="C1177" t="s">
        <v>4653</v>
      </c>
      <c r="D1177" t="s">
        <v>18161</v>
      </c>
      <c r="E1177" t="s">
        <v>19294</v>
      </c>
      <c r="F1177" t="s">
        <v>31362</v>
      </c>
      <c r="G1177" t="s">
        <v>31369</v>
      </c>
      <c r="H1177" t="s">
        <v>15799</v>
      </c>
      <c r="I1177" t="s">
        <v>31414</v>
      </c>
      <c r="J1177" t="s">
        <v>32392</v>
      </c>
      <c r="K1177" t="s">
        <v>40686</v>
      </c>
      <c r="M1177" t="s">
        <v>41170</v>
      </c>
      <c r="N1177" t="s">
        <v>44905</v>
      </c>
      <c r="O1177" t="s">
        <v>44906</v>
      </c>
      <c r="P1177">
        <v>0</v>
      </c>
      <c r="Q1177">
        <v>2</v>
      </c>
      <c r="R1177" t="s">
        <v>44907</v>
      </c>
      <c r="S1177" t="s">
        <v>45026</v>
      </c>
      <c r="T1177" t="s">
        <v>46420</v>
      </c>
      <c r="U1177" t="s">
        <v>47931</v>
      </c>
      <c r="V1177" t="s">
        <v>59191</v>
      </c>
      <c r="W1177" t="s">
        <v>41170</v>
      </c>
      <c r="X1177" t="s">
        <v>44908</v>
      </c>
    </row>
    <row r="1178" spans="1:24">
      <c r="A1178">
        <f>HYPERLINK("https://www.philgeps.gov.ph/GEPSNONPILOT/Tender/SplashBidNoticeAbstractUI.aspx?menuIndex=3&amp;refID=7082967&amp;Result=3","7082967")</f>
        <v>0</v>
      </c>
      <c r="B1178" t="s">
        <v>237</v>
      </c>
      <c r="C1178" t="s">
        <v>4654</v>
      </c>
      <c r="D1178" t="s">
        <v>18108</v>
      </c>
      <c r="E1178" t="s">
        <v>19295</v>
      </c>
      <c r="F1178" t="s">
        <v>31362</v>
      </c>
      <c r="G1178" t="s">
        <v>31370</v>
      </c>
      <c r="H1178" t="s">
        <v>15799</v>
      </c>
      <c r="I1178" t="s">
        <v>31380</v>
      </c>
      <c r="J1178" t="s">
        <v>31793</v>
      </c>
      <c r="K1178" t="s">
        <v>40670</v>
      </c>
      <c r="M1178" t="s">
        <v>41330</v>
      </c>
      <c r="N1178" t="s">
        <v>44905</v>
      </c>
      <c r="O1178" t="s">
        <v>44906</v>
      </c>
      <c r="P1178">
        <v>0</v>
      </c>
      <c r="Q1178">
        <v>1</v>
      </c>
      <c r="R1178" t="s">
        <v>44907</v>
      </c>
      <c r="S1178" t="s">
        <v>45026</v>
      </c>
      <c r="T1178" t="s">
        <v>46454</v>
      </c>
      <c r="U1178" t="s">
        <v>47932</v>
      </c>
      <c r="W1178" t="s">
        <v>41330</v>
      </c>
      <c r="X1178" t="s">
        <v>44908</v>
      </c>
    </row>
    <row r="1179" spans="1:24">
      <c r="A1179">
        <f>HYPERLINK("https://www.philgeps.gov.ph/GEPSNONPILOT/Tender/SplashBidNoticeAbstractUI.aspx?menuIndex=3&amp;refID=7082966&amp;Result=3","7082966")</f>
        <v>0</v>
      </c>
      <c r="B1179" t="s">
        <v>519</v>
      </c>
      <c r="C1179" t="s">
        <v>4655</v>
      </c>
      <c r="D1179" t="s">
        <v>18182</v>
      </c>
      <c r="E1179" t="s">
        <v>19296</v>
      </c>
      <c r="F1179" t="s">
        <v>31362</v>
      </c>
      <c r="G1179" t="s">
        <v>31368</v>
      </c>
      <c r="H1179" t="s">
        <v>15799</v>
      </c>
      <c r="I1179" t="s">
        <v>31397</v>
      </c>
      <c r="J1179" t="s">
        <v>32393</v>
      </c>
      <c r="K1179" t="s">
        <v>40665</v>
      </c>
      <c r="M1179" t="s">
        <v>41475</v>
      </c>
      <c r="N1179" t="s">
        <v>44905</v>
      </c>
      <c r="O1179" t="s">
        <v>44906</v>
      </c>
      <c r="P1179">
        <v>0</v>
      </c>
      <c r="Q1179">
        <v>0</v>
      </c>
      <c r="R1179" t="s">
        <v>44907</v>
      </c>
      <c r="S1179" t="s">
        <v>45026</v>
      </c>
      <c r="T1179" t="s">
        <v>46434</v>
      </c>
      <c r="U1179" t="s">
        <v>47933</v>
      </c>
      <c r="W1179" t="s">
        <v>41475</v>
      </c>
      <c r="X1179" t="s">
        <v>44908</v>
      </c>
    </row>
    <row r="1180" spans="1:24">
      <c r="A1180">
        <f>HYPERLINK("https://www.philgeps.gov.ph/GEPSNONPILOT/Tender/SplashBidNoticeAbstractUI.aspx?menuIndex=3&amp;refID=7082964&amp;Result=3","7082964")</f>
        <v>0</v>
      </c>
      <c r="B1180" t="s">
        <v>175</v>
      </c>
      <c r="C1180" t="s">
        <v>4656</v>
      </c>
      <c r="D1180" t="s">
        <v>18153</v>
      </c>
      <c r="E1180" t="s">
        <v>19297</v>
      </c>
      <c r="F1180" t="s">
        <v>31362</v>
      </c>
      <c r="G1180" t="s">
        <v>31370</v>
      </c>
      <c r="H1180" t="s">
        <v>15799</v>
      </c>
      <c r="I1180" t="s">
        <v>31383</v>
      </c>
      <c r="J1180" t="s">
        <v>32394</v>
      </c>
      <c r="K1180" t="s">
        <v>40661</v>
      </c>
      <c r="L1180" t="s">
        <v>175</v>
      </c>
      <c r="M1180" t="s">
        <v>41113</v>
      </c>
      <c r="N1180" t="s">
        <v>44905</v>
      </c>
      <c r="O1180" t="s">
        <v>44906</v>
      </c>
      <c r="P1180">
        <v>0</v>
      </c>
      <c r="Q1180">
        <v>0</v>
      </c>
      <c r="R1180" t="s">
        <v>44907</v>
      </c>
      <c r="S1180" t="s">
        <v>45026</v>
      </c>
      <c r="T1180" t="s">
        <v>46428</v>
      </c>
      <c r="U1180" t="s">
        <v>47934</v>
      </c>
      <c r="V1180" t="s">
        <v>59090</v>
      </c>
      <c r="W1180" t="s">
        <v>41113</v>
      </c>
      <c r="X1180" t="s">
        <v>44908</v>
      </c>
    </row>
    <row r="1181" spans="1:24">
      <c r="A1181">
        <f>HYPERLINK("https://www.philgeps.gov.ph/GEPSNONPILOT/Tender/SplashBidNoticeAbstractUI.aspx?menuIndex=3&amp;refID=7082946&amp;Result=3","7082946")</f>
        <v>0</v>
      </c>
      <c r="B1181" t="s">
        <v>520</v>
      </c>
      <c r="C1181" t="s">
        <v>4657</v>
      </c>
      <c r="D1181" t="s">
        <v>18106</v>
      </c>
      <c r="E1181" t="s">
        <v>19298</v>
      </c>
      <c r="F1181" t="s">
        <v>31362</v>
      </c>
      <c r="G1181" t="s">
        <v>31369</v>
      </c>
      <c r="H1181" t="s">
        <v>15799</v>
      </c>
      <c r="I1181" t="s">
        <v>31409</v>
      </c>
      <c r="J1181" t="s">
        <v>32395</v>
      </c>
      <c r="K1181" t="s">
        <v>40665</v>
      </c>
      <c r="M1181" t="s">
        <v>41476</v>
      </c>
      <c r="N1181" t="s">
        <v>44905</v>
      </c>
      <c r="O1181" t="s">
        <v>44906</v>
      </c>
      <c r="P1181">
        <v>0</v>
      </c>
      <c r="Q1181">
        <v>2</v>
      </c>
      <c r="R1181" t="s">
        <v>44907</v>
      </c>
      <c r="S1181" t="s">
        <v>45026</v>
      </c>
      <c r="T1181" t="s">
        <v>46417</v>
      </c>
      <c r="U1181" t="s">
        <v>47935</v>
      </c>
      <c r="W1181" t="s">
        <v>41476</v>
      </c>
      <c r="X1181" t="s">
        <v>44908</v>
      </c>
    </row>
    <row r="1182" spans="1:24">
      <c r="A1182">
        <f>HYPERLINK("https://www.philgeps.gov.ph/GEPSNONPILOT/Tender/SplashBidNoticeAbstractUI.aspx?menuIndex=3&amp;refID=7082925&amp;Result=3","7082925")</f>
        <v>0</v>
      </c>
      <c r="B1182" t="s">
        <v>521</v>
      </c>
      <c r="C1182" t="s">
        <v>4658</v>
      </c>
      <c r="D1182" t="s">
        <v>18107</v>
      </c>
      <c r="E1182" t="s">
        <v>19299</v>
      </c>
      <c r="F1182" t="s">
        <v>31362</v>
      </c>
      <c r="G1182" t="s">
        <v>31368</v>
      </c>
      <c r="H1182" t="s">
        <v>15799</v>
      </c>
      <c r="I1182" t="s">
        <v>31430</v>
      </c>
      <c r="J1182" t="s">
        <v>32396</v>
      </c>
      <c r="K1182" t="s">
        <v>40661</v>
      </c>
      <c r="M1182" t="s">
        <v>41477</v>
      </c>
      <c r="N1182" t="s">
        <v>44905</v>
      </c>
      <c r="O1182" t="s">
        <v>44906</v>
      </c>
      <c r="P1182">
        <v>0</v>
      </c>
      <c r="Q1182">
        <v>1</v>
      </c>
      <c r="R1182" t="s">
        <v>44907</v>
      </c>
      <c r="S1182" t="s">
        <v>45026</v>
      </c>
      <c r="T1182" t="s">
        <v>46432</v>
      </c>
      <c r="U1182" t="s">
        <v>47936</v>
      </c>
      <c r="W1182" t="s">
        <v>60857</v>
      </c>
      <c r="X1182" t="s">
        <v>44908</v>
      </c>
    </row>
    <row r="1183" spans="1:24">
      <c r="A1183">
        <f>HYPERLINK("https://www.philgeps.gov.ph/GEPSNONPILOT/Tender/SplashBidNoticeAbstractUI.aspx?menuIndex=3&amp;refID=7082959&amp;Result=3","7082959")</f>
        <v>0</v>
      </c>
      <c r="B1183" t="s">
        <v>522</v>
      </c>
      <c r="C1183" t="s">
        <v>4659</v>
      </c>
      <c r="E1183" t="s">
        <v>19300</v>
      </c>
      <c r="F1183" t="s">
        <v>31362</v>
      </c>
      <c r="G1183" t="s">
        <v>31368</v>
      </c>
      <c r="H1183" t="s">
        <v>15799</v>
      </c>
      <c r="I1183" t="s">
        <v>7090</v>
      </c>
      <c r="J1183" t="s">
        <v>32397</v>
      </c>
      <c r="K1183" t="s">
        <v>40662</v>
      </c>
      <c r="M1183" t="s">
        <v>41478</v>
      </c>
      <c r="N1183" t="s">
        <v>44905</v>
      </c>
      <c r="O1183" t="s">
        <v>44906</v>
      </c>
      <c r="P1183">
        <v>0</v>
      </c>
      <c r="Q1183">
        <v>1</v>
      </c>
      <c r="R1183" t="s">
        <v>44907</v>
      </c>
      <c r="S1183" t="s">
        <v>45026</v>
      </c>
      <c r="T1183" t="s">
        <v>46454</v>
      </c>
      <c r="U1183" t="s">
        <v>47937</v>
      </c>
      <c r="W1183" t="s">
        <v>41478</v>
      </c>
      <c r="X1183" t="s">
        <v>44908</v>
      </c>
    </row>
    <row r="1184" spans="1:24">
      <c r="A1184">
        <f>HYPERLINK("https://www.philgeps.gov.ph/GEPSNONPILOT/Tender/SplashBidNoticeAbstractUI.aspx?menuIndex=3&amp;refID=7082919&amp;Result=3","7082919")</f>
        <v>0</v>
      </c>
      <c r="B1184" t="s">
        <v>516</v>
      </c>
      <c r="C1184" t="s">
        <v>4660</v>
      </c>
      <c r="D1184" t="s">
        <v>18111</v>
      </c>
      <c r="E1184" t="s">
        <v>19301</v>
      </c>
      <c r="F1184" t="s">
        <v>31362</v>
      </c>
      <c r="G1184" t="s">
        <v>31368</v>
      </c>
      <c r="H1184" t="s">
        <v>15799</v>
      </c>
      <c r="I1184" t="s">
        <v>31440</v>
      </c>
      <c r="J1184" t="s">
        <v>32398</v>
      </c>
      <c r="K1184" t="s">
        <v>40697</v>
      </c>
      <c r="M1184" t="s">
        <v>41471</v>
      </c>
      <c r="N1184" t="s">
        <v>44905</v>
      </c>
      <c r="O1184" t="s">
        <v>44906</v>
      </c>
      <c r="P1184">
        <v>0</v>
      </c>
      <c r="Q1184">
        <v>0</v>
      </c>
      <c r="R1184" t="s">
        <v>44907</v>
      </c>
      <c r="S1184" t="s">
        <v>45026</v>
      </c>
      <c r="T1184" t="s">
        <v>46459</v>
      </c>
      <c r="U1184" t="s">
        <v>47938</v>
      </c>
      <c r="W1184" t="s">
        <v>41471</v>
      </c>
      <c r="X1184" t="s">
        <v>44908</v>
      </c>
    </row>
    <row r="1185" spans="1:24">
      <c r="A1185">
        <f>HYPERLINK("https://www.philgeps.gov.ph/GEPSNONPILOT/Tender/SplashBidNoticeAbstractUI.aspx?menuIndex=3&amp;refID=7082963&amp;Result=3","7082963")</f>
        <v>0</v>
      </c>
      <c r="B1185" t="s">
        <v>249</v>
      </c>
      <c r="C1185" t="s">
        <v>4661</v>
      </c>
      <c r="D1185" t="s">
        <v>18110</v>
      </c>
      <c r="E1185" t="s">
        <v>19302</v>
      </c>
      <c r="F1185" t="s">
        <v>31362</v>
      </c>
      <c r="G1185" t="s">
        <v>31368</v>
      </c>
      <c r="H1185" t="s">
        <v>15799</v>
      </c>
      <c r="I1185" t="s">
        <v>31396</v>
      </c>
      <c r="J1185" t="s">
        <v>32165</v>
      </c>
      <c r="K1185" t="s">
        <v>40662</v>
      </c>
      <c r="M1185" t="s">
        <v>41188</v>
      </c>
      <c r="N1185" t="s">
        <v>44905</v>
      </c>
      <c r="O1185" t="s">
        <v>44906</v>
      </c>
      <c r="P1185">
        <v>0</v>
      </c>
      <c r="Q1185">
        <v>7</v>
      </c>
      <c r="R1185" t="s">
        <v>44907</v>
      </c>
      <c r="S1185" t="s">
        <v>45026</v>
      </c>
      <c r="T1185" t="s">
        <v>46499</v>
      </c>
      <c r="U1185" t="s">
        <v>47345</v>
      </c>
      <c r="W1185" t="s">
        <v>41188</v>
      </c>
      <c r="X1185" t="s">
        <v>44908</v>
      </c>
    </row>
    <row r="1186" spans="1:24">
      <c r="A1186">
        <f>HYPERLINK("https://www.philgeps.gov.ph/GEPSNONPILOT/Tender/SplashBidNoticeAbstractUI.aspx?menuIndex=3&amp;refID=7082983&amp;Result=3","7082983")</f>
        <v>0</v>
      </c>
      <c r="B1186" t="s">
        <v>523</v>
      </c>
      <c r="C1186" t="s">
        <v>4662</v>
      </c>
      <c r="D1186" t="s">
        <v>18108</v>
      </c>
      <c r="E1186" t="s">
        <v>19303</v>
      </c>
      <c r="F1186" t="s">
        <v>31362</v>
      </c>
      <c r="G1186" t="s">
        <v>31372</v>
      </c>
      <c r="H1186" t="s">
        <v>15799</v>
      </c>
      <c r="I1186" t="s">
        <v>31382</v>
      </c>
      <c r="J1186" t="s">
        <v>32399</v>
      </c>
      <c r="K1186" t="s">
        <v>40662</v>
      </c>
      <c r="M1186" t="s">
        <v>41479</v>
      </c>
      <c r="N1186" t="s">
        <v>44905</v>
      </c>
      <c r="O1186" t="s">
        <v>44906</v>
      </c>
      <c r="P1186">
        <v>0</v>
      </c>
      <c r="Q1186">
        <v>4</v>
      </c>
      <c r="R1186" t="s">
        <v>44907</v>
      </c>
      <c r="S1186" t="s">
        <v>45026</v>
      </c>
      <c r="T1186" t="s">
        <v>46503</v>
      </c>
      <c r="U1186" t="s">
        <v>47939</v>
      </c>
      <c r="W1186" t="s">
        <v>41479</v>
      </c>
      <c r="X1186" t="s">
        <v>44908</v>
      </c>
    </row>
    <row r="1187" spans="1:24">
      <c r="A1187">
        <f>HYPERLINK("https://www.philgeps.gov.ph/GEPSNONPILOT/Tender/SplashBidNoticeAbstractUI.aspx?menuIndex=3&amp;refID=7082978&amp;Result=3","7082978")</f>
        <v>0</v>
      </c>
      <c r="B1187" t="s">
        <v>175</v>
      </c>
      <c r="C1187" t="s">
        <v>4663</v>
      </c>
      <c r="D1187" t="s">
        <v>18153</v>
      </c>
      <c r="E1187" t="s">
        <v>19304</v>
      </c>
      <c r="F1187" t="s">
        <v>31362</v>
      </c>
      <c r="G1187" t="s">
        <v>31368</v>
      </c>
      <c r="H1187" t="s">
        <v>15799</v>
      </c>
      <c r="I1187" t="s">
        <v>6240</v>
      </c>
      <c r="J1187" t="s">
        <v>32400</v>
      </c>
      <c r="K1187" t="s">
        <v>40661</v>
      </c>
      <c r="L1187" t="s">
        <v>175</v>
      </c>
      <c r="M1187" t="s">
        <v>41113</v>
      </c>
      <c r="N1187" t="s">
        <v>44905</v>
      </c>
      <c r="O1187" t="s">
        <v>44906</v>
      </c>
      <c r="P1187">
        <v>0</v>
      </c>
      <c r="Q1187">
        <v>0</v>
      </c>
      <c r="R1187" t="s">
        <v>44907</v>
      </c>
      <c r="S1187" t="s">
        <v>45026</v>
      </c>
      <c r="T1187" t="s">
        <v>46428</v>
      </c>
      <c r="U1187" t="s">
        <v>47940</v>
      </c>
      <c r="V1187" t="s">
        <v>59090</v>
      </c>
      <c r="W1187" t="s">
        <v>41113</v>
      </c>
      <c r="X1187" t="s">
        <v>44908</v>
      </c>
    </row>
    <row r="1188" spans="1:24">
      <c r="A1188">
        <f>HYPERLINK("https://www.philgeps.gov.ph/GEPSNONPILOT/Tender/SplashBidNoticeAbstractUI.aspx?menuIndex=3&amp;refID=7082976&amp;Result=3","7082976")</f>
        <v>0</v>
      </c>
      <c r="B1188" t="s">
        <v>524</v>
      </c>
      <c r="C1188" t="s">
        <v>4664</v>
      </c>
      <c r="E1188" t="s">
        <v>19305</v>
      </c>
      <c r="F1188" t="s">
        <v>31362</v>
      </c>
      <c r="G1188" t="s">
        <v>31370</v>
      </c>
      <c r="H1188" t="s">
        <v>15799</v>
      </c>
      <c r="I1188" t="s">
        <v>31390</v>
      </c>
      <c r="J1188" t="s">
        <v>32401</v>
      </c>
      <c r="K1188" t="s">
        <v>40662</v>
      </c>
      <c r="M1188" t="s">
        <v>41480</v>
      </c>
      <c r="N1188" t="s">
        <v>44905</v>
      </c>
      <c r="O1188" t="s">
        <v>44906</v>
      </c>
      <c r="P1188">
        <v>0</v>
      </c>
      <c r="Q1188">
        <v>0</v>
      </c>
      <c r="R1188" t="s">
        <v>44907</v>
      </c>
      <c r="S1188" t="s">
        <v>45026</v>
      </c>
      <c r="T1188" t="s">
        <v>46400</v>
      </c>
      <c r="U1188" t="s">
        <v>47941</v>
      </c>
      <c r="V1188" t="s">
        <v>59192</v>
      </c>
      <c r="W1188" t="s">
        <v>41480</v>
      </c>
      <c r="X1188" t="s">
        <v>44908</v>
      </c>
    </row>
    <row r="1189" spans="1:24">
      <c r="A1189">
        <f>HYPERLINK("https://www.philgeps.gov.ph/GEPSNONPILOT/Tender/SplashBidNoticeAbstractUI.aspx?menuIndex=3&amp;refID=7082891&amp;Result=3","7082891")</f>
        <v>0</v>
      </c>
      <c r="B1189" t="s">
        <v>525</v>
      </c>
      <c r="C1189" t="s">
        <v>4665</v>
      </c>
      <c r="D1189" t="s">
        <v>18143</v>
      </c>
      <c r="E1189" t="s">
        <v>10823</v>
      </c>
      <c r="F1189" t="s">
        <v>31362</v>
      </c>
      <c r="G1189" t="s">
        <v>31369</v>
      </c>
      <c r="H1189" t="s">
        <v>15799</v>
      </c>
      <c r="I1189" t="s">
        <v>3815</v>
      </c>
      <c r="J1189" t="s">
        <v>32402</v>
      </c>
      <c r="K1189" t="s">
        <v>40670</v>
      </c>
      <c r="M1189" t="s">
        <v>41481</v>
      </c>
      <c r="N1189" t="s">
        <v>44905</v>
      </c>
      <c r="O1189" t="s">
        <v>44906</v>
      </c>
      <c r="P1189">
        <v>0</v>
      </c>
      <c r="Q1189">
        <v>0</v>
      </c>
      <c r="R1189" t="s">
        <v>44907</v>
      </c>
      <c r="S1189" t="s">
        <v>45026</v>
      </c>
      <c r="T1189" t="s">
        <v>46403</v>
      </c>
      <c r="U1189" t="s">
        <v>47942</v>
      </c>
      <c r="W1189" t="s">
        <v>41481</v>
      </c>
      <c r="X1189" t="s">
        <v>44908</v>
      </c>
    </row>
    <row r="1190" spans="1:24">
      <c r="A1190">
        <f>HYPERLINK("https://www.philgeps.gov.ph/GEPSNONPILOT/Tender/SplashBidNoticeAbstractUI.aspx?menuIndex=3&amp;refID=7082974&amp;Result=3","7082974")</f>
        <v>0</v>
      </c>
      <c r="B1190" t="s">
        <v>519</v>
      </c>
      <c r="C1190" t="s">
        <v>4666</v>
      </c>
      <c r="D1190" t="s">
        <v>18152</v>
      </c>
      <c r="E1190" t="s">
        <v>19306</v>
      </c>
      <c r="F1190" t="s">
        <v>31362</v>
      </c>
      <c r="G1190" t="s">
        <v>31368</v>
      </c>
      <c r="H1190" t="s">
        <v>15799</v>
      </c>
      <c r="I1190" t="s">
        <v>31397</v>
      </c>
      <c r="J1190" t="s">
        <v>32403</v>
      </c>
      <c r="K1190" t="s">
        <v>40666</v>
      </c>
      <c r="M1190" t="s">
        <v>41475</v>
      </c>
      <c r="N1190" t="s">
        <v>44905</v>
      </c>
      <c r="O1190" t="s">
        <v>44906</v>
      </c>
      <c r="P1190">
        <v>0</v>
      </c>
      <c r="Q1190">
        <v>2</v>
      </c>
      <c r="R1190" t="s">
        <v>44907</v>
      </c>
      <c r="S1190" t="s">
        <v>45026</v>
      </c>
      <c r="T1190" t="s">
        <v>46434</v>
      </c>
      <c r="U1190" t="s">
        <v>47943</v>
      </c>
      <c r="W1190" t="s">
        <v>41475</v>
      </c>
      <c r="X1190" t="s">
        <v>44908</v>
      </c>
    </row>
    <row r="1191" spans="1:24">
      <c r="A1191">
        <f>HYPERLINK("https://www.philgeps.gov.ph/GEPSNONPILOT/Tender/SplashBidNoticeAbstractUI.aspx?menuIndex=3&amp;refID=7082971&amp;Result=3","7082971")</f>
        <v>0</v>
      </c>
      <c r="B1191" t="s">
        <v>526</v>
      </c>
      <c r="C1191" t="s">
        <v>4667</v>
      </c>
      <c r="D1191" t="s">
        <v>18101</v>
      </c>
      <c r="E1191" t="s">
        <v>19307</v>
      </c>
      <c r="F1191" t="s">
        <v>31362</v>
      </c>
      <c r="G1191" t="s">
        <v>31370</v>
      </c>
      <c r="H1191" t="s">
        <v>15799</v>
      </c>
      <c r="I1191" t="s">
        <v>31430</v>
      </c>
      <c r="J1191" t="s">
        <v>32404</v>
      </c>
      <c r="K1191" t="s">
        <v>40666</v>
      </c>
      <c r="M1191" t="s">
        <v>41482</v>
      </c>
      <c r="N1191" t="s">
        <v>44905</v>
      </c>
      <c r="O1191" t="s">
        <v>44906</v>
      </c>
      <c r="P1191">
        <v>0</v>
      </c>
      <c r="Q1191">
        <v>0</v>
      </c>
      <c r="R1191" t="s">
        <v>44907</v>
      </c>
      <c r="S1191" t="s">
        <v>45026</v>
      </c>
      <c r="T1191" t="s">
        <v>46503</v>
      </c>
      <c r="U1191" t="s">
        <v>47944</v>
      </c>
      <c r="W1191" t="s">
        <v>41482</v>
      </c>
      <c r="X1191" t="s">
        <v>44908</v>
      </c>
    </row>
    <row r="1192" spans="1:24">
      <c r="A1192">
        <f>HYPERLINK("https://www.philgeps.gov.ph/GEPSNONPILOT/Tender/SplashBidNoticeAbstractUI.aspx?menuIndex=3&amp;refID=7082979&amp;Result=3","7082979")</f>
        <v>0</v>
      </c>
      <c r="B1192" t="s">
        <v>527</v>
      </c>
      <c r="C1192" t="s">
        <v>4668</v>
      </c>
      <c r="D1192" t="s">
        <v>18143</v>
      </c>
      <c r="E1192" t="s">
        <v>18548</v>
      </c>
      <c r="F1192" t="s">
        <v>31362</v>
      </c>
      <c r="G1192" t="s">
        <v>31369</v>
      </c>
      <c r="H1192" t="s">
        <v>15799</v>
      </c>
      <c r="I1192" t="s">
        <v>3815</v>
      </c>
      <c r="J1192" t="s">
        <v>32405</v>
      </c>
      <c r="K1192" t="s">
        <v>40670</v>
      </c>
      <c r="M1192" t="s">
        <v>41483</v>
      </c>
      <c r="N1192" t="s">
        <v>44905</v>
      </c>
      <c r="O1192" t="s">
        <v>44906</v>
      </c>
      <c r="P1192">
        <v>0</v>
      </c>
      <c r="Q1192">
        <v>0</v>
      </c>
      <c r="R1192" t="s">
        <v>44907</v>
      </c>
      <c r="S1192" t="s">
        <v>45026</v>
      </c>
      <c r="T1192" t="s">
        <v>46550</v>
      </c>
      <c r="U1192" t="s">
        <v>47945</v>
      </c>
      <c r="W1192" t="s">
        <v>41483</v>
      </c>
      <c r="X1192" t="s">
        <v>44908</v>
      </c>
    </row>
    <row r="1193" spans="1:24">
      <c r="A1193">
        <f>HYPERLINK("https://www.philgeps.gov.ph/GEPSNONPILOT/Tender/SplashBidNoticeAbstractUI.aspx?menuIndex=3&amp;refID=7082955&amp;Result=3","7082955")</f>
        <v>0</v>
      </c>
      <c r="B1193" t="s">
        <v>407</v>
      </c>
      <c r="C1193" t="s">
        <v>4669</v>
      </c>
      <c r="D1193" t="s">
        <v>18142</v>
      </c>
      <c r="E1193" t="s">
        <v>19308</v>
      </c>
      <c r="F1193" t="s">
        <v>31362</v>
      </c>
      <c r="G1193" t="s">
        <v>31368</v>
      </c>
      <c r="H1193" t="s">
        <v>15799</v>
      </c>
      <c r="I1193" t="s">
        <v>6373</v>
      </c>
      <c r="J1193" t="s">
        <v>32406</v>
      </c>
      <c r="K1193" t="s">
        <v>40670</v>
      </c>
      <c r="M1193" t="s">
        <v>41357</v>
      </c>
      <c r="N1193" t="s">
        <v>44905</v>
      </c>
      <c r="O1193" t="s">
        <v>44906</v>
      </c>
      <c r="P1193">
        <v>0</v>
      </c>
      <c r="Q1193">
        <v>4</v>
      </c>
      <c r="R1193" t="s">
        <v>44907</v>
      </c>
      <c r="S1193" t="s">
        <v>45026</v>
      </c>
      <c r="T1193" t="s">
        <v>46470</v>
      </c>
      <c r="U1193" t="s">
        <v>47646</v>
      </c>
      <c r="W1193" t="s">
        <v>41357</v>
      </c>
      <c r="X1193" t="s">
        <v>44908</v>
      </c>
    </row>
    <row r="1194" spans="1:24">
      <c r="A1194">
        <f>HYPERLINK("https://www.philgeps.gov.ph/GEPSNONPILOT/Tender/SplashBidNoticeAbstractUI.aspx?menuIndex=3&amp;refID=7082977&amp;Result=3","7082977")</f>
        <v>0</v>
      </c>
      <c r="B1194" t="s">
        <v>363</v>
      </c>
      <c r="C1194" t="s">
        <v>4652</v>
      </c>
      <c r="D1194" t="s">
        <v>18136</v>
      </c>
      <c r="E1194" t="s">
        <v>19309</v>
      </c>
      <c r="F1194" t="s">
        <v>31362</v>
      </c>
      <c r="G1194" t="s">
        <v>31368</v>
      </c>
      <c r="H1194" t="s">
        <v>15799</v>
      </c>
      <c r="I1194" t="s">
        <v>4283</v>
      </c>
      <c r="J1194" t="s">
        <v>31545</v>
      </c>
      <c r="K1194" t="s">
        <v>40665</v>
      </c>
      <c r="M1194" t="s">
        <v>41310</v>
      </c>
      <c r="N1194" t="s">
        <v>44905</v>
      </c>
      <c r="O1194" t="s">
        <v>44906</v>
      </c>
      <c r="P1194">
        <v>0</v>
      </c>
      <c r="Q1194">
        <v>0</v>
      </c>
      <c r="R1194" t="s">
        <v>44907</v>
      </c>
      <c r="S1194" t="s">
        <v>45026</v>
      </c>
      <c r="T1194" t="s">
        <v>46432</v>
      </c>
      <c r="U1194" t="s">
        <v>47946</v>
      </c>
      <c r="W1194" t="s">
        <v>41310</v>
      </c>
      <c r="X1194" t="s">
        <v>44908</v>
      </c>
    </row>
    <row r="1195" spans="1:24">
      <c r="A1195">
        <f>HYPERLINK("https://www.philgeps.gov.ph/GEPSNONPILOT/Tender/SplashBidNoticeAbstractUI.aspx?menuIndex=3&amp;refID=7082954&amp;Result=3","7082954")</f>
        <v>0</v>
      </c>
      <c r="B1195" t="s">
        <v>528</v>
      </c>
      <c r="C1195" t="s">
        <v>4670</v>
      </c>
      <c r="D1195" t="s">
        <v>18148</v>
      </c>
      <c r="E1195" t="s">
        <v>19310</v>
      </c>
      <c r="F1195" t="s">
        <v>31362</v>
      </c>
      <c r="G1195" t="s">
        <v>31368</v>
      </c>
      <c r="H1195" t="s">
        <v>31379</v>
      </c>
      <c r="I1195" t="s">
        <v>31453</v>
      </c>
      <c r="J1195" t="s">
        <v>31806</v>
      </c>
      <c r="K1195" t="s">
        <v>40666</v>
      </c>
      <c r="M1195" t="s">
        <v>41484</v>
      </c>
      <c r="N1195" t="s">
        <v>44905</v>
      </c>
      <c r="O1195" t="s">
        <v>44906</v>
      </c>
      <c r="P1195">
        <v>0</v>
      </c>
      <c r="Q1195">
        <v>0</v>
      </c>
      <c r="R1195" t="s">
        <v>44907</v>
      </c>
      <c r="S1195" t="s">
        <v>45026</v>
      </c>
      <c r="T1195" t="s">
        <v>46396</v>
      </c>
      <c r="U1195" t="s">
        <v>47912</v>
      </c>
      <c r="V1195" t="s">
        <v>59193</v>
      </c>
      <c r="W1195" t="s">
        <v>41484</v>
      </c>
      <c r="X1195" t="s">
        <v>44908</v>
      </c>
    </row>
    <row r="1196" spans="1:24">
      <c r="A1196">
        <f>HYPERLINK("https://www.philgeps.gov.ph/GEPSNONPILOT/Tender/SplashBidNoticeAbstractUI.aspx?menuIndex=3&amp;refID=7082972&amp;Result=3","7082972")</f>
        <v>0</v>
      </c>
      <c r="B1196" t="s">
        <v>516</v>
      </c>
      <c r="C1196" t="s">
        <v>4671</v>
      </c>
      <c r="D1196" t="s">
        <v>18102</v>
      </c>
      <c r="E1196" t="s">
        <v>19311</v>
      </c>
      <c r="F1196" t="s">
        <v>31362</v>
      </c>
      <c r="G1196" t="s">
        <v>31368</v>
      </c>
      <c r="H1196" t="s">
        <v>15799</v>
      </c>
      <c r="I1196" t="s">
        <v>13635</v>
      </c>
      <c r="J1196" t="s">
        <v>32407</v>
      </c>
      <c r="K1196" t="s">
        <v>40665</v>
      </c>
      <c r="M1196" t="s">
        <v>41471</v>
      </c>
      <c r="N1196" t="s">
        <v>44905</v>
      </c>
      <c r="O1196" t="s">
        <v>44906</v>
      </c>
      <c r="P1196">
        <v>0</v>
      </c>
      <c r="Q1196">
        <v>4</v>
      </c>
      <c r="R1196" t="s">
        <v>44907</v>
      </c>
      <c r="S1196" t="s">
        <v>45026</v>
      </c>
      <c r="T1196" t="s">
        <v>46459</v>
      </c>
      <c r="U1196" t="s">
        <v>47920</v>
      </c>
      <c r="W1196" t="s">
        <v>41471</v>
      </c>
      <c r="X1196" t="s">
        <v>44908</v>
      </c>
    </row>
    <row r="1197" spans="1:24">
      <c r="A1197">
        <f>HYPERLINK("https://www.philgeps.gov.ph/GEPSNONPILOT/Tender/SplashBidNoticeAbstractUI.aspx?menuIndex=3&amp;refID=7082960&amp;Result=3","7082960")</f>
        <v>0</v>
      </c>
      <c r="B1197" t="s">
        <v>529</v>
      </c>
      <c r="C1197" t="s">
        <v>4672</v>
      </c>
      <c r="D1197" t="s">
        <v>18124</v>
      </c>
      <c r="E1197" t="s">
        <v>19312</v>
      </c>
      <c r="F1197" t="s">
        <v>31362</v>
      </c>
      <c r="G1197" t="s">
        <v>31370</v>
      </c>
      <c r="H1197" t="s">
        <v>15799</v>
      </c>
      <c r="I1197" t="s">
        <v>7188</v>
      </c>
      <c r="J1197" t="s">
        <v>32408</v>
      </c>
      <c r="K1197" t="s">
        <v>40661</v>
      </c>
      <c r="L1197" t="s">
        <v>529</v>
      </c>
      <c r="M1197" t="s">
        <v>41485</v>
      </c>
      <c r="N1197" t="s">
        <v>44905</v>
      </c>
      <c r="O1197" t="s">
        <v>44906</v>
      </c>
      <c r="P1197">
        <v>0</v>
      </c>
      <c r="Q1197">
        <v>1</v>
      </c>
      <c r="R1197" t="s">
        <v>44907</v>
      </c>
      <c r="S1197" t="s">
        <v>45026</v>
      </c>
      <c r="T1197" t="s">
        <v>46414</v>
      </c>
      <c r="U1197" t="s">
        <v>47947</v>
      </c>
      <c r="W1197" t="s">
        <v>41485</v>
      </c>
      <c r="X1197" t="s">
        <v>44908</v>
      </c>
    </row>
    <row r="1198" spans="1:24">
      <c r="A1198">
        <f>HYPERLINK("https://www.philgeps.gov.ph/GEPSNONPILOT/Tender/SplashBidNoticeAbstractUI.aspx?menuIndex=3&amp;refID=7082958&amp;Result=3","7082958")</f>
        <v>0</v>
      </c>
      <c r="B1198" t="s">
        <v>530</v>
      </c>
      <c r="C1198" t="s">
        <v>4673</v>
      </c>
      <c r="D1198" t="s">
        <v>18104</v>
      </c>
      <c r="E1198" t="s">
        <v>19313</v>
      </c>
      <c r="F1198" t="s">
        <v>31362</v>
      </c>
      <c r="G1198" t="s">
        <v>31370</v>
      </c>
      <c r="H1198" t="s">
        <v>15799</v>
      </c>
      <c r="I1198" t="s">
        <v>31390</v>
      </c>
      <c r="J1198" t="s">
        <v>32409</v>
      </c>
      <c r="K1198" t="s">
        <v>40697</v>
      </c>
      <c r="M1198" t="s">
        <v>41486</v>
      </c>
      <c r="N1198" t="s">
        <v>44905</v>
      </c>
      <c r="O1198" t="s">
        <v>44906</v>
      </c>
      <c r="P1198">
        <v>0</v>
      </c>
      <c r="Q1198">
        <v>0</v>
      </c>
      <c r="R1198" t="s">
        <v>44907</v>
      </c>
      <c r="S1198" t="s">
        <v>45026</v>
      </c>
      <c r="T1198" t="s">
        <v>46414</v>
      </c>
      <c r="U1198" t="s">
        <v>47948</v>
      </c>
      <c r="V1198" t="s">
        <v>59194</v>
      </c>
      <c r="W1198" t="s">
        <v>41486</v>
      </c>
      <c r="X1198" t="s">
        <v>44908</v>
      </c>
    </row>
    <row r="1199" spans="1:24">
      <c r="A1199">
        <f>HYPERLINK("https://www.philgeps.gov.ph/GEPSNONPILOT/Tender/SplashBidNoticeAbstractUI.aspx?menuIndex=3&amp;refID=7082953&amp;Result=3","7082953")</f>
        <v>0</v>
      </c>
      <c r="B1199" t="s">
        <v>516</v>
      </c>
      <c r="C1199" t="s">
        <v>4674</v>
      </c>
      <c r="D1199" t="s">
        <v>18111</v>
      </c>
      <c r="E1199" t="s">
        <v>19314</v>
      </c>
      <c r="F1199" t="s">
        <v>31362</v>
      </c>
      <c r="G1199" t="s">
        <v>31368</v>
      </c>
      <c r="H1199" t="s">
        <v>15799</v>
      </c>
      <c r="I1199" t="s">
        <v>31404</v>
      </c>
      <c r="J1199" t="s">
        <v>31597</v>
      </c>
      <c r="K1199" t="s">
        <v>40697</v>
      </c>
      <c r="M1199" t="s">
        <v>41471</v>
      </c>
      <c r="N1199" t="s">
        <v>44905</v>
      </c>
      <c r="O1199" t="s">
        <v>44906</v>
      </c>
      <c r="P1199">
        <v>0</v>
      </c>
      <c r="Q1199">
        <v>1</v>
      </c>
      <c r="R1199" t="s">
        <v>44907</v>
      </c>
      <c r="S1199" t="s">
        <v>45026</v>
      </c>
      <c r="T1199" t="s">
        <v>46459</v>
      </c>
      <c r="U1199" t="s">
        <v>47920</v>
      </c>
      <c r="W1199" t="s">
        <v>41471</v>
      </c>
      <c r="X1199" t="s">
        <v>44908</v>
      </c>
    </row>
    <row r="1200" spans="1:24">
      <c r="A1200">
        <f>HYPERLINK("https://www.philgeps.gov.ph/GEPSNONPILOT/Tender/SplashBidNoticeAbstractUI.aspx?menuIndex=3&amp;refID=7082985&amp;Result=3","7082985")</f>
        <v>0</v>
      </c>
      <c r="B1200" t="s">
        <v>531</v>
      </c>
      <c r="C1200" t="s">
        <v>4675</v>
      </c>
      <c r="D1200" t="s">
        <v>18172</v>
      </c>
      <c r="E1200" t="s">
        <v>19315</v>
      </c>
      <c r="F1200" t="s">
        <v>31362</v>
      </c>
      <c r="G1200" t="s">
        <v>31368</v>
      </c>
      <c r="H1200" t="s">
        <v>15799</v>
      </c>
      <c r="I1200" t="s">
        <v>31422</v>
      </c>
      <c r="J1200" t="s">
        <v>32410</v>
      </c>
      <c r="K1200" t="s">
        <v>40670</v>
      </c>
      <c r="M1200" t="s">
        <v>41487</v>
      </c>
      <c r="N1200" t="s">
        <v>44905</v>
      </c>
      <c r="O1200" t="s">
        <v>44906</v>
      </c>
      <c r="P1200">
        <v>0</v>
      </c>
      <c r="Q1200">
        <v>1</v>
      </c>
      <c r="R1200" t="s">
        <v>44907</v>
      </c>
      <c r="S1200" t="s">
        <v>45026</v>
      </c>
      <c r="T1200" t="s">
        <v>46396</v>
      </c>
      <c r="U1200" t="s">
        <v>47949</v>
      </c>
      <c r="W1200" t="s">
        <v>41487</v>
      </c>
      <c r="X1200" t="s">
        <v>44908</v>
      </c>
    </row>
    <row r="1201" spans="1:24">
      <c r="A1201">
        <f>HYPERLINK("https://www.philgeps.gov.ph/GEPSNONPILOT/Tender/SplashBidNoticeAbstractUI.aspx?menuIndex=3&amp;refID=7082911&amp;Result=3","7082911")</f>
        <v>0</v>
      </c>
      <c r="B1201" t="s">
        <v>516</v>
      </c>
      <c r="C1201" t="s">
        <v>4676</v>
      </c>
      <c r="D1201" t="s">
        <v>18111</v>
      </c>
      <c r="E1201" t="s">
        <v>19316</v>
      </c>
      <c r="F1201" t="s">
        <v>31362</v>
      </c>
      <c r="G1201" t="s">
        <v>31368</v>
      </c>
      <c r="H1201" t="s">
        <v>15799</v>
      </c>
      <c r="I1201" t="s">
        <v>31466</v>
      </c>
      <c r="J1201" t="s">
        <v>32391</v>
      </c>
      <c r="K1201" t="s">
        <v>40665</v>
      </c>
      <c r="M1201" t="s">
        <v>41471</v>
      </c>
      <c r="N1201" t="s">
        <v>44905</v>
      </c>
      <c r="O1201" t="s">
        <v>44906</v>
      </c>
      <c r="P1201">
        <v>0</v>
      </c>
      <c r="Q1201">
        <v>2</v>
      </c>
      <c r="R1201" t="s">
        <v>44907</v>
      </c>
      <c r="S1201" t="s">
        <v>45026</v>
      </c>
      <c r="T1201" t="s">
        <v>46459</v>
      </c>
      <c r="U1201" t="s">
        <v>47920</v>
      </c>
      <c r="W1201" t="s">
        <v>41471</v>
      </c>
      <c r="X1201" t="s">
        <v>44908</v>
      </c>
    </row>
    <row r="1202" spans="1:24">
      <c r="A1202">
        <f>HYPERLINK("https://www.philgeps.gov.ph/GEPSNONPILOT/Tender/SplashBidNoticeAbstractUI.aspx?menuIndex=3&amp;refID=7082999&amp;Result=3","7082999")</f>
        <v>0</v>
      </c>
      <c r="B1202" t="s">
        <v>94</v>
      </c>
      <c r="C1202" t="s">
        <v>4677</v>
      </c>
      <c r="D1202" t="s">
        <v>18116</v>
      </c>
      <c r="E1202" t="s">
        <v>19317</v>
      </c>
      <c r="F1202" t="s">
        <v>31362</v>
      </c>
      <c r="G1202" t="s">
        <v>31368</v>
      </c>
      <c r="H1202" t="s">
        <v>15799</v>
      </c>
      <c r="I1202" t="s">
        <v>4283</v>
      </c>
      <c r="J1202" t="s">
        <v>32411</v>
      </c>
      <c r="K1202" t="s">
        <v>40665</v>
      </c>
      <c r="M1202" t="s">
        <v>41031</v>
      </c>
      <c r="N1202" t="s">
        <v>44905</v>
      </c>
      <c r="O1202" t="s">
        <v>44906</v>
      </c>
      <c r="P1202">
        <v>0</v>
      </c>
      <c r="Q1202">
        <v>0</v>
      </c>
      <c r="R1202" t="s">
        <v>44907</v>
      </c>
      <c r="S1202" t="s">
        <v>45026</v>
      </c>
      <c r="T1202" t="s">
        <v>46417</v>
      </c>
      <c r="U1202" t="s">
        <v>47950</v>
      </c>
      <c r="W1202" t="s">
        <v>41031</v>
      </c>
      <c r="X1202" t="s">
        <v>44908</v>
      </c>
    </row>
    <row r="1203" spans="1:24">
      <c r="A1203">
        <f>HYPERLINK("https://www.philgeps.gov.ph/GEPSNONPILOT/Tender/SplashBidNoticeAbstractUI.aspx?menuIndex=3&amp;refID=7082996&amp;Result=3","7082996")</f>
        <v>0</v>
      </c>
      <c r="B1203" t="s">
        <v>532</v>
      </c>
      <c r="C1203" t="s">
        <v>4678</v>
      </c>
      <c r="D1203" t="s">
        <v>18157</v>
      </c>
      <c r="E1203" t="s">
        <v>19318</v>
      </c>
      <c r="F1203" t="s">
        <v>31362</v>
      </c>
      <c r="G1203" t="s">
        <v>31368</v>
      </c>
      <c r="H1203" t="s">
        <v>15799</v>
      </c>
      <c r="I1203" t="s">
        <v>31381</v>
      </c>
      <c r="J1203" t="s">
        <v>32412</v>
      </c>
      <c r="K1203" t="s">
        <v>40666</v>
      </c>
      <c r="M1203" t="s">
        <v>41488</v>
      </c>
      <c r="N1203" t="s">
        <v>44905</v>
      </c>
      <c r="O1203" t="s">
        <v>44906</v>
      </c>
      <c r="P1203">
        <v>0</v>
      </c>
      <c r="Q1203">
        <v>1</v>
      </c>
      <c r="R1203" t="s">
        <v>44907</v>
      </c>
      <c r="S1203" t="s">
        <v>45026</v>
      </c>
      <c r="T1203" t="s">
        <v>46446</v>
      </c>
      <c r="U1203" t="s">
        <v>47951</v>
      </c>
      <c r="V1203" t="s">
        <v>59195</v>
      </c>
      <c r="W1203" t="s">
        <v>41488</v>
      </c>
      <c r="X1203" t="s">
        <v>44908</v>
      </c>
    </row>
    <row r="1204" spans="1:24">
      <c r="A1204">
        <f>HYPERLINK("https://www.philgeps.gov.ph/GEPSNONPILOT/Tender/SplashBidNoticeAbstractUI.aspx?menuIndex=3&amp;refID=7082994&amp;Result=3","7082994")</f>
        <v>0</v>
      </c>
      <c r="B1204" t="s">
        <v>529</v>
      </c>
      <c r="C1204" t="s">
        <v>4679</v>
      </c>
      <c r="D1204" t="s">
        <v>18124</v>
      </c>
      <c r="E1204" t="s">
        <v>19319</v>
      </c>
      <c r="F1204" t="s">
        <v>31362</v>
      </c>
      <c r="G1204" t="s">
        <v>31370</v>
      </c>
      <c r="H1204" t="s">
        <v>15799</v>
      </c>
      <c r="I1204" t="s">
        <v>7188</v>
      </c>
      <c r="J1204" t="s">
        <v>31855</v>
      </c>
      <c r="K1204" t="s">
        <v>40661</v>
      </c>
      <c r="L1204" t="s">
        <v>529</v>
      </c>
      <c r="M1204" t="s">
        <v>41485</v>
      </c>
      <c r="N1204" t="s">
        <v>44905</v>
      </c>
      <c r="O1204" t="s">
        <v>44906</v>
      </c>
      <c r="P1204">
        <v>0</v>
      </c>
      <c r="Q1204">
        <v>0</v>
      </c>
      <c r="R1204" t="s">
        <v>44907</v>
      </c>
      <c r="S1204" t="s">
        <v>45026</v>
      </c>
      <c r="T1204" t="s">
        <v>46414</v>
      </c>
      <c r="U1204" t="s">
        <v>47947</v>
      </c>
      <c r="W1204" t="s">
        <v>41485</v>
      </c>
      <c r="X1204" t="s">
        <v>44908</v>
      </c>
    </row>
    <row r="1205" spans="1:24">
      <c r="A1205">
        <f>HYPERLINK("https://www.philgeps.gov.ph/GEPSNONPILOT/Tender/SplashBidNoticeAbstractUI.aspx?menuIndex=3&amp;refID=7082993&amp;Result=3","7082993")</f>
        <v>0</v>
      </c>
      <c r="B1205" t="s">
        <v>500</v>
      </c>
      <c r="C1205" t="s">
        <v>4680</v>
      </c>
      <c r="D1205" t="s">
        <v>18165</v>
      </c>
      <c r="E1205" t="s">
        <v>19320</v>
      </c>
      <c r="F1205" t="s">
        <v>31362</v>
      </c>
      <c r="G1205" t="s">
        <v>31370</v>
      </c>
      <c r="H1205" t="s">
        <v>15799</v>
      </c>
      <c r="I1205" t="s">
        <v>31385</v>
      </c>
      <c r="J1205" t="s">
        <v>32413</v>
      </c>
      <c r="K1205" t="s">
        <v>40662</v>
      </c>
      <c r="M1205" t="s">
        <v>41455</v>
      </c>
      <c r="N1205" t="s">
        <v>44905</v>
      </c>
      <c r="O1205" t="s">
        <v>44906</v>
      </c>
      <c r="P1205">
        <v>0</v>
      </c>
      <c r="Q1205">
        <v>0</v>
      </c>
      <c r="R1205" t="s">
        <v>44907</v>
      </c>
      <c r="S1205" t="s">
        <v>45026</v>
      </c>
      <c r="T1205" t="s">
        <v>46432</v>
      </c>
      <c r="U1205" t="s">
        <v>47883</v>
      </c>
      <c r="W1205" t="s">
        <v>41455</v>
      </c>
      <c r="X1205" t="s">
        <v>44908</v>
      </c>
    </row>
    <row r="1206" spans="1:24">
      <c r="A1206">
        <f>HYPERLINK("https://www.philgeps.gov.ph/GEPSNONPILOT/Tender/SplashBidNoticeAbstractUI.aspx?menuIndex=3&amp;refID=7082992&amp;Result=3","7082992")</f>
        <v>0</v>
      </c>
      <c r="B1206" t="s">
        <v>452</v>
      </c>
      <c r="C1206" t="s">
        <v>4681</v>
      </c>
      <c r="D1206" t="s">
        <v>18122</v>
      </c>
      <c r="E1206" t="s">
        <v>19321</v>
      </c>
      <c r="F1206" t="s">
        <v>31362</v>
      </c>
      <c r="G1206" t="s">
        <v>31369</v>
      </c>
      <c r="H1206" t="s">
        <v>15799</v>
      </c>
      <c r="I1206" t="s">
        <v>31404</v>
      </c>
      <c r="J1206" t="s">
        <v>32414</v>
      </c>
      <c r="K1206" t="s">
        <v>40665</v>
      </c>
      <c r="M1206" t="s">
        <v>41439</v>
      </c>
      <c r="N1206" t="s">
        <v>44905</v>
      </c>
      <c r="O1206" t="s">
        <v>44906</v>
      </c>
      <c r="P1206">
        <v>0</v>
      </c>
      <c r="Q1206">
        <v>0</v>
      </c>
      <c r="R1206" t="s">
        <v>44907</v>
      </c>
      <c r="S1206" t="s">
        <v>45026</v>
      </c>
      <c r="T1206" t="s">
        <v>46429</v>
      </c>
      <c r="U1206" t="s">
        <v>47952</v>
      </c>
      <c r="W1206" t="s">
        <v>41439</v>
      </c>
      <c r="X1206" t="s">
        <v>44908</v>
      </c>
    </row>
    <row r="1207" spans="1:24">
      <c r="A1207">
        <f>HYPERLINK("https://www.philgeps.gov.ph/GEPSNONPILOT/Tender/SplashBidNoticeAbstractUI.aspx?menuIndex=3&amp;refID=7082991&amp;Result=3","7082991")</f>
        <v>0</v>
      </c>
      <c r="B1207" t="s">
        <v>533</v>
      </c>
      <c r="C1207" t="s">
        <v>4682</v>
      </c>
      <c r="D1207" t="s">
        <v>18136</v>
      </c>
      <c r="E1207" t="s">
        <v>19322</v>
      </c>
      <c r="F1207" t="s">
        <v>31362</v>
      </c>
      <c r="G1207" t="s">
        <v>31369</v>
      </c>
      <c r="H1207" t="s">
        <v>15799</v>
      </c>
      <c r="I1207" t="s">
        <v>31430</v>
      </c>
      <c r="J1207" t="s">
        <v>31728</v>
      </c>
      <c r="K1207" t="s">
        <v>40677</v>
      </c>
      <c r="M1207" t="s">
        <v>41489</v>
      </c>
      <c r="N1207" t="s">
        <v>44905</v>
      </c>
      <c r="O1207" t="s">
        <v>44906</v>
      </c>
      <c r="P1207">
        <v>0</v>
      </c>
      <c r="Q1207">
        <v>0</v>
      </c>
      <c r="R1207" t="s">
        <v>44907</v>
      </c>
      <c r="S1207" t="s">
        <v>45026</v>
      </c>
      <c r="T1207" t="s">
        <v>46551</v>
      </c>
      <c r="U1207" t="s">
        <v>47953</v>
      </c>
      <c r="V1207" t="s">
        <v>59196</v>
      </c>
      <c r="W1207" t="s">
        <v>41489</v>
      </c>
      <c r="X1207" t="s">
        <v>44908</v>
      </c>
    </row>
    <row r="1208" spans="1:24">
      <c r="A1208">
        <f>HYPERLINK("https://www.philgeps.gov.ph/GEPSNONPILOT/Tender/SplashBidNoticeAbstractUI.aspx?menuIndex=3&amp;refID=7082907&amp;Result=3","7082907")</f>
        <v>0</v>
      </c>
      <c r="B1208" t="s">
        <v>418</v>
      </c>
      <c r="C1208" t="s">
        <v>4683</v>
      </c>
      <c r="D1208" t="s">
        <v>18100</v>
      </c>
      <c r="E1208" t="s">
        <v>19323</v>
      </c>
      <c r="F1208" t="s">
        <v>31362</v>
      </c>
      <c r="G1208" t="s">
        <v>31368</v>
      </c>
      <c r="H1208" t="s">
        <v>15799</v>
      </c>
      <c r="I1208" t="s">
        <v>4942</v>
      </c>
      <c r="J1208" t="s">
        <v>31579</v>
      </c>
      <c r="K1208" t="s">
        <v>40662</v>
      </c>
      <c r="M1208" t="s">
        <v>41368</v>
      </c>
      <c r="N1208" t="s">
        <v>44905</v>
      </c>
      <c r="O1208" t="s">
        <v>44906</v>
      </c>
      <c r="P1208">
        <v>0</v>
      </c>
      <c r="Q1208">
        <v>0</v>
      </c>
      <c r="R1208" t="s">
        <v>44907</v>
      </c>
      <c r="S1208" t="s">
        <v>45026</v>
      </c>
      <c r="T1208" t="s">
        <v>46412</v>
      </c>
      <c r="U1208" t="s">
        <v>47683</v>
      </c>
      <c r="W1208" t="s">
        <v>41368</v>
      </c>
      <c r="X1208" t="s">
        <v>44908</v>
      </c>
    </row>
    <row r="1209" spans="1:24">
      <c r="A1209">
        <f>HYPERLINK("https://www.philgeps.gov.ph/GEPSNONPILOT/Tender/SplashBidNoticeAbstractUI.aspx?menuIndex=3&amp;refID=7082989&amp;Result=3","7082989")</f>
        <v>0</v>
      </c>
      <c r="B1209" t="s">
        <v>315</v>
      </c>
      <c r="C1209" t="s">
        <v>4684</v>
      </c>
      <c r="D1209" t="s">
        <v>18100</v>
      </c>
      <c r="E1209" t="s">
        <v>19324</v>
      </c>
      <c r="F1209" t="s">
        <v>31362</v>
      </c>
      <c r="G1209" t="s">
        <v>31369</v>
      </c>
      <c r="H1209" t="s">
        <v>15799</v>
      </c>
      <c r="I1209" t="s">
        <v>31418</v>
      </c>
      <c r="J1209" t="s">
        <v>31667</v>
      </c>
      <c r="K1209" t="s">
        <v>40662</v>
      </c>
      <c r="M1209" t="s">
        <v>41260</v>
      </c>
      <c r="N1209" t="s">
        <v>44905</v>
      </c>
      <c r="O1209" t="s">
        <v>44906</v>
      </c>
      <c r="P1209">
        <v>0</v>
      </c>
      <c r="Q1209">
        <v>0</v>
      </c>
      <c r="R1209" t="s">
        <v>44907</v>
      </c>
      <c r="S1209" t="s">
        <v>45026</v>
      </c>
      <c r="T1209" t="s">
        <v>46511</v>
      </c>
      <c r="U1209" t="s">
        <v>47954</v>
      </c>
      <c r="W1209" t="s">
        <v>41260</v>
      </c>
      <c r="X1209" t="s">
        <v>44908</v>
      </c>
    </row>
    <row r="1210" spans="1:24">
      <c r="A1210">
        <f>HYPERLINK("https://www.philgeps.gov.ph/GEPSNONPILOT/Tender/SplashBidNoticeAbstractUI.aspx?menuIndex=3&amp;refID=7082998&amp;Result=3","7082998")</f>
        <v>0</v>
      </c>
      <c r="B1210" t="s">
        <v>516</v>
      </c>
      <c r="C1210" t="s">
        <v>4685</v>
      </c>
      <c r="D1210" t="s">
        <v>18102</v>
      </c>
      <c r="E1210" t="s">
        <v>19325</v>
      </c>
      <c r="F1210" t="s">
        <v>31362</v>
      </c>
      <c r="G1210" t="s">
        <v>31371</v>
      </c>
      <c r="H1210" t="s">
        <v>15799</v>
      </c>
      <c r="I1210" t="s">
        <v>31442</v>
      </c>
      <c r="J1210" t="s">
        <v>32415</v>
      </c>
      <c r="K1210" t="s">
        <v>40665</v>
      </c>
      <c r="M1210" t="s">
        <v>41471</v>
      </c>
      <c r="N1210" t="s">
        <v>44905</v>
      </c>
      <c r="O1210" t="s">
        <v>44906</v>
      </c>
      <c r="P1210">
        <v>0</v>
      </c>
      <c r="Q1210">
        <v>4</v>
      </c>
      <c r="R1210" t="s">
        <v>44907</v>
      </c>
      <c r="S1210" t="s">
        <v>45026</v>
      </c>
      <c r="T1210" t="s">
        <v>46459</v>
      </c>
      <c r="U1210" t="s">
        <v>47920</v>
      </c>
      <c r="W1210" t="s">
        <v>41471</v>
      </c>
      <c r="X1210" t="s">
        <v>44908</v>
      </c>
    </row>
    <row r="1211" spans="1:24">
      <c r="A1211">
        <f>HYPERLINK("https://www.philgeps.gov.ph/GEPSNONPILOT/Tender/SplashBidNoticeAbstractUI.aspx?menuIndex=3&amp;refID=7083009&amp;Result=3","7083009")</f>
        <v>0</v>
      </c>
      <c r="B1211" t="s">
        <v>533</v>
      </c>
      <c r="C1211" t="s">
        <v>4686</v>
      </c>
      <c r="D1211" t="s">
        <v>18136</v>
      </c>
      <c r="E1211" t="s">
        <v>19326</v>
      </c>
      <c r="F1211" t="s">
        <v>31362</v>
      </c>
      <c r="G1211" t="s">
        <v>31369</v>
      </c>
      <c r="H1211" t="s">
        <v>15799</v>
      </c>
      <c r="I1211" t="s">
        <v>31415</v>
      </c>
      <c r="J1211" t="s">
        <v>32416</v>
      </c>
      <c r="K1211" t="s">
        <v>40677</v>
      </c>
      <c r="M1211" t="s">
        <v>41489</v>
      </c>
      <c r="N1211" t="s">
        <v>44905</v>
      </c>
      <c r="O1211" t="s">
        <v>44906</v>
      </c>
      <c r="P1211">
        <v>0</v>
      </c>
      <c r="Q1211">
        <v>0</v>
      </c>
      <c r="R1211" t="s">
        <v>44907</v>
      </c>
      <c r="S1211" t="s">
        <v>45026</v>
      </c>
      <c r="T1211" t="s">
        <v>46551</v>
      </c>
      <c r="U1211" t="s">
        <v>47955</v>
      </c>
      <c r="V1211" t="s">
        <v>59196</v>
      </c>
      <c r="W1211" t="s">
        <v>41489</v>
      </c>
      <c r="X1211" t="s">
        <v>44908</v>
      </c>
    </row>
    <row r="1212" spans="1:24">
      <c r="A1212">
        <f>HYPERLINK("https://www.philgeps.gov.ph/GEPSNONPILOT/Tender/SplashBidNoticeAbstractUI.aspx?menuIndex=3&amp;refID=7082995&amp;Result=3","7082995")</f>
        <v>0</v>
      </c>
      <c r="B1212" t="s">
        <v>534</v>
      </c>
      <c r="C1212" t="s">
        <v>4113</v>
      </c>
      <c r="D1212" t="s">
        <v>18131</v>
      </c>
      <c r="E1212" t="s">
        <v>19327</v>
      </c>
      <c r="F1212" t="s">
        <v>31362</v>
      </c>
      <c r="G1212" t="s">
        <v>31368</v>
      </c>
      <c r="H1212" t="s">
        <v>15799</v>
      </c>
      <c r="I1212" t="s">
        <v>7188</v>
      </c>
      <c r="J1212" t="s">
        <v>31564</v>
      </c>
      <c r="K1212" t="s">
        <v>40670</v>
      </c>
      <c r="M1212" t="s">
        <v>41490</v>
      </c>
      <c r="N1212" t="s">
        <v>44905</v>
      </c>
      <c r="O1212" t="s">
        <v>44906</v>
      </c>
      <c r="P1212">
        <v>0</v>
      </c>
      <c r="Q1212">
        <v>2</v>
      </c>
      <c r="R1212" t="s">
        <v>44907</v>
      </c>
      <c r="S1212" t="s">
        <v>45026</v>
      </c>
      <c r="T1212" t="s">
        <v>46503</v>
      </c>
      <c r="U1212" t="s">
        <v>47956</v>
      </c>
      <c r="W1212" t="s">
        <v>41490</v>
      </c>
      <c r="X1212" t="s">
        <v>44908</v>
      </c>
    </row>
    <row r="1213" spans="1:24">
      <c r="A1213">
        <f>HYPERLINK("https://www.philgeps.gov.ph/GEPSNONPILOT/Tender/SplashBidNoticeAbstractUI.aspx?menuIndex=3&amp;refID=7083007&amp;Result=3","7083007")</f>
        <v>0</v>
      </c>
      <c r="B1213" t="s">
        <v>500</v>
      </c>
      <c r="C1213" t="s">
        <v>4687</v>
      </c>
      <c r="D1213" t="s">
        <v>18165</v>
      </c>
      <c r="E1213" t="s">
        <v>19328</v>
      </c>
      <c r="F1213" t="s">
        <v>31362</v>
      </c>
      <c r="G1213" t="s">
        <v>31370</v>
      </c>
      <c r="H1213" t="s">
        <v>15799</v>
      </c>
      <c r="I1213" t="s">
        <v>31430</v>
      </c>
      <c r="J1213" t="s">
        <v>32417</v>
      </c>
      <c r="K1213" t="s">
        <v>40662</v>
      </c>
      <c r="M1213" t="s">
        <v>41455</v>
      </c>
      <c r="N1213" t="s">
        <v>44905</v>
      </c>
      <c r="O1213" t="s">
        <v>44906</v>
      </c>
      <c r="P1213">
        <v>0</v>
      </c>
      <c r="Q1213">
        <v>0</v>
      </c>
      <c r="R1213" t="s">
        <v>44907</v>
      </c>
      <c r="S1213" t="s">
        <v>45026</v>
      </c>
      <c r="T1213" t="s">
        <v>46432</v>
      </c>
      <c r="U1213" t="s">
        <v>47883</v>
      </c>
      <c r="W1213" t="s">
        <v>41455</v>
      </c>
      <c r="X1213" t="s">
        <v>44908</v>
      </c>
    </row>
    <row r="1214" spans="1:24">
      <c r="A1214">
        <f>HYPERLINK("https://www.philgeps.gov.ph/GEPSNONPILOT/Tender/SplashBidNoticeAbstractUI.aspx?menuIndex=3&amp;refID=7083004&amp;Result=3","7083004")</f>
        <v>0</v>
      </c>
      <c r="B1214" t="s">
        <v>467</v>
      </c>
      <c r="C1214" t="s">
        <v>4688</v>
      </c>
      <c r="D1214" t="s">
        <v>18134</v>
      </c>
      <c r="E1214" t="s">
        <v>19329</v>
      </c>
      <c r="F1214" t="s">
        <v>31362</v>
      </c>
      <c r="G1214" t="s">
        <v>31368</v>
      </c>
      <c r="H1214" t="s">
        <v>15799</v>
      </c>
      <c r="I1214" t="s">
        <v>31430</v>
      </c>
      <c r="J1214" t="s">
        <v>32418</v>
      </c>
      <c r="K1214" t="s">
        <v>40677</v>
      </c>
      <c r="M1214" t="s">
        <v>41421</v>
      </c>
      <c r="N1214" t="s">
        <v>44905</v>
      </c>
      <c r="O1214" t="s">
        <v>44906</v>
      </c>
      <c r="P1214">
        <v>0</v>
      </c>
      <c r="Q1214">
        <v>1</v>
      </c>
      <c r="R1214" t="s">
        <v>44907</v>
      </c>
      <c r="S1214" t="s">
        <v>45026</v>
      </c>
      <c r="T1214" t="s">
        <v>46396</v>
      </c>
      <c r="U1214" t="s">
        <v>47957</v>
      </c>
      <c r="V1214" t="s">
        <v>59178</v>
      </c>
      <c r="W1214" t="s">
        <v>41421</v>
      </c>
      <c r="X1214" t="s">
        <v>44908</v>
      </c>
    </row>
    <row r="1215" spans="1:24">
      <c r="A1215">
        <f>HYPERLINK("https://www.philgeps.gov.ph/GEPSNONPILOT/Tender/SplashBidNoticeAbstractUI.aspx?menuIndex=3&amp;refID=7082990&amp;Result=3","7082990")</f>
        <v>0</v>
      </c>
      <c r="B1215" t="s">
        <v>535</v>
      </c>
      <c r="C1215" t="s">
        <v>4689</v>
      </c>
      <c r="D1215" t="s">
        <v>18109</v>
      </c>
      <c r="E1215" t="s">
        <v>18203</v>
      </c>
      <c r="F1215" t="s">
        <v>31362</v>
      </c>
      <c r="G1215" t="s">
        <v>31370</v>
      </c>
      <c r="H1215" t="s">
        <v>15799</v>
      </c>
      <c r="I1215" t="s">
        <v>31390</v>
      </c>
      <c r="J1215" t="s">
        <v>32419</v>
      </c>
      <c r="K1215" t="s">
        <v>40661</v>
      </c>
      <c r="M1215" t="s">
        <v>41491</v>
      </c>
      <c r="N1215" t="s">
        <v>44905</v>
      </c>
      <c r="O1215" t="s">
        <v>44906</v>
      </c>
      <c r="P1215">
        <v>0</v>
      </c>
      <c r="Q1215">
        <v>0</v>
      </c>
      <c r="R1215" t="s">
        <v>44907</v>
      </c>
      <c r="S1215" t="s">
        <v>45026</v>
      </c>
      <c r="T1215" t="s">
        <v>46427</v>
      </c>
      <c r="U1215" t="s">
        <v>46940</v>
      </c>
      <c r="W1215" t="s">
        <v>41491</v>
      </c>
      <c r="X1215" t="s">
        <v>44908</v>
      </c>
    </row>
    <row r="1216" spans="1:24">
      <c r="A1216">
        <f>HYPERLINK("https://www.philgeps.gov.ph/GEPSNONPILOT/Tender/SplashBidNoticeAbstractUI.aspx?menuIndex=3&amp;refID=7082987&amp;Result=3","7082987")</f>
        <v>0</v>
      </c>
      <c r="B1216" t="s">
        <v>117</v>
      </c>
      <c r="C1216" t="s">
        <v>4690</v>
      </c>
      <c r="D1216" t="s">
        <v>18104</v>
      </c>
      <c r="E1216" t="s">
        <v>19330</v>
      </c>
      <c r="F1216" t="s">
        <v>31362</v>
      </c>
      <c r="G1216" t="s">
        <v>31368</v>
      </c>
      <c r="H1216" t="s">
        <v>31377</v>
      </c>
      <c r="I1216" t="s">
        <v>31377</v>
      </c>
      <c r="J1216" t="s">
        <v>32122</v>
      </c>
      <c r="K1216" t="s">
        <v>40662</v>
      </c>
      <c r="M1216" t="s">
        <v>41054</v>
      </c>
      <c r="N1216" t="s">
        <v>44905</v>
      </c>
      <c r="O1216" t="s">
        <v>44906</v>
      </c>
      <c r="P1216">
        <v>0</v>
      </c>
      <c r="Q1216">
        <v>0</v>
      </c>
      <c r="R1216" t="s">
        <v>44907</v>
      </c>
      <c r="S1216" t="s">
        <v>45026</v>
      </c>
      <c r="T1216" t="s">
        <v>46403</v>
      </c>
      <c r="U1216" t="s">
        <v>47958</v>
      </c>
      <c r="W1216" t="s">
        <v>41054</v>
      </c>
      <c r="X1216" t="s">
        <v>44908</v>
      </c>
    </row>
    <row r="1217" spans="1:24">
      <c r="A1217">
        <f>HYPERLINK("https://www.philgeps.gov.ph/GEPSNONPILOT/Tender/SplashBidNoticeAbstractUI.aspx?menuIndex=3&amp;refID=7083003&amp;Result=3","7083003")</f>
        <v>0</v>
      </c>
      <c r="B1217" t="s">
        <v>532</v>
      </c>
      <c r="C1217" t="s">
        <v>4691</v>
      </c>
      <c r="D1217" t="s">
        <v>18157</v>
      </c>
      <c r="E1217" t="s">
        <v>19331</v>
      </c>
      <c r="F1217" t="s">
        <v>31362</v>
      </c>
      <c r="G1217" t="s">
        <v>31368</v>
      </c>
      <c r="H1217" t="s">
        <v>15799</v>
      </c>
      <c r="I1217" t="s">
        <v>31456</v>
      </c>
      <c r="J1217" t="s">
        <v>32420</v>
      </c>
      <c r="K1217" t="s">
        <v>40661</v>
      </c>
      <c r="M1217" t="s">
        <v>41488</v>
      </c>
      <c r="N1217" t="s">
        <v>44905</v>
      </c>
      <c r="O1217" t="s">
        <v>44906</v>
      </c>
      <c r="P1217">
        <v>0</v>
      </c>
      <c r="Q1217">
        <v>4</v>
      </c>
      <c r="R1217" t="s">
        <v>44907</v>
      </c>
      <c r="S1217" t="s">
        <v>45026</v>
      </c>
      <c r="T1217" t="s">
        <v>46446</v>
      </c>
      <c r="U1217" t="s">
        <v>47951</v>
      </c>
      <c r="V1217" t="s">
        <v>59195</v>
      </c>
      <c r="W1217" t="s">
        <v>41488</v>
      </c>
      <c r="X1217" t="s">
        <v>44908</v>
      </c>
    </row>
    <row r="1218" spans="1:24">
      <c r="A1218">
        <f>HYPERLINK("https://www.philgeps.gov.ph/GEPSNONPILOT/Tender/SplashBidNoticeAbstractUI.aspx?menuIndex=3&amp;refID=7083011&amp;Result=3","7083011")</f>
        <v>0</v>
      </c>
      <c r="B1218" t="s">
        <v>536</v>
      </c>
      <c r="C1218" t="s">
        <v>4692</v>
      </c>
      <c r="D1218" t="s">
        <v>18152</v>
      </c>
      <c r="E1218" t="s">
        <v>18694</v>
      </c>
      <c r="F1218" t="s">
        <v>31362</v>
      </c>
      <c r="G1218" t="s">
        <v>31369</v>
      </c>
      <c r="H1218" t="s">
        <v>15799</v>
      </c>
      <c r="I1218" t="s">
        <v>31438</v>
      </c>
      <c r="J1218" t="s">
        <v>32421</v>
      </c>
      <c r="K1218" t="s">
        <v>40665</v>
      </c>
      <c r="M1218" t="s">
        <v>41492</v>
      </c>
      <c r="N1218" t="s">
        <v>44905</v>
      </c>
      <c r="O1218" t="s">
        <v>44906</v>
      </c>
      <c r="P1218">
        <v>0</v>
      </c>
      <c r="Q1218">
        <v>1</v>
      </c>
      <c r="R1218" t="s">
        <v>44907</v>
      </c>
      <c r="S1218" t="s">
        <v>45026</v>
      </c>
      <c r="T1218" t="s">
        <v>46547</v>
      </c>
      <c r="U1218" t="s">
        <v>47959</v>
      </c>
      <c r="V1218" t="s">
        <v>59197</v>
      </c>
      <c r="W1218" t="s">
        <v>41492</v>
      </c>
      <c r="X1218" t="s">
        <v>44908</v>
      </c>
    </row>
    <row r="1219" spans="1:24">
      <c r="A1219">
        <f>HYPERLINK("https://www.philgeps.gov.ph/GEPSNONPILOT/Tender/SplashBidNoticeAbstractUI.aspx?menuIndex=3&amp;refID=7083008&amp;Result=3","7083008")</f>
        <v>0</v>
      </c>
      <c r="B1219" t="s">
        <v>534</v>
      </c>
      <c r="C1219" t="s">
        <v>4693</v>
      </c>
      <c r="D1219" t="s">
        <v>18131</v>
      </c>
      <c r="E1219" t="s">
        <v>19332</v>
      </c>
      <c r="F1219" t="s">
        <v>31362</v>
      </c>
      <c r="G1219" t="s">
        <v>31368</v>
      </c>
      <c r="H1219" t="s">
        <v>15799</v>
      </c>
      <c r="I1219" t="s">
        <v>6373</v>
      </c>
      <c r="J1219" t="s">
        <v>31545</v>
      </c>
      <c r="K1219" t="s">
        <v>40670</v>
      </c>
      <c r="M1219" t="s">
        <v>41490</v>
      </c>
      <c r="N1219" t="s">
        <v>44905</v>
      </c>
      <c r="O1219" t="s">
        <v>44906</v>
      </c>
      <c r="P1219">
        <v>0</v>
      </c>
      <c r="Q1219">
        <v>0</v>
      </c>
      <c r="R1219" t="s">
        <v>44907</v>
      </c>
      <c r="S1219" t="s">
        <v>45026</v>
      </c>
      <c r="T1219" t="s">
        <v>46435</v>
      </c>
      <c r="U1219" t="s">
        <v>47960</v>
      </c>
      <c r="W1219" t="s">
        <v>41490</v>
      </c>
      <c r="X1219" t="s">
        <v>44908</v>
      </c>
    </row>
    <row r="1220" spans="1:24">
      <c r="A1220">
        <f>HYPERLINK("https://www.philgeps.gov.ph/GEPSNONPILOT/Tender/SplashBidNoticeAbstractUI.aspx?menuIndex=3&amp;refID=7083028&amp;Result=3","7083028")</f>
        <v>0</v>
      </c>
      <c r="B1220" t="s">
        <v>537</v>
      </c>
      <c r="C1220" t="s">
        <v>4694</v>
      </c>
      <c r="D1220" t="s">
        <v>18108</v>
      </c>
      <c r="E1220" t="s">
        <v>19333</v>
      </c>
      <c r="F1220" t="s">
        <v>31362</v>
      </c>
      <c r="G1220" t="s">
        <v>31368</v>
      </c>
      <c r="H1220" t="s">
        <v>15799</v>
      </c>
      <c r="I1220" t="s">
        <v>31464</v>
      </c>
      <c r="J1220" t="s">
        <v>32422</v>
      </c>
      <c r="K1220" t="s">
        <v>40665</v>
      </c>
      <c r="M1220" t="s">
        <v>41493</v>
      </c>
      <c r="N1220" t="s">
        <v>44905</v>
      </c>
      <c r="O1220" t="s">
        <v>44906</v>
      </c>
      <c r="P1220">
        <v>0</v>
      </c>
      <c r="Q1220">
        <v>0</v>
      </c>
      <c r="R1220" t="s">
        <v>44907</v>
      </c>
      <c r="S1220" t="s">
        <v>45026</v>
      </c>
      <c r="T1220" t="s">
        <v>46503</v>
      </c>
      <c r="U1220" t="s">
        <v>47961</v>
      </c>
      <c r="W1220" t="s">
        <v>41493</v>
      </c>
      <c r="X1220" t="s">
        <v>44908</v>
      </c>
    </row>
    <row r="1221" spans="1:24">
      <c r="A1221">
        <f>HYPERLINK("https://www.philgeps.gov.ph/GEPSNONPILOT/Tender/SplashBidNoticeAbstractUI.aspx?menuIndex=3&amp;refID=7083027&amp;Result=3","7083027")</f>
        <v>0</v>
      </c>
      <c r="B1221" t="s">
        <v>538</v>
      </c>
      <c r="C1221" t="s">
        <v>4097</v>
      </c>
      <c r="D1221" t="s">
        <v>18110</v>
      </c>
      <c r="E1221" t="s">
        <v>18688</v>
      </c>
      <c r="F1221" t="s">
        <v>31362</v>
      </c>
      <c r="G1221" t="s">
        <v>31370</v>
      </c>
      <c r="H1221" t="s">
        <v>15799</v>
      </c>
      <c r="I1221" t="s">
        <v>31385</v>
      </c>
      <c r="J1221" t="s">
        <v>31890</v>
      </c>
      <c r="K1221" t="s">
        <v>40693</v>
      </c>
      <c r="M1221" t="s">
        <v>41494</v>
      </c>
      <c r="N1221" t="s">
        <v>44905</v>
      </c>
      <c r="O1221" t="s">
        <v>44906</v>
      </c>
      <c r="P1221">
        <v>0</v>
      </c>
      <c r="Q1221">
        <v>0</v>
      </c>
      <c r="R1221" t="s">
        <v>44907</v>
      </c>
      <c r="S1221" t="s">
        <v>45026</v>
      </c>
      <c r="T1221" t="s">
        <v>46414</v>
      </c>
      <c r="U1221" t="s">
        <v>47749</v>
      </c>
      <c r="W1221" t="s">
        <v>41494</v>
      </c>
      <c r="X1221" t="s">
        <v>44908</v>
      </c>
    </row>
    <row r="1222" spans="1:24">
      <c r="A1222">
        <f>HYPERLINK("https://www.philgeps.gov.ph/GEPSNONPILOT/Tender/SplashBidNoticeAbstractUI.aspx?menuIndex=3&amp;refID=7083026&amp;Result=3","7083026")</f>
        <v>0</v>
      </c>
      <c r="B1222" t="s">
        <v>491</v>
      </c>
      <c r="C1222" t="s">
        <v>4695</v>
      </c>
      <c r="D1222" t="s">
        <v>18126</v>
      </c>
      <c r="E1222" t="s">
        <v>19334</v>
      </c>
      <c r="F1222" t="s">
        <v>31362</v>
      </c>
      <c r="G1222" t="s">
        <v>31368</v>
      </c>
      <c r="H1222" t="s">
        <v>15799</v>
      </c>
      <c r="I1222" t="s">
        <v>7188</v>
      </c>
      <c r="J1222" t="s">
        <v>32423</v>
      </c>
      <c r="K1222" t="s">
        <v>40666</v>
      </c>
      <c r="M1222" t="s">
        <v>41446</v>
      </c>
      <c r="N1222" t="s">
        <v>44905</v>
      </c>
      <c r="O1222" t="s">
        <v>44906</v>
      </c>
      <c r="P1222">
        <v>0</v>
      </c>
      <c r="Q1222">
        <v>2</v>
      </c>
      <c r="R1222" t="s">
        <v>44907</v>
      </c>
      <c r="S1222" t="s">
        <v>45026</v>
      </c>
      <c r="T1222" t="s">
        <v>46552</v>
      </c>
      <c r="U1222" t="s">
        <v>47962</v>
      </c>
      <c r="W1222" t="s">
        <v>41446</v>
      </c>
      <c r="X1222" t="s">
        <v>44908</v>
      </c>
    </row>
    <row r="1223" spans="1:24">
      <c r="A1223">
        <f>HYPERLINK("https://www.philgeps.gov.ph/GEPSNONPILOT/Tender/SplashBidNoticeAbstractUI.aspx?menuIndex=3&amp;refID=7083025&amp;Result=3","7083025")</f>
        <v>0</v>
      </c>
      <c r="B1223" t="s">
        <v>500</v>
      </c>
      <c r="C1223" t="s">
        <v>4696</v>
      </c>
      <c r="D1223" t="s">
        <v>18165</v>
      </c>
      <c r="E1223" t="s">
        <v>19335</v>
      </c>
      <c r="F1223" t="s">
        <v>31362</v>
      </c>
      <c r="G1223" t="s">
        <v>31370</v>
      </c>
      <c r="H1223" t="s">
        <v>15799</v>
      </c>
      <c r="I1223" t="s">
        <v>31404</v>
      </c>
      <c r="J1223" t="s">
        <v>32424</v>
      </c>
      <c r="K1223" t="s">
        <v>40662</v>
      </c>
      <c r="M1223" t="s">
        <v>41455</v>
      </c>
      <c r="N1223" t="s">
        <v>44905</v>
      </c>
      <c r="O1223" t="s">
        <v>44906</v>
      </c>
      <c r="P1223">
        <v>0</v>
      </c>
      <c r="Q1223">
        <v>0</v>
      </c>
      <c r="R1223" t="s">
        <v>44907</v>
      </c>
      <c r="S1223" t="s">
        <v>45026</v>
      </c>
      <c r="T1223" t="s">
        <v>46432</v>
      </c>
      <c r="U1223" t="s">
        <v>47883</v>
      </c>
      <c r="W1223" t="s">
        <v>41455</v>
      </c>
      <c r="X1223" t="s">
        <v>44908</v>
      </c>
    </row>
    <row r="1224" spans="1:24">
      <c r="A1224">
        <f>HYPERLINK("https://www.philgeps.gov.ph/GEPSNONPILOT/Tender/SplashBidNoticeAbstractUI.aspx?menuIndex=3&amp;refID=7083024&amp;Result=3","7083024")</f>
        <v>0</v>
      </c>
      <c r="B1224" t="s">
        <v>532</v>
      </c>
      <c r="C1224" t="s">
        <v>4697</v>
      </c>
      <c r="D1224" t="s">
        <v>18157</v>
      </c>
      <c r="E1224" t="s">
        <v>19336</v>
      </c>
      <c r="F1224" t="s">
        <v>31362</v>
      </c>
      <c r="G1224" t="s">
        <v>31368</v>
      </c>
      <c r="H1224" t="s">
        <v>15799</v>
      </c>
      <c r="I1224" t="s">
        <v>3815</v>
      </c>
      <c r="J1224" t="s">
        <v>32425</v>
      </c>
      <c r="K1224" t="s">
        <v>40665</v>
      </c>
      <c r="M1224" t="s">
        <v>41488</v>
      </c>
      <c r="N1224" t="s">
        <v>44905</v>
      </c>
      <c r="O1224" t="s">
        <v>44906</v>
      </c>
      <c r="P1224">
        <v>0</v>
      </c>
      <c r="Q1224">
        <v>1</v>
      </c>
      <c r="R1224" t="s">
        <v>44907</v>
      </c>
      <c r="S1224" t="s">
        <v>45026</v>
      </c>
      <c r="T1224" t="s">
        <v>46446</v>
      </c>
      <c r="U1224" t="s">
        <v>47951</v>
      </c>
      <c r="V1224" t="s">
        <v>59195</v>
      </c>
      <c r="W1224" t="s">
        <v>41488</v>
      </c>
      <c r="X1224" t="s">
        <v>44908</v>
      </c>
    </row>
    <row r="1225" spans="1:24">
      <c r="A1225">
        <f>HYPERLINK("https://www.philgeps.gov.ph/GEPSNONPILOT/Tender/SplashBidNoticeAbstractUI.aspx?menuIndex=3&amp;refID=7082986&amp;Result=3","7082986")</f>
        <v>0</v>
      </c>
      <c r="B1225" t="s">
        <v>539</v>
      </c>
      <c r="C1225" t="s">
        <v>4698</v>
      </c>
      <c r="D1225" t="s">
        <v>18110</v>
      </c>
      <c r="E1225" t="s">
        <v>18273</v>
      </c>
      <c r="F1225" t="s">
        <v>31362</v>
      </c>
      <c r="G1225" t="s">
        <v>31368</v>
      </c>
      <c r="H1225" t="s">
        <v>31378</v>
      </c>
      <c r="I1225" t="s">
        <v>31386</v>
      </c>
      <c r="J1225" t="s">
        <v>32426</v>
      </c>
      <c r="K1225" t="s">
        <v>40670</v>
      </c>
      <c r="M1225" t="s">
        <v>41495</v>
      </c>
      <c r="N1225" t="s">
        <v>44905</v>
      </c>
      <c r="O1225" t="s">
        <v>44906</v>
      </c>
      <c r="P1225">
        <v>0</v>
      </c>
      <c r="Q1225">
        <v>0</v>
      </c>
      <c r="R1225" t="s">
        <v>44907</v>
      </c>
      <c r="S1225" t="s">
        <v>45026</v>
      </c>
      <c r="T1225" t="s">
        <v>46414</v>
      </c>
      <c r="U1225" t="s">
        <v>47963</v>
      </c>
      <c r="W1225" t="s">
        <v>41495</v>
      </c>
      <c r="X1225" t="s">
        <v>44908</v>
      </c>
    </row>
    <row r="1226" spans="1:24">
      <c r="A1226">
        <f>HYPERLINK("https://www.philgeps.gov.ph/GEPSNONPILOT/Tender/SplashBidNoticeAbstractUI.aspx?menuIndex=3&amp;refID=7083023&amp;Result=3","7083023")</f>
        <v>0</v>
      </c>
      <c r="B1226" t="s">
        <v>540</v>
      </c>
      <c r="C1226" t="s">
        <v>4699</v>
      </c>
      <c r="D1226" t="s">
        <v>18116</v>
      </c>
      <c r="E1226" t="s">
        <v>19337</v>
      </c>
      <c r="F1226" t="s">
        <v>31362</v>
      </c>
      <c r="G1226" t="s">
        <v>31369</v>
      </c>
      <c r="H1226" t="s">
        <v>31378</v>
      </c>
      <c r="I1226" t="s">
        <v>31386</v>
      </c>
      <c r="J1226" t="s">
        <v>32427</v>
      </c>
      <c r="K1226" t="s">
        <v>40665</v>
      </c>
      <c r="M1226" t="s">
        <v>41496</v>
      </c>
      <c r="N1226" t="s">
        <v>44905</v>
      </c>
      <c r="O1226" t="s">
        <v>44906</v>
      </c>
      <c r="P1226">
        <v>0</v>
      </c>
      <c r="Q1226">
        <v>0</v>
      </c>
      <c r="R1226" t="s">
        <v>44907</v>
      </c>
      <c r="S1226" t="s">
        <v>45026</v>
      </c>
      <c r="T1226" t="s">
        <v>46397</v>
      </c>
      <c r="U1226" t="s">
        <v>47964</v>
      </c>
      <c r="W1226" t="s">
        <v>41496</v>
      </c>
      <c r="X1226" t="s">
        <v>44908</v>
      </c>
    </row>
    <row r="1227" spans="1:24">
      <c r="A1227">
        <f>HYPERLINK("https://www.philgeps.gov.ph/GEPSNONPILOT/Tender/SplashBidNoticeAbstractUI.aspx?menuIndex=3&amp;refID=7083022&amp;Result=3","7083022")</f>
        <v>0</v>
      </c>
      <c r="B1227" t="s">
        <v>533</v>
      </c>
      <c r="C1227" t="s">
        <v>4700</v>
      </c>
      <c r="D1227" t="s">
        <v>18136</v>
      </c>
      <c r="E1227" t="s">
        <v>19338</v>
      </c>
      <c r="F1227" t="s">
        <v>31362</v>
      </c>
      <c r="G1227" t="s">
        <v>31369</v>
      </c>
      <c r="H1227" t="s">
        <v>15799</v>
      </c>
      <c r="I1227" t="s">
        <v>3815</v>
      </c>
      <c r="J1227" t="s">
        <v>32428</v>
      </c>
      <c r="K1227" t="s">
        <v>40677</v>
      </c>
      <c r="M1227" t="s">
        <v>41489</v>
      </c>
      <c r="N1227" t="s">
        <v>44905</v>
      </c>
      <c r="O1227" t="s">
        <v>44906</v>
      </c>
      <c r="P1227">
        <v>0</v>
      </c>
      <c r="Q1227">
        <v>0</v>
      </c>
      <c r="R1227" t="s">
        <v>44907</v>
      </c>
      <c r="S1227" t="s">
        <v>45026</v>
      </c>
      <c r="T1227" t="s">
        <v>46551</v>
      </c>
      <c r="U1227" t="s">
        <v>47965</v>
      </c>
      <c r="V1227" t="s">
        <v>59196</v>
      </c>
      <c r="W1227" t="s">
        <v>41489</v>
      </c>
      <c r="X1227" t="s">
        <v>44908</v>
      </c>
    </row>
    <row r="1228" spans="1:24">
      <c r="A1228">
        <f>HYPERLINK("https://www.philgeps.gov.ph/GEPSNONPILOT/Tender/SplashBidNoticeAbstractUI.aspx?menuIndex=3&amp;refID=7083020&amp;Result=3","7083020")</f>
        <v>0</v>
      </c>
      <c r="B1228" t="s">
        <v>541</v>
      </c>
      <c r="C1228" t="s">
        <v>4701</v>
      </c>
      <c r="D1228" t="s">
        <v>18104</v>
      </c>
      <c r="E1228" t="s">
        <v>19339</v>
      </c>
      <c r="F1228" t="s">
        <v>31362</v>
      </c>
      <c r="G1228" t="s">
        <v>31369</v>
      </c>
      <c r="H1228" t="s">
        <v>15799</v>
      </c>
      <c r="I1228" t="s">
        <v>7188</v>
      </c>
      <c r="J1228" t="s">
        <v>31530</v>
      </c>
      <c r="K1228" t="s">
        <v>40665</v>
      </c>
      <c r="M1228" t="s">
        <v>41497</v>
      </c>
      <c r="N1228" t="s">
        <v>44905</v>
      </c>
      <c r="O1228" t="s">
        <v>44906</v>
      </c>
      <c r="P1228">
        <v>0</v>
      </c>
      <c r="Q1228">
        <v>1</v>
      </c>
      <c r="R1228" t="s">
        <v>44907</v>
      </c>
      <c r="S1228" t="s">
        <v>45026</v>
      </c>
      <c r="T1228" t="s">
        <v>46505</v>
      </c>
      <c r="U1228" t="s">
        <v>47966</v>
      </c>
      <c r="V1228" t="s">
        <v>59198</v>
      </c>
      <c r="W1228" t="s">
        <v>41497</v>
      </c>
      <c r="X1228" t="s">
        <v>44908</v>
      </c>
    </row>
    <row r="1229" spans="1:24">
      <c r="A1229">
        <f>HYPERLINK("https://www.philgeps.gov.ph/GEPSNONPILOT/Tender/SplashBidNoticeAbstractUI.aspx?menuIndex=3&amp;refID=7083032&amp;Result=3","7083032")</f>
        <v>0</v>
      </c>
      <c r="B1229" t="s">
        <v>312</v>
      </c>
      <c r="C1229" t="s">
        <v>4702</v>
      </c>
      <c r="D1229" t="s">
        <v>18119</v>
      </c>
      <c r="E1229" t="s">
        <v>19340</v>
      </c>
      <c r="F1229" t="s">
        <v>31362</v>
      </c>
      <c r="G1229" t="s">
        <v>31370</v>
      </c>
      <c r="H1229" t="s">
        <v>15799</v>
      </c>
      <c r="I1229" t="s">
        <v>31393</v>
      </c>
      <c r="J1229" t="s">
        <v>32429</v>
      </c>
      <c r="K1229" t="s">
        <v>40666</v>
      </c>
      <c r="M1229" t="s">
        <v>41257</v>
      </c>
      <c r="N1229" t="s">
        <v>44905</v>
      </c>
      <c r="O1229" t="s">
        <v>44906</v>
      </c>
      <c r="P1229">
        <v>0</v>
      </c>
      <c r="Q1229">
        <v>6</v>
      </c>
      <c r="R1229" t="s">
        <v>44907</v>
      </c>
      <c r="S1229" t="s">
        <v>45026</v>
      </c>
      <c r="T1229" t="s">
        <v>46426</v>
      </c>
      <c r="U1229" t="s">
        <v>47967</v>
      </c>
      <c r="W1229" t="s">
        <v>41257</v>
      </c>
      <c r="X1229" t="s">
        <v>44908</v>
      </c>
    </row>
    <row r="1230" spans="1:24">
      <c r="A1230">
        <f>HYPERLINK("https://www.philgeps.gov.ph/GEPSNONPILOT/Tender/SplashBidNoticeAbstractUI.aspx?menuIndex=3&amp;refID=7083010&amp;Result=3","7083010")</f>
        <v>0</v>
      </c>
      <c r="B1230" t="s">
        <v>516</v>
      </c>
      <c r="C1230" t="s">
        <v>4703</v>
      </c>
      <c r="D1230" t="s">
        <v>18102</v>
      </c>
      <c r="E1230" t="s">
        <v>19341</v>
      </c>
      <c r="F1230" t="s">
        <v>31362</v>
      </c>
      <c r="G1230" t="s">
        <v>31368</v>
      </c>
      <c r="H1230" t="s">
        <v>15799</v>
      </c>
      <c r="I1230" t="s">
        <v>13635</v>
      </c>
      <c r="J1230" t="s">
        <v>32430</v>
      </c>
      <c r="K1230" t="s">
        <v>40665</v>
      </c>
      <c r="M1230" t="s">
        <v>41471</v>
      </c>
      <c r="N1230" t="s">
        <v>44905</v>
      </c>
      <c r="O1230" t="s">
        <v>44906</v>
      </c>
      <c r="P1230">
        <v>0</v>
      </c>
      <c r="Q1230">
        <v>5</v>
      </c>
      <c r="R1230" t="s">
        <v>44907</v>
      </c>
      <c r="S1230" t="s">
        <v>45026</v>
      </c>
      <c r="T1230" t="s">
        <v>46459</v>
      </c>
      <c r="U1230" t="s">
        <v>47920</v>
      </c>
      <c r="W1230" t="s">
        <v>41471</v>
      </c>
      <c r="X1230" t="s">
        <v>44908</v>
      </c>
    </row>
    <row r="1231" spans="1:24">
      <c r="A1231">
        <f>HYPERLINK("https://www.philgeps.gov.ph/GEPSNONPILOT/Tender/SplashBidNoticeAbstractUI.aspx?menuIndex=3&amp;refID=7083031&amp;Result=3","7083031")</f>
        <v>0</v>
      </c>
      <c r="B1231" t="s">
        <v>466</v>
      </c>
      <c r="C1231" t="s">
        <v>4704</v>
      </c>
      <c r="D1231" t="s">
        <v>18155</v>
      </c>
      <c r="E1231" t="s">
        <v>19342</v>
      </c>
      <c r="F1231" t="s">
        <v>31362</v>
      </c>
      <c r="G1231" t="s">
        <v>31372</v>
      </c>
      <c r="H1231" t="s">
        <v>15799</v>
      </c>
      <c r="I1231" t="s">
        <v>31397</v>
      </c>
      <c r="J1231" t="s">
        <v>32431</v>
      </c>
      <c r="K1231" t="s">
        <v>40665</v>
      </c>
      <c r="M1231" t="s">
        <v>41420</v>
      </c>
      <c r="N1231" t="s">
        <v>44905</v>
      </c>
      <c r="O1231" t="s">
        <v>44906</v>
      </c>
      <c r="P1231">
        <v>0</v>
      </c>
      <c r="Q1231">
        <v>0</v>
      </c>
      <c r="R1231" t="s">
        <v>44907</v>
      </c>
      <c r="S1231" t="s">
        <v>45026</v>
      </c>
      <c r="T1231" t="s">
        <v>46454</v>
      </c>
      <c r="U1231" t="s">
        <v>47968</v>
      </c>
      <c r="W1231" t="s">
        <v>41420</v>
      </c>
      <c r="X1231" t="s">
        <v>44908</v>
      </c>
    </row>
    <row r="1232" spans="1:24">
      <c r="A1232">
        <f>HYPERLINK("https://www.philgeps.gov.ph/GEPSNONPILOT/Tender/SplashBidNoticeAbstractUI.aspx?menuIndex=3&amp;refID=7083030&amp;Result=3","7083030")</f>
        <v>0</v>
      </c>
      <c r="B1232" t="s">
        <v>516</v>
      </c>
      <c r="C1232" t="s">
        <v>4705</v>
      </c>
      <c r="D1232" t="s">
        <v>18111</v>
      </c>
      <c r="E1232" t="s">
        <v>19343</v>
      </c>
      <c r="F1232" t="s">
        <v>31362</v>
      </c>
      <c r="G1232" t="s">
        <v>31371</v>
      </c>
      <c r="H1232" t="s">
        <v>15799</v>
      </c>
      <c r="I1232" t="s">
        <v>31413</v>
      </c>
      <c r="J1232" t="s">
        <v>32432</v>
      </c>
      <c r="K1232" t="s">
        <v>40665</v>
      </c>
      <c r="M1232" t="s">
        <v>41471</v>
      </c>
      <c r="N1232" t="s">
        <v>44905</v>
      </c>
      <c r="O1232" t="s">
        <v>44906</v>
      </c>
      <c r="P1232">
        <v>0</v>
      </c>
      <c r="Q1232">
        <v>2</v>
      </c>
      <c r="R1232" t="s">
        <v>44907</v>
      </c>
      <c r="S1232" t="s">
        <v>45026</v>
      </c>
      <c r="T1232" t="s">
        <v>46459</v>
      </c>
      <c r="U1232" t="s">
        <v>47920</v>
      </c>
      <c r="W1232" t="s">
        <v>41471</v>
      </c>
      <c r="X1232" t="s">
        <v>44908</v>
      </c>
    </row>
    <row r="1233" spans="1:24">
      <c r="A1233">
        <f>HYPERLINK("https://www.philgeps.gov.ph/GEPSNONPILOT/Tender/SplashBidNoticeAbstractUI.aspx?menuIndex=3&amp;refID=7083029&amp;Result=3","7083029")</f>
        <v>0</v>
      </c>
      <c r="B1233" t="s">
        <v>542</v>
      </c>
      <c r="C1233" t="s">
        <v>4706</v>
      </c>
      <c r="E1233" t="s">
        <v>19344</v>
      </c>
      <c r="F1233" t="s">
        <v>31362</v>
      </c>
      <c r="G1233" t="s">
        <v>31369</v>
      </c>
      <c r="H1233" t="s">
        <v>31377</v>
      </c>
      <c r="I1233" t="s">
        <v>31377</v>
      </c>
      <c r="J1233" t="s">
        <v>31531</v>
      </c>
      <c r="K1233" t="s">
        <v>40662</v>
      </c>
      <c r="M1233" t="s">
        <v>41498</v>
      </c>
      <c r="N1233" t="s">
        <v>44905</v>
      </c>
      <c r="O1233" t="s">
        <v>44906</v>
      </c>
      <c r="P1233">
        <v>0</v>
      </c>
      <c r="Q1233">
        <v>0</v>
      </c>
      <c r="R1233" t="s">
        <v>44907</v>
      </c>
      <c r="S1233" t="s">
        <v>45026</v>
      </c>
      <c r="T1233" t="s">
        <v>46403</v>
      </c>
      <c r="U1233" t="s">
        <v>47969</v>
      </c>
      <c r="W1233" t="s">
        <v>41498</v>
      </c>
      <c r="X1233" t="s">
        <v>44908</v>
      </c>
    </row>
    <row r="1234" spans="1:24">
      <c r="A1234">
        <f>HYPERLINK("https://www.philgeps.gov.ph/GEPSNONPILOT/Tender/SplashBidNoticeAbstractUI.aspx?menuIndex=3&amp;refID=7083016&amp;Result=3","7083016")</f>
        <v>0</v>
      </c>
      <c r="B1234" t="s">
        <v>543</v>
      </c>
      <c r="C1234" t="s">
        <v>4707</v>
      </c>
      <c r="D1234" t="s">
        <v>18138</v>
      </c>
      <c r="E1234" t="s">
        <v>19345</v>
      </c>
      <c r="F1234" t="s">
        <v>31362</v>
      </c>
      <c r="G1234" t="s">
        <v>31368</v>
      </c>
      <c r="H1234" t="s">
        <v>15799</v>
      </c>
      <c r="I1234" t="s">
        <v>31430</v>
      </c>
      <c r="J1234" t="s">
        <v>32433</v>
      </c>
      <c r="K1234" t="s">
        <v>40670</v>
      </c>
      <c r="M1234" t="s">
        <v>41499</v>
      </c>
      <c r="N1234" t="s">
        <v>44905</v>
      </c>
      <c r="O1234" t="s">
        <v>44906</v>
      </c>
      <c r="P1234">
        <v>0</v>
      </c>
      <c r="Q1234">
        <v>0</v>
      </c>
      <c r="R1234" t="s">
        <v>44907</v>
      </c>
      <c r="S1234" t="s">
        <v>45026</v>
      </c>
      <c r="T1234" t="s">
        <v>46544</v>
      </c>
      <c r="U1234" t="s">
        <v>47970</v>
      </c>
      <c r="W1234" t="s">
        <v>41499</v>
      </c>
      <c r="X1234" t="s">
        <v>44908</v>
      </c>
    </row>
    <row r="1235" spans="1:24">
      <c r="A1235">
        <f>HYPERLINK("https://www.philgeps.gov.ph/GEPSNONPILOT/Tender/SplashBidNoticeAbstractUI.aspx?menuIndex=3&amp;refID=7083013&amp;Result=3","7083013")</f>
        <v>0</v>
      </c>
      <c r="B1235" t="s">
        <v>544</v>
      </c>
      <c r="C1235" t="s">
        <v>3545</v>
      </c>
      <c r="D1235" t="s">
        <v>18105</v>
      </c>
      <c r="E1235" t="s">
        <v>19346</v>
      </c>
      <c r="F1235" t="s">
        <v>31362</v>
      </c>
      <c r="G1235" t="s">
        <v>31369</v>
      </c>
      <c r="H1235" t="s">
        <v>31378</v>
      </c>
      <c r="I1235" t="s">
        <v>31386</v>
      </c>
      <c r="J1235" t="s">
        <v>31531</v>
      </c>
      <c r="K1235" t="s">
        <v>40680</v>
      </c>
      <c r="M1235" t="s">
        <v>41500</v>
      </c>
      <c r="N1235" t="s">
        <v>44905</v>
      </c>
      <c r="O1235" t="s">
        <v>44906</v>
      </c>
      <c r="P1235">
        <v>0</v>
      </c>
      <c r="Q1235">
        <v>0</v>
      </c>
      <c r="R1235" t="s">
        <v>44907</v>
      </c>
      <c r="S1235" t="s">
        <v>45026</v>
      </c>
      <c r="T1235" t="s">
        <v>46396</v>
      </c>
      <c r="U1235" t="s">
        <v>47971</v>
      </c>
      <c r="W1235" t="s">
        <v>41500</v>
      </c>
      <c r="X1235" t="s">
        <v>44908</v>
      </c>
    </row>
    <row r="1236" spans="1:24">
      <c r="A1236">
        <f>HYPERLINK("https://www.philgeps.gov.ph/GEPSNONPILOT/Tender/SplashBidNoticeAbstractUI.aspx?menuIndex=3&amp;refID=7083001&amp;Result=3","7083001")</f>
        <v>0</v>
      </c>
      <c r="B1236" t="s">
        <v>519</v>
      </c>
      <c r="C1236" t="s">
        <v>4708</v>
      </c>
      <c r="D1236" t="s">
        <v>18104</v>
      </c>
      <c r="E1236" t="s">
        <v>19347</v>
      </c>
      <c r="F1236" t="s">
        <v>31362</v>
      </c>
      <c r="G1236" t="s">
        <v>31368</v>
      </c>
      <c r="H1236" t="s">
        <v>15799</v>
      </c>
      <c r="I1236" t="s">
        <v>31410</v>
      </c>
      <c r="J1236" t="s">
        <v>32434</v>
      </c>
      <c r="K1236" t="s">
        <v>40675</v>
      </c>
      <c r="M1236" t="s">
        <v>41475</v>
      </c>
      <c r="N1236" t="s">
        <v>44905</v>
      </c>
      <c r="O1236" t="s">
        <v>44906</v>
      </c>
      <c r="P1236">
        <v>0</v>
      </c>
      <c r="Q1236">
        <v>0</v>
      </c>
      <c r="R1236" t="s">
        <v>44907</v>
      </c>
      <c r="S1236" t="s">
        <v>45026</v>
      </c>
      <c r="T1236" t="s">
        <v>46434</v>
      </c>
      <c r="U1236" t="s">
        <v>47972</v>
      </c>
      <c r="W1236" t="s">
        <v>41475</v>
      </c>
      <c r="X1236" t="s">
        <v>44908</v>
      </c>
    </row>
    <row r="1237" spans="1:24">
      <c r="A1237">
        <f>HYPERLINK("https://www.philgeps.gov.ph/GEPSNONPILOT/Tender/SplashBidNoticeAbstractUI.aspx?menuIndex=3&amp;refID=7083021&amp;Result=3","7083021")</f>
        <v>0</v>
      </c>
      <c r="B1237" t="s">
        <v>545</v>
      </c>
      <c r="C1237" t="s">
        <v>4709</v>
      </c>
      <c r="D1237" t="s">
        <v>18143</v>
      </c>
      <c r="E1237" t="s">
        <v>19348</v>
      </c>
      <c r="F1237" t="s">
        <v>31362</v>
      </c>
      <c r="G1237" t="s">
        <v>31369</v>
      </c>
      <c r="H1237" t="s">
        <v>15799</v>
      </c>
      <c r="I1237" t="s">
        <v>31422</v>
      </c>
      <c r="J1237" t="s">
        <v>32435</v>
      </c>
      <c r="K1237" t="s">
        <v>40661</v>
      </c>
      <c r="M1237" t="s">
        <v>41501</v>
      </c>
      <c r="N1237" t="s">
        <v>44905</v>
      </c>
      <c r="O1237" t="s">
        <v>44906</v>
      </c>
      <c r="P1237">
        <v>0</v>
      </c>
      <c r="Q1237">
        <v>1</v>
      </c>
      <c r="R1237" t="s">
        <v>44907</v>
      </c>
      <c r="S1237" t="s">
        <v>45026</v>
      </c>
      <c r="T1237" t="s">
        <v>46402</v>
      </c>
      <c r="U1237" t="s">
        <v>47973</v>
      </c>
      <c r="V1237" t="s">
        <v>59199</v>
      </c>
      <c r="W1237" t="s">
        <v>41501</v>
      </c>
      <c r="X1237" t="s">
        <v>44908</v>
      </c>
    </row>
    <row r="1238" spans="1:24">
      <c r="A1238">
        <f>HYPERLINK("https://www.philgeps.gov.ph/GEPSNONPILOT/Tender/SplashBidNoticeAbstractUI.aspx?menuIndex=3&amp;refID=7083035&amp;Result=3","7083035")</f>
        <v>0</v>
      </c>
      <c r="B1238" t="s">
        <v>387</v>
      </c>
      <c r="C1238" t="s">
        <v>4710</v>
      </c>
      <c r="D1238" t="s">
        <v>18152</v>
      </c>
      <c r="E1238" t="s">
        <v>19349</v>
      </c>
      <c r="F1238" t="s">
        <v>31362</v>
      </c>
      <c r="G1238" t="s">
        <v>31369</v>
      </c>
      <c r="H1238" t="s">
        <v>15799</v>
      </c>
      <c r="I1238" t="s">
        <v>4942</v>
      </c>
      <c r="J1238" t="s">
        <v>32436</v>
      </c>
      <c r="K1238" t="s">
        <v>40665</v>
      </c>
      <c r="M1238" t="s">
        <v>41335</v>
      </c>
      <c r="N1238" t="s">
        <v>44905</v>
      </c>
      <c r="O1238" t="s">
        <v>44906</v>
      </c>
      <c r="P1238">
        <v>0</v>
      </c>
      <c r="Q1238">
        <v>0</v>
      </c>
      <c r="R1238" t="s">
        <v>44907</v>
      </c>
      <c r="S1238" t="s">
        <v>45026</v>
      </c>
      <c r="T1238" t="s">
        <v>46462</v>
      </c>
      <c r="U1238" t="s">
        <v>47597</v>
      </c>
      <c r="V1238" t="s">
        <v>59153</v>
      </c>
      <c r="W1238" t="s">
        <v>41335</v>
      </c>
      <c r="X1238" t="s">
        <v>44908</v>
      </c>
    </row>
    <row r="1239" spans="1:24">
      <c r="A1239">
        <f>HYPERLINK("https://www.philgeps.gov.ph/GEPSNONPILOT/Tender/SplashBidNoticeAbstractUI.aspx?menuIndex=3&amp;refID=7083033&amp;Result=3","7083033")</f>
        <v>0</v>
      </c>
      <c r="B1239" t="s">
        <v>546</v>
      </c>
      <c r="C1239" t="s">
        <v>4711</v>
      </c>
      <c r="D1239" t="s">
        <v>18133</v>
      </c>
      <c r="E1239" t="s">
        <v>19350</v>
      </c>
      <c r="F1239" t="s">
        <v>31362</v>
      </c>
      <c r="G1239" t="s">
        <v>31370</v>
      </c>
      <c r="H1239" t="s">
        <v>15799</v>
      </c>
      <c r="I1239" t="s">
        <v>7090</v>
      </c>
      <c r="J1239" t="s">
        <v>32437</v>
      </c>
      <c r="K1239" t="s">
        <v>40662</v>
      </c>
      <c r="L1239" t="s">
        <v>546</v>
      </c>
      <c r="M1239" t="s">
        <v>41502</v>
      </c>
      <c r="N1239" t="s">
        <v>44905</v>
      </c>
      <c r="O1239" t="s">
        <v>44906</v>
      </c>
      <c r="P1239">
        <v>0</v>
      </c>
      <c r="Q1239">
        <v>2</v>
      </c>
      <c r="R1239" t="s">
        <v>44907</v>
      </c>
      <c r="S1239" t="s">
        <v>45026</v>
      </c>
      <c r="T1239" t="s">
        <v>46426</v>
      </c>
      <c r="U1239" t="s">
        <v>47974</v>
      </c>
      <c r="W1239" t="s">
        <v>41502</v>
      </c>
      <c r="X1239" t="s">
        <v>44908</v>
      </c>
    </row>
    <row r="1240" spans="1:24">
      <c r="A1240">
        <f>HYPERLINK("https://www.philgeps.gov.ph/GEPSNONPILOT/Tender/SplashBidNoticeAbstractUI.aspx?menuIndex=3&amp;refID=7083051&amp;Result=3","7083051")</f>
        <v>0</v>
      </c>
      <c r="B1240" t="s">
        <v>255</v>
      </c>
      <c r="C1240" t="s">
        <v>4712</v>
      </c>
      <c r="E1240" t="s">
        <v>19351</v>
      </c>
      <c r="F1240" t="s">
        <v>31362</v>
      </c>
      <c r="G1240" t="s">
        <v>31368</v>
      </c>
      <c r="H1240" t="s">
        <v>15799</v>
      </c>
      <c r="I1240" t="s">
        <v>31387</v>
      </c>
      <c r="J1240" t="s">
        <v>32438</v>
      </c>
      <c r="K1240" t="s">
        <v>40662</v>
      </c>
      <c r="M1240" t="s">
        <v>41195</v>
      </c>
      <c r="N1240" t="s">
        <v>44905</v>
      </c>
      <c r="O1240" t="s">
        <v>44906</v>
      </c>
      <c r="P1240">
        <v>0</v>
      </c>
      <c r="Q1240">
        <v>0</v>
      </c>
      <c r="R1240" t="s">
        <v>44907</v>
      </c>
      <c r="S1240" t="s">
        <v>45026</v>
      </c>
      <c r="T1240" t="s">
        <v>46462</v>
      </c>
      <c r="U1240" t="s">
        <v>47975</v>
      </c>
      <c r="W1240" t="s">
        <v>41195</v>
      </c>
      <c r="X1240" t="s">
        <v>44908</v>
      </c>
    </row>
    <row r="1241" spans="1:24">
      <c r="A1241">
        <f>HYPERLINK("https://www.philgeps.gov.ph/GEPSNONPILOT/Tender/SplashBidNoticeAbstractUI.aspx?menuIndex=3&amp;refID=7083048&amp;Result=3","7083048")</f>
        <v>0</v>
      </c>
      <c r="B1241" t="s">
        <v>547</v>
      </c>
      <c r="C1241" t="s">
        <v>4713</v>
      </c>
      <c r="D1241" t="s">
        <v>18108</v>
      </c>
      <c r="E1241" t="s">
        <v>19352</v>
      </c>
      <c r="F1241" t="s">
        <v>31362</v>
      </c>
      <c r="G1241" t="s">
        <v>31368</v>
      </c>
      <c r="H1241" t="s">
        <v>15799</v>
      </c>
      <c r="I1241" t="s">
        <v>31393</v>
      </c>
      <c r="J1241" t="s">
        <v>32439</v>
      </c>
      <c r="K1241" t="s">
        <v>40662</v>
      </c>
      <c r="M1241" t="s">
        <v>41503</v>
      </c>
      <c r="N1241" t="s">
        <v>44905</v>
      </c>
      <c r="O1241" t="s">
        <v>44906</v>
      </c>
      <c r="P1241">
        <v>0</v>
      </c>
      <c r="Q1241">
        <v>9</v>
      </c>
      <c r="R1241" t="s">
        <v>44907</v>
      </c>
      <c r="S1241" t="s">
        <v>45026</v>
      </c>
      <c r="T1241" t="s">
        <v>46412</v>
      </c>
      <c r="U1241" t="s">
        <v>47976</v>
      </c>
      <c r="W1241" t="s">
        <v>41503</v>
      </c>
      <c r="X1241" t="s">
        <v>44908</v>
      </c>
    </row>
    <row r="1242" spans="1:24">
      <c r="A1242">
        <f>HYPERLINK("https://www.philgeps.gov.ph/GEPSNONPILOT/Tender/SplashBidNoticeAbstractUI.aspx?menuIndex=3&amp;refID=7083019&amp;Result=3","7083019")</f>
        <v>0</v>
      </c>
      <c r="B1242" t="s">
        <v>548</v>
      </c>
      <c r="C1242" t="s">
        <v>4714</v>
      </c>
      <c r="D1242" t="s">
        <v>18154</v>
      </c>
      <c r="E1242" t="s">
        <v>19353</v>
      </c>
      <c r="F1242" t="s">
        <v>31362</v>
      </c>
      <c r="G1242" t="s">
        <v>31369</v>
      </c>
      <c r="H1242" t="s">
        <v>15799</v>
      </c>
      <c r="I1242" t="s">
        <v>31393</v>
      </c>
      <c r="J1242" t="s">
        <v>32440</v>
      </c>
      <c r="K1242" t="s">
        <v>40665</v>
      </c>
      <c r="M1242" t="s">
        <v>41504</v>
      </c>
      <c r="N1242" t="s">
        <v>44905</v>
      </c>
      <c r="O1242" t="s">
        <v>44906</v>
      </c>
      <c r="P1242">
        <v>0</v>
      </c>
      <c r="Q1242">
        <v>1</v>
      </c>
      <c r="R1242" t="s">
        <v>44907</v>
      </c>
      <c r="S1242" t="s">
        <v>45026</v>
      </c>
      <c r="T1242" t="s">
        <v>46433</v>
      </c>
      <c r="U1242" t="s">
        <v>47977</v>
      </c>
      <c r="W1242" t="s">
        <v>41504</v>
      </c>
      <c r="X1242" t="s">
        <v>44908</v>
      </c>
    </row>
    <row r="1243" spans="1:24">
      <c r="A1243">
        <f>HYPERLINK("https://www.philgeps.gov.ph/GEPSNONPILOT/Tender/SplashBidNoticeAbstractUI.aspx?menuIndex=3&amp;refID=7083047&amp;Result=3","7083047")</f>
        <v>0</v>
      </c>
      <c r="B1243" t="s">
        <v>533</v>
      </c>
      <c r="C1243" t="s">
        <v>4715</v>
      </c>
      <c r="D1243" t="s">
        <v>18136</v>
      </c>
      <c r="E1243" t="s">
        <v>19354</v>
      </c>
      <c r="F1243" t="s">
        <v>31362</v>
      </c>
      <c r="G1243" t="s">
        <v>31369</v>
      </c>
      <c r="H1243" t="s">
        <v>15799</v>
      </c>
      <c r="I1243" t="s">
        <v>3815</v>
      </c>
      <c r="J1243" t="s">
        <v>32441</v>
      </c>
      <c r="K1243" t="s">
        <v>40677</v>
      </c>
      <c r="M1243" t="s">
        <v>41489</v>
      </c>
      <c r="N1243" t="s">
        <v>44905</v>
      </c>
      <c r="O1243" t="s">
        <v>44906</v>
      </c>
      <c r="P1243">
        <v>0</v>
      </c>
      <c r="Q1243">
        <v>0</v>
      </c>
      <c r="R1243" t="s">
        <v>44907</v>
      </c>
      <c r="S1243" t="s">
        <v>45026</v>
      </c>
      <c r="T1243" t="s">
        <v>46551</v>
      </c>
      <c r="U1243" t="s">
        <v>47978</v>
      </c>
      <c r="V1243" t="s">
        <v>59196</v>
      </c>
      <c r="W1243" t="s">
        <v>41489</v>
      </c>
      <c r="X1243" t="s">
        <v>44908</v>
      </c>
    </row>
    <row r="1244" spans="1:24">
      <c r="A1244">
        <f>HYPERLINK("https://www.philgeps.gov.ph/GEPSNONPILOT/Tender/SplashBidNoticeAbstractUI.aspx?menuIndex=3&amp;refID=7083014&amp;Result=3","7083014")</f>
        <v>0</v>
      </c>
      <c r="B1244" t="s">
        <v>237</v>
      </c>
      <c r="C1244" t="s">
        <v>4716</v>
      </c>
      <c r="D1244" t="s">
        <v>18108</v>
      </c>
      <c r="E1244" t="s">
        <v>19355</v>
      </c>
      <c r="F1244" t="s">
        <v>31362</v>
      </c>
      <c r="G1244" t="s">
        <v>31370</v>
      </c>
      <c r="H1244" t="s">
        <v>15799</v>
      </c>
      <c r="I1244" t="s">
        <v>31380</v>
      </c>
      <c r="J1244" t="s">
        <v>32442</v>
      </c>
      <c r="K1244" t="s">
        <v>40670</v>
      </c>
      <c r="M1244" t="s">
        <v>41330</v>
      </c>
      <c r="N1244" t="s">
        <v>44905</v>
      </c>
      <c r="O1244" t="s">
        <v>44906</v>
      </c>
      <c r="P1244">
        <v>0</v>
      </c>
      <c r="Q1244">
        <v>2</v>
      </c>
      <c r="R1244" t="s">
        <v>44907</v>
      </c>
      <c r="S1244" t="s">
        <v>45026</v>
      </c>
      <c r="T1244" t="s">
        <v>46454</v>
      </c>
      <c r="U1244" t="s">
        <v>47979</v>
      </c>
      <c r="W1244" t="s">
        <v>41330</v>
      </c>
      <c r="X1244" t="s">
        <v>44908</v>
      </c>
    </row>
    <row r="1245" spans="1:24">
      <c r="A1245">
        <f>HYPERLINK("https://www.philgeps.gov.ph/GEPSNONPILOT/Tender/SplashBidNoticeAbstractUI.aspx?menuIndex=3&amp;refID=7083046&amp;Result=3","7083046")</f>
        <v>0</v>
      </c>
      <c r="B1245" t="s">
        <v>549</v>
      </c>
      <c r="C1245" t="s">
        <v>4717</v>
      </c>
      <c r="D1245" t="s">
        <v>18111</v>
      </c>
      <c r="E1245" t="s">
        <v>19356</v>
      </c>
      <c r="F1245" t="s">
        <v>31362</v>
      </c>
      <c r="G1245" t="s">
        <v>31370</v>
      </c>
      <c r="H1245" t="s">
        <v>15799</v>
      </c>
      <c r="I1245" t="s">
        <v>6373</v>
      </c>
      <c r="J1245" t="s">
        <v>32443</v>
      </c>
      <c r="K1245" t="s">
        <v>40673</v>
      </c>
      <c r="M1245" t="s">
        <v>41505</v>
      </c>
      <c r="N1245" t="s">
        <v>44905</v>
      </c>
      <c r="O1245" t="s">
        <v>44906</v>
      </c>
      <c r="P1245">
        <v>0</v>
      </c>
      <c r="Q1245">
        <v>3</v>
      </c>
      <c r="R1245" t="s">
        <v>44907</v>
      </c>
      <c r="S1245" t="s">
        <v>45026</v>
      </c>
      <c r="T1245" t="s">
        <v>46404</v>
      </c>
      <c r="U1245" t="s">
        <v>47980</v>
      </c>
      <c r="W1245" t="s">
        <v>41505</v>
      </c>
      <c r="X1245" t="s">
        <v>44908</v>
      </c>
    </row>
    <row r="1246" spans="1:24">
      <c r="A1246">
        <f>HYPERLINK("https://www.philgeps.gov.ph/GEPSNONPILOT/Tender/SplashBidNoticeAbstractUI.aspx?menuIndex=3&amp;refID=7083034&amp;Result=3","7083034")</f>
        <v>0</v>
      </c>
      <c r="B1246" t="s">
        <v>550</v>
      </c>
      <c r="C1246" t="s">
        <v>4718</v>
      </c>
      <c r="D1246" t="s">
        <v>18138</v>
      </c>
      <c r="E1246" t="s">
        <v>19357</v>
      </c>
      <c r="F1246" t="s">
        <v>31362</v>
      </c>
      <c r="G1246" t="s">
        <v>31368</v>
      </c>
      <c r="H1246" t="s">
        <v>15799</v>
      </c>
      <c r="I1246" t="s">
        <v>31415</v>
      </c>
      <c r="J1246" t="s">
        <v>32444</v>
      </c>
      <c r="K1246" t="s">
        <v>40666</v>
      </c>
      <c r="M1246" t="s">
        <v>41506</v>
      </c>
      <c r="N1246" t="s">
        <v>44905</v>
      </c>
      <c r="O1246" t="s">
        <v>44906</v>
      </c>
      <c r="P1246">
        <v>0</v>
      </c>
      <c r="Q1246">
        <v>0</v>
      </c>
      <c r="R1246" t="s">
        <v>44907</v>
      </c>
      <c r="S1246" t="s">
        <v>45026</v>
      </c>
      <c r="T1246" t="s">
        <v>46409</v>
      </c>
      <c r="U1246" t="s">
        <v>47981</v>
      </c>
      <c r="W1246" t="s">
        <v>41506</v>
      </c>
      <c r="X1246" t="s">
        <v>44908</v>
      </c>
    </row>
    <row r="1247" spans="1:24">
      <c r="A1247">
        <f>HYPERLINK("https://www.philgeps.gov.ph/GEPSNONPILOT/Tender/SplashBidNoticeAbstractUI.aspx?menuIndex=3&amp;refID=7083045&amp;Result=3","7083045")</f>
        <v>0</v>
      </c>
      <c r="B1247" t="s">
        <v>260</v>
      </c>
      <c r="C1247" t="s">
        <v>4719</v>
      </c>
      <c r="D1247" t="s">
        <v>18112</v>
      </c>
      <c r="E1247" t="s">
        <v>19358</v>
      </c>
      <c r="F1247" t="s">
        <v>31362</v>
      </c>
      <c r="G1247" t="s">
        <v>31368</v>
      </c>
      <c r="H1247" t="s">
        <v>15799</v>
      </c>
      <c r="I1247" t="s">
        <v>4057</v>
      </c>
      <c r="J1247" t="s">
        <v>32445</v>
      </c>
      <c r="K1247" t="s">
        <v>40662</v>
      </c>
      <c r="M1247" t="s">
        <v>41201</v>
      </c>
      <c r="N1247" t="s">
        <v>44905</v>
      </c>
      <c r="O1247" t="s">
        <v>44906</v>
      </c>
      <c r="P1247">
        <v>0</v>
      </c>
      <c r="Q1247">
        <v>0</v>
      </c>
      <c r="R1247" t="s">
        <v>44907</v>
      </c>
      <c r="S1247" t="s">
        <v>45026</v>
      </c>
      <c r="T1247" t="s">
        <v>46414</v>
      </c>
      <c r="U1247" t="s">
        <v>47982</v>
      </c>
      <c r="W1247" t="s">
        <v>41201</v>
      </c>
      <c r="X1247" t="s">
        <v>44908</v>
      </c>
    </row>
    <row r="1248" spans="1:24">
      <c r="A1248">
        <f>HYPERLINK("https://www.philgeps.gov.ph/GEPSNONPILOT/Tender/SplashBidNoticeAbstractUI.aspx?menuIndex=3&amp;refID=7083056&amp;Result=3","7083056")</f>
        <v>0</v>
      </c>
      <c r="B1248" t="s">
        <v>551</v>
      </c>
      <c r="C1248" t="s">
        <v>4720</v>
      </c>
      <c r="D1248" t="s">
        <v>18133</v>
      </c>
      <c r="E1248" t="s">
        <v>19359</v>
      </c>
      <c r="F1248" t="s">
        <v>31362</v>
      </c>
      <c r="G1248" t="s">
        <v>31371</v>
      </c>
      <c r="H1248" t="s">
        <v>15799</v>
      </c>
      <c r="I1248" t="s">
        <v>31427</v>
      </c>
      <c r="J1248" t="s">
        <v>32446</v>
      </c>
      <c r="K1248" t="s">
        <v>40666</v>
      </c>
      <c r="M1248" t="s">
        <v>41507</v>
      </c>
      <c r="N1248" t="s">
        <v>44905</v>
      </c>
      <c r="O1248" t="s">
        <v>44906</v>
      </c>
      <c r="P1248">
        <v>0</v>
      </c>
      <c r="Q1248">
        <v>2</v>
      </c>
      <c r="R1248" t="s">
        <v>44907</v>
      </c>
      <c r="S1248" t="s">
        <v>45026</v>
      </c>
      <c r="T1248" t="s">
        <v>46412</v>
      </c>
      <c r="U1248" t="s">
        <v>47983</v>
      </c>
      <c r="W1248" t="s">
        <v>41507</v>
      </c>
      <c r="X1248" t="s">
        <v>44908</v>
      </c>
    </row>
    <row r="1249" spans="1:24">
      <c r="A1249">
        <f>HYPERLINK("https://www.philgeps.gov.ph/GEPSNONPILOT/Tender/SplashBidNoticeAbstractUI.aspx?menuIndex=3&amp;refID=7083055&amp;Result=3","7083055")</f>
        <v>0</v>
      </c>
      <c r="B1249" t="s">
        <v>552</v>
      </c>
      <c r="C1249" t="s">
        <v>4721</v>
      </c>
      <c r="D1249" t="s">
        <v>18162</v>
      </c>
      <c r="E1249" t="s">
        <v>19360</v>
      </c>
      <c r="F1249" t="s">
        <v>31362</v>
      </c>
      <c r="G1249" t="s">
        <v>31368</v>
      </c>
      <c r="H1249" t="s">
        <v>15799</v>
      </c>
      <c r="I1249" t="s">
        <v>31388</v>
      </c>
      <c r="J1249" t="s">
        <v>32447</v>
      </c>
      <c r="K1249" t="s">
        <v>40666</v>
      </c>
      <c r="M1249" t="s">
        <v>41508</v>
      </c>
      <c r="N1249" t="s">
        <v>44905</v>
      </c>
      <c r="O1249" t="s">
        <v>44906</v>
      </c>
      <c r="P1249">
        <v>0</v>
      </c>
      <c r="Q1249">
        <v>0</v>
      </c>
      <c r="R1249" t="s">
        <v>44907</v>
      </c>
      <c r="S1249" t="s">
        <v>45026</v>
      </c>
      <c r="T1249" t="s">
        <v>46470</v>
      </c>
      <c r="U1249" t="s">
        <v>47984</v>
      </c>
      <c r="V1249" t="s">
        <v>59200</v>
      </c>
      <c r="W1249" t="s">
        <v>41508</v>
      </c>
      <c r="X1249" t="s">
        <v>44908</v>
      </c>
    </row>
    <row r="1250" spans="1:24">
      <c r="A1250">
        <f>HYPERLINK("https://www.philgeps.gov.ph/GEPSNONPILOT/Tender/SplashBidNoticeAbstractUI.aspx?menuIndex=3&amp;refID=7083049&amp;Result=3","7083049")</f>
        <v>0</v>
      </c>
      <c r="B1250" t="s">
        <v>447</v>
      </c>
      <c r="C1250" t="s">
        <v>4722</v>
      </c>
      <c r="D1250" t="s">
        <v>18109</v>
      </c>
      <c r="E1250" t="s">
        <v>19361</v>
      </c>
      <c r="F1250" t="s">
        <v>31362</v>
      </c>
      <c r="G1250" t="s">
        <v>31368</v>
      </c>
      <c r="H1250" t="s">
        <v>15799</v>
      </c>
      <c r="I1250" t="s">
        <v>31463</v>
      </c>
      <c r="J1250" t="s">
        <v>32448</v>
      </c>
      <c r="K1250" t="s">
        <v>40713</v>
      </c>
      <c r="M1250" t="s">
        <v>41401</v>
      </c>
      <c r="N1250" t="s">
        <v>44905</v>
      </c>
      <c r="O1250" t="s">
        <v>44906</v>
      </c>
      <c r="P1250">
        <v>0</v>
      </c>
      <c r="Q1250">
        <v>0</v>
      </c>
      <c r="R1250" t="s">
        <v>44907</v>
      </c>
      <c r="S1250" t="s">
        <v>45026</v>
      </c>
      <c r="T1250" t="s">
        <v>46409</v>
      </c>
      <c r="U1250" t="s">
        <v>47985</v>
      </c>
      <c r="V1250" t="s">
        <v>59201</v>
      </c>
      <c r="W1250" t="s">
        <v>41401</v>
      </c>
      <c r="X1250" t="s">
        <v>44908</v>
      </c>
    </row>
    <row r="1251" spans="1:24">
      <c r="A1251">
        <f>HYPERLINK("https://www.philgeps.gov.ph/GEPSNONPILOT/Tender/SplashBidNoticeAbstractUI.aspx?menuIndex=3&amp;refID=7083006&amp;Result=3","7083006")</f>
        <v>0</v>
      </c>
      <c r="B1251" t="s">
        <v>553</v>
      </c>
      <c r="C1251" t="s">
        <v>4723</v>
      </c>
      <c r="D1251" t="s">
        <v>18143</v>
      </c>
      <c r="E1251" t="s">
        <v>19362</v>
      </c>
      <c r="F1251" t="s">
        <v>31362</v>
      </c>
      <c r="G1251" t="s">
        <v>31368</v>
      </c>
      <c r="H1251" t="s">
        <v>15799</v>
      </c>
      <c r="I1251" t="s">
        <v>7188</v>
      </c>
      <c r="J1251" t="s">
        <v>31889</v>
      </c>
      <c r="K1251" t="s">
        <v>40665</v>
      </c>
      <c r="M1251" t="s">
        <v>41509</v>
      </c>
      <c r="N1251" t="s">
        <v>44905</v>
      </c>
      <c r="O1251" t="s">
        <v>44906</v>
      </c>
      <c r="P1251">
        <v>0</v>
      </c>
      <c r="Q1251">
        <v>3</v>
      </c>
      <c r="R1251" t="s">
        <v>44907</v>
      </c>
      <c r="S1251" t="s">
        <v>45026</v>
      </c>
      <c r="T1251" t="s">
        <v>46467</v>
      </c>
      <c r="U1251" t="s">
        <v>47986</v>
      </c>
      <c r="W1251" t="s">
        <v>41509</v>
      </c>
      <c r="X1251" t="s">
        <v>44908</v>
      </c>
    </row>
    <row r="1252" spans="1:24">
      <c r="A1252">
        <f>HYPERLINK("https://www.philgeps.gov.ph/GEPSNONPILOT/Tender/SplashBidNoticeAbstractUI.aspx?menuIndex=3&amp;refID=7083043&amp;Result=3","7083043")</f>
        <v>0</v>
      </c>
      <c r="B1252" t="s">
        <v>532</v>
      </c>
      <c r="C1252" t="s">
        <v>4724</v>
      </c>
      <c r="D1252" t="s">
        <v>18157</v>
      </c>
      <c r="E1252" t="s">
        <v>19363</v>
      </c>
      <c r="F1252" t="s">
        <v>31362</v>
      </c>
      <c r="G1252" t="s">
        <v>31368</v>
      </c>
      <c r="H1252" t="s">
        <v>15799</v>
      </c>
      <c r="I1252" t="s">
        <v>6240</v>
      </c>
      <c r="J1252" t="s">
        <v>32449</v>
      </c>
      <c r="K1252" t="s">
        <v>40661</v>
      </c>
      <c r="M1252" t="s">
        <v>41488</v>
      </c>
      <c r="N1252" t="s">
        <v>44905</v>
      </c>
      <c r="O1252" t="s">
        <v>44906</v>
      </c>
      <c r="P1252">
        <v>0</v>
      </c>
      <c r="Q1252">
        <v>0</v>
      </c>
      <c r="R1252" t="s">
        <v>44907</v>
      </c>
      <c r="S1252" t="s">
        <v>45026</v>
      </c>
      <c r="T1252" t="s">
        <v>46446</v>
      </c>
      <c r="U1252" t="s">
        <v>47951</v>
      </c>
      <c r="V1252" t="s">
        <v>59195</v>
      </c>
      <c r="W1252" t="s">
        <v>41488</v>
      </c>
      <c r="X1252" t="s">
        <v>44908</v>
      </c>
    </row>
    <row r="1253" spans="1:24">
      <c r="A1253">
        <f>HYPERLINK("https://www.philgeps.gov.ph/GEPSNONPILOT/Tender/SplashBidNoticeAbstractUI.aspx?menuIndex=3&amp;refID=7083038&amp;Result=3","7083038")</f>
        <v>0</v>
      </c>
      <c r="B1253" t="s">
        <v>554</v>
      </c>
      <c r="C1253" t="s">
        <v>4725</v>
      </c>
      <c r="D1253" t="s">
        <v>18148</v>
      </c>
      <c r="E1253" t="s">
        <v>19364</v>
      </c>
      <c r="F1253" t="s">
        <v>31362</v>
      </c>
      <c r="G1253" t="s">
        <v>31372</v>
      </c>
      <c r="H1253" t="s">
        <v>15799</v>
      </c>
      <c r="I1253" t="s">
        <v>3815</v>
      </c>
      <c r="J1253" t="s">
        <v>31738</v>
      </c>
      <c r="K1253" t="s">
        <v>40675</v>
      </c>
      <c r="M1253" t="s">
        <v>41510</v>
      </c>
      <c r="N1253" t="s">
        <v>44905</v>
      </c>
      <c r="O1253" t="s">
        <v>44906</v>
      </c>
      <c r="P1253">
        <v>0</v>
      </c>
      <c r="Q1253">
        <v>1</v>
      </c>
      <c r="R1253" t="s">
        <v>44907</v>
      </c>
      <c r="S1253" t="s">
        <v>45026</v>
      </c>
      <c r="T1253" t="s">
        <v>46403</v>
      </c>
      <c r="U1253" t="s">
        <v>47987</v>
      </c>
      <c r="W1253" t="s">
        <v>41510</v>
      </c>
      <c r="X1253" t="s">
        <v>44908</v>
      </c>
    </row>
    <row r="1254" spans="1:24">
      <c r="A1254">
        <f>HYPERLINK("https://www.philgeps.gov.ph/GEPSNONPILOT/Tender/SplashBidNoticeAbstractUI.aspx?menuIndex=3&amp;refID=7083012&amp;Result=3","7083012")</f>
        <v>0</v>
      </c>
      <c r="B1254" t="s">
        <v>378</v>
      </c>
      <c r="C1254" t="s">
        <v>4726</v>
      </c>
      <c r="D1254" t="s">
        <v>18156</v>
      </c>
      <c r="E1254" t="s">
        <v>19365</v>
      </c>
      <c r="F1254" t="s">
        <v>31362</v>
      </c>
      <c r="G1254" t="s">
        <v>31368</v>
      </c>
      <c r="H1254" t="s">
        <v>15799</v>
      </c>
      <c r="I1254" t="s">
        <v>31465</v>
      </c>
      <c r="J1254" t="s">
        <v>32450</v>
      </c>
      <c r="K1254" t="s">
        <v>40661</v>
      </c>
      <c r="M1254" t="s">
        <v>41325</v>
      </c>
      <c r="N1254" t="s">
        <v>44905</v>
      </c>
      <c r="O1254" t="s">
        <v>44906</v>
      </c>
      <c r="P1254">
        <v>0</v>
      </c>
      <c r="Q1254">
        <v>0</v>
      </c>
      <c r="R1254" t="s">
        <v>44907</v>
      </c>
      <c r="S1254" t="s">
        <v>45026</v>
      </c>
      <c r="T1254" t="s">
        <v>46434</v>
      </c>
      <c r="U1254" t="s">
        <v>47988</v>
      </c>
      <c r="W1254" t="s">
        <v>41325</v>
      </c>
      <c r="X1254" t="s">
        <v>44908</v>
      </c>
    </row>
    <row r="1255" spans="1:24">
      <c r="A1255">
        <f>HYPERLINK("https://www.philgeps.gov.ph/GEPSNONPILOT/Tender/SplashBidNoticeAbstractUI.aspx?menuIndex=3&amp;refID=7083037&amp;Result=3","7083037")</f>
        <v>0</v>
      </c>
      <c r="B1255" t="s">
        <v>363</v>
      </c>
      <c r="C1255" t="s">
        <v>4727</v>
      </c>
      <c r="D1255" t="s">
        <v>18136</v>
      </c>
      <c r="E1255" t="s">
        <v>19366</v>
      </c>
      <c r="F1255" t="s">
        <v>31362</v>
      </c>
      <c r="G1255" t="s">
        <v>31368</v>
      </c>
      <c r="H1255" t="s">
        <v>15799</v>
      </c>
      <c r="I1255" t="s">
        <v>4057</v>
      </c>
      <c r="J1255" t="s">
        <v>31577</v>
      </c>
      <c r="K1255" t="s">
        <v>40665</v>
      </c>
      <c r="M1255" t="s">
        <v>41310</v>
      </c>
      <c r="N1255" t="s">
        <v>44905</v>
      </c>
      <c r="O1255" t="s">
        <v>44906</v>
      </c>
      <c r="P1255">
        <v>0</v>
      </c>
      <c r="Q1255">
        <v>0</v>
      </c>
      <c r="R1255" t="s">
        <v>44907</v>
      </c>
      <c r="S1255" t="s">
        <v>45026</v>
      </c>
      <c r="T1255" t="s">
        <v>46432</v>
      </c>
      <c r="U1255" t="s">
        <v>47989</v>
      </c>
      <c r="W1255" t="s">
        <v>41310</v>
      </c>
      <c r="X1255" t="s">
        <v>44908</v>
      </c>
    </row>
    <row r="1256" spans="1:24">
      <c r="A1256">
        <f>HYPERLINK("https://www.philgeps.gov.ph/GEPSNONPILOT/Tender/SplashBidNoticeAbstractUI.aspx?menuIndex=3&amp;refID=7083050&amp;Result=3","7083050")</f>
        <v>0</v>
      </c>
      <c r="B1256" t="s">
        <v>555</v>
      </c>
      <c r="C1256" t="s">
        <v>4728</v>
      </c>
      <c r="D1256" t="s">
        <v>18148</v>
      </c>
      <c r="E1256" t="s">
        <v>19367</v>
      </c>
      <c r="F1256" t="s">
        <v>31362</v>
      </c>
      <c r="G1256" t="s">
        <v>31368</v>
      </c>
      <c r="H1256" t="s">
        <v>15799</v>
      </c>
      <c r="I1256" t="s">
        <v>31460</v>
      </c>
      <c r="J1256" t="s">
        <v>32451</v>
      </c>
      <c r="K1256" t="s">
        <v>40666</v>
      </c>
      <c r="M1256" t="s">
        <v>41511</v>
      </c>
      <c r="N1256" t="s">
        <v>44905</v>
      </c>
      <c r="O1256" t="s">
        <v>44906</v>
      </c>
      <c r="P1256">
        <v>0</v>
      </c>
      <c r="Q1256">
        <v>0</v>
      </c>
      <c r="R1256" t="s">
        <v>44907</v>
      </c>
      <c r="S1256" t="s">
        <v>45026</v>
      </c>
      <c r="T1256" t="s">
        <v>46454</v>
      </c>
      <c r="U1256" t="s">
        <v>47990</v>
      </c>
      <c r="V1256" t="s">
        <v>59202</v>
      </c>
      <c r="W1256" t="s">
        <v>41511</v>
      </c>
      <c r="X1256" t="s">
        <v>44908</v>
      </c>
    </row>
    <row r="1257" spans="1:24">
      <c r="A1257">
        <f>HYPERLINK("https://www.philgeps.gov.ph/GEPSNONPILOT/Tender/SplashBidNoticeAbstractUI.aspx?menuIndex=3&amp;refID=7083053&amp;Result=3","7083053")</f>
        <v>0</v>
      </c>
      <c r="B1257" t="s">
        <v>556</v>
      </c>
      <c r="C1257" t="s">
        <v>4729</v>
      </c>
      <c r="D1257" t="s">
        <v>18122</v>
      </c>
      <c r="E1257" t="s">
        <v>19368</v>
      </c>
      <c r="F1257" t="s">
        <v>31362</v>
      </c>
      <c r="G1257" t="s">
        <v>31368</v>
      </c>
      <c r="H1257" t="s">
        <v>15799</v>
      </c>
      <c r="I1257" t="s">
        <v>31387</v>
      </c>
      <c r="J1257" t="s">
        <v>32452</v>
      </c>
      <c r="K1257" t="s">
        <v>40665</v>
      </c>
      <c r="M1257" t="s">
        <v>41512</v>
      </c>
      <c r="N1257" t="s">
        <v>44905</v>
      </c>
      <c r="O1257" t="s">
        <v>44906</v>
      </c>
      <c r="P1257">
        <v>0</v>
      </c>
      <c r="Q1257">
        <v>0</v>
      </c>
      <c r="R1257" t="s">
        <v>44907</v>
      </c>
      <c r="S1257" t="s">
        <v>45026</v>
      </c>
      <c r="T1257" t="s">
        <v>46478</v>
      </c>
      <c r="U1257" t="s">
        <v>47991</v>
      </c>
      <c r="W1257" t="s">
        <v>60858</v>
      </c>
      <c r="X1257" t="s">
        <v>44908</v>
      </c>
    </row>
    <row r="1258" spans="1:24">
      <c r="A1258">
        <f>HYPERLINK("https://www.philgeps.gov.ph/GEPSNONPILOT/Tender/SplashBidNoticeAbstractUI.aspx?menuIndex=3&amp;refID=7083044&amp;Result=3","7083044")</f>
        <v>0</v>
      </c>
      <c r="B1258" t="s">
        <v>519</v>
      </c>
      <c r="C1258" t="s">
        <v>4730</v>
      </c>
      <c r="D1258" t="s">
        <v>18124</v>
      </c>
      <c r="E1258" t="s">
        <v>19369</v>
      </c>
      <c r="F1258" t="s">
        <v>31362</v>
      </c>
      <c r="G1258" t="s">
        <v>31368</v>
      </c>
      <c r="H1258" t="s">
        <v>15799</v>
      </c>
      <c r="I1258" t="s">
        <v>31459</v>
      </c>
      <c r="J1258" t="s">
        <v>32453</v>
      </c>
      <c r="K1258" t="s">
        <v>40675</v>
      </c>
      <c r="M1258" t="s">
        <v>41475</v>
      </c>
      <c r="N1258" t="s">
        <v>44905</v>
      </c>
      <c r="O1258" t="s">
        <v>44906</v>
      </c>
      <c r="P1258">
        <v>0</v>
      </c>
      <c r="Q1258">
        <v>0</v>
      </c>
      <c r="R1258" t="s">
        <v>44907</v>
      </c>
      <c r="S1258" t="s">
        <v>45026</v>
      </c>
      <c r="T1258" t="s">
        <v>46434</v>
      </c>
      <c r="U1258" t="s">
        <v>47992</v>
      </c>
      <c r="W1258" t="s">
        <v>41475</v>
      </c>
      <c r="X1258" t="s">
        <v>44908</v>
      </c>
    </row>
    <row r="1259" spans="1:24">
      <c r="A1259">
        <f>HYPERLINK("https://www.philgeps.gov.ph/GEPSNONPILOT/Tender/SplashBidNoticeAbstractUI.aspx?menuIndex=3&amp;refID=7083040&amp;Result=3","7083040")</f>
        <v>0</v>
      </c>
      <c r="B1259" t="s">
        <v>557</v>
      </c>
      <c r="C1259" t="s">
        <v>4731</v>
      </c>
      <c r="D1259" t="s">
        <v>18106</v>
      </c>
      <c r="E1259" t="s">
        <v>19370</v>
      </c>
      <c r="F1259" t="s">
        <v>31362</v>
      </c>
      <c r="G1259" t="s">
        <v>31369</v>
      </c>
      <c r="H1259" t="s">
        <v>31378</v>
      </c>
      <c r="I1259" t="s">
        <v>31386</v>
      </c>
      <c r="J1259" t="s">
        <v>32454</v>
      </c>
      <c r="K1259" t="s">
        <v>40661</v>
      </c>
      <c r="M1259" t="s">
        <v>41513</v>
      </c>
      <c r="N1259" t="s">
        <v>44905</v>
      </c>
      <c r="O1259" t="s">
        <v>44906</v>
      </c>
      <c r="P1259">
        <v>0</v>
      </c>
      <c r="Q1259">
        <v>0</v>
      </c>
      <c r="R1259" t="s">
        <v>44907</v>
      </c>
      <c r="S1259" t="s">
        <v>45026</v>
      </c>
      <c r="T1259" t="s">
        <v>46449</v>
      </c>
      <c r="U1259" t="s">
        <v>47993</v>
      </c>
      <c r="V1259" t="s">
        <v>59203</v>
      </c>
      <c r="W1259" t="s">
        <v>41513</v>
      </c>
      <c r="X1259" t="s">
        <v>44908</v>
      </c>
    </row>
    <row r="1260" spans="1:24">
      <c r="A1260">
        <f>HYPERLINK("https://www.philgeps.gov.ph/GEPSNONPILOT/Tender/SplashBidNoticeAbstractUI.aspx?menuIndex=3&amp;refID=7083036&amp;Result=3","7083036")</f>
        <v>0</v>
      </c>
      <c r="B1260" t="s">
        <v>552</v>
      </c>
      <c r="C1260" t="s">
        <v>4732</v>
      </c>
      <c r="D1260" t="s">
        <v>18162</v>
      </c>
      <c r="E1260" t="s">
        <v>19371</v>
      </c>
      <c r="F1260" t="s">
        <v>31362</v>
      </c>
      <c r="G1260" t="s">
        <v>31368</v>
      </c>
      <c r="H1260" t="s">
        <v>15799</v>
      </c>
      <c r="I1260" t="s">
        <v>31388</v>
      </c>
      <c r="J1260" t="s">
        <v>32455</v>
      </c>
      <c r="K1260" t="s">
        <v>40666</v>
      </c>
      <c r="M1260" t="s">
        <v>41508</v>
      </c>
      <c r="N1260" t="s">
        <v>44905</v>
      </c>
      <c r="O1260" t="s">
        <v>44906</v>
      </c>
      <c r="P1260">
        <v>0</v>
      </c>
      <c r="Q1260">
        <v>0</v>
      </c>
      <c r="R1260" t="s">
        <v>44907</v>
      </c>
      <c r="S1260" t="s">
        <v>45026</v>
      </c>
      <c r="T1260" t="s">
        <v>46470</v>
      </c>
      <c r="U1260" t="s">
        <v>47994</v>
      </c>
      <c r="V1260" t="s">
        <v>59204</v>
      </c>
      <c r="W1260" t="s">
        <v>41508</v>
      </c>
      <c r="X1260" t="s">
        <v>44908</v>
      </c>
    </row>
    <row r="1261" spans="1:24">
      <c r="A1261">
        <f>HYPERLINK("https://www.philgeps.gov.ph/GEPSNONPILOT/Tender/SplashBidNoticeAbstractUI.aspx?menuIndex=3&amp;refID=7083060&amp;Result=3","7083060")</f>
        <v>0</v>
      </c>
      <c r="B1261" t="s">
        <v>522</v>
      </c>
      <c r="C1261" t="s">
        <v>4733</v>
      </c>
      <c r="E1261" t="s">
        <v>19372</v>
      </c>
      <c r="F1261" t="s">
        <v>31362</v>
      </c>
      <c r="G1261" t="s">
        <v>31368</v>
      </c>
      <c r="H1261" t="s">
        <v>31377</v>
      </c>
      <c r="I1261" t="s">
        <v>31412</v>
      </c>
      <c r="J1261" t="s">
        <v>32456</v>
      </c>
      <c r="K1261" t="s">
        <v>40662</v>
      </c>
      <c r="M1261" t="s">
        <v>41478</v>
      </c>
      <c r="N1261" t="s">
        <v>44905</v>
      </c>
      <c r="O1261" t="s">
        <v>44906</v>
      </c>
      <c r="P1261">
        <v>0</v>
      </c>
      <c r="Q1261">
        <v>1</v>
      </c>
      <c r="R1261" t="s">
        <v>44907</v>
      </c>
      <c r="S1261" t="s">
        <v>45026</v>
      </c>
      <c r="T1261" t="s">
        <v>46438</v>
      </c>
      <c r="U1261" t="s">
        <v>47995</v>
      </c>
      <c r="W1261" t="s">
        <v>41478</v>
      </c>
      <c r="X1261" t="s">
        <v>44908</v>
      </c>
    </row>
    <row r="1262" spans="1:24">
      <c r="A1262">
        <f>HYPERLINK("https://www.philgeps.gov.ph/GEPSNONPILOT/Tender/SplashBidNoticeAbstractUI.aspx?menuIndex=3&amp;refID=7083052&amp;Result=3","7083052")</f>
        <v>0</v>
      </c>
      <c r="B1262" t="s">
        <v>516</v>
      </c>
      <c r="C1262" t="s">
        <v>4734</v>
      </c>
      <c r="D1262" t="s">
        <v>18102</v>
      </c>
      <c r="E1262" t="s">
        <v>19373</v>
      </c>
      <c r="F1262" t="s">
        <v>31362</v>
      </c>
      <c r="G1262" t="s">
        <v>31371</v>
      </c>
      <c r="H1262" t="s">
        <v>15799</v>
      </c>
      <c r="I1262" t="s">
        <v>31413</v>
      </c>
      <c r="J1262" t="s">
        <v>32457</v>
      </c>
      <c r="K1262" t="s">
        <v>40665</v>
      </c>
      <c r="M1262" t="s">
        <v>41471</v>
      </c>
      <c r="N1262" t="s">
        <v>44905</v>
      </c>
      <c r="O1262" t="s">
        <v>44906</v>
      </c>
      <c r="P1262">
        <v>0</v>
      </c>
      <c r="Q1262">
        <v>4</v>
      </c>
      <c r="R1262" t="s">
        <v>44907</v>
      </c>
      <c r="S1262" t="s">
        <v>45026</v>
      </c>
      <c r="T1262" t="s">
        <v>46459</v>
      </c>
      <c r="U1262" t="s">
        <v>47920</v>
      </c>
      <c r="W1262" t="s">
        <v>41471</v>
      </c>
      <c r="X1262" t="s">
        <v>44908</v>
      </c>
    </row>
    <row r="1263" spans="1:24">
      <c r="A1263">
        <f>HYPERLINK("https://www.philgeps.gov.ph/GEPSNONPILOT/Tender/SplashBidNoticeAbstractUI.aspx?menuIndex=3&amp;refID=7083069&amp;Result=3","7083069")</f>
        <v>0</v>
      </c>
      <c r="B1263" t="s">
        <v>387</v>
      </c>
      <c r="C1263" t="s">
        <v>4735</v>
      </c>
      <c r="D1263" t="s">
        <v>18152</v>
      </c>
      <c r="E1263" t="s">
        <v>19374</v>
      </c>
      <c r="F1263" t="s">
        <v>31362</v>
      </c>
      <c r="G1263" t="s">
        <v>31369</v>
      </c>
      <c r="H1263" t="s">
        <v>15799</v>
      </c>
      <c r="I1263" t="s">
        <v>31431</v>
      </c>
      <c r="J1263" t="s">
        <v>32458</v>
      </c>
      <c r="K1263" t="s">
        <v>40665</v>
      </c>
      <c r="M1263" t="s">
        <v>41335</v>
      </c>
      <c r="N1263" t="s">
        <v>44905</v>
      </c>
      <c r="O1263" t="s">
        <v>44906</v>
      </c>
      <c r="P1263">
        <v>0</v>
      </c>
      <c r="Q1263">
        <v>0</v>
      </c>
      <c r="R1263" t="s">
        <v>44907</v>
      </c>
      <c r="S1263" t="s">
        <v>45026</v>
      </c>
      <c r="T1263" t="s">
        <v>46462</v>
      </c>
      <c r="U1263" t="s">
        <v>47597</v>
      </c>
      <c r="V1263" t="s">
        <v>59153</v>
      </c>
      <c r="W1263" t="s">
        <v>41335</v>
      </c>
      <c r="X1263" t="s">
        <v>44908</v>
      </c>
    </row>
    <row r="1264" spans="1:24">
      <c r="A1264">
        <f>HYPERLINK("https://www.philgeps.gov.ph/GEPSNONPILOT/Tender/SplashBidNoticeAbstractUI.aspx?menuIndex=3&amp;refID=7083071&amp;Result=3","7083071")</f>
        <v>0</v>
      </c>
      <c r="B1264" t="s">
        <v>558</v>
      </c>
      <c r="C1264" t="s">
        <v>4736</v>
      </c>
      <c r="D1264" t="s">
        <v>18107</v>
      </c>
      <c r="E1264" t="s">
        <v>19375</v>
      </c>
      <c r="F1264" t="s">
        <v>31362</v>
      </c>
      <c r="G1264" t="s">
        <v>31370</v>
      </c>
      <c r="H1264" t="s">
        <v>15799</v>
      </c>
      <c r="I1264" t="s">
        <v>31380</v>
      </c>
      <c r="J1264" t="s">
        <v>32459</v>
      </c>
      <c r="K1264" t="s">
        <v>40661</v>
      </c>
      <c r="M1264" t="s">
        <v>41514</v>
      </c>
      <c r="N1264" t="s">
        <v>44905</v>
      </c>
      <c r="O1264" t="s">
        <v>44906</v>
      </c>
      <c r="P1264">
        <v>0</v>
      </c>
      <c r="Q1264">
        <v>1</v>
      </c>
      <c r="R1264" t="s">
        <v>44907</v>
      </c>
      <c r="S1264" t="s">
        <v>45026</v>
      </c>
      <c r="T1264" t="s">
        <v>46503</v>
      </c>
      <c r="U1264" t="s">
        <v>47996</v>
      </c>
      <c r="W1264" t="s">
        <v>41514</v>
      </c>
      <c r="X1264" t="s">
        <v>44908</v>
      </c>
    </row>
    <row r="1265" spans="1:24">
      <c r="A1265">
        <f>HYPERLINK("https://www.philgeps.gov.ph/GEPSNONPILOT/Tender/SplashBidNoticeAbstractUI.aspx?menuIndex=3&amp;refID=7083068&amp;Result=3","7083068")</f>
        <v>0</v>
      </c>
      <c r="B1265" t="s">
        <v>552</v>
      </c>
      <c r="C1265" t="s">
        <v>4737</v>
      </c>
      <c r="D1265" t="s">
        <v>18162</v>
      </c>
      <c r="E1265" t="s">
        <v>19376</v>
      </c>
      <c r="F1265" t="s">
        <v>31362</v>
      </c>
      <c r="G1265" t="s">
        <v>31368</v>
      </c>
      <c r="H1265" t="s">
        <v>15799</v>
      </c>
      <c r="I1265" t="s">
        <v>31388</v>
      </c>
      <c r="J1265" t="s">
        <v>32460</v>
      </c>
      <c r="K1265" t="s">
        <v>40666</v>
      </c>
      <c r="M1265" t="s">
        <v>41508</v>
      </c>
      <c r="N1265" t="s">
        <v>44905</v>
      </c>
      <c r="O1265" t="s">
        <v>44906</v>
      </c>
      <c r="P1265">
        <v>0</v>
      </c>
      <c r="Q1265">
        <v>0</v>
      </c>
      <c r="R1265" t="s">
        <v>44907</v>
      </c>
      <c r="S1265" t="s">
        <v>45026</v>
      </c>
      <c r="T1265" t="s">
        <v>46470</v>
      </c>
      <c r="U1265" t="s">
        <v>47984</v>
      </c>
      <c r="V1265" t="s">
        <v>59205</v>
      </c>
      <c r="W1265" t="s">
        <v>41508</v>
      </c>
      <c r="X1265" t="s">
        <v>44908</v>
      </c>
    </row>
    <row r="1266" spans="1:24">
      <c r="A1266">
        <f>HYPERLINK("https://www.philgeps.gov.ph/GEPSNONPILOT/Tender/SplashBidNoticeAbstractUI.aspx?menuIndex=3&amp;refID=7083066&amp;Result=3","7083066")</f>
        <v>0</v>
      </c>
      <c r="B1266" t="s">
        <v>467</v>
      </c>
      <c r="C1266" t="s">
        <v>4738</v>
      </c>
      <c r="D1266" t="s">
        <v>18134</v>
      </c>
      <c r="E1266" t="s">
        <v>19377</v>
      </c>
      <c r="F1266" t="s">
        <v>31362</v>
      </c>
      <c r="G1266" t="s">
        <v>31368</v>
      </c>
      <c r="H1266" t="s">
        <v>15799</v>
      </c>
      <c r="I1266" t="s">
        <v>7188</v>
      </c>
      <c r="J1266" t="s">
        <v>32461</v>
      </c>
      <c r="K1266" t="s">
        <v>40677</v>
      </c>
      <c r="M1266" t="s">
        <v>41421</v>
      </c>
      <c r="N1266" t="s">
        <v>44905</v>
      </c>
      <c r="O1266" t="s">
        <v>44906</v>
      </c>
      <c r="P1266">
        <v>0</v>
      </c>
      <c r="Q1266">
        <v>0</v>
      </c>
      <c r="R1266" t="s">
        <v>44907</v>
      </c>
      <c r="S1266" t="s">
        <v>45026</v>
      </c>
      <c r="T1266" t="s">
        <v>46396</v>
      </c>
      <c r="U1266" t="s">
        <v>47997</v>
      </c>
      <c r="V1266" t="s">
        <v>59178</v>
      </c>
      <c r="W1266" t="s">
        <v>41421</v>
      </c>
      <c r="X1266" t="s">
        <v>44908</v>
      </c>
    </row>
    <row r="1267" spans="1:24">
      <c r="A1267">
        <f>HYPERLINK("https://www.philgeps.gov.ph/GEPSNONPILOT/Tender/SplashBidNoticeAbstractUI.aspx?menuIndex=3&amp;refID=7083064&amp;Result=3","7083064")</f>
        <v>0</v>
      </c>
      <c r="B1267" t="s">
        <v>237</v>
      </c>
      <c r="C1267" t="s">
        <v>4739</v>
      </c>
      <c r="D1267" t="s">
        <v>18108</v>
      </c>
      <c r="E1267" t="s">
        <v>19378</v>
      </c>
      <c r="F1267" t="s">
        <v>31362</v>
      </c>
      <c r="G1267" t="s">
        <v>31370</v>
      </c>
      <c r="H1267" t="s">
        <v>15799</v>
      </c>
      <c r="I1267" t="s">
        <v>31380</v>
      </c>
      <c r="J1267" t="s">
        <v>32047</v>
      </c>
      <c r="K1267" t="s">
        <v>40670</v>
      </c>
      <c r="M1267" t="s">
        <v>41330</v>
      </c>
      <c r="N1267" t="s">
        <v>44905</v>
      </c>
      <c r="O1267" t="s">
        <v>44906</v>
      </c>
      <c r="P1267">
        <v>0</v>
      </c>
      <c r="Q1267">
        <v>1</v>
      </c>
      <c r="R1267" t="s">
        <v>44907</v>
      </c>
      <c r="S1267" t="s">
        <v>45026</v>
      </c>
      <c r="T1267" t="s">
        <v>46454</v>
      </c>
      <c r="U1267" t="s">
        <v>47998</v>
      </c>
      <c r="W1267" t="s">
        <v>41330</v>
      </c>
      <c r="X1267" t="s">
        <v>44908</v>
      </c>
    </row>
    <row r="1268" spans="1:24">
      <c r="A1268">
        <f>HYPERLINK("https://www.philgeps.gov.ph/GEPSNONPILOT/Tender/SplashBidNoticeAbstractUI.aspx?menuIndex=3&amp;refID=7083063&amp;Result=3","7083063")</f>
        <v>0</v>
      </c>
      <c r="B1268" t="s">
        <v>559</v>
      </c>
      <c r="C1268" t="s">
        <v>4740</v>
      </c>
      <c r="D1268" t="s">
        <v>18139</v>
      </c>
      <c r="E1268" t="s">
        <v>19379</v>
      </c>
      <c r="F1268" t="s">
        <v>31362</v>
      </c>
      <c r="G1268" t="s">
        <v>31369</v>
      </c>
      <c r="H1268" t="s">
        <v>31378</v>
      </c>
      <c r="I1268" t="s">
        <v>31386</v>
      </c>
      <c r="J1268" t="s">
        <v>32462</v>
      </c>
      <c r="K1268" t="s">
        <v>40722</v>
      </c>
      <c r="M1268" t="s">
        <v>41515</v>
      </c>
      <c r="N1268" t="s">
        <v>44905</v>
      </c>
      <c r="O1268" t="s">
        <v>44906</v>
      </c>
      <c r="P1268">
        <v>0</v>
      </c>
      <c r="Q1268">
        <v>0</v>
      </c>
      <c r="R1268" t="s">
        <v>44907</v>
      </c>
      <c r="S1268" t="s">
        <v>45026</v>
      </c>
      <c r="T1268" t="s">
        <v>46449</v>
      </c>
      <c r="U1268" t="s">
        <v>47999</v>
      </c>
      <c r="V1268" t="s">
        <v>59206</v>
      </c>
      <c r="W1268" t="s">
        <v>41515</v>
      </c>
      <c r="X1268" t="s">
        <v>44908</v>
      </c>
    </row>
    <row r="1269" spans="1:24">
      <c r="A1269">
        <f>HYPERLINK("https://www.philgeps.gov.ph/GEPSNONPILOT/Tender/SplashBidNoticeAbstractUI.aspx?menuIndex=3&amp;refID=7083062&amp;Result=3","7083062")</f>
        <v>0</v>
      </c>
      <c r="B1269" t="s">
        <v>541</v>
      </c>
      <c r="C1269" t="s">
        <v>4741</v>
      </c>
      <c r="D1269" t="s">
        <v>18104</v>
      </c>
      <c r="E1269" t="s">
        <v>19380</v>
      </c>
      <c r="F1269" t="s">
        <v>31362</v>
      </c>
      <c r="G1269" t="s">
        <v>31369</v>
      </c>
      <c r="H1269" t="s">
        <v>31378</v>
      </c>
      <c r="I1269" t="s">
        <v>31386</v>
      </c>
      <c r="J1269" t="s">
        <v>31937</v>
      </c>
      <c r="K1269" t="s">
        <v>40675</v>
      </c>
      <c r="M1269" t="s">
        <v>41497</v>
      </c>
      <c r="N1269" t="s">
        <v>44905</v>
      </c>
      <c r="O1269" t="s">
        <v>44906</v>
      </c>
      <c r="P1269">
        <v>0</v>
      </c>
      <c r="Q1269">
        <v>0</v>
      </c>
      <c r="R1269" t="s">
        <v>44907</v>
      </c>
      <c r="S1269" t="s">
        <v>45026</v>
      </c>
      <c r="T1269" t="s">
        <v>46505</v>
      </c>
      <c r="U1269" t="s">
        <v>47966</v>
      </c>
      <c r="V1269" t="s">
        <v>59198</v>
      </c>
      <c r="W1269" t="s">
        <v>41497</v>
      </c>
      <c r="X1269" t="s">
        <v>44908</v>
      </c>
    </row>
    <row r="1270" spans="1:24">
      <c r="A1270">
        <f>HYPERLINK("https://www.philgeps.gov.ph/GEPSNONPILOT/Tender/SplashBidNoticeAbstractUI.aspx?menuIndex=3&amp;refID=7083057&amp;Result=3","7083057")</f>
        <v>0</v>
      </c>
      <c r="B1270" t="s">
        <v>560</v>
      </c>
      <c r="C1270" t="s">
        <v>4742</v>
      </c>
      <c r="D1270" t="s">
        <v>18106</v>
      </c>
      <c r="E1270" t="s">
        <v>19381</v>
      </c>
      <c r="F1270" t="s">
        <v>31362</v>
      </c>
      <c r="G1270" t="s">
        <v>31368</v>
      </c>
      <c r="H1270" t="s">
        <v>15799</v>
      </c>
      <c r="I1270" t="s">
        <v>31383</v>
      </c>
      <c r="J1270" t="s">
        <v>32463</v>
      </c>
      <c r="K1270" t="s">
        <v>40666</v>
      </c>
      <c r="M1270" t="s">
        <v>41516</v>
      </c>
      <c r="N1270" t="s">
        <v>44905</v>
      </c>
      <c r="O1270" t="s">
        <v>44906</v>
      </c>
      <c r="P1270">
        <v>0</v>
      </c>
      <c r="Q1270">
        <v>5</v>
      </c>
      <c r="R1270" t="s">
        <v>44907</v>
      </c>
      <c r="S1270" t="s">
        <v>45026</v>
      </c>
      <c r="T1270" t="s">
        <v>46409</v>
      </c>
      <c r="U1270" t="s">
        <v>48000</v>
      </c>
      <c r="W1270" t="s">
        <v>41516</v>
      </c>
      <c r="X1270" t="s">
        <v>44908</v>
      </c>
    </row>
    <row r="1271" spans="1:24">
      <c r="A1271">
        <f>HYPERLINK("https://www.philgeps.gov.ph/GEPSNONPILOT/Tender/SplashBidNoticeAbstractUI.aspx?menuIndex=3&amp;refID=7083082&amp;Result=3","7083082")</f>
        <v>0</v>
      </c>
      <c r="B1271" t="s">
        <v>561</v>
      </c>
      <c r="C1271" t="s">
        <v>4743</v>
      </c>
      <c r="D1271" t="s">
        <v>18124</v>
      </c>
      <c r="E1271" t="s">
        <v>19382</v>
      </c>
      <c r="F1271" t="s">
        <v>31362</v>
      </c>
      <c r="G1271" t="s">
        <v>31369</v>
      </c>
      <c r="H1271" t="s">
        <v>15799</v>
      </c>
      <c r="I1271" t="s">
        <v>31388</v>
      </c>
      <c r="J1271" t="s">
        <v>32464</v>
      </c>
      <c r="K1271" t="s">
        <v>40670</v>
      </c>
      <c r="M1271" t="s">
        <v>41517</v>
      </c>
      <c r="N1271" t="s">
        <v>44905</v>
      </c>
      <c r="O1271" t="s">
        <v>44906</v>
      </c>
      <c r="P1271">
        <v>0</v>
      </c>
      <c r="Q1271">
        <v>0</v>
      </c>
      <c r="R1271" t="s">
        <v>44907</v>
      </c>
      <c r="S1271" t="s">
        <v>45026</v>
      </c>
      <c r="T1271" t="s">
        <v>46553</v>
      </c>
      <c r="U1271" t="s">
        <v>48001</v>
      </c>
      <c r="W1271" t="s">
        <v>41517</v>
      </c>
      <c r="X1271" t="s">
        <v>44908</v>
      </c>
    </row>
    <row r="1272" spans="1:24">
      <c r="A1272">
        <f>HYPERLINK("https://www.philgeps.gov.ph/GEPSNONPILOT/Tender/SplashBidNoticeAbstractUI.aspx?menuIndex=3&amp;refID=7083070&amp;Result=3","7083070")</f>
        <v>0</v>
      </c>
      <c r="B1272" t="s">
        <v>562</v>
      </c>
      <c r="C1272" t="s">
        <v>4744</v>
      </c>
      <c r="D1272" t="s">
        <v>18177</v>
      </c>
      <c r="E1272" t="s">
        <v>19383</v>
      </c>
      <c r="F1272" t="s">
        <v>31362</v>
      </c>
      <c r="G1272" t="s">
        <v>31368</v>
      </c>
      <c r="H1272" t="s">
        <v>15799</v>
      </c>
      <c r="I1272" t="s">
        <v>4942</v>
      </c>
      <c r="J1272" t="s">
        <v>32465</v>
      </c>
      <c r="K1272" t="s">
        <v>40697</v>
      </c>
      <c r="M1272" t="s">
        <v>41518</v>
      </c>
      <c r="N1272" t="s">
        <v>44905</v>
      </c>
      <c r="O1272" t="s">
        <v>44906</v>
      </c>
      <c r="P1272">
        <v>0</v>
      </c>
      <c r="Q1272">
        <v>0</v>
      </c>
      <c r="R1272" t="s">
        <v>44907</v>
      </c>
      <c r="S1272" t="s">
        <v>45026</v>
      </c>
      <c r="T1272" t="s">
        <v>46432</v>
      </c>
      <c r="U1272" t="s">
        <v>48002</v>
      </c>
      <c r="V1272" t="s">
        <v>59207</v>
      </c>
      <c r="W1272" t="s">
        <v>41518</v>
      </c>
      <c r="X1272" t="s">
        <v>44908</v>
      </c>
    </row>
    <row r="1273" spans="1:24">
      <c r="A1273">
        <f>HYPERLINK("https://www.philgeps.gov.ph/GEPSNONPILOT/Tender/SplashBidNoticeAbstractUI.aspx?menuIndex=3&amp;refID=7083065&amp;Result=3","7083065")</f>
        <v>0</v>
      </c>
      <c r="B1273" t="s">
        <v>533</v>
      </c>
      <c r="C1273" t="s">
        <v>4745</v>
      </c>
      <c r="D1273" t="s">
        <v>18136</v>
      </c>
      <c r="E1273" t="s">
        <v>19384</v>
      </c>
      <c r="F1273" t="s">
        <v>31362</v>
      </c>
      <c r="G1273" t="s">
        <v>31369</v>
      </c>
      <c r="H1273" t="s">
        <v>15799</v>
      </c>
      <c r="I1273" t="s">
        <v>3815</v>
      </c>
      <c r="J1273" t="s">
        <v>32466</v>
      </c>
      <c r="K1273" t="s">
        <v>40677</v>
      </c>
      <c r="M1273" t="s">
        <v>41489</v>
      </c>
      <c r="N1273" t="s">
        <v>44905</v>
      </c>
      <c r="O1273" t="s">
        <v>44906</v>
      </c>
      <c r="P1273">
        <v>0</v>
      </c>
      <c r="Q1273">
        <v>0</v>
      </c>
      <c r="R1273" t="s">
        <v>44907</v>
      </c>
      <c r="S1273" t="s">
        <v>45026</v>
      </c>
      <c r="T1273" t="s">
        <v>46551</v>
      </c>
      <c r="U1273" t="s">
        <v>48003</v>
      </c>
      <c r="V1273" t="s">
        <v>59196</v>
      </c>
      <c r="W1273" t="s">
        <v>41489</v>
      </c>
      <c r="X1273" t="s">
        <v>44908</v>
      </c>
    </row>
    <row r="1274" spans="1:24">
      <c r="A1274">
        <f>HYPERLINK("https://www.philgeps.gov.ph/GEPSNONPILOT/Tender/SplashBidNoticeAbstractUI.aspx?menuIndex=3&amp;refID=7083077&amp;Result=3","7083077")</f>
        <v>0</v>
      </c>
      <c r="B1274" t="s">
        <v>563</v>
      </c>
      <c r="C1274" t="s">
        <v>4746</v>
      </c>
      <c r="D1274" t="s">
        <v>18124</v>
      </c>
      <c r="E1274" t="s">
        <v>19385</v>
      </c>
      <c r="F1274" t="s">
        <v>31362</v>
      </c>
      <c r="G1274" t="s">
        <v>31368</v>
      </c>
      <c r="H1274" t="s">
        <v>15799</v>
      </c>
      <c r="I1274" t="s">
        <v>31415</v>
      </c>
      <c r="J1274" t="s">
        <v>31578</v>
      </c>
      <c r="K1274" t="s">
        <v>40697</v>
      </c>
      <c r="M1274" t="s">
        <v>41519</v>
      </c>
      <c r="N1274" t="s">
        <v>44905</v>
      </c>
      <c r="O1274" t="s">
        <v>44906</v>
      </c>
      <c r="P1274">
        <v>0</v>
      </c>
      <c r="Q1274">
        <v>0</v>
      </c>
      <c r="R1274" t="s">
        <v>44907</v>
      </c>
      <c r="S1274" t="s">
        <v>45026</v>
      </c>
      <c r="T1274" t="s">
        <v>46409</v>
      </c>
      <c r="U1274" t="s">
        <v>48004</v>
      </c>
      <c r="W1274" t="s">
        <v>41519</v>
      </c>
      <c r="X1274" t="s">
        <v>44908</v>
      </c>
    </row>
    <row r="1275" spans="1:24">
      <c r="A1275">
        <f>HYPERLINK("https://www.philgeps.gov.ph/GEPSNONPILOT/Tender/SplashBidNoticeAbstractUI.aspx?menuIndex=3&amp;refID=7083061&amp;Result=3","7083061")</f>
        <v>0</v>
      </c>
      <c r="B1275" t="s">
        <v>564</v>
      </c>
      <c r="C1275" t="s">
        <v>4747</v>
      </c>
      <c r="D1275" t="s">
        <v>18114</v>
      </c>
      <c r="E1275" t="s">
        <v>4747</v>
      </c>
      <c r="F1275" t="s">
        <v>31362</v>
      </c>
      <c r="G1275" t="s">
        <v>31368</v>
      </c>
      <c r="H1275" t="s">
        <v>15799</v>
      </c>
      <c r="I1275" t="s">
        <v>31421</v>
      </c>
      <c r="J1275" t="s">
        <v>31578</v>
      </c>
      <c r="K1275" t="s">
        <v>40665</v>
      </c>
      <c r="M1275" t="s">
        <v>41520</v>
      </c>
      <c r="N1275" t="s">
        <v>44905</v>
      </c>
      <c r="O1275" t="s">
        <v>44906</v>
      </c>
      <c r="P1275">
        <v>0</v>
      </c>
      <c r="Q1275">
        <v>1</v>
      </c>
      <c r="R1275" t="s">
        <v>44907</v>
      </c>
      <c r="S1275" t="s">
        <v>45026</v>
      </c>
      <c r="T1275" t="s">
        <v>46454</v>
      </c>
      <c r="U1275" t="s">
        <v>48005</v>
      </c>
      <c r="W1275" t="s">
        <v>41520</v>
      </c>
      <c r="X1275" t="s">
        <v>44908</v>
      </c>
    </row>
    <row r="1276" spans="1:24">
      <c r="A1276">
        <f>HYPERLINK("https://www.philgeps.gov.ph/GEPSNONPILOT/Tender/SplashBidNoticeAbstractUI.aspx?menuIndex=3&amp;refID=7083083&amp;Result=3","7083083")</f>
        <v>0</v>
      </c>
      <c r="B1276" t="s">
        <v>516</v>
      </c>
      <c r="C1276" t="s">
        <v>4748</v>
      </c>
      <c r="D1276" t="s">
        <v>18127</v>
      </c>
      <c r="E1276" t="s">
        <v>19386</v>
      </c>
      <c r="F1276" t="s">
        <v>31362</v>
      </c>
      <c r="G1276" t="s">
        <v>31371</v>
      </c>
      <c r="H1276" t="s">
        <v>15799</v>
      </c>
      <c r="I1276" t="s">
        <v>7090</v>
      </c>
      <c r="J1276" t="s">
        <v>32467</v>
      </c>
      <c r="K1276" t="s">
        <v>40665</v>
      </c>
      <c r="M1276" t="s">
        <v>41471</v>
      </c>
      <c r="N1276" t="s">
        <v>44905</v>
      </c>
      <c r="O1276" t="s">
        <v>44906</v>
      </c>
      <c r="P1276">
        <v>0</v>
      </c>
      <c r="Q1276">
        <v>1</v>
      </c>
      <c r="R1276" t="s">
        <v>44907</v>
      </c>
      <c r="S1276" t="s">
        <v>45026</v>
      </c>
      <c r="T1276" t="s">
        <v>46459</v>
      </c>
      <c r="U1276" t="s">
        <v>47920</v>
      </c>
      <c r="W1276" t="s">
        <v>41471</v>
      </c>
      <c r="X1276" t="s">
        <v>44908</v>
      </c>
    </row>
    <row r="1277" spans="1:24">
      <c r="A1277">
        <f>HYPERLINK("https://www.philgeps.gov.ph/GEPSNONPILOT/Tender/SplashBidNoticeAbstractUI.aspx?menuIndex=3&amp;refID=7083097&amp;Result=3","7083097")</f>
        <v>0</v>
      </c>
      <c r="B1277" t="s">
        <v>565</v>
      </c>
      <c r="C1277" t="s">
        <v>4749</v>
      </c>
      <c r="D1277" t="s">
        <v>18124</v>
      </c>
      <c r="E1277" t="s">
        <v>19387</v>
      </c>
      <c r="F1277" t="s">
        <v>31362</v>
      </c>
      <c r="G1277" t="s">
        <v>31369</v>
      </c>
      <c r="H1277" t="s">
        <v>31378</v>
      </c>
      <c r="I1277" t="s">
        <v>31439</v>
      </c>
      <c r="J1277" t="s">
        <v>31687</v>
      </c>
      <c r="K1277" t="s">
        <v>40665</v>
      </c>
      <c r="M1277" t="s">
        <v>41521</v>
      </c>
      <c r="N1277" t="s">
        <v>44905</v>
      </c>
      <c r="O1277" t="s">
        <v>44906</v>
      </c>
      <c r="P1277">
        <v>0</v>
      </c>
      <c r="Q1277">
        <v>0</v>
      </c>
      <c r="R1277" t="s">
        <v>44907</v>
      </c>
      <c r="S1277" t="s">
        <v>45026</v>
      </c>
      <c r="T1277" t="s">
        <v>46396</v>
      </c>
      <c r="U1277" t="s">
        <v>48006</v>
      </c>
      <c r="W1277" t="s">
        <v>41521</v>
      </c>
      <c r="X1277" t="s">
        <v>44908</v>
      </c>
    </row>
    <row r="1278" spans="1:24">
      <c r="A1278">
        <f>HYPERLINK("https://www.philgeps.gov.ph/GEPSNONPILOT/Tender/SplashBidNoticeAbstractUI.aspx?menuIndex=3&amp;refID=7083078&amp;Result=3","7083078")</f>
        <v>0</v>
      </c>
      <c r="B1278" t="s">
        <v>540</v>
      </c>
      <c r="C1278" t="s">
        <v>4750</v>
      </c>
      <c r="D1278" t="s">
        <v>18116</v>
      </c>
      <c r="E1278" t="s">
        <v>19388</v>
      </c>
      <c r="F1278" t="s">
        <v>31362</v>
      </c>
      <c r="G1278" t="s">
        <v>31369</v>
      </c>
      <c r="H1278" t="s">
        <v>31378</v>
      </c>
      <c r="I1278" t="s">
        <v>31386</v>
      </c>
      <c r="J1278" t="s">
        <v>31586</v>
      </c>
      <c r="K1278" t="s">
        <v>40677</v>
      </c>
      <c r="M1278" t="s">
        <v>41496</v>
      </c>
      <c r="N1278" t="s">
        <v>44905</v>
      </c>
      <c r="O1278" t="s">
        <v>44906</v>
      </c>
      <c r="P1278">
        <v>0</v>
      </c>
      <c r="Q1278">
        <v>0</v>
      </c>
      <c r="R1278" t="s">
        <v>44907</v>
      </c>
      <c r="S1278" t="s">
        <v>45026</v>
      </c>
      <c r="T1278" t="s">
        <v>46397</v>
      </c>
      <c r="U1278" t="s">
        <v>47964</v>
      </c>
      <c r="W1278" t="s">
        <v>41496</v>
      </c>
      <c r="X1278" t="s">
        <v>44908</v>
      </c>
    </row>
    <row r="1279" spans="1:24">
      <c r="A1279">
        <f>HYPERLINK("https://www.philgeps.gov.ph/GEPSNONPILOT/Tender/SplashBidNoticeAbstractUI.aspx?menuIndex=3&amp;refID=7083093&amp;Result=3","7083093")</f>
        <v>0</v>
      </c>
      <c r="B1279" t="s">
        <v>566</v>
      </c>
      <c r="C1279" t="s">
        <v>4751</v>
      </c>
      <c r="D1279" t="s">
        <v>18108</v>
      </c>
      <c r="E1279" t="s">
        <v>19389</v>
      </c>
      <c r="F1279" t="s">
        <v>31362</v>
      </c>
      <c r="G1279" t="s">
        <v>31368</v>
      </c>
      <c r="H1279" t="s">
        <v>15799</v>
      </c>
      <c r="I1279" t="s">
        <v>31385</v>
      </c>
      <c r="J1279" t="s">
        <v>32468</v>
      </c>
      <c r="K1279" t="s">
        <v>40665</v>
      </c>
      <c r="M1279" t="s">
        <v>41522</v>
      </c>
      <c r="N1279" t="s">
        <v>44905</v>
      </c>
      <c r="O1279" t="s">
        <v>44906</v>
      </c>
      <c r="P1279">
        <v>0</v>
      </c>
      <c r="Q1279">
        <v>6</v>
      </c>
      <c r="R1279" t="s">
        <v>44907</v>
      </c>
      <c r="S1279" t="s">
        <v>45026</v>
      </c>
      <c r="T1279" t="s">
        <v>46435</v>
      </c>
      <c r="U1279" t="s">
        <v>48007</v>
      </c>
      <c r="W1279" t="s">
        <v>41522</v>
      </c>
      <c r="X1279" t="s">
        <v>44908</v>
      </c>
    </row>
    <row r="1280" spans="1:24">
      <c r="A1280">
        <f>HYPERLINK("https://www.philgeps.gov.ph/GEPSNONPILOT/Tender/SplashBidNoticeAbstractUI.aspx?menuIndex=3&amp;refID=7083075&amp;Result=3","7083075")</f>
        <v>0</v>
      </c>
      <c r="B1280" t="s">
        <v>532</v>
      </c>
      <c r="C1280" t="s">
        <v>4752</v>
      </c>
      <c r="D1280" t="s">
        <v>18157</v>
      </c>
      <c r="E1280" t="s">
        <v>19390</v>
      </c>
      <c r="F1280" t="s">
        <v>31362</v>
      </c>
      <c r="G1280" t="s">
        <v>31368</v>
      </c>
      <c r="H1280" t="s">
        <v>15799</v>
      </c>
      <c r="I1280" t="s">
        <v>31422</v>
      </c>
      <c r="J1280" t="s">
        <v>32469</v>
      </c>
      <c r="K1280" t="s">
        <v>40666</v>
      </c>
      <c r="M1280" t="s">
        <v>41488</v>
      </c>
      <c r="N1280" t="s">
        <v>44905</v>
      </c>
      <c r="O1280" t="s">
        <v>44906</v>
      </c>
      <c r="P1280">
        <v>0</v>
      </c>
      <c r="Q1280">
        <v>0</v>
      </c>
      <c r="R1280" t="s">
        <v>44907</v>
      </c>
      <c r="S1280" t="s">
        <v>45026</v>
      </c>
      <c r="T1280" t="s">
        <v>46446</v>
      </c>
      <c r="U1280" t="s">
        <v>47951</v>
      </c>
      <c r="V1280" t="s">
        <v>59195</v>
      </c>
      <c r="W1280" t="s">
        <v>41488</v>
      </c>
      <c r="X1280" t="s">
        <v>44908</v>
      </c>
    </row>
    <row r="1281" spans="1:24">
      <c r="A1281">
        <f>HYPERLINK("https://www.philgeps.gov.ph/GEPSNONPILOT/Tender/SplashBidNoticeAbstractUI.aspx?menuIndex=3&amp;refID=7083086&amp;Result=3","7083086")</f>
        <v>0</v>
      </c>
      <c r="B1281" t="s">
        <v>364</v>
      </c>
      <c r="C1281" t="s">
        <v>4753</v>
      </c>
      <c r="D1281" t="s">
        <v>18138</v>
      </c>
      <c r="E1281" t="s">
        <v>19391</v>
      </c>
      <c r="F1281" t="s">
        <v>31362</v>
      </c>
      <c r="G1281" t="s">
        <v>31368</v>
      </c>
      <c r="H1281" t="s">
        <v>15799</v>
      </c>
      <c r="I1281" t="s">
        <v>31385</v>
      </c>
      <c r="J1281" t="s">
        <v>32470</v>
      </c>
      <c r="K1281" t="s">
        <v>40662</v>
      </c>
      <c r="M1281" t="s">
        <v>41311</v>
      </c>
      <c r="N1281" t="s">
        <v>44905</v>
      </c>
      <c r="O1281" t="s">
        <v>44906</v>
      </c>
      <c r="P1281">
        <v>0</v>
      </c>
      <c r="Q1281">
        <v>3</v>
      </c>
      <c r="R1281" t="s">
        <v>44907</v>
      </c>
      <c r="S1281" t="s">
        <v>45026</v>
      </c>
      <c r="T1281" t="s">
        <v>46409</v>
      </c>
      <c r="U1281" t="s">
        <v>47548</v>
      </c>
      <c r="W1281" t="s">
        <v>41311</v>
      </c>
      <c r="X1281" t="s">
        <v>44908</v>
      </c>
    </row>
    <row r="1282" spans="1:24">
      <c r="A1282">
        <f>HYPERLINK("https://www.philgeps.gov.ph/GEPSNONPILOT/Tender/SplashBidNoticeAbstractUI.aspx?menuIndex=3&amp;refID=7083076&amp;Result=3","7083076")</f>
        <v>0</v>
      </c>
      <c r="B1282" t="s">
        <v>411</v>
      </c>
      <c r="C1282" t="s">
        <v>4754</v>
      </c>
      <c r="D1282" t="s">
        <v>18148</v>
      </c>
      <c r="E1282" t="s">
        <v>19245</v>
      </c>
      <c r="F1282" t="s">
        <v>31362</v>
      </c>
      <c r="G1282" t="s">
        <v>31370</v>
      </c>
      <c r="H1282" t="s">
        <v>15799</v>
      </c>
      <c r="I1282" t="s">
        <v>31393</v>
      </c>
      <c r="J1282" t="s">
        <v>31725</v>
      </c>
      <c r="K1282" t="s">
        <v>40662</v>
      </c>
      <c r="M1282" t="s">
        <v>41361</v>
      </c>
      <c r="N1282" t="s">
        <v>44905</v>
      </c>
      <c r="O1282" t="s">
        <v>44906</v>
      </c>
      <c r="P1282">
        <v>0</v>
      </c>
      <c r="Q1282">
        <v>0</v>
      </c>
      <c r="R1282" t="s">
        <v>44907</v>
      </c>
      <c r="S1282" t="s">
        <v>45026</v>
      </c>
      <c r="T1282" t="s">
        <v>46409</v>
      </c>
      <c r="U1282" t="s">
        <v>48008</v>
      </c>
      <c r="W1282" t="s">
        <v>41361</v>
      </c>
      <c r="X1282" t="s">
        <v>44908</v>
      </c>
    </row>
    <row r="1283" spans="1:24">
      <c r="A1283">
        <f>HYPERLINK("https://www.philgeps.gov.ph/GEPSNONPILOT/Tender/SplashBidNoticeAbstractUI.aspx?menuIndex=3&amp;refID=7083085&amp;Result=3","7083085")</f>
        <v>0</v>
      </c>
      <c r="B1283" t="s">
        <v>491</v>
      </c>
      <c r="C1283" t="s">
        <v>4755</v>
      </c>
      <c r="D1283" t="s">
        <v>18126</v>
      </c>
      <c r="E1283" t="s">
        <v>19392</v>
      </c>
      <c r="F1283" t="s">
        <v>31362</v>
      </c>
      <c r="G1283" t="s">
        <v>31368</v>
      </c>
      <c r="H1283" t="s">
        <v>15799</v>
      </c>
      <c r="I1283" t="s">
        <v>31383</v>
      </c>
      <c r="J1283" t="s">
        <v>32471</v>
      </c>
      <c r="K1283" t="s">
        <v>40666</v>
      </c>
      <c r="M1283" t="s">
        <v>41446</v>
      </c>
      <c r="N1283" t="s">
        <v>44905</v>
      </c>
      <c r="O1283" t="s">
        <v>44906</v>
      </c>
      <c r="P1283">
        <v>0</v>
      </c>
      <c r="Q1283">
        <v>1</v>
      </c>
      <c r="R1283" t="s">
        <v>44907</v>
      </c>
      <c r="S1283" t="s">
        <v>45026</v>
      </c>
      <c r="T1283" t="s">
        <v>46425</v>
      </c>
      <c r="U1283" t="s">
        <v>47962</v>
      </c>
      <c r="W1283" t="s">
        <v>41446</v>
      </c>
      <c r="X1283" t="s">
        <v>44908</v>
      </c>
    </row>
    <row r="1284" spans="1:24">
      <c r="A1284">
        <f>HYPERLINK("https://www.philgeps.gov.ph/GEPSNONPILOT/Tender/SplashBidNoticeAbstractUI.aspx?menuIndex=3&amp;refID=7083094&amp;Result=3","7083094")</f>
        <v>0</v>
      </c>
      <c r="B1284" t="s">
        <v>387</v>
      </c>
      <c r="C1284" t="s">
        <v>4756</v>
      </c>
      <c r="D1284" t="s">
        <v>18152</v>
      </c>
      <c r="E1284" t="s">
        <v>19393</v>
      </c>
      <c r="F1284" t="s">
        <v>31362</v>
      </c>
      <c r="G1284" t="s">
        <v>31369</v>
      </c>
      <c r="H1284" t="s">
        <v>15799</v>
      </c>
      <c r="I1284" t="s">
        <v>3815</v>
      </c>
      <c r="J1284" t="s">
        <v>32472</v>
      </c>
      <c r="K1284" t="s">
        <v>40665</v>
      </c>
      <c r="M1284" t="s">
        <v>41335</v>
      </c>
      <c r="N1284" t="s">
        <v>44905</v>
      </c>
      <c r="O1284" t="s">
        <v>44906</v>
      </c>
      <c r="P1284">
        <v>0</v>
      </c>
      <c r="Q1284">
        <v>0</v>
      </c>
      <c r="R1284" t="s">
        <v>44907</v>
      </c>
      <c r="S1284" t="s">
        <v>45026</v>
      </c>
      <c r="T1284" t="s">
        <v>46462</v>
      </c>
      <c r="U1284" t="s">
        <v>47597</v>
      </c>
      <c r="V1284" t="s">
        <v>59153</v>
      </c>
      <c r="W1284" t="s">
        <v>41335</v>
      </c>
      <c r="X1284" t="s">
        <v>44908</v>
      </c>
    </row>
    <row r="1285" spans="1:24">
      <c r="A1285">
        <f>HYPERLINK("https://www.philgeps.gov.ph/GEPSNONPILOT/Tender/SplashBidNoticeAbstractUI.aspx?menuIndex=3&amp;refID=7083109&amp;Result=3","7083109")</f>
        <v>0</v>
      </c>
      <c r="B1285" t="s">
        <v>272</v>
      </c>
      <c r="C1285" t="s">
        <v>4757</v>
      </c>
      <c r="D1285" t="s">
        <v>18110</v>
      </c>
      <c r="E1285" t="s">
        <v>19394</v>
      </c>
      <c r="F1285" t="s">
        <v>31362</v>
      </c>
      <c r="G1285" t="s">
        <v>31368</v>
      </c>
      <c r="H1285" t="s">
        <v>15799</v>
      </c>
      <c r="I1285" t="s">
        <v>7090</v>
      </c>
      <c r="J1285" t="s">
        <v>31545</v>
      </c>
      <c r="K1285" t="s">
        <v>40679</v>
      </c>
      <c r="M1285" t="s">
        <v>41214</v>
      </c>
      <c r="N1285" t="s">
        <v>44905</v>
      </c>
      <c r="O1285" t="s">
        <v>44906</v>
      </c>
      <c r="P1285">
        <v>0</v>
      </c>
      <c r="Q1285">
        <v>0</v>
      </c>
      <c r="R1285" t="s">
        <v>44907</v>
      </c>
      <c r="S1285" t="s">
        <v>45026</v>
      </c>
      <c r="T1285" t="s">
        <v>46454</v>
      </c>
      <c r="U1285" t="s">
        <v>48009</v>
      </c>
      <c r="W1285" t="s">
        <v>60843</v>
      </c>
      <c r="X1285" t="s">
        <v>44908</v>
      </c>
    </row>
    <row r="1286" spans="1:24">
      <c r="A1286">
        <f>HYPERLINK("https://www.philgeps.gov.ph/GEPSNONPILOT/Tender/SplashBidNoticeAbstractUI.aspx?menuIndex=3&amp;refID=7083108&amp;Result=3","7083108")</f>
        <v>0</v>
      </c>
      <c r="B1286" t="s">
        <v>387</v>
      </c>
      <c r="C1286" t="s">
        <v>4758</v>
      </c>
      <c r="D1286" t="s">
        <v>18152</v>
      </c>
      <c r="E1286" t="s">
        <v>19395</v>
      </c>
      <c r="F1286" t="s">
        <v>31362</v>
      </c>
      <c r="G1286" t="s">
        <v>31369</v>
      </c>
      <c r="H1286" t="s">
        <v>15799</v>
      </c>
      <c r="I1286" t="s">
        <v>3815</v>
      </c>
      <c r="J1286" t="s">
        <v>32473</v>
      </c>
      <c r="K1286" t="s">
        <v>40665</v>
      </c>
      <c r="M1286" t="s">
        <v>41335</v>
      </c>
      <c r="N1286" t="s">
        <v>44905</v>
      </c>
      <c r="O1286" t="s">
        <v>44906</v>
      </c>
      <c r="P1286">
        <v>0</v>
      </c>
      <c r="Q1286">
        <v>0</v>
      </c>
      <c r="R1286" t="s">
        <v>44907</v>
      </c>
      <c r="S1286" t="s">
        <v>45026</v>
      </c>
      <c r="T1286" t="s">
        <v>46554</v>
      </c>
      <c r="U1286" t="s">
        <v>48010</v>
      </c>
      <c r="V1286" t="s">
        <v>59153</v>
      </c>
      <c r="W1286" t="s">
        <v>41335</v>
      </c>
      <c r="X1286" t="s">
        <v>44908</v>
      </c>
    </row>
    <row r="1287" spans="1:24">
      <c r="A1287">
        <f>HYPERLINK("https://www.philgeps.gov.ph/GEPSNONPILOT/Tender/SplashBidNoticeAbstractUI.aspx?menuIndex=3&amp;refID=7083087&amp;Result=3","7083087")</f>
        <v>0</v>
      </c>
      <c r="B1287" t="s">
        <v>533</v>
      </c>
      <c r="C1287" t="s">
        <v>4759</v>
      </c>
      <c r="D1287" t="s">
        <v>18136</v>
      </c>
      <c r="E1287" t="s">
        <v>19375</v>
      </c>
      <c r="F1287" t="s">
        <v>31362</v>
      </c>
      <c r="G1287" t="s">
        <v>31369</v>
      </c>
      <c r="H1287" t="s">
        <v>15799</v>
      </c>
      <c r="I1287" t="s">
        <v>31427</v>
      </c>
      <c r="J1287" t="s">
        <v>32474</v>
      </c>
      <c r="K1287" t="s">
        <v>40677</v>
      </c>
      <c r="M1287" t="s">
        <v>41489</v>
      </c>
      <c r="N1287" t="s">
        <v>44905</v>
      </c>
      <c r="O1287" t="s">
        <v>44906</v>
      </c>
      <c r="P1287">
        <v>0</v>
      </c>
      <c r="Q1287">
        <v>1</v>
      </c>
      <c r="R1287" t="s">
        <v>44907</v>
      </c>
      <c r="S1287" t="s">
        <v>45026</v>
      </c>
      <c r="T1287" t="s">
        <v>46551</v>
      </c>
      <c r="U1287" t="s">
        <v>48011</v>
      </c>
      <c r="V1287" t="s">
        <v>59196</v>
      </c>
      <c r="W1287" t="s">
        <v>41489</v>
      </c>
      <c r="X1287" t="s">
        <v>44908</v>
      </c>
    </row>
    <row r="1288" spans="1:24">
      <c r="A1288">
        <f>HYPERLINK("https://www.philgeps.gov.ph/GEPSNONPILOT/Tender/SplashBidNoticeAbstractUI.aspx?menuIndex=3&amp;refID=7083092&amp;Result=3","7083092")</f>
        <v>0</v>
      </c>
      <c r="B1288" t="s">
        <v>523</v>
      </c>
      <c r="C1288" t="s">
        <v>4760</v>
      </c>
      <c r="D1288" t="s">
        <v>18108</v>
      </c>
      <c r="E1288" t="s">
        <v>19396</v>
      </c>
      <c r="F1288" t="s">
        <v>31362</v>
      </c>
      <c r="G1288" t="s">
        <v>31371</v>
      </c>
      <c r="H1288" t="s">
        <v>15799</v>
      </c>
      <c r="I1288" t="s">
        <v>31383</v>
      </c>
      <c r="J1288" t="s">
        <v>31564</v>
      </c>
      <c r="K1288" t="s">
        <v>40662</v>
      </c>
      <c r="M1288" t="s">
        <v>41479</v>
      </c>
      <c r="N1288" t="s">
        <v>44905</v>
      </c>
      <c r="O1288" t="s">
        <v>44906</v>
      </c>
      <c r="P1288">
        <v>0</v>
      </c>
      <c r="Q1288">
        <v>2</v>
      </c>
      <c r="R1288" t="s">
        <v>44907</v>
      </c>
      <c r="S1288" t="s">
        <v>45026</v>
      </c>
      <c r="T1288" t="s">
        <v>46503</v>
      </c>
      <c r="U1288" t="s">
        <v>47939</v>
      </c>
      <c r="W1288" t="s">
        <v>41479</v>
      </c>
      <c r="X1288" t="s">
        <v>44908</v>
      </c>
    </row>
    <row r="1289" spans="1:24">
      <c r="A1289">
        <f>HYPERLINK("https://www.philgeps.gov.ph/GEPSNONPILOT/Tender/SplashBidNoticeAbstractUI.aspx?menuIndex=3&amp;refID=7083107&amp;Result=3","7083107")</f>
        <v>0</v>
      </c>
      <c r="B1289" t="s">
        <v>567</v>
      </c>
      <c r="C1289" t="s">
        <v>4761</v>
      </c>
      <c r="D1289" t="s">
        <v>18110</v>
      </c>
      <c r="E1289" t="s">
        <v>19397</v>
      </c>
      <c r="F1289" t="s">
        <v>31362</v>
      </c>
      <c r="G1289" t="s">
        <v>31368</v>
      </c>
      <c r="H1289" t="s">
        <v>15799</v>
      </c>
      <c r="I1289" t="s">
        <v>31413</v>
      </c>
      <c r="J1289" t="s">
        <v>32127</v>
      </c>
      <c r="K1289" t="s">
        <v>40666</v>
      </c>
      <c r="M1289" t="s">
        <v>41523</v>
      </c>
      <c r="N1289" t="s">
        <v>44905</v>
      </c>
      <c r="O1289" t="s">
        <v>44906</v>
      </c>
      <c r="P1289">
        <v>0</v>
      </c>
      <c r="Q1289">
        <v>2</v>
      </c>
      <c r="R1289" t="s">
        <v>44907</v>
      </c>
      <c r="S1289" t="s">
        <v>45026</v>
      </c>
      <c r="T1289" t="s">
        <v>46470</v>
      </c>
      <c r="U1289" t="s">
        <v>48012</v>
      </c>
      <c r="W1289" t="s">
        <v>41523</v>
      </c>
      <c r="X1289" t="s">
        <v>44908</v>
      </c>
    </row>
    <row r="1290" spans="1:24">
      <c r="A1290">
        <f>HYPERLINK("https://www.philgeps.gov.ph/GEPSNONPILOT/Tender/SplashBidNoticeAbstractUI.aspx?menuIndex=3&amp;refID=7083104&amp;Result=3","7083104")</f>
        <v>0</v>
      </c>
      <c r="B1290" t="s">
        <v>561</v>
      </c>
      <c r="C1290" t="s">
        <v>4762</v>
      </c>
      <c r="D1290" t="s">
        <v>18124</v>
      </c>
      <c r="E1290" t="s">
        <v>19152</v>
      </c>
      <c r="F1290" t="s">
        <v>31362</v>
      </c>
      <c r="G1290" t="s">
        <v>31369</v>
      </c>
      <c r="H1290" t="s">
        <v>15799</v>
      </c>
      <c r="I1290" t="s">
        <v>31385</v>
      </c>
      <c r="J1290" t="s">
        <v>32475</v>
      </c>
      <c r="K1290" t="s">
        <v>40670</v>
      </c>
      <c r="M1290" t="s">
        <v>41517</v>
      </c>
      <c r="N1290" t="s">
        <v>44905</v>
      </c>
      <c r="O1290" t="s">
        <v>44906</v>
      </c>
      <c r="P1290">
        <v>0</v>
      </c>
      <c r="Q1290">
        <v>0</v>
      </c>
      <c r="R1290" t="s">
        <v>44907</v>
      </c>
      <c r="S1290" t="s">
        <v>45026</v>
      </c>
      <c r="T1290" t="s">
        <v>46553</v>
      </c>
      <c r="U1290" t="s">
        <v>47749</v>
      </c>
      <c r="W1290" t="s">
        <v>41517</v>
      </c>
      <c r="X1290" t="s">
        <v>44908</v>
      </c>
    </row>
    <row r="1291" spans="1:24">
      <c r="A1291">
        <f>HYPERLINK("https://www.philgeps.gov.ph/GEPSNONPILOT/Tender/SplashBidNoticeAbstractUI.aspx?menuIndex=3&amp;refID=7083084&amp;Result=3","7083084")</f>
        <v>0</v>
      </c>
      <c r="B1291" t="s">
        <v>542</v>
      </c>
      <c r="C1291" t="s">
        <v>4763</v>
      </c>
      <c r="E1291" t="s">
        <v>19398</v>
      </c>
      <c r="F1291" t="s">
        <v>31362</v>
      </c>
      <c r="G1291" t="s">
        <v>31369</v>
      </c>
      <c r="H1291" t="s">
        <v>15799</v>
      </c>
      <c r="I1291" t="s">
        <v>31456</v>
      </c>
      <c r="J1291" t="s">
        <v>31531</v>
      </c>
      <c r="K1291" t="s">
        <v>40662</v>
      </c>
      <c r="M1291" t="s">
        <v>41498</v>
      </c>
      <c r="N1291" t="s">
        <v>44905</v>
      </c>
      <c r="O1291" t="s">
        <v>44906</v>
      </c>
      <c r="P1291">
        <v>0</v>
      </c>
      <c r="Q1291">
        <v>2</v>
      </c>
      <c r="R1291" t="s">
        <v>44907</v>
      </c>
      <c r="S1291" t="s">
        <v>45026</v>
      </c>
      <c r="T1291" t="s">
        <v>46523</v>
      </c>
      <c r="U1291" t="s">
        <v>48013</v>
      </c>
      <c r="W1291" t="s">
        <v>41498</v>
      </c>
      <c r="X1291" t="s">
        <v>44908</v>
      </c>
    </row>
    <row r="1292" spans="1:24">
      <c r="A1292">
        <f>HYPERLINK("https://www.philgeps.gov.ph/GEPSNONPILOT/Tender/SplashBidNoticeAbstractUI.aspx?menuIndex=3&amp;refID=7083103&amp;Result=3","7083103")</f>
        <v>0</v>
      </c>
      <c r="B1292" t="s">
        <v>237</v>
      </c>
      <c r="C1292" t="s">
        <v>4764</v>
      </c>
      <c r="D1292" t="s">
        <v>18108</v>
      </c>
      <c r="E1292" t="s">
        <v>19399</v>
      </c>
      <c r="F1292" t="s">
        <v>31362</v>
      </c>
      <c r="G1292" t="s">
        <v>31370</v>
      </c>
      <c r="H1292" t="s">
        <v>15799</v>
      </c>
      <c r="I1292" t="s">
        <v>31380</v>
      </c>
      <c r="J1292" t="s">
        <v>32476</v>
      </c>
      <c r="K1292" t="s">
        <v>40670</v>
      </c>
      <c r="M1292" t="s">
        <v>41330</v>
      </c>
      <c r="N1292" t="s">
        <v>44905</v>
      </c>
      <c r="O1292" t="s">
        <v>44906</v>
      </c>
      <c r="P1292">
        <v>0</v>
      </c>
      <c r="Q1292">
        <v>1</v>
      </c>
      <c r="R1292" t="s">
        <v>44907</v>
      </c>
      <c r="S1292" t="s">
        <v>45026</v>
      </c>
      <c r="T1292" t="s">
        <v>46454</v>
      </c>
      <c r="U1292" t="s">
        <v>48014</v>
      </c>
      <c r="W1292" t="s">
        <v>41330</v>
      </c>
      <c r="X1292" t="s">
        <v>44908</v>
      </c>
    </row>
    <row r="1293" spans="1:24">
      <c r="A1293">
        <f>HYPERLINK("https://www.philgeps.gov.ph/GEPSNONPILOT/Tender/SplashBidNoticeAbstractUI.aspx?menuIndex=3&amp;refID=7083101&amp;Result=3","7083101")</f>
        <v>0</v>
      </c>
      <c r="B1293" t="s">
        <v>568</v>
      </c>
      <c r="C1293" t="s">
        <v>4765</v>
      </c>
      <c r="D1293" t="s">
        <v>18132</v>
      </c>
      <c r="E1293" t="s">
        <v>19400</v>
      </c>
      <c r="F1293" t="s">
        <v>31362</v>
      </c>
      <c r="G1293" t="s">
        <v>31368</v>
      </c>
      <c r="H1293" t="s">
        <v>15799</v>
      </c>
      <c r="I1293" t="s">
        <v>31422</v>
      </c>
      <c r="J1293" t="s">
        <v>31577</v>
      </c>
      <c r="K1293" t="s">
        <v>40661</v>
      </c>
      <c r="M1293" t="s">
        <v>41524</v>
      </c>
      <c r="N1293" t="s">
        <v>44905</v>
      </c>
      <c r="O1293" t="s">
        <v>44906</v>
      </c>
      <c r="P1293">
        <v>0</v>
      </c>
      <c r="Q1293">
        <v>0</v>
      </c>
      <c r="R1293" t="s">
        <v>44907</v>
      </c>
      <c r="S1293" t="s">
        <v>45026</v>
      </c>
      <c r="T1293" t="s">
        <v>46428</v>
      </c>
      <c r="U1293" t="s">
        <v>48015</v>
      </c>
      <c r="W1293" t="s">
        <v>41524</v>
      </c>
      <c r="X1293" t="s">
        <v>44908</v>
      </c>
    </row>
    <row r="1294" spans="1:24">
      <c r="A1294">
        <f>HYPERLINK("https://www.philgeps.gov.ph/GEPSNONPILOT/Tender/SplashBidNoticeAbstractUI.aspx?menuIndex=3&amp;refID=7083073&amp;Result=3","7083073")</f>
        <v>0</v>
      </c>
      <c r="B1294" t="s">
        <v>197</v>
      </c>
      <c r="C1294" t="s">
        <v>4766</v>
      </c>
      <c r="D1294" t="s">
        <v>18183</v>
      </c>
      <c r="E1294" t="s">
        <v>19401</v>
      </c>
      <c r="F1294" t="s">
        <v>31362</v>
      </c>
      <c r="G1294" t="s">
        <v>31369</v>
      </c>
      <c r="H1294" t="s">
        <v>15799</v>
      </c>
      <c r="I1294" t="s">
        <v>31455</v>
      </c>
      <c r="J1294" t="s">
        <v>32477</v>
      </c>
      <c r="K1294" t="s">
        <v>40679</v>
      </c>
      <c r="M1294" t="s">
        <v>41136</v>
      </c>
      <c r="N1294" t="s">
        <v>44905</v>
      </c>
      <c r="O1294" t="s">
        <v>44906</v>
      </c>
      <c r="P1294">
        <v>0</v>
      </c>
      <c r="Q1294">
        <v>0</v>
      </c>
      <c r="R1294" t="s">
        <v>44907</v>
      </c>
      <c r="S1294" t="s">
        <v>45026</v>
      </c>
      <c r="T1294" t="s">
        <v>46555</v>
      </c>
      <c r="U1294" t="s">
        <v>48016</v>
      </c>
      <c r="W1294" t="s">
        <v>41136</v>
      </c>
      <c r="X1294" t="s">
        <v>44908</v>
      </c>
    </row>
    <row r="1295" spans="1:24">
      <c r="A1295">
        <f>HYPERLINK("https://www.philgeps.gov.ph/GEPSNONPILOT/Tender/SplashBidNoticeAbstractUI.aspx?menuIndex=3&amp;refID=7083098&amp;Result=3","7083098")</f>
        <v>0</v>
      </c>
      <c r="B1295" t="s">
        <v>184</v>
      </c>
      <c r="C1295" t="s">
        <v>4767</v>
      </c>
      <c r="D1295" t="s">
        <v>18123</v>
      </c>
      <c r="E1295" t="s">
        <v>19402</v>
      </c>
      <c r="F1295" t="s">
        <v>31362</v>
      </c>
      <c r="G1295" t="s">
        <v>31368</v>
      </c>
      <c r="H1295" t="s">
        <v>15799</v>
      </c>
      <c r="I1295" t="s">
        <v>7188</v>
      </c>
      <c r="J1295" t="s">
        <v>31806</v>
      </c>
      <c r="K1295" t="s">
        <v>40665</v>
      </c>
      <c r="M1295" t="s">
        <v>41133</v>
      </c>
      <c r="N1295" t="s">
        <v>44905</v>
      </c>
      <c r="O1295" t="s">
        <v>44906</v>
      </c>
      <c r="P1295">
        <v>0</v>
      </c>
      <c r="Q1295">
        <v>0</v>
      </c>
      <c r="R1295" t="s">
        <v>44907</v>
      </c>
      <c r="S1295" t="s">
        <v>45026</v>
      </c>
      <c r="T1295" t="s">
        <v>46435</v>
      </c>
      <c r="U1295" t="s">
        <v>48017</v>
      </c>
      <c r="W1295" t="s">
        <v>41133</v>
      </c>
      <c r="X1295" t="s">
        <v>44908</v>
      </c>
    </row>
    <row r="1296" spans="1:24">
      <c r="A1296">
        <f>HYPERLINK("https://www.philgeps.gov.ph/GEPSNONPILOT/Tender/SplashBidNoticeAbstractUI.aspx?menuIndex=3&amp;refID=7083106&amp;Result=3","7083106")</f>
        <v>0</v>
      </c>
      <c r="B1296" t="s">
        <v>519</v>
      </c>
      <c r="C1296" t="s">
        <v>4768</v>
      </c>
      <c r="D1296" t="s">
        <v>18124</v>
      </c>
      <c r="E1296" t="s">
        <v>19403</v>
      </c>
      <c r="F1296" t="s">
        <v>31362</v>
      </c>
      <c r="G1296" t="s">
        <v>31368</v>
      </c>
      <c r="H1296" t="s">
        <v>15799</v>
      </c>
      <c r="I1296" t="s">
        <v>6155</v>
      </c>
      <c r="J1296" t="s">
        <v>31586</v>
      </c>
      <c r="K1296" t="s">
        <v>40665</v>
      </c>
      <c r="M1296" t="s">
        <v>41475</v>
      </c>
      <c r="N1296" t="s">
        <v>44905</v>
      </c>
      <c r="O1296" t="s">
        <v>44906</v>
      </c>
      <c r="P1296">
        <v>0</v>
      </c>
      <c r="Q1296">
        <v>5</v>
      </c>
      <c r="R1296" t="s">
        <v>44907</v>
      </c>
      <c r="S1296" t="s">
        <v>45026</v>
      </c>
      <c r="T1296" t="s">
        <v>46434</v>
      </c>
      <c r="U1296" t="s">
        <v>48018</v>
      </c>
      <c r="W1296" t="s">
        <v>41475</v>
      </c>
      <c r="X1296" t="s">
        <v>44908</v>
      </c>
    </row>
    <row r="1297" spans="1:24">
      <c r="A1297">
        <f>HYPERLINK("https://www.philgeps.gov.ph/GEPSNONPILOT/Tender/SplashBidNoticeAbstractUI.aspx?menuIndex=3&amp;refID=7083113&amp;Result=3","7083113")</f>
        <v>0</v>
      </c>
      <c r="B1297" t="s">
        <v>569</v>
      </c>
      <c r="C1297" t="s">
        <v>4769</v>
      </c>
      <c r="D1297" t="s">
        <v>18102</v>
      </c>
      <c r="E1297" t="s">
        <v>19404</v>
      </c>
      <c r="F1297" t="s">
        <v>31362</v>
      </c>
      <c r="G1297" t="s">
        <v>31376</v>
      </c>
      <c r="H1297" t="s">
        <v>31377</v>
      </c>
      <c r="I1297" t="s">
        <v>31377</v>
      </c>
      <c r="J1297" t="s">
        <v>32478</v>
      </c>
      <c r="K1297" t="s">
        <v>40723</v>
      </c>
      <c r="M1297" t="s">
        <v>41525</v>
      </c>
      <c r="N1297" t="s">
        <v>44905</v>
      </c>
      <c r="O1297" t="s">
        <v>44906</v>
      </c>
      <c r="P1297">
        <v>0</v>
      </c>
      <c r="Q1297">
        <v>6</v>
      </c>
      <c r="R1297" t="s">
        <v>44907</v>
      </c>
      <c r="S1297" t="s">
        <v>45026</v>
      </c>
      <c r="T1297" t="s">
        <v>46396</v>
      </c>
      <c r="U1297" t="s">
        <v>48019</v>
      </c>
      <c r="W1297" t="s">
        <v>41525</v>
      </c>
      <c r="X1297" t="s">
        <v>44908</v>
      </c>
    </row>
    <row r="1298" spans="1:24">
      <c r="A1298">
        <f>HYPERLINK("https://www.philgeps.gov.ph/GEPSNONPILOT/Tender/SplashBidNoticeAbstractUI.aspx?menuIndex=3&amp;refID=7083072&amp;Result=3","7083072")</f>
        <v>0</v>
      </c>
      <c r="B1298" t="s">
        <v>550</v>
      </c>
      <c r="C1298" t="s">
        <v>4770</v>
      </c>
      <c r="D1298" t="s">
        <v>18138</v>
      </c>
      <c r="E1298" t="s">
        <v>19405</v>
      </c>
      <c r="F1298" t="s">
        <v>31362</v>
      </c>
      <c r="G1298" t="s">
        <v>31368</v>
      </c>
      <c r="H1298" t="s">
        <v>15799</v>
      </c>
      <c r="I1298" t="s">
        <v>7188</v>
      </c>
      <c r="J1298" t="s">
        <v>32479</v>
      </c>
      <c r="K1298" t="s">
        <v>40666</v>
      </c>
      <c r="M1298" t="s">
        <v>41506</v>
      </c>
      <c r="N1298" t="s">
        <v>44905</v>
      </c>
      <c r="O1298" t="s">
        <v>44906</v>
      </c>
      <c r="P1298">
        <v>0</v>
      </c>
      <c r="Q1298">
        <v>0</v>
      </c>
      <c r="R1298" t="s">
        <v>44907</v>
      </c>
      <c r="S1298" t="s">
        <v>45026</v>
      </c>
      <c r="T1298" t="s">
        <v>46409</v>
      </c>
      <c r="U1298" t="s">
        <v>48020</v>
      </c>
      <c r="W1298" t="s">
        <v>41506</v>
      </c>
      <c r="X1298" t="s">
        <v>44908</v>
      </c>
    </row>
    <row r="1299" spans="1:24">
      <c r="A1299">
        <f>HYPERLINK("https://www.philgeps.gov.ph/GEPSNONPILOT/Tender/SplashBidNoticeAbstractUI.aspx?menuIndex=3&amp;refID=7083102&amp;Result=3","7083102")</f>
        <v>0</v>
      </c>
      <c r="B1299" t="s">
        <v>539</v>
      </c>
      <c r="C1299" t="s">
        <v>4771</v>
      </c>
      <c r="D1299" t="s">
        <v>18110</v>
      </c>
      <c r="E1299" t="s">
        <v>18275</v>
      </c>
      <c r="F1299" t="s">
        <v>31362</v>
      </c>
      <c r="G1299" t="s">
        <v>31368</v>
      </c>
      <c r="H1299" t="s">
        <v>31378</v>
      </c>
      <c r="I1299" t="s">
        <v>3815</v>
      </c>
      <c r="J1299" t="s">
        <v>32480</v>
      </c>
      <c r="K1299" t="s">
        <v>40670</v>
      </c>
      <c r="M1299" t="s">
        <v>41495</v>
      </c>
      <c r="N1299" t="s">
        <v>44905</v>
      </c>
      <c r="O1299" t="s">
        <v>44906</v>
      </c>
      <c r="P1299">
        <v>0</v>
      </c>
      <c r="Q1299">
        <v>0</v>
      </c>
      <c r="R1299" t="s">
        <v>44907</v>
      </c>
      <c r="S1299" t="s">
        <v>45026</v>
      </c>
      <c r="T1299" t="s">
        <v>46414</v>
      </c>
      <c r="U1299" t="s">
        <v>48021</v>
      </c>
      <c r="W1299" t="s">
        <v>41495</v>
      </c>
      <c r="X1299" t="s">
        <v>44908</v>
      </c>
    </row>
    <row r="1300" spans="1:24">
      <c r="A1300">
        <f>HYPERLINK("https://www.philgeps.gov.ph/GEPSNONPILOT/Tender/SplashBidNoticeAbstractUI.aspx?menuIndex=3&amp;refID=7083129&amp;Result=3","7083129")</f>
        <v>0</v>
      </c>
      <c r="B1300" t="s">
        <v>570</v>
      </c>
      <c r="C1300" t="s">
        <v>4772</v>
      </c>
      <c r="D1300" t="s">
        <v>18125</v>
      </c>
      <c r="E1300" t="s">
        <v>19406</v>
      </c>
      <c r="F1300" t="s">
        <v>31362</v>
      </c>
      <c r="G1300" t="s">
        <v>31368</v>
      </c>
      <c r="H1300" t="s">
        <v>15799</v>
      </c>
      <c r="I1300" t="s">
        <v>3815</v>
      </c>
      <c r="J1300" t="s">
        <v>32481</v>
      </c>
      <c r="K1300" t="s">
        <v>40677</v>
      </c>
      <c r="M1300" t="s">
        <v>41526</v>
      </c>
      <c r="N1300" t="s">
        <v>44905</v>
      </c>
      <c r="O1300" t="s">
        <v>44906</v>
      </c>
      <c r="P1300">
        <v>0</v>
      </c>
      <c r="Q1300">
        <v>0</v>
      </c>
      <c r="R1300" t="s">
        <v>44907</v>
      </c>
      <c r="S1300" t="s">
        <v>45026</v>
      </c>
      <c r="T1300" t="s">
        <v>46478</v>
      </c>
      <c r="U1300" t="s">
        <v>48022</v>
      </c>
      <c r="W1300" t="s">
        <v>60859</v>
      </c>
      <c r="X1300" t="s">
        <v>44908</v>
      </c>
    </row>
    <row r="1301" spans="1:24">
      <c r="A1301">
        <f>HYPERLINK("https://www.philgeps.gov.ph/GEPSNONPILOT/Tender/SplashBidNoticeAbstractUI.aspx?menuIndex=3&amp;refID=7083105&amp;Result=3","7083105")</f>
        <v>0</v>
      </c>
      <c r="B1301" t="s">
        <v>571</v>
      </c>
      <c r="C1301" t="s">
        <v>4773</v>
      </c>
      <c r="D1301" t="s">
        <v>18158</v>
      </c>
      <c r="E1301" t="s">
        <v>19407</v>
      </c>
      <c r="F1301" t="s">
        <v>31362</v>
      </c>
      <c r="G1301" t="s">
        <v>31368</v>
      </c>
      <c r="H1301" t="s">
        <v>15799</v>
      </c>
      <c r="I1301" t="s">
        <v>4057</v>
      </c>
      <c r="J1301" t="s">
        <v>31819</v>
      </c>
      <c r="K1301" t="s">
        <v>40697</v>
      </c>
      <c r="M1301" t="s">
        <v>41527</v>
      </c>
      <c r="N1301" t="s">
        <v>44905</v>
      </c>
      <c r="O1301" t="s">
        <v>44906</v>
      </c>
      <c r="P1301">
        <v>0</v>
      </c>
      <c r="Q1301">
        <v>0</v>
      </c>
      <c r="R1301" t="s">
        <v>44907</v>
      </c>
      <c r="S1301" t="s">
        <v>45026</v>
      </c>
      <c r="T1301" t="s">
        <v>46438</v>
      </c>
      <c r="U1301" t="s">
        <v>48023</v>
      </c>
      <c r="W1301" t="s">
        <v>41527</v>
      </c>
      <c r="X1301" t="s">
        <v>44908</v>
      </c>
    </row>
    <row r="1302" spans="1:24">
      <c r="A1302">
        <f>HYPERLINK("https://www.philgeps.gov.ph/GEPSNONPILOT/Tender/SplashBidNoticeAbstractUI.aspx?menuIndex=3&amp;refID=7083127&amp;Result=3","7083127")</f>
        <v>0</v>
      </c>
      <c r="B1302" t="s">
        <v>519</v>
      </c>
      <c r="C1302" t="s">
        <v>4774</v>
      </c>
      <c r="D1302" t="s">
        <v>18104</v>
      </c>
      <c r="E1302" t="s">
        <v>19408</v>
      </c>
      <c r="F1302" t="s">
        <v>31362</v>
      </c>
      <c r="G1302" t="s">
        <v>31368</v>
      </c>
      <c r="H1302" t="s">
        <v>15799</v>
      </c>
      <c r="I1302" t="s">
        <v>31391</v>
      </c>
      <c r="J1302" t="s">
        <v>31665</v>
      </c>
      <c r="K1302" t="s">
        <v>40666</v>
      </c>
      <c r="M1302" t="s">
        <v>41475</v>
      </c>
      <c r="N1302" t="s">
        <v>44905</v>
      </c>
      <c r="O1302" t="s">
        <v>44906</v>
      </c>
      <c r="P1302">
        <v>0</v>
      </c>
      <c r="Q1302">
        <v>0</v>
      </c>
      <c r="R1302" t="s">
        <v>44907</v>
      </c>
      <c r="S1302" t="s">
        <v>45026</v>
      </c>
      <c r="T1302" t="s">
        <v>46434</v>
      </c>
      <c r="U1302" t="s">
        <v>48024</v>
      </c>
      <c r="W1302" t="s">
        <v>41475</v>
      </c>
      <c r="X1302" t="s">
        <v>44908</v>
      </c>
    </row>
    <row r="1303" spans="1:24">
      <c r="A1303">
        <f>HYPERLINK("https://www.philgeps.gov.ph/GEPSNONPILOT/Tender/SplashBidNoticeAbstractUI.aspx?menuIndex=3&amp;refID=7083124&amp;Result=3","7083124")</f>
        <v>0</v>
      </c>
      <c r="B1303" t="s">
        <v>572</v>
      </c>
      <c r="C1303" t="s">
        <v>4775</v>
      </c>
      <c r="E1303" t="s">
        <v>19409</v>
      </c>
      <c r="F1303" t="s">
        <v>31362</v>
      </c>
      <c r="G1303" t="s">
        <v>31368</v>
      </c>
      <c r="H1303" t="s">
        <v>15799</v>
      </c>
      <c r="I1303" t="s">
        <v>31467</v>
      </c>
      <c r="J1303" t="s">
        <v>32482</v>
      </c>
      <c r="K1303" t="s">
        <v>40662</v>
      </c>
      <c r="M1303" t="s">
        <v>41528</v>
      </c>
      <c r="N1303" t="s">
        <v>44905</v>
      </c>
      <c r="O1303" t="s">
        <v>44906</v>
      </c>
      <c r="P1303">
        <v>0</v>
      </c>
      <c r="Q1303">
        <v>2</v>
      </c>
      <c r="R1303" t="s">
        <v>44907</v>
      </c>
      <c r="S1303" t="s">
        <v>45026</v>
      </c>
      <c r="T1303" t="s">
        <v>46453</v>
      </c>
      <c r="U1303" t="s">
        <v>48025</v>
      </c>
      <c r="W1303" t="s">
        <v>60860</v>
      </c>
      <c r="X1303" t="s">
        <v>44908</v>
      </c>
    </row>
    <row r="1304" spans="1:24">
      <c r="A1304">
        <f>HYPERLINK("https://www.philgeps.gov.ph/GEPSNONPILOT/Tender/SplashBidNoticeAbstractUI.aspx?menuIndex=3&amp;refID=7083111&amp;Result=3","7083111")</f>
        <v>0</v>
      </c>
      <c r="B1304" t="s">
        <v>563</v>
      </c>
      <c r="C1304" t="s">
        <v>4776</v>
      </c>
      <c r="D1304" t="s">
        <v>18124</v>
      </c>
      <c r="E1304" t="s">
        <v>19410</v>
      </c>
      <c r="F1304" t="s">
        <v>31362</v>
      </c>
      <c r="G1304" t="s">
        <v>31368</v>
      </c>
      <c r="H1304" t="s">
        <v>15799</v>
      </c>
      <c r="I1304" t="s">
        <v>31415</v>
      </c>
      <c r="J1304" t="s">
        <v>32483</v>
      </c>
      <c r="K1304" t="s">
        <v>40697</v>
      </c>
      <c r="M1304" t="s">
        <v>41519</v>
      </c>
      <c r="N1304" t="s">
        <v>44905</v>
      </c>
      <c r="O1304" t="s">
        <v>44906</v>
      </c>
      <c r="P1304">
        <v>0</v>
      </c>
      <c r="Q1304">
        <v>0</v>
      </c>
      <c r="R1304" t="s">
        <v>44907</v>
      </c>
      <c r="S1304" t="s">
        <v>45026</v>
      </c>
      <c r="T1304" t="s">
        <v>46409</v>
      </c>
      <c r="U1304" t="s">
        <v>48004</v>
      </c>
      <c r="W1304" t="s">
        <v>41519</v>
      </c>
      <c r="X1304" t="s">
        <v>44908</v>
      </c>
    </row>
    <row r="1305" spans="1:24">
      <c r="A1305">
        <f>HYPERLINK("https://www.philgeps.gov.ph/GEPSNONPILOT/Tender/SplashBidNoticeAbstractUI.aspx?menuIndex=3&amp;refID=7083130&amp;Result=3","7083130")</f>
        <v>0</v>
      </c>
      <c r="B1305" t="s">
        <v>573</v>
      </c>
      <c r="C1305" t="s">
        <v>4777</v>
      </c>
      <c r="D1305" t="s">
        <v>18105</v>
      </c>
      <c r="E1305" t="s">
        <v>19411</v>
      </c>
      <c r="F1305" t="s">
        <v>31362</v>
      </c>
      <c r="G1305" t="s">
        <v>31368</v>
      </c>
      <c r="H1305" t="s">
        <v>15799</v>
      </c>
      <c r="I1305" t="s">
        <v>31386</v>
      </c>
      <c r="J1305" t="s">
        <v>32484</v>
      </c>
      <c r="K1305" t="s">
        <v>40661</v>
      </c>
      <c r="M1305" t="s">
        <v>41529</v>
      </c>
      <c r="N1305" t="s">
        <v>44905</v>
      </c>
      <c r="O1305" t="s">
        <v>44906</v>
      </c>
      <c r="P1305">
        <v>0</v>
      </c>
      <c r="Q1305">
        <v>0</v>
      </c>
      <c r="R1305" t="s">
        <v>44907</v>
      </c>
      <c r="S1305" t="s">
        <v>45026</v>
      </c>
      <c r="T1305" t="s">
        <v>46506</v>
      </c>
      <c r="U1305" t="s">
        <v>48026</v>
      </c>
      <c r="W1305" t="s">
        <v>41529</v>
      </c>
      <c r="X1305" t="s">
        <v>44908</v>
      </c>
    </row>
    <row r="1306" spans="1:24">
      <c r="A1306">
        <f>HYPERLINK("https://www.philgeps.gov.ph/GEPSNONPILOT/Tender/SplashBidNoticeAbstractUI.aspx?menuIndex=3&amp;refID=7083123&amp;Result=3","7083123")</f>
        <v>0</v>
      </c>
      <c r="B1306" t="s">
        <v>574</v>
      </c>
      <c r="C1306" t="s">
        <v>4778</v>
      </c>
      <c r="D1306" t="s">
        <v>18148</v>
      </c>
      <c r="E1306" t="s">
        <v>19412</v>
      </c>
      <c r="F1306" t="s">
        <v>31362</v>
      </c>
      <c r="G1306" t="s">
        <v>31368</v>
      </c>
      <c r="H1306" t="s">
        <v>15799</v>
      </c>
      <c r="I1306" t="s">
        <v>31422</v>
      </c>
      <c r="J1306" t="s">
        <v>31806</v>
      </c>
      <c r="K1306" t="s">
        <v>40672</v>
      </c>
      <c r="M1306" t="s">
        <v>41530</v>
      </c>
      <c r="N1306" t="s">
        <v>44905</v>
      </c>
      <c r="O1306" t="s">
        <v>44906</v>
      </c>
      <c r="P1306">
        <v>0</v>
      </c>
      <c r="Q1306">
        <v>0</v>
      </c>
      <c r="R1306" t="s">
        <v>44907</v>
      </c>
      <c r="S1306" t="s">
        <v>45026</v>
      </c>
      <c r="T1306" t="s">
        <v>46443</v>
      </c>
      <c r="U1306" t="s">
        <v>48027</v>
      </c>
      <c r="W1306" t="s">
        <v>41530</v>
      </c>
      <c r="X1306" t="s">
        <v>44908</v>
      </c>
    </row>
    <row r="1307" spans="1:24">
      <c r="A1307">
        <f>HYPERLINK("https://www.philgeps.gov.ph/GEPSNONPILOT/Tender/SplashBidNoticeAbstractUI.aspx?menuIndex=3&amp;refID=7083110&amp;Result=3","7083110")</f>
        <v>0</v>
      </c>
      <c r="B1307" t="s">
        <v>575</v>
      </c>
      <c r="C1307" t="s">
        <v>4779</v>
      </c>
      <c r="D1307" t="s">
        <v>18108</v>
      </c>
      <c r="E1307" t="s">
        <v>19413</v>
      </c>
      <c r="F1307" t="s">
        <v>31362</v>
      </c>
      <c r="G1307" t="s">
        <v>31371</v>
      </c>
      <c r="H1307" t="s">
        <v>15799</v>
      </c>
      <c r="I1307" t="s">
        <v>7090</v>
      </c>
      <c r="J1307" t="s">
        <v>32485</v>
      </c>
      <c r="K1307" t="s">
        <v>40672</v>
      </c>
      <c r="M1307" t="s">
        <v>41531</v>
      </c>
      <c r="N1307" t="s">
        <v>44905</v>
      </c>
      <c r="O1307" t="s">
        <v>44906</v>
      </c>
      <c r="P1307">
        <v>0</v>
      </c>
      <c r="Q1307">
        <v>0</v>
      </c>
      <c r="R1307" t="s">
        <v>44907</v>
      </c>
      <c r="S1307" t="s">
        <v>45026</v>
      </c>
      <c r="T1307" t="s">
        <v>46409</v>
      </c>
      <c r="U1307" t="s">
        <v>48028</v>
      </c>
      <c r="W1307" t="s">
        <v>41531</v>
      </c>
      <c r="X1307" t="s">
        <v>44908</v>
      </c>
    </row>
    <row r="1308" spans="1:24">
      <c r="A1308">
        <f>HYPERLINK("https://www.philgeps.gov.ph/GEPSNONPILOT/Tender/SplashBidNoticeAbstractUI.aspx?menuIndex=3&amp;refID=7083100&amp;Result=3","7083100")</f>
        <v>0</v>
      </c>
      <c r="B1308" t="s">
        <v>576</v>
      </c>
      <c r="C1308" t="s">
        <v>4780</v>
      </c>
      <c r="D1308" t="s">
        <v>18154</v>
      </c>
      <c r="E1308" t="s">
        <v>19414</v>
      </c>
      <c r="F1308" t="s">
        <v>31362</v>
      </c>
      <c r="G1308" t="s">
        <v>31370</v>
      </c>
      <c r="H1308" t="s">
        <v>15799</v>
      </c>
      <c r="I1308" t="s">
        <v>31434</v>
      </c>
      <c r="J1308" t="s">
        <v>31997</v>
      </c>
      <c r="K1308" t="s">
        <v>40662</v>
      </c>
      <c r="M1308" t="s">
        <v>41532</v>
      </c>
      <c r="N1308" t="s">
        <v>44905</v>
      </c>
      <c r="O1308" t="s">
        <v>44906</v>
      </c>
      <c r="P1308">
        <v>0</v>
      </c>
      <c r="Q1308">
        <v>0</v>
      </c>
      <c r="R1308" t="s">
        <v>44907</v>
      </c>
      <c r="S1308" t="s">
        <v>45026</v>
      </c>
      <c r="T1308" t="s">
        <v>46425</v>
      </c>
      <c r="U1308" t="s">
        <v>48029</v>
      </c>
      <c r="W1308" t="s">
        <v>41532</v>
      </c>
      <c r="X1308" t="s">
        <v>44908</v>
      </c>
    </row>
    <row r="1309" spans="1:24">
      <c r="A1309">
        <f>HYPERLINK("https://www.philgeps.gov.ph/GEPSNONPILOT/Tender/SplashBidNoticeAbstractUI.aspx?menuIndex=3&amp;refID=7083128&amp;Result=3","7083128")</f>
        <v>0</v>
      </c>
      <c r="B1309" t="s">
        <v>577</v>
      </c>
      <c r="C1309" t="s">
        <v>4781</v>
      </c>
      <c r="D1309" t="s">
        <v>18134</v>
      </c>
      <c r="E1309" t="s">
        <v>19415</v>
      </c>
      <c r="F1309" t="s">
        <v>31363</v>
      </c>
      <c r="G1309" t="s">
        <v>31369</v>
      </c>
      <c r="H1309" t="s">
        <v>15799</v>
      </c>
      <c r="I1309" t="s">
        <v>3815</v>
      </c>
      <c r="J1309" t="s">
        <v>32486</v>
      </c>
      <c r="K1309" t="s">
        <v>40670</v>
      </c>
      <c r="M1309" t="s">
        <v>41533</v>
      </c>
      <c r="N1309" t="s">
        <v>44905</v>
      </c>
      <c r="O1309" t="s">
        <v>44906</v>
      </c>
      <c r="P1309">
        <v>0</v>
      </c>
      <c r="Q1309">
        <v>0</v>
      </c>
      <c r="R1309" t="s">
        <v>44907</v>
      </c>
      <c r="S1309" t="s">
        <v>45026</v>
      </c>
      <c r="T1309" t="s">
        <v>46555</v>
      </c>
      <c r="U1309" t="s">
        <v>48030</v>
      </c>
      <c r="V1309" t="s">
        <v>54965</v>
      </c>
      <c r="W1309" t="s">
        <v>41533</v>
      </c>
      <c r="X1309" t="s">
        <v>44908</v>
      </c>
    </row>
    <row r="1310" spans="1:24">
      <c r="A1310">
        <f>HYPERLINK("https://www.philgeps.gov.ph/GEPSNONPILOT/Tender/SplashBidNoticeAbstractUI.aspx?menuIndex=3&amp;refID=7083122&amp;Result=3","7083122")</f>
        <v>0</v>
      </c>
      <c r="B1310" t="s">
        <v>94</v>
      </c>
      <c r="C1310" t="s">
        <v>4782</v>
      </c>
      <c r="D1310" t="s">
        <v>18116</v>
      </c>
      <c r="E1310" t="s">
        <v>19416</v>
      </c>
      <c r="F1310" t="s">
        <v>31362</v>
      </c>
      <c r="G1310" t="s">
        <v>31368</v>
      </c>
      <c r="H1310" t="s">
        <v>15799</v>
      </c>
      <c r="I1310" t="s">
        <v>31383</v>
      </c>
      <c r="J1310" t="s">
        <v>32487</v>
      </c>
      <c r="K1310" t="s">
        <v>40665</v>
      </c>
      <c r="M1310" t="s">
        <v>41031</v>
      </c>
      <c r="N1310" t="s">
        <v>44905</v>
      </c>
      <c r="O1310" t="s">
        <v>44906</v>
      </c>
      <c r="P1310">
        <v>0</v>
      </c>
      <c r="Q1310">
        <v>5</v>
      </c>
      <c r="R1310" t="s">
        <v>44907</v>
      </c>
      <c r="S1310" t="s">
        <v>45026</v>
      </c>
      <c r="T1310" t="s">
        <v>46454</v>
      </c>
      <c r="U1310" t="s">
        <v>48031</v>
      </c>
      <c r="W1310" t="s">
        <v>41031</v>
      </c>
      <c r="X1310" t="s">
        <v>44908</v>
      </c>
    </row>
    <row r="1311" spans="1:24">
      <c r="A1311">
        <f>HYPERLINK("https://www.philgeps.gov.ph/GEPSNONPILOT/Tender/SplashBidNoticeAbstractUI.aspx?menuIndex=3&amp;refID=7083125&amp;Result=3","7083125")</f>
        <v>0</v>
      </c>
      <c r="B1311" t="s">
        <v>578</v>
      </c>
      <c r="C1311" t="s">
        <v>4783</v>
      </c>
      <c r="D1311" t="s">
        <v>18134</v>
      </c>
      <c r="E1311" t="s">
        <v>19417</v>
      </c>
      <c r="F1311" t="s">
        <v>31362</v>
      </c>
      <c r="G1311" t="s">
        <v>31369</v>
      </c>
      <c r="H1311" t="s">
        <v>31378</v>
      </c>
      <c r="I1311" t="s">
        <v>31386</v>
      </c>
      <c r="J1311" t="s">
        <v>32391</v>
      </c>
      <c r="K1311" t="s">
        <v>40680</v>
      </c>
      <c r="M1311" t="s">
        <v>41534</v>
      </c>
      <c r="N1311" t="s">
        <v>44905</v>
      </c>
      <c r="O1311" t="s">
        <v>44906</v>
      </c>
      <c r="P1311">
        <v>0</v>
      </c>
      <c r="Q1311">
        <v>0</v>
      </c>
      <c r="R1311" t="s">
        <v>44907</v>
      </c>
      <c r="S1311" t="s">
        <v>45026</v>
      </c>
      <c r="T1311" t="s">
        <v>46405</v>
      </c>
      <c r="U1311" t="s">
        <v>48032</v>
      </c>
      <c r="W1311" t="s">
        <v>41534</v>
      </c>
      <c r="X1311" t="s">
        <v>44908</v>
      </c>
    </row>
    <row r="1312" spans="1:24">
      <c r="A1312">
        <f>HYPERLINK("https://www.philgeps.gov.ph/GEPSNONPILOT/Tender/SplashBidNoticeAbstractUI.aspx?menuIndex=3&amp;refID=7083121&amp;Result=3","7083121")</f>
        <v>0</v>
      </c>
      <c r="B1312" t="s">
        <v>260</v>
      </c>
      <c r="C1312" t="s">
        <v>4784</v>
      </c>
      <c r="D1312" t="s">
        <v>18112</v>
      </c>
      <c r="E1312" t="s">
        <v>19418</v>
      </c>
      <c r="F1312" t="s">
        <v>31362</v>
      </c>
      <c r="G1312" t="s">
        <v>31368</v>
      </c>
      <c r="H1312" t="s">
        <v>15799</v>
      </c>
      <c r="I1312" t="s">
        <v>4057</v>
      </c>
      <c r="J1312" t="s">
        <v>32445</v>
      </c>
      <c r="K1312" t="s">
        <v>40662</v>
      </c>
      <c r="M1312" t="s">
        <v>41201</v>
      </c>
      <c r="N1312" t="s">
        <v>44905</v>
      </c>
      <c r="O1312" t="s">
        <v>44906</v>
      </c>
      <c r="P1312">
        <v>0</v>
      </c>
      <c r="Q1312">
        <v>0</v>
      </c>
      <c r="R1312" t="s">
        <v>44907</v>
      </c>
      <c r="S1312" t="s">
        <v>45026</v>
      </c>
      <c r="T1312" t="s">
        <v>46414</v>
      </c>
      <c r="U1312" t="s">
        <v>47982</v>
      </c>
      <c r="W1312" t="s">
        <v>41201</v>
      </c>
      <c r="X1312" t="s">
        <v>44908</v>
      </c>
    </row>
    <row r="1313" spans="1:24">
      <c r="A1313">
        <f>HYPERLINK("https://www.philgeps.gov.ph/GEPSNONPILOT/Tender/SplashBidNoticeAbstractUI.aspx?menuIndex=3&amp;refID=7083119&amp;Result=3","7083119")</f>
        <v>0</v>
      </c>
      <c r="B1313" t="s">
        <v>561</v>
      </c>
      <c r="C1313" t="s">
        <v>4785</v>
      </c>
      <c r="D1313" t="s">
        <v>18124</v>
      </c>
      <c r="E1313" t="s">
        <v>19419</v>
      </c>
      <c r="F1313" t="s">
        <v>31362</v>
      </c>
      <c r="G1313" t="s">
        <v>31369</v>
      </c>
      <c r="H1313" t="s">
        <v>15799</v>
      </c>
      <c r="I1313" t="s">
        <v>31388</v>
      </c>
      <c r="J1313" t="s">
        <v>31659</v>
      </c>
      <c r="K1313" t="s">
        <v>40670</v>
      </c>
      <c r="M1313" t="s">
        <v>41517</v>
      </c>
      <c r="N1313" t="s">
        <v>44905</v>
      </c>
      <c r="O1313" t="s">
        <v>44906</v>
      </c>
      <c r="P1313">
        <v>0</v>
      </c>
      <c r="Q1313">
        <v>0</v>
      </c>
      <c r="R1313" t="s">
        <v>44907</v>
      </c>
      <c r="S1313" t="s">
        <v>45026</v>
      </c>
      <c r="T1313" t="s">
        <v>46553</v>
      </c>
      <c r="U1313" t="s">
        <v>48033</v>
      </c>
      <c r="W1313" t="s">
        <v>41517</v>
      </c>
      <c r="X1313" t="s">
        <v>44908</v>
      </c>
    </row>
    <row r="1314" spans="1:24">
      <c r="A1314">
        <f>HYPERLINK("https://www.philgeps.gov.ph/GEPSNONPILOT/Tender/SplashBidNoticeAbstractUI.aspx?menuIndex=3&amp;refID=7083117&amp;Result=3","7083117")</f>
        <v>0</v>
      </c>
      <c r="B1314" t="s">
        <v>523</v>
      </c>
      <c r="C1314" t="s">
        <v>4786</v>
      </c>
      <c r="D1314" t="s">
        <v>18108</v>
      </c>
      <c r="E1314" t="s">
        <v>19420</v>
      </c>
      <c r="F1314" t="s">
        <v>31362</v>
      </c>
      <c r="G1314" t="s">
        <v>31368</v>
      </c>
      <c r="H1314" t="s">
        <v>15799</v>
      </c>
      <c r="I1314" t="s">
        <v>31380</v>
      </c>
      <c r="J1314" t="s">
        <v>31724</v>
      </c>
      <c r="K1314" t="s">
        <v>40662</v>
      </c>
      <c r="M1314" t="s">
        <v>41535</v>
      </c>
      <c r="N1314" t="s">
        <v>44905</v>
      </c>
      <c r="O1314" t="s">
        <v>44906</v>
      </c>
      <c r="P1314">
        <v>0</v>
      </c>
      <c r="Q1314">
        <v>1</v>
      </c>
      <c r="R1314" t="s">
        <v>44907</v>
      </c>
      <c r="S1314" t="s">
        <v>45026</v>
      </c>
      <c r="T1314" t="s">
        <v>46503</v>
      </c>
      <c r="U1314" t="s">
        <v>47939</v>
      </c>
      <c r="W1314" t="s">
        <v>41535</v>
      </c>
      <c r="X1314" t="s">
        <v>44908</v>
      </c>
    </row>
    <row r="1315" spans="1:24">
      <c r="A1315">
        <f>HYPERLINK("https://www.philgeps.gov.ph/GEPSNONPILOT/Tender/SplashBidNoticeAbstractUI.aspx?menuIndex=3&amp;refID=7083115&amp;Result=3","7083115")</f>
        <v>0</v>
      </c>
      <c r="B1315" t="s">
        <v>375</v>
      </c>
      <c r="C1315" t="s">
        <v>4787</v>
      </c>
      <c r="D1315" t="s">
        <v>18177</v>
      </c>
      <c r="E1315" t="s">
        <v>19421</v>
      </c>
      <c r="F1315" t="s">
        <v>31362</v>
      </c>
      <c r="G1315" t="s">
        <v>31369</v>
      </c>
      <c r="H1315" t="s">
        <v>15799</v>
      </c>
      <c r="I1315" t="s">
        <v>31415</v>
      </c>
      <c r="J1315" t="s">
        <v>32488</v>
      </c>
      <c r="K1315" t="s">
        <v>40665</v>
      </c>
      <c r="M1315" t="s">
        <v>41322</v>
      </c>
      <c r="N1315" t="s">
        <v>44905</v>
      </c>
      <c r="O1315" t="s">
        <v>44906</v>
      </c>
      <c r="P1315">
        <v>0</v>
      </c>
      <c r="Q1315">
        <v>0</v>
      </c>
      <c r="R1315" t="s">
        <v>44907</v>
      </c>
      <c r="S1315" t="s">
        <v>45026</v>
      </c>
      <c r="T1315" t="s">
        <v>46462</v>
      </c>
      <c r="U1315" t="s">
        <v>48034</v>
      </c>
      <c r="W1315" t="s">
        <v>41322</v>
      </c>
      <c r="X1315" t="s">
        <v>44908</v>
      </c>
    </row>
    <row r="1316" spans="1:24">
      <c r="A1316">
        <f>HYPERLINK("https://www.philgeps.gov.ph/GEPSNONPILOT/Tender/SplashBidNoticeAbstractUI.aspx?menuIndex=3&amp;refID=7083114&amp;Result=3","7083114")</f>
        <v>0</v>
      </c>
      <c r="B1316" t="s">
        <v>550</v>
      </c>
      <c r="C1316" t="s">
        <v>4788</v>
      </c>
      <c r="D1316" t="s">
        <v>18138</v>
      </c>
      <c r="E1316" t="s">
        <v>19422</v>
      </c>
      <c r="F1316" t="s">
        <v>31362</v>
      </c>
      <c r="G1316" t="s">
        <v>31368</v>
      </c>
      <c r="H1316" t="s">
        <v>15799</v>
      </c>
      <c r="I1316" t="s">
        <v>31415</v>
      </c>
      <c r="J1316" t="s">
        <v>32489</v>
      </c>
      <c r="K1316" t="s">
        <v>40666</v>
      </c>
      <c r="M1316" t="s">
        <v>41506</v>
      </c>
      <c r="N1316" t="s">
        <v>44905</v>
      </c>
      <c r="O1316" t="s">
        <v>44906</v>
      </c>
      <c r="P1316">
        <v>0</v>
      </c>
      <c r="Q1316">
        <v>0</v>
      </c>
      <c r="R1316" t="s">
        <v>44907</v>
      </c>
      <c r="S1316" t="s">
        <v>45026</v>
      </c>
      <c r="T1316" t="s">
        <v>46409</v>
      </c>
      <c r="U1316" t="s">
        <v>48035</v>
      </c>
      <c r="W1316" t="s">
        <v>41506</v>
      </c>
      <c r="X1316" t="s">
        <v>44908</v>
      </c>
    </row>
    <row r="1317" spans="1:24">
      <c r="A1317">
        <f>HYPERLINK("https://www.philgeps.gov.ph/GEPSNONPILOT/Tender/SplashBidNoticeAbstractUI.aspx?menuIndex=3&amp;refID=7083135&amp;Result=3","7083135")</f>
        <v>0</v>
      </c>
      <c r="B1317" t="s">
        <v>421</v>
      </c>
      <c r="C1317" t="s">
        <v>4789</v>
      </c>
      <c r="D1317" t="s">
        <v>18133</v>
      </c>
      <c r="E1317" t="s">
        <v>19423</v>
      </c>
      <c r="F1317" t="s">
        <v>31362</v>
      </c>
      <c r="G1317" t="s">
        <v>31369</v>
      </c>
      <c r="H1317" t="s">
        <v>31378</v>
      </c>
      <c r="I1317" t="s">
        <v>31386</v>
      </c>
      <c r="J1317" t="s">
        <v>32490</v>
      </c>
      <c r="K1317" t="s">
        <v>40683</v>
      </c>
      <c r="M1317" t="s">
        <v>41372</v>
      </c>
      <c r="N1317" t="s">
        <v>44905</v>
      </c>
      <c r="O1317" t="s">
        <v>44906</v>
      </c>
      <c r="P1317">
        <v>0</v>
      </c>
      <c r="Q1317">
        <v>1</v>
      </c>
      <c r="R1317" t="s">
        <v>44907</v>
      </c>
      <c r="S1317" t="s">
        <v>45026</v>
      </c>
      <c r="T1317" t="s">
        <v>46496</v>
      </c>
      <c r="U1317" t="s">
        <v>48036</v>
      </c>
      <c r="W1317" t="s">
        <v>41372</v>
      </c>
      <c r="X1317" t="s">
        <v>44908</v>
      </c>
    </row>
    <row r="1318" spans="1:24">
      <c r="A1318">
        <f>HYPERLINK("https://www.philgeps.gov.ph/GEPSNONPILOT/Tender/SplashBidNoticeAbstractUI.aspx?menuIndex=3&amp;refID=7083134&amp;Result=3","7083134")</f>
        <v>0</v>
      </c>
      <c r="B1318" t="s">
        <v>579</v>
      </c>
      <c r="C1318" t="s">
        <v>4790</v>
      </c>
      <c r="D1318" t="s">
        <v>18112</v>
      </c>
      <c r="E1318" t="s">
        <v>19424</v>
      </c>
      <c r="F1318" t="s">
        <v>31362</v>
      </c>
      <c r="G1318" t="s">
        <v>31368</v>
      </c>
      <c r="H1318" t="s">
        <v>15799</v>
      </c>
      <c r="I1318" t="s">
        <v>31388</v>
      </c>
      <c r="J1318" t="s">
        <v>32491</v>
      </c>
      <c r="K1318" t="s">
        <v>40661</v>
      </c>
      <c r="M1318" t="s">
        <v>41536</v>
      </c>
      <c r="N1318" t="s">
        <v>44905</v>
      </c>
      <c r="O1318" t="s">
        <v>44906</v>
      </c>
      <c r="P1318">
        <v>0</v>
      </c>
      <c r="Q1318">
        <v>0</v>
      </c>
      <c r="R1318" t="s">
        <v>44907</v>
      </c>
      <c r="S1318" t="s">
        <v>45026</v>
      </c>
      <c r="T1318" t="s">
        <v>46392</v>
      </c>
      <c r="U1318" t="s">
        <v>48037</v>
      </c>
      <c r="W1318" t="s">
        <v>41536</v>
      </c>
      <c r="X1318" t="s">
        <v>44908</v>
      </c>
    </row>
    <row r="1319" spans="1:24">
      <c r="A1319">
        <f>HYPERLINK("https://www.philgeps.gov.ph/GEPSNONPILOT/Tender/SplashBidNoticeAbstractUI.aspx?menuIndex=3&amp;refID=7083154&amp;Result=3","7083154")</f>
        <v>0</v>
      </c>
      <c r="B1319" t="s">
        <v>580</v>
      </c>
      <c r="C1319" t="s">
        <v>4791</v>
      </c>
      <c r="D1319" t="s">
        <v>18106</v>
      </c>
      <c r="E1319" t="s">
        <v>19425</v>
      </c>
      <c r="F1319" t="s">
        <v>31362</v>
      </c>
      <c r="G1319" t="s">
        <v>31368</v>
      </c>
      <c r="H1319" t="s">
        <v>15799</v>
      </c>
      <c r="I1319" t="s">
        <v>31466</v>
      </c>
      <c r="J1319" t="s">
        <v>32492</v>
      </c>
      <c r="K1319" t="s">
        <v>40670</v>
      </c>
      <c r="M1319" t="s">
        <v>41537</v>
      </c>
      <c r="N1319" t="s">
        <v>44905</v>
      </c>
      <c r="O1319" t="s">
        <v>44906</v>
      </c>
      <c r="P1319">
        <v>0</v>
      </c>
      <c r="Q1319">
        <v>3</v>
      </c>
      <c r="R1319" t="s">
        <v>44907</v>
      </c>
      <c r="S1319" t="s">
        <v>45026</v>
      </c>
      <c r="T1319" t="s">
        <v>46454</v>
      </c>
      <c r="U1319" t="s">
        <v>47881</v>
      </c>
      <c r="W1319" t="s">
        <v>41537</v>
      </c>
      <c r="X1319" t="s">
        <v>44908</v>
      </c>
    </row>
    <row r="1320" spans="1:24">
      <c r="A1320">
        <f>HYPERLINK("https://www.philgeps.gov.ph/GEPSNONPILOT/Tender/SplashBidNoticeAbstractUI.aspx?menuIndex=3&amp;refID=7083152&amp;Result=3","7083152")</f>
        <v>0</v>
      </c>
      <c r="B1320" t="s">
        <v>364</v>
      </c>
      <c r="C1320" t="s">
        <v>4792</v>
      </c>
      <c r="D1320" t="s">
        <v>18138</v>
      </c>
      <c r="E1320" t="s">
        <v>19426</v>
      </c>
      <c r="F1320" t="s">
        <v>31362</v>
      </c>
      <c r="G1320" t="s">
        <v>31368</v>
      </c>
      <c r="H1320" t="s">
        <v>15799</v>
      </c>
      <c r="I1320" t="s">
        <v>31385</v>
      </c>
      <c r="J1320" t="s">
        <v>32493</v>
      </c>
      <c r="K1320" t="s">
        <v>40662</v>
      </c>
      <c r="M1320" t="s">
        <v>41311</v>
      </c>
      <c r="N1320" t="s">
        <v>44905</v>
      </c>
      <c r="O1320" t="s">
        <v>44906</v>
      </c>
      <c r="P1320">
        <v>0</v>
      </c>
      <c r="Q1320">
        <v>4</v>
      </c>
      <c r="R1320" t="s">
        <v>44907</v>
      </c>
      <c r="S1320" t="s">
        <v>45026</v>
      </c>
      <c r="T1320" t="s">
        <v>46409</v>
      </c>
      <c r="U1320" t="s">
        <v>47548</v>
      </c>
      <c r="W1320" t="s">
        <v>41311</v>
      </c>
      <c r="X1320" t="s">
        <v>44908</v>
      </c>
    </row>
    <row r="1321" spans="1:24">
      <c r="A1321">
        <f>HYPERLINK("https://www.philgeps.gov.ph/GEPSNONPILOT/Tender/SplashBidNoticeAbstractUI.aspx?menuIndex=3&amp;refID=7083149&amp;Result=3","7083149")</f>
        <v>0</v>
      </c>
      <c r="B1321" t="s">
        <v>447</v>
      </c>
      <c r="C1321" t="s">
        <v>4793</v>
      </c>
      <c r="D1321" t="s">
        <v>18109</v>
      </c>
      <c r="E1321" t="s">
        <v>19427</v>
      </c>
      <c r="F1321" t="s">
        <v>31362</v>
      </c>
      <c r="G1321" t="s">
        <v>31368</v>
      </c>
      <c r="H1321" t="s">
        <v>15799</v>
      </c>
      <c r="I1321" t="s">
        <v>6155</v>
      </c>
      <c r="J1321" t="s">
        <v>32494</v>
      </c>
      <c r="K1321" t="s">
        <v>40670</v>
      </c>
      <c r="M1321" t="s">
        <v>41401</v>
      </c>
      <c r="N1321" t="s">
        <v>44905</v>
      </c>
      <c r="O1321" t="s">
        <v>44906</v>
      </c>
      <c r="P1321">
        <v>0</v>
      </c>
      <c r="Q1321">
        <v>6</v>
      </c>
      <c r="R1321" t="s">
        <v>44907</v>
      </c>
      <c r="S1321" t="s">
        <v>45026</v>
      </c>
      <c r="T1321" t="s">
        <v>46409</v>
      </c>
      <c r="U1321" t="s">
        <v>48038</v>
      </c>
      <c r="V1321" t="s">
        <v>59208</v>
      </c>
      <c r="W1321" t="s">
        <v>41401</v>
      </c>
      <c r="X1321" t="s">
        <v>44908</v>
      </c>
    </row>
    <row r="1322" spans="1:24">
      <c r="A1322">
        <f>HYPERLINK("https://www.philgeps.gov.ph/GEPSNONPILOT/Tender/SplashBidNoticeAbstractUI.aspx?menuIndex=3&amp;refID=7083147&amp;Result=3","7083147")</f>
        <v>0</v>
      </c>
      <c r="B1322" t="s">
        <v>561</v>
      </c>
      <c r="C1322" t="s">
        <v>4794</v>
      </c>
      <c r="D1322" t="s">
        <v>18124</v>
      </c>
      <c r="E1322" t="s">
        <v>19428</v>
      </c>
      <c r="F1322" t="s">
        <v>31362</v>
      </c>
      <c r="G1322" t="s">
        <v>31369</v>
      </c>
      <c r="H1322" t="s">
        <v>15799</v>
      </c>
      <c r="I1322" t="s">
        <v>31397</v>
      </c>
      <c r="J1322" t="s">
        <v>31578</v>
      </c>
      <c r="K1322" t="s">
        <v>40670</v>
      </c>
      <c r="M1322" t="s">
        <v>41517</v>
      </c>
      <c r="N1322" t="s">
        <v>44905</v>
      </c>
      <c r="O1322" t="s">
        <v>44906</v>
      </c>
      <c r="P1322">
        <v>0</v>
      </c>
      <c r="Q1322">
        <v>0</v>
      </c>
      <c r="R1322" t="s">
        <v>44907</v>
      </c>
      <c r="S1322" t="s">
        <v>45026</v>
      </c>
      <c r="T1322" t="s">
        <v>46553</v>
      </c>
      <c r="U1322" t="s">
        <v>48039</v>
      </c>
      <c r="W1322" t="s">
        <v>41517</v>
      </c>
      <c r="X1322" t="s">
        <v>44908</v>
      </c>
    </row>
    <row r="1323" spans="1:24">
      <c r="A1323">
        <f>HYPERLINK("https://www.philgeps.gov.ph/GEPSNONPILOT/Tender/SplashBidNoticeAbstractUI.aspx?menuIndex=3&amp;refID=7083118&amp;Result=3","7083118")</f>
        <v>0</v>
      </c>
      <c r="B1323" t="s">
        <v>181</v>
      </c>
      <c r="C1323" t="s">
        <v>4795</v>
      </c>
      <c r="D1323" t="s">
        <v>18103</v>
      </c>
      <c r="E1323" t="s">
        <v>19429</v>
      </c>
      <c r="F1323" t="s">
        <v>31362</v>
      </c>
      <c r="G1323" t="s">
        <v>31368</v>
      </c>
      <c r="H1323" t="s">
        <v>15799</v>
      </c>
      <c r="I1323" t="s">
        <v>31380</v>
      </c>
      <c r="J1323" t="s">
        <v>32495</v>
      </c>
      <c r="K1323" t="s">
        <v>40662</v>
      </c>
      <c r="M1323" t="s">
        <v>41119</v>
      </c>
      <c r="N1323" t="s">
        <v>44905</v>
      </c>
      <c r="O1323" t="s">
        <v>44906</v>
      </c>
      <c r="P1323">
        <v>0</v>
      </c>
      <c r="Q1323">
        <v>2</v>
      </c>
      <c r="R1323" t="s">
        <v>44907</v>
      </c>
      <c r="S1323" t="s">
        <v>45026</v>
      </c>
      <c r="T1323" t="s">
        <v>46467</v>
      </c>
      <c r="U1323" t="s">
        <v>48040</v>
      </c>
      <c r="W1323" t="s">
        <v>60839</v>
      </c>
      <c r="X1323" t="s">
        <v>44908</v>
      </c>
    </row>
    <row r="1324" spans="1:24">
      <c r="A1324">
        <f>HYPERLINK("https://www.philgeps.gov.ph/GEPSNONPILOT/Tender/SplashBidNoticeAbstractUI.aspx?menuIndex=3&amp;refID=7083146&amp;Result=3","7083146")</f>
        <v>0</v>
      </c>
      <c r="B1324" t="s">
        <v>459</v>
      </c>
      <c r="C1324" t="s">
        <v>4796</v>
      </c>
      <c r="D1324" t="s">
        <v>18170</v>
      </c>
      <c r="E1324" t="s">
        <v>19430</v>
      </c>
      <c r="F1324" t="s">
        <v>31362</v>
      </c>
      <c r="G1324" t="s">
        <v>31369</v>
      </c>
      <c r="H1324" t="s">
        <v>31378</v>
      </c>
      <c r="I1324" t="s">
        <v>31386</v>
      </c>
      <c r="J1324" t="s">
        <v>32239</v>
      </c>
      <c r="K1324" t="s">
        <v>40675</v>
      </c>
      <c r="M1324" t="s">
        <v>41413</v>
      </c>
      <c r="N1324" t="s">
        <v>44905</v>
      </c>
      <c r="O1324" t="s">
        <v>44906</v>
      </c>
      <c r="P1324">
        <v>0</v>
      </c>
      <c r="Q1324">
        <v>0</v>
      </c>
      <c r="R1324" t="s">
        <v>44907</v>
      </c>
      <c r="S1324" t="s">
        <v>45026</v>
      </c>
      <c r="T1324" t="s">
        <v>46556</v>
      </c>
      <c r="U1324" t="s">
        <v>48041</v>
      </c>
      <c r="W1324" t="s">
        <v>41413</v>
      </c>
      <c r="X1324" t="s">
        <v>44908</v>
      </c>
    </row>
    <row r="1325" spans="1:24">
      <c r="A1325">
        <f>HYPERLINK("https://www.philgeps.gov.ph/GEPSNONPILOT/Tender/SplashBidNoticeAbstractUI.aspx?menuIndex=3&amp;refID=7083133&amp;Result=3","7083133")</f>
        <v>0</v>
      </c>
      <c r="B1325" t="s">
        <v>552</v>
      </c>
      <c r="C1325" t="s">
        <v>4797</v>
      </c>
      <c r="D1325" t="s">
        <v>18162</v>
      </c>
      <c r="E1325" t="s">
        <v>19431</v>
      </c>
      <c r="F1325" t="s">
        <v>31362</v>
      </c>
      <c r="G1325" t="s">
        <v>31368</v>
      </c>
      <c r="H1325" t="s">
        <v>15799</v>
      </c>
      <c r="I1325" t="s">
        <v>31388</v>
      </c>
      <c r="J1325" t="s">
        <v>32455</v>
      </c>
      <c r="K1325" t="s">
        <v>40666</v>
      </c>
      <c r="M1325" t="s">
        <v>41508</v>
      </c>
      <c r="N1325" t="s">
        <v>44905</v>
      </c>
      <c r="O1325" t="s">
        <v>44906</v>
      </c>
      <c r="P1325">
        <v>0</v>
      </c>
      <c r="Q1325">
        <v>0</v>
      </c>
      <c r="R1325" t="s">
        <v>44907</v>
      </c>
      <c r="S1325" t="s">
        <v>45026</v>
      </c>
      <c r="T1325" t="s">
        <v>46470</v>
      </c>
      <c r="U1325" t="s">
        <v>47984</v>
      </c>
      <c r="V1325" t="s">
        <v>59209</v>
      </c>
      <c r="W1325" t="s">
        <v>41508</v>
      </c>
      <c r="X1325" t="s">
        <v>44908</v>
      </c>
    </row>
    <row r="1326" spans="1:24">
      <c r="A1326">
        <f>HYPERLINK("https://www.philgeps.gov.ph/GEPSNONPILOT/Tender/SplashBidNoticeAbstractUI.aspx?menuIndex=3&amp;refID=7083153&amp;Result=3","7083153")</f>
        <v>0</v>
      </c>
      <c r="B1326" t="s">
        <v>440</v>
      </c>
      <c r="C1326" t="s">
        <v>4798</v>
      </c>
      <c r="D1326" t="s">
        <v>18154</v>
      </c>
      <c r="E1326" t="s">
        <v>19432</v>
      </c>
      <c r="F1326" t="s">
        <v>31362</v>
      </c>
      <c r="G1326" t="s">
        <v>31368</v>
      </c>
      <c r="H1326" t="s">
        <v>15799</v>
      </c>
      <c r="I1326" t="s">
        <v>3815</v>
      </c>
      <c r="J1326" t="s">
        <v>32496</v>
      </c>
      <c r="K1326" t="s">
        <v>40662</v>
      </c>
      <c r="M1326" t="s">
        <v>41392</v>
      </c>
      <c r="N1326" t="s">
        <v>44905</v>
      </c>
      <c r="O1326" t="s">
        <v>44906</v>
      </c>
      <c r="P1326">
        <v>0</v>
      </c>
      <c r="Q1326">
        <v>0</v>
      </c>
      <c r="R1326" t="s">
        <v>44907</v>
      </c>
      <c r="S1326" t="s">
        <v>45026</v>
      </c>
      <c r="T1326" t="s">
        <v>46447</v>
      </c>
      <c r="U1326" t="s">
        <v>48042</v>
      </c>
      <c r="W1326" t="s">
        <v>41392</v>
      </c>
      <c r="X1326" t="s">
        <v>44908</v>
      </c>
    </row>
    <row r="1327" spans="1:24">
      <c r="A1327">
        <f>HYPERLINK("https://www.philgeps.gov.ph/GEPSNONPILOT/Tender/SplashBidNoticeAbstractUI.aspx?menuIndex=3&amp;refID=7083148&amp;Result=3","7083148")</f>
        <v>0</v>
      </c>
      <c r="B1327" t="s">
        <v>581</v>
      </c>
      <c r="C1327" t="s">
        <v>4799</v>
      </c>
      <c r="E1327" t="s">
        <v>19433</v>
      </c>
      <c r="F1327" t="s">
        <v>31362</v>
      </c>
      <c r="G1327" t="s">
        <v>31368</v>
      </c>
      <c r="H1327" t="s">
        <v>31377</v>
      </c>
      <c r="I1327" t="s">
        <v>31377</v>
      </c>
      <c r="J1327" t="s">
        <v>31531</v>
      </c>
      <c r="K1327" t="s">
        <v>40699</v>
      </c>
      <c r="M1327" t="s">
        <v>41538</v>
      </c>
      <c r="N1327" t="s">
        <v>44905</v>
      </c>
      <c r="O1327" t="s">
        <v>44906</v>
      </c>
      <c r="P1327">
        <v>0</v>
      </c>
      <c r="Q1327">
        <v>1</v>
      </c>
      <c r="R1327" t="s">
        <v>44907</v>
      </c>
      <c r="S1327" t="s">
        <v>45026</v>
      </c>
      <c r="T1327" t="s">
        <v>46408</v>
      </c>
      <c r="U1327" t="s">
        <v>48043</v>
      </c>
      <c r="W1327" t="s">
        <v>41538</v>
      </c>
      <c r="X1327" t="s">
        <v>44908</v>
      </c>
    </row>
    <row r="1328" spans="1:24">
      <c r="A1328">
        <f>HYPERLINK("https://www.philgeps.gov.ph/GEPSNONPILOT/Tender/SplashBidNoticeAbstractUI.aspx?menuIndex=3&amp;refID=7083158&amp;Result=3","7083158")</f>
        <v>0</v>
      </c>
      <c r="B1328" t="s">
        <v>582</v>
      </c>
      <c r="C1328" t="s">
        <v>4800</v>
      </c>
      <c r="D1328" t="s">
        <v>18180</v>
      </c>
      <c r="E1328" t="s">
        <v>19434</v>
      </c>
      <c r="F1328" t="s">
        <v>31362</v>
      </c>
      <c r="G1328" t="s">
        <v>31369</v>
      </c>
      <c r="H1328" t="s">
        <v>31378</v>
      </c>
      <c r="I1328" t="s">
        <v>31386</v>
      </c>
      <c r="J1328" t="s">
        <v>32497</v>
      </c>
      <c r="K1328" t="s">
        <v>40666</v>
      </c>
      <c r="M1328" t="s">
        <v>41539</v>
      </c>
      <c r="N1328" t="s">
        <v>44905</v>
      </c>
      <c r="O1328" t="s">
        <v>44906</v>
      </c>
      <c r="P1328">
        <v>0</v>
      </c>
      <c r="Q1328">
        <v>0</v>
      </c>
      <c r="R1328" t="s">
        <v>44907</v>
      </c>
      <c r="S1328" t="s">
        <v>45026</v>
      </c>
      <c r="T1328" t="s">
        <v>46557</v>
      </c>
      <c r="U1328" t="s">
        <v>48044</v>
      </c>
      <c r="W1328" t="s">
        <v>41539</v>
      </c>
      <c r="X1328" t="s">
        <v>44908</v>
      </c>
    </row>
    <row r="1329" spans="1:24">
      <c r="A1329">
        <f>HYPERLINK("https://www.philgeps.gov.ph/GEPSNONPILOT/Tender/SplashBidNoticeAbstractUI.aspx?menuIndex=3&amp;refID=7083156&amp;Result=3","7083156")</f>
        <v>0</v>
      </c>
      <c r="B1329" t="s">
        <v>363</v>
      </c>
      <c r="C1329" t="s">
        <v>4727</v>
      </c>
      <c r="D1329" t="s">
        <v>18136</v>
      </c>
      <c r="E1329" t="s">
        <v>19435</v>
      </c>
      <c r="F1329" t="s">
        <v>31362</v>
      </c>
      <c r="G1329" t="s">
        <v>31368</v>
      </c>
      <c r="H1329" t="s">
        <v>15799</v>
      </c>
      <c r="I1329" t="s">
        <v>4057</v>
      </c>
      <c r="J1329" t="s">
        <v>31578</v>
      </c>
      <c r="K1329" t="s">
        <v>40665</v>
      </c>
      <c r="M1329" t="s">
        <v>41310</v>
      </c>
      <c r="N1329" t="s">
        <v>44905</v>
      </c>
      <c r="O1329" t="s">
        <v>44906</v>
      </c>
      <c r="P1329">
        <v>0</v>
      </c>
      <c r="Q1329">
        <v>0</v>
      </c>
      <c r="R1329" t="s">
        <v>44907</v>
      </c>
      <c r="S1329" t="s">
        <v>45026</v>
      </c>
      <c r="T1329" t="s">
        <v>46432</v>
      </c>
      <c r="U1329" t="s">
        <v>48045</v>
      </c>
      <c r="W1329" t="s">
        <v>41310</v>
      </c>
      <c r="X1329" t="s">
        <v>44908</v>
      </c>
    </row>
    <row r="1330" spans="1:24">
      <c r="A1330">
        <f>HYPERLINK("https://www.philgeps.gov.ph/GEPSNONPILOT/Tender/SplashBidNoticeAbstractUI.aspx?menuIndex=3&amp;refID=7083079&amp;Result=3","7083079")</f>
        <v>0</v>
      </c>
      <c r="B1330" t="s">
        <v>519</v>
      </c>
      <c r="C1330" t="s">
        <v>4801</v>
      </c>
      <c r="D1330" t="s">
        <v>18104</v>
      </c>
      <c r="E1330" t="s">
        <v>19436</v>
      </c>
      <c r="F1330" t="s">
        <v>31362</v>
      </c>
      <c r="G1330" t="s">
        <v>31371</v>
      </c>
      <c r="H1330" t="s">
        <v>15799</v>
      </c>
      <c r="I1330" t="s">
        <v>7188</v>
      </c>
      <c r="J1330" t="s">
        <v>31811</v>
      </c>
      <c r="K1330" t="s">
        <v>40677</v>
      </c>
      <c r="M1330" t="s">
        <v>41475</v>
      </c>
      <c r="N1330" t="s">
        <v>44905</v>
      </c>
      <c r="O1330" t="s">
        <v>44906</v>
      </c>
      <c r="P1330">
        <v>0</v>
      </c>
      <c r="Q1330">
        <v>4</v>
      </c>
      <c r="R1330" t="s">
        <v>44907</v>
      </c>
      <c r="S1330" t="s">
        <v>45026</v>
      </c>
      <c r="T1330" t="s">
        <v>46434</v>
      </c>
      <c r="U1330" t="s">
        <v>48046</v>
      </c>
      <c r="W1330" t="s">
        <v>41475</v>
      </c>
      <c r="X1330" t="s">
        <v>44908</v>
      </c>
    </row>
    <row r="1331" spans="1:24">
      <c r="A1331">
        <f>HYPERLINK("https://www.philgeps.gov.ph/GEPSNONPILOT/Tender/SplashBidNoticeAbstractUI.aspx?menuIndex=3&amp;refID=7083132&amp;Result=3","7083132")</f>
        <v>0</v>
      </c>
      <c r="B1331" t="s">
        <v>583</v>
      </c>
      <c r="C1331" t="s">
        <v>4802</v>
      </c>
      <c r="D1331" t="s">
        <v>18114</v>
      </c>
      <c r="E1331" t="s">
        <v>18548</v>
      </c>
      <c r="F1331" t="s">
        <v>31362</v>
      </c>
      <c r="G1331" t="s">
        <v>31369</v>
      </c>
      <c r="H1331" t="s">
        <v>31378</v>
      </c>
      <c r="I1331" t="s">
        <v>31386</v>
      </c>
      <c r="J1331" t="s">
        <v>32498</v>
      </c>
      <c r="K1331" t="s">
        <v>40724</v>
      </c>
      <c r="M1331" t="s">
        <v>41540</v>
      </c>
      <c r="N1331" t="s">
        <v>44905</v>
      </c>
      <c r="O1331" t="s">
        <v>44906</v>
      </c>
      <c r="P1331">
        <v>0</v>
      </c>
      <c r="Q1331">
        <v>0</v>
      </c>
      <c r="R1331" t="s">
        <v>44907</v>
      </c>
      <c r="S1331" t="s">
        <v>45026</v>
      </c>
      <c r="T1331" t="s">
        <v>46558</v>
      </c>
      <c r="U1331" t="s">
        <v>48047</v>
      </c>
      <c r="W1331" t="s">
        <v>41540</v>
      </c>
      <c r="X1331" t="s">
        <v>44908</v>
      </c>
    </row>
    <row r="1332" spans="1:24">
      <c r="A1332">
        <f>HYPERLINK("https://www.philgeps.gov.ph/GEPSNONPILOT/Tender/SplashBidNoticeAbstractUI.aspx?menuIndex=3&amp;refID=7083160&amp;Result=3","7083160")</f>
        <v>0</v>
      </c>
      <c r="B1332" t="s">
        <v>584</v>
      </c>
      <c r="C1332" t="s">
        <v>4803</v>
      </c>
      <c r="D1332" t="s">
        <v>18158</v>
      </c>
      <c r="E1332" t="s">
        <v>19437</v>
      </c>
      <c r="F1332" t="s">
        <v>31362</v>
      </c>
      <c r="G1332" t="s">
        <v>31369</v>
      </c>
      <c r="H1332" t="s">
        <v>31378</v>
      </c>
      <c r="I1332" t="s">
        <v>31386</v>
      </c>
      <c r="J1332" t="s">
        <v>32499</v>
      </c>
      <c r="K1332" t="s">
        <v>40664</v>
      </c>
      <c r="M1332" t="s">
        <v>41541</v>
      </c>
      <c r="N1332" t="s">
        <v>44905</v>
      </c>
      <c r="O1332" t="s">
        <v>44906</v>
      </c>
      <c r="P1332">
        <v>0</v>
      </c>
      <c r="Q1332">
        <v>0</v>
      </c>
      <c r="R1332" t="s">
        <v>44907</v>
      </c>
      <c r="S1332" t="s">
        <v>45026</v>
      </c>
      <c r="T1332" t="s">
        <v>46559</v>
      </c>
      <c r="U1332" t="s">
        <v>48048</v>
      </c>
      <c r="W1332" t="s">
        <v>41541</v>
      </c>
      <c r="X1332" t="s">
        <v>44908</v>
      </c>
    </row>
    <row r="1333" spans="1:24">
      <c r="A1333">
        <f>HYPERLINK("https://www.philgeps.gov.ph/GEPSNONPILOT/Tender/SplashBidNoticeAbstractUI.aspx?menuIndex=3&amp;refID=7083145&amp;Result=3","7083145")</f>
        <v>0</v>
      </c>
      <c r="B1333" t="s">
        <v>237</v>
      </c>
      <c r="C1333" t="s">
        <v>4804</v>
      </c>
      <c r="D1333" t="s">
        <v>18108</v>
      </c>
      <c r="E1333" t="s">
        <v>19438</v>
      </c>
      <c r="F1333" t="s">
        <v>31362</v>
      </c>
      <c r="G1333" t="s">
        <v>31370</v>
      </c>
      <c r="H1333" t="s">
        <v>15799</v>
      </c>
      <c r="I1333" t="s">
        <v>31449</v>
      </c>
      <c r="J1333" t="s">
        <v>32500</v>
      </c>
      <c r="K1333" t="s">
        <v>40670</v>
      </c>
      <c r="M1333" t="s">
        <v>41176</v>
      </c>
      <c r="N1333" t="s">
        <v>44905</v>
      </c>
      <c r="O1333" t="s">
        <v>44906</v>
      </c>
      <c r="P1333">
        <v>0</v>
      </c>
      <c r="Q1333">
        <v>0</v>
      </c>
      <c r="R1333" t="s">
        <v>44907</v>
      </c>
      <c r="S1333" t="s">
        <v>45026</v>
      </c>
      <c r="T1333" t="s">
        <v>46494</v>
      </c>
      <c r="U1333" t="s">
        <v>48049</v>
      </c>
      <c r="V1333" t="s">
        <v>59113</v>
      </c>
      <c r="W1333" t="s">
        <v>41176</v>
      </c>
      <c r="X1333" t="s">
        <v>44908</v>
      </c>
    </row>
    <row r="1334" spans="1:24">
      <c r="A1334">
        <f>HYPERLINK("https://www.philgeps.gov.ph/GEPSNONPILOT/Tender/SplashBidNoticeAbstractUI.aspx?menuIndex=3&amp;refID=7083140&amp;Result=3","7083140")</f>
        <v>0</v>
      </c>
      <c r="B1334" t="s">
        <v>585</v>
      </c>
      <c r="C1334" t="s">
        <v>4805</v>
      </c>
      <c r="D1334" t="s">
        <v>18100</v>
      </c>
      <c r="E1334" t="s">
        <v>19439</v>
      </c>
      <c r="F1334" t="s">
        <v>31362</v>
      </c>
      <c r="G1334" t="s">
        <v>31368</v>
      </c>
      <c r="H1334" t="s">
        <v>15799</v>
      </c>
      <c r="I1334" t="s">
        <v>7090</v>
      </c>
      <c r="J1334" t="s">
        <v>31997</v>
      </c>
      <c r="K1334" t="s">
        <v>40662</v>
      </c>
      <c r="M1334" t="s">
        <v>41542</v>
      </c>
      <c r="N1334" t="s">
        <v>44905</v>
      </c>
      <c r="O1334" t="s">
        <v>44906</v>
      </c>
      <c r="P1334">
        <v>0</v>
      </c>
      <c r="Q1334">
        <v>1</v>
      </c>
      <c r="R1334" t="s">
        <v>44907</v>
      </c>
      <c r="S1334" t="s">
        <v>45026</v>
      </c>
      <c r="T1334" t="s">
        <v>46462</v>
      </c>
      <c r="U1334" t="s">
        <v>48050</v>
      </c>
      <c r="W1334" t="s">
        <v>41542</v>
      </c>
      <c r="X1334" t="s">
        <v>44908</v>
      </c>
    </row>
    <row r="1335" spans="1:24">
      <c r="A1335">
        <f>HYPERLINK("https://www.philgeps.gov.ph/GEPSNONPILOT/Tender/SplashBidNoticeAbstractUI.aspx?menuIndex=3&amp;refID=7083139&amp;Result=3","7083139")</f>
        <v>0</v>
      </c>
      <c r="B1335" t="s">
        <v>541</v>
      </c>
      <c r="C1335" t="s">
        <v>4806</v>
      </c>
      <c r="D1335" t="s">
        <v>18104</v>
      </c>
      <c r="E1335" t="s">
        <v>19440</v>
      </c>
      <c r="F1335" t="s">
        <v>31362</v>
      </c>
      <c r="G1335" t="s">
        <v>31369</v>
      </c>
      <c r="H1335" t="s">
        <v>31378</v>
      </c>
      <c r="I1335" t="s">
        <v>31386</v>
      </c>
      <c r="J1335" t="s">
        <v>31530</v>
      </c>
      <c r="K1335" t="s">
        <v>40665</v>
      </c>
      <c r="M1335" t="s">
        <v>41497</v>
      </c>
      <c r="N1335" t="s">
        <v>44905</v>
      </c>
      <c r="O1335" t="s">
        <v>44906</v>
      </c>
      <c r="P1335">
        <v>0</v>
      </c>
      <c r="Q1335">
        <v>0</v>
      </c>
      <c r="R1335" t="s">
        <v>44907</v>
      </c>
      <c r="S1335" t="s">
        <v>45026</v>
      </c>
      <c r="T1335" t="s">
        <v>46505</v>
      </c>
      <c r="U1335" t="s">
        <v>47966</v>
      </c>
      <c r="V1335" t="s">
        <v>59198</v>
      </c>
      <c r="W1335" t="s">
        <v>41497</v>
      </c>
      <c r="X1335" t="s">
        <v>44908</v>
      </c>
    </row>
    <row r="1336" spans="1:24">
      <c r="A1336">
        <f>HYPERLINK("https://www.philgeps.gov.ph/GEPSNONPILOT/Tender/SplashBidNoticeAbstractUI.aspx?menuIndex=3&amp;refID=7083138&amp;Result=3","7083138")</f>
        <v>0</v>
      </c>
      <c r="B1336" t="s">
        <v>563</v>
      </c>
      <c r="C1336" t="s">
        <v>4807</v>
      </c>
      <c r="D1336" t="s">
        <v>18124</v>
      </c>
      <c r="E1336" t="s">
        <v>19441</v>
      </c>
      <c r="F1336" t="s">
        <v>31362</v>
      </c>
      <c r="G1336" t="s">
        <v>31368</v>
      </c>
      <c r="H1336" t="s">
        <v>15799</v>
      </c>
      <c r="I1336" t="s">
        <v>7719</v>
      </c>
      <c r="J1336" t="s">
        <v>31530</v>
      </c>
      <c r="K1336" t="s">
        <v>40666</v>
      </c>
      <c r="M1336" t="s">
        <v>41519</v>
      </c>
      <c r="N1336" t="s">
        <v>44905</v>
      </c>
      <c r="O1336" t="s">
        <v>44906</v>
      </c>
      <c r="P1336">
        <v>0</v>
      </c>
      <c r="Q1336">
        <v>2</v>
      </c>
      <c r="R1336" t="s">
        <v>44907</v>
      </c>
      <c r="S1336" t="s">
        <v>45026</v>
      </c>
      <c r="T1336" t="s">
        <v>46409</v>
      </c>
      <c r="U1336" t="s">
        <v>48004</v>
      </c>
      <c r="W1336" t="s">
        <v>41519</v>
      </c>
      <c r="X1336" t="s">
        <v>44908</v>
      </c>
    </row>
    <row r="1337" spans="1:24">
      <c r="A1337">
        <f>HYPERLINK("https://www.philgeps.gov.ph/GEPSNONPILOT/Tender/SplashBidNoticeAbstractUI.aspx?menuIndex=3&amp;refID=7083164&amp;Result=3","7083164")</f>
        <v>0</v>
      </c>
      <c r="B1337" t="s">
        <v>586</v>
      </c>
      <c r="C1337" t="s">
        <v>4808</v>
      </c>
      <c r="D1337" t="s">
        <v>18121</v>
      </c>
      <c r="E1337" t="s">
        <v>19442</v>
      </c>
      <c r="F1337" t="s">
        <v>31362</v>
      </c>
      <c r="G1337" t="s">
        <v>31368</v>
      </c>
      <c r="H1337" t="s">
        <v>15799</v>
      </c>
      <c r="I1337" t="s">
        <v>31380</v>
      </c>
      <c r="J1337" t="s">
        <v>32501</v>
      </c>
      <c r="K1337" t="s">
        <v>40661</v>
      </c>
      <c r="M1337" t="s">
        <v>41543</v>
      </c>
      <c r="N1337" t="s">
        <v>44905</v>
      </c>
      <c r="O1337" t="s">
        <v>44906</v>
      </c>
      <c r="P1337">
        <v>0</v>
      </c>
      <c r="Q1337">
        <v>2</v>
      </c>
      <c r="R1337" t="s">
        <v>44907</v>
      </c>
      <c r="S1337" t="s">
        <v>45026</v>
      </c>
      <c r="T1337" t="s">
        <v>46417</v>
      </c>
      <c r="U1337" t="s">
        <v>48051</v>
      </c>
      <c r="W1337" t="s">
        <v>41543</v>
      </c>
      <c r="X1337" t="s">
        <v>44908</v>
      </c>
    </row>
    <row r="1338" spans="1:24">
      <c r="A1338">
        <f>HYPERLINK("https://www.philgeps.gov.ph/GEPSNONPILOT/Tender/SplashBidNoticeAbstractUI.aspx?menuIndex=3&amp;refID=7083163&amp;Result=3","7083163")</f>
        <v>0</v>
      </c>
      <c r="B1338" t="s">
        <v>587</v>
      </c>
      <c r="C1338" t="s">
        <v>4809</v>
      </c>
      <c r="D1338" t="s">
        <v>18109</v>
      </c>
      <c r="E1338" t="s">
        <v>18464</v>
      </c>
      <c r="F1338" t="s">
        <v>31362</v>
      </c>
      <c r="G1338" t="s">
        <v>31369</v>
      </c>
      <c r="H1338" t="s">
        <v>31378</v>
      </c>
      <c r="I1338" t="s">
        <v>31386</v>
      </c>
      <c r="J1338" t="s">
        <v>32502</v>
      </c>
      <c r="K1338" t="s">
        <v>40675</v>
      </c>
      <c r="M1338" t="s">
        <v>41544</v>
      </c>
      <c r="N1338" t="s">
        <v>44905</v>
      </c>
      <c r="O1338" t="s">
        <v>44906</v>
      </c>
      <c r="P1338">
        <v>0</v>
      </c>
      <c r="Q1338">
        <v>1</v>
      </c>
      <c r="R1338" t="s">
        <v>44907</v>
      </c>
      <c r="S1338" t="s">
        <v>45026</v>
      </c>
      <c r="T1338" t="s">
        <v>46490</v>
      </c>
      <c r="U1338" t="s">
        <v>48052</v>
      </c>
      <c r="W1338" t="s">
        <v>41544</v>
      </c>
      <c r="X1338" t="s">
        <v>44908</v>
      </c>
    </row>
    <row r="1339" spans="1:24">
      <c r="A1339">
        <f>HYPERLINK("https://www.philgeps.gov.ph/GEPSNONPILOT/Tender/SplashBidNoticeAbstractUI.aspx?menuIndex=3&amp;refID=7083162&amp;Result=3","7083162")</f>
        <v>0</v>
      </c>
      <c r="B1339" t="s">
        <v>588</v>
      </c>
      <c r="C1339" t="s">
        <v>4810</v>
      </c>
      <c r="D1339" t="s">
        <v>18101</v>
      </c>
      <c r="E1339" t="s">
        <v>18548</v>
      </c>
      <c r="F1339" t="s">
        <v>31362</v>
      </c>
      <c r="G1339" t="s">
        <v>31369</v>
      </c>
      <c r="H1339" t="s">
        <v>15799</v>
      </c>
      <c r="I1339" t="s">
        <v>3815</v>
      </c>
      <c r="J1339" t="s">
        <v>32503</v>
      </c>
      <c r="K1339" t="s">
        <v>40666</v>
      </c>
      <c r="M1339" t="s">
        <v>41545</v>
      </c>
      <c r="N1339" t="s">
        <v>44905</v>
      </c>
      <c r="O1339" t="s">
        <v>44906</v>
      </c>
      <c r="P1339">
        <v>0</v>
      </c>
      <c r="Q1339">
        <v>0</v>
      </c>
      <c r="R1339" t="s">
        <v>44907</v>
      </c>
      <c r="S1339" t="s">
        <v>45026</v>
      </c>
      <c r="T1339" t="s">
        <v>46401</v>
      </c>
      <c r="U1339" t="s">
        <v>48053</v>
      </c>
      <c r="W1339" t="s">
        <v>41545</v>
      </c>
      <c r="X1339" t="s">
        <v>44908</v>
      </c>
    </row>
    <row r="1340" spans="1:24">
      <c r="A1340">
        <f>HYPERLINK("https://www.philgeps.gov.ph/GEPSNONPILOT/Tender/SplashBidNoticeAbstractUI.aspx?menuIndex=3&amp;refID=7083190&amp;Result=3","7083190")</f>
        <v>0</v>
      </c>
      <c r="B1340" t="s">
        <v>589</v>
      </c>
      <c r="C1340" t="s">
        <v>4133</v>
      </c>
      <c r="D1340" t="s">
        <v>18154</v>
      </c>
      <c r="E1340" t="s">
        <v>19443</v>
      </c>
      <c r="F1340" t="s">
        <v>31365</v>
      </c>
      <c r="G1340" t="s">
        <v>31369</v>
      </c>
      <c r="H1340" t="s">
        <v>15799</v>
      </c>
      <c r="I1340" t="s">
        <v>3815</v>
      </c>
      <c r="J1340" t="s">
        <v>32504</v>
      </c>
      <c r="K1340" t="s">
        <v>40666</v>
      </c>
      <c r="M1340" t="s">
        <v>41546</v>
      </c>
      <c r="N1340" t="s">
        <v>44905</v>
      </c>
      <c r="O1340" t="s">
        <v>44906</v>
      </c>
      <c r="P1340">
        <v>0</v>
      </c>
      <c r="Q1340">
        <v>0</v>
      </c>
      <c r="R1340" t="s">
        <v>44907</v>
      </c>
      <c r="S1340" t="s">
        <v>45026</v>
      </c>
      <c r="T1340" t="s">
        <v>46490</v>
      </c>
      <c r="U1340" t="s">
        <v>48054</v>
      </c>
      <c r="W1340" t="s">
        <v>41546</v>
      </c>
      <c r="X1340" t="s">
        <v>44908</v>
      </c>
    </row>
    <row r="1341" spans="1:24">
      <c r="A1341">
        <f>HYPERLINK("https://www.philgeps.gov.ph/GEPSNONPILOT/Tender/SplashBidNoticeAbstractUI.aspx?menuIndex=3&amp;refID=7083155&amp;Result=3","7083155")</f>
        <v>0</v>
      </c>
      <c r="B1341" t="s">
        <v>590</v>
      </c>
      <c r="C1341" t="s">
        <v>4811</v>
      </c>
      <c r="D1341" t="s">
        <v>18162</v>
      </c>
      <c r="E1341" t="s">
        <v>19444</v>
      </c>
      <c r="F1341" t="s">
        <v>31362</v>
      </c>
      <c r="G1341" t="s">
        <v>31369</v>
      </c>
      <c r="H1341" t="s">
        <v>15799</v>
      </c>
      <c r="I1341" t="s">
        <v>31422</v>
      </c>
      <c r="J1341" t="s">
        <v>31545</v>
      </c>
      <c r="K1341" t="s">
        <v>40662</v>
      </c>
      <c r="M1341" t="s">
        <v>41547</v>
      </c>
      <c r="N1341" t="s">
        <v>44905</v>
      </c>
      <c r="O1341" t="s">
        <v>44906</v>
      </c>
      <c r="P1341">
        <v>0</v>
      </c>
      <c r="Q1341">
        <v>2</v>
      </c>
      <c r="R1341" t="s">
        <v>44907</v>
      </c>
      <c r="S1341" t="s">
        <v>45026</v>
      </c>
      <c r="T1341" t="s">
        <v>46560</v>
      </c>
      <c r="U1341" t="s">
        <v>48055</v>
      </c>
      <c r="W1341" t="s">
        <v>41547</v>
      </c>
      <c r="X1341" t="s">
        <v>44908</v>
      </c>
    </row>
    <row r="1342" spans="1:24">
      <c r="A1342">
        <f>HYPERLINK("https://www.philgeps.gov.ph/GEPSNONPILOT/Tender/SplashBidNoticeAbstractUI.aspx?menuIndex=3&amp;refID=7083189&amp;Result=3","7083189")</f>
        <v>0</v>
      </c>
      <c r="B1342" t="s">
        <v>591</v>
      </c>
      <c r="C1342" t="s">
        <v>4812</v>
      </c>
      <c r="D1342" t="s">
        <v>18109</v>
      </c>
      <c r="E1342" t="s">
        <v>19445</v>
      </c>
      <c r="F1342" t="s">
        <v>31362</v>
      </c>
      <c r="G1342" t="s">
        <v>31368</v>
      </c>
      <c r="H1342" t="s">
        <v>15799</v>
      </c>
      <c r="I1342" t="s">
        <v>6240</v>
      </c>
      <c r="J1342" t="s">
        <v>32505</v>
      </c>
      <c r="K1342" t="s">
        <v>40666</v>
      </c>
      <c r="M1342" t="s">
        <v>41548</v>
      </c>
      <c r="N1342" t="s">
        <v>44905</v>
      </c>
      <c r="O1342" t="s">
        <v>44906</v>
      </c>
      <c r="P1342">
        <v>0</v>
      </c>
      <c r="Q1342">
        <v>0</v>
      </c>
      <c r="R1342" t="s">
        <v>44907</v>
      </c>
      <c r="S1342" t="s">
        <v>45026</v>
      </c>
      <c r="T1342" t="s">
        <v>46432</v>
      </c>
      <c r="U1342" t="s">
        <v>48056</v>
      </c>
      <c r="W1342" t="s">
        <v>41548</v>
      </c>
      <c r="X1342" t="s">
        <v>44908</v>
      </c>
    </row>
    <row r="1343" spans="1:24">
      <c r="A1343">
        <f>HYPERLINK("https://www.philgeps.gov.ph/GEPSNONPILOT/Tender/SplashBidNoticeAbstractUI.aspx?menuIndex=3&amp;refID=7083183&amp;Result=3","7083183")</f>
        <v>0</v>
      </c>
      <c r="B1343" t="s">
        <v>563</v>
      </c>
      <c r="C1343" t="s">
        <v>4813</v>
      </c>
      <c r="D1343" t="s">
        <v>18124</v>
      </c>
      <c r="E1343" t="s">
        <v>19446</v>
      </c>
      <c r="F1343" t="s">
        <v>31362</v>
      </c>
      <c r="G1343" t="s">
        <v>31368</v>
      </c>
      <c r="H1343" t="s">
        <v>15799</v>
      </c>
      <c r="I1343" t="s">
        <v>4942</v>
      </c>
      <c r="J1343" t="s">
        <v>32506</v>
      </c>
      <c r="K1343" t="s">
        <v>40697</v>
      </c>
      <c r="M1343" t="s">
        <v>41519</v>
      </c>
      <c r="N1343" t="s">
        <v>44905</v>
      </c>
      <c r="O1343" t="s">
        <v>44906</v>
      </c>
      <c r="P1343">
        <v>0</v>
      </c>
      <c r="Q1343">
        <v>0</v>
      </c>
      <c r="R1343" t="s">
        <v>44907</v>
      </c>
      <c r="S1343" t="s">
        <v>45026</v>
      </c>
      <c r="T1343" t="s">
        <v>46409</v>
      </c>
      <c r="U1343" t="s">
        <v>48004</v>
      </c>
      <c r="W1343" t="s">
        <v>41519</v>
      </c>
      <c r="X1343" t="s">
        <v>44908</v>
      </c>
    </row>
    <row r="1344" spans="1:24">
      <c r="A1344">
        <f>HYPERLINK("https://www.philgeps.gov.ph/GEPSNONPILOT/Tender/SplashBidNoticeAbstractUI.aspx?menuIndex=3&amp;refID=7083182&amp;Result=3","7083182")</f>
        <v>0</v>
      </c>
      <c r="B1344" t="s">
        <v>592</v>
      </c>
      <c r="C1344" t="s">
        <v>4814</v>
      </c>
      <c r="D1344" t="s">
        <v>18100</v>
      </c>
      <c r="E1344" t="s">
        <v>19447</v>
      </c>
      <c r="F1344" t="s">
        <v>31362</v>
      </c>
      <c r="G1344" t="s">
        <v>31368</v>
      </c>
      <c r="H1344" t="s">
        <v>15799</v>
      </c>
      <c r="I1344" t="s">
        <v>31387</v>
      </c>
      <c r="J1344" t="s">
        <v>32507</v>
      </c>
      <c r="K1344" t="s">
        <v>40662</v>
      </c>
      <c r="M1344" t="s">
        <v>41549</v>
      </c>
      <c r="N1344" t="s">
        <v>44905</v>
      </c>
      <c r="O1344" t="s">
        <v>44906</v>
      </c>
      <c r="P1344">
        <v>0</v>
      </c>
      <c r="Q1344">
        <v>0</v>
      </c>
      <c r="R1344" t="s">
        <v>44907</v>
      </c>
      <c r="S1344" t="s">
        <v>45026</v>
      </c>
      <c r="T1344" t="s">
        <v>46414</v>
      </c>
      <c r="U1344" t="s">
        <v>48057</v>
      </c>
      <c r="W1344" t="s">
        <v>41549</v>
      </c>
      <c r="X1344" t="s">
        <v>44908</v>
      </c>
    </row>
    <row r="1345" spans="1:24">
      <c r="A1345">
        <f>HYPERLINK("https://www.philgeps.gov.ph/GEPSNONPILOT/Tender/SplashBidNoticeAbstractUI.aspx?menuIndex=3&amp;refID=7083144&amp;Result=3","7083144")</f>
        <v>0</v>
      </c>
      <c r="B1345" t="s">
        <v>559</v>
      </c>
      <c r="C1345" t="s">
        <v>4815</v>
      </c>
      <c r="D1345" t="s">
        <v>18139</v>
      </c>
      <c r="E1345" t="s">
        <v>19448</v>
      </c>
      <c r="F1345" t="s">
        <v>31362</v>
      </c>
      <c r="G1345" t="s">
        <v>31369</v>
      </c>
      <c r="H1345" t="s">
        <v>31378</v>
      </c>
      <c r="I1345" t="s">
        <v>31386</v>
      </c>
      <c r="J1345" t="s">
        <v>32508</v>
      </c>
      <c r="K1345" t="s">
        <v>40678</v>
      </c>
      <c r="M1345" t="s">
        <v>41515</v>
      </c>
      <c r="N1345" t="s">
        <v>44905</v>
      </c>
      <c r="O1345" t="s">
        <v>44906</v>
      </c>
      <c r="P1345">
        <v>0</v>
      </c>
      <c r="Q1345">
        <v>0</v>
      </c>
      <c r="R1345" t="s">
        <v>44907</v>
      </c>
      <c r="S1345" t="s">
        <v>45026</v>
      </c>
      <c r="T1345" t="s">
        <v>46449</v>
      </c>
      <c r="U1345" t="s">
        <v>47999</v>
      </c>
      <c r="V1345" t="s">
        <v>59206</v>
      </c>
      <c r="W1345" t="s">
        <v>41515</v>
      </c>
      <c r="X1345" t="s">
        <v>44908</v>
      </c>
    </row>
    <row r="1346" spans="1:24">
      <c r="A1346">
        <f>HYPERLINK("https://www.philgeps.gov.ph/GEPSNONPILOT/Tender/SplashBidNoticeAbstractUI.aspx?menuIndex=3&amp;refID=7083178&amp;Result=3","7083178")</f>
        <v>0</v>
      </c>
      <c r="B1346" t="s">
        <v>377</v>
      </c>
      <c r="C1346" t="s">
        <v>4816</v>
      </c>
      <c r="D1346" t="s">
        <v>18108</v>
      </c>
      <c r="E1346" t="s">
        <v>19449</v>
      </c>
      <c r="F1346" t="s">
        <v>31362</v>
      </c>
      <c r="G1346" t="s">
        <v>31368</v>
      </c>
      <c r="H1346" t="s">
        <v>15799</v>
      </c>
      <c r="I1346" t="s">
        <v>3815</v>
      </c>
      <c r="J1346" t="s">
        <v>32509</v>
      </c>
      <c r="K1346" t="s">
        <v>40666</v>
      </c>
      <c r="M1346" t="s">
        <v>41324</v>
      </c>
      <c r="N1346" t="s">
        <v>44905</v>
      </c>
      <c r="O1346" t="s">
        <v>44906</v>
      </c>
      <c r="P1346">
        <v>0</v>
      </c>
      <c r="Q1346">
        <v>0</v>
      </c>
      <c r="R1346" t="s">
        <v>44907</v>
      </c>
      <c r="S1346" t="s">
        <v>45026</v>
      </c>
      <c r="T1346" t="s">
        <v>46478</v>
      </c>
      <c r="U1346" t="s">
        <v>47569</v>
      </c>
      <c r="W1346" t="s">
        <v>41324</v>
      </c>
      <c r="X1346" t="s">
        <v>44908</v>
      </c>
    </row>
    <row r="1347" spans="1:24">
      <c r="A1347">
        <f>HYPERLINK("https://www.philgeps.gov.ph/GEPSNONPILOT/Tender/SplashBidNoticeAbstractUI.aspx?menuIndex=3&amp;refID=7083176&amp;Result=3","7083176")</f>
        <v>0</v>
      </c>
      <c r="B1347" t="s">
        <v>580</v>
      </c>
      <c r="C1347" t="s">
        <v>4817</v>
      </c>
      <c r="D1347" t="s">
        <v>18106</v>
      </c>
      <c r="E1347" t="s">
        <v>19450</v>
      </c>
      <c r="F1347" t="s">
        <v>31362</v>
      </c>
      <c r="G1347" t="s">
        <v>31371</v>
      </c>
      <c r="H1347" t="s">
        <v>15799</v>
      </c>
      <c r="I1347" t="s">
        <v>6373</v>
      </c>
      <c r="J1347" t="s">
        <v>32510</v>
      </c>
      <c r="K1347" t="s">
        <v>40693</v>
      </c>
      <c r="M1347" t="s">
        <v>41537</v>
      </c>
      <c r="N1347" t="s">
        <v>44905</v>
      </c>
      <c r="O1347" t="s">
        <v>44906</v>
      </c>
      <c r="P1347">
        <v>0</v>
      </c>
      <c r="Q1347">
        <v>0</v>
      </c>
      <c r="R1347" t="s">
        <v>44907</v>
      </c>
      <c r="S1347" t="s">
        <v>45026</v>
      </c>
      <c r="T1347" t="s">
        <v>46454</v>
      </c>
      <c r="U1347" t="s">
        <v>47881</v>
      </c>
      <c r="W1347" t="s">
        <v>41537</v>
      </c>
      <c r="X1347" t="s">
        <v>44908</v>
      </c>
    </row>
    <row r="1348" spans="1:24">
      <c r="A1348">
        <f>HYPERLINK("https://www.philgeps.gov.ph/GEPSNONPILOT/Tender/SplashBidNoticeAbstractUI.aspx?menuIndex=3&amp;refID=7083175&amp;Result=3","7083175")</f>
        <v>0</v>
      </c>
      <c r="B1348" t="s">
        <v>593</v>
      </c>
      <c r="C1348" t="s">
        <v>4818</v>
      </c>
      <c r="D1348" t="s">
        <v>18108</v>
      </c>
      <c r="E1348" t="s">
        <v>19451</v>
      </c>
      <c r="F1348" t="s">
        <v>31362</v>
      </c>
      <c r="G1348" t="s">
        <v>31368</v>
      </c>
      <c r="H1348" t="s">
        <v>31377</v>
      </c>
      <c r="I1348" t="s">
        <v>31377</v>
      </c>
      <c r="J1348" t="s">
        <v>31715</v>
      </c>
      <c r="K1348" t="s">
        <v>40712</v>
      </c>
      <c r="M1348" t="s">
        <v>41550</v>
      </c>
      <c r="N1348" t="s">
        <v>44905</v>
      </c>
      <c r="O1348" t="s">
        <v>44906</v>
      </c>
      <c r="P1348">
        <v>0</v>
      </c>
      <c r="Q1348">
        <v>0</v>
      </c>
      <c r="R1348" t="s">
        <v>44907</v>
      </c>
      <c r="S1348" t="s">
        <v>45026</v>
      </c>
      <c r="T1348" t="s">
        <v>46393</v>
      </c>
      <c r="U1348" t="s">
        <v>48058</v>
      </c>
      <c r="W1348" t="s">
        <v>41550</v>
      </c>
      <c r="X1348" t="s">
        <v>44908</v>
      </c>
    </row>
    <row r="1349" spans="1:24">
      <c r="A1349">
        <f>HYPERLINK("https://www.philgeps.gov.ph/GEPSNONPILOT/Tender/SplashBidNoticeAbstractUI.aspx?menuIndex=3&amp;refID=7083173&amp;Result=3","7083173")</f>
        <v>0</v>
      </c>
      <c r="B1349" t="s">
        <v>594</v>
      </c>
      <c r="C1349" t="s">
        <v>4819</v>
      </c>
      <c r="D1349" t="s">
        <v>18164</v>
      </c>
      <c r="E1349" t="s">
        <v>19452</v>
      </c>
      <c r="F1349" t="s">
        <v>31362</v>
      </c>
      <c r="G1349" t="s">
        <v>31368</v>
      </c>
      <c r="H1349" t="s">
        <v>15799</v>
      </c>
      <c r="I1349" t="s">
        <v>3815</v>
      </c>
      <c r="J1349" t="s">
        <v>32511</v>
      </c>
      <c r="K1349" t="s">
        <v>40661</v>
      </c>
      <c r="M1349" t="s">
        <v>41551</v>
      </c>
      <c r="N1349" t="s">
        <v>44905</v>
      </c>
      <c r="O1349" t="s">
        <v>44906</v>
      </c>
      <c r="P1349">
        <v>0</v>
      </c>
      <c r="Q1349">
        <v>0</v>
      </c>
      <c r="R1349" t="s">
        <v>44907</v>
      </c>
      <c r="S1349" t="s">
        <v>45026</v>
      </c>
      <c r="T1349" t="s">
        <v>46414</v>
      </c>
      <c r="U1349" t="s">
        <v>48059</v>
      </c>
      <c r="W1349" t="s">
        <v>41551</v>
      </c>
      <c r="X1349" t="s">
        <v>44908</v>
      </c>
    </row>
    <row r="1350" spans="1:24">
      <c r="A1350">
        <f>HYPERLINK("https://www.philgeps.gov.ph/GEPSNONPILOT/Tender/SplashBidNoticeAbstractUI.aspx?menuIndex=3&amp;refID=7083172&amp;Result=3","7083172")</f>
        <v>0</v>
      </c>
      <c r="B1350" t="s">
        <v>583</v>
      </c>
      <c r="C1350" t="s">
        <v>4820</v>
      </c>
      <c r="D1350" t="s">
        <v>18114</v>
      </c>
      <c r="E1350" t="s">
        <v>18476</v>
      </c>
      <c r="F1350" t="s">
        <v>31362</v>
      </c>
      <c r="G1350" t="s">
        <v>31369</v>
      </c>
      <c r="H1350" t="s">
        <v>31378</v>
      </c>
      <c r="I1350" t="s">
        <v>31386</v>
      </c>
      <c r="J1350" t="s">
        <v>32512</v>
      </c>
      <c r="K1350" t="s">
        <v>40724</v>
      </c>
      <c r="M1350" t="s">
        <v>41540</v>
      </c>
      <c r="N1350" t="s">
        <v>44905</v>
      </c>
      <c r="O1350" t="s">
        <v>44906</v>
      </c>
      <c r="P1350">
        <v>0</v>
      </c>
      <c r="Q1350">
        <v>0</v>
      </c>
      <c r="R1350" t="s">
        <v>44907</v>
      </c>
      <c r="S1350" t="s">
        <v>45026</v>
      </c>
      <c r="T1350" t="s">
        <v>46558</v>
      </c>
      <c r="U1350" t="s">
        <v>48060</v>
      </c>
      <c r="W1350" t="s">
        <v>41540</v>
      </c>
      <c r="X1350" t="s">
        <v>44908</v>
      </c>
    </row>
    <row r="1351" spans="1:24">
      <c r="A1351">
        <f>HYPERLINK("https://www.philgeps.gov.ph/GEPSNONPILOT/Tender/SplashBidNoticeAbstractUI.aspx?menuIndex=3&amp;refID=7083159&amp;Result=3","7083159")</f>
        <v>0</v>
      </c>
      <c r="B1351" t="s">
        <v>563</v>
      </c>
      <c r="C1351" t="s">
        <v>4821</v>
      </c>
      <c r="D1351" t="s">
        <v>18124</v>
      </c>
      <c r="E1351" t="s">
        <v>19453</v>
      </c>
      <c r="F1351" t="s">
        <v>31362</v>
      </c>
      <c r="G1351" t="s">
        <v>31368</v>
      </c>
      <c r="H1351" t="s">
        <v>15799</v>
      </c>
      <c r="I1351" t="s">
        <v>31381</v>
      </c>
      <c r="J1351" t="s">
        <v>32513</v>
      </c>
      <c r="K1351" t="s">
        <v>40697</v>
      </c>
      <c r="M1351" t="s">
        <v>41519</v>
      </c>
      <c r="N1351" t="s">
        <v>44905</v>
      </c>
      <c r="O1351" t="s">
        <v>44906</v>
      </c>
      <c r="P1351">
        <v>0</v>
      </c>
      <c r="Q1351">
        <v>0</v>
      </c>
      <c r="R1351" t="s">
        <v>44907</v>
      </c>
      <c r="S1351" t="s">
        <v>45026</v>
      </c>
      <c r="T1351" t="s">
        <v>46409</v>
      </c>
      <c r="U1351" t="s">
        <v>48004</v>
      </c>
      <c r="W1351" t="s">
        <v>41519</v>
      </c>
      <c r="X1351" t="s">
        <v>44908</v>
      </c>
    </row>
    <row r="1352" spans="1:24">
      <c r="A1352">
        <f>HYPERLINK("https://www.philgeps.gov.ph/GEPSNONPILOT/Tender/SplashBidNoticeAbstractUI.aspx?menuIndex=3&amp;refID=7083171&amp;Result=3","7083171")</f>
        <v>0</v>
      </c>
      <c r="B1352" t="s">
        <v>595</v>
      </c>
      <c r="C1352" t="s">
        <v>4822</v>
      </c>
      <c r="D1352" t="s">
        <v>18152</v>
      </c>
      <c r="E1352" t="s">
        <v>19454</v>
      </c>
      <c r="F1352" t="s">
        <v>31362</v>
      </c>
      <c r="G1352" t="s">
        <v>31368</v>
      </c>
      <c r="H1352" t="s">
        <v>15799</v>
      </c>
      <c r="I1352" t="s">
        <v>7188</v>
      </c>
      <c r="J1352" t="s">
        <v>32514</v>
      </c>
      <c r="K1352" t="s">
        <v>40665</v>
      </c>
      <c r="M1352" t="s">
        <v>41552</v>
      </c>
      <c r="N1352" t="s">
        <v>44905</v>
      </c>
      <c r="O1352" t="s">
        <v>44906</v>
      </c>
      <c r="P1352">
        <v>0</v>
      </c>
      <c r="Q1352">
        <v>1</v>
      </c>
      <c r="R1352" t="s">
        <v>44907</v>
      </c>
      <c r="S1352" t="s">
        <v>45026</v>
      </c>
      <c r="T1352" t="s">
        <v>46447</v>
      </c>
      <c r="U1352" t="s">
        <v>48061</v>
      </c>
      <c r="V1352" t="s">
        <v>59210</v>
      </c>
      <c r="W1352" t="s">
        <v>41552</v>
      </c>
      <c r="X1352" t="s">
        <v>44908</v>
      </c>
    </row>
    <row r="1353" spans="1:24">
      <c r="A1353">
        <f>HYPERLINK("https://www.philgeps.gov.ph/GEPSNONPILOT/Tender/SplashBidNoticeAbstractUI.aspx?menuIndex=3&amp;refID=7083161&amp;Result=3","7083161")</f>
        <v>0</v>
      </c>
      <c r="B1353" t="s">
        <v>74</v>
      </c>
      <c r="C1353" t="s">
        <v>4823</v>
      </c>
      <c r="D1353" t="s">
        <v>18108</v>
      </c>
      <c r="E1353" t="s">
        <v>19455</v>
      </c>
      <c r="F1353" t="s">
        <v>31362</v>
      </c>
      <c r="G1353" t="s">
        <v>31368</v>
      </c>
      <c r="H1353" t="s">
        <v>15799</v>
      </c>
      <c r="I1353" t="s">
        <v>31393</v>
      </c>
      <c r="J1353" t="s">
        <v>32515</v>
      </c>
      <c r="K1353" t="s">
        <v>40662</v>
      </c>
      <c r="M1353" t="s">
        <v>41407</v>
      </c>
      <c r="N1353" t="s">
        <v>44905</v>
      </c>
      <c r="O1353" t="s">
        <v>44906</v>
      </c>
      <c r="P1353">
        <v>0</v>
      </c>
      <c r="Q1353">
        <v>1</v>
      </c>
      <c r="R1353" t="s">
        <v>44907</v>
      </c>
      <c r="S1353" t="s">
        <v>45026</v>
      </c>
      <c r="T1353" t="s">
        <v>46404</v>
      </c>
      <c r="U1353" t="s">
        <v>48062</v>
      </c>
      <c r="W1353" t="s">
        <v>41407</v>
      </c>
      <c r="X1353" t="s">
        <v>44908</v>
      </c>
    </row>
    <row r="1354" spans="1:24">
      <c r="A1354">
        <f>HYPERLINK("https://www.philgeps.gov.ph/GEPSNONPILOT/Tender/SplashBidNoticeAbstractUI.aspx?menuIndex=3&amp;refID=7083167&amp;Result=3","7083167")</f>
        <v>0</v>
      </c>
      <c r="B1354" t="s">
        <v>568</v>
      </c>
      <c r="C1354" t="s">
        <v>4824</v>
      </c>
      <c r="D1354" t="s">
        <v>18132</v>
      </c>
      <c r="E1354" t="s">
        <v>19456</v>
      </c>
      <c r="F1354" t="s">
        <v>31362</v>
      </c>
      <c r="G1354" t="s">
        <v>31368</v>
      </c>
      <c r="H1354" t="s">
        <v>15799</v>
      </c>
      <c r="I1354" t="s">
        <v>31421</v>
      </c>
      <c r="J1354" t="s">
        <v>32516</v>
      </c>
      <c r="K1354" t="s">
        <v>40661</v>
      </c>
      <c r="M1354" t="s">
        <v>41524</v>
      </c>
      <c r="N1354" t="s">
        <v>44905</v>
      </c>
      <c r="O1354" t="s">
        <v>44906</v>
      </c>
      <c r="P1354">
        <v>0</v>
      </c>
      <c r="Q1354">
        <v>0</v>
      </c>
      <c r="R1354" t="s">
        <v>44907</v>
      </c>
      <c r="S1354" t="s">
        <v>45026</v>
      </c>
      <c r="T1354" t="s">
        <v>46428</v>
      </c>
      <c r="U1354" t="s">
        <v>48063</v>
      </c>
      <c r="W1354" t="s">
        <v>41524</v>
      </c>
      <c r="X1354" t="s">
        <v>44908</v>
      </c>
    </row>
    <row r="1355" spans="1:24">
      <c r="A1355">
        <f>HYPERLINK("https://www.philgeps.gov.ph/GEPSNONPILOT/Tender/SplashBidNoticeAbstractUI.aspx?menuIndex=3&amp;refID=7083166&amp;Result=3","7083166")</f>
        <v>0</v>
      </c>
      <c r="B1355" t="s">
        <v>561</v>
      </c>
      <c r="C1355" t="s">
        <v>4825</v>
      </c>
      <c r="D1355" t="s">
        <v>18124</v>
      </c>
      <c r="E1355" t="s">
        <v>19457</v>
      </c>
      <c r="F1355" t="s">
        <v>31362</v>
      </c>
      <c r="G1355" t="s">
        <v>31369</v>
      </c>
      <c r="H1355" t="s">
        <v>15799</v>
      </c>
      <c r="I1355" t="s">
        <v>31459</v>
      </c>
      <c r="J1355" t="s">
        <v>31586</v>
      </c>
      <c r="K1355" t="s">
        <v>40670</v>
      </c>
      <c r="M1355" t="s">
        <v>41517</v>
      </c>
      <c r="N1355" t="s">
        <v>44905</v>
      </c>
      <c r="O1355" t="s">
        <v>44906</v>
      </c>
      <c r="P1355">
        <v>0</v>
      </c>
      <c r="Q1355">
        <v>0</v>
      </c>
      <c r="R1355" t="s">
        <v>44907</v>
      </c>
      <c r="S1355" t="s">
        <v>45026</v>
      </c>
      <c r="T1355" t="s">
        <v>46553</v>
      </c>
      <c r="U1355" t="s">
        <v>48064</v>
      </c>
      <c r="W1355" t="s">
        <v>41517</v>
      </c>
      <c r="X1355" t="s">
        <v>44908</v>
      </c>
    </row>
    <row r="1356" spans="1:24">
      <c r="A1356">
        <f>HYPERLINK("https://www.philgeps.gov.ph/GEPSNONPILOT/Tender/SplashBidNoticeAbstractUI.aspx?menuIndex=3&amp;refID=7083220&amp;Result=3","7083220")</f>
        <v>0</v>
      </c>
      <c r="B1356" t="s">
        <v>561</v>
      </c>
      <c r="C1356" t="s">
        <v>4826</v>
      </c>
      <c r="D1356" t="s">
        <v>18124</v>
      </c>
      <c r="E1356" t="s">
        <v>19458</v>
      </c>
      <c r="F1356" t="s">
        <v>31362</v>
      </c>
      <c r="G1356" t="s">
        <v>31369</v>
      </c>
      <c r="H1356" t="s">
        <v>15799</v>
      </c>
      <c r="I1356" t="s">
        <v>31468</v>
      </c>
      <c r="J1356" t="s">
        <v>32517</v>
      </c>
      <c r="K1356" t="s">
        <v>40670</v>
      </c>
      <c r="M1356" t="s">
        <v>41517</v>
      </c>
      <c r="N1356" t="s">
        <v>44905</v>
      </c>
      <c r="O1356" t="s">
        <v>44906</v>
      </c>
      <c r="P1356">
        <v>0</v>
      </c>
      <c r="Q1356">
        <v>1</v>
      </c>
      <c r="R1356" t="s">
        <v>44907</v>
      </c>
      <c r="S1356" t="s">
        <v>45026</v>
      </c>
      <c r="T1356" t="s">
        <v>46553</v>
      </c>
      <c r="U1356" t="s">
        <v>48065</v>
      </c>
      <c r="W1356" t="s">
        <v>41517</v>
      </c>
      <c r="X1356" t="s">
        <v>44908</v>
      </c>
    </row>
    <row r="1357" spans="1:24">
      <c r="A1357">
        <f>HYPERLINK("https://www.philgeps.gov.ph/GEPSNONPILOT/Tender/SplashBidNoticeAbstractUI.aspx?menuIndex=3&amp;refID=7083217&amp;Result=3","7083217")</f>
        <v>0</v>
      </c>
      <c r="B1357" t="s">
        <v>596</v>
      </c>
      <c r="C1357" t="s">
        <v>4827</v>
      </c>
      <c r="D1357" t="s">
        <v>18156</v>
      </c>
      <c r="E1357" t="s">
        <v>19459</v>
      </c>
      <c r="F1357" t="s">
        <v>31362</v>
      </c>
      <c r="G1357" t="s">
        <v>31369</v>
      </c>
      <c r="H1357" t="s">
        <v>15799</v>
      </c>
      <c r="I1357" t="s">
        <v>6373</v>
      </c>
      <c r="J1357" t="s">
        <v>32518</v>
      </c>
      <c r="K1357" t="s">
        <v>40661</v>
      </c>
      <c r="M1357" t="s">
        <v>41553</v>
      </c>
      <c r="N1357" t="s">
        <v>44905</v>
      </c>
      <c r="O1357" t="s">
        <v>44906</v>
      </c>
      <c r="P1357">
        <v>0</v>
      </c>
      <c r="Q1357">
        <v>2</v>
      </c>
      <c r="R1357" t="s">
        <v>44907</v>
      </c>
      <c r="S1357" t="s">
        <v>45026</v>
      </c>
      <c r="T1357" t="s">
        <v>46403</v>
      </c>
      <c r="U1357" t="s">
        <v>48066</v>
      </c>
      <c r="W1357" t="s">
        <v>60861</v>
      </c>
      <c r="X1357" t="s">
        <v>44908</v>
      </c>
    </row>
    <row r="1358" spans="1:24">
      <c r="A1358">
        <f>HYPERLINK("https://www.philgeps.gov.ph/GEPSNONPILOT/Tender/SplashBidNoticeAbstractUI.aspx?menuIndex=3&amp;refID=7083216&amp;Result=3","7083216")</f>
        <v>0</v>
      </c>
      <c r="B1358" t="s">
        <v>335</v>
      </c>
      <c r="C1358" t="s">
        <v>4828</v>
      </c>
      <c r="D1358" t="s">
        <v>18108</v>
      </c>
      <c r="E1358" t="s">
        <v>19460</v>
      </c>
      <c r="F1358" t="s">
        <v>31362</v>
      </c>
      <c r="G1358" t="s">
        <v>31368</v>
      </c>
      <c r="H1358" t="s">
        <v>15799</v>
      </c>
      <c r="I1358" t="s">
        <v>31421</v>
      </c>
      <c r="J1358" t="s">
        <v>32519</v>
      </c>
      <c r="K1358" t="s">
        <v>40661</v>
      </c>
      <c r="M1358" t="s">
        <v>41281</v>
      </c>
      <c r="N1358" t="s">
        <v>44905</v>
      </c>
      <c r="O1358" t="s">
        <v>44906</v>
      </c>
      <c r="P1358">
        <v>0</v>
      </c>
      <c r="Q1358">
        <v>0</v>
      </c>
      <c r="R1358" t="s">
        <v>44907</v>
      </c>
      <c r="S1358" t="s">
        <v>45026</v>
      </c>
      <c r="T1358" t="s">
        <v>46447</v>
      </c>
      <c r="U1358" t="s">
        <v>47539</v>
      </c>
      <c r="W1358" t="s">
        <v>41281</v>
      </c>
      <c r="X1358" t="s">
        <v>44908</v>
      </c>
    </row>
    <row r="1359" spans="1:24">
      <c r="A1359">
        <f>HYPERLINK("https://www.philgeps.gov.ph/GEPSNONPILOT/Tender/SplashBidNoticeAbstractUI.aspx?menuIndex=3&amp;refID=7083174&amp;Result=3","7083174")</f>
        <v>0</v>
      </c>
      <c r="B1359" t="s">
        <v>597</v>
      </c>
      <c r="C1359" t="s">
        <v>4829</v>
      </c>
      <c r="D1359" t="s">
        <v>18116</v>
      </c>
      <c r="E1359" t="s">
        <v>19461</v>
      </c>
      <c r="F1359" t="s">
        <v>31362</v>
      </c>
      <c r="G1359" t="s">
        <v>31368</v>
      </c>
      <c r="H1359" t="s">
        <v>31378</v>
      </c>
      <c r="I1359" t="s">
        <v>3815</v>
      </c>
      <c r="J1359" t="s">
        <v>32520</v>
      </c>
      <c r="K1359" t="s">
        <v>40662</v>
      </c>
      <c r="M1359" t="s">
        <v>41554</v>
      </c>
      <c r="N1359" t="s">
        <v>44905</v>
      </c>
      <c r="O1359" t="s">
        <v>44906</v>
      </c>
      <c r="P1359">
        <v>0</v>
      </c>
      <c r="Q1359">
        <v>0</v>
      </c>
      <c r="R1359" t="s">
        <v>44907</v>
      </c>
      <c r="S1359" t="s">
        <v>45026</v>
      </c>
      <c r="T1359" t="s">
        <v>46406</v>
      </c>
      <c r="U1359" t="s">
        <v>48067</v>
      </c>
      <c r="W1359" t="s">
        <v>41554</v>
      </c>
      <c r="X1359" t="s">
        <v>44908</v>
      </c>
    </row>
    <row r="1360" spans="1:24">
      <c r="A1360">
        <f>HYPERLINK("https://www.philgeps.gov.ph/GEPSNONPILOT/Tender/SplashBidNoticeAbstractUI.aspx?menuIndex=3&amp;refID=7083213&amp;Result=3","7083213")</f>
        <v>0</v>
      </c>
      <c r="B1360" t="s">
        <v>576</v>
      </c>
      <c r="C1360" t="s">
        <v>4830</v>
      </c>
      <c r="D1360" t="s">
        <v>18154</v>
      </c>
      <c r="E1360" t="s">
        <v>19462</v>
      </c>
      <c r="F1360" t="s">
        <v>31362</v>
      </c>
      <c r="G1360" t="s">
        <v>31370</v>
      </c>
      <c r="H1360" t="s">
        <v>15799</v>
      </c>
      <c r="I1360" t="s">
        <v>31389</v>
      </c>
      <c r="J1360" t="s">
        <v>32521</v>
      </c>
      <c r="K1360" t="s">
        <v>40672</v>
      </c>
      <c r="M1360" t="s">
        <v>41532</v>
      </c>
      <c r="N1360" t="s">
        <v>44905</v>
      </c>
      <c r="O1360" t="s">
        <v>44906</v>
      </c>
      <c r="P1360">
        <v>0</v>
      </c>
      <c r="Q1360">
        <v>0</v>
      </c>
      <c r="R1360" t="s">
        <v>44907</v>
      </c>
      <c r="S1360" t="s">
        <v>45026</v>
      </c>
      <c r="T1360" t="s">
        <v>46425</v>
      </c>
      <c r="U1360" t="s">
        <v>48068</v>
      </c>
      <c r="W1360" t="s">
        <v>41532</v>
      </c>
      <c r="X1360" t="s">
        <v>44908</v>
      </c>
    </row>
    <row r="1361" spans="1:24">
      <c r="A1361">
        <f>HYPERLINK("https://www.philgeps.gov.ph/GEPSNONPILOT/Tender/SplashBidNoticeAbstractUI.aspx?menuIndex=3&amp;refID=7083210&amp;Result=3","7083210")</f>
        <v>0</v>
      </c>
      <c r="B1361" t="s">
        <v>598</v>
      </c>
      <c r="C1361" t="s">
        <v>4831</v>
      </c>
      <c r="D1361" t="s">
        <v>18114</v>
      </c>
      <c r="E1361" t="s">
        <v>19463</v>
      </c>
      <c r="F1361" t="s">
        <v>31362</v>
      </c>
      <c r="G1361" t="s">
        <v>31368</v>
      </c>
      <c r="H1361" t="s">
        <v>31379</v>
      </c>
      <c r="I1361" t="s">
        <v>31430</v>
      </c>
      <c r="J1361" t="s">
        <v>32522</v>
      </c>
      <c r="K1361" t="s">
        <v>40665</v>
      </c>
      <c r="M1361" t="s">
        <v>41555</v>
      </c>
      <c r="N1361" t="s">
        <v>44905</v>
      </c>
      <c r="O1361" t="s">
        <v>44906</v>
      </c>
      <c r="P1361">
        <v>0</v>
      </c>
      <c r="Q1361">
        <v>1</v>
      </c>
      <c r="R1361" t="s">
        <v>44907</v>
      </c>
      <c r="S1361" t="s">
        <v>45026</v>
      </c>
      <c r="T1361" t="s">
        <v>46483</v>
      </c>
      <c r="U1361" t="s">
        <v>48069</v>
      </c>
      <c r="W1361" t="s">
        <v>41555</v>
      </c>
      <c r="X1361" t="s">
        <v>44908</v>
      </c>
    </row>
    <row r="1362" spans="1:24">
      <c r="A1362">
        <f>HYPERLINK("https://www.philgeps.gov.ph/GEPSNONPILOT/Tender/SplashBidNoticeAbstractUI.aspx?menuIndex=3&amp;refID=7083168&amp;Result=3","7083168")</f>
        <v>0</v>
      </c>
      <c r="B1362" t="s">
        <v>260</v>
      </c>
      <c r="C1362" t="s">
        <v>4832</v>
      </c>
      <c r="D1362" t="s">
        <v>18112</v>
      </c>
      <c r="E1362" t="s">
        <v>19464</v>
      </c>
      <c r="F1362" t="s">
        <v>31362</v>
      </c>
      <c r="G1362" t="s">
        <v>31368</v>
      </c>
      <c r="H1362" t="s">
        <v>15799</v>
      </c>
      <c r="I1362" t="s">
        <v>4057</v>
      </c>
      <c r="J1362" t="s">
        <v>32445</v>
      </c>
      <c r="K1362" t="s">
        <v>40662</v>
      </c>
      <c r="M1362" t="s">
        <v>41201</v>
      </c>
      <c r="N1362" t="s">
        <v>44905</v>
      </c>
      <c r="O1362" t="s">
        <v>44906</v>
      </c>
      <c r="P1362">
        <v>0</v>
      </c>
      <c r="Q1362">
        <v>0</v>
      </c>
      <c r="R1362" t="s">
        <v>44907</v>
      </c>
      <c r="S1362" t="s">
        <v>45026</v>
      </c>
      <c r="T1362" t="s">
        <v>46414</v>
      </c>
      <c r="U1362" t="s">
        <v>47982</v>
      </c>
      <c r="W1362" t="s">
        <v>41201</v>
      </c>
      <c r="X1362" t="s">
        <v>44908</v>
      </c>
    </row>
    <row r="1363" spans="1:24">
      <c r="A1363">
        <f>HYPERLINK("https://www.philgeps.gov.ph/GEPSNONPILOT/Tender/SplashBidNoticeAbstractUI.aspx?menuIndex=3&amp;refID=7083209&amp;Result=3","7083209")</f>
        <v>0</v>
      </c>
      <c r="B1363" t="s">
        <v>568</v>
      </c>
      <c r="C1363" t="s">
        <v>4833</v>
      </c>
      <c r="D1363" t="s">
        <v>18132</v>
      </c>
      <c r="E1363" t="s">
        <v>19465</v>
      </c>
      <c r="F1363" t="s">
        <v>31362</v>
      </c>
      <c r="G1363" t="s">
        <v>31368</v>
      </c>
      <c r="H1363" t="s">
        <v>15799</v>
      </c>
      <c r="I1363" t="s">
        <v>3815</v>
      </c>
      <c r="J1363" t="s">
        <v>32523</v>
      </c>
      <c r="K1363" t="s">
        <v>40661</v>
      </c>
      <c r="M1363" t="s">
        <v>41524</v>
      </c>
      <c r="N1363" t="s">
        <v>44905</v>
      </c>
      <c r="O1363" t="s">
        <v>44906</v>
      </c>
      <c r="P1363">
        <v>0</v>
      </c>
      <c r="Q1363">
        <v>0</v>
      </c>
      <c r="R1363" t="s">
        <v>44907</v>
      </c>
      <c r="S1363" t="s">
        <v>45026</v>
      </c>
      <c r="T1363" t="s">
        <v>46428</v>
      </c>
      <c r="U1363" t="s">
        <v>48070</v>
      </c>
      <c r="W1363" t="s">
        <v>41524</v>
      </c>
      <c r="X1363" t="s">
        <v>44908</v>
      </c>
    </row>
    <row r="1364" spans="1:24">
      <c r="A1364">
        <f>HYPERLINK("https://www.philgeps.gov.ph/GEPSNONPILOT/Tender/SplashBidNoticeAbstractUI.aspx?menuIndex=3&amp;refID=7083215&amp;Result=3","7083215")</f>
        <v>0</v>
      </c>
      <c r="B1364" t="s">
        <v>599</v>
      </c>
      <c r="C1364" t="s">
        <v>4834</v>
      </c>
      <c r="D1364" t="s">
        <v>18115</v>
      </c>
      <c r="E1364" t="s">
        <v>19466</v>
      </c>
      <c r="F1364" t="s">
        <v>31362</v>
      </c>
      <c r="G1364" t="s">
        <v>31368</v>
      </c>
      <c r="H1364" t="s">
        <v>15799</v>
      </c>
      <c r="I1364" t="s">
        <v>3815</v>
      </c>
      <c r="J1364" t="s">
        <v>31811</v>
      </c>
      <c r="K1364" t="s">
        <v>40661</v>
      </c>
      <c r="M1364" t="s">
        <v>41556</v>
      </c>
      <c r="N1364" t="s">
        <v>44905</v>
      </c>
      <c r="O1364" t="s">
        <v>44906</v>
      </c>
      <c r="P1364">
        <v>0</v>
      </c>
      <c r="Q1364">
        <v>0</v>
      </c>
      <c r="R1364" t="s">
        <v>44907</v>
      </c>
      <c r="S1364" t="s">
        <v>45026</v>
      </c>
      <c r="T1364" t="s">
        <v>46447</v>
      </c>
      <c r="U1364" t="s">
        <v>48071</v>
      </c>
      <c r="W1364" t="s">
        <v>41556</v>
      </c>
      <c r="X1364" t="s">
        <v>44908</v>
      </c>
    </row>
    <row r="1365" spans="1:24">
      <c r="A1365">
        <f>HYPERLINK("https://www.philgeps.gov.ph/GEPSNONPILOT/Tender/SplashBidNoticeAbstractUI.aspx?menuIndex=3&amp;refID=7083204&amp;Result=3","7083204")</f>
        <v>0</v>
      </c>
      <c r="B1365" t="s">
        <v>600</v>
      </c>
      <c r="C1365" t="s">
        <v>4835</v>
      </c>
      <c r="D1365" t="s">
        <v>18125</v>
      </c>
      <c r="E1365" t="s">
        <v>19467</v>
      </c>
      <c r="F1365" t="s">
        <v>31362</v>
      </c>
      <c r="G1365" t="s">
        <v>31370</v>
      </c>
      <c r="H1365" t="s">
        <v>15799</v>
      </c>
      <c r="I1365" t="s">
        <v>31380</v>
      </c>
      <c r="J1365" t="s">
        <v>32524</v>
      </c>
      <c r="K1365" t="s">
        <v>40662</v>
      </c>
      <c r="M1365" t="s">
        <v>41557</v>
      </c>
      <c r="N1365" t="s">
        <v>44905</v>
      </c>
      <c r="O1365" t="s">
        <v>44906</v>
      </c>
      <c r="P1365">
        <v>0</v>
      </c>
      <c r="Q1365">
        <v>5</v>
      </c>
      <c r="R1365" t="s">
        <v>44907</v>
      </c>
      <c r="S1365" t="s">
        <v>45026</v>
      </c>
      <c r="T1365" t="s">
        <v>46414</v>
      </c>
      <c r="U1365" t="s">
        <v>48072</v>
      </c>
      <c r="W1365" t="s">
        <v>41557</v>
      </c>
      <c r="X1365" t="s">
        <v>44908</v>
      </c>
    </row>
    <row r="1366" spans="1:24">
      <c r="A1366">
        <f>HYPERLINK("https://www.philgeps.gov.ph/GEPSNONPILOT/Tender/SplashBidNoticeAbstractUI.aspx?menuIndex=3&amp;refID=7083203&amp;Result=3","7083203")</f>
        <v>0</v>
      </c>
      <c r="B1366" t="s">
        <v>601</v>
      </c>
      <c r="C1366" t="s">
        <v>4836</v>
      </c>
      <c r="D1366" t="s">
        <v>18119</v>
      </c>
      <c r="E1366" t="s">
        <v>19468</v>
      </c>
      <c r="F1366" t="s">
        <v>31362</v>
      </c>
      <c r="G1366" t="s">
        <v>31369</v>
      </c>
      <c r="H1366" t="s">
        <v>15799</v>
      </c>
      <c r="I1366" t="s">
        <v>3815</v>
      </c>
      <c r="J1366" t="s">
        <v>32525</v>
      </c>
      <c r="K1366" t="s">
        <v>40666</v>
      </c>
      <c r="M1366" t="s">
        <v>41558</v>
      </c>
      <c r="N1366" t="s">
        <v>44905</v>
      </c>
      <c r="O1366" t="s">
        <v>44906</v>
      </c>
      <c r="P1366">
        <v>0</v>
      </c>
      <c r="Q1366">
        <v>0</v>
      </c>
      <c r="R1366" t="s">
        <v>44907</v>
      </c>
      <c r="S1366" t="s">
        <v>45026</v>
      </c>
      <c r="T1366" t="s">
        <v>46561</v>
      </c>
      <c r="U1366" t="s">
        <v>48073</v>
      </c>
      <c r="W1366" t="s">
        <v>41558</v>
      </c>
      <c r="X1366" t="s">
        <v>44908</v>
      </c>
    </row>
    <row r="1367" spans="1:24">
      <c r="A1367">
        <f>HYPERLINK("https://www.philgeps.gov.ph/GEPSNONPILOT/Tender/SplashBidNoticeAbstractUI.aspx?menuIndex=3&amp;refID=7083211&amp;Result=3","7083211")</f>
        <v>0</v>
      </c>
      <c r="B1367" t="s">
        <v>197</v>
      </c>
      <c r="C1367" t="s">
        <v>4837</v>
      </c>
      <c r="E1367" t="s">
        <v>19469</v>
      </c>
      <c r="F1367" t="s">
        <v>31362</v>
      </c>
      <c r="G1367" t="s">
        <v>31368</v>
      </c>
      <c r="H1367" t="s">
        <v>15799</v>
      </c>
      <c r="I1367" t="s">
        <v>31397</v>
      </c>
      <c r="J1367" t="s">
        <v>32526</v>
      </c>
      <c r="K1367" t="s">
        <v>40662</v>
      </c>
      <c r="M1367" t="s">
        <v>41559</v>
      </c>
      <c r="N1367" t="s">
        <v>44905</v>
      </c>
      <c r="O1367" t="s">
        <v>44906</v>
      </c>
      <c r="P1367">
        <v>0</v>
      </c>
      <c r="Q1367">
        <v>2</v>
      </c>
      <c r="R1367" t="s">
        <v>44907</v>
      </c>
      <c r="S1367" t="s">
        <v>45026</v>
      </c>
      <c r="T1367" t="s">
        <v>46425</v>
      </c>
      <c r="U1367" t="s">
        <v>48074</v>
      </c>
      <c r="W1367" t="s">
        <v>41559</v>
      </c>
      <c r="X1367" t="s">
        <v>44908</v>
      </c>
    </row>
    <row r="1368" spans="1:24">
      <c r="A1368">
        <f>HYPERLINK("https://www.philgeps.gov.ph/GEPSNONPILOT/Tender/SplashBidNoticeAbstractUI.aspx?menuIndex=3&amp;refID=7083202&amp;Result=3","7083202")</f>
        <v>0</v>
      </c>
      <c r="B1368" t="s">
        <v>602</v>
      </c>
      <c r="C1368" t="s">
        <v>4838</v>
      </c>
      <c r="D1368" t="s">
        <v>18162</v>
      </c>
      <c r="E1368" t="s">
        <v>19470</v>
      </c>
      <c r="F1368" t="s">
        <v>31362</v>
      </c>
      <c r="G1368" t="s">
        <v>31369</v>
      </c>
      <c r="H1368" t="s">
        <v>15799</v>
      </c>
      <c r="I1368" t="s">
        <v>7188</v>
      </c>
      <c r="J1368" t="s">
        <v>32320</v>
      </c>
      <c r="K1368" t="s">
        <v>40666</v>
      </c>
      <c r="M1368" t="s">
        <v>41560</v>
      </c>
      <c r="N1368" t="s">
        <v>44905</v>
      </c>
      <c r="O1368" t="s">
        <v>44906</v>
      </c>
      <c r="P1368">
        <v>0</v>
      </c>
      <c r="Q1368">
        <v>0</v>
      </c>
      <c r="R1368" t="s">
        <v>44907</v>
      </c>
      <c r="S1368" t="s">
        <v>45026</v>
      </c>
      <c r="T1368" t="s">
        <v>46403</v>
      </c>
      <c r="U1368" t="s">
        <v>48075</v>
      </c>
      <c r="V1368" t="s">
        <v>59211</v>
      </c>
      <c r="W1368" t="s">
        <v>41560</v>
      </c>
      <c r="X1368" t="s">
        <v>44908</v>
      </c>
    </row>
    <row r="1369" spans="1:24">
      <c r="A1369">
        <f>HYPERLINK("https://www.philgeps.gov.ph/GEPSNONPILOT/Tender/SplashBidNoticeAbstractUI.aspx?menuIndex=3&amp;refID=7083199&amp;Result=3","7083199")</f>
        <v>0</v>
      </c>
      <c r="B1369" t="s">
        <v>603</v>
      </c>
      <c r="C1369" t="s">
        <v>4839</v>
      </c>
      <c r="D1369" t="s">
        <v>18171</v>
      </c>
      <c r="E1369" t="s">
        <v>19471</v>
      </c>
      <c r="F1369" t="s">
        <v>31362</v>
      </c>
      <c r="G1369" t="s">
        <v>31369</v>
      </c>
      <c r="H1369" t="s">
        <v>15799</v>
      </c>
      <c r="I1369" t="s">
        <v>4283</v>
      </c>
      <c r="J1369" t="s">
        <v>32527</v>
      </c>
      <c r="K1369" t="s">
        <v>40670</v>
      </c>
      <c r="M1369" t="s">
        <v>41561</v>
      </c>
      <c r="N1369" t="s">
        <v>44905</v>
      </c>
      <c r="O1369" t="s">
        <v>44906</v>
      </c>
      <c r="P1369">
        <v>0</v>
      </c>
      <c r="Q1369">
        <v>3</v>
      </c>
      <c r="R1369" t="s">
        <v>44907</v>
      </c>
      <c r="S1369" t="s">
        <v>45026</v>
      </c>
      <c r="T1369" t="s">
        <v>46562</v>
      </c>
      <c r="U1369" t="s">
        <v>48076</v>
      </c>
      <c r="W1369" t="s">
        <v>41561</v>
      </c>
      <c r="X1369" t="s">
        <v>44908</v>
      </c>
    </row>
    <row r="1370" spans="1:24">
      <c r="A1370">
        <f>HYPERLINK("https://www.philgeps.gov.ph/GEPSNONPILOT/Tender/SplashBidNoticeAbstractUI.aspx?menuIndex=3&amp;refID=7083208&amp;Result=3","7083208")</f>
        <v>0</v>
      </c>
      <c r="B1370" t="s">
        <v>604</v>
      </c>
      <c r="C1370" t="s">
        <v>4840</v>
      </c>
      <c r="D1370" t="s">
        <v>18122</v>
      </c>
      <c r="E1370" t="s">
        <v>19472</v>
      </c>
      <c r="F1370" t="s">
        <v>31362</v>
      </c>
      <c r="G1370" t="s">
        <v>31373</v>
      </c>
      <c r="H1370" t="s">
        <v>31378</v>
      </c>
      <c r="I1370" t="s">
        <v>31386</v>
      </c>
      <c r="J1370" t="s">
        <v>32528</v>
      </c>
      <c r="K1370" t="s">
        <v>40725</v>
      </c>
      <c r="M1370" t="s">
        <v>41562</v>
      </c>
      <c r="N1370" t="s">
        <v>44905</v>
      </c>
      <c r="O1370" t="s">
        <v>44906</v>
      </c>
      <c r="P1370">
        <v>0</v>
      </c>
      <c r="Q1370">
        <v>2</v>
      </c>
      <c r="R1370" t="s">
        <v>44907</v>
      </c>
      <c r="S1370" t="s">
        <v>45026</v>
      </c>
      <c r="T1370" t="s">
        <v>46429</v>
      </c>
      <c r="U1370" t="s">
        <v>48077</v>
      </c>
      <c r="V1370" t="s">
        <v>59212</v>
      </c>
      <c r="W1370" t="s">
        <v>41562</v>
      </c>
      <c r="X1370" t="s">
        <v>44908</v>
      </c>
    </row>
    <row r="1371" spans="1:24">
      <c r="A1371">
        <f>HYPERLINK("https://www.philgeps.gov.ph/GEPSNONPILOT/Tender/SplashBidNoticeAbstractUI.aspx?menuIndex=3&amp;refID=7083205&amp;Result=3","7083205")</f>
        <v>0</v>
      </c>
      <c r="B1371" t="s">
        <v>605</v>
      </c>
      <c r="C1371" t="s">
        <v>4841</v>
      </c>
      <c r="D1371" t="s">
        <v>18168</v>
      </c>
      <c r="E1371" t="s">
        <v>19473</v>
      </c>
      <c r="F1371" t="s">
        <v>31362</v>
      </c>
      <c r="G1371" t="s">
        <v>31369</v>
      </c>
      <c r="H1371" t="s">
        <v>15799</v>
      </c>
      <c r="I1371" t="s">
        <v>7188</v>
      </c>
      <c r="J1371" t="s">
        <v>32529</v>
      </c>
      <c r="K1371" t="s">
        <v>40670</v>
      </c>
      <c r="M1371" t="s">
        <v>41563</v>
      </c>
      <c r="N1371" t="s">
        <v>44905</v>
      </c>
      <c r="O1371" t="s">
        <v>44906</v>
      </c>
      <c r="P1371">
        <v>0</v>
      </c>
      <c r="Q1371">
        <v>3</v>
      </c>
      <c r="R1371" t="s">
        <v>44907</v>
      </c>
      <c r="S1371" t="s">
        <v>45026</v>
      </c>
      <c r="T1371" t="s">
        <v>46524</v>
      </c>
      <c r="U1371" t="s">
        <v>48078</v>
      </c>
      <c r="V1371" t="s">
        <v>59213</v>
      </c>
      <c r="W1371" t="s">
        <v>41563</v>
      </c>
      <c r="X1371" t="s">
        <v>44908</v>
      </c>
    </row>
    <row r="1372" spans="1:24">
      <c r="A1372">
        <f>HYPERLINK("https://www.philgeps.gov.ph/GEPSNONPILOT/Tender/SplashBidNoticeAbstractUI.aspx?menuIndex=3&amp;refID=7083198&amp;Result=3","7083198")</f>
        <v>0</v>
      </c>
      <c r="B1372" t="s">
        <v>570</v>
      </c>
      <c r="C1372" t="s">
        <v>4842</v>
      </c>
      <c r="D1372" t="s">
        <v>18125</v>
      </c>
      <c r="E1372" t="s">
        <v>19474</v>
      </c>
      <c r="F1372" t="s">
        <v>31362</v>
      </c>
      <c r="G1372" t="s">
        <v>31368</v>
      </c>
      <c r="H1372" t="s">
        <v>31379</v>
      </c>
      <c r="I1372" t="s">
        <v>31451</v>
      </c>
      <c r="J1372" t="s">
        <v>32530</v>
      </c>
      <c r="K1372" t="s">
        <v>40666</v>
      </c>
      <c r="M1372" t="s">
        <v>41526</v>
      </c>
      <c r="N1372" t="s">
        <v>44905</v>
      </c>
      <c r="O1372" t="s">
        <v>44906</v>
      </c>
      <c r="P1372">
        <v>0</v>
      </c>
      <c r="Q1372">
        <v>0</v>
      </c>
      <c r="R1372" t="s">
        <v>44907</v>
      </c>
      <c r="S1372" t="s">
        <v>45026</v>
      </c>
      <c r="T1372" t="s">
        <v>46478</v>
      </c>
      <c r="U1372" t="s">
        <v>48079</v>
      </c>
      <c r="W1372" t="s">
        <v>60859</v>
      </c>
      <c r="X1372" t="s">
        <v>44908</v>
      </c>
    </row>
    <row r="1373" spans="1:24">
      <c r="A1373">
        <f>HYPERLINK("https://www.philgeps.gov.ph/GEPSNONPILOT/Tender/SplashBidNoticeAbstractUI.aspx?menuIndex=3&amp;refID=7083131&amp;Result=3","7083131")</f>
        <v>0</v>
      </c>
      <c r="B1373" t="s">
        <v>355</v>
      </c>
      <c r="C1373" t="s">
        <v>4843</v>
      </c>
      <c r="D1373" t="s">
        <v>18134</v>
      </c>
      <c r="E1373" t="s">
        <v>19475</v>
      </c>
      <c r="F1373" t="s">
        <v>31362</v>
      </c>
      <c r="G1373" t="s">
        <v>31368</v>
      </c>
      <c r="H1373" t="s">
        <v>15799</v>
      </c>
      <c r="I1373" t="s">
        <v>31393</v>
      </c>
      <c r="J1373" t="s">
        <v>32531</v>
      </c>
      <c r="K1373" t="s">
        <v>40666</v>
      </c>
      <c r="M1373" t="s">
        <v>41302</v>
      </c>
      <c r="N1373" t="s">
        <v>44905</v>
      </c>
      <c r="O1373" t="s">
        <v>44906</v>
      </c>
      <c r="P1373">
        <v>0</v>
      </c>
      <c r="Q1373">
        <v>1</v>
      </c>
      <c r="R1373" t="s">
        <v>44907</v>
      </c>
      <c r="S1373" t="s">
        <v>45026</v>
      </c>
      <c r="T1373" t="s">
        <v>46447</v>
      </c>
      <c r="U1373" t="s">
        <v>47529</v>
      </c>
      <c r="W1373" t="s">
        <v>41302</v>
      </c>
      <c r="X1373" t="s">
        <v>44908</v>
      </c>
    </row>
    <row r="1374" spans="1:24">
      <c r="A1374">
        <f>HYPERLINK("https://www.philgeps.gov.ph/GEPSNONPILOT/Tender/SplashBidNoticeAbstractUI.aspx?menuIndex=3&amp;refID=7083195&amp;Result=3","7083195")</f>
        <v>0</v>
      </c>
      <c r="B1374" t="s">
        <v>606</v>
      </c>
      <c r="C1374" t="s">
        <v>4844</v>
      </c>
      <c r="D1374" t="s">
        <v>18109</v>
      </c>
      <c r="E1374" t="s">
        <v>19476</v>
      </c>
      <c r="F1374" t="s">
        <v>31362</v>
      </c>
      <c r="G1374" t="s">
        <v>31368</v>
      </c>
      <c r="H1374" t="s">
        <v>15799</v>
      </c>
      <c r="I1374" t="s">
        <v>4942</v>
      </c>
      <c r="J1374" t="s">
        <v>32532</v>
      </c>
      <c r="K1374" t="s">
        <v>40662</v>
      </c>
      <c r="M1374" t="s">
        <v>41564</v>
      </c>
      <c r="N1374" t="s">
        <v>44905</v>
      </c>
      <c r="O1374" t="s">
        <v>44906</v>
      </c>
      <c r="P1374">
        <v>0</v>
      </c>
      <c r="Q1374">
        <v>0</v>
      </c>
      <c r="R1374" t="s">
        <v>44907</v>
      </c>
      <c r="S1374" t="s">
        <v>45026</v>
      </c>
      <c r="T1374" t="s">
        <v>46454</v>
      </c>
      <c r="U1374" t="s">
        <v>48080</v>
      </c>
      <c r="W1374" t="s">
        <v>41564</v>
      </c>
      <c r="X1374" t="s">
        <v>44908</v>
      </c>
    </row>
    <row r="1375" spans="1:24">
      <c r="A1375">
        <f>HYPERLINK("https://www.philgeps.gov.ph/GEPSNONPILOT/Tender/SplashBidNoticeAbstractUI.aspx?menuIndex=3&amp;refID=7083184&amp;Result=3","7083184")</f>
        <v>0</v>
      </c>
      <c r="B1375" t="s">
        <v>561</v>
      </c>
      <c r="C1375" t="s">
        <v>4845</v>
      </c>
      <c r="D1375" t="s">
        <v>18124</v>
      </c>
      <c r="E1375" t="s">
        <v>19477</v>
      </c>
      <c r="F1375" t="s">
        <v>31362</v>
      </c>
      <c r="G1375" t="s">
        <v>31369</v>
      </c>
      <c r="H1375" t="s">
        <v>15799</v>
      </c>
      <c r="I1375" t="s">
        <v>31385</v>
      </c>
      <c r="J1375" t="s">
        <v>32533</v>
      </c>
      <c r="K1375" t="s">
        <v>40670</v>
      </c>
      <c r="M1375" t="s">
        <v>41517</v>
      </c>
      <c r="N1375" t="s">
        <v>44905</v>
      </c>
      <c r="O1375" t="s">
        <v>44906</v>
      </c>
      <c r="P1375">
        <v>0</v>
      </c>
      <c r="Q1375">
        <v>0</v>
      </c>
      <c r="R1375" t="s">
        <v>44907</v>
      </c>
      <c r="S1375" t="s">
        <v>45026</v>
      </c>
      <c r="T1375" t="s">
        <v>46553</v>
      </c>
      <c r="U1375" t="s">
        <v>48081</v>
      </c>
      <c r="W1375" t="s">
        <v>41517</v>
      </c>
      <c r="X1375" t="s">
        <v>44908</v>
      </c>
    </row>
    <row r="1376" spans="1:24">
      <c r="A1376">
        <f>HYPERLINK("https://www.philgeps.gov.ph/GEPSNONPILOT/Tender/SplashBidNoticeAbstractUI.aspx?menuIndex=3&amp;refID=7083193&amp;Result=3","7083193")</f>
        <v>0</v>
      </c>
      <c r="B1376" t="s">
        <v>607</v>
      </c>
      <c r="C1376" t="s">
        <v>4846</v>
      </c>
      <c r="D1376" t="s">
        <v>18134</v>
      </c>
      <c r="E1376" t="s">
        <v>19478</v>
      </c>
      <c r="F1376" t="s">
        <v>31362</v>
      </c>
      <c r="G1376" t="s">
        <v>31370</v>
      </c>
      <c r="H1376" t="s">
        <v>15799</v>
      </c>
      <c r="I1376" t="s">
        <v>31397</v>
      </c>
      <c r="J1376" t="s">
        <v>32534</v>
      </c>
      <c r="K1376" t="s">
        <v>40665</v>
      </c>
      <c r="M1376" t="s">
        <v>41565</v>
      </c>
      <c r="N1376" t="s">
        <v>44905</v>
      </c>
      <c r="O1376" t="s">
        <v>44906</v>
      </c>
      <c r="P1376">
        <v>0</v>
      </c>
      <c r="Q1376">
        <v>0</v>
      </c>
      <c r="R1376" t="s">
        <v>44907</v>
      </c>
      <c r="S1376" t="s">
        <v>45026</v>
      </c>
      <c r="T1376" t="s">
        <v>46416</v>
      </c>
      <c r="U1376" t="s">
        <v>48082</v>
      </c>
      <c r="W1376" t="s">
        <v>41565</v>
      </c>
      <c r="X1376" t="s">
        <v>44908</v>
      </c>
    </row>
    <row r="1377" spans="1:24">
      <c r="A1377">
        <f>HYPERLINK("https://www.philgeps.gov.ph/GEPSNONPILOT/Tender/SplashBidNoticeAbstractUI.aspx?menuIndex=3&amp;refID=7083192&amp;Result=3","7083192")</f>
        <v>0</v>
      </c>
      <c r="B1377" t="s">
        <v>440</v>
      </c>
      <c r="C1377" t="s">
        <v>4847</v>
      </c>
      <c r="D1377" t="s">
        <v>18154</v>
      </c>
      <c r="E1377" t="s">
        <v>19479</v>
      </c>
      <c r="F1377" t="s">
        <v>31362</v>
      </c>
      <c r="G1377" t="s">
        <v>31368</v>
      </c>
      <c r="H1377" t="s">
        <v>15799</v>
      </c>
      <c r="I1377" t="s">
        <v>31404</v>
      </c>
      <c r="J1377" t="s">
        <v>32535</v>
      </c>
      <c r="K1377" t="s">
        <v>40662</v>
      </c>
      <c r="M1377" t="s">
        <v>41392</v>
      </c>
      <c r="N1377" t="s">
        <v>44905</v>
      </c>
      <c r="O1377" t="s">
        <v>44906</v>
      </c>
      <c r="P1377">
        <v>0</v>
      </c>
      <c r="Q1377">
        <v>0</v>
      </c>
      <c r="R1377" t="s">
        <v>44907</v>
      </c>
      <c r="S1377" t="s">
        <v>45026</v>
      </c>
      <c r="T1377" t="s">
        <v>46447</v>
      </c>
      <c r="U1377" t="s">
        <v>48083</v>
      </c>
      <c r="W1377" t="s">
        <v>41392</v>
      </c>
      <c r="X1377" t="s">
        <v>44908</v>
      </c>
    </row>
    <row r="1378" spans="1:24">
      <c r="A1378">
        <f>HYPERLINK("https://www.philgeps.gov.ph/GEPSNONPILOT/Tender/SplashBidNoticeAbstractUI.aspx?menuIndex=3&amp;refID=7083222&amp;Result=3","7083222")</f>
        <v>0</v>
      </c>
      <c r="B1378" t="s">
        <v>559</v>
      </c>
      <c r="C1378" t="s">
        <v>4848</v>
      </c>
      <c r="D1378" t="s">
        <v>18139</v>
      </c>
      <c r="E1378" t="s">
        <v>19480</v>
      </c>
      <c r="F1378" t="s">
        <v>31362</v>
      </c>
      <c r="G1378" t="s">
        <v>31369</v>
      </c>
      <c r="H1378" t="s">
        <v>31378</v>
      </c>
      <c r="I1378" t="s">
        <v>31386</v>
      </c>
      <c r="J1378" t="s">
        <v>32508</v>
      </c>
      <c r="K1378" t="s">
        <v>40678</v>
      </c>
      <c r="M1378" t="s">
        <v>41515</v>
      </c>
      <c r="N1378" t="s">
        <v>44905</v>
      </c>
      <c r="O1378" t="s">
        <v>44906</v>
      </c>
      <c r="P1378">
        <v>0</v>
      </c>
      <c r="Q1378">
        <v>0</v>
      </c>
      <c r="R1378" t="s">
        <v>44907</v>
      </c>
      <c r="S1378" t="s">
        <v>45026</v>
      </c>
      <c r="T1378" t="s">
        <v>46449</v>
      </c>
      <c r="U1378" t="s">
        <v>47999</v>
      </c>
      <c r="V1378" t="s">
        <v>59206</v>
      </c>
      <c r="W1378" t="s">
        <v>41515</v>
      </c>
      <c r="X1378" t="s">
        <v>44908</v>
      </c>
    </row>
    <row r="1379" spans="1:24">
      <c r="A1379">
        <f>HYPERLINK("https://www.philgeps.gov.ph/GEPSNONPILOT/Tender/SplashBidNoticeAbstractUI.aspx?menuIndex=3&amp;refID=7083242&amp;Result=3","7083242")</f>
        <v>0</v>
      </c>
      <c r="B1379" t="s">
        <v>608</v>
      </c>
      <c r="C1379" t="s">
        <v>4849</v>
      </c>
      <c r="D1379" t="s">
        <v>18122</v>
      </c>
      <c r="E1379" t="s">
        <v>19481</v>
      </c>
      <c r="F1379" t="s">
        <v>31362</v>
      </c>
      <c r="G1379" t="s">
        <v>31368</v>
      </c>
      <c r="H1379" t="s">
        <v>31378</v>
      </c>
      <c r="I1379" t="s">
        <v>31386</v>
      </c>
      <c r="J1379" t="s">
        <v>31536</v>
      </c>
      <c r="K1379" t="s">
        <v>40682</v>
      </c>
      <c r="M1379" t="s">
        <v>41566</v>
      </c>
      <c r="N1379" t="s">
        <v>44905</v>
      </c>
      <c r="O1379" t="s">
        <v>44906</v>
      </c>
      <c r="P1379">
        <v>0</v>
      </c>
      <c r="Q1379">
        <v>0</v>
      </c>
      <c r="R1379" t="s">
        <v>44907</v>
      </c>
      <c r="S1379" t="s">
        <v>45026</v>
      </c>
      <c r="T1379" t="s">
        <v>46432</v>
      </c>
      <c r="U1379" t="s">
        <v>48084</v>
      </c>
      <c r="V1379" t="s">
        <v>59214</v>
      </c>
      <c r="W1379" t="s">
        <v>41566</v>
      </c>
      <c r="X1379" t="s">
        <v>44908</v>
      </c>
    </row>
    <row r="1380" spans="1:24">
      <c r="A1380">
        <f>HYPERLINK("https://www.philgeps.gov.ph/GEPSNONPILOT/Tender/SplashBidNoticeAbstractUI.aspx?menuIndex=3&amp;refID=7083248&amp;Result=3","7083248")</f>
        <v>0</v>
      </c>
      <c r="B1380" t="s">
        <v>561</v>
      </c>
      <c r="C1380" t="s">
        <v>4850</v>
      </c>
      <c r="D1380" t="s">
        <v>18124</v>
      </c>
      <c r="E1380" t="s">
        <v>19482</v>
      </c>
      <c r="F1380" t="s">
        <v>31362</v>
      </c>
      <c r="G1380" t="s">
        <v>31369</v>
      </c>
      <c r="H1380" t="s">
        <v>15799</v>
      </c>
      <c r="I1380" t="s">
        <v>4057</v>
      </c>
      <c r="J1380" t="s">
        <v>32536</v>
      </c>
      <c r="K1380" t="s">
        <v>40670</v>
      </c>
      <c r="M1380" t="s">
        <v>41517</v>
      </c>
      <c r="N1380" t="s">
        <v>44905</v>
      </c>
      <c r="O1380" t="s">
        <v>44906</v>
      </c>
      <c r="P1380">
        <v>0</v>
      </c>
      <c r="Q1380">
        <v>0</v>
      </c>
      <c r="R1380" t="s">
        <v>44907</v>
      </c>
      <c r="S1380" t="s">
        <v>45026</v>
      </c>
      <c r="T1380" t="s">
        <v>46553</v>
      </c>
      <c r="U1380" t="s">
        <v>48085</v>
      </c>
      <c r="W1380" t="s">
        <v>41517</v>
      </c>
      <c r="X1380" t="s">
        <v>44908</v>
      </c>
    </row>
    <row r="1381" spans="1:24">
      <c r="A1381">
        <f>HYPERLINK("https://www.philgeps.gov.ph/GEPSNONPILOT/Tender/SplashBidNoticeAbstractUI.aspx?menuIndex=3&amp;refID=7083246&amp;Result=3","7083246")</f>
        <v>0</v>
      </c>
      <c r="B1381" t="s">
        <v>609</v>
      </c>
      <c r="C1381" t="s">
        <v>4851</v>
      </c>
      <c r="D1381" t="s">
        <v>18138</v>
      </c>
      <c r="E1381" t="s">
        <v>19483</v>
      </c>
      <c r="F1381" t="s">
        <v>31362</v>
      </c>
      <c r="G1381" t="s">
        <v>31368</v>
      </c>
      <c r="H1381" t="s">
        <v>15799</v>
      </c>
      <c r="I1381" t="s">
        <v>6373</v>
      </c>
      <c r="J1381" t="s">
        <v>31579</v>
      </c>
      <c r="K1381" t="s">
        <v>40697</v>
      </c>
      <c r="M1381" t="s">
        <v>41567</v>
      </c>
      <c r="N1381" t="s">
        <v>44905</v>
      </c>
      <c r="O1381" t="s">
        <v>44906</v>
      </c>
      <c r="P1381">
        <v>0</v>
      </c>
      <c r="Q1381">
        <v>0</v>
      </c>
      <c r="R1381" t="s">
        <v>44907</v>
      </c>
      <c r="S1381" t="s">
        <v>45026</v>
      </c>
      <c r="T1381" t="s">
        <v>46446</v>
      </c>
      <c r="U1381" t="s">
        <v>48086</v>
      </c>
      <c r="W1381" t="s">
        <v>41567</v>
      </c>
      <c r="X1381" t="s">
        <v>44908</v>
      </c>
    </row>
    <row r="1382" spans="1:24">
      <c r="A1382">
        <f>HYPERLINK("https://www.philgeps.gov.ph/GEPSNONPILOT/Tender/SplashBidNoticeAbstractUI.aspx?menuIndex=3&amp;refID=7083200&amp;Result=3","7083200")</f>
        <v>0</v>
      </c>
      <c r="B1382" t="s">
        <v>561</v>
      </c>
      <c r="C1382" t="s">
        <v>4852</v>
      </c>
      <c r="D1382" t="s">
        <v>18124</v>
      </c>
      <c r="E1382" t="s">
        <v>19484</v>
      </c>
      <c r="F1382" t="s">
        <v>31362</v>
      </c>
      <c r="G1382" t="s">
        <v>31369</v>
      </c>
      <c r="H1382" t="s">
        <v>15799</v>
      </c>
      <c r="I1382" t="s">
        <v>31430</v>
      </c>
      <c r="J1382" t="s">
        <v>32537</v>
      </c>
      <c r="K1382" t="s">
        <v>40670</v>
      </c>
      <c r="M1382" t="s">
        <v>41517</v>
      </c>
      <c r="N1382" t="s">
        <v>44905</v>
      </c>
      <c r="O1382" t="s">
        <v>44906</v>
      </c>
      <c r="P1382">
        <v>0</v>
      </c>
      <c r="Q1382">
        <v>0</v>
      </c>
      <c r="R1382" t="s">
        <v>44907</v>
      </c>
      <c r="S1382" t="s">
        <v>45026</v>
      </c>
      <c r="T1382" t="s">
        <v>46553</v>
      </c>
      <c r="U1382" t="s">
        <v>48087</v>
      </c>
      <c r="W1382" t="s">
        <v>41517</v>
      </c>
      <c r="X1382" t="s">
        <v>44908</v>
      </c>
    </row>
    <row r="1383" spans="1:24">
      <c r="A1383">
        <f>HYPERLINK("https://www.philgeps.gov.ph/GEPSNONPILOT/Tender/SplashBidNoticeAbstractUI.aspx?menuIndex=3&amp;refID=7083245&amp;Result=3","7083245")</f>
        <v>0</v>
      </c>
      <c r="B1383" t="s">
        <v>560</v>
      </c>
      <c r="C1383" t="s">
        <v>4853</v>
      </c>
      <c r="D1383" t="s">
        <v>18106</v>
      </c>
      <c r="E1383" t="s">
        <v>19485</v>
      </c>
      <c r="F1383" t="s">
        <v>31362</v>
      </c>
      <c r="G1383" t="s">
        <v>31368</v>
      </c>
      <c r="H1383" t="s">
        <v>15799</v>
      </c>
      <c r="I1383" t="s">
        <v>31422</v>
      </c>
      <c r="J1383" t="s">
        <v>32538</v>
      </c>
      <c r="K1383" t="s">
        <v>40666</v>
      </c>
      <c r="M1383" t="s">
        <v>41516</v>
      </c>
      <c r="N1383" t="s">
        <v>44905</v>
      </c>
      <c r="O1383" t="s">
        <v>44906</v>
      </c>
      <c r="P1383">
        <v>0</v>
      </c>
      <c r="Q1383">
        <v>4</v>
      </c>
      <c r="R1383" t="s">
        <v>44907</v>
      </c>
      <c r="S1383" t="s">
        <v>45026</v>
      </c>
      <c r="T1383" t="s">
        <v>46409</v>
      </c>
      <c r="U1383" t="s">
        <v>48088</v>
      </c>
      <c r="W1383" t="s">
        <v>41516</v>
      </c>
      <c r="X1383" t="s">
        <v>44908</v>
      </c>
    </row>
    <row r="1384" spans="1:24">
      <c r="A1384">
        <f>HYPERLINK("https://www.philgeps.gov.ph/GEPSNONPILOT/Tender/SplashBidNoticeAbstractUI.aspx?menuIndex=3&amp;refID=7083244&amp;Result=3","7083244")</f>
        <v>0</v>
      </c>
      <c r="B1384" t="s">
        <v>519</v>
      </c>
      <c r="C1384" t="s">
        <v>4854</v>
      </c>
      <c r="D1384" t="s">
        <v>18152</v>
      </c>
      <c r="E1384" t="s">
        <v>19486</v>
      </c>
      <c r="F1384" t="s">
        <v>31362</v>
      </c>
      <c r="G1384" t="s">
        <v>31368</v>
      </c>
      <c r="H1384" t="s">
        <v>15799</v>
      </c>
      <c r="I1384" t="s">
        <v>31468</v>
      </c>
      <c r="J1384" t="s">
        <v>32539</v>
      </c>
      <c r="K1384" t="s">
        <v>40662</v>
      </c>
      <c r="M1384" t="s">
        <v>41475</v>
      </c>
      <c r="N1384" t="s">
        <v>44905</v>
      </c>
      <c r="O1384" t="s">
        <v>44906</v>
      </c>
      <c r="P1384">
        <v>0</v>
      </c>
      <c r="Q1384">
        <v>0</v>
      </c>
      <c r="R1384" t="s">
        <v>44907</v>
      </c>
      <c r="S1384" t="s">
        <v>45026</v>
      </c>
      <c r="T1384" t="s">
        <v>46434</v>
      </c>
      <c r="U1384" t="s">
        <v>48089</v>
      </c>
      <c r="W1384" t="s">
        <v>41475</v>
      </c>
      <c r="X1384" t="s">
        <v>44908</v>
      </c>
    </row>
    <row r="1385" spans="1:24">
      <c r="A1385">
        <f>HYPERLINK("https://www.philgeps.gov.ph/GEPSNONPILOT/Tender/SplashBidNoticeAbstractUI.aspx?menuIndex=3&amp;refID=7083239&amp;Result=3","7083239")</f>
        <v>0</v>
      </c>
      <c r="B1385" t="s">
        <v>480</v>
      </c>
      <c r="C1385" t="s">
        <v>4855</v>
      </c>
      <c r="D1385" t="s">
        <v>18123</v>
      </c>
      <c r="E1385" t="s">
        <v>18919</v>
      </c>
      <c r="F1385" t="s">
        <v>31362</v>
      </c>
      <c r="G1385" t="s">
        <v>31369</v>
      </c>
      <c r="H1385" t="s">
        <v>15799</v>
      </c>
      <c r="I1385" t="s">
        <v>31414</v>
      </c>
      <c r="J1385" t="s">
        <v>32540</v>
      </c>
      <c r="K1385" t="s">
        <v>40665</v>
      </c>
      <c r="M1385" t="s">
        <v>41434</v>
      </c>
      <c r="N1385" t="s">
        <v>44905</v>
      </c>
      <c r="O1385" t="s">
        <v>44906</v>
      </c>
      <c r="P1385">
        <v>0</v>
      </c>
      <c r="Q1385">
        <v>0</v>
      </c>
      <c r="R1385" t="s">
        <v>44907</v>
      </c>
      <c r="S1385" t="s">
        <v>45026</v>
      </c>
      <c r="T1385" t="s">
        <v>46408</v>
      </c>
      <c r="U1385" t="s">
        <v>48090</v>
      </c>
      <c r="W1385" t="s">
        <v>41434</v>
      </c>
      <c r="X1385" t="s">
        <v>44908</v>
      </c>
    </row>
    <row r="1386" spans="1:24">
      <c r="A1386">
        <f>HYPERLINK("https://www.philgeps.gov.ph/GEPSNONPILOT/Tender/SplashBidNoticeAbstractUI.aspx?menuIndex=3&amp;refID=7083238&amp;Result=3","7083238")</f>
        <v>0</v>
      </c>
      <c r="B1386" t="s">
        <v>227</v>
      </c>
      <c r="C1386" t="s">
        <v>4856</v>
      </c>
      <c r="D1386" t="s">
        <v>18108</v>
      </c>
      <c r="E1386" t="s">
        <v>19487</v>
      </c>
      <c r="F1386" t="s">
        <v>31362</v>
      </c>
      <c r="G1386" t="s">
        <v>31368</v>
      </c>
      <c r="H1386" t="s">
        <v>15799</v>
      </c>
      <c r="I1386" t="s">
        <v>4283</v>
      </c>
      <c r="J1386" t="s">
        <v>31738</v>
      </c>
      <c r="K1386" t="s">
        <v>40662</v>
      </c>
      <c r="M1386" t="s">
        <v>41297</v>
      </c>
      <c r="N1386" t="s">
        <v>44905</v>
      </c>
      <c r="O1386" t="s">
        <v>44906</v>
      </c>
      <c r="P1386">
        <v>0</v>
      </c>
      <c r="Q1386">
        <v>8</v>
      </c>
      <c r="R1386" t="s">
        <v>44907</v>
      </c>
      <c r="S1386" t="s">
        <v>45026</v>
      </c>
      <c r="T1386" t="s">
        <v>46518</v>
      </c>
      <c r="U1386" t="s">
        <v>48091</v>
      </c>
      <c r="W1386" t="s">
        <v>41297</v>
      </c>
      <c r="X1386" t="s">
        <v>44908</v>
      </c>
    </row>
    <row r="1387" spans="1:24">
      <c r="A1387">
        <f>HYPERLINK("https://www.philgeps.gov.ph/GEPSNONPILOT/Tender/SplashBidNoticeAbstractUI.aspx?menuIndex=3&amp;refID=7083235&amp;Result=3","7083235")</f>
        <v>0</v>
      </c>
      <c r="B1387" t="s">
        <v>610</v>
      </c>
      <c r="C1387" t="s">
        <v>4857</v>
      </c>
      <c r="E1387" t="s">
        <v>19488</v>
      </c>
      <c r="F1387" t="s">
        <v>31362</v>
      </c>
      <c r="G1387" t="s">
        <v>31368</v>
      </c>
      <c r="H1387" t="s">
        <v>15799</v>
      </c>
      <c r="I1387" t="s">
        <v>31385</v>
      </c>
      <c r="J1387" t="s">
        <v>32063</v>
      </c>
      <c r="K1387" t="s">
        <v>40662</v>
      </c>
      <c r="M1387" t="s">
        <v>41568</v>
      </c>
      <c r="N1387" t="s">
        <v>44905</v>
      </c>
      <c r="O1387" t="s">
        <v>44906</v>
      </c>
      <c r="P1387">
        <v>0</v>
      </c>
      <c r="Q1387">
        <v>0</v>
      </c>
      <c r="R1387" t="s">
        <v>44907</v>
      </c>
      <c r="S1387" t="s">
        <v>45026</v>
      </c>
      <c r="T1387" t="s">
        <v>46438</v>
      </c>
      <c r="U1387" t="s">
        <v>48092</v>
      </c>
      <c r="W1387" t="s">
        <v>41568</v>
      </c>
      <c r="X1387" t="s">
        <v>44908</v>
      </c>
    </row>
    <row r="1388" spans="1:24">
      <c r="A1388">
        <f>HYPERLINK("https://www.philgeps.gov.ph/GEPSNONPILOT/Tender/SplashBidNoticeAbstractUI.aspx?menuIndex=3&amp;refID=7083232&amp;Result=3","7083232")</f>
        <v>0</v>
      </c>
      <c r="B1388" t="s">
        <v>602</v>
      </c>
      <c r="C1388" t="s">
        <v>4858</v>
      </c>
      <c r="D1388" t="s">
        <v>18162</v>
      </c>
      <c r="E1388" t="s">
        <v>19489</v>
      </c>
      <c r="F1388" t="s">
        <v>31362</v>
      </c>
      <c r="G1388" t="s">
        <v>31369</v>
      </c>
      <c r="H1388" t="s">
        <v>15799</v>
      </c>
      <c r="I1388" t="s">
        <v>31420</v>
      </c>
      <c r="J1388" t="s">
        <v>31625</v>
      </c>
      <c r="K1388" t="s">
        <v>40665</v>
      </c>
      <c r="M1388" t="s">
        <v>41560</v>
      </c>
      <c r="N1388" t="s">
        <v>44905</v>
      </c>
      <c r="O1388" t="s">
        <v>44906</v>
      </c>
      <c r="P1388">
        <v>0</v>
      </c>
      <c r="Q1388">
        <v>4</v>
      </c>
      <c r="R1388" t="s">
        <v>44907</v>
      </c>
      <c r="S1388" t="s">
        <v>45026</v>
      </c>
      <c r="T1388" t="s">
        <v>46401</v>
      </c>
      <c r="U1388" t="s">
        <v>48093</v>
      </c>
      <c r="V1388" t="s">
        <v>59211</v>
      </c>
      <c r="W1388" t="s">
        <v>41560</v>
      </c>
      <c r="X1388" t="s">
        <v>44908</v>
      </c>
    </row>
    <row r="1389" spans="1:24">
      <c r="A1389">
        <f>HYPERLINK("https://www.philgeps.gov.ph/GEPSNONPILOT/Tender/SplashBidNoticeAbstractUI.aspx?menuIndex=3&amp;refID=7083230&amp;Result=3","7083230")</f>
        <v>0</v>
      </c>
      <c r="B1389" t="s">
        <v>377</v>
      </c>
      <c r="C1389" t="s">
        <v>4859</v>
      </c>
      <c r="D1389" t="s">
        <v>18108</v>
      </c>
      <c r="E1389" t="s">
        <v>19490</v>
      </c>
      <c r="F1389" t="s">
        <v>31362</v>
      </c>
      <c r="G1389" t="s">
        <v>31368</v>
      </c>
      <c r="H1389" t="s">
        <v>15799</v>
      </c>
      <c r="I1389" t="s">
        <v>31450</v>
      </c>
      <c r="J1389" t="s">
        <v>32541</v>
      </c>
      <c r="K1389" t="s">
        <v>40661</v>
      </c>
      <c r="M1389" t="s">
        <v>41324</v>
      </c>
      <c r="N1389" t="s">
        <v>44905</v>
      </c>
      <c r="O1389" t="s">
        <v>44906</v>
      </c>
      <c r="P1389">
        <v>0</v>
      </c>
      <c r="Q1389">
        <v>0</v>
      </c>
      <c r="R1389" t="s">
        <v>44907</v>
      </c>
      <c r="S1389" t="s">
        <v>45026</v>
      </c>
      <c r="T1389" t="s">
        <v>46478</v>
      </c>
      <c r="U1389" t="s">
        <v>47569</v>
      </c>
      <c r="W1389" t="s">
        <v>41324</v>
      </c>
      <c r="X1389" t="s">
        <v>44908</v>
      </c>
    </row>
    <row r="1390" spans="1:24">
      <c r="A1390">
        <f>HYPERLINK("https://www.philgeps.gov.ph/GEPSNONPILOT/Tender/SplashBidNoticeAbstractUI.aspx?menuIndex=3&amp;refID=7083228&amp;Result=3","7083228")</f>
        <v>0</v>
      </c>
      <c r="B1390" t="s">
        <v>611</v>
      </c>
      <c r="C1390" t="s">
        <v>4860</v>
      </c>
      <c r="D1390" t="s">
        <v>18148</v>
      </c>
      <c r="E1390" t="s">
        <v>19491</v>
      </c>
      <c r="F1390" t="s">
        <v>31362</v>
      </c>
      <c r="G1390" t="s">
        <v>31370</v>
      </c>
      <c r="H1390" t="s">
        <v>15799</v>
      </c>
      <c r="I1390" t="s">
        <v>3815</v>
      </c>
      <c r="J1390" t="s">
        <v>32542</v>
      </c>
      <c r="K1390" t="s">
        <v>40662</v>
      </c>
      <c r="M1390" t="s">
        <v>41569</v>
      </c>
      <c r="N1390" t="s">
        <v>44905</v>
      </c>
      <c r="O1390" t="s">
        <v>44906</v>
      </c>
      <c r="P1390">
        <v>0</v>
      </c>
      <c r="Q1390">
        <v>0</v>
      </c>
      <c r="R1390" t="s">
        <v>44907</v>
      </c>
      <c r="S1390" t="s">
        <v>45026</v>
      </c>
      <c r="T1390" t="s">
        <v>46410</v>
      </c>
      <c r="U1390" t="s">
        <v>48094</v>
      </c>
      <c r="W1390" t="s">
        <v>41569</v>
      </c>
      <c r="X1390" t="s">
        <v>44908</v>
      </c>
    </row>
    <row r="1391" spans="1:24">
      <c r="A1391">
        <f>HYPERLINK("https://www.philgeps.gov.ph/GEPSNONPILOT/Tender/SplashBidNoticeAbstractUI.aspx?menuIndex=3&amp;refID=7083240&amp;Result=3","7083240")</f>
        <v>0</v>
      </c>
      <c r="B1391" t="s">
        <v>606</v>
      </c>
      <c r="C1391" t="s">
        <v>4844</v>
      </c>
      <c r="D1391" t="s">
        <v>18109</v>
      </c>
      <c r="E1391" t="s">
        <v>19492</v>
      </c>
      <c r="F1391" t="s">
        <v>31362</v>
      </c>
      <c r="G1391" t="s">
        <v>31368</v>
      </c>
      <c r="H1391" t="s">
        <v>15799</v>
      </c>
      <c r="I1391" t="s">
        <v>4942</v>
      </c>
      <c r="J1391" t="s">
        <v>32543</v>
      </c>
      <c r="K1391" t="s">
        <v>40662</v>
      </c>
      <c r="M1391" t="s">
        <v>41564</v>
      </c>
      <c r="N1391" t="s">
        <v>44905</v>
      </c>
      <c r="O1391" t="s">
        <v>44906</v>
      </c>
      <c r="P1391">
        <v>0</v>
      </c>
      <c r="Q1391">
        <v>0</v>
      </c>
      <c r="R1391" t="s">
        <v>44907</v>
      </c>
      <c r="S1391" t="s">
        <v>45026</v>
      </c>
      <c r="T1391" t="s">
        <v>46454</v>
      </c>
      <c r="U1391" t="s">
        <v>48080</v>
      </c>
      <c r="W1391" t="s">
        <v>41564</v>
      </c>
      <c r="X1391" t="s">
        <v>44908</v>
      </c>
    </row>
    <row r="1392" spans="1:24">
      <c r="A1392">
        <f>HYPERLINK("https://www.philgeps.gov.ph/GEPSNONPILOT/Tender/SplashBidNoticeAbstractUI.aspx?menuIndex=3&amp;refID=7083226&amp;Result=3","7083226")</f>
        <v>0</v>
      </c>
      <c r="B1392" t="s">
        <v>561</v>
      </c>
      <c r="C1392" t="s">
        <v>4861</v>
      </c>
      <c r="D1392" t="s">
        <v>18124</v>
      </c>
      <c r="E1392" t="s">
        <v>19493</v>
      </c>
      <c r="F1392" t="s">
        <v>31362</v>
      </c>
      <c r="G1392" t="s">
        <v>31369</v>
      </c>
      <c r="H1392" t="s">
        <v>15799</v>
      </c>
      <c r="I1392" t="s">
        <v>31431</v>
      </c>
      <c r="J1392" t="s">
        <v>32544</v>
      </c>
      <c r="K1392" t="s">
        <v>40670</v>
      </c>
      <c r="M1392" t="s">
        <v>41517</v>
      </c>
      <c r="N1392" t="s">
        <v>44905</v>
      </c>
      <c r="O1392" t="s">
        <v>44906</v>
      </c>
      <c r="P1392">
        <v>0</v>
      </c>
      <c r="Q1392">
        <v>0</v>
      </c>
      <c r="R1392" t="s">
        <v>44907</v>
      </c>
      <c r="S1392" t="s">
        <v>45026</v>
      </c>
      <c r="T1392" t="s">
        <v>46553</v>
      </c>
      <c r="U1392" t="s">
        <v>48081</v>
      </c>
      <c r="W1392" t="s">
        <v>41517</v>
      </c>
      <c r="X1392" t="s">
        <v>44908</v>
      </c>
    </row>
    <row r="1393" spans="1:24">
      <c r="A1393">
        <f>HYPERLINK("https://www.philgeps.gov.ph/GEPSNONPILOT/Tender/SplashBidNoticeAbstractUI.aspx?menuIndex=3&amp;refID=7083165&amp;Result=3","7083165")</f>
        <v>0</v>
      </c>
      <c r="B1393" t="s">
        <v>589</v>
      </c>
      <c r="C1393" t="s">
        <v>4133</v>
      </c>
      <c r="D1393" t="s">
        <v>18154</v>
      </c>
      <c r="E1393" t="s">
        <v>19443</v>
      </c>
      <c r="F1393" t="s">
        <v>31365</v>
      </c>
      <c r="G1393" t="s">
        <v>31369</v>
      </c>
      <c r="H1393" t="s">
        <v>15799</v>
      </c>
      <c r="I1393" t="s">
        <v>3815</v>
      </c>
      <c r="J1393" t="s">
        <v>32545</v>
      </c>
      <c r="K1393" t="s">
        <v>40666</v>
      </c>
      <c r="M1393" t="s">
        <v>41546</v>
      </c>
      <c r="N1393" t="s">
        <v>44905</v>
      </c>
      <c r="O1393" t="s">
        <v>44906</v>
      </c>
      <c r="P1393">
        <v>0</v>
      </c>
      <c r="Q1393">
        <v>0</v>
      </c>
      <c r="R1393" t="s">
        <v>44907</v>
      </c>
      <c r="S1393" t="s">
        <v>45026</v>
      </c>
      <c r="T1393" t="s">
        <v>46490</v>
      </c>
      <c r="U1393" t="s">
        <v>48054</v>
      </c>
      <c r="W1393" t="s">
        <v>41546</v>
      </c>
      <c r="X1393" t="s">
        <v>44908</v>
      </c>
    </row>
    <row r="1394" spans="1:24">
      <c r="A1394">
        <f>HYPERLINK("https://www.philgeps.gov.ph/GEPSNONPILOT/Tender/SplashBidNoticeAbstractUI.aspx?menuIndex=3&amp;refID=7083234&amp;Result=3","7083234")</f>
        <v>0</v>
      </c>
      <c r="B1394" t="s">
        <v>298</v>
      </c>
      <c r="C1394" t="s">
        <v>4862</v>
      </c>
      <c r="D1394" t="s">
        <v>18168</v>
      </c>
      <c r="E1394" t="s">
        <v>19494</v>
      </c>
      <c r="F1394" t="s">
        <v>31362</v>
      </c>
      <c r="G1394" t="s">
        <v>31368</v>
      </c>
      <c r="H1394" t="s">
        <v>15799</v>
      </c>
      <c r="I1394" t="s">
        <v>31430</v>
      </c>
      <c r="J1394" t="s">
        <v>32546</v>
      </c>
      <c r="K1394" t="s">
        <v>40662</v>
      </c>
      <c r="M1394" t="s">
        <v>41241</v>
      </c>
      <c r="N1394" t="s">
        <v>44905</v>
      </c>
      <c r="O1394" t="s">
        <v>44906</v>
      </c>
      <c r="P1394">
        <v>0</v>
      </c>
      <c r="Q1394">
        <v>0</v>
      </c>
      <c r="R1394" t="s">
        <v>44907</v>
      </c>
      <c r="S1394" t="s">
        <v>45026</v>
      </c>
      <c r="T1394" t="s">
        <v>46506</v>
      </c>
      <c r="U1394" t="s">
        <v>48095</v>
      </c>
      <c r="W1394" t="s">
        <v>41241</v>
      </c>
      <c r="X1394" t="s">
        <v>44908</v>
      </c>
    </row>
    <row r="1395" spans="1:24">
      <c r="A1395">
        <f>HYPERLINK("https://www.philgeps.gov.ph/GEPSNONPILOT/Tender/SplashBidNoticeAbstractUI.aspx?menuIndex=3&amp;refID=7083231&amp;Result=3","7083231")</f>
        <v>0</v>
      </c>
      <c r="B1395" t="s">
        <v>604</v>
      </c>
      <c r="C1395" t="s">
        <v>4863</v>
      </c>
      <c r="D1395" t="s">
        <v>18122</v>
      </c>
      <c r="E1395" t="s">
        <v>19495</v>
      </c>
      <c r="F1395" t="s">
        <v>31362</v>
      </c>
      <c r="G1395" t="s">
        <v>31373</v>
      </c>
      <c r="H1395" t="s">
        <v>31378</v>
      </c>
      <c r="I1395" t="s">
        <v>31386</v>
      </c>
      <c r="J1395" t="s">
        <v>32528</v>
      </c>
      <c r="K1395" t="s">
        <v>40725</v>
      </c>
      <c r="M1395" t="s">
        <v>41562</v>
      </c>
      <c r="N1395" t="s">
        <v>44905</v>
      </c>
      <c r="O1395" t="s">
        <v>44906</v>
      </c>
      <c r="P1395">
        <v>0</v>
      </c>
      <c r="Q1395">
        <v>2</v>
      </c>
      <c r="R1395" t="s">
        <v>44907</v>
      </c>
      <c r="S1395" t="s">
        <v>45026</v>
      </c>
      <c r="T1395" t="s">
        <v>46429</v>
      </c>
      <c r="U1395" t="s">
        <v>48096</v>
      </c>
      <c r="V1395" t="s">
        <v>59212</v>
      </c>
      <c r="W1395" t="s">
        <v>41562</v>
      </c>
      <c r="X1395" t="s">
        <v>44908</v>
      </c>
    </row>
    <row r="1396" spans="1:24">
      <c r="A1396">
        <f>HYPERLINK("https://www.philgeps.gov.ph/GEPSNONPILOT/Tender/SplashBidNoticeAbstractUI.aspx?menuIndex=3&amp;refID=7083185&amp;Result=3","7083185")</f>
        <v>0</v>
      </c>
      <c r="B1396" t="s">
        <v>585</v>
      </c>
      <c r="C1396" t="s">
        <v>4864</v>
      </c>
      <c r="D1396" t="s">
        <v>18100</v>
      </c>
      <c r="E1396" t="s">
        <v>19496</v>
      </c>
      <c r="F1396" t="s">
        <v>31362</v>
      </c>
      <c r="G1396" t="s">
        <v>31368</v>
      </c>
      <c r="H1396" t="s">
        <v>15799</v>
      </c>
      <c r="I1396" t="s">
        <v>7090</v>
      </c>
      <c r="J1396" t="s">
        <v>32547</v>
      </c>
      <c r="K1396" t="s">
        <v>40662</v>
      </c>
      <c r="M1396" t="s">
        <v>41542</v>
      </c>
      <c r="N1396" t="s">
        <v>44905</v>
      </c>
      <c r="O1396" t="s">
        <v>44906</v>
      </c>
      <c r="P1396">
        <v>0</v>
      </c>
      <c r="Q1396">
        <v>0</v>
      </c>
      <c r="R1396" t="s">
        <v>44907</v>
      </c>
      <c r="S1396" t="s">
        <v>45026</v>
      </c>
      <c r="T1396" t="s">
        <v>46392</v>
      </c>
      <c r="U1396" t="s">
        <v>48050</v>
      </c>
      <c r="W1396" t="s">
        <v>41542</v>
      </c>
      <c r="X1396" t="s">
        <v>44908</v>
      </c>
    </row>
    <row r="1397" spans="1:24">
      <c r="A1397">
        <f>HYPERLINK("https://www.philgeps.gov.ph/GEPSNONPILOT/Tender/SplashBidNoticeAbstractUI.aspx?menuIndex=3&amp;refID=7083281&amp;Result=3","7083281")</f>
        <v>0</v>
      </c>
      <c r="B1397" t="s">
        <v>612</v>
      </c>
      <c r="C1397" t="s">
        <v>4865</v>
      </c>
      <c r="D1397" t="s">
        <v>18103</v>
      </c>
      <c r="E1397" t="s">
        <v>19497</v>
      </c>
      <c r="F1397" t="s">
        <v>31362</v>
      </c>
      <c r="G1397" t="s">
        <v>31368</v>
      </c>
      <c r="H1397" t="s">
        <v>15799</v>
      </c>
      <c r="I1397" t="s">
        <v>31421</v>
      </c>
      <c r="J1397" t="s">
        <v>32548</v>
      </c>
      <c r="K1397" t="s">
        <v>40665</v>
      </c>
      <c r="M1397" t="s">
        <v>41570</v>
      </c>
      <c r="N1397" t="s">
        <v>44905</v>
      </c>
      <c r="O1397" t="s">
        <v>44906</v>
      </c>
      <c r="P1397">
        <v>0</v>
      </c>
      <c r="Q1397">
        <v>0</v>
      </c>
      <c r="R1397" t="s">
        <v>44907</v>
      </c>
      <c r="S1397" t="s">
        <v>45026</v>
      </c>
      <c r="T1397" t="s">
        <v>46443</v>
      </c>
      <c r="U1397" t="s">
        <v>48097</v>
      </c>
      <c r="W1397" t="s">
        <v>41570</v>
      </c>
      <c r="X1397" t="s">
        <v>44908</v>
      </c>
    </row>
    <row r="1398" spans="1:24">
      <c r="A1398">
        <f>HYPERLINK("https://www.philgeps.gov.ph/GEPSNONPILOT/Tender/SplashBidNoticeAbstractUI.aspx?menuIndex=3&amp;refID=7083280&amp;Result=3","7083280")</f>
        <v>0</v>
      </c>
      <c r="B1398" t="s">
        <v>613</v>
      </c>
      <c r="C1398" t="s">
        <v>4866</v>
      </c>
      <c r="D1398" t="s">
        <v>18112</v>
      </c>
      <c r="E1398" t="s">
        <v>19498</v>
      </c>
      <c r="F1398" t="s">
        <v>31362</v>
      </c>
      <c r="G1398" t="s">
        <v>31369</v>
      </c>
      <c r="H1398" t="s">
        <v>31378</v>
      </c>
      <c r="I1398" t="s">
        <v>31441</v>
      </c>
      <c r="J1398" t="s">
        <v>32549</v>
      </c>
      <c r="K1398" t="s">
        <v>40682</v>
      </c>
      <c r="M1398" t="s">
        <v>41571</v>
      </c>
      <c r="N1398" t="s">
        <v>44905</v>
      </c>
      <c r="O1398" t="s">
        <v>44906</v>
      </c>
      <c r="P1398">
        <v>0</v>
      </c>
      <c r="Q1398">
        <v>0</v>
      </c>
      <c r="R1398" t="s">
        <v>44907</v>
      </c>
      <c r="S1398" t="s">
        <v>45026</v>
      </c>
      <c r="T1398" t="s">
        <v>46395</v>
      </c>
      <c r="U1398" t="s">
        <v>48098</v>
      </c>
      <c r="W1398" t="s">
        <v>41571</v>
      </c>
      <c r="X1398" t="s">
        <v>44908</v>
      </c>
    </row>
    <row r="1399" spans="1:24">
      <c r="A1399">
        <f>HYPERLINK("https://www.philgeps.gov.ph/GEPSNONPILOT/Tender/SplashBidNoticeAbstractUI.aspx?menuIndex=3&amp;refID=7083279&amp;Result=3","7083279")</f>
        <v>0</v>
      </c>
      <c r="B1399" t="s">
        <v>614</v>
      </c>
      <c r="C1399" t="s">
        <v>4867</v>
      </c>
      <c r="D1399" t="s">
        <v>18106</v>
      </c>
      <c r="E1399" t="s">
        <v>19499</v>
      </c>
      <c r="F1399" t="s">
        <v>31362</v>
      </c>
      <c r="G1399" t="s">
        <v>31369</v>
      </c>
      <c r="H1399" t="s">
        <v>15799</v>
      </c>
      <c r="I1399" t="s">
        <v>31409</v>
      </c>
      <c r="J1399" t="s">
        <v>31646</v>
      </c>
      <c r="K1399" t="s">
        <v>40680</v>
      </c>
      <c r="M1399" t="s">
        <v>41572</v>
      </c>
      <c r="N1399" t="s">
        <v>44905</v>
      </c>
      <c r="O1399" t="s">
        <v>44906</v>
      </c>
      <c r="P1399">
        <v>0</v>
      </c>
      <c r="Q1399">
        <v>0</v>
      </c>
      <c r="R1399" t="s">
        <v>44907</v>
      </c>
      <c r="S1399" t="s">
        <v>45026</v>
      </c>
      <c r="T1399" t="s">
        <v>46419</v>
      </c>
      <c r="U1399" t="s">
        <v>48099</v>
      </c>
      <c r="V1399" t="s">
        <v>59203</v>
      </c>
      <c r="W1399" t="s">
        <v>41572</v>
      </c>
      <c r="X1399" t="s">
        <v>44908</v>
      </c>
    </row>
    <row r="1400" spans="1:24">
      <c r="A1400">
        <f>HYPERLINK("https://www.philgeps.gov.ph/GEPSNONPILOT/Tender/SplashBidNoticeAbstractUI.aspx?menuIndex=3&amp;refID=7083277&amp;Result=3","7083277")</f>
        <v>0</v>
      </c>
      <c r="B1400" t="s">
        <v>615</v>
      </c>
      <c r="C1400" t="s">
        <v>4868</v>
      </c>
      <c r="D1400" t="s">
        <v>18113</v>
      </c>
      <c r="E1400" t="s">
        <v>19500</v>
      </c>
      <c r="F1400" t="s">
        <v>31362</v>
      </c>
      <c r="G1400" t="s">
        <v>31370</v>
      </c>
      <c r="H1400" t="s">
        <v>15799</v>
      </c>
      <c r="I1400" t="s">
        <v>3815</v>
      </c>
      <c r="J1400" t="s">
        <v>32550</v>
      </c>
      <c r="K1400" t="s">
        <v>40662</v>
      </c>
      <c r="M1400" t="s">
        <v>41573</v>
      </c>
      <c r="N1400" t="s">
        <v>44905</v>
      </c>
      <c r="O1400" t="s">
        <v>44906</v>
      </c>
      <c r="P1400">
        <v>0</v>
      </c>
      <c r="Q1400">
        <v>0</v>
      </c>
      <c r="R1400" t="s">
        <v>44907</v>
      </c>
      <c r="S1400" t="s">
        <v>45026</v>
      </c>
      <c r="T1400" t="s">
        <v>46396</v>
      </c>
      <c r="U1400" t="s">
        <v>48100</v>
      </c>
      <c r="W1400" t="s">
        <v>41573</v>
      </c>
      <c r="X1400" t="s">
        <v>44908</v>
      </c>
    </row>
    <row r="1401" spans="1:24">
      <c r="A1401">
        <f>HYPERLINK("https://www.philgeps.gov.ph/GEPSNONPILOT/Tender/SplashBidNoticeAbstractUI.aspx?menuIndex=3&amp;refID=7083275&amp;Result=3","7083275")</f>
        <v>0</v>
      </c>
      <c r="B1401" t="s">
        <v>616</v>
      </c>
      <c r="C1401" t="s">
        <v>4869</v>
      </c>
      <c r="D1401" t="s">
        <v>18104</v>
      </c>
      <c r="E1401" t="s">
        <v>19501</v>
      </c>
      <c r="F1401" t="s">
        <v>31362</v>
      </c>
      <c r="G1401" t="s">
        <v>31368</v>
      </c>
      <c r="H1401" t="s">
        <v>15799</v>
      </c>
      <c r="I1401" t="s">
        <v>6155</v>
      </c>
      <c r="J1401" t="s">
        <v>31829</v>
      </c>
      <c r="K1401" t="s">
        <v>40661</v>
      </c>
      <c r="M1401" t="s">
        <v>41574</v>
      </c>
      <c r="N1401" t="s">
        <v>44905</v>
      </c>
      <c r="O1401" t="s">
        <v>44906</v>
      </c>
      <c r="P1401">
        <v>0</v>
      </c>
      <c r="Q1401">
        <v>3</v>
      </c>
      <c r="R1401" t="s">
        <v>44907</v>
      </c>
      <c r="S1401" t="s">
        <v>45026</v>
      </c>
      <c r="T1401" t="s">
        <v>46414</v>
      </c>
      <c r="U1401" t="s">
        <v>48101</v>
      </c>
      <c r="W1401" t="s">
        <v>41574</v>
      </c>
      <c r="X1401" t="s">
        <v>44908</v>
      </c>
    </row>
    <row r="1402" spans="1:24">
      <c r="A1402">
        <f>HYPERLINK("https://www.philgeps.gov.ph/GEPSNONPILOT/Tender/SplashBidNoticeAbstractUI.aspx?menuIndex=3&amp;refID=7083274&amp;Result=3","7083274")</f>
        <v>0</v>
      </c>
      <c r="B1402" t="s">
        <v>559</v>
      </c>
      <c r="C1402" t="s">
        <v>4870</v>
      </c>
      <c r="D1402" t="s">
        <v>18139</v>
      </c>
      <c r="E1402" t="s">
        <v>19502</v>
      </c>
      <c r="F1402" t="s">
        <v>31362</v>
      </c>
      <c r="G1402" t="s">
        <v>31369</v>
      </c>
      <c r="H1402" t="s">
        <v>31378</v>
      </c>
      <c r="I1402" t="s">
        <v>31386</v>
      </c>
      <c r="J1402" t="s">
        <v>32508</v>
      </c>
      <c r="K1402" t="s">
        <v>40678</v>
      </c>
      <c r="M1402" t="s">
        <v>41515</v>
      </c>
      <c r="N1402" t="s">
        <v>44905</v>
      </c>
      <c r="O1402" t="s">
        <v>44906</v>
      </c>
      <c r="P1402">
        <v>0</v>
      </c>
      <c r="Q1402">
        <v>0</v>
      </c>
      <c r="R1402" t="s">
        <v>44907</v>
      </c>
      <c r="S1402" t="s">
        <v>45026</v>
      </c>
      <c r="T1402" t="s">
        <v>46449</v>
      </c>
      <c r="U1402" t="s">
        <v>47999</v>
      </c>
      <c r="V1402" t="s">
        <v>59206</v>
      </c>
      <c r="W1402" t="s">
        <v>41515</v>
      </c>
      <c r="X1402" t="s">
        <v>44908</v>
      </c>
    </row>
    <row r="1403" spans="1:24">
      <c r="A1403">
        <f>HYPERLINK("https://www.philgeps.gov.ph/GEPSNONPILOT/Tender/SplashBidNoticeAbstractUI.aspx?menuIndex=3&amp;refID=7083251&amp;Result=3","7083251")</f>
        <v>0</v>
      </c>
      <c r="B1403" t="s">
        <v>617</v>
      </c>
      <c r="C1403" t="s">
        <v>4871</v>
      </c>
      <c r="D1403" t="s">
        <v>18108</v>
      </c>
      <c r="E1403" t="s">
        <v>19503</v>
      </c>
      <c r="F1403" t="s">
        <v>31362</v>
      </c>
      <c r="G1403" t="s">
        <v>31370</v>
      </c>
      <c r="H1403" t="s">
        <v>15799</v>
      </c>
      <c r="I1403" t="s">
        <v>13635</v>
      </c>
      <c r="J1403" t="s">
        <v>32551</v>
      </c>
      <c r="K1403" t="s">
        <v>40661</v>
      </c>
      <c r="M1403" t="s">
        <v>41575</v>
      </c>
      <c r="N1403" t="s">
        <v>44905</v>
      </c>
      <c r="O1403" t="s">
        <v>44906</v>
      </c>
      <c r="P1403">
        <v>0</v>
      </c>
      <c r="Q1403">
        <v>5</v>
      </c>
      <c r="R1403" t="s">
        <v>44907</v>
      </c>
      <c r="S1403" t="s">
        <v>45026</v>
      </c>
      <c r="T1403" t="s">
        <v>46409</v>
      </c>
      <c r="U1403" t="s">
        <v>48102</v>
      </c>
      <c r="W1403" t="s">
        <v>41575</v>
      </c>
      <c r="X1403" t="s">
        <v>44908</v>
      </c>
    </row>
    <row r="1404" spans="1:24">
      <c r="A1404">
        <f>HYPERLINK("https://www.philgeps.gov.ph/GEPSNONPILOT/Tender/SplashBidNoticeAbstractUI.aspx?menuIndex=3&amp;refID=7083271&amp;Result=3","7083271")</f>
        <v>0</v>
      </c>
      <c r="B1404" t="s">
        <v>618</v>
      </c>
      <c r="C1404" t="s">
        <v>4872</v>
      </c>
      <c r="D1404" t="s">
        <v>18175</v>
      </c>
      <c r="E1404" t="s">
        <v>19504</v>
      </c>
      <c r="F1404" t="s">
        <v>31362</v>
      </c>
      <c r="G1404" t="s">
        <v>31368</v>
      </c>
      <c r="H1404" t="s">
        <v>15799</v>
      </c>
      <c r="I1404" t="s">
        <v>3815</v>
      </c>
      <c r="J1404" t="s">
        <v>32552</v>
      </c>
      <c r="K1404" t="s">
        <v>40665</v>
      </c>
      <c r="M1404" t="s">
        <v>41576</v>
      </c>
      <c r="N1404" t="s">
        <v>44905</v>
      </c>
      <c r="O1404" t="s">
        <v>44906</v>
      </c>
      <c r="P1404">
        <v>0</v>
      </c>
      <c r="Q1404">
        <v>0</v>
      </c>
      <c r="R1404" t="s">
        <v>44907</v>
      </c>
      <c r="S1404" t="s">
        <v>45026</v>
      </c>
      <c r="T1404" t="s">
        <v>46463</v>
      </c>
      <c r="U1404" t="s">
        <v>48103</v>
      </c>
      <c r="W1404" t="s">
        <v>41576</v>
      </c>
      <c r="X1404" t="s">
        <v>44908</v>
      </c>
    </row>
    <row r="1405" spans="1:24">
      <c r="A1405">
        <f>HYPERLINK("https://www.philgeps.gov.ph/GEPSNONPILOT/Tender/SplashBidNoticeAbstractUI.aspx?menuIndex=3&amp;refID=7083269&amp;Result=3","7083269")</f>
        <v>0</v>
      </c>
      <c r="B1405" t="s">
        <v>343</v>
      </c>
      <c r="C1405" t="s">
        <v>4873</v>
      </c>
      <c r="D1405" t="s">
        <v>18101</v>
      </c>
      <c r="E1405" t="s">
        <v>19505</v>
      </c>
      <c r="F1405" t="s">
        <v>31362</v>
      </c>
      <c r="G1405" t="s">
        <v>31369</v>
      </c>
      <c r="H1405" t="s">
        <v>31378</v>
      </c>
      <c r="I1405" t="s">
        <v>31386</v>
      </c>
      <c r="J1405" t="s">
        <v>32553</v>
      </c>
      <c r="K1405" t="s">
        <v>40708</v>
      </c>
      <c r="M1405" t="s">
        <v>41289</v>
      </c>
      <c r="N1405" t="s">
        <v>44905</v>
      </c>
      <c r="O1405" t="s">
        <v>44906</v>
      </c>
      <c r="P1405">
        <v>0</v>
      </c>
      <c r="Q1405">
        <v>0</v>
      </c>
      <c r="R1405" t="s">
        <v>44907</v>
      </c>
      <c r="S1405" t="s">
        <v>45026</v>
      </c>
      <c r="T1405" t="s">
        <v>46524</v>
      </c>
      <c r="U1405" t="s">
        <v>48104</v>
      </c>
      <c r="V1405" t="s">
        <v>59215</v>
      </c>
      <c r="W1405" t="s">
        <v>41289</v>
      </c>
      <c r="X1405" t="s">
        <v>44908</v>
      </c>
    </row>
    <row r="1406" spans="1:24">
      <c r="A1406">
        <f>HYPERLINK("https://www.philgeps.gov.ph/GEPSNONPILOT/Tender/SplashBidNoticeAbstractUI.aspx?menuIndex=3&amp;refID=7083266&amp;Result=3","7083266")</f>
        <v>0</v>
      </c>
      <c r="B1406" t="s">
        <v>619</v>
      </c>
      <c r="C1406" t="s">
        <v>4874</v>
      </c>
      <c r="D1406" t="s">
        <v>18184</v>
      </c>
      <c r="E1406" t="s">
        <v>19506</v>
      </c>
      <c r="F1406" t="s">
        <v>31362</v>
      </c>
      <c r="G1406" t="s">
        <v>31369</v>
      </c>
      <c r="H1406" t="s">
        <v>15799</v>
      </c>
      <c r="I1406" t="s">
        <v>7090</v>
      </c>
      <c r="J1406" t="s">
        <v>32554</v>
      </c>
      <c r="K1406" t="s">
        <v>40670</v>
      </c>
      <c r="M1406" t="s">
        <v>41577</v>
      </c>
      <c r="N1406" t="s">
        <v>44905</v>
      </c>
      <c r="O1406" t="s">
        <v>44906</v>
      </c>
      <c r="P1406">
        <v>0</v>
      </c>
      <c r="Q1406">
        <v>0</v>
      </c>
      <c r="R1406" t="s">
        <v>44907</v>
      </c>
      <c r="S1406" t="s">
        <v>45026</v>
      </c>
      <c r="T1406" t="s">
        <v>46505</v>
      </c>
      <c r="U1406" t="s">
        <v>48105</v>
      </c>
      <c r="W1406" t="s">
        <v>41577</v>
      </c>
      <c r="X1406" t="s">
        <v>44908</v>
      </c>
    </row>
    <row r="1407" spans="1:24">
      <c r="A1407">
        <f>HYPERLINK("https://www.philgeps.gov.ph/GEPSNONPILOT/Tender/SplashBidNoticeAbstractUI.aspx?menuIndex=3&amp;refID=7083265&amp;Result=3","7083265")</f>
        <v>0</v>
      </c>
      <c r="B1407" t="s">
        <v>620</v>
      </c>
      <c r="C1407" t="s">
        <v>4875</v>
      </c>
      <c r="E1407" t="s">
        <v>19507</v>
      </c>
      <c r="F1407" t="s">
        <v>31362</v>
      </c>
      <c r="G1407" t="s">
        <v>31371</v>
      </c>
      <c r="H1407" t="s">
        <v>15799</v>
      </c>
      <c r="I1407" t="s">
        <v>31385</v>
      </c>
      <c r="J1407" t="s">
        <v>32555</v>
      </c>
      <c r="K1407" t="s">
        <v>40662</v>
      </c>
      <c r="M1407" t="s">
        <v>41578</v>
      </c>
      <c r="N1407" t="s">
        <v>44905</v>
      </c>
      <c r="O1407" t="s">
        <v>44906</v>
      </c>
      <c r="P1407">
        <v>0</v>
      </c>
      <c r="Q1407">
        <v>9</v>
      </c>
      <c r="R1407" t="s">
        <v>44907</v>
      </c>
      <c r="S1407" t="s">
        <v>45026</v>
      </c>
      <c r="T1407" t="s">
        <v>46478</v>
      </c>
      <c r="U1407" t="s">
        <v>48106</v>
      </c>
      <c r="V1407" t="s">
        <v>59052</v>
      </c>
      <c r="W1407" t="s">
        <v>41578</v>
      </c>
      <c r="X1407" t="s">
        <v>44908</v>
      </c>
    </row>
    <row r="1408" spans="1:24">
      <c r="A1408">
        <f>HYPERLINK("https://www.philgeps.gov.ph/GEPSNONPILOT/Tender/SplashBidNoticeAbstractUI.aspx?menuIndex=3&amp;refID=7083264&amp;Result=3","7083264")</f>
        <v>0</v>
      </c>
      <c r="B1408" t="s">
        <v>621</v>
      </c>
      <c r="C1408" t="s">
        <v>4876</v>
      </c>
      <c r="D1408" t="s">
        <v>18115</v>
      </c>
      <c r="E1408" t="s">
        <v>19508</v>
      </c>
      <c r="F1408" t="s">
        <v>31362</v>
      </c>
      <c r="G1408" t="s">
        <v>31369</v>
      </c>
      <c r="H1408" t="s">
        <v>15799</v>
      </c>
      <c r="I1408" t="s">
        <v>3815</v>
      </c>
      <c r="J1408" t="s">
        <v>32556</v>
      </c>
      <c r="K1408" t="s">
        <v>40665</v>
      </c>
      <c r="M1408" t="s">
        <v>41579</v>
      </c>
      <c r="N1408" t="s">
        <v>44905</v>
      </c>
      <c r="O1408" t="s">
        <v>44906</v>
      </c>
      <c r="P1408">
        <v>0</v>
      </c>
      <c r="Q1408">
        <v>0</v>
      </c>
      <c r="R1408" t="s">
        <v>44907</v>
      </c>
      <c r="S1408" t="s">
        <v>45026</v>
      </c>
      <c r="T1408" t="s">
        <v>46403</v>
      </c>
      <c r="U1408" t="s">
        <v>48107</v>
      </c>
      <c r="W1408" t="s">
        <v>41579</v>
      </c>
      <c r="X1408" t="s">
        <v>44908</v>
      </c>
    </row>
    <row r="1409" spans="1:24">
      <c r="A1409">
        <f>HYPERLINK("https://www.philgeps.gov.ph/GEPSNONPILOT/Tender/SplashBidNoticeAbstractUI.aspx?menuIndex=3&amp;refID=7083263&amp;Result=3","7083263")</f>
        <v>0</v>
      </c>
      <c r="B1409" t="s">
        <v>60</v>
      </c>
      <c r="C1409" t="s">
        <v>4877</v>
      </c>
      <c r="D1409" t="s">
        <v>18123</v>
      </c>
      <c r="E1409" t="s">
        <v>19509</v>
      </c>
      <c r="F1409" t="s">
        <v>31362</v>
      </c>
      <c r="G1409" t="s">
        <v>31368</v>
      </c>
      <c r="H1409" t="s">
        <v>15799</v>
      </c>
      <c r="I1409" t="s">
        <v>4942</v>
      </c>
      <c r="J1409" t="s">
        <v>32557</v>
      </c>
      <c r="K1409" t="s">
        <v>40670</v>
      </c>
      <c r="M1409" t="s">
        <v>40995</v>
      </c>
      <c r="N1409" t="s">
        <v>44905</v>
      </c>
      <c r="O1409" t="s">
        <v>44906</v>
      </c>
      <c r="P1409">
        <v>0</v>
      </c>
      <c r="Q1409">
        <v>0</v>
      </c>
      <c r="R1409" t="s">
        <v>44907</v>
      </c>
      <c r="S1409" t="s">
        <v>45026</v>
      </c>
      <c r="T1409" t="s">
        <v>46410</v>
      </c>
      <c r="U1409" t="s">
        <v>48108</v>
      </c>
      <c r="W1409" t="s">
        <v>40995</v>
      </c>
      <c r="X1409" t="s">
        <v>44908</v>
      </c>
    </row>
    <row r="1410" spans="1:24">
      <c r="A1410">
        <f>HYPERLINK("https://www.philgeps.gov.ph/GEPSNONPILOT/Tender/SplashBidNoticeAbstractUI.aspx?menuIndex=3&amp;refID=7083221&amp;Result=3","7083221")</f>
        <v>0</v>
      </c>
      <c r="B1410" t="s">
        <v>584</v>
      </c>
      <c r="C1410" t="s">
        <v>4878</v>
      </c>
      <c r="D1410" t="s">
        <v>18158</v>
      </c>
      <c r="E1410" t="s">
        <v>19510</v>
      </c>
      <c r="F1410" t="s">
        <v>31362</v>
      </c>
      <c r="G1410" t="s">
        <v>31369</v>
      </c>
      <c r="H1410" t="s">
        <v>31378</v>
      </c>
      <c r="I1410" t="s">
        <v>31386</v>
      </c>
      <c r="J1410" t="s">
        <v>32558</v>
      </c>
      <c r="K1410" t="s">
        <v>40685</v>
      </c>
      <c r="M1410" t="s">
        <v>41541</v>
      </c>
      <c r="N1410" t="s">
        <v>44905</v>
      </c>
      <c r="O1410" t="s">
        <v>44906</v>
      </c>
      <c r="P1410">
        <v>0</v>
      </c>
      <c r="Q1410">
        <v>0</v>
      </c>
      <c r="R1410" t="s">
        <v>44907</v>
      </c>
      <c r="S1410" t="s">
        <v>45026</v>
      </c>
      <c r="T1410" t="s">
        <v>46559</v>
      </c>
      <c r="U1410" t="s">
        <v>48048</v>
      </c>
      <c r="W1410" t="s">
        <v>41541</v>
      </c>
      <c r="X1410" t="s">
        <v>44908</v>
      </c>
    </row>
    <row r="1411" spans="1:24">
      <c r="A1411">
        <f>HYPERLINK("https://www.philgeps.gov.ph/GEPSNONPILOT/Tender/SplashBidNoticeAbstractUI.aspx?menuIndex=3&amp;refID=7083262&amp;Result=3","7083262")</f>
        <v>0</v>
      </c>
      <c r="B1411" t="s">
        <v>444</v>
      </c>
      <c r="C1411" t="s">
        <v>4879</v>
      </c>
      <c r="D1411" t="s">
        <v>18146</v>
      </c>
      <c r="E1411" t="s">
        <v>19511</v>
      </c>
      <c r="F1411" t="s">
        <v>31362</v>
      </c>
      <c r="G1411" t="s">
        <v>31368</v>
      </c>
      <c r="H1411" t="s">
        <v>31378</v>
      </c>
      <c r="I1411" t="s">
        <v>31386</v>
      </c>
      <c r="J1411" t="s">
        <v>31591</v>
      </c>
      <c r="K1411" t="s">
        <v>40676</v>
      </c>
      <c r="M1411" t="s">
        <v>41397</v>
      </c>
      <c r="N1411" t="s">
        <v>44905</v>
      </c>
      <c r="O1411" t="s">
        <v>44906</v>
      </c>
      <c r="P1411">
        <v>0</v>
      </c>
      <c r="Q1411">
        <v>0</v>
      </c>
      <c r="R1411" t="s">
        <v>44907</v>
      </c>
      <c r="S1411" t="s">
        <v>45026</v>
      </c>
      <c r="T1411" t="s">
        <v>46449</v>
      </c>
      <c r="U1411" t="s">
        <v>48109</v>
      </c>
      <c r="W1411" t="s">
        <v>41397</v>
      </c>
      <c r="X1411" t="s">
        <v>44908</v>
      </c>
    </row>
    <row r="1412" spans="1:24">
      <c r="A1412">
        <f>HYPERLINK("https://www.philgeps.gov.ph/GEPSNONPILOT/Tender/SplashBidNoticeAbstractUI.aspx?menuIndex=3&amp;refID=7083270&amp;Result=3","7083270")</f>
        <v>0</v>
      </c>
      <c r="B1412" t="s">
        <v>610</v>
      </c>
      <c r="C1412" t="s">
        <v>4880</v>
      </c>
      <c r="E1412" t="s">
        <v>19512</v>
      </c>
      <c r="F1412" t="s">
        <v>31362</v>
      </c>
      <c r="G1412" t="s">
        <v>31368</v>
      </c>
      <c r="H1412" t="s">
        <v>15799</v>
      </c>
      <c r="I1412" t="s">
        <v>31461</v>
      </c>
      <c r="J1412" t="s">
        <v>32559</v>
      </c>
      <c r="K1412" t="s">
        <v>40662</v>
      </c>
      <c r="M1412" t="s">
        <v>41568</v>
      </c>
      <c r="N1412" t="s">
        <v>44905</v>
      </c>
      <c r="O1412" t="s">
        <v>44906</v>
      </c>
      <c r="P1412">
        <v>0</v>
      </c>
      <c r="Q1412">
        <v>0</v>
      </c>
      <c r="R1412" t="s">
        <v>44907</v>
      </c>
      <c r="S1412" t="s">
        <v>45026</v>
      </c>
      <c r="T1412" t="s">
        <v>46438</v>
      </c>
      <c r="U1412" t="s">
        <v>48110</v>
      </c>
      <c r="W1412" t="s">
        <v>41568</v>
      </c>
      <c r="X1412" t="s">
        <v>44908</v>
      </c>
    </row>
    <row r="1413" spans="1:24">
      <c r="A1413">
        <f>HYPERLINK("https://www.philgeps.gov.ph/GEPSNONPILOT/Tender/SplashBidNoticeAbstractUI.aspx?menuIndex=3&amp;refID=7083315&amp;Result=3","7083315")</f>
        <v>0</v>
      </c>
      <c r="B1413" t="s">
        <v>169</v>
      </c>
      <c r="C1413" t="s">
        <v>4881</v>
      </c>
      <c r="D1413" t="s">
        <v>18108</v>
      </c>
      <c r="E1413" t="s">
        <v>19513</v>
      </c>
      <c r="F1413" t="s">
        <v>31362</v>
      </c>
      <c r="G1413" t="s">
        <v>31368</v>
      </c>
      <c r="H1413" t="s">
        <v>15799</v>
      </c>
      <c r="I1413" t="s">
        <v>31404</v>
      </c>
      <c r="J1413" t="s">
        <v>31529</v>
      </c>
      <c r="K1413" t="s">
        <v>40665</v>
      </c>
      <c r="M1413" t="s">
        <v>41580</v>
      </c>
      <c r="N1413" t="s">
        <v>44905</v>
      </c>
      <c r="O1413" t="s">
        <v>44906</v>
      </c>
      <c r="P1413">
        <v>0</v>
      </c>
      <c r="Q1413">
        <v>0</v>
      </c>
      <c r="R1413" t="s">
        <v>44907</v>
      </c>
      <c r="S1413" t="s">
        <v>45026</v>
      </c>
      <c r="T1413" t="s">
        <v>46411</v>
      </c>
      <c r="U1413" t="s">
        <v>48111</v>
      </c>
      <c r="W1413" t="s">
        <v>41580</v>
      </c>
      <c r="X1413" t="s">
        <v>44908</v>
      </c>
    </row>
    <row r="1414" spans="1:24">
      <c r="A1414">
        <f>HYPERLINK("https://www.philgeps.gov.ph/GEPSNONPILOT/Tender/SplashBidNoticeAbstractUI.aspx?menuIndex=3&amp;refID=7083268&amp;Result=3","7083268")</f>
        <v>0</v>
      </c>
      <c r="B1414" t="s">
        <v>604</v>
      </c>
      <c r="C1414" t="s">
        <v>4882</v>
      </c>
      <c r="D1414" t="s">
        <v>18122</v>
      </c>
      <c r="E1414" t="s">
        <v>19514</v>
      </c>
      <c r="F1414" t="s">
        <v>31362</v>
      </c>
      <c r="G1414" t="s">
        <v>31373</v>
      </c>
      <c r="H1414" t="s">
        <v>31378</v>
      </c>
      <c r="I1414" t="s">
        <v>31386</v>
      </c>
      <c r="J1414" t="s">
        <v>32560</v>
      </c>
      <c r="K1414" t="s">
        <v>40725</v>
      </c>
      <c r="M1414" t="s">
        <v>41562</v>
      </c>
      <c r="N1414" t="s">
        <v>44905</v>
      </c>
      <c r="O1414" t="s">
        <v>44906</v>
      </c>
      <c r="P1414">
        <v>0</v>
      </c>
      <c r="Q1414">
        <v>2</v>
      </c>
      <c r="R1414" t="s">
        <v>44907</v>
      </c>
      <c r="S1414" t="s">
        <v>45026</v>
      </c>
      <c r="T1414" t="s">
        <v>46429</v>
      </c>
      <c r="U1414" t="s">
        <v>48112</v>
      </c>
      <c r="V1414" t="s">
        <v>59212</v>
      </c>
      <c r="W1414" t="s">
        <v>41562</v>
      </c>
      <c r="X1414" t="s">
        <v>44908</v>
      </c>
    </row>
    <row r="1415" spans="1:24">
      <c r="A1415">
        <f>HYPERLINK("https://www.philgeps.gov.ph/GEPSNONPILOT/Tender/SplashBidNoticeAbstractUI.aspx?menuIndex=3&amp;refID=7083314&amp;Result=3","7083314")</f>
        <v>0</v>
      </c>
      <c r="B1415" t="s">
        <v>622</v>
      </c>
      <c r="C1415" t="s">
        <v>4883</v>
      </c>
      <c r="D1415" t="s">
        <v>18108</v>
      </c>
      <c r="E1415" t="s">
        <v>19515</v>
      </c>
      <c r="F1415" t="s">
        <v>31362</v>
      </c>
      <c r="G1415" t="s">
        <v>31368</v>
      </c>
      <c r="H1415" t="s">
        <v>15799</v>
      </c>
      <c r="I1415" t="s">
        <v>31400</v>
      </c>
      <c r="J1415" t="s">
        <v>32561</v>
      </c>
      <c r="K1415" t="s">
        <v>40666</v>
      </c>
      <c r="M1415" t="s">
        <v>41581</v>
      </c>
      <c r="N1415" t="s">
        <v>44905</v>
      </c>
      <c r="O1415" t="s">
        <v>44906</v>
      </c>
      <c r="P1415">
        <v>0</v>
      </c>
      <c r="Q1415">
        <v>7</v>
      </c>
      <c r="R1415" t="s">
        <v>44907</v>
      </c>
      <c r="S1415" t="s">
        <v>45026</v>
      </c>
      <c r="T1415" t="s">
        <v>46413</v>
      </c>
      <c r="U1415" t="s">
        <v>48113</v>
      </c>
      <c r="W1415" t="s">
        <v>41581</v>
      </c>
      <c r="X1415" t="s">
        <v>44908</v>
      </c>
    </row>
    <row r="1416" spans="1:24">
      <c r="A1416">
        <f>HYPERLINK("https://www.philgeps.gov.ph/GEPSNONPILOT/Tender/SplashBidNoticeAbstractUI.aspx?menuIndex=3&amp;refID=7083311&amp;Result=3","7083311")</f>
        <v>0</v>
      </c>
      <c r="B1416" t="s">
        <v>560</v>
      </c>
      <c r="C1416" t="s">
        <v>4884</v>
      </c>
      <c r="D1416" t="s">
        <v>18106</v>
      </c>
      <c r="E1416" t="s">
        <v>19516</v>
      </c>
      <c r="F1416" t="s">
        <v>31362</v>
      </c>
      <c r="G1416" t="s">
        <v>31368</v>
      </c>
      <c r="H1416" t="s">
        <v>15799</v>
      </c>
      <c r="I1416" t="s">
        <v>31452</v>
      </c>
      <c r="J1416" t="s">
        <v>32562</v>
      </c>
      <c r="K1416" t="s">
        <v>40666</v>
      </c>
      <c r="M1416" t="s">
        <v>41516</v>
      </c>
      <c r="N1416" t="s">
        <v>44905</v>
      </c>
      <c r="O1416" t="s">
        <v>44906</v>
      </c>
      <c r="P1416">
        <v>0</v>
      </c>
      <c r="Q1416">
        <v>6</v>
      </c>
      <c r="R1416" t="s">
        <v>44907</v>
      </c>
      <c r="S1416" t="s">
        <v>45026</v>
      </c>
      <c r="T1416" t="s">
        <v>46409</v>
      </c>
      <c r="U1416" t="s">
        <v>48088</v>
      </c>
      <c r="W1416" t="s">
        <v>41516</v>
      </c>
      <c r="X1416" t="s">
        <v>44908</v>
      </c>
    </row>
    <row r="1417" spans="1:24">
      <c r="A1417">
        <f>HYPERLINK("https://www.philgeps.gov.ph/GEPSNONPILOT/Tender/SplashBidNoticeAbstractUI.aspx?menuIndex=3&amp;refID=7083309&amp;Result=3","7083309")</f>
        <v>0</v>
      </c>
      <c r="B1417" t="s">
        <v>623</v>
      </c>
      <c r="C1417" t="s">
        <v>4885</v>
      </c>
      <c r="D1417" t="s">
        <v>18146</v>
      </c>
      <c r="E1417" t="s">
        <v>19517</v>
      </c>
      <c r="F1417" t="s">
        <v>31362</v>
      </c>
      <c r="G1417" t="s">
        <v>31368</v>
      </c>
      <c r="H1417" t="s">
        <v>15799</v>
      </c>
      <c r="I1417" t="s">
        <v>7090</v>
      </c>
      <c r="J1417" t="s">
        <v>31564</v>
      </c>
      <c r="K1417" t="s">
        <v>40682</v>
      </c>
      <c r="M1417" t="s">
        <v>41582</v>
      </c>
      <c r="N1417" t="s">
        <v>44905</v>
      </c>
      <c r="O1417" t="s">
        <v>44906</v>
      </c>
      <c r="P1417">
        <v>0</v>
      </c>
      <c r="Q1417">
        <v>2</v>
      </c>
      <c r="R1417" t="s">
        <v>44907</v>
      </c>
      <c r="S1417" t="s">
        <v>45026</v>
      </c>
      <c r="T1417" t="s">
        <v>46560</v>
      </c>
      <c r="U1417" t="s">
        <v>48114</v>
      </c>
      <c r="V1417" t="s">
        <v>59216</v>
      </c>
      <c r="W1417" t="s">
        <v>41582</v>
      </c>
      <c r="X1417" t="s">
        <v>44908</v>
      </c>
    </row>
    <row r="1418" spans="1:24">
      <c r="A1418">
        <f>HYPERLINK("https://www.philgeps.gov.ph/GEPSNONPILOT/Tender/SplashBidNoticeAbstractUI.aspx?menuIndex=3&amp;refID=7083307&amp;Result=3","7083307")</f>
        <v>0</v>
      </c>
      <c r="B1418" t="s">
        <v>440</v>
      </c>
      <c r="C1418" t="s">
        <v>4886</v>
      </c>
      <c r="D1418" t="s">
        <v>18154</v>
      </c>
      <c r="E1418" t="s">
        <v>19518</v>
      </c>
      <c r="F1418" t="s">
        <v>31362</v>
      </c>
      <c r="G1418" t="s">
        <v>31368</v>
      </c>
      <c r="H1418" t="s">
        <v>15799</v>
      </c>
      <c r="I1418" t="s">
        <v>3815</v>
      </c>
      <c r="J1418" t="s">
        <v>32563</v>
      </c>
      <c r="K1418" t="s">
        <v>40662</v>
      </c>
      <c r="M1418" t="s">
        <v>41392</v>
      </c>
      <c r="N1418" t="s">
        <v>44905</v>
      </c>
      <c r="O1418" t="s">
        <v>44906</v>
      </c>
      <c r="P1418">
        <v>0</v>
      </c>
      <c r="Q1418">
        <v>0</v>
      </c>
      <c r="R1418" t="s">
        <v>44907</v>
      </c>
      <c r="S1418" t="s">
        <v>45026</v>
      </c>
      <c r="T1418" t="s">
        <v>46447</v>
      </c>
      <c r="U1418" t="s">
        <v>48115</v>
      </c>
      <c r="W1418" t="s">
        <v>41392</v>
      </c>
      <c r="X1418" t="s">
        <v>44908</v>
      </c>
    </row>
    <row r="1419" spans="1:24">
      <c r="A1419">
        <f>HYPERLINK("https://www.philgeps.gov.ph/GEPSNONPILOT/Tender/SplashBidNoticeAbstractUI.aspx?menuIndex=3&amp;refID=7083306&amp;Result=3","7083306")</f>
        <v>0</v>
      </c>
      <c r="B1419" t="s">
        <v>180</v>
      </c>
      <c r="C1419" t="s">
        <v>4887</v>
      </c>
      <c r="D1419" t="s">
        <v>18112</v>
      </c>
      <c r="E1419" t="s">
        <v>19519</v>
      </c>
      <c r="F1419" t="s">
        <v>31362</v>
      </c>
      <c r="G1419" t="s">
        <v>31369</v>
      </c>
      <c r="H1419" t="s">
        <v>31378</v>
      </c>
      <c r="I1419" t="s">
        <v>31386</v>
      </c>
      <c r="J1419" t="s">
        <v>31615</v>
      </c>
      <c r="K1419" t="s">
        <v>40664</v>
      </c>
      <c r="M1419" t="s">
        <v>41118</v>
      </c>
      <c r="N1419" t="s">
        <v>44905</v>
      </c>
      <c r="O1419" t="s">
        <v>44906</v>
      </c>
      <c r="P1419">
        <v>0</v>
      </c>
      <c r="Q1419">
        <v>1</v>
      </c>
      <c r="R1419" t="s">
        <v>44907</v>
      </c>
      <c r="S1419" t="s">
        <v>45026</v>
      </c>
      <c r="T1419" t="s">
        <v>46563</v>
      </c>
      <c r="U1419" t="s">
        <v>48116</v>
      </c>
      <c r="W1419" t="s">
        <v>41118</v>
      </c>
      <c r="X1419" t="s">
        <v>44908</v>
      </c>
    </row>
    <row r="1420" spans="1:24">
      <c r="A1420">
        <f>HYPERLINK("https://www.philgeps.gov.ph/GEPSNONPILOT/Tender/SplashBidNoticeAbstractUI.aspx?menuIndex=3&amp;refID=7083303&amp;Result=3","7083303")</f>
        <v>0</v>
      </c>
      <c r="B1420" t="s">
        <v>624</v>
      </c>
      <c r="C1420" t="s">
        <v>4888</v>
      </c>
      <c r="D1420" t="s">
        <v>18148</v>
      </c>
      <c r="E1420" t="s">
        <v>19520</v>
      </c>
      <c r="F1420" t="s">
        <v>31362</v>
      </c>
      <c r="G1420" t="s">
        <v>31368</v>
      </c>
      <c r="H1420" t="s">
        <v>15799</v>
      </c>
      <c r="I1420" t="s">
        <v>4057</v>
      </c>
      <c r="J1420" t="s">
        <v>31531</v>
      </c>
      <c r="K1420" t="s">
        <v>40662</v>
      </c>
      <c r="M1420" t="s">
        <v>41583</v>
      </c>
      <c r="N1420" t="s">
        <v>44905</v>
      </c>
      <c r="O1420" t="s">
        <v>44906</v>
      </c>
      <c r="P1420">
        <v>0</v>
      </c>
      <c r="Q1420">
        <v>0</v>
      </c>
      <c r="R1420" t="s">
        <v>44907</v>
      </c>
      <c r="S1420" t="s">
        <v>45026</v>
      </c>
      <c r="T1420" t="s">
        <v>46414</v>
      </c>
      <c r="U1420" t="s">
        <v>48117</v>
      </c>
      <c r="W1420" t="s">
        <v>41583</v>
      </c>
      <c r="X1420" t="s">
        <v>44908</v>
      </c>
    </row>
    <row r="1421" spans="1:24">
      <c r="A1421">
        <f>HYPERLINK("https://www.philgeps.gov.ph/GEPSNONPILOT/Tender/SplashBidNoticeAbstractUI.aspx?menuIndex=3&amp;refID=7083302&amp;Result=3","7083302")</f>
        <v>0</v>
      </c>
      <c r="B1421" t="s">
        <v>590</v>
      </c>
      <c r="C1421" t="s">
        <v>4889</v>
      </c>
      <c r="D1421" t="s">
        <v>18162</v>
      </c>
      <c r="E1421" t="s">
        <v>19521</v>
      </c>
      <c r="F1421" t="s">
        <v>31362</v>
      </c>
      <c r="G1421" t="s">
        <v>31369</v>
      </c>
      <c r="H1421" t="s">
        <v>15799</v>
      </c>
      <c r="I1421" t="s">
        <v>4057</v>
      </c>
      <c r="J1421" t="s">
        <v>31997</v>
      </c>
      <c r="K1421" t="s">
        <v>40662</v>
      </c>
      <c r="M1421" t="s">
        <v>41547</v>
      </c>
      <c r="N1421" t="s">
        <v>44905</v>
      </c>
      <c r="O1421" t="s">
        <v>44906</v>
      </c>
      <c r="P1421">
        <v>0</v>
      </c>
      <c r="Q1421">
        <v>0</v>
      </c>
      <c r="R1421" t="s">
        <v>44907</v>
      </c>
      <c r="S1421" t="s">
        <v>45026</v>
      </c>
      <c r="T1421" t="s">
        <v>46560</v>
      </c>
      <c r="U1421" t="s">
        <v>48118</v>
      </c>
      <c r="W1421" t="s">
        <v>41547</v>
      </c>
      <c r="X1421" t="s">
        <v>44908</v>
      </c>
    </row>
    <row r="1422" spans="1:24">
      <c r="A1422">
        <f>HYPERLINK("https://www.philgeps.gov.ph/GEPSNONPILOT/Tender/SplashBidNoticeAbstractUI.aspx?menuIndex=3&amp;refID=7083312&amp;Result=3","7083312")</f>
        <v>0</v>
      </c>
      <c r="B1422" t="s">
        <v>561</v>
      </c>
      <c r="C1422" t="s">
        <v>4890</v>
      </c>
      <c r="D1422" t="s">
        <v>18124</v>
      </c>
      <c r="E1422" t="s">
        <v>19522</v>
      </c>
      <c r="F1422" t="s">
        <v>31362</v>
      </c>
      <c r="G1422" t="s">
        <v>31369</v>
      </c>
      <c r="H1422" t="s">
        <v>15799</v>
      </c>
      <c r="I1422" t="s">
        <v>4283</v>
      </c>
      <c r="J1422" t="s">
        <v>32564</v>
      </c>
      <c r="K1422" t="s">
        <v>40670</v>
      </c>
      <c r="M1422" t="s">
        <v>41517</v>
      </c>
      <c r="N1422" t="s">
        <v>44905</v>
      </c>
      <c r="O1422" t="s">
        <v>44906</v>
      </c>
      <c r="P1422">
        <v>0</v>
      </c>
      <c r="Q1422">
        <v>0</v>
      </c>
      <c r="R1422" t="s">
        <v>44907</v>
      </c>
      <c r="S1422" t="s">
        <v>45026</v>
      </c>
      <c r="T1422" t="s">
        <v>46553</v>
      </c>
      <c r="U1422" t="s">
        <v>48119</v>
      </c>
      <c r="W1422" t="s">
        <v>41517</v>
      </c>
      <c r="X1422" t="s">
        <v>44908</v>
      </c>
    </row>
    <row r="1423" spans="1:24">
      <c r="A1423">
        <f>HYPERLINK("https://www.philgeps.gov.ph/GEPSNONPILOT/Tender/SplashBidNoticeAbstractUI.aspx?menuIndex=3&amp;refID=7083297&amp;Result=3","7083297")</f>
        <v>0</v>
      </c>
      <c r="B1423" t="s">
        <v>377</v>
      </c>
      <c r="C1423" t="s">
        <v>4891</v>
      </c>
      <c r="D1423" t="s">
        <v>18108</v>
      </c>
      <c r="E1423" t="s">
        <v>19523</v>
      </c>
      <c r="F1423" t="s">
        <v>31362</v>
      </c>
      <c r="G1423" t="s">
        <v>31368</v>
      </c>
      <c r="H1423" t="s">
        <v>15799</v>
      </c>
      <c r="I1423" t="s">
        <v>31380</v>
      </c>
      <c r="J1423" t="s">
        <v>32565</v>
      </c>
      <c r="K1423" t="s">
        <v>40666</v>
      </c>
      <c r="M1423" t="s">
        <v>41324</v>
      </c>
      <c r="N1423" t="s">
        <v>44905</v>
      </c>
      <c r="O1423" t="s">
        <v>44906</v>
      </c>
      <c r="P1423">
        <v>0</v>
      </c>
      <c r="Q1423">
        <v>4</v>
      </c>
      <c r="R1423" t="s">
        <v>44907</v>
      </c>
      <c r="S1423" t="s">
        <v>45026</v>
      </c>
      <c r="T1423" t="s">
        <v>46478</v>
      </c>
      <c r="U1423" t="s">
        <v>47569</v>
      </c>
      <c r="W1423" t="s">
        <v>41324</v>
      </c>
      <c r="X1423" t="s">
        <v>44908</v>
      </c>
    </row>
    <row r="1424" spans="1:24">
      <c r="A1424">
        <f>HYPERLINK("https://www.philgeps.gov.ph/GEPSNONPILOT/Tender/SplashBidNoticeAbstractUI.aspx?menuIndex=3&amp;refID=7083320&amp;Result=3","7083320")</f>
        <v>0</v>
      </c>
      <c r="B1424" t="s">
        <v>625</v>
      </c>
      <c r="C1424" t="s">
        <v>4892</v>
      </c>
      <c r="D1424" t="s">
        <v>18138</v>
      </c>
      <c r="E1424" t="s">
        <v>19039</v>
      </c>
      <c r="F1424" t="s">
        <v>31362</v>
      </c>
      <c r="G1424" t="s">
        <v>31369</v>
      </c>
      <c r="H1424" t="s">
        <v>15799</v>
      </c>
      <c r="I1424" t="s">
        <v>7090</v>
      </c>
      <c r="J1424" t="s">
        <v>31536</v>
      </c>
      <c r="K1424" t="s">
        <v>40661</v>
      </c>
      <c r="M1424" t="s">
        <v>41584</v>
      </c>
      <c r="N1424" t="s">
        <v>44905</v>
      </c>
      <c r="O1424" t="s">
        <v>44906</v>
      </c>
      <c r="P1424">
        <v>0</v>
      </c>
      <c r="Q1424">
        <v>1</v>
      </c>
      <c r="R1424" t="s">
        <v>44907</v>
      </c>
      <c r="S1424" t="s">
        <v>45026</v>
      </c>
      <c r="T1424" t="s">
        <v>46560</v>
      </c>
      <c r="U1424" t="s">
        <v>48120</v>
      </c>
      <c r="W1424" t="s">
        <v>41584</v>
      </c>
      <c r="X1424" t="s">
        <v>44908</v>
      </c>
    </row>
    <row r="1425" spans="1:24">
      <c r="A1425">
        <f>HYPERLINK("https://www.philgeps.gov.ph/GEPSNONPILOT/Tender/SplashBidNoticeAbstractUI.aspx?menuIndex=3&amp;refID=7083223&amp;Result=3","7083223")</f>
        <v>0</v>
      </c>
      <c r="B1425" t="s">
        <v>626</v>
      </c>
      <c r="C1425" t="s">
        <v>4893</v>
      </c>
      <c r="D1425" t="s">
        <v>18158</v>
      </c>
      <c r="E1425" t="s">
        <v>18440</v>
      </c>
      <c r="F1425" t="s">
        <v>31362</v>
      </c>
      <c r="G1425" t="s">
        <v>31368</v>
      </c>
      <c r="H1425" t="s">
        <v>15799</v>
      </c>
      <c r="I1425" t="s">
        <v>6240</v>
      </c>
      <c r="J1425" t="s">
        <v>32566</v>
      </c>
      <c r="K1425" t="s">
        <v>40666</v>
      </c>
      <c r="M1425" t="s">
        <v>41585</v>
      </c>
      <c r="N1425" t="s">
        <v>44905</v>
      </c>
      <c r="O1425" t="s">
        <v>44906</v>
      </c>
      <c r="P1425">
        <v>0</v>
      </c>
      <c r="Q1425">
        <v>0</v>
      </c>
      <c r="R1425" t="s">
        <v>44907</v>
      </c>
      <c r="S1425" t="s">
        <v>45026</v>
      </c>
      <c r="T1425" t="s">
        <v>46409</v>
      </c>
      <c r="U1425" t="s">
        <v>48121</v>
      </c>
      <c r="W1425" t="s">
        <v>41585</v>
      </c>
      <c r="X1425" t="s">
        <v>44908</v>
      </c>
    </row>
    <row r="1426" spans="1:24">
      <c r="A1426">
        <f>HYPERLINK("https://www.philgeps.gov.ph/GEPSNONPILOT/Tender/SplashBidNoticeAbstractUI.aspx?menuIndex=3&amp;refID=7083341&amp;Result=3","7083341")</f>
        <v>0</v>
      </c>
      <c r="B1426" t="s">
        <v>627</v>
      </c>
      <c r="C1426" t="s">
        <v>4894</v>
      </c>
      <c r="D1426" t="s">
        <v>18105</v>
      </c>
      <c r="E1426" t="s">
        <v>19524</v>
      </c>
      <c r="F1426" t="s">
        <v>31362</v>
      </c>
      <c r="G1426" t="s">
        <v>31368</v>
      </c>
      <c r="H1426" t="s">
        <v>15799</v>
      </c>
      <c r="I1426" t="s">
        <v>31456</v>
      </c>
      <c r="J1426" t="s">
        <v>32567</v>
      </c>
      <c r="K1426" t="s">
        <v>40723</v>
      </c>
      <c r="M1426" t="s">
        <v>41586</v>
      </c>
      <c r="N1426" t="s">
        <v>44905</v>
      </c>
      <c r="O1426" t="s">
        <v>44906</v>
      </c>
      <c r="P1426">
        <v>0</v>
      </c>
      <c r="Q1426">
        <v>4</v>
      </c>
      <c r="R1426" t="s">
        <v>44907</v>
      </c>
      <c r="S1426" t="s">
        <v>45026</v>
      </c>
      <c r="T1426" t="s">
        <v>46393</v>
      </c>
      <c r="U1426" t="s">
        <v>48122</v>
      </c>
      <c r="W1426" t="s">
        <v>41586</v>
      </c>
      <c r="X1426" t="s">
        <v>44908</v>
      </c>
    </row>
    <row r="1427" spans="1:24">
      <c r="A1427">
        <f>HYPERLINK("https://www.philgeps.gov.ph/GEPSNONPILOT/Tender/SplashBidNoticeAbstractUI.aspx?menuIndex=3&amp;refID=7083301&amp;Result=3","7083301")</f>
        <v>0</v>
      </c>
      <c r="B1427" t="s">
        <v>610</v>
      </c>
      <c r="C1427" t="s">
        <v>4895</v>
      </c>
      <c r="E1427" t="s">
        <v>19525</v>
      </c>
      <c r="F1427" t="s">
        <v>31362</v>
      </c>
      <c r="G1427" t="s">
        <v>31368</v>
      </c>
      <c r="H1427" t="s">
        <v>15799</v>
      </c>
      <c r="I1427" t="s">
        <v>31469</v>
      </c>
      <c r="J1427" t="s">
        <v>32082</v>
      </c>
      <c r="K1427" t="s">
        <v>40662</v>
      </c>
      <c r="M1427" t="s">
        <v>41568</v>
      </c>
      <c r="N1427" t="s">
        <v>44905</v>
      </c>
      <c r="O1427" t="s">
        <v>44906</v>
      </c>
      <c r="P1427">
        <v>0</v>
      </c>
      <c r="Q1427">
        <v>1</v>
      </c>
      <c r="R1427" t="s">
        <v>44907</v>
      </c>
      <c r="S1427" t="s">
        <v>45026</v>
      </c>
      <c r="T1427" t="s">
        <v>46438</v>
      </c>
      <c r="U1427" t="s">
        <v>48123</v>
      </c>
      <c r="W1427" t="s">
        <v>41568</v>
      </c>
      <c r="X1427" t="s">
        <v>44908</v>
      </c>
    </row>
    <row r="1428" spans="1:24">
      <c r="A1428">
        <f>HYPERLINK("https://www.philgeps.gov.ph/GEPSNONPILOT/Tender/SplashBidNoticeAbstractUI.aspx?menuIndex=3&amp;refID=7083261&amp;Result=3","7083261")</f>
        <v>0</v>
      </c>
      <c r="B1428" t="s">
        <v>608</v>
      </c>
      <c r="C1428" t="s">
        <v>4896</v>
      </c>
      <c r="D1428" t="s">
        <v>18122</v>
      </c>
      <c r="E1428" t="s">
        <v>19526</v>
      </c>
      <c r="F1428" t="s">
        <v>31362</v>
      </c>
      <c r="G1428" t="s">
        <v>31368</v>
      </c>
      <c r="H1428" t="s">
        <v>15799</v>
      </c>
      <c r="I1428" t="s">
        <v>13635</v>
      </c>
      <c r="J1428" t="s">
        <v>32568</v>
      </c>
      <c r="K1428" t="s">
        <v>40682</v>
      </c>
      <c r="M1428" t="s">
        <v>41566</v>
      </c>
      <c r="N1428" t="s">
        <v>44905</v>
      </c>
      <c r="O1428" t="s">
        <v>44906</v>
      </c>
      <c r="P1428">
        <v>0</v>
      </c>
      <c r="Q1428">
        <v>0</v>
      </c>
      <c r="R1428" t="s">
        <v>44907</v>
      </c>
      <c r="S1428" t="s">
        <v>45026</v>
      </c>
      <c r="T1428" t="s">
        <v>46432</v>
      </c>
      <c r="U1428" t="s">
        <v>48124</v>
      </c>
      <c r="V1428" t="s">
        <v>59214</v>
      </c>
      <c r="W1428" t="s">
        <v>41566</v>
      </c>
      <c r="X1428" t="s">
        <v>44908</v>
      </c>
    </row>
    <row r="1429" spans="1:24">
      <c r="A1429">
        <f>HYPERLINK("https://www.philgeps.gov.ph/GEPSNONPILOT/Tender/SplashBidNoticeAbstractUI.aspx?menuIndex=3&amp;refID=7083300&amp;Result=3","7083300")</f>
        <v>0</v>
      </c>
      <c r="B1429" t="s">
        <v>60</v>
      </c>
      <c r="C1429" t="s">
        <v>4897</v>
      </c>
      <c r="D1429" t="s">
        <v>18123</v>
      </c>
      <c r="E1429" t="s">
        <v>19527</v>
      </c>
      <c r="F1429" t="s">
        <v>31362</v>
      </c>
      <c r="G1429" t="s">
        <v>31370</v>
      </c>
      <c r="H1429" t="s">
        <v>15799</v>
      </c>
      <c r="I1429" t="s">
        <v>31430</v>
      </c>
      <c r="J1429" t="s">
        <v>32569</v>
      </c>
      <c r="K1429" t="s">
        <v>40672</v>
      </c>
      <c r="M1429" t="s">
        <v>40995</v>
      </c>
      <c r="N1429" t="s">
        <v>44905</v>
      </c>
      <c r="O1429" t="s">
        <v>44906</v>
      </c>
      <c r="P1429">
        <v>0</v>
      </c>
      <c r="Q1429">
        <v>0</v>
      </c>
      <c r="R1429" t="s">
        <v>44907</v>
      </c>
      <c r="S1429" t="s">
        <v>45026</v>
      </c>
      <c r="T1429" t="s">
        <v>46410</v>
      </c>
      <c r="U1429" t="s">
        <v>48125</v>
      </c>
      <c r="W1429" t="s">
        <v>40995</v>
      </c>
      <c r="X1429" t="s">
        <v>44908</v>
      </c>
    </row>
    <row r="1430" spans="1:24">
      <c r="A1430">
        <f>HYPERLINK("https://www.philgeps.gov.ph/GEPSNONPILOT/Tender/SplashBidNoticeAbstractUI.aspx?menuIndex=3&amp;refID=7083338&amp;Result=3","7083338")</f>
        <v>0</v>
      </c>
      <c r="B1430" t="s">
        <v>74</v>
      </c>
      <c r="C1430" t="s">
        <v>4898</v>
      </c>
      <c r="D1430" t="s">
        <v>18108</v>
      </c>
      <c r="E1430" t="s">
        <v>19528</v>
      </c>
      <c r="F1430" t="s">
        <v>31362</v>
      </c>
      <c r="G1430" t="s">
        <v>31371</v>
      </c>
      <c r="H1430" t="s">
        <v>15799</v>
      </c>
      <c r="I1430" t="s">
        <v>31431</v>
      </c>
      <c r="J1430" t="s">
        <v>32570</v>
      </c>
      <c r="K1430" t="s">
        <v>40666</v>
      </c>
      <c r="M1430" t="s">
        <v>41587</v>
      </c>
      <c r="N1430" t="s">
        <v>44905</v>
      </c>
      <c r="O1430" t="s">
        <v>44906</v>
      </c>
      <c r="P1430">
        <v>0</v>
      </c>
      <c r="Q1430">
        <v>3</v>
      </c>
      <c r="R1430" t="s">
        <v>44907</v>
      </c>
      <c r="S1430" t="s">
        <v>45026</v>
      </c>
      <c r="T1430" t="s">
        <v>46417</v>
      </c>
      <c r="U1430" t="s">
        <v>48126</v>
      </c>
      <c r="W1430" t="s">
        <v>41587</v>
      </c>
      <c r="X1430" t="s">
        <v>44908</v>
      </c>
    </row>
    <row r="1431" spans="1:24">
      <c r="A1431">
        <f>HYPERLINK("https://www.philgeps.gov.ph/GEPSNONPILOT/Tender/SplashBidNoticeAbstractUI.aspx?menuIndex=3&amp;refID=7083336&amp;Result=3","7083336")</f>
        <v>0</v>
      </c>
      <c r="B1431" t="s">
        <v>628</v>
      </c>
      <c r="C1431" t="s">
        <v>4899</v>
      </c>
      <c r="D1431" t="s">
        <v>18116</v>
      </c>
      <c r="E1431" t="s">
        <v>19529</v>
      </c>
      <c r="F1431" t="s">
        <v>31362</v>
      </c>
      <c r="G1431" t="s">
        <v>31368</v>
      </c>
      <c r="H1431" t="s">
        <v>15799</v>
      </c>
      <c r="I1431" t="s">
        <v>31444</v>
      </c>
      <c r="J1431" t="s">
        <v>32571</v>
      </c>
      <c r="K1431" t="s">
        <v>40662</v>
      </c>
      <c r="M1431" t="s">
        <v>41588</v>
      </c>
      <c r="N1431" t="s">
        <v>44905</v>
      </c>
      <c r="O1431" t="s">
        <v>44906</v>
      </c>
      <c r="P1431">
        <v>0</v>
      </c>
      <c r="Q1431">
        <v>3</v>
      </c>
      <c r="R1431" t="s">
        <v>44907</v>
      </c>
      <c r="S1431" t="s">
        <v>45026</v>
      </c>
      <c r="T1431" t="s">
        <v>46443</v>
      </c>
      <c r="U1431" t="s">
        <v>48127</v>
      </c>
      <c r="W1431" t="s">
        <v>41588</v>
      </c>
      <c r="X1431" t="s">
        <v>44908</v>
      </c>
    </row>
    <row r="1432" spans="1:24">
      <c r="A1432">
        <f>HYPERLINK("https://www.philgeps.gov.ph/GEPSNONPILOT/Tender/SplashBidNoticeAbstractUI.aspx?menuIndex=3&amp;refID=7083335&amp;Result=3","7083335")</f>
        <v>0</v>
      </c>
      <c r="B1432" t="s">
        <v>617</v>
      </c>
      <c r="C1432" t="s">
        <v>4900</v>
      </c>
      <c r="D1432" t="s">
        <v>18108</v>
      </c>
      <c r="E1432" t="s">
        <v>19530</v>
      </c>
      <c r="F1432" t="s">
        <v>31362</v>
      </c>
      <c r="G1432" t="s">
        <v>31370</v>
      </c>
      <c r="H1432" t="s">
        <v>15799</v>
      </c>
      <c r="I1432" t="s">
        <v>31385</v>
      </c>
      <c r="J1432" t="s">
        <v>31546</v>
      </c>
      <c r="K1432" t="s">
        <v>40661</v>
      </c>
      <c r="M1432" t="s">
        <v>41575</v>
      </c>
      <c r="N1432" t="s">
        <v>44905</v>
      </c>
      <c r="O1432" t="s">
        <v>44906</v>
      </c>
      <c r="P1432">
        <v>0</v>
      </c>
      <c r="Q1432">
        <v>1</v>
      </c>
      <c r="R1432" t="s">
        <v>44907</v>
      </c>
      <c r="S1432" t="s">
        <v>45026</v>
      </c>
      <c r="T1432" t="s">
        <v>46409</v>
      </c>
      <c r="U1432" t="s">
        <v>48102</v>
      </c>
      <c r="W1432" t="s">
        <v>41575</v>
      </c>
      <c r="X1432" t="s">
        <v>44908</v>
      </c>
    </row>
    <row r="1433" spans="1:24">
      <c r="A1433">
        <f>HYPERLINK("https://www.philgeps.gov.ph/GEPSNONPILOT/Tender/SplashBidNoticeAbstractUI.aspx?menuIndex=3&amp;refID=7083340&amp;Result=3","7083340")</f>
        <v>0</v>
      </c>
      <c r="B1433" t="s">
        <v>629</v>
      </c>
      <c r="C1433" t="s">
        <v>4901</v>
      </c>
      <c r="D1433" t="s">
        <v>18160</v>
      </c>
      <c r="E1433" t="s">
        <v>19531</v>
      </c>
      <c r="F1433" t="s">
        <v>31362</v>
      </c>
      <c r="G1433" t="s">
        <v>31368</v>
      </c>
      <c r="H1433" t="s">
        <v>15799</v>
      </c>
      <c r="I1433" t="s">
        <v>31389</v>
      </c>
      <c r="J1433" t="s">
        <v>32572</v>
      </c>
      <c r="K1433" t="s">
        <v>40677</v>
      </c>
      <c r="M1433" t="s">
        <v>41589</v>
      </c>
      <c r="N1433" t="s">
        <v>44905</v>
      </c>
      <c r="O1433" t="s">
        <v>44906</v>
      </c>
      <c r="P1433">
        <v>0</v>
      </c>
      <c r="Q1433">
        <v>3</v>
      </c>
      <c r="R1433" t="s">
        <v>44907</v>
      </c>
      <c r="S1433" t="s">
        <v>45026</v>
      </c>
      <c r="T1433" t="s">
        <v>46409</v>
      </c>
      <c r="U1433" t="s">
        <v>48128</v>
      </c>
      <c r="W1433" t="s">
        <v>41589</v>
      </c>
      <c r="X1433" t="s">
        <v>44908</v>
      </c>
    </row>
    <row r="1434" spans="1:24">
      <c r="A1434">
        <f>HYPERLINK("https://www.philgeps.gov.ph/GEPSNONPILOT/Tender/SplashBidNoticeAbstractUI.aspx?menuIndex=3&amp;refID=7083334&amp;Result=3","7083334")</f>
        <v>0</v>
      </c>
      <c r="B1434" t="s">
        <v>630</v>
      </c>
      <c r="C1434" t="s">
        <v>4902</v>
      </c>
      <c r="D1434" t="s">
        <v>18181</v>
      </c>
      <c r="E1434" t="s">
        <v>19532</v>
      </c>
      <c r="F1434" t="s">
        <v>31362</v>
      </c>
      <c r="G1434" t="s">
        <v>31369</v>
      </c>
      <c r="H1434" t="s">
        <v>31378</v>
      </c>
      <c r="I1434" t="s">
        <v>31386</v>
      </c>
      <c r="J1434" t="s">
        <v>32573</v>
      </c>
      <c r="K1434" t="s">
        <v>40686</v>
      </c>
      <c r="M1434" t="s">
        <v>41590</v>
      </c>
      <c r="N1434" t="s">
        <v>44905</v>
      </c>
      <c r="O1434" t="s">
        <v>44906</v>
      </c>
      <c r="P1434">
        <v>0</v>
      </c>
      <c r="Q1434">
        <v>0</v>
      </c>
      <c r="R1434" t="s">
        <v>44907</v>
      </c>
      <c r="S1434" t="s">
        <v>45026</v>
      </c>
      <c r="T1434" t="s">
        <v>46564</v>
      </c>
      <c r="U1434" t="s">
        <v>48129</v>
      </c>
      <c r="W1434" t="s">
        <v>41590</v>
      </c>
      <c r="X1434" t="s">
        <v>44908</v>
      </c>
    </row>
    <row r="1435" spans="1:24">
      <c r="A1435">
        <f>HYPERLINK("https://www.philgeps.gov.ph/GEPSNONPILOT/Tender/SplashBidNoticeAbstractUI.aspx?menuIndex=3&amp;refID=7083333&amp;Result=3","7083333")</f>
        <v>0</v>
      </c>
      <c r="B1435" t="s">
        <v>631</v>
      </c>
      <c r="C1435" t="s">
        <v>4903</v>
      </c>
      <c r="D1435" t="s">
        <v>18148</v>
      </c>
      <c r="E1435" t="s">
        <v>4903</v>
      </c>
      <c r="F1435" t="s">
        <v>31362</v>
      </c>
      <c r="G1435" t="s">
        <v>31368</v>
      </c>
      <c r="H1435" t="s">
        <v>15799</v>
      </c>
      <c r="I1435" t="s">
        <v>3815</v>
      </c>
      <c r="J1435" t="s">
        <v>32574</v>
      </c>
      <c r="K1435" t="s">
        <v>40661</v>
      </c>
      <c r="M1435" t="s">
        <v>41591</v>
      </c>
      <c r="N1435" t="s">
        <v>44905</v>
      </c>
      <c r="O1435" t="s">
        <v>44906</v>
      </c>
      <c r="P1435">
        <v>0</v>
      </c>
      <c r="Q1435">
        <v>3</v>
      </c>
      <c r="R1435" t="s">
        <v>44907</v>
      </c>
      <c r="S1435" t="s">
        <v>45026</v>
      </c>
      <c r="T1435" t="s">
        <v>46470</v>
      </c>
      <c r="U1435" t="s">
        <v>48130</v>
      </c>
      <c r="W1435" t="s">
        <v>41591</v>
      </c>
      <c r="X1435" t="s">
        <v>44908</v>
      </c>
    </row>
    <row r="1436" spans="1:24">
      <c r="A1436">
        <f>HYPERLINK("https://www.philgeps.gov.ph/GEPSNONPILOT/Tender/SplashBidNoticeAbstractUI.aspx?menuIndex=3&amp;refID=7083330&amp;Result=3","7083330")</f>
        <v>0</v>
      </c>
      <c r="B1436" t="s">
        <v>632</v>
      </c>
      <c r="C1436" t="s">
        <v>4904</v>
      </c>
      <c r="D1436" t="s">
        <v>18100</v>
      </c>
      <c r="E1436" t="s">
        <v>19533</v>
      </c>
      <c r="F1436" t="s">
        <v>31362</v>
      </c>
      <c r="G1436" t="s">
        <v>31368</v>
      </c>
      <c r="H1436" t="s">
        <v>15799</v>
      </c>
      <c r="I1436" t="s">
        <v>31387</v>
      </c>
      <c r="J1436" t="s">
        <v>32575</v>
      </c>
      <c r="K1436" t="s">
        <v>40693</v>
      </c>
      <c r="M1436" t="s">
        <v>41592</v>
      </c>
      <c r="N1436" t="s">
        <v>44905</v>
      </c>
      <c r="O1436" t="s">
        <v>44906</v>
      </c>
      <c r="P1436">
        <v>0</v>
      </c>
      <c r="Q1436">
        <v>0</v>
      </c>
      <c r="R1436" t="s">
        <v>44907</v>
      </c>
      <c r="S1436" t="s">
        <v>45026</v>
      </c>
      <c r="T1436" t="s">
        <v>46414</v>
      </c>
      <c r="U1436" t="s">
        <v>48131</v>
      </c>
      <c r="W1436" t="s">
        <v>41592</v>
      </c>
      <c r="X1436" t="s">
        <v>44908</v>
      </c>
    </row>
    <row r="1437" spans="1:24">
      <c r="A1437">
        <f>HYPERLINK("https://www.philgeps.gov.ph/GEPSNONPILOT/Tender/SplashBidNoticeAbstractUI.aspx?menuIndex=3&amp;refID=7083329&amp;Result=3","7083329")</f>
        <v>0</v>
      </c>
      <c r="B1437" t="s">
        <v>412</v>
      </c>
      <c r="C1437" t="s">
        <v>4905</v>
      </c>
      <c r="D1437" t="s">
        <v>18127</v>
      </c>
      <c r="E1437" t="s">
        <v>19534</v>
      </c>
      <c r="F1437" t="s">
        <v>31362</v>
      </c>
      <c r="G1437" t="s">
        <v>31369</v>
      </c>
      <c r="H1437" t="s">
        <v>31378</v>
      </c>
      <c r="I1437" t="s">
        <v>31386</v>
      </c>
      <c r="J1437" t="s">
        <v>32576</v>
      </c>
      <c r="K1437" t="s">
        <v>40682</v>
      </c>
      <c r="M1437" t="s">
        <v>41362</v>
      </c>
      <c r="N1437" t="s">
        <v>44905</v>
      </c>
      <c r="O1437" t="s">
        <v>44906</v>
      </c>
      <c r="P1437">
        <v>0</v>
      </c>
      <c r="Q1437">
        <v>0</v>
      </c>
      <c r="R1437" t="s">
        <v>44907</v>
      </c>
      <c r="S1437" t="s">
        <v>45026</v>
      </c>
      <c r="T1437" t="s">
        <v>46529</v>
      </c>
      <c r="U1437" t="s">
        <v>48132</v>
      </c>
      <c r="V1437" t="s">
        <v>59217</v>
      </c>
      <c r="W1437" t="s">
        <v>41362</v>
      </c>
      <c r="X1437" t="s">
        <v>44908</v>
      </c>
    </row>
    <row r="1438" spans="1:24">
      <c r="A1438">
        <f>HYPERLINK("https://www.philgeps.gov.ph/GEPSNONPILOT/Tender/SplashBidNoticeAbstractUI.aspx?menuIndex=3&amp;refID=7083328&amp;Result=3","7083328")</f>
        <v>0</v>
      </c>
      <c r="B1438" t="s">
        <v>633</v>
      </c>
      <c r="C1438" t="s">
        <v>4906</v>
      </c>
      <c r="D1438" t="s">
        <v>18144</v>
      </c>
      <c r="E1438" t="s">
        <v>19535</v>
      </c>
      <c r="F1438" t="s">
        <v>31362</v>
      </c>
      <c r="G1438" t="s">
        <v>31368</v>
      </c>
      <c r="H1438" t="s">
        <v>15799</v>
      </c>
      <c r="I1438" t="s">
        <v>31430</v>
      </c>
      <c r="J1438" t="s">
        <v>31722</v>
      </c>
      <c r="K1438" t="s">
        <v>40677</v>
      </c>
      <c r="M1438" t="s">
        <v>41593</v>
      </c>
      <c r="N1438" t="s">
        <v>44905</v>
      </c>
      <c r="O1438" t="s">
        <v>44906</v>
      </c>
      <c r="P1438">
        <v>0</v>
      </c>
      <c r="Q1438">
        <v>0</v>
      </c>
      <c r="R1438" t="s">
        <v>44907</v>
      </c>
      <c r="S1438" t="s">
        <v>45026</v>
      </c>
      <c r="T1438" t="s">
        <v>46435</v>
      </c>
      <c r="U1438" t="s">
        <v>48133</v>
      </c>
      <c r="W1438" t="s">
        <v>41593</v>
      </c>
      <c r="X1438" t="s">
        <v>44908</v>
      </c>
    </row>
    <row r="1439" spans="1:24">
      <c r="A1439">
        <f>HYPERLINK("https://www.philgeps.gov.ph/GEPSNONPILOT/Tender/SplashBidNoticeAbstractUI.aspx?menuIndex=3&amp;refID=7083326&amp;Result=3","7083326")</f>
        <v>0</v>
      </c>
      <c r="B1439" t="s">
        <v>440</v>
      </c>
      <c r="C1439" t="s">
        <v>4907</v>
      </c>
      <c r="D1439" t="s">
        <v>18154</v>
      </c>
      <c r="E1439" t="s">
        <v>19536</v>
      </c>
      <c r="F1439" t="s">
        <v>31362</v>
      </c>
      <c r="G1439" t="s">
        <v>31368</v>
      </c>
      <c r="H1439" t="s">
        <v>15799</v>
      </c>
      <c r="I1439" t="s">
        <v>3815</v>
      </c>
      <c r="J1439" t="s">
        <v>32577</v>
      </c>
      <c r="K1439" t="s">
        <v>40662</v>
      </c>
      <c r="M1439" t="s">
        <v>41392</v>
      </c>
      <c r="N1439" t="s">
        <v>44905</v>
      </c>
      <c r="O1439" t="s">
        <v>44906</v>
      </c>
      <c r="P1439">
        <v>0</v>
      </c>
      <c r="Q1439">
        <v>0</v>
      </c>
      <c r="R1439" t="s">
        <v>44907</v>
      </c>
      <c r="S1439" t="s">
        <v>45026</v>
      </c>
      <c r="T1439" t="s">
        <v>46447</v>
      </c>
      <c r="U1439" t="s">
        <v>48134</v>
      </c>
      <c r="W1439" t="s">
        <v>41392</v>
      </c>
      <c r="X1439" t="s">
        <v>44908</v>
      </c>
    </row>
    <row r="1440" spans="1:24">
      <c r="A1440">
        <f>HYPERLINK("https://www.philgeps.gov.ph/GEPSNONPILOT/Tender/SplashBidNoticeAbstractUI.aspx?menuIndex=3&amp;refID=7083337&amp;Result=3","7083337")</f>
        <v>0</v>
      </c>
      <c r="B1440" t="s">
        <v>440</v>
      </c>
      <c r="C1440" t="s">
        <v>4908</v>
      </c>
      <c r="D1440" t="s">
        <v>18154</v>
      </c>
      <c r="E1440" t="s">
        <v>19537</v>
      </c>
      <c r="F1440" t="s">
        <v>31362</v>
      </c>
      <c r="G1440" t="s">
        <v>31368</v>
      </c>
      <c r="H1440" t="s">
        <v>15799</v>
      </c>
      <c r="I1440" t="s">
        <v>3815</v>
      </c>
      <c r="J1440" t="s">
        <v>32578</v>
      </c>
      <c r="K1440" t="s">
        <v>40662</v>
      </c>
      <c r="M1440" t="s">
        <v>41392</v>
      </c>
      <c r="N1440" t="s">
        <v>44905</v>
      </c>
      <c r="O1440" t="s">
        <v>44906</v>
      </c>
      <c r="P1440">
        <v>0</v>
      </c>
      <c r="Q1440">
        <v>0</v>
      </c>
      <c r="R1440" t="s">
        <v>44907</v>
      </c>
      <c r="S1440" t="s">
        <v>45026</v>
      </c>
      <c r="T1440" t="s">
        <v>46447</v>
      </c>
      <c r="U1440" t="s">
        <v>48135</v>
      </c>
      <c r="W1440" t="s">
        <v>41392</v>
      </c>
      <c r="X1440" t="s">
        <v>44908</v>
      </c>
    </row>
    <row r="1441" spans="1:24">
      <c r="A1441">
        <f>HYPERLINK("https://www.philgeps.gov.ph/GEPSNONPILOT/Tender/SplashBidNoticeAbstractUI.aspx?menuIndex=3&amp;refID=7083324&amp;Result=3","7083324")</f>
        <v>0</v>
      </c>
      <c r="B1441" t="s">
        <v>634</v>
      </c>
      <c r="C1441" t="s">
        <v>4909</v>
      </c>
      <c r="D1441" t="s">
        <v>18134</v>
      </c>
      <c r="E1441" t="s">
        <v>19538</v>
      </c>
      <c r="F1441" t="s">
        <v>31362</v>
      </c>
      <c r="G1441" t="s">
        <v>31369</v>
      </c>
      <c r="H1441" t="s">
        <v>15799</v>
      </c>
      <c r="I1441" t="s">
        <v>3815</v>
      </c>
      <c r="J1441" t="s">
        <v>32579</v>
      </c>
      <c r="K1441" t="s">
        <v>40666</v>
      </c>
      <c r="M1441" t="s">
        <v>41594</v>
      </c>
      <c r="N1441" t="s">
        <v>44905</v>
      </c>
      <c r="O1441" t="s">
        <v>44906</v>
      </c>
      <c r="P1441">
        <v>0</v>
      </c>
      <c r="Q1441">
        <v>0</v>
      </c>
      <c r="R1441" t="s">
        <v>44907</v>
      </c>
      <c r="S1441" t="s">
        <v>45026</v>
      </c>
      <c r="T1441" t="s">
        <v>46397</v>
      </c>
      <c r="U1441" t="s">
        <v>48136</v>
      </c>
      <c r="W1441" t="s">
        <v>41594</v>
      </c>
      <c r="X1441" t="s">
        <v>44908</v>
      </c>
    </row>
    <row r="1442" spans="1:24">
      <c r="A1442">
        <f>HYPERLINK("https://www.philgeps.gov.ph/GEPSNONPILOT/Tender/SplashBidNoticeAbstractUI.aspx?menuIndex=3&amp;refID=7083322&amp;Result=3","7083322")</f>
        <v>0</v>
      </c>
      <c r="B1442" t="s">
        <v>635</v>
      </c>
      <c r="C1442" t="s">
        <v>4910</v>
      </c>
      <c r="D1442" t="s">
        <v>18108</v>
      </c>
      <c r="E1442" t="s">
        <v>19539</v>
      </c>
      <c r="F1442" t="s">
        <v>31362</v>
      </c>
      <c r="G1442" t="s">
        <v>31368</v>
      </c>
      <c r="H1442" t="s">
        <v>15799</v>
      </c>
      <c r="I1442" t="s">
        <v>6240</v>
      </c>
      <c r="J1442" t="s">
        <v>32580</v>
      </c>
      <c r="K1442" t="s">
        <v>40661</v>
      </c>
      <c r="M1442" t="s">
        <v>41595</v>
      </c>
      <c r="N1442" t="s">
        <v>44905</v>
      </c>
      <c r="O1442" t="s">
        <v>44906</v>
      </c>
      <c r="P1442">
        <v>0</v>
      </c>
      <c r="Q1442">
        <v>1</v>
      </c>
      <c r="R1442" t="s">
        <v>44907</v>
      </c>
      <c r="S1442" t="s">
        <v>45026</v>
      </c>
      <c r="T1442" t="s">
        <v>46438</v>
      </c>
      <c r="U1442" t="s">
        <v>48137</v>
      </c>
      <c r="W1442" t="s">
        <v>41595</v>
      </c>
      <c r="X1442" t="s">
        <v>44908</v>
      </c>
    </row>
    <row r="1443" spans="1:24">
      <c r="A1443">
        <f>HYPERLINK("https://www.philgeps.gov.ph/GEPSNONPILOT/Tender/SplashBidNoticeAbstractUI.aspx?menuIndex=3&amp;refID=7083316&amp;Result=3","7083316")</f>
        <v>0</v>
      </c>
      <c r="B1443" t="s">
        <v>636</v>
      </c>
      <c r="C1443" t="s">
        <v>4911</v>
      </c>
      <c r="D1443" t="s">
        <v>18122</v>
      </c>
      <c r="E1443" t="s">
        <v>19540</v>
      </c>
      <c r="F1443" t="s">
        <v>31363</v>
      </c>
      <c r="G1443" t="s">
        <v>31368</v>
      </c>
      <c r="H1443" t="s">
        <v>15799</v>
      </c>
      <c r="I1443" t="s">
        <v>31415</v>
      </c>
      <c r="J1443" t="s">
        <v>32581</v>
      </c>
      <c r="K1443" t="s">
        <v>40670</v>
      </c>
      <c r="M1443" t="s">
        <v>41596</v>
      </c>
      <c r="N1443" t="s">
        <v>44905</v>
      </c>
      <c r="O1443" t="s">
        <v>44906</v>
      </c>
      <c r="P1443">
        <v>0</v>
      </c>
      <c r="Q1443">
        <v>0</v>
      </c>
      <c r="R1443" t="s">
        <v>44907</v>
      </c>
      <c r="S1443" t="s">
        <v>45026</v>
      </c>
      <c r="T1443" t="s">
        <v>46417</v>
      </c>
      <c r="U1443" t="s">
        <v>48138</v>
      </c>
      <c r="V1443" t="s">
        <v>59218</v>
      </c>
      <c r="W1443" t="s">
        <v>41596</v>
      </c>
      <c r="X1443" t="s">
        <v>44908</v>
      </c>
    </row>
    <row r="1444" spans="1:24">
      <c r="A1444">
        <f>HYPERLINK("https://www.philgeps.gov.ph/GEPSNONPILOT/Tender/SplashBidNoticeAbstractUI.aspx?menuIndex=3&amp;refID=7083339&amp;Result=3","7083339")</f>
        <v>0</v>
      </c>
      <c r="B1444" t="s">
        <v>637</v>
      </c>
      <c r="C1444" t="s">
        <v>4912</v>
      </c>
      <c r="D1444" t="s">
        <v>18102</v>
      </c>
      <c r="E1444" t="s">
        <v>19541</v>
      </c>
      <c r="F1444" t="s">
        <v>31362</v>
      </c>
      <c r="G1444" t="s">
        <v>31368</v>
      </c>
      <c r="H1444" t="s">
        <v>15799</v>
      </c>
      <c r="I1444" t="s">
        <v>31430</v>
      </c>
      <c r="J1444" t="s">
        <v>32582</v>
      </c>
      <c r="K1444" t="s">
        <v>40665</v>
      </c>
      <c r="M1444" t="s">
        <v>41597</v>
      </c>
      <c r="N1444" t="s">
        <v>44905</v>
      </c>
      <c r="O1444" t="s">
        <v>44906</v>
      </c>
      <c r="P1444">
        <v>0</v>
      </c>
      <c r="Q1444">
        <v>0</v>
      </c>
      <c r="R1444" t="s">
        <v>44907</v>
      </c>
      <c r="S1444" t="s">
        <v>45026</v>
      </c>
      <c r="T1444" t="s">
        <v>46493</v>
      </c>
      <c r="U1444" t="s">
        <v>48139</v>
      </c>
      <c r="W1444" t="s">
        <v>41597</v>
      </c>
      <c r="X1444" t="s">
        <v>44908</v>
      </c>
    </row>
    <row r="1445" spans="1:24">
      <c r="A1445">
        <f>HYPERLINK("https://www.philgeps.gov.ph/GEPSNONPILOT/Tender/SplashBidNoticeAbstractUI.aspx?menuIndex=3&amp;refID=7083332&amp;Result=3","7083332")</f>
        <v>0</v>
      </c>
      <c r="B1445" t="s">
        <v>638</v>
      </c>
      <c r="C1445" t="s">
        <v>4913</v>
      </c>
      <c r="D1445" t="s">
        <v>18177</v>
      </c>
      <c r="E1445" t="s">
        <v>19542</v>
      </c>
      <c r="F1445" t="s">
        <v>31362</v>
      </c>
      <c r="G1445" t="s">
        <v>31372</v>
      </c>
      <c r="H1445" t="s">
        <v>15799</v>
      </c>
      <c r="I1445" t="s">
        <v>31396</v>
      </c>
      <c r="J1445" t="s">
        <v>32583</v>
      </c>
      <c r="K1445" t="s">
        <v>40662</v>
      </c>
      <c r="M1445" t="s">
        <v>41598</v>
      </c>
      <c r="N1445" t="s">
        <v>44905</v>
      </c>
      <c r="O1445" t="s">
        <v>44906</v>
      </c>
      <c r="P1445">
        <v>0</v>
      </c>
      <c r="Q1445">
        <v>8</v>
      </c>
      <c r="R1445" t="s">
        <v>44907</v>
      </c>
      <c r="S1445" t="s">
        <v>45026</v>
      </c>
      <c r="T1445" t="s">
        <v>46392</v>
      </c>
      <c r="U1445" t="s">
        <v>48140</v>
      </c>
      <c r="W1445" t="s">
        <v>41598</v>
      </c>
      <c r="X1445" t="s">
        <v>44908</v>
      </c>
    </row>
    <row r="1446" spans="1:24">
      <c r="A1446">
        <f>HYPERLINK("https://www.philgeps.gov.ph/GEPSNONPILOT/Tender/SplashBidNoticeAbstractUI.aspx?menuIndex=3&amp;refID=7083342&amp;Result=3","7083342")</f>
        <v>0</v>
      </c>
      <c r="B1446" t="s">
        <v>639</v>
      </c>
      <c r="C1446" t="s">
        <v>4914</v>
      </c>
      <c r="D1446" t="s">
        <v>18112</v>
      </c>
      <c r="E1446" t="s">
        <v>19543</v>
      </c>
      <c r="F1446" t="s">
        <v>31362</v>
      </c>
      <c r="G1446" t="s">
        <v>31368</v>
      </c>
      <c r="H1446" t="s">
        <v>15799</v>
      </c>
      <c r="I1446" t="s">
        <v>3815</v>
      </c>
      <c r="J1446" t="s">
        <v>32584</v>
      </c>
      <c r="K1446" t="s">
        <v>40662</v>
      </c>
      <c r="M1446" t="s">
        <v>41599</v>
      </c>
      <c r="N1446" t="s">
        <v>44905</v>
      </c>
      <c r="O1446" t="s">
        <v>44906</v>
      </c>
      <c r="P1446">
        <v>0</v>
      </c>
      <c r="Q1446">
        <v>1</v>
      </c>
      <c r="R1446" t="s">
        <v>44907</v>
      </c>
      <c r="S1446" t="s">
        <v>45026</v>
      </c>
      <c r="T1446" t="s">
        <v>46454</v>
      </c>
      <c r="U1446" t="s">
        <v>48141</v>
      </c>
      <c r="W1446" t="s">
        <v>41599</v>
      </c>
      <c r="X1446" t="s">
        <v>44908</v>
      </c>
    </row>
    <row r="1447" spans="1:24">
      <c r="A1447">
        <f>HYPERLINK("https://www.philgeps.gov.ph/GEPSNONPILOT/Tender/SplashBidNoticeAbstractUI.aspx?menuIndex=3&amp;refID=7083225&amp;Result=3","7083225")</f>
        <v>0</v>
      </c>
      <c r="B1447" t="s">
        <v>590</v>
      </c>
      <c r="C1447" t="s">
        <v>4915</v>
      </c>
      <c r="D1447" t="s">
        <v>18162</v>
      </c>
      <c r="E1447" t="s">
        <v>19544</v>
      </c>
      <c r="F1447" t="s">
        <v>31362</v>
      </c>
      <c r="G1447" t="s">
        <v>31369</v>
      </c>
      <c r="H1447" t="s">
        <v>15799</v>
      </c>
      <c r="I1447" t="s">
        <v>4942</v>
      </c>
      <c r="J1447" t="s">
        <v>32585</v>
      </c>
      <c r="K1447" t="s">
        <v>40662</v>
      </c>
      <c r="M1447" t="s">
        <v>41547</v>
      </c>
      <c r="N1447" t="s">
        <v>44905</v>
      </c>
      <c r="O1447" t="s">
        <v>44906</v>
      </c>
      <c r="P1447">
        <v>0</v>
      </c>
      <c r="Q1447">
        <v>0</v>
      </c>
      <c r="R1447" t="s">
        <v>44907</v>
      </c>
      <c r="S1447" t="s">
        <v>45026</v>
      </c>
      <c r="T1447" t="s">
        <v>46560</v>
      </c>
      <c r="U1447" t="s">
        <v>48142</v>
      </c>
      <c r="W1447" t="s">
        <v>41547</v>
      </c>
      <c r="X1447" t="s">
        <v>44908</v>
      </c>
    </row>
    <row r="1448" spans="1:24">
      <c r="A1448">
        <f>HYPERLINK("https://www.philgeps.gov.ph/GEPSNONPILOT/Tender/SplashBidNoticeAbstractUI.aspx?menuIndex=3&amp;refID=7083361&amp;Result=3","7083361")</f>
        <v>0</v>
      </c>
      <c r="B1448" t="s">
        <v>595</v>
      </c>
      <c r="C1448" t="s">
        <v>4916</v>
      </c>
      <c r="D1448" t="s">
        <v>18152</v>
      </c>
      <c r="E1448" t="s">
        <v>19545</v>
      </c>
      <c r="F1448" t="s">
        <v>31362</v>
      </c>
      <c r="G1448" t="s">
        <v>31368</v>
      </c>
      <c r="H1448" t="s">
        <v>15799</v>
      </c>
      <c r="I1448" t="s">
        <v>31393</v>
      </c>
      <c r="J1448" t="s">
        <v>32586</v>
      </c>
      <c r="K1448" t="s">
        <v>40665</v>
      </c>
      <c r="M1448" t="s">
        <v>41552</v>
      </c>
      <c r="N1448" t="s">
        <v>44905</v>
      </c>
      <c r="O1448" t="s">
        <v>44906</v>
      </c>
      <c r="P1448">
        <v>0</v>
      </c>
      <c r="Q1448">
        <v>0</v>
      </c>
      <c r="R1448" t="s">
        <v>44907</v>
      </c>
      <c r="S1448" t="s">
        <v>45026</v>
      </c>
      <c r="T1448" t="s">
        <v>46447</v>
      </c>
      <c r="U1448" t="s">
        <v>48143</v>
      </c>
      <c r="W1448" t="s">
        <v>41552</v>
      </c>
      <c r="X1448" t="s">
        <v>44908</v>
      </c>
    </row>
    <row r="1449" spans="1:24">
      <c r="A1449">
        <f>HYPERLINK("https://www.philgeps.gov.ph/GEPSNONPILOT/Tender/SplashBidNoticeAbstractUI.aspx?menuIndex=3&amp;refID=7083373&amp;Result=3","7083373")</f>
        <v>0</v>
      </c>
      <c r="B1449" t="s">
        <v>633</v>
      </c>
      <c r="C1449" t="s">
        <v>4917</v>
      </c>
      <c r="D1449" t="s">
        <v>18144</v>
      </c>
      <c r="E1449" t="s">
        <v>19546</v>
      </c>
      <c r="F1449" t="s">
        <v>31362</v>
      </c>
      <c r="G1449" t="s">
        <v>31368</v>
      </c>
      <c r="H1449" t="s">
        <v>15799</v>
      </c>
      <c r="I1449" t="s">
        <v>4057</v>
      </c>
      <c r="J1449" t="s">
        <v>32587</v>
      </c>
      <c r="K1449" t="s">
        <v>40677</v>
      </c>
      <c r="M1449" t="s">
        <v>41593</v>
      </c>
      <c r="N1449" t="s">
        <v>44905</v>
      </c>
      <c r="O1449" t="s">
        <v>44906</v>
      </c>
      <c r="P1449">
        <v>0</v>
      </c>
      <c r="Q1449">
        <v>0</v>
      </c>
      <c r="R1449" t="s">
        <v>44907</v>
      </c>
      <c r="S1449" t="s">
        <v>45026</v>
      </c>
      <c r="T1449" t="s">
        <v>46435</v>
      </c>
      <c r="U1449" t="s">
        <v>48133</v>
      </c>
      <c r="W1449" t="s">
        <v>41593</v>
      </c>
      <c r="X1449" t="s">
        <v>44908</v>
      </c>
    </row>
    <row r="1450" spans="1:24">
      <c r="A1450">
        <f>HYPERLINK("https://www.philgeps.gov.ph/GEPSNONPILOT/Tender/SplashBidNoticeAbstractUI.aspx?menuIndex=3&amp;refID=7083371&amp;Result=3","7083371")</f>
        <v>0</v>
      </c>
      <c r="B1450" t="s">
        <v>640</v>
      </c>
      <c r="C1450" t="s">
        <v>4918</v>
      </c>
      <c r="D1450" t="s">
        <v>18156</v>
      </c>
      <c r="E1450" t="s">
        <v>19547</v>
      </c>
      <c r="F1450" t="s">
        <v>31362</v>
      </c>
      <c r="G1450" t="s">
        <v>31370</v>
      </c>
      <c r="H1450" t="s">
        <v>15799</v>
      </c>
      <c r="I1450" t="s">
        <v>31396</v>
      </c>
      <c r="J1450" t="s">
        <v>32588</v>
      </c>
      <c r="K1450" t="s">
        <v>40662</v>
      </c>
      <c r="M1450" t="s">
        <v>41600</v>
      </c>
      <c r="N1450" t="s">
        <v>44905</v>
      </c>
      <c r="O1450" t="s">
        <v>44906</v>
      </c>
      <c r="P1450">
        <v>0</v>
      </c>
      <c r="Q1450">
        <v>5</v>
      </c>
      <c r="R1450" t="s">
        <v>44907</v>
      </c>
      <c r="S1450" t="s">
        <v>45026</v>
      </c>
      <c r="T1450" t="s">
        <v>46534</v>
      </c>
      <c r="U1450" t="s">
        <v>48144</v>
      </c>
      <c r="V1450" t="s">
        <v>59219</v>
      </c>
      <c r="W1450" t="s">
        <v>41600</v>
      </c>
      <c r="X1450" t="s">
        <v>44908</v>
      </c>
    </row>
    <row r="1451" spans="1:24">
      <c r="A1451">
        <f>HYPERLINK("https://www.philgeps.gov.ph/GEPSNONPILOT/Tender/SplashBidNoticeAbstractUI.aspx?menuIndex=3&amp;refID=7083369&amp;Result=3","7083369")</f>
        <v>0</v>
      </c>
      <c r="B1451" t="s">
        <v>124</v>
      </c>
      <c r="C1451" t="s">
        <v>4919</v>
      </c>
      <c r="D1451" t="s">
        <v>18146</v>
      </c>
      <c r="E1451" t="s">
        <v>19548</v>
      </c>
      <c r="F1451" t="s">
        <v>31362</v>
      </c>
      <c r="G1451" t="s">
        <v>31368</v>
      </c>
      <c r="H1451" t="s">
        <v>15799</v>
      </c>
      <c r="I1451" t="s">
        <v>31393</v>
      </c>
      <c r="J1451" t="s">
        <v>31575</v>
      </c>
      <c r="K1451" t="s">
        <v>40670</v>
      </c>
      <c r="M1451" t="s">
        <v>41061</v>
      </c>
      <c r="N1451" t="s">
        <v>44905</v>
      </c>
      <c r="O1451" t="s">
        <v>44906</v>
      </c>
      <c r="P1451">
        <v>0</v>
      </c>
      <c r="Q1451">
        <v>0</v>
      </c>
      <c r="R1451" t="s">
        <v>44907</v>
      </c>
      <c r="S1451" t="s">
        <v>45026</v>
      </c>
      <c r="T1451" t="s">
        <v>46409</v>
      </c>
      <c r="U1451" t="s">
        <v>48145</v>
      </c>
      <c r="V1451" t="s">
        <v>59220</v>
      </c>
      <c r="W1451" t="s">
        <v>41061</v>
      </c>
      <c r="X1451" t="s">
        <v>44908</v>
      </c>
    </row>
    <row r="1452" spans="1:24">
      <c r="A1452">
        <f>HYPERLINK("https://www.philgeps.gov.ph/GEPSNONPILOT/Tender/SplashBidNoticeAbstractUI.aspx?menuIndex=3&amp;refID=7083296&amp;Result=3","7083296")</f>
        <v>0</v>
      </c>
      <c r="B1452" t="s">
        <v>563</v>
      </c>
      <c r="C1452" t="s">
        <v>4920</v>
      </c>
      <c r="D1452" t="s">
        <v>18124</v>
      </c>
      <c r="E1452" t="s">
        <v>19549</v>
      </c>
      <c r="F1452" t="s">
        <v>31362</v>
      </c>
      <c r="G1452" t="s">
        <v>31368</v>
      </c>
      <c r="H1452" t="s">
        <v>15799</v>
      </c>
      <c r="I1452" t="s">
        <v>3815</v>
      </c>
      <c r="J1452" t="s">
        <v>32589</v>
      </c>
      <c r="K1452" t="s">
        <v>40697</v>
      </c>
      <c r="M1452" t="s">
        <v>41519</v>
      </c>
      <c r="N1452" t="s">
        <v>44905</v>
      </c>
      <c r="O1452" t="s">
        <v>44906</v>
      </c>
      <c r="P1452">
        <v>0</v>
      </c>
      <c r="Q1452">
        <v>0</v>
      </c>
      <c r="R1452" t="s">
        <v>44907</v>
      </c>
      <c r="S1452" t="s">
        <v>45026</v>
      </c>
      <c r="T1452" t="s">
        <v>46409</v>
      </c>
      <c r="U1452" t="s">
        <v>48004</v>
      </c>
      <c r="W1452" t="s">
        <v>41519</v>
      </c>
      <c r="X1452" t="s">
        <v>44908</v>
      </c>
    </row>
    <row r="1453" spans="1:24">
      <c r="A1453">
        <f>HYPERLINK("https://www.philgeps.gov.ph/GEPSNONPILOT/Tender/SplashBidNoticeAbstractUI.aspx?menuIndex=3&amp;refID=7083249&amp;Result=3","7083249")</f>
        <v>0</v>
      </c>
      <c r="B1453" t="s">
        <v>313</v>
      </c>
      <c r="C1453" t="s">
        <v>4921</v>
      </c>
      <c r="D1453" t="s">
        <v>18111</v>
      </c>
      <c r="E1453" t="s">
        <v>19550</v>
      </c>
      <c r="F1453" t="s">
        <v>31362</v>
      </c>
      <c r="G1453" t="s">
        <v>31369</v>
      </c>
      <c r="H1453" t="s">
        <v>15799</v>
      </c>
      <c r="I1453" t="s">
        <v>6373</v>
      </c>
      <c r="J1453" t="s">
        <v>32590</v>
      </c>
      <c r="K1453" t="s">
        <v>40670</v>
      </c>
      <c r="M1453" t="s">
        <v>41258</v>
      </c>
      <c r="N1453" t="s">
        <v>44905</v>
      </c>
      <c r="O1453" t="s">
        <v>44906</v>
      </c>
      <c r="P1453">
        <v>0</v>
      </c>
      <c r="Q1453">
        <v>2</v>
      </c>
      <c r="R1453" t="s">
        <v>44907</v>
      </c>
      <c r="S1453" t="s">
        <v>45026</v>
      </c>
      <c r="T1453" t="s">
        <v>46458</v>
      </c>
      <c r="U1453" t="s">
        <v>48146</v>
      </c>
      <c r="W1453" t="s">
        <v>41258</v>
      </c>
      <c r="X1453" t="s">
        <v>44908</v>
      </c>
    </row>
    <row r="1454" spans="1:24">
      <c r="A1454">
        <f>HYPERLINK("https://www.philgeps.gov.ph/GEPSNONPILOT/Tender/SplashBidNoticeAbstractUI.aspx?menuIndex=3&amp;refID=7083368&amp;Result=3","7083368")</f>
        <v>0</v>
      </c>
      <c r="B1454" t="s">
        <v>590</v>
      </c>
      <c r="C1454" t="s">
        <v>4922</v>
      </c>
      <c r="D1454" t="s">
        <v>18162</v>
      </c>
      <c r="E1454" t="s">
        <v>19551</v>
      </c>
      <c r="F1454" t="s">
        <v>31362</v>
      </c>
      <c r="G1454" t="s">
        <v>31369</v>
      </c>
      <c r="H1454" t="s">
        <v>15799</v>
      </c>
      <c r="I1454" t="s">
        <v>3815</v>
      </c>
      <c r="J1454" t="s">
        <v>32591</v>
      </c>
      <c r="K1454" t="s">
        <v>40662</v>
      </c>
      <c r="M1454" t="s">
        <v>41547</v>
      </c>
      <c r="N1454" t="s">
        <v>44905</v>
      </c>
      <c r="O1454" t="s">
        <v>44906</v>
      </c>
      <c r="P1454">
        <v>0</v>
      </c>
      <c r="Q1454">
        <v>0</v>
      </c>
      <c r="R1454" t="s">
        <v>44907</v>
      </c>
      <c r="S1454" t="s">
        <v>45026</v>
      </c>
      <c r="T1454" t="s">
        <v>46560</v>
      </c>
      <c r="U1454" t="s">
        <v>48147</v>
      </c>
      <c r="W1454" t="s">
        <v>41547</v>
      </c>
      <c r="X1454" t="s">
        <v>44908</v>
      </c>
    </row>
    <row r="1455" spans="1:24">
      <c r="A1455">
        <f>HYPERLINK("https://www.philgeps.gov.ph/GEPSNONPILOT/Tender/SplashBidNoticeAbstractUI.aspx?menuIndex=3&amp;refID=7083358&amp;Result=3","7083358")</f>
        <v>0</v>
      </c>
      <c r="B1455" t="s">
        <v>623</v>
      </c>
      <c r="C1455" t="s">
        <v>4923</v>
      </c>
      <c r="D1455" t="s">
        <v>18146</v>
      </c>
      <c r="E1455" t="s">
        <v>19552</v>
      </c>
      <c r="F1455" t="s">
        <v>31362</v>
      </c>
      <c r="G1455" t="s">
        <v>31368</v>
      </c>
      <c r="H1455" t="s">
        <v>15799</v>
      </c>
      <c r="I1455" t="s">
        <v>31430</v>
      </c>
      <c r="J1455" t="s">
        <v>32263</v>
      </c>
      <c r="K1455" t="s">
        <v>40665</v>
      </c>
      <c r="M1455" t="s">
        <v>41582</v>
      </c>
      <c r="N1455" t="s">
        <v>44905</v>
      </c>
      <c r="O1455" t="s">
        <v>44906</v>
      </c>
      <c r="P1455">
        <v>0</v>
      </c>
      <c r="Q1455">
        <v>1</v>
      </c>
      <c r="R1455" t="s">
        <v>44907</v>
      </c>
      <c r="S1455" t="s">
        <v>45026</v>
      </c>
      <c r="T1455" t="s">
        <v>46560</v>
      </c>
      <c r="U1455" t="s">
        <v>48148</v>
      </c>
      <c r="V1455" t="s">
        <v>59216</v>
      </c>
      <c r="W1455" t="s">
        <v>41582</v>
      </c>
      <c r="X1455" t="s">
        <v>44908</v>
      </c>
    </row>
    <row r="1456" spans="1:24">
      <c r="A1456">
        <f>HYPERLINK("https://www.philgeps.gov.ph/GEPSNONPILOT/Tender/SplashBidNoticeAbstractUI.aspx?menuIndex=3&amp;refID=7083354&amp;Result=3","7083354")</f>
        <v>0</v>
      </c>
      <c r="B1456" t="s">
        <v>633</v>
      </c>
      <c r="C1456" t="s">
        <v>4924</v>
      </c>
      <c r="D1456" t="s">
        <v>18144</v>
      </c>
      <c r="E1456" t="s">
        <v>19553</v>
      </c>
      <c r="F1456" t="s">
        <v>31362</v>
      </c>
      <c r="G1456" t="s">
        <v>31368</v>
      </c>
      <c r="H1456" t="s">
        <v>15799</v>
      </c>
      <c r="I1456" t="s">
        <v>31465</v>
      </c>
      <c r="J1456" t="s">
        <v>32586</v>
      </c>
      <c r="K1456" t="s">
        <v>40677</v>
      </c>
      <c r="M1456" t="s">
        <v>41593</v>
      </c>
      <c r="N1456" t="s">
        <v>44905</v>
      </c>
      <c r="O1456" t="s">
        <v>44906</v>
      </c>
      <c r="P1456">
        <v>0</v>
      </c>
      <c r="Q1456">
        <v>1</v>
      </c>
      <c r="R1456" t="s">
        <v>44907</v>
      </c>
      <c r="S1456" t="s">
        <v>45026</v>
      </c>
      <c r="T1456" t="s">
        <v>46435</v>
      </c>
      <c r="U1456" t="s">
        <v>48133</v>
      </c>
      <c r="W1456" t="s">
        <v>41593</v>
      </c>
      <c r="X1456" t="s">
        <v>44908</v>
      </c>
    </row>
    <row r="1457" spans="1:24">
      <c r="A1457">
        <f>HYPERLINK("https://www.philgeps.gov.ph/GEPSNONPILOT/Tender/SplashBidNoticeAbstractUI.aspx?menuIndex=3&amp;refID=7083370&amp;Result=3","7083370")</f>
        <v>0</v>
      </c>
      <c r="B1457" t="s">
        <v>561</v>
      </c>
      <c r="C1457" t="s">
        <v>4925</v>
      </c>
      <c r="D1457" t="s">
        <v>18124</v>
      </c>
      <c r="E1457" t="s">
        <v>19554</v>
      </c>
      <c r="F1457" t="s">
        <v>31362</v>
      </c>
      <c r="G1457" t="s">
        <v>31369</v>
      </c>
      <c r="H1457" t="s">
        <v>15799</v>
      </c>
      <c r="I1457" t="s">
        <v>31455</v>
      </c>
      <c r="J1457" t="s">
        <v>31564</v>
      </c>
      <c r="K1457" t="s">
        <v>40670</v>
      </c>
      <c r="M1457" t="s">
        <v>41517</v>
      </c>
      <c r="N1457" t="s">
        <v>44905</v>
      </c>
      <c r="O1457" t="s">
        <v>44906</v>
      </c>
      <c r="P1457">
        <v>0</v>
      </c>
      <c r="Q1457">
        <v>0</v>
      </c>
      <c r="R1457" t="s">
        <v>44907</v>
      </c>
      <c r="S1457" t="s">
        <v>45026</v>
      </c>
      <c r="T1457" t="s">
        <v>46553</v>
      </c>
      <c r="U1457" t="s">
        <v>48149</v>
      </c>
      <c r="W1457" t="s">
        <v>41517</v>
      </c>
      <c r="X1457" t="s">
        <v>44908</v>
      </c>
    </row>
    <row r="1458" spans="1:24">
      <c r="A1458">
        <f>HYPERLINK("https://www.philgeps.gov.ph/GEPSNONPILOT/Tender/SplashBidNoticeAbstractUI.aspx?menuIndex=3&amp;refID=7083362&amp;Result=3","7083362")</f>
        <v>0</v>
      </c>
      <c r="B1458" t="s">
        <v>628</v>
      </c>
      <c r="C1458" t="s">
        <v>4926</v>
      </c>
      <c r="D1458" t="s">
        <v>18116</v>
      </c>
      <c r="E1458" t="s">
        <v>19555</v>
      </c>
      <c r="F1458" t="s">
        <v>31362</v>
      </c>
      <c r="G1458" t="s">
        <v>31368</v>
      </c>
      <c r="H1458" t="s">
        <v>15799</v>
      </c>
      <c r="I1458" t="s">
        <v>31422</v>
      </c>
      <c r="J1458" t="s">
        <v>32592</v>
      </c>
      <c r="K1458" t="s">
        <v>40662</v>
      </c>
      <c r="M1458" t="s">
        <v>41588</v>
      </c>
      <c r="N1458" t="s">
        <v>44905</v>
      </c>
      <c r="O1458" t="s">
        <v>44906</v>
      </c>
      <c r="P1458">
        <v>0</v>
      </c>
      <c r="Q1458">
        <v>0</v>
      </c>
      <c r="R1458" t="s">
        <v>44907</v>
      </c>
      <c r="S1458" t="s">
        <v>45026</v>
      </c>
      <c r="T1458" t="s">
        <v>46443</v>
      </c>
      <c r="U1458" t="s">
        <v>48150</v>
      </c>
      <c r="W1458" t="s">
        <v>41588</v>
      </c>
      <c r="X1458" t="s">
        <v>44908</v>
      </c>
    </row>
    <row r="1459" spans="1:24">
      <c r="A1459">
        <f>HYPERLINK("https://www.philgeps.gov.ph/GEPSNONPILOT/Tender/SplashBidNoticeAbstractUI.aspx?menuIndex=3&amp;refID=7083201&amp;Result=3","7083201")</f>
        <v>0</v>
      </c>
      <c r="B1459" t="s">
        <v>641</v>
      </c>
      <c r="C1459" t="s">
        <v>4927</v>
      </c>
      <c r="D1459" t="s">
        <v>18158</v>
      </c>
      <c r="E1459" t="s">
        <v>19556</v>
      </c>
      <c r="F1459" t="s">
        <v>31362</v>
      </c>
      <c r="G1459" t="s">
        <v>31369</v>
      </c>
      <c r="H1459" t="s">
        <v>15799</v>
      </c>
      <c r="I1459" t="s">
        <v>31393</v>
      </c>
      <c r="J1459" t="s">
        <v>31637</v>
      </c>
      <c r="K1459" t="s">
        <v>40662</v>
      </c>
      <c r="M1459" t="s">
        <v>41601</v>
      </c>
      <c r="N1459" t="s">
        <v>44905</v>
      </c>
      <c r="O1459" t="s">
        <v>44906</v>
      </c>
      <c r="P1459">
        <v>0</v>
      </c>
      <c r="Q1459">
        <v>2</v>
      </c>
      <c r="R1459" t="s">
        <v>44907</v>
      </c>
      <c r="S1459" t="s">
        <v>45026</v>
      </c>
      <c r="T1459" t="s">
        <v>46450</v>
      </c>
      <c r="U1459" t="s">
        <v>48151</v>
      </c>
      <c r="W1459" t="s">
        <v>41601</v>
      </c>
      <c r="X1459" t="s">
        <v>44908</v>
      </c>
    </row>
    <row r="1460" spans="1:24">
      <c r="A1460">
        <f>HYPERLINK("https://www.philgeps.gov.ph/GEPSNONPILOT/Tender/SplashBidNoticeAbstractUI.aspx?menuIndex=3&amp;refID=7083349&amp;Result=3","7083349")</f>
        <v>0</v>
      </c>
      <c r="B1460" t="s">
        <v>205</v>
      </c>
      <c r="C1460" t="s">
        <v>4928</v>
      </c>
      <c r="E1460" t="s">
        <v>19557</v>
      </c>
      <c r="F1460" t="s">
        <v>31362</v>
      </c>
      <c r="G1460" t="s">
        <v>31368</v>
      </c>
      <c r="H1460" t="s">
        <v>15799</v>
      </c>
      <c r="I1460" t="s">
        <v>6373</v>
      </c>
      <c r="J1460" t="s">
        <v>32593</v>
      </c>
      <c r="K1460" t="s">
        <v>40662</v>
      </c>
      <c r="M1460" t="s">
        <v>41144</v>
      </c>
      <c r="N1460" t="s">
        <v>44905</v>
      </c>
      <c r="O1460" t="s">
        <v>44906</v>
      </c>
      <c r="P1460">
        <v>0</v>
      </c>
      <c r="Q1460">
        <v>2</v>
      </c>
      <c r="R1460" t="s">
        <v>44907</v>
      </c>
      <c r="S1460" t="s">
        <v>45026</v>
      </c>
      <c r="T1460" t="s">
        <v>46403</v>
      </c>
      <c r="U1460" t="s">
        <v>48152</v>
      </c>
      <c r="W1460" t="s">
        <v>41144</v>
      </c>
      <c r="X1460" t="s">
        <v>44908</v>
      </c>
    </row>
    <row r="1461" spans="1:24">
      <c r="A1461">
        <f>HYPERLINK("https://www.philgeps.gov.ph/GEPSNONPILOT/Tender/SplashBidNoticeAbstractUI.aspx?menuIndex=3&amp;refID=7083347&amp;Result=3","7083347")</f>
        <v>0</v>
      </c>
      <c r="B1461" t="s">
        <v>642</v>
      </c>
      <c r="C1461" t="s">
        <v>4929</v>
      </c>
      <c r="D1461" t="s">
        <v>18168</v>
      </c>
      <c r="E1461" t="s">
        <v>19558</v>
      </c>
      <c r="F1461" t="s">
        <v>31362</v>
      </c>
      <c r="G1461" t="s">
        <v>31369</v>
      </c>
      <c r="H1461" t="s">
        <v>31378</v>
      </c>
      <c r="I1461" t="s">
        <v>31386</v>
      </c>
      <c r="J1461" t="s">
        <v>32594</v>
      </c>
      <c r="K1461" t="s">
        <v>40726</v>
      </c>
      <c r="M1461" t="s">
        <v>41602</v>
      </c>
      <c r="N1461" t="s">
        <v>44905</v>
      </c>
      <c r="O1461" t="s">
        <v>44906</v>
      </c>
      <c r="P1461">
        <v>0</v>
      </c>
      <c r="Q1461">
        <v>0</v>
      </c>
      <c r="R1461" t="s">
        <v>44907</v>
      </c>
      <c r="S1461" t="s">
        <v>45026</v>
      </c>
      <c r="T1461" t="s">
        <v>46565</v>
      </c>
      <c r="U1461" t="s">
        <v>48153</v>
      </c>
      <c r="W1461" t="s">
        <v>41602</v>
      </c>
      <c r="X1461" t="s">
        <v>44908</v>
      </c>
    </row>
    <row r="1462" spans="1:24">
      <c r="A1462">
        <f>HYPERLINK("https://www.philgeps.gov.ph/GEPSNONPILOT/Tender/SplashBidNoticeAbstractUI.aspx?menuIndex=3&amp;refID=7083353&amp;Result=3","7083353")</f>
        <v>0</v>
      </c>
      <c r="B1462" t="s">
        <v>643</v>
      </c>
      <c r="C1462" t="s">
        <v>4930</v>
      </c>
      <c r="D1462" t="s">
        <v>18103</v>
      </c>
      <c r="E1462" t="s">
        <v>19559</v>
      </c>
      <c r="F1462" t="s">
        <v>31362</v>
      </c>
      <c r="G1462" t="s">
        <v>31370</v>
      </c>
      <c r="H1462" t="s">
        <v>15799</v>
      </c>
      <c r="I1462" t="s">
        <v>31422</v>
      </c>
      <c r="J1462" t="s">
        <v>32595</v>
      </c>
      <c r="K1462" t="s">
        <v>40697</v>
      </c>
      <c r="M1462" t="s">
        <v>41603</v>
      </c>
      <c r="N1462" t="s">
        <v>44905</v>
      </c>
      <c r="O1462" t="s">
        <v>44906</v>
      </c>
      <c r="P1462">
        <v>0</v>
      </c>
      <c r="Q1462">
        <v>1</v>
      </c>
      <c r="R1462" t="s">
        <v>44907</v>
      </c>
      <c r="S1462" t="s">
        <v>45026</v>
      </c>
      <c r="T1462" t="s">
        <v>46432</v>
      </c>
      <c r="U1462" t="s">
        <v>48154</v>
      </c>
      <c r="W1462" t="s">
        <v>41603</v>
      </c>
      <c r="X1462" t="s">
        <v>44908</v>
      </c>
    </row>
    <row r="1463" spans="1:24">
      <c r="A1463">
        <f>HYPERLINK("https://www.philgeps.gov.ph/GEPSNONPILOT/Tender/SplashBidNoticeAbstractUI.aspx?menuIndex=3&amp;refID=7083346&amp;Result=3","7083346")</f>
        <v>0</v>
      </c>
      <c r="B1463" t="s">
        <v>559</v>
      </c>
      <c r="C1463" t="s">
        <v>4931</v>
      </c>
      <c r="D1463" t="s">
        <v>18139</v>
      </c>
      <c r="E1463" t="s">
        <v>19560</v>
      </c>
      <c r="F1463" t="s">
        <v>31362</v>
      </c>
      <c r="G1463" t="s">
        <v>31369</v>
      </c>
      <c r="H1463" t="s">
        <v>31378</v>
      </c>
      <c r="I1463" t="s">
        <v>31386</v>
      </c>
      <c r="J1463" t="s">
        <v>32596</v>
      </c>
      <c r="K1463" t="s">
        <v>40686</v>
      </c>
      <c r="M1463" t="s">
        <v>41515</v>
      </c>
      <c r="N1463" t="s">
        <v>44905</v>
      </c>
      <c r="O1463" t="s">
        <v>44906</v>
      </c>
      <c r="P1463">
        <v>0</v>
      </c>
      <c r="Q1463">
        <v>0</v>
      </c>
      <c r="R1463" t="s">
        <v>44907</v>
      </c>
      <c r="S1463" t="s">
        <v>45026</v>
      </c>
      <c r="T1463" t="s">
        <v>46449</v>
      </c>
      <c r="U1463" t="s">
        <v>47999</v>
      </c>
      <c r="V1463" t="s">
        <v>59206</v>
      </c>
      <c r="W1463" t="s">
        <v>41515</v>
      </c>
      <c r="X1463" t="s">
        <v>44908</v>
      </c>
    </row>
    <row r="1464" spans="1:24">
      <c r="A1464">
        <f>HYPERLINK("https://www.philgeps.gov.ph/GEPSNONPILOT/Tender/SplashBidNoticeAbstractUI.aspx?menuIndex=3&amp;refID=7083351&amp;Result=3","7083351")</f>
        <v>0</v>
      </c>
      <c r="B1464" t="s">
        <v>605</v>
      </c>
      <c r="C1464" t="s">
        <v>4932</v>
      </c>
      <c r="D1464" t="s">
        <v>18168</v>
      </c>
      <c r="E1464" t="s">
        <v>19561</v>
      </c>
      <c r="F1464" t="s">
        <v>31362</v>
      </c>
      <c r="G1464" t="s">
        <v>31369</v>
      </c>
      <c r="H1464" t="s">
        <v>31378</v>
      </c>
      <c r="I1464" t="s">
        <v>31386</v>
      </c>
      <c r="J1464" t="s">
        <v>32597</v>
      </c>
      <c r="K1464" t="s">
        <v>40686</v>
      </c>
      <c r="M1464" t="s">
        <v>41563</v>
      </c>
      <c r="N1464" t="s">
        <v>44905</v>
      </c>
      <c r="O1464" t="s">
        <v>44906</v>
      </c>
      <c r="P1464">
        <v>0</v>
      </c>
      <c r="Q1464">
        <v>1</v>
      </c>
      <c r="R1464" t="s">
        <v>44907</v>
      </c>
      <c r="S1464" t="s">
        <v>45026</v>
      </c>
      <c r="T1464" t="s">
        <v>46524</v>
      </c>
      <c r="U1464" t="s">
        <v>48155</v>
      </c>
      <c r="V1464" t="s">
        <v>59213</v>
      </c>
      <c r="W1464" t="s">
        <v>41563</v>
      </c>
      <c r="X1464" t="s">
        <v>44908</v>
      </c>
    </row>
    <row r="1465" spans="1:24">
      <c r="A1465">
        <f>HYPERLINK("https://www.philgeps.gov.ph/GEPSNONPILOT/Tender/SplashBidNoticeAbstractUI.aspx?menuIndex=3&amp;refID=7083348&amp;Result=3","7083348")</f>
        <v>0</v>
      </c>
      <c r="B1465" t="s">
        <v>622</v>
      </c>
      <c r="C1465" t="s">
        <v>4933</v>
      </c>
      <c r="D1465" t="s">
        <v>18108</v>
      </c>
      <c r="E1465" t="s">
        <v>19562</v>
      </c>
      <c r="F1465" t="s">
        <v>31362</v>
      </c>
      <c r="G1465" t="s">
        <v>31368</v>
      </c>
      <c r="H1465" t="s">
        <v>15799</v>
      </c>
      <c r="I1465" t="s">
        <v>7188</v>
      </c>
      <c r="J1465" t="s">
        <v>31577</v>
      </c>
      <c r="K1465" t="s">
        <v>40666</v>
      </c>
      <c r="M1465" t="s">
        <v>41581</v>
      </c>
      <c r="N1465" t="s">
        <v>44905</v>
      </c>
      <c r="O1465" t="s">
        <v>44906</v>
      </c>
      <c r="P1465">
        <v>0</v>
      </c>
      <c r="Q1465">
        <v>3</v>
      </c>
      <c r="R1465" t="s">
        <v>44907</v>
      </c>
      <c r="S1465" t="s">
        <v>45026</v>
      </c>
      <c r="T1465" t="s">
        <v>46413</v>
      </c>
      <c r="U1465" t="s">
        <v>48113</v>
      </c>
      <c r="W1465" t="s">
        <v>41581</v>
      </c>
      <c r="X1465" t="s">
        <v>44908</v>
      </c>
    </row>
    <row r="1466" spans="1:24">
      <c r="A1466">
        <f>HYPERLINK("https://www.philgeps.gov.ph/GEPSNONPILOT/Tender/SplashBidNoticeAbstractUI.aspx?menuIndex=3&amp;refID=7083319&amp;Result=3","7083319")</f>
        <v>0</v>
      </c>
      <c r="B1466" t="s">
        <v>601</v>
      </c>
      <c r="C1466" t="s">
        <v>4934</v>
      </c>
      <c r="D1466" t="s">
        <v>18119</v>
      </c>
      <c r="E1466" t="s">
        <v>19563</v>
      </c>
      <c r="F1466" t="s">
        <v>31362</v>
      </c>
      <c r="G1466" t="s">
        <v>31369</v>
      </c>
      <c r="H1466" t="s">
        <v>15799</v>
      </c>
      <c r="I1466" t="s">
        <v>3815</v>
      </c>
      <c r="J1466" t="s">
        <v>32525</v>
      </c>
      <c r="K1466" t="s">
        <v>40666</v>
      </c>
      <c r="M1466" t="s">
        <v>41558</v>
      </c>
      <c r="N1466" t="s">
        <v>44905</v>
      </c>
      <c r="O1466" t="s">
        <v>44906</v>
      </c>
      <c r="P1466">
        <v>0</v>
      </c>
      <c r="Q1466">
        <v>0</v>
      </c>
      <c r="R1466" t="s">
        <v>44907</v>
      </c>
      <c r="S1466" t="s">
        <v>45026</v>
      </c>
      <c r="T1466" t="s">
        <v>46561</v>
      </c>
      <c r="U1466" t="s">
        <v>48156</v>
      </c>
      <c r="W1466" t="s">
        <v>41558</v>
      </c>
      <c r="X1466" t="s">
        <v>44908</v>
      </c>
    </row>
    <row r="1467" spans="1:24">
      <c r="A1467">
        <f>HYPERLINK("https://www.philgeps.gov.ph/GEPSNONPILOT/Tender/SplashBidNoticeAbstractUI.aspx?menuIndex=3&amp;refID=7083406&amp;Result=3","7083406")</f>
        <v>0</v>
      </c>
      <c r="B1467" t="s">
        <v>440</v>
      </c>
      <c r="C1467" t="s">
        <v>4935</v>
      </c>
      <c r="D1467" t="s">
        <v>18154</v>
      </c>
      <c r="E1467" t="s">
        <v>19564</v>
      </c>
      <c r="F1467" t="s">
        <v>31362</v>
      </c>
      <c r="G1467" t="s">
        <v>31368</v>
      </c>
      <c r="H1467" t="s">
        <v>15799</v>
      </c>
      <c r="I1467" t="s">
        <v>31400</v>
      </c>
      <c r="J1467" t="s">
        <v>31724</v>
      </c>
      <c r="K1467" t="s">
        <v>40662</v>
      </c>
      <c r="M1467" t="s">
        <v>41604</v>
      </c>
      <c r="N1467" t="s">
        <v>44905</v>
      </c>
      <c r="O1467" t="s">
        <v>44906</v>
      </c>
      <c r="P1467">
        <v>0</v>
      </c>
      <c r="Q1467">
        <v>0</v>
      </c>
      <c r="R1467" t="s">
        <v>44907</v>
      </c>
      <c r="S1467" t="s">
        <v>45026</v>
      </c>
      <c r="T1467" t="s">
        <v>46447</v>
      </c>
      <c r="U1467" t="s">
        <v>48157</v>
      </c>
      <c r="W1467" t="s">
        <v>41604</v>
      </c>
      <c r="X1467" t="s">
        <v>44908</v>
      </c>
    </row>
    <row r="1468" spans="1:24">
      <c r="A1468">
        <f>HYPERLINK("https://www.philgeps.gov.ph/GEPSNONPILOT/Tender/SplashBidNoticeAbstractUI.aspx?menuIndex=3&amp;refID=7083405&amp;Result=3","7083405")</f>
        <v>0</v>
      </c>
      <c r="B1468" t="s">
        <v>644</v>
      </c>
      <c r="C1468" t="s">
        <v>4936</v>
      </c>
      <c r="D1468" t="s">
        <v>18164</v>
      </c>
      <c r="E1468" t="s">
        <v>19565</v>
      </c>
      <c r="F1468" t="s">
        <v>31362</v>
      </c>
      <c r="G1468" t="s">
        <v>31368</v>
      </c>
      <c r="H1468" t="s">
        <v>15799</v>
      </c>
      <c r="I1468" t="s">
        <v>4057</v>
      </c>
      <c r="J1468" t="s">
        <v>31543</v>
      </c>
      <c r="K1468" t="s">
        <v>40666</v>
      </c>
      <c r="M1468" t="s">
        <v>41605</v>
      </c>
      <c r="N1468" t="s">
        <v>44905</v>
      </c>
      <c r="O1468" t="s">
        <v>44906</v>
      </c>
      <c r="P1468">
        <v>0</v>
      </c>
      <c r="Q1468">
        <v>0</v>
      </c>
      <c r="R1468" t="s">
        <v>44907</v>
      </c>
      <c r="S1468" t="s">
        <v>45026</v>
      </c>
      <c r="T1468" t="s">
        <v>46409</v>
      </c>
      <c r="U1468" t="s">
        <v>48158</v>
      </c>
      <c r="W1468" t="s">
        <v>41605</v>
      </c>
      <c r="X1468" t="s">
        <v>44908</v>
      </c>
    </row>
    <row r="1469" spans="1:24">
      <c r="A1469">
        <f>HYPERLINK("https://www.philgeps.gov.ph/GEPSNONPILOT/Tender/SplashBidNoticeAbstractUI.aspx?menuIndex=3&amp;refID=7083403&amp;Result=3","7083403")</f>
        <v>0</v>
      </c>
      <c r="B1469" t="s">
        <v>238</v>
      </c>
      <c r="C1469" t="s">
        <v>4937</v>
      </c>
      <c r="D1469" t="s">
        <v>18163</v>
      </c>
      <c r="E1469" t="s">
        <v>19566</v>
      </c>
      <c r="F1469" t="s">
        <v>31362</v>
      </c>
      <c r="G1469" t="s">
        <v>31368</v>
      </c>
      <c r="H1469" t="s">
        <v>15799</v>
      </c>
      <c r="I1469" t="s">
        <v>31385</v>
      </c>
      <c r="J1469" t="s">
        <v>32598</v>
      </c>
      <c r="K1469" t="s">
        <v>40666</v>
      </c>
      <c r="M1469" t="s">
        <v>41177</v>
      </c>
      <c r="N1469" t="s">
        <v>44905</v>
      </c>
      <c r="O1469" t="s">
        <v>44906</v>
      </c>
      <c r="P1469">
        <v>0</v>
      </c>
      <c r="Q1469">
        <v>0</v>
      </c>
      <c r="R1469" t="s">
        <v>44907</v>
      </c>
      <c r="S1469" t="s">
        <v>45026</v>
      </c>
      <c r="T1469" t="s">
        <v>46409</v>
      </c>
      <c r="U1469" t="s">
        <v>48159</v>
      </c>
      <c r="W1469" t="s">
        <v>41177</v>
      </c>
      <c r="X1469" t="s">
        <v>44908</v>
      </c>
    </row>
    <row r="1470" spans="1:24">
      <c r="A1470">
        <f>HYPERLINK("https://www.philgeps.gov.ph/GEPSNONPILOT/Tender/SplashBidNoticeAbstractUI.aspx?menuIndex=3&amp;refID=7083374&amp;Result=3","7083374")</f>
        <v>0</v>
      </c>
      <c r="B1470" t="s">
        <v>624</v>
      </c>
      <c r="C1470" t="s">
        <v>4938</v>
      </c>
      <c r="D1470" t="s">
        <v>18148</v>
      </c>
      <c r="E1470" t="s">
        <v>19567</v>
      </c>
      <c r="F1470" t="s">
        <v>31362</v>
      </c>
      <c r="G1470" t="s">
        <v>31368</v>
      </c>
      <c r="H1470" t="s">
        <v>15799</v>
      </c>
      <c r="I1470" t="s">
        <v>31400</v>
      </c>
      <c r="J1470" t="s">
        <v>31687</v>
      </c>
      <c r="K1470" t="s">
        <v>40662</v>
      </c>
      <c r="M1470" t="s">
        <v>41583</v>
      </c>
      <c r="N1470" t="s">
        <v>44905</v>
      </c>
      <c r="O1470" t="s">
        <v>44906</v>
      </c>
      <c r="P1470">
        <v>0</v>
      </c>
      <c r="Q1470">
        <v>0</v>
      </c>
      <c r="R1470" t="s">
        <v>44907</v>
      </c>
      <c r="S1470" t="s">
        <v>45026</v>
      </c>
      <c r="T1470" t="s">
        <v>46414</v>
      </c>
      <c r="U1470" t="s">
        <v>48160</v>
      </c>
      <c r="W1470" t="s">
        <v>41583</v>
      </c>
      <c r="X1470" t="s">
        <v>44908</v>
      </c>
    </row>
    <row r="1471" spans="1:24">
      <c r="A1471">
        <f>HYPERLINK("https://www.philgeps.gov.ph/GEPSNONPILOT/Tender/SplashBidNoticeAbstractUI.aspx?menuIndex=3&amp;refID=7083400&amp;Result=3","7083400")</f>
        <v>0</v>
      </c>
      <c r="B1471" t="s">
        <v>645</v>
      </c>
      <c r="C1471" t="s">
        <v>4939</v>
      </c>
      <c r="D1471" t="s">
        <v>18112</v>
      </c>
      <c r="E1471" t="s">
        <v>19568</v>
      </c>
      <c r="F1471" t="s">
        <v>31362</v>
      </c>
      <c r="G1471" t="s">
        <v>31368</v>
      </c>
      <c r="H1471" t="s">
        <v>15799</v>
      </c>
      <c r="I1471" t="s">
        <v>7188</v>
      </c>
      <c r="J1471" t="s">
        <v>31897</v>
      </c>
      <c r="K1471" t="s">
        <v>40665</v>
      </c>
      <c r="M1471" t="s">
        <v>41606</v>
      </c>
      <c r="N1471" t="s">
        <v>44905</v>
      </c>
      <c r="O1471" t="s">
        <v>44906</v>
      </c>
      <c r="P1471">
        <v>0</v>
      </c>
      <c r="Q1471">
        <v>0</v>
      </c>
      <c r="R1471" t="s">
        <v>44907</v>
      </c>
      <c r="S1471" t="s">
        <v>45026</v>
      </c>
      <c r="T1471" t="s">
        <v>46497</v>
      </c>
      <c r="U1471" t="s">
        <v>48161</v>
      </c>
      <c r="W1471" t="s">
        <v>41606</v>
      </c>
      <c r="X1471" t="s">
        <v>44908</v>
      </c>
    </row>
    <row r="1472" spans="1:24">
      <c r="A1472">
        <f>HYPERLINK("https://www.philgeps.gov.ph/GEPSNONPILOT/Tender/SplashBidNoticeAbstractUI.aspx?menuIndex=3&amp;refID=7083399&amp;Result=3","7083399")</f>
        <v>0</v>
      </c>
      <c r="B1472" t="s">
        <v>561</v>
      </c>
      <c r="C1472" t="s">
        <v>4940</v>
      </c>
      <c r="D1472" t="s">
        <v>18124</v>
      </c>
      <c r="E1472" t="s">
        <v>19569</v>
      </c>
      <c r="F1472" t="s">
        <v>31362</v>
      </c>
      <c r="G1472" t="s">
        <v>31369</v>
      </c>
      <c r="H1472" t="s">
        <v>15799</v>
      </c>
      <c r="I1472" t="s">
        <v>31455</v>
      </c>
      <c r="J1472" t="s">
        <v>31564</v>
      </c>
      <c r="K1472" t="s">
        <v>40670</v>
      </c>
      <c r="M1472" t="s">
        <v>41517</v>
      </c>
      <c r="N1472" t="s">
        <v>44905</v>
      </c>
      <c r="O1472" t="s">
        <v>44906</v>
      </c>
      <c r="P1472">
        <v>0</v>
      </c>
      <c r="Q1472">
        <v>0</v>
      </c>
      <c r="R1472" t="s">
        <v>44907</v>
      </c>
      <c r="S1472" t="s">
        <v>45026</v>
      </c>
      <c r="T1472" t="s">
        <v>46553</v>
      </c>
      <c r="U1472" t="s">
        <v>48149</v>
      </c>
      <c r="W1472" t="s">
        <v>41517</v>
      </c>
      <c r="X1472" t="s">
        <v>44908</v>
      </c>
    </row>
    <row r="1473" spans="1:24">
      <c r="A1473">
        <f>HYPERLINK("https://www.philgeps.gov.ph/GEPSNONPILOT/Tender/SplashBidNoticeAbstractUI.aspx?menuIndex=3&amp;refID=7083356&amp;Result=3","7083356")</f>
        <v>0</v>
      </c>
      <c r="B1473" t="s">
        <v>582</v>
      </c>
      <c r="C1473" t="s">
        <v>4941</v>
      </c>
      <c r="D1473" t="s">
        <v>18180</v>
      </c>
      <c r="E1473" t="s">
        <v>19570</v>
      </c>
      <c r="F1473" t="s">
        <v>31362</v>
      </c>
      <c r="G1473" t="s">
        <v>31369</v>
      </c>
      <c r="H1473" t="s">
        <v>31378</v>
      </c>
      <c r="I1473" t="s">
        <v>31386</v>
      </c>
      <c r="J1473" t="s">
        <v>32599</v>
      </c>
      <c r="K1473" t="s">
        <v>40674</v>
      </c>
      <c r="M1473" t="s">
        <v>41539</v>
      </c>
      <c r="N1473" t="s">
        <v>44905</v>
      </c>
      <c r="O1473" t="s">
        <v>44906</v>
      </c>
      <c r="P1473">
        <v>0</v>
      </c>
      <c r="Q1473">
        <v>0</v>
      </c>
      <c r="R1473" t="s">
        <v>44907</v>
      </c>
      <c r="S1473" t="s">
        <v>45026</v>
      </c>
      <c r="T1473" t="s">
        <v>46557</v>
      </c>
      <c r="U1473" t="s">
        <v>48162</v>
      </c>
      <c r="W1473" t="s">
        <v>41539</v>
      </c>
      <c r="X1473" t="s">
        <v>44908</v>
      </c>
    </row>
    <row r="1474" spans="1:24">
      <c r="A1474">
        <f>HYPERLINK("https://www.philgeps.gov.ph/GEPSNONPILOT/Tender/SplashBidNoticeAbstractUI.aspx?menuIndex=3&amp;refID=7083396&amp;Result=3","7083396")</f>
        <v>0</v>
      </c>
      <c r="B1474" t="s">
        <v>646</v>
      </c>
      <c r="C1474" t="s">
        <v>4942</v>
      </c>
      <c r="E1474" t="s">
        <v>19571</v>
      </c>
      <c r="F1474" t="s">
        <v>31362</v>
      </c>
      <c r="G1474" t="s">
        <v>31368</v>
      </c>
      <c r="H1474" t="s">
        <v>15799</v>
      </c>
      <c r="I1474" t="s">
        <v>4942</v>
      </c>
      <c r="J1474" t="s">
        <v>32600</v>
      </c>
      <c r="K1474" t="s">
        <v>40662</v>
      </c>
      <c r="M1474" t="s">
        <v>41607</v>
      </c>
      <c r="N1474" t="s">
        <v>44905</v>
      </c>
      <c r="O1474" t="s">
        <v>44906</v>
      </c>
      <c r="P1474">
        <v>0</v>
      </c>
      <c r="Q1474">
        <v>0</v>
      </c>
      <c r="R1474" t="s">
        <v>44907</v>
      </c>
      <c r="S1474" t="s">
        <v>45026</v>
      </c>
      <c r="T1474" t="s">
        <v>46425</v>
      </c>
      <c r="U1474" t="s">
        <v>48163</v>
      </c>
      <c r="W1474" t="s">
        <v>41607</v>
      </c>
      <c r="X1474" t="s">
        <v>44908</v>
      </c>
    </row>
    <row r="1475" spans="1:24">
      <c r="A1475">
        <f>HYPERLINK("https://www.philgeps.gov.ph/GEPSNONPILOT/Tender/SplashBidNoticeAbstractUI.aspx?menuIndex=3&amp;refID=7083327&amp;Result=3","7083327")</f>
        <v>0</v>
      </c>
      <c r="B1475" t="s">
        <v>624</v>
      </c>
      <c r="C1475" t="s">
        <v>4943</v>
      </c>
      <c r="D1475" t="s">
        <v>18148</v>
      </c>
      <c r="E1475" t="s">
        <v>19572</v>
      </c>
      <c r="F1475" t="s">
        <v>31362</v>
      </c>
      <c r="G1475" t="s">
        <v>31368</v>
      </c>
      <c r="H1475" t="s">
        <v>15799</v>
      </c>
      <c r="I1475" t="s">
        <v>31383</v>
      </c>
      <c r="J1475" t="s">
        <v>31724</v>
      </c>
      <c r="K1475" t="s">
        <v>40662</v>
      </c>
      <c r="M1475" t="s">
        <v>41583</v>
      </c>
      <c r="N1475" t="s">
        <v>44905</v>
      </c>
      <c r="O1475" t="s">
        <v>44906</v>
      </c>
      <c r="P1475">
        <v>0</v>
      </c>
      <c r="Q1475">
        <v>0</v>
      </c>
      <c r="R1475" t="s">
        <v>44907</v>
      </c>
      <c r="S1475" t="s">
        <v>45026</v>
      </c>
      <c r="T1475" t="s">
        <v>46414</v>
      </c>
      <c r="U1475" t="s">
        <v>48164</v>
      </c>
      <c r="W1475" t="s">
        <v>41583</v>
      </c>
      <c r="X1475" t="s">
        <v>44908</v>
      </c>
    </row>
    <row r="1476" spans="1:24">
      <c r="A1476">
        <f>HYPERLINK("https://www.philgeps.gov.ph/GEPSNONPILOT/Tender/SplashBidNoticeAbstractUI.aspx?menuIndex=3&amp;refID=7083395&amp;Result=3","7083395")</f>
        <v>0</v>
      </c>
      <c r="B1476" t="s">
        <v>74</v>
      </c>
      <c r="C1476" t="s">
        <v>4944</v>
      </c>
      <c r="D1476" t="s">
        <v>18108</v>
      </c>
      <c r="E1476" t="s">
        <v>19573</v>
      </c>
      <c r="F1476" t="s">
        <v>31362</v>
      </c>
      <c r="G1476" t="s">
        <v>31368</v>
      </c>
      <c r="H1476" t="s">
        <v>15799</v>
      </c>
      <c r="I1476" t="s">
        <v>31422</v>
      </c>
      <c r="J1476" t="s">
        <v>32601</v>
      </c>
      <c r="K1476" t="s">
        <v>40662</v>
      </c>
      <c r="M1476" t="s">
        <v>41587</v>
      </c>
      <c r="N1476" t="s">
        <v>44905</v>
      </c>
      <c r="O1476" t="s">
        <v>44906</v>
      </c>
      <c r="P1476">
        <v>0</v>
      </c>
      <c r="Q1476">
        <v>6</v>
      </c>
      <c r="R1476" t="s">
        <v>44907</v>
      </c>
      <c r="S1476" t="s">
        <v>45026</v>
      </c>
      <c r="T1476" t="s">
        <v>46417</v>
      </c>
      <c r="U1476" t="s">
        <v>48165</v>
      </c>
      <c r="W1476" t="s">
        <v>41587</v>
      </c>
      <c r="X1476" t="s">
        <v>44908</v>
      </c>
    </row>
    <row r="1477" spans="1:24">
      <c r="A1477">
        <f>HYPERLINK("https://www.philgeps.gov.ph/GEPSNONPILOT/Tender/SplashBidNoticeAbstractUI.aspx?menuIndex=3&amp;refID=7083404&amp;Result=3","7083404")</f>
        <v>0</v>
      </c>
      <c r="B1477" t="s">
        <v>124</v>
      </c>
      <c r="C1477" t="s">
        <v>4945</v>
      </c>
      <c r="D1477" t="s">
        <v>18146</v>
      </c>
      <c r="E1477" t="s">
        <v>19574</v>
      </c>
      <c r="F1477" t="s">
        <v>31362</v>
      </c>
      <c r="G1477" t="s">
        <v>31368</v>
      </c>
      <c r="H1477" t="s">
        <v>15799</v>
      </c>
      <c r="I1477" t="s">
        <v>31380</v>
      </c>
      <c r="J1477" t="s">
        <v>32165</v>
      </c>
      <c r="K1477" t="s">
        <v>40670</v>
      </c>
      <c r="M1477" t="s">
        <v>41061</v>
      </c>
      <c r="N1477" t="s">
        <v>44905</v>
      </c>
      <c r="O1477" t="s">
        <v>44906</v>
      </c>
      <c r="P1477">
        <v>0</v>
      </c>
      <c r="Q1477">
        <v>5</v>
      </c>
      <c r="R1477" t="s">
        <v>44907</v>
      </c>
      <c r="S1477" t="s">
        <v>45026</v>
      </c>
      <c r="T1477" t="s">
        <v>46409</v>
      </c>
      <c r="U1477" t="s">
        <v>48141</v>
      </c>
      <c r="V1477" t="s">
        <v>59220</v>
      </c>
      <c r="W1477" t="s">
        <v>41061</v>
      </c>
      <c r="X1477" t="s">
        <v>44908</v>
      </c>
    </row>
    <row r="1478" spans="1:24">
      <c r="A1478">
        <f>HYPERLINK("https://www.philgeps.gov.ph/GEPSNONPILOT/Tender/SplashBidNoticeAbstractUI.aspx?menuIndex=3&amp;refID=7083387&amp;Result=3","7083387")</f>
        <v>0</v>
      </c>
      <c r="B1478" t="s">
        <v>628</v>
      </c>
      <c r="C1478" t="s">
        <v>4946</v>
      </c>
      <c r="D1478" t="s">
        <v>18116</v>
      </c>
      <c r="E1478" t="s">
        <v>19575</v>
      </c>
      <c r="F1478" t="s">
        <v>31362</v>
      </c>
      <c r="G1478" t="s">
        <v>31368</v>
      </c>
      <c r="H1478" t="s">
        <v>15799</v>
      </c>
      <c r="I1478" t="s">
        <v>4057</v>
      </c>
      <c r="J1478" t="s">
        <v>31819</v>
      </c>
      <c r="K1478" t="s">
        <v>40662</v>
      </c>
      <c r="M1478" t="s">
        <v>41588</v>
      </c>
      <c r="N1478" t="s">
        <v>44905</v>
      </c>
      <c r="O1478" t="s">
        <v>44906</v>
      </c>
      <c r="P1478">
        <v>0</v>
      </c>
      <c r="Q1478">
        <v>0</v>
      </c>
      <c r="R1478" t="s">
        <v>44907</v>
      </c>
      <c r="S1478" t="s">
        <v>45026</v>
      </c>
      <c r="T1478" t="s">
        <v>46443</v>
      </c>
      <c r="U1478" t="s">
        <v>48166</v>
      </c>
      <c r="W1478" t="s">
        <v>41588</v>
      </c>
      <c r="X1478" t="s">
        <v>44908</v>
      </c>
    </row>
    <row r="1479" spans="1:24">
      <c r="A1479">
        <f>HYPERLINK("https://www.philgeps.gov.ph/GEPSNONPILOT/Tender/SplashBidNoticeAbstractUI.aspx?menuIndex=3&amp;refID=7083397&amp;Result=3","7083397")</f>
        <v>0</v>
      </c>
      <c r="B1479" t="s">
        <v>647</v>
      </c>
      <c r="C1479" t="s">
        <v>4947</v>
      </c>
      <c r="D1479" t="s">
        <v>18100</v>
      </c>
      <c r="E1479" t="s">
        <v>19576</v>
      </c>
      <c r="F1479" t="s">
        <v>31362</v>
      </c>
      <c r="G1479" t="s">
        <v>31368</v>
      </c>
      <c r="H1479" t="s">
        <v>15799</v>
      </c>
      <c r="I1479" t="s">
        <v>31380</v>
      </c>
      <c r="J1479" t="s">
        <v>32602</v>
      </c>
      <c r="K1479" t="s">
        <v>40670</v>
      </c>
      <c r="M1479" t="s">
        <v>41608</v>
      </c>
      <c r="N1479" t="s">
        <v>44905</v>
      </c>
      <c r="O1479" t="s">
        <v>44906</v>
      </c>
      <c r="P1479">
        <v>0</v>
      </c>
      <c r="Q1479">
        <v>4</v>
      </c>
      <c r="R1479" t="s">
        <v>44907</v>
      </c>
      <c r="S1479" t="s">
        <v>45026</v>
      </c>
      <c r="T1479" t="s">
        <v>46425</v>
      </c>
      <c r="U1479" t="s">
        <v>48167</v>
      </c>
      <c r="W1479" t="s">
        <v>60862</v>
      </c>
      <c r="X1479" t="s">
        <v>44908</v>
      </c>
    </row>
    <row r="1480" spans="1:24">
      <c r="A1480">
        <f>HYPERLINK("https://www.philgeps.gov.ph/GEPSNONPILOT/Tender/SplashBidNoticeAbstractUI.aspx?menuIndex=3&amp;refID=7083385&amp;Result=3","7083385")</f>
        <v>0</v>
      </c>
      <c r="B1480" t="s">
        <v>134</v>
      </c>
      <c r="C1480" t="s">
        <v>4948</v>
      </c>
      <c r="D1480" t="s">
        <v>18108</v>
      </c>
      <c r="E1480" t="s">
        <v>19577</v>
      </c>
      <c r="F1480" t="s">
        <v>31362</v>
      </c>
      <c r="G1480" t="s">
        <v>31369</v>
      </c>
      <c r="H1480" t="s">
        <v>15799</v>
      </c>
      <c r="I1480" t="s">
        <v>7719</v>
      </c>
      <c r="J1480" t="s">
        <v>32603</v>
      </c>
      <c r="K1480" t="s">
        <v>40662</v>
      </c>
      <c r="L1480" t="s">
        <v>134</v>
      </c>
      <c r="M1480" t="s">
        <v>41370</v>
      </c>
      <c r="N1480" t="s">
        <v>44905</v>
      </c>
      <c r="O1480" t="s">
        <v>44906</v>
      </c>
      <c r="P1480">
        <v>0</v>
      </c>
      <c r="Q1480">
        <v>11</v>
      </c>
      <c r="R1480" t="s">
        <v>44907</v>
      </c>
      <c r="S1480" t="s">
        <v>45026</v>
      </c>
      <c r="T1480" t="s">
        <v>46431</v>
      </c>
      <c r="U1480" t="s">
        <v>47674</v>
      </c>
      <c r="W1480" t="s">
        <v>41370</v>
      </c>
      <c r="X1480" t="s">
        <v>44908</v>
      </c>
    </row>
    <row r="1481" spans="1:24">
      <c r="A1481">
        <f>HYPERLINK("https://www.philgeps.gov.ph/GEPSNONPILOT/Tender/SplashBidNoticeAbstractUI.aspx?menuIndex=3&amp;refID=7083382&amp;Result=3","7083382")</f>
        <v>0</v>
      </c>
      <c r="B1481" t="s">
        <v>91</v>
      </c>
      <c r="C1481" t="s">
        <v>4600</v>
      </c>
      <c r="D1481" t="s">
        <v>18136</v>
      </c>
      <c r="E1481" t="s">
        <v>19578</v>
      </c>
      <c r="F1481" t="s">
        <v>31362</v>
      </c>
      <c r="G1481" t="s">
        <v>31370</v>
      </c>
      <c r="H1481" t="s">
        <v>15799</v>
      </c>
      <c r="I1481" t="s">
        <v>31394</v>
      </c>
      <c r="J1481" t="s">
        <v>32143</v>
      </c>
      <c r="K1481" t="s">
        <v>40661</v>
      </c>
      <c r="M1481" t="s">
        <v>41028</v>
      </c>
      <c r="N1481" t="s">
        <v>44905</v>
      </c>
      <c r="O1481" t="s">
        <v>44906</v>
      </c>
      <c r="P1481">
        <v>0</v>
      </c>
      <c r="Q1481">
        <v>0</v>
      </c>
      <c r="R1481" t="s">
        <v>44907</v>
      </c>
      <c r="S1481" t="s">
        <v>45026</v>
      </c>
      <c r="T1481" t="s">
        <v>46411</v>
      </c>
      <c r="U1481" t="s">
        <v>48168</v>
      </c>
      <c r="W1481" t="s">
        <v>41028</v>
      </c>
      <c r="X1481" t="s">
        <v>44908</v>
      </c>
    </row>
    <row r="1482" spans="1:24">
      <c r="A1482">
        <f>HYPERLINK("https://www.philgeps.gov.ph/GEPSNONPILOT/Tender/SplashBidNoticeAbstractUI.aspx?menuIndex=3&amp;refID=7083376&amp;Result=3","7083376")</f>
        <v>0</v>
      </c>
      <c r="B1482" t="s">
        <v>648</v>
      </c>
      <c r="C1482" t="s">
        <v>4949</v>
      </c>
      <c r="D1482" t="s">
        <v>18185</v>
      </c>
      <c r="E1482" t="s">
        <v>19579</v>
      </c>
      <c r="F1482" t="s">
        <v>31362</v>
      </c>
      <c r="G1482" t="s">
        <v>31368</v>
      </c>
      <c r="H1482" t="s">
        <v>15799</v>
      </c>
      <c r="I1482" t="s">
        <v>31382</v>
      </c>
      <c r="J1482" t="s">
        <v>32090</v>
      </c>
      <c r="K1482" t="s">
        <v>40665</v>
      </c>
      <c r="M1482" t="s">
        <v>41609</v>
      </c>
      <c r="N1482" t="s">
        <v>44905</v>
      </c>
      <c r="O1482" t="s">
        <v>44906</v>
      </c>
      <c r="P1482">
        <v>0</v>
      </c>
      <c r="Q1482">
        <v>3</v>
      </c>
      <c r="R1482" t="s">
        <v>44907</v>
      </c>
      <c r="S1482" t="s">
        <v>45026</v>
      </c>
      <c r="T1482" t="s">
        <v>46411</v>
      </c>
      <c r="U1482" t="s">
        <v>48169</v>
      </c>
      <c r="W1482" t="s">
        <v>41609</v>
      </c>
      <c r="X1482" t="s">
        <v>44908</v>
      </c>
    </row>
    <row r="1483" spans="1:24">
      <c r="A1483">
        <f>HYPERLINK("https://www.philgeps.gov.ph/GEPSNONPILOT/Tender/SplashBidNoticeAbstractUI.aspx?menuIndex=3&amp;refID=7083375&amp;Result=3","7083375")</f>
        <v>0</v>
      </c>
      <c r="B1483" t="s">
        <v>638</v>
      </c>
      <c r="C1483" t="s">
        <v>4913</v>
      </c>
      <c r="D1483" t="s">
        <v>18177</v>
      </c>
      <c r="E1483" t="s">
        <v>19580</v>
      </c>
      <c r="F1483" t="s">
        <v>31362</v>
      </c>
      <c r="G1483" t="s">
        <v>31372</v>
      </c>
      <c r="H1483" t="s">
        <v>15799</v>
      </c>
      <c r="I1483" t="s">
        <v>31396</v>
      </c>
      <c r="J1483" t="s">
        <v>32296</v>
      </c>
      <c r="K1483" t="s">
        <v>40662</v>
      </c>
      <c r="M1483" t="s">
        <v>41598</v>
      </c>
      <c r="N1483" t="s">
        <v>44905</v>
      </c>
      <c r="O1483" t="s">
        <v>44906</v>
      </c>
      <c r="P1483">
        <v>0</v>
      </c>
      <c r="Q1483">
        <v>12</v>
      </c>
      <c r="R1483" t="s">
        <v>44907</v>
      </c>
      <c r="S1483" t="s">
        <v>45026</v>
      </c>
      <c r="T1483" t="s">
        <v>46392</v>
      </c>
      <c r="U1483" t="s">
        <v>48140</v>
      </c>
      <c r="W1483" t="s">
        <v>41598</v>
      </c>
      <c r="X1483" t="s">
        <v>44908</v>
      </c>
    </row>
    <row r="1484" spans="1:24">
      <c r="A1484">
        <f>HYPERLINK("https://www.philgeps.gov.ph/GEPSNONPILOT/Tender/SplashBidNoticeAbstractUI.aspx?menuIndex=3&amp;refID=7083345&amp;Result=3","7083345")</f>
        <v>0</v>
      </c>
      <c r="B1484" t="s">
        <v>573</v>
      </c>
      <c r="C1484" t="s">
        <v>4950</v>
      </c>
      <c r="D1484" t="s">
        <v>18105</v>
      </c>
      <c r="E1484" t="s">
        <v>19581</v>
      </c>
      <c r="F1484" t="s">
        <v>31362</v>
      </c>
      <c r="G1484" t="s">
        <v>31368</v>
      </c>
      <c r="H1484" t="s">
        <v>15799</v>
      </c>
      <c r="I1484" t="s">
        <v>4283</v>
      </c>
      <c r="J1484" t="s">
        <v>31536</v>
      </c>
      <c r="K1484" t="s">
        <v>40661</v>
      </c>
      <c r="M1484" t="s">
        <v>41529</v>
      </c>
      <c r="N1484" t="s">
        <v>44905</v>
      </c>
      <c r="O1484" t="s">
        <v>44906</v>
      </c>
      <c r="P1484">
        <v>0</v>
      </c>
      <c r="Q1484">
        <v>0</v>
      </c>
      <c r="R1484" t="s">
        <v>44907</v>
      </c>
      <c r="S1484" t="s">
        <v>45026</v>
      </c>
      <c r="T1484" t="s">
        <v>46483</v>
      </c>
      <c r="U1484" t="s">
        <v>48170</v>
      </c>
      <c r="W1484" t="s">
        <v>41529</v>
      </c>
      <c r="X1484" t="s">
        <v>44908</v>
      </c>
    </row>
    <row r="1485" spans="1:24">
      <c r="A1485">
        <f>HYPERLINK("https://www.philgeps.gov.ph/GEPSNONPILOT/Tender/SplashBidNoticeAbstractUI.aspx?menuIndex=3&amp;refID=7083388&amp;Result=3","7083388")</f>
        <v>0</v>
      </c>
      <c r="B1485" t="s">
        <v>649</v>
      </c>
      <c r="C1485" t="s">
        <v>4951</v>
      </c>
      <c r="D1485" t="s">
        <v>18152</v>
      </c>
      <c r="E1485" t="s">
        <v>19582</v>
      </c>
      <c r="F1485" t="s">
        <v>31362</v>
      </c>
      <c r="G1485" t="s">
        <v>31369</v>
      </c>
      <c r="H1485" t="s">
        <v>15799</v>
      </c>
      <c r="I1485" t="s">
        <v>31427</v>
      </c>
      <c r="J1485" t="s">
        <v>32604</v>
      </c>
      <c r="K1485" t="s">
        <v>40665</v>
      </c>
      <c r="M1485" t="s">
        <v>41610</v>
      </c>
      <c r="N1485" t="s">
        <v>44905</v>
      </c>
      <c r="O1485" t="s">
        <v>44906</v>
      </c>
      <c r="P1485">
        <v>0</v>
      </c>
      <c r="Q1485">
        <v>3</v>
      </c>
      <c r="R1485" t="s">
        <v>44907</v>
      </c>
      <c r="S1485" t="s">
        <v>45026</v>
      </c>
      <c r="T1485" t="s">
        <v>46566</v>
      </c>
      <c r="U1485" t="s">
        <v>48171</v>
      </c>
      <c r="V1485" t="s">
        <v>59221</v>
      </c>
      <c r="W1485" t="s">
        <v>41610</v>
      </c>
      <c r="X1485" t="s">
        <v>44908</v>
      </c>
    </row>
    <row r="1486" spans="1:24">
      <c r="A1486">
        <f>HYPERLINK("https://www.philgeps.gov.ph/GEPSNONPILOT/Tender/SplashBidNoticeAbstractUI.aspx?menuIndex=3&amp;refID=7083398&amp;Result=3","7083398")</f>
        <v>0</v>
      </c>
      <c r="B1486" t="s">
        <v>630</v>
      </c>
      <c r="C1486" t="s">
        <v>4952</v>
      </c>
      <c r="D1486" t="s">
        <v>18181</v>
      </c>
      <c r="E1486" t="s">
        <v>19583</v>
      </c>
      <c r="F1486" t="s">
        <v>31362</v>
      </c>
      <c r="G1486" t="s">
        <v>31369</v>
      </c>
      <c r="H1486" t="s">
        <v>31378</v>
      </c>
      <c r="I1486" t="s">
        <v>31386</v>
      </c>
      <c r="J1486" t="s">
        <v>32605</v>
      </c>
      <c r="K1486" t="s">
        <v>40675</v>
      </c>
      <c r="M1486" t="s">
        <v>41590</v>
      </c>
      <c r="N1486" t="s">
        <v>44905</v>
      </c>
      <c r="O1486" t="s">
        <v>44906</v>
      </c>
      <c r="P1486">
        <v>0</v>
      </c>
      <c r="Q1486">
        <v>0</v>
      </c>
      <c r="R1486" t="s">
        <v>44907</v>
      </c>
      <c r="S1486" t="s">
        <v>45026</v>
      </c>
      <c r="T1486" t="s">
        <v>46564</v>
      </c>
      <c r="U1486" t="s">
        <v>48129</v>
      </c>
      <c r="W1486" t="s">
        <v>41590</v>
      </c>
      <c r="X1486" t="s">
        <v>44908</v>
      </c>
    </row>
    <row r="1487" spans="1:24">
      <c r="A1487">
        <f>HYPERLINK("https://www.philgeps.gov.ph/GEPSNONPILOT/Tender/SplashBidNoticeAbstractUI.aspx?menuIndex=3&amp;refID=7083378&amp;Result=3","7083378")</f>
        <v>0</v>
      </c>
      <c r="B1487" t="s">
        <v>627</v>
      </c>
      <c r="C1487" t="s">
        <v>4953</v>
      </c>
      <c r="D1487" t="s">
        <v>18105</v>
      </c>
      <c r="E1487" t="s">
        <v>19584</v>
      </c>
      <c r="F1487" t="s">
        <v>31362</v>
      </c>
      <c r="G1487" t="s">
        <v>31368</v>
      </c>
      <c r="H1487" t="s">
        <v>15799</v>
      </c>
      <c r="I1487" t="s">
        <v>31456</v>
      </c>
      <c r="J1487" t="s">
        <v>32606</v>
      </c>
      <c r="K1487" t="s">
        <v>40665</v>
      </c>
      <c r="M1487" t="s">
        <v>41586</v>
      </c>
      <c r="N1487" t="s">
        <v>44905</v>
      </c>
      <c r="O1487" t="s">
        <v>44906</v>
      </c>
      <c r="P1487">
        <v>0</v>
      </c>
      <c r="Q1487">
        <v>4</v>
      </c>
      <c r="R1487" t="s">
        <v>44907</v>
      </c>
      <c r="S1487" t="s">
        <v>45026</v>
      </c>
      <c r="T1487" t="s">
        <v>46393</v>
      </c>
      <c r="U1487" t="s">
        <v>48172</v>
      </c>
      <c r="W1487" t="s">
        <v>41586</v>
      </c>
      <c r="X1487" t="s">
        <v>44908</v>
      </c>
    </row>
    <row r="1488" spans="1:24">
      <c r="A1488">
        <f>HYPERLINK("https://www.philgeps.gov.ph/GEPSNONPILOT/Tender/SplashBidNoticeAbstractUI.aspx?menuIndex=3&amp;refID=7083292&amp;Result=3","7083292")</f>
        <v>0</v>
      </c>
      <c r="B1488" t="s">
        <v>650</v>
      </c>
      <c r="C1488" t="s">
        <v>4954</v>
      </c>
      <c r="D1488" t="s">
        <v>18116</v>
      </c>
      <c r="E1488" t="s">
        <v>19255</v>
      </c>
      <c r="F1488" t="s">
        <v>31362</v>
      </c>
      <c r="G1488" t="s">
        <v>31369</v>
      </c>
      <c r="H1488" t="s">
        <v>15799</v>
      </c>
      <c r="I1488" t="s">
        <v>31413</v>
      </c>
      <c r="J1488" t="s">
        <v>32340</v>
      </c>
      <c r="K1488" t="s">
        <v>40666</v>
      </c>
      <c r="M1488" t="s">
        <v>41611</v>
      </c>
      <c r="N1488" t="s">
        <v>44905</v>
      </c>
      <c r="O1488" t="s">
        <v>44906</v>
      </c>
      <c r="P1488">
        <v>0</v>
      </c>
      <c r="Q1488">
        <v>1</v>
      </c>
      <c r="R1488" t="s">
        <v>44907</v>
      </c>
      <c r="S1488" t="s">
        <v>45026</v>
      </c>
      <c r="T1488" t="s">
        <v>46415</v>
      </c>
      <c r="U1488" t="s">
        <v>48173</v>
      </c>
      <c r="W1488" t="s">
        <v>41611</v>
      </c>
      <c r="X1488" t="s">
        <v>44908</v>
      </c>
    </row>
    <row r="1489" spans="1:24">
      <c r="A1489">
        <f>HYPERLINK("https://www.philgeps.gov.ph/GEPSNONPILOT/Tender/SplashBidNoticeAbstractUI.aspx?menuIndex=3&amp;refID=7083291&amp;Result=3","7083291")</f>
        <v>0</v>
      </c>
      <c r="B1489" t="s">
        <v>556</v>
      </c>
      <c r="C1489" t="s">
        <v>4955</v>
      </c>
      <c r="D1489" t="s">
        <v>18122</v>
      </c>
      <c r="E1489" t="s">
        <v>19585</v>
      </c>
      <c r="F1489" t="s">
        <v>31362</v>
      </c>
      <c r="G1489" t="s">
        <v>31368</v>
      </c>
      <c r="H1489" t="s">
        <v>15799</v>
      </c>
      <c r="I1489" t="s">
        <v>31380</v>
      </c>
      <c r="J1489" t="s">
        <v>32607</v>
      </c>
      <c r="K1489" t="s">
        <v>40665</v>
      </c>
      <c r="M1489" t="s">
        <v>41512</v>
      </c>
      <c r="N1489" t="s">
        <v>44905</v>
      </c>
      <c r="O1489" t="s">
        <v>44906</v>
      </c>
      <c r="P1489">
        <v>0</v>
      </c>
      <c r="Q1489">
        <v>3</v>
      </c>
      <c r="R1489" t="s">
        <v>44907</v>
      </c>
      <c r="S1489" t="s">
        <v>45026</v>
      </c>
      <c r="T1489" t="s">
        <v>46478</v>
      </c>
      <c r="U1489" t="s">
        <v>47991</v>
      </c>
      <c r="W1489" t="s">
        <v>60858</v>
      </c>
      <c r="X1489" t="s">
        <v>44908</v>
      </c>
    </row>
    <row r="1490" spans="1:24">
      <c r="A1490">
        <f>HYPERLINK("https://www.philgeps.gov.ph/GEPSNONPILOT/Tender/SplashBidNoticeAbstractUI.aspx?menuIndex=3&amp;refID=7083357&amp;Result=3","7083357")</f>
        <v>0</v>
      </c>
      <c r="B1490" t="s">
        <v>630</v>
      </c>
      <c r="C1490" t="s">
        <v>4956</v>
      </c>
      <c r="D1490" t="s">
        <v>18181</v>
      </c>
      <c r="E1490" t="s">
        <v>19586</v>
      </c>
      <c r="F1490" t="s">
        <v>31362</v>
      </c>
      <c r="G1490" t="s">
        <v>31369</v>
      </c>
      <c r="H1490" t="s">
        <v>31378</v>
      </c>
      <c r="I1490" t="s">
        <v>31386</v>
      </c>
      <c r="J1490" t="s">
        <v>32608</v>
      </c>
      <c r="K1490" t="s">
        <v>40686</v>
      </c>
      <c r="M1490" t="s">
        <v>41590</v>
      </c>
      <c r="N1490" t="s">
        <v>44905</v>
      </c>
      <c r="O1490" t="s">
        <v>44906</v>
      </c>
      <c r="P1490">
        <v>0</v>
      </c>
      <c r="Q1490">
        <v>0</v>
      </c>
      <c r="R1490" t="s">
        <v>44907</v>
      </c>
      <c r="S1490" t="s">
        <v>45026</v>
      </c>
      <c r="T1490" t="s">
        <v>46564</v>
      </c>
      <c r="U1490" t="s">
        <v>48129</v>
      </c>
      <c r="W1490" t="s">
        <v>41590</v>
      </c>
      <c r="X1490" t="s">
        <v>44908</v>
      </c>
    </row>
    <row r="1491" spans="1:24">
      <c r="A1491">
        <f>HYPERLINK("https://www.philgeps.gov.ph/GEPSNONPILOT/Tender/SplashBidNoticeAbstractUI.aspx?menuIndex=3&amp;refID=7083287&amp;Result=3","7083287")</f>
        <v>0</v>
      </c>
      <c r="B1491" t="s">
        <v>421</v>
      </c>
      <c r="C1491" t="s">
        <v>4957</v>
      </c>
      <c r="D1491" t="s">
        <v>18133</v>
      </c>
      <c r="E1491" t="s">
        <v>19587</v>
      </c>
      <c r="F1491" t="s">
        <v>31362</v>
      </c>
      <c r="G1491" t="s">
        <v>31369</v>
      </c>
      <c r="H1491" t="s">
        <v>31378</v>
      </c>
      <c r="I1491" t="s">
        <v>31386</v>
      </c>
      <c r="J1491" t="s">
        <v>32609</v>
      </c>
      <c r="K1491" t="s">
        <v>40683</v>
      </c>
      <c r="M1491" t="s">
        <v>41372</v>
      </c>
      <c r="N1491" t="s">
        <v>44905</v>
      </c>
      <c r="O1491" t="s">
        <v>44906</v>
      </c>
      <c r="P1491">
        <v>0</v>
      </c>
      <c r="Q1491">
        <v>0</v>
      </c>
      <c r="R1491" t="s">
        <v>44907</v>
      </c>
      <c r="S1491" t="s">
        <v>45026</v>
      </c>
      <c r="T1491" t="s">
        <v>46496</v>
      </c>
      <c r="U1491" t="s">
        <v>48174</v>
      </c>
      <c r="W1491" t="s">
        <v>41372</v>
      </c>
      <c r="X1491" t="s">
        <v>44908</v>
      </c>
    </row>
    <row r="1492" spans="1:24">
      <c r="A1492">
        <f>HYPERLINK("https://www.philgeps.gov.ph/GEPSNONPILOT/Tender/SplashBidNoticeAbstractUI.aspx?menuIndex=3&amp;refID=7083285&amp;Result=3","7083285")</f>
        <v>0</v>
      </c>
      <c r="B1492" t="s">
        <v>625</v>
      </c>
      <c r="C1492" t="s">
        <v>4958</v>
      </c>
      <c r="D1492" t="s">
        <v>18138</v>
      </c>
      <c r="E1492" t="s">
        <v>18625</v>
      </c>
      <c r="F1492" t="s">
        <v>31362</v>
      </c>
      <c r="G1492" t="s">
        <v>31369</v>
      </c>
      <c r="H1492" t="s">
        <v>15799</v>
      </c>
      <c r="I1492" t="s">
        <v>31384</v>
      </c>
      <c r="J1492" t="s">
        <v>31530</v>
      </c>
      <c r="K1492" t="s">
        <v>40661</v>
      </c>
      <c r="M1492" t="s">
        <v>41584</v>
      </c>
      <c r="N1492" t="s">
        <v>44905</v>
      </c>
      <c r="O1492" t="s">
        <v>44906</v>
      </c>
      <c r="P1492">
        <v>0</v>
      </c>
      <c r="Q1492">
        <v>2</v>
      </c>
      <c r="R1492" t="s">
        <v>44907</v>
      </c>
      <c r="S1492" t="s">
        <v>45026</v>
      </c>
      <c r="T1492" t="s">
        <v>46560</v>
      </c>
      <c r="U1492" t="s">
        <v>48175</v>
      </c>
      <c r="W1492" t="s">
        <v>41584</v>
      </c>
      <c r="X1492" t="s">
        <v>44908</v>
      </c>
    </row>
    <row r="1493" spans="1:24">
      <c r="A1493">
        <f>HYPERLINK("https://www.philgeps.gov.ph/GEPSNONPILOT/Tender/SplashBidNoticeAbstractUI.aspx?menuIndex=3&amp;refID=7083259&amp;Result=3","7083259")</f>
        <v>0</v>
      </c>
      <c r="B1493" t="s">
        <v>298</v>
      </c>
      <c r="C1493" t="s">
        <v>4959</v>
      </c>
      <c r="D1493" t="s">
        <v>18168</v>
      </c>
      <c r="E1493" t="s">
        <v>19588</v>
      </c>
      <c r="F1493" t="s">
        <v>31362</v>
      </c>
      <c r="G1493" t="s">
        <v>31368</v>
      </c>
      <c r="H1493" t="s">
        <v>15799</v>
      </c>
      <c r="I1493" t="s">
        <v>31430</v>
      </c>
      <c r="J1493" t="s">
        <v>32610</v>
      </c>
      <c r="K1493" t="s">
        <v>40662</v>
      </c>
      <c r="M1493" t="s">
        <v>41241</v>
      </c>
      <c r="N1493" t="s">
        <v>44905</v>
      </c>
      <c r="O1493" t="s">
        <v>44906</v>
      </c>
      <c r="P1493">
        <v>0</v>
      </c>
      <c r="Q1493">
        <v>0</v>
      </c>
      <c r="R1493" t="s">
        <v>44907</v>
      </c>
      <c r="S1493" t="s">
        <v>45026</v>
      </c>
      <c r="T1493" t="s">
        <v>46506</v>
      </c>
      <c r="U1493" t="s">
        <v>48176</v>
      </c>
      <c r="W1493" t="s">
        <v>41241</v>
      </c>
      <c r="X1493" t="s">
        <v>44908</v>
      </c>
    </row>
    <row r="1494" spans="1:24">
      <c r="A1494">
        <f>HYPERLINK("https://www.philgeps.gov.ph/GEPSNONPILOT/Tender/SplashBidNoticeAbstractUI.aspx?menuIndex=3&amp;refID=7083252&amp;Result=3","7083252")</f>
        <v>0</v>
      </c>
      <c r="B1494" t="s">
        <v>625</v>
      </c>
      <c r="C1494" t="s">
        <v>4960</v>
      </c>
      <c r="D1494" t="s">
        <v>18138</v>
      </c>
      <c r="E1494" t="s">
        <v>18464</v>
      </c>
      <c r="F1494" t="s">
        <v>31362</v>
      </c>
      <c r="G1494" t="s">
        <v>31369</v>
      </c>
      <c r="H1494" t="s">
        <v>15799</v>
      </c>
      <c r="I1494" t="s">
        <v>3815</v>
      </c>
      <c r="J1494" t="s">
        <v>32611</v>
      </c>
      <c r="K1494" t="s">
        <v>40661</v>
      </c>
      <c r="M1494" t="s">
        <v>41584</v>
      </c>
      <c r="N1494" t="s">
        <v>44905</v>
      </c>
      <c r="O1494" t="s">
        <v>44906</v>
      </c>
      <c r="P1494">
        <v>0</v>
      </c>
      <c r="Q1494">
        <v>1</v>
      </c>
      <c r="R1494" t="s">
        <v>44907</v>
      </c>
      <c r="S1494" t="s">
        <v>45026</v>
      </c>
      <c r="T1494" t="s">
        <v>46560</v>
      </c>
      <c r="U1494" t="s">
        <v>48177</v>
      </c>
      <c r="W1494" t="s">
        <v>41584</v>
      </c>
      <c r="X1494" t="s">
        <v>44908</v>
      </c>
    </row>
    <row r="1495" spans="1:24">
      <c r="A1495">
        <f>HYPERLINK("https://www.philgeps.gov.ph/GEPSNONPILOT/Tender/SplashBidNoticeAbstractUI.aspx?menuIndex=3&amp;refID=7083250&amp;Result=3","7083250")</f>
        <v>0</v>
      </c>
      <c r="B1495" t="s">
        <v>604</v>
      </c>
      <c r="C1495" t="s">
        <v>4961</v>
      </c>
      <c r="D1495" t="s">
        <v>18122</v>
      </c>
      <c r="E1495" t="s">
        <v>19589</v>
      </c>
      <c r="F1495" t="s">
        <v>31362</v>
      </c>
      <c r="G1495" t="s">
        <v>31373</v>
      </c>
      <c r="H1495" t="s">
        <v>31378</v>
      </c>
      <c r="I1495" t="s">
        <v>31386</v>
      </c>
      <c r="J1495" t="s">
        <v>32612</v>
      </c>
      <c r="K1495" t="s">
        <v>40725</v>
      </c>
      <c r="M1495" t="s">
        <v>41562</v>
      </c>
      <c r="N1495" t="s">
        <v>44905</v>
      </c>
      <c r="O1495" t="s">
        <v>44906</v>
      </c>
      <c r="P1495">
        <v>0</v>
      </c>
      <c r="Q1495">
        <v>2</v>
      </c>
      <c r="R1495" t="s">
        <v>44907</v>
      </c>
      <c r="S1495" t="s">
        <v>45026</v>
      </c>
      <c r="T1495" t="s">
        <v>46429</v>
      </c>
      <c r="U1495" t="s">
        <v>48178</v>
      </c>
      <c r="V1495" t="s">
        <v>59212</v>
      </c>
      <c r="W1495" t="s">
        <v>41562</v>
      </c>
      <c r="X1495" t="s">
        <v>44908</v>
      </c>
    </row>
    <row r="1496" spans="1:24">
      <c r="A1496">
        <f>HYPERLINK("https://www.philgeps.gov.ph/GEPSNONPILOT/Tender/SplashBidNoticeAbstractUI.aspx?menuIndex=3&amp;refID=7083293&amp;Result=3","7083293")</f>
        <v>0</v>
      </c>
      <c r="B1496" t="s">
        <v>584</v>
      </c>
      <c r="C1496" t="s">
        <v>4962</v>
      </c>
      <c r="D1496" t="s">
        <v>18158</v>
      </c>
      <c r="E1496" t="s">
        <v>19590</v>
      </c>
      <c r="F1496" t="s">
        <v>31362</v>
      </c>
      <c r="G1496" t="s">
        <v>31369</v>
      </c>
      <c r="H1496" t="s">
        <v>31378</v>
      </c>
      <c r="I1496" t="s">
        <v>31386</v>
      </c>
      <c r="J1496" t="s">
        <v>32613</v>
      </c>
      <c r="K1496" t="s">
        <v>40727</v>
      </c>
      <c r="M1496" t="s">
        <v>41541</v>
      </c>
      <c r="N1496" t="s">
        <v>44905</v>
      </c>
      <c r="O1496" t="s">
        <v>44906</v>
      </c>
      <c r="P1496">
        <v>0</v>
      </c>
      <c r="Q1496">
        <v>0</v>
      </c>
      <c r="R1496" t="s">
        <v>44907</v>
      </c>
      <c r="S1496" t="s">
        <v>45026</v>
      </c>
      <c r="T1496" t="s">
        <v>46559</v>
      </c>
      <c r="U1496" t="s">
        <v>48048</v>
      </c>
      <c r="W1496" t="s">
        <v>41541</v>
      </c>
      <c r="X1496" t="s">
        <v>44908</v>
      </c>
    </row>
    <row r="1497" spans="1:24">
      <c r="A1497">
        <f>HYPERLINK("https://www.philgeps.gov.ph/GEPSNONPILOT/Tender/SplashBidNoticeAbstractUI.aspx?menuIndex=3&amp;refID=7083286&amp;Result=3","7083286")</f>
        <v>0</v>
      </c>
      <c r="B1497" t="s">
        <v>178</v>
      </c>
      <c r="C1497" t="s">
        <v>4963</v>
      </c>
      <c r="D1497" t="s">
        <v>18126</v>
      </c>
      <c r="E1497" t="s">
        <v>19591</v>
      </c>
      <c r="F1497" t="s">
        <v>31362</v>
      </c>
      <c r="G1497" t="s">
        <v>31369</v>
      </c>
      <c r="H1497" t="s">
        <v>15799</v>
      </c>
      <c r="I1497" t="s">
        <v>7719</v>
      </c>
      <c r="J1497" t="s">
        <v>32614</v>
      </c>
      <c r="K1497" t="s">
        <v>40693</v>
      </c>
      <c r="M1497" t="s">
        <v>41116</v>
      </c>
      <c r="N1497" t="s">
        <v>44905</v>
      </c>
      <c r="O1497" t="s">
        <v>44906</v>
      </c>
      <c r="Q1497">
        <v>3</v>
      </c>
      <c r="R1497" t="s">
        <v>44907</v>
      </c>
      <c r="S1497" t="s">
        <v>45035</v>
      </c>
      <c r="T1497" t="s">
        <v>46424</v>
      </c>
      <c r="U1497" t="s">
        <v>48179</v>
      </c>
      <c r="W1497" t="s">
        <v>41116</v>
      </c>
      <c r="X1497" t="s">
        <v>44908</v>
      </c>
    </row>
    <row r="1498" spans="1:24">
      <c r="A1498">
        <f>HYPERLINK("https://www.philgeps.gov.ph/GEPSNONPILOT/Tender/SplashBidNoticeAbstractUI.aspx?menuIndex=3&amp;refID=7083344&amp;Result=3","7083344")</f>
        <v>0</v>
      </c>
      <c r="B1498" t="s">
        <v>574</v>
      </c>
      <c r="C1498" t="s">
        <v>4964</v>
      </c>
      <c r="D1498" t="s">
        <v>18148</v>
      </c>
      <c r="E1498" t="s">
        <v>19592</v>
      </c>
      <c r="F1498" t="s">
        <v>31362</v>
      </c>
      <c r="G1498" t="s">
        <v>31370</v>
      </c>
      <c r="H1498" t="s">
        <v>15799</v>
      </c>
      <c r="I1498" t="s">
        <v>31385</v>
      </c>
      <c r="J1498" t="s">
        <v>31545</v>
      </c>
      <c r="K1498" t="s">
        <v>40672</v>
      </c>
      <c r="M1498" t="s">
        <v>41530</v>
      </c>
      <c r="N1498" t="s">
        <v>44905</v>
      </c>
      <c r="O1498" t="s">
        <v>44906</v>
      </c>
      <c r="P1498">
        <v>0</v>
      </c>
      <c r="Q1498">
        <v>0</v>
      </c>
      <c r="R1498" t="s">
        <v>44907</v>
      </c>
      <c r="S1498" t="s">
        <v>45026</v>
      </c>
      <c r="T1498" t="s">
        <v>46443</v>
      </c>
      <c r="U1498" t="s">
        <v>48180</v>
      </c>
      <c r="W1498" t="s">
        <v>41530</v>
      </c>
      <c r="X1498" t="s">
        <v>44908</v>
      </c>
    </row>
    <row r="1499" spans="1:24">
      <c r="A1499">
        <f>HYPERLINK("https://www.philgeps.gov.ph/GEPSNONPILOT/Tender/SplashBidNoticeAbstractUI.aspx?menuIndex=3&amp;refID=7083294&amp;Result=3","7083294")</f>
        <v>0</v>
      </c>
      <c r="B1499" t="s">
        <v>604</v>
      </c>
      <c r="C1499" t="s">
        <v>4965</v>
      </c>
      <c r="D1499" t="s">
        <v>18122</v>
      </c>
      <c r="E1499" t="s">
        <v>19593</v>
      </c>
      <c r="F1499" t="s">
        <v>31362</v>
      </c>
      <c r="G1499" t="s">
        <v>31373</v>
      </c>
      <c r="H1499" t="s">
        <v>31378</v>
      </c>
      <c r="I1499" t="s">
        <v>31386</v>
      </c>
      <c r="J1499" t="s">
        <v>32615</v>
      </c>
      <c r="K1499" t="s">
        <v>40725</v>
      </c>
      <c r="M1499" t="s">
        <v>41562</v>
      </c>
      <c r="N1499" t="s">
        <v>44905</v>
      </c>
      <c r="O1499" t="s">
        <v>44906</v>
      </c>
      <c r="P1499">
        <v>0</v>
      </c>
      <c r="Q1499">
        <v>2</v>
      </c>
      <c r="R1499" t="s">
        <v>44907</v>
      </c>
      <c r="S1499" t="s">
        <v>45026</v>
      </c>
      <c r="T1499" t="s">
        <v>46429</v>
      </c>
      <c r="U1499" t="s">
        <v>48181</v>
      </c>
      <c r="V1499" t="s">
        <v>59212</v>
      </c>
      <c r="W1499" t="s">
        <v>41562</v>
      </c>
      <c r="X1499" t="s">
        <v>44908</v>
      </c>
    </row>
    <row r="1500" spans="1:24">
      <c r="A1500">
        <f>HYPERLINK("https://www.philgeps.gov.ph/GEPSNONPILOT/Tender/SplashBidNoticeAbstractUI.aspx?menuIndex=3&amp;refID=7083391&amp;Result=3","7083391")</f>
        <v>0</v>
      </c>
      <c r="B1500" t="s">
        <v>637</v>
      </c>
      <c r="C1500" t="s">
        <v>4966</v>
      </c>
      <c r="D1500" t="s">
        <v>18102</v>
      </c>
      <c r="E1500" t="s">
        <v>19594</v>
      </c>
      <c r="F1500" t="s">
        <v>31362</v>
      </c>
      <c r="G1500" t="s">
        <v>31368</v>
      </c>
      <c r="H1500" t="s">
        <v>15799</v>
      </c>
      <c r="I1500" t="s">
        <v>31387</v>
      </c>
      <c r="J1500" t="s">
        <v>32616</v>
      </c>
      <c r="K1500" t="s">
        <v>40665</v>
      </c>
      <c r="M1500" t="s">
        <v>41597</v>
      </c>
      <c r="N1500" t="s">
        <v>44905</v>
      </c>
      <c r="O1500" t="s">
        <v>44906</v>
      </c>
      <c r="P1500">
        <v>0</v>
      </c>
      <c r="Q1500">
        <v>0</v>
      </c>
      <c r="R1500" t="s">
        <v>44907</v>
      </c>
      <c r="S1500" t="s">
        <v>45026</v>
      </c>
      <c r="T1500" t="s">
        <v>46493</v>
      </c>
      <c r="U1500" t="s">
        <v>48139</v>
      </c>
      <c r="W1500" t="s">
        <v>41597</v>
      </c>
      <c r="X1500" t="s">
        <v>44908</v>
      </c>
    </row>
    <row r="1501" spans="1:24">
      <c r="A1501">
        <f>HYPERLINK("https://www.philgeps.gov.ph/GEPSNONPILOT/Tender/SplashBidNoticeAbstractUI.aspx?menuIndex=3&amp;refID=7083392&amp;Result=3","7083392")</f>
        <v>0</v>
      </c>
      <c r="B1501" t="s">
        <v>273</v>
      </c>
      <c r="C1501" t="s">
        <v>4967</v>
      </c>
      <c r="D1501" t="s">
        <v>18108</v>
      </c>
      <c r="E1501" t="s">
        <v>19595</v>
      </c>
      <c r="F1501" t="s">
        <v>31362</v>
      </c>
      <c r="G1501" t="s">
        <v>31368</v>
      </c>
      <c r="H1501" t="s">
        <v>31379</v>
      </c>
      <c r="I1501" t="s">
        <v>7719</v>
      </c>
      <c r="J1501" t="s">
        <v>32617</v>
      </c>
      <c r="K1501" t="s">
        <v>40666</v>
      </c>
      <c r="M1501" t="s">
        <v>41215</v>
      </c>
      <c r="N1501" t="s">
        <v>44905</v>
      </c>
      <c r="O1501" t="s">
        <v>44906</v>
      </c>
      <c r="P1501">
        <v>0</v>
      </c>
      <c r="Q1501">
        <v>5</v>
      </c>
      <c r="R1501" t="s">
        <v>44907</v>
      </c>
      <c r="S1501" t="s">
        <v>45026</v>
      </c>
      <c r="T1501" t="s">
        <v>46410</v>
      </c>
      <c r="U1501" t="s">
        <v>48182</v>
      </c>
      <c r="V1501" t="s">
        <v>59142</v>
      </c>
      <c r="W1501" t="s">
        <v>60844</v>
      </c>
      <c r="X1501" t="s">
        <v>44908</v>
      </c>
    </row>
    <row r="1502" spans="1:24">
      <c r="A1502">
        <f>HYPERLINK("https://www.philgeps.gov.ph/GEPSNONPILOT/Tender/SplashBidNoticeAbstractUI.aspx?menuIndex=3&amp;refID=7083407&amp;Result=3","7083407")</f>
        <v>0</v>
      </c>
      <c r="B1502" t="s">
        <v>651</v>
      </c>
      <c r="C1502" t="s">
        <v>4968</v>
      </c>
      <c r="D1502" t="s">
        <v>18114</v>
      </c>
      <c r="E1502" t="s">
        <v>19596</v>
      </c>
      <c r="F1502" t="s">
        <v>31362</v>
      </c>
      <c r="G1502" t="s">
        <v>31369</v>
      </c>
      <c r="H1502" t="s">
        <v>31378</v>
      </c>
      <c r="I1502" t="s">
        <v>31386</v>
      </c>
      <c r="J1502" t="s">
        <v>32618</v>
      </c>
      <c r="K1502" t="s">
        <v>40677</v>
      </c>
      <c r="M1502" t="s">
        <v>41612</v>
      </c>
      <c r="N1502" t="s">
        <v>44905</v>
      </c>
      <c r="O1502" t="s">
        <v>44906</v>
      </c>
      <c r="P1502">
        <v>0</v>
      </c>
      <c r="Q1502">
        <v>0</v>
      </c>
      <c r="R1502" t="s">
        <v>44907</v>
      </c>
      <c r="S1502" t="s">
        <v>45026</v>
      </c>
      <c r="T1502" t="s">
        <v>46538</v>
      </c>
      <c r="U1502" t="s">
        <v>48183</v>
      </c>
      <c r="W1502" t="s">
        <v>41612</v>
      </c>
      <c r="X1502" t="s">
        <v>44908</v>
      </c>
    </row>
    <row r="1503" spans="1:24">
      <c r="A1503">
        <f>HYPERLINK("https://www.philgeps.gov.ph/GEPSNONPILOT/Tender/SplashBidNoticeAbstractUI.aspx?menuIndex=3&amp;refID=7083418&amp;Result=3","7083418")</f>
        <v>0</v>
      </c>
      <c r="B1503" t="s">
        <v>637</v>
      </c>
      <c r="C1503" t="s">
        <v>4969</v>
      </c>
      <c r="D1503" t="s">
        <v>18102</v>
      </c>
      <c r="E1503" t="s">
        <v>19597</v>
      </c>
      <c r="F1503" t="s">
        <v>31362</v>
      </c>
      <c r="G1503" t="s">
        <v>31368</v>
      </c>
      <c r="H1503" t="s">
        <v>15799</v>
      </c>
      <c r="I1503" t="s">
        <v>31384</v>
      </c>
      <c r="J1503" t="s">
        <v>31574</v>
      </c>
      <c r="K1503" t="s">
        <v>40665</v>
      </c>
      <c r="M1503" t="s">
        <v>41597</v>
      </c>
      <c r="N1503" t="s">
        <v>44905</v>
      </c>
      <c r="O1503" t="s">
        <v>44906</v>
      </c>
      <c r="P1503">
        <v>0</v>
      </c>
      <c r="Q1503">
        <v>4</v>
      </c>
      <c r="R1503" t="s">
        <v>44907</v>
      </c>
      <c r="S1503" t="s">
        <v>45026</v>
      </c>
      <c r="T1503" t="s">
        <v>46493</v>
      </c>
      <c r="U1503" t="s">
        <v>48139</v>
      </c>
      <c r="W1503" t="s">
        <v>41597</v>
      </c>
      <c r="X1503" t="s">
        <v>44908</v>
      </c>
    </row>
    <row r="1504" spans="1:24">
      <c r="A1504">
        <f>HYPERLINK("https://www.philgeps.gov.ph/GEPSNONPILOT/Tender/SplashBidNoticeAbstractUI.aspx?menuIndex=3&amp;refID=7083412&amp;Result=3","7083412")</f>
        <v>0</v>
      </c>
      <c r="B1504" t="s">
        <v>652</v>
      </c>
      <c r="C1504" t="s">
        <v>4970</v>
      </c>
      <c r="D1504" t="s">
        <v>18154</v>
      </c>
      <c r="E1504" t="s">
        <v>19598</v>
      </c>
      <c r="F1504" t="s">
        <v>31365</v>
      </c>
      <c r="G1504" t="s">
        <v>31373</v>
      </c>
      <c r="H1504" t="s">
        <v>31378</v>
      </c>
      <c r="I1504" t="s">
        <v>31440</v>
      </c>
      <c r="J1504" t="s">
        <v>32619</v>
      </c>
      <c r="K1504" t="s">
        <v>40728</v>
      </c>
      <c r="M1504" t="s">
        <v>41613</v>
      </c>
      <c r="N1504" t="s">
        <v>44905</v>
      </c>
      <c r="O1504" t="s">
        <v>44906</v>
      </c>
      <c r="P1504">
        <v>0</v>
      </c>
      <c r="Q1504">
        <v>1</v>
      </c>
      <c r="R1504" t="s">
        <v>44907</v>
      </c>
      <c r="S1504" t="s">
        <v>45026</v>
      </c>
      <c r="T1504" t="s">
        <v>46567</v>
      </c>
      <c r="U1504" t="s">
        <v>48184</v>
      </c>
      <c r="V1504" t="s">
        <v>59222</v>
      </c>
      <c r="W1504" t="s">
        <v>41613</v>
      </c>
      <c r="X1504" t="s">
        <v>44908</v>
      </c>
    </row>
    <row r="1505" spans="1:24">
      <c r="A1505">
        <f>HYPERLINK("https://www.philgeps.gov.ph/GEPSNONPILOT/Tender/SplashBidNoticeAbstractUI.aspx?menuIndex=3&amp;refID=7083411&amp;Result=3","7083411")</f>
        <v>0</v>
      </c>
      <c r="B1505" t="s">
        <v>605</v>
      </c>
      <c r="C1505" t="s">
        <v>4971</v>
      </c>
      <c r="D1505" t="s">
        <v>18168</v>
      </c>
      <c r="E1505" t="s">
        <v>19599</v>
      </c>
      <c r="F1505" t="s">
        <v>31362</v>
      </c>
      <c r="G1505" t="s">
        <v>31369</v>
      </c>
      <c r="H1505" t="s">
        <v>31378</v>
      </c>
      <c r="I1505" t="s">
        <v>31386</v>
      </c>
      <c r="J1505" t="s">
        <v>32620</v>
      </c>
      <c r="K1505" t="s">
        <v>40686</v>
      </c>
      <c r="M1505" t="s">
        <v>41563</v>
      </c>
      <c r="N1505" t="s">
        <v>44905</v>
      </c>
      <c r="O1505" t="s">
        <v>44906</v>
      </c>
      <c r="P1505">
        <v>0</v>
      </c>
      <c r="Q1505">
        <v>0</v>
      </c>
      <c r="R1505" t="s">
        <v>44907</v>
      </c>
      <c r="S1505" t="s">
        <v>45026</v>
      </c>
      <c r="T1505" t="s">
        <v>46524</v>
      </c>
      <c r="U1505" t="s">
        <v>48185</v>
      </c>
      <c r="V1505" t="s">
        <v>59213</v>
      </c>
      <c r="W1505" t="s">
        <v>41563</v>
      </c>
      <c r="X1505" t="s">
        <v>44908</v>
      </c>
    </row>
    <row r="1506" spans="1:24">
      <c r="A1506">
        <f>HYPERLINK("https://www.philgeps.gov.ph/GEPSNONPILOT/Tender/SplashBidNoticeAbstractUI.aspx?menuIndex=3&amp;refID=7083419&amp;Result=3","7083419")</f>
        <v>0</v>
      </c>
      <c r="B1506" t="s">
        <v>628</v>
      </c>
      <c r="C1506" t="s">
        <v>4972</v>
      </c>
      <c r="D1506" t="s">
        <v>18116</v>
      </c>
      <c r="E1506" t="s">
        <v>19600</v>
      </c>
      <c r="F1506" t="s">
        <v>31362</v>
      </c>
      <c r="G1506" t="s">
        <v>31368</v>
      </c>
      <c r="H1506" t="s">
        <v>15799</v>
      </c>
      <c r="I1506" t="s">
        <v>31400</v>
      </c>
      <c r="J1506" t="s">
        <v>31577</v>
      </c>
      <c r="K1506" t="s">
        <v>40662</v>
      </c>
      <c r="M1506" t="s">
        <v>41588</v>
      </c>
      <c r="N1506" t="s">
        <v>44905</v>
      </c>
      <c r="O1506" t="s">
        <v>44906</v>
      </c>
      <c r="P1506">
        <v>0</v>
      </c>
      <c r="Q1506">
        <v>0</v>
      </c>
      <c r="R1506" t="s">
        <v>44907</v>
      </c>
      <c r="S1506" t="s">
        <v>45026</v>
      </c>
      <c r="T1506" t="s">
        <v>46443</v>
      </c>
      <c r="U1506" t="s">
        <v>48186</v>
      </c>
      <c r="W1506" t="s">
        <v>41588</v>
      </c>
      <c r="X1506" t="s">
        <v>44908</v>
      </c>
    </row>
    <row r="1507" spans="1:24">
      <c r="A1507">
        <f>HYPERLINK("https://www.philgeps.gov.ph/GEPSNONPILOT/Tender/SplashBidNoticeAbstractUI.aspx?menuIndex=3&amp;refID=7083408&amp;Result=3","7083408")</f>
        <v>0</v>
      </c>
      <c r="B1507" t="s">
        <v>60</v>
      </c>
      <c r="C1507" t="s">
        <v>4973</v>
      </c>
      <c r="D1507" t="s">
        <v>18123</v>
      </c>
      <c r="E1507" t="s">
        <v>19601</v>
      </c>
      <c r="F1507" t="s">
        <v>31362</v>
      </c>
      <c r="G1507" t="s">
        <v>31370</v>
      </c>
      <c r="H1507" t="s">
        <v>15799</v>
      </c>
      <c r="I1507" t="s">
        <v>31470</v>
      </c>
      <c r="J1507" t="s">
        <v>31728</v>
      </c>
      <c r="K1507" t="s">
        <v>40670</v>
      </c>
      <c r="M1507" t="s">
        <v>40995</v>
      </c>
      <c r="N1507" t="s">
        <v>44905</v>
      </c>
      <c r="O1507" t="s">
        <v>44906</v>
      </c>
      <c r="P1507">
        <v>0</v>
      </c>
      <c r="Q1507">
        <v>0</v>
      </c>
      <c r="R1507" t="s">
        <v>44907</v>
      </c>
      <c r="S1507" t="s">
        <v>45026</v>
      </c>
      <c r="T1507" t="s">
        <v>46410</v>
      </c>
      <c r="U1507" t="s">
        <v>48187</v>
      </c>
      <c r="W1507" t="s">
        <v>40995</v>
      </c>
      <c r="X1507" t="s">
        <v>44908</v>
      </c>
    </row>
    <row r="1508" spans="1:24">
      <c r="A1508">
        <f>HYPERLINK("https://www.philgeps.gov.ph/GEPSNONPILOT/Tender/SplashBidNoticeAbstractUI.aspx?menuIndex=3&amp;refID=7083414&amp;Result=3","7083414")</f>
        <v>0</v>
      </c>
      <c r="B1508" t="s">
        <v>653</v>
      </c>
      <c r="C1508" t="s">
        <v>4974</v>
      </c>
      <c r="D1508" t="s">
        <v>18112</v>
      </c>
      <c r="E1508" t="s">
        <v>19602</v>
      </c>
      <c r="F1508" t="s">
        <v>31365</v>
      </c>
      <c r="G1508" t="s">
        <v>31368</v>
      </c>
      <c r="H1508" t="s">
        <v>15799</v>
      </c>
      <c r="I1508" t="s">
        <v>31390</v>
      </c>
      <c r="J1508" t="s">
        <v>31564</v>
      </c>
      <c r="K1508" t="s">
        <v>40697</v>
      </c>
      <c r="M1508" t="s">
        <v>41614</v>
      </c>
      <c r="N1508" t="s">
        <v>44905</v>
      </c>
      <c r="O1508" t="s">
        <v>44906</v>
      </c>
      <c r="P1508">
        <v>0</v>
      </c>
      <c r="Q1508">
        <v>0</v>
      </c>
      <c r="R1508" t="s">
        <v>44907</v>
      </c>
      <c r="S1508" t="s">
        <v>45026</v>
      </c>
      <c r="T1508" t="s">
        <v>46558</v>
      </c>
      <c r="U1508" t="s">
        <v>48188</v>
      </c>
      <c r="W1508" t="s">
        <v>41614</v>
      </c>
      <c r="X1508" t="s">
        <v>44908</v>
      </c>
    </row>
    <row r="1509" spans="1:24">
      <c r="A1509">
        <f>HYPERLINK("https://www.philgeps.gov.ph/GEPSNONPILOT/Tender/SplashBidNoticeAbstractUI.aspx?menuIndex=3&amp;refID=7083432&amp;Result=3","7083432")</f>
        <v>0</v>
      </c>
      <c r="B1509" t="s">
        <v>50</v>
      </c>
      <c r="C1509" t="s">
        <v>4975</v>
      </c>
      <c r="D1509" t="s">
        <v>18100</v>
      </c>
      <c r="E1509" t="s">
        <v>19603</v>
      </c>
      <c r="F1509" t="s">
        <v>31363</v>
      </c>
      <c r="G1509" t="s">
        <v>31368</v>
      </c>
      <c r="H1509" t="s">
        <v>15799</v>
      </c>
      <c r="I1509" t="s">
        <v>31380</v>
      </c>
      <c r="J1509" t="s">
        <v>32621</v>
      </c>
      <c r="K1509" t="s">
        <v>40661</v>
      </c>
      <c r="M1509" t="s">
        <v>40984</v>
      </c>
      <c r="N1509" t="s">
        <v>44905</v>
      </c>
      <c r="O1509" t="s">
        <v>44906</v>
      </c>
      <c r="P1509">
        <v>0</v>
      </c>
      <c r="Q1509">
        <v>0</v>
      </c>
      <c r="R1509" t="s">
        <v>44907</v>
      </c>
      <c r="S1509" t="s">
        <v>45026</v>
      </c>
      <c r="T1509" t="s">
        <v>46408</v>
      </c>
      <c r="U1509" t="s">
        <v>48189</v>
      </c>
      <c r="W1509" t="s">
        <v>40984</v>
      </c>
      <c r="X1509" t="s">
        <v>44908</v>
      </c>
    </row>
    <row r="1510" spans="1:24">
      <c r="A1510">
        <f>HYPERLINK("https://www.philgeps.gov.ph/GEPSNONPILOT/Tender/SplashBidNoticeAbstractUI.aspx?menuIndex=3&amp;refID=7083431&amp;Result=3","7083431")</f>
        <v>0</v>
      </c>
      <c r="B1510" t="s">
        <v>440</v>
      </c>
      <c r="C1510" t="s">
        <v>4976</v>
      </c>
      <c r="D1510" t="s">
        <v>18154</v>
      </c>
      <c r="E1510" t="s">
        <v>19604</v>
      </c>
      <c r="F1510" t="s">
        <v>31362</v>
      </c>
      <c r="G1510" t="s">
        <v>31370</v>
      </c>
      <c r="H1510" t="s">
        <v>15799</v>
      </c>
      <c r="I1510" t="s">
        <v>31385</v>
      </c>
      <c r="J1510" t="s">
        <v>31530</v>
      </c>
      <c r="K1510" t="s">
        <v>40662</v>
      </c>
      <c r="M1510" t="s">
        <v>41604</v>
      </c>
      <c r="N1510" t="s">
        <v>44905</v>
      </c>
      <c r="O1510" t="s">
        <v>44906</v>
      </c>
      <c r="P1510">
        <v>0</v>
      </c>
      <c r="Q1510">
        <v>0</v>
      </c>
      <c r="R1510" t="s">
        <v>44907</v>
      </c>
      <c r="S1510" t="s">
        <v>45026</v>
      </c>
      <c r="T1510" t="s">
        <v>46447</v>
      </c>
      <c r="U1510" t="s">
        <v>48190</v>
      </c>
      <c r="W1510" t="s">
        <v>41604</v>
      </c>
      <c r="X1510" t="s">
        <v>44908</v>
      </c>
    </row>
    <row r="1511" spans="1:24">
      <c r="A1511">
        <f>HYPERLINK("https://www.philgeps.gov.ph/GEPSNONPILOT/Tender/SplashBidNoticeAbstractUI.aspx?menuIndex=3&amp;refID=7083426&amp;Result=3","7083426")</f>
        <v>0</v>
      </c>
      <c r="B1511" t="s">
        <v>176</v>
      </c>
      <c r="C1511" t="s">
        <v>4977</v>
      </c>
      <c r="E1511" t="s">
        <v>19605</v>
      </c>
      <c r="F1511" t="s">
        <v>31362</v>
      </c>
      <c r="G1511" t="s">
        <v>31368</v>
      </c>
      <c r="H1511" t="s">
        <v>15799</v>
      </c>
      <c r="I1511" t="s">
        <v>7188</v>
      </c>
      <c r="J1511" t="s">
        <v>32239</v>
      </c>
      <c r="K1511" t="s">
        <v>40662</v>
      </c>
      <c r="M1511" t="s">
        <v>41114</v>
      </c>
      <c r="N1511" t="s">
        <v>44905</v>
      </c>
      <c r="O1511" t="s">
        <v>44906</v>
      </c>
      <c r="P1511">
        <v>0</v>
      </c>
      <c r="Q1511">
        <v>0</v>
      </c>
      <c r="R1511" t="s">
        <v>44907</v>
      </c>
      <c r="S1511" t="s">
        <v>45026</v>
      </c>
      <c r="T1511" t="s">
        <v>46481</v>
      </c>
      <c r="U1511" t="s">
        <v>48191</v>
      </c>
      <c r="W1511" t="s">
        <v>41114</v>
      </c>
      <c r="X1511" t="s">
        <v>44908</v>
      </c>
    </row>
    <row r="1512" spans="1:24">
      <c r="A1512">
        <f>HYPERLINK("https://www.philgeps.gov.ph/GEPSNONPILOT/Tender/SplashBidNoticeAbstractUI.aspx?menuIndex=3&amp;refID=7083420&amp;Result=3","7083420")</f>
        <v>0</v>
      </c>
      <c r="B1512" t="s">
        <v>654</v>
      </c>
      <c r="C1512" t="s">
        <v>4978</v>
      </c>
      <c r="D1512" t="s">
        <v>18114</v>
      </c>
      <c r="E1512" t="s">
        <v>19606</v>
      </c>
      <c r="F1512" t="s">
        <v>31362</v>
      </c>
      <c r="G1512" t="s">
        <v>31369</v>
      </c>
      <c r="H1512" t="s">
        <v>31377</v>
      </c>
      <c r="I1512" t="s">
        <v>31377</v>
      </c>
      <c r="J1512" t="s">
        <v>32622</v>
      </c>
      <c r="K1512" t="s">
        <v>40693</v>
      </c>
      <c r="M1512" t="s">
        <v>41615</v>
      </c>
      <c r="N1512" t="s">
        <v>44905</v>
      </c>
      <c r="O1512" t="s">
        <v>44906</v>
      </c>
      <c r="P1512">
        <v>0</v>
      </c>
      <c r="Q1512">
        <v>1</v>
      </c>
      <c r="R1512" t="s">
        <v>44907</v>
      </c>
      <c r="S1512" t="s">
        <v>45026</v>
      </c>
      <c r="T1512" t="s">
        <v>46408</v>
      </c>
      <c r="U1512" t="s">
        <v>48192</v>
      </c>
      <c r="W1512" t="s">
        <v>41615</v>
      </c>
      <c r="X1512" t="s">
        <v>44908</v>
      </c>
    </row>
    <row r="1513" spans="1:24">
      <c r="A1513">
        <f>HYPERLINK("https://www.philgeps.gov.ph/GEPSNONPILOT/Tender/SplashBidNoticeAbstractUI.aspx?menuIndex=3&amp;refID=7083423&amp;Result=3","7083423")</f>
        <v>0</v>
      </c>
      <c r="B1513" t="s">
        <v>655</v>
      </c>
      <c r="C1513" t="s">
        <v>4979</v>
      </c>
      <c r="D1513" t="s">
        <v>18138</v>
      </c>
      <c r="E1513" t="s">
        <v>19607</v>
      </c>
      <c r="F1513" t="s">
        <v>31362</v>
      </c>
      <c r="G1513" t="s">
        <v>31368</v>
      </c>
      <c r="H1513" t="s">
        <v>15799</v>
      </c>
      <c r="I1513" t="s">
        <v>3815</v>
      </c>
      <c r="J1513" t="s">
        <v>32623</v>
      </c>
      <c r="K1513" t="s">
        <v>40666</v>
      </c>
      <c r="M1513" t="s">
        <v>41616</v>
      </c>
      <c r="N1513" t="s">
        <v>44905</v>
      </c>
      <c r="O1513" t="s">
        <v>44906</v>
      </c>
      <c r="P1513">
        <v>0</v>
      </c>
      <c r="Q1513">
        <v>0</v>
      </c>
      <c r="R1513" t="s">
        <v>44907</v>
      </c>
      <c r="S1513" t="s">
        <v>45026</v>
      </c>
      <c r="T1513" t="s">
        <v>46412</v>
      </c>
      <c r="U1513" t="s">
        <v>48193</v>
      </c>
      <c r="W1513" t="s">
        <v>41616</v>
      </c>
      <c r="X1513" t="s">
        <v>44908</v>
      </c>
    </row>
    <row r="1514" spans="1:24">
      <c r="A1514">
        <f>HYPERLINK("https://www.philgeps.gov.ph/GEPSNONPILOT/Tender/SplashBidNoticeAbstractUI.aspx?menuIndex=3&amp;refID=7083429&amp;Result=3","7083429")</f>
        <v>0</v>
      </c>
      <c r="B1514" t="s">
        <v>74</v>
      </c>
      <c r="C1514" t="s">
        <v>4980</v>
      </c>
      <c r="D1514" t="s">
        <v>18108</v>
      </c>
      <c r="E1514" t="s">
        <v>19608</v>
      </c>
      <c r="F1514" t="s">
        <v>31362</v>
      </c>
      <c r="G1514" t="s">
        <v>31368</v>
      </c>
      <c r="H1514" t="s">
        <v>15799</v>
      </c>
      <c r="I1514" t="s">
        <v>31393</v>
      </c>
      <c r="J1514" t="s">
        <v>32624</v>
      </c>
      <c r="K1514" t="s">
        <v>40666</v>
      </c>
      <c r="M1514" t="s">
        <v>41587</v>
      </c>
      <c r="N1514" t="s">
        <v>44905</v>
      </c>
      <c r="O1514" t="s">
        <v>44906</v>
      </c>
      <c r="P1514">
        <v>0</v>
      </c>
      <c r="Q1514">
        <v>1</v>
      </c>
      <c r="R1514" t="s">
        <v>44907</v>
      </c>
      <c r="S1514" t="s">
        <v>45026</v>
      </c>
      <c r="T1514" t="s">
        <v>46417</v>
      </c>
      <c r="U1514" t="s">
        <v>48194</v>
      </c>
      <c r="W1514" t="s">
        <v>41587</v>
      </c>
      <c r="X1514" t="s">
        <v>44908</v>
      </c>
    </row>
    <row r="1515" spans="1:24">
      <c r="A1515">
        <f>HYPERLINK("https://www.philgeps.gov.ph/GEPSNONPILOT/Tender/SplashBidNoticeAbstractUI.aspx?menuIndex=3&amp;refID=7083422&amp;Result=3","7083422")</f>
        <v>0</v>
      </c>
      <c r="B1515" t="s">
        <v>440</v>
      </c>
      <c r="C1515" t="s">
        <v>4981</v>
      </c>
      <c r="D1515" t="s">
        <v>18154</v>
      </c>
      <c r="E1515" t="s">
        <v>19609</v>
      </c>
      <c r="F1515" t="s">
        <v>31362</v>
      </c>
      <c r="G1515" t="s">
        <v>31368</v>
      </c>
      <c r="H1515" t="s">
        <v>15799</v>
      </c>
      <c r="I1515" t="s">
        <v>31404</v>
      </c>
      <c r="J1515" t="s">
        <v>32625</v>
      </c>
      <c r="K1515" t="s">
        <v>40662</v>
      </c>
      <c r="M1515" t="s">
        <v>41604</v>
      </c>
      <c r="N1515" t="s">
        <v>44905</v>
      </c>
      <c r="O1515" t="s">
        <v>44906</v>
      </c>
      <c r="P1515">
        <v>0</v>
      </c>
      <c r="Q1515">
        <v>0</v>
      </c>
      <c r="R1515" t="s">
        <v>44907</v>
      </c>
      <c r="S1515" t="s">
        <v>45026</v>
      </c>
      <c r="T1515" t="s">
        <v>46447</v>
      </c>
      <c r="U1515" t="s">
        <v>48195</v>
      </c>
      <c r="W1515" t="s">
        <v>41604</v>
      </c>
      <c r="X1515" t="s">
        <v>44908</v>
      </c>
    </row>
    <row r="1516" spans="1:24">
      <c r="A1516">
        <f>HYPERLINK("https://www.philgeps.gov.ph/GEPSNONPILOT/Tender/SplashBidNoticeAbstractUI.aspx?menuIndex=3&amp;refID=7083433&amp;Result=3","7083433")</f>
        <v>0</v>
      </c>
      <c r="B1516" t="s">
        <v>561</v>
      </c>
      <c r="C1516" t="s">
        <v>4982</v>
      </c>
      <c r="D1516" t="s">
        <v>18124</v>
      </c>
      <c r="E1516" t="s">
        <v>19610</v>
      </c>
      <c r="F1516" t="s">
        <v>31362</v>
      </c>
      <c r="G1516" t="s">
        <v>31369</v>
      </c>
      <c r="H1516" t="s">
        <v>15799</v>
      </c>
      <c r="I1516" t="s">
        <v>31431</v>
      </c>
      <c r="J1516" t="s">
        <v>32626</v>
      </c>
      <c r="K1516" t="s">
        <v>40670</v>
      </c>
      <c r="M1516" t="s">
        <v>41517</v>
      </c>
      <c r="N1516" t="s">
        <v>44905</v>
      </c>
      <c r="O1516" t="s">
        <v>44906</v>
      </c>
      <c r="P1516">
        <v>0</v>
      </c>
      <c r="Q1516">
        <v>0</v>
      </c>
      <c r="R1516" t="s">
        <v>44907</v>
      </c>
      <c r="S1516" t="s">
        <v>45026</v>
      </c>
      <c r="T1516" t="s">
        <v>46553</v>
      </c>
      <c r="U1516" t="s">
        <v>48081</v>
      </c>
      <c r="W1516" t="s">
        <v>41517</v>
      </c>
      <c r="X1516" t="s">
        <v>44908</v>
      </c>
    </row>
    <row r="1517" spans="1:24">
      <c r="A1517">
        <f>HYPERLINK("https://www.philgeps.gov.ph/GEPSNONPILOT/Tender/SplashBidNoticeAbstractUI.aspx?menuIndex=3&amp;refID=7083446&amp;Result=3","7083446")</f>
        <v>0</v>
      </c>
      <c r="B1517" t="s">
        <v>637</v>
      </c>
      <c r="C1517" t="s">
        <v>4983</v>
      </c>
      <c r="D1517" t="s">
        <v>18102</v>
      </c>
      <c r="E1517" t="s">
        <v>19611</v>
      </c>
      <c r="F1517" t="s">
        <v>31362</v>
      </c>
      <c r="G1517" t="s">
        <v>31368</v>
      </c>
      <c r="H1517" t="s">
        <v>31378</v>
      </c>
      <c r="I1517" t="s">
        <v>31386</v>
      </c>
      <c r="J1517" t="s">
        <v>32627</v>
      </c>
      <c r="K1517" t="s">
        <v>40709</v>
      </c>
      <c r="M1517" t="s">
        <v>41597</v>
      </c>
      <c r="N1517" t="s">
        <v>44905</v>
      </c>
      <c r="O1517" t="s">
        <v>44906</v>
      </c>
      <c r="P1517">
        <v>0</v>
      </c>
      <c r="Q1517">
        <v>0</v>
      </c>
      <c r="R1517" t="s">
        <v>44907</v>
      </c>
      <c r="S1517" t="s">
        <v>45026</v>
      </c>
      <c r="T1517" t="s">
        <v>46493</v>
      </c>
      <c r="U1517" t="s">
        <v>48139</v>
      </c>
      <c r="W1517" t="s">
        <v>41597</v>
      </c>
      <c r="X1517" t="s">
        <v>44908</v>
      </c>
    </row>
    <row r="1518" spans="1:24">
      <c r="A1518">
        <f>HYPERLINK("https://www.philgeps.gov.ph/GEPSNONPILOT/Tender/SplashBidNoticeAbstractUI.aspx?menuIndex=3&amp;refID=7083424&amp;Result=3","7083424")</f>
        <v>0</v>
      </c>
      <c r="B1518" t="s">
        <v>604</v>
      </c>
      <c r="C1518" t="s">
        <v>4984</v>
      </c>
      <c r="D1518" t="s">
        <v>18122</v>
      </c>
      <c r="E1518" t="s">
        <v>19612</v>
      </c>
      <c r="F1518" t="s">
        <v>31362</v>
      </c>
      <c r="G1518" t="s">
        <v>31373</v>
      </c>
      <c r="H1518" t="s">
        <v>31378</v>
      </c>
      <c r="I1518" t="s">
        <v>31386</v>
      </c>
      <c r="J1518" t="s">
        <v>32628</v>
      </c>
      <c r="K1518" t="s">
        <v>40725</v>
      </c>
      <c r="M1518" t="s">
        <v>41562</v>
      </c>
      <c r="N1518" t="s">
        <v>44905</v>
      </c>
      <c r="O1518" t="s">
        <v>44906</v>
      </c>
      <c r="P1518">
        <v>0</v>
      </c>
      <c r="Q1518">
        <v>2</v>
      </c>
      <c r="R1518" t="s">
        <v>44907</v>
      </c>
      <c r="S1518" t="s">
        <v>45026</v>
      </c>
      <c r="T1518" t="s">
        <v>46429</v>
      </c>
      <c r="U1518" t="s">
        <v>48196</v>
      </c>
      <c r="V1518" t="s">
        <v>59212</v>
      </c>
      <c r="W1518" t="s">
        <v>41562</v>
      </c>
      <c r="X1518" t="s">
        <v>44908</v>
      </c>
    </row>
    <row r="1519" spans="1:24">
      <c r="A1519">
        <f>HYPERLINK("https://www.philgeps.gov.ph/GEPSNONPILOT/Tender/SplashBidNoticeAbstractUI.aspx?menuIndex=3&amp;refID=7083445&amp;Result=3","7083445")</f>
        <v>0</v>
      </c>
      <c r="B1519" t="s">
        <v>234</v>
      </c>
      <c r="C1519" t="s">
        <v>4985</v>
      </c>
      <c r="D1519" t="s">
        <v>18108</v>
      </c>
      <c r="E1519" t="s">
        <v>19613</v>
      </c>
      <c r="F1519" t="s">
        <v>31362</v>
      </c>
      <c r="G1519" t="s">
        <v>31371</v>
      </c>
      <c r="H1519" t="s">
        <v>15799</v>
      </c>
      <c r="I1519" t="s">
        <v>31385</v>
      </c>
      <c r="J1519" t="s">
        <v>32629</v>
      </c>
      <c r="K1519" t="s">
        <v>40661</v>
      </c>
      <c r="M1519" t="s">
        <v>41617</v>
      </c>
      <c r="N1519" t="s">
        <v>44905</v>
      </c>
      <c r="O1519" t="s">
        <v>44906</v>
      </c>
      <c r="P1519">
        <v>0</v>
      </c>
      <c r="Q1519">
        <v>2</v>
      </c>
      <c r="R1519" t="s">
        <v>44907</v>
      </c>
      <c r="S1519" t="s">
        <v>45026</v>
      </c>
      <c r="T1519" t="s">
        <v>46493</v>
      </c>
      <c r="U1519" t="s">
        <v>48197</v>
      </c>
      <c r="W1519" t="s">
        <v>41617</v>
      </c>
      <c r="X1519" t="s">
        <v>44908</v>
      </c>
    </row>
    <row r="1520" spans="1:24">
      <c r="A1520">
        <f>HYPERLINK("https://www.philgeps.gov.ph/GEPSNONPILOT/Tender/SplashBidNoticeAbstractUI.aspx?menuIndex=3&amp;refID=7083449&amp;Result=3","7083449")</f>
        <v>0</v>
      </c>
      <c r="B1520" t="s">
        <v>60</v>
      </c>
      <c r="C1520" t="s">
        <v>4986</v>
      </c>
      <c r="D1520" t="s">
        <v>18123</v>
      </c>
      <c r="E1520" t="s">
        <v>19614</v>
      </c>
      <c r="F1520" t="s">
        <v>31362</v>
      </c>
      <c r="G1520" t="s">
        <v>31370</v>
      </c>
      <c r="H1520" t="s">
        <v>15799</v>
      </c>
      <c r="I1520" t="s">
        <v>4942</v>
      </c>
      <c r="J1520" t="s">
        <v>32242</v>
      </c>
      <c r="K1520" t="s">
        <v>40715</v>
      </c>
      <c r="M1520" t="s">
        <v>40995</v>
      </c>
      <c r="N1520" t="s">
        <v>44905</v>
      </c>
      <c r="O1520" t="s">
        <v>44906</v>
      </c>
      <c r="P1520">
        <v>0</v>
      </c>
      <c r="Q1520">
        <v>0</v>
      </c>
      <c r="R1520" t="s">
        <v>44907</v>
      </c>
      <c r="S1520" t="s">
        <v>45026</v>
      </c>
      <c r="T1520" t="s">
        <v>46410</v>
      </c>
      <c r="U1520" t="s">
        <v>48198</v>
      </c>
      <c r="W1520" t="s">
        <v>40995</v>
      </c>
      <c r="X1520" t="s">
        <v>44908</v>
      </c>
    </row>
    <row r="1521" spans="1:24">
      <c r="A1521">
        <f>HYPERLINK("https://www.philgeps.gov.ph/GEPSNONPILOT/Tender/SplashBidNoticeAbstractUI.aspx?menuIndex=3&amp;refID=7083458&amp;Result=3","7083458")</f>
        <v>0</v>
      </c>
      <c r="B1521" t="s">
        <v>656</v>
      </c>
      <c r="C1521" t="s">
        <v>4987</v>
      </c>
      <c r="D1521" t="s">
        <v>18123</v>
      </c>
      <c r="E1521" t="s">
        <v>18805</v>
      </c>
      <c r="F1521" t="s">
        <v>31362</v>
      </c>
      <c r="G1521" t="s">
        <v>31368</v>
      </c>
      <c r="H1521" t="s">
        <v>31378</v>
      </c>
      <c r="I1521" t="s">
        <v>31386</v>
      </c>
      <c r="J1521" t="s">
        <v>32630</v>
      </c>
      <c r="K1521" t="s">
        <v>40675</v>
      </c>
      <c r="M1521" t="s">
        <v>41618</v>
      </c>
      <c r="N1521" t="s">
        <v>44905</v>
      </c>
      <c r="O1521" t="s">
        <v>44906</v>
      </c>
      <c r="P1521">
        <v>0</v>
      </c>
      <c r="Q1521">
        <v>0</v>
      </c>
      <c r="R1521" t="s">
        <v>44907</v>
      </c>
      <c r="S1521" t="s">
        <v>45026</v>
      </c>
      <c r="T1521" t="s">
        <v>46409</v>
      </c>
      <c r="U1521" t="s">
        <v>48199</v>
      </c>
      <c r="W1521" t="s">
        <v>41618</v>
      </c>
      <c r="X1521" t="s">
        <v>44908</v>
      </c>
    </row>
    <row r="1522" spans="1:24">
      <c r="A1522">
        <f>HYPERLINK("https://www.philgeps.gov.ph/GEPSNONPILOT/Tender/SplashBidNoticeAbstractUI.aspx?menuIndex=3&amp;refID=7083457&amp;Result=3","7083457")</f>
        <v>0</v>
      </c>
      <c r="B1522" t="s">
        <v>647</v>
      </c>
      <c r="C1522" t="s">
        <v>4988</v>
      </c>
      <c r="D1522" t="s">
        <v>18100</v>
      </c>
      <c r="E1522" t="s">
        <v>19615</v>
      </c>
      <c r="F1522" t="s">
        <v>31362</v>
      </c>
      <c r="G1522" t="s">
        <v>31368</v>
      </c>
      <c r="H1522" t="s">
        <v>15799</v>
      </c>
      <c r="I1522" t="s">
        <v>4942</v>
      </c>
      <c r="J1522" t="s">
        <v>32631</v>
      </c>
      <c r="K1522" t="s">
        <v>40729</v>
      </c>
      <c r="M1522" t="s">
        <v>41608</v>
      </c>
      <c r="N1522" t="s">
        <v>44905</v>
      </c>
      <c r="O1522" t="s">
        <v>44906</v>
      </c>
      <c r="P1522">
        <v>0</v>
      </c>
      <c r="Q1522">
        <v>0</v>
      </c>
      <c r="R1522" t="s">
        <v>44907</v>
      </c>
      <c r="S1522" t="s">
        <v>45026</v>
      </c>
      <c r="T1522" t="s">
        <v>46425</v>
      </c>
      <c r="U1522" t="s">
        <v>48200</v>
      </c>
      <c r="W1522" t="s">
        <v>60862</v>
      </c>
      <c r="X1522" t="s">
        <v>44908</v>
      </c>
    </row>
    <row r="1523" spans="1:24">
      <c r="A1523">
        <f>HYPERLINK("https://www.philgeps.gov.ph/GEPSNONPILOT/Tender/SplashBidNoticeAbstractUI.aspx?menuIndex=3&amp;refID=7083455&amp;Result=3","7083455")</f>
        <v>0</v>
      </c>
      <c r="B1523" t="s">
        <v>74</v>
      </c>
      <c r="C1523" t="s">
        <v>4989</v>
      </c>
      <c r="D1523" t="s">
        <v>18108</v>
      </c>
      <c r="E1523" t="s">
        <v>19616</v>
      </c>
      <c r="F1523" t="s">
        <v>31362</v>
      </c>
      <c r="G1523" t="s">
        <v>31371</v>
      </c>
      <c r="H1523" t="s">
        <v>15799</v>
      </c>
      <c r="I1523" t="s">
        <v>3815</v>
      </c>
      <c r="J1523" t="s">
        <v>32513</v>
      </c>
      <c r="K1523" t="s">
        <v>40666</v>
      </c>
      <c r="M1523" t="s">
        <v>41587</v>
      </c>
      <c r="N1523" t="s">
        <v>44905</v>
      </c>
      <c r="O1523" t="s">
        <v>44906</v>
      </c>
      <c r="P1523">
        <v>0</v>
      </c>
      <c r="Q1523">
        <v>2</v>
      </c>
      <c r="R1523" t="s">
        <v>44907</v>
      </c>
      <c r="S1523" t="s">
        <v>45026</v>
      </c>
      <c r="T1523" t="s">
        <v>46417</v>
      </c>
      <c r="U1523" t="s">
        <v>48201</v>
      </c>
      <c r="W1523" t="s">
        <v>41587</v>
      </c>
      <c r="X1523" t="s">
        <v>44908</v>
      </c>
    </row>
    <row r="1524" spans="1:24">
      <c r="A1524">
        <f>HYPERLINK("https://www.philgeps.gov.ph/GEPSNONPILOT/Tender/SplashBidNoticeAbstractUI.aspx?menuIndex=3&amp;refID=7083453&amp;Result=3","7083453")</f>
        <v>0</v>
      </c>
      <c r="B1524" t="s">
        <v>440</v>
      </c>
      <c r="C1524" t="s">
        <v>4990</v>
      </c>
      <c r="D1524" t="s">
        <v>18154</v>
      </c>
      <c r="E1524" t="s">
        <v>19617</v>
      </c>
      <c r="F1524" t="s">
        <v>31362</v>
      </c>
      <c r="G1524" t="s">
        <v>31368</v>
      </c>
      <c r="H1524" t="s">
        <v>15799</v>
      </c>
      <c r="I1524" t="s">
        <v>31388</v>
      </c>
      <c r="J1524" t="s">
        <v>32632</v>
      </c>
      <c r="K1524" t="s">
        <v>40662</v>
      </c>
      <c r="M1524" t="s">
        <v>41604</v>
      </c>
      <c r="N1524" t="s">
        <v>44905</v>
      </c>
      <c r="O1524" t="s">
        <v>44906</v>
      </c>
      <c r="P1524">
        <v>0</v>
      </c>
      <c r="Q1524">
        <v>0</v>
      </c>
      <c r="R1524" t="s">
        <v>44907</v>
      </c>
      <c r="S1524" t="s">
        <v>45026</v>
      </c>
      <c r="T1524" t="s">
        <v>46447</v>
      </c>
      <c r="U1524" t="s">
        <v>48202</v>
      </c>
      <c r="W1524" t="s">
        <v>41604</v>
      </c>
      <c r="X1524" t="s">
        <v>44908</v>
      </c>
    </row>
    <row r="1525" spans="1:24">
      <c r="A1525">
        <f>HYPERLINK("https://www.philgeps.gov.ph/GEPSNONPILOT/Tender/SplashBidNoticeAbstractUI.aspx?menuIndex=3&amp;refID=7083452&amp;Result=3","7083452")</f>
        <v>0</v>
      </c>
      <c r="B1525" t="s">
        <v>651</v>
      </c>
      <c r="C1525" t="s">
        <v>4991</v>
      </c>
      <c r="D1525" t="s">
        <v>18114</v>
      </c>
      <c r="E1525" t="s">
        <v>19618</v>
      </c>
      <c r="F1525" t="s">
        <v>31362</v>
      </c>
      <c r="G1525" t="s">
        <v>31369</v>
      </c>
      <c r="H1525" t="s">
        <v>31378</v>
      </c>
      <c r="I1525" t="s">
        <v>31386</v>
      </c>
      <c r="J1525" t="s">
        <v>32633</v>
      </c>
      <c r="K1525" t="s">
        <v>40665</v>
      </c>
      <c r="M1525" t="s">
        <v>41612</v>
      </c>
      <c r="N1525" t="s">
        <v>44905</v>
      </c>
      <c r="O1525" t="s">
        <v>44906</v>
      </c>
      <c r="P1525">
        <v>0</v>
      </c>
      <c r="Q1525">
        <v>0</v>
      </c>
      <c r="R1525" t="s">
        <v>44907</v>
      </c>
      <c r="S1525" t="s">
        <v>45026</v>
      </c>
      <c r="T1525" t="s">
        <v>46568</v>
      </c>
      <c r="U1525" t="s">
        <v>48183</v>
      </c>
      <c r="W1525" t="s">
        <v>41612</v>
      </c>
      <c r="X1525" t="s">
        <v>44908</v>
      </c>
    </row>
    <row r="1526" spans="1:24">
      <c r="A1526">
        <f>HYPERLINK("https://www.philgeps.gov.ph/GEPSNONPILOT/Tender/SplashBidNoticeAbstractUI.aspx?menuIndex=3&amp;refID=7083451&amp;Result=3","7083451")</f>
        <v>0</v>
      </c>
      <c r="B1526" t="s">
        <v>624</v>
      </c>
      <c r="C1526" t="s">
        <v>4992</v>
      </c>
      <c r="D1526" t="s">
        <v>18148</v>
      </c>
      <c r="E1526" t="s">
        <v>19619</v>
      </c>
      <c r="F1526" t="s">
        <v>31362</v>
      </c>
      <c r="G1526" t="s">
        <v>31368</v>
      </c>
      <c r="H1526" t="s">
        <v>15799</v>
      </c>
      <c r="I1526" t="s">
        <v>3815</v>
      </c>
      <c r="J1526" t="s">
        <v>32634</v>
      </c>
      <c r="K1526" t="s">
        <v>40662</v>
      </c>
      <c r="M1526" t="s">
        <v>41583</v>
      </c>
      <c r="N1526" t="s">
        <v>44905</v>
      </c>
      <c r="O1526" t="s">
        <v>44906</v>
      </c>
      <c r="P1526">
        <v>0</v>
      </c>
      <c r="Q1526">
        <v>0</v>
      </c>
      <c r="R1526" t="s">
        <v>44907</v>
      </c>
      <c r="S1526" t="s">
        <v>45026</v>
      </c>
      <c r="T1526" t="s">
        <v>46414</v>
      </c>
      <c r="U1526" t="s">
        <v>48203</v>
      </c>
      <c r="W1526" t="s">
        <v>41583</v>
      </c>
      <c r="X1526" t="s">
        <v>44908</v>
      </c>
    </row>
    <row r="1527" spans="1:24">
      <c r="A1527">
        <f>HYPERLINK("https://www.philgeps.gov.ph/GEPSNONPILOT/Tender/SplashBidNoticeAbstractUI.aspx?menuIndex=3&amp;refID=7083443&amp;Result=3","7083443")</f>
        <v>0</v>
      </c>
      <c r="B1527" t="s">
        <v>574</v>
      </c>
      <c r="C1527" t="s">
        <v>4993</v>
      </c>
      <c r="D1527" t="s">
        <v>18148</v>
      </c>
      <c r="E1527" t="s">
        <v>19620</v>
      </c>
      <c r="F1527" t="s">
        <v>31362</v>
      </c>
      <c r="G1527" t="s">
        <v>31368</v>
      </c>
      <c r="H1527" t="s">
        <v>15799</v>
      </c>
      <c r="I1527" t="s">
        <v>31422</v>
      </c>
      <c r="J1527" t="s">
        <v>31869</v>
      </c>
      <c r="K1527" t="s">
        <v>40672</v>
      </c>
      <c r="M1527" t="s">
        <v>41530</v>
      </c>
      <c r="N1527" t="s">
        <v>44905</v>
      </c>
      <c r="O1527" t="s">
        <v>44906</v>
      </c>
      <c r="P1527">
        <v>0</v>
      </c>
      <c r="Q1527">
        <v>0</v>
      </c>
      <c r="R1527" t="s">
        <v>44907</v>
      </c>
      <c r="S1527" t="s">
        <v>45026</v>
      </c>
      <c r="T1527" t="s">
        <v>46443</v>
      </c>
      <c r="U1527" t="s">
        <v>48204</v>
      </c>
      <c r="W1527" t="s">
        <v>41530</v>
      </c>
      <c r="X1527" t="s">
        <v>44908</v>
      </c>
    </row>
    <row r="1528" spans="1:24">
      <c r="A1528">
        <f>HYPERLINK("https://www.philgeps.gov.ph/GEPSNONPILOT/Tender/SplashBidNoticeAbstractUI.aspx?menuIndex=3&amp;refID=7083442&amp;Result=3","7083442")</f>
        <v>0</v>
      </c>
      <c r="B1528" t="s">
        <v>657</v>
      </c>
      <c r="C1528" t="s">
        <v>4994</v>
      </c>
      <c r="D1528" t="s">
        <v>18135</v>
      </c>
      <c r="E1528" t="s">
        <v>19621</v>
      </c>
      <c r="F1528" t="s">
        <v>31363</v>
      </c>
      <c r="G1528" t="s">
        <v>31370</v>
      </c>
      <c r="H1528" t="s">
        <v>15799</v>
      </c>
      <c r="I1528" t="s">
        <v>31385</v>
      </c>
      <c r="J1528" t="s">
        <v>32143</v>
      </c>
      <c r="K1528" t="s">
        <v>40661</v>
      </c>
      <c r="M1528" t="s">
        <v>41619</v>
      </c>
      <c r="N1528" t="s">
        <v>44905</v>
      </c>
      <c r="O1528" t="s">
        <v>44906</v>
      </c>
      <c r="P1528">
        <v>0</v>
      </c>
      <c r="Q1528">
        <v>1</v>
      </c>
      <c r="R1528" t="s">
        <v>44907</v>
      </c>
      <c r="S1528" t="s">
        <v>45026</v>
      </c>
      <c r="T1528" t="s">
        <v>46396</v>
      </c>
      <c r="U1528" t="s">
        <v>48205</v>
      </c>
      <c r="W1528" t="s">
        <v>41619</v>
      </c>
      <c r="X1528" t="s">
        <v>44908</v>
      </c>
    </row>
    <row r="1529" spans="1:24">
      <c r="A1529">
        <f>HYPERLINK("https://www.philgeps.gov.ph/GEPSNONPILOT/Tender/SplashBidNoticeAbstractUI.aspx?menuIndex=3&amp;refID=7083441&amp;Result=3","7083441")</f>
        <v>0</v>
      </c>
      <c r="B1529" t="s">
        <v>658</v>
      </c>
      <c r="C1529" t="s">
        <v>4995</v>
      </c>
      <c r="D1529" t="s">
        <v>18108</v>
      </c>
      <c r="E1529" t="s">
        <v>19622</v>
      </c>
      <c r="F1529" t="s">
        <v>31362</v>
      </c>
      <c r="G1529" t="s">
        <v>31368</v>
      </c>
      <c r="H1529" t="s">
        <v>15799</v>
      </c>
      <c r="I1529" t="s">
        <v>31406</v>
      </c>
      <c r="J1529" t="s">
        <v>32635</v>
      </c>
      <c r="K1529" t="s">
        <v>40662</v>
      </c>
      <c r="M1529" t="s">
        <v>41620</v>
      </c>
      <c r="N1529" t="s">
        <v>44905</v>
      </c>
      <c r="O1529" t="s">
        <v>44906</v>
      </c>
      <c r="P1529">
        <v>0</v>
      </c>
      <c r="Q1529">
        <v>0</v>
      </c>
      <c r="R1529" t="s">
        <v>44907</v>
      </c>
      <c r="S1529" t="s">
        <v>45026</v>
      </c>
      <c r="T1529" t="s">
        <v>46403</v>
      </c>
      <c r="U1529" t="s">
        <v>48206</v>
      </c>
      <c r="W1529" t="s">
        <v>41620</v>
      </c>
      <c r="X1529" t="s">
        <v>44908</v>
      </c>
    </row>
    <row r="1530" spans="1:24">
      <c r="A1530">
        <f>HYPERLINK("https://www.philgeps.gov.ph/GEPSNONPILOT/Tender/SplashBidNoticeAbstractUI.aspx?menuIndex=3&amp;refID=7083440&amp;Result=3","7083440")</f>
        <v>0</v>
      </c>
      <c r="B1530" t="s">
        <v>659</v>
      </c>
      <c r="C1530" t="s">
        <v>4996</v>
      </c>
      <c r="D1530" t="s">
        <v>18151</v>
      </c>
      <c r="E1530" t="s">
        <v>19064</v>
      </c>
      <c r="F1530" t="s">
        <v>31362</v>
      </c>
      <c r="G1530" t="s">
        <v>31368</v>
      </c>
      <c r="H1530" t="s">
        <v>15799</v>
      </c>
      <c r="I1530" t="s">
        <v>31385</v>
      </c>
      <c r="J1530" t="s">
        <v>32636</v>
      </c>
      <c r="K1530" t="s">
        <v>40665</v>
      </c>
      <c r="M1530" t="s">
        <v>41621</v>
      </c>
      <c r="N1530" t="s">
        <v>44905</v>
      </c>
      <c r="O1530" t="s">
        <v>44906</v>
      </c>
      <c r="P1530">
        <v>0</v>
      </c>
      <c r="Q1530">
        <v>1</v>
      </c>
      <c r="R1530" t="s">
        <v>44907</v>
      </c>
      <c r="S1530" t="s">
        <v>45026</v>
      </c>
      <c r="T1530" t="s">
        <v>46467</v>
      </c>
      <c r="U1530" t="s">
        <v>48207</v>
      </c>
      <c r="W1530" t="s">
        <v>41621</v>
      </c>
      <c r="X1530" t="s">
        <v>44908</v>
      </c>
    </row>
    <row r="1531" spans="1:24">
      <c r="A1531">
        <f>HYPERLINK("https://www.philgeps.gov.ph/GEPSNONPILOT/Tender/SplashBidNoticeAbstractUI.aspx?menuIndex=3&amp;refID=7083439&amp;Result=3","7083439")</f>
        <v>0</v>
      </c>
      <c r="B1531" t="s">
        <v>584</v>
      </c>
      <c r="C1531" t="s">
        <v>4997</v>
      </c>
      <c r="D1531" t="s">
        <v>18158</v>
      </c>
      <c r="E1531" t="s">
        <v>19623</v>
      </c>
      <c r="F1531" t="s">
        <v>31362</v>
      </c>
      <c r="G1531" t="s">
        <v>31369</v>
      </c>
      <c r="H1531" t="s">
        <v>15799</v>
      </c>
      <c r="I1531" t="s">
        <v>3815</v>
      </c>
      <c r="J1531" t="s">
        <v>32637</v>
      </c>
      <c r="K1531" t="s">
        <v>40665</v>
      </c>
      <c r="M1531" t="s">
        <v>41541</v>
      </c>
      <c r="N1531" t="s">
        <v>44905</v>
      </c>
      <c r="O1531" t="s">
        <v>44906</v>
      </c>
      <c r="P1531">
        <v>0</v>
      </c>
      <c r="Q1531">
        <v>3</v>
      </c>
      <c r="R1531" t="s">
        <v>44907</v>
      </c>
      <c r="S1531" t="s">
        <v>45026</v>
      </c>
      <c r="T1531" t="s">
        <v>46559</v>
      </c>
      <c r="U1531" t="s">
        <v>48048</v>
      </c>
      <c r="W1531" t="s">
        <v>41541</v>
      </c>
      <c r="X1531" t="s">
        <v>44908</v>
      </c>
    </row>
    <row r="1532" spans="1:24">
      <c r="A1532">
        <f>HYPERLINK("https://www.philgeps.gov.ph/GEPSNONPILOT/Tender/SplashBidNoticeAbstractUI.aspx?menuIndex=3&amp;refID=7083464&amp;Result=3","7083464")</f>
        <v>0</v>
      </c>
      <c r="B1532" t="s">
        <v>440</v>
      </c>
      <c r="C1532" t="s">
        <v>4998</v>
      </c>
      <c r="D1532" t="s">
        <v>18154</v>
      </c>
      <c r="E1532" t="s">
        <v>19624</v>
      </c>
      <c r="F1532" t="s">
        <v>31362</v>
      </c>
      <c r="G1532" t="s">
        <v>31370</v>
      </c>
      <c r="H1532" t="s">
        <v>15799</v>
      </c>
      <c r="I1532" t="s">
        <v>31380</v>
      </c>
      <c r="J1532" t="s">
        <v>32638</v>
      </c>
      <c r="K1532" t="s">
        <v>40662</v>
      </c>
      <c r="M1532" t="s">
        <v>41604</v>
      </c>
      <c r="N1532" t="s">
        <v>44905</v>
      </c>
      <c r="O1532" t="s">
        <v>44906</v>
      </c>
      <c r="P1532">
        <v>0</v>
      </c>
      <c r="Q1532">
        <v>0</v>
      </c>
      <c r="R1532" t="s">
        <v>44907</v>
      </c>
      <c r="S1532" t="s">
        <v>45026</v>
      </c>
      <c r="T1532" t="s">
        <v>46447</v>
      </c>
      <c r="U1532" t="s">
        <v>48208</v>
      </c>
      <c r="W1532" t="s">
        <v>41604</v>
      </c>
      <c r="X1532" t="s">
        <v>44908</v>
      </c>
    </row>
    <row r="1533" spans="1:24">
      <c r="A1533">
        <f>HYPERLINK("https://www.philgeps.gov.ph/GEPSNONPILOT/Tender/SplashBidNoticeAbstractUI.aspx?menuIndex=3&amp;refID=7083489&amp;Result=3","7083489")</f>
        <v>0</v>
      </c>
      <c r="B1533" t="s">
        <v>660</v>
      </c>
      <c r="C1533" t="s">
        <v>4999</v>
      </c>
      <c r="D1533" t="s">
        <v>18116</v>
      </c>
      <c r="E1533" t="s">
        <v>19625</v>
      </c>
      <c r="F1533" t="s">
        <v>31362</v>
      </c>
      <c r="G1533" t="s">
        <v>31368</v>
      </c>
      <c r="H1533" t="s">
        <v>15799</v>
      </c>
      <c r="I1533" t="s">
        <v>3815</v>
      </c>
      <c r="J1533" t="s">
        <v>32639</v>
      </c>
      <c r="K1533" t="s">
        <v>40661</v>
      </c>
      <c r="M1533" t="s">
        <v>41622</v>
      </c>
      <c r="N1533" t="s">
        <v>44905</v>
      </c>
      <c r="O1533" t="s">
        <v>44906</v>
      </c>
      <c r="P1533">
        <v>0</v>
      </c>
      <c r="Q1533">
        <v>0</v>
      </c>
      <c r="R1533" t="s">
        <v>44907</v>
      </c>
      <c r="S1533" t="s">
        <v>45026</v>
      </c>
      <c r="T1533" t="s">
        <v>46410</v>
      </c>
      <c r="U1533" t="s">
        <v>48209</v>
      </c>
      <c r="W1533" t="s">
        <v>41622</v>
      </c>
      <c r="X1533" t="s">
        <v>44908</v>
      </c>
    </row>
    <row r="1534" spans="1:24">
      <c r="A1534">
        <f>HYPERLINK("https://www.philgeps.gov.ph/GEPSNONPILOT/Tender/SplashBidNoticeAbstractUI.aspx?menuIndex=3&amp;refID=7083488&amp;Result=3","7083488")</f>
        <v>0</v>
      </c>
      <c r="B1534" t="s">
        <v>637</v>
      </c>
      <c r="C1534" t="s">
        <v>4912</v>
      </c>
      <c r="D1534" t="s">
        <v>18102</v>
      </c>
      <c r="E1534" t="s">
        <v>19626</v>
      </c>
      <c r="F1534" t="s">
        <v>31362</v>
      </c>
      <c r="G1534" t="s">
        <v>31368</v>
      </c>
      <c r="H1534" t="s">
        <v>15799</v>
      </c>
      <c r="I1534" t="s">
        <v>31430</v>
      </c>
      <c r="J1534" t="s">
        <v>32640</v>
      </c>
      <c r="K1534" t="s">
        <v>40665</v>
      </c>
      <c r="M1534" t="s">
        <v>41597</v>
      </c>
      <c r="N1534" t="s">
        <v>44905</v>
      </c>
      <c r="O1534" t="s">
        <v>44906</v>
      </c>
      <c r="P1534">
        <v>0</v>
      </c>
      <c r="Q1534">
        <v>1</v>
      </c>
      <c r="R1534" t="s">
        <v>44907</v>
      </c>
      <c r="S1534" t="s">
        <v>45026</v>
      </c>
      <c r="T1534" t="s">
        <v>46493</v>
      </c>
      <c r="U1534" t="s">
        <v>48139</v>
      </c>
      <c r="W1534" t="s">
        <v>41597</v>
      </c>
      <c r="X1534" t="s">
        <v>44908</v>
      </c>
    </row>
    <row r="1535" spans="1:24">
      <c r="A1535">
        <f>HYPERLINK("https://www.philgeps.gov.ph/GEPSNONPILOT/Tender/SplashBidNoticeAbstractUI.aspx?menuIndex=3&amp;refID=7083485&amp;Result=3","7083485")</f>
        <v>0</v>
      </c>
      <c r="B1535" t="s">
        <v>561</v>
      </c>
      <c r="C1535" t="s">
        <v>5000</v>
      </c>
      <c r="D1535" t="s">
        <v>18124</v>
      </c>
      <c r="E1535" t="s">
        <v>19627</v>
      </c>
      <c r="F1535" t="s">
        <v>31362</v>
      </c>
      <c r="G1535" t="s">
        <v>31369</v>
      </c>
      <c r="H1535" t="s">
        <v>15799</v>
      </c>
      <c r="I1535" t="s">
        <v>31388</v>
      </c>
      <c r="J1535" t="s">
        <v>31890</v>
      </c>
      <c r="K1535" t="s">
        <v>40670</v>
      </c>
      <c r="M1535" t="s">
        <v>41517</v>
      </c>
      <c r="N1535" t="s">
        <v>44905</v>
      </c>
      <c r="O1535" t="s">
        <v>44906</v>
      </c>
      <c r="P1535">
        <v>0</v>
      </c>
      <c r="Q1535">
        <v>0</v>
      </c>
      <c r="R1535" t="s">
        <v>44907</v>
      </c>
      <c r="S1535" t="s">
        <v>45026</v>
      </c>
      <c r="T1535" t="s">
        <v>46553</v>
      </c>
      <c r="U1535" t="s">
        <v>48210</v>
      </c>
      <c r="W1535" t="s">
        <v>41517</v>
      </c>
      <c r="X1535" t="s">
        <v>44908</v>
      </c>
    </row>
    <row r="1536" spans="1:24">
      <c r="A1536">
        <f>HYPERLINK("https://www.philgeps.gov.ph/GEPSNONPILOT/Tender/SplashBidNoticeAbstractUI.aspx?menuIndex=3&amp;refID=7083484&amp;Result=3","7083484")</f>
        <v>0</v>
      </c>
      <c r="B1536" t="s">
        <v>440</v>
      </c>
      <c r="C1536" t="s">
        <v>5001</v>
      </c>
      <c r="D1536" t="s">
        <v>18154</v>
      </c>
      <c r="E1536" t="s">
        <v>19628</v>
      </c>
      <c r="F1536" t="s">
        <v>31362</v>
      </c>
      <c r="G1536" t="s">
        <v>31368</v>
      </c>
      <c r="H1536" t="s">
        <v>15799</v>
      </c>
      <c r="I1536" t="s">
        <v>31431</v>
      </c>
      <c r="J1536" t="s">
        <v>31530</v>
      </c>
      <c r="K1536" t="s">
        <v>40662</v>
      </c>
      <c r="M1536" t="s">
        <v>41604</v>
      </c>
      <c r="N1536" t="s">
        <v>44905</v>
      </c>
      <c r="O1536" t="s">
        <v>44906</v>
      </c>
      <c r="P1536">
        <v>0</v>
      </c>
      <c r="Q1536">
        <v>0</v>
      </c>
      <c r="R1536" t="s">
        <v>44907</v>
      </c>
      <c r="S1536" t="s">
        <v>45026</v>
      </c>
      <c r="T1536" t="s">
        <v>46447</v>
      </c>
      <c r="U1536" t="s">
        <v>48211</v>
      </c>
      <c r="W1536" t="s">
        <v>41604</v>
      </c>
      <c r="X1536" t="s">
        <v>44908</v>
      </c>
    </row>
    <row r="1537" spans="1:24">
      <c r="A1537">
        <f>HYPERLINK("https://www.philgeps.gov.ph/GEPSNONPILOT/Tender/SplashBidNoticeAbstractUI.aspx?menuIndex=3&amp;refID=7083483&amp;Result=3","7083483")</f>
        <v>0</v>
      </c>
      <c r="B1537" t="s">
        <v>661</v>
      </c>
      <c r="C1537" t="s">
        <v>5002</v>
      </c>
      <c r="D1537" t="s">
        <v>18110</v>
      </c>
      <c r="E1537" t="s">
        <v>19629</v>
      </c>
      <c r="F1537" t="s">
        <v>31362</v>
      </c>
      <c r="G1537" t="s">
        <v>31370</v>
      </c>
      <c r="H1537" t="s">
        <v>15799</v>
      </c>
      <c r="I1537" t="s">
        <v>31380</v>
      </c>
      <c r="J1537" t="s">
        <v>32641</v>
      </c>
      <c r="K1537" t="s">
        <v>40661</v>
      </c>
      <c r="M1537" t="s">
        <v>41623</v>
      </c>
      <c r="N1537" t="s">
        <v>44905</v>
      </c>
      <c r="O1537" t="s">
        <v>44906</v>
      </c>
      <c r="P1537">
        <v>0</v>
      </c>
      <c r="Q1537">
        <v>0</v>
      </c>
      <c r="R1537" t="s">
        <v>44907</v>
      </c>
      <c r="S1537" t="s">
        <v>45026</v>
      </c>
      <c r="T1537" t="s">
        <v>46444</v>
      </c>
      <c r="U1537" t="s">
        <v>48212</v>
      </c>
      <c r="W1537" t="s">
        <v>41623</v>
      </c>
      <c r="X1537" t="s">
        <v>44908</v>
      </c>
    </row>
    <row r="1538" spans="1:24">
      <c r="A1538">
        <f>HYPERLINK("https://www.philgeps.gov.ph/GEPSNONPILOT/Tender/SplashBidNoticeAbstractUI.aspx?menuIndex=3&amp;refID=7083481&amp;Result=3","7083481")</f>
        <v>0</v>
      </c>
      <c r="B1538" t="s">
        <v>662</v>
      </c>
      <c r="C1538" t="s">
        <v>4337</v>
      </c>
      <c r="D1538" t="s">
        <v>18111</v>
      </c>
      <c r="E1538" t="s">
        <v>19630</v>
      </c>
      <c r="F1538" t="s">
        <v>31362</v>
      </c>
      <c r="G1538" t="s">
        <v>31370</v>
      </c>
      <c r="H1538" t="s">
        <v>15799</v>
      </c>
      <c r="I1538" t="s">
        <v>31387</v>
      </c>
      <c r="J1538" t="s">
        <v>32642</v>
      </c>
      <c r="K1538" t="s">
        <v>40670</v>
      </c>
      <c r="M1538" t="s">
        <v>41624</v>
      </c>
      <c r="N1538" t="s">
        <v>44905</v>
      </c>
      <c r="O1538" t="s">
        <v>44906</v>
      </c>
      <c r="P1538">
        <v>0</v>
      </c>
      <c r="Q1538">
        <v>0</v>
      </c>
      <c r="R1538" t="s">
        <v>44907</v>
      </c>
      <c r="S1538" t="s">
        <v>45026</v>
      </c>
      <c r="T1538" t="s">
        <v>46446</v>
      </c>
      <c r="U1538" t="s">
        <v>47653</v>
      </c>
      <c r="W1538" t="s">
        <v>41624</v>
      </c>
      <c r="X1538" t="s">
        <v>44908</v>
      </c>
    </row>
    <row r="1539" spans="1:24">
      <c r="A1539">
        <f>HYPERLINK("https://www.philgeps.gov.ph/GEPSNONPILOT/Tender/SplashBidNoticeAbstractUI.aspx?menuIndex=3&amp;refID=7083478&amp;Result=3","7083478")</f>
        <v>0</v>
      </c>
      <c r="B1539" t="s">
        <v>627</v>
      </c>
      <c r="C1539" t="s">
        <v>5003</v>
      </c>
      <c r="D1539" t="s">
        <v>18105</v>
      </c>
      <c r="E1539" t="s">
        <v>19631</v>
      </c>
      <c r="F1539" t="s">
        <v>31362</v>
      </c>
      <c r="G1539" t="s">
        <v>31368</v>
      </c>
      <c r="H1539" t="s">
        <v>31379</v>
      </c>
      <c r="I1539" t="s">
        <v>31430</v>
      </c>
      <c r="J1539" t="s">
        <v>31577</v>
      </c>
      <c r="K1539" t="s">
        <v>40665</v>
      </c>
      <c r="M1539" t="s">
        <v>41586</v>
      </c>
      <c r="N1539" t="s">
        <v>44905</v>
      </c>
      <c r="O1539" t="s">
        <v>44906</v>
      </c>
      <c r="P1539">
        <v>0</v>
      </c>
      <c r="Q1539">
        <v>0</v>
      </c>
      <c r="R1539" t="s">
        <v>44907</v>
      </c>
      <c r="S1539" t="s">
        <v>45026</v>
      </c>
      <c r="T1539" t="s">
        <v>46393</v>
      </c>
      <c r="U1539" t="s">
        <v>48213</v>
      </c>
      <c r="W1539" t="s">
        <v>41586</v>
      </c>
      <c r="X1539" t="s">
        <v>44908</v>
      </c>
    </row>
    <row r="1540" spans="1:24">
      <c r="A1540">
        <f>HYPERLINK("https://www.philgeps.gov.ph/GEPSNONPILOT/Tender/SplashBidNoticeAbstractUI.aspx?menuIndex=3&amp;refID=7083477&amp;Result=3","7083477")</f>
        <v>0</v>
      </c>
      <c r="B1540" t="s">
        <v>663</v>
      </c>
      <c r="C1540" t="s">
        <v>5004</v>
      </c>
      <c r="D1540" t="s">
        <v>18103</v>
      </c>
      <c r="E1540" t="s">
        <v>19632</v>
      </c>
      <c r="F1540" t="s">
        <v>31362</v>
      </c>
      <c r="G1540" t="s">
        <v>31370</v>
      </c>
      <c r="H1540" t="s">
        <v>31378</v>
      </c>
      <c r="I1540" t="s">
        <v>31386</v>
      </c>
      <c r="J1540" t="s">
        <v>32643</v>
      </c>
      <c r="K1540" t="s">
        <v>40661</v>
      </c>
      <c r="M1540" t="s">
        <v>41625</v>
      </c>
      <c r="N1540" t="s">
        <v>44905</v>
      </c>
      <c r="O1540" t="s">
        <v>44906</v>
      </c>
      <c r="P1540">
        <v>0</v>
      </c>
      <c r="Q1540">
        <v>0</v>
      </c>
      <c r="R1540" t="s">
        <v>44907</v>
      </c>
      <c r="S1540" t="s">
        <v>45026</v>
      </c>
      <c r="T1540" t="s">
        <v>46418</v>
      </c>
      <c r="U1540" t="s">
        <v>48214</v>
      </c>
      <c r="W1540" t="s">
        <v>41625</v>
      </c>
      <c r="X1540" t="s">
        <v>44908</v>
      </c>
    </row>
    <row r="1541" spans="1:24">
      <c r="A1541">
        <f>HYPERLINK("https://www.philgeps.gov.ph/GEPSNONPILOT/Tender/SplashBidNoticeAbstractUI.aspx?menuIndex=3&amp;refID=7083476&amp;Result=3","7083476")</f>
        <v>0</v>
      </c>
      <c r="B1541" t="s">
        <v>664</v>
      </c>
      <c r="C1541" t="s">
        <v>5005</v>
      </c>
      <c r="D1541" t="s">
        <v>18107</v>
      </c>
      <c r="E1541" t="s">
        <v>19633</v>
      </c>
      <c r="F1541" t="s">
        <v>31362</v>
      </c>
      <c r="G1541" t="s">
        <v>31370</v>
      </c>
      <c r="H1541" t="s">
        <v>15799</v>
      </c>
      <c r="I1541" t="s">
        <v>31471</v>
      </c>
      <c r="J1541" t="s">
        <v>32090</v>
      </c>
      <c r="K1541" t="s">
        <v>40661</v>
      </c>
      <c r="M1541" t="s">
        <v>41626</v>
      </c>
      <c r="N1541" t="s">
        <v>44905</v>
      </c>
      <c r="O1541" t="s">
        <v>44906</v>
      </c>
      <c r="P1541">
        <v>0</v>
      </c>
      <c r="Q1541">
        <v>1</v>
      </c>
      <c r="R1541" t="s">
        <v>44907</v>
      </c>
      <c r="S1541" t="s">
        <v>45026</v>
      </c>
      <c r="T1541" t="s">
        <v>46569</v>
      </c>
      <c r="U1541" t="s">
        <v>48215</v>
      </c>
      <c r="W1541" t="s">
        <v>41626</v>
      </c>
      <c r="X1541" t="s">
        <v>44908</v>
      </c>
    </row>
    <row r="1542" spans="1:24">
      <c r="A1542">
        <f>HYPERLINK("https://www.philgeps.gov.ph/GEPSNONPILOT/Tender/SplashBidNoticeAbstractUI.aspx?menuIndex=3&amp;refID=7083475&amp;Result=3","7083475")</f>
        <v>0</v>
      </c>
      <c r="B1542" t="s">
        <v>624</v>
      </c>
      <c r="C1542" t="s">
        <v>5006</v>
      </c>
      <c r="D1542" t="s">
        <v>18148</v>
      </c>
      <c r="E1542" t="s">
        <v>19634</v>
      </c>
      <c r="F1542" t="s">
        <v>31362</v>
      </c>
      <c r="G1542" t="s">
        <v>31368</v>
      </c>
      <c r="H1542" t="s">
        <v>15799</v>
      </c>
      <c r="I1542" t="s">
        <v>6155</v>
      </c>
      <c r="J1542" t="s">
        <v>32644</v>
      </c>
      <c r="K1542" t="s">
        <v>40662</v>
      </c>
      <c r="M1542" t="s">
        <v>41583</v>
      </c>
      <c r="N1542" t="s">
        <v>44905</v>
      </c>
      <c r="O1542" t="s">
        <v>44906</v>
      </c>
      <c r="P1542">
        <v>0</v>
      </c>
      <c r="Q1542">
        <v>0</v>
      </c>
      <c r="R1542" t="s">
        <v>44907</v>
      </c>
      <c r="S1542" t="s">
        <v>45026</v>
      </c>
      <c r="T1542" t="s">
        <v>46414</v>
      </c>
      <c r="U1542" t="s">
        <v>48216</v>
      </c>
      <c r="W1542" t="s">
        <v>41583</v>
      </c>
      <c r="X1542" t="s">
        <v>44908</v>
      </c>
    </row>
    <row r="1543" spans="1:24">
      <c r="A1543">
        <f>HYPERLINK("https://www.philgeps.gov.ph/GEPSNONPILOT/Tender/SplashBidNoticeAbstractUI.aspx?menuIndex=3&amp;refID=7083474&amp;Result=3","7083474")</f>
        <v>0</v>
      </c>
      <c r="B1543" t="s">
        <v>50</v>
      </c>
      <c r="C1543" t="s">
        <v>5007</v>
      </c>
      <c r="D1543" t="s">
        <v>18100</v>
      </c>
      <c r="E1543" t="s">
        <v>19635</v>
      </c>
      <c r="F1543" t="s">
        <v>31363</v>
      </c>
      <c r="G1543" t="s">
        <v>31368</v>
      </c>
      <c r="H1543" t="s">
        <v>15799</v>
      </c>
      <c r="I1543" t="s">
        <v>31382</v>
      </c>
      <c r="J1543" t="s">
        <v>31866</v>
      </c>
      <c r="K1543" t="s">
        <v>40661</v>
      </c>
      <c r="M1543" t="s">
        <v>40984</v>
      </c>
      <c r="N1543" t="s">
        <v>44905</v>
      </c>
      <c r="O1543" t="s">
        <v>44906</v>
      </c>
      <c r="P1543">
        <v>0</v>
      </c>
      <c r="Q1543">
        <v>2</v>
      </c>
      <c r="R1543" t="s">
        <v>44907</v>
      </c>
      <c r="S1543" t="s">
        <v>45026</v>
      </c>
      <c r="T1543" t="s">
        <v>46408</v>
      </c>
      <c r="U1543" t="s">
        <v>48217</v>
      </c>
      <c r="W1543" t="s">
        <v>40984</v>
      </c>
      <c r="X1543" t="s">
        <v>44908</v>
      </c>
    </row>
    <row r="1544" spans="1:24">
      <c r="A1544">
        <f>HYPERLINK("https://www.philgeps.gov.ph/GEPSNONPILOT/Tender/SplashBidNoticeAbstractUI.aspx?menuIndex=3&amp;refID=7083473&amp;Result=3","7083473")</f>
        <v>0</v>
      </c>
      <c r="B1544" t="s">
        <v>440</v>
      </c>
      <c r="C1544" t="s">
        <v>5008</v>
      </c>
      <c r="D1544" t="s">
        <v>18154</v>
      </c>
      <c r="E1544" t="s">
        <v>19636</v>
      </c>
      <c r="F1544" t="s">
        <v>31362</v>
      </c>
      <c r="G1544" t="s">
        <v>31370</v>
      </c>
      <c r="H1544" t="s">
        <v>15799</v>
      </c>
      <c r="I1544" t="s">
        <v>31385</v>
      </c>
      <c r="J1544" t="s">
        <v>32645</v>
      </c>
      <c r="K1544" t="s">
        <v>40662</v>
      </c>
      <c r="M1544" t="s">
        <v>41604</v>
      </c>
      <c r="N1544" t="s">
        <v>44905</v>
      </c>
      <c r="O1544" t="s">
        <v>44906</v>
      </c>
      <c r="P1544">
        <v>0</v>
      </c>
      <c r="Q1544">
        <v>0</v>
      </c>
      <c r="R1544" t="s">
        <v>44907</v>
      </c>
      <c r="S1544" t="s">
        <v>45026</v>
      </c>
      <c r="T1544" t="s">
        <v>46447</v>
      </c>
      <c r="U1544" t="s">
        <v>48218</v>
      </c>
      <c r="W1544" t="s">
        <v>41604</v>
      </c>
      <c r="X1544" t="s">
        <v>44908</v>
      </c>
    </row>
    <row r="1545" spans="1:24">
      <c r="A1545">
        <f>HYPERLINK("https://www.philgeps.gov.ph/GEPSNONPILOT/Tender/SplashBidNoticeAbstractUI.aspx?menuIndex=3&amp;refID=7083490&amp;Result=3","7083490")</f>
        <v>0</v>
      </c>
      <c r="B1545" t="s">
        <v>656</v>
      </c>
      <c r="C1545" t="s">
        <v>5009</v>
      </c>
      <c r="D1545" t="s">
        <v>18123</v>
      </c>
      <c r="E1545" t="s">
        <v>18890</v>
      </c>
      <c r="F1545" t="s">
        <v>31362</v>
      </c>
      <c r="G1545" t="s">
        <v>31368</v>
      </c>
      <c r="H1545" t="s">
        <v>31378</v>
      </c>
      <c r="I1545" t="s">
        <v>31386</v>
      </c>
      <c r="J1545" t="s">
        <v>32646</v>
      </c>
      <c r="K1545" t="s">
        <v>40679</v>
      </c>
      <c r="M1545" t="s">
        <v>41618</v>
      </c>
      <c r="N1545" t="s">
        <v>44905</v>
      </c>
      <c r="O1545" t="s">
        <v>44906</v>
      </c>
      <c r="P1545">
        <v>0</v>
      </c>
      <c r="Q1545">
        <v>0</v>
      </c>
      <c r="R1545" t="s">
        <v>44907</v>
      </c>
      <c r="S1545" t="s">
        <v>45026</v>
      </c>
      <c r="T1545" t="s">
        <v>46409</v>
      </c>
      <c r="U1545" t="s">
        <v>48199</v>
      </c>
      <c r="W1545" t="s">
        <v>41618</v>
      </c>
      <c r="X1545" t="s">
        <v>44908</v>
      </c>
    </row>
    <row r="1546" spans="1:24">
      <c r="A1546">
        <f>HYPERLINK("https://www.philgeps.gov.ph/GEPSNONPILOT/Tender/SplashBidNoticeAbstractUI.aspx?menuIndex=3&amp;refID=7083515&amp;Result=3","7083515")</f>
        <v>0</v>
      </c>
      <c r="B1546" t="s">
        <v>665</v>
      </c>
      <c r="C1546" t="s">
        <v>5010</v>
      </c>
      <c r="D1546" t="s">
        <v>18139</v>
      </c>
      <c r="E1546" t="s">
        <v>19637</v>
      </c>
      <c r="F1546" t="s">
        <v>31362</v>
      </c>
      <c r="G1546" t="s">
        <v>31368</v>
      </c>
      <c r="H1546" t="s">
        <v>15799</v>
      </c>
      <c r="I1546" t="s">
        <v>31384</v>
      </c>
      <c r="J1546" t="s">
        <v>32647</v>
      </c>
      <c r="K1546" t="s">
        <v>40665</v>
      </c>
      <c r="M1546" t="s">
        <v>41627</v>
      </c>
      <c r="N1546" t="s">
        <v>44905</v>
      </c>
      <c r="O1546" t="s">
        <v>44906</v>
      </c>
      <c r="P1546">
        <v>0</v>
      </c>
      <c r="Q1546">
        <v>1</v>
      </c>
      <c r="R1546" t="s">
        <v>44907</v>
      </c>
      <c r="S1546" t="s">
        <v>45026</v>
      </c>
      <c r="T1546" t="s">
        <v>46399</v>
      </c>
      <c r="U1546" t="s">
        <v>48219</v>
      </c>
      <c r="W1546" t="s">
        <v>41627</v>
      </c>
      <c r="X1546" t="s">
        <v>44908</v>
      </c>
    </row>
    <row r="1547" spans="1:24">
      <c r="A1547">
        <f>HYPERLINK("https://www.philgeps.gov.ph/GEPSNONPILOT/Tender/SplashBidNoticeAbstractUI.aspx?menuIndex=3&amp;refID=7083514&amp;Result=3","7083514")</f>
        <v>0</v>
      </c>
      <c r="B1547" t="s">
        <v>666</v>
      </c>
      <c r="C1547" t="s">
        <v>5011</v>
      </c>
      <c r="D1547" t="s">
        <v>18108</v>
      </c>
      <c r="E1547" t="s">
        <v>19638</v>
      </c>
      <c r="F1547" t="s">
        <v>31362</v>
      </c>
      <c r="G1547" t="s">
        <v>31368</v>
      </c>
      <c r="H1547" t="s">
        <v>15799</v>
      </c>
      <c r="I1547" t="s">
        <v>31464</v>
      </c>
      <c r="J1547" t="s">
        <v>31738</v>
      </c>
      <c r="K1547" t="s">
        <v>40661</v>
      </c>
      <c r="M1547" t="s">
        <v>41628</v>
      </c>
      <c r="N1547" t="s">
        <v>44905</v>
      </c>
      <c r="O1547" t="s">
        <v>44906</v>
      </c>
      <c r="P1547">
        <v>0</v>
      </c>
      <c r="Q1547">
        <v>2</v>
      </c>
      <c r="R1547" t="s">
        <v>44907</v>
      </c>
      <c r="S1547" t="s">
        <v>45026</v>
      </c>
      <c r="T1547" t="s">
        <v>46488</v>
      </c>
      <c r="U1547" t="s">
        <v>48220</v>
      </c>
      <c r="W1547" t="s">
        <v>41628</v>
      </c>
      <c r="X1547" t="s">
        <v>44908</v>
      </c>
    </row>
    <row r="1548" spans="1:24">
      <c r="A1548">
        <f>HYPERLINK("https://www.philgeps.gov.ph/GEPSNONPILOT/Tender/SplashBidNoticeAbstractUI.aspx?menuIndex=3&amp;refID=7083512&amp;Result=3","7083512")</f>
        <v>0</v>
      </c>
      <c r="B1548" t="s">
        <v>585</v>
      </c>
      <c r="C1548" t="s">
        <v>4955</v>
      </c>
      <c r="D1548" t="s">
        <v>18100</v>
      </c>
      <c r="E1548" t="s">
        <v>19639</v>
      </c>
      <c r="F1548" t="s">
        <v>31362</v>
      </c>
      <c r="G1548" t="s">
        <v>31368</v>
      </c>
      <c r="H1548" t="s">
        <v>15799</v>
      </c>
      <c r="I1548" t="s">
        <v>31380</v>
      </c>
      <c r="J1548" t="s">
        <v>32648</v>
      </c>
      <c r="K1548" t="s">
        <v>40662</v>
      </c>
      <c r="M1548" t="s">
        <v>41542</v>
      </c>
      <c r="N1548" t="s">
        <v>44905</v>
      </c>
      <c r="O1548" t="s">
        <v>44906</v>
      </c>
      <c r="P1548">
        <v>0</v>
      </c>
      <c r="Q1548">
        <v>3</v>
      </c>
      <c r="R1548" t="s">
        <v>44907</v>
      </c>
      <c r="S1548" t="s">
        <v>45026</v>
      </c>
      <c r="T1548" t="s">
        <v>46553</v>
      </c>
      <c r="U1548" t="s">
        <v>48050</v>
      </c>
      <c r="W1548" t="s">
        <v>41542</v>
      </c>
      <c r="X1548" t="s">
        <v>44908</v>
      </c>
    </row>
    <row r="1549" spans="1:24">
      <c r="A1549">
        <f>HYPERLINK("https://www.philgeps.gov.ph/GEPSNONPILOT/Tender/SplashBidNoticeAbstractUI.aspx?menuIndex=3&amp;refID=7083409&amp;Result=3","7083409")</f>
        <v>0</v>
      </c>
      <c r="B1549" t="s">
        <v>491</v>
      </c>
      <c r="C1549" t="s">
        <v>5012</v>
      </c>
      <c r="D1549" t="s">
        <v>18126</v>
      </c>
      <c r="E1549" t="s">
        <v>19640</v>
      </c>
      <c r="F1549" t="s">
        <v>31362</v>
      </c>
      <c r="G1549" t="s">
        <v>31368</v>
      </c>
      <c r="H1549" t="s">
        <v>15799</v>
      </c>
      <c r="I1549" t="s">
        <v>31393</v>
      </c>
      <c r="J1549" t="s">
        <v>32649</v>
      </c>
      <c r="K1549" t="s">
        <v>40666</v>
      </c>
      <c r="M1549" t="s">
        <v>41446</v>
      </c>
      <c r="N1549" t="s">
        <v>44905</v>
      </c>
      <c r="O1549" t="s">
        <v>44906</v>
      </c>
      <c r="P1549">
        <v>0</v>
      </c>
      <c r="Q1549">
        <v>1</v>
      </c>
      <c r="R1549" t="s">
        <v>44907</v>
      </c>
      <c r="S1549" t="s">
        <v>45026</v>
      </c>
      <c r="T1549" t="s">
        <v>46425</v>
      </c>
      <c r="U1549" t="s">
        <v>47962</v>
      </c>
      <c r="W1549" t="s">
        <v>41446</v>
      </c>
      <c r="X1549" t="s">
        <v>44908</v>
      </c>
    </row>
    <row r="1550" spans="1:24">
      <c r="A1550">
        <f>HYPERLINK("https://www.philgeps.gov.ph/GEPSNONPILOT/Tender/SplashBidNoticeAbstractUI.aspx?menuIndex=3&amp;refID=7083510&amp;Result=3","7083510")</f>
        <v>0</v>
      </c>
      <c r="B1550" t="s">
        <v>667</v>
      </c>
      <c r="C1550" t="s">
        <v>5013</v>
      </c>
      <c r="D1550" t="s">
        <v>18119</v>
      </c>
      <c r="E1550" t="s">
        <v>19641</v>
      </c>
      <c r="F1550" t="s">
        <v>31362</v>
      </c>
      <c r="G1550" t="s">
        <v>31369</v>
      </c>
      <c r="H1550" t="s">
        <v>15799</v>
      </c>
      <c r="I1550" t="s">
        <v>31387</v>
      </c>
      <c r="J1550" t="s">
        <v>32650</v>
      </c>
      <c r="K1550" t="s">
        <v>40666</v>
      </c>
      <c r="M1550" t="s">
        <v>41629</v>
      </c>
      <c r="N1550" t="s">
        <v>44905</v>
      </c>
      <c r="O1550" t="s">
        <v>44906</v>
      </c>
      <c r="P1550">
        <v>0</v>
      </c>
      <c r="Q1550">
        <v>0</v>
      </c>
      <c r="R1550" t="s">
        <v>44907</v>
      </c>
      <c r="S1550" t="s">
        <v>45026</v>
      </c>
      <c r="T1550" t="s">
        <v>46479</v>
      </c>
      <c r="U1550" t="s">
        <v>48221</v>
      </c>
      <c r="W1550" t="s">
        <v>41629</v>
      </c>
      <c r="X1550" t="s">
        <v>44908</v>
      </c>
    </row>
    <row r="1551" spans="1:24">
      <c r="A1551">
        <f>HYPERLINK("https://www.philgeps.gov.ph/GEPSNONPILOT/Tender/SplashBidNoticeAbstractUI.aspx?menuIndex=3&amp;refID=7083509&amp;Result=3","7083509")</f>
        <v>0</v>
      </c>
      <c r="B1551" t="s">
        <v>668</v>
      </c>
      <c r="C1551" t="s">
        <v>5014</v>
      </c>
      <c r="D1551" t="s">
        <v>18114</v>
      </c>
      <c r="E1551" t="s">
        <v>19224</v>
      </c>
      <c r="F1551" t="s">
        <v>31362</v>
      </c>
      <c r="G1551" t="s">
        <v>31371</v>
      </c>
      <c r="H1551" t="s">
        <v>15799</v>
      </c>
      <c r="I1551" t="s">
        <v>31427</v>
      </c>
      <c r="J1551" t="s">
        <v>32651</v>
      </c>
      <c r="K1551" t="s">
        <v>40666</v>
      </c>
      <c r="M1551" t="s">
        <v>41630</v>
      </c>
      <c r="N1551" t="s">
        <v>44905</v>
      </c>
      <c r="O1551" t="s">
        <v>44906</v>
      </c>
      <c r="P1551">
        <v>0</v>
      </c>
      <c r="Q1551">
        <v>6</v>
      </c>
      <c r="R1551" t="s">
        <v>44907</v>
      </c>
      <c r="S1551" t="s">
        <v>45026</v>
      </c>
      <c r="T1551" t="s">
        <v>46416</v>
      </c>
      <c r="U1551" t="s">
        <v>48222</v>
      </c>
      <c r="W1551" t="s">
        <v>41630</v>
      </c>
      <c r="X1551" t="s">
        <v>44908</v>
      </c>
    </row>
    <row r="1552" spans="1:24">
      <c r="A1552">
        <f>HYPERLINK("https://www.philgeps.gov.ph/GEPSNONPILOT/Tender/SplashBidNoticeAbstractUI.aspx?menuIndex=3&amp;refID=7083508&amp;Result=3","7083508")</f>
        <v>0</v>
      </c>
      <c r="B1552" t="s">
        <v>574</v>
      </c>
      <c r="C1552" t="s">
        <v>5015</v>
      </c>
      <c r="D1552" t="s">
        <v>18148</v>
      </c>
      <c r="E1552" t="s">
        <v>19642</v>
      </c>
      <c r="F1552" t="s">
        <v>31362</v>
      </c>
      <c r="G1552" t="s">
        <v>31368</v>
      </c>
      <c r="H1552" t="s">
        <v>15799</v>
      </c>
      <c r="I1552" t="s">
        <v>31380</v>
      </c>
      <c r="J1552" t="s">
        <v>32652</v>
      </c>
      <c r="K1552" t="s">
        <v>40672</v>
      </c>
      <c r="M1552" t="s">
        <v>41530</v>
      </c>
      <c r="N1552" t="s">
        <v>44905</v>
      </c>
      <c r="O1552" t="s">
        <v>44906</v>
      </c>
      <c r="P1552">
        <v>0</v>
      </c>
      <c r="Q1552">
        <v>5</v>
      </c>
      <c r="R1552" t="s">
        <v>44907</v>
      </c>
      <c r="S1552" t="s">
        <v>45026</v>
      </c>
      <c r="T1552" t="s">
        <v>46443</v>
      </c>
      <c r="U1552" t="s">
        <v>48223</v>
      </c>
      <c r="W1552" t="s">
        <v>41530</v>
      </c>
      <c r="X1552" t="s">
        <v>44908</v>
      </c>
    </row>
    <row r="1553" spans="1:24">
      <c r="A1553">
        <f>HYPERLINK("https://www.philgeps.gov.ph/GEPSNONPILOT/Tender/SplashBidNoticeAbstractUI.aspx?menuIndex=3&amp;refID=7083444&amp;Result=3","7083444")</f>
        <v>0</v>
      </c>
      <c r="B1553" t="s">
        <v>176</v>
      </c>
      <c r="C1553" t="s">
        <v>5016</v>
      </c>
      <c r="E1553" t="s">
        <v>19643</v>
      </c>
      <c r="F1553" t="s">
        <v>31362</v>
      </c>
      <c r="G1553" t="s">
        <v>31368</v>
      </c>
      <c r="H1553" t="s">
        <v>15799</v>
      </c>
      <c r="I1553" t="s">
        <v>7188</v>
      </c>
      <c r="J1553" t="s">
        <v>31823</v>
      </c>
      <c r="K1553" t="s">
        <v>40662</v>
      </c>
      <c r="M1553" t="s">
        <v>41114</v>
      </c>
      <c r="N1553" t="s">
        <v>44905</v>
      </c>
      <c r="O1553" t="s">
        <v>44906</v>
      </c>
      <c r="P1553">
        <v>0</v>
      </c>
      <c r="Q1553">
        <v>7</v>
      </c>
      <c r="R1553" t="s">
        <v>44907</v>
      </c>
      <c r="S1553" t="s">
        <v>45026</v>
      </c>
      <c r="T1553" t="s">
        <v>46481</v>
      </c>
      <c r="U1553" t="s">
        <v>48224</v>
      </c>
      <c r="W1553" t="s">
        <v>41114</v>
      </c>
      <c r="X1553" t="s">
        <v>44908</v>
      </c>
    </row>
    <row r="1554" spans="1:24">
      <c r="A1554">
        <f>HYPERLINK("https://www.philgeps.gov.ph/GEPSNONPILOT/Tender/SplashBidNoticeAbstractUI.aspx?menuIndex=3&amp;refID=7083507&amp;Result=3","7083507")</f>
        <v>0</v>
      </c>
      <c r="B1554" t="s">
        <v>559</v>
      </c>
      <c r="C1554" t="s">
        <v>5017</v>
      </c>
      <c r="D1554" t="s">
        <v>18139</v>
      </c>
      <c r="E1554" t="s">
        <v>19644</v>
      </c>
      <c r="F1554" t="s">
        <v>31362</v>
      </c>
      <c r="G1554" t="s">
        <v>31369</v>
      </c>
      <c r="H1554" t="s">
        <v>31378</v>
      </c>
      <c r="I1554" t="s">
        <v>31386</v>
      </c>
      <c r="J1554" t="s">
        <v>32596</v>
      </c>
      <c r="K1554" t="s">
        <v>40686</v>
      </c>
      <c r="M1554" t="s">
        <v>41515</v>
      </c>
      <c r="N1554" t="s">
        <v>44905</v>
      </c>
      <c r="O1554" t="s">
        <v>44906</v>
      </c>
      <c r="P1554">
        <v>0</v>
      </c>
      <c r="Q1554">
        <v>0</v>
      </c>
      <c r="R1554" t="s">
        <v>44907</v>
      </c>
      <c r="S1554" t="s">
        <v>45026</v>
      </c>
      <c r="T1554" t="s">
        <v>46449</v>
      </c>
      <c r="U1554" t="s">
        <v>47999</v>
      </c>
      <c r="V1554" t="s">
        <v>59206</v>
      </c>
      <c r="W1554" t="s">
        <v>41515</v>
      </c>
      <c r="X1554" t="s">
        <v>44908</v>
      </c>
    </row>
    <row r="1555" spans="1:24">
      <c r="A1555">
        <f>HYPERLINK("https://www.philgeps.gov.ph/GEPSNONPILOT/Tender/SplashBidNoticeAbstractUI.aspx?menuIndex=3&amp;refID=7083513&amp;Result=3","7083513")</f>
        <v>0</v>
      </c>
      <c r="B1555" t="s">
        <v>561</v>
      </c>
      <c r="C1555" t="s">
        <v>5018</v>
      </c>
      <c r="D1555" t="s">
        <v>18124</v>
      </c>
      <c r="E1555" t="s">
        <v>19645</v>
      </c>
      <c r="F1555" t="s">
        <v>31362</v>
      </c>
      <c r="G1555" t="s">
        <v>31369</v>
      </c>
      <c r="H1555" t="s">
        <v>15799</v>
      </c>
      <c r="I1555" t="s">
        <v>31431</v>
      </c>
      <c r="J1555" t="s">
        <v>32653</v>
      </c>
      <c r="K1555" t="s">
        <v>40670</v>
      </c>
      <c r="M1555" t="s">
        <v>41517</v>
      </c>
      <c r="N1555" t="s">
        <v>44905</v>
      </c>
      <c r="O1555" t="s">
        <v>44906</v>
      </c>
      <c r="P1555">
        <v>0</v>
      </c>
      <c r="Q1555">
        <v>0</v>
      </c>
      <c r="R1555" t="s">
        <v>44907</v>
      </c>
      <c r="S1555" t="s">
        <v>45026</v>
      </c>
      <c r="T1555" t="s">
        <v>46553</v>
      </c>
      <c r="U1555" t="s">
        <v>48081</v>
      </c>
      <c r="W1555" t="s">
        <v>41517</v>
      </c>
      <c r="X1555" t="s">
        <v>44908</v>
      </c>
    </row>
    <row r="1556" spans="1:24">
      <c r="A1556">
        <f>HYPERLINK("https://www.philgeps.gov.ph/GEPSNONPILOT/Tender/SplashBidNoticeAbstractUI.aspx?menuIndex=3&amp;refID=7083519&amp;Result=3","7083519")</f>
        <v>0</v>
      </c>
      <c r="B1556" t="s">
        <v>636</v>
      </c>
      <c r="C1556" t="s">
        <v>5019</v>
      </c>
      <c r="D1556" t="s">
        <v>18122</v>
      </c>
      <c r="E1556" t="s">
        <v>19646</v>
      </c>
      <c r="F1556" t="s">
        <v>31363</v>
      </c>
      <c r="G1556" t="s">
        <v>31368</v>
      </c>
      <c r="H1556" t="s">
        <v>31379</v>
      </c>
      <c r="I1556" t="s">
        <v>4057</v>
      </c>
      <c r="J1556" t="s">
        <v>31997</v>
      </c>
      <c r="K1556" t="s">
        <v>40670</v>
      </c>
      <c r="M1556" t="s">
        <v>41596</v>
      </c>
      <c r="N1556" t="s">
        <v>44905</v>
      </c>
      <c r="O1556" t="s">
        <v>44906</v>
      </c>
      <c r="P1556">
        <v>0</v>
      </c>
      <c r="Q1556">
        <v>0</v>
      </c>
      <c r="R1556" t="s">
        <v>44907</v>
      </c>
      <c r="S1556" t="s">
        <v>45026</v>
      </c>
      <c r="T1556" t="s">
        <v>46417</v>
      </c>
      <c r="U1556" t="s">
        <v>48225</v>
      </c>
      <c r="V1556" t="s">
        <v>59218</v>
      </c>
      <c r="W1556" t="s">
        <v>41596</v>
      </c>
      <c r="X1556" t="s">
        <v>44908</v>
      </c>
    </row>
    <row r="1557" spans="1:24">
      <c r="A1557">
        <f>HYPERLINK("https://www.philgeps.gov.ph/GEPSNONPILOT/Tender/SplashBidNoticeAbstractUI.aspx?menuIndex=3&amp;refID=7083503&amp;Result=3","7083503")</f>
        <v>0</v>
      </c>
      <c r="B1557" t="s">
        <v>414</v>
      </c>
      <c r="C1557" t="s">
        <v>5020</v>
      </c>
      <c r="E1557" t="s">
        <v>19647</v>
      </c>
      <c r="F1557" t="s">
        <v>31362</v>
      </c>
      <c r="G1557" t="s">
        <v>31369</v>
      </c>
      <c r="H1557" t="s">
        <v>15799</v>
      </c>
      <c r="I1557" t="s">
        <v>31414</v>
      </c>
      <c r="J1557" t="s">
        <v>32654</v>
      </c>
      <c r="K1557" t="s">
        <v>40679</v>
      </c>
      <c r="M1557" t="s">
        <v>41364</v>
      </c>
      <c r="N1557" t="s">
        <v>44905</v>
      </c>
      <c r="O1557" t="s">
        <v>44906</v>
      </c>
      <c r="P1557">
        <v>0</v>
      </c>
      <c r="Q1557">
        <v>0</v>
      </c>
      <c r="R1557" t="s">
        <v>44907</v>
      </c>
      <c r="S1557" t="s">
        <v>45026</v>
      </c>
      <c r="T1557" t="s">
        <v>46439</v>
      </c>
      <c r="U1557" t="s">
        <v>48226</v>
      </c>
      <c r="W1557" t="s">
        <v>41364</v>
      </c>
      <c r="X1557" t="s">
        <v>44908</v>
      </c>
    </row>
    <row r="1558" spans="1:24">
      <c r="A1558">
        <f>HYPERLINK("https://www.philgeps.gov.ph/GEPSNONPILOT/Tender/SplashBidNoticeAbstractUI.aspx?menuIndex=3&amp;refID=7083547&amp;Result=3","7083547")</f>
        <v>0</v>
      </c>
      <c r="B1558" t="s">
        <v>669</v>
      </c>
      <c r="C1558" t="s">
        <v>5021</v>
      </c>
      <c r="D1558" t="s">
        <v>18143</v>
      </c>
      <c r="E1558" t="s">
        <v>19648</v>
      </c>
      <c r="F1558" t="s">
        <v>31362</v>
      </c>
      <c r="G1558" t="s">
        <v>31368</v>
      </c>
      <c r="H1558" t="s">
        <v>15799</v>
      </c>
      <c r="I1558" t="s">
        <v>3815</v>
      </c>
      <c r="J1558" t="s">
        <v>32655</v>
      </c>
      <c r="K1558" t="s">
        <v>40665</v>
      </c>
      <c r="M1558" t="s">
        <v>41631</v>
      </c>
      <c r="N1558" t="s">
        <v>44905</v>
      </c>
      <c r="O1558" t="s">
        <v>44906</v>
      </c>
      <c r="P1558">
        <v>0</v>
      </c>
      <c r="Q1558">
        <v>0</v>
      </c>
      <c r="R1558" t="s">
        <v>44907</v>
      </c>
      <c r="S1558" t="s">
        <v>45026</v>
      </c>
      <c r="T1558" t="s">
        <v>46467</v>
      </c>
      <c r="U1558" t="s">
        <v>48227</v>
      </c>
      <c r="W1558" t="s">
        <v>41631</v>
      </c>
      <c r="X1558" t="s">
        <v>44908</v>
      </c>
    </row>
    <row r="1559" spans="1:24">
      <c r="A1559">
        <f>HYPERLINK("https://www.philgeps.gov.ph/GEPSNONPILOT/Tender/SplashBidNoticeAbstractUI.aspx?menuIndex=3&amp;refID=7083544&amp;Result=3","7083544")</f>
        <v>0</v>
      </c>
      <c r="B1559" t="s">
        <v>57</v>
      </c>
      <c r="C1559" t="s">
        <v>5022</v>
      </c>
      <c r="D1559" t="s">
        <v>18120</v>
      </c>
      <c r="E1559" t="s">
        <v>19649</v>
      </c>
      <c r="F1559" t="s">
        <v>31362</v>
      </c>
      <c r="G1559" t="s">
        <v>31372</v>
      </c>
      <c r="H1559" t="s">
        <v>15799</v>
      </c>
      <c r="I1559" t="s">
        <v>31455</v>
      </c>
      <c r="J1559" t="s">
        <v>31531</v>
      </c>
      <c r="K1559" t="s">
        <v>40661</v>
      </c>
      <c r="M1559" t="s">
        <v>40992</v>
      </c>
      <c r="N1559" t="s">
        <v>44905</v>
      </c>
      <c r="O1559" t="s">
        <v>44906</v>
      </c>
      <c r="P1559">
        <v>0</v>
      </c>
      <c r="Q1559">
        <v>2</v>
      </c>
      <c r="R1559" t="s">
        <v>44907</v>
      </c>
      <c r="S1559" t="s">
        <v>45026</v>
      </c>
      <c r="T1559" t="s">
        <v>46415</v>
      </c>
      <c r="U1559" t="s">
        <v>48228</v>
      </c>
      <c r="W1559" t="s">
        <v>40992</v>
      </c>
      <c r="X1559" t="s">
        <v>44908</v>
      </c>
    </row>
    <row r="1560" spans="1:24">
      <c r="A1560">
        <f>HYPERLINK("https://www.philgeps.gov.ph/GEPSNONPILOT/Tender/SplashBidNoticeAbstractUI.aspx?menuIndex=3&amp;refID=7083542&amp;Result=3","7083542")</f>
        <v>0</v>
      </c>
      <c r="B1560" t="s">
        <v>670</v>
      </c>
      <c r="C1560" t="s">
        <v>5023</v>
      </c>
      <c r="D1560" t="s">
        <v>18152</v>
      </c>
      <c r="E1560" t="s">
        <v>19650</v>
      </c>
      <c r="F1560" t="s">
        <v>31362</v>
      </c>
      <c r="G1560" t="s">
        <v>31369</v>
      </c>
      <c r="H1560" t="s">
        <v>15799</v>
      </c>
      <c r="I1560" t="s">
        <v>31427</v>
      </c>
      <c r="J1560" t="s">
        <v>32656</v>
      </c>
      <c r="K1560" t="s">
        <v>40670</v>
      </c>
      <c r="M1560" t="s">
        <v>41632</v>
      </c>
      <c r="N1560" t="s">
        <v>44905</v>
      </c>
      <c r="O1560" t="s">
        <v>44906</v>
      </c>
      <c r="P1560">
        <v>0</v>
      </c>
      <c r="Q1560">
        <v>0</v>
      </c>
      <c r="R1560" t="s">
        <v>44907</v>
      </c>
      <c r="S1560" t="s">
        <v>45026</v>
      </c>
      <c r="T1560" t="s">
        <v>46429</v>
      </c>
      <c r="U1560" t="s">
        <v>48229</v>
      </c>
      <c r="W1560" t="s">
        <v>41632</v>
      </c>
      <c r="X1560" t="s">
        <v>44908</v>
      </c>
    </row>
    <row r="1561" spans="1:24">
      <c r="A1561">
        <f>HYPERLINK("https://www.philgeps.gov.ph/GEPSNONPILOT/Tender/SplashBidNoticeAbstractUI.aspx?menuIndex=3&amp;refID=7083541&amp;Result=3","7083541")</f>
        <v>0</v>
      </c>
      <c r="B1561" t="s">
        <v>671</v>
      </c>
      <c r="C1561" t="s">
        <v>5024</v>
      </c>
      <c r="D1561" t="s">
        <v>18108</v>
      </c>
      <c r="E1561" t="s">
        <v>19651</v>
      </c>
      <c r="F1561" t="s">
        <v>31362</v>
      </c>
      <c r="G1561" t="s">
        <v>31369</v>
      </c>
      <c r="H1561" t="s">
        <v>15799</v>
      </c>
      <c r="I1561" t="s">
        <v>6865</v>
      </c>
      <c r="J1561" t="s">
        <v>32657</v>
      </c>
      <c r="K1561" t="s">
        <v>40686</v>
      </c>
      <c r="M1561" t="s">
        <v>41633</v>
      </c>
      <c r="N1561" t="s">
        <v>44905</v>
      </c>
      <c r="O1561" t="s">
        <v>44906</v>
      </c>
      <c r="P1561">
        <v>0</v>
      </c>
      <c r="Q1561">
        <v>5</v>
      </c>
      <c r="R1561" t="s">
        <v>44907</v>
      </c>
      <c r="S1561" t="s">
        <v>45026</v>
      </c>
      <c r="T1561" t="s">
        <v>46450</v>
      </c>
      <c r="U1561" t="s">
        <v>48230</v>
      </c>
      <c r="W1561" t="s">
        <v>42650</v>
      </c>
      <c r="X1561" t="s">
        <v>44908</v>
      </c>
    </row>
    <row r="1562" spans="1:24">
      <c r="A1562">
        <f>HYPERLINK("https://www.philgeps.gov.ph/GEPSNONPILOT/Tender/SplashBidNoticeAbstractUI.aspx?menuIndex=3&amp;refID=7083540&amp;Result=3","7083540")</f>
        <v>0</v>
      </c>
      <c r="B1562" t="s">
        <v>672</v>
      </c>
      <c r="C1562" t="s">
        <v>5025</v>
      </c>
      <c r="D1562" t="s">
        <v>18103</v>
      </c>
      <c r="E1562" t="s">
        <v>19652</v>
      </c>
      <c r="F1562" t="s">
        <v>31362</v>
      </c>
      <c r="G1562" t="s">
        <v>31376</v>
      </c>
      <c r="H1562" t="s">
        <v>31377</v>
      </c>
      <c r="I1562" t="s">
        <v>31412</v>
      </c>
      <c r="J1562" t="s">
        <v>32658</v>
      </c>
      <c r="K1562" t="s">
        <v>40664</v>
      </c>
      <c r="M1562" t="s">
        <v>41634</v>
      </c>
      <c r="N1562" t="s">
        <v>44905</v>
      </c>
      <c r="O1562" t="s">
        <v>44906</v>
      </c>
      <c r="P1562">
        <v>0</v>
      </c>
      <c r="Q1562">
        <v>0</v>
      </c>
      <c r="R1562" t="s">
        <v>44907</v>
      </c>
      <c r="S1562" t="s">
        <v>45026</v>
      </c>
      <c r="T1562" t="s">
        <v>46396</v>
      </c>
      <c r="U1562" t="s">
        <v>48231</v>
      </c>
      <c r="W1562" t="s">
        <v>60863</v>
      </c>
      <c r="X1562" t="s">
        <v>44908</v>
      </c>
    </row>
    <row r="1563" spans="1:24">
      <c r="A1563">
        <f>HYPERLINK("https://www.philgeps.gov.ph/GEPSNONPILOT/Tender/SplashBidNoticeAbstractUI.aspx?menuIndex=3&amp;refID=7083505&amp;Result=3","7083505")</f>
        <v>0</v>
      </c>
      <c r="B1563" t="s">
        <v>673</v>
      </c>
      <c r="C1563" t="s">
        <v>5026</v>
      </c>
      <c r="D1563" t="s">
        <v>18136</v>
      </c>
      <c r="E1563" t="s">
        <v>19653</v>
      </c>
      <c r="F1563" t="s">
        <v>31362</v>
      </c>
      <c r="G1563" t="s">
        <v>31369</v>
      </c>
      <c r="H1563" t="s">
        <v>31378</v>
      </c>
      <c r="I1563" t="s">
        <v>31386</v>
      </c>
      <c r="J1563" t="s">
        <v>32659</v>
      </c>
      <c r="K1563" t="s">
        <v>40679</v>
      </c>
      <c r="M1563" t="s">
        <v>41635</v>
      </c>
      <c r="N1563" t="s">
        <v>44905</v>
      </c>
      <c r="O1563" t="s">
        <v>44906</v>
      </c>
      <c r="P1563">
        <v>0</v>
      </c>
      <c r="Q1563">
        <v>0</v>
      </c>
      <c r="R1563" t="s">
        <v>44907</v>
      </c>
      <c r="S1563" t="s">
        <v>45026</v>
      </c>
      <c r="T1563" t="s">
        <v>46570</v>
      </c>
      <c r="U1563" t="s">
        <v>48232</v>
      </c>
      <c r="W1563" t="s">
        <v>41635</v>
      </c>
      <c r="X1563" t="s">
        <v>44908</v>
      </c>
    </row>
    <row r="1564" spans="1:24">
      <c r="A1564">
        <f>HYPERLINK("https://www.philgeps.gov.ph/GEPSNONPILOT/Tender/SplashBidNoticeAbstractUI.aspx?menuIndex=3&amp;refID=7083539&amp;Result=3","7083539")</f>
        <v>0</v>
      </c>
      <c r="B1564" t="s">
        <v>674</v>
      </c>
      <c r="C1564" t="s">
        <v>5027</v>
      </c>
      <c r="D1564" t="s">
        <v>18141</v>
      </c>
      <c r="E1564" t="s">
        <v>19654</v>
      </c>
      <c r="F1564" t="s">
        <v>31362</v>
      </c>
      <c r="G1564" t="s">
        <v>31369</v>
      </c>
      <c r="H1564" t="s">
        <v>31378</v>
      </c>
      <c r="I1564" t="s">
        <v>31386</v>
      </c>
      <c r="J1564" t="s">
        <v>31606</v>
      </c>
      <c r="K1564" t="s">
        <v>40686</v>
      </c>
      <c r="M1564" t="s">
        <v>41636</v>
      </c>
      <c r="N1564" t="s">
        <v>44905</v>
      </c>
      <c r="O1564" t="s">
        <v>44906</v>
      </c>
      <c r="P1564">
        <v>0</v>
      </c>
      <c r="Q1564">
        <v>0</v>
      </c>
      <c r="R1564" t="s">
        <v>44907</v>
      </c>
      <c r="S1564" t="s">
        <v>45026</v>
      </c>
      <c r="T1564" t="s">
        <v>46571</v>
      </c>
      <c r="U1564" t="s">
        <v>48233</v>
      </c>
      <c r="W1564" t="s">
        <v>41636</v>
      </c>
      <c r="X1564" t="s">
        <v>44908</v>
      </c>
    </row>
    <row r="1565" spans="1:24">
      <c r="A1565">
        <f>HYPERLINK("https://www.philgeps.gov.ph/GEPSNONPILOT/Tender/SplashBidNoticeAbstractUI.aspx?menuIndex=3&amp;refID=7083545&amp;Result=3","7083545")</f>
        <v>0</v>
      </c>
      <c r="B1565" t="s">
        <v>562</v>
      </c>
      <c r="C1565" t="s">
        <v>5028</v>
      </c>
      <c r="D1565" t="s">
        <v>18177</v>
      </c>
      <c r="E1565" t="s">
        <v>19655</v>
      </c>
      <c r="F1565" t="s">
        <v>31362</v>
      </c>
      <c r="G1565" t="s">
        <v>31368</v>
      </c>
      <c r="H1565" t="s">
        <v>15799</v>
      </c>
      <c r="I1565" t="s">
        <v>31404</v>
      </c>
      <c r="J1565" t="s">
        <v>32660</v>
      </c>
      <c r="K1565" t="s">
        <v>40697</v>
      </c>
      <c r="M1565" t="s">
        <v>41518</v>
      </c>
      <c r="N1565" t="s">
        <v>44905</v>
      </c>
      <c r="O1565" t="s">
        <v>44906</v>
      </c>
      <c r="P1565">
        <v>0</v>
      </c>
      <c r="Q1565">
        <v>0</v>
      </c>
      <c r="R1565" t="s">
        <v>44907</v>
      </c>
      <c r="S1565" t="s">
        <v>45026</v>
      </c>
      <c r="T1565" t="s">
        <v>46432</v>
      </c>
      <c r="U1565" t="s">
        <v>48234</v>
      </c>
      <c r="W1565" t="s">
        <v>41518</v>
      </c>
      <c r="X1565" t="s">
        <v>44908</v>
      </c>
    </row>
    <row r="1566" spans="1:24">
      <c r="A1566">
        <f>HYPERLINK("https://www.philgeps.gov.ph/GEPSNONPILOT/Tender/SplashBidNoticeAbstractUI.aspx?menuIndex=3&amp;refID=7083537&amp;Result=3","7083537")</f>
        <v>0</v>
      </c>
      <c r="B1566" t="s">
        <v>604</v>
      </c>
      <c r="C1566" t="s">
        <v>5029</v>
      </c>
      <c r="D1566" t="s">
        <v>18122</v>
      </c>
      <c r="E1566" t="s">
        <v>19656</v>
      </c>
      <c r="F1566" t="s">
        <v>31362</v>
      </c>
      <c r="G1566" t="s">
        <v>31373</v>
      </c>
      <c r="H1566" t="s">
        <v>31378</v>
      </c>
      <c r="I1566" t="s">
        <v>31386</v>
      </c>
      <c r="J1566" t="s">
        <v>32661</v>
      </c>
      <c r="K1566" t="s">
        <v>40686</v>
      </c>
      <c r="M1566" t="s">
        <v>41562</v>
      </c>
      <c r="N1566" t="s">
        <v>44905</v>
      </c>
      <c r="O1566" t="s">
        <v>44906</v>
      </c>
      <c r="P1566">
        <v>0</v>
      </c>
      <c r="Q1566">
        <v>3</v>
      </c>
      <c r="R1566" t="s">
        <v>44907</v>
      </c>
      <c r="S1566" t="s">
        <v>45026</v>
      </c>
      <c r="T1566" t="s">
        <v>46429</v>
      </c>
      <c r="U1566" t="s">
        <v>48235</v>
      </c>
      <c r="V1566" t="s">
        <v>59212</v>
      </c>
      <c r="W1566" t="s">
        <v>41562</v>
      </c>
      <c r="X1566" t="s">
        <v>44908</v>
      </c>
    </row>
    <row r="1567" spans="1:24">
      <c r="A1567">
        <f>HYPERLINK("https://www.philgeps.gov.ph/GEPSNONPILOT/Tender/SplashBidNoticeAbstractUI.aspx?menuIndex=3&amp;refID=7083549&amp;Result=3","7083549")</f>
        <v>0</v>
      </c>
      <c r="B1567" t="s">
        <v>440</v>
      </c>
      <c r="C1567" t="s">
        <v>5030</v>
      </c>
      <c r="D1567" t="s">
        <v>18154</v>
      </c>
      <c r="E1567" t="s">
        <v>19657</v>
      </c>
      <c r="F1567" t="s">
        <v>31362</v>
      </c>
      <c r="G1567" t="s">
        <v>31370</v>
      </c>
      <c r="H1567" t="s">
        <v>15799</v>
      </c>
      <c r="I1567" t="s">
        <v>31385</v>
      </c>
      <c r="J1567" t="s">
        <v>32662</v>
      </c>
      <c r="K1567" t="s">
        <v>40662</v>
      </c>
      <c r="M1567" t="s">
        <v>41604</v>
      </c>
      <c r="N1567" t="s">
        <v>44905</v>
      </c>
      <c r="O1567" t="s">
        <v>44906</v>
      </c>
      <c r="P1567">
        <v>0</v>
      </c>
      <c r="Q1567">
        <v>3</v>
      </c>
      <c r="R1567" t="s">
        <v>44907</v>
      </c>
      <c r="S1567" t="s">
        <v>45026</v>
      </c>
      <c r="T1567" t="s">
        <v>46447</v>
      </c>
      <c r="U1567" t="s">
        <v>48236</v>
      </c>
      <c r="W1567" t="s">
        <v>41604</v>
      </c>
      <c r="X1567" t="s">
        <v>44908</v>
      </c>
    </row>
    <row r="1568" spans="1:24">
      <c r="A1568">
        <f>HYPERLINK("https://www.philgeps.gov.ph/GEPSNONPILOT/Tender/SplashBidNoticeAbstractUI.aspx?menuIndex=3&amp;refID=7083506&amp;Result=3","7083506")</f>
        <v>0</v>
      </c>
      <c r="B1568" t="s">
        <v>624</v>
      </c>
      <c r="C1568" t="s">
        <v>5031</v>
      </c>
      <c r="D1568" t="s">
        <v>18148</v>
      </c>
      <c r="E1568" t="s">
        <v>19658</v>
      </c>
      <c r="F1568" t="s">
        <v>31362</v>
      </c>
      <c r="G1568" t="s">
        <v>31368</v>
      </c>
      <c r="H1568" t="s">
        <v>15799</v>
      </c>
      <c r="I1568" t="s">
        <v>13635</v>
      </c>
      <c r="J1568" t="s">
        <v>32404</v>
      </c>
      <c r="K1568" t="s">
        <v>40662</v>
      </c>
      <c r="M1568" t="s">
        <v>41583</v>
      </c>
      <c r="N1568" t="s">
        <v>44905</v>
      </c>
      <c r="O1568" t="s">
        <v>44906</v>
      </c>
      <c r="P1568">
        <v>0</v>
      </c>
      <c r="Q1568">
        <v>1</v>
      </c>
      <c r="R1568" t="s">
        <v>44907</v>
      </c>
      <c r="S1568" t="s">
        <v>45026</v>
      </c>
      <c r="T1568" t="s">
        <v>46414</v>
      </c>
      <c r="U1568" t="s">
        <v>48237</v>
      </c>
      <c r="W1568" t="s">
        <v>41583</v>
      </c>
      <c r="X1568" t="s">
        <v>44908</v>
      </c>
    </row>
    <row r="1569" spans="1:24">
      <c r="A1569">
        <f>HYPERLINK("https://www.philgeps.gov.ph/GEPSNONPILOT/Tender/SplashBidNoticeAbstractUI.aspx?menuIndex=3&amp;refID=7083576&amp;Result=3","7083576")</f>
        <v>0</v>
      </c>
      <c r="B1569" t="s">
        <v>590</v>
      </c>
      <c r="C1569" t="s">
        <v>5032</v>
      </c>
      <c r="D1569" t="s">
        <v>18162</v>
      </c>
      <c r="E1569" t="s">
        <v>19659</v>
      </c>
      <c r="F1569" t="s">
        <v>31362</v>
      </c>
      <c r="G1569" t="s">
        <v>31369</v>
      </c>
      <c r="H1569" t="s">
        <v>31378</v>
      </c>
      <c r="I1569" t="s">
        <v>31386</v>
      </c>
      <c r="J1569" t="s">
        <v>32663</v>
      </c>
      <c r="K1569" t="s">
        <v>40662</v>
      </c>
      <c r="M1569" t="s">
        <v>41547</v>
      </c>
      <c r="N1569" t="s">
        <v>44905</v>
      </c>
      <c r="O1569" t="s">
        <v>44906</v>
      </c>
      <c r="P1569">
        <v>0</v>
      </c>
      <c r="Q1569">
        <v>0</v>
      </c>
      <c r="R1569" t="s">
        <v>44907</v>
      </c>
      <c r="S1569" t="s">
        <v>45026</v>
      </c>
      <c r="T1569" t="s">
        <v>46561</v>
      </c>
      <c r="U1569" t="s">
        <v>48238</v>
      </c>
      <c r="W1569" t="s">
        <v>41547</v>
      </c>
      <c r="X1569" t="s">
        <v>44908</v>
      </c>
    </row>
    <row r="1570" spans="1:24">
      <c r="A1570">
        <f>HYPERLINK("https://www.philgeps.gov.ph/GEPSNONPILOT/Tender/SplashBidNoticeAbstractUI.aspx?menuIndex=3&amp;refID=7083575&amp;Result=3","7083575")</f>
        <v>0</v>
      </c>
      <c r="B1570" t="s">
        <v>675</v>
      </c>
      <c r="C1570" t="s">
        <v>5033</v>
      </c>
      <c r="D1570" t="s">
        <v>18111</v>
      </c>
      <c r="E1570" t="s">
        <v>19660</v>
      </c>
      <c r="F1570" t="s">
        <v>31362</v>
      </c>
      <c r="G1570" t="s">
        <v>31369</v>
      </c>
      <c r="H1570" t="s">
        <v>15799</v>
      </c>
      <c r="I1570" t="s">
        <v>31387</v>
      </c>
      <c r="J1570" t="s">
        <v>32664</v>
      </c>
      <c r="K1570" t="s">
        <v>40662</v>
      </c>
      <c r="M1570" t="s">
        <v>41637</v>
      </c>
      <c r="N1570" t="s">
        <v>44905</v>
      </c>
      <c r="O1570" t="s">
        <v>44906</v>
      </c>
      <c r="P1570">
        <v>0</v>
      </c>
      <c r="Q1570">
        <v>0</v>
      </c>
      <c r="R1570" t="s">
        <v>44907</v>
      </c>
      <c r="S1570" t="s">
        <v>45026</v>
      </c>
      <c r="T1570" t="s">
        <v>46395</v>
      </c>
      <c r="U1570" t="s">
        <v>48239</v>
      </c>
      <c r="W1570" t="s">
        <v>41637</v>
      </c>
      <c r="X1570" t="s">
        <v>44908</v>
      </c>
    </row>
    <row r="1571" spans="1:24">
      <c r="A1571">
        <f>HYPERLINK("https://www.philgeps.gov.ph/GEPSNONPILOT/Tender/SplashBidNoticeAbstractUI.aspx?menuIndex=3&amp;refID=7083548&amp;Result=3","7083548")</f>
        <v>0</v>
      </c>
      <c r="B1571" t="s">
        <v>662</v>
      </c>
      <c r="C1571" t="s">
        <v>4337</v>
      </c>
      <c r="D1571" t="s">
        <v>18111</v>
      </c>
      <c r="E1571" t="s">
        <v>19661</v>
      </c>
      <c r="F1571" t="s">
        <v>31362</v>
      </c>
      <c r="G1571" t="s">
        <v>31370</v>
      </c>
      <c r="H1571" t="s">
        <v>15799</v>
      </c>
      <c r="I1571" t="s">
        <v>31387</v>
      </c>
      <c r="J1571" t="s">
        <v>32665</v>
      </c>
      <c r="K1571" t="s">
        <v>40670</v>
      </c>
      <c r="M1571" t="s">
        <v>41624</v>
      </c>
      <c r="N1571" t="s">
        <v>44905</v>
      </c>
      <c r="O1571" t="s">
        <v>44906</v>
      </c>
      <c r="P1571">
        <v>0</v>
      </c>
      <c r="Q1571">
        <v>0</v>
      </c>
      <c r="R1571" t="s">
        <v>44907</v>
      </c>
      <c r="S1571" t="s">
        <v>45026</v>
      </c>
      <c r="T1571" t="s">
        <v>46446</v>
      </c>
      <c r="U1571" t="s">
        <v>47653</v>
      </c>
      <c r="W1571" t="s">
        <v>41624</v>
      </c>
      <c r="X1571" t="s">
        <v>44908</v>
      </c>
    </row>
    <row r="1572" spans="1:24">
      <c r="A1572">
        <f>HYPERLINK("https://www.philgeps.gov.ph/GEPSNONPILOT/Tender/SplashBidNoticeAbstractUI.aspx?menuIndex=3&amp;refID=7083416&amp;Result=3","7083416")</f>
        <v>0</v>
      </c>
      <c r="B1572" t="s">
        <v>247</v>
      </c>
      <c r="C1572" t="s">
        <v>5034</v>
      </c>
      <c r="D1572" t="s">
        <v>18117</v>
      </c>
      <c r="E1572" t="s">
        <v>19662</v>
      </c>
      <c r="F1572" t="s">
        <v>31362</v>
      </c>
      <c r="G1572" t="s">
        <v>31372</v>
      </c>
      <c r="H1572" t="s">
        <v>15799</v>
      </c>
      <c r="I1572" t="s">
        <v>6240</v>
      </c>
      <c r="J1572" t="s">
        <v>32666</v>
      </c>
      <c r="K1572" t="s">
        <v>40666</v>
      </c>
      <c r="M1572" t="s">
        <v>41186</v>
      </c>
      <c r="N1572" t="s">
        <v>44905</v>
      </c>
      <c r="O1572" t="s">
        <v>44906</v>
      </c>
      <c r="P1572">
        <v>0</v>
      </c>
      <c r="Q1572">
        <v>0</v>
      </c>
      <c r="R1572" t="s">
        <v>44907</v>
      </c>
      <c r="S1572" t="s">
        <v>45026</v>
      </c>
      <c r="T1572" t="s">
        <v>46438</v>
      </c>
      <c r="U1572" t="s">
        <v>48240</v>
      </c>
      <c r="W1572" t="s">
        <v>41186</v>
      </c>
      <c r="X1572" t="s">
        <v>44908</v>
      </c>
    </row>
    <row r="1573" spans="1:24">
      <c r="A1573">
        <f>HYPERLINK("https://www.philgeps.gov.ph/GEPSNONPILOT/Tender/SplashBidNoticeAbstractUI.aspx?menuIndex=3&amp;refID=7083571&amp;Result=3","7083571")</f>
        <v>0</v>
      </c>
      <c r="B1573" t="s">
        <v>676</v>
      </c>
      <c r="C1573" t="s">
        <v>5035</v>
      </c>
      <c r="D1573" t="s">
        <v>18134</v>
      </c>
      <c r="E1573" t="s">
        <v>19663</v>
      </c>
      <c r="F1573" t="s">
        <v>31362</v>
      </c>
      <c r="G1573" t="s">
        <v>31368</v>
      </c>
      <c r="H1573" t="s">
        <v>15799</v>
      </c>
      <c r="I1573" t="s">
        <v>31393</v>
      </c>
      <c r="J1573" t="s">
        <v>31688</v>
      </c>
      <c r="K1573" t="s">
        <v>40661</v>
      </c>
      <c r="M1573" t="s">
        <v>41638</v>
      </c>
      <c r="N1573" t="s">
        <v>44905</v>
      </c>
      <c r="O1573" t="s">
        <v>44906</v>
      </c>
      <c r="P1573">
        <v>0</v>
      </c>
      <c r="Q1573">
        <v>2</v>
      </c>
      <c r="R1573" t="s">
        <v>44907</v>
      </c>
      <c r="S1573" t="s">
        <v>45026</v>
      </c>
      <c r="T1573" t="s">
        <v>46443</v>
      </c>
      <c r="U1573" t="s">
        <v>48241</v>
      </c>
      <c r="W1573" t="s">
        <v>41638</v>
      </c>
      <c r="X1573" t="s">
        <v>44908</v>
      </c>
    </row>
    <row r="1574" spans="1:24">
      <c r="A1574">
        <f>HYPERLINK("https://www.philgeps.gov.ph/GEPSNONPILOT/Tender/SplashBidNoticeAbstractUI.aspx?menuIndex=3&amp;refID=7083568&amp;Result=3","7083568")</f>
        <v>0</v>
      </c>
      <c r="B1574" t="s">
        <v>677</v>
      </c>
      <c r="C1574" t="s">
        <v>5036</v>
      </c>
      <c r="D1574" t="s">
        <v>18148</v>
      </c>
      <c r="E1574" t="s">
        <v>19664</v>
      </c>
      <c r="F1574" t="s">
        <v>31362</v>
      </c>
      <c r="G1574" t="s">
        <v>31368</v>
      </c>
      <c r="H1574" t="s">
        <v>15799</v>
      </c>
      <c r="I1574" t="s">
        <v>13635</v>
      </c>
      <c r="J1574" t="s">
        <v>32667</v>
      </c>
      <c r="K1574" t="s">
        <v>40666</v>
      </c>
      <c r="M1574" t="s">
        <v>41639</v>
      </c>
      <c r="N1574" t="s">
        <v>44905</v>
      </c>
      <c r="O1574" t="s">
        <v>44906</v>
      </c>
      <c r="P1574">
        <v>0</v>
      </c>
      <c r="Q1574">
        <v>0</v>
      </c>
      <c r="R1574" t="s">
        <v>44907</v>
      </c>
      <c r="S1574" t="s">
        <v>45026</v>
      </c>
      <c r="T1574" t="s">
        <v>46446</v>
      </c>
      <c r="U1574" t="s">
        <v>48242</v>
      </c>
      <c r="V1574" t="s">
        <v>59223</v>
      </c>
      <c r="W1574" t="s">
        <v>41639</v>
      </c>
      <c r="X1574" t="s">
        <v>44908</v>
      </c>
    </row>
    <row r="1575" spans="1:24">
      <c r="A1575">
        <f>HYPERLINK("https://www.philgeps.gov.ph/GEPSNONPILOT/Tender/SplashBidNoticeAbstractUI.aspx?menuIndex=3&amp;refID=7083566&amp;Result=3","7083566")</f>
        <v>0</v>
      </c>
      <c r="B1575" t="s">
        <v>678</v>
      </c>
      <c r="C1575" t="s">
        <v>5037</v>
      </c>
      <c r="D1575" t="s">
        <v>18116</v>
      </c>
      <c r="E1575" t="s">
        <v>19665</v>
      </c>
      <c r="F1575" t="s">
        <v>31362</v>
      </c>
      <c r="G1575" t="s">
        <v>31368</v>
      </c>
      <c r="H1575" t="s">
        <v>15799</v>
      </c>
      <c r="I1575" t="s">
        <v>6240</v>
      </c>
      <c r="J1575" t="s">
        <v>31648</v>
      </c>
      <c r="K1575" t="s">
        <v>40679</v>
      </c>
      <c r="M1575" t="s">
        <v>41640</v>
      </c>
      <c r="N1575" t="s">
        <v>44905</v>
      </c>
      <c r="O1575" t="s">
        <v>44906</v>
      </c>
      <c r="P1575">
        <v>0</v>
      </c>
      <c r="Q1575">
        <v>0</v>
      </c>
      <c r="R1575" t="s">
        <v>44907</v>
      </c>
      <c r="S1575" t="s">
        <v>45026</v>
      </c>
      <c r="T1575" t="s">
        <v>46447</v>
      </c>
      <c r="U1575" t="s">
        <v>48243</v>
      </c>
      <c r="W1575" t="s">
        <v>41640</v>
      </c>
      <c r="X1575" t="s">
        <v>44908</v>
      </c>
    </row>
    <row r="1576" spans="1:24">
      <c r="A1576">
        <f>HYPERLINK("https://www.philgeps.gov.ph/GEPSNONPILOT/Tender/SplashBidNoticeAbstractUI.aspx?menuIndex=3&amp;refID=7083565&amp;Result=3","7083565")</f>
        <v>0</v>
      </c>
      <c r="B1576" t="s">
        <v>679</v>
      </c>
      <c r="C1576" t="s">
        <v>5038</v>
      </c>
      <c r="D1576" t="s">
        <v>18148</v>
      </c>
      <c r="E1576" t="s">
        <v>19666</v>
      </c>
      <c r="F1576" t="s">
        <v>31362</v>
      </c>
      <c r="G1576" t="s">
        <v>31370</v>
      </c>
      <c r="H1576" t="s">
        <v>15799</v>
      </c>
      <c r="I1576" t="s">
        <v>31384</v>
      </c>
      <c r="J1576" t="s">
        <v>32668</v>
      </c>
      <c r="K1576" t="s">
        <v>40662</v>
      </c>
      <c r="M1576" t="s">
        <v>41641</v>
      </c>
      <c r="N1576" t="s">
        <v>44905</v>
      </c>
      <c r="O1576" t="s">
        <v>44906</v>
      </c>
      <c r="P1576">
        <v>0</v>
      </c>
      <c r="Q1576">
        <v>2</v>
      </c>
      <c r="R1576" t="s">
        <v>44907</v>
      </c>
      <c r="S1576" t="s">
        <v>45026</v>
      </c>
      <c r="T1576" t="s">
        <v>46393</v>
      </c>
      <c r="U1576" t="s">
        <v>48244</v>
      </c>
      <c r="W1576" t="s">
        <v>41641</v>
      </c>
      <c r="X1576" t="s">
        <v>44908</v>
      </c>
    </row>
    <row r="1577" spans="1:24">
      <c r="A1577">
        <f>HYPERLINK("https://www.philgeps.gov.ph/GEPSNONPILOT/Tender/SplashBidNoticeAbstractUI.aspx?menuIndex=3&amp;refID=7083564&amp;Result=3","7083564")</f>
        <v>0</v>
      </c>
      <c r="B1577" t="s">
        <v>465</v>
      </c>
      <c r="C1577" t="s">
        <v>5039</v>
      </c>
      <c r="D1577" t="s">
        <v>18107</v>
      </c>
      <c r="E1577" t="s">
        <v>19667</v>
      </c>
      <c r="F1577" t="s">
        <v>31362</v>
      </c>
      <c r="G1577" t="s">
        <v>31368</v>
      </c>
      <c r="H1577" t="s">
        <v>31379</v>
      </c>
      <c r="I1577" t="s">
        <v>31382</v>
      </c>
      <c r="J1577" t="s">
        <v>32669</v>
      </c>
      <c r="K1577" t="s">
        <v>40670</v>
      </c>
      <c r="M1577" t="s">
        <v>41419</v>
      </c>
      <c r="N1577" t="s">
        <v>44905</v>
      </c>
      <c r="O1577" t="s">
        <v>44906</v>
      </c>
      <c r="P1577">
        <v>0</v>
      </c>
      <c r="Q1577">
        <v>2</v>
      </c>
      <c r="R1577" t="s">
        <v>44907</v>
      </c>
      <c r="S1577" t="s">
        <v>45026</v>
      </c>
      <c r="T1577" t="s">
        <v>46417</v>
      </c>
      <c r="U1577" t="s">
        <v>48245</v>
      </c>
      <c r="W1577" t="s">
        <v>41419</v>
      </c>
      <c r="X1577" t="s">
        <v>44908</v>
      </c>
    </row>
    <row r="1578" spans="1:24">
      <c r="A1578">
        <f>HYPERLINK("https://www.philgeps.gov.ph/GEPSNONPILOT/Tender/SplashBidNoticeAbstractUI.aspx?menuIndex=3&amp;refID=7083562&amp;Result=3","7083562")</f>
        <v>0</v>
      </c>
      <c r="B1578" t="s">
        <v>561</v>
      </c>
      <c r="C1578" t="s">
        <v>5040</v>
      </c>
      <c r="D1578" t="s">
        <v>18124</v>
      </c>
      <c r="E1578" t="s">
        <v>19668</v>
      </c>
      <c r="F1578" t="s">
        <v>31362</v>
      </c>
      <c r="G1578" t="s">
        <v>31369</v>
      </c>
      <c r="H1578" t="s">
        <v>15799</v>
      </c>
      <c r="I1578" t="s">
        <v>6155</v>
      </c>
      <c r="J1578" t="s">
        <v>32670</v>
      </c>
      <c r="K1578" t="s">
        <v>40670</v>
      </c>
      <c r="M1578" t="s">
        <v>41517</v>
      </c>
      <c r="N1578" t="s">
        <v>44905</v>
      </c>
      <c r="O1578" t="s">
        <v>44906</v>
      </c>
      <c r="P1578">
        <v>0</v>
      </c>
      <c r="Q1578">
        <v>0</v>
      </c>
      <c r="R1578" t="s">
        <v>44907</v>
      </c>
      <c r="S1578" t="s">
        <v>45026</v>
      </c>
      <c r="T1578" t="s">
        <v>46553</v>
      </c>
      <c r="U1578" t="s">
        <v>48246</v>
      </c>
      <c r="W1578" t="s">
        <v>41517</v>
      </c>
      <c r="X1578" t="s">
        <v>44908</v>
      </c>
    </row>
    <row r="1579" spans="1:24">
      <c r="A1579">
        <f>HYPERLINK("https://www.philgeps.gov.ph/GEPSNONPILOT/Tender/SplashBidNoticeAbstractUI.aspx?menuIndex=3&amp;refID=7083574&amp;Result=3","7083574")</f>
        <v>0</v>
      </c>
      <c r="B1579" t="s">
        <v>673</v>
      </c>
      <c r="C1579" t="s">
        <v>5041</v>
      </c>
      <c r="D1579" t="s">
        <v>18136</v>
      </c>
      <c r="E1579" t="s">
        <v>19669</v>
      </c>
      <c r="F1579" t="s">
        <v>31362</v>
      </c>
      <c r="G1579" t="s">
        <v>31369</v>
      </c>
      <c r="H1579" t="s">
        <v>31378</v>
      </c>
      <c r="I1579" t="s">
        <v>31386</v>
      </c>
      <c r="J1579" t="s">
        <v>32671</v>
      </c>
      <c r="K1579" t="s">
        <v>40679</v>
      </c>
      <c r="M1579" t="s">
        <v>41635</v>
      </c>
      <c r="N1579" t="s">
        <v>44905</v>
      </c>
      <c r="O1579" t="s">
        <v>44906</v>
      </c>
      <c r="P1579">
        <v>0</v>
      </c>
      <c r="Q1579">
        <v>0</v>
      </c>
      <c r="R1579" t="s">
        <v>44907</v>
      </c>
      <c r="S1579" t="s">
        <v>45026</v>
      </c>
      <c r="T1579" t="s">
        <v>46570</v>
      </c>
      <c r="U1579" t="s">
        <v>48247</v>
      </c>
      <c r="W1579" t="s">
        <v>41635</v>
      </c>
      <c r="X1579" t="s">
        <v>44908</v>
      </c>
    </row>
    <row r="1580" spans="1:24">
      <c r="A1580">
        <f>HYPERLINK("https://www.philgeps.gov.ph/GEPSNONPILOT/Tender/SplashBidNoticeAbstractUI.aspx?menuIndex=3&amp;refID=7083560&amp;Result=3","7083560")</f>
        <v>0</v>
      </c>
      <c r="B1580" t="s">
        <v>663</v>
      </c>
      <c r="C1580" t="s">
        <v>5042</v>
      </c>
      <c r="D1580" t="s">
        <v>18103</v>
      </c>
      <c r="E1580" t="s">
        <v>19670</v>
      </c>
      <c r="F1580" t="s">
        <v>31362</v>
      </c>
      <c r="G1580" t="s">
        <v>31370</v>
      </c>
      <c r="H1580" t="s">
        <v>31378</v>
      </c>
      <c r="I1580" t="s">
        <v>31386</v>
      </c>
      <c r="J1580" t="s">
        <v>32672</v>
      </c>
      <c r="K1580" t="s">
        <v>40661</v>
      </c>
      <c r="M1580" t="s">
        <v>41625</v>
      </c>
      <c r="N1580" t="s">
        <v>44905</v>
      </c>
      <c r="O1580" t="s">
        <v>44906</v>
      </c>
      <c r="P1580">
        <v>0</v>
      </c>
      <c r="Q1580">
        <v>0</v>
      </c>
      <c r="R1580" t="s">
        <v>44907</v>
      </c>
      <c r="S1580" t="s">
        <v>45026</v>
      </c>
      <c r="T1580" t="s">
        <v>46418</v>
      </c>
      <c r="U1580" t="s">
        <v>48248</v>
      </c>
      <c r="W1580" t="s">
        <v>41625</v>
      </c>
      <c r="X1580" t="s">
        <v>44908</v>
      </c>
    </row>
    <row r="1581" spans="1:24">
      <c r="A1581">
        <f>HYPERLINK("https://www.philgeps.gov.ph/GEPSNONPILOT/Tender/SplashBidNoticeAbstractUI.aspx?menuIndex=3&amp;refID=7083417&amp;Result=3","7083417")</f>
        <v>0</v>
      </c>
      <c r="B1581" t="s">
        <v>111</v>
      </c>
      <c r="C1581" t="s">
        <v>5043</v>
      </c>
      <c r="D1581" t="s">
        <v>18127</v>
      </c>
      <c r="E1581" t="s">
        <v>19671</v>
      </c>
      <c r="F1581" t="s">
        <v>31362</v>
      </c>
      <c r="G1581" t="s">
        <v>31369</v>
      </c>
      <c r="H1581" t="s">
        <v>31378</v>
      </c>
      <c r="I1581" t="s">
        <v>31386</v>
      </c>
      <c r="J1581" t="s">
        <v>32673</v>
      </c>
      <c r="K1581" t="s">
        <v>40730</v>
      </c>
      <c r="M1581" t="s">
        <v>41048</v>
      </c>
      <c r="N1581" t="s">
        <v>44905</v>
      </c>
      <c r="O1581" t="s">
        <v>44906</v>
      </c>
      <c r="P1581">
        <v>0</v>
      </c>
      <c r="Q1581">
        <v>0</v>
      </c>
      <c r="R1581" t="s">
        <v>44907</v>
      </c>
      <c r="S1581" t="s">
        <v>45026</v>
      </c>
      <c r="T1581" t="s">
        <v>46572</v>
      </c>
      <c r="U1581" t="s">
        <v>48249</v>
      </c>
      <c r="W1581" t="s">
        <v>41048</v>
      </c>
      <c r="X1581" t="s">
        <v>44908</v>
      </c>
    </row>
    <row r="1582" spans="1:24">
      <c r="A1582">
        <f>HYPERLINK("https://www.philgeps.gov.ph/GEPSNONPILOT/Tender/SplashBidNoticeAbstractUI.aspx?menuIndex=3&amp;refID=7083559&amp;Result=3","7083559")</f>
        <v>0</v>
      </c>
      <c r="B1582" t="s">
        <v>672</v>
      </c>
      <c r="C1582" t="s">
        <v>5044</v>
      </c>
      <c r="D1582" t="s">
        <v>18103</v>
      </c>
      <c r="E1582" t="s">
        <v>19672</v>
      </c>
      <c r="F1582" t="s">
        <v>31362</v>
      </c>
      <c r="G1582" t="s">
        <v>31376</v>
      </c>
      <c r="H1582" t="s">
        <v>31377</v>
      </c>
      <c r="I1582" t="s">
        <v>31412</v>
      </c>
      <c r="J1582" t="s">
        <v>32674</v>
      </c>
      <c r="K1582" t="s">
        <v>40664</v>
      </c>
      <c r="M1582" t="s">
        <v>41634</v>
      </c>
      <c r="N1582" t="s">
        <v>44905</v>
      </c>
      <c r="O1582" t="s">
        <v>44906</v>
      </c>
      <c r="P1582">
        <v>0</v>
      </c>
      <c r="Q1582">
        <v>0</v>
      </c>
      <c r="R1582" t="s">
        <v>44907</v>
      </c>
      <c r="S1582" t="s">
        <v>45026</v>
      </c>
      <c r="T1582" t="s">
        <v>46396</v>
      </c>
      <c r="U1582" t="s">
        <v>48231</v>
      </c>
      <c r="W1582" t="s">
        <v>60863</v>
      </c>
      <c r="X1582" t="s">
        <v>44908</v>
      </c>
    </row>
    <row r="1583" spans="1:24">
      <c r="A1583">
        <f>HYPERLINK("https://www.philgeps.gov.ph/GEPSNONPILOT/Tender/SplashBidNoticeAbstractUI.aspx?menuIndex=3&amp;refID=7083557&amp;Result=3","7083557")</f>
        <v>0</v>
      </c>
      <c r="B1583" t="s">
        <v>680</v>
      </c>
      <c r="C1583" t="s">
        <v>5045</v>
      </c>
      <c r="D1583" t="s">
        <v>18112</v>
      </c>
      <c r="E1583" t="s">
        <v>19673</v>
      </c>
      <c r="F1583" t="s">
        <v>31362</v>
      </c>
      <c r="G1583" t="s">
        <v>31368</v>
      </c>
      <c r="H1583" t="s">
        <v>15799</v>
      </c>
      <c r="I1583" t="s">
        <v>31425</v>
      </c>
      <c r="J1583" t="s">
        <v>31531</v>
      </c>
      <c r="K1583" t="s">
        <v>40672</v>
      </c>
      <c r="M1583" t="s">
        <v>41642</v>
      </c>
      <c r="N1583" t="s">
        <v>44905</v>
      </c>
      <c r="O1583" t="s">
        <v>44906</v>
      </c>
      <c r="P1583">
        <v>0</v>
      </c>
      <c r="Q1583">
        <v>0</v>
      </c>
      <c r="R1583" t="s">
        <v>44907</v>
      </c>
      <c r="S1583" t="s">
        <v>45026</v>
      </c>
      <c r="T1583" t="s">
        <v>46414</v>
      </c>
      <c r="U1583" t="s">
        <v>48250</v>
      </c>
      <c r="W1583" t="s">
        <v>41642</v>
      </c>
      <c r="X1583" t="s">
        <v>44908</v>
      </c>
    </row>
    <row r="1584" spans="1:24">
      <c r="A1584">
        <f>HYPERLINK("https://www.philgeps.gov.ph/GEPSNONPILOT/Tender/SplashBidNoticeAbstractUI.aspx?menuIndex=3&amp;refID=7083556&amp;Result=3","7083556")</f>
        <v>0</v>
      </c>
      <c r="B1584" t="s">
        <v>681</v>
      </c>
      <c r="C1584" t="s">
        <v>5046</v>
      </c>
      <c r="D1584" t="s">
        <v>18148</v>
      </c>
      <c r="E1584" t="s">
        <v>19674</v>
      </c>
      <c r="F1584" t="s">
        <v>31362</v>
      </c>
      <c r="G1584" t="s">
        <v>31368</v>
      </c>
      <c r="H1584" t="s">
        <v>15799</v>
      </c>
      <c r="I1584" t="s">
        <v>31431</v>
      </c>
      <c r="J1584" t="s">
        <v>31942</v>
      </c>
      <c r="K1584" t="s">
        <v>40665</v>
      </c>
      <c r="M1584" t="s">
        <v>41643</v>
      </c>
      <c r="N1584" t="s">
        <v>44905</v>
      </c>
      <c r="O1584" t="s">
        <v>44906</v>
      </c>
      <c r="P1584">
        <v>0</v>
      </c>
      <c r="Q1584">
        <v>1</v>
      </c>
      <c r="R1584" t="s">
        <v>44907</v>
      </c>
      <c r="S1584" t="s">
        <v>45026</v>
      </c>
      <c r="T1584" t="s">
        <v>46438</v>
      </c>
      <c r="U1584" t="s">
        <v>48251</v>
      </c>
      <c r="W1584" t="s">
        <v>41643</v>
      </c>
      <c r="X1584" t="s">
        <v>44908</v>
      </c>
    </row>
    <row r="1585" spans="1:24">
      <c r="A1585">
        <f>HYPERLINK("https://www.philgeps.gov.ph/GEPSNONPILOT/Tender/SplashBidNoticeAbstractUI.aspx?menuIndex=3&amp;refID=7083555&amp;Result=3","7083555")</f>
        <v>0</v>
      </c>
      <c r="B1585" t="s">
        <v>497</v>
      </c>
      <c r="C1585" t="s">
        <v>5047</v>
      </c>
      <c r="D1585" t="s">
        <v>18181</v>
      </c>
      <c r="E1585" t="s">
        <v>19675</v>
      </c>
      <c r="F1585" t="s">
        <v>31362</v>
      </c>
      <c r="G1585" t="s">
        <v>31369</v>
      </c>
      <c r="H1585" t="s">
        <v>15799</v>
      </c>
      <c r="I1585" t="s">
        <v>3815</v>
      </c>
      <c r="J1585" t="s">
        <v>32675</v>
      </c>
      <c r="K1585" t="s">
        <v>40662</v>
      </c>
      <c r="M1585" t="s">
        <v>41452</v>
      </c>
      <c r="N1585" t="s">
        <v>44905</v>
      </c>
      <c r="O1585" t="s">
        <v>44906</v>
      </c>
      <c r="P1585">
        <v>0</v>
      </c>
      <c r="Q1585">
        <v>0</v>
      </c>
      <c r="R1585" t="s">
        <v>44907</v>
      </c>
      <c r="S1585" t="s">
        <v>45026</v>
      </c>
      <c r="T1585" t="s">
        <v>46408</v>
      </c>
      <c r="U1585" t="s">
        <v>48252</v>
      </c>
      <c r="W1585" t="s">
        <v>41452</v>
      </c>
      <c r="X1585" t="s">
        <v>44908</v>
      </c>
    </row>
    <row r="1586" spans="1:24">
      <c r="A1586">
        <f>HYPERLINK("https://www.philgeps.gov.ph/GEPSNONPILOT/Tender/SplashBidNoticeAbstractUI.aspx?menuIndex=3&amp;refID=7083551&amp;Result=3","7083551")</f>
        <v>0</v>
      </c>
      <c r="B1586" t="s">
        <v>624</v>
      </c>
      <c r="C1586" t="s">
        <v>5048</v>
      </c>
      <c r="D1586" t="s">
        <v>18148</v>
      </c>
      <c r="E1586" t="s">
        <v>19676</v>
      </c>
      <c r="F1586" t="s">
        <v>31362</v>
      </c>
      <c r="G1586" t="s">
        <v>31368</v>
      </c>
      <c r="H1586" t="s">
        <v>15799</v>
      </c>
      <c r="I1586" t="s">
        <v>6373</v>
      </c>
      <c r="J1586" t="s">
        <v>32676</v>
      </c>
      <c r="K1586" t="s">
        <v>40662</v>
      </c>
      <c r="M1586" t="s">
        <v>41583</v>
      </c>
      <c r="N1586" t="s">
        <v>44905</v>
      </c>
      <c r="O1586" t="s">
        <v>44906</v>
      </c>
      <c r="P1586">
        <v>0</v>
      </c>
      <c r="Q1586">
        <v>2</v>
      </c>
      <c r="R1586" t="s">
        <v>44907</v>
      </c>
      <c r="S1586" t="s">
        <v>45026</v>
      </c>
      <c r="T1586" t="s">
        <v>46414</v>
      </c>
      <c r="U1586" t="s">
        <v>48253</v>
      </c>
      <c r="W1586" t="s">
        <v>41583</v>
      </c>
      <c r="X1586" t="s">
        <v>44908</v>
      </c>
    </row>
    <row r="1587" spans="1:24">
      <c r="A1587">
        <f>HYPERLINK("https://www.philgeps.gov.ph/GEPSNONPILOT/Tender/SplashBidNoticeAbstractUI.aspx?menuIndex=3&amp;refID=7083536&amp;Result=3","7083536")</f>
        <v>0</v>
      </c>
      <c r="B1587" t="s">
        <v>682</v>
      </c>
      <c r="C1587" t="s">
        <v>5049</v>
      </c>
      <c r="E1587" t="s">
        <v>19677</v>
      </c>
      <c r="F1587" t="s">
        <v>31362</v>
      </c>
      <c r="G1587" t="s">
        <v>31368</v>
      </c>
      <c r="H1587" t="s">
        <v>15799</v>
      </c>
      <c r="I1587" t="s">
        <v>31393</v>
      </c>
      <c r="J1587" t="s">
        <v>31724</v>
      </c>
      <c r="K1587" t="s">
        <v>40661</v>
      </c>
      <c r="M1587" t="s">
        <v>41644</v>
      </c>
      <c r="N1587" t="s">
        <v>44905</v>
      </c>
      <c r="O1587" t="s">
        <v>44906</v>
      </c>
      <c r="P1587">
        <v>0</v>
      </c>
      <c r="Q1587">
        <v>0</v>
      </c>
      <c r="R1587" t="s">
        <v>44907</v>
      </c>
      <c r="S1587" t="s">
        <v>45026</v>
      </c>
      <c r="T1587" t="s">
        <v>46541</v>
      </c>
      <c r="U1587" t="s">
        <v>48254</v>
      </c>
      <c r="V1587" t="s">
        <v>59224</v>
      </c>
      <c r="W1587" t="s">
        <v>41644</v>
      </c>
      <c r="X1587" t="s">
        <v>44908</v>
      </c>
    </row>
    <row r="1588" spans="1:24">
      <c r="A1588">
        <f>HYPERLINK("https://www.philgeps.gov.ph/GEPSNONPILOT/Tender/SplashBidNoticeAbstractUI.aspx?menuIndex=3&amp;refID=7083550&amp;Result=3","7083550")</f>
        <v>0</v>
      </c>
      <c r="B1588" t="s">
        <v>673</v>
      </c>
      <c r="C1588" t="s">
        <v>5050</v>
      </c>
      <c r="D1588" t="s">
        <v>18136</v>
      </c>
      <c r="E1588" t="s">
        <v>19678</v>
      </c>
      <c r="F1588" t="s">
        <v>31362</v>
      </c>
      <c r="G1588" t="s">
        <v>31369</v>
      </c>
      <c r="H1588" t="s">
        <v>31378</v>
      </c>
      <c r="I1588" t="s">
        <v>31386</v>
      </c>
      <c r="J1588" t="s">
        <v>32659</v>
      </c>
      <c r="K1588" t="s">
        <v>40679</v>
      </c>
      <c r="M1588" t="s">
        <v>41635</v>
      </c>
      <c r="N1588" t="s">
        <v>44905</v>
      </c>
      <c r="O1588" t="s">
        <v>44906</v>
      </c>
      <c r="P1588">
        <v>0</v>
      </c>
      <c r="Q1588">
        <v>0</v>
      </c>
      <c r="R1588" t="s">
        <v>44907</v>
      </c>
      <c r="S1588" t="s">
        <v>45026</v>
      </c>
      <c r="T1588" t="s">
        <v>46570</v>
      </c>
      <c r="U1588" t="s">
        <v>48232</v>
      </c>
      <c r="W1588" t="s">
        <v>41635</v>
      </c>
      <c r="X1588" t="s">
        <v>44908</v>
      </c>
    </row>
    <row r="1589" spans="1:24">
      <c r="A1589">
        <f>HYPERLINK("https://www.philgeps.gov.ph/GEPSNONPILOT/Tender/SplashBidNoticeAbstractUI.aspx?menuIndex=3&amp;refID=7083535&amp;Result=3","7083535")</f>
        <v>0</v>
      </c>
      <c r="B1589" t="s">
        <v>440</v>
      </c>
      <c r="C1589" t="s">
        <v>5051</v>
      </c>
      <c r="D1589" t="s">
        <v>18154</v>
      </c>
      <c r="E1589" t="s">
        <v>19679</v>
      </c>
      <c r="F1589" t="s">
        <v>31362</v>
      </c>
      <c r="G1589" t="s">
        <v>31368</v>
      </c>
      <c r="H1589" t="s">
        <v>15799</v>
      </c>
      <c r="I1589" t="s">
        <v>7090</v>
      </c>
      <c r="J1589" t="s">
        <v>32677</v>
      </c>
      <c r="K1589" t="s">
        <v>40662</v>
      </c>
      <c r="M1589" t="s">
        <v>41604</v>
      </c>
      <c r="N1589" t="s">
        <v>44905</v>
      </c>
      <c r="O1589" t="s">
        <v>44906</v>
      </c>
      <c r="P1589">
        <v>0</v>
      </c>
      <c r="Q1589">
        <v>0</v>
      </c>
      <c r="R1589" t="s">
        <v>44907</v>
      </c>
      <c r="S1589" t="s">
        <v>45026</v>
      </c>
      <c r="T1589" t="s">
        <v>46447</v>
      </c>
      <c r="U1589" t="s">
        <v>48255</v>
      </c>
      <c r="W1589" t="s">
        <v>41604</v>
      </c>
      <c r="X1589" t="s">
        <v>44908</v>
      </c>
    </row>
    <row r="1590" spans="1:24">
      <c r="A1590">
        <f>HYPERLINK("https://www.philgeps.gov.ph/GEPSNONPILOT/Tender/SplashBidNoticeAbstractUI.aspx?menuIndex=3&amp;refID=7083528&amp;Result=3","7083528")</f>
        <v>0</v>
      </c>
      <c r="B1590" t="s">
        <v>561</v>
      </c>
      <c r="C1590" t="s">
        <v>5052</v>
      </c>
      <c r="D1590" t="s">
        <v>18124</v>
      </c>
      <c r="E1590" t="s">
        <v>19680</v>
      </c>
      <c r="F1590" t="s">
        <v>31362</v>
      </c>
      <c r="G1590" t="s">
        <v>31369</v>
      </c>
      <c r="H1590" t="s">
        <v>15799</v>
      </c>
      <c r="I1590" t="s">
        <v>31404</v>
      </c>
      <c r="J1590" t="s">
        <v>32678</v>
      </c>
      <c r="K1590" t="s">
        <v>40670</v>
      </c>
      <c r="M1590" t="s">
        <v>41517</v>
      </c>
      <c r="N1590" t="s">
        <v>44905</v>
      </c>
      <c r="O1590" t="s">
        <v>44906</v>
      </c>
      <c r="P1590">
        <v>0</v>
      </c>
      <c r="Q1590">
        <v>0</v>
      </c>
      <c r="R1590" t="s">
        <v>44907</v>
      </c>
      <c r="S1590" t="s">
        <v>45026</v>
      </c>
      <c r="T1590" t="s">
        <v>46553</v>
      </c>
      <c r="U1590" t="s">
        <v>48256</v>
      </c>
      <c r="W1590" t="s">
        <v>41517</v>
      </c>
      <c r="X1590" t="s">
        <v>44908</v>
      </c>
    </row>
    <row r="1591" spans="1:24">
      <c r="A1591">
        <f>HYPERLINK("https://www.philgeps.gov.ph/GEPSNONPILOT/Tender/SplashBidNoticeAbstractUI.aspx?menuIndex=3&amp;refID=7083525&amp;Result=3","7083525")</f>
        <v>0</v>
      </c>
      <c r="B1591" t="s">
        <v>683</v>
      </c>
      <c r="C1591" t="s">
        <v>5053</v>
      </c>
      <c r="D1591" t="s">
        <v>18114</v>
      </c>
      <c r="E1591" t="s">
        <v>19681</v>
      </c>
      <c r="F1591" t="s">
        <v>31362</v>
      </c>
      <c r="G1591" t="s">
        <v>31368</v>
      </c>
      <c r="H1591" t="s">
        <v>15799</v>
      </c>
      <c r="I1591" t="s">
        <v>6240</v>
      </c>
      <c r="J1591" t="s">
        <v>32679</v>
      </c>
      <c r="K1591" t="s">
        <v>40661</v>
      </c>
      <c r="M1591" t="s">
        <v>41645</v>
      </c>
      <c r="N1591" t="s">
        <v>44905</v>
      </c>
      <c r="O1591" t="s">
        <v>44906</v>
      </c>
      <c r="P1591">
        <v>0</v>
      </c>
      <c r="Q1591">
        <v>0</v>
      </c>
      <c r="R1591" t="s">
        <v>44907</v>
      </c>
      <c r="S1591" t="s">
        <v>45026</v>
      </c>
      <c r="T1591" t="s">
        <v>46438</v>
      </c>
      <c r="U1591" t="s">
        <v>48257</v>
      </c>
      <c r="V1591" t="s">
        <v>59225</v>
      </c>
      <c r="W1591" t="s">
        <v>41645</v>
      </c>
      <c r="X1591" t="s">
        <v>44908</v>
      </c>
    </row>
    <row r="1592" spans="1:24">
      <c r="A1592">
        <f>HYPERLINK("https://www.philgeps.gov.ph/GEPSNONPILOT/Tender/SplashBidNoticeAbstractUI.aspx?menuIndex=3&amp;refID=7083558&amp;Result=3","7083558")</f>
        <v>0</v>
      </c>
      <c r="B1592" t="s">
        <v>684</v>
      </c>
      <c r="C1592" t="s">
        <v>5054</v>
      </c>
      <c r="D1592" t="s">
        <v>18146</v>
      </c>
      <c r="E1592" t="s">
        <v>19682</v>
      </c>
      <c r="F1592" t="s">
        <v>31362</v>
      </c>
      <c r="G1592" t="s">
        <v>31369</v>
      </c>
      <c r="H1592" t="s">
        <v>15799</v>
      </c>
      <c r="I1592" t="s">
        <v>3815</v>
      </c>
      <c r="J1592" t="s">
        <v>32680</v>
      </c>
      <c r="K1592" t="s">
        <v>40661</v>
      </c>
      <c r="M1592" t="s">
        <v>41646</v>
      </c>
      <c r="N1592" t="s">
        <v>44905</v>
      </c>
      <c r="O1592" t="s">
        <v>44906</v>
      </c>
      <c r="P1592">
        <v>0</v>
      </c>
      <c r="Q1592">
        <v>0</v>
      </c>
      <c r="R1592" t="s">
        <v>44907</v>
      </c>
      <c r="S1592" t="s">
        <v>45026</v>
      </c>
      <c r="T1592" t="s">
        <v>46396</v>
      </c>
      <c r="U1592" t="s">
        <v>48258</v>
      </c>
      <c r="W1592" t="s">
        <v>41646</v>
      </c>
      <c r="X1592" t="s">
        <v>44908</v>
      </c>
    </row>
    <row r="1593" spans="1:24">
      <c r="A1593">
        <f>HYPERLINK("https://www.philgeps.gov.ph/GEPSNONPILOT/Tender/SplashBidNoticeAbstractUI.aspx?menuIndex=3&amp;refID=7083523&amp;Result=3","7083523")</f>
        <v>0</v>
      </c>
      <c r="B1593" t="s">
        <v>414</v>
      </c>
      <c r="C1593" t="s">
        <v>5055</v>
      </c>
      <c r="E1593" t="s">
        <v>19683</v>
      </c>
      <c r="F1593" t="s">
        <v>31362</v>
      </c>
      <c r="G1593" t="s">
        <v>31369</v>
      </c>
      <c r="H1593" t="s">
        <v>15799</v>
      </c>
      <c r="I1593" t="s">
        <v>31414</v>
      </c>
      <c r="J1593" t="s">
        <v>32681</v>
      </c>
      <c r="K1593" t="s">
        <v>40679</v>
      </c>
      <c r="M1593" t="s">
        <v>41364</v>
      </c>
      <c r="N1593" t="s">
        <v>44905</v>
      </c>
      <c r="O1593" t="s">
        <v>44906</v>
      </c>
      <c r="P1593">
        <v>0</v>
      </c>
      <c r="Q1593">
        <v>3</v>
      </c>
      <c r="R1593" t="s">
        <v>44907</v>
      </c>
      <c r="S1593" t="s">
        <v>45026</v>
      </c>
      <c r="T1593" t="s">
        <v>46573</v>
      </c>
      <c r="U1593" t="s">
        <v>48259</v>
      </c>
      <c r="W1593" t="s">
        <v>41364</v>
      </c>
      <c r="X1593" t="s">
        <v>44908</v>
      </c>
    </row>
    <row r="1594" spans="1:24">
      <c r="A1594">
        <f>HYPERLINK("https://www.philgeps.gov.ph/GEPSNONPILOT/Tender/SplashBidNoticeAbstractUI.aspx?menuIndex=3&amp;refID=7083520&amp;Result=3","7083520")</f>
        <v>0</v>
      </c>
      <c r="B1594" t="s">
        <v>673</v>
      </c>
      <c r="C1594" t="s">
        <v>5056</v>
      </c>
      <c r="D1594" t="s">
        <v>18136</v>
      </c>
      <c r="E1594" t="s">
        <v>19684</v>
      </c>
      <c r="F1594" t="s">
        <v>31362</v>
      </c>
      <c r="G1594" t="s">
        <v>31369</v>
      </c>
      <c r="H1594" t="s">
        <v>31378</v>
      </c>
      <c r="I1594" t="s">
        <v>31386</v>
      </c>
      <c r="J1594" t="s">
        <v>32671</v>
      </c>
      <c r="K1594" t="s">
        <v>40679</v>
      </c>
      <c r="M1594" t="s">
        <v>41635</v>
      </c>
      <c r="N1594" t="s">
        <v>44905</v>
      </c>
      <c r="O1594" t="s">
        <v>44906</v>
      </c>
      <c r="P1594">
        <v>0</v>
      </c>
      <c r="Q1594">
        <v>0</v>
      </c>
      <c r="R1594" t="s">
        <v>44907</v>
      </c>
      <c r="S1594" t="s">
        <v>45026</v>
      </c>
      <c r="T1594" t="s">
        <v>46570</v>
      </c>
      <c r="U1594" t="s">
        <v>48247</v>
      </c>
      <c r="W1594" t="s">
        <v>41635</v>
      </c>
      <c r="X1594" t="s">
        <v>44908</v>
      </c>
    </row>
    <row r="1595" spans="1:24">
      <c r="A1595">
        <f>HYPERLINK("https://www.philgeps.gov.ph/GEPSNONPILOT/Tender/SplashBidNoticeAbstractUI.aspx?menuIndex=3&amp;refID=7083534&amp;Result=3","7083534")</f>
        <v>0</v>
      </c>
      <c r="B1595" t="s">
        <v>685</v>
      </c>
      <c r="C1595" t="s">
        <v>5057</v>
      </c>
      <c r="D1595" t="s">
        <v>18163</v>
      </c>
      <c r="E1595" t="s">
        <v>19685</v>
      </c>
      <c r="F1595" t="s">
        <v>31362</v>
      </c>
      <c r="G1595" t="s">
        <v>31369</v>
      </c>
      <c r="H1595" t="s">
        <v>15799</v>
      </c>
      <c r="I1595" t="s">
        <v>6240</v>
      </c>
      <c r="J1595" t="s">
        <v>32682</v>
      </c>
      <c r="K1595" t="s">
        <v>40666</v>
      </c>
      <c r="M1595" t="s">
        <v>41647</v>
      </c>
      <c r="N1595" t="s">
        <v>44905</v>
      </c>
      <c r="O1595" t="s">
        <v>44906</v>
      </c>
      <c r="P1595">
        <v>0</v>
      </c>
      <c r="Q1595">
        <v>0</v>
      </c>
      <c r="R1595" t="s">
        <v>44907</v>
      </c>
      <c r="S1595" t="s">
        <v>45026</v>
      </c>
      <c r="T1595" t="s">
        <v>46403</v>
      </c>
      <c r="U1595" t="s">
        <v>48260</v>
      </c>
      <c r="W1595" t="s">
        <v>41647</v>
      </c>
      <c r="X1595" t="s">
        <v>44908</v>
      </c>
    </row>
    <row r="1596" spans="1:24">
      <c r="A1596">
        <f>HYPERLINK("https://www.philgeps.gov.ph/GEPSNONPILOT/Tender/SplashBidNoticeAbstractUI.aspx?menuIndex=3&amp;refID=7083561&amp;Result=3","7083561")</f>
        <v>0</v>
      </c>
      <c r="B1596" t="s">
        <v>686</v>
      </c>
      <c r="C1596" t="s">
        <v>5058</v>
      </c>
      <c r="D1596" t="s">
        <v>18122</v>
      </c>
      <c r="E1596" t="s">
        <v>19686</v>
      </c>
      <c r="F1596" t="s">
        <v>31362</v>
      </c>
      <c r="G1596" t="s">
        <v>31368</v>
      </c>
      <c r="H1596" t="s">
        <v>31378</v>
      </c>
      <c r="I1596" t="s">
        <v>3582</v>
      </c>
      <c r="J1596" t="s">
        <v>32683</v>
      </c>
      <c r="K1596" t="s">
        <v>40665</v>
      </c>
      <c r="M1596" t="s">
        <v>41648</v>
      </c>
      <c r="N1596" t="s">
        <v>44905</v>
      </c>
      <c r="O1596" t="s">
        <v>44906</v>
      </c>
      <c r="P1596">
        <v>0</v>
      </c>
      <c r="Q1596">
        <v>1</v>
      </c>
      <c r="R1596" t="s">
        <v>44907</v>
      </c>
      <c r="S1596" t="s">
        <v>45026</v>
      </c>
      <c r="T1596" t="s">
        <v>46418</v>
      </c>
      <c r="U1596" t="s">
        <v>48261</v>
      </c>
      <c r="W1596" t="s">
        <v>41648</v>
      </c>
      <c r="X1596" t="s">
        <v>44908</v>
      </c>
    </row>
    <row r="1597" spans="1:24">
      <c r="A1597">
        <f>HYPERLINK("https://www.philgeps.gov.ph/GEPSNONPILOT/Tender/SplashBidNoticeAbstractUI.aspx?menuIndex=3&amp;refID=7083516&amp;Result=3","7083516")</f>
        <v>0</v>
      </c>
      <c r="B1597" t="s">
        <v>687</v>
      </c>
      <c r="C1597" t="s">
        <v>5059</v>
      </c>
      <c r="E1597" t="s">
        <v>19687</v>
      </c>
      <c r="F1597" t="s">
        <v>31362</v>
      </c>
      <c r="G1597" t="s">
        <v>31368</v>
      </c>
      <c r="H1597" t="s">
        <v>15799</v>
      </c>
      <c r="I1597" t="s">
        <v>7719</v>
      </c>
      <c r="J1597" t="s">
        <v>32684</v>
      </c>
      <c r="K1597" t="s">
        <v>40662</v>
      </c>
      <c r="M1597" t="s">
        <v>41649</v>
      </c>
      <c r="N1597" t="s">
        <v>44905</v>
      </c>
      <c r="O1597" t="s">
        <v>44906</v>
      </c>
      <c r="P1597">
        <v>0</v>
      </c>
      <c r="Q1597">
        <v>4</v>
      </c>
      <c r="R1597" t="s">
        <v>44907</v>
      </c>
      <c r="S1597" t="s">
        <v>45026</v>
      </c>
      <c r="T1597" t="s">
        <v>46532</v>
      </c>
      <c r="U1597" t="s">
        <v>48262</v>
      </c>
      <c r="W1597" t="s">
        <v>41649</v>
      </c>
      <c r="X1597" t="s">
        <v>44908</v>
      </c>
    </row>
    <row r="1598" spans="1:24">
      <c r="A1598">
        <f>HYPERLINK("https://www.philgeps.gov.ph/GEPSNONPILOT/Tender/SplashBidNoticeAbstractUI.aspx?menuIndex=3&amp;refID=7083531&amp;Result=3","7083531")</f>
        <v>0</v>
      </c>
      <c r="B1598" t="s">
        <v>440</v>
      </c>
      <c r="C1598" t="s">
        <v>5060</v>
      </c>
      <c r="D1598" t="s">
        <v>18154</v>
      </c>
      <c r="E1598" t="s">
        <v>19688</v>
      </c>
      <c r="F1598" t="s">
        <v>31362</v>
      </c>
      <c r="G1598" t="s">
        <v>31368</v>
      </c>
      <c r="H1598" t="s">
        <v>15799</v>
      </c>
      <c r="I1598" t="s">
        <v>3815</v>
      </c>
      <c r="J1598" t="s">
        <v>32685</v>
      </c>
      <c r="K1598" t="s">
        <v>40662</v>
      </c>
      <c r="M1598" t="s">
        <v>41392</v>
      </c>
      <c r="N1598" t="s">
        <v>44905</v>
      </c>
      <c r="O1598" t="s">
        <v>44906</v>
      </c>
      <c r="P1598">
        <v>0</v>
      </c>
      <c r="Q1598">
        <v>0</v>
      </c>
      <c r="R1598" t="s">
        <v>44907</v>
      </c>
      <c r="S1598" t="s">
        <v>45026</v>
      </c>
      <c r="T1598" t="s">
        <v>46447</v>
      </c>
      <c r="U1598" t="s">
        <v>48263</v>
      </c>
      <c r="W1598" t="s">
        <v>41392</v>
      </c>
      <c r="X1598" t="s">
        <v>44908</v>
      </c>
    </row>
    <row r="1599" spans="1:24">
      <c r="A1599">
        <f>HYPERLINK("https://www.philgeps.gov.ph/GEPSNONPILOT/Tender/SplashBidNoticeAbstractUI.aspx?menuIndex=3&amp;refID=7083502&amp;Result=3","7083502")</f>
        <v>0</v>
      </c>
      <c r="B1599" t="s">
        <v>539</v>
      </c>
      <c r="C1599" t="s">
        <v>5061</v>
      </c>
      <c r="D1599" t="s">
        <v>18110</v>
      </c>
      <c r="E1599" t="s">
        <v>19689</v>
      </c>
      <c r="F1599" t="s">
        <v>31362</v>
      </c>
      <c r="G1599" t="s">
        <v>31370</v>
      </c>
      <c r="H1599" t="s">
        <v>15799</v>
      </c>
      <c r="I1599" t="s">
        <v>31393</v>
      </c>
      <c r="J1599" t="s">
        <v>32686</v>
      </c>
      <c r="K1599" t="s">
        <v>40661</v>
      </c>
      <c r="M1599" t="s">
        <v>41650</v>
      </c>
      <c r="N1599" t="s">
        <v>44905</v>
      </c>
      <c r="O1599" t="s">
        <v>44906</v>
      </c>
      <c r="P1599">
        <v>0</v>
      </c>
      <c r="Q1599">
        <v>2</v>
      </c>
      <c r="R1599" t="s">
        <v>44907</v>
      </c>
      <c r="S1599" t="s">
        <v>45026</v>
      </c>
      <c r="T1599" t="s">
        <v>46393</v>
      </c>
      <c r="U1599" t="s">
        <v>48264</v>
      </c>
      <c r="W1599" t="s">
        <v>41650</v>
      </c>
      <c r="X1599" t="s">
        <v>44908</v>
      </c>
    </row>
    <row r="1600" spans="1:24">
      <c r="A1600">
        <f>HYPERLINK("https://www.philgeps.gov.ph/GEPSNONPILOT/Tender/SplashBidNoticeAbstractUI.aspx?menuIndex=3&amp;refID=7083526&amp;Result=3","7083526")</f>
        <v>0</v>
      </c>
      <c r="B1600" t="s">
        <v>574</v>
      </c>
      <c r="C1600" t="s">
        <v>5062</v>
      </c>
      <c r="D1600" t="s">
        <v>18148</v>
      </c>
      <c r="E1600" t="s">
        <v>19690</v>
      </c>
      <c r="F1600" t="s">
        <v>31362</v>
      </c>
      <c r="G1600" t="s">
        <v>31368</v>
      </c>
      <c r="H1600" t="s">
        <v>15799</v>
      </c>
      <c r="I1600" t="s">
        <v>31380</v>
      </c>
      <c r="J1600" t="s">
        <v>32687</v>
      </c>
      <c r="K1600" t="s">
        <v>40672</v>
      </c>
      <c r="M1600" t="s">
        <v>41530</v>
      </c>
      <c r="N1600" t="s">
        <v>44905</v>
      </c>
      <c r="O1600" t="s">
        <v>44906</v>
      </c>
      <c r="P1600">
        <v>0</v>
      </c>
      <c r="Q1600">
        <v>4</v>
      </c>
      <c r="R1600" t="s">
        <v>44907</v>
      </c>
      <c r="S1600" t="s">
        <v>45026</v>
      </c>
      <c r="T1600" t="s">
        <v>46443</v>
      </c>
      <c r="U1600" t="s">
        <v>48265</v>
      </c>
      <c r="W1600" t="s">
        <v>41530</v>
      </c>
      <c r="X1600" t="s">
        <v>44908</v>
      </c>
    </row>
    <row r="1601" spans="1:24">
      <c r="A1601">
        <f>HYPERLINK("https://www.philgeps.gov.ph/GEPSNONPILOT/Tender/SplashBidNoticeAbstractUI.aspx?menuIndex=3&amp;refID=7083501&amp;Result=3","7083501")</f>
        <v>0</v>
      </c>
      <c r="B1601" t="s">
        <v>134</v>
      </c>
      <c r="C1601" t="s">
        <v>5063</v>
      </c>
      <c r="D1601" t="s">
        <v>18108</v>
      </c>
      <c r="E1601" t="s">
        <v>19691</v>
      </c>
      <c r="F1601" t="s">
        <v>31362</v>
      </c>
      <c r="G1601" t="s">
        <v>31369</v>
      </c>
      <c r="H1601" t="s">
        <v>15799</v>
      </c>
      <c r="I1601" t="s">
        <v>7719</v>
      </c>
      <c r="J1601" t="s">
        <v>32688</v>
      </c>
      <c r="K1601" t="s">
        <v>40662</v>
      </c>
      <c r="L1601" t="s">
        <v>134</v>
      </c>
      <c r="M1601" t="s">
        <v>41370</v>
      </c>
      <c r="N1601" t="s">
        <v>44905</v>
      </c>
      <c r="O1601" t="s">
        <v>44906</v>
      </c>
      <c r="P1601">
        <v>0</v>
      </c>
      <c r="Q1601">
        <v>10</v>
      </c>
      <c r="R1601" t="s">
        <v>44907</v>
      </c>
      <c r="S1601" t="s">
        <v>45026</v>
      </c>
      <c r="T1601" t="s">
        <v>46431</v>
      </c>
      <c r="U1601" t="s">
        <v>47674</v>
      </c>
      <c r="W1601" t="s">
        <v>41370</v>
      </c>
      <c r="X1601" t="s">
        <v>44908</v>
      </c>
    </row>
    <row r="1602" spans="1:24">
      <c r="A1602">
        <f>HYPERLINK("https://www.philgeps.gov.ph/GEPSNONPILOT/Tender/SplashBidNoticeAbstractUI.aspx?menuIndex=3&amp;refID=7083601&amp;Result=3","7083601")</f>
        <v>0</v>
      </c>
      <c r="B1602" t="s">
        <v>688</v>
      </c>
      <c r="C1602" t="s">
        <v>5064</v>
      </c>
      <c r="D1602" t="s">
        <v>18108</v>
      </c>
      <c r="E1602" t="s">
        <v>19692</v>
      </c>
      <c r="F1602" t="s">
        <v>31362</v>
      </c>
      <c r="G1602" t="s">
        <v>31370</v>
      </c>
      <c r="H1602" t="s">
        <v>15799</v>
      </c>
      <c r="I1602" t="s">
        <v>31422</v>
      </c>
      <c r="J1602" t="s">
        <v>32439</v>
      </c>
      <c r="K1602" t="s">
        <v>40670</v>
      </c>
      <c r="L1602" t="s">
        <v>688</v>
      </c>
      <c r="M1602" t="s">
        <v>41651</v>
      </c>
      <c r="N1602" t="s">
        <v>44905</v>
      </c>
      <c r="O1602" t="s">
        <v>44906</v>
      </c>
      <c r="P1602">
        <v>0</v>
      </c>
      <c r="Q1602">
        <v>5</v>
      </c>
      <c r="R1602" t="s">
        <v>44907</v>
      </c>
      <c r="S1602" t="s">
        <v>45026</v>
      </c>
      <c r="T1602" t="s">
        <v>46502</v>
      </c>
      <c r="U1602" t="s">
        <v>48266</v>
      </c>
      <c r="W1602" t="s">
        <v>41651</v>
      </c>
      <c r="X1602" t="s">
        <v>44908</v>
      </c>
    </row>
    <row r="1603" spans="1:24">
      <c r="A1603">
        <f>HYPERLINK("https://www.philgeps.gov.ph/GEPSNONPILOT/Tender/SplashBidNoticeAbstractUI.aspx?menuIndex=3&amp;refID=7083521&amp;Result=3","7083521")</f>
        <v>0</v>
      </c>
      <c r="B1603" t="s">
        <v>689</v>
      </c>
      <c r="C1603" t="s">
        <v>5065</v>
      </c>
      <c r="D1603" t="s">
        <v>18119</v>
      </c>
      <c r="E1603" t="s">
        <v>19693</v>
      </c>
      <c r="F1603" t="s">
        <v>31362</v>
      </c>
      <c r="G1603" t="s">
        <v>31369</v>
      </c>
      <c r="H1603" t="s">
        <v>15799</v>
      </c>
      <c r="I1603" t="s">
        <v>3815</v>
      </c>
      <c r="J1603" t="s">
        <v>32689</v>
      </c>
      <c r="K1603" t="s">
        <v>40662</v>
      </c>
      <c r="M1603" t="s">
        <v>41652</v>
      </c>
      <c r="N1603" t="s">
        <v>44905</v>
      </c>
      <c r="O1603" t="s">
        <v>44906</v>
      </c>
      <c r="P1603">
        <v>0</v>
      </c>
      <c r="Q1603">
        <v>1</v>
      </c>
      <c r="R1603" t="s">
        <v>44907</v>
      </c>
      <c r="S1603" t="s">
        <v>45026</v>
      </c>
      <c r="T1603" t="s">
        <v>46429</v>
      </c>
      <c r="U1603" t="s">
        <v>48267</v>
      </c>
      <c r="W1603" t="s">
        <v>41652</v>
      </c>
      <c r="X1603" t="s">
        <v>44908</v>
      </c>
    </row>
    <row r="1604" spans="1:24">
      <c r="A1604">
        <f>HYPERLINK("https://www.philgeps.gov.ph/GEPSNONPILOT/Tender/SplashBidNoticeAbstractUI.aspx?menuIndex=3&amp;refID=7083415&amp;Result=3","7083415")</f>
        <v>0</v>
      </c>
      <c r="B1604" t="s">
        <v>647</v>
      </c>
      <c r="C1604" t="s">
        <v>5066</v>
      </c>
      <c r="D1604" t="s">
        <v>18100</v>
      </c>
      <c r="E1604" t="s">
        <v>19615</v>
      </c>
      <c r="F1604" t="s">
        <v>31362</v>
      </c>
      <c r="G1604" t="s">
        <v>31368</v>
      </c>
      <c r="H1604" t="s">
        <v>15799</v>
      </c>
      <c r="I1604" t="s">
        <v>31380</v>
      </c>
      <c r="J1604" t="s">
        <v>32690</v>
      </c>
      <c r="K1604" t="s">
        <v>40670</v>
      </c>
      <c r="M1604" t="s">
        <v>41608</v>
      </c>
      <c r="N1604" t="s">
        <v>44905</v>
      </c>
      <c r="O1604" t="s">
        <v>44906</v>
      </c>
      <c r="P1604">
        <v>0</v>
      </c>
      <c r="Q1604">
        <v>4</v>
      </c>
      <c r="R1604" t="s">
        <v>44907</v>
      </c>
      <c r="S1604" t="s">
        <v>45026</v>
      </c>
      <c r="T1604" t="s">
        <v>46425</v>
      </c>
      <c r="U1604" t="s">
        <v>48268</v>
      </c>
      <c r="W1604" t="s">
        <v>60862</v>
      </c>
      <c r="X1604" t="s">
        <v>44908</v>
      </c>
    </row>
    <row r="1605" spans="1:24">
      <c r="A1605">
        <f>HYPERLINK("https://www.philgeps.gov.ph/GEPSNONPILOT/Tender/SplashBidNoticeAbstractUI.aspx?menuIndex=3&amp;refID=7083598&amp;Result=3","7083598")</f>
        <v>0</v>
      </c>
      <c r="B1605" t="s">
        <v>673</v>
      </c>
      <c r="C1605" t="s">
        <v>5067</v>
      </c>
      <c r="D1605" t="s">
        <v>18136</v>
      </c>
      <c r="E1605" t="s">
        <v>19694</v>
      </c>
      <c r="F1605" t="s">
        <v>31362</v>
      </c>
      <c r="G1605" t="s">
        <v>31369</v>
      </c>
      <c r="H1605" t="s">
        <v>31378</v>
      </c>
      <c r="I1605" t="s">
        <v>31386</v>
      </c>
      <c r="J1605" t="s">
        <v>32671</v>
      </c>
      <c r="K1605" t="s">
        <v>40679</v>
      </c>
      <c r="M1605" t="s">
        <v>41635</v>
      </c>
      <c r="N1605" t="s">
        <v>44905</v>
      </c>
      <c r="O1605" t="s">
        <v>44906</v>
      </c>
      <c r="P1605">
        <v>0</v>
      </c>
      <c r="Q1605">
        <v>0</v>
      </c>
      <c r="R1605" t="s">
        <v>44907</v>
      </c>
      <c r="S1605" t="s">
        <v>45026</v>
      </c>
      <c r="T1605" t="s">
        <v>46570</v>
      </c>
      <c r="U1605" t="s">
        <v>48247</v>
      </c>
      <c r="W1605" t="s">
        <v>41635</v>
      </c>
      <c r="X1605" t="s">
        <v>44908</v>
      </c>
    </row>
    <row r="1606" spans="1:24">
      <c r="A1606">
        <f>HYPERLINK("https://www.philgeps.gov.ph/GEPSNONPILOT/Tender/SplashBidNoticeAbstractUI.aspx?menuIndex=3&amp;refID=7083595&amp;Result=3","7083595")</f>
        <v>0</v>
      </c>
      <c r="B1606" t="s">
        <v>357</v>
      </c>
      <c r="C1606" t="s">
        <v>5068</v>
      </c>
      <c r="D1606" t="s">
        <v>18158</v>
      </c>
      <c r="E1606" t="s">
        <v>19695</v>
      </c>
      <c r="F1606" t="s">
        <v>31362</v>
      </c>
      <c r="G1606" t="s">
        <v>31369</v>
      </c>
      <c r="H1606" t="s">
        <v>15799</v>
      </c>
      <c r="I1606" t="s">
        <v>31387</v>
      </c>
      <c r="J1606" t="s">
        <v>32691</v>
      </c>
      <c r="K1606" t="s">
        <v>40677</v>
      </c>
      <c r="M1606" t="s">
        <v>41304</v>
      </c>
      <c r="N1606" t="s">
        <v>44905</v>
      </c>
      <c r="O1606" t="s">
        <v>44906</v>
      </c>
      <c r="P1606">
        <v>0</v>
      </c>
      <c r="Q1606">
        <v>0</v>
      </c>
      <c r="R1606" t="s">
        <v>44907</v>
      </c>
      <c r="S1606" t="s">
        <v>45026</v>
      </c>
      <c r="T1606" t="s">
        <v>46525</v>
      </c>
      <c r="U1606" t="s">
        <v>48269</v>
      </c>
      <c r="W1606" t="s">
        <v>41304</v>
      </c>
      <c r="X1606" t="s">
        <v>44908</v>
      </c>
    </row>
    <row r="1607" spans="1:24">
      <c r="A1607">
        <f>HYPERLINK("https://www.philgeps.gov.ph/GEPSNONPILOT/Tender/SplashBidNoticeAbstractUI.aspx?menuIndex=3&amp;refID=7083593&amp;Result=3","7083593")</f>
        <v>0</v>
      </c>
      <c r="B1607" t="s">
        <v>48</v>
      </c>
      <c r="C1607" t="s">
        <v>5069</v>
      </c>
      <c r="D1607" t="s">
        <v>18117</v>
      </c>
      <c r="E1607" t="s">
        <v>19696</v>
      </c>
      <c r="F1607" t="s">
        <v>31362</v>
      </c>
      <c r="G1607" t="s">
        <v>31369</v>
      </c>
      <c r="H1607" t="s">
        <v>15799</v>
      </c>
      <c r="I1607" t="s">
        <v>31396</v>
      </c>
      <c r="J1607" t="s">
        <v>32549</v>
      </c>
      <c r="K1607" t="s">
        <v>40680</v>
      </c>
      <c r="M1607" t="s">
        <v>41068</v>
      </c>
      <c r="N1607" t="s">
        <v>44905</v>
      </c>
      <c r="O1607" t="s">
        <v>44906</v>
      </c>
      <c r="P1607">
        <v>0</v>
      </c>
      <c r="Q1607">
        <v>3</v>
      </c>
      <c r="R1607" t="s">
        <v>44907</v>
      </c>
      <c r="S1607" t="s">
        <v>45026</v>
      </c>
      <c r="T1607" t="s">
        <v>46398</v>
      </c>
      <c r="U1607" t="s">
        <v>48270</v>
      </c>
      <c r="V1607" t="s">
        <v>59085</v>
      </c>
      <c r="W1607" t="s">
        <v>41068</v>
      </c>
      <c r="X1607" t="s">
        <v>44908</v>
      </c>
    </row>
    <row r="1608" spans="1:24">
      <c r="A1608">
        <f>HYPERLINK("https://www.philgeps.gov.ph/GEPSNONPILOT/Tender/SplashBidNoticeAbstractUI.aspx?menuIndex=3&amp;refID=7083591&amp;Result=3","7083591")</f>
        <v>0</v>
      </c>
      <c r="B1608" t="s">
        <v>561</v>
      </c>
      <c r="C1608" t="s">
        <v>5070</v>
      </c>
      <c r="D1608" t="s">
        <v>18124</v>
      </c>
      <c r="E1608" t="s">
        <v>19697</v>
      </c>
      <c r="F1608" t="s">
        <v>31362</v>
      </c>
      <c r="G1608" t="s">
        <v>31369</v>
      </c>
      <c r="H1608" t="s">
        <v>15799</v>
      </c>
      <c r="I1608" t="s">
        <v>6155</v>
      </c>
      <c r="J1608" t="s">
        <v>31659</v>
      </c>
      <c r="K1608" t="s">
        <v>40670</v>
      </c>
      <c r="M1608" t="s">
        <v>41517</v>
      </c>
      <c r="N1608" t="s">
        <v>44905</v>
      </c>
      <c r="O1608" t="s">
        <v>44906</v>
      </c>
      <c r="P1608">
        <v>0</v>
      </c>
      <c r="Q1608">
        <v>0</v>
      </c>
      <c r="R1608" t="s">
        <v>44907</v>
      </c>
      <c r="S1608" t="s">
        <v>45026</v>
      </c>
      <c r="T1608" t="s">
        <v>46553</v>
      </c>
      <c r="U1608" t="s">
        <v>48246</v>
      </c>
      <c r="W1608" t="s">
        <v>41517</v>
      </c>
      <c r="X1608" t="s">
        <v>44908</v>
      </c>
    </row>
    <row r="1609" spans="1:24">
      <c r="A1609">
        <f>HYPERLINK("https://www.philgeps.gov.ph/GEPSNONPILOT/Tender/SplashBidNoticeAbstractUI.aspx?menuIndex=3&amp;refID=7083596&amp;Result=3","7083596")</f>
        <v>0</v>
      </c>
      <c r="B1609" t="s">
        <v>690</v>
      </c>
      <c r="C1609" t="s">
        <v>5071</v>
      </c>
      <c r="D1609" t="s">
        <v>18134</v>
      </c>
      <c r="E1609" t="s">
        <v>19698</v>
      </c>
      <c r="F1609" t="s">
        <v>31362</v>
      </c>
      <c r="G1609" t="s">
        <v>31374</v>
      </c>
      <c r="H1609" t="s">
        <v>15799</v>
      </c>
      <c r="I1609" t="s">
        <v>3815</v>
      </c>
      <c r="J1609" t="s">
        <v>32692</v>
      </c>
      <c r="K1609" t="s">
        <v>40670</v>
      </c>
      <c r="M1609" t="s">
        <v>41653</v>
      </c>
      <c r="N1609" t="s">
        <v>44905</v>
      </c>
      <c r="O1609" t="s">
        <v>44906</v>
      </c>
      <c r="P1609">
        <v>0</v>
      </c>
      <c r="Q1609">
        <v>0</v>
      </c>
      <c r="R1609" t="s">
        <v>44907</v>
      </c>
      <c r="S1609" t="s">
        <v>45026</v>
      </c>
      <c r="T1609" t="s">
        <v>46397</v>
      </c>
      <c r="U1609" t="s">
        <v>48271</v>
      </c>
      <c r="W1609" t="s">
        <v>41653</v>
      </c>
      <c r="X1609" t="s">
        <v>44908</v>
      </c>
    </row>
    <row r="1610" spans="1:24">
      <c r="A1610">
        <f>HYPERLINK("https://www.philgeps.gov.ph/GEPSNONPILOT/Tender/SplashBidNoticeAbstractUI.aspx?menuIndex=3&amp;refID=7083602&amp;Result=3","7083602")</f>
        <v>0</v>
      </c>
      <c r="B1610" t="s">
        <v>672</v>
      </c>
      <c r="C1610" t="s">
        <v>5072</v>
      </c>
      <c r="D1610" t="s">
        <v>18103</v>
      </c>
      <c r="E1610" t="s">
        <v>19699</v>
      </c>
      <c r="F1610" t="s">
        <v>31362</v>
      </c>
      <c r="G1610" t="s">
        <v>31369</v>
      </c>
      <c r="H1610" t="s">
        <v>15799</v>
      </c>
      <c r="I1610" t="s">
        <v>31409</v>
      </c>
      <c r="J1610" t="s">
        <v>31968</v>
      </c>
      <c r="K1610" t="s">
        <v>40662</v>
      </c>
      <c r="M1610" t="s">
        <v>41634</v>
      </c>
      <c r="N1610" t="s">
        <v>44905</v>
      </c>
      <c r="O1610" t="s">
        <v>44906</v>
      </c>
      <c r="P1610">
        <v>0</v>
      </c>
      <c r="Q1610">
        <v>4</v>
      </c>
      <c r="R1610" t="s">
        <v>44907</v>
      </c>
      <c r="S1610" t="s">
        <v>45026</v>
      </c>
      <c r="T1610" t="s">
        <v>46429</v>
      </c>
      <c r="U1610" t="s">
        <v>48272</v>
      </c>
      <c r="W1610" t="s">
        <v>60864</v>
      </c>
      <c r="X1610" t="s">
        <v>44908</v>
      </c>
    </row>
    <row r="1611" spans="1:24">
      <c r="A1611">
        <f>HYPERLINK("https://www.philgeps.gov.ph/GEPSNONPILOT/Tender/SplashBidNoticeAbstractUI.aspx?menuIndex=3&amp;refID=7083421&amp;Result=3","7083421")</f>
        <v>0</v>
      </c>
      <c r="B1611" t="s">
        <v>624</v>
      </c>
      <c r="C1611" t="s">
        <v>5073</v>
      </c>
      <c r="D1611" t="s">
        <v>18148</v>
      </c>
      <c r="E1611" t="s">
        <v>19700</v>
      </c>
      <c r="F1611" t="s">
        <v>31362</v>
      </c>
      <c r="G1611" t="s">
        <v>31368</v>
      </c>
      <c r="H1611" t="s">
        <v>15799</v>
      </c>
      <c r="I1611" t="s">
        <v>6155</v>
      </c>
      <c r="J1611" t="s">
        <v>32261</v>
      </c>
      <c r="K1611" t="s">
        <v>40662</v>
      </c>
      <c r="M1611" t="s">
        <v>41583</v>
      </c>
      <c r="N1611" t="s">
        <v>44905</v>
      </c>
      <c r="O1611" t="s">
        <v>44906</v>
      </c>
      <c r="P1611">
        <v>0</v>
      </c>
      <c r="Q1611">
        <v>1</v>
      </c>
      <c r="R1611" t="s">
        <v>44907</v>
      </c>
      <c r="S1611" t="s">
        <v>45026</v>
      </c>
      <c r="T1611" t="s">
        <v>46414</v>
      </c>
      <c r="U1611" t="s">
        <v>48273</v>
      </c>
      <c r="W1611" t="s">
        <v>41583</v>
      </c>
      <c r="X1611" t="s">
        <v>44908</v>
      </c>
    </row>
    <row r="1612" spans="1:24">
      <c r="A1612">
        <f>HYPERLINK("https://www.philgeps.gov.ph/GEPSNONPILOT/Tender/SplashBidNoticeAbstractUI.aspx?menuIndex=3&amp;refID=7083587&amp;Result=3","7083587")</f>
        <v>0</v>
      </c>
      <c r="B1612" t="s">
        <v>691</v>
      </c>
      <c r="C1612" t="s">
        <v>5074</v>
      </c>
      <c r="D1612" t="s">
        <v>18167</v>
      </c>
      <c r="E1612" t="s">
        <v>19701</v>
      </c>
      <c r="F1612" t="s">
        <v>31362</v>
      </c>
      <c r="G1612" t="s">
        <v>31369</v>
      </c>
      <c r="H1612" t="s">
        <v>15799</v>
      </c>
      <c r="I1612" t="s">
        <v>31444</v>
      </c>
      <c r="J1612" t="s">
        <v>32693</v>
      </c>
      <c r="K1612" t="s">
        <v>40677</v>
      </c>
      <c r="M1612" t="s">
        <v>41654</v>
      </c>
      <c r="N1612" t="s">
        <v>44905</v>
      </c>
      <c r="O1612" t="s">
        <v>44906</v>
      </c>
      <c r="P1612">
        <v>0</v>
      </c>
      <c r="Q1612">
        <v>2</v>
      </c>
      <c r="R1612" t="s">
        <v>44907</v>
      </c>
      <c r="S1612" t="s">
        <v>45026</v>
      </c>
      <c r="T1612" t="s">
        <v>46420</v>
      </c>
      <c r="U1612" t="s">
        <v>48274</v>
      </c>
      <c r="W1612" t="s">
        <v>41654</v>
      </c>
      <c r="X1612" t="s">
        <v>44908</v>
      </c>
    </row>
    <row r="1613" spans="1:24">
      <c r="A1613">
        <f>HYPERLINK("https://www.philgeps.gov.ph/GEPSNONPILOT/Tender/SplashBidNoticeAbstractUI.aspx?menuIndex=3&amp;refID=7083586&amp;Result=3","7083586")</f>
        <v>0</v>
      </c>
      <c r="B1613" t="s">
        <v>692</v>
      </c>
      <c r="C1613" t="s">
        <v>5075</v>
      </c>
      <c r="D1613" t="s">
        <v>18158</v>
      </c>
      <c r="E1613" t="s">
        <v>19702</v>
      </c>
      <c r="F1613" t="s">
        <v>31362</v>
      </c>
      <c r="G1613" t="s">
        <v>31368</v>
      </c>
      <c r="H1613" t="s">
        <v>15799</v>
      </c>
      <c r="I1613" t="s">
        <v>31380</v>
      </c>
      <c r="J1613" t="s">
        <v>32694</v>
      </c>
      <c r="K1613" t="s">
        <v>40670</v>
      </c>
      <c r="M1613" t="s">
        <v>41655</v>
      </c>
      <c r="N1613" t="s">
        <v>44905</v>
      </c>
      <c r="O1613" t="s">
        <v>44906</v>
      </c>
      <c r="P1613">
        <v>0</v>
      </c>
      <c r="Q1613">
        <v>2</v>
      </c>
      <c r="R1613" t="s">
        <v>44907</v>
      </c>
      <c r="S1613" t="s">
        <v>45026</v>
      </c>
      <c r="T1613" t="s">
        <v>46414</v>
      </c>
      <c r="U1613" t="s">
        <v>48275</v>
      </c>
      <c r="W1613" t="s">
        <v>41655</v>
      </c>
      <c r="X1613" t="s">
        <v>44908</v>
      </c>
    </row>
    <row r="1614" spans="1:24">
      <c r="A1614">
        <f>HYPERLINK("https://www.philgeps.gov.ph/GEPSNONPILOT/Tender/SplashBidNoticeAbstractUI.aspx?menuIndex=3&amp;refID=7083597&amp;Result=3","7083597")</f>
        <v>0</v>
      </c>
      <c r="B1614" t="s">
        <v>693</v>
      </c>
      <c r="C1614" t="s">
        <v>5076</v>
      </c>
      <c r="D1614" t="s">
        <v>18112</v>
      </c>
      <c r="E1614" t="s">
        <v>19703</v>
      </c>
      <c r="F1614" t="s">
        <v>31362</v>
      </c>
      <c r="G1614" t="s">
        <v>31369</v>
      </c>
      <c r="H1614" t="s">
        <v>31378</v>
      </c>
      <c r="I1614" t="s">
        <v>31386</v>
      </c>
      <c r="J1614" t="s">
        <v>32695</v>
      </c>
      <c r="K1614" t="s">
        <v>40731</v>
      </c>
      <c r="M1614" t="s">
        <v>41656</v>
      </c>
      <c r="N1614" t="s">
        <v>44905</v>
      </c>
      <c r="O1614" t="s">
        <v>44906</v>
      </c>
      <c r="P1614">
        <v>0</v>
      </c>
      <c r="Q1614">
        <v>0</v>
      </c>
      <c r="R1614" t="s">
        <v>44907</v>
      </c>
      <c r="S1614" t="s">
        <v>45026</v>
      </c>
      <c r="T1614" t="s">
        <v>46481</v>
      </c>
      <c r="U1614" t="s">
        <v>48276</v>
      </c>
      <c r="W1614" t="s">
        <v>41656</v>
      </c>
      <c r="X1614" t="s">
        <v>44908</v>
      </c>
    </row>
    <row r="1615" spans="1:24">
      <c r="A1615">
        <f>HYPERLINK("https://www.philgeps.gov.ph/GEPSNONPILOT/Tender/SplashBidNoticeAbstractUI.aspx?menuIndex=3&amp;refID=7083584&amp;Result=3","7083584")</f>
        <v>0</v>
      </c>
      <c r="B1615" t="s">
        <v>227</v>
      </c>
      <c r="C1615" t="s">
        <v>5077</v>
      </c>
      <c r="D1615" t="s">
        <v>18108</v>
      </c>
      <c r="E1615" t="s">
        <v>19704</v>
      </c>
      <c r="F1615" t="s">
        <v>31362</v>
      </c>
      <c r="G1615" t="s">
        <v>31368</v>
      </c>
      <c r="H1615" t="s">
        <v>15799</v>
      </c>
      <c r="I1615" t="s">
        <v>31430</v>
      </c>
      <c r="J1615" t="s">
        <v>32696</v>
      </c>
      <c r="K1615" t="s">
        <v>40662</v>
      </c>
      <c r="M1615" t="s">
        <v>41297</v>
      </c>
      <c r="N1615" t="s">
        <v>44905</v>
      </c>
      <c r="O1615" t="s">
        <v>44906</v>
      </c>
      <c r="P1615">
        <v>0</v>
      </c>
      <c r="Q1615">
        <v>1</v>
      </c>
      <c r="R1615" t="s">
        <v>44907</v>
      </c>
      <c r="S1615" t="s">
        <v>45026</v>
      </c>
      <c r="T1615" t="s">
        <v>46518</v>
      </c>
      <c r="U1615" t="s">
        <v>48277</v>
      </c>
      <c r="W1615" t="s">
        <v>41297</v>
      </c>
      <c r="X1615" t="s">
        <v>44908</v>
      </c>
    </row>
    <row r="1616" spans="1:24">
      <c r="A1616">
        <f>HYPERLINK("https://www.philgeps.gov.ph/GEPSNONPILOT/Tender/SplashBidNoticeAbstractUI.aspx?menuIndex=3&amp;refID=7083583&amp;Result=3","7083583")</f>
        <v>0</v>
      </c>
      <c r="B1616" t="s">
        <v>440</v>
      </c>
      <c r="C1616" t="s">
        <v>5078</v>
      </c>
      <c r="D1616" t="s">
        <v>18154</v>
      </c>
      <c r="E1616" t="s">
        <v>19705</v>
      </c>
      <c r="F1616" t="s">
        <v>31362</v>
      </c>
      <c r="G1616" t="s">
        <v>31368</v>
      </c>
      <c r="H1616" t="s">
        <v>15799</v>
      </c>
      <c r="I1616" t="s">
        <v>7090</v>
      </c>
      <c r="J1616" t="s">
        <v>32697</v>
      </c>
      <c r="K1616" t="s">
        <v>40662</v>
      </c>
      <c r="M1616" t="s">
        <v>41604</v>
      </c>
      <c r="N1616" t="s">
        <v>44905</v>
      </c>
      <c r="O1616" t="s">
        <v>44906</v>
      </c>
      <c r="P1616">
        <v>0</v>
      </c>
      <c r="Q1616">
        <v>0</v>
      </c>
      <c r="R1616" t="s">
        <v>44907</v>
      </c>
      <c r="S1616" t="s">
        <v>45026</v>
      </c>
      <c r="T1616" t="s">
        <v>46447</v>
      </c>
      <c r="U1616" t="s">
        <v>48278</v>
      </c>
      <c r="W1616" t="s">
        <v>41604</v>
      </c>
      <c r="X1616" t="s">
        <v>44908</v>
      </c>
    </row>
    <row r="1617" spans="1:24">
      <c r="A1617">
        <f>HYPERLINK("https://www.philgeps.gov.ph/GEPSNONPILOT/Tender/SplashBidNoticeAbstractUI.aspx?menuIndex=3&amp;refID=7083581&amp;Result=3","7083581")</f>
        <v>0</v>
      </c>
      <c r="B1617" t="s">
        <v>694</v>
      </c>
      <c r="C1617" t="s">
        <v>5079</v>
      </c>
      <c r="D1617" t="s">
        <v>18108</v>
      </c>
      <c r="E1617" t="s">
        <v>19706</v>
      </c>
      <c r="F1617" t="s">
        <v>31362</v>
      </c>
      <c r="G1617" t="s">
        <v>31368</v>
      </c>
      <c r="H1617" t="s">
        <v>15799</v>
      </c>
      <c r="I1617" t="s">
        <v>7090</v>
      </c>
      <c r="J1617" t="s">
        <v>32698</v>
      </c>
      <c r="K1617" t="s">
        <v>40666</v>
      </c>
      <c r="M1617" t="s">
        <v>41657</v>
      </c>
      <c r="N1617" t="s">
        <v>44905</v>
      </c>
      <c r="O1617" t="s">
        <v>44906</v>
      </c>
      <c r="P1617">
        <v>0</v>
      </c>
      <c r="Q1617">
        <v>1</v>
      </c>
      <c r="R1617" t="s">
        <v>44907</v>
      </c>
      <c r="S1617" t="s">
        <v>45026</v>
      </c>
      <c r="T1617" t="s">
        <v>46426</v>
      </c>
      <c r="U1617" t="s">
        <v>48279</v>
      </c>
      <c r="W1617" t="s">
        <v>41657</v>
      </c>
      <c r="X1617" t="s">
        <v>44908</v>
      </c>
    </row>
    <row r="1618" spans="1:24">
      <c r="A1618">
        <f>HYPERLINK("https://www.philgeps.gov.ph/GEPSNONPILOT/Tender/SplashBidNoticeAbstractUI.aspx?menuIndex=3&amp;refID=7083580&amp;Result=3","7083580")</f>
        <v>0</v>
      </c>
      <c r="B1618" t="s">
        <v>662</v>
      </c>
      <c r="C1618" t="s">
        <v>4462</v>
      </c>
      <c r="D1618" t="s">
        <v>18111</v>
      </c>
      <c r="E1618" t="s">
        <v>19707</v>
      </c>
      <c r="F1618" t="s">
        <v>31362</v>
      </c>
      <c r="G1618" t="s">
        <v>31370</v>
      </c>
      <c r="H1618" t="s">
        <v>15799</v>
      </c>
      <c r="I1618" t="s">
        <v>6373</v>
      </c>
      <c r="J1618" t="s">
        <v>32699</v>
      </c>
      <c r="K1618" t="s">
        <v>40670</v>
      </c>
      <c r="M1618" t="s">
        <v>41624</v>
      </c>
      <c r="N1618" t="s">
        <v>44905</v>
      </c>
      <c r="O1618" t="s">
        <v>44906</v>
      </c>
      <c r="P1618">
        <v>0</v>
      </c>
      <c r="Q1618">
        <v>0</v>
      </c>
      <c r="R1618" t="s">
        <v>44907</v>
      </c>
      <c r="S1618" t="s">
        <v>45026</v>
      </c>
      <c r="T1618" t="s">
        <v>46446</v>
      </c>
      <c r="U1618" t="s">
        <v>47761</v>
      </c>
      <c r="W1618" t="s">
        <v>41624</v>
      </c>
      <c r="X1618" t="s">
        <v>44908</v>
      </c>
    </row>
    <row r="1619" spans="1:24">
      <c r="A1619">
        <f>HYPERLINK("https://www.philgeps.gov.ph/GEPSNONPILOT/Tender/SplashBidNoticeAbstractUI.aspx?menuIndex=3&amp;refID=7083600&amp;Result=3","7083600")</f>
        <v>0</v>
      </c>
      <c r="B1619" t="s">
        <v>603</v>
      </c>
      <c r="C1619" t="s">
        <v>5080</v>
      </c>
      <c r="D1619" t="s">
        <v>18171</v>
      </c>
      <c r="E1619" t="s">
        <v>19708</v>
      </c>
      <c r="F1619" t="s">
        <v>31362</v>
      </c>
      <c r="G1619" t="s">
        <v>31368</v>
      </c>
      <c r="H1619" t="s">
        <v>15799</v>
      </c>
      <c r="I1619" t="s">
        <v>4283</v>
      </c>
      <c r="J1619" t="s">
        <v>32700</v>
      </c>
      <c r="K1619" t="s">
        <v>40666</v>
      </c>
      <c r="M1619" t="s">
        <v>41658</v>
      </c>
      <c r="N1619" t="s">
        <v>44905</v>
      </c>
      <c r="O1619" t="s">
        <v>44906</v>
      </c>
      <c r="P1619">
        <v>0</v>
      </c>
      <c r="Q1619">
        <v>1</v>
      </c>
      <c r="R1619" t="s">
        <v>44907</v>
      </c>
      <c r="S1619" t="s">
        <v>45026</v>
      </c>
      <c r="T1619" t="s">
        <v>46438</v>
      </c>
      <c r="U1619" t="s">
        <v>48280</v>
      </c>
      <c r="W1619" t="s">
        <v>60865</v>
      </c>
      <c r="X1619" t="s">
        <v>44908</v>
      </c>
    </row>
    <row r="1620" spans="1:24">
      <c r="A1620">
        <f>HYPERLINK("https://www.philgeps.gov.ph/GEPSNONPILOT/Tender/SplashBidNoticeAbstractUI.aspx?menuIndex=3&amp;refID=7083633&amp;Result=3","7083633")</f>
        <v>0</v>
      </c>
      <c r="B1620" t="s">
        <v>695</v>
      </c>
      <c r="C1620" t="s">
        <v>5081</v>
      </c>
      <c r="D1620" t="s">
        <v>18133</v>
      </c>
      <c r="E1620" t="s">
        <v>19709</v>
      </c>
      <c r="F1620" t="s">
        <v>31362</v>
      </c>
      <c r="G1620" t="s">
        <v>31371</v>
      </c>
      <c r="H1620" t="s">
        <v>15799</v>
      </c>
      <c r="I1620" t="s">
        <v>31422</v>
      </c>
      <c r="J1620" t="s">
        <v>31578</v>
      </c>
      <c r="K1620" t="s">
        <v>40680</v>
      </c>
      <c r="M1620" t="s">
        <v>41659</v>
      </c>
      <c r="N1620" t="s">
        <v>44905</v>
      </c>
      <c r="O1620" t="s">
        <v>44906</v>
      </c>
      <c r="P1620">
        <v>0</v>
      </c>
      <c r="Q1620">
        <v>2</v>
      </c>
      <c r="R1620" t="s">
        <v>44907</v>
      </c>
      <c r="S1620" t="s">
        <v>45026</v>
      </c>
      <c r="T1620" t="s">
        <v>46425</v>
      </c>
      <c r="U1620" t="s">
        <v>48281</v>
      </c>
      <c r="W1620" t="s">
        <v>41659</v>
      </c>
      <c r="X1620" t="s">
        <v>44908</v>
      </c>
    </row>
    <row r="1621" spans="1:24">
      <c r="A1621">
        <f>HYPERLINK("https://www.philgeps.gov.ph/GEPSNONPILOT/Tender/SplashBidNoticeAbstractUI.aspx?menuIndex=3&amp;refID=7083589&amp;Result=3","7083589")</f>
        <v>0</v>
      </c>
      <c r="B1621" t="s">
        <v>440</v>
      </c>
      <c r="C1621" t="s">
        <v>5082</v>
      </c>
      <c r="D1621" t="s">
        <v>18154</v>
      </c>
      <c r="E1621" t="s">
        <v>19710</v>
      </c>
      <c r="F1621" t="s">
        <v>31362</v>
      </c>
      <c r="G1621" t="s">
        <v>31368</v>
      </c>
      <c r="H1621" t="s">
        <v>15799</v>
      </c>
      <c r="I1621" t="s">
        <v>3815</v>
      </c>
      <c r="J1621" t="s">
        <v>32701</v>
      </c>
      <c r="K1621" t="s">
        <v>40662</v>
      </c>
      <c r="M1621" t="s">
        <v>41392</v>
      </c>
      <c r="N1621" t="s">
        <v>44905</v>
      </c>
      <c r="O1621" t="s">
        <v>44906</v>
      </c>
      <c r="P1621">
        <v>0</v>
      </c>
      <c r="Q1621">
        <v>0</v>
      </c>
      <c r="R1621" t="s">
        <v>44907</v>
      </c>
      <c r="S1621" t="s">
        <v>45026</v>
      </c>
      <c r="T1621" t="s">
        <v>46447</v>
      </c>
      <c r="U1621" t="s">
        <v>48282</v>
      </c>
      <c r="W1621" t="s">
        <v>41392</v>
      </c>
      <c r="X1621" t="s">
        <v>44908</v>
      </c>
    </row>
    <row r="1622" spans="1:24">
      <c r="A1622">
        <f>HYPERLINK("https://www.philgeps.gov.ph/GEPSNONPILOT/Tender/SplashBidNoticeAbstractUI.aspx?menuIndex=3&amp;refID=7083628&amp;Result=3","7083628")</f>
        <v>0</v>
      </c>
      <c r="B1622" t="s">
        <v>179</v>
      </c>
      <c r="C1622" t="s">
        <v>5083</v>
      </c>
      <c r="D1622" t="s">
        <v>18155</v>
      </c>
      <c r="E1622" t="s">
        <v>19711</v>
      </c>
      <c r="F1622" t="s">
        <v>31362</v>
      </c>
      <c r="G1622" t="s">
        <v>31368</v>
      </c>
      <c r="H1622" t="s">
        <v>15799</v>
      </c>
      <c r="I1622" t="s">
        <v>31384</v>
      </c>
      <c r="J1622" t="s">
        <v>31578</v>
      </c>
      <c r="K1622" t="s">
        <v>40665</v>
      </c>
      <c r="M1622" t="s">
        <v>41209</v>
      </c>
      <c r="N1622" t="s">
        <v>44905</v>
      </c>
      <c r="O1622" t="s">
        <v>44906</v>
      </c>
      <c r="P1622">
        <v>0</v>
      </c>
      <c r="Q1622">
        <v>3</v>
      </c>
      <c r="R1622" t="s">
        <v>44907</v>
      </c>
      <c r="S1622" t="s">
        <v>45026</v>
      </c>
      <c r="T1622" t="s">
        <v>46482</v>
      </c>
      <c r="U1622" t="s">
        <v>47354</v>
      </c>
      <c r="W1622" t="s">
        <v>60842</v>
      </c>
      <c r="X1622" t="s">
        <v>44908</v>
      </c>
    </row>
    <row r="1623" spans="1:24">
      <c r="A1623">
        <f>HYPERLINK("https://www.philgeps.gov.ph/GEPSNONPILOT/Tender/SplashBidNoticeAbstractUI.aspx?menuIndex=3&amp;refID=7083592&amp;Result=3","7083592")</f>
        <v>0</v>
      </c>
      <c r="B1623" t="s">
        <v>57</v>
      </c>
      <c r="C1623" t="s">
        <v>5084</v>
      </c>
      <c r="D1623" t="s">
        <v>18120</v>
      </c>
      <c r="E1623" t="s">
        <v>19712</v>
      </c>
      <c r="F1623" t="s">
        <v>31362</v>
      </c>
      <c r="G1623" t="s">
        <v>31368</v>
      </c>
      <c r="H1623" t="s">
        <v>15799</v>
      </c>
      <c r="I1623" t="s">
        <v>31382</v>
      </c>
      <c r="J1623" t="s">
        <v>31536</v>
      </c>
      <c r="K1623" t="s">
        <v>40661</v>
      </c>
      <c r="M1623" t="s">
        <v>41660</v>
      </c>
      <c r="N1623" t="s">
        <v>44905</v>
      </c>
      <c r="O1623" t="s">
        <v>44906</v>
      </c>
      <c r="P1623">
        <v>0</v>
      </c>
      <c r="Q1623">
        <v>3</v>
      </c>
      <c r="R1623" t="s">
        <v>44907</v>
      </c>
      <c r="S1623" t="s">
        <v>45026</v>
      </c>
      <c r="T1623" t="s">
        <v>46408</v>
      </c>
      <c r="U1623" t="s">
        <v>48283</v>
      </c>
      <c r="W1623" t="s">
        <v>41660</v>
      </c>
      <c r="X1623" t="s">
        <v>44908</v>
      </c>
    </row>
    <row r="1624" spans="1:24">
      <c r="A1624">
        <f>HYPERLINK("https://www.philgeps.gov.ph/GEPSNONPILOT/Tender/SplashBidNoticeAbstractUI.aspx?menuIndex=3&amp;refID=7083590&amp;Result=3","7083590")</f>
        <v>0</v>
      </c>
      <c r="B1624" t="s">
        <v>137</v>
      </c>
      <c r="C1624" t="s">
        <v>5085</v>
      </c>
      <c r="D1624" t="s">
        <v>18141</v>
      </c>
      <c r="E1624" t="s">
        <v>19713</v>
      </c>
      <c r="F1624" t="s">
        <v>31363</v>
      </c>
      <c r="G1624" t="s">
        <v>31369</v>
      </c>
      <c r="H1624" t="s">
        <v>15799</v>
      </c>
      <c r="I1624" t="s">
        <v>3815</v>
      </c>
      <c r="J1624" t="s">
        <v>32702</v>
      </c>
      <c r="K1624" t="s">
        <v>40666</v>
      </c>
      <c r="M1624" t="s">
        <v>41075</v>
      </c>
      <c r="N1624" t="s">
        <v>44905</v>
      </c>
      <c r="O1624" t="s">
        <v>44906</v>
      </c>
      <c r="P1624">
        <v>0</v>
      </c>
      <c r="Q1624">
        <v>0</v>
      </c>
      <c r="R1624" t="s">
        <v>44907</v>
      </c>
      <c r="S1624" t="s">
        <v>45026</v>
      </c>
      <c r="T1624" t="s">
        <v>46449</v>
      </c>
      <c r="U1624" t="s">
        <v>48284</v>
      </c>
      <c r="W1624" t="s">
        <v>41075</v>
      </c>
      <c r="X1624" t="s">
        <v>44908</v>
      </c>
    </row>
    <row r="1625" spans="1:24">
      <c r="A1625">
        <f>HYPERLINK("https://www.philgeps.gov.ph/GEPSNONPILOT/Tender/SplashBidNoticeAbstractUI.aspx?menuIndex=3&amp;refID=7083626&amp;Result=3","7083626")</f>
        <v>0</v>
      </c>
      <c r="B1625" t="s">
        <v>122</v>
      </c>
      <c r="C1625" t="s">
        <v>5086</v>
      </c>
      <c r="D1625" t="s">
        <v>18145</v>
      </c>
      <c r="E1625" t="s">
        <v>19714</v>
      </c>
      <c r="F1625" t="s">
        <v>31362</v>
      </c>
      <c r="G1625" t="s">
        <v>31369</v>
      </c>
      <c r="H1625" t="s">
        <v>15799</v>
      </c>
      <c r="I1625" t="s">
        <v>31426</v>
      </c>
      <c r="J1625" t="s">
        <v>32703</v>
      </c>
      <c r="K1625" t="s">
        <v>40682</v>
      </c>
      <c r="M1625" t="s">
        <v>41059</v>
      </c>
      <c r="N1625" t="s">
        <v>44905</v>
      </c>
      <c r="O1625" t="s">
        <v>44906</v>
      </c>
      <c r="P1625">
        <v>0</v>
      </c>
      <c r="Q1625">
        <v>3</v>
      </c>
      <c r="R1625" t="s">
        <v>44907</v>
      </c>
      <c r="S1625" t="s">
        <v>45026</v>
      </c>
      <c r="T1625" t="s">
        <v>46455</v>
      </c>
      <c r="U1625" t="s">
        <v>47121</v>
      </c>
      <c r="V1625" t="s">
        <v>59226</v>
      </c>
      <c r="W1625" t="s">
        <v>41059</v>
      </c>
      <c r="X1625" t="s">
        <v>44908</v>
      </c>
    </row>
    <row r="1626" spans="1:24">
      <c r="A1626">
        <f>HYPERLINK("https://www.philgeps.gov.ph/GEPSNONPILOT/Tender/SplashBidNoticeAbstractUI.aspx?menuIndex=3&amp;refID=7083624&amp;Result=3","7083624")</f>
        <v>0</v>
      </c>
      <c r="B1626" t="s">
        <v>663</v>
      </c>
      <c r="C1626" t="s">
        <v>5087</v>
      </c>
      <c r="D1626" t="s">
        <v>18103</v>
      </c>
      <c r="E1626" t="s">
        <v>19715</v>
      </c>
      <c r="F1626" t="s">
        <v>31362</v>
      </c>
      <c r="G1626" t="s">
        <v>31370</v>
      </c>
      <c r="H1626" t="s">
        <v>31378</v>
      </c>
      <c r="I1626" t="s">
        <v>31386</v>
      </c>
      <c r="J1626" t="s">
        <v>32704</v>
      </c>
      <c r="K1626" t="s">
        <v>40661</v>
      </c>
      <c r="M1626" t="s">
        <v>41625</v>
      </c>
      <c r="N1626" t="s">
        <v>44905</v>
      </c>
      <c r="O1626" t="s">
        <v>44906</v>
      </c>
      <c r="P1626">
        <v>0</v>
      </c>
      <c r="Q1626">
        <v>0</v>
      </c>
      <c r="R1626" t="s">
        <v>44907</v>
      </c>
      <c r="S1626" t="s">
        <v>45026</v>
      </c>
      <c r="T1626" t="s">
        <v>46418</v>
      </c>
      <c r="U1626" t="s">
        <v>48285</v>
      </c>
      <c r="W1626" t="s">
        <v>41625</v>
      </c>
      <c r="X1626" t="s">
        <v>44908</v>
      </c>
    </row>
    <row r="1627" spans="1:24">
      <c r="A1627">
        <f>HYPERLINK("https://www.philgeps.gov.ph/GEPSNONPILOT/Tender/SplashBidNoticeAbstractUI.aspx?menuIndex=3&amp;refID=7083588&amp;Result=3","7083588")</f>
        <v>0</v>
      </c>
      <c r="B1627" t="s">
        <v>696</v>
      </c>
      <c r="C1627" t="s">
        <v>5088</v>
      </c>
      <c r="D1627" t="s">
        <v>18118</v>
      </c>
      <c r="E1627" t="s">
        <v>19716</v>
      </c>
      <c r="F1627" t="s">
        <v>31362</v>
      </c>
      <c r="G1627" t="s">
        <v>31369</v>
      </c>
      <c r="H1627" t="s">
        <v>15799</v>
      </c>
      <c r="I1627" t="s">
        <v>3815</v>
      </c>
      <c r="J1627" t="s">
        <v>32705</v>
      </c>
      <c r="K1627" t="s">
        <v>40675</v>
      </c>
      <c r="M1627" t="s">
        <v>41661</v>
      </c>
      <c r="N1627" t="s">
        <v>44905</v>
      </c>
      <c r="O1627" t="s">
        <v>44906</v>
      </c>
      <c r="P1627">
        <v>0</v>
      </c>
      <c r="Q1627">
        <v>0</v>
      </c>
      <c r="R1627" t="s">
        <v>44907</v>
      </c>
      <c r="S1627" t="s">
        <v>45026</v>
      </c>
      <c r="T1627" t="s">
        <v>46542</v>
      </c>
      <c r="U1627" t="s">
        <v>48286</v>
      </c>
      <c r="W1627" t="s">
        <v>41661</v>
      </c>
      <c r="X1627" t="s">
        <v>44908</v>
      </c>
    </row>
    <row r="1628" spans="1:24">
      <c r="A1628">
        <f>HYPERLINK("https://www.philgeps.gov.ph/GEPSNONPILOT/Tender/SplashBidNoticeAbstractUI.aspx?menuIndex=3&amp;refID=7083622&amp;Result=3","7083622")</f>
        <v>0</v>
      </c>
      <c r="B1628" t="s">
        <v>561</v>
      </c>
      <c r="C1628" t="s">
        <v>5089</v>
      </c>
      <c r="D1628" t="s">
        <v>18124</v>
      </c>
      <c r="E1628" t="s">
        <v>19717</v>
      </c>
      <c r="F1628" t="s">
        <v>31362</v>
      </c>
      <c r="G1628" t="s">
        <v>31369</v>
      </c>
      <c r="H1628" t="s">
        <v>15799</v>
      </c>
      <c r="I1628" t="s">
        <v>31406</v>
      </c>
      <c r="J1628" t="s">
        <v>32235</v>
      </c>
      <c r="K1628" t="s">
        <v>40670</v>
      </c>
      <c r="M1628" t="s">
        <v>41517</v>
      </c>
      <c r="N1628" t="s">
        <v>44905</v>
      </c>
      <c r="O1628" t="s">
        <v>44906</v>
      </c>
      <c r="P1628">
        <v>0</v>
      </c>
      <c r="Q1628">
        <v>0</v>
      </c>
      <c r="R1628" t="s">
        <v>44907</v>
      </c>
      <c r="S1628" t="s">
        <v>45026</v>
      </c>
      <c r="T1628" t="s">
        <v>46553</v>
      </c>
      <c r="U1628" t="s">
        <v>48287</v>
      </c>
      <c r="W1628" t="s">
        <v>41517</v>
      </c>
      <c r="X1628" t="s">
        <v>44908</v>
      </c>
    </row>
    <row r="1629" spans="1:24">
      <c r="A1629">
        <f>HYPERLINK("https://www.philgeps.gov.ph/GEPSNONPILOT/Tender/SplashBidNoticeAbstractUI.aspx?menuIndex=3&amp;refID=7083621&amp;Result=3","7083621")</f>
        <v>0</v>
      </c>
      <c r="B1629" t="s">
        <v>207</v>
      </c>
      <c r="C1629" t="s">
        <v>5090</v>
      </c>
      <c r="D1629" t="s">
        <v>18127</v>
      </c>
      <c r="E1629" t="s">
        <v>19718</v>
      </c>
      <c r="F1629" t="s">
        <v>31362</v>
      </c>
      <c r="G1629" t="s">
        <v>31368</v>
      </c>
      <c r="H1629" t="s">
        <v>15799</v>
      </c>
      <c r="I1629" t="s">
        <v>31382</v>
      </c>
      <c r="J1629" t="s">
        <v>31813</v>
      </c>
      <c r="K1629" t="s">
        <v>40661</v>
      </c>
      <c r="M1629" t="s">
        <v>41146</v>
      </c>
      <c r="N1629" t="s">
        <v>44905</v>
      </c>
      <c r="O1629" t="s">
        <v>44906</v>
      </c>
      <c r="P1629">
        <v>0</v>
      </c>
      <c r="Q1629">
        <v>3</v>
      </c>
      <c r="R1629" t="s">
        <v>44907</v>
      </c>
      <c r="S1629" t="s">
        <v>45026</v>
      </c>
      <c r="T1629" t="s">
        <v>46417</v>
      </c>
      <c r="U1629" t="s">
        <v>48288</v>
      </c>
      <c r="V1629" t="s">
        <v>59100</v>
      </c>
      <c r="W1629" t="s">
        <v>41146</v>
      </c>
      <c r="X1629" t="s">
        <v>44908</v>
      </c>
    </row>
    <row r="1630" spans="1:24">
      <c r="A1630">
        <f>HYPERLINK("https://www.philgeps.gov.ph/GEPSNONPILOT/Tender/SplashBidNoticeAbstractUI.aspx?menuIndex=3&amp;refID=7083617&amp;Result=3","7083617")</f>
        <v>0</v>
      </c>
      <c r="B1630" t="s">
        <v>684</v>
      </c>
      <c r="C1630" t="s">
        <v>5091</v>
      </c>
      <c r="D1630" t="s">
        <v>18146</v>
      </c>
      <c r="E1630" t="s">
        <v>19719</v>
      </c>
      <c r="F1630" t="s">
        <v>31362</v>
      </c>
      <c r="G1630" t="s">
        <v>31369</v>
      </c>
      <c r="H1630" t="s">
        <v>15799</v>
      </c>
      <c r="I1630" t="s">
        <v>3815</v>
      </c>
      <c r="J1630" t="s">
        <v>32706</v>
      </c>
      <c r="K1630" t="s">
        <v>40661</v>
      </c>
      <c r="M1630" t="s">
        <v>41646</v>
      </c>
      <c r="N1630" t="s">
        <v>44905</v>
      </c>
      <c r="O1630" t="s">
        <v>44906</v>
      </c>
      <c r="P1630">
        <v>0</v>
      </c>
      <c r="Q1630">
        <v>0</v>
      </c>
      <c r="R1630" t="s">
        <v>44907</v>
      </c>
      <c r="S1630" t="s">
        <v>45026</v>
      </c>
      <c r="T1630" t="s">
        <v>46396</v>
      </c>
      <c r="U1630" t="s">
        <v>48289</v>
      </c>
      <c r="W1630" t="s">
        <v>41646</v>
      </c>
      <c r="X1630" t="s">
        <v>44908</v>
      </c>
    </row>
    <row r="1631" spans="1:24">
      <c r="A1631">
        <f>HYPERLINK("https://www.philgeps.gov.ph/GEPSNONPILOT/Tender/SplashBidNoticeAbstractUI.aspx?menuIndex=3&amp;refID=7083613&amp;Result=3","7083613")</f>
        <v>0</v>
      </c>
      <c r="B1631" t="s">
        <v>662</v>
      </c>
      <c r="C1631" t="s">
        <v>5092</v>
      </c>
      <c r="D1631" t="s">
        <v>18111</v>
      </c>
      <c r="E1631" t="s">
        <v>19720</v>
      </c>
      <c r="F1631" t="s">
        <v>31362</v>
      </c>
      <c r="G1631" t="s">
        <v>31370</v>
      </c>
      <c r="H1631" t="s">
        <v>15799</v>
      </c>
      <c r="I1631" t="s">
        <v>31382</v>
      </c>
      <c r="J1631" t="s">
        <v>32707</v>
      </c>
      <c r="K1631" t="s">
        <v>40670</v>
      </c>
      <c r="M1631" t="s">
        <v>41624</v>
      </c>
      <c r="N1631" t="s">
        <v>44905</v>
      </c>
      <c r="O1631" t="s">
        <v>44906</v>
      </c>
      <c r="P1631">
        <v>0</v>
      </c>
      <c r="Q1631">
        <v>1</v>
      </c>
      <c r="R1631" t="s">
        <v>44907</v>
      </c>
      <c r="S1631" t="s">
        <v>45026</v>
      </c>
      <c r="T1631" t="s">
        <v>46446</v>
      </c>
      <c r="U1631" t="s">
        <v>48290</v>
      </c>
      <c r="W1631" t="s">
        <v>41624</v>
      </c>
      <c r="X1631" t="s">
        <v>44908</v>
      </c>
    </row>
    <row r="1632" spans="1:24">
      <c r="A1632">
        <f>HYPERLINK("https://www.philgeps.gov.ph/GEPSNONPILOT/Tender/SplashBidNoticeAbstractUI.aspx?menuIndex=3&amp;refID=7083635&amp;Result=3","7083635")</f>
        <v>0</v>
      </c>
      <c r="B1632" t="s">
        <v>662</v>
      </c>
      <c r="C1632" t="s">
        <v>4462</v>
      </c>
      <c r="D1632" t="s">
        <v>18111</v>
      </c>
      <c r="E1632" t="s">
        <v>19721</v>
      </c>
      <c r="F1632" t="s">
        <v>31362</v>
      </c>
      <c r="G1632" t="s">
        <v>31370</v>
      </c>
      <c r="H1632" t="s">
        <v>15799</v>
      </c>
      <c r="I1632" t="s">
        <v>31385</v>
      </c>
      <c r="J1632" t="s">
        <v>32708</v>
      </c>
      <c r="K1632" t="s">
        <v>40670</v>
      </c>
      <c r="M1632" t="s">
        <v>41624</v>
      </c>
      <c r="N1632" t="s">
        <v>44905</v>
      </c>
      <c r="O1632" t="s">
        <v>44906</v>
      </c>
      <c r="P1632">
        <v>0</v>
      </c>
      <c r="Q1632">
        <v>1</v>
      </c>
      <c r="R1632" t="s">
        <v>44907</v>
      </c>
      <c r="S1632" t="s">
        <v>45026</v>
      </c>
      <c r="T1632" t="s">
        <v>46446</v>
      </c>
      <c r="U1632" t="s">
        <v>47761</v>
      </c>
      <c r="W1632" t="s">
        <v>41624</v>
      </c>
      <c r="X1632" t="s">
        <v>44908</v>
      </c>
    </row>
    <row r="1633" spans="1:24">
      <c r="A1633">
        <f>HYPERLINK("https://www.philgeps.gov.ph/GEPSNONPILOT/Tender/SplashBidNoticeAbstractUI.aspx?menuIndex=3&amp;refID=7083654&amp;Result=3","7083654")</f>
        <v>0</v>
      </c>
      <c r="B1633" t="s">
        <v>675</v>
      </c>
      <c r="C1633" t="s">
        <v>5093</v>
      </c>
      <c r="D1633" t="s">
        <v>18111</v>
      </c>
      <c r="E1633" t="s">
        <v>19722</v>
      </c>
      <c r="F1633" t="s">
        <v>31362</v>
      </c>
      <c r="G1633" t="s">
        <v>31368</v>
      </c>
      <c r="H1633" t="s">
        <v>15799</v>
      </c>
      <c r="I1633" t="s">
        <v>31387</v>
      </c>
      <c r="J1633" t="s">
        <v>31797</v>
      </c>
      <c r="K1633" t="s">
        <v>40662</v>
      </c>
      <c r="M1633" t="s">
        <v>41637</v>
      </c>
      <c r="N1633" t="s">
        <v>44905</v>
      </c>
      <c r="O1633" t="s">
        <v>44906</v>
      </c>
      <c r="P1633">
        <v>0</v>
      </c>
      <c r="Q1633">
        <v>1</v>
      </c>
      <c r="R1633" t="s">
        <v>44907</v>
      </c>
      <c r="S1633" t="s">
        <v>45026</v>
      </c>
      <c r="T1633" t="s">
        <v>46560</v>
      </c>
      <c r="U1633" t="s">
        <v>48291</v>
      </c>
      <c r="W1633" t="s">
        <v>41637</v>
      </c>
      <c r="X1633" t="s">
        <v>44908</v>
      </c>
    </row>
    <row r="1634" spans="1:24">
      <c r="A1634">
        <f>HYPERLINK("https://www.philgeps.gov.ph/GEPSNONPILOT/Tender/SplashBidNoticeAbstractUI.aspx?menuIndex=3&amp;refID=7083658&amp;Result=3","7083658")</f>
        <v>0</v>
      </c>
      <c r="B1634" t="s">
        <v>155</v>
      </c>
      <c r="C1634" t="s">
        <v>5094</v>
      </c>
      <c r="D1634" t="s">
        <v>18108</v>
      </c>
      <c r="E1634" t="s">
        <v>19723</v>
      </c>
      <c r="F1634" t="s">
        <v>31362</v>
      </c>
      <c r="G1634" t="s">
        <v>31368</v>
      </c>
      <c r="H1634" t="s">
        <v>15799</v>
      </c>
      <c r="I1634" t="s">
        <v>4057</v>
      </c>
      <c r="J1634" t="s">
        <v>32709</v>
      </c>
      <c r="K1634" t="s">
        <v>40662</v>
      </c>
      <c r="M1634" t="s">
        <v>41093</v>
      </c>
      <c r="N1634" t="s">
        <v>44905</v>
      </c>
      <c r="O1634" t="s">
        <v>44906</v>
      </c>
      <c r="P1634">
        <v>0</v>
      </c>
      <c r="Q1634">
        <v>1</v>
      </c>
      <c r="R1634" t="s">
        <v>44907</v>
      </c>
      <c r="S1634" t="s">
        <v>45026</v>
      </c>
      <c r="T1634" t="s">
        <v>46443</v>
      </c>
      <c r="U1634" t="s">
        <v>48292</v>
      </c>
      <c r="W1634" t="s">
        <v>41093</v>
      </c>
      <c r="X1634" t="s">
        <v>44908</v>
      </c>
    </row>
    <row r="1635" spans="1:24">
      <c r="A1635">
        <f>HYPERLINK("https://www.philgeps.gov.ph/GEPSNONPILOT/Tender/SplashBidNoticeAbstractUI.aspx?menuIndex=3&amp;refID=7083623&amp;Result=3","7083623")</f>
        <v>0</v>
      </c>
      <c r="B1635" t="s">
        <v>697</v>
      </c>
      <c r="C1635" t="s">
        <v>5095</v>
      </c>
      <c r="D1635" t="s">
        <v>18146</v>
      </c>
      <c r="E1635" t="s">
        <v>19724</v>
      </c>
      <c r="F1635" t="s">
        <v>31364</v>
      </c>
      <c r="G1635" t="s">
        <v>31368</v>
      </c>
      <c r="H1635" t="s">
        <v>15799</v>
      </c>
      <c r="I1635" t="s">
        <v>31384</v>
      </c>
      <c r="J1635" t="s">
        <v>31577</v>
      </c>
      <c r="K1635" t="s">
        <v>40661</v>
      </c>
      <c r="M1635" t="s">
        <v>41662</v>
      </c>
      <c r="N1635" t="s">
        <v>44905</v>
      </c>
      <c r="O1635" t="s">
        <v>44906</v>
      </c>
      <c r="P1635">
        <v>0</v>
      </c>
      <c r="Q1635">
        <v>2</v>
      </c>
      <c r="R1635" t="s">
        <v>44907</v>
      </c>
      <c r="S1635" t="s">
        <v>45026</v>
      </c>
      <c r="T1635" t="s">
        <v>46415</v>
      </c>
      <c r="U1635" t="s">
        <v>48293</v>
      </c>
      <c r="W1635" t="s">
        <v>41662</v>
      </c>
      <c r="X1635" t="s">
        <v>44908</v>
      </c>
    </row>
    <row r="1636" spans="1:24">
      <c r="A1636">
        <f>HYPERLINK("https://www.philgeps.gov.ph/GEPSNONPILOT/Tender/SplashBidNoticeAbstractUI.aspx?menuIndex=3&amp;refID=7083656&amp;Result=3","7083656")</f>
        <v>0</v>
      </c>
      <c r="B1636" t="s">
        <v>686</v>
      </c>
      <c r="C1636" t="s">
        <v>5096</v>
      </c>
      <c r="D1636" t="s">
        <v>18122</v>
      </c>
      <c r="E1636" t="s">
        <v>19725</v>
      </c>
      <c r="F1636" t="s">
        <v>31362</v>
      </c>
      <c r="G1636" t="s">
        <v>31368</v>
      </c>
      <c r="H1636" t="s">
        <v>31378</v>
      </c>
      <c r="I1636" t="s">
        <v>3582</v>
      </c>
      <c r="J1636" t="s">
        <v>32710</v>
      </c>
      <c r="K1636" t="s">
        <v>40665</v>
      </c>
      <c r="M1636" t="s">
        <v>41648</v>
      </c>
      <c r="N1636" t="s">
        <v>44905</v>
      </c>
      <c r="O1636" t="s">
        <v>44906</v>
      </c>
      <c r="P1636">
        <v>0</v>
      </c>
      <c r="Q1636">
        <v>1</v>
      </c>
      <c r="R1636" t="s">
        <v>44907</v>
      </c>
      <c r="S1636" t="s">
        <v>45026</v>
      </c>
      <c r="T1636" t="s">
        <v>46418</v>
      </c>
      <c r="U1636" t="s">
        <v>48294</v>
      </c>
      <c r="W1636" t="s">
        <v>41648</v>
      </c>
      <c r="X1636" t="s">
        <v>44908</v>
      </c>
    </row>
    <row r="1637" spans="1:24">
      <c r="A1637">
        <f>HYPERLINK("https://www.philgeps.gov.ph/GEPSNONPILOT/Tender/SplashBidNoticeAbstractUI.aspx?menuIndex=3&amp;refID=7083631&amp;Result=3","7083631")</f>
        <v>0</v>
      </c>
      <c r="B1637" t="s">
        <v>698</v>
      </c>
      <c r="C1637" t="s">
        <v>5097</v>
      </c>
      <c r="D1637" t="s">
        <v>18104</v>
      </c>
      <c r="E1637" t="s">
        <v>19726</v>
      </c>
      <c r="F1637" t="s">
        <v>31362</v>
      </c>
      <c r="G1637" t="s">
        <v>31369</v>
      </c>
      <c r="H1637" t="s">
        <v>31378</v>
      </c>
      <c r="I1637" t="s">
        <v>31386</v>
      </c>
      <c r="J1637" t="s">
        <v>32711</v>
      </c>
      <c r="K1637" t="s">
        <v>40732</v>
      </c>
      <c r="M1637" t="s">
        <v>41663</v>
      </c>
      <c r="N1637" t="s">
        <v>44905</v>
      </c>
      <c r="O1637" t="s">
        <v>44906</v>
      </c>
      <c r="P1637">
        <v>0</v>
      </c>
      <c r="Q1637">
        <v>0</v>
      </c>
      <c r="R1637" t="s">
        <v>44907</v>
      </c>
      <c r="S1637" t="s">
        <v>45026</v>
      </c>
      <c r="T1637" t="s">
        <v>46449</v>
      </c>
      <c r="U1637" t="s">
        <v>48295</v>
      </c>
      <c r="W1637" t="s">
        <v>41663</v>
      </c>
      <c r="X1637" t="s">
        <v>44908</v>
      </c>
    </row>
    <row r="1638" spans="1:24">
      <c r="A1638">
        <f>HYPERLINK("https://www.philgeps.gov.ph/GEPSNONPILOT/Tender/SplashBidNoticeAbstractUI.aspx?menuIndex=3&amp;refID=7083615&amp;Result=3","7083615")</f>
        <v>0</v>
      </c>
      <c r="B1638" t="s">
        <v>673</v>
      </c>
      <c r="C1638" t="s">
        <v>5098</v>
      </c>
      <c r="D1638" t="s">
        <v>18136</v>
      </c>
      <c r="E1638" t="s">
        <v>19727</v>
      </c>
      <c r="F1638" t="s">
        <v>31362</v>
      </c>
      <c r="G1638" t="s">
        <v>31369</v>
      </c>
      <c r="H1638" t="s">
        <v>31378</v>
      </c>
      <c r="I1638" t="s">
        <v>31386</v>
      </c>
      <c r="J1638" t="s">
        <v>32671</v>
      </c>
      <c r="K1638" t="s">
        <v>40679</v>
      </c>
      <c r="M1638" t="s">
        <v>41635</v>
      </c>
      <c r="N1638" t="s">
        <v>44905</v>
      </c>
      <c r="O1638" t="s">
        <v>44906</v>
      </c>
      <c r="P1638">
        <v>0</v>
      </c>
      <c r="Q1638">
        <v>0</v>
      </c>
      <c r="R1638" t="s">
        <v>44907</v>
      </c>
      <c r="S1638" t="s">
        <v>45026</v>
      </c>
      <c r="T1638" t="s">
        <v>46570</v>
      </c>
      <c r="U1638" t="s">
        <v>48247</v>
      </c>
      <c r="W1638" t="s">
        <v>41635</v>
      </c>
      <c r="X1638" t="s">
        <v>44908</v>
      </c>
    </row>
    <row r="1639" spans="1:24">
      <c r="A1639">
        <f>HYPERLINK("https://www.philgeps.gov.ph/GEPSNONPILOT/Tender/SplashBidNoticeAbstractUI.aspx?menuIndex=3&amp;refID=7083655&amp;Result=3","7083655")</f>
        <v>0</v>
      </c>
      <c r="B1639" t="s">
        <v>696</v>
      </c>
      <c r="C1639" t="s">
        <v>5099</v>
      </c>
      <c r="D1639" t="s">
        <v>18118</v>
      </c>
      <c r="E1639" t="s">
        <v>19728</v>
      </c>
      <c r="F1639" t="s">
        <v>31362</v>
      </c>
      <c r="G1639" t="s">
        <v>31369</v>
      </c>
      <c r="H1639" t="s">
        <v>15799</v>
      </c>
      <c r="I1639" t="s">
        <v>3815</v>
      </c>
      <c r="J1639" t="s">
        <v>32712</v>
      </c>
      <c r="K1639" t="s">
        <v>40675</v>
      </c>
      <c r="M1639" t="s">
        <v>41661</v>
      </c>
      <c r="N1639" t="s">
        <v>44905</v>
      </c>
      <c r="O1639" t="s">
        <v>44906</v>
      </c>
      <c r="P1639">
        <v>0</v>
      </c>
      <c r="Q1639">
        <v>0</v>
      </c>
      <c r="R1639" t="s">
        <v>44907</v>
      </c>
      <c r="S1639" t="s">
        <v>45026</v>
      </c>
      <c r="T1639" t="s">
        <v>46542</v>
      </c>
      <c r="U1639" t="s">
        <v>48286</v>
      </c>
      <c r="W1639" t="s">
        <v>41661</v>
      </c>
      <c r="X1639" t="s">
        <v>44908</v>
      </c>
    </row>
    <row r="1640" spans="1:24">
      <c r="A1640">
        <f>HYPERLINK("https://www.philgeps.gov.ph/GEPSNONPILOT/Tender/SplashBidNoticeAbstractUI.aspx?menuIndex=3&amp;refID=7083651&amp;Result=3","7083651")</f>
        <v>0</v>
      </c>
      <c r="B1640" t="s">
        <v>699</v>
      </c>
      <c r="C1640" t="s">
        <v>5100</v>
      </c>
      <c r="D1640" t="s">
        <v>18148</v>
      </c>
      <c r="E1640" t="s">
        <v>18464</v>
      </c>
      <c r="F1640" t="s">
        <v>31362</v>
      </c>
      <c r="G1640" t="s">
        <v>31368</v>
      </c>
      <c r="H1640" t="s">
        <v>15799</v>
      </c>
      <c r="I1640" t="s">
        <v>31406</v>
      </c>
      <c r="J1640" t="s">
        <v>32713</v>
      </c>
      <c r="K1640" t="s">
        <v>40662</v>
      </c>
      <c r="M1640" t="s">
        <v>41664</v>
      </c>
      <c r="N1640" t="s">
        <v>44905</v>
      </c>
      <c r="O1640" t="s">
        <v>44906</v>
      </c>
      <c r="P1640">
        <v>0</v>
      </c>
      <c r="Q1640">
        <v>2</v>
      </c>
      <c r="R1640" t="s">
        <v>44907</v>
      </c>
      <c r="S1640" t="s">
        <v>45026</v>
      </c>
      <c r="T1640" t="s">
        <v>46454</v>
      </c>
      <c r="U1640" t="s">
        <v>48296</v>
      </c>
      <c r="W1640" t="s">
        <v>41664</v>
      </c>
      <c r="X1640" t="s">
        <v>44908</v>
      </c>
    </row>
    <row r="1641" spans="1:24">
      <c r="A1641">
        <f>HYPERLINK("https://www.philgeps.gov.ph/GEPSNONPILOT/Tender/SplashBidNoticeAbstractUI.aspx?menuIndex=3&amp;refID=7083649&amp;Result=3","7083649")</f>
        <v>0</v>
      </c>
      <c r="B1641" t="s">
        <v>700</v>
      </c>
      <c r="C1641" t="s">
        <v>5101</v>
      </c>
      <c r="E1641" t="s">
        <v>19729</v>
      </c>
      <c r="F1641" t="s">
        <v>31362</v>
      </c>
      <c r="G1641" t="s">
        <v>31369</v>
      </c>
      <c r="H1641" t="s">
        <v>15799</v>
      </c>
      <c r="I1641" t="s">
        <v>31393</v>
      </c>
      <c r="J1641" t="s">
        <v>32714</v>
      </c>
      <c r="K1641" t="s">
        <v>40662</v>
      </c>
      <c r="M1641" t="s">
        <v>41665</v>
      </c>
      <c r="N1641" t="s">
        <v>44905</v>
      </c>
      <c r="O1641" t="s">
        <v>44906</v>
      </c>
      <c r="P1641">
        <v>0</v>
      </c>
      <c r="Q1641">
        <v>8</v>
      </c>
      <c r="R1641" t="s">
        <v>44907</v>
      </c>
      <c r="S1641" t="s">
        <v>45026</v>
      </c>
      <c r="T1641" t="s">
        <v>46574</v>
      </c>
      <c r="U1641" t="s">
        <v>48297</v>
      </c>
      <c r="V1641" t="s">
        <v>59227</v>
      </c>
      <c r="W1641" t="s">
        <v>41665</v>
      </c>
      <c r="X1641" t="s">
        <v>44908</v>
      </c>
    </row>
    <row r="1642" spans="1:24">
      <c r="A1642">
        <f>HYPERLINK("https://www.philgeps.gov.ph/GEPSNONPILOT/Tender/SplashBidNoticeAbstractUI.aspx?menuIndex=3&amp;refID=7083647&amp;Result=3","7083647")</f>
        <v>0</v>
      </c>
      <c r="B1642" t="s">
        <v>179</v>
      </c>
      <c r="C1642" t="s">
        <v>5102</v>
      </c>
      <c r="D1642" t="s">
        <v>18155</v>
      </c>
      <c r="E1642" t="s">
        <v>19730</v>
      </c>
      <c r="F1642" t="s">
        <v>31362</v>
      </c>
      <c r="G1642" t="s">
        <v>31368</v>
      </c>
      <c r="H1642" t="s">
        <v>15799</v>
      </c>
      <c r="I1642" t="s">
        <v>7188</v>
      </c>
      <c r="J1642" t="s">
        <v>31546</v>
      </c>
      <c r="K1642" t="s">
        <v>40665</v>
      </c>
      <c r="M1642" t="s">
        <v>41209</v>
      </c>
      <c r="N1642" t="s">
        <v>44905</v>
      </c>
      <c r="O1642" t="s">
        <v>44906</v>
      </c>
      <c r="P1642">
        <v>0</v>
      </c>
      <c r="Q1642">
        <v>2</v>
      </c>
      <c r="R1642" t="s">
        <v>44907</v>
      </c>
      <c r="S1642" t="s">
        <v>45026</v>
      </c>
      <c r="T1642" t="s">
        <v>46482</v>
      </c>
      <c r="U1642" t="s">
        <v>48298</v>
      </c>
      <c r="W1642" t="s">
        <v>60842</v>
      </c>
      <c r="X1642" t="s">
        <v>44908</v>
      </c>
    </row>
    <row r="1643" spans="1:24">
      <c r="A1643">
        <f>HYPERLINK("https://www.philgeps.gov.ph/GEPSNONPILOT/Tender/SplashBidNoticeAbstractUI.aspx?menuIndex=3&amp;refID=7083646&amp;Result=3","7083646")</f>
        <v>0</v>
      </c>
      <c r="B1643" t="s">
        <v>701</v>
      </c>
      <c r="C1643" t="s">
        <v>5103</v>
      </c>
      <c r="D1643" t="s">
        <v>18172</v>
      </c>
      <c r="E1643" t="s">
        <v>19731</v>
      </c>
      <c r="F1643" t="s">
        <v>31362</v>
      </c>
      <c r="G1643" t="s">
        <v>31369</v>
      </c>
      <c r="H1643" t="s">
        <v>15799</v>
      </c>
      <c r="I1643" t="s">
        <v>3815</v>
      </c>
      <c r="J1643" t="s">
        <v>32715</v>
      </c>
      <c r="K1643" t="s">
        <v>40666</v>
      </c>
      <c r="M1643" t="s">
        <v>41666</v>
      </c>
      <c r="N1643" t="s">
        <v>44905</v>
      </c>
      <c r="O1643" t="s">
        <v>44906</v>
      </c>
      <c r="P1643">
        <v>0</v>
      </c>
      <c r="Q1643">
        <v>0</v>
      </c>
      <c r="R1643" t="s">
        <v>44907</v>
      </c>
      <c r="S1643" t="s">
        <v>45026</v>
      </c>
      <c r="T1643" t="s">
        <v>46415</v>
      </c>
      <c r="U1643" t="s">
        <v>48299</v>
      </c>
      <c r="W1643" t="s">
        <v>41666</v>
      </c>
      <c r="X1643" t="s">
        <v>44908</v>
      </c>
    </row>
    <row r="1644" spans="1:24">
      <c r="A1644">
        <f>HYPERLINK("https://www.philgeps.gov.ph/GEPSNONPILOT/Tender/SplashBidNoticeAbstractUI.aspx?menuIndex=3&amp;refID=7083619&amp;Result=3","7083619")</f>
        <v>0</v>
      </c>
      <c r="B1644" t="s">
        <v>675</v>
      </c>
      <c r="C1644" t="s">
        <v>5104</v>
      </c>
      <c r="D1644" t="s">
        <v>18111</v>
      </c>
      <c r="E1644" t="s">
        <v>19732</v>
      </c>
      <c r="F1644" t="s">
        <v>31362</v>
      </c>
      <c r="G1644" t="s">
        <v>31368</v>
      </c>
      <c r="H1644" t="s">
        <v>15799</v>
      </c>
      <c r="I1644" t="s">
        <v>7090</v>
      </c>
      <c r="J1644" t="s">
        <v>32716</v>
      </c>
      <c r="K1644" t="s">
        <v>40662</v>
      </c>
      <c r="M1644" t="s">
        <v>41637</v>
      </c>
      <c r="N1644" t="s">
        <v>44905</v>
      </c>
      <c r="O1644" t="s">
        <v>44906</v>
      </c>
      <c r="P1644">
        <v>0</v>
      </c>
      <c r="Q1644">
        <v>0</v>
      </c>
      <c r="R1644" t="s">
        <v>44907</v>
      </c>
      <c r="S1644" t="s">
        <v>45026</v>
      </c>
      <c r="T1644" t="s">
        <v>46560</v>
      </c>
      <c r="U1644" t="s">
        <v>48291</v>
      </c>
      <c r="W1644" t="s">
        <v>41637</v>
      </c>
      <c r="X1644" t="s">
        <v>44908</v>
      </c>
    </row>
    <row r="1645" spans="1:24">
      <c r="A1645">
        <f>HYPERLINK("https://www.philgeps.gov.ph/GEPSNONPILOT/Tender/SplashBidNoticeAbstractUI.aspx?menuIndex=3&amp;refID=7083641&amp;Result=3","7083641")</f>
        <v>0</v>
      </c>
      <c r="B1645" t="s">
        <v>48</v>
      </c>
      <c r="C1645" t="s">
        <v>5105</v>
      </c>
      <c r="D1645" t="s">
        <v>18117</v>
      </c>
      <c r="E1645" t="s">
        <v>19733</v>
      </c>
      <c r="F1645" t="s">
        <v>31362</v>
      </c>
      <c r="G1645" t="s">
        <v>31369</v>
      </c>
      <c r="H1645" t="s">
        <v>15799</v>
      </c>
      <c r="I1645" t="s">
        <v>31396</v>
      </c>
      <c r="J1645" t="s">
        <v>31536</v>
      </c>
      <c r="K1645" t="s">
        <v>40680</v>
      </c>
      <c r="M1645" t="s">
        <v>41068</v>
      </c>
      <c r="N1645" t="s">
        <v>44905</v>
      </c>
      <c r="O1645" t="s">
        <v>44906</v>
      </c>
      <c r="P1645">
        <v>0</v>
      </c>
      <c r="Q1645">
        <v>1</v>
      </c>
      <c r="R1645" t="s">
        <v>44907</v>
      </c>
      <c r="S1645" t="s">
        <v>45026</v>
      </c>
      <c r="T1645" t="s">
        <v>46398</v>
      </c>
      <c r="U1645" t="s">
        <v>48300</v>
      </c>
      <c r="V1645" t="s">
        <v>59085</v>
      </c>
      <c r="W1645" t="s">
        <v>41068</v>
      </c>
      <c r="X1645" t="s">
        <v>44908</v>
      </c>
    </row>
    <row r="1646" spans="1:24">
      <c r="A1646">
        <f>HYPERLINK("https://www.philgeps.gov.ph/GEPSNONPILOT/Tender/SplashBidNoticeAbstractUI.aspx?menuIndex=3&amp;refID=7083657&amp;Result=3","7083657")</f>
        <v>0</v>
      </c>
      <c r="B1646" t="s">
        <v>702</v>
      </c>
      <c r="C1646" t="s">
        <v>5106</v>
      </c>
      <c r="D1646" t="s">
        <v>18158</v>
      </c>
      <c r="E1646" t="s">
        <v>18931</v>
      </c>
      <c r="F1646" t="s">
        <v>31362</v>
      </c>
      <c r="G1646" t="s">
        <v>31370</v>
      </c>
      <c r="H1646" t="s">
        <v>15799</v>
      </c>
      <c r="I1646" t="s">
        <v>31472</v>
      </c>
      <c r="J1646" t="s">
        <v>31575</v>
      </c>
      <c r="K1646" t="s">
        <v>40697</v>
      </c>
      <c r="M1646" t="s">
        <v>41667</v>
      </c>
      <c r="N1646" t="s">
        <v>44905</v>
      </c>
      <c r="O1646" t="s">
        <v>44906</v>
      </c>
      <c r="P1646">
        <v>0</v>
      </c>
      <c r="Q1646">
        <v>0</v>
      </c>
      <c r="R1646" t="s">
        <v>44907</v>
      </c>
      <c r="S1646" t="s">
        <v>45026</v>
      </c>
      <c r="T1646" t="s">
        <v>46443</v>
      </c>
      <c r="U1646" t="s">
        <v>48301</v>
      </c>
      <c r="W1646" t="s">
        <v>41667</v>
      </c>
      <c r="X1646" t="s">
        <v>44908</v>
      </c>
    </row>
    <row r="1647" spans="1:24">
      <c r="A1647">
        <f>HYPERLINK("https://www.philgeps.gov.ph/GEPSNONPILOT/Tender/SplashBidNoticeAbstractUI.aspx?menuIndex=3&amp;refID=7083652&amp;Result=3","7083652")</f>
        <v>0</v>
      </c>
      <c r="B1647" t="s">
        <v>57</v>
      </c>
      <c r="C1647" t="s">
        <v>5107</v>
      </c>
      <c r="D1647" t="s">
        <v>18120</v>
      </c>
      <c r="E1647" t="s">
        <v>5107</v>
      </c>
      <c r="F1647" t="s">
        <v>31362</v>
      </c>
      <c r="G1647" t="s">
        <v>31368</v>
      </c>
      <c r="H1647" t="s">
        <v>15799</v>
      </c>
      <c r="I1647" t="s">
        <v>31380</v>
      </c>
      <c r="J1647" t="s">
        <v>32717</v>
      </c>
      <c r="K1647" t="s">
        <v>40661</v>
      </c>
      <c r="M1647" t="s">
        <v>41660</v>
      </c>
      <c r="N1647" t="s">
        <v>44905</v>
      </c>
      <c r="O1647" t="s">
        <v>44906</v>
      </c>
      <c r="P1647">
        <v>0</v>
      </c>
      <c r="Q1647">
        <v>0</v>
      </c>
      <c r="R1647" t="s">
        <v>44907</v>
      </c>
      <c r="S1647" t="s">
        <v>45026</v>
      </c>
      <c r="T1647" t="s">
        <v>46408</v>
      </c>
      <c r="U1647" t="s">
        <v>48283</v>
      </c>
      <c r="W1647" t="s">
        <v>41660</v>
      </c>
      <c r="X1647" t="s">
        <v>44908</v>
      </c>
    </row>
    <row r="1648" spans="1:24">
      <c r="A1648">
        <f>HYPERLINK("https://www.philgeps.gov.ph/GEPSNONPILOT/Tender/SplashBidNoticeAbstractUI.aspx?menuIndex=3&amp;refID=7083640&amp;Result=3","7083640")</f>
        <v>0</v>
      </c>
      <c r="B1648" t="s">
        <v>673</v>
      </c>
      <c r="C1648" t="s">
        <v>5108</v>
      </c>
      <c r="D1648" t="s">
        <v>18136</v>
      </c>
      <c r="E1648" t="s">
        <v>19734</v>
      </c>
      <c r="F1648" t="s">
        <v>31362</v>
      </c>
      <c r="G1648" t="s">
        <v>31369</v>
      </c>
      <c r="H1648" t="s">
        <v>31378</v>
      </c>
      <c r="I1648" t="s">
        <v>31386</v>
      </c>
      <c r="J1648" t="s">
        <v>32718</v>
      </c>
      <c r="K1648" t="s">
        <v>40679</v>
      </c>
      <c r="M1648" t="s">
        <v>41635</v>
      </c>
      <c r="N1648" t="s">
        <v>44905</v>
      </c>
      <c r="O1648" t="s">
        <v>44906</v>
      </c>
      <c r="P1648">
        <v>0</v>
      </c>
      <c r="Q1648">
        <v>0</v>
      </c>
      <c r="R1648" t="s">
        <v>44907</v>
      </c>
      <c r="S1648" t="s">
        <v>45026</v>
      </c>
      <c r="T1648" t="s">
        <v>46570</v>
      </c>
      <c r="U1648" t="s">
        <v>48302</v>
      </c>
      <c r="W1648" t="s">
        <v>41635</v>
      </c>
      <c r="X1648" t="s">
        <v>44908</v>
      </c>
    </row>
    <row r="1649" spans="1:24">
      <c r="A1649">
        <f>HYPERLINK("https://www.philgeps.gov.ph/GEPSNONPILOT/Tender/SplashBidNoticeAbstractUI.aspx?menuIndex=3&amp;refID=7083637&amp;Result=3","7083637")</f>
        <v>0</v>
      </c>
      <c r="B1649" t="s">
        <v>276</v>
      </c>
      <c r="C1649" t="s">
        <v>5109</v>
      </c>
      <c r="D1649" t="s">
        <v>18106</v>
      </c>
      <c r="E1649" t="s">
        <v>19735</v>
      </c>
      <c r="F1649" t="s">
        <v>31362</v>
      </c>
      <c r="G1649" t="s">
        <v>31368</v>
      </c>
      <c r="H1649" t="s">
        <v>15799</v>
      </c>
      <c r="I1649" t="s">
        <v>6240</v>
      </c>
      <c r="J1649" t="s">
        <v>32719</v>
      </c>
      <c r="K1649" t="s">
        <v>40661</v>
      </c>
      <c r="M1649" t="s">
        <v>41218</v>
      </c>
      <c r="N1649" t="s">
        <v>44905</v>
      </c>
      <c r="O1649" t="s">
        <v>44906</v>
      </c>
      <c r="P1649">
        <v>0</v>
      </c>
      <c r="Q1649">
        <v>0</v>
      </c>
      <c r="R1649" t="s">
        <v>44907</v>
      </c>
      <c r="S1649" t="s">
        <v>45026</v>
      </c>
      <c r="T1649" t="s">
        <v>46438</v>
      </c>
      <c r="U1649" t="s">
        <v>48303</v>
      </c>
      <c r="W1649" t="s">
        <v>41218</v>
      </c>
      <c r="X1649" t="s">
        <v>44908</v>
      </c>
    </row>
    <row r="1650" spans="1:24">
      <c r="A1650">
        <f>HYPERLINK("https://www.philgeps.gov.ph/GEPSNONPILOT/Tender/SplashBidNoticeAbstractUI.aspx?menuIndex=3&amp;refID=7083684&amp;Result=3","7083684")</f>
        <v>0</v>
      </c>
      <c r="B1650" t="s">
        <v>629</v>
      </c>
      <c r="C1650" t="s">
        <v>5110</v>
      </c>
      <c r="D1650" t="s">
        <v>18160</v>
      </c>
      <c r="E1650" t="s">
        <v>19736</v>
      </c>
      <c r="F1650" t="s">
        <v>31362</v>
      </c>
      <c r="G1650" t="s">
        <v>31369</v>
      </c>
      <c r="H1650" t="s">
        <v>15799</v>
      </c>
      <c r="I1650" t="s">
        <v>7719</v>
      </c>
      <c r="J1650" t="s">
        <v>32720</v>
      </c>
      <c r="K1650" t="s">
        <v>40682</v>
      </c>
      <c r="M1650" t="s">
        <v>41589</v>
      </c>
      <c r="N1650" t="s">
        <v>44905</v>
      </c>
      <c r="O1650" t="s">
        <v>44906</v>
      </c>
      <c r="P1650">
        <v>0</v>
      </c>
      <c r="Q1650">
        <v>10</v>
      </c>
      <c r="R1650" t="s">
        <v>44907</v>
      </c>
      <c r="S1650" t="s">
        <v>45026</v>
      </c>
      <c r="T1650" t="s">
        <v>46429</v>
      </c>
      <c r="U1650" t="s">
        <v>48304</v>
      </c>
      <c r="W1650" t="s">
        <v>41589</v>
      </c>
      <c r="X1650" t="s">
        <v>44908</v>
      </c>
    </row>
    <row r="1651" spans="1:24">
      <c r="A1651">
        <f>HYPERLINK("https://www.philgeps.gov.ph/GEPSNONPILOT/Tender/SplashBidNoticeAbstractUI.aspx?menuIndex=3&amp;refID=7083682&amp;Result=3","7083682")</f>
        <v>0</v>
      </c>
      <c r="B1651" t="s">
        <v>703</v>
      </c>
      <c r="C1651" t="s">
        <v>5111</v>
      </c>
      <c r="D1651" t="s">
        <v>18125</v>
      </c>
      <c r="E1651" t="s">
        <v>19737</v>
      </c>
      <c r="F1651" t="s">
        <v>31362</v>
      </c>
      <c r="G1651" t="s">
        <v>31369</v>
      </c>
      <c r="H1651" t="s">
        <v>15799</v>
      </c>
      <c r="I1651" t="s">
        <v>31400</v>
      </c>
      <c r="J1651" t="s">
        <v>32721</v>
      </c>
      <c r="K1651" t="s">
        <v>40662</v>
      </c>
      <c r="M1651" t="s">
        <v>41668</v>
      </c>
      <c r="N1651" t="s">
        <v>44905</v>
      </c>
      <c r="O1651" t="s">
        <v>44906</v>
      </c>
      <c r="P1651">
        <v>0</v>
      </c>
      <c r="Q1651">
        <v>0</v>
      </c>
      <c r="R1651" t="s">
        <v>44907</v>
      </c>
      <c r="S1651" t="s">
        <v>45026</v>
      </c>
      <c r="T1651" t="s">
        <v>46472</v>
      </c>
      <c r="U1651" t="s">
        <v>48305</v>
      </c>
      <c r="W1651" t="s">
        <v>41668</v>
      </c>
      <c r="X1651" t="s">
        <v>44908</v>
      </c>
    </row>
    <row r="1652" spans="1:24">
      <c r="A1652">
        <f>HYPERLINK("https://www.philgeps.gov.ph/GEPSNONPILOT/Tender/SplashBidNoticeAbstractUI.aspx?menuIndex=3&amp;refID=7083629&amp;Result=3","7083629")</f>
        <v>0</v>
      </c>
      <c r="B1652" t="s">
        <v>704</v>
      </c>
      <c r="C1652" t="s">
        <v>5112</v>
      </c>
      <c r="D1652" t="s">
        <v>18108</v>
      </c>
      <c r="E1652" t="s">
        <v>19738</v>
      </c>
      <c r="F1652" t="s">
        <v>31362</v>
      </c>
      <c r="G1652" t="s">
        <v>31371</v>
      </c>
      <c r="H1652" t="s">
        <v>15799</v>
      </c>
      <c r="I1652" t="s">
        <v>31431</v>
      </c>
      <c r="J1652" t="s">
        <v>32722</v>
      </c>
      <c r="K1652" t="s">
        <v>40662</v>
      </c>
      <c r="M1652" t="s">
        <v>41669</v>
      </c>
      <c r="N1652" t="s">
        <v>44905</v>
      </c>
      <c r="O1652" t="s">
        <v>44906</v>
      </c>
      <c r="Q1652">
        <v>6</v>
      </c>
      <c r="R1652" t="s">
        <v>44907</v>
      </c>
      <c r="S1652" t="s">
        <v>45036</v>
      </c>
      <c r="T1652" t="s">
        <v>46575</v>
      </c>
      <c r="U1652" t="s">
        <v>48306</v>
      </c>
      <c r="W1652" t="s">
        <v>41669</v>
      </c>
      <c r="X1652" t="s">
        <v>44908</v>
      </c>
    </row>
    <row r="1653" spans="1:24">
      <c r="A1653">
        <f>HYPERLINK("https://www.philgeps.gov.ph/GEPSNONPILOT/Tender/SplashBidNoticeAbstractUI.aspx?menuIndex=3&amp;refID=7083679&amp;Result=3","7083679")</f>
        <v>0</v>
      </c>
      <c r="B1653" t="s">
        <v>673</v>
      </c>
      <c r="C1653" t="s">
        <v>5113</v>
      </c>
      <c r="D1653" t="s">
        <v>18136</v>
      </c>
      <c r="E1653" t="s">
        <v>19739</v>
      </c>
      <c r="F1653" t="s">
        <v>31362</v>
      </c>
      <c r="G1653" t="s">
        <v>31369</v>
      </c>
      <c r="H1653" t="s">
        <v>31378</v>
      </c>
      <c r="I1653" t="s">
        <v>31386</v>
      </c>
      <c r="J1653" t="s">
        <v>32659</v>
      </c>
      <c r="K1653" t="s">
        <v>40679</v>
      </c>
      <c r="M1653" t="s">
        <v>41635</v>
      </c>
      <c r="N1653" t="s">
        <v>44905</v>
      </c>
      <c r="O1653" t="s">
        <v>44906</v>
      </c>
      <c r="P1653">
        <v>0</v>
      </c>
      <c r="Q1653">
        <v>0</v>
      </c>
      <c r="R1653" t="s">
        <v>44907</v>
      </c>
      <c r="S1653" t="s">
        <v>45026</v>
      </c>
      <c r="T1653" t="s">
        <v>46570</v>
      </c>
      <c r="U1653" t="s">
        <v>48232</v>
      </c>
      <c r="W1653" t="s">
        <v>41635</v>
      </c>
      <c r="X1653" t="s">
        <v>44908</v>
      </c>
    </row>
    <row r="1654" spans="1:24">
      <c r="A1654">
        <f>HYPERLINK("https://www.philgeps.gov.ph/GEPSNONPILOT/Tender/SplashBidNoticeAbstractUI.aspx?menuIndex=3&amp;refID=7083650&amp;Result=3","7083650")</f>
        <v>0</v>
      </c>
      <c r="B1654" t="s">
        <v>602</v>
      </c>
      <c r="C1654" t="s">
        <v>5114</v>
      </c>
      <c r="D1654" t="s">
        <v>18162</v>
      </c>
      <c r="E1654" t="s">
        <v>19740</v>
      </c>
      <c r="F1654" t="s">
        <v>31362</v>
      </c>
      <c r="G1654" t="s">
        <v>31369</v>
      </c>
      <c r="H1654" t="s">
        <v>31378</v>
      </c>
      <c r="I1654" t="s">
        <v>31386</v>
      </c>
      <c r="J1654" t="s">
        <v>32723</v>
      </c>
      <c r="K1654" t="s">
        <v>40682</v>
      </c>
      <c r="M1654" t="s">
        <v>41560</v>
      </c>
      <c r="N1654" t="s">
        <v>44905</v>
      </c>
      <c r="O1654" t="s">
        <v>44906</v>
      </c>
      <c r="P1654">
        <v>0</v>
      </c>
      <c r="Q1654">
        <v>0</v>
      </c>
      <c r="R1654" t="s">
        <v>44907</v>
      </c>
      <c r="S1654" t="s">
        <v>45026</v>
      </c>
      <c r="T1654" t="s">
        <v>46401</v>
      </c>
      <c r="U1654" t="s">
        <v>48307</v>
      </c>
      <c r="V1654" t="s">
        <v>59211</v>
      </c>
      <c r="W1654" t="s">
        <v>41560</v>
      </c>
      <c r="X1654" t="s">
        <v>44908</v>
      </c>
    </row>
    <row r="1655" spans="1:24">
      <c r="A1655">
        <f>HYPERLINK("https://www.philgeps.gov.ph/GEPSNONPILOT/Tender/SplashBidNoticeAbstractUI.aspx?menuIndex=3&amp;refID=7083643&amp;Result=3","7083643")</f>
        <v>0</v>
      </c>
      <c r="B1655" t="s">
        <v>298</v>
      </c>
      <c r="C1655" t="s">
        <v>5115</v>
      </c>
      <c r="D1655" t="s">
        <v>18168</v>
      </c>
      <c r="E1655" t="s">
        <v>19741</v>
      </c>
      <c r="F1655" t="s">
        <v>31362</v>
      </c>
      <c r="G1655" t="s">
        <v>31368</v>
      </c>
      <c r="H1655" t="s">
        <v>15799</v>
      </c>
      <c r="I1655" t="s">
        <v>31394</v>
      </c>
      <c r="J1655" t="s">
        <v>31546</v>
      </c>
      <c r="K1655" t="s">
        <v>40662</v>
      </c>
      <c r="M1655" t="s">
        <v>41241</v>
      </c>
      <c r="N1655" t="s">
        <v>44905</v>
      </c>
      <c r="O1655" t="s">
        <v>44906</v>
      </c>
      <c r="P1655">
        <v>0</v>
      </c>
      <c r="Q1655">
        <v>1</v>
      </c>
      <c r="R1655" t="s">
        <v>44907</v>
      </c>
      <c r="S1655" t="s">
        <v>45026</v>
      </c>
      <c r="T1655" t="s">
        <v>46506</v>
      </c>
      <c r="U1655" t="s">
        <v>48308</v>
      </c>
      <c r="W1655" t="s">
        <v>41241</v>
      </c>
      <c r="X1655" t="s">
        <v>44908</v>
      </c>
    </row>
    <row r="1656" spans="1:24">
      <c r="A1656">
        <f>HYPERLINK("https://www.philgeps.gov.ph/GEPSNONPILOT/Tender/SplashBidNoticeAbstractUI.aspx?menuIndex=3&amp;refID=7083675&amp;Result=3","7083675")</f>
        <v>0</v>
      </c>
      <c r="B1656" t="s">
        <v>705</v>
      </c>
      <c r="C1656" t="s">
        <v>5116</v>
      </c>
      <c r="D1656" t="s">
        <v>18134</v>
      </c>
      <c r="E1656" t="s">
        <v>19742</v>
      </c>
      <c r="F1656" t="s">
        <v>31362</v>
      </c>
      <c r="G1656" t="s">
        <v>31368</v>
      </c>
      <c r="H1656" t="s">
        <v>15799</v>
      </c>
      <c r="I1656" t="s">
        <v>31397</v>
      </c>
      <c r="J1656" t="s">
        <v>32724</v>
      </c>
      <c r="K1656" t="s">
        <v>40670</v>
      </c>
      <c r="M1656" t="s">
        <v>41670</v>
      </c>
      <c r="N1656" t="s">
        <v>44905</v>
      </c>
      <c r="O1656" t="s">
        <v>44906</v>
      </c>
      <c r="P1656">
        <v>0</v>
      </c>
      <c r="Q1656">
        <v>1</v>
      </c>
      <c r="R1656" t="s">
        <v>44907</v>
      </c>
      <c r="S1656" t="s">
        <v>45026</v>
      </c>
      <c r="T1656" t="s">
        <v>46411</v>
      </c>
      <c r="U1656" t="s">
        <v>48309</v>
      </c>
      <c r="W1656" t="s">
        <v>41670</v>
      </c>
      <c r="X1656" t="s">
        <v>44908</v>
      </c>
    </row>
    <row r="1657" spans="1:24">
      <c r="A1657">
        <f>HYPERLINK("https://www.philgeps.gov.ph/GEPSNONPILOT/Tender/SplashBidNoticeAbstractUI.aspx?menuIndex=3&amp;refID=7083674&amp;Result=3","7083674")</f>
        <v>0</v>
      </c>
      <c r="B1657" t="s">
        <v>303</v>
      </c>
      <c r="C1657" t="s">
        <v>5117</v>
      </c>
      <c r="D1657" t="s">
        <v>18121</v>
      </c>
      <c r="E1657" t="s">
        <v>19743</v>
      </c>
      <c r="F1657" t="s">
        <v>31362</v>
      </c>
      <c r="G1657" t="s">
        <v>31368</v>
      </c>
      <c r="H1657" t="s">
        <v>15799</v>
      </c>
      <c r="I1657" t="s">
        <v>31404</v>
      </c>
      <c r="J1657" t="s">
        <v>32725</v>
      </c>
      <c r="K1657" t="s">
        <v>40665</v>
      </c>
      <c r="M1657" t="s">
        <v>41247</v>
      </c>
      <c r="N1657" t="s">
        <v>44905</v>
      </c>
      <c r="O1657" t="s">
        <v>44906</v>
      </c>
      <c r="P1657">
        <v>0</v>
      </c>
      <c r="Q1657">
        <v>0</v>
      </c>
      <c r="R1657" t="s">
        <v>44907</v>
      </c>
      <c r="S1657" t="s">
        <v>45026</v>
      </c>
      <c r="T1657" t="s">
        <v>46409</v>
      </c>
      <c r="U1657" t="s">
        <v>48310</v>
      </c>
      <c r="W1657" t="s">
        <v>41247</v>
      </c>
      <c r="X1657" t="s">
        <v>44908</v>
      </c>
    </row>
    <row r="1658" spans="1:24">
      <c r="A1658">
        <f>HYPERLINK("https://www.philgeps.gov.ph/GEPSNONPILOT/Tender/SplashBidNoticeAbstractUI.aspx?menuIndex=3&amp;refID=7083638&amp;Result=3","7083638")</f>
        <v>0</v>
      </c>
      <c r="B1658" t="s">
        <v>667</v>
      </c>
      <c r="C1658" t="s">
        <v>5118</v>
      </c>
      <c r="D1658" t="s">
        <v>18119</v>
      </c>
      <c r="E1658" t="s">
        <v>19744</v>
      </c>
      <c r="F1658" t="s">
        <v>31362</v>
      </c>
      <c r="G1658" t="s">
        <v>31369</v>
      </c>
      <c r="H1658" t="s">
        <v>15799</v>
      </c>
      <c r="I1658" t="s">
        <v>13635</v>
      </c>
      <c r="J1658" t="s">
        <v>32726</v>
      </c>
      <c r="K1658" t="s">
        <v>40666</v>
      </c>
      <c r="M1658" t="s">
        <v>41629</v>
      </c>
      <c r="N1658" t="s">
        <v>44905</v>
      </c>
      <c r="O1658" t="s">
        <v>44906</v>
      </c>
      <c r="P1658">
        <v>0</v>
      </c>
      <c r="Q1658">
        <v>0</v>
      </c>
      <c r="R1658" t="s">
        <v>44907</v>
      </c>
      <c r="S1658" t="s">
        <v>45026</v>
      </c>
      <c r="T1658" t="s">
        <v>46479</v>
      </c>
      <c r="U1658" t="s">
        <v>48311</v>
      </c>
      <c r="W1658" t="s">
        <v>41629</v>
      </c>
      <c r="X1658" t="s">
        <v>44908</v>
      </c>
    </row>
    <row r="1659" spans="1:24">
      <c r="A1659">
        <f>HYPERLINK("https://www.philgeps.gov.ph/GEPSNONPILOT/Tender/SplashBidNoticeAbstractUI.aspx?menuIndex=3&amp;refID=7083672&amp;Result=3","7083672")</f>
        <v>0</v>
      </c>
      <c r="B1659" t="s">
        <v>91</v>
      </c>
      <c r="C1659" t="s">
        <v>4767</v>
      </c>
      <c r="D1659" t="s">
        <v>18136</v>
      </c>
      <c r="E1659" t="s">
        <v>19745</v>
      </c>
      <c r="F1659" t="s">
        <v>31362</v>
      </c>
      <c r="G1659" t="s">
        <v>31370</v>
      </c>
      <c r="H1659" t="s">
        <v>15799</v>
      </c>
      <c r="I1659" t="s">
        <v>7188</v>
      </c>
      <c r="J1659" t="s">
        <v>31564</v>
      </c>
      <c r="K1659" t="s">
        <v>40661</v>
      </c>
      <c r="M1659" t="s">
        <v>41028</v>
      </c>
      <c r="N1659" t="s">
        <v>44905</v>
      </c>
      <c r="O1659" t="s">
        <v>44906</v>
      </c>
      <c r="P1659">
        <v>0</v>
      </c>
      <c r="Q1659">
        <v>1</v>
      </c>
      <c r="R1659" t="s">
        <v>44907</v>
      </c>
      <c r="S1659" t="s">
        <v>45026</v>
      </c>
      <c r="T1659" t="s">
        <v>46411</v>
      </c>
      <c r="U1659" t="s">
        <v>48312</v>
      </c>
      <c r="W1659" t="s">
        <v>41028</v>
      </c>
      <c r="X1659" t="s">
        <v>44908</v>
      </c>
    </row>
    <row r="1660" spans="1:24">
      <c r="A1660">
        <f>HYPERLINK("https://www.philgeps.gov.ph/GEPSNONPILOT/Tender/SplashBidNoticeAbstractUI.aspx?menuIndex=3&amp;refID=7083671&amp;Result=3","7083671")</f>
        <v>0</v>
      </c>
      <c r="B1660" t="s">
        <v>706</v>
      </c>
      <c r="C1660" t="s">
        <v>5119</v>
      </c>
      <c r="D1660" t="s">
        <v>18169</v>
      </c>
      <c r="E1660" t="s">
        <v>19746</v>
      </c>
      <c r="F1660" t="s">
        <v>31362</v>
      </c>
      <c r="G1660" t="s">
        <v>31369</v>
      </c>
      <c r="H1660" t="s">
        <v>31378</v>
      </c>
      <c r="I1660" t="s">
        <v>31386</v>
      </c>
      <c r="J1660" t="s">
        <v>32727</v>
      </c>
      <c r="K1660" t="s">
        <v>40678</v>
      </c>
      <c r="M1660" t="s">
        <v>41671</v>
      </c>
      <c r="N1660" t="s">
        <v>44905</v>
      </c>
      <c r="O1660" t="s">
        <v>44906</v>
      </c>
      <c r="P1660">
        <v>0</v>
      </c>
      <c r="Q1660">
        <v>0</v>
      </c>
      <c r="R1660" t="s">
        <v>44907</v>
      </c>
      <c r="S1660" t="s">
        <v>45026</v>
      </c>
      <c r="T1660" t="s">
        <v>46413</v>
      </c>
      <c r="U1660" t="s">
        <v>48313</v>
      </c>
      <c r="W1660" t="s">
        <v>41671</v>
      </c>
      <c r="X1660" t="s">
        <v>44908</v>
      </c>
    </row>
    <row r="1661" spans="1:24">
      <c r="A1661">
        <f>HYPERLINK("https://www.philgeps.gov.ph/GEPSNONPILOT/Tender/SplashBidNoticeAbstractUI.aspx?menuIndex=3&amp;refID=7083667&amp;Result=3","7083667")</f>
        <v>0</v>
      </c>
      <c r="B1661" t="s">
        <v>643</v>
      </c>
      <c r="C1661" t="s">
        <v>5120</v>
      </c>
      <c r="D1661" t="s">
        <v>18103</v>
      </c>
      <c r="E1661" t="s">
        <v>19747</v>
      </c>
      <c r="F1661" t="s">
        <v>31362</v>
      </c>
      <c r="G1661" t="s">
        <v>31370</v>
      </c>
      <c r="H1661" t="s">
        <v>15799</v>
      </c>
      <c r="I1661" t="s">
        <v>31384</v>
      </c>
      <c r="J1661" t="s">
        <v>31998</v>
      </c>
      <c r="K1661" t="s">
        <v>40697</v>
      </c>
      <c r="M1661" t="s">
        <v>41603</v>
      </c>
      <c r="N1661" t="s">
        <v>44905</v>
      </c>
      <c r="O1661" t="s">
        <v>44906</v>
      </c>
      <c r="P1661">
        <v>0</v>
      </c>
      <c r="Q1661">
        <v>4</v>
      </c>
      <c r="R1661" t="s">
        <v>44907</v>
      </c>
      <c r="S1661" t="s">
        <v>45026</v>
      </c>
      <c r="T1661" t="s">
        <v>46414</v>
      </c>
      <c r="U1661" t="s">
        <v>48314</v>
      </c>
      <c r="W1661" t="s">
        <v>41603</v>
      </c>
      <c r="X1661" t="s">
        <v>44908</v>
      </c>
    </row>
    <row r="1662" spans="1:24">
      <c r="A1662">
        <f>HYPERLINK("https://www.philgeps.gov.ph/GEPSNONPILOT/Tender/SplashBidNoticeAbstractUI.aspx?menuIndex=3&amp;refID=7083632&amp;Result=3","7083632")</f>
        <v>0</v>
      </c>
      <c r="B1662" t="s">
        <v>707</v>
      </c>
      <c r="C1662" t="s">
        <v>5121</v>
      </c>
      <c r="D1662" t="s">
        <v>18114</v>
      </c>
      <c r="E1662" t="s">
        <v>19748</v>
      </c>
      <c r="F1662" t="s">
        <v>31362</v>
      </c>
      <c r="G1662" t="s">
        <v>31369</v>
      </c>
      <c r="H1662" t="s">
        <v>15799</v>
      </c>
      <c r="I1662" t="s">
        <v>31409</v>
      </c>
      <c r="J1662" t="s">
        <v>32728</v>
      </c>
      <c r="K1662" t="s">
        <v>40662</v>
      </c>
      <c r="M1662" t="s">
        <v>41672</v>
      </c>
      <c r="N1662" t="s">
        <v>44905</v>
      </c>
      <c r="O1662" t="s">
        <v>44906</v>
      </c>
      <c r="P1662">
        <v>0</v>
      </c>
      <c r="Q1662">
        <v>6</v>
      </c>
      <c r="R1662" t="s">
        <v>44907</v>
      </c>
      <c r="S1662" t="s">
        <v>45026</v>
      </c>
      <c r="T1662" t="s">
        <v>46576</v>
      </c>
      <c r="U1662" t="s">
        <v>48315</v>
      </c>
      <c r="W1662" t="s">
        <v>41672</v>
      </c>
      <c r="X1662" t="s">
        <v>44908</v>
      </c>
    </row>
    <row r="1663" spans="1:24">
      <c r="A1663">
        <f>HYPERLINK("https://www.philgeps.gov.ph/GEPSNONPILOT/Tender/SplashBidNoticeAbstractUI.aspx?menuIndex=3&amp;refID=7083666&amp;Result=3","7083666")</f>
        <v>0</v>
      </c>
      <c r="B1663" t="s">
        <v>697</v>
      </c>
      <c r="C1663" t="s">
        <v>5122</v>
      </c>
      <c r="D1663" t="s">
        <v>18146</v>
      </c>
      <c r="E1663" t="s">
        <v>19749</v>
      </c>
      <c r="F1663" t="s">
        <v>31364</v>
      </c>
      <c r="G1663" t="s">
        <v>31368</v>
      </c>
      <c r="H1663" t="s">
        <v>15799</v>
      </c>
      <c r="I1663" t="s">
        <v>31383</v>
      </c>
      <c r="J1663" t="s">
        <v>31545</v>
      </c>
      <c r="K1663" t="s">
        <v>40661</v>
      </c>
      <c r="M1663" t="s">
        <v>41662</v>
      </c>
      <c r="N1663" t="s">
        <v>44905</v>
      </c>
      <c r="O1663" t="s">
        <v>44906</v>
      </c>
      <c r="P1663">
        <v>0</v>
      </c>
      <c r="Q1663">
        <v>0</v>
      </c>
      <c r="R1663" t="s">
        <v>44907</v>
      </c>
      <c r="S1663" t="s">
        <v>45026</v>
      </c>
      <c r="T1663" t="s">
        <v>46415</v>
      </c>
      <c r="U1663" t="s">
        <v>48316</v>
      </c>
      <c r="W1663" t="s">
        <v>41662</v>
      </c>
      <c r="X1663" t="s">
        <v>44908</v>
      </c>
    </row>
    <row r="1664" spans="1:24">
      <c r="A1664">
        <f>HYPERLINK("https://www.philgeps.gov.ph/GEPSNONPILOT/Tender/SplashBidNoticeAbstractUI.aspx?menuIndex=3&amp;refID=7083664&amp;Result=3","7083664")</f>
        <v>0</v>
      </c>
      <c r="B1664" t="s">
        <v>708</v>
      </c>
      <c r="C1664" t="s">
        <v>5123</v>
      </c>
      <c r="D1664" t="s">
        <v>18124</v>
      </c>
      <c r="E1664" t="s">
        <v>19750</v>
      </c>
      <c r="F1664" t="s">
        <v>31362</v>
      </c>
      <c r="G1664" t="s">
        <v>31369</v>
      </c>
      <c r="H1664" t="s">
        <v>31378</v>
      </c>
      <c r="I1664" t="s">
        <v>31386</v>
      </c>
      <c r="J1664" t="s">
        <v>31591</v>
      </c>
      <c r="K1664" t="s">
        <v>40661</v>
      </c>
      <c r="M1664" t="s">
        <v>41673</v>
      </c>
      <c r="N1664" t="s">
        <v>44905</v>
      </c>
      <c r="O1664" t="s">
        <v>44906</v>
      </c>
      <c r="P1664">
        <v>0</v>
      </c>
      <c r="Q1664">
        <v>0</v>
      </c>
      <c r="R1664" t="s">
        <v>44907</v>
      </c>
      <c r="S1664" t="s">
        <v>45026</v>
      </c>
      <c r="T1664" t="s">
        <v>46525</v>
      </c>
      <c r="U1664" t="s">
        <v>48317</v>
      </c>
      <c r="W1664" t="s">
        <v>41673</v>
      </c>
      <c r="X1664" t="s">
        <v>44908</v>
      </c>
    </row>
    <row r="1665" spans="1:24">
      <c r="A1665">
        <f>HYPERLINK("https://www.philgeps.gov.ph/GEPSNONPILOT/Tender/SplashBidNoticeAbstractUI.aspx?menuIndex=3&amp;refID=7083663&amp;Result=3","7083663")</f>
        <v>0</v>
      </c>
      <c r="B1665" t="s">
        <v>636</v>
      </c>
      <c r="C1665" t="s">
        <v>5124</v>
      </c>
      <c r="D1665" t="s">
        <v>18122</v>
      </c>
      <c r="E1665" t="s">
        <v>19751</v>
      </c>
      <c r="F1665" t="s">
        <v>31363</v>
      </c>
      <c r="G1665" t="s">
        <v>31368</v>
      </c>
      <c r="H1665" t="s">
        <v>31379</v>
      </c>
      <c r="I1665" t="s">
        <v>4057</v>
      </c>
      <c r="J1665" t="s">
        <v>31993</v>
      </c>
      <c r="K1665" t="s">
        <v>40670</v>
      </c>
      <c r="M1665" t="s">
        <v>41596</v>
      </c>
      <c r="N1665" t="s">
        <v>44905</v>
      </c>
      <c r="O1665" t="s">
        <v>44906</v>
      </c>
      <c r="P1665">
        <v>0</v>
      </c>
      <c r="Q1665">
        <v>0</v>
      </c>
      <c r="R1665" t="s">
        <v>44907</v>
      </c>
      <c r="S1665" t="s">
        <v>45026</v>
      </c>
      <c r="T1665" t="s">
        <v>46417</v>
      </c>
      <c r="U1665" t="s">
        <v>48318</v>
      </c>
      <c r="V1665" t="s">
        <v>59218</v>
      </c>
      <c r="W1665" t="s">
        <v>41596</v>
      </c>
      <c r="X1665" t="s">
        <v>44908</v>
      </c>
    </row>
    <row r="1666" spans="1:24">
      <c r="A1666">
        <f>HYPERLINK("https://www.philgeps.gov.ph/GEPSNONPILOT/Tender/SplashBidNoticeAbstractUI.aspx?menuIndex=3&amp;refID=7083639&amp;Result=3","7083639")</f>
        <v>0</v>
      </c>
      <c r="B1666" t="s">
        <v>709</v>
      </c>
      <c r="C1666" t="s">
        <v>5125</v>
      </c>
      <c r="E1666" t="s">
        <v>19752</v>
      </c>
      <c r="F1666" t="s">
        <v>31362</v>
      </c>
      <c r="G1666" t="s">
        <v>31368</v>
      </c>
      <c r="H1666" t="s">
        <v>15799</v>
      </c>
      <c r="I1666" t="s">
        <v>31422</v>
      </c>
      <c r="J1666" t="s">
        <v>32729</v>
      </c>
      <c r="K1666" t="s">
        <v>40662</v>
      </c>
      <c r="M1666" t="s">
        <v>41674</v>
      </c>
      <c r="N1666" t="s">
        <v>44905</v>
      </c>
      <c r="O1666" t="s">
        <v>44906</v>
      </c>
      <c r="P1666">
        <v>0</v>
      </c>
      <c r="Q1666">
        <v>2</v>
      </c>
      <c r="R1666" t="s">
        <v>44907</v>
      </c>
      <c r="S1666" t="s">
        <v>45026</v>
      </c>
      <c r="T1666" t="s">
        <v>46435</v>
      </c>
      <c r="U1666" t="s">
        <v>48319</v>
      </c>
      <c r="W1666" t="s">
        <v>41674</v>
      </c>
      <c r="X1666" t="s">
        <v>44908</v>
      </c>
    </row>
    <row r="1667" spans="1:24">
      <c r="A1667">
        <f>HYPERLINK("https://www.philgeps.gov.ph/GEPSNONPILOT/Tender/SplashBidNoticeAbstractUI.aspx?menuIndex=3&amp;refID=7083678&amp;Result=3","7083678")</f>
        <v>0</v>
      </c>
      <c r="B1667" t="s">
        <v>561</v>
      </c>
      <c r="C1667" t="s">
        <v>5126</v>
      </c>
      <c r="D1667" t="s">
        <v>18124</v>
      </c>
      <c r="E1667" t="s">
        <v>19753</v>
      </c>
      <c r="F1667" t="s">
        <v>31362</v>
      </c>
      <c r="G1667" t="s">
        <v>31369</v>
      </c>
      <c r="H1667" t="s">
        <v>15799</v>
      </c>
      <c r="I1667" t="s">
        <v>31422</v>
      </c>
      <c r="J1667" t="s">
        <v>32730</v>
      </c>
      <c r="K1667" t="s">
        <v>40670</v>
      </c>
      <c r="M1667" t="s">
        <v>41517</v>
      </c>
      <c r="N1667" t="s">
        <v>44905</v>
      </c>
      <c r="O1667" t="s">
        <v>44906</v>
      </c>
      <c r="P1667">
        <v>0</v>
      </c>
      <c r="Q1667">
        <v>2</v>
      </c>
      <c r="R1667" t="s">
        <v>44907</v>
      </c>
      <c r="S1667" t="s">
        <v>45026</v>
      </c>
      <c r="T1667" t="s">
        <v>46553</v>
      </c>
      <c r="U1667" t="s">
        <v>48320</v>
      </c>
      <c r="W1667" t="s">
        <v>41517</v>
      </c>
      <c r="X1667" t="s">
        <v>44908</v>
      </c>
    </row>
    <row r="1668" spans="1:24">
      <c r="A1668">
        <f>HYPERLINK("https://www.philgeps.gov.ph/GEPSNONPILOT/Tender/SplashBidNoticeAbstractUI.aspx?menuIndex=3&amp;refID=7083685&amp;Result=3","7083685")</f>
        <v>0</v>
      </c>
      <c r="B1668" t="s">
        <v>273</v>
      </c>
      <c r="C1668" t="s">
        <v>5127</v>
      </c>
      <c r="D1668" t="s">
        <v>18108</v>
      </c>
      <c r="E1668" t="s">
        <v>19754</v>
      </c>
      <c r="F1668" t="s">
        <v>31362</v>
      </c>
      <c r="G1668" t="s">
        <v>31370</v>
      </c>
      <c r="H1668" t="s">
        <v>15799</v>
      </c>
      <c r="I1668" t="s">
        <v>7719</v>
      </c>
      <c r="J1668" t="s">
        <v>32731</v>
      </c>
      <c r="K1668" t="s">
        <v>40666</v>
      </c>
      <c r="M1668" t="s">
        <v>41215</v>
      </c>
      <c r="N1668" t="s">
        <v>44905</v>
      </c>
      <c r="O1668" t="s">
        <v>44906</v>
      </c>
      <c r="P1668">
        <v>0</v>
      </c>
      <c r="Q1668">
        <v>5</v>
      </c>
      <c r="R1668" t="s">
        <v>44907</v>
      </c>
      <c r="S1668" t="s">
        <v>45026</v>
      </c>
      <c r="T1668" t="s">
        <v>46410</v>
      </c>
      <c r="U1668" t="s">
        <v>48321</v>
      </c>
      <c r="V1668" t="s">
        <v>59142</v>
      </c>
      <c r="W1668" t="s">
        <v>60844</v>
      </c>
      <c r="X1668" t="s">
        <v>44908</v>
      </c>
    </row>
    <row r="1669" spans="1:24">
      <c r="A1669">
        <f>HYPERLINK("https://www.philgeps.gov.ph/GEPSNONPILOT/Tender/SplashBidNoticeAbstractUI.aspx?menuIndex=3&amp;refID=7083721&amp;Result=3","7083721")</f>
        <v>0</v>
      </c>
      <c r="B1669" t="s">
        <v>234</v>
      </c>
      <c r="C1669" t="s">
        <v>5128</v>
      </c>
      <c r="D1669" t="s">
        <v>18108</v>
      </c>
      <c r="E1669" t="s">
        <v>19755</v>
      </c>
      <c r="F1669" t="s">
        <v>31362</v>
      </c>
      <c r="G1669" t="s">
        <v>31368</v>
      </c>
      <c r="H1669" t="s">
        <v>15799</v>
      </c>
      <c r="I1669" t="s">
        <v>6373</v>
      </c>
      <c r="J1669" t="s">
        <v>32732</v>
      </c>
      <c r="K1669" t="s">
        <v>40675</v>
      </c>
      <c r="M1669" t="s">
        <v>41173</v>
      </c>
      <c r="N1669" t="s">
        <v>44905</v>
      </c>
      <c r="O1669" t="s">
        <v>44906</v>
      </c>
      <c r="P1669">
        <v>0</v>
      </c>
      <c r="Q1669">
        <v>4</v>
      </c>
      <c r="R1669" t="s">
        <v>44907</v>
      </c>
      <c r="S1669" t="s">
        <v>45026</v>
      </c>
      <c r="T1669" t="s">
        <v>46493</v>
      </c>
      <c r="U1669" t="s">
        <v>48322</v>
      </c>
      <c r="W1669" t="s">
        <v>41173</v>
      </c>
      <c r="X1669" t="s">
        <v>44908</v>
      </c>
    </row>
    <row r="1670" spans="1:24">
      <c r="A1670">
        <f>HYPERLINK("https://www.philgeps.gov.ph/GEPSNONPILOT/Tender/SplashBidNoticeAbstractUI.aspx?menuIndex=3&amp;refID=7083668&amp;Result=3","7083668")</f>
        <v>0</v>
      </c>
      <c r="B1670" t="s">
        <v>710</v>
      </c>
      <c r="C1670" t="s">
        <v>5129</v>
      </c>
      <c r="D1670" t="s">
        <v>18139</v>
      </c>
      <c r="E1670" t="s">
        <v>19756</v>
      </c>
      <c r="F1670" t="s">
        <v>31362</v>
      </c>
      <c r="G1670" t="s">
        <v>31368</v>
      </c>
      <c r="H1670" t="s">
        <v>15799</v>
      </c>
      <c r="I1670" t="s">
        <v>7188</v>
      </c>
      <c r="J1670" t="s">
        <v>32733</v>
      </c>
      <c r="K1670" t="s">
        <v>40662</v>
      </c>
      <c r="M1670" t="s">
        <v>41675</v>
      </c>
      <c r="N1670" t="s">
        <v>44905</v>
      </c>
      <c r="O1670" t="s">
        <v>44906</v>
      </c>
      <c r="P1670">
        <v>0</v>
      </c>
      <c r="Q1670">
        <v>0</v>
      </c>
      <c r="R1670" t="s">
        <v>44907</v>
      </c>
      <c r="S1670" t="s">
        <v>45026</v>
      </c>
      <c r="T1670" t="s">
        <v>46412</v>
      </c>
      <c r="U1670" t="s">
        <v>48323</v>
      </c>
      <c r="W1670" t="s">
        <v>41675</v>
      </c>
      <c r="X1670" t="s">
        <v>44908</v>
      </c>
    </row>
    <row r="1671" spans="1:24">
      <c r="A1671">
        <f>HYPERLINK("https://www.philgeps.gov.ph/GEPSNONPILOT/Tender/SplashBidNoticeAbstractUI.aspx?menuIndex=3&amp;refID=7083676&amp;Result=3","7083676")</f>
        <v>0</v>
      </c>
      <c r="B1671" t="s">
        <v>711</v>
      </c>
      <c r="C1671" t="s">
        <v>5130</v>
      </c>
      <c r="D1671" t="s">
        <v>18148</v>
      </c>
      <c r="E1671" t="s">
        <v>19757</v>
      </c>
      <c r="F1671" t="s">
        <v>31362</v>
      </c>
      <c r="G1671" t="s">
        <v>31368</v>
      </c>
      <c r="H1671" t="s">
        <v>15799</v>
      </c>
      <c r="I1671" t="s">
        <v>31399</v>
      </c>
      <c r="J1671" t="s">
        <v>31575</v>
      </c>
      <c r="K1671" t="s">
        <v>40670</v>
      </c>
      <c r="M1671" t="s">
        <v>41676</v>
      </c>
      <c r="N1671" t="s">
        <v>44905</v>
      </c>
      <c r="O1671" t="s">
        <v>44906</v>
      </c>
      <c r="P1671">
        <v>0</v>
      </c>
      <c r="Q1671">
        <v>1</v>
      </c>
      <c r="R1671" t="s">
        <v>44907</v>
      </c>
      <c r="S1671" t="s">
        <v>45026</v>
      </c>
      <c r="T1671" t="s">
        <v>46414</v>
      </c>
      <c r="U1671" t="s">
        <v>48324</v>
      </c>
      <c r="W1671" t="s">
        <v>41676</v>
      </c>
      <c r="X1671" t="s">
        <v>44908</v>
      </c>
    </row>
    <row r="1672" spans="1:24">
      <c r="A1672">
        <f>HYPERLINK("https://www.philgeps.gov.ph/GEPSNONPILOT/Tender/SplashBidNoticeAbstractUI.aspx?menuIndex=3&amp;refID=7083719&amp;Result=3","7083719")</f>
        <v>0</v>
      </c>
      <c r="B1672" t="s">
        <v>462</v>
      </c>
      <c r="C1672" t="s">
        <v>5131</v>
      </c>
      <c r="D1672" t="s">
        <v>18150</v>
      </c>
      <c r="E1672" t="s">
        <v>19758</v>
      </c>
      <c r="F1672" t="s">
        <v>31362</v>
      </c>
      <c r="G1672" t="s">
        <v>31368</v>
      </c>
      <c r="H1672" t="s">
        <v>15799</v>
      </c>
      <c r="I1672" t="s">
        <v>7719</v>
      </c>
      <c r="J1672" t="s">
        <v>31806</v>
      </c>
      <c r="K1672" t="s">
        <v>40665</v>
      </c>
      <c r="M1672" t="s">
        <v>41416</v>
      </c>
      <c r="N1672" t="s">
        <v>44905</v>
      </c>
      <c r="O1672" t="s">
        <v>44906</v>
      </c>
      <c r="P1672">
        <v>0</v>
      </c>
      <c r="Q1672">
        <v>6</v>
      </c>
      <c r="R1672" t="s">
        <v>44907</v>
      </c>
      <c r="S1672" t="s">
        <v>45026</v>
      </c>
      <c r="T1672" t="s">
        <v>46540</v>
      </c>
      <c r="U1672" t="s">
        <v>48325</v>
      </c>
      <c r="W1672" t="s">
        <v>60855</v>
      </c>
      <c r="X1672" t="s">
        <v>44908</v>
      </c>
    </row>
    <row r="1673" spans="1:24">
      <c r="A1673">
        <f>HYPERLINK("https://www.philgeps.gov.ph/GEPSNONPILOT/Tender/SplashBidNoticeAbstractUI.aspx?menuIndex=3&amp;refID=7083712&amp;Result=3","7083712")</f>
        <v>0</v>
      </c>
      <c r="B1673" t="s">
        <v>561</v>
      </c>
      <c r="C1673" t="s">
        <v>5132</v>
      </c>
      <c r="D1673" t="s">
        <v>18124</v>
      </c>
      <c r="E1673" t="s">
        <v>19128</v>
      </c>
      <c r="F1673" t="s">
        <v>31362</v>
      </c>
      <c r="G1673" t="s">
        <v>31369</v>
      </c>
      <c r="H1673" t="s">
        <v>31378</v>
      </c>
      <c r="I1673" t="s">
        <v>31386</v>
      </c>
      <c r="J1673" t="s">
        <v>31536</v>
      </c>
      <c r="K1673" t="s">
        <v>40682</v>
      </c>
      <c r="M1673" t="s">
        <v>41517</v>
      </c>
      <c r="N1673" t="s">
        <v>44905</v>
      </c>
      <c r="O1673" t="s">
        <v>44906</v>
      </c>
      <c r="P1673">
        <v>0</v>
      </c>
      <c r="Q1673">
        <v>1</v>
      </c>
      <c r="R1673" t="s">
        <v>44907</v>
      </c>
      <c r="S1673" t="s">
        <v>45026</v>
      </c>
      <c r="T1673" t="s">
        <v>46474</v>
      </c>
      <c r="U1673" t="s">
        <v>48326</v>
      </c>
      <c r="W1673" t="s">
        <v>41517</v>
      </c>
      <c r="X1673" t="s">
        <v>44908</v>
      </c>
    </row>
    <row r="1674" spans="1:24">
      <c r="A1674">
        <f>HYPERLINK("https://www.philgeps.gov.ph/GEPSNONPILOT/Tender/SplashBidNoticeAbstractUI.aspx?menuIndex=3&amp;refID=7083673&amp;Result=3","7083673")</f>
        <v>0</v>
      </c>
      <c r="B1674" t="s">
        <v>712</v>
      </c>
      <c r="C1674" t="s">
        <v>5133</v>
      </c>
      <c r="D1674" t="s">
        <v>18170</v>
      </c>
      <c r="E1674" t="s">
        <v>18464</v>
      </c>
      <c r="F1674" t="s">
        <v>31362</v>
      </c>
      <c r="G1674" t="s">
        <v>31371</v>
      </c>
      <c r="H1674" t="s">
        <v>15799</v>
      </c>
      <c r="I1674" t="s">
        <v>6373</v>
      </c>
      <c r="J1674" t="s">
        <v>32734</v>
      </c>
      <c r="K1674" t="s">
        <v>40662</v>
      </c>
      <c r="M1674" t="s">
        <v>41677</v>
      </c>
      <c r="N1674" t="s">
        <v>44905</v>
      </c>
      <c r="O1674" t="s">
        <v>44906</v>
      </c>
      <c r="P1674">
        <v>0</v>
      </c>
      <c r="Q1674">
        <v>0</v>
      </c>
      <c r="R1674" t="s">
        <v>44907</v>
      </c>
      <c r="S1674" t="s">
        <v>45026</v>
      </c>
      <c r="T1674" t="s">
        <v>46454</v>
      </c>
      <c r="U1674" t="s">
        <v>47435</v>
      </c>
      <c r="W1674" t="s">
        <v>41677</v>
      </c>
      <c r="X1674" t="s">
        <v>44908</v>
      </c>
    </row>
    <row r="1675" spans="1:24">
      <c r="A1675">
        <f>HYPERLINK("https://www.philgeps.gov.ph/GEPSNONPILOT/Tender/SplashBidNoticeAbstractUI.aspx?menuIndex=3&amp;refID=7083707&amp;Result=3","7083707")</f>
        <v>0</v>
      </c>
      <c r="B1675" t="s">
        <v>673</v>
      </c>
      <c r="C1675" t="s">
        <v>5134</v>
      </c>
      <c r="D1675" t="s">
        <v>18136</v>
      </c>
      <c r="E1675" t="s">
        <v>19759</v>
      </c>
      <c r="F1675" t="s">
        <v>31362</v>
      </c>
      <c r="G1675" t="s">
        <v>31369</v>
      </c>
      <c r="H1675" t="s">
        <v>15799</v>
      </c>
      <c r="I1675" t="s">
        <v>3815</v>
      </c>
      <c r="J1675" t="s">
        <v>32735</v>
      </c>
      <c r="K1675" t="s">
        <v>40679</v>
      </c>
      <c r="M1675" t="s">
        <v>41635</v>
      </c>
      <c r="N1675" t="s">
        <v>44905</v>
      </c>
      <c r="O1675" t="s">
        <v>44906</v>
      </c>
      <c r="P1675">
        <v>0</v>
      </c>
      <c r="Q1675">
        <v>0</v>
      </c>
      <c r="R1675" t="s">
        <v>44907</v>
      </c>
      <c r="S1675" t="s">
        <v>45026</v>
      </c>
      <c r="T1675" t="s">
        <v>46570</v>
      </c>
      <c r="U1675" t="s">
        <v>48327</v>
      </c>
      <c r="W1675" t="s">
        <v>41635</v>
      </c>
      <c r="X1675" t="s">
        <v>44908</v>
      </c>
    </row>
    <row r="1676" spans="1:24">
      <c r="A1676">
        <f>HYPERLINK("https://www.philgeps.gov.ph/GEPSNONPILOT/Tender/SplashBidNoticeAbstractUI.aspx?menuIndex=3&amp;refID=7083706&amp;Result=3","7083706")</f>
        <v>0</v>
      </c>
      <c r="B1676" t="s">
        <v>378</v>
      </c>
      <c r="C1676" t="s">
        <v>5135</v>
      </c>
      <c r="D1676" t="s">
        <v>18156</v>
      </c>
      <c r="E1676" t="s">
        <v>19760</v>
      </c>
      <c r="F1676" t="s">
        <v>31362</v>
      </c>
      <c r="G1676" t="s">
        <v>31369</v>
      </c>
      <c r="H1676" t="s">
        <v>31379</v>
      </c>
      <c r="I1676" t="s">
        <v>31473</v>
      </c>
      <c r="J1676" t="s">
        <v>32736</v>
      </c>
      <c r="K1676" t="s">
        <v>40665</v>
      </c>
      <c r="M1676" t="s">
        <v>41350</v>
      </c>
      <c r="N1676" t="s">
        <v>44905</v>
      </c>
      <c r="O1676" t="s">
        <v>44906</v>
      </c>
      <c r="P1676">
        <v>0</v>
      </c>
      <c r="Q1676">
        <v>2</v>
      </c>
      <c r="R1676" t="s">
        <v>44907</v>
      </c>
      <c r="S1676" t="s">
        <v>45026</v>
      </c>
      <c r="T1676" t="s">
        <v>46396</v>
      </c>
      <c r="U1676" t="s">
        <v>48328</v>
      </c>
      <c r="W1676" t="s">
        <v>41350</v>
      </c>
      <c r="X1676" t="s">
        <v>44908</v>
      </c>
    </row>
    <row r="1677" spans="1:24">
      <c r="A1677">
        <f>HYPERLINK("https://www.philgeps.gov.ph/GEPSNONPILOT/Tender/SplashBidNoticeAbstractUI.aspx?menuIndex=3&amp;refID=7083705&amp;Result=3","7083705")</f>
        <v>0</v>
      </c>
      <c r="B1677" t="s">
        <v>696</v>
      </c>
      <c r="C1677" t="s">
        <v>5136</v>
      </c>
      <c r="D1677" t="s">
        <v>18118</v>
      </c>
      <c r="E1677" t="s">
        <v>19761</v>
      </c>
      <c r="F1677" t="s">
        <v>31362</v>
      </c>
      <c r="G1677" t="s">
        <v>31369</v>
      </c>
      <c r="H1677" t="s">
        <v>15799</v>
      </c>
      <c r="I1677" t="s">
        <v>3815</v>
      </c>
      <c r="J1677" t="s">
        <v>32737</v>
      </c>
      <c r="K1677" t="s">
        <v>40675</v>
      </c>
      <c r="M1677" t="s">
        <v>41661</v>
      </c>
      <c r="N1677" t="s">
        <v>44905</v>
      </c>
      <c r="O1677" t="s">
        <v>44906</v>
      </c>
      <c r="P1677">
        <v>0</v>
      </c>
      <c r="Q1677">
        <v>0</v>
      </c>
      <c r="R1677" t="s">
        <v>44907</v>
      </c>
      <c r="S1677" t="s">
        <v>45026</v>
      </c>
      <c r="T1677" t="s">
        <v>46542</v>
      </c>
      <c r="U1677" t="s">
        <v>48329</v>
      </c>
      <c r="W1677" t="s">
        <v>41661</v>
      </c>
      <c r="X1677" t="s">
        <v>44908</v>
      </c>
    </row>
    <row r="1678" spans="1:24">
      <c r="A1678">
        <f>HYPERLINK("https://www.philgeps.gov.ph/GEPSNONPILOT/Tender/SplashBidNoticeAbstractUI.aspx?menuIndex=3&amp;refID=7083703&amp;Result=3","7083703")</f>
        <v>0</v>
      </c>
      <c r="B1678" t="s">
        <v>514</v>
      </c>
      <c r="C1678" t="s">
        <v>5137</v>
      </c>
      <c r="E1678" t="s">
        <v>19762</v>
      </c>
      <c r="F1678" t="s">
        <v>31362</v>
      </c>
      <c r="G1678" t="s">
        <v>31369</v>
      </c>
      <c r="H1678" t="s">
        <v>31378</v>
      </c>
      <c r="I1678" t="s">
        <v>31386</v>
      </c>
      <c r="J1678" t="s">
        <v>32738</v>
      </c>
      <c r="K1678" t="s">
        <v>40662</v>
      </c>
      <c r="M1678" t="s">
        <v>41469</v>
      </c>
      <c r="N1678" t="s">
        <v>44905</v>
      </c>
      <c r="O1678" t="s">
        <v>44906</v>
      </c>
      <c r="P1678">
        <v>0</v>
      </c>
      <c r="Q1678">
        <v>0</v>
      </c>
      <c r="R1678" t="s">
        <v>44907</v>
      </c>
      <c r="S1678" t="s">
        <v>45026</v>
      </c>
      <c r="T1678" t="s">
        <v>46449</v>
      </c>
      <c r="U1678" t="s">
        <v>48330</v>
      </c>
      <c r="W1678" t="s">
        <v>60866</v>
      </c>
      <c r="X1678" t="s">
        <v>44908</v>
      </c>
    </row>
    <row r="1679" spans="1:24">
      <c r="A1679">
        <f>HYPERLINK("https://www.philgeps.gov.ph/GEPSNONPILOT/Tender/SplashBidNoticeAbstractUI.aspx?menuIndex=3&amp;refID=7083701&amp;Result=3","7083701")</f>
        <v>0</v>
      </c>
      <c r="B1679" t="s">
        <v>708</v>
      </c>
      <c r="C1679" t="s">
        <v>5138</v>
      </c>
      <c r="D1679" t="s">
        <v>18124</v>
      </c>
      <c r="E1679" t="s">
        <v>19750</v>
      </c>
      <c r="F1679" t="s">
        <v>31362</v>
      </c>
      <c r="G1679" t="s">
        <v>31369</v>
      </c>
      <c r="H1679" t="s">
        <v>31378</v>
      </c>
      <c r="I1679" t="s">
        <v>31386</v>
      </c>
      <c r="J1679" t="s">
        <v>31578</v>
      </c>
      <c r="K1679" t="s">
        <v>40661</v>
      </c>
      <c r="M1679" t="s">
        <v>41673</v>
      </c>
      <c r="N1679" t="s">
        <v>44905</v>
      </c>
      <c r="O1679" t="s">
        <v>44906</v>
      </c>
      <c r="P1679">
        <v>0</v>
      </c>
      <c r="Q1679">
        <v>0</v>
      </c>
      <c r="R1679" t="s">
        <v>44907</v>
      </c>
      <c r="S1679" t="s">
        <v>45026</v>
      </c>
      <c r="T1679" t="s">
        <v>46525</v>
      </c>
      <c r="U1679" t="s">
        <v>48317</v>
      </c>
      <c r="W1679" t="s">
        <v>41673</v>
      </c>
      <c r="X1679" t="s">
        <v>44908</v>
      </c>
    </row>
    <row r="1680" spans="1:24">
      <c r="A1680">
        <f>HYPERLINK("https://www.philgeps.gov.ph/GEPSNONPILOT/Tender/SplashBidNoticeAbstractUI.aspx?menuIndex=3&amp;refID=7083680&amp;Result=3","7083680")</f>
        <v>0</v>
      </c>
      <c r="B1680" t="s">
        <v>207</v>
      </c>
      <c r="C1680" t="s">
        <v>5139</v>
      </c>
      <c r="D1680" t="s">
        <v>18127</v>
      </c>
      <c r="E1680" t="s">
        <v>19763</v>
      </c>
      <c r="F1680" t="s">
        <v>31362</v>
      </c>
      <c r="G1680" t="s">
        <v>31368</v>
      </c>
      <c r="H1680" t="s">
        <v>15799</v>
      </c>
      <c r="I1680" t="s">
        <v>31382</v>
      </c>
      <c r="J1680" t="s">
        <v>32115</v>
      </c>
      <c r="K1680" t="s">
        <v>40661</v>
      </c>
      <c r="M1680" t="s">
        <v>41146</v>
      </c>
      <c r="N1680" t="s">
        <v>44905</v>
      </c>
      <c r="O1680" t="s">
        <v>44906</v>
      </c>
      <c r="P1680">
        <v>0</v>
      </c>
      <c r="Q1680">
        <v>2</v>
      </c>
      <c r="R1680" t="s">
        <v>44907</v>
      </c>
      <c r="S1680" t="s">
        <v>45026</v>
      </c>
      <c r="T1680" t="s">
        <v>46417</v>
      </c>
      <c r="U1680" t="s">
        <v>48331</v>
      </c>
      <c r="V1680" t="s">
        <v>59100</v>
      </c>
      <c r="W1680" t="s">
        <v>41146</v>
      </c>
      <c r="X1680" t="s">
        <v>44908</v>
      </c>
    </row>
    <row r="1681" spans="1:24">
      <c r="A1681">
        <f>HYPERLINK("https://www.philgeps.gov.ph/GEPSNONPILOT/Tender/SplashBidNoticeAbstractUI.aspx?menuIndex=3&amp;refID=7083700&amp;Result=3","7083700")</f>
        <v>0</v>
      </c>
      <c r="B1681" t="s">
        <v>179</v>
      </c>
      <c r="C1681" t="s">
        <v>5140</v>
      </c>
      <c r="D1681" t="s">
        <v>18155</v>
      </c>
      <c r="E1681" t="s">
        <v>19764</v>
      </c>
      <c r="F1681" t="s">
        <v>31362</v>
      </c>
      <c r="G1681" t="s">
        <v>31368</v>
      </c>
      <c r="H1681" t="s">
        <v>15799</v>
      </c>
      <c r="I1681" t="s">
        <v>7188</v>
      </c>
      <c r="J1681" t="s">
        <v>32739</v>
      </c>
      <c r="K1681" t="s">
        <v>40665</v>
      </c>
      <c r="M1681" t="s">
        <v>41209</v>
      </c>
      <c r="N1681" t="s">
        <v>44905</v>
      </c>
      <c r="O1681" t="s">
        <v>44906</v>
      </c>
      <c r="P1681">
        <v>0</v>
      </c>
      <c r="Q1681">
        <v>1</v>
      </c>
      <c r="R1681" t="s">
        <v>44907</v>
      </c>
      <c r="S1681" t="s">
        <v>45026</v>
      </c>
      <c r="T1681" t="s">
        <v>46482</v>
      </c>
      <c r="U1681" t="s">
        <v>48298</v>
      </c>
      <c r="W1681" t="s">
        <v>60842</v>
      </c>
      <c r="X1681" t="s">
        <v>44908</v>
      </c>
    </row>
    <row r="1682" spans="1:24">
      <c r="A1682">
        <f>HYPERLINK("https://www.philgeps.gov.ph/GEPSNONPILOT/Tender/SplashBidNoticeAbstractUI.aspx?menuIndex=3&amp;refID=7083699&amp;Result=3","7083699")</f>
        <v>0</v>
      </c>
      <c r="B1682" t="s">
        <v>713</v>
      </c>
      <c r="C1682" t="s">
        <v>5141</v>
      </c>
      <c r="D1682" t="s">
        <v>18108</v>
      </c>
      <c r="E1682" t="s">
        <v>19765</v>
      </c>
      <c r="F1682" t="s">
        <v>31362</v>
      </c>
      <c r="G1682" t="s">
        <v>31368</v>
      </c>
      <c r="H1682" t="s">
        <v>15799</v>
      </c>
      <c r="I1682" t="s">
        <v>31419</v>
      </c>
      <c r="J1682" t="s">
        <v>31575</v>
      </c>
      <c r="K1682" t="s">
        <v>40661</v>
      </c>
      <c r="M1682" t="s">
        <v>41678</v>
      </c>
      <c r="N1682" t="s">
        <v>44905</v>
      </c>
      <c r="O1682" t="s">
        <v>44906</v>
      </c>
      <c r="P1682">
        <v>0</v>
      </c>
      <c r="Q1682">
        <v>3</v>
      </c>
      <c r="R1682" t="s">
        <v>44907</v>
      </c>
      <c r="S1682" t="s">
        <v>45026</v>
      </c>
      <c r="T1682" t="s">
        <v>46505</v>
      </c>
      <c r="U1682" t="s">
        <v>48332</v>
      </c>
      <c r="V1682" t="s">
        <v>59228</v>
      </c>
      <c r="W1682" t="s">
        <v>41678</v>
      </c>
      <c r="X1682" t="s">
        <v>44908</v>
      </c>
    </row>
    <row r="1683" spans="1:24">
      <c r="A1683">
        <f>HYPERLINK("https://www.philgeps.gov.ph/GEPSNONPILOT/Tender/SplashBidNoticeAbstractUI.aspx?menuIndex=3&amp;refID=7083689&amp;Result=3","7083689")</f>
        <v>0</v>
      </c>
      <c r="B1683" t="s">
        <v>514</v>
      </c>
      <c r="C1683" t="s">
        <v>5142</v>
      </c>
      <c r="E1683" t="s">
        <v>19766</v>
      </c>
      <c r="F1683" t="s">
        <v>31362</v>
      </c>
      <c r="G1683" t="s">
        <v>31369</v>
      </c>
      <c r="H1683" t="s">
        <v>31378</v>
      </c>
      <c r="I1683" t="s">
        <v>31386</v>
      </c>
      <c r="J1683" t="s">
        <v>32740</v>
      </c>
      <c r="K1683" t="s">
        <v>40662</v>
      </c>
      <c r="M1683" t="s">
        <v>41469</v>
      </c>
      <c r="N1683" t="s">
        <v>44905</v>
      </c>
      <c r="O1683" t="s">
        <v>44906</v>
      </c>
      <c r="P1683">
        <v>0</v>
      </c>
      <c r="Q1683">
        <v>1</v>
      </c>
      <c r="R1683" t="s">
        <v>44907</v>
      </c>
      <c r="S1683" t="s">
        <v>45026</v>
      </c>
      <c r="T1683" t="s">
        <v>46449</v>
      </c>
      <c r="U1683" t="s">
        <v>48333</v>
      </c>
      <c r="W1683" t="s">
        <v>60866</v>
      </c>
      <c r="X1683" t="s">
        <v>44908</v>
      </c>
    </row>
    <row r="1684" spans="1:24">
      <c r="A1684">
        <f>HYPERLINK("https://www.philgeps.gov.ph/GEPSNONPILOT/Tender/SplashBidNoticeAbstractUI.aspx?menuIndex=3&amp;refID=7083711&amp;Result=3","7083711")</f>
        <v>0</v>
      </c>
      <c r="B1684" t="s">
        <v>48</v>
      </c>
      <c r="C1684" t="s">
        <v>5143</v>
      </c>
      <c r="D1684" t="s">
        <v>18117</v>
      </c>
      <c r="E1684" t="s">
        <v>19767</v>
      </c>
      <c r="F1684" t="s">
        <v>31362</v>
      </c>
      <c r="G1684" t="s">
        <v>31368</v>
      </c>
      <c r="H1684" t="s">
        <v>15799</v>
      </c>
      <c r="I1684" t="s">
        <v>7719</v>
      </c>
      <c r="J1684" t="s">
        <v>32741</v>
      </c>
      <c r="K1684" t="s">
        <v>40680</v>
      </c>
      <c r="M1684" t="s">
        <v>41068</v>
      </c>
      <c r="N1684" t="s">
        <v>44905</v>
      </c>
      <c r="O1684" t="s">
        <v>44906</v>
      </c>
      <c r="P1684">
        <v>0</v>
      </c>
      <c r="Q1684">
        <v>2</v>
      </c>
      <c r="R1684" t="s">
        <v>44907</v>
      </c>
      <c r="S1684" t="s">
        <v>45026</v>
      </c>
      <c r="T1684" t="s">
        <v>46425</v>
      </c>
      <c r="U1684" t="s">
        <v>48334</v>
      </c>
      <c r="V1684" t="s">
        <v>59229</v>
      </c>
      <c r="W1684" t="s">
        <v>41068</v>
      </c>
      <c r="X1684" t="s">
        <v>44908</v>
      </c>
    </row>
    <row r="1685" spans="1:24">
      <c r="A1685">
        <f>HYPERLINK("https://www.philgeps.gov.ph/GEPSNONPILOT/Tender/SplashBidNoticeAbstractUI.aspx?menuIndex=3&amp;refID=7083755&amp;Result=3","7083755")</f>
        <v>0</v>
      </c>
      <c r="B1685" t="s">
        <v>714</v>
      </c>
      <c r="C1685" t="s">
        <v>5144</v>
      </c>
      <c r="D1685" t="s">
        <v>18108</v>
      </c>
      <c r="E1685" t="s">
        <v>19768</v>
      </c>
      <c r="F1685" t="s">
        <v>31362</v>
      </c>
      <c r="G1685" t="s">
        <v>31370</v>
      </c>
      <c r="H1685" t="s">
        <v>15799</v>
      </c>
      <c r="I1685" t="s">
        <v>31400</v>
      </c>
      <c r="J1685" t="s">
        <v>32146</v>
      </c>
      <c r="K1685" t="s">
        <v>40666</v>
      </c>
      <c r="M1685" t="s">
        <v>41679</v>
      </c>
      <c r="N1685" t="s">
        <v>44905</v>
      </c>
      <c r="O1685" t="s">
        <v>44906</v>
      </c>
      <c r="P1685">
        <v>0</v>
      </c>
      <c r="Q1685">
        <v>2</v>
      </c>
      <c r="R1685" t="s">
        <v>44907</v>
      </c>
      <c r="S1685" t="s">
        <v>45026</v>
      </c>
      <c r="T1685" t="s">
        <v>46400</v>
      </c>
      <c r="U1685" t="s">
        <v>48335</v>
      </c>
      <c r="W1685" t="s">
        <v>41679</v>
      </c>
      <c r="X1685" t="s">
        <v>44908</v>
      </c>
    </row>
    <row r="1686" spans="1:24">
      <c r="A1686">
        <f>HYPERLINK("https://www.philgeps.gov.ph/GEPSNONPILOT/Tender/SplashBidNoticeAbstractUI.aspx?menuIndex=3&amp;refID=7083718&amp;Result=3","7083718")</f>
        <v>0</v>
      </c>
      <c r="B1686" t="s">
        <v>715</v>
      </c>
      <c r="C1686" t="s">
        <v>5145</v>
      </c>
      <c r="D1686" t="s">
        <v>18125</v>
      </c>
      <c r="E1686" t="s">
        <v>19769</v>
      </c>
      <c r="F1686" t="s">
        <v>31362</v>
      </c>
      <c r="G1686" t="s">
        <v>31372</v>
      </c>
      <c r="H1686" t="s">
        <v>15799</v>
      </c>
      <c r="I1686" t="s">
        <v>31426</v>
      </c>
      <c r="J1686" t="s">
        <v>32742</v>
      </c>
      <c r="K1686" t="s">
        <v>40686</v>
      </c>
      <c r="M1686" t="s">
        <v>41680</v>
      </c>
      <c r="N1686" t="s">
        <v>44905</v>
      </c>
      <c r="O1686" t="s">
        <v>44906</v>
      </c>
      <c r="P1686">
        <v>0</v>
      </c>
      <c r="Q1686">
        <v>1</v>
      </c>
      <c r="R1686" t="s">
        <v>44907</v>
      </c>
      <c r="S1686" t="s">
        <v>45026</v>
      </c>
      <c r="T1686" t="s">
        <v>46396</v>
      </c>
      <c r="U1686" t="s">
        <v>48336</v>
      </c>
      <c r="W1686" t="s">
        <v>41680</v>
      </c>
      <c r="X1686" t="s">
        <v>44908</v>
      </c>
    </row>
    <row r="1687" spans="1:24">
      <c r="A1687">
        <f>HYPERLINK("https://www.philgeps.gov.ph/GEPSNONPILOT/Tender/SplashBidNoticeAbstractUI.aspx?menuIndex=3&amp;refID=7083720&amp;Result=3","7083720")</f>
        <v>0</v>
      </c>
      <c r="B1687" t="s">
        <v>360</v>
      </c>
      <c r="C1687" t="s">
        <v>5146</v>
      </c>
      <c r="D1687" t="s">
        <v>18161</v>
      </c>
      <c r="E1687" t="s">
        <v>19770</v>
      </c>
      <c r="F1687" t="s">
        <v>31362</v>
      </c>
      <c r="G1687" t="s">
        <v>31368</v>
      </c>
      <c r="H1687" t="s">
        <v>15799</v>
      </c>
      <c r="I1687" t="s">
        <v>3815</v>
      </c>
      <c r="J1687" t="s">
        <v>32743</v>
      </c>
      <c r="K1687" t="s">
        <v>40662</v>
      </c>
      <c r="M1687" t="s">
        <v>41307</v>
      </c>
      <c r="N1687" t="s">
        <v>44905</v>
      </c>
      <c r="O1687" t="s">
        <v>44906</v>
      </c>
      <c r="P1687">
        <v>0</v>
      </c>
      <c r="Q1687">
        <v>0</v>
      </c>
      <c r="R1687" t="s">
        <v>44907</v>
      </c>
      <c r="S1687" t="s">
        <v>45026</v>
      </c>
      <c r="T1687" t="s">
        <v>46394</v>
      </c>
      <c r="U1687" t="s">
        <v>47535</v>
      </c>
      <c r="W1687" t="s">
        <v>41307</v>
      </c>
      <c r="X1687" t="s">
        <v>44908</v>
      </c>
    </row>
    <row r="1688" spans="1:24">
      <c r="A1688">
        <f>HYPERLINK("https://www.philgeps.gov.ph/GEPSNONPILOT/Tender/SplashBidNoticeAbstractUI.aspx?menuIndex=3&amp;refID=7083751&amp;Result=3","7083751")</f>
        <v>0</v>
      </c>
      <c r="B1688" t="s">
        <v>123</v>
      </c>
      <c r="C1688" t="s">
        <v>5147</v>
      </c>
      <c r="D1688" t="s">
        <v>18107</v>
      </c>
      <c r="E1688" t="s">
        <v>19771</v>
      </c>
      <c r="F1688" t="s">
        <v>31362</v>
      </c>
      <c r="G1688" t="s">
        <v>31368</v>
      </c>
      <c r="H1688" t="s">
        <v>15799</v>
      </c>
      <c r="I1688" t="s">
        <v>7090</v>
      </c>
      <c r="J1688" t="s">
        <v>31734</v>
      </c>
      <c r="K1688" t="s">
        <v>40666</v>
      </c>
      <c r="M1688" t="s">
        <v>41192</v>
      </c>
      <c r="N1688" t="s">
        <v>44905</v>
      </c>
      <c r="O1688" t="s">
        <v>44906</v>
      </c>
      <c r="P1688">
        <v>0</v>
      </c>
      <c r="Q1688">
        <v>0</v>
      </c>
      <c r="R1688" t="s">
        <v>44907</v>
      </c>
      <c r="S1688" t="s">
        <v>45026</v>
      </c>
      <c r="T1688" t="s">
        <v>46493</v>
      </c>
      <c r="U1688" t="s">
        <v>48337</v>
      </c>
      <c r="W1688" t="s">
        <v>41192</v>
      </c>
      <c r="X1688" t="s">
        <v>44908</v>
      </c>
    </row>
    <row r="1689" spans="1:24">
      <c r="A1689">
        <f>HYPERLINK("https://www.philgeps.gov.ph/GEPSNONPILOT/Tender/SplashBidNoticeAbstractUI.aspx?menuIndex=3&amp;refID=7083750&amp;Result=3","7083750")</f>
        <v>0</v>
      </c>
      <c r="B1689" t="s">
        <v>716</v>
      </c>
      <c r="C1689" t="s">
        <v>5148</v>
      </c>
      <c r="D1689" t="s">
        <v>18160</v>
      </c>
      <c r="E1689" t="s">
        <v>19772</v>
      </c>
      <c r="F1689" t="s">
        <v>31362</v>
      </c>
      <c r="G1689" t="s">
        <v>31368</v>
      </c>
      <c r="H1689" t="s">
        <v>15799</v>
      </c>
      <c r="I1689" t="s">
        <v>31387</v>
      </c>
      <c r="J1689" t="s">
        <v>32744</v>
      </c>
      <c r="K1689" t="s">
        <v>40697</v>
      </c>
      <c r="M1689" t="s">
        <v>41681</v>
      </c>
      <c r="N1689" t="s">
        <v>44905</v>
      </c>
      <c r="O1689" t="s">
        <v>44906</v>
      </c>
      <c r="P1689">
        <v>0</v>
      </c>
      <c r="Q1689">
        <v>0</v>
      </c>
      <c r="R1689" t="s">
        <v>44907</v>
      </c>
      <c r="S1689" t="s">
        <v>45026</v>
      </c>
      <c r="T1689" t="s">
        <v>46454</v>
      </c>
      <c r="U1689" t="s">
        <v>48338</v>
      </c>
      <c r="W1689" t="s">
        <v>41681</v>
      </c>
      <c r="X1689" t="s">
        <v>44908</v>
      </c>
    </row>
    <row r="1690" spans="1:24">
      <c r="A1690">
        <f>HYPERLINK("https://www.philgeps.gov.ph/GEPSNONPILOT/Tender/SplashBidNoticeAbstractUI.aspx?menuIndex=3&amp;refID=7083748&amp;Result=3","7083748")</f>
        <v>0</v>
      </c>
      <c r="B1690" t="s">
        <v>710</v>
      </c>
      <c r="C1690" t="s">
        <v>5149</v>
      </c>
      <c r="D1690" t="s">
        <v>18139</v>
      </c>
      <c r="E1690" t="s">
        <v>19773</v>
      </c>
      <c r="F1690" t="s">
        <v>31362</v>
      </c>
      <c r="G1690" t="s">
        <v>31369</v>
      </c>
      <c r="H1690" t="s">
        <v>15799</v>
      </c>
      <c r="I1690" t="s">
        <v>31433</v>
      </c>
      <c r="J1690" t="s">
        <v>31709</v>
      </c>
      <c r="K1690" t="s">
        <v>40662</v>
      </c>
      <c r="M1690" t="s">
        <v>41675</v>
      </c>
      <c r="N1690" t="s">
        <v>44905</v>
      </c>
      <c r="O1690" t="s">
        <v>44906</v>
      </c>
      <c r="P1690">
        <v>0</v>
      </c>
      <c r="Q1690">
        <v>0</v>
      </c>
      <c r="R1690" t="s">
        <v>44907</v>
      </c>
      <c r="S1690" t="s">
        <v>45026</v>
      </c>
      <c r="T1690" t="s">
        <v>46413</v>
      </c>
      <c r="U1690" t="s">
        <v>48339</v>
      </c>
      <c r="W1690" t="s">
        <v>41675</v>
      </c>
      <c r="X1690" t="s">
        <v>44908</v>
      </c>
    </row>
    <row r="1691" spans="1:24">
      <c r="A1691">
        <f>HYPERLINK("https://www.philgeps.gov.ph/GEPSNONPILOT/Tender/SplashBidNoticeAbstractUI.aspx?menuIndex=3&amp;refID=7083744&amp;Result=3","7083744")</f>
        <v>0</v>
      </c>
      <c r="B1691" t="s">
        <v>717</v>
      </c>
      <c r="C1691" t="s">
        <v>5150</v>
      </c>
      <c r="D1691" t="s">
        <v>18167</v>
      </c>
      <c r="E1691" t="s">
        <v>19774</v>
      </c>
      <c r="F1691" t="s">
        <v>31362</v>
      </c>
      <c r="G1691" t="s">
        <v>31368</v>
      </c>
      <c r="H1691" t="s">
        <v>15799</v>
      </c>
      <c r="I1691" t="s">
        <v>6240</v>
      </c>
      <c r="J1691" t="s">
        <v>32745</v>
      </c>
      <c r="K1691" t="s">
        <v>40665</v>
      </c>
      <c r="M1691" t="s">
        <v>41682</v>
      </c>
      <c r="N1691" t="s">
        <v>44905</v>
      </c>
      <c r="O1691" t="s">
        <v>44906</v>
      </c>
      <c r="P1691">
        <v>0</v>
      </c>
      <c r="Q1691">
        <v>0</v>
      </c>
      <c r="R1691" t="s">
        <v>44907</v>
      </c>
      <c r="S1691" t="s">
        <v>45026</v>
      </c>
      <c r="T1691" t="s">
        <v>46411</v>
      </c>
      <c r="U1691" t="s">
        <v>48340</v>
      </c>
      <c r="W1691" t="s">
        <v>41682</v>
      </c>
      <c r="X1691" t="s">
        <v>44908</v>
      </c>
    </row>
    <row r="1692" spans="1:24">
      <c r="A1692">
        <f>HYPERLINK("https://www.philgeps.gov.ph/GEPSNONPILOT/Tender/SplashBidNoticeAbstractUI.aspx?menuIndex=3&amp;refID=7083741&amp;Result=3","7083741")</f>
        <v>0</v>
      </c>
      <c r="B1692" t="s">
        <v>718</v>
      </c>
      <c r="C1692" t="s">
        <v>5151</v>
      </c>
      <c r="D1692" t="s">
        <v>18100</v>
      </c>
      <c r="E1692" t="s">
        <v>19775</v>
      </c>
      <c r="F1692" t="s">
        <v>31362</v>
      </c>
      <c r="G1692" t="s">
        <v>31370</v>
      </c>
      <c r="H1692" t="s">
        <v>15799</v>
      </c>
      <c r="I1692" t="s">
        <v>31422</v>
      </c>
      <c r="J1692" t="s">
        <v>32400</v>
      </c>
      <c r="K1692" t="s">
        <v>40665</v>
      </c>
      <c r="M1692" t="s">
        <v>41683</v>
      </c>
      <c r="N1692" t="s">
        <v>44905</v>
      </c>
      <c r="O1692" t="s">
        <v>44906</v>
      </c>
      <c r="P1692">
        <v>0</v>
      </c>
      <c r="Q1692">
        <v>0</v>
      </c>
      <c r="R1692" t="s">
        <v>44907</v>
      </c>
      <c r="S1692" t="s">
        <v>45026</v>
      </c>
      <c r="T1692" t="s">
        <v>46453</v>
      </c>
      <c r="U1692" t="s">
        <v>48341</v>
      </c>
      <c r="W1692" t="s">
        <v>41683</v>
      </c>
      <c r="X1692" t="s">
        <v>44908</v>
      </c>
    </row>
    <row r="1693" spans="1:24">
      <c r="A1693">
        <f>HYPERLINK("https://www.philgeps.gov.ph/GEPSNONPILOT/Tender/SplashBidNoticeAbstractUI.aspx?menuIndex=3&amp;refID=7083740&amp;Result=3","7083740")</f>
        <v>0</v>
      </c>
      <c r="B1693" t="s">
        <v>670</v>
      </c>
      <c r="C1693" t="s">
        <v>5152</v>
      </c>
      <c r="D1693" t="s">
        <v>18152</v>
      </c>
      <c r="E1693" t="s">
        <v>19776</v>
      </c>
      <c r="F1693" t="s">
        <v>31362</v>
      </c>
      <c r="G1693" t="s">
        <v>31369</v>
      </c>
      <c r="H1693" t="s">
        <v>15799</v>
      </c>
      <c r="I1693" t="s">
        <v>6240</v>
      </c>
      <c r="J1693" t="s">
        <v>32746</v>
      </c>
      <c r="K1693" t="s">
        <v>40670</v>
      </c>
      <c r="M1693" t="s">
        <v>41632</v>
      </c>
      <c r="N1693" t="s">
        <v>44905</v>
      </c>
      <c r="O1693" t="s">
        <v>44906</v>
      </c>
      <c r="P1693">
        <v>0</v>
      </c>
      <c r="Q1693">
        <v>0</v>
      </c>
      <c r="R1693" t="s">
        <v>44907</v>
      </c>
      <c r="S1693" t="s">
        <v>45026</v>
      </c>
      <c r="T1693" t="s">
        <v>46429</v>
      </c>
      <c r="U1693" t="s">
        <v>48229</v>
      </c>
      <c r="W1693" t="s">
        <v>41632</v>
      </c>
      <c r="X1693" t="s">
        <v>44908</v>
      </c>
    </row>
    <row r="1694" spans="1:24">
      <c r="A1694">
        <f>HYPERLINK("https://www.philgeps.gov.ph/GEPSNONPILOT/Tender/SplashBidNoticeAbstractUI.aspx?menuIndex=3&amp;refID=7083739&amp;Result=3","7083739")</f>
        <v>0</v>
      </c>
      <c r="B1694" t="s">
        <v>716</v>
      </c>
      <c r="C1694" t="s">
        <v>5153</v>
      </c>
      <c r="D1694" t="s">
        <v>18160</v>
      </c>
      <c r="E1694" t="s">
        <v>19777</v>
      </c>
      <c r="F1694" t="s">
        <v>31362</v>
      </c>
      <c r="G1694" t="s">
        <v>31368</v>
      </c>
      <c r="H1694" t="s">
        <v>15799</v>
      </c>
      <c r="I1694" t="s">
        <v>7188</v>
      </c>
      <c r="J1694" t="s">
        <v>31575</v>
      </c>
      <c r="K1694" t="s">
        <v>40697</v>
      </c>
      <c r="M1694" t="s">
        <v>41681</v>
      </c>
      <c r="N1694" t="s">
        <v>44905</v>
      </c>
      <c r="O1694" t="s">
        <v>44906</v>
      </c>
      <c r="P1694">
        <v>0</v>
      </c>
      <c r="Q1694">
        <v>0</v>
      </c>
      <c r="R1694" t="s">
        <v>44907</v>
      </c>
      <c r="S1694" t="s">
        <v>45026</v>
      </c>
      <c r="T1694" t="s">
        <v>46454</v>
      </c>
      <c r="U1694" t="s">
        <v>48342</v>
      </c>
      <c r="W1694" t="s">
        <v>41681</v>
      </c>
      <c r="X1694" t="s">
        <v>44908</v>
      </c>
    </row>
    <row r="1695" spans="1:24">
      <c r="A1695">
        <f>HYPERLINK("https://www.philgeps.gov.ph/GEPSNONPILOT/Tender/SplashBidNoticeAbstractUI.aspx?menuIndex=3&amp;refID=7083738&amp;Result=3","7083738")</f>
        <v>0</v>
      </c>
      <c r="B1695" t="s">
        <v>696</v>
      </c>
      <c r="C1695" t="s">
        <v>5154</v>
      </c>
      <c r="D1695" t="s">
        <v>18118</v>
      </c>
      <c r="E1695" t="s">
        <v>19778</v>
      </c>
      <c r="F1695" t="s">
        <v>31362</v>
      </c>
      <c r="G1695" t="s">
        <v>31369</v>
      </c>
      <c r="H1695" t="s">
        <v>15799</v>
      </c>
      <c r="I1695" t="s">
        <v>3815</v>
      </c>
      <c r="J1695" t="s">
        <v>32747</v>
      </c>
      <c r="K1695" t="s">
        <v>40675</v>
      </c>
      <c r="M1695" t="s">
        <v>41661</v>
      </c>
      <c r="N1695" t="s">
        <v>44905</v>
      </c>
      <c r="O1695" t="s">
        <v>44906</v>
      </c>
      <c r="P1695">
        <v>0</v>
      </c>
      <c r="Q1695">
        <v>0</v>
      </c>
      <c r="R1695" t="s">
        <v>44907</v>
      </c>
      <c r="S1695" t="s">
        <v>45026</v>
      </c>
      <c r="T1695" t="s">
        <v>46542</v>
      </c>
      <c r="U1695" t="s">
        <v>48329</v>
      </c>
      <c r="W1695" t="s">
        <v>41661</v>
      </c>
      <c r="X1695" t="s">
        <v>44908</v>
      </c>
    </row>
    <row r="1696" spans="1:24">
      <c r="A1696">
        <f>HYPERLINK("https://www.philgeps.gov.ph/GEPSNONPILOT/Tender/SplashBidNoticeAbstractUI.aspx?menuIndex=3&amp;refID=7083754&amp;Result=3","7083754")</f>
        <v>0</v>
      </c>
      <c r="B1696" t="s">
        <v>561</v>
      </c>
      <c r="C1696" t="s">
        <v>5155</v>
      </c>
      <c r="D1696" t="s">
        <v>18124</v>
      </c>
      <c r="E1696" t="s">
        <v>18496</v>
      </c>
      <c r="F1696" t="s">
        <v>31362</v>
      </c>
      <c r="G1696" t="s">
        <v>31369</v>
      </c>
      <c r="H1696" t="s">
        <v>31378</v>
      </c>
      <c r="I1696" t="s">
        <v>31386</v>
      </c>
      <c r="J1696" t="s">
        <v>31536</v>
      </c>
      <c r="K1696" t="s">
        <v>40682</v>
      </c>
      <c r="M1696" t="s">
        <v>41517</v>
      </c>
      <c r="N1696" t="s">
        <v>44905</v>
      </c>
      <c r="O1696" t="s">
        <v>44906</v>
      </c>
      <c r="P1696">
        <v>0</v>
      </c>
      <c r="Q1696">
        <v>0</v>
      </c>
      <c r="R1696" t="s">
        <v>44907</v>
      </c>
      <c r="S1696" t="s">
        <v>45026</v>
      </c>
      <c r="T1696" t="s">
        <v>46474</v>
      </c>
      <c r="U1696" t="s">
        <v>48343</v>
      </c>
      <c r="W1696" t="s">
        <v>41517</v>
      </c>
      <c r="X1696" t="s">
        <v>44908</v>
      </c>
    </row>
    <row r="1697" spans="1:24">
      <c r="A1697">
        <f>HYPERLINK("https://www.philgeps.gov.ph/GEPSNONPILOT/Tender/SplashBidNoticeAbstractUI.aspx?menuIndex=3&amp;refID=7083697&amp;Result=3","7083697")</f>
        <v>0</v>
      </c>
      <c r="B1697" t="s">
        <v>702</v>
      </c>
      <c r="C1697" t="s">
        <v>5156</v>
      </c>
      <c r="D1697" t="s">
        <v>18158</v>
      </c>
      <c r="E1697" t="s">
        <v>19779</v>
      </c>
      <c r="F1697" t="s">
        <v>31362</v>
      </c>
      <c r="G1697" t="s">
        <v>31370</v>
      </c>
      <c r="H1697" t="s">
        <v>31379</v>
      </c>
      <c r="I1697" t="s">
        <v>31463</v>
      </c>
      <c r="J1697" t="s">
        <v>31915</v>
      </c>
      <c r="K1697" t="s">
        <v>40697</v>
      </c>
      <c r="M1697" t="s">
        <v>41667</v>
      </c>
      <c r="N1697" t="s">
        <v>44905</v>
      </c>
      <c r="O1697" t="s">
        <v>44906</v>
      </c>
      <c r="P1697">
        <v>0</v>
      </c>
      <c r="Q1697">
        <v>0</v>
      </c>
      <c r="R1697" t="s">
        <v>44907</v>
      </c>
      <c r="S1697" t="s">
        <v>45026</v>
      </c>
      <c r="T1697" t="s">
        <v>46432</v>
      </c>
      <c r="U1697" t="s">
        <v>48344</v>
      </c>
      <c r="W1697" t="s">
        <v>41667</v>
      </c>
      <c r="X1697" t="s">
        <v>44908</v>
      </c>
    </row>
    <row r="1698" spans="1:24">
      <c r="A1698">
        <f>HYPERLINK("https://www.philgeps.gov.ph/GEPSNONPILOT/Tender/SplashBidNoticeAbstractUI.aspx?menuIndex=3&amp;refID=7083692&amp;Result=3","7083692")</f>
        <v>0</v>
      </c>
      <c r="B1698" t="s">
        <v>719</v>
      </c>
      <c r="C1698" t="s">
        <v>5157</v>
      </c>
      <c r="D1698" t="s">
        <v>18115</v>
      </c>
      <c r="E1698" t="s">
        <v>19780</v>
      </c>
      <c r="F1698" t="s">
        <v>31362</v>
      </c>
      <c r="G1698" t="s">
        <v>31368</v>
      </c>
      <c r="H1698" t="s">
        <v>15799</v>
      </c>
      <c r="I1698" t="s">
        <v>31422</v>
      </c>
      <c r="J1698" t="s">
        <v>31578</v>
      </c>
      <c r="K1698" t="s">
        <v>40666</v>
      </c>
      <c r="M1698" t="s">
        <v>41684</v>
      </c>
      <c r="N1698" t="s">
        <v>44905</v>
      </c>
      <c r="O1698" t="s">
        <v>44906</v>
      </c>
      <c r="P1698">
        <v>0</v>
      </c>
      <c r="Q1698">
        <v>1</v>
      </c>
      <c r="R1698" t="s">
        <v>44907</v>
      </c>
      <c r="S1698" t="s">
        <v>45026</v>
      </c>
      <c r="T1698" t="s">
        <v>46435</v>
      </c>
      <c r="U1698" t="s">
        <v>48345</v>
      </c>
      <c r="V1698" t="s">
        <v>59230</v>
      </c>
      <c r="W1698" t="s">
        <v>41684</v>
      </c>
      <c r="X1698" t="s">
        <v>44908</v>
      </c>
    </row>
    <row r="1699" spans="1:24">
      <c r="A1699">
        <f>HYPERLINK("https://www.philgeps.gov.ph/GEPSNONPILOT/Tender/SplashBidNoticeAbstractUI.aspx?menuIndex=3&amp;refID=7083733&amp;Result=3","7083733")</f>
        <v>0</v>
      </c>
      <c r="B1699" t="s">
        <v>720</v>
      </c>
      <c r="C1699" t="s">
        <v>5158</v>
      </c>
      <c r="D1699" t="s">
        <v>18151</v>
      </c>
      <c r="E1699" t="s">
        <v>19781</v>
      </c>
      <c r="F1699" t="s">
        <v>31362</v>
      </c>
      <c r="G1699" t="s">
        <v>31370</v>
      </c>
      <c r="H1699" t="s">
        <v>15799</v>
      </c>
      <c r="I1699" t="s">
        <v>31380</v>
      </c>
      <c r="J1699" t="s">
        <v>32748</v>
      </c>
      <c r="K1699" t="s">
        <v>40670</v>
      </c>
      <c r="M1699" t="s">
        <v>41685</v>
      </c>
      <c r="N1699" t="s">
        <v>44905</v>
      </c>
      <c r="O1699" t="s">
        <v>44906</v>
      </c>
      <c r="P1699">
        <v>0</v>
      </c>
      <c r="Q1699">
        <v>1</v>
      </c>
      <c r="R1699" t="s">
        <v>44907</v>
      </c>
      <c r="S1699" t="s">
        <v>45026</v>
      </c>
      <c r="T1699" t="s">
        <v>46503</v>
      </c>
      <c r="U1699" t="s">
        <v>48346</v>
      </c>
      <c r="W1699" t="s">
        <v>41685</v>
      </c>
      <c r="X1699" t="s">
        <v>44908</v>
      </c>
    </row>
    <row r="1700" spans="1:24">
      <c r="A1700">
        <f>HYPERLINK("https://www.philgeps.gov.ph/GEPSNONPILOT/Tender/SplashBidNoticeAbstractUI.aspx?menuIndex=3&amp;refID=7083732&amp;Result=3","7083732")</f>
        <v>0</v>
      </c>
      <c r="B1700" t="s">
        <v>698</v>
      </c>
      <c r="C1700" t="s">
        <v>5159</v>
      </c>
      <c r="D1700" t="s">
        <v>18104</v>
      </c>
      <c r="E1700" t="s">
        <v>19782</v>
      </c>
      <c r="F1700" t="s">
        <v>31362</v>
      </c>
      <c r="G1700" t="s">
        <v>31369</v>
      </c>
      <c r="H1700" t="s">
        <v>31378</v>
      </c>
      <c r="I1700" t="s">
        <v>31386</v>
      </c>
      <c r="J1700" t="s">
        <v>32711</v>
      </c>
      <c r="K1700" t="s">
        <v>40732</v>
      </c>
      <c r="M1700" t="s">
        <v>41663</v>
      </c>
      <c r="N1700" t="s">
        <v>44905</v>
      </c>
      <c r="O1700" t="s">
        <v>44906</v>
      </c>
      <c r="P1700">
        <v>0</v>
      </c>
      <c r="Q1700">
        <v>0</v>
      </c>
      <c r="R1700" t="s">
        <v>44907</v>
      </c>
      <c r="S1700" t="s">
        <v>45026</v>
      </c>
      <c r="T1700" t="s">
        <v>46449</v>
      </c>
      <c r="U1700" t="s">
        <v>48295</v>
      </c>
      <c r="W1700" t="s">
        <v>41663</v>
      </c>
      <c r="X1700" t="s">
        <v>44908</v>
      </c>
    </row>
    <row r="1701" spans="1:24">
      <c r="A1701">
        <f>HYPERLINK("https://www.philgeps.gov.ph/GEPSNONPILOT/Tender/SplashBidNoticeAbstractUI.aspx?menuIndex=3&amp;refID=7083736&amp;Result=3","7083736")</f>
        <v>0</v>
      </c>
      <c r="B1701" t="s">
        <v>561</v>
      </c>
      <c r="C1701" t="s">
        <v>5160</v>
      </c>
      <c r="D1701" t="s">
        <v>18124</v>
      </c>
      <c r="E1701" t="s">
        <v>19783</v>
      </c>
      <c r="F1701" t="s">
        <v>31362</v>
      </c>
      <c r="G1701" t="s">
        <v>31369</v>
      </c>
      <c r="H1701" t="s">
        <v>31378</v>
      </c>
      <c r="I1701" t="s">
        <v>31386</v>
      </c>
      <c r="J1701" t="s">
        <v>31536</v>
      </c>
      <c r="K1701" t="s">
        <v>40682</v>
      </c>
      <c r="M1701" t="s">
        <v>41517</v>
      </c>
      <c r="N1701" t="s">
        <v>44905</v>
      </c>
      <c r="O1701" t="s">
        <v>44906</v>
      </c>
      <c r="P1701">
        <v>0</v>
      </c>
      <c r="Q1701">
        <v>0</v>
      </c>
      <c r="R1701" t="s">
        <v>44907</v>
      </c>
      <c r="S1701" t="s">
        <v>45026</v>
      </c>
      <c r="T1701" t="s">
        <v>46474</v>
      </c>
      <c r="U1701" t="s">
        <v>48347</v>
      </c>
      <c r="W1701" t="s">
        <v>41517</v>
      </c>
      <c r="X1701" t="s">
        <v>44908</v>
      </c>
    </row>
    <row r="1702" spans="1:24">
      <c r="A1702">
        <f>HYPERLINK("https://www.philgeps.gov.ph/GEPSNONPILOT/Tender/SplashBidNoticeAbstractUI.aspx?menuIndex=3&amp;refID=7083782&amp;Result=3","7083782")</f>
        <v>0</v>
      </c>
      <c r="B1702" t="s">
        <v>721</v>
      </c>
      <c r="C1702" t="s">
        <v>5161</v>
      </c>
      <c r="D1702" t="s">
        <v>18111</v>
      </c>
      <c r="E1702" t="s">
        <v>19784</v>
      </c>
      <c r="F1702" t="s">
        <v>31362</v>
      </c>
      <c r="G1702" t="s">
        <v>31371</v>
      </c>
      <c r="H1702" t="s">
        <v>15799</v>
      </c>
      <c r="I1702" t="s">
        <v>6373</v>
      </c>
      <c r="J1702" t="s">
        <v>32749</v>
      </c>
      <c r="K1702" t="s">
        <v>40697</v>
      </c>
      <c r="M1702" t="s">
        <v>41686</v>
      </c>
      <c r="N1702" t="s">
        <v>44905</v>
      </c>
      <c r="O1702" t="s">
        <v>44906</v>
      </c>
      <c r="P1702">
        <v>0</v>
      </c>
      <c r="Q1702">
        <v>2</v>
      </c>
      <c r="R1702" t="s">
        <v>44907</v>
      </c>
      <c r="S1702" t="s">
        <v>45026</v>
      </c>
      <c r="T1702" t="s">
        <v>46400</v>
      </c>
      <c r="U1702" t="s">
        <v>48348</v>
      </c>
      <c r="W1702" t="s">
        <v>41686</v>
      </c>
      <c r="X1702" t="s">
        <v>44908</v>
      </c>
    </row>
    <row r="1703" spans="1:24">
      <c r="A1703">
        <f>HYPERLINK("https://www.philgeps.gov.ph/GEPSNONPILOT/Tender/SplashBidNoticeAbstractUI.aspx?menuIndex=3&amp;refID=7083734&amp;Result=3","7083734")</f>
        <v>0</v>
      </c>
      <c r="B1703" t="s">
        <v>711</v>
      </c>
      <c r="C1703" t="s">
        <v>5162</v>
      </c>
      <c r="D1703" t="s">
        <v>18148</v>
      </c>
      <c r="E1703" t="s">
        <v>19785</v>
      </c>
      <c r="F1703" t="s">
        <v>31362</v>
      </c>
      <c r="G1703" t="s">
        <v>31368</v>
      </c>
      <c r="H1703" t="s">
        <v>15799</v>
      </c>
      <c r="I1703" t="s">
        <v>31399</v>
      </c>
      <c r="J1703" t="s">
        <v>31577</v>
      </c>
      <c r="K1703" t="s">
        <v>40670</v>
      </c>
      <c r="M1703" t="s">
        <v>41676</v>
      </c>
      <c r="N1703" t="s">
        <v>44905</v>
      </c>
      <c r="O1703" t="s">
        <v>44906</v>
      </c>
      <c r="P1703">
        <v>0</v>
      </c>
      <c r="Q1703">
        <v>1</v>
      </c>
      <c r="R1703" t="s">
        <v>44907</v>
      </c>
      <c r="S1703" t="s">
        <v>45026</v>
      </c>
      <c r="T1703" t="s">
        <v>46409</v>
      </c>
      <c r="U1703" t="s">
        <v>48349</v>
      </c>
      <c r="W1703" t="s">
        <v>41676</v>
      </c>
      <c r="X1703" t="s">
        <v>44908</v>
      </c>
    </row>
    <row r="1704" spans="1:24">
      <c r="A1704">
        <f>HYPERLINK("https://www.philgeps.gov.ph/GEPSNONPILOT/Tender/SplashBidNoticeAbstractUI.aspx?menuIndex=3&amp;refID=7083780&amp;Result=3","7083780")</f>
        <v>0</v>
      </c>
      <c r="B1704" t="s">
        <v>722</v>
      </c>
      <c r="C1704" t="s">
        <v>5163</v>
      </c>
      <c r="E1704" t="s">
        <v>19786</v>
      </c>
      <c r="F1704" t="s">
        <v>31362</v>
      </c>
      <c r="G1704" t="s">
        <v>31369</v>
      </c>
      <c r="H1704" t="s">
        <v>31378</v>
      </c>
      <c r="I1704" t="s">
        <v>31386</v>
      </c>
      <c r="J1704" t="s">
        <v>31611</v>
      </c>
      <c r="K1704" t="s">
        <v>40662</v>
      </c>
      <c r="M1704" t="s">
        <v>41687</v>
      </c>
      <c r="N1704" t="s">
        <v>44905</v>
      </c>
      <c r="O1704" t="s">
        <v>44906</v>
      </c>
      <c r="P1704">
        <v>0</v>
      </c>
      <c r="Q1704">
        <v>1</v>
      </c>
      <c r="R1704" t="s">
        <v>44907</v>
      </c>
      <c r="S1704" t="s">
        <v>45026</v>
      </c>
      <c r="T1704" t="s">
        <v>46577</v>
      </c>
      <c r="U1704" t="s">
        <v>48350</v>
      </c>
      <c r="V1704" t="s">
        <v>59231</v>
      </c>
      <c r="W1704" t="s">
        <v>41687</v>
      </c>
      <c r="X1704" t="s">
        <v>44908</v>
      </c>
    </row>
    <row r="1705" spans="1:24">
      <c r="A1705">
        <f>HYPERLINK("https://www.philgeps.gov.ph/GEPSNONPILOT/Tender/SplashBidNoticeAbstractUI.aspx?menuIndex=3&amp;refID=7083704&amp;Result=3","7083704")</f>
        <v>0</v>
      </c>
      <c r="B1705" t="s">
        <v>723</v>
      </c>
      <c r="C1705" t="s">
        <v>5164</v>
      </c>
      <c r="D1705" t="s">
        <v>18148</v>
      </c>
      <c r="E1705" t="s">
        <v>19787</v>
      </c>
      <c r="F1705" t="s">
        <v>31362</v>
      </c>
      <c r="G1705" t="s">
        <v>31369</v>
      </c>
      <c r="H1705" t="s">
        <v>15799</v>
      </c>
      <c r="I1705" t="s">
        <v>31386</v>
      </c>
      <c r="J1705" t="s">
        <v>32750</v>
      </c>
      <c r="K1705" t="s">
        <v>40661</v>
      </c>
      <c r="M1705" t="s">
        <v>41688</v>
      </c>
      <c r="N1705" t="s">
        <v>44905</v>
      </c>
      <c r="O1705" t="s">
        <v>44906</v>
      </c>
      <c r="P1705">
        <v>0</v>
      </c>
      <c r="Q1705">
        <v>0</v>
      </c>
      <c r="R1705" t="s">
        <v>44907</v>
      </c>
      <c r="S1705" t="s">
        <v>45026</v>
      </c>
      <c r="T1705" t="s">
        <v>46578</v>
      </c>
      <c r="U1705" t="s">
        <v>48351</v>
      </c>
      <c r="W1705" t="s">
        <v>41688</v>
      </c>
      <c r="X1705" t="s">
        <v>44908</v>
      </c>
    </row>
    <row r="1706" spans="1:24">
      <c r="A1706">
        <f>HYPERLINK("https://www.philgeps.gov.ph/GEPSNONPILOT/Tender/SplashBidNoticeAbstractUI.aspx?menuIndex=3&amp;refID=7083778&amp;Result=3","7083778")</f>
        <v>0</v>
      </c>
      <c r="B1706" t="s">
        <v>561</v>
      </c>
      <c r="C1706" t="s">
        <v>5165</v>
      </c>
      <c r="D1706" t="s">
        <v>18124</v>
      </c>
      <c r="E1706" t="s">
        <v>18547</v>
      </c>
      <c r="F1706" t="s">
        <v>31362</v>
      </c>
      <c r="G1706" t="s">
        <v>31369</v>
      </c>
      <c r="H1706" t="s">
        <v>31378</v>
      </c>
      <c r="I1706" t="s">
        <v>31386</v>
      </c>
      <c r="J1706" t="s">
        <v>31536</v>
      </c>
      <c r="K1706" t="s">
        <v>40682</v>
      </c>
      <c r="M1706" t="s">
        <v>41517</v>
      </c>
      <c r="N1706" t="s">
        <v>44905</v>
      </c>
      <c r="O1706" t="s">
        <v>44906</v>
      </c>
      <c r="P1706">
        <v>0</v>
      </c>
      <c r="Q1706">
        <v>0</v>
      </c>
      <c r="R1706" t="s">
        <v>44907</v>
      </c>
      <c r="S1706" t="s">
        <v>45026</v>
      </c>
      <c r="T1706" t="s">
        <v>46474</v>
      </c>
      <c r="U1706" t="s">
        <v>48352</v>
      </c>
      <c r="W1706" t="s">
        <v>41517</v>
      </c>
      <c r="X1706" t="s">
        <v>44908</v>
      </c>
    </row>
    <row r="1707" spans="1:24">
      <c r="A1707">
        <f>HYPERLINK("https://www.philgeps.gov.ph/GEPSNONPILOT/Tender/SplashBidNoticeAbstractUI.aspx?menuIndex=3&amp;refID=7083786&amp;Result=3","7083786")</f>
        <v>0</v>
      </c>
      <c r="B1707" t="s">
        <v>724</v>
      </c>
      <c r="C1707" t="s">
        <v>5166</v>
      </c>
      <c r="D1707" t="s">
        <v>18143</v>
      </c>
      <c r="E1707" t="s">
        <v>19788</v>
      </c>
      <c r="F1707" t="s">
        <v>31362</v>
      </c>
      <c r="G1707" t="s">
        <v>31369</v>
      </c>
      <c r="H1707" t="s">
        <v>15799</v>
      </c>
      <c r="I1707" t="s">
        <v>3815</v>
      </c>
      <c r="J1707" t="s">
        <v>31531</v>
      </c>
      <c r="K1707" t="s">
        <v>40666</v>
      </c>
      <c r="M1707" t="s">
        <v>41689</v>
      </c>
      <c r="N1707" t="s">
        <v>44905</v>
      </c>
      <c r="O1707" t="s">
        <v>44906</v>
      </c>
      <c r="P1707">
        <v>0</v>
      </c>
      <c r="Q1707">
        <v>1</v>
      </c>
      <c r="R1707" t="s">
        <v>44907</v>
      </c>
      <c r="S1707" t="s">
        <v>45026</v>
      </c>
      <c r="T1707" t="s">
        <v>46579</v>
      </c>
      <c r="U1707" t="s">
        <v>48353</v>
      </c>
      <c r="W1707" t="s">
        <v>41689</v>
      </c>
      <c r="X1707" t="s">
        <v>44908</v>
      </c>
    </row>
    <row r="1708" spans="1:24">
      <c r="A1708">
        <f>HYPERLINK("https://www.philgeps.gov.ph/GEPSNONPILOT/Tender/SplashBidNoticeAbstractUI.aspx?menuIndex=3&amp;refID=7083777&amp;Result=3","7083777")</f>
        <v>0</v>
      </c>
      <c r="B1708" t="s">
        <v>725</v>
      </c>
      <c r="C1708" t="s">
        <v>5167</v>
      </c>
      <c r="D1708" t="s">
        <v>18151</v>
      </c>
      <c r="E1708" t="s">
        <v>19789</v>
      </c>
      <c r="F1708" t="s">
        <v>31362</v>
      </c>
      <c r="G1708" t="s">
        <v>31369</v>
      </c>
      <c r="H1708" t="s">
        <v>31378</v>
      </c>
      <c r="I1708" t="s">
        <v>31386</v>
      </c>
      <c r="J1708" t="s">
        <v>32549</v>
      </c>
      <c r="K1708" t="s">
        <v>40733</v>
      </c>
      <c r="M1708" t="s">
        <v>41690</v>
      </c>
      <c r="N1708" t="s">
        <v>44905</v>
      </c>
      <c r="O1708" t="s">
        <v>44906</v>
      </c>
      <c r="P1708">
        <v>0</v>
      </c>
      <c r="Q1708">
        <v>0</v>
      </c>
      <c r="R1708" t="s">
        <v>44907</v>
      </c>
      <c r="S1708" t="s">
        <v>45026</v>
      </c>
      <c r="T1708" t="s">
        <v>46396</v>
      </c>
      <c r="U1708" t="s">
        <v>48354</v>
      </c>
      <c r="W1708" t="s">
        <v>41690</v>
      </c>
      <c r="X1708" t="s">
        <v>44908</v>
      </c>
    </row>
    <row r="1709" spans="1:24">
      <c r="A1709">
        <f>HYPERLINK("https://www.philgeps.gov.ph/GEPSNONPILOT/Tender/SplashBidNoticeAbstractUI.aspx?menuIndex=3&amp;refID=7083735&amp;Result=3","7083735")</f>
        <v>0</v>
      </c>
      <c r="B1709" t="s">
        <v>137</v>
      </c>
      <c r="C1709" t="s">
        <v>5168</v>
      </c>
      <c r="D1709" t="s">
        <v>18141</v>
      </c>
      <c r="E1709" t="s">
        <v>19790</v>
      </c>
      <c r="F1709" t="s">
        <v>31363</v>
      </c>
      <c r="G1709" t="s">
        <v>31369</v>
      </c>
      <c r="H1709" t="s">
        <v>15799</v>
      </c>
      <c r="I1709" t="s">
        <v>3815</v>
      </c>
      <c r="J1709" t="s">
        <v>32751</v>
      </c>
      <c r="K1709" t="s">
        <v>40666</v>
      </c>
      <c r="M1709" t="s">
        <v>41075</v>
      </c>
      <c r="N1709" t="s">
        <v>44905</v>
      </c>
      <c r="O1709" t="s">
        <v>44906</v>
      </c>
      <c r="P1709">
        <v>0</v>
      </c>
      <c r="Q1709">
        <v>0</v>
      </c>
      <c r="R1709" t="s">
        <v>44907</v>
      </c>
      <c r="S1709" t="s">
        <v>45026</v>
      </c>
      <c r="T1709" t="s">
        <v>46449</v>
      </c>
      <c r="U1709" t="s">
        <v>48355</v>
      </c>
      <c r="W1709" t="s">
        <v>41075</v>
      </c>
      <c r="X1709" t="s">
        <v>44908</v>
      </c>
    </row>
    <row r="1710" spans="1:24">
      <c r="A1710">
        <f>HYPERLINK("https://www.philgeps.gov.ph/GEPSNONPILOT/Tender/SplashBidNoticeAbstractUI.aspx?menuIndex=3&amp;refID=7083775&amp;Result=3","7083775")</f>
        <v>0</v>
      </c>
      <c r="B1710" t="s">
        <v>726</v>
      </c>
      <c r="C1710" t="s">
        <v>5169</v>
      </c>
      <c r="D1710" t="s">
        <v>18127</v>
      </c>
      <c r="E1710" t="s">
        <v>18694</v>
      </c>
      <c r="F1710" t="s">
        <v>31362</v>
      </c>
      <c r="G1710" t="s">
        <v>31368</v>
      </c>
      <c r="H1710" t="s">
        <v>31378</v>
      </c>
      <c r="I1710" t="s">
        <v>31386</v>
      </c>
      <c r="J1710" t="s">
        <v>31998</v>
      </c>
      <c r="K1710" t="s">
        <v>40682</v>
      </c>
      <c r="M1710" t="s">
        <v>41691</v>
      </c>
      <c r="N1710" t="s">
        <v>44905</v>
      </c>
      <c r="O1710" t="s">
        <v>44906</v>
      </c>
      <c r="P1710">
        <v>0</v>
      </c>
      <c r="Q1710">
        <v>0</v>
      </c>
      <c r="R1710" t="s">
        <v>44907</v>
      </c>
      <c r="S1710" t="s">
        <v>45026</v>
      </c>
      <c r="T1710" t="s">
        <v>46416</v>
      </c>
      <c r="U1710" t="s">
        <v>48356</v>
      </c>
      <c r="W1710" t="s">
        <v>41691</v>
      </c>
      <c r="X1710" t="s">
        <v>44908</v>
      </c>
    </row>
    <row r="1711" spans="1:24">
      <c r="A1711">
        <f>HYPERLINK("https://www.philgeps.gov.ph/GEPSNONPILOT/Tender/SplashBidNoticeAbstractUI.aspx?menuIndex=3&amp;refID=7083746&amp;Result=3","7083746")</f>
        <v>0</v>
      </c>
      <c r="B1711" t="s">
        <v>590</v>
      </c>
      <c r="C1711" t="s">
        <v>5170</v>
      </c>
      <c r="D1711" t="s">
        <v>18162</v>
      </c>
      <c r="E1711" t="s">
        <v>19791</v>
      </c>
      <c r="F1711" t="s">
        <v>31362</v>
      </c>
      <c r="G1711" t="s">
        <v>31369</v>
      </c>
      <c r="H1711" t="s">
        <v>15799</v>
      </c>
      <c r="I1711" t="s">
        <v>3815</v>
      </c>
      <c r="J1711" t="s">
        <v>32752</v>
      </c>
      <c r="K1711" t="s">
        <v>40662</v>
      </c>
      <c r="M1711" t="s">
        <v>41547</v>
      </c>
      <c r="N1711" t="s">
        <v>44905</v>
      </c>
      <c r="O1711" t="s">
        <v>44906</v>
      </c>
      <c r="P1711">
        <v>0</v>
      </c>
      <c r="Q1711">
        <v>0</v>
      </c>
      <c r="R1711" t="s">
        <v>44907</v>
      </c>
      <c r="S1711" t="s">
        <v>45026</v>
      </c>
      <c r="T1711" t="s">
        <v>46560</v>
      </c>
      <c r="U1711" t="s">
        <v>48357</v>
      </c>
      <c r="W1711" t="s">
        <v>41547</v>
      </c>
      <c r="X1711" t="s">
        <v>44908</v>
      </c>
    </row>
    <row r="1712" spans="1:24">
      <c r="A1712">
        <f>HYPERLINK("https://www.philgeps.gov.ph/GEPSNONPILOT/Tender/SplashBidNoticeAbstractUI.aspx?menuIndex=3&amp;refID=7083770&amp;Result=3","7083770")</f>
        <v>0</v>
      </c>
      <c r="B1712" t="s">
        <v>727</v>
      </c>
      <c r="C1712" t="s">
        <v>5171</v>
      </c>
      <c r="D1712" t="s">
        <v>18114</v>
      </c>
      <c r="E1712" t="s">
        <v>19792</v>
      </c>
      <c r="F1712" t="s">
        <v>31362</v>
      </c>
      <c r="G1712" t="s">
        <v>31369</v>
      </c>
      <c r="H1712" t="s">
        <v>15799</v>
      </c>
      <c r="I1712" t="s">
        <v>31409</v>
      </c>
      <c r="J1712" t="s">
        <v>31531</v>
      </c>
      <c r="K1712" t="s">
        <v>40697</v>
      </c>
      <c r="L1712" t="s">
        <v>727</v>
      </c>
      <c r="M1712" t="s">
        <v>41692</v>
      </c>
      <c r="N1712" t="s">
        <v>44905</v>
      </c>
      <c r="O1712" t="s">
        <v>44906</v>
      </c>
      <c r="P1712">
        <v>0</v>
      </c>
      <c r="Q1712">
        <v>0</v>
      </c>
      <c r="R1712" t="s">
        <v>44907</v>
      </c>
      <c r="S1712" t="s">
        <v>45026</v>
      </c>
      <c r="T1712" t="s">
        <v>46408</v>
      </c>
      <c r="U1712" t="s">
        <v>48358</v>
      </c>
      <c r="W1712" t="s">
        <v>41692</v>
      </c>
      <c r="X1712" t="s">
        <v>44908</v>
      </c>
    </row>
    <row r="1713" spans="1:24">
      <c r="A1713">
        <f>HYPERLINK("https://www.philgeps.gov.ph/GEPSNONPILOT/Tender/SplashBidNoticeAbstractUI.aspx?menuIndex=3&amp;refID=7083781&amp;Result=3","7083781")</f>
        <v>0</v>
      </c>
      <c r="B1713" t="s">
        <v>473</v>
      </c>
      <c r="C1713" t="s">
        <v>4717</v>
      </c>
      <c r="D1713" t="s">
        <v>18114</v>
      </c>
      <c r="E1713" t="s">
        <v>19793</v>
      </c>
      <c r="F1713" t="s">
        <v>31362</v>
      </c>
      <c r="G1713" t="s">
        <v>31370</v>
      </c>
      <c r="H1713" t="s">
        <v>15799</v>
      </c>
      <c r="I1713" t="s">
        <v>6373</v>
      </c>
      <c r="J1713" t="s">
        <v>31982</v>
      </c>
      <c r="K1713" t="s">
        <v>40661</v>
      </c>
      <c r="M1713" t="s">
        <v>41693</v>
      </c>
      <c r="N1713" t="s">
        <v>44905</v>
      </c>
      <c r="O1713" t="s">
        <v>44906</v>
      </c>
      <c r="P1713">
        <v>0</v>
      </c>
      <c r="Q1713">
        <v>1</v>
      </c>
      <c r="R1713" t="s">
        <v>44907</v>
      </c>
      <c r="S1713" t="s">
        <v>45026</v>
      </c>
      <c r="T1713" t="s">
        <v>46416</v>
      </c>
      <c r="U1713" t="s">
        <v>48359</v>
      </c>
      <c r="W1713" t="s">
        <v>41693</v>
      </c>
      <c r="X1713" t="s">
        <v>44908</v>
      </c>
    </row>
    <row r="1714" spans="1:24">
      <c r="A1714">
        <f>HYPERLINK("https://www.philgeps.gov.ph/GEPSNONPILOT/Tender/SplashBidNoticeAbstractUI.aspx?menuIndex=3&amp;refID=7083767&amp;Result=3","7083767")</f>
        <v>0</v>
      </c>
      <c r="B1714" t="s">
        <v>656</v>
      </c>
      <c r="C1714" t="s">
        <v>5172</v>
      </c>
      <c r="D1714" t="s">
        <v>18123</v>
      </c>
      <c r="E1714" t="s">
        <v>19097</v>
      </c>
      <c r="F1714" t="s">
        <v>31362</v>
      </c>
      <c r="G1714" t="s">
        <v>31368</v>
      </c>
      <c r="H1714" t="s">
        <v>15799</v>
      </c>
      <c r="I1714" t="s">
        <v>31424</v>
      </c>
      <c r="J1714" t="s">
        <v>32753</v>
      </c>
      <c r="K1714" t="s">
        <v>40680</v>
      </c>
      <c r="M1714" t="s">
        <v>41618</v>
      </c>
      <c r="N1714" t="s">
        <v>44905</v>
      </c>
      <c r="O1714" t="s">
        <v>44906</v>
      </c>
      <c r="P1714">
        <v>0</v>
      </c>
      <c r="Q1714">
        <v>0</v>
      </c>
      <c r="R1714" t="s">
        <v>44907</v>
      </c>
      <c r="S1714" t="s">
        <v>45026</v>
      </c>
      <c r="T1714" t="s">
        <v>46409</v>
      </c>
      <c r="U1714" t="s">
        <v>48199</v>
      </c>
      <c r="W1714" t="s">
        <v>41618</v>
      </c>
      <c r="X1714" t="s">
        <v>44908</v>
      </c>
    </row>
    <row r="1715" spans="1:24">
      <c r="A1715">
        <f>HYPERLINK("https://www.philgeps.gov.ph/GEPSNONPILOT/Tender/SplashBidNoticeAbstractUI.aspx?menuIndex=3&amp;refID=7083776&amp;Result=3","7083776")</f>
        <v>0</v>
      </c>
      <c r="B1715" t="s">
        <v>276</v>
      </c>
      <c r="C1715" t="s">
        <v>5173</v>
      </c>
      <c r="D1715" t="s">
        <v>18106</v>
      </c>
      <c r="E1715" t="s">
        <v>19794</v>
      </c>
      <c r="F1715" t="s">
        <v>31362</v>
      </c>
      <c r="G1715" t="s">
        <v>31368</v>
      </c>
      <c r="H1715" t="s">
        <v>15799</v>
      </c>
      <c r="I1715" t="s">
        <v>7719</v>
      </c>
      <c r="J1715" t="s">
        <v>32754</v>
      </c>
      <c r="K1715" t="s">
        <v>40661</v>
      </c>
      <c r="M1715" t="s">
        <v>41218</v>
      </c>
      <c r="N1715" t="s">
        <v>44905</v>
      </c>
      <c r="O1715" t="s">
        <v>44906</v>
      </c>
      <c r="P1715">
        <v>0</v>
      </c>
      <c r="Q1715">
        <v>2</v>
      </c>
      <c r="R1715" t="s">
        <v>44907</v>
      </c>
      <c r="S1715" t="s">
        <v>45026</v>
      </c>
      <c r="T1715" t="s">
        <v>46438</v>
      </c>
      <c r="U1715" t="s">
        <v>48360</v>
      </c>
      <c r="W1715" t="s">
        <v>41218</v>
      </c>
      <c r="X1715" t="s">
        <v>44908</v>
      </c>
    </row>
    <row r="1716" spans="1:24">
      <c r="A1716">
        <f>HYPERLINK("https://www.philgeps.gov.ph/GEPSNONPILOT/Tender/SplashBidNoticeAbstractUI.aspx?menuIndex=3&amp;refID=7083762&amp;Result=3","7083762")</f>
        <v>0</v>
      </c>
      <c r="B1716" t="s">
        <v>715</v>
      </c>
      <c r="C1716" t="s">
        <v>5174</v>
      </c>
      <c r="D1716" t="s">
        <v>18153</v>
      </c>
      <c r="E1716" t="s">
        <v>19795</v>
      </c>
      <c r="F1716" t="s">
        <v>31362</v>
      </c>
      <c r="G1716" t="s">
        <v>31369</v>
      </c>
      <c r="H1716" t="s">
        <v>15799</v>
      </c>
      <c r="I1716" t="s">
        <v>31426</v>
      </c>
      <c r="J1716" t="s">
        <v>32755</v>
      </c>
      <c r="K1716" t="s">
        <v>40682</v>
      </c>
      <c r="M1716" t="s">
        <v>41680</v>
      </c>
      <c r="N1716" t="s">
        <v>44905</v>
      </c>
      <c r="O1716" t="s">
        <v>44906</v>
      </c>
      <c r="P1716">
        <v>0</v>
      </c>
      <c r="Q1716">
        <v>2</v>
      </c>
      <c r="R1716" t="s">
        <v>44907</v>
      </c>
      <c r="S1716" t="s">
        <v>45026</v>
      </c>
      <c r="T1716" t="s">
        <v>46396</v>
      </c>
      <c r="U1716" t="s">
        <v>48361</v>
      </c>
      <c r="W1716" t="s">
        <v>41680</v>
      </c>
      <c r="X1716" t="s">
        <v>44908</v>
      </c>
    </row>
    <row r="1717" spans="1:24">
      <c r="A1717">
        <f>HYPERLINK("https://www.philgeps.gov.ph/GEPSNONPILOT/Tender/SplashBidNoticeAbstractUI.aspx?menuIndex=3&amp;refID=7083761&amp;Result=3","7083761")</f>
        <v>0</v>
      </c>
      <c r="B1717" t="s">
        <v>199</v>
      </c>
      <c r="C1717" t="s">
        <v>5175</v>
      </c>
      <c r="D1717" t="s">
        <v>18140</v>
      </c>
      <c r="E1717" t="s">
        <v>19796</v>
      </c>
      <c r="F1717" t="s">
        <v>31362</v>
      </c>
      <c r="G1717" t="s">
        <v>31368</v>
      </c>
      <c r="H1717" t="s">
        <v>15799</v>
      </c>
      <c r="I1717" t="s">
        <v>6373</v>
      </c>
      <c r="J1717" t="s">
        <v>32756</v>
      </c>
      <c r="K1717" t="s">
        <v>40666</v>
      </c>
      <c r="M1717" t="s">
        <v>41694</v>
      </c>
      <c r="N1717" t="s">
        <v>44905</v>
      </c>
      <c r="O1717" t="s">
        <v>44906</v>
      </c>
      <c r="P1717">
        <v>0</v>
      </c>
      <c r="Q1717">
        <v>1</v>
      </c>
      <c r="R1717" t="s">
        <v>44907</v>
      </c>
      <c r="S1717" t="s">
        <v>45026</v>
      </c>
      <c r="T1717" t="s">
        <v>46580</v>
      </c>
      <c r="U1717" t="s">
        <v>48362</v>
      </c>
      <c r="V1717" t="s">
        <v>59232</v>
      </c>
      <c r="W1717" t="s">
        <v>41694</v>
      </c>
      <c r="X1717" t="s">
        <v>44908</v>
      </c>
    </row>
    <row r="1718" spans="1:24">
      <c r="A1718">
        <f>HYPERLINK("https://www.philgeps.gov.ph/GEPSNONPILOT/Tender/SplashBidNoticeAbstractUI.aspx?menuIndex=3&amp;refID=7083771&amp;Result=3","7083771")</f>
        <v>0</v>
      </c>
      <c r="B1718" t="s">
        <v>132</v>
      </c>
      <c r="C1718" t="s">
        <v>5176</v>
      </c>
      <c r="D1718" t="s">
        <v>18131</v>
      </c>
      <c r="E1718" t="s">
        <v>19797</v>
      </c>
      <c r="F1718" t="s">
        <v>31362</v>
      </c>
      <c r="G1718" t="s">
        <v>31369</v>
      </c>
      <c r="H1718" t="s">
        <v>31378</v>
      </c>
      <c r="I1718" t="s">
        <v>31386</v>
      </c>
      <c r="J1718" t="s">
        <v>31591</v>
      </c>
      <c r="K1718" t="s">
        <v>40686</v>
      </c>
      <c r="L1718" t="s">
        <v>132</v>
      </c>
      <c r="M1718" t="s">
        <v>41070</v>
      </c>
      <c r="N1718" t="s">
        <v>44905</v>
      </c>
      <c r="O1718" t="s">
        <v>44906</v>
      </c>
      <c r="P1718">
        <v>0</v>
      </c>
      <c r="Q1718">
        <v>0</v>
      </c>
      <c r="R1718" t="s">
        <v>44907</v>
      </c>
      <c r="S1718" t="s">
        <v>45026</v>
      </c>
      <c r="T1718" t="s">
        <v>46461</v>
      </c>
      <c r="U1718" t="s">
        <v>48363</v>
      </c>
      <c r="W1718" t="s">
        <v>41070</v>
      </c>
      <c r="X1718" t="s">
        <v>44908</v>
      </c>
    </row>
    <row r="1719" spans="1:24">
      <c r="A1719">
        <f>HYPERLINK("https://www.philgeps.gov.ph/GEPSNONPILOT/Tender/SplashBidNoticeAbstractUI.aspx?menuIndex=3&amp;refID=7083717&amp;Result=3","7083717")</f>
        <v>0</v>
      </c>
      <c r="B1719" t="s">
        <v>640</v>
      </c>
      <c r="C1719" t="s">
        <v>5177</v>
      </c>
      <c r="D1719" t="s">
        <v>18156</v>
      </c>
      <c r="E1719" t="s">
        <v>19798</v>
      </c>
      <c r="F1719" t="s">
        <v>31362</v>
      </c>
      <c r="G1719" t="s">
        <v>31370</v>
      </c>
      <c r="H1719" t="s">
        <v>15799</v>
      </c>
      <c r="I1719" t="s">
        <v>31442</v>
      </c>
      <c r="J1719" t="s">
        <v>32757</v>
      </c>
      <c r="K1719" t="s">
        <v>40662</v>
      </c>
      <c r="M1719" t="s">
        <v>41600</v>
      </c>
      <c r="N1719" t="s">
        <v>44905</v>
      </c>
      <c r="O1719" t="s">
        <v>44906</v>
      </c>
      <c r="P1719">
        <v>0</v>
      </c>
      <c r="Q1719">
        <v>0</v>
      </c>
      <c r="R1719" t="s">
        <v>44907</v>
      </c>
      <c r="S1719" t="s">
        <v>45026</v>
      </c>
      <c r="T1719" t="s">
        <v>46534</v>
      </c>
      <c r="U1719" t="s">
        <v>48364</v>
      </c>
      <c r="V1719" t="s">
        <v>59219</v>
      </c>
      <c r="W1719" t="s">
        <v>41600</v>
      </c>
      <c r="X1719" t="s">
        <v>44908</v>
      </c>
    </row>
    <row r="1720" spans="1:24">
      <c r="A1720">
        <f>HYPERLINK("https://www.philgeps.gov.ph/GEPSNONPILOT/Tender/SplashBidNoticeAbstractUI.aspx?menuIndex=3&amp;refID=7083766&amp;Result=3","7083766")</f>
        <v>0</v>
      </c>
      <c r="B1720" t="s">
        <v>728</v>
      </c>
      <c r="C1720" t="s">
        <v>5178</v>
      </c>
      <c r="D1720" t="s">
        <v>18152</v>
      </c>
      <c r="E1720" t="s">
        <v>19799</v>
      </c>
      <c r="F1720" t="s">
        <v>31362</v>
      </c>
      <c r="G1720" t="s">
        <v>31368</v>
      </c>
      <c r="H1720" t="s">
        <v>15799</v>
      </c>
      <c r="I1720" t="s">
        <v>31404</v>
      </c>
      <c r="J1720" t="s">
        <v>32758</v>
      </c>
      <c r="K1720" t="s">
        <v>40661</v>
      </c>
      <c r="M1720" t="s">
        <v>41695</v>
      </c>
      <c r="N1720" t="s">
        <v>44905</v>
      </c>
      <c r="O1720" t="s">
        <v>44906</v>
      </c>
      <c r="P1720">
        <v>0</v>
      </c>
      <c r="Q1720">
        <v>0</v>
      </c>
      <c r="R1720" t="s">
        <v>44907</v>
      </c>
      <c r="S1720" t="s">
        <v>45026</v>
      </c>
      <c r="T1720" t="s">
        <v>46409</v>
      </c>
      <c r="U1720" t="s">
        <v>48365</v>
      </c>
      <c r="V1720" t="s">
        <v>59233</v>
      </c>
      <c r="W1720" t="s">
        <v>41695</v>
      </c>
      <c r="X1720" t="s">
        <v>44908</v>
      </c>
    </row>
    <row r="1721" spans="1:24">
      <c r="A1721">
        <f>HYPERLINK("https://www.philgeps.gov.ph/GEPSNONPILOT/Tender/SplashBidNoticeAbstractUI.aspx?menuIndex=3&amp;refID=7083727&amp;Result=3","7083727")</f>
        <v>0</v>
      </c>
      <c r="B1721" t="s">
        <v>132</v>
      </c>
      <c r="C1721" t="s">
        <v>5179</v>
      </c>
      <c r="D1721" t="s">
        <v>18131</v>
      </c>
      <c r="E1721" t="s">
        <v>19797</v>
      </c>
      <c r="F1721" t="s">
        <v>31362</v>
      </c>
      <c r="G1721" t="s">
        <v>31369</v>
      </c>
      <c r="H1721" t="s">
        <v>31378</v>
      </c>
      <c r="I1721" t="s">
        <v>31386</v>
      </c>
      <c r="J1721" t="s">
        <v>31687</v>
      </c>
      <c r="K1721" t="s">
        <v>40682</v>
      </c>
      <c r="L1721" t="s">
        <v>132</v>
      </c>
      <c r="M1721" t="s">
        <v>41070</v>
      </c>
      <c r="N1721" t="s">
        <v>44905</v>
      </c>
      <c r="O1721" t="s">
        <v>44906</v>
      </c>
      <c r="P1721">
        <v>0</v>
      </c>
      <c r="Q1721">
        <v>0</v>
      </c>
      <c r="R1721" t="s">
        <v>44907</v>
      </c>
      <c r="S1721" t="s">
        <v>45026</v>
      </c>
      <c r="T1721" t="s">
        <v>46465</v>
      </c>
      <c r="U1721" t="s">
        <v>47169</v>
      </c>
      <c r="W1721" t="s">
        <v>41070</v>
      </c>
      <c r="X1721" t="s">
        <v>44908</v>
      </c>
    </row>
    <row r="1722" spans="1:24">
      <c r="A1722">
        <f>HYPERLINK("https://www.philgeps.gov.ph/GEPSNONPILOT/Tender/SplashBidNoticeAbstractUI.aspx?menuIndex=3&amp;refID=7083763&amp;Result=3","7083763")</f>
        <v>0</v>
      </c>
      <c r="B1722" t="s">
        <v>716</v>
      </c>
      <c r="C1722" t="s">
        <v>5180</v>
      </c>
      <c r="D1722" t="s">
        <v>18160</v>
      </c>
      <c r="E1722" t="s">
        <v>19800</v>
      </c>
      <c r="F1722" t="s">
        <v>31362</v>
      </c>
      <c r="G1722" t="s">
        <v>31368</v>
      </c>
      <c r="H1722" t="s">
        <v>15799</v>
      </c>
      <c r="I1722" t="s">
        <v>31387</v>
      </c>
      <c r="J1722" t="s">
        <v>31536</v>
      </c>
      <c r="K1722" t="s">
        <v>40697</v>
      </c>
      <c r="M1722" t="s">
        <v>41681</v>
      </c>
      <c r="N1722" t="s">
        <v>44905</v>
      </c>
      <c r="O1722" t="s">
        <v>44906</v>
      </c>
      <c r="P1722">
        <v>0</v>
      </c>
      <c r="Q1722">
        <v>0</v>
      </c>
      <c r="R1722" t="s">
        <v>44907</v>
      </c>
      <c r="S1722" t="s">
        <v>45026</v>
      </c>
      <c r="T1722" t="s">
        <v>46454</v>
      </c>
      <c r="U1722" t="s">
        <v>48366</v>
      </c>
      <c r="W1722" t="s">
        <v>41681</v>
      </c>
      <c r="X1722" t="s">
        <v>44908</v>
      </c>
    </row>
    <row r="1723" spans="1:24">
      <c r="A1723">
        <f>HYPERLINK("https://www.philgeps.gov.ph/GEPSNONPILOT/Tender/SplashBidNoticeAbstractUI.aspx?menuIndex=3&amp;refID=7083725&amp;Result=3","7083725")</f>
        <v>0</v>
      </c>
      <c r="B1723" t="s">
        <v>614</v>
      </c>
      <c r="C1723" t="s">
        <v>5181</v>
      </c>
      <c r="D1723" t="s">
        <v>18106</v>
      </c>
      <c r="E1723" t="s">
        <v>19801</v>
      </c>
      <c r="F1723" t="s">
        <v>31362</v>
      </c>
      <c r="G1723" t="s">
        <v>31369</v>
      </c>
      <c r="H1723" t="s">
        <v>15799</v>
      </c>
      <c r="I1723" t="s">
        <v>3815</v>
      </c>
      <c r="J1723" t="s">
        <v>32759</v>
      </c>
      <c r="K1723" t="s">
        <v>40680</v>
      </c>
      <c r="M1723" t="s">
        <v>41572</v>
      </c>
      <c r="N1723" t="s">
        <v>44905</v>
      </c>
      <c r="O1723" t="s">
        <v>44906</v>
      </c>
      <c r="P1723">
        <v>0</v>
      </c>
      <c r="Q1723">
        <v>0</v>
      </c>
      <c r="R1723" t="s">
        <v>44907</v>
      </c>
      <c r="S1723" t="s">
        <v>45026</v>
      </c>
      <c r="T1723" t="s">
        <v>46419</v>
      </c>
      <c r="U1723" t="s">
        <v>48367</v>
      </c>
      <c r="V1723" t="s">
        <v>59203</v>
      </c>
      <c r="W1723" t="s">
        <v>41572</v>
      </c>
      <c r="X1723" t="s">
        <v>44908</v>
      </c>
    </row>
    <row r="1724" spans="1:24">
      <c r="A1724">
        <f>HYPERLINK("https://www.philgeps.gov.ph/GEPSNONPILOT/Tender/SplashBidNoticeAbstractUI.aspx?menuIndex=3&amp;refID=7083686&amp;Result=3","7083686")</f>
        <v>0</v>
      </c>
      <c r="B1724" t="s">
        <v>137</v>
      </c>
      <c r="C1724" t="s">
        <v>5182</v>
      </c>
      <c r="D1724" t="s">
        <v>18141</v>
      </c>
      <c r="E1724" t="s">
        <v>19802</v>
      </c>
      <c r="F1724" t="s">
        <v>31363</v>
      </c>
      <c r="G1724" t="s">
        <v>31369</v>
      </c>
      <c r="H1724" t="s">
        <v>15799</v>
      </c>
      <c r="I1724" t="s">
        <v>3815</v>
      </c>
      <c r="J1724" t="s">
        <v>32083</v>
      </c>
      <c r="K1724" t="s">
        <v>40670</v>
      </c>
      <c r="M1724" t="s">
        <v>41075</v>
      </c>
      <c r="N1724" t="s">
        <v>44905</v>
      </c>
      <c r="O1724" t="s">
        <v>44906</v>
      </c>
      <c r="P1724">
        <v>0</v>
      </c>
      <c r="Q1724">
        <v>0</v>
      </c>
      <c r="R1724" t="s">
        <v>44907</v>
      </c>
      <c r="S1724" t="s">
        <v>45026</v>
      </c>
      <c r="T1724" t="s">
        <v>46449</v>
      </c>
      <c r="U1724" t="s">
        <v>48368</v>
      </c>
      <c r="W1724" t="s">
        <v>41075</v>
      </c>
      <c r="X1724" t="s">
        <v>44908</v>
      </c>
    </row>
    <row r="1725" spans="1:24">
      <c r="A1725">
        <f>HYPERLINK("https://www.philgeps.gov.ph/GEPSNONPILOT/Tender/SplashBidNoticeAbstractUI.aspx?menuIndex=3&amp;refID=7083729&amp;Result=3","7083729")</f>
        <v>0</v>
      </c>
      <c r="B1725" t="s">
        <v>444</v>
      </c>
      <c r="C1725" t="s">
        <v>5183</v>
      </c>
      <c r="D1725" t="s">
        <v>18146</v>
      </c>
      <c r="E1725" t="s">
        <v>19803</v>
      </c>
      <c r="F1725" t="s">
        <v>31362</v>
      </c>
      <c r="G1725" t="s">
        <v>31368</v>
      </c>
      <c r="H1725" t="s">
        <v>15799</v>
      </c>
      <c r="I1725" t="s">
        <v>31430</v>
      </c>
      <c r="J1725" t="s">
        <v>32617</v>
      </c>
      <c r="K1725" t="s">
        <v>40672</v>
      </c>
      <c r="M1725" t="s">
        <v>41397</v>
      </c>
      <c r="N1725" t="s">
        <v>44905</v>
      </c>
      <c r="O1725" t="s">
        <v>44906</v>
      </c>
      <c r="P1725">
        <v>0</v>
      </c>
      <c r="Q1725">
        <v>0</v>
      </c>
      <c r="R1725" t="s">
        <v>44907</v>
      </c>
      <c r="S1725" t="s">
        <v>45026</v>
      </c>
      <c r="T1725" t="s">
        <v>46393</v>
      </c>
      <c r="U1725" t="s">
        <v>48369</v>
      </c>
      <c r="W1725" t="s">
        <v>41397</v>
      </c>
      <c r="X1725" t="s">
        <v>44908</v>
      </c>
    </row>
    <row r="1726" spans="1:24">
      <c r="A1726">
        <f>HYPERLINK("https://www.philgeps.gov.ph/GEPSNONPILOT/Tender/SplashBidNoticeAbstractUI.aspx?menuIndex=3&amp;refID=7083724&amp;Result=3","7083724")</f>
        <v>0</v>
      </c>
      <c r="B1726" t="s">
        <v>718</v>
      </c>
      <c r="C1726" t="s">
        <v>5184</v>
      </c>
      <c r="D1726" t="s">
        <v>18100</v>
      </c>
      <c r="E1726" t="s">
        <v>19804</v>
      </c>
      <c r="F1726" t="s">
        <v>31362</v>
      </c>
      <c r="G1726" t="s">
        <v>31370</v>
      </c>
      <c r="H1726" t="s">
        <v>15799</v>
      </c>
      <c r="I1726" t="s">
        <v>31437</v>
      </c>
      <c r="J1726" t="s">
        <v>32760</v>
      </c>
      <c r="K1726" t="s">
        <v>40675</v>
      </c>
      <c r="M1726" t="s">
        <v>41683</v>
      </c>
      <c r="N1726" t="s">
        <v>44905</v>
      </c>
      <c r="O1726" t="s">
        <v>44906</v>
      </c>
      <c r="P1726">
        <v>0</v>
      </c>
      <c r="Q1726">
        <v>1</v>
      </c>
      <c r="R1726" t="s">
        <v>44907</v>
      </c>
      <c r="S1726" t="s">
        <v>45026</v>
      </c>
      <c r="T1726" t="s">
        <v>46453</v>
      </c>
      <c r="U1726" t="s">
        <v>48370</v>
      </c>
      <c r="W1726" t="s">
        <v>41683</v>
      </c>
      <c r="X1726" t="s">
        <v>44908</v>
      </c>
    </row>
    <row r="1727" spans="1:24">
      <c r="A1727">
        <f>HYPERLINK("https://www.philgeps.gov.ph/GEPSNONPILOT/Tender/SplashBidNoticeAbstractUI.aspx?menuIndex=3&amp;refID=7083823&amp;Result=3","7083823")</f>
        <v>0</v>
      </c>
      <c r="B1727" t="s">
        <v>729</v>
      </c>
      <c r="C1727" t="s">
        <v>5185</v>
      </c>
      <c r="D1727" t="s">
        <v>18160</v>
      </c>
      <c r="E1727" t="s">
        <v>19805</v>
      </c>
      <c r="F1727" t="s">
        <v>31362</v>
      </c>
      <c r="G1727" t="s">
        <v>31368</v>
      </c>
      <c r="H1727" t="s">
        <v>15799</v>
      </c>
      <c r="I1727" t="s">
        <v>3815</v>
      </c>
      <c r="J1727" t="s">
        <v>32761</v>
      </c>
      <c r="K1727" t="s">
        <v>40665</v>
      </c>
      <c r="M1727" t="s">
        <v>41696</v>
      </c>
      <c r="N1727" t="s">
        <v>44905</v>
      </c>
      <c r="O1727" t="s">
        <v>44906</v>
      </c>
      <c r="P1727">
        <v>0</v>
      </c>
      <c r="Q1727">
        <v>1</v>
      </c>
      <c r="R1727" t="s">
        <v>44907</v>
      </c>
      <c r="S1727" t="s">
        <v>45026</v>
      </c>
      <c r="T1727" t="s">
        <v>46447</v>
      </c>
      <c r="U1727" t="s">
        <v>48371</v>
      </c>
      <c r="W1727" t="s">
        <v>41696</v>
      </c>
      <c r="X1727" t="s">
        <v>44908</v>
      </c>
    </row>
    <row r="1728" spans="1:24">
      <c r="A1728">
        <f>HYPERLINK("https://www.philgeps.gov.ph/GEPSNONPILOT/Tender/SplashBidNoticeAbstractUI.aspx?menuIndex=3&amp;refID=7083773&amp;Result=3","7083773")</f>
        <v>0</v>
      </c>
      <c r="B1728" t="s">
        <v>91</v>
      </c>
      <c r="C1728" t="s">
        <v>4583</v>
      </c>
      <c r="D1728" t="s">
        <v>18136</v>
      </c>
      <c r="E1728" t="s">
        <v>19806</v>
      </c>
      <c r="F1728" t="s">
        <v>31362</v>
      </c>
      <c r="G1728" t="s">
        <v>31370</v>
      </c>
      <c r="H1728" t="s">
        <v>15799</v>
      </c>
      <c r="I1728" t="s">
        <v>31419</v>
      </c>
      <c r="J1728" t="s">
        <v>31866</v>
      </c>
      <c r="K1728" t="s">
        <v>40661</v>
      </c>
      <c r="M1728" t="s">
        <v>41028</v>
      </c>
      <c r="N1728" t="s">
        <v>44905</v>
      </c>
      <c r="O1728" t="s">
        <v>44906</v>
      </c>
      <c r="P1728">
        <v>0</v>
      </c>
      <c r="Q1728">
        <v>0</v>
      </c>
      <c r="R1728" t="s">
        <v>44907</v>
      </c>
      <c r="S1728" t="s">
        <v>45026</v>
      </c>
      <c r="T1728" t="s">
        <v>46411</v>
      </c>
      <c r="U1728" t="s">
        <v>48372</v>
      </c>
      <c r="W1728" t="s">
        <v>41028</v>
      </c>
      <c r="X1728" t="s">
        <v>44908</v>
      </c>
    </row>
    <row r="1729" spans="1:24">
      <c r="A1729">
        <f>HYPERLINK("https://www.philgeps.gov.ph/GEPSNONPILOT/Tender/SplashBidNoticeAbstractUI.aspx?menuIndex=3&amp;refID=7083822&amp;Result=3","7083822")</f>
        <v>0</v>
      </c>
      <c r="B1729" t="s">
        <v>730</v>
      </c>
      <c r="C1729" t="s">
        <v>5186</v>
      </c>
      <c r="D1729" t="s">
        <v>18100</v>
      </c>
      <c r="E1729" t="s">
        <v>19807</v>
      </c>
      <c r="F1729" t="s">
        <v>31362</v>
      </c>
      <c r="G1729" t="s">
        <v>31368</v>
      </c>
      <c r="H1729" t="s">
        <v>15799</v>
      </c>
      <c r="I1729" t="s">
        <v>31390</v>
      </c>
      <c r="J1729" t="s">
        <v>31604</v>
      </c>
      <c r="K1729" t="s">
        <v>40661</v>
      </c>
      <c r="M1729" t="s">
        <v>41697</v>
      </c>
      <c r="N1729" t="s">
        <v>44905</v>
      </c>
      <c r="O1729" t="s">
        <v>44906</v>
      </c>
      <c r="P1729">
        <v>0</v>
      </c>
      <c r="Q1729">
        <v>0</v>
      </c>
      <c r="R1729" t="s">
        <v>44907</v>
      </c>
      <c r="S1729" t="s">
        <v>45026</v>
      </c>
      <c r="T1729" t="s">
        <v>46581</v>
      </c>
      <c r="U1729" t="s">
        <v>48373</v>
      </c>
      <c r="W1729" t="s">
        <v>41697</v>
      </c>
      <c r="X1729" t="s">
        <v>44908</v>
      </c>
    </row>
    <row r="1730" spans="1:24">
      <c r="A1730">
        <f>HYPERLINK("https://www.philgeps.gov.ph/GEPSNONPILOT/Tender/SplashBidNoticeAbstractUI.aspx?menuIndex=3&amp;refID=7083819&amp;Result=3","7083819")</f>
        <v>0</v>
      </c>
      <c r="B1730" t="s">
        <v>132</v>
      </c>
      <c r="C1730" t="s">
        <v>5187</v>
      </c>
      <c r="D1730" t="s">
        <v>18131</v>
      </c>
      <c r="E1730" t="s">
        <v>19797</v>
      </c>
      <c r="F1730" t="s">
        <v>31362</v>
      </c>
      <c r="G1730" t="s">
        <v>31369</v>
      </c>
      <c r="H1730" t="s">
        <v>31378</v>
      </c>
      <c r="I1730" t="s">
        <v>31386</v>
      </c>
      <c r="J1730" t="s">
        <v>31591</v>
      </c>
      <c r="K1730" t="s">
        <v>40686</v>
      </c>
      <c r="L1730" t="s">
        <v>132</v>
      </c>
      <c r="M1730" t="s">
        <v>41070</v>
      </c>
      <c r="N1730" t="s">
        <v>44905</v>
      </c>
      <c r="O1730" t="s">
        <v>44906</v>
      </c>
      <c r="P1730">
        <v>0</v>
      </c>
      <c r="Q1730">
        <v>1</v>
      </c>
      <c r="R1730" t="s">
        <v>44907</v>
      </c>
      <c r="S1730" t="s">
        <v>45026</v>
      </c>
      <c r="T1730" t="s">
        <v>46461</v>
      </c>
      <c r="U1730" t="s">
        <v>48363</v>
      </c>
      <c r="W1730" t="s">
        <v>41070</v>
      </c>
      <c r="X1730" t="s">
        <v>44908</v>
      </c>
    </row>
    <row r="1731" spans="1:24">
      <c r="A1731">
        <f>HYPERLINK("https://www.philgeps.gov.ph/GEPSNONPILOT/Tender/SplashBidNoticeAbstractUI.aspx?menuIndex=3&amp;refID=7083757&amp;Result=3","7083757")</f>
        <v>0</v>
      </c>
      <c r="B1731" t="s">
        <v>722</v>
      </c>
      <c r="C1731" t="s">
        <v>5188</v>
      </c>
      <c r="E1731" t="s">
        <v>19808</v>
      </c>
      <c r="F1731" t="s">
        <v>31362</v>
      </c>
      <c r="G1731" t="s">
        <v>31369</v>
      </c>
      <c r="H1731" t="s">
        <v>31378</v>
      </c>
      <c r="I1731" t="s">
        <v>31386</v>
      </c>
      <c r="J1731" t="s">
        <v>32762</v>
      </c>
      <c r="K1731" t="s">
        <v>40662</v>
      </c>
      <c r="M1731" t="s">
        <v>41687</v>
      </c>
      <c r="N1731" t="s">
        <v>44905</v>
      </c>
      <c r="O1731" t="s">
        <v>44906</v>
      </c>
      <c r="P1731">
        <v>0</v>
      </c>
      <c r="Q1731">
        <v>1</v>
      </c>
      <c r="R1731" t="s">
        <v>44907</v>
      </c>
      <c r="S1731" t="s">
        <v>45026</v>
      </c>
      <c r="T1731" t="s">
        <v>46577</v>
      </c>
      <c r="U1731" t="s">
        <v>48374</v>
      </c>
      <c r="V1731" t="s">
        <v>59231</v>
      </c>
      <c r="W1731" t="s">
        <v>41687</v>
      </c>
      <c r="X1731" t="s">
        <v>44908</v>
      </c>
    </row>
    <row r="1732" spans="1:24">
      <c r="A1732">
        <f>HYPERLINK("https://www.philgeps.gov.ph/GEPSNONPILOT/Tender/SplashBidNoticeAbstractUI.aspx?menuIndex=3&amp;refID=7083821&amp;Result=3","7083821")</f>
        <v>0</v>
      </c>
      <c r="B1732" t="s">
        <v>731</v>
      </c>
      <c r="C1732" t="s">
        <v>5189</v>
      </c>
      <c r="D1732" t="s">
        <v>18106</v>
      </c>
      <c r="E1732" t="s">
        <v>19809</v>
      </c>
      <c r="F1732" t="s">
        <v>31362</v>
      </c>
      <c r="G1732" t="s">
        <v>31370</v>
      </c>
      <c r="H1732" t="s">
        <v>15799</v>
      </c>
      <c r="I1732" t="s">
        <v>31422</v>
      </c>
      <c r="J1732" t="s">
        <v>31806</v>
      </c>
      <c r="K1732" t="s">
        <v>40661</v>
      </c>
      <c r="M1732" t="s">
        <v>41698</v>
      </c>
      <c r="N1732" t="s">
        <v>44905</v>
      </c>
      <c r="O1732" t="s">
        <v>44906</v>
      </c>
      <c r="P1732">
        <v>0</v>
      </c>
      <c r="Q1732">
        <v>0</v>
      </c>
      <c r="R1732" t="s">
        <v>44907</v>
      </c>
      <c r="S1732" t="s">
        <v>45026</v>
      </c>
      <c r="T1732" t="s">
        <v>46509</v>
      </c>
      <c r="U1732" t="s">
        <v>48375</v>
      </c>
      <c r="W1732" t="s">
        <v>60867</v>
      </c>
      <c r="X1732" t="s">
        <v>44908</v>
      </c>
    </row>
    <row r="1733" spans="1:24">
      <c r="A1733">
        <f>HYPERLINK("https://www.philgeps.gov.ph/GEPSNONPILOT/Tender/SplashBidNoticeAbstractUI.aspx?menuIndex=3&amp;refID=7083792&amp;Result=3","7083792")</f>
        <v>0</v>
      </c>
      <c r="B1733" t="s">
        <v>631</v>
      </c>
      <c r="C1733" t="s">
        <v>5190</v>
      </c>
      <c r="D1733" t="s">
        <v>18148</v>
      </c>
      <c r="E1733" t="s">
        <v>5190</v>
      </c>
      <c r="F1733" t="s">
        <v>31362</v>
      </c>
      <c r="G1733" t="s">
        <v>31368</v>
      </c>
      <c r="H1733" t="s">
        <v>15799</v>
      </c>
      <c r="I1733" t="s">
        <v>3815</v>
      </c>
      <c r="J1733" t="s">
        <v>32574</v>
      </c>
      <c r="K1733" t="s">
        <v>40661</v>
      </c>
      <c r="M1733" t="s">
        <v>41591</v>
      </c>
      <c r="N1733" t="s">
        <v>44905</v>
      </c>
      <c r="O1733" t="s">
        <v>44906</v>
      </c>
      <c r="P1733">
        <v>0</v>
      </c>
      <c r="Q1733">
        <v>3</v>
      </c>
      <c r="R1733" t="s">
        <v>44907</v>
      </c>
      <c r="S1733" t="s">
        <v>45026</v>
      </c>
      <c r="T1733" t="s">
        <v>46470</v>
      </c>
      <c r="U1733" t="s">
        <v>48130</v>
      </c>
      <c r="W1733" t="s">
        <v>41591</v>
      </c>
      <c r="X1733" t="s">
        <v>44908</v>
      </c>
    </row>
    <row r="1734" spans="1:24">
      <c r="A1734">
        <f>HYPERLINK("https://www.philgeps.gov.ph/GEPSNONPILOT/Tender/SplashBidNoticeAbstractUI.aspx?menuIndex=3&amp;refID=7083813&amp;Result=3","7083813")</f>
        <v>0</v>
      </c>
      <c r="B1734" t="s">
        <v>562</v>
      </c>
      <c r="C1734" t="s">
        <v>5191</v>
      </c>
      <c r="D1734" t="s">
        <v>18177</v>
      </c>
      <c r="E1734" t="s">
        <v>19810</v>
      </c>
      <c r="F1734" t="s">
        <v>31362</v>
      </c>
      <c r="G1734" t="s">
        <v>31369</v>
      </c>
      <c r="H1734" t="s">
        <v>15799</v>
      </c>
      <c r="I1734" t="s">
        <v>31421</v>
      </c>
      <c r="J1734" t="s">
        <v>32763</v>
      </c>
      <c r="K1734" t="s">
        <v>40665</v>
      </c>
      <c r="M1734" t="s">
        <v>41518</v>
      </c>
      <c r="N1734" t="s">
        <v>44905</v>
      </c>
      <c r="O1734" t="s">
        <v>44906</v>
      </c>
      <c r="P1734">
        <v>0</v>
      </c>
      <c r="Q1734">
        <v>1</v>
      </c>
      <c r="R1734" t="s">
        <v>44907</v>
      </c>
      <c r="S1734" t="s">
        <v>45026</v>
      </c>
      <c r="T1734" t="s">
        <v>46557</v>
      </c>
      <c r="U1734" t="s">
        <v>48376</v>
      </c>
      <c r="W1734" t="s">
        <v>41518</v>
      </c>
      <c r="X1734" t="s">
        <v>44908</v>
      </c>
    </row>
    <row r="1735" spans="1:24">
      <c r="A1735">
        <f>HYPERLINK("https://www.philgeps.gov.ph/GEPSNONPILOT/Tender/SplashBidNoticeAbstractUI.aspx?menuIndex=3&amp;refID=7083818&amp;Result=3","7083818")</f>
        <v>0</v>
      </c>
      <c r="B1735" t="s">
        <v>732</v>
      </c>
      <c r="C1735" t="s">
        <v>5192</v>
      </c>
      <c r="D1735" t="s">
        <v>18125</v>
      </c>
      <c r="E1735" t="s">
        <v>19811</v>
      </c>
      <c r="F1735" t="s">
        <v>31362</v>
      </c>
      <c r="G1735" t="s">
        <v>31369</v>
      </c>
      <c r="H1735" t="s">
        <v>15799</v>
      </c>
      <c r="I1735" t="s">
        <v>31393</v>
      </c>
      <c r="J1735" t="s">
        <v>32540</v>
      </c>
      <c r="K1735" t="s">
        <v>40665</v>
      </c>
      <c r="M1735" t="s">
        <v>41699</v>
      </c>
      <c r="N1735" t="s">
        <v>44905</v>
      </c>
      <c r="O1735" t="s">
        <v>44906</v>
      </c>
      <c r="P1735">
        <v>0</v>
      </c>
      <c r="Q1735">
        <v>0</v>
      </c>
      <c r="R1735" t="s">
        <v>44907</v>
      </c>
      <c r="S1735" t="s">
        <v>45026</v>
      </c>
      <c r="T1735" t="s">
        <v>46582</v>
      </c>
      <c r="U1735" t="s">
        <v>48377</v>
      </c>
      <c r="W1735" t="s">
        <v>41699</v>
      </c>
      <c r="X1735" t="s">
        <v>44908</v>
      </c>
    </row>
    <row r="1736" spans="1:24">
      <c r="A1736">
        <f>HYPERLINK("https://www.philgeps.gov.ph/GEPSNONPILOT/Tender/SplashBidNoticeAbstractUI.aspx?menuIndex=3&amp;refID=7083807&amp;Result=3","7083807")</f>
        <v>0</v>
      </c>
      <c r="B1736" t="s">
        <v>417</v>
      </c>
      <c r="C1736" t="s">
        <v>5193</v>
      </c>
      <c r="D1736" t="s">
        <v>18166</v>
      </c>
      <c r="E1736" t="s">
        <v>19812</v>
      </c>
      <c r="F1736" t="s">
        <v>31362</v>
      </c>
      <c r="G1736" t="s">
        <v>31368</v>
      </c>
      <c r="H1736" t="s">
        <v>15799</v>
      </c>
      <c r="I1736" t="s">
        <v>31404</v>
      </c>
      <c r="J1736" t="s">
        <v>32764</v>
      </c>
      <c r="K1736" t="s">
        <v>40670</v>
      </c>
      <c r="M1736" t="s">
        <v>41367</v>
      </c>
      <c r="N1736" t="s">
        <v>44905</v>
      </c>
      <c r="O1736" t="s">
        <v>44906</v>
      </c>
      <c r="P1736">
        <v>0</v>
      </c>
      <c r="Q1736">
        <v>0</v>
      </c>
      <c r="R1736" t="s">
        <v>44907</v>
      </c>
      <c r="S1736" t="s">
        <v>45026</v>
      </c>
      <c r="T1736" t="s">
        <v>46454</v>
      </c>
      <c r="U1736" t="s">
        <v>48378</v>
      </c>
      <c r="W1736" t="s">
        <v>41367</v>
      </c>
      <c r="X1736" t="s">
        <v>44908</v>
      </c>
    </row>
    <row r="1737" spans="1:24">
      <c r="A1737">
        <f>HYPERLINK("https://www.philgeps.gov.ph/GEPSNONPILOT/Tender/SplashBidNoticeAbstractUI.aspx?menuIndex=3&amp;refID=7083803&amp;Result=3","7083803")</f>
        <v>0</v>
      </c>
      <c r="B1737" t="s">
        <v>293</v>
      </c>
      <c r="C1737" t="s">
        <v>5194</v>
      </c>
      <c r="D1737" t="s">
        <v>18108</v>
      </c>
      <c r="E1737" t="s">
        <v>19813</v>
      </c>
      <c r="F1737" t="s">
        <v>31362</v>
      </c>
      <c r="G1737" t="s">
        <v>31371</v>
      </c>
      <c r="H1737" t="s">
        <v>15799</v>
      </c>
      <c r="I1737" t="s">
        <v>7188</v>
      </c>
      <c r="J1737" t="s">
        <v>32765</v>
      </c>
      <c r="K1737" t="s">
        <v>40661</v>
      </c>
      <c r="M1737" t="s">
        <v>41236</v>
      </c>
      <c r="N1737" t="s">
        <v>44905</v>
      </c>
      <c r="O1737" t="s">
        <v>44906</v>
      </c>
      <c r="P1737">
        <v>0</v>
      </c>
      <c r="Q1737">
        <v>4</v>
      </c>
      <c r="R1737" t="s">
        <v>44907</v>
      </c>
      <c r="S1737" t="s">
        <v>45026</v>
      </c>
      <c r="T1737" t="s">
        <v>46454</v>
      </c>
      <c r="U1737" t="s">
        <v>48379</v>
      </c>
      <c r="W1737" t="s">
        <v>41236</v>
      </c>
      <c r="X1737" t="s">
        <v>44908</v>
      </c>
    </row>
    <row r="1738" spans="1:24">
      <c r="A1738">
        <f>HYPERLINK("https://www.philgeps.gov.ph/GEPSNONPILOT/Tender/SplashBidNoticeAbstractUI.aspx?menuIndex=3&amp;refID=7083772&amp;Result=3","7083772")</f>
        <v>0</v>
      </c>
      <c r="B1738" t="s">
        <v>716</v>
      </c>
      <c r="C1738" t="s">
        <v>5195</v>
      </c>
      <c r="D1738" t="s">
        <v>18160</v>
      </c>
      <c r="E1738" t="s">
        <v>19814</v>
      </c>
      <c r="F1738" t="s">
        <v>31362</v>
      </c>
      <c r="G1738" t="s">
        <v>31368</v>
      </c>
      <c r="H1738" t="s">
        <v>15799</v>
      </c>
      <c r="I1738" t="s">
        <v>7188</v>
      </c>
      <c r="J1738" t="s">
        <v>31543</v>
      </c>
      <c r="K1738" t="s">
        <v>40697</v>
      </c>
      <c r="M1738" t="s">
        <v>41681</v>
      </c>
      <c r="N1738" t="s">
        <v>44905</v>
      </c>
      <c r="O1738" t="s">
        <v>44906</v>
      </c>
      <c r="P1738">
        <v>0</v>
      </c>
      <c r="Q1738">
        <v>0</v>
      </c>
      <c r="R1738" t="s">
        <v>44907</v>
      </c>
      <c r="S1738" t="s">
        <v>45026</v>
      </c>
      <c r="T1738" t="s">
        <v>46454</v>
      </c>
      <c r="U1738" t="s">
        <v>48380</v>
      </c>
      <c r="W1738" t="s">
        <v>41681</v>
      </c>
      <c r="X1738" t="s">
        <v>44908</v>
      </c>
    </row>
    <row r="1739" spans="1:24">
      <c r="A1739">
        <f>HYPERLINK("https://www.philgeps.gov.ph/GEPSNONPILOT/Tender/SplashBidNoticeAbstractUI.aspx?menuIndex=3&amp;refID=7083809&amp;Result=3","7083809")</f>
        <v>0</v>
      </c>
      <c r="B1739" t="s">
        <v>698</v>
      </c>
      <c r="C1739" t="s">
        <v>5196</v>
      </c>
      <c r="D1739" t="s">
        <v>18104</v>
      </c>
      <c r="E1739" t="s">
        <v>19815</v>
      </c>
      <c r="F1739" t="s">
        <v>31362</v>
      </c>
      <c r="G1739" t="s">
        <v>31369</v>
      </c>
      <c r="H1739" t="s">
        <v>31378</v>
      </c>
      <c r="I1739" t="s">
        <v>31386</v>
      </c>
      <c r="J1739" t="s">
        <v>32711</v>
      </c>
      <c r="K1739" t="s">
        <v>40732</v>
      </c>
      <c r="M1739" t="s">
        <v>41663</v>
      </c>
      <c r="N1739" t="s">
        <v>44905</v>
      </c>
      <c r="O1739" t="s">
        <v>44906</v>
      </c>
      <c r="P1739">
        <v>0</v>
      </c>
      <c r="Q1739">
        <v>0</v>
      </c>
      <c r="R1739" t="s">
        <v>44907</v>
      </c>
      <c r="S1739" t="s">
        <v>45026</v>
      </c>
      <c r="T1739" t="s">
        <v>46449</v>
      </c>
      <c r="U1739" t="s">
        <v>48295</v>
      </c>
      <c r="W1739" t="s">
        <v>41663</v>
      </c>
      <c r="X1739" t="s">
        <v>44908</v>
      </c>
    </row>
    <row r="1740" spans="1:24">
      <c r="A1740">
        <f>HYPERLINK("https://www.philgeps.gov.ph/GEPSNONPILOT/Tender/SplashBidNoticeAbstractUI.aspx?menuIndex=3&amp;refID=7083850&amp;Result=3","7083850")</f>
        <v>0</v>
      </c>
      <c r="B1740" t="s">
        <v>200</v>
      </c>
      <c r="C1740" t="s">
        <v>5197</v>
      </c>
      <c r="D1740" t="s">
        <v>18106</v>
      </c>
      <c r="E1740" t="s">
        <v>19816</v>
      </c>
      <c r="F1740" t="s">
        <v>31362</v>
      </c>
      <c r="G1740" t="s">
        <v>31369</v>
      </c>
      <c r="H1740" t="s">
        <v>31378</v>
      </c>
      <c r="I1740" t="s">
        <v>31386</v>
      </c>
      <c r="J1740" t="s">
        <v>32766</v>
      </c>
      <c r="K1740" t="s">
        <v>40734</v>
      </c>
      <c r="M1740" t="s">
        <v>41139</v>
      </c>
      <c r="N1740" t="s">
        <v>44905</v>
      </c>
      <c r="O1740" t="s">
        <v>44906</v>
      </c>
      <c r="P1740">
        <v>0</v>
      </c>
      <c r="Q1740">
        <v>1</v>
      </c>
      <c r="R1740" t="s">
        <v>44907</v>
      </c>
      <c r="S1740" t="s">
        <v>45026</v>
      </c>
      <c r="T1740" t="s">
        <v>46431</v>
      </c>
      <c r="U1740" t="s">
        <v>48381</v>
      </c>
      <c r="W1740" t="s">
        <v>41139</v>
      </c>
      <c r="X1740" t="s">
        <v>44908</v>
      </c>
    </row>
    <row r="1741" spans="1:24">
      <c r="A1741">
        <f>HYPERLINK("https://www.philgeps.gov.ph/GEPSNONPILOT/Tender/SplashBidNoticeAbstractUI.aspx?menuIndex=3&amp;refID=7083759&amp;Result=3","7083759")</f>
        <v>0</v>
      </c>
      <c r="B1741" t="s">
        <v>733</v>
      </c>
      <c r="C1741" t="s">
        <v>5198</v>
      </c>
      <c r="E1741" t="s">
        <v>19817</v>
      </c>
      <c r="F1741" t="s">
        <v>31362</v>
      </c>
      <c r="G1741" t="s">
        <v>31369</v>
      </c>
      <c r="H1741" t="s">
        <v>15799</v>
      </c>
      <c r="I1741" t="s">
        <v>3815</v>
      </c>
      <c r="J1741" t="s">
        <v>32767</v>
      </c>
      <c r="K1741" t="s">
        <v>40662</v>
      </c>
      <c r="M1741" t="s">
        <v>41700</v>
      </c>
      <c r="N1741" t="s">
        <v>44905</v>
      </c>
      <c r="O1741" t="s">
        <v>44906</v>
      </c>
      <c r="P1741">
        <v>0</v>
      </c>
      <c r="Q1741">
        <v>0</v>
      </c>
      <c r="R1741" t="s">
        <v>44907</v>
      </c>
      <c r="S1741" t="s">
        <v>45026</v>
      </c>
      <c r="T1741" t="s">
        <v>46491</v>
      </c>
      <c r="U1741" t="s">
        <v>48382</v>
      </c>
      <c r="W1741" t="s">
        <v>41700</v>
      </c>
      <c r="X1741" t="s">
        <v>44908</v>
      </c>
    </row>
    <row r="1742" spans="1:24">
      <c r="A1742">
        <f>HYPERLINK("https://www.philgeps.gov.ph/GEPSNONPILOT/Tender/SplashBidNoticeAbstractUI.aspx?menuIndex=3&amp;refID=7083847&amp;Result=3","7083847")</f>
        <v>0</v>
      </c>
      <c r="B1742" t="s">
        <v>734</v>
      </c>
      <c r="C1742" t="s">
        <v>5199</v>
      </c>
      <c r="D1742" t="s">
        <v>18129</v>
      </c>
      <c r="E1742" t="s">
        <v>19818</v>
      </c>
      <c r="F1742" t="s">
        <v>31362</v>
      </c>
      <c r="G1742" t="s">
        <v>31369</v>
      </c>
      <c r="H1742" t="s">
        <v>31378</v>
      </c>
      <c r="I1742" t="s">
        <v>31386</v>
      </c>
      <c r="J1742" t="s">
        <v>31542</v>
      </c>
      <c r="K1742" t="s">
        <v>40679</v>
      </c>
      <c r="L1742" t="s">
        <v>734</v>
      </c>
      <c r="M1742" t="s">
        <v>41701</v>
      </c>
      <c r="N1742" t="s">
        <v>44905</v>
      </c>
      <c r="O1742" t="s">
        <v>44906</v>
      </c>
      <c r="P1742">
        <v>0</v>
      </c>
      <c r="Q1742">
        <v>0</v>
      </c>
      <c r="R1742" t="s">
        <v>44907</v>
      </c>
      <c r="S1742" t="s">
        <v>45026</v>
      </c>
      <c r="T1742" t="s">
        <v>46408</v>
      </c>
      <c r="U1742" t="s">
        <v>48383</v>
      </c>
      <c r="W1742" t="s">
        <v>41701</v>
      </c>
      <c r="X1742" t="s">
        <v>44908</v>
      </c>
    </row>
    <row r="1743" spans="1:24">
      <c r="A1743">
        <f>HYPERLINK("https://www.philgeps.gov.ph/GEPSNONPILOT/Tender/SplashBidNoticeAbstractUI.aspx?menuIndex=3&amp;refID=7083846&amp;Result=3","7083846")</f>
        <v>0</v>
      </c>
      <c r="B1743" t="s">
        <v>735</v>
      </c>
      <c r="C1743" t="s">
        <v>5200</v>
      </c>
      <c r="D1743" t="s">
        <v>18127</v>
      </c>
      <c r="E1743" t="s">
        <v>19819</v>
      </c>
      <c r="F1743" t="s">
        <v>31362</v>
      </c>
      <c r="G1743" t="s">
        <v>31368</v>
      </c>
      <c r="H1743" t="s">
        <v>15799</v>
      </c>
      <c r="I1743" t="s">
        <v>31457</v>
      </c>
      <c r="J1743" t="s">
        <v>32768</v>
      </c>
      <c r="K1743" t="s">
        <v>40665</v>
      </c>
      <c r="M1743" t="s">
        <v>41702</v>
      </c>
      <c r="N1743" t="s">
        <v>44905</v>
      </c>
      <c r="O1743" t="s">
        <v>44906</v>
      </c>
      <c r="P1743">
        <v>0</v>
      </c>
      <c r="Q1743">
        <v>0</v>
      </c>
      <c r="R1743" t="s">
        <v>44907</v>
      </c>
      <c r="S1743" t="s">
        <v>45026</v>
      </c>
      <c r="T1743" t="s">
        <v>46416</v>
      </c>
      <c r="U1743" t="s">
        <v>48384</v>
      </c>
      <c r="V1743" t="s">
        <v>59234</v>
      </c>
      <c r="W1743" t="s">
        <v>41702</v>
      </c>
      <c r="X1743" t="s">
        <v>44908</v>
      </c>
    </row>
    <row r="1744" spans="1:24">
      <c r="A1744">
        <f>HYPERLINK("https://www.philgeps.gov.ph/GEPSNONPILOT/Tender/SplashBidNoticeAbstractUI.aspx?menuIndex=3&amp;refID=7083844&amp;Result=3","7083844")</f>
        <v>0</v>
      </c>
      <c r="B1744" t="s">
        <v>736</v>
      </c>
      <c r="C1744" t="s">
        <v>5201</v>
      </c>
      <c r="D1744" t="s">
        <v>18117</v>
      </c>
      <c r="E1744" t="s">
        <v>19820</v>
      </c>
      <c r="F1744" t="s">
        <v>31362</v>
      </c>
      <c r="G1744" t="s">
        <v>31369</v>
      </c>
      <c r="H1744" t="s">
        <v>31378</v>
      </c>
      <c r="I1744" t="s">
        <v>31386</v>
      </c>
      <c r="J1744" t="s">
        <v>32769</v>
      </c>
      <c r="K1744" t="s">
        <v>40735</v>
      </c>
      <c r="M1744" t="s">
        <v>41703</v>
      </c>
      <c r="N1744" t="s">
        <v>44905</v>
      </c>
      <c r="O1744" t="s">
        <v>44906</v>
      </c>
      <c r="P1744">
        <v>0</v>
      </c>
      <c r="Q1744">
        <v>3</v>
      </c>
      <c r="R1744" t="s">
        <v>44907</v>
      </c>
      <c r="S1744" t="s">
        <v>45026</v>
      </c>
      <c r="T1744" t="s">
        <v>46429</v>
      </c>
      <c r="U1744" t="s">
        <v>48385</v>
      </c>
      <c r="V1744" t="s">
        <v>59235</v>
      </c>
      <c r="W1744" t="s">
        <v>41703</v>
      </c>
      <c r="X1744" t="s">
        <v>44908</v>
      </c>
    </row>
    <row r="1745" spans="1:24">
      <c r="A1745">
        <f>HYPERLINK("https://www.philgeps.gov.ph/GEPSNONPILOT/Tender/SplashBidNoticeAbstractUI.aspx?menuIndex=3&amp;refID=7083843&amp;Result=3","7083843")</f>
        <v>0</v>
      </c>
      <c r="B1745" t="s">
        <v>698</v>
      </c>
      <c r="C1745" t="s">
        <v>5202</v>
      </c>
      <c r="D1745" t="s">
        <v>18104</v>
      </c>
      <c r="E1745" t="s">
        <v>19821</v>
      </c>
      <c r="F1745" t="s">
        <v>31362</v>
      </c>
      <c r="G1745" t="s">
        <v>31369</v>
      </c>
      <c r="H1745" t="s">
        <v>31378</v>
      </c>
      <c r="I1745" t="s">
        <v>31386</v>
      </c>
      <c r="J1745" t="s">
        <v>32711</v>
      </c>
      <c r="K1745" t="s">
        <v>40732</v>
      </c>
      <c r="M1745" t="s">
        <v>41663</v>
      </c>
      <c r="N1745" t="s">
        <v>44905</v>
      </c>
      <c r="O1745" t="s">
        <v>44906</v>
      </c>
      <c r="P1745">
        <v>0</v>
      </c>
      <c r="Q1745">
        <v>0</v>
      </c>
      <c r="R1745" t="s">
        <v>44907</v>
      </c>
      <c r="S1745" t="s">
        <v>45026</v>
      </c>
      <c r="T1745" t="s">
        <v>46449</v>
      </c>
      <c r="U1745" t="s">
        <v>48295</v>
      </c>
      <c r="W1745" t="s">
        <v>41663</v>
      </c>
      <c r="X1745" t="s">
        <v>44908</v>
      </c>
    </row>
    <row r="1746" spans="1:24">
      <c r="A1746">
        <f>HYPERLINK("https://www.philgeps.gov.ph/GEPSNONPILOT/Tender/SplashBidNoticeAbstractUI.aspx?menuIndex=3&amp;refID=7083812&amp;Result=3","7083812")</f>
        <v>0</v>
      </c>
      <c r="B1746" t="s">
        <v>122</v>
      </c>
      <c r="C1746" t="s">
        <v>5203</v>
      </c>
      <c r="D1746" t="s">
        <v>18145</v>
      </c>
      <c r="E1746" t="s">
        <v>19822</v>
      </c>
      <c r="F1746" t="s">
        <v>31362</v>
      </c>
      <c r="G1746" t="s">
        <v>31369</v>
      </c>
      <c r="H1746" t="s">
        <v>15799</v>
      </c>
      <c r="I1746" t="s">
        <v>31426</v>
      </c>
      <c r="J1746" t="s">
        <v>31693</v>
      </c>
      <c r="K1746" t="s">
        <v>40682</v>
      </c>
      <c r="M1746" t="s">
        <v>41059</v>
      </c>
      <c r="N1746" t="s">
        <v>44905</v>
      </c>
      <c r="O1746" t="s">
        <v>44906</v>
      </c>
      <c r="P1746">
        <v>0</v>
      </c>
      <c r="Q1746">
        <v>3</v>
      </c>
      <c r="R1746" t="s">
        <v>44907</v>
      </c>
      <c r="S1746" t="s">
        <v>45026</v>
      </c>
      <c r="T1746" t="s">
        <v>46455</v>
      </c>
      <c r="U1746" t="s">
        <v>48386</v>
      </c>
      <c r="V1746" t="s">
        <v>59236</v>
      </c>
      <c r="W1746" t="s">
        <v>41059</v>
      </c>
      <c r="X1746" t="s">
        <v>44908</v>
      </c>
    </row>
    <row r="1747" spans="1:24">
      <c r="A1747">
        <f>HYPERLINK("https://www.philgeps.gov.ph/GEPSNONPILOT/Tender/SplashBidNoticeAbstractUI.aspx?menuIndex=3&amp;refID=7083837&amp;Result=3","7083837")</f>
        <v>0</v>
      </c>
      <c r="B1747" t="s">
        <v>710</v>
      </c>
      <c r="C1747" t="s">
        <v>5204</v>
      </c>
      <c r="D1747" t="s">
        <v>18139</v>
      </c>
      <c r="E1747" t="s">
        <v>19823</v>
      </c>
      <c r="F1747" t="s">
        <v>31362</v>
      </c>
      <c r="G1747" t="s">
        <v>31368</v>
      </c>
      <c r="H1747" t="s">
        <v>15799</v>
      </c>
      <c r="I1747" t="s">
        <v>7188</v>
      </c>
      <c r="J1747" t="s">
        <v>32770</v>
      </c>
      <c r="K1747" t="s">
        <v>40662</v>
      </c>
      <c r="M1747" t="s">
        <v>41675</v>
      </c>
      <c r="N1747" t="s">
        <v>44905</v>
      </c>
      <c r="O1747" t="s">
        <v>44906</v>
      </c>
      <c r="P1747">
        <v>0</v>
      </c>
      <c r="Q1747">
        <v>0</v>
      </c>
      <c r="R1747" t="s">
        <v>44907</v>
      </c>
      <c r="S1747" t="s">
        <v>45026</v>
      </c>
      <c r="T1747" t="s">
        <v>46412</v>
      </c>
      <c r="U1747" t="s">
        <v>48387</v>
      </c>
      <c r="W1747" t="s">
        <v>41675</v>
      </c>
      <c r="X1747" t="s">
        <v>44908</v>
      </c>
    </row>
    <row r="1748" spans="1:24">
      <c r="A1748">
        <f>HYPERLINK("https://www.philgeps.gov.ph/GEPSNONPILOT/Tender/SplashBidNoticeAbstractUI.aspx?menuIndex=3&amp;refID=7083817&amp;Result=3","7083817")</f>
        <v>0</v>
      </c>
      <c r="B1748" t="s">
        <v>722</v>
      </c>
      <c r="C1748" t="s">
        <v>5205</v>
      </c>
      <c r="E1748" t="s">
        <v>19824</v>
      </c>
      <c r="F1748" t="s">
        <v>31362</v>
      </c>
      <c r="G1748" t="s">
        <v>31369</v>
      </c>
      <c r="H1748" t="s">
        <v>31378</v>
      </c>
      <c r="I1748" t="s">
        <v>31386</v>
      </c>
      <c r="J1748" t="s">
        <v>31625</v>
      </c>
      <c r="K1748" t="s">
        <v>40662</v>
      </c>
      <c r="M1748" t="s">
        <v>41687</v>
      </c>
      <c r="N1748" t="s">
        <v>44905</v>
      </c>
      <c r="O1748" t="s">
        <v>44906</v>
      </c>
      <c r="P1748">
        <v>0</v>
      </c>
      <c r="Q1748">
        <v>1</v>
      </c>
      <c r="R1748" t="s">
        <v>44907</v>
      </c>
      <c r="S1748" t="s">
        <v>45026</v>
      </c>
      <c r="T1748" t="s">
        <v>46577</v>
      </c>
      <c r="U1748" t="s">
        <v>48388</v>
      </c>
      <c r="V1748" t="s">
        <v>59231</v>
      </c>
      <c r="W1748" t="s">
        <v>41687</v>
      </c>
      <c r="X1748" t="s">
        <v>44908</v>
      </c>
    </row>
    <row r="1749" spans="1:24">
      <c r="A1749">
        <f>HYPERLINK("https://www.philgeps.gov.ph/GEPSNONPILOT/Tender/SplashBidNoticeAbstractUI.aspx?menuIndex=3&amp;refID=7083852&amp;Result=3","7083852")</f>
        <v>0</v>
      </c>
      <c r="B1749" t="s">
        <v>130</v>
      </c>
      <c r="C1749" t="s">
        <v>5206</v>
      </c>
      <c r="D1749" t="s">
        <v>18109</v>
      </c>
      <c r="E1749" t="s">
        <v>19825</v>
      </c>
      <c r="F1749" t="s">
        <v>31362</v>
      </c>
      <c r="G1749" t="s">
        <v>31368</v>
      </c>
      <c r="H1749" t="s">
        <v>15799</v>
      </c>
      <c r="I1749" t="s">
        <v>31383</v>
      </c>
      <c r="J1749" t="s">
        <v>31546</v>
      </c>
      <c r="K1749" t="s">
        <v>40662</v>
      </c>
      <c r="M1749" t="s">
        <v>41067</v>
      </c>
      <c r="N1749" t="s">
        <v>44905</v>
      </c>
      <c r="O1749" t="s">
        <v>44906</v>
      </c>
      <c r="P1749">
        <v>0</v>
      </c>
      <c r="Q1749">
        <v>1</v>
      </c>
      <c r="R1749" t="s">
        <v>44907</v>
      </c>
      <c r="S1749" t="s">
        <v>45026</v>
      </c>
      <c r="T1749" t="s">
        <v>46394</v>
      </c>
      <c r="U1749" t="s">
        <v>48389</v>
      </c>
      <c r="W1749" t="s">
        <v>41067</v>
      </c>
      <c r="X1749" t="s">
        <v>44908</v>
      </c>
    </row>
    <row r="1750" spans="1:24">
      <c r="A1750">
        <f>HYPERLINK("https://www.philgeps.gov.ph/GEPSNONPILOT/Tender/SplashBidNoticeAbstractUI.aspx?menuIndex=3&amp;refID=7083856&amp;Result=3","7083856")</f>
        <v>0</v>
      </c>
      <c r="B1750" t="s">
        <v>737</v>
      </c>
      <c r="C1750" t="s">
        <v>5207</v>
      </c>
      <c r="D1750" t="s">
        <v>18154</v>
      </c>
      <c r="E1750" t="s">
        <v>19826</v>
      </c>
      <c r="F1750" t="s">
        <v>31362</v>
      </c>
      <c r="G1750" t="s">
        <v>31368</v>
      </c>
      <c r="H1750" t="s">
        <v>15799</v>
      </c>
      <c r="I1750" t="s">
        <v>4057</v>
      </c>
      <c r="J1750" t="s">
        <v>32771</v>
      </c>
      <c r="K1750" t="s">
        <v>40662</v>
      </c>
      <c r="M1750" t="s">
        <v>41704</v>
      </c>
      <c r="N1750" t="s">
        <v>44905</v>
      </c>
      <c r="O1750" t="s">
        <v>44906</v>
      </c>
      <c r="P1750">
        <v>0</v>
      </c>
      <c r="Q1750">
        <v>0</v>
      </c>
      <c r="R1750" t="s">
        <v>44907</v>
      </c>
      <c r="S1750" t="s">
        <v>45026</v>
      </c>
      <c r="T1750" t="s">
        <v>46414</v>
      </c>
      <c r="U1750" t="s">
        <v>48390</v>
      </c>
      <c r="W1750" t="s">
        <v>41704</v>
      </c>
      <c r="X1750" t="s">
        <v>44908</v>
      </c>
    </row>
    <row r="1751" spans="1:24">
      <c r="A1751">
        <f>HYPERLINK("https://www.philgeps.gov.ph/GEPSNONPILOT/Tender/SplashBidNoticeAbstractUI.aspx?menuIndex=3&amp;refID=7083851&amp;Result=3","7083851")</f>
        <v>0</v>
      </c>
      <c r="B1751" t="s">
        <v>738</v>
      </c>
      <c r="C1751" t="s">
        <v>5208</v>
      </c>
      <c r="D1751" t="s">
        <v>18106</v>
      </c>
      <c r="E1751" t="s">
        <v>19827</v>
      </c>
      <c r="F1751" t="s">
        <v>31362</v>
      </c>
      <c r="G1751" t="s">
        <v>31369</v>
      </c>
      <c r="H1751" t="s">
        <v>15799</v>
      </c>
      <c r="I1751" t="s">
        <v>3815</v>
      </c>
      <c r="J1751" t="s">
        <v>32772</v>
      </c>
      <c r="K1751" t="s">
        <v>40697</v>
      </c>
      <c r="M1751" t="s">
        <v>41705</v>
      </c>
      <c r="N1751" t="s">
        <v>44905</v>
      </c>
      <c r="O1751" t="s">
        <v>44906</v>
      </c>
      <c r="P1751">
        <v>0</v>
      </c>
      <c r="Q1751">
        <v>0</v>
      </c>
      <c r="R1751" t="s">
        <v>44907</v>
      </c>
      <c r="S1751" t="s">
        <v>45026</v>
      </c>
      <c r="T1751" t="s">
        <v>46396</v>
      </c>
      <c r="U1751" t="s">
        <v>48391</v>
      </c>
      <c r="W1751" t="s">
        <v>41705</v>
      </c>
      <c r="X1751" t="s">
        <v>44908</v>
      </c>
    </row>
    <row r="1752" spans="1:24">
      <c r="A1752">
        <f>HYPERLINK("https://www.philgeps.gov.ph/GEPSNONPILOT/Tender/SplashBidNoticeAbstractUI.aspx?menuIndex=3&amp;refID=7083883&amp;Result=3","7083883")</f>
        <v>0</v>
      </c>
      <c r="B1752" t="s">
        <v>739</v>
      </c>
      <c r="C1752" t="s">
        <v>5209</v>
      </c>
      <c r="D1752" t="s">
        <v>18117</v>
      </c>
      <c r="E1752" t="s">
        <v>19828</v>
      </c>
      <c r="F1752" t="s">
        <v>31362</v>
      </c>
      <c r="G1752" t="s">
        <v>31368</v>
      </c>
      <c r="H1752" t="s">
        <v>15799</v>
      </c>
      <c r="I1752" t="s">
        <v>3815</v>
      </c>
      <c r="J1752" t="s">
        <v>32773</v>
      </c>
      <c r="K1752" t="s">
        <v>40670</v>
      </c>
      <c r="M1752" t="s">
        <v>41706</v>
      </c>
      <c r="N1752" t="s">
        <v>44905</v>
      </c>
      <c r="O1752" t="s">
        <v>44906</v>
      </c>
      <c r="P1752">
        <v>0</v>
      </c>
      <c r="Q1752">
        <v>0</v>
      </c>
      <c r="R1752" t="s">
        <v>44907</v>
      </c>
      <c r="S1752" t="s">
        <v>45026</v>
      </c>
      <c r="T1752" t="s">
        <v>46454</v>
      </c>
      <c r="U1752" t="s">
        <v>48392</v>
      </c>
      <c r="W1752" t="s">
        <v>41706</v>
      </c>
      <c r="X1752" t="s">
        <v>44908</v>
      </c>
    </row>
    <row r="1753" spans="1:24">
      <c r="A1753">
        <f>HYPERLINK("https://www.philgeps.gov.ph/GEPSNONPILOT/Tender/SplashBidNoticeAbstractUI.aspx?menuIndex=3&amp;refID=7083758&amp;Result=3","7083758")</f>
        <v>0</v>
      </c>
      <c r="B1753" t="s">
        <v>673</v>
      </c>
      <c r="C1753" t="s">
        <v>5210</v>
      </c>
      <c r="D1753" t="s">
        <v>18136</v>
      </c>
      <c r="E1753" t="s">
        <v>19829</v>
      </c>
      <c r="F1753" t="s">
        <v>31362</v>
      </c>
      <c r="G1753" t="s">
        <v>31369</v>
      </c>
      <c r="H1753" t="s">
        <v>15799</v>
      </c>
      <c r="I1753" t="s">
        <v>31404</v>
      </c>
      <c r="J1753" t="s">
        <v>31625</v>
      </c>
      <c r="K1753" t="s">
        <v>40679</v>
      </c>
      <c r="M1753" t="s">
        <v>41635</v>
      </c>
      <c r="N1753" t="s">
        <v>44905</v>
      </c>
      <c r="O1753" t="s">
        <v>44906</v>
      </c>
      <c r="P1753">
        <v>0</v>
      </c>
      <c r="Q1753">
        <v>0</v>
      </c>
      <c r="R1753" t="s">
        <v>44907</v>
      </c>
      <c r="S1753" t="s">
        <v>45026</v>
      </c>
      <c r="T1753" t="s">
        <v>46570</v>
      </c>
      <c r="U1753" t="s">
        <v>48393</v>
      </c>
      <c r="W1753" t="s">
        <v>41635</v>
      </c>
      <c r="X1753" t="s">
        <v>44908</v>
      </c>
    </row>
    <row r="1754" spans="1:24">
      <c r="A1754">
        <f>HYPERLINK("https://www.philgeps.gov.ph/GEPSNONPILOT/Tender/SplashBidNoticeAbstractUI.aspx?menuIndex=3&amp;refID=7083880&amp;Result=3","7083880")</f>
        <v>0</v>
      </c>
      <c r="B1754" t="s">
        <v>590</v>
      </c>
      <c r="C1754" t="s">
        <v>5211</v>
      </c>
      <c r="D1754" t="s">
        <v>18162</v>
      </c>
      <c r="E1754" t="s">
        <v>19830</v>
      </c>
      <c r="F1754" t="s">
        <v>31362</v>
      </c>
      <c r="G1754" t="s">
        <v>31369</v>
      </c>
      <c r="H1754" t="s">
        <v>15799</v>
      </c>
      <c r="I1754" t="s">
        <v>31404</v>
      </c>
      <c r="J1754" t="s">
        <v>32774</v>
      </c>
      <c r="K1754" t="s">
        <v>40662</v>
      </c>
      <c r="M1754" t="s">
        <v>41547</v>
      </c>
      <c r="N1754" t="s">
        <v>44905</v>
      </c>
      <c r="O1754" t="s">
        <v>44906</v>
      </c>
      <c r="P1754">
        <v>0</v>
      </c>
      <c r="Q1754">
        <v>0</v>
      </c>
      <c r="R1754" t="s">
        <v>44907</v>
      </c>
      <c r="S1754" t="s">
        <v>45026</v>
      </c>
      <c r="T1754" t="s">
        <v>46560</v>
      </c>
      <c r="U1754" t="s">
        <v>48394</v>
      </c>
      <c r="W1754" t="s">
        <v>41547</v>
      </c>
      <c r="X1754" t="s">
        <v>44908</v>
      </c>
    </row>
    <row r="1755" spans="1:24">
      <c r="A1755">
        <f>HYPERLINK("https://www.philgeps.gov.ph/GEPSNONPILOT/Tender/SplashBidNoticeAbstractUI.aspx?menuIndex=3&amp;refID=7083877&amp;Result=3","7083877")</f>
        <v>0</v>
      </c>
      <c r="B1755" t="s">
        <v>740</v>
      </c>
      <c r="C1755" t="s">
        <v>5212</v>
      </c>
      <c r="D1755" t="s">
        <v>18109</v>
      </c>
      <c r="E1755" t="s">
        <v>19831</v>
      </c>
      <c r="F1755" t="s">
        <v>31362</v>
      </c>
      <c r="G1755" t="s">
        <v>31368</v>
      </c>
      <c r="H1755" t="s">
        <v>15799</v>
      </c>
      <c r="I1755" t="s">
        <v>31474</v>
      </c>
      <c r="J1755" t="s">
        <v>31827</v>
      </c>
      <c r="K1755" t="s">
        <v>40662</v>
      </c>
      <c r="M1755" t="s">
        <v>41707</v>
      </c>
      <c r="N1755" t="s">
        <v>44905</v>
      </c>
      <c r="O1755" t="s">
        <v>44906</v>
      </c>
      <c r="P1755">
        <v>0</v>
      </c>
      <c r="Q1755">
        <v>0</v>
      </c>
      <c r="R1755" t="s">
        <v>44907</v>
      </c>
      <c r="S1755" t="s">
        <v>45026</v>
      </c>
      <c r="T1755" t="s">
        <v>46583</v>
      </c>
      <c r="U1755" t="s">
        <v>48395</v>
      </c>
      <c r="W1755" t="s">
        <v>41707</v>
      </c>
      <c r="X1755" t="s">
        <v>44908</v>
      </c>
    </row>
    <row r="1756" spans="1:24">
      <c r="A1756">
        <f>HYPERLINK("https://www.philgeps.gov.ph/GEPSNONPILOT/Tender/SplashBidNoticeAbstractUI.aspx?menuIndex=3&amp;refID=7083885&amp;Result=3","7083885")</f>
        <v>0</v>
      </c>
      <c r="B1756" t="s">
        <v>741</v>
      </c>
      <c r="C1756" t="s">
        <v>5213</v>
      </c>
      <c r="D1756" t="s">
        <v>18131</v>
      </c>
      <c r="E1756" t="s">
        <v>19832</v>
      </c>
      <c r="F1756" t="s">
        <v>31362</v>
      </c>
      <c r="G1756" t="s">
        <v>31369</v>
      </c>
      <c r="H1756" t="s">
        <v>31378</v>
      </c>
      <c r="I1756" t="s">
        <v>3815</v>
      </c>
      <c r="J1756" t="s">
        <v>32775</v>
      </c>
      <c r="K1756" t="s">
        <v>40662</v>
      </c>
      <c r="M1756" t="s">
        <v>41708</v>
      </c>
      <c r="N1756" t="s">
        <v>44905</v>
      </c>
      <c r="O1756" t="s">
        <v>44906</v>
      </c>
      <c r="P1756">
        <v>0</v>
      </c>
      <c r="Q1756">
        <v>0</v>
      </c>
      <c r="R1756" t="s">
        <v>44907</v>
      </c>
      <c r="S1756" t="s">
        <v>45026</v>
      </c>
      <c r="T1756" t="s">
        <v>46417</v>
      </c>
      <c r="U1756" t="s">
        <v>48396</v>
      </c>
      <c r="W1756" t="s">
        <v>41708</v>
      </c>
      <c r="X1756" t="s">
        <v>44908</v>
      </c>
    </row>
    <row r="1757" spans="1:24">
      <c r="A1757">
        <f>HYPERLINK("https://www.philgeps.gov.ph/GEPSNONPILOT/Tender/SplashBidNoticeAbstractUI.aspx?menuIndex=3&amp;refID=7083875&amp;Result=3","7083875")</f>
        <v>0</v>
      </c>
      <c r="B1757" t="s">
        <v>742</v>
      </c>
      <c r="C1757" t="s">
        <v>5214</v>
      </c>
      <c r="D1757" t="s">
        <v>18109</v>
      </c>
      <c r="E1757" t="s">
        <v>19833</v>
      </c>
      <c r="F1757" t="s">
        <v>31362</v>
      </c>
      <c r="G1757" t="s">
        <v>31368</v>
      </c>
      <c r="H1757" t="s">
        <v>15799</v>
      </c>
      <c r="I1757" t="s">
        <v>3815</v>
      </c>
      <c r="J1757" t="s">
        <v>32776</v>
      </c>
      <c r="K1757" t="s">
        <v>40666</v>
      </c>
      <c r="M1757" t="s">
        <v>41709</v>
      </c>
      <c r="N1757" t="s">
        <v>44905</v>
      </c>
      <c r="O1757" t="s">
        <v>44906</v>
      </c>
      <c r="P1757">
        <v>0</v>
      </c>
      <c r="Q1757">
        <v>0</v>
      </c>
      <c r="R1757" t="s">
        <v>44907</v>
      </c>
      <c r="S1757" t="s">
        <v>45026</v>
      </c>
      <c r="T1757" t="s">
        <v>46440</v>
      </c>
      <c r="U1757" t="s">
        <v>48397</v>
      </c>
      <c r="W1757" t="s">
        <v>41709</v>
      </c>
      <c r="X1757" t="s">
        <v>44908</v>
      </c>
    </row>
    <row r="1758" spans="1:24">
      <c r="A1758">
        <f>HYPERLINK("https://www.philgeps.gov.ph/GEPSNONPILOT/Tender/SplashBidNoticeAbstractUI.aspx?menuIndex=3&amp;refID=7083878&amp;Result=3","7083878")</f>
        <v>0</v>
      </c>
      <c r="B1758" t="s">
        <v>743</v>
      </c>
      <c r="C1758" t="s">
        <v>5215</v>
      </c>
      <c r="D1758" t="s">
        <v>18117</v>
      </c>
      <c r="E1758" t="s">
        <v>19834</v>
      </c>
      <c r="F1758" t="s">
        <v>31362</v>
      </c>
      <c r="G1758" t="s">
        <v>31368</v>
      </c>
      <c r="H1758" t="s">
        <v>15799</v>
      </c>
      <c r="I1758" t="s">
        <v>31429</v>
      </c>
      <c r="J1758" t="s">
        <v>32777</v>
      </c>
      <c r="K1758" t="s">
        <v>40670</v>
      </c>
      <c r="M1758" t="s">
        <v>41710</v>
      </c>
      <c r="N1758" t="s">
        <v>44905</v>
      </c>
      <c r="O1758" t="s">
        <v>44906</v>
      </c>
      <c r="P1758">
        <v>0</v>
      </c>
      <c r="Q1758">
        <v>0</v>
      </c>
      <c r="R1758" t="s">
        <v>44907</v>
      </c>
      <c r="S1758" t="s">
        <v>45026</v>
      </c>
      <c r="T1758" t="s">
        <v>46404</v>
      </c>
      <c r="U1758" t="s">
        <v>48398</v>
      </c>
      <c r="W1758" t="s">
        <v>60868</v>
      </c>
      <c r="X1758" t="s">
        <v>44908</v>
      </c>
    </row>
    <row r="1759" spans="1:24">
      <c r="A1759">
        <f>HYPERLINK("https://www.philgeps.gov.ph/GEPSNONPILOT/Tender/SplashBidNoticeAbstractUI.aspx?menuIndex=3&amp;refID=7083871&amp;Result=3","7083871")</f>
        <v>0</v>
      </c>
      <c r="B1759" t="s">
        <v>462</v>
      </c>
      <c r="C1759" t="s">
        <v>5216</v>
      </c>
      <c r="D1759" t="s">
        <v>18150</v>
      </c>
      <c r="E1759" t="s">
        <v>19835</v>
      </c>
      <c r="F1759" t="s">
        <v>31362</v>
      </c>
      <c r="G1759" t="s">
        <v>31368</v>
      </c>
      <c r="H1759" t="s">
        <v>15799</v>
      </c>
      <c r="I1759" t="s">
        <v>4057</v>
      </c>
      <c r="J1759" t="s">
        <v>32032</v>
      </c>
      <c r="K1759" t="s">
        <v>40697</v>
      </c>
      <c r="M1759" t="s">
        <v>41416</v>
      </c>
      <c r="N1759" t="s">
        <v>44905</v>
      </c>
      <c r="O1759" t="s">
        <v>44906</v>
      </c>
      <c r="P1759">
        <v>0</v>
      </c>
      <c r="Q1759">
        <v>0</v>
      </c>
      <c r="R1759" t="s">
        <v>44907</v>
      </c>
      <c r="S1759" t="s">
        <v>45026</v>
      </c>
      <c r="T1759" t="s">
        <v>46584</v>
      </c>
      <c r="U1759" t="s">
        <v>48399</v>
      </c>
      <c r="W1759" t="s">
        <v>60855</v>
      </c>
      <c r="X1759" t="s">
        <v>44908</v>
      </c>
    </row>
    <row r="1760" spans="1:24">
      <c r="A1760">
        <f>HYPERLINK("https://www.philgeps.gov.ph/GEPSNONPILOT/Tender/SplashBidNoticeAbstractUI.aspx?menuIndex=3&amp;refID=7083869&amp;Result=3","7083869")</f>
        <v>0</v>
      </c>
      <c r="B1760" t="s">
        <v>54</v>
      </c>
      <c r="C1760" t="s">
        <v>5217</v>
      </c>
      <c r="E1760" t="s">
        <v>19836</v>
      </c>
      <c r="F1760" t="s">
        <v>31362</v>
      </c>
      <c r="G1760" t="s">
        <v>31368</v>
      </c>
      <c r="H1760" t="s">
        <v>15799</v>
      </c>
      <c r="I1760" t="s">
        <v>31385</v>
      </c>
      <c r="J1760" t="s">
        <v>32778</v>
      </c>
      <c r="K1760" t="s">
        <v>40670</v>
      </c>
      <c r="M1760" t="s">
        <v>41393</v>
      </c>
      <c r="N1760" t="s">
        <v>44905</v>
      </c>
      <c r="O1760" t="s">
        <v>44906</v>
      </c>
      <c r="P1760">
        <v>0</v>
      </c>
      <c r="Q1760">
        <v>3</v>
      </c>
      <c r="R1760" t="s">
        <v>44907</v>
      </c>
      <c r="S1760" t="s">
        <v>45026</v>
      </c>
      <c r="T1760" t="s">
        <v>46412</v>
      </c>
      <c r="U1760" t="s">
        <v>48400</v>
      </c>
      <c r="V1760" t="s">
        <v>59066</v>
      </c>
      <c r="W1760" t="s">
        <v>41393</v>
      </c>
      <c r="X1760" t="s">
        <v>44908</v>
      </c>
    </row>
    <row r="1761" spans="1:24">
      <c r="A1761">
        <f>HYPERLINK("https://www.philgeps.gov.ph/GEPSNONPILOT/Tender/SplashBidNoticeAbstractUI.aspx?menuIndex=3&amp;refID=7083866&amp;Result=3","7083866")</f>
        <v>0</v>
      </c>
      <c r="B1761" t="s">
        <v>132</v>
      </c>
      <c r="C1761" t="s">
        <v>5218</v>
      </c>
      <c r="D1761" t="s">
        <v>18131</v>
      </c>
      <c r="E1761" t="s">
        <v>19797</v>
      </c>
      <c r="F1761" t="s">
        <v>31362</v>
      </c>
      <c r="G1761" t="s">
        <v>31369</v>
      </c>
      <c r="H1761" t="s">
        <v>31378</v>
      </c>
      <c r="I1761" t="s">
        <v>31386</v>
      </c>
      <c r="J1761" t="s">
        <v>31531</v>
      </c>
      <c r="K1761" t="s">
        <v>40682</v>
      </c>
      <c r="L1761" t="s">
        <v>132</v>
      </c>
      <c r="M1761" t="s">
        <v>41070</v>
      </c>
      <c r="N1761" t="s">
        <v>44905</v>
      </c>
      <c r="O1761" t="s">
        <v>44906</v>
      </c>
      <c r="P1761">
        <v>0</v>
      </c>
      <c r="Q1761">
        <v>0</v>
      </c>
      <c r="R1761" t="s">
        <v>44907</v>
      </c>
      <c r="S1761" t="s">
        <v>45026</v>
      </c>
      <c r="T1761" t="s">
        <v>46461</v>
      </c>
      <c r="U1761" t="s">
        <v>48401</v>
      </c>
      <c r="W1761" t="s">
        <v>41070</v>
      </c>
      <c r="X1761" t="s">
        <v>44908</v>
      </c>
    </row>
    <row r="1762" spans="1:24">
      <c r="A1762">
        <f>HYPERLINK("https://www.philgeps.gov.ph/GEPSNONPILOT/Tender/SplashBidNoticeAbstractUI.aspx?menuIndex=3&amp;refID=7083890&amp;Result=3","7083890")</f>
        <v>0</v>
      </c>
      <c r="B1762" t="s">
        <v>440</v>
      </c>
      <c r="C1762" t="s">
        <v>5219</v>
      </c>
      <c r="D1762" t="s">
        <v>18154</v>
      </c>
      <c r="E1762" t="s">
        <v>19837</v>
      </c>
      <c r="F1762" t="s">
        <v>31362</v>
      </c>
      <c r="G1762" t="s">
        <v>31368</v>
      </c>
      <c r="H1762" t="s">
        <v>15799</v>
      </c>
      <c r="I1762" t="s">
        <v>31404</v>
      </c>
      <c r="J1762" t="s">
        <v>32779</v>
      </c>
      <c r="K1762" t="s">
        <v>40662</v>
      </c>
      <c r="M1762" t="s">
        <v>41392</v>
      </c>
      <c r="N1762" t="s">
        <v>44905</v>
      </c>
      <c r="O1762" t="s">
        <v>44906</v>
      </c>
      <c r="P1762">
        <v>0</v>
      </c>
      <c r="Q1762">
        <v>0</v>
      </c>
      <c r="R1762" t="s">
        <v>44907</v>
      </c>
      <c r="S1762" t="s">
        <v>45026</v>
      </c>
      <c r="T1762" t="s">
        <v>46447</v>
      </c>
      <c r="U1762" t="s">
        <v>48402</v>
      </c>
      <c r="W1762" t="s">
        <v>41392</v>
      </c>
      <c r="X1762" t="s">
        <v>44908</v>
      </c>
    </row>
    <row r="1763" spans="1:24">
      <c r="A1763">
        <f>HYPERLINK("https://www.philgeps.gov.ph/GEPSNONPILOT/Tender/SplashBidNoticeAbstractUI.aspx?menuIndex=3&amp;refID=7083873&amp;Result=3","7083873")</f>
        <v>0</v>
      </c>
      <c r="B1763" t="s">
        <v>744</v>
      </c>
      <c r="C1763" t="s">
        <v>5220</v>
      </c>
      <c r="D1763" t="s">
        <v>18148</v>
      </c>
      <c r="E1763" t="s">
        <v>19838</v>
      </c>
      <c r="F1763" t="s">
        <v>31365</v>
      </c>
      <c r="G1763" t="s">
        <v>31369</v>
      </c>
      <c r="H1763" t="s">
        <v>31378</v>
      </c>
      <c r="I1763" t="s">
        <v>31386</v>
      </c>
      <c r="J1763" t="s">
        <v>31531</v>
      </c>
      <c r="K1763" t="s">
        <v>40681</v>
      </c>
      <c r="M1763" t="s">
        <v>41711</v>
      </c>
      <c r="N1763" t="s">
        <v>44905</v>
      </c>
      <c r="O1763" t="s">
        <v>44906</v>
      </c>
      <c r="P1763">
        <v>0</v>
      </c>
      <c r="Q1763">
        <v>0</v>
      </c>
      <c r="R1763" t="s">
        <v>44907</v>
      </c>
      <c r="S1763" t="s">
        <v>45026</v>
      </c>
      <c r="T1763" t="s">
        <v>46433</v>
      </c>
      <c r="U1763" t="s">
        <v>48403</v>
      </c>
      <c r="W1763" t="s">
        <v>41711</v>
      </c>
      <c r="X1763" t="s">
        <v>44908</v>
      </c>
    </row>
    <row r="1764" spans="1:24">
      <c r="A1764">
        <f>HYPERLINK("https://www.philgeps.gov.ph/GEPSNONPILOT/Tender/SplashBidNoticeAbstractUI.aspx?menuIndex=3&amp;refID=7083919&amp;Result=3","7083919")</f>
        <v>0</v>
      </c>
      <c r="B1764" t="s">
        <v>745</v>
      </c>
      <c r="C1764" t="s">
        <v>5221</v>
      </c>
      <c r="D1764" t="s">
        <v>18134</v>
      </c>
      <c r="E1764" t="s">
        <v>19839</v>
      </c>
      <c r="F1764" t="s">
        <v>31362</v>
      </c>
      <c r="G1764" t="s">
        <v>31370</v>
      </c>
      <c r="H1764" t="s">
        <v>15799</v>
      </c>
      <c r="I1764" t="s">
        <v>3815</v>
      </c>
      <c r="J1764" t="s">
        <v>32780</v>
      </c>
      <c r="K1764" t="s">
        <v>40665</v>
      </c>
      <c r="M1764" t="s">
        <v>41712</v>
      </c>
      <c r="N1764" t="s">
        <v>44905</v>
      </c>
      <c r="O1764" t="s">
        <v>44906</v>
      </c>
      <c r="P1764">
        <v>0</v>
      </c>
      <c r="Q1764">
        <v>0</v>
      </c>
      <c r="R1764" t="s">
        <v>44907</v>
      </c>
      <c r="S1764" t="s">
        <v>45026</v>
      </c>
      <c r="T1764" t="s">
        <v>46463</v>
      </c>
      <c r="U1764" t="s">
        <v>48404</v>
      </c>
      <c r="W1764" t="s">
        <v>41712</v>
      </c>
      <c r="X1764" t="s">
        <v>44908</v>
      </c>
    </row>
    <row r="1765" spans="1:24">
      <c r="A1765">
        <f>HYPERLINK("https://www.philgeps.gov.ph/GEPSNONPILOT/Tender/SplashBidNoticeAbstractUI.aspx?menuIndex=3&amp;refID=7083879&amp;Result=3","7083879")</f>
        <v>0</v>
      </c>
      <c r="B1765" t="s">
        <v>746</v>
      </c>
      <c r="C1765" t="s">
        <v>5222</v>
      </c>
      <c r="D1765" t="s">
        <v>18138</v>
      </c>
      <c r="E1765" t="s">
        <v>19840</v>
      </c>
      <c r="F1765" t="s">
        <v>31362</v>
      </c>
      <c r="G1765" t="s">
        <v>31368</v>
      </c>
      <c r="H1765" t="s">
        <v>15799</v>
      </c>
      <c r="I1765" t="s">
        <v>31412</v>
      </c>
      <c r="J1765" t="s">
        <v>31578</v>
      </c>
      <c r="K1765" t="s">
        <v>40666</v>
      </c>
      <c r="M1765" t="s">
        <v>41713</v>
      </c>
      <c r="N1765" t="s">
        <v>44905</v>
      </c>
      <c r="O1765" t="s">
        <v>44906</v>
      </c>
      <c r="P1765">
        <v>0</v>
      </c>
      <c r="Q1765">
        <v>3</v>
      </c>
      <c r="R1765" t="s">
        <v>44907</v>
      </c>
      <c r="S1765" t="s">
        <v>45026</v>
      </c>
      <c r="T1765" t="s">
        <v>46438</v>
      </c>
      <c r="U1765" t="s">
        <v>48405</v>
      </c>
      <c r="W1765" t="s">
        <v>41713</v>
      </c>
      <c r="X1765" t="s">
        <v>44908</v>
      </c>
    </row>
    <row r="1766" spans="1:24">
      <c r="A1766">
        <f>HYPERLINK("https://www.philgeps.gov.ph/GEPSNONPILOT/Tender/SplashBidNoticeAbstractUI.aspx?menuIndex=3&amp;refID=7083842&amp;Result=3","7083842")</f>
        <v>0</v>
      </c>
      <c r="B1766" t="s">
        <v>132</v>
      </c>
      <c r="C1766" t="s">
        <v>5223</v>
      </c>
      <c r="D1766" t="s">
        <v>18131</v>
      </c>
      <c r="E1766" t="s">
        <v>19797</v>
      </c>
      <c r="F1766" t="s">
        <v>31362</v>
      </c>
      <c r="G1766" t="s">
        <v>31369</v>
      </c>
      <c r="H1766" t="s">
        <v>31378</v>
      </c>
      <c r="I1766" t="s">
        <v>31386</v>
      </c>
      <c r="J1766" t="s">
        <v>31531</v>
      </c>
      <c r="K1766" t="s">
        <v>40682</v>
      </c>
      <c r="L1766" t="s">
        <v>132</v>
      </c>
      <c r="M1766" t="s">
        <v>41070</v>
      </c>
      <c r="N1766" t="s">
        <v>44905</v>
      </c>
      <c r="O1766" t="s">
        <v>44906</v>
      </c>
      <c r="P1766">
        <v>0</v>
      </c>
      <c r="Q1766">
        <v>0</v>
      </c>
      <c r="R1766" t="s">
        <v>44907</v>
      </c>
      <c r="S1766" t="s">
        <v>45026</v>
      </c>
      <c r="T1766" t="s">
        <v>46461</v>
      </c>
      <c r="U1766" t="s">
        <v>48363</v>
      </c>
      <c r="W1766" t="s">
        <v>41070</v>
      </c>
      <c r="X1766" t="s">
        <v>44908</v>
      </c>
    </row>
    <row r="1767" spans="1:24">
      <c r="A1767">
        <f>HYPERLINK("https://www.philgeps.gov.ph/GEPSNONPILOT/Tender/SplashBidNoticeAbstractUI.aspx?menuIndex=3&amp;refID=7083917&amp;Result=3","7083917")</f>
        <v>0</v>
      </c>
      <c r="B1767" t="s">
        <v>727</v>
      </c>
      <c r="C1767" t="s">
        <v>4978</v>
      </c>
      <c r="D1767" t="s">
        <v>18114</v>
      </c>
      <c r="E1767" t="s">
        <v>19841</v>
      </c>
      <c r="F1767" t="s">
        <v>31362</v>
      </c>
      <c r="G1767" t="s">
        <v>31369</v>
      </c>
      <c r="H1767" t="s">
        <v>15799</v>
      </c>
      <c r="I1767" t="s">
        <v>4283</v>
      </c>
      <c r="J1767" t="s">
        <v>31668</v>
      </c>
      <c r="K1767" t="s">
        <v>40697</v>
      </c>
      <c r="L1767" t="s">
        <v>727</v>
      </c>
      <c r="M1767" t="s">
        <v>41692</v>
      </c>
      <c r="N1767" t="s">
        <v>44905</v>
      </c>
      <c r="O1767" t="s">
        <v>44906</v>
      </c>
      <c r="P1767">
        <v>0</v>
      </c>
      <c r="Q1767">
        <v>1</v>
      </c>
      <c r="R1767" t="s">
        <v>44907</v>
      </c>
      <c r="S1767" t="s">
        <v>45026</v>
      </c>
      <c r="T1767" t="s">
        <v>46408</v>
      </c>
      <c r="U1767" t="s">
        <v>48406</v>
      </c>
      <c r="W1767" t="s">
        <v>41692</v>
      </c>
      <c r="X1767" t="s">
        <v>44908</v>
      </c>
    </row>
    <row r="1768" spans="1:24">
      <c r="A1768">
        <f>HYPERLINK("https://www.philgeps.gov.ph/GEPSNONPILOT/Tender/SplashBidNoticeAbstractUI.aspx?menuIndex=3&amp;refID=7083910&amp;Result=3","7083910")</f>
        <v>0</v>
      </c>
      <c r="B1768" t="s">
        <v>747</v>
      </c>
      <c r="C1768" t="s">
        <v>5224</v>
      </c>
      <c r="D1768" t="s">
        <v>18108</v>
      </c>
      <c r="E1768" t="s">
        <v>19842</v>
      </c>
      <c r="F1768" t="s">
        <v>31362</v>
      </c>
      <c r="G1768" t="s">
        <v>31370</v>
      </c>
      <c r="H1768" t="s">
        <v>15799</v>
      </c>
      <c r="I1768" t="s">
        <v>31421</v>
      </c>
      <c r="J1768" t="s">
        <v>32781</v>
      </c>
      <c r="K1768" t="s">
        <v>40662</v>
      </c>
      <c r="M1768" t="s">
        <v>41714</v>
      </c>
      <c r="N1768" t="s">
        <v>44905</v>
      </c>
      <c r="O1768" t="s">
        <v>44906</v>
      </c>
      <c r="P1768">
        <v>0</v>
      </c>
      <c r="Q1768">
        <v>1</v>
      </c>
      <c r="R1768" t="s">
        <v>44907</v>
      </c>
      <c r="S1768" t="s">
        <v>45026</v>
      </c>
      <c r="T1768" t="s">
        <v>46454</v>
      </c>
      <c r="U1768" t="s">
        <v>48407</v>
      </c>
      <c r="W1768" t="s">
        <v>41714</v>
      </c>
      <c r="X1768" t="s">
        <v>44908</v>
      </c>
    </row>
    <row r="1769" spans="1:24">
      <c r="A1769">
        <f>HYPERLINK("https://www.philgeps.gov.ph/GEPSNONPILOT/Tender/SplashBidNoticeAbstractUI.aspx?menuIndex=3&amp;refID=7083908&amp;Result=3","7083908")</f>
        <v>0</v>
      </c>
      <c r="B1769" t="s">
        <v>734</v>
      </c>
      <c r="C1769" t="s">
        <v>5225</v>
      </c>
      <c r="D1769" t="s">
        <v>18129</v>
      </c>
      <c r="E1769" t="s">
        <v>19843</v>
      </c>
      <c r="F1769" t="s">
        <v>31362</v>
      </c>
      <c r="G1769" t="s">
        <v>31369</v>
      </c>
      <c r="H1769" t="s">
        <v>31378</v>
      </c>
      <c r="I1769" t="s">
        <v>31386</v>
      </c>
      <c r="J1769" t="s">
        <v>31625</v>
      </c>
      <c r="K1769" t="s">
        <v>40679</v>
      </c>
      <c r="L1769" t="s">
        <v>734</v>
      </c>
      <c r="M1769" t="s">
        <v>41701</v>
      </c>
      <c r="N1769" t="s">
        <v>44905</v>
      </c>
      <c r="O1769" t="s">
        <v>44906</v>
      </c>
      <c r="P1769">
        <v>0</v>
      </c>
      <c r="Q1769">
        <v>0</v>
      </c>
      <c r="R1769" t="s">
        <v>44907</v>
      </c>
      <c r="S1769" t="s">
        <v>45026</v>
      </c>
      <c r="T1769" t="s">
        <v>46408</v>
      </c>
      <c r="U1769" t="s">
        <v>48408</v>
      </c>
      <c r="W1769" t="s">
        <v>41701</v>
      </c>
      <c r="X1769" t="s">
        <v>44908</v>
      </c>
    </row>
    <row r="1770" spans="1:24">
      <c r="A1770">
        <f>HYPERLINK("https://www.philgeps.gov.ph/GEPSNONPILOT/Tender/SplashBidNoticeAbstractUI.aspx?menuIndex=3&amp;refID=7083884&amp;Result=3","7083884")</f>
        <v>0</v>
      </c>
      <c r="B1770" t="s">
        <v>748</v>
      </c>
      <c r="C1770" t="s">
        <v>5226</v>
      </c>
      <c r="D1770" t="s">
        <v>18108</v>
      </c>
      <c r="E1770" t="s">
        <v>18844</v>
      </c>
      <c r="F1770" t="s">
        <v>31362</v>
      </c>
      <c r="G1770" t="s">
        <v>31369</v>
      </c>
      <c r="H1770" t="s">
        <v>15799</v>
      </c>
      <c r="I1770" t="s">
        <v>31475</v>
      </c>
      <c r="J1770" t="s">
        <v>32782</v>
      </c>
      <c r="K1770" t="s">
        <v>40736</v>
      </c>
      <c r="M1770" t="s">
        <v>41715</v>
      </c>
      <c r="N1770" t="s">
        <v>44905</v>
      </c>
      <c r="O1770" t="s">
        <v>44906</v>
      </c>
      <c r="Q1770">
        <v>5</v>
      </c>
      <c r="R1770" t="s">
        <v>44907</v>
      </c>
      <c r="S1770" t="s">
        <v>45037</v>
      </c>
      <c r="T1770" t="s">
        <v>46436</v>
      </c>
      <c r="U1770" t="s">
        <v>48409</v>
      </c>
      <c r="W1770" t="s">
        <v>41715</v>
      </c>
      <c r="X1770" t="s">
        <v>44908</v>
      </c>
    </row>
    <row r="1771" spans="1:24">
      <c r="A1771">
        <f>HYPERLINK("https://www.philgeps.gov.ph/GEPSNONPILOT/Tender/SplashBidNoticeAbstractUI.aspx?menuIndex=3&amp;refID=7083918&amp;Result=3","7083918")</f>
        <v>0</v>
      </c>
      <c r="B1771" t="s">
        <v>749</v>
      </c>
      <c r="C1771" t="s">
        <v>5227</v>
      </c>
      <c r="D1771" t="s">
        <v>18148</v>
      </c>
      <c r="E1771" t="s">
        <v>19844</v>
      </c>
      <c r="F1771" t="s">
        <v>31362</v>
      </c>
      <c r="G1771" t="s">
        <v>31369</v>
      </c>
      <c r="H1771" t="s">
        <v>15799</v>
      </c>
      <c r="I1771" t="s">
        <v>31397</v>
      </c>
      <c r="J1771" t="s">
        <v>31633</v>
      </c>
      <c r="K1771" t="s">
        <v>40665</v>
      </c>
      <c r="M1771" t="s">
        <v>41716</v>
      </c>
      <c r="N1771" t="s">
        <v>44905</v>
      </c>
      <c r="O1771" t="s">
        <v>44906</v>
      </c>
      <c r="P1771">
        <v>0</v>
      </c>
      <c r="Q1771">
        <v>0</v>
      </c>
      <c r="R1771" t="s">
        <v>44907</v>
      </c>
      <c r="S1771" t="s">
        <v>45026</v>
      </c>
      <c r="T1771" t="s">
        <v>46585</v>
      </c>
      <c r="U1771" t="s">
        <v>48410</v>
      </c>
      <c r="W1771" t="s">
        <v>41716</v>
      </c>
      <c r="X1771" t="s">
        <v>44908</v>
      </c>
    </row>
    <row r="1772" spans="1:24">
      <c r="A1772">
        <f>HYPERLINK("https://www.philgeps.gov.ph/GEPSNONPILOT/Tender/SplashBidNoticeAbstractUI.aspx?menuIndex=3&amp;refID=7083912&amp;Result=3","7083912")</f>
        <v>0</v>
      </c>
      <c r="B1772" t="s">
        <v>750</v>
      </c>
      <c r="C1772" t="s">
        <v>5228</v>
      </c>
      <c r="E1772" t="s">
        <v>19845</v>
      </c>
      <c r="F1772" t="s">
        <v>31362</v>
      </c>
      <c r="G1772" t="s">
        <v>31369</v>
      </c>
      <c r="H1772" t="s">
        <v>31378</v>
      </c>
      <c r="I1772" t="s">
        <v>31386</v>
      </c>
      <c r="J1772" t="s">
        <v>32783</v>
      </c>
      <c r="K1772" t="s">
        <v>40662</v>
      </c>
      <c r="M1772" t="s">
        <v>41717</v>
      </c>
      <c r="N1772" t="s">
        <v>44905</v>
      </c>
      <c r="O1772" t="s">
        <v>44906</v>
      </c>
      <c r="P1772">
        <v>0</v>
      </c>
      <c r="Q1772">
        <v>0</v>
      </c>
      <c r="R1772" t="s">
        <v>44907</v>
      </c>
      <c r="S1772" t="s">
        <v>45026</v>
      </c>
      <c r="T1772" t="s">
        <v>46429</v>
      </c>
      <c r="U1772" t="s">
        <v>48411</v>
      </c>
      <c r="W1772" t="s">
        <v>44867</v>
      </c>
      <c r="X1772" t="s">
        <v>44908</v>
      </c>
    </row>
    <row r="1773" spans="1:24">
      <c r="A1773">
        <f>HYPERLINK("https://www.philgeps.gov.ph/GEPSNONPILOT/Tender/SplashBidNoticeAbstractUI.aspx?menuIndex=3&amp;refID=7083904&amp;Result=3","7083904")</f>
        <v>0</v>
      </c>
      <c r="B1773" t="s">
        <v>493</v>
      </c>
      <c r="C1773" t="s">
        <v>5229</v>
      </c>
      <c r="D1773" t="s">
        <v>18152</v>
      </c>
      <c r="E1773" t="s">
        <v>19846</v>
      </c>
      <c r="F1773" t="s">
        <v>31362</v>
      </c>
      <c r="G1773" t="s">
        <v>31369</v>
      </c>
      <c r="H1773" t="s">
        <v>15799</v>
      </c>
      <c r="I1773" t="s">
        <v>7090</v>
      </c>
      <c r="J1773" t="s">
        <v>32784</v>
      </c>
      <c r="K1773" t="s">
        <v>40670</v>
      </c>
      <c r="M1773" t="s">
        <v>41448</v>
      </c>
      <c r="N1773" t="s">
        <v>44905</v>
      </c>
      <c r="O1773" t="s">
        <v>44906</v>
      </c>
      <c r="P1773">
        <v>0</v>
      </c>
      <c r="Q1773">
        <v>0</v>
      </c>
      <c r="R1773" t="s">
        <v>44907</v>
      </c>
      <c r="S1773" t="s">
        <v>45026</v>
      </c>
      <c r="T1773" t="s">
        <v>46542</v>
      </c>
      <c r="U1773" t="s">
        <v>48412</v>
      </c>
      <c r="W1773" t="s">
        <v>41448</v>
      </c>
      <c r="X1773" t="s">
        <v>44908</v>
      </c>
    </row>
    <row r="1774" spans="1:24">
      <c r="A1774">
        <f>HYPERLINK("https://www.philgeps.gov.ph/GEPSNONPILOT/Tender/SplashBidNoticeAbstractUI.aspx?menuIndex=3&amp;refID=7083902&amp;Result=3","7083902")</f>
        <v>0</v>
      </c>
      <c r="B1774" t="s">
        <v>740</v>
      </c>
      <c r="C1774" t="s">
        <v>5230</v>
      </c>
      <c r="D1774" t="s">
        <v>18109</v>
      </c>
      <c r="E1774" t="s">
        <v>19847</v>
      </c>
      <c r="F1774" t="s">
        <v>31362</v>
      </c>
      <c r="G1774" t="s">
        <v>31368</v>
      </c>
      <c r="H1774" t="s">
        <v>15799</v>
      </c>
      <c r="I1774" t="s">
        <v>4057</v>
      </c>
      <c r="J1774" t="s">
        <v>32785</v>
      </c>
      <c r="K1774" t="s">
        <v>40662</v>
      </c>
      <c r="M1774" t="s">
        <v>41707</v>
      </c>
      <c r="N1774" t="s">
        <v>44905</v>
      </c>
      <c r="O1774" t="s">
        <v>44906</v>
      </c>
      <c r="P1774">
        <v>0</v>
      </c>
      <c r="Q1774">
        <v>0</v>
      </c>
      <c r="R1774" t="s">
        <v>44907</v>
      </c>
      <c r="S1774" t="s">
        <v>45026</v>
      </c>
      <c r="T1774" t="s">
        <v>46583</v>
      </c>
      <c r="U1774" t="s">
        <v>48413</v>
      </c>
      <c r="W1774" t="s">
        <v>41707</v>
      </c>
      <c r="X1774" t="s">
        <v>44908</v>
      </c>
    </row>
    <row r="1775" spans="1:24">
      <c r="A1775">
        <f>HYPERLINK("https://www.philgeps.gov.ph/GEPSNONPILOT/Tender/SplashBidNoticeAbstractUI.aspx?menuIndex=3&amp;refID=7083900&amp;Result=3","7083900")</f>
        <v>0</v>
      </c>
      <c r="B1775" t="s">
        <v>90</v>
      </c>
      <c r="C1775" t="s">
        <v>5231</v>
      </c>
      <c r="E1775" t="s">
        <v>19848</v>
      </c>
      <c r="F1775" t="s">
        <v>31362</v>
      </c>
      <c r="G1775" t="s">
        <v>31368</v>
      </c>
      <c r="H1775" t="s">
        <v>15799</v>
      </c>
      <c r="I1775" t="s">
        <v>6373</v>
      </c>
      <c r="J1775" t="s">
        <v>32786</v>
      </c>
      <c r="K1775" t="s">
        <v>40662</v>
      </c>
      <c r="M1775" t="s">
        <v>41027</v>
      </c>
      <c r="N1775" t="s">
        <v>44905</v>
      </c>
      <c r="O1775" t="s">
        <v>44906</v>
      </c>
      <c r="P1775">
        <v>0</v>
      </c>
      <c r="Q1775">
        <v>2</v>
      </c>
      <c r="R1775" t="s">
        <v>44907</v>
      </c>
      <c r="S1775" t="s">
        <v>45026</v>
      </c>
      <c r="T1775" t="s">
        <v>46438</v>
      </c>
      <c r="U1775" t="s">
        <v>48414</v>
      </c>
      <c r="W1775" t="s">
        <v>41027</v>
      </c>
      <c r="X1775" t="s">
        <v>44908</v>
      </c>
    </row>
    <row r="1776" spans="1:24">
      <c r="A1776">
        <f>HYPERLINK("https://www.philgeps.gov.ph/GEPSNONPILOT/Tender/SplashBidNoticeAbstractUI.aspx?menuIndex=3&amp;refID=7083896&amp;Result=3","7083896")</f>
        <v>0</v>
      </c>
      <c r="B1776" t="s">
        <v>132</v>
      </c>
      <c r="C1776" t="s">
        <v>5232</v>
      </c>
      <c r="D1776" t="s">
        <v>18131</v>
      </c>
      <c r="E1776" t="s">
        <v>19797</v>
      </c>
      <c r="F1776" t="s">
        <v>31362</v>
      </c>
      <c r="G1776" t="s">
        <v>31369</v>
      </c>
      <c r="H1776" t="s">
        <v>31378</v>
      </c>
      <c r="I1776" t="s">
        <v>31386</v>
      </c>
      <c r="J1776" t="s">
        <v>31530</v>
      </c>
      <c r="K1776" t="s">
        <v>40665</v>
      </c>
      <c r="L1776" t="s">
        <v>132</v>
      </c>
      <c r="M1776" t="s">
        <v>41070</v>
      </c>
      <c r="N1776" t="s">
        <v>44905</v>
      </c>
      <c r="O1776" t="s">
        <v>44906</v>
      </c>
      <c r="P1776">
        <v>0</v>
      </c>
      <c r="Q1776">
        <v>1</v>
      </c>
      <c r="R1776" t="s">
        <v>44907</v>
      </c>
      <c r="S1776" t="s">
        <v>45026</v>
      </c>
      <c r="T1776" t="s">
        <v>46461</v>
      </c>
      <c r="U1776" t="s">
        <v>48415</v>
      </c>
      <c r="W1776" t="s">
        <v>41070</v>
      </c>
      <c r="X1776" t="s">
        <v>44908</v>
      </c>
    </row>
    <row r="1777" spans="1:24">
      <c r="A1777">
        <f>HYPERLINK("https://www.philgeps.gov.ph/GEPSNONPILOT/Tender/SplashBidNoticeAbstractUI.aspx?menuIndex=3&amp;refID=7083867&amp;Result=3","7083867")</f>
        <v>0</v>
      </c>
      <c r="B1777" t="s">
        <v>404</v>
      </c>
      <c r="C1777" t="s">
        <v>5233</v>
      </c>
      <c r="D1777" t="s">
        <v>18108</v>
      </c>
      <c r="E1777" t="s">
        <v>19849</v>
      </c>
      <c r="F1777" t="s">
        <v>31362</v>
      </c>
      <c r="G1777" t="s">
        <v>31371</v>
      </c>
      <c r="H1777" t="s">
        <v>15799</v>
      </c>
      <c r="I1777" t="s">
        <v>7188</v>
      </c>
      <c r="J1777" t="s">
        <v>31843</v>
      </c>
      <c r="K1777" t="s">
        <v>40666</v>
      </c>
      <c r="M1777" t="s">
        <v>41718</v>
      </c>
      <c r="N1777" t="s">
        <v>44905</v>
      </c>
      <c r="O1777" t="s">
        <v>44906</v>
      </c>
      <c r="P1777">
        <v>0</v>
      </c>
      <c r="Q1777">
        <v>6</v>
      </c>
      <c r="R1777" t="s">
        <v>44907</v>
      </c>
      <c r="S1777" t="s">
        <v>45026</v>
      </c>
      <c r="T1777" t="s">
        <v>46435</v>
      </c>
      <c r="U1777" t="s">
        <v>48416</v>
      </c>
      <c r="V1777" t="s">
        <v>59237</v>
      </c>
      <c r="W1777" t="s">
        <v>41718</v>
      </c>
      <c r="X1777" t="s">
        <v>44908</v>
      </c>
    </row>
    <row r="1778" spans="1:24">
      <c r="A1778">
        <f>HYPERLINK("https://www.philgeps.gov.ph/GEPSNONPILOT/Tender/SplashBidNoticeAbstractUI.aspx?menuIndex=3&amp;refID=7083907&amp;Result=3","7083907")</f>
        <v>0</v>
      </c>
      <c r="B1778" t="s">
        <v>736</v>
      </c>
      <c r="C1778" t="s">
        <v>5234</v>
      </c>
      <c r="D1778" t="s">
        <v>18117</v>
      </c>
      <c r="E1778" t="s">
        <v>19850</v>
      </c>
      <c r="F1778" t="s">
        <v>31362</v>
      </c>
      <c r="G1778" t="s">
        <v>31369</v>
      </c>
      <c r="H1778" t="s">
        <v>15799</v>
      </c>
      <c r="I1778" t="s">
        <v>31404</v>
      </c>
      <c r="J1778" t="s">
        <v>32787</v>
      </c>
      <c r="K1778" t="s">
        <v>40670</v>
      </c>
      <c r="M1778" t="s">
        <v>41703</v>
      </c>
      <c r="N1778" t="s">
        <v>44905</v>
      </c>
      <c r="O1778" t="s">
        <v>44906</v>
      </c>
      <c r="P1778">
        <v>0</v>
      </c>
      <c r="Q1778">
        <v>0</v>
      </c>
      <c r="R1778" t="s">
        <v>44907</v>
      </c>
      <c r="S1778" t="s">
        <v>45026</v>
      </c>
      <c r="T1778" t="s">
        <v>46396</v>
      </c>
      <c r="U1778" t="s">
        <v>48417</v>
      </c>
      <c r="V1778" t="s">
        <v>59235</v>
      </c>
      <c r="W1778" t="s">
        <v>41703</v>
      </c>
      <c r="X1778" t="s">
        <v>44908</v>
      </c>
    </row>
    <row r="1779" spans="1:24">
      <c r="A1779">
        <f>HYPERLINK("https://www.philgeps.gov.ph/GEPSNONPILOT/Tender/SplashBidNoticeAbstractUI.aspx?menuIndex=3&amp;refID=7083895&amp;Result=3","7083895")</f>
        <v>0</v>
      </c>
      <c r="B1779" t="s">
        <v>747</v>
      </c>
      <c r="C1779" t="s">
        <v>5235</v>
      </c>
      <c r="D1779" t="s">
        <v>18108</v>
      </c>
      <c r="E1779" t="s">
        <v>19851</v>
      </c>
      <c r="F1779" t="s">
        <v>31362</v>
      </c>
      <c r="G1779" t="s">
        <v>31370</v>
      </c>
      <c r="H1779" t="s">
        <v>15799</v>
      </c>
      <c r="I1779" t="s">
        <v>31422</v>
      </c>
      <c r="J1779" t="s">
        <v>32788</v>
      </c>
      <c r="K1779" t="s">
        <v>40662</v>
      </c>
      <c r="M1779" t="s">
        <v>41714</v>
      </c>
      <c r="N1779" t="s">
        <v>44905</v>
      </c>
      <c r="O1779" t="s">
        <v>44906</v>
      </c>
      <c r="P1779">
        <v>0</v>
      </c>
      <c r="Q1779">
        <v>6</v>
      </c>
      <c r="R1779" t="s">
        <v>44907</v>
      </c>
      <c r="S1779" t="s">
        <v>45026</v>
      </c>
      <c r="T1779" t="s">
        <v>46586</v>
      </c>
      <c r="U1779" t="s">
        <v>48407</v>
      </c>
      <c r="W1779" t="s">
        <v>41714</v>
      </c>
      <c r="X1779" t="s">
        <v>44908</v>
      </c>
    </row>
    <row r="1780" spans="1:24">
      <c r="A1780">
        <f>HYPERLINK("https://www.philgeps.gov.ph/GEPSNONPILOT/Tender/SplashBidNoticeAbstractUI.aspx?menuIndex=3&amp;refID=7083903&amp;Result=3","7083903")</f>
        <v>0</v>
      </c>
      <c r="B1780" t="s">
        <v>751</v>
      </c>
      <c r="C1780" t="s">
        <v>5236</v>
      </c>
      <c r="D1780" t="s">
        <v>18122</v>
      </c>
      <c r="E1780" t="s">
        <v>19852</v>
      </c>
      <c r="F1780" t="s">
        <v>31362</v>
      </c>
      <c r="G1780" t="s">
        <v>31368</v>
      </c>
      <c r="H1780" t="s">
        <v>15799</v>
      </c>
      <c r="I1780" t="s">
        <v>31444</v>
      </c>
      <c r="J1780" t="s">
        <v>32754</v>
      </c>
      <c r="K1780" t="s">
        <v>40662</v>
      </c>
      <c r="M1780" t="s">
        <v>41719</v>
      </c>
      <c r="N1780" t="s">
        <v>44905</v>
      </c>
      <c r="O1780" t="s">
        <v>44906</v>
      </c>
      <c r="P1780">
        <v>0</v>
      </c>
      <c r="Q1780">
        <v>2</v>
      </c>
      <c r="R1780" t="s">
        <v>44907</v>
      </c>
      <c r="S1780" t="s">
        <v>45026</v>
      </c>
      <c r="T1780" t="s">
        <v>46438</v>
      </c>
      <c r="U1780" t="s">
        <v>48418</v>
      </c>
      <c r="W1780" t="s">
        <v>41719</v>
      </c>
      <c r="X1780" t="s">
        <v>44908</v>
      </c>
    </row>
    <row r="1781" spans="1:24">
      <c r="A1781">
        <f>HYPERLINK("https://www.philgeps.gov.ph/GEPSNONPILOT/Tender/SplashBidNoticeAbstractUI.aspx?menuIndex=3&amp;refID=7083891&amp;Result=3","7083891")</f>
        <v>0</v>
      </c>
      <c r="B1781" t="s">
        <v>752</v>
      </c>
      <c r="C1781" t="s">
        <v>5237</v>
      </c>
      <c r="D1781" t="s">
        <v>18139</v>
      </c>
      <c r="E1781" t="s">
        <v>19313</v>
      </c>
      <c r="F1781" t="s">
        <v>31362</v>
      </c>
      <c r="G1781" t="s">
        <v>31368</v>
      </c>
      <c r="H1781" t="s">
        <v>15799</v>
      </c>
      <c r="I1781" t="s">
        <v>31385</v>
      </c>
      <c r="J1781" t="s">
        <v>32789</v>
      </c>
      <c r="K1781" t="s">
        <v>40662</v>
      </c>
      <c r="M1781" t="s">
        <v>41720</v>
      </c>
      <c r="N1781" t="s">
        <v>44905</v>
      </c>
      <c r="O1781" t="s">
        <v>44906</v>
      </c>
      <c r="P1781">
        <v>0</v>
      </c>
      <c r="Q1781">
        <v>1</v>
      </c>
      <c r="R1781" t="s">
        <v>44907</v>
      </c>
      <c r="S1781" t="s">
        <v>45026</v>
      </c>
      <c r="T1781" t="s">
        <v>46414</v>
      </c>
      <c r="U1781" t="s">
        <v>48419</v>
      </c>
      <c r="W1781" t="s">
        <v>41720</v>
      </c>
      <c r="X1781" t="s">
        <v>44908</v>
      </c>
    </row>
    <row r="1782" spans="1:24">
      <c r="A1782">
        <f>HYPERLINK("https://www.philgeps.gov.ph/GEPSNONPILOT/Tender/SplashBidNoticeAbstractUI.aspx?menuIndex=3&amp;refID=7083865&amp;Result=3","7083865")</f>
        <v>0</v>
      </c>
      <c r="B1782" t="s">
        <v>753</v>
      </c>
      <c r="C1782" t="s">
        <v>5238</v>
      </c>
      <c r="D1782" t="s">
        <v>18175</v>
      </c>
      <c r="E1782" t="s">
        <v>19853</v>
      </c>
      <c r="F1782" t="s">
        <v>31362</v>
      </c>
      <c r="G1782" t="s">
        <v>31368</v>
      </c>
      <c r="H1782" t="s">
        <v>15799</v>
      </c>
      <c r="I1782" t="s">
        <v>31427</v>
      </c>
      <c r="J1782" t="s">
        <v>32790</v>
      </c>
      <c r="K1782" t="s">
        <v>40661</v>
      </c>
      <c r="M1782" t="s">
        <v>41721</v>
      </c>
      <c r="N1782" t="s">
        <v>44905</v>
      </c>
      <c r="O1782" t="s">
        <v>44906</v>
      </c>
      <c r="P1782">
        <v>0</v>
      </c>
      <c r="Q1782">
        <v>7</v>
      </c>
      <c r="R1782" t="s">
        <v>44907</v>
      </c>
      <c r="S1782" t="s">
        <v>45026</v>
      </c>
      <c r="T1782" t="s">
        <v>46481</v>
      </c>
      <c r="U1782" t="s">
        <v>48420</v>
      </c>
      <c r="V1782" t="s">
        <v>59238</v>
      </c>
      <c r="W1782" t="s">
        <v>41721</v>
      </c>
      <c r="X1782" t="s">
        <v>44908</v>
      </c>
    </row>
    <row r="1783" spans="1:24">
      <c r="A1783">
        <f>HYPERLINK("https://www.philgeps.gov.ph/GEPSNONPILOT/Tender/SplashBidNoticeAbstractUI.aspx?menuIndex=3&amp;refID=7083838&amp;Result=3","7083838")</f>
        <v>0</v>
      </c>
      <c r="B1783" t="s">
        <v>440</v>
      </c>
      <c r="C1783" t="s">
        <v>5239</v>
      </c>
      <c r="D1783" t="s">
        <v>18154</v>
      </c>
      <c r="E1783" t="s">
        <v>19854</v>
      </c>
      <c r="F1783" t="s">
        <v>31362</v>
      </c>
      <c r="G1783" t="s">
        <v>31368</v>
      </c>
      <c r="H1783" t="s">
        <v>15799</v>
      </c>
      <c r="I1783" t="s">
        <v>31404</v>
      </c>
      <c r="J1783" t="s">
        <v>32791</v>
      </c>
      <c r="K1783" t="s">
        <v>40662</v>
      </c>
      <c r="M1783" t="s">
        <v>41392</v>
      </c>
      <c r="N1783" t="s">
        <v>44905</v>
      </c>
      <c r="O1783" t="s">
        <v>44906</v>
      </c>
      <c r="P1783">
        <v>0</v>
      </c>
      <c r="Q1783">
        <v>0</v>
      </c>
      <c r="R1783" t="s">
        <v>44907</v>
      </c>
      <c r="S1783" t="s">
        <v>45026</v>
      </c>
      <c r="T1783" t="s">
        <v>46447</v>
      </c>
      <c r="U1783" t="s">
        <v>48421</v>
      </c>
      <c r="W1783" t="s">
        <v>41392</v>
      </c>
      <c r="X1783" t="s">
        <v>44908</v>
      </c>
    </row>
    <row r="1784" spans="1:24">
      <c r="A1784">
        <f>HYPERLINK("https://www.philgeps.gov.ph/GEPSNONPILOT/Tender/SplashBidNoticeAbstractUI.aspx?menuIndex=3&amp;refID=7083863&amp;Result=3","7083863")</f>
        <v>0</v>
      </c>
      <c r="B1784" t="s">
        <v>484</v>
      </c>
      <c r="C1784" t="s">
        <v>5240</v>
      </c>
      <c r="D1784" t="s">
        <v>18108</v>
      </c>
      <c r="E1784" t="s">
        <v>19855</v>
      </c>
      <c r="F1784" t="s">
        <v>31362</v>
      </c>
      <c r="G1784" t="s">
        <v>31368</v>
      </c>
      <c r="H1784" t="s">
        <v>15799</v>
      </c>
      <c r="I1784" t="s">
        <v>31391</v>
      </c>
      <c r="J1784" t="s">
        <v>32792</v>
      </c>
      <c r="K1784" t="s">
        <v>40662</v>
      </c>
      <c r="M1784" t="s">
        <v>41438</v>
      </c>
      <c r="N1784" t="s">
        <v>44905</v>
      </c>
      <c r="O1784" t="s">
        <v>44906</v>
      </c>
      <c r="P1784">
        <v>0</v>
      </c>
      <c r="Q1784">
        <v>1</v>
      </c>
      <c r="R1784" t="s">
        <v>44907</v>
      </c>
      <c r="S1784" t="s">
        <v>45026</v>
      </c>
      <c r="T1784" t="s">
        <v>46434</v>
      </c>
      <c r="U1784" t="s">
        <v>47840</v>
      </c>
      <c r="W1784" t="s">
        <v>41438</v>
      </c>
      <c r="X1784" t="s">
        <v>44908</v>
      </c>
    </row>
    <row r="1785" spans="1:24">
      <c r="A1785">
        <f>HYPERLINK("https://www.philgeps.gov.ph/GEPSNONPILOT/Tender/SplashBidNoticeAbstractUI.aspx?menuIndex=3&amp;refID=7083860&amp;Result=3","7083860")</f>
        <v>0</v>
      </c>
      <c r="B1785" t="s">
        <v>754</v>
      </c>
      <c r="C1785" t="s">
        <v>5241</v>
      </c>
      <c r="D1785" t="s">
        <v>18131</v>
      </c>
      <c r="E1785" t="s">
        <v>19689</v>
      </c>
      <c r="F1785" t="s">
        <v>31362</v>
      </c>
      <c r="G1785" t="s">
        <v>31368</v>
      </c>
      <c r="H1785" t="s">
        <v>15799</v>
      </c>
      <c r="I1785" t="s">
        <v>31393</v>
      </c>
      <c r="J1785" t="s">
        <v>31579</v>
      </c>
      <c r="K1785" t="s">
        <v>40661</v>
      </c>
      <c r="M1785" t="s">
        <v>41722</v>
      </c>
      <c r="N1785" t="s">
        <v>44905</v>
      </c>
      <c r="O1785" t="s">
        <v>44906</v>
      </c>
      <c r="P1785">
        <v>0</v>
      </c>
      <c r="Q1785">
        <v>0</v>
      </c>
      <c r="R1785" t="s">
        <v>44907</v>
      </c>
      <c r="S1785" t="s">
        <v>45026</v>
      </c>
      <c r="T1785" t="s">
        <v>46454</v>
      </c>
      <c r="U1785" t="s">
        <v>48422</v>
      </c>
      <c r="W1785" t="s">
        <v>41722</v>
      </c>
      <c r="X1785" t="s">
        <v>44908</v>
      </c>
    </row>
    <row r="1786" spans="1:24">
      <c r="A1786">
        <f>HYPERLINK("https://www.philgeps.gov.ph/GEPSNONPILOT/Tender/SplashBidNoticeAbstractUI.aspx?menuIndex=3&amp;refID=7083893&amp;Result=3","7083893")</f>
        <v>0</v>
      </c>
      <c r="B1786" t="s">
        <v>755</v>
      </c>
      <c r="C1786" t="s">
        <v>5242</v>
      </c>
      <c r="D1786" t="s">
        <v>18134</v>
      </c>
      <c r="E1786" t="s">
        <v>19498</v>
      </c>
      <c r="F1786" t="s">
        <v>31362</v>
      </c>
      <c r="G1786" t="s">
        <v>31369</v>
      </c>
      <c r="H1786" t="s">
        <v>15799</v>
      </c>
      <c r="I1786" t="s">
        <v>31444</v>
      </c>
      <c r="J1786" t="s">
        <v>32793</v>
      </c>
      <c r="K1786" t="s">
        <v>40677</v>
      </c>
      <c r="M1786" t="s">
        <v>41723</v>
      </c>
      <c r="N1786" t="s">
        <v>44905</v>
      </c>
      <c r="O1786" t="s">
        <v>44906</v>
      </c>
      <c r="P1786">
        <v>0</v>
      </c>
      <c r="Q1786">
        <v>4</v>
      </c>
      <c r="R1786" t="s">
        <v>44907</v>
      </c>
      <c r="S1786" t="s">
        <v>45026</v>
      </c>
      <c r="T1786" t="s">
        <v>46559</v>
      </c>
      <c r="U1786" t="s">
        <v>48423</v>
      </c>
      <c r="W1786" t="s">
        <v>41723</v>
      </c>
      <c r="X1786" t="s">
        <v>44908</v>
      </c>
    </row>
    <row r="1787" spans="1:24">
      <c r="A1787">
        <f>HYPERLINK("https://www.philgeps.gov.ph/GEPSNONPILOT/Tender/SplashBidNoticeAbstractUI.aspx?menuIndex=3&amp;refID=7083857&amp;Result=3","7083857")</f>
        <v>0</v>
      </c>
      <c r="B1787" t="s">
        <v>673</v>
      </c>
      <c r="C1787" t="s">
        <v>5243</v>
      </c>
      <c r="D1787" t="s">
        <v>18136</v>
      </c>
      <c r="E1787" t="s">
        <v>19856</v>
      </c>
      <c r="F1787" t="s">
        <v>31362</v>
      </c>
      <c r="G1787" t="s">
        <v>31369</v>
      </c>
      <c r="H1787" t="s">
        <v>15799</v>
      </c>
      <c r="I1787" t="s">
        <v>31404</v>
      </c>
      <c r="J1787" t="s">
        <v>31634</v>
      </c>
      <c r="K1787" t="s">
        <v>40665</v>
      </c>
      <c r="M1787" t="s">
        <v>41635</v>
      </c>
      <c r="N1787" t="s">
        <v>44905</v>
      </c>
      <c r="O1787" t="s">
        <v>44906</v>
      </c>
      <c r="P1787">
        <v>0</v>
      </c>
      <c r="Q1787">
        <v>0</v>
      </c>
      <c r="R1787" t="s">
        <v>44907</v>
      </c>
      <c r="S1787" t="s">
        <v>45026</v>
      </c>
      <c r="T1787" t="s">
        <v>46570</v>
      </c>
      <c r="U1787" t="s">
        <v>48424</v>
      </c>
      <c r="W1787" t="s">
        <v>41635</v>
      </c>
      <c r="X1787" t="s">
        <v>44908</v>
      </c>
    </row>
    <row r="1788" spans="1:24">
      <c r="A1788">
        <f>HYPERLINK("https://www.philgeps.gov.ph/GEPSNONPILOT/Tender/SplashBidNoticeAbstractUI.aspx?menuIndex=3&amp;refID=7083886&amp;Result=3","7083886")</f>
        <v>0</v>
      </c>
      <c r="B1788" t="s">
        <v>159</v>
      </c>
      <c r="C1788" t="s">
        <v>4048</v>
      </c>
      <c r="E1788" t="s">
        <v>18494</v>
      </c>
      <c r="F1788" t="s">
        <v>31362</v>
      </c>
      <c r="G1788" t="s">
        <v>31370</v>
      </c>
      <c r="H1788" t="s">
        <v>15799</v>
      </c>
      <c r="I1788" t="s">
        <v>31385</v>
      </c>
      <c r="J1788" t="s">
        <v>32794</v>
      </c>
      <c r="K1788" t="s">
        <v>40662</v>
      </c>
      <c r="M1788" t="s">
        <v>41097</v>
      </c>
      <c r="N1788" t="s">
        <v>44905</v>
      </c>
      <c r="O1788" t="s">
        <v>44906</v>
      </c>
      <c r="P1788">
        <v>0</v>
      </c>
      <c r="Q1788">
        <v>0</v>
      </c>
      <c r="R1788" t="s">
        <v>44907</v>
      </c>
      <c r="S1788" t="s">
        <v>45026</v>
      </c>
      <c r="T1788" t="s">
        <v>46587</v>
      </c>
      <c r="U1788" t="s">
        <v>48425</v>
      </c>
      <c r="W1788" t="s">
        <v>41097</v>
      </c>
      <c r="X1788" t="s">
        <v>44908</v>
      </c>
    </row>
    <row r="1789" spans="1:24">
      <c r="A1789">
        <f>HYPERLINK("https://www.philgeps.gov.ph/GEPSNONPILOT/Tender/SplashBidNoticeAbstractUI.aspx?menuIndex=3&amp;refID=7083835&amp;Result=3","7083835")</f>
        <v>0</v>
      </c>
      <c r="B1789" t="s">
        <v>756</v>
      </c>
      <c r="C1789" t="s">
        <v>5244</v>
      </c>
      <c r="D1789" t="s">
        <v>18123</v>
      </c>
      <c r="E1789" t="s">
        <v>19857</v>
      </c>
      <c r="F1789" t="s">
        <v>31362</v>
      </c>
      <c r="G1789" t="s">
        <v>31369</v>
      </c>
      <c r="H1789" t="s">
        <v>15799</v>
      </c>
      <c r="I1789" t="s">
        <v>3815</v>
      </c>
      <c r="J1789" t="s">
        <v>32795</v>
      </c>
      <c r="K1789" t="s">
        <v>40666</v>
      </c>
      <c r="M1789" t="s">
        <v>41724</v>
      </c>
      <c r="N1789" t="s">
        <v>44905</v>
      </c>
      <c r="O1789" t="s">
        <v>44906</v>
      </c>
      <c r="P1789">
        <v>0</v>
      </c>
      <c r="Q1789">
        <v>0</v>
      </c>
      <c r="R1789" t="s">
        <v>44907</v>
      </c>
      <c r="S1789" t="s">
        <v>45026</v>
      </c>
      <c r="T1789" t="s">
        <v>46481</v>
      </c>
      <c r="U1789" t="s">
        <v>48426</v>
      </c>
      <c r="W1789" t="s">
        <v>41724</v>
      </c>
      <c r="X1789" t="s">
        <v>44908</v>
      </c>
    </row>
    <row r="1790" spans="1:24">
      <c r="A1790">
        <f>HYPERLINK("https://www.philgeps.gov.ph/GEPSNONPILOT/Tender/SplashBidNoticeAbstractUI.aspx?menuIndex=3&amp;refID=7083898&amp;Result=3","7083898")</f>
        <v>0</v>
      </c>
      <c r="B1790" t="s">
        <v>750</v>
      </c>
      <c r="C1790" t="s">
        <v>5245</v>
      </c>
      <c r="E1790" t="s">
        <v>19858</v>
      </c>
      <c r="F1790" t="s">
        <v>31362</v>
      </c>
      <c r="G1790" t="s">
        <v>31369</v>
      </c>
      <c r="H1790" t="s">
        <v>31378</v>
      </c>
      <c r="I1790" t="s">
        <v>31386</v>
      </c>
      <c r="J1790" t="s">
        <v>32796</v>
      </c>
      <c r="K1790" t="s">
        <v>40662</v>
      </c>
      <c r="M1790" t="s">
        <v>41717</v>
      </c>
      <c r="N1790" t="s">
        <v>44905</v>
      </c>
      <c r="O1790" t="s">
        <v>44906</v>
      </c>
      <c r="P1790">
        <v>0</v>
      </c>
      <c r="Q1790">
        <v>1</v>
      </c>
      <c r="R1790" t="s">
        <v>44907</v>
      </c>
      <c r="S1790" t="s">
        <v>45026</v>
      </c>
      <c r="T1790" t="s">
        <v>46429</v>
      </c>
      <c r="U1790" t="s">
        <v>48427</v>
      </c>
      <c r="W1790" t="s">
        <v>44867</v>
      </c>
      <c r="X1790" t="s">
        <v>44908</v>
      </c>
    </row>
    <row r="1791" spans="1:24">
      <c r="A1791">
        <f>HYPERLINK("https://www.philgeps.gov.ph/GEPSNONPILOT/Tender/SplashBidNoticeAbstractUI.aspx?menuIndex=3&amp;refID=7083833&amp;Result=3","7083833")</f>
        <v>0</v>
      </c>
      <c r="B1791" t="s">
        <v>123</v>
      </c>
      <c r="C1791" t="s">
        <v>5147</v>
      </c>
      <c r="D1791" t="s">
        <v>18107</v>
      </c>
      <c r="E1791" t="s">
        <v>19859</v>
      </c>
      <c r="F1791" t="s">
        <v>31362</v>
      </c>
      <c r="G1791" t="s">
        <v>31368</v>
      </c>
      <c r="H1791" t="s">
        <v>15799</v>
      </c>
      <c r="I1791" t="s">
        <v>7090</v>
      </c>
      <c r="J1791" t="s">
        <v>32797</v>
      </c>
      <c r="K1791" t="s">
        <v>40661</v>
      </c>
      <c r="M1791" t="s">
        <v>41192</v>
      </c>
      <c r="N1791" t="s">
        <v>44905</v>
      </c>
      <c r="O1791" t="s">
        <v>44906</v>
      </c>
      <c r="P1791">
        <v>0</v>
      </c>
      <c r="Q1791">
        <v>0</v>
      </c>
      <c r="R1791" t="s">
        <v>44907</v>
      </c>
      <c r="S1791" t="s">
        <v>45026</v>
      </c>
      <c r="T1791" t="s">
        <v>46463</v>
      </c>
      <c r="U1791" t="s">
        <v>48428</v>
      </c>
      <c r="W1791" t="s">
        <v>41192</v>
      </c>
      <c r="X1791" t="s">
        <v>44908</v>
      </c>
    </row>
    <row r="1792" spans="1:24">
      <c r="A1792">
        <f>HYPERLINK("https://www.philgeps.gov.ph/GEPSNONPILOT/Tender/SplashBidNoticeAbstractUI.aspx?menuIndex=3&amp;refID=7083861&amp;Result=3","7083861")</f>
        <v>0</v>
      </c>
      <c r="B1792" t="s">
        <v>757</v>
      </c>
      <c r="C1792" t="s">
        <v>5246</v>
      </c>
      <c r="D1792" t="s">
        <v>18108</v>
      </c>
      <c r="E1792" t="s">
        <v>19860</v>
      </c>
      <c r="F1792" t="s">
        <v>31362</v>
      </c>
      <c r="G1792" t="s">
        <v>31369</v>
      </c>
      <c r="H1792" t="s">
        <v>15799</v>
      </c>
      <c r="I1792" t="s">
        <v>7090</v>
      </c>
      <c r="J1792" t="s">
        <v>32798</v>
      </c>
      <c r="K1792" t="s">
        <v>40665</v>
      </c>
      <c r="M1792" t="s">
        <v>41725</v>
      </c>
      <c r="N1792" t="s">
        <v>44905</v>
      </c>
      <c r="O1792" t="s">
        <v>44906</v>
      </c>
      <c r="P1792">
        <v>0</v>
      </c>
      <c r="Q1792">
        <v>0</v>
      </c>
      <c r="R1792" t="s">
        <v>44907</v>
      </c>
      <c r="S1792" t="s">
        <v>45026</v>
      </c>
      <c r="T1792" t="s">
        <v>46481</v>
      </c>
      <c r="U1792" t="s">
        <v>48429</v>
      </c>
      <c r="W1792" t="s">
        <v>41725</v>
      </c>
      <c r="X1792" t="s">
        <v>44908</v>
      </c>
    </row>
    <row r="1793" spans="1:24">
      <c r="A1793">
        <f>HYPERLINK("https://www.philgeps.gov.ph/GEPSNONPILOT/Tender/SplashBidNoticeAbstractUI.aspx?menuIndex=3&amp;refID=7083942&amp;Result=3","7083942")</f>
        <v>0</v>
      </c>
      <c r="B1793" t="s">
        <v>45</v>
      </c>
      <c r="C1793" t="s">
        <v>5247</v>
      </c>
      <c r="D1793" t="s">
        <v>18118</v>
      </c>
      <c r="E1793" t="s">
        <v>19861</v>
      </c>
      <c r="F1793" t="s">
        <v>31362</v>
      </c>
      <c r="G1793" t="s">
        <v>31369</v>
      </c>
      <c r="H1793" t="s">
        <v>15799</v>
      </c>
      <c r="I1793" t="s">
        <v>3815</v>
      </c>
      <c r="J1793" t="s">
        <v>32799</v>
      </c>
      <c r="K1793" t="s">
        <v>40665</v>
      </c>
      <c r="M1793" t="s">
        <v>41024</v>
      </c>
      <c r="N1793" t="s">
        <v>44905</v>
      </c>
      <c r="O1793" t="s">
        <v>44906</v>
      </c>
      <c r="P1793">
        <v>0</v>
      </c>
      <c r="Q1793">
        <v>2</v>
      </c>
      <c r="R1793" t="s">
        <v>44907</v>
      </c>
      <c r="S1793" t="s">
        <v>45026</v>
      </c>
      <c r="T1793" t="s">
        <v>46588</v>
      </c>
      <c r="U1793" t="s">
        <v>48430</v>
      </c>
      <c r="W1793" t="s">
        <v>41024</v>
      </c>
      <c r="X1793" t="s">
        <v>44908</v>
      </c>
    </row>
    <row r="1794" spans="1:24">
      <c r="A1794">
        <f>HYPERLINK("https://www.philgeps.gov.ph/GEPSNONPILOT/Tender/SplashBidNoticeAbstractUI.aspx?menuIndex=3&amp;refID=7083894&amp;Result=3","7083894")</f>
        <v>0</v>
      </c>
      <c r="B1794" t="s">
        <v>758</v>
      </c>
      <c r="C1794" t="s">
        <v>5248</v>
      </c>
      <c r="E1794" t="s">
        <v>18397</v>
      </c>
      <c r="F1794" t="s">
        <v>31365</v>
      </c>
      <c r="G1794" t="s">
        <v>31369</v>
      </c>
      <c r="H1794" t="s">
        <v>15799</v>
      </c>
      <c r="I1794" t="s">
        <v>3815</v>
      </c>
      <c r="J1794" t="s">
        <v>32800</v>
      </c>
      <c r="K1794" t="s">
        <v>40662</v>
      </c>
      <c r="M1794" t="s">
        <v>41726</v>
      </c>
      <c r="N1794" t="s">
        <v>44905</v>
      </c>
      <c r="O1794" t="s">
        <v>44906</v>
      </c>
      <c r="P1794">
        <v>0</v>
      </c>
      <c r="Q1794">
        <v>0</v>
      </c>
      <c r="R1794" t="s">
        <v>44907</v>
      </c>
      <c r="S1794" t="s">
        <v>45026</v>
      </c>
      <c r="T1794" t="s">
        <v>46420</v>
      </c>
      <c r="U1794" t="s">
        <v>47088</v>
      </c>
      <c r="W1794" t="s">
        <v>41726</v>
      </c>
      <c r="X1794" t="s">
        <v>44908</v>
      </c>
    </row>
    <row r="1795" spans="1:24">
      <c r="A1795">
        <f>HYPERLINK("https://www.philgeps.gov.ph/GEPSNONPILOT/Tender/SplashBidNoticeAbstractUI.aspx?menuIndex=3&amp;refID=7083952&amp;Result=3","7083952")</f>
        <v>0</v>
      </c>
      <c r="B1795" t="s">
        <v>751</v>
      </c>
      <c r="C1795" t="s">
        <v>5249</v>
      </c>
      <c r="D1795" t="s">
        <v>18122</v>
      </c>
      <c r="E1795" t="s">
        <v>19862</v>
      </c>
      <c r="F1795" t="s">
        <v>31362</v>
      </c>
      <c r="G1795" t="s">
        <v>31368</v>
      </c>
      <c r="H1795" t="s">
        <v>15799</v>
      </c>
      <c r="I1795" t="s">
        <v>31404</v>
      </c>
      <c r="J1795" t="s">
        <v>32801</v>
      </c>
      <c r="K1795" t="s">
        <v>40662</v>
      </c>
      <c r="M1795" t="s">
        <v>41719</v>
      </c>
      <c r="N1795" t="s">
        <v>44905</v>
      </c>
      <c r="O1795" t="s">
        <v>44906</v>
      </c>
      <c r="P1795">
        <v>0</v>
      </c>
      <c r="Q1795">
        <v>0</v>
      </c>
      <c r="R1795" t="s">
        <v>44907</v>
      </c>
      <c r="S1795" t="s">
        <v>45026</v>
      </c>
      <c r="T1795" t="s">
        <v>46438</v>
      </c>
      <c r="U1795" t="s">
        <v>48431</v>
      </c>
      <c r="W1795" t="s">
        <v>41719</v>
      </c>
      <c r="X1795" t="s">
        <v>44908</v>
      </c>
    </row>
    <row r="1796" spans="1:24">
      <c r="A1796">
        <f>HYPERLINK("https://www.philgeps.gov.ph/GEPSNONPILOT/Tender/SplashBidNoticeAbstractUI.aspx?menuIndex=3&amp;refID=7083949&amp;Result=3","7083949")</f>
        <v>0</v>
      </c>
      <c r="B1796" t="s">
        <v>759</v>
      </c>
      <c r="C1796" t="s">
        <v>5250</v>
      </c>
      <c r="D1796" t="s">
        <v>18138</v>
      </c>
      <c r="E1796" t="s">
        <v>19863</v>
      </c>
      <c r="F1796" t="s">
        <v>31362</v>
      </c>
      <c r="G1796" t="s">
        <v>31368</v>
      </c>
      <c r="H1796" t="s">
        <v>31378</v>
      </c>
      <c r="I1796" t="s">
        <v>31386</v>
      </c>
      <c r="J1796" t="s">
        <v>32802</v>
      </c>
      <c r="K1796" t="s">
        <v>40737</v>
      </c>
      <c r="M1796" t="s">
        <v>41727</v>
      </c>
      <c r="N1796" t="s">
        <v>44905</v>
      </c>
      <c r="O1796" t="s">
        <v>44906</v>
      </c>
      <c r="P1796">
        <v>0</v>
      </c>
      <c r="Q1796">
        <v>0</v>
      </c>
      <c r="R1796" t="s">
        <v>44907</v>
      </c>
      <c r="S1796" t="s">
        <v>45026</v>
      </c>
      <c r="T1796" t="s">
        <v>46589</v>
      </c>
      <c r="U1796" t="s">
        <v>48432</v>
      </c>
      <c r="W1796" t="s">
        <v>41727</v>
      </c>
      <c r="X1796" t="s">
        <v>44908</v>
      </c>
    </row>
    <row r="1797" spans="1:24">
      <c r="A1797">
        <f>HYPERLINK("https://www.philgeps.gov.ph/GEPSNONPILOT/Tender/SplashBidNoticeAbstractUI.aspx?menuIndex=3&amp;refID=7083946&amp;Result=3","7083946")</f>
        <v>0</v>
      </c>
      <c r="B1797" t="s">
        <v>446</v>
      </c>
      <c r="C1797" t="s">
        <v>5251</v>
      </c>
      <c r="D1797" t="s">
        <v>18108</v>
      </c>
      <c r="E1797" t="s">
        <v>19864</v>
      </c>
      <c r="F1797" t="s">
        <v>31362</v>
      </c>
      <c r="G1797" t="s">
        <v>31370</v>
      </c>
      <c r="H1797" t="s">
        <v>15799</v>
      </c>
      <c r="I1797" t="s">
        <v>3815</v>
      </c>
      <c r="J1797" t="s">
        <v>32803</v>
      </c>
      <c r="K1797" t="s">
        <v>40661</v>
      </c>
      <c r="M1797" t="s">
        <v>41400</v>
      </c>
      <c r="N1797" t="s">
        <v>44905</v>
      </c>
      <c r="O1797" t="s">
        <v>44906</v>
      </c>
      <c r="P1797">
        <v>0</v>
      </c>
      <c r="Q1797">
        <v>0</v>
      </c>
      <c r="R1797" t="s">
        <v>44907</v>
      </c>
      <c r="S1797" t="s">
        <v>45026</v>
      </c>
      <c r="T1797" t="s">
        <v>46416</v>
      </c>
      <c r="U1797" t="s">
        <v>48433</v>
      </c>
      <c r="W1797" t="s">
        <v>41400</v>
      </c>
      <c r="X1797" t="s">
        <v>44908</v>
      </c>
    </row>
    <row r="1798" spans="1:24">
      <c r="A1798">
        <f>HYPERLINK("https://www.philgeps.gov.ph/GEPSNONPILOT/Tender/SplashBidNoticeAbstractUI.aspx?menuIndex=3&amp;refID=7083945&amp;Result=3","7083945")</f>
        <v>0</v>
      </c>
      <c r="B1798" t="s">
        <v>756</v>
      </c>
      <c r="C1798" t="s">
        <v>5252</v>
      </c>
      <c r="D1798" t="s">
        <v>18123</v>
      </c>
      <c r="E1798" t="s">
        <v>19865</v>
      </c>
      <c r="F1798" t="s">
        <v>31362</v>
      </c>
      <c r="G1798" t="s">
        <v>31369</v>
      </c>
      <c r="H1798" t="s">
        <v>15799</v>
      </c>
      <c r="I1798" t="s">
        <v>31430</v>
      </c>
      <c r="J1798" t="s">
        <v>32143</v>
      </c>
      <c r="K1798" t="s">
        <v>40666</v>
      </c>
      <c r="M1798" t="s">
        <v>41724</v>
      </c>
      <c r="N1798" t="s">
        <v>44905</v>
      </c>
      <c r="O1798" t="s">
        <v>44906</v>
      </c>
      <c r="P1798">
        <v>0</v>
      </c>
      <c r="Q1798">
        <v>0</v>
      </c>
      <c r="R1798" t="s">
        <v>44907</v>
      </c>
      <c r="S1798" t="s">
        <v>45026</v>
      </c>
      <c r="T1798" t="s">
        <v>46481</v>
      </c>
      <c r="U1798" t="s">
        <v>48434</v>
      </c>
      <c r="W1798" t="s">
        <v>41724</v>
      </c>
      <c r="X1798" t="s">
        <v>44908</v>
      </c>
    </row>
    <row r="1799" spans="1:24">
      <c r="A1799">
        <f>HYPERLINK("https://www.philgeps.gov.ph/GEPSNONPILOT/Tender/SplashBidNoticeAbstractUI.aspx?menuIndex=3&amp;refID=7083944&amp;Result=3","7083944")</f>
        <v>0</v>
      </c>
      <c r="B1799" t="s">
        <v>729</v>
      </c>
      <c r="C1799" t="s">
        <v>5253</v>
      </c>
      <c r="D1799" t="s">
        <v>18160</v>
      </c>
      <c r="E1799" t="s">
        <v>19866</v>
      </c>
      <c r="F1799" t="s">
        <v>31362</v>
      </c>
      <c r="G1799" t="s">
        <v>31368</v>
      </c>
      <c r="H1799" t="s">
        <v>15799</v>
      </c>
      <c r="I1799" t="s">
        <v>31387</v>
      </c>
      <c r="J1799" t="s">
        <v>32804</v>
      </c>
      <c r="K1799" t="s">
        <v>40665</v>
      </c>
      <c r="M1799" t="s">
        <v>41696</v>
      </c>
      <c r="N1799" t="s">
        <v>44905</v>
      </c>
      <c r="O1799" t="s">
        <v>44906</v>
      </c>
      <c r="P1799">
        <v>0</v>
      </c>
      <c r="Q1799">
        <v>1</v>
      </c>
      <c r="R1799" t="s">
        <v>44907</v>
      </c>
      <c r="S1799" t="s">
        <v>45026</v>
      </c>
      <c r="T1799" t="s">
        <v>46447</v>
      </c>
      <c r="U1799" t="s">
        <v>48435</v>
      </c>
      <c r="W1799" t="s">
        <v>41696</v>
      </c>
      <c r="X1799" t="s">
        <v>44908</v>
      </c>
    </row>
    <row r="1800" spans="1:24">
      <c r="A1800">
        <f>HYPERLINK("https://www.philgeps.gov.ph/GEPSNONPILOT/Tender/SplashBidNoticeAbstractUI.aspx?menuIndex=3&amp;refID=7083940&amp;Result=3","7083940")</f>
        <v>0</v>
      </c>
      <c r="B1800" t="s">
        <v>736</v>
      </c>
      <c r="C1800" t="s">
        <v>5254</v>
      </c>
      <c r="D1800" t="s">
        <v>18117</v>
      </c>
      <c r="E1800" t="s">
        <v>19867</v>
      </c>
      <c r="F1800" t="s">
        <v>31362</v>
      </c>
      <c r="G1800" t="s">
        <v>31368</v>
      </c>
      <c r="H1800" t="s">
        <v>15799</v>
      </c>
      <c r="I1800" t="s">
        <v>31404</v>
      </c>
      <c r="J1800" t="s">
        <v>32805</v>
      </c>
      <c r="K1800" t="s">
        <v>40670</v>
      </c>
      <c r="M1800" t="s">
        <v>41703</v>
      </c>
      <c r="N1800" t="s">
        <v>44905</v>
      </c>
      <c r="O1800" t="s">
        <v>44906</v>
      </c>
      <c r="P1800">
        <v>0</v>
      </c>
      <c r="Q1800">
        <v>0</v>
      </c>
      <c r="R1800" t="s">
        <v>44907</v>
      </c>
      <c r="S1800" t="s">
        <v>45026</v>
      </c>
      <c r="T1800" t="s">
        <v>46447</v>
      </c>
      <c r="U1800" t="s">
        <v>48417</v>
      </c>
      <c r="V1800" t="s">
        <v>59235</v>
      </c>
      <c r="W1800" t="s">
        <v>41703</v>
      </c>
      <c r="X1800" t="s">
        <v>44908</v>
      </c>
    </row>
    <row r="1801" spans="1:24">
      <c r="A1801">
        <f>HYPERLINK("https://www.philgeps.gov.ph/GEPSNONPILOT/Tender/SplashBidNoticeAbstractUI.aspx?menuIndex=3&amp;refID=7083834&amp;Result=3","7083834")</f>
        <v>0</v>
      </c>
      <c r="B1801" t="s">
        <v>751</v>
      </c>
      <c r="C1801" t="s">
        <v>5255</v>
      </c>
      <c r="D1801" t="s">
        <v>18122</v>
      </c>
      <c r="E1801" t="s">
        <v>19868</v>
      </c>
      <c r="F1801" t="s">
        <v>31362</v>
      </c>
      <c r="G1801" t="s">
        <v>31369</v>
      </c>
      <c r="H1801" t="s">
        <v>31378</v>
      </c>
      <c r="I1801" t="s">
        <v>31386</v>
      </c>
      <c r="J1801" t="s">
        <v>32806</v>
      </c>
      <c r="K1801" t="s">
        <v>40662</v>
      </c>
      <c r="M1801" t="s">
        <v>41719</v>
      </c>
      <c r="N1801" t="s">
        <v>44905</v>
      </c>
      <c r="O1801" t="s">
        <v>44906</v>
      </c>
      <c r="P1801">
        <v>0</v>
      </c>
      <c r="Q1801">
        <v>0</v>
      </c>
      <c r="R1801" t="s">
        <v>44907</v>
      </c>
      <c r="S1801" t="s">
        <v>45026</v>
      </c>
      <c r="T1801" t="s">
        <v>46431</v>
      </c>
      <c r="U1801" t="s">
        <v>48436</v>
      </c>
      <c r="W1801" t="s">
        <v>41719</v>
      </c>
      <c r="X1801" t="s">
        <v>44908</v>
      </c>
    </row>
    <row r="1802" spans="1:24">
      <c r="A1802">
        <f>HYPERLINK("https://www.philgeps.gov.ph/GEPSNONPILOT/Tender/SplashBidNoticeAbstractUI.aspx?menuIndex=3&amp;refID=7083939&amp;Result=3","7083939")</f>
        <v>0</v>
      </c>
      <c r="B1802" t="s">
        <v>760</v>
      </c>
      <c r="C1802" t="s">
        <v>5256</v>
      </c>
      <c r="D1802" t="s">
        <v>18167</v>
      </c>
      <c r="E1802" t="s">
        <v>19869</v>
      </c>
      <c r="F1802" t="s">
        <v>31362</v>
      </c>
      <c r="G1802" t="s">
        <v>31368</v>
      </c>
      <c r="H1802" t="s">
        <v>15799</v>
      </c>
      <c r="I1802" t="s">
        <v>13635</v>
      </c>
      <c r="J1802" t="s">
        <v>32807</v>
      </c>
      <c r="K1802" t="s">
        <v>40666</v>
      </c>
      <c r="M1802" t="s">
        <v>41728</v>
      </c>
      <c r="N1802" t="s">
        <v>44905</v>
      </c>
      <c r="O1802" t="s">
        <v>44906</v>
      </c>
      <c r="P1802">
        <v>0</v>
      </c>
      <c r="Q1802">
        <v>0</v>
      </c>
      <c r="R1802" t="s">
        <v>44907</v>
      </c>
      <c r="S1802" t="s">
        <v>45026</v>
      </c>
      <c r="T1802" t="s">
        <v>46425</v>
      </c>
      <c r="U1802" t="s">
        <v>48437</v>
      </c>
      <c r="W1802" t="s">
        <v>41728</v>
      </c>
      <c r="X1802" t="s">
        <v>44908</v>
      </c>
    </row>
    <row r="1803" spans="1:24">
      <c r="A1803">
        <f>HYPERLINK("https://www.philgeps.gov.ph/GEPSNONPILOT/Tender/SplashBidNoticeAbstractUI.aspx?menuIndex=3&amp;refID=7083938&amp;Result=3","7083938")</f>
        <v>0</v>
      </c>
      <c r="B1803" t="s">
        <v>734</v>
      </c>
      <c r="C1803" t="s">
        <v>5257</v>
      </c>
      <c r="D1803" t="s">
        <v>18129</v>
      </c>
      <c r="E1803" t="s">
        <v>19870</v>
      </c>
      <c r="F1803" t="s">
        <v>31362</v>
      </c>
      <c r="G1803" t="s">
        <v>31369</v>
      </c>
      <c r="H1803" t="s">
        <v>31378</v>
      </c>
      <c r="I1803" t="s">
        <v>31386</v>
      </c>
      <c r="J1803" t="s">
        <v>31542</v>
      </c>
      <c r="K1803" t="s">
        <v>40679</v>
      </c>
      <c r="L1803" t="s">
        <v>734</v>
      </c>
      <c r="M1803" t="s">
        <v>41701</v>
      </c>
      <c r="N1803" t="s">
        <v>44905</v>
      </c>
      <c r="O1803" t="s">
        <v>44906</v>
      </c>
      <c r="P1803">
        <v>0</v>
      </c>
      <c r="Q1803">
        <v>0</v>
      </c>
      <c r="R1803" t="s">
        <v>44907</v>
      </c>
      <c r="S1803" t="s">
        <v>45026</v>
      </c>
      <c r="T1803" t="s">
        <v>46408</v>
      </c>
      <c r="U1803" t="s">
        <v>48438</v>
      </c>
      <c r="W1803" t="s">
        <v>41701</v>
      </c>
      <c r="X1803" t="s">
        <v>44908</v>
      </c>
    </row>
    <row r="1804" spans="1:24">
      <c r="A1804">
        <f>HYPERLINK("https://www.philgeps.gov.ph/GEPSNONPILOT/Tender/SplashBidNoticeAbstractUI.aspx?menuIndex=3&amp;refID=7083933&amp;Result=3","7083933")</f>
        <v>0</v>
      </c>
      <c r="B1804" t="s">
        <v>132</v>
      </c>
      <c r="C1804" t="s">
        <v>5258</v>
      </c>
      <c r="D1804" t="s">
        <v>18131</v>
      </c>
      <c r="E1804" t="s">
        <v>19797</v>
      </c>
      <c r="F1804" t="s">
        <v>31362</v>
      </c>
      <c r="G1804" t="s">
        <v>31369</v>
      </c>
      <c r="H1804" t="s">
        <v>31378</v>
      </c>
      <c r="I1804" t="s">
        <v>31386</v>
      </c>
      <c r="J1804" t="s">
        <v>31531</v>
      </c>
      <c r="K1804" t="s">
        <v>40682</v>
      </c>
      <c r="L1804" t="s">
        <v>132</v>
      </c>
      <c r="M1804" t="s">
        <v>41070</v>
      </c>
      <c r="N1804" t="s">
        <v>44905</v>
      </c>
      <c r="O1804" t="s">
        <v>44906</v>
      </c>
      <c r="P1804">
        <v>0</v>
      </c>
      <c r="Q1804">
        <v>1</v>
      </c>
      <c r="R1804" t="s">
        <v>44907</v>
      </c>
      <c r="S1804" t="s">
        <v>45026</v>
      </c>
      <c r="T1804" t="s">
        <v>46461</v>
      </c>
      <c r="U1804" t="s">
        <v>48439</v>
      </c>
      <c r="W1804" t="s">
        <v>41070</v>
      </c>
      <c r="X1804" t="s">
        <v>44908</v>
      </c>
    </row>
    <row r="1805" spans="1:24">
      <c r="A1805">
        <f>HYPERLINK("https://www.philgeps.gov.ph/GEPSNONPILOT/Tender/SplashBidNoticeAbstractUI.aspx?menuIndex=3&amp;refID=7083932&amp;Result=3","7083932")</f>
        <v>0</v>
      </c>
      <c r="B1805" t="s">
        <v>761</v>
      </c>
      <c r="C1805" t="s">
        <v>5259</v>
      </c>
      <c r="E1805" t="s">
        <v>19871</v>
      </c>
      <c r="F1805" t="s">
        <v>31362</v>
      </c>
      <c r="G1805" t="s">
        <v>31368</v>
      </c>
      <c r="H1805" t="s">
        <v>15799</v>
      </c>
      <c r="I1805" t="s">
        <v>7188</v>
      </c>
      <c r="J1805" t="s">
        <v>31546</v>
      </c>
      <c r="K1805" t="s">
        <v>40666</v>
      </c>
      <c r="M1805" t="s">
        <v>41729</v>
      </c>
      <c r="N1805" t="s">
        <v>44905</v>
      </c>
      <c r="O1805" t="s">
        <v>44906</v>
      </c>
      <c r="P1805">
        <v>0</v>
      </c>
      <c r="Q1805">
        <v>0</v>
      </c>
      <c r="R1805" t="s">
        <v>44907</v>
      </c>
      <c r="S1805" t="s">
        <v>45026</v>
      </c>
      <c r="T1805" t="s">
        <v>46440</v>
      </c>
      <c r="U1805" t="s">
        <v>48440</v>
      </c>
      <c r="W1805" t="s">
        <v>41729</v>
      </c>
      <c r="X1805" t="s">
        <v>44908</v>
      </c>
    </row>
    <row r="1806" spans="1:24">
      <c r="A1806">
        <f>HYPERLINK("https://www.philgeps.gov.ph/GEPSNONPILOT/Tender/SplashBidNoticeAbstractUI.aspx?menuIndex=3&amp;refID=7083931&amp;Result=3","7083931")</f>
        <v>0</v>
      </c>
      <c r="B1806" t="s">
        <v>199</v>
      </c>
      <c r="C1806" t="s">
        <v>5260</v>
      </c>
      <c r="D1806" t="s">
        <v>18139</v>
      </c>
      <c r="E1806" t="s">
        <v>19872</v>
      </c>
      <c r="F1806" t="s">
        <v>31362</v>
      </c>
      <c r="G1806" t="s">
        <v>31368</v>
      </c>
      <c r="H1806" t="s">
        <v>15799</v>
      </c>
      <c r="I1806" t="s">
        <v>31432</v>
      </c>
      <c r="J1806" t="s">
        <v>32808</v>
      </c>
      <c r="K1806" t="s">
        <v>40666</v>
      </c>
      <c r="M1806" t="s">
        <v>41382</v>
      </c>
      <c r="N1806" t="s">
        <v>44905</v>
      </c>
      <c r="O1806" t="s">
        <v>44906</v>
      </c>
      <c r="P1806">
        <v>0</v>
      </c>
      <c r="Q1806">
        <v>1</v>
      </c>
      <c r="R1806" t="s">
        <v>44907</v>
      </c>
      <c r="S1806" t="s">
        <v>45026</v>
      </c>
      <c r="T1806" t="s">
        <v>46506</v>
      </c>
      <c r="U1806" t="s">
        <v>48441</v>
      </c>
      <c r="V1806" t="s">
        <v>59239</v>
      </c>
      <c r="W1806" t="s">
        <v>41382</v>
      </c>
      <c r="X1806" t="s">
        <v>44908</v>
      </c>
    </row>
    <row r="1807" spans="1:24">
      <c r="A1807">
        <f>HYPERLINK("https://www.philgeps.gov.ph/GEPSNONPILOT/Tender/SplashBidNoticeAbstractUI.aspx?menuIndex=3&amp;refID=7083929&amp;Result=3","7083929")</f>
        <v>0</v>
      </c>
      <c r="B1807" t="s">
        <v>751</v>
      </c>
      <c r="C1807" t="s">
        <v>5261</v>
      </c>
      <c r="D1807" t="s">
        <v>18122</v>
      </c>
      <c r="E1807" t="s">
        <v>19873</v>
      </c>
      <c r="F1807" t="s">
        <v>31362</v>
      </c>
      <c r="G1807" t="s">
        <v>31368</v>
      </c>
      <c r="H1807" t="s">
        <v>15799</v>
      </c>
      <c r="I1807" t="s">
        <v>31404</v>
      </c>
      <c r="J1807" t="s">
        <v>32809</v>
      </c>
      <c r="K1807" t="s">
        <v>40662</v>
      </c>
      <c r="M1807" t="s">
        <v>41719</v>
      </c>
      <c r="N1807" t="s">
        <v>44905</v>
      </c>
      <c r="O1807" t="s">
        <v>44906</v>
      </c>
      <c r="P1807">
        <v>0</v>
      </c>
      <c r="Q1807">
        <v>0</v>
      </c>
      <c r="R1807" t="s">
        <v>44907</v>
      </c>
      <c r="S1807" t="s">
        <v>45026</v>
      </c>
      <c r="T1807" t="s">
        <v>46438</v>
      </c>
      <c r="U1807" t="s">
        <v>48442</v>
      </c>
      <c r="W1807" t="s">
        <v>41719</v>
      </c>
      <c r="X1807" t="s">
        <v>44908</v>
      </c>
    </row>
    <row r="1808" spans="1:24">
      <c r="A1808">
        <f>HYPERLINK("https://www.philgeps.gov.ph/GEPSNONPILOT/Tender/SplashBidNoticeAbstractUI.aspx?menuIndex=3&amp;refID=7083928&amp;Result=3","7083928")</f>
        <v>0</v>
      </c>
      <c r="B1808" t="s">
        <v>750</v>
      </c>
      <c r="C1808" t="s">
        <v>5262</v>
      </c>
      <c r="E1808" t="s">
        <v>19874</v>
      </c>
      <c r="F1808" t="s">
        <v>31362</v>
      </c>
      <c r="G1808" t="s">
        <v>31369</v>
      </c>
      <c r="H1808" t="s">
        <v>31378</v>
      </c>
      <c r="I1808" t="s">
        <v>31386</v>
      </c>
      <c r="J1808" t="s">
        <v>32810</v>
      </c>
      <c r="K1808" t="s">
        <v>40662</v>
      </c>
      <c r="M1808" t="s">
        <v>41717</v>
      </c>
      <c r="N1808" t="s">
        <v>44905</v>
      </c>
      <c r="O1808" t="s">
        <v>44906</v>
      </c>
      <c r="P1808">
        <v>0</v>
      </c>
      <c r="Q1808">
        <v>0</v>
      </c>
      <c r="R1808" t="s">
        <v>44907</v>
      </c>
      <c r="S1808" t="s">
        <v>45026</v>
      </c>
      <c r="T1808" t="s">
        <v>46429</v>
      </c>
      <c r="U1808" t="s">
        <v>48443</v>
      </c>
      <c r="W1808" t="s">
        <v>44867</v>
      </c>
      <c r="X1808" t="s">
        <v>44908</v>
      </c>
    </row>
    <row r="1809" spans="1:24">
      <c r="A1809">
        <f>HYPERLINK("https://www.philgeps.gov.ph/GEPSNONPILOT/Tender/SplashBidNoticeAbstractUI.aspx?menuIndex=3&amp;refID=7083927&amp;Result=3","7083927")</f>
        <v>0</v>
      </c>
      <c r="B1809" t="s">
        <v>762</v>
      </c>
      <c r="C1809" t="s">
        <v>5263</v>
      </c>
      <c r="D1809" t="s">
        <v>18108</v>
      </c>
      <c r="E1809" t="s">
        <v>19875</v>
      </c>
      <c r="F1809" t="s">
        <v>31362</v>
      </c>
      <c r="G1809" t="s">
        <v>31369</v>
      </c>
      <c r="H1809" t="s">
        <v>15799</v>
      </c>
      <c r="I1809" t="s">
        <v>31409</v>
      </c>
      <c r="J1809" t="s">
        <v>32811</v>
      </c>
      <c r="K1809" t="s">
        <v>40665</v>
      </c>
      <c r="M1809" t="s">
        <v>41730</v>
      </c>
      <c r="N1809" t="s">
        <v>44905</v>
      </c>
      <c r="O1809" t="s">
        <v>44906</v>
      </c>
      <c r="P1809">
        <v>0</v>
      </c>
      <c r="Q1809">
        <v>6</v>
      </c>
      <c r="R1809" t="s">
        <v>44907</v>
      </c>
      <c r="S1809" t="s">
        <v>45026</v>
      </c>
      <c r="T1809" t="s">
        <v>46398</v>
      </c>
      <c r="U1809" t="s">
        <v>48444</v>
      </c>
      <c r="V1809" t="s">
        <v>59240</v>
      </c>
      <c r="W1809" t="s">
        <v>41730</v>
      </c>
      <c r="X1809" t="s">
        <v>44908</v>
      </c>
    </row>
    <row r="1810" spans="1:24">
      <c r="A1810">
        <f>HYPERLINK("https://www.philgeps.gov.ph/GEPSNONPILOT/Tender/SplashBidNoticeAbstractUI.aspx?menuIndex=3&amp;refID=7083926&amp;Result=3","7083926")</f>
        <v>0</v>
      </c>
      <c r="B1810" t="s">
        <v>763</v>
      </c>
      <c r="C1810" t="s">
        <v>5264</v>
      </c>
      <c r="E1810" t="s">
        <v>19876</v>
      </c>
      <c r="F1810" t="s">
        <v>31362</v>
      </c>
      <c r="G1810" t="s">
        <v>31370</v>
      </c>
      <c r="H1810" t="s">
        <v>15799</v>
      </c>
      <c r="I1810" t="s">
        <v>31393</v>
      </c>
      <c r="J1810" t="s">
        <v>32812</v>
      </c>
      <c r="K1810" t="s">
        <v>40661</v>
      </c>
      <c r="M1810" t="s">
        <v>41731</v>
      </c>
      <c r="N1810" t="s">
        <v>44905</v>
      </c>
      <c r="O1810" t="s">
        <v>44906</v>
      </c>
      <c r="P1810">
        <v>0</v>
      </c>
      <c r="Q1810">
        <v>0</v>
      </c>
      <c r="R1810" t="s">
        <v>44907</v>
      </c>
      <c r="S1810" t="s">
        <v>45026</v>
      </c>
      <c r="T1810" t="s">
        <v>46470</v>
      </c>
      <c r="U1810" t="s">
        <v>48445</v>
      </c>
      <c r="W1810" t="s">
        <v>41731</v>
      </c>
      <c r="X1810" t="s">
        <v>44908</v>
      </c>
    </row>
    <row r="1811" spans="1:24">
      <c r="A1811">
        <f>HYPERLINK("https://www.philgeps.gov.ph/GEPSNONPILOT/Tender/SplashBidNoticeAbstractUI.aspx?menuIndex=3&amp;refID=7083921&amp;Result=3","7083921")</f>
        <v>0</v>
      </c>
      <c r="B1811" t="s">
        <v>740</v>
      </c>
      <c r="C1811" t="s">
        <v>5265</v>
      </c>
      <c r="D1811" t="s">
        <v>18109</v>
      </c>
      <c r="E1811" t="s">
        <v>19877</v>
      </c>
      <c r="F1811" t="s">
        <v>31362</v>
      </c>
      <c r="G1811" t="s">
        <v>31368</v>
      </c>
      <c r="H1811" t="s">
        <v>15799</v>
      </c>
      <c r="I1811" t="s">
        <v>31430</v>
      </c>
      <c r="J1811" t="s">
        <v>32813</v>
      </c>
      <c r="K1811" t="s">
        <v>40675</v>
      </c>
      <c r="M1811" t="s">
        <v>41707</v>
      </c>
      <c r="N1811" t="s">
        <v>44905</v>
      </c>
      <c r="O1811" t="s">
        <v>44906</v>
      </c>
      <c r="P1811">
        <v>0</v>
      </c>
      <c r="Q1811">
        <v>0</v>
      </c>
      <c r="R1811" t="s">
        <v>44907</v>
      </c>
      <c r="S1811" t="s">
        <v>45026</v>
      </c>
      <c r="T1811" t="s">
        <v>46583</v>
      </c>
      <c r="U1811" t="s">
        <v>48446</v>
      </c>
      <c r="W1811" t="s">
        <v>41707</v>
      </c>
      <c r="X1811" t="s">
        <v>44908</v>
      </c>
    </row>
    <row r="1812" spans="1:24">
      <c r="A1812">
        <f>HYPERLINK("https://www.philgeps.gov.ph/GEPSNONPILOT/Tender/SplashBidNoticeAbstractUI.aspx?menuIndex=3&amp;refID=7083830&amp;Result=3","7083830")</f>
        <v>0</v>
      </c>
      <c r="B1812" t="s">
        <v>698</v>
      </c>
      <c r="C1812" t="s">
        <v>5266</v>
      </c>
      <c r="D1812" t="s">
        <v>18104</v>
      </c>
      <c r="E1812" t="s">
        <v>19878</v>
      </c>
      <c r="F1812" t="s">
        <v>31362</v>
      </c>
      <c r="G1812" t="s">
        <v>31369</v>
      </c>
      <c r="H1812" t="s">
        <v>31378</v>
      </c>
      <c r="I1812" t="s">
        <v>31386</v>
      </c>
      <c r="J1812" t="s">
        <v>32711</v>
      </c>
      <c r="K1812" t="s">
        <v>40732</v>
      </c>
      <c r="M1812" t="s">
        <v>41663</v>
      </c>
      <c r="N1812" t="s">
        <v>44905</v>
      </c>
      <c r="O1812" t="s">
        <v>44906</v>
      </c>
      <c r="P1812">
        <v>0</v>
      </c>
      <c r="Q1812">
        <v>0</v>
      </c>
      <c r="R1812" t="s">
        <v>44907</v>
      </c>
      <c r="S1812" t="s">
        <v>45026</v>
      </c>
      <c r="T1812" t="s">
        <v>46449</v>
      </c>
      <c r="U1812" t="s">
        <v>48295</v>
      </c>
      <c r="W1812" t="s">
        <v>41663</v>
      </c>
      <c r="X1812" t="s">
        <v>44908</v>
      </c>
    </row>
    <row r="1813" spans="1:24">
      <c r="A1813">
        <f>HYPERLINK("https://www.philgeps.gov.ph/GEPSNONPILOT/Tender/SplashBidNoticeAbstractUI.aspx?menuIndex=3&amp;refID=7083943&amp;Result=3","7083943")</f>
        <v>0</v>
      </c>
      <c r="B1813" t="s">
        <v>559</v>
      </c>
      <c r="C1813" t="s">
        <v>5267</v>
      </c>
      <c r="D1813" t="s">
        <v>18139</v>
      </c>
      <c r="E1813" t="s">
        <v>19879</v>
      </c>
      <c r="F1813" t="s">
        <v>31362</v>
      </c>
      <c r="G1813" t="s">
        <v>31369</v>
      </c>
      <c r="H1813" t="s">
        <v>31378</v>
      </c>
      <c r="I1813" t="s">
        <v>31386</v>
      </c>
      <c r="J1813" t="s">
        <v>32596</v>
      </c>
      <c r="K1813" t="s">
        <v>40686</v>
      </c>
      <c r="M1813" t="s">
        <v>41515</v>
      </c>
      <c r="N1813" t="s">
        <v>44905</v>
      </c>
      <c r="O1813" t="s">
        <v>44906</v>
      </c>
      <c r="P1813">
        <v>0</v>
      </c>
      <c r="Q1813">
        <v>0</v>
      </c>
      <c r="R1813" t="s">
        <v>44907</v>
      </c>
      <c r="S1813" t="s">
        <v>45026</v>
      </c>
      <c r="T1813" t="s">
        <v>46449</v>
      </c>
      <c r="U1813" t="s">
        <v>47999</v>
      </c>
      <c r="V1813" t="s">
        <v>59206</v>
      </c>
      <c r="W1813" t="s">
        <v>41515</v>
      </c>
      <c r="X1813" t="s">
        <v>44908</v>
      </c>
    </row>
    <row r="1814" spans="1:24">
      <c r="A1814">
        <f>HYPERLINK("https://www.philgeps.gov.ph/GEPSNONPILOT/Tender/SplashBidNoticeAbstractUI.aspx?menuIndex=3&amp;refID=7083948&amp;Result=3","7083948")</f>
        <v>0</v>
      </c>
      <c r="B1814" t="s">
        <v>750</v>
      </c>
      <c r="C1814" t="s">
        <v>5268</v>
      </c>
      <c r="E1814" t="s">
        <v>19880</v>
      </c>
      <c r="F1814" t="s">
        <v>31362</v>
      </c>
      <c r="G1814" t="s">
        <v>31369</v>
      </c>
      <c r="H1814" t="s">
        <v>31378</v>
      </c>
      <c r="I1814" t="s">
        <v>31386</v>
      </c>
      <c r="J1814" t="s">
        <v>32783</v>
      </c>
      <c r="K1814" t="s">
        <v>40662</v>
      </c>
      <c r="M1814" t="s">
        <v>41717</v>
      </c>
      <c r="N1814" t="s">
        <v>44905</v>
      </c>
      <c r="O1814" t="s">
        <v>44906</v>
      </c>
      <c r="P1814">
        <v>0</v>
      </c>
      <c r="Q1814">
        <v>0</v>
      </c>
      <c r="R1814" t="s">
        <v>44907</v>
      </c>
      <c r="S1814" t="s">
        <v>45026</v>
      </c>
      <c r="T1814" t="s">
        <v>46429</v>
      </c>
      <c r="U1814" t="s">
        <v>48447</v>
      </c>
      <c r="W1814" t="s">
        <v>44867</v>
      </c>
      <c r="X1814" t="s">
        <v>44908</v>
      </c>
    </row>
    <row r="1815" spans="1:24">
      <c r="A1815">
        <f>HYPERLINK("https://www.philgeps.gov.ph/GEPSNONPILOT/Tender/SplashBidNoticeAbstractUI.aspx?menuIndex=3&amp;refID=7083832&amp;Result=3","7083832")</f>
        <v>0</v>
      </c>
      <c r="B1815" t="s">
        <v>764</v>
      </c>
      <c r="C1815" t="s">
        <v>4097</v>
      </c>
      <c r="D1815" t="s">
        <v>18170</v>
      </c>
      <c r="E1815" t="s">
        <v>19039</v>
      </c>
      <c r="F1815" t="s">
        <v>31362</v>
      </c>
      <c r="G1815" t="s">
        <v>31371</v>
      </c>
      <c r="H1815" t="s">
        <v>15799</v>
      </c>
      <c r="I1815" t="s">
        <v>6373</v>
      </c>
      <c r="J1815" t="s">
        <v>32814</v>
      </c>
      <c r="K1815" t="s">
        <v>40662</v>
      </c>
      <c r="M1815" t="s">
        <v>41732</v>
      </c>
      <c r="N1815" t="s">
        <v>44905</v>
      </c>
      <c r="O1815" t="s">
        <v>44906</v>
      </c>
      <c r="P1815">
        <v>0</v>
      </c>
      <c r="Q1815">
        <v>0</v>
      </c>
      <c r="R1815" t="s">
        <v>44907</v>
      </c>
      <c r="S1815" t="s">
        <v>45026</v>
      </c>
      <c r="T1815" t="s">
        <v>46454</v>
      </c>
      <c r="U1815" t="s">
        <v>47435</v>
      </c>
      <c r="W1815" t="s">
        <v>41732</v>
      </c>
      <c r="X1815" t="s">
        <v>44908</v>
      </c>
    </row>
    <row r="1816" spans="1:24">
      <c r="A1816">
        <f>HYPERLINK("https://www.philgeps.gov.ph/GEPSNONPILOT/Tender/SplashBidNoticeAbstractUI.aspx?menuIndex=3&amp;refID=7083825&amp;Result=3","7083825")</f>
        <v>0</v>
      </c>
      <c r="B1816" t="s">
        <v>747</v>
      </c>
      <c r="C1816" t="s">
        <v>5269</v>
      </c>
      <c r="D1816" t="s">
        <v>18108</v>
      </c>
      <c r="E1816" t="s">
        <v>19881</v>
      </c>
      <c r="F1816" t="s">
        <v>31362</v>
      </c>
      <c r="G1816" t="s">
        <v>31370</v>
      </c>
      <c r="H1816" t="s">
        <v>15799</v>
      </c>
      <c r="I1816" t="s">
        <v>31422</v>
      </c>
      <c r="J1816" t="s">
        <v>32815</v>
      </c>
      <c r="K1816" t="s">
        <v>40662</v>
      </c>
      <c r="M1816" t="s">
        <v>41714</v>
      </c>
      <c r="N1816" t="s">
        <v>44905</v>
      </c>
      <c r="O1816" t="s">
        <v>44906</v>
      </c>
      <c r="P1816">
        <v>0</v>
      </c>
      <c r="Q1816">
        <v>6</v>
      </c>
      <c r="R1816" t="s">
        <v>44907</v>
      </c>
      <c r="S1816" t="s">
        <v>45026</v>
      </c>
      <c r="T1816" t="s">
        <v>46454</v>
      </c>
      <c r="U1816" t="s">
        <v>48407</v>
      </c>
      <c r="W1816" t="s">
        <v>41714</v>
      </c>
      <c r="X1816" t="s">
        <v>44908</v>
      </c>
    </row>
    <row r="1817" spans="1:24">
      <c r="A1817">
        <f>HYPERLINK("https://www.philgeps.gov.ph/GEPSNONPILOT/Tender/SplashBidNoticeAbstractUI.aspx?menuIndex=3&amp;refID=7083802&amp;Result=3","7083802")</f>
        <v>0</v>
      </c>
      <c r="B1817" t="s">
        <v>710</v>
      </c>
      <c r="C1817" t="s">
        <v>5270</v>
      </c>
      <c r="D1817" t="s">
        <v>18139</v>
      </c>
      <c r="E1817" t="s">
        <v>19882</v>
      </c>
      <c r="F1817" t="s">
        <v>31362</v>
      </c>
      <c r="G1817" t="s">
        <v>31369</v>
      </c>
      <c r="H1817" t="s">
        <v>15799</v>
      </c>
      <c r="I1817" t="s">
        <v>31433</v>
      </c>
      <c r="J1817" t="s">
        <v>31709</v>
      </c>
      <c r="K1817" t="s">
        <v>40662</v>
      </c>
      <c r="M1817" t="s">
        <v>41675</v>
      </c>
      <c r="N1817" t="s">
        <v>44905</v>
      </c>
      <c r="O1817" t="s">
        <v>44906</v>
      </c>
      <c r="P1817">
        <v>0</v>
      </c>
      <c r="Q1817">
        <v>1</v>
      </c>
      <c r="R1817" t="s">
        <v>44907</v>
      </c>
      <c r="S1817" t="s">
        <v>45026</v>
      </c>
      <c r="T1817" t="s">
        <v>46413</v>
      </c>
      <c r="U1817" t="s">
        <v>48448</v>
      </c>
      <c r="W1817" t="s">
        <v>41675</v>
      </c>
      <c r="X1817" t="s">
        <v>44908</v>
      </c>
    </row>
    <row r="1818" spans="1:24">
      <c r="A1818">
        <f>HYPERLINK("https://www.philgeps.gov.ph/GEPSNONPILOT/Tender/SplashBidNoticeAbstractUI.aspx?menuIndex=3&amp;refID=7083801&amp;Result=3","7083801")</f>
        <v>0</v>
      </c>
      <c r="B1818" t="s">
        <v>765</v>
      </c>
      <c r="C1818" t="s">
        <v>5271</v>
      </c>
      <c r="D1818" t="s">
        <v>18131</v>
      </c>
      <c r="E1818" t="s">
        <v>19883</v>
      </c>
      <c r="F1818" t="s">
        <v>31362</v>
      </c>
      <c r="G1818" t="s">
        <v>31369</v>
      </c>
      <c r="H1818" t="s">
        <v>31378</v>
      </c>
      <c r="I1818" t="s">
        <v>31386</v>
      </c>
      <c r="J1818" t="s">
        <v>32816</v>
      </c>
      <c r="K1818" t="s">
        <v>40662</v>
      </c>
      <c r="M1818" t="s">
        <v>41733</v>
      </c>
      <c r="N1818" t="s">
        <v>44905</v>
      </c>
      <c r="O1818" t="s">
        <v>44906</v>
      </c>
      <c r="P1818">
        <v>0</v>
      </c>
      <c r="Q1818">
        <v>10</v>
      </c>
      <c r="R1818" t="s">
        <v>44907</v>
      </c>
      <c r="S1818" t="s">
        <v>45026</v>
      </c>
      <c r="T1818" t="s">
        <v>46401</v>
      </c>
      <c r="U1818" t="s">
        <v>48449</v>
      </c>
      <c r="W1818" t="s">
        <v>41733</v>
      </c>
      <c r="X1818" t="s">
        <v>44908</v>
      </c>
    </row>
    <row r="1819" spans="1:24">
      <c r="A1819">
        <f>HYPERLINK("https://www.philgeps.gov.ph/GEPSNONPILOT/Tender/SplashBidNoticeAbstractUI.aspx?menuIndex=3&amp;refID=7083827&amp;Result=3","7083827")</f>
        <v>0</v>
      </c>
      <c r="B1819" t="s">
        <v>766</v>
      </c>
      <c r="C1819" t="s">
        <v>5272</v>
      </c>
      <c r="D1819" t="s">
        <v>18176</v>
      </c>
      <c r="E1819" t="s">
        <v>19884</v>
      </c>
      <c r="F1819" t="s">
        <v>31362</v>
      </c>
      <c r="G1819" t="s">
        <v>31371</v>
      </c>
      <c r="H1819" t="s">
        <v>15799</v>
      </c>
      <c r="I1819" t="s">
        <v>31380</v>
      </c>
      <c r="J1819" t="s">
        <v>32817</v>
      </c>
      <c r="K1819" t="s">
        <v>40670</v>
      </c>
      <c r="M1819" t="s">
        <v>41734</v>
      </c>
      <c r="N1819" t="s">
        <v>44905</v>
      </c>
      <c r="O1819" t="s">
        <v>44906</v>
      </c>
      <c r="P1819">
        <v>0</v>
      </c>
      <c r="Q1819">
        <v>0</v>
      </c>
      <c r="R1819" t="s">
        <v>44907</v>
      </c>
      <c r="S1819" t="s">
        <v>45026</v>
      </c>
      <c r="T1819" t="s">
        <v>46409</v>
      </c>
      <c r="U1819" t="s">
        <v>48450</v>
      </c>
      <c r="W1819" t="s">
        <v>41734</v>
      </c>
      <c r="X1819" t="s">
        <v>44908</v>
      </c>
    </row>
    <row r="1820" spans="1:24">
      <c r="A1820">
        <f>HYPERLINK("https://www.philgeps.gov.ph/GEPSNONPILOT/Tender/SplashBidNoticeAbstractUI.aspx?menuIndex=3&amp;refID=7083800&amp;Result=3","7083800")</f>
        <v>0</v>
      </c>
      <c r="B1820" t="s">
        <v>742</v>
      </c>
      <c r="C1820" t="s">
        <v>5273</v>
      </c>
      <c r="D1820" t="s">
        <v>18109</v>
      </c>
      <c r="E1820" t="s">
        <v>19885</v>
      </c>
      <c r="F1820" t="s">
        <v>31362</v>
      </c>
      <c r="G1820" t="s">
        <v>31369</v>
      </c>
      <c r="H1820" t="s">
        <v>15799</v>
      </c>
      <c r="I1820" t="s">
        <v>31404</v>
      </c>
      <c r="J1820" t="s">
        <v>32818</v>
      </c>
      <c r="K1820" t="s">
        <v>40666</v>
      </c>
      <c r="M1820" t="s">
        <v>41709</v>
      </c>
      <c r="N1820" t="s">
        <v>44905</v>
      </c>
      <c r="O1820" t="s">
        <v>44906</v>
      </c>
      <c r="P1820">
        <v>0</v>
      </c>
      <c r="Q1820">
        <v>0</v>
      </c>
      <c r="R1820" t="s">
        <v>44907</v>
      </c>
      <c r="S1820" t="s">
        <v>45026</v>
      </c>
      <c r="T1820" t="s">
        <v>46542</v>
      </c>
      <c r="U1820" t="s">
        <v>48451</v>
      </c>
      <c r="W1820" t="s">
        <v>41709</v>
      </c>
      <c r="X1820" t="s">
        <v>44908</v>
      </c>
    </row>
    <row r="1821" spans="1:24">
      <c r="A1821">
        <f>HYPERLINK("https://www.philgeps.gov.ph/GEPSNONPILOT/Tender/SplashBidNoticeAbstractUI.aspx?menuIndex=3&amp;refID=7083974&amp;Result=3","7083974")</f>
        <v>0</v>
      </c>
      <c r="B1821" t="s">
        <v>767</v>
      </c>
      <c r="C1821" t="s">
        <v>5274</v>
      </c>
      <c r="D1821" t="s">
        <v>18122</v>
      </c>
      <c r="E1821" t="s">
        <v>19886</v>
      </c>
      <c r="F1821" t="s">
        <v>31362</v>
      </c>
      <c r="G1821" t="s">
        <v>31368</v>
      </c>
      <c r="H1821" t="s">
        <v>15799</v>
      </c>
      <c r="I1821" t="s">
        <v>31400</v>
      </c>
      <c r="J1821" t="s">
        <v>31577</v>
      </c>
      <c r="K1821" t="s">
        <v>40665</v>
      </c>
      <c r="M1821" t="s">
        <v>41735</v>
      </c>
      <c r="N1821" t="s">
        <v>44905</v>
      </c>
      <c r="O1821" t="s">
        <v>44906</v>
      </c>
      <c r="P1821">
        <v>0</v>
      </c>
      <c r="Q1821">
        <v>0</v>
      </c>
      <c r="R1821" t="s">
        <v>44907</v>
      </c>
      <c r="S1821" t="s">
        <v>45026</v>
      </c>
      <c r="T1821" t="s">
        <v>46454</v>
      </c>
      <c r="U1821" t="s">
        <v>48452</v>
      </c>
      <c r="W1821" t="s">
        <v>44787</v>
      </c>
      <c r="X1821" t="s">
        <v>44908</v>
      </c>
    </row>
    <row r="1822" spans="1:24">
      <c r="A1822">
        <f>HYPERLINK("https://www.philgeps.gov.ph/GEPSNONPILOT/Tender/SplashBidNoticeAbstractUI.aspx?menuIndex=3&amp;refID=7083824&amp;Result=3","7083824")</f>
        <v>0</v>
      </c>
      <c r="B1822" t="s">
        <v>757</v>
      </c>
      <c r="C1822" t="s">
        <v>5275</v>
      </c>
      <c r="D1822" t="s">
        <v>18108</v>
      </c>
      <c r="E1822" t="s">
        <v>19887</v>
      </c>
      <c r="F1822" t="s">
        <v>31362</v>
      </c>
      <c r="G1822" t="s">
        <v>31369</v>
      </c>
      <c r="H1822" t="s">
        <v>15799</v>
      </c>
      <c r="I1822" t="s">
        <v>7090</v>
      </c>
      <c r="J1822" t="s">
        <v>31522</v>
      </c>
      <c r="K1822" t="s">
        <v>40665</v>
      </c>
      <c r="M1822" t="s">
        <v>41725</v>
      </c>
      <c r="N1822" t="s">
        <v>44905</v>
      </c>
      <c r="O1822" t="s">
        <v>44906</v>
      </c>
      <c r="P1822">
        <v>0</v>
      </c>
      <c r="Q1822">
        <v>0</v>
      </c>
      <c r="R1822" t="s">
        <v>44907</v>
      </c>
      <c r="S1822" t="s">
        <v>45026</v>
      </c>
      <c r="T1822" t="s">
        <v>46481</v>
      </c>
      <c r="U1822" t="s">
        <v>48453</v>
      </c>
      <c r="W1822" t="s">
        <v>41725</v>
      </c>
      <c r="X1822" t="s">
        <v>44908</v>
      </c>
    </row>
    <row r="1823" spans="1:24">
      <c r="A1823">
        <f>HYPERLINK("https://www.philgeps.gov.ph/GEPSNONPILOT/Tender/SplashBidNoticeAbstractUI.aspx?menuIndex=3&amp;refID=7083829&amp;Result=3","7083829")</f>
        <v>0</v>
      </c>
      <c r="B1823" t="s">
        <v>742</v>
      </c>
      <c r="C1823" t="s">
        <v>5276</v>
      </c>
      <c r="D1823" t="s">
        <v>18109</v>
      </c>
      <c r="E1823" t="s">
        <v>19888</v>
      </c>
      <c r="F1823" t="s">
        <v>31362</v>
      </c>
      <c r="G1823" t="s">
        <v>31368</v>
      </c>
      <c r="H1823" t="s">
        <v>15799</v>
      </c>
      <c r="I1823" t="s">
        <v>31384</v>
      </c>
      <c r="J1823" t="s">
        <v>31987</v>
      </c>
      <c r="K1823" t="s">
        <v>40666</v>
      </c>
      <c r="M1823" t="s">
        <v>41709</v>
      </c>
      <c r="N1823" t="s">
        <v>44905</v>
      </c>
      <c r="O1823" t="s">
        <v>44906</v>
      </c>
      <c r="P1823">
        <v>0</v>
      </c>
      <c r="Q1823">
        <v>1</v>
      </c>
      <c r="R1823" t="s">
        <v>44907</v>
      </c>
      <c r="S1823" t="s">
        <v>45026</v>
      </c>
      <c r="T1823" t="s">
        <v>46440</v>
      </c>
      <c r="U1823" t="s">
        <v>48397</v>
      </c>
      <c r="W1823" t="s">
        <v>41709</v>
      </c>
      <c r="X1823" t="s">
        <v>44908</v>
      </c>
    </row>
    <row r="1824" spans="1:24">
      <c r="A1824">
        <f>HYPERLINK("https://www.philgeps.gov.ph/GEPSNONPILOT/Tender/SplashBidNoticeAbstractUI.aspx?menuIndex=3&amp;refID=7083799&amp;Result=3","7083799")</f>
        <v>0</v>
      </c>
      <c r="B1824" t="s">
        <v>132</v>
      </c>
      <c r="C1824" t="s">
        <v>5277</v>
      </c>
      <c r="D1824" t="s">
        <v>18131</v>
      </c>
      <c r="E1824" t="s">
        <v>19797</v>
      </c>
      <c r="F1824" t="s">
        <v>31362</v>
      </c>
      <c r="G1824" t="s">
        <v>31369</v>
      </c>
      <c r="H1824" t="s">
        <v>31378</v>
      </c>
      <c r="I1824" t="s">
        <v>31386</v>
      </c>
      <c r="J1824" t="s">
        <v>32819</v>
      </c>
      <c r="K1824" t="s">
        <v>40686</v>
      </c>
      <c r="L1824" t="s">
        <v>132</v>
      </c>
      <c r="M1824" t="s">
        <v>41070</v>
      </c>
      <c r="N1824" t="s">
        <v>44905</v>
      </c>
      <c r="O1824" t="s">
        <v>44906</v>
      </c>
      <c r="P1824">
        <v>0</v>
      </c>
      <c r="Q1824">
        <v>1</v>
      </c>
      <c r="R1824" t="s">
        <v>44907</v>
      </c>
      <c r="S1824" t="s">
        <v>45026</v>
      </c>
      <c r="T1824" t="s">
        <v>46461</v>
      </c>
      <c r="U1824" t="s">
        <v>48363</v>
      </c>
      <c r="W1824" t="s">
        <v>41070</v>
      </c>
      <c r="X1824" t="s">
        <v>44908</v>
      </c>
    </row>
    <row r="1825" spans="1:24">
      <c r="A1825">
        <f>HYPERLINK("https://www.philgeps.gov.ph/GEPSNONPILOT/Tender/SplashBidNoticeAbstractUI.aspx?menuIndex=3&amp;refID=7083982&amp;Result=3","7083982")</f>
        <v>0</v>
      </c>
      <c r="B1825" t="s">
        <v>692</v>
      </c>
      <c r="C1825" t="s">
        <v>5278</v>
      </c>
      <c r="D1825" t="s">
        <v>18158</v>
      </c>
      <c r="E1825" t="s">
        <v>19889</v>
      </c>
      <c r="F1825" t="s">
        <v>31362</v>
      </c>
      <c r="G1825" t="s">
        <v>31368</v>
      </c>
      <c r="H1825" t="s">
        <v>15799</v>
      </c>
      <c r="I1825" t="s">
        <v>31380</v>
      </c>
      <c r="J1825" t="s">
        <v>32820</v>
      </c>
      <c r="K1825" t="s">
        <v>40670</v>
      </c>
      <c r="M1825" t="s">
        <v>41655</v>
      </c>
      <c r="N1825" t="s">
        <v>44905</v>
      </c>
      <c r="O1825" t="s">
        <v>44906</v>
      </c>
      <c r="P1825">
        <v>0</v>
      </c>
      <c r="Q1825">
        <v>1</v>
      </c>
      <c r="R1825" t="s">
        <v>44907</v>
      </c>
      <c r="S1825" t="s">
        <v>45026</v>
      </c>
      <c r="T1825" t="s">
        <v>46414</v>
      </c>
      <c r="U1825" t="s">
        <v>48454</v>
      </c>
      <c r="W1825" t="s">
        <v>41655</v>
      </c>
      <c r="X1825" t="s">
        <v>44908</v>
      </c>
    </row>
    <row r="1826" spans="1:24">
      <c r="A1826">
        <f>HYPERLINK("https://www.philgeps.gov.ph/GEPSNONPILOT/Tender/SplashBidNoticeAbstractUI.aspx?menuIndex=3&amp;refID=7083981&amp;Result=3","7083981")</f>
        <v>0</v>
      </c>
      <c r="B1826" t="s">
        <v>744</v>
      </c>
      <c r="C1826" t="s">
        <v>5279</v>
      </c>
      <c r="D1826" t="s">
        <v>18148</v>
      </c>
      <c r="E1826" t="s">
        <v>19890</v>
      </c>
      <c r="F1826" t="s">
        <v>31362</v>
      </c>
      <c r="G1826" t="s">
        <v>31369</v>
      </c>
      <c r="H1826" t="s">
        <v>31378</v>
      </c>
      <c r="I1826" t="s">
        <v>31386</v>
      </c>
      <c r="J1826" t="s">
        <v>31536</v>
      </c>
      <c r="K1826" t="s">
        <v>40681</v>
      </c>
      <c r="M1826" t="s">
        <v>41711</v>
      </c>
      <c r="N1826" t="s">
        <v>44905</v>
      </c>
      <c r="O1826" t="s">
        <v>44906</v>
      </c>
      <c r="P1826">
        <v>0</v>
      </c>
      <c r="Q1826">
        <v>0</v>
      </c>
      <c r="R1826" t="s">
        <v>44907</v>
      </c>
      <c r="S1826" t="s">
        <v>45026</v>
      </c>
      <c r="T1826" t="s">
        <v>46433</v>
      </c>
      <c r="U1826" t="s">
        <v>48455</v>
      </c>
      <c r="W1826" t="s">
        <v>41711</v>
      </c>
      <c r="X1826" t="s">
        <v>44908</v>
      </c>
    </row>
    <row r="1827" spans="1:24">
      <c r="A1827">
        <f>HYPERLINK("https://www.philgeps.gov.ph/GEPSNONPILOT/Tender/SplashBidNoticeAbstractUI.aspx?menuIndex=3&amp;refID=7083980&amp;Result=3","7083980")</f>
        <v>0</v>
      </c>
      <c r="B1827" t="s">
        <v>273</v>
      </c>
      <c r="C1827" t="s">
        <v>5280</v>
      </c>
      <c r="D1827" t="s">
        <v>18108</v>
      </c>
      <c r="E1827" t="s">
        <v>19891</v>
      </c>
      <c r="F1827" t="s">
        <v>31362</v>
      </c>
      <c r="G1827" t="s">
        <v>31370</v>
      </c>
      <c r="H1827" t="s">
        <v>15799</v>
      </c>
      <c r="I1827" t="s">
        <v>7719</v>
      </c>
      <c r="J1827" t="s">
        <v>32821</v>
      </c>
      <c r="K1827" t="s">
        <v>40666</v>
      </c>
      <c r="M1827" t="s">
        <v>41215</v>
      </c>
      <c r="N1827" t="s">
        <v>44905</v>
      </c>
      <c r="O1827" t="s">
        <v>44906</v>
      </c>
      <c r="P1827">
        <v>0</v>
      </c>
      <c r="Q1827">
        <v>2</v>
      </c>
      <c r="R1827" t="s">
        <v>44907</v>
      </c>
      <c r="S1827" t="s">
        <v>45026</v>
      </c>
      <c r="T1827" t="s">
        <v>46410</v>
      </c>
      <c r="U1827" t="s">
        <v>48456</v>
      </c>
      <c r="V1827" t="s">
        <v>59241</v>
      </c>
      <c r="W1827" t="s">
        <v>60844</v>
      </c>
      <c r="X1827" t="s">
        <v>44908</v>
      </c>
    </row>
    <row r="1828" spans="1:24">
      <c r="A1828">
        <f>HYPERLINK("https://www.philgeps.gov.ph/GEPSNONPILOT/Tender/SplashBidNoticeAbstractUI.aspx?menuIndex=3&amp;refID=7083973&amp;Result=3","7083973")</f>
        <v>0</v>
      </c>
      <c r="B1828" t="s">
        <v>768</v>
      </c>
      <c r="C1828" t="s">
        <v>5281</v>
      </c>
      <c r="D1828" t="s">
        <v>18126</v>
      </c>
      <c r="E1828" t="s">
        <v>19892</v>
      </c>
      <c r="F1828" t="s">
        <v>31362</v>
      </c>
      <c r="G1828" t="s">
        <v>31368</v>
      </c>
      <c r="H1828" t="s">
        <v>31377</v>
      </c>
      <c r="I1828" t="s">
        <v>31377</v>
      </c>
      <c r="J1828" t="s">
        <v>31564</v>
      </c>
      <c r="K1828" t="s">
        <v>40673</v>
      </c>
      <c r="M1828" t="s">
        <v>41736</v>
      </c>
      <c r="N1828" t="s">
        <v>44905</v>
      </c>
      <c r="O1828" t="s">
        <v>44906</v>
      </c>
      <c r="P1828">
        <v>0</v>
      </c>
      <c r="Q1828">
        <v>2</v>
      </c>
      <c r="R1828" t="s">
        <v>44907</v>
      </c>
      <c r="S1828" t="s">
        <v>45026</v>
      </c>
      <c r="T1828" t="s">
        <v>46412</v>
      </c>
      <c r="U1828" t="s">
        <v>48457</v>
      </c>
      <c r="W1828" t="s">
        <v>41736</v>
      </c>
      <c r="X1828" t="s">
        <v>44908</v>
      </c>
    </row>
    <row r="1829" spans="1:24">
      <c r="A1829">
        <f>HYPERLINK("https://www.philgeps.gov.ph/GEPSNONPILOT/Tender/SplashBidNoticeAbstractUI.aspx?menuIndex=3&amp;refID=7083924&amp;Result=3","7083924")</f>
        <v>0</v>
      </c>
      <c r="B1829" t="s">
        <v>769</v>
      </c>
      <c r="C1829" t="s">
        <v>5282</v>
      </c>
      <c r="D1829" t="s">
        <v>18129</v>
      </c>
      <c r="E1829" t="s">
        <v>19893</v>
      </c>
      <c r="F1829" t="s">
        <v>31362</v>
      </c>
      <c r="G1829" t="s">
        <v>31368</v>
      </c>
      <c r="H1829" t="s">
        <v>15799</v>
      </c>
      <c r="I1829" t="s">
        <v>31385</v>
      </c>
      <c r="J1829" t="s">
        <v>32822</v>
      </c>
      <c r="K1829" t="s">
        <v>40661</v>
      </c>
      <c r="M1829" t="s">
        <v>41737</v>
      </c>
      <c r="N1829" t="s">
        <v>44905</v>
      </c>
      <c r="O1829" t="s">
        <v>44906</v>
      </c>
      <c r="P1829">
        <v>0</v>
      </c>
      <c r="Q1829">
        <v>2</v>
      </c>
      <c r="R1829" t="s">
        <v>44907</v>
      </c>
      <c r="S1829" t="s">
        <v>45026</v>
      </c>
      <c r="T1829" t="s">
        <v>46403</v>
      </c>
      <c r="U1829" t="s">
        <v>48458</v>
      </c>
      <c r="W1829" t="s">
        <v>41737</v>
      </c>
      <c r="X1829" t="s">
        <v>44908</v>
      </c>
    </row>
    <row r="1830" spans="1:24">
      <c r="A1830">
        <f>HYPERLINK("https://www.philgeps.gov.ph/GEPSNONPILOT/Tender/SplashBidNoticeAbstractUI.aspx?menuIndex=3&amp;refID=7083976&amp;Result=3","7083976")</f>
        <v>0</v>
      </c>
      <c r="B1830" t="s">
        <v>770</v>
      </c>
      <c r="C1830" t="s">
        <v>5283</v>
      </c>
      <c r="D1830" t="s">
        <v>18104</v>
      </c>
      <c r="E1830" t="s">
        <v>19894</v>
      </c>
      <c r="F1830" t="s">
        <v>31362</v>
      </c>
      <c r="G1830" t="s">
        <v>31368</v>
      </c>
      <c r="H1830" t="s">
        <v>15799</v>
      </c>
      <c r="I1830" t="s">
        <v>3815</v>
      </c>
      <c r="J1830" t="s">
        <v>32823</v>
      </c>
      <c r="K1830" t="s">
        <v>40697</v>
      </c>
      <c r="M1830" t="s">
        <v>41738</v>
      </c>
      <c r="N1830" t="s">
        <v>44905</v>
      </c>
      <c r="O1830" t="s">
        <v>44906</v>
      </c>
      <c r="P1830">
        <v>0</v>
      </c>
      <c r="Q1830">
        <v>0</v>
      </c>
      <c r="R1830" t="s">
        <v>44907</v>
      </c>
      <c r="S1830" t="s">
        <v>45026</v>
      </c>
      <c r="T1830" t="s">
        <v>46409</v>
      </c>
      <c r="U1830" t="s">
        <v>48459</v>
      </c>
      <c r="W1830" t="s">
        <v>41738</v>
      </c>
      <c r="X1830" t="s">
        <v>44908</v>
      </c>
    </row>
    <row r="1831" spans="1:24">
      <c r="A1831">
        <f>HYPERLINK("https://www.philgeps.gov.ph/GEPSNONPILOT/Tender/SplashBidNoticeAbstractUI.aspx?menuIndex=3&amp;refID=7083972&amp;Result=3","7083972")</f>
        <v>0</v>
      </c>
      <c r="B1831" t="s">
        <v>643</v>
      </c>
      <c r="C1831" t="s">
        <v>5284</v>
      </c>
      <c r="D1831" t="s">
        <v>18103</v>
      </c>
      <c r="E1831" t="s">
        <v>19895</v>
      </c>
      <c r="F1831" t="s">
        <v>31362</v>
      </c>
      <c r="G1831" t="s">
        <v>31370</v>
      </c>
      <c r="H1831" t="s">
        <v>15799</v>
      </c>
      <c r="I1831" t="s">
        <v>31384</v>
      </c>
      <c r="J1831" t="s">
        <v>32824</v>
      </c>
      <c r="K1831" t="s">
        <v>40697</v>
      </c>
      <c r="M1831" t="s">
        <v>41603</v>
      </c>
      <c r="N1831" t="s">
        <v>44905</v>
      </c>
      <c r="O1831" t="s">
        <v>44906</v>
      </c>
      <c r="P1831">
        <v>0</v>
      </c>
      <c r="Q1831">
        <v>5</v>
      </c>
      <c r="R1831" t="s">
        <v>44907</v>
      </c>
      <c r="S1831" t="s">
        <v>45026</v>
      </c>
      <c r="T1831" t="s">
        <v>46432</v>
      </c>
      <c r="U1831" t="s">
        <v>48460</v>
      </c>
      <c r="W1831" t="s">
        <v>41603</v>
      </c>
      <c r="X1831" t="s">
        <v>44908</v>
      </c>
    </row>
    <row r="1832" spans="1:24">
      <c r="A1832">
        <f>HYPERLINK("https://www.philgeps.gov.ph/GEPSNONPILOT/Tender/SplashBidNoticeAbstractUI.aspx?menuIndex=3&amp;refID=7083971&amp;Result=3","7083971")</f>
        <v>0</v>
      </c>
      <c r="B1832" t="s">
        <v>751</v>
      </c>
      <c r="C1832" t="s">
        <v>5285</v>
      </c>
      <c r="D1832" t="s">
        <v>18122</v>
      </c>
      <c r="E1832" t="s">
        <v>19896</v>
      </c>
      <c r="F1832" t="s">
        <v>31362</v>
      </c>
      <c r="G1832" t="s">
        <v>31368</v>
      </c>
      <c r="H1832" t="s">
        <v>15799</v>
      </c>
      <c r="I1832" t="s">
        <v>13635</v>
      </c>
      <c r="J1832" t="s">
        <v>32825</v>
      </c>
      <c r="K1832" t="s">
        <v>40662</v>
      </c>
      <c r="M1832" t="s">
        <v>41719</v>
      </c>
      <c r="N1832" t="s">
        <v>44905</v>
      </c>
      <c r="O1832" t="s">
        <v>44906</v>
      </c>
      <c r="P1832">
        <v>0</v>
      </c>
      <c r="Q1832">
        <v>0</v>
      </c>
      <c r="R1832" t="s">
        <v>44907</v>
      </c>
      <c r="S1832" t="s">
        <v>45026</v>
      </c>
      <c r="T1832" t="s">
        <v>46438</v>
      </c>
      <c r="U1832" t="s">
        <v>48461</v>
      </c>
      <c r="W1832" t="s">
        <v>41719</v>
      </c>
      <c r="X1832" t="s">
        <v>44908</v>
      </c>
    </row>
    <row r="1833" spans="1:24">
      <c r="A1833">
        <f>HYPERLINK("https://www.philgeps.gov.ph/GEPSNONPILOT/Tender/SplashBidNoticeAbstractUI.aspx?menuIndex=3&amp;refID=7083969&amp;Result=3","7083969")</f>
        <v>0</v>
      </c>
      <c r="B1833" t="s">
        <v>771</v>
      </c>
      <c r="C1833" t="s">
        <v>5286</v>
      </c>
      <c r="D1833" t="s">
        <v>18170</v>
      </c>
      <c r="E1833" t="s">
        <v>19897</v>
      </c>
      <c r="F1833" t="s">
        <v>31362</v>
      </c>
      <c r="G1833" t="s">
        <v>31369</v>
      </c>
      <c r="H1833" t="s">
        <v>15799</v>
      </c>
      <c r="I1833" t="s">
        <v>31455</v>
      </c>
      <c r="J1833" t="s">
        <v>32826</v>
      </c>
      <c r="K1833" t="s">
        <v>40666</v>
      </c>
      <c r="L1833" t="s">
        <v>771</v>
      </c>
      <c r="M1833" t="s">
        <v>41739</v>
      </c>
      <c r="N1833" t="s">
        <v>44905</v>
      </c>
      <c r="O1833" t="s">
        <v>44906</v>
      </c>
      <c r="P1833">
        <v>0</v>
      </c>
      <c r="Q1833">
        <v>0</v>
      </c>
      <c r="R1833" t="s">
        <v>44907</v>
      </c>
      <c r="S1833" t="s">
        <v>45026</v>
      </c>
      <c r="T1833" t="s">
        <v>46408</v>
      </c>
      <c r="U1833" t="s">
        <v>48462</v>
      </c>
      <c r="W1833" t="s">
        <v>41739</v>
      </c>
      <c r="X1833" t="s">
        <v>44908</v>
      </c>
    </row>
    <row r="1834" spans="1:24">
      <c r="A1834">
        <f>HYPERLINK("https://www.philgeps.gov.ph/GEPSNONPILOT/Tender/SplashBidNoticeAbstractUI.aspx?menuIndex=3&amp;refID=7083965&amp;Result=3","7083965")</f>
        <v>0</v>
      </c>
      <c r="B1834" t="s">
        <v>772</v>
      </c>
      <c r="C1834" t="s">
        <v>5287</v>
      </c>
      <c r="D1834" t="s">
        <v>18138</v>
      </c>
      <c r="E1834" t="s">
        <v>19898</v>
      </c>
      <c r="F1834" t="s">
        <v>31362</v>
      </c>
      <c r="G1834" t="s">
        <v>31371</v>
      </c>
      <c r="H1834" t="s">
        <v>15799</v>
      </c>
      <c r="I1834" t="s">
        <v>6373</v>
      </c>
      <c r="J1834" t="s">
        <v>32105</v>
      </c>
      <c r="K1834" t="s">
        <v>40670</v>
      </c>
      <c r="M1834" t="s">
        <v>41740</v>
      </c>
      <c r="N1834" t="s">
        <v>44905</v>
      </c>
      <c r="O1834" t="s">
        <v>44906</v>
      </c>
      <c r="P1834">
        <v>0</v>
      </c>
      <c r="Q1834">
        <v>0</v>
      </c>
      <c r="R1834" t="s">
        <v>44907</v>
      </c>
      <c r="S1834" t="s">
        <v>45026</v>
      </c>
      <c r="T1834" t="s">
        <v>46454</v>
      </c>
      <c r="U1834" t="s">
        <v>48463</v>
      </c>
      <c r="V1834" t="s">
        <v>59242</v>
      </c>
      <c r="W1834" t="s">
        <v>41740</v>
      </c>
      <c r="X1834" t="s">
        <v>44908</v>
      </c>
    </row>
    <row r="1835" spans="1:24">
      <c r="A1835">
        <f>HYPERLINK("https://www.philgeps.gov.ph/GEPSNONPILOT/Tender/SplashBidNoticeAbstractUI.aspx?menuIndex=3&amp;refID=7083964&amp;Result=3","7083964")</f>
        <v>0</v>
      </c>
      <c r="B1835" t="s">
        <v>132</v>
      </c>
      <c r="C1835" t="s">
        <v>5288</v>
      </c>
      <c r="D1835" t="s">
        <v>18131</v>
      </c>
      <c r="E1835" t="s">
        <v>19797</v>
      </c>
      <c r="F1835" t="s">
        <v>31362</v>
      </c>
      <c r="G1835" t="s">
        <v>31369</v>
      </c>
      <c r="H1835" t="s">
        <v>31378</v>
      </c>
      <c r="I1835" t="s">
        <v>31386</v>
      </c>
      <c r="J1835" t="s">
        <v>31531</v>
      </c>
      <c r="K1835" t="s">
        <v>40682</v>
      </c>
      <c r="L1835" t="s">
        <v>132</v>
      </c>
      <c r="M1835" t="s">
        <v>41070</v>
      </c>
      <c r="N1835" t="s">
        <v>44905</v>
      </c>
      <c r="O1835" t="s">
        <v>44906</v>
      </c>
      <c r="P1835">
        <v>0</v>
      </c>
      <c r="Q1835">
        <v>0</v>
      </c>
      <c r="R1835" t="s">
        <v>44907</v>
      </c>
      <c r="S1835" t="s">
        <v>45026</v>
      </c>
      <c r="T1835" t="s">
        <v>46461</v>
      </c>
      <c r="U1835" t="s">
        <v>48439</v>
      </c>
      <c r="W1835" t="s">
        <v>41070</v>
      </c>
      <c r="X1835" t="s">
        <v>44908</v>
      </c>
    </row>
    <row r="1836" spans="1:24">
      <c r="A1836">
        <f>HYPERLINK("https://www.philgeps.gov.ph/GEPSNONPILOT/Tender/SplashBidNoticeAbstractUI.aspx?menuIndex=3&amp;refID=7083978&amp;Result=3","7083978")</f>
        <v>0</v>
      </c>
      <c r="B1836" t="s">
        <v>773</v>
      </c>
      <c r="C1836" t="s">
        <v>5289</v>
      </c>
      <c r="D1836" t="s">
        <v>18154</v>
      </c>
      <c r="E1836" t="s">
        <v>5289</v>
      </c>
      <c r="F1836" t="s">
        <v>31362</v>
      </c>
      <c r="G1836" t="s">
        <v>31368</v>
      </c>
      <c r="H1836" t="s">
        <v>15799</v>
      </c>
      <c r="I1836" t="s">
        <v>31427</v>
      </c>
      <c r="J1836" t="s">
        <v>32827</v>
      </c>
      <c r="K1836" t="s">
        <v>40666</v>
      </c>
      <c r="M1836" t="s">
        <v>41741</v>
      </c>
      <c r="N1836" t="s">
        <v>44905</v>
      </c>
      <c r="O1836" t="s">
        <v>44906</v>
      </c>
      <c r="P1836">
        <v>0</v>
      </c>
      <c r="Q1836">
        <v>4</v>
      </c>
      <c r="R1836" t="s">
        <v>44907</v>
      </c>
      <c r="S1836" t="s">
        <v>45026</v>
      </c>
      <c r="T1836" t="s">
        <v>46551</v>
      </c>
      <c r="U1836" t="s">
        <v>48464</v>
      </c>
      <c r="W1836" t="s">
        <v>41741</v>
      </c>
      <c r="X1836" t="s">
        <v>44908</v>
      </c>
    </row>
    <row r="1837" spans="1:24">
      <c r="A1837">
        <f>HYPERLINK("https://www.philgeps.gov.ph/GEPSNONPILOT/Tender/SplashBidNoticeAbstractUI.aspx?menuIndex=3&amp;refID=7083977&amp;Result=3","7083977")</f>
        <v>0</v>
      </c>
      <c r="B1837" t="s">
        <v>687</v>
      </c>
      <c r="C1837" t="s">
        <v>5290</v>
      </c>
      <c r="E1837" t="s">
        <v>19899</v>
      </c>
      <c r="F1837" t="s">
        <v>31362</v>
      </c>
      <c r="G1837" t="s">
        <v>31368</v>
      </c>
      <c r="H1837" t="s">
        <v>15799</v>
      </c>
      <c r="I1837" t="s">
        <v>31393</v>
      </c>
      <c r="J1837" t="s">
        <v>32022</v>
      </c>
      <c r="K1837" t="s">
        <v>40662</v>
      </c>
      <c r="M1837" t="s">
        <v>41649</v>
      </c>
      <c r="N1837" t="s">
        <v>44905</v>
      </c>
      <c r="O1837" t="s">
        <v>44906</v>
      </c>
      <c r="P1837">
        <v>0</v>
      </c>
      <c r="Q1837">
        <v>1</v>
      </c>
      <c r="R1837" t="s">
        <v>44907</v>
      </c>
      <c r="S1837" t="s">
        <v>45026</v>
      </c>
      <c r="T1837" t="s">
        <v>46532</v>
      </c>
      <c r="U1837" t="s">
        <v>48465</v>
      </c>
      <c r="W1837" t="s">
        <v>41649</v>
      </c>
      <c r="X1837" t="s">
        <v>44908</v>
      </c>
    </row>
    <row r="1838" spans="1:24">
      <c r="A1838">
        <f>HYPERLINK("https://www.philgeps.gov.ph/GEPSNONPILOT/Tender/SplashBidNoticeAbstractUI.aspx?menuIndex=3&amp;refID=7084016&amp;Result=3","7084016")</f>
        <v>0</v>
      </c>
      <c r="B1838" t="s">
        <v>729</v>
      </c>
      <c r="C1838" t="s">
        <v>5291</v>
      </c>
      <c r="D1838" t="s">
        <v>18160</v>
      </c>
      <c r="E1838" t="s">
        <v>19900</v>
      </c>
      <c r="F1838" t="s">
        <v>31362</v>
      </c>
      <c r="G1838" t="s">
        <v>31368</v>
      </c>
      <c r="H1838" t="s">
        <v>15799</v>
      </c>
      <c r="I1838" t="s">
        <v>31404</v>
      </c>
      <c r="J1838" t="s">
        <v>32828</v>
      </c>
      <c r="K1838" t="s">
        <v>40665</v>
      </c>
      <c r="M1838" t="s">
        <v>41696</v>
      </c>
      <c r="N1838" t="s">
        <v>44905</v>
      </c>
      <c r="O1838" t="s">
        <v>44906</v>
      </c>
      <c r="P1838">
        <v>0</v>
      </c>
      <c r="Q1838">
        <v>0</v>
      </c>
      <c r="R1838" t="s">
        <v>44907</v>
      </c>
      <c r="S1838" t="s">
        <v>45026</v>
      </c>
      <c r="T1838" t="s">
        <v>46447</v>
      </c>
      <c r="U1838" t="s">
        <v>48435</v>
      </c>
      <c r="W1838" t="s">
        <v>41696</v>
      </c>
      <c r="X1838" t="s">
        <v>44908</v>
      </c>
    </row>
    <row r="1839" spans="1:24">
      <c r="A1839">
        <f>HYPERLINK("https://www.philgeps.gov.ph/GEPSNONPILOT/Tender/SplashBidNoticeAbstractUI.aspx?menuIndex=3&amp;refID=7084014&amp;Result=3","7084014")</f>
        <v>0</v>
      </c>
      <c r="B1839" t="s">
        <v>774</v>
      </c>
      <c r="C1839" t="s">
        <v>5292</v>
      </c>
      <c r="D1839" t="s">
        <v>18135</v>
      </c>
      <c r="E1839" t="s">
        <v>19901</v>
      </c>
      <c r="F1839" t="s">
        <v>31362</v>
      </c>
      <c r="G1839" t="s">
        <v>31368</v>
      </c>
      <c r="H1839" t="s">
        <v>15799</v>
      </c>
      <c r="I1839" t="s">
        <v>4942</v>
      </c>
      <c r="J1839" t="s">
        <v>31806</v>
      </c>
      <c r="K1839" t="s">
        <v>40720</v>
      </c>
      <c r="M1839" t="s">
        <v>41742</v>
      </c>
      <c r="N1839" t="s">
        <v>44905</v>
      </c>
      <c r="O1839" t="s">
        <v>44906</v>
      </c>
      <c r="P1839">
        <v>0</v>
      </c>
      <c r="Q1839">
        <v>0</v>
      </c>
      <c r="R1839" t="s">
        <v>44907</v>
      </c>
      <c r="S1839" t="s">
        <v>45026</v>
      </c>
      <c r="T1839" t="s">
        <v>46432</v>
      </c>
      <c r="U1839" t="s">
        <v>48466</v>
      </c>
      <c r="W1839" t="s">
        <v>41742</v>
      </c>
      <c r="X1839" t="s">
        <v>44908</v>
      </c>
    </row>
    <row r="1840" spans="1:24">
      <c r="A1840">
        <f>HYPERLINK("https://www.philgeps.gov.ph/GEPSNONPILOT/Tender/SplashBidNoticeAbstractUI.aspx?menuIndex=3&amp;refID=7084013&amp;Result=3","7084013")</f>
        <v>0</v>
      </c>
      <c r="B1840" t="s">
        <v>775</v>
      </c>
      <c r="C1840" t="s">
        <v>5293</v>
      </c>
      <c r="D1840" t="s">
        <v>18138</v>
      </c>
      <c r="E1840" t="s">
        <v>19902</v>
      </c>
      <c r="F1840" t="s">
        <v>31362</v>
      </c>
      <c r="G1840" t="s">
        <v>31368</v>
      </c>
      <c r="H1840" t="s">
        <v>15799</v>
      </c>
      <c r="I1840" t="s">
        <v>7090</v>
      </c>
      <c r="J1840" t="s">
        <v>32079</v>
      </c>
      <c r="K1840" t="s">
        <v>40670</v>
      </c>
      <c r="M1840" t="s">
        <v>41743</v>
      </c>
      <c r="N1840" t="s">
        <v>44905</v>
      </c>
      <c r="O1840" t="s">
        <v>44906</v>
      </c>
      <c r="P1840">
        <v>0</v>
      </c>
      <c r="Q1840">
        <v>1</v>
      </c>
      <c r="R1840" t="s">
        <v>44907</v>
      </c>
      <c r="S1840" t="s">
        <v>45026</v>
      </c>
      <c r="T1840" t="s">
        <v>46417</v>
      </c>
      <c r="U1840" t="s">
        <v>48467</v>
      </c>
      <c r="W1840" t="s">
        <v>41743</v>
      </c>
      <c r="X1840" t="s">
        <v>44908</v>
      </c>
    </row>
    <row r="1841" spans="1:24">
      <c r="A1841">
        <f>HYPERLINK("https://www.philgeps.gov.ph/GEPSNONPILOT/Tender/SplashBidNoticeAbstractUI.aspx?menuIndex=3&amp;refID=7083967&amp;Result=3","7083967")</f>
        <v>0</v>
      </c>
      <c r="B1841" t="s">
        <v>404</v>
      </c>
      <c r="C1841" t="s">
        <v>5294</v>
      </c>
      <c r="D1841" t="s">
        <v>18108</v>
      </c>
      <c r="E1841" t="s">
        <v>19903</v>
      </c>
      <c r="F1841" t="s">
        <v>31362</v>
      </c>
      <c r="G1841" t="s">
        <v>31368</v>
      </c>
      <c r="H1841" t="s">
        <v>15799</v>
      </c>
      <c r="I1841" t="s">
        <v>31411</v>
      </c>
      <c r="J1841" t="s">
        <v>32829</v>
      </c>
      <c r="K1841" t="s">
        <v>40666</v>
      </c>
      <c r="M1841" t="s">
        <v>41718</v>
      </c>
      <c r="N1841" t="s">
        <v>44905</v>
      </c>
      <c r="O1841" t="s">
        <v>44906</v>
      </c>
      <c r="P1841">
        <v>0</v>
      </c>
      <c r="Q1841">
        <v>4</v>
      </c>
      <c r="R1841" t="s">
        <v>44907</v>
      </c>
      <c r="S1841" t="s">
        <v>45026</v>
      </c>
      <c r="T1841" t="s">
        <v>46435</v>
      </c>
      <c r="U1841" t="s">
        <v>48468</v>
      </c>
      <c r="V1841" t="s">
        <v>59237</v>
      </c>
      <c r="W1841" t="s">
        <v>41718</v>
      </c>
      <c r="X1841" t="s">
        <v>44908</v>
      </c>
    </row>
    <row r="1842" spans="1:24">
      <c r="A1842">
        <f>HYPERLINK("https://www.philgeps.gov.ph/GEPSNONPILOT/Tender/SplashBidNoticeAbstractUI.aspx?menuIndex=3&amp;refID=7084012&amp;Result=3","7084012")</f>
        <v>0</v>
      </c>
      <c r="B1842" t="s">
        <v>768</v>
      </c>
      <c r="C1842" t="s">
        <v>5295</v>
      </c>
      <c r="D1842" t="s">
        <v>18126</v>
      </c>
      <c r="E1842" t="s">
        <v>19904</v>
      </c>
      <c r="F1842" t="s">
        <v>31362</v>
      </c>
      <c r="G1842" t="s">
        <v>31368</v>
      </c>
      <c r="H1842" t="s">
        <v>15799</v>
      </c>
      <c r="I1842" t="s">
        <v>7090</v>
      </c>
      <c r="J1842" t="s">
        <v>32830</v>
      </c>
      <c r="K1842" t="s">
        <v>40670</v>
      </c>
      <c r="M1842" t="s">
        <v>41736</v>
      </c>
      <c r="N1842" t="s">
        <v>44905</v>
      </c>
      <c r="O1842" t="s">
        <v>44906</v>
      </c>
      <c r="P1842">
        <v>0</v>
      </c>
      <c r="Q1842">
        <v>0</v>
      </c>
      <c r="R1842" t="s">
        <v>44907</v>
      </c>
      <c r="S1842" t="s">
        <v>45026</v>
      </c>
      <c r="T1842" t="s">
        <v>46412</v>
      </c>
      <c r="U1842" t="s">
        <v>48469</v>
      </c>
      <c r="W1842" t="s">
        <v>41736</v>
      </c>
      <c r="X1842" t="s">
        <v>44908</v>
      </c>
    </row>
    <row r="1843" spans="1:24">
      <c r="A1843">
        <f>HYPERLINK("https://www.philgeps.gov.ph/GEPSNONPILOT/Tender/SplashBidNoticeAbstractUI.aspx?menuIndex=3&amp;refID=7083963&amp;Result=3","7083963")</f>
        <v>0</v>
      </c>
      <c r="B1843" t="s">
        <v>776</v>
      </c>
      <c r="C1843" t="s">
        <v>5296</v>
      </c>
      <c r="E1843" t="s">
        <v>19905</v>
      </c>
      <c r="F1843" t="s">
        <v>31362</v>
      </c>
      <c r="G1843" t="s">
        <v>31368</v>
      </c>
      <c r="H1843" t="s">
        <v>31377</v>
      </c>
      <c r="I1843" t="s">
        <v>31377</v>
      </c>
      <c r="J1843" t="s">
        <v>32831</v>
      </c>
      <c r="K1843" t="s">
        <v>40712</v>
      </c>
      <c r="M1843" t="s">
        <v>41744</v>
      </c>
      <c r="N1843" t="s">
        <v>44905</v>
      </c>
      <c r="O1843" t="s">
        <v>44906</v>
      </c>
      <c r="P1843">
        <v>0</v>
      </c>
      <c r="Q1843">
        <v>0</v>
      </c>
      <c r="R1843" t="s">
        <v>44907</v>
      </c>
      <c r="S1843" t="s">
        <v>45026</v>
      </c>
      <c r="T1843" t="s">
        <v>46427</v>
      </c>
      <c r="U1843" t="s">
        <v>48470</v>
      </c>
      <c r="W1843" t="s">
        <v>41744</v>
      </c>
      <c r="X1843" t="s">
        <v>44908</v>
      </c>
    </row>
    <row r="1844" spans="1:24">
      <c r="A1844">
        <f>HYPERLINK("https://www.philgeps.gov.ph/GEPSNONPILOT/Tender/SplashBidNoticeAbstractUI.aspx?menuIndex=3&amp;refID=7084007&amp;Result=3","7084007")</f>
        <v>0</v>
      </c>
      <c r="B1844" t="s">
        <v>755</v>
      </c>
      <c r="C1844" t="s">
        <v>5297</v>
      </c>
      <c r="D1844" t="s">
        <v>18134</v>
      </c>
      <c r="E1844" t="s">
        <v>18466</v>
      </c>
      <c r="F1844" t="s">
        <v>31362</v>
      </c>
      <c r="G1844" t="s">
        <v>31369</v>
      </c>
      <c r="H1844" t="s">
        <v>31378</v>
      </c>
      <c r="I1844" t="s">
        <v>31386</v>
      </c>
      <c r="J1844" t="s">
        <v>31734</v>
      </c>
      <c r="K1844" t="s">
        <v>40665</v>
      </c>
      <c r="M1844" t="s">
        <v>41723</v>
      </c>
      <c r="N1844" t="s">
        <v>44905</v>
      </c>
      <c r="O1844" t="s">
        <v>44906</v>
      </c>
      <c r="P1844">
        <v>0</v>
      </c>
      <c r="Q1844">
        <v>0</v>
      </c>
      <c r="R1844" t="s">
        <v>44907</v>
      </c>
      <c r="S1844" t="s">
        <v>45026</v>
      </c>
      <c r="T1844" t="s">
        <v>46415</v>
      </c>
      <c r="U1844" t="s">
        <v>48471</v>
      </c>
      <c r="W1844" t="s">
        <v>41723</v>
      </c>
      <c r="X1844" t="s">
        <v>44908</v>
      </c>
    </row>
    <row r="1845" spans="1:24">
      <c r="A1845">
        <f>HYPERLINK("https://www.philgeps.gov.ph/GEPSNONPILOT/Tender/SplashBidNoticeAbstractUI.aspx?menuIndex=3&amp;refID=7084004&amp;Result=3","7084004")</f>
        <v>0</v>
      </c>
      <c r="B1845" t="s">
        <v>777</v>
      </c>
      <c r="C1845" t="s">
        <v>5298</v>
      </c>
      <c r="D1845" t="s">
        <v>18157</v>
      </c>
      <c r="E1845" t="s">
        <v>19906</v>
      </c>
      <c r="F1845" t="s">
        <v>31362</v>
      </c>
      <c r="G1845" t="s">
        <v>31368</v>
      </c>
      <c r="H1845" t="s">
        <v>15799</v>
      </c>
      <c r="I1845" t="s">
        <v>4057</v>
      </c>
      <c r="J1845" t="s">
        <v>32832</v>
      </c>
      <c r="K1845" t="s">
        <v>40661</v>
      </c>
      <c r="M1845" t="s">
        <v>41745</v>
      </c>
      <c r="N1845" t="s">
        <v>44905</v>
      </c>
      <c r="O1845" t="s">
        <v>44906</v>
      </c>
      <c r="P1845">
        <v>0</v>
      </c>
      <c r="Q1845">
        <v>0</v>
      </c>
      <c r="R1845" t="s">
        <v>44907</v>
      </c>
      <c r="S1845" t="s">
        <v>45026</v>
      </c>
      <c r="T1845" t="s">
        <v>46417</v>
      </c>
      <c r="U1845" t="s">
        <v>48472</v>
      </c>
      <c r="W1845" t="s">
        <v>41745</v>
      </c>
      <c r="X1845" t="s">
        <v>44908</v>
      </c>
    </row>
    <row r="1846" spans="1:24">
      <c r="A1846">
        <f>HYPERLINK("https://www.philgeps.gov.ph/GEPSNONPILOT/Tender/SplashBidNoticeAbstractUI.aspx?menuIndex=3&amp;refID=7084003&amp;Result=3","7084003")</f>
        <v>0</v>
      </c>
      <c r="B1846" t="s">
        <v>750</v>
      </c>
      <c r="C1846" t="s">
        <v>5299</v>
      </c>
      <c r="E1846" t="s">
        <v>19907</v>
      </c>
      <c r="F1846" t="s">
        <v>31362</v>
      </c>
      <c r="G1846" t="s">
        <v>31369</v>
      </c>
      <c r="H1846" t="s">
        <v>31378</v>
      </c>
      <c r="I1846" t="s">
        <v>31386</v>
      </c>
      <c r="J1846" t="s">
        <v>32810</v>
      </c>
      <c r="K1846" t="s">
        <v>40662</v>
      </c>
      <c r="M1846" t="s">
        <v>41717</v>
      </c>
      <c r="N1846" t="s">
        <v>44905</v>
      </c>
      <c r="O1846" t="s">
        <v>44906</v>
      </c>
      <c r="P1846">
        <v>0</v>
      </c>
      <c r="Q1846">
        <v>0</v>
      </c>
      <c r="R1846" t="s">
        <v>44907</v>
      </c>
      <c r="S1846" t="s">
        <v>45026</v>
      </c>
      <c r="T1846" t="s">
        <v>46429</v>
      </c>
      <c r="U1846" t="s">
        <v>48473</v>
      </c>
      <c r="W1846" t="s">
        <v>44867</v>
      </c>
      <c r="X1846" t="s">
        <v>44908</v>
      </c>
    </row>
    <row r="1847" spans="1:24">
      <c r="A1847">
        <f>HYPERLINK("https://www.philgeps.gov.ph/GEPSNONPILOT/Tender/SplashBidNoticeAbstractUI.aspx?menuIndex=3&amp;refID=7084001&amp;Result=3","7084001")</f>
        <v>0</v>
      </c>
      <c r="B1847" t="s">
        <v>744</v>
      </c>
      <c r="C1847" t="s">
        <v>5300</v>
      </c>
      <c r="D1847" t="s">
        <v>18148</v>
      </c>
      <c r="E1847" t="s">
        <v>19908</v>
      </c>
      <c r="F1847" t="s">
        <v>31362</v>
      </c>
      <c r="G1847" t="s">
        <v>31369</v>
      </c>
      <c r="H1847" t="s">
        <v>31378</v>
      </c>
      <c r="I1847" t="s">
        <v>31386</v>
      </c>
      <c r="J1847" t="s">
        <v>31536</v>
      </c>
      <c r="K1847" t="s">
        <v>40681</v>
      </c>
      <c r="M1847" t="s">
        <v>41711</v>
      </c>
      <c r="N1847" t="s">
        <v>44905</v>
      </c>
      <c r="O1847" t="s">
        <v>44906</v>
      </c>
      <c r="P1847">
        <v>0</v>
      </c>
      <c r="Q1847">
        <v>0</v>
      </c>
      <c r="R1847" t="s">
        <v>44907</v>
      </c>
      <c r="S1847" t="s">
        <v>45026</v>
      </c>
      <c r="T1847" t="s">
        <v>46433</v>
      </c>
      <c r="U1847" t="s">
        <v>48455</v>
      </c>
      <c r="W1847" t="s">
        <v>41711</v>
      </c>
      <c r="X1847" t="s">
        <v>44908</v>
      </c>
    </row>
    <row r="1848" spans="1:24">
      <c r="A1848">
        <f>HYPERLINK("https://www.philgeps.gov.ph/GEPSNONPILOT/Tender/SplashBidNoticeAbstractUI.aspx?menuIndex=3&amp;refID=7083853&amp;Result=3","7083853")</f>
        <v>0</v>
      </c>
      <c r="B1848" t="s">
        <v>742</v>
      </c>
      <c r="C1848" t="s">
        <v>5301</v>
      </c>
      <c r="D1848" t="s">
        <v>18109</v>
      </c>
      <c r="E1848" t="s">
        <v>19909</v>
      </c>
      <c r="F1848" t="s">
        <v>31362</v>
      </c>
      <c r="G1848" t="s">
        <v>31368</v>
      </c>
      <c r="H1848" t="s">
        <v>15799</v>
      </c>
      <c r="I1848" t="s">
        <v>31404</v>
      </c>
      <c r="J1848" t="s">
        <v>31545</v>
      </c>
      <c r="K1848" t="s">
        <v>40666</v>
      </c>
      <c r="M1848" t="s">
        <v>41709</v>
      </c>
      <c r="N1848" t="s">
        <v>44905</v>
      </c>
      <c r="O1848" t="s">
        <v>44906</v>
      </c>
      <c r="P1848">
        <v>0</v>
      </c>
      <c r="Q1848">
        <v>0</v>
      </c>
      <c r="R1848" t="s">
        <v>44907</v>
      </c>
      <c r="S1848" t="s">
        <v>45026</v>
      </c>
      <c r="T1848" t="s">
        <v>46440</v>
      </c>
      <c r="U1848" t="s">
        <v>48397</v>
      </c>
      <c r="W1848" t="s">
        <v>41709</v>
      </c>
      <c r="X1848" t="s">
        <v>44908</v>
      </c>
    </row>
    <row r="1849" spans="1:24">
      <c r="A1849">
        <f>HYPERLINK("https://www.philgeps.gov.ph/GEPSNONPILOT/Tender/SplashBidNoticeAbstractUI.aspx?menuIndex=3&amp;refID=7084010&amp;Result=3","7084010")</f>
        <v>0</v>
      </c>
      <c r="B1849" t="s">
        <v>778</v>
      </c>
      <c r="C1849" t="s">
        <v>5302</v>
      </c>
      <c r="D1849" t="s">
        <v>18172</v>
      </c>
      <c r="E1849" t="s">
        <v>19910</v>
      </c>
      <c r="F1849" t="s">
        <v>31362</v>
      </c>
      <c r="G1849" t="s">
        <v>31368</v>
      </c>
      <c r="H1849" t="s">
        <v>15799</v>
      </c>
      <c r="I1849" t="s">
        <v>31430</v>
      </c>
      <c r="J1849" t="s">
        <v>32694</v>
      </c>
      <c r="K1849" t="s">
        <v>40661</v>
      </c>
      <c r="M1849" t="s">
        <v>41746</v>
      </c>
      <c r="N1849" t="s">
        <v>44905</v>
      </c>
      <c r="O1849" t="s">
        <v>44906</v>
      </c>
      <c r="P1849">
        <v>0</v>
      </c>
      <c r="Q1849">
        <v>0</v>
      </c>
      <c r="R1849" t="s">
        <v>44907</v>
      </c>
      <c r="S1849" t="s">
        <v>45026</v>
      </c>
      <c r="T1849" t="s">
        <v>46410</v>
      </c>
      <c r="U1849" t="s">
        <v>48474</v>
      </c>
      <c r="W1849" t="s">
        <v>41746</v>
      </c>
      <c r="X1849" t="s">
        <v>44908</v>
      </c>
    </row>
    <row r="1850" spans="1:24">
      <c r="A1850">
        <f>HYPERLINK("https://www.philgeps.gov.ph/GEPSNONPILOT/Tender/SplashBidNoticeAbstractUI.aspx?menuIndex=3&amp;refID=7083994&amp;Result=3","7083994")</f>
        <v>0</v>
      </c>
      <c r="B1850" t="s">
        <v>751</v>
      </c>
      <c r="C1850" t="s">
        <v>5303</v>
      </c>
      <c r="D1850" t="s">
        <v>18122</v>
      </c>
      <c r="E1850" t="s">
        <v>19911</v>
      </c>
      <c r="F1850" t="s">
        <v>31362</v>
      </c>
      <c r="G1850" t="s">
        <v>31368</v>
      </c>
      <c r="H1850" t="s">
        <v>15799</v>
      </c>
      <c r="I1850" t="s">
        <v>31383</v>
      </c>
      <c r="J1850" t="s">
        <v>32833</v>
      </c>
      <c r="K1850" t="s">
        <v>40662</v>
      </c>
      <c r="M1850" t="s">
        <v>41719</v>
      </c>
      <c r="N1850" t="s">
        <v>44905</v>
      </c>
      <c r="O1850" t="s">
        <v>44906</v>
      </c>
      <c r="P1850">
        <v>0</v>
      </c>
      <c r="Q1850">
        <v>0</v>
      </c>
      <c r="R1850" t="s">
        <v>44907</v>
      </c>
      <c r="S1850" t="s">
        <v>45026</v>
      </c>
      <c r="T1850" t="s">
        <v>46438</v>
      </c>
      <c r="U1850" t="s">
        <v>48475</v>
      </c>
      <c r="W1850" t="s">
        <v>41719</v>
      </c>
      <c r="X1850" t="s">
        <v>44908</v>
      </c>
    </row>
    <row r="1851" spans="1:24">
      <c r="A1851">
        <f>HYPERLINK("https://www.philgeps.gov.ph/GEPSNONPILOT/Tender/SplashBidNoticeAbstractUI.aspx?menuIndex=3&amp;refID=7084015&amp;Result=3","7084015")</f>
        <v>0</v>
      </c>
      <c r="B1851" t="s">
        <v>736</v>
      </c>
      <c r="C1851" t="s">
        <v>5304</v>
      </c>
      <c r="D1851" t="s">
        <v>18117</v>
      </c>
      <c r="E1851" t="s">
        <v>19912</v>
      </c>
      <c r="F1851" t="s">
        <v>31362</v>
      </c>
      <c r="G1851" t="s">
        <v>31368</v>
      </c>
      <c r="H1851" t="s">
        <v>31379</v>
      </c>
      <c r="I1851" t="s">
        <v>3815</v>
      </c>
      <c r="J1851" t="s">
        <v>32834</v>
      </c>
      <c r="K1851" t="s">
        <v>40670</v>
      </c>
      <c r="M1851" t="s">
        <v>41703</v>
      </c>
      <c r="N1851" t="s">
        <v>44905</v>
      </c>
      <c r="O1851" t="s">
        <v>44906</v>
      </c>
      <c r="P1851">
        <v>0</v>
      </c>
      <c r="Q1851">
        <v>0</v>
      </c>
      <c r="R1851" t="s">
        <v>44907</v>
      </c>
      <c r="S1851" t="s">
        <v>45026</v>
      </c>
      <c r="T1851" t="s">
        <v>46447</v>
      </c>
      <c r="U1851" t="s">
        <v>48476</v>
      </c>
      <c r="V1851" t="s">
        <v>59235</v>
      </c>
      <c r="W1851" t="s">
        <v>41703</v>
      </c>
      <c r="X1851" t="s">
        <v>44908</v>
      </c>
    </row>
    <row r="1852" spans="1:24">
      <c r="A1852">
        <f>HYPERLINK("https://www.philgeps.gov.ph/GEPSNONPILOT/Tender/SplashBidNoticeAbstractUI.aspx?menuIndex=3&amp;refID=7083993&amp;Result=3","7083993")</f>
        <v>0</v>
      </c>
      <c r="B1852" t="s">
        <v>132</v>
      </c>
      <c r="C1852" t="s">
        <v>5305</v>
      </c>
      <c r="D1852" t="s">
        <v>18131</v>
      </c>
      <c r="E1852" t="s">
        <v>19797</v>
      </c>
      <c r="F1852" t="s">
        <v>31362</v>
      </c>
      <c r="G1852" t="s">
        <v>31369</v>
      </c>
      <c r="H1852" t="s">
        <v>31378</v>
      </c>
      <c r="I1852" t="s">
        <v>31386</v>
      </c>
      <c r="J1852" t="s">
        <v>31531</v>
      </c>
      <c r="K1852" t="s">
        <v>40682</v>
      </c>
      <c r="L1852" t="s">
        <v>132</v>
      </c>
      <c r="M1852" t="s">
        <v>41070</v>
      </c>
      <c r="N1852" t="s">
        <v>44905</v>
      </c>
      <c r="O1852" t="s">
        <v>44906</v>
      </c>
      <c r="P1852">
        <v>0</v>
      </c>
      <c r="Q1852">
        <v>0</v>
      </c>
      <c r="R1852" t="s">
        <v>44907</v>
      </c>
      <c r="S1852" t="s">
        <v>45026</v>
      </c>
      <c r="T1852" t="s">
        <v>46461</v>
      </c>
      <c r="U1852" t="s">
        <v>48439</v>
      </c>
      <c r="W1852" t="s">
        <v>41070</v>
      </c>
      <c r="X1852" t="s">
        <v>44908</v>
      </c>
    </row>
    <row r="1853" spans="1:24">
      <c r="A1853">
        <f>HYPERLINK("https://www.philgeps.gov.ph/GEPSNONPILOT/Tender/SplashBidNoticeAbstractUI.aspx?menuIndex=3&amp;refID=7083989&amp;Result=3","7083989")</f>
        <v>0</v>
      </c>
      <c r="B1853" t="s">
        <v>776</v>
      </c>
      <c r="C1853" t="s">
        <v>5306</v>
      </c>
      <c r="E1853" t="s">
        <v>19913</v>
      </c>
      <c r="F1853" t="s">
        <v>31362</v>
      </c>
      <c r="G1853" t="s">
        <v>31368</v>
      </c>
      <c r="H1853" t="s">
        <v>31377</v>
      </c>
      <c r="I1853" t="s">
        <v>31377</v>
      </c>
      <c r="J1853" t="s">
        <v>31604</v>
      </c>
      <c r="K1853" t="s">
        <v>40712</v>
      </c>
      <c r="M1853" t="s">
        <v>41744</v>
      </c>
      <c r="N1853" t="s">
        <v>44905</v>
      </c>
      <c r="O1853" t="s">
        <v>44906</v>
      </c>
      <c r="P1853">
        <v>0</v>
      </c>
      <c r="Q1853">
        <v>0</v>
      </c>
      <c r="R1853" t="s">
        <v>44907</v>
      </c>
      <c r="S1853" t="s">
        <v>45026</v>
      </c>
      <c r="T1853" t="s">
        <v>46427</v>
      </c>
      <c r="U1853" t="s">
        <v>48477</v>
      </c>
      <c r="W1853" t="s">
        <v>41744</v>
      </c>
      <c r="X1853" t="s">
        <v>44908</v>
      </c>
    </row>
    <row r="1854" spans="1:24">
      <c r="A1854">
        <f>HYPERLINK("https://www.philgeps.gov.ph/GEPSNONPILOT/Tender/SplashBidNoticeAbstractUI.aspx?menuIndex=3&amp;refID=7083987&amp;Result=3","7083987")</f>
        <v>0</v>
      </c>
      <c r="B1854" t="s">
        <v>779</v>
      </c>
      <c r="C1854" t="s">
        <v>5307</v>
      </c>
      <c r="D1854" t="s">
        <v>18110</v>
      </c>
      <c r="E1854" t="s">
        <v>19914</v>
      </c>
      <c r="F1854" t="s">
        <v>31362</v>
      </c>
      <c r="G1854" t="s">
        <v>31371</v>
      </c>
      <c r="H1854" t="s">
        <v>15799</v>
      </c>
      <c r="I1854" t="s">
        <v>6373</v>
      </c>
      <c r="J1854" t="s">
        <v>32835</v>
      </c>
      <c r="K1854" t="s">
        <v>40666</v>
      </c>
      <c r="M1854" t="s">
        <v>41747</v>
      </c>
      <c r="N1854" t="s">
        <v>44905</v>
      </c>
      <c r="O1854" t="s">
        <v>44906</v>
      </c>
      <c r="P1854">
        <v>0</v>
      </c>
      <c r="Q1854">
        <v>1</v>
      </c>
      <c r="R1854" t="s">
        <v>44907</v>
      </c>
      <c r="S1854" t="s">
        <v>45026</v>
      </c>
      <c r="T1854" t="s">
        <v>46435</v>
      </c>
      <c r="U1854" t="s">
        <v>48478</v>
      </c>
      <c r="W1854" t="s">
        <v>41747</v>
      </c>
      <c r="X1854" t="s">
        <v>44908</v>
      </c>
    </row>
    <row r="1855" spans="1:24">
      <c r="A1855">
        <f>HYPERLINK("https://www.philgeps.gov.ph/GEPSNONPILOT/Tender/SplashBidNoticeAbstractUI.aspx?menuIndex=3&amp;refID=7083985&amp;Result=3","7083985")</f>
        <v>0</v>
      </c>
      <c r="B1855" t="s">
        <v>756</v>
      </c>
      <c r="C1855" t="s">
        <v>5308</v>
      </c>
      <c r="D1855" t="s">
        <v>18123</v>
      </c>
      <c r="E1855" t="s">
        <v>19915</v>
      </c>
      <c r="F1855" t="s">
        <v>31362</v>
      </c>
      <c r="G1855" t="s">
        <v>31369</v>
      </c>
      <c r="H1855" t="s">
        <v>15799</v>
      </c>
      <c r="I1855" t="s">
        <v>31433</v>
      </c>
      <c r="J1855" t="s">
        <v>32836</v>
      </c>
      <c r="K1855" t="s">
        <v>40666</v>
      </c>
      <c r="M1855" t="s">
        <v>41724</v>
      </c>
      <c r="N1855" t="s">
        <v>44905</v>
      </c>
      <c r="O1855" t="s">
        <v>44906</v>
      </c>
      <c r="P1855">
        <v>0</v>
      </c>
      <c r="Q1855">
        <v>0</v>
      </c>
      <c r="R1855" t="s">
        <v>44907</v>
      </c>
      <c r="S1855" t="s">
        <v>45026</v>
      </c>
      <c r="T1855" t="s">
        <v>46481</v>
      </c>
      <c r="U1855" t="s">
        <v>48426</v>
      </c>
      <c r="W1855" t="s">
        <v>41724</v>
      </c>
      <c r="X1855" t="s">
        <v>44908</v>
      </c>
    </row>
    <row r="1856" spans="1:24">
      <c r="A1856">
        <f>HYPERLINK("https://www.philgeps.gov.ph/GEPSNONPILOT/Tender/SplashBidNoticeAbstractUI.aspx?menuIndex=3&amp;refID=7083888&amp;Result=3","7083888")</f>
        <v>0</v>
      </c>
      <c r="B1856" t="s">
        <v>771</v>
      </c>
      <c r="C1856" t="s">
        <v>5309</v>
      </c>
      <c r="D1856" t="s">
        <v>18170</v>
      </c>
      <c r="E1856" t="s">
        <v>19916</v>
      </c>
      <c r="F1856" t="s">
        <v>31362</v>
      </c>
      <c r="G1856" t="s">
        <v>31369</v>
      </c>
      <c r="H1856" t="s">
        <v>15799</v>
      </c>
      <c r="I1856" t="s">
        <v>31409</v>
      </c>
      <c r="J1856" t="s">
        <v>32837</v>
      </c>
      <c r="K1856" t="s">
        <v>40666</v>
      </c>
      <c r="L1856" t="s">
        <v>771</v>
      </c>
      <c r="M1856" t="s">
        <v>41739</v>
      </c>
      <c r="N1856" t="s">
        <v>44905</v>
      </c>
      <c r="O1856" t="s">
        <v>44906</v>
      </c>
      <c r="P1856">
        <v>0</v>
      </c>
      <c r="Q1856">
        <v>0</v>
      </c>
      <c r="R1856" t="s">
        <v>44907</v>
      </c>
      <c r="S1856" t="s">
        <v>45026</v>
      </c>
      <c r="T1856" t="s">
        <v>46403</v>
      </c>
      <c r="U1856" t="s">
        <v>48479</v>
      </c>
      <c r="W1856" t="s">
        <v>41739</v>
      </c>
      <c r="X1856" t="s">
        <v>44908</v>
      </c>
    </row>
    <row r="1857" spans="1:24">
      <c r="A1857">
        <f>HYPERLINK("https://www.philgeps.gov.ph/GEPSNONPILOT/Tender/SplashBidNoticeAbstractUI.aspx?menuIndex=3&amp;refID=7084005&amp;Result=3","7084005")</f>
        <v>0</v>
      </c>
      <c r="B1857" t="s">
        <v>446</v>
      </c>
      <c r="C1857" t="s">
        <v>5310</v>
      </c>
      <c r="D1857" t="s">
        <v>18108</v>
      </c>
      <c r="E1857" t="s">
        <v>19917</v>
      </c>
      <c r="F1857" t="s">
        <v>31362</v>
      </c>
      <c r="G1857" t="s">
        <v>31370</v>
      </c>
      <c r="H1857" t="s">
        <v>15799</v>
      </c>
      <c r="I1857" t="s">
        <v>31397</v>
      </c>
      <c r="J1857" t="s">
        <v>32838</v>
      </c>
      <c r="K1857" t="s">
        <v>40661</v>
      </c>
      <c r="M1857" t="s">
        <v>41400</v>
      </c>
      <c r="N1857" t="s">
        <v>44905</v>
      </c>
      <c r="O1857" t="s">
        <v>44906</v>
      </c>
      <c r="P1857">
        <v>0</v>
      </c>
      <c r="Q1857">
        <v>0</v>
      </c>
      <c r="R1857" t="s">
        <v>44907</v>
      </c>
      <c r="S1857" t="s">
        <v>45026</v>
      </c>
      <c r="T1857" t="s">
        <v>46497</v>
      </c>
      <c r="U1857" t="s">
        <v>48480</v>
      </c>
      <c r="W1857" t="s">
        <v>41400</v>
      </c>
      <c r="X1857" t="s">
        <v>44908</v>
      </c>
    </row>
    <row r="1858" spans="1:24">
      <c r="A1858">
        <f>HYPERLINK("https://www.philgeps.gov.ph/GEPSNONPILOT/Tender/SplashBidNoticeAbstractUI.aspx?menuIndex=3&amp;refID=7083988&amp;Result=3","7083988")</f>
        <v>0</v>
      </c>
      <c r="B1858" t="s">
        <v>694</v>
      </c>
      <c r="C1858" t="s">
        <v>5311</v>
      </c>
      <c r="D1858" t="s">
        <v>18108</v>
      </c>
      <c r="E1858" t="s">
        <v>19918</v>
      </c>
      <c r="F1858" t="s">
        <v>31362</v>
      </c>
      <c r="G1858" t="s">
        <v>31368</v>
      </c>
      <c r="H1858" t="s">
        <v>15799</v>
      </c>
      <c r="I1858" t="s">
        <v>31385</v>
      </c>
      <c r="J1858" t="s">
        <v>32839</v>
      </c>
      <c r="K1858" t="s">
        <v>40666</v>
      </c>
      <c r="M1858" t="s">
        <v>41657</v>
      </c>
      <c r="N1858" t="s">
        <v>44905</v>
      </c>
      <c r="O1858" t="s">
        <v>44906</v>
      </c>
      <c r="P1858">
        <v>0</v>
      </c>
      <c r="Q1858">
        <v>1</v>
      </c>
      <c r="R1858" t="s">
        <v>44907</v>
      </c>
      <c r="S1858" t="s">
        <v>45026</v>
      </c>
      <c r="T1858" t="s">
        <v>46426</v>
      </c>
      <c r="U1858" t="s">
        <v>48279</v>
      </c>
      <c r="W1858" t="s">
        <v>41657</v>
      </c>
      <c r="X1858" t="s">
        <v>44908</v>
      </c>
    </row>
    <row r="1859" spans="1:24">
      <c r="A1859">
        <f>HYPERLINK("https://www.philgeps.gov.ph/GEPSNONPILOT/Tender/SplashBidNoticeAbstractUI.aspx?menuIndex=3&amp;refID=7083998&amp;Result=3","7083998")</f>
        <v>0</v>
      </c>
      <c r="B1859" t="s">
        <v>729</v>
      </c>
      <c r="C1859" t="s">
        <v>5312</v>
      </c>
      <c r="D1859" t="s">
        <v>18160</v>
      </c>
      <c r="E1859" t="s">
        <v>19919</v>
      </c>
      <c r="F1859" t="s">
        <v>31362</v>
      </c>
      <c r="G1859" t="s">
        <v>31368</v>
      </c>
      <c r="H1859" t="s">
        <v>15799</v>
      </c>
      <c r="I1859" t="s">
        <v>31420</v>
      </c>
      <c r="J1859" t="s">
        <v>32840</v>
      </c>
      <c r="K1859" t="s">
        <v>40665</v>
      </c>
      <c r="M1859" t="s">
        <v>41696</v>
      </c>
      <c r="N1859" t="s">
        <v>44905</v>
      </c>
      <c r="O1859" t="s">
        <v>44906</v>
      </c>
      <c r="P1859">
        <v>0</v>
      </c>
      <c r="Q1859">
        <v>1</v>
      </c>
      <c r="R1859" t="s">
        <v>44907</v>
      </c>
      <c r="S1859" t="s">
        <v>45026</v>
      </c>
      <c r="T1859" t="s">
        <v>46447</v>
      </c>
      <c r="U1859" t="s">
        <v>48435</v>
      </c>
      <c r="W1859" t="s">
        <v>41696</v>
      </c>
      <c r="X1859" t="s">
        <v>44908</v>
      </c>
    </row>
    <row r="1860" spans="1:24">
      <c r="A1860">
        <f>HYPERLINK("https://www.philgeps.gov.ph/GEPSNONPILOT/Tender/SplashBidNoticeAbstractUI.aspx?menuIndex=3&amp;refID=7084040&amp;Result=3","7084040")</f>
        <v>0</v>
      </c>
      <c r="B1860" t="s">
        <v>780</v>
      </c>
      <c r="C1860" t="s">
        <v>5313</v>
      </c>
      <c r="D1860" t="s">
        <v>18134</v>
      </c>
      <c r="E1860" t="s">
        <v>19920</v>
      </c>
      <c r="F1860" t="s">
        <v>31362</v>
      </c>
      <c r="G1860" t="s">
        <v>31368</v>
      </c>
      <c r="H1860" t="s">
        <v>15799</v>
      </c>
      <c r="I1860" t="s">
        <v>31387</v>
      </c>
      <c r="J1860" t="s">
        <v>32841</v>
      </c>
      <c r="K1860" t="s">
        <v>40697</v>
      </c>
      <c r="M1860" t="s">
        <v>41748</v>
      </c>
      <c r="N1860" t="s">
        <v>44905</v>
      </c>
      <c r="O1860" t="s">
        <v>44906</v>
      </c>
      <c r="P1860">
        <v>0</v>
      </c>
      <c r="Q1860">
        <v>0</v>
      </c>
      <c r="R1860" t="s">
        <v>44907</v>
      </c>
      <c r="S1860" t="s">
        <v>45026</v>
      </c>
      <c r="T1860" t="s">
        <v>46416</v>
      </c>
      <c r="U1860" t="s">
        <v>48481</v>
      </c>
      <c r="W1860" t="s">
        <v>41748</v>
      </c>
      <c r="X1860" t="s">
        <v>44908</v>
      </c>
    </row>
    <row r="1861" spans="1:24">
      <c r="A1861">
        <f>HYPERLINK("https://www.philgeps.gov.ph/GEPSNONPILOT/Tender/SplashBidNoticeAbstractUI.aspx?menuIndex=3&amp;refID=7083995&amp;Result=3","7083995")</f>
        <v>0</v>
      </c>
      <c r="B1861" t="s">
        <v>440</v>
      </c>
      <c r="C1861" t="s">
        <v>5314</v>
      </c>
      <c r="D1861" t="s">
        <v>18154</v>
      </c>
      <c r="E1861" t="s">
        <v>19921</v>
      </c>
      <c r="F1861" t="s">
        <v>31362</v>
      </c>
      <c r="G1861" t="s">
        <v>31368</v>
      </c>
      <c r="H1861" t="s">
        <v>15799</v>
      </c>
      <c r="I1861" t="s">
        <v>3815</v>
      </c>
      <c r="J1861" t="s">
        <v>32842</v>
      </c>
      <c r="K1861" t="s">
        <v>40662</v>
      </c>
      <c r="M1861" t="s">
        <v>41392</v>
      </c>
      <c r="N1861" t="s">
        <v>44905</v>
      </c>
      <c r="O1861" t="s">
        <v>44906</v>
      </c>
      <c r="P1861">
        <v>0</v>
      </c>
      <c r="Q1861">
        <v>0</v>
      </c>
      <c r="R1861" t="s">
        <v>44907</v>
      </c>
      <c r="S1861" t="s">
        <v>45026</v>
      </c>
      <c r="T1861" t="s">
        <v>46447</v>
      </c>
      <c r="U1861" t="s">
        <v>48482</v>
      </c>
      <c r="W1861" t="s">
        <v>41392</v>
      </c>
      <c r="X1861" t="s">
        <v>44908</v>
      </c>
    </row>
    <row r="1862" spans="1:24">
      <c r="A1862">
        <f>HYPERLINK("https://www.philgeps.gov.ph/GEPSNONPILOT/Tender/SplashBidNoticeAbstractUI.aspx?menuIndex=3&amp;refID=7084043&amp;Result=3","7084043")</f>
        <v>0</v>
      </c>
      <c r="B1862" t="s">
        <v>134</v>
      </c>
      <c r="C1862" t="s">
        <v>5315</v>
      </c>
      <c r="D1862" t="s">
        <v>18108</v>
      </c>
      <c r="E1862" t="s">
        <v>19922</v>
      </c>
      <c r="F1862" t="s">
        <v>31362</v>
      </c>
      <c r="G1862" t="s">
        <v>31369</v>
      </c>
      <c r="H1862" t="s">
        <v>15799</v>
      </c>
      <c r="I1862" t="s">
        <v>4942</v>
      </c>
      <c r="J1862" t="s">
        <v>32843</v>
      </c>
      <c r="K1862" t="s">
        <v>40662</v>
      </c>
      <c r="L1862" t="s">
        <v>134</v>
      </c>
      <c r="M1862" t="s">
        <v>41370</v>
      </c>
      <c r="N1862" t="s">
        <v>44905</v>
      </c>
      <c r="O1862" t="s">
        <v>44906</v>
      </c>
      <c r="Q1862">
        <v>1</v>
      </c>
      <c r="R1862" t="s">
        <v>44907</v>
      </c>
      <c r="S1862" t="s">
        <v>45038</v>
      </c>
      <c r="T1862" t="s">
        <v>46431</v>
      </c>
      <c r="U1862" t="s">
        <v>47674</v>
      </c>
      <c r="W1862" t="s">
        <v>41370</v>
      </c>
      <c r="X1862" t="s">
        <v>44908</v>
      </c>
    </row>
    <row r="1863" spans="1:24">
      <c r="A1863">
        <f>HYPERLINK("https://www.philgeps.gov.ph/GEPSNONPILOT/Tender/SplashBidNoticeAbstractUI.aspx?menuIndex=3&amp;refID=7084039&amp;Result=3","7084039")</f>
        <v>0</v>
      </c>
      <c r="B1863" t="s">
        <v>74</v>
      </c>
      <c r="C1863" t="s">
        <v>5316</v>
      </c>
      <c r="D1863" t="s">
        <v>18108</v>
      </c>
      <c r="E1863" t="s">
        <v>19923</v>
      </c>
      <c r="F1863" t="s">
        <v>31362</v>
      </c>
      <c r="G1863" t="s">
        <v>31368</v>
      </c>
      <c r="H1863" t="s">
        <v>15799</v>
      </c>
      <c r="I1863" t="s">
        <v>7090</v>
      </c>
      <c r="J1863" t="s">
        <v>32844</v>
      </c>
      <c r="K1863" t="s">
        <v>40666</v>
      </c>
      <c r="M1863" t="s">
        <v>41010</v>
      </c>
      <c r="N1863" t="s">
        <v>44905</v>
      </c>
      <c r="O1863" t="s">
        <v>44906</v>
      </c>
      <c r="P1863">
        <v>0</v>
      </c>
      <c r="Q1863">
        <v>6</v>
      </c>
      <c r="R1863" t="s">
        <v>44907</v>
      </c>
      <c r="S1863" t="s">
        <v>45026</v>
      </c>
      <c r="T1863" t="s">
        <v>46417</v>
      </c>
      <c r="U1863" t="s">
        <v>48483</v>
      </c>
      <c r="W1863" t="s">
        <v>41010</v>
      </c>
      <c r="X1863" t="s">
        <v>44908</v>
      </c>
    </row>
    <row r="1864" spans="1:24">
      <c r="A1864">
        <f>HYPERLINK("https://www.philgeps.gov.ph/GEPSNONPILOT/Tender/SplashBidNoticeAbstractUI.aspx?menuIndex=3&amp;refID=7084042&amp;Result=3","7084042")</f>
        <v>0</v>
      </c>
      <c r="B1864" t="s">
        <v>132</v>
      </c>
      <c r="C1864" t="s">
        <v>5317</v>
      </c>
      <c r="D1864" t="s">
        <v>18131</v>
      </c>
      <c r="E1864" t="s">
        <v>19797</v>
      </c>
      <c r="F1864" t="s">
        <v>31362</v>
      </c>
      <c r="G1864" t="s">
        <v>31369</v>
      </c>
      <c r="H1864" t="s">
        <v>31378</v>
      </c>
      <c r="I1864" t="s">
        <v>31386</v>
      </c>
      <c r="J1864" t="s">
        <v>31591</v>
      </c>
      <c r="K1864" t="s">
        <v>40686</v>
      </c>
      <c r="L1864" t="s">
        <v>132</v>
      </c>
      <c r="M1864" t="s">
        <v>41070</v>
      </c>
      <c r="N1864" t="s">
        <v>44905</v>
      </c>
      <c r="O1864" t="s">
        <v>44906</v>
      </c>
      <c r="P1864">
        <v>0</v>
      </c>
      <c r="Q1864">
        <v>0</v>
      </c>
      <c r="R1864" t="s">
        <v>44907</v>
      </c>
      <c r="S1864" t="s">
        <v>45026</v>
      </c>
      <c r="T1864" t="s">
        <v>46461</v>
      </c>
      <c r="U1864" t="s">
        <v>48439</v>
      </c>
      <c r="W1864" t="s">
        <v>41070</v>
      </c>
      <c r="X1864" t="s">
        <v>44908</v>
      </c>
    </row>
    <row r="1865" spans="1:24">
      <c r="A1865">
        <f>HYPERLINK("https://www.philgeps.gov.ph/GEPSNONPILOT/Tender/SplashBidNoticeAbstractUI.aspx?menuIndex=3&amp;refID=7084035&amp;Result=3","7084035")</f>
        <v>0</v>
      </c>
      <c r="B1865" t="s">
        <v>768</v>
      </c>
      <c r="C1865" t="s">
        <v>5318</v>
      </c>
      <c r="D1865" t="s">
        <v>18126</v>
      </c>
      <c r="E1865" t="s">
        <v>19924</v>
      </c>
      <c r="F1865" t="s">
        <v>31362</v>
      </c>
      <c r="G1865" t="s">
        <v>31368</v>
      </c>
      <c r="H1865" t="s">
        <v>15799</v>
      </c>
      <c r="I1865" t="s">
        <v>4942</v>
      </c>
      <c r="J1865" t="s">
        <v>32845</v>
      </c>
      <c r="K1865" t="s">
        <v>40670</v>
      </c>
      <c r="M1865" t="s">
        <v>41736</v>
      </c>
      <c r="N1865" t="s">
        <v>44905</v>
      </c>
      <c r="O1865" t="s">
        <v>44906</v>
      </c>
      <c r="P1865">
        <v>0</v>
      </c>
      <c r="Q1865">
        <v>0</v>
      </c>
      <c r="R1865" t="s">
        <v>44907</v>
      </c>
      <c r="S1865" t="s">
        <v>45026</v>
      </c>
      <c r="T1865" t="s">
        <v>46412</v>
      </c>
      <c r="U1865" t="s">
        <v>48484</v>
      </c>
      <c r="W1865" t="s">
        <v>41736</v>
      </c>
      <c r="X1865" t="s">
        <v>44908</v>
      </c>
    </row>
    <row r="1866" spans="1:24">
      <c r="A1866">
        <f>HYPERLINK("https://www.philgeps.gov.ph/GEPSNONPILOT/Tender/SplashBidNoticeAbstractUI.aspx?menuIndex=3&amp;refID=7084034&amp;Result=3","7084034")</f>
        <v>0</v>
      </c>
      <c r="B1866" t="s">
        <v>618</v>
      </c>
      <c r="C1866" t="s">
        <v>5319</v>
      </c>
      <c r="D1866" t="s">
        <v>18175</v>
      </c>
      <c r="E1866" t="s">
        <v>19925</v>
      </c>
      <c r="F1866" t="s">
        <v>31362</v>
      </c>
      <c r="G1866" t="s">
        <v>31368</v>
      </c>
      <c r="H1866" t="s">
        <v>15799</v>
      </c>
      <c r="I1866" t="s">
        <v>3815</v>
      </c>
      <c r="J1866" t="s">
        <v>32846</v>
      </c>
      <c r="K1866" t="s">
        <v>40665</v>
      </c>
      <c r="M1866" t="s">
        <v>41576</v>
      </c>
      <c r="N1866" t="s">
        <v>44905</v>
      </c>
      <c r="O1866" t="s">
        <v>44906</v>
      </c>
      <c r="P1866">
        <v>0</v>
      </c>
      <c r="Q1866">
        <v>0</v>
      </c>
      <c r="R1866" t="s">
        <v>44907</v>
      </c>
      <c r="S1866" t="s">
        <v>45026</v>
      </c>
      <c r="T1866" t="s">
        <v>46463</v>
      </c>
      <c r="U1866" t="s">
        <v>48103</v>
      </c>
      <c r="W1866" t="s">
        <v>41576</v>
      </c>
      <c r="X1866" t="s">
        <v>44908</v>
      </c>
    </row>
    <row r="1867" spans="1:24">
      <c r="A1867">
        <f>HYPERLINK("https://www.philgeps.gov.ph/GEPSNONPILOT/Tender/SplashBidNoticeAbstractUI.aspx?menuIndex=3&amp;refID=7084031&amp;Result=3","7084031")</f>
        <v>0</v>
      </c>
      <c r="B1867" t="s">
        <v>781</v>
      </c>
      <c r="C1867" t="s">
        <v>5320</v>
      </c>
      <c r="D1867" t="s">
        <v>18156</v>
      </c>
      <c r="E1867" t="s">
        <v>19926</v>
      </c>
      <c r="F1867" t="s">
        <v>31362</v>
      </c>
      <c r="G1867" t="s">
        <v>31369</v>
      </c>
      <c r="H1867" t="s">
        <v>15799</v>
      </c>
      <c r="I1867" t="s">
        <v>31457</v>
      </c>
      <c r="J1867" t="s">
        <v>32847</v>
      </c>
      <c r="K1867" t="s">
        <v>40725</v>
      </c>
      <c r="M1867" t="s">
        <v>41749</v>
      </c>
      <c r="N1867" t="s">
        <v>44905</v>
      </c>
      <c r="O1867" t="s">
        <v>44906</v>
      </c>
      <c r="P1867">
        <v>0</v>
      </c>
      <c r="Q1867">
        <v>0</v>
      </c>
      <c r="R1867" t="s">
        <v>44907</v>
      </c>
      <c r="S1867" t="s">
        <v>45026</v>
      </c>
      <c r="T1867" t="s">
        <v>46402</v>
      </c>
      <c r="U1867" t="s">
        <v>48485</v>
      </c>
      <c r="W1867" t="s">
        <v>41749</v>
      </c>
      <c r="X1867" t="s">
        <v>44908</v>
      </c>
    </row>
    <row r="1868" spans="1:24">
      <c r="A1868">
        <f>HYPERLINK("https://www.philgeps.gov.ph/GEPSNONPILOT/Tender/SplashBidNoticeAbstractUI.aspx?menuIndex=3&amp;refID=7084041&amp;Result=3","7084041")</f>
        <v>0</v>
      </c>
      <c r="B1868" t="s">
        <v>751</v>
      </c>
      <c r="C1868" t="s">
        <v>5321</v>
      </c>
      <c r="D1868" t="s">
        <v>18122</v>
      </c>
      <c r="E1868" t="s">
        <v>19927</v>
      </c>
      <c r="F1868" t="s">
        <v>31362</v>
      </c>
      <c r="G1868" t="s">
        <v>31368</v>
      </c>
      <c r="H1868" t="s">
        <v>15799</v>
      </c>
      <c r="I1868" t="s">
        <v>31430</v>
      </c>
      <c r="J1868" t="s">
        <v>32848</v>
      </c>
      <c r="K1868" t="s">
        <v>40662</v>
      </c>
      <c r="M1868" t="s">
        <v>41719</v>
      </c>
      <c r="N1868" t="s">
        <v>44905</v>
      </c>
      <c r="O1868" t="s">
        <v>44906</v>
      </c>
      <c r="P1868">
        <v>0</v>
      </c>
      <c r="Q1868">
        <v>0</v>
      </c>
      <c r="R1868" t="s">
        <v>44907</v>
      </c>
      <c r="S1868" t="s">
        <v>45026</v>
      </c>
      <c r="T1868" t="s">
        <v>46438</v>
      </c>
      <c r="U1868" t="s">
        <v>48486</v>
      </c>
      <c r="W1868" t="s">
        <v>41719</v>
      </c>
      <c r="X1868" t="s">
        <v>44908</v>
      </c>
    </row>
    <row r="1869" spans="1:24">
      <c r="A1869">
        <f>HYPERLINK("https://www.philgeps.gov.ph/GEPSNONPILOT/Tender/SplashBidNoticeAbstractUI.aspx?menuIndex=3&amp;refID=7084030&amp;Result=3","7084030")</f>
        <v>0</v>
      </c>
      <c r="B1869" t="s">
        <v>782</v>
      </c>
      <c r="C1869" t="s">
        <v>5322</v>
      </c>
      <c r="D1869" t="s">
        <v>18125</v>
      </c>
      <c r="E1869" t="s">
        <v>18625</v>
      </c>
      <c r="F1869" t="s">
        <v>31362</v>
      </c>
      <c r="G1869" t="s">
        <v>31368</v>
      </c>
      <c r="H1869" t="s">
        <v>15799</v>
      </c>
      <c r="I1869" t="s">
        <v>4057</v>
      </c>
      <c r="J1869" t="s">
        <v>31793</v>
      </c>
      <c r="K1869" t="s">
        <v>40662</v>
      </c>
      <c r="M1869" t="s">
        <v>41750</v>
      </c>
      <c r="N1869" t="s">
        <v>44905</v>
      </c>
      <c r="O1869" t="s">
        <v>44906</v>
      </c>
      <c r="P1869">
        <v>0</v>
      </c>
      <c r="Q1869">
        <v>1</v>
      </c>
      <c r="R1869" t="s">
        <v>44907</v>
      </c>
      <c r="S1869" t="s">
        <v>45026</v>
      </c>
      <c r="T1869" t="s">
        <v>46454</v>
      </c>
      <c r="U1869" t="s">
        <v>48487</v>
      </c>
      <c r="W1869" t="s">
        <v>41750</v>
      </c>
      <c r="X1869" t="s">
        <v>44908</v>
      </c>
    </row>
    <row r="1870" spans="1:24">
      <c r="A1870">
        <f>HYPERLINK("https://www.philgeps.gov.ph/GEPSNONPILOT/Tender/SplashBidNoticeAbstractUI.aspx?menuIndex=3&amp;refID=7084026&amp;Result=3","7084026")</f>
        <v>0</v>
      </c>
      <c r="B1870" t="s">
        <v>692</v>
      </c>
      <c r="C1870" t="s">
        <v>5323</v>
      </c>
      <c r="D1870" t="s">
        <v>18158</v>
      </c>
      <c r="E1870" t="s">
        <v>19928</v>
      </c>
      <c r="F1870" t="s">
        <v>31362</v>
      </c>
      <c r="G1870" t="s">
        <v>31368</v>
      </c>
      <c r="H1870" t="s">
        <v>15799</v>
      </c>
      <c r="I1870" t="s">
        <v>31380</v>
      </c>
      <c r="J1870" t="s">
        <v>32461</v>
      </c>
      <c r="K1870" t="s">
        <v>40670</v>
      </c>
      <c r="M1870" t="s">
        <v>41655</v>
      </c>
      <c r="N1870" t="s">
        <v>44905</v>
      </c>
      <c r="O1870" t="s">
        <v>44906</v>
      </c>
      <c r="P1870">
        <v>0</v>
      </c>
      <c r="Q1870">
        <v>1</v>
      </c>
      <c r="R1870" t="s">
        <v>44907</v>
      </c>
      <c r="S1870" t="s">
        <v>45026</v>
      </c>
      <c r="T1870" t="s">
        <v>46414</v>
      </c>
      <c r="U1870" t="s">
        <v>48488</v>
      </c>
      <c r="W1870" t="s">
        <v>41655</v>
      </c>
      <c r="X1870" t="s">
        <v>44908</v>
      </c>
    </row>
    <row r="1871" spans="1:24">
      <c r="A1871">
        <f>HYPERLINK("https://www.philgeps.gov.ph/GEPSNONPILOT/Tender/SplashBidNoticeAbstractUI.aspx?menuIndex=3&amp;refID=7084024&amp;Result=3","7084024")</f>
        <v>0</v>
      </c>
      <c r="B1871" t="s">
        <v>219</v>
      </c>
      <c r="C1871" t="s">
        <v>5324</v>
      </c>
      <c r="D1871" t="s">
        <v>18124</v>
      </c>
      <c r="E1871" t="s">
        <v>19929</v>
      </c>
      <c r="F1871" t="s">
        <v>31362</v>
      </c>
      <c r="G1871" t="s">
        <v>31368</v>
      </c>
      <c r="H1871" t="s">
        <v>15799</v>
      </c>
      <c r="I1871" t="s">
        <v>31444</v>
      </c>
      <c r="J1871" t="s">
        <v>32207</v>
      </c>
      <c r="K1871" t="s">
        <v>40666</v>
      </c>
      <c r="M1871" t="s">
        <v>41751</v>
      </c>
      <c r="N1871" t="s">
        <v>44905</v>
      </c>
      <c r="O1871" t="s">
        <v>44906</v>
      </c>
      <c r="P1871">
        <v>0</v>
      </c>
      <c r="Q1871">
        <v>2</v>
      </c>
      <c r="R1871" t="s">
        <v>44907</v>
      </c>
      <c r="S1871" t="s">
        <v>45026</v>
      </c>
      <c r="T1871" t="s">
        <v>46447</v>
      </c>
      <c r="U1871" t="s">
        <v>48489</v>
      </c>
      <c r="W1871" t="s">
        <v>41751</v>
      </c>
      <c r="X1871" t="s">
        <v>44908</v>
      </c>
    </row>
    <row r="1872" spans="1:24">
      <c r="A1872">
        <f>HYPERLINK("https://www.philgeps.gov.ph/GEPSNONPILOT/Tender/SplashBidNoticeAbstractUI.aspx?menuIndex=3&amp;refID=7084022&amp;Result=3","7084022")</f>
        <v>0</v>
      </c>
      <c r="B1872" t="s">
        <v>756</v>
      </c>
      <c r="C1872" t="s">
        <v>5325</v>
      </c>
      <c r="D1872" t="s">
        <v>18123</v>
      </c>
      <c r="E1872" t="s">
        <v>19930</v>
      </c>
      <c r="F1872" t="s">
        <v>31362</v>
      </c>
      <c r="G1872" t="s">
        <v>31369</v>
      </c>
      <c r="H1872" t="s">
        <v>15799</v>
      </c>
      <c r="I1872" t="s">
        <v>31433</v>
      </c>
      <c r="J1872" t="s">
        <v>32849</v>
      </c>
      <c r="K1872" t="s">
        <v>40666</v>
      </c>
      <c r="M1872" t="s">
        <v>41724</v>
      </c>
      <c r="N1872" t="s">
        <v>44905</v>
      </c>
      <c r="O1872" t="s">
        <v>44906</v>
      </c>
      <c r="P1872">
        <v>0</v>
      </c>
      <c r="Q1872">
        <v>0</v>
      </c>
      <c r="R1872" t="s">
        <v>44907</v>
      </c>
      <c r="S1872" t="s">
        <v>45026</v>
      </c>
      <c r="T1872" t="s">
        <v>46481</v>
      </c>
      <c r="U1872" t="s">
        <v>48490</v>
      </c>
      <c r="W1872" t="s">
        <v>41724</v>
      </c>
      <c r="X1872" t="s">
        <v>44908</v>
      </c>
    </row>
    <row r="1873" spans="1:24">
      <c r="A1873">
        <f>HYPERLINK("https://www.philgeps.gov.ph/GEPSNONPILOT/Tender/SplashBidNoticeAbstractUI.aspx?menuIndex=3&amp;refID=7084037&amp;Result=3","7084037")</f>
        <v>0</v>
      </c>
      <c r="B1873" t="s">
        <v>217</v>
      </c>
      <c r="C1873" t="s">
        <v>5326</v>
      </c>
      <c r="D1873" t="s">
        <v>18108</v>
      </c>
      <c r="E1873" t="s">
        <v>19931</v>
      </c>
      <c r="F1873" t="s">
        <v>31362</v>
      </c>
      <c r="G1873" t="s">
        <v>31370</v>
      </c>
      <c r="H1873" t="s">
        <v>15799</v>
      </c>
      <c r="I1873" t="s">
        <v>31380</v>
      </c>
      <c r="J1873" t="s">
        <v>32581</v>
      </c>
      <c r="K1873" t="s">
        <v>40697</v>
      </c>
      <c r="M1873" t="s">
        <v>41752</v>
      </c>
      <c r="N1873" t="s">
        <v>44905</v>
      </c>
      <c r="O1873" t="s">
        <v>44906</v>
      </c>
      <c r="P1873">
        <v>0</v>
      </c>
      <c r="Q1873">
        <v>1</v>
      </c>
      <c r="R1873" t="s">
        <v>44907</v>
      </c>
      <c r="S1873" t="s">
        <v>45026</v>
      </c>
      <c r="T1873" t="s">
        <v>46438</v>
      </c>
      <c r="U1873" t="s">
        <v>48491</v>
      </c>
      <c r="V1873" t="s">
        <v>59243</v>
      </c>
      <c r="W1873" t="s">
        <v>41752</v>
      </c>
      <c r="X1873" t="s">
        <v>44908</v>
      </c>
    </row>
    <row r="1874" spans="1:24">
      <c r="A1874">
        <f>HYPERLINK("https://www.philgeps.gov.ph/GEPSNONPILOT/Tender/SplashBidNoticeAbstractUI.aspx?menuIndex=3&amp;refID=7084021&amp;Result=3","7084021")</f>
        <v>0</v>
      </c>
      <c r="B1874" t="s">
        <v>783</v>
      </c>
      <c r="C1874" t="s">
        <v>5327</v>
      </c>
      <c r="D1874" t="s">
        <v>18140</v>
      </c>
      <c r="E1874" t="s">
        <v>19932</v>
      </c>
      <c r="F1874" t="s">
        <v>31362</v>
      </c>
      <c r="G1874" t="s">
        <v>31370</v>
      </c>
      <c r="H1874" t="s">
        <v>15799</v>
      </c>
      <c r="I1874" t="s">
        <v>31393</v>
      </c>
      <c r="J1874" t="s">
        <v>32308</v>
      </c>
      <c r="K1874" t="s">
        <v>40661</v>
      </c>
      <c r="M1874" t="s">
        <v>41753</v>
      </c>
      <c r="N1874" t="s">
        <v>44905</v>
      </c>
      <c r="O1874" t="s">
        <v>44906</v>
      </c>
      <c r="P1874">
        <v>0</v>
      </c>
      <c r="Q1874">
        <v>0</v>
      </c>
      <c r="R1874" t="s">
        <v>44907</v>
      </c>
      <c r="S1874" t="s">
        <v>45026</v>
      </c>
      <c r="T1874" t="s">
        <v>46432</v>
      </c>
      <c r="U1874" t="s">
        <v>48492</v>
      </c>
      <c r="V1874" t="s">
        <v>59244</v>
      </c>
      <c r="W1874" t="s">
        <v>41753</v>
      </c>
      <c r="X1874" t="s">
        <v>44908</v>
      </c>
    </row>
    <row r="1875" spans="1:24">
      <c r="A1875">
        <f>HYPERLINK("https://www.philgeps.gov.ph/GEPSNONPILOT/Tender/SplashBidNoticeAbstractUI.aspx?menuIndex=3&amp;refID=7084032&amp;Result=3","7084032")</f>
        <v>0</v>
      </c>
      <c r="B1875" t="s">
        <v>687</v>
      </c>
      <c r="C1875" t="s">
        <v>5328</v>
      </c>
      <c r="E1875" t="s">
        <v>19933</v>
      </c>
      <c r="F1875" t="s">
        <v>31362</v>
      </c>
      <c r="G1875" t="s">
        <v>31368</v>
      </c>
      <c r="H1875" t="s">
        <v>15799</v>
      </c>
      <c r="I1875" t="s">
        <v>6155</v>
      </c>
      <c r="J1875" t="s">
        <v>32850</v>
      </c>
      <c r="K1875" t="s">
        <v>40662</v>
      </c>
      <c r="M1875" t="s">
        <v>41649</v>
      </c>
      <c r="N1875" t="s">
        <v>44905</v>
      </c>
      <c r="O1875" t="s">
        <v>44906</v>
      </c>
      <c r="P1875">
        <v>0</v>
      </c>
      <c r="Q1875">
        <v>2</v>
      </c>
      <c r="R1875" t="s">
        <v>44907</v>
      </c>
      <c r="S1875" t="s">
        <v>45026</v>
      </c>
      <c r="T1875" t="s">
        <v>46532</v>
      </c>
      <c r="U1875" t="s">
        <v>48493</v>
      </c>
      <c r="W1875" t="s">
        <v>41649</v>
      </c>
      <c r="X1875" t="s">
        <v>44908</v>
      </c>
    </row>
    <row r="1876" spans="1:24">
      <c r="A1876">
        <f>HYPERLINK("https://www.philgeps.gov.ph/GEPSNONPILOT/Tender/SplashBidNoticeAbstractUI.aspx?menuIndex=3&amp;refID=7084017&amp;Result=3","7084017")</f>
        <v>0</v>
      </c>
      <c r="B1876" t="s">
        <v>784</v>
      </c>
      <c r="C1876" t="s">
        <v>5329</v>
      </c>
      <c r="D1876" t="s">
        <v>18174</v>
      </c>
      <c r="E1876" t="s">
        <v>19934</v>
      </c>
      <c r="F1876" t="s">
        <v>31362</v>
      </c>
      <c r="G1876" t="s">
        <v>31369</v>
      </c>
      <c r="H1876" t="s">
        <v>15799</v>
      </c>
      <c r="I1876" t="s">
        <v>31449</v>
      </c>
      <c r="J1876" t="s">
        <v>32851</v>
      </c>
      <c r="K1876" t="s">
        <v>40670</v>
      </c>
      <c r="M1876" t="s">
        <v>41754</v>
      </c>
      <c r="N1876" t="s">
        <v>44905</v>
      </c>
      <c r="O1876" t="s">
        <v>44906</v>
      </c>
      <c r="P1876">
        <v>0</v>
      </c>
      <c r="Q1876">
        <v>0</v>
      </c>
      <c r="R1876" t="s">
        <v>44907</v>
      </c>
      <c r="S1876" t="s">
        <v>45026</v>
      </c>
      <c r="T1876" t="s">
        <v>46401</v>
      </c>
      <c r="U1876" t="s">
        <v>48494</v>
      </c>
      <c r="W1876" t="s">
        <v>41754</v>
      </c>
      <c r="X1876" t="s">
        <v>44908</v>
      </c>
    </row>
    <row r="1877" spans="1:24">
      <c r="A1877">
        <f>HYPERLINK("https://www.philgeps.gov.ph/GEPSNONPILOT/Tender/SplashBidNoticeAbstractUI.aspx?menuIndex=3&amp;refID=7083984&amp;Result=3","7083984")</f>
        <v>0</v>
      </c>
      <c r="B1877" t="s">
        <v>774</v>
      </c>
      <c r="C1877" t="s">
        <v>5330</v>
      </c>
      <c r="D1877" t="s">
        <v>18135</v>
      </c>
      <c r="E1877" t="s">
        <v>19935</v>
      </c>
      <c r="F1877" t="s">
        <v>31362</v>
      </c>
      <c r="G1877" t="s">
        <v>31368</v>
      </c>
      <c r="H1877" t="s">
        <v>15799</v>
      </c>
      <c r="I1877" t="s">
        <v>31422</v>
      </c>
      <c r="J1877" t="s">
        <v>32852</v>
      </c>
      <c r="K1877" t="s">
        <v>40697</v>
      </c>
      <c r="M1877" t="s">
        <v>41742</v>
      </c>
      <c r="N1877" t="s">
        <v>44905</v>
      </c>
      <c r="O1877" t="s">
        <v>44906</v>
      </c>
      <c r="P1877">
        <v>0</v>
      </c>
      <c r="Q1877">
        <v>1</v>
      </c>
      <c r="R1877" t="s">
        <v>44907</v>
      </c>
      <c r="S1877" t="s">
        <v>45026</v>
      </c>
      <c r="T1877" t="s">
        <v>46432</v>
      </c>
      <c r="U1877" t="s">
        <v>48495</v>
      </c>
      <c r="W1877" t="s">
        <v>41742</v>
      </c>
      <c r="X1877" t="s">
        <v>44908</v>
      </c>
    </row>
    <row r="1878" spans="1:24">
      <c r="A1878">
        <f>HYPERLINK("https://www.philgeps.gov.ph/GEPSNONPILOT/Tender/SplashBidNoticeAbstractUI.aspx?menuIndex=3&amp;refID=7084025&amp;Result=3","7084025")</f>
        <v>0</v>
      </c>
      <c r="B1878" t="s">
        <v>764</v>
      </c>
      <c r="C1878" t="s">
        <v>5331</v>
      </c>
      <c r="D1878" t="s">
        <v>18170</v>
      </c>
      <c r="E1878" t="s">
        <v>18777</v>
      </c>
      <c r="F1878" t="s">
        <v>31362</v>
      </c>
      <c r="G1878" t="s">
        <v>31371</v>
      </c>
      <c r="H1878" t="s">
        <v>15799</v>
      </c>
      <c r="I1878" t="s">
        <v>31385</v>
      </c>
      <c r="J1878" t="s">
        <v>31866</v>
      </c>
      <c r="K1878" t="s">
        <v>40662</v>
      </c>
      <c r="M1878" t="s">
        <v>41732</v>
      </c>
      <c r="N1878" t="s">
        <v>44905</v>
      </c>
      <c r="O1878" t="s">
        <v>44906</v>
      </c>
      <c r="P1878">
        <v>0</v>
      </c>
      <c r="Q1878">
        <v>1</v>
      </c>
      <c r="R1878" t="s">
        <v>44907</v>
      </c>
      <c r="S1878" t="s">
        <v>45026</v>
      </c>
      <c r="T1878" t="s">
        <v>46454</v>
      </c>
      <c r="U1878" t="s">
        <v>47435</v>
      </c>
      <c r="W1878" t="s">
        <v>41732</v>
      </c>
      <c r="X1878" t="s">
        <v>44908</v>
      </c>
    </row>
    <row r="1879" spans="1:24">
      <c r="A1879">
        <f>HYPERLINK("https://www.philgeps.gov.ph/GEPSNONPILOT/Tender/SplashBidNoticeAbstractUI.aspx?menuIndex=3&amp;refID=7083961&amp;Result=3","7083961")</f>
        <v>0</v>
      </c>
      <c r="B1879" t="s">
        <v>785</v>
      </c>
      <c r="C1879" t="s">
        <v>5332</v>
      </c>
      <c r="D1879" t="s">
        <v>18138</v>
      </c>
      <c r="E1879" t="s">
        <v>19936</v>
      </c>
      <c r="F1879" t="s">
        <v>31362</v>
      </c>
      <c r="G1879" t="s">
        <v>31368</v>
      </c>
      <c r="H1879" t="s">
        <v>15799</v>
      </c>
      <c r="I1879" t="s">
        <v>31426</v>
      </c>
      <c r="J1879" t="s">
        <v>32853</v>
      </c>
      <c r="K1879" t="s">
        <v>40672</v>
      </c>
      <c r="M1879" t="s">
        <v>41755</v>
      </c>
      <c r="N1879" t="s">
        <v>44905</v>
      </c>
      <c r="O1879" t="s">
        <v>44906</v>
      </c>
      <c r="P1879">
        <v>0</v>
      </c>
      <c r="Q1879">
        <v>4</v>
      </c>
      <c r="R1879" t="s">
        <v>44907</v>
      </c>
      <c r="S1879" t="s">
        <v>45026</v>
      </c>
      <c r="T1879" t="s">
        <v>46417</v>
      </c>
      <c r="U1879" t="s">
        <v>48496</v>
      </c>
      <c r="V1879" t="s">
        <v>59245</v>
      </c>
      <c r="W1879" t="s">
        <v>41755</v>
      </c>
      <c r="X1879" t="s">
        <v>44908</v>
      </c>
    </row>
    <row r="1880" spans="1:24">
      <c r="A1880">
        <f>HYPERLINK("https://www.philgeps.gov.ph/GEPSNONPILOT/Tender/SplashBidNoticeAbstractUI.aspx?menuIndex=3&amp;refID=7084023&amp;Result=3","7084023")</f>
        <v>0</v>
      </c>
      <c r="B1880" t="s">
        <v>440</v>
      </c>
      <c r="C1880" t="s">
        <v>5333</v>
      </c>
      <c r="D1880" t="s">
        <v>18154</v>
      </c>
      <c r="E1880" t="s">
        <v>19937</v>
      </c>
      <c r="F1880" t="s">
        <v>31362</v>
      </c>
      <c r="G1880" t="s">
        <v>31368</v>
      </c>
      <c r="H1880" t="s">
        <v>15799</v>
      </c>
      <c r="I1880" t="s">
        <v>3815</v>
      </c>
      <c r="J1880" t="s">
        <v>32854</v>
      </c>
      <c r="K1880" t="s">
        <v>40662</v>
      </c>
      <c r="M1880" t="s">
        <v>41392</v>
      </c>
      <c r="N1880" t="s">
        <v>44905</v>
      </c>
      <c r="O1880" t="s">
        <v>44906</v>
      </c>
      <c r="P1880">
        <v>0</v>
      </c>
      <c r="Q1880">
        <v>0</v>
      </c>
      <c r="R1880" t="s">
        <v>44907</v>
      </c>
      <c r="S1880" t="s">
        <v>45026</v>
      </c>
      <c r="T1880" t="s">
        <v>46447</v>
      </c>
      <c r="U1880" t="s">
        <v>48497</v>
      </c>
      <c r="W1880" t="s">
        <v>41392</v>
      </c>
      <c r="X1880" t="s">
        <v>44908</v>
      </c>
    </row>
    <row r="1881" spans="1:24">
      <c r="A1881">
        <f>HYPERLINK("https://www.philgeps.gov.ph/GEPSNONPILOT/Tender/SplashBidNoticeAbstractUI.aspx?menuIndex=3&amp;refID=7084019&amp;Result=3","7084019")</f>
        <v>0</v>
      </c>
      <c r="B1881" t="s">
        <v>744</v>
      </c>
      <c r="C1881" t="s">
        <v>5334</v>
      </c>
      <c r="D1881" t="s">
        <v>18148</v>
      </c>
      <c r="E1881" t="s">
        <v>19938</v>
      </c>
      <c r="F1881" t="s">
        <v>31362</v>
      </c>
      <c r="G1881" t="s">
        <v>31369</v>
      </c>
      <c r="H1881" t="s">
        <v>31378</v>
      </c>
      <c r="I1881" t="s">
        <v>31386</v>
      </c>
      <c r="J1881" t="s">
        <v>31536</v>
      </c>
      <c r="K1881" t="s">
        <v>40681</v>
      </c>
      <c r="M1881" t="s">
        <v>41711</v>
      </c>
      <c r="N1881" t="s">
        <v>44905</v>
      </c>
      <c r="O1881" t="s">
        <v>44906</v>
      </c>
      <c r="P1881">
        <v>0</v>
      </c>
      <c r="Q1881">
        <v>0</v>
      </c>
      <c r="R1881" t="s">
        <v>44907</v>
      </c>
      <c r="S1881" t="s">
        <v>45026</v>
      </c>
      <c r="T1881" t="s">
        <v>46433</v>
      </c>
      <c r="U1881" t="s">
        <v>48455</v>
      </c>
      <c r="W1881" t="s">
        <v>41711</v>
      </c>
      <c r="X1881" t="s">
        <v>44908</v>
      </c>
    </row>
    <row r="1882" spans="1:24">
      <c r="A1882">
        <f>HYPERLINK("https://www.philgeps.gov.ph/GEPSNONPILOT/Tender/SplashBidNoticeAbstractUI.aspx?menuIndex=3&amp;refID=7084033&amp;Result=3","7084033")</f>
        <v>0</v>
      </c>
      <c r="B1882" t="s">
        <v>736</v>
      </c>
      <c r="C1882" t="s">
        <v>5335</v>
      </c>
      <c r="D1882" t="s">
        <v>18117</v>
      </c>
      <c r="E1882" t="s">
        <v>19939</v>
      </c>
      <c r="F1882" t="s">
        <v>31362</v>
      </c>
      <c r="G1882" t="s">
        <v>31368</v>
      </c>
      <c r="H1882" t="s">
        <v>31379</v>
      </c>
      <c r="I1882" t="s">
        <v>3815</v>
      </c>
      <c r="J1882" t="s">
        <v>32855</v>
      </c>
      <c r="K1882" t="s">
        <v>40670</v>
      </c>
      <c r="M1882" t="s">
        <v>41703</v>
      </c>
      <c r="N1882" t="s">
        <v>44905</v>
      </c>
      <c r="O1882" t="s">
        <v>44906</v>
      </c>
      <c r="P1882">
        <v>0</v>
      </c>
      <c r="Q1882">
        <v>0</v>
      </c>
      <c r="R1882" t="s">
        <v>44907</v>
      </c>
      <c r="S1882" t="s">
        <v>45026</v>
      </c>
      <c r="T1882" t="s">
        <v>46447</v>
      </c>
      <c r="U1882" t="s">
        <v>48476</v>
      </c>
      <c r="V1882" t="s">
        <v>59235</v>
      </c>
      <c r="W1882" t="s">
        <v>41703</v>
      </c>
      <c r="X1882" t="s">
        <v>44908</v>
      </c>
    </row>
    <row r="1883" spans="1:24">
      <c r="A1883">
        <f>HYPERLINK("https://www.philgeps.gov.ph/GEPSNONPILOT/Tender/SplashBidNoticeAbstractUI.aspx?menuIndex=3&amp;refID=7083797&amp;Result=3","7083797")</f>
        <v>0</v>
      </c>
      <c r="B1883" t="s">
        <v>673</v>
      </c>
      <c r="C1883" t="s">
        <v>5336</v>
      </c>
      <c r="D1883" t="s">
        <v>18136</v>
      </c>
      <c r="E1883" t="s">
        <v>19940</v>
      </c>
      <c r="F1883" t="s">
        <v>31362</v>
      </c>
      <c r="G1883" t="s">
        <v>31369</v>
      </c>
      <c r="H1883" t="s">
        <v>15799</v>
      </c>
      <c r="I1883" t="s">
        <v>31404</v>
      </c>
      <c r="J1883" t="s">
        <v>31606</v>
      </c>
      <c r="K1883" t="s">
        <v>40665</v>
      </c>
      <c r="M1883" t="s">
        <v>41635</v>
      </c>
      <c r="N1883" t="s">
        <v>44905</v>
      </c>
      <c r="O1883" t="s">
        <v>44906</v>
      </c>
      <c r="P1883">
        <v>0</v>
      </c>
      <c r="Q1883">
        <v>0</v>
      </c>
      <c r="R1883" t="s">
        <v>44907</v>
      </c>
      <c r="S1883" t="s">
        <v>45026</v>
      </c>
      <c r="T1883" t="s">
        <v>46570</v>
      </c>
      <c r="U1883" t="s">
        <v>48498</v>
      </c>
      <c r="W1883" t="s">
        <v>41635</v>
      </c>
      <c r="X1883" t="s">
        <v>44908</v>
      </c>
    </row>
    <row r="1884" spans="1:24">
      <c r="A1884">
        <f>HYPERLINK("https://www.philgeps.gov.ph/GEPSNONPILOT/Tender/SplashBidNoticeAbstractUI.aspx?menuIndex=3&amp;refID=7083793&amp;Result=3","7083793")</f>
        <v>0</v>
      </c>
      <c r="B1884" t="s">
        <v>737</v>
      </c>
      <c r="C1884" t="s">
        <v>5337</v>
      </c>
      <c r="D1884" t="s">
        <v>18154</v>
      </c>
      <c r="E1884" t="s">
        <v>19941</v>
      </c>
      <c r="F1884" t="s">
        <v>31362</v>
      </c>
      <c r="G1884" t="s">
        <v>31368</v>
      </c>
      <c r="H1884" t="s">
        <v>31378</v>
      </c>
      <c r="I1884" t="s">
        <v>31463</v>
      </c>
      <c r="J1884" t="s">
        <v>31997</v>
      </c>
      <c r="K1884" t="s">
        <v>40662</v>
      </c>
      <c r="M1884" t="s">
        <v>41704</v>
      </c>
      <c r="N1884" t="s">
        <v>44905</v>
      </c>
      <c r="O1884" t="s">
        <v>44906</v>
      </c>
      <c r="P1884">
        <v>0</v>
      </c>
      <c r="Q1884">
        <v>0</v>
      </c>
      <c r="R1884" t="s">
        <v>44907</v>
      </c>
      <c r="S1884" t="s">
        <v>45026</v>
      </c>
      <c r="T1884" t="s">
        <v>46443</v>
      </c>
      <c r="U1884" t="s">
        <v>48499</v>
      </c>
      <c r="W1884" t="s">
        <v>41704</v>
      </c>
      <c r="X1884" t="s">
        <v>44908</v>
      </c>
    </row>
    <row r="1885" spans="1:24">
      <c r="A1885">
        <f>HYPERLINK("https://www.philgeps.gov.ph/GEPSNONPILOT/Tender/SplashBidNoticeAbstractUI.aspx?menuIndex=3&amp;refID=7083962&amp;Result=3","7083962")</f>
        <v>0</v>
      </c>
      <c r="B1885" t="s">
        <v>786</v>
      </c>
      <c r="C1885" t="s">
        <v>5338</v>
      </c>
      <c r="D1885" t="s">
        <v>18108</v>
      </c>
      <c r="E1885" t="s">
        <v>18648</v>
      </c>
      <c r="F1885" t="s">
        <v>31362</v>
      </c>
      <c r="G1885" t="s">
        <v>31368</v>
      </c>
      <c r="H1885" t="s">
        <v>15799</v>
      </c>
      <c r="I1885" t="s">
        <v>7719</v>
      </c>
      <c r="J1885" t="s">
        <v>32549</v>
      </c>
      <c r="K1885" t="s">
        <v>40665</v>
      </c>
      <c r="M1885" t="s">
        <v>41756</v>
      </c>
      <c r="N1885" t="s">
        <v>44905</v>
      </c>
      <c r="O1885" t="s">
        <v>44906</v>
      </c>
      <c r="P1885">
        <v>0</v>
      </c>
      <c r="Q1885">
        <v>1</v>
      </c>
      <c r="R1885" t="s">
        <v>44907</v>
      </c>
      <c r="S1885" t="s">
        <v>45026</v>
      </c>
      <c r="T1885" t="s">
        <v>46414</v>
      </c>
      <c r="U1885" t="s">
        <v>48500</v>
      </c>
      <c r="W1885" t="s">
        <v>41756</v>
      </c>
      <c r="X1885" t="s">
        <v>44908</v>
      </c>
    </row>
    <row r="1886" spans="1:24">
      <c r="A1886">
        <f>HYPERLINK("https://www.philgeps.gov.ph/GEPSNONPILOT/Tender/SplashBidNoticeAbstractUI.aspx?menuIndex=3&amp;refID=7083662&amp;Result=3","7083662")</f>
        <v>0</v>
      </c>
      <c r="B1886" t="s">
        <v>663</v>
      </c>
      <c r="C1886" t="s">
        <v>5339</v>
      </c>
      <c r="D1886" t="s">
        <v>18103</v>
      </c>
      <c r="E1886" t="s">
        <v>19942</v>
      </c>
      <c r="F1886" t="s">
        <v>31362</v>
      </c>
      <c r="G1886" t="s">
        <v>31370</v>
      </c>
      <c r="H1886" t="s">
        <v>31378</v>
      </c>
      <c r="I1886" t="s">
        <v>31386</v>
      </c>
      <c r="J1886" t="s">
        <v>32856</v>
      </c>
      <c r="K1886" t="s">
        <v>40661</v>
      </c>
      <c r="M1886" t="s">
        <v>41625</v>
      </c>
      <c r="N1886" t="s">
        <v>44905</v>
      </c>
      <c r="O1886" t="s">
        <v>44906</v>
      </c>
      <c r="P1886">
        <v>0</v>
      </c>
      <c r="Q1886">
        <v>0</v>
      </c>
      <c r="R1886" t="s">
        <v>44907</v>
      </c>
      <c r="S1886" t="s">
        <v>45026</v>
      </c>
      <c r="T1886" t="s">
        <v>46418</v>
      </c>
      <c r="U1886" t="s">
        <v>48501</v>
      </c>
      <c r="W1886" t="s">
        <v>41625</v>
      </c>
      <c r="X1886" t="s">
        <v>44908</v>
      </c>
    </row>
    <row r="1887" spans="1:24">
      <c r="A1887">
        <f>HYPERLINK("https://www.philgeps.gov.ph/GEPSNONPILOT/Tender/SplashBidNoticeAbstractUI.aspx?menuIndex=3&amp;refID=7083661&amp;Result=3","7083661")</f>
        <v>0</v>
      </c>
      <c r="B1887" t="s">
        <v>603</v>
      </c>
      <c r="C1887" t="s">
        <v>5340</v>
      </c>
      <c r="D1887" t="s">
        <v>18171</v>
      </c>
      <c r="E1887" t="s">
        <v>19943</v>
      </c>
      <c r="F1887" t="s">
        <v>31362</v>
      </c>
      <c r="G1887" t="s">
        <v>31370</v>
      </c>
      <c r="H1887" t="s">
        <v>15799</v>
      </c>
      <c r="I1887" t="s">
        <v>3815</v>
      </c>
      <c r="J1887" t="s">
        <v>31829</v>
      </c>
      <c r="K1887" t="s">
        <v>40666</v>
      </c>
      <c r="M1887" t="s">
        <v>41658</v>
      </c>
      <c r="N1887" t="s">
        <v>44905</v>
      </c>
      <c r="O1887" t="s">
        <v>44906</v>
      </c>
      <c r="P1887">
        <v>0</v>
      </c>
      <c r="Q1887">
        <v>0</v>
      </c>
      <c r="R1887" t="s">
        <v>44907</v>
      </c>
      <c r="S1887" t="s">
        <v>45026</v>
      </c>
      <c r="T1887" t="s">
        <v>46438</v>
      </c>
      <c r="U1887" t="s">
        <v>48502</v>
      </c>
      <c r="W1887" t="s">
        <v>60865</v>
      </c>
      <c r="X1887" t="s">
        <v>44908</v>
      </c>
    </row>
    <row r="1888" spans="1:24">
      <c r="A1888">
        <f>HYPERLINK("https://www.philgeps.gov.ph/GEPSNONPILOT/Tender/SplashBidNoticeAbstractUI.aspx?menuIndex=3&amp;refID=7083959&amp;Result=3","7083959")</f>
        <v>0</v>
      </c>
      <c r="B1888" t="s">
        <v>555</v>
      </c>
      <c r="C1888" t="s">
        <v>5341</v>
      </c>
      <c r="D1888" t="s">
        <v>18148</v>
      </c>
      <c r="E1888" t="s">
        <v>19944</v>
      </c>
      <c r="F1888" t="s">
        <v>31362</v>
      </c>
      <c r="G1888" t="s">
        <v>31368</v>
      </c>
      <c r="H1888" t="s">
        <v>15799</v>
      </c>
      <c r="I1888" t="s">
        <v>31431</v>
      </c>
      <c r="J1888" t="s">
        <v>32857</v>
      </c>
      <c r="K1888" t="s">
        <v>40666</v>
      </c>
      <c r="M1888" t="s">
        <v>41511</v>
      </c>
      <c r="N1888" t="s">
        <v>44905</v>
      </c>
      <c r="O1888" t="s">
        <v>44906</v>
      </c>
      <c r="P1888">
        <v>0</v>
      </c>
      <c r="Q1888">
        <v>0</v>
      </c>
      <c r="R1888" t="s">
        <v>44907</v>
      </c>
      <c r="S1888" t="s">
        <v>45026</v>
      </c>
      <c r="T1888" t="s">
        <v>46454</v>
      </c>
      <c r="U1888" t="s">
        <v>48503</v>
      </c>
      <c r="V1888" t="s">
        <v>59246</v>
      </c>
      <c r="W1888" t="s">
        <v>41511</v>
      </c>
      <c r="X1888" t="s">
        <v>44908</v>
      </c>
    </row>
    <row r="1889" spans="1:24">
      <c r="A1889">
        <f>HYPERLINK("https://www.philgeps.gov.ph/GEPSNONPILOT/Tender/SplashBidNoticeAbstractUI.aspx?menuIndex=3&amp;refID=7083957&amp;Result=3","7083957")</f>
        <v>0</v>
      </c>
      <c r="B1889" t="s">
        <v>744</v>
      </c>
      <c r="C1889" t="s">
        <v>5342</v>
      </c>
      <c r="D1889" t="s">
        <v>18148</v>
      </c>
      <c r="E1889" t="s">
        <v>19945</v>
      </c>
      <c r="F1889" t="s">
        <v>31362</v>
      </c>
      <c r="G1889" t="s">
        <v>31369</v>
      </c>
      <c r="H1889" t="s">
        <v>31378</v>
      </c>
      <c r="I1889" t="s">
        <v>31386</v>
      </c>
      <c r="J1889" t="s">
        <v>31536</v>
      </c>
      <c r="K1889" t="s">
        <v>40681</v>
      </c>
      <c r="M1889" t="s">
        <v>41711</v>
      </c>
      <c r="N1889" t="s">
        <v>44905</v>
      </c>
      <c r="O1889" t="s">
        <v>44906</v>
      </c>
      <c r="P1889">
        <v>0</v>
      </c>
      <c r="Q1889">
        <v>0</v>
      </c>
      <c r="R1889" t="s">
        <v>44907</v>
      </c>
      <c r="S1889" t="s">
        <v>45026</v>
      </c>
      <c r="T1889" t="s">
        <v>46433</v>
      </c>
      <c r="U1889" t="s">
        <v>48455</v>
      </c>
      <c r="W1889" t="s">
        <v>41711</v>
      </c>
      <c r="X1889" t="s">
        <v>44908</v>
      </c>
    </row>
    <row r="1890" spans="1:24">
      <c r="A1890">
        <f>HYPERLINK("https://www.philgeps.gov.ph/GEPSNONPILOT/Tender/SplashBidNoticeAbstractUI.aspx?menuIndex=3&amp;refID=7083659&amp;Result=3","7083659")</f>
        <v>0</v>
      </c>
      <c r="B1890" t="s">
        <v>50</v>
      </c>
      <c r="C1890" t="s">
        <v>4975</v>
      </c>
      <c r="D1890" t="s">
        <v>18100</v>
      </c>
      <c r="E1890" t="s">
        <v>19946</v>
      </c>
      <c r="F1890" t="s">
        <v>31363</v>
      </c>
      <c r="G1890" t="s">
        <v>31368</v>
      </c>
      <c r="H1890" t="s">
        <v>15799</v>
      </c>
      <c r="I1890" t="s">
        <v>31380</v>
      </c>
      <c r="J1890" t="s">
        <v>32621</v>
      </c>
      <c r="K1890" t="s">
        <v>40661</v>
      </c>
      <c r="M1890" t="s">
        <v>40984</v>
      </c>
      <c r="N1890" t="s">
        <v>44905</v>
      </c>
      <c r="O1890" t="s">
        <v>44906</v>
      </c>
      <c r="P1890">
        <v>0</v>
      </c>
      <c r="Q1890">
        <v>0</v>
      </c>
      <c r="R1890" t="s">
        <v>44907</v>
      </c>
      <c r="S1890" t="s">
        <v>45026</v>
      </c>
      <c r="T1890" t="s">
        <v>46408</v>
      </c>
      <c r="U1890" t="s">
        <v>48189</v>
      </c>
      <c r="W1890" t="s">
        <v>40984</v>
      </c>
      <c r="X1890" t="s">
        <v>44908</v>
      </c>
    </row>
    <row r="1891" spans="1:24">
      <c r="A1891">
        <f>HYPERLINK("https://www.philgeps.gov.ph/GEPSNONPILOT/Tender/SplashBidNoticeAbstractUI.aspx?menuIndex=3&amp;refID=7083840&amp;Result=3","7083840")</f>
        <v>0</v>
      </c>
      <c r="B1891" t="s">
        <v>787</v>
      </c>
      <c r="C1891" t="s">
        <v>5343</v>
      </c>
      <c r="D1891" t="s">
        <v>18149</v>
      </c>
      <c r="E1891" t="s">
        <v>18466</v>
      </c>
      <c r="F1891" t="s">
        <v>31362</v>
      </c>
      <c r="G1891" t="s">
        <v>31369</v>
      </c>
      <c r="H1891" t="s">
        <v>31378</v>
      </c>
      <c r="I1891" t="s">
        <v>31386</v>
      </c>
      <c r="J1891" t="s">
        <v>32858</v>
      </c>
      <c r="K1891" t="s">
        <v>40711</v>
      </c>
      <c r="M1891" t="s">
        <v>41757</v>
      </c>
      <c r="N1891" t="s">
        <v>44905</v>
      </c>
      <c r="O1891" t="s">
        <v>44906</v>
      </c>
      <c r="P1891">
        <v>0</v>
      </c>
      <c r="Q1891">
        <v>0</v>
      </c>
      <c r="R1891" t="s">
        <v>44907</v>
      </c>
      <c r="S1891" t="s">
        <v>45026</v>
      </c>
      <c r="T1891" t="s">
        <v>46511</v>
      </c>
      <c r="U1891" t="s">
        <v>48504</v>
      </c>
      <c r="V1891" t="s">
        <v>59247</v>
      </c>
      <c r="W1891" t="s">
        <v>41757</v>
      </c>
      <c r="X1891" t="s">
        <v>44908</v>
      </c>
    </row>
    <row r="1892" spans="1:24">
      <c r="A1892">
        <f>HYPERLINK("https://www.philgeps.gov.ph/GEPSNONPILOT/Tender/SplashBidNoticeAbstractUI.aspx?menuIndex=3&amp;refID=7083636&amp;Result=3","7083636")</f>
        <v>0</v>
      </c>
      <c r="B1892" t="s">
        <v>440</v>
      </c>
      <c r="C1892" t="s">
        <v>5344</v>
      </c>
      <c r="D1892" t="s">
        <v>18154</v>
      </c>
      <c r="E1892" t="s">
        <v>19947</v>
      </c>
      <c r="F1892" t="s">
        <v>31362</v>
      </c>
      <c r="G1892" t="s">
        <v>31368</v>
      </c>
      <c r="H1892" t="s">
        <v>15799</v>
      </c>
      <c r="I1892" t="s">
        <v>3815</v>
      </c>
      <c r="J1892" t="s">
        <v>32859</v>
      </c>
      <c r="K1892" t="s">
        <v>40662</v>
      </c>
      <c r="M1892" t="s">
        <v>41392</v>
      </c>
      <c r="N1892" t="s">
        <v>44905</v>
      </c>
      <c r="O1892" t="s">
        <v>44906</v>
      </c>
      <c r="P1892">
        <v>0</v>
      </c>
      <c r="Q1892">
        <v>0</v>
      </c>
      <c r="R1892" t="s">
        <v>44907</v>
      </c>
      <c r="S1892" t="s">
        <v>45026</v>
      </c>
      <c r="T1892" t="s">
        <v>46447</v>
      </c>
      <c r="U1892" t="s">
        <v>48505</v>
      </c>
      <c r="W1892" t="s">
        <v>41392</v>
      </c>
      <c r="X1892" t="s">
        <v>44908</v>
      </c>
    </row>
    <row r="1893" spans="1:24">
      <c r="A1893">
        <f>HYPERLINK("https://www.philgeps.gov.ph/GEPSNONPILOT/Tender/SplashBidNoticeAbstractUI.aspx?menuIndex=3&amp;refID=7084066&amp;Result=3","7084066")</f>
        <v>0</v>
      </c>
      <c r="B1893" t="s">
        <v>687</v>
      </c>
      <c r="C1893" t="s">
        <v>5345</v>
      </c>
      <c r="E1893" t="s">
        <v>19948</v>
      </c>
      <c r="F1893" t="s">
        <v>31362</v>
      </c>
      <c r="G1893" t="s">
        <v>31368</v>
      </c>
      <c r="H1893" t="s">
        <v>15799</v>
      </c>
      <c r="I1893" t="s">
        <v>31389</v>
      </c>
      <c r="J1893" t="s">
        <v>32860</v>
      </c>
      <c r="K1893" t="s">
        <v>40662</v>
      </c>
      <c r="M1893" t="s">
        <v>41649</v>
      </c>
      <c r="N1893" t="s">
        <v>44905</v>
      </c>
      <c r="O1893" t="s">
        <v>44906</v>
      </c>
      <c r="P1893">
        <v>0</v>
      </c>
      <c r="Q1893">
        <v>1</v>
      </c>
      <c r="R1893" t="s">
        <v>44907</v>
      </c>
      <c r="S1893" t="s">
        <v>45026</v>
      </c>
      <c r="T1893" t="s">
        <v>46532</v>
      </c>
      <c r="U1893" t="s">
        <v>48506</v>
      </c>
      <c r="W1893" t="s">
        <v>41649</v>
      </c>
      <c r="X1893" t="s">
        <v>44908</v>
      </c>
    </row>
    <row r="1894" spans="1:24">
      <c r="A1894">
        <f>HYPERLINK("https://www.philgeps.gov.ph/GEPSNONPILOT/Tender/SplashBidNoticeAbstractUI.aspx?menuIndex=3&amp;refID=7083788&amp;Result=3","7083788")</f>
        <v>0</v>
      </c>
      <c r="B1894" t="s">
        <v>696</v>
      </c>
      <c r="C1894" t="s">
        <v>5346</v>
      </c>
      <c r="D1894" t="s">
        <v>18118</v>
      </c>
      <c r="E1894" t="s">
        <v>19949</v>
      </c>
      <c r="F1894" t="s">
        <v>31362</v>
      </c>
      <c r="G1894" t="s">
        <v>31369</v>
      </c>
      <c r="H1894" t="s">
        <v>15799</v>
      </c>
      <c r="I1894" t="s">
        <v>3815</v>
      </c>
      <c r="J1894" t="s">
        <v>32861</v>
      </c>
      <c r="K1894" t="s">
        <v>40675</v>
      </c>
      <c r="M1894" t="s">
        <v>41661</v>
      </c>
      <c r="N1894" t="s">
        <v>44905</v>
      </c>
      <c r="O1894" t="s">
        <v>44906</v>
      </c>
      <c r="P1894">
        <v>0</v>
      </c>
      <c r="Q1894">
        <v>0</v>
      </c>
      <c r="R1894" t="s">
        <v>44907</v>
      </c>
      <c r="S1894" t="s">
        <v>45026</v>
      </c>
      <c r="T1894" t="s">
        <v>46542</v>
      </c>
      <c r="U1894" t="s">
        <v>48329</v>
      </c>
      <c r="W1894" t="s">
        <v>41661</v>
      </c>
      <c r="X1894" t="s">
        <v>44908</v>
      </c>
    </row>
    <row r="1895" spans="1:24">
      <c r="A1895">
        <f>HYPERLINK("https://www.philgeps.gov.ph/GEPSNONPILOT/Tender/SplashBidNoticeAbstractUI.aspx?menuIndex=3&amp;refID=7083660&amp;Result=3","7083660")</f>
        <v>0</v>
      </c>
      <c r="B1895" t="s">
        <v>673</v>
      </c>
      <c r="C1895" t="s">
        <v>5347</v>
      </c>
      <c r="D1895" t="s">
        <v>18136</v>
      </c>
      <c r="E1895" t="s">
        <v>19950</v>
      </c>
      <c r="F1895" t="s">
        <v>31362</v>
      </c>
      <c r="G1895" t="s">
        <v>31369</v>
      </c>
      <c r="H1895" t="s">
        <v>31378</v>
      </c>
      <c r="I1895" t="s">
        <v>31386</v>
      </c>
      <c r="J1895" t="s">
        <v>32659</v>
      </c>
      <c r="K1895" t="s">
        <v>40679</v>
      </c>
      <c r="M1895" t="s">
        <v>41635</v>
      </c>
      <c r="N1895" t="s">
        <v>44905</v>
      </c>
      <c r="O1895" t="s">
        <v>44906</v>
      </c>
      <c r="P1895">
        <v>0</v>
      </c>
      <c r="Q1895">
        <v>0</v>
      </c>
      <c r="R1895" t="s">
        <v>44907</v>
      </c>
      <c r="S1895" t="s">
        <v>45026</v>
      </c>
      <c r="T1895" t="s">
        <v>46570</v>
      </c>
      <c r="U1895" t="s">
        <v>48232</v>
      </c>
      <c r="W1895" t="s">
        <v>41635</v>
      </c>
      <c r="X1895" t="s">
        <v>44908</v>
      </c>
    </row>
    <row r="1896" spans="1:24">
      <c r="A1896">
        <f>HYPERLINK("https://www.philgeps.gov.ph/GEPSNONPILOT/Tender/SplashBidNoticeAbstractUI.aspx?menuIndex=3&amp;refID=7084063&amp;Result=3","7084063")</f>
        <v>0</v>
      </c>
      <c r="B1896" t="s">
        <v>217</v>
      </c>
      <c r="C1896" t="s">
        <v>5348</v>
      </c>
      <c r="D1896" t="s">
        <v>18108</v>
      </c>
      <c r="E1896" t="s">
        <v>19951</v>
      </c>
      <c r="F1896" t="s">
        <v>31362</v>
      </c>
      <c r="G1896" t="s">
        <v>31370</v>
      </c>
      <c r="H1896" t="s">
        <v>15799</v>
      </c>
      <c r="I1896" t="s">
        <v>31380</v>
      </c>
      <c r="J1896" t="s">
        <v>31604</v>
      </c>
      <c r="K1896" t="s">
        <v>40697</v>
      </c>
      <c r="M1896" t="s">
        <v>41752</v>
      </c>
      <c r="N1896" t="s">
        <v>44905</v>
      </c>
      <c r="O1896" t="s">
        <v>44906</v>
      </c>
      <c r="P1896">
        <v>0</v>
      </c>
      <c r="Q1896">
        <v>2</v>
      </c>
      <c r="R1896" t="s">
        <v>44907</v>
      </c>
      <c r="S1896" t="s">
        <v>45026</v>
      </c>
      <c r="T1896" t="s">
        <v>46438</v>
      </c>
      <c r="U1896" t="s">
        <v>48507</v>
      </c>
      <c r="V1896" t="s">
        <v>59243</v>
      </c>
      <c r="W1896" t="s">
        <v>41752</v>
      </c>
      <c r="X1896" t="s">
        <v>44908</v>
      </c>
    </row>
    <row r="1897" spans="1:24">
      <c r="A1897">
        <f>HYPERLINK("https://www.philgeps.gov.ph/GEPSNONPILOT/Tender/SplashBidNoticeAbstractUI.aspx?menuIndex=3&amp;refID=7084062&amp;Result=3","7084062")</f>
        <v>0</v>
      </c>
      <c r="B1897" t="s">
        <v>132</v>
      </c>
      <c r="C1897" t="s">
        <v>5349</v>
      </c>
      <c r="D1897" t="s">
        <v>18131</v>
      </c>
      <c r="E1897" t="s">
        <v>19797</v>
      </c>
      <c r="F1897" t="s">
        <v>31362</v>
      </c>
      <c r="G1897" t="s">
        <v>31369</v>
      </c>
      <c r="H1897" t="s">
        <v>31378</v>
      </c>
      <c r="I1897" t="s">
        <v>31386</v>
      </c>
      <c r="J1897" t="s">
        <v>31531</v>
      </c>
      <c r="K1897" t="s">
        <v>40682</v>
      </c>
      <c r="L1897" t="s">
        <v>132</v>
      </c>
      <c r="M1897" t="s">
        <v>41070</v>
      </c>
      <c r="N1897" t="s">
        <v>44905</v>
      </c>
      <c r="O1897" t="s">
        <v>44906</v>
      </c>
      <c r="P1897">
        <v>0</v>
      </c>
      <c r="Q1897">
        <v>0</v>
      </c>
      <c r="R1897" t="s">
        <v>44907</v>
      </c>
      <c r="S1897" t="s">
        <v>45026</v>
      </c>
      <c r="T1897" t="s">
        <v>46461</v>
      </c>
      <c r="U1897" t="s">
        <v>48439</v>
      </c>
      <c r="W1897" t="s">
        <v>41070</v>
      </c>
      <c r="X1897" t="s">
        <v>44908</v>
      </c>
    </row>
    <row r="1898" spans="1:24">
      <c r="A1898">
        <f>HYPERLINK("https://www.philgeps.gov.ph/GEPSNONPILOT/Tender/SplashBidNoticeAbstractUI.aspx?menuIndex=3&amp;refID=7084060&amp;Result=3","7084060")</f>
        <v>0</v>
      </c>
      <c r="B1898" t="s">
        <v>697</v>
      </c>
      <c r="C1898" t="s">
        <v>5350</v>
      </c>
      <c r="D1898" t="s">
        <v>18146</v>
      </c>
      <c r="E1898" t="s">
        <v>19952</v>
      </c>
      <c r="F1898" t="s">
        <v>31364</v>
      </c>
      <c r="G1898" t="s">
        <v>31368</v>
      </c>
      <c r="H1898" t="s">
        <v>15799</v>
      </c>
      <c r="I1898" t="s">
        <v>31409</v>
      </c>
      <c r="J1898" t="s">
        <v>31536</v>
      </c>
      <c r="K1898" t="s">
        <v>40661</v>
      </c>
      <c r="M1898" t="s">
        <v>41662</v>
      </c>
      <c r="N1898" t="s">
        <v>44905</v>
      </c>
      <c r="O1898" t="s">
        <v>44906</v>
      </c>
      <c r="P1898">
        <v>0</v>
      </c>
      <c r="Q1898">
        <v>0</v>
      </c>
      <c r="R1898" t="s">
        <v>44907</v>
      </c>
      <c r="S1898" t="s">
        <v>45026</v>
      </c>
      <c r="T1898" t="s">
        <v>46415</v>
      </c>
      <c r="U1898" t="s">
        <v>48508</v>
      </c>
      <c r="W1898" t="s">
        <v>41662</v>
      </c>
      <c r="X1898" t="s">
        <v>44908</v>
      </c>
    </row>
    <row r="1899" spans="1:24">
      <c r="A1899">
        <f>HYPERLINK("https://www.philgeps.gov.ph/GEPSNONPILOT/Tender/SplashBidNoticeAbstractUI.aspx?menuIndex=3&amp;refID=7084059&amp;Result=3","7084059")</f>
        <v>0</v>
      </c>
      <c r="B1899" t="s">
        <v>788</v>
      </c>
      <c r="C1899" t="s">
        <v>5351</v>
      </c>
      <c r="D1899" t="s">
        <v>18118</v>
      </c>
      <c r="E1899" t="s">
        <v>18203</v>
      </c>
      <c r="F1899" t="s">
        <v>31362</v>
      </c>
      <c r="G1899" t="s">
        <v>31368</v>
      </c>
      <c r="H1899" t="s">
        <v>15799</v>
      </c>
      <c r="I1899" t="s">
        <v>3815</v>
      </c>
      <c r="J1899" t="s">
        <v>32862</v>
      </c>
      <c r="K1899" t="s">
        <v>40697</v>
      </c>
      <c r="M1899" t="s">
        <v>41758</v>
      </c>
      <c r="N1899" t="s">
        <v>44905</v>
      </c>
      <c r="O1899" t="s">
        <v>44906</v>
      </c>
      <c r="P1899">
        <v>0</v>
      </c>
      <c r="Q1899">
        <v>0</v>
      </c>
      <c r="R1899" t="s">
        <v>44907</v>
      </c>
      <c r="S1899" t="s">
        <v>45026</v>
      </c>
      <c r="T1899" t="s">
        <v>46590</v>
      </c>
      <c r="U1899" t="s">
        <v>48509</v>
      </c>
      <c r="W1899" t="s">
        <v>41758</v>
      </c>
      <c r="X1899" t="s">
        <v>44908</v>
      </c>
    </row>
    <row r="1900" spans="1:24">
      <c r="A1900">
        <f>HYPERLINK("https://www.philgeps.gov.ph/GEPSNONPILOT/Tender/SplashBidNoticeAbstractUI.aspx?menuIndex=3&amp;refID=7083634&amp;Result=3","7083634")</f>
        <v>0</v>
      </c>
      <c r="B1900" t="s">
        <v>714</v>
      </c>
      <c r="C1900" t="s">
        <v>5352</v>
      </c>
      <c r="D1900" t="s">
        <v>18108</v>
      </c>
      <c r="E1900" t="s">
        <v>19953</v>
      </c>
      <c r="F1900" t="s">
        <v>31362</v>
      </c>
      <c r="G1900" t="s">
        <v>31371</v>
      </c>
      <c r="H1900" t="s">
        <v>15799</v>
      </c>
      <c r="I1900" t="s">
        <v>31437</v>
      </c>
      <c r="J1900" t="s">
        <v>31537</v>
      </c>
      <c r="K1900" t="s">
        <v>40666</v>
      </c>
      <c r="M1900" t="s">
        <v>41679</v>
      </c>
      <c r="N1900" t="s">
        <v>44905</v>
      </c>
      <c r="O1900" t="s">
        <v>44906</v>
      </c>
      <c r="P1900">
        <v>0</v>
      </c>
      <c r="Q1900">
        <v>3</v>
      </c>
      <c r="R1900" t="s">
        <v>44907</v>
      </c>
      <c r="S1900" t="s">
        <v>45026</v>
      </c>
      <c r="T1900" t="s">
        <v>46580</v>
      </c>
      <c r="U1900" t="s">
        <v>48510</v>
      </c>
      <c r="W1900" t="s">
        <v>41679</v>
      </c>
      <c r="X1900" t="s">
        <v>44908</v>
      </c>
    </row>
    <row r="1901" spans="1:24">
      <c r="A1901">
        <f>HYPERLINK("https://www.philgeps.gov.ph/GEPSNONPILOT/Tender/SplashBidNoticeAbstractUI.aspx?menuIndex=3&amp;refID=7084056&amp;Result=3","7084056")</f>
        <v>0</v>
      </c>
      <c r="B1901" t="s">
        <v>785</v>
      </c>
      <c r="C1901" t="s">
        <v>5353</v>
      </c>
      <c r="D1901" t="s">
        <v>18138</v>
      </c>
      <c r="E1901" t="s">
        <v>19954</v>
      </c>
      <c r="F1901" t="s">
        <v>31362</v>
      </c>
      <c r="G1901" t="s">
        <v>31368</v>
      </c>
      <c r="H1901" t="s">
        <v>15799</v>
      </c>
      <c r="I1901" t="s">
        <v>31427</v>
      </c>
      <c r="J1901" t="s">
        <v>32863</v>
      </c>
      <c r="K1901" t="s">
        <v>40665</v>
      </c>
      <c r="M1901" t="s">
        <v>41755</v>
      </c>
      <c r="N1901" t="s">
        <v>44905</v>
      </c>
      <c r="O1901" t="s">
        <v>44906</v>
      </c>
      <c r="P1901">
        <v>0</v>
      </c>
      <c r="Q1901">
        <v>4</v>
      </c>
      <c r="R1901" t="s">
        <v>44907</v>
      </c>
      <c r="S1901" t="s">
        <v>45026</v>
      </c>
      <c r="T1901" t="s">
        <v>46417</v>
      </c>
      <c r="U1901" t="s">
        <v>48511</v>
      </c>
      <c r="V1901" t="s">
        <v>59245</v>
      </c>
      <c r="W1901" t="s">
        <v>41755</v>
      </c>
      <c r="X1901" t="s">
        <v>44908</v>
      </c>
    </row>
    <row r="1902" spans="1:24">
      <c r="A1902">
        <f>HYPERLINK("https://www.philgeps.gov.ph/GEPSNONPILOT/Tender/SplashBidNoticeAbstractUI.aspx?menuIndex=3&amp;refID=7083787&amp;Result=3","7083787")</f>
        <v>0</v>
      </c>
      <c r="B1902" t="s">
        <v>735</v>
      </c>
      <c r="C1902" t="s">
        <v>5354</v>
      </c>
      <c r="D1902" t="s">
        <v>18127</v>
      </c>
      <c r="E1902" t="s">
        <v>18694</v>
      </c>
      <c r="F1902" t="s">
        <v>31362</v>
      </c>
      <c r="G1902" t="s">
        <v>31368</v>
      </c>
      <c r="H1902" t="s">
        <v>15799</v>
      </c>
      <c r="I1902" t="s">
        <v>31400</v>
      </c>
      <c r="J1902" t="s">
        <v>31997</v>
      </c>
      <c r="K1902" t="s">
        <v>40677</v>
      </c>
      <c r="M1902" t="s">
        <v>41702</v>
      </c>
      <c r="N1902" t="s">
        <v>44905</v>
      </c>
      <c r="O1902" t="s">
        <v>44906</v>
      </c>
      <c r="P1902">
        <v>0</v>
      </c>
      <c r="Q1902">
        <v>0</v>
      </c>
      <c r="R1902" t="s">
        <v>44907</v>
      </c>
      <c r="S1902" t="s">
        <v>45026</v>
      </c>
      <c r="T1902" t="s">
        <v>46416</v>
      </c>
      <c r="U1902" t="s">
        <v>48384</v>
      </c>
      <c r="V1902" t="s">
        <v>59234</v>
      </c>
      <c r="W1902" t="s">
        <v>41702</v>
      </c>
      <c r="X1902" t="s">
        <v>44908</v>
      </c>
    </row>
    <row r="1903" spans="1:24">
      <c r="A1903">
        <f>HYPERLINK("https://www.philgeps.gov.ph/GEPSNONPILOT/Tender/SplashBidNoticeAbstractUI.aspx?menuIndex=3&amp;refID=7084064&amp;Result=3","7084064")</f>
        <v>0</v>
      </c>
      <c r="B1903" t="s">
        <v>789</v>
      </c>
      <c r="C1903" t="s">
        <v>5355</v>
      </c>
      <c r="E1903" t="s">
        <v>19955</v>
      </c>
      <c r="F1903" t="s">
        <v>31362</v>
      </c>
      <c r="G1903" t="s">
        <v>31368</v>
      </c>
      <c r="H1903" t="s">
        <v>15799</v>
      </c>
      <c r="I1903" t="s">
        <v>31430</v>
      </c>
      <c r="J1903" t="s">
        <v>31724</v>
      </c>
      <c r="K1903" t="s">
        <v>40662</v>
      </c>
      <c r="M1903" t="s">
        <v>41759</v>
      </c>
      <c r="N1903" t="s">
        <v>44905</v>
      </c>
      <c r="O1903" t="s">
        <v>44906</v>
      </c>
      <c r="P1903">
        <v>0</v>
      </c>
      <c r="Q1903">
        <v>0</v>
      </c>
      <c r="R1903" t="s">
        <v>44907</v>
      </c>
      <c r="S1903" t="s">
        <v>45026</v>
      </c>
      <c r="T1903" t="s">
        <v>46425</v>
      </c>
      <c r="U1903" t="s">
        <v>48512</v>
      </c>
      <c r="W1903" t="s">
        <v>41759</v>
      </c>
      <c r="X1903" t="s">
        <v>44908</v>
      </c>
    </row>
    <row r="1904" spans="1:24">
      <c r="A1904">
        <f>HYPERLINK("https://www.philgeps.gov.ph/GEPSNONPILOT/Tender/SplashBidNoticeAbstractUI.aspx?menuIndex=3&amp;refID=7084053&amp;Result=3","7084053")</f>
        <v>0</v>
      </c>
      <c r="B1904" t="s">
        <v>790</v>
      </c>
      <c r="C1904" t="s">
        <v>5356</v>
      </c>
      <c r="D1904" t="s">
        <v>18157</v>
      </c>
      <c r="E1904" t="s">
        <v>19956</v>
      </c>
      <c r="F1904" t="s">
        <v>31362</v>
      </c>
      <c r="G1904" t="s">
        <v>31369</v>
      </c>
      <c r="H1904" t="s">
        <v>15799</v>
      </c>
      <c r="I1904" t="s">
        <v>3815</v>
      </c>
      <c r="J1904" t="s">
        <v>32864</v>
      </c>
      <c r="K1904" t="s">
        <v>40665</v>
      </c>
      <c r="M1904" t="s">
        <v>41760</v>
      </c>
      <c r="N1904" t="s">
        <v>44905</v>
      </c>
      <c r="O1904" t="s">
        <v>44906</v>
      </c>
      <c r="P1904">
        <v>0</v>
      </c>
      <c r="Q1904">
        <v>0</v>
      </c>
      <c r="R1904" t="s">
        <v>44907</v>
      </c>
      <c r="S1904" t="s">
        <v>45026</v>
      </c>
      <c r="T1904" t="s">
        <v>46397</v>
      </c>
      <c r="U1904" t="s">
        <v>48513</v>
      </c>
      <c r="V1904" t="s">
        <v>59248</v>
      </c>
      <c r="W1904" t="s">
        <v>41760</v>
      </c>
      <c r="X1904" t="s">
        <v>44908</v>
      </c>
    </row>
    <row r="1905" spans="1:24">
      <c r="A1905">
        <f>HYPERLINK("https://www.philgeps.gov.ph/GEPSNONPILOT/Tender/SplashBidNoticeAbstractUI.aspx?menuIndex=3&amp;refID=7083954&amp;Result=3","7083954")</f>
        <v>0</v>
      </c>
      <c r="B1905" t="s">
        <v>734</v>
      </c>
      <c r="C1905" t="s">
        <v>5357</v>
      </c>
      <c r="D1905" t="s">
        <v>18129</v>
      </c>
      <c r="E1905" t="s">
        <v>19957</v>
      </c>
      <c r="F1905" t="s">
        <v>31362</v>
      </c>
      <c r="G1905" t="s">
        <v>31369</v>
      </c>
      <c r="H1905" t="s">
        <v>31378</v>
      </c>
      <c r="I1905" t="s">
        <v>31386</v>
      </c>
      <c r="J1905" t="s">
        <v>31637</v>
      </c>
      <c r="K1905" t="s">
        <v>40686</v>
      </c>
      <c r="L1905" t="s">
        <v>734</v>
      </c>
      <c r="M1905" t="s">
        <v>41701</v>
      </c>
      <c r="N1905" t="s">
        <v>44905</v>
      </c>
      <c r="O1905" t="s">
        <v>44906</v>
      </c>
      <c r="P1905">
        <v>0</v>
      </c>
      <c r="Q1905">
        <v>0</v>
      </c>
      <c r="R1905" t="s">
        <v>44907</v>
      </c>
      <c r="S1905" t="s">
        <v>45026</v>
      </c>
      <c r="T1905" t="s">
        <v>46408</v>
      </c>
      <c r="U1905" t="s">
        <v>48514</v>
      </c>
      <c r="W1905" t="s">
        <v>41701</v>
      </c>
      <c r="X1905" t="s">
        <v>44908</v>
      </c>
    </row>
    <row r="1906" spans="1:24">
      <c r="A1906">
        <f>HYPERLINK("https://www.philgeps.gov.ph/GEPSNONPILOT/Tender/SplashBidNoticeAbstractUI.aspx?menuIndex=3&amp;refID=7084052&amp;Result=3","7084052")</f>
        <v>0</v>
      </c>
      <c r="B1906" t="s">
        <v>217</v>
      </c>
      <c r="C1906" t="s">
        <v>5358</v>
      </c>
      <c r="D1906" t="s">
        <v>18108</v>
      </c>
      <c r="E1906" t="s">
        <v>19958</v>
      </c>
      <c r="F1906" t="s">
        <v>31362</v>
      </c>
      <c r="G1906" t="s">
        <v>31370</v>
      </c>
      <c r="H1906" t="s">
        <v>15799</v>
      </c>
      <c r="I1906" t="s">
        <v>31380</v>
      </c>
      <c r="J1906" t="s">
        <v>31536</v>
      </c>
      <c r="K1906" t="s">
        <v>40697</v>
      </c>
      <c r="M1906" t="s">
        <v>41752</v>
      </c>
      <c r="N1906" t="s">
        <v>44905</v>
      </c>
      <c r="O1906" t="s">
        <v>44906</v>
      </c>
      <c r="P1906">
        <v>0</v>
      </c>
      <c r="Q1906">
        <v>1</v>
      </c>
      <c r="R1906" t="s">
        <v>44907</v>
      </c>
      <c r="S1906" t="s">
        <v>45026</v>
      </c>
      <c r="T1906" t="s">
        <v>46438</v>
      </c>
      <c r="U1906" t="s">
        <v>48515</v>
      </c>
      <c r="V1906" t="s">
        <v>59243</v>
      </c>
      <c r="W1906" t="s">
        <v>41752</v>
      </c>
      <c r="X1906" t="s">
        <v>44908</v>
      </c>
    </row>
    <row r="1907" spans="1:24">
      <c r="A1907">
        <f>HYPERLINK("https://www.philgeps.gov.ph/GEPSNONPILOT/Tender/SplashBidNoticeAbstractUI.aspx?menuIndex=3&amp;refID=7084051&amp;Result=3","7084051")</f>
        <v>0</v>
      </c>
      <c r="B1907" t="s">
        <v>506</v>
      </c>
      <c r="C1907" t="s">
        <v>5359</v>
      </c>
      <c r="D1907" t="s">
        <v>18110</v>
      </c>
      <c r="E1907" t="s">
        <v>19959</v>
      </c>
      <c r="F1907" t="s">
        <v>31362</v>
      </c>
      <c r="G1907" t="s">
        <v>31372</v>
      </c>
      <c r="H1907" t="s">
        <v>15799</v>
      </c>
      <c r="I1907" t="s">
        <v>3815</v>
      </c>
      <c r="J1907" t="s">
        <v>32865</v>
      </c>
      <c r="K1907" t="s">
        <v>40670</v>
      </c>
      <c r="M1907" t="s">
        <v>41461</v>
      </c>
      <c r="N1907" t="s">
        <v>44905</v>
      </c>
      <c r="O1907" t="s">
        <v>44906</v>
      </c>
      <c r="P1907">
        <v>0</v>
      </c>
      <c r="Q1907">
        <v>0</v>
      </c>
      <c r="R1907" t="s">
        <v>44907</v>
      </c>
      <c r="S1907" t="s">
        <v>45026</v>
      </c>
      <c r="T1907" t="s">
        <v>46396</v>
      </c>
      <c r="U1907" t="s">
        <v>48516</v>
      </c>
      <c r="W1907" t="s">
        <v>41461</v>
      </c>
      <c r="X1907" t="s">
        <v>44908</v>
      </c>
    </row>
    <row r="1908" spans="1:24">
      <c r="A1908">
        <f>HYPERLINK("https://www.philgeps.gov.ph/GEPSNONPILOT/Tender/SplashBidNoticeAbstractUI.aspx?menuIndex=3&amp;refID=7084061&amp;Result=3","7084061")</f>
        <v>0</v>
      </c>
      <c r="B1908" t="s">
        <v>750</v>
      </c>
      <c r="C1908" t="s">
        <v>5360</v>
      </c>
      <c r="E1908" t="s">
        <v>19960</v>
      </c>
      <c r="F1908" t="s">
        <v>31362</v>
      </c>
      <c r="G1908" t="s">
        <v>31369</v>
      </c>
      <c r="H1908" t="s">
        <v>31378</v>
      </c>
      <c r="I1908" t="s">
        <v>31386</v>
      </c>
      <c r="J1908" t="s">
        <v>32783</v>
      </c>
      <c r="K1908" t="s">
        <v>40662</v>
      </c>
      <c r="M1908" t="s">
        <v>41717</v>
      </c>
      <c r="N1908" t="s">
        <v>44905</v>
      </c>
      <c r="O1908" t="s">
        <v>44906</v>
      </c>
      <c r="P1908">
        <v>0</v>
      </c>
      <c r="Q1908">
        <v>0</v>
      </c>
      <c r="R1908" t="s">
        <v>44907</v>
      </c>
      <c r="S1908" t="s">
        <v>45026</v>
      </c>
      <c r="T1908" t="s">
        <v>46429</v>
      </c>
      <c r="U1908" t="s">
        <v>48517</v>
      </c>
      <c r="W1908" t="s">
        <v>44867</v>
      </c>
      <c r="X1908" t="s">
        <v>44908</v>
      </c>
    </row>
    <row r="1909" spans="1:24">
      <c r="A1909">
        <f>HYPERLINK("https://www.philgeps.gov.ph/GEPSNONPILOT/Tender/SplashBidNoticeAbstractUI.aspx?menuIndex=3&amp;refID=7084049&amp;Result=3","7084049")</f>
        <v>0</v>
      </c>
      <c r="B1909" t="s">
        <v>744</v>
      </c>
      <c r="C1909" t="s">
        <v>5361</v>
      </c>
      <c r="D1909" t="s">
        <v>18148</v>
      </c>
      <c r="E1909" t="s">
        <v>19961</v>
      </c>
      <c r="F1909" t="s">
        <v>31362</v>
      </c>
      <c r="G1909" t="s">
        <v>31369</v>
      </c>
      <c r="H1909" t="s">
        <v>31378</v>
      </c>
      <c r="I1909" t="s">
        <v>31386</v>
      </c>
      <c r="J1909" t="s">
        <v>31536</v>
      </c>
      <c r="K1909" t="s">
        <v>40681</v>
      </c>
      <c r="M1909" t="s">
        <v>41711</v>
      </c>
      <c r="N1909" t="s">
        <v>44905</v>
      </c>
      <c r="O1909" t="s">
        <v>44906</v>
      </c>
      <c r="P1909">
        <v>0</v>
      </c>
      <c r="Q1909">
        <v>0</v>
      </c>
      <c r="R1909" t="s">
        <v>44907</v>
      </c>
      <c r="S1909" t="s">
        <v>45026</v>
      </c>
      <c r="T1909" t="s">
        <v>46433</v>
      </c>
      <c r="U1909" t="s">
        <v>48455</v>
      </c>
      <c r="W1909" t="s">
        <v>41711</v>
      </c>
      <c r="X1909" t="s">
        <v>44908</v>
      </c>
    </row>
    <row r="1910" spans="1:24">
      <c r="A1910">
        <f>HYPERLINK("https://www.philgeps.gov.ph/GEPSNONPILOT/Tender/SplashBidNoticeAbstractUI.aspx?menuIndex=3&amp;refID=7084092&amp;Result=3","7084092")</f>
        <v>0</v>
      </c>
      <c r="B1910" t="s">
        <v>506</v>
      </c>
      <c r="C1910" t="s">
        <v>5362</v>
      </c>
      <c r="D1910" t="s">
        <v>18110</v>
      </c>
      <c r="E1910" t="s">
        <v>19962</v>
      </c>
      <c r="F1910" t="s">
        <v>31362</v>
      </c>
      <c r="G1910" t="s">
        <v>31370</v>
      </c>
      <c r="H1910" t="s">
        <v>15799</v>
      </c>
      <c r="I1910" t="s">
        <v>31469</v>
      </c>
      <c r="J1910" t="s">
        <v>31545</v>
      </c>
      <c r="K1910" t="s">
        <v>40697</v>
      </c>
      <c r="M1910" t="s">
        <v>41461</v>
      </c>
      <c r="N1910" t="s">
        <v>44905</v>
      </c>
      <c r="O1910" t="s">
        <v>44906</v>
      </c>
      <c r="P1910">
        <v>0</v>
      </c>
      <c r="Q1910">
        <v>1</v>
      </c>
      <c r="R1910" t="s">
        <v>44907</v>
      </c>
      <c r="S1910" t="s">
        <v>45026</v>
      </c>
      <c r="T1910" t="s">
        <v>46447</v>
      </c>
      <c r="U1910" t="s">
        <v>48518</v>
      </c>
      <c r="W1910" t="s">
        <v>41461</v>
      </c>
      <c r="X1910" t="s">
        <v>44908</v>
      </c>
    </row>
    <row r="1911" spans="1:24">
      <c r="A1911">
        <f>HYPERLINK("https://www.philgeps.gov.ph/GEPSNONPILOT/Tender/SplashBidNoticeAbstractUI.aspx?menuIndex=3&amp;refID=7084058&amp;Result=3","7084058")</f>
        <v>0</v>
      </c>
      <c r="B1911" t="s">
        <v>254</v>
      </c>
      <c r="C1911" t="s">
        <v>5363</v>
      </c>
      <c r="D1911" t="s">
        <v>18127</v>
      </c>
      <c r="E1911" t="s">
        <v>19963</v>
      </c>
      <c r="F1911" t="s">
        <v>31362</v>
      </c>
      <c r="G1911" t="s">
        <v>31368</v>
      </c>
      <c r="H1911" t="s">
        <v>15799</v>
      </c>
      <c r="I1911" t="s">
        <v>31437</v>
      </c>
      <c r="J1911" t="s">
        <v>31579</v>
      </c>
      <c r="K1911" t="s">
        <v>40672</v>
      </c>
      <c r="M1911" t="s">
        <v>41194</v>
      </c>
      <c r="N1911" t="s">
        <v>44905</v>
      </c>
      <c r="O1911" t="s">
        <v>44906</v>
      </c>
      <c r="P1911">
        <v>0</v>
      </c>
      <c r="Q1911">
        <v>0</v>
      </c>
      <c r="R1911" t="s">
        <v>44907</v>
      </c>
      <c r="S1911" t="s">
        <v>45026</v>
      </c>
      <c r="T1911" t="s">
        <v>46438</v>
      </c>
      <c r="U1911" t="s">
        <v>48519</v>
      </c>
      <c r="W1911" t="s">
        <v>41194</v>
      </c>
      <c r="X1911" t="s">
        <v>44908</v>
      </c>
    </row>
    <row r="1912" spans="1:24">
      <c r="A1912">
        <f>HYPERLINK("https://www.philgeps.gov.ph/GEPSNONPILOT/Tender/SplashBidNoticeAbstractUI.aspx?menuIndex=3&amp;refID=7084055&amp;Result=3","7084055")</f>
        <v>0</v>
      </c>
      <c r="B1912" t="s">
        <v>791</v>
      </c>
      <c r="C1912" t="s">
        <v>5364</v>
      </c>
      <c r="D1912" t="s">
        <v>18108</v>
      </c>
      <c r="E1912" t="s">
        <v>19964</v>
      </c>
      <c r="F1912" t="s">
        <v>31362</v>
      </c>
      <c r="G1912" t="s">
        <v>31368</v>
      </c>
      <c r="H1912" t="s">
        <v>15799</v>
      </c>
      <c r="I1912" t="s">
        <v>7090</v>
      </c>
      <c r="J1912" t="s">
        <v>32866</v>
      </c>
      <c r="K1912" t="s">
        <v>40662</v>
      </c>
      <c r="M1912" t="s">
        <v>41761</v>
      </c>
      <c r="N1912" t="s">
        <v>44905</v>
      </c>
      <c r="O1912" t="s">
        <v>44906</v>
      </c>
      <c r="P1912">
        <v>0</v>
      </c>
      <c r="Q1912">
        <v>4</v>
      </c>
      <c r="R1912" t="s">
        <v>44907</v>
      </c>
      <c r="S1912" t="s">
        <v>45026</v>
      </c>
      <c r="T1912" t="s">
        <v>46580</v>
      </c>
      <c r="U1912" t="s">
        <v>48520</v>
      </c>
      <c r="V1912" t="s">
        <v>59151</v>
      </c>
      <c r="W1912" t="s">
        <v>41761</v>
      </c>
      <c r="X1912" t="s">
        <v>44908</v>
      </c>
    </row>
    <row r="1913" spans="1:24">
      <c r="A1913">
        <f>HYPERLINK("https://www.philgeps.gov.ph/GEPSNONPILOT/Tender/SplashBidNoticeAbstractUI.aspx?menuIndex=3&amp;refID=7084090&amp;Result=3","7084090")</f>
        <v>0</v>
      </c>
      <c r="B1913" t="s">
        <v>768</v>
      </c>
      <c r="C1913" t="s">
        <v>5365</v>
      </c>
      <c r="D1913" t="s">
        <v>18126</v>
      </c>
      <c r="E1913" t="s">
        <v>19965</v>
      </c>
      <c r="F1913" t="s">
        <v>31362</v>
      </c>
      <c r="G1913" t="s">
        <v>31369</v>
      </c>
      <c r="H1913" t="s">
        <v>15799</v>
      </c>
      <c r="I1913" t="s">
        <v>31380</v>
      </c>
      <c r="J1913" t="s">
        <v>32867</v>
      </c>
      <c r="K1913" t="s">
        <v>40699</v>
      </c>
      <c r="M1913" t="s">
        <v>41736</v>
      </c>
      <c r="N1913" t="s">
        <v>44905</v>
      </c>
      <c r="O1913" t="s">
        <v>44906</v>
      </c>
      <c r="P1913">
        <v>0</v>
      </c>
      <c r="Q1913">
        <v>8</v>
      </c>
      <c r="R1913" t="s">
        <v>44907</v>
      </c>
      <c r="S1913" t="s">
        <v>45026</v>
      </c>
      <c r="T1913" t="s">
        <v>46421</v>
      </c>
      <c r="U1913" t="s">
        <v>48521</v>
      </c>
      <c r="W1913" t="s">
        <v>41736</v>
      </c>
      <c r="X1913" t="s">
        <v>44908</v>
      </c>
    </row>
    <row r="1914" spans="1:24">
      <c r="A1914">
        <f>HYPERLINK("https://www.philgeps.gov.ph/GEPSNONPILOT/Tender/SplashBidNoticeAbstractUI.aspx?menuIndex=3&amp;refID=7084089&amp;Result=3","7084089")</f>
        <v>0</v>
      </c>
      <c r="B1914" t="s">
        <v>785</v>
      </c>
      <c r="C1914" t="s">
        <v>5366</v>
      </c>
      <c r="D1914" t="s">
        <v>18138</v>
      </c>
      <c r="E1914" t="s">
        <v>19966</v>
      </c>
      <c r="F1914" t="s">
        <v>31362</v>
      </c>
      <c r="G1914" t="s">
        <v>31368</v>
      </c>
      <c r="H1914" t="s">
        <v>15799</v>
      </c>
      <c r="I1914" t="s">
        <v>31427</v>
      </c>
      <c r="J1914" t="s">
        <v>32868</v>
      </c>
      <c r="K1914" t="s">
        <v>40665</v>
      </c>
      <c r="M1914" t="s">
        <v>41755</v>
      </c>
      <c r="N1914" t="s">
        <v>44905</v>
      </c>
      <c r="O1914" t="s">
        <v>44906</v>
      </c>
      <c r="P1914">
        <v>0</v>
      </c>
      <c r="Q1914">
        <v>3</v>
      </c>
      <c r="R1914" t="s">
        <v>44907</v>
      </c>
      <c r="S1914" t="s">
        <v>45026</v>
      </c>
      <c r="T1914" t="s">
        <v>46412</v>
      </c>
      <c r="U1914" t="s">
        <v>48522</v>
      </c>
      <c r="V1914" t="s">
        <v>59245</v>
      </c>
      <c r="W1914" t="s">
        <v>41755</v>
      </c>
      <c r="X1914" t="s">
        <v>44908</v>
      </c>
    </row>
    <row r="1915" spans="1:24">
      <c r="A1915">
        <f>HYPERLINK("https://www.philgeps.gov.ph/GEPSNONPILOT/Tender/SplashBidNoticeAbstractUI.aspx?menuIndex=3&amp;refID=7084088&amp;Result=3","7084088")</f>
        <v>0</v>
      </c>
      <c r="B1915" t="s">
        <v>132</v>
      </c>
      <c r="C1915" t="s">
        <v>5367</v>
      </c>
      <c r="D1915" t="s">
        <v>18131</v>
      </c>
      <c r="E1915" t="s">
        <v>19797</v>
      </c>
      <c r="F1915" t="s">
        <v>31362</v>
      </c>
      <c r="G1915" t="s">
        <v>31369</v>
      </c>
      <c r="H1915" t="s">
        <v>31378</v>
      </c>
      <c r="I1915" t="s">
        <v>31386</v>
      </c>
      <c r="J1915" t="s">
        <v>31578</v>
      </c>
      <c r="K1915" t="s">
        <v>40682</v>
      </c>
      <c r="L1915" t="s">
        <v>132</v>
      </c>
      <c r="M1915" t="s">
        <v>41070</v>
      </c>
      <c r="N1915" t="s">
        <v>44905</v>
      </c>
      <c r="O1915" t="s">
        <v>44906</v>
      </c>
      <c r="P1915">
        <v>0</v>
      </c>
      <c r="Q1915">
        <v>1</v>
      </c>
      <c r="R1915" t="s">
        <v>44907</v>
      </c>
      <c r="S1915" t="s">
        <v>45026</v>
      </c>
      <c r="T1915" t="s">
        <v>46461</v>
      </c>
      <c r="U1915" t="s">
        <v>48439</v>
      </c>
      <c r="W1915" t="s">
        <v>41070</v>
      </c>
      <c r="X1915" t="s">
        <v>44908</v>
      </c>
    </row>
    <row r="1916" spans="1:24">
      <c r="A1916">
        <f>HYPERLINK("https://www.philgeps.gov.ph/GEPSNONPILOT/Tender/SplashBidNoticeAbstractUI.aspx?menuIndex=3&amp;refID=7084086&amp;Result=3","7084086")</f>
        <v>0</v>
      </c>
      <c r="B1916" t="s">
        <v>792</v>
      </c>
      <c r="C1916" t="s">
        <v>5368</v>
      </c>
      <c r="D1916" t="s">
        <v>18111</v>
      </c>
      <c r="E1916" t="s">
        <v>19967</v>
      </c>
      <c r="F1916" t="s">
        <v>31362</v>
      </c>
      <c r="G1916" t="s">
        <v>31371</v>
      </c>
      <c r="H1916" t="s">
        <v>15799</v>
      </c>
      <c r="I1916" t="s">
        <v>31415</v>
      </c>
      <c r="J1916" t="s">
        <v>31561</v>
      </c>
      <c r="K1916" t="s">
        <v>40670</v>
      </c>
      <c r="M1916" t="s">
        <v>41762</v>
      </c>
      <c r="N1916" t="s">
        <v>44905</v>
      </c>
      <c r="O1916" t="s">
        <v>44906</v>
      </c>
      <c r="P1916">
        <v>0</v>
      </c>
      <c r="Q1916">
        <v>0</v>
      </c>
      <c r="R1916" t="s">
        <v>44907</v>
      </c>
      <c r="S1916" t="s">
        <v>45026</v>
      </c>
      <c r="T1916" t="s">
        <v>46414</v>
      </c>
      <c r="U1916" t="s">
        <v>48523</v>
      </c>
      <c r="W1916" t="s">
        <v>41762</v>
      </c>
      <c r="X1916" t="s">
        <v>44908</v>
      </c>
    </row>
    <row r="1917" spans="1:24">
      <c r="A1917">
        <f>HYPERLINK("https://www.philgeps.gov.ph/GEPSNONPILOT/Tender/SplashBidNoticeAbstractUI.aspx?menuIndex=3&amp;refID=7084074&amp;Result=3","7084074")</f>
        <v>0</v>
      </c>
      <c r="B1917" t="s">
        <v>217</v>
      </c>
      <c r="C1917" t="s">
        <v>5369</v>
      </c>
      <c r="D1917" t="s">
        <v>18108</v>
      </c>
      <c r="E1917" t="s">
        <v>19968</v>
      </c>
      <c r="F1917" t="s">
        <v>31362</v>
      </c>
      <c r="G1917" t="s">
        <v>31370</v>
      </c>
      <c r="H1917" t="s">
        <v>15799</v>
      </c>
      <c r="I1917" t="s">
        <v>31380</v>
      </c>
      <c r="J1917" t="s">
        <v>32553</v>
      </c>
      <c r="K1917" t="s">
        <v>40697</v>
      </c>
      <c r="M1917" t="s">
        <v>41752</v>
      </c>
      <c r="N1917" t="s">
        <v>44905</v>
      </c>
      <c r="O1917" t="s">
        <v>44906</v>
      </c>
      <c r="P1917">
        <v>0</v>
      </c>
      <c r="Q1917">
        <v>1</v>
      </c>
      <c r="R1917" t="s">
        <v>44907</v>
      </c>
      <c r="S1917" t="s">
        <v>45026</v>
      </c>
      <c r="T1917" t="s">
        <v>46438</v>
      </c>
      <c r="U1917" t="s">
        <v>48524</v>
      </c>
      <c r="V1917" t="s">
        <v>59243</v>
      </c>
      <c r="W1917" t="s">
        <v>41752</v>
      </c>
      <c r="X1917" t="s">
        <v>44908</v>
      </c>
    </row>
    <row r="1918" spans="1:24">
      <c r="A1918">
        <f>HYPERLINK("https://www.philgeps.gov.ph/GEPSNONPILOT/Tender/SplashBidNoticeAbstractUI.aspx?menuIndex=3&amp;refID=7084084&amp;Result=3","7084084")</f>
        <v>0</v>
      </c>
      <c r="B1918" t="s">
        <v>217</v>
      </c>
      <c r="C1918" t="s">
        <v>5370</v>
      </c>
      <c r="D1918" t="s">
        <v>18108</v>
      </c>
      <c r="E1918" t="s">
        <v>19969</v>
      </c>
      <c r="F1918" t="s">
        <v>31362</v>
      </c>
      <c r="G1918" t="s">
        <v>31370</v>
      </c>
      <c r="H1918" t="s">
        <v>15799</v>
      </c>
      <c r="I1918" t="s">
        <v>31380</v>
      </c>
      <c r="J1918" t="s">
        <v>31575</v>
      </c>
      <c r="K1918" t="s">
        <v>40697</v>
      </c>
      <c r="M1918" t="s">
        <v>41752</v>
      </c>
      <c r="N1918" t="s">
        <v>44905</v>
      </c>
      <c r="O1918" t="s">
        <v>44906</v>
      </c>
      <c r="P1918">
        <v>0</v>
      </c>
      <c r="Q1918">
        <v>1</v>
      </c>
      <c r="R1918" t="s">
        <v>44907</v>
      </c>
      <c r="S1918" t="s">
        <v>45026</v>
      </c>
      <c r="T1918" t="s">
        <v>46438</v>
      </c>
      <c r="U1918" t="s">
        <v>48525</v>
      </c>
      <c r="V1918" t="s">
        <v>59243</v>
      </c>
      <c r="W1918" t="s">
        <v>41752</v>
      </c>
      <c r="X1918" t="s">
        <v>44908</v>
      </c>
    </row>
    <row r="1919" spans="1:24">
      <c r="A1919">
        <f>HYPERLINK("https://www.philgeps.gov.ph/GEPSNONPILOT/Tender/SplashBidNoticeAbstractUI.aspx?menuIndex=3&amp;refID=7084093&amp;Result=3","7084093")</f>
        <v>0</v>
      </c>
      <c r="B1919" t="s">
        <v>594</v>
      </c>
      <c r="C1919" t="s">
        <v>5371</v>
      </c>
      <c r="D1919" t="s">
        <v>18164</v>
      </c>
      <c r="E1919" t="s">
        <v>19970</v>
      </c>
      <c r="F1919" t="s">
        <v>31362</v>
      </c>
      <c r="G1919" t="s">
        <v>31368</v>
      </c>
      <c r="H1919" t="s">
        <v>15799</v>
      </c>
      <c r="I1919" t="s">
        <v>31384</v>
      </c>
      <c r="J1919" t="s">
        <v>32869</v>
      </c>
      <c r="K1919" t="s">
        <v>40666</v>
      </c>
      <c r="M1919" t="s">
        <v>41551</v>
      </c>
      <c r="N1919" t="s">
        <v>44905</v>
      </c>
      <c r="O1919" t="s">
        <v>44906</v>
      </c>
      <c r="P1919">
        <v>0</v>
      </c>
      <c r="Q1919">
        <v>2</v>
      </c>
      <c r="R1919" t="s">
        <v>44907</v>
      </c>
      <c r="S1919" t="s">
        <v>45026</v>
      </c>
      <c r="T1919" t="s">
        <v>46435</v>
      </c>
      <c r="U1919" t="s">
        <v>48526</v>
      </c>
      <c r="W1919" t="s">
        <v>41551</v>
      </c>
      <c r="X1919" t="s">
        <v>44908</v>
      </c>
    </row>
    <row r="1920" spans="1:24">
      <c r="A1920">
        <f>HYPERLINK("https://www.philgeps.gov.ph/GEPSNONPILOT/Tender/SplashBidNoticeAbstractUI.aspx?menuIndex=3&amp;refID=7084081&amp;Result=3","7084081")</f>
        <v>0</v>
      </c>
      <c r="B1920" t="s">
        <v>179</v>
      </c>
      <c r="C1920" t="s">
        <v>5372</v>
      </c>
      <c r="E1920" t="s">
        <v>19971</v>
      </c>
      <c r="F1920" t="s">
        <v>31362</v>
      </c>
      <c r="G1920" t="s">
        <v>31372</v>
      </c>
      <c r="H1920" t="s">
        <v>15799</v>
      </c>
      <c r="I1920" t="s">
        <v>31409</v>
      </c>
      <c r="J1920" t="s">
        <v>31634</v>
      </c>
      <c r="K1920" t="s">
        <v>40675</v>
      </c>
      <c r="M1920" t="s">
        <v>41117</v>
      </c>
      <c r="N1920" t="s">
        <v>44905</v>
      </c>
      <c r="O1920" t="s">
        <v>44906</v>
      </c>
      <c r="P1920">
        <v>0</v>
      </c>
      <c r="Q1920">
        <v>2</v>
      </c>
      <c r="R1920" t="s">
        <v>44907</v>
      </c>
      <c r="S1920" t="s">
        <v>45026</v>
      </c>
      <c r="T1920" t="s">
        <v>46591</v>
      </c>
      <c r="U1920" t="s">
        <v>48527</v>
      </c>
      <c r="V1920" t="s">
        <v>59249</v>
      </c>
      <c r="W1920" t="s">
        <v>41209</v>
      </c>
      <c r="X1920" t="s">
        <v>44908</v>
      </c>
    </row>
    <row r="1921" spans="1:24">
      <c r="A1921">
        <f>HYPERLINK("https://www.philgeps.gov.ph/GEPSNONPILOT/Tender/SplashBidNoticeAbstractUI.aspx?menuIndex=3&amp;refID=7084091&amp;Result=3","7084091")</f>
        <v>0</v>
      </c>
      <c r="B1921" t="s">
        <v>793</v>
      </c>
      <c r="C1921" t="s">
        <v>5373</v>
      </c>
      <c r="D1921" t="s">
        <v>18108</v>
      </c>
      <c r="E1921" t="s">
        <v>19972</v>
      </c>
      <c r="F1921" t="s">
        <v>31362</v>
      </c>
      <c r="G1921" t="s">
        <v>31368</v>
      </c>
      <c r="H1921" t="s">
        <v>15799</v>
      </c>
      <c r="I1921" t="s">
        <v>6155</v>
      </c>
      <c r="J1921" t="s">
        <v>32870</v>
      </c>
      <c r="K1921" t="s">
        <v>40697</v>
      </c>
      <c r="L1921" t="s">
        <v>793</v>
      </c>
      <c r="M1921" t="s">
        <v>41763</v>
      </c>
      <c r="N1921" t="s">
        <v>44905</v>
      </c>
      <c r="O1921" t="s">
        <v>44906</v>
      </c>
      <c r="P1921">
        <v>0</v>
      </c>
      <c r="Q1921">
        <v>3</v>
      </c>
      <c r="R1921" t="s">
        <v>44907</v>
      </c>
      <c r="S1921" t="s">
        <v>45026</v>
      </c>
      <c r="T1921" t="s">
        <v>46416</v>
      </c>
      <c r="U1921" t="s">
        <v>48528</v>
      </c>
      <c r="V1921" t="s">
        <v>59250</v>
      </c>
      <c r="W1921" t="s">
        <v>41763</v>
      </c>
      <c r="X1921" t="s">
        <v>44908</v>
      </c>
    </row>
    <row r="1922" spans="1:24">
      <c r="A1922">
        <f>HYPERLINK("https://www.philgeps.gov.ph/GEPSNONPILOT/Tender/SplashBidNoticeAbstractUI.aspx?menuIndex=3&amp;refID=7084080&amp;Result=3","7084080")</f>
        <v>0</v>
      </c>
      <c r="B1922" t="s">
        <v>43</v>
      </c>
      <c r="C1922" t="s">
        <v>5374</v>
      </c>
      <c r="D1922" t="s">
        <v>18111</v>
      </c>
      <c r="E1922" t="s">
        <v>18561</v>
      </c>
      <c r="F1922" t="s">
        <v>31362</v>
      </c>
      <c r="G1922" t="s">
        <v>31369</v>
      </c>
      <c r="H1922" t="s">
        <v>15799</v>
      </c>
      <c r="I1922" t="s">
        <v>3815</v>
      </c>
      <c r="J1922" t="s">
        <v>32871</v>
      </c>
      <c r="K1922" t="s">
        <v>40661</v>
      </c>
      <c r="M1922" t="s">
        <v>40977</v>
      </c>
      <c r="N1922" t="s">
        <v>44905</v>
      </c>
      <c r="O1922" t="s">
        <v>44906</v>
      </c>
      <c r="P1922">
        <v>0</v>
      </c>
      <c r="Q1922">
        <v>0</v>
      </c>
      <c r="R1922" t="s">
        <v>44907</v>
      </c>
      <c r="S1922" t="s">
        <v>45026</v>
      </c>
      <c r="T1922" t="s">
        <v>46407</v>
      </c>
      <c r="U1922" t="s">
        <v>48529</v>
      </c>
      <c r="W1922" t="s">
        <v>40977</v>
      </c>
      <c r="X1922" t="s">
        <v>44908</v>
      </c>
    </row>
    <row r="1923" spans="1:24">
      <c r="A1923">
        <f>HYPERLINK("https://www.philgeps.gov.ph/GEPSNONPILOT/Tender/SplashBidNoticeAbstractUI.aspx?menuIndex=3&amp;refID=7084079&amp;Result=3","7084079")</f>
        <v>0</v>
      </c>
      <c r="B1923" t="s">
        <v>794</v>
      </c>
      <c r="C1923" t="s">
        <v>5375</v>
      </c>
      <c r="D1923" t="s">
        <v>18106</v>
      </c>
      <c r="E1923" t="s">
        <v>19973</v>
      </c>
      <c r="F1923" t="s">
        <v>31362</v>
      </c>
      <c r="G1923" t="s">
        <v>31369</v>
      </c>
      <c r="H1923" t="s">
        <v>15799</v>
      </c>
      <c r="I1923" t="s">
        <v>7188</v>
      </c>
      <c r="J1923" t="s">
        <v>32872</v>
      </c>
      <c r="K1923" t="s">
        <v>40661</v>
      </c>
      <c r="M1923" t="s">
        <v>41764</v>
      </c>
      <c r="N1923" t="s">
        <v>44905</v>
      </c>
      <c r="O1923" t="s">
        <v>44906</v>
      </c>
      <c r="P1923">
        <v>0</v>
      </c>
      <c r="Q1923">
        <v>2</v>
      </c>
      <c r="R1923" t="s">
        <v>44907</v>
      </c>
      <c r="S1923" t="s">
        <v>45026</v>
      </c>
      <c r="T1923" t="s">
        <v>46481</v>
      </c>
      <c r="U1923" t="s">
        <v>48530</v>
      </c>
      <c r="W1923" t="s">
        <v>41764</v>
      </c>
      <c r="X1923" t="s">
        <v>44908</v>
      </c>
    </row>
    <row r="1924" spans="1:24">
      <c r="A1924">
        <f>HYPERLINK("https://www.philgeps.gov.ph/GEPSNONPILOT/Tender/SplashBidNoticeAbstractUI.aspx?menuIndex=3&amp;refID=7084075&amp;Result=3","7084075")</f>
        <v>0</v>
      </c>
      <c r="B1924" t="s">
        <v>795</v>
      </c>
      <c r="C1924" t="s">
        <v>5376</v>
      </c>
      <c r="D1924" t="s">
        <v>18138</v>
      </c>
      <c r="E1924" t="s">
        <v>19974</v>
      </c>
      <c r="F1924" t="s">
        <v>31362</v>
      </c>
      <c r="G1924" t="s">
        <v>31369</v>
      </c>
      <c r="H1924" t="s">
        <v>15799</v>
      </c>
      <c r="I1924" t="s">
        <v>31397</v>
      </c>
      <c r="J1924" t="s">
        <v>32873</v>
      </c>
      <c r="K1924" t="s">
        <v>40666</v>
      </c>
      <c r="M1924" t="s">
        <v>41765</v>
      </c>
      <c r="N1924" t="s">
        <v>44905</v>
      </c>
      <c r="O1924" t="s">
        <v>44906</v>
      </c>
      <c r="P1924">
        <v>0</v>
      </c>
      <c r="Q1924">
        <v>3</v>
      </c>
      <c r="R1924" t="s">
        <v>44907</v>
      </c>
      <c r="S1924" t="s">
        <v>45026</v>
      </c>
      <c r="T1924" t="s">
        <v>46513</v>
      </c>
      <c r="U1924" t="s">
        <v>48531</v>
      </c>
      <c r="W1924" t="s">
        <v>41765</v>
      </c>
      <c r="X1924" t="s">
        <v>44908</v>
      </c>
    </row>
    <row r="1925" spans="1:24">
      <c r="A1925">
        <f>HYPERLINK("https://www.philgeps.gov.ph/GEPSNONPILOT/Tender/SplashBidNoticeAbstractUI.aspx?menuIndex=3&amp;refID=7084073&amp;Result=3","7084073")</f>
        <v>0</v>
      </c>
      <c r="B1925" t="s">
        <v>692</v>
      </c>
      <c r="C1925" t="s">
        <v>5377</v>
      </c>
      <c r="D1925" t="s">
        <v>18158</v>
      </c>
      <c r="E1925" t="s">
        <v>19975</v>
      </c>
      <c r="F1925" t="s">
        <v>31362</v>
      </c>
      <c r="G1925" t="s">
        <v>31368</v>
      </c>
      <c r="H1925" t="s">
        <v>15799</v>
      </c>
      <c r="I1925" t="s">
        <v>31380</v>
      </c>
      <c r="J1925" t="s">
        <v>31579</v>
      </c>
      <c r="K1925" t="s">
        <v>40670</v>
      </c>
      <c r="M1925" t="s">
        <v>41655</v>
      </c>
      <c r="N1925" t="s">
        <v>44905</v>
      </c>
      <c r="O1925" t="s">
        <v>44906</v>
      </c>
      <c r="P1925">
        <v>0</v>
      </c>
      <c r="Q1925">
        <v>1</v>
      </c>
      <c r="R1925" t="s">
        <v>44907</v>
      </c>
      <c r="S1925" t="s">
        <v>45026</v>
      </c>
      <c r="T1925" t="s">
        <v>46414</v>
      </c>
      <c r="U1925" t="s">
        <v>48532</v>
      </c>
      <c r="W1925" t="s">
        <v>41655</v>
      </c>
      <c r="X1925" t="s">
        <v>44908</v>
      </c>
    </row>
    <row r="1926" spans="1:24">
      <c r="A1926">
        <f>HYPERLINK("https://www.philgeps.gov.ph/GEPSNONPILOT/Tender/SplashBidNoticeAbstractUI.aspx?menuIndex=3&amp;refID=7084085&amp;Result=3","7084085")</f>
        <v>0</v>
      </c>
      <c r="B1926" t="s">
        <v>796</v>
      </c>
      <c r="C1926" t="s">
        <v>5378</v>
      </c>
      <c r="D1926" t="s">
        <v>18109</v>
      </c>
      <c r="E1926" t="s">
        <v>19976</v>
      </c>
      <c r="F1926" t="s">
        <v>31362</v>
      </c>
      <c r="G1926" t="s">
        <v>31371</v>
      </c>
      <c r="H1926" t="s">
        <v>15799</v>
      </c>
      <c r="I1926" t="s">
        <v>31406</v>
      </c>
      <c r="J1926" t="s">
        <v>32026</v>
      </c>
      <c r="K1926" t="s">
        <v>40670</v>
      </c>
      <c r="M1926" t="s">
        <v>41766</v>
      </c>
      <c r="N1926" t="s">
        <v>44905</v>
      </c>
      <c r="O1926" t="s">
        <v>44906</v>
      </c>
      <c r="P1926">
        <v>0</v>
      </c>
      <c r="Q1926">
        <v>5</v>
      </c>
      <c r="R1926" t="s">
        <v>44907</v>
      </c>
      <c r="S1926" t="s">
        <v>45026</v>
      </c>
      <c r="T1926" t="s">
        <v>46404</v>
      </c>
      <c r="U1926" t="s">
        <v>48533</v>
      </c>
      <c r="W1926" t="s">
        <v>41766</v>
      </c>
      <c r="X1926" t="s">
        <v>44908</v>
      </c>
    </row>
    <row r="1927" spans="1:24">
      <c r="A1927">
        <f>HYPERLINK("https://www.philgeps.gov.ph/GEPSNONPILOT/Tender/SplashBidNoticeAbstractUI.aspx?menuIndex=3&amp;refID=7083612&amp;Result=3","7083612")</f>
        <v>0</v>
      </c>
      <c r="B1927" t="s">
        <v>493</v>
      </c>
      <c r="C1927" t="s">
        <v>5379</v>
      </c>
      <c r="D1927" t="s">
        <v>18152</v>
      </c>
      <c r="E1927" t="s">
        <v>19977</v>
      </c>
      <c r="F1927" t="s">
        <v>31362</v>
      </c>
      <c r="G1927" t="s">
        <v>31369</v>
      </c>
      <c r="H1927" t="s">
        <v>15799</v>
      </c>
      <c r="I1927" t="s">
        <v>3815</v>
      </c>
      <c r="J1927" t="s">
        <v>31597</v>
      </c>
      <c r="K1927" t="s">
        <v>40670</v>
      </c>
      <c r="M1927" t="s">
        <v>41448</v>
      </c>
      <c r="N1927" t="s">
        <v>44905</v>
      </c>
      <c r="O1927" t="s">
        <v>44906</v>
      </c>
      <c r="P1927">
        <v>0</v>
      </c>
      <c r="Q1927">
        <v>0</v>
      </c>
      <c r="R1927" t="s">
        <v>44907</v>
      </c>
      <c r="S1927" t="s">
        <v>45026</v>
      </c>
      <c r="T1927" t="s">
        <v>46523</v>
      </c>
      <c r="U1927" t="s">
        <v>47869</v>
      </c>
      <c r="W1927" t="s">
        <v>41448</v>
      </c>
      <c r="X1927" t="s">
        <v>44908</v>
      </c>
    </row>
    <row r="1928" spans="1:24">
      <c r="A1928">
        <f>HYPERLINK("https://www.philgeps.gov.ph/GEPSNONPILOT/Tender/SplashBidNoticeAbstractUI.aspx?menuIndex=3&amp;refID=7084118&amp;Result=3","7084118")</f>
        <v>0</v>
      </c>
      <c r="B1928" t="s">
        <v>74</v>
      </c>
      <c r="C1928" t="s">
        <v>5380</v>
      </c>
      <c r="D1928" t="s">
        <v>18108</v>
      </c>
      <c r="E1928" t="s">
        <v>19978</v>
      </c>
      <c r="F1928" t="s">
        <v>31362</v>
      </c>
      <c r="G1928" t="s">
        <v>31371</v>
      </c>
      <c r="H1928" t="s">
        <v>15799</v>
      </c>
      <c r="I1928" t="s">
        <v>3815</v>
      </c>
      <c r="J1928" t="s">
        <v>32874</v>
      </c>
      <c r="K1928" t="s">
        <v>40666</v>
      </c>
      <c r="M1928" t="s">
        <v>41010</v>
      </c>
      <c r="N1928" t="s">
        <v>44905</v>
      </c>
      <c r="O1928" t="s">
        <v>44906</v>
      </c>
      <c r="P1928">
        <v>0</v>
      </c>
      <c r="Q1928">
        <v>0</v>
      </c>
      <c r="R1928" t="s">
        <v>44907</v>
      </c>
      <c r="S1928" t="s">
        <v>45026</v>
      </c>
      <c r="T1928" t="s">
        <v>46417</v>
      </c>
      <c r="U1928" t="s">
        <v>48534</v>
      </c>
      <c r="W1928" t="s">
        <v>41010</v>
      </c>
      <c r="X1928" t="s">
        <v>44908</v>
      </c>
    </row>
    <row r="1929" spans="1:24">
      <c r="A1929">
        <f>HYPERLINK("https://www.philgeps.gov.ph/GEPSNONPILOT/Tender/SplashBidNoticeAbstractUI.aspx?menuIndex=3&amp;refID=7084083&amp;Result=3","7084083")</f>
        <v>0</v>
      </c>
      <c r="B1929" t="s">
        <v>732</v>
      </c>
      <c r="C1929" t="s">
        <v>5381</v>
      </c>
      <c r="D1929" t="s">
        <v>18125</v>
      </c>
      <c r="E1929" t="s">
        <v>19979</v>
      </c>
      <c r="F1929" t="s">
        <v>31362</v>
      </c>
      <c r="G1929" t="s">
        <v>31372</v>
      </c>
      <c r="H1929" t="s">
        <v>15799</v>
      </c>
      <c r="I1929" t="s">
        <v>4283</v>
      </c>
      <c r="J1929" t="s">
        <v>32875</v>
      </c>
      <c r="K1929" t="s">
        <v>40665</v>
      </c>
      <c r="M1929" t="s">
        <v>41699</v>
      </c>
      <c r="N1929" t="s">
        <v>44905</v>
      </c>
      <c r="O1929" t="s">
        <v>44906</v>
      </c>
      <c r="P1929">
        <v>0</v>
      </c>
      <c r="Q1929">
        <v>1</v>
      </c>
      <c r="R1929" t="s">
        <v>44907</v>
      </c>
      <c r="S1929" t="s">
        <v>45026</v>
      </c>
      <c r="T1929" t="s">
        <v>46582</v>
      </c>
      <c r="U1929" t="s">
        <v>48535</v>
      </c>
      <c r="W1929" t="s">
        <v>41699</v>
      </c>
      <c r="X1929" t="s">
        <v>44908</v>
      </c>
    </row>
    <row r="1930" spans="1:24">
      <c r="A1930">
        <f>HYPERLINK("https://www.philgeps.gov.ph/GEPSNONPILOT/Tender/SplashBidNoticeAbstractUI.aspx?menuIndex=3&amp;refID=7084113&amp;Result=3","7084113")</f>
        <v>0</v>
      </c>
      <c r="B1930" t="s">
        <v>134</v>
      </c>
      <c r="C1930" t="s">
        <v>5382</v>
      </c>
      <c r="D1930" t="s">
        <v>18108</v>
      </c>
      <c r="E1930" t="s">
        <v>19980</v>
      </c>
      <c r="F1930" t="s">
        <v>31362</v>
      </c>
      <c r="G1930" t="s">
        <v>31369</v>
      </c>
      <c r="H1930" t="s">
        <v>15799</v>
      </c>
      <c r="I1930" t="s">
        <v>4942</v>
      </c>
      <c r="J1930" t="s">
        <v>32876</v>
      </c>
      <c r="K1930" t="s">
        <v>40662</v>
      </c>
      <c r="L1930" t="s">
        <v>134</v>
      </c>
      <c r="M1930" t="s">
        <v>41370</v>
      </c>
      <c r="N1930" t="s">
        <v>44905</v>
      </c>
      <c r="O1930" t="s">
        <v>44906</v>
      </c>
      <c r="Q1930">
        <v>0</v>
      </c>
      <c r="R1930" t="s">
        <v>44907</v>
      </c>
      <c r="S1930" t="s">
        <v>45039</v>
      </c>
      <c r="T1930" t="s">
        <v>46431</v>
      </c>
      <c r="U1930" t="s">
        <v>47674</v>
      </c>
      <c r="W1930" t="s">
        <v>41370</v>
      </c>
      <c r="X1930" t="s">
        <v>44908</v>
      </c>
    </row>
    <row r="1931" spans="1:24">
      <c r="A1931">
        <f>HYPERLINK("https://www.philgeps.gov.ph/GEPSNONPILOT/Tender/SplashBidNoticeAbstractUI.aspx?menuIndex=3&amp;refID=7084111&amp;Result=3","7084111")</f>
        <v>0</v>
      </c>
      <c r="B1931" t="s">
        <v>797</v>
      </c>
      <c r="C1931" t="s">
        <v>5383</v>
      </c>
      <c r="D1931" t="s">
        <v>18152</v>
      </c>
      <c r="E1931" t="s">
        <v>19981</v>
      </c>
      <c r="F1931" t="s">
        <v>31362</v>
      </c>
      <c r="G1931" t="s">
        <v>31369</v>
      </c>
      <c r="H1931" t="s">
        <v>31378</v>
      </c>
      <c r="I1931" t="s">
        <v>31386</v>
      </c>
      <c r="J1931" t="s">
        <v>32877</v>
      </c>
      <c r="K1931" t="s">
        <v>40738</v>
      </c>
      <c r="M1931" t="s">
        <v>41767</v>
      </c>
      <c r="N1931" t="s">
        <v>44905</v>
      </c>
      <c r="O1931" t="s">
        <v>44906</v>
      </c>
      <c r="P1931">
        <v>0</v>
      </c>
      <c r="Q1931">
        <v>0</v>
      </c>
      <c r="R1931" t="s">
        <v>44907</v>
      </c>
      <c r="S1931" t="s">
        <v>45026</v>
      </c>
      <c r="T1931" t="s">
        <v>46433</v>
      </c>
      <c r="U1931" t="s">
        <v>48536</v>
      </c>
      <c r="V1931" t="s">
        <v>59251</v>
      </c>
      <c r="W1931" t="s">
        <v>41767</v>
      </c>
      <c r="X1931" t="s">
        <v>44908</v>
      </c>
    </row>
    <row r="1932" spans="1:24">
      <c r="A1932">
        <f>HYPERLINK("https://www.philgeps.gov.ph/GEPSNONPILOT/Tender/SplashBidNoticeAbstractUI.aspx?menuIndex=3&amp;refID=7084076&amp;Result=3","7084076")</f>
        <v>0</v>
      </c>
      <c r="B1932" t="s">
        <v>750</v>
      </c>
      <c r="C1932" t="s">
        <v>5384</v>
      </c>
      <c r="E1932" t="s">
        <v>19982</v>
      </c>
      <c r="F1932" t="s">
        <v>31362</v>
      </c>
      <c r="G1932" t="s">
        <v>31369</v>
      </c>
      <c r="H1932" t="s">
        <v>31378</v>
      </c>
      <c r="I1932" t="s">
        <v>31386</v>
      </c>
      <c r="J1932" t="s">
        <v>32783</v>
      </c>
      <c r="K1932" t="s">
        <v>40662</v>
      </c>
      <c r="M1932" t="s">
        <v>41717</v>
      </c>
      <c r="N1932" t="s">
        <v>44905</v>
      </c>
      <c r="O1932" t="s">
        <v>44906</v>
      </c>
      <c r="P1932">
        <v>0</v>
      </c>
      <c r="Q1932">
        <v>0</v>
      </c>
      <c r="R1932" t="s">
        <v>44907</v>
      </c>
      <c r="S1932" t="s">
        <v>45026</v>
      </c>
      <c r="T1932" t="s">
        <v>46429</v>
      </c>
      <c r="U1932" t="s">
        <v>48537</v>
      </c>
      <c r="W1932" t="s">
        <v>44867</v>
      </c>
      <c r="X1932" t="s">
        <v>44908</v>
      </c>
    </row>
    <row r="1933" spans="1:24">
      <c r="A1933">
        <f>HYPERLINK("https://www.philgeps.gov.ph/GEPSNONPILOT/Tender/SplashBidNoticeAbstractUI.aspx?menuIndex=3&amp;refID=7084109&amp;Result=3","7084109")</f>
        <v>0</v>
      </c>
      <c r="B1933" t="s">
        <v>694</v>
      </c>
      <c r="C1933" t="s">
        <v>5385</v>
      </c>
      <c r="D1933" t="s">
        <v>18108</v>
      </c>
      <c r="E1933" t="s">
        <v>19983</v>
      </c>
      <c r="F1933" t="s">
        <v>31362</v>
      </c>
      <c r="G1933" t="s">
        <v>31368</v>
      </c>
      <c r="H1933" t="s">
        <v>15799</v>
      </c>
      <c r="I1933" t="s">
        <v>4942</v>
      </c>
      <c r="J1933" t="s">
        <v>31578</v>
      </c>
      <c r="K1933" t="s">
        <v>40666</v>
      </c>
      <c r="M1933" t="s">
        <v>41657</v>
      </c>
      <c r="N1933" t="s">
        <v>44905</v>
      </c>
      <c r="O1933" t="s">
        <v>44906</v>
      </c>
      <c r="P1933">
        <v>0</v>
      </c>
      <c r="Q1933">
        <v>0</v>
      </c>
      <c r="R1933" t="s">
        <v>44907</v>
      </c>
      <c r="S1933" t="s">
        <v>45026</v>
      </c>
      <c r="T1933" t="s">
        <v>46426</v>
      </c>
      <c r="U1933" t="s">
        <v>48279</v>
      </c>
      <c r="W1933" t="s">
        <v>41657</v>
      </c>
      <c r="X1933" t="s">
        <v>44908</v>
      </c>
    </row>
    <row r="1934" spans="1:24">
      <c r="A1934">
        <f>HYPERLINK("https://www.philgeps.gov.ph/GEPSNONPILOT/Tender/SplashBidNoticeAbstractUI.aspx?menuIndex=3&amp;refID=7084114&amp;Result=3","7084114")</f>
        <v>0</v>
      </c>
      <c r="B1934" t="s">
        <v>237</v>
      </c>
      <c r="C1934" t="s">
        <v>5386</v>
      </c>
      <c r="D1934" t="s">
        <v>18108</v>
      </c>
      <c r="E1934" t="s">
        <v>19984</v>
      </c>
      <c r="F1934" t="s">
        <v>31362</v>
      </c>
      <c r="G1934" t="s">
        <v>31370</v>
      </c>
      <c r="H1934" t="s">
        <v>15799</v>
      </c>
      <c r="I1934" t="s">
        <v>31380</v>
      </c>
      <c r="J1934" t="s">
        <v>32878</v>
      </c>
      <c r="K1934" t="s">
        <v>40670</v>
      </c>
      <c r="M1934" t="s">
        <v>41330</v>
      </c>
      <c r="N1934" t="s">
        <v>44905</v>
      </c>
      <c r="O1934" t="s">
        <v>44906</v>
      </c>
      <c r="P1934">
        <v>0</v>
      </c>
      <c r="Q1934">
        <v>3</v>
      </c>
      <c r="R1934" t="s">
        <v>44907</v>
      </c>
      <c r="S1934" t="s">
        <v>45026</v>
      </c>
      <c r="T1934" t="s">
        <v>46454</v>
      </c>
      <c r="U1934" t="s">
        <v>48538</v>
      </c>
      <c r="W1934" t="s">
        <v>41330</v>
      </c>
      <c r="X1934" t="s">
        <v>44908</v>
      </c>
    </row>
    <row r="1935" spans="1:24">
      <c r="A1935">
        <f>HYPERLINK("https://www.philgeps.gov.ph/GEPSNONPILOT/Tender/SplashBidNoticeAbstractUI.aspx?menuIndex=3&amp;refID=7084104&amp;Result=3","7084104")</f>
        <v>0</v>
      </c>
      <c r="B1935" t="s">
        <v>628</v>
      </c>
      <c r="C1935" t="s">
        <v>5387</v>
      </c>
      <c r="D1935" t="s">
        <v>18116</v>
      </c>
      <c r="E1935" t="s">
        <v>19985</v>
      </c>
      <c r="F1935" t="s">
        <v>31362</v>
      </c>
      <c r="G1935" t="s">
        <v>31369</v>
      </c>
      <c r="H1935" t="s">
        <v>15799</v>
      </c>
      <c r="I1935" t="s">
        <v>31380</v>
      </c>
      <c r="J1935" t="s">
        <v>32879</v>
      </c>
      <c r="K1935" t="s">
        <v>40662</v>
      </c>
      <c r="M1935" t="s">
        <v>41588</v>
      </c>
      <c r="N1935" t="s">
        <v>44905</v>
      </c>
      <c r="O1935" t="s">
        <v>44906</v>
      </c>
      <c r="P1935">
        <v>0</v>
      </c>
      <c r="Q1935">
        <v>1</v>
      </c>
      <c r="R1935" t="s">
        <v>44907</v>
      </c>
      <c r="S1935" t="s">
        <v>45026</v>
      </c>
      <c r="T1935" t="s">
        <v>46449</v>
      </c>
      <c r="U1935" t="s">
        <v>48539</v>
      </c>
      <c r="W1935" t="s">
        <v>41588</v>
      </c>
      <c r="X1935" t="s">
        <v>44908</v>
      </c>
    </row>
    <row r="1936" spans="1:24">
      <c r="A1936">
        <f>HYPERLINK("https://www.philgeps.gov.ph/GEPSNONPILOT/Tender/SplashBidNoticeAbstractUI.aspx?menuIndex=3&amp;refID=7084112&amp;Result=3","7084112")</f>
        <v>0</v>
      </c>
      <c r="B1936" t="s">
        <v>217</v>
      </c>
      <c r="C1936" t="s">
        <v>5388</v>
      </c>
      <c r="D1936" t="s">
        <v>18108</v>
      </c>
      <c r="E1936" t="s">
        <v>19986</v>
      </c>
      <c r="F1936" t="s">
        <v>31362</v>
      </c>
      <c r="G1936" t="s">
        <v>31370</v>
      </c>
      <c r="H1936" t="s">
        <v>15799</v>
      </c>
      <c r="I1936" t="s">
        <v>31380</v>
      </c>
      <c r="J1936" t="s">
        <v>31723</v>
      </c>
      <c r="K1936" t="s">
        <v>40697</v>
      </c>
      <c r="M1936" t="s">
        <v>41752</v>
      </c>
      <c r="N1936" t="s">
        <v>44905</v>
      </c>
      <c r="O1936" t="s">
        <v>44906</v>
      </c>
      <c r="P1936">
        <v>0</v>
      </c>
      <c r="Q1936">
        <v>1</v>
      </c>
      <c r="R1936" t="s">
        <v>44907</v>
      </c>
      <c r="S1936" t="s">
        <v>45026</v>
      </c>
      <c r="T1936" t="s">
        <v>46438</v>
      </c>
      <c r="U1936" t="s">
        <v>48540</v>
      </c>
      <c r="V1936" t="s">
        <v>59243</v>
      </c>
      <c r="W1936" t="s">
        <v>41752</v>
      </c>
      <c r="X1936" t="s">
        <v>44908</v>
      </c>
    </row>
    <row r="1937" spans="1:24">
      <c r="A1937">
        <f>HYPERLINK("https://www.philgeps.gov.ph/GEPSNONPILOT/Tender/SplashBidNoticeAbstractUI.aspx?menuIndex=3&amp;refID=7084102&amp;Result=3","7084102")</f>
        <v>0</v>
      </c>
      <c r="B1937" t="s">
        <v>798</v>
      </c>
      <c r="C1937" t="s">
        <v>5389</v>
      </c>
      <c r="D1937" t="s">
        <v>18164</v>
      </c>
      <c r="E1937" t="s">
        <v>19987</v>
      </c>
      <c r="F1937" t="s">
        <v>31362</v>
      </c>
      <c r="G1937" t="s">
        <v>31368</v>
      </c>
      <c r="H1937" t="s">
        <v>15799</v>
      </c>
      <c r="I1937" t="s">
        <v>31388</v>
      </c>
      <c r="J1937" t="s">
        <v>31536</v>
      </c>
      <c r="K1937" t="s">
        <v>40739</v>
      </c>
      <c r="M1937" t="s">
        <v>41768</v>
      </c>
      <c r="N1937" t="s">
        <v>44905</v>
      </c>
      <c r="O1937" t="s">
        <v>44906</v>
      </c>
      <c r="P1937">
        <v>0</v>
      </c>
      <c r="Q1937">
        <v>0</v>
      </c>
      <c r="R1937" t="s">
        <v>44907</v>
      </c>
      <c r="S1937" t="s">
        <v>45026</v>
      </c>
      <c r="T1937" t="s">
        <v>46417</v>
      </c>
      <c r="U1937" t="s">
        <v>48541</v>
      </c>
      <c r="W1937" t="s">
        <v>41768</v>
      </c>
      <c r="X1937" t="s">
        <v>44908</v>
      </c>
    </row>
    <row r="1938" spans="1:24">
      <c r="A1938">
        <f>HYPERLINK("https://www.philgeps.gov.ph/GEPSNONPILOT/Tender/SplashBidNoticeAbstractUI.aspx?menuIndex=3&amp;refID=7084110&amp;Result=3","7084110")</f>
        <v>0</v>
      </c>
      <c r="B1938" t="s">
        <v>799</v>
      </c>
      <c r="C1938" t="s">
        <v>5390</v>
      </c>
      <c r="D1938" t="s">
        <v>18156</v>
      </c>
      <c r="E1938" t="s">
        <v>19988</v>
      </c>
      <c r="F1938" t="s">
        <v>31362</v>
      </c>
      <c r="G1938" t="s">
        <v>31369</v>
      </c>
      <c r="H1938" t="s">
        <v>31378</v>
      </c>
      <c r="I1938" t="s">
        <v>31386</v>
      </c>
      <c r="J1938" t="s">
        <v>31910</v>
      </c>
      <c r="K1938" t="s">
        <v>40661</v>
      </c>
      <c r="M1938" t="s">
        <v>41769</v>
      </c>
      <c r="N1938" t="s">
        <v>44905</v>
      </c>
      <c r="O1938" t="s">
        <v>44906</v>
      </c>
      <c r="P1938">
        <v>0</v>
      </c>
      <c r="Q1938">
        <v>0</v>
      </c>
      <c r="R1938" t="s">
        <v>44907</v>
      </c>
      <c r="S1938" t="s">
        <v>45026</v>
      </c>
      <c r="T1938" t="s">
        <v>46560</v>
      </c>
      <c r="U1938" t="s">
        <v>48542</v>
      </c>
      <c r="W1938" t="s">
        <v>41769</v>
      </c>
      <c r="X1938" t="s">
        <v>44908</v>
      </c>
    </row>
    <row r="1939" spans="1:24">
      <c r="A1939">
        <f>HYPERLINK("https://www.philgeps.gov.ph/GEPSNONPILOT/Tender/SplashBidNoticeAbstractUI.aspx?menuIndex=3&amp;refID=7084101&amp;Result=3","7084101")</f>
        <v>0</v>
      </c>
      <c r="B1939" t="s">
        <v>43</v>
      </c>
      <c r="C1939" t="s">
        <v>5391</v>
      </c>
      <c r="D1939" t="s">
        <v>18111</v>
      </c>
      <c r="E1939" t="s">
        <v>19989</v>
      </c>
      <c r="F1939" t="s">
        <v>31362</v>
      </c>
      <c r="G1939" t="s">
        <v>31369</v>
      </c>
      <c r="H1939" t="s">
        <v>15799</v>
      </c>
      <c r="I1939" t="s">
        <v>3815</v>
      </c>
      <c r="J1939" t="s">
        <v>32880</v>
      </c>
      <c r="K1939" t="s">
        <v>40661</v>
      </c>
      <c r="M1939" t="s">
        <v>40977</v>
      </c>
      <c r="N1939" t="s">
        <v>44905</v>
      </c>
      <c r="O1939" t="s">
        <v>44906</v>
      </c>
      <c r="P1939">
        <v>0</v>
      </c>
      <c r="Q1939">
        <v>0</v>
      </c>
      <c r="R1939" t="s">
        <v>44907</v>
      </c>
      <c r="S1939" t="s">
        <v>45026</v>
      </c>
      <c r="T1939" t="s">
        <v>46407</v>
      </c>
      <c r="U1939" t="s">
        <v>48543</v>
      </c>
      <c r="W1939" t="s">
        <v>40977</v>
      </c>
      <c r="X1939" t="s">
        <v>44908</v>
      </c>
    </row>
    <row r="1940" spans="1:24">
      <c r="A1940">
        <f>HYPERLINK("https://www.philgeps.gov.ph/GEPSNONPILOT/Tender/SplashBidNoticeAbstractUI.aspx?menuIndex=3&amp;refID=7084100&amp;Result=3","7084100")</f>
        <v>0</v>
      </c>
      <c r="B1940" t="s">
        <v>778</v>
      </c>
      <c r="C1940" t="s">
        <v>5392</v>
      </c>
      <c r="D1940" t="s">
        <v>18172</v>
      </c>
      <c r="E1940" t="s">
        <v>19990</v>
      </c>
      <c r="F1940" t="s">
        <v>31362</v>
      </c>
      <c r="G1940" t="s">
        <v>31368</v>
      </c>
      <c r="H1940" t="s">
        <v>15799</v>
      </c>
      <c r="I1940" t="s">
        <v>31387</v>
      </c>
      <c r="J1940" t="s">
        <v>32881</v>
      </c>
      <c r="K1940" t="s">
        <v>40661</v>
      </c>
      <c r="M1940" t="s">
        <v>41746</v>
      </c>
      <c r="N1940" t="s">
        <v>44905</v>
      </c>
      <c r="O1940" t="s">
        <v>44906</v>
      </c>
      <c r="P1940">
        <v>0</v>
      </c>
      <c r="Q1940">
        <v>0</v>
      </c>
      <c r="R1940" t="s">
        <v>44907</v>
      </c>
      <c r="S1940" t="s">
        <v>45026</v>
      </c>
      <c r="T1940" t="s">
        <v>46410</v>
      </c>
      <c r="U1940" t="s">
        <v>48474</v>
      </c>
      <c r="W1940" t="s">
        <v>41746</v>
      </c>
      <c r="X1940" t="s">
        <v>44908</v>
      </c>
    </row>
    <row r="1941" spans="1:24">
      <c r="A1941">
        <f>HYPERLINK("https://www.philgeps.gov.ph/GEPSNONPILOT/Tender/SplashBidNoticeAbstractUI.aspx?menuIndex=3&amp;refID=7084107&amp;Result=3","7084107")</f>
        <v>0</v>
      </c>
      <c r="B1941" t="s">
        <v>132</v>
      </c>
      <c r="C1941" t="s">
        <v>5393</v>
      </c>
      <c r="D1941" t="s">
        <v>18131</v>
      </c>
      <c r="E1941" t="s">
        <v>19797</v>
      </c>
      <c r="F1941" t="s">
        <v>31362</v>
      </c>
      <c r="G1941" t="s">
        <v>31369</v>
      </c>
      <c r="H1941" t="s">
        <v>31378</v>
      </c>
      <c r="I1941" t="s">
        <v>31386</v>
      </c>
      <c r="J1941" t="s">
        <v>31531</v>
      </c>
      <c r="K1941" t="s">
        <v>40682</v>
      </c>
      <c r="L1941" t="s">
        <v>132</v>
      </c>
      <c r="M1941" t="s">
        <v>41070</v>
      </c>
      <c r="N1941" t="s">
        <v>44905</v>
      </c>
      <c r="O1941" t="s">
        <v>44906</v>
      </c>
      <c r="P1941">
        <v>0</v>
      </c>
      <c r="Q1941">
        <v>0</v>
      </c>
      <c r="R1941" t="s">
        <v>44907</v>
      </c>
      <c r="S1941" t="s">
        <v>45026</v>
      </c>
      <c r="T1941" t="s">
        <v>46461</v>
      </c>
      <c r="U1941" t="s">
        <v>48544</v>
      </c>
      <c r="W1941" t="s">
        <v>41070</v>
      </c>
      <c r="X1941" t="s">
        <v>44908</v>
      </c>
    </row>
    <row r="1942" spans="1:24">
      <c r="A1942">
        <f>HYPERLINK("https://www.philgeps.gov.ph/GEPSNONPILOT/Tender/SplashBidNoticeAbstractUI.aspx?menuIndex=3&amp;refID=7084106&amp;Result=3","7084106")</f>
        <v>0</v>
      </c>
      <c r="B1942" t="s">
        <v>207</v>
      </c>
      <c r="C1942" t="s">
        <v>5394</v>
      </c>
      <c r="D1942" t="s">
        <v>18127</v>
      </c>
      <c r="E1942" t="s">
        <v>19991</v>
      </c>
      <c r="F1942" t="s">
        <v>31362</v>
      </c>
      <c r="G1942" t="s">
        <v>31370</v>
      </c>
      <c r="H1942" t="s">
        <v>15799</v>
      </c>
      <c r="I1942" t="s">
        <v>31380</v>
      </c>
      <c r="J1942" t="s">
        <v>32882</v>
      </c>
      <c r="K1942" t="s">
        <v>40661</v>
      </c>
      <c r="M1942" t="s">
        <v>41146</v>
      </c>
      <c r="N1942" t="s">
        <v>44905</v>
      </c>
      <c r="O1942" t="s">
        <v>44906</v>
      </c>
      <c r="P1942">
        <v>0</v>
      </c>
      <c r="Q1942">
        <v>1</v>
      </c>
      <c r="R1942" t="s">
        <v>44907</v>
      </c>
      <c r="S1942" t="s">
        <v>45026</v>
      </c>
      <c r="T1942" t="s">
        <v>46417</v>
      </c>
      <c r="U1942" t="s">
        <v>48545</v>
      </c>
      <c r="V1942" t="s">
        <v>59100</v>
      </c>
      <c r="W1942" t="s">
        <v>41146</v>
      </c>
      <c r="X1942" t="s">
        <v>44908</v>
      </c>
    </row>
    <row r="1943" spans="1:24">
      <c r="A1943">
        <f>HYPERLINK("https://www.philgeps.gov.ph/GEPSNONPILOT/Tender/SplashBidNoticeAbstractUI.aspx?menuIndex=3&amp;refID=7084144&amp;Result=3","7084144")</f>
        <v>0</v>
      </c>
      <c r="B1943" t="s">
        <v>217</v>
      </c>
      <c r="C1943" t="s">
        <v>5395</v>
      </c>
      <c r="D1943" t="s">
        <v>18108</v>
      </c>
      <c r="E1943" t="s">
        <v>19992</v>
      </c>
      <c r="F1943" t="s">
        <v>31362</v>
      </c>
      <c r="G1943" t="s">
        <v>31370</v>
      </c>
      <c r="H1943" t="s">
        <v>15799</v>
      </c>
      <c r="I1943" t="s">
        <v>31380</v>
      </c>
      <c r="J1943" t="s">
        <v>32883</v>
      </c>
      <c r="K1943" t="s">
        <v>40697</v>
      </c>
      <c r="M1943" t="s">
        <v>41752</v>
      </c>
      <c r="N1943" t="s">
        <v>44905</v>
      </c>
      <c r="O1943" t="s">
        <v>44906</v>
      </c>
      <c r="P1943">
        <v>0</v>
      </c>
      <c r="Q1943">
        <v>1</v>
      </c>
      <c r="R1943" t="s">
        <v>44907</v>
      </c>
      <c r="S1943" t="s">
        <v>45026</v>
      </c>
      <c r="T1943" t="s">
        <v>46438</v>
      </c>
      <c r="U1943" t="s">
        <v>48546</v>
      </c>
      <c r="V1943" t="s">
        <v>59243</v>
      </c>
      <c r="W1943" t="s">
        <v>41752</v>
      </c>
      <c r="X1943" t="s">
        <v>44908</v>
      </c>
    </row>
    <row r="1944" spans="1:24">
      <c r="A1944">
        <f>HYPERLINK("https://www.philgeps.gov.ph/GEPSNONPILOT/Tender/SplashBidNoticeAbstractUI.aspx?menuIndex=3&amp;refID=7084087&amp;Result=3","7084087")</f>
        <v>0</v>
      </c>
      <c r="B1944" t="s">
        <v>74</v>
      </c>
      <c r="C1944" t="s">
        <v>5396</v>
      </c>
      <c r="D1944" t="s">
        <v>18108</v>
      </c>
      <c r="E1944" t="s">
        <v>19993</v>
      </c>
      <c r="F1944" t="s">
        <v>31362</v>
      </c>
      <c r="G1944" t="s">
        <v>31371</v>
      </c>
      <c r="H1944" t="s">
        <v>15799</v>
      </c>
      <c r="I1944" t="s">
        <v>3815</v>
      </c>
      <c r="J1944" t="s">
        <v>32884</v>
      </c>
      <c r="K1944" t="s">
        <v>40666</v>
      </c>
      <c r="M1944" t="s">
        <v>41010</v>
      </c>
      <c r="N1944" t="s">
        <v>44905</v>
      </c>
      <c r="O1944" t="s">
        <v>44906</v>
      </c>
      <c r="P1944">
        <v>0</v>
      </c>
      <c r="Q1944">
        <v>0</v>
      </c>
      <c r="R1944" t="s">
        <v>44907</v>
      </c>
      <c r="S1944" t="s">
        <v>45026</v>
      </c>
      <c r="T1944" t="s">
        <v>46417</v>
      </c>
      <c r="U1944" t="s">
        <v>48547</v>
      </c>
      <c r="W1944" t="s">
        <v>41010</v>
      </c>
      <c r="X1944" t="s">
        <v>44908</v>
      </c>
    </row>
    <row r="1945" spans="1:24">
      <c r="A1945">
        <f>HYPERLINK("https://www.philgeps.gov.ph/GEPSNONPILOT/Tender/SplashBidNoticeAbstractUI.aspx?menuIndex=3&amp;refID=7084142&amp;Result=3","7084142")</f>
        <v>0</v>
      </c>
      <c r="B1945" t="s">
        <v>57</v>
      </c>
      <c r="C1945" t="s">
        <v>3594</v>
      </c>
      <c r="D1945" t="s">
        <v>18120</v>
      </c>
      <c r="E1945" t="s">
        <v>19994</v>
      </c>
      <c r="F1945" t="s">
        <v>31362</v>
      </c>
      <c r="G1945" t="s">
        <v>31369</v>
      </c>
      <c r="H1945" t="s">
        <v>15799</v>
      </c>
      <c r="I1945" t="s">
        <v>3815</v>
      </c>
      <c r="J1945" t="s">
        <v>32885</v>
      </c>
      <c r="K1945" t="s">
        <v>40662</v>
      </c>
      <c r="M1945" t="s">
        <v>40992</v>
      </c>
      <c r="N1945" t="s">
        <v>44905</v>
      </c>
      <c r="O1945" t="s">
        <v>44906</v>
      </c>
      <c r="P1945">
        <v>0</v>
      </c>
      <c r="Q1945">
        <v>0</v>
      </c>
      <c r="R1945" t="s">
        <v>44907</v>
      </c>
      <c r="S1945" t="s">
        <v>45026</v>
      </c>
      <c r="T1945" t="s">
        <v>46395</v>
      </c>
      <c r="U1945" t="s">
        <v>48548</v>
      </c>
      <c r="W1945" t="s">
        <v>40992</v>
      </c>
      <c r="X1945" t="s">
        <v>44908</v>
      </c>
    </row>
    <row r="1946" spans="1:24">
      <c r="A1946">
        <f>HYPERLINK("https://www.philgeps.gov.ph/GEPSNONPILOT/Tender/SplashBidNoticeAbstractUI.aspx?menuIndex=3&amp;refID=7084140&amp;Result=3","7084140")</f>
        <v>0</v>
      </c>
      <c r="B1946" t="s">
        <v>603</v>
      </c>
      <c r="C1946" t="s">
        <v>5397</v>
      </c>
      <c r="D1946" t="s">
        <v>18171</v>
      </c>
      <c r="E1946" t="s">
        <v>19995</v>
      </c>
      <c r="F1946" t="s">
        <v>31362</v>
      </c>
      <c r="G1946" t="s">
        <v>31370</v>
      </c>
      <c r="H1946" t="s">
        <v>15799</v>
      </c>
      <c r="I1946" t="s">
        <v>4942</v>
      </c>
      <c r="J1946" t="s">
        <v>32886</v>
      </c>
      <c r="K1946" t="s">
        <v>40666</v>
      </c>
      <c r="M1946" t="s">
        <v>41658</v>
      </c>
      <c r="N1946" t="s">
        <v>44905</v>
      </c>
      <c r="O1946" t="s">
        <v>44906</v>
      </c>
      <c r="P1946">
        <v>0</v>
      </c>
      <c r="Q1946">
        <v>0</v>
      </c>
      <c r="R1946" t="s">
        <v>44907</v>
      </c>
      <c r="S1946" t="s">
        <v>45026</v>
      </c>
      <c r="T1946" t="s">
        <v>46438</v>
      </c>
      <c r="U1946" t="s">
        <v>48549</v>
      </c>
      <c r="W1946" t="s">
        <v>60865</v>
      </c>
      <c r="X1946" t="s">
        <v>44908</v>
      </c>
    </row>
    <row r="1947" spans="1:24">
      <c r="A1947">
        <f>HYPERLINK("https://www.philgeps.gov.ph/GEPSNONPILOT/Tender/SplashBidNoticeAbstractUI.aspx?menuIndex=3&amp;refID=7084139&amp;Result=3","7084139")</f>
        <v>0</v>
      </c>
      <c r="B1947" t="s">
        <v>237</v>
      </c>
      <c r="C1947" t="s">
        <v>5398</v>
      </c>
      <c r="D1947" t="s">
        <v>18108</v>
      </c>
      <c r="E1947" t="s">
        <v>19996</v>
      </c>
      <c r="F1947" t="s">
        <v>31362</v>
      </c>
      <c r="G1947" t="s">
        <v>31370</v>
      </c>
      <c r="H1947" t="s">
        <v>15799</v>
      </c>
      <c r="I1947" t="s">
        <v>31380</v>
      </c>
      <c r="J1947" t="s">
        <v>31537</v>
      </c>
      <c r="K1947" t="s">
        <v>40670</v>
      </c>
      <c r="M1947" t="s">
        <v>41330</v>
      </c>
      <c r="N1947" t="s">
        <v>44905</v>
      </c>
      <c r="O1947" t="s">
        <v>44906</v>
      </c>
      <c r="P1947">
        <v>0</v>
      </c>
      <c r="Q1947">
        <v>2</v>
      </c>
      <c r="R1947" t="s">
        <v>44907</v>
      </c>
      <c r="S1947" t="s">
        <v>45026</v>
      </c>
      <c r="T1947" t="s">
        <v>46454</v>
      </c>
      <c r="U1947" t="s">
        <v>48550</v>
      </c>
      <c r="W1947" t="s">
        <v>41330</v>
      </c>
      <c r="X1947" t="s">
        <v>44908</v>
      </c>
    </row>
    <row r="1948" spans="1:24">
      <c r="A1948">
        <f>HYPERLINK("https://www.philgeps.gov.ph/GEPSNONPILOT/Tender/SplashBidNoticeAbstractUI.aspx?menuIndex=3&amp;refID=7084138&amp;Result=3","7084138")</f>
        <v>0</v>
      </c>
      <c r="B1948" t="s">
        <v>217</v>
      </c>
      <c r="C1948" t="s">
        <v>5399</v>
      </c>
      <c r="D1948" t="s">
        <v>18108</v>
      </c>
      <c r="E1948" t="s">
        <v>19997</v>
      </c>
      <c r="F1948" t="s">
        <v>31362</v>
      </c>
      <c r="G1948" t="s">
        <v>31370</v>
      </c>
      <c r="H1948" t="s">
        <v>15799</v>
      </c>
      <c r="I1948" t="s">
        <v>31380</v>
      </c>
      <c r="J1948" t="s">
        <v>31545</v>
      </c>
      <c r="K1948" t="s">
        <v>40697</v>
      </c>
      <c r="M1948" t="s">
        <v>41752</v>
      </c>
      <c r="N1948" t="s">
        <v>44905</v>
      </c>
      <c r="O1948" t="s">
        <v>44906</v>
      </c>
      <c r="P1948">
        <v>0</v>
      </c>
      <c r="Q1948">
        <v>1</v>
      </c>
      <c r="R1948" t="s">
        <v>44907</v>
      </c>
      <c r="S1948" t="s">
        <v>45026</v>
      </c>
      <c r="T1948" t="s">
        <v>46438</v>
      </c>
      <c r="U1948" t="s">
        <v>48551</v>
      </c>
      <c r="V1948" t="s">
        <v>59243</v>
      </c>
      <c r="W1948" t="s">
        <v>41752</v>
      </c>
      <c r="X1948" t="s">
        <v>44908</v>
      </c>
    </row>
    <row r="1949" spans="1:24">
      <c r="A1949">
        <f>HYPERLINK("https://www.philgeps.gov.ph/GEPSNONPILOT/Tender/SplashBidNoticeAbstractUI.aspx?menuIndex=3&amp;refID=7084136&amp;Result=3","7084136")</f>
        <v>0</v>
      </c>
      <c r="B1949" t="s">
        <v>134</v>
      </c>
      <c r="C1949" t="s">
        <v>5400</v>
      </c>
      <c r="D1949" t="s">
        <v>18108</v>
      </c>
      <c r="E1949" t="s">
        <v>19998</v>
      </c>
      <c r="F1949" t="s">
        <v>31362</v>
      </c>
      <c r="G1949" t="s">
        <v>31369</v>
      </c>
      <c r="H1949" t="s">
        <v>15799</v>
      </c>
      <c r="I1949" t="s">
        <v>31476</v>
      </c>
      <c r="J1949" t="s">
        <v>32887</v>
      </c>
      <c r="K1949" t="s">
        <v>40662</v>
      </c>
      <c r="L1949" t="s">
        <v>134</v>
      </c>
      <c r="M1949" t="s">
        <v>41370</v>
      </c>
      <c r="N1949" t="s">
        <v>44905</v>
      </c>
      <c r="O1949" t="s">
        <v>44906</v>
      </c>
      <c r="P1949">
        <v>0</v>
      </c>
      <c r="Q1949">
        <v>0</v>
      </c>
      <c r="R1949" t="s">
        <v>44907</v>
      </c>
      <c r="S1949" t="s">
        <v>45026</v>
      </c>
      <c r="T1949" t="s">
        <v>46431</v>
      </c>
      <c r="U1949" t="s">
        <v>47674</v>
      </c>
      <c r="W1949" t="s">
        <v>41370</v>
      </c>
      <c r="X1949" t="s">
        <v>44908</v>
      </c>
    </row>
    <row r="1950" spans="1:24">
      <c r="A1950">
        <f>HYPERLINK("https://www.philgeps.gov.ph/GEPSNONPILOT/Tender/SplashBidNoticeAbstractUI.aspx?menuIndex=3&amp;refID=7084134&amp;Result=3","7084134")</f>
        <v>0</v>
      </c>
      <c r="B1950" t="s">
        <v>800</v>
      </c>
      <c r="C1950" t="s">
        <v>5401</v>
      </c>
      <c r="D1950" t="s">
        <v>18130</v>
      </c>
      <c r="E1950" t="s">
        <v>19999</v>
      </c>
      <c r="F1950" t="s">
        <v>31362</v>
      </c>
      <c r="G1950" t="s">
        <v>31369</v>
      </c>
      <c r="H1950" t="s">
        <v>31378</v>
      </c>
      <c r="I1950" t="s">
        <v>31386</v>
      </c>
      <c r="J1950" t="s">
        <v>32888</v>
      </c>
      <c r="K1950" t="s">
        <v>40740</v>
      </c>
      <c r="M1950" t="s">
        <v>41770</v>
      </c>
      <c r="N1950" t="s">
        <v>44905</v>
      </c>
      <c r="O1950" t="s">
        <v>44906</v>
      </c>
      <c r="P1950">
        <v>0</v>
      </c>
      <c r="Q1950">
        <v>1</v>
      </c>
      <c r="R1950" t="s">
        <v>44907</v>
      </c>
      <c r="S1950" t="s">
        <v>45026</v>
      </c>
      <c r="T1950" t="s">
        <v>46436</v>
      </c>
      <c r="U1950" t="s">
        <v>48552</v>
      </c>
      <c r="W1950" t="s">
        <v>41770</v>
      </c>
      <c r="X1950" t="s">
        <v>44908</v>
      </c>
    </row>
    <row r="1951" spans="1:24">
      <c r="A1951">
        <f>HYPERLINK("https://www.philgeps.gov.ph/GEPSNONPILOT/Tender/SplashBidNoticeAbstractUI.aspx?menuIndex=3&amp;refID=7084137&amp;Result=3","7084137")</f>
        <v>0</v>
      </c>
      <c r="B1951" t="s">
        <v>801</v>
      </c>
      <c r="C1951" t="s">
        <v>5402</v>
      </c>
      <c r="D1951" t="s">
        <v>18108</v>
      </c>
      <c r="E1951" t="s">
        <v>20000</v>
      </c>
      <c r="F1951" t="s">
        <v>31362</v>
      </c>
      <c r="G1951" t="s">
        <v>31373</v>
      </c>
      <c r="H1951" t="s">
        <v>31377</v>
      </c>
      <c r="I1951" t="s">
        <v>31377</v>
      </c>
      <c r="J1951" t="s">
        <v>32889</v>
      </c>
      <c r="K1951" t="s">
        <v>40741</v>
      </c>
      <c r="M1951" t="s">
        <v>41771</v>
      </c>
      <c r="N1951" t="s">
        <v>44905</v>
      </c>
      <c r="O1951" t="s">
        <v>44906</v>
      </c>
      <c r="P1951">
        <v>0</v>
      </c>
      <c r="Q1951">
        <v>0</v>
      </c>
      <c r="R1951" t="s">
        <v>44907</v>
      </c>
      <c r="S1951" t="s">
        <v>45026</v>
      </c>
      <c r="T1951" t="s">
        <v>46592</v>
      </c>
      <c r="U1951" t="s">
        <v>48553</v>
      </c>
      <c r="V1951" t="s">
        <v>59252</v>
      </c>
      <c r="W1951" t="s">
        <v>60869</v>
      </c>
      <c r="X1951" t="s">
        <v>44908</v>
      </c>
    </row>
    <row r="1952" spans="1:24">
      <c r="A1952">
        <f>HYPERLINK("https://www.philgeps.gov.ph/GEPSNONPILOT/Tender/SplashBidNoticeAbstractUI.aspx?menuIndex=3&amp;refID=7084133&amp;Result=3","7084133")</f>
        <v>0</v>
      </c>
      <c r="B1952" t="s">
        <v>802</v>
      </c>
      <c r="C1952" t="s">
        <v>5403</v>
      </c>
      <c r="D1952" t="s">
        <v>18103</v>
      </c>
      <c r="E1952" t="s">
        <v>20001</v>
      </c>
      <c r="F1952" t="s">
        <v>31362</v>
      </c>
      <c r="G1952" t="s">
        <v>31369</v>
      </c>
      <c r="H1952" t="s">
        <v>15799</v>
      </c>
      <c r="I1952" t="s">
        <v>7090</v>
      </c>
      <c r="J1952" t="s">
        <v>32890</v>
      </c>
      <c r="K1952" t="s">
        <v>40675</v>
      </c>
      <c r="M1952" t="s">
        <v>41772</v>
      </c>
      <c r="N1952" t="s">
        <v>44905</v>
      </c>
      <c r="O1952" t="s">
        <v>44906</v>
      </c>
      <c r="P1952">
        <v>0</v>
      </c>
      <c r="Q1952">
        <v>0</v>
      </c>
      <c r="R1952" t="s">
        <v>44907</v>
      </c>
      <c r="S1952" t="s">
        <v>45026</v>
      </c>
      <c r="T1952" t="s">
        <v>46457</v>
      </c>
      <c r="U1952" t="s">
        <v>48554</v>
      </c>
      <c r="V1952" t="s">
        <v>59253</v>
      </c>
      <c r="W1952" t="s">
        <v>41772</v>
      </c>
      <c r="X1952" t="s">
        <v>44908</v>
      </c>
    </row>
    <row r="1953" spans="1:24">
      <c r="A1953">
        <f>HYPERLINK("https://www.philgeps.gov.ph/GEPSNONPILOT/Tender/SplashBidNoticeAbstractUI.aspx?menuIndex=3&amp;refID=7084132&amp;Result=3","7084132")</f>
        <v>0</v>
      </c>
      <c r="B1953" t="s">
        <v>217</v>
      </c>
      <c r="C1953" t="s">
        <v>5404</v>
      </c>
      <c r="D1953" t="s">
        <v>18108</v>
      </c>
      <c r="E1953" t="s">
        <v>20002</v>
      </c>
      <c r="F1953" t="s">
        <v>31362</v>
      </c>
      <c r="G1953" t="s">
        <v>31370</v>
      </c>
      <c r="H1953" t="s">
        <v>15799</v>
      </c>
      <c r="I1953" t="s">
        <v>31380</v>
      </c>
      <c r="J1953" t="s">
        <v>31725</v>
      </c>
      <c r="K1953" t="s">
        <v>40697</v>
      </c>
      <c r="M1953" t="s">
        <v>41752</v>
      </c>
      <c r="N1953" t="s">
        <v>44905</v>
      </c>
      <c r="O1953" t="s">
        <v>44906</v>
      </c>
      <c r="P1953">
        <v>0</v>
      </c>
      <c r="Q1953">
        <v>1</v>
      </c>
      <c r="R1953" t="s">
        <v>44907</v>
      </c>
      <c r="S1953" t="s">
        <v>45026</v>
      </c>
      <c r="T1953" t="s">
        <v>46438</v>
      </c>
      <c r="U1953" t="s">
        <v>48555</v>
      </c>
      <c r="V1953" t="s">
        <v>59243</v>
      </c>
      <c r="W1953" t="s">
        <v>41752</v>
      </c>
      <c r="X1953" t="s">
        <v>44908</v>
      </c>
    </row>
    <row r="1954" spans="1:24">
      <c r="A1954">
        <f>HYPERLINK("https://www.philgeps.gov.ph/GEPSNONPILOT/Tender/SplashBidNoticeAbstractUI.aspx?menuIndex=3&amp;refID=7084128&amp;Result=3","7084128")</f>
        <v>0</v>
      </c>
      <c r="B1954" t="s">
        <v>519</v>
      </c>
      <c r="C1954" t="s">
        <v>5405</v>
      </c>
      <c r="D1954" t="s">
        <v>18104</v>
      </c>
      <c r="E1954" t="s">
        <v>20003</v>
      </c>
      <c r="F1954" t="s">
        <v>31362</v>
      </c>
      <c r="G1954" t="s">
        <v>31368</v>
      </c>
      <c r="H1954" t="s">
        <v>15799</v>
      </c>
      <c r="I1954" t="s">
        <v>7090</v>
      </c>
      <c r="J1954" t="s">
        <v>31530</v>
      </c>
      <c r="K1954" t="s">
        <v>40665</v>
      </c>
      <c r="M1954" t="s">
        <v>41475</v>
      </c>
      <c r="N1954" t="s">
        <v>44905</v>
      </c>
      <c r="O1954" t="s">
        <v>44906</v>
      </c>
      <c r="P1954">
        <v>0</v>
      </c>
      <c r="Q1954">
        <v>0</v>
      </c>
      <c r="R1954" t="s">
        <v>44907</v>
      </c>
      <c r="S1954" t="s">
        <v>45026</v>
      </c>
      <c r="T1954" t="s">
        <v>46434</v>
      </c>
      <c r="U1954" t="s">
        <v>48556</v>
      </c>
      <c r="W1954" t="s">
        <v>41475</v>
      </c>
      <c r="X1954" t="s">
        <v>44908</v>
      </c>
    </row>
    <row r="1955" spans="1:24">
      <c r="A1955">
        <f>HYPERLINK("https://www.philgeps.gov.ph/GEPSNONPILOT/Tender/SplashBidNoticeAbstractUI.aspx?menuIndex=3&amp;refID=7084126&amp;Result=3","7084126")</f>
        <v>0</v>
      </c>
      <c r="B1955" t="s">
        <v>803</v>
      </c>
      <c r="C1955" t="s">
        <v>5406</v>
      </c>
      <c r="D1955" t="s">
        <v>18122</v>
      </c>
      <c r="E1955" t="s">
        <v>20004</v>
      </c>
      <c r="F1955" t="s">
        <v>31362</v>
      </c>
      <c r="G1955" t="s">
        <v>31368</v>
      </c>
      <c r="H1955" t="s">
        <v>15799</v>
      </c>
      <c r="I1955" t="s">
        <v>7188</v>
      </c>
      <c r="J1955" t="s">
        <v>31577</v>
      </c>
      <c r="K1955" t="s">
        <v>40661</v>
      </c>
      <c r="M1955" t="s">
        <v>41773</v>
      </c>
      <c r="N1955" t="s">
        <v>44905</v>
      </c>
      <c r="O1955" t="s">
        <v>44906</v>
      </c>
      <c r="P1955">
        <v>0</v>
      </c>
      <c r="Q1955">
        <v>0</v>
      </c>
      <c r="R1955" t="s">
        <v>44907</v>
      </c>
      <c r="S1955" t="s">
        <v>45026</v>
      </c>
      <c r="T1955" t="s">
        <v>46454</v>
      </c>
      <c r="U1955" t="s">
        <v>48557</v>
      </c>
      <c r="W1955" t="s">
        <v>41773</v>
      </c>
      <c r="X1955" t="s">
        <v>44908</v>
      </c>
    </row>
    <row r="1956" spans="1:24">
      <c r="A1956">
        <f>HYPERLINK("https://www.philgeps.gov.ph/GEPSNONPILOT/Tender/SplashBidNoticeAbstractUI.aspx?menuIndex=3&amp;refID=7084143&amp;Result=3","7084143")</f>
        <v>0</v>
      </c>
      <c r="B1956" t="s">
        <v>348</v>
      </c>
      <c r="C1956" t="s">
        <v>5407</v>
      </c>
      <c r="D1956" t="s">
        <v>18122</v>
      </c>
      <c r="E1956" t="s">
        <v>20005</v>
      </c>
      <c r="F1956" t="s">
        <v>31362</v>
      </c>
      <c r="G1956" t="s">
        <v>31369</v>
      </c>
      <c r="H1956" t="s">
        <v>15799</v>
      </c>
      <c r="I1956" t="s">
        <v>31414</v>
      </c>
      <c r="J1956" t="s">
        <v>32891</v>
      </c>
      <c r="K1956" t="s">
        <v>40675</v>
      </c>
      <c r="M1956" t="s">
        <v>41774</v>
      </c>
      <c r="N1956" t="s">
        <v>44905</v>
      </c>
      <c r="O1956" t="s">
        <v>44906</v>
      </c>
      <c r="P1956">
        <v>0</v>
      </c>
      <c r="Q1956">
        <v>0</v>
      </c>
      <c r="R1956" t="s">
        <v>44907</v>
      </c>
      <c r="S1956" t="s">
        <v>45026</v>
      </c>
      <c r="T1956" t="s">
        <v>46401</v>
      </c>
      <c r="U1956" t="s">
        <v>48558</v>
      </c>
      <c r="W1956" t="s">
        <v>41774</v>
      </c>
      <c r="X1956" t="s">
        <v>44908</v>
      </c>
    </row>
    <row r="1957" spans="1:24">
      <c r="A1957">
        <f>HYPERLINK("https://www.philgeps.gov.ph/GEPSNONPILOT/Tender/SplashBidNoticeAbstractUI.aspx?menuIndex=3&amp;refID=7084125&amp;Result=3","7084125")</f>
        <v>0</v>
      </c>
      <c r="B1957" t="s">
        <v>804</v>
      </c>
      <c r="C1957" t="s">
        <v>5408</v>
      </c>
      <c r="D1957" t="s">
        <v>18155</v>
      </c>
      <c r="E1957" t="s">
        <v>18240</v>
      </c>
      <c r="F1957" t="s">
        <v>31362</v>
      </c>
      <c r="G1957" t="s">
        <v>31368</v>
      </c>
      <c r="H1957" t="s">
        <v>15799</v>
      </c>
      <c r="I1957" t="s">
        <v>31380</v>
      </c>
      <c r="J1957" t="s">
        <v>32892</v>
      </c>
      <c r="K1957" t="s">
        <v>40680</v>
      </c>
      <c r="M1957" t="s">
        <v>41775</v>
      </c>
      <c r="N1957" t="s">
        <v>44905</v>
      </c>
      <c r="O1957" t="s">
        <v>44906</v>
      </c>
      <c r="P1957">
        <v>0</v>
      </c>
      <c r="Q1957">
        <v>0</v>
      </c>
      <c r="R1957" t="s">
        <v>44907</v>
      </c>
      <c r="S1957" t="s">
        <v>45026</v>
      </c>
      <c r="T1957" t="s">
        <v>46528</v>
      </c>
      <c r="U1957" t="s">
        <v>48559</v>
      </c>
      <c r="W1957" t="s">
        <v>41775</v>
      </c>
      <c r="X1957" t="s">
        <v>44908</v>
      </c>
    </row>
    <row r="1958" spans="1:24">
      <c r="A1958">
        <f>HYPERLINK("https://www.philgeps.gov.ph/GEPSNONPILOT/Tender/SplashBidNoticeAbstractUI.aspx?menuIndex=3&amp;refID=7084099&amp;Result=3","7084099")</f>
        <v>0</v>
      </c>
      <c r="B1958" t="s">
        <v>805</v>
      </c>
      <c r="C1958" t="s">
        <v>5409</v>
      </c>
      <c r="D1958" t="s">
        <v>18107</v>
      </c>
      <c r="E1958" t="s">
        <v>20006</v>
      </c>
      <c r="F1958" t="s">
        <v>31362</v>
      </c>
      <c r="G1958" t="s">
        <v>31372</v>
      </c>
      <c r="H1958" t="s">
        <v>15799</v>
      </c>
      <c r="I1958" t="s">
        <v>31386</v>
      </c>
      <c r="J1958" t="s">
        <v>32893</v>
      </c>
      <c r="K1958" t="s">
        <v>40662</v>
      </c>
      <c r="M1958" t="s">
        <v>41776</v>
      </c>
      <c r="N1958" t="s">
        <v>44905</v>
      </c>
      <c r="O1958" t="s">
        <v>44906</v>
      </c>
      <c r="P1958">
        <v>0</v>
      </c>
      <c r="Q1958">
        <v>0</v>
      </c>
      <c r="R1958" t="s">
        <v>44907</v>
      </c>
      <c r="S1958" t="s">
        <v>45026</v>
      </c>
      <c r="T1958" t="s">
        <v>46470</v>
      </c>
      <c r="U1958" t="s">
        <v>48560</v>
      </c>
      <c r="W1958" t="s">
        <v>41776</v>
      </c>
      <c r="X1958" t="s">
        <v>44908</v>
      </c>
    </row>
    <row r="1959" spans="1:24">
      <c r="A1959">
        <f>HYPERLINK("https://www.philgeps.gov.ph/GEPSNONPILOT/Tender/SplashBidNoticeAbstractUI.aspx?menuIndex=3&amp;refID=7084129&amp;Result=3","7084129")</f>
        <v>0</v>
      </c>
      <c r="B1959" t="s">
        <v>179</v>
      </c>
      <c r="C1959" t="s">
        <v>5410</v>
      </c>
      <c r="E1959" t="s">
        <v>20007</v>
      </c>
      <c r="F1959" t="s">
        <v>31362</v>
      </c>
      <c r="G1959" t="s">
        <v>31372</v>
      </c>
      <c r="H1959" t="s">
        <v>15799</v>
      </c>
      <c r="I1959" t="s">
        <v>31409</v>
      </c>
      <c r="J1959" t="s">
        <v>32894</v>
      </c>
      <c r="K1959" t="s">
        <v>40675</v>
      </c>
      <c r="M1959" t="s">
        <v>41117</v>
      </c>
      <c r="N1959" t="s">
        <v>44905</v>
      </c>
      <c r="O1959" t="s">
        <v>44906</v>
      </c>
      <c r="P1959">
        <v>0</v>
      </c>
      <c r="Q1959">
        <v>3</v>
      </c>
      <c r="R1959" t="s">
        <v>44907</v>
      </c>
      <c r="S1959" t="s">
        <v>45026</v>
      </c>
      <c r="T1959" t="s">
        <v>46591</v>
      </c>
      <c r="U1959" t="s">
        <v>48561</v>
      </c>
      <c r="V1959" t="s">
        <v>59249</v>
      </c>
      <c r="W1959" t="s">
        <v>41209</v>
      </c>
      <c r="X1959" t="s">
        <v>44908</v>
      </c>
    </row>
    <row r="1960" spans="1:24">
      <c r="A1960">
        <f>HYPERLINK("https://www.philgeps.gov.ph/GEPSNONPILOT/Tender/SplashBidNoticeAbstractUI.aspx?menuIndex=3&amp;refID=7084173&amp;Result=3","7084173")</f>
        <v>0</v>
      </c>
      <c r="B1960" t="s">
        <v>806</v>
      </c>
      <c r="C1960" t="s">
        <v>5411</v>
      </c>
      <c r="D1960" t="s">
        <v>18108</v>
      </c>
      <c r="E1960" t="s">
        <v>20008</v>
      </c>
      <c r="F1960" t="s">
        <v>31362</v>
      </c>
      <c r="G1960" t="s">
        <v>31368</v>
      </c>
      <c r="H1960" t="s">
        <v>15799</v>
      </c>
      <c r="I1960" t="s">
        <v>31380</v>
      </c>
      <c r="J1960" t="s">
        <v>32895</v>
      </c>
      <c r="K1960" t="s">
        <v>40661</v>
      </c>
      <c r="M1960" t="s">
        <v>41777</v>
      </c>
      <c r="N1960" t="s">
        <v>44905</v>
      </c>
      <c r="O1960" t="s">
        <v>44906</v>
      </c>
      <c r="P1960">
        <v>0</v>
      </c>
      <c r="Q1960">
        <v>2</v>
      </c>
      <c r="R1960" t="s">
        <v>44907</v>
      </c>
      <c r="S1960" t="s">
        <v>45026</v>
      </c>
      <c r="T1960" t="s">
        <v>46432</v>
      </c>
      <c r="U1960" t="s">
        <v>48562</v>
      </c>
      <c r="W1960" t="s">
        <v>41777</v>
      </c>
      <c r="X1960" t="s">
        <v>44908</v>
      </c>
    </row>
    <row r="1961" spans="1:24">
      <c r="A1961">
        <f>HYPERLINK("https://www.philgeps.gov.ph/GEPSNONPILOT/Tender/SplashBidNoticeAbstractUI.aspx?menuIndex=3&amp;refID=7084171&amp;Result=3","7084171")</f>
        <v>0</v>
      </c>
      <c r="B1961" t="s">
        <v>57</v>
      </c>
      <c r="C1961" t="s">
        <v>5412</v>
      </c>
      <c r="D1961" t="s">
        <v>18120</v>
      </c>
      <c r="E1961" t="s">
        <v>20009</v>
      </c>
      <c r="F1961" t="s">
        <v>31362</v>
      </c>
      <c r="G1961" t="s">
        <v>31372</v>
      </c>
      <c r="H1961" t="s">
        <v>15799</v>
      </c>
      <c r="I1961" t="s">
        <v>31385</v>
      </c>
      <c r="J1961" t="s">
        <v>32896</v>
      </c>
      <c r="K1961" t="s">
        <v>40661</v>
      </c>
      <c r="M1961" t="s">
        <v>40992</v>
      </c>
      <c r="N1961" t="s">
        <v>44905</v>
      </c>
      <c r="O1961" t="s">
        <v>44906</v>
      </c>
      <c r="P1961">
        <v>0</v>
      </c>
      <c r="Q1961">
        <v>6</v>
      </c>
      <c r="R1961" t="s">
        <v>44907</v>
      </c>
      <c r="S1961" t="s">
        <v>45026</v>
      </c>
      <c r="T1961" t="s">
        <v>46415</v>
      </c>
      <c r="U1961" t="s">
        <v>48563</v>
      </c>
      <c r="W1961" t="s">
        <v>40992</v>
      </c>
      <c r="X1961" t="s">
        <v>44908</v>
      </c>
    </row>
    <row r="1962" spans="1:24">
      <c r="A1962">
        <f>HYPERLINK("https://www.philgeps.gov.ph/GEPSNONPILOT/Tender/SplashBidNoticeAbstractUI.aspx?menuIndex=3&amp;refID=7084169&amp;Result=3","7084169")</f>
        <v>0</v>
      </c>
      <c r="B1962" t="s">
        <v>348</v>
      </c>
      <c r="C1962" t="s">
        <v>5413</v>
      </c>
      <c r="D1962" t="s">
        <v>18122</v>
      </c>
      <c r="E1962" t="s">
        <v>20010</v>
      </c>
      <c r="F1962" t="s">
        <v>31362</v>
      </c>
      <c r="G1962" t="s">
        <v>31369</v>
      </c>
      <c r="H1962" t="s">
        <v>15799</v>
      </c>
      <c r="I1962" t="s">
        <v>31414</v>
      </c>
      <c r="J1962" t="s">
        <v>31634</v>
      </c>
      <c r="K1962" t="s">
        <v>40675</v>
      </c>
      <c r="M1962" t="s">
        <v>41774</v>
      </c>
      <c r="N1962" t="s">
        <v>44905</v>
      </c>
      <c r="O1962" t="s">
        <v>44906</v>
      </c>
      <c r="P1962">
        <v>0</v>
      </c>
      <c r="Q1962">
        <v>0</v>
      </c>
      <c r="R1962" t="s">
        <v>44907</v>
      </c>
      <c r="S1962" t="s">
        <v>45026</v>
      </c>
      <c r="T1962" t="s">
        <v>46401</v>
      </c>
      <c r="U1962" t="s">
        <v>48564</v>
      </c>
      <c r="W1962" t="s">
        <v>41774</v>
      </c>
      <c r="X1962" t="s">
        <v>44908</v>
      </c>
    </row>
    <row r="1963" spans="1:24">
      <c r="A1963">
        <f>HYPERLINK("https://www.philgeps.gov.ph/GEPSNONPILOT/Tender/SplashBidNoticeAbstractUI.aspx?menuIndex=3&amp;refID=7084168&amp;Result=3","7084168")</f>
        <v>0</v>
      </c>
      <c r="B1963" t="s">
        <v>742</v>
      </c>
      <c r="C1963" t="s">
        <v>5414</v>
      </c>
      <c r="D1963" t="s">
        <v>18109</v>
      </c>
      <c r="E1963" t="s">
        <v>20011</v>
      </c>
      <c r="F1963" t="s">
        <v>31362</v>
      </c>
      <c r="G1963" t="s">
        <v>31368</v>
      </c>
      <c r="H1963" t="s">
        <v>15799</v>
      </c>
      <c r="I1963" t="s">
        <v>3815</v>
      </c>
      <c r="J1963" t="s">
        <v>32897</v>
      </c>
      <c r="K1963" t="s">
        <v>40666</v>
      </c>
      <c r="M1963" t="s">
        <v>41709</v>
      </c>
      <c r="N1963" t="s">
        <v>44905</v>
      </c>
      <c r="O1963" t="s">
        <v>44906</v>
      </c>
      <c r="P1963">
        <v>0</v>
      </c>
      <c r="Q1963">
        <v>0</v>
      </c>
      <c r="R1963" t="s">
        <v>44907</v>
      </c>
      <c r="S1963" t="s">
        <v>45026</v>
      </c>
      <c r="T1963" t="s">
        <v>46440</v>
      </c>
      <c r="U1963" t="s">
        <v>48397</v>
      </c>
      <c r="W1963" t="s">
        <v>41709</v>
      </c>
      <c r="X1963" t="s">
        <v>44908</v>
      </c>
    </row>
    <row r="1964" spans="1:24">
      <c r="A1964">
        <f>HYPERLINK("https://www.philgeps.gov.ph/GEPSNONPILOT/Tender/SplashBidNoticeAbstractUI.aspx?menuIndex=3&amp;refID=7084167&amp;Result=3","7084167")</f>
        <v>0</v>
      </c>
      <c r="B1964" t="s">
        <v>807</v>
      </c>
      <c r="C1964" t="s">
        <v>5415</v>
      </c>
      <c r="D1964" t="s">
        <v>18143</v>
      </c>
      <c r="E1964" t="s">
        <v>20012</v>
      </c>
      <c r="F1964" t="s">
        <v>31362</v>
      </c>
      <c r="G1964" t="s">
        <v>31370</v>
      </c>
      <c r="H1964" t="s">
        <v>15799</v>
      </c>
      <c r="I1964" t="s">
        <v>4942</v>
      </c>
      <c r="J1964" t="s">
        <v>32391</v>
      </c>
      <c r="K1964" t="s">
        <v>40673</v>
      </c>
      <c r="L1964" t="s">
        <v>807</v>
      </c>
      <c r="M1964" t="s">
        <v>41778</v>
      </c>
      <c r="N1964" t="s">
        <v>44905</v>
      </c>
      <c r="O1964" t="s">
        <v>44906</v>
      </c>
      <c r="P1964">
        <v>0</v>
      </c>
      <c r="Q1964">
        <v>0</v>
      </c>
      <c r="R1964" t="s">
        <v>44907</v>
      </c>
      <c r="S1964" t="s">
        <v>45026</v>
      </c>
      <c r="T1964" t="s">
        <v>46497</v>
      </c>
      <c r="U1964" t="s">
        <v>48565</v>
      </c>
      <c r="V1964" t="s">
        <v>59254</v>
      </c>
      <c r="W1964" t="s">
        <v>41778</v>
      </c>
      <c r="X1964" t="s">
        <v>44908</v>
      </c>
    </row>
    <row r="1965" spans="1:24">
      <c r="A1965">
        <f>HYPERLINK("https://www.philgeps.gov.ph/GEPSNONPILOT/Tender/SplashBidNoticeAbstractUI.aspx?menuIndex=3&amp;refID=7084166&amp;Result=3","7084166")</f>
        <v>0</v>
      </c>
      <c r="B1965" t="s">
        <v>808</v>
      </c>
      <c r="C1965" t="s">
        <v>5416</v>
      </c>
      <c r="D1965" t="s">
        <v>18155</v>
      </c>
      <c r="E1965" t="s">
        <v>20013</v>
      </c>
      <c r="F1965" t="s">
        <v>31362</v>
      </c>
      <c r="G1965" t="s">
        <v>31373</v>
      </c>
      <c r="H1965" t="s">
        <v>15799</v>
      </c>
      <c r="I1965" t="s">
        <v>31390</v>
      </c>
      <c r="J1965" t="s">
        <v>32898</v>
      </c>
      <c r="K1965" t="s">
        <v>40679</v>
      </c>
      <c r="M1965" t="s">
        <v>41779</v>
      </c>
      <c r="N1965" t="s">
        <v>44905</v>
      </c>
      <c r="O1965" t="s">
        <v>44906</v>
      </c>
      <c r="P1965">
        <v>0</v>
      </c>
      <c r="Q1965">
        <v>1</v>
      </c>
      <c r="R1965" t="s">
        <v>44907</v>
      </c>
      <c r="S1965" t="s">
        <v>45026</v>
      </c>
      <c r="T1965" t="s">
        <v>46521</v>
      </c>
      <c r="U1965" t="s">
        <v>48566</v>
      </c>
      <c r="W1965" t="s">
        <v>41779</v>
      </c>
      <c r="X1965" t="s">
        <v>44908</v>
      </c>
    </row>
    <row r="1966" spans="1:24">
      <c r="A1966">
        <f>HYPERLINK("https://www.philgeps.gov.ph/GEPSNONPILOT/Tender/SplashBidNoticeAbstractUI.aspx?menuIndex=3&amp;refID=7084147&amp;Result=3","7084147")</f>
        <v>0</v>
      </c>
      <c r="B1966" t="s">
        <v>809</v>
      </c>
      <c r="C1966" t="s">
        <v>5417</v>
      </c>
      <c r="D1966" t="s">
        <v>18116</v>
      </c>
      <c r="E1966" t="s">
        <v>20014</v>
      </c>
      <c r="F1966" t="s">
        <v>31362</v>
      </c>
      <c r="G1966" t="s">
        <v>31369</v>
      </c>
      <c r="H1966" t="s">
        <v>15799</v>
      </c>
      <c r="I1966" t="s">
        <v>31384</v>
      </c>
      <c r="J1966" t="s">
        <v>32036</v>
      </c>
      <c r="K1966" t="s">
        <v>40662</v>
      </c>
      <c r="M1966" t="s">
        <v>41780</v>
      </c>
      <c r="N1966" t="s">
        <v>44905</v>
      </c>
      <c r="O1966" t="s">
        <v>44906</v>
      </c>
      <c r="P1966">
        <v>0</v>
      </c>
      <c r="Q1966">
        <v>1</v>
      </c>
      <c r="R1966" t="s">
        <v>44907</v>
      </c>
      <c r="S1966" t="s">
        <v>45026</v>
      </c>
      <c r="T1966" t="s">
        <v>46396</v>
      </c>
      <c r="U1966" t="s">
        <v>48567</v>
      </c>
      <c r="W1966" t="s">
        <v>41780</v>
      </c>
      <c r="X1966" t="s">
        <v>44908</v>
      </c>
    </row>
    <row r="1967" spans="1:24">
      <c r="A1967">
        <f>HYPERLINK("https://www.philgeps.gov.ph/GEPSNONPILOT/Tender/SplashBidNoticeAbstractUI.aspx?menuIndex=3&amp;refID=7084162&amp;Result=3","7084162")</f>
        <v>0</v>
      </c>
      <c r="B1967" t="s">
        <v>237</v>
      </c>
      <c r="C1967" t="s">
        <v>5418</v>
      </c>
      <c r="D1967" t="s">
        <v>18108</v>
      </c>
      <c r="E1967" t="s">
        <v>20015</v>
      </c>
      <c r="F1967" t="s">
        <v>31362</v>
      </c>
      <c r="G1967" t="s">
        <v>31370</v>
      </c>
      <c r="H1967" t="s">
        <v>15799</v>
      </c>
      <c r="I1967" t="s">
        <v>4283</v>
      </c>
      <c r="J1967" t="s">
        <v>32899</v>
      </c>
      <c r="K1967" t="s">
        <v>40670</v>
      </c>
      <c r="M1967" t="s">
        <v>41781</v>
      </c>
      <c r="N1967" t="s">
        <v>44905</v>
      </c>
      <c r="O1967" t="s">
        <v>44906</v>
      </c>
      <c r="P1967">
        <v>0</v>
      </c>
      <c r="Q1967">
        <v>5</v>
      </c>
      <c r="R1967" t="s">
        <v>44907</v>
      </c>
      <c r="S1967" t="s">
        <v>45026</v>
      </c>
      <c r="T1967" t="s">
        <v>46518</v>
      </c>
      <c r="U1967" t="s">
        <v>48568</v>
      </c>
      <c r="V1967" t="s">
        <v>59255</v>
      </c>
      <c r="W1967" t="s">
        <v>41781</v>
      </c>
      <c r="X1967" t="s">
        <v>44908</v>
      </c>
    </row>
    <row r="1968" spans="1:24">
      <c r="A1968">
        <f>HYPERLINK("https://www.philgeps.gov.ph/GEPSNONPILOT/Tender/SplashBidNoticeAbstractUI.aspx?menuIndex=3&amp;refID=7084160&amp;Result=3","7084160")</f>
        <v>0</v>
      </c>
      <c r="B1968" t="s">
        <v>700</v>
      </c>
      <c r="C1968" t="s">
        <v>5419</v>
      </c>
      <c r="E1968" t="s">
        <v>20016</v>
      </c>
      <c r="F1968" t="s">
        <v>31362</v>
      </c>
      <c r="G1968" t="s">
        <v>31368</v>
      </c>
      <c r="H1968" t="s">
        <v>15799</v>
      </c>
      <c r="I1968" t="s">
        <v>31465</v>
      </c>
      <c r="J1968" t="s">
        <v>32900</v>
      </c>
      <c r="K1968" t="s">
        <v>40662</v>
      </c>
      <c r="M1968" t="s">
        <v>41782</v>
      </c>
      <c r="N1968" t="s">
        <v>44905</v>
      </c>
      <c r="O1968" t="s">
        <v>44906</v>
      </c>
      <c r="P1968">
        <v>0</v>
      </c>
      <c r="Q1968">
        <v>1</v>
      </c>
      <c r="R1968" t="s">
        <v>44907</v>
      </c>
      <c r="S1968" t="s">
        <v>45026</v>
      </c>
      <c r="T1968" t="s">
        <v>46593</v>
      </c>
      <c r="U1968" t="s">
        <v>48569</v>
      </c>
      <c r="V1968" t="s">
        <v>59256</v>
      </c>
      <c r="W1968" t="s">
        <v>41665</v>
      </c>
      <c r="X1968" t="s">
        <v>44908</v>
      </c>
    </row>
    <row r="1969" spans="1:24">
      <c r="A1969">
        <f>HYPERLINK("https://www.philgeps.gov.ph/GEPSNONPILOT/Tender/SplashBidNoticeAbstractUI.aspx?menuIndex=3&amp;refID=7084127&amp;Result=3","7084127")</f>
        <v>0</v>
      </c>
      <c r="B1969" t="s">
        <v>810</v>
      </c>
      <c r="C1969" t="s">
        <v>5420</v>
      </c>
      <c r="D1969" t="s">
        <v>18113</v>
      </c>
      <c r="E1969" t="s">
        <v>20017</v>
      </c>
      <c r="F1969" t="s">
        <v>31362</v>
      </c>
      <c r="G1969" t="s">
        <v>31368</v>
      </c>
      <c r="H1969" t="s">
        <v>15799</v>
      </c>
      <c r="I1969" t="s">
        <v>31430</v>
      </c>
      <c r="J1969" t="s">
        <v>31915</v>
      </c>
      <c r="K1969" t="s">
        <v>40666</v>
      </c>
      <c r="M1969" t="s">
        <v>41783</v>
      </c>
      <c r="N1969" t="s">
        <v>44905</v>
      </c>
      <c r="O1969" t="s">
        <v>44906</v>
      </c>
      <c r="P1969">
        <v>0</v>
      </c>
      <c r="Q1969">
        <v>0</v>
      </c>
      <c r="R1969" t="s">
        <v>44907</v>
      </c>
      <c r="S1969" t="s">
        <v>45026</v>
      </c>
      <c r="T1969" t="s">
        <v>46470</v>
      </c>
      <c r="U1969" t="s">
        <v>48570</v>
      </c>
      <c r="W1969" t="s">
        <v>41783</v>
      </c>
      <c r="X1969" t="s">
        <v>44908</v>
      </c>
    </row>
    <row r="1970" spans="1:24">
      <c r="A1970">
        <f>HYPERLINK("https://www.philgeps.gov.ph/GEPSNONPILOT/Tender/SplashBidNoticeAbstractUI.aspx?menuIndex=3&amp;refID=7084180&amp;Result=3","7084180")</f>
        <v>0</v>
      </c>
      <c r="B1970" t="s">
        <v>811</v>
      </c>
      <c r="C1970" t="s">
        <v>5421</v>
      </c>
      <c r="D1970" t="s">
        <v>18136</v>
      </c>
      <c r="E1970" t="s">
        <v>18712</v>
      </c>
      <c r="F1970" t="s">
        <v>31362</v>
      </c>
      <c r="G1970" t="s">
        <v>31369</v>
      </c>
      <c r="H1970" t="s">
        <v>15799</v>
      </c>
      <c r="I1970" t="s">
        <v>3815</v>
      </c>
      <c r="J1970" t="s">
        <v>32901</v>
      </c>
      <c r="K1970" t="s">
        <v>40665</v>
      </c>
      <c r="M1970" t="s">
        <v>41784</v>
      </c>
      <c r="N1970" t="s">
        <v>44905</v>
      </c>
      <c r="O1970" t="s">
        <v>44906</v>
      </c>
      <c r="P1970">
        <v>0</v>
      </c>
      <c r="Q1970">
        <v>0</v>
      </c>
      <c r="R1970" t="s">
        <v>44907</v>
      </c>
      <c r="S1970" t="s">
        <v>45026</v>
      </c>
      <c r="T1970" t="s">
        <v>46481</v>
      </c>
      <c r="U1970" t="s">
        <v>48571</v>
      </c>
      <c r="W1970" t="s">
        <v>41784</v>
      </c>
      <c r="X1970" t="s">
        <v>44908</v>
      </c>
    </row>
    <row r="1971" spans="1:24">
      <c r="A1971">
        <f>HYPERLINK("https://www.philgeps.gov.ph/GEPSNONPILOT/Tender/SplashBidNoticeAbstractUI.aspx?menuIndex=3&amp;refID=7084172&amp;Result=3","7084172")</f>
        <v>0</v>
      </c>
      <c r="B1971" t="s">
        <v>134</v>
      </c>
      <c r="C1971" t="s">
        <v>5422</v>
      </c>
      <c r="D1971" t="s">
        <v>18108</v>
      </c>
      <c r="E1971" t="s">
        <v>20018</v>
      </c>
      <c r="F1971" t="s">
        <v>31362</v>
      </c>
      <c r="G1971" t="s">
        <v>31369</v>
      </c>
      <c r="H1971" t="s">
        <v>15799</v>
      </c>
      <c r="I1971" t="s">
        <v>31477</v>
      </c>
      <c r="J1971" t="s">
        <v>32902</v>
      </c>
      <c r="K1971" t="s">
        <v>40662</v>
      </c>
      <c r="L1971" t="s">
        <v>134</v>
      </c>
      <c r="M1971" t="s">
        <v>41370</v>
      </c>
      <c r="N1971" t="s">
        <v>44905</v>
      </c>
      <c r="O1971" t="s">
        <v>44906</v>
      </c>
      <c r="P1971">
        <v>0</v>
      </c>
      <c r="Q1971">
        <v>0</v>
      </c>
      <c r="R1971" t="s">
        <v>44907</v>
      </c>
      <c r="S1971" t="s">
        <v>45026</v>
      </c>
      <c r="T1971" t="s">
        <v>46431</v>
      </c>
      <c r="U1971" t="s">
        <v>47674</v>
      </c>
      <c r="W1971" t="s">
        <v>41370</v>
      </c>
      <c r="X1971" t="s">
        <v>44908</v>
      </c>
    </row>
    <row r="1972" spans="1:24">
      <c r="A1972">
        <f>HYPERLINK("https://www.philgeps.gov.ph/GEPSNONPILOT/Tender/SplashBidNoticeAbstractUI.aspx?menuIndex=3&amp;refID=7084116&amp;Result=3","7084116")</f>
        <v>0</v>
      </c>
      <c r="B1972" t="s">
        <v>237</v>
      </c>
      <c r="C1972" t="s">
        <v>5423</v>
      </c>
      <c r="D1972" t="s">
        <v>18108</v>
      </c>
      <c r="E1972" t="s">
        <v>20019</v>
      </c>
      <c r="F1972" t="s">
        <v>31362</v>
      </c>
      <c r="G1972" t="s">
        <v>31370</v>
      </c>
      <c r="H1972" t="s">
        <v>15799</v>
      </c>
      <c r="I1972" t="s">
        <v>4283</v>
      </c>
      <c r="J1972" t="s">
        <v>32903</v>
      </c>
      <c r="K1972" t="s">
        <v>40670</v>
      </c>
      <c r="M1972" t="s">
        <v>41781</v>
      </c>
      <c r="N1972" t="s">
        <v>44905</v>
      </c>
      <c r="O1972" t="s">
        <v>44906</v>
      </c>
      <c r="P1972">
        <v>0</v>
      </c>
      <c r="Q1972">
        <v>4</v>
      </c>
      <c r="R1972" t="s">
        <v>44907</v>
      </c>
      <c r="S1972" t="s">
        <v>45026</v>
      </c>
      <c r="T1972" t="s">
        <v>46518</v>
      </c>
      <c r="U1972" t="s">
        <v>48572</v>
      </c>
      <c r="V1972" t="s">
        <v>59255</v>
      </c>
      <c r="W1972" t="s">
        <v>41781</v>
      </c>
      <c r="X1972" t="s">
        <v>44908</v>
      </c>
    </row>
    <row r="1973" spans="1:24">
      <c r="A1973">
        <f>HYPERLINK("https://www.philgeps.gov.ph/GEPSNONPILOT/Tender/SplashBidNoticeAbstractUI.aspx?menuIndex=3&amp;refID=7084201&amp;Result=3","7084201")</f>
        <v>0</v>
      </c>
      <c r="B1973" t="s">
        <v>742</v>
      </c>
      <c r="C1973" t="s">
        <v>5424</v>
      </c>
      <c r="D1973" t="s">
        <v>18109</v>
      </c>
      <c r="E1973" t="s">
        <v>20020</v>
      </c>
      <c r="F1973" t="s">
        <v>31362</v>
      </c>
      <c r="G1973" t="s">
        <v>31368</v>
      </c>
      <c r="H1973" t="s">
        <v>15799</v>
      </c>
      <c r="I1973" t="s">
        <v>31393</v>
      </c>
      <c r="J1973" t="s">
        <v>31578</v>
      </c>
      <c r="K1973" t="s">
        <v>40666</v>
      </c>
      <c r="M1973" t="s">
        <v>41709</v>
      </c>
      <c r="N1973" t="s">
        <v>44905</v>
      </c>
      <c r="O1973" t="s">
        <v>44906</v>
      </c>
      <c r="P1973">
        <v>0</v>
      </c>
      <c r="Q1973">
        <v>1</v>
      </c>
      <c r="R1973" t="s">
        <v>44907</v>
      </c>
      <c r="S1973" t="s">
        <v>45026</v>
      </c>
      <c r="T1973" t="s">
        <v>46440</v>
      </c>
      <c r="U1973" t="s">
        <v>48397</v>
      </c>
      <c r="W1973" t="s">
        <v>41709</v>
      </c>
      <c r="X1973" t="s">
        <v>44908</v>
      </c>
    </row>
    <row r="1974" spans="1:24">
      <c r="A1974">
        <f>HYPERLINK("https://www.philgeps.gov.ph/GEPSNONPILOT/Tender/SplashBidNoticeAbstractUI.aspx?menuIndex=3&amp;refID=7084200&amp;Result=3","7084200")</f>
        <v>0</v>
      </c>
      <c r="B1974" t="s">
        <v>603</v>
      </c>
      <c r="C1974" t="s">
        <v>5425</v>
      </c>
      <c r="D1974" t="s">
        <v>18171</v>
      </c>
      <c r="E1974" t="s">
        <v>20021</v>
      </c>
      <c r="F1974" t="s">
        <v>31362</v>
      </c>
      <c r="G1974" t="s">
        <v>31370</v>
      </c>
      <c r="H1974" t="s">
        <v>15799</v>
      </c>
      <c r="I1974" t="s">
        <v>4942</v>
      </c>
      <c r="J1974" t="s">
        <v>32904</v>
      </c>
      <c r="K1974" t="s">
        <v>40666</v>
      </c>
      <c r="M1974" t="s">
        <v>41658</v>
      </c>
      <c r="N1974" t="s">
        <v>44905</v>
      </c>
      <c r="O1974" t="s">
        <v>44906</v>
      </c>
      <c r="P1974">
        <v>0</v>
      </c>
      <c r="Q1974">
        <v>0</v>
      </c>
      <c r="R1974" t="s">
        <v>44907</v>
      </c>
      <c r="S1974" t="s">
        <v>45026</v>
      </c>
      <c r="T1974" t="s">
        <v>46438</v>
      </c>
      <c r="U1974" t="s">
        <v>48573</v>
      </c>
      <c r="W1974" t="s">
        <v>60865</v>
      </c>
      <c r="X1974" t="s">
        <v>44908</v>
      </c>
    </row>
    <row r="1975" spans="1:24">
      <c r="A1975">
        <f>HYPERLINK("https://www.philgeps.gov.ph/GEPSNONPILOT/Tender/SplashBidNoticeAbstractUI.aspx?menuIndex=3&amp;refID=7084050&amp;Result=3","7084050")</f>
        <v>0</v>
      </c>
      <c r="B1975" t="s">
        <v>778</v>
      </c>
      <c r="C1975" t="s">
        <v>5426</v>
      </c>
      <c r="D1975" t="s">
        <v>18172</v>
      </c>
      <c r="E1975" t="s">
        <v>20022</v>
      </c>
      <c r="F1975" t="s">
        <v>31362</v>
      </c>
      <c r="G1975" t="s">
        <v>31368</v>
      </c>
      <c r="H1975" t="s">
        <v>15799</v>
      </c>
      <c r="I1975" t="s">
        <v>7090</v>
      </c>
      <c r="J1975" t="s">
        <v>32905</v>
      </c>
      <c r="K1975" t="s">
        <v>40661</v>
      </c>
      <c r="M1975" t="s">
        <v>41746</v>
      </c>
      <c r="N1975" t="s">
        <v>44905</v>
      </c>
      <c r="O1975" t="s">
        <v>44906</v>
      </c>
      <c r="P1975">
        <v>0</v>
      </c>
      <c r="Q1975">
        <v>0</v>
      </c>
      <c r="R1975" t="s">
        <v>44907</v>
      </c>
      <c r="S1975" t="s">
        <v>45026</v>
      </c>
      <c r="T1975" t="s">
        <v>46410</v>
      </c>
      <c r="U1975" t="s">
        <v>48474</v>
      </c>
      <c r="W1975" t="s">
        <v>41746</v>
      </c>
      <c r="X1975" t="s">
        <v>44908</v>
      </c>
    </row>
    <row r="1976" spans="1:24">
      <c r="A1976">
        <f>HYPERLINK("https://www.philgeps.gov.ph/GEPSNONPILOT/Tender/SplashBidNoticeAbstractUI.aspx?menuIndex=3&amp;refID=7084197&amp;Result=3","7084197")</f>
        <v>0</v>
      </c>
      <c r="B1976" t="s">
        <v>807</v>
      </c>
      <c r="C1976" t="s">
        <v>5427</v>
      </c>
      <c r="D1976" t="s">
        <v>18143</v>
      </c>
      <c r="E1976" t="s">
        <v>20023</v>
      </c>
      <c r="F1976" t="s">
        <v>31362</v>
      </c>
      <c r="G1976" t="s">
        <v>31370</v>
      </c>
      <c r="H1976" t="s">
        <v>15799</v>
      </c>
      <c r="I1976" t="s">
        <v>4942</v>
      </c>
      <c r="J1976" t="s">
        <v>31575</v>
      </c>
      <c r="K1976" t="s">
        <v>40693</v>
      </c>
      <c r="L1976" t="s">
        <v>807</v>
      </c>
      <c r="M1976" t="s">
        <v>41778</v>
      </c>
      <c r="N1976" t="s">
        <v>44905</v>
      </c>
      <c r="O1976" t="s">
        <v>44906</v>
      </c>
      <c r="P1976">
        <v>0</v>
      </c>
      <c r="Q1976">
        <v>0</v>
      </c>
      <c r="R1976" t="s">
        <v>44907</v>
      </c>
      <c r="S1976" t="s">
        <v>45026</v>
      </c>
      <c r="T1976" t="s">
        <v>46497</v>
      </c>
      <c r="U1976" t="s">
        <v>48574</v>
      </c>
      <c r="V1976" t="s">
        <v>59254</v>
      </c>
      <c r="W1976" t="s">
        <v>41778</v>
      </c>
      <c r="X1976" t="s">
        <v>44908</v>
      </c>
    </row>
    <row r="1977" spans="1:24">
      <c r="A1977">
        <f>HYPERLINK("https://www.philgeps.gov.ph/GEPSNONPILOT/Tender/SplashBidNoticeAbstractUI.aspx?menuIndex=3&amp;refID=7084163&amp;Result=3","7084163")</f>
        <v>0</v>
      </c>
      <c r="B1977" t="s">
        <v>812</v>
      </c>
      <c r="C1977" t="s">
        <v>5428</v>
      </c>
      <c r="D1977" t="s">
        <v>18101</v>
      </c>
      <c r="E1977" t="s">
        <v>20024</v>
      </c>
      <c r="F1977" t="s">
        <v>31362</v>
      </c>
      <c r="G1977" t="s">
        <v>31368</v>
      </c>
      <c r="H1977" t="s">
        <v>31379</v>
      </c>
      <c r="I1977" t="s">
        <v>31400</v>
      </c>
      <c r="J1977" t="s">
        <v>32581</v>
      </c>
      <c r="K1977" t="s">
        <v>40697</v>
      </c>
      <c r="M1977" t="s">
        <v>41785</v>
      </c>
      <c r="N1977" t="s">
        <v>44905</v>
      </c>
      <c r="O1977" t="s">
        <v>44906</v>
      </c>
      <c r="P1977">
        <v>0</v>
      </c>
      <c r="Q1977">
        <v>1</v>
      </c>
      <c r="R1977" t="s">
        <v>44907</v>
      </c>
      <c r="S1977" t="s">
        <v>45026</v>
      </c>
      <c r="T1977" t="s">
        <v>46428</v>
      </c>
      <c r="U1977" t="s">
        <v>48575</v>
      </c>
      <c r="W1977" t="s">
        <v>41785</v>
      </c>
      <c r="X1977" t="s">
        <v>44908</v>
      </c>
    </row>
    <row r="1978" spans="1:24">
      <c r="A1978">
        <f>HYPERLINK("https://www.philgeps.gov.ph/GEPSNONPILOT/Tender/SplashBidNoticeAbstractUI.aspx?menuIndex=3&amp;refID=7084131&amp;Result=3","7084131")</f>
        <v>0</v>
      </c>
      <c r="B1978" t="s">
        <v>813</v>
      </c>
      <c r="C1978" t="s">
        <v>5429</v>
      </c>
      <c r="D1978" t="s">
        <v>18149</v>
      </c>
      <c r="E1978" t="s">
        <v>20025</v>
      </c>
      <c r="F1978" t="s">
        <v>31362</v>
      </c>
      <c r="G1978" t="s">
        <v>31370</v>
      </c>
      <c r="H1978" t="s">
        <v>15799</v>
      </c>
      <c r="I1978" t="s">
        <v>4057</v>
      </c>
      <c r="J1978" t="s">
        <v>32906</v>
      </c>
      <c r="K1978" t="s">
        <v>40673</v>
      </c>
      <c r="M1978" t="s">
        <v>41786</v>
      </c>
      <c r="N1978" t="s">
        <v>44905</v>
      </c>
      <c r="O1978" t="s">
        <v>44906</v>
      </c>
      <c r="P1978">
        <v>0</v>
      </c>
      <c r="Q1978">
        <v>0</v>
      </c>
      <c r="R1978" t="s">
        <v>44907</v>
      </c>
      <c r="S1978" t="s">
        <v>45026</v>
      </c>
      <c r="T1978" t="s">
        <v>46432</v>
      </c>
      <c r="U1978" t="s">
        <v>48576</v>
      </c>
      <c r="W1978" t="s">
        <v>41786</v>
      </c>
      <c r="X1978" t="s">
        <v>44908</v>
      </c>
    </row>
    <row r="1979" spans="1:24">
      <c r="A1979">
        <f>HYPERLINK("https://www.philgeps.gov.ph/GEPSNONPILOT/Tender/SplashBidNoticeAbstractUI.aspx?menuIndex=3&amp;refID=7084196&amp;Result=3","7084196")</f>
        <v>0</v>
      </c>
      <c r="B1979" t="s">
        <v>809</v>
      </c>
      <c r="C1979" t="s">
        <v>5430</v>
      </c>
      <c r="D1979" t="s">
        <v>18116</v>
      </c>
      <c r="E1979" t="s">
        <v>20026</v>
      </c>
      <c r="F1979" t="s">
        <v>31362</v>
      </c>
      <c r="G1979" t="s">
        <v>31369</v>
      </c>
      <c r="H1979" t="s">
        <v>15799</v>
      </c>
      <c r="I1979" t="s">
        <v>31387</v>
      </c>
      <c r="J1979" t="s">
        <v>32907</v>
      </c>
      <c r="K1979" t="s">
        <v>40662</v>
      </c>
      <c r="M1979" t="s">
        <v>41780</v>
      </c>
      <c r="N1979" t="s">
        <v>44905</v>
      </c>
      <c r="O1979" t="s">
        <v>44906</v>
      </c>
      <c r="P1979">
        <v>0</v>
      </c>
      <c r="Q1979">
        <v>0</v>
      </c>
      <c r="R1979" t="s">
        <v>44907</v>
      </c>
      <c r="S1979" t="s">
        <v>45026</v>
      </c>
      <c r="T1979" t="s">
        <v>46396</v>
      </c>
      <c r="U1979" t="s">
        <v>48577</v>
      </c>
      <c r="W1979" t="s">
        <v>41780</v>
      </c>
      <c r="X1979" t="s">
        <v>44908</v>
      </c>
    </row>
    <row r="1980" spans="1:24">
      <c r="A1980">
        <f>HYPERLINK("https://www.philgeps.gov.ph/GEPSNONPILOT/Tender/SplashBidNoticeAbstractUI.aspx?menuIndex=3&amp;refID=7084195&amp;Result=3","7084195")</f>
        <v>0</v>
      </c>
      <c r="B1980" t="s">
        <v>814</v>
      </c>
      <c r="C1980" t="s">
        <v>5431</v>
      </c>
      <c r="E1980" t="s">
        <v>20027</v>
      </c>
      <c r="F1980" t="s">
        <v>31362</v>
      </c>
      <c r="G1980" t="s">
        <v>31368</v>
      </c>
      <c r="H1980" t="s">
        <v>31379</v>
      </c>
      <c r="I1980" t="s">
        <v>6240</v>
      </c>
      <c r="J1980" t="s">
        <v>32908</v>
      </c>
      <c r="K1980" t="s">
        <v>40682</v>
      </c>
      <c r="M1980" t="s">
        <v>41787</v>
      </c>
      <c r="N1980" t="s">
        <v>44905</v>
      </c>
      <c r="O1980" t="s">
        <v>44906</v>
      </c>
      <c r="P1980">
        <v>0</v>
      </c>
      <c r="Q1980">
        <v>0</v>
      </c>
      <c r="R1980" t="s">
        <v>44907</v>
      </c>
      <c r="S1980" t="s">
        <v>45026</v>
      </c>
      <c r="T1980" t="s">
        <v>46446</v>
      </c>
      <c r="U1980" t="s">
        <v>48578</v>
      </c>
      <c r="V1980" t="s">
        <v>59257</v>
      </c>
      <c r="W1980" t="s">
        <v>41787</v>
      </c>
      <c r="X1980" t="s">
        <v>44908</v>
      </c>
    </row>
    <row r="1981" spans="1:24">
      <c r="A1981">
        <f>HYPERLINK("https://www.philgeps.gov.ph/GEPSNONPILOT/Tender/SplashBidNoticeAbstractUI.aspx?menuIndex=3&amp;refID=7084193&amp;Result=3","7084193")</f>
        <v>0</v>
      </c>
      <c r="B1981" t="s">
        <v>742</v>
      </c>
      <c r="C1981" t="s">
        <v>5432</v>
      </c>
      <c r="D1981" t="s">
        <v>18109</v>
      </c>
      <c r="E1981" t="s">
        <v>20028</v>
      </c>
      <c r="F1981" t="s">
        <v>31362</v>
      </c>
      <c r="G1981" t="s">
        <v>31368</v>
      </c>
      <c r="H1981" t="s">
        <v>15799</v>
      </c>
      <c r="I1981" t="s">
        <v>31384</v>
      </c>
      <c r="J1981" t="s">
        <v>31546</v>
      </c>
      <c r="K1981" t="s">
        <v>40666</v>
      </c>
      <c r="M1981" t="s">
        <v>41709</v>
      </c>
      <c r="N1981" t="s">
        <v>44905</v>
      </c>
      <c r="O1981" t="s">
        <v>44906</v>
      </c>
      <c r="P1981">
        <v>0</v>
      </c>
      <c r="Q1981">
        <v>2</v>
      </c>
      <c r="R1981" t="s">
        <v>44907</v>
      </c>
      <c r="S1981" t="s">
        <v>45026</v>
      </c>
      <c r="T1981" t="s">
        <v>46440</v>
      </c>
      <c r="U1981" t="s">
        <v>48397</v>
      </c>
      <c r="W1981" t="s">
        <v>41709</v>
      </c>
      <c r="X1981" t="s">
        <v>44908</v>
      </c>
    </row>
    <row r="1982" spans="1:24">
      <c r="A1982">
        <f>HYPERLINK("https://www.philgeps.gov.ph/GEPSNONPILOT/Tender/SplashBidNoticeAbstractUI.aspx?menuIndex=3&amp;refID=7084191&amp;Result=3","7084191")</f>
        <v>0</v>
      </c>
      <c r="B1982" t="s">
        <v>348</v>
      </c>
      <c r="C1982" t="s">
        <v>5433</v>
      </c>
      <c r="D1982" t="s">
        <v>18122</v>
      </c>
      <c r="E1982" t="s">
        <v>20029</v>
      </c>
      <c r="F1982" t="s">
        <v>31362</v>
      </c>
      <c r="G1982" t="s">
        <v>31369</v>
      </c>
      <c r="H1982" t="s">
        <v>15799</v>
      </c>
      <c r="I1982" t="s">
        <v>31397</v>
      </c>
      <c r="J1982" t="s">
        <v>32891</v>
      </c>
      <c r="K1982" t="s">
        <v>40682</v>
      </c>
      <c r="M1982" t="s">
        <v>41774</v>
      </c>
      <c r="N1982" t="s">
        <v>44905</v>
      </c>
      <c r="O1982" t="s">
        <v>44906</v>
      </c>
      <c r="P1982">
        <v>0</v>
      </c>
      <c r="Q1982">
        <v>1</v>
      </c>
      <c r="R1982" t="s">
        <v>44907</v>
      </c>
      <c r="S1982" t="s">
        <v>45026</v>
      </c>
      <c r="T1982" t="s">
        <v>46401</v>
      </c>
      <c r="U1982" t="s">
        <v>48579</v>
      </c>
      <c r="W1982" t="s">
        <v>41774</v>
      </c>
      <c r="X1982" t="s">
        <v>44908</v>
      </c>
    </row>
    <row r="1983" spans="1:24">
      <c r="A1983">
        <f>HYPERLINK("https://www.philgeps.gov.ph/GEPSNONPILOT/Tender/SplashBidNoticeAbstractUI.aspx?menuIndex=3&amp;refID=7084158&amp;Result=3","7084158")</f>
        <v>0</v>
      </c>
      <c r="B1983" t="s">
        <v>797</v>
      </c>
      <c r="C1983" t="s">
        <v>5434</v>
      </c>
      <c r="D1983" t="s">
        <v>18152</v>
      </c>
      <c r="E1983" t="s">
        <v>20030</v>
      </c>
      <c r="F1983" t="s">
        <v>31362</v>
      </c>
      <c r="G1983" t="s">
        <v>31369</v>
      </c>
      <c r="H1983" t="s">
        <v>31378</v>
      </c>
      <c r="I1983" t="s">
        <v>31386</v>
      </c>
      <c r="J1983" t="s">
        <v>32877</v>
      </c>
      <c r="K1983" t="s">
        <v>40738</v>
      </c>
      <c r="M1983" t="s">
        <v>41767</v>
      </c>
      <c r="N1983" t="s">
        <v>44905</v>
      </c>
      <c r="O1983" t="s">
        <v>44906</v>
      </c>
      <c r="P1983">
        <v>0</v>
      </c>
      <c r="Q1983">
        <v>0</v>
      </c>
      <c r="R1983" t="s">
        <v>44907</v>
      </c>
      <c r="S1983" t="s">
        <v>45026</v>
      </c>
      <c r="T1983" t="s">
        <v>46433</v>
      </c>
      <c r="U1983" t="s">
        <v>48580</v>
      </c>
      <c r="V1983" t="s">
        <v>59258</v>
      </c>
      <c r="W1983" t="s">
        <v>41767</v>
      </c>
      <c r="X1983" t="s">
        <v>44908</v>
      </c>
    </row>
    <row r="1984" spans="1:24">
      <c r="A1984">
        <f>HYPERLINK("https://www.philgeps.gov.ph/GEPSNONPILOT/Tender/SplashBidNoticeAbstractUI.aspx?menuIndex=3&amp;refID=7084189&amp;Result=3","7084189")</f>
        <v>0</v>
      </c>
      <c r="B1984" t="s">
        <v>815</v>
      </c>
      <c r="C1984" t="s">
        <v>5435</v>
      </c>
      <c r="E1984" t="s">
        <v>20031</v>
      </c>
      <c r="F1984" t="s">
        <v>31362</v>
      </c>
      <c r="G1984" t="s">
        <v>31368</v>
      </c>
      <c r="H1984" t="s">
        <v>15799</v>
      </c>
      <c r="I1984" t="s">
        <v>6373</v>
      </c>
      <c r="J1984" t="s">
        <v>31829</v>
      </c>
      <c r="K1984" t="s">
        <v>40680</v>
      </c>
      <c r="M1984" t="s">
        <v>41788</v>
      </c>
      <c r="N1984" t="s">
        <v>44905</v>
      </c>
      <c r="O1984" t="s">
        <v>44906</v>
      </c>
      <c r="P1984">
        <v>0</v>
      </c>
      <c r="Q1984">
        <v>1</v>
      </c>
      <c r="R1984" t="s">
        <v>44907</v>
      </c>
      <c r="S1984" t="s">
        <v>45026</v>
      </c>
      <c r="T1984" t="s">
        <v>46493</v>
      </c>
      <c r="U1984" t="s">
        <v>48581</v>
      </c>
      <c r="W1984" t="s">
        <v>41788</v>
      </c>
      <c r="X1984" t="s">
        <v>44908</v>
      </c>
    </row>
    <row r="1985" spans="1:24">
      <c r="A1985">
        <f>HYPERLINK("https://www.philgeps.gov.ph/GEPSNONPILOT/Tender/SplashBidNoticeAbstractUI.aspx?menuIndex=3&amp;refID=7084186&amp;Result=3","7084186")</f>
        <v>0</v>
      </c>
      <c r="B1985" t="s">
        <v>700</v>
      </c>
      <c r="C1985" t="s">
        <v>5436</v>
      </c>
      <c r="E1985" t="s">
        <v>20032</v>
      </c>
      <c r="F1985" t="s">
        <v>31362</v>
      </c>
      <c r="G1985" t="s">
        <v>31368</v>
      </c>
      <c r="H1985" t="s">
        <v>15799</v>
      </c>
      <c r="I1985" t="s">
        <v>31384</v>
      </c>
      <c r="J1985" t="s">
        <v>32909</v>
      </c>
      <c r="K1985" t="s">
        <v>40662</v>
      </c>
      <c r="M1985" t="s">
        <v>41665</v>
      </c>
      <c r="N1985" t="s">
        <v>44905</v>
      </c>
      <c r="O1985" t="s">
        <v>44906</v>
      </c>
      <c r="P1985">
        <v>0</v>
      </c>
      <c r="Q1985">
        <v>5</v>
      </c>
      <c r="R1985" t="s">
        <v>44907</v>
      </c>
      <c r="S1985" t="s">
        <v>45026</v>
      </c>
      <c r="T1985" t="s">
        <v>46593</v>
      </c>
      <c r="U1985" t="s">
        <v>48582</v>
      </c>
      <c r="V1985" t="s">
        <v>59256</v>
      </c>
      <c r="W1985" t="s">
        <v>41665</v>
      </c>
      <c r="X1985" t="s">
        <v>44908</v>
      </c>
    </row>
    <row r="1986" spans="1:24">
      <c r="A1986">
        <f>HYPERLINK("https://www.philgeps.gov.ph/GEPSNONPILOT/Tender/SplashBidNoticeAbstractUI.aspx?menuIndex=3&amp;refID=7084159&amp;Result=3","7084159")</f>
        <v>0</v>
      </c>
      <c r="B1986" t="s">
        <v>816</v>
      </c>
      <c r="C1986" t="s">
        <v>5437</v>
      </c>
      <c r="D1986" t="s">
        <v>18134</v>
      </c>
      <c r="E1986" t="s">
        <v>20033</v>
      </c>
      <c r="F1986" t="s">
        <v>31362</v>
      </c>
      <c r="G1986" t="s">
        <v>31370</v>
      </c>
      <c r="H1986" t="s">
        <v>15799</v>
      </c>
      <c r="I1986" t="s">
        <v>31388</v>
      </c>
      <c r="J1986" t="s">
        <v>31688</v>
      </c>
      <c r="K1986" t="s">
        <v>40697</v>
      </c>
      <c r="M1986" t="s">
        <v>41789</v>
      </c>
      <c r="N1986" t="s">
        <v>44905</v>
      </c>
      <c r="O1986" t="s">
        <v>44906</v>
      </c>
      <c r="P1986">
        <v>0</v>
      </c>
      <c r="Q1986">
        <v>0</v>
      </c>
      <c r="R1986" t="s">
        <v>44907</v>
      </c>
      <c r="S1986" t="s">
        <v>45026</v>
      </c>
      <c r="T1986" t="s">
        <v>46454</v>
      </c>
      <c r="U1986" t="s">
        <v>48012</v>
      </c>
      <c r="W1986" t="s">
        <v>41789</v>
      </c>
      <c r="X1986" t="s">
        <v>44908</v>
      </c>
    </row>
    <row r="1987" spans="1:24">
      <c r="A1987">
        <f>HYPERLINK("https://www.philgeps.gov.ph/GEPSNONPILOT/Tender/SplashBidNoticeAbstractUI.aspx?menuIndex=3&amp;refID=7084183&amp;Result=3","7084183")</f>
        <v>0</v>
      </c>
      <c r="B1987" t="s">
        <v>742</v>
      </c>
      <c r="C1987" t="s">
        <v>5438</v>
      </c>
      <c r="D1987" t="s">
        <v>18109</v>
      </c>
      <c r="E1987" t="s">
        <v>20034</v>
      </c>
      <c r="F1987" t="s">
        <v>31362</v>
      </c>
      <c r="G1987" t="s">
        <v>31368</v>
      </c>
      <c r="H1987" t="s">
        <v>15799</v>
      </c>
      <c r="I1987" t="s">
        <v>3815</v>
      </c>
      <c r="J1987" t="s">
        <v>32910</v>
      </c>
      <c r="K1987" t="s">
        <v>40666</v>
      </c>
      <c r="M1987" t="s">
        <v>41709</v>
      </c>
      <c r="N1987" t="s">
        <v>44905</v>
      </c>
      <c r="O1987" t="s">
        <v>44906</v>
      </c>
      <c r="P1987">
        <v>0</v>
      </c>
      <c r="Q1987">
        <v>0</v>
      </c>
      <c r="R1987" t="s">
        <v>44907</v>
      </c>
      <c r="S1987" t="s">
        <v>45026</v>
      </c>
      <c r="T1987" t="s">
        <v>46440</v>
      </c>
      <c r="U1987" t="s">
        <v>48397</v>
      </c>
      <c r="W1987" t="s">
        <v>41709</v>
      </c>
      <c r="X1987" t="s">
        <v>44908</v>
      </c>
    </row>
    <row r="1988" spans="1:24">
      <c r="A1988">
        <f>HYPERLINK("https://www.philgeps.gov.ph/GEPSNONPILOT/Tender/SplashBidNoticeAbstractUI.aspx?menuIndex=3&amp;refID=7084178&amp;Result=3","7084178")</f>
        <v>0</v>
      </c>
      <c r="B1988" t="s">
        <v>817</v>
      </c>
      <c r="C1988" t="s">
        <v>5439</v>
      </c>
      <c r="D1988" t="s">
        <v>18140</v>
      </c>
      <c r="E1988" t="s">
        <v>20035</v>
      </c>
      <c r="F1988" t="s">
        <v>31362</v>
      </c>
      <c r="G1988" t="s">
        <v>31368</v>
      </c>
      <c r="H1988" t="s">
        <v>15799</v>
      </c>
      <c r="I1988" t="s">
        <v>31466</v>
      </c>
      <c r="J1988" t="s">
        <v>32911</v>
      </c>
      <c r="K1988" t="s">
        <v>40697</v>
      </c>
      <c r="M1988" t="s">
        <v>41790</v>
      </c>
      <c r="N1988" t="s">
        <v>44905</v>
      </c>
      <c r="O1988" t="s">
        <v>44906</v>
      </c>
      <c r="P1988">
        <v>0</v>
      </c>
      <c r="Q1988">
        <v>1</v>
      </c>
      <c r="R1988" t="s">
        <v>44907</v>
      </c>
      <c r="S1988" t="s">
        <v>45026</v>
      </c>
      <c r="T1988" t="s">
        <v>46454</v>
      </c>
      <c r="U1988" t="s">
        <v>48583</v>
      </c>
      <c r="W1988" t="s">
        <v>41790</v>
      </c>
      <c r="X1988" t="s">
        <v>44908</v>
      </c>
    </row>
    <row r="1989" spans="1:24">
      <c r="A1989">
        <f>HYPERLINK("https://www.philgeps.gov.ph/GEPSNONPILOT/Tender/SplashBidNoticeAbstractUI.aspx?menuIndex=3&amp;refID=7084175&amp;Result=3","7084175")</f>
        <v>0</v>
      </c>
      <c r="B1989" t="s">
        <v>794</v>
      </c>
      <c r="C1989" t="s">
        <v>5440</v>
      </c>
      <c r="D1989" t="s">
        <v>18106</v>
      </c>
      <c r="E1989" t="s">
        <v>20036</v>
      </c>
      <c r="F1989" t="s">
        <v>31362</v>
      </c>
      <c r="G1989" t="s">
        <v>31369</v>
      </c>
      <c r="H1989" t="s">
        <v>15799</v>
      </c>
      <c r="I1989" t="s">
        <v>6373</v>
      </c>
      <c r="J1989" t="s">
        <v>32912</v>
      </c>
      <c r="K1989" t="s">
        <v>40661</v>
      </c>
      <c r="M1989" t="s">
        <v>41764</v>
      </c>
      <c r="N1989" t="s">
        <v>44905</v>
      </c>
      <c r="O1989" t="s">
        <v>44906</v>
      </c>
      <c r="P1989">
        <v>0</v>
      </c>
      <c r="Q1989">
        <v>0</v>
      </c>
      <c r="R1989" t="s">
        <v>44907</v>
      </c>
      <c r="S1989" t="s">
        <v>45026</v>
      </c>
      <c r="T1989" t="s">
        <v>46430</v>
      </c>
      <c r="U1989" t="s">
        <v>48584</v>
      </c>
      <c r="W1989" t="s">
        <v>41764</v>
      </c>
      <c r="X1989" t="s">
        <v>44908</v>
      </c>
    </row>
    <row r="1990" spans="1:24">
      <c r="A1990">
        <f>HYPERLINK("https://www.philgeps.gov.ph/GEPSNONPILOT/Tender/SplashBidNoticeAbstractUI.aspx?menuIndex=3&amp;refID=7084190&amp;Result=3","7084190")</f>
        <v>0</v>
      </c>
      <c r="B1990" t="s">
        <v>818</v>
      </c>
      <c r="C1990" t="s">
        <v>5441</v>
      </c>
      <c r="D1990" t="s">
        <v>18108</v>
      </c>
      <c r="E1990" t="s">
        <v>20037</v>
      </c>
      <c r="F1990" t="s">
        <v>31362</v>
      </c>
      <c r="G1990" t="s">
        <v>31368</v>
      </c>
      <c r="H1990" t="s">
        <v>15799</v>
      </c>
      <c r="I1990" t="s">
        <v>6373</v>
      </c>
      <c r="J1990" t="s">
        <v>32913</v>
      </c>
      <c r="K1990" t="s">
        <v>40661</v>
      </c>
      <c r="M1990" t="s">
        <v>41791</v>
      </c>
      <c r="N1990" t="s">
        <v>44905</v>
      </c>
      <c r="O1990" t="s">
        <v>44906</v>
      </c>
      <c r="P1990">
        <v>0</v>
      </c>
      <c r="Q1990">
        <v>11</v>
      </c>
      <c r="R1990" t="s">
        <v>44907</v>
      </c>
      <c r="S1990" t="s">
        <v>45026</v>
      </c>
      <c r="T1990" t="s">
        <v>46467</v>
      </c>
      <c r="U1990" t="s">
        <v>48585</v>
      </c>
      <c r="W1990" t="s">
        <v>41791</v>
      </c>
      <c r="X1990" t="s">
        <v>44908</v>
      </c>
    </row>
    <row r="1991" spans="1:24">
      <c r="A1991">
        <f>HYPERLINK("https://www.philgeps.gov.ph/GEPSNONPILOT/Tender/SplashBidNoticeAbstractUI.aspx?menuIndex=3&amp;refID=7084157&amp;Result=3","7084157")</f>
        <v>0</v>
      </c>
      <c r="B1991" t="s">
        <v>817</v>
      </c>
      <c r="C1991" t="s">
        <v>5442</v>
      </c>
      <c r="D1991" t="s">
        <v>18140</v>
      </c>
      <c r="E1991" t="s">
        <v>20038</v>
      </c>
      <c r="F1991" t="s">
        <v>31362</v>
      </c>
      <c r="G1991" t="s">
        <v>31368</v>
      </c>
      <c r="H1991" t="s">
        <v>15799</v>
      </c>
      <c r="I1991" t="s">
        <v>31422</v>
      </c>
      <c r="J1991" t="s">
        <v>31940</v>
      </c>
      <c r="K1991" t="s">
        <v>40697</v>
      </c>
      <c r="M1991" t="s">
        <v>41790</v>
      </c>
      <c r="N1991" t="s">
        <v>44905</v>
      </c>
      <c r="O1991" t="s">
        <v>44906</v>
      </c>
      <c r="P1991">
        <v>0</v>
      </c>
      <c r="Q1991">
        <v>2</v>
      </c>
      <c r="R1991" t="s">
        <v>44907</v>
      </c>
      <c r="S1991" t="s">
        <v>45026</v>
      </c>
      <c r="T1991" t="s">
        <v>46454</v>
      </c>
      <c r="U1991" t="s">
        <v>48586</v>
      </c>
      <c r="W1991" t="s">
        <v>41790</v>
      </c>
      <c r="X1991" t="s">
        <v>44908</v>
      </c>
    </row>
    <row r="1992" spans="1:24">
      <c r="A1992">
        <f>HYPERLINK("https://www.philgeps.gov.ph/GEPSNONPILOT/Tender/SplashBidNoticeAbstractUI.aspx?menuIndex=3&amp;refID=7084187&amp;Result=3","7084187")</f>
        <v>0</v>
      </c>
      <c r="B1992" t="s">
        <v>819</v>
      </c>
      <c r="C1992" t="s">
        <v>5443</v>
      </c>
      <c r="D1992" t="s">
        <v>18108</v>
      </c>
      <c r="E1992" t="s">
        <v>20039</v>
      </c>
      <c r="F1992" t="s">
        <v>31362</v>
      </c>
      <c r="G1992" t="s">
        <v>31370</v>
      </c>
      <c r="H1992" t="s">
        <v>15799</v>
      </c>
      <c r="I1992" t="s">
        <v>31478</v>
      </c>
      <c r="J1992" t="s">
        <v>32914</v>
      </c>
      <c r="K1992" t="s">
        <v>40665</v>
      </c>
      <c r="M1992" t="s">
        <v>41792</v>
      </c>
      <c r="N1992" t="s">
        <v>44905</v>
      </c>
      <c r="O1992" t="s">
        <v>44906</v>
      </c>
      <c r="P1992">
        <v>0</v>
      </c>
      <c r="Q1992">
        <v>1</v>
      </c>
      <c r="R1992" t="s">
        <v>44907</v>
      </c>
      <c r="S1992" t="s">
        <v>45026</v>
      </c>
      <c r="T1992" t="s">
        <v>46544</v>
      </c>
      <c r="U1992" t="s">
        <v>48587</v>
      </c>
      <c r="W1992" t="s">
        <v>41792</v>
      </c>
      <c r="X1992" t="s">
        <v>44908</v>
      </c>
    </row>
    <row r="1993" spans="1:24">
      <c r="A1993">
        <f>HYPERLINK("https://www.philgeps.gov.ph/GEPSNONPILOT/Tender/SplashBidNoticeAbstractUI.aspx?menuIndex=3&amp;refID=7084152&amp;Result=3","7084152")</f>
        <v>0</v>
      </c>
      <c r="B1993" t="s">
        <v>694</v>
      </c>
      <c r="C1993" t="s">
        <v>5444</v>
      </c>
      <c r="D1993" t="s">
        <v>18108</v>
      </c>
      <c r="E1993" t="s">
        <v>20040</v>
      </c>
      <c r="F1993" t="s">
        <v>31362</v>
      </c>
      <c r="G1993" t="s">
        <v>31368</v>
      </c>
      <c r="H1993" t="s">
        <v>15799</v>
      </c>
      <c r="I1993" t="s">
        <v>31380</v>
      </c>
      <c r="J1993" t="s">
        <v>31940</v>
      </c>
      <c r="K1993" t="s">
        <v>40666</v>
      </c>
      <c r="M1993" t="s">
        <v>41657</v>
      </c>
      <c r="N1993" t="s">
        <v>44905</v>
      </c>
      <c r="O1993" t="s">
        <v>44906</v>
      </c>
      <c r="P1993">
        <v>0</v>
      </c>
      <c r="Q1993">
        <v>2</v>
      </c>
      <c r="R1993" t="s">
        <v>44907</v>
      </c>
      <c r="S1993" t="s">
        <v>45026</v>
      </c>
      <c r="T1993" t="s">
        <v>46426</v>
      </c>
      <c r="U1993" t="s">
        <v>48279</v>
      </c>
      <c r="W1993" t="s">
        <v>41657</v>
      </c>
      <c r="X1993" t="s">
        <v>44908</v>
      </c>
    </row>
    <row r="1994" spans="1:24">
      <c r="A1994">
        <f>HYPERLINK("https://www.philgeps.gov.ph/GEPSNONPILOT/Tender/SplashBidNoticeAbstractUI.aspx?menuIndex=3&amp;refID=7084182&amp;Result=3","7084182")</f>
        <v>0</v>
      </c>
      <c r="B1994" t="s">
        <v>802</v>
      </c>
      <c r="C1994" t="s">
        <v>5445</v>
      </c>
      <c r="D1994" t="s">
        <v>18102</v>
      </c>
      <c r="E1994" t="s">
        <v>20041</v>
      </c>
      <c r="F1994" t="s">
        <v>31362</v>
      </c>
      <c r="G1994" t="s">
        <v>31369</v>
      </c>
      <c r="H1994" t="s">
        <v>15799</v>
      </c>
      <c r="I1994" t="s">
        <v>7090</v>
      </c>
      <c r="J1994" t="s">
        <v>32915</v>
      </c>
      <c r="K1994" t="s">
        <v>40675</v>
      </c>
      <c r="M1994" t="s">
        <v>41772</v>
      </c>
      <c r="N1994" t="s">
        <v>44905</v>
      </c>
      <c r="O1994" t="s">
        <v>44906</v>
      </c>
      <c r="P1994">
        <v>0</v>
      </c>
      <c r="Q1994">
        <v>1</v>
      </c>
      <c r="R1994" t="s">
        <v>44907</v>
      </c>
      <c r="S1994" t="s">
        <v>45026</v>
      </c>
      <c r="T1994" t="s">
        <v>46594</v>
      </c>
      <c r="U1994" t="s">
        <v>48588</v>
      </c>
      <c r="V1994" t="s">
        <v>59253</v>
      </c>
      <c r="W1994" t="s">
        <v>41772</v>
      </c>
      <c r="X1994" t="s">
        <v>44908</v>
      </c>
    </row>
    <row r="1995" spans="1:24">
      <c r="A1995">
        <f>HYPERLINK("https://www.philgeps.gov.ph/GEPSNONPILOT/Tender/SplashBidNoticeAbstractUI.aspx?menuIndex=3&amp;refID=7084151&amp;Result=3","7084151")</f>
        <v>0</v>
      </c>
      <c r="B1995" t="s">
        <v>134</v>
      </c>
      <c r="C1995" t="s">
        <v>5446</v>
      </c>
      <c r="D1995" t="s">
        <v>18108</v>
      </c>
      <c r="E1995" t="s">
        <v>20042</v>
      </c>
      <c r="F1995" t="s">
        <v>31362</v>
      </c>
      <c r="G1995" t="s">
        <v>31369</v>
      </c>
      <c r="H1995" t="s">
        <v>15799</v>
      </c>
      <c r="I1995" t="s">
        <v>31476</v>
      </c>
      <c r="J1995" t="s">
        <v>32916</v>
      </c>
      <c r="K1995" t="s">
        <v>40662</v>
      </c>
      <c r="L1995" t="s">
        <v>134</v>
      </c>
      <c r="M1995" t="s">
        <v>41370</v>
      </c>
      <c r="N1995" t="s">
        <v>44905</v>
      </c>
      <c r="O1995" t="s">
        <v>44906</v>
      </c>
      <c r="P1995">
        <v>0</v>
      </c>
      <c r="Q1995">
        <v>0</v>
      </c>
      <c r="R1995" t="s">
        <v>44907</v>
      </c>
      <c r="S1995" t="s">
        <v>45026</v>
      </c>
      <c r="T1995" t="s">
        <v>46431</v>
      </c>
      <c r="U1995" t="s">
        <v>47674</v>
      </c>
      <c r="W1995" t="s">
        <v>41370</v>
      </c>
      <c r="X1995" t="s">
        <v>44908</v>
      </c>
    </row>
    <row r="1996" spans="1:24">
      <c r="A1996">
        <f>HYPERLINK("https://www.philgeps.gov.ph/GEPSNONPILOT/Tender/SplashBidNoticeAbstractUI.aspx?menuIndex=3&amp;refID=7084192&amp;Result=3","7084192")</f>
        <v>0</v>
      </c>
      <c r="B1996" t="s">
        <v>820</v>
      </c>
      <c r="C1996" t="s">
        <v>5447</v>
      </c>
      <c r="D1996" t="s">
        <v>18100</v>
      </c>
      <c r="E1996" t="s">
        <v>20043</v>
      </c>
      <c r="F1996" t="s">
        <v>31362</v>
      </c>
      <c r="G1996" t="s">
        <v>31369</v>
      </c>
      <c r="H1996" t="s">
        <v>15799</v>
      </c>
      <c r="I1996" t="s">
        <v>31409</v>
      </c>
      <c r="J1996" t="s">
        <v>31542</v>
      </c>
      <c r="K1996" t="s">
        <v>40665</v>
      </c>
      <c r="M1996" t="s">
        <v>41793</v>
      </c>
      <c r="N1996" t="s">
        <v>44905</v>
      </c>
      <c r="O1996" t="s">
        <v>44906</v>
      </c>
      <c r="P1996">
        <v>0</v>
      </c>
      <c r="Q1996">
        <v>2</v>
      </c>
      <c r="R1996" t="s">
        <v>44907</v>
      </c>
      <c r="S1996" t="s">
        <v>45026</v>
      </c>
      <c r="T1996" t="s">
        <v>46595</v>
      </c>
      <c r="U1996" t="s">
        <v>48589</v>
      </c>
      <c r="W1996" t="s">
        <v>41793</v>
      </c>
      <c r="X1996" t="s">
        <v>44908</v>
      </c>
    </row>
    <row r="1997" spans="1:24">
      <c r="A1997">
        <f>HYPERLINK("https://www.philgeps.gov.ph/GEPSNONPILOT/Tender/SplashBidNoticeAbstractUI.aspx?menuIndex=3&amp;refID=7084149&amp;Result=3","7084149")</f>
        <v>0</v>
      </c>
      <c r="B1997" t="s">
        <v>715</v>
      </c>
      <c r="C1997" t="s">
        <v>5448</v>
      </c>
      <c r="D1997" t="s">
        <v>18125</v>
      </c>
      <c r="E1997" t="s">
        <v>20044</v>
      </c>
      <c r="F1997" t="s">
        <v>31362</v>
      </c>
      <c r="G1997" t="s">
        <v>31368</v>
      </c>
      <c r="H1997" t="s">
        <v>15799</v>
      </c>
      <c r="I1997" t="s">
        <v>31404</v>
      </c>
      <c r="J1997" t="s">
        <v>32917</v>
      </c>
      <c r="K1997" t="s">
        <v>40679</v>
      </c>
      <c r="M1997" t="s">
        <v>41680</v>
      </c>
      <c r="N1997" t="s">
        <v>44905</v>
      </c>
      <c r="O1997" t="s">
        <v>44906</v>
      </c>
      <c r="P1997">
        <v>0</v>
      </c>
      <c r="Q1997">
        <v>0</v>
      </c>
      <c r="R1997" t="s">
        <v>44907</v>
      </c>
      <c r="S1997" t="s">
        <v>45026</v>
      </c>
      <c r="T1997" t="s">
        <v>46435</v>
      </c>
      <c r="U1997" t="s">
        <v>48590</v>
      </c>
      <c r="W1997" t="s">
        <v>41680</v>
      </c>
      <c r="X1997" t="s">
        <v>44908</v>
      </c>
    </row>
    <row r="1998" spans="1:24">
      <c r="A1998">
        <f>HYPERLINK("https://www.philgeps.gov.ph/GEPSNONPILOT/Tender/SplashBidNoticeAbstractUI.aspx?menuIndex=3&amp;refID=7084176&amp;Result=3","7084176")</f>
        <v>0</v>
      </c>
      <c r="B1998" t="s">
        <v>821</v>
      </c>
      <c r="C1998" t="s">
        <v>5449</v>
      </c>
      <c r="D1998" t="s">
        <v>18104</v>
      </c>
      <c r="E1998" t="s">
        <v>20045</v>
      </c>
      <c r="F1998" t="s">
        <v>31362</v>
      </c>
      <c r="G1998" t="s">
        <v>31368</v>
      </c>
      <c r="H1998" t="s">
        <v>15799</v>
      </c>
      <c r="I1998" t="s">
        <v>31384</v>
      </c>
      <c r="J1998" t="s">
        <v>32918</v>
      </c>
      <c r="K1998" t="s">
        <v>40682</v>
      </c>
      <c r="M1998" t="s">
        <v>41794</v>
      </c>
      <c r="N1998" t="s">
        <v>44905</v>
      </c>
      <c r="O1998" t="s">
        <v>44906</v>
      </c>
      <c r="P1998">
        <v>0</v>
      </c>
      <c r="Q1998">
        <v>4</v>
      </c>
      <c r="R1998" t="s">
        <v>44907</v>
      </c>
      <c r="S1998" t="s">
        <v>45026</v>
      </c>
      <c r="T1998" t="s">
        <v>46444</v>
      </c>
      <c r="U1998" t="s">
        <v>48591</v>
      </c>
      <c r="W1998" t="s">
        <v>41794</v>
      </c>
      <c r="X1998" t="s">
        <v>44908</v>
      </c>
    </row>
    <row r="1999" spans="1:24">
      <c r="A1999">
        <f>HYPERLINK("https://www.philgeps.gov.ph/GEPSNONPILOT/Tender/SplashBidNoticeAbstractUI.aspx?menuIndex=3&amp;refID=7084184&amp;Result=3","7084184")</f>
        <v>0</v>
      </c>
      <c r="B1999" t="s">
        <v>822</v>
      </c>
      <c r="C1999" t="s">
        <v>5450</v>
      </c>
      <c r="D1999" t="s">
        <v>18157</v>
      </c>
      <c r="E1999" t="s">
        <v>20046</v>
      </c>
      <c r="F1999" t="s">
        <v>31362</v>
      </c>
      <c r="G1999" t="s">
        <v>31368</v>
      </c>
      <c r="H1999" t="s">
        <v>31379</v>
      </c>
      <c r="I1999" t="s">
        <v>3582</v>
      </c>
      <c r="J1999" t="s">
        <v>32919</v>
      </c>
      <c r="K1999" t="s">
        <v>40679</v>
      </c>
      <c r="M1999" t="s">
        <v>41795</v>
      </c>
      <c r="N1999" t="s">
        <v>44905</v>
      </c>
      <c r="O1999" t="s">
        <v>44906</v>
      </c>
      <c r="P1999">
        <v>0</v>
      </c>
      <c r="Q1999">
        <v>1</v>
      </c>
      <c r="R1999" t="s">
        <v>44907</v>
      </c>
      <c r="S1999" t="s">
        <v>45026</v>
      </c>
      <c r="T1999" t="s">
        <v>46396</v>
      </c>
      <c r="U1999" t="s">
        <v>48592</v>
      </c>
      <c r="V1999" t="s">
        <v>59259</v>
      </c>
      <c r="W1999" t="s">
        <v>41795</v>
      </c>
      <c r="X1999" t="s">
        <v>44908</v>
      </c>
    </row>
    <row r="2000" spans="1:24">
      <c r="A2000">
        <f>HYPERLINK("https://www.philgeps.gov.ph/GEPSNONPILOT/Tender/SplashBidNoticeAbstractUI.aspx?menuIndex=3&amp;refID=7084124&amp;Result=3","7084124")</f>
        <v>0</v>
      </c>
      <c r="B2000" t="s">
        <v>217</v>
      </c>
      <c r="C2000" t="s">
        <v>5404</v>
      </c>
      <c r="D2000" t="s">
        <v>18108</v>
      </c>
      <c r="E2000" t="s">
        <v>20047</v>
      </c>
      <c r="F2000" t="s">
        <v>31362</v>
      </c>
      <c r="G2000" t="s">
        <v>31370</v>
      </c>
      <c r="H2000" t="s">
        <v>15799</v>
      </c>
      <c r="I2000" t="s">
        <v>31380</v>
      </c>
      <c r="J2000" t="s">
        <v>31725</v>
      </c>
      <c r="K2000" t="s">
        <v>40697</v>
      </c>
      <c r="M2000" t="s">
        <v>41752</v>
      </c>
      <c r="N2000" t="s">
        <v>44905</v>
      </c>
      <c r="O2000" t="s">
        <v>44906</v>
      </c>
      <c r="P2000">
        <v>0</v>
      </c>
      <c r="Q2000">
        <v>1</v>
      </c>
      <c r="R2000" t="s">
        <v>44907</v>
      </c>
      <c r="S2000" t="s">
        <v>45026</v>
      </c>
      <c r="T2000" t="s">
        <v>46438</v>
      </c>
      <c r="U2000" t="s">
        <v>48593</v>
      </c>
      <c r="V2000" t="s">
        <v>59243</v>
      </c>
      <c r="W2000" t="s">
        <v>41752</v>
      </c>
      <c r="X2000" t="s">
        <v>44908</v>
      </c>
    </row>
    <row r="2001" spans="1:24">
      <c r="A2001">
        <f>HYPERLINK("https://www.philgeps.gov.ph/GEPSNONPILOT/Tender/SplashBidNoticeAbstractUI.aspx?menuIndex=3&amp;refID=7084155&amp;Result=3","7084155")</f>
        <v>0</v>
      </c>
      <c r="B2001" t="s">
        <v>217</v>
      </c>
      <c r="C2001" t="s">
        <v>5451</v>
      </c>
      <c r="D2001" t="s">
        <v>18108</v>
      </c>
      <c r="E2001" t="s">
        <v>20048</v>
      </c>
      <c r="F2001" t="s">
        <v>31362</v>
      </c>
      <c r="G2001" t="s">
        <v>31370</v>
      </c>
      <c r="H2001" t="s">
        <v>15799</v>
      </c>
      <c r="I2001" t="s">
        <v>31380</v>
      </c>
      <c r="J2001" t="s">
        <v>31688</v>
      </c>
      <c r="K2001" t="s">
        <v>40697</v>
      </c>
      <c r="M2001" t="s">
        <v>41752</v>
      </c>
      <c r="N2001" t="s">
        <v>44905</v>
      </c>
      <c r="O2001" t="s">
        <v>44906</v>
      </c>
      <c r="P2001">
        <v>0</v>
      </c>
      <c r="Q2001">
        <v>1</v>
      </c>
      <c r="R2001" t="s">
        <v>44907</v>
      </c>
      <c r="S2001" t="s">
        <v>45026</v>
      </c>
      <c r="T2001" t="s">
        <v>46438</v>
      </c>
      <c r="U2001" t="s">
        <v>48594</v>
      </c>
      <c r="V2001" t="s">
        <v>59243</v>
      </c>
      <c r="W2001" t="s">
        <v>41752</v>
      </c>
      <c r="X2001" t="s">
        <v>44908</v>
      </c>
    </row>
    <row r="2002" spans="1:24">
      <c r="A2002">
        <f>HYPERLINK("https://www.philgeps.gov.ph/GEPSNONPILOT/Tender/SplashBidNoticeAbstractUI.aspx?menuIndex=3&amp;refID=7084153&amp;Result=3","7084153")</f>
        <v>0</v>
      </c>
      <c r="B2002" t="s">
        <v>293</v>
      </c>
      <c r="C2002" t="s">
        <v>5452</v>
      </c>
      <c r="D2002" t="s">
        <v>18108</v>
      </c>
      <c r="E2002" t="s">
        <v>20049</v>
      </c>
      <c r="F2002" t="s">
        <v>31362</v>
      </c>
      <c r="G2002" t="s">
        <v>31371</v>
      </c>
      <c r="H2002" t="s">
        <v>15799</v>
      </c>
      <c r="I2002" t="s">
        <v>31431</v>
      </c>
      <c r="J2002" t="s">
        <v>32920</v>
      </c>
      <c r="K2002" t="s">
        <v>40661</v>
      </c>
      <c r="M2002" t="s">
        <v>41236</v>
      </c>
      <c r="N2002" t="s">
        <v>44905</v>
      </c>
      <c r="O2002" t="s">
        <v>44906</v>
      </c>
      <c r="P2002">
        <v>0</v>
      </c>
      <c r="Q2002">
        <v>3</v>
      </c>
      <c r="R2002" t="s">
        <v>44907</v>
      </c>
      <c r="S2002" t="s">
        <v>45026</v>
      </c>
      <c r="T2002" t="s">
        <v>46454</v>
      </c>
      <c r="U2002" t="s">
        <v>48595</v>
      </c>
      <c r="W2002" t="s">
        <v>41236</v>
      </c>
      <c r="X2002" t="s">
        <v>44908</v>
      </c>
    </row>
    <row r="2003" spans="1:24">
      <c r="A2003">
        <f>HYPERLINK("https://www.philgeps.gov.ph/GEPSNONPILOT/Tender/SplashBidNoticeAbstractUI.aspx?menuIndex=3&amp;refID=7084223&amp;Result=3","7084223")</f>
        <v>0</v>
      </c>
      <c r="B2003" t="s">
        <v>823</v>
      </c>
      <c r="C2003" t="s">
        <v>5453</v>
      </c>
      <c r="D2003" t="s">
        <v>18108</v>
      </c>
      <c r="E2003" t="s">
        <v>20050</v>
      </c>
      <c r="F2003" t="s">
        <v>31362</v>
      </c>
      <c r="G2003" t="s">
        <v>31369</v>
      </c>
      <c r="H2003" t="s">
        <v>31379</v>
      </c>
      <c r="I2003" t="s">
        <v>31451</v>
      </c>
      <c r="J2003" t="s">
        <v>32921</v>
      </c>
      <c r="K2003" t="s">
        <v>40723</v>
      </c>
      <c r="M2003" t="s">
        <v>41796</v>
      </c>
      <c r="N2003" t="s">
        <v>44905</v>
      </c>
      <c r="O2003" t="s">
        <v>44906</v>
      </c>
      <c r="P2003">
        <v>0</v>
      </c>
      <c r="Q2003">
        <v>6</v>
      </c>
      <c r="R2003" t="s">
        <v>44907</v>
      </c>
      <c r="S2003" t="s">
        <v>45026</v>
      </c>
      <c r="T2003" t="s">
        <v>46596</v>
      </c>
      <c r="U2003" t="s">
        <v>48596</v>
      </c>
      <c r="W2003" t="s">
        <v>41796</v>
      </c>
      <c r="X2003" t="s">
        <v>44908</v>
      </c>
    </row>
    <row r="2004" spans="1:24">
      <c r="A2004">
        <f>HYPERLINK("https://www.philgeps.gov.ph/GEPSNONPILOT/Tender/SplashBidNoticeAbstractUI.aspx?menuIndex=3&amp;refID=7084224&amp;Result=3","7084224")</f>
        <v>0</v>
      </c>
      <c r="B2004" t="s">
        <v>746</v>
      </c>
      <c r="C2004" t="s">
        <v>5454</v>
      </c>
      <c r="D2004" t="s">
        <v>18138</v>
      </c>
      <c r="E2004" t="s">
        <v>20051</v>
      </c>
      <c r="F2004" t="s">
        <v>31362</v>
      </c>
      <c r="G2004" t="s">
        <v>31369</v>
      </c>
      <c r="H2004" t="s">
        <v>31378</v>
      </c>
      <c r="I2004" t="s">
        <v>31386</v>
      </c>
      <c r="J2004" t="s">
        <v>31637</v>
      </c>
      <c r="K2004" t="s">
        <v>40683</v>
      </c>
      <c r="M2004" t="s">
        <v>41713</v>
      </c>
      <c r="N2004" t="s">
        <v>44905</v>
      </c>
      <c r="O2004" t="s">
        <v>44906</v>
      </c>
      <c r="P2004">
        <v>0</v>
      </c>
      <c r="Q2004">
        <v>0</v>
      </c>
      <c r="R2004" t="s">
        <v>44907</v>
      </c>
      <c r="S2004" t="s">
        <v>45026</v>
      </c>
      <c r="T2004" t="s">
        <v>46526</v>
      </c>
      <c r="U2004" t="s">
        <v>48597</v>
      </c>
      <c r="W2004" t="s">
        <v>41713</v>
      </c>
      <c r="X2004" t="s">
        <v>44908</v>
      </c>
    </row>
    <row r="2005" spans="1:24">
      <c r="A2005">
        <f>HYPERLINK("https://www.philgeps.gov.ph/GEPSNONPILOT/Tender/SplashBidNoticeAbstractUI.aspx?menuIndex=3&amp;refID=7084221&amp;Result=3","7084221")</f>
        <v>0</v>
      </c>
      <c r="B2005" t="s">
        <v>76</v>
      </c>
      <c r="C2005" t="s">
        <v>5455</v>
      </c>
      <c r="D2005" t="s">
        <v>18112</v>
      </c>
      <c r="E2005" t="s">
        <v>20052</v>
      </c>
      <c r="F2005" t="s">
        <v>31362</v>
      </c>
      <c r="G2005" t="s">
        <v>31368</v>
      </c>
      <c r="H2005" t="s">
        <v>15799</v>
      </c>
      <c r="I2005" t="s">
        <v>31385</v>
      </c>
      <c r="J2005" t="s">
        <v>32922</v>
      </c>
      <c r="K2005" t="s">
        <v>40665</v>
      </c>
      <c r="M2005" t="s">
        <v>41012</v>
      </c>
      <c r="N2005" t="s">
        <v>44905</v>
      </c>
      <c r="O2005" t="s">
        <v>44906</v>
      </c>
      <c r="P2005">
        <v>0</v>
      </c>
      <c r="Q2005">
        <v>0</v>
      </c>
      <c r="R2005" t="s">
        <v>44907</v>
      </c>
      <c r="S2005" t="s">
        <v>45026</v>
      </c>
      <c r="T2005" t="s">
        <v>46417</v>
      </c>
      <c r="U2005" t="s">
        <v>48598</v>
      </c>
      <c r="W2005" t="s">
        <v>41012</v>
      </c>
      <c r="X2005" t="s">
        <v>44908</v>
      </c>
    </row>
    <row r="2006" spans="1:24">
      <c r="A2006">
        <f>HYPERLINK("https://www.philgeps.gov.ph/GEPSNONPILOT/Tender/SplashBidNoticeAbstractUI.aspx?menuIndex=3&amp;refID=7084146&amp;Result=3","7084146")</f>
        <v>0</v>
      </c>
      <c r="B2006" t="s">
        <v>207</v>
      </c>
      <c r="C2006" t="s">
        <v>5456</v>
      </c>
      <c r="D2006" t="s">
        <v>18127</v>
      </c>
      <c r="E2006" t="s">
        <v>20053</v>
      </c>
      <c r="F2006" t="s">
        <v>31362</v>
      </c>
      <c r="G2006" t="s">
        <v>31370</v>
      </c>
      <c r="H2006" t="s">
        <v>15799</v>
      </c>
      <c r="I2006" t="s">
        <v>31382</v>
      </c>
      <c r="J2006" t="s">
        <v>31536</v>
      </c>
      <c r="K2006" t="s">
        <v>40661</v>
      </c>
      <c r="M2006" t="s">
        <v>41146</v>
      </c>
      <c r="N2006" t="s">
        <v>44905</v>
      </c>
      <c r="O2006" t="s">
        <v>44906</v>
      </c>
      <c r="P2006">
        <v>0</v>
      </c>
      <c r="Q2006">
        <v>2</v>
      </c>
      <c r="R2006" t="s">
        <v>44907</v>
      </c>
      <c r="S2006" t="s">
        <v>45026</v>
      </c>
      <c r="T2006" t="s">
        <v>46417</v>
      </c>
      <c r="U2006" t="s">
        <v>48599</v>
      </c>
      <c r="V2006" t="s">
        <v>59100</v>
      </c>
      <c r="W2006" t="s">
        <v>41146</v>
      </c>
      <c r="X2006" t="s">
        <v>44908</v>
      </c>
    </row>
    <row r="2007" spans="1:24">
      <c r="A2007">
        <f>HYPERLINK("https://www.philgeps.gov.ph/GEPSNONPILOT/Tender/SplashBidNoticeAbstractUI.aspx?menuIndex=3&amp;refID=7084216&amp;Result=3","7084216")</f>
        <v>0</v>
      </c>
      <c r="B2007" t="s">
        <v>824</v>
      </c>
      <c r="C2007" t="s">
        <v>5457</v>
      </c>
      <c r="D2007" t="s">
        <v>18131</v>
      </c>
      <c r="E2007" t="s">
        <v>20054</v>
      </c>
      <c r="F2007" t="s">
        <v>31362</v>
      </c>
      <c r="G2007" t="s">
        <v>31369</v>
      </c>
      <c r="H2007" t="s">
        <v>31378</v>
      </c>
      <c r="I2007" t="s">
        <v>31386</v>
      </c>
      <c r="J2007" t="s">
        <v>32923</v>
      </c>
      <c r="K2007" t="s">
        <v>40679</v>
      </c>
      <c r="M2007" t="s">
        <v>41797</v>
      </c>
      <c r="N2007" t="s">
        <v>44905</v>
      </c>
      <c r="O2007" t="s">
        <v>44906</v>
      </c>
      <c r="Q2007">
        <v>4</v>
      </c>
      <c r="R2007" t="s">
        <v>44907</v>
      </c>
      <c r="S2007" t="s">
        <v>45040</v>
      </c>
      <c r="T2007" t="s">
        <v>46449</v>
      </c>
      <c r="U2007" t="s">
        <v>48600</v>
      </c>
      <c r="V2007" t="s">
        <v>59260</v>
      </c>
      <c r="W2007" t="s">
        <v>41797</v>
      </c>
      <c r="X2007" t="s">
        <v>44908</v>
      </c>
    </row>
    <row r="2008" spans="1:24">
      <c r="A2008">
        <f>HYPERLINK("https://www.philgeps.gov.ph/GEPSNONPILOT/Tender/SplashBidNoticeAbstractUI.aspx?menuIndex=3&amp;refID=7084218&amp;Result=3","7084218")</f>
        <v>0</v>
      </c>
      <c r="B2008" t="s">
        <v>132</v>
      </c>
      <c r="C2008" t="s">
        <v>5458</v>
      </c>
      <c r="D2008" t="s">
        <v>18131</v>
      </c>
      <c r="E2008" t="s">
        <v>19797</v>
      </c>
      <c r="F2008" t="s">
        <v>31362</v>
      </c>
      <c r="G2008" t="s">
        <v>31369</v>
      </c>
      <c r="H2008" t="s">
        <v>31378</v>
      </c>
      <c r="I2008" t="s">
        <v>31427</v>
      </c>
      <c r="J2008" t="s">
        <v>31531</v>
      </c>
      <c r="K2008" t="s">
        <v>40682</v>
      </c>
      <c r="L2008" t="s">
        <v>132</v>
      </c>
      <c r="M2008" t="s">
        <v>41070</v>
      </c>
      <c r="N2008" t="s">
        <v>44905</v>
      </c>
      <c r="O2008" t="s">
        <v>44906</v>
      </c>
      <c r="P2008">
        <v>0</v>
      </c>
      <c r="Q2008">
        <v>0</v>
      </c>
      <c r="R2008" t="s">
        <v>44907</v>
      </c>
      <c r="S2008" t="s">
        <v>45026</v>
      </c>
      <c r="T2008" t="s">
        <v>46461</v>
      </c>
      <c r="U2008" t="s">
        <v>48601</v>
      </c>
      <c r="W2008" t="s">
        <v>41070</v>
      </c>
      <c r="X2008" t="s">
        <v>44908</v>
      </c>
    </row>
    <row r="2009" spans="1:24">
      <c r="A2009">
        <f>HYPERLINK("https://www.philgeps.gov.ph/GEPSNONPILOT/Tender/SplashBidNoticeAbstractUI.aspx?menuIndex=3&amp;refID=7084215&amp;Result=3","7084215")</f>
        <v>0</v>
      </c>
      <c r="B2009" t="s">
        <v>709</v>
      </c>
      <c r="C2009" t="s">
        <v>5459</v>
      </c>
      <c r="E2009" t="s">
        <v>20055</v>
      </c>
      <c r="F2009" t="s">
        <v>31362</v>
      </c>
      <c r="G2009" t="s">
        <v>31368</v>
      </c>
      <c r="H2009" t="s">
        <v>15799</v>
      </c>
      <c r="I2009" t="s">
        <v>31398</v>
      </c>
      <c r="J2009" t="s">
        <v>32924</v>
      </c>
      <c r="K2009" t="s">
        <v>40662</v>
      </c>
      <c r="M2009" t="s">
        <v>41674</v>
      </c>
      <c r="N2009" t="s">
        <v>44905</v>
      </c>
      <c r="O2009" t="s">
        <v>44906</v>
      </c>
      <c r="P2009">
        <v>0</v>
      </c>
      <c r="Q2009">
        <v>2</v>
      </c>
      <c r="R2009" t="s">
        <v>44907</v>
      </c>
      <c r="S2009" t="s">
        <v>45026</v>
      </c>
      <c r="T2009" t="s">
        <v>46575</v>
      </c>
      <c r="U2009" t="s">
        <v>48602</v>
      </c>
      <c r="W2009" t="s">
        <v>41674</v>
      </c>
      <c r="X2009" t="s">
        <v>44908</v>
      </c>
    </row>
    <row r="2010" spans="1:24">
      <c r="A2010">
        <f>HYPERLINK("https://www.philgeps.gov.ph/GEPSNONPILOT/Tender/SplashBidNoticeAbstractUI.aspx?menuIndex=3&amp;refID=7084213&amp;Result=3","7084213")</f>
        <v>0</v>
      </c>
      <c r="B2010" t="s">
        <v>825</v>
      </c>
      <c r="C2010" t="s">
        <v>5460</v>
      </c>
      <c r="D2010" t="s">
        <v>18110</v>
      </c>
      <c r="E2010" t="s">
        <v>20056</v>
      </c>
      <c r="F2010" t="s">
        <v>31362</v>
      </c>
      <c r="G2010" t="s">
        <v>31368</v>
      </c>
      <c r="H2010" t="s">
        <v>15799</v>
      </c>
      <c r="I2010" t="s">
        <v>6155</v>
      </c>
      <c r="J2010" t="s">
        <v>32925</v>
      </c>
      <c r="K2010" t="s">
        <v>40661</v>
      </c>
      <c r="M2010" t="s">
        <v>41798</v>
      </c>
      <c r="N2010" t="s">
        <v>44905</v>
      </c>
      <c r="O2010" t="s">
        <v>44906</v>
      </c>
      <c r="P2010">
        <v>0</v>
      </c>
      <c r="Q2010">
        <v>0</v>
      </c>
      <c r="R2010" t="s">
        <v>44907</v>
      </c>
      <c r="S2010" t="s">
        <v>45026</v>
      </c>
      <c r="T2010" t="s">
        <v>46597</v>
      </c>
      <c r="U2010" t="s">
        <v>48603</v>
      </c>
      <c r="V2010" t="s">
        <v>59261</v>
      </c>
      <c r="W2010" t="s">
        <v>41798</v>
      </c>
      <c r="X2010" t="s">
        <v>44908</v>
      </c>
    </row>
    <row r="2011" spans="1:24">
      <c r="A2011">
        <f>HYPERLINK("https://www.philgeps.gov.ph/GEPSNONPILOT/Tender/SplashBidNoticeAbstractUI.aspx?menuIndex=3&amp;refID=7084210&amp;Result=3","7084210")</f>
        <v>0</v>
      </c>
      <c r="B2011" t="s">
        <v>700</v>
      </c>
      <c r="C2011" t="s">
        <v>5461</v>
      </c>
      <c r="E2011" t="s">
        <v>20057</v>
      </c>
      <c r="F2011" t="s">
        <v>31362</v>
      </c>
      <c r="G2011" t="s">
        <v>31368</v>
      </c>
      <c r="H2011" t="s">
        <v>15799</v>
      </c>
      <c r="I2011" t="s">
        <v>31418</v>
      </c>
      <c r="J2011" t="s">
        <v>32926</v>
      </c>
      <c r="K2011" t="s">
        <v>40662</v>
      </c>
      <c r="M2011" t="s">
        <v>41665</v>
      </c>
      <c r="N2011" t="s">
        <v>44905</v>
      </c>
      <c r="O2011" t="s">
        <v>44906</v>
      </c>
      <c r="P2011">
        <v>0</v>
      </c>
      <c r="Q2011">
        <v>1</v>
      </c>
      <c r="R2011" t="s">
        <v>44907</v>
      </c>
      <c r="S2011" t="s">
        <v>45026</v>
      </c>
      <c r="T2011" t="s">
        <v>46593</v>
      </c>
      <c r="U2011" t="s">
        <v>48604</v>
      </c>
      <c r="V2011" t="s">
        <v>59256</v>
      </c>
      <c r="W2011" t="s">
        <v>41665</v>
      </c>
      <c r="X2011" t="s">
        <v>44908</v>
      </c>
    </row>
    <row r="2012" spans="1:24">
      <c r="A2012">
        <f>HYPERLINK("https://www.philgeps.gov.ph/GEPSNONPILOT/Tender/SplashBidNoticeAbstractUI.aspx?menuIndex=3&amp;refID=7084219&amp;Result=3","7084219")</f>
        <v>0</v>
      </c>
      <c r="B2012" t="s">
        <v>824</v>
      </c>
      <c r="C2012" t="s">
        <v>5462</v>
      </c>
      <c r="D2012" t="s">
        <v>18131</v>
      </c>
      <c r="E2012" t="s">
        <v>20058</v>
      </c>
      <c r="F2012" t="s">
        <v>31362</v>
      </c>
      <c r="G2012" t="s">
        <v>31369</v>
      </c>
      <c r="H2012" t="s">
        <v>31378</v>
      </c>
      <c r="I2012" t="s">
        <v>31386</v>
      </c>
      <c r="J2012" t="s">
        <v>32927</v>
      </c>
      <c r="K2012" t="s">
        <v>40694</v>
      </c>
      <c r="M2012" t="s">
        <v>41797</v>
      </c>
      <c r="N2012" t="s">
        <v>44905</v>
      </c>
      <c r="O2012" t="s">
        <v>44906</v>
      </c>
      <c r="Q2012">
        <v>4</v>
      </c>
      <c r="R2012" t="s">
        <v>44907</v>
      </c>
      <c r="S2012" t="s">
        <v>45041</v>
      </c>
      <c r="T2012" t="s">
        <v>46449</v>
      </c>
      <c r="U2012" t="s">
        <v>48605</v>
      </c>
      <c r="V2012" t="s">
        <v>59262</v>
      </c>
      <c r="W2012" t="s">
        <v>41797</v>
      </c>
      <c r="X2012" t="s">
        <v>44908</v>
      </c>
    </row>
    <row r="2013" spans="1:24">
      <c r="A2013">
        <f>HYPERLINK("https://www.philgeps.gov.ph/GEPSNONPILOT/Tender/SplashBidNoticeAbstractUI.aspx?menuIndex=3&amp;refID=7084209&amp;Result=3","7084209")</f>
        <v>0</v>
      </c>
      <c r="B2013" t="s">
        <v>742</v>
      </c>
      <c r="C2013" t="s">
        <v>5463</v>
      </c>
      <c r="D2013" t="s">
        <v>18109</v>
      </c>
      <c r="E2013" t="s">
        <v>20059</v>
      </c>
      <c r="F2013" t="s">
        <v>31362</v>
      </c>
      <c r="G2013" t="s">
        <v>31368</v>
      </c>
      <c r="H2013" t="s">
        <v>15799</v>
      </c>
      <c r="I2013" t="s">
        <v>31404</v>
      </c>
      <c r="J2013" t="s">
        <v>31604</v>
      </c>
      <c r="K2013" t="s">
        <v>40666</v>
      </c>
      <c r="M2013" t="s">
        <v>41709</v>
      </c>
      <c r="N2013" t="s">
        <v>44905</v>
      </c>
      <c r="O2013" t="s">
        <v>44906</v>
      </c>
      <c r="P2013">
        <v>0</v>
      </c>
      <c r="Q2013">
        <v>0</v>
      </c>
      <c r="R2013" t="s">
        <v>44907</v>
      </c>
      <c r="S2013" t="s">
        <v>45026</v>
      </c>
      <c r="T2013" t="s">
        <v>46440</v>
      </c>
      <c r="U2013" t="s">
        <v>48397</v>
      </c>
      <c r="W2013" t="s">
        <v>41709</v>
      </c>
      <c r="X2013" t="s">
        <v>44908</v>
      </c>
    </row>
    <row r="2014" spans="1:24">
      <c r="A2014">
        <f>HYPERLINK("https://www.philgeps.gov.ph/GEPSNONPILOT/Tender/SplashBidNoticeAbstractUI.aspx?menuIndex=3&amp;refID=7084208&amp;Result=3","7084208")</f>
        <v>0</v>
      </c>
      <c r="B2014" t="s">
        <v>117</v>
      </c>
      <c r="C2014" t="s">
        <v>5464</v>
      </c>
      <c r="D2014" t="s">
        <v>18152</v>
      </c>
      <c r="E2014" t="s">
        <v>20060</v>
      </c>
      <c r="F2014" t="s">
        <v>31362</v>
      </c>
      <c r="G2014" t="s">
        <v>31370</v>
      </c>
      <c r="H2014" t="s">
        <v>15799</v>
      </c>
      <c r="I2014" t="s">
        <v>31422</v>
      </c>
      <c r="J2014" t="s">
        <v>31780</v>
      </c>
      <c r="K2014" t="s">
        <v>40662</v>
      </c>
      <c r="M2014" t="s">
        <v>41054</v>
      </c>
      <c r="N2014" t="s">
        <v>44905</v>
      </c>
      <c r="O2014" t="s">
        <v>44906</v>
      </c>
      <c r="P2014">
        <v>0</v>
      </c>
      <c r="Q2014">
        <v>0</v>
      </c>
      <c r="R2014" t="s">
        <v>44907</v>
      </c>
      <c r="S2014" t="s">
        <v>45026</v>
      </c>
      <c r="T2014" t="s">
        <v>46533</v>
      </c>
      <c r="U2014" t="s">
        <v>48606</v>
      </c>
      <c r="W2014" t="s">
        <v>41054</v>
      </c>
      <c r="X2014" t="s">
        <v>44908</v>
      </c>
    </row>
    <row r="2015" spans="1:24">
      <c r="A2015">
        <f>HYPERLINK("https://www.philgeps.gov.ph/GEPSNONPILOT/Tender/SplashBidNoticeAbstractUI.aspx?menuIndex=3&amp;refID=7084214&amp;Result=3","7084214")</f>
        <v>0</v>
      </c>
      <c r="B2015" t="s">
        <v>826</v>
      </c>
      <c r="C2015" t="s">
        <v>5465</v>
      </c>
      <c r="D2015" t="s">
        <v>18131</v>
      </c>
      <c r="E2015" t="s">
        <v>19737</v>
      </c>
      <c r="F2015" t="s">
        <v>31362</v>
      </c>
      <c r="G2015" t="s">
        <v>31369</v>
      </c>
      <c r="H2015" t="s">
        <v>15799</v>
      </c>
      <c r="I2015" t="s">
        <v>3815</v>
      </c>
      <c r="J2015" t="s">
        <v>32928</v>
      </c>
      <c r="K2015" t="s">
        <v>40661</v>
      </c>
      <c r="M2015" t="s">
        <v>41799</v>
      </c>
      <c r="N2015" t="s">
        <v>44905</v>
      </c>
      <c r="O2015" t="s">
        <v>44906</v>
      </c>
      <c r="P2015">
        <v>0</v>
      </c>
      <c r="Q2015">
        <v>1</v>
      </c>
      <c r="R2015" t="s">
        <v>44907</v>
      </c>
      <c r="S2015" t="s">
        <v>45026</v>
      </c>
      <c r="T2015" t="s">
        <v>46505</v>
      </c>
      <c r="U2015" t="s">
        <v>48607</v>
      </c>
      <c r="V2015" t="s">
        <v>59263</v>
      </c>
      <c r="W2015" t="s">
        <v>41799</v>
      </c>
      <c r="X2015" t="s">
        <v>44908</v>
      </c>
    </row>
    <row r="2016" spans="1:24">
      <c r="A2016">
        <f>HYPERLINK("https://www.philgeps.gov.ph/GEPSNONPILOT/Tender/SplashBidNoticeAbstractUI.aspx?menuIndex=3&amp;refID=7084204&amp;Result=3","7084204")</f>
        <v>0</v>
      </c>
      <c r="B2016" t="s">
        <v>770</v>
      </c>
      <c r="C2016" t="s">
        <v>5466</v>
      </c>
      <c r="D2016" t="s">
        <v>18104</v>
      </c>
      <c r="E2016" t="s">
        <v>20061</v>
      </c>
      <c r="F2016" t="s">
        <v>31362</v>
      </c>
      <c r="G2016" t="s">
        <v>31368</v>
      </c>
      <c r="H2016" t="s">
        <v>15799</v>
      </c>
      <c r="I2016" t="s">
        <v>3815</v>
      </c>
      <c r="J2016" t="s">
        <v>32929</v>
      </c>
      <c r="K2016" t="s">
        <v>40697</v>
      </c>
      <c r="M2016" t="s">
        <v>41738</v>
      </c>
      <c r="N2016" t="s">
        <v>44905</v>
      </c>
      <c r="O2016" t="s">
        <v>44906</v>
      </c>
      <c r="P2016">
        <v>0</v>
      </c>
      <c r="Q2016">
        <v>0</v>
      </c>
      <c r="R2016" t="s">
        <v>44907</v>
      </c>
      <c r="S2016" t="s">
        <v>45026</v>
      </c>
      <c r="T2016" t="s">
        <v>46409</v>
      </c>
      <c r="U2016" t="s">
        <v>48459</v>
      </c>
      <c r="W2016" t="s">
        <v>41738</v>
      </c>
      <c r="X2016" t="s">
        <v>44908</v>
      </c>
    </row>
    <row r="2017" spans="1:24">
      <c r="A2017">
        <f>HYPERLINK("https://www.philgeps.gov.ph/GEPSNONPILOT/Tender/SplashBidNoticeAbstractUI.aspx?menuIndex=3&amp;refID=7084222&amp;Result=3","7084222")</f>
        <v>0</v>
      </c>
      <c r="B2017" t="s">
        <v>825</v>
      </c>
      <c r="C2017" t="s">
        <v>5467</v>
      </c>
      <c r="D2017" t="s">
        <v>18110</v>
      </c>
      <c r="E2017" t="s">
        <v>20062</v>
      </c>
      <c r="F2017" t="s">
        <v>31362</v>
      </c>
      <c r="G2017" t="s">
        <v>31368</v>
      </c>
      <c r="H2017" t="s">
        <v>15799</v>
      </c>
      <c r="I2017" t="s">
        <v>31385</v>
      </c>
      <c r="J2017" t="s">
        <v>32930</v>
      </c>
      <c r="K2017" t="s">
        <v>40661</v>
      </c>
      <c r="M2017" t="s">
        <v>41798</v>
      </c>
      <c r="N2017" t="s">
        <v>44905</v>
      </c>
      <c r="O2017" t="s">
        <v>44906</v>
      </c>
      <c r="P2017">
        <v>0</v>
      </c>
      <c r="Q2017">
        <v>1</v>
      </c>
      <c r="R2017" t="s">
        <v>44907</v>
      </c>
      <c r="S2017" t="s">
        <v>45026</v>
      </c>
      <c r="T2017" t="s">
        <v>46597</v>
      </c>
      <c r="U2017" t="s">
        <v>48608</v>
      </c>
      <c r="V2017" t="s">
        <v>59261</v>
      </c>
      <c r="W2017" t="s">
        <v>41798</v>
      </c>
      <c r="X2017" t="s">
        <v>44908</v>
      </c>
    </row>
    <row r="2018" spans="1:24">
      <c r="A2018">
        <f>HYPERLINK("https://www.philgeps.gov.ph/GEPSNONPILOT/Tender/SplashBidNoticeAbstractUI.aspx?menuIndex=3&amp;refID=7084217&amp;Result=3","7084217")</f>
        <v>0</v>
      </c>
      <c r="B2018" t="s">
        <v>630</v>
      </c>
      <c r="C2018" t="s">
        <v>5468</v>
      </c>
      <c r="D2018" t="s">
        <v>18181</v>
      </c>
      <c r="E2018" t="s">
        <v>20063</v>
      </c>
      <c r="F2018" t="s">
        <v>31362</v>
      </c>
      <c r="G2018" t="s">
        <v>31369</v>
      </c>
      <c r="H2018" t="s">
        <v>31378</v>
      </c>
      <c r="I2018" t="s">
        <v>31386</v>
      </c>
      <c r="J2018" t="s">
        <v>31637</v>
      </c>
      <c r="K2018" t="s">
        <v>40683</v>
      </c>
      <c r="M2018" t="s">
        <v>41590</v>
      </c>
      <c r="N2018" t="s">
        <v>44905</v>
      </c>
      <c r="O2018" t="s">
        <v>44906</v>
      </c>
      <c r="P2018">
        <v>0</v>
      </c>
      <c r="Q2018">
        <v>0</v>
      </c>
      <c r="R2018" t="s">
        <v>44907</v>
      </c>
      <c r="S2018" t="s">
        <v>45026</v>
      </c>
      <c r="T2018" t="s">
        <v>46564</v>
      </c>
      <c r="U2018" t="s">
        <v>48609</v>
      </c>
      <c r="W2018" t="s">
        <v>41590</v>
      </c>
      <c r="X2018" t="s">
        <v>44908</v>
      </c>
    </row>
    <row r="2019" spans="1:24">
      <c r="A2019">
        <f>HYPERLINK("https://www.philgeps.gov.ph/GEPSNONPILOT/Tender/SplashBidNoticeAbstractUI.aspx?menuIndex=3&amp;refID=7084119&amp;Result=3","7084119")</f>
        <v>0</v>
      </c>
      <c r="B2019" t="s">
        <v>254</v>
      </c>
      <c r="C2019" t="s">
        <v>5469</v>
      </c>
      <c r="D2019" t="s">
        <v>18127</v>
      </c>
      <c r="E2019" t="s">
        <v>20064</v>
      </c>
      <c r="F2019" t="s">
        <v>31362</v>
      </c>
      <c r="G2019" t="s">
        <v>31369</v>
      </c>
      <c r="H2019" t="s">
        <v>31378</v>
      </c>
      <c r="I2019" t="s">
        <v>31386</v>
      </c>
      <c r="J2019" t="s">
        <v>31606</v>
      </c>
      <c r="K2019" t="s">
        <v>40679</v>
      </c>
      <c r="M2019" t="s">
        <v>41194</v>
      </c>
      <c r="N2019" t="s">
        <v>44905</v>
      </c>
      <c r="O2019" t="s">
        <v>44906</v>
      </c>
      <c r="P2019">
        <v>0</v>
      </c>
      <c r="Q2019">
        <v>0</v>
      </c>
      <c r="R2019" t="s">
        <v>44907</v>
      </c>
      <c r="S2019" t="s">
        <v>45026</v>
      </c>
      <c r="T2019" t="s">
        <v>46598</v>
      </c>
      <c r="U2019" t="s">
        <v>48610</v>
      </c>
      <c r="W2019" t="s">
        <v>41194</v>
      </c>
      <c r="X2019" t="s">
        <v>44908</v>
      </c>
    </row>
    <row r="2020" spans="1:24">
      <c r="A2020">
        <f>HYPERLINK("https://www.philgeps.gov.ph/GEPSNONPILOT/Tender/SplashBidNoticeAbstractUI.aspx?menuIndex=3&amp;refID=7084206&amp;Result=3","7084206")</f>
        <v>0</v>
      </c>
      <c r="B2020" t="s">
        <v>809</v>
      </c>
      <c r="C2020" t="s">
        <v>5470</v>
      </c>
      <c r="D2020" t="s">
        <v>18116</v>
      </c>
      <c r="E2020" t="s">
        <v>20065</v>
      </c>
      <c r="F2020" t="s">
        <v>31362</v>
      </c>
      <c r="G2020" t="s">
        <v>31370</v>
      </c>
      <c r="H2020" t="s">
        <v>15799</v>
      </c>
      <c r="I2020" t="s">
        <v>31387</v>
      </c>
      <c r="J2020" t="s">
        <v>32931</v>
      </c>
      <c r="K2020" t="s">
        <v>40662</v>
      </c>
      <c r="M2020" t="s">
        <v>41780</v>
      </c>
      <c r="N2020" t="s">
        <v>44905</v>
      </c>
      <c r="O2020" t="s">
        <v>44906</v>
      </c>
      <c r="P2020">
        <v>0</v>
      </c>
      <c r="Q2020">
        <v>0</v>
      </c>
      <c r="R2020" t="s">
        <v>44907</v>
      </c>
      <c r="S2020" t="s">
        <v>45026</v>
      </c>
      <c r="T2020" t="s">
        <v>46447</v>
      </c>
      <c r="U2020" t="s">
        <v>48611</v>
      </c>
      <c r="W2020" t="s">
        <v>41780</v>
      </c>
      <c r="X2020" t="s">
        <v>44908</v>
      </c>
    </row>
    <row r="2021" spans="1:24">
      <c r="A2021">
        <f>HYPERLINK("https://www.philgeps.gov.ph/GEPSNONPILOT/Tender/SplashBidNoticeAbstractUI.aspx?menuIndex=3&amp;refID=7084098&amp;Result=3","7084098")</f>
        <v>0</v>
      </c>
      <c r="B2021" t="s">
        <v>134</v>
      </c>
      <c r="C2021" t="s">
        <v>5471</v>
      </c>
      <c r="D2021" t="s">
        <v>18108</v>
      </c>
      <c r="E2021" t="s">
        <v>20066</v>
      </c>
      <c r="F2021" t="s">
        <v>31362</v>
      </c>
      <c r="G2021" t="s">
        <v>31369</v>
      </c>
      <c r="H2021" t="s">
        <v>15799</v>
      </c>
      <c r="I2021" t="s">
        <v>4942</v>
      </c>
      <c r="J2021" t="s">
        <v>32932</v>
      </c>
      <c r="K2021" t="s">
        <v>40662</v>
      </c>
      <c r="L2021" t="s">
        <v>134</v>
      </c>
      <c r="M2021" t="s">
        <v>41370</v>
      </c>
      <c r="N2021" t="s">
        <v>44905</v>
      </c>
      <c r="O2021" t="s">
        <v>44906</v>
      </c>
      <c r="P2021">
        <v>0</v>
      </c>
      <c r="Q2021">
        <v>1</v>
      </c>
      <c r="R2021" t="s">
        <v>44907</v>
      </c>
      <c r="S2021" t="s">
        <v>45026</v>
      </c>
      <c r="T2021" t="s">
        <v>46431</v>
      </c>
      <c r="U2021" t="s">
        <v>47674</v>
      </c>
      <c r="W2021" t="s">
        <v>41370</v>
      </c>
      <c r="X2021" t="s">
        <v>44908</v>
      </c>
    </row>
    <row r="2022" spans="1:24">
      <c r="A2022">
        <f>HYPERLINK("https://www.philgeps.gov.ph/GEPSNONPILOT/Tender/SplashBidNoticeAbstractUI.aspx?menuIndex=3&amp;refID=7084205&amp;Result=3","7084205")</f>
        <v>0</v>
      </c>
      <c r="B2022" t="s">
        <v>827</v>
      </c>
      <c r="C2022" t="s">
        <v>5472</v>
      </c>
      <c r="E2022" t="s">
        <v>20067</v>
      </c>
      <c r="F2022" t="s">
        <v>31362</v>
      </c>
      <c r="G2022" t="s">
        <v>31369</v>
      </c>
      <c r="H2022" t="s">
        <v>15799</v>
      </c>
      <c r="I2022" t="s">
        <v>3815</v>
      </c>
      <c r="J2022" t="s">
        <v>31843</v>
      </c>
      <c r="K2022" t="s">
        <v>40662</v>
      </c>
      <c r="M2022" t="s">
        <v>41800</v>
      </c>
      <c r="N2022" t="s">
        <v>44905</v>
      </c>
      <c r="O2022" t="s">
        <v>44906</v>
      </c>
      <c r="P2022">
        <v>0</v>
      </c>
      <c r="Q2022">
        <v>0</v>
      </c>
      <c r="R2022" t="s">
        <v>44907</v>
      </c>
      <c r="S2022" t="s">
        <v>45026</v>
      </c>
      <c r="T2022" t="s">
        <v>46397</v>
      </c>
      <c r="U2022" t="s">
        <v>48612</v>
      </c>
      <c r="W2022" t="s">
        <v>41800</v>
      </c>
      <c r="X2022" t="s">
        <v>44908</v>
      </c>
    </row>
    <row r="2023" spans="1:24">
      <c r="A2023">
        <f>HYPERLINK("https://www.philgeps.gov.ph/GEPSNONPILOT/Tender/SplashBidNoticeAbstractUI.aspx?menuIndex=3&amp;refID=7084188&amp;Result=3","7084188")</f>
        <v>0</v>
      </c>
      <c r="B2023" t="s">
        <v>74</v>
      </c>
      <c r="C2023" t="s">
        <v>5473</v>
      </c>
      <c r="D2023" t="s">
        <v>18108</v>
      </c>
      <c r="E2023" t="s">
        <v>20068</v>
      </c>
      <c r="F2023" t="s">
        <v>31362</v>
      </c>
      <c r="G2023" t="s">
        <v>31368</v>
      </c>
      <c r="H2023" t="s">
        <v>15799</v>
      </c>
      <c r="I2023" t="s">
        <v>31393</v>
      </c>
      <c r="J2023" t="s">
        <v>32933</v>
      </c>
      <c r="K2023" t="s">
        <v>40662</v>
      </c>
      <c r="M2023" t="s">
        <v>41010</v>
      </c>
      <c r="N2023" t="s">
        <v>44905</v>
      </c>
      <c r="O2023" t="s">
        <v>44906</v>
      </c>
      <c r="P2023">
        <v>0</v>
      </c>
      <c r="Q2023">
        <v>6</v>
      </c>
      <c r="R2023" t="s">
        <v>44907</v>
      </c>
      <c r="S2023" t="s">
        <v>45026</v>
      </c>
      <c r="T2023" t="s">
        <v>46417</v>
      </c>
      <c r="U2023" t="s">
        <v>48613</v>
      </c>
      <c r="W2023" t="s">
        <v>41010</v>
      </c>
      <c r="X2023" t="s">
        <v>44908</v>
      </c>
    </row>
    <row r="2024" spans="1:24">
      <c r="A2024">
        <f>HYPERLINK("https://www.philgeps.gov.ph/GEPSNONPILOT/Tender/SplashBidNoticeAbstractUI.aspx?menuIndex=3&amp;refID=7084096&amp;Result=3","7084096")</f>
        <v>0</v>
      </c>
      <c r="B2024" t="s">
        <v>217</v>
      </c>
      <c r="C2024" t="s">
        <v>5474</v>
      </c>
      <c r="D2024" t="s">
        <v>18108</v>
      </c>
      <c r="E2024" t="s">
        <v>20069</v>
      </c>
      <c r="F2024" t="s">
        <v>31362</v>
      </c>
      <c r="G2024" t="s">
        <v>31370</v>
      </c>
      <c r="H2024" t="s">
        <v>15799</v>
      </c>
      <c r="I2024" t="s">
        <v>31380</v>
      </c>
      <c r="J2024" t="s">
        <v>32082</v>
      </c>
      <c r="K2024" t="s">
        <v>40697</v>
      </c>
      <c r="M2024" t="s">
        <v>41752</v>
      </c>
      <c r="N2024" t="s">
        <v>44905</v>
      </c>
      <c r="O2024" t="s">
        <v>44906</v>
      </c>
      <c r="P2024">
        <v>0</v>
      </c>
      <c r="Q2024">
        <v>1</v>
      </c>
      <c r="R2024" t="s">
        <v>44907</v>
      </c>
      <c r="S2024" t="s">
        <v>45026</v>
      </c>
      <c r="T2024" t="s">
        <v>46438</v>
      </c>
      <c r="U2024" t="s">
        <v>48614</v>
      </c>
      <c r="V2024" t="s">
        <v>59243</v>
      </c>
      <c r="W2024" t="s">
        <v>41752</v>
      </c>
      <c r="X2024" t="s">
        <v>44908</v>
      </c>
    </row>
    <row r="2025" spans="1:24">
      <c r="A2025">
        <f>HYPERLINK("https://www.philgeps.gov.ph/GEPSNONPILOT/Tender/SplashBidNoticeAbstractUI.aspx?menuIndex=3&amp;refID=7084121&amp;Result=3","7084121")</f>
        <v>0</v>
      </c>
      <c r="B2025" t="s">
        <v>572</v>
      </c>
      <c r="C2025" t="s">
        <v>5475</v>
      </c>
      <c r="E2025" t="s">
        <v>20070</v>
      </c>
      <c r="F2025" t="s">
        <v>31362</v>
      </c>
      <c r="G2025" t="s">
        <v>31370</v>
      </c>
      <c r="H2025" t="s">
        <v>15799</v>
      </c>
      <c r="I2025" t="s">
        <v>31385</v>
      </c>
      <c r="J2025" t="s">
        <v>32934</v>
      </c>
      <c r="K2025" t="s">
        <v>40662</v>
      </c>
      <c r="M2025" t="s">
        <v>41801</v>
      </c>
      <c r="N2025" t="s">
        <v>44905</v>
      </c>
      <c r="O2025" t="s">
        <v>44906</v>
      </c>
      <c r="P2025">
        <v>0</v>
      </c>
      <c r="Q2025">
        <v>4</v>
      </c>
      <c r="R2025" t="s">
        <v>44907</v>
      </c>
      <c r="S2025" t="s">
        <v>45026</v>
      </c>
      <c r="T2025" t="s">
        <v>46453</v>
      </c>
      <c r="U2025" t="s">
        <v>48615</v>
      </c>
      <c r="W2025" t="s">
        <v>60860</v>
      </c>
      <c r="X2025" t="s">
        <v>44908</v>
      </c>
    </row>
    <row r="2026" spans="1:24">
      <c r="A2026">
        <f>HYPERLINK("https://www.philgeps.gov.ph/GEPSNONPILOT/Tender/SplashBidNoticeAbstractUI.aspx?menuIndex=3&amp;refID=7084249&amp;Result=3","7084249")</f>
        <v>0</v>
      </c>
      <c r="B2026" t="s">
        <v>76</v>
      </c>
      <c r="C2026" t="s">
        <v>5476</v>
      </c>
      <c r="D2026" t="s">
        <v>18112</v>
      </c>
      <c r="E2026" t="s">
        <v>20071</v>
      </c>
      <c r="F2026" t="s">
        <v>31362</v>
      </c>
      <c r="G2026" t="s">
        <v>31368</v>
      </c>
      <c r="H2026" t="s">
        <v>15799</v>
      </c>
      <c r="I2026" t="s">
        <v>31414</v>
      </c>
      <c r="J2026" t="s">
        <v>32935</v>
      </c>
      <c r="K2026" t="s">
        <v>40665</v>
      </c>
      <c r="M2026" t="s">
        <v>41012</v>
      </c>
      <c r="N2026" t="s">
        <v>44905</v>
      </c>
      <c r="O2026" t="s">
        <v>44906</v>
      </c>
      <c r="P2026">
        <v>0</v>
      </c>
      <c r="Q2026">
        <v>1</v>
      </c>
      <c r="R2026" t="s">
        <v>44907</v>
      </c>
      <c r="S2026" t="s">
        <v>45026</v>
      </c>
      <c r="T2026" t="s">
        <v>46417</v>
      </c>
      <c r="U2026" t="s">
        <v>48616</v>
      </c>
      <c r="W2026" t="s">
        <v>41012</v>
      </c>
      <c r="X2026" t="s">
        <v>44908</v>
      </c>
    </row>
    <row r="2027" spans="1:24">
      <c r="A2027">
        <f>HYPERLINK("https://www.philgeps.gov.ph/GEPSNONPILOT/Tender/SplashBidNoticeAbstractUI.aspx?menuIndex=3&amp;refID=7084248&amp;Result=3","7084248")</f>
        <v>0</v>
      </c>
      <c r="B2027" t="s">
        <v>828</v>
      </c>
      <c r="C2027" t="s">
        <v>5477</v>
      </c>
      <c r="D2027" t="s">
        <v>18148</v>
      </c>
      <c r="E2027" t="s">
        <v>18378</v>
      </c>
      <c r="F2027" t="s">
        <v>31362</v>
      </c>
      <c r="G2027" t="s">
        <v>31369</v>
      </c>
      <c r="H2027" t="s">
        <v>31378</v>
      </c>
      <c r="I2027" t="s">
        <v>31386</v>
      </c>
      <c r="J2027" t="s">
        <v>31734</v>
      </c>
      <c r="K2027" t="s">
        <v>40662</v>
      </c>
      <c r="M2027" t="s">
        <v>41802</v>
      </c>
      <c r="N2027" t="s">
        <v>44905</v>
      </c>
      <c r="O2027" t="s">
        <v>44906</v>
      </c>
      <c r="P2027">
        <v>0</v>
      </c>
      <c r="Q2027">
        <v>0</v>
      </c>
      <c r="R2027" t="s">
        <v>44907</v>
      </c>
      <c r="S2027" t="s">
        <v>45026</v>
      </c>
      <c r="T2027" t="s">
        <v>46413</v>
      </c>
      <c r="U2027" t="s">
        <v>48617</v>
      </c>
      <c r="W2027" t="s">
        <v>41802</v>
      </c>
      <c r="X2027" t="s">
        <v>44908</v>
      </c>
    </row>
    <row r="2028" spans="1:24">
      <c r="A2028">
        <f>HYPERLINK("https://www.philgeps.gov.ph/GEPSNONPILOT/Tender/SplashBidNoticeAbstractUI.aspx?menuIndex=3&amp;refID=7084097&amp;Result=3","7084097")</f>
        <v>0</v>
      </c>
      <c r="B2028" t="s">
        <v>829</v>
      </c>
      <c r="C2028" t="s">
        <v>5478</v>
      </c>
      <c r="D2028" t="s">
        <v>18140</v>
      </c>
      <c r="E2028" t="s">
        <v>20072</v>
      </c>
      <c r="F2028" t="s">
        <v>31362</v>
      </c>
      <c r="G2028" t="s">
        <v>31369</v>
      </c>
      <c r="H2028" t="s">
        <v>15799</v>
      </c>
      <c r="I2028" t="s">
        <v>3815</v>
      </c>
      <c r="J2028" t="s">
        <v>32936</v>
      </c>
      <c r="K2028" t="s">
        <v>40666</v>
      </c>
      <c r="M2028" t="s">
        <v>41803</v>
      </c>
      <c r="N2028" t="s">
        <v>44905</v>
      </c>
      <c r="O2028" t="s">
        <v>44906</v>
      </c>
      <c r="P2028">
        <v>0</v>
      </c>
      <c r="Q2028">
        <v>0</v>
      </c>
      <c r="R2028" t="s">
        <v>44907</v>
      </c>
      <c r="S2028" t="s">
        <v>45026</v>
      </c>
      <c r="T2028" t="s">
        <v>46396</v>
      </c>
      <c r="U2028" t="s">
        <v>48618</v>
      </c>
      <c r="W2028" t="s">
        <v>41803</v>
      </c>
      <c r="X2028" t="s">
        <v>44908</v>
      </c>
    </row>
    <row r="2029" spans="1:24">
      <c r="A2029">
        <f>HYPERLINK("https://www.philgeps.gov.ph/GEPSNONPILOT/Tender/SplashBidNoticeAbstractUI.aspx?menuIndex=3&amp;refID=7084203&amp;Result=3","7084203")</f>
        <v>0</v>
      </c>
      <c r="B2029" t="s">
        <v>591</v>
      </c>
      <c r="C2029" t="s">
        <v>5479</v>
      </c>
      <c r="D2029" t="s">
        <v>18109</v>
      </c>
      <c r="E2029" t="s">
        <v>20073</v>
      </c>
      <c r="F2029" t="s">
        <v>31362</v>
      </c>
      <c r="G2029" t="s">
        <v>31368</v>
      </c>
      <c r="H2029" t="s">
        <v>15799</v>
      </c>
      <c r="I2029" t="s">
        <v>31430</v>
      </c>
      <c r="J2029" t="s">
        <v>32937</v>
      </c>
      <c r="K2029" t="s">
        <v>40666</v>
      </c>
      <c r="M2029" t="s">
        <v>41548</v>
      </c>
      <c r="N2029" t="s">
        <v>44905</v>
      </c>
      <c r="O2029" t="s">
        <v>44906</v>
      </c>
      <c r="P2029">
        <v>0</v>
      </c>
      <c r="Q2029">
        <v>0</v>
      </c>
      <c r="R2029" t="s">
        <v>44907</v>
      </c>
      <c r="S2029" t="s">
        <v>45026</v>
      </c>
      <c r="T2029" t="s">
        <v>46432</v>
      </c>
      <c r="U2029" t="s">
        <v>48056</v>
      </c>
      <c r="W2029" t="s">
        <v>41548</v>
      </c>
      <c r="X2029" t="s">
        <v>44908</v>
      </c>
    </row>
    <row r="2030" spans="1:24">
      <c r="A2030">
        <f>HYPERLINK("https://www.philgeps.gov.ph/GEPSNONPILOT/Tender/SplashBidNoticeAbstractUI.aspx?menuIndex=3&amp;refID=7084245&amp;Result=3","7084245")</f>
        <v>0</v>
      </c>
      <c r="B2030" t="s">
        <v>700</v>
      </c>
      <c r="C2030" t="s">
        <v>5480</v>
      </c>
      <c r="E2030" t="s">
        <v>20074</v>
      </c>
      <c r="F2030" t="s">
        <v>31362</v>
      </c>
      <c r="G2030" t="s">
        <v>31368</v>
      </c>
      <c r="H2030" t="s">
        <v>15799</v>
      </c>
      <c r="I2030" t="s">
        <v>31389</v>
      </c>
      <c r="J2030" t="s">
        <v>32938</v>
      </c>
      <c r="K2030" t="s">
        <v>40662</v>
      </c>
      <c r="M2030" t="s">
        <v>41665</v>
      </c>
      <c r="N2030" t="s">
        <v>44905</v>
      </c>
      <c r="O2030" t="s">
        <v>44906</v>
      </c>
      <c r="P2030">
        <v>0</v>
      </c>
      <c r="Q2030">
        <v>5</v>
      </c>
      <c r="R2030" t="s">
        <v>44907</v>
      </c>
      <c r="S2030" t="s">
        <v>45026</v>
      </c>
      <c r="T2030" t="s">
        <v>46593</v>
      </c>
      <c r="U2030" t="s">
        <v>48619</v>
      </c>
      <c r="V2030" t="s">
        <v>59256</v>
      </c>
      <c r="W2030" t="s">
        <v>41665</v>
      </c>
      <c r="X2030" t="s">
        <v>44908</v>
      </c>
    </row>
    <row r="2031" spans="1:24">
      <c r="A2031">
        <f>HYPERLINK("https://www.philgeps.gov.ph/GEPSNONPILOT/Tender/SplashBidNoticeAbstractUI.aspx?menuIndex=3&amp;refID=7084244&amp;Result=3","7084244")</f>
        <v>0</v>
      </c>
      <c r="B2031" t="s">
        <v>132</v>
      </c>
      <c r="C2031" t="s">
        <v>5481</v>
      </c>
      <c r="D2031" t="s">
        <v>18131</v>
      </c>
      <c r="E2031" t="s">
        <v>19797</v>
      </c>
      <c r="F2031" t="s">
        <v>31362</v>
      </c>
      <c r="G2031" t="s">
        <v>31368</v>
      </c>
      <c r="H2031" t="s">
        <v>31379</v>
      </c>
      <c r="I2031" t="s">
        <v>31382</v>
      </c>
      <c r="J2031" t="s">
        <v>31536</v>
      </c>
      <c r="K2031" t="s">
        <v>40666</v>
      </c>
      <c r="L2031" t="s">
        <v>132</v>
      </c>
      <c r="M2031" t="s">
        <v>41070</v>
      </c>
      <c r="N2031" t="s">
        <v>44905</v>
      </c>
      <c r="O2031" t="s">
        <v>44906</v>
      </c>
      <c r="P2031">
        <v>0</v>
      </c>
      <c r="Q2031">
        <v>2</v>
      </c>
      <c r="R2031" t="s">
        <v>44907</v>
      </c>
      <c r="S2031" t="s">
        <v>45026</v>
      </c>
      <c r="T2031" t="s">
        <v>46461</v>
      </c>
      <c r="U2031" t="s">
        <v>48620</v>
      </c>
      <c r="W2031" t="s">
        <v>41070</v>
      </c>
      <c r="X2031" t="s">
        <v>44908</v>
      </c>
    </row>
    <row r="2032" spans="1:24">
      <c r="A2032">
        <f>HYPERLINK("https://www.philgeps.gov.ph/GEPSNONPILOT/Tender/SplashBidNoticeAbstractUI.aspx?menuIndex=3&amp;refID=7084225&amp;Result=3","7084225")</f>
        <v>0</v>
      </c>
      <c r="B2032" t="s">
        <v>830</v>
      </c>
      <c r="C2032" t="s">
        <v>5482</v>
      </c>
      <c r="D2032" t="s">
        <v>18110</v>
      </c>
      <c r="E2032" t="s">
        <v>20075</v>
      </c>
      <c r="F2032" t="s">
        <v>31362</v>
      </c>
      <c r="G2032" t="s">
        <v>31369</v>
      </c>
      <c r="H2032" t="s">
        <v>15799</v>
      </c>
      <c r="I2032" t="s">
        <v>31404</v>
      </c>
      <c r="J2032" t="s">
        <v>32939</v>
      </c>
      <c r="K2032" t="s">
        <v>40678</v>
      </c>
      <c r="M2032" t="s">
        <v>41804</v>
      </c>
      <c r="N2032" t="s">
        <v>44905</v>
      </c>
      <c r="O2032" t="s">
        <v>44906</v>
      </c>
      <c r="P2032">
        <v>0</v>
      </c>
      <c r="Q2032">
        <v>0</v>
      </c>
      <c r="R2032" t="s">
        <v>44907</v>
      </c>
      <c r="S2032" t="s">
        <v>45026</v>
      </c>
      <c r="T2032" t="s">
        <v>46431</v>
      </c>
      <c r="U2032" t="s">
        <v>48621</v>
      </c>
      <c r="W2032" t="s">
        <v>41804</v>
      </c>
      <c r="X2032" t="s">
        <v>44908</v>
      </c>
    </row>
    <row r="2033" spans="1:24">
      <c r="A2033">
        <f>HYPERLINK("https://www.philgeps.gov.ph/GEPSNONPILOT/Tender/SplashBidNoticeAbstractUI.aspx?menuIndex=3&amp;refID=7084250&amp;Result=3","7084250")</f>
        <v>0</v>
      </c>
      <c r="B2033" t="s">
        <v>831</v>
      </c>
      <c r="C2033" t="s">
        <v>5483</v>
      </c>
      <c r="D2033" t="s">
        <v>18108</v>
      </c>
      <c r="E2033" t="s">
        <v>20076</v>
      </c>
      <c r="F2033" t="s">
        <v>31362</v>
      </c>
      <c r="G2033" t="s">
        <v>31369</v>
      </c>
      <c r="H2033" t="s">
        <v>15799</v>
      </c>
      <c r="I2033" t="s">
        <v>31385</v>
      </c>
      <c r="J2033" t="s">
        <v>31674</v>
      </c>
      <c r="K2033" t="s">
        <v>40666</v>
      </c>
      <c r="M2033" t="s">
        <v>41805</v>
      </c>
      <c r="N2033" t="s">
        <v>44905</v>
      </c>
      <c r="O2033" t="s">
        <v>44906</v>
      </c>
      <c r="P2033">
        <v>0</v>
      </c>
      <c r="Q2033">
        <v>0</v>
      </c>
      <c r="R2033" t="s">
        <v>44907</v>
      </c>
      <c r="S2033" t="s">
        <v>45026</v>
      </c>
      <c r="T2033" t="s">
        <v>46403</v>
      </c>
      <c r="U2033" t="s">
        <v>47749</v>
      </c>
      <c r="W2033" t="s">
        <v>41805</v>
      </c>
      <c r="X2033" t="s">
        <v>44908</v>
      </c>
    </row>
    <row r="2034" spans="1:24">
      <c r="A2034">
        <f>HYPERLINK("https://www.philgeps.gov.ph/GEPSNONPILOT/Tender/SplashBidNoticeAbstractUI.aspx?menuIndex=3&amp;refID=7084243&amp;Result=3","7084243")</f>
        <v>0</v>
      </c>
      <c r="B2034" t="s">
        <v>832</v>
      </c>
      <c r="C2034" t="s">
        <v>5484</v>
      </c>
      <c r="E2034" t="s">
        <v>20077</v>
      </c>
      <c r="F2034" t="s">
        <v>31362</v>
      </c>
      <c r="G2034" t="s">
        <v>31369</v>
      </c>
      <c r="H2034" t="s">
        <v>15799</v>
      </c>
      <c r="I2034" t="s">
        <v>31386</v>
      </c>
      <c r="J2034" t="s">
        <v>32940</v>
      </c>
      <c r="K2034" t="s">
        <v>40662</v>
      </c>
      <c r="M2034" t="s">
        <v>41806</v>
      </c>
      <c r="N2034" t="s">
        <v>44905</v>
      </c>
      <c r="O2034" t="s">
        <v>44906</v>
      </c>
      <c r="P2034">
        <v>0</v>
      </c>
      <c r="Q2034">
        <v>6</v>
      </c>
      <c r="R2034" t="s">
        <v>44907</v>
      </c>
      <c r="S2034" t="s">
        <v>45026</v>
      </c>
      <c r="T2034" t="s">
        <v>46599</v>
      </c>
      <c r="U2034" t="s">
        <v>48622</v>
      </c>
      <c r="W2034" t="s">
        <v>41806</v>
      </c>
      <c r="X2034" t="s">
        <v>44908</v>
      </c>
    </row>
    <row r="2035" spans="1:24">
      <c r="A2035">
        <f>HYPERLINK("https://www.philgeps.gov.ph/GEPSNONPILOT/Tender/SplashBidNoticeAbstractUI.aspx?menuIndex=3&amp;refID=7084241&amp;Result=3","7084241")</f>
        <v>0</v>
      </c>
      <c r="B2035" t="s">
        <v>833</v>
      </c>
      <c r="C2035" t="s">
        <v>5485</v>
      </c>
      <c r="D2035" t="s">
        <v>18171</v>
      </c>
      <c r="E2035" t="s">
        <v>20078</v>
      </c>
      <c r="F2035" t="s">
        <v>31362</v>
      </c>
      <c r="G2035" t="s">
        <v>31369</v>
      </c>
      <c r="H2035" t="s">
        <v>31378</v>
      </c>
      <c r="I2035" t="s">
        <v>31386</v>
      </c>
      <c r="J2035" t="s">
        <v>31951</v>
      </c>
      <c r="K2035" t="s">
        <v>40718</v>
      </c>
      <c r="M2035" t="s">
        <v>41807</v>
      </c>
      <c r="N2035" t="s">
        <v>44905</v>
      </c>
      <c r="O2035" t="s">
        <v>44906</v>
      </c>
      <c r="P2035">
        <v>0</v>
      </c>
      <c r="Q2035">
        <v>0</v>
      </c>
      <c r="R2035" t="s">
        <v>44907</v>
      </c>
      <c r="S2035" t="s">
        <v>45026</v>
      </c>
      <c r="T2035" t="s">
        <v>46429</v>
      </c>
      <c r="U2035" t="s">
        <v>48623</v>
      </c>
      <c r="V2035" t="s">
        <v>59264</v>
      </c>
      <c r="W2035" t="s">
        <v>41807</v>
      </c>
      <c r="X2035" t="s">
        <v>44908</v>
      </c>
    </row>
    <row r="2036" spans="1:24">
      <c r="A2036">
        <f>HYPERLINK("https://www.philgeps.gov.ph/GEPSNONPILOT/Tender/SplashBidNoticeAbstractUI.aspx?menuIndex=3&amp;refID=7084238&amp;Result=3","7084238")</f>
        <v>0</v>
      </c>
      <c r="B2036" t="s">
        <v>76</v>
      </c>
      <c r="C2036" t="s">
        <v>5486</v>
      </c>
      <c r="D2036" t="s">
        <v>18112</v>
      </c>
      <c r="E2036" t="s">
        <v>20079</v>
      </c>
      <c r="F2036" t="s">
        <v>31362</v>
      </c>
      <c r="G2036" t="s">
        <v>31368</v>
      </c>
      <c r="H2036" t="s">
        <v>15799</v>
      </c>
      <c r="I2036" t="s">
        <v>31385</v>
      </c>
      <c r="J2036" t="s">
        <v>31736</v>
      </c>
      <c r="K2036" t="s">
        <v>40665</v>
      </c>
      <c r="M2036" t="s">
        <v>41012</v>
      </c>
      <c r="N2036" t="s">
        <v>44905</v>
      </c>
      <c r="O2036" t="s">
        <v>44906</v>
      </c>
      <c r="P2036">
        <v>0</v>
      </c>
      <c r="Q2036">
        <v>0</v>
      </c>
      <c r="R2036" t="s">
        <v>44907</v>
      </c>
      <c r="S2036" t="s">
        <v>45026</v>
      </c>
      <c r="T2036" t="s">
        <v>46417</v>
      </c>
      <c r="U2036" t="s">
        <v>48624</v>
      </c>
      <c r="W2036" t="s">
        <v>41012</v>
      </c>
      <c r="X2036" t="s">
        <v>44908</v>
      </c>
    </row>
    <row r="2037" spans="1:24">
      <c r="A2037">
        <f>HYPERLINK("https://www.philgeps.gov.ph/GEPSNONPILOT/Tender/SplashBidNoticeAbstractUI.aspx?menuIndex=3&amp;refID=7084236&amp;Result=3","7084236")</f>
        <v>0</v>
      </c>
      <c r="B2037" t="s">
        <v>834</v>
      </c>
      <c r="C2037" t="s">
        <v>5487</v>
      </c>
      <c r="D2037" t="s">
        <v>18108</v>
      </c>
      <c r="E2037" t="s">
        <v>20080</v>
      </c>
      <c r="F2037" t="s">
        <v>31362</v>
      </c>
      <c r="G2037" t="s">
        <v>31369</v>
      </c>
      <c r="H2037" t="s">
        <v>31378</v>
      </c>
      <c r="I2037" t="s">
        <v>31386</v>
      </c>
      <c r="J2037" t="s">
        <v>32941</v>
      </c>
      <c r="K2037" t="s">
        <v>40665</v>
      </c>
      <c r="M2037" t="s">
        <v>41808</v>
      </c>
      <c r="N2037" t="s">
        <v>44905</v>
      </c>
      <c r="O2037" t="s">
        <v>44906</v>
      </c>
      <c r="P2037">
        <v>0</v>
      </c>
      <c r="Q2037">
        <v>0</v>
      </c>
      <c r="R2037" t="s">
        <v>44907</v>
      </c>
      <c r="S2037" t="s">
        <v>45026</v>
      </c>
      <c r="T2037" t="s">
        <v>46455</v>
      </c>
      <c r="U2037" t="s">
        <v>48625</v>
      </c>
      <c r="V2037" t="s">
        <v>59265</v>
      </c>
      <c r="W2037" t="s">
        <v>41808</v>
      </c>
      <c r="X2037" t="s">
        <v>44908</v>
      </c>
    </row>
    <row r="2038" spans="1:24">
      <c r="A2038">
        <f>HYPERLINK("https://www.philgeps.gov.ph/GEPSNONPILOT/Tender/SplashBidNoticeAbstractUI.aspx?menuIndex=3&amp;refID=7084247&amp;Result=3","7084247")</f>
        <v>0</v>
      </c>
      <c r="B2038" t="s">
        <v>810</v>
      </c>
      <c r="C2038" t="s">
        <v>5488</v>
      </c>
      <c r="D2038" t="s">
        <v>18113</v>
      </c>
      <c r="E2038" t="s">
        <v>20081</v>
      </c>
      <c r="F2038" t="s">
        <v>31362</v>
      </c>
      <c r="G2038" t="s">
        <v>31371</v>
      </c>
      <c r="H2038" t="s">
        <v>15799</v>
      </c>
      <c r="I2038" t="s">
        <v>31385</v>
      </c>
      <c r="J2038" t="s">
        <v>32942</v>
      </c>
      <c r="K2038" t="s">
        <v>40665</v>
      </c>
      <c r="M2038" t="s">
        <v>41783</v>
      </c>
      <c r="N2038" t="s">
        <v>44905</v>
      </c>
      <c r="O2038" t="s">
        <v>44906</v>
      </c>
      <c r="P2038">
        <v>0</v>
      </c>
      <c r="Q2038">
        <v>3</v>
      </c>
      <c r="R2038" t="s">
        <v>44907</v>
      </c>
      <c r="S2038" t="s">
        <v>45026</v>
      </c>
      <c r="T2038" t="s">
        <v>46470</v>
      </c>
      <c r="U2038" t="s">
        <v>48626</v>
      </c>
      <c r="W2038" t="s">
        <v>41783</v>
      </c>
      <c r="X2038" t="s">
        <v>44908</v>
      </c>
    </row>
    <row r="2039" spans="1:24">
      <c r="A2039">
        <f>HYPERLINK("https://www.philgeps.gov.ph/GEPSNONPILOT/Tender/SplashBidNoticeAbstractUI.aspx?menuIndex=3&amp;refID=7084235&amp;Result=3","7084235")</f>
        <v>0</v>
      </c>
      <c r="B2039" t="s">
        <v>770</v>
      </c>
      <c r="C2039" t="s">
        <v>5489</v>
      </c>
      <c r="D2039" t="s">
        <v>18104</v>
      </c>
      <c r="E2039" t="s">
        <v>20082</v>
      </c>
      <c r="F2039" t="s">
        <v>31362</v>
      </c>
      <c r="G2039" t="s">
        <v>31368</v>
      </c>
      <c r="H2039" t="s">
        <v>15799</v>
      </c>
      <c r="I2039" t="s">
        <v>3815</v>
      </c>
      <c r="J2039" t="s">
        <v>32943</v>
      </c>
      <c r="K2039" t="s">
        <v>40697</v>
      </c>
      <c r="M2039" t="s">
        <v>41738</v>
      </c>
      <c r="N2039" t="s">
        <v>44905</v>
      </c>
      <c r="O2039" t="s">
        <v>44906</v>
      </c>
      <c r="P2039">
        <v>0</v>
      </c>
      <c r="Q2039">
        <v>0</v>
      </c>
      <c r="R2039" t="s">
        <v>44907</v>
      </c>
      <c r="S2039" t="s">
        <v>45026</v>
      </c>
      <c r="T2039" t="s">
        <v>46409</v>
      </c>
      <c r="U2039" t="s">
        <v>48459</v>
      </c>
      <c r="W2039" t="s">
        <v>41738</v>
      </c>
      <c r="X2039" t="s">
        <v>44908</v>
      </c>
    </row>
    <row r="2040" spans="1:24">
      <c r="A2040">
        <f>HYPERLINK("https://www.philgeps.gov.ph/GEPSNONPILOT/Tender/SplashBidNoticeAbstractUI.aspx?menuIndex=3&amp;refID=7084202&amp;Result=3","7084202")</f>
        <v>0</v>
      </c>
      <c r="B2040" t="s">
        <v>835</v>
      </c>
      <c r="C2040" t="s">
        <v>5490</v>
      </c>
      <c r="D2040" t="s">
        <v>18108</v>
      </c>
      <c r="E2040" t="s">
        <v>20083</v>
      </c>
      <c r="F2040" t="s">
        <v>31362</v>
      </c>
      <c r="G2040" t="s">
        <v>31369</v>
      </c>
      <c r="H2040" t="s">
        <v>31379</v>
      </c>
      <c r="I2040" t="s">
        <v>31388</v>
      </c>
      <c r="J2040" t="s">
        <v>32944</v>
      </c>
      <c r="K2040" t="s">
        <v>40661</v>
      </c>
      <c r="M2040" t="s">
        <v>41809</v>
      </c>
      <c r="N2040" t="s">
        <v>44905</v>
      </c>
      <c r="O2040" t="s">
        <v>44906</v>
      </c>
      <c r="P2040">
        <v>0</v>
      </c>
      <c r="Q2040">
        <v>1</v>
      </c>
      <c r="R2040" t="s">
        <v>44907</v>
      </c>
      <c r="S2040" t="s">
        <v>45026</v>
      </c>
      <c r="T2040" t="s">
        <v>46462</v>
      </c>
      <c r="U2040" t="s">
        <v>48627</v>
      </c>
      <c r="W2040" t="s">
        <v>41809</v>
      </c>
      <c r="X2040" t="s">
        <v>44908</v>
      </c>
    </row>
    <row r="2041" spans="1:24">
      <c r="A2041">
        <f>HYPERLINK("https://www.philgeps.gov.ph/GEPSNONPILOT/Tender/SplashBidNoticeAbstractUI.aspx?menuIndex=3&amp;refID=7084232&amp;Result=3","7084232")</f>
        <v>0</v>
      </c>
      <c r="B2041" t="s">
        <v>836</v>
      </c>
      <c r="C2041" t="s">
        <v>5491</v>
      </c>
      <c r="D2041" t="s">
        <v>18123</v>
      </c>
      <c r="E2041" t="s">
        <v>20084</v>
      </c>
      <c r="F2041" t="s">
        <v>31362</v>
      </c>
      <c r="G2041" t="s">
        <v>31368</v>
      </c>
      <c r="H2041" t="s">
        <v>15799</v>
      </c>
      <c r="I2041" t="s">
        <v>7090</v>
      </c>
      <c r="J2041" t="s">
        <v>32945</v>
      </c>
      <c r="K2041" t="s">
        <v>40662</v>
      </c>
      <c r="M2041" t="s">
        <v>41810</v>
      </c>
      <c r="N2041" t="s">
        <v>44905</v>
      </c>
      <c r="O2041" t="s">
        <v>44906</v>
      </c>
      <c r="P2041">
        <v>0</v>
      </c>
      <c r="Q2041">
        <v>1</v>
      </c>
      <c r="R2041" t="s">
        <v>44907</v>
      </c>
      <c r="S2041" t="s">
        <v>45026</v>
      </c>
      <c r="T2041" t="s">
        <v>46414</v>
      </c>
      <c r="U2041" t="s">
        <v>48628</v>
      </c>
      <c r="W2041" t="s">
        <v>41810</v>
      </c>
      <c r="X2041" t="s">
        <v>44908</v>
      </c>
    </row>
    <row r="2042" spans="1:24">
      <c r="A2042">
        <f>HYPERLINK("https://www.philgeps.gov.ph/GEPSNONPILOT/Tender/SplashBidNoticeAbstractUI.aspx?menuIndex=3&amp;refID=7084230&amp;Result=3","7084230")</f>
        <v>0</v>
      </c>
      <c r="B2042" t="s">
        <v>132</v>
      </c>
      <c r="C2042" t="s">
        <v>5492</v>
      </c>
      <c r="D2042" t="s">
        <v>18131</v>
      </c>
      <c r="E2042" t="s">
        <v>19797</v>
      </c>
      <c r="F2042" t="s">
        <v>31362</v>
      </c>
      <c r="G2042" t="s">
        <v>31368</v>
      </c>
      <c r="H2042" t="s">
        <v>31379</v>
      </c>
      <c r="I2042" t="s">
        <v>31382</v>
      </c>
      <c r="J2042" t="s">
        <v>31536</v>
      </c>
      <c r="K2042" t="s">
        <v>40666</v>
      </c>
      <c r="L2042" t="s">
        <v>132</v>
      </c>
      <c r="M2042" t="s">
        <v>41070</v>
      </c>
      <c r="N2042" t="s">
        <v>44905</v>
      </c>
      <c r="O2042" t="s">
        <v>44906</v>
      </c>
      <c r="P2042">
        <v>0</v>
      </c>
      <c r="Q2042">
        <v>1</v>
      </c>
      <c r="R2042" t="s">
        <v>44907</v>
      </c>
      <c r="S2042" t="s">
        <v>45026</v>
      </c>
      <c r="T2042" t="s">
        <v>46461</v>
      </c>
      <c r="U2042" t="s">
        <v>48620</v>
      </c>
      <c r="W2042" t="s">
        <v>41070</v>
      </c>
      <c r="X2042" t="s">
        <v>44908</v>
      </c>
    </row>
    <row r="2043" spans="1:24">
      <c r="A2043">
        <f>HYPERLINK("https://www.philgeps.gov.ph/GEPSNONPILOT/Tender/SplashBidNoticeAbstractUI.aspx?menuIndex=3&amp;refID=7084229&amp;Result=3","7084229")</f>
        <v>0</v>
      </c>
      <c r="B2043" t="s">
        <v>825</v>
      </c>
      <c r="C2043" t="s">
        <v>5493</v>
      </c>
      <c r="D2043" t="s">
        <v>18110</v>
      </c>
      <c r="E2043" t="s">
        <v>20085</v>
      </c>
      <c r="F2043" t="s">
        <v>31362</v>
      </c>
      <c r="G2043" t="s">
        <v>31368</v>
      </c>
      <c r="H2043" t="s">
        <v>15799</v>
      </c>
      <c r="I2043" t="s">
        <v>4057</v>
      </c>
      <c r="J2043" t="s">
        <v>32946</v>
      </c>
      <c r="K2043" t="s">
        <v>40661</v>
      </c>
      <c r="M2043" t="s">
        <v>41798</v>
      </c>
      <c r="N2043" t="s">
        <v>44905</v>
      </c>
      <c r="O2043" t="s">
        <v>44906</v>
      </c>
      <c r="P2043">
        <v>0</v>
      </c>
      <c r="Q2043">
        <v>0</v>
      </c>
      <c r="R2043" t="s">
        <v>44907</v>
      </c>
      <c r="S2043" t="s">
        <v>45026</v>
      </c>
      <c r="T2043" t="s">
        <v>46597</v>
      </c>
      <c r="U2043" t="s">
        <v>48629</v>
      </c>
      <c r="V2043" t="s">
        <v>59261</v>
      </c>
      <c r="W2043" t="s">
        <v>41798</v>
      </c>
      <c r="X2043" t="s">
        <v>44908</v>
      </c>
    </row>
    <row r="2044" spans="1:24">
      <c r="A2044">
        <f>HYPERLINK("https://www.philgeps.gov.ph/GEPSNONPILOT/Tender/SplashBidNoticeAbstractUI.aspx?menuIndex=3&amp;refID=7084227&amp;Result=3","7084227")</f>
        <v>0</v>
      </c>
      <c r="B2044" t="s">
        <v>770</v>
      </c>
      <c r="C2044" t="s">
        <v>5494</v>
      </c>
      <c r="D2044" t="s">
        <v>18104</v>
      </c>
      <c r="E2044" t="s">
        <v>20086</v>
      </c>
      <c r="F2044" t="s">
        <v>31362</v>
      </c>
      <c r="G2044" t="s">
        <v>31368</v>
      </c>
      <c r="H2044" t="s">
        <v>15799</v>
      </c>
      <c r="I2044" t="s">
        <v>3815</v>
      </c>
      <c r="J2044" t="s">
        <v>32929</v>
      </c>
      <c r="K2044" t="s">
        <v>40697</v>
      </c>
      <c r="M2044" t="s">
        <v>41738</v>
      </c>
      <c r="N2044" t="s">
        <v>44905</v>
      </c>
      <c r="O2044" t="s">
        <v>44906</v>
      </c>
      <c r="P2044">
        <v>0</v>
      </c>
      <c r="Q2044">
        <v>0</v>
      </c>
      <c r="R2044" t="s">
        <v>44907</v>
      </c>
      <c r="S2044" t="s">
        <v>45026</v>
      </c>
      <c r="T2044" t="s">
        <v>46409</v>
      </c>
      <c r="U2044" t="s">
        <v>48459</v>
      </c>
      <c r="W2044" t="s">
        <v>41738</v>
      </c>
      <c r="X2044" t="s">
        <v>44908</v>
      </c>
    </row>
    <row r="2045" spans="1:24">
      <c r="A2045">
        <f>HYPERLINK("https://www.philgeps.gov.ph/GEPSNONPILOT/Tender/SplashBidNoticeAbstractUI.aspx?menuIndex=3&amp;refID=7084095&amp;Result=3","7084095")</f>
        <v>0</v>
      </c>
      <c r="B2045" t="s">
        <v>822</v>
      </c>
      <c r="C2045" t="s">
        <v>5495</v>
      </c>
      <c r="D2045" t="s">
        <v>18117</v>
      </c>
      <c r="E2045" t="s">
        <v>20087</v>
      </c>
      <c r="F2045" t="s">
        <v>31362</v>
      </c>
      <c r="G2045" t="s">
        <v>31368</v>
      </c>
      <c r="H2045" t="s">
        <v>31379</v>
      </c>
      <c r="I2045" t="s">
        <v>3582</v>
      </c>
      <c r="J2045" t="s">
        <v>32947</v>
      </c>
      <c r="K2045" t="s">
        <v>40679</v>
      </c>
      <c r="M2045" t="s">
        <v>41795</v>
      </c>
      <c r="N2045" t="s">
        <v>44905</v>
      </c>
      <c r="O2045" t="s">
        <v>44906</v>
      </c>
      <c r="P2045">
        <v>0</v>
      </c>
      <c r="Q2045">
        <v>1</v>
      </c>
      <c r="R2045" t="s">
        <v>44907</v>
      </c>
      <c r="S2045" t="s">
        <v>45026</v>
      </c>
      <c r="T2045" t="s">
        <v>46396</v>
      </c>
      <c r="U2045" t="s">
        <v>48592</v>
      </c>
      <c r="V2045" t="s">
        <v>59259</v>
      </c>
      <c r="W2045" t="s">
        <v>41795</v>
      </c>
      <c r="X2045" t="s">
        <v>44908</v>
      </c>
    </row>
    <row r="2046" spans="1:24">
      <c r="A2046">
        <f>HYPERLINK("https://www.philgeps.gov.ph/GEPSNONPILOT/Tender/SplashBidNoticeAbstractUI.aspx?menuIndex=3&amp;refID=7084094&amp;Result=3","7084094")</f>
        <v>0</v>
      </c>
      <c r="B2046" t="s">
        <v>91</v>
      </c>
      <c r="C2046" t="s">
        <v>4600</v>
      </c>
      <c r="D2046" t="s">
        <v>18136</v>
      </c>
      <c r="E2046" t="s">
        <v>19680</v>
      </c>
      <c r="F2046" t="s">
        <v>31362</v>
      </c>
      <c r="G2046" t="s">
        <v>31370</v>
      </c>
      <c r="H2046" t="s">
        <v>15799</v>
      </c>
      <c r="I2046" t="s">
        <v>7090</v>
      </c>
      <c r="J2046" t="s">
        <v>32948</v>
      </c>
      <c r="K2046" t="s">
        <v>40661</v>
      </c>
      <c r="M2046" t="s">
        <v>41028</v>
      </c>
      <c r="N2046" t="s">
        <v>44905</v>
      </c>
      <c r="O2046" t="s">
        <v>44906</v>
      </c>
      <c r="P2046">
        <v>0</v>
      </c>
      <c r="Q2046">
        <v>0</v>
      </c>
      <c r="R2046" t="s">
        <v>44907</v>
      </c>
      <c r="S2046" t="s">
        <v>45026</v>
      </c>
      <c r="T2046" t="s">
        <v>46411</v>
      </c>
      <c r="U2046" t="s">
        <v>48630</v>
      </c>
      <c r="W2046" t="s">
        <v>41028</v>
      </c>
      <c r="X2046" t="s">
        <v>44908</v>
      </c>
    </row>
    <row r="2047" spans="1:24">
      <c r="A2047">
        <f>HYPERLINK("https://www.philgeps.gov.ph/GEPSNONPILOT/Tender/SplashBidNoticeAbstractUI.aspx?menuIndex=3&amp;refID=7084070&amp;Result=3","7084070")</f>
        <v>0</v>
      </c>
      <c r="B2047" t="s">
        <v>778</v>
      </c>
      <c r="C2047" t="s">
        <v>5496</v>
      </c>
      <c r="D2047" t="s">
        <v>18172</v>
      </c>
      <c r="E2047" t="s">
        <v>20088</v>
      </c>
      <c r="F2047" t="s">
        <v>31362</v>
      </c>
      <c r="G2047" t="s">
        <v>31368</v>
      </c>
      <c r="H2047" t="s">
        <v>15799</v>
      </c>
      <c r="I2047" t="s">
        <v>31387</v>
      </c>
      <c r="J2047" t="s">
        <v>32949</v>
      </c>
      <c r="K2047" t="s">
        <v>40661</v>
      </c>
      <c r="M2047" t="s">
        <v>41746</v>
      </c>
      <c r="N2047" t="s">
        <v>44905</v>
      </c>
      <c r="O2047" t="s">
        <v>44906</v>
      </c>
      <c r="P2047">
        <v>0</v>
      </c>
      <c r="Q2047">
        <v>0</v>
      </c>
      <c r="R2047" t="s">
        <v>44907</v>
      </c>
      <c r="S2047" t="s">
        <v>45026</v>
      </c>
      <c r="T2047" t="s">
        <v>46410</v>
      </c>
      <c r="U2047" t="s">
        <v>48474</v>
      </c>
      <c r="W2047" t="s">
        <v>41746</v>
      </c>
      <c r="X2047" t="s">
        <v>44908</v>
      </c>
    </row>
    <row r="2048" spans="1:24">
      <c r="A2048">
        <f>HYPERLINK("https://www.philgeps.gov.ph/GEPSNONPILOT/Tender/SplashBidNoticeAbstractUI.aspx?menuIndex=3&amp;refID=7084240&amp;Result=3","7084240")</f>
        <v>0</v>
      </c>
      <c r="B2048" t="s">
        <v>293</v>
      </c>
      <c r="C2048" t="s">
        <v>5497</v>
      </c>
      <c r="D2048" t="s">
        <v>18108</v>
      </c>
      <c r="E2048" t="s">
        <v>20089</v>
      </c>
      <c r="F2048" t="s">
        <v>31362</v>
      </c>
      <c r="G2048" t="s">
        <v>31368</v>
      </c>
      <c r="H2048" t="s">
        <v>15799</v>
      </c>
      <c r="I2048" t="s">
        <v>31384</v>
      </c>
      <c r="J2048" t="s">
        <v>32778</v>
      </c>
      <c r="K2048" t="s">
        <v>40661</v>
      </c>
      <c r="M2048" t="s">
        <v>41811</v>
      </c>
      <c r="N2048" t="s">
        <v>44905</v>
      </c>
      <c r="O2048" t="s">
        <v>44906</v>
      </c>
      <c r="P2048">
        <v>0</v>
      </c>
      <c r="Q2048">
        <v>3</v>
      </c>
      <c r="R2048" t="s">
        <v>44907</v>
      </c>
      <c r="S2048" t="s">
        <v>45026</v>
      </c>
      <c r="T2048" t="s">
        <v>46435</v>
      </c>
      <c r="U2048" t="s">
        <v>48631</v>
      </c>
      <c r="W2048" t="s">
        <v>41811</v>
      </c>
      <c r="X2048" t="s">
        <v>44908</v>
      </c>
    </row>
    <row r="2049" spans="1:24">
      <c r="A2049">
        <f>HYPERLINK("https://www.philgeps.gov.ph/GEPSNONPILOT/Tender/SplashBidNoticeAbstractUI.aspx?menuIndex=3&amp;refID=7084068&amp;Result=3","7084068")</f>
        <v>0</v>
      </c>
      <c r="B2049" t="s">
        <v>837</v>
      </c>
      <c r="C2049" t="s">
        <v>5498</v>
      </c>
      <c r="D2049" t="s">
        <v>18168</v>
      </c>
      <c r="E2049" t="s">
        <v>20090</v>
      </c>
      <c r="F2049" t="s">
        <v>31362</v>
      </c>
      <c r="G2049" t="s">
        <v>31368</v>
      </c>
      <c r="H2049" t="s">
        <v>15799</v>
      </c>
      <c r="I2049" t="s">
        <v>3815</v>
      </c>
      <c r="J2049" t="s">
        <v>32950</v>
      </c>
      <c r="K2049" t="s">
        <v>40666</v>
      </c>
      <c r="M2049" t="s">
        <v>41812</v>
      </c>
      <c r="N2049" t="s">
        <v>44905</v>
      </c>
      <c r="O2049" t="s">
        <v>44906</v>
      </c>
      <c r="P2049">
        <v>0</v>
      </c>
      <c r="Q2049">
        <v>0</v>
      </c>
      <c r="R2049" t="s">
        <v>44907</v>
      </c>
      <c r="S2049" t="s">
        <v>45026</v>
      </c>
      <c r="T2049" t="s">
        <v>46470</v>
      </c>
      <c r="U2049" t="s">
        <v>48632</v>
      </c>
      <c r="W2049" t="s">
        <v>41812</v>
      </c>
      <c r="X2049" t="s">
        <v>44908</v>
      </c>
    </row>
    <row r="2050" spans="1:24">
      <c r="A2050">
        <f>HYPERLINK("https://www.philgeps.gov.ph/GEPSNONPILOT/Tender/SplashBidNoticeAbstractUI.aspx?menuIndex=3&amp;refID=7084048&amp;Result=3","7084048")</f>
        <v>0</v>
      </c>
      <c r="B2050" t="s">
        <v>692</v>
      </c>
      <c r="C2050" t="s">
        <v>5499</v>
      </c>
      <c r="D2050" t="s">
        <v>18158</v>
      </c>
      <c r="E2050" t="s">
        <v>20091</v>
      </c>
      <c r="F2050" t="s">
        <v>31362</v>
      </c>
      <c r="G2050" t="s">
        <v>31368</v>
      </c>
      <c r="H2050" t="s">
        <v>15799</v>
      </c>
      <c r="I2050" t="s">
        <v>31380</v>
      </c>
      <c r="J2050" t="s">
        <v>32951</v>
      </c>
      <c r="K2050" t="s">
        <v>40670</v>
      </c>
      <c r="M2050" t="s">
        <v>41655</v>
      </c>
      <c r="N2050" t="s">
        <v>44905</v>
      </c>
      <c r="O2050" t="s">
        <v>44906</v>
      </c>
      <c r="P2050">
        <v>0</v>
      </c>
      <c r="Q2050">
        <v>1</v>
      </c>
      <c r="R2050" t="s">
        <v>44907</v>
      </c>
      <c r="S2050" t="s">
        <v>45026</v>
      </c>
      <c r="T2050" t="s">
        <v>46414</v>
      </c>
      <c r="U2050" t="s">
        <v>48633</v>
      </c>
      <c r="W2050" t="s">
        <v>41655</v>
      </c>
      <c r="X2050" t="s">
        <v>44908</v>
      </c>
    </row>
    <row r="2051" spans="1:24">
      <c r="A2051">
        <f>HYPERLINK("https://www.philgeps.gov.ph/GEPSNONPILOT/Tender/SplashBidNoticeAbstractUI.aspx?menuIndex=3&amp;refID=7084045&amp;Result=3","7084045")</f>
        <v>0</v>
      </c>
      <c r="B2051" t="s">
        <v>750</v>
      </c>
      <c r="C2051" t="s">
        <v>5500</v>
      </c>
      <c r="E2051" t="s">
        <v>20092</v>
      </c>
      <c r="F2051" t="s">
        <v>31362</v>
      </c>
      <c r="G2051" t="s">
        <v>31369</v>
      </c>
      <c r="H2051" t="s">
        <v>31378</v>
      </c>
      <c r="I2051" t="s">
        <v>31386</v>
      </c>
      <c r="J2051" t="s">
        <v>32810</v>
      </c>
      <c r="K2051" t="s">
        <v>40662</v>
      </c>
      <c r="M2051" t="s">
        <v>41717</v>
      </c>
      <c r="N2051" t="s">
        <v>44905</v>
      </c>
      <c r="O2051" t="s">
        <v>44906</v>
      </c>
      <c r="P2051">
        <v>0</v>
      </c>
      <c r="Q2051">
        <v>0</v>
      </c>
      <c r="R2051" t="s">
        <v>44907</v>
      </c>
      <c r="S2051" t="s">
        <v>45026</v>
      </c>
      <c r="T2051" t="s">
        <v>46429</v>
      </c>
      <c r="U2051" t="s">
        <v>48634</v>
      </c>
      <c r="W2051" t="s">
        <v>44867</v>
      </c>
      <c r="X2051" t="s">
        <v>44908</v>
      </c>
    </row>
    <row r="2052" spans="1:24">
      <c r="A2052">
        <f>HYPERLINK("https://www.philgeps.gov.ph/GEPSNONPILOT/Tender/SplashBidNoticeAbstractUI.aspx?menuIndex=3&amp;refID=7084255&amp;Result=3","7084255")</f>
        <v>0</v>
      </c>
      <c r="B2052" t="s">
        <v>831</v>
      </c>
      <c r="C2052" t="s">
        <v>5501</v>
      </c>
      <c r="D2052" t="s">
        <v>18108</v>
      </c>
      <c r="E2052" t="s">
        <v>20093</v>
      </c>
      <c r="F2052" t="s">
        <v>31362</v>
      </c>
      <c r="G2052" t="s">
        <v>31369</v>
      </c>
      <c r="H2052" t="s">
        <v>15799</v>
      </c>
      <c r="I2052" t="s">
        <v>7090</v>
      </c>
      <c r="J2052" t="s">
        <v>31578</v>
      </c>
      <c r="K2052" t="s">
        <v>40666</v>
      </c>
      <c r="M2052" t="s">
        <v>41805</v>
      </c>
      <c r="N2052" t="s">
        <v>44905</v>
      </c>
      <c r="O2052" t="s">
        <v>44906</v>
      </c>
      <c r="P2052">
        <v>0</v>
      </c>
      <c r="Q2052">
        <v>0</v>
      </c>
      <c r="R2052" t="s">
        <v>44907</v>
      </c>
      <c r="S2052" t="s">
        <v>45026</v>
      </c>
      <c r="T2052" t="s">
        <v>46403</v>
      </c>
      <c r="U2052" t="s">
        <v>48635</v>
      </c>
      <c r="W2052" t="s">
        <v>41805</v>
      </c>
      <c r="X2052" t="s">
        <v>44908</v>
      </c>
    </row>
    <row r="2053" spans="1:24">
      <c r="A2053">
        <f>HYPERLINK("https://www.philgeps.gov.ph/GEPSNONPILOT/Tender/SplashBidNoticeAbstractUI.aspx?menuIndex=3&amp;refID=7084233&amp;Result=3","7084233")</f>
        <v>0</v>
      </c>
      <c r="B2053" t="s">
        <v>812</v>
      </c>
      <c r="C2053" t="s">
        <v>5502</v>
      </c>
      <c r="D2053" t="s">
        <v>18101</v>
      </c>
      <c r="E2053" t="s">
        <v>20024</v>
      </c>
      <c r="F2053" t="s">
        <v>31362</v>
      </c>
      <c r="G2053" t="s">
        <v>31368</v>
      </c>
      <c r="H2053" t="s">
        <v>15799</v>
      </c>
      <c r="I2053" t="s">
        <v>31422</v>
      </c>
      <c r="J2053" t="s">
        <v>32952</v>
      </c>
      <c r="K2053" t="s">
        <v>40697</v>
      </c>
      <c r="M2053" t="s">
        <v>41785</v>
      </c>
      <c r="N2053" t="s">
        <v>44905</v>
      </c>
      <c r="O2053" t="s">
        <v>44906</v>
      </c>
      <c r="P2053">
        <v>0</v>
      </c>
      <c r="Q2053">
        <v>0</v>
      </c>
      <c r="R2053" t="s">
        <v>44907</v>
      </c>
      <c r="S2053" t="s">
        <v>45026</v>
      </c>
      <c r="T2053" t="s">
        <v>46428</v>
      </c>
      <c r="U2053" t="s">
        <v>48636</v>
      </c>
      <c r="W2053" t="s">
        <v>41785</v>
      </c>
      <c r="X2053" t="s">
        <v>44908</v>
      </c>
    </row>
    <row r="2054" spans="1:24">
      <c r="A2054">
        <f>HYPERLINK("https://www.philgeps.gov.ph/GEPSNONPILOT/Tender/SplashBidNoticeAbstractUI.aspx?menuIndex=3&amp;refID=7084211&amp;Result=3","7084211")</f>
        <v>0</v>
      </c>
      <c r="B2054" t="s">
        <v>828</v>
      </c>
      <c r="C2054" t="s">
        <v>5503</v>
      </c>
      <c r="D2054" t="s">
        <v>18148</v>
      </c>
      <c r="E2054" t="s">
        <v>18273</v>
      </c>
      <c r="F2054" t="s">
        <v>31362</v>
      </c>
      <c r="G2054" t="s">
        <v>31369</v>
      </c>
      <c r="H2054" t="s">
        <v>31378</v>
      </c>
      <c r="I2054" t="s">
        <v>31386</v>
      </c>
      <c r="J2054" t="s">
        <v>31591</v>
      </c>
      <c r="K2054" t="s">
        <v>40662</v>
      </c>
      <c r="M2054" t="s">
        <v>41802</v>
      </c>
      <c r="N2054" t="s">
        <v>44905</v>
      </c>
      <c r="O2054" t="s">
        <v>44906</v>
      </c>
      <c r="P2054">
        <v>0</v>
      </c>
      <c r="Q2054">
        <v>0</v>
      </c>
      <c r="R2054" t="s">
        <v>44907</v>
      </c>
      <c r="S2054" t="s">
        <v>45026</v>
      </c>
      <c r="T2054" t="s">
        <v>46413</v>
      </c>
      <c r="U2054" t="s">
        <v>48637</v>
      </c>
      <c r="W2054" t="s">
        <v>41802</v>
      </c>
      <c r="X2054" t="s">
        <v>44908</v>
      </c>
    </row>
    <row r="2055" spans="1:24">
      <c r="A2055">
        <f>HYPERLINK("https://www.philgeps.gov.ph/GEPSNONPILOT/Tender/SplashBidNoticeAbstractUI.aspx?menuIndex=3&amp;refID=7084047&amp;Result=3","7084047")</f>
        <v>0</v>
      </c>
      <c r="B2055" t="s">
        <v>440</v>
      </c>
      <c r="C2055" t="s">
        <v>5504</v>
      </c>
      <c r="D2055" t="s">
        <v>18154</v>
      </c>
      <c r="E2055" t="s">
        <v>20094</v>
      </c>
      <c r="F2055" t="s">
        <v>31362</v>
      </c>
      <c r="G2055" t="s">
        <v>31368</v>
      </c>
      <c r="H2055" t="s">
        <v>15799</v>
      </c>
      <c r="I2055" t="s">
        <v>3815</v>
      </c>
      <c r="J2055" t="s">
        <v>32953</v>
      </c>
      <c r="K2055" t="s">
        <v>40662</v>
      </c>
      <c r="M2055" t="s">
        <v>41392</v>
      </c>
      <c r="N2055" t="s">
        <v>44905</v>
      </c>
      <c r="O2055" t="s">
        <v>44906</v>
      </c>
      <c r="P2055">
        <v>0</v>
      </c>
      <c r="Q2055">
        <v>0</v>
      </c>
      <c r="R2055" t="s">
        <v>44907</v>
      </c>
      <c r="S2055" t="s">
        <v>45026</v>
      </c>
      <c r="T2055" t="s">
        <v>46447</v>
      </c>
      <c r="U2055" t="s">
        <v>48638</v>
      </c>
      <c r="W2055" t="s">
        <v>41392</v>
      </c>
      <c r="X2055" t="s">
        <v>44908</v>
      </c>
    </row>
    <row r="2056" spans="1:24">
      <c r="A2056">
        <f>HYPERLINK("https://www.philgeps.gov.ph/GEPSNONPILOT/Tender/SplashBidNoticeAbstractUI.aspx?menuIndex=3&amp;refID=7084231&amp;Result=3","7084231")</f>
        <v>0</v>
      </c>
      <c r="B2056" t="s">
        <v>828</v>
      </c>
      <c r="C2056" t="s">
        <v>5505</v>
      </c>
      <c r="D2056" t="s">
        <v>18148</v>
      </c>
      <c r="E2056" t="s">
        <v>18275</v>
      </c>
      <c r="F2056" t="s">
        <v>31362</v>
      </c>
      <c r="G2056" t="s">
        <v>31369</v>
      </c>
      <c r="H2056" t="s">
        <v>31378</v>
      </c>
      <c r="I2056" t="s">
        <v>31386</v>
      </c>
      <c r="J2056" t="s">
        <v>31687</v>
      </c>
      <c r="K2056" t="s">
        <v>40662</v>
      </c>
      <c r="M2056" t="s">
        <v>41802</v>
      </c>
      <c r="N2056" t="s">
        <v>44905</v>
      </c>
      <c r="O2056" t="s">
        <v>44906</v>
      </c>
      <c r="P2056">
        <v>0</v>
      </c>
      <c r="Q2056">
        <v>0</v>
      </c>
      <c r="R2056" t="s">
        <v>44907</v>
      </c>
      <c r="S2056" t="s">
        <v>45026</v>
      </c>
      <c r="T2056" t="s">
        <v>46413</v>
      </c>
      <c r="U2056" t="s">
        <v>48639</v>
      </c>
      <c r="W2056" t="s">
        <v>41802</v>
      </c>
      <c r="X2056" t="s">
        <v>44908</v>
      </c>
    </row>
    <row r="2057" spans="1:24">
      <c r="A2057">
        <f>HYPERLINK("https://www.philgeps.gov.ph/GEPSNONPILOT/Tender/SplashBidNoticeAbstractUI.aspx?menuIndex=3&amp;refID=7084274&amp;Result=3","7084274")</f>
        <v>0</v>
      </c>
      <c r="B2057" t="s">
        <v>838</v>
      </c>
      <c r="C2057" t="s">
        <v>5506</v>
      </c>
      <c r="D2057" t="s">
        <v>18162</v>
      </c>
      <c r="E2057" t="s">
        <v>20095</v>
      </c>
      <c r="F2057" t="s">
        <v>31362</v>
      </c>
      <c r="G2057" t="s">
        <v>31368</v>
      </c>
      <c r="H2057" t="s">
        <v>15799</v>
      </c>
      <c r="I2057" t="s">
        <v>6240</v>
      </c>
      <c r="J2057" t="s">
        <v>32954</v>
      </c>
      <c r="K2057" t="s">
        <v>40662</v>
      </c>
      <c r="M2057" t="s">
        <v>41813</v>
      </c>
      <c r="N2057" t="s">
        <v>44905</v>
      </c>
      <c r="O2057" t="s">
        <v>44906</v>
      </c>
      <c r="P2057">
        <v>0</v>
      </c>
      <c r="Q2057">
        <v>0</v>
      </c>
      <c r="R2057" t="s">
        <v>44907</v>
      </c>
      <c r="S2057" t="s">
        <v>45026</v>
      </c>
      <c r="T2057" t="s">
        <v>46425</v>
      </c>
      <c r="U2057" t="s">
        <v>48640</v>
      </c>
      <c r="W2057" t="s">
        <v>41813</v>
      </c>
      <c r="X2057" t="s">
        <v>44908</v>
      </c>
    </row>
    <row r="2058" spans="1:24">
      <c r="A2058">
        <f>HYPERLINK("https://www.philgeps.gov.ph/GEPSNONPILOT/Tender/SplashBidNoticeAbstractUI.aspx?menuIndex=3&amp;refID=7084277&amp;Result=3","7084277")</f>
        <v>0</v>
      </c>
      <c r="B2058" t="s">
        <v>728</v>
      </c>
      <c r="C2058" t="s">
        <v>5178</v>
      </c>
      <c r="D2058" t="s">
        <v>18152</v>
      </c>
      <c r="E2058" t="s">
        <v>20096</v>
      </c>
      <c r="F2058" t="s">
        <v>31362</v>
      </c>
      <c r="G2058" t="s">
        <v>31368</v>
      </c>
      <c r="H2058" t="s">
        <v>15799</v>
      </c>
      <c r="I2058" t="s">
        <v>31404</v>
      </c>
      <c r="J2058" t="s">
        <v>32955</v>
      </c>
      <c r="K2058" t="s">
        <v>40661</v>
      </c>
      <c r="M2058" t="s">
        <v>41695</v>
      </c>
      <c r="N2058" t="s">
        <v>44905</v>
      </c>
      <c r="O2058" t="s">
        <v>44906</v>
      </c>
      <c r="P2058">
        <v>0</v>
      </c>
      <c r="Q2058">
        <v>0</v>
      </c>
      <c r="R2058" t="s">
        <v>44907</v>
      </c>
      <c r="S2058" t="s">
        <v>45026</v>
      </c>
      <c r="T2058" t="s">
        <v>46409</v>
      </c>
      <c r="U2058" t="s">
        <v>48641</v>
      </c>
      <c r="V2058" t="s">
        <v>59233</v>
      </c>
      <c r="W2058" t="s">
        <v>41695</v>
      </c>
      <c r="X2058" t="s">
        <v>44908</v>
      </c>
    </row>
    <row r="2059" spans="1:24">
      <c r="A2059">
        <f>HYPERLINK("https://www.philgeps.gov.ph/GEPSNONPILOT/Tender/SplashBidNoticeAbstractUI.aspx?menuIndex=3&amp;refID=7084272&amp;Result=3","7084272")</f>
        <v>0</v>
      </c>
      <c r="B2059" t="s">
        <v>830</v>
      </c>
      <c r="C2059" t="s">
        <v>5507</v>
      </c>
      <c r="D2059" t="s">
        <v>18110</v>
      </c>
      <c r="E2059" t="s">
        <v>20097</v>
      </c>
      <c r="F2059" t="s">
        <v>31362</v>
      </c>
      <c r="G2059" t="s">
        <v>31369</v>
      </c>
      <c r="H2059" t="s">
        <v>15799</v>
      </c>
      <c r="I2059" t="s">
        <v>31444</v>
      </c>
      <c r="J2059" t="s">
        <v>32956</v>
      </c>
      <c r="K2059" t="s">
        <v>40675</v>
      </c>
      <c r="M2059" t="s">
        <v>41804</v>
      </c>
      <c r="N2059" t="s">
        <v>44905</v>
      </c>
      <c r="O2059" t="s">
        <v>44906</v>
      </c>
      <c r="P2059">
        <v>0</v>
      </c>
      <c r="Q2059">
        <v>9</v>
      </c>
      <c r="R2059" t="s">
        <v>44907</v>
      </c>
      <c r="S2059" t="s">
        <v>45026</v>
      </c>
      <c r="T2059" t="s">
        <v>46431</v>
      </c>
      <c r="U2059" t="s">
        <v>48642</v>
      </c>
      <c r="W2059" t="s">
        <v>41804</v>
      </c>
      <c r="X2059" t="s">
        <v>44908</v>
      </c>
    </row>
    <row r="2060" spans="1:24">
      <c r="A2060">
        <f>HYPERLINK("https://www.philgeps.gov.ph/GEPSNONPILOT/Tender/SplashBidNoticeAbstractUI.aspx?menuIndex=3&amp;refID=7084239&amp;Result=3","7084239")</f>
        <v>0</v>
      </c>
      <c r="B2060" t="s">
        <v>831</v>
      </c>
      <c r="C2060" t="s">
        <v>5508</v>
      </c>
      <c r="D2060" t="s">
        <v>18108</v>
      </c>
      <c r="E2060" t="s">
        <v>20098</v>
      </c>
      <c r="F2060" t="s">
        <v>31362</v>
      </c>
      <c r="G2060" t="s">
        <v>31369</v>
      </c>
      <c r="H2060" t="s">
        <v>15799</v>
      </c>
      <c r="I2060" t="s">
        <v>31385</v>
      </c>
      <c r="J2060" t="s">
        <v>32957</v>
      </c>
      <c r="K2060" t="s">
        <v>40666</v>
      </c>
      <c r="M2060" t="s">
        <v>41805</v>
      </c>
      <c r="N2060" t="s">
        <v>44905</v>
      </c>
      <c r="O2060" t="s">
        <v>44906</v>
      </c>
      <c r="P2060">
        <v>0</v>
      </c>
      <c r="Q2060">
        <v>0</v>
      </c>
      <c r="R2060" t="s">
        <v>44907</v>
      </c>
      <c r="S2060" t="s">
        <v>45026</v>
      </c>
      <c r="T2060" t="s">
        <v>46403</v>
      </c>
      <c r="U2060" t="s">
        <v>47749</v>
      </c>
      <c r="W2060" t="s">
        <v>41805</v>
      </c>
      <c r="X2060" t="s">
        <v>44908</v>
      </c>
    </row>
    <row r="2061" spans="1:24">
      <c r="A2061">
        <f>HYPERLINK("https://www.philgeps.gov.ph/GEPSNONPILOT/Tender/SplashBidNoticeAbstractUI.aspx?menuIndex=3&amp;refID=7084271&amp;Result=3","7084271")</f>
        <v>0</v>
      </c>
      <c r="B2061" t="s">
        <v>132</v>
      </c>
      <c r="C2061" t="s">
        <v>5509</v>
      </c>
      <c r="D2061" t="s">
        <v>18131</v>
      </c>
      <c r="E2061" t="s">
        <v>19797</v>
      </c>
      <c r="F2061" t="s">
        <v>31362</v>
      </c>
      <c r="G2061" t="s">
        <v>31368</v>
      </c>
      <c r="H2061" t="s">
        <v>31379</v>
      </c>
      <c r="I2061" t="s">
        <v>31382</v>
      </c>
      <c r="J2061" t="s">
        <v>31536</v>
      </c>
      <c r="K2061" t="s">
        <v>40666</v>
      </c>
      <c r="L2061" t="s">
        <v>132</v>
      </c>
      <c r="M2061" t="s">
        <v>41070</v>
      </c>
      <c r="N2061" t="s">
        <v>44905</v>
      </c>
      <c r="O2061" t="s">
        <v>44906</v>
      </c>
      <c r="P2061">
        <v>0</v>
      </c>
      <c r="Q2061">
        <v>4</v>
      </c>
      <c r="R2061" t="s">
        <v>44907</v>
      </c>
      <c r="S2061" t="s">
        <v>45026</v>
      </c>
      <c r="T2061" t="s">
        <v>46461</v>
      </c>
      <c r="U2061" t="s">
        <v>48620</v>
      </c>
      <c r="W2061" t="s">
        <v>41070</v>
      </c>
      <c r="X2061" t="s">
        <v>44908</v>
      </c>
    </row>
    <row r="2062" spans="1:24">
      <c r="A2062">
        <f>HYPERLINK("https://www.philgeps.gov.ph/GEPSNONPILOT/Tender/SplashBidNoticeAbstractUI.aspx?menuIndex=3&amp;refID=7084266&amp;Result=3","7084266")</f>
        <v>0</v>
      </c>
      <c r="B2062" t="s">
        <v>828</v>
      </c>
      <c r="C2062" t="s">
        <v>5510</v>
      </c>
      <c r="D2062" t="s">
        <v>18148</v>
      </c>
      <c r="E2062" t="s">
        <v>18275</v>
      </c>
      <c r="F2062" t="s">
        <v>31362</v>
      </c>
      <c r="G2062" t="s">
        <v>31369</v>
      </c>
      <c r="H2062" t="s">
        <v>31378</v>
      </c>
      <c r="I2062" t="s">
        <v>31386</v>
      </c>
      <c r="J2062" t="s">
        <v>32958</v>
      </c>
      <c r="K2062" t="s">
        <v>40662</v>
      </c>
      <c r="M2062" t="s">
        <v>41802</v>
      </c>
      <c r="N2062" t="s">
        <v>44905</v>
      </c>
      <c r="O2062" t="s">
        <v>44906</v>
      </c>
      <c r="P2062">
        <v>0</v>
      </c>
      <c r="Q2062">
        <v>0</v>
      </c>
      <c r="R2062" t="s">
        <v>44907</v>
      </c>
      <c r="S2062" t="s">
        <v>45026</v>
      </c>
      <c r="T2062" t="s">
        <v>46413</v>
      </c>
      <c r="U2062" t="s">
        <v>48643</v>
      </c>
      <c r="W2062" t="s">
        <v>41802</v>
      </c>
      <c r="X2062" t="s">
        <v>44908</v>
      </c>
    </row>
    <row r="2063" spans="1:24">
      <c r="A2063">
        <f>HYPERLINK("https://www.philgeps.gov.ph/GEPSNONPILOT/Tender/SplashBidNoticeAbstractUI.aspx?menuIndex=3&amp;refID=7084265&amp;Result=3","7084265")</f>
        <v>0</v>
      </c>
      <c r="B2063" t="s">
        <v>700</v>
      </c>
      <c r="C2063" t="s">
        <v>5511</v>
      </c>
      <c r="E2063" t="s">
        <v>20099</v>
      </c>
      <c r="F2063" t="s">
        <v>31362</v>
      </c>
      <c r="G2063" t="s">
        <v>31368</v>
      </c>
      <c r="H2063" t="s">
        <v>15799</v>
      </c>
      <c r="I2063" t="s">
        <v>31406</v>
      </c>
      <c r="J2063" t="s">
        <v>32959</v>
      </c>
      <c r="K2063" t="s">
        <v>40662</v>
      </c>
      <c r="M2063" t="s">
        <v>41665</v>
      </c>
      <c r="N2063" t="s">
        <v>44905</v>
      </c>
      <c r="O2063" t="s">
        <v>44906</v>
      </c>
      <c r="P2063">
        <v>0</v>
      </c>
      <c r="Q2063">
        <v>4</v>
      </c>
      <c r="R2063" t="s">
        <v>44907</v>
      </c>
      <c r="S2063" t="s">
        <v>45026</v>
      </c>
      <c r="T2063" t="s">
        <v>46593</v>
      </c>
      <c r="U2063" t="s">
        <v>48644</v>
      </c>
      <c r="V2063" t="s">
        <v>59256</v>
      </c>
      <c r="W2063" t="s">
        <v>41665</v>
      </c>
      <c r="X2063" t="s">
        <v>44908</v>
      </c>
    </row>
    <row r="2064" spans="1:24">
      <c r="A2064">
        <f>HYPERLINK("https://www.philgeps.gov.ph/GEPSNONPILOT/Tender/SplashBidNoticeAbstractUI.aspx?menuIndex=3&amp;refID=7084264&amp;Result=3","7084264")</f>
        <v>0</v>
      </c>
      <c r="B2064" t="s">
        <v>831</v>
      </c>
      <c r="C2064" t="s">
        <v>5512</v>
      </c>
      <c r="D2064" t="s">
        <v>18108</v>
      </c>
      <c r="E2064" t="s">
        <v>20100</v>
      </c>
      <c r="F2064" t="s">
        <v>31362</v>
      </c>
      <c r="G2064" t="s">
        <v>31369</v>
      </c>
      <c r="H2064" t="s">
        <v>15799</v>
      </c>
      <c r="I2064" t="s">
        <v>7090</v>
      </c>
      <c r="J2064" t="s">
        <v>32960</v>
      </c>
      <c r="K2064" t="s">
        <v>40666</v>
      </c>
      <c r="M2064" t="s">
        <v>41805</v>
      </c>
      <c r="N2064" t="s">
        <v>44905</v>
      </c>
      <c r="O2064" t="s">
        <v>44906</v>
      </c>
      <c r="P2064">
        <v>0</v>
      </c>
      <c r="Q2064">
        <v>0</v>
      </c>
      <c r="R2064" t="s">
        <v>44907</v>
      </c>
      <c r="S2064" t="s">
        <v>45026</v>
      </c>
      <c r="T2064" t="s">
        <v>46403</v>
      </c>
      <c r="U2064" t="s">
        <v>48635</v>
      </c>
      <c r="W2064" t="s">
        <v>41805</v>
      </c>
      <c r="X2064" t="s">
        <v>44908</v>
      </c>
    </row>
    <row r="2065" spans="1:24">
      <c r="A2065">
        <f>HYPERLINK("https://www.philgeps.gov.ph/GEPSNONPILOT/Tender/SplashBidNoticeAbstractUI.aspx?menuIndex=3&amp;refID=7084269&amp;Result=3","7084269")</f>
        <v>0</v>
      </c>
      <c r="B2065" t="s">
        <v>831</v>
      </c>
      <c r="C2065" t="s">
        <v>5513</v>
      </c>
      <c r="D2065" t="s">
        <v>18108</v>
      </c>
      <c r="E2065" t="s">
        <v>20101</v>
      </c>
      <c r="F2065" t="s">
        <v>31362</v>
      </c>
      <c r="G2065" t="s">
        <v>31369</v>
      </c>
      <c r="H2065" t="s">
        <v>15799</v>
      </c>
      <c r="I2065" t="s">
        <v>7090</v>
      </c>
      <c r="J2065" t="s">
        <v>32961</v>
      </c>
      <c r="K2065" t="s">
        <v>40666</v>
      </c>
      <c r="M2065" t="s">
        <v>41805</v>
      </c>
      <c r="N2065" t="s">
        <v>44905</v>
      </c>
      <c r="O2065" t="s">
        <v>44906</v>
      </c>
      <c r="P2065">
        <v>0</v>
      </c>
      <c r="Q2065">
        <v>0</v>
      </c>
      <c r="R2065" t="s">
        <v>44907</v>
      </c>
      <c r="S2065" t="s">
        <v>45026</v>
      </c>
      <c r="T2065" t="s">
        <v>46403</v>
      </c>
      <c r="U2065" t="s">
        <v>48635</v>
      </c>
      <c r="W2065" t="s">
        <v>41805</v>
      </c>
      <c r="X2065" t="s">
        <v>44908</v>
      </c>
    </row>
    <row r="2066" spans="1:24">
      <c r="A2066">
        <f>HYPERLINK("https://www.philgeps.gov.ph/GEPSNONPILOT/Tender/SplashBidNoticeAbstractUI.aspx?menuIndex=3&amp;refID=7084259&amp;Result=3","7084259")</f>
        <v>0</v>
      </c>
      <c r="B2066" t="s">
        <v>508</v>
      </c>
      <c r="C2066" t="s">
        <v>5514</v>
      </c>
      <c r="D2066" t="s">
        <v>18131</v>
      </c>
      <c r="E2066" t="s">
        <v>20102</v>
      </c>
      <c r="F2066" t="s">
        <v>31362</v>
      </c>
      <c r="G2066" t="s">
        <v>31368</v>
      </c>
      <c r="H2066" t="s">
        <v>15799</v>
      </c>
      <c r="I2066" t="s">
        <v>31390</v>
      </c>
      <c r="J2066" t="s">
        <v>32962</v>
      </c>
      <c r="K2066" t="s">
        <v>40662</v>
      </c>
      <c r="M2066" t="s">
        <v>41463</v>
      </c>
      <c r="N2066" t="s">
        <v>44905</v>
      </c>
      <c r="O2066" t="s">
        <v>44906</v>
      </c>
      <c r="P2066">
        <v>0</v>
      </c>
      <c r="Q2066">
        <v>1</v>
      </c>
      <c r="R2066" t="s">
        <v>44907</v>
      </c>
      <c r="S2066" t="s">
        <v>45026</v>
      </c>
      <c r="T2066" t="s">
        <v>46432</v>
      </c>
      <c r="U2066" t="s">
        <v>48645</v>
      </c>
      <c r="W2066" t="s">
        <v>41463</v>
      </c>
      <c r="X2066" t="s">
        <v>44908</v>
      </c>
    </row>
    <row r="2067" spans="1:24">
      <c r="A2067">
        <f>HYPERLINK("https://www.philgeps.gov.ph/GEPSNONPILOT/Tender/SplashBidNoticeAbstractUI.aspx?menuIndex=3&amp;refID=7084262&amp;Result=3","7084262")</f>
        <v>0</v>
      </c>
      <c r="B2067" t="s">
        <v>132</v>
      </c>
      <c r="C2067" t="s">
        <v>5515</v>
      </c>
      <c r="D2067" t="s">
        <v>18131</v>
      </c>
      <c r="E2067" t="s">
        <v>19797</v>
      </c>
      <c r="F2067" t="s">
        <v>31362</v>
      </c>
      <c r="G2067" t="s">
        <v>31368</v>
      </c>
      <c r="H2067" t="s">
        <v>31379</v>
      </c>
      <c r="I2067" t="s">
        <v>31382</v>
      </c>
      <c r="J2067" t="s">
        <v>31536</v>
      </c>
      <c r="K2067" t="s">
        <v>40666</v>
      </c>
      <c r="L2067" t="s">
        <v>132</v>
      </c>
      <c r="M2067" t="s">
        <v>41070</v>
      </c>
      <c r="N2067" t="s">
        <v>44905</v>
      </c>
      <c r="O2067" t="s">
        <v>44906</v>
      </c>
      <c r="P2067">
        <v>0</v>
      </c>
      <c r="Q2067">
        <v>1</v>
      </c>
      <c r="R2067" t="s">
        <v>44907</v>
      </c>
      <c r="S2067" t="s">
        <v>45026</v>
      </c>
      <c r="T2067" t="s">
        <v>46461</v>
      </c>
      <c r="U2067" t="s">
        <v>48620</v>
      </c>
      <c r="W2067" t="s">
        <v>41070</v>
      </c>
      <c r="X2067" t="s">
        <v>44908</v>
      </c>
    </row>
    <row r="2068" spans="1:24">
      <c r="A2068">
        <f>HYPERLINK("https://www.philgeps.gov.ph/GEPSNONPILOT/Tender/SplashBidNoticeAbstractUI.aspx?menuIndex=3&amp;refID=7084273&amp;Result=3","7084273")</f>
        <v>0</v>
      </c>
      <c r="B2068" t="s">
        <v>839</v>
      </c>
      <c r="C2068" t="s">
        <v>5516</v>
      </c>
      <c r="D2068" t="s">
        <v>18161</v>
      </c>
      <c r="E2068" t="s">
        <v>20103</v>
      </c>
      <c r="F2068" t="s">
        <v>31362</v>
      </c>
      <c r="G2068" t="s">
        <v>31369</v>
      </c>
      <c r="H2068" t="s">
        <v>15799</v>
      </c>
      <c r="I2068" t="s">
        <v>31459</v>
      </c>
      <c r="J2068" t="s">
        <v>32963</v>
      </c>
      <c r="K2068" t="s">
        <v>40666</v>
      </c>
      <c r="M2068" t="s">
        <v>41814</v>
      </c>
      <c r="N2068" t="s">
        <v>44905</v>
      </c>
      <c r="O2068" t="s">
        <v>44906</v>
      </c>
      <c r="P2068">
        <v>0</v>
      </c>
      <c r="Q2068">
        <v>0</v>
      </c>
      <c r="R2068" t="s">
        <v>44907</v>
      </c>
      <c r="S2068" t="s">
        <v>45026</v>
      </c>
      <c r="T2068" t="s">
        <v>46598</v>
      </c>
      <c r="U2068" t="s">
        <v>48646</v>
      </c>
      <c r="V2068" t="s">
        <v>59266</v>
      </c>
      <c r="W2068" t="s">
        <v>41814</v>
      </c>
      <c r="X2068" t="s">
        <v>44908</v>
      </c>
    </row>
    <row r="2069" spans="1:24">
      <c r="A2069">
        <f>HYPERLINK("https://www.philgeps.gov.ph/GEPSNONPILOT/Tender/SplashBidNoticeAbstractUI.aspx?menuIndex=3&amp;refID=7084258&amp;Result=3","7084258")</f>
        <v>0</v>
      </c>
      <c r="B2069" t="s">
        <v>828</v>
      </c>
      <c r="C2069" t="s">
        <v>5517</v>
      </c>
      <c r="D2069" t="s">
        <v>18148</v>
      </c>
      <c r="E2069" t="s">
        <v>18273</v>
      </c>
      <c r="F2069" t="s">
        <v>31362</v>
      </c>
      <c r="G2069" t="s">
        <v>31369</v>
      </c>
      <c r="H2069" t="s">
        <v>31378</v>
      </c>
      <c r="I2069" t="s">
        <v>31386</v>
      </c>
      <c r="J2069" t="s">
        <v>31577</v>
      </c>
      <c r="K2069" t="s">
        <v>40662</v>
      </c>
      <c r="M2069" t="s">
        <v>41802</v>
      </c>
      <c r="N2069" t="s">
        <v>44905</v>
      </c>
      <c r="O2069" t="s">
        <v>44906</v>
      </c>
      <c r="P2069">
        <v>0</v>
      </c>
      <c r="Q2069">
        <v>0</v>
      </c>
      <c r="R2069" t="s">
        <v>44907</v>
      </c>
      <c r="S2069" t="s">
        <v>45026</v>
      </c>
      <c r="T2069" t="s">
        <v>46413</v>
      </c>
      <c r="U2069" t="s">
        <v>48647</v>
      </c>
      <c r="W2069" t="s">
        <v>41802</v>
      </c>
      <c r="X2069" t="s">
        <v>44908</v>
      </c>
    </row>
    <row r="2070" spans="1:24">
      <c r="A2070">
        <f>HYPERLINK("https://www.philgeps.gov.ph/GEPSNONPILOT/Tender/SplashBidNoticeAbstractUI.aspx?menuIndex=3&amp;refID=7084257&amp;Result=3","7084257")</f>
        <v>0</v>
      </c>
      <c r="B2070" t="s">
        <v>84</v>
      </c>
      <c r="C2070" t="s">
        <v>5518</v>
      </c>
      <c r="D2070" t="s">
        <v>18132</v>
      </c>
      <c r="E2070" t="s">
        <v>20104</v>
      </c>
      <c r="F2070" t="s">
        <v>31362</v>
      </c>
      <c r="G2070" t="s">
        <v>31368</v>
      </c>
      <c r="H2070" t="s">
        <v>15799</v>
      </c>
      <c r="I2070" t="s">
        <v>4057</v>
      </c>
      <c r="J2070" t="s">
        <v>31940</v>
      </c>
      <c r="K2070" t="s">
        <v>40662</v>
      </c>
      <c r="M2070" t="s">
        <v>41020</v>
      </c>
      <c r="N2070" t="s">
        <v>44905</v>
      </c>
      <c r="O2070" t="s">
        <v>44906</v>
      </c>
      <c r="P2070">
        <v>0</v>
      </c>
      <c r="Q2070">
        <v>0</v>
      </c>
      <c r="R2070" t="s">
        <v>44907</v>
      </c>
      <c r="S2070" t="s">
        <v>45026</v>
      </c>
      <c r="T2070" t="s">
        <v>46434</v>
      </c>
      <c r="U2070" t="s">
        <v>48648</v>
      </c>
      <c r="W2070" t="s">
        <v>41020</v>
      </c>
      <c r="X2070" t="s">
        <v>44908</v>
      </c>
    </row>
    <row r="2071" spans="1:24">
      <c r="A2071">
        <f>HYPERLINK("https://www.philgeps.gov.ph/GEPSNONPILOT/Tender/SplashBidNoticeAbstractUI.aspx?menuIndex=3&amp;refID=7084251&amp;Result=3","7084251")</f>
        <v>0</v>
      </c>
      <c r="B2071" t="s">
        <v>833</v>
      </c>
      <c r="C2071" t="s">
        <v>5519</v>
      </c>
      <c r="D2071" t="s">
        <v>18171</v>
      </c>
      <c r="E2071" t="s">
        <v>20105</v>
      </c>
      <c r="F2071" t="s">
        <v>31362</v>
      </c>
      <c r="G2071" t="s">
        <v>31369</v>
      </c>
      <c r="H2071" t="s">
        <v>31378</v>
      </c>
      <c r="I2071" t="s">
        <v>31386</v>
      </c>
      <c r="J2071" t="s">
        <v>32964</v>
      </c>
      <c r="K2071" t="s">
        <v>40742</v>
      </c>
      <c r="M2071" t="s">
        <v>41807</v>
      </c>
      <c r="N2071" t="s">
        <v>44905</v>
      </c>
      <c r="O2071" t="s">
        <v>44906</v>
      </c>
      <c r="P2071">
        <v>0</v>
      </c>
      <c r="Q2071">
        <v>0</v>
      </c>
      <c r="R2071" t="s">
        <v>44907</v>
      </c>
      <c r="S2071" t="s">
        <v>45026</v>
      </c>
      <c r="T2071" t="s">
        <v>46429</v>
      </c>
      <c r="U2071" t="s">
        <v>48649</v>
      </c>
      <c r="V2071" t="s">
        <v>59267</v>
      </c>
      <c r="W2071" t="s">
        <v>41807</v>
      </c>
      <c r="X2071" t="s">
        <v>44908</v>
      </c>
    </row>
    <row r="2072" spans="1:24">
      <c r="A2072">
        <f>HYPERLINK("https://www.philgeps.gov.ph/GEPSNONPILOT/Tender/SplashBidNoticeAbstractUI.aspx?menuIndex=3&amp;refID=7084268&amp;Result=3","7084268")</f>
        <v>0</v>
      </c>
      <c r="B2072" t="s">
        <v>833</v>
      </c>
      <c r="C2072" t="s">
        <v>5520</v>
      </c>
      <c r="D2072" t="s">
        <v>18171</v>
      </c>
      <c r="E2072" t="s">
        <v>20106</v>
      </c>
      <c r="F2072" t="s">
        <v>31362</v>
      </c>
      <c r="G2072" t="s">
        <v>31369</v>
      </c>
      <c r="H2072" t="s">
        <v>31378</v>
      </c>
      <c r="I2072" t="s">
        <v>31386</v>
      </c>
      <c r="J2072" t="s">
        <v>32965</v>
      </c>
      <c r="K2072" t="s">
        <v>40682</v>
      </c>
      <c r="M2072" t="s">
        <v>41807</v>
      </c>
      <c r="N2072" t="s">
        <v>44905</v>
      </c>
      <c r="O2072" t="s">
        <v>44906</v>
      </c>
      <c r="P2072">
        <v>0</v>
      </c>
      <c r="Q2072">
        <v>0</v>
      </c>
      <c r="R2072" t="s">
        <v>44907</v>
      </c>
      <c r="S2072" t="s">
        <v>45026</v>
      </c>
      <c r="T2072" t="s">
        <v>46429</v>
      </c>
      <c r="U2072" t="s">
        <v>48650</v>
      </c>
      <c r="V2072" t="s">
        <v>59268</v>
      </c>
      <c r="W2072" t="s">
        <v>41807</v>
      </c>
      <c r="X2072" t="s">
        <v>44908</v>
      </c>
    </row>
    <row r="2073" spans="1:24">
      <c r="A2073">
        <f>HYPERLINK("https://www.philgeps.gov.ph/GEPSNONPILOT/Tender/SplashBidNoticeAbstractUI.aspx?menuIndex=3&amp;refID=7084044&amp;Result=3","7084044")</f>
        <v>0</v>
      </c>
      <c r="B2073" t="s">
        <v>28</v>
      </c>
      <c r="C2073" t="s">
        <v>5521</v>
      </c>
      <c r="D2073" t="s">
        <v>18102</v>
      </c>
      <c r="E2073" t="s">
        <v>20107</v>
      </c>
      <c r="F2073" t="s">
        <v>31362</v>
      </c>
      <c r="G2073" t="s">
        <v>31368</v>
      </c>
      <c r="H2073" t="s">
        <v>15799</v>
      </c>
      <c r="I2073" t="s">
        <v>31383</v>
      </c>
      <c r="J2073" t="s">
        <v>32966</v>
      </c>
      <c r="K2073" t="s">
        <v>40661</v>
      </c>
      <c r="M2073" t="s">
        <v>40962</v>
      </c>
      <c r="N2073" t="s">
        <v>44905</v>
      </c>
      <c r="O2073" t="s">
        <v>44906</v>
      </c>
      <c r="P2073">
        <v>0</v>
      </c>
      <c r="Q2073">
        <v>1</v>
      </c>
      <c r="R2073" t="s">
        <v>44907</v>
      </c>
      <c r="S2073" t="s">
        <v>45026</v>
      </c>
      <c r="T2073" t="s">
        <v>46600</v>
      </c>
      <c r="U2073" t="s">
        <v>48651</v>
      </c>
      <c r="W2073" t="s">
        <v>40962</v>
      </c>
      <c r="X2073" t="s">
        <v>44908</v>
      </c>
    </row>
    <row r="2074" spans="1:24">
      <c r="A2074">
        <f>HYPERLINK("https://www.philgeps.gov.ph/GEPSNONPILOT/Tender/SplashBidNoticeAbstractUI.aspx?menuIndex=3&amp;refID=7083608&amp;Result=3","7083608")</f>
        <v>0</v>
      </c>
      <c r="B2074" t="s">
        <v>700</v>
      </c>
      <c r="C2074" t="s">
        <v>5522</v>
      </c>
      <c r="E2074" t="s">
        <v>20108</v>
      </c>
      <c r="F2074" t="s">
        <v>31362</v>
      </c>
      <c r="G2074" t="s">
        <v>31369</v>
      </c>
      <c r="H2074" t="s">
        <v>15799</v>
      </c>
      <c r="I2074" t="s">
        <v>31384</v>
      </c>
      <c r="J2074" t="s">
        <v>32967</v>
      </c>
      <c r="K2074" t="s">
        <v>40662</v>
      </c>
      <c r="M2074" t="s">
        <v>41665</v>
      </c>
      <c r="N2074" t="s">
        <v>44905</v>
      </c>
      <c r="O2074" t="s">
        <v>44906</v>
      </c>
      <c r="P2074">
        <v>0</v>
      </c>
      <c r="Q2074">
        <v>7</v>
      </c>
      <c r="R2074" t="s">
        <v>44907</v>
      </c>
      <c r="S2074" t="s">
        <v>45026</v>
      </c>
      <c r="T2074" t="s">
        <v>46574</v>
      </c>
      <c r="U2074" t="s">
        <v>48652</v>
      </c>
      <c r="V2074" t="s">
        <v>59269</v>
      </c>
      <c r="W2074" t="s">
        <v>41665</v>
      </c>
      <c r="X2074" t="s">
        <v>44908</v>
      </c>
    </row>
    <row r="2075" spans="1:24">
      <c r="A2075">
        <f>HYPERLINK("https://www.philgeps.gov.ph/GEPSNONPILOT/Tender/SplashBidNoticeAbstractUI.aspx?menuIndex=3&amp;refID=7084275&amp;Result=3","7084275")</f>
        <v>0</v>
      </c>
      <c r="B2075" t="s">
        <v>257</v>
      </c>
      <c r="C2075" t="s">
        <v>5523</v>
      </c>
      <c r="D2075" t="s">
        <v>18104</v>
      </c>
      <c r="E2075" t="s">
        <v>20109</v>
      </c>
      <c r="F2075" t="s">
        <v>31362</v>
      </c>
      <c r="G2075" t="s">
        <v>31369</v>
      </c>
      <c r="H2075" t="s">
        <v>15799</v>
      </c>
      <c r="I2075" t="s">
        <v>31476</v>
      </c>
      <c r="J2075" t="s">
        <v>32968</v>
      </c>
      <c r="K2075" t="s">
        <v>40679</v>
      </c>
      <c r="M2075" t="s">
        <v>41198</v>
      </c>
      <c r="N2075" t="s">
        <v>44905</v>
      </c>
      <c r="O2075" t="s">
        <v>44906</v>
      </c>
      <c r="P2075">
        <v>0</v>
      </c>
      <c r="Q2075">
        <v>2</v>
      </c>
      <c r="R2075" t="s">
        <v>44907</v>
      </c>
      <c r="S2075" t="s">
        <v>45026</v>
      </c>
      <c r="T2075" t="s">
        <v>46462</v>
      </c>
      <c r="U2075" t="s">
        <v>48653</v>
      </c>
      <c r="W2075" t="s">
        <v>41198</v>
      </c>
      <c r="X2075" t="s">
        <v>44908</v>
      </c>
    </row>
    <row r="2076" spans="1:24">
      <c r="A2076">
        <f>HYPERLINK("https://www.philgeps.gov.ph/GEPSNONPILOT/Tender/SplashBidNoticeAbstractUI.aspx?menuIndex=3&amp;refID=7083604&amp;Result=3","7083604")</f>
        <v>0</v>
      </c>
      <c r="B2076" t="s">
        <v>573</v>
      </c>
      <c r="C2076" t="s">
        <v>5524</v>
      </c>
      <c r="D2076" t="s">
        <v>18105</v>
      </c>
      <c r="E2076" t="s">
        <v>20110</v>
      </c>
      <c r="F2076" t="s">
        <v>31362</v>
      </c>
      <c r="G2076" t="s">
        <v>31368</v>
      </c>
      <c r="H2076" t="s">
        <v>15799</v>
      </c>
      <c r="I2076" t="s">
        <v>31398</v>
      </c>
      <c r="J2076" t="s">
        <v>31915</v>
      </c>
      <c r="K2076" t="s">
        <v>40661</v>
      </c>
      <c r="M2076" t="s">
        <v>41529</v>
      </c>
      <c r="N2076" t="s">
        <v>44905</v>
      </c>
      <c r="O2076" t="s">
        <v>44906</v>
      </c>
      <c r="P2076">
        <v>0</v>
      </c>
      <c r="Q2076">
        <v>0</v>
      </c>
      <c r="R2076" t="s">
        <v>44907</v>
      </c>
      <c r="S2076" t="s">
        <v>45026</v>
      </c>
      <c r="T2076" t="s">
        <v>46601</v>
      </c>
      <c r="U2076" t="s">
        <v>48654</v>
      </c>
      <c r="W2076" t="s">
        <v>41529</v>
      </c>
      <c r="X2076" t="s">
        <v>44908</v>
      </c>
    </row>
    <row r="2077" spans="1:24">
      <c r="A2077">
        <f>HYPERLINK("https://www.philgeps.gov.ph/GEPSNONPILOT/Tender/SplashBidNoticeAbstractUI.aspx?menuIndex=3&amp;refID=7083611&amp;Result=3","7083611")</f>
        <v>0</v>
      </c>
      <c r="B2077" t="s">
        <v>465</v>
      </c>
      <c r="C2077" t="s">
        <v>5525</v>
      </c>
      <c r="D2077" t="s">
        <v>18107</v>
      </c>
      <c r="E2077" t="s">
        <v>20111</v>
      </c>
      <c r="F2077" t="s">
        <v>31362</v>
      </c>
      <c r="G2077" t="s">
        <v>31368</v>
      </c>
      <c r="H2077" t="s">
        <v>31379</v>
      </c>
      <c r="I2077" t="s">
        <v>31382</v>
      </c>
      <c r="J2077" t="s">
        <v>31897</v>
      </c>
      <c r="K2077" t="s">
        <v>40670</v>
      </c>
      <c r="M2077" t="s">
        <v>41419</v>
      </c>
      <c r="N2077" t="s">
        <v>44905</v>
      </c>
      <c r="O2077" t="s">
        <v>44906</v>
      </c>
      <c r="P2077">
        <v>0</v>
      </c>
      <c r="Q2077">
        <v>1</v>
      </c>
      <c r="R2077" t="s">
        <v>44907</v>
      </c>
      <c r="S2077" t="s">
        <v>45026</v>
      </c>
      <c r="T2077" t="s">
        <v>46544</v>
      </c>
      <c r="U2077" t="s">
        <v>48655</v>
      </c>
      <c r="W2077" t="s">
        <v>41419</v>
      </c>
      <c r="X2077" t="s">
        <v>44908</v>
      </c>
    </row>
    <row r="2078" spans="1:24">
      <c r="A2078">
        <f>HYPERLINK("https://www.philgeps.gov.ph/GEPSNONPILOT/Tender/SplashBidNoticeAbstractUI.aspx?menuIndex=3&amp;refID=7083499&amp;Result=3","7083499")</f>
        <v>0</v>
      </c>
      <c r="B2078" t="s">
        <v>637</v>
      </c>
      <c r="C2078" t="s">
        <v>4912</v>
      </c>
      <c r="D2078" t="s">
        <v>18102</v>
      </c>
      <c r="E2078" t="s">
        <v>20112</v>
      </c>
      <c r="F2078" t="s">
        <v>31362</v>
      </c>
      <c r="G2078" t="s">
        <v>31368</v>
      </c>
      <c r="H2078" t="s">
        <v>15799</v>
      </c>
      <c r="I2078" t="s">
        <v>31430</v>
      </c>
      <c r="J2078" t="s">
        <v>32969</v>
      </c>
      <c r="K2078" t="s">
        <v>40665</v>
      </c>
      <c r="M2078" t="s">
        <v>41597</v>
      </c>
      <c r="N2078" t="s">
        <v>44905</v>
      </c>
      <c r="O2078" t="s">
        <v>44906</v>
      </c>
      <c r="P2078">
        <v>0</v>
      </c>
      <c r="Q2078">
        <v>1</v>
      </c>
      <c r="R2078" t="s">
        <v>44907</v>
      </c>
      <c r="S2078" t="s">
        <v>45026</v>
      </c>
      <c r="T2078" t="s">
        <v>46493</v>
      </c>
      <c r="U2078" t="s">
        <v>48139</v>
      </c>
      <c r="W2078" t="s">
        <v>41597</v>
      </c>
      <c r="X2078" t="s">
        <v>44908</v>
      </c>
    </row>
    <row r="2079" spans="1:24">
      <c r="A2079">
        <f>HYPERLINK("https://www.philgeps.gov.ph/GEPSNONPILOT/Tender/SplashBidNoticeAbstractUI.aspx?menuIndex=3&amp;refID=7083498&amp;Result=3","7083498")</f>
        <v>0</v>
      </c>
      <c r="B2079" t="s">
        <v>155</v>
      </c>
      <c r="C2079" t="s">
        <v>5526</v>
      </c>
      <c r="D2079" t="s">
        <v>18108</v>
      </c>
      <c r="E2079" t="s">
        <v>20113</v>
      </c>
      <c r="F2079" t="s">
        <v>31362</v>
      </c>
      <c r="G2079" t="s">
        <v>31368</v>
      </c>
      <c r="H2079" t="s">
        <v>15799</v>
      </c>
      <c r="I2079" t="s">
        <v>4057</v>
      </c>
      <c r="J2079" t="s">
        <v>32036</v>
      </c>
      <c r="K2079" t="s">
        <v>40662</v>
      </c>
      <c r="M2079" t="s">
        <v>41093</v>
      </c>
      <c r="N2079" t="s">
        <v>44905</v>
      </c>
      <c r="O2079" t="s">
        <v>44906</v>
      </c>
      <c r="P2079">
        <v>0</v>
      </c>
      <c r="Q2079">
        <v>2</v>
      </c>
      <c r="R2079" t="s">
        <v>44907</v>
      </c>
      <c r="S2079" t="s">
        <v>45026</v>
      </c>
      <c r="T2079" t="s">
        <v>46443</v>
      </c>
      <c r="U2079" t="s">
        <v>48656</v>
      </c>
      <c r="W2079" t="s">
        <v>41093</v>
      </c>
      <c r="X2079" t="s">
        <v>44908</v>
      </c>
    </row>
    <row r="2080" spans="1:24">
      <c r="A2080">
        <f>HYPERLINK("https://www.philgeps.gov.ph/GEPSNONPILOT/Tender/SplashBidNoticeAbstractUI.aspx?menuIndex=3&amp;refID=7083496&amp;Result=3","7083496")</f>
        <v>0</v>
      </c>
      <c r="B2080" t="s">
        <v>840</v>
      </c>
      <c r="C2080" t="s">
        <v>5527</v>
      </c>
      <c r="D2080" t="s">
        <v>18117</v>
      </c>
      <c r="E2080" t="s">
        <v>20114</v>
      </c>
      <c r="F2080" t="s">
        <v>31362</v>
      </c>
      <c r="G2080" t="s">
        <v>31370</v>
      </c>
      <c r="H2080" t="s">
        <v>15799</v>
      </c>
      <c r="I2080" t="s">
        <v>31388</v>
      </c>
      <c r="J2080" t="s">
        <v>32143</v>
      </c>
      <c r="K2080" t="s">
        <v>40672</v>
      </c>
      <c r="M2080" t="s">
        <v>41815</v>
      </c>
      <c r="N2080" t="s">
        <v>44905</v>
      </c>
      <c r="O2080" t="s">
        <v>44906</v>
      </c>
      <c r="P2080">
        <v>0</v>
      </c>
      <c r="Q2080">
        <v>0</v>
      </c>
      <c r="R2080" t="s">
        <v>44907</v>
      </c>
      <c r="S2080" t="s">
        <v>45026</v>
      </c>
      <c r="T2080" t="s">
        <v>46404</v>
      </c>
      <c r="U2080" t="s">
        <v>48657</v>
      </c>
      <c r="W2080" t="s">
        <v>41815</v>
      </c>
      <c r="X2080" t="s">
        <v>44908</v>
      </c>
    </row>
    <row r="2081" spans="1:24">
      <c r="A2081">
        <f>HYPERLINK("https://www.philgeps.gov.ph/GEPSNONPILOT/Tender/SplashBidNoticeAbstractUI.aspx?menuIndex=3&amp;refID=7083578&amp;Result=3","7083578")</f>
        <v>0</v>
      </c>
      <c r="B2081" t="s">
        <v>559</v>
      </c>
      <c r="C2081" t="s">
        <v>5528</v>
      </c>
      <c r="D2081" t="s">
        <v>18139</v>
      </c>
      <c r="E2081" t="s">
        <v>20115</v>
      </c>
      <c r="F2081" t="s">
        <v>31362</v>
      </c>
      <c r="G2081" t="s">
        <v>31369</v>
      </c>
      <c r="H2081" t="s">
        <v>31378</v>
      </c>
      <c r="I2081" t="s">
        <v>31386</v>
      </c>
      <c r="J2081" t="s">
        <v>32596</v>
      </c>
      <c r="K2081" t="s">
        <v>40686</v>
      </c>
      <c r="M2081" t="s">
        <v>41515</v>
      </c>
      <c r="N2081" t="s">
        <v>44905</v>
      </c>
      <c r="O2081" t="s">
        <v>44906</v>
      </c>
      <c r="P2081">
        <v>0</v>
      </c>
      <c r="Q2081">
        <v>0</v>
      </c>
      <c r="R2081" t="s">
        <v>44907</v>
      </c>
      <c r="S2081" t="s">
        <v>45026</v>
      </c>
      <c r="T2081" t="s">
        <v>46449</v>
      </c>
      <c r="U2081" t="s">
        <v>47999</v>
      </c>
      <c r="V2081" t="s">
        <v>59206</v>
      </c>
      <c r="W2081" t="s">
        <v>41515</v>
      </c>
      <c r="X2081" t="s">
        <v>44908</v>
      </c>
    </row>
    <row r="2082" spans="1:24">
      <c r="A2082">
        <f>HYPERLINK("https://www.philgeps.gov.ph/GEPSNONPILOT/Tender/SplashBidNoticeAbstractUI.aspx?menuIndex=3&amp;refID=7083494&amp;Result=3","7083494")</f>
        <v>0</v>
      </c>
      <c r="B2082" t="s">
        <v>50</v>
      </c>
      <c r="C2082" t="s">
        <v>3574</v>
      </c>
      <c r="D2082" t="s">
        <v>18100</v>
      </c>
      <c r="E2082" t="s">
        <v>19603</v>
      </c>
      <c r="F2082" t="s">
        <v>31363</v>
      </c>
      <c r="G2082" t="s">
        <v>31368</v>
      </c>
      <c r="H2082" t="s">
        <v>15799</v>
      </c>
      <c r="I2082" t="s">
        <v>31385</v>
      </c>
      <c r="J2082" t="s">
        <v>31561</v>
      </c>
      <c r="K2082" t="s">
        <v>40661</v>
      </c>
      <c r="M2082" t="s">
        <v>40984</v>
      </c>
      <c r="N2082" t="s">
        <v>44905</v>
      </c>
      <c r="O2082" t="s">
        <v>44906</v>
      </c>
      <c r="P2082">
        <v>0</v>
      </c>
      <c r="Q2082">
        <v>0</v>
      </c>
      <c r="R2082" t="s">
        <v>44907</v>
      </c>
      <c r="S2082" t="s">
        <v>45026</v>
      </c>
      <c r="T2082" t="s">
        <v>46408</v>
      </c>
      <c r="U2082" t="s">
        <v>46961</v>
      </c>
      <c r="W2082" t="s">
        <v>40984</v>
      </c>
      <c r="X2082" t="s">
        <v>44908</v>
      </c>
    </row>
    <row r="2083" spans="1:24">
      <c r="A2083">
        <f>HYPERLINK("https://www.philgeps.gov.ph/GEPSNONPILOT/Tender/SplashBidNoticeAbstractUI.aspx?menuIndex=3&amp;refID=7084046&amp;Result=3","7084046")</f>
        <v>0</v>
      </c>
      <c r="B2083" t="s">
        <v>91</v>
      </c>
      <c r="C2083" t="s">
        <v>4539</v>
      </c>
      <c r="D2083" t="s">
        <v>18136</v>
      </c>
      <c r="E2083" t="s">
        <v>20116</v>
      </c>
      <c r="F2083" t="s">
        <v>31362</v>
      </c>
      <c r="G2083" t="s">
        <v>31368</v>
      </c>
      <c r="H2083" t="s">
        <v>15799</v>
      </c>
      <c r="I2083" t="s">
        <v>4057</v>
      </c>
      <c r="J2083" t="s">
        <v>31576</v>
      </c>
      <c r="K2083" t="s">
        <v>40661</v>
      </c>
      <c r="M2083" t="s">
        <v>41028</v>
      </c>
      <c r="N2083" t="s">
        <v>44905</v>
      </c>
      <c r="O2083" t="s">
        <v>44906</v>
      </c>
      <c r="P2083">
        <v>0</v>
      </c>
      <c r="Q2083">
        <v>0</v>
      </c>
      <c r="R2083" t="s">
        <v>44907</v>
      </c>
      <c r="S2083" t="s">
        <v>45026</v>
      </c>
      <c r="T2083" t="s">
        <v>46411</v>
      </c>
      <c r="U2083" t="s">
        <v>48658</v>
      </c>
      <c r="W2083" t="s">
        <v>41028</v>
      </c>
      <c r="X2083" t="s">
        <v>44908</v>
      </c>
    </row>
    <row r="2084" spans="1:24">
      <c r="A2084">
        <f>HYPERLINK("https://www.philgeps.gov.ph/GEPSNONPILOT/Tender/SplashBidNoticeAbstractUI.aspx?menuIndex=3&amp;refID=7083472&amp;Result=3","7083472")</f>
        <v>0</v>
      </c>
      <c r="B2084" t="s">
        <v>637</v>
      </c>
      <c r="C2084" t="s">
        <v>5529</v>
      </c>
      <c r="D2084" t="s">
        <v>18102</v>
      </c>
      <c r="E2084" t="s">
        <v>20117</v>
      </c>
      <c r="F2084" t="s">
        <v>31362</v>
      </c>
      <c r="G2084" t="s">
        <v>31368</v>
      </c>
      <c r="H2084" t="s">
        <v>15799</v>
      </c>
      <c r="I2084" t="s">
        <v>31415</v>
      </c>
      <c r="J2084" t="s">
        <v>32434</v>
      </c>
      <c r="K2084" t="s">
        <v>40665</v>
      </c>
      <c r="M2084" t="s">
        <v>41597</v>
      </c>
      <c r="N2084" t="s">
        <v>44905</v>
      </c>
      <c r="O2084" t="s">
        <v>44906</v>
      </c>
      <c r="P2084">
        <v>0</v>
      </c>
      <c r="Q2084">
        <v>0</v>
      </c>
      <c r="R2084" t="s">
        <v>44907</v>
      </c>
      <c r="S2084" t="s">
        <v>45026</v>
      </c>
      <c r="T2084" t="s">
        <v>46493</v>
      </c>
      <c r="U2084" t="s">
        <v>48139</v>
      </c>
      <c r="W2084" t="s">
        <v>41597</v>
      </c>
      <c r="X2084" t="s">
        <v>44908</v>
      </c>
    </row>
    <row r="2085" spans="1:24">
      <c r="A2085">
        <f>HYPERLINK("https://www.philgeps.gov.ph/GEPSNONPILOT/Tender/SplashBidNoticeAbstractUI.aspx?menuIndex=3&amp;refID=7084281&amp;Result=3","7084281")</f>
        <v>0</v>
      </c>
      <c r="B2085" t="s">
        <v>728</v>
      </c>
      <c r="C2085" t="s">
        <v>5530</v>
      </c>
      <c r="D2085" t="s">
        <v>18152</v>
      </c>
      <c r="E2085" t="s">
        <v>20118</v>
      </c>
      <c r="F2085" t="s">
        <v>31362</v>
      </c>
      <c r="G2085" t="s">
        <v>31371</v>
      </c>
      <c r="H2085" t="s">
        <v>15799</v>
      </c>
      <c r="I2085" t="s">
        <v>31385</v>
      </c>
      <c r="J2085" t="s">
        <v>32970</v>
      </c>
      <c r="K2085" t="s">
        <v>40661</v>
      </c>
      <c r="M2085" t="s">
        <v>41695</v>
      </c>
      <c r="N2085" t="s">
        <v>44905</v>
      </c>
      <c r="O2085" t="s">
        <v>44906</v>
      </c>
      <c r="P2085">
        <v>0</v>
      </c>
      <c r="Q2085">
        <v>0</v>
      </c>
      <c r="R2085" t="s">
        <v>44907</v>
      </c>
      <c r="S2085" t="s">
        <v>45026</v>
      </c>
      <c r="T2085" t="s">
        <v>46409</v>
      </c>
      <c r="U2085" t="s">
        <v>48659</v>
      </c>
      <c r="V2085" t="s">
        <v>59233</v>
      </c>
      <c r="W2085" t="s">
        <v>41695</v>
      </c>
      <c r="X2085" t="s">
        <v>44908</v>
      </c>
    </row>
    <row r="2086" spans="1:24">
      <c r="A2086">
        <f>HYPERLINK("https://www.philgeps.gov.ph/GEPSNONPILOT/Tender/SplashBidNoticeAbstractUI.aspx?menuIndex=3&amp;refID=7083492&amp;Result=3","7083492")</f>
        <v>0</v>
      </c>
      <c r="B2086" t="s">
        <v>624</v>
      </c>
      <c r="C2086" t="s">
        <v>5531</v>
      </c>
      <c r="D2086" t="s">
        <v>18148</v>
      </c>
      <c r="E2086" t="s">
        <v>20119</v>
      </c>
      <c r="F2086" t="s">
        <v>31362</v>
      </c>
      <c r="G2086" t="s">
        <v>31368</v>
      </c>
      <c r="H2086" t="s">
        <v>15799</v>
      </c>
      <c r="I2086" t="s">
        <v>3815</v>
      </c>
      <c r="J2086" t="s">
        <v>32971</v>
      </c>
      <c r="K2086" t="s">
        <v>40662</v>
      </c>
      <c r="M2086" t="s">
        <v>41583</v>
      </c>
      <c r="N2086" t="s">
        <v>44905</v>
      </c>
      <c r="O2086" t="s">
        <v>44906</v>
      </c>
      <c r="P2086">
        <v>0</v>
      </c>
      <c r="Q2086">
        <v>0</v>
      </c>
      <c r="R2086" t="s">
        <v>44907</v>
      </c>
      <c r="S2086" t="s">
        <v>45026</v>
      </c>
      <c r="T2086" t="s">
        <v>46414</v>
      </c>
      <c r="U2086" t="s">
        <v>48660</v>
      </c>
      <c r="W2086" t="s">
        <v>41583</v>
      </c>
      <c r="X2086" t="s">
        <v>44908</v>
      </c>
    </row>
    <row r="2087" spans="1:24">
      <c r="A2087">
        <f>HYPERLINK("https://www.philgeps.gov.ph/GEPSNONPILOT/Tender/SplashBidNoticeAbstractUI.aspx?menuIndex=3&amp;refID=7084308&amp;Result=3","7084308")</f>
        <v>0</v>
      </c>
      <c r="B2087" t="s">
        <v>841</v>
      </c>
      <c r="C2087" t="s">
        <v>5532</v>
      </c>
      <c r="D2087" t="s">
        <v>18134</v>
      </c>
      <c r="E2087" t="s">
        <v>20120</v>
      </c>
      <c r="F2087" t="s">
        <v>31362</v>
      </c>
      <c r="G2087" t="s">
        <v>31374</v>
      </c>
      <c r="H2087" t="s">
        <v>31378</v>
      </c>
      <c r="I2087" t="s">
        <v>3815</v>
      </c>
      <c r="J2087" t="s">
        <v>31536</v>
      </c>
      <c r="K2087" t="s">
        <v>40665</v>
      </c>
      <c r="M2087" t="s">
        <v>41816</v>
      </c>
      <c r="N2087" t="s">
        <v>44905</v>
      </c>
      <c r="O2087" t="s">
        <v>44906</v>
      </c>
      <c r="P2087">
        <v>0</v>
      </c>
      <c r="Q2087">
        <v>0</v>
      </c>
      <c r="R2087" t="s">
        <v>44907</v>
      </c>
      <c r="S2087" t="s">
        <v>45026</v>
      </c>
      <c r="T2087" t="s">
        <v>46490</v>
      </c>
      <c r="U2087" t="s">
        <v>48661</v>
      </c>
      <c r="V2087" t="s">
        <v>59270</v>
      </c>
      <c r="W2087" t="s">
        <v>41816</v>
      </c>
      <c r="X2087" t="s">
        <v>44908</v>
      </c>
    </row>
    <row r="2088" spans="1:24">
      <c r="A2088">
        <f>HYPERLINK("https://www.philgeps.gov.ph/GEPSNONPILOT/Tender/SplashBidNoticeAbstractUI.aspx?menuIndex=3&amp;refID=7084306&amp;Result=3","7084306")</f>
        <v>0</v>
      </c>
      <c r="B2088" t="s">
        <v>842</v>
      </c>
      <c r="C2088" t="s">
        <v>5533</v>
      </c>
      <c r="D2088" t="s">
        <v>18117</v>
      </c>
      <c r="E2088" t="s">
        <v>20121</v>
      </c>
      <c r="F2088" t="s">
        <v>31362</v>
      </c>
      <c r="G2088" t="s">
        <v>31368</v>
      </c>
      <c r="H2088" t="s">
        <v>15799</v>
      </c>
      <c r="I2088" t="s">
        <v>3815</v>
      </c>
      <c r="J2088" t="s">
        <v>32972</v>
      </c>
      <c r="K2088" t="s">
        <v>40666</v>
      </c>
      <c r="L2088" t="s">
        <v>842</v>
      </c>
      <c r="M2088" t="s">
        <v>41817</v>
      </c>
      <c r="N2088" t="s">
        <v>44905</v>
      </c>
      <c r="O2088" t="s">
        <v>44906</v>
      </c>
      <c r="P2088">
        <v>0</v>
      </c>
      <c r="Q2088">
        <v>0</v>
      </c>
      <c r="R2088" t="s">
        <v>44907</v>
      </c>
      <c r="S2088" t="s">
        <v>45026</v>
      </c>
      <c r="T2088" t="s">
        <v>46432</v>
      </c>
      <c r="U2088" t="s">
        <v>48662</v>
      </c>
      <c r="W2088" t="s">
        <v>41817</v>
      </c>
      <c r="X2088" t="s">
        <v>44908</v>
      </c>
    </row>
    <row r="2089" spans="1:24">
      <c r="A2089">
        <f>HYPERLINK("https://www.philgeps.gov.ph/GEPSNONPILOT/Tender/SplashBidNoticeAbstractUI.aspx?menuIndex=3&amp;refID=7083493&amp;Result=3","7083493")</f>
        <v>0</v>
      </c>
      <c r="B2089" t="s">
        <v>440</v>
      </c>
      <c r="C2089" t="s">
        <v>5534</v>
      </c>
      <c r="D2089" t="s">
        <v>18154</v>
      </c>
      <c r="E2089" t="s">
        <v>20122</v>
      </c>
      <c r="F2089" t="s">
        <v>31362</v>
      </c>
      <c r="G2089" t="s">
        <v>31370</v>
      </c>
      <c r="H2089" t="s">
        <v>15799</v>
      </c>
      <c r="I2089" t="s">
        <v>31380</v>
      </c>
      <c r="J2089" t="s">
        <v>32973</v>
      </c>
      <c r="K2089" t="s">
        <v>40662</v>
      </c>
      <c r="M2089" t="s">
        <v>41604</v>
      </c>
      <c r="N2089" t="s">
        <v>44905</v>
      </c>
      <c r="O2089" t="s">
        <v>44906</v>
      </c>
      <c r="P2089">
        <v>0</v>
      </c>
      <c r="Q2089">
        <v>1</v>
      </c>
      <c r="R2089" t="s">
        <v>44907</v>
      </c>
      <c r="S2089" t="s">
        <v>45026</v>
      </c>
      <c r="T2089" t="s">
        <v>46447</v>
      </c>
      <c r="U2089" t="s">
        <v>48663</v>
      </c>
      <c r="W2089" t="s">
        <v>41604</v>
      </c>
      <c r="X2089" t="s">
        <v>44908</v>
      </c>
    </row>
    <row r="2090" spans="1:24">
      <c r="A2090">
        <f>HYPERLINK("https://www.philgeps.gov.ph/GEPSNONPILOT/Tender/SplashBidNoticeAbstractUI.aspx?menuIndex=3&amp;refID=7083603&amp;Result=3","7083603")</f>
        <v>0</v>
      </c>
      <c r="B2090" t="s">
        <v>184</v>
      </c>
      <c r="C2090" t="s">
        <v>3926</v>
      </c>
      <c r="D2090" t="s">
        <v>18123</v>
      </c>
      <c r="E2090" t="s">
        <v>20123</v>
      </c>
      <c r="F2090" t="s">
        <v>31362</v>
      </c>
      <c r="G2090" t="s">
        <v>31368</v>
      </c>
      <c r="H2090" t="s">
        <v>15799</v>
      </c>
      <c r="I2090" t="s">
        <v>31380</v>
      </c>
      <c r="J2090" t="s">
        <v>32974</v>
      </c>
      <c r="K2090" t="s">
        <v>40670</v>
      </c>
      <c r="M2090" t="s">
        <v>41122</v>
      </c>
      <c r="N2090" t="s">
        <v>44905</v>
      </c>
      <c r="O2090" t="s">
        <v>44906</v>
      </c>
      <c r="P2090">
        <v>0</v>
      </c>
      <c r="Q2090">
        <v>3</v>
      </c>
      <c r="R2090" t="s">
        <v>44907</v>
      </c>
      <c r="S2090" t="s">
        <v>45026</v>
      </c>
      <c r="T2090" t="s">
        <v>46435</v>
      </c>
      <c r="U2090" t="s">
        <v>48664</v>
      </c>
      <c r="W2090" t="s">
        <v>41122</v>
      </c>
      <c r="X2090" t="s">
        <v>44908</v>
      </c>
    </row>
    <row r="2091" spans="1:24">
      <c r="A2091">
        <f>HYPERLINK("https://www.philgeps.gov.ph/GEPSNONPILOT/Tender/SplashBidNoticeAbstractUI.aspx?menuIndex=3&amp;refID=7084278&amp;Result=3","7084278")</f>
        <v>0</v>
      </c>
      <c r="B2091" t="s">
        <v>831</v>
      </c>
      <c r="C2091" t="s">
        <v>5535</v>
      </c>
      <c r="D2091" t="s">
        <v>18108</v>
      </c>
      <c r="E2091" t="s">
        <v>20124</v>
      </c>
      <c r="F2091" t="s">
        <v>31362</v>
      </c>
      <c r="G2091" t="s">
        <v>31369</v>
      </c>
      <c r="H2091" t="s">
        <v>15799</v>
      </c>
      <c r="I2091" t="s">
        <v>7090</v>
      </c>
      <c r="J2091" t="s">
        <v>32975</v>
      </c>
      <c r="K2091" t="s">
        <v>40666</v>
      </c>
      <c r="M2091" t="s">
        <v>41805</v>
      </c>
      <c r="N2091" t="s">
        <v>44905</v>
      </c>
      <c r="O2091" t="s">
        <v>44906</v>
      </c>
      <c r="P2091">
        <v>0</v>
      </c>
      <c r="Q2091">
        <v>0</v>
      </c>
      <c r="R2091" t="s">
        <v>44907</v>
      </c>
      <c r="S2091" t="s">
        <v>45026</v>
      </c>
      <c r="T2091" t="s">
        <v>46403</v>
      </c>
      <c r="U2091" t="s">
        <v>48635</v>
      </c>
      <c r="W2091" t="s">
        <v>41805</v>
      </c>
      <c r="X2091" t="s">
        <v>44908</v>
      </c>
    </row>
    <row r="2092" spans="1:24">
      <c r="A2092">
        <f>HYPERLINK("https://www.philgeps.gov.ph/GEPSNONPILOT/Tender/SplashBidNoticeAbstractUI.aspx?menuIndex=3&amp;refID=7084305&amp;Result=3","7084305")</f>
        <v>0</v>
      </c>
      <c r="B2092" t="s">
        <v>728</v>
      </c>
      <c r="C2092" t="s">
        <v>5536</v>
      </c>
      <c r="D2092" t="s">
        <v>18152</v>
      </c>
      <c r="E2092" t="s">
        <v>20125</v>
      </c>
      <c r="F2092" t="s">
        <v>31362</v>
      </c>
      <c r="G2092" t="s">
        <v>31368</v>
      </c>
      <c r="H2092" t="s">
        <v>15799</v>
      </c>
      <c r="I2092" t="s">
        <v>7090</v>
      </c>
      <c r="J2092" t="s">
        <v>31890</v>
      </c>
      <c r="K2092" t="s">
        <v>40661</v>
      </c>
      <c r="M2092" t="s">
        <v>41695</v>
      </c>
      <c r="N2092" t="s">
        <v>44905</v>
      </c>
      <c r="O2092" t="s">
        <v>44906</v>
      </c>
      <c r="P2092">
        <v>0</v>
      </c>
      <c r="Q2092">
        <v>0</v>
      </c>
      <c r="R2092" t="s">
        <v>44907</v>
      </c>
      <c r="S2092" t="s">
        <v>45026</v>
      </c>
      <c r="T2092" t="s">
        <v>46409</v>
      </c>
      <c r="U2092" t="s">
        <v>48665</v>
      </c>
      <c r="V2092" t="s">
        <v>59233</v>
      </c>
      <c r="W2092" t="s">
        <v>41695</v>
      </c>
      <c r="X2092" t="s">
        <v>44908</v>
      </c>
    </row>
    <row r="2093" spans="1:24">
      <c r="A2093">
        <f>HYPERLINK("https://www.philgeps.gov.ph/GEPSNONPILOT/Tender/SplashBidNoticeAbstractUI.aspx?menuIndex=3&amp;refID=7084299&amp;Result=3","7084299")</f>
        <v>0</v>
      </c>
      <c r="B2093" t="s">
        <v>728</v>
      </c>
      <c r="C2093" t="s">
        <v>5530</v>
      </c>
      <c r="D2093" t="s">
        <v>18152</v>
      </c>
      <c r="E2093" t="s">
        <v>20126</v>
      </c>
      <c r="F2093" t="s">
        <v>31362</v>
      </c>
      <c r="G2093" t="s">
        <v>31371</v>
      </c>
      <c r="H2093" t="s">
        <v>15799</v>
      </c>
      <c r="I2093" t="s">
        <v>31385</v>
      </c>
      <c r="J2093" t="s">
        <v>32976</v>
      </c>
      <c r="K2093" t="s">
        <v>40661</v>
      </c>
      <c r="M2093" t="s">
        <v>41695</v>
      </c>
      <c r="N2093" t="s">
        <v>44905</v>
      </c>
      <c r="O2093" t="s">
        <v>44906</v>
      </c>
      <c r="P2093">
        <v>0</v>
      </c>
      <c r="Q2093">
        <v>0</v>
      </c>
      <c r="R2093" t="s">
        <v>44907</v>
      </c>
      <c r="S2093" t="s">
        <v>45026</v>
      </c>
      <c r="T2093" t="s">
        <v>46409</v>
      </c>
      <c r="U2093" t="s">
        <v>48659</v>
      </c>
      <c r="V2093" t="s">
        <v>59233</v>
      </c>
      <c r="W2093" t="s">
        <v>41695</v>
      </c>
      <c r="X2093" t="s">
        <v>44908</v>
      </c>
    </row>
    <row r="2094" spans="1:24">
      <c r="A2094">
        <f>HYPERLINK("https://www.philgeps.gov.ph/GEPSNONPILOT/Tender/SplashBidNoticeAbstractUI.aspx?menuIndex=3&amp;refID=7084297&amp;Result=3","7084297")</f>
        <v>0</v>
      </c>
      <c r="B2094" t="s">
        <v>843</v>
      </c>
      <c r="C2094" t="s">
        <v>5537</v>
      </c>
      <c r="D2094" t="s">
        <v>18108</v>
      </c>
      <c r="E2094" t="s">
        <v>20127</v>
      </c>
      <c r="F2094" t="s">
        <v>31362</v>
      </c>
      <c r="G2094" t="s">
        <v>31368</v>
      </c>
      <c r="H2094" t="s">
        <v>31378</v>
      </c>
      <c r="I2094" t="s">
        <v>31386</v>
      </c>
      <c r="J2094" t="s">
        <v>32977</v>
      </c>
      <c r="K2094" t="s">
        <v>40677</v>
      </c>
      <c r="M2094" t="s">
        <v>41818</v>
      </c>
      <c r="N2094" t="s">
        <v>44905</v>
      </c>
      <c r="O2094" t="s">
        <v>44906</v>
      </c>
      <c r="P2094">
        <v>0</v>
      </c>
      <c r="Q2094">
        <v>0</v>
      </c>
      <c r="R2094" t="s">
        <v>44907</v>
      </c>
      <c r="S2094" t="s">
        <v>45026</v>
      </c>
      <c r="T2094" t="s">
        <v>46408</v>
      </c>
      <c r="U2094" t="s">
        <v>48666</v>
      </c>
      <c r="V2094" t="s">
        <v>59271</v>
      </c>
      <c r="W2094" t="s">
        <v>41818</v>
      </c>
      <c r="X2094" t="s">
        <v>44908</v>
      </c>
    </row>
    <row r="2095" spans="1:24">
      <c r="A2095">
        <f>HYPERLINK("https://www.philgeps.gov.ph/GEPSNONPILOT/Tender/SplashBidNoticeAbstractUI.aspx?menuIndex=3&amp;refID=7084301&amp;Result=3","7084301")</f>
        <v>0</v>
      </c>
      <c r="B2095" t="s">
        <v>844</v>
      </c>
      <c r="C2095" t="s">
        <v>5538</v>
      </c>
      <c r="E2095" t="s">
        <v>20128</v>
      </c>
      <c r="F2095" t="s">
        <v>31362</v>
      </c>
      <c r="G2095" t="s">
        <v>31369</v>
      </c>
      <c r="H2095" t="s">
        <v>15799</v>
      </c>
      <c r="I2095" t="s">
        <v>31388</v>
      </c>
      <c r="J2095" t="s">
        <v>32978</v>
      </c>
      <c r="K2095" t="s">
        <v>40662</v>
      </c>
      <c r="M2095" t="s">
        <v>41819</v>
      </c>
      <c r="N2095" t="s">
        <v>44905</v>
      </c>
      <c r="O2095" t="s">
        <v>44906</v>
      </c>
      <c r="P2095">
        <v>0</v>
      </c>
      <c r="Q2095">
        <v>0</v>
      </c>
      <c r="R2095" t="s">
        <v>44907</v>
      </c>
      <c r="S2095" t="s">
        <v>45026</v>
      </c>
      <c r="T2095" t="s">
        <v>46421</v>
      </c>
      <c r="U2095" t="s">
        <v>48667</v>
      </c>
      <c r="W2095" t="s">
        <v>41819</v>
      </c>
      <c r="X2095" t="s">
        <v>44908</v>
      </c>
    </row>
    <row r="2096" spans="1:24">
      <c r="A2096">
        <f>HYPERLINK("https://www.philgeps.gov.ph/GEPSNONPILOT/Tender/SplashBidNoticeAbstractUI.aspx?menuIndex=3&amp;refID=7084300&amp;Result=3","7084300")</f>
        <v>0</v>
      </c>
      <c r="B2096" t="s">
        <v>831</v>
      </c>
      <c r="C2096" t="s">
        <v>5539</v>
      </c>
      <c r="D2096" t="s">
        <v>18108</v>
      </c>
      <c r="E2096" t="s">
        <v>20129</v>
      </c>
      <c r="F2096" t="s">
        <v>31362</v>
      </c>
      <c r="G2096" t="s">
        <v>31369</v>
      </c>
      <c r="H2096" t="s">
        <v>15799</v>
      </c>
      <c r="I2096" t="s">
        <v>4942</v>
      </c>
      <c r="J2096" t="s">
        <v>32979</v>
      </c>
      <c r="K2096" t="s">
        <v>40666</v>
      </c>
      <c r="M2096" t="s">
        <v>41805</v>
      </c>
      <c r="N2096" t="s">
        <v>44905</v>
      </c>
      <c r="O2096" t="s">
        <v>44906</v>
      </c>
      <c r="P2096">
        <v>0</v>
      </c>
      <c r="Q2096">
        <v>0</v>
      </c>
      <c r="R2096" t="s">
        <v>44907</v>
      </c>
      <c r="S2096" t="s">
        <v>45026</v>
      </c>
      <c r="T2096" t="s">
        <v>46403</v>
      </c>
      <c r="U2096" t="s">
        <v>48668</v>
      </c>
      <c r="W2096" t="s">
        <v>41805</v>
      </c>
      <c r="X2096" t="s">
        <v>44908</v>
      </c>
    </row>
    <row r="2097" spans="1:24">
      <c r="A2097">
        <f>HYPERLINK("https://www.philgeps.gov.ph/GEPSNONPILOT/Tender/SplashBidNoticeAbstractUI.aspx?menuIndex=3&amp;refID=7084303&amp;Result=3","7084303")</f>
        <v>0</v>
      </c>
      <c r="B2097" t="s">
        <v>845</v>
      </c>
      <c r="C2097" t="s">
        <v>5540</v>
      </c>
      <c r="D2097" t="s">
        <v>18108</v>
      </c>
      <c r="E2097" t="s">
        <v>20130</v>
      </c>
      <c r="F2097" t="s">
        <v>31362</v>
      </c>
      <c r="G2097" t="s">
        <v>31368</v>
      </c>
      <c r="H2097" t="s">
        <v>31379</v>
      </c>
      <c r="I2097" t="s">
        <v>31380</v>
      </c>
      <c r="J2097" t="s">
        <v>32980</v>
      </c>
      <c r="K2097" t="s">
        <v>40670</v>
      </c>
      <c r="M2097" t="s">
        <v>41820</v>
      </c>
      <c r="N2097" t="s">
        <v>44905</v>
      </c>
      <c r="O2097" t="s">
        <v>44906</v>
      </c>
      <c r="P2097">
        <v>0</v>
      </c>
      <c r="Q2097">
        <v>13</v>
      </c>
      <c r="R2097" t="s">
        <v>44907</v>
      </c>
      <c r="S2097" t="s">
        <v>45026</v>
      </c>
      <c r="T2097" t="s">
        <v>46454</v>
      </c>
      <c r="U2097" t="s">
        <v>48669</v>
      </c>
      <c r="W2097" t="s">
        <v>41820</v>
      </c>
      <c r="X2097" t="s">
        <v>44908</v>
      </c>
    </row>
    <row r="2098" spans="1:24">
      <c r="A2098">
        <f>HYPERLINK("https://www.philgeps.gov.ph/GEPSNONPILOT/Tender/SplashBidNoticeAbstractUI.aspx?menuIndex=3&amp;refID=7084296&amp;Result=3","7084296")</f>
        <v>0</v>
      </c>
      <c r="B2098" t="s">
        <v>831</v>
      </c>
      <c r="C2098" t="s">
        <v>5541</v>
      </c>
      <c r="D2098" t="s">
        <v>18108</v>
      </c>
      <c r="E2098" t="s">
        <v>20131</v>
      </c>
      <c r="F2098" t="s">
        <v>31362</v>
      </c>
      <c r="G2098" t="s">
        <v>31369</v>
      </c>
      <c r="H2098" t="s">
        <v>15799</v>
      </c>
      <c r="I2098" t="s">
        <v>7090</v>
      </c>
      <c r="J2098" t="s">
        <v>32981</v>
      </c>
      <c r="K2098" t="s">
        <v>40666</v>
      </c>
      <c r="M2098" t="s">
        <v>41805</v>
      </c>
      <c r="N2098" t="s">
        <v>44905</v>
      </c>
      <c r="O2098" t="s">
        <v>44906</v>
      </c>
      <c r="P2098">
        <v>0</v>
      </c>
      <c r="Q2098">
        <v>0</v>
      </c>
      <c r="R2098" t="s">
        <v>44907</v>
      </c>
      <c r="S2098" t="s">
        <v>45026</v>
      </c>
      <c r="T2098" t="s">
        <v>46403</v>
      </c>
      <c r="U2098" t="s">
        <v>48635</v>
      </c>
      <c r="W2098" t="s">
        <v>41805</v>
      </c>
      <c r="X2098" t="s">
        <v>44908</v>
      </c>
    </row>
    <row r="2099" spans="1:24">
      <c r="A2099">
        <f>HYPERLINK("https://www.philgeps.gov.ph/GEPSNONPILOT/Tender/SplashBidNoticeAbstractUI.aspx?menuIndex=3&amp;refID=7084292&amp;Result=3","7084292")</f>
        <v>0</v>
      </c>
      <c r="B2099" t="s">
        <v>842</v>
      </c>
      <c r="C2099" t="s">
        <v>5542</v>
      </c>
      <c r="D2099" t="s">
        <v>18117</v>
      </c>
      <c r="E2099" t="s">
        <v>20132</v>
      </c>
      <c r="F2099" t="s">
        <v>31362</v>
      </c>
      <c r="G2099" t="s">
        <v>31368</v>
      </c>
      <c r="H2099" t="s">
        <v>15799</v>
      </c>
      <c r="I2099" t="s">
        <v>31382</v>
      </c>
      <c r="J2099" t="s">
        <v>32982</v>
      </c>
      <c r="K2099" t="s">
        <v>40661</v>
      </c>
      <c r="L2099" t="s">
        <v>842</v>
      </c>
      <c r="M2099" t="s">
        <v>41817</v>
      </c>
      <c r="N2099" t="s">
        <v>44905</v>
      </c>
      <c r="O2099" t="s">
        <v>44906</v>
      </c>
      <c r="P2099">
        <v>0</v>
      </c>
      <c r="Q2099">
        <v>3</v>
      </c>
      <c r="R2099" t="s">
        <v>44907</v>
      </c>
      <c r="S2099" t="s">
        <v>45026</v>
      </c>
      <c r="T2099" t="s">
        <v>46432</v>
      </c>
      <c r="U2099" t="s">
        <v>48670</v>
      </c>
      <c r="W2099" t="s">
        <v>41817</v>
      </c>
      <c r="X2099" t="s">
        <v>44908</v>
      </c>
    </row>
    <row r="2100" spans="1:24">
      <c r="A2100">
        <f>HYPERLINK("https://www.philgeps.gov.ph/GEPSNONPILOT/Tender/SplashBidNoticeAbstractUI.aspx?menuIndex=3&amp;refID=7084290&amp;Result=3","7084290")</f>
        <v>0</v>
      </c>
      <c r="B2100" t="s">
        <v>728</v>
      </c>
      <c r="C2100" t="s">
        <v>3889</v>
      </c>
      <c r="D2100" t="s">
        <v>18152</v>
      </c>
      <c r="E2100" t="s">
        <v>20133</v>
      </c>
      <c r="F2100" t="s">
        <v>31362</v>
      </c>
      <c r="G2100" t="s">
        <v>31368</v>
      </c>
      <c r="H2100" t="s">
        <v>15799</v>
      </c>
      <c r="I2100" t="s">
        <v>7090</v>
      </c>
      <c r="J2100" t="s">
        <v>32983</v>
      </c>
      <c r="K2100" t="s">
        <v>40661</v>
      </c>
      <c r="M2100" t="s">
        <v>41695</v>
      </c>
      <c r="N2100" t="s">
        <v>44905</v>
      </c>
      <c r="O2100" t="s">
        <v>44906</v>
      </c>
      <c r="P2100">
        <v>0</v>
      </c>
      <c r="Q2100">
        <v>0</v>
      </c>
      <c r="R2100" t="s">
        <v>44907</v>
      </c>
      <c r="S2100" t="s">
        <v>45026</v>
      </c>
      <c r="T2100" t="s">
        <v>46409</v>
      </c>
      <c r="U2100" t="s">
        <v>47368</v>
      </c>
      <c r="V2100" t="s">
        <v>59233</v>
      </c>
      <c r="W2100" t="s">
        <v>41695</v>
      </c>
      <c r="X2100" t="s">
        <v>44908</v>
      </c>
    </row>
    <row r="2101" spans="1:24">
      <c r="A2101">
        <f>HYPERLINK("https://www.philgeps.gov.ph/GEPSNONPILOT/Tender/SplashBidNoticeAbstractUI.aspx?menuIndex=3&amp;refID=7084289&amp;Result=3","7084289")</f>
        <v>0</v>
      </c>
      <c r="B2101" t="s">
        <v>846</v>
      </c>
      <c r="C2101" t="s">
        <v>5543</v>
      </c>
      <c r="D2101" t="s">
        <v>18108</v>
      </c>
      <c r="E2101" t="s">
        <v>18464</v>
      </c>
      <c r="F2101" t="s">
        <v>31362</v>
      </c>
      <c r="G2101" t="s">
        <v>31370</v>
      </c>
      <c r="H2101" t="s">
        <v>15799</v>
      </c>
      <c r="I2101" t="s">
        <v>6373</v>
      </c>
      <c r="J2101" t="s">
        <v>31546</v>
      </c>
      <c r="K2101" t="s">
        <v>40672</v>
      </c>
      <c r="M2101" t="s">
        <v>41821</v>
      </c>
      <c r="N2101" t="s">
        <v>44905</v>
      </c>
      <c r="O2101" t="s">
        <v>44906</v>
      </c>
      <c r="P2101">
        <v>0</v>
      </c>
      <c r="Q2101">
        <v>2</v>
      </c>
      <c r="R2101" t="s">
        <v>44907</v>
      </c>
      <c r="S2101" t="s">
        <v>45026</v>
      </c>
      <c r="T2101" t="s">
        <v>46434</v>
      </c>
      <c r="U2101" t="s">
        <v>48671</v>
      </c>
      <c r="W2101" t="s">
        <v>41821</v>
      </c>
      <c r="X2101" t="s">
        <v>44908</v>
      </c>
    </row>
    <row r="2102" spans="1:24">
      <c r="A2102">
        <f>HYPERLINK("https://www.philgeps.gov.ph/GEPSNONPILOT/Tender/SplashBidNoticeAbstractUI.aspx?menuIndex=3&amp;refID=7083607&amp;Result=3","7083607")</f>
        <v>0</v>
      </c>
      <c r="B2102" t="s">
        <v>847</v>
      </c>
      <c r="C2102" t="s">
        <v>5544</v>
      </c>
      <c r="D2102" t="s">
        <v>18159</v>
      </c>
      <c r="E2102" t="s">
        <v>20134</v>
      </c>
      <c r="F2102" t="s">
        <v>31362</v>
      </c>
      <c r="G2102" t="s">
        <v>31368</v>
      </c>
      <c r="H2102" t="s">
        <v>15799</v>
      </c>
      <c r="I2102" t="s">
        <v>13635</v>
      </c>
      <c r="J2102" t="s">
        <v>31577</v>
      </c>
      <c r="K2102" t="s">
        <v>40665</v>
      </c>
      <c r="M2102" t="s">
        <v>41822</v>
      </c>
      <c r="N2102" t="s">
        <v>44905</v>
      </c>
      <c r="O2102" t="s">
        <v>44906</v>
      </c>
      <c r="P2102">
        <v>0</v>
      </c>
      <c r="Q2102">
        <v>1</v>
      </c>
      <c r="R2102" t="s">
        <v>44907</v>
      </c>
      <c r="S2102" t="s">
        <v>45026</v>
      </c>
      <c r="T2102" t="s">
        <v>46414</v>
      </c>
      <c r="U2102" t="s">
        <v>48672</v>
      </c>
      <c r="W2102" t="s">
        <v>41822</v>
      </c>
      <c r="X2102" t="s">
        <v>44908</v>
      </c>
    </row>
    <row r="2103" spans="1:24">
      <c r="A2103">
        <f>HYPERLINK("https://www.philgeps.gov.ph/GEPSNONPILOT/Tender/SplashBidNoticeAbstractUI.aspx?menuIndex=3&amp;refID=7084287&amp;Result=3","7084287")</f>
        <v>0</v>
      </c>
      <c r="B2103" t="s">
        <v>848</v>
      </c>
      <c r="C2103" t="s">
        <v>5545</v>
      </c>
      <c r="D2103" t="s">
        <v>18116</v>
      </c>
      <c r="E2103" t="s">
        <v>18648</v>
      </c>
      <c r="F2103" t="s">
        <v>31362</v>
      </c>
      <c r="G2103" t="s">
        <v>31369</v>
      </c>
      <c r="H2103" t="s">
        <v>15799</v>
      </c>
      <c r="I2103" t="s">
        <v>31387</v>
      </c>
      <c r="J2103" t="s">
        <v>31578</v>
      </c>
      <c r="K2103" t="s">
        <v>40662</v>
      </c>
      <c r="M2103" t="s">
        <v>41823</v>
      </c>
      <c r="N2103" t="s">
        <v>44905</v>
      </c>
      <c r="O2103" t="s">
        <v>44906</v>
      </c>
      <c r="P2103">
        <v>0</v>
      </c>
      <c r="Q2103">
        <v>0</v>
      </c>
      <c r="R2103" t="s">
        <v>44907</v>
      </c>
      <c r="S2103" t="s">
        <v>45026</v>
      </c>
      <c r="T2103" t="s">
        <v>46459</v>
      </c>
      <c r="U2103" t="s">
        <v>48673</v>
      </c>
      <c r="W2103" t="s">
        <v>41823</v>
      </c>
      <c r="X2103" t="s">
        <v>44908</v>
      </c>
    </row>
    <row r="2104" spans="1:24">
      <c r="A2104">
        <f>HYPERLINK("https://www.philgeps.gov.ph/GEPSNONPILOT/Tender/SplashBidNoticeAbstractUI.aspx?menuIndex=3&amp;refID=7084285&amp;Result=3","7084285")</f>
        <v>0</v>
      </c>
      <c r="B2104" t="s">
        <v>257</v>
      </c>
      <c r="C2104" t="s">
        <v>5546</v>
      </c>
      <c r="D2104" t="s">
        <v>18104</v>
      </c>
      <c r="E2104" t="s">
        <v>20135</v>
      </c>
      <c r="F2104" t="s">
        <v>31362</v>
      </c>
      <c r="G2104" t="s">
        <v>31369</v>
      </c>
      <c r="H2104" t="s">
        <v>15799</v>
      </c>
      <c r="I2104" t="s">
        <v>31404</v>
      </c>
      <c r="J2104" t="s">
        <v>32984</v>
      </c>
      <c r="K2104" t="s">
        <v>40666</v>
      </c>
      <c r="M2104" t="s">
        <v>41198</v>
      </c>
      <c r="N2104" t="s">
        <v>44905</v>
      </c>
      <c r="O2104" t="s">
        <v>44906</v>
      </c>
      <c r="P2104">
        <v>0</v>
      </c>
      <c r="Q2104">
        <v>0</v>
      </c>
      <c r="R2104" t="s">
        <v>44907</v>
      </c>
      <c r="S2104" t="s">
        <v>45026</v>
      </c>
      <c r="T2104" t="s">
        <v>46554</v>
      </c>
      <c r="U2104" t="s">
        <v>48653</v>
      </c>
      <c r="W2104" t="s">
        <v>41198</v>
      </c>
      <c r="X2104" t="s">
        <v>44908</v>
      </c>
    </row>
    <row r="2105" spans="1:24">
      <c r="A2105">
        <f>HYPERLINK("https://www.philgeps.gov.ph/GEPSNONPILOT/Tender/SplashBidNoticeAbstractUI.aspx?menuIndex=3&amp;refID=7084280&amp;Result=3","7084280")</f>
        <v>0</v>
      </c>
      <c r="B2105" t="s">
        <v>828</v>
      </c>
      <c r="C2105" t="s">
        <v>5547</v>
      </c>
      <c r="D2105" t="s">
        <v>18148</v>
      </c>
      <c r="E2105" t="s">
        <v>18273</v>
      </c>
      <c r="F2105" t="s">
        <v>31362</v>
      </c>
      <c r="G2105" t="s">
        <v>31369</v>
      </c>
      <c r="H2105" t="s">
        <v>31378</v>
      </c>
      <c r="I2105" t="s">
        <v>31386</v>
      </c>
      <c r="J2105" t="s">
        <v>31530</v>
      </c>
      <c r="K2105" t="s">
        <v>40662</v>
      </c>
      <c r="M2105" t="s">
        <v>41802</v>
      </c>
      <c r="N2105" t="s">
        <v>44905</v>
      </c>
      <c r="O2105" t="s">
        <v>44906</v>
      </c>
      <c r="P2105">
        <v>0</v>
      </c>
      <c r="Q2105">
        <v>0</v>
      </c>
      <c r="R2105" t="s">
        <v>44907</v>
      </c>
      <c r="S2105" t="s">
        <v>45026</v>
      </c>
      <c r="T2105" t="s">
        <v>46391</v>
      </c>
      <c r="U2105" t="s">
        <v>48674</v>
      </c>
      <c r="W2105" t="s">
        <v>41802</v>
      </c>
      <c r="X2105" t="s">
        <v>44908</v>
      </c>
    </row>
    <row r="2106" spans="1:24">
      <c r="A2106">
        <f>HYPERLINK("https://www.philgeps.gov.ph/GEPSNONPILOT/Tender/SplashBidNoticeAbstractUI.aspx?menuIndex=3&amp;refID=7083471&amp;Result=3","7083471")</f>
        <v>0</v>
      </c>
      <c r="B2106" t="s">
        <v>111</v>
      </c>
      <c r="C2106" t="s">
        <v>5548</v>
      </c>
      <c r="D2106" t="s">
        <v>18127</v>
      </c>
      <c r="E2106" t="s">
        <v>20136</v>
      </c>
      <c r="F2106" t="s">
        <v>31362</v>
      </c>
      <c r="G2106" t="s">
        <v>31369</v>
      </c>
      <c r="H2106" t="s">
        <v>31378</v>
      </c>
      <c r="I2106" t="s">
        <v>31386</v>
      </c>
      <c r="J2106" t="s">
        <v>32985</v>
      </c>
      <c r="K2106" t="s">
        <v>40743</v>
      </c>
      <c r="M2106" t="s">
        <v>41048</v>
      </c>
      <c r="N2106" t="s">
        <v>44905</v>
      </c>
      <c r="O2106" t="s">
        <v>44906</v>
      </c>
      <c r="P2106">
        <v>0</v>
      </c>
      <c r="Q2106">
        <v>0</v>
      </c>
      <c r="R2106" t="s">
        <v>44907</v>
      </c>
      <c r="S2106" t="s">
        <v>45026</v>
      </c>
      <c r="T2106" t="s">
        <v>46602</v>
      </c>
      <c r="U2106" t="s">
        <v>48249</v>
      </c>
      <c r="W2106" t="s">
        <v>41048</v>
      </c>
      <c r="X2106" t="s">
        <v>44908</v>
      </c>
    </row>
    <row r="2107" spans="1:24">
      <c r="A2107">
        <f>HYPERLINK("https://www.philgeps.gov.ph/GEPSNONPILOT/Tender/SplashBidNoticeAbstractUI.aspx?menuIndex=3&amp;refID=7084254&amp;Result=3","7084254")</f>
        <v>0</v>
      </c>
      <c r="B2107" t="s">
        <v>132</v>
      </c>
      <c r="C2107" t="s">
        <v>5549</v>
      </c>
      <c r="D2107" t="s">
        <v>18131</v>
      </c>
      <c r="E2107" t="s">
        <v>19797</v>
      </c>
      <c r="F2107" t="s">
        <v>31362</v>
      </c>
      <c r="G2107" t="s">
        <v>31368</v>
      </c>
      <c r="H2107" t="s">
        <v>31379</v>
      </c>
      <c r="I2107" t="s">
        <v>31382</v>
      </c>
      <c r="J2107" t="s">
        <v>31536</v>
      </c>
      <c r="K2107" t="s">
        <v>40666</v>
      </c>
      <c r="L2107" t="s">
        <v>132</v>
      </c>
      <c r="M2107" t="s">
        <v>41070</v>
      </c>
      <c r="N2107" t="s">
        <v>44905</v>
      </c>
      <c r="O2107" t="s">
        <v>44906</v>
      </c>
      <c r="P2107">
        <v>0</v>
      </c>
      <c r="Q2107">
        <v>1</v>
      </c>
      <c r="R2107" t="s">
        <v>44907</v>
      </c>
      <c r="S2107" t="s">
        <v>45026</v>
      </c>
      <c r="T2107" t="s">
        <v>46461</v>
      </c>
      <c r="U2107" t="s">
        <v>48620</v>
      </c>
      <c r="W2107" t="s">
        <v>41070</v>
      </c>
      <c r="X2107" t="s">
        <v>44908</v>
      </c>
    </row>
    <row r="2108" spans="1:24">
      <c r="A2108">
        <f>HYPERLINK("https://www.philgeps.gov.ph/GEPSNONPILOT/Tender/SplashBidNoticeAbstractUI.aspx?menuIndex=3&amp;refID=7083470&amp;Result=3","7083470")</f>
        <v>0</v>
      </c>
      <c r="B2108" t="s">
        <v>647</v>
      </c>
      <c r="C2108" t="s">
        <v>5550</v>
      </c>
      <c r="D2108" t="s">
        <v>18100</v>
      </c>
      <c r="E2108" t="s">
        <v>20137</v>
      </c>
      <c r="F2108" t="s">
        <v>31362</v>
      </c>
      <c r="G2108" t="s">
        <v>31368</v>
      </c>
      <c r="H2108" t="s">
        <v>15799</v>
      </c>
      <c r="I2108" t="s">
        <v>4942</v>
      </c>
      <c r="J2108" t="s">
        <v>31581</v>
      </c>
      <c r="K2108" t="s">
        <v>40729</v>
      </c>
      <c r="M2108" t="s">
        <v>41608</v>
      </c>
      <c r="N2108" t="s">
        <v>44905</v>
      </c>
      <c r="O2108" t="s">
        <v>44906</v>
      </c>
      <c r="P2108">
        <v>0</v>
      </c>
      <c r="Q2108">
        <v>0</v>
      </c>
      <c r="R2108" t="s">
        <v>44907</v>
      </c>
      <c r="S2108" t="s">
        <v>45026</v>
      </c>
      <c r="T2108" t="s">
        <v>46425</v>
      </c>
      <c r="U2108" t="s">
        <v>48675</v>
      </c>
      <c r="W2108" t="s">
        <v>60862</v>
      </c>
      <c r="X2108" t="s">
        <v>44908</v>
      </c>
    </row>
    <row r="2109" spans="1:24">
      <c r="A2109">
        <f>HYPERLINK("https://www.philgeps.gov.ph/GEPSNONPILOT/Tender/SplashBidNoticeAbstractUI.aspx?menuIndex=3&amp;refID=7083467&amp;Result=3","7083467")</f>
        <v>0</v>
      </c>
      <c r="B2109" t="s">
        <v>561</v>
      </c>
      <c r="C2109" t="s">
        <v>5551</v>
      </c>
      <c r="D2109" t="s">
        <v>18124</v>
      </c>
      <c r="E2109" t="s">
        <v>20138</v>
      </c>
      <c r="F2109" t="s">
        <v>31362</v>
      </c>
      <c r="G2109" t="s">
        <v>31369</v>
      </c>
      <c r="H2109" t="s">
        <v>15799</v>
      </c>
      <c r="I2109" t="s">
        <v>31385</v>
      </c>
      <c r="J2109" t="s">
        <v>32986</v>
      </c>
      <c r="K2109" t="s">
        <v>40670</v>
      </c>
      <c r="M2109" t="s">
        <v>41517</v>
      </c>
      <c r="N2109" t="s">
        <v>44905</v>
      </c>
      <c r="O2109" t="s">
        <v>44906</v>
      </c>
      <c r="P2109">
        <v>0</v>
      </c>
      <c r="Q2109">
        <v>0</v>
      </c>
      <c r="R2109" t="s">
        <v>44907</v>
      </c>
      <c r="S2109" t="s">
        <v>45026</v>
      </c>
      <c r="T2109" t="s">
        <v>46553</v>
      </c>
      <c r="U2109" t="s">
        <v>47749</v>
      </c>
      <c r="W2109" t="s">
        <v>41517</v>
      </c>
      <c r="X2109" t="s">
        <v>44908</v>
      </c>
    </row>
    <row r="2110" spans="1:24">
      <c r="A2110">
        <f>HYPERLINK("https://www.philgeps.gov.ph/GEPSNONPILOT/Tender/SplashBidNoticeAbstractUI.aspx?menuIndex=3&amp;refID=7083466&amp;Result=3","7083466")</f>
        <v>0</v>
      </c>
      <c r="B2110" t="s">
        <v>276</v>
      </c>
      <c r="C2110" t="s">
        <v>5552</v>
      </c>
      <c r="D2110" t="s">
        <v>18106</v>
      </c>
      <c r="E2110" t="s">
        <v>20139</v>
      </c>
      <c r="F2110" t="s">
        <v>31362</v>
      </c>
      <c r="G2110" t="s">
        <v>31368</v>
      </c>
      <c r="H2110" t="s">
        <v>15799</v>
      </c>
      <c r="I2110" t="s">
        <v>7188</v>
      </c>
      <c r="J2110" t="s">
        <v>31813</v>
      </c>
      <c r="K2110" t="s">
        <v>40661</v>
      </c>
      <c r="M2110" t="s">
        <v>41218</v>
      </c>
      <c r="N2110" t="s">
        <v>44905</v>
      </c>
      <c r="O2110" t="s">
        <v>44906</v>
      </c>
      <c r="P2110">
        <v>0</v>
      </c>
      <c r="Q2110">
        <v>0</v>
      </c>
      <c r="R2110" t="s">
        <v>44907</v>
      </c>
      <c r="S2110" t="s">
        <v>45026</v>
      </c>
      <c r="T2110" t="s">
        <v>46438</v>
      </c>
      <c r="U2110" t="s">
        <v>48676</v>
      </c>
      <c r="W2110" t="s">
        <v>41218</v>
      </c>
      <c r="X2110" t="s">
        <v>44908</v>
      </c>
    </row>
    <row r="2111" spans="1:24">
      <c r="A2111">
        <f>HYPERLINK("https://www.philgeps.gov.ph/GEPSNONPILOT/Tender/SplashBidNoticeAbstractUI.aspx?menuIndex=3&amp;refID=7083465&amp;Result=3","7083465")</f>
        <v>0</v>
      </c>
      <c r="B2111" t="s">
        <v>495</v>
      </c>
      <c r="C2111" t="s">
        <v>5553</v>
      </c>
      <c r="D2111" t="s">
        <v>18116</v>
      </c>
      <c r="E2111" t="s">
        <v>20140</v>
      </c>
      <c r="F2111" t="s">
        <v>31362</v>
      </c>
      <c r="G2111" t="s">
        <v>31368</v>
      </c>
      <c r="H2111" t="s">
        <v>15799</v>
      </c>
      <c r="I2111" t="s">
        <v>31467</v>
      </c>
      <c r="J2111" t="s">
        <v>31827</v>
      </c>
      <c r="K2111" t="s">
        <v>40661</v>
      </c>
      <c r="M2111" t="s">
        <v>41450</v>
      </c>
      <c r="N2111" t="s">
        <v>44905</v>
      </c>
      <c r="O2111" t="s">
        <v>44906</v>
      </c>
      <c r="P2111">
        <v>0</v>
      </c>
      <c r="Q2111">
        <v>0</v>
      </c>
      <c r="R2111" t="s">
        <v>44907</v>
      </c>
      <c r="S2111" t="s">
        <v>45026</v>
      </c>
      <c r="T2111" t="s">
        <v>46434</v>
      </c>
      <c r="U2111" t="s">
        <v>48677</v>
      </c>
      <c r="W2111" t="s">
        <v>41450</v>
      </c>
      <c r="X2111" t="s">
        <v>44908</v>
      </c>
    </row>
    <row r="2112" spans="1:24">
      <c r="A2112">
        <f>HYPERLINK("https://www.philgeps.gov.ph/GEPSNONPILOT/Tender/SplashBidNoticeAbstractUI.aspx?menuIndex=3&amp;refID=7083461&amp;Result=3","7083461")</f>
        <v>0</v>
      </c>
      <c r="B2112" t="s">
        <v>543</v>
      </c>
      <c r="C2112" t="s">
        <v>5554</v>
      </c>
      <c r="D2112" t="s">
        <v>18138</v>
      </c>
      <c r="E2112" t="s">
        <v>20141</v>
      </c>
      <c r="F2112" t="s">
        <v>31362</v>
      </c>
      <c r="G2112" t="s">
        <v>31368</v>
      </c>
      <c r="H2112" t="s">
        <v>15799</v>
      </c>
      <c r="I2112" t="s">
        <v>31427</v>
      </c>
      <c r="J2112" t="s">
        <v>32987</v>
      </c>
      <c r="K2112" t="s">
        <v>40665</v>
      </c>
      <c r="M2112" t="s">
        <v>41499</v>
      </c>
      <c r="N2112" t="s">
        <v>44905</v>
      </c>
      <c r="O2112" t="s">
        <v>44906</v>
      </c>
      <c r="P2112">
        <v>0</v>
      </c>
      <c r="Q2112">
        <v>2</v>
      </c>
      <c r="R2112" t="s">
        <v>44907</v>
      </c>
      <c r="S2112" t="s">
        <v>45026</v>
      </c>
      <c r="T2112" t="s">
        <v>46544</v>
      </c>
      <c r="U2112" t="s">
        <v>48678</v>
      </c>
      <c r="W2112" t="s">
        <v>41499</v>
      </c>
      <c r="X2112" t="s">
        <v>44908</v>
      </c>
    </row>
    <row r="2113" spans="1:24">
      <c r="A2113">
        <f>HYPERLINK("https://www.philgeps.gov.ph/GEPSNONPILOT/Tender/SplashBidNoticeAbstractUI.aspx?menuIndex=3&amp;refID=7083436&amp;Result=3","7083436")</f>
        <v>0</v>
      </c>
      <c r="B2113" t="s">
        <v>849</v>
      </c>
      <c r="C2113" t="s">
        <v>5555</v>
      </c>
      <c r="D2113" t="s">
        <v>18108</v>
      </c>
      <c r="E2113" t="s">
        <v>20142</v>
      </c>
      <c r="F2113" t="s">
        <v>31362</v>
      </c>
      <c r="G2113" t="s">
        <v>31370</v>
      </c>
      <c r="H2113" t="s">
        <v>15799</v>
      </c>
      <c r="I2113" t="s">
        <v>31404</v>
      </c>
      <c r="J2113" t="s">
        <v>32278</v>
      </c>
      <c r="K2113" t="s">
        <v>40693</v>
      </c>
      <c r="M2113" t="s">
        <v>41824</v>
      </c>
      <c r="N2113" t="s">
        <v>44905</v>
      </c>
      <c r="O2113" t="s">
        <v>44906</v>
      </c>
      <c r="P2113">
        <v>0</v>
      </c>
      <c r="Q2113">
        <v>0</v>
      </c>
      <c r="R2113" t="s">
        <v>44907</v>
      </c>
      <c r="S2113" t="s">
        <v>45026</v>
      </c>
      <c r="T2113" t="s">
        <v>46414</v>
      </c>
      <c r="U2113" t="s">
        <v>48679</v>
      </c>
      <c r="W2113" t="s">
        <v>41824</v>
      </c>
      <c r="X2113" t="s">
        <v>44908</v>
      </c>
    </row>
    <row r="2114" spans="1:24">
      <c r="A2114">
        <f>HYPERLINK("https://www.philgeps.gov.ph/GEPSNONPILOT/Tender/SplashBidNoticeAbstractUI.aspx?menuIndex=3&amp;refID=7084293&amp;Result=3","7084293")</f>
        <v>0</v>
      </c>
      <c r="B2114" t="s">
        <v>105</v>
      </c>
      <c r="C2114" t="s">
        <v>5556</v>
      </c>
      <c r="D2114" t="s">
        <v>18110</v>
      </c>
      <c r="E2114" t="s">
        <v>20143</v>
      </c>
      <c r="F2114" t="s">
        <v>31362</v>
      </c>
      <c r="G2114" t="s">
        <v>31369</v>
      </c>
      <c r="H2114" t="s">
        <v>15799</v>
      </c>
      <c r="I2114" t="s">
        <v>3582</v>
      </c>
      <c r="J2114" t="s">
        <v>32988</v>
      </c>
      <c r="K2114" t="s">
        <v>40665</v>
      </c>
      <c r="M2114" t="s">
        <v>41042</v>
      </c>
      <c r="N2114" t="s">
        <v>44905</v>
      </c>
      <c r="O2114" t="s">
        <v>44906</v>
      </c>
      <c r="P2114">
        <v>0</v>
      </c>
      <c r="Q2114">
        <v>0</v>
      </c>
      <c r="R2114" t="s">
        <v>44907</v>
      </c>
      <c r="S2114" t="s">
        <v>45026</v>
      </c>
      <c r="T2114" t="s">
        <v>46431</v>
      </c>
      <c r="U2114" t="s">
        <v>48680</v>
      </c>
      <c r="W2114" t="s">
        <v>41042</v>
      </c>
      <c r="X2114" t="s">
        <v>44908</v>
      </c>
    </row>
    <row r="2115" spans="1:24">
      <c r="A2115">
        <f>HYPERLINK("https://www.philgeps.gov.ph/GEPSNONPILOT/Tender/SplashBidNoticeAbstractUI.aspx?menuIndex=3&amp;refID=7083434&amp;Result=3","7083434")</f>
        <v>0</v>
      </c>
      <c r="B2115" t="s">
        <v>637</v>
      </c>
      <c r="C2115" t="s">
        <v>5557</v>
      </c>
      <c r="D2115" t="s">
        <v>18102</v>
      </c>
      <c r="E2115" t="s">
        <v>20144</v>
      </c>
      <c r="F2115" t="s">
        <v>31362</v>
      </c>
      <c r="G2115" t="s">
        <v>31368</v>
      </c>
      <c r="H2115" t="s">
        <v>15799</v>
      </c>
      <c r="I2115" t="s">
        <v>31422</v>
      </c>
      <c r="J2115" t="s">
        <v>32989</v>
      </c>
      <c r="K2115" t="s">
        <v>40665</v>
      </c>
      <c r="M2115" t="s">
        <v>41597</v>
      </c>
      <c r="N2115" t="s">
        <v>44905</v>
      </c>
      <c r="O2115" t="s">
        <v>44906</v>
      </c>
      <c r="P2115">
        <v>0</v>
      </c>
      <c r="Q2115">
        <v>1</v>
      </c>
      <c r="R2115" t="s">
        <v>44907</v>
      </c>
      <c r="S2115" t="s">
        <v>45026</v>
      </c>
      <c r="T2115" t="s">
        <v>46493</v>
      </c>
      <c r="U2115" t="s">
        <v>48139</v>
      </c>
      <c r="W2115" t="s">
        <v>41597</v>
      </c>
      <c r="X2115" t="s">
        <v>44908</v>
      </c>
    </row>
    <row r="2116" spans="1:24">
      <c r="A2116">
        <f>HYPERLINK("https://www.philgeps.gov.ph/GEPSNONPILOT/Tender/SplashBidNoticeAbstractUI.aspx?menuIndex=3&amp;refID=7084295&amp;Result=3","7084295")</f>
        <v>0</v>
      </c>
      <c r="B2116" t="s">
        <v>828</v>
      </c>
      <c r="C2116" t="s">
        <v>5558</v>
      </c>
      <c r="D2116" t="s">
        <v>18148</v>
      </c>
      <c r="E2116" t="s">
        <v>18275</v>
      </c>
      <c r="F2116" t="s">
        <v>31362</v>
      </c>
      <c r="G2116" t="s">
        <v>31369</v>
      </c>
      <c r="H2116" t="s">
        <v>15799</v>
      </c>
      <c r="I2116" t="s">
        <v>31409</v>
      </c>
      <c r="J2116" t="s">
        <v>31531</v>
      </c>
      <c r="K2116" t="s">
        <v>40662</v>
      </c>
      <c r="M2116" t="s">
        <v>41802</v>
      </c>
      <c r="N2116" t="s">
        <v>44905</v>
      </c>
      <c r="O2116" t="s">
        <v>44906</v>
      </c>
      <c r="P2116">
        <v>0</v>
      </c>
      <c r="Q2116">
        <v>0</v>
      </c>
      <c r="R2116" t="s">
        <v>44907</v>
      </c>
      <c r="S2116" t="s">
        <v>45026</v>
      </c>
      <c r="T2116" t="s">
        <v>46391</v>
      </c>
      <c r="U2116" t="s">
        <v>48681</v>
      </c>
      <c r="W2116" t="s">
        <v>41802</v>
      </c>
      <c r="X2116" t="s">
        <v>44908</v>
      </c>
    </row>
    <row r="2117" spans="1:24">
      <c r="A2117">
        <f>HYPERLINK("https://www.philgeps.gov.ph/GEPSNONPILOT/Tender/SplashBidNoticeAbstractUI.aspx?menuIndex=3&amp;refID=7084256&amp;Result=3","7084256")</f>
        <v>0</v>
      </c>
      <c r="B2117" t="s">
        <v>844</v>
      </c>
      <c r="C2117" t="s">
        <v>5559</v>
      </c>
      <c r="E2117" t="s">
        <v>20145</v>
      </c>
      <c r="F2117" t="s">
        <v>31362</v>
      </c>
      <c r="G2117" t="s">
        <v>31369</v>
      </c>
      <c r="H2117" t="s">
        <v>15799</v>
      </c>
      <c r="I2117" t="s">
        <v>3815</v>
      </c>
      <c r="J2117" t="s">
        <v>32990</v>
      </c>
      <c r="K2117" t="s">
        <v>40662</v>
      </c>
      <c r="M2117" t="s">
        <v>41819</v>
      </c>
      <c r="N2117" t="s">
        <v>44905</v>
      </c>
      <c r="O2117" t="s">
        <v>44906</v>
      </c>
      <c r="P2117">
        <v>0</v>
      </c>
      <c r="Q2117">
        <v>0</v>
      </c>
      <c r="R2117" t="s">
        <v>44907</v>
      </c>
      <c r="S2117" t="s">
        <v>45026</v>
      </c>
      <c r="T2117" t="s">
        <v>46421</v>
      </c>
      <c r="U2117" t="s">
        <v>48682</v>
      </c>
      <c r="W2117" t="s">
        <v>41819</v>
      </c>
      <c r="X2117" t="s">
        <v>44908</v>
      </c>
    </row>
    <row r="2118" spans="1:24">
      <c r="A2118">
        <f>HYPERLINK("https://www.philgeps.gov.ph/GEPSNONPILOT/Tender/SplashBidNoticeAbstractUI.aspx?menuIndex=3&amp;refID=7083435&amp;Result=3","7083435")</f>
        <v>0</v>
      </c>
      <c r="B2118" t="s">
        <v>673</v>
      </c>
      <c r="C2118" t="s">
        <v>5560</v>
      </c>
      <c r="D2118" t="s">
        <v>18136</v>
      </c>
      <c r="E2118" t="s">
        <v>20146</v>
      </c>
      <c r="F2118" t="s">
        <v>31362</v>
      </c>
      <c r="G2118" t="s">
        <v>31369</v>
      </c>
      <c r="H2118" t="s">
        <v>31378</v>
      </c>
      <c r="I2118" t="s">
        <v>31386</v>
      </c>
      <c r="J2118" t="s">
        <v>32991</v>
      </c>
      <c r="K2118" t="s">
        <v>40678</v>
      </c>
      <c r="M2118" t="s">
        <v>41635</v>
      </c>
      <c r="N2118" t="s">
        <v>44905</v>
      </c>
      <c r="O2118" t="s">
        <v>44906</v>
      </c>
      <c r="P2118">
        <v>0</v>
      </c>
      <c r="Q2118">
        <v>0</v>
      </c>
      <c r="R2118" t="s">
        <v>44907</v>
      </c>
      <c r="S2118" t="s">
        <v>45026</v>
      </c>
      <c r="T2118" t="s">
        <v>46570</v>
      </c>
      <c r="U2118" t="s">
        <v>48683</v>
      </c>
      <c r="W2118" t="s">
        <v>41635</v>
      </c>
      <c r="X2118" t="s">
        <v>44908</v>
      </c>
    </row>
    <row r="2119" spans="1:24">
      <c r="A2119">
        <f>HYPERLINK("https://www.philgeps.gov.ph/GEPSNONPILOT/Tender/SplashBidNoticeAbstractUI.aspx?menuIndex=3&amp;refID=7084284&amp;Result=3","7084284")</f>
        <v>0</v>
      </c>
      <c r="B2119" t="s">
        <v>831</v>
      </c>
      <c r="C2119" t="s">
        <v>5561</v>
      </c>
      <c r="D2119" t="s">
        <v>18108</v>
      </c>
      <c r="E2119" t="s">
        <v>20147</v>
      </c>
      <c r="F2119" t="s">
        <v>31362</v>
      </c>
      <c r="G2119" t="s">
        <v>31369</v>
      </c>
      <c r="H2119" t="s">
        <v>15799</v>
      </c>
      <c r="I2119" t="s">
        <v>7090</v>
      </c>
      <c r="J2119" t="s">
        <v>31586</v>
      </c>
      <c r="K2119" t="s">
        <v>40666</v>
      </c>
      <c r="M2119" t="s">
        <v>41805</v>
      </c>
      <c r="N2119" t="s">
        <v>44905</v>
      </c>
      <c r="O2119" t="s">
        <v>44906</v>
      </c>
      <c r="P2119">
        <v>0</v>
      </c>
      <c r="Q2119">
        <v>0</v>
      </c>
      <c r="R2119" t="s">
        <v>44907</v>
      </c>
      <c r="S2119" t="s">
        <v>45026</v>
      </c>
      <c r="T2119" t="s">
        <v>46403</v>
      </c>
      <c r="U2119" t="s">
        <v>48635</v>
      </c>
      <c r="W2119" t="s">
        <v>41805</v>
      </c>
      <c r="X2119" t="s">
        <v>44908</v>
      </c>
    </row>
    <row r="2120" spans="1:24">
      <c r="A2120">
        <f>HYPERLINK("https://www.philgeps.gov.ph/GEPSNONPILOT/Tender/SplashBidNoticeAbstractUI.aspx?menuIndex=3&amp;refID=7083438&amp;Result=3","7083438")</f>
        <v>0</v>
      </c>
      <c r="B2120" t="s">
        <v>134</v>
      </c>
      <c r="C2120" t="s">
        <v>5562</v>
      </c>
      <c r="D2120" t="s">
        <v>18108</v>
      </c>
      <c r="E2120" t="s">
        <v>20148</v>
      </c>
      <c r="F2120" t="s">
        <v>31362</v>
      </c>
      <c r="G2120" t="s">
        <v>31369</v>
      </c>
      <c r="H2120" t="s">
        <v>15799</v>
      </c>
      <c r="I2120" t="s">
        <v>7719</v>
      </c>
      <c r="J2120" t="s">
        <v>32992</v>
      </c>
      <c r="K2120" t="s">
        <v>40662</v>
      </c>
      <c r="L2120" t="s">
        <v>134</v>
      </c>
      <c r="M2120" t="s">
        <v>41370</v>
      </c>
      <c r="N2120" t="s">
        <v>44905</v>
      </c>
      <c r="O2120" t="s">
        <v>44906</v>
      </c>
      <c r="P2120">
        <v>0</v>
      </c>
      <c r="Q2120">
        <v>5</v>
      </c>
      <c r="R2120" t="s">
        <v>44907</v>
      </c>
      <c r="S2120" t="s">
        <v>45026</v>
      </c>
      <c r="T2120" t="s">
        <v>46431</v>
      </c>
      <c r="U2120" t="s">
        <v>47674</v>
      </c>
      <c r="W2120" t="s">
        <v>41370</v>
      </c>
      <c r="X2120" t="s">
        <v>44908</v>
      </c>
    </row>
    <row r="2121" spans="1:24">
      <c r="A2121">
        <f>HYPERLINK("https://www.philgeps.gov.ph/GEPSNONPILOT/Tender/SplashBidNoticeAbstractUI.aspx?menuIndex=3&amp;refID=7084288&amp;Result=3","7084288")</f>
        <v>0</v>
      </c>
      <c r="B2121" t="s">
        <v>831</v>
      </c>
      <c r="C2121" t="s">
        <v>5563</v>
      </c>
      <c r="D2121" t="s">
        <v>18108</v>
      </c>
      <c r="E2121" t="s">
        <v>20149</v>
      </c>
      <c r="F2121" t="s">
        <v>31362</v>
      </c>
      <c r="G2121" t="s">
        <v>31369</v>
      </c>
      <c r="H2121" t="s">
        <v>15799</v>
      </c>
      <c r="I2121" t="s">
        <v>7090</v>
      </c>
      <c r="J2121" t="s">
        <v>32165</v>
      </c>
      <c r="K2121" t="s">
        <v>40666</v>
      </c>
      <c r="M2121" t="s">
        <v>41805</v>
      </c>
      <c r="N2121" t="s">
        <v>44905</v>
      </c>
      <c r="O2121" t="s">
        <v>44906</v>
      </c>
      <c r="P2121">
        <v>0</v>
      </c>
      <c r="Q2121">
        <v>0</v>
      </c>
      <c r="R2121" t="s">
        <v>44907</v>
      </c>
      <c r="S2121" t="s">
        <v>45026</v>
      </c>
      <c r="T2121" t="s">
        <v>46403</v>
      </c>
      <c r="U2121" t="s">
        <v>48635</v>
      </c>
      <c r="W2121" t="s">
        <v>41805</v>
      </c>
      <c r="X2121" t="s">
        <v>44908</v>
      </c>
    </row>
    <row r="2122" spans="1:24">
      <c r="A2122">
        <f>HYPERLINK("https://www.philgeps.gov.ph/GEPSNONPILOT/Tender/SplashBidNoticeAbstractUI.aspx?menuIndex=3&amp;refID=7084309&amp;Result=3","7084309")</f>
        <v>0</v>
      </c>
      <c r="B2122" t="s">
        <v>728</v>
      </c>
      <c r="C2122" t="s">
        <v>5530</v>
      </c>
      <c r="D2122" t="s">
        <v>18152</v>
      </c>
      <c r="E2122" t="s">
        <v>20150</v>
      </c>
      <c r="F2122" t="s">
        <v>31362</v>
      </c>
      <c r="G2122" t="s">
        <v>31371</v>
      </c>
      <c r="H2122" t="s">
        <v>15799</v>
      </c>
      <c r="I2122" t="s">
        <v>31385</v>
      </c>
      <c r="J2122" t="s">
        <v>32993</v>
      </c>
      <c r="K2122" t="s">
        <v>40661</v>
      </c>
      <c r="M2122" t="s">
        <v>41695</v>
      </c>
      <c r="N2122" t="s">
        <v>44905</v>
      </c>
      <c r="O2122" t="s">
        <v>44906</v>
      </c>
      <c r="P2122">
        <v>0</v>
      </c>
      <c r="Q2122">
        <v>0</v>
      </c>
      <c r="R2122" t="s">
        <v>44907</v>
      </c>
      <c r="S2122" t="s">
        <v>45026</v>
      </c>
      <c r="T2122" t="s">
        <v>46409</v>
      </c>
      <c r="U2122" t="s">
        <v>48659</v>
      </c>
      <c r="V2122" t="s">
        <v>59233</v>
      </c>
      <c r="W2122" t="s">
        <v>41695</v>
      </c>
      <c r="X2122" t="s">
        <v>44908</v>
      </c>
    </row>
    <row r="2123" spans="1:24">
      <c r="A2123">
        <f>HYPERLINK("https://www.philgeps.gov.ph/GEPSNONPILOT/Tender/SplashBidNoticeAbstractUI.aspx?menuIndex=3&amp;refID=7084318&amp;Result=3","7084318")</f>
        <v>0</v>
      </c>
      <c r="B2123" t="s">
        <v>298</v>
      </c>
      <c r="C2123" t="s">
        <v>5564</v>
      </c>
      <c r="D2123" t="s">
        <v>18168</v>
      </c>
      <c r="E2123" t="s">
        <v>20151</v>
      </c>
      <c r="F2123" t="s">
        <v>31362</v>
      </c>
      <c r="G2123" t="s">
        <v>31372</v>
      </c>
      <c r="H2123" t="s">
        <v>15799</v>
      </c>
      <c r="I2123" t="s">
        <v>7719</v>
      </c>
      <c r="J2123" t="s">
        <v>32994</v>
      </c>
      <c r="K2123" t="s">
        <v>40670</v>
      </c>
      <c r="M2123" t="s">
        <v>41825</v>
      </c>
      <c r="N2123" t="s">
        <v>44905</v>
      </c>
      <c r="O2123" t="s">
        <v>44906</v>
      </c>
      <c r="P2123">
        <v>0</v>
      </c>
      <c r="Q2123">
        <v>11</v>
      </c>
      <c r="R2123" t="s">
        <v>44907</v>
      </c>
      <c r="S2123" t="s">
        <v>45026</v>
      </c>
      <c r="T2123" t="s">
        <v>46519</v>
      </c>
      <c r="U2123" t="s">
        <v>48684</v>
      </c>
      <c r="W2123" t="s">
        <v>41825</v>
      </c>
      <c r="X2123" t="s">
        <v>44908</v>
      </c>
    </row>
    <row r="2124" spans="1:24">
      <c r="A2124">
        <f>HYPERLINK("https://www.philgeps.gov.ph/GEPSNONPILOT/Tender/SplashBidNoticeAbstractUI.aspx?menuIndex=3&amp;refID=7084326&amp;Result=3","7084326")</f>
        <v>0</v>
      </c>
      <c r="B2124" t="s">
        <v>850</v>
      </c>
      <c r="C2124" t="s">
        <v>5565</v>
      </c>
      <c r="D2124" t="s">
        <v>18134</v>
      </c>
      <c r="E2124" t="s">
        <v>18648</v>
      </c>
      <c r="F2124" t="s">
        <v>31362</v>
      </c>
      <c r="G2124" t="s">
        <v>31369</v>
      </c>
      <c r="H2124" t="s">
        <v>31378</v>
      </c>
      <c r="I2124" t="s">
        <v>31392</v>
      </c>
      <c r="J2124" t="s">
        <v>31586</v>
      </c>
      <c r="K2124" t="s">
        <v>40665</v>
      </c>
      <c r="M2124" t="s">
        <v>41826</v>
      </c>
      <c r="N2124" t="s">
        <v>44905</v>
      </c>
      <c r="O2124" t="s">
        <v>44906</v>
      </c>
      <c r="P2124">
        <v>0</v>
      </c>
      <c r="Q2124">
        <v>0</v>
      </c>
      <c r="R2124" t="s">
        <v>44907</v>
      </c>
      <c r="S2124" t="s">
        <v>45026</v>
      </c>
      <c r="T2124" t="s">
        <v>46490</v>
      </c>
      <c r="U2124" t="s">
        <v>48685</v>
      </c>
      <c r="W2124" t="s">
        <v>41826</v>
      </c>
      <c r="X2124" t="s">
        <v>44908</v>
      </c>
    </row>
    <row r="2125" spans="1:24">
      <c r="A2125">
        <f>HYPERLINK("https://www.philgeps.gov.ph/GEPSNONPILOT/Tender/SplashBidNoticeAbstractUI.aspx?menuIndex=3&amp;refID=7084317&amp;Result=3","7084317")</f>
        <v>0</v>
      </c>
      <c r="B2125" t="s">
        <v>462</v>
      </c>
      <c r="C2125" t="s">
        <v>5566</v>
      </c>
      <c r="D2125" t="s">
        <v>18150</v>
      </c>
      <c r="E2125" t="s">
        <v>20152</v>
      </c>
      <c r="F2125" t="s">
        <v>31362</v>
      </c>
      <c r="G2125" t="s">
        <v>31368</v>
      </c>
      <c r="H2125" t="s">
        <v>31378</v>
      </c>
      <c r="I2125" t="s">
        <v>31386</v>
      </c>
      <c r="J2125" t="s">
        <v>32995</v>
      </c>
      <c r="K2125" t="s">
        <v>40682</v>
      </c>
      <c r="M2125" t="s">
        <v>41416</v>
      </c>
      <c r="N2125" t="s">
        <v>44905</v>
      </c>
      <c r="O2125" t="s">
        <v>44906</v>
      </c>
      <c r="P2125">
        <v>0</v>
      </c>
      <c r="Q2125">
        <v>0</v>
      </c>
      <c r="R2125" t="s">
        <v>44907</v>
      </c>
      <c r="S2125" t="s">
        <v>45026</v>
      </c>
      <c r="T2125" t="s">
        <v>46603</v>
      </c>
      <c r="U2125" t="s">
        <v>48686</v>
      </c>
      <c r="W2125" t="s">
        <v>60855</v>
      </c>
      <c r="X2125" t="s">
        <v>44908</v>
      </c>
    </row>
    <row r="2126" spans="1:24">
      <c r="A2126">
        <f>HYPERLINK("https://www.philgeps.gov.ph/GEPSNONPILOT/Tender/SplashBidNoticeAbstractUI.aspx?menuIndex=3&amp;refID=7084316&amp;Result=3","7084316")</f>
        <v>0</v>
      </c>
      <c r="B2126" t="s">
        <v>831</v>
      </c>
      <c r="C2126" t="s">
        <v>5567</v>
      </c>
      <c r="D2126" t="s">
        <v>18108</v>
      </c>
      <c r="E2126" t="s">
        <v>20153</v>
      </c>
      <c r="F2126" t="s">
        <v>31362</v>
      </c>
      <c r="G2126" t="s">
        <v>31369</v>
      </c>
      <c r="H2126" t="s">
        <v>15799</v>
      </c>
      <c r="I2126" t="s">
        <v>4942</v>
      </c>
      <c r="J2126" t="s">
        <v>32996</v>
      </c>
      <c r="K2126" t="s">
        <v>40666</v>
      </c>
      <c r="M2126" t="s">
        <v>41805</v>
      </c>
      <c r="N2126" t="s">
        <v>44905</v>
      </c>
      <c r="O2126" t="s">
        <v>44906</v>
      </c>
      <c r="P2126">
        <v>0</v>
      </c>
      <c r="Q2126">
        <v>0</v>
      </c>
      <c r="R2126" t="s">
        <v>44907</v>
      </c>
      <c r="S2126" t="s">
        <v>45026</v>
      </c>
      <c r="T2126" t="s">
        <v>46403</v>
      </c>
      <c r="U2126" t="s">
        <v>48668</v>
      </c>
      <c r="W2126" t="s">
        <v>41805</v>
      </c>
      <c r="X2126" t="s">
        <v>44908</v>
      </c>
    </row>
    <row r="2127" spans="1:24">
      <c r="A2127">
        <f>HYPERLINK("https://www.philgeps.gov.ph/GEPSNONPILOT/Tender/SplashBidNoticeAbstractUI.aspx?menuIndex=3&amp;refID=7084319&amp;Result=3","7084319")</f>
        <v>0</v>
      </c>
      <c r="B2127" t="s">
        <v>831</v>
      </c>
      <c r="C2127" t="s">
        <v>5568</v>
      </c>
      <c r="D2127" t="s">
        <v>18108</v>
      </c>
      <c r="E2127" t="s">
        <v>20154</v>
      </c>
      <c r="F2127" t="s">
        <v>31362</v>
      </c>
      <c r="G2127" t="s">
        <v>31369</v>
      </c>
      <c r="H2127" t="s">
        <v>15799</v>
      </c>
      <c r="I2127" t="s">
        <v>31385</v>
      </c>
      <c r="J2127" t="s">
        <v>32278</v>
      </c>
      <c r="K2127" t="s">
        <v>40666</v>
      </c>
      <c r="M2127" t="s">
        <v>41805</v>
      </c>
      <c r="N2127" t="s">
        <v>44905</v>
      </c>
      <c r="O2127" t="s">
        <v>44906</v>
      </c>
      <c r="P2127">
        <v>0</v>
      </c>
      <c r="Q2127">
        <v>1</v>
      </c>
      <c r="R2127" t="s">
        <v>44907</v>
      </c>
      <c r="S2127" t="s">
        <v>45026</v>
      </c>
      <c r="T2127" t="s">
        <v>46403</v>
      </c>
      <c r="U2127" t="s">
        <v>47749</v>
      </c>
      <c r="W2127" t="s">
        <v>41805</v>
      </c>
      <c r="X2127" t="s">
        <v>44908</v>
      </c>
    </row>
    <row r="2128" spans="1:24">
      <c r="A2128">
        <f>HYPERLINK("https://www.philgeps.gov.ph/GEPSNONPILOT/Tender/SplashBidNoticeAbstractUI.aspx?menuIndex=3&amp;refID=7084310&amp;Result=3","7084310")</f>
        <v>0</v>
      </c>
      <c r="B2128" t="s">
        <v>831</v>
      </c>
      <c r="C2128" t="s">
        <v>5569</v>
      </c>
      <c r="D2128" t="s">
        <v>18108</v>
      </c>
      <c r="E2128" t="s">
        <v>20155</v>
      </c>
      <c r="F2128" t="s">
        <v>31362</v>
      </c>
      <c r="G2128" t="s">
        <v>31369</v>
      </c>
      <c r="H2128" t="s">
        <v>15799</v>
      </c>
      <c r="I2128" t="s">
        <v>4942</v>
      </c>
      <c r="J2128" t="s">
        <v>31886</v>
      </c>
      <c r="K2128" t="s">
        <v>40666</v>
      </c>
      <c r="M2128" t="s">
        <v>41805</v>
      </c>
      <c r="N2128" t="s">
        <v>44905</v>
      </c>
      <c r="O2128" t="s">
        <v>44906</v>
      </c>
      <c r="P2128">
        <v>0</v>
      </c>
      <c r="Q2128">
        <v>0</v>
      </c>
      <c r="R2128" t="s">
        <v>44907</v>
      </c>
      <c r="S2128" t="s">
        <v>45026</v>
      </c>
      <c r="T2128" t="s">
        <v>46403</v>
      </c>
      <c r="U2128" t="s">
        <v>48668</v>
      </c>
      <c r="W2128" t="s">
        <v>41805</v>
      </c>
      <c r="X2128" t="s">
        <v>44908</v>
      </c>
    </row>
    <row r="2129" spans="1:24">
      <c r="A2129">
        <f>HYPERLINK("https://www.philgeps.gov.ph/GEPSNONPILOT/Tender/SplashBidNoticeAbstractUI.aspx?menuIndex=3&amp;refID=7084313&amp;Result=3","7084313")</f>
        <v>0</v>
      </c>
      <c r="B2129" t="s">
        <v>105</v>
      </c>
      <c r="C2129" t="s">
        <v>5570</v>
      </c>
      <c r="D2129" t="s">
        <v>18110</v>
      </c>
      <c r="E2129" t="s">
        <v>20156</v>
      </c>
      <c r="F2129" t="s">
        <v>31362</v>
      </c>
      <c r="G2129" t="s">
        <v>31369</v>
      </c>
      <c r="H2129" t="s">
        <v>15799</v>
      </c>
      <c r="I2129" t="s">
        <v>7090</v>
      </c>
      <c r="J2129" t="s">
        <v>32997</v>
      </c>
      <c r="K2129" t="s">
        <v>40680</v>
      </c>
      <c r="M2129" t="s">
        <v>41042</v>
      </c>
      <c r="N2129" t="s">
        <v>44905</v>
      </c>
      <c r="O2129" t="s">
        <v>44906</v>
      </c>
      <c r="P2129">
        <v>0</v>
      </c>
      <c r="Q2129">
        <v>1</v>
      </c>
      <c r="R2129" t="s">
        <v>44907</v>
      </c>
      <c r="S2129" t="s">
        <v>45026</v>
      </c>
      <c r="T2129" t="s">
        <v>46431</v>
      </c>
      <c r="U2129" t="s">
        <v>48687</v>
      </c>
      <c r="W2129" t="s">
        <v>41042</v>
      </c>
      <c r="X2129" t="s">
        <v>44908</v>
      </c>
    </row>
    <row r="2130" spans="1:24">
      <c r="A2130">
        <f>HYPERLINK("https://www.philgeps.gov.ph/GEPSNONPILOT/Tender/SplashBidNoticeAbstractUI.aspx?menuIndex=3&amp;refID=7084312&amp;Result=3","7084312")</f>
        <v>0</v>
      </c>
      <c r="B2130" t="s">
        <v>842</v>
      </c>
      <c r="C2130" t="s">
        <v>5571</v>
      </c>
      <c r="D2130" t="s">
        <v>18117</v>
      </c>
      <c r="E2130" t="s">
        <v>20157</v>
      </c>
      <c r="F2130" t="s">
        <v>31362</v>
      </c>
      <c r="G2130" t="s">
        <v>31368</v>
      </c>
      <c r="H2130" t="s">
        <v>15799</v>
      </c>
      <c r="I2130" t="s">
        <v>3815</v>
      </c>
      <c r="J2130" t="s">
        <v>32998</v>
      </c>
      <c r="K2130" t="s">
        <v>40666</v>
      </c>
      <c r="L2130" t="s">
        <v>842</v>
      </c>
      <c r="M2130" t="s">
        <v>41817</v>
      </c>
      <c r="N2130" t="s">
        <v>44905</v>
      </c>
      <c r="O2130" t="s">
        <v>44906</v>
      </c>
      <c r="P2130">
        <v>0</v>
      </c>
      <c r="Q2130">
        <v>0</v>
      </c>
      <c r="R2130" t="s">
        <v>44907</v>
      </c>
      <c r="S2130" t="s">
        <v>45026</v>
      </c>
      <c r="T2130" t="s">
        <v>46432</v>
      </c>
      <c r="U2130" t="s">
        <v>48688</v>
      </c>
      <c r="W2130" t="s">
        <v>41817</v>
      </c>
      <c r="X2130" t="s">
        <v>44908</v>
      </c>
    </row>
    <row r="2131" spans="1:24">
      <c r="A2131">
        <f>HYPERLINK("https://www.philgeps.gov.ph/GEPSNONPILOT/Tender/SplashBidNoticeAbstractUI.aspx?menuIndex=3&amp;refID=7084311&amp;Result=3","7084311")</f>
        <v>0</v>
      </c>
      <c r="B2131" t="s">
        <v>728</v>
      </c>
      <c r="C2131" t="s">
        <v>5572</v>
      </c>
      <c r="D2131" t="s">
        <v>18152</v>
      </c>
      <c r="E2131" t="s">
        <v>20158</v>
      </c>
      <c r="F2131" t="s">
        <v>31362</v>
      </c>
      <c r="G2131" t="s">
        <v>31368</v>
      </c>
      <c r="H2131" t="s">
        <v>15799</v>
      </c>
      <c r="I2131" t="s">
        <v>7090</v>
      </c>
      <c r="J2131" t="s">
        <v>32999</v>
      </c>
      <c r="K2131" t="s">
        <v>40661</v>
      </c>
      <c r="M2131" t="s">
        <v>41695</v>
      </c>
      <c r="N2131" t="s">
        <v>44905</v>
      </c>
      <c r="O2131" t="s">
        <v>44906</v>
      </c>
      <c r="P2131">
        <v>0</v>
      </c>
      <c r="Q2131">
        <v>0</v>
      </c>
      <c r="R2131" t="s">
        <v>44907</v>
      </c>
      <c r="S2131" t="s">
        <v>45026</v>
      </c>
      <c r="T2131" t="s">
        <v>46409</v>
      </c>
      <c r="U2131" t="s">
        <v>47368</v>
      </c>
      <c r="V2131" t="s">
        <v>59233</v>
      </c>
      <c r="W2131" t="s">
        <v>41695</v>
      </c>
      <c r="X2131" t="s">
        <v>44908</v>
      </c>
    </row>
    <row r="2132" spans="1:24">
      <c r="A2132">
        <f>HYPERLINK("https://www.philgeps.gov.ph/GEPSNONPILOT/Tender/SplashBidNoticeAbstractUI.aspx?menuIndex=3&amp;refID=7084332&amp;Result=3","7084332")</f>
        <v>0</v>
      </c>
      <c r="B2132" t="s">
        <v>831</v>
      </c>
      <c r="C2132" t="s">
        <v>5573</v>
      </c>
      <c r="D2132" t="s">
        <v>18108</v>
      </c>
      <c r="E2132" t="s">
        <v>20159</v>
      </c>
      <c r="F2132" t="s">
        <v>31362</v>
      </c>
      <c r="G2132" t="s">
        <v>31369</v>
      </c>
      <c r="H2132" t="s">
        <v>15799</v>
      </c>
      <c r="I2132" t="s">
        <v>4942</v>
      </c>
      <c r="J2132" t="s">
        <v>32278</v>
      </c>
      <c r="K2132" t="s">
        <v>40666</v>
      </c>
      <c r="M2132" t="s">
        <v>41805</v>
      </c>
      <c r="N2132" t="s">
        <v>44905</v>
      </c>
      <c r="O2132" t="s">
        <v>44906</v>
      </c>
      <c r="P2132">
        <v>0</v>
      </c>
      <c r="Q2132">
        <v>0</v>
      </c>
      <c r="R2132" t="s">
        <v>44907</v>
      </c>
      <c r="S2132" t="s">
        <v>45026</v>
      </c>
      <c r="T2132" t="s">
        <v>46403</v>
      </c>
      <c r="U2132" t="s">
        <v>48668</v>
      </c>
      <c r="W2132" t="s">
        <v>41805</v>
      </c>
      <c r="X2132" t="s">
        <v>44908</v>
      </c>
    </row>
    <row r="2133" spans="1:24">
      <c r="A2133">
        <f>HYPERLINK("https://www.philgeps.gov.ph/GEPSNONPILOT/Tender/SplashBidNoticeAbstractUI.aspx?menuIndex=3&amp;refID=7084315&amp;Result=3","7084315")</f>
        <v>0</v>
      </c>
      <c r="B2133" t="s">
        <v>845</v>
      </c>
      <c r="C2133" t="s">
        <v>5574</v>
      </c>
      <c r="D2133" t="s">
        <v>18156</v>
      </c>
      <c r="E2133" t="s">
        <v>20160</v>
      </c>
      <c r="F2133" t="s">
        <v>31362</v>
      </c>
      <c r="G2133" t="s">
        <v>31368</v>
      </c>
      <c r="H2133" t="s">
        <v>31379</v>
      </c>
      <c r="I2133" t="s">
        <v>7090</v>
      </c>
      <c r="J2133" t="s">
        <v>33000</v>
      </c>
      <c r="K2133" t="s">
        <v>40670</v>
      </c>
      <c r="M2133" t="s">
        <v>41820</v>
      </c>
      <c r="N2133" t="s">
        <v>44905</v>
      </c>
      <c r="O2133" t="s">
        <v>44906</v>
      </c>
      <c r="P2133">
        <v>0</v>
      </c>
      <c r="Q2133">
        <v>7</v>
      </c>
      <c r="R2133" t="s">
        <v>44907</v>
      </c>
      <c r="S2133" t="s">
        <v>45026</v>
      </c>
      <c r="T2133" t="s">
        <v>46454</v>
      </c>
      <c r="U2133" t="s">
        <v>48669</v>
      </c>
      <c r="W2133" t="s">
        <v>41820</v>
      </c>
      <c r="X2133" t="s">
        <v>44908</v>
      </c>
    </row>
    <row r="2134" spans="1:24">
      <c r="A2134">
        <f>HYPERLINK("https://www.philgeps.gov.ph/GEPSNONPILOT/Tender/SplashBidNoticeAbstractUI.aspx?menuIndex=3&amp;refID=7084314&amp;Result=3","7084314")</f>
        <v>0</v>
      </c>
      <c r="B2134" t="s">
        <v>851</v>
      </c>
      <c r="C2134" t="s">
        <v>5575</v>
      </c>
      <c r="D2134" t="s">
        <v>18120</v>
      </c>
      <c r="E2134" t="s">
        <v>20161</v>
      </c>
      <c r="F2134" t="s">
        <v>31363</v>
      </c>
      <c r="G2134" t="s">
        <v>31369</v>
      </c>
      <c r="H2134" t="s">
        <v>15799</v>
      </c>
      <c r="I2134" t="s">
        <v>31428</v>
      </c>
      <c r="J2134" t="s">
        <v>32195</v>
      </c>
      <c r="K2134" t="s">
        <v>40670</v>
      </c>
      <c r="M2134" t="s">
        <v>41827</v>
      </c>
      <c r="N2134" t="s">
        <v>44905</v>
      </c>
      <c r="O2134" t="s">
        <v>44906</v>
      </c>
      <c r="P2134">
        <v>0</v>
      </c>
      <c r="Q2134">
        <v>1</v>
      </c>
      <c r="R2134" t="s">
        <v>44907</v>
      </c>
      <c r="S2134" t="s">
        <v>45026</v>
      </c>
      <c r="T2134" t="s">
        <v>46464</v>
      </c>
      <c r="U2134" t="s">
        <v>48689</v>
      </c>
      <c r="V2134" t="s">
        <v>59272</v>
      </c>
      <c r="W2134" t="s">
        <v>41827</v>
      </c>
      <c r="X2134" t="s">
        <v>44908</v>
      </c>
    </row>
    <row r="2135" spans="1:24">
      <c r="A2135">
        <f>HYPERLINK("https://www.philgeps.gov.ph/GEPSNONPILOT/Tender/SplashBidNoticeAbstractUI.aspx?menuIndex=3&amp;refID=7084323&amp;Result=3","7084323")</f>
        <v>0</v>
      </c>
      <c r="B2135" t="s">
        <v>105</v>
      </c>
      <c r="C2135" t="s">
        <v>5576</v>
      </c>
      <c r="D2135" t="s">
        <v>18110</v>
      </c>
      <c r="E2135" t="s">
        <v>20162</v>
      </c>
      <c r="F2135" t="s">
        <v>31362</v>
      </c>
      <c r="G2135" t="s">
        <v>31369</v>
      </c>
      <c r="H2135" t="s">
        <v>15799</v>
      </c>
      <c r="I2135" t="s">
        <v>7090</v>
      </c>
      <c r="J2135" t="s">
        <v>33001</v>
      </c>
      <c r="K2135" t="s">
        <v>40661</v>
      </c>
      <c r="M2135" t="s">
        <v>41042</v>
      </c>
      <c r="N2135" t="s">
        <v>44905</v>
      </c>
      <c r="O2135" t="s">
        <v>44906</v>
      </c>
      <c r="P2135">
        <v>0</v>
      </c>
      <c r="Q2135">
        <v>2</v>
      </c>
      <c r="R2135" t="s">
        <v>44907</v>
      </c>
      <c r="S2135" t="s">
        <v>45026</v>
      </c>
      <c r="T2135" t="s">
        <v>46431</v>
      </c>
      <c r="U2135" t="s">
        <v>48690</v>
      </c>
      <c r="W2135" t="s">
        <v>41042</v>
      </c>
      <c r="X2135" t="s">
        <v>44908</v>
      </c>
    </row>
    <row r="2136" spans="1:24">
      <c r="A2136">
        <f>HYPERLINK("https://www.philgeps.gov.ph/GEPSNONPILOT/Tender/SplashBidNoticeAbstractUI.aspx?menuIndex=3&amp;refID=7084328&amp;Result=3","7084328")</f>
        <v>0</v>
      </c>
      <c r="B2136" t="s">
        <v>831</v>
      </c>
      <c r="C2136" t="s">
        <v>5577</v>
      </c>
      <c r="D2136" t="s">
        <v>18108</v>
      </c>
      <c r="E2136" t="s">
        <v>20163</v>
      </c>
      <c r="F2136" t="s">
        <v>31362</v>
      </c>
      <c r="G2136" t="s">
        <v>31369</v>
      </c>
      <c r="H2136" t="s">
        <v>15799</v>
      </c>
      <c r="I2136" t="s">
        <v>7090</v>
      </c>
      <c r="J2136" t="s">
        <v>31687</v>
      </c>
      <c r="K2136" t="s">
        <v>40666</v>
      </c>
      <c r="M2136" t="s">
        <v>41805</v>
      </c>
      <c r="N2136" t="s">
        <v>44905</v>
      </c>
      <c r="O2136" t="s">
        <v>44906</v>
      </c>
      <c r="P2136">
        <v>0</v>
      </c>
      <c r="Q2136">
        <v>0</v>
      </c>
      <c r="R2136" t="s">
        <v>44907</v>
      </c>
      <c r="S2136" t="s">
        <v>45026</v>
      </c>
      <c r="T2136" t="s">
        <v>46403</v>
      </c>
      <c r="U2136" t="s">
        <v>48635</v>
      </c>
      <c r="W2136" t="s">
        <v>41805</v>
      </c>
      <c r="X2136" t="s">
        <v>44908</v>
      </c>
    </row>
    <row r="2137" spans="1:24">
      <c r="A2137">
        <f>HYPERLINK("https://www.philgeps.gov.ph/GEPSNONPILOT/Tender/SplashBidNoticeAbstractUI.aspx?menuIndex=3&amp;refID=7084329&amp;Result=3","7084329")</f>
        <v>0</v>
      </c>
      <c r="B2137" t="s">
        <v>105</v>
      </c>
      <c r="C2137" t="s">
        <v>5578</v>
      </c>
      <c r="D2137" t="s">
        <v>18110</v>
      </c>
      <c r="E2137" t="s">
        <v>20164</v>
      </c>
      <c r="F2137" t="s">
        <v>31362</v>
      </c>
      <c r="G2137" t="s">
        <v>31369</v>
      </c>
      <c r="H2137" t="s">
        <v>31378</v>
      </c>
      <c r="I2137" t="s">
        <v>31386</v>
      </c>
      <c r="J2137" t="s">
        <v>33002</v>
      </c>
      <c r="K2137" t="s">
        <v>40744</v>
      </c>
      <c r="M2137" t="s">
        <v>41042</v>
      </c>
      <c r="N2137" t="s">
        <v>44905</v>
      </c>
      <c r="O2137" t="s">
        <v>44906</v>
      </c>
      <c r="P2137">
        <v>0</v>
      </c>
      <c r="Q2137">
        <v>1</v>
      </c>
      <c r="R2137" t="s">
        <v>44907</v>
      </c>
      <c r="S2137" t="s">
        <v>45026</v>
      </c>
      <c r="T2137" t="s">
        <v>46431</v>
      </c>
      <c r="U2137" t="s">
        <v>48691</v>
      </c>
      <c r="W2137" t="s">
        <v>41042</v>
      </c>
      <c r="X2137" t="s">
        <v>44908</v>
      </c>
    </row>
    <row r="2138" spans="1:24">
      <c r="A2138">
        <f>HYPERLINK("https://www.philgeps.gov.ph/GEPSNONPILOT/Tender/SplashBidNoticeAbstractUI.aspx?menuIndex=3&amp;refID=7084331&amp;Result=3","7084331")</f>
        <v>0</v>
      </c>
      <c r="B2138" t="s">
        <v>852</v>
      </c>
      <c r="C2138" t="s">
        <v>5579</v>
      </c>
      <c r="D2138" t="s">
        <v>18117</v>
      </c>
      <c r="E2138" t="s">
        <v>5579</v>
      </c>
      <c r="F2138" t="s">
        <v>31362</v>
      </c>
      <c r="G2138" t="s">
        <v>31368</v>
      </c>
      <c r="H2138" t="s">
        <v>15799</v>
      </c>
      <c r="I2138" t="s">
        <v>7188</v>
      </c>
      <c r="J2138" t="s">
        <v>33003</v>
      </c>
      <c r="K2138" t="s">
        <v>40665</v>
      </c>
      <c r="M2138" t="s">
        <v>41828</v>
      </c>
      <c r="N2138" t="s">
        <v>44905</v>
      </c>
      <c r="O2138" t="s">
        <v>44906</v>
      </c>
      <c r="P2138">
        <v>0</v>
      </c>
      <c r="Q2138">
        <v>3</v>
      </c>
      <c r="R2138" t="s">
        <v>44907</v>
      </c>
      <c r="S2138" t="s">
        <v>45026</v>
      </c>
      <c r="T2138" t="s">
        <v>46404</v>
      </c>
      <c r="U2138" t="s">
        <v>48692</v>
      </c>
      <c r="W2138" t="s">
        <v>41828</v>
      </c>
      <c r="X2138" t="s">
        <v>44908</v>
      </c>
    </row>
    <row r="2139" spans="1:24">
      <c r="A2139">
        <f>HYPERLINK("https://www.philgeps.gov.ph/GEPSNONPILOT/Tender/SplashBidNoticeAbstractUI.aspx?menuIndex=3&amp;refID=7084348&amp;Result=3","7084348")</f>
        <v>0</v>
      </c>
      <c r="B2139" t="s">
        <v>853</v>
      </c>
      <c r="C2139" t="s">
        <v>5580</v>
      </c>
      <c r="D2139" t="s">
        <v>18108</v>
      </c>
      <c r="E2139" t="s">
        <v>20165</v>
      </c>
      <c r="F2139" t="s">
        <v>31362</v>
      </c>
      <c r="G2139" t="s">
        <v>31369</v>
      </c>
      <c r="H2139" t="s">
        <v>15799</v>
      </c>
      <c r="I2139" t="s">
        <v>7719</v>
      </c>
      <c r="J2139" t="s">
        <v>31542</v>
      </c>
      <c r="K2139" t="s">
        <v>40679</v>
      </c>
      <c r="M2139" t="s">
        <v>41829</v>
      </c>
      <c r="N2139" t="s">
        <v>44905</v>
      </c>
      <c r="O2139" t="s">
        <v>44906</v>
      </c>
      <c r="P2139">
        <v>0</v>
      </c>
      <c r="Q2139">
        <v>17</v>
      </c>
      <c r="R2139" t="s">
        <v>44907</v>
      </c>
      <c r="S2139" t="s">
        <v>45026</v>
      </c>
      <c r="T2139" t="s">
        <v>46521</v>
      </c>
      <c r="U2139" t="s">
        <v>48693</v>
      </c>
      <c r="W2139" t="s">
        <v>41829</v>
      </c>
      <c r="X2139" t="s">
        <v>44908</v>
      </c>
    </row>
    <row r="2140" spans="1:24">
      <c r="A2140">
        <f>HYPERLINK("https://www.philgeps.gov.ph/GEPSNONPILOT/Tender/SplashBidNoticeAbstractUI.aspx?menuIndex=3&amp;refID=7084334&amp;Result=3","7084334")</f>
        <v>0</v>
      </c>
      <c r="B2140" t="s">
        <v>854</v>
      </c>
      <c r="C2140" t="s">
        <v>5581</v>
      </c>
      <c r="D2140" t="s">
        <v>18147</v>
      </c>
      <c r="E2140" t="s">
        <v>20166</v>
      </c>
      <c r="F2140" t="s">
        <v>31362</v>
      </c>
      <c r="G2140" t="s">
        <v>31369</v>
      </c>
      <c r="H2140" t="s">
        <v>15799</v>
      </c>
      <c r="I2140" t="s">
        <v>4283</v>
      </c>
      <c r="J2140" t="s">
        <v>31578</v>
      </c>
      <c r="K2140" t="s">
        <v>40677</v>
      </c>
      <c r="M2140" t="s">
        <v>41830</v>
      </c>
      <c r="N2140" t="s">
        <v>44905</v>
      </c>
      <c r="O2140" t="s">
        <v>44906</v>
      </c>
      <c r="P2140">
        <v>0</v>
      </c>
      <c r="Q2140">
        <v>0</v>
      </c>
      <c r="R2140" t="s">
        <v>44907</v>
      </c>
      <c r="S2140" t="s">
        <v>45026</v>
      </c>
      <c r="T2140" t="s">
        <v>46604</v>
      </c>
      <c r="U2140" t="s">
        <v>48694</v>
      </c>
      <c r="W2140" t="s">
        <v>41830</v>
      </c>
      <c r="X2140" t="s">
        <v>44908</v>
      </c>
    </row>
    <row r="2141" spans="1:24">
      <c r="A2141">
        <f>HYPERLINK("https://www.philgeps.gov.ph/GEPSNONPILOT/Tender/SplashBidNoticeAbstractUI.aspx?menuIndex=3&amp;refID=7084342&amp;Result=3","7084342")</f>
        <v>0</v>
      </c>
      <c r="B2141" t="s">
        <v>855</v>
      </c>
      <c r="C2141" t="s">
        <v>5582</v>
      </c>
      <c r="E2141" t="s">
        <v>20167</v>
      </c>
      <c r="F2141" t="s">
        <v>31362</v>
      </c>
      <c r="G2141" t="s">
        <v>31369</v>
      </c>
      <c r="H2141" t="s">
        <v>15799</v>
      </c>
      <c r="I2141" t="s">
        <v>31455</v>
      </c>
      <c r="J2141" t="s">
        <v>33004</v>
      </c>
      <c r="K2141" t="s">
        <v>40675</v>
      </c>
      <c r="M2141" t="s">
        <v>41831</v>
      </c>
      <c r="N2141" t="s">
        <v>44905</v>
      </c>
      <c r="O2141" t="s">
        <v>44906</v>
      </c>
      <c r="P2141">
        <v>0</v>
      </c>
      <c r="Q2141">
        <v>1</v>
      </c>
      <c r="R2141" t="s">
        <v>44907</v>
      </c>
      <c r="S2141" t="s">
        <v>45026</v>
      </c>
      <c r="T2141" t="s">
        <v>46605</v>
      </c>
      <c r="U2141" t="s">
        <v>46933</v>
      </c>
      <c r="W2141" t="s">
        <v>41831</v>
      </c>
      <c r="X2141" t="s">
        <v>44908</v>
      </c>
    </row>
    <row r="2142" spans="1:24">
      <c r="A2142">
        <f>HYPERLINK("https://www.philgeps.gov.ph/GEPSNONPILOT/Tender/SplashBidNoticeAbstractUI.aspx?menuIndex=3&amp;refID=7084344&amp;Result=3","7084344")</f>
        <v>0</v>
      </c>
      <c r="B2142" t="s">
        <v>105</v>
      </c>
      <c r="C2142" t="s">
        <v>5583</v>
      </c>
      <c r="D2142" t="s">
        <v>18110</v>
      </c>
      <c r="E2142" t="s">
        <v>18753</v>
      </c>
      <c r="F2142" t="s">
        <v>31362</v>
      </c>
      <c r="G2142" t="s">
        <v>31369</v>
      </c>
      <c r="H2142" t="s">
        <v>31378</v>
      </c>
      <c r="I2142" t="s">
        <v>31386</v>
      </c>
      <c r="J2142" t="s">
        <v>33005</v>
      </c>
      <c r="K2142" t="s">
        <v>40677</v>
      </c>
      <c r="M2142" t="s">
        <v>41042</v>
      </c>
      <c r="N2142" t="s">
        <v>44905</v>
      </c>
      <c r="O2142" t="s">
        <v>44906</v>
      </c>
      <c r="P2142">
        <v>0</v>
      </c>
      <c r="Q2142">
        <v>0</v>
      </c>
      <c r="R2142" t="s">
        <v>44907</v>
      </c>
      <c r="S2142" t="s">
        <v>45026</v>
      </c>
      <c r="T2142" t="s">
        <v>46431</v>
      </c>
      <c r="U2142" t="s">
        <v>48695</v>
      </c>
      <c r="W2142" t="s">
        <v>41042</v>
      </c>
      <c r="X2142" t="s">
        <v>44908</v>
      </c>
    </row>
    <row r="2143" spans="1:24">
      <c r="A2143">
        <f>HYPERLINK("https://www.philgeps.gov.ph/GEPSNONPILOT/Tender/SplashBidNoticeAbstractUI.aspx?menuIndex=3&amp;refID=7084341&amp;Result=3","7084341")</f>
        <v>0</v>
      </c>
      <c r="B2143" t="s">
        <v>105</v>
      </c>
      <c r="C2143" t="s">
        <v>5584</v>
      </c>
      <c r="D2143" t="s">
        <v>18110</v>
      </c>
      <c r="E2143" t="s">
        <v>20168</v>
      </c>
      <c r="F2143" t="s">
        <v>31362</v>
      </c>
      <c r="G2143" t="s">
        <v>31369</v>
      </c>
      <c r="H2143" t="s">
        <v>31378</v>
      </c>
      <c r="I2143" t="s">
        <v>31386</v>
      </c>
      <c r="J2143" t="s">
        <v>33006</v>
      </c>
      <c r="K2143" t="s">
        <v>40686</v>
      </c>
      <c r="M2143" t="s">
        <v>41042</v>
      </c>
      <c r="N2143" t="s">
        <v>44905</v>
      </c>
      <c r="O2143" t="s">
        <v>44906</v>
      </c>
      <c r="P2143">
        <v>0</v>
      </c>
      <c r="Q2143">
        <v>0</v>
      </c>
      <c r="R2143" t="s">
        <v>44907</v>
      </c>
      <c r="S2143" t="s">
        <v>45026</v>
      </c>
      <c r="T2143" t="s">
        <v>46431</v>
      </c>
      <c r="U2143" t="s">
        <v>48696</v>
      </c>
      <c r="W2143" t="s">
        <v>41042</v>
      </c>
      <c r="X2143" t="s">
        <v>44908</v>
      </c>
    </row>
    <row r="2144" spans="1:24">
      <c r="A2144">
        <f>HYPERLINK("https://www.philgeps.gov.ph/GEPSNONPILOT/Tender/SplashBidNoticeAbstractUI.aspx?menuIndex=3&amp;refID=7084338&amp;Result=3","7084338")</f>
        <v>0</v>
      </c>
      <c r="B2144" t="s">
        <v>856</v>
      </c>
      <c r="C2144" t="s">
        <v>5585</v>
      </c>
      <c r="D2144" t="s">
        <v>18112</v>
      </c>
      <c r="E2144" t="s">
        <v>20169</v>
      </c>
      <c r="F2144" t="s">
        <v>31362</v>
      </c>
      <c r="G2144" t="s">
        <v>31370</v>
      </c>
      <c r="H2144" t="s">
        <v>15799</v>
      </c>
      <c r="I2144" t="s">
        <v>31390</v>
      </c>
      <c r="J2144" t="s">
        <v>31734</v>
      </c>
      <c r="K2144" t="s">
        <v>40661</v>
      </c>
      <c r="L2144" t="s">
        <v>856</v>
      </c>
      <c r="M2144" t="s">
        <v>41832</v>
      </c>
      <c r="N2144" t="s">
        <v>44905</v>
      </c>
      <c r="O2144" t="s">
        <v>44906</v>
      </c>
      <c r="P2144">
        <v>0</v>
      </c>
      <c r="Q2144">
        <v>0</v>
      </c>
      <c r="R2144" t="s">
        <v>44907</v>
      </c>
      <c r="S2144" t="s">
        <v>45026</v>
      </c>
      <c r="T2144" t="s">
        <v>46493</v>
      </c>
      <c r="U2144" t="s">
        <v>48697</v>
      </c>
      <c r="W2144" t="s">
        <v>41832</v>
      </c>
      <c r="X2144" t="s">
        <v>44908</v>
      </c>
    </row>
    <row r="2145" spans="1:24">
      <c r="A2145">
        <f>HYPERLINK("https://www.philgeps.gov.ph/GEPSNONPILOT/Tender/SplashBidNoticeAbstractUI.aspx?menuIndex=3&amp;refID=7084336&amp;Result=3","7084336")</f>
        <v>0</v>
      </c>
      <c r="B2145" t="s">
        <v>857</v>
      </c>
      <c r="C2145" t="s">
        <v>5586</v>
      </c>
      <c r="D2145" t="s">
        <v>18108</v>
      </c>
      <c r="E2145" t="s">
        <v>20170</v>
      </c>
      <c r="F2145" t="s">
        <v>31362</v>
      </c>
      <c r="G2145" t="s">
        <v>31368</v>
      </c>
      <c r="H2145" t="s">
        <v>31379</v>
      </c>
      <c r="I2145" t="s">
        <v>3582</v>
      </c>
      <c r="J2145" t="s">
        <v>33007</v>
      </c>
      <c r="K2145" t="s">
        <v>40665</v>
      </c>
      <c r="M2145" t="s">
        <v>41833</v>
      </c>
      <c r="N2145" t="s">
        <v>44905</v>
      </c>
      <c r="O2145" t="s">
        <v>44906</v>
      </c>
      <c r="P2145">
        <v>0</v>
      </c>
      <c r="Q2145">
        <v>3</v>
      </c>
      <c r="R2145" t="s">
        <v>44907</v>
      </c>
      <c r="S2145" t="s">
        <v>45026</v>
      </c>
      <c r="T2145" t="s">
        <v>46414</v>
      </c>
      <c r="U2145" t="s">
        <v>48698</v>
      </c>
      <c r="W2145" t="s">
        <v>41833</v>
      </c>
      <c r="X2145" t="s">
        <v>44908</v>
      </c>
    </row>
    <row r="2146" spans="1:24">
      <c r="A2146">
        <f>HYPERLINK("https://www.philgeps.gov.ph/GEPSNONPILOT/Tender/SplashBidNoticeAbstractUI.aspx?menuIndex=3&amp;refID=7084335&amp;Result=3","7084335")</f>
        <v>0</v>
      </c>
      <c r="B2146" t="s">
        <v>858</v>
      </c>
      <c r="C2146" t="s">
        <v>5587</v>
      </c>
      <c r="D2146" t="s">
        <v>18110</v>
      </c>
      <c r="E2146" t="s">
        <v>18688</v>
      </c>
      <c r="F2146" t="s">
        <v>31362</v>
      </c>
      <c r="G2146" t="s">
        <v>31369</v>
      </c>
      <c r="H2146" t="s">
        <v>15799</v>
      </c>
      <c r="I2146" t="s">
        <v>3815</v>
      </c>
      <c r="J2146" t="s">
        <v>33008</v>
      </c>
      <c r="K2146" t="s">
        <v>40673</v>
      </c>
      <c r="M2146" t="s">
        <v>41834</v>
      </c>
      <c r="N2146" t="s">
        <v>44905</v>
      </c>
      <c r="O2146" t="s">
        <v>44906</v>
      </c>
      <c r="P2146">
        <v>0</v>
      </c>
      <c r="Q2146">
        <v>0</v>
      </c>
      <c r="R2146" t="s">
        <v>44907</v>
      </c>
      <c r="S2146" t="s">
        <v>45026</v>
      </c>
      <c r="T2146" t="s">
        <v>46408</v>
      </c>
      <c r="U2146" t="s">
        <v>48699</v>
      </c>
      <c r="W2146" t="s">
        <v>41834</v>
      </c>
      <c r="X2146" t="s">
        <v>44908</v>
      </c>
    </row>
    <row r="2147" spans="1:24">
      <c r="A2147">
        <f>HYPERLINK("https://www.philgeps.gov.ph/GEPSNONPILOT/Tender/SplashBidNoticeAbstractUI.aspx?menuIndex=3&amp;refID=7084364&amp;Result=3","7084364")</f>
        <v>0</v>
      </c>
      <c r="B2147" t="s">
        <v>859</v>
      </c>
      <c r="C2147" t="s">
        <v>5588</v>
      </c>
      <c r="D2147" t="s">
        <v>18109</v>
      </c>
      <c r="E2147" t="s">
        <v>20171</v>
      </c>
      <c r="F2147" t="s">
        <v>31362</v>
      </c>
      <c r="G2147" t="s">
        <v>31369</v>
      </c>
      <c r="H2147" t="s">
        <v>15799</v>
      </c>
      <c r="I2147" t="s">
        <v>31400</v>
      </c>
      <c r="J2147" t="s">
        <v>31570</v>
      </c>
      <c r="K2147" t="s">
        <v>40666</v>
      </c>
      <c r="M2147" t="s">
        <v>41835</v>
      </c>
      <c r="N2147" t="s">
        <v>44905</v>
      </c>
      <c r="O2147" t="s">
        <v>44906</v>
      </c>
      <c r="P2147">
        <v>0</v>
      </c>
      <c r="Q2147">
        <v>0</v>
      </c>
      <c r="R2147" t="s">
        <v>44907</v>
      </c>
      <c r="S2147" t="s">
        <v>45026</v>
      </c>
      <c r="T2147" t="s">
        <v>46530</v>
      </c>
      <c r="U2147" t="s">
        <v>48700</v>
      </c>
      <c r="W2147" t="s">
        <v>41835</v>
      </c>
      <c r="X2147" t="s">
        <v>44908</v>
      </c>
    </row>
    <row r="2148" spans="1:24">
      <c r="A2148">
        <f>HYPERLINK("https://www.philgeps.gov.ph/GEPSNONPILOT/Tender/SplashBidNoticeAbstractUI.aspx?menuIndex=3&amp;refID=7084347&amp;Result=3","7084347")</f>
        <v>0</v>
      </c>
      <c r="B2148" t="s">
        <v>439</v>
      </c>
      <c r="C2148" t="s">
        <v>5589</v>
      </c>
      <c r="D2148" t="s">
        <v>18115</v>
      </c>
      <c r="E2148" t="s">
        <v>20172</v>
      </c>
      <c r="F2148" t="s">
        <v>31362</v>
      </c>
      <c r="G2148" t="s">
        <v>31369</v>
      </c>
      <c r="H2148" t="s">
        <v>31378</v>
      </c>
      <c r="I2148" t="s">
        <v>31386</v>
      </c>
      <c r="J2148" t="s">
        <v>33009</v>
      </c>
      <c r="K2148" t="s">
        <v>40678</v>
      </c>
      <c r="M2148" t="s">
        <v>41391</v>
      </c>
      <c r="N2148" t="s">
        <v>44905</v>
      </c>
      <c r="O2148" t="s">
        <v>44906</v>
      </c>
      <c r="P2148">
        <v>0</v>
      </c>
      <c r="Q2148">
        <v>16</v>
      </c>
      <c r="R2148" t="s">
        <v>44907</v>
      </c>
      <c r="S2148" t="s">
        <v>45026</v>
      </c>
      <c r="T2148" t="s">
        <v>46606</v>
      </c>
      <c r="U2148" t="s">
        <v>48701</v>
      </c>
      <c r="V2148" t="s">
        <v>59273</v>
      </c>
      <c r="W2148" t="s">
        <v>41391</v>
      </c>
      <c r="X2148" t="s">
        <v>44908</v>
      </c>
    </row>
    <row r="2149" spans="1:24">
      <c r="A2149">
        <f>HYPERLINK("https://www.philgeps.gov.ph/GEPSNONPILOT/Tender/SplashBidNoticeAbstractUI.aspx?menuIndex=3&amp;refID=7084363&amp;Result=3","7084363")</f>
        <v>0</v>
      </c>
      <c r="B2149" t="s">
        <v>843</v>
      </c>
      <c r="C2149" t="s">
        <v>5590</v>
      </c>
      <c r="D2149" t="s">
        <v>18108</v>
      </c>
      <c r="E2149" t="s">
        <v>20173</v>
      </c>
      <c r="F2149" t="s">
        <v>31362</v>
      </c>
      <c r="G2149" t="s">
        <v>31368</v>
      </c>
      <c r="H2149" t="s">
        <v>31378</v>
      </c>
      <c r="I2149" t="s">
        <v>31386</v>
      </c>
      <c r="J2149" t="s">
        <v>33010</v>
      </c>
      <c r="K2149" t="s">
        <v>40677</v>
      </c>
      <c r="M2149" t="s">
        <v>41818</v>
      </c>
      <c r="N2149" t="s">
        <v>44905</v>
      </c>
      <c r="O2149" t="s">
        <v>44906</v>
      </c>
      <c r="P2149">
        <v>0</v>
      </c>
      <c r="Q2149">
        <v>0</v>
      </c>
      <c r="R2149" t="s">
        <v>44907</v>
      </c>
      <c r="S2149" t="s">
        <v>45026</v>
      </c>
      <c r="T2149" t="s">
        <v>46408</v>
      </c>
      <c r="U2149" t="s">
        <v>48702</v>
      </c>
      <c r="V2149" t="s">
        <v>59274</v>
      </c>
      <c r="W2149" t="s">
        <v>41818</v>
      </c>
      <c r="X2149" t="s">
        <v>44908</v>
      </c>
    </row>
    <row r="2150" spans="1:24">
      <c r="A2150">
        <f>HYPERLINK("https://www.philgeps.gov.ph/GEPSNONPILOT/Tender/SplashBidNoticeAbstractUI.aspx?menuIndex=3&amp;refID=7084361&amp;Result=3","7084361")</f>
        <v>0</v>
      </c>
      <c r="B2150" t="s">
        <v>860</v>
      </c>
      <c r="C2150" t="s">
        <v>5591</v>
      </c>
      <c r="D2150" t="s">
        <v>18166</v>
      </c>
      <c r="E2150" t="s">
        <v>20174</v>
      </c>
      <c r="F2150" t="s">
        <v>31362</v>
      </c>
      <c r="G2150" t="s">
        <v>31369</v>
      </c>
      <c r="H2150" t="s">
        <v>31378</v>
      </c>
      <c r="I2150" t="s">
        <v>31386</v>
      </c>
      <c r="J2150" t="s">
        <v>33011</v>
      </c>
      <c r="K2150" t="s">
        <v>40683</v>
      </c>
      <c r="M2150" t="s">
        <v>41836</v>
      </c>
      <c r="N2150" t="s">
        <v>44905</v>
      </c>
      <c r="O2150" t="s">
        <v>44906</v>
      </c>
      <c r="P2150">
        <v>0</v>
      </c>
      <c r="Q2150">
        <v>0</v>
      </c>
      <c r="R2150" t="s">
        <v>44907</v>
      </c>
      <c r="S2150" t="s">
        <v>45026</v>
      </c>
      <c r="T2150" t="s">
        <v>46607</v>
      </c>
      <c r="U2150" t="s">
        <v>48703</v>
      </c>
      <c r="V2150" t="s">
        <v>59275</v>
      </c>
      <c r="W2150" t="s">
        <v>41836</v>
      </c>
      <c r="X2150" t="s">
        <v>44908</v>
      </c>
    </row>
    <row r="2151" spans="1:24">
      <c r="A2151">
        <f>HYPERLINK("https://www.philgeps.gov.ph/GEPSNONPILOT/Tender/SplashBidNoticeAbstractUI.aspx?menuIndex=3&amp;refID=7084360&amp;Result=3","7084360")</f>
        <v>0</v>
      </c>
      <c r="B2151" t="s">
        <v>859</v>
      </c>
      <c r="C2151" t="s">
        <v>5592</v>
      </c>
      <c r="D2151" t="s">
        <v>18109</v>
      </c>
      <c r="E2151" t="s">
        <v>20175</v>
      </c>
      <c r="F2151" t="s">
        <v>31362</v>
      </c>
      <c r="G2151" t="s">
        <v>31369</v>
      </c>
      <c r="H2151" t="s">
        <v>15799</v>
      </c>
      <c r="I2151" t="s">
        <v>3815</v>
      </c>
      <c r="J2151" t="s">
        <v>33012</v>
      </c>
      <c r="K2151" t="s">
        <v>40666</v>
      </c>
      <c r="M2151" t="s">
        <v>41835</v>
      </c>
      <c r="N2151" t="s">
        <v>44905</v>
      </c>
      <c r="O2151" t="s">
        <v>44906</v>
      </c>
      <c r="P2151">
        <v>0</v>
      </c>
      <c r="Q2151">
        <v>0</v>
      </c>
      <c r="R2151" t="s">
        <v>44907</v>
      </c>
      <c r="S2151" t="s">
        <v>45026</v>
      </c>
      <c r="T2151" t="s">
        <v>46530</v>
      </c>
      <c r="U2151" t="s">
        <v>47548</v>
      </c>
      <c r="W2151" t="s">
        <v>41835</v>
      </c>
      <c r="X2151" t="s">
        <v>44908</v>
      </c>
    </row>
    <row r="2152" spans="1:24">
      <c r="A2152">
        <f>HYPERLINK("https://www.philgeps.gov.ph/GEPSNONPILOT/Tender/SplashBidNoticeAbstractUI.aspx?menuIndex=3&amp;refID=7084356&amp;Result=3","7084356")</f>
        <v>0</v>
      </c>
      <c r="B2152" t="s">
        <v>784</v>
      </c>
      <c r="C2152" t="s">
        <v>5593</v>
      </c>
      <c r="D2152" t="s">
        <v>18174</v>
      </c>
      <c r="E2152" t="s">
        <v>20176</v>
      </c>
      <c r="F2152" t="s">
        <v>31362</v>
      </c>
      <c r="G2152" t="s">
        <v>31372</v>
      </c>
      <c r="H2152" t="s">
        <v>31378</v>
      </c>
      <c r="I2152" t="s">
        <v>31427</v>
      </c>
      <c r="J2152" t="s">
        <v>33013</v>
      </c>
      <c r="K2152" t="s">
        <v>40678</v>
      </c>
      <c r="M2152" t="s">
        <v>41754</v>
      </c>
      <c r="N2152" t="s">
        <v>44905</v>
      </c>
      <c r="O2152" t="s">
        <v>44906</v>
      </c>
      <c r="P2152">
        <v>0</v>
      </c>
      <c r="Q2152">
        <v>0</v>
      </c>
      <c r="R2152" t="s">
        <v>44907</v>
      </c>
      <c r="S2152" t="s">
        <v>45026</v>
      </c>
      <c r="T2152" t="s">
        <v>46458</v>
      </c>
      <c r="U2152" t="s">
        <v>48704</v>
      </c>
      <c r="W2152" t="s">
        <v>41754</v>
      </c>
      <c r="X2152" t="s">
        <v>44908</v>
      </c>
    </row>
    <row r="2153" spans="1:24">
      <c r="A2153">
        <f>HYPERLINK("https://www.philgeps.gov.ph/GEPSNONPILOT/Tender/SplashBidNoticeAbstractUI.aspx?menuIndex=3&amp;refID=7084350&amp;Result=3","7084350")</f>
        <v>0</v>
      </c>
      <c r="B2153" t="s">
        <v>861</v>
      </c>
      <c r="C2153" t="s">
        <v>5594</v>
      </c>
      <c r="D2153" t="s">
        <v>18108</v>
      </c>
      <c r="E2153" t="s">
        <v>20177</v>
      </c>
      <c r="F2153" t="s">
        <v>31362</v>
      </c>
      <c r="G2153" t="s">
        <v>31368</v>
      </c>
      <c r="H2153" t="s">
        <v>15799</v>
      </c>
      <c r="I2153" t="s">
        <v>6155</v>
      </c>
      <c r="J2153" t="s">
        <v>33014</v>
      </c>
      <c r="K2153" t="s">
        <v>40697</v>
      </c>
      <c r="M2153" t="s">
        <v>41837</v>
      </c>
      <c r="N2153" t="s">
        <v>44905</v>
      </c>
      <c r="O2153" t="s">
        <v>44906</v>
      </c>
      <c r="P2153">
        <v>0</v>
      </c>
      <c r="Q2153">
        <v>1</v>
      </c>
      <c r="R2153" t="s">
        <v>44907</v>
      </c>
      <c r="S2153" t="s">
        <v>45026</v>
      </c>
      <c r="T2153" t="s">
        <v>46416</v>
      </c>
      <c r="U2153" t="s">
        <v>48705</v>
      </c>
      <c r="V2153" t="s">
        <v>59276</v>
      </c>
      <c r="W2153" t="s">
        <v>41837</v>
      </c>
      <c r="X2153" t="s">
        <v>44908</v>
      </c>
    </row>
    <row r="2154" spans="1:24">
      <c r="A2154">
        <f>HYPERLINK("https://www.philgeps.gov.ph/GEPSNONPILOT/Tender/SplashBidNoticeAbstractUI.aspx?menuIndex=3&amp;refID=7084355&amp;Result=3","7084355")</f>
        <v>0</v>
      </c>
      <c r="B2154" t="s">
        <v>853</v>
      </c>
      <c r="C2154" t="s">
        <v>5595</v>
      </c>
      <c r="D2154" t="s">
        <v>18108</v>
      </c>
      <c r="E2154" t="s">
        <v>20178</v>
      </c>
      <c r="F2154" t="s">
        <v>31362</v>
      </c>
      <c r="G2154" t="s">
        <v>31369</v>
      </c>
      <c r="H2154" t="s">
        <v>15799</v>
      </c>
      <c r="I2154" t="s">
        <v>7719</v>
      </c>
      <c r="J2154" t="s">
        <v>33015</v>
      </c>
      <c r="K2154" t="s">
        <v>40679</v>
      </c>
      <c r="M2154" t="s">
        <v>41829</v>
      </c>
      <c r="N2154" t="s">
        <v>44905</v>
      </c>
      <c r="O2154" t="s">
        <v>44906</v>
      </c>
      <c r="P2154">
        <v>0</v>
      </c>
      <c r="Q2154">
        <v>12</v>
      </c>
      <c r="R2154" t="s">
        <v>44907</v>
      </c>
      <c r="S2154" t="s">
        <v>45026</v>
      </c>
      <c r="T2154" t="s">
        <v>46557</v>
      </c>
      <c r="U2154" t="s">
        <v>48706</v>
      </c>
      <c r="W2154" t="s">
        <v>41829</v>
      </c>
      <c r="X2154" t="s">
        <v>44908</v>
      </c>
    </row>
    <row r="2155" spans="1:24">
      <c r="A2155">
        <f>HYPERLINK("https://www.philgeps.gov.ph/GEPSNONPILOT/Tender/SplashBidNoticeAbstractUI.aspx?menuIndex=3&amp;refID=7084354&amp;Result=3","7084354")</f>
        <v>0</v>
      </c>
      <c r="B2155" t="s">
        <v>862</v>
      </c>
      <c r="C2155" t="s">
        <v>5596</v>
      </c>
      <c r="D2155" t="s">
        <v>18110</v>
      </c>
      <c r="E2155" t="s">
        <v>20179</v>
      </c>
      <c r="F2155" t="s">
        <v>31362</v>
      </c>
      <c r="G2155" t="s">
        <v>31368</v>
      </c>
      <c r="H2155" t="s">
        <v>15799</v>
      </c>
      <c r="I2155" t="s">
        <v>31463</v>
      </c>
      <c r="J2155" t="s">
        <v>31597</v>
      </c>
      <c r="K2155" t="s">
        <v>40678</v>
      </c>
      <c r="L2155" t="s">
        <v>862</v>
      </c>
      <c r="M2155" t="s">
        <v>41838</v>
      </c>
      <c r="N2155" t="s">
        <v>44905</v>
      </c>
      <c r="O2155" t="s">
        <v>44906</v>
      </c>
      <c r="P2155">
        <v>0</v>
      </c>
      <c r="Q2155">
        <v>0</v>
      </c>
      <c r="R2155" t="s">
        <v>44907</v>
      </c>
      <c r="S2155" t="s">
        <v>45026</v>
      </c>
      <c r="T2155" t="s">
        <v>46438</v>
      </c>
      <c r="U2155" t="s">
        <v>48707</v>
      </c>
      <c r="W2155" t="s">
        <v>41838</v>
      </c>
      <c r="X2155" t="s">
        <v>44908</v>
      </c>
    </row>
    <row r="2156" spans="1:24">
      <c r="A2156">
        <f>HYPERLINK("https://www.philgeps.gov.ph/GEPSNONPILOT/Tender/SplashBidNoticeAbstractUI.aspx?menuIndex=3&amp;refID=7084389&amp;Result=3","7084389")</f>
        <v>0</v>
      </c>
      <c r="B2156" t="s">
        <v>430</v>
      </c>
      <c r="C2156" t="s">
        <v>5597</v>
      </c>
      <c r="D2156" t="s">
        <v>18112</v>
      </c>
      <c r="E2156" t="s">
        <v>20180</v>
      </c>
      <c r="F2156" t="s">
        <v>31362</v>
      </c>
      <c r="G2156" t="s">
        <v>31371</v>
      </c>
      <c r="H2156" t="s">
        <v>15799</v>
      </c>
      <c r="I2156" t="s">
        <v>6373</v>
      </c>
      <c r="J2156" t="s">
        <v>33016</v>
      </c>
      <c r="K2156" t="s">
        <v>40665</v>
      </c>
      <c r="M2156" t="s">
        <v>41381</v>
      </c>
      <c r="N2156" t="s">
        <v>44905</v>
      </c>
      <c r="O2156" t="s">
        <v>44906</v>
      </c>
      <c r="P2156">
        <v>0</v>
      </c>
      <c r="Q2156">
        <v>0</v>
      </c>
      <c r="R2156" t="s">
        <v>44907</v>
      </c>
      <c r="S2156" t="s">
        <v>45026</v>
      </c>
      <c r="T2156" t="s">
        <v>46397</v>
      </c>
      <c r="U2156" t="s">
        <v>48708</v>
      </c>
      <c r="V2156" t="s">
        <v>59166</v>
      </c>
      <c r="W2156" t="s">
        <v>41381</v>
      </c>
      <c r="X2156" t="s">
        <v>44908</v>
      </c>
    </row>
    <row r="2157" spans="1:24">
      <c r="A2157">
        <f>HYPERLINK("https://www.philgeps.gov.ph/GEPSNONPILOT/Tender/SplashBidNoticeAbstractUI.aspx?menuIndex=3&amp;refID=7084362&amp;Result=3","7084362")</f>
        <v>0</v>
      </c>
      <c r="B2157" t="s">
        <v>273</v>
      </c>
      <c r="C2157" t="s">
        <v>5598</v>
      </c>
      <c r="D2157" t="s">
        <v>18108</v>
      </c>
      <c r="E2157" t="s">
        <v>20181</v>
      </c>
      <c r="F2157" t="s">
        <v>31362</v>
      </c>
      <c r="G2157" t="s">
        <v>31368</v>
      </c>
      <c r="H2157" t="s">
        <v>31379</v>
      </c>
      <c r="I2157" t="s">
        <v>7719</v>
      </c>
      <c r="J2157" t="s">
        <v>31734</v>
      </c>
      <c r="K2157" t="s">
        <v>40666</v>
      </c>
      <c r="M2157" t="s">
        <v>41215</v>
      </c>
      <c r="N2157" t="s">
        <v>44905</v>
      </c>
      <c r="O2157" t="s">
        <v>44906</v>
      </c>
      <c r="P2157">
        <v>0</v>
      </c>
      <c r="Q2157">
        <v>1</v>
      </c>
      <c r="R2157" t="s">
        <v>44907</v>
      </c>
      <c r="S2157" t="s">
        <v>45026</v>
      </c>
      <c r="T2157" t="s">
        <v>46410</v>
      </c>
      <c r="U2157" t="s">
        <v>48709</v>
      </c>
      <c r="V2157" t="s">
        <v>59142</v>
      </c>
      <c r="W2157" t="s">
        <v>60844</v>
      </c>
      <c r="X2157" t="s">
        <v>44908</v>
      </c>
    </row>
    <row r="2158" spans="1:24">
      <c r="A2158">
        <f>HYPERLINK("https://www.philgeps.gov.ph/GEPSNONPILOT/Tender/SplashBidNoticeAbstractUI.aspx?menuIndex=3&amp;refID=7084387&amp;Result=3","7084387")</f>
        <v>0</v>
      </c>
      <c r="B2158" t="s">
        <v>863</v>
      </c>
      <c r="C2158" t="s">
        <v>5599</v>
      </c>
      <c r="D2158" t="s">
        <v>18113</v>
      </c>
      <c r="E2158" t="s">
        <v>20182</v>
      </c>
      <c r="F2158" t="s">
        <v>31362</v>
      </c>
      <c r="G2158" t="s">
        <v>31368</v>
      </c>
      <c r="H2158" t="s">
        <v>15799</v>
      </c>
      <c r="I2158" t="s">
        <v>4057</v>
      </c>
      <c r="J2158" t="s">
        <v>33017</v>
      </c>
      <c r="K2158" t="s">
        <v>40697</v>
      </c>
      <c r="M2158" t="s">
        <v>41839</v>
      </c>
      <c r="N2158" t="s">
        <v>44905</v>
      </c>
      <c r="O2158" t="s">
        <v>44906</v>
      </c>
      <c r="P2158">
        <v>0</v>
      </c>
      <c r="Q2158">
        <v>0</v>
      </c>
      <c r="R2158" t="s">
        <v>44907</v>
      </c>
      <c r="S2158" t="s">
        <v>45026</v>
      </c>
      <c r="T2158" t="s">
        <v>46409</v>
      </c>
      <c r="U2158" t="s">
        <v>48710</v>
      </c>
      <c r="V2158" t="s">
        <v>59277</v>
      </c>
      <c r="W2158" t="s">
        <v>41839</v>
      </c>
      <c r="X2158" t="s">
        <v>44908</v>
      </c>
    </row>
    <row r="2159" spans="1:24">
      <c r="A2159">
        <f>HYPERLINK("https://www.philgeps.gov.ph/GEPSNONPILOT/Tender/SplashBidNoticeAbstractUI.aspx?menuIndex=3&amp;refID=7084358&amp;Result=3","7084358")</f>
        <v>0</v>
      </c>
      <c r="B2159" t="s">
        <v>864</v>
      </c>
      <c r="C2159" t="s">
        <v>5600</v>
      </c>
      <c r="D2159" t="s">
        <v>18131</v>
      </c>
      <c r="E2159" t="s">
        <v>19844</v>
      </c>
      <c r="F2159" t="s">
        <v>31362</v>
      </c>
      <c r="G2159" t="s">
        <v>31369</v>
      </c>
      <c r="H2159" t="s">
        <v>15799</v>
      </c>
      <c r="I2159" t="s">
        <v>3815</v>
      </c>
      <c r="J2159" t="s">
        <v>33018</v>
      </c>
      <c r="K2159" t="s">
        <v>40672</v>
      </c>
      <c r="M2159" t="s">
        <v>41840</v>
      </c>
      <c r="N2159" t="s">
        <v>44905</v>
      </c>
      <c r="O2159" t="s">
        <v>44906</v>
      </c>
      <c r="P2159">
        <v>0</v>
      </c>
      <c r="Q2159">
        <v>0</v>
      </c>
      <c r="R2159" t="s">
        <v>44907</v>
      </c>
      <c r="S2159" t="s">
        <v>45026</v>
      </c>
      <c r="T2159" t="s">
        <v>46499</v>
      </c>
      <c r="U2159" t="s">
        <v>48711</v>
      </c>
      <c r="V2159" t="s">
        <v>59278</v>
      </c>
      <c r="W2159" t="s">
        <v>41840</v>
      </c>
      <c r="X2159" t="s">
        <v>44908</v>
      </c>
    </row>
    <row r="2160" spans="1:24">
      <c r="A2160">
        <f>HYPERLINK("https://www.philgeps.gov.ph/GEPSNONPILOT/Tender/SplashBidNoticeAbstractUI.aspx?menuIndex=3&amp;refID=7084388&amp;Result=3","7084388")</f>
        <v>0</v>
      </c>
      <c r="B2160" t="s">
        <v>865</v>
      </c>
      <c r="C2160" t="s">
        <v>5601</v>
      </c>
      <c r="D2160" t="s">
        <v>18148</v>
      </c>
      <c r="E2160" t="s">
        <v>20183</v>
      </c>
      <c r="F2160" t="s">
        <v>31362</v>
      </c>
      <c r="G2160" t="s">
        <v>31369</v>
      </c>
      <c r="H2160" t="s">
        <v>31378</v>
      </c>
      <c r="I2160" t="s">
        <v>31386</v>
      </c>
      <c r="J2160" t="s">
        <v>32891</v>
      </c>
      <c r="K2160" t="s">
        <v>40679</v>
      </c>
      <c r="M2160" t="s">
        <v>41841</v>
      </c>
      <c r="N2160" t="s">
        <v>44905</v>
      </c>
      <c r="O2160" t="s">
        <v>44906</v>
      </c>
      <c r="P2160">
        <v>0</v>
      </c>
      <c r="Q2160">
        <v>0</v>
      </c>
      <c r="R2160" t="s">
        <v>44907</v>
      </c>
      <c r="S2160" t="s">
        <v>45026</v>
      </c>
      <c r="T2160" t="s">
        <v>46429</v>
      </c>
      <c r="U2160" t="s">
        <v>48712</v>
      </c>
      <c r="W2160" t="s">
        <v>41841</v>
      </c>
      <c r="X2160" t="s">
        <v>44908</v>
      </c>
    </row>
    <row r="2161" spans="1:24">
      <c r="A2161">
        <f>HYPERLINK("https://www.philgeps.gov.ph/GEPSNONPILOT/Tender/SplashBidNoticeAbstractUI.aspx?menuIndex=3&amp;refID=7084346&amp;Result=3","7084346")</f>
        <v>0</v>
      </c>
      <c r="B2161" t="s">
        <v>866</v>
      </c>
      <c r="C2161" t="s">
        <v>5602</v>
      </c>
      <c r="D2161" t="s">
        <v>18108</v>
      </c>
      <c r="E2161" t="s">
        <v>20184</v>
      </c>
      <c r="F2161" t="s">
        <v>31362</v>
      </c>
      <c r="G2161" t="s">
        <v>31369</v>
      </c>
      <c r="H2161" t="s">
        <v>15799</v>
      </c>
      <c r="I2161" t="s">
        <v>31463</v>
      </c>
      <c r="J2161" t="s">
        <v>33019</v>
      </c>
      <c r="K2161" t="s">
        <v>40720</v>
      </c>
      <c r="M2161" t="s">
        <v>41842</v>
      </c>
      <c r="N2161" t="s">
        <v>44905</v>
      </c>
      <c r="O2161" t="s">
        <v>44906</v>
      </c>
      <c r="P2161">
        <v>0</v>
      </c>
      <c r="Q2161">
        <v>6</v>
      </c>
      <c r="R2161" t="s">
        <v>44907</v>
      </c>
      <c r="S2161" t="s">
        <v>45026</v>
      </c>
      <c r="T2161" t="s">
        <v>46521</v>
      </c>
      <c r="U2161" t="s">
        <v>48713</v>
      </c>
      <c r="W2161" t="s">
        <v>41842</v>
      </c>
      <c r="X2161" t="s">
        <v>44908</v>
      </c>
    </row>
    <row r="2162" spans="1:24">
      <c r="A2162">
        <f>HYPERLINK("https://www.philgeps.gov.ph/GEPSNONPILOT/Tender/SplashBidNoticeAbstractUI.aspx?menuIndex=3&amp;refID=7084385&amp;Result=3","7084385")</f>
        <v>0</v>
      </c>
      <c r="B2162" t="s">
        <v>867</v>
      </c>
      <c r="C2162" t="s">
        <v>5603</v>
      </c>
      <c r="D2162" t="s">
        <v>18122</v>
      </c>
      <c r="E2162" t="s">
        <v>20185</v>
      </c>
      <c r="F2162" t="s">
        <v>31362</v>
      </c>
      <c r="G2162" t="s">
        <v>31372</v>
      </c>
      <c r="H2162" t="s">
        <v>31378</v>
      </c>
      <c r="I2162" t="s">
        <v>31386</v>
      </c>
      <c r="J2162" t="s">
        <v>33020</v>
      </c>
      <c r="K2162" t="s">
        <v>40664</v>
      </c>
      <c r="M2162" t="s">
        <v>41843</v>
      </c>
      <c r="N2162" t="s">
        <v>44905</v>
      </c>
      <c r="O2162" t="s">
        <v>44906</v>
      </c>
      <c r="P2162">
        <v>0</v>
      </c>
      <c r="Q2162">
        <v>0</v>
      </c>
      <c r="R2162" t="s">
        <v>44907</v>
      </c>
      <c r="S2162" t="s">
        <v>45026</v>
      </c>
      <c r="T2162" t="s">
        <v>46432</v>
      </c>
      <c r="U2162" t="s">
        <v>48714</v>
      </c>
      <c r="W2162" t="s">
        <v>41843</v>
      </c>
      <c r="X2162" t="s">
        <v>44908</v>
      </c>
    </row>
    <row r="2163" spans="1:24">
      <c r="A2163">
        <f>HYPERLINK("https://www.philgeps.gov.ph/GEPSNONPILOT/Tender/SplashBidNoticeAbstractUI.aspx?menuIndex=3&amp;refID=7084384&amp;Result=3","7084384")</f>
        <v>0</v>
      </c>
      <c r="B2163" t="s">
        <v>863</v>
      </c>
      <c r="C2163" t="s">
        <v>5604</v>
      </c>
      <c r="D2163" t="s">
        <v>18113</v>
      </c>
      <c r="E2163" t="s">
        <v>20186</v>
      </c>
      <c r="F2163" t="s">
        <v>31362</v>
      </c>
      <c r="G2163" t="s">
        <v>31374</v>
      </c>
      <c r="H2163" t="s">
        <v>15799</v>
      </c>
      <c r="I2163" t="s">
        <v>4057</v>
      </c>
      <c r="J2163" t="s">
        <v>31537</v>
      </c>
      <c r="K2163" t="s">
        <v>40697</v>
      </c>
      <c r="M2163" t="s">
        <v>41839</v>
      </c>
      <c r="N2163" t="s">
        <v>44905</v>
      </c>
      <c r="O2163" t="s">
        <v>44906</v>
      </c>
      <c r="P2163">
        <v>0</v>
      </c>
      <c r="Q2163">
        <v>0</v>
      </c>
      <c r="R2163" t="s">
        <v>44907</v>
      </c>
      <c r="S2163" t="s">
        <v>45026</v>
      </c>
      <c r="T2163" t="s">
        <v>46409</v>
      </c>
      <c r="U2163" t="s">
        <v>48715</v>
      </c>
      <c r="V2163" t="s">
        <v>59277</v>
      </c>
      <c r="W2163" t="s">
        <v>41839</v>
      </c>
      <c r="X2163" t="s">
        <v>44908</v>
      </c>
    </row>
    <row r="2164" spans="1:24">
      <c r="A2164">
        <f>HYPERLINK("https://www.philgeps.gov.ph/GEPSNONPILOT/Tender/SplashBidNoticeAbstractUI.aspx?menuIndex=3&amp;refID=7084382&amp;Result=3","7084382")</f>
        <v>0</v>
      </c>
      <c r="B2164" t="s">
        <v>430</v>
      </c>
      <c r="C2164" t="s">
        <v>5605</v>
      </c>
      <c r="D2164" t="s">
        <v>18112</v>
      </c>
      <c r="E2164" t="s">
        <v>20187</v>
      </c>
      <c r="F2164" t="s">
        <v>31362</v>
      </c>
      <c r="G2164" t="s">
        <v>31368</v>
      </c>
      <c r="H2164" t="s">
        <v>15799</v>
      </c>
      <c r="I2164" t="s">
        <v>31386</v>
      </c>
      <c r="J2164" t="s">
        <v>32268</v>
      </c>
      <c r="K2164" t="s">
        <v>40665</v>
      </c>
      <c r="M2164" t="s">
        <v>41381</v>
      </c>
      <c r="N2164" t="s">
        <v>44905</v>
      </c>
      <c r="O2164" t="s">
        <v>44906</v>
      </c>
      <c r="P2164">
        <v>0</v>
      </c>
      <c r="Q2164">
        <v>0</v>
      </c>
      <c r="R2164" t="s">
        <v>44907</v>
      </c>
      <c r="S2164" t="s">
        <v>45026</v>
      </c>
      <c r="T2164" t="s">
        <v>46397</v>
      </c>
      <c r="U2164" t="s">
        <v>48716</v>
      </c>
      <c r="V2164" t="s">
        <v>59166</v>
      </c>
      <c r="W2164" t="s">
        <v>41381</v>
      </c>
      <c r="X2164" t="s">
        <v>44908</v>
      </c>
    </row>
    <row r="2165" spans="1:24">
      <c r="A2165">
        <f>HYPERLINK("https://www.philgeps.gov.ph/GEPSNONPILOT/Tender/SplashBidNoticeAbstractUI.aspx?menuIndex=3&amp;refID=7084381&amp;Result=3","7084381")</f>
        <v>0</v>
      </c>
      <c r="B2165" t="s">
        <v>868</v>
      </c>
      <c r="C2165" t="s">
        <v>5606</v>
      </c>
      <c r="E2165" t="s">
        <v>20188</v>
      </c>
      <c r="F2165" t="s">
        <v>31362</v>
      </c>
      <c r="G2165" t="s">
        <v>31370</v>
      </c>
      <c r="H2165" t="s">
        <v>15799</v>
      </c>
      <c r="I2165" t="s">
        <v>31435</v>
      </c>
      <c r="J2165" t="s">
        <v>33021</v>
      </c>
      <c r="K2165" t="s">
        <v>40682</v>
      </c>
      <c r="M2165" t="s">
        <v>41844</v>
      </c>
      <c r="N2165" t="s">
        <v>44905</v>
      </c>
      <c r="O2165" t="s">
        <v>44906</v>
      </c>
      <c r="P2165">
        <v>0</v>
      </c>
      <c r="Q2165">
        <v>0</v>
      </c>
      <c r="R2165" t="s">
        <v>44907</v>
      </c>
      <c r="S2165" t="s">
        <v>45026</v>
      </c>
      <c r="T2165" t="s">
        <v>46404</v>
      </c>
      <c r="U2165" t="s">
        <v>48717</v>
      </c>
      <c r="W2165" t="s">
        <v>41844</v>
      </c>
      <c r="X2165" t="s">
        <v>44908</v>
      </c>
    </row>
    <row r="2166" spans="1:24">
      <c r="A2166">
        <f>HYPERLINK("https://www.philgeps.gov.ph/GEPSNONPILOT/Tender/SplashBidNoticeAbstractUI.aspx?menuIndex=3&amp;refID=7084386&amp;Result=3","7084386")</f>
        <v>0</v>
      </c>
      <c r="B2166" t="s">
        <v>430</v>
      </c>
      <c r="C2166" t="s">
        <v>5607</v>
      </c>
      <c r="D2166" t="s">
        <v>18112</v>
      </c>
      <c r="E2166" t="s">
        <v>20189</v>
      </c>
      <c r="F2166" t="s">
        <v>31362</v>
      </c>
      <c r="G2166" t="s">
        <v>31371</v>
      </c>
      <c r="H2166" t="s">
        <v>15799</v>
      </c>
      <c r="I2166" t="s">
        <v>31413</v>
      </c>
      <c r="J2166" t="s">
        <v>33022</v>
      </c>
      <c r="K2166" t="s">
        <v>40665</v>
      </c>
      <c r="M2166" t="s">
        <v>41381</v>
      </c>
      <c r="N2166" t="s">
        <v>44905</v>
      </c>
      <c r="O2166" t="s">
        <v>44906</v>
      </c>
      <c r="P2166">
        <v>0</v>
      </c>
      <c r="Q2166">
        <v>1</v>
      </c>
      <c r="R2166" t="s">
        <v>44907</v>
      </c>
      <c r="S2166" t="s">
        <v>45026</v>
      </c>
      <c r="T2166" t="s">
        <v>46397</v>
      </c>
      <c r="U2166" t="s">
        <v>48718</v>
      </c>
      <c r="V2166" t="s">
        <v>59166</v>
      </c>
      <c r="W2166" t="s">
        <v>41381</v>
      </c>
      <c r="X2166" t="s">
        <v>44908</v>
      </c>
    </row>
    <row r="2167" spans="1:24">
      <c r="A2167">
        <f>HYPERLINK("https://www.philgeps.gov.ph/GEPSNONPILOT/Tender/SplashBidNoticeAbstractUI.aspx?menuIndex=3&amp;refID=7084376&amp;Result=3","7084376")</f>
        <v>0</v>
      </c>
      <c r="B2167" t="s">
        <v>863</v>
      </c>
      <c r="C2167" t="s">
        <v>5608</v>
      </c>
      <c r="D2167" t="s">
        <v>18113</v>
      </c>
      <c r="E2167" t="s">
        <v>20190</v>
      </c>
      <c r="F2167" t="s">
        <v>31362</v>
      </c>
      <c r="G2167" t="s">
        <v>31368</v>
      </c>
      <c r="H2167" t="s">
        <v>15799</v>
      </c>
      <c r="I2167" t="s">
        <v>4057</v>
      </c>
      <c r="J2167" t="s">
        <v>31983</v>
      </c>
      <c r="K2167" t="s">
        <v>40697</v>
      </c>
      <c r="M2167" t="s">
        <v>41839</v>
      </c>
      <c r="N2167" t="s">
        <v>44905</v>
      </c>
      <c r="O2167" t="s">
        <v>44906</v>
      </c>
      <c r="P2167">
        <v>0</v>
      </c>
      <c r="Q2167">
        <v>0</v>
      </c>
      <c r="R2167" t="s">
        <v>44907</v>
      </c>
      <c r="S2167" t="s">
        <v>45026</v>
      </c>
      <c r="T2167" t="s">
        <v>46409</v>
      </c>
      <c r="U2167" t="s">
        <v>48719</v>
      </c>
      <c r="V2167" t="s">
        <v>59277</v>
      </c>
      <c r="W2167" t="s">
        <v>41839</v>
      </c>
      <c r="X2167" t="s">
        <v>44908</v>
      </c>
    </row>
    <row r="2168" spans="1:24">
      <c r="A2168">
        <f>HYPERLINK("https://www.philgeps.gov.ph/GEPSNONPILOT/Tender/SplashBidNoticeAbstractUI.aspx?menuIndex=3&amp;refID=7084375&amp;Result=3","7084375")</f>
        <v>0</v>
      </c>
      <c r="B2168" t="s">
        <v>863</v>
      </c>
      <c r="C2168" t="s">
        <v>5609</v>
      </c>
      <c r="D2168" t="s">
        <v>18113</v>
      </c>
      <c r="E2168" t="s">
        <v>20191</v>
      </c>
      <c r="F2168" t="s">
        <v>31362</v>
      </c>
      <c r="G2168" t="s">
        <v>31368</v>
      </c>
      <c r="H2168" t="s">
        <v>15799</v>
      </c>
      <c r="I2168" t="s">
        <v>4057</v>
      </c>
      <c r="J2168" t="s">
        <v>31537</v>
      </c>
      <c r="K2168" t="s">
        <v>40697</v>
      </c>
      <c r="M2168" t="s">
        <v>41839</v>
      </c>
      <c r="N2168" t="s">
        <v>44905</v>
      </c>
      <c r="O2168" t="s">
        <v>44906</v>
      </c>
      <c r="P2168">
        <v>0</v>
      </c>
      <c r="Q2168">
        <v>0</v>
      </c>
      <c r="R2168" t="s">
        <v>44907</v>
      </c>
      <c r="S2168" t="s">
        <v>45026</v>
      </c>
      <c r="T2168" t="s">
        <v>46409</v>
      </c>
      <c r="U2168" t="s">
        <v>48720</v>
      </c>
      <c r="V2168" t="s">
        <v>59277</v>
      </c>
      <c r="W2168" t="s">
        <v>41839</v>
      </c>
      <c r="X2168" t="s">
        <v>44908</v>
      </c>
    </row>
    <row r="2169" spans="1:24">
      <c r="A2169">
        <f>HYPERLINK("https://www.philgeps.gov.ph/GEPSNONPILOT/Tender/SplashBidNoticeAbstractUI.aspx?menuIndex=3&amp;refID=7084379&amp;Result=3","7084379")</f>
        <v>0</v>
      </c>
      <c r="B2169" t="s">
        <v>869</v>
      </c>
      <c r="C2169" t="s">
        <v>5610</v>
      </c>
      <c r="D2169" t="s">
        <v>18136</v>
      </c>
      <c r="E2169" t="s">
        <v>20192</v>
      </c>
      <c r="F2169" t="s">
        <v>31362</v>
      </c>
      <c r="G2169" t="s">
        <v>31368</v>
      </c>
      <c r="H2169" t="s">
        <v>15799</v>
      </c>
      <c r="I2169" t="s">
        <v>31404</v>
      </c>
      <c r="J2169" t="s">
        <v>33023</v>
      </c>
      <c r="K2169" t="s">
        <v>40662</v>
      </c>
      <c r="M2169" t="s">
        <v>41845</v>
      </c>
      <c r="N2169" t="s">
        <v>44905</v>
      </c>
      <c r="O2169" t="s">
        <v>44906</v>
      </c>
      <c r="P2169">
        <v>0</v>
      </c>
      <c r="Q2169">
        <v>0</v>
      </c>
      <c r="R2169" t="s">
        <v>44907</v>
      </c>
      <c r="S2169" t="s">
        <v>45026</v>
      </c>
      <c r="T2169" t="s">
        <v>46432</v>
      </c>
      <c r="U2169" t="s">
        <v>48721</v>
      </c>
      <c r="W2169" t="s">
        <v>41845</v>
      </c>
      <c r="X2169" t="s">
        <v>44908</v>
      </c>
    </row>
    <row r="2170" spans="1:24">
      <c r="A2170">
        <f>HYPERLINK("https://www.philgeps.gov.ph/GEPSNONPILOT/Tender/SplashBidNoticeAbstractUI.aspx?menuIndex=3&amp;refID=7084372&amp;Result=3","7084372")</f>
        <v>0</v>
      </c>
      <c r="B2170" t="s">
        <v>869</v>
      </c>
      <c r="C2170" t="s">
        <v>5611</v>
      </c>
      <c r="D2170" t="s">
        <v>18136</v>
      </c>
      <c r="E2170" t="s">
        <v>20193</v>
      </c>
      <c r="F2170" t="s">
        <v>31362</v>
      </c>
      <c r="G2170" t="s">
        <v>31368</v>
      </c>
      <c r="H2170" t="s">
        <v>15799</v>
      </c>
      <c r="I2170" t="s">
        <v>31404</v>
      </c>
      <c r="J2170" t="s">
        <v>33024</v>
      </c>
      <c r="K2170" t="s">
        <v>40662</v>
      </c>
      <c r="M2170" t="s">
        <v>41845</v>
      </c>
      <c r="N2170" t="s">
        <v>44905</v>
      </c>
      <c r="O2170" t="s">
        <v>44906</v>
      </c>
      <c r="P2170">
        <v>0</v>
      </c>
      <c r="Q2170">
        <v>0</v>
      </c>
      <c r="R2170" t="s">
        <v>44907</v>
      </c>
      <c r="S2170" t="s">
        <v>45026</v>
      </c>
      <c r="T2170" t="s">
        <v>46432</v>
      </c>
      <c r="U2170" t="s">
        <v>48722</v>
      </c>
      <c r="W2170" t="s">
        <v>41845</v>
      </c>
      <c r="X2170" t="s">
        <v>44908</v>
      </c>
    </row>
    <row r="2171" spans="1:24">
      <c r="A2171">
        <f>HYPERLINK("https://www.philgeps.gov.ph/GEPSNONPILOT/Tender/SplashBidNoticeAbstractUI.aspx?menuIndex=3&amp;refID=7084371&amp;Result=3","7084371")</f>
        <v>0</v>
      </c>
      <c r="B2171" t="s">
        <v>863</v>
      </c>
      <c r="C2171" t="s">
        <v>5612</v>
      </c>
      <c r="D2171" t="s">
        <v>18113</v>
      </c>
      <c r="E2171" t="s">
        <v>20194</v>
      </c>
      <c r="F2171" t="s">
        <v>31362</v>
      </c>
      <c r="G2171" t="s">
        <v>31368</v>
      </c>
      <c r="H2171" t="s">
        <v>15799</v>
      </c>
      <c r="I2171" t="s">
        <v>4057</v>
      </c>
      <c r="J2171" t="s">
        <v>33025</v>
      </c>
      <c r="K2171" t="s">
        <v>40697</v>
      </c>
      <c r="M2171" t="s">
        <v>41839</v>
      </c>
      <c r="N2171" t="s">
        <v>44905</v>
      </c>
      <c r="O2171" t="s">
        <v>44906</v>
      </c>
      <c r="P2171">
        <v>0</v>
      </c>
      <c r="Q2171">
        <v>0</v>
      </c>
      <c r="R2171" t="s">
        <v>44907</v>
      </c>
      <c r="S2171" t="s">
        <v>45026</v>
      </c>
      <c r="T2171" t="s">
        <v>46409</v>
      </c>
      <c r="U2171" t="s">
        <v>48723</v>
      </c>
      <c r="V2171" t="s">
        <v>59277</v>
      </c>
      <c r="W2171" t="s">
        <v>41839</v>
      </c>
      <c r="X2171" t="s">
        <v>44908</v>
      </c>
    </row>
    <row r="2172" spans="1:24">
      <c r="A2172">
        <f>HYPERLINK("https://www.philgeps.gov.ph/GEPSNONPILOT/Tender/SplashBidNoticeAbstractUI.aspx?menuIndex=3&amp;refID=7084368&amp;Result=3","7084368")</f>
        <v>0</v>
      </c>
      <c r="B2172" t="s">
        <v>863</v>
      </c>
      <c r="C2172" t="s">
        <v>5613</v>
      </c>
      <c r="D2172" t="s">
        <v>18113</v>
      </c>
      <c r="E2172" t="s">
        <v>20195</v>
      </c>
      <c r="F2172" t="s">
        <v>31362</v>
      </c>
      <c r="G2172" t="s">
        <v>31368</v>
      </c>
      <c r="H2172" t="s">
        <v>15799</v>
      </c>
      <c r="I2172" t="s">
        <v>4057</v>
      </c>
      <c r="J2172" t="s">
        <v>33026</v>
      </c>
      <c r="K2172" t="s">
        <v>40697</v>
      </c>
      <c r="M2172" t="s">
        <v>41839</v>
      </c>
      <c r="N2172" t="s">
        <v>44905</v>
      </c>
      <c r="O2172" t="s">
        <v>44906</v>
      </c>
      <c r="P2172">
        <v>0</v>
      </c>
      <c r="Q2172">
        <v>0</v>
      </c>
      <c r="R2172" t="s">
        <v>44907</v>
      </c>
      <c r="S2172" t="s">
        <v>45026</v>
      </c>
      <c r="T2172" t="s">
        <v>46409</v>
      </c>
      <c r="U2172" t="s">
        <v>48724</v>
      </c>
      <c r="V2172" t="s">
        <v>59277</v>
      </c>
      <c r="W2172" t="s">
        <v>41839</v>
      </c>
      <c r="X2172" t="s">
        <v>44908</v>
      </c>
    </row>
    <row r="2173" spans="1:24">
      <c r="A2173">
        <f>HYPERLINK("https://www.philgeps.gov.ph/GEPSNONPILOT/Tender/SplashBidNoticeAbstractUI.aspx?menuIndex=3&amp;refID=7084367&amp;Result=3","7084367")</f>
        <v>0</v>
      </c>
      <c r="B2173" t="s">
        <v>860</v>
      </c>
      <c r="C2173" t="s">
        <v>5614</v>
      </c>
      <c r="D2173" t="s">
        <v>18166</v>
      </c>
      <c r="E2173" t="s">
        <v>20196</v>
      </c>
      <c r="F2173" t="s">
        <v>31362</v>
      </c>
      <c r="G2173" t="s">
        <v>31369</v>
      </c>
      <c r="H2173" t="s">
        <v>31378</v>
      </c>
      <c r="I2173" t="s">
        <v>31386</v>
      </c>
      <c r="J2173" t="s">
        <v>33027</v>
      </c>
      <c r="K2173" t="s">
        <v>40725</v>
      </c>
      <c r="M2173" t="s">
        <v>41836</v>
      </c>
      <c r="N2173" t="s">
        <v>44905</v>
      </c>
      <c r="O2173" t="s">
        <v>44906</v>
      </c>
      <c r="P2173">
        <v>0</v>
      </c>
      <c r="Q2173">
        <v>0</v>
      </c>
      <c r="R2173" t="s">
        <v>44907</v>
      </c>
      <c r="S2173" t="s">
        <v>45026</v>
      </c>
      <c r="T2173" t="s">
        <v>46607</v>
      </c>
      <c r="U2173" t="s">
        <v>48703</v>
      </c>
      <c r="V2173" t="s">
        <v>59275</v>
      </c>
      <c r="W2173" t="s">
        <v>41836</v>
      </c>
      <c r="X2173" t="s">
        <v>44908</v>
      </c>
    </row>
    <row r="2174" spans="1:24">
      <c r="A2174">
        <f>HYPERLINK("https://www.philgeps.gov.ph/GEPSNONPILOT/Tender/SplashBidNoticeAbstractUI.aspx?menuIndex=3&amp;refID=7084369&amp;Result=3","7084369")</f>
        <v>0</v>
      </c>
      <c r="B2174" t="s">
        <v>439</v>
      </c>
      <c r="C2174" t="s">
        <v>5615</v>
      </c>
      <c r="D2174" t="s">
        <v>18115</v>
      </c>
      <c r="E2174" t="s">
        <v>20197</v>
      </c>
      <c r="F2174" t="s">
        <v>31362</v>
      </c>
      <c r="G2174" t="s">
        <v>31369</v>
      </c>
      <c r="H2174" t="s">
        <v>15799</v>
      </c>
      <c r="I2174" t="s">
        <v>31409</v>
      </c>
      <c r="J2174" t="s">
        <v>33028</v>
      </c>
      <c r="K2174" t="s">
        <v>40665</v>
      </c>
      <c r="M2174" t="s">
        <v>41391</v>
      </c>
      <c r="N2174" t="s">
        <v>44905</v>
      </c>
      <c r="O2174" t="s">
        <v>44906</v>
      </c>
      <c r="P2174">
        <v>0</v>
      </c>
      <c r="Q2174">
        <v>2</v>
      </c>
      <c r="R2174" t="s">
        <v>44907</v>
      </c>
      <c r="S2174" t="s">
        <v>45026</v>
      </c>
      <c r="T2174" t="s">
        <v>46557</v>
      </c>
      <c r="U2174" t="s">
        <v>48725</v>
      </c>
      <c r="V2174" t="s">
        <v>59273</v>
      </c>
      <c r="W2174" t="s">
        <v>41391</v>
      </c>
      <c r="X2174" t="s">
        <v>44908</v>
      </c>
    </row>
    <row r="2175" spans="1:24">
      <c r="A2175">
        <f>HYPERLINK("https://www.philgeps.gov.ph/GEPSNONPILOT/Tender/SplashBidNoticeAbstractUI.aspx?menuIndex=3&amp;refID=7084390&amp;Result=3","7084390")</f>
        <v>0</v>
      </c>
      <c r="B2175" t="s">
        <v>863</v>
      </c>
      <c r="C2175" t="s">
        <v>5616</v>
      </c>
      <c r="D2175" t="s">
        <v>18113</v>
      </c>
      <c r="E2175" t="s">
        <v>20198</v>
      </c>
      <c r="F2175" t="s">
        <v>31362</v>
      </c>
      <c r="G2175" t="s">
        <v>31368</v>
      </c>
      <c r="H2175" t="s">
        <v>15799</v>
      </c>
      <c r="I2175" t="s">
        <v>31424</v>
      </c>
      <c r="J2175" t="s">
        <v>32356</v>
      </c>
      <c r="K2175" t="s">
        <v>40697</v>
      </c>
      <c r="M2175" t="s">
        <v>41839</v>
      </c>
      <c r="N2175" t="s">
        <v>44905</v>
      </c>
      <c r="O2175" t="s">
        <v>44906</v>
      </c>
      <c r="P2175">
        <v>0</v>
      </c>
      <c r="Q2175">
        <v>0</v>
      </c>
      <c r="R2175" t="s">
        <v>44907</v>
      </c>
      <c r="S2175" t="s">
        <v>45026</v>
      </c>
      <c r="T2175" t="s">
        <v>46409</v>
      </c>
      <c r="U2175" t="s">
        <v>48726</v>
      </c>
      <c r="V2175" t="s">
        <v>59277</v>
      </c>
      <c r="W2175" t="s">
        <v>41839</v>
      </c>
      <c r="X2175" t="s">
        <v>44908</v>
      </c>
    </row>
    <row r="2176" spans="1:24">
      <c r="A2176">
        <f>HYPERLINK("https://www.philgeps.gov.ph/GEPSNONPILOT/Tender/SplashBidNoticeAbstractUI.aspx?menuIndex=3&amp;refID=7084406&amp;Result=3","7084406")</f>
        <v>0</v>
      </c>
      <c r="B2176" t="s">
        <v>863</v>
      </c>
      <c r="C2176" t="s">
        <v>5617</v>
      </c>
      <c r="D2176" t="s">
        <v>18113</v>
      </c>
      <c r="E2176" t="s">
        <v>20199</v>
      </c>
      <c r="F2176" t="s">
        <v>31362</v>
      </c>
      <c r="G2176" t="s">
        <v>31368</v>
      </c>
      <c r="H2176" t="s">
        <v>15799</v>
      </c>
      <c r="I2176" t="s">
        <v>31393</v>
      </c>
      <c r="J2176" t="s">
        <v>31943</v>
      </c>
      <c r="K2176" t="s">
        <v>40661</v>
      </c>
      <c r="M2176" t="s">
        <v>41839</v>
      </c>
      <c r="N2176" t="s">
        <v>44905</v>
      </c>
      <c r="O2176" t="s">
        <v>44906</v>
      </c>
      <c r="P2176">
        <v>0</v>
      </c>
      <c r="Q2176">
        <v>0</v>
      </c>
      <c r="R2176" t="s">
        <v>44907</v>
      </c>
      <c r="S2176" t="s">
        <v>45026</v>
      </c>
      <c r="T2176" t="s">
        <v>46409</v>
      </c>
      <c r="U2176" t="s">
        <v>48727</v>
      </c>
      <c r="V2176" t="s">
        <v>59277</v>
      </c>
      <c r="W2176" t="s">
        <v>41839</v>
      </c>
      <c r="X2176" t="s">
        <v>44908</v>
      </c>
    </row>
    <row r="2177" spans="1:24">
      <c r="A2177">
        <f>HYPERLINK("https://www.philgeps.gov.ph/GEPSNONPILOT/Tender/SplashBidNoticeAbstractUI.aspx?menuIndex=3&amp;refID=7084405&amp;Result=3","7084405")</f>
        <v>0</v>
      </c>
      <c r="B2177" t="s">
        <v>870</v>
      </c>
      <c r="C2177" t="s">
        <v>5618</v>
      </c>
      <c r="D2177" t="s">
        <v>18157</v>
      </c>
      <c r="E2177" t="s">
        <v>19989</v>
      </c>
      <c r="F2177" t="s">
        <v>31362</v>
      </c>
      <c r="G2177" t="s">
        <v>31369</v>
      </c>
      <c r="H2177" t="s">
        <v>15799</v>
      </c>
      <c r="I2177" t="s">
        <v>31384</v>
      </c>
      <c r="J2177" t="s">
        <v>33029</v>
      </c>
      <c r="K2177" t="s">
        <v>40665</v>
      </c>
      <c r="M2177" t="s">
        <v>41846</v>
      </c>
      <c r="N2177" t="s">
        <v>44905</v>
      </c>
      <c r="O2177" t="s">
        <v>44906</v>
      </c>
      <c r="P2177">
        <v>0</v>
      </c>
      <c r="Q2177">
        <v>1</v>
      </c>
      <c r="R2177" t="s">
        <v>44907</v>
      </c>
      <c r="S2177" t="s">
        <v>45026</v>
      </c>
      <c r="T2177" t="s">
        <v>46449</v>
      </c>
      <c r="U2177" t="s">
        <v>48728</v>
      </c>
      <c r="V2177" t="s">
        <v>59279</v>
      </c>
      <c r="W2177" t="s">
        <v>41846</v>
      </c>
      <c r="X2177" t="s">
        <v>44908</v>
      </c>
    </row>
    <row r="2178" spans="1:24">
      <c r="A2178">
        <f>HYPERLINK("https://www.philgeps.gov.ph/GEPSNONPILOT/Tender/SplashBidNoticeAbstractUI.aspx?menuIndex=3&amp;refID=7084377&amp;Result=3","7084377")</f>
        <v>0</v>
      </c>
      <c r="B2178" t="s">
        <v>870</v>
      </c>
      <c r="C2178" t="s">
        <v>5619</v>
      </c>
      <c r="D2178" t="s">
        <v>18157</v>
      </c>
      <c r="E2178" t="s">
        <v>20200</v>
      </c>
      <c r="F2178" t="s">
        <v>31362</v>
      </c>
      <c r="G2178" t="s">
        <v>31369</v>
      </c>
      <c r="H2178" t="s">
        <v>15799</v>
      </c>
      <c r="I2178" t="s">
        <v>31385</v>
      </c>
      <c r="J2178" t="s">
        <v>33030</v>
      </c>
      <c r="K2178" t="s">
        <v>40665</v>
      </c>
      <c r="M2178" t="s">
        <v>41846</v>
      </c>
      <c r="N2178" t="s">
        <v>44905</v>
      </c>
      <c r="O2178" t="s">
        <v>44906</v>
      </c>
      <c r="P2178">
        <v>0</v>
      </c>
      <c r="Q2178">
        <v>3</v>
      </c>
      <c r="R2178" t="s">
        <v>44907</v>
      </c>
      <c r="S2178" t="s">
        <v>45026</v>
      </c>
      <c r="T2178" t="s">
        <v>46449</v>
      </c>
      <c r="U2178" t="s">
        <v>48729</v>
      </c>
      <c r="V2178" t="s">
        <v>59280</v>
      </c>
      <c r="W2178" t="s">
        <v>41846</v>
      </c>
      <c r="X2178" t="s">
        <v>44908</v>
      </c>
    </row>
    <row r="2179" spans="1:24">
      <c r="A2179">
        <f>HYPERLINK("https://www.philgeps.gov.ph/GEPSNONPILOT/Tender/SplashBidNoticeAbstractUI.aspx?menuIndex=3&amp;refID=7084365&amp;Result=3","7084365")</f>
        <v>0</v>
      </c>
      <c r="B2179" t="s">
        <v>869</v>
      </c>
      <c r="C2179" t="s">
        <v>5620</v>
      </c>
      <c r="D2179" t="s">
        <v>18136</v>
      </c>
      <c r="E2179" t="s">
        <v>20201</v>
      </c>
      <c r="F2179" t="s">
        <v>31362</v>
      </c>
      <c r="G2179" t="s">
        <v>31368</v>
      </c>
      <c r="H2179" t="s">
        <v>15799</v>
      </c>
      <c r="I2179" t="s">
        <v>31404</v>
      </c>
      <c r="J2179" t="s">
        <v>33031</v>
      </c>
      <c r="K2179" t="s">
        <v>40662</v>
      </c>
      <c r="M2179" t="s">
        <v>41845</v>
      </c>
      <c r="N2179" t="s">
        <v>44905</v>
      </c>
      <c r="O2179" t="s">
        <v>44906</v>
      </c>
      <c r="P2179">
        <v>0</v>
      </c>
      <c r="Q2179">
        <v>0</v>
      </c>
      <c r="R2179" t="s">
        <v>44907</v>
      </c>
      <c r="S2179" t="s">
        <v>45026</v>
      </c>
      <c r="T2179" t="s">
        <v>46432</v>
      </c>
      <c r="U2179" t="s">
        <v>48730</v>
      </c>
      <c r="W2179" t="s">
        <v>41845</v>
      </c>
      <c r="X2179" t="s">
        <v>44908</v>
      </c>
    </row>
    <row r="2180" spans="1:24">
      <c r="A2180">
        <f>HYPERLINK("https://www.philgeps.gov.ph/GEPSNONPILOT/Tender/SplashBidNoticeAbstractUI.aspx?menuIndex=3&amp;refID=7084415&amp;Result=3","7084415")</f>
        <v>0</v>
      </c>
      <c r="B2180" t="s">
        <v>430</v>
      </c>
      <c r="C2180" t="s">
        <v>5621</v>
      </c>
      <c r="D2180" t="s">
        <v>18112</v>
      </c>
      <c r="E2180" t="s">
        <v>20202</v>
      </c>
      <c r="F2180" t="s">
        <v>31362</v>
      </c>
      <c r="G2180" t="s">
        <v>31371</v>
      </c>
      <c r="H2180" t="s">
        <v>15799</v>
      </c>
      <c r="I2180" t="s">
        <v>31395</v>
      </c>
      <c r="J2180" t="s">
        <v>32343</v>
      </c>
      <c r="K2180" t="s">
        <v>40665</v>
      </c>
      <c r="M2180" t="s">
        <v>41381</v>
      </c>
      <c r="N2180" t="s">
        <v>44905</v>
      </c>
      <c r="O2180" t="s">
        <v>44906</v>
      </c>
      <c r="P2180">
        <v>0</v>
      </c>
      <c r="Q2180">
        <v>2</v>
      </c>
      <c r="R2180" t="s">
        <v>44907</v>
      </c>
      <c r="S2180" t="s">
        <v>45026</v>
      </c>
      <c r="T2180" t="s">
        <v>46397</v>
      </c>
      <c r="U2180" t="s">
        <v>48731</v>
      </c>
      <c r="V2180" t="s">
        <v>59166</v>
      </c>
      <c r="W2180" t="s">
        <v>41381</v>
      </c>
      <c r="X2180" t="s">
        <v>44908</v>
      </c>
    </row>
    <row r="2181" spans="1:24">
      <c r="A2181">
        <f>HYPERLINK("https://www.philgeps.gov.ph/GEPSNONPILOT/Tender/SplashBidNoticeAbstractUI.aspx?menuIndex=3&amp;refID=7084414&amp;Result=3","7084414")</f>
        <v>0</v>
      </c>
      <c r="B2181" t="s">
        <v>863</v>
      </c>
      <c r="C2181" t="s">
        <v>5622</v>
      </c>
      <c r="D2181" t="s">
        <v>18113</v>
      </c>
      <c r="E2181" t="s">
        <v>20203</v>
      </c>
      <c r="F2181" t="s">
        <v>31362</v>
      </c>
      <c r="G2181" t="s">
        <v>31368</v>
      </c>
      <c r="H2181" t="s">
        <v>15799</v>
      </c>
      <c r="I2181" t="s">
        <v>4057</v>
      </c>
      <c r="J2181" t="s">
        <v>33032</v>
      </c>
      <c r="K2181" t="s">
        <v>40697</v>
      </c>
      <c r="M2181" t="s">
        <v>41839</v>
      </c>
      <c r="N2181" t="s">
        <v>44905</v>
      </c>
      <c r="O2181" t="s">
        <v>44906</v>
      </c>
      <c r="P2181">
        <v>0</v>
      </c>
      <c r="Q2181">
        <v>0</v>
      </c>
      <c r="R2181" t="s">
        <v>44907</v>
      </c>
      <c r="S2181" t="s">
        <v>45026</v>
      </c>
      <c r="T2181" t="s">
        <v>46409</v>
      </c>
      <c r="U2181" t="s">
        <v>48732</v>
      </c>
      <c r="V2181" t="s">
        <v>59277</v>
      </c>
      <c r="W2181" t="s">
        <v>41839</v>
      </c>
      <c r="X2181" t="s">
        <v>44908</v>
      </c>
    </row>
    <row r="2182" spans="1:24">
      <c r="A2182">
        <f>HYPERLINK("https://www.philgeps.gov.ph/GEPSNONPILOT/Tender/SplashBidNoticeAbstractUI.aspx?menuIndex=3&amp;refID=7084412&amp;Result=3","7084412")</f>
        <v>0</v>
      </c>
      <c r="B2182" t="s">
        <v>870</v>
      </c>
      <c r="C2182" t="s">
        <v>5623</v>
      </c>
      <c r="D2182" t="s">
        <v>18157</v>
      </c>
      <c r="E2182" t="s">
        <v>20204</v>
      </c>
      <c r="F2182" t="s">
        <v>31362</v>
      </c>
      <c r="G2182" t="s">
        <v>31369</v>
      </c>
      <c r="H2182" t="s">
        <v>15799</v>
      </c>
      <c r="I2182" t="s">
        <v>31436</v>
      </c>
      <c r="J2182" t="s">
        <v>33033</v>
      </c>
      <c r="K2182" t="s">
        <v>40745</v>
      </c>
      <c r="M2182" t="s">
        <v>41846</v>
      </c>
      <c r="N2182" t="s">
        <v>44905</v>
      </c>
      <c r="O2182" t="s">
        <v>44906</v>
      </c>
      <c r="P2182">
        <v>0</v>
      </c>
      <c r="Q2182">
        <v>0</v>
      </c>
      <c r="R2182" t="s">
        <v>44907</v>
      </c>
      <c r="S2182" t="s">
        <v>45026</v>
      </c>
      <c r="T2182" t="s">
        <v>46535</v>
      </c>
      <c r="U2182" t="s">
        <v>48733</v>
      </c>
      <c r="V2182" t="s">
        <v>59281</v>
      </c>
      <c r="W2182" t="s">
        <v>41846</v>
      </c>
      <c r="X2182" t="s">
        <v>44908</v>
      </c>
    </row>
    <row r="2183" spans="1:24">
      <c r="A2183">
        <f>HYPERLINK("https://www.philgeps.gov.ph/GEPSNONPILOT/Tender/SplashBidNoticeAbstractUI.aspx?menuIndex=3&amp;refID=7084411&amp;Result=3","7084411")</f>
        <v>0</v>
      </c>
      <c r="B2183" t="s">
        <v>430</v>
      </c>
      <c r="C2183" t="s">
        <v>5624</v>
      </c>
      <c r="D2183" t="s">
        <v>18112</v>
      </c>
      <c r="E2183" t="s">
        <v>20205</v>
      </c>
      <c r="F2183" t="s">
        <v>31362</v>
      </c>
      <c r="G2183" t="s">
        <v>31368</v>
      </c>
      <c r="H2183" t="s">
        <v>15799</v>
      </c>
      <c r="I2183" t="s">
        <v>31444</v>
      </c>
      <c r="J2183" t="s">
        <v>32391</v>
      </c>
      <c r="K2183" t="s">
        <v>40665</v>
      </c>
      <c r="M2183" t="s">
        <v>41381</v>
      </c>
      <c r="N2183" t="s">
        <v>44905</v>
      </c>
      <c r="O2183" t="s">
        <v>44906</v>
      </c>
      <c r="P2183">
        <v>0</v>
      </c>
      <c r="Q2183">
        <v>1</v>
      </c>
      <c r="R2183" t="s">
        <v>44907</v>
      </c>
      <c r="S2183" t="s">
        <v>45026</v>
      </c>
      <c r="T2183" t="s">
        <v>46397</v>
      </c>
      <c r="U2183" t="s">
        <v>48734</v>
      </c>
      <c r="V2183" t="s">
        <v>59166</v>
      </c>
      <c r="W2183" t="s">
        <v>41381</v>
      </c>
      <c r="X2183" t="s">
        <v>44908</v>
      </c>
    </row>
    <row r="2184" spans="1:24">
      <c r="A2184">
        <f>HYPERLINK("https://www.philgeps.gov.ph/GEPSNONPILOT/Tender/SplashBidNoticeAbstractUI.aspx?menuIndex=3&amp;refID=7084410&amp;Result=3","7084410")</f>
        <v>0</v>
      </c>
      <c r="B2184" t="s">
        <v>871</v>
      </c>
      <c r="C2184" t="s">
        <v>5625</v>
      </c>
      <c r="D2184" t="s">
        <v>18144</v>
      </c>
      <c r="E2184" t="s">
        <v>20206</v>
      </c>
      <c r="F2184" t="s">
        <v>31362</v>
      </c>
      <c r="G2184" t="s">
        <v>31368</v>
      </c>
      <c r="H2184" t="s">
        <v>15799</v>
      </c>
      <c r="I2184" t="s">
        <v>31384</v>
      </c>
      <c r="J2184" t="s">
        <v>33034</v>
      </c>
      <c r="K2184" t="s">
        <v>40665</v>
      </c>
      <c r="M2184" t="s">
        <v>41847</v>
      </c>
      <c r="N2184" t="s">
        <v>44905</v>
      </c>
      <c r="O2184" t="s">
        <v>44906</v>
      </c>
      <c r="P2184">
        <v>0</v>
      </c>
      <c r="Q2184">
        <v>3</v>
      </c>
      <c r="R2184" t="s">
        <v>44907</v>
      </c>
      <c r="S2184" t="s">
        <v>45026</v>
      </c>
      <c r="T2184" t="s">
        <v>46432</v>
      </c>
      <c r="U2184" t="s">
        <v>48735</v>
      </c>
      <c r="V2184" t="s">
        <v>59282</v>
      </c>
      <c r="W2184" t="s">
        <v>41847</v>
      </c>
      <c r="X2184" t="s">
        <v>44908</v>
      </c>
    </row>
    <row r="2185" spans="1:24">
      <c r="A2185">
        <f>HYPERLINK("https://www.philgeps.gov.ph/GEPSNONPILOT/Tender/SplashBidNoticeAbstractUI.aspx?menuIndex=3&amp;refID=7084320&amp;Result=3","7084320")</f>
        <v>0</v>
      </c>
      <c r="B2185" t="s">
        <v>872</v>
      </c>
      <c r="C2185" t="s">
        <v>5626</v>
      </c>
      <c r="D2185" t="s">
        <v>18134</v>
      </c>
      <c r="E2185" t="s">
        <v>20207</v>
      </c>
      <c r="F2185" t="s">
        <v>31362</v>
      </c>
      <c r="G2185" t="s">
        <v>31368</v>
      </c>
      <c r="H2185" t="s">
        <v>15799</v>
      </c>
      <c r="I2185" t="s">
        <v>31387</v>
      </c>
      <c r="J2185" t="s">
        <v>33035</v>
      </c>
      <c r="K2185" t="s">
        <v>40666</v>
      </c>
      <c r="M2185" t="s">
        <v>41848</v>
      </c>
      <c r="N2185" t="s">
        <v>44905</v>
      </c>
      <c r="O2185" t="s">
        <v>44906</v>
      </c>
      <c r="P2185">
        <v>0</v>
      </c>
      <c r="Q2185">
        <v>1</v>
      </c>
      <c r="R2185" t="s">
        <v>44907</v>
      </c>
      <c r="S2185" t="s">
        <v>45026</v>
      </c>
      <c r="T2185" t="s">
        <v>46432</v>
      </c>
      <c r="U2185" t="s">
        <v>48736</v>
      </c>
      <c r="W2185" t="s">
        <v>41848</v>
      </c>
      <c r="X2185" t="s">
        <v>44908</v>
      </c>
    </row>
    <row r="2186" spans="1:24">
      <c r="A2186">
        <f>HYPERLINK("https://www.philgeps.gov.ph/GEPSNONPILOT/Tender/SplashBidNoticeAbstractUI.aspx?menuIndex=3&amp;refID=7084409&amp;Result=3","7084409")</f>
        <v>0</v>
      </c>
      <c r="B2186" t="s">
        <v>863</v>
      </c>
      <c r="C2186" t="s">
        <v>5627</v>
      </c>
      <c r="D2186" t="s">
        <v>18113</v>
      </c>
      <c r="E2186" t="s">
        <v>20208</v>
      </c>
      <c r="F2186" t="s">
        <v>31362</v>
      </c>
      <c r="G2186" t="s">
        <v>31368</v>
      </c>
      <c r="H2186" t="s">
        <v>15799</v>
      </c>
      <c r="I2186" t="s">
        <v>4057</v>
      </c>
      <c r="J2186" t="s">
        <v>33036</v>
      </c>
      <c r="K2186" t="s">
        <v>40697</v>
      </c>
      <c r="M2186" t="s">
        <v>41839</v>
      </c>
      <c r="N2186" t="s">
        <v>44905</v>
      </c>
      <c r="O2186" t="s">
        <v>44906</v>
      </c>
      <c r="P2186">
        <v>0</v>
      </c>
      <c r="Q2186">
        <v>0</v>
      </c>
      <c r="R2186" t="s">
        <v>44907</v>
      </c>
      <c r="S2186" t="s">
        <v>45026</v>
      </c>
      <c r="T2186" t="s">
        <v>46409</v>
      </c>
      <c r="U2186" t="s">
        <v>48737</v>
      </c>
      <c r="V2186" t="s">
        <v>59277</v>
      </c>
      <c r="W2186" t="s">
        <v>41839</v>
      </c>
      <c r="X2186" t="s">
        <v>44908</v>
      </c>
    </row>
    <row r="2187" spans="1:24">
      <c r="A2187">
        <f>HYPERLINK("https://www.philgeps.gov.ph/GEPSNONPILOT/Tender/SplashBidNoticeAbstractUI.aspx?menuIndex=3&amp;refID=7084407&amp;Result=3","7084407")</f>
        <v>0</v>
      </c>
      <c r="B2187" t="s">
        <v>873</v>
      </c>
      <c r="C2187" t="s">
        <v>5628</v>
      </c>
      <c r="D2187" t="s">
        <v>18116</v>
      </c>
      <c r="E2187" t="s">
        <v>20209</v>
      </c>
      <c r="F2187" t="s">
        <v>31362</v>
      </c>
      <c r="G2187" t="s">
        <v>31369</v>
      </c>
      <c r="H2187" t="s">
        <v>31377</v>
      </c>
      <c r="I2187" t="s">
        <v>31377</v>
      </c>
      <c r="J2187" t="s">
        <v>33037</v>
      </c>
      <c r="K2187" t="s">
        <v>40746</v>
      </c>
      <c r="L2187" t="s">
        <v>873</v>
      </c>
      <c r="M2187" t="s">
        <v>41849</v>
      </c>
      <c r="N2187" t="s">
        <v>44905</v>
      </c>
      <c r="O2187" t="s">
        <v>44906</v>
      </c>
      <c r="P2187">
        <v>0</v>
      </c>
      <c r="Q2187">
        <v>0</v>
      </c>
      <c r="R2187" t="s">
        <v>44907</v>
      </c>
      <c r="S2187" t="s">
        <v>45026</v>
      </c>
      <c r="T2187" t="s">
        <v>46441</v>
      </c>
      <c r="U2187" t="s">
        <v>48738</v>
      </c>
      <c r="W2187" t="s">
        <v>41849</v>
      </c>
      <c r="X2187" t="s">
        <v>44908</v>
      </c>
    </row>
    <row r="2188" spans="1:24">
      <c r="A2188">
        <f>HYPERLINK("https://www.philgeps.gov.ph/GEPSNONPILOT/Tender/SplashBidNoticeAbstractUI.aspx?menuIndex=3&amp;refID=7084404&amp;Result=3","7084404")</f>
        <v>0</v>
      </c>
      <c r="B2188" t="s">
        <v>430</v>
      </c>
      <c r="C2188" t="s">
        <v>5629</v>
      </c>
      <c r="D2188" t="s">
        <v>18112</v>
      </c>
      <c r="E2188" t="s">
        <v>20210</v>
      </c>
      <c r="F2188" t="s">
        <v>31362</v>
      </c>
      <c r="G2188" t="s">
        <v>31368</v>
      </c>
      <c r="H2188" t="s">
        <v>15799</v>
      </c>
      <c r="I2188" t="s">
        <v>3582</v>
      </c>
      <c r="J2188" t="s">
        <v>31532</v>
      </c>
      <c r="K2188" t="s">
        <v>40665</v>
      </c>
      <c r="M2188" t="s">
        <v>41381</v>
      </c>
      <c r="N2188" t="s">
        <v>44905</v>
      </c>
      <c r="O2188" t="s">
        <v>44906</v>
      </c>
      <c r="P2188">
        <v>0</v>
      </c>
      <c r="Q2188">
        <v>0</v>
      </c>
      <c r="R2188" t="s">
        <v>44907</v>
      </c>
      <c r="S2188" t="s">
        <v>45026</v>
      </c>
      <c r="T2188" t="s">
        <v>46397</v>
      </c>
      <c r="U2188" t="s">
        <v>48739</v>
      </c>
      <c r="V2188" t="s">
        <v>59166</v>
      </c>
      <c r="W2188" t="s">
        <v>41381</v>
      </c>
      <c r="X2188" t="s">
        <v>44908</v>
      </c>
    </row>
    <row r="2189" spans="1:24">
      <c r="A2189">
        <f>HYPERLINK("https://www.philgeps.gov.ph/GEPSNONPILOT/Tender/SplashBidNoticeAbstractUI.aspx?menuIndex=3&amp;refID=7084400&amp;Result=3","7084400")</f>
        <v>0</v>
      </c>
      <c r="B2189" t="s">
        <v>863</v>
      </c>
      <c r="C2189" t="s">
        <v>5617</v>
      </c>
      <c r="D2189" t="s">
        <v>18113</v>
      </c>
      <c r="E2189" t="s">
        <v>20211</v>
      </c>
      <c r="F2189" t="s">
        <v>31362</v>
      </c>
      <c r="G2189" t="s">
        <v>31368</v>
      </c>
      <c r="H2189" t="s">
        <v>15799</v>
      </c>
      <c r="I2189" t="s">
        <v>31385</v>
      </c>
      <c r="J2189" t="s">
        <v>33038</v>
      </c>
      <c r="K2189" t="s">
        <v>40661</v>
      </c>
      <c r="M2189" t="s">
        <v>41839</v>
      </c>
      <c r="N2189" t="s">
        <v>44905</v>
      </c>
      <c r="O2189" t="s">
        <v>44906</v>
      </c>
      <c r="P2189">
        <v>0</v>
      </c>
      <c r="Q2189">
        <v>0</v>
      </c>
      <c r="R2189" t="s">
        <v>44907</v>
      </c>
      <c r="S2189" t="s">
        <v>45026</v>
      </c>
      <c r="T2189" t="s">
        <v>46409</v>
      </c>
      <c r="U2189" t="s">
        <v>48740</v>
      </c>
      <c r="V2189" t="s">
        <v>59277</v>
      </c>
      <c r="W2189" t="s">
        <v>41839</v>
      </c>
      <c r="X2189" t="s">
        <v>44908</v>
      </c>
    </row>
    <row r="2190" spans="1:24">
      <c r="A2190">
        <f>HYPERLINK("https://www.philgeps.gov.ph/GEPSNONPILOT/Tender/SplashBidNoticeAbstractUI.aspx?menuIndex=3&amp;refID=7084398&amp;Result=3","7084398")</f>
        <v>0</v>
      </c>
      <c r="B2190" t="s">
        <v>430</v>
      </c>
      <c r="C2190" t="s">
        <v>5630</v>
      </c>
      <c r="D2190" t="s">
        <v>18112</v>
      </c>
      <c r="E2190" t="s">
        <v>20212</v>
      </c>
      <c r="F2190" t="s">
        <v>31362</v>
      </c>
      <c r="G2190" t="s">
        <v>31368</v>
      </c>
      <c r="H2190" t="s">
        <v>15799</v>
      </c>
      <c r="I2190" t="s">
        <v>3582</v>
      </c>
      <c r="J2190" t="s">
        <v>31591</v>
      </c>
      <c r="K2190" t="s">
        <v>40665</v>
      </c>
      <c r="M2190" t="s">
        <v>41381</v>
      </c>
      <c r="N2190" t="s">
        <v>44905</v>
      </c>
      <c r="O2190" t="s">
        <v>44906</v>
      </c>
      <c r="P2190">
        <v>0</v>
      </c>
      <c r="Q2190">
        <v>1</v>
      </c>
      <c r="R2190" t="s">
        <v>44907</v>
      </c>
      <c r="S2190" t="s">
        <v>45026</v>
      </c>
      <c r="T2190" t="s">
        <v>46397</v>
      </c>
      <c r="U2190" t="s">
        <v>48741</v>
      </c>
      <c r="V2190" t="s">
        <v>59166</v>
      </c>
      <c r="W2190" t="s">
        <v>41381</v>
      </c>
      <c r="X2190" t="s">
        <v>44908</v>
      </c>
    </row>
    <row r="2191" spans="1:24">
      <c r="A2191">
        <f>HYPERLINK("https://www.philgeps.gov.ph/GEPSNONPILOT/Tender/SplashBidNoticeAbstractUI.aspx?menuIndex=3&amp;refID=7084397&amp;Result=3","7084397")</f>
        <v>0</v>
      </c>
      <c r="B2191" t="s">
        <v>874</v>
      </c>
      <c r="C2191" t="s">
        <v>5631</v>
      </c>
      <c r="D2191" t="s">
        <v>18108</v>
      </c>
      <c r="E2191" t="s">
        <v>18498</v>
      </c>
      <c r="F2191" t="s">
        <v>31362</v>
      </c>
      <c r="G2191" t="s">
        <v>31368</v>
      </c>
      <c r="H2191" t="s">
        <v>15799</v>
      </c>
      <c r="I2191" t="s">
        <v>31384</v>
      </c>
      <c r="J2191" t="s">
        <v>33039</v>
      </c>
      <c r="K2191" t="s">
        <v>40662</v>
      </c>
      <c r="M2191" t="s">
        <v>41850</v>
      </c>
      <c r="N2191" t="s">
        <v>44905</v>
      </c>
      <c r="O2191" t="s">
        <v>44906</v>
      </c>
      <c r="P2191">
        <v>0</v>
      </c>
      <c r="Q2191">
        <v>4</v>
      </c>
      <c r="R2191" t="s">
        <v>44907</v>
      </c>
      <c r="S2191" t="s">
        <v>45026</v>
      </c>
      <c r="T2191" t="s">
        <v>46432</v>
      </c>
      <c r="U2191" t="s">
        <v>48742</v>
      </c>
      <c r="W2191" t="s">
        <v>60870</v>
      </c>
      <c r="X2191" t="s">
        <v>44908</v>
      </c>
    </row>
    <row r="2192" spans="1:24">
      <c r="A2192">
        <f>HYPERLINK("https://www.philgeps.gov.ph/GEPSNONPILOT/Tender/SplashBidNoticeAbstractUI.aspx?menuIndex=3&amp;refID=7084396&amp;Result=3","7084396")</f>
        <v>0</v>
      </c>
      <c r="B2192" t="s">
        <v>863</v>
      </c>
      <c r="C2192" t="s">
        <v>5632</v>
      </c>
      <c r="D2192" t="s">
        <v>18113</v>
      </c>
      <c r="E2192" t="s">
        <v>20213</v>
      </c>
      <c r="F2192" t="s">
        <v>31362</v>
      </c>
      <c r="G2192" t="s">
        <v>31368</v>
      </c>
      <c r="H2192" t="s">
        <v>15799</v>
      </c>
      <c r="I2192" t="s">
        <v>6155</v>
      </c>
      <c r="J2192" t="s">
        <v>32086</v>
      </c>
      <c r="K2192" t="s">
        <v>40661</v>
      </c>
      <c r="M2192" t="s">
        <v>41839</v>
      </c>
      <c r="N2192" t="s">
        <v>44905</v>
      </c>
      <c r="O2192" t="s">
        <v>44906</v>
      </c>
      <c r="P2192">
        <v>0</v>
      </c>
      <c r="Q2192">
        <v>0</v>
      </c>
      <c r="R2192" t="s">
        <v>44907</v>
      </c>
      <c r="S2192" t="s">
        <v>45026</v>
      </c>
      <c r="T2192" t="s">
        <v>46409</v>
      </c>
      <c r="U2192" t="s">
        <v>48743</v>
      </c>
      <c r="V2192" t="s">
        <v>59277</v>
      </c>
      <c r="W2192" t="s">
        <v>41839</v>
      </c>
      <c r="X2192" t="s">
        <v>44908</v>
      </c>
    </row>
    <row r="2193" spans="1:24">
      <c r="A2193">
        <f>HYPERLINK("https://www.philgeps.gov.ph/GEPSNONPILOT/Tender/SplashBidNoticeAbstractUI.aspx?menuIndex=3&amp;refID=7084395&amp;Result=3","7084395")</f>
        <v>0</v>
      </c>
      <c r="B2193" t="s">
        <v>430</v>
      </c>
      <c r="C2193" t="s">
        <v>5633</v>
      </c>
      <c r="D2193" t="s">
        <v>18112</v>
      </c>
      <c r="E2193" t="s">
        <v>20214</v>
      </c>
      <c r="F2193" t="s">
        <v>31362</v>
      </c>
      <c r="G2193" t="s">
        <v>31371</v>
      </c>
      <c r="H2193" t="s">
        <v>15799</v>
      </c>
      <c r="I2193" t="s">
        <v>6373</v>
      </c>
      <c r="J2193" t="s">
        <v>33040</v>
      </c>
      <c r="K2193" t="s">
        <v>40665</v>
      </c>
      <c r="M2193" t="s">
        <v>41381</v>
      </c>
      <c r="N2193" t="s">
        <v>44905</v>
      </c>
      <c r="O2193" t="s">
        <v>44906</v>
      </c>
      <c r="P2193">
        <v>0</v>
      </c>
      <c r="Q2193">
        <v>0</v>
      </c>
      <c r="R2193" t="s">
        <v>44907</v>
      </c>
      <c r="S2193" t="s">
        <v>45026</v>
      </c>
      <c r="T2193" t="s">
        <v>46397</v>
      </c>
      <c r="U2193" t="s">
        <v>48744</v>
      </c>
      <c r="V2193" t="s">
        <v>59166</v>
      </c>
      <c r="W2193" t="s">
        <v>41381</v>
      </c>
      <c r="X2193" t="s">
        <v>44908</v>
      </c>
    </row>
    <row r="2194" spans="1:24">
      <c r="A2194">
        <f>HYPERLINK("https://www.philgeps.gov.ph/GEPSNONPILOT/Tender/SplashBidNoticeAbstractUI.aspx?menuIndex=3&amp;refID=7084408&amp;Result=3","7084408")</f>
        <v>0</v>
      </c>
      <c r="B2194" t="s">
        <v>430</v>
      </c>
      <c r="C2194" t="s">
        <v>5634</v>
      </c>
      <c r="D2194" t="s">
        <v>18112</v>
      </c>
      <c r="E2194" t="s">
        <v>20215</v>
      </c>
      <c r="F2194" t="s">
        <v>31362</v>
      </c>
      <c r="G2194" t="s">
        <v>31371</v>
      </c>
      <c r="H2194" t="s">
        <v>15799</v>
      </c>
      <c r="I2194" t="s">
        <v>31406</v>
      </c>
      <c r="J2194" t="s">
        <v>33041</v>
      </c>
      <c r="K2194" t="s">
        <v>40665</v>
      </c>
      <c r="M2194" t="s">
        <v>41381</v>
      </c>
      <c r="N2194" t="s">
        <v>44905</v>
      </c>
      <c r="O2194" t="s">
        <v>44906</v>
      </c>
      <c r="P2194">
        <v>0</v>
      </c>
      <c r="Q2194">
        <v>1</v>
      </c>
      <c r="R2194" t="s">
        <v>44907</v>
      </c>
      <c r="S2194" t="s">
        <v>45026</v>
      </c>
      <c r="T2194" t="s">
        <v>46397</v>
      </c>
      <c r="U2194" t="s">
        <v>48745</v>
      </c>
      <c r="V2194" t="s">
        <v>59166</v>
      </c>
      <c r="W2194" t="s">
        <v>41381</v>
      </c>
      <c r="X2194" t="s">
        <v>44908</v>
      </c>
    </row>
    <row r="2195" spans="1:24">
      <c r="A2195">
        <f>HYPERLINK("https://www.philgeps.gov.ph/GEPSNONPILOT/Tender/SplashBidNoticeAbstractUI.aspx?menuIndex=3&amp;refID=7084391&amp;Result=3","7084391")</f>
        <v>0</v>
      </c>
      <c r="B2195" t="s">
        <v>870</v>
      </c>
      <c r="C2195" t="s">
        <v>5635</v>
      </c>
      <c r="D2195" t="s">
        <v>18157</v>
      </c>
      <c r="E2195" t="s">
        <v>20216</v>
      </c>
      <c r="F2195" t="s">
        <v>31362</v>
      </c>
      <c r="G2195" t="s">
        <v>31369</v>
      </c>
      <c r="H2195" t="s">
        <v>15799</v>
      </c>
      <c r="I2195" t="s">
        <v>7188</v>
      </c>
      <c r="J2195" t="s">
        <v>31570</v>
      </c>
      <c r="K2195" t="s">
        <v>40665</v>
      </c>
      <c r="M2195" t="s">
        <v>41846</v>
      </c>
      <c r="N2195" t="s">
        <v>44905</v>
      </c>
      <c r="O2195" t="s">
        <v>44906</v>
      </c>
      <c r="P2195">
        <v>0</v>
      </c>
      <c r="Q2195">
        <v>2</v>
      </c>
      <c r="R2195" t="s">
        <v>44907</v>
      </c>
      <c r="S2195" t="s">
        <v>45026</v>
      </c>
      <c r="T2195" t="s">
        <v>46449</v>
      </c>
      <c r="U2195" t="s">
        <v>48746</v>
      </c>
      <c r="V2195" t="s">
        <v>59283</v>
      </c>
      <c r="W2195" t="s">
        <v>41846</v>
      </c>
      <c r="X2195" t="s">
        <v>44908</v>
      </c>
    </row>
    <row r="2196" spans="1:24">
      <c r="A2196">
        <f>HYPERLINK("https://www.philgeps.gov.ph/GEPSNONPILOT/Tender/SplashBidNoticeAbstractUI.aspx?menuIndex=3&amp;refID=7084418&amp;Result=3","7084418")</f>
        <v>0</v>
      </c>
      <c r="B2196" t="s">
        <v>863</v>
      </c>
      <c r="C2196" t="s">
        <v>5636</v>
      </c>
      <c r="D2196" t="s">
        <v>18113</v>
      </c>
      <c r="E2196" t="s">
        <v>20217</v>
      </c>
      <c r="F2196" t="s">
        <v>31362</v>
      </c>
      <c r="G2196" t="s">
        <v>31368</v>
      </c>
      <c r="H2196" t="s">
        <v>15799</v>
      </c>
      <c r="I2196" t="s">
        <v>4057</v>
      </c>
      <c r="J2196" t="s">
        <v>33042</v>
      </c>
      <c r="K2196" t="s">
        <v>40697</v>
      </c>
      <c r="M2196" t="s">
        <v>41839</v>
      </c>
      <c r="N2196" t="s">
        <v>44905</v>
      </c>
      <c r="O2196" t="s">
        <v>44906</v>
      </c>
      <c r="P2196">
        <v>0</v>
      </c>
      <c r="Q2196">
        <v>0</v>
      </c>
      <c r="R2196" t="s">
        <v>44907</v>
      </c>
      <c r="S2196" t="s">
        <v>45026</v>
      </c>
      <c r="T2196" t="s">
        <v>46409</v>
      </c>
      <c r="U2196" t="s">
        <v>48747</v>
      </c>
      <c r="V2196" t="s">
        <v>59277</v>
      </c>
      <c r="W2196" t="s">
        <v>41839</v>
      </c>
      <c r="X2196" t="s">
        <v>44908</v>
      </c>
    </row>
    <row r="2197" spans="1:24">
      <c r="A2197">
        <f>HYPERLINK("https://www.philgeps.gov.ph/GEPSNONPILOT/Tender/SplashBidNoticeAbstractUI.aspx?menuIndex=3&amp;refID=7084444&amp;Result=3","7084444")</f>
        <v>0</v>
      </c>
      <c r="B2197" t="s">
        <v>144</v>
      </c>
      <c r="C2197" t="s">
        <v>5637</v>
      </c>
      <c r="D2197" t="s">
        <v>18108</v>
      </c>
      <c r="E2197" t="s">
        <v>20218</v>
      </c>
      <c r="F2197" t="s">
        <v>31362</v>
      </c>
      <c r="G2197" t="s">
        <v>31369</v>
      </c>
      <c r="H2197" t="s">
        <v>15799</v>
      </c>
      <c r="I2197" t="s">
        <v>6155</v>
      </c>
      <c r="J2197" t="s">
        <v>33043</v>
      </c>
      <c r="K2197" t="s">
        <v>40680</v>
      </c>
      <c r="M2197" t="s">
        <v>41082</v>
      </c>
      <c r="N2197" t="s">
        <v>44905</v>
      </c>
      <c r="O2197" t="s">
        <v>44906</v>
      </c>
      <c r="P2197">
        <v>0</v>
      </c>
      <c r="Q2197">
        <v>4</v>
      </c>
      <c r="R2197" t="s">
        <v>44907</v>
      </c>
      <c r="S2197" t="s">
        <v>45026</v>
      </c>
      <c r="T2197" t="s">
        <v>46408</v>
      </c>
      <c r="U2197" t="s">
        <v>48748</v>
      </c>
      <c r="W2197" t="s">
        <v>41082</v>
      </c>
      <c r="X2197" t="s">
        <v>44908</v>
      </c>
    </row>
    <row r="2198" spans="1:24">
      <c r="A2198">
        <f>HYPERLINK("https://www.philgeps.gov.ph/GEPSNONPILOT/Tender/SplashBidNoticeAbstractUI.aspx?menuIndex=3&amp;refID=7084374&amp;Result=3","7084374")</f>
        <v>0</v>
      </c>
      <c r="B2198" t="s">
        <v>856</v>
      </c>
      <c r="C2198" t="s">
        <v>5585</v>
      </c>
      <c r="D2198" t="s">
        <v>18112</v>
      </c>
      <c r="E2198" t="s">
        <v>20219</v>
      </c>
      <c r="F2198" t="s">
        <v>31362</v>
      </c>
      <c r="G2198" t="s">
        <v>31370</v>
      </c>
      <c r="H2198" t="s">
        <v>15799</v>
      </c>
      <c r="I2198" t="s">
        <v>31390</v>
      </c>
      <c r="J2198" t="s">
        <v>31536</v>
      </c>
      <c r="K2198" t="s">
        <v>40672</v>
      </c>
      <c r="L2198" t="s">
        <v>856</v>
      </c>
      <c r="M2198" t="s">
        <v>41832</v>
      </c>
      <c r="N2198" t="s">
        <v>44905</v>
      </c>
      <c r="O2198" t="s">
        <v>44906</v>
      </c>
      <c r="P2198">
        <v>0</v>
      </c>
      <c r="Q2198">
        <v>1</v>
      </c>
      <c r="R2198" t="s">
        <v>44907</v>
      </c>
      <c r="S2198" t="s">
        <v>45026</v>
      </c>
      <c r="T2198" t="s">
        <v>46493</v>
      </c>
      <c r="U2198" t="s">
        <v>48697</v>
      </c>
      <c r="W2198" t="s">
        <v>41832</v>
      </c>
      <c r="X2198" t="s">
        <v>44908</v>
      </c>
    </row>
    <row r="2199" spans="1:24">
      <c r="A2199">
        <f>HYPERLINK("https://www.philgeps.gov.ph/GEPSNONPILOT/Tender/SplashBidNoticeAbstractUI.aspx?menuIndex=3&amp;refID=7084442&amp;Result=3","7084442")</f>
        <v>0</v>
      </c>
      <c r="B2199" t="s">
        <v>875</v>
      </c>
      <c r="C2199" t="s">
        <v>5638</v>
      </c>
      <c r="D2199" t="s">
        <v>18138</v>
      </c>
      <c r="E2199" t="s">
        <v>20220</v>
      </c>
      <c r="F2199" t="s">
        <v>31362</v>
      </c>
      <c r="G2199" t="s">
        <v>31373</v>
      </c>
      <c r="H2199" t="s">
        <v>31378</v>
      </c>
      <c r="I2199" t="s">
        <v>31386</v>
      </c>
      <c r="J2199" t="s">
        <v>33044</v>
      </c>
      <c r="K2199" t="s">
        <v>40692</v>
      </c>
      <c r="M2199" t="s">
        <v>41851</v>
      </c>
      <c r="N2199" t="s">
        <v>44905</v>
      </c>
      <c r="O2199" t="s">
        <v>44906</v>
      </c>
      <c r="P2199">
        <v>0</v>
      </c>
      <c r="Q2199">
        <v>0</v>
      </c>
      <c r="R2199" t="s">
        <v>44907</v>
      </c>
      <c r="S2199" t="s">
        <v>45026</v>
      </c>
      <c r="T2199" t="s">
        <v>46417</v>
      </c>
      <c r="U2199" t="s">
        <v>48749</v>
      </c>
      <c r="V2199" t="s">
        <v>59284</v>
      </c>
      <c r="W2199" t="s">
        <v>41851</v>
      </c>
      <c r="X2199" t="s">
        <v>44908</v>
      </c>
    </row>
    <row r="2200" spans="1:24">
      <c r="A2200">
        <f>HYPERLINK("https://www.philgeps.gov.ph/GEPSNONPILOT/Tender/SplashBidNoticeAbstractUI.aspx?menuIndex=3&amp;refID=7084321&amp;Result=3","7084321")</f>
        <v>0</v>
      </c>
      <c r="B2200" t="s">
        <v>876</v>
      </c>
      <c r="C2200" t="s">
        <v>5639</v>
      </c>
      <c r="D2200" t="s">
        <v>18134</v>
      </c>
      <c r="E2200" t="s">
        <v>20221</v>
      </c>
      <c r="F2200" t="s">
        <v>31362</v>
      </c>
      <c r="G2200" t="s">
        <v>31369</v>
      </c>
      <c r="H2200" t="s">
        <v>15799</v>
      </c>
      <c r="I2200" t="s">
        <v>31427</v>
      </c>
      <c r="J2200" t="s">
        <v>33045</v>
      </c>
      <c r="K2200" t="s">
        <v>40672</v>
      </c>
      <c r="M2200" t="s">
        <v>41852</v>
      </c>
      <c r="N2200" t="s">
        <v>44905</v>
      </c>
      <c r="O2200" t="s">
        <v>44906</v>
      </c>
      <c r="P2200">
        <v>0</v>
      </c>
      <c r="Q2200">
        <v>0</v>
      </c>
      <c r="R2200" t="s">
        <v>44907</v>
      </c>
      <c r="S2200" t="s">
        <v>45026</v>
      </c>
      <c r="T2200" t="s">
        <v>46415</v>
      </c>
      <c r="U2200" t="s">
        <v>48750</v>
      </c>
      <c r="W2200" t="s">
        <v>41852</v>
      </c>
      <c r="X2200" t="s">
        <v>44908</v>
      </c>
    </row>
    <row r="2201" spans="1:24">
      <c r="A2201">
        <f>HYPERLINK("https://www.philgeps.gov.ph/GEPSNONPILOT/Tender/SplashBidNoticeAbstractUI.aspx?menuIndex=3&amp;refID=7084394&amp;Result=3","7084394")</f>
        <v>0</v>
      </c>
      <c r="B2201" t="s">
        <v>877</v>
      </c>
      <c r="C2201" t="s">
        <v>5640</v>
      </c>
      <c r="D2201" t="s">
        <v>18108</v>
      </c>
      <c r="E2201" t="s">
        <v>20222</v>
      </c>
      <c r="F2201" t="s">
        <v>31362</v>
      </c>
      <c r="G2201" t="s">
        <v>31370</v>
      </c>
      <c r="H2201" t="s">
        <v>15799</v>
      </c>
      <c r="I2201" t="s">
        <v>31397</v>
      </c>
      <c r="J2201" t="s">
        <v>31536</v>
      </c>
      <c r="K2201" t="s">
        <v>40697</v>
      </c>
      <c r="M2201" t="s">
        <v>41853</v>
      </c>
      <c r="N2201" t="s">
        <v>44905</v>
      </c>
      <c r="O2201" t="s">
        <v>44906</v>
      </c>
      <c r="P2201">
        <v>0</v>
      </c>
      <c r="Q2201">
        <v>1</v>
      </c>
      <c r="R2201" t="s">
        <v>44907</v>
      </c>
      <c r="S2201" t="s">
        <v>45026</v>
      </c>
      <c r="T2201" t="s">
        <v>46447</v>
      </c>
      <c r="U2201" t="s">
        <v>48751</v>
      </c>
      <c r="W2201" t="s">
        <v>41853</v>
      </c>
      <c r="X2201" t="s">
        <v>44908</v>
      </c>
    </row>
    <row r="2202" spans="1:24">
      <c r="A2202">
        <f>HYPERLINK("https://www.philgeps.gov.ph/GEPSNONPILOT/Tender/SplashBidNoticeAbstractUI.aspx?menuIndex=3&amp;refID=7084441&amp;Result=3","7084441")</f>
        <v>0</v>
      </c>
      <c r="B2202" t="s">
        <v>860</v>
      </c>
      <c r="C2202" t="s">
        <v>5641</v>
      </c>
      <c r="D2202" t="s">
        <v>18166</v>
      </c>
      <c r="E2202" t="s">
        <v>20223</v>
      </c>
      <c r="F2202" t="s">
        <v>31362</v>
      </c>
      <c r="G2202" t="s">
        <v>31369</v>
      </c>
      <c r="H2202" t="s">
        <v>31378</v>
      </c>
      <c r="I2202" t="s">
        <v>31386</v>
      </c>
      <c r="J2202" t="s">
        <v>32127</v>
      </c>
      <c r="K2202" t="s">
        <v>40679</v>
      </c>
      <c r="M2202" t="s">
        <v>41836</v>
      </c>
      <c r="N2202" t="s">
        <v>44905</v>
      </c>
      <c r="O2202" t="s">
        <v>44906</v>
      </c>
      <c r="P2202">
        <v>0</v>
      </c>
      <c r="Q2202">
        <v>0</v>
      </c>
      <c r="R2202" t="s">
        <v>44907</v>
      </c>
      <c r="S2202" t="s">
        <v>45026</v>
      </c>
      <c r="T2202" t="s">
        <v>46608</v>
      </c>
      <c r="U2202" t="s">
        <v>48752</v>
      </c>
      <c r="V2202" t="s">
        <v>59275</v>
      </c>
      <c r="W2202" t="s">
        <v>41836</v>
      </c>
      <c r="X2202" t="s">
        <v>44908</v>
      </c>
    </row>
    <row r="2203" spans="1:24">
      <c r="A2203">
        <f>HYPERLINK("https://www.philgeps.gov.ph/GEPSNONPILOT/Tender/SplashBidNoticeAbstractUI.aspx?menuIndex=3&amp;refID=7084439&amp;Result=3","7084439")</f>
        <v>0</v>
      </c>
      <c r="B2203" t="s">
        <v>207</v>
      </c>
      <c r="C2203" t="s">
        <v>5642</v>
      </c>
      <c r="D2203" t="s">
        <v>18127</v>
      </c>
      <c r="E2203" t="s">
        <v>20224</v>
      </c>
      <c r="F2203" t="s">
        <v>31362</v>
      </c>
      <c r="G2203" t="s">
        <v>31368</v>
      </c>
      <c r="H2203" t="s">
        <v>15799</v>
      </c>
      <c r="I2203" t="s">
        <v>31385</v>
      </c>
      <c r="J2203" t="s">
        <v>32391</v>
      </c>
      <c r="K2203" t="s">
        <v>40662</v>
      </c>
      <c r="M2203" t="s">
        <v>41146</v>
      </c>
      <c r="N2203" t="s">
        <v>44905</v>
      </c>
      <c r="O2203" t="s">
        <v>44906</v>
      </c>
      <c r="P2203">
        <v>0</v>
      </c>
      <c r="Q2203">
        <v>1</v>
      </c>
      <c r="R2203" t="s">
        <v>44907</v>
      </c>
      <c r="S2203" t="s">
        <v>45026</v>
      </c>
      <c r="T2203" t="s">
        <v>46404</v>
      </c>
      <c r="U2203" t="s">
        <v>48753</v>
      </c>
      <c r="W2203" t="s">
        <v>41146</v>
      </c>
      <c r="X2203" t="s">
        <v>44908</v>
      </c>
    </row>
    <row r="2204" spans="1:24">
      <c r="A2204">
        <f>HYPERLINK("https://www.philgeps.gov.ph/GEPSNONPILOT/Tender/SplashBidNoticeAbstractUI.aspx?menuIndex=3&amp;refID=7084438&amp;Result=3","7084438")</f>
        <v>0</v>
      </c>
      <c r="B2204" t="s">
        <v>869</v>
      </c>
      <c r="C2204" t="s">
        <v>5643</v>
      </c>
      <c r="D2204" t="s">
        <v>18136</v>
      </c>
      <c r="E2204" t="s">
        <v>20225</v>
      </c>
      <c r="F2204" t="s">
        <v>31362</v>
      </c>
      <c r="G2204" t="s">
        <v>31368</v>
      </c>
      <c r="H2204" t="s">
        <v>15799</v>
      </c>
      <c r="I2204" t="s">
        <v>31380</v>
      </c>
      <c r="J2204" t="s">
        <v>31940</v>
      </c>
      <c r="K2204" t="s">
        <v>40662</v>
      </c>
      <c r="M2204" t="s">
        <v>41845</v>
      </c>
      <c r="N2204" t="s">
        <v>44905</v>
      </c>
      <c r="O2204" t="s">
        <v>44906</v>
      </c>
      <c r="P2204">
        <v>0</v>
      </c>
      <c r="Q2204">
        <v>3</v>
      </c>
      <c r="R2204" t="s">
        <v>44907</v>
      </c>
      <c r="S2204" t="s">
        <v>45026</v>
      </c>
      <c r="T2204" t="s">
        <v>46432</v>
      </c>
      <c r="U2204" t="s">
        <v>48754</v>
      </c>
      <c r="W2204" t="s">
        <v>41845</v>
      </c>
      <c r="X2204" t="s">
        <v>44908</v>
      </c>
    </row>
    <row r="2205" spans="1:24">
      <c r="A2205">
        <f>HYPERLINK("https://www.philgeps.gov.ph/GEPSNONPILOT/Tender/SplashBidNoticeAbstractUI.aspx?menuIndex=3&amp;refID=7084437&amp;Result=3","7084437")</f>
        <v>0</v>
      </c>
      <c r="B2205" t="s">
        <v>627</v>
      </c>
      <c r="C2205" t="s">
        <v>5644</v>
      </c>
      <c r="D2205" t="s">
        <v>18105</v>
      </c>
      <c r="E2205" t="s">
        <v>20226</v>
      </c>
      <c r="F2205" t="s">
        <v>31362</v>
      </c>
      <c r="G2205" t="s">
        <v>31369</v>
      </c>
      <c r="H2205" t="s">
        <v>15799</v>
      </c>
      <c r="I2205" t="s">
        <v>31406</v>
      </c>
      <c r="J2205" t="s">
        <v>33046</v>
      </c>
      <c r="K2205" t="s">
        <v>40675</v>
      </c>
      <c r="M2205" t="s">
        <v>41854</v>
      </c>
      <c r="N2205" t="s">
        <v>44905</v>
      </c>
      <c r="O2205" t="s">
        <v>44906</v>
      </c>
      <c r="P2205">
        <v>0</v>
      </c>
      <c r="Q2205">
        <v>5</v>
      </c>
      <c r="R2205" t="s">
        <v>44907</v>
      </c>
      <c r="S2205" t="s">
        <v>45026</v>
      </c>
      <c r="T2205" t="s">
        <v>46526</v>
      </c>
      <c r="U2205" t="s">
        <v>48755</v>
      </c>
      <c r="W2205" t="s">
        <v>41854</v>
      </c>
      <c r="X2205" t="s">
        <v>44908</v>
      </c>
    </row>
    <row r="2206" spans="1:24">
      <c r="A2206">
        <f>HYPERLINK("https://www.philgeps.gov.ph/GEPSNONPILOT/Tender/SplashBidNoticeAbstractUI.aspx?menuIndex=3&amp;refID=7084403&amp;Result=3","7084403")</f>
        <v>0</v>
      </c>
      <c r="B2206" t="s">
        <v>878</v>
      </c>
      <c r="C2206" t="s">
        <v>5645</v>
      </c>
      <c r="D2206" t="s">
        <v>18127</v>
      </c>
      <c r="E2206" t="s">
        <v>20227</v>
      </c>
      <c r="F2206" t="s">
        <v>31362</v>
      </c>
      <c r="G2206" t="s">
        <v>31369</v>
      </c>
      <c r="H2206" t="s">
        <v>15799</v>
      </c>
      <c r="I2206" t="s">
        <v>3815</v>
      </c>
      <c r="J2206" t="s">
        <v>33047</v>
      </c>
      <c r="K2206" t="s">
        <v>40665</v>
      </c>
      <c r="M2206" t="s">
        <v>41855</v>
      </c>
      <c r="N2206" t="s">
        <v>44905</v>
      </c>
      <c r="O2206" t="s">
        <v>44906</v>
      </c>
      <c r="P2206">
        <v>0</v>
      </c>
      <c r="Q2206">
        <v>0</v>
      </c>
      <c r="R2206" t="s">
        <v>44907</v>
      </c>
      <c r="S2206" t="s">
        <v>45026</v>
      </c>
      <c r="T2206" t="s">
        <v>46417</v>
      </c>
      <c r="U2206" t="s">
        <v>48756</v>
      </c>
      <c r="W2206" t="s">
        <v>41855</v>
      </c>
      <c r="X2206" t="s">
        <v>44908</v>
      </c>
    </row>
    <row r="2207" spans="1:24">
      <c r="A2207">
        <f>HYPERLINK("https://www.philgeps.gov.ph/GEPSNONPILOT/Tender/SplashBidNoticeAbstractUI.aspx?menuIndex=3&amp;refID=7084436&amp;Result=3","7084436")</f>
        <v>0</v>
      </c>
      <c r="B2207" t="s">
        <v>593</v>
      </c>
      <c r="C2207" t="s">
        <v>5646</v>
      </c>
      <c r="D2207" t="s">
        <v>18108</v>
      </c>
      <c r="E2207" t="s">
        <v>20228</v>
      </c>
      <c r="F2207" t="s">
        <v>31362</v>
      </c>
      <c r="G2207" t="s">
        <v>31368</v>
      </c>
      <c r="H2207" t="s">
        <v>31378</v>
      </c>
      <c r="I2207" t="s">
        <v>31386</v>
      </c>
      <c r="J2207" t="s">
        <v>33048</v>
      </c>
      <c r="K2207" t="s">
        <v>40682</v>
      </c>
      <c r="M2207" t="s">
        <v>41550</v>
      </c>
      <c r="N2207" t="s">
        <v>44905</v>
      </c>
      <c r="O2207" t="s">
        <v>44906</v>
      </c>
      <c r="P2207">
        <v>0</v>
      </c>
      <c r="Q2207">
        <v>0</v>
      </c>
      <c r="R2207" t="s">
        <v>44907</v>
      </c>
      <c r="S2207" t="s">
        <v>45026</v>
      </c>
      <c r="T2207" t="s">
        <v>46416</v>
      </c>
      <c r="U2207" t="s">
        <v>48757</v>
      </c>
      <c r="W2207" t="s">
        <v>41550</v>
      </c>
      <c r="X2207" t="s">
        <v>44908</v>
      </c>
    </row>
    <row r="2208" spans="1:24">
      <c r="A2208">
        <f>HYPERLINK("https://www.philgeps.gov.ph/GEPSNONPILOT/Tender/SplashBidNoticeAbstractUI.aspx?menuIndex=3&amp;refID=7084432&amp;Result=3","7084432")</f>
        <v>0</v>
      </c>
      <c r="B2208" t="s">
        <v>879</v>
      </c>
      <c r="C2208" t="s">
        <v>4994</v>
      </c>
      <c r="D2208" t="s">
        <v>18107</v>
      </c>
      <c r="E2208" t="s">
        <v>19313</v>
      </c>
      <c r="F2208" t="s">
        <v>31362</v>
      </c>
      <c r="G2208" t="s">
        <v>31370</v>
      </c>
      <c r="H2208" t="s">
        <v>15799</v>
      </c>
      <c r="I2208" t="s">
        <v>31385</v>
      </c>
      <c r="J2208" t="s">
        <v>33049</v>
      </c>
      <c r="K2208" t="s">
        <v>40673</v>
      </c>
      <c r="M2208" t="s">
        <v>41856</v>
      </c>
      <c r="N2208" t="s">
        <v>44905</v>
      </c>
      <c r="O2208" t="s">
        <v>44906</v>
      </c>
      <c r="P2208">
        <v>0</v>
      </c>
      <c r="Q2208">
        <v>1</v>
      </c>
      <c r="R2208" t="s">
        <v>44907</v>
      </c>
      <c r="S2208" t="s">
        <v>45026</v>
      </c>
      <c r="T2208" t="s">
        <v>46443</v>
      </c>
      <c r="U2208" t="s">
        <v>48758</v>
      </c>
      <c r="W2208" t="s">
        <v>41856</v>
      </c>
      <c r="X2208" t="s">
        <v>44908</v>
      </c>
    </row>
    <row r="2209" spans="1:24">
      <c r="A2209">
        <f>HYPERLINK("https://www.philgeps.gov.ph/GEPSNONPILOT/Tender/SplashBidNoticeAbstractUI.aspx?menuIndex=3&amp;refID=7084443&amp;Result=3","7084443")</f>
        <v>0</v>
      </c>
      <c r="B2209" t="s">
        <v>627</v>
      </c>
      <c r="C2209" t="s">
        <v>5647</v>
      </c>
      <c r="D2209" t="s">
        <v>18105</v>
      </c>
      <c r="E2209" t="s">
        <v>20229</v>
      </c>
      <c r="F2209" t="s">
        <v>31362</v>
      </c>
      <c r="G2209" t="s">
        <v>31369</v>
      </c>
      <c r="H2209" t="s">
        <v>15799</v>
      </c>
      <c r="I2209" t="s">
        <v>31406</v>
      </c>
      <c r="J2209" t="s">
        <v>32540</v>
      </c>
      <c r="K2209" t="s">
        <v>40676</v>
      </c>
      <c r="M2209" t="s">
        <v>41854</v>
      </c>
      <c r="N2209" t="s">
        <v>44905</v>
      </c>
      <c r="O2209" t="s">
        <v>44906</v>
      </c>
      <c r="P2209">
        <v>0</v>
      </c>
      <c r="Q2209">
        <v>4</v>
      </c>
      <c r="R2209" t="s">
        <v>44907</v>
      </c>
      <c r="S2209" t="s">
        <v>45026</v>
      </c>
      <c r="T2209" t="s">
        <v>46526</v>
      </c>
      <c r="U2209" t="s">
        <v>48759</v>
      </c>
      <c r="W2209" t="s">
        <v>41854</v>
      </c>
      <c r="X2209" t="s">
        <v>44908</v>
      </c>
    </row>
    <row r="2210" spans="1:24">
      <c r="A2210">
        <f>HYPERLINK("https://www.philgeps.gov.ph/GEPSNONPILOT/Tender/SplashBidNoticeAbstractUI.aspx?menuIndex=3&amp;refID=7084322&amp;Result=3","7084322")</f>
        <v>0</v>
      </c>
      <c r="B2210" t="s">
        <v>852</v>
      </c>
      <c r="C2210" t="s">
        <v>5648</v>
      </c>
      <c r="D2210" t="s">
        <v>18117</v>
      </c>
      <c r="E2210" t="s">
        <v>5648</v>
      </c>
      <c r="F2210" t="s">
        <v>31362</v>
      </c>
      <c r="G2210" t="s">
        <v>31368</v>
      </c>
      <c r="H2210" t="s">
        <v>15799</v>
      </c>
      <c r="I2210" t="s">
        <v>7188</v>
      </c>
      <c r="J2210" t="s">
        <v>32060</v>
      </c>
      <c r="K2210" t="s">
        <v>40665</v>
      </c>
      <c r="M2210" t="s">
        <v>41828</v>
      </c>
      <c r="N2210" t="s">
        <v>44905</v>
      </c>
      <c r="O2210" t="s">
        <v>44906</v>
      </c>
      <c r="P2210">
        <v>0</v>
      </c>
      <c r="Q2210">
        <v>3</v>
      </c>
      <c r="R2210" t="s">
        <v>44907</v>
      </c>
      <c r="S2210" t="s">
        <v>45026</v>
      </c>
      <c r="T2210" t="s">
        <v>46404</v>
      </c>
      <c r="U2210" t="s">
        <v>48760</v>
      </c>
      <c r="W2210" t="s">
        <v>41828</v>
      </c>
      <c r="X2210" t="s">
        <v>44908</v>
      </c>
    </row>
    <row r="2211" spans="1:24">
      <c r="A2211">
        <f>HYPERLINK("https://www.philgeps.gov.ph/GEPSNONPILOT/Tender/SplashBidNoticeAbstractUI.aspx?menuIndex=3&amp;refID=7084445&amp;Result=3","7084445")</f>
        <v>0</v>
      </c>
      <c r="B2211" t="s">
        <v>880</v>
      </c>
      <c r="C2211" t="s">
        <v>5649</v>
      </c>
      <c r="D2211" t="s">
        <v>18139</v>
      </c>
      <c r="E2211" t="s">
        <v>20230</v>
      </c>
      <c r="F2211" t="s">
        <v>31362</v>
      </c>
      <c r="G2211" t="s">
        <v>31368</v>
      </c>
      <c r="H2211" t="s">
        <v>15799</v>
      </c>
      <c r="I2211" t="s">
        <v>31393</v>
      </c>
      <c r="J2211" t="s">
        <v>33050</v>
      </c>
      <c r="K2211" t="s">
        <v>40675</v>
      </c>
      <c r="M2211" t="s">
        <v>41857</v>
      </c>
      <c r="N2211" t="s">
        <v>44905</v>
      </c>
      <c r="O2211" t="s">
        <v>44906</v>
      </c>
      <c r="P2211">
        <v>0</v>
      </c>
      <c r="Q2211">
        <v>3</v>
      </c>
      <c r="R2211" t="s">
        <v>44907</v>
      </c>
      <c r="S2211" t="s">
        <v>45026</v>
      </c>
      <c r="T2211" t="s">
        <v>46438</v>
      </c>
      <c r="U2211" t="s">
        <v>48761</v>
      </c>
      <c r="W2211" t="s">
        <v>41857</v>
      </c>
      <c r="X2211" t="s">
        <v>44908</v>
      </c>
    </row>
    <row r="2212" spans="1:24">
      <c r="A2212">
        <f>HYPERLINK("https://www.philgeps.gov.ph/GEPSNONPILOT/Tender/SplashBidNoticeAbstractUI.aspx?menuIndex=3&amp;refID=7084477&amp;Result=3","7084477")</f>
        <v>0</v>
      </c>
      <c r="B2212" t="s">
        <v>881</v>
      </c>
      <c r="C2212" t="s">
        <v>4043</v>
      </c>
      <c r="D2212" t="s">
        <v>18124</v>
      </c>
      <c r="E2212" t="s">
        <v>20231</v>
      </c>
      <c r="F2212" t="s">
        <v>31362</v>
      </c>
      <c r="G2212" t="s">
        <v>31368</v>
      </c>
      <c r="H2212" t="s">
        <v>15799</v>
      </c>
      <c r="I2212" t="s">
        <v>31385</v>
      </c>
      <c r="J2212" t="s">
        <v>32065</v>
      </c>
      <c r="K2212" t="s">
        <v>40661</v>
      </c>
      <c r="M2212" t="s">
        <v>41858</v>
      </c>
      <c r="N2212" t="s">
        <v>44905</v>
      </c>
      <c r="O2212" t="s">
        <v>44906</v>
      </c>
      <c r="P2212">
        <v>0</v>
      </c>
      <c r="Q2212">
        <v>0</v>
      </c>
      <c r="R2212" t="s">
        <v>44907</v>
      </c>
      <c r="S2212" t="s">
        <v>45026</v>
      </c>
      <c r="T2212" t="s">
        <v>46470</v>
      </c>
      <c r="U2212" t="s">
        <v>48762</v>
      </c>
      <c r="W2212" t="s">
        <v>60871</v>
      </c>
      <c r="X2212" t="s">
        <v>44908</v>
      </c>
    </row>
    <row r="2213" spans="1:24">
      <c r="A2213">
        <f>HYPERLINK("https://www.philgeps.gov.ph/GEPSNONPILOT/Tender/SplashBidNoticeAbstractUI.aspx?menuIndex=3&amp;refID=7084476&amp;Result=3","7084476")</f>
        <v>0</v>
      </c>
      <c r="B2213" t="s">
        <v>593</v>
      </c>
      <c r="C2213" t="s">
        <v>5650</v>
      </c>
      <c r="D2213" t="s">
        <v>18108</v>
      </c>
      <c r="E2213" t="s">
        <v>20232</v>
      </c>
      <c r="F2213" t="s">
        <v>31362</v>
      </c>
      <c r="G2213" t="s">
        <v>31368</v>
      </c>
      <c r="H2213" t="s">
        <v>31378</v>
      </c>
      <c r="I2213" t="s">
        <v>31386</v>
      </c>
      <c r="J2213" t="s">
        <v>33051</v>
      </c>
      <c r="K2213" t="s">
        <v>40682</v>
      </c>
      <c r="M2213" t="s">
        <v>41550</v>
      </c>
      <c r="N2213" t="s">
        <v>44905</v>
      </c>
      <c r="O2213" t="s">
        <v>44906</v>
      </c>
      <c r="P2213">
        <v>0</v>
      </c>
      <c r="Q2213">
        <v>0</v>
      </c>
      <c r="R2213" t="s">
        <v>44907</v>
      </c>
      <c r="S2213" t="s">
        <v>45026</v>
      </c>
      <c r="T2213" t="s">
        <v>46393</v>
      </c>
      <c r="U2213" t="s">
        <v>48757</v>
      </c>
      <c r="W2213" t="s">
        <v>41550</v>
      </c>
      <c r="X2213" t="s">
        <v>44908</v>
      </c>
    </row>
    <row r="2214" spans="1:24">
      <c r="A2214">
        <f>HYPERLINK("https://www.philgeps.gov.ph/GEPSNONPILOT/Tender/SplashBidNoticeAbstractUI.aspx?menuIndex=3&amp;refID=7084434&amp;Result=3","7084434")</f>
        <v>0</v>
      </c>
      <c r="B2214" t="s">
        <v>234</v>
      </c>
      <c r="C2214" t="s">
        <v>5651</v>
      </c>
      <c r="D2214" t="s">
        <v>18108</v>
      </c>
      <c r="E2214" t="s">
        <v>20233</v>
      </c>
      <c r="F2214" t="s">
        <v>31362</v>
      </c>
      <c r="G2214" t="s">
        <v>31368</v>
      </c>
      <c r="H2214" t="s">
        <v>15799</v>
      </c>
      <c r="I2214" t="s">
        <v>31413</v>
      </c>
      <c r="J2214" t="s">
        <v>33052</v>
      </c>
      <c r="K2214" t="s">
        <v>40682</v>
      </c>
      <c r="M2214" t="s">
        <v>41617</v>
      </c>
      <c r="N2214" t="s">
        <v>44905</v>
      </c>
      <c r="O2214" t="s">
        <v>44906</v>
      </c>
      <c r="P2214">
        <v>0</v>
      </c>
      <c r="Q2214">
        <v>1</v>
      </c>
      <c r="R2214" t="s">
        <v>44907</v>
      </c>
      <c r="S2214" t="s">
        <v>45026</v>
      </c>
      <c r="T2214" t="s">
        <v>46551</v>
      </c>
      <c r="U2214" t="s">
        <v>48763</v>
      </c>
      <c r="W2214" t="s">
        <v>41617</v>
      </c>
      <c r="X2214" t="s">
        <v>44908</v>
      </c>
    </row>
    <row r="2215" spans="1:24">
      <c r="A2215">
        <f>HYPERLINK("https://www.philgeps.gov.ph/GEPSNONPILOT/Tender/SplashBidNoticeAbstractUI.aspx?menuIndex=3&amp;refID=7084475&amp;Result=3","7084475")</f>
        <v>0</v>
      </c>
      <c r="B2215" t="s">
        <v>882</v>
      </c>
      <c r="C2215" t="s">
        <v>5652</v>
      </c>
      <c r="D2215" t="s">
        <v>18135</v>
      </c>
      <c r="E2215" t="s">
        <v>20234</v>
      </c>
      <c r="F2215" t="s">
        <v>31362</v>
      </c>
      <c r="G2215" t="s">
        <v>31368</v>
      </c>
      <c r="H2215" t="s">
        <v>15799</v>
      </c>
      <c r="I2215" t="s">
        <v>31380</v>
      </c>
      <c r="J2215" t="s">
        <v>32725</v>
      </c>
      <c r="K2215" t="s">
        <v>40662</v>
      </c>
      <c r="M2215" t="s">
        <v>41859</v>
      </c>
      <c r="N2215" t="s">
        <v>44905</v>
      </c>
      <c r="O2215" t="s">
        <v>44906</v>
      </c>
      <c r="P2215">
        <v>0</v>
      </c>
      <c r="Q2215">
        <v>2</v>
      </c>
      <c r="R2215" t="s">
        <v>44907</v>
      </c>
      <c r="S2215" t="s">
        <v>45026</v>
      </c>
      <c r="T2215" t="s">
        <v>46447</v>
      </c>
      <c r="U2215" t="s">
        <v>48764</v>
      </c>
      <c r="W2215" t="s">
        <v>60872</v>
      </c>
      <c r="X2215" t="s">
        <v>44908</v>
      </c>
    </row>
    <row r="2216" spans="1:24">
      <c r="A2216">
        <f>HYPERLINK("https://www.philgeps.gov.ph/GEPSNONPILOT/Tender/SplashBidNoticeAbstractUI.aspx?menuIndex=3&amp;refID=7084472&amp;Result=3","7084472")</f>
        <v>0</v>
      </c>
      <c r="B2216" t="s">
        <v>108</v>
      </c>
      <c r="C2216" t="s">
        <v>5653</v>
      </c>
      <c r="D2216" t="s">
        <v>18139</v>
      </c>
      <c r="E2216" t="s">
        <v>20235</v>
      </c>
      <c r="F2216" t="s">
        <v>31362</v>
      </c>
      <c r="G2216" t="s">
        <v>31369</v>
      </c>
      <c r="H2216" t="s">
        <v>31378</v>
      </c>
      <c r="I2216" t="s">
        <v>31386</v>
      </c>
      <c r="J2216" t="s">
        <v>33053</v>
      </c>
      <c r="K2216" t="s">
        <v>40683</v>
      </c>
      <c r="M2216" t="s">
        <v>41860</v>
      </c>
      <c r="N2216" t="s">
        <v>44905</v>
      </c>
      <c r="O2216" t="s">
        <v>44906</v>
      </c>
      <c r="P2216">
        <v>0</v>
      </c>
      <c r="Q2216">
        <v>0</v>
      </c>
      <c r="R2216" t="s">
        <v>44907</v>
      </c>
      <c r="S2216" t="s">
        <v>45026</v>
      </c>
      <c r="T2216" t="s">
        <v>46568</v>
      </c>
      <c r="U2216" t="s">
        <v>48765</v>
      </c>
      <c r="W2216" t="s">
        <v>41860</v>
      </c>
      <c r="X2216" t="s">
        <v>44908</v>
      </c>
    </row>
    <row r="2217" spans="1:24">
      <c r="A2217">
        <f>HYPERLINK("https://www.philgeps.gov.ph/GEPSNONPILOT/Tender/SplashBidNoticeAbstractUI.aspx?menuIndex=3&amp;refID=7084433&amp;Result=3","7084433")</f>
        <v>0</v>
      </c>
      <c r="B2217" t="s">
        <v>273</v>
      </c>
      <c r="C2217" t="s">
        <v>5654</v>
      </c>
      <c r="D2217" t="s">
        <v>18108</v>
      </c>
      <c r="E2217" t="s">
        <v>19281</v>
      </c>
      <c r="F2217" t="s">
        <v>31362</v>
      </c>
      <c r="G2217" t="s">
        <v>31370</v>
      </c>
      <c r="H2217" t="s">
        <v>15799</v>
      </c>
      <c r="I2217" t="s">
        <v>7719</v>
      </c>
      <c r="J2217" t="s">
        <v>33054</v>
      </c>
      <c r="K2217" t="s">
        <v>40666</v>
      </c>
      <c r="M2217" t="s">
        <v>41215</v>
      </c>
      <c r="N2217" t="s">
        <v>44905</v>
      </c>
      <c r="O2217" t="s">
        <v>44906</v>
      </c>
      <c r="P2217">
        <v>0</v>
      </c>
      <c r="Q2217">
        <v>4</v>
      </c>
      <c r="R2217" t="s">
        <v>44907</v>
      </c>
      <c r="S2217" t="s">
        <v>45026</v>
      </c>
      <c r="T2217" t="s">
        <v>46410</v>
      </c>
      <c r="U2217" t="s">
        <v>48766</v>
      </c>
      <c r="V2217" t="s">
        <v>59142</v>
      </c>
      <c r="W2217" t="s">
        <v>60844</v>
      </c>
      <c r="X2217" t="s">
        <v>44908</v>
      </c>
    </row>
    <row r="2218" spans="1:24">
      <c r="A2218">
        <f>HYPERLINK("https://www.philgeps.gov.ph/GEPSNONPILOT/Tender/SplashBidNoticeAbstractUI.aspx?menuIndex=3&amp;refID=7084469&amp;Result=3","7084469")</f>
        <v>0</v>
      </c>
      <c r="B2218" t="s">
        <v>882</v>
      </c>
      <c r="C2218" t="s">
        <v>5655</v>
      </c>
      <c r="D2218" t="s">
        <v>18135</v>
      </c>
      <c r="E2218" t="s">
        <v>20236</v>
      </c>
      <c r="F2218" t="s">
        <v>31362</v>
      </c>
      <c r="G2218" t="s">
        <v>31368</v>
      </c>
      <c r="H2218" t="s">
        <v>15799</v>
      </c>
      <c r="I2218" t="s">
        <v>31415</v>
      </c>
      <c r="J2218" t="s">
        <v>32966</v>
      </c>
      <c r="K2218" t="s">
        <v>40662</v>
      </c>
      <c r="M2218" t="s">
        <v>41859</v>
      </c>
      <c r="N2218" t="s">
        <v>44905</v>
      </c>
      <c r="O2218" t="s">
        <v>44906</v>
      </c>
      <c r="P2218">
        <v>0</v>
      </c>
      <c r="Q2218">
        <v>0</v>
      </c>
      <c r="R2218" t="s">
        <v>44907</v>
      </c>
      <c r="S2218" t="s">
        <v>45026</v>
      </c>
      <c r="T2218" t="s">
        <v>46447</v>
      </c>
      <c r="U2218" t="s">
        <v>48764</v>
      </c>
      <c r="W2218" t="s">
        <v>60872</v>
      </c>
      <c r="X2218" t="s">
        <v>44908</v>
      </c>
    </row>
    <row r="2219" spans="1:24">
      <c r="A2219">
        <f>HYPERLINK("https://www.philgeps.gov.ph/GEPSNONPILOT/Tender/SplashBidNoticeAbstractUI.aspx?menuIndex=3&amp;refID=7084459&amp;Result=3","7084459")</f>
        <v>0</v>
      </c>
      <c r="B2219" t="s">
        <v>883</v>
      </c>
      <c r="C2219" t="s">
        <v>5656</v>
      </c>
      <c r="D2219" t="s">
        <v>18156</v>
      </c>
      <c r="E2219" t="s">
        <v>20237</v>
      </c>
      <c r="F2219" t="s">
        <v>31362</v>
      </c>
      <c r="G2219" t="s">
        <v>31369</v>
      </c>
      <c r="H2219" t="s">
        <v>31378</v>
      </c>
      <c r="I2219" t="s">
        <v>31386</v>
      </c>
      <c r="J2219" t="s">
        <v>33055</v>
      </c>
      <c r="K2219" t="s">
        <v>40682</v>
      </c>
      <c r="M2219" t="s">
        <v>41861</v>
      </c>
      <c r="N2219" t="s">
        <v>44905</v>
      </c>
      <c r="O2219" t="s">
        <v>44906</v>
      </c>
      <c r="P2219">
        <v>0</v>
      </c>
      <c r="Q2219">
        <v>1</v>
      </c>
      <c r="R2219" t="s">
        <v>44907</v>
      </c>
      <c r="S2219" t="s">
        <v>45026</v>
      </c>
      <c r="T2219" t="s">
        <v>46462</v>
      </c>
      <c r="U2219" t="s">
        <v>48767</v>
      </c>
      <c r="W2219" t="s">
        <v>41861</v>
      </c>
      <c r="X2219" t="s">
        <v>44908</v>
      </c>
    </row>
    <row r="2220" spans="1:24">
      <c r="A2220">
        <f>HYPERLINK("https://www.philgeps.gov.ph/GEPSNONPILOT/Tender/SplashBidNoticeAbstractUI.aspx?menuIndex=3&amp;refID=7084468&amp;Result=3","7084468")</f>
        <v>0</v>
      </c>
      <c r="B2220" t="s">
        <v>593</v>
      </c>
      <c r="C2220" t="s">
        <v>5657</v>
      </c>
      <c r="D2220" t="s">
        <v>18108</v>
      </c>
      <c r="E2220" t="s">
        <v>20238</v>
      </c>
      <c r="F2220" t="s">
        <v>31362</v>
      </c>
      <c r="G2220" t="s">
        <v>31368</v>
      </c>
      <c r="H2220" t="s">
        <v>31378</v>
      </c>
      <c r="I2220" t="s">
        <v>31386</v>
      </c>
      <c r="J2220" t="s">
        <v>33056</v>
      </c>
      <c r="K2220" t="s">
        <v>40666</v>
      </c>
      <c r="M2220" t="s">
        <v>41550</v>
      </c>
      <c r="N2220" t="s">
        <v>44905</v>
      </c>
      <c r="O2220" t="s">
        <v>44906</v>
      </c>
      <c r="P2220">
        <v>0</v>
      </c>
      <c r="Q2220">
        <v>0</v>
      </c>
      <c r="R2220" t="s">
        <v>44907</v>
      </c>
      <c r="S2220" t="s">
        <v>45026</v>
      </c>
      <c r="T2220" t="s">
        <v>46393</v>
      </c>
      <c r="U2220" t="s">
        <v>48757</v>
      </c>
      <c r="W2220" t="s">
        <v>41550</v>
      </c>
      <c r="X2220" t="s">
        <v>44908</v>
      </c>
    </row>
    <row r="2221" spans="1:24">
      <c r="A2221">
        <f>HYPERLINK("https://www.philgeps.gov.ph/GEPSNONPILOT/Tender/SplashBidNoticeAbstractUI.aspx?menuIndex=3&amp;refID=7084467&amp;Result=3","7084467")</f>
        <v>0</v>
      </c>
      <c r="B2221" t="s">
        <v>108</v>
      </c>
      <c r="C2221" t="s">
        <v>5653</v>
      </c>
      <c r="D2221" t="s">
        <v>18139</v>
      </c>
      <c r="E2221" t="s">
        <v>20239</v>
      </c>
      <c r="F2221" t="s">
        <v>31362</v>
      </c>
      <c r="G2221" t="s">
        <v>31369</v>
      </c>
      <c r="H2221" t="s">
        <v>31378</v>
      </c>
      <c r="I2221" t="s">
        <v>31386</v>
      </c>
      <c r="J2221" t="s">
        <v>33057</v>
      </c>
      <c r="K2221" t="s">
        <v>40683</v>
      </c>
      <c r="M2221" t="s">
        <v>41860</v>
      </c>
      <c r="N2221" t="s">
        <v>44905</v>
      </c>
      <c r="O2221" t="s">
        <v>44906</v>
      </c>
      <c r="P2221">
        <v>0</v>
      </c>
      <c r="Q2221">
        <v>0</v>
      </c>
      <c r="R2221" t="s">
        <v>44907</v>
      </c>
      <c r="S2221" t="s">
        <v>45026</v>
      </c>
      <c r="T2221" t="s">
        <v>46568</v>
      </c>
      <c r="U2221" t="s">
        <v>48765</v>
      </c>
      <c r="W2221" t="s">
        <v>41860</v>
      </c>
      <c r="X2221" t="s">
        <v>44908</v>
      </c>
    </row>
    <row r="2222" spans="1:24">
      <c r="A2222">
        <f>HYPERLINK("https://www.philgeps.gov.ph/GEPSNONPILOT/Tender/SplashBidNoticeAbstractUI.aspx?menuIndex=3&amp;refID=7084380&amp;Result=3","7084380")</f>
        <v>0</v>
      </c>
      <c r="B2222" t="s">
        <v>640</v>
      </c>
      <c r="C2222" t="s">
        <v>5658</v>
      </c>
      <c r="D2222" t="s">
        <v>18156</v>
      </c>
      <c r="E2222" t="s">
        <v>20240</v>
      </c>
      <c r="F2222" t="s">
        <v>31362</v>
      </c>
      <c r="G2222" t="s">
        <v>31370</v>
      </c>
      <c r="H2222" t="s">
        <v>15799</v>
      </c>
      <c r="I2222" t="s">
        <v>31380</v>
      </c>
      <c r="J2222" t="s">
        <v>31872</v>
      </c>
      <c r="K2222" t="s">
        <v>40662</v>
      </c>
      <c r="M2222" t="s">
        <v>41600</v>
      </c>
      <c r="N2222" t="s">
        <v>44905</v>
      </c>
      <c r="O2222" t="s">
        <v>44906</v>
      </c>
      <c r="P2222">
        <v>0</v>
      </c>
      <c r="Q2222">
        <v>5</v>
      </c>
      <c r="R2222" t="s">
        <v>44907</v>
      </c>
      <c r="S2222" t="s">
        <v>45026</v>
      </c>
      <c r="T2222" t="s">
        <v>46534</v>
      </c>
      <c r="U2222" t="s">
        <v>48768</v>
      </c>
      <c r="V2222" t="s">
        <v>59219</v>
      </c>
      <c r="W2222" t="s">
        <v>41600</v>
      </c>
      <c r="X2222" t="s">
        <v>44908</v>
      </c>
    </row>
    <row r="2223" spans="1:24">
      <c r="A2223">
        <f>HYPERLINK("https://www.philgeps.gov.ph/GEPSNONPILOT/Tender/SplashBidNoticeAbstractUI.aspx?menuIndex=3&amp;refID=7084456&amp;Result=3","7084456")</f>
        <v>0</v>
      </c>
      <c r="B2223" t="s">
        <v>869</v>
      </c>
      <c r="C2223" t="s">
        <v>5659</v>
      </c>
      <c r="D2223" t="s">
        <v>18136</v>
      </c>
      <c r="E2223" t="s">
        <v>20241</v>
      </c>
      <c r="F2223" t="s">
        <v>31362</v>
      </c>
      <c r="G2223" t="s">
        <v>31368</v>
      </c>
      <c r="H2223" t="s">
        <v>15799</v>
      </c>
      <c r="I2223" t="s">
        <v>31430</v>
      </c>
      <c r="J2223" t="s">
        <v>31536</v>
      </c>
      <c r="K2223" t="s">
        <v>40662</v>
      </c>
      <c r="M2223" t="s">
        <v>41845</v>
      </c>
      <c r="N2223" t="s">
        <v>44905</v>
      </c>
      <c r="O2223" t="s">
        <v>44906</v>
      </c>
      <c r="P2223">
        <v>0</v>
      </c>
      <c r="Q2223">
        <v>0</v>
      </c>
      <c r="R2223" t="s">
        <v>44907</v>
      </c>
      <c r="S2223" t="s">
        <v>45026</v>
      </c>
      <c r="T2223" t="s">
        <v>46432</v>
      </c>
      <c r="U2223" t="s">
        <v>48769</v>
      </c>
      <c r="W2223" t="s">
        <v>41845</v>
      </c>
      <c r="X2223" t="s">
        <v>44908</v>
      </c>
    </row>
    <row r="2224" spans="1:24">
      <c r="A2224">
        <f>HYPERLINK("https://www.philgeps.gov.ph/GEPSNONPILOT/Tender/SplashBidNoticeAbstractUI.aspx?menuIndex=3&amp;refID=7084435&amp;Result=3","7084435")</f>
        <v>0</v>
      </c>
      <c r="B2224" t="s">
        <v>860</v>
      </c>
      <c r="C2224" t="s">
        <v>5660</v>
      </c>
      <c r="D2224" t="s">
        <v>18166</v>
      </c>
      <c r="E2224" t="s">
        <v>20242</v>
      </c>
      <c r="F2224" t="s">
        <v>31362</v>
      </c>
      <c r="G2224" t="s">
        <v>31369</v>
      </c>
      <c r="H2224" t="s">
        <v>31378</v>
      </c>
      <c r="I2224" t="s">
        <v>31386</v>
      </c>
      <c r="J2224" t="s">
        <v>33058</v>
      </c>
      <c r="K2224" t="s">
        <v>40735</v>
      </c>
      <c r="M2224" t="s">
        <v>41836</v>
      </c>
      <c r="N2224" t="s">
        <v>44905</v>
      </c>
      <c r="O2224" t="s">
        <v>44906</v>
      </c>
      <c r="P2224">
        <v>0</v>
      </c>
      <c r="Q2224">
        <v>0</v>
      </c>
      <c r="R2224" t="s">
        <v>44907</v>
      </c>
      <c r="S2224" t="s">
        <v>45026</v>
      </c>
      <c r="T2224" t="s">
        <v>46608</v>
      </c>
      <c r="U2224" t="s">
        <v>48752</v>
      </c>
      <c r="V2224" t="s">
        <v>59275</v>
      </c>
      <c r="W2224" t="s">
        <v>41836</v>
      </c>
      <c r="X2224" t="s">
        <v>44908</v>
      </c>
    </row>
    <row r="2225" spans="1:24">
      <c r="A2225">
        <f>HYPERLINK("https://www.philgeps.gov.ph/GEPSNONPILOT/Tender/SplashBidNoticeAbstractUI.aspx?menuIndex=3&amp;refID=7084454&amp;Result=3","7084454")</f>
        <v>0</v>
      </c>
      <c r="B2225" t="s">
        <v>841</v>
      </c>
      <c r="C2225" t="s">
        <v>5661</v>
      </c>
      <c r="D2225" t="s">
        <v>18134</v>
      </c>
      <c r="E2225" t="s">
        <v>20243</v>
      </c>
      <c r="F2225" t="s">
        <v>31362</v>
      </c>
      <c r="G2225" t="s">
        <v>31374</v>
      </c>
      <c r="H2225" t="s">
        <v>31378</v>
      </c>
      <c r="I2225" t="s">
        <v>3815</v>
      </c>
      <c r="J2225" t="s">
        <v>31536</v>
      </c>
      <c r="K2225" t="s">
        <v>40665</v>
      </c>
      <c r="M2225" t="s">
        <v>41816</v>
      </c>
      <c r="N2225" t="s">
        <v>44905</v>
      </c>
      <c r="O2225" t="s">
        <v>44906</v>
      </c>
      <c r="P2225">
        <v>0</v>
      </c>
      <c r="Q2225">
        <v>0</v>
      </c>
      <c r="R2225" t="s">
        <v>44907</v>
      </c>
      <c r="S2225" t="s">
        <v>45026</v>
      </c>
      <c r="T2225" t="s">
        <v>46490</v>
      </c>
      <c r="U2225" t="s">
        <v>48770</v>
      </c>
      <c r="V2225" t="s">
        <v>59270</v>
      </c>
      <c r="W2225" t="s">
        <v>41816</v>
      </c>
      <c r="X2225" t="s">
        <v>44908</v>
      </c>
    </row>
    <row r="2226" spans="1:24">
      <c r="A2226">
        <f>HYPERLINK("https://www.philgeps.gov.ph/GEPSNONPILOT/Tender/SplashBidNoticeAbstractUI.aspx?menuIndex=3&amp;refID=7084495&amp;Result=3","7084495")</f>
        <v>0</v>
      </c>
      <c r="B2226" t="s">
        <v>884</v>
      </c>
      <c r="C2226" t="s">
        <v>5662</v>
      </c>
      <c r="D2226" t="s">
        <v>18127</v>
      </c>
      <c r="E2226" t="s">
        <v>20244</v>
      </c>
      <c r="F2226" t="s">
        <v>31362</v>
      </c>
      <c r="G2226" t="s">
        <v>31369</v>
      </c>
      <c r="H2226" t="s">
        <v>31378</v>
      </c>
      <c r="I2226" t="s">
        <v>31386</v>
      </c>
      <c r="J2226" t="s">
        <v>31536</v>
      </c>
      <c r="K2226" t="s">
        <v>40675</v>
      </c>
      <c r="M2226" t="s">
        <v>41862</v>
      </c>
      <c r="N2226" t="s">
        <v>44905</v>
      </c>
      <c r="O2226" t="s">
        <v>44906</v>
      </c>
      <c r="P2226">
        <v>0</v>
      </c>
      <c r="Q2226">
        <v>0</v>
      </c>
      <c r="R2226" t="s">
        <v>44907</v>
      </c>
      <c r="S2226" t="s">
        <v>45026</v>
      </c>
      <c r="T2226" t="s">
        <v>46521</v>
      </c>
      <c r="U2226" t="s">
        <v>48771</v>
      </c>
      <c r="V2226" t="s">
        <v>59285</v>
      </c>
      <c r="W2226" t="s">
        <v>41862</v>
      </c>
      <c r="X2226" t="s">
        <v>44908</v>
      </c>
    </row>
    <row r="2227" spans="1:24">
      <c r="A2227">
        <f>HYPERLINK("https://www.philgeps.gov.ph/GEPSNONPILOT/Tender/SplashBidNoticeAbstractUI.aspx?menuIndex=3&amp;refID=7084440&amp;Result=3","7084440")</f>
        <v>0</v>
      </c>
      <c r="B2227" t="s">
        <v>885</v>
      </c>
      <c r="C2227" t="s">
        <v>5663</v>
      </c>
      <c r="D2227" t="s">
        <v>18114</v>
      </c>
      <c r="E2227" t="s">
        <v>20245</v>
      </c>
      <c r="F2227" t="s">
        <v>31362</v>
      </c>
      <c r="G2227" t="s">
        <v>31369</v>
      </c>
      <c r="H2227" t="s">
        <v>15799</v>
      </c>
      <c r="I2227" t="s">
        <v>7090</v>
      </c>
      <c r="J2227" t="s">
        <v>32597</v>
      </c>
      <c r="K2227" t="s">
        <v>40665</v>
      </c>
      <c r="M2227" t="s">
        <v>41863</v>
      </c>
      <c r="N2227" t="s">
        <v>44905</v>
      </c>
      <c r="O2227" t="s">
        <v>44906</v>
      </c>
      <c r="P2227">
        <v>0</v>
      </c>
      <c r="Q2227">
        <v>0</v>
      </c>
      <c r="R2227" t="s">
        <v>44907</v>
      </c>
      <c r="S2227" t="s">
        <v>45026</v>
      </c>
      <c r="T2227" t="s">
        <v>46569</v>
      </c>
      <c r="U2227" t="s">
        <v>48772</v>
      </c>
      <c r="W2227" t="s">
        <v>41863</v>
      </c>
      <c r="X2227" t="s">
        <v>44908</v>
      </c>
    </row>
    <row r="2228" spans="1:24">
      <c r="A2228">
        <f>HYPERLINK("https://www.philgeps.gov.ph/GEPSNONPILOT/Tender/SplashBidNoticeAbstractUI.aspx?menuIndex=3&amp;refID=7084503&amp;Result=3","7084503")</f>
        <v>0</v>
      </c>
      <c r="B2228" t="s">
        <v>886</v>
      </c>
      <c r="C2228" t="s">
        <v>5664</v>
      </c>
      <c r="D2228" t="s">
        <v>18171</v>
      </c>
      <c r="E2228" t="s">
        <v>20246</v>
      </c>
      <c r="F2228" t="s">
        <v>31362</v>
      </c>
      <c r="G2228" t="s">
        <v>31368</v>
      </c>
      <c r="H2228" t="s">
        <v>15799</v>
      </c>
      <c r="I2228" t="s">
        <v>7719</v>
      </c>
      <c r="J2228" t="s">
        <v>33059</v>
      </c>
      <c r="K2228" t="s">
        <v>40662</v>
      </c>
      <c r="M2228" t="s">
        <v>41864</v>
      </c>
      <c r="N2228" t="s">
        <v>44905</v>
      </c>
      <c r="O2228" t="s">
        <v>44906</v>
      </c>
      <c r="P2228">
        <v>0</v>
      </c>
      <c r="Q2228">
        <v>15</v>
      </c>
      <c r="R2228" t="s">
        <v>44907</v>
      </c>
      <c r="S2228" t="s">
        <v>45026</v>
      </c>
      <c r="T2228" t="s">
        <v>46498</v>
      </c>
      <c r="U2228" t="s">
        <v>48773</v>
      </c>
      <c r="W2228" t="s">
        <v>41864</v>
      </c>
      <c r="X2228" t="s">
        <v>44908</v>
      </c>
    </row>
    <row r="2229" spans="1:24">
      <c r="A2229">
        <f>HYPERLINK("https://www.philgeps.gov.ph/GEPSNONPILOT/Tender/SplashBidNoticeAbstractUI.aspx?menuIndex=3&amp;refID=7084500&amp;Result=3","7084500")</f>
        <v>0</v>
      </c>
      <c r="B2229" t="s">
        <v>534</v>
      </c>
      <c r="C2229" t="s">
        <v>5665</v>
      </c>
      <c r="D2229" t="s">
        <v>18131</v>
      </c>
      <c r="E2229" t="s">
        <v>20247</v>
      </c>
      <c r="F2229" t="s">
        <v>31362</v>
      </c>
      <c r="G2229" t="s">
        <v>31369</v>
      </c>
      <c r="H2229" t="s">
        <v>15799</v>
      </c>
      <c r="I2229" t="s">
        <v>31409</v>
      </c>
      <c r="J2229" t="s">
        <v>33060</v>
      </c>
      <c r="K2229" t="s">
        <v>40665</v>
      </c>
      <c r="M2229" t="s">
        <v>41490</v>
      </c>
      <c r="N2229" t="s">
        <v>44905</v>
      </c>
      <c r="O2229" t="s">
        <v>44906</v>
      </c>
      <c r="P2229">
        <v>0</v>
      </c>
      <c r="Q2229">
        <v>3</v>
      </c>
      <c r="R2229" t="s">
        <v>44907</v>
      </c>
      <c r="S2229" t="s">
        <v>45026</v>
      </c>
      <c r="T2229" t="s">
        <v>46449</v>
      </c>
      <c r="U2229" t="s">
        <v>48774</v>
      </c>
      <c r="W2229" t="s">
        <v>41490</v>
      </c>
      <c r="X2229" t="s">
        <v>44908</v>
      </c>
    </row>
    <row r="2230" spans="1:24">
      <c r="A2230">
        <f>HYPERLINK("https://www.philgeps.gov.ph/GEPSNONPILOT/Tender/SplashBidNoticeAbstractUI.aspx?menuIndex=3&amp;refID=7084457&amp;Result=3","7084457")</f>
        <v>0</v>
      </c>
      <c r="B2230" t="s">
        <v>878</v>
      </c>
      <c r="C2230" t="s">
        <v>5666</v>
      </c>
      <c r="D2230" t="s">
        <v>18127</v>
      </c>
      <c r="E2230" t="s">
        <v>20248</v>
      </c>
      <c r="F2230" t="s">
        <v>31362</v>
      </c>
      <c r="G2230" t="s">
        <v>31369</v>
      </c>
      <c r="H2230" t="s">
        <v>15799</v>
      </c>
      <c r="I2230" t="s">
        <v>3815</v>
      </c>
      <c r="J2230" t="s">
        <v>33061</v>
      </c>
      <c r="K2230" t="s">
        <v>40665</v>
      </c>
      <c r="M2230" t="s">
        <v>41855</v>
      </c>
      <c r="N2230" t="s">
        <v>44905</v>
      </c>
      <c r="O2230" t="s">
        <v>44906</v>
      </c>
      <c r="P2230">
        <v>0</v>
      </c>
      <c r="Q2230">
        <v>0</v>
      </c>
      <c r="R2230" t="s">
        <v>44907</v>
      </c>
      <c r="S2230" t="s">
        <v>45026</v>
      </c>
      <c r="T2230" t="s">
        <v>46417</v>
      </c>
      <c r="U2230" t="s">
        <v>48775</v>
      </c>
      <c r="W2230" t="s">
        <v>41855</v>
      </c>
      <c r="X2230" t="s">
        <v>44908</v>
      </c>
    </row>
    <row r="2231" spans="1:24">
      <c r="A2231">
        <f>HYPERLINK("https://www.philgeps.gov.ph/GEPSNONPILOT/Tender/SplashBidNoticeAbstractUI.aspx?menuIndex=3&amp;refID=7084498&amp;Result=3","7084498")</f>
        <v>0</v>
      </c>
      <c r="B2231" t="s">
        <v>887</v>
      </c>
      <c r="C2231" t="s">
        <v>5667</v>
      </c>
      <c r="D2231" t="s">
        <v>18174</v>
      </c>
      <c r="E2231" t="s">
        <v>20249</v>
      </c>
      <c r="F2231" t="s">
        <v>31362</v>
      </c>
      <c r="G2231" t="s">
        <v>31369</v>
      </c>
      <c r="H2231" t="s">
        <v>15799</v>
      </c>
      <c r="I2231" t="s">
        <v>31414</v>
      </c>
      <c r="J2231" t="s">
        <v>33062</v>
      </c>
      <c r="K2231" t="s">
        <v>40661</v>
      </c>
      <c r="L2231" t="s">
        <v>887</v>
      </c>
      <c r="M2231" t="s">
        <v>41865</v>
      </c>
      <c r="N2231" t="s">
        <v>44905</v>
      </c>
      <c r="O2231" t="s">
        <v>44906</v>
      </c>
      <c r="P2231">
        <v>0</v>
      </c>
      <c r="Q2231">
        <v>0</v>
      </c>
      <c r="R2231" t="s">
        <v>44907</v>
      </c>
      <c r="S2231" t="s">
        <v>45026</v>
      </c>
      <c r="T2231" t="s">
        <v>46609</v>
      </c>
      <c r="U2231" t="s">
        <v>48776</v>
      </c>
      <c r="W2231" t="s">
        <v>41865</v>
      </c>
      <c r="X2231" t="s">
        <v>44908</v>
      </c>
    </row>
    <row r="2232" spans="1:24">
      <c r="A2232">
        <f>HYPERLINK("https://www.philgeps.gov.ph/GEPSNONPILOT/Tender/SplashBidNoticeAbstractUI.aspx?menuIndex=3&amp;refID=7084453&amp;Result=3","7084453")</f>
        <v>0</v>
      </c>
      <c r="B2232" t="s">
        <v>883</v>
      </c>
      <c r="C2232" t="s">
        <v>5668</v>
      </c>
      <c r="D2232" t="s">
        <v>18156</v>
      </c>
      <c r="E2232" t="s">
        <v>20250</v>
      </c>
      <c r="F2232" t="s">
        <v>31362</v>
      </c>
      <c r="G2232" t="s">
        <v>31369</v>
      </c>
      <c r="H2232" t="s">
        <v>15799</v>
      </c>
      <c r="I2232" t="s">
        <v>31404</v>
      </c>
      <c r="J2232" t="s">
        <v>33063</v>
      </c>
      <c r="K2232" t="s">
        <v>40747</v>
      </c>
      <c r="M2232" t="s">
        <v>41861</v>
      </c>
      <c r="N2232" t="s">
        <v>44905</v>
      </c>
      <c r="O2232" t="s">
        <v>44906</v>
      </c>
      <c r="P2232">
        <v>0</v>
      </c>
      <c r="Q2232">
        <v>0</v>
      </c>
      <c r="R2232" t="s">
        <v>44907</v>
      </c>
      <c r="S2232" t="s">
        <v>45026</v>
      </c>
      <c r="T2232" t="s">
        <v>46401</v>
      </c>
      <c r="U2232" t="s">
        <v>48777</v>
      </c>
      <c r="W2232" t="s">
        <v>41861</v>
      </c>
      <c r="X2232" t="s">
        <v>44908</v>
      </c>
    </row>
    <row r="2233" spans="1:24">
      <c r="A2233">
        <f>HYPERLINK("https://www.philgeps.gov.ph/GEPSNONPILOT/Tender/SplashBidNoticeAbstractUI.aspx?menuIndex=3&amp;refID=7084494&amp;Result=3","7084494")</f>
        <v>0</v>
      </c>
      <c r="B2233" t="s">
        <v>888</v>
      </c>
      <c r="C2233" t="s">
        <v>5669</v>
      </c>
      <c r="D2233" t="s">
        <v>18108</v>
      </c>
      <c r="E2233" t="s">
        <v>20251</v>
      </c>
      <c r="F2233" t="s">
        <v>31362</v>
      </c>
      <c r="G2233" t="s">
        <v>31368</v>
      </c>
      <c r="H2233" t="s">
        <v>15799</v>
      </c>
      <c r="I2233" t="s">
        <v>6373</v>
      </c>
      <c r="J2233" t="s">
        <v>33064</v>
      </c>
      <c r="K2233" t="s">
        <v>40661</v>
      </c>
      <c r="M2233" t="s">
        <v>41866</v>
      </c>
      <c r="N2233" t="s">
        <v>44905</v>
      </c>
      <c r="O2233" t="s">
        <v>44906</v>
      </c>
      <c r="P2233">
        <v>0</v>
      </c>
      <c r="Q2233">
        <v>9</v>
      </c>
      <c r="R2233" t="s">
        <v>44907</v>
      </c>
      <c r="S2233" t="s">
        <v>45026</v>
      </c>
      <c r="T2233" t="s">
        <v>46404</v>
      </c>
      <c r="U2233" t="s">
        <v>48778</v>
      </c>
      <c r="W2233" t="s">
        <v>41866</v>
      </c>
      <c r="X2233" t="s">
        <v>44908</v>
      </c>
    </row>
    <row r="2234" spans="1:24">
      <c r="A2234">
        <f>HYPERLINK("https://www.philgeps.gov.ph/GEPSNONPILOT/Tender/SplashBidNoticeAbstractUI.aspx?menuIndex=3&amp;refID=7084492&amp;Result=3","7084492")</f>
        <v>0</v>
      </c>
      <c r="B2234" t="s">
        <v>889</v>
      </c>
      <c r="C2234" t="s">
        <v>5670</v>
      </c>
      <c r="D2234" t="s">
        <v>18108</v>
      </c>
      <c r="E2234" t="s">
        <v>20252</v>
      </c>
      <c r="F2234" t="s">
        <v>31362</v>
      </c>
      <c r="G2234" t="s">
        <v>31368</v>
      </c>
      <c r="H2234" t="s">
        <v>15799</v>
      </c>
      <c r="I2234" t="s">
        <v>31390</v>
      </c>
      <c r="J2234" t="s">
        <v>33065</v>
      </c>
      <c r="K2234" t="s">
        <v>40666</v>
      </c>
      <c r="M2234" t="s">
        <v>41867</v>
      </c>
      <c r="N2234" t="s">
        <v>44905</v>
      </c>
      <c r="O2234" t="s">
        <v>44906</v>
      </c>
      <c r="P2234">
        <v>0</v>
      </c>
      <c r="Q2234">
        <v>1</v>
      </c>
      <c r="R2234" t="s">
        <v>44907</v>
      </c>
      <c r="S2234" t="s">
        <v>45026</v>
      </c>
      <c r="T2234" t="s">
        <v>46467</v>
      </c>
      <c r="U2234" t="s">
        <v>48779</v>
      </c>
      <c r="W2234" t="s">
        <v>41867</v>
      </c>
      <c r="X2234" t="s">
        <v>44908</v>
      </c>
    </row>
    <row r="2235" spans="1:24">
      <c r="A2235">
        <f>HYPERLINK("https://www.philgeps.gov.ph/GEPSNONPILOT/Tender/SplashBidNoticeAbstractUI.aspx?menuIndex=3&amp;refID=7084458&amp;Result=3","7084458")</f>
        <v>0</v>
      </c>
      <c r="B2235" t="s">
        <v>627</v>
      </c>
      <c r="C2235" t="s">
        <v>5671</v>
      </c>
      <c r="D2235" t="s">
        <v>18105</v>
      </c>
      <c r="E2235" t="s">
        <v>20253</v>
      </c>
      <c r="F2235" t="s">
        <v>31362</v>
      </c>
      <c r="G2235" t="s">
        <v>31369</v>
      </c>
      <c r="H2235" t="s">
        <v>15799</v>
      </c>
      <c r="I2235" t="s">
        <v>31393</v>
      </c>
      <c r="J2235" t="s">
        <v>31587</v>
      </c>
      <c r="K2235" t="s">
        <v>40675</v>
      </c>
      <c r="M2235" t="s">
        <v>41854</v>
      </c>
      <c r="N2235" t="s">
        <v>44905</v>
      </c>
      <c r="O2235" t="s">
        <v>44906</v>
      </c>
      <c r="P2235">
        <v>0</v>
      </c>
      <c r="Q2235">
        <v>7</v>
      </c>
      <c r="R2235" t="s">
        <v>44907</v>
      </c>
      <c r="S2235" t="s">
        <v>45026</v>
      </c>
      <c r="T2235" t="s">
        <v>46526</v>
      </c>
      <c r="U2235" t="s">
        <v>48780</v>
      </c>
      <c r="W2235" t="s">
        <v>41854</v>
      </c>
      <c r="X2235" t="s">
        <v>44908</v>
      </c>
    </row>
    <row r="2236" spans="1:24">
      <c r="A2236">
        <f>HYPERLINK("https://www.philgeps.gov.ph/GEPSNONPILOT/Tender/SplashBidNoticeAbstractUI.aspx?menuIndex=3&amp;refID=7084491&amp;Result=3","7084491")</f>
        <v>0</v>
      </c>
      <c r="B2236" t="s">
        <v>888</v>
      </c>
      <c r="C2236" t="s">
        <v>5672</v>
      </c>
      <c r="D2236" t="s">
        <v>18108</v>
      </c>
      <c r="E2236" t="s">
        <v>20254</v>
      </c>
      <c r="F2236" t="s">
        <v>31362</v>
      </c>
      <c r="G2236" t="s">
        <v>31368</v>
      </c>
      <c r="H2236" t="s">
        <v>15799</v>
      </c>
      <c r="I2236" t="s">
        <v>6373</v>
      </c>
      <c r="J2236" t="s">
        <v>31897</v>
      </c>
      <c r="K2236" t="s">
        <v>40661</v>
      </c>
      <c r="M2236" t="s">
        <v>41866</v>
      </c>
      <c r="N2236" t="s">
        <v>44905</v>
      </c>
      <c r="O2236" t="s">
        <v>44906</v>
      </c>
      <c r="P2236">
        <v>0</v>
      </c>
      <c r="Q2236">
        <v>10</v>
      </c>
      <c r="R2236" t="s">
        <v>44907</v>
      </c>
      <c r="S2236" t="s">
        <v>45026</v>
      </c>
      <c r="T2236" t="s">
        <v>46404</v>
      </c>
      <c r="U2236" t="s">
        <v>48778</v>
      </c>
      <c r="W2236" t="s">
        <v>41866</v>
      </c>
      <c r="X2236" t="s">
        <v>44908</v>
      </c>
    </row>
    <row r="2237" spans="1:24">
      <c r="A2237">
        <f>HYPERLINK("https://www.philgeps.gov.ph/GEPSNONPILOT/Tender/SplashBidNoticeAbstractUI.aspx?menuIndex=3&amp;refID=7084489&amp;Result=3","7084489")</f>
        <v>0</v>
      </c>
      <c r="B2237" t="s">
        <v>890</v>
      </c>
      <c r="C2237" t="s">
        <v>5673</v>
      </c>
      <c r="D2237" t="s">
        <v>18127</v>
      </c>
      <c r="E2237" t="s">
        <v>20244</v>
      </c>
      <c r="F2237" t="s">
        <v>31362</v>
      </c>
      <c r="G2237" t="s">
        <v>31369</v>
      </c>
      <c r="H2237" t="s">
        <v>31378</v>
      </c>
      <c r="I2237" t="s">
        <v>31392</v>
      </c>
      <c r="J2237" t="s">
        <v>33066</v>
      </c>
      <c r="K2237" t="s">
        <v>40675</v>
      </c>
      <c r="M2237" t="s">
        <v>41868</v>
      </c>
      <c r="N2237" t="s">
        <v>44905</v>
      </c>
      <c r="O2237" t="s">
        <v>44906</v>
      </c>
      <c r="P2237">
        <v>0</v>
      </c>
      <c r="Q2237">
        <v>0</v>
      </c>
      <c r="R2237" t="s">
        <v>44907</v>
      </c>
      <c r="S2237" t="s">
        <v>45026</v>
      </c>
      <c r="T2237" t="s">
        <v>46521</v>
      </c>
      <c r="U2237" t="s">
        <v>48781</v>
      </c>
      <c r="V2237" t="s">
        <v>59285</v>
      </c>
      <c r="W2237" t="s">
        <v>41868</v>
      </c>
      <c r="X2237" t="s">
        <v>44908</v>
      </c>
    </row>
    <row r="2238" spans="1:24">
      <c r="A2238">
        <f>HYPERLINK("https://www.philgeps.gov.ph/GEPSNONPILOT/Tender/SplashBidNoticeAbstractUI.aspx?menuIndex=3&amp;refID=7084488&amp;Result=3","7084488")</f>
        <v>0</v>
      </c>
      <c r="B2238" t="s">
        <v>875</v>
      </c>
      <c r="C2238" t="s">
        <v>5674</v>
      </c>
      <c r="D2238" t="s">
        <v>18138</v>
      </c>
      <c r="E2238" t="s">
        <v>20255</v>
      </c>
      <c r="F2238" t="s">
        <v>31362</v>
      </c>
      <c r="G2238" t="s">
        <v>31373</v>
      </c>
      <c r="H2238" t="s">
        <v>15799</v>
      </c>
      <c r="I2238" t="s">
        <v>31457</v>
      </c>
      <c r="J2238" t="s">
        <v>33067</v>
      </c>
      <c r="K2238" t="s">
        <v>40679</v>
      </c>
      <c r="M2238" t="s">
        <v>41851</v>
      </c>
      <c r="N2238" t="s">
        <v>44905</v>
      </c>
      <c r="O2238" t="s">
        <v>44906</v>
      </c>
      <c r="P2238">
        <v>0</v>
      </c>
      <c r="Q2238">
        <v>0</v>
      </c>
      <c r="R2238" t="s">
        <v>44907</v>
      </c>
      <c r="S2238" t="s">
        <v>45026</v>
      </c>
      <c r="T2238" t="s">
        <v>46417</v>
      </c>
      <c r="U2238" t="s">
        <v>48782</v>
      </c>
      <c r="V2238" t="s">
        <v>59286</v>
      </c>
      <c r="W2238" t="s">
        <v>41851</v>
      </c>
      <c r="X2238" t="s">
        <v>44908</v>
      </c>
    </row>
    <row r="2239" spans="1:24">
      <c r="A2239">
        <f>HYPERLINK("https://www.philgeps.gov.ph/GEPSNONPILOT/Tender/SplashBidNoticeAbstractUI.aspx?menuIndex=3&amp;refID=7084496&amp;Result=3","7084496")</f>
        <v>0</v>
      </c>
      <c r="B2239" t="s">
        <v>54</v>
      </c>
      <c r="C2239" t="s">
        <v>5675</v>
      </c>
      <c r="E2239" t="s">
        <v>20256</v>
      </c>
      <c r="F2239" t="s">
        <v>31362</v>
      </c>
      <c r="G2239" t="s">
        <v>31369</v>
      </c>
      <c r="H2239" t="s">
        <v>15799</v>
      </c>
      <c r="I2239" t="s">
        <v>31414</v>
      </c>
      <c r="J2239" t="s">
        <v>33068</v>
      </c>
      <c r="K2239" t="s">
        <v>40662</v>
      </c>
      <c r="M2239" t="s">
        <v>41869</v>
      </c>
      <c r="N2239" t="s">
        <v>44905</v>
      </c>
      <c r="O2239" t="s">
        <v>44906</v>
      </c>
      <c r="P2239">
        <v>0</v>
      </c>
      <c r="Q2239">
        <v>0</v>
      </c>
      <c r="R2239" t="s">
        <v>44907</v>
      </c>
      <c r="S2239" t="s">
        <v>45026</v>
      </c>
      <c r="T2239" t="s">
        <v>46398</v>
      </c>
      <c r="U2239" t="s">
        <v>48783</v>
      </c>
      <c r="V2239" t="s">
        <v>59287</v>
      </c>
      <c r="W2239" t="s">
        <v>41869</v>
      </c>
      <c r="X2239" t="s">
        <v>44908</v>
      </c>
    </row>
    <row r="2240" spans="1:24">
      <c r="A2240">
        <f>HYPERLINK("https://www.philgeps.gov.ph/GEPSNONPILOT/Tender/SplashBidNoticeAbstractUI.aspx?menuIndex=3&amp;refID=7084462&amp;Result=3","7084462")</f>
        <v>0</v>
      </c>
      <c r="B2240" t="s">
        <v>593</v>
      </c>
      <c r="C2240" t="s">
        <v>5676</v>
      </c>
      <c r="D2240" t="s">
        <v>18108</v>
      </c>
      <c r="E2240" t="s">
        <v>20257</v>
      </c>
      <c r="F2240" t="s">
        <v>31362</v>
      </c>
      <c r="G2240" t="s">
        <v>31368</v>
      </c>
      <c r="H2240" t="s">
        <v>31378</v>
      </c>
      <c r="I2240" t="s">
        <v>31386</v>
      </c>
      <c r="J2240" t="s">
        <v>33069</v>
      </c>
      <c r="K2240" t="s">
        <v>40682</v>
      </c>
      <c r="M2240" t="s">
        <v>41550</v>
      </c>
      <c r="N2240" t="s">
        <v>44905</v>
      </c>
      <c r="O2240" t="s">
        <v>44906</v>
      </c>
      <c r="P2240">
        <v>0</v>
      </c>
      <c r="Q2240">
        <v>0</v>
      </c>
      <c r="R2240" t="s">
        <v>44907</v>
      </c>
      <c r="S2240" t="s">
        <v>45026</v>
      </c>
      <c r="T2240" t="s">
        <v>46393</v>
      </c>
      <c r="U2240" t="s">
        <v>48784</v>
      </c>
      <c r="W2240" t="s">
        <v>41550</v>
      </c>
      <c r="X2240" t="s">
        <v>44908</v>
      </c>
    </row>
    <row r="2241" spans="1:24">
      <c r="A2241">
        <f>HYPERLINK("https://www.philgeps.gov.ph/GEPSNONPILOT/Tender/SplashBidNoticeAbstractUI.aspx?menuIndex=3&amp;refID=7084502&amp;Result=3","7084502")</f>
        <v>0</v>
      </c>
      <c r="B2241" t="s">
        <v>888</v>
      </c>
      <c r="C2241" t="s">
        <v>5677</v>
      </c>
      <c r="D2241" t="s">
        <v>18108</v>
      </c>
      <c r="E2241" t="s">
        <v>20258</v>
      </c>
      <c r="F2241" t="s">
        <v>31362</v>
      </c>
      <c r="G2241" t="s">
        <v>31368</v>
      </c>
      <c r="H2241" t="s">
        <v>15799</v>
      </c>
      <c r="I2241" t="s">
        <v>6373</v>
      </c>
      <c r="J2241" t="s">
        <v>32694</v>
      </c>
      <c r="K2241" t="s">
        <v>40661</v>
      </c>
      <c r="M2241" t="s">
        <v>41866</v>
      </c>
      <c r="N2241" t="s">
        <v>44905</v>
      </c>
      <c r="O2241" t="s">
        <v>44906</v>
      </c>
      <c r="P2241">
        <v>0</v>
      </c>
      <c r="Q2241">
        <v>9</v>
      </c>
      <c r="R2241" t="s">
        <v>44907</v>
      </c>
      <c r="S2241" t="s">
        <v>45026</v>
      </c>
      <c r="T2241" t="s">
        <v>46404</v>
      </c>
      <c r="U2241" t="s">
        <v>48778</v>
      </c>
      <c r="W2241" t="s">
        <v>41866</v>
      </c>
      <c r="X2241" t="s">
        <v>44908</v>
      </c>
    </row>
    <row r="2242" spans="1:24">
      <c r="A2242">
        <f>HYPERLINK("https://www.philgeps.gov.ph/GEPSNONPILOT/Tender/SplashBidNoticeAbstractUI.aspx?menuIndex=3&amp;refID=7084486&amp;Result=3","7084486")</f>
        <v>0</v>
      </c>
      <c r="B2242" t="s">
        <v>593</v>
      </c>
      <c r="C2242" t="s">
        <v>5678</v>
      </c>
      <c r="D2242" t="s">
        <v>18108</v>
      </c>
      <c r="E2242" t="s">
        <v>20259</v>
      </c>
      <c r="F2242" t="s">
        <v>31362</v>
      </c>
      <c r="G2242" t="s">
        <v>31368</v>
      </c>
      <c r="H2242" t="s">
        <v>15799</v>
      </c>
      <c r="I2242" t="s">
        <v>31429</v>
      </c>
      <c r="J2242" t="s">
        <v>33070</v>
      </c>
      <c r="K2242" t="s">
        <v>40662</v>
      </c>
      <c r="M2242" t="s">
        <v>41550</v>
      </c>
      <c r="N2242" t="s">
        <v>44905</v>
      </c>
      <c r="O2242" t="s">
        <v>44906</v>
      </c>
      <c r="P2242">
        <v>0</v>
      </c>
      <c r="Q2242">
        <v>0</v>
      </c>
      <c r="R2242" t="s">
        <v>44907</v>
      </c>
      <c r="S2242" t="s">
        <v>45026</v>
      </c>
      <c r="T2242" t="s">
        <v>46393</v>
      </c>
      <c r="U2242" t="s">
        <v>48785</v>
      </c>
      <c r="W2242" t="s">
        <v>41550</v>
      </c>
      <c r="X2242" t="s">
        <v>44908</v>
      </c>
    </row>
    <row r="2243" spans="1:24">
      <c r="A2243">
        <f>HYPERLINK("https://www.philgeps.gov.ph/GEPSNONPILOT/Tender/SplashBidNoticeAbstractUI.aspx?menuIndex=3&amp;refID=7084471&amp;Result=3","7084471")</f>
        <v>0</v>
      </c>
      <c r="B2243" t="s">
        <v>891</v>
      </c>
      <c r="C2243" t="s">
        <v>5679</v>
      </c>
      <c r="D2243" t="s">
        <v>18155</v>
      </c>
      <c r="E2243" t="s">
        <v>20260</v>
      </c>
      <c r="F2243" t="s">
        <v>31362</v>
      </c>
      <c r="G2243" t="s">
        <v>31368</v>
      </c>
      <c r="H2243" t="s">
        <v>15799</v>
      </c>
      <c r="I2243" t="s">
        <v>6155</v>
      </c>
      <c r="J2243" t="s">
        <v>31577</v>
      </c>
      <c r="K2243" t="s">
        <v>40665</v>
      </c>
      <c r="M2243" t="s">
        <v>41870</v>
      </c>
      <c r="N2243" t="s">
        <v>44905</v>
      </c>
      <c r="O2243" t="s">
        <v>44906</v>
      </c>
      <c r="P2243">
        <v>0</v>
      </c>
      <c r="Q2243">
        <v>4</v>
      </c>
      <c r="R2243" t="s">
        <v>44907</v>
      </c>
      <c r="S2243" t="s">
        <v>45026</v>
      </c>
      <c r="T2243" t="s">
        <v>46393</v>
      </c>
      <c r="U2243" t="s">
        <v>48786</v>
      </c>
      <c r="V2243" t="s">
        <v>59288</v>
      </c>
      <c r="W2243" t="s">
        <v>41870</v>
      </c>
      <c r="X2243" t="s">
        <v>44908</v>
      </c>
    </row>
    <row r="2244" spans="1:24">
      <c r="A2244">
        <f>HYPERLINK("https://www.philgeps.gov.ph/GEPSNONPILOT/Tender/SplashBidNoticeAbstractUI.aspx?menuIndex=3&amp;refID=7084485&amp;Result=3","7084485")</f>
        <v>0</v>
      </c>
      <c r="B2244" t="s">
        <v>869</v>
      </c>
      <c r="C2244" t="s">
        <v>5680</v>
      </c>
      <c r="D2244" t="s">
        <v>18136</v>
      </c>
      <c r="E2244" t="s">
        <v>20261</v>
      </c>
      <c r="F2244" t="s">
        <v>31362</v>
      </c>
      <c r="G2244" t="s">
        <v>31368</v>
      </c>
      <c r="H2244" t="s">
        <v>15799</v>
      </c>
      <c r="I2244" t="s">
        <v>31430</v>
      </c>
      <c r="J2244" t="s">
        <v>33071</v>
      </c>
      <c r="K2244" t="s">
        <v>40662</v>
      </c>
      <c r="M2244" t="s">
        <v>41845</v>
      </c>
      <c r="N2244" t="s">
        <v>44905</v>
      </c>
      <c r="O2244" t="s">
        <v>44906</v>
      </c>
      <c r="P2244">
        <v>0</v>
      </c>
      <c r="Q2244">
        <v>0</v>
      </c>
      <c r="R2244" t="s">
        <v>44907</v>
      </c>
      <c r="S2244" t="s">
        <v>45026</v>
      </c>
      <c r="T2244" t="s">
        <v>46432</v>
      </c>
      <c r="U2244" t="s">
        <v>48787</v>
      </c>
      <c r="W2244" t="s">
        <v>41845</v>
      </c>
      <c r="X2244" t="s">
        <v>44908</v>
      </c>
    </row>
    <row r="2245" spans="1:24">
      <c r="A2245">
        <f>HYPERLINK("https://www.philgeps.gov.ph/GEPSNONPILOT/Tender/SplashBidNoticeAbstractUI.aspx?menuIndex=3&amp;refID=7084493&amp;Result=3","7084493")</f>
        <v>0</v>
      </c>
      <c r="B2245" t="s">
        <v>892</v>
      </c>
      <c r="C2245" t="s">
        <v>5681</v>
      </c>
      <c r="D2245" t="s">
        <v>18108</v>
      </c>
      <c r="E2245" t="s">
        <v>20262</v>
      </c>
      <c r="F2245" t="s">
        <v>31362</v>
      </c>
      <c r="G2245" t="s">
        <v>31371</v>
      </c>
      <c r="H2245" t="s">
        <v>15799</v>
      </c>
      <c r="I2245" t="s">
        <v>31385</v>
      </c>
      <c r="J2245" t="s">
        <v>33072</v>
      </c>
      <c r="K2245" t="s">
        <v>40666</v>
      </c>
      <c r="M2245" t="s">
        <v>41871</v>
      </c>
      <c r="N2245" t="s">
        <v>44905</v>
      </c>
      <c r="O2245" t="s">
        <v>44906</v>
      </c>
      <c r="P2245">
        <v>0</v>
      </c>
      <c r="Q2245">
        <v>12</v>
      </c>
      <c r="R2245" t="s">
        <v>44907</v>
      </c>
      <c r="S2245" t="s">
        <v>45026</v>
      </c>
      <c r="T2245" t="s">
        <v>46417</v>
      </c>
      <c r="U2245" t="s">
        <v>48788</v>
      </c>
      <c r="W2245" t="s">
        <v>41871</v>
      </c>
      <c r="X2245" t="s">
        <v>44908</v>
      </c>
    </row>
    <row r="2246" spans="1:24">
      <c r="A2246">
        <f>HYPERLINK("https://www.philgeps.gov.ph/GEPSNONPILOT/Tender/SplashBidNoticeAbstractUI.aspx?menuIndex=3&amp;refID=7084484&amp;Result=3","7084484")</f>
        <v>0</v>
      </c>
      <c r="B2246" t="s">
        <v>881</v>
      </c>
      <c r="C2246" t="s">
        <v>5682</v>
      </c>
      <c r="D2246" t="s">
        <v>18124</v>
      </c>
      <c r="E2246" t="s">
        <v>20263</v>
      </c>
      <c r="F2246" t="s">
        <v>31362</v>
      </c>
      <c r="G2246" t="s">
        <v>31368</v>
      </c>
      <c r="H2246" t="s">
        <v>15799</v>
      </c>
      <c r="I2246" t="s">
        <v>6240</v>
      </c>
      <c r="J2246" t="s">
        <v>33073</v>
      </c>
      <c r="K2246" t="s">
        <v>40661</v>
      </c>
      <c r="M2246" t="s">
        <v>41872</v>
      </c>
      <c r="N2246" t="s">
        <v>44905</v>
      </c>
      <c r="O2246" t="s">
        <v>44906</v>
      </c>
      <c r="P2246">
        <v>0</v>
      </c>
      <c r="Q2246">
        <v>0</v>
      </c>
      <c r="R2246" t="s">
        <v>44907</v>
      </c>
      <c r="S2246" t="s">
        <v>45026</v>
      </c>
      <c r="T2246" t="s">
        <v>46470</v>
      </c>
      <c r="U2246" t="s">
        <v>48789</v>
      </c>
      <c r="W2246" t="s">
        <v>60871</v>
      </c>
      <c r="X2246" t="s">
        <v>44908</v>
      </c>
    </row>
    <row r="2247" spans="1:24">
      <c r="A2247">
        <f>HYPERLINK("https://www.philgeps.gov.ph/GEPSNONPILOT/Tender/SplashBidNoticeAbstractUI.aspx?menuIndex=3&amp;refID=7084451&amp;Result=3","7084451")</f>
        <v>0</v>
      </c>
      <c r="B2247" t="s">
        <v>885</v>
      </c>
      <c r="C2247" t="s">
        <v>5683</v>
      </c>
      <c r="D2247" t="s">
        <v>18114</v>
      </c>
      <c r="E2247" t="s">
        <v>20264</v>
      </c>
      <c r="F2247" t="s">
        <v>31362</v>
      </c>
      <c r="G2247" t="s">
        <v>31369</v>
      </c>
      <c r="H2247" t="s">
        <v>15799</v>
      </c>
      <c r="I2247" t="s">
        <v>31409</v>
      </c>
      <c r="J2247" t="s">
        <v>33074</v>
      </c>
      <c r="K2247" t="s">
        <v>40679</v>
      </c>
      <c r="M2247" t="s">
        <v>41863</v>
      </c>
      <c r="N2247" t="s">
        <v>44905</v>
      </c>
      <c r="O2247" t="s">
        <v>44906</v>
      </c>
      <c r="P2247">
        <v>0</v>
      </c>
      <c r="Q2247">
        <v>0</v>
      </c>
      <c r="R2247" t="s">
        <v>44907</v>
      </c>
      <c r="S2247" t="s">
        <v>45026</v>
      </c>
      <c r="T2247" t="s">
        <v>46569</v>
      </c>
      <c r="U2247" t="s">
        <v>48790</v>
      </c>
      <c r="W2247" t="s">
        <v>41863</v>
      </c>
      <c r="X2247" t="s">
        <v>44908</v>
      </c>
    </row>
    <row r="2248" spans="1:24">
      <c r="A2248">
        <f>HYPERLINK("https://www.philgeps.gov.ph/GEPSNONPILOT/Tender/SplashBidNoticeAbstractUI.aspx?menuIndex=3&amp;refID=7084478&amp;Result=3","7084478")</f>
        <v>0</v>
      </c>
      <c r="B2248" t="s">
        <v>273</v>
      </c>
      <c r="C2248" t="s">
        <v>5684</v>
      </c>
      <c r="D2248" t="s">
        <v>18108</v>
      </c>
      <c r="E2248" t="s">
        <v>20265</v>
      </c>
      <c r="F2248" t="s">
        <v>31362</v>
      </c>
      <c r="G2248" t="s">
        <v>31370</v>
      </c>
      <c r="H2248" t="s">
        <v>15799</v>
      </c>
      <c r="I2248" t="s">
        <v>7719</v>
      </c>
      <c r="J2248" t="s">
        <v>33075</v>
      </c>
      <c r="K2248" t="s">
        <v>40666</v>
      </c>
      <c r="M2248" t="s">
        <v>41215</v>
      </c>
      <c r="N2248" t="s">
        <v>44905</v>
      </c>
      <c r="O2248" t="s">
        <v>44906</v>
      </c>
      <c r="P2248">
        <v>0</v>
      </c>
      <c r="Q2248">
        <v>1</v>
      </c>
      <c r="R2248" t="s">
        <v>44907</v>
      </c>
      <c r="S2248" t="s">
        <v>45026</v>
      </c>
      <c r="T2248" t="s">
        <v>46610</v>
      </c>
      <c r="U2248" t="s">
        <v>48791</v>
      </c>
      <c r="V2248" t="s">
        <v>59142</v>
      </c>
      <c r="W2248" t="s">
        <v>60844</v>
      </c>
      <c r="X2248" t="s">
        <v>44908</v>
      </c>
    </row>
    <row r="2249" spans="1:24">
      <c r="A2249">
        <f>HYPERLINK("https://www.philgeps.gov.ph/GEPSNONPILOT/Tender/SplashBidNoticeAbstractUI.aspx?menuIndex=3&amp;refID=7084533&amp;Result=3","7084533")</f>
        <v>0</v>
      </c>
      <c r="B2249" t="s">
        <v>893</v>
      </c>
      <c r="C2249" t="s">
        <v>5685</v>
      </c>
      <c r="E2249" t="s">
        <v>20266</v>
      </c>
      <c r="F2249" t="s">
        <v>31362</v>
      </c>
      <c r="G2249" t="s">
        <v>31368</v>
      </c>
      <c r="H2249" t="s">
        <v>15799</v>
      </c>
      <c r="I2249" t="s">
        <v>4057</v>
      </c>
      <c r="J2249" t="s">
        <v>33076</v>
      </c>
      <c r="K2249" t="s">
        <v>40662</v>
      </c>
      <c r="M2249" t="s">
        <v>41873</v>
      </c>
      <c r="N2249" t="s">
        <v>44905</v>
      </c>
      <c r="O2249" t="s">
        <v>44906</v>
      </c>
      <c r="P2249">
        <v>0</v>
      </c>
      <c r="Q2249">
        <v>0</v>
      </c>
      <c r="R2249" t="s">
        <v>44907</v>
      </c>
      <c r="S2249" t="s">
        <v>45026</v>
      </c>
      <c r="T2249" t="s">
        <v>46432</v>
      </c>
      <c r="U2249" t="s">
        <v>48792</v>
      </c>
      <c r="W2249" t="s">
        <v>41873</v>
      </c>
      <c r="X2249" t="s">
        <v>44908</v>
      </c>
    </row>
    <row r="2250" spans="1:24">
      <c r="A2250">
        <f>HYPERLINK("https://www.philgeps.gov.ph/GEPSNONPILOT/Tender/SplashBidNoticeAbstractUI.aspx?menuIndex=3&amp;refID=7084480&amp;Result=3","7084480")</f>
        <v>0</v>
      </c>
      <c r="B2250" t="s">
        <v>30</v>
      </c>
      <c r="C2250" t="s">
        <v>5686</v>
      </c>
      <c r="D2250" t="s">
        <v>18104</v>
      </c>
      <c r="E2250" t="s">
        <v>20267</v>
      </c>
      <c r="F2250" t="s">
        <v>31362</v>
      </c>
      <c r="G2250" t="s">
        <v>31369</v>
      </c>
      <c r="H2250" t="s">
        <v>15799</v>
      </c>
      <c r="I2250" t="s">
        <v>31393</v>
      </c>
      <c r="J2250" t="s">
        <v>33077</v>
      </c>
      <c r="K2250" t="s">
        <v>40675</v>
      </c>
      <c r="M2250" t="s">
        <v>40964</v>
      </c>
      <c r="N2250" t="s">
        <v>44905</v>
      </c>
      <c r="O2250" t="s">
        <v>44906</v>
      </c>
      <c r="P2250">
        <v>0</v>
      </c>
      <c r="Q2250">
        <v>0</v>
      </c>
      <c r="R2250" t="s">
        <v>44907</v>
      </c>
      <c r="S2250" t="s">
        <v>45026</v>
      </c>
      <c r="T2250" t="s">
        <v>46543</v>
      </c>
      <c r="U2250" t="s">
        <v>48793</v>
      </c>
      <c r="W2250" t="s">
        <v>40964</v>
      </c>
      <c r="X2250" t="s">
        <v>44908</v>
      </c>
    </row>
    <row r="2251" spans="1:24">
      <c r="A2251">
        <f>HYPERLINK("https://www.philgeps.gov.ph/GEPSNONPILOT/Tender/SplashBidNoticeAbstractUI.aspx?menuIndex=3&amp;refID=7084479&amp;Result=3","7084479")</f>
        <v>0</v>
      </c>
      <c r="B2251" t="s">
        <v>894</v>
      </c>
      <c r="C2251" t="s">
        <v>5687</v>
      </c>
      <c r="D2251" t="s">
        <v>18137</v>
      </c>
      <c r="E2251" t="s">
        <v>5687</v>
      </c>
      <c r="F2251" t="s">
        <v>31362</v>
      </c>
      <c r="G2251" t="s">
        <v>31368</v>
      </c>
      <c r="H2251" t="s">
        <v>15799</v>
      </c>
      <c r="I2251" t="s">
        <v>3815</v>
      </c>
      <c r="J2251" t="s">
        <v>33078</v>
      </c>
      <c r="K2251" t="s">
        <v>40666</v>
      </c>
      <c r="M2251" t="s">
        <v>41874</v>
      </c>
      <c r="N2251" t="s">
        <v>44905</v>
      </c>
      <c r="O2251" t="s">
        <v>44906</v>
      </c>
      <c r="P2251">
        <v>0</v>
      </c>
      <c r="Q2251">
        <v>0</v>
      </c>
      <c r="R2251" t="s">
        <v>44907</v>
      </c>
      <c r="S2251" t="s">
        <v>45026</v>
      </c>
      <c r="T2251" t="s">
        <v>46611</v>
      </c>
      <c r="U2251" t="s">
        <v>48794</v>
      </c>
      <c r="W2251" t="s">
        <v>41874</v>
      </c>
      <c r="X2251" t="s">
        <v>44908</v>
      </c>
    </row>
    <row r="2252" spans="1:24">
      <c r="A2252">
        <f>HYPERLINK("https://www.philgeps.gov.ph/GEPSNONPILOT/Tender/SplashBidNoticeAbstractUI.aspx?menuIndex=3&amp;refID=7084528&amp;Result=3","7084528")</f>
        <v>0</v>
      </c>
      <c r="B2252" t="s">
        <v>895</v>
      </c>
      <c r="C2252" t="s">
        <v>5688</v>
      </c>
      <c r="D2252" t="s">
        <v>18100</v>
      </c>
      <c r="E2252" t="s">
        <v>18464</v>
      </c>
      <c r="F2252" t="s">
        <v>31362</v>
      </c>
      <c r="G2252" t="s">
        <v>31368</v>
      </c>
      <c r="H2252" t="s">
        <v>15799</v>
      </c>
      <c r="I2252" t="s">
        <v>31380</v>
      </c>
      <c r="J2252" t="s">
        <v>31564</v>
      </c>
      <c r="K2252" t="s">
        <v>40697</v>
      </c>
      <c r="L2252" t="s">
        <v>895</v>
      </c>
      <c r="M2252" t="s">
        <v>41875</v>
      </c>
      <c r="N2252" t="s">
        <v>44905</v>
      </c>
      <c r="O2252" t="s">
        <v>44906</v>
      </c>
      <c r="P2252">
        <v>0</v>
      </c>
      <c r="Q2252">
        <v>1</v>
      </c>
      <c r="R2252" t="s">
        <v>44907</v>
      </c>
      <c r="S2252" t="s">
        <v>45026</v>
      </c>
      <c r="T2252" t="s">
        <v>46467</v>
      </c>
      <c r="U2252" t="s">
        <v>48795</v>
      </c>
      <c r="V2252" t="s">
        <v>59289</v>
      </c>
      <c r="W2252" t="s">
        <v>41875</v>
      </c>
      <c r="X2252" t="s">
        <v>44908</v>
      </c>
    </row>
    <row r="2253" spans="1:24">
      <c r="A2253">
        <f>HYPERLINK("https://www.philgeps.gov.ph/GEPSNONPILOT/Tender/SplashBidNoticeAbstractUI.aspx?menuIndex=3&amp;refID=7084526&amp;Result=3","7084526")</f>
        <v>0</v>
      </c>
      <c r="B2253" t="s">
        <v>534</v>
      </c>
      <c r="C2253" t="s">
        <v>5689</v>
      </c>
      <c r="D2253" t="s">
        <v>18131</v>
      </c>
      <c r="E2253" t="s">
        <v>20268</v>
      </c>
      <c r="F2253" t="s">
        <v>31362</v>
      </c>
      <c r="G2253" t="s">
        <v>31369</v>
      </c>
      <c r="H2253" t="s">
        <v>15799</v>
      </c>
      <c r="I2253" t="s">
        <v>31409</v>
      </c>
      <c r="J2253" t="s">
        <v>33079</v>
      </c>
      <c r="K2253" t="s">
        <v>40665</v>
      </c>
      <c r="M2253" t="s">
        <v>41490</v>
      </c>
      <c r="N2253" t="s">
        <v>44905</v>
      </c>
      <c r="O2253" t="s">
        <v>44906</v>
      </c>
      <c r="P2253">
        <v>0</v>
      </c>
      <c r="Q2253">
        <v>0</v>
      </c>
      <c r="R2253" t="s">
        <v>44907</v>
      </c>
      <c r="S2253" t="s">
        <v>45026</v>
      </c>
      <c r="T2253" t="s">
        <v>46473</v>
      </c>
      <c r="U2253" t="s">
        <v>48796</v>
      </c>
      <c r="W2253" t="s">
        <v>41490</v>
      </c>
      <c r="X2253" t="s">
        <v>44908</v>
      </c>
    </row>
    <row r="2254" spans="1:24">
      <c r="A2254">
        <f>HYPERLINK("https://www.philgeps.gov.ph/GEPSNONPILOT/Tender/SplashBidNoticeAbstractUI.aspx?menuIndex=3&amp;refID=7084525&amp;Result=3","7084525")</f>
        <v>0</v>
      </c>
      <c r="B2254" t="s">
        <v>560</v>
      </c>
      <c r="C2254" t="s">
        <v>5690</v>
      </c>
      <c r="D2254" t="s">
        <v>18106</v>
      </c>
      <c r="E2254" t="s">
        <v>20269</v>
      </c>
      <c r="F2254" t="s">
        <v>31362</v>
      </c>
      <c r="G2254" t="s">
        <v>31368</v>
      </c>
      <c r="H2254" t="s">
        <v>15799</v>
      </c>
      <c r="I2254" t="s">
        <v>31383</v>
      </c>
      <c r="J2254" t="s">
        <v>33080</v>
      </c>
      <c r="K2254" t="s">
        <v>40666</v>
      </c>
      <c r="M2254" t="s">
        <v>41516</v>
      </c>
      <c r="N2254" t="s">
        <v>44905</v>
      </c>
      <c r="O2254" t="s">
        <v>44906</v>
      </c>
      <c r="P2254">
        <v>0</v>
      </c>
      <c r="Q2254">
        <v>4</v>
      </c>
      <c r="R2254" t="s">
        <v>44907</v>
      </c>
      <c r="S2254" t="s">
        <v>45026</v>
      </c>
      <c r="T2254" t="s">
        <v>46409</v>
      </c>
      <c r="U2254" t="s">
        <v>48088</v>
      </c>
      <c r="W2254" t="s">
        <v>41516</v>
      </c>
      <c r="X2254" t="s">
        <v>44908</v>
      </c>
    </row>
    <row r="2255" spans="1:24">
      <c r="A2255">
        <f>HYPERLINK("https://www.philgeps.gov.ph/GEPSNONPILOT/Tender/SplashBidNoticeAbstractUI.aspx?menuIndex=3&amp;refID=7084531&amp;Result=3","7084531")</f>
        <v>0</v>
      </c>
      <c r="B2255" t="s">
        <v>326</v>
      </c>
      <c r="C2255" t="s">
        <v>5691</v>
      </c>
      <c r="D2255" t="s">
        <v>18148</v>
      </c>
      <c r="E2255" t="s">
        <v>20270</v>
      </c>
      <c r="F2255" t="s">
        <v>31362</v>
      </c>
      <c r="G2255" t="s">
        <v>31368</v>
      </c>
      <c r="H2255" t="s">
        <v>15799</v>
      </c>
      <c r="I2255" t="s">
        <v>31479</v>
      </c>
      <c r="J2255" t="s">
        <v>33081</v>
      </c>
      <c r="K2255" t="s">
        <v>40670</v>
      </c>
      <c r="M2255" t="s">
        <v>41272</v>
      </c>
      <c r="N2255" t="s">
        <v>44905</v>
      </c>
      <c r="O2255" t="s">
        <v>44906</v>
      </c>
      <c r="P2255">
        <v>0</v>
      </c>
      <c r="Q2255">
        <v>0</v>
      </c>
      <c r="R2255" t="s">
        <v>44907</v>
      </c>
      <c r="S2255" t="s">
        <v>45026</v>
      </c>
      <c r="T2255" t="s">
        <v>46409</v>
      </c>
      <c r="U2255" t="s">
        <v>48797</v>
      </c>
      <c r="W2255" t="s">
        <v>41272</v>
      </c>
      <c r="X2255" t="s">
        <v>44908</v>
      </c>
    </row>
    <row r="2256" spans="1:24">
      <c r="A2256">
        <f>HYPERLINK("https://www.philgeps.gov.ph/GEPSNONPILOT/Tender/SplashBidNoticeAbstractUI.aspx?menuIndex=3&amp;refID=7084523&amp;Result=3","7084523")</f>
        <v>0</v>
      </c>
      <c r="B2256" t="s">
        <v>888</v>
      </c>
      <c r="C2256" t="s">
        <v>5692</v>
      </c>
      <c r="D2256" t="s">
        <v>18108</v>
      </c>
      <c r="E2256" t="s">
        <v>20271</v>
      </c>
      <c r="F2256" t="s">
        <v>31362</v>
      </c>
      <c r="G2256" t="s">
        <v>31368</v>
      </c>
      <c r="H2256" t="s">
        <v>15799</v>
      </c>
      <c r="I2256" t="s">
        <v>7719</v>
      </c>
      <c r="J2256" t="s">
        <v>33082</v>
      </c>
      <c r="K2256" t="s">
        <v>40661</v>
      </c>
      <c r="M2256" t="s">
        <v>41866</v>
      </c>
      <c r="N2256" t="s">
        <v>44905</v>
      </c>
      <c r="O2256" t="s">
        <v>44906</v>
      </c>
      <c r="P2256">
        <v>0</v>
      </c>
      <c r="Q2256">
        <v>3</v>
      </c>
      <c r="R2256" t="s">
        <v>44907</v>
      </c>
      <c r="S2256" t="s">
        <v>45026</v>
      </c>
      <c r="T2256" t="s">
        <v>46404</v>
      </c>
      <c r="U2256" t="s">
        <v>48778</v>
      </c>
      <c r="W2256" t="s">
        <v>41866</v>
      </c>
      <c r="X2256" t="s">
        <v>44908</v>
      </c>
    </row>
    <row r="2257" spans="1:24">
      <c r="A2257">
        <f>HYPERLINK("https://www.philgeps.gov.ph/GEPSNONPILOT/Tender/SplashBidNoticeAbstractUI.aspx?menuIndex=3&amp;refID=7084519&amp;Result=3","7084519")</f>
        <v>0</v>
      </c>
      <c r="B2257" t="s">
        <v>534</v>
      </c>
      <c r="C2257" t="s">
        <v>5693</v>
      </c>
      <c r="D2257" t="s">
        <v>18131</v>
      </c>
      <c r="E2257" t="s">
        <v>20272</v>
      </c>
      <c r="F2257" t="s">
        <v>31362</v>
      </c>
      <c r="G2257" t="s">
        <v>31369</v>
      </c>
      <c r="H2257" t="s">
        <v>15799</v>
      </c>
      <c r="I2257" t="s">
        <v>31387</v>
      </c>
      <c r="J2257" t="s">
        <v>33083</v>
      </c>
      <c r="K2257" t="s">
        <v>40670</v>
      </c>
      <c r="M2257" t="s">
        <v>41490</v>
      </c>
      <c r="N2257" t="s">
        <v>44905</v>
      </c>
      <c r="O2257" t="s">
        <v>44906</v>
      </c>
      <c r="P2257">
        <v>0</v>
      </c>
      <c r="Q2257">
        <v>0</v>
      </c>
      <c r="R2257" t="s">
        <v>44907</v>
      </c>
      <c r="S2257" t="s">
        <v>45026</v>
      </c>
      <c r="T2257" t="s">
        <v>46473</v>
      </c>
      <c r="U2257" t="s">
        <v>48796</v>
      </c>
      <c r="W2257" t="s">
        <v>41490</v>
      </c>
      <c r="X2257" t="s">
        <v>44908</v>
      </c>
    </row>
    <row r="2258" spans="1:24">
      <c r="A2258">
        <f>HYPERLINK("https://www.philgeps.gov.ph/GEPSNONPILOT/Tender/SplashBidNoticeAbstractUI.aspx?menuIndex=3&amp;refID=7084529&amp;Result=3","7084529")</f>
        <v>0</v>
      </c>
      <c r="B2258" t="s">
        <v>888</v>
      </c>
      <c r="C2258" t="s">
        <v>5694</v>
      </c>
      <c r="D2258" t="s">
        <v>18108</v>
      </c>
      <c r="E2258" t="s">
        <v>20273</v>
      </c>
      <c r="F2258" t="s">
        <v>31362</v>
      </c>
      <c r="G2258" t="s">
        <v>31368</v>
      </c>
      <c r="H2258" t="s">
        <v>15799</v>
      </c>
      <c r="I2258" t="s">
        <v>7719</v>
      </c>
      <c r="J2258" t="s">
        <v>32883</v>
      </c>
      <c r="K2258" t="s">
        <v>40661</v>
      </c>
      <c r="M2258" t="s">
        <v>41866</v>
      </c>
      <c r="N2258" t="s">
        <v>44905</v>
      </c>
      <c r="O2258" t="s">
        <v>44906</v>
      </c>
      <c r="P2258">
        <v>0</v>
      </c>
      <c r="Q2258">
        <v>3</v>
      </c>
      <c r="R2258" t="s">
        <v>44907</v>
      </c>
      <c r="S2258" t="s">
        <v>45026</v>
      </c>
      <c r="T2258" t="s">
        <v>46404</v>
      </c>
      <c r="U2258" t="s">
        <v>48778</v>
      </c>
      <c r="W2258" t="s">
        <v>41866</v>
      </c>
      <c r="X2258" t="s">
        <v>44908</v>
      </c>
    </row>
    <row r="2259" spans="1:24">
      <c r="A2259">
        <f>HYPERLINK("https://www.philgeps.gov.ph/GEPSNONPILOT/Tender/SplashBidNoticeAbstractUI.aspx?menuIndex=3&amp;refID=7084518&amp;Result=3","7084518")</f>
        <v>0</v>
      </c>
      <c r="B2259" t="s">
        <v>326</v>
      </c>
      <c r="C2259" t="s">
        <v>5695</v>
      </c>
      <c r="D2259" t="s">
        <v>18148</v>
      </c>
      <c r="E2259" t="s">
        <v>20274</v>
      </c>
      <c r="F2259" t="s">
        <v>31362</v>
      </c>
      <c r="G2259" t="s">
        <v>31368</v>
      </c>
      <c r="H2259" t="s">
        <v>15799</v>
      </c>
      <c r="I2259" t="s">
        <v>31397</v>
      </c>
      <c r="J2259" t="s">
        <v>33084</v>
      </c>
      <c r="K2259" t="s">
        <v>40670</v>
      </c>
      <c r="M2259" t="s">
        <v>41272</v>
      </c>
      <c r="N2259" t="s">
        <v>44905</v>
      </c>
      <c r="O2259" t="s">
        <v>44906</v>
      </c>
      <c r="P2259">
        <v>0</v>
      </c>
      <c r="Q2259">
        <v>2</v>
      </c>
      <c r="R2259" t="s">
        <v>44907</v>
      </c>
      <c r="S2259" t="s">
        <v>45026</v>
      </c>
      <c r="T2259" t="s">
        <v>46409</v>
      </c>
      <c r="U2259" t="s">
        <v>48798</v>
      </c>
      <c r="W2259" t="s">
        <v>41272</v>
      </c>
      <c r="X2259" t="s">
        <v>44908</v>
      </c>
    </row>
    <row r="2260" spans="1:24">
      <c r="A2260">
        <f>HYPERLINK("https://www.philgeps.gov.ph/GEPSNONPILOT/Tender/SplashBidNoticeAbstractUI.aspx?menuIndex=3&amp;refID=7084481&amp;Result=3","7084481")</f>
        <v>0</v>
      </c>
      <c r="B2260" t="s">
        <v>896</v>
      </c>
      <c r="C2260" t="s">
        <v>5696</v>
      </c>
      <c r="D2260" t="s">
        <v>18151</v>
      </c>
      <c r="E2260" t="s">
        <v>20275</v>
      </c>
      <c r="F2260" t="s">
        <v>31362</v>
      </c>
      <c r="G2260" t="s">
        <v>31369</v>
      </c>
      <c r="H2260" t="s">
        <v>15799</v>
      </c>
      <c r="I2260" t="s">
        <v>3815</v>
      </c>
      <c r="J2260" t="s">
        <v>33085</v>
      </c>
      <c r="K2260" t="s">
        <v>40670</v>
      </c>
      <c r="M2260" t="s">
        <v>41876</v>
      </c>
      <c r="N2260" t="s">
        <v>44905</v>
      </c>
      <c r="O2260" t="s">
        <v>44906</v>
      </c>
      <c r="P2260">
        <v>0</v>
      </c>
      <c r="Q2260">
        <v>0</v>
      </c>
      <c r="R2260" t="s">
        <v>44907</v>
      </c>
      <c r="S2260" t="s">
        <v>45026</v>
      </c>
      <c r="T2260" t="s">
        <v>46397</v>
      </c>
      <c r="U2260" t="s">
        <v>48799</v>
      </c>
      <c r="V2260" t="s">
        <v>59290</v>
      </c>
      <c r="W2260" t="s">
        <v>41876</v>
      </c>
      <c r="X2260" t="s">
        <v>44908</v>
      </c>
    </row>
    <row r="2261" spans="1:24">
      <c r="A2261">
        <f>HYPERLINK("https://www.philgeps.gov.ph/GEPSNONPILOT/Tender/SplashBidNoticeAbstractUI.aspx?menuIndex=3&amp;refID=7084514&amp;Result=3","7084514")</f>
        <v>0</v>
      </c>
      <c r="B2261" t="s">
        <v>897</v>
      </c>
      <c r="C2261" t="s">
        <v>5697</v>
      </c>
      <c r="E2261" t="s">
        <v>20276</v>
      </c>
      <c r="F2261" t="s">
        <v>31362</v>
      </c>
      <c r="G2261" t="s">
        <v>31368</v>
      </c>
      <c r="H2261" t="s">
        <v>15799</v>
      </c>
      <c r="I2261" t="s">
        <v>31453</v>
      </c>
      <c r="J2261" t="s">
        <v>31872</v>
      </c>
      <c r="K2261" t="s">
        <v>40662</v>
      </c>
      <c r="M2261" t="s">
        <v>41877</v>
      </c>
      <c r="N2261" t="s">
        <v>44905</v>
      </c>
      <c r="O2261" t="s">
        <v>44906</v>
      </c>
      <c r="P2261">
        <v>0</v>
      </c>
      <c r="Q2261">
        <v>3</v>
      </c>
      <c r="R2261" t="s">
        <v>44907</v>
      </c>
      <c r="S2261" t="s">
        <v>45026</v>
      </c>
      <c r="T2261" t="s">
        <v>46409</v>
      </c>
      <c r="U2261" t="s">
        <v>48800</v>
      </c>
      <c r="W2261" t="s">
        <v>41877</v>
      </c>
      <c r="X2261" t="s">
        <v>44908</v>
      </c>
    </row>
    <row r="2262" spans="1:24">
      <c r="A2262">
        <f>HYPERLINK("https://www.philgeps.gov.ph/GEPSNONPILOT/Tender/SplashBidNoticeAbstractUI.aspx?menuIndex=3&amp;refID=7084452&amp;Result=3","7084452")</f>
        <v>0</v>
      </c>
      <c r="B2262" t="s">
        <v>593</v>
      </c>
      <c r="C2262" t="s">
        <v>5698</v>
      </c>
      <c r="D2262" t="s">
        <v>18108</v>
      </c>
      <c r="E2262" t="s">
        <v>20277</v>
      </c>
      <c r="F2262" t="s">
        <v>31362</v>
      </c>
      <c r="G2262" t="s">
        <v>31368</v>
      </c>
      <c r="H2262" t="s">
        <v>31378</v>
      </c>
      <c r="I2262" t="s">
        <v>31386</v>
      </c>
      <c r="J2262" t="s">
        <v>33086</v>
      </c>
      <c r="K2262" t="s">
        <v>40682</v>
      </c>
      <c r="M2262" t="s">
        <v>41550</v>
      </c>
      <c r="N2262" t="s">
        <v>44905</v>
      </c>
      <c r="O2262" t="s">
        <v>44906</v>
      </c>
      <c r="P2262">
        <v>0</v>
      </c>
      <c r="Q2262">
        <v>0</v>
      </c>
      <c r="R2262" t="s">
        <v>44907</v>
      </c>
      <c r="S2262" t="s">
        <v>45026</v>
      </c>
      <c r="T2262" t="s">
        <v>46393</v>
      </c>
      <c r="U2262" t="s">
        <v>48757</v>
      </c>
      <c r="W2262" t="s">
        <v>41550</v>
      </c>
      <c r="X2262" t="s">
        <v>44908</v>
      </c>
    </row>
    <row r="2263" spans="1:24">
      <c r="A2263">
        <f>HYPERLINK("https://www.philgeps.gov.ph/GEPSNONPILOT/Tender/SplashBidNoticeAbstractUI.aspx?menuIndex=3&amp;refID=7084537&amp;Result=3","7084537")</f>
        <v>0</v>
      </c>
      <c r="B2263" t="s">
        <v>534</v>
      </c>
      <c r="C2263" t="s">
        <v>5699</v>
      </c>
      <c r="D2263" t="s">
        <v>18131</v>
      </c>
      <c r="E2263" t="s">
        <v>20278</v>
      </c>
      <c r="F2263" t="s">
        <v>31362</v>
      </c>
      <c r="G2263" t="s">
        <v>31369</v>
      </c>
      <c r="H2263" t="s">
        <v>15799</v>
      </c>
      <c r="I2263" t="s">
        <v>31387</v>
      </c>
      <c r="J2263" t="s">
        <v>33087</v>
      </c>
      <c r="K2263" t="s">
        <v>40670</v>
      </c>
      <c r="M2263" t="s">
        <v>41490</v>
      </c>
      <c r="N2263" t="s">
        <v>44905</v>
      </c>
      <c r="O2263" t="s">
        <v>44906</v>
      </c>
      <c r="P2263">
        <v>0</v>
      </c>
      <c r="Q2263">
        <v>0</v>
      </c>
      <c r="R2263" t="s">
        <v>44907</v>
      </c>
      <c r="S2263" t="s">
        <v>45026</v>
      </c>
      <c r="T2263" t="s">
        <v>46473</v>
      </c>
      <c r="U2263" t="s">
        <v>48796</v>
      </c>
      <c r="W2263" t="s">
        <v>41490</v>
      </c>
      <c r="X2263" t="s">
        <v>44908</v>
      </c>
    </row>
    <row r="2264" spans="1:24">
      <c r="A2264">
        <f>HYPERLINK("https://www.philgeps.gov.ph/GEPSNONPILOT/Tender/SplashBidNoticeAbstractUI.aspx?menuIndex=3&amp;refID=7084524&amp;Result=3","7084524")</f>
        <v>0</v>
      </c>
      <c r="B2264" t="s">
        <v>898</v>
      </c>
      <c r="C2264" t="s">
        <v>5700</v>
      </c>
      <c r="D2264" t="s">
        <v>18122</v>
      </c>
      <c r="E2264" t="s">
        <v>20279</v>
      </c>
      <c r="F2264" t="s">
        <v>31362</v>
      </c>
      <c r="G2264" t="s">
        <v>31369</v>
      </c>
      <c r="H2264" t="s">
        <v>15799</v>
      </c>
      <c r="I2264" t="s">
        <v>31384</v>
      </c>
      <c r="J2264" t="s">
        <v>31536</v>
      </c>
      <c r="K2264" t="s">
        <v>40661</v>
      </c>
      <c r="M2264" t="s">
        <v>41878</v>
      </c>
      <c r="N2264" t="s">
        <v>44905</v>
      </c>
      <c r="O2264" t="s">
        <v>44906</v>
      </c>
      <c r="P2264">
        <v>0</v>
      </c>
      <c r="Q2264">
        <v>1</v>
      </c>
      <c r="R2264" t="s">
        <v>44907</v>
      </c>
      <c r="S2264" t="s">
        <v>45026</v>
      </c>
      <c r="T2264" t="s">
        <v>46408</v>
      </c>
      <c r="U2264" t="s">
        <v>48801</v>
      </c>
      <c r="V2264" t="s">
        <v>59291</v>
      </c>
      <c r="W2264" t="s">
        <v>41878</v>
      </c>
      <c r="X2264" t="s">
        <v>44908</v>
      </c>
    </row>
    <row r="2265" spans="1:24">
      <c r="A2265">
        <f>HYPERLINK("https://www.philgeps.gov.ph/GEPSNONPILOT/Tender/SplashBidNoticeAbstractUI.aspx?menuIndex=3&amp;refID=7084517&amp;Result=3","7084517")</f>
        <v>0</v>
      </c>
      <c r="B2265" t="s">
        <v>899</v>
      </c>
      <c r="C2265" t="s">
        <v>5701</v>
      </c>
      <c r="E2265" t="s">
        <v>20280</v>
      </c>
      <c r="F2265" t="s">
        <v>31362</v>
      </c>
      <c r="G2265" t="s">
        <v>31368</v>
      </c>
      <c r="H2265" t="s">
        <v>15799</v>
      </c>
      <c r="I2265" t="s">
        <v>31384</v>
      </c>
      <c r="J2265" t="s">
        <v>33088</v>
      </c>
      <c r="K2265" t="s">
        <v>40675</v>
      </c>
      <c r="M2265" t="s">
        <v>41879</v>
      </c>
      <c r="N2265" t="s">
        <v>44905</v>
      </c>
      <c r="O2265" t="s">
        <v>44906</v>
      </c>
      <c r="P2265">
        <v>0</v>
      </c>
      <c r="Q2265">
        <v>8</v>
      </c>
      <c r="R2265" t="s">
        <v>44907</v>
      </c>
      <c r="S2265" t="s">
        <v>45026</v>
      </c>
      <c r="T2265" t="s">
        <v>46498</v>
      </c>
      <c r="U2265" t="s">
        <v>48802</v>
      </c>
      <c r="W2265" t="s">
        <v>41879</v>
      </c>
      <c r="X2265" t="s">
        <v>44908</v>
      </c>
    </row>
    <row r="2266" spans="1:24">
      <c r="A2266">
        <f>HYPERLINK("https://www.philgeps.gov.ph/GEPSNONPILOT/Tender/SplashBidNoticeAbstractUI.aspx?menuIndex=3&amp;refID=7084516&amp;Result=3","7084516")</f>
        <v>0</v>
      </c>
      <c r="B2266" t="s">
        <v>888</v>
      </c>
      <c r="C2266" t="s">
        <v>5702</v>
      </c>
      <c r="D2266" t="s">
        <v>18108</v>
      </c>
      <c r="E2266" t="s">
        <v>20281</v>
      </c>
      <c r="F2266" t="s">
        <v>31362</v>
      </c>
      <c r="G2266" t="s">
        <v>31368</v>
      </c>
      <c r="H2266" t="s">
        <v>15799</v>
      </c>
      <c r="I2266" t="s">
        <v>7719</v>
      </c>
      <c r="J2266" t="s">
        <v>31545</v>
      </c>
      <c r="K2266" t="s">
        <v>40661</v>
      </c>
      <c r="M2266" t="s">
        <v>41866</v>
      </c>
      <c r="N2266" t="s">
        <v>44905</v>
      </c>
      <c r="O2266" t="s">
        <v>44906</v>
      </c>
      <c r="P2266">
        <v>0</v>
      </c>
      <c r="Q2266">
        <v>4</v>
      </c>
      <c r="R2266" t="s">
        <v>44907</v>
      </c>
      <c r="S2266" t="s">
        <v>45026</v>
      </c>
      <c r="T2266" t="s">
        <v>46404</v>
      </c>
      <c r="U2266" t="s">
        <v>48778</v>
      </c>
      <c r="W2266" t="s">
        <v>41866</v>
      </c>
      <c r="X2266" t="s">
        <v>44908</v>
      </c>
    </row>
    <row r="2267" spans="1:24">
      <c r="A2267">
        <f>HYPERLINK("https://www.philgeps.gov.ph/GEPSNONPILOT/Tender/SplashBidNoticeAbstractUI.aspx?menuIndex=3&amp;refID=7084513&amp;Result=3","7084513")</f>
        <v>0</v>
      </c>
      <c r="B2267" t="s">
        <v>351</v>
      </c>
      <c r="C2267" t="s">
        <v>5703</v>
      </c>
      <c r="D2267" t="s">
        <v>18142</v>
      </c>
      <c r="E2267" t="s">
        <v>20282</v>
      </c>
      <c r="F2267" t="s">
        <v>31362</v>
      </c>
      <c r="G2267" t="s">
        <v>31372</v>
      </c>
      <c r="H2267" t="s">
        <v>15799</v>
      </c>
      <c r="I2267" t="s">
        <v>4283</v>
      </c>
      <c r="J2267" t="s">
        <v>33089</v>
      </c>
      <c r="K2267" t="s">
        <v>40661</v>
      </c>
      <c r="M2267" t="s">
        <v>41880</v>
      </c>
      <c r="N2267" t="s">
        <v>44905</v>
      </c>
      <c r="O2267" t="s">
        <v>44906</v>
      </c>
      <c r="P2267">
        <v>0</v>
      </c>
      <c r="Q2267">
        <v>0</v>
      </c>
      <c r="R2267" t="s">
        <v>44907</v>
      </c>
      <c r="S2267" t="s">
        <v>45026</v>
      </c>
      <c r="T2267" t="s">
        <v>46493</v>
      </c>
      <c r="U2267" t="s">
        <v>48803</v>
      </c>
      <c r="W2267" t="s">
        <v>41880</v>
      </c>
      <c r="X2267" t="s">
        <v>44908</v>
      </c>
    </row>
    <row r="2268" spans="1:24">
      <c r="A2268">
        <f>HYPERLINK("https://www.philgeps.gov.ph/GEPSNONPILOT/Tender/SplashBidNoticeAbstractUI.aspx?menuIndex=3&amp;refID=7084554&amp;Result=3","7084554")</f>
        <v>0</v>
      </c>
      <c r="B2268" t="s">
        <v>900</v>
      </c>
      <c r="C2268" t="s">
        <v>5704</v>
      </c>
      <c r="D2268" t="s">
        <v>18123</v>
      </c>
      <c r="E2268" t="s">
        <v>20283</v>
      </c>
      <c r="F2268" t="s">
        <v>31362</v>
      </c>
      <c r="G2268" t="s">
        <v>31368</v>
      </c>
      <c r="H2268" t="s">
        <v>15799</v>
      </c>
      <c r="I2268" t="s">
        <v>31430</v>
      </c>
      <c r="J2268" t="s">
        <v>33090</v>
      </c>
      <c r="K2268" t="s">
        <v>40666</v>
      </c>
      <c r="M2268" t="s">
        <v>41881</v>
      </c>
      <c r="N2268" t="s">
        <v>44905</v>
      </c>
      <c r="O2268" t="s">
        <v>44906</v>
      </c>
      <c r="P2268">
        <v>0</v>
      </c>
      <c r="Q2268">
        <v>0</v>
      </c>
      <c r="R2268" t="s">
        <v>44907</v>
      </c>
      <c r="S2268" t="s">
        <v>45026</v>
      </c>
      <c r="T2268" t="s">
        <v>46509</v>
      </c>
      <c r="U2268" t="s">
        <v>48804</v>
      </c>
      <c r="W2268" t="s">
        <v>60873</v>
      </c>
      <c r="X2268" t="s">
        <v>44908</v>
      </c>
    </row>
    <row r="2269" spans="1:24">
      <c r="A2269">
        <f>HYPERLINK("https://www.philgeps.gov.ph/GEPSNONPILOT/Tender/SplashBidNoticeAbstractUI.aspx?menuIndex=3&amp;refID=7084512&amp;Result=3","7084512")</f>
        <v>0</v>
      </c>
      <c r="B2269" t="s">
        <v>888</v>
      </c>
      <c r="C2269" t="s">
        <v>5705</v>
      </c>
      <c r="D2269" t="s">
        <v>18108</v>
      </c>
      <c r="E2269" t="s">
        <v>20284</v>
      </c>
      <c r="F2269" t="s">
        <v>31362</v>
      </c>
      <c r="G2269" t="s">
        <v>31368</v>
      </c>
      <c r="H2269" t="s">
        <v>15799</v>
      </c>
      <c r="I2269" t="s">
        <v>31393</v>
      </c>
      <c r="J2269" t="s">
        <v>33091</v>
      </c>
      <c r="K2269" t="s">
        <v>40661</v>
      </c>
      <c r="M2269" t="s">
        <v>41866</v>
      </c>
      <c r="N2269" t="s">
        <v>44905</v>
      </c>
      <c r="O2269" t="s">
        <v>44906</v>
      </c>
      <c r="P2269">
        <v>0</v>
      </c>
      <c r="Q2269">
        <v>6</v>
      </c>
      <c r="R2269" t="s">
        <v>44907</v>
      </c>
      <c r="S2269" t="s">
        <v>45026</v>
      </c>
      <c r="T2269" t="s">
        <v>46404</v>
      </c>
      <c r="U2269" t="s">
        <v>48778</v>
      </c>
      <c r="W2269" t="s">
        <v>41866</v>
      </c>
      <c r="X2269" t="s">
        <v>44908</v>
      </c>
    </row>
    <row r="2270" spans="1:24">
      <c r="A2270">
        <f>HYPERLINK("https://www.philgeps.gov.ph/GEPSNONPILOT/Tender/SplashBidNoticeAbstractUI.aspx?menuIndex=3&amp;refID=7084552&amp;Result=3","7084552")</f>
        <v>0</v>
      </c>
      <c r="B2270" t="s">
        <v>900</v>
      </c>
      <c r="C2270" t="s">
        <v>5706</v>
      </c>
      <c r="D2270" t="s">
        <v>18123</v>
      </c>
      <c r="E2270" t="s">
        <v>20285</v>
      </c>
      <c r="F2270" t="s">
        <v>31362</v>
      </c>
      <c r="G2270" t="s">
        <v>31368</v>
      </c>
      <c r="H2270" t="s">
        <v>15799</v>
      </c>
      <c r="I2270" t="s">
        <v>31391</v>
      </c>
      <c r="J2270" t="s">
        <v>31724</v>
      </c>
      <c r="K2270" t="s">
        <v>40666</v>
      </c>
      <c r="M2270" t="s">
        <v>41881</v>
      </c>
      <c r="N2270" t="s">
        <v>44905</v>
      </c>
      <c r="O2270" t="s">
        <v>44906</v>
      </c>
      <c r="P2270">
        <v>0</v>
      </c>
      <c r="Q2270">
        <v>0</v>
      </c>
      <c r="R2270" t="s">
        <v>44907</v>
      </c>
      <c r="S2270" t="s">
        <v>45026</v>
      </c>
      <c r="T2270" t="s">
        <v>46509</v>
      </c>
      <c r="U2270" t="s">
        <v>48805</v>
      </c>
      <c r="W2270" t="s">
        <v>60873</v>
      </c>
      <c r="X2270" t="s">
        <v>44908</v>
      </c>
    </row>
    <row r="2271" spans="1:24">
      <c r="A2271">
        <f>HYPERLINK("https://www.philgeps.gov.ph/GEPSNONPILOT/Tender/SplashBidNoticeAbstractUI.aspx?menuIndex=3&amp;refID=7084557&amp;Result=3","7084557")</f>
        <v>0</v>
      </c>
      <c r="B2271" t="s">
        <v>901</v>
      </c>
      <c r="C2271" t="s">
        <v>5707</v>
      </c>
      <c r="D2271" t="s">
        <v>18140</v>
      </c>
      <c r="E2271" t="s">
        <v>20286</v>
      </c>
      <c r="F2271" t="s">
        <v>31362</v>
      </c>
      <c r="G2271" t="s">
        <v>31368</v>
      </c>
      <c r="H2271" t="s">
        <v>15799</v>
      </c>
      <c r="I2271" t="s">
        <v>4057</v>
      </c>
      <c r="J2271" t="s">
        <v>33092</v>
      </c>
      <c r="K2271" t="s">
        <v>40715</v>
      </c>
      <c r="M2271" t="s">
        <v>41882</v>
      </c>
      <c r="N2271" t="s">
        <v>44905</v>
      </c>
      <c r="O2271" t="s">
        <v>44906</v>
      </c>
      <c r="P2271">
        <v>0</v>
      </c>
      <c r="Q2271">
        <v>0</v>
      </c>
      <c r="R2271" t="s">
        <v>44907</v>
      </c>
      <c r="S2271" t="s">
        <v>45026</v>
      </c>
      <c r="T2271" t="s">
        <v>46411</v>
      </c>
      <c r="U2271" t="s">
        <v>48806</v>
      </c>
      <c r="W2271" t="s">
        <v>41882</v>
      </c>
      <c r="X2271" t="s">
        <v>44908</v>
      </c>
    </row>
    <row r="2272" spans="1:24">
      <c r="A2272">
        <f>HYPERLINK("https://www.philgeps.gov.ph/GEPSNONPILOT/Tender/SplashBidNoticeAbstractUI.aspx?menuIndex=3&amp;refID=7084483&amp;Result=3","7084483")</f>
        <v>0</v>
      </c>
      <c r="B2272" t="s">
        <v>892</v>
      </c>
      <c r="C2272" t="s">
        <v>5708</v>
      </c>
      <c r="D2272" t="s">
        <v>18108</v>
      </c>
      <c r="E2272" t="s">
        <v>20287</v>
      </c>
      <c r="F2272" t="s">
        <v>31362</v>
      </c>
      <c r="G2272" t="s">
        <v>31371</v>
      </c>
      <c r="H2272" t="s">
        <v>15799</v>
      </c>
      <c r="I2272" t="s">
        <v>31385</v>
      </c>
      <c r="J2272" t="s">
        <v>31578</v>
      </c>
      <c r="K2272" t="s">
        <v>40666</v>
      </c>
      <c r="M2272" t="s">
        <v>41871</v>
      </c>
      <c r="N2272" t="s">
        <v>44905</v>
      </c>
      <c r="O2272" t="s">
        <v>44906</v>
      </c>
      <c r="P2272">
        <v>0</v>
      </c>
      <c r="Q2272">
        <v>6</v>
      </c>
      <c r="R2272" t="s">
        <v>44907</v>
      </c>
      <c r="S2272" t="s">
        <v>45026</v>
      </c>
      <c r="T2272" t="s">
        <v>46417</v>
      </c>
      <c r="U2272" t="s">
        <v>47268</v>
      </c>
      <c r="W2272" t="s">
        <v>41871</v>
      </c>
      <c r="X2272" t="s">
        <v>44908</v>
      </c>
    </row>
    <row r="2273" spans="1:24">
      <c r="A2273">
        <f>HYPERLINK("https://www.philgeps.gov.ph/GEPSNONPILOT/Tender/SplashBidNoticeAbstractUI.aspx?menuIndex=3&amp;refID=7084556&amp;Result=3","7084556")</f>
        <v>0</v>
      </c>
      <c r="B2273" t="s">
        <v>900</v>
      </c>
      <c r="C2273" t="s">
        <v>5709</v>
      </c>
      <c r="D2273" t="s">
        <v>18123</v>
      </c>
      <c r="E2273" t="s">
        <v>20288</v>
      </c>
      <c r="F2273" t="s">
        <v>31362</v>
      </c>
      <c r="G2273" t="s">
        <v>31368</v>
      </c>
      <c r="H2273" t="s">
        <v>15799</v>
      </c>
      <c r="I2273" t="s">
        <v>31430</v>
      </c>
      <c r="J2273" t="s">
        <v>33093</v>
      </c>
      <c r="K2273" t="s">
        <v>40666</v>
      </c>
      <c r="M2273" t="s">
        <v>41881</v>
      </c>
      <c r="N2273" t="s">
        <v>44905</v>
      </c>
      <c r="O2273" t="s">
        <v>44906</v>
      </c>
      <c r="P2273">
        <v>0</v>
      </c>
      <c r="Q2273">
        <v>0</v>
      </c>
      <c r="R2273" t="s">
        <v>44907</v>
      </c>
      <c r="S2273" t="s">
        <v>45026</v>
      </c>
      <c r="T2273" t="s">
        <v>46509</v>
      </c>
      <c r="U2273" t="s">
        <v>48807</v>
      </c>
      <c r="W2273" t="s">
        <v>60873</v>
      </c>
      <c r="X2273" t="s">
        <v>44908</v>
      </c>
    </row>
    <row r="2274" spans="1:24">
      <c r="A2274">
        <f>HYPERLINK("https://www.philgeps.gov.ph/GEPSNONPILOT/Tender/SplashBidNoticeAbstractUI.aspx?menuIndex=3&amp;refID=7084549&amp;Result=3","7084549")</f>
        <v>0</v>
      </c>
      <c r="B2274" t="s">
        <v>902</v>
      </c>
      <c r="C2274" t="s">
        <v>5710</v>
      </c>
      <c r="D2274" t="s">
        <v>18104</v>
      </c>
      <c r="E2274" t="s">
        <v>20289</v>
      </c>
      <c r="F2274" t="s">
        <v>31362</v>
      </c>
      <c r="G2274" t="s">
        <v>31368</v>
      </c>
      <c r="H2274" t="s">
        <v>15799</v>
      </c>
      <c r="I2274" t="s">
        <v>31380</v>
      </c>
      <c r="J2274" t="s">
        <v>33094</v>
      </c>
      <c r="K2274" t="s">
        <v>40661</v>
      </c>
      <c r="M2274" t="s">
        <v>41883</v>
      </c>
      <c r="N2274" t="s">
        <v>44905</v>
      </c>
      <c r="O2274" t="s">
        <v>44906</v>
      </c>
      <c r="P2274">
        <v>0</v>
      </c>
      <c r="Q2274">
        <v>6</v>
      </c>
      <c r="R2274" t="s">
        <v>44907</v>
      </c>
      <c r="S2274" t="s">
        <v>45026</v>
      </c>
      <c r="T2274" t="s">
        <v>46432</v>
      </c>
      <c r="U2274" t="s">
        <v>48808</v>
      </c>
      <c r="W2274" t="s">
        <v>41883</v>
      </c>
      <c r="X2274" t="s">
        <v>44908</v>
      </c>
    </row>
    <row r="2275" spans="1:24">
      <c r="A2275">
        <f>HYPERLINK("https://www.philgeps.gov.ph/GEPSNONPILOT/Tender/SplashBidNoticeAbstractUI.aspx?menuIndex=3&amp;refID=7084547&amp;Result=3","7084547")</f>
        <v>0</v>
      </c>
      <c r="B2275" t="s">
        <v>888</v>
      </c>
      <c r="C2275" t="s">
        <v>5711</v>
      </c>
      <c r="D2275" t="s">
        <v>18108</v>
      </c>
      <c r="E2275" t="s">
        <v>20290</v>
      </c>
      <c r="F2275" t="s">
        <v>31362</v>
      </c>
      <c r="G2275" t="s">
        <v>31368</v>
      </c>
      <c r="H2275" t="s">
        <v>15799</v>
      </c>
      <c r="I2275" t="s">
        <v>7719</v>
      </c>
      <c r="J2275" t="s">
        <v>33095</v>
      </c>
      <c r="K2275" t="s">
        <v>40661</v>
      </c>
      <c r="M2275" t="s">
        <v>41866</v>
      </c>
      <c r="N2275" t="s">
        <v>44905</v>
      </c>
      <c r="O2275" t="s">
        <v>44906</v>
      </c>
      <c r="P2275">
        <v>0</v>
      </c>
      <c r="Q2275">
        <v>4</v>
      </c>
      <c r="R2275" t="s">
        <v>44907</v>
      </c>
      <c r="S2275" t="s">
        <v>45026</v>
      </c>
      <c r="T2275" t="s">
        <v>46404</v>
      </c>
      <c r="U2275" t="s">
        <v>48778</v>
      </c>
      <c r="W2275" t="s">
        <v>41866</v>
      </c>
      <c r="X2275" t="s">
        <v>44908</v>
      </c>
    </row>
    <row r="2276" spans="1:24">
      <c r="A2276">
        <f>HYPERLINK("https://www.philgeps.gov.ph/GEPSNONPILOT/Tender/SplashBidNoticeAbstractUI.aspx?menuIndex=3&amp;refID=7084551&amp;Result=3","7084551")</f>
        <v>0</v>
      </c>
      <c r="B2276" t="s">
        <v>900</v>
      </c>
      <c r="C2276" t="s">
        <v>5712</v>
      </c>
      <c r="D2276" t="s">
        <v>18123</v>
      </c>
      <c r="E2276" t="s">
        <v>20291</v>
      </c>
      <c r="F2276" t="s">
        <v>31362</v>
      </c>
      <c r="G2276" t="s">
        <v>31368</v>
      </c>
      <c r="H2276" t="s">
        <v>15799</v>
      </c>
      <c r="I2276" t="s">
        <v>6155</v>
      </c>
      <c r="J2276" t="s">
        <v>33096</v>
      </c>
      <c r="K2276" t="s">
        <v>40678</v>
      </c>
      <c r="M2276" t="s">
        <v>41881</v>
      </c>
      <c r="N2276" t="s">
        <v>44905</v>
      </c>
      <c r="O2276" t="s">
        <v>44906</v>
      </c>
      <c r="P2276">
        <v>0</v>
      </c>
      <c r="Q2276">
        <v>2</v>
      </c>
      <c r="R2276" t="s">
        <v>44907</v>
      </c>
      <c r="S2276" t="s">
        <v>45026</v>
      </c>
      <c r="T2276" t="s">
        <v>46509</v>
      </c>
      <c r="U2276" t="s">
        <v>48809</v>
      </c>
      <c r="W2276" t="s">
        <v>60873</v>
      </c>
      <c r="X2276" t="s">
        <v>44908</v>
      </c>
    </row>
    <row r="2277" spans="1:24">
      <c r="A2277">
        <f>HYPERLINK("https://www.philgeps.gov.ph/GEPSNONPILOT/Tender/SplashBidNoticeAbstractUI.aspx?menuIndex=3&amp;refID=7084545&amp;Result=3","7084545")</f>
        <v>0</v>
      </c>
      <c r="B2277" t="s">
        <v>534</v>
      </c>
      <c r="C2277" t="s">
        <v>5713</v>
      </c>
      <c r="D2277" t="s">
        <v>18131</v>
      </c>
      <c r="E2277" t="s">
        <v>20292</v>
      </c>
      <c r="F2277" t="s">
        <v>31362</v>
      </c>
      <c r="G2277" t="s">
        <v>31369</v>
      </c>
      <c r="H2277" t="s">
        <v>15799</v>
      </c>
      <c r="I2277" t="s">
        <v>31409</v>
      </c>
      <c r="J2277" t="s">
        <v>33097</v>
      </c>
      <c r="K2277" t="s">
        <v>40665</v>
      </c>
      <c r="M2277" t="s">
        <v>41490</v>
      </c>
      <c r="N2277" t="s">
        <v>44905</v>
      </c>
      <c r="O2277" t="s">
        <v>44906</v>
      </c>
      <c r="P2277">
        <v>0</v>
      </c>
      <c r="Q2277">
        <v>2</v>
      </c>
      <c r="R2277" t="s">
        <v>44907</v>
      </c>
      <c r="S2277" t="s">
        <v>45026</v>
      </c>
      <c r="T2277" t="s">
        <v>46449</v>
      </c>
      <c r="U2277" t="s">
        <v>48796</v>
      </c>
      <c r="W2277" t="s">
        <v>41490</v>
      </c>
      <c r="X2277" t="s">
        <v>44908</v>
      </c>
    </row>
    <row r="2278" spans="1:24">
      <c r="A2278">
        <f>HYPERLINK("https://www.philgeps.gov.ph/GEPSNONPILOT/Tender/SplashBidNoticeAbstractUI.aspx?menuIndex=3&amp;refID=7084550&amp;Result=3","7084550")</f>
        <v>0</v>
      </c>
      <c r="B2278" t="s">
        <v>534</v>
      </c>
      <c r="C2278" t="s">
        <v>5714</v>
      </c>
      <c r="D2278" t="s">
        <v>18131</v>
      </c>
      <c r="E2278" t="s">
        <v>20293</v>
      </c>
      <c r="F2278" t="s">
        <v>31362</v>
      </c>
      <c r="G2278" t="s">
        <v>31369</v>
      </c>
      <c r="H2278" t="s">
        <v>31378</v>
      </c>
      <c r="I2278" t="s">
        <v>31386</v>
      </c>
      <c r="J2278" t="s">
        <v>32239</v>
      </c>
      <c r="K2278" t="s">
        <v>40713</v>
      </c>
      <c r="M2278" t="s">
        <v>41490</v>
      </c>
      <c r="N2278" t="s">
        <v>44905</v>
      </c>
      <c r="O2278" t="s">
        <v>44906</v>
      </c>
      <c r="P2278">
        <v>0</v>
      </c>
      <c r="Q2278">
        <v>6</v>
      </c>
      <c r="R2278" t="s">
        <v>44907</v>
      </c>
      <c r="S2278" t="s">
        <v>45026</v>
      </c>
      <c r="T2278" t="s">
        <v>46473</v>
      </c>
      <c r="U2278" t="s">
        <v>48796</v>
      </c>
      <c r="V2278" t="s">
        <v>59292</v>
      </c>
      <c r="W2278" t="s">
        <v>41490</v>
      </c>
      <c r="X2278" t="s">
        <v>44908</v>
      </c>
    </row>
    <row r="2279" spans="1:24">
      <c r="A2279">
        <f>HYPERLINK("https://www.philgeps.gov.ph/GEPSNONPILOT/Tender/SplashBidNoticeAbstractUI.aspx?menuIndex=3&amp;refID=7084544&amp;Result=3","7084544")</f>
        <v>0</v>
      </c>
      <c r="B2279" t="s">
        <v>902</v>
      </c>
      <c r="C2279" t="s">
        <v>5715</v>
      </c>
      <c r="D2279" t="s">
        <v>18104</v>
      </c>
      <c r="E2279" t="s">
        <v>20294</v>
      </c>
      <c r="F2279" t="s">
        <v>31362</v>
      </c>
      <c r="G2279" t="s">
        <v>31368</v>
      </c>
      <c r="H2279" t="s">
        <v>15799</v>
      </c>
      <c r="I2279" t="s">
        <v>31385</v>
      </c>
      <c r="J2279" t="s">
        <v>32522</v>
      </c>
      <c r="K2279" t="s">
        <v>40666</v>
      </c>
      <c r="M2279" t="s">
        <v>41883</v>
      </c>
      <c r="N2279" t="s">
        <v>44905</v>
      </c>
      <c r="O2279" t="s">
        <v>44906</v>
      </c>
      <c r="P2279">
        <v>0</v>
      </c>
      <c r="Q2279">
        <v>3</v>
      </c>
      <c r="R2279" t="s">
        <v>44907</v>
      </c>
      <c r="S2279" t="s">
        <v>45026</v>
      </c>
      <c r="T2279" t="s">
        <v>46432</v>
      </c>
      <c r="U2279" t="s">
        <v>48808</v>
      </c>
      <c r="W2279" t="s">
        <v>41883</v>
      </c>
      <c r="X2279" t="s">
        <v>44908</v>
      </c>
    </row>
    <row r="2280" spans="1:24">
      <c r="A2280">
        <f>HYPERLINK("https://www.philgeps.gov.ph/GEPSNONPILOT/Tender/SplashBidNoticeAbstractUI.aspx?menuIndex=3&amp;refID=7084541&amp;Result=3","7084541")</f>
        <v>0</v>
      </c>
      <c r="B2280" t="s">
        <v>900</v>
      </c>
      <c r="C2280" t="s">
        <v>5716</v>
      </c>
      <c r="D2280" t="s">
        <v>18123</v>
      </c>
      <c r="E2280" t="s">
        <v>20295</v>
      </c>
      <c r="F2280" t="s">
        <v>31362</v>
      </c>
      <c r="G2280" t="s">
        <v>31368</v>
      </c>
      <c r="H2280" t="s">
        <v>15799</v>
      </c>
      <c r="I2280" t="s">
        <v>4057</v>
      </c>
      <c r="J2280" t="s">
        <v>33098</v>
      </c>
      <c r="K2280" t="s">
        <v>40679</v>
      </c>
      <c r="M2280" t="s">
        <v>41881</v>
      </c>
      <c r="N2280" t="s">
        <v>44905</v>
      </c>
      <c r="O2280" t="s">
        <v>44906</v>
      </c>
      <c r="P2280">
        <v>0</v>
      </c>
      <c r="Q2280">
        <v>0</v>
      </c>
      <c r="R2280" t="s">
        <v>44907</v>
      </c>
      <c r="S2280" t="s">
        <v>45026</v>
      </c>
      <c r="T2280" t="s">
        <v>46509</v>
      </c>
      <c r="U2280" t="s">
        <v>48810</v>
      </c>
      <c r="W2280" t="s">
        <v>60873</v>
      </c>
      <c r="X2280" t="s">
        <v>44908</v>
      </c>
    </row>
    <row r="2281" spans="1:24">
      <c r="A2281">
        <f>HYPERLINK("https://www.philgeps.gov.ph/GEPSNONPILOT/Tender/SplashBidNoticeAbstractUI.aspx?menuIndex=3&amp;refID=7084540&amp;Result=3","7084540")</f>
        <v>0</v>
      </c>
      <c r="B2281" t="s">
        <v>121</v>
      </c>
      <c r="C2281" t="s">
        <v>5717</v>
      </c>
      <c r="D2281" t="s">
        <v>18144</v>
      </c>
      <c r="E2281" t="s">
        <v>20296</v>
      </c>
      <c r="F2281" t="s">
        <v>31362</v>
      </c>
      <c r="G2281" t="s">
        <v>31369</v>
      </c>
      <c r="H2281" t="s">
        <v>15799</v>
      </c>
      <c r="I2281" t="s">
        <v>31480</v>
      </c>
      <c r="J2281" t="s">
        <v>32837</v>
      </c>
      <c r="K2281" t="s">
        <v>40661</v>
      </c>
      <c r="M2281" t="s">
        <v>41058</v>
      </c>
      <c r="N2281" t="s">
        <v>44905</v>
      </c>
      <c r="O2281" t="s">
        <v>44906</v>
      </c>
      <c r="P2281">
        <v>0</v>
      </c>
      <c r="Q2281">
        <v>0</v>
      </c>
      <c r="R2281" t="s">
        <v>44907</v>
      </c>
      <c r="S2281" t="s">
        <v>45026</v>
      </c>
      <c r="T2281" t="s">
        <v>46433</v>
      </c>
      <c r="U2281" t="s">
        <v>48811</v>
      </c>
      <c r="W2281" t="s">
        <v>41058</v>
      </c>
      <c r="X2281" t="s">
        <v>44908</v>
      </c>
    </row>
    <row r="2282" spans="1:24">
      <c r="A2282">
        <f>HYPERLINK("https://www.philgeps.gov.ph/GEPSNONPILOT/Tender/SplashBidNoticeAbstractUI.aspx?menuIndex=3&amp;refID=7084538&amp;Result=3","7084538")</f>
        <v>0</v>
      </c>
      <c r="B2282" t="s">
        <v>902</v>
      </c>
      <c r="C2282" t="s">
        <v>5718</v>
      </c>
      <c r="D2282" t="s">
        <v>18104</v>
      </c>
      <c r="E2282" t="s">
        <v>20297</v>
      </c>
      <c r="F2282" t="s">
        <v>31362</v>
      </c>
      <c r="G2282" t="s">
        <v>31368</v>
      </c>
      <c r="H2282" t="s">
        <v>15799</v>
      </c>
      <c r="I2282" t="s">
        <v>31404</v>
      </c>
      <c r="J2282" t="s">
        <v>33099</v>
      </c>
      <c r="K2282" t="s">
        <v>40665</v>
      </c>
      <c r="M2282" t="s">
        <v>41883</v>
      </c>
      <c r="N2282" t="s">
        <v>44905</v>
      </c>
      <c r="O2282" t="s">
        <v>44906</v>
      </c>
      <c r="P2282">
        <v>0</v>
      </c>
      <c r="Q2282">
        <v>0</v>
      </c>
      <c r="R2282" t="s">
        <v>44907</v>
      </c>
      <c r="S2282" t="s">
        <v>45026</v>
      </c>
      <c r="T2282" t="s">
        <v>46432</v>
      </c>
      <c r="U2282" t="s">
        <v>48808</v>
      </c>
      <c r="W2282" t="s">
        <v>41883</v>
      </c>
      <c r="X2282" t="s">
        <v>44908</v>
      </c>
    </row>
    <row r="2283" spans="1:24">
      <c r="A2283">
        <f>HYPERLINK("https://www.philgeps.gov.ph/GEPSNONPILOT/Tender/SplashBidNoticeAbstractUI.aspx?menuIndex=3&amp;refID=7084559&amp;Result=3","7084559")</f>
        <v>0</v>
      </c>
      <c r="B2283" t="s">
        <v>534</v>
      </c>
      <c r="C2283" t="s">
        <v>5719</v>
      </c>
      <c r="D2283" t="s">
        <v>18131</v>
      </c>
      <c r="E2283" t="s">
        <v>20298</v>
      </c>
      <c r="F2283" t="s">
        <v>31362</v>
      </c>
      <c r="G2283" t="s">
        <v>31369</v>
      </c>
      <c r="H2283" t="s">
        <v>31378</v>
      </c>
      <c r="I2283" t="s">
        <v>31386</v>
      </c>
      <c r="J2283" t="s">
        <v>33100</v>
      </c>
      <c r="K2283" t="s">
        <v>40748</v>
      </c>
      <c r="M2283" t="s">
        <v>41490</v>
      </c>
      <c r="N2283" t="s">
        <v>44905</v>
      </c>
      <c r="O2283" t="s">
        <v>44906</v>
      </c>
      <c r="P2283">
        <v>0</v>
      </c>
      <c r="Q2283">
        <v>8</v>
      </c>
      <c r="R2283" t="s">
        <v>44907</v>
      </c>
      <c r="S2283" t="s">
        <v>45026</v>
      </c>
      <c r="T2283" t="s">
        <v>46449</v>
      </c>
      <c r="U2283" t="s">
        <v>48796</v>
      </c>
      <c r="V2283" t="s">
        <v>59292</v>
      </c>
      <c r="W2283" t="s">
        <v>41490</v>
      </c>
      <c r="X2283" t="s">
        <v>44908</v>
      </c>
    </row>
    <row r="2284" spans="1:24">
      <c r="A2284">
        <f>HYPERLINK("https://www.philgeps.gov.ph/GEPSNONPILOT/Tender/SplashBidNoticeAbstractUI.aspx?menuIndex=3&amp;refID=7084511&amp;Result=3","7084511")</f>
        <v>0</v>
      </c>
      <c r="B2284" t="s">
        <v>534</v>
      </c>
      <c r="C2284" t="s">
        <v>5720</v>
      </c>
      <c r="D2284" t="s">
        <v>18131</v>
      </c>
      <c r="E2284" t="s">
        <v>20299</v>
      </c>
      <c r="F2284" t="s">
        <v>31362</v>
      </c>
      <c r="G2284" t="s">
        <v>31369</v>
      </c>
      <c r="H2284" t="s">
        <v>15799</v>
      </c>
      <c r="I2284" t="s">
        <v>7090</v>
      </c>
      <c r="J2284" t="s">
        <v>33101</v>
      </c>
      <c r="K2284" t="s">
        <v>40670</v>
      </c>
      <c r="M2284" t="s">
        <v>41490</v>
      </c>
      <c r="N2284" t="s">
        <v>44905</v>
      </c>
      <c r="O2284" t="s">
        <v>44906</v>
      </c>
      <c r="P2284">
        <v>0</v>
      </c>
      <c r="Q2284">
        <v>3</v>
      </c>
      <c r="R2284" t="s">
        <v>44907</v>
      </c>
      <c r="S2284" t="s">
        <v>45026</v>
      </c>
      <c r="T2284" t="s">
        <v>46473</v>
      </c>
      <c r="U2284" t="s">
        <v>48796</v>
      </c>
      <c r="W2284" t="s">
        <v>41490</v>
      </c>
      <c r="X2284" t="s">
        <v>44908</v>
      </c>
    </row>
    <row r="2285" spans="1:24">
      <c r="A2285">
        <f>HYPERLINK("https://www.philgeps.gov.ph/GEPSNONPILOT/Tender/SplashBidNoticeAbstractUI.aspx?menuIndex=3&amp;refID=7084510&amp;Result=3","7084510")</f>
        <v>0</v>
      </c>
      <c r="B2285" t="s">
        <v>560</v>
      </c>
      <c r="C2285" t="s">
        <v>5721</v>
      </c>
      <c r="D2285" t="s">
        <v>18106</v>
      </c>
      <c r="E2285" t="s">
        <v>20300</v>
      </c>
      <c r="F2285" t="s">
        <v>31362</v>
      </c>
      <c r="G2285" t="s">
        <v>31368</v>
      </c>
      <c r="H2285" t="s">
        <v>15799</v>
      </c>
      <c r="I2285" t="s">
        <v>31393</v>
      </c>
      <c r="J2285" t="s">
        <v>32721</v>
      </c>
      <c r="K2285" t="s">
        <v>40666</v>
      </c>
      <c r="M2285" t="s">
        <v>41516</v>
      </c>
      <c r="N2285" t="s">
        <v>44905</v>
      </c>
      <c r="O2285" t="s">
        <v>44906</v>
      </c>
      <c r="P2285">
        <v>0</v>
      </c>
      <c r="Q2285">
        <v>5</v>
      </c>
      <c r="R2285" t="s">
        <v>44907</v>
      </c>
      <c r="S2285" t="s">
        <v>45026</v>
      </c>
      <c r="T2285" t="s">
        <v>46409</v>
      </c>
      <c r="U2285" t="s">
        <v>48088</v>
      </c>
      <c r="W2285" t="s">
        <v>41516</v>
      </c>
      <c r="X2285" t="s">
        <v>44908</v>
      </c>
    </row>
    <row r="2286" spans="1:24">
      <c r="A2286">
        <f>HYPERLINK("https://www.philgeps.gov.ph/GEPSNONPILOT/Tender/SplashBidNoticeAbstractUI.aspx?menuIndex=3&amp;refID=7084508&amp;Result=3","7084508")</f>
        <v>0</v>
      </c>
      <c r="B2286" t="s">
        <v>103</v>
      </c>
      <c r="C2286" t="s">
        <v>5722</v>
      </c>
      <c r="D2286" t="s">
        <v>18137</v>
      </c>
      <c r="E2286" t="s">
        <v>20301</v>
      </c>
      <c r="F2286" t="s">
        <v>31362</v>
      </c>
      <c r="G2286" t="s">
        <v>31369</v>
      </c>
      <c r="H2286" t="s">
        <v>31378</v>
      </c>
      <c r="I2286" t="s">
        <v>31386</v>
      </c>
      <c r="J2286" t="s">
        <v>33102</v>
      </c>
      <c r="K2286" t="s">
        <v>40691</v>
      </c>
      <c r="M2286" t="s">
        <v>41040</v>
      </c>
      <c r="N2286" t="s">
        <v>44905</v>
      </c>
      <c r="O2286" t="s">
        <v>44906</v>
      </c>
      <c r="P2286">
        <v>0</v>
      </c>
      <c r="Q2286">
        <v>0</v>
      </c>
      <c r="R2286" t="s">
        <v>44907</v>
      </c>
      <c r="S2286" t="s">
        <v>45026</v>
      </c>
      <c r="T2286" t="s">
        <v>46401</v>
      </c>
      <c r="U2286" t="s">
        <v>48812</v>
      </c>
      <c r="W2286" t="s">
        <v>41040</v>
      </c>
      <c r="X2286" t="s">
        <v>44908</v>
      </c>
    </row>
    <row r="2287" spans="1:24">
      <c r="A2287">
        <f>HYPERLINK("https://www.philgeps.gov.ph/GEPSNONPILOT/Tender/SplashBidNoticeAbstractUI.aspx?menuIndex=3&amp;refID=7084548&amp;Result=3","7084548")</f>
        <v>0</v>
      </c>
      <c r="B2287" t="s">
        <v>903</v>
      </c>
      <c r="C2287" t="s">
        <v>5723</v>
      </c>
      <c r="D2287" t="s">
        <v>18127</v>
      </c>
      <c r="E2287" t="s">
        <v>20244</v>
      </c>
      <c r="F2287" t="s">
        <v>31362</v>
      </c>
      <c r="G2287" t="s">
        <v>31369</v>
      </c>
      <c r="H2287" t="s">
        <v>31378</v>
      </c>
      <c r="I2287" t="s">
        <v>31386</v>
      </c>
      <c r="J2287" t="s">
        <v>33103</v>
      </c>
      <c r="K2287" t="s">
        <v>40675</v>
      </c>
      <c r="M2287" t="s">
        <v>41884</v>
      </c>
      <c r="N2287" t="s">
        <v>44905</v>
      </c>
      <c r="O2287" t="s">
        <v>44906</v>
      </c>
      <c r="P2287">
        <v>0</v>
      </c>
      <c r="Q2287">
        <v>0</v>
      </c>
      <c r="R2287" t="s">
        <v>44907</v>
      </c>
      <c r="S2287" t="s">
        <v>45026</v>
      </c>
      <c r="T2287" t="s">
        <v>46521</v>
      </c>
      <c r="U2287" t="s">
        <v>48813</v>
      </c>
      <c r="V2287" t="s">
        <v>59285</v>
      </c>
      <c r="W2287" t="s">
        <v>41884</v>
      </c>
      <c r="X2287" t="s">
        <v>44908</v>
      </c>
    </row>
    <row r="2288" spans="1:24">
      <c r="A2288">
        <f>HYPERLINK("https://www.philgeps.gov.ph/GEPSNONPILOT/Tender/SplashBidNoticeAbstractUI.aspx?menuIndex=3&amp;refID=7084534&amp;Result=3","7084534")</f>
        <v>0</v>
      </c>
      <c r="B2288" t="s">
        <v>884</v>
      </c>
      <c r="C2288" t="s">
        <v>5724</v>
      </c>
      <c r="D2288" t="s">
        <v>18127</v>
      </c>
      <c r="E2288" t="s">
        <v>20302</v>
      </c>
      <c r="F2288" t="s">
        <v>31362</v>
      </c>
      <c r="G2288" t="s">
        <v>31369</v>
      </c>
      <c r="H2288" t="s">
        <v>31378</v>
      </c>
      <c r="I2288" t="s">
        <v>31386</v>
      </c>
      <c r="J2288" t="s">
        <v>33104</v>
      </c>
      <c r="K2288" t="s">
        <v>40675</v>
      </c>
      <c r="M2288" t="s">
        <v>41862</v>
      </c>
      <c r="N2288" t="s">
        <v>44905</v>
      </c>
      <c r="O2288" t="s">
        <v>44906</v>
      </c>
      <c r="P2288">
        <v>0</v>
      </c>
      <c r="Q2288">
        <v>0</v>
      </c>
      <c r="R2288" t="s">
        <v>44907</v>
      </c>
      <c r="S2288" t="s">
        <v>45026</v>
      </c>
      <c r="T2288" t="s">
        <v>46521</v>
      </c>
      <c r="U2288" t="s">
        <v>48814</v>
      </c>
      <c r="V2288" t="s">
        <v>59285</v>
      </c>
      <c r="W2288" t="s">
        <v>41862</v>
      </c>
      <c r="X2288" t="s">
        <v>44908</v>
      </c>
    </row>
    <row r="2289" spans="1:24">
      <c r="A2289">
        <f>HYPERLINK("https://www.philgeps.gov.ph/GEPSNONPILOT/Tender/SplashBidNoticeAbstractUI.aspx?menuIndex=3&amp;refID=7084448&amp;Result=3","7084448")</f>
        <v>0</v>
      </c>
      <c r="B2289" t="s">
        <v>108</v>
      </c>
      <c r="C2289" t="s">
        <v>5653</v>
      </c>
      <c r="D2289" t="s">
        <v>18139</v>
      </c>
      <c r="E2289" t="s">
        <v>20303</v>
      </c>
      <c r="F2289" t="s">
        <v>31362</v>
      </c>
      <c r="G2289" t="s">
        <v>31369</v>
      </c>
      <c r="H2289" t="s">
        <v>31378</v>
      </c>
      <c r="I2289" t="s">
        <v>31386</v>
      </c>
      <c r="J2289" t="s">
        <v>33105</v>
      </c>
      <c r="K2289" t="s">
        <v>40683</v>
      </c>
      <c r="M2289" t="s">
        <v>41860</v>
      </c>
      <c r="N2289" t="s">
        <v>44905</v>
      </c>
      <c r="O2289" t="s">
        <v>44906</v>
      </c>
      <c r="P2289">
        <v>0</v>
      </c>
      <c r="Q2289">
        <v>0</v>
      </c>
      <c r="R2289" t="s">
        <v>44907</v>
      </c>
      <c r="S2289" t="s">
        <v>45026</v>
      </c>
      <c r="T2289" t="s">
        <v>46568</v>
      </c>
      <c r="U2289" t="s">
        <v>48765</v>
      </c>
      <c r="W2289" t="s">
        <v>41860</v>
      </c>
      <c r="X2289" t="s">
        <v>44908</v>
      </c>
    </row>
    <row r="2290" spans="1:24">
      <c r="A2290">
        <f>HYPERLINK("https://www.philgeps.gov.ph/GEPSNONPILOT/Tender/SplashBidNoticeAbstractUI.aspx?menuIndex=3&amp;refID=7084539&amp;Result=3","7084539")</f>
        <v>0</v>
      </c>
      <c r="B2290" t="s">
        <v>904</v>
      </c>
      <c r="C2290" t="s">
        <v>5725</v>
      </c>
      <c r="D2290" t="s">
        <v>18127</v>
      </c>
      <c r="E2290" t="s">
        <v>20244</v>
      </c>
      <c r="F2290" t="s">
        <v>31362</v>
      </c>
      <c r="G2290" t="s">
        <v>31369</v>
      </c>
      <c r="H2290" t="s">
        <v>31378</v>
      </c>
      <c r="I2290" t="s">
        <v>31386</v>
      </c>
      <c r="J2290" t="s">
        <v>31531</v>
      </c>
      <c r="K2290" t="s">
        <v>40675</v>
      </c>
      <c r="M2290" t="s">
        <v>41885</v>
      </c>
      <c r="N2290" t="s">
        <v>44905</v>
      </c>
      <c r="O2290" t="s">
        <v>44906</v>
      </c>
      <c r="P2290">
        <v>0</v>
      </c>
      <c r="Q2290">
        <v>0</v>
      </c>
      <c r="R2290" t="s">
        <v>44907</v>
      </c>
      <c r="S2290" t="s">
        <v>45026</v>
      </c>
      <c r="T2290" t="s">
        <v>46521</v>
      </c>
      <c r="U2290" t="s">
        <v>48815</v>
      </c>
      <c r="V2290" t="s">
        <v>59285</v>
      </c>
      <c r="W2290" t="s">
        <v>41885</v>
      </c>
      <c r="X2290" t="s">
        <v>44908</v>
      </c>
    </row>
    <row r="2291" spans="1:24">
      <c r="A2291">
        <f>HYPERLINK("https://www.philgeps.gov.ph/GEPSNONPILOT/Tender/SplashBidNoticeAbstractUI.aspx?menuIndex=3&amp;refID=7084425&amp;Result=3","7084425")</f>
        <v>0</v>
      </c>
      <c r="B2291" t="s">
        <v>863</v>
      </c>
      <c r="C2291" t="s">
        <v>5726</v>
      </c>
      <c r="D2291" t="s">
        <v>18113</v>
      </c>
      <c r="E2291" t="s">
        <v>20304</v>
      </c>
      <c r="F2291" t="s">
        <v>31362</v>
      </c>
      <c r="G2291" t="s">
        <v>31368</v>
      </c>
      <c r="H2291" t="s">
        <v>15799</v>
      </c>
      <c r="I2291" t="s">
        <v>4057</v>
      </c>
      <c r="J2291" t="s">
        <v>32065</v>
      </c>
      <c r="K2291" t="s">
        <v>40697</v>
      </c>
      <c r="M2291" t="s">
        <v>41839</v>
      </c>
      <c r="N2291" t="s">
        <v>44905</v>
      </c>
      <c r="O2291" t="s">
        <v>44906</v>
      </c>
      <c r="P2291">
        <v>0</v>
      </c>
      <c r="Q2291">
        <v>0</v>
      </c>
      <c r="R2291" t="s">
        <v>44907</v>
      </c>
      <c r="S2291" t="s">
        <v>45026</v>
      </c>
      <c r="T2291" t="s">
        <v>46409</v>
      </c>
      <c r="U2291" t="s">
        <v>48816</v>
      </c>
      <c r="V2291" t="s">
        <v>59277</v>
      </c>
      <c r="W2291" t="s">
        <v>41839</v>
      </c>
      <c r="X2291" t="s">
        <v>44908</v>
      </c>
    </row>
    <row r="2292" spans="1:24">
      <c r="A2292">
        <f>HYPERLINK("https://www.philgeps.gov.ph/GEPSNONPILOT/Tender/SplashBidNoticeAbstractUI.aspx?menuIndex=3&amp;refID=7084421&amp;Result=3","7084421")</f>
        <v>0</v>
      </c>
      <c r="B2292" t="s">
        <v>207</v>
      </c>
      <c r="C2292" t="s">
        <v>5727</v>
      </c>
      <c r="D2292" t="s">
        <v>18127</v>
      </c>
      <c r="E2292" t="s">
        <v>20305</v>
      </c>
      <c r="F2292" t="s">
        <v>31362</v>
      </c>
      <c r="G2292" t="s">
        <v>31369</v>
      </c>
      <c r="H2292" t="s">
        <v>15799</v>
      </c>
      <c r="I2292" t="s">
        <v>31425</v>
      </c>
      <c r="J2292" t="s">
        <v>33106</v>
      </c>
      <c r="K2292" t="s">
        <v>40662</v>
      </c>
      <c r="M2292" t="s">
        <v>41146</v>
      </c>
      <c r="N2292" t="s">
        <v>44905</v>
      </c>
      <c r="O2292" t="s">
        <v>44906</v>
      </c>
      <c r="P2292">
        <v>0</v>
      </c>
      <c r="Q2292">
        <v>2</v>
      </c>
      <c r="R2292" t="s">
        <v>44907</v>
      </c>
      <c r="S2292" t="s">
        <v>45026</v>
      </c>
      <c r="T2292" t="s">
        <v>46521</v>
      </c>
      <c r="U2292" t="s">
        <v>48817</v>
      </c>
      <c r="W2292" t="s">
        <v>41146</v>
      </c>
      <c r="X2292" t="s">
        <v>44908</v>
      </c>
    </row>
    <row r="2293" spans="1:24">
      <c r="A2293">
        <f>HYPERLINK("https://www.philgeps.gov.ph/GEPSNONPILOT/Tender/SplashBidNoticeAbstractUI.aspx?menuIndex=3&amp;refID=7084509&amp;Result=3","7084509")</f>
        <v>0</v>
      </c>
      <c r="B2293" t="s">
        <v>892</v>
      </c>
      <c r="C2293" t="s">
        <v>5728</v>
      </c>
      <c r="D2293" t="s">
        <v>18108</v>
      </c>
      <c r="E2293" t="s">
        <v>20306</v>
      </c>
      <c r="F2293" t="s">
        <v>31362</v>
      </c>
      <c r="G2293" t="s">
        <v>31368</v>
      </c>
      <c r="H2293" t="s">
        <v>15799</v>
      </c>
      <c r="I2293" t="s">
        <v>31385</v>
      </c>
      <c r="J2293" t="s">
        <v>31915</v>
      </c>
      <c r="K2293" t="s">
        <v>40666</v>
      </c>
      <c r="M2293" t="s">
        <v>41871</v>
      </c>
      <c r="N2293" t="s">
        <v>44905</v>
      </c>
      <c r="O2293" t="s">
        <v>44906</v>
      </c>
      <c r="P2293">
        <v>0</v>
      </c>
      <c r="Q2293">
        <v>3</v>
      </c>
      <c r="R2293" t="s">
        <v>44907</v>
      </c>
      <c r="S2293" t="s">
        <v>45026</v>
      </c>
      <c r="T2293" t="s">
        <v>46417</v>
      </c>
      <c r="U2293" t="s">
        <v>48818</v>
      </c>
      <c r="W2293" t="s">
        <v>41871</v>
      </c>
      <c r="X2293" t="s">
        <v>44908</v>
      </c>
    </row>
    <row r="2294" spans="1:24">
      <c r="A2294">
        <f>HYPERLINK("https://www.philgeps.gov.ph/GEPSNONPILOT/Tender/SplashBidNoticeAbstractUI.aspx?menuIndex=3&amp;refID=7084431&amp;Result=3","7084431")</f>
        <v>0</v>
      </c>
      <c r="B2294" t="s">
        <v>885</v>
      </c>
      <c r="C2294" t="s">
        <v>5729</v>
      </c>
      <c r="D2294" t="s">
        <v>18114</v>
      </c>
      <c r="E2294" t="s">
        <v>20307</v>
      </c>
      <c r="F2294" t="s">
        <v>31362</v>
      </c>
      <c r="G2294" t="s">
        <v>31369</v>
      </c>
      <c r="H2294" t="s">
        <v>15799</v>
      </c>
      <c r="I2294" t="s">
        <v>31380</v>
      </c>
      <c r="J2294" t="s">
        <v>33107</v>
      </c>
      <c r="K2294" t="s">
        <v>40677</v>
      </c>
      <c r="M2294" t="s">
        <v>41863</v>
      </c>
      <c r="N2294" t="s">
        <v>44905</v>
      </c>
      <c r="O2294" t="s">
        <v>44906</v>
      </c>
      <c r="P2294">
        <v>0</v>
      </c>
      <c r="Q2294">
        <v>1</v>
      </c>
      <c r="R2294" t="s">
        <v>44907</v>
      </c>
      <c r="S2294" t="s">
        <v>45026</v>
      </c>
      <c r="T2294" t="s">
        <v>46612</v>
      </c>
      <c r="U2294" t="s">
        <v>48772</v>
      </c>
      <c r="W2294" t="s">
        <v>41863</v>
      </c>
      <c r="X2294" t="s">
        <v>44908</v>
      </c>
    </row>
    <row r="2295" spans="1:24">
      <c r="A2295">
        <f>HYPERLINK("https://www.philgeps.gov.ph/GEPSNONPILOT/Tender/SplashBidNoticeAbstractUI.aspx?menuIndex=3&amp;refID=7084546&amp;Result=3","7084546")</f>
        <v>0</v>
      </c>
      <c r="B2295" t="s">
        <v>900</v>
      </c>
      <c r="C2295" t="s">
        <v>5730</v>
      </c>
      <c r="D2295" t="s">
        <v>18123</v>
      </c>
      <c r="E2295" t="s">
        <v>20308</v>
      </c>
      <c r="F2295" t="s">
        <v>31362</v>
      </c>
      <c r="G2295" t="s">
        <v>31368</v>
      </c>
      <c r="H2295" t="s">
        <v>15799</v>
      </c>
      <c r="I2295" t="s">
        <v>3582</v>
      </c>
      <c r="J2295" t="s">
        <v>33108</v>
      </c>
      <c r="K2295" t="s">
        <v>40666</v>
      </c>
      <c r="M2295" t="s">
        <v>41881</v>
      </c>
      <c r="N2295" t="s">
        <v>44905</v>
      </c>
      <c r="O2295" t="s">
        <v>44906</v>
      </c>
      <c r="P2295">
        <v>0</v>
      </c>
      <c r="Q2295">
        <v>0</v>
      </c>
      <c r="R2295" t="s">
        <v>44907</v>
      </c>
      <c r="S2295" t="s">
        <v>45026</v>
      </c>
      <c r="T2295" t="s">
        <v>46509</v>
      </c>
      <c r="U2295" t="s">
        <v>48819</v>
      </c>
      <c r="W2295" t="s">
        <v>60873</v>
      </c>
      <c r="X2295" t="s">
        <v>44908</v>
      </c>
    </row>
    <row r="2296" spans="1:24">
      <c r="A2296">
        <f>HYPERLINK("https://www.philgeps.gov.ph/GEPSNONPILOT/Tender/SplashBidNoticeAbstractUI.aspx?menuIndex=3&amp;refID=7084561&amp;Result=3","7084561")</f>
        <v>0</v>
      </c>
      <c r="B2296" t="s">
        <v>71</v>
      </c>
      <c r="C2296" t="s">
        <v>5731</v>
      </c>
      <c r="D2296" t="s">
        <v>18129</v>
      </c>
      <c r="E2296" t="s">
        <v>5731</v>
      </c>
      <c r="F2296" t="s">
        <v>31362</v>
      </c>
      <c r="G2296" t="s">
        <v>31368</v>
      </c>
      <c r="H2296" t="s">
        <v>15799</v>
      </c>
      <c r="I2296" t="s">
        <v>31422</v>
      </c>
      <c r="J2296" t="s">
        <v>31577</v>
      </c>
      <c r="K2296" t="s">
        <v>40666</v>
      </c>
      <c r="L2296" t="s">
        <v>71</v>
      </c>
      <c r="M2296" t="s">
        <v>41007</v>
      </c>
      <c r="N2296" t="s">
        <v>44905</v>
      </c>
      <c r="O2296" t="s">
        <v>44906</v>
      </c>
      <c r="P2296">
        <v>0</v>
      </c>
      <c r="Q2296">
        <v>0</v>
      </c>
      <c r="R2296" t="s">
        <v>44907</v>
      </c>
      <c r="S2296" t="s">
        <v>45026</v>
      </c>
      <c r="T2296" t="s">
        <v>46414</v>
      </c>
      <c r="U2296" t="s">
        <v>48820</v>
      </c>
      <c r="W2296" t="s">
        <v>41007</v>
      </c>
      <c r="X2296" t="s">
        <v>44908</v>
      </c>
    </row>
    <row r="2297" spans="1:24">
      <c r="A2297">
        <f>HYPERLINK("https://www.philgeps.gov.ph/GEPSNONPILOT/Tender/SplashBidNoticeAbstractUI.aspx?menuIndex=3&amp;refID=7084450&amp;Result=3","7084450")</f>
        <v>0</v>
      </c>
      <c r="B2297" t="s">
        <v>572</v>
      </c>
      <c r="C2297" t="s">
        <v>5732</v>
      </c>
      <c r="E2297" t="s">
        <v>20309</v>
      </c>
      <c r="F2297" t="s">
        <v>31362</v>
      </c>
      <c r="G2297" t="s">
        <v>31368</v>
      </c>
      <c r="H2297" t="s">
        <v>15799</v>
      </c>
      <c r="I2297" t="s">
        <v>31421</v>
      </c>
      <c r="J2297" t="s">
        <v>33109</v>
      </c>
      <c r="K2297" t="s">
        <v>40662</v>
      </c>
      <c r="M2297" t="s">
        <v>41886</v>
      </c>
      <c r="N2297" t="s">
        <v>44905</v>
      </c>
      <c r="O2297" t="s">
        <v>44906</v>
      </c>
      <c r="P2297">
        <v>0</v>
      </c>
      <c r="Q2297">
        <v>1</v>
      </c>
      <c r="R2297" t="s">
        <v>44907</v>
      </c>
      <c r="S2297" t="s">
        <v>45026</v>
      </c>
      <c r="T2297" t="s">
        <v>46453</v>
      </c>
      <c r="U2297" t="s">
        <v>48821</v>
      </c>
      <c r="W2297" t="s">
        <v>60860</v>
      </c>
      <c r="X2297" t="s">
        <v>44908</v>
      </c>
    </row>
    <row r="2298" spans="1:24">
      <c r="A2298">
        <f>HYPERLINK("https://www.philgeps.gov.ph/GEPSNONPILOT/Tender/SplashBidNoticeAbstractUI.aspx?menuIndex=3&amp;refID=7084560&amp;Result=3","7084560")</f>
        <v>0</v>
      </c>
      <c r="B2298" t="s">
        <v>900</v>
      </c>
      <c r="C2298" t="s">
        <v>5733</v>
      </c>
      <c r="D2298" t="s">
        <v>18123</v>
      </c>
      <c r="E2298" t="s">
        <v>20310</v>
      </c>
      <c r="F2298" t="s">
        <v>31362</v>
      </c>
      <c r="G2298" t="s">
        <v>31368</v>
      </c>
      <c r="H2298" t="s">
        <v>15799</v>
      </c>
      <c r="I2298" t="s">
        <v>7188</v>
      </c>
      <c r="J2298" t="s">
        <v>31645</v>
      </c>
      <c r="K2298" t="s">
        <v>40666</v>
      </c>
      <c r="M2298" t="s">
        <v>41881</v>
      </c>
      <c r="N2298" t="s">
        <v>44905</v>
      </c>
      <c r="O2298" t="s">
        <v>44906</v>
      </c>
      <c r="P2298">
        <v>0</v>
      </c>
      <c r="Q2298">
        <v>4</v>
      </c>
      <c r="R2298" t="s">
        <v>44907</v>
      </c>
      <c r="S2298" t="s">
        <v>45026</v>
      </c>
      <c r="T2298" t="s">
        <v>46509</v>
      </c>
      <c r="U2298" t="s">
        <v>48822</v>
      </c>
      <c r="W2298" t="s">
        <v>60873</v>
      </c>
      <c r="X2298" t="s">
        <v>44908</v>
      </c>
    </row>
    <row r="2299" spans="1:24">
      <c r="A2299">
        <f>HYPERLINK("https://www.philgeps.gov.ph/GEPSNONPILOT/Tender/SplashBidNoticeAbstractUI.aspx?menuIndex=3&amp;refID=5124909&amp;Result=3","5124909")</f>
        <v>0</v>
      </c>
      <c r="B2299" t="s">
        <v>905</v>
      </c>
      <c r="C2299" t="s">
        <v>5734</v>
      </c>
      <c r="D2299" t="s">
        <v>18149</v>
      </c>
      <c r="E2299" t="s">
        <v>20311</v>
      </c>
      <c r="F2299" t="s">
        <v>31362</v>
      </c>
      <c r="G2299" t="s">
        <v>31368</v>
      </c>
      <c r="H2299" t="s">
        <v>31379</v>
      </c>
      <c r="I2299" t="s">
        <v>7188</v>
      </c>
      <c r="J2299" t="s">
        <v>33110</v>
      </c>
      <c r="K2299" t="s">
        <v>40697</v>
      </c>
      <c r="M2299" t="s">
        <v>41887</v>
      </c>
      <c r="N2299" t="s">
        <v>44905</v>
      </c>
      <c r="O2299" t="s">
        <v>44906</v>
      </c>
      <c r="P2299">
        <v>0</v>
      </c>
      <c r="Q2299">
        <v>3</v>
      </c>
      <c r="R2299" t="s">
        <v>44908</v>
      </c>
      <c r="S2299" t="s">
        <v>45042</v>
      </c>
      <c r="T2299" t="s">
        <v>46432</v>
      </c>
      <c r="U2299" t="s">
        <v>48823</v>
      </c>
      <c r="V2299" t="s">
        <v>59293</v>
      </c>
      <c r="W2299" t="s">
        <v>41887</v>
      </c>
      <c r="X2299" t="s">
        <v>60981</v>
      </c>
    </row>
    <row r="2300" spans="1:24">
      <c r="A2300">
        <f>HYPERLINK("https://www.philgeps.gov.ph/GEPSNONPILOT/Tender/SplashBidNoticeAbstractUI.aspx?menuIndex=3&amp;refID=7084417&amp;Result=3","7084417")</f>
        <v>0</v>
      </c>
      <c r="B2300" t="s">
        <v>873</v>
      </c>
      <c r="C2300" t="s">
        <v>5735</v>
      </c>
      <c r="D2300" t="s">
        <v>18116</v>
      </c>
      <c r="E2300" t="s">
        <v>20312</v>
      </c>
      <c r="F2300" t="s">
        <v>31362</v>
      </c>
      <c r="G2300" t="s">
        <v>31369</v>
      </c>
      <c r="H2300" t="s">
        <v>31377</v>
      </c>
      <c r="I2300" t="s">
        <v>31377</v>
      </c>
      <c r="J2300" t="s">
        <v>33111</v>
      </c>
      <c r="K2300" t="s">
        <v>40663</v>
      </c>
      <c r="L2300" t="s">
        <v>873</v>
      </c>
      <c r="M2300" t="s">
        <v>41849</v>
      </c>
      <c r="N2300" t="s">
        <v>44905</v>
      </c>
      <c r="O2300" t="s">
        <v>44906</v>
      </c>
      <c r="P2300">
        <v>0</v>
      </c>
      <c r="Q2300">
        <v>0</v>
      </c>
      <c r="R2300" t="s">
        <v>44907</v>
      </c>
      <c r="S2300" t="s">
        <v>45026</v>
      </c>
      <c r="T2300" t="s">
        <v>46441</v>
      </c>
      <c r="U2300" t="s">
        <v>48824</v>
      </c>
      <c r="W2300" t="s">
        <v>41849</v>
      </c>
      <c r="X2300" t="s">
        <v>44908</v>
      </c>
    </row>
    <row r="2301" spans="1:24">
      <c r="A2301">
        <f>HYPERLINK("https://www.philgeps.gov.ph/GEPSNONPILOT/Tender/SplashBidNoticeAbstractUI.aspx?menuIndex=3&amp;refID=7051906-2&amp;Result=3","7051906-2")</f>
        <v>0</v>
      </c>
      <c r="B2301" t="s">
        <v>906</v>
      </c>
      <c r="C2301" t="s">
        <v>5736</v>
      </c>
      <c r="E2301" t="s">
        <v>20313</v>
      </c>
      <c r="F2301" t="s">
        <v>31362</v>
      </c>
      <c r="G2301" t="s">
        <v>31369</v>
      </c>
      <c r="H2301" t="s">
        <v>31377</v>
      </c>
      <c r="I2301" t="s">
        <v>31377</v>
      </c>
      <c r="J2301" t="s">
        <v>33112</v>
      </c>
      <c r="K2301" t="s">
        <v>40662</v>
      </c>
      <c r="M2301" t="s">
        <v>41888</v>
      </c>
      <c r="N2301" t="s">
        <v>44905</v>
      </c>
      <c r="O2301" t="s">
        <v>44906</v>
      </c>
      <c r="P2301">
        <v>0</v>
      </c>
      <c r="Q2301">
        <v>1</v>
      </c>
      <c r="R2301" t="s">
        <v>44908</v>
      </c>
      <c r="S2301" t="s">
        <v>45042</v>
      </c>
      <c r="T2301" t="s">
        <v>46433</v>
      </c>
      <c r="U2301" t="s">
        <v>48825</v>
      </c>
      <c r="V2301" t="s">
        <v>59294</v>
      </c>
      <c r="W2301" t="s">
        <v>41888</v>
      </c>
      <c r="X2301" t="s">
        <v>44909</v>
      </c>
    </row>
    <row r="2302" spans="1:24">
      <c r="A2302">
        <f>HYPERLINK("https://www.philgeps.gov.ph/GEPSNONPILOT/Tender/SplashBidNoticeAbstractUI.aspx?menuIndex=3&amp;refID=7084553&amp;Result=3","7084553")</f>
        <v>0</v>
      </c>
      <c r="B2302" t="s">
        <v>900</v>
      </c>
      <c r="C2302" t="s">
        <v>5737</v>
      </c>
      <c r="D2302" t="s">
        <v>18123</v>
      </c>
      <c r="E2302" t="s">
        <v>20314</v>
      </c>
      <c r="F2302" t="s">
        <v>31362</v>
      </c>
      <c r="G2302" t="s">
        <v>31368</v>
      </c>
      <c r="H2302" t="s">
        <v>15799</v>
      </c>
      <c r="I2302" t="s">
        <v>31402</v>
      </c>
      <c r="J2302" t="s">
        <v>31546</v>
      </c>
      <c r="K2302" t="s">
        <v>40679</v>
      </c>
      <c r="M2302" t="s">
        <v>41881</v>
      </c>
      <c r="N2302" t="s">
        <v>44905</v>
      </c>
      <c r="O2302" t="s">
        <v>44906</v>
      </c>
      <c r="P2302">
        <v>0</v>
      </c>
      <c r="Q2302">
        <v>0</v>
      </c>
      <c r="R2302" t="s">
        <v>44907</v>
      </c>
      <c r="S2302" t="s">
        <v>45026</v>
      </c>
      <c r="T2302" t="s">
        <v>46509</v>
      </c>
      <c r="U2302" t="s">
        <v>48826</v>
      </c>
      <c r="W2302" t="s">
        <v>60873</v>
      </c>
      <c r="X2302" t="s">
        <v>44908</v>
      </c>
    </row>
    <row r="2303" spans="1:24">
      <c r="A2303">
        <f>HYPERLINK("https://www.philgeps.gov.ph/GEPSNONPILOT/Tender/SplashBidNoticeAbstractUI.aspx?menuIndex=3&amp;refID=7084580&amp;Result=3","7084580")</f>
        <v>0</v>
      </c>
      <c r="B2303" t="s">
        <v>71</v>
      </c>
      <c r="C2303" t="s">
        <v>5738</v>
      </c>
      <c r="D2303" t="s">
        <v>18129</v>
      </c>
      <c r="E2303" t="s">
        <v>5738</v>
      </c>
      <c r="F2303" t="s">
        <v>31362</v>
      </c>
      <c r="G2303" t="s">
        <v>31368</v>
      </c>
      <c r="H2303" t="s">
        <v>15799</v>
      </c>
      <c r="I2303" t="s">
        <v>3815</v>
      </c>
      <c r="J2303" t="s">
        <v>31578</v>
      </c>
      <c r="K2303" t="s">
        <v>40666</v>
      </c>
      <c r="L2303" t="s">
        <v>71</v>
      </c>
      <c r="M2303" t="s">
        <v>41007</v>
      </c>
      <c r="N2303" t="s">
        <v>44905</v>
      </c>
      <c r="O2303" t="s">
        <v>44906</v>
      </c>
      <c r="P2303">
        <v>0</v>
      </c>
      <c r="Q2303">
        <v>0</v>
      </c>
      <c r="R2303" t="s">
        <v>44907</v>
      </c>
      <c r="S2303" t="s">
        <v>45026</v>
      </c>
      <c r="T2303" t="s">
        <v>46414</v>
      </c>
      <c r="U2303" t="s">
        <v>48827</v>
      </c>
      <c r="W2303" t="s">
        <v>41007</v>
      </c>
      <c r="X2303" t="s">
        <v>44908</v>
      </c>
    </row>
    <row r="2304" spans="1:24">
      <c r="A2304">
        <f>HYPERLINK("https://www.philgeps.gov.ph/GEPSNONPILOT/Tender/SplashBidNoticeAbstractUI.aspx?menuIndex=3&amp;refID=7084419&amp;Result=3","7084419")</f>
        <v>0</v>
      </c>
      <c r="B2304" t="s">
        <v>593</v>
      </c>
      <c r="C2304" t="s">
        <v>5739</v>
      </c>
      <c r="D2304" t="s">
        <v>18108</v>
      </c>
      <c r="E2304" t="s">
        <v>20315</v>
      </c>
      <c r="F2304" t="s">
        <v>31362</v>
      </c>
      <c r="G2304" t="s">
        <v>31368</v>
      </c>
      <c r="H2304" t="s">
        <v>31378</v>
      </c>
      <c r="I2304" t="s">
        <v>31386</v>
      </c>
      <c r="J2304" t="s">
        <v>33113</v>
      </c>
      <c r="K2304" t="s">
        <v>40682</v>
      </c>
      <c r="M2304" t="s">
        <v>41550</v>
      </c>
      <c r="N2304" t="s">
        <v>44905</v>
      </c>
      <c r="O2304" t="s">
        <v>44906</v>
      </c>
      <c r="P2304">
        <v>0</v>
      </c>
      <c r="Q2304">
        <v>1</v>
      </c>
      <c r="R2304" t="s">
        <v>44907</v>
      </c>
      <c r="S2304" t="s">
        <v>45026</v>
      </c>
      <c r="T2304" t="s">
        <v>46393</v>
      </c>
      <c r="U2304" t="s">
        <v>48757</v>
      </c>
      <c r="W2304" t="s">
        <v>41550</v>
      </c>
      <c r="X2304" t="s">
        <v>44908</v>
      </c>
    </row>
    <row r="2305" spans="1:24">
      <c r="A2305">
        <f>HYPERLINK("https://www.philgeps.gov.ph/GEPSNONPILOT/Tender/SplashBidNoticeAbstractUI.aspx?menuIndex=3&amp;refID=6988609-2&amp;Result=3","6988609-2")</f>
        <v>0</v>
      </c>
      <c r="B2305" t="s">
        <v>907</v>
      </c>
      <c r="C2305" t="s">
        <v>5740</v>
      </c>
      <c r="E2305" t="s">
        <v>20316</v>
      </c>
      <c r="F2305" t="s">
        <v>31362</v>
      </c>
      <c r="G2305" t="s">
        <v>31369</v>
      </c>
      <c r="H2305" t="s">
        <v>31377</v>
      </c>
      <c r="I2305" t="s">
        <v>31377</v>
      </c>
      <c r="J2305" t="s">
        <v>33114</v>
      </c>
      <c r="K2305" t="s">
        <v>40662</v>
      </c>
      <c r="M2305" t="s">
        <v>41889</v>
      </c>
      <c r="N2305" t="s">
        <v>44905</v>
      </c>
      <c r="O2305" t="s">
        <v>44906</v>
      </c>
      <c r="P2305">
        <v>0</v>
      </c>
      <c r="Q2305">
        <v>2</v>
      </c>
      <c r="R2305" t="s">
        <v>44908</v>
      </c>
      <c r="S2305" t="s">
        <v>45042</v>
      </c>
      <c r="T2305" t="s">
        <v>46401</v>
      </c>
      <c r="U2305" t="s">
        <v>48828</v>
      </c>
      <c r="W2305" t="s">
        <v>41889</v>
      </c>
      <c r="X2305" t="s">
        <v>44909</v>
      </c>
    </row>
    <row r="2306" spans="1:24">
      <c r="A2306">
        <f>HYPERLINK("https://www.philgeps.gov.ph/GEPSNONPILOT/Tender/SplashBidNoticeAbstractUI.aspx?menuIndex=3&amp;refID=7084416&amp;Result=3","7084416")</f>
        <v>0</v>
      </c>
      <c r="B2306" t="s">
        <v>430</v>
      </c>
      <c r="C2306" t="s">
        <v>5741</v>
      </c>
      <c r="D2306" t="s">
        <v>18112</v>
      </c>
      <c r="E2306" t="s">
        <v>20317</v>
      </c>
      <c r="F2306" t="s">
        <v>31362</v>
      </c>
      <c r="G2306" t="s">
        <v>31371</v>
      </c>
      <c r="H2306" t="s">
        <v>15799</v>
      </c>
      <c r="I2306" t="s">
        <v>31437</v>
      </c>
      <c r="J2306" t="s">
        <v>31897</v>
      </c>
      <c r="K2306" t="s">
        <v>40665</v>
      </c>
      <c r="M2306" t="s">
        <v>41381</v>
      </c>
      <c r="N2306" t="s">
        <v>44905</v>
      </c>
      <c r="O2306" t="s">
        <v>44906</v>
      </c>
      <c r="P2306">
        <v>0</v>
      </c>
      <c r="Q2306">
        <v>2</v>
      </c>
      <c r="R2306" t="s">
        <v>44907</v>
      </c>
      <c r="S2306" t="s">
        <v>45026</v>
      </c>
      <c r="T2306" t="s">
        <v>46397</v>
      </c>
      <c r="U2306" t="s">
        <v>48829</v>
      </c>
      <c r="V2306" t="s">
        <v>59166</v>
      </c>
      <c r="W2306" t="s">
        <v>41381</v>
      </c>
      <c r="X2306" t="s">
        <v>44908</v>
      </c>
    </row>
    <row r="2307" spans="1:24">
      <c r="A2307">
        <f>HYPERLINK("https://www.philgeps.gov.ph/GEPSNONPILOT/Tender/SplashBidNoticeAbstractUI.aspx?menuIndex=3&amp;refID=6953182&amp;Result=3","6953182")</f>
        <v>0</v>
      </c>
      <c r="B2307" t="s">
        <v>908</v>
      </c>
      <c r="C2307" t="s">
        <v>5742</v>
      </c>
      <c r="D2307" t="s">
        <v>18155</v>
      </c>
      <c r="E2307" t="s">
        <v>20318</v>
      </c>
      <c r="F2307" t="s">
        <v>31362</v>
      </c>
      <c r="G2307" t="s">
        <v>31368</v>
      </c>
      <c r="H2307" t="s">
        <v>15799</v>
      </c>
      <c r="I2307" t="s">
        <v>7719</v>
      </c>
      <c r="J2307" t="s">
        <v>31997</v>
      </c>
      <c r="K2307" t="s">
        <v>40666</v>
      </c>
      <c r="M2307" t="s">
        <v>41890</v>
      </c>
      <c r="N2307" t="s">
        <v>44905</v>
      </c>
      <c r="O2307" t="s">
        <v>44906</v>
      </c>
      <c r="P2307">
        <v>0</v>
      </c>
      <c r="Q2307">
        <v>17</v>
      </c>
      <c r="R2307" t="s">
        <v>44908</v>
      </c>
      <c r="S2307" t="s">
        <v>45042</v>
      </c>
      <c r="T2307" t="s">
        <v>46438</v>
      </c>
      <c r="U2307" t="s">
        <v>48830</v>
      </c>
      <c r="W2307" t="s">
        <v>41890</v>
      </c>
      <c r="X2307" t="s">
        <v>45020</v>
      </c>
    </row>
    <row r="2308" spans="1:24">
      <c r="A2308">
        <f>HYPERLINK("https://www.philgeps.gov.ph/GEPSNONPILOT/Tender/SplashBidNoticeAbstractUI.aspx?menuIndex=3&amp;refID=7084572&amp;Result=3","7084572")</f>
        <v>0</v>
      </c>
      <c r="B2308" t="s">
        <v>909</v>
      </c>
      <c r="C2308" t="s">
        <v>5743</v>
      </c>
      <c r="D2308" t="s">
        <v>18104</v>
      </c>
      <c r="E2308" t="s">
        <v>20319</v>
      </c>
      <c r="F2308" t="s">
        <v>31362</v>
      </c>
      <c r="G2308" t="s">
        <v>31369</v>
      </c>
      <c r="H2308" t="s">
        <v>31378</v>
      </c>
      <c r="I2308" t="s">
        <v>31386</v>
      </c>
      <c r="J2308" t="s">
        <v>33115</v>
      </c>
      <c r="K2308" t="s">
        <v>40718</v>
      </c>
      <c r="M2308" t="s">
        <v>41891</v>
      </c>
      <c r="N2308" t="s">
        <v>44905</v>
      </c>
      <c r="O2308" t="s">
        <v>44906</v>
      </c>
      <c r="P2308">
        <v>0</v>
      </c>
      <c r="Q2308">
        <v>0</v>
      </c>
      <c r="R2308" t="s">
        <v>44907</v>
      </c>
      <c r="S2308" t="s">
        <v>45026</v>
      </c>
      <c r="T2308" t="s">
        <v>46481</v>
      </c>
      <c r="U2308" t="s">
        <v>48831</v>
      </c>
      <c r="W2308" t="s">
        <v>41891</v>
      </c>
      <c r="X2308" t="s">
        <v>44908</v>
      </c>
    </row>
    <row r="2309" spans="1:24">
      <c r="A2309">
        <f>HYPERLINK("https://www.philgeps.gov.ph/GEPSNONPILOT/Tender/SplashBidNoticeAbstractUI.aspx?menuIndex=3&amp;refID=7084571&amp;Result=3","7084571")</f>
        <v>0</v>
      </c>
      <c r="B2309" t="s">
        <v>910</v>
      </c>
      <c r="C2309" t="s">
        <v>5744</v>
      </c>
      <c r="D2309" t="s">
        <v>18155</v>
      </c>
      <c r="E2309" t="s">
        <v>20320</v>
      </c>
      <c r="F2309" t="s">
        <v>31362</v>
      </c>
      <c r="G2309" t="s">
        <v>31368</v>
      </c>
      <c r="H2309" t="s">
        <v>15799</v>
      </c>
      <c r="I2309" t="s">
        <v>31435</v>
      </c>
      <c r="J2309" t="s">
        <v>31530</v>
      </c>
      <c r="K2309" t="s">
        <v>40665</v>
      </c>
      <c r="M2309" t="s">
        <v>41892</v>
      </c>
      <c r="N2309" t="s">
        <v>44905</v>
      </c>
      <c r="O2309" t="s">
        <v>44906</v>
      </c>
      <c r="P2309">
        <v>0</v>
      </c>
      <c r="Q2309">
        <v>0</v>
      </c>
      <c r="R2309" t="s">
        <v>44907</v>
      </c>
      <c r="S2309" t="s">
        <v>45026</v>
      </c>
      <c r="T2309" t="s">
        <v>46409</v>
      </c>
      <c r="U2309" t="s">
        <v>48832</v>
      </c>
      <c r="V2309" t="s">
        <v>59295</v>
      </c>
      <c r="W2309" t="s">
        <v>41892</v>
      </c>
      <c r="X2309" t="s">
        <v>44908</v>
      </c>
    </row>
    <row r="2310" spans="1:24">
      <c r="A2310">
        <f>HYPERLINK("https://www.philgeps.gov.ph/GEPSNONPILOT/Tender/SplashBidNoticeAbstractUI.aspx?menuIndex=3&amp;refID=7084573&amp;Result=3","7084573")</f>
        <v>0</v>
      </c>
      <c r="B2310" t="s">
        <v>71</v>
      </c>
      <c r="C2310" t="s">
        <v>5745</v>
      </c>
      <c r="D2310" t="s">
        <v>18129</v>
      </c>
      <c r="E2310" t="s">
        <v>20321</v>
      </c>
      <c r="F2310" t="s">
        <v>31362</v>
      </c>
      <c r="G2310" t="s">
        <v>31368</v>
      </c>
      <c r="H2310" t="s">
        <v>15799</v>
      </c>
      <c r="I2310" t="s">
        <v>31430</v>
      </c>
      <c r="J2310" t="s">
        <v>32459</v>
      </c>
      <c r="K2310" t="s">
        <v>40666</v>
      </c>
      <c r="L2310" t="s">
        <v>71</v>
      </c>
      <c r="M2310" t="s">
        <v>41007</v>
      </c>
      <c r="N2310" t="s">
        <v>44905</v>
      </c>
      <c r="O2310" t="s">
        <v>44906</v>
      </c>
      <c r="P2310">
        <v>0</v>
      </c>
      <c r="Q2310">
        <v>0</v>
      </c>
      <c r="R2310" t="s">
        <v>44907</v>
      </c>
      <c r="S2310" t="s">
        <v>45026</v>
      </c>
      <c r="T2310" t="s">
        <v>46414</v>
      </c>
      <c r="U2310" t="s">
        <v>48833</v>
      </c>
      <c r="W2310" t="s">
        <v>41007</v>
      </c>
      <c r="X2310" t="s">
        <v>44908</v>
      </c>
    </row>
    <row r="2311" spans="1:24">
      <c r="A2311">
        <f>HYPERLINK("https://www.philgeps.gov.ph/GEPSNONPILOT/Tender/SplashBidNoticeAbstractUI.aspx?menuIndex=3&amp;refID=7084566&amp;Result=3","7084566")</f>
        <v>0</v>
      </c>
      <c r="B2311" t="s">
        <v>911</v>
      </c>
      <c r="C2311" t="s">
        <v>5746</v>
      </c>
      <c r="D2311" t="s">
        <v>18106</v>
      </c>
      <c r="E2311" t="s">
        <v>19272</v>
      </c>
      <c r="F2311" t="s">
        <v>31362</v>
      </c>
      <c r="G2311" t="s">
        <v>31368</v>
      </c>
      <c r="H2311" t="s">
        <v>15799</v>
      </c>
      <c r="I2311" t="s">
        <v>31397</v>
      </c>
      <c r="J2311" t="s">
        <v>33116</v>
      </c>
      <c r="K2311" t="s">
        <v>40662</v>
      </c>
      <c r="M2311" t="s">
        <v>41893</v>
      </c>
      <c r="N2311" t="s">
        <v>44905</v>
      </c>
      <c r="O2311" t="s">
        <v>44906</v>
      </c>
      <c r="P2311">
        <v>0</v>
      </c>
      <c r="Q2311">
        <v>2</v>
      </c>
      <c r="R2311" t="s">
        <v>44907</v>
      </c>
      <c r="S2311" t="s">
        <v>45026</v>
      </c>
      <c r="T2311" t="s">
        <v>46400</v>
      </c>
      <c r="U2311" t="s">
        <v>48834</v>
      </c>
      <c r="W2311" t="s">
        <v>41893</v>
      </c>
      <c r="X2311" t="s">
        <v>44908</v>
      </c>
    </row>
    <row r="2312" spans="1:24">
      <c r="A2312">
        <f>HYPERLINK("https://www.philgeps.gov.ph/GEPSNONPILOT/Tender/SplashBidNoticeAbstractUI.aspx?menuIndex=3&amp;refID=7084577&amp;Result=3","7084577")</f>
        <v>0</v>
      </c>
      <c r="B2312" t="s">
        <v>71</v>
      </c>
      <c r="C2312" t="s">
        <v>5747</v>
      </c>
      <c r="D2312" t="s">
        <v>18129</v>
      </c>
      <c r="E2312" t="s">
        <v>5747</v>
      </c>
      <c r="F2312" t="s">
        <v>31362</v>
      </c>
      <c r="G2312" t="s">
        <v>31368</v>
      </c>
      <c r="H2312" t="s">
        <v>15799</v>
      </c>
      <c r="I2312" t="s">
        <v>31430</v>
      </c>
      <c r="J2312" t="s">
        <v>31536</v>
      </c>
      <c r="K2312" t="s">
        <v>40666</v>
      </c>
      <c r="L2312" t="s">
        <v>71</v>
      </c>
      <c r="M2312" t="s">
        <v>41007</v>
      </c>
      <c r="N2312" t="s">
        <v>44905</v>
      </c>
      <c r="O2312" t="s">
        <v>44906</v>
      </c>
      <c r="P2312">
        <v>0</v>
      </c>
      <c r="Q2312">
        <v>0</v>
      </c>
      <c r="R2312" t="s">
        <v>44907</v>
      </c>
      <c r="S2312" t="s">
        <v>45026</v>
      </c>
      <c r="T2312" t="s">
        <v>46414</v>
      </c>
      <c r="U2312" t="s">
        <v>48835</v>
      </c>
      <c r="W2312" t="s">
        <v>41007</v>
      </c>
      <c r="X2312" t="s">
        <v>44908</v>
      </c>
    </row>
    <row r="2313" spans="1:24">
      <c r="A2313">
        <f>HYPERLINK("https://www.philgeps.gov.ph/GEPSNONPILOT/Tender/SplashBidNoticeAbstractUI.aspx?menuIndex=3&amp;refID=7026689&amp;Result=3","7026689")</f>
        <v>0</v>
      </c>
      <c r="B2313" t="s">
        <v>98</v>
      </c>
      <c r="C2313" t="s">
        <v>5748</v>
      </c>
      <c r="D2313" t="s">
        <v>18115</v>
      </c>
      <c r="E2313" t="s">
        <v>20322</v>
      </c>
      <c r="F2313" t="s">
        <v>31362</v>
      </c>
      <c r="G2313" t="s">
        <v>31368</v>
      </c>
      <c r="H2313" t="s">
        <v>15799</v>
      </c>
      <c r="I2313" t="s">
        <v>31431</v>
      </c>
      <c r="J2313" t="s">
        <v>33058</v>
      </c>
      <c r="K2313" t="s">
        <v>40666</v>
      </c>
      <c r="M2313" t="s">
        <v>41035</v>
      </c>
      <c r="N2313" t="s">
        <v>44905</v>
      </c>
      <c r="O2313" t="s">
        <v>44906</v>
      </c>
      <c r="P2313">
        <v>0</v>
      </c>
      <c r="Q2313">
        <v>2</v>
      </c>
      <c r="R2313" t="s">
        <v>44908</v>
      </c>
      <c r="S2313" t="s">
        <v>45042</v>
      </c>
      <c r="T2313" t="s">
        <v>46447</v>
      </c>
      <c r="U2313" t="s">
        <v>48836</v>
      </c>
      <c r="W2313" t="s">
        <v>60835</v>
      </c>
      <c r="X2313" t="s">
        <v>44937</v>
      </c>
    </row>
    <row r="2314" spans="1:24">
      <c r="A2314">
        <f>HYPERLINK("https://www.philgeps.gov.ph/GEPSNONPILOT/Tender/SplashBidNoticeAbstractUI.aspx?menuIndex=3&amp;refID=7043524&amp;Result=3","7043524")</f>
        <v>0</v>
      </c>
      <c r="B2314" t="s">
        <v>48</v>
      </c>
      <c r="C2314" t="s">
        <v>5749</v>
      </c>
      <c r="D2314" t="s">
        <v>18117</v>
      </c>
      <c r="E2314" t="s">
        <v>20323</v>
      </c>
      <c r="F2314" t="s">
        <v>31362</v>
      </c>
      <c r="G2314" t="s">
        <v>31369</v>
      </c>
      <c r="H2314" t="s">
        <v>15799</v>
      </c>
      <c r="I2314" t="s">
        <v>3815</v>
      </c>
      <c r="J2314" t="s">
        <v>33117</v>
      </c>
      <c r="K2314" t="s">
        <v>40670</v>
      </c>
      <c r="M2314" t="s">
        <v>41894</v>
      </c>
      <c r="N2314" t="s">
        <v>44905</v>
      </c>
      <c r="O2314" t="s">
        <v>44906</v>
      </c>
      <c r="P2314">
        <v>0</v>
      </c>
      <c r="Q2314">
        <v>0</v>
      </c>
      <c r="R2314" t="s">
        <v>44908</v>
      </c>
      <c r="S2314" t="s">
        <v>45042</v>
      </c>
      <c r="T2314" t="s">
        <v>46403</v>
      </c>
      <c r="U2314" t="s">
        <v>48837</v>
      </c>
      <c r="W2314" t="s">
        <v>41894</v>
      </c>
      <c r="X2314" t="s">
        <v>44928</v>
      </c>
    </row>
    <row r="2315" spans="1:24">
      <c r="A2315">
        <f>HYPERLINK("https://www.philgeps.gov.ph/GEPSNONPILOT/Tender/SplashBidNoticeAbstractUI.aspx?menuIndex=3&amp;refID=7084570&amp;Result=3","7084570")</f>
        <v>0</v>
      </c>
      <c r="B2315" t="s">
        <v>71</v>
      </c>
      <c r="C2315" t="s">
        <v>5750</v>
      </c>
      <c r="D2315" t="s">
        <v>18129</v>
      </c>
      <c r="E2315" t="s">
        <v>20324</v>
      </c>
      <c r="F2315" t="s">
        <v>31362</v>
      </c>
      <c r="G2315" t="s">
        <v>31368</v>
      </c>
      <c r="H2315" t="s">
        <v>15799</v>
      </c>
      <c r="I2315" t="s">
        <v>3815</v>
      </c>
      <c r="J2315" t="s">
        <v>32016</v>
      </c>
      <c r="K2315" t="s">
        <v>40666</v>
      </c>
      <c r="L2315" t="s">
        <v>71</v>
      </c>
      <c r="M2315" t="s">
        <v>41007</v>
      </c>
      <c r="N2315" t="s">
        <v>44905</v>
      </c>
      <c r="O2315" t="s">
        <v>44906</v>
      </c>
      <c r="P2315">
        <v>0</v>
      </c>
      <c r="Q2315">
        <v>0</v>
      </c>
      <c r="R2315" t="s">
        <v>44907</v>
      </c>
      <c r="S2315" t="s">
        <v>45026</v>
      </c>
      <c r="T2315" t="s">
        <v>46414</v>
      </c>
      <c r="U2315" t="s">
        <v>48827</v>
      </c>
      <c r="W2315" t="s">
        <v>41007</v>
      </c>
      <c r="X2315" t="s">
        <v>44908</v>
      </c>
    </row>
    <row r="2316" spans="1:24">
      <c r="A2316">
        <f>HYPERLINK("https://www.philgeps.gov.ph/GEPSNONPILOT/Tender/SplashBidNoticeAbstractUI.aspx?menuIndex=3&amp;refID=7069321&amp;Result=3","7069321")</f>
        <v>0</v>
      </c>
      <c r="B2316" t="s">
        <v>912</v>
      </c>
      <c r="C2316" t="s">
        <v>5751</v>
      </c>
      <c r="D2316" t="s">
        <v>18122</v>
      </c>
      <c r="E2316" t="s">
        <v>20325</v>
      </c>
      <c r="F2316" t="s">
        <v>31363</v>
      </c>
      <c r="G2316" t="s">
        <v>31368</v>
      </c>
      <c r="H2316" t="s">
        <v>15799</v>
      </c>
      <c r="I2316" t="s">
        <v>31393</v>
      </c>
      <c r="J2316" t="s">
        <v>31724</v>
      </c>
      <c r="K2316" t="s">
        <v>40672</v>
      </c>
      <c r="M2316" t="s">
        <v>41895</v>
      </c>
      <c r="N2316" t="s">
        <v>44905</v>
      </c>
      <c r="O2316" t="s">
        <v>44906</v>
      </c>
      <c r="P2316">
        <v>0</v>
      </c>
      <c r="Q2316">
        <v>0</v>
      </c>
      <c r="R2316" t="s">
        <v>44908</v>
      </c>
      <c r="S2316" t="s">
        <v>45042</v>
      </c>
      <c r="T2316" t="s">
        <v>46426</v>
      </c>
      <c r="U2316" t="s">
        <v>48838</v>
      </c>
      <c r="W2316" t="s">
        <v>41895</v>
      </c>
      <c r="X2316" t="s">
        <v>44915</v>
      </c>
    </row>
    <row r="2317" spans="1:24">
      <c r="A2317">
        <f>HYPERLINK("https://www.philgeps.gov.ph/GEPSNONPILOT/Tender/SplashBidNoticeAbstractUI.aspx?menuIndex=3&amp;refID=7068158&amp;Result=3","7068158")</f>
        <v>0</v>
      </c>
      <c r="B2317" t="s">
        <v>913</v>
      </c>
      <c r="C2317" t="s">
        <v>5752</v>
      </c>
      <c r="D2317" t="s">
        <v>18176</v>
      </c>
      <c r="E2317" t="s">
        <v>20326</v>
      </c>
      <c r="F2317" t="s">
        <v>31362</v>
      </c>
      <c r="G2317" t="s">
        <v>31369</v>
      </c>
      <c r="H2317" t="s">
        <v>15799</v>
      </c>
      <c r="I2317" t="s">
        <v>31382</v>
      </c>
      <c r="J2317" t="s">
        <v>33118</v>
      </c>
      <c r="K2317" t="s">
        <v>40670</v>
      </c>
      <c r="M2317" t="s">
        <v>41896</v>
      </c>
      <c r="N2317" t="s">
        <v>44905</v>
      </c>
      <c r="O2317" t="s">
        <v>44906</v>
      </c>
      <c r="P2317">
        <v>0</v>
      </c>
      <c r="Q2317">
        <v>7</v>
      </c>
      <c r="R2317" t="s">
        <v>44908</v>
      </c>
      <c r="S2317" t="s">
        <v>45042</v>
      </c>
      <c r="T2317" t="s">
        <v>46426</v>
      </c>
      <c r="U2317" t="s">
        <v>48839</v>
      </c>
      <c r="W2317" t="s">
        <v>41896</v>
      </c>
      <c r="X2317" t="s">
        <v>44915</v>
      </c>
    </row>
    <row r="2318" spans="1:24">
      <c r="A2318">
        <f>HYPERLINK("https://www.philgeps.gov.ph/GEPSNONPILOT/Tender/SplashBidNoticeAbstractUI.aspx?menuIndex=3&amp;refID=7009355-2&amp;Result=3","7009355-2")</f>
        <v>0</v>
      </c>
      <c r="B2318" t="s">
        <v>907</v>
      </c>
      <c r="C2318" t="s">
        <v>5753</v>
      </c>
      <c r="E2318" t="s">
        <v>20327</v>
      </c>
      <c r="F2318" t="s">
        <v>31362</v>
      </c>
      <c r="G2318" t="s">
        <v>31369</v>
      </c>
      <c r="H2318" t="s">
        <v>31377</v>
      </c>
      <c r="I2318" t="s">
        <v>31377</v>
      </c>
      <c r="J2318" t="s">
        <v>33119</v>
      </c>
      <c r="K2318" t="s">
        <v>40699</v>
      </c>
      <c r="M2318" t="s">
        <v>41897</v>
      </c>
      <c r="N2318" t="s">
        <v>44905</v>
      </c>
      <c r="O2318" t="s">
        <v>44906</v>
      </c>
      <c r="P2318">
        <v>0</v>
      </c>
      <c r="Q2318">
        <v>0</v>
      </c>
      <c r="R2318" t="s">
        <v>44908</v>
      </c>
      <c r="S2318" t="s">
        <v>45042</v>
      </c>
      <c r="T2318" t="s">
        <v>46613</v>
      </c>
      <c r="U2318" t="s">
        <v>48840</v>
      </c>
      <c r="W2318" t="s">
        <v>41897</v>
      </c>
      <c r="X2318" t="s">
        <v>44909</v>
      </c>
    </row>
    <row r="2319" spans="1:24">
      <c r="A2319">
        <f>HYPERLINK("https://www.philgeps.gov.ph/GEPSNONPILOT/Tender/SplashBidNoticeAbstractUI.aspx?menuIndex=3&amp;refID=7064120&amp;Result=3","7064120")</f>
        <v>0</v>
      </c>
      <c r="B2319" t="s">
        <v>914</v>
      </c>
      <c r="C2319" t="s">
        <v>5754</v>
      </c>
      <c r="D2319" t="s">
        <v>18112</v>
      </c>
      <c r="E2319" t="s">
        <v>18548</v>
      </c>
      <c r="F2319" t="s">
        <v>31362</v>
      </c>
      <c r="G2319" t="s">
        <v>31370</v>
      </c>
      <c r="H2319" t="s">
        <v>15799</v>
      </c>
      <c r="I2319" t="s">
        <v>7090</v>
      </c>
      <c r="J2319" t="s">
        <v>32777</v>
      </c>
      <c r="K2319" t="s">
        <v>40697</v>
      </c>
      <c r="M2319" t="s">
        <v>41898</v>
      </c>
      <c r="N2319" t="s">
        <v>44905</v>
      </c>
      <c r="O2319" t="s">
        <v>44906</v>
      </c>
      <c r="P2319">
        <v>0</v>
      </c>
      <c r="Q2319">
        <v>0</v>
      </c>
      <c r="R2319" t="s">
        <v>44908</v>
      </c>
      <c r="S2319" t="s">
        <v>45042</v>
      </c>
      <c r="T2319" t="s">
        <v>46446</v>
      </c>
      <c r="U2319" t="s">
        <v>48841</v>
      </c>
      <c r="W2319" t="s">
        <v>41898</v>
      </c>
      <c r="X2319" t="s">
        <v>44917</v>
      </c>
    </row>
    <row r="2320" spans="1:24">
      <c r="A2320">
        <f>HYPERLINK("https://www.philgeps.gov.ph/GEPSNONPILOT/Tender/SplashBidNoticeAbstractUI.aspx?menuIndex=3&amp;refID=7063633&amp;Result=3","7063633")</f>
        <v>0</v>
      </c>
      <c r="B2320" t="s">
        <v>915</v>
      </c>
      <c r="C2320" t="s">
        <v>5755</v>
      </c>
      <c r="D2320" t="s">
        <v>18151</v>
      </c>
      <c r="E2320" t="s">
        <v>20328</v>
      </c>
      <c r="F2320" t="s">
        <v>31362</v>
      </c>
      <c r="G2320" t="s">
        <v>31369</v>
      </c>
      <c r="H2320" t="s">
        <v>15799</v>
      </c>
      <c r="I2320" t="s">
        <v>31380</v>
      </c>
      <c r="J2320" t="s">
        <v>33120</v>
      </c>
      <c r="K2320" t="s">
        <v>40665</v>
      </c>
      <c r="M2320" t="s">
        <v>41899</v>
      </c>
      <c r="N2320" t="s">
        <v>44905</v>
      </c>
      <c r="O2320" t="s">
        <v>44906</v>
      </c>
      <c r="P2320">
        <v>0</v>
      </c>
      <c r="Q2320">
        <v>9</v>
      </c>
      <c r="R2320" t="s">
        <v>44908</v>
      </c>
      <c r="S2320" t="s">
        <v>45042</v>
      </c>
      <c r="T2320" t="s">
        <v>46614</v>
      </c>
      <c r="U2320" t="s">
        <v>48842</v>
      </c>
      <c r="W2320" t="s">
        <v>41899</v>
      </c>
      <c r="X2320" t="s">
        <v>44917</v>
      </c>
    </row>
    <row r="2321" spans="1:24">
      <c r="A2321">
        <f>HYPERLINK("https://www.philgeps.gov.ph/GEPSNONPILOT/Tender/SplashBidNoticeAbstractUI.aspx?menuIndex=3&amp;refID=7062578&amp;Result=3","7062578")</f>
        <v>0</v>
      </c>
      <c r="B2321" t="s">
        <v>916</v>
      </c>
      <c r="C2321" t="s">
        <v>5756</v>
      </c>
      <c r="D2321" t="s">
        <v>18101</v>
      </c>
      <c r="E2321" t="s">
        <v>20329</v>
      </c>
      <c r="F2321" t="s">
        <v>31362</v>
      </c>
      <c r="G2321" t="s">
        <v>31368</v>
      </c>
      <c r="H2321" t="s">
        <v>15799</v>
      </c>
      <c r="I2321" t="s">
        <v>4283</v>
      </c>
      <c r="J2321" t="s">
        <v>33121</v>
      </c>
      <c r="K2321" t="s">
        <v>40665</v>
      </c>
      <c r="M2321" t="s">
        <v>41900</v>
      </c>
      <c r="N2321" t="s">
        <v>44905</v>
      </c>
      <c r="O2321" t="s">
        <v>44906</v>
      </c>
      <c r="P2321">
        <v>0</v>
      </c>
      <c r="Q2321">
        <v>2</v>
      </c>
      <c r="R2321" t="s">
        <v>44908</v>
      </c>
      <c r="S2321" t="s">
        <v>45042</v>
      </c>
      <c r="T2321" t="s">
        <v>46409</v>
      </c>
      <c r="U2321" t="s">
        <v>48843</v>
      </c>
      <c r="V2321" t="s">
        <v>59296</v>
      </c>
      <c r="W2321" t="s">
        <v>41900</v>
      </c>
      <c r="X2321" t="s">
        <v>44917</v>
      </c>
    </row>
    <row r="2322" spans="1:24">
      <c r="A2322">
        <f>HYPERLINK("https://www.philgeps.gov.ph/GEPSNONPILOT/Tender/SplashBidNoticeAbstractUI.aspx?menuIndex=3&amp;refID=7062487&amp;Result=3","7062487")</f>
        <v>0</v>
      </c>
      <c r="B2322" t="s">
        <v>916</v>
      </c>
      <c r="C2322" t="s">
        <v>5757</v>
      </c>
      <c r="D2322" t="s">
        <v>18101</v>
      </c>
      <c r="E2322" t="s">
        <v>20330</v>
      </c>
      <c r="F2322" t="s">
        <v>31362</v>
      </c>
      <c r="G2322" t="s">
        <v>31371</v>
      </c>
      <c r="H2322" t="s">
        <v>15799</v>
      </c>
      <c r="I2322" t="s">
        <v>31385</v>
      </c>
      <c r="J2322" t="s">
        <v>31915</v>
      </c>
      <c r="K2322" t="s">
        <v>40665</v>
      </c>
      <c r="M2322" t="s">
        <v>41900</v>
      </c>
      <c r="N2322" t="s">
        <v>44905</v>
      </c>
      <c r="O2322" t="s">
        <v>44906</v>
      </c>
      <c r="P2322">
        <v>0</v>
      </c>
      <c r="Q2322">
        <v>2</v>
      </c>
      <c r="R2322" t="s">
        <v>44908</v>
      </c>
      <c r="S2322" t="s">
        <v>45042</v>
      </c>
      <c r="T2322" t="s">
        <v>46409</v>
      </c>
      <c r="U2322" t="s">
        <v>48844</v>
      </c>
      <c r="V2322" t="s">
        <v>59297</v>
      </c>
      <c r="W2322" t="s">
        <v>41900</v>
      </c>
      <c r="X2322" t="s">
        <v>44917</v>
      </c>
    </row>
    <row r="2323" spans="1:24">
      <c r="A2323">
        <f>HYPERLINK("https://www.philgeps.gov.ph/GEPSNONPILOT/Tender/SplashBidNoticeAbstractUI.aspx?menuIndex=3&amp;refID=7062445&amp;Result=3","7062445")</f>
        <v>0</v>
      </c>
      <c r="B2323" t="s">
        <v>916</v>
      </c>
      <c r="C2323" t="s">
        <v>5758</v>
      </c>
      <c r="D2323" t="s">
        <v>18101</v>
      </c>
      <c r="E2323" t="s">
        <v>20331</v>
      </c>
      <c r="F2323" t="s">
        <v>31362</v>
      </c>
      <c r="G2323" t="s">
        <v>31368</v>
      </c>
      <c r="H2323" t="s">
        <v>15799</v>
      </c>
      <c r="I2323" t="s">
        <v>31380</v>
      </c>
      <c r="J2323" t="s">
        <v>33122</v>
      </c>
      <c r="K2323" t="s">
        <v>40665</v>
      </c>
      <c r="M2323" t="s">
        <v>41900</v>
      </c>
      <c r="N2323" t="s">
        <v>44905</v>
      </c>
      <c r="O2323" t="s">
        <v>44906</v>
      </c>
      <c r="P2323">
        <v>0</v>
      </c>
      <c r="Q2323">
        <v>2</v>
      </c>
      <c r="R2323" t="s">
        <v>44908</v>
      </c>
      <c r="S2323" t="s">
        <v>45042</v>
      </c>
      <c r="T2323" t="s">
        <v>46409</v>
      </c>
      <c r="U2323" t="s">
        <v>48845</v>
      </c>
      <c r="V2323" t="s">
        <v>59298</v>
      </c>
      <c r="W2323" t="s">
        <v>41900</v>
      </c>
      <c r="X2323" t="s">
        <v>44917</v>
      </c>
    </row>
    <row r="2324" spans="1:24">
      <c r="A2324">
        <f>HYPERLINK("https://www.philgeps.gov.ph/GEPSNONPILOT/Tender/SplashBidNoticeAbstractUI.aspx?menuIndex=3&amp;refID=7059933&amp;Result=3","7059933")</f>
        <v>0</v>
      </c>
      <c r="B2324" t="s">
        <v>917</v>
      </c>
      <c r="C2324" t="s">
        <v>5759</v>
      </c>
      <c r="D2324" t="s">
        <v>18103</v>
      </c>
      <c r="E2324" t="s">
        <v>20332</v>
      </c>
      <c r="F2324" t="s">
        <v>31362</v>
      </c>
      <c r="G2324" t="s">
        <v>31369</v>
      </c>
      <c r="H2324" t="s">
        <v>15799</v>
      </c>
      <c r="I2324" t="s">
        <v>7090</v>
      </c>
      <c r="J2324" t="s">
        <v>33123</v>
      </c>
      <c r="K2324" t="s">
        <v>40661</v>
      </c>
      <c r="M2324" t="s">
        <v>41901</v>
      </c>
      <c r="N2324" t="s">
        <v>44905</v>
      </c>
      <c r="O2324" t="s">
        <v>44906</v>
      </c>
      <c r="P2324">
        <v>0</v>
      </c>
      <c r="Q2324">
        <v>0</v>
      </c>
      <c r="R2324" t="s">
        <v>44908</v>
      </c>
      <c r="S2324" t="s">
        <v>45042</v>
      </c>
      <c r="T2324" t="s">
        <v>46506</v>
      </c>
      <c r="U2324" t="s">
        <v>48846</v>
      </c>
      <c r="W2324" t="s">
        <v>41901</v>
      </c>
      <c r="X2324" t="s">
        <v>44918</v>
      </c>
    </row>
    <row r="2325" spans="1:24">
      <c r="A2325">
        <f>HYPERLINK("https://www.philgeps.gov.ph/GEPSNONPILOT/Tender/SplashBidNoticeAbstractUI.aspx?menuIndex=3&amp;refID=7059894&amp;Result=3","7059894")</f>
        <v>0</v>
      </c>
      <c r="B2325" t="s">
        <v>917</v>
      </c>
      <c r="C2325" t="s">
        <v>5760</v>
      </c>
      <c r="D2325" t="s">
        <v>18103</v>
      </c>
      <c r="E2325" t="s">
        <v>20332</v>
      </c>
      <c r="F2325" t="s">
        <v>31362</v>
      </c>
      <c r="G2325" t="s">
        <v>31369</v>
      </c>
      <c r="H2325" t="s">
        <v>15799</v>
      </c>
      <c r="I2325" t="s">
        <v>31473</v>
      </c>
      <c r="J2325" t="s">
        <v>33124</v>
      </c>
      <c r="K2325" t="s">
        <v>40661</v>
      </c>
      <c r="M2325" t="s">
        <v>41901</v>
      </c>
      <c r="N2325" t="s">
        <v>44905</v>
      </c>
      <c r="O2325" t="s">
        <v>44906</v>
      </c>
      <c r="P2325">
        <v>0</v>
      </c>
      <c r="Q2325">
        <v>1</v>
      </c>
      <c r="R2325" t="s">
        <v>44908</v>
      </c>
      <c r="S2325" t="s">
        <v>45042</v>
      </c>
      <c r="T2325" t="s">
        <v>46506</v>
      </c>
      <c r="U2325" t="s">
        <v>48847</v>
      </c>
      <c r="W2325" t="s">
        <v>41901</v>
      </c>
      <c r="X2325" t="s">
        <v>44918</v>
      </c>
    </row>
    <row r="2326" spans="1:24">
      <c r="A2326">
        <f>HYPERLINK("https://www.philgeps.gov.ph/GEPSNONPILOT/Tender/SplashBidNoticeAbstractUI.aspx?menuIndex=3&amp;refID=7084505&amp;Result=3","7084505")</f>
        <v>0</v>
      </c>
      <c r="B2326" t="s">
        <v>560</v>
      </c>
      <c r="C2326" t="s">
        <v>5761</v>
      </c>
      <c r="D2326" t="s">
        <v>18106</v>
      </c>
      <c r="E2326" t="s">
        <v>20333</v>
      </c>
      <c r="F2326" t="s">
        <v>31362</v>
      </c>
      <c r="G2326" t="s">
        <v>31368</v>
      </c>
      <c r="H2326" t="s">
        <v>15799</v>
      </c>
      <c r="I2326" t="s">
        <v>31393</v>
      </c>
      <c r="J2326" t="s">
        <v>31688</v>
      </c>
      <c r="K2326" t="s">
        <v>40666</v>
      </c>
      <c r="M2326" t="s">
        <v>41516</v>
      </c>
      <c r="N2326" t="s">
        <v>44905</v>
      </c>
      <c r="O2326" t="s">
        <v>44906</v>
      </c>
      <c r="P2326">
        <v>0</v>
      </c>
      <c r="Q2326">
        <v>5</v>
      </c>
      <c r="R2326" t="s">
        <v>44907</v>
      </c>
      <c r="S2326" t="s">
        <v>45026</v>
      </c>
      <c r="T2326" t="s">
        <v>46409</v>
      </c>
      <c r="U2326" t="s">
        <v>48088</v>
      </c>
      <c r="W2326" t="s">
        <v>41516</v>
      </c>
      <c r="X2326" t="s">
        <v>44908</v>
      </c>
    </row>
    <row r="2327" spans="1:24">
      <c r="A2327">
        <f>HYPERLINK("https://www.philgeps.gov.ph/GEPSNONPILOT/Tender/SplashBidNoticeAbstractUI.aspx?menuIndex=3&amp;refID=7063594&amp;Result=3","7063594")</f>
        <v>0</v>
      </c>
      <c r="B2327" t="s">
        <v>915</v>
      </c>
      <c r="C2327" t="s">
        <v>5762</v>
      </c>
      <c r="D2327" t="s">
        <v>18151</v>
      </c>
      <c r="E2327" t="s">
        <v>19737</v>
      </c>
      <c r="F2327" t="s">
        <v>31362</v>
      </c>
      <c r="G2327" t="s">
        <v>31369</v>
      </c>
      <c r="H2327" t="s">
        <v>15799</v>
      </c>
      <c r="I2327" t="s">
        <v>31385</v>
      </c>
      <c r="J2327" t="s">
        <v>31530</v>
      </c>
      <c r="K2327" t="s">
        <v>40665</v>
      </c>
      <c r="M2327" t="s">
        <v>41899</v>
      </c>
      <c r="N2327" t="s">
        <v>44905</v>
      </c>
      <c r="O2327" t="s">
        <v>44906</v>
      </c>
      <c r="P2327">
        <v>0</v>
      </c>
      <c r="Q2327">
        <v>1</v>
      </c>
      <c r="R2327" t="s">
        <v>44908</v>
      </c>
      <c r="S2327" t="s">
        <v>45042</v>
      </c>
      <c r="T2327" t="s">
        <v>46449</v>
      </c>
      <c r="U2327" t="s">
        <v>48848</v>
      </c>
      <c r="W2327" t="s">
        <v>41899</v>
      </c>
      <c r="X2327" t="s">
        <v>44917</v>
      </c>
    </row>
    <row r="2328" spans="1:24">
      <c r="A2328">
        <f>HYPERLINK("https://www.philgeps.gov.ph/GEPSNONPILOT/Tender/SplashBidNoticeAbstractUI.aspx?menuIndex=3&amp;refID=7061234-2&amp;Result=3","7061234-2")</f>
        <v>0</v>
      </c>
      <c r="B2328" t="s">
        <v>906</v>
      </c>
      <c r="C2328" t="s">
        <v>5763</v>
      </c>
      <c r="E2328" t="s">
        <v>20334</v>
      </c>
      <c r="F2328" t="s">
        <v>31362</v>
      </c>
      <c r="G2328" t="s">
        <v>31369</v>
      </c>
      <c r="H2328" t="s">
        <v>31377</v>
      </c>
      <c r="I2328" t="s">
        <v>31377</v>
      </c>
      <c r="J2328" t="s">
        <v>33125</v>
      </c>
      <c r="K2328" t="s">
        <v>40662</v>
      </c>
      <c r="M2328" t="s">
        <v>41888</v>
      </c>
      <c r="N2328" t="s">
        <v>44905</v>
      </c>
      <c r="O2328" t="s">
        <v>44906</v>
      </c>
      <c r="P2328">
        <v>0</v>
      </c>
      <c r="Q2328">
        <v>0</v>
      </c>
      <c r="R2328" t="s">
        <v>44908</v>
      </c>
      <c r="S2328" t="s">
        <v>45042</v>
      </c>
      <c r="T2328" t="s">
        <v>46433</v>
      </c>
      <c r="U2328" t="s">
        <v>48849</v>
      </c>
      <c r="V2328" t="s">
        <v>59299</v>
      </c>
      <c r="W2328" t="s">
        <v>41888</v>
      </c>
      <c r="X2328" t="s">
        <v>44909</v>
      </c>
    </row>
    <row r="2329" spans="1:24">
      <c r="A2329">
        <f>HYPERLINK("https://www.philgeps.gov.ph/GEPSNONPILOT/Tender/SplashBidNoticeAbstractUI.aspx?menuIndex=3&amp;refID=7054892-2&amp;Result=3","7054892-2")</f>
        <v>0</v>
      </c>
      <c r="B2329" t="s">
        <v>918</v>
      </c>
      <c r="C2329" t="s">
        <v>5764</v>
      </c>
      <c r="E2329" t="s">
        <v>20335</v>
      </c>
      <c r="F2329" t="s">
        <v>31362</v>
      </c>
      <c r="G2329" t="s">
        <v>31369</v>
      </c>
      <c r="H2329" t="s">
        <v>31377</v>
      </c>
      <c r="I2329" t="s">
        <v>31377</v>
      </c>
      <c r="J2329" t="s">
        <v>33126</v>
      </c>
      <c r="K2329" t="s">
        <v>40694</v>
      </c>
      <c r="M2329" t="s">
        <v>41902</v>
      </c>
      <c r="N2329" t="s">
        <v>44905</v>
      </c>
      <c r="O2329" t="s">
        <v>44906</v>
      </c>
      <c r="P2329">
        <v>0</v>
      </c>
      <c r="Q2329">
        <v>1</v>
      </c>
      <c r="R2329" t="s">
        <v>44908</v>
      </c>
      <c r="S2329" t="s">
        <v>45042</v>
      </c>
      <c r="T2329" t="s">
        <v>46479</v>
      </c>
      <c r="U2329" t="s">
        <v>48850</v>
      </c>
      <c r="W2329" t="s">
        <v>41902</v>
      </c>
      <c r="X2329" t="s">
        <v>44909</v>
      </c>
    </row>
    <row r="2330" spans="1:24">
      <c r="A2330">
        <f>HYPERLINK("https://www.philgeps.gov.ph/GEPSNONPILOT/Tender/SplashBidNoticeAbstractUI.aspx?menuIndex=3&amp;refID=7054592&amp;Result=3","7054592")</f>
        <v>0</v>
      </c>
      <c r="B2330" t="s">
        <v>919</v>
      </c>
      <c r="C2330" t="s">
        <v>5765</v>
      </c>
      <c r="D2330" t="s">
        <v>18112</v>
      </c>
      <c r="E2330" t="s">
        <v>20336</v>
      </c>
      <c r="F2330" t="s">
        <v>31362</v>
      </c>
      <c r="G2330" t="s">
        <v>31368</v>
      </c>
      <c r="H2330" t="s">
        <v>15799</v>
      </c>
      <c r="I2330" t="s">
        <v>6373</v>
      </c>
      <c r="J2330" t="s">
        <v>33127</v>
      </c>
      <c r="K2330" t="s">
        <v>40697</v>
      </c>
      <c r="M2330" t="s">
        <v>41903</v>
      </c>
      <c r="N2330" t="s">
        <v>44905</v>
      </c>
      <c r="O2330" t="s">
        <v>44906</v>
      </c>
      <c r="P2330">
        <v>0</v>
      </c>
      <c r="Q2330">
        <v>0</v>
      </c>
      <c r="R2330" t="s">
        <v>44908</v>
      </c>
      <c r="S2330" t="s">
        <v>45042</v>
      </c>
      <c r="T2330" t="s">
        <v>46414</v>
      </c>
      <c r="U2330" t="s">
        <v>48851</v>
      </c>
      <c r="W2330" t="s">
        <v>41903</v>
      </c>
      <c r="X2330" t="s">
        <v>44922</v>
      </c>
    </row>
    <row r="2331" spans="1:24">
      <c r="A2331">
        <f>HYPERLINK("https://www.philgeps.gov.ph/GEPSNONPILOT/Tender/SplashBidNoticeAbstractUI.aspx?menuIndex=3&amp;refID=7059814&amp;Result=3","7059814")</f>
        <v>0</v>
      </c>
      <c r="B2331" t="s">
        <v>917</v>
      </c>
      <c r="C2331" t="s">
        <v>5766</v>
      </c>
      <c r="D2331" t="s">
        <v>18103</v>
      </c>
      <c r="E2331" t="s">
        <v>20332</v>
      </c>
      <c r="F2331" t="s">
        <v>31362</v>
      </c>
      <c r="G2331" t="s">
        <v>31369</v>
      </c>
      <c r="H2331" t="s">
        <v>15799</v>
      </c>
      <c r="I2331" t="s">
        <v>31383</v>
      </c>
      <c r="J2331" t="s">
        <v>33128</v>
      </c>
      <c r="K2331" t="s">
        <v>40661</v>
      </c>
      <c r="M2331" t="s">
        <v>41901</v>
      </c>
      <c r="N2331" t="s">
        <v>44905</v>
      </c>
      <c r="O2331" t="s">
        <v>44906</v>
      </c>
      <c r="P2331">
        <v>0</v>
      </c>
      <c r="Q2331">
        <v>1</v>
      </c>
      <c r="R2331" t="s">
        <v>44908</v>
      </c>
      <c r="S2331" t="s">
        <v>45042</v>
      </c>
      <c r="T2331" t="s">
        <v>46506</v>
      </c>
      <c r="U2331" t="s">
        <v>48852</v>
      </c>
      <c r="W2331" t="s">
        <v>41901</v>
      </c>
      <c r="X2331" t="s">
        <v>44918</v>
      </c>
    </row>
    <row r="2332" spans="1:24">
      <c r="A2332">
        <f>HYPERLINK("https://www.philgeps.gov.ph/GEPSNONPILOT/Tender/SplashBidNoticeAbstractUI.aspx?menuIndex=3&amp;refID=7054389&amp;Result=3","7054389")</f>
        <v>0</v>
      </c>
      <c r="B2332" t="s">
        <v>920</v>
      </c>
      <c r="C2332" t="s">
        <v>5767</v>
      </c>
      <c r="D2332" t="s">
        <v>18108</v>
      </c>
      <c r="E2332" t="s">
        <v>20337</v>
      </c>
      <c r="F2332" t="s">
        <v>31362</v>
      </c>
      <c r="G2332" t="s">
        <v>31368</v>
      </c>
      <c r="H2332" t="s">
        <v>15799</v>
      </c>
      <c r="I2332" t="s">
        <v>31474</v>
      </c>
      <c r="J2332" t="s">
        <v>31724</v>
      </c>
      <c r="K2332" t="s">
        <v>40662</v>
      </c>
      <c r="M2332" t="s">
        <v>41904</v>
      </c>
      <c r="N2332" t="s">
        <v>44905</v>
      </c>
      <c r="O2332" t="s">
        <v>44906</v>
      </c>
      <c r="P2332">
        <v>0</v>
      </c>
      <c r="Q2332">
        <v>16</v>
      </c>
      <c r="R2332" t="s">
        <v>44908</v>
      </c>
      <c r="S2332" t="s">
        <v>45042</v>
      </c>
      <c r="T2332" t="s">
        <v>46506</v>
      </c>
      <c r="U2332" t="s">
        <v>48853</v>
      </c>
      <c r="W2332" t="s">
        <v>60874</v>
      </c>
      <c r="X2332" t="s">
        <v>44922</v>
      </c>
    </row>
    <row r="2333" spans="1:24">
      <c r="A2333">
        <f>HYPERLINK("https://www.philgeps.gov.ph/GEPSNONPILOT/Tender/SplashBidNoticeAbstractUI.aspx?menuIndex=3&amp;refID=7072644&amp;Result=3","7072644")</f>
        <v>0</v>
      </c>
      <c r="B2333" t="s">
        <v>921</v>
      </c>
      <c r="C2333" t="s">
        <v>5768</v>
      </c>
      <c r="D2333" t="s">
        <v>18112</v>
      </c>
      <c r="E2333" t="s">
        <v>20338</v>
      </c>
      <c r="F2333" t="s">
        <v>31363</v>
      </c>
      <c r="G2333" t="s">
        <v>31370</v>
      </c>
      <c r="H2333" t="s">
        <v>31379</v>
      </c>
      <c r="I2333" t="s">
        <v>31390</v>
      </c>
      <c r="J2333" t="s">
        <v>33129</v>
      </c>
      <c r="K2333" t="s">
        <v>40698</v>
      </c>
      <c r="M2333" t="s">
        <v>41905</v>
      </c>
      <c r="N2333" t="s">
        <v>44905</v>
      </c>
      <c r="O2333" t="s">
        <v>44906</v>
      </c>
      <c r="P2333">
        <v>0</v>
      </c>
      <c r="Q2333">
        <v>3</v>
      </c>
      <c r="R2333" t="s">
        <v>44908</v>
      </c>
      <c r="S2333" t="s">
        <v>45042</v>
      </c>
      <c r="T2333" t="s">
        <v>46414</v>
      </c>
      <c r="U2333" t="s">
        <v>48854</v>
      </c>
      <c r="W2333" t="s">
        <v>41905</v>
      </c>
      <c r="X2333" t="s">
        <v>44913</v>
      </c>
    </row>
    <row r="2334" spans="1:24">
      <c r="A2334">
        <f>HYPERLINK("https://www.philgeps.gov.ph/GEPSNONPILOT/Tender/SplashBidNoticeAbstractUI.aspx?menuIndex=3&amp;refID=7084578&amp;Result=3","7084578")</f>
        <v>0</v>
      </c>
      <c r="B2334" t="s">
        <v>721</v>
      </c>
      <c r="C2334" t="s">
        <v>5161</v>
      </c>
      <c r="D2334" t="s">
        <v>18111</v>
      </c>
      <c r="E2334" t="s">
        <v>19784</v>
      </c>
      <c r="F2334" t="s">
        <v>31362</v>
      </c>
      <c r="G2334" t="s">
        <v>31371</v>
      </c>
      <c r="H2334" t="s">
        <v>15799</v>
      </c>
      <c r="I2334" t="s">
        <v>6373</v>
      </c>
      <c r="J2334" t="s">
        <v>32749</v>
      </c>
      <c r="K2334" t="s">
        <v>40697</v>
      </c>
      <c r="M2334" t="s">
        <v>41686</v>
      </c>
      <c r="N2334" t="s">
        <v>44905</v>
      </c>
      <c r="O2334" t="s">
        <v>44906</v>
      </c>
      <c r="P2334">
        <v>0</v>
      </c>
      <c r="Q2334">
        <v>1</v>
      </c>
      <c r="R2334" t="s">
        <v>44907</v>
      </c>
      <c r="S2334" t="s">
        <v>45026</v>
      </c>
      <c r="T2334" t="s">
        <v>46400</v>
      </c>
      <c r="U2334" t="s">
        <v>48348</v>
      </c>
      <c r="W2334" t="s">
        <v>41686</v>
      </c>
      <c r="X2334" t="s">
        <v>44908</v>
      </c>
    </row>
    <row r="2335" spans="1:24">
      <c r="A2335">
        <f>HYPERLINK("https://www.philgeps.gov.ph/GEPSNONPILOT/Tender/SplashBidNoticeAbstractUI.aspx?menuIndex=3&amp;refID=7054917-2&amp;Result=3","7054917-2")</f>
        <v>0</v>
      </c>
      <c r="B2335" t="s">
        <v>918</v>
      </c>
      <c r="C2335" t="s">
        <v>5769</v>
      </c>
      <c r="E2335" t="s">
        <v>20339</v>
      </c>
      <c r="F2335" t="s">
        <v>31362</v>
      </c>
      <c r="G2335" t="s">
        <v>31369</v>
      </c>
      <c r="H2335" t="s">
        <v>31377</v>
      </c>
      <c r="I2335" t="s">
        <v>31377</v>
      </c>
      <c r="J2335" t="s">
        <v>33130</v>
      </c>
      <c r="K2335" t="s">
        <v>40746</v>
      </c>
      <c r="M2335" t="s">
        <v>41902</v>
      </c>
      <c r="N2335" t="s">
        <v>44905</v>
      </c>
      <c r="O2335" t="s">
        <v>44906</v>
      </c>
      <c r="P2335">
        <v>0</v>
      </c>
      <c r="Q2335">
        <v>1</v>
      </c>
      <c r="R2335" t="s">
        <v>44908</v>
      </c>
      <c r="S2335" t="s">
        <v>45042</v>
      </c>
      <c r="T2335" t="s">
        <v>46479</v>
      </c>
      <c r="U2335" t="s">
        <v>48850</v>
      </c>
      <c r="W2335" t="s">
        <v>41902</v>
      </c>
      <c r="X2335" t="s">
        <v>44909</v>
      </c>
    </row>
    <row r="2336" spans="1:24">
      <c r="A2336">
        <f>HYPERLINK("https://www.philgeps.gov.ph/GEPSNONPILOT/Tender/SplashBidNoticeAbstractUI.aspx?menuIndex=3&amp;refID=7068855&amp;Result=3","7068855")</f>
        <v>0</v>
      </c>
      <c r="B2336" t="s">
        <v>916</v>
      </c>
      <c r="C2336" t="s">
        <v>5770</v>
      </c>
      <c r="D2336" t="s">
        <v>18101</v>
      </c>
      <c r="E2336" t="s">
        <v>20340</v>
      </c>
      <c r="F2336" t="s">
        <v>31362</v>
      </c>
      <c r="G2336" t="s">
        <v>31371</v>
      </c>
      <c r="H2336" t="s">
        <v>15799</v>
      </c>
      <c r="I2336" t="s">
        <v>31385</v>
      </c>
      <c r="J2336" t="s">
        <v>33131</v>
      </c>
      <c r="K2336" t="s">
        <v>40665</v>
      </c>
      <c r="M2336" t="s">
        <v>41900</v>
      </c>
      <c r="N2336" t="s">
        <v>44905</v>
      </c>
      <c r="O2336" t="s">
        <v>44906</v>
      </c>
      <c r="P2336">
        <v>0</v>
      </c>
      <c r="Q2336">
        <v>0</v>
      </c>
      <c r="R2336" t="s">
        <v>44908</v>
      </c>
      <c r="S2336" t="s">
        <v>45042</v>
      </c>
      <c r="T2336" t="s">
        <v>46409</v>
      </c>
      <c r="U2336" t="s">
        <v>48855</v>
      </c>
      <c r="V2336" t="s">
        <v>59300</v>
      </c>
      <c r="W2336" t="s">
        <v>41900</v>
      </c>
      <c r="X2336" t="s">
        <v>44915</v>
      </c>
    </row>
    <row r="2337" spans="1:24">
      <c r="A2337">
        <f>HYPERLINK("https://www.philgeps.gov.ph/GEPSNONPILOT/Tender/SplashBidNoticeAbstractUI.aspx?menuIndex=3&amp;refID=7072656&amp;Result=3","7072656")</f>
        <v>0</v>
      </c>
      <c r="B2337" t="s">
        <v>921</v>
      </c>
      <c r="C2337" t="s">
        <v>5771</v>
      </c>
      <c r="D2337" t="s">
        <v>18112</v>
      </c>
      <c r="E2337" t="s">
        <v>20341</v>
      </c>
      <c r="F2337" t="s">
        <v>31363</v>
      </c>
      <c r="G2337" t="s">
        <v>31370</v>
      </c>
      <c r="H2337" t="s">
        <v>31379</v>
      </c>
      <c r="I2337" t="s">
        <v>31390</v>
      </c>
      <c r="J2337" t="s">
        <v>33129</v>
      </c>
      <c r="K2337" t="s">
        <v>40698</v>
      </c>
      <c r="M2337" t="s">
        <v>41905</v>
      </c>
      <c r="N2337" t="s">
        <v>44905</v>
      </c>
      <c r="O2337" t="s">
        <v>44906</v>
      </c>
      <c r="P2337">
        <v>0</v>
      </c>
      <c r="Q2337">
        <v>0</v>
      </c>
      <c r="R2337" t="s">
        <v>44908</v>
      </c>
      <c r="S2337" t="s">
        <v>45042</v>
      </c>
      <c r="T2337" t="s">
        <v>46414</v>
      </c>
      <c r="U2337" t="s">
        <v>48856</v>
      </c>
      <c r="W2337" t="s">
        <v>41905</v>
      </c>
      <c r="X2337" t="s">
        <v>44913</v>
      </c>
    </row>
    <row r="2338" spans="1:24">
      <c r="A2338">
        <f>HYPERLINK("https://www.philgeps.gov.ph/GEPSNONPILOT/Tender/SplashBidNoticeAbstractUI.aspx?menuIndex=3&amp;refID=7072648&amp;Result=3","7072648")</f>
        <v>0</v>
      </c>
      <c r="B2338" t="s">
        <v>921</v>
      </c>
      <c r="C2338" t="s">
        <v>5772</v>
      </c>
      <c r="D2338" t="s">
        <v>18112</v>
      </c>
      <c r="E2338" t="s">
        <v>20341</v>
      </c>
      <c r="F2338" t="s">
        <v>31363</v>
      </c>
      <c r="G2338" t="s">
        <v>31370</v>
      </c>
      <c r="H2338" t="s">
        <v>31379</v>
      </c>
      <c r="I2338" t="s">
        <v>31390</v>
      </c>
      <c r="J2338" t="s">
        <v>33129</v>
      </c>
      <c r="K2338" t="s">
        <v>40698</v>
      </c>
      <c r="M2338" t="s">
        <v>41905</v>
      </c>
      <c r="N2338" t="s">
        <v>44905</v>
      </c>
      <c r="O2338" t="s">
        <v>44906</v>
      </c>
      <c r="P2338">
        <v>0</v>
      </c>
      <c r="Q2338">
        <v>1</v>
      </c>
      <c r="R2338" t="s">
        <v>44908</v>
      </c>
      <c r="S2338" t="s">
        <v>45042</v>
      </c>
      <c r="T2338" t="s">
        <v>46414</v>
      </c>
      <c r="U2338" t="s">
        <v>48857</v>
      </c>
      <c r="W2338" t="s">
        <v>41905</v>
      </c>
      <c r="X2338" t="s">
        <v>44913</v>
      </c>
    </row>
    <row r="2339" spans="1:24">
      <c r="A2339">
        <f>HYPERLINK("https://www.philgeps.gov.ph/GEPSNONPILOT/Tender/SplashBidNoticeAbstractUI.aspx?menuIndex=3&amp;refID=7072639&amp;Result=3","7072639")</f>
        <v>0</v>
      </c>
      <c r="B2339" t="s">
        <v>921</v>
      </c>
      <c r="C2339" t="s">
        <v>5773</v>
      </c>
      <c r="D2339" t="s">
        <v>18112</v>
      </c>
      <c r="E2339" t="s">
        <v>20338</v>
      </c>
      <c r="F2339" t="s">
        <v>31363</v>
      </c>
      <c r="G2339" t="s">
        <v>31370</v>
      </c>
      <c r="H2339" t="s">
        <v>31379</v>
      </c>
      <c r="I2339" t="s">
        <v>31390</v>
      </c>
      <c r="J2339" t="s">
        <v>33129</v>
      </c>
      <c r="K2339" t="s">
        <v>40698</v>
      </c>
      <c r="M2339" t="s">
        <v>41905</v>
      </c>
      <c r="N2339" t="s">
        <v>44905</v>
      </c>
      <c r="O2339" t="s">
        <v>44906</v>
      </c>
      <c r="P2339">
        <v>0</v>
      </c>
      <c r="Q2339">
        <v>1</v>
      </c>
      <c r="R2339" t="s">
        <v>44908</v>
      </c>
      <c r="S2339" t="s">
        <v>45042</v>
      </c>
      <c r="T2339" t="s">
        <v>46414</v>
      </c>
      <c r="U2339" t="s">
        <v>48858</v>
      </c>
      <c r="W2339" t="s">
        <v>41905</v>
      </c>
      <c r="X2339" t="s">
        <v>44913</v>
      </c>
    </row>
    <row r="2340" spans="1:24">
      <c r="A2340">
        <f>HYPERLINK("https://www.philgeps.gov.ph/GEPSNONPILOT/Tender/SplashBidNoticeAbstractUI.aspx?menuIndex=3&amp;refID=7072636&amp;Result=3","7072636")</f>
        <v>0</v>
      </c>
      <c r="B2340" t="s">
        <v>921</v>
      </c>
      <c r="C2340" t="s">
        <v>5774</v>
      </c>
      <c r="E2340" t="s">
        <v>20342</v>
      </c>
      <c r="F2340" t="s">
        <v>31363</v>
      </c>
      <c r="G2340" t="s">
        <v>31370</v>
      </c>
      <c r="H2340" t="s">
        <v>31379</v>
      </c>
      <c r="I2340" t="s">
        <v>31390</v>
      </c>
      <c r="J2340" t="s">
        <v>33129</v>
      </c>
      <c r="K2340" t="s">
        <v>40698</v>
      </c>
      <c r="M2340" t="s">
        <v>41905</v>
      </c>
      <c r="N2340" t="s">
        <v>44905</v>
      </c>
      <c r="O2340" t="s">
        <v>44906</v>
      </c>
      <c r="P2340">
        <v>0</v>
      </c>
      <c r="Q2340">
        <v>1</v>
      </c>
      <c r="R2340" t="s">
        <v>44908</v>
      </c>
      <c r="S2340" t="s">
        <v>45042</v>
      </c>
      <c r="T2340" t="s">
        <v>46414</v>
      </c>
      <c r="U2340" t="s">
        <v>48859</v>
      </c>
      <c r="W2340" t="s">
        <v>41905</v>
      </c>
      <c r="X2340" t="s">
        <v>44913</v>
      </c>
    </row>
    <row r="2341" spans="1:24">
      <c r="A2341">
        <f>HYPERLINK("https://www.philgeps.gov.ph/GEPSNONPILOT/Tender/SplashBidNoticeAbstractUI.aspx?menuIndex=3&amp;refID=7072635&amp;Result=3","7072635")</f>
        <v>0</v>
      </c>
      <c r="B2341" t="s">
        <v>921</v>
      </c>
      <c r="C2341" t="s">
        <v>5775</v>
      </c>
      <c r="D2341" t="s">
        <v>18112</v>
      </c>
      <c r="E2341" t="s">
        <v>20343</v>
      </c>
      <c r="F2341" t="s">
        <v>31363</v>
      </c>
      <c r="G2341" t="s">
        <v>31370</v>
      </c>
      <c r="H2341" t="s">
        <v>31379</v>
      </c>
      <c r="I2341" t="s">
        <v>31390</v>
      </c>
      <c r="J2341" t="s">
        <v>33129</v>
      </c>
      <c r="K2341" t="s">
        <v>40698</v>
      </c>
      <c r="M2341" t="s">
        <v>41905</v>
      </c>
      <c r="N2341" t="s">
        <v>44905</v>
      </c>
      <c r="O2341" t="s">
        <v>44906</v>
      </c>
      <c r="P2341">
        <v>0</v>
      </c>
      <c r="Q2341">
        <v>1</v>
      </c>
      <c r="R2341" t="s">
        <v>44908</v>
      </c>
      <c r="S2341" t="s">
        <v>45042</v>
      </c>
      <c r="T2341" t="s">
        <v>46414</v>
      </c>
      <c r="U2341" t="s">
        <v>48859</v>
      </c>
      <c r="W2341" t="s">
        <v>41905</v>
      </c>
      <c r="X2341" t="s">
        <v>44913</v>
      </c>
    </row>
    <row r="2342" spans="1:24">
      <c r="A2342">
        <f>HYPERLINK("https://www.philgeps.gov.ph/GEPSNONPILOT/Tender/SplashBidNoticeAbstractUI.aspx?menuIndex=3&amp;refID=7072634&amp;Result=3","7072634")</f>
        <v>0</v>
      </c>
      <c r="B2342" t="s">
        <v>921</v>
      </c>
      <c r="C2342" t="s">
        <v>5776</v>
      </c>
      <c r="D2342" t="s">
        <v>18112</v>
      </c>
      <c r="E2342" t="s">
        <v>20344</v>
      </c>
      <c r="F2342" t="s">
        <v>31363</v>
      </c>
      <c r="G2342" t="s">
        <v>31370</v>
      </c>
      <c r="H2342" t="s">
        <v>31379</v>
      </c>
      <c r="I2342" t="s">
        <v>31390</v>
      </c>
      <c r="J2342" t="s">
        <v>33129</v>
      </c>
      <c r="K2342" t="s">
        <v>40698</v>
      </c>
      <c r="M2342" t="s">
        <v>41905</v>
      </c>
      <c r="N2342" t="s">
        <v>44905</v>
      </c>
      <c r="O2342" t="s">
        <v>44906</v>
      </c>
      <c r="P2342">
        <v>0</v>
      </c>
      <c r="Q2342">
        <v>1</v>
      </c>
      <c r="R2342" t="s">
        <v>44908</v>
      </c>
      <c r="S2342" t="s">
        <v>45042</v>
      </c>
      <c r="T2342" t="s">
        <v>46414</v>
      </c>
      <c r="U2342" t="s">
        <v>48859</v>
      </c>
      <c r="W2342" t="s">
        <v>41905</v>
      </c>
      <c r="X2342" t="s">
        <v>44913</v>
      </c>
    </row>
    <row r="2343" spans="1:24">
      <c r="A2343">
        <f>HYPERLINK("https://www.philgeps.gov.ph/GEPSNONPILOT/Tender/SplashBidNoticeAbstractUI.aspx?menuIndex=3&amp;refID=7072659&amp;Result=3","7072659")</f>
        <v>0</v>
      </c>
      <c r="B2343" t="s">
        <v>921</v>
      </c>
      <c r="C2343" t="s">
        <v>5777</v>
      </c>
      <c r="D2343" t="s">
        <v>18112</v>
      </c>
      <c r="E2343" t="s">
        <v>20345</v>
      </c>
      <c r="F2343" t="s">
        <v>31363</v>
      </c>
      <c r="G2343" t="s">
        <v>31370</v>
      </c>
      <c r="H2343" t="s">
        <v>31379</v>
      </c>
      <c r="I2343" t="s">
        <v>31390</v>
      </c>
      <c r="J2343" t="s">
        <v>33129</v>
      </c>
      <c r="K2343" t="s">
        <v>40698</v>
      </c>
      <c r="M2343" t="s">
        <v>41905</v>
      </c>
      <c r="N2343" t="s">
        <v>44905</v>
      </c>
      <c r="O2343" t="s">
        <v>44906</v>
      </c>
      <c r="P2343">
        <v>0</v>
      </c>
      <c r="Q2343">
        <v>0</v>
      </c>
      <c r="R2343" t="s">
        <v>44908</v>
      </c>
      <c r="S2343" t="s">
        <v>45042</v>
      </c>
      <c r="T2343" t="s">
        <v>46414</v>
      </c>
      <c r="U2343" t="s">
        <v>48860</v>
      </c>
      <c r="W2343" t="s">
        <v>41905</v>
      </c>
      <c r="X2343" t="s">
        <v>44913</v>
      </c>
    </row>
    <row r="2344" spans="1:24">
      <c r="A2344">
        <f>HYPERLINK("https://www.philgeps.gov.ph/GEPSNONPILOT/Tender/SplashBidNoticeAbstractUI.aspx?menuIndex=3&amp;refID=7072630&amp;Result=3","7072630")</f>
        <v>0</v>
      </c>
      <c r="B2344" t="s">
        <v>921</v>
      </c>
      <c r="C2344" t="s">
        <v>5778</v>
      </c>
      <c r="D2344" t="s">
        <v>18112</v>
      </c>
      <c r="E2344" t="s">
        <v>20346</v>
      </c>
      <c r="F2344" t="s">
        <v>31363</v>
      </c>
      <c r="G2344" t="s">
        <v>31370</v>
      </c>
      <c r="H2344" t="s">
        <v>31379</v>
      </c>
      <c r="I2344" t="s">
        <v>31390</v>
      </c>
      <c r="J2344" t="s">
        <v>31785</v>
      </c>
      <c r="K2344" t="s">
        <v>40698</v>
      </c>
      <c r="M2344" t="s">
        <v>41905</v>
      </c>
      <c r="N2344" t="s">
        <v>44905</v>
      </c>
      <c r="O2344" t="s">
        <v>44906</v>
      </c>
      <c r="P2344">
        <v>0</v>
      </c>
      <c r="Q2344">
        <v>0</v>
      </c>
      <c r="R2344" t="s">
        <v>44908</v>
      </c>
      <c r="S2344" t="s">
        <v>45042</v>
      </c>
      <c r="T2344" t="s">
        <v>46414</v>
      </c>
      <c r="U2344" t="s">
        <v>48861</v>
      </c>
      <c r="W2344" t="s">
        <v>41905</v>
      </c>
      <c r="X2344" t="s">
        <v>44913</v>
      </c>
    </row>
    <row r="2345" spans="1:24">
      <c r="A2345">
        <f>HYPERLINK("https://www.philgeps.gov.ph/GEPSNONPILOT/Tender/SplashBidNoticeAbstractUI.aspx?menuIndex=3&amp;refID=7059781&amp;Result=3","7059781")</f>
        <v>0</v>
      </c>
      <c r="B2345" t="s">
        <v>917</v>
      </c>
      <c r="C2345" t="s">
        <v>5779</v>
      </c>
      <c r="D2345" t="s">
        <v>18103</v>
      </c>
      <c r="E2345" t="s">
        <v>20332</v>
      </c>
      <c r="F2345" t="s">
        <v>31362</v>
      </c>
      <c r="G2345" t="s">
        <v>31369</v>
      </c>
      <c r="H2345" t="s">
        <v>15799</v>
      </c>
      <c r="I2345" t="s">
        <v>31473</v>
      </c>
      <c r="J2345" t="s">
        <v>33132</v>
      </c>
      <c r="K2345" t="s">
        <v>40661</v>
      </c>
      <c r="M2345" t="s">
        <v>41901</v>
      </c>
      <c r="N2345" t="s">
        <v>44905</v>
      </c>
      <c r="O2345" t="s">
        <v>44906</v>
      </c>
      <c r="P2345">
        <v>0</v>
      </c>
      <c r="Q2345">
        <v>0</v>
      </c>
      <c r="R2345" t="s">
        <v>44908</v>
      </c>
      <c r="S2345" t="s">
        <v>45042</v>
      </c>
      <c r="T2345" t="s">
        <v>46506</v>
      </c>
      <c r="U2345" t="s">
        <v>48862</v>
      </c>
      <c r="W2345" t="s">
        <v>41901</v>
      </c>
      <c r="X2345" t="s">
        <v>44918</v>
      </c>
    </row>
    <row r="2346" spans="1:24">
      <c r="A2346">
        <f>HYPERLINK("https://www.philgeps.gov.ph/GEPSNONPILOT/Tender/SplashBidNoticeAbstractUI.aspx?menuIndex=3&amp;refID=7072546&amp;Result=3","7072546")</f>
        <v>0</v>
      </c>
      <c r="B2346" t="s">
        <v>921</v>
      </c>
      <c r="C2346" t="s">
        <v>5780</v>
      </c>
      <c r="D2346" t="s">
        <v>18112</v>
      </c>
      <c r="E2346" t="s">
        <v>20347</v>
      </c>
      <c r="F2346" t="s">
        <v>31363</v>
      </c>
      <c r="G2346" t="s">
        <v>31370</v>
      </c>
      <c r="H2346" t="s">
        <v>31379</v>
      </c>
      <c r="I2346" t="s">
        <v>31390</v>
      </c>
      <c r="J2346" t="s">
        <v>31785</v>
      </c>
      <c r="K2346" t="s">
        <v>40712</v>
      </c>
      <c r="L2346" t="s">
        <v>921</v>
      </c>
      <c r="M2346" t="s">
        <v>41905</v>
      </c>
      <c r="N2346" t="s">
        <v>44905</v>
      </c>
      <c r="O2346" t="s">
        <v>44906</v>
      </c>
      <c r="P2346">
        <v>0</v>
      </c>
      <c r="Q2346">
        <v>1</v>
      </c>
      <c r="R2346" t="s">
        <v>44908</v>
      </c>
      <c r="S2346" t="s">
        <v>45042</v>
      </c>
      <c r="T2346" t="s">
        <v>46454</v>
      </c>
      <c r="U2346" t="s">
        <v>48863</v>
      </c>
      <c r="W2346" t="s">
        <v>41905</v>
      </c>
      <c r="X2346" t="s">
        <v>44913</v>
      </c>
    </row>
    <row r="2347" spans="1:24">
      <c r="A2347">
        <f>HYPERLINK("https://www.philgeps.gov.ph/GEPSNONPILOT/Tender/SplashBidNoticeAbstractUI.aspx?menuIndex=3&amp;refID=7072051&amp;Result=3","7072051")</f>
        <v>0</v>
      </c>
      <c r="B2347" t="s">
        <v>697</v>
      </c>
      <c r="C2347" t="s">
        <v>5781</v>
      </c>
      <c r="D2347" t="s">
        <v>18146</v>
      </c>
      <c r="E2347" t="s">
        <v>20348</v>
      </c>
      <c r="F2347" t="s">
        <v>31364</v>
      </c>
      <c r="G2347" t="s">
        <v>31369</v>
      </c>
      <c r="H2347" t="s">
        <v>15799</v>
      </c>
      <c r="I2347" t="s">
        <v>31386</v>
      </c>
      <c r="J2347" t="s">
        <v>33133</v>
      </c>
      <c r="K2347" t="s">
        <v>40687</v>
      </c>
      <c r="M2347" t="s">
        <v>41662</v>
      </c>
      <c r="N2347" t="s">
        <v>44905</v>
      </c>
      <c r="O2347" t="s">
        <v>44906</v>
      </c>
      <c r="P2347">
        <v>0</v>
      </c>
      <c r="Q2347">
        <v>0</v>
      </c>
      <c r="R2347" t="s">
        <v>44908</v>
      </c>
      <c r="S2347" t="s">
        <v>45042</v>
      </c>
      <c r="T2347" t="s">
        <v>46401</v>
      </c>
      <c r="U2347" t="s">
        <v>48864</v>
      </c>
      <c r="W2347" t="s">
        <v>41662</v>
      </c>
      <c r="X2347" t="s">
        <v>44914</v>
      </c>
    </row>
    <row r="2348" spans="1:24">
      <c r="A2348">
        <f>HYPERLINK("https://www.philgeps.gov.ph/GEPSNONPILOT/Tender/SplashBidNoticeAbstractUI.aspx?menuIndex=3&amp;refID=7054849-2&amp;Result=3","7054849-2")</f>
        <v>0</v>
      </c>
      <c r="B2348" t="s">
        <v>918</v>
      </c>
      <c r="C2348" t="s">
        <v>5782</v>
      </c>
      <c r="E2348" t="s">
        <v>20349</v>
      </c>
      <c r="F2348" t="s">
        <v>31362</v>
      </c>
      <c r="G2348" t="s">
        <v>31369</v>
      </c>
      <c r="H2348" t="s">
        <v>31377</v>
      </c>
      <c r="I2348" t="s">
        <v>31377</v>
      </c>
      <c r="J2348" t="s">
        <v>33134</v>
      </c>
      <c r="K2348" t="s">
        <v>40679</v>
      </c>
      <c r="M2348" t="s">
        <v>41902</v>
      </c>
      <c r="N2348" t="s">
        <v>44905</v>
      </c>
      <c r="O2348" t="s">
        <v>44906</v>
      </c>
      <c r="P2348">
        <v>0</v>
      </c>
      <c r="Q2348">
        <v>1</v>
      </c>
      <c r="R2348" t="s">
        <v>44908</v>
      </c>
      <c r="S2348" t="s">
        <v>45042</v>
      </c>
      <c r="T2348" t="s">
        <v>46479</v>
      </c>
      <c r="U2348" t="s">
        <v>48865</v>
      </c>
      <c r="W2348" t="s">
        <v>41902</v>
      </c>
      <c r="X2348" t="s">
        <v>44909</v>
      </c>
    </row>
    <row r="2349" spans="1:24">
      <c r="A2349">
        <f>HYPERLINK("https://www.philgeps.gov.ph/GEPSNONPILOT/Tender/SplashBidNoticeAbstractUI.aspx?menuIndex=3&amp;refID=7072698&amp;Result=3","7072698")</f>
        <v>0</v>
      </c>
      <c r="B2349" t="s">
        <v>921</v>
      </c>
      <c r="C2349" t="s">
        <v>5783</v>
      </c>
      <c r="D2349" t="s">
        <v>18112</v>
      </c>
      <c r="E2349" t="s">
        <v>20350</v>
      </c>
      <c r="F2349" t="s">
        <v>31363</v>
      </c>
      <c r="G2349" t="s">
        <v>31370</v>
      </c>
      <c r="H2349" t="s">
        <v>31379</v>
      </c>
      <c r="I2349" t="s">
        <v>31390</v>
      </c>
      <c r="J2349" t="s">
        <v>33129</v>
      </c>
      <c r="K2349" t="s">
        <v>40698</v>
      </c>
      <c r="M2349" t="s">
        <v>41905</v>
      </c>
      <c r="N2349" t="s">
        <v>44905</v>
      </c>
      <c r="O2349" t="s">
        <v>44906</v>
      </c>
      <c r="P2349">
        <v>0</v>
      </c>
      <c r="Q2349">
        <v>5</v>
      </c>
      <c r="R2349" t="s">
        <v>44908</v>
      </c>
      <c r="S2349" t="s">
        <v>45042</v>
      </c>
      <c r="T2349" t="s">
        <v>46414</v>
      </c>
      <c r="U2349" t="s">
        <v>48866</v>
      </c>
      <c r="W2349" t="s">
        <v>41905</v>
      </c>
      <c r="X2349" t="s">
        <v>44913</v>
      </c>
    </row>
    <row r="2350" spans="1:24">
      <c r="A2350">
        <f>HYPERLINK("https://www.philgeps.gov.ph/GEPSNONPILOT/Tender/SplashBidNoticeAbstractUI.aspx?menuIndex=3&amp;refID=7062564&amp;Result=3","7062564")</f>
        <v>0</v>
      </c>
      <c r="B2350" t="s">
        <v>916</v>
      </c>
      <c r="C2350" t="s">
        <v>5784</v>
      </c>
      <c r="D2350" t="s">
        <v>18101</v>
      </c>
      <c r="E2350" t="s">
        <v>20351</v>
      </c>
      <c r="F2350" t="s">
        <v>31362</v>
      </c>
      <c r="G2350" t="s">
        <v>31371</v>
      </c>
      <c r="H2350" t="s">
        <v>15799</v>
      </c>
      <c r="I2350" t="s">
        <v>31385</v>
      </c>
      <c r="J2350" t="s">
        <v>31530</v>
      </c>
      <c r="K2350" t="s">
        <v>40665</v>
      </c>
      <c r="M2350" t="s">
        <v>41900</v>
      </c>
      <c r="N2350" t="s">
        <v>44905</v>
      </c>
      <c r="O2350" t="s">
        <v>44906</v>
      </c>
      <c r="P2350">
        <v>0</v>
      </c>
      <c r="Q2350">
        <v>0</v>
      </c>
      <c r="R2350" t="s">
        <v>44908</v>
      </c>
      <c r="S2350" t="s">
        <v>45042</v>
      </c>
      <c r="T2350" t="s">
        <v>46409</v>
      </c>
      <c r="U2350" t="s">
        <v>48867</v>
      </c>
      <c r="V2350" t="s">
        <v>59301</v>
      </c>
      <c r="W2350" t="s">
        <v>41900</v>
      </c>
      <c r="X2350" t="s">
        <v>44917</v>
      </c>
    </row>
    <row r="2351" spans="1:24">
      <c r="A2351">
        <f>HYPERLINK("https://www.philgeps.gov.ph/GEPSNONPILOT/Tender/SplashBidNoticeAbstractUI.aspx?menuIndex=3&amp;refID=7072610&amp;Result=3","7072610")</f>
        <v>0</v>
      </c>
      <c r="B2351" t="s">
        <v>921</v>
      </c>
      <c r="C2351" t="s">
        <v>5785</v>
      </c>
      <c r="D2351" t="s">
        <v>18112</v>
      </c>
      <c r="E2351" t="s">
        <v>20352</v>
      </c>
      <c r="F2351" t="s">
        <v>31363</v>
      </c>
      <c r="G2351" t="s">
        <v>31370</v>
      </c>
      <c r="H2351" t="s">
        <v>31379</v>
      </c>
      <c r="I2351" t="s">
        <v>31390</v>
      </c>
      <c r="J2351" t="s">
        <v>33129</v>
      </c>
      <c r="K2351" t="s">
        <v>40698</v>
      </c>
      <c r="M2351" t="s">
        <v>41905</v>
      </c>
      <c r="N2351" t="s">
        <v>44905</v>
      </c>
      <c r="O2351" t="s">
        <v>44906</v>
      </c>
      <c r="P2351">
        <v>0</v>
      </c>
      <c r="Q2351">
        <v>2</v>
      </c>
      <c r="R2351" t="s">
        <v>44908</v>
      </c>
      <c r="S2351" t="s">
        <v>45042</v>
      </c>
      <c r="T2351" t="s">
        <v>46414</v>
      </c>
      <c r="U2351" t="s">
        <v>48861</v>
      </c>
      <c r="W2351" t="s">
        <v>41905</v>
      </c>
      <c r="X2351" t="s">
        <v>44913</v>
      </c>
    </row>
    <row r="2352" spans="1:24">
      <c r="A2352">
        <f>HYPERLINK("https://www.philgeps.gov.ph/GEPSNONPILOT/Tender/SplashBidNoticeAbstractUI.aspx?menuIndex=3&amp;refID=7072696&amp;Result=3","7072696")</f>
        <v>0</v>
      </c>
      <c r="B2352" t="s">
        <v>921</v>
      </c>
      <c r="C2352" t="s">
        <v>5786</v>
      </c>
      <c r="D2352" t="s">
        <v>18112</v>
      </c>
      <c r="E2352" t="s">
        <v>20353</v>
      </c>
      <c r="F2352" t="s">
        <v>31363</v>
      </c>
      <c r="G2352" t="s">
        <v>31370</v>
      </c>
      <c r="H2352" t="s">
        <v>31379</v>
      </c>
      <c r="I2352" t="s">
        <v>31390</v>
      </c>
      <c r="J2352" t="s">
        <v>33129</v>
      </c>
      <c r="K2352" t="s">
        <v>40698</v>
      </c>
      <c r="M2352" t="s">
        <v>41905</v>
      </c>
      <c r="N2352" t="s">
        <v>44905</v>
      </c>
      <c r="O2352" t="s">
        <v>44906</v>
      </c>
      <c r="P2352">
        <v>0</v>
      </c>
      <c r="Q2352">
        <v>4</v>
      </c>
      <c r="R2352" t="s">
        <v>44908</v>
      </c>
      <c r="S2352" t="s">
        <v>45042</v>
      </c>
      <c r="T2352" t="s">
        <v>46414</v>
      </c>
      <c r="U2352" t="s">
        <v>48868</v>
      </c>
      <c r="W2352" t="s">
        <v>41905</v>
      </c>
      <c r="X2352" t="s">
        <v>44913</v>
      </c>
    </row>
    <row r="2353" spans="1:24">
      <c r="A2353">
        <f>HYPERLINK("https://www.philgeps.gov.ph/GEPSNONPILOT/Tender/SplashBidNoticeAbstractUI.aspx?menuIndex=3&amp;refID=7072695&amp;Result=3","7072695")</f>
        <v>0</v>
      </c>
      <c r="B2353" t="s">
        <v>921</v>
      </c>
      <c r="C2353" t="s">
        <v>5787</v>
      </c>
      <c r="D2353" t="s">
        <v>18112</v>
      </c>
      <c r="E2353" t="s">
        <v>20354</v>
      </c>
      <c r="F2353" t="s">
        <v>31363</v>
      </c>
      <c r="G2353" t="s">
        <v>31370</v>
      </c>
      <c r="H2353" t="s">
        <v>31379</v>
      </c>
      <c r="I2353" t="s">
        <v>31390</v>
      </c>
      <c r="J2353" t="s">
        <v>33129</v>
      </c>
      <c r="K2353" t="s">
        <v>40698</v>
      </c>
      <c r="M2353" t="s">
        <v>41905</v>
      </c>
      <c r="N2353" t="s">
        <v>44905</v>
      </c>
      <c r="O2353" t="s">
        <v>44906</v>
      </c>
      <c r="P2353">
        <v>0</v>
      </c>
      <c r="Q2353">
        <v>0</v>
      </c>
      <c r="R2353" t="s">
        <v>44908</v>
      </c>
      <c r="S2353" t="s">
        <v>45042</v>
      </c>
      <c r="T2353" t="s">
        <v>46414</v>
      </c>
      <c r="U2353" t="s">
        <v>48869</v>
      </c>
      <c r="W2353" t="s">
        <v>41905</v>
      </c>
      <c r="X2353" t="s">
        <v>44913</v>
      </c>
    </row>
    <row r="2354" spans="1:24">
      <c r="A2354">
        <f>HYPERLINK("https://www.philgeps.gov.ph/GEPSNONPILOT/Tender/SplashBidNoticeAbstractUI.aspx?menuIndex=3&amp;refID=7072665&amp;Result=3","7072665")</f>
        <v>0</v>
      </c>
      <c r="B2354" t="s">
        <v>921</v>
      </c>
      <c r="C2354" t="s">
        <v>5788</v>
      </c>
      <c r="D2354" t="s">
        <v>18112</v>
      </c>
      <c r="E2354" t="s">
        <v>20355</v>
      </c>
      <c r="F2354" t="s">
        <v>31363</v>
      </c>
      <c r="G2354" t="s">
        <v>31370</v>
      </c>
      <c r="H2354" t="s">
        <v>31379</v>
      </c>
      <c r="I2354" t="s">
        <v>31390</v>
      </c>
      <c r="J2354" t="s">
        <v>31785</v>
      </c>
      <c r="K2354" t="s">
        <v>40698</v>
      </c>
      <c r="M2354" t="s">
        <v>41905</v>
      </c>
      <c r="N2354" t="s">
        <v>44905</v>
      </c>
      <c r="O2354" t="s">
        <v>44906</v>
      </c>
      <c r="P2354">
        <v>0</v>
      </c>
      <c r="Q2354">
        <v>0</v>
      </c>
      <c r="R2354" t="s">
        <v>44908</v>
      </c>
      <c r="S2354" t="s">
        <v>45042</v>
      </c>
      <c r="T2354" t="s">
        <v>46416</v>
      </c>
      <c r="U2354" t="s">
        <v>48870</v>
      </c>
      <c r="W2354" t="s">
        <v>41905</v>
      </c>
      <c r="X2354" t="s">
        <v>44913</v>
      </c>
    </row>
    <row r="2355" spans="1:24">
      <c r="A2355">
        <f>HYPERLINK("https://www.philgeps.gov.ph/GEPSNONPILOT/Tender/SplashBidNoticeAbstractUI.aspx?menuIndex=3&amp;refID=7072693&amp;Result=3","7072693")</f>
        <v>0</v>
      </c>
      <c r="B2355" t="s">
        <v>921</v>
      </c>
      <c r="C2355" t="s">
        <v>5789</v>
      </c>
      <c r="D2355" t="s">
        <v>18112</v>
      </c>
      <c r="E2355" t="s">
        <v>20354</v>
      </c>
      <c r="F2355" t="s">
        <v>31363</v>
      </c>
      <c r="G2355" t="s">
        <v>31370</v>
      </c>
      <c r="H2355" t="s">
        <v>31379</v>
      </c>
      <c r="I2355" t="s">
        <v>31390</v>
      </c>
      <c r="J2355" t="s">
        <v>33129</v>
      </c>
      <c r="K2355" t="s">
        <v>40698</v>
      </c>
      <c r="M2355" t="s">
        <v>41905</v>
      </c>
      <c r="N2355" t="s">
        <v>44905</v>
      </c>
      <c r="O2355" t="s">
        <v>44906</v>
      </c>
      <c r="P2355">
        <v>0</v>
      </c>
      <c r="Q2355">
        <v>0</v>
      </c>
      <c r="R2355" t="s">
        <v>44908</v>
      </c>
      <c r="S2355" t="s">
        <v>45042</v>
      </c>
      <c r="T2355" t="s">
        <v>46414</v>
      </c>
      <c r="U2355" t="s">
        <v>48871</v>
      </c>
      <c r="W2355" t="s">
        <v>41905</v>
      </c>
      <c r="X2355" t="s">
        <v>44913</v>
      </c>
    </row>
    <row r="2356" spans="1:24">
      <c r="A2356">
        <f>HYPERLINK("https://www.philgeps.gov.ph/GEPSNONPILOT/Tender/SplashBidNoticeAbstractUI.aspx?menuIndex=3&amp;refID=7072692&amp;Result=3","7072692")</f>
        <v>0</v>
      </c>
      <c r="B2356" t="s">
        <v>921</v>
      </c>
      <c r="C2356" t="s">
        <v>5790</v>
      </c>
      <c r="D2356" t="s">
        <v>18112</v>
      </c>
      <c r="E2356" t="s">
        <v>20356</v>
      </c>
      <c r="F2356" t="s">
        <v>31363</v>
      </c>
      <c r="G2356" t="s">
        <v>31370</v>
      </c>
      <c r="H2356" t="s">
        <v>31377</v>
      </c>
      <c r="I2356" t="s">
        <v>31390</v>
      </c>
      <c r="J2356" t="s">
        <v>33129</v>
      </c>
      <c r="K2356" t="s">
        <v>40698</v>
      </c>
      <c r="M2356" t="s">
        <v>41905</v>
      </c>
      <c r="N2356" t="s">
        <v>44905</v>
      </c>
      <c r="O2356" t="s">
        <v>44906</v>
      </c>
      <c r="P2356">
        <v>0</v>
      </c>
      <c r="Q2356">
        <v>1</v>
      </c>
      <c r="R2356" t="s">
        <v>44908</v>
      </c>
      <c r="S2356" t="s">
        <v>45042</v>
      </c>
      <c r="T2356" t="s">
        <v>46414</v>
      </c>
      <c r="U2356" t="s">
        <v>48872</v>
      </c>
      <c r="W2356" t="s">
        <v>41905</v>
      </c>
      <c r="X2356" t="s">
        <v>44913</v>
      </c>
    </row>
    <row r="2357" spans="1:24">
      <c r="A2357">
        <f>HYPERLINK("https://www.philgeps.gov.ph/GEPSNONPILOT/Tender/SplashBidNoticeAbstractUI.aspx?menuIndex=3&amp;refID=7072690&amp;Result=3","7072690")</f>
        <v>0</v>
      </c>
      <c r="B2357" t="s">
        <v>921</v>
      </c>
      <c r="C2357" t="s">
        <v>5791</v>
      </c>
      <c r="D2357" t="s">
        <v>18112</v>
      </c>
      <c r="E2357" t="s">
        <v>20357</v>
      </c>
      <c r="F2357" t="s">
        <v>31363</v>
      </c>
      <c r="G2357" t="s">
        <v>31370</v>
      </c>
      <c r="H2357" t="s">
        <v>31379</v>
      </c>
      <c r="I2357" t="s">
        <v>31390</v>
      </c>
      <c r="J2357" t="s">
        <v>33129</v>
      </c>
      <c r="K2357" t="s">
        <v>40698</v>
      </c>
      <c r="M2357" t="s">
        <v>41905</v>
      </c>
      <c r="N2357" t="s">
        <v>44905</v>
      </c>
      <c r="O2357" t="s">
        <v>44906</v>
      </c>
      <c r="P2357">
        <v>0</v>
      </c>
      <c r="Q2357">
        <v>1</v>
      </c>
      <c r="R2357" t="s">
        <v>44908</v>
      </c>
      <c r="S2357" t="s">
        <v>45042</v>
      </c>
      <c r="T2357" t="s">
        <v>46414</v>
      </c>
      <c r="U2357" t="s">
        <v>48873</v>
      </c>
      <c r="W2357" t="s">
        <v>41905</v>
      </c>
      <c r="X2357" t="s">
        <v>44913</v>
      </c>
    </row>
    <row r="2358" spans="1:24">
      <c r="A2358">
        <f>HYPERLINK("https://www.philgeps.gov.ph/GEPSNONPILOT/Tender/SplashBidNoticeAbstractUI.aspx?menuIndex=3&amp;refID=7072688&amp;Result=3","7072688")</f>
        <v>0</v>
      </c>
      <c r="B2358" t="s">
        <v>921</v>
      </c>
      <c r="C2358" t="s">
        <v>5792</v>
      </c>
      <c r="D2358" t="s">
        <v>18112</v>
      </c>
      <c r="E2358" t="s">
        <v>20357</v>
      </c>
      <c r="F2358" t="s">
        <v>31363</v>
      </c>
      <c r="G2358" t="s">
        <v>31370</v>
      </c>
      <c r="H2358" t="s">
        <v>31379</v>
      </c>
      <c r="I2358" t="s">
        <v>31390</v>
      </c>
      <c r="J2358" t="s">
        <v>33129</v>
      </c>
      <c r="K2358" t="s">
        <v>40698</v>
      </c>
      <c r="M2358" t="s">
        <v>41905</v>
      </c>
      <c r="N2358" t="s">
        <v>44905</v>
      </c>
      <c r="O2358" t="s">
        <v>44906</v>
      </c>
      <c r="P2358">
        <v>0</v>
      </c>
      <c r="Q2358">
        <v>0</v>
      </c>
      <c r="R2358" t="s">
        <v>44908</v>
      </c>
      <c r="S2358" t="s">
        <v>45042</v>
      </c>
      <c r="T2358" t="s">
        <v>46414</v>
      </c>
      <c r="U2358" t="s">
        <v>48874</v>
      </c>
      <c r="W2358" t="s">
        <v>41905</v>
      </c>
      <c r="X2358" t="s">
        <v>44913</v>
      </c>
    </row>
    <row r="2359" spans="1:24">
      <c r="A2359">
        <f>HYPERLINK("https://www.philgeps.gov.ph/GEPSNONPILOT/Tender/SplashBidNoticeAbstractUI.aspx?menuIndex=3&amp;refID=7072687&amp;Result=3","7072687")</f>
        <v>0</v>
      </c>
      <c r="B2359" t="s">
        <v>921</v>
      </c>
      <c r="C2359" t="s">
        <v>5793</v>
      </c>
      <c r="D2359" t="s">
        <v>18112</v>
      </c>
      <c r="E2359" t="s">
        <v>20357</v>
      </c>
      <c r="F2359" t="s">
        <v>31363</v>
      </c>
      <c r="G2359" t="s">
        <v>31370</v>
      </c>
      <c r="H2359" t="s">
        <v>31379</v>
      </c>
      <c r="I2359" t="s">
        <v>31390</v>
      </c>
      <c r="J2359" t="s">
        <v>33129</v>
      </c>
      <c r="K2359" t="s">
        <v>40698</v>
      </c>
      <c r="M2359" t="s">
        <v>41905</v>
      </c>
      <c r="N2359" t="s">
        <v>44905</v>
      </c>
      <c r="O2359" t="s">
        <v>44906</v>
      </c>
      <c r="P2359">
        <v>0</v>
      </c>
      <c r="Q2359">
        <v>1</v>
      </c>
      <c r="R2359" t="s">
        <v>44908</v>
      </c>
      <c r="S2359" t="s">
        <v>45042</v>
      </c>
      <c r="T2359" t="s">
        <v>46414</v>
      </c>
      <c r="U2359" t="s">
        <v>48875</v>
      </c>
      <c r="W2359" t="s">
        <v>41905</v>
      </c>
      <c r="X2359" t="s">
        <v>44913</v>
      </c>
    </row>
    <row r="2360" spans="1:24">
      <c r="A2360">
        <f>HYPERLINK("https://www.philgeps.gov.ph/GEPSNONPILOT/Tender/SplashBidNoticeAbstractUI.aspx?menuIndex=3&amp;refID=7072632&amp;Result=3","7072632")</f>
        <v>0</v>
      </c>
      <c r="B2360" t="s">
        <v>921</v>
      </c>
      <c r="C2360" t="s">
        <v>5794</v>
      </c>
      <c r="D2360" t="s">
        <v>18112</v>
      </c>
      <c r="E2360" t="s">
        <v>20358</v>
      </c>
      <c r="F2360" t="s">
        <v>31363</v>
      </c>
      <c r="G2360" t="s">
        <v>31370</v>
      </c>
      <c r="H2360" t="s">
        <v>31379</v>
      </c>
      <c r="I2360" t="s">
        <v>31390</v>
      </c>
      <c r="J2360" t="s">
        <v>33129</v>
      </c>
      <c r="K2360" t="s">
        <v>40712</v>
      </c>
      <c r="M2360" t="s">
        <v>41905</v>
      </c>
      <c r="N2360" t="s">
        <v>44905</v>
      </c>
      <c r="O2360" t="s">
        <v>44906</v>
      </c>
      <c r="P2360">
        <v>0</v>
      </c>
      <c r="Q2360">
        <v>1</v>
      </c>
      <c r="R2360" t="s">
        <v>44908</v>
      </c>
      <c r="S2360" t="s">
        <v>45042</v>
      </c>
      <c r="T2360" t="s">
        <v>46414</v>
      </c>
      <c r="U2360" t="s">
        <v>48859</v>
      </c>
      <c r="W2360" t="s">
        <v>41905</v>
      </c>
      <c r="X2360" t="s">
        <v>44913</v>
      </c>
    </row>
    <row r="2361" spans="1:24">
      <c r="A2361">
        <f>HYPERLINK("https://www.philgeps.gov.ph/GEPSNONPILOT/Tender/SplashBidNoticeAbstractUI.aspx?menuIndex=3&amp;refID=7072697&amp;Result=3","7072697")</f>
        <v>0</v>
      </c>
      <c r="B2361" t="s">
        <v>921</v>
      </c>
      <c r="C2361" t="s">
        <v>5795</v>
      </c>
      <c r="D2361" t="s">
        <v>18112</v>
      </c>
      <c r="E2361" t="s">
        <v>20359</v>
      </c>
      <c r="F2361" t="s">
        <v>31363</v>
      </c>
      <c r="G2361" t="s">
        <v>31370</v>
      </c>
      <c r="H2361" t="s">
        <v>31379</v>
      </c>
      <c r="I2361" t="s">
        <v>31390</v>
      </c>
      <c r="J2361" t="s">
        <v>33129</v>
      </c>
      <c r="K2361" t="s">
        <v>40698</v>
      </c>
      <c r="M2361" t="s">
        <v>41905</v>
      </c>
      <c r="N2361" t="s">
        <v>44905</v>
      </c>
      <c r="O2361" t="s">
        <v>44906</v>
      </c>
      <c r="P2361">
        <v>0</v>
      </c>
      <c r="Q2361">
        <v>1</v>
      </c>
      <c r="R2361" t="s">
        <v>44908</v>
      </c>
      <c r="S2361" t="s">
        <v>45042</v>
      </c>
      <c r="T2361" t="s">
        <v>46414</v>
      </c>
      <c r="U2361" t="s">
        <v>48876</v>
      </c>
      <c r="W2361" t="s">
        <v>41905</v>
      </c>
      <c r="X2361" t="s">
        <v>44913</v>
      </c>
    </row>
    <row r="2362" spans="1:24">
      <c r="A2362">
        <f>HYPERLINK("https://www.philgeps.gov.ph/GEPSNONPILOT/Tender/SplashBidNoticeAbstractUI.aspx?menuIndex=3&amp;refID=7072684&amp;Result=3","7072684")</f>
        <v>0</v>
      </c>
      <c r="B2362" t="s">
        <v>921</v>
      </c>
      <c r="C2362" t="s">
        <v>5796</v>
      </c>
      <c r="D2362" t="s">
        <v>18112</v>
      </c>
      <c r="E2362" t="s">
        <v>20360</v>
      </c>
      <c r="F2362" t="s">
        <v>31363</v>
      </c>
      <c r="G2362" t="s">
        <v>31370</v>
      </c>
      <c r="H2362" t="s">
        <v>15799</v>
      </c>
      <c r="I2362" t="s">
        <v>31390</v>
      </c>
      <c r="J2362" t="s">
        <v>31785</v>
      </c>
      <c r="K2362" t="s">
        <v>40698</v>
      </c>
      <c r="M2362" t="s">
        <v>41905</v>
      </c>
      <c r="N2362" t="s">
        <v>44905</v>
      </c>
      <c r="O2362" t="s">
        <v>44906</v>
      </c>
      <c r="P2362">
        <v>0</v>
      </c>
      <c r="Q2362">
        <v>0</v>
      </c>
      <c r="R2362" t="s">
        <v>44908</v>
      </c>
      <c r="S2362" t="s">
        <v>45042</v>
      </c>
      <c r="T2362" t="s">
        <v>46414</v>
      </c>
      <c r="U2362" t="s">
        <v>48877</v>
      </c>
      <c r="W2362" t="s">
        <v>41905</v>
      </c>
      <c r="X2362" t="s">
        <v>44913</v>
      </c>
    </row>
    <row r="2363" spans="1:24">
      <c r="A2363">
        <f>HYPERLINK("https://www.philgeps.gov.ph/GEPSNONPILOT/Tender/SplashBidNoticeAbstractUI.aspx?menuIndex=3&amp;refID=7072683&amp;Result=3","7072683")</f>
        <v>0</v>
      </c>
      <c r="B2363" t="s">
        <v>921</v>
      </c>
      <c r="C2363" t="s">
        <v>5797</v>
      </c>
      <c r="D2363" t="s">
        <v>18112</v>
      </c>
      <c r="E2363" t="s">
        <v>20361</v>
      </c>
      <c r="F2363" t="s">
        <v>31363</v>
      </c>
      <c r="G2363" t="s">
        <v>31370</v>
      </c>
      <c r="H2363" t="s">
        <v>31379</v>
      </c>
      <c r="I2363" t="s">
        <v>31390</v>
      </c>
      <c r="J2363" t="s">
        <v>33129</v>
      </c>
      <c r="K2363" t="s">
        <v>40698</v>
      </c>
      <c r="M2363" t="s">
        <v>41905</v>
      </c>
      <c r="N2363" t="s">
        <v>44905</v>
      </c>
      <c r="O2363" t="s">
        <v>44906</v>
      </c>
      <c r="P2363">
        <v>0</v>
      </c>
      <c r="Q2363">
        <v>0</v>
      </c>
      <c r="R2363" t="s">
        <v>44908</v>
      </c>
      <c r="S2363" t="s">
        <v>45042</v>
      </c>
      <c r="T2363" t="s">
        <v>46414</v>
      </c>
      <c r="U2363" t="s">
        <v>48878</v>
      </c>
      <c r="W2363" t="s">
        <v>41905</v>
      </c>
      <c r="X2363" t="s">
        <v>44913</v>
      </c>
    </row>
    <row r="2364" spans="1:24">
      <c r="A2364">
        <f>HYPERLINK("https://www.philgeps.gov.ph/GEPSNONPILOT/Tender/SplashBidNoticeAbstractUI.aspx?menuIndex=3&amp;refID=7072682&amp;Result=3","7072682")</f>
        <v>0</v>
      </c>
      <c r="B2364" t="s">
        <v>921</v>
      </c>
      <c r="C2364" t="s">
        <v>5798</v>
      </c>
      <c r="D2364" t="s">
        <v>18112</v>
      </c>
      <c r="E2364" t="s">
        <v>20362</v>
      </c>
      <c r="F2364" t="s">
        <v>31363</v>
      </c>
      <c r="G2364" t="s">
        <v>31370</v>
      </c>
      <c r="H2364" t="s">
        <v>31379</v>
      </c>
      <c r="I2364" t="s">
        <v>31390</v>
      </c>
      <c r="J2364" t="s">
        <v>33129</v>
      </c>
      <c r="K2364" t="s">
        <v>40698</v>
      </c>
      <c r="M2364" t="s">
        <v>41905</v>
      </c>
      <c r="N2364" t="s">
        <v>44905</v>
      </c>
      <c r="O2364" t="s">
        <v>44906</v>
      </c>
      <c r="P2364">
        <v>0</v>
      </c>
      <c r="Q2364">
        <v>0</v>
      </c>
      <c r="R2364" t="s">
        <v>44908</v>
      </c>
      <c r="S2364" t="s">
        <v>45042</v>
      </c>
      <c r="T2364" t="s">
        <v>46414</v>
      </c>
      <c r="U2364" t="s">
        <v>48879</v>
      </c>
      <c r="W2364" t="s">
        <v>41905</v>
      </c>
      <c r="X2364" t="s">
        <v>44913</v>
      </c>
    </row>
    <row r="2365" spans="1:24">
      <c r="A2365">
        <f>HYPERLINK("https://www.philgeps.gov.ph/GEPSNONPILOT/Tender/SplashBidNoticeAbstractUI.aspx?menuIndex=3&amp;refID=7072678&amp;Result=3","7072678")</f>
        <v>0</v>
      </c>
      <c r="B2365" t="s">
        <v>921</v>
      </c>
      <c r="C2365" t="s">
        <v>5799</v>
      </c>
      <c r="D2365" t="s">
        <v>18112</v>
      </c>
      <c r="E2365" t="s">
        <v>20363</v>
      </c>
      <c r="F2365" t="s">
        <v>31363</v>
      </c>
      <c r="G2365" t="s">
        <v>31370</v>
      </c>
      <c r="H2365" t="s">
        <v>31379</v>
      </c>
      <c r="I2365" t="s">
        <v>31390</v>
      </c>
      <c r="J2365" t="s">
        <v>33129</v>
      </c>
      <c r="K2365" t="s">
        <v>40698</v>
      </c>
      <c r="M2365" t="s">
        <v>41905</v>
      </c>
      <c r="N2365" t="s">
        <v>44905</v>
      </c>
      <c r="O2365" t="s">
        <v>44906</v>
      </c>
      <c r="P2365">
        <v>0</v>
      </c>
      <c r="Q2365">
        <v>1</v>
      </c>
      <c r="R2365" t="s">
        <v>44908</v>
      </c>
      <c r="S2365" t="s">
        <v>45042</v>
      </c>
      <c r="T2365" t="s">
        <v>46414</v>
      </c>
      <c r="U2365" t="s">
        <v>48880</v>
      </c>
      <c r="W2365" t="s">
        <v>41905</v>
      </c>
      <c r="X2365" t="s">
        <v>44913</v>
      </c>
    </row>
    <row r="2366" spans="1:24">
      <c r="A2366">
        <f>HYPERLINK("https://www.philgeps.gov.ph/GEPSNONPILOT/Tender/SplashBidNoticeAbstractUI.aspx?menuIndex=3&amp;refID=7072676&amp;Result=3","7072676")</f>
        <v>0</v>
      </c>
      <c r="B2366" t="s">
        <v>921</v>
      </c>
      <c r="C2366" t="s">
        <v>5800</v>
      </c>
      <c r="D2366" t="s">
        <v>18112</v>
      </c>
      <c r="E2366" t="s">
        <v>20364</v>
      </c>
      <c r="F2366" t="s">
        <v>31363</v>
      </c>
      <c r="G2366" t="s">
        <v>31370</v>
      </c>
      <c r="H2366" t="s">
        <v>31379</v>
      </c>
      <c r="I2366" t="s">
        <v>31390</v>
      </c>
      <c r="J2366" t="s">
        <v>33129</v>
      </c>
      <c r="K2366" t="s">
        <v>40698</v>
      </c>
      <c r="M2366" t="s">
        <v>41905</v>
      </c>
      <c r="N2366" t="s">
        <v>44905</v>
      </c>
      <c r="O2366" t="s">
        <v>44906</v>
      </c>
      <c r="P2366">
        <v>0</v>
      </c>
      <c r="Q2366">
        <v>1</v>
      </c>
      <c r="R2366" t="s">
        <v>44908</v>
      </c>
      <c r="S2366" t="s">
        <v>45042</v>
      </c>
      <c r="T2366" t="s">
        <v>46414</v>
      </c>
      <c r="U2366" t="s">
        <v>48881</v>
      </c>
      <c r="W2366" t="s">
        <v>41905</v>
      </c>
      <c r="X2366" t="s">
        <v>44913</v>
      </c>
    </row>
    <row r="2367" spans="1:24">
      <c r="A2367">
        <f>HYPERLINK("https://www.philgeps.gov.ph/GEPSNONPILOT/Tender/SplashBidNoticeAbstractUI.aspx?menuIndex=3&amp;refID=7072674&amp;Result=3","7072674")</f>
        <v>0</v>
      </c>
      <c r="B2367" t="s">
        <v>921</v>
      </c>
      <c r="C2367" t="s">
        <v>5801</v>
      </c>
      <c r="D2367" t="s">
        <v>18112</v>
      </c>
      <c r="E2367" t="s">
        <v>20365</v>
      </c>
      <c r="F2367" t="s">
        <v>31363</v>
      </c>
      <c r="G2367" t="s">
        <v>31370</v>
      </c>
      <c r="H2367" t="s">
        <v>31379</v>
      </c>
      <c r="I2367" t="s">
        <v>31390</v>
      </c>
      <c r="J2367" t="s">
        <v>33129</v>
      </c>
      <c r="K2367" t="s">
        <v>40698</v>
      </c>
      <c r="M2367" t="s">
        <v>41905</v>
      </c>
      <c r="N2367" t="s">
        <v>44905</v>
      </c>
      <c r="O2367" t="s">
        <v>44906</v>
      </c>
      <c r="P2367">
        <v>0</v>
      </c>
      <c r="Q2367">
        <v>0</v>
      </c>
      <c r="R2367" t="s">
        <v>44908</v>
      </c>
      <c r="S2367" t="s">
        <v>45042</v>
      </c>
      <c r="T2367" t="s">
        <v>46414</v>
      </c>
      <c r="U2367" t="s">
        <v>48882</v>
      </c>
      <c r="W2367" t="s">
        <v>41905</v>
      </c>
      <c r="X2367" t="s">
        <v>44913</v>
      </c>
    </row>
    <row r="2368" spans="1:24">
      <c r="A2368">
        <f>HYPERLINK("https://www.philgeps.gov.ph/GEPSNONPILOT/Tender/SplashBidNoticeAbstractUI.aspx?menuIndex=3&amp;refID=7072685&amp;Result=3","7072685")</f>
        <v>0</v>
      </c>
      <c r="B2368" t="s">
        <v>921</v>
      </c>
      <c r="C2368" t="s">
        <v>5802</v>
      </c>
      <c r="D2368" t="s">
        <v>18112</v>
      </c>
      <c r="E2368" t="s">
        <v>20357</v>
      </c>
      <c r="F2368" t="s">
        <v>31363</v>
      </c>
      <c r="G2368" t="s">
        <v>31370</v>
      </c>
      <c r="H2368" t="s">
        <v>31379</v>
      </c>
      <c r="I2368" t="s">
        <v>31390</v>
      </c>
      <c r="J2368" t="s">
        <v>33129</v>
      </c>
      <c r="K2368" t="s">
        <v>40698</v>
      </c>
      <c r="M2368" t="s">
        <v>41905</v>
      </c>
      <c r="N2368" t="s">
        <v>44905</v>
      </c>
      <c r="O2368" t="s">
        <v>44906</v>
      </c>
      <c r="P2368">
        <v>0</v>
      </c>
      <c r="Q2368">
        <v>1</v>
      </c>
      <c r="R2368" t="s">
        <v>44908</v>
      </c>
      <c r="S2368" t="s">
        <v>45042</v>
      </c>
      <c r="T2368" t="s">
        <v>46414</v>
      </c>
      <c r="U2368" t="s">
        <v>48883</v>
      </c>
      <c r="W2368" t="s">
        <v>41905</v>
      </c>
      <c r="X2368" t="s">
        <v>44913</v>
      </c>
    </row>
    <row r="2369" spans="1:24">
      <c r="A2369">
        <f>HYPERLINK("https://www.philgeps.gov.ph/GEPSNONPILOT/Tender/SplashBidNoticeAbstractUI.aspx?menuIndex=3&amp;refID=7072664&amp;Result=3","7072664")</f>
        <v>0</v>
      </c>
      <c r="B2369" t="s">
        <v>921</v>
      </c>
      <c r="C2369" t="s">
        <v>5803</v>
      </c>
      <c r="D2369" t="s">
        <v>18112</v>
      </c>
      <c r="E2369" t="s">
        <v>20366</v>
      </c>
      <c r="F2369" t="s">
        <v>31363</v>
      </c>
      <c r="G2369" t="s">
        <v>31370</v>
      </c>
      <c r="H2369" t="s">
        <v>31379</v>
      </c>
      <c r="I2369" t="s">
        <v>31390</v>
      </c>
      <c r="J2369" t="s">
        <v>33129</v>
      </c>
      <c r="K2369" t="s">
        <v>40698</v>
      </c>
      <c r="M2369" t="s">
        <v>41905</v>
      </c>
      <c r="N2369" t="s">
        <v>44905</v>
      </c>
      <c r="O2369" t="s">
        <v>44906</v>
      </c>
      <c r="P2369">
        <v>0</v>
      </c>
      <c r="Q2369">
        <v>1</v>
      </c>
      <c r="R2369" t="s">
        <v>44908</v>
      </c>
      <c r="S2369" t="s">
        <v>45042</v>
      </c>
      <c r="T2369" t="s">
        <v>46414</v>
      </c>
      <c r="U2369" t="s">
        <v>48884</v>
      </c>
      <c r="W2369" t="s">
        <v>41905</v>
      </c>
      <c r="X2369" t="s">
        <v>44913</v>
      </c>
    </row>
    <row r="2370" spans="1:24">
      <c r="A2370">
        <f>HYPERLINK("https://www.philgeps.gov.ph/GEPSNONPILOT/Tender/SplashBidNoticeAbstractUI.aspx?menuIndex=3&amp;refID=7070811&amp;Result=3","7070811")</f>
        <v>0</v>
      </c>
      <c r="B2370" t="s">
        <v>922</v>
      </c>
      <c r="C2370" t="s">
        <v>5804</v>
      </c>
      <c r="D2370" t="s">
        <v>18138</v>
      </c>
      <c r="E2370" t="s">
        <v>20367</v>
      </c>
      <c r="F2370" t="s">
        <v>31362</v>
      </c>
      <c r="G2370" t="s">
        <v>31369</v>
      </c>
      <c r="H2370" t="s">
        <v>31378</v>
      </c>
      <c r="I2370" t="s">
        <v>31386</v>
      </c>
      <c r="J2370" t="s">
        <v>31536</v>
      </c>
      <c r="K2370" t="s">
        <v>40665</v>
      </c>
      <c r="M2370" t="s">
        <v>41906</v>
      </c>
      <c r="N2370" t="s">
        <v>44905</v>
      </c>
      <c r="O2370" t="s">
        <v>44906</v>
      </c>
      <c r="P2370">
        <v>0</v>
      </c>
      <c r="Q2370">
        <v>0</v>
      </c>
      <c r="R2370" t="s">
        <v>44908</v>
      </c>
      <c r="S2370" t="s">
        <v>45042</v>
      </c>
      <c r="T2370" t="s">
        <v>46615</v>
      </c>
      <c r="U2370" t="s">
        <v>48885</v>
      </c>
      <c r="W2370" t="s">
        <v>41906</v>
      </c>
      <c r="X2370" t="s">
        <v>44914</v>
      </c>
    </row>
    <row r="2371" spans="1:24">
      <c r="A2371">
        <f>HYPERLINK("https://www.philgeps.gov.ph/GEPSNONPILOT/Tender/SplashBidNoticeAbstractUI.aspx?menuIndex=3&amp;refID=7070773&amp;Result=3","7070773")</f>
        <v>0</v>
      </c>
      <c r="B2371" t="s">
        <v>922</v>
      </c>
      <c r="C2371" t="s">
        <v>5805</v>
      </c>
      <c r="D2371" t="s">
        <v>18138</v>
      </c>
      <c r="E2371" t="s">
        <v>19255</v>
      </c>
      <c r="F2371" t="s">
        <v>31362</v>
      </c>
      <c r="G2371" t="s">
        <v>31369</v>
      </c>
      <c r="H2371" t="s">
        <v>31378</v>
      </c>
      <c r="I2371" t="s">
        <v>31386</v>
      </c>
      <c r="J2371" t="s">
        <v>31578</v>
      </c>
      <c r="K2371" t="s">
        <v>40665</v>
      </c>
      <c r="M2371" t="s">
        <v>41906</v>
      </c>
      <c r="N2371" t="s">
        <v>44905</v>
      </c>
      <c r="O2371" t="s">
        <v>44906</v>
      </c>
      <c r="P2371">
        <v>0</v>
      </c>
      <c r="Q2371">
        <v>0</v>
      </c>
      <c r="R2371" t="s">
        <v>44908</v>
      </c>
      <c r="S2371" t="s">
        <v>45042</v>
      </c>
      <c r="T2371" t="s">
        <v>46615</v>
      </c>
      <c r="U2371" t="s">
        <v>48886</v>
      </c>
      <c r="W2371" t="s">
        <v>41906</v>
      </c>
      <c r="X2371" t="s">
        <v>44914</v>
      </c>
    </row>
    <row r="2372" spans="1:24">
      <c r="A2372">
        <f>HYPERLINK("https://www.philgeps.gov.ph/GEPSNONPILOT/Tender/SplashBidNoticeAbstractUI.aspx?menuIndex=3&amp;refID=7070471&amp;Result=3","7070471")</f>
        <v>0</v>
      </c>
      <c r="B2372" t="s">
        <v>923</v>
      </c>
      <c r="C2372" t="s">
        <v>5806</v>
      </c>
      <c r="D2372" t="s">
        <v>18147</v>
      </c>
      <c r="E2372" t="s">
        <v>19977</v>
      </c>
      <c r="F2372" t="s">
        <v>31362</v>
      </c>
      <c r="G2372" t="s">
        <v>31368</v>
      </c>
      <c r="H2372" t="s">
        <v>15799</v>
      </c>
      <c r="I2372" t="s">
        <v>7090</v>
      </c>
      <c r="J2372" t="s">
        <v>33135</v>
      </c>
      <c r="K2372" t="s">
        <v>40693</v>
      </c>
      <c r="M2372" t="s">
        <v>41907</v>
      </c>
      <c r="N2372" t="s">
        <v>44905</v>
      </c>
      <c r="O2372" t="s">
        <v>44906</v>
      </c>
      <c r="P2372">
        <v>0</v>
      </c>
      <c r="Q2372">
        <v>0</v>
      </c>
      <c r="R2372" t="s">
        <v>44908</v>
      </c>
      <c r="S2372" t="s">
        <v>45042</v>
      </c>
      <c r="T2372" t="s">
        <v>46454</v>
      </c>
      <c r="U2372" t="s">
        <v>48887</v>
      </c>
      <c r="W2372" t="s">
        <v>41907</v>
      </c>
      <c r="X2372" t="s">
        <v>44914</v>
      </c>
    </row>
    <row r="2373" spans="1:24">
      <c r="A2373">
        <f>HYPERLINK("https://www.philgeps.gov.ph/GEPSNONPILOT/Tender/SplashBidNoticeAbstractUI.aspx?menuIndex=3&amp;refID=7072691&amp;Result=3","7072691")</f>
        <v>0</v>
      </c>
      <c r="B2373" t="s">
        <v>921</v>
      </c>
      <c r="C2373" t="s">
        <v>5807</v>
      </c>
      <c r="D2373" t="s">
        <v>18112</v>
      </c>
      <c r="E2373" t="s">
        <v>20368</v>
      </c>
      <c r="F2373" t="s">
        <v>31363</v>
      </c>
      <c r="G2373" t="s">
        <v>31370</v>
      </c>
      <c r="H2373" t="s">
        <v>31379</v>
      </c>
      <c r="I2373" t="s">
        <v>31390</v>
      </c>
      <c r="J2373" t="s">
        <v>33129</v>
      </c>
      <c r="K2373" t="s">
        <v>40698</v>
      </c>
      <c r="M2373" t="s">
        <v>41905</v>
      </c>
      <c r="N2373" t="s">
        <v>44905</v>
      </c>
      <c r="O2373" t="s">
        <v>44906</v>
      </c>
      <c r="P2373">
        <v>0</v>
      </c>
      <c r="Q2373">
        <v>1</v>
      </c>
      <c r="R2373" t="s">
        <v>44908</v>
      </c>
      <c r="S2373" t="s">
        <v>45042</v>
      </c>
      <c r="T2373" t="s">
        <v>46414</v>
      </c>
      <c r="U2373" t="s">
        <v>48873</v>
      </c>
      <c r="W2373" t="s">
        <v>41905</v>
      </c>
      <c r="X2373" t="s">
        <v>44913</v>
      </c>
    </row>
    <row r="2374" spans="1:24">
      <c r="A2374">
        <f>HYPERLINK("https://www.philgeps.gov.ph/GEPSNONPILOT/Tender/SplashBidNoticeAbstractUI.aspx?menuIndex=3&amp;refID=7069574&amp;Result=3","7069574")</f>
        <v>0</v>
      </c>
      <c r="B2374" t="s">
        <v>916</v>
      </c>
      <c r="C2374" t="s">
        <v>5808</v>
      </c>
      <c r="D2374" t="s">
        <v>18101</v>
      </c>
      <c r="E2374" t="s">
        <v>20369</v>
      </c>
      <c r="F2374" t="s">
        <v>31362</v>
      </c>
      <c r="G2374" t="s">
        <v>31371</v>
      </c>
      <c r="H2374" t="s">
        <v>15799</v>
      </c>
      <c r="I2374" t="s">
        <v>31385</v>
      </c>
      <c r="J2374" t="s">
        <v>31536</v>
      </c>
      <c r="K2374" t="s">
        <v>40665</v>
      </c>
      <c r="M2374" t="s">
        <v>41900</v>
      </c>
      <c r="N2374" t="s">
        <v>44905</v>
      </c>
      <c r="O2374" t="s">
        <v>44906</v>
      </c>
      <c r="P2374">
        <v>0</v>
      </c>
      <c r="Q2374">
        <v>1</v>
      </c>
      <c r="R2374" t="s">
        <v>44908</v>
      </c>
      <c r="S2374" t="s">
        <v>45042</v>
      </c>
      <c r="T2374" t="s">
        <v>46409</v>
      </c>
      <c r="U2374" t="s">
        <v>48888</v>
      </c>
      <c r="V2374" t="s">
        <v>59302</v>
      </c>
      <c r="W2374" t="s">
        <v>41900</v>
      </c>
      <c r="X2374" t="s">
        <v>44915</v>
      </c>
    </row>
    <row r="2375" spans="1:24">
      <c r="A2375">
        <f>HYPERLINK("https://www.philgeps.gov.ph/GEPSNONPILOT/Tender/SplashBidNoticeAbstractUI.aspx?menuIndex=3&amp;refID=7084565&amp;Result=3","7084565")</f>
        <v>0</v>
      </c>
      <c r="B2375" t="s">
        <v>924</v>
      </c>
      <c r="C2375" t="s">
        <v>5809</v>
      </c>
      <c r="D2375" t="s">
        <v>18104</v>
      </c>
      <c r="E2375" t="s">
        <v>19039</v>
      </c>
      <c r="F2375" t="s">
        <v>31362</v>
      </c>
      <c r="G2375" t="s">
        <v>31370</v>
      </c>
      <c r="H2375" t="s">
        <v>15799</v>
      </c>
      <c r="I2375" t="s">
        <v>6373</v>
      </c>
      <c r="J2375" t="s">
        <v>31536</v>
      </c>
      <c r="K2375" t="s">
        <v>40673</v>
      </c>
      <c r="M2375" t="s">
        <v>41908</v>
      </c>
      <c r="N2375" t="s">
        <v>44905</v>
      </c>
      <c r="O2375" t="s">
        <v>44906</v>
      </c>
      <c r="P2375">
        <v>0</v>
      </c>
      <c r="Q2375">
        <v>0</v>
      </c>
      <c r="R2375" t="s">
        <v>44907</v>
      </c>
      <c r="S2375" t="s">
        <v>45026</v>
      </c>
      <c r="T2375" t="s">
        <v>46447</v>
      </c>
      <c r="U2375" t="s">
        <v>48889</v>
      </c>
      <c r="V2375" t="s">
        <v>59303</v>
      </c>
      <c r="W2375" t="s">
        <v>41908</v>
      </c>
      <c r="X2375" t="s">
        <v>44908</v>
      </c>
    </row>
    <row r="2376" spans="1:24">
      <c r="A2376">
        <f>HYPERLINK("https://www.philgeps.gov.ph/GEPSNONPILOT/Tender/SplashBidNoticeAbstractUI.aspx?menuIndex=3&amp;refID=7070961&amp;Result=3","7070961")</f>
        <v>0</v>
      </c>
      <c r="B2376" t="s">
        <v>38</v>
      </c>
      <c r="C2376" t="s">
        <v>5810</v>
      </c>
      <c r="E2376" t="s">
        <v>20370</v>
      </c>
      <c r="F2376" t="s">
        <v>31362</v>
      </c>
      <c r="G2376" t="s">
        <v>31369</v>
      </c>
      <c r="H2376" t="s">
        <v>15799</v>
      </c>
      <c r="I2376" t="s">
        <v>31409</v>
      </c>
      <c r="J2376" t="s">
        <v>31981</v>
      </c>
      <c r="K2376" t="s">
        <v>40662</v>
      </c>
      <c r="M2376" t="s">
        <v>40972</v>
      </c>
      <c r="N2376" t="s">
        <v>44905</v>
      </c>
      <c r="O2376" t="s">
        <v>44906</v>
      </c>
      <c r="P2376">
        <v>0</v>
      </c>
      <c r="Q2376">
        <v>6</v>
      </c>
      <c r="R2376" t="s">
        <v>44908</v>
      </c>
      <c r="S2376" t="s">
        <v>45042</v>
      </c>
      <c r="T2376" t="s">
        <v>46511</v>
      </c>
      <c r="U2376" t="s">
        <v>48890</v>
      </c>
      <c r="W2376" t="s">
        <v>40972</v>
      </c>
      <c r="X2376" t="s">
        <v>44914</v>
      </c>
    </row>
    <row r="2377" spans="1:24">
      <c r="A2377">
        <f>HYPERLINK("https://www.philgeps.gov.ph/GEPSNONPILOT/Tender/SplashBidNoticeAbstractUI.aspx?menuIndex=3&amp;refID=7072679&amp;Result=3","7072679")</f>
        <v>0</v>
      </c>
      <c r="B2377" t="s">
        <v>921</v>
      </c>
      <c r="C2377" t="s">
        <v>5811</v>
      </c>
      <c r="D2377" t="s">
        <v>18112</v>
      </c>
      <c r="E2377" t="s">
        <v>20371</v>
      </c>
      <c r="F2377" t="s">
        <v>31363</v>
      </c>
      <c r="G2377" t="s">
        <v>31370</v>
      </c>
      <c r="H2377" t="s">
        <v>31379</v>
      </c>
      <c r="I2377" t="s">
        <v>31390</v>
      </c>
      <c r="J2377" t="s">
        <v>33129</v>
      </c>
      <c r="K2377" t="s">
        <v>40698</v>
      </c>
      <c r="M2377" t="s">
        <v>41905</v>
      </c>
      <c r="N2377" t="s">
        <v>44905</v>
      </c>
      <c r="O2377" t="s">
        <v>44906</v>
      </c>
      <c r="P2377">
        <v>0</v>
      </c>
      <c r="Q2377">
        <v>0</v>
      </c>
      <c r="R2377" t="s">
        <v>44908</v>
      </c>
      <c r="S2377" t="s">
        <v>45042</v>
      </c>
      <c r="T2377" t="s">
        <v>46414</v>
      </c>
      <c r="U2377" t="s">
        <v>48891</v>
      </c>
      <c r="W2377" t="s">
        <v>41905</v>
      </c>
      <c r="X2377" t="s">
        <v>44913</v>
      </c>
    </row>
    <row r="2378" spans="1:24">
      <c r="A2378">
        <f>HYPERLINK("https://www.philgeps.gov.ph/GEPSNONPILOT/Tender/SplashBidNoticeAbstractUI.aspx?menuIndex=3&amp;refID=7084562&amp;Result=3","7084562")</f>
        <v>0</v>
      </c>
      <c r="B2378" t="s">
        <v>925</v>
      </c>
      <c r="C2378" t="s">
        <v>5812</v>
      </c>
      <c r="D2378" t="s">
        <v>18108</v>
      </c>
      <c r="E2378" t="s">
        <v>19844</v>
      </c>
      <c r="F2378" t="s">
        <v>31362</v>
      </c>
      <c r="G2378" t="s">
        <v>31368</v>
      </c>
      <c r="H2378" t="s">
        <v>15799</v>
      </c>
      <c r="I2378" t="s">
        <v>7090</v>
      </c>
      <c r="J2378" t="s">
        <v>31987</v>
      </c>
      <c r="K2378" t="s">
        <v>40672</v>
      </c>
      <c r="M2378" t="s">
        <v>41909</v>
      </c>
      <c r="N2378" t="s">
        <v>44905</v>
      </c>
      <c r="O2378" t="s">
        <v>44906</v>
      </c>
      <c r="P2378">
        <v>0</v>
      </c>
      <c r="Q2378">
        <v>1</v>
      </c>
      <c r="R2378" t="s">
        <v>44907</v>
      </c>
      <c r="S2378" t="s">
        <v>45026</v>
      </c>
      <c r="T2378" t="s">
        <v>46463</v>
      </c>
      <c r="U2378" t="s">
        <v>48892</v>
      </c>
      <c r="V2378" t="s">
        <v>59304</v>
      </c>
      <c r="W2378" t="s">
        <v>41909</v>
      </c>
      <c r="X2378" t="s">
        <v>44908</v>
      </c>
    </row>
    <row r="2379" spans="1:24">
      <c r="A2379">
        <f>HYPERLINK("https://www.philgeps.gov.ph/GEPSNONPILOT/Tender/SplashBidNoticeAbstractUI.aspx?menuIndex=3&amp;refID=7072661&amp;Result=3","7072661")</f>
        <v>0</v>
      </c>
      <c r="B2379" t="s">
        <v>921</v>
      </c>
      <c r="C2379" t="s">
        <v>5813</v>
      </c>
      <c r="D2379" t="s">
        <v>18112</v>
      </c>
      <c r="E2379" t="s">
        <v>20345</v>
      </c>
      <c r="F2379" t="s">
        <v>31363</v>
      </c>
      <c r="G2379" t="s">
        <v>31370</v>
      </c>
      <c r="H2379" t="s">
        <v>31379</v>
      </c>
      <c r="I2379" t="s">
        <v>31390</v>
      </c>
      <c r="J2379" t="s">
        <v>33129</v>
      </c>
      <c r="K2379" t="s">
        <v>40698</v>
      </c>
      <c r="M2379" t="s">
        <v>41905</v>
      </c>
      <c r="N2379" t="s">
        <v>44905</v>
      </c>
      <c r="O2379" t="s">
        <v>44906</v>
      </c>
      <c r="P2379">
        <v>0</v>
      </c>
      <c r="Q2379">
        <v>0</v>
      </c>
      <c r="R2379" t="s">
        <v>44908</v>
      </c>
      <c r="S2379" t="s">
        <v>45042</v>
      </c>
      <c r="T2379" t="s">
        <v>46414</v>
      </c>
      <c r="U2379" t="s">
        <v>48893</v>
      </c>
      <c r="W2379" t="s">
        <v>41905</v>
      </c>
      <c r="X2379" t="s">
        <v>44913</v>
      </c>
    </row>
    <row r="2380" spans="1:24">
      <c r="A2380">
        <f>HYPERLINK("https://www.philgeps.gov.ph/GEPSNONPILOT/Tender/SplashBidNoticeAbstractUI.aspx?menuIndex=3&amp;refID=7072699&amp;Result=3","7072699")</f>
        <v>0</v>
      </c>
      <c r="B2380" t="s">
        <v>921</v>
      </c>
      <c r="C2380" t="s">
        <v>5814</v>
      </c>
      <c r="D2380" t="s">
        <v>18112</v>
      </c>
      <c r="E2380" t="s">
        <v>20372</v>
      </c>
      <c r="F2380" t="s">
        <v>31363</v>
      </c>
      <c r="G2380" t="s">
        <v>31370</v>
      </c>
      <c r="H2380" t="s">
        <v>31379</v>
      </c>
      <c r="I2380" t="s">
        <v>31390</v>
      </c>
      <c r="J2380" t="s">
        <v>33129</v>
      </c>
      <c r="K2380" t="s">
        <v>40698</v>
      </c>
      <c r="M2380" t="s">
        <v>41905</v>
      </c>
      <c r="N2380" t="s">
        <v>44905</v>
      </c>
      <c r="O2380" t="s">
        <v>44906</v>
      </c>
      <c r="P2380">
        <v>0</v>
      </c>
      <c r="Q2380">
        <v>0</v>
      </c>
      <c r="R2380" t="s">
        <v>44908</v>
      </c>
      <c r="S2380" t="s">
        <v>45042</v>
      </c>
      <c r="T2380" t="s">
        <v>46414</v>
      </c>
      <c r="U2380" t="s">
        <v>48894</v>
      </c>
      <c r="W2380" t="s">
        <v>41905</v>
      </c>
      <c r="X2380" t="s">
        <v>44913</v>
      </c>
    </row>
    <row r="2381" spans="1:24">
      <c r="A2381">
        <f>HYPERLINK("https://www.philgeps.gov.ph/GEPSNONPILOT/Tender/SplashBidNoticeAbstractUI.aspx?menuIndex=3&amp;refID=7084564&amp;Result=3","7084564")</f>
        <v>0</v>
      </c>
      <c r="B2381" t="s">
        <v>911</v>
      </c>
      <c r="C2381" t="s">
        <v>5815</v>
      </c>
      <c r="D2381" t="s">
        <v>18106</v>
      </c>
      <c r="E2381" t="s">
        <v>20373</v>
      </c>
      <c r="F2381" t="s">
        <v>31362</v>
      </c>
      <c r="G2381" t="s">
        <v>31368</v>
      </c>
      <c r="H2381" t="s">
        <v>15799</v>
      </c>
      <c r="I2381" t="s">
        <v>6155</v>
      </c>
      <c r="J2381" t="s">
        <v>33136</v>
      </c>
      <c r="K2381" t="s">
        <v>40693</v>
      </c>
      <c r="M2381" t="s">
        <v>41893</v>
      </c>
      <c r="N2381" t="s">
        <v>44905</v>
      </c>
      <c r="O2381" t="s">
        <v>44906</v>
      </c>
      <c r="P2381">
        <v>0</v>
      </c>
      <c r="Q2381">
        <v>3</v>
      </c>
      <c r="R2381" t="s">
        <v>44907</v>
      </c>
      <c r="S2381" t="s">
        <v>45026</v>
      </c>
      <c r="T2381" t="s">
        <v>46400</v>
      </c>
      <c r="U2381" t="s">
        <v>48895</v>
      </c>
      <c r="W2381" t="s">
        <v>41893</v>
      </c>
      <c r="X2381" t="s">
        <v>44908</v>
      </c>
    </row>
    <row r="2382" spans="1:24">
      <c r="A2382">
        <f>HYPERLINK("https://www.philgeps.gov.ph/GEPSNONPILOT/Tender/SplashBidNoticeAbstractUI.aspx?menuIndex=3&amp;refID=7073759&amp;Result=3","7073759")</f>
        <v>0</v>
      </c>
      <c r="B2382" t="s">
        <v>110</v>
      </c>
      <c r="C2382" t="s">
        <v>5816</v>
      </c>
      <c r="D2382" t="s">
        <v>18119</v>
      </c>
      <c r="E2382" t="s">
        <v>20374</v>
      </c>
      <c r="F2382" t="s">
        <v>31362</v>
      </c>
      <c r="G2382" t="s">
        <v>31368</v>
      </c>
      <c r="H2382" t="s">
        <v>15799</v>
      </c>
      <c r="I2382" t="s">
        <v>7090</v>
      </c>
      <c r="J2382" t="s">
        <v>33137</v>
      </c>
      <c r="K2382" t="s">
        <v>40670</v>
      </c>
      <c r="M2382" t="s">
        <v>41047</v>
      </c>
      <c r="N2382" t="s">
        <v>44905</v>
      </c>
      <c r="O2382" t="s">
        <v>44906</v>
      </c>
      <c r="P2382">
        <v>0</v>
      </c>
      <c r="Q2382">
        <v>1</v>
      </c>
      <c r="R2382" t="s">
        <v>44908</v>
      </c>
      <c r="S2382" t="s">
        <v>45042</v>
      </c>
      <c r="T2382" t="s">
        <v>46409</v>
      </c>
      <c r="U2382" t="s">
        <v>48896</v>
      </c>
      <c r="W2382" t="s">
        <v>41047</v>
      </c>
      <c r="X2382" t="s">
        <v>44911</v>
      </c>
    </row>
    <row r="2383" spans="1:24">
      <c r="A2383">
        <f>HYPERLINK("https://www.philgeps.gov.ph/GEPSNONPILOT/Tender/SplashBidNoticeAbstractUI.aspx?menuIndex=3&amp;refID=7074046&amp;Result=3","7074046")</f>
        <v>0</v>
      </c>
      <c r="B2383" t="s">
        <v>926</v>
      </c>
      <c r="C2383" t="s">
        <v>5817</v>
      </c>
      <c r="D2383" t="s">
        <v>18117</v>
      </c>
      <c r="E2383" t="s">
        <v>20375</v>
      </c>
      <c r="F2383" t="s">
        <v>31362</v>
      </c>
      <c r="G2383" t="s">
        <v>31369</v>
      </c>
      <c r="H2383" t="s">
        <v>15799</v>
      </c>
      <c r="I2383" t="s">
        <v>31384</v>
      </c>
      <c r="J2383" t="s">
        <v>33138</v>
      </c>
      <c r="K2383" t="s">
        <v>40670</v>
      </c>
      <c r="M2383" t="s">
        <v>41910</v>
      </c>
      <c r="N2383" t="s">
        <v>44905</v>
      </c>
      <c r="O2383" t="s">
        <v>44906</v>
      </c>
      <c r="P2383">
        <v>0</v>
      </c>
      <c r="Q2383">
        <v>2</v>
      </c>
      <c r="R2383" t="s">
        <v>44908</v>
      </c>
      <c r="S2383" t="s">
        <v>45042</v>
      </c>
      <c r="T2383" t="s">
        <v>46426</v>
      </c>
      <c r="U2383" t="s">
        <v>48897</v>
      </c>
      <c r="W2383" t="s">
        <v>41910</v>
      </c>
      <c r="X2383" t="s">
        <v>44911</v>
      </c>
    </row>
    <row r="2384" spans="1:24">
      <c r="A2384">
        <f>HYPERLINK("https://www.philgeps.gov.ph/GEPSNONPILOT/Tender/SplashBidNoticeAbstractUI.aspx?menuIndex=3&amp;refID=7073744&amp;Result=3","7073744")</f>
        <v>0</v>
      </c>
      <c r="B2384" t="s">
        <v>927</v>
      </c>
      <c r="C2384" t="s">
        <v>5818</v>
      </c>
      <c r="D2384" t="s">
        <v>18106</v>
      </c>
      <c r="E2384" t="s">
        <v>20376</v>
      </c>
      <c r="F2384" t="s">
        <v>31362</v>
      </c>
      <c r="G2384" t="s">
        <v>31369</v>
      </c>
      <c r="H2384" t="s">
        <v>15799</v>
      </c>
      <c r="I2384" t="s">
        <v>3815</v>
      </c>
      <c r="J2384" t="s">
        <v>33139</v>
      </c>
      <c r="K2384" t="s">
        <v>40662</v>
      </c>
      <c r="M2384" t="s">
        <v>41911</v>
      </c>
      <c r="N2384" t="s">
        <v>44905</v>
      </c>
      <c r="O2384" t="s">
        <v>44906</v>
      </c>
      <c r="P2384">
        <v>0</v>
      </c>
      <c r="Q2384">
        <v>1</v>
      </c>
      <c r="R2384" t="s">
        <v>44908</v>
      </c>
      <c r="S2384" t="s">
        <v>45042</v>
      </c>
      <c r="T2384" t="s">
        <v>46431</v>
      </c>
      <c r="U2384" t="s">
        <v>48898</v>
      </c>
      <c r="W2384" t="s">
        <v>41911</v>
      </c>
      <c r="X2384" t="s">
        <v>44911</v>
      </c>
    </row>
    <row r="2385" spans="1:24">
      <c r="A2385">
        <f>HYPERLINK("https://www.philgeps.gov.ph/GEPSNONPILOT/Tender/SplashBidNoticeAbstractUI.aspx?menuIndex=3&amp;refID=7073693&amp;Result=3","7073693")</f>
        <v>0</v>
      </c>
      <c r="B2385" t="s">
        <v>110</v>
      </c>
      <c r="C2385" t="s">
        <v>5819</v>
      </c>
      <c r="D2385" t="s">
        <v>18119</v>
      </c>
      <c r="E2385" t="s">
        <v>20377</v>
      </c>
      <c r="F2385" t="s">
        <v>31362</v>
      </c>
      <c r="G2385" t="s">
        <v>31368</v>
      </c>
      <c r="H2385" t="s">
        <v>15799</v>
      </c>
      <c r="I2385" t="s">
        <v>6240</v>
      </c>
      <c r="J2385" t="s">
        <v>33140</v>
      </c>
      <c r="K2385" t="s">
        <v>40670</v>
      </c>
      <c r="M2385" t="s">
        <v>41047</v>
      </c>
      <c r="N2385" t="s">
        <v>44905</v>
      </c>
      <c r="O2385" t="s">
        <v>44906</v>
      </c>
      <c r="P2385">
        <v>0</v>
      </c>
      <c r="Q2385">
        <v>0</v>
      </c>
      <c r="R2385" t="s">
        <v>44908</v>
      </c>
      <c r="S2385" t="s">
        <v>45042</v>
      </c>
      <c r="T2385" t="s">
        <v>46409</v>
      </c>
      <c r="U2385" t="s">
        <v>48899</v>
      </c>
      <c r="W2385" t="s">
        <v>41047</v>
      </c>
      <c r="X2385" t="s">
        <v>44911</v>
      </c>
    </row>
    <row r="2386" spans="1:24">
      <c r="A2386">
        <f>HYPERLINK("https://www.philgeps.gov.ph/GEPSNONPILOT/Tender/SplashBidNoticeAbstractUI.aspx?menuIndex=3&amp;refID=7073014&amp;Result=3","7073014")</f>
        <v>0</v>
      </c>
      <c r="B2386" t="s">
        <v>658</v>
      </c>
      <c r="C2386" t="s">
        <v>5820</v>
      </c>
      <c r="D2386" t="s">
        <v>18108</v>
      </c>
      <c r="E2386" t="s">
        <v>20378</v>
      </c>
      <c r="F2386" t="s">
        <v>31362</v>
      </c>
      <c r="G2386" t="s">
        <v>31369</v>
      </c>
      <c r="H2386" t="s">
        <v>15799</v>
      </c>
      <c r="I2386" t="s">
        <v>3582</v>
      </c>
      <c r="J2386" t="s">
        <v>33141</v>
      </c>
      <c r="K2386" t="s">
        <v>40662</v>
      </c>
      <c r="M2386" t="s">
        <v>41912</v>
      </c>
      <c r="N2386" t="s">
        <v>44905</v>
      </c>
      <c r="O2386" t="s">
        <v>44906</v>
      </c>
      <c r="P2386">
        <v>0</v>
      </c>
      <c r="Q2386">
        <v>1</v>
      </c>
      <c r="R2386" t="s">
        <v>44908</v>
      </c>
      <c r="S2386" t="s">
        <v>45042</v>
      </c>
      <c r="T2386" t="s">
        <v>46401</v>
      </c>
      <c r="U2386" t="s">
        <v>48900</v>
      </c>
      <c r="W2386" t="s">
        <v>41912</v>
      </c>
      <c r="X2386" t="s">
        <v>44912</v>
      </c>
    </row>
    <row r="2387" spans="1:24">
      <c r="A2387">
        <f>HYPERLINK("https://www.philgeps.gov.ph/GEPSNONPILOT/Tender/SplashBidNoticeAbstractUI.aspx?menuIndex=3&amp;refID=7074001&amp;Result=3","7074001")</f>
        <v>0</v>
      </c>
      <c r="B2387" t="s">
        <v>928</v>
      </c>
      <c r="C2387" t="s">
        <v>5821</v>
      </c>
      <c r="D2387" t="s">
        <v>18143</v>
      </c>
      <c r="E2387" t="s">
        <v>20379</v>
      </c>
      <c r="F2387" t="s">
        <v>31362</v>
      </c>
      <c r="G2387" t="s">
        <v>31369</v>
      </c>
      <c r="H2387" t="s">
        <v>15799</v>
      </c>
      <c r="I2387" t="s">
        <v>3815</v>
      </c>
      <c r="J2387" t="s">
        <v>31578</v>
      </c>
      <c r="K2387" t="s">
        <v>40677</v>
      </c>
      <c r="M2387" t="s">
        <v>41913</v>
      </c>
      <c r="N2387" t="s">
        <v>44905</v>
      </c>
      <c r="O2387" t="s">
        <v>44906</v>
      </c>
      <c r="P2387">
        <v>0</v>
      </c>
      <c r="Q2387">
        <v>0</v>
      </c>
      <c r="R2387" t="s">
        <v>44908</v>
      </c>
      <c r="S2387" t="s">
        <v>45042</v>
      </c>
      <c r="T2387" t="s">
        <v>46419</v>
      </c>
      <c r="U2387" t="s">
        <v>48901</v>
      </c>
      <c r="V2387" t="s">
        <v>59305</v>
      </c>
      <c r="W2387" t="s">
        <v>60875</v>
      </c>
      <c r="X2387" t="s">
        <v>44911</v>
      </c>
    </row>
    <row r="2388" spans="1:24">
      <c r="A2388">
        <f>HYPERLINK("https://www.philgeps.gov.ph/GEPSNONPILOT/Tender/SplashBidNoticeAbstractUI.aspx?menuIndex=3&amp;refID=7073584&amp;Result=3","7073584")</f>
        <v>0</v>
      </c>
      <c r="B2388" t="s">
        <v>110</v>
      </c>
      <c r="C2388" t="s">
        <v>5822</v>
      </c>
      <c r="D2388" t="s">
        <v>18119</v>
      </c>
      <c r="E2388" t="s">
        <v>20380</v>
      </c>
      <c r="F2388" t="s">
        <v>31362</v>
      </c>
      <c r="G2388" t="s">
        <v>31368</v>
      </c>
      <c r="H2388" t="s">
        <v>15799</v>
      </c>
      <c r="I2388" t="s">
        <v>6240</v>
      </c>
      <c r="J2388" t="s">
        <v>33142</v>
      </c>
      <c r="K2388" t="s">
        <v>40670</v>
      </c>
      <c r="M2388" t="s">
        <v>41047</v>
      </c>
      <c r="N2388" t="s">
        <v>44905</v>
      </c>
      <c r="O2388" t="s">
        <v>44906</v>
      </c>
      <c r="P2388">
        <v>0</v>
      </c>
      <c r="Q2388">
        <v>0</v>
      </c>
      <c r="R2388" t="s">
        <v>44908</v>
      </c>
      <c r="S2388" t="s">
        <v>45042</v>
      </c>
      <c r="T2388" t="s">
        <v>46409</v>
      </c>
      <c r="U2388" t="s">
        <v>48902</v>
      </c>
      <c r="W2388" t="s">
        <v>41047</v>
      </c>
      <c r="X2388" t="s">
        <v>44911</v>
      </c>
    </row>
    <row r="2389" spans="1:24">
      <c r="A2389">
        <f>HYPERLINK("https://www.philgeps.gov.ph/GEPSNONPILOT/Tender/SplashBidNoticeAbstractUI.aspx?menuIndex=3&amp;refID=7073716&amp;Result=3","7073716")</f>
        <v>0</v>
      </c>
      <c r="B2389" t="s">
        <v>110</v>
      </c>
      <c r="C2389" t="s">
        <v>5823</v>
      </c>
      <c r="D2389" t="s">
        <v>18119</v>
      </c>
      <c r="E2389" t="s">
        <v>20381</v>
      </c>
      <c r="F2389" t="s">
        <v>31362</v>
      </c>
      <c r="G2389" t="s">
        <v>31368</v>
      </c>
      <c r="H2389" t="s">
        <v>15799</v>
      </c>
      <c r="I2389" t="s">
        <v>4057</v>
      </c>
      <c r="J2389" t="s">
        <v>33143</v>
      </c>
      <c r="K2389" t="s">
        <v>40670</v>
      </c>
      <c r="M2389" t="s">
        <v>41047</v>
      </c>
      <c r="N2389" t="s">
        <v>44905</v>
      </c>
      <c r="O2389" t="s">
        <v>44906</v>
      </c>
      <c r="P2389">
        <v>0</v>
      </c>
      <c r="Q2389">
        <v>1</v>
      </c>
      <c r="R2389" t="s">
        <v>44908</v>
      </c>
      <c r="S2389" t="s">
        <v>45042</v>
      </c>
      <c r="T2389" t="s">
        <v>46409</v>
      </c>
      <c r="U2389" t="s">
        <v>48903</v>
      </c>
      <c r="W2389" t="s">
        <v>41047</v>
      </c>
      <c r="X2389" t="s">
        <v>44911</v>
      </c>
    </row>
    <row r="2390" spans="1:24">
      <c r="A2390">
        <f>HYPERLINK("https://www.philgeps.gov.ph/GEPSNONPILOT/Tender/SplashBidNoticeAbstractUI.aspx?menuIndex=3&amp;refID=7073650&amp;Result=3","7073650")</f>
        <v>0</v>
      </c>
      <c r="B2390" t="s">
        <v>110</v>
      </c>
      <c r="C2390" t="s">
        <v>5824</v>
      </c>
      <c r="D2390" t="s">
        <v>18119</v>
      </c>
      <c r="E2390" t="s">
        <v>19097</v>
      </c>
      <c r="F2390" t="s">
        <v>31362</v>
      </c>
      <c r="G2390" t="s">
        <v>31368</v>
      </c>
      <c r="H2390" t="s">
        <v>15799</v>
      </c>
      <c r="I2390" t="s">
        <v>3815</v>
      </c>
      <c r="J2390" t="s">
        <v>33144</v>
      </c>
      <c r="K2390" t="s">
        <v>40670</v>
      </c>
      <c r="M2390" t="s">
        <v>41047</v>
      </c>
      <c r="N2390" t="s">
        <v>44905</v>
      </c>
      <c r="O2390" t="s">
        <v>44906</v>
      </c>
      <c r="P2390">
        <v>0</v>
      </c>
      <c r="Q2390">
        <v>1</v>
      </c>
      <c r="R2390" t="s">
        <v>44908</v>
      </c>
      <c r="S2390" t="s">
        <v>45042</v>
      </c>
      <c r="T2390" t="s">
        <v>46409</v>
      </c>
      <c r="U2390" t="s">
        <v>48904</v>
      </c>
      <c r="W2390" t="s">
        <v>41047</v>
      </c>
      <c r="X2390" t="s">
        <v>44911</v>
      </c>
    </row>
    <row r="2391" spans="1:24">
      <c r="A2391">
        <f>HYPERLINK("https://www.philgeps.gov.ph/GEPSNONPILOT/Tender/SplashBidNoticeAbstractUI.aspx?menuIndex=3&amp;refID=7074006&amp;Result=3","7074006")</f>
        <v>0</v>
      </c>
      <c r="B2391" t="s">
        <v>926</v>
      </c>
      <c r="C2391" t="s">
        <v>5825</v>
      </c>
      <c r="D2391" t="s">
        <v>18117</v>
      </c>
      <c r="E2391" t="s">
        <v>20382</v>
      </c>
      <c r="F2391" t="s">
        <v>31362</v>
      </c>
      <c r="G2391" t="s">
        <v>31369</v>
      </c>
      <c r="H2391" t="s">
        <v>15799</v>
      </c>
      <c r="I2391" t="s">
        <v>31380</v>
      </c>
      <c r="J2391" t="s">
        <v>33145</v>
      </c>
      <c r="K2391" t="s">
        <v>40670</v>
      </c>
      <c r="M2391" t="s">
        <v>41910</v>
      </c>
      <c r="N2391" t="s">
        <v>44905</v>
      </c>
      <c r="O2391" t="s">
        <v>44906</v>
      </c>
      <c r="P2391">
        <v>0</v>
      </c>
      <c r="Q2391">
        <v>1</v>
      </c>
      <c r="R2391" t="s">
        <v>44908</v>
      </c>
      <c r="S2391" t="s">
        <v>45042</v>
      </c>
      <c r="T2391" t="s">
        <v>46426</v>
      </c>
      <c r="U2391" t="s">
        <v>48905</v>
      </c>
      <c r="W2391" t="s">
        <v>41910</v>
      </c>
      <c r="X2391" t="s">
        <v>44911</v>
      </c>
    </row>
    <row r="2392" spans="1:24">
      <c r="A2392">
        <f>HYPERLINK("https://www.philgeps.gov.ph/GEPSNONPILOT/Tender/SplashBidNoticeAbstractUI.aspx?menuIndex=3&amp;refID=7074155&amp;Result=3","7074155")</f>
        <v>0</v>
      </c>
      <c r="B2392" t="s">
        <v>926</v>
      </c>
      <c r="C2392" t="s">
        <v>5826</v>
      </c>
      <c r="D2392" t="s">
        <v>18117</v>
      </c>
      <c r="E2392" t="s">
        <v>20383</v>
      </c>
      <c r="F2392" t="s">
        <v>31362</v>
      </c>
      <c r="G2392" t="s">
        <v>31369</v>
      </c>
      <c r="H2392" t="s">
        <v>15799</v>
      </c>
      <c r="I2392" t="s">
        <v>31380</v>
      </c>
      <c r="J2392" t="s">
        <v>33146</v>
      </c>
      <c r="K2392" t="s">
        <v>40670</v>
      </c>
      <c r="M2392" t="s">
        <v>41910</v>
      </c>
      <c r="N2392" t="s">
        <v>44905</v>
      </c>
      <c r="O2392" t="s">
        <v>44906</v>
      </c>
      <c r="P2392">
        <v>0</v>
      </c>
      <c r="Q2392">
        <v>13</v>
      </c>
      <c r="R2392" t="s">
        <v>44908</v>
      </c>
      <c r="S2392" t="s">
        <v>45042</v>
      </c>
      <c r="T2392" t="s">
        <v>46555</v>
      </c>
      <c r="U2392" t="s">
        <v>48906</v>
      </c>
      <c r="W2392" t="s">
        <v>41910</v>
      </c>
      <c r="X2392" t="s">
        <v>44911</v>
      </c>
    </row>
    <row r="2393" spans="1:24">
      <c r="A2393">
        <f>HYPERLINK("https://www.philgeps.gov.ph/GEPSNONPILOT/Tender/SplashBidNoticeAbstractUI.aspx?menuIndex=3&amp;refID=7073482&amp;Result=3","7073482")</f>
        <v>0</v>
      </c>
      <c r="B2393" t="s">
        <v>110</v>
      </c>
      <c r="C2393" t="s">
        <v>5827</v>
      </c>
      <c r="D2393" t="s">
        <v>18119</v>
      </c>
      <c r="E2393" t="s">
        <v>20384</v>
      </c>
      <c r="F2393" t="s">
        <v>31362</v>
      </c>
      <c r="G2393" t="s">
        <v>31368</v>
      </c>
      <c r="H2393" t="s">
        <v>15799</v>
      </c>
      <c r="I2393" t="s">
        <v>7090</v>
      </c>
      <c r="J2393" t="s">
        <v>33147</v>
      </c>
      <c r="K2393" t="s">
        <v>40670</v>
      </c>
      <c r="M2393" t="s">
        <v>41047</v>
      </c>
      <c r="N2393" t="s">
        <v>44905</v>
      </c>
      <c r="O2393" t="s">
        <v>44906</v>
      </c>
      <c r="P2393">
        <v>0</v>
      </c>
      <c r="Q2393">
        <v>2</v>
      </c>
      <c r="R2393" t="s">
        <v>44908</v>
      </c>
      <c r="S2393" t="s">
        <v>45042</v>
      </c>
      <c r="T2393" t="s">
        <v>46409</v>
      </c>
      <c r="U2393" t="s">
        <v>48907</v>
      </c>
      <c r="W2393" t="s">
        <v>41047</v>
      </c>
      <c r="X2393" t="s">
        <v>44911</v>
      </c>
    </row>
    <row r="2394" spans="1:24">
      <c r="A2394">
        <f>HYPERLINK("https://www.philgeps.gov.ph/GEPSNONPILOT/Tender/SplashBidNoticeAbstractUI.aspx?menuIndex=3&amp;refID=7074125&amp;Result=3","7074125")</f>
        <v>0</v>
      </c>
      <c r="B2394" t="s">
        <v>899</v>
      </c>
      <c r="C2394" t="s">
        <v>5828</v>
      </c>
      <c r="E2394" t="s">
        <v>20385</v>
      </c>
      <c r="F2394" t="s">
        <v>31362</v>
      </c>
      <c r="G2394" t="s">
        <v>31368</v>
      </c>
      <c r="H2394" t="s">
        <v>15799</v>
      </c>
      <c r="I2394" t="s">
        <v>31384</v>
      </c>
      <c r="J2394" t="s">
        <v>33148</v>
      </c>
      <c r="K2394" t="s">
        <v>40662</v>
      </c>
      <c r="M2394" t="s">
        <v>41879</v>
      </c>
      <c r="N2394" t="s">
        <v>44905</v>
      </c>
      <c r="O2394" t="s">
        <v>44906</v>
      </c>
      <c r="P2394">
        <v>0</v>
      </c>
      <c r="Q2394">
        <v>17</v>
      </c>
      <c r="R2394" t="s">
        <v>44908</v>
      </c>
      <c r="S2394" t="s">
        <v>45042</v>
      </c>
      <c r="T2394" t="s">
        <v>46498</v>
      </c>
      <c r="U2394" t="s">
        <v>48908</v>
      </c>
      <c r="W2394" t="s">
        <v>41879</v>
      </c>
      <c r="X2394" t="s">
        <v>44911</v>
      </c>
    </row>
    <row r="2395" spans="1:24">
      <c r="A2395">
        <f>HYPERLINK("https://www.philgeps.gov.ph/GEPSNONPILOT/Tender/SplashBidNoticeAbstractUI.aspx?menuIndex=3&amp;refID=7074081&amp;Result=3","7074081")</f>
        <v>0</v>
      </c>
      <c r="B2395" t="s">
        <v>926</v>
      </c>
      <c r="C2395" t="s">
        <v>5829</v>
      </c>
      <c r="D2395" t="s">
        <v>18117</v>
      </c>
      <c r="E2395" t="s">
        <v>20386</v>
      </c>
      <c r="F2395" t="s">
        <v>31362</v>
      </c>
      <c r="G2395" t="s">
        <v>31369</v>
      </c>
      <c r="H2395" t="s">
        <v>15799</v>
      </c>
      <c r="I2395" t="s">
        <v>31431</v>
      </c>
      <c r="J2395" t="s">
        <v>33149</v>
      </c>
      <c r="K2395" t="s">
        <v>40670</v>
      </c>
      <c r="M2395" t="s">
        <v>41910</v>
      </c>
      <c r="N2395" t="s">
        <v>44905</v>
      </c>
      <c r="O2395" t="s">
        <v>44906</v>
      </c>
      <c r="P2395">
        <v>0</v>
      </c>
      <c r="Q2395">
        <v>0</v>
      </c>
      <c r="R2395" t="s">
        <v>44908</v>
      </c>
      <c r="S2395" t="s">
        <v>45042</v>
      </c>
      <c r="T2395" t="s">
        <v>46426</v>
      </c>
      <c r="U2395" t="s">
        <v>48909</v>
      </c>
      <c r="W2395" t="s">
        <v>41910</v>
      </c>
      <c r="X2395" t="s">
        <v>44911</v>
      </c>
    </row>
    <row r="2396" spans="1:24">
      <c r="A2396">
        <f>HYPERLINK("https://www.philgeps.gov.ph/GEPSNONPILOT/Tender/SplashBidNoticeAbstractUI.aspx?menuIndex=3&amp;refID=7073442&amp;Result=3","7073442")</f>
        <v>0</v>
      </c>
      <c r="B2396" t="s">
        <v>110</v>
      </c>
      <c r="C2396" t="s">
        <v>5830</v>
      </c>
      <c r="D2396" t="s">
        <v>18119</v>
      </c>
      <c r="E2396" t="s">
        <v>20387</v>
      </c>
      <c r="F2396" t="s">
        <v>31362</v>
      </c>
      <c r="G2396" t="s">
        <v>31368</v>
      </c>
      <c r="H2396" t="s">
        <v>15799</v>
      </c>
      <c r="I2396" t="s">
        <v>7090</v>
      </c>
      <c r="J2396" t="s">
        <v>33150</v>
      </c>
      <c r="K2396" t="s">
        <v>40670</v>
      </c>
      <c r="M2396" t="s">
        <v>41047</v>
      </c>
      <c r="N2396" t="s">
        <v>44905</v>
      </c>
      <c r="O2396" t="s">
        <v>44906</v>
      </c>
      <c r="P2396">
        <v>0</v>
      </c>
      <c r="Q2396">
        <v>0</v>
      </c>
      <c r="R2396" t="s">
        <v>44908</v>
      </c>
      <c r="S2396" t="s">
        <v>45042</v>
      </c>
      <c r="T2396" t="s">
        <v>46409</v>
      </c>
      <c r="U2396" t="s">
        <v>48910</v>
      </c>
      <c r="W2396" t="s">
        <v>41047</v>
      </c>
      <c r="X2396" t="s">
        <v>44911</v>
      </c>
    </row>
    <row r="2397" spans="1:24">
      <c r="A2397">
        <f>HYPERLINK("https://www.philgeps.gov.ph/GEPSNONPILOT/Tender/SplashBidNoticeAbstractUI.aspx?menuIndex=3&amp;refID=7074187&amp;Result=3","7074187")</f>
        <v>0</v>
      </c>
      <c r="B2397" t="s">
        <v>926</v>
      </c>
      <c r="C2397" t="s">
        <v>5831</v>
      </c>
      <c r="D2397" t="s">
        <v>18117</v>
      </c>
      <c r="E2397" t="s">
        <v>20388</v>
      </c>
      <c r="F2397" t="s">
        <v>31362</v>
      </c>
      <c r="G2397" t="s">
        <v>31369</v>
      </c>
      <c r="H2397" t="s">
        <v>15799</v>
      </c>
      <c r="I2397" t="s">
        <v>31385</v>
      </c>
      <c r="J2397" t="s">
        <v>33151</v>
      </c>
      <c r="K2397" t="s">
        <v>40670</v>
      </c>
      <c r="M2397" t="s">
        <v>41910</v>
      </c>
      <c r="N2397" t="s">
        <v>44905</v>
      </c>
      <c r="O2397" t="s">
        <v>44906</v>
      </c>
      <c r="P2397">
        <v>0</v>
      </c>
      <c r="Q2397">
        <v>3</v>
      </c>
      <c r="R2397" t="s">
        <v>44908</v>
      </c>
      <c r="S2397" t="s">
        <v>45042</v>
      </c>
      <c r="T2397" t="s">
        <v>46555</v>
      </c>
      <c r="U2397" t="s">
        <v>48911</v>
      </c>
      <c r="W2397" t="s">
        <v>41910</v>
      </c>
      <c r="X2397" t="s">
        <v>44911</v>
      </c>
    </row>
    <row r="2398" spans="1:24">
      <c r="A2398">
        <f>HYPERLINK("https://www.philgeps.gov.ph/GEPSNONPILOT/Tender/SplashBidNoticeAbstractUI.aspx?menuIndex=3&amp;refID=7074152&amp;Result=3","7074152")</f>
        <v>0</v>
      </c>
      <c r="B2398" t="s">
        <v>638</v>
      </c>
      <c r="C2398" t="s">
        <v>5832</v>
      </c>
      <c r="D2398" t="s">
        <v>18177</v>
      </c>
      <c r="E2398" t="s">
        <v>20389</v>
      </c>
      <c r="F2398" t="s">
        <v>31362</v>
      </c>
      <c r="G2398" t="s">
        <v>31370</v>
      </c>
      <c r="H2398" t="s">
        <v>15799</v>
      </c>
      <c r="I2398" t="s">
        <v>6373</v>
      </c>
      <c r="J2398" t="s">
        <v>33152</v>
      </c>
      <c r="K2398" t="s">
        <v>40662</v>
      </c>
      <c r="M2398" t="s">
        <v>41914</v>
      </c>
      <c r="N2398" t="s">
        <v>44905</v>
      </c>
      <c r="O2398" t="s">
        <v>44906</v>
      </c>
      <c r="P2398">
        <v>0</v>
      </c>
      <c r="Q2398">
        <v>2</v>
      </c>
      <c r="R2398" t="s">
        <v>44908</v>
      </c>
      <c r="S2398" t="s">
        <v>45042</v>
      </c>
      <c r="T2398" t="s">
        <v>46432</v>
      </c>
      <c r="U2398" t="s">
        <v>48912</v>
      </c>
      <c r="W2398" t="s">
        <v>41914</v>
      </c>
      <c r="X2398" t="s">
        <v>44911</v>
      </c>
    </row>
    <row r="2399" spans="1:24">
      <c r="A2399">
        <f>HYPERLINK("https://www.philgeps.gov.ph/GEPSNONPILOT/Tender/SplashBidNoticeAbstractUI.aspx?menuIndex=3&amp;refID=7072672&amp;Result=3","7072672")</f>
        <v>0</v>
      </c>
      <c r="B2399" t="s">
        <v>921</v>
      </c>
      <c r="C2399" t="s">
        <v>5833</v>
      </c>
      <c r="D2399" t="s">
        <v>18112</v>
      </c>
      <c r="E2399" t="s">
        <v>20365</v>
      </c>
      <c r="F2399" t="s">
        <v>31363</v>
      </c>
      <c r="G2399" t="s">
        <v>31370</v>
      </c>
      <c r="H2399" t="s">
        <v>31379</v>
      </c>
      <c r="I2399" t="s">
        <v>31390</v>
      </c>
      <c r="J2399" t="s">
        <v>33129</v>
      </c>
      <c r="K2399" t="s">
        <v>40698</v>
      </c>
      <c r="M2399" t="s">
        <v>41905</v>
      </c>
      <c r="N2399" t="s">
        <v>44905</v>
      </c>
      <c r="O2399" t="s">
        <v>44906</v>
      </c>
      <c r="P2399">
        <v>0</v>
      </c>
      <c r="Q2399">
        <v>0</v>
      </c>
      <c r="R2399" t="s">
        <v>44908</v>
      </c>
      <c r="S2399" t="s">
        <v>45042</v>
      </c>
      <c r="T2399" t="s">
        <v>46414</v>
      </c>
      <c r="U2399" t="s">
        <v>48913</v>
      </c>
      <c r="W2399" t="s">
        <v>41905</v>
      </c>
      <c r="X2399" t="s">
        <v>44913</v>
      </c>
    </row>
    <row r="2400" spans="1:24">
      <c r="A2400">
        <f>HYPERLINK("https://www.philgeps.gov.ph/GEPSNONPILOT/Tender/SplashBidNoticeAbstractUI.aspx?menuIndex=3&amp;refID=7073723&amp;Result=3","7073723")</f>
        <v>0</v>
      </c>
      <c r="B2400" t="s">
        <v>927</v>
      </c>
      <c r="C2400" t="s">
        <v>5834</v>
      </c>
      <c r="D2400" t="s">
        <v>18106</v>
      </c>
      <c r="E2400" t="s">
        <v>20390</v>
      </c>
      <c r="F2400" t="s">
        <v>31362</v>
      </c>
      <c r="G2400" t="s">
        <v>31369</v>
      </c>
      <c r="H2400" t="s">
        <v>15799</v>
      </c>
      <c r="I2400" t="s">
        <v>3815</v>
      </c>
      <c r="J2400" t="s">
        <v>33153</v>
      </c>
      <c r="K2400" t="s">
        <v>40662</v>
      </c>
      <c r="M2400" t="s">
        <v>41911</v>
      </c>
      <c r="N2400" t="s">
        <v>44905</v>
      </c>
      <c r="O2400" t="s">
        <v>44906</v>
      </c>
      <c r="P2400">
        <v>0</v>
      </c>
      <c r="Q2400">
        <v>1</v>
      </c>
      <c r="R2400" t="s">
        <v>44908</v>
      </c>
      <c r="S2400" t="s">
        <v>45042</v>
      </c>
      <c r="T2400" t="s">
        <v>46431</v>
      </c>
      <c r="U2400" t="s">
        <v>48914</v>
      </c>
      <c r="W2400" t="s">
        <v>41911</v>
      </c>
      <c r="X2400" t="s">
        <v>44911</v>
      </c>
    </row>
    <row r="2401" spans="1:24">
      <c r="A2401">
        <f>HYPERLINK("https://www.philgeps.gov.ph/GEPSNONPILOT/Tender/SplashBidNoticeAbstractUI.aspx?menuIndex=3&amp;refID=7074658&amp;Result=3","7074658")</f>
        <v>0</v>
      </c>
      <c r="B2401" t="s">
        <v>387</v>
      </c>
      <c r="C2401" t="s">
        <v>5835</v>
      </c>
      <c r="D2401" t="s">
        <v>18152</v>
      </c>
      <c r="E2401" t="s">
        <v>20391</v>
      </c>
      <c r="F2401" t="s">
        <v>31362</v>
      </c>
      <c r="G2401" t="s">
        <v>31369</v>
      </c>
      <c r="H2401" t="s">
        <v>15799</v>
      </c>
      <c r="I2401" t="s">
        <v>31393</v>
      </c>
      <c r="J2401" t="s">
        <v>31819</v>
      </c>
      <c r="K2401" t="s">
        <v>40665</v>
      </c>
      <c r="M2401" t="s">
        <v>41915</v>
      </c>
      <c r="N2401" t="s">
        <v>44905</v>
      </c>
      <c r="O2401" t="s">
        <v>44906</v>
      </c>
      <c r="P2401">
        <v>0</v>
      </c>
      <c r="Q2401">
        <v>1</v>
      </c>
      <c r="R2401" t="s">
        <v>44908</v>
      </c>
      <c r="S2401" t="s">
        <v>45042</v>
      </c>
      <c r="T2401" t="s">
        <v>46426</v>
      </c>
      <c r="U2401" t="s">
        <v>47597</v>
      </c>
      <c r="V2401" t="s">
        <v>59153</v>
      </c>
      <c r="W2401" t="s">
        <v>41915</v>
      </c>
      <c r="X2401" t="s">
        <v>44911</v>
      </c>
    </row>
    <row r="2402" spans="1:24">
      <c r="A2402">
        <f>HYPERLINK("https://www.philgeps.gov.ph/GEPSNONPILOT/Tender/SplashBidNoticeAbstractUI.aspx?menuIndex=3&amp;refID=7074295&amp;Result=3","7074295")</f>
        <v>0</v>
      </c>
      <c r="B2402" t="s">
        <v>926</v>
      </c>
      <c r="C2402" t="s">
        <v>5836</v>
      </c>
      <c r="D2402" t="s">
        <v>18117</v>
      </c>
      <c r="E2402" t="s">
        <v>20392</v>
      </c>
      <c r="F2402" t="s">
        <v>31362</v>
      </c>
      <c r="G2402" t="s">
        <v>31369</v>
      </c>
      <c r="H2402" t="s">
        <v>31378</v>
      </c>
      <c r="I2402" t="s">
        <v>31386</v>
      </c>
      <c r="J2402" t="s">
        <v>31530</v>
      </c>
      <c r="K2402" t="s">
        <v>40666</v>
      </c>
      <c r="M2402" t="s">
        <v>41910</v>
      </c>
      <c r="N2402" t="s">
        <v>44905</v>
      </c>
      <c r="O2402" t="s">
        <v>44906</v>
      </c>
      <c r="P2402">
        <v>0</v>
      </c>
      <c r="Q2402">
        <v>0</v>
      </c>
      <c r="R2402" t="s">
        <v>44908</v>
      </c>
      <c r="S2402" t="s">
        <v>45042</v>
      </c>
      <c r="T2402" t="s">
        <v>46426</v>
      </c>
      <c r="U2402" t="s">
        <v>48915</v>
      </c>
      <c r="W2402" t="s">
        <v>41910</v>
      </c>
      <c r="X2402" t="s">
        <v>44911</v>
      </c>
    </row>
    <row r="2403" spans="1:24">
      <c r="A2403">
        <f>HYPERLINK("https://www.philgeps.gov.ph/GEPSNONPILOT/Tender/SplashBidNoticeAbstractUI.aspx?menuIndex=3&amp;refID=7074631&amp;Result=3","7074631")</f>
        <v>0</v>
      </c>
      <c r="B2403" t="s">
        <v>387</v>
      </c>
      <c r="C2403" t="s">
        <v>5837</v>
      </c>
      <c r="D2403" t="s">
        <v>18152</v>
      </c>
      <c r="E2403" t="s">
        <v>20393</v>
      </c>
      <c r="F2403" t="s">
        <v>31362</v>
      </c>
      <c r="G2403" t="s">
        <v>31369</v>
      </c>
      <c r="H2403" t="s">
        <v>15799</v>
      </c>
      <c r="I2403" t="s">
        <v>31430</v>
      </c>
      <c r="J2403" t="s">
        <v>33154</v>
      </c>
      <c r="K2403" t="s">
        <v>40665</v>
      </c>
      <c r="M2403" t="s">
        <v>41915</v>
      </c>
      <c r="N2403" t="s">
        <v>44905</v>
      </c>
      <c r="O2403" t="s">
        <v>44906</v>
      </c>
      <c r="P2403">
        <v>0</v>
      </c>
      <c r="Q2403">
        <v>0</v>
      </c>
      <c r="R2403" t="s">
        <v>44908</v>
      </c>
      <c r="S2403" t="s">
        <v>45042</v>
      </c>
      <c r="T2403" t="s">
        <v>46426</v>
      </c>
      <c r="U2403" t="s">
        <v>47597</v>
      </c>
      <c r="V2403" t="s">
        <v>59153</v>
      </c>
      <c r="W2403" t="s">
        <v>41915</v>
      </c>
      <c r="X2403" t="s">
        <v>44911</v>
      </c>
    </row>
    <row r="2404" spans="1:24">
      <c r="A2404">
        <f>HYPERLINK("https://www.philgeps.gov.ph/GEPSNONPILOT/Tender/SplashBidNoticeAbstractUI.aspx?menuIndex=3&amp;refID=7074594&amp;Result=3","7074594")</f>
        <v>0</v>
      </c>
      <c r="B2404" t="s">
        <v>110</v>
      </c>
      <c r="C2404" t="s">
        <v>5838</v>
      </c>
      <c r="D2404" t="s">
        <v>18119</v>
      </c>
      <c r="E2404" t="s">
        <v>20394</v>
      </c>
      <c r="F2404" t="s">
        <v>31362</v>
      </c>
      <c r="G2404" t="s">
        <v>31368</v>
      </c>
      <c r="H2404" t="s">
        <v>15799</v>
      </c>
      <c r="I2404" t="s">
        <v>31380</v>
      </c>
      <c r="J2404" t="s">
        <v>33155</v>
      </c>
      <c r="K2404" t="s">
        <v>40670</v>
      </c>
      <c r="M2404" t="s">
        <v>41047</v>
      </c>
      <c r="N2404" t="s">
        <v>44905</v>
      </c>
      <c r="O2404" t="s">
        <v>44906</v>
      </c>
      <c r="P2404">
        <v>0</v>
      </c>
      <c r="Q2404">
        <v>0</v>
      </c>
      <c r="R2404" t="s">
        <v>44908</v>
      </c>
      <c r="S2404" t="s">
        <v>45042</v>
      </c>
      <c r="T2404" t="s">
        <v>46409</v>
      </c>
      <c r="U2404" t="s">
        <v>48916</v>
      </c>
      <c r="W2404" t="s">
        <v>41047</v>
      </c>
      <c r="X2404" t="s">
        <v>44911</v>
      </c>
    </row>
    <row r="2405" spans="1:24">
      <c r="A2405">
        <f>HYPERLINK("https://www.philgeps.gov.ph/GEPSNONPILOT/Tender/SplashBidNoticeAbstractUI.aspx?menuIndex=3&amp;refID=7074346&amp;Result=3","7074346")</f>
        <v>0</v>
      </c>
      <c r="B2405" t="s">
        <v>926</v>
      </c>
      <c r="C2405" t="s">
        <v>5839</v>
      </c>
      <c r="D2405" t="s">
        <v>18117</v>
      </c>
      <c r="E2405" t="s">
        <v>20395</v>
      </c>
      <c r="F2405" t="s">
        <v>31362</v>
      </c>
      <c r="G2405" t="s">
        <v>31369</v>
      </c>
      <c r="H2405" t="s">
        <v>31378</v>
      </c>
      <c r="I2405" t="s">
        <v>31386</v>
      </c>
      <c r="J2405" t="s">
        <v>31591</v>
      </c>
      <c r="K2405" t="s">
        <v>40665</v>
      </c>
      <c r="M2405" t="s">
        <v>41910</v>
      </c>
      <c r="N2405" t="s">
        <v>44905</v>
      </c>
      <c r="O2405" t="s">
        <v>44906</v>
      </c>
      <c r="P2405">
        <v>0</v>
      </c>
      <c r="Q2405">
        <v>0</v>
      </c>
      <c r="R2405" t="s">
        <v>44908</v>
      </c>
      <c r="S2405" t="s">
        <v>45042</v>
      </c>
      <c r="T2405" t="s">
        <v>46426</v>
      </c>
      <c r="U2405" t="s">
        <v>48917</v>
      </c>
      <c r="W2405" t="s">
        <v>41910</v>
      </c>
      <c r="X2405" t="s">
        <v>44911</v>
      </c>
    </row>
    <row r="2406" spans="1:24">
      <c r="A2406">
        <f>HYPERLINK("https://www.philgeps.gov.ph/GEPSNONPILOT/Tender/SplashBidNoticeAbstractUI.aspx?menuIndex=3&amp;refID=7074577&amp;Result=3","7074577")</f>
        <v>0</v>
      </c>
      <c r="B2406" t="s">
        <v>929</v>
      </c>
      <c r="C2406" t="s">
        <v>5840</v>
      </c>
      <c r="D2406" t="s">
        <v>18143</v>
      </c>
      <c r="E2406" t="s">
        <v>20396</v>
      </c>
      <c r="F2406" t="s">
        <v>31362</v>
      </c>
      <c r="G2406" t="s">
        <v>31369</v>
      </c>
      <c r="H2406" t="s">
        <v>15799</v>
      </c>
      <c r="I2406" t="s">
        <v>31430</v>
      </c>
      <c r="J2406" t="s">
        <v>33156</v>
      </c>
      <c r="K2406" t="s">
        <v>40661</v>
      </c>
      <c r="M2406" t="s">
        <v>41916</v>
      </c>
      <c r="N2406" t="s">
        <v>44905</v>
      </c>
      <c r="O2406" t="s">
        <v>44906</v>
      </c>
      <c r="P2406">
        <v>0</v>
      </c>
      <c r="Q2406">
        <v>1</v>
      </c>
      <c r="R2406" t="s">
        <v>44908</v>
      </c>
      <c r="S2406" t="s">
        <v>45042</v>
      </c>
      <c r="T2406" t="s">
        <v>46450</v>
      </c>
      <c r="U2406" t="s">
        <v>48918</v>
      </c>
      <c r="W2406" t="s">
        <v>41916</v>
      </c>
      <c r="X2406" t="s">
        <v>44911</v>
      </c>
    </row>
    <row r="2407" spans="1:24">
      <c r="A2407">
        <f>HYPERLINK("https://www.philgeps.gov.ph/GEPSNONPILOT/Tender/SplashBidNoticeAbstractUI.aspx?menuIndex=3&amp;refID=7074565&amp;Result=3","7074565")</f>
        <v>0</v>
      </c>
      <c r="B2407" t="s">
        <v>387</v>
      </c>
      <c r="C2407" t="s">
        <v>5841</v>
      </c>
      <c r="D2407" t="s">
        <v>18152</v>
      </c>
      <c r="E2407" t="s">
        <v>20397</v>
      </c>
      <c r="F2407" t="s">
        <v>31362</v>
      </c>
      <c r="G2407" t="s">
        <v>31369</v>
      </c>
      <c r="H2407" t="s">
        <v>15799</v>
      </c>
      <c r="I2407" t="s">
        <v>3815</v>
      </c>
      <c r="J2407" t="s">
        <v>33157</v>
      </c>
      <c r="K2407" t="s">
        <v>40665</v>
      </c>
      <c r="M2407" t="s">
        <v>41915</v>
      </c>
      <c r="N2407" t="s">
        <v>44905</v>
      </c>
      <c r="O2407" t="s">
        <v>44906</v>
      </c>
      <c r="P2407">
        <v>0</v>
      </c>
      <c r="Q2407">
        <v>0</v>
      </c>
      <c r="R2407" t="s">
        <v>44908</v>
      </c>
      <c r="S2407" t="s">
        <v>45042</v>
      </c>
      <c r="T2407" t="s">
        <v>46426</v>
      </c>
      <c r="U2407" t="s">
        <v>47597</v>
      </c>
      <c r="V2407" t="s">
        <v>59153</v>
      </c>
      <c r="W2407" t="s">
        <v>41915</v>
      </c>
      <c r="X2407" t="s">
        <v>44911</v>
      </c>
    </row>
    <row r="2408" spans="1:24">
      <c r="A2408">
        <f>HYPERLINK("https://www.philgeps.gov.ph/GEPSNONPILOT/Tender/SplashBidNoticeAbstractUI.aspx?menuIndex=3&amp;refID=7074604&amp;Result=3","7074604")</f>
        <v>0</v>
      </c>
      <c r="B2408" t="s">
        <v>929</v>
      </c>
      <c r="C2408" t="s">
        <v>5842</v>
      </c>
      <c r="D2408" t="s">
        <v>18143</v>
      </c>
      <c r="E2408" t="s">
        <v>20398</v>
      </c>
      <c r="F2408" t="s">
        <v>31362</v>
      </c>
      <c r="G2408" t="s">
        <v>31369</v>
      </c>
      <c r="H2408" t="s">
        <v>15799</v>
      </c>
      <c r="I2408" t="s">
        <v>3815</v>
      </c>
      <c r="J2408" t="s">
        <v>33158</v>
      </c>
      <c r="K2408" t="s">
        <v>40661</v>
      </c>
      <c r="M2408" t="s">
        <v>41916</v>
      </c>
      <c r="N2408" t="s">
        <v>44905</v>
      </c>
      <c r="O2408" t="s">
        <v>44906</v>
      </c>
      <c r="P2408">
        <v>0</v>
      </c>
      <c r="Q2408">
        <v>1</v>
      </c>
      <c r="R2408" t="s">
        <v>44908</v>
      </c>
      <c r="S2408" t="s">
        <v>45042</v>
      </c>
      <c r="T2408" t="s">
        <v>46450</v>
      </c>
      <c r="U2408" t="s">
        <v>48919</v>
      </c>
      <c r="W2408" t="s">
        <v>41916</v>
      </c>
      <c r="X2408" t="s">
        <v>44911</v>
      </c>
    </row>
    <row r="2409" spans="1:24">
      <c r="A2409">
        <f>HYPERLINK("https://www.philgeps.gov.ph/GEPSNONPILOT/Tender/SplashBidNoticeAbstractUI.aspx?menuIndex=3&amp;refID=7074554&amp;Result=3","7074554")</f>
        <v>0</v>
      </c>
      <c r="B2409" t="s">
        <v>387</v>
      </c>
      <c r="C2409" t="s">
        <v>5843</v>
      </c>
      <c r="D2409" t="s">
        <v>18152</v>
      </c>
      <c r="E2409" t="s">
        <v>20399</v>
      </c>
      <c r="F2409" t="s">
        <v>31362</v>
      </c>
      <c r="G2409" t="s">
        <v>31369</v>
      </c>
      <c r="H2409" t="s">
        <v>15799</v>
      </c>
      <c r="I2409" t="s">
        <v>3815</v>
      </c>
      <c r="J2409" t="s">
        <v>31843</v>
      </c>
      <c r="K2409" t="s">
        <v>40665</v>
      </c>
      <c r="M2409" t="s">
        <v>41915</v>
      </c>
      <c r="N2409" t="s">
        <v>44905</v>
      </c>
      <c r="O2409" t="s">
        <v>44906</v>
      </c>
      <c r="P2409">
        <v>0</v>
      </c>
      <c r="Q2409">
        <v>0</v>
      </c>
      <c r="R2409" t="s">
        <v>44908</v>
      </c>
      <c r="S2409" t="s">
        <v>45042</v>
      </c>
      <c r="T2409" t="s">
        <v>46426</v>
      </c>
      <c r="U2409" t="s">
        <v>47597</v>
      </c>
      <c r="V2409" t="s">
        <v>59153</v>
      </c>
      <c r="W2409" t="s">
        <v>41915</v>
      </c>
      <c r="X2409" t="s">
        <v>44911</v>
      </c>
    </row>
    <row r="2410" spans="1:24">
      <c r="A2410">
        <f>HYPERLINK("https://www.philgeps.gov.ph/GEPSNONPILOT/Tender/SplashBidNoticeAbstractUI.aspx?menuIndex=3&amp;refID=7074403&amp;Result=3","7074403")</f>
        <v>0</v>
      </c>
      <c r="B2410" t="s">
        <v>926</v>
      </c>
      <c r="C2410" t="s">
        <v>5844</v>
      </c>
      <c r="D2410" t="s">
        <v>18117</v>
      </c>
      <c r="E2410" t="s">
        <v>20400</v>
      </c>
      <c r="F2410" t="s">
        <v>31362</v>
      </c>
      <c r="G2410" t="s">
        <v>31369</v>
      </c>
      <c r="H2410" t="s">
        <v>31378</v>
      </c>
      <c r="I2410" t="s">
        <v>31386</v>
      </c>
      <c r="J2410" t="s">
        <v>31591</v>
      </c>
      <c r="K2410" t="s">
        <v>40665</v>
      </c>
      <c r="M2410" t="s">
        <v>41910</v>
      </c>
      <c r="N2410" t="s">
        <v>44905</v>
      </c>
      <c r="O2410" t="s">
        <v>44906</v>
      </c>
      <c r="P2410">
        <v>0</v>
      </c>
      <c r="Q2410">
        <v>0</v>
      </c>
      <c r="R2410" t="s">
        <v>44908</v>
      </c>
      <c r="S2410" t="s">
        <v>45042</v>
      </c>
      <c r="T2410" t="s">
        <v>46426</v>
      </c>
      <c r="U2410" t="s">
        <v>48920</v>
      </c>
      <c r="W2410" t="s">
        <v>41910</v>
      </c>
      <c r="X2410" t="s">
        <v>44911</v>
      </c>
    </row>
    <row r="2411" spans="1:24">
      <c r="A2411">
        <f>HYPERLINK("https://www.philgeps.gov.ph/GEPSNONPILOT/Tender/SplashBidNoticeAbstractUI.aspx?menuIndex=3&amp;refID=7074673&amp;Result=3","7074673")</f>
        <v>0</v>
      </c>
      <c r="B2411" t="s">
        <v>387</v>
      </c>
      <c r="C2411" t="s">
        <v>5845</v>
      </c>
      <c r="D2411" t="s">
        <v>18152</v>
      </c>
      <c r="E2411" t="s">
        <v>20401</v>
      </c>
      <c r="F2411" t="s">
        <v>31362</v>
      </c>
      <c r="G2411" t="s">
        <v>31369</v>
      </c>
      <c r="H2411" t="s">
        <v>15799</v>
      </c>
      <c r="I2411" t="s">
        <v>31409</v>
      </c>
      <c r="J2411" t="s">
        <v>31997</v>
      </c>
      <c r="K2411" t="s">
        <v>40665</v>
      </c>
      <c r="M2411" t="s">
        <v>41915</v>
      </c>
      <c r="N2411" t="s">
        <v>44905</v>
      </c>
      <c r="O2411" t="s">
        <v>44906</v>
      </c>
      <c r="P2411">
        <v>0</v>
      </c>
      <c r="Q2411">
        <v>0</v>
      </c>
      <c r="R2411" t="s">
        <v>44908</v>
      </c>
      <c r="S2411" t="s">
        <v>45042</v>
      </c>
      <c r="T2411" t="s">
        <v>46426</v>
      </c>
      <c r="U2411" t="s">
        <v>47597</v>
      </c>
      <c r="V2411" t="s">
        <v>59153</v>
      </c>
      <c r="W2411" t="s">
        <v>41915</v>
      </c>
      <c r="X2411" t="s">
        <v>44911</v>
      </c>
    </row>
    <row r="2412" spans="1:24">
      <c r="A2412">
        <f>HYPERLINK("https://www.philgeps.gov.ph/GEPSNONPILOT/Tender/SplashBidNoticeAbstractUI.aspx?menuIndex=3&amp;refID=7074595&amp;Result=3","7074595")</f>
        <v>0</v>
      </c>
      <c r="B2412" t="s">
        <v>387</v>
      </c>
      <c r="C2412" t="s">
        <v>5846</v>
      </c>
      <c r="D2412" t="s">
        <v>18152</v>
      </c>
      <c r="E2412" t="s">
        <v>20402</v>
      </c>
      <c r="F2412" t="s">
        <v>31362</v>
      </c>
      <c r="G2412" t="s">
        <v>31369</v>
      </c>
      <c r="H2412" t="s">
        <v>15799</v>
      </c>
      <c r="I2412" t="s">
        <v>31430</v>
      </c>
      <c r="J2412" t="s">
        <v>32047</v>
      </c>
      <c r="K2412" t="s">
        <v>40665</v>
      </c>
      <c r="M2412" t="s">
        <v>41915</v>
      </c>
      <c r="N2412" t="s">
        <v>44905</v>
      </c>
      <c r="O2412" t="s">
        <v>44906</v>
      </c>
      <c r="P2412">
        <v>0</v>
      </c>
      <c r="Q2412">
        <v>0</v>
      </c>
      <c r="R2412" t="s">
        <v>44908</v>
      </c>
      <c r="S2412" t="s">
        <v>45042</v>
      </c>
      <c r="T2412" t="s">
        <v>46426</v>
      </c>
      <c r="U2412" t="s">
        <v>47597</v>
      </c>
      <c r="V2412" t="s">
        <v>59153</v>
      </c>
      <c r="W2412" t="s">
        <v>41915</v>
      </c>
      <c r="X2412" t="s">
        <v>44911</v>
      </c>
    </row>
    <row r="2413" spans="1:24">
      <c r="A2413">
        <f>HYPERLINK("https://www.philgeps.gov.ph/GEPSNONPILOT/Tender/SplashBidNoticeAbstractUI.aspx?menuIndex=3&amp;refID=7074576&amp;Result=3","7074576")</f>
        <v>0</v>
      </c>
      <c r="B2413" t="s">
        <v>387</v>
      </c>
      <c r="C2413" t="s">
        <v>5847</v>
      </c>
      <c r="D2413" t="s">
        <v>18152</v>
      </c>
      <c r="E2413" t="s">
        <v>20403</v>
      </c>
      <c r="F2413" t="s">
        <v>31362</v>
      </c>
      <c r="G2413" t="s">
        <v>31369</v>
      </c>
      <c r="H2413" t="s">
        <v>15799</v>
      </c>
      <c r="I2413" t="s">
        <v>3815</v>
      </c>
      <c r="J2413" t="s">
        <v>33159</v>
      </c>
      <c r="K2413" t="s">
        <v>40665</v>
      </c>
      <c r="M2413" t="s">
        <v>41915</v>
      </c>
      <c r="N2413" t="s">
        <v>44905</v>
      </c>
      <c r="O2413" t="s">
        <v>44906</v>
      </c>
      <c r="P2413">
        <v>0</v>
      </c>
      <c r="Q2413">
        <v>0</v>
      </c>
      <c r="R2413" t="s">
        <v>44908</v>
      </c>
      <c r="S2413" t="s">
        <v>45042</v>
      </c>
      <c r="T2413" t="s">
        <v>46426</v>
      </c>
      <c r="U2413" t="s">
        <v>47597</v>
      </c>
      <c r="V2413" t="s">
        <v>59153</v>
      </c>
      <c r="W2413" t="s">
        <v>41915</v>
      </c>
      <c r="X2413" t="s">
        <v>44911</v>
      </c>
    </row>
    <row r="2414" spans="1:24">
      <c r="A2414">
        <f>HYPERLINK("https://www.philgeps.gov.ph/GEPSNONPILOT/Tender/SplashBidNoticeAbstractUI.aspx?menuIndex=3&amp;refID=7074509&amp;Result=3","7074509")</f>
        <v>0</v>
      </c>
      <c r="B2414" t="s">
        <v>387</v>
      </c>
      <c r="C2414" t="s">
        <v>5848</v>
      </c>
      <c r="D2414" t="s">
        <v>18152</v>
      </c>
      <c r="E2414" t="s">
        <v>20404</v>
      </c>
      <c r="F2414" t="s">
        <v>31362</v>
      </c>
      <c r="G2414" t="s">
        <v>31369</v>
      </c>
      <c r="H2414" t="s">
        <v>15799</v>
      </c>
      <c r="I2414" t="s">
        <v>3815</v>
      </c>
      <c r="J2414" t="s">
        <v>31561</v>
      </c>
      <c r="K2414" t="s">
        <v>40665</v>
      </c>
      <c r="M2414" t="s">
        <v>41915</v>
      </c>
      <c r="N2414" t="s">
        <v>44905</v>
      </c>
      <c r="O2414" t="s">
        <v>44906</v>
      </c>
      <c r="P2414">
        <v>0</v>
      </c>
      <c r="Q2414">
        <v>0</v>
      </c>
      <c r="R2414" t="s">
        <v>44908</v>
      </c>
      <c r="S2414" t="s">
        <v>45042</v>
      </c>
      <c r="T2414" t="s">
        <v>46426</v>
      </c>
      <c r="U2414" t="s">
        <v>47597</v>
      </c>
      <c r="V2414" t="s">
        <v>59153</v>
      </c>
      <c r="W2414" t="s">
        <v>41915</v>
      </c>
      <c r="X2414" t="s">
        <v>44911</v>
      </c>
    </row>
    <row r="2415" spans="1:24">
      <c r="A2415">
        <f>HYPERLINK("https://www.philgeps.gov.ph/GEPSNONPILOT/Tender/SplashBidNoticeAbstractUI.aspx?menuIndex=3&amp;refID=7074479&amp;Result=3","7074479")</f>
        <v>0</v>
      </c>
      <c r="B2415" t="s">
        <v>387</v>
      </c>
      <c r="C2415" t="s">
        <v>5849</v>
      </c>
      <c r="D2415" t="s">
        <v>18152</v>
      </c>
      <c r="E2415" t="s">
        <v>20405</v>
      </c>
      <c r="F2415" t="s">
        <v>31362</v>
      </c>
      <c r="G2415" t="s">
        <v>31369</v>
      </c>
      <c r="H2415" t="s">
        <v>15799</v>
      </c>
      <c r="I2415" t="s">
        <v>3815</v>
      </c>
      <c r="J2415" t="s">
        <v>32235</v>
      </c>
      <c r="K2415" t="s">
        <v>40665</v>
      </c>
      <c r="M2415" t="s">
        <v>41915</v>
      </c>
      <c r="N2415" t="s">
        <v>44905</v>
      </c>
      <c r="O2415" t="s">
        <v>44906</v>
      </c>
      <c r="P2415">
        <v>0</v>
      </c>
      <c r="Q2415">
        <v>0</v>
      </c>
      <c r="R2415" t="s">
        <v>44908</v>
      </c>
      <c r="S2415" t="s">
        <v>45042</v>
      </c>
      <c r="T2415" t="s">
        <v>46426</v>
      </c>
      <c r="U2415" t="s">
        <v>47597</v>
      </c>
      <c r="V2415" t="s">
        <v>59153</v>
      </c>
      <c r="W2415" t="s">
        <v>41915</v>
      </c>
      <c r="X2415" t="s">
        <v>44911</v>
      </c>
    </row>
    <row r="2416" spans="1:24">
      <c r="A2416">
        <f>HYPERLINK("https://www.philgeps.gov.ph/GEPSNONPILOT/Tender/SplashBidNoticeAbstractUI.aspx?menuIndex=3&amp;refID=7073961&amp;Result=3","7073961")</f>
        <v>0</v>
      </c>
      <c r="B2416" t="s">
        <v>926</v>
      </c>
      <c r="C2416" t="s">
        <v>5850</v>
      </c>
      <c r="D2416" t="s">
        <v>18117</v>
      </c>
      <c r="E2416" t="s">
        <v>20406</v>
      </c>
      <c r="F2416" t="s">
        <v>31362</v>
      </c>
      <c r="G2416" t="s">
        <v>31369</v>
      </c>
      <c r="H2416" t="s">
        <v>15799</v>
      </c>
      <c r="I2416" t="s">
        <v>31433</v>
      </c>
      <c r="J2416" t="s">
        <v>33160</v>
      </c>
      <c r="K2416" t="s">
        <v>40666</v>
      </c>
      <c r="M2416" t="s">
        <v>41910</v>
      </c>
      <c r="N2416" t="s">
        <v>44905</v>
      </c>
      <c r="O2416" t="s">
        <v>44906</v>
      </c>
      <c r="P2416">
        <v>0</v>
      </c>
      <c r="Q2416">
        <v>0</v>
      </c>
      <c r="R2416" t="s">
        <v>44908</v>
      </c>
      <c r="S2416" t="s">
        <v>45042</v>
      </c>
      <c r="T2416" t="s">
        <v>46426</v>
      </c>
      <c r="U2416" t="s">
        <v>48921</v>
      </c>
      <c r="W2416" t="s">
        <v>41910</v>
      </c>
      <c r="X2416" t="s">
        <v>44911</v>
      </c>
    </row>
    <row r="2417" spans="1:24">
      <c r="A2417">
        <f>HYPERLINK("https://www.philgeps.gov.ph/GEPSNONPILOT/Tender/SplashBidNoticeAbstractUI.aspx?menuIndex=3&amp;refID=7074456&amp;Result=3","7074456")</f>
        <v>0</v>
      </c>
      <c r="B2417" t="s">
        <v>926</v>
      </c>
      <c r="C2417" t="s">
        <v>5851</v>
      </c>
      <c r="D2417" t="s">
        <v>18117</v>
      </c>
      <c r="E2417" t="s">
        <v>20407</v>
      </c>
      <c r="F2417" t="s">
        <v>31362</v>
      </c>
      <c r="G2417" t="s">
        <v>31369</v>
      </c>
      <c r="H2417" t="s">
        <v>31378</v>
      </c>
      <c r="I2417" t="s">
        <v>31386</v>
      </c>
      <c r="J2417" t="s">
        <v>31591</v>
      </c>
      <c r="K2417" t="s">
        <v>40665</v>
      </c>
      <c r="M2417" t="s">
        <v>41910</v>
      </c>
      <c r="N2417" t="s">
        <v>44905</v>
      </c>
      <c r="O2417" t="s">
        <v>44906</v>
      </c>
      <c r="P2417">
        <v>0</v>
      </c>
      <c r="Q2417">
        <v>0</v>
      </c>
      <c r="R2417" t="s">
        <v>44908</v>
      </c>
      <c r="S2417" t="s">
        <v>45042</v>
      </c>
      <c r="T2417" t="s">
        <v>46470</v>
      </c>
      <c r="U2417" t="s">
        <v>48922</v>
      </c>
      <c r="W2417" t="s">
        <v>41910</v>
      </c>
      <c r="X2417" t="s">
        <v>44911</v>
      </c>
    </row>
    <row r="2418" spans="1:24">
      <c r="A2418">
        <f>HYPERLINK("https://www.philgeps.gov.ph/GEPSNONPILOT/Tender/SplashBidNoticeAbstractUI.aspx?menuIndex=3&amp;refID=7074704&amp;Result=3","7074704")</f>
        <v>0</v>
      </c>
      <c r="B2418" t="s">
        <v>110</v>
      </c>
      <c r="C2418" t="s">
        <v>5852</v>
      </c>
      <c r="D2418" t="s">
        <v>18119</v>
      </c>
      <c r="E2418" t="s">
        <v>20408</v>
      </c>
      <c r="F2418" t="s">
        <v>31362</v>
      </c>
      <c r="G2418" t="s">
        <v>31368</v>
      </c>
      <c r="H2418" t="s">
        <v>15799</v>
      </c>
      <c r="I2418" t="s">
        <v>31404</v>
      </c>
      <c r="J2418" t="s">
        <v>31687</v>
      </c>
      <c r="K2418" t="s">
        <v>40670</v>
      </c>
      <c r="M2418" t="s">
        <v>41047</v>
      </c>
      <c r="N2418" t="s">
        <v>44905</v>
      </c>
      <c r="O2418" t="s">
        <v>44906</v>
      </c>
      <c r="P2418">
        <v>0</v>
      </c>
      <c r="Q2418">
        <v>0</v>
      </c>
      <c r="R2418" t="s">
        <v>44908</v>
      </c>
      <c r="S2418" t="s">
        <v>45042</v>
      </c>
      <c r="T2418" t="s">
        <v>46409</v>
      </c>
      <c r="U2418" t="s">
        <v>48923</v>
      </c>
      <c r="W2418" t="s">
        <v>41047</v>
      </c>
      <c r="X2418" t="s">
        <v>44911</v>
      </c>
    </row>
    <row r="2419" spans="1:24">
      <c r="A2419">
        <f>HYPERLINK("https://www.philgeps.gov.ph/GEPSNONPILOT/Tender/SplashBidNoticeAbstractUI.aspx?menuIndex=3&amp;refID=7074527&amp;Result=3","7074527")</f>
        <v>0</v>
      </c>
      <c r="B2419" t="s">
        <v>930</v>
      </c>
      <c r="C2419" t="s">
        <v>5853</v>
      </c>
      <c r="D2419" t="s">
        <v>18140</v>
      </c>
      <c r="E2419" t="s">
        <v>20409</v>
      </c>
      <c r="F2419" t="s">
        <v>31362</v>
      </c>
      <c r="G2419" t="s">
        <v>31368</v>
      </c>
      <c r="H2419" t="s">
        <v>15799</v>
      </c>
      <c r="I2419" t="s">
        <v>31389</v>
      </c>
      <c r="J2419" t="s">
        <v>33161</v>
      </c>
      <c r="K2419" t="s">
        <v>40661</v>
      </c>
      <c r="M2419" t="s">
        <v>41917</v>
      </c>
      <c r="N2419" t="s">
        <v>44905</v>
      </c>
      <c r="O2419" t="s">
        <v>44906</v>
      </c>
      <c r="P2419">
        <v>0</v>
      </c>
      <c r="Q2419">
        <v>2</v>
      </c>
      <c r="R2419" t="s">
        <v>44908</v>
      </c>
      <c r="S2419" t="s">
        <v>45042</v>
      </c>
      <c r="T2419" t="s">
        <v>46470</v>
      </c>
      <c r="U2419" t="s">
        <v>48924</v>
      </c>
      <c r="W2419" t="s">
        <v>41917</v>
      </c>
      <c r="X2419" t="s">
        <v>44911</v>
      </c>
    </row>
    <row r="2420" spans="1:24">
      <c r="A2420">
        <f>HYPERLINK("https://www.philgeps.gov.ph/GEPSNONPILOT/Tender/SplashBidNoticeAbstractUI.aspx?menuIndex=3&amp;refID=7074728&amp;Result=3","7074728")</f>
        <v>0</v>
      </c>
      <c r="B2420" t="s">
        <v>110</v>
      </c>
      <c r="C2420" t="s">
        <v>5854</v>
      </c>
      <c r="D2420" t="s">
        <v>18119</v>
      </c>
      <c r="E2420" t="s">
        <v>20410</v>
      </c>
      <c r="F2420" t="s">
        <v>31362</v>
      </c>
      <c r="G2420" t="s">
        <v>31368</v>
      </c>
      <c r="H2420" t="s">
        <v>15799</v>
      </c>
      <c r="I2420" t="s">
        <v>31396</v>
      </c>
      <c r="J2420" t="s">
        <v>33162</v>
      </c>
      <c r="K2420" t="s">
        <v>40670</v>
      </c>
      <c r="M2420" t="s">
        <v>41047</v>
      </c>
      <c r="N2420" t="s">
        <v>44905</v>
      </c>
      <c r="O2420" t="s">
        <v>44906</v>
      </c>
      <c r="P2420">
        <v>0</v>
      </c>
      <c r="Q2420">
        <v>3</v>
      </c>
      <c r="R2420" t="s">
        <v>44908</v>
      </c>
      <c r="S2420" t="s">
        <v>45042</v>
      </c>
      <c r="T2420" t="s">
        <v>46409</v>
      </c>
      <c r="U2420" t="s">
        <v>48925</v>
      </c>
      <c r="W2420" t="s">
        <v>41047</v>
      </c>
      <c r="X2420" t="s">
        <v>44911</v>
      </c>
    </row>
    <row r="2421" spans="1:24">
      <c r="A2421">
        <f>HYPERLINK("https://www.philgeps.gov.ph/GEPSNONPILOT/Tender/SplashBidNoticeAbstractUI.aspx?menuIndex=3&amp;refID=7075748&amp;Result=3","7075748")</f>
        <v>0</v>
      </c>
      <c r="B2421" t="s">
        <v>931</v>
      </c>
      <c r="C2421" t="s">
        <v>5855</v>
      </c>
      <c r="D2421" t="s">
        <v>18171</v>
      </c>
      <c r="E2421" t="s">
        <v>20411</v>
      </c>
      <c r="F2421" t="s">
        <v>31363</v>
      </c>
      <c r="G2421" t="s">
        <v>31368</v>
      </c>
      <c r="H2421" t="s">
        <v>31379</v>
      </c>
      <c r="I2421" t="s">
        <v>6155</v>
      </c>
      <c r="J2421" t="s">
        <v>33163</v>
      </c>
      <c r="K2421" t="s">
        <v>40668</v>
      </c>
      <c r="M2421" t="s">
        <v>41918</v>
      </c>
      <c r="N2421" t="s">
        <v>44905</v>
      </c>
      <c r="O2421" t="s">
        <v>44906</v>
      </c>
      <c r="P2421">
        <v>0</v>
      </c>
      <c r="Q2421">
        <v>9</v>
      </c>
      <c r="R2421" t="s">
        <v>44908</v>
      </c>
      <c r="S2421" t="s">
        <v>45042</v>
      </c>
      <c r="T2421" t="s">
        <v>46463</v>
      </c>
      <c r="U2421" t="s">
        <v>48926</v>
      </c>
      <c r="W2421" t="s">
        <v>41918</v>
      </c>
      <c r="X2421" t="s">
        <v>44911</v>
      </c>
    </row>
    <row r="2422" spans="1:24">
      <c r="A2422">
        <f>HYPERLINK("https://www.philgeps.gov.ph/GEPSNONPILOT/Tender/SplashBidNoticeAbstractUI.aspx?menuIndex=3&amp;refID=7074724&amp;Result=3","7074724")</f>
        <v>0</v>
      </c>
      <c r="B2422" t="s">
        <v>932</v>
      </c>
      <c r="C2422" t="s">
        <v>5856</v>
      </c>
      <c r="D2422" t="s">
        <v>18134</v>
      </c>
      <c r="E2422" t="s">
        <v>20412</v>
      </c>
      <c r="F2422" t="s">
        <v>31362</v>
      </c>
      <c r="G2422" t="s">
        <v>31369</v>
      </c>
      <c r="H2422" t="s">
        <v>15799</v>
      </c>
      <c r="I2422" t="s">
        <v>31380</v>
      </c>
      <c r="J2422" t="s">
        <v>33164</v>
      </c>
      <c r="K2422" t="s">
        <v>40666</v>
      </c>
      <c r="M2422" t="s">
        <v>41919</v>
      </c>
      <c r="N2422" t="s">
        <v>44905</v>
      </c>
      <c r="O2422" t="s">
        <v>44906</v>
      </c>
      <c r="P2422">
        <v>0</v>
      </c>
      <c r="Q2422">
        <v>16</v>
      </c>
      <c r="R2422" t="s">
        <v>44908</v>
      </c>
      <c r="S2422" t="s">
        <v>45042</v>
      </c>
      <c r="T2422" t="s">
        <v>46429</v>
      </c>
      <c r="U2422" t="s">
        <v>48927</v>
      </c>
      <c r="W2422" t="s">
        <v>41919</v>
      </c>
      <c r="X2422" t="s">
        <v>44911</v>
      </c>
    </row>
    <row r="2423" spans="1:24">
      <c r="A2423">
        <f>HYPERLINK("https://www.philgeps.gov.ph/GEPSNONPILOT/Tender/SplashBidNoticeAbstractUI.aspx?menuIndex=3&amp;refID=7075524&amp;Result=3","7075524")</f>
        <v>0</v>
      </c>
      <c r="B2423" t="s">
        <v>933</v>
      </c>
      <c r="C2423" t="s">
        <v>5857</v>
      </c>
      <c r="D2423" t="s">
        <v>18108</v>
      </c>
      <c r="E2423" t="s">
        <v>20413</v>
      </c>
      <c r="F2423" t="s">
        <v>31362</v>
      </c>
      <c r="G2423" t="s">
        <v>31368</v>
      </c>
      <c r="H2423" t="s">
        <v>15799</v>
      </c>
      <c r="I2423" t="s">
        <v>31422</v>
      </c>
      <c r="J2423" t="s">
        <v>31734</v>
      </c>
      <c r="K2423" t="s">
        <v>40665</v>
      </c>
      <c r="M2423" t="s">
        <v>41920</v>
      </c>
      <c r="N2423" t="s">
        <v>44905</v>
      </c>
      <c r="O2423" t="s">
        <v>44906</v>
      </c>
      <c r="P2423">
        <v>0</v>
      </c>
      <c r="Q2423">
        <v>12</v>
      </c>
      <c r="R2423" t="s">
        <v>44908</v>
      </c>
      <c r="S2423" t="s">
        <v>45042</v>
      </c>
      <c r="T2423" t="s">
        <v>46454</v>
      </c>
      <c r="U2423" t="s">
        <v>48928</v>
      </c>
      <c r="W2423" t="s">
        <v>41920</v>
      </c>
      <c r="X2423" t="s">
        <v>44911</v>
      </c>
    </row>
    <row r="2424" spans="1:24">
      <c r="A2424">
        <f>HYPERLINK("https://www.philgeps.gov.ph/GEPSNONPILOT/Tender/SplashBidNoticeAbstractUI.aspx?menuIndex=3&amp;refID=7075488&amp;Result=3","7075488")</f>
        <v>0</v>
      </c>
      <c r="B2424" t="s">
        <v>933</v>
      </c>
      <c r="C2424" t="s">
        <v>5858</v>
      </c>
      <c r="D2424" t="s">
        <v>18108</v>
      </c>
      <c r="E2424" t="s">
        <v>20414</v>
      </c>
      <c r="F2424" t="s">
        <v>31362</v>
      </c>
      <c r="G2424" t="s">
        <v>31368</v>
      </c>
      <c r="H2424" t="s">
        <v>15799</v>
      </c>
      <c r="I2424" t="s">
        <v>31406</v>
      </c>
      <c r="J2424" t="s">
        <v>31688</v>
      </c>
      <c r="K2424" t="s">
        <v>40665</v>
      </c>
      <c r="M2424" t="s">
        <v>41920</v>
      </c>
      <c r="N2424" t="s">
        <v>44905</v>
      </c>
      <c r="O2424" t="s">
        <v>44906</v>
      </c>
      <c r="P2424">
        <v>0</v>
      </c>
      <c r="Q2424">
        <v>8</v>
      </c>
      <c r="R2424" t="s">
        <v>44908</v>
      </c>
      <c r="S2424" t="s">
        <v>45042</v>
      </c>
      <c r="T2424" t="s">
        <v>46454</v>
      </c>
      <c r="U2424" t="s">
        <v>48929</v>
      </c>
      <c r="W2424" t="s">
        <v>41920</v>
      </c>
      <c r="X2424" t="s">
        <v>44911</v>
      </c>
    </row>
    <row r="2425" spans="1:24">
      <c r="A2425">
        <f>HYPERLINK("https://www.philgeps.gov.ph/GEPSNONPILOT/Tender/SplashBidNoticeAbstractUI.aspx?menuIndex=3&amp;refID=7074974&amp;Result=3","7074974")</f>
        <v>0</v>
      </c>
      <c r="B2425" t="s">
        <v>934</v>
      </c>
      <c r="C2425" t="s">
        <v>5859</v>
      </c>
      <c r="D2425" t="s">
        <v>18172</v>
      </c>
      <c r="E2425" t="s">
        <v>19737</v>
      </c>
      <c r="F2425" t="s">
        <v>31362</v>
      </c>
      <c r="G2425" t="s">
        <v>31369</v>
      </c>
      <c r="H2425" t="s">
        <v>31378</v>
      </c>
      <c r="I2425" t="s">
        <v>31386</v>
      </c>
      <c r="J2425" t="s">
        <v>33165</v>
      </c>
      <c r="K2425" t="s">
        <v>40665</v>
      </c>
      <c r="L2425" t="s">
        <v>934</v>
      </c>
      <c r="M2425" t="s">
        <v>41921</v>
      </c>
      <c r="N2425" t="s">
        <v>44905</v>
      </c>
      <c r="O2425" t="s">
        <v>44906</v>
      </c>
      <c r="P2425">
        <v>0</v>
      </c>
      <c r="Q2425">
        <v>1</v>
      </c>
      <c r="R2425" t="s">
        <v>44908</v>
      </c>
      <c r="S2425" t="s">
        <v>45042</v>
      </c>
      <c r="T2425" t="s">
        <v>46559</v>
      </c>
      <c r="U2425" t="s">
        <v>48930</v>
      </c>
      <c r="W2425" t="s">
        <v>41921</v>
      </c>
      <c r="X2425" t="s">
        <v>44911</v>
      </c>
    </row>
    <row r="2426" spans="1:24">
      <c r="A2426">
        <f>HYPERLINK("https://www.philgeps.gov.ph/GEPSNONPILOT/Tender/SplashBidNoticeAbstractUI.aspx?menuIndex=3&amp;refID=7074928&amp;Result=3","7074928")</f>
        <v>0</v>
      </c>
      <c r="B2426" t="s">
        <v>110</v>
      </c>
      <c r="C2426" t="s">
        <v>5860</v>
      </c>
      <c r="D2426" t="s">
        <v>18119</v>
      </c>
      <c r="E2426" t="s">
        <v>20415</v>
      </c>
      <c r="F2426" t="s">
        <v>31362</v>
      </c>
      <c r="G2426" t="s">
        <v>31368</v>
      </c>
      <c r="H2426" t="s">
        <v>15799</v>
      </c>
      <c r="I2426" t="s">
        <v>31422</v>
      </c>
      <c r="J2426" t="s">
        <v>33166</v>
      </c>
      <c r="K2426" t="s">
        <v>40670</v>
      </c>
      <c r="M2426" t="s">
        <v>41047</v>
      </c>
      <c r="N2426" t="s">
        <v>44905</v>
      </c>
      <c r="O2426" t="s">
        <v>44906</v>
      </c>
      <c r="P2426">
        <v>0</v>
      </c>
      <c r="Q2426">
        <v>1</v>
      </c>
      <c r="R2426" t="s">
        <v>44908</v>
      </c>
      <c r="S2426" t="s">
        <v>45042</v>
      </c>
      <c r="T2426" t="s">
        <v>46414</v>
      </c>
      <c r="U2426" t="s">
        <v>48931</v>
      </c>
      <c r="W2426" t="s">
        <v>41047</v>
      </c>
      <c r="X2426" t="s">
        <v>44911</v>
      </c>
    </row>
    <row r="2427" spans="1:24">
      <c r="A2427">
        <f>HYPERLINK("https://www.philgeps.gov.ph/GEPSNONPILOT/Tender/SplashBidNoticeAbstractUI.aspx?menuIndex=3&amp;refID=7074642&amp;Result=3","7074642")</f>
        <v>0</v>
      </c>
      <c r="B2427" t="s">
        <v>387</v>
      </c>
      <c r="C2427" t="s">
        <v>5861</v>
      </c>
      <c r="D2427" t="s">
        <v>18152</v>
      </c>
      <c r="E2427" t="s">
        <v>20416</v>
      </c>
      <c r="F2427" t="s">
        <v>31362</v>
      </c>
      <c r="G2427" t="s">
        <v>31369</v>
      </c>
      <c r="H2427" t="s">
        <v>15799</v>
      </c>
      <c r="I2427" t="s">
        <v>31431</v>
      </c>
      <c r="J2427" t="s">
        <v>33167</v>
      </c>
      <c r="K2427" t="s">
        <v>40665</v>
      </c>
      <c r="M2427" t="s">
        <v>41915</v>
      </c>
      <c r="N2427" t="s">
        <v>44905</v>
      </c>
      <c r="O2427" t="s">
        <v>44906</v>
      </c>
      <c r="P2427">
        <v>0</v>
      </c>
      <c r="Q2427">
        <v>0</v>
      </c>
      <c r="R2427" t="s">
        <v>44908</v>
      </c>
      <c r="S2427" t="s">
        <v>45042</v>
      </c>
      <c r="T2427" t="s">
        <v>46426</v>
      </c>
      <c r="U2427" t="s">
        <v>47597</v>
      </c>
      <c r="V2427" t="s">
        <v>59153</v>
      </c>
      <c r="W2427" t="s">
        <v>41915</v>
      </c>
      <c r="X2427" t="s">
        <v>44911</v>
      </c>
    </row>
    <row r="2428" spans="1:24">
      <c r="A2428">
        <f>HYPERLINK("https://www.philgeps.gov.ph/GEPSNONPILOT/Tender/SplashBidNoticeAbstractUI.aspx?menuIndex=3&amp;refID=7074739&amp;Result=3","7074739")</f>
        <v>0</v>
      </c>
      <c r="B2428" t="s">
        <v>935</v>
      </c>
      <c r="C2428" t="s">
        <v>5862</v>
      </c>
      <c r="D2428" t="s">
        <v>18113</v>
      </c>
      <c r="E2428" t="s">
        <v>20417</v>
      </c>
      <c r="F2428" t="s">
        <v>31362</v>
      </c>
      <c r="G2428" t="s">
        <v>31369</v>
      </c>
      <c r="H2428" t="s">
        <v>31378</v>
      </c>
      <c r="I2428" t="s">
        <v>31439</v>
      </c>
      <c r="J2428" t="s">
        <v>33168</v>
      </c>
      <c r="K2428" t="s">
        <v>40662</v>
      </c>
      <c r="M2428" t="s">
        <v>41922</v>
      </c>
      <c r="N2428" t="s">
        <v>44905</v>
      </c>
      <c r="O2428" t="s">
        <v>44906</v>
      </c>
      <c r="P2428">
        <v>0</v>
      </c>
      <c r="Q2428">
        <v>0</v>
      </c>
      <c r="R2428" t="s">
        <v>44908</v>
      </c>
      <c r="S2428" t="s">
        <v>45042</v>
      </c>
      <c r="T2428" t="s">
        <v>46403</v>
      </c>
      <c r="U2428" t="s">
        <v>48932</v>
      </c>
      <c r="W2428" t="s">
        <v>60876</v>
      </c>
      <c r="X2428" t="s">
        <v>44911</v>
      </c>
    </row>
    <row r="2429" spans="1:24">
      <c r="A2429">
        <f>HYPERLINK("https://www.philgeps.gov.ph/GEPSNONPILOT/Tender/SplashBidNoticeAbstractUI.aspx?menuIndex=3&amp;refID=7075526&amp;Result=3","7075526")</f>
        <v>0</v>
      </c>
      <c r="B2429" t="s">
        <v>936</v>
      </c>
      <c r="C2429" t="s">
        <v>5863</v>
      </c>
      <c r="D2429" t="s">
        <v>18114</v>
      </c>
      <c r="E2429" t="s">
        <v>20418</v>
      </c>
      <c r="F2429" t="s">
        <v>31362</v>
      </c>
      <c r="G2429" t="s">
        <v>31369</v>
      </c>
      <c r="H2429" t="s">
        <v>15799</v>
      </c>
      <c r="I2429" t="s">
        <v>6218</v>
      </c>
      <c r="J2429" t="s">
        <v>33169</v>
      </c>
      <c r="K2429" t="s">
        <v>40677</v>
      </c>
      <c r="M2429" t="s">
        <v>41923</v>
      </c>
      <c r="N2429" t="s">
        <v>44905</v>
      </c>
      <c r="O2429" t="s">
        <v>44906</v>
      </c>
      <c r="P2429">
        <v>0</v>
      </c>
      <c r="Q2429">
        <v>0</v>
      </c>
      <c r="R2429" t="s">
        <v>44908</v>
      </c>
      <c r="S2429" t="s">
        <v>45042</v>
      </c>
      <c r="T2429" t="s">
        <v>46449</v>
      </c>
      <c r="U2429" t="s">
        <v>48933</v>
      </c>
      <c r="V2429" t="s">
        <v>59306</v>
      </c>
      <c r="W2429" t="s">
        <v>41923</v>
      </c>
      <c r="X2429" t="s">
        <v>44911</v>
      </c>
    </row>
    <row r="2430" spans="1:24">
      <c r="A2430">
        <f>HYPERLINK("https://www.philgeps.gov.ph/GEPSNONPILOT/Tender/SplashBidNoticeAbstractUI.aspx?menuIndex=3&amp;refID=7074899&amp;Result=3","7074899")</f>
        <v>0</v>
      </c>
      <c r="B2430" t="s">
        <v>934</v>
      </c>
      <c r="C2430" t="s">
        <v>5864</v>
      </c>
      <c r="D2430" t="s">
        <v>18172</v>
      </c>
      <c r="E2430" t="s">
        <v>18479</v>
      </c>
      <c r="F2430" t="s">
        <v>31362</v>
      </c>
      <c r="G2430" t="s">
        <v>31369</v>
      </c>
      <c r="H2430" t="s">
        <v>31378</v>
      </c>
      <c r="I2430" t="s">
        <v>31386</v>
      </c>
      <c r="J2430" t="s">
        <v>33170</v>
      </c>
      <c r="K2430" t="s">
        <v>40665</v>
      </c>
      <c r="L2430" t="s">
        <v>934</v>
      </c>
      <c r="M2430" t="s">
        <v>41921</v>
      </c>
      <c r="N2430" t="s">
        <v>44905</v>
      </c>
      <c r="O2430" t="s">
        <v>44906</v>
      </c>
      <c r="P2430">
        <v>0</v>
      </c>
      <c r="Q2430">
        <v>1</v>
      </c>
      <c r="R2430" t="s">
        <v>44908</v>
      </c>
      <c r="S2430" t="s">
        <v>45042</v>
      </c>
      <c r="T2430" t="s">
        <v>46616</v>
      </c>
      <c r="U2430" t="s">
        <v>48934</v>
      </c>
      <c r="W2430" t="s">
        <v>41921</v>
      </c>
      <c r="X2430" t="s">
        <v>44911</v>
      </c>
    </row>
    <row r="2431" spans="1:24">
      <c r="A2431">
        <f>HYPERLINK("https://www.philgeps.gov.ph/GEPSNONPILOT/Tender/SplashBidNoticeAbstractUI.aspx?menuIndex=3&amp;refID=7074771&amp;Result=3","7074771")</f>
        <v>0</v>
      </c>
      <c r="B2431" t="s">
        <v>110</v>
      </c>
      <c r="C2431" t="s">
        <v>5865</v>
      </c>
      <c r="D2431" t="s">
        <v>18119</v>
      </c>
      <c r="E2431" t="s">
        <v>20419</v>
      </c>
      <c r="F2431" t="s">
        <v>31362</v>
      </c>
      <c r="G2431" t="s">
        <v>31368</v>
      </c>
      <c r="H2431" t="s">
        <v>15799</v>
      </c>
      <c r="I2431" t="s">
        <v>6155</v>
      </c>
      <c r="J2431" t="s">
        <v>32553</v>
      </c>
      <c r="K2431" t="s">
        <v>40670</v>
      </c>
      <c r="M2431" t="s">
        <v>41047</v>
      </c>
      <c r="N2431" t="s">
        <v>44905</v>
      </c>
      <c r="O2431" t="s">
        <v>44906</v>
      </c>
      <c r="P2431">
        <v>0</v>
      </c>
      <c r="Q2431">
        <v>5</v>
      </c>
      <c r="R2431" t="s">
        <v>44908</v>
      </c>
      <c r="S2431" t="s">
        <v>45042</v>
      </c>
      <c r="T2431" t="s">
        <v>46409</v>
      </c>
      <c r="U2431" t="s">
        <v>48935</v>
      </c>
      <c r="W2431" t="s">
        <v>41047</v>
      </c>
      <c r="X2431" t="s">
        <v>44911</v>
      </c>
    </row>
    <row r="2432" spans="1:24">
      <c r="A2432">
        <f>HYPERLINK("https://www.philgeps.gov.ph/GEPSNONPILOT/Tender/SplashBidNoticeAbstractUI.aspx?menuIndex=3&amp;refID=7076214&amp;Result=3","7076214")</f>
        <v>0</v>
      </c>
      <c r="B2432" t="s">
        <v>317</v>
      </c>
      <c r="C2432" t="s">
        <v>5866</v>
      </c>
      <c r="D2432" t="s">
        <v>18165</v>
      </c>
      <c r="E2432" t="s">
        <v>20420</v>
      </c>
      <c r="F2432" t="s">
        <v>31362</v>
      </c>
      <c r="G2432" t="s">
        <v>31369</v>
      </c>
      <c r="H2432" t="s">
        <v>15799</v>
      </c>
      <c r="I2432" t="s">
        <v>31404</v>
      </c>
      <c r="J2432" t="s">
        <v>33171</v>
      </c>
      <c r="K2432" t="s">
        <v>40665</v>
      </c>
      <c r="M2432" t="s">
        <v>41262</v>
      </c>
      <c r="N2432" t="s">
        <v>44905</v>
      </c>
      <c r="O2432" t="s">
        <v>44906</v>
      </c>
      <c r="P2432">
        <v>0</v>
      </c>
      <c r="Q2432">
        <v>0</v>
      </c>
      <c r="R2432" t="s">
        <v>44908</v>
      </c>
      <c r="S2432" t="s">
        <v>45042</v>
      </c>
      <c r="T2432" t="s">
        <v>46493</v>
      </c>
      <c r="U2432" t="s">
        <v>48936</v>
      </c>
      <c r="W2432" t="s">
        <v>60846</v>
      </c>
      <c r="X2432" t="s">
        <v>44910</v>
      </c>
    </row>
    <row r="2433" spans="1:24">
      <c r="A2433">
        <f>HYPERLINK("https://www.philgeps.gov.ph/GEPSNONPILOT/Tender/SplashBidNoticeAbstractUI.aspx?menuIndex=3&amp;refID=7076206&amp;Result=3","7076206")</f>
        <v>0</v>
      </c>
      <c r="B2433" t="s">
        <v>937</v>
      </c>
      <c r="C2433" t="s">
        <v>5867</v>
      </c>
      <c r="D2433" t="s">
        <v>18102</v>
      </c>
      <c r="E2433" t="s">
        <v>20421</v>
      </c>
      <c r="F2433" t="s">
        <v>31362</v>
      </c>
      <c r="G2433" t="s">
        <v>31370</v>
      </c>
      <c r="H2433" t="s">
        <v>15799</v>
      </c>
      <c r="I2433" t="s">
        <v>31427</v>
      </c>
      <c r="J2433" t="s">
        <v>33172</v>
      </c>
      <c r="K2433" t="s">
        <v>40661</v>
      </c>
      <c r="M2433" t="s">
        <v>41924</v>
      </c>
      <c r="N2433" t="s">
        <v>44905</v>
      </c>
      <c r="O2433" t="s">
        <v>44906</v>
      </c>
      <c r="P2433">
        <v>0</v>
      </c>
      <c r="Q2433">
        <v>9</v>
      </c>
      <c r="R2433" t="s">
        <v>44908</v>
      </c>
      <c r="S2433" t="s">
        <v>45042</v>
      </c>
      <c r="T2433" t="s">
        <v>46503</v>
      </c>
      <c r="U2433" t="s">
        <v>48937</v>
      </c>
      <c r="W2433" t="s">
        <v>41924</v>
      </c>
      <c r="X2433" t="s">
        <v>44910</v>
      </c>
    </row>
    <row r="2434" spans="1:24">
      <c r="A2434">
        <f>HYPERLINK("https://www.philgeps.gov.ph/GEPSNONPILOT/Tender/SplashBidNoticeAbstractUI.aspx?menuIndex=3&amp;refID=7076093&amp;Result=3","7076093")</f>
        <v>0</v>
      </c>
      <c r="B2434" t="s">
        <v>938</v>
      </c>
      <c r="C2434" t="s">
        <v>5868</v>
      </c>
      <c r="E2434" t="s">
        <v>20422</v>
      </c>
      <c r="F2434" t="s">
        <v>31362</v>
      </c>
      <c r="G2434" t="s">
        <v>31369</v>
      </c>
      <c r="H2434" t="s">
        <v>31378</v>
      </c>
      <c r="I2434" t="s">
        <v>31386</v>
      </c>
      <c r="J2434" t="s">
        <v>33173</v>
      </c>
      <c r="K2434" t="s">
        <v>40683</v>
      </c>
      <c r="M2434" t="s">
        <v>41925</v>
      </c>
      <c r="N2434" t="s">
        <v>44905</v>
      </c>
      <c r="O2434" t="s">
        <v>44906</v>
      </c>
      <c r="P2434">
        <v>0</v>
      </c>
      <c r="Q2434">
        <v>1</v>
      </c>
      <c r="R2434" t="s">
        <v>44908</v>
      </c>
      <c r="S2434" t="s">
        <v>45042</v>
      </c>
      <c r="T2434" t="s">
        <v>46554</v>
      </c>
      <c r="U2434" t="s">
        <v>48938</v>
      </c>
      <c r="W2434" t="s">
        <v>41925</v>
      </c>
      <c r="X2434" t="s">
        <v>44910</v>
      </c>
    </row>
    <row r="2435" spans="1:24">
      <c r="A2435">
        <f>HYPERLINK("https://www.philgeps.gov.ph/GEPSNONPILOT/Tender/SplashBidNoticeAbstractUI.aspx?menuIndex=3&amp;refID=7076009&amp;Result=3","7076009")</f>
        <v>0</v>
      </c>
      <c r="B2435" t="s">
        <v>939</v>
      </c>
      <c r="C2435" t="s">
        <v>5869</v>
      </c>
      <c r="D2435" t="s">
        <v>18106</v>
      </c>
      <c r="E2435" t="s">
        <v>19844</v>
      </c>
      <c r="F2435" t="s">
        <v>31363</v>
      </c>
      <c r="G2435" t="s">
        <v>31369</v>
      </c>
      <c r="H2435" t="s">
        <v>31378</v>
      </c>
      <c r="I2435" t="s">
        <v>31386</v>
      </c>
      <c r="J2435" t="s">
        <v>31843</v>
      </c>
      <c r="K2435" t="s">
        <v>40677</v>
      </c>
      <c r="M2435" t="s">
        <v>41926</v>
      </c>
      <c r="N2435" t="s">
        <v>44905</v>
      </c>
      <c r="O2435" t="s">
        <v>44906</v>
      </c>
      <c r="P2435">
        <v>0</v>
      </c>
      <c r="Q2435">
        <v>0</v>
      </c>
      <c r="R2435" t="s">
        <v>44908</v>
      </c>
      <c r="S2435" t="s">
        <v>45042</v>
      </c>
      <c r="T2435" t="s">
        <v>46617</v>
      </c>
      <c r="U2435" t="s">
        <v>48939</v>
      </c>
      <c r="V2435" t="s">
        <v>59307</v>
      </c>
      <c r="W2435" t="s">
        <v>41926</v>
      </c>
      <c r="X2435" t="s">
        <v>44911</v>
      </c>
    </row>
    <row r="2436" spans="1:24">
      <c r="A2436">
        <f>HYPERLINK("https://www.philgeps.gov.ph/GEPSNONPILOT/Tender/SplashBidNoticeAbstractUI.aspx?menuIndex=3&amp;refID=7076193&amp;Result=3","7076193")</f>
        <v>0</v>
      </c>
      <c r="B2436" t="s">
        <v>379</v>
      </c>
      <c r="C2436" t="s">
        <v>5870</v>
      </c>
      <c r="D2436" t="s">
        <v>18131</v>
      </c>
      <c r="E2436" t="s">
        <v>20423</v>
      </c>
      <c r="F2436" t="s">
        <v>31362</v>
      </c>
      <c r="G2436" t="s">
        <v>31369</v>
      </c>
      <c r="H2436" t="s">
        <v>15799</v>
      </c>
      <c r="I2436" t="s">
        <v>31457</v>
      </c>
      <c r="J2436" t="s">
        <v>33174</v>
      </c>
      <c r="K2436" t="s">
        <v>40682</v>
      </c>
      <c r="M2436" t="s">
        <v>41927</v>
      </c>
      <c r="N2436" t="s">
        <v>44905</v>
      </c>
      <c r="O2436" t="s">
        <v>44906</v>
      </c>
      <c r="P2436">
        <v>0</v>
      </c>
      <c r="Q2436">
        <v>3</v>
      </c>
      <c r="R2436" t="s">
        <v>44908</v>
      </c>
      <c r="S2436" t="s">
        <v>45042</v>
      </c>
      <c r="T2436" t="s">
        <v>46401</v>
      </c>
      <c r="U2436" t="s">
        <v>48940</v>
      </c>
      <c r="W2436" t="s">
        <v>41927</v>
      </c>
      <c r="X2436" t="s">
        <v>44910</v>
      </c>
    </row>
    <row r="2437" spans="1:24">
      <c r="A2437">
        <f>HYPERLINK("https://www.philgeps.gov.ph/GEPSNONPILOT/Tender/SplashBidNoticeAbstractUI.aspx?menuIndex=3&amp;refID=7076344&amp;Result=3","7076344")</f>
        <v>0</v>
      </c>
      <c r="B2437" t="s">
        <v>940</v>
      </c>
      <c r="C2437" t="s">
        <v>5871</v>
      </c>
      <c r="D2437" t="s">
        <v>18177</v>
      </c>
      <c r="E2437" t="s">
        <v>20424</v>
      </c>
      <c r="F2437" t="s">
        <v>31362</v>
      </c>
      <c r="G2437" t="s">
        <v>31369</v>
      </c>
      <c r="H2437" t="s">
        <v>31378</v>
      </c>
      <c r="I2437" t="s">
        <v>31386</v>
      </c>
      <c r="J2437" t="s">
        <v>32239</v>
      </c>
      <c r="K2437" t="s">
        <v>40679</v>
      </c>
      <c r="M2437" t="s">
        <v>41928</v>
      </c>
      <c r="N2437" t="s">
        <v>44905</v>
      </c>
      <c r="O2437" t="s">
        <v>44906</v>
      </c>
      <c r="P2437">
        <v>0</v>
      </c>
      <c r="Q2437">
        <v>0</v>
      </c>
      <c r="R2437" t="s">
        <v>44908</v>
      </c>
      <c r="S2437" t="s">
        <v>45042</v>
      </c>
      <c r="T2437" t="s">
        <v>46479</v>
      </c>
      <c r="U2437" t="s">
        <v>48941</v>
      </c>
      <c r="W2437" t="s">
        <v>41928</v>
      </c>
      <c r="X2437" t="s">
        <v>44910</v>
      </c>
    </row>
    <row r="2438" spans="1:24">
      <c r="A2438">
        <f>HYPERLINK("https://www.philgeps.gov.ph/GEPSNONPILOT/Tender/SplashBidNoticeAbstractUI.aspx?menuIndex=3&amp;refID=7076279&amp;Result=3","7076279")</f>
        <v>0</v>
      </c>
      <c r="B2438" t="s">
        <v>941</v>
      </c>
      <c r="C2438" t="s">
        <v>5872</v>
      </c>
      <c r="D2438" t="s">
        <v>18100</v>
      </c>
      <c r="E2438" t="s">
        <v>20425</v>
      </c>
      <c r="F2438" t="s">
        <v>31362</v>
      </c>
      <c r="G2438" t="s">
        <v>31368</v>
      </c>
      <c r="H2438" t="s">
        <v>15799</v>
      </c>
      <c r="I2438" t="s">
        <v>31422</v>
      </c>
      <c r="J2438" t="s">
        <v>33175</v>
      </c>
      <c r="K2438" t="s">
        <v>40662</v>
      </c>
      <c r="M2438" t="s">
        <v>41929</v>
      </c>
      <c r="N2438" t="s">
        <v>44905</v>
      </c>
      <c r="O2438" t="s">
        <v>44906</v>
      </c>
      <c r="P2438">
        <v>0</v>
      </c>
      <c r="Q2438">
        <v>5</v>
      </c>
      <c r="R2438" t="s">
        <v>44908</v>
      </c>
      <c r="S2438" t="s">
        <v>45042</v>
      </c>
      <c r="T2438" t="s">
        <v>46414</v>
      </c>
      <c r="U2438" t="s">
        <v>48942</v>
      </c>
      <c r="W2438" t="s">
        <v>41929</v>
      </c>
      <c r="X2438" t="s">
        <v>44910</v>
      </c>
    </row>
    <row r="2439" spans="1:24">
      <c r="A2439">
        <f>HYPERLINK("https://www.philgeps.gov.ph/GEPSNONPILOT/Tender/SplashBidNoticeAbstractUI.aspx?menuIndex=3&amp;refID=7076759&amp;Result=3","7076759")</f>
        <v>0</v>
      </c>
      <c r="B2439" t="s">
        <v>942</v>
      </c>
      <c r="C2439" t="s">
        <v>5873</v>
      </c>
      <c r="D2439" t="s">
        <v>18100</v>
      </c>
      <c r="E2439" t="s">
        <v>20426</v>
      </c>
      <c r="F2439" t="s">
        <v>31362</v>
      </c>
      <c r="G2439" t="s">
        <v>31369</v>
      </c>
      <c r="H2439" t="s">
        <v>15799</v>
      </c>
      <c r="I2439" t="s">
        <v>31430</v>
      </c>
      <c r="J2439" t="s">
        <v>33176</v>
      </c>
      <c r="K2439" t="s">
        <v>40662</v>
      </c>
      <c r="M2439" t="s">
        <v>41930</v>
      </c>
      <c r="N2439" t="s">
        <v>44905</v>
      </c>
      <c r="O2439" t="s">
        <v>44906</v>
      </c>
      <c r="P2439">
        <v>0</v>
      </c>
      <c r="Q2439">
        <v>0</v>
      </c>
      <c r="R2439" t="s">
        <v>44908</v>
      </c>
      <c r="S2439" t="s">
        <v>45042</v>
      </c>
      <c r="T2439" t="s">
        <v>46426</v>
      </c>
      <c r="U2439" t="s">
        <v>48943</v>
      </c>
      <c r="W2439" t="s">
        <v>41930</v>
      </c>
      <c r="X2439" t="s">
        <v>44910</v>
      </c>
    </row>
    <row r="2440" spans="1:24">
      <c r="A2440">
        <f>HYPERLINK("https://www.philgeps.gov.ph/GEPSNONPILOT/Tender/SplashBidNoticeAbstractUI.aspx?menuIndex=3&amp;refID=7076240&amp;Result=3","7076240")</f>
        <v>0</v>
      </c>
      <c r="B2440" t="s">
        <v>937</v>
      </c>
      <c r="C2440" t="s">
        <v>5874</v>
      </c>
      <c r="D2440" t="s">
        <v>18102</v>
      </c>
      <c r="E2440" t="s">
        <v>20427</v>
      </c>
      <c r="F2440" t="s">
        <v>31362</v>
      </c>
      <c r="G2440" t="s">
        <v>31370</v>
      </c>
      <c r="H2440" t="s">
        <v>15799</v>
      </c>
      <c r="I2440" t="s">
        <v>31427</v>
      </c>
      <c r="J2440" t="s">
        <v>33177</v>
      </c>
      <c r="K2440" t="s">
        <v>40661</v>
      </c>
      <c r="M2440" t="s">
        <v>41924</v>
      </c>
      <c r="N2440" t="s">
        <v>44905</v>
      </c>
      <c r="O2440" t="s">
        <v>44906</v>
      </c>
      <c r="P2440">
        <v>0</v>
      </c>
      <c r="Q2440">
        <v>7</v>
      </c>
      <c r="R2440" t="s">
        <v>44908</v>
      </c>
      <c r="S2440" t="s">
        <v>45042</v>
      </c>
      <c r="T2440" t="s">
        <v>46400</v>
      </c>
      <c r="U2440" t="s">
        <v>48944</v>
      </c>
      <c r="W2440" t="s">
        <v>41924</v>
      </c>
      <c r="X2440" t="s">
        <v>44910</v>
      </c>
    </row>
    <row r="2441" spans="1:24">
      <c r="A2441">
        <f>HYPERLINK("https://www.philgeps.gov.ph/GEPSNONPILOT/Tender/SplashBidNoticeAbstractUI.aspx?menuIndex=3&amp;refID=7076714&amp;Result=3","7076714")</f>
        <v>0</v>
      </c>
      <c r="B2441" t="s">
        <v>942</v>
      </c>
      <c r="C2441" t="s">
        <v>5875</v>
      </c>
      <c r="D2441" t="s">
        <v>18100</v>
      </c>
      <c r="E2441" t="s">
        <v>20428</v>
      </c>
      <c r="F2441" t="s">
        <v>31362</v>
      </c>
      <c r="G2441" t="s">
        <v>31369</v>
      </c>
      <c r="H2441" t="s">
        <v>15799</v>
      </c>
      <c r="I2441" t="s">
        <v>31413</v>
      </c>
      <c r="J2441" t="s">
        <v>33178</v>
      </c>
      <c r="K2441" t="s">
        <v>40662</v>
      </c>
      <c r="M2441" t="s">
        <v>41930</v>
      </c>
      <c r="N2441" t="s">
        <v>44905</v>
      </c>
      <c r="O2441" t="s">
        <v>44906</v>
      </c>
      <c r="P2441">
        <v>0</v>
      </c>
      <c r="Q2441">
        <v>0</v>
      </c>
      <c r="R2441" t="s">
        <v>44908</v>
      </c>
      <c r="S2441" t="s">
        <v>45042</v>
      </c>
      <c r="T2441" t="s">
        <v>46426</v>
      </c>
      <c r="U2441" t="s">
        <v>48943</v>
      </c>
      <c r="W2441" t="s">
        <v>41930</v>
      </c>
      <c r="X2441" t="s">
        <v>44910</v>
      </c>
    </row>
    <row r="2442" spans="1:24">
      <c r="A2442">
        <f>HYPERLINK("https://www.philgeps.gov.ph/GEPSNONPILOT/Tender/SplashBidNoticeAbstractUI.aspx?menuIndex=3&amp;refID=7076638&amp;Result=3","7076638")</f>
        <v>0</v>
      </c>
      <c r="B2442" t="s">
        <v>943</v>
      </c>
      <c r="C2442" t="s">
        <v>5876</v>
      </c>
      <c r="D2442" t="s">
        <v>18127</v>
      </c>
      <c r="E2442" t="s">
        <v>20429</v>
      </c>
      <c r="F2442" t="s">
        <v>31362</v>
      </c>
      <c r="G2442" t="s">
        <v>31369</v>
      </c>
      <c r="H2442" t="s">
        <v>15799</v>
      </c>
      <c r="I2442" t="s">
        <v>31420</v>
      </c>
      <c r="J2442" t="s">
        <v>31578</v>
      </c>
      <c r="K2442" t="s">
        <v>40661</v>
      </c>
      <c r="M2442" t="s">
        <v>41931</v>
      </c>
      <c r="N2442" t="s">
        <v>44905</v>
      </c>
      <c r="O2442" t="s">
        <v>44906</v>
      </c>
      <c r="P2442">
        <v>0</v>
      </c>
      <c r="Q2442">
        <v>3</v>
      </c>
      <c r="R2442" t="s">
        <v>44908</v>
      </c>
      <c r="S2442" t="s">
        <v>45042</v>
      </c>
      <c r="T2442" t="s">
        <v>46470</v>
      </c>
      <c r="U2442" t="s">
        <v>48945</v>
      </c>
      <c r="W2442" t="s">
        <v>41931</v>
      </c>
      <c r="X2442" t="s">
        <v>44910</v>
      </c>
    </row>
    <row r="2443" spans="1:24">
      <c r="A2443">
        <f>HYPERLINK("https://www.philgeps.gov.ph/GEPSNONPILOT/Tender/SplashBidNoticeAbstractUI.aspx?menuIndex=3&amp;refID=7075432&amp;Result=3","7075432")</f>
        <v>0</v>
      </c>
      <c r="B2443" t="s">
        <v>944</v>
      </c>
      <c r="C2443" t="s">
        <v>5877</v>
      </c>
      <c r="D2443" t="s">
        <v>18169</v>
      </c>
      <c r="E2443" t="s">
        <v>20430</v>
      </c>
      <c r="F2443" t="s">
        <v>31362</v>
      </c>
      <c r="G2443" t="s">
        <v>31368</v>
      </c>
      <c r="H2443" t="s">
        <v>15799</v>
      </c>
      <c r="I2443" t="s">
        <v>31427</v>
      </c>
      <c r="J2443" t="s">
        <v>31546</v>
      </c>
      <c r="K2443" t="s">
        <v>40661</v>
      </c>
      <c r="M2443" t="s">
        <v>41932</v>
      </c>
      <c r="N2443" t="s">
        <v>44905</v>
      </c>
      <c r="O2443" t="s">
        <v>44906</v>
      </c>
      <c r="P2443">
        <v>0</v>
      </c>
      <c r="Q2443">
        <v>9</v>
      </c>
      <c r="R2443" t="s">
        <v>44908</v>
      </c>
      <c r="S2443" t="s">
        <v>45042</v>
      </c>
      <c r="T2443" t="s">
        <v>46435</v>
      </c>
      <c r="U2443" t="s">
        <v>48946</v>
      </c>
      <c r="W2443" t="s">
        <v>41932</v>
      </c>
      <c r="X2443" t="s">
        <v>44911</v>
      </c>
    </row>
    <row r="2444" spans="1:24">
      <c r="A2444">
        <f>HYPERLINK("https://www.philgeps.gov.ph/GEPSNONPILOT/Tender/SplashBidNoticeAbstractUI.aspx?menuIndex=3&amp;refID=7076326&amp;Result=3","7076326")</f>
        <v>0</v>
      </c>
      <c r="B2444" t="s">
        <v>937</v>
      </c>
      <c r="C2444" t="s">
        <v>5878</v>
      </c>
      <c r="D2444" t="s">
        <v>18102</v>
      </c>
      <c r="E2444" t="s">
        <v>20431</v>
      </c>
      <c r="F2444" t="s">
        <v>31362</v>
      </c>
      <c r="G2444" t="s">
        <v>31370</v>
      </c>
      <c r="H2444" t="s">
        <v>15799</v>
      </c>
      <c r="I2444" t="s">
        <v>31427</v>
      </c>
      <c r="J2444" t="s">
        <v>33179</v>
      </c>
      <c r="K2444" t="s">
        <v>40661</v>
      </c>
      <c r="M2444" t="s">
        <v>41924</v>
      </c>
      <c r="N2444" t="s">
        <v>44905</v>
      </c>
      <c r="O2444" t="s">
        <v>44906</v>
      </c>
      <c r="P2444">
        <v>0</v>
      </c>
      <c r="Q2444">
        <v>6</v>
      </c>
      <c r="R2444" t="s">
        <v>44908</v>
      </c>
      <c r="S2444" t="s">
        <v>45042</v>
      </c>
      <c r="T2444" t="s">
        <v>46503</v>
      </c>
      <c r="U2444" t="s">
        <v>48947</v>
      </c>
      <c r="W2444" t="s">
        <v>41924</v>
      </c>
      <c r="X2444" t="s">
        <v>44910</v>
      </c>
    </row>
    <row r="2445" spans="1:24">
      <c r="A2445">
        <f>HYPERLINK("https://www.philgeps.gov.ph/GEPSNONPILOT/Tender/SplashBidNoticeAbstractUI.aspx?menuIndex=3&amp;refID=7076549&amp;Result=3","7076549")</f>
        <v>0</v>
      </c>
      <c r="B2445" t="s">
        <v>491</v>
      </c>
      <c r="C2445" t="s">
        <v>5879</v>
      </c>
      <c r="D2445" t="s">
        <v>18126</v>
      </c>
      <c r="E2445" t="s">
        <v>20432</v>
      </c>
      <c r="F2445" t="s">
        <v>31362</v>
      </c>
      <c r="G2445" t="s">
        <v>31369</v>
      </c>
      <c r="H2445" t="s">
        <v>31378</v>
      </c>
      <c r="I2445" t="s">
        <v>31386</v>
      </c>
      <c r="J2445" t="s">
        <v>33180</v>
      </c>
      <c r="K2445" t="s">
        <v>40682</v>
      </c>
      <c r="M2445" t="s">
        <v>41446</v>
      </c>
      <c r="N2445" t="s">
        <v>44905</v>
      </c>
      <c r="O2445" t="s">
        <v>44906</v>
      </c>
      <c r="P2445">
        <v>0</v>
      </c>
      <c r="Q2445">
        <v>0</v>
      </c>
      <c r="R2445" t="s">
        <v>44908</v>
      </c>
      <c r="S2445" t="s">
        <v>45042</v>
      </c>
      <c r="T2445" t="s">
        <v>46618</v>
      </c>
      <c r="U2445" t="s">
        <v>48948</v>
      </c>
      <c r="W2445" t="s">
        <v>41446</v>
      </c>
      <c r="X2445" t="s">
        <v>44910</v>
      </c>
    </row>
    <row r="2446" spans="1:24">
      <c r="A2446">
        <f>HYPERLINK("https://www.philgeps.gov.ph/GEPSNONPILOT/Tender/SplashBidNoticeAbstractUI.aspx?menuIndex=3&amp;refID=7076515&amp;Result=3","7076515")</f>
        <v>0</v>
      </c>
      <c r="B2446" t="s">
        <v>916</v>
      </c>
      <c r="C2446" t="s">
        <v>5880</v>
      </c>
      <c r="D2446" t="s">
        <v>18101</v>
      </c>
      <c r="E2446" t="s">
        <v>20433</v>
      </c>
      <c r="F2446" t="s">
        <v>31362</v>
      </c>
      <c r="G2446" t="s">
        <v>31368</v>
      </c>
      <c r="H2446" t="s">
        <v>15799</v>
      </c>
      <c r="I2446" t="s">
        <v>31431</v>
      </c>
      <c r="J2446" t="s">
        <v>33181</v>
      </c>
      <c r="K2446" t="s">
        <v>40665</v>
      </c>
      <c r="M2446" t="s">
        <v>41900</v>
      </c>
      <c r="N2446" t="s">
        <v>44905</v>
      </c>
      <c r="O2446" t="s">
        <v>44906</v>
      </c>
      <c r="P2446">
        <v>0</v>
      </c>
      <c r="Q2446">
        <v>1</v>
      </c>
      <c r="R2446" t="s">
        <v>44908</v>
      </c>
      <c r="S2446" t="s">
        <v>45042</v>
      </c>
      <c r="T2446" t="s">
        <v>46409</v>
      </c>
      <c r="U2446" t="s">
        <v>48949</v>
      </c>
      <c r="V2446" t="s">
        <v>59308</v>
      </c>
      <c r="W2446" t="s">
        <v>41900</v>
      </c>
      <c r="X2446" t="s">
        <v>44910</v>
      </c>
    </row>
    <row r="2447" spans="1:24">
      <c r="A2447">
        <f>HYPERLINK("https://www.philgeps.gov.ph/GEPSNONPILOT/Tender/SplashBidNoticeAbstractUI.aspx?menuIndex=3&amp;refID=7076719&amp;Result=3","7076719")</f>
        <v>0</v>
      </c>
      <c r="B2447" t="s">
        <v>945</v>
      </c>
      <c r="C2447" t="s">
        <v>5881</v>
      </c>
      <c r="D2447" t="s">
        <v>18108</v>
      </c>
      <c r="E2447" t="s">
        <v>5881</v>
      </c>
      <c r="F2447" t="s">
        <v>31362</v>
      </c>
      <c r="G2447" t="s">
        <v>31371</v>
      </c>
      <c r="H2447" t="s">
        <v>15799</v>
      </c>
      <c r="I2447" t="s">
        <v>31385</v>
      </c>
      <c r="J2447" t="s">
        <v>33182</v>
      </c>
      <c r="K2447" t="s">
        <v>40662</v>
      </c>
      <c r="M2447" t="s">
        <v>41933</v>
      </c>
      <c r="N2447" t="s">
        <v>44905</v>
      </c>
      <c r="O2447" t="s">
        <v>44906</v>
      </c>
      <c r="P2447">
        <v>0</v>
      </c>
      <c r="Q2447">
        <v>15</v>
      </c>
      <c r="R2447" t="s">
        <v>44908</v>
      </c>
      <c r="S2447" t="s">
        <v>45042</v>
      </c>
      <c r="T2447" t="s">
        <v>46589</v>
      </c>
      <c r="U2447" t="s">
        <v>48950</v>
      </c>
      <c r="W2447" t="s">
        <v>41933</v>
      </c>
      <c r="X2447" t="s">
        <v>44910</v>
      </c>
    </row>
    <row r="2448" spans="1:24">
      <c r="A2448">
        <f>HYPERLINK("https://www.philgeps.gov.ph/GEPSNONPILOT/Tender/SplashBidNoticeAbstractUI.aspx?menuIndex=3&amp;refID=7076869&amp;Result=3","7076869")</f>
        <v>0</v>
      </c>
      <c r="B2448" t="s">
        <v>92</v>
      </c>
      <c r="C2448" t="s">
        <v>5882</v>
      </c>
      <c r="D2448" t="s">
        <v>18100</v>
      </c>
      <c r="E2448" t="s">
        <v>20434</v>
      </c>
      <c r="F2448" t="s">
        <v>31362</v>
      </c>
      <c r="G2448" t="s">
        <v>31368</v>
      </c>
      <c r="H2448" t="s">
        <v>15799</v>
      </c>
      <c r="I2448" t="s">
        <v>6240</v>
      </c>
      <c r="J2448" t="s">
        <v>31541</v>
      </c>
      <c r="K2448" t="s">
        <v>40677</v>
      </c>
      <c r="M2448" t="s">
        <v>41029</v>
      </c>
      <c r="N2448" t="s">
        <v>44905</v>
      </c>
      <c r="O2448" t="s">
        <v>44906</v>
      </c>
      <c r="P2448">
        <v>0</v>
      </c>
      <c r="Q2448">
        <v>0</v>
      </c>
      <c r="R2448" t="s">
        <v>44908</v>
      </c>
      <c r="S2448" t="s">
        <v>45042</v>
      </c>
      <c r="T2448" t="s">
        <v>46440</v>
      </c>
      <c r="U2448" t="s">
        <v>47062</v>
      </c>
      <c r="W2448" t="s">
        <v>60834</v>
      </c>
      <c r="X2448" t="s">
        <v>44910</v>
      </c>
    </row>
    <row r="2449" spans="1:24">
      <c r="A2449">
        <f>HYPERLINK("https://www.philgeps.gov.ph/GEPSNONPILOT/Tender/SplashBidNoticeAbstractUI.aspx?menuIndex=3&amp;refID=7076823&amp;Result=3","7076823")</f>
        <v>0</v>
      </c>
      <c r="B2449" t="s">
        <v>927</v>
      </c>
      <c r="C2449" t="s">
        <v>5883</v>
      </c>
      <c r="D2449" t="s">
        <v>18106</v>
      </c>
      <c r="E2449" t="s">
        <v>20435</v>
      </c>
      <c r="F2449" t="s">
        <v>31362</v>
      </c>
      <c r="G2449" t="s">
        <v>31369</v>
      </c>
      <c r="H2449" t="s">
        <v>15799</v>
      </c>
      <c r="I2449" t="s">
        <v>3815</v>
      </c>
      <c r="J2449" t="s">
        <v>33183</v>
      </c>
      <c r="K2449" t="s">
        <v>40662</v>
      </c>
      <c r="M2449" t="s">
        <v>41911</v>
      </c>
      <c r="N2449" t="s">
        <v>44905</v>
      </c>
      <c r="O2449" t="s">
        <v>44906</v>
      </c>
      <c r="P2449">
        <v>0</v>
      </c>
      <c r="Q2449">
        <v>1</v>
      </c>
      <c r="R2449" t="s">
        <v>44908</v>
      </c>
      <c r="S2449" t="s">
        <v>45042</v>
      </c>
      <c r="T2449" t="s">
        <v>46431</v>
      </c>
      <c r="U2449" t="s">
        <v>48951</v>
      </c>
      <c r="W2449" t="s">
        <v>41911</v>
      </c>
      <c r="X2449" t="s">
        <v>44910</v>
      </c>
    </row>
    <row r="2450" spans="1:24">
      <c r="A2450">
        <f>HYPERLINK("https://www.philgeps.gov.ph/GEPSNONPILOT/Tender/SplashBidNoticeAbstractUI.aspx?menuIndex=3&amp;refID=7076668&amp;Result=3","7076668")</f>
        <v>0</v>
      </c>
      <c r="B2450" t="s">
        <v>92</v>
      </c>
      <c r="C2450" t="s">
        <v>5884</v>
      </c>
      <c r="D2450" t="s">
        <v>18100</v>
      </c>
      <c r="E2450" t="s">
        <v>20436</v>
      </c>
      <c r="F2450" t="s">
        <v>31362</v>
      </c>
      <c r="G2450" t="s">
        <v>31368</v>
      </c>
      <c r="H2450" t="s">
        <v>15799</v>
      </c>
      <c r="I2450" t="s">
        <v>6240</v>
      </c>
      <c r="J2450" t="s">
        <v>32731</v>
      </c>
      <c r="K2450" t="s">
        <v>40677</v>
      </c>
      <c r="M2450" t="s">
        <v>41029</v>
      </c>
      <c r="N2450" t="s">
        <v>44905</v>
      </c>
      <c r="O2450" t="s">
        <v>44906</v>
      </c>
      <c r="P2450">
        <v>0</v>
      </c>
      <c r="Q2450">
        <v>1</v>
      </c>
      <c r="R2450" t="s">
        <v>44908</v>
      </c>
      <c r="S2450" t="s">
        <v>45042</v>
      </c>
      <c r="T2450" t="s">
        <v>46440</v>
      </c>
      <c r="U2450" t="s">
        <v>47062</v>
      </c>
      <c r="W2450" t="s">
        <v>60834</v>
      </c>
      <c r="X2450" t="s">
        <v>44910</v>
      </c>
    </row>
    <row r="2451" spans="1:24">
      <c r="A2451">
        <f>HYPERLINK("https://www.philgeps.gov.ph/GEPSNONPILOT/Tender/SplashBidNoticeAbstractUI.aspx?menuIndex=3&amp;refID=7076545&amp;Result=3","7076545")</f>
        <v>0</v>
      </c>
      <c r="B2451" t="s">
        <v>916</v>
      </c>
      <c r="C2451" t="s">
        <v>5885</v>
      </c>
      <c r="D2451" t="s">
        <v>18101</v>
      </c>
      <c r="E2451" t="s">
        <v>20437</v>
      </c>
      <c r="F2451" t="s">
        <v>31362</v>
      </c>
      <c r="G2451" t="s">
        <v>31368</v>
      </c>
      <c r="H2451" t="s">
        <v>15799</v>
      </c>
      <c r="I2451" t="s">
        <v>31380</v>
      </c>
      <c r="J2451" t="s">
        <v>33184</v>
      </c>
      <c r="K2451" t="s">
        <v>40665</v>
      </c>
      <c r="M2451" t="s">
        <v>41900</v>
      </c>
      <c r="N2451" t="s">
        <v>44905</v>
      </c>
      <c r="O2451" t="s">
        <v>44906</v>
      </c>
      <c r="P2451">
        <v>0</v>
      </c>
      <c r="Q2451">
        <v>1</v>
      </c>
      <c r="R2451" t="s">
        <v>44908</v>
      </c>
      <c r="S2451" t="s">
        <v>45042</v>
      </c>
      <c r="T2451" t="s">
        <v>46409</v>
      </c>
      <c r="U2451" t="s">
        <v>48952</v>
      </c>
      <c r="V2451" t="s">
        <v>59309</v>
      </c>
      <c r="W2451" t="s">
        <v>41900</v>
      </c>
      <c r="X2451" t="s">
        <v>44910</v>
      </c>
    </row>
    <row r="2452" spans="1:24">
      <c r="A2452">
        <f>HYPERLINK("https://www.philgeps.gov.ph/GEPSNONPILOT/Tender/SplashBidNoticeAbstractUI.aspx?menuIndex=3&amp;refID=7076488&amp;Result=3","7076488")</f>
        <v>0</v>
      </c>
      <c r="B2452" t="s">
        <v>916</v>
      </c>
      <c r="C2452" t="s">
        <v>5886</v>
      </c>
      <c r="D2452" t="s">
        <v>18101</v>
      </c>
      <c r="E2452" t="s">
        <v>20438</v>
      </c>
      <c r="F2452" t="s">
        <v>31362</v>
      </c>
      <c r="G2452" t="s">
        <v>31368</v>
      </c>
      <c r="H2452" t="s">
        <v>15799</v>
      </c>
      <c r="I2452" t="s">
        <v>31431</v>
      </c>
      <c r="J2452" t="s">
        <v>33185</v>
      </c>
      <c r="K2452" t="s">
        <v>40665</v>
      </c>
      <c r="M2452" t="s">
        <v>41900</v>
      </c>
      <c r="N2452" t="s">
        <v>44905</v>
      </c>
      <c r="O2452" t="s">
        <v>44906</v>
      </c>
      <c r="P2452">
        <v>0</v>
      </c>
      <c r="Q2452">
        <v>2</v>
      </c>
      <c r="R2452" t="s">
        <v>44908</v>
      </c>
      <c r="S2452" t="s">
        <v>45042</v>
      </c>
      <c r="T2452" t="s">
        <v>46409</v>
      </c>
      <c r="U2452" t="s">
        <v>48953</v>
      </c>
      <c r="V2452" t="s">
        <v>59308</v>
      </c>
      <c r="W2452" t="s">
        <v>41900</v>
      </c>
      <c r="X2452" t="s">
        <v>44910</v>
      </c>
    </row>
    <row r="2453" spans="1:24">
      <c r="A2453">
        <f>HYPERLINK("https://www.philgeps.gov.ph/GEPSNONPILOT/Tender/SplashBidNoticeAbstractUI.aspx?menuIndex=3&amp;refID=7075662&amp;Result=3","7075662")</f>
        <v>0</v>
      </c>
      <c r="B2453" t="s">
        <v>933</v>
      </c>
      <c r="C2453" t="s">
        <v>5887</v>
      </c>
      <c r="D2453" t="s">
        <v>18108</v>
      </c>
      <c r="E2453" t="s">
        <v>20439</v>
      </c>
      <c r="F2453" t="s">
        <v>31362</v>
      </c>
      <c r="G2453" t="s">
        <v>31368</v>
      </c>
      <c r="H2453" t="s">
        <v>31379</v>
      </c>
      <c r="I2453" t="s">
        <v>3582</v>
      </c>
      <c r="J2453" t="s">
        <v>31575</v>
      </c>
      <c r="K2453" t="s">
        <v>40665</v>
      </c>
      <c r="M2453" t="s">
        <v>41920</v>
      </c>
      <c r="N2453" t="s">
        <v>44905</v>
      </c>
      <c r="O2453" t="s">
        <v>44906</v>
      </c>
      <c r="P2453">
        <v>0</v>
      </c>
      <c r="Q2453">
        <v>3</v>
      </c>
      <c r="R2453" t="s">
        <v>44908</v>
      </c>
      <c r="S2453" t="s">
        <v>45042</v>
      </c>
      <c r="T2453" t="s">
        <v>46454</v>
      </c>
      <c r="U2453" t="s">
        <v>48954</v>
      </c>
      <c r="W2453" t="s">
        <v>41920</v>
      </c>
      <c r="X2453" t="s">
        <v>44911</v>
      </c>
    </row>
    <row r="2454" spans="1:24">
      <c r="A2454">
        <f>HYPERLINK("https://www.philgeps.gov.ph/GEPSNONPILOT/Tender/SplashBidNoticeAbstractUI.aspx?menuIndex=3&amp;refID=7076456&amp;Result=3","7076456")</f>
        <v>0</v>
      </c>
      <c r="B2454" t="s">
        <v>937</v>
      </c>
      <c r="C2454" t="s">
        <v>5888</v>
      </c>
      <c r="D2454" t="s">
        <v>18102</v>
      </c>
      <c r="E2454" t="s">
        <v>20440</v>
      </c>
      <c r="F2454" t="s">
        <v>31362</v>
      </c>
      <c r="G2454" t="s">
        <v>31370</v>
      </c>
      <c r="H2454" t="s">
        <v>15799</v>
      </c>
      <c r="I2454" t="s">
        <v>31427</v>
      </c>
      <c r="J2454" t="s">
        <v>33186</v>
      </c>
      <c r="K2454" t="s">
        <v>40661</v>
      </c>
      <c r="M2454" t="s">
        <v>41924</v>
      </c>
      <c r="N2454" t="s">
        <v>44905</v>
      </c>
      <c r="O2454" t="s">
        <v>44906</v>
      </c>
      <c r="P2454">
        <v>0</v>
      </c>
      <c r="Q2454">
        <v>5</v>
      </c>
      <c r="R2454" t="s">
        <v>44908</v>
      </c>
      <c r="S2454" t="s">
        <v>45042</v>
      </c>
      <c r="T2454" t="s">
        <v>46467</v>
      </c>
      <c r="U2454" t="s">
        <v>48955</v>
      </c>
      <c r="W2454" t="s">
        <v>41924</v>
      </c>
      <c r="X2454" t="s">
        <v>44910</v>
      </c>
    </row>
    <row r="2455" spans="1:24">
      <c r="A2455">
        <f>HYPERLINK("https://www.philgeps.gov.ph/GEPSNONPILOT/Tender/SplashBidNoticeAbstractUI.aspx?menuIndex=3&amp;refID=7076420&amp;Result=3","7076420")</f>
        <v>0</v>
      </c>
      <c r="B2455" t="s">
        <v>937</v>
      </c>
      <c r="C2455" t="s">
        <v>5889</v>
      </c>
      <c r="D2455" t="s">
        <v>18102</v>
      </c>
      <c r="E2455" t="s">
        <v>20441</v>
      </c>
      <c r="F2455" t="s">
        <v>31362</v>
      </c>
      <c r="G2455" t="s">
        <v>31370</v>
      </c>
      <c r="H2455" t="s">
        <v>15799</v>
      </c>
      <c r="I2455" t="s">
        <v>31427</v>
      </c>
      <c r="J2455" t="s">
        <v>33187</v>
      </c>
      <c r="K2455" t="s">
        <v>40661</v>
      </c>
      <c r="M2455" t="s">
        <v>41924</v>
      </c>
      <c r="N2455" t="s">
        <v>44905</v>
      </c>
      <c r="O2455" t="s">
        <v>44906</v>
      </c>
      <c r="P2455">
        <v>0</v>
      </c>
      <c r="Q2455">
        <v>5</v>
      </c>
      <c r="R2455" t="s">
        <v>44908</v>
      </c>
      <c r="S2455" t="s">
        <v>45042</v>
      </c>
      <c r="T2455" t="s">
        <v>46503</v>
      </c>
      <c r="U2455" t="s">
        <v>48956</v>
      </c>
      <c r="W2455" t="s">
        <v>41924</v>
      </c>
      <c r="X2455" t="s">
        <v>44910</v>
      </c>
    </row>
    <row r="2456" spans="1:24">
      <c r="A2456">
        <f>HYPERLINK("https://www.philgeps.gov.ph/GEPSNONPILOT/Tender/SplashBidNoticeAbstractUI.aspx?menuIndex=3&amp;refID=7075587&amp;Result=3","7075587")</f>
        <v>0</v>
      </c>
      <c r="B2456" t="s">
        <v>946</v>
      </c>
      <c r="C2456" t="s">
        <v>5890</v>
      </c>
      <c r="E2456" t="s">
        <v>20442</v>
      </c>
      <c r="F2456" t="s">
        <v>31362</v>
      </c>
      <c r="G2456" t="s">
        <v>31369</v>
      </c>
      <c r="H2456" t="s">
        <v>15799</v>
      </c>
      <c r="I2456" t="s">
        <v>31409</v>
      </c>
      <c r="J2456" t="s">
        <v>33188</v>
      </c>
      <c r="K2456" t="s">
        <v>40662</v>
      </c>
      <c r="M2456" t="s">
        <v>41934</v>
      </c>
      <c r="N2456" t="s">
        <v>44905</v>
      </c>
      <c r="O2456" t="s">
        <v>44906</v>
      </c>
      <c r="P2456">
        <v>0</v>
      </c>
      <c r="Q2456">
        <v>6</v>
      </c>
      <c r="R2456" t="s">
        <v>44908</v>
      </c>
      <c r="S2456" t="s">
        <v>45042</v>
      </c>
      <c r="T2456" t="s">
        <v>46569</v>
      </c>
      <c r="U2456" t="s">
        <v>48957</v>
      </c>
      <c r="W2456" t="s">
        <v>41934</v>
      </c>
      <c r="X2456" t="s">
        <v>44911</v>
      </c>
    </row>
    <row r="2457" spans="1:24">
      <c r="A2457">
        <f>HYPERLINK("https://www.philgeps.gov.ph/GEPSNONPILOT/Tender/SplashBidNoticeAbstractUI.aspx?menuIndex=3&amp;refID=7076775&amp;Result=3","7076775")</f>
        <v>0</v>
      </c>
      <c r="B2457" t="s">
        <v>947</v>
      </c>
      <c r="C2457" t="s">
        <v>5891</v>
      </c>
      <c r="D2457" t="s">
        <v>18135</v>
      </c>
      <c r="E2457" t="s">
        <v>5891</v>
      </c>
      <c r="F2457" t="s">
        <v>31362</v>
      </c>
      <c r="G2457" t="s">
        <v>31369</v>
      </c>
      <c r="H2457" t="s">
        <v>15799</v>
      </c>
      <c r="I2457" t="s">
        <v>3815</v>
      </c>
      <c r="J2457" t="s">
        <v>33189</v>
      </c>
      <c r="K2457" t="s">
        <v>40665</v>
      </c>
      <c r="M2457" t="s">
        <v>41935</v>
      </c>
      <c r="N2457" t="s">
        <v>44905</v>
      </c>
      <c r="O2457" t="s">
        <v>44906</v>
      </c>
      <c r="P2457">
        <v>0</v>
      </c>
      <c r="Q2457">
        <v>1</v>
      </c>
      <c r="R2457" t="s">
        <v>44908</v>
      </c>
      <c r="S2457" t="s">
        <v>45042</v>
      </c>
      <c r="T2457" t="s">
        <v>46481</v>
      </c>
      <c r="U2457" t="s">
        <v>48958</v>
      </c>
      <c r="W2457" t="s">
        <v>41935</v>
      </c>
      <c r="X2457" t="s">
        <v>44910</v>
      </c>
    </row>
    <row r="2458" spans="1:24">
      <c r="A2458">
        <f>HYPERLINK("https://www.philgeps.gov.ph/GEPSNONPILOT/Tender/SplashBidNoticeAbstractUI.aspx?menuIndex=3&amp;refID=7076453&amp;Result=3","7076453")</f>
        <v>0</v>
      </c>
      <c r="B2458" t="s">
        <v>948</v>
      </c>
      <c r="C2458" t="s">
        <v>5892</v>
      </c>
      <c r="D2458" t="s">
        <v>18107</v>
      </c>
      <c r="E2458" t="s">
        <v>20443</v>
      </c>
      <c r="F2458" t="s">
        <v>31362</v>
      </c>
      <c r="G2458" t="s">
        <v>31369</v>
      </c>
      <c r="H2458" t="s">
        <v>31378</v>
      </c>
      <c r="I2458" t="s">
        <v>31386</v>
      </c>
      <c r="J2458" t="s">
        <v>33190</v>
      </c>
      <c r="K2458" t="s">
        <v>40749</v>
      </c>
      <c r="M2458" t="s">
        <v>41936</v>
      </c>
      <c r="N2458" t="s">
        <v>44905</v>
      </c>
      <c r="O2458" t="s">
        <v>44906</v>
      </c>
      <c r="P2458">
        <v>0</v>
      </c>
      <c r="Q2458">
        <v>0</v>
      </c>
      <c r="R2458" t="s">
        <v>44908</v>
      </c>
      <c r="S2458" t="s">
        <v>45042</v>
      </c>
      <c r="T2458" t="s">
        <v>46619</v>
      </c>
      <c r="U2458" t="s">
        <v>48959</v>
      </c>
      <c r="W2458" t="s">
        <v>41936</v>
      </c>
      <c r="X2458" t="s">
        <v>44910</v>
      </c>
    </row>
    <row r="2459" spans="1:24">
      <c r="A2459">
        <f>HYPERLINK("https://www.philgeps.gov.ph/GEPSNONPILOT/Tender/SplashBidNoticeAbstractUI.aspx?menuIndex=3&amp;refID=7076345&amp;Result=3","7076345")</f>
        <v>0</v>
      </c>
      <c r="B2459" t="s">
        <v>937</v>
      </c>
      <c r="C2459" t="s">
        <v>5893</v>
      </c>
      <c r="D2459" t="s">
        <v>18102</v>
      </c>
      <c r="E2459" t="s">
        <v>20444</v>
      </c>
      <c r="F2459" t="s">
        <v>31362</v>
      </c>
      <c r="G2459" t="s">
        <v>31370</v>
      </c>
      <c r="H2459" t="s">
        <v>15799</v>
      </c>
      <c r="I2459" t="s">
        <v>31427</v>
      </c>
      <c r="J2459" t="s">
        <v>33191</v>
      </c>
      <c r="K2459" t="s">
        <v>40661</v>
      </c>
      <c r="M2459" t="s">
        <v>41924</v>
      </c>
      <c r="N2459" t="s">
        <v>44905</v>
      </c>
      <c r="O2459" t="s">
        <v>44906</v>
      </c>
      <c r="P2459">
        <v>0</v>
      </c>
      <c r="Q2459">
        <v>5</v>
      </c>
      <c r="R2459" t="s">
        <v>44908</v>
      </c>
      <c r="S2459" t="s">
        <v>45042</v>
      </c>
      <c r="T2459" t="s">
        <v>46503</v>
      </c>
      <c r="U2459" t="s">
        <v>48960</v>
      </c>
      <c r="W2459" t="s">
        <v>41924</v>
      </c>
      <c r="X2459" t="s">
        <v>44910</v>
      </c>
    </row>
    <row r="2460" spans="1:24">
      <c r="A2460">
        <f>HYPERLINK("https://www.philgeps.gov.ph/GEPSNONPILOT/Tender/SplashBidNoticeAbstractUI.aspx?menuIndex=3&amp;refID=7076929&amp;Result=3","7076929")</f>
        <v>0</v>
      </c>
      <c r="B2460" t="s">
        <v>949</v>
      </c>
      <c r="C2460" t="s">
        <v>5894</v>
      </c>
      <c r="D2460" t="s">
        <v>18152</v>
      </c>
      <c r="E2460" t="s">
        <v>19313</v>
      </c>
      <c r="F2460" t="s">
        <v>31362</v>
      </c>
      <c r="G2460" t="s">
        <v>31369</v>
      </c>
      <c r="H2460" t="s">
        <v>15799</v>
      </c>
      <c r="I2460" t="s">
        <v>3815</v>
      </c>
      <c r="J2460" t="s">
        <v>33192</v>
      </c>
      <c r="K2460" t="s">
        <v>40670</v>
      </c>
      <c r="M2460" t="s">
        <v>41937</v>
      </c>
      <c r="N2460" t="s">
        <v>44905</v>
      </c>
      <c r="O2460" t="s">
        <v>44906</v>
      </c>
      <c r="P2460">
        <v>0</v>
      </c>
      <c r="Q2460">
        <v>0</v>
      </c>
      <c r="R2460" t="s">
        <v>44908</v>
      </c>
      <c r="S2460" t="s">
        <v>45042</v>
      </c>
      <c r="T2460" t="s">
        <v>46604</v>
      </c>
      <c r="U2460" t="s">
        <v>48961</v>
      </c>
      <c r="W2460" t="s">
        <v>41937</v>
      </c>
      <c r="X2460" t="s">
        <v>44910</v>
      </c>
    </row>
    <row r="2461" spans="1:24">
      <c r="A2461">
        <f>HYPERLINK("https://www.philgeps.gov.ph/GEPSNONPILOT/Tender/SplashBidNoticeAbstractUI.aspx?menuIndex=3&amp;refID=7077136&amp;Result=3","7077136")</f>
        <v>0</v>
      </c>
      <c r="B2461" t="s">
        <v>387</v>
      </c>
      <c r="C2461" t="s">
        <v>5895</v>
      </c>
      <c r="D2461" t="s">
        <v>18152</v>
      </c>
      <c r="E2461" t="s">
        <v>20445</v>
      </c>
      <c r="F2461" t="s">
        <v>31362</v>
      </c>
      <c r="G2461" t="s">
        <v>31369</v>
      </c>
      <c r="H2461" t="s">
        <v>15799</v>
      </c>
      <c r="I2461" t="s">
        <v>13635</v>
      </c>
      <c r="J2461" t="s">
        <v>31975</v>
      </c>
      <c r="K2461" t="s">
        <v>40665</v>
      </c>
      <c r="M2461" t="s">
        <v>41335</v>
      </c>
      <c r="N2461" t="s">
        <v>44905</v>
      </c>
      <c r="O2461" t="s">
        <v>44906</v>
      </c>
      <c r="P2461">
        <v>0</v>
      </c>
      <c r="Q2461">
        <v>0</v>
      </c>
      <c r="R2461" t="s">
        <v>44908</v>
      </c>
      <c r="S2461" t="s">
        <v>45042</v>
      </c>
      <c r="T2461" t="s">
        <v>46426</v>
      </c>
      <c r="U2461" t="s">
        <v>47597</v>
      </c>
      <c r="V2461" t="s">
        <v>59153</v>
      </c>
      <c r="W2461" t="s">
        <v>41335</v>
      </c>
      <c r="X2461" t="s">
        <v>44910</v>
      </c>
    </row>
    <row r="2462" spans="1:24">
      <c r="A2462">
        <f>HYPERLINK("https://www.philgeps.gov.ph/GEPSNONPILOT/Tender/SplashBidNoticeAbstractUI.aspx?menuIndex=3&amp;refID=7077160&amp;Result=3","7077160")</f>
        <v>0</v>
      </c>
      <c r="B2462" t="s">
        <v>387</v>
      </c>
      <c r="C2462" t="s">
        <v>5896</v>
      </c>
      <c r="D2462" t="s">
        <v>18152</v>
      </c>
      <c r="E2462" t="s">
        <v>20446</v>
      </c>
      <c r="F2462" t="s">
        <v>31362</v>
      </c>
      <c r="G2462" t="s">
        <v>31369</v>
      </c>
      <c r="H2462" t="s">
        <v>15799</v>
      </c>
      <c r="I2462" t="s">
        <v>31430</v>
      </c>
      <c r="J2462" t="s">
        <v>33193</v>
      </c>
      <c r="K2462" t="s">
        <v>40665</v>
      </c>
      <c r="M2462" t="s">
        <v>41335</v>
      </c>
      <c r="N2462" t="s">
        <v>44905</v>
      </c>
      <c r="O2462" t="s">
        <v>44906</v>
      </c>
      <c r="P2462">
        <v>0</v>
      </c>
      <c r="Q2462">
        <v>0</v>
      </c>
      <c r="R2462" t="s">
        <v>44908</v>
      </c>
      <c r="S2462" t="s">
        <v>45042</v>
      </c>
      <c r="T2462" t="s">
        <v>46426</v>
      </c>
      <c r="U2462" t="s">
        <v>47597</v>
      </c>
      <c r="V2462" t="s">
        <v>59153</v>
      </c>
      <c r="W2462" t="s">
        <v>41335</v>
      </c>
      <c r="X2462" t="s">
        <v>44910</v>
      </c>
    </row>
    <row r="2463" spans="1:24">
      <c r="A2463">
        <f>HYPERLINK("https://www.philgeps.gov.ph/GEPSNONPILOT/Tender/SplashBidNoticeAbstractUI.aspx?menuIndex=3&amp;refID=7077132&amp;Result=3","7077132")</f>
        <v>0</v>
      </c>
      <c r="B2463" t="s">
        <v>742</v>
      </c>
      <c r="C2463" t="s">
        <v>5463</v>
      </c>
      <c r="D2463" t="s">
        <v>18109</v>
      </c>
      <c r="E2463" t="s">
        <v>20447</v>
      </c>
      <c r="F2463" t="s">
        <v>31362</v>
      </c>
      <c r="G2463" t="s">
        <v>31368</v>
      </c>
      <c r="H2463" t="s">
        <v>15799</v>
      </c>
      <c r="I2463" t="s">
        <v>31404</v>
      </c>
      <c r="J2463" t="s">
        <v>31897</v>
      </c>
      <c r="K2463" t="s">
        <v>40666</v>
      </c>
      <c r="M2463" t="s">
        <v>41709</v>
      </c>
      <c r="N2463" t="s">
        <v>44905</v>
      </c>
      <c r="O2463" t="s">
        <v>44906</v>
      </c>
      <c r="P2463">
        <v>0</v>
      </c>
      <c r="Q2463">
        <v>0</v>
      </c>
      <c r="R2463" t="s">
        <v>44908</v>
      </c>
      <c r="S2463" t="s">
        <v>45042</v>
      </c>
      <c r="T2463" t="s">
        <v>46440</v>
      </c>
      <c r="U2463" t="s">
        <v>48397</v>
      </c>
      <c r="W2463" t="s">
        <v>41709</v>
      </c>
      <c r="X2463" t="s">
        <v>44910</v>
      </c>
    </row>
    <row r="2464" spans="1:24">
      <c r="A2464">
        <f>HYPERLINK("https://www.philgeps.gov.ph/GEPSNONPILOT/Tender/SplashBidNoticeAbstractUI.aspx?menuIndex=3&amp;refID=7077099&amp;Result=3","7077099")</f>
        <v>0</v>
      </c>
      <c r="B2464" t="s">
        <v>321</v>
      </c>
      <c r="C2464" t="s">
        <v>5897</v>
      </c>
      <c r="D2464" t="s">
        <v>18114</v>
      </c>
      <c r="E2464" t="s">
        <v>20448</v>
      </c>
      <c r="F2464" t="s">
        <v>31362</v>
      </c>
      <c r="G2464" t="s">
        <v>31369</v>
      </c>
      <c r="H2464" t="s">
        <v>31379</v>
      </c>
      <c r="I2464" t="s">
        <v>31481</v>
      </c>
      <c r="J2464" t="s">
        <v>33194</v>
      </c>
      <c r="K2464" t="s">
        <v>40665</v>
      </c>
      <c r="M2464" t="s">
        <v>41267</v>
      </c>
      <c r="N2464" t="s">
        <v>44905</v>
      </c>
      <c r="O2464" t="s">
        <v>44906</v>
      </c>
      <c r="P2464">
        <v>0</v>
      </c>
      <c r="Q2464">
        <v>2</v>
      </c>
      <c r="R2464" t="s">
        <v>44908</v>
      </c>
      <c r="S2464" t="s">
        <v>45042</v>
      </c>
      <c r="T2464" t="s">
        <v>46401</v>
      </c>
      <c r="U2464" t="s">
        <v>47466</v>
      </c>
      <c r="V2464" t="s">
        <v>59161</v>
      </c>
      <c r="W2464" t="s">
        <v>41267</v>
      </c>
      <c r="X2464" t="s">
        <v>44910</v>
      </c>
    </row>
    <row r="2465" spans="1:24">
      <c r="A2465">
        <f>HYPERLINK("https://www.philgeps.gov.ph/GEPSNONPILOT/Tender/SplashBidNoticeAbstractUI.aspx?menuIndex=3&amp;refID=7077058&amp;Result=3","7077058")</f>
        <v>0</v>
      </c>
      <c r="B2465" t="s">
        <v>950</v>
      </c>
      <c r="C2465" t="s">
        <v>5898</v>
      </c>
      <c r="E2465" t="s">
        <v>20449</v>
      </c>
      <c r="F2465" t="s">
        <v>31362</v>
      </c>
      <c r="G2465" t="s">
        <v>31370</v>
      </c>
      <c r="H2465" t="s">
        <v>15799</v>
      </c>
      <c r="I2465" t="s">
        <v>7188</v>
      </c>
      <c r="J2465" t="s">
        <v>33195</v>
      </c>
      <c r="K2465" t="s">
        <v>40681</v>
      </c>
      <c r="M2465" t="s">
        <v>41938</v>
      </c>
      <c r="N2465" t="s">
        <v>44905</v>
      </c>
      <c r="O2465" t="s">
        <v>44906</v>
      </c>
      <c r="P2465">
        <v>0</v>
      </c>
      <c r="Q2465">
        <v>6</v>
      </c>
      <c r="R2465" t="s">
        <v>44908</v>
      </c>
      <c r="S2465" t="s">
        <v>45042</v>
      </c>
      <c r="T2465" t="s">
        <v>46454</v>
      </c>
      <c r="U2465" t="s">
        <v>48962</v>
      </c>
      <c r="W2465" t="s">
        <v>41938</v>
      </c>
      <c r="X2465" t="s">
        <v>44910</v>
      </c>
    </row>
    <row r="2466" spans="1:24">
      <c r="A2466">
        <f>HYPERLINK("https://www.philgeps.gov.ph/GEPSNONPILOT/Tender/SplashBidNoticeAbstractUI.aspx?menuIndex=3&amp;refID=7076960&amp;Result=3","7076960")</f>
        <v>0</v>
      </c>
      <c r="B2466" t="s">
        <v>951</v>
      </c>
      <c r="C2466" t="s">
        <v>5899</v>
      </c>
      <c r="D2466" t="s">
        <v>18149</v>
      </c>
      <c r="E2466" t="s">
        <v>20450</v>
      </c>
      <c r="F2466" t="s">
        <v>31362</v>
      </c>
      <c r="G2466" t="s">
        <v>31372</v>
      </c>
      <c r="H2466" t="s">
        <v>15799</v>
      </c>
      <c r="I2466" t="s">
        <v>4942</v>
      </c>
      <c r="J2466" t="s">
        <v>32837</v>
      </c>
      <c r="K2466" t="s">
        <v>40661</v>
      </c>
      <c r="M2466" t="s">
        <v>41939</v>
      </c>
      <c r="N2466" t="s">
        <v>44905</v>
      </c>
      <c r="O2466" t="s">
        <v>44906</v>
      </c>
      <c r="P2466">
        <v>0</v>
      </c>
      <c r="Q2466">
        <v>0</v>
      </c>
      <c r="R2466" t="s">
        <v>44908</v>
      </c>
      <c r="S2466" t="s">
        <v>45042</v>
      </c>
      <c r="T2466" t="s">
        <v>46409</v>
      </c>
      <c r="U2466" t="s">
        <v>48963</v>
      </c>
      <c r="W2466" t="s">
        <v>41939</v>
      </c>
      <c r="X2466" t="s">
        <v>44910</v>
      </c>
    </row>
    <row r="2467" spans="1:24">
      <c r="A2467">
        <f>HYPERLINK("https://www.philgeps.gov.ph/GEPSNONPILOT/Tender/SplashBidNoticeAbstractUI.aspx?menuIndex=3&amp;refID=7076944&amp;Result=3","7076944")</f>
        <v>0</v>
      </c>
      <c r="B2467" t="s">
        <v>241</v>
      </c>
      <c r="C2467" t="s">
        <v>5900</v>
      </c>
      <c r="D2467" t="s">
        <v>18143</v>
      </c>
      <c r="E2467" t="s">
        <v>20451</v>
      </c>
      <c r="F2467" t="s">
        <v>31362</v>
      </c>
      <c r="G2467" t="s">
        <v>31369</v>
      </c>
      <c r="H2467" t="s">
        <v>15799</v>
      </c>
      <c r="I2467" t="s">
        <v>3815</v>
      </c>
      <c r="J2467" t="s">
        <v>33196</v>
      </c>
      <c r="K2467" t="s">
        <v>40665</v>
      </c>
      <c r="M2467" t="s">
        <v>41180</v>
      </c>
      <c r="N2467" t="s">
        <v>44905</v>
      </c>
      <c r="O2467" t="s">
        <v>44906</v>
      </c>
      <c r="P2467">
        <v>0</v>
      </c>
      <c r="Q2467">
        <v>0</v>
      </c>
      <c r="R2467" t="s">
        <v>44908</v>
      </c>
      <c r="S2467" t="s">
        <v>45042</v>
      </c>
      <c r="T2467" t="s">
        <v>46472</v>
      </c>
      <c r="U2467" t="s">
        <v>48964</v>
      </c>
      <c r="V2467" t="s">
        <v>59310</v>
      </c>
      <c r="W2467" t="s">
        <v>41180</v>
      </c>
      <c r="X2467" t="s">
        <v>44910</v>
      </c>
    </row>
    <row r="2468" spans="1:24">
      <c r="A2468">
        <f>HYPERLINK("https://www.philgeps.gov.ph/GEPSNONPILOT/Tender/SplashBidNoticeAbstractUI.aspx?menuIndex=3&amp;refID=7076923&amp;Result=3","7076923")</f>
        <v>0</v>
      </c>
      <c r="B2468" t="s">
        <v>952</v>
      </c>
      <c r="C2468" t="s">
        <v>5901</v>
      </c>
      <c r="D2468" t="s">
        <v>18100</v>
      </c>
      <c r="E2468" t="s">
        <v>20452</v>
      </c>
      <c r="F2468" t="s">
        <v>31362</v>
      </c>
      <c r="G2468" t="s">
        <v>31369</v>
      </c>
      <c r="H2468" t="s">
        <v>15799</v>
      </c>
      <c r="I2468" t="s">
        <v>31393</v>
      </c>
      <c r="J2468" t="s">
        <v>33197</v>
      </c>
      <c r="K2468" t="s">
        <v>40662</v>
      </c>
      <c r="M2468" t="s">
        <v>41940</v>
      </c>
      <c r="N2468" t="s">
        <v>44905</v>
      </c>
      <c r="O2468" t="s">
        <v>44906</v>
      </c>
      <c r="P2468">
        <v>0</v>
      </c>
      <c r="Q2468">
        <v>3</v>
      </c>
      <c r="R2468" t="s">
        <v>44908</v>
      </c>
      <c r="S2468" t="s">
        <v>45042</v>
      </c>
      <c r="T2468" t="s">
        <v>46620</v>
      </c>
      <c r="U2468" t="s">
        <v>48965</v>
      </c>
      <c r="V2468" t="s">
        <v>59311</v>
      </c>
      <c r="W2468" t="s">
        <v>41940</v>
      </c>
      <c r="X2468" t="s">
        <v>44910</v>
      </c>
    </row>
    <row r="2469" spans="1:24">
      <c r="A2469">
        <f>HYPERLINK("https://www.philgeps.gov.ph/GEPSNONPILOT/Tender/SplashBidNoticeAbstractUI.aspx?menuIndex=3&amp;refID=7077167&amp;Result=3","7077167")</f>
        <v>0</v>
      </c>
      <c r="B2469" t="s">
        <v>742</v>
      </c>
      <c r="C2469" t="s">
        <v>5902</v>
      </c>
      <c r="D2469" t="s">
        <v>18109</v>
      </c>
      <c r="E2469" t="s">
        <v>20453</v>
      </c>
      <c r="F2469" t="s">
        <v>31362</v>
      </c>
      <c r="G2469" t="s">
        <v>31368</v>
      </c>
      <c r="H2469" t="s">
        <v>15799</v>
      </c>
      <c r="I2469" t="s">
        <v>6373</v>
      </c>
      <c r="J2469" t="s">
        <v>33198</v>
      </c>
      <c r="K2469" t="s">
        <v>40666</v>
      </c>
      <c r="M2469" t="s">
        <v>41709</v>
      </c>
      <c r="N2469" t="s">
        <v>44905</v>
      </c>
      <c r="O2469" t="s">
        <v>44906</v>
      </c>
      <c r="P2469">
        <v>0</v>
      </c>
      <c r="Q2469">
        <v>0</v>
      </c>
      <c r="R2469" t="s">
        <v>44908</v>
      </c>
      <c r="S2469" t="s">
        <v>45042</v>
      </c>
      <c r="T2469" t="s">
        <v>46440</v>
      </c>
      <c r="U2469" t="s">
        <v>48397</v>
      </c>
      <c r="W2469" t="s">
        <v>41709</v>
      </c>
      <c r="X2469" t="s">
        <v>44910</v>
      </c>
    </row>
    <row r="2470" spans="1:24">
      <c r="A2470">
        <f>HYPERLINK("https://www.philgeps.gov.ph/GEPSNONPILOT/Tender/SplashBidNoticeAbstractUI.aspx?menuIndex=3&amp;refID=7077211&amp;Result=3","7077211")</f>
        <v>0</v>
      </c>
      <c r="B2470" t="s">
        <v>742</v>
      </c>
      <c r="C2470" t="s">
        <v>5903</v>
      </c>
      <c r="D2470" t="s">
        <v>18109</v>
      </c>
      <c r="E2470" t="s">
        <v>20454</v>
      </c>
      <c r="F2470" t="s">
        <v>31362</v>
      </c>
      <c r="G2470" t="s">
        <v>31368</v>
      </c>
      <c r="H2470" t="s">
        <v>15799</v>
      </c>
      <c r="I2470" t="s">
        <v>31421</v>
      </c>
      <c r="J2470" t="s">
        <v>33199</v>
      </c>
      <c r="K2470" t="s">
        <v>40666</v>
      </c>
      <c r="M2470" t="s">
        <v>41709</v>
      </c>
      <c r="N2470" t="s">
        <v>44905</v>
      </c>
      <c r="O2470" t="s">
        <v>44906</v>
      </c>
      <c r="P2470">
        <v>0</v>
      </c>
      <c r="Q2470">
        <v>3</v>
      </c>
      <c r="R2470" t="s">
        <v>44908</v>
      </c>
      <c r="S2470" t="s">
        <v>45042</v>
      </c>
      <c r="T2470" t="s">
        <v>46440</v>
      </c>
      <c r="U2470" t="s">
        <v>48397</v>
      </c>
      <c r="W2470" t="s">
        <v>41709</v>
      </c>
      <c r="X2470" t="s">
        <v>44910</v>
      </c>
    </row>
    <row r="2471" spans="1:24">
      <c r="A2471">
        <f>HYPERLINK("https://www.philgeps.gov.ph/GEPSNONPILOT/Tender/SplashBidNoticeAbstractUI.aspx?menuIndex=3&amp;refID=7077181&amp;Result=3","7077181")</f>
        <v>0</v>
      </c>
      <c r="B2471" t="s">
        <v>387</v>
      </c>
      <c r="C2471" t="s">
        <v>5904</v>
      </c>
      <c r="D2471" t="s">
        <v>18152</v>
      </c>
      <c r="E2471" t="s">
        <v>20455</v>
      </c>
      <c r="F2471" t="s">
        <v>31362</v>
      </c>
      <c r="G2471" t="s">
        <v>31369</v>
      </c>
      <c r="H2471" t="s">
        <v>15799</v>
      </c>
      <c r="I2471" t="s">
        <v>31430</v>
      </c>
      <c r="J2471" t="s">
        <v>33200</v>
      </c>
      <c r="K2471" t="s">
        <v>40665</v>
      </c>
      <c r="M2471" t="s">
        <v>41335</v>
      </c>
      <c r="N2471" t="s">
        <v>44905</v>
      </c>
      <c r="O2471" t="s">
        <v>44906</v>
      </c>
      <c r="P2471">
        <v>0</v>
      </c>
      <c r="Q2471">
        <v>0</v>
      </c>
      <c r="R2471" t="s">
        <v>44908</v>
      </c>
      <c r="S2471" t="s">
        <v>45042</v>
      </c>
      <c r="T2471" t="s">
        <v>46426</v>
      </c>
      <c r="U2471" t="s">
        <v>47597</v>
      </c>
      <c r="V2471" t="s">
        <v>59153</v>
      </c>
      <c r="W2471" t="s">
        <v>41335</v>
      </c>
      <c r="X2471" t="s">
        <v>44910</v>
      </c>
    </row>
    <row r="2472" spans="1:24">
      <c r="A2472">
        <f>HYPERLINK("https://www.philgeps.gov.ph/GEPSNONPILOT/Tender/SplashBidNoticeAbstractUI.aspx?menuIndex=3&amp;refID=7077170&amp;Result=3","7077170")</f>
        <v>0</v>
      </c>
      <c r="B2472" t="s">
        <v>387</v>
      </c>
      <c r="C2472" t="s">
        <v>5905</v>
      </c>
      <c r="D2472" t="s">
        <v>18152</v>
      </c>
      <c r="E2472" t="s">
        <v>20456</v>
      </c>
      <c r="F2472" t="s">
        <v>31362</v>
      </c>
      <c r="G2472" t="s">
        <v>31369</v>
      </c>
      <c r="H2472" t="s">
        <v>15799</v>
      </c>
      <c r="I2472" t="s">
        <v>31430</v>
      </c>
      <c r="J2472" t="s">
        <v>33201</v>
      </c>
      <c r="K2472" t="s">
        <v>40665</v>
      </c>
      <c r="M2472" t="s">
        <v>41335</v>
      </c>
      <c r="N2472" t="s">
        <v>44905</v>
      </c>
      <c r="O2472" t="s">
        <v>44906</v>
      </c>
      <c r="P2472">
        <v>0</v>
      </c>
      <c r="Q2472">
        <v>0</v>
      </c>
      <c r="R2472" t="s">
        <v>44908</v>
      </c>
      <c r="S2472" t="s">
        <v>45042</v>
      </c>
      <c r="T2472" t="s">
        <v>46426</v>
      </c>
      <c r="U2472" t="s">
        <v>47597</v>
      </c>
      <c r="V2472" t="s">
        <v>59153</v>
      </c>
      <c r="W2472" t="s">
        <v>41335</v>
      </c>
      <c r="X2472" t="s">
        <v>44910</v>
      </c>
    </row>
    <row r="2473" spans="1:24">
      <c r="A2473">
        <f>HYPERLINK("https://www.philgeps.gov.ph/GEPSNONPILOT/Tender/SplashBidNoticeAbstractUI.aspx?menuIndex=3&amp;refID=7077115&amp;Result=3","7077115")</f>
        <v>0</v>
      </c>
      <c r="B2473" t="s">
        <v>192</v>
      </c>
      <c r="C2473" t="s">
        <v>5906</v>
      </c>
      <c r="D2473" t="s">
        <v>18122</v>
      </c>
      <c r="E2473" t="s">
        <v>20457</v>
      </c>
      <c r="F2473" t="s">
        <v>31362</v>
      </c>
      <c r="G2473" t="s">
        <v>31370</v>
      </c>
      <c r="H2473" t="s">
        <v>15799</v>
      </c>
      <c r="I2473" t="s">
        <v>31384</v>
      </c>
      <c r="J2473" t="s">
        <v>33202</v>
      </c>
      <c r="K2473" t="s">
        <v>40662</v>
      </c>
      <c r="M2473" t="s">
        <v>41130</v>
      </c>
      <c r="N2473" t="s">
        <v>44905</v>
      </c>
      <c r="O2473" t="s">
        <v>44906</v>
      </c>
      <c r="P2473">
        <v>0</v>
      </c>
      <c r="Q2473">
        <v>6</v>
      </c>
      <c r="R2473" t="s">
        <v>44908</v>
      </c>
      <c r="S2473" t="s">
        <v>45042</v>
      </c>
      <c r="T2473" t="s">
        <v>46438</v>
      </c>
      <c r="U2473" t="s">
        <v>48966</v>
      </c>
      <c r="V2473" t="s">
        <v>59096</v>
      </c>
      <c r="W2473" t="s">
        <v>41130</v>
      </c>
      <c r="X2473" t="s">
        <v>44910</v>
      </c>
    </row>
    <row r="2474" spans="1:24">
      <c r="A2474">
        <f>HYPERLINK("https://www.philgeps.gov.ph/GEPSNONPILOT/Tender/SplashBidNoticeAbstractUI.aspx?menuIndex=3&amp;refID=7076935&amp;Result=3","7076935")</f>
        <v>0</v>
      </c>
      <c r="B2474" t="s">
        <v>952</v>
      </c>
      <c r="C2474" t="s">
        <v>5907</v>
      </c>
      <c r="D2474" t="s">
        <v>18100</v>
      </c>
      <c r="E2474" t="s">
        <v>20458</v>
      </c>
      <c r="F2474" t="s">
        <v>31362</v>
      </c>
      <c r="G2474" t="s">
        <v>31369</v>
      </c>
      <c r="H2474" t="s">
        <v>15799</v>
      </c>
      <c r="I2474" t="s">
        <v>31409</v>
      </c>
      <c r="J2474" t="s">
        <v>33197</v>
      </c>
      <c r="K2474" t="s">
        <v>40662</v>
      </c>
      <c r="M2474" t="s">
        <v>41940</v>
      </c>
      <c r="N2474" t="s">
        <v>44905</v>
      </c>
      <c r="O2474" t="s">
        <v>44906</v>
      </c>
      <c r="P2474">
        <v>0</v>
      </c>
      <c r="Q2474">
        <v>3</v>
      </c>
      <c r="R2474" t="s">
        <v>44908</v>
      </c>
      <c r="S2474" t="s">
        <v>45042</v>
      </c>
      <c r="T2474" t="s">
        <v>46620</v>
      </c>
      <c r="U2474" t="s">
        <v>48967</v>
      </c>
      <c r="V2474" t="s">
        <v>59311</v>
      </c>
      <c r="W2474" t="s">
        <v>41940</v>
      </c>
      <c r="X2474" t="s">
        <v>44910</v>
      </c>
    </row>
    <row r="2475" spans="1:24">
      <c r="A2475">
        <f>HYPERLINK("https://www.philgeps.gov.ph/GEPSNONPILOT/Tender/SplashBidNoticeAbstractUI.aspx?menuIndex=3&amp;refID=7077184&amp;Result=3","7077184")</f>
        <v>0</v>
      </c>
      <c r="B2475" t="s">
        <v>742</v>
      </c>
      <c r="C2475" t="s">
        <v>5908</v>
      </c>
      <c r="D2475" t="s">
        <v>18109</v>
      </c>
      <c r="E2475" t="s">
        <v>20459</v>
      </c>
      <c r="F2475" t="s">
        <v>31362</v>
      </c>
      <c r="G2475" t="s">
        <v>31368</v>
      </c>
      <c r="H2475" t="s">
        <v>15799</v>
      </c>
      <c r="I2475" t="s">
        <v>31424</v>
      </c>
      <c r="J2475" t="s">
        <v>32241</v>
      </c>
      <c r="K2475" t="s">
        <v>40666</v>
      </c>
      <c r="M2475" t="s">
        <v>41709</v>
      </c>
      <c r="N2475" t="s">
        <v>44905</v>
      </c>
      <c r="O2475" t="s">
        <v>44906</v>
      </c>
      <c r="P2475">
        <v>0</v>
      </c>
      <c r="Q2475">
        <v>0</v>
      </c>
      <c r="R2475" t="s">
        <v>44908</v>
      </c>
      <c r="S2475" t="s">
        <v>45042</v>
      </c>
      <c r="T2475" t="s">
        <v>46440</v>
      </c>
      <c r="U2475" t="s">
        <v>48397</v>
      </c>
      <c r="W2475" t="s">
        <v>41709</v>
      </c>
      <c r="X2475" t="s">
        <v>44910</v>
      </c>
    </row>
    <row r="2476" spans="1:24">
      <c r="A2476">
        <f>HYPERLINK("https://www.philgeps.gov.ph/GEPSNONPILOT/Tender/SplashBidNoticeAbstractUI.aspx?menuIndex=3&amp;refID=7077179&amp;Result=3","7077179")</f>
        <v>0</v>
      </c>
      <c r="B2476" t="s">
        <v>953</v>
      </c>
      <c r="C2476" t="s">
        <v>5909</v>
      </c>
      <c r="D2476" t="s">
        <v>18110</v>
      </c>
      <c r="E2476" t="s">
        <v>20460</v>
      </c>
      <c r="F2476" t="s">
        <v>31362</v>
      </c>
      <c r="G2476" t="s">
        <v>31369</v>
      </c>
      <c r="H2476" t="s">
        <v>15799</v>
      </c>
      <c r="I2476" t="s">
        <v>31409</v>
      </c>
      <c r="J2476" t="s">
        <v>33203</v>
      </c>
      <c r="K2476" t="s">
        <v>40682</v>
      </c>
      <c r="M2476" t="s">
        <v>41941</v>
      </c>
      <c r="N2476" t="s">
        <v>44905</v>
      </c>
      <c r="O2476" t="s">
        <v>44906</v>
      </c>
      <c r="P2476">
        <v>0</v>
      </c>
      <c r="Q2476">
        <v>4</v>
      </c>
      <c r="R2476" t="s">
        <v>44908</v>
      </c>
      <c r="S2476" t="s">
        <v>45042</v>
      </c>
      <c r="T2476" t="s">
        <v>46449</v>
      </c>
      <c r="U2476" t="s">
        <v>48968</v>
      </c>
      <c r="W2476" t="s">
        <v>60877</v>
      </c>
      <c r="X2476" t="s">
        <v>44910</v>
      </c>
    </row>
    <row r="2477" spans="1:24">
      <c r="A2477">
        <f>HYPERLINK("https://www.philgeps.gov.ph/GEPSNONPILOT/Tender/SplashBidNoticeAbstractUI.aspx?menuIndex=3&amp;refID=7077346&amp;Result=3","7077346")</f>
        <v>0</v>
      </c>
      <c r="B2477" t="s">
        <v>954</v>
      </c>
      <c r="C2477" t="s">
        <v>5910</v>
      </c>
      <c r="D2477" t="s">
        <v>18136</v>
      </c>
      <c r="E2477" t="s">
        <v>20461</v>
      </c>
      <c r="F2477" t="s">
        <v>31362</v>
      </c>
      <c r="G2477" t="s">
        <v>31368</v>
      </c>
      <c r="H2477" t="s">
        <v>15799</v>
      </c>
      <c r="I2477" t="s">
        <v>31409</v>
      </c>
      <c r="J2477" t="s">
        <v>31536</v>
      </c>
      <c r="K2477" t="s">
        <v>40677</v>
      </c>
      <c r="M2477" t="s">
        <v>41942</v>
      </c>
      <c r="N2477" t="s">
        <v>44905</v>
      </c>
      <c r="O2477" t="s">
        <v>44906</v>
      </c>
      <c r="P2477">
        <v>0</v>
      </c>
      <c r="Q2477">
        <v>1</v>
      </c>
      <c r="R2477" t="s">
        <v>44908</v>
      </c>
      <c r="S2477" t="s">
        <v>45042</v>
      </c>
      <c r="T2477" t="s">
        <v>46497</v>
      </c>
      <c r="U2477" t="s">
        <v>48763</v>
      </c>
      <c r="W2477" t="s">
        <v>41942</v>
      </c>
      <c r="X2477" t="s">
        <v>44910</v>
      </c>
    </row>
    <row r="2478" spans="1:24">
      <c r="A2478">
        <f>HYPERLINK("https://www.philgeps.gov.ph/GEPSNONPILOT/Tender/SplashBidNoticeAbstractUI.aspx?menuIndex=3&amp;refID=7077625&amp;Result=3","7077625")</f>
        <v>0</v>
      </c>
      <c r="B2478" t="s">
        <v>955</v>
      </c>
      <c r="C2478" t="s">
        <v>5911</v>
      </c>
      <c r="D2478" t="s">
        <v>18144</v>
      </c>
      <c r="E2478" t="s">
        <v>20462</v>
      </c>
      <c r="F2478" t="s">
        <v>31362</v>
      </c>
      <c r="G2478" t="s">
        <v>31368</v>
      </c>
      <c r="H2478" t="s">
        <v>15799</v>
      </c>
      <c r="I2478" t="s">
        <v>31386</v>
      </c>
      <c r="J2478" t="s">
        <v>33204</v>
      </c>
      <c r="K2478" t="s">
        <v>40675</v>
      </c>
      <c r="M2478" t="s">
        <v>41943</v>
      </c>
      <c r="N2478" t="s">
        <v>44905</v>
      </c>
      <c r="O2478" t="s">
        <v>44906</v>
      </c>
      <c r="P2478">
        <v>0</v>
      </c>
      <c r="Q2478">
        <v>1</v>
      </c>
      <c r="R2478" t="s">
        <v>44908</v>
      </c>
      <c r="S2478" t="s">
        <v>45042</v>
      </c>
      <c r="T2478" t="s">
        <v>46393</v>
      </c>
      <c r="U2478" t="s">
        <v>48969</v>
      </c>
      <c r="W2478" t="s">
        <v>41943</v>
      </c>
      <c r="X2478" t="s">
        <v>44910</v>
      </c>
    </row>
    <row r="2479" spans="1:24">
      <c r="A2479">
        <f>HYPERLINK("https://www.philgeps.gov.ph/GEPSNONPILOT/Tender/SplashBidNoticeAbstractUI.aspx?menuIndex=3&amp;refID=7077497&amp;Result=3","7077497")</f>
        <v>0</v>
      </c>
      <c r="B2479" t="s">
        <v>956</v>
      </c>
      <c r="C2479" t="s">
        <v>5912</v>
      </c>
      <c r="D2479" t="s">
        <v>18134</v>
      </c>
      <c r="E2479" t="s">
        <v>20463</v>
      </c>
      <c r="F2479" t="s">
        <v>31362</v>
      </c>
      <c r="G2479" t="s">
        <v>31368</v>
      </c>
      <c r="H2479" t="s">
        <v>15799</v>
      </c>
      <c r="I2479" t="s">
        <v>31395</v>
      </c>
      <c r="J2479" t="s">
        <v>33205</v>
      </c>
      <c r="K2479" t="s">
        <v>40665</v>
      </c>
      <c r="M2479" t="s">
        <v>41944</v>
      </c>
      <c r="N2479" t="s">
        <v>44905</v>
      </c>
      <c r="O2479" t="s">
        <v>44906</v>
      </c>
      <c r="P2479">
        <v>0</v>
      </c>
      <c r="Q2479">
        <v>2</v>
      </c>
      <c r="R2479" t="s">
        <v>44908</v>
      </c>
      <c r="S2479" t="s">
        <v>45042</v>
      </c>
      <c r="T2479" t="s">
        <v>46478</v>
      </c>
      <c r="U2479" t="s">
        <v>48970</v>
      </c>
      <c r="W2479" t="s">
        <v>41944</v>
      </c>
      <c r="X2479" t="s">
        <v>44910</v>
      </c>
    </row>
    <row r="2480" spans="1:24">
      <c r="A2480">
        <f>HYPERLINK("https://www.philgeps.gov.ph/GEPSNONPILOT/Tender/SplashBidNoticeAbstractUI.aspx?menuIndex=3&amp;refID=7077212&amp;Result=3","7077212")</f>
        <v>0</v>
      </c>
      <c r="B2480" t="s">
        <v>953</v>
      </c>
      <c r="C2480" t="s">
        <v>5913</v>
      </c>
      <c r="D2480" t="s">
        <v>18110</v>
      </c>
      <c r="E2480" t="s">
        <v>20464</v>
      </c>
      <c r="F2480" t="s">
        <v>31362</v>
      </c>
      <c r="G2480" t="s">
        <v>31369</v>
      </c>
      <c r="H2480" t="s">
        <v>15799</v>
      </c>
      <c r="I2480" t="s">
        <v>31409</v>
      </c>
      <c r="J2480" t="s">
        <v>33206</v>
      </c>
      <c r="K2480" t="s">
        <v>40682</v>
      </c>
      <c r="M2480" t="s">
        <v>41941</v>
      </c>
      <c r="N2480" t="s">
        <v>44905</v>
      </c>
      <c r="O2480" t="s">
        <v>44906</v>
      </c>
      <c r="P2480">
        <v>0</v>
      </c>
      <c r="Q2480">
        <v>2</v>
      </c>
      <c r="R2480" t="s">
        <v>44908</v>
      </c>
      <c r="S2480" t="s">
        <v>45042</v>
      </c>
      <c r="T2480" t="s">
        <v>46449</v>
      </c>
      <c r="U2480" t="s">
        <v>48971</v>
      </c>
      <c r="W2480" t="s">
        <v>60877</v>
      </c>
      <c r="X2480" t="s">
        <v>44910</v>
      </c>
    </row>
    <row r="2481" spans="1:24">
      <c r="A2481">
        <f>HYPERLINK("https://www.philgeps.gov.ph/GEPSNONPILOT/Tender/SplashBidNoticeAbstractUI.aspx?menuIndex=3&amp;refID=7077090&amp;Result=3","7077090")</f>
        <v>0</v>
      </c>
      <c r="B2481" t="s">
        <v>957</v>
      </c>
      <c r="C2481" t="s">
        <v>5914</v>
      </c>
      <c r="D2481" t="s">
        <v>18134</v>
      </c>
      <c r="E2481" t="s">
        <v>20465</v>
      </c>
      <c r="F2481" t="s">
        <v>31362</v>
      </c>
      <c r="G2481" t="s">
        <v>31372</v>
      </c>
      <c r="H2481" t="s">
        <v>15799</v>
      </c>
      <c r="I2481" t="s">
        <v>3815</v>
      </c>
      <c r="J2481" t="s">
        <v>33207</v>
      </c>
      <c r="K2481" t="s">
        <v>40672</v>
      </c>
      <c r="M2481" t="s">
        <v>41945</v>
      </c>
      <c r="N2481" t="s">
        <v>44905</v>
      </c>
      <c r="O2481" t="s">
        <v>44906</v>
      </c>
      <c r="P2481">
        <v>0</v>
      </c>
      <c r="Q2481">
        <v>0</v>
      </c>
      <c r="R2481" t="s">
        <v>44908</v>
      </c>
      <c r="S2481" t="s">
        <v>45042</v>
      </c>
      <c r="T2481" t="s">
        <v>46432</v>
      </c>
      <c r="U2481" t="s">
        <v>48972</v>
      </c>
      <c r="W2481" t="s">
        <v>41945</v>
      </c>
      <c r="X2481" t="s">
        <v>44910</v>
      </c>
    </row>
    <row r="2482" spans="1:24">
      <c r="A2482">
        <f>HYPERLINK("https://www.philgeps.gov.ph/GEPSNONPILOT/Tender/SplashBidNoticeAbstractUI.aspx?menuIndex=3&amp;refID=7077732&amp;Result=3","7077732")</f>
        <v>0</v>
      </c>
      <c r="B2482" t="s">
        <v>958</v>
      </c>
      <c r="C2482" t="s">
        <v>5915</v>
      </c>
      <c r="D2482" t="s">
        <v>18141</v>
      </c>
      <c r="E2482" t="s">
        <v>20466</v>
      </c>
      <c r="F2482" t="s">
        <v>31362</v>
      </c>
      <c r="G2482" t="s">
        <v>31370</v>
      </c>
      <c r="H2482" t="s">
        <v>15799</v>
      </c>
      <c r="I2482" t="s">
        <v>4283</v>
      </c>
      <c r="J2482" t="s">
        <v>33208</v>
      </c>
      <c r="K2482" t="s">
        <v>40665</v>
      </c>
      <c r="M2482" t="s">
        <v>41946</v>
      </c>
      <c r="N2482" t="s">
        <v>44905</v>
      </c>
      <c r="O2482" t="s">
        <v>44906</v>
      </c>
      <c r="P2482">
        <v>0</v>
      </c>
      <c r="Q2482">
        <v>4</v>
      </c>
      <c r="R2482" t="s">
        <v>44908</v>
      </c>
      <c r="S2482" t="s">
        <v>45042</v>
      </c>
      <c r="T2482" t="s">
        <v>46432</v>
      </c>
      <c r="U2482" t="s">
        <v>48973</v>
      </c>
      <c r="W2482" t="s">
        <v>41946</v>
      </c>
      <c r="X2482" t="s">
        <v>44910</v>
      </c>
    </row>
    <row r="2483" spans="1:24">
      <c r="A2483">
        <f>HYPERLINK("https://www.philgeps.gov.ph/GEPSNONPILOT/Tender/SplashBidNoticeAbstractUI.aspx?menuIndex=3&amp;refID=7077696&amp;Result=3","7077696")</f>
        <v>0</v>
      </c>
      <c r="B2483" t="s">
        <v>72</v>
      </c>
      <c r="C2483" t="s">
        <v>5916</v>
      </c>
      <c r="D2483" t="s">
        <v>18130</v>
      </c>
      <c r="E2483" t="s">
        <v>20467</v>
      </c>
      <c r="F2483" t="s">
        <v>31362</v>
      </c>
      <c r="G2483" t="s">
        <v>31368</v>
      </c>
      <c r="H2483" t="s">
        <v>15799</v>
      </c>
      <c r="I2483" t="s">
        <v>7719</v>
      </c>
      <c r="J2483" t="s">
        <v>33209</v>
      </c>
      <c r="K2483" t="s">
        <v>40670</v>
      </c>
      <c r="M2483" t="s">
        <v>41008</v>
      </c>
      <c r="N2483" t="s">
        <v>44905</v>
      </c>
      <c r="O2483" t="s">
        <v>44906</v>
      </c>
      <c r="P2483">
        <v>0</v>
      </c>
      <c r="Q2483">
        <v>5</v>
      </c>
      <c r="R2483" t="s">
        <v>44908</v>
      </c>
      <c r="S2483" t="s">
        <v>45042</v>
      </c>
      <c r="T2483" t="s">
        <v>46428</v>
      </c>
      <c r="U2483" t="s">
        <v>48974</v>
      </c>
      <c r="W2483" t="s">
        <v>41008</v>
      </c>
      <c r="X2483" t="s">
        <v>44910</v>
      </c>
    </row>
    <row r="2484" spans="1:24">
      <c r="A2484">
        <f>HYPERLINK("https://www.philgeps.gov.ph/GEPSNONPILOT/Tender/SplashBidNoticeAbstractUI.aspx?menuIndex=3&amp;refID=7077139&amp;Result=3","7077139")</f>
        <v>0</v>
      </c>
      <c r="B2484" t="s">
        <v>953</v>
      </c>
      <c r="C2484" t="s">
        <v>5917</v>
      </c>
      <c r="D2484" t="s">
        <v>18110</v>
      </c>
      <c r="E2484" t="s">
        <v>20468</v>
      </c>
      <c r="F2484" t="s">
        <v>31362</v>
      </c>
      <c r="G2484" t="s">
        <v>31369</v>
      </c>
      <c r="H2484" t="s">
        <v>15799</v>
      </c>
      <c r="I2484" t="s">
        <v>31400</v>
      </c>
      <c r="J2484" t="s">
        <v>33210</v>
      </c>
      <c r="K2484" t="s">
        <v>40670</v>
      </c>
      <c r="M2484" t="s">
        <v>41941</v>
      </c>
      <c r="N2484" t="s">
        <v>44905</v>
      </c>
      <c r="O2484" t="s">
        <v>44906</v>
      </c>
      <c r="P2484">
        <v>0</v>
      </c>
      <c r="Q2484">
        <v>3</v>
      </c>
      <c r="R2484" t="s">
        <v>44908</v>
      </c>
      <c r="S2484" t="s">
        <v>45042</v>
      </c>
      <c r="T2484" t="s">
        <v>46449</v>
      </c>
      <c r="U2484" t="s">
        <v>48975</v>
      </c>
      <c r="W2484" t="s">
        <v>60877</v>
      </c>
      <c r="X2484" t="s">
        <v>44910</v>
      </c>
    </row>
    <row r="2485" spans="1:24">
      <c r="A2485">
        <f>HYPERLINK("https://www.philgeps.gov.ph/GEPSNONPILOT/Tender/SplashBidNoticeAbstractUI.aspx?menuIndex=3&amp;refID=7076942&amp;Result=3","7076942")</f>
        <v>0</v>
      </c>
      <c r="B2485" t="s">
        <v>959</v>
      </c>
      <c r="C2485" t="s">
        <v>5918</v>
      </c>
      <c r="D2485" t="s">
        <v>18117</v>
      </c>
      <c r="E2485" t="s">
        <v>20469</v>
      </c>
      <c r="F2485" t="s">
        <v>31362</v>
      </c>
      <c r="G2485" t="s">
        <v>31368</v>
      </c>
      <c r="H2485" t="s">
        <v>15799</v>
      </c>
      <c r="I2485" t="s">
        <v>31467</v>
      </c>
      <c r="J2485" t="s">
        <v>33211</v>
      </c>
      <c r="K2485" t="s">
        <v>40661</v>
      </c>
      <c r="M2485" t="s">
        <v>41947</v>
      </c>
      <c r="N2485" t="s">
        <v>44905</v>
      </c>
      <c r="O2485" t="s">
        <v>44906</v>
      </c>
      <c r="P2485">
        <v>0</v>
      </c>
      <c r="Q2485">
        <v>0</v>
      </c>
      <c r="R2485" t="s">
        <v>44908</v>
      </c>
      <c r="S2485" t="s">
        <v>45042</v>
      </c>
      <c r="T2485" t="s">
        <v>46396</v>
      </c>
      <c r="U2485" t="s">
        <v>48976</v>
      </c>
      <c r="W2485" t="s">
        <v>41947</v>
      </c>
      <c r="X2485" t="s">
        <v>44910</v>
      </c>
    </row>
    <row r="2486" spans="1:24">
      <c r="A2486">
        <f>HYPERLINK("https://www.philgeps.gov.ph/GEPSNONPILOT/Tender/SplashBidNoticeAbstractUI.aspx?menuIndex=3&amp;refID=7077462&amp;Result=3","7077462")</f>
        <v>0</v>
      </c>
      <c r="B2486" t="s">
        <v>960</v>
      </c>
      <c r="C2486" t="s">
        <v>5919</v>
      </c>
      <c r="D2486" t="s">
        <v>18123</v>
      </c>
      <c r="E2486" t="s">
        <v>20470</v>
      </c>
      <c r="F2486" t="s">
        <v>31362</v>
      </c>
      <c r="G2486" t="s">
        <v>31368</v>
      </c>
      <c r="H2486" t="s">
        <v>15799</v>
      </c>
      <c r="I2486" t="s">
        <v>31384</v>
      </c>
      <c r="J2486" t="s">
        <v>31536</v>
      </c>
      <c r="K2486" t="s">
        <v>40661</v>
      </c>
      <c r="M2486" t="s">
        <v>41948</v>
      </c>
      <c r="N2486" t="s">
        <v>44905</v>
      </c>
      <c r="O2486" t="s">
        <v>44906</v>
      </c>
      <c r="P2486">
        <v>0</v>
      </c>
      <c r="Q2486">
        <v>1</v>
      </c>
      <c r="R2486" t="s">
        <v>44908</v>
      </c>
      <c r="S2486" t="s">
        <v>45042</v>
      </c>
      <c r="T2486" t="s">
        <v>46412</v>
      </c>
      <c r="U2486" t="s">
        <v>48977</v>
      </c>
      <c r="W2486" t="s">
        <v>41948</v>
      </c>
      <c r="X2486" t="s">
        <v>44910</v>
      </c>
    </row>
    <row r="2487" spans="1:24">
      <c r="A2487">
        <f>HYPERLINK("https://www.philgeps.gov.ph/GEPSNONPILOT/Tender/SplashBidNoticeAbstractUI.aspx?menuIndex=3&amp;refID=7077662&amp;Result=3","7077662")</f>
        <v>0</v>
      </c>
      <c r="B2487" t="s">
        <v>961</v>
      </c>
      <c r="C2487" t="s">
        <v>5920</v>
      </c>
      <c r="D2487" t="s">
        <v>18117</v>
      </c>
      <c r="E2487" t="s">
        <v>20471</v>
      </c>
      <c r="F2487" t="s">
        <v>31362</v>
      </c>
      <c r="G2487" t="s">
        <v>31368</v>
      </c>
      <c r="H2487" t="s">
        <v>15799</v>
      </c>
      <c r="I2487" t="s">
        <v>31456</v>
      </c>
      <c r="J2487" t="s">
        <v>33212</v>
      </c>
      <c r="K2487" t="s">
        <v>40661</v>
      </c>
      <c r="M2487" t="s">
        <v>41949</v>
      </c>
      <c r="N2487" t="s">
        <v>44905</v>
      </c>
      <c r="O2487" t="s">
        <v>44906</v>
      </c>
      <c r="P2487">
        <v>0</v>
      </c>
      <c r="Q2487">
        <v>8</v>
      </c>
      <c r="R2487" t="s">
        <v>44908</v>
      </c>
      <c r="S2487" t="s">
        <v>45042</v>
      </c>
      <c r="T2487" t="s">
        <v>46454</v>
      </c>
      <c r="U2487" t="s">
        <v>48978</v>
      </c>
      <c r="W2487" t="s">
        <v>41949</v>
      </c>
      <c r="X2487" t="s">
        <v>44910</v>
      </c>
    </row>
    <row r="2488" spans="1:24">
      <c r="A2488">
        <f>HYPERLINK("https://www.philgeps.gov.ph/GEPSNONPILOT/Tender/SplashBidNoticeAbstractUI.aspx?menuIndex=3&amp;refID=7077660&amp;Result=3","7077660")</f>
        <v>0</v>
      </c>
      <c r="B2488" t="s">
        <v>962</v>
      </c>
      <c r="C2488" t="s">
        <v>5921</v>
      </c>
      <c r="D2488" t="s">
        <v>18152</v>
      </c>
      <c r="E2488" t="s">
        <v>20472</v>
      </c>
      <c r="F2488" t="s">
        <v>31362</v>
      </c>
      <c r="G2488" t="s">
        <v>31369</v>
      </c>
      <c r="H2488" t="s">
        <v>15799</v>
      </c>
      <c r="I2488" t="s">
        <v>31430</v>
      </c>
      <c r="J2488" t="s">
        <v>33213</v>
      </c>
      <c r="K2488" t="s">
        <v>40665</v>
      </c>
      <c r="M2488" t="s">
        <v>41950</v>
      </c>
      <c r="N2488" t="s">
        <v>44905</v>
      </c>
      <c r="O2488" t="s">
        <v>44906</v>
      </c>
      <c r="P2488">
        <v>0</v>
      </c>
      <c r="Q2488">
        <v>0</v>
      </c>
      <c r="R2488" t="s">
        <v>44908</v>
      </c>
      <c r="S2488" t="s">
        <v>45042</v>
      </c>
      <c r="T2488" t="s">
        <v>46483</v>
      </c>
      <c r="U2488" t="s">
        <v>48979</v>
      </c>
      <c r="W2488" t="s">
        <v>41950</v>
      </c>
      <c r="X2488" t="s">
        <v>44910</v>
      </c>
    </row>
    <row r="2489" spans="1:24">
      <c r="A2489">
        <f>HYPERLINK("https://www.philgeps.gov.ph/GEPSNONPILOT/Tender/SplashBidNoticeAbstractUI.aspx?menuIndex=3&amp;refID=7077641&amp;Result=3","7077641")</f>
        <v>0</v>
      </c>
      <c r="B2489" t="s">
        <v>963</v>
      </c>
      <c r="C2489" t="s">
        <v>5922</v>
      </c>
      <c r="D2489" t="s">
        <v>18131</v>
      </c>
      <c r="E2489" t="s">
        <v>20473</v>
      </c>
      <c r="F2489" t="s">
        <v>31362</v>
      </c>
      <c r="G2489" t="s">
        <v>31368</v>
      </c>
      <c r="H2489" t="s">
        <v>15799</v>
      </c>
      <c r="I2489" t="s">
        <v>6373</v>
      </c>
      <c r="J2489" t="s">
        <v>33214</v>
      </c>
      <c r="K2489" t="s">
        <v>40662</v>
      </c>
      <c r="M2489" t="s">
        <v>41951</v>
      </c>
      <c r="N2489" t="s">
        <v>44905</v>
      </c>
      <c r="O2489" t="s">
        <v>44906</v>
      </c>
      <c r="P2489">
        <v>0</v>
      </c>
      <c r="Q2489">
        <v>3</v>
      </c>
      <c r="R2489" t="s">
        <v>44908</v>
      </c>
      <c r="S2489" t="s">
        <v>45042</v>
      </c>
      <c r="T2489" t="s">
        <v>46393</v>
      </c>
      <c r="U2489" t="s">
        <v>48808</v>
      </c>
      <c r="W2489" t="s">
        <v>41951</v>
      </c>
      <c r="X2489" t="s">
        <v>44910</v>
      </c>
    </row>
    <row r="2490" spans="1:24">
      <c r="A2490">
        <f>HYPERLINK("https://www.philgeps.gov.ph/GEPSNONPILOT/Tender/SplashBidNoticeAbstractUI.aspx?menuIndex=3&amp;refID=7077677&amp;Result=3","7077677")</f>
        <v>0</v>
      </c>
      <c r="B2490" t="s">
        <v>964</v>
      </c>
      <c r="C2490" t="s">
        <v>5923</v>
      </c>
      <c r="D2490" t="s">
        <v>18170</v>
      </c>
      <c r="E2490" t="s">
        <v>20474</v>
      </c>
      <c r="F2490" t="s">
        <v>31362</v>
      </c>
      <c r="G2490" t="s">
        <v>31372</v>
      </c>
      <c r="H2490" t="s">
        <v>31377</v>
      </c>
      <c r="I2490" t="s">
        <v>31412</v>
      </c>
      <c r="J2490" t="s">
        <v>32589</v>
      </c>
      <c r="K2490" t="s">
        <v>40662</v>
      </c>
      <c r="M2490" t="s">
        <v>41952</v>
      </c>
      <c r="N2490" t="s">
        <v>44905</v>
      </c>
      <c r="O2490" t="s">
        <v>44906</v>
      </c>
      <c r="P2490">
        <v>0</v>
      </c>
      <c r="Q2490">
        <v>1</v>
      </c>
      <c r="R2490" t="s">
        <v>44908</v>
      </c>
      <c r="S2490" t="s">
        <v>45042</v>
      </c>
      <c r="T2490" t="s">
        <v>46403</v>
      </c>
      <c r="U2490" t="s">
        <v>48980</v>
      </c>
      <c r="W2490" t="s">
        <v>41952</v>
      </c>
      <c r="X2490" t="s">
        <v>44910</v>
      </c>
    </row>
    <row r="2491" spans="1:24">
      <c r="A2491">
        <f>HYPERLINK("https://www.philgeps.gov.ph/GEPSNONPILOT/Tender/SplashBidNoticeAbstractUI.aspx?menuIndex=3&amp;refID=7077391&amp;Result=3","7077391")</f>
        <v>0</v>
      </c>
      <c r="B2491" t="s">
        <v>92</v>
      </c>
      <c r="C2491" t="s">
        <v>5924</v>
      </c>
      <c r="D2491" t="s">
        <v>18100</v>
      </c>
      <c r="E2491" t="s">
        <v>20475</v>
      </c>
      <c r="F2491" t="s">
        <v>31362</v>
      </c>
      <c r="G2491" t="s">
        <v>31368</v>
      </c>
      <c r="H2491" t="s">
        <v>15799</v>
      </c>
      <c r="I2491" t="s">
        <v>4057</v>
      </c>
      <c r="J2491" t="s">
        <v>32400</v>
      </c>
      <c r="K2491" t="s">
        <v>40677</v>
      </c>
      <c r="M2491" t="s">
        <v>41029</v>
      </c>
      <c r="N2491" t="s">
        <v>44905</v>
      </c>
      <c r="O2491" t="s">
        <v>44906</v>
      </c>
      <c r="P2491">
        <v>0</v>
      </c>
      <c r="Q2491">
        <v>0</v>
      </c>
      <c r="R2491" t="s">
        <v>44908</v>
      </c>
      <c r="S2491" t="s">
        <v>45042</v>
      </c>
      <c r="T2491" t="s">
        <v>46440</v>
      </c>
      <c r="U2491" t="s">
        <v>47062</v>
      </c>
      <c r="W2491" t="s">
        <v>60834</v>
      </c>
      <c r="X2491" t="s">
        <v>44910</v>
      </c>
    </row>
    <row r="2492" spans="1:24">
      <c r="A2492">
        <f>HYPERLINK("https://www.philgeps.gov.ph/GEPSNONPILOT/Tender/SplashBidNoticeAbstractUI.aspx?menuIndex=3&amp;refID=7075785&amp;Result=3","7075785")</f>
        <v>0</v>
      </c>
      <c r="B2492" t="s">
        <v>938</v>
      </c>
      <c r="C2492" t="s">
        <v>5925</v>
      </c>
      <c r="E2492" t="s">
        <v>20476</v>
      </c>
      <c r="F2492" t="s">
        <v>31362</v>
      </c>
      <c r="G2492" t="s">
        <v>31369</v>
      </c>
      <c r="H2492" t="s">
        <v>31378</v>
      </c>
      <c r="I2492" t="s">
        <v>31386</v>
      </c>
      <c r="J2492" t="s">
        <v>33215</v>
      </c>
      <c r="K2492" t="s">
        <v>40686</v>
      </c>
      <c r="M2492" t="s">
        <v>41925</v>
      </c>
      <c r="N2492" t="s">
        <v>44905</v>
      </c>
      <c r="O2492" t="s">
        <v>44906</v>
      </c>
      <c r="P2492">
        <v>0</v>
      </c>
      <c r="Q2492">
        <v>2</v>
      </c>
      <c r="R2492" t="s">
        <v>44908</v>
      </c>
      <c r="S2492" t="s">
        <v>45042</v>
      </c>
      <c r="T2492" t="s">
        <v>46554</v>
      </c>
      <c r="U2492" t="s">
        <v>48981</v>
      </c>
      <c r="W2492" t="s">
        <v>41925</v>
      </c>
      <c r="X2492" t="s">
        <v>44911</v>
      </c>
    </row>
    <row r="2493" spans="1:24">
      <c r="A2493">
        <f>HYPERLINK("https://www.philgeps.gov.ph/GEPSNONPILOT/Tender/SplashBidNoticeAbstractUI.aspx?menuIndex=3&amp;refID=7077476&amp;Result=3","7077476")</f>
        <v>0</v>
      </c>
      <c r="B2493" t="s">
        <v>270</v>
      </c>
      <c r="C2493" t="s">
        <v>5926</v>
      </c>
      <c r="D2493" t="s">
        <v>18166</v>
      </c>
      <c r="E2493" t="s">
        <v>20477</v>
      </c>
      <c r="F2493" t="s">
        <v>31362</v>
      </c>
      <c r="G2493" t="s">
        <v>31368</v>
      </c>
      <c r="H2493" t="s">
        <v>15799</v>
      </c>
      <c r="I2493" t="s">
        <v>4942</v>
      </c>
      <c r="J2493" t="s">
        <v>31897</v>
      </c>
      <c r="K2493" t="s">
        <v>40661</v>
      </c>
      <c r="M2493" t="s">
        <v>41953</v>
      </c>
      <c r="N2493" t="s">
        <v>44905</v>
      </c>
      <c r="O2493" t="s">
        <v>44906</v>
      </c>
      <c r="P2493">
        <v>0</v>
      </c>
      <c r="Q2493">
        <v>0</v>
      </c>
      <c r="R2493" t="s">
        <v>44908</v>
      </c>
      <c r="S2493" t="s">
        <v>45042</v>
      </c>
      <c r="T2493" t="s">
        <v>46416</v>
      </c>
      <c r="U2493" t="s">
        <v>48982</v>
      </c>
      <c r="W2493" t="s">
        <v>41953</v>
      </c>
      <c r="X2493" t="s">
        <v>44910</v>
      </c>
    </row>
    <row r="2494" spans="1:24">
      <c r="A2494">
        <f>HYPERLINK("https://www.philgeps.gov.ph/GEPSNONPILOT/Tender/SplashBidNoticeAbstractUI.aspx?menuIndex=3&amp;refID=7077787&amp;Result=3","7077787")</f>
        <v>0</v>
      </c>
      <c r="B2494" t="s">
        <v>965</v>
      </c>
      <c r="C2494" t="s">
        <v>5927</v>
      </c>
      <c r="D2494" t="s">
        <v>18106</v>
      </c>
      <c r="E2494" t="s">
        <v>20478</v>
      </c>
      <c r="F2494" t="s">
        <v>31362</v>
      </c>
      <c r="G2494" t="s">
        <v>31369</v>
      </c>
      <c r="H2494" t="s">
        <v>31378</v>
      </c>
      <c r="I2494" t="s">
        <v>31386</v>
      </c>
      <c r="J2494" t="s">
        <v>31536</v>
      </c>
      <c r="K2494" t="s">
        <v>40665</v>
      </c>
      <c r="M2494" t="s">
        <v>41954</v>
      </c>
      <c r="N2494" t="s">
        <v>44905</v>
      </c>
      <c r="O2494" t="s">
        <v>44906</v>
      </c>
      <c r="P2494">
        <v>0</v>
      </c>
      <c r="Q2494">
        <v>1</v>
      </c>
      <c r="R2494" t="s">
        <v>44908</v>
      </c>
      <c r="S2494" t="s">
        <v>45042</v>
      </c>
      <c r="T2494" t="s">
        <v>46621</v>
      </c>
      <c r="U2494" t="s">
        <v>48983</v>
      </c>
      <c r="W2494" t="s">
        <v>41954</v>
      </c>
      <c r="X2494" t="s">
        <v>44910</v>
      </c>
    </row>
    <row r="2495" spans="1:24">
      <c r="A2495">
        <f>HYPERLINK("https://www.philgeps.gov.ph/GEPSNONPILOT/Tender/SplashBidNoticeAbstractUI.aspx?menuIndex=3&amp;refID=7077640&amp;Result=3","7077640")</f>
        <v>0</v>
      </c>
      <c r="B2495" t="s">
        <v>473</v>
      </c>
      <c r="C2495" t="s">
        <v>5928</v>
      </c>
      <c r="D2495" t="s">
        <v>18114</v>
      </c>
      <c r="E2495" t="s">
        <v>20479</v>
      </c>
      <c r="F2495" t="s">
        <v>31362</v>
      </c>
      <c r="G2495" t="s">
        <v>31370</v>
      </c>
      <c r="H2495" t="s">
        <v>15799</v>
      </c>
      <c r="I2495" t="s">
        <v>6373</v>
      </c>
      <c r="J2495" t="s">
        <v>31564</v>
      </c>
      <c r="K2495" t="s">
        <v>40697</v>
      </c>
      <c r="M2495" t="s">
        <v>41955</v>
      </c>
      <c r="N2495" t="s">
        <v>44905</v>
      </c>
      <c r="O2495" t="s">
        <v>44906</v>
      </c>
      <c r="P2495">
        <v>0</v>
      </c>
      <c r="Q2495">
        <v>7</v>
      </c>
      <c r="R2495" t="s">
        <v>44908</v>
      </c>
      <c r="S2495" t="s">
        <v>45042</v>
      </c>
      <c r="T2495" t="s">
        <v>46414</v>
      </c>
      <c r="U2495" t="s">
        <v>48984</v>
      </c>
      <c r="W2495" t="s">
        <v>41955</v>
      </c>
      <c r="X2495" t="s">
        <v>44910</v>
      </c>
    </row>
    <row r="2496" spans="1:24">
      <c r="A2496">
        <f>HYPERLINK("https://www.philgeps.gov.ph/GEPSNONPILOT/Tender/SplashBidNoticeAbstractUI.aspx?menuIndex=3&amp;refID=7077974&amp;Result=3","7077974")</f>
        <v>0</v>
      </c>
      <c r="B2496" t="s">
        <v>48</v>
      </c>
      <c r="C2496" t="s">
        <v>5929</v>
      </c>
      <c r="D2496" t="s">
        <v>18117</v>
      </c>
      <c r="E2496" t="s">
        <v>20480</v>
      </c>
      <c r="F2496" t="s">
        <v>31362</v>
      </c>
      <c r="G2496" t="s">
        <v>31369</v>
      </c>
      <c r="H2496" t="s">
        <v>15799</v>
      </c>
      <c r="I2496" t="s">
        <v>31380</v>
      </c>
      <c r="J2496" t="s">
        <v>33216</v>
      </c>
      <c r="K2496" t="s">
        <v>40680</v>
      </c>
      <c r="M2496" t="s">
        <v>40997</v>
      </c>
      <c r="N2496" t="s">
        <v>44905</v>
      </c>
      <c r="O2496" t="s">
        <v>44906</v>
      </c>
      <c r="P2496">
        <v>0</v>
      </c>
      <c r="Q2496">
        <v>2</v>
      </c>
      <c r="R2496" t="s">
        <v>44908</v>
      </c>
      <c r="S2496" t="s">
        <v>45042</v>
      </c>
      <c r="T2496" t="s">
        <v>46403</v>
      </c>
      <c r="U2496" t="s">
        <v>48985</v>
      </c>
      <c r="V2496" t="s">
        <v>59056</v>
      </c>
      <c r="W2496" t="s">
        <v>40997</v>
      </c>
      <c r="X2496" t="s">
        <v>44910</v>
      </c>
    </row>
    <row r="2497" spans="1:24">
      <c r="A2497">
        <f>HYPERLINK("https://www.philgeps.gov.ph/GEPSNONPILOT/Tender/SplashBidNoticeAbstractUI.aspx?menuIndex=3&amp;refID=7077635&amp;Result=3","7077635")</f>
        <v>0</v>
      </c>
      <c r="B2497" t="s">
        <v>966</v>
      </c>
      <c r="C2497" t="s">
        <v>5930</v>
      </c>
      <c r="D2497" t="s">
        <v>18103</v>
      </c>
      <c r="E2497" t="s">
        <v>20481</v>
      </c>
      <c r="F2497" t="s">
        <v>31362</v>
      </c>
      <c r="G2497" t="s">
        <v>31368</v>
      </c>
      <c r="H2497" t="s">
        <v>15799</v>
      </c>
      <c r="I2497" t="s">
        <v>31431</v>
      </c>
      <c r="J2497" t="s">
        <v>33217</v>
      </c>
      <c r="K2497" t="s">
        <v>40661</v>
      </c>
      <c r="M2497" t="s">
        <v>41956</v>
      </c>
      <c r="N2497" t="s">
        <v>44905</v>
      </c>
      <c r="O2497" t="s">
        <v>44906</v>
      </c>
      <c r="P2497">
        <v>0</v>
      </c>
      <c r="Q2497">
        <v>7</v>
      </c>
      <c r="R2497" t="s">
        <v>44908</v>
      </c>
      <c r="S2497" t="s">
        <v>45042</v>
      </c>
      <c r="T2497" t="s">
        <v>46454</v>
      </c>
      <c r="U2497" t="s">
        <v>48986</v>
      </c>
      <c r="V2497" t="s">
        <v>59312</v>
      </c>
      <c r="W2497" t="s">
        <v>41956</v>
      </c>
      <c r="X2497" t="s">
        <v>44910</v>
      </c>
    </row>
    <row r="2498" spans="1:24">
      <c r="A2498">
        <f>HYPERLINK("https://www.philgeps.gov.ph/GEPSNONPILOT/Tender/SplashBidNoticeAbstractUI.aspx?menuIndex=3&amp;refID=7077961&amp;Result=3","7077961")</f>
        <v>0</v>
      </c>
      <c r="B2498" t="s">
        <v>967</v>
      </c>
      <c r="C2498" t="s">
        <v>5931</v>
      </c>
      <c r="D2498" t="s">
        <v>18139</v>
      </c>
      <c r="E2498" t="s">
        <v>20482</v>
      </c>
      <c r="F2498" t="s">
        <v>31362</v>
      </c>
      <c r="G2498" t="s">
        <v>31368</v>
      </c>
      <c r="H2498" t="s">
        <v>15799</v>
      </c>
      <c r="I2498" t="s">
        <v>31397</v>
      </c>
      <c r="J2498" t="s">
        <v>33218</v>
      </c>
      <c r="K2498" t="s">
        <v>40666</v>
      </c>
      <c r="M2498" t="s">
        <v>41957</v>
      </c>
      <c r="N2498" t="s">
        <v>44905</v>
      </c>
      <c r="O2498" t="s">
        <v>44906</v>
      </c>
      <c r="P2498">
        <v>0</v>
      </c>
      <c r="Q2498">
        <v>5</v>
      </c>
      <c r="R2498" t="s">
        <v>44908</v>
      </c>
      <c r="S2498" t="s">
        <v>45042</v>
      </c>
      <c r="T2498" t="s">
        <v>46414</v>
      </c>
      <c r="U2498" t="s">
        <v>48987</v>
      </c>
      <c r="W2498" t="s">
        <v>60878</v>
      </c>
      <c r="X2498" t="s">
        <v>44910</v>
      </c>
    </row>
    <row r="2499" spans="1:24">
      <c r="A2499">
        <f>HYPERLINK("https://www.philgeps.gov.ph/GEPSNONPILOT/Tender/SplashBidNoticeAbstractUI.aspx?menuIndex=3&amp;refID=7077957&amp;Result=3","7077957")</f>
        <v>0</v>
      </c>
      <c r="B2499" t="s">
        <v>968</v>
      </c>
      <c r="C2499" t="s">
        <v>5932</v>
      </c>
      <c r="D2499" t="s">
        <v>18100</v>
      </c>
      <c r="E2499" t="s">
        <v>20483</v>
      </c>
      <c r="F2499" t="s">
        <v>31362</v>
      </c>
      <c r="G2499" t="s">
        <v>31372</v>
      </c>
      <c r="H2499" t="s">
        <v>15799</v>
      </c>
      <c r="I2499" t="s">
        <v>13635</v>
      </c>
      <c r="J2499" t="s">
        <v>33219</v>
      </c>
      <c r="K2499" t="s">
        <v>40662</v>
      </c>
      <c r="M2499" t="s">
        <v>41958</v>
      </c>
      <c r="N2499" t="s">
        <v>44905</v>
      </c>
      <c r="O2499" t="s">
        <v>44906</v>
      </c>
      <c r="P2499">
        <v>0</v>
      </c>
      <c r="Q2499">
        <v>1</v>
      </c>
      <c r="R2499" t="s">
        <v>44908</v>
      </c>
      <c r="S2499" t="s">
        <v>45042</v>
      </c>
      <c r="T2499" t="s">
        <v>46411</v>
      </c>
      <c r="U2499" t="s">
        <v>48988</v>
      </c>
      <c r="W2499" t="s">
        <v>41958</v>
      </c>
      <c r="X2499" t="s">
        <v>44910</v>
      </c>
    </row>
    <row r="2500" spans="1:24">
      <c r="A2500">
        <f>HYPERLINK("https://www.philgeps.gov.ph/GEPSNONPILOT/Tender/SplashBidNoticeAbstractUI.aspx?menuIndex=3&amp;refID=7077664&amp;Result=3","7077664")</f>
        <v>0</v>
      </c>
      <c r="B2500" t="s">
        <v>969</v>
      </c>
      <c r="C2500" t="s">
        <v>5933</v>
      </c>
      <c r="D2500" t="s">
        <v>18127</v>
      </c>
      <c r="E2500" t="s">
        <v>20484</v>
      </c>
      <c r="F2500" t="s">
        <v>31362</v>
      </c>
      <c r="G2500" t="s">
        <v>31369</v>
      </c>
      <c r="H2500" t="s">
        <v>31378</v>
      </c>
      <c r="I2500" t="s">
        <v>31386</v>
      </c>
      <c r="J2500" t="s">
        <v>31536</v>
      </c>
      <c r="K2500" t="s">
        <v>40682</v>
      </c>
      <c r="M2500" t="s">
        <v>41959</v>
      </c>
      <c r="N2500" t="s">
        <v>44905</v>
      </c>
      <c r="O2500" t="s">
        <v>44906</v>
      </c>
      <c r="P2500">
        <v>0</v>
      </c>
      <c r="Q2500">
        <v>0</v>
      </c>
      <c r="R2500" t="s">
        <v>44908</v>
      </c>
      <c r="S2500" t="s">
        <v>45042</v>
      </c>
      <c r="T2500" t="s">
        <v>46449</v>
      </c>
      <c r="U2500" t="s">
        <v>48989</v>
      </c>
      <c r="W2500" t="s">
        <v>41959</v>
      </c>
      <c r="X2500" t="s">
        <v>44910</v>
      </c>
    </row>
    <row r="2501" spans="1:24">
      <c r="A2501">
        <f>HYPERLINK("https://www.philgeps.gov.ph/GEPSNONPILOT/Tender/SplashBidNoticeAbstractUI.aspx?menuIndex=3&amp;refID=7077933&amp;Result=3","7077933")</f>
        <v>0</v>
      </c>
      <c r="B2501" t="s">
        <v>970</v>
      </c>
      <c r="C2501" t="s">
        <v>5934</v>
      </c>
      <c r="D2501" t="s">
        <v>18100</v>
      </c>
      <c r="E2501" t="s">
        <v>20485</v>
      </c>
      <c r="F2501" t="s">
        <v>31362</v>
      </c>
      <c r="G2501" t="s">
        <v>31374</v>
      </c>
      <c r="H2501" t="s">
        <v>15799</v>
      </c>
      <c r="I2501" t="s">
        <v>7090</v>
      </c>
      <c r="J2501" t="s">
        <v>31866</v>
      </c>
      <c r="K2501" t="s">
        <v>40697</v>
      </c>
      <c r="M2501" t="s">
        <v>41960</v>
      </c>
      <c r="N2501" t="s">
        <v>44905</v>
      </c>
      <c r="O2501" t="s">
        <v>44906</v>
      </c>
      <c r="P2501">
        <v>0</v>
      </c>
      <c r="Q2501">
        <v>1</v>
      </c>
      <c r="R2501" t="s">
        <v>44908</v>
      </c>
      <c r="S2501" t="s">
        <v>45042</v>
      </c>
      <c r="T2501" t="s">
        <v>46446</v>
      </c>
      <c r="U2501" t="s">
        <v>48990</v>
      </c>
      <c r="W2501" t="s">
        <v>41960</v>
      </c>
      <c r="X2501" t="s">
        <v>44910</v>
      </c>
    </row>
    <row r="2502" spans="1:24">
      <c r="A2502">
        <f>HYPERLINK("https://www.philgeps.gov.ph/GEPSNONPILOT/Tender/SplashBidNoticeAbstractUI.aspx?menuIndex=3&amp;refID=7077979&amp;Result=3","7077979")</f>
        <v>0</v>
      </c>
      <c r="B2502" t="s">
        <v>971</v>
      </c>
      <c r="C2502" t="s">
        <v>5935</v>
      </c>
      <c r="D2502" t="s">
        <v>18166</v>
      </c>
      <c r="E2502" t="s">
        <v>20486</v>
      </c>
      <c r="F2502" t="s">
        <v>31362</v>
      </c>
      <c r="G2502" t="s">
        <v>31369</v>
      </c>
      <c r="H2502" t="s">
        <v>31378</v>
      </c>
      <c r="I2502" t="s">
        <v>31386</v>
      </c>
      <c r="J2502" t="s">
        <v>31542</v>
      </c>
      <c r="K2502" t="s">
        <v>40662</v>
      </c>
      <c r="M2502" t="s">
        <v>41961</v>
      </c>
      <c r="N2502" t="s">
        <v>44905</v>
      </c>
      <c r="O2502" t="s">
        <v>44906</v>
      </c>
      <c r="P2502">
        <v>0</v>
      </c>
      <c r="Q2502">
        <v>0</v>
      </c>
      <c r="R2502" t="s">
        <v>44908</v>
      </c>
      <c r="S2502" t="s">
        <v>45042</v>
      </c>
      <c r="T2502" t="s">
        <v>46431</v>
      </c>
      <c r="U2502" t="s">
        <v>48991</v>
      </c>
      <c r="W2502" t="s">
        <v>41961</v>
      </c>
      <c r="X2502" t="s">
        <v>44910</v>
      </c>
    </row>
    <row r="2503" spans="1:24">
      <c r="A2503">
        <f>HYPERLINK("https://www.philgeps.gov.ph/GEPSNONPILOT/Tender/SplashBidNoticeAbstractUI.aspx?menuIndex=3&amp;refID=7077968&amp;Result=3","7077968")</f>
        <v>0</v>
      </c>
      <c r="B2503" t="s">
        <v>964</v>
      </c>
      <c r="C2503" t="s">
        <v>5936</v>
      </c>
      <c r="D2503" t="s">
        <v>18170</v>
      </c>
      <c r="E2503" t="s">
        <v>20487</v>
      </c>
      <c r="F2503" t="s">
        <v>31362</v>
      </c>
      <c r="G2503" t="s">
        <v>31369</v>
      </c>
      <c r="H2503" t="s">
        <v>31378</v>
      </c>
      <c r="I2503" t="s">
        <v>31386</v>
      </c>
      <c r="J2503" t="s">
        <v>31709</v>
      </c>
      <c r="K2503" t="s">
        <v>40662</v>
      </c>
      <c r="M2503" t="s">
        <v>41952</v>
      </c>
      <c r="N2503" t="s">
        <v>44905</v>
      </c>
      <c r="O2503" t="s">
        <v>44906</v>
      </c>
      <c r="P2503">
        <v>0</v>
      </c>
      <c r="Q2503">
        <v>0</v>
      </c>
      <c r="R2503" t="s">
        <v>44908</v>
      </c>
      <c r="S2503" t="s">
        <v>45042</v>
      </c>
      <c r="T2503" t="s">
        <v>46449</v>
      </c>
      <c r="U2503" t="s">
        <v>48992</v>
      </c>
      <c r="W2503" t="s">
        <v>41952</v>
      </c>
      <c r="X2503" t="s">
        <v>44910</v>
      </c>
    </row>
    <row r="2504" spans="1:24">
      <c r="A2504">
        <f>HYPERLINK("https://www.philgeps.gov.ph/GEPSNONPILOT/Tender/SplashBidNoticeAbstractUI.aspx?menuIndex=3&amp;refID=7077921&amp;Result=3","7077921")</f>
        <v>0</v>
      </c>
      <c r="B2504" t="s">
        <v>967</v>
      </c>
      <c r="C2504" t="s">
        <v>5937</v>
      </c>
      <c r="D2504" t="s">
        <v>18139</v>
      </c>
      <c r="E2504" t="s">
        <v>20488</v>
      </c>
      <c r="F2504" t="s">
        <v>31362</v>
      </c>
      <c r="G2504" t="s">
        <v>31368</v>
      </c>
      <c r="H2504" t="s">
        <v>15799</v>
      </c>
      <c r="I2504" t="s">
        <v>31409</v>
      </c>
      <c r="J2504" t="s">
        <v>33220</v>
      </c>
      <c r="K2504" t="s">
        <v>40666</v>
      </c>
      <c r="M2504" t="s">
        <v>41957</v>
      </c>
      <c r="N2504" t="s">
        <v>44905</v>
      </c>
      <c r="O2504" t="s">
        <v>44906</v>
      </c>
      <c r="P2504">
        <v>0</v>
      </c>
      <c r="Q2504">
        <v>1</v>
      </c>
      <c r="R2504" t="s">
        <v>44908</v>
      </c>
      <c r="S2504" t="s">
        <v>45042</v>
      </c>
      <c r="T2504" t="s">
        <v>46414</v>
      </c>
      <c r="U2504" t="s">
        <v>48987</v>
      </c>
      <c r="W2504" t="s">
        <v>60878</v>
      </c>
      <c r="X2504" t="s">
        <v>44910</v>
      </c>
    </row>
    <row r="2505" spans="1:24">
      <c r="A2505">
        <f>HYPERLINK("https://www.philgeps.gov.ph/GEPSNONPILOT/Tender/SplashBidNoticeAbstractUI.aspx?menuIndex=3&amp;refID=7077899&amp;Result=3","7077899")</f>
        <v>0</v>
      </c>
      <c r="B2505" t="s">
        <v>960</v>
      </c>
      <c r="C2505" t="s">
        <v>5938</v>
      </c>
      <c r="D2505" t="s">
        <v>18130</v>
      </c>
      <c r="E2505" t="s">
        <v>20489</v>
      </c>
      <c r="F2505" t="s">
        <v>31362</v>
      </c>
      <c r="G2505" t="s">
        <v>31368</v>
      </c>
      <c r="H2505" t="s">
        <v>15799</v>
      </c>
      <c r="I2505" t="s">
        <v>7188</v>
      </c>
      <c r="J2505" t="s">
        <v>31578</v>
      </c>
      <c r="K2505" t="s">
        <v>40661</v>
      </c>
      <c r="M2505" t="s">
        <v>41948</v>
      </c>
      <c r="N2505" t="s">
        <v>44905</v>
      </c>
      <c r="O2505" t="s">
        <v>44906</v>
      </c>
      <c r="P2505">
        <v>0</v>
      </c>
      <c r="Q2505">
        <v>0</v>
      </c>
      <c r="R2505" t="s">
        <v>44908</v>
      </c>
      <c r="S2505" t="s">
        <v>45042</v>
      </c>
      <c r="T2505" t="s">
        <v>46412</v>
      </c>
      <c r="U2505" t="s">
        <v>48993</v>
      </c>
      <c r="W2505" t="s">
        <v>41948</v>
      </c>
      <c r="X2505" t="s">
        <v>44910</v>
      </c>
    </row>
    <row r="2506" spans="1:24">
      <c r="A2506">
        <f>HYPERLINK("https://www.philgeps.gov.ph/GEPSNONPILOT/Tender/SplashBidNoticeAbstractUI.aspx?menuIndex=3&amp;refID=7077942&amp;Result=3","7077942")</f>
        <v>0</v>
      </c>
      <c r="B2506" t="s">
        <v>960</v>
      </c>
      <c r="C2506" t="s">
        <v>5939</v>
      </c>
      <c r="D2506" t="s">
        <v>18130</v>
      </c>
      <c r="E2506" t="s">
        <v>20490</v>
      </c>
      <c r="F2506" t="s">
        <v>31362</v>
      </c>
      <c r="G2506" t="s">
        <v>31368</v>
      </c>
      <c r="H2506" t="s">
        <v>15799</v>
      </c>
      <c r="I2506" t="s">
        <v>31384</v>
      </c>
      <c r="J2506" t="s">
        <v>33221</v>
      </c>
      <c r="K2506" t="s">
        <v>40661</v>
      </c>
      <c r="M2506" t="s">
        <v>41948</v>
      </c>
      <c r="N2506" t="s">
        <v>44905</v>
      </c>
      <c r="O2506" t="s">
        <v>44906</v>
      </c>
      <c r="P2506">
        <v>0</v>
      </c>
      <c r="Q2506">
        <v>1</v>
      </c>
      <c r="R2506" t="s">
        <v>44908</v>
      </c>
      <c r="S2506" t="s">
        <v>45042</v>
      </c>
      <c r="T2506" t="s">
        <v>46412</v>
      </c>
      <c r="U2506" t="s">
        <v>48994</v>
      </c>
      <c r="W2506" t="s">
        <v>41948</v>
      </c>
      <c r="X2506" t="s">
        <v>44910</v>
      </c>
    </row>
    <row r="2507" spans="1:24">
      <c r="A2507">
        <f>HYPERLINK("https://www.philgeps.gov.ph/GEPSNONPILOT/Tender/SplashBidNoticeAbstractUI.aspx?menuIndex=3&amp;refID=7077941&amp;Result=3","7077941")</f>
        <v>0</v>
      </c>
      <c r="B2507" t="s">
        <v>959</v>
      </c>
      <c r="C2507" t="s">
        <v>5940</v>
      </c>
      <c r="D2507" t="s">
        <v>18117</v>
      </c>
      <c r="E2507" t="s">
        <v>20491</v>
      </c>
      <c r="F2507" t="s">
        <v>31362</v>
      </c>
      <c r="G2507" t="s">
        <v>31369</v>
      </c>
      <c r="H2507" t="s">
        <v>15799</v>
      </c>
      <c r="I2507" t="s">
        <v>4283</v>
      </c>
      <c r="J2507" t="s">
        <v>33222</v>
      </c>
      <c r="K2507" t="s">
        <v>40661</v>
      </c>
      <c r="M2507" t="s">
        <v>41947</v>
      </c>
      <c r="N2507" t="s">
        <v>44905</v>
      </c>
      <c r="O2507" t="s">
        <v>44906</v>
      </c>
      <c r="P2507">
        <v>0</v>
      </c>
      <c r="Q2507">
        <v>7</v>
      </c>
      <c r="R2507" t="s">
        <v>44908</v>
      </c>
      <c r="S2507" t="s">
        <v>45042</v>
      </c>
      <c r="T2507" t="s">
        <v>46401</v>
      </c>
      <c r="U2507" t="s">
        <v>48995</v>
      </c>
      <c r="W2507" t="s">
        <v>41947</v>
      </c>
      <c r="X2507" t="s">
        <v>44910</v>
      </c>
    </row>
    <row r="2508" spans="1:24">
      <c r="A2508">
        <f>HYPERLINK("https://www.philgeps.gov.ph/GEPSNONPILOT/Tender/SplashBidNoticeAbstractUI.aspx?menuIndex=3&amp;refID=7077644&amp;Result=3","7077644")</f>
        <v>0</v>
      </c>
      <c r="B2508" t="s">
        <v>972</v>
      </c>
      <c r="C2508" t="s">
        <v>5941</v>
      </c>
      <c r="D2508" t="s">
        <v>18141</v>
      </c>
      <c r="E2508" t="s">
        <v>20492</v>
      </c>
      <c r="F2508" t="s">
        <v>31362</v>
      </c>
      <c r="G2508" t="s">
        <v>31370</v>
      </c>
      <c r="H2508" t="s">
        <v>15799</v>
      </c>
      <c r="I2508" t="s">
        <v>6373</v>
      </c>
      <c r="J2508" t="s">
        <v>33223</v>
      </c>
      <c r="K2508" t="s">
        <v>40681</v>
      </c>
      <c r="M2508" t="s">
        <v>41962</v>
      </c>
      <c r="N2508" t="s">
        <v>44905</v>
      </c>
      <c r="O2508" t="s">
        <v>44906</v>
      </c>
      <c r="P2508">
        <v>0</v>
      </c>
      <c r="Q2508">
        <v>5</v>
      </c>
      <c r="R2508" t="s">
        <v>44908</v>
      </c>
      <c r="S2508" t="s">
        <v>45042</v>
      </c>
      <c r="T2508" t="s">
        <v>46493</v>
      </c>
      <c r="U2508" t="s">
        <v>48996</v>
      </c>
      <c r="V2508" t="s">
        <v>59313</v>
      </c>
      <c r="W2508" t="s">
        <v>41962</v>
      </c>
      <c r="X2508" t="s">
        <v>44910</v>
      </c>
    </row>
    <row r="2509" spans="1:24">
      <c r="A2509">
        <f>HYPERLINK("https://www.philgeps.gov.ph/GEPSNONPILOT/Tender/SplashBidNoticeAbstractUI.aspx?menuIndex=3&amp;refID=7077854&amp;Result=3","7077854")</f>
        <v>0</v>
      </c>
      <c r="B2509" t="s">
        <v>973</v>
      </c>
      <c r="C2509" t="s">
        <v>5942</v>
      </c>
      <c r="D2509" t="s">
        <v>18103</v>
      </c>
      <c r="E2509" t="s">
        <v>20493</v>
      </c>
      <c r="F2509" t="s">
        <v>31362</v>
      </c>
      <c r="G2509" t="s">
        <v>31369</v>
      </c>
      <c r="H2509" t="s">
        <v>15799</v>
      </c>
      <c r="I2509" t="s">
        <v>31397</v>
      </c>
      <c r="J2509" t="s">
        <v>33224</v>
      </c>
      <c r="K2509" t="s">
        <v>40665</v>
      </c>
      <c r="M2509" t="s">
        <v>41963</v>
      </c>
      <c r="N2509" t="s">
        <v>44905</v>
      </c>
      <c r="O2509" t="s">
        <v>44906</v>
      </c>
      <c r="P2509">
        <v>0</v>
      </c>
      <c r="Q2509">
        <v>0</v>
      </c>
      <c r="R2509" t="s">
        <v>44908</v>
      </c>
      <c r="S2509" t="s">
        <v>45042</v>
      </c>
      <c r="T2509" t="s">
        <v>46463</v>
      </c>
      <c r="U2509" t="s">
        <v>48997</v>
      </c>
      <c r="V2509" t="s">
        <v>59314</v>
      </c>
      <c r="W2509" t="s">
        <v>41963</v>
      </c>
      <c r="X2509" t="s">
        <v>44910</v>
      </c>
    </row>
    <row r="2510" spans="1:24">
      <c r="A2510">
        <f>HYPERLINK("https://www.philgeps.gov.ph/GEPSNONPILOT/Tender/SplashBidNoticeAbstractUI.aspx?menuIndex=3&amp;refID=7077927&amp;Result=3","7077927")</f>
        <v>0</v>
      </c>
      <c r="B2510" t="s">
        <v>974</v>
      </c>
      <c r="C2510" t="s">
        <v>5943</v>
      </c>
      <c r="D2510" t="s">
        <v>18134</v>
      </c>
      <c r="E2510" t="s">
        <v>20494</v>
      </c>
      <c r="F2510" t="s">
        <v>31362</v>
      </c>
      <c r="G2510" t="s">
        <v>31369</v>
      </c>
      <c r="H2510" t="s">
        <v>15799</v>
      </c>
      <c r="I2510" t="s">
        <v>31455</v>
      </c>
      <c r="J2510" t="s">
        <v>31734</v>
      </c>
      <c r="K2510" t="s">
        <v>40666</v>
      </c>
      <c r="M2510" t="s">
        <v>41964</v>
      </c>
      <c r="N2510" t="s">
        <v>44905</v>
      </c>
      <c r="O2510" t="s">
        <v>44906</v>
      </c>
      <c r="P2510">
        <v>0</v>
      </c>
      <c r="Q2510">
        <v>0</v>
      </c>
      <c r="R2510" t="s">
        <v>44908</v>
      </c>
      <c r="S2510" t="s">
        <v>45042</v>
      </c>
      <c r="T2510" t="s">
        <v>46562</v>
      </c>
      <c r="U2510" t="s">
        <v>48998</v>
      </c>
      <c r="W2510" t="s">
        <v>41964</v>
      </c>
      <c r="X2510" t="s">
        <v>44910</v>
      </c>
    </row>
    <row r="2511" spans="1:24">
      <c r="A2511">
        <f>HYPERLINK("https://www.philgeps.gov.ph/GEPSNONPILOT/Tender/SplashBidNoticeAbstractUI.aspx?menuIndex=3&amp;refID=7077803&amp;Result=3","7077803")</f>
        <v>0</v>
      </c>
      <c r="B2511" t="s">
        <v>369</v>
      </c>
      <c r="C2511" t="s">
        <v>5944</v>
      </c>
      <c r="D2511" t="s">
        <v>18152</v>
      </c>
      <c r="E2511" t="s">
        <v>20495</v>
      </c>
      <c r="F2511" t="s">
        <v>31362</v>
      </c>
      <c r="G2511" t="s">
        <v>31369</v>
      </c>
      <c r="H2511" t="s">
        <v>15799</v>
      </c>
      <c r="I2511" t="s">
        <v>31386</v>
      </c>
      <c r="J2511" t="s">
        <v>31625</v>
      </c>
      <c r="K2511" t="s">
        <v>40679</v>
      </c>
      <c r="M2511" t="s">
        <v>41316</v>
      </c>
      <c r="N2511" t="s">
        <v>44905</v>
      </c>
      <c r="O2511" t="s">
        <v>44906</v>
      </c>
      <c r="P2511">
        <v>0</v>
      </c>
      <c r="Q2511">
        <v>0</v>
      </c>
      <c r="R2511" t="s">
        <v>44908</v>
      </c>
      <c r="S2511" t="s">
        <v>45042</v>
      </c>
      <c r="T2511" t="s">
        <v>46524</v>
      </c>
      <c r="U2511" t="s">
        <v>48999</v>
      </c>
      <c r="W2511" t="s">
        <v>41316</v>
      </c>
      <c r="X2511" t="s">
        <v>44910</v>
      </c>
    </row>
    <row r="2512" spans="1:24">
      <c r="A2512">
        <f>HYPERLINK("https://www.philgeps.gov.ph/GEPSNONPILOT/Tender/SplashBidNoticeAbstractUI.aspx?menuIndex=3&amp;refID=7077829&amp;Result=3","7077829")</f>
        <v>0</v>
      </c>
      <c r="B2512" t="s">
        <v>258</v>
      </c>
      <c r="C2512" t="s">
        <v>5945</v>
      </c>
      <c r="D2512" t="s">
        <v>18141</v>
      </c>
      <c r="E2512" t="s">
        <v>20496</v>
      </c>
      <c r="F2512" t="s">
        <v>31362</v>
      </c>
      <c r="G2512" t="s">
        <v>31368</v>
      </c>
      <c r="H2512" t="s">
        <v>15799</v>
      </c>
      <c r="I2512" t="s">
        <v>7719</v>
      </c>
      <c r="J2512" t="s">
        <v>33225</v>
      </c>
      <c r="K2512" t="s">
        <v>40677</v>
      </c>
      <c r="M2512" t="s">
        <v>41199</v>
      </c>
      <c r="N2512" t="s">
        <v>44905</v>
      </c>
      <c r="O2512" t="s">
        <v>44906</v>
      </c>
      <c r="P2512">
        <v>0</v>
      </c>
      <c r="Q2512">
        <v>4</v>
      </c>
      <c r="R2512" t="s">
        <v>44908</v>
      </c>
      <c r="S2512" t="s">
        <v>45042</v>
      </c>
      <c r="T2512" t="s">
        <v>46416</v>
      </c>
      <c r="U2512" t="s">
        <v>49000</v>
      </c>
      <c r="W2512" t="s">
        <v>41199</v>
      </c>
      <c r="X2512" t="s">
        <v>44910</v>
      </c>
    </row>
    <row r="2513" spans="1:24">
      <c r="A2513">
        <f>HYPERLINK("https://www.philgeps.gov.ph/GEPSNONPILOT/Tender/SplashBidNoticeAbstractUI.aspx?menuIndex=3&amp;refID=7077800&amp;Result=3","7077800")</f>
        <v>0</v>
      </c>
      <c r="B2513" t="s">
        <v>972</v>
      </c>
      <c r="C2513" t="s">
        <v>5946</v>
      </c>
      <c r="D2513" t="s">
        <v>18141</v>
      </c>
      <c r="E2513" t="s">
        <v>20497</v>
      </c>
      <c r="F2513" t="s">
        <v>31362</v>
      </c>
      <c r="G2513" t="s">
        <v>31370</v>
      </c>
      <c r="H2513" t="s">
        <v>15799</v>
      </c>
      <c r="I2513" t="s">
        <v>31404</v>
      </c>
      <c r="J2513" t="s">
        <v>33226</v>
      </c>
      <c r="K2513" t="s">
        <v>40681</v>
      </c>
      <c r="M2513" t="s">
        <v>41962</v>
      </c>
      <c r="N2513" t="s">
        <v>44905</v>
      </c>
      <c r="O2513" t="s">
        <v>44906</v>
      </c>
      <c r="P2513">
        <v>0</v>
      </c>
      <c r="Q2513">
        <v>0</v>
      </c>
      <c r="R2513" t="s">
        <v>44908</v>
      </c>
      <c r="S2513" t="s">
        <v>45042</v>
      </c>
      <c r="T2513" t="s">
        <v>46493</v>
      </c>
      <c r="U2513" t="s">
        <v>49001</v>
      </c>
      <c r="V2513" t="s">
        <v>59313</v>
      </c>
      <c r="W2513" t="s">
        <v>41962</v>
      </c>
      <c r="X2513" t="s">
        <v>44910</v>
      </c>
    </row>
    <row r="2514" spans="1:24">
      <c r="A2514">
        <f>HYPERLINK("https://www.philgeps.gov.ph/GEPSNONPILOT/Tender/SplashBidNoticeAbstractUI.aspx?menuIndex=3&amp;refID=7077383&amp;Result=3","7077383")</f>
        <v>0</v>
      </c>
      <c r="B2514" t="s">
        <v>975</v>
      </c>
      <c r="C2514" t="s">
        <v>5947</v>
      </c>
      <c r="D2514" t="s">
        <v>18125</v>
      </c>
      <c r="E2514" t="s">
        <v>20358</v>
      </c>
      <c r="F2514" t="s">
        <v>31362</v>
      </c>
      <c r="G2514" t="s">
        <v>31369</v>
      </c>
      <c r="H2514" t="s">
        <v>15799</v>
      </c>
      <c r="I2514" t="s">
        <v>31409</v>
      </c>
      <c r="J2514" t="s">
        <v>33227</v>
      </c>
      <c r="K2514" t="s">
        <v>40662</v>
      </c>
      <c r="M2514" t="s">
        <v>41965</v>
      </c>
      <c r="N2514" t="s">
        <v>44905</v>
      </c>
      <c r="O2514" t="s">
        <v>44906</v>
      </c>
      <c r="P2514">
        <v>0</v>
      </c>
      <c r="Q2514">
        <v>0</v>
      </c>
      <c r="R2514" t="s">
        <v>44908</v>
      </c>
      <c r="S2514" t="s">
        <v>45042</v>
      </c>
      <c r="T2514" t="s">
        <v>46541</v>
      </c>
      <c r="U2514" t="s">
        <v>49002</v>
      </c>
      <c r="W2514" t="s">
        <v>41965</v>
      </c>
      <c r="X2514" t="s">
        <v>44910</v>
      </c>
    </row>
    <row r="2515" spans="1:24">
      <c r="A2515">
        <f>HYPERLINK("https://www.philgeps.gov.ph/GEPSNONPILOT/Tender/SplashBidNoticeAbstractUI.aspx?menuIndex=3&amp;refID=7077371&amp;Result=3","7077371")</f>
        <v>0</v>
      </c>
      <c r="B2515" t="s">
        <v>976</v>
      </c>
      <c r="C2515" t="s">
        <v>5948</v>
      </c>
      <c r="D2515" t="s">
        <v>18158</v>
      </c>
      <c r="E2515" t="s">
        <v>20498</v>
      </c>
      <c r="F2515" t="s">
        <v>31363</v>
      </c>
      <c r="G2515" t="s">
        <v>31370</v>
      </c>
      <c r="H2515" t="s">
        <v>15799</v>
      </c>
      <c r="I2515" t="s">
        <v>31469</v>
      </c>
      <c r="J2515" t="s">
        <v>33228</v>
      </c>
      <c r="K2515" t="s">
        <v>40670</v>
      </c>
      <c r="M2515" t="s">
        <v>41966</v>
      </c>
      <c r="N2515" t="s">
        <v>44905</v>
      </c>
      <c r="O2515" t="s">
        <v>44906</v>
      </c>
      <c r="P2515">
        <v>0</v>
      </c>
      <c r="Q2515">
        <v>2</v>
      </c>
      <c r="R2515" t="s">
        <v>44908</v>
      </c>
      <c r="S2515" t="s">
        <v>45042</v>
      </c>
      <c r="T2515" t="s">
        <v>46479</v>
      </c>
      <c r="U2515" t="s">
        <v>49003</v>
      </c>
      <c r="W2515" t="s">
        <v>41966</v>
      </c>
      <c r="X2515" t="s">
        <v>44910</v>
      </c>
    </row>
    <row r="2516" spans="1:24">
      <c r="A2516">
        <f>HYPERLINK("https://www.philgeps.gov.ph/GEPSNONPILOT/Tender/SplashBidNoticeAbstractUI.aspx?menuIndex=3&amp;refID=7078006&amp;Result=3","7078006")</f>
        <v>0</v>
      </c>
      <c r="B2516" t="s">
        <v>974</v>
      </c>
      <c r="C2516" t="s">
        <v>5949</v>
      </c>
      <c r="D2516" t="s">
        <v>18134</v>
      </c>
      <c r="E2516" t="s">
        <v>20499</v>
      </c>
      <c r="F2516" t="s">
        <v>31362</v>
      </c>
      <c r="G2516" t="s">
        <v>31369</v>
      </c>
      <c r="H2516" t="s">
        <v>15799</v>
      </c>
      <c r="I2516" t="s">
        <v>31384</v>
      </c>
      <c r="J2516" t="s">
        <v>33229</v>
      </c>
      <c r="K2516" t="s">
        <v>40666</v>
      </c>
      <c r="M2516" t="s">
        <v>41964</v>
      </c>
      <c r="N2516" t="s">
        <v>44905</v>
      </c>
      <c r="O2516" t="s">
        <v>44906</v>
      </c>
      <c r="P2516">
        <v>0</v>
      </c>
      <c r="Q2516">
        <v>7</v>
      </c>
      <c r="R2516" t="s">
        <v>44908</v>
      </c>
      <c r="S2516" t="s">
        <v>45042</v>
      </c>
      <c r="T2516" t="s">
        <v>46562</v>
      </c>
      <c r="U2516" t="s">
        <v>49004</v>
      </c>
      <c r="W2516" t="s">
        <v>41964</v>
      </c>
      <c r="X2516" t="s">
        <v>44910</v>
      </c>
    </row>
    <row r="2517" spans="1:24">
      <c r="A2517">
        <f>HYPERLINK("https://www.philgeps.gov.ph/GEPSNONPILOT/Tender/SplashBidNoticeAbstractUI.aspx?menuIndex=3&amp;refID=7078163&amp;Result=3","7078163")</f>
        <v>0</v>
      </c>
      <c r="B2517" t="s">
        <v>88</v>
      </c>
      <c r="C2517" t="s">
        <v>5950</v>
      </c>
      <c r="D2517" t="s">
        <v>18135</v>
      </c>
      <c r="E2517" t="s">
        <v>20500</v>
      </c>
      <c r="F2517" t="s">
        <v>31362</v>
      </c>
      <c r="G2517" t="s">
        <v>31370</v>
      </c>
      <c r="H2517" t="s">
        <v>15799</v>
      </c>
      <c r="I2517" t="s">
        <v>31387</v>
      </c>
      <c r="J2517" t="s">
        <v>32505</v>
      </c>
      <c r="K2517" t="s">
        <v>40662</v>
      </c>
      <c r="M2517" t="s">
        <v>41967</v>
      </c>
      <c r="N2517" t="s">
        <v>44905</v>
      </c>
      <c r="O2517" t="s">
        <v>44906</v>
      </c>
      <c r="P2517">
        <v>0</v>
      </c>
      <c r="Q2517">
        <v>0</v>
      </c>
      <c r="R2517" t="s">
        <v>44908</v>
      </c>
      <c r="S2517" t="s">
        <v>45042</v>
      </c>
      <c r="T2517" t="s">
        <v>46507</v>
      </c>
      <c r="U2517" t="s">
        <v>49005</v>
      </c>
      <c r="V2517" t="s">
        <v>59315</v>
      </c>
      <c r="W2517" t="s">
        <v>41967</v>
      </c>
      <c r="X2517" t="s">
        <v>44910</v>
      </c>
    </row>
    <row r="2518" spans="1:24">
      <c r="A2518">
        <f>HYPERLINK("https://www.philgeps.gov.ph/GEPSNONPILOT/Tender/SplashBidNoticeAbstractUI.aspx?menuIndex=3&amp;refID=7078152&amp;Result=3","7078152")</f>
        <v>0</v>
      </c>
      <c r="B2518" t="s">
        <v>406</v>
      </c>
      <c r="C2518" t="s">
        <v>5951</v>
      </c>
      <c r="E2518" t="s">
        <v>20501</v>
      </c>
      <c r="F2518" t="s">
        <v>31362</v>
      </c>
      <c r="G2518" t="s">
        <v>31368</v>
      </c>
      <c r="H2518" t="s">
        <v>15799</v>
      </c>
      <c r="I2518" t="s">
        <v>7090</v>
      </c>
      <c r="J2518" t="s">
        <v>31897</v>
      </c>
      <c r="K2518" t="s">
        <v>40662</v>
      </c>
      <c r="M2518" t="s">
        <v>41356</v>
      </c>
      <c r="N2518" t="s">
        <v>44905</v>
      </c>
      <c r="O2518" t="s">
        <v>44906</v>
      </c>
      <c r="P2518">
        <v>0</v>
      </c>
      <c r="Q2518">
        <v>1</v>
      </c>
      <c r="R2518" t="s">
        <v>44908</v>
      </c>
      <c r="S2518" t="s">
        <v>45042</v>
      </c>
      <c r="T2518" t="s">
        <v>46414</v>
      </c>
      <c r="U2518" t="s">
        <v>46933</v>
      </c>
      <c r="W2518" t="s">
        <v>41356</v>
      </c>
      <c r="X2518" t="s">
        <v>44910</v>
      </c>
    </row>
    <row r="2519" spans="1:24">
      <c r="A2519">
        <f>HYPERLINK("https://www.philgeps.gov.ph/GEPSNONPILOT/Tender/SplashBidNoticeAbstractUI.aspx?menuIndex=3&amp;refID=7078125&amp;Result=3","7078125")</f>
        <v>0</v>
      </c>
      <c r="B2519" t="s">
        <v>967</v>
      </c>
      <c r="C2519" t="s">
        <v>5952</v>
      </c>
      <c r="D2519" t="s">
        <v>18139</v>
      </c>
      <c r="E2519" t="s">
        <v>20502</v>
      </c>
      <c r="F2519" t="s">
        <v>31362</v>
      </c>
      <c r="G2519" t="s">
        <v>31368</v>
      </c>
      <c r="H2519" t="s">
        <v>15799</v>
      </c>
      <c r="I2519" t="s">
        <v>31393</v>
      </c>
      <c r="J2519" t="s">
        <v>31577</v>
      </c>
      <c r="K2519" t="s">
        <v>40666</v>
      </c>
      <c r="M2519" t="s">
        <v>41957</v>
      </c>
      <c r="N2519" t="s">
        <v>44905</v>
      </c>
      <c r="O2519" t="s">
        <v>44906</v>
      </c>
      <c r="P2519">
        <v>0</v>
      </c>
      <c r="Q2519">
        <v>2</v>
      </c>
      <c r="R2519" t="s">
        <v>44908</v>
      </c>
      <c r="S2519" t="s">
        <v>45042</v>
      </c>
      <c r="T2519" t="s">
        <v>46414</v>
      </c>
      <c r="U2519" t="s">
        <v>48987</v>
      </c>
      <c r="W2519" t="s">
        <v>60878</v>
      </c>
      <c r="X2519" t="s">
        <v>44910</v>
      </c>
    </row>
    <row r="2520" spans="1:24">
      <c r="A2520">
        <f>HYPERLINK("https://www.philgeps.gov.ph/GEPSNONPILOT/Tender/SplashBidNoticeAbstractUI.aspx?menuIndex=3&amp;refID=7077372&amp;Result=3","7077372")</f>
        <v>0</v>
      </c>
      <c r="B2520" t="s">
        <v>977</v>
      </c>
      <c r="C2520" t="s">
        <v>5953</v>
      </c>
      <c r="D2520" t="s">
        <v>18127</v>
      </c>
      <c r="E2520" t="s">
        <v>20503</v>
      </c>
      <c r="F2520" t="s">
        <v>31362</v>
      </c>
      <c r="G2520" t="s">
        <v>31368</v>
      </c>
      <c r="H2520" t="s">
        <v>15799</v>
      </c>
      <c r="I2520" t="s">
        <v>31384</v>
      </c>
      <c r="J2520" t="s">
        <v>33230</v>
      </c>
      <c r="K2520" t="s">
        <v>40662</v>
      </c>
      <c r="M2520" t="s">
        <v>41968</v>
      </c>
      <c r="N2520" t="s">
        <v>44905</v>
      </c>
      <c r="O2520" t="s">
        <v>44906</v>
      </c>
      <c r="P2520">
        <v>0</v>
      </c>
      <c r="Q2520">
        <v>6</v>
      </c>
      <c r="R2520" t="s">
        <v>44908</v>
      </c>
      <c r="S2520" t="s">
        <v>45042</v>
      </c>
      <c r="T2520" t="s">
        <v>46503</v>
      </c>
      <c r="U2520" t="s">
        <v>49006</v>
      </c>
      <c r="W2520" t="s">
        <v>41968</v>
      </c>
      <c r="X2520" t="s">
        <v>44910</v>
      </c>
    </row>
    <row r="2521" spans="1:24">
      <c r="A2521">
        <f>HYPERLINK("https://www.philgeps.gov.ph/GEPSNONPILOT/Tender/SplashBidNoticeAbstractUI.aspx?menuIndex=3&amp;refID=7078113&amp;Result=3","7078113")</f>
        <v>0</v>
      </c>
      <c r="B2521" t="s">
        <v>978</v>
      </c>
      <c r="C2521" t="s">
        <v>5954</v>
      </c>
      <c r="D2521" t="s">
        <v>18100</v>
      </c>
      <c r="E2521" t="s">
        <v>20504</v>
      </c>
      <c r="F2521" t="s">
        <v>31362</v>
      </c>
      <c r="G2521" t="s">
        <v>31368</v>
      </c>
      <c r="H2521" t="s">
        <v>15799</v>
      </c>
      <c r="I2521" t="s">
        <v>31399</v>
      </c>
      <c r="J2521" t="s">
        <v>31576</v>
      </c>
      <c r="K2521" t="s">
        <v>40662</v>
      </c>
      <c r="M2521" t="s">
        <v>41969</v>
      </c>
      <c r="N2521" t="s">
        <v>44905</v>
      </c>
      <c r="O2521" t="s">
        <v>44906</v>
      </c>
      <c r="P2521">
        <v>0</v>
      </c>
      <c r="Q2521">
        <v>0</v>
      </c>
      <c r="R2521" t="s">
        <v>44908</v>
      </c>
      <c r="S2521" t="s">
        <v>45042</v>
      </c>
      <c r="T2521" t="s">
        <v>46414</v>
      </c>
      <c r="U2521" t="s">
        <v>49007</v>
      </c>
      <c r="W2521" t="s">
        <v>41969</v>
      </c>
      <c r="X2521" t="s">
        <v>44910</v>
      </c>
    </row>
    <row r="2522" spans="1:24">
      <c r="A2522">
        <f>HYPERLINK("https://www.philgeps.gov.ph/GEPSNONPILOT/Tender/SplashBidNoticeAbstractUI.aspx?menuIndex=3&amp;refID=7077627&amp;Result=3","7077627")</f>
        <v>0</v>
      </c>
      <c r="B2522" t="s">
        <v>886</v>
      </c>
      <c r="C2522" t="s">
        <v>5955</v>
      </c>
      <c r="E2522" t="s">
        <v>20505</v>
      </c>
      <c r="F2522" t="s">
        <v>31362</v>
      </c>
      <c r="G2522" t="s">
        <v>31369</v>
      </c>
      <c r="H2522" t="s">
        <v>15799</v>
      </c>
      <c r="I2522" t="s">
        <v>7719</v>
      </c>
      <c r="J2522" t="s">
        <v>33231</v>
      </c>
      <c r="K2522" t="s">
        <v>40662</v>
      </c>
      <c r="M2522" t="s">
        <v>41970</v>
      </c>
      <c r="N2522" t="s">
        <v>44905</v>
      </c>
      <c r="O2522" t="s">
        <v>44906</v>
      </c>
      <c r="P2522">
        <v>0</v>
      </c>
      <c r="Q2522">
        <v>17</v>
      </c>
      <c r="R2522" t="s">
        <v>44908</v>
      </c>
      <c r="S2522" t="s">
        <v>45042</v>
      </c>
      <c r="T2522" t="s">
        <v>46493</v>
      </c>
      <c r="U2522" t="s">
        <v>49008</v>
      </c>
      <c r="W2522" t="s">
        <v>41970</v>
      </c>
      <c r="X2522" t="s">
        <v>44910</v>
      </c>
    </row>
    <row r="2523" spans="1:24">
      <c r="A2523">
        <f>HYPERLINK("https://www.philgeps.gov.ph/GEPSNONPILOT/Tender/SplashBidNoticeAbstractUI.aspx?menuIndex=3&amp;refID=7078109&amp;Result=3","7078109")</f>
        <v>0</v>
      </c>
      <c r="B2523" t="s">
        <v>972</v>
      </c>
      <c r="C2523" t="s">
        <v>5956</v>
      </c>
      <c r="D2523" t="s">
        <v>18141</v>
      </c>
      <c r="E2523" t="s">
        <v>20506</v>
      </c>
      <c r="F2523" t="s">
        <v>31362</v>
      </c>
      <c r="G2523" t="s">
        <v>31370</v>
      </c>
      <c r="H2523" t="s">
        <v>15799</v>
      </c>
      <c r="I2523" t="s">
        <v>6373</v>
      </c>
      <c r="J2523" t="s">
        <v>33232</v>
      </c>
      <c r="K2523" t="s">
        <v>40681</v>
      </c>
      <c r="M2523" t="s">
        <v>41962</v>
      </c>
      <c r="N2523" t="s">
        <v>44905</v>
      </c>
      <c r="O2523" t="s">
        <v>44906</v>
      </c>
      <c r="P2523">
        <v>0</v>
      </c>
      <c r="Q2523">
        <v>5</v>
      </c>
      <c r="R2523" t="s">
        <v>44908</v>
      </c>
      <c r="S2523" t="s">
        <v>45042</v>
      </c>
      <c r="T2523" t="s">
        <v>46493</v>
      </c>
      <c r="U2523" t="s">
        <v>49009</v>
      </c>
      <c r="V2523" t="s">
        <v>59313</v>
      </c>
      <c r="W2523" t="s">
        <v>41962</v>
      </c>
      <c r="X2523" t="s">
        <v>44910</v>
      </c>
    </row>
    <row r="2524" spans="1:24">
      <c r="A2524">
        <f>HYPERLINK("https://www.philgeps.gov.ph/GEPSNONPILOT/Tender/SplashBidNoticeAbstractUI.aspx?menuIndex=3&amp;refID=7077869&amp;Result=3","7077869")</f>
        <v>0</v>
      </c>
      <c r="B2524" t="s">
        <v>967</v>
      </c>
      <c r="C2524" t="s">
        <v>5957</v>
      </c>
      <c r="D2524" t="s">
        <v>18139</v>
      </c>
      <c r="E2524" t="s">
        <v>20507</v>
      </c>
      <c r="F2524" t="s">
        <v>31362</v>
      </c>
      <c r="G2524" t="s">
        <v>31368</v>
      </c>
      <c r="H2524" t="s">
        <v>15799</v>
      </c>
      <c r="I2524" t="s">
        <v>3815</v>
      </c>
      <c r="J2524" t="s">
        <v>33233</v>
      </c>
      <c r="K2524" t="s">
        <v>40666</v>
      </c>
      <c r="M2524" t="s">
        <v>41957</v>
      </c>
      <c r="N2524" t="s">
        <v>44905</v>
      </c>
      <c r="O2524" t="s">
        <v>44906</v>
      </c>
      <c r="P2524">
        <v>0</v>
      </c>
      <c r="Q2524">
        <v>1</v>
      </c>
      <c r="R2524" t="s">
        <v>44908</v>
      </c>
      <c r="S2524" t="s">
        <v>45042</v>
      </c>
      <c r="T2524" t="s">
        <v>46414</v>
      </c>
      <c r="U2524" t="s">
        <v>48987</v>
      </c>
      <c r="W2524" t="s">
        <v>60878</v>
      </c>
      <c r="X2524" t="s">
        <v>44910</v>
      </c>
    </row>
    <row r="2525" spans="1:24">
      <c r="A2525">
        <f>HYPERLINK("https://www.philgeps.gov.ph/GEPSNONPILOT/Tender/SplashBidNoticeAbstractUI.aspx?menuIndex=3&amp;refID=7078085&amp;Result=3","7078085")</f>
        <v>0</v>
      </c>
      <c r="B2525" t="s">
        <v>967</v>
      </c>
      <c r="C2525" t="s">
        <v>5958</v>
      </c>
      <c r="D2525" t="s">
        <v>18139</v>
      </c>
      <c r="E2525" t="s">
        <v>20508</v>
      </c>
      <c r="F2525" t="s">
        <v>31362</v>
      </c>
      <c r="G2525" t="s">
        <v>31368</v>
      </c>
      <c r="H2525" t="s">
        <v>15799</v>
      </c>
      <c r="I2525" t="s">
        <v>7188</v>
      </c>
      <c r="J2525" t="s">
        <v>31564</v>
      </c>
      <c r="K2525" t="s">
        <v>40666</v>
      </c>
      <c r="M2525" t="s">
        <v>41957</v>
      </c>
      <c r="N2525" t="s">
        <v>44905</v>
      </c>
      <c r="O2525" t="s">
        <v>44906</v>
      </c>
      <c r="P2525">
        <v>0</v>
      </c>
      <c r="Q2525">
        <v>3</v>
      </c>
      <c r="R2525" t="s">
        <v>44908</v>
      </c>
      <c r="S2525" t="s">
        <v>45042</v>
      </c>
      <c r="T2525" t="s">
        <v>46414</v>
      </c>
      <c r="U2525" t="s">
        <v>48987</v>
      </c>
      <c r="W2525" t="s">
        <v>60878</v>
      </c>
      <c r="X2525" t="s">
        <v>44910</v>
      </c>
    </row>
    <row r="2526" spans="1:24">
      <c r="A2526">
        <f>HYPERLINK("https://www.philgeps.gov.ph/GEPSNONPILOT/Tender/SplashBidNoticeAbstractUI.aspx?menuIndex=3&amp;refID=7077818&amp;Result=3","7077818")</f>
        <v>0</v>
      </c>
      <c r="B2526" t="s">
        <v>974</v>
      </c>
      <c r="C2526" t="s">
        <v>5959</v>
      </c>
      <c r="D2526" t="s">
        <v>18134</v>
      </c>
      <c r="E2526" t="s">
        <v>20509</v>
      </c>
      <c r="F2526" t="s">
        <v>31362</v>
      </c>
      <c r="G2526" t="s">
        <v>31369</v>
      </c>
      <c r="H2526" t="s">
        <v>15799</v>
      </c>
      <c r="I2526" t="s">
        <v>31409</v>
      </c>
      <c r="J2526" t="s">
        <v>33234</v>
      </c>
      <c r="K2526" t="s">
        <v>40666</v>
      </c>
      <c r="M2526" t="s">
        <v>41964</v>
      </c>
      <c r="N2526" t="s">
        <v>44905</v>
      </c>
      <c r="O2526" t="s">
        <v>44906</v>
      </c>
      <c r="P2526">
        <v>0</v>
      </c>
      <c r="Q2526">
        <v>6</v>
      </c>
      <c r="R2526" t="s">
        <v>44908</v>
      </c>
      <c r="S2526" t="s">
        <v>45042</v>
      </c>
      <c r="T2526" t="s">
        <v>46562</v>
      </c>
      <c r="U2526" t="s">
        <v>49010</v>
      </c>
      <c r="W2526" t="s">
        <v>41964</v>
      </c>
      <c r="X2526" t="s">
        <v>44910</v>
      </c>
    </row>
    <row r="2527" spans="1:24">
      <c r="A2527">
        <f>HYPERLINK("https://www.philgeps.gov.ph/GEPSNONPILOT/Tender/SplashBidNoticeAbstractUI.aspx?menuIndex=3&amp;refID=7078072&amp;Result=3","7078072")</f>
        <v>0</v>
      </c>
      <c r="B2527" t="s">
        <v>979</v>
      </c>
      <c r="C2527" t="s">
        <v>5960</v>
      </c>
      <c r="D2527" t="s">
        <v>18129</v>
      </c>
      <c r="E2527" t="s">
        <v>20510</v>
      </c>
      <c r="F2527" t="s">
        <v>31362</v>
      </c>
      <c r="G2527" t="s">
        <v>31368</v>
      </c>
      <c r="H2527" t="s">
        <v>31378</v>
      </c>
      <c r="I2527" t="s">
        <v>31439</v>
      </c>
      <c r="J2527" t="s">
        <v>33235</v>
      </c>
      <c r="K2527" t="s">
        <v>40665</v>
      </c>
      <c r="M2527" t="s">
        <v>41971</v>
      </c>
      <c r="N2527" t="s">
        <v>44905</v>
      </c>
      <c r="O2527" t="s">
        <v>44906</v>
      </c>
      <c r="P2527">
        <v>0</v>
      </c>
      <c r="Q2527">
        <v>0</v>
      </c>
      <c r="R2527" t="s">
        <v>44908</v>
      </c>
      <c r="S2527" t="s">
        <v>45042</v>
      </c>
      <c r="T2527" t="s">
        <v>46425</v>
      </c>
      <c r="U2527" t="s">
        <v>49011</v>
      </c>
      <c r="W2527" t="s">
        <v>41971</v>
      </c>
      <c r="X2527" t="s">
        <v>44910</v>
      </c>
    </row>
    <row r="2528" spans="1:24">
      <c r="A2528">
        <f>HYPERLINK("https://www.philgeps.gov.ph/GEPSNONPILOT/Tender/SplashBidNoticeAbstractUI.aspx?menuIndex=3&amp;refID=7078133&amp;Result=3","7078133")</f>
        <v>0</v>
      </c>
      <c r="B2528" t="s">
        <v>886</v>
      </c>
      <c r="C2528" t="s">
        <v>5961</v>
      </c>
      <c r="E2528" t="s">
        <v>20511</v>
      </c>
      <c r="F2528" t="s">
        <v>31362</v>
      </c>
      <c r="G2528" t="s">
        <v>31368</v>
      </c>
      <c r="H2528" t="s">
        <v>15799</v>
      </c>
      <c r="I2528" t="s">
        <v>31456</v>
      </c>
      <c r="J2528" t="s">
        <v>33236</v>
      </c>
      <c r="K2528" t="s">
        <v>40662</v>
      </c>
      <c r="M2528" t="s">
        <v>41970</v>
      </c>
      <c r="N2528" t="s">
        <v>44905</v>
      </c>
      <c r="O2528" t="s">
        <v>44906</v>
      </c>
      <c r="P2528">
        <v>0</v>
      </c>
      <c r="Q2528">
        <v>6</v>
      </c>
      <c r="R2528" t="s">
        <v>44908</v>
      </c>
      <c r="S2528" t="s">
        <v>45042</v>
      </c>
      <c r="T2528" t="s">
        <v>46498</v>
      </c>
      <c r="U2528" t="s">
        <v>48012</v>
      </c>
      <c r="W2528" t="s">
        <v>41970</v>
      </c>
      <c r="X2528" t="s">
        <v>44910</v>
      </c>
    </row>
    <row r="2529" spans="1:24">
      <c r="A2529">
        <f>HYPERLINK("https://www.philgeps.gov.ph/GEPSNONPILOT/Tender/SplashBidNoticeAbstractUI.aspx?menuIndex=3&amp;refID=7078165&amp;Result=3","7078165")</f>
        <v>0</v>
      </c>
      <c r="B2529" t="s">
        <v>952</v>
      </c>
      <c r="C2529" t="s">
        <v>5962</v>
      </c>
      <c r="D2529" t="s">
        <v>18100</v>
      </c>
      <c r="E2529" t="s">
        <v>20512</v>
      </c>
      <c r="F2529" t="s">
        <v>31362</v>
      </c>
      <c r="G2529" t="s">
        <v>31369</v>
      </c>
      <c r="H2529" t="s">
        <v>15799</v>
      </c>
      <c r="I2529" t="s">
        <v>31409</v>
      </c>
      <c r="J2529" t="s">
        <v>33237</v>
      </c>
      <c r="K2529" t="s">
        <v>40662</v>
      </c>
      <c r="M2529" t="s">
        <v>41940</v>
      </c>
      <c r="N2529" t="s">
        <v>44905</v>
      </c>
      <c r="O2529" t="s">
        <v>44906</v>
      </c>
      <c r="P2529">
        <v>0</v>
      </c>
      <c r="Q2529">
        <v>4</v>
      </c>
      <c r="R2529" t="s">
        <v>44908</v>
      </c>
      <c r="S2529" t="s">
        <v>45042</v>
      </c>
      <c r="T2529" t="s">
        <v>46620</v>
      </c>
      <c r="U2529" t="s">
        <v>49012</v>
      </c>
      <c r="V2529" t="s">
        <v>59311</v>
      </c>
      <c r="W2529" t="s">
        <v>41940</v>
      </c>
      <c r="X2529" t="s">
        <v>44910</v>
      </c>
    </row>
    <row r="2530" spans="1:24">
      <c r="A2530">
        <f>HYPERLINK("https://www.philgeps.gov.ph/GEPSNONPILOT/Tender/SplashBidNoticeAbstractUI.aspx?menuIndex=3&amp;refID=7078104&amp;Result=3","7078104")</f>
        <v>0</v>
      </c>
      <c r="B2530" t="s">
        <v>980</v>
      </c>
      <c r="C2530" t="s">
        <v>5963</v>
      </c>
      <c r="D2530" t="s">
        <v>18100</v>
      </c>
      <c r="E2530" t="s">
        <v>20513</v>
      </c>
      <c r="F2530" t="s">
        <v>31362</v>
      </c>
      <c r="G2530" t="s">
        <v>31368</v>
      </c>
      <c r="H2530" t="s">
        <v>31379</v>
      </c>
      <c r="I2530" t="s">
        <v>31453</v>
      </c>
      <c r="J2530" t="s">
        <v>31728</v>
      </c>
      <c r="K2530" t="s">
        <v>40712</v>
      </c>
      <c r="M2530" t="s">
        <v>41972</v>
      </c>
      <c r="N2530" t="s">
        <v>44905</v>
      </c>
      <c r="O2530" t="s">
        <v>44906</v>
      </c>
      <c r="P2530">
        <v>0</v>
      </c>
      <c r="Q2530">
        <v>1</v>
      </c>
      <c r="R2530" t="s">
        <v>44908</v>
      </c>
      <c r="S2530" t="s">
        <v>45042</v>
      </c>
      <c r="T2530" t="s">
        <v>46454</v>
      </c>
      <c r="U2530" t="s">
        <v>49013</v>
      </c>
      <c r="V2530" t="s">
        <v>59316</v>
      </c>
      <c r="W2530" t="s">
        <v>41972</v>
      </c>
      <c r="X2530" t="s">
        <v>44910</v>
      </c>
    </row>
    <row r="2531" spans="1:24">
      <c r="A2531">
        <f>HYPERLINK("https://www.philgeps.gov.ph/GEPSNONPILOT/Tender/SplashBidNoticeAbstractUI.aspx?menuIndex=3&amp;refID=7078261&amp;Result=3","7078261")</f>
        <v>0</v>
      </c>
      <c r="B2531" t="s">
        <v>981</v>
      </c>
      <c r="C2531" t="s">
        <v>5964</v>
      </c>
      <c r="D2531" t="s">
        <v>18117</v>
      </c>
      <c r="E2531" t="s">
        <v>20514</v>
      </c>
      <c r="F2531" t="s">
        <v>31362</v>
      </c>
      <c r="G2531" t="s">
        <v>31369</v>
      </c>
      <c r="H2531" t="s">
        <v>15799</v>
      </c>
      <c r="I2531" t="s">
        <v>3815</v>
      </c>
      <c r="J2531" t="s">
        <v>33238</v>
      </c>
      <c r="K2531" t="s">
        <v>40677</v>
      </c>
      <c r="M2531" t="s">
        <v>41973</v>
      </c>
      <c r="N2531" t="s">
        <v>44905</v>
      </c>
      <c r="O2531" t="s">
        <v>44906</v>
      </c>
      <c r="P2531">
        <v>0</v>
      </c>
      <c r="Q2531">
        <v>0</v>
      </c>
      <c r="R2531" t="s">
        <v>44908</v>
      </c>
      <c r="S2531" t="s">
        <v>45042</v>
      </c>
      <c r="T2531" t="s">
        <v>46402</v>
      </c>
      <c r="U2531" t="s">
        <v>47376</v>
      </c>
      <c r="V2531" t="s">
        <v>59317</v>
      </c>
      <c r="W2531" t="s">
        <v>41973</v>
      </c>
      <c r="X2531" t="s">
        <v>44910</v>
      </c>
    </row>
    <row r="2532" spans="1:24">
      <c r="A2532">
        <f>HYPERLINK("https://www.philgeps.gov.ph/GEPSNONPILOT/Tender/SplashBidNoticeAbstractUI.aspx?menuIndex=3&amp;refID=7078075&amp;Result=3","7078075")</f>
        <v>0</v>
      </c>
      <c r="B2532" t="s">
        <v>971</v>
      </c>
      <c r="C2532" t="s">
        <v>5965</v>
      </c>
      <c r="D2532" t="s">
        <v>18166</v>
      </c>
      <c r="E2532" t="s">
        <v>20515</v>
      </c>
      <c r="F2532" t="s">
        <v>31362</v>
      </c>
      <c r="G2532" t="s">
        <v>31369</v>
      </c>
      <c r="H2532" t="s">
        <v>15799</v>
      </c>
      <c r="I2532" t="s">
        <v>3815</v>
      </c>
      <c r="J2532" t="s">
        <v>33239</v>
      </c>
      <c r="K2532" t="s">
        <v>40665</v>
      </c>
      <c r="M2532" t="s">
        <v>41961</v>
      </c>
      <c r="N2532" t="s">
        <v>44905</v>
      </c>
      <c r="O2532" t="s">
        <v>44906</v>
      </c>
      <c r="P2532">
        <v>0</v>
      </c>
      <c r="Q2532">
        <v>0</v>
      </c>
      <c r="R2532" t="s">
        <v>44908</v>
      </c>
      <c r="S2532" t="s">
        <v>45042</v>
      </c>
      <c r="T2532" t="s">
        <v>46431</v>
      </c>
      <c r="U2532" t="s">
        <v>49014</v>
      </c>
      <c r="W2532" t="s">
        <v>41961</v>
      </c>
      <c r="X2532" t="s">
        <v>44910</v>
      </c>
    </row>
    <row r="2533" spans="1:24">
      <c r="A2533">
        <f>HYPERLINK("https://www.philgeps.gov.ph/GEPSNONPILOT/Tender/SplashBidNoticeAbstractUI.aspx?menuIndex=3&amp;refID=7078259&amp;Result=3","7078259")</f>
        <v>0</v>
      </c>
      <c r="B2533" t="s">
        <v>74</v>
      </c>
      <c r="C2533" t="s">
        <v>5966</v>
      </c>
      <c r="D2533" t="s">
        <v>18108</v>
      </c>
      <c r="E2533" t="s">
        <v>20516</v>
      </c>
      <c r="F2533" t="s">
        <v>31362</v>
      </c>
      <c r="G2533" t="s">
        <v>31368</v>
      </c>
      <c r="H2533" t="s">
        <v>15799</v>
      </c>
      <c r="I2533" t="s">
        <v>31384</v>
      </c>
      <c r="J2533" t="s">
        <v>33240</v>
      </c>
      <c r="K2533" t="s">
        <v>40675</v>
      </c>
      <c r="M2533" t="s">
        <v>41587</v>
      </c>
      <c r="N2533" t="s">
        <v>44905</v>
      </c>
      <c r="O2533" t="s">
        <v>44906</v>
      </c>
      <c r="P2533">
        <v>0</v>
      </c>
      <c r="Q2533">
        <v>9</v>
      </c>
      <c r="R2533" t="s">
        <v>44908</v>
      </c>
      <c r="S2533" t="s">
        <v>45042</v>
      </c>
      <c r="T2533" t="s">
        <v>46454</v>
      </c>
      <c r="U2533" t="s">
        <v>49015</v>
      </c>
      <c r="W2533" t="s">
        <v>41587</v>
      </c>
      <c r="X2533" t="s">
        <v>44910</v>
      </c>
    </row>
    <row r="2534" spans="1:24">
      <c r="A2534">
        <f>HYPERLINK("https://www.philgeps.gov.ph/GEPSNONPILOT/Tender/SplashBidNoticeAbstractUI.aspx?menuIndex=3&amp;refID=7078241&amp;Result=3","7078241")</f>
        <v>0</v>
      </c>
      <c r="B2534" t="s">
        <v>972</v>
      </c>
      <c r="C2534" t="s">
        <v>5967</v>
      </c>
      <c r="D2534" t="s">
        <v>18141</v>
      </c>
      <c r="E2534" t="s">
        <v>20517</v>
      </c>
      <c r="F2534" t="s">
        <v>31362</v>
      </c>
      <c r="G2534" t="s">
        <v>31370</v>
      </c>
      <c r="H2534" t="s">
        <v>15799</v>
      </c>
      <c r="I2534" t="s">
        <v>31430</v>
      </c>
      <c r="J2534" t="s">
        <v>33241</v>
      </c>
      <c r="K2534" t="s">
        <v>40681</v>
      </c>
      <c r="M2534" t="s">
        <v>41962</v>
      </c>
      <c r="N2534" t="s">
        <v>44905</v>
      </c>
      <c r="O2534" t="s">
        <v>44906</v>
      </c>
      <c r="P2534">
        <v>0</v>
      </c>
      <c r="Q2534">
        <v>2</v>
      </c>
      <c r="R2534" t="s">
        <v>44908</v>
      </c>
      <c r="S2534" t="s">
        <v>45042</v>
      </c>
      <c r="T2534" t="s">
        <v>46493</v>
      </c>
      <c r="U2534" t="s">
        <v>49016</v>
      </c>
      <c r="V2534" t="s">
        <v>59313</v>
      </c>
      <c r="W2534" t="s">
        <v>41962</v>
      </c>
      <c r="X2534" t="s">
        <v>44910</v>
      </c>
    </row>
    <row r="2535" spans="1:24">
      <c r="A2535">
        <f>HYPERLINK("https://www.philgeps.gov.ph/GEPSNONPILOT/Tender/SplashBidNoticeAbstractUI.aspx?menuIndex=3&amp;refID=7078256&amp;Result=3","7078256")</f>
        <v>0</v>
      </c>
      <c r="B2535" t="s">
        <v>974</v>
      </c>
      <c r="C2535" t="s">
        <v>5968</v>
      </c>
      <c r="D2535" t="s">
        <v>18134</v>
      </c>
      <c r="E2535" t="s">
        <v>20518</v>
      </c>
      <c r="F2535" t="s">
        <v>31362</v>
      </c>
      <c r="G2535" t="s">
        <v>31369</v>
      </c>
      <c r="H2535" t="s">
        <v>15799</v>
      </c>
      <c r="I2535" t="s">
        <v>31444</v>
      </c>
      <c r="J2535" t="s">
        <v>31941</v>
      </c>
      <c r="K2535" t="s">
        <v>40666</v>
      </c>
      <c r="M2535" t="s">
        <v>41964</v>
      </c>
      <c r="N2535" t="s">
        <v>44905</v>
      </c>
      <c r="O2535" t="s">
        <v>44906</v>
      </c>
      <c r="P2535">
        <v>0</v>
      </c>
      <c r="Q2535">
        <v>11</v>
      </c>
      <c r="R2535" t="s">
        <v>44908</v>
      </c>
      <c r="S2535" t="s">
        <v>45042</v>
      </c>
      <c r="T2535" t="s">
        <v>46591</v>
      </c>
      <c r="U2535" t="s">
        <v>49017</v>
      </c>
      <c r="W2535" t="s">
        <v>41964</v>
      </c>
      <c r="X2535" t="s">
        <v>44910</v>
      </c>
    </row>
    <row r="2536" spans="1:24">
      <c r="A2536">
        <f>HYPERLINK("https://www.philgeps.gov.ph/GEPSNONPILOT/Tender/SplashBidNoticeAbstractUI.aspx?menuIndex=3&amp;refID=7078089&amp;Result=3","7078089")</f>
        <v>0</v>
      </c>
      <c r="B2536" t="s">
        <v>982</v>
      </c>
      <c r="C2536" t="s">
        <v>5969</v>
      </c>
      <c r="D2536" t="s">
        <v>18106</v>
      </c>
      <c r="E2536" t="s">
        <v>20519</v>
      </c>
      <c r="F2536" t="s">
        <v>31362</v>
      </c>
      <c r="G2536" t="s">
        <v>31368</v>
      </c>
      <c r="H2536" t="s">
        <v>15799</v>
      </c>
      <c r="I2536" t="s">
        <v>31430</v>
      </c>
      <c r="J2536" t="s">
        <v>33242</v>
      </c>
      <c r="K2536" t="s">
        <v>40672</v>
      </c>
      <c r="M2536" t="s">
        <v>41974</v>
      </c>
      <c r="N2536" t="s">
        <v>44905</v>
      </c>
      <c r="O2536" t="s">
        <v>44906</v>
      </c>
      <c r="P2536">
        <v>0</v>
      </c>
      <c r="Q2536">
        <v>2</v>
      </c>
      <c r="R2536" t="s">
        <v>44908</v>
      </c>
      <c r="S2536" t="s">
        <v>45042</v>
      </c>
      <c r="T2536" t="s">
        <v>46409</v>
      </c>
      <c r="U2536" t="s">
        <v>49018</v>
      </c>
      <c r="W2536" t="s">
        <v>41974</v>
      </c>
      <c r="X2536" t="s">
        <v>44910</v>
      </c>
    </row>
    <row r="2537" spans="1:24">
      <c r="A2537">
        <f>HYPERLINK("https://www.philgeps.gov.ph/GEPSNONPILOT/Tender/SplashBidNoticeAbstractUI.aspx?menuIndex=3&amp;refID=7078260&amp;Result=3","7078260")</f>
        <v>0</v>
      </c>
      <c r="B2537" t="s">
        <v>92</v>
      </c>
      <c r="C2537" t="s">
        <v>5970</v>
      </c>
      <c r="D2537" t="s">
        <v>18100</v>
      </c>
      <c r="E2537" t="s">
        <v>20520</v>
      </c>
      <c r="F2537" t="s">
        <v>31362</v>
      </c>
      <c r="G2537" t="s">
        <v>31368</v>
      </c>
      <c r="H2537" t="s">
        <v>15799</v>
      </c>
      <c r="I2537" t="s">
        <v>31380</v>
      </c>
      <c r="J2537" t="s">
        <v>32241</v>
      </c>
      <c r="K2537" t="s">
        <v>40677</v>
      </c>
      <c r="M2537" t="s">
        <v>41029</v>
      </c>
      <c r="N2537" t="s">
        <v>44905</v>
      </c>
      <c r="O2537" t="s">
        <v>44906</v>
      </c>
      <c r="P2537">
        <v>0</v>
      </c>
      <c r="Q2537">
        <v>1</v>
      </c>
      <c r="R2537" t="s">
        <v>44908</v>
      </c>
      <c r="S2537" t="s">
        <v>45042</v>
      </c>
      <c r="T2537" t="s">
        <v>46440</v>
      </c>
      <c r="U2537" t="s">
        <v>47062</v>
      </c>
      <c r="W2537" t="s">
        <v>60834</v>
      </c>
      <c r="X2537" t="s">
        <v>44910</v>
      </c>
    </row>
    <row r="2538" spans="1:24">
      <c r="A2538">
        <f>HYPERLINK("https://www.philgeps.gov.ph/GEPSNONPILOT/Tender/SplashBidNoticeAbstractUI.aspx?menuIndex=3&amp;refID=7078223&amp;Result=3","7078223")</f>
        <v>0</v>
      </c>
      <c r="B2538" t="s">
        <v>983</v>
      </c>
      <c r="C2538" t="s">
        <v>5971</v>
      </c>
      <c r="D2538" t="s">
        <v>18108</v>
      </c>
      <c r="E2538" t="s">
        <v>20521</v>
      </c>
      <c r="F2538" t="s">
        <v>31362</v>
      </c>
      <c r="G2538" t="s">
        <v>31371</v>
      </c>
      <c r="H2538" t="s">
        <v>15799</v>
      </c>
      <c r="I2538" t="s">
        <v>6373</v>
      </c>
      <c r="J2538" t="s">
        <v>32249</v>
      </c>
      <c r="K2538" t="s">
        <v>40662</v>
      </c>
      <c r="M2538" t="s">
        <v>41975</v>
      </c>
      <c r="N2538" t="s">
        <v>44905</v>
      </c>
      <c r="O2538" t="s">
        <v>44906</v>
      </c>
      <c r="P2538">
        <v>0</v>
      </c>
      <c r="Q2538">
        <v>6</v>
      </c>
      <c r="R2538" t="s">
        <v>44908</v>
      </c>
      <c r="S2538" t="s">
        <v>45042</v>
      </c>
      <c r="T2538" t="s">
        <v>46454</v>
      </c>
      <c r="U2538" t="s">
        <v>49019</v>
      </c>
      <c r="W2538" t="s">
        <v>41975</v>
      </c>
      <c r="X2538" t="s">
        <v>44910</v>
      </c>
    </row>
    <row r="2539" spans="1:24">
      <c r="A2539">
        <f>HYPERLINK("https://www.philgeps.gov.ph/GEPSNONPILOT/Tender/SplashBidNoticeAbstractUI.aspx?menuIndex=3&amp;refID=7078088&amp;Result=3","7078088")</f>
        <v>0</v>
      </c>
      <c r="B2539" t="s">
        <v>92</v>
      </c>
      <c r="C2539" t="s">
        <v>5972</v>
      </c>
      <c r="D2539" t="s">
        <v>18100</v>
      </c>
      <c r="E2539" t="s">
        <v>20522</v>
      </c>
      <c r="F2539" t="s">
        <v>31362</v>
      </c>
      <c r="G2539" t="s">
        <v>31368</v>
      </c>
      <c r="H2539" t="s">
        <v>15799</v>
      </c>
      <c r="I2539" t="s">
        <v>6155</v>
      </c>
      <c r="J2539" t="s">
        <v>33243</v>
      </c>
      <c r="K2539" t="s">
        <v>40677</v>
      </c>
      <c r="M2539" t="s">
        <v>41029</v>
      </c>
      <c r="N2539" t="s">
        <v>44905</v>
      </c>
      <c r="O2539" t="s">
        <v>44906</v>
      </c>
      <c r="P2539">
        <v>0</v>
      </c>
      <c r="Q2539">
        <v>4</v>
      </c>
      <c r="R2539" t="s">
        <v>44908</v>
      </c>
      <c r="S2539" t="s">
        <v>45042</v>
      </c>
      <c r="T2539" t="s">
        <v>46440</v>
      </c>
      <c r="U2539" t="s">
        <v>47062</v>
      </c>
      <c r="W2539" t="s">
        <v>60834</v>
      </c>
      <c r="X2539" t="s">
        <v>44910</v>
      </c>
    </row>
    <row r="2540" spans="1:24">
      <c r="A2540">
        <f>HYPERLINK("https://www.philgeps.gov.ph/GEPSNONPILOT/Tender/SplashBidNoticeAbstractUI.aspx?menuIndex=3&amp;refID=7078205&amp;Result=3","7078205")</f>
        <v>0</v>
      </c>
      <c r="B2540" t="s">
        <v>984</v>
      </c>
      <c r="C2540" t="s">
        <v>5973</v>
      </c>
      <c r="D2540" t="s">
        <v>18119</v>
      </c>
      <c r="E2540" t="s">
        <v>20523</v>
      </c>
      <c r="F2540" t="s">
        <v>31362</v>
      </c>
      <c r="G2540" t="s">
        <v>31368</v>
      </c>
      <c r="H2540" t="s">
        <v>15799</v>
      </c>
      <c r="I2540" t="s">
        <v>6218</v>
      </c>
      <c r="J2540" t="s">
        <v>33244</v>
      </c>
      <c r="K2540" t="s">
        <v>40723</v>
      </c>
      <c r="M2540" t="s">
        <v>41976</v>
      </c>
      <c r="N2540" t="s">
        <v>44905</v>
      </c>
      <c r="O2540" t="s">
        <v>44906</v>
      </c>
      <c r="P2540">
        <v>0</v>
      </c>
      <c r="Q2540">
        <v>0</v>
      </c>
      <c r="R2540" t="s">
        <v>44908</v>
      </c>
      <c r="S2540" t="s">
        <v>45042</v>
      </c>
      <c r="T2540" t="s">
        <v>46409</v>
      </c>
      <c r="U2540" t="s">
        <v>49020</v>
      </c>
      <c r="V2540" t="s">
        <v>59318</v>
      </c>
      <c r="W2540" t="s">
        <v>41976</v>
      </c>
      <c r="X2540" t="s">
        <v>44910</v>
      </c>
    </row>
    <row r="2541" spans="1:24">
      <c r="A2541">
        <f>HYPERLINK("https://www.philgeps.gov.ph/GEPSNONPILOT/Tender/SplashBidNoticeAbstractUI.aspx?menuIndex=3&amp;refID=7078242&amp;Result=3","7078242")</f>
        <v>0</v>
      </c>
      <c r="B2541" t="s">
        <v>985</v>
      </c>
      <c r="C2541" t="s">
        <v>5974</v>
      </c>
      <c r="D2541" t="s">
        <v>18107</v>
      </c>
      <c r="E2541" t="s">
        <v>20524</v>
      </c>
      <c r="F2541" t="s">
        <v>31362</v>
      </c>
      <c r="G2541" t="s">
        <v>31376</v>
      </c>
      <c r="H2541" t="s">
        <v>31377</v>
      </c>
      <c r="I2541" t="s">
        <v>31377</v>
      </c>
      <c r="J2541" t="s">
        <v>32549</v>
      </c>
      <c r="K2541" t="s">
        <v>40665</v>
      </c>
      <c r="M2541" t="s">
        <v>41977</v>
      </c>
      <c r="N2541" t="s">
        <v>44905</v>
      </c>
      <c r="O2541" t="s">
        <v>44906</v>
      </c>
      <c r="P2541">
        <v>0</v>
      </c>
      <c r="Q2541">
        <v>1</v>
      </c>
      <c r="R2541" t="s">
        <v>44908</v>
      </c>
      <c r="S2541" t="s">
        <v>45042</v>
      </c>
      <c r="T2541" t="s">
        <v>46573</v>
      </c>
      <c r="U2541" t="s">
        <v>49021</v>
      </c>
      <c r="W2541" t="s">
        <v>41977</v>
      </c>
      <c r="X2541" t="s">
        <v>44910</v>
      </c>
    </row>
    <row r="2542" spans="1:24">
      <c r="A2542">
        <f>HYPERLINK("https://www.philgeps.gov.ph/GEPSNONPILOT/Tender/SplashBidNoticeAbstractUI.aspx?menuIndex=3&amp;refID=7078194&amp;Result=3","7078194")</f>
        <v>0</v>
      </c>
      <c r="B2542" t="s">
        <v>658</v>
      </c>
      <c r="C2542" t="s">
        <v>5975</v>
      </c>
      <c r="D2542" t="s">
        <v>18108</v>
      </c>
      <c r="E2542" t="s">
        <v>20525</v>
      </c>
      <c r="F2542" t="s">
        <v>31362</v>
      </c>
      <c r="G2542" t="s">
        <v>31369</v>
      </c>
      <c r="H2542" t="s">
        <v>15799</v>
      </c>
      <c r="I2542" t="s">
        <v>31396</v>
      </c>
      <c r="J2542" t="s">
        <v>33245</v>
      </c>
      <c r="K2542" t="s">
        <v>40662</v>
      </c>
      <c r="M2542" t="s">
        <v>41978</v>
      </c>
      <c r="N2542" t="s">
        <v>44905</v>
      </c>
      <c r="O2542" t="s">
        <v>44906</v>
      </c>
      <c r="P2542">
        <v>0</v>
      </c>
      <c r="Q2542">
        <v>14</v>
      </c>
      <c r="R2542" t="s">
        <v>44908</v>
      </c>
      <c r="S2542" t="s">
        <v>45042</v>
      </c>
      <c r="T2542" t="s">
        <v>46401</v>
      </c>
      <c r="U2542" t="s">
        <v>49022</v>
      </c>
      <c r="W2542" t="s">
        <v>41978</v>
      </c>
      <c r="X2542" t="s">
        <v>44910</v>
      </c>
    </row>
    <row r="2543" spans="1:24">
      <c r="A2543">
        <f>HYPERLINK("https://www.philgeps.gov.ph/GEPSNONPILOT/Tender/SplashBidNoticeAbstractUI.aspx?menuIndex=3&amp;refID=7078221&amp;Result=3","7078221")</f>
        <v>0</v>
      </c>
      <c r="B2543" t="s">
        <v>88</v>
      </c>
      <c r="C2543" t="s">
        <v>5976</v>
      </c>
      <c r="D2543" t="s">
        <v>18135</v>
      </c>
      <c r="E2543" t="s">
        <v>20526</v>
      </c>
      <c r="F2543" t="s">
        <v>31362</v>
      </c>
      <c r="G2543" t="s">
        <v>31370</v>
      </c>
      <c r="H2543" t="s">
        <v>15799</v>
      </c>
      <c r="I2543" t="s">
        <v>31393</v>
      </c>
      <c r="J2543" t="s">
        <v>31724</v>
      </c>
      <c r="K2543" t="s">
        <v>40662</v>
      </c>
      <c r="M2543" t="s">
        <v>41967</v>
      </c>
      <c r="N2543" t="s">
        <v>44905</v>
      </c>
      <c r="O2543" t="s">
        <v>44906</v>
      </c>
      <c r="P2543">
        <v>0</v>
      </c>
      <c r="Q2543">
        <v>3</v>
      </c>
      <c r="R2543" t="s">
        <v>44908</v>
      </c>
      <c r="S2543" t="s">
        <v>45042</v>
      </c>
      <c r="T2543" t="s">
        <v>46507</v>
      </c>
      <c r="U2543" t="s">
        <v>49023</v>
      </c>
      <c r="V2543" t="s">
        <v>59319</v>
      </c>
      <c r="W2543" t="s">
        <v>41967</v>
      </c>
      <c r="X2543" t="s">
        <v>44910</v>
      </c>
    </row>
    <row r="2544" spans="1:24">
      <c r="A2544">
        <f>HYPERLINK("https://www.philgeps.gov.ph/GEPSNONPILOT/Tender/SplashBidNoticeAbstractUI.aspx?menuIndex=3&amp;refID=7078188&amp;Result=3","7078188")</f>
        <v>0</v>
      </c>
      <c r="B2544" t="s">
        <v>985</v>
      </c>
      <c r="C2544" t="s">
        <v>5977</v>
      </c>
      <c r="D2544" t="s">
        <v>18107</v>
      </c>
      <c r="E2544" t="s">
        <v>20527</v>
      </c>
      <c r="F2544" t="s">
        <v>31362</v>
      </c>
      <c r="G2544" t="s">
        <v>31376</v>
      </c>
      <c r="H2544" t="s">
        <v>31377</v>
      </c>
      <c r="I2544" t="s">
        <v>31377</v>
      </c>
      <c r="J2544" t="s">
        <v>32278</v>
      </c>
      <c r="K2544" t="s">
        <v>40665</v>
      </c>
      <c r="M2544" t="s">
        <v>41977</v>
      </c>
      <c r="N2544" t="s">
        <v>44905</v>
      </c>
      <c r="O2544" t="s">
        <v>44906</v>
      </c>
      <c r="P2544">
        <v>0</v>
      </c>
      <c r="Q2544">
        <v>1</v>
      </c>
      <c r="R2544" t="s">
        <v>44908</v>
      </c>
      <c r="S2544" t="s">
        <v>45042</v>
      </c>
      <c r="T2544" t="s">
        <v>46573</v>
      </c>
      <c r="U2544" t="s">
        <v>49021</v>
      </c>
      <c r="W2544" t="s">
        <v>41977</v>
      </c>
      <c r="X2544" t="s">
        <v>44910</v>
      </c>
    </row>
    <row r="2545" spans="1:24">
      <c r="A2545">
        <f>HYPERLINK("https://www.philgeps.gov.ph/GEPSNONPILOT/Tender/SplashBidNoticeAbstractUI.aspx?menuIndex=3&amp;refID=7078252&amp;Result=3","7078252")</f>
        <v>0</v>
      </c>
      <c r="B2545" t="s">
        <v>88</v>
      </c>
      <c r="C2545" t="s">
        <v>4097</v>
      </c>
      <c r="D2545" t="s">
        <v>18135</v>
      </c>
      <c r="E2545" t="s">
        <v>20528</v>
      </c>
      <c r="F2545" t="s">
        <v>31362</v>
      </c>
      <c r="G2545" t="s">
        <v>31370</v>
      </c>
      <c r="H2545" t="s">
        <v>15799</v>
      </c>
      <c r="I2545" t="s">
        <v>31385</v>
      </c>
      <c r="J2545" t="s">
        <v>33246</v>
      </c>
      <c r="K2545" t="s">
        <v>40662</v>
      </c>
      <c r="M2545" t="s">
        <v>41967</v>
      </c>
      <c r="N2545" t="s">
        <v>44905</v>
      </c>
      <c r="O2545" t="s">
        <v>44906</v>
      </c>
      <c r="P2545">
        <v>0</v>
      </c>
      <c r="Q2545">
        <v>0</v>
      </c>
      <c r="R2545" t="s">
        <v>44908</v>
      </c>
      <c r="S2545" t="s">
        <v>45042</v>
      </c>
      <c r="T2545" t="s">
        <v>46507</v>
      </c>
      <c r="U2545" t="s">
        <v>49024</v>
      </c>
      <c r="V2545" t="s">
        <v>59320</v>
      </c>
      <c r="W2545" t="s">
        <v>41967</v>
      </c>
      <c r="X2545" t="s">
        <v>44910</v>
      </c>
    </row>
    <row r="2546" spans="1:24">
      <c r="A2546">
        <f>HYPERLINK("https://www.philgeps.gov.ph/GEPSNONPILOT/Tender/SplashBidNoticeAbstractUI.aspx?menuIndex=3&amp;refID=7078197&amp;Result=3","7078197")</f>
        <v>0</v>
      </c>
      <c r="B2546" t="s">
        <v>908</v>
      </c>
      <c r="C2546" t="s">
        <v>5978</v>
      </c>
      <c r="D2546" t="s">
        <v>18155</v>
      </c>
      <c r="E2546" t="s">
        <v>20529</v>
      </c>
      <c r="F2546" t="s">
        <v>31362</v>
      </c>
      <c r="G2546" t="s">
        <v>31368</v>
      </c>
      <c r="H2546" t="s">
        <v>15799</v>
      </c>
      <c r="I2546" t="s">
        <v>31424</v>
      </c>
      <c r="J2546" t="s">
        <v>33247</v>
      </c>
      <c r="K2546" t="s">
        <v>40666</v>
      </c>
      <c r="M2546" t="s">
        <v>41979</v>
      </c>
      <c r="N2546" t="s">
        <v>44905</v>
      </c>
      <c r="O2546" t="s">
        <v>44906</v>
      </c>
      <c r="P2546">
        <v>0</v>
      </c>
      <c r="Q2546">
        <v>2</v>
      </c>
      <c r="R2546" t="s">
        <v>44908</v>
      </c>
      <c r="S2546" t="s">
        <v>45042</v>
      </c>
      <c r="T2546" t="s">
        <v>46506</v>
      </c>
      <c r="U2546" t="s">
        <v>49025</v>
      </c>
      <c r="W2546" t="s">
        <v>41979</v>
      </c>
      <c r="X2546" t="s">
        <v>44910</v>
      </c>
    </row>
    <row r="2547" spans="1:24">
      <c r="A2547">
        <f>HYPERLINK("https://www.philgeps.gov.ph/GEPSNONPILOT/Tender/SplashBidNoticeAbstractUI.aspx?menuIndex=3&amp;refID=7078201&amp;Result=3","7078201")</f>
        <v>0</v>
      </c>
      <c r="B2547" t="s">
        <v>88</v>
      </c>
      <c r="C2547" t="s">
        <v>5979</v>
      </c>
      <c r="D2547" t="s">
        <v>18135</v>
      </c>
      <c r="E2547" t="s">
        <v>20530</v>
      </c>
      <c r="F2547" t="s">
        <v>31362</v>
      </c>
      <c r="G2547" t="s">
        <v>31368</v>
      </c>
      <c r="H2547" t="s">
        <v>15799</v>
      </c>
      <c r="I2547" t="s">
        <v>31400</v>
      </c>
      <c r="J2547" t="s">
        <v>33248</v>
      </c>
      <c r="K2547" t="s">
        <v>40662</v>
      </c>
      <c r="M2547" t="s">
        <v>41967</v>
      </c>
      <c r="N2547" t="s">
        <v>44905</v>
      </c>
      <c r="O2547" t="s">
        <v>44906</v>
      </c>
      <c r="P2547">
        <v>0</v>
      </c>
      <c r="Q2547">
        <v>0</v>
      </c>
      <c r="R2547" t="s">
        <v>44908</v>
      </c>
      <c r="S2547" t="s">
        <v>45042</v>
      </c>
      <c r="T2547" t="s">
        <v>46507</v>
      </c>
      <c r="U2547" t="s">
        <v>49026</v>
      </c>
      <c r="V2547" t="s">
        <v>59321</v>
      </c>
      <c r="W2547" t="s">
        <v>41967</v>
      </c>
      <c r="X2547" t="s">
        <v>44910</v>
      </c>
    </row>
    <row r="2548" spans="1:24">
      <c r="A2548">
        <f>HYPERLINK("https://www.philgeps.gov.ph/GEPSNONPILOT/Tender/SplashBidNoticeAbstractUI.aspx?menuIndex=3&amp;refID=7078182&amp;Result=3","7078182")</f>
        <v>0</v>
      </c>
      <c r="B2548" t="s">
        <v>886</v>
      </c>
      <c r="C2548" t="s">
        <v>5980</v>
      </c>
      <c r="E2548" t="s">
        <v>20531</v>
      </c>
      <c r="F2548" t="s">
        <v>31362</v>
      </c>
      <c r="G2548" t="s">
        <v>31368</v>
      </c>
      <c r="H2548" t="s">
        <v>15799</v>
      </c>
      <c r="I2548" t="s">
        <v>31400</v>
      </c>
      <c r="J2548" t="s">
        <v>32090</v>
      </c>
      <c r="K2548" t="s">
        <v>40662</v>
      </c>
      <c r="M2548" t="s">
        <v>41970</v>
      </c>
      <c r="N2548" t="s">
        <v>44905</v>
      </c>
      <c r="O2548" t="s">
        <v>44906</v>
      </c>
      <c r="P2548">
        <v>0</v>
      </c>
      <c r="Q2548">
        <v>4</v>
      </c>
      <c r="R2548" t="s">
        <v>44908</v>
      </c>
      <c r="S2548" t="s">
        <v>45042</v>
      </c>
      <c r="T2548" t="s">
        <v>46498</v>
      </c>
      <c r="U2548" t="s">
        <v>48012</v>
      </c>
      <c r="W2548" t="s">
        <v>41970</v>
      </c>
      <c r="X2548" t="s">
        <v>44910</v>
      </c>
    </row>
    <row r="2549" spans="1:24">
      <c r="A2549">
        <f>HYPERLINK("https://www.philgeps.gov.ph/GEPSNONPILOT/Tender/SplashBidNoticeAbstractUI.aspx?menuIndex=3&amp;refID=7078170&amp;Result=3","7078170")</f>
        <v>0</v>
      </c>
      <c r="B2549" t="s">
        <v>658</v>
      </c>
      <c r="C2549" t="s">
        <v>5981</v>
      </c>
      <c r="D2549" t="s">
        <v>18108</v>
      </c>
      <c r="E2549" t="s">
        <v>20532</v>
      </c>
      <c r="F2549" t="s">
        <v>31362</v>
      </c>
      <c r="G2549" t="s">
        <v>31369</v>
      </c>
      <c r="H2549" t="s">
        <v>15799</v>
      </c>
      <c r="I2549" t="s">
        <v>31396</v>
      </c>
      <c r="J2549" t="s">
        <v>33249</v>
      </c>
      <c r="K2549" t="s">
        <v>40662</v>
      </c>
      <c r="M2549" t="s">
        <v>41978</v>
      </c>
      <c r="N2549" t="s">
        <v>44905</v>
      </c>
      <c r="O2549" t="s">
        <v>44906</v>
      </c>
      <c r="P2549">
        <v>0</v>
      </c>
      <c r="Q2549">
        <v>8</v>
      </c>
      <c r="R2549" t="s">
        <v>44908</v>
      </c>
      <c r="S2549" t="s">
        <v>45042</v>
      </c>
      <c r="T2549" t="s">
        <v>46401</v>
      </c>
      <c r="U2549" t="s">
        <v>49027</v>
      </c>
      <c r="W2549" t="s">
        <v>41978</v>
      </c>
      <c r="X2549" t="s">
        <v>44910</v>
      </c>
    </row>
    <row r="2550" spans="1:24">
      <c r="A2550">
        <f>HYPERLINK("https://www.philgeps.gov.ph/GEPSNONPILOT/Tender/SplashBidNoticeAbstractUI.aspx?menuIndex=3&amp;refID=7078187&amp;Result=3","7078187")</f>
        <v>0</v>
      </c>
      <c r="B2550" t="s">
        <v>88</v>
      </c>
      <c r="C2550" t="s">
        <v>5982</v>
      </c>
      <c r="D2550" t="s">
        <v>18135</v>
      </c>
      <c r="E2550" t="s">
        <v>20533</v>
      </c>
      <c r="F2550" t="s">
        <v>31362</v>
      </c>
      <c r="G2550" t="s">
        <v>31368</v>
      </c>
      <c r="H2550" t="s">
        <v>15799</v>
      </c>
      <c r="I2550" t="s">
        <v>31393</v>
      </c>
      <c r="J2550" t="s">
        <v>31897</v>
      </c>
      <c r="K2550" t="s">
        <v>40662</v>
      </c>
      <c r="M2550" t="s">
        <v>41967</v>
      </c>
      <c r="N2550" t="s">
        <v>44905</v>
      </c>
      <c r="O2550" t="s">
        <v>44906</v>
      </c>
      <c r="P2550">
        <v>0</v>
      </c>
      <c r="Q2550">
        <v>2</v>
      </c>
      <c r="R2550" t="s">
        <v>44908</v>
      </c>
      <c r="S2550" t="s">
        <v>45042</v>
      </c>
      <c r="T2550" t="s">
        <v>46507</v>
      </c>
      <c r="U2550" t="s">
        <v>49028</v>
      </c>
      <c r="V2550" t="s">
        <v>59322</v>
      </c>
      <c r="W2550" t="s">
        <v>41967</v>
      </c>
      <c r="X2550" t="s">
        <v>44910</v>
      </c>
    </row>
    <row r="2551" spans="1:24">
      <c r="A2551">
        <f>HYPERLINK("https://www.philgeps.gov.ph/GEPSNONPILOT/Tender/SplashBidNoticeAbstractUI.aspx?menuIndex=3&amp;refID=7078236&amp;Result=3","7078236")</f>
        <v>0</v>
      </c>
      <c r="B2551" t="s">
        <v>88</v>
      </c>
      <c r="C2551" t="s">
        <v>5983</v>
      </c>
      <c r="D2551" t="s">
        <v>18135</v>
      </c>
      <c r="E2551" t="s">
        <v>20534</v>
      </c>
      <c r="F2551" t="s">
        <v>31362</v>
      </c>
      <c r="G2551" t="s">
        <v>31370</v>
      </c>
      <c r="H2551" t="s">
        <v>15799</v>
      </c>
      <c r="I2551" t="s">
        <v>31380</v>
      </c>
      <c r="J2551" t="s">
        <v>32391</v>
      </c>
      <c r="K2551" t="s">
        <v>40662</v>
      </c>
      <c r="M2551" t="s">
        <v>41967</v>
      </c>
      <c r="N2551" t="s">
        <v>44905</v>
      </c>
      <c r="O2551" t="s">
        <v>44906</v>
      </c>
      <c r="P2551">
        <v>0</v>
      </c>
      <c r="Q2551">
        <v>4</v>
      </c>
      <c r="R2551" t="s">
        <v>44908</v>
      </c>
      <c r="S2551" t="s">
        <v>45042</v>
      </c>
      <c r="T2551" t="s">
        <v>46507</v>
      </c>
      <c r="U2551" t="s">
        <v>49029</v>
      </c>
      <c r="V2551" t="s">
        <v>59319</v>
      </c>
      <c r="W2551" t="s">
        <v>41967</v>
      </c>
      <c r="X2551" t="s">
        <v>44910</v>
      </c>
    </row>
    <row r="2552" spans="1:24">
      <c r="A2552">
        <f>HYPERLINK("https://www.philgeps.gov.ph/GEPSNONPILOT/Tender/SplashBidNoticeAbstractUI.aspx?menuIndex=3&amp;refID=7078329&amp;Result=3","7078329")</f>
        <v>0</v>
      </c>
      <c r="B2552" t="s">
        <v>243</v>
      </c>
      <c r="C2552" t="s">
        <v>5984</v>
      </c>
      <c r="D2552" t="s">
        <v>18144</v>
      </c>
      <c r="E2552" t="s">
        <v>20535</v>
      </c>
      <c r="F2552" t="s">
        <v>31362</v>
      </c>
      <c r="G2552" t="s">
        <v>31369</v>
      </c>
      <c r="H2552" t="s">
        <v>15799</v>
      </c>
      <c r="I2552" t="s">
        <v>31386</v>
      </c>
      <c r="J2552" t="s">
        <v>33250</v>
      </c>
      <c r="K2552" t="s">
        <v>40665</v>
      </c>
      <c r="M2552" t="s">
        <v>41182</v>
      </c>
      <c r="N2552" t="s">
        <v>44905</v>
      </c>
      <c r="O2552" t="s">
        <v>44906</v>
      </c>
      <c r="P2552">
        <v>0</v>
      </c>
      <c r="Q2552">
        <v>0</v>
      </c>
      <c r="R2552" t="s">
        <v>44908</v>
      </c>
      <c r="S2552" t="s">
        <v>45042</v>
      </c>
      <c r="T2552" t="s">
        <v>46396</v>
      </c>
      <c r="U2552" t="s">
        <v>49030</v>
      </c>
      <c r="W2552" t="s">
        <v>41182</v>
      </c>
      <c r="X2552" t="s">
        <v>44910</v>
      </c>
    </row>
    <row r="2553" spans="1:24">
      <c r="A2553">
        <f>HYPERLINK("https://www.philgeps.gov.ph/GEPSNONPILOT/Tender/SplashBidNoticeAbstractUI.aspx?menuIndex=3&amp;refID=7078176&amp;Result=3","7078176")</f>
        <v>0</v>
      </c>
      <c r="B2553" t="s">
        <v>974</v>
      </c>
      <c r="C2553" t="s">
        <v>5985</v>
      </c>
      <c r="D2553" t="s">
        <v>18134</v>
      </c>
      <c r="E2553" t="s">
        <v>20536</v>
      </c>
      <c r="F2553" t="s">
        <v>31362</v>
      </c>
      <c r="G2553" t="s">
        <v>31369</v>
      </c>
      <c r="H2553" t="s">
        <v>15799</v>
      </c>
      <c r="I2553" t="s">
        <v>31393</v>
      </c>
      <c r="J2553" t="s">
        <v>33251</v>
      </c>
      <c r="K2553" t="s">
        <v>40666</v>
      </c>
      <c r="M2553" t="s">
        <v>41964</v>
      </c>
      <c r="N2553" t="s">
        <v>44905</v>
      </c>
      <c r="O2553" t="s">
        <v>44906</v>
      </c>
      <c r="P2553">
        <v>0</v>
      </c>
      <c r="Q2553">
        <v>3</v>
      </c>
      <c r="R2553" t="s">
        <v>44908</v>
      </c>
      <c r="S2553" t="s">
        <v>45042</v>
      </c>
      <c r="T2553" t="s">
        <v>46562</v>
      </c>
      <c r="U2553" t="s">
        <v>49031</v>
      </c>
      <c r="W2553" t="s">
        <v>41964</v>
      </c>
      <c r="X2553" t="s">
        <v>44910</v>
      </c>
    </row>
    <row r="2554" spans="1:24">
      <c r="A2554">
        <f>HYPERLINK("https://www.philgeps.gov.ph/GEPSNONPILOT/Tender/SplashBidNoticeAbstractUI.aspx?menuIndex=3&amp;refID=7078328&amp;Result=3","7078328")</f>
        <v>0</v>
      </c>
      <c r="B2554" t="s">
        <v>268</v>
      </c>
      <c r="C2554" t="s">
        <v>5986</v>
      </c>
      <c r="D2554" t="s">
        <v>18165</v>
      </c>
      <c r="E2554" t="s">
        <v>20537</v>
      </c>
      <c r="F2554" t="s">
        <v>31362</v>
      </c>
      <c r="G2554" t="s">
        <v>31369</v>
      </c>
      <c r="H2554" t="s">
        <v>15799</v>
      </c>
      <c r="I2554" t="s">
        <v>31430</v>
      </c>
      <c r="J2554" t="s">
        <v>33252</v>
      </c>
      <c r="K2554" t="s">
        <v>40661</v>
      </c>
      <c r="M2554" t="s">
        <v>41210</v>
      </c>
      <c r="N2554" t="s">
        <v>44905</v>
      </c>
      <c r="O2554" t="s">
        <v>44906</v>
      </c>
      <c r="P2554">
        <v>0</v>
      </c>
      <c r="Q2554">
        <v>0</v>
      </c>
      <c r="R2554" t="s">
        <v>44908</v>
      </c>
      <c r="S2554" t="s">
        <v>45042</v>
      </c>
      <c r="T2554" t="s">
        <v>46560</v>
      </c>
      <c r="U2554" t="s">
        <v>49032</v>
      </c>
      <c r="V2554" t="s">
        <v>59323</v>
      </c>
      <c r="W2554" t="s">
        <v>41210</v>
      </c>
      <c r="X2554" t="s">
        <v>44910</v>
      </c>
    </row>
    <row r="2555" spans="1:24">
      <c r="A2555">
        <f>HYPERLINK("https://www.philgeps.gov.ph/GEPSNONPILOT/Tender/SplashBidNoticeAbstractUI.aspx?menuIndex=3&amp;refID=7078325&amp;Result=3","7078325")</f>
        <v>0</v>
      </c>
      <c r="B2555" t="s">
        <v>92</v>
      </c>
      <c r="C2555" t="s">
        <v>5987</v>
      </c>
      <c r="D2555" t="s">
        <v>18100</v>
      </c>
      <c r="E2555" t="s">
        <v>20538</v>
      </c>
      <c r="F2555" t="s">
        <v>31362</v>
      </c>
      <c r="G2555" t="s">
        <v>31368</v>
      </c>
      <c r="H2555" t="s">
        <v>15799</v>
      </c>
      <c r="I2555" t="s">
        <v>31384</v>
      </c>
      <c r="J2555" t="s">
        <v>33253</v>
      </c>
      <c r="K2555" t="s">
        <v>40677</v>
      </c>
      <c r="M2555" t="s">
        <v>41029</v>
      </c>
      <c r="N2555" t="s">
        <v>44905</v>
      </c>
      <c r="O2555" t="s">
        <v>44906</v>
      </c>
      <c r="P2555">
        <v>0</v>
      </c>
      <c r="Q2555">
        <v>3</v>
      </c>
      <c r="R2555" t="s">
        <v>44908</v>
      </c>
      <c r="S2555" t="s">
        <v>45042</v>
      </c>
      <c r="T2555" t="s">
        <v>46426</v>
      </c>
      <c r="U2555" t="s">
        <v>47062</v>
      </c>
      <c r="W2555" t="s">
        <v>60834</v>
      </c>
      <c r="X2555" t="s">
        <v>44910</v>
      </c>
    </row>
    <row r="2556" spans="1:24">
      <c r="A2556">
        <f>HYPERLINK("https://www.philgeps.gov.ph/GEPSNONPILOT/Tender/SplashBidNoticeAbstractUI.aspx?menuIndex=3&amp;refID=7077915&amp;Result=3","7077915")</f>
        <v>0</v>
      </c>
      <c r="B2556" t="s">
        <v>986</v>
      </c>
      <c r="C2556" t="s">
        <v>5988</v>
      </c>
      <c r="D2556" t="s">
        <v>18100</v>
      </c>
      <c r="E2556" t="s">
        <v>19783</v>
      </c>
      <c r="F2556" t="s">
        <v>31362</v>
      </c>
      <c r="G2556" t="s">
        <v>31369</v>
      </c>
      <c r="H2556" t="s">
        <v>15799</v>
      </c>
      <c r="I2556" t="s">
        <v>31385</v>
      </c>
      <c r="J2556" t="s">
        <v>33254</v>
      </c>
      <c r="K2556" t="s">
        <v>40666</v>
      </c>
      <c r="M2556" t="s">
        <v>41980</v>
      </c>
      <c r="N2556" t="s">
        <v>44905</v>
      </c>
      <c r="O2556" t="s">
        <v>44906</v>
      </c>
      <c r="P2556">
        <v>0</v>
      </c>
      <c r="Q2556">
        <v>1</v>
      </c>
      <c r="R2556" t="s">
        <v>44908</v>
      </c>
      <c r="S2556" t="s">
        <v>45042</v>
      </c>
      <c r="T2556" t="s">
        <v>46622</v>
      </c>
      <c r="U2556" t="s">
        <v>49033</v>
      </c>
      <c r="W2556" t="s">
        <v>41980</v>
      </c>
      <c r="X2556" t="s">
        <v>44910</v>
      </c>
    </row>
    <row r="2557" spans="1:24">
      <c r="A2557">
        <f>HYPERLINK("https://www.philgeps.gov.ph/GEPSNONPILOT/Tender/SplashBidNoticeAbstractUI.aspx?menuIndex=3&amp;refID=7078318&amp;Result=3","7078318")</f>
        <v>0</v>
      </c>
      <c r="B2557" t="s">
        <v>88</v>
      </c>
      <c r="C2557" t="s">
        <v>5989</v>
      </c>
      <c r="D2557" t="s">
        <v>18135</v>
      </c>
      <c r="E2557" t="s">
        <v>20539</v>
      </c>
      <c r="F2557" t="s">
        <v>31362</v>
      </c>
      <c r="G2557" t="s">
        <v>31370</v>
      </c>
      <c r="H2557" t="s">
        <v>15799</v>
      </c>
      <c r="I2557" t="s">
        <v>31384</v>
      </c>
      <c r="J2557" t="s">
        <v>31575</v>
      </c>
      <c r="K2557" t="s">
        <v>40662</v>
      </c>
      <c r="M2557" t="s">
        <v>41967</v>
      </c>
      <c r="N2557" t="s">
        <v>44905</v>
      </c>
      <c r="O2557" t="s">
        <v>44906</v>
      </c>
      <c r="P2557">
        <v>0</v>
      </c>
      <c r="Q2557">
        <v>2</v>
      </c>
      <c r="R2557" t="s">
        <v>44908</v>
      </c>
      <c r="S2557" t="s">
        <v>45042</v>
      </c>
      <c r="T2557" t="s">
        <v>46507</v>
      </c>
      <c r="U2557" t="s">
        <v>49034</v>
      </c>
      <c r="V2557" t="s">
        <v>59324</v>
      </c>
      <c r="W2557" t="s">
        <v>41967</v>
      </c>
      <c r="X2557" t="s">
        <v>44910</v>
      </c>
    </row>
    <row r="2558" spans="1:24">
      <c r="A2558">
        <f>HYPERLINK("https://www.philgeps.gov.ph/GEPSNONPILOT/Tender/SplashBidNoticeAbstractUI.aspx?menuIndex=3&amp;refID=7078339&amp;Result=3","7078339")</f>
        <v>0</v>
      </c>
      <c r="B2558" t="s">
        <v>987</v>
      </c>
      <c r="C2558" t="s">
        <v>5990</v>
      </c>
      <c r="D2558" t="s">
        <v>18114</v>
      </c>
      <c r="E2558" t="s">
        <v>20540</v>
      </c>
      <c r="F2558" t="s">
        <v>31362</v>
      </c>
      <c r="G2558" t="s">
        <v>31370</v>
      </c>
      <c r="H2558" t="s">
        <v>15799</v>
      </c>
      <c r="I2558" t="s">
        <v>31449</v>
      </c>
      <c r="J2558" t="s">
        <v>33255</v>
      </c>
      <c r="K2558" t="s">
        <v>40661</v>
      </c>
      <c r="M2558" t="s">
        <v>41981</v>
      </c>
      <c r="N2558" t="s">
        <v>44905</v>
      </c>
      <c r="O2558" t="s">
        <v>44906</v>
      </c>
      <c r="P2558">
        <v>0</v>
      </c>
      <c r="Q2558">
        <v>0</v>
      </c>
      <c r="R2558" t="s">
        <v>44908</v>
      </c>
      <c r="S2558" t="s">
        <v>45042</v>
      </c>
      <c r="T2558" t="s">
        <v>46404</v>
      </c>
      <c r="U2558" t="s">
        <v>49035</v>
      </c>
      <c r="W2558" t="s">
        <v>41981</v>
      </c>
      <c r="X2558" t="s">
        <v>44910</v>
      </c>
    </row>
    <row r="2559" spans="1:24">
      <c r="A2559">
        <f>HYPERLINK("https://www.philgeps.gov.ph/GEPSNONPILOT/Tender/SplashBidNoticeAbstractUI.aspx?menuIndex=3&amp;refID=7078300&amp;Result=3","7078300")</f>
        <v>0</v>
      </c>
      <c r="B2559" t="s">
        <v>88</v>
      </c>
      <c r="C2559" t="s">
        <v>5991</v>
      </c>
      <c r="D2559" t="s">
        <v>18135</v>
      </c>
      <c r="E2559" t="s">
        <v>20541</v>
      </c>
      <c r="F2559" t="s">
        <v>31362</v>
      </c>
      <c r="G2559" t="s">
        <v>31368</v>
      </c>
      <c r="H2559" t="s">
        <v>15799</v>
      </c>
      <c r="I2559" t="s">
        <v>6240</v>
      </c>
      <c r="J2559" t="s">
        <v>33256</v>
      </c>
      <c r="K2559" t="s">
        <v>40662</v>
      </c>
      <c r="M2559" t="s">
        <v>41967</v>
      </c>
      <c r="N2559" t="s">
        <v>44905</v>
      </c>
      <c r="O2559" t="s">
        <v>44906</v>
      </c>
      <c r="P2559">
        <v>0</v>
      </c>
      <c r="Q2559">
        <v>0</v>
      </c>
      <c r="R2559" t="s">
        <v>44908</v>
      </c>
      <c r="S2559" t="s">
        <v>45042</v>
      </c>
      <c r="T2559" t="s">
        <v>46507</v>
      </c>
      <c r="U2559" t="s">
        <v>49036</v>
      </c>
      <c r="V2559" t="s">
        <v>59325</v>
      </c>
      <c r="W2559" t="s">
        <v>41967</v>
      </c>
      <c r="X2559" t="s">
        <v>44910</v>
      </c>
    </row>
    <row r="2560" spans="1:24">
      <c r="A2560">
        <f>HYPERLINK("https://www.philgeps.gov.ph/GEPSNONPILOT/Tender/SplashBidNoticeAbstractUI.aspx?menuIndex=3&amp;refID=7077867&amp;Result=3","7077867")</f>
        <v>0</v>
      </c>
      <c r="B2560" t="s">
        <v>988</v>
      </c>
      <c r="C2560" t="s">
        <v>5992</v>
      </c>
      <c r="D2560" t="s">
        <v>18111</v>
      </c>
      <c r="E2560" t="s">
        <v>20542</v>
      </c>
      <c r="F2560" t="s">
        <v>31362</v>
      </c>
      <c r="G2560" t="s">
        <v>31370</v>
      </c>
      <c r="H2560" t="s">
        <v>15799</v>
      </c>
      <c r="I2560" t="s">
        <v>31385</v>
      </c>
      <c r="J2560" t="s">
        <v>33257</v>
      </c>
      <c r="K2560" t="s">
        <v>40670</v>
      </c>
      <c r="L2560" t="s">
        <v>988</v>
      </c>
      <c r="M2560" t="s">
        <v>41982</v>
      </c>
      <c r="N2560" t="s">
        <v>44905</v>
      </c>
      <c r="O2560" t="s">
        <v>44906</v>
      </c>
      <c r="P2560">
        <v>0</v>
      </c>
      <c r="Q2560">
        <v>3</v>
      </c>
      <c r="R2560" t="s">
        <v>44908</v>
      </c>
      <c r="S2560" t="s">
        <v>45042</v>
      </c>
      <c r="T2560" t="s">
        <v>46393</v>
      </c>
      <c r="U2560" t="s">
        <v>49037</v>
      </c>
      <c r="V2560" t="s">
        <v>59326</v>
      </c>
      <c r="W2560" t="s">
        <v>41982</v>
      </c>
      <c r="X2560" t="s">
        <v>44910</v>
      </c>
    </row>
    <row r="2561" spans="1:24">
      <c r="A2561">
        <f>HYPERLINK("https://www.philgeps.gov.ph/GEPSNONPILOT/Tender/SplashBidNoticeAbstractUI.aspx?menuIndex=3&amp;refID=7078296&amp;Result=3","7078296")</f>
        <v>0</v>
      </c>
      <c r="B2561" t="s">
        <v>268</v>
      </c>
      <c r="C2561" t="s">
        <v>5993</v>
      </c>
      <c r="D2561" t="s">
        <v>18165</v>
      </c>
      <c r="E2561" t="s">
        <v>20543</v>
      </c>
      <c r="F2561" t="s">
        <v>31362</v>
      </c>
      <c r="G2561" t="s">
        <v>31369</v>
      </c>
      <c r="H2561" t="s">
        <v>15799</v>
      </c>
      <c r="I2561" t="s">
        <v>31430</v>
      </c>
      <c r="J2561" t="s">
        <v>32047</v>
      </c>
      <c r="K2561" t="s">
        <v>40661</v>
      </c>
      <c r="M2561" t="s">
        <v>41210</v>
      </c>
      <c r="N2561" t="s">
        <v>44905</v>
      </c>
      <c r="O2561" t="s">
        <v>44906</v>
      </c>
      <c r="P2561">
        <v>0</v>
      </c>
      <c r="Q2561">
        <v>0</v>
      </c>
      <c r="R2561" t="s">
        <v>44908</v>
      </c>
      <c r="S2561" t="s">
        <v>45042</v>
      </c>
      <c r="T2561" t="s">
        <v>46560</v>
      </c>
      <c r="U2561" t="s">
        <v>49038</v>
      </c>
      <c r="V2561" t="s">
        <v>59327</v>
      </c>
      <c r="W2561" t="s">
        <v>41210</v>
      </c>
      <c r="X2561" t="s">
        <v>44910</v>
      </c>
    </row>
    <row r="2562" spans="1:24">
      <c r="A2562">
        <f>HYPERLINK("https://www.philgeps.gov.ph/GEPSNONPILOT/Tender/SplashBidNoticeAbstractUI.aspx?menuIndex=3&amp;refID=7078284&amp;Result=3","7078284")</f>
        <v>0</v>
      </c>
      <c r="B2562" t="s">
        <v>88</v>
      </c>
      <c r="C2562" t="s">
        <v>5994</v>
      </c>
      <c r="D2562" t="s">
        <v>18135</v>
      </c>
      <c r="E2562" t="s">
        <v>20544</v>
      </c>
      <c r="F2562" t="s">
        <v>31362</v>
      </c>
      <c r="G2562" t="s">
        <v>31370</v>
      </c>
      <c r="H2562" t="s">
        <v>15799</v>
      </c>
      <c r="I2562" t="s">
        <v>31393</v>
      </c>
      <c r="J2562" t="s">
        <v>31806</v>
      </c>
      <c r="K2562" t="s">
        <v>40662</v>
      </c>
      <c r="M2562" t="s">
        <v>41967</v>
      </c>
      <c r="N2562" t="s">
        <v>44905</v>
      </c>
      <c r="O2562" t="s">
        <v>44906</v>
      </c>
      <c r="P2562">
        <v>0</v>
      </c>
      <c r="Q2562">
        <v>0</v>
      </c>
      <c r="R2562" t="s">
        <v>44908</v>
      </c>
      <c r="S2562" t="s">
        <v>45042</v>
      </c>
      <c r="T2562" t="s">
        <v>46507</v>
      </c>
      <c r="U2562" t="s">
        <v>49039</v>
      </c>
      <c r="V2562" t="s">
        <v>59328</v>
      </c>
      <c r="W2562" t="s">
        <v>41967</v>
      </c>
      <c r="X2562" t="s">
        <v>44910</v>
      </c>
    </row>
    <row r="2563" spans="1:24">
      <c r="A2563">
        <f>HYPERLINK("https://www.philgeps.gov.ph/GEPSNONPILOT/Tender/SplashBidNoticeAbstractUI.aspx?menuIndex=3&amp;refID=7078264&amp;Result=3","7078264")</f>
        <v>0</v>
      </c>
      <c r="B2563" t="s">
        <v>88</v>
      </c>
      <c r="C2563" t="s">
        <v>4097</v>
      </c>
      <c r="D2563" t="s">
        <v>18135</v>
      </c>
      <c r="E2563" t="s">
        <v>20545</v>
      </c>
      <c r="F2563" t="s">
        <v>31362</v>
      </c>
      <c r="G2563" t="s">
        <v>31370</v>
      </c>
      <c r="H2563" t="s">
        <v>15799</v>
      </c>
      <c r="I2563" t="s">
        <v>6373</v>
      </c>
      <c r="J2563" t="s">
        <v>33258</v>
      </c>
      <c r="K2563" t="s">
        <v>40662</v>
      </c>
      <c r="M2563" t="s">
        <v>41967</v>
      </c>
      <c r="N2563" t="s">
        <v>44905</v>
      </c>
      <c r="O2563" t="s">
        <v>44906</v>
      </c>
      <c r="P2563">
        <v>0</v>
      </c>
      <c r="Q2563">
        <v>2</v>
      </c>
      <c r="R2563" t="s">
        <v>44908</v>
      </c>
      <c r="S2563" t="s">
        <v>45042</v>
      </c>
      <c r="T2563" t="s">
        <v>46507</v>
      </c>
      <c r="U2563" t="s">
        <v>49040</v>
      </c>
      <c r="V2563" t="s">
        <v>59329</v>
      </c>
      <c r="W2563" t="s">
        <v>41967</v>
      </c>
      <c r="X2563" t="s">
        <v>44910</v>
      </c>
    </row>
    <row r="2564" spans="1:24">
      <c r="A2564">
        <f>HYPERLINK("https://www.philgeps.gov.ph/GEPSNONPILOT/Tender/SplashBidNoticeAbstractUI.aspx?menuIndex=3&amp;refID=7078406&amp;Result=3","7078406")</f>
        <v>0</v>
      </c>
      <c r="B2564" t="s">
        <v>989</v>
      </c>
      <c r="C2564" t="s">
        <v>5995</v>
      </c>
      <c r="D2564" t="s">
        <v>18158</v>
      </c>
      <c r="E2564" t="s">
        <v>20546</v>
      </c>
      <c r="F2564" t="s">
        <v>31362</v>
      </c>
      <c r="G2564" t="s">
        <v>31369</v>
      </c>
      <c r="H2564" t="s">
        <v>15799</v>
      </c>
      <c r="I2564" t="s">
        <v>3815</v>
      </c>
      <c r="J2564" t="s">
        <v>33259</v>
      </c>
      <c r="K2564" t="s">
        <v>40665</v>
      </c>
      <c r="M2564" t="s">
        <v>41983</v>
      </c>
      <c r="N2564" t="s">
        <v>44905</v>
      </c>
      <c r="O2564" t="s">
        <v>44906</v>
      </c>
      <c r="P2564">
        <v>0</v>
      </c>
      <c r="Q2564">
        <v>0</v>
      </c>
      <c r="R2564" t="s">
        <v>44908</v>
      </c>
      <c r="S2564" t="s">
        <v>45042</v>
      </c>
      <c r="T2564" t="s">
        <v>46519</v>
      </c>
      <c r="U2564" t="s">
        <v>49041</v>
      </c>
      <c r="W2564" t="s">
        <v>41983</v>
      </c>
      <c r="X2564" t="s">
        <v>44910</v>
      </c>
    </row>
    <row r="2565" spans="1:24">
      <c r="A2565">
        <f>HYPERLINK("https://www.philgeps.gov.ph/GEPSNONPILOT/Tender/SplashBidNoticeAbstractUI.aspx?menuIndex=3&amp;refID=7078402&amp;Result=3","7078402")</f>
        <v>0</v>
      </c>
      <c r="B2565" t="s">
        <v>990</v>
      </c>
      <c r="C2565" t="s">
        <v>5996</v>
      </c>
      <c r="D2565" t="s">
        <v>18104</v>
      </c>
      <c r="E2565" t="s">
        <v>20547</v>
      </c>
      <c r="F2565" t="s">
        <v>31362</v>
      </c>
      <c r="G2565" t="s">
        <v>31368</v>
      </c>
      <c r="H2565" t="s">
        <v>15799</v>
      </c>
      <c r="I2565" t="s">
        <v>7719</v>
      </c>
      <c r="J2565" t="s">
        <v>33260</v>
      </c>
      <c r="K2565" t="s">
        <v>40682</v>
      </c>
      <c r="M2565" t="s">
        <v>41984</v>
      </c>
      <c r="N2565" t="s">
        <v>44905</v>
      </c>
      <c r="O2565" t="s">
        <v>44906</v>
      </c>
      <c r="P2565">
        <v>0</v>
      </c>
      <c r="Q2565">
        <v>3</v>
      </c>
      <c r="R2565" t="s">
        <v>44908</v>
      </c>
      <c r="S2565" t="s">
        <v>45042</v>
      </c>
      <c r="T2565" t="s">
        <v>46409</v>
      </c>
      <c r="U2565" t="s">
        <v>49042</v>
      </c>
      <c r="W2565" t="s">
        <v>41984</v>
      </c>
      <c r="X2565" t="s">
        <v>44910</v>
      </c>
    </row>
    <row r="2566" spans="1:24">
      <c r="A2566">
        <f>HYPERLINK("https://www.philgeps.gov.ph/GEPSNONPILOT/Tender/SplashBidNoticeAbstractUI.aspx?menuIndex=3&amp;refID=7078395&amp;Result=3","7078395")</f>
        <v>0</v>
      </c>
      <c r="B2566" t="s">
        <v>991</v>
      </c>
      <c r="C2566" t="s">
        <v>5997</v>
      </c>
      <c r="D2566" t="s">
        <v>18132</v>
      </c>
      <c r="E2566" t="s">
        <v>20548</v>
      </c>
      <c r="F2566" t="s">
        <v>31362</v>
      </c>
      <c r="G2566" t="s">
        <v>31368</v>
      </c>
      <c r="H2566" t="s">
        <v>15799</v>
      </c>
      <c r="I2566" t="s">
        <v>31393</v>
      </c>
      <c r="J2566" t="s">
        <v>32308</v>
      </c>
      <c r="K2566" t="s">
        <v>40697</v>
      </c>
      <c r="M2566" t="s">
        <v>41985</v>
      </c>
      <c r="N2566" t="s">
        <v>44905</v>
      </c>
      <c r="O2566" t="s">
        <v>44906</v>
      </c>
      <c r="P2566">
        <v>0</v>
      </c>
      <c r="Q2566">
        <v>0</v>
      </c>
      <c r="R2566" t="s">
        <v>44908</v>
      </c>
      <c r="S2566" t="s">
        <v>45042</v>
      </c>
      <c r="T2566" t="s">
        <v>46443</v>
      </c>
      <c r="U2566" t="s">
        <v>49043</v>
      </c>
      <c r="W2566" t="s">
        <v>41985</v>
      </c>
      <c r="X2566" t="s">
        <v>44910</v>
      </c>
    </row>
    <row r="2567" spans="1:24">
      <c r="A2567">
        <f>HYPERLINK("https://www.philgeps.gov.ph/GEPSNONPILOT/Tender/SplashBidNoticeAbstractUI.aspx?menuIndex=3&amp;refID=7078315&amp;Result=3","7078315")</f>
        <v>0</v>
      </c>
      <c r="B2567" t="s">
        <v>855</v>
      </c>
      <c r="C2567" t="s">
        <v>5998</v>
      </c>
      <c r="E2567" t="s">
        <v>20549</v>
      </c>
      <c r="F2567" t="s">
        <v>31362</v>
      </c>
      <c r="G2567" t="s">
        <v>31368</v>
      </c>
      <c r="H2567" t="s">
        <v>15799</v>
      </c>
      <c r="I2567" t="s">
        <v>31455</v>
      </c>
      <c r="J2567" t="s">
        <v>31591</v>
      </c>
      <c r="K2567" t="s">
        <v>40665</v>
      </c>
      <c r="M2567" t="s">
        <v>41831</v>
      </c>
      <c r="N2567" t="s">
        <v>44905</v>
      </c>
      <c r="O2567" t="s">
        <v>44906</v>
      </c>
      <c r="P2567">
        <v>0</v>
      </c>
      <c r="Q2567">
        <v>4</v>
      </c>
      <c r="R2567" t="s">
        <v>44908</v>
      </c>
      <c r="S2567" t="s">
        <v>45042</v>
      </c>
      <c r="T2567" t="s">
        <v>46507</v>
      </c>
      <c r="U2567" t="s">
        <v>49044</v>
      </c>
      <c r="W2567" t="s">
        <v>41831</v>
      </c>
      <c r="X2567" t="s">
        <v>44910</v>
      </c>
    </row>
    <row r="2568" spans="1:24">
      <c r="A2568">
        <f>HYPERLINK("https://www.philgeps.gov.ph/GEPSNONPILOT/Tender/SplashBidNoticeAbstractUI.aspx?menuIndex=3&amp;refID=7078387&amp;Result=3","7078387")</f>
        <v>0</v>
      </c>
      <c r="B2568" t="s">
        <v>88</v>
      </c>
      <c r="C2568" t="s">
        <v>5994</v>
      </c>
      <c r="D2568" t="s">
        <v>18135</v>
      </c>
      <c r="E2568" t="s">
        <v>20550</v>
      </c>
      <c r="F2568" t="s">
        <v>31362</v>
      </c>
      <c r="G2568" t="s">
        <v>31368</v>
      </c>
      <c r="H2568" t="s">
        <v>15799</v>
      </c>
      <c r="I2568" t="s">
        <v>31393</v>
      </c>
      <c r="J2568" t="s">
        <v>31734</v>
      </c>
      <c r="K2568" t="s">
        <v>40662</v>
      </c>
      <c r="M2568" t="s">
        <v>41967</v>
      </c>
      <c r="N2568" t="s">
        <v>44905</v>
      </c>
      <c r="O2568" t="s">
        <v>44906</v>
      </c>
      <c r="P2568">
        <v>0</v>
      </c>
      <c r="Q2568">
        <v>0</v>
      </c>
      <c r="R2568" t="s">
        <v>44908</v>
      </c>
      <c r="S2568" t="s">
        <v>45042</v>
      </c>
      <c r="T2568" t="s">
        <v>46507</v>
      </c>
      <c r="U2568" t="s">
        <v>49045</v>
      </c>
      <c r="V2568" t="s">
        <v>59330</v>
      </c>
      <c r="W2568" t="s">
        <v>41967</v>
      </c>
      <c r="X2568" t="s">
        <v>44910</v>
      </c>
    </row>
    <row r="2569" spans="1:24">
      <c r="A2569">
        <f>HYPERLINK("https://www.philgeps.gov.ph/GEPSNONPILOT/Tender/SplashBidNoticeAbstractUI.aspx?menuIndex=3&amp;refID=7078332&amp;Result=3","7078332")</f>
        <v>0</v>
      </c>
      <c r="B2569" t="s">
        <v>88</v>
      </c>
      <c r="C2569" t="s">
        <v>5999</v>
      </c>
      <c r="D2569" t="s">
        <v>18135</v>
      </c>
      <c r="E2569" t="s">
        <v>20551</v>
      </c>
      <c r="F2569" t="s">
        <v>31362</v>
      </c>
      <c r="G2569" t="s">
        <v>31370</v>
      </c>
      <c r="H2569" t="s">
        <v>15799</v>
      </c>
      <c r="I2569" t="s">
        <v>31380</v>
      </c>
      <c r="J2569" t="s">
        <v>33261</v>
      </c>
      <c r="K2569" t="s">
        <v>40662</v>
      </c>
      <c r="M2569" t="s">
        <v>41967</v>
      </c>
      <c r="N2569" t="s">
        <v>44905</v>
      </c>
      <c r="O2569" t="s">
        <v>44906</v>
      </c>
      <c r="P2569">
        <v>0</v>
      </c>
      <c r="Q2569">
        <v>0</v>
      </c>
      <c r="R2569" t="s">
        <v>44908</v>
      </c>
      <c r="S2569" t="s">
        <v>45042</v>
      </c>
      <c r="T2569" t="s">
        <v>46507</v>
      </c>
      <c r="U2569" t="s">
        <v>49046</v>
      </c>
      <c r="V2569" t="s">
        <v>59319</v>
      </c>
      <c r="W2569" t="s">
        <v>41967</v>
      </c>
      <c r="X2569" t="s">
        <v>44910</v>
      </c>
    </row>
    <row r="2570" spans="1:24">
      <c r="A2570">
        <f>HYPERLINK("https://www.philgeps.gov.ph/GEPSNONPILOT/Tender/SplashBidNoticeAbstractUI.aspx?menuIndex=3&amp;refID=7078379&amp;Result=3","7078379")</f>
        <v>0</v>
      </c>
      <c r="B2570" t="s">
        <v>520</v>
      </c>
      <c r="C2570" t="s">
        <v>6000</v>
      </c>
      <c r="D2570" t="s">
        <v>18106</v>
      </c>
      <c r="E2570" t="s">
        <v>20552</v>
      </c>
      <c r="F2570" t="s">
        <v>31362</v>
      </c>
      <c r="G2570" t="s">
        <v>31368</v>
      </c>
      <c r="H2570" t="s">
        <v>15799</v>
      </c>
      <c r="I2570" t="s">
        <v>7188</v>
      </c>
      <c r="J2570" t="s">
        <v>31536</v>
      </c>
      <c r="K2570" t="s">
        <v>40666</v>
      </c>
      <c r="M2570" t="s">
        <v>41476</v>
      </c>
      <c r="N2570" t="s">
        <v>44905</v>
      </c>
      <c r="O2570" t="s">
        <v>44906</v>
      </c>
      <c r="P2570">
        <v>0</v>
      </c>
      <c r="Q2570">
        <v>8</v>
      </c>
      <c r="R2570" t="s">
        <v>44908</v>
      </c>
      <c r="S2570" t="s">
        <v>45042</v>
      </c>
      <c r="T2570" t="s">
        <v>46438</v>
      </c>
      <c r="U2570" t="s">
        <v>49047</v>
      </c>
      <c r="W2570" t="s">
        <v>41476</v>
      </c>
      <c r="X2570" t="s">
        <v>44910</v>
      </c>
    </row>
    <row r="2571" spans="1:24">
      <c r="A2571">
        <f>HYPERLINK("https://www.philgeps.gov.ph/GEPSNONPILOT/Tender/SplashBidNoticeAbstractUI.aspx?menuIndex=3&amp;refID=7078377&amp;Result=3","7078377")</f>
        <v>0</v>
      </c>
      <c r="B2571" t="s">
        <v>658</v>
      </c>
      <c r="C2571" t="s">
        <v>6001</v>
      </c>
      <c r="D2571" t="s">
        <v>18108</v>
      </c>
      <c r="E2571" t="s">
        <v>20553</v>
      </c>
      <c r="F2571" t="s">
        <v>31362</v>
      </c>
      <c r="G2571" t="s">
        <v>31369</v>
      </c>
      <c r="H2571" t="s">
        <v>15799</v>
      </c>
      <c r="I2571" t="s">
        <v>31396</v>
      </c>
      <c r="J2571" t="s">
        <v>33262</v>
      </c>
      <c r="K2571" t="s">
        <v>40662</v>
      </c>
      <c r="M2571" t="s">
        <v>41986</v>
      </c>
      <c r="N2571" t="s">
        <v>44905</v>
      </c>
      <c r="O2571" t="s">
        <v>44906</v>
      </c>
      <c r="P2571">
        <v>0</v>
      </c>
      <c r="Q2571">
        <v>8</v>
      </c>
      <c r="R2571" t="s">
        <v>44908</v>
      </c>
      <c r="S2571" t="s">
        <v>45042</v>
      </c>
      <c r="T2571" t="s">
        <v>46401</v>
      </c>
      <c r="U2571" t="s">
        <v>49048</v>
      </c>
      <c r="V2571" t="s">
        <v>59331</v>
      </c>
      <c r="W2571" t="s">
        <v>41986</v>
      </c>
      <c r="X2571" t="s">
        <v>44910</v>
      </c>
    </row>
    <row r="2572" spans="1:24">
      <c r="A2572">
        <f>HYPERLINK("https://www.philgeps.gov.ph/GEPSNONPILOT/Tender/SplashBidNoticeAbstractUI.aspx?menuIndex=3&amp;refID=7078375&amp;Result=3","7078375")</f>
        <v>0</v>
      </c>
      <c r="B2572" t="s">
        <v>88</v>
      </c>
      <c r="C2572" t="s">
        <v>5991</v>
      </c>
      <c r="D2572" t="s">
        <v>18135</v>
      </c>
      <c r="E2572" t="s">
        <v>20554</v>
      </c>
      <c r="F2572" t="s">
        <v>31362</v>
      </c>
      <c r="G2572" t="s">
        <v>31368</v>
      </c>
      <c r="H2572" t="s">
        <v>15799</v>
      </c>
      <c r="I2572" t="s">
        <v>6240</v>
      </c>
      <c r="J2572" t="s">
        <v>31792</v>
      </c>
      <c r="K2572" t="s">
        <v>40662</v>
      </c>
      <c r="M2572" t="s">
        <v>41967</v>
      </c>
      <c r="N2572" t="s">
        <v>44905</v>
      </c>
      <c r="O2572" t="s">
        <v>44906</v>
      </c>
      <c r="P2572">
        <v>0</v>
      </c>
      <c r="Q2572">
        <v>0</v>
      </c>
      <c r="R2572" t="s">
        <v>44908</v>
      </c>
      <c r="S2572" t="s">
        <v>45042</v>
      </c>
      <c r="T2572" t="s">
        <v>46507</v>
      </c>
      <c r="U2572" t="s">
        <v>49049</v>
      </c>
      <c r="V2572" t="s">
        <v>59332</v>
      </c>
      <c r="W2572" t="s">
        <v>41967</v>
      </c>
      <c r="X2572" t="s">
        <v>44910</v>
      </c>
    </row>
    <row r="2573" spans="1:24">
      <c r="A2573">
        <f>HYPERLINK("https://www.philgeps.gov.ph/GEPSNONPILOT/Tender/SplashBidNoticeAbstractUI.aspx?menuIndex=3&amp;refID=7078369&amp;Result=3","7078369")</f>
        <v>0</v>
      </c>
      <c r="B2573" t="s">
        <v>981</v>
      </c>
      <c r="C2573" t="s">
        <v>6002</v>
      </c>
      <c r="D2573" t="s">
        <v>18117</v>
      </c>
      <c r="E2573" t="s">
        <v>20555</v>
      </c>
      <c r="F2573" t="s">
        <v>31362</v>
      </c>
      <c r="G2573" t="s">
        <v>31369</v>
      </c>
      <c r="H2573" t="s">
        <v>15799</v>
      </c>
      <c r="I2573" t="s">
        <v>3815</v>
      </c>
      <c r="J2573" t="s">
        <v>33263</v>
      </c>
      <c r="K2573" t="s">
        <v>40677</v>
      </c>
      <c r="M2573" t="s">
        <v>41973</v>
      </c>
      <c r="N2573" t="s">
        <v>44905</v>
      </c>
      <c r="O2573" t="s">
        <v>44906</v>
      </c>
      <c r="P2573">
        <v>0</v>
      </c>
      <c r="Q2573">
        <v>0</v>
      </c>
      <c r="R2573" t="s">
        <v>44908</v>
      </c>
      <c r="S2573" t="s">
        <v>45042</v>
      </c>
      <c r="T2573" t="s">
        <v>46465</v>
      </c>
      <c r="U2573" t="s">
        <v>47376</v>
      </c>
      <c r="V2573" t="s">
        <v>59317</v>
      </c>
      <c r="W2573" t="s">
        <v>41973</v>
      </c>
      <c r="X2573" t="s">
        <v>44910</v>
      </c>
    </row>
    <row r="2574" spans="1:24">
      <c r="A2574">
        <f>HYPERLINK("https://www.philgeps.gov.ph/GEPSNONPILOT/Tender/SplashBidNoticeAbstractUI.aspx?menuIndex=3&amp;refID=7078367&amp;Result=3","7078367")</f>
        <v>0</v>
      </c>
      <c r="B2574" t="s">
        <v>88</v>
      </c>
      <c r="C2574" t="s">
        <v>6003</v>
      </c>
      <c r="D2574" t="s">
        <v>18135</v>
      </c>
      <c r="E2574" t="s">
        <v>20556</v>
      </c>
      <c r="F2574" t="s">
        <v>31362</v>
      </c>
      <c r="G2574" t="s">
        <v>31370</v>
      </c>
      <c r="H2574" t="s">
        <v>15799</v>
      </c>
      <c r="I2574" t="s">
        <v>4283</v>
      </c>
      <c r="J2574" t="s">
        <v>33264</v>
      </c>
      <c r="K2574" t="s">
        <v>40662</v>
      </c>
      <c r="M2574" t="s">
        <v>41967</v>
      </c>
      <c r="N2574" t="s">
        <v>44905</v>
      </c>
      <c r="O2574" t="s">
        <v>44906</v>
      </c>
      <c r="P2574">
        <v>0</v>
      </c>
      <c r="Q2574">
        <v>1</v>
      </c>
      <c r="R2574" t="s">
        <v>44908</v>
      </c>
      <c r="S2574" t="s">
        <v>45042</v>
      </c>
      <c r="T2574" t="s">
        <v>46507</v>
      </c>
      <c r="U2574" t="s">
        <v>49050</v>
      </c>
      <c r="V2574" t="s">
        <v>59333</v>
      </c>
      <c r="W2574" t="s">
        <v>41967</v>
      </c>
      <c r="X2574" t="s">
        <v>44910</v>
      </c>
    </row>
    <row r="2575" spans="1:24">
      <c r="A2575">
        <f>HYPERLINK("https://www.philgeps.gov.ph/GEPSNONPILOT/Tender/SplashBidNoticeAbstractUI.aspx?menuIndex=3&amp;refID=7078364&amp;Result=3","7078364")</f>
        <v>0</v>
      </c>
      <c r="B2575" t="s">
        <v>268</v>
      </c>
      <c r="C2575" t="s">
        <v>6004</v>
      </c>
      <c r="D2575" t="s">
        <v>18165</v>
      </c>
      <c r="E2575" t="s">
        <v>20557</v>
      </c>
      <c r="F2575" t="s">
        <v>31362</v>
      </c>
      <c r="G2575" t="s">
        <v>31369</v>
      </c>
      <c r="H2575" t="s">
        <v>15799</v>
      </c>
      <c r="I2575" t="s">
        <v>31430</v>
      </c>
      <c r="J2575" t="s">
        <v>32412</v>
      </c>
      <c r="K2575" t="s">
        <v>40661</v>
      </c>
      <c r="M2575" t="s">
        <v>41210</v>
      </c>
      <c r="N2575" t="s">
        <v>44905</v>
      </c>
      <c r="O2575" t="s">
        <v>44906</v>
      </c>
      <c r="P2575">
        <v>0</v>
      </c>
      <c r="Q2575">
        <v>0</v>
      </c>
      <c r="R2575" t="s">
        <v>44908</v>
      </c>
      <c r="S2575" t="s">
        <v>45042</v>
      </c>
      <c r="T2575" t="s">
        <v>46560</v>
      </c>
      <c r="U2575" t="s">
        <v>49051</v>
      </c>
      <c r="V2575" t="s">
        <v>59334</v>
      </c>
      <c r="W2575" t="s">
        <v>41210</v>
      </c>
      <c r="X2575" t="s">
        <v>44910</v>
      </c>
    </row>
    <row r="2576" spans="1:24">
      <c r="A2576">
        <f>HYPERLINK("https://www.philgeps.gov.ph/GEPSNONPILOT/Tender/SplashBidNoticeAbstractUI.aspx?menuIndex=3&amp;refID=7078290&amp;Result=3","7078290")</f>
        <v>0</v>
      </c>
      <c r="B2576" t="s">
        <v>992</v>
      </c>
      <c r="C2576" t="s">
        <v>6005</v>
      </c>
      <c r="D2576" t="s">
        <v>18127</v>
      </c>
      <c r="E2576" t="s">
        <v>20558</v>
      </c>
      <c r="F2576" t="s">
        <v>31362</v>
      </c>
      <c r="G2576" t="s">
        <v>31369</v>
      </c>
      <c r="H2576" t="s">
        <v>15799</v>
      </c>
      <c r="I2576" t="s">
        <v>31409</v>
      </c>
      <c r="J2576" t="s">
        <v>31542</v>
      </c>
      <c r="K2576" t="s">
        <v>40675</v>
      </c>
      <c r="M2576" t="s">
        <v>41987</v>
      </c>
      <c r="N2576" t="s">
        <v>44905</v>
      </c>
      <c r="O2576" t="s">
        <v>44906</v>
      </c>
      <c r="P2576">
        <v>0</v>
      </c>
      <c r="Q2576">
        <v>3</v>
      </c>
      <c r="R2576" t="s">
        <v>44908</v>
      </c>
      <c r="S2576" t="s">
        <v>45042</v>
      </c>
      <c r="T2576" t="s">
        <v>46401</v>
      </c>
      <c r="U2576" t="s">
        <v>49052</v>
      </c>
      <c r="W2576" t="s">
        <v>41987</v>
      </c>
      <c r="X2576" t="s">
        <v>44910</v>
      </c>
    </row>
    <row r="2577" spans="1:24">
      <c r="A2577">
        <f>HYPERLINK("https://www.philgeps.gov.ph/GEPSNONPILOT/Tender/SplashBidNoticeAbstractUI.aspx?menuIndex=3&amp;refID=7078356&amp;Result=3","7078356")</f>
        <v>0</v>
      </c>
      <c r="B2577" t="s">
        <v>993</v>
      </c>
      <c r="C2577" t="s">
        <v>6006</v>
      </c>
      <c r="D2577" t="s">
        <v>18103</v>
      </c>
      <c r="E2577" t="s">
        <v>19912</v>
      </c>
      <c r="F2577" t="s">
        <v>31362</v>
      </c>
      <c r="G2577" t="s">
        <v>31369</v>
      </c>
      <c r="H2577" t="s">
        <v>31378</v>
      </c>
      <c r="I2577" t="s">
        <v>31386</v>
      </c>
      <c r="J2577" t="s">
        <v>33265</v>
      </c>
      <c r="K2577" t="s">
        <v>40692</v>
      </c>
      <c r="M2577" t="s">
        <v>41988</v>
      </c>
      <c r="N2577" t="s">
        <v>44905</v>
      </c>
      <c r="O2577" t="s">
        <v>44906</v>
      </c>
      <c r="P2577">
        <v>0</v>
      </c>
      <c r="Q2577">
        <v>0</v>
      </c>
      <c r="R2577" t="s">
        <v>44908</v>
      </c>
      <c r="S2577" t="s">
        <v>45042</v>
      </c>
      <c r="T2577" t="s">
        <v>46522</v>
      </c>
      <c r="U2577" t="s">
        <v>49053</v>
      </c>
      <c r="W2577" t="s">
        <v>41988</v>
      </c>
      <c r="X2577" t="s">
        <v>44910</v>
      </c>
    </row>
    <row r="2578" spans="1:24">
      <c r="A2578">
        <f>HYPERLINK("https://www.philgeps.gov.ph/GEPSNONPILOT/Tender/SplashBidNoticeAbstractUI.aspx?menuIndex=3&amp;refID=7078426&amp;Result=3","7078426")</f>
        <v>0</v>
      </c>
      <c r="B2578" t="s">
        <v>994</v>
      </c>
      <c r="C2578" t="s">
        <v>6007</v>
      </c>
      <c r="D2578" t="s">
        <v>18131</v>
      </c>
      <c r="E2578" t="s">
        <v>20559</v>
      </c>
      <c r="F2578" t="s">
        <v>31362</v>
      </c>
      <c r="G2578" t="s">
        <v>31368</v>
      </c>
      <c r="H2578" t="s">
        <v>31379</v>
      </c>
      <c r="I2578" t="s">
        <v>12925</v>
      </c>
      <c r="J2578" t="s">
        <v>31817</v>
      </c>
      <c r="K2578" t="s">
        <v>40665</v>
      </c>
      <c r="M2578" t="s">
        <v>41989</v>
      </c>
      <c r="N2578" t="s">
        <v>44905</v>
      </c>
      <c r="O2578" t="s">
        <v>44906</v>
      </c>
      <c r="P2578">
        <v>0</v>
      </c>
      <c r="Q2578">
        <v>0</v>
      </c>
      <c r="R2578" t="s">
        <v>44908</v>
      </c>
      <c r="S2578" t="s">
        <v>45042</v>
      </c>
      <c r="T2578" t="s">
        <v>46503</v>
      </c>
      <c r="U2578" t="s">
        <v>49054</v>
      </c>
      <c r="V2578" t="s">
        <v>59335</v>
      </c>
      <c r="W2578" t="s">
        <v>41989</v>
      </c>
      <c r="X2578" t="s">
        <v>44910</v>
      </c>
    </row>
    <row r="2579" spans="1:24">
      <c r="A2579">
        <f>HYPERLINK("https://www.philgeps.gov.ph/GEPSNONPILOT/Tender/SplashBidNoticeAbstractUI.aspx?menuIndex=3&amp;refID=7078415&amp;Result=3","7078415")</f>
        <v>0</v>
      </c>
      <c r="B2579" t="s">
        <v>268</v>
      </c>
      <c r="C2579" t="s">
        <v>6008</v>
      </c>
      <c r="D2579" t="s">
        <v>18165</v>
      </c>
      <c r="E2579" t="s">
        <v>20560</v>
      </c>
      <c r="F2579" t="s">
        <v>31362</v>
      </c>
      <c r="G2579" t="s">
        <v>31369</v>
      </c>
      <c r="H2579" t="s">
        <v>15799</v>
      </c>
      <c r="I2579" t="s">
        <v>31387</v>
      </c>
      <c r="J2579" t="s">
        <v>33266</v>
      </c>
      <c r="K2579" t="s">
        <v>40661</v>
      </c>
      <c r="M2579" t="s">
        <v>41210</v>
      </c>
      <c r="N2579" t="s">
        <v>44905</v>
      </c>
      <c r="O2579" t="s">
        <v>44906</v>
      </c>
      <c r="P2579">
        <v>0</v>
      </c>
      <c r="Q2579">
        <v>0</v>
      </c>
      <c r="R2579" t="s">
        <v>44908</v>
      </c>
      <c r="S2579" t="s">
        <v>45042</v>
      </c>
      <c r="T2579" t="s">
        <v>46560</v>
      </c>
      <c r="U2579" t="s">
        <v>49055</v>
      </c>
      <c r="V2579" t="s">
        <v>59336</v>
      </c>
      <c r="W2579" t="s">
        <v>41210</v>
      </c>
      <c r="X2579" t="s">
        <v>44910</v>
      </c>
    </row>
    <row r="2580" spans="1:24">
      <c r="A2580">
        <f>HYPERLINK("https://www.philgeps.gov.ph/GEPSNONPILOT/Tender/SplashBidNoticeAbstractUI.aspx?menuIndex=3&amp;refID=7078651&amp;Result=3","7078651")</f>
        <v>0</v>
      </c>
      <c r="B2580" t="s">
        <v>995</v>
      </c>
      <c r="C2580" t="s">
        <v>6009</v>
      </c>
      <c r="D2580" t="s">
        <v>18108</v>
      </c>
      <c r="E2580" t="s">
        <v>20561</v>
      </c>
      <c r="F2580" t="s">
        <v>31363</v>
      </c>
      <c r="G2580" t="s">
        <v>31370</v>
      </c>
      <c r="H2580" t="s">
        <v>15799</v>
      </c>
      <c r="I2580" t="s">
        <v>31385</v>
      </c>
      <c r="J2580" t="s">
        <v>33267</v>
      </c>
      <c r="K2580" t="s">
        <v>40662</v>
      </c>
      <c r="M2580" t="s">
        <v>41990</v>
      </c>
      <c r="N2580" t="s">
        <v>44905</v>
      </c>
      <c r="O2580" t="s">
        <v>44906</v>
      </c>
      <c r="P2580">
        <v>0</v>
      </c>
      <c r="Q2580">
        <v>10</v>
      </c>
      <c r="R2580" t="s">
        <v>44908</v>
      </c>
      <c r="S2580" t="s">
        <v>45042</v>
      </c>
      <c r="T2580" t="s">
        <v>46434</v>
      </c>
      <c r="U2580" t="s">
        <v>49056</v>
      </c>
      <c r="V2580" t="s">
        <v>59337</v>
      </c>
      <c r="W2580" t="s">
        <v>41990</v>
      </c>
      <c r="X2580" t="s">
        <v>44910</v>
      </c>
    </row>
    <row r="2581" spans="1:24">
      <c r="A2581">
        <f>HYPERLINK("https://www.philgeps.gov.ph/GEPSNONPILOT/Tender/SplashBidNoticeAbstractUI.aspx?menuIndex=3&amp;refID=7078404&amp;Result=3","7078404")</f>
        <v>0</v>
      </c>
      <c r="B2581" t="s">
        <v>268</v>
      </c>
      <c r="C2581" t="s">
        <v>6010</v>
      </c>
      <c r="D2581" t="s">
        <v>18165</v>
      </c>
      <c r="E2581" t="s">
        <v>20562</v>
      </c>
      <c r="F2581" t="s">
        <v>31362</v>
      </c>
      <c r="G2581" t="s">
        <v>31369</v>
      </c>
      <c r="H2581" t="s">
        <v>15799</v>
      </c>
      <c r="I2581" t="s">
        <v>31387</v>
      </c>
      <c r="J2581" t="s">
        <v>33268</v>
      </c>
      <c r="K2581" t="s">
        <v>40661</v>
      </c>
      <c r="M2581" t="s">
        <v>41210</v>
      </c>
      <c r="N2581" t="s">
        <v>44905</v>
      </c>
      <c r="O2581" t="s">
        <v>44906</v>
      </c>
      <c r="P2581">
        <v>0</v>
      </c>
      <c r="Q2581">
        <v>0</v>
      </c>
      <c r="R2581" t="s">
        <v>44908</v>
      </c>
      <c r="S2581" t="s">
        <v>45042</v>
      </c>
      <c r="T2581" t="s">
        <v>46560</v>
      </c>
      <c r="U2581" t="s">
        <v>49057</v>
      </c>
      <c r="V2581" t="s">
        <v>59338</v>
      </c>
      <c r="W2581" t="s">
        <v>41210</v>
      </c>
      <c r="X2581" t="s">
        <v>44910</v>
      </c>
    </row>
    <row r="2582" spans="1:24">
      <c r="A2582">
        <f>HYPERLINK("https://www.philgeps.gov.ph/GEPSNONPILOT/Tender/SplashBidNoticeAbstractUI.aspx?menuIndex=3&amp;refID=7078650&amp;Result=3","7078650")</f>
        <v>0</v>
      </c>
      <c r="B2582" t="s">
        <v>996</v>
      </c>
      <c r="C2582" t="s">
        <v>6011</v>
      </c>
      <c r="D2582" t="s">
        <v>18165</v>
      </c>
      <c r="E2582" t="s">
        <v>20563</v>
      </c>
      <c r="F2582" t="s">
        <v>31362</v>
      </c>
      <c r="G2582" t="s">
        <v>31369</v>
      </c>
      <c r="H2582" t="s">
        <v>15799</v>
      </c>
      <c r="I2582" t="s">
        <v>3815</v>
      </c>
      <c r="J2582" t="s">
        <v>33269</v>
      </c>
      <c r="K2582" t="s">
        <v>40665</v>
      </c>
      <c r="M2582" t="s">
        <v>41991</v>
      </c>
      <c r="N2582" t="s">
        <v>44905</v>
      </c>
      <c r="O2582" t="s">
        <v>44906</v>
      </c>
      <c r="P2582">
        <v>0</v>
      </c>
      <c r="Q2582">
        <v>0</v>
      </c>
      <c r="R2582" t="s">
        <v>44908</v>
      </c>
      <c r="S2582" t="s">
        <v>45042</v>
      </c>
      <c r="T2582" t="s">
        <v>46577</v>
      </c>
      <c r="U2582" t="s">
        <v>49058</v>
      </c>
      <c r="W2582" t="s">
        <v>41991</v>
      </c>
      <c r="X2582" t="s">
        <v>44910</v>
      </c>
    </row>
    <row r="2583" spans="1:24">
      <c r="A2583">
        <f>HYPERLINK("https://www.philgeps.gov.ph/GEPSNONPILOT/Tender/SplashBidNoticeAbstractUI.aspx?menuIndex=3&amp;refID=7078560&amp;Result=3","7078560")</f>
        <v>0</v>
      </c>
      <c r="B2583" t="s">
        <v>997</v>
      </c>
      <c r="C2583" t="s">
        <v>6012</v>
      </c>
      <c r="D2583" t="s">
        <v>18101</v>
      </c>
      <c r="E2583" t="s">
        <v>20564</v>
      </c>
      <c r="F2583" t="s">
        <v>31362</v>
      </c>
      <c r="G2583" t="s">
        <v>31369</v>
      </c>
      <c r="H2583" t="s">
        <v>31378</v>
      </c>
      <c r="I2583" t="s">
        <v>31386</v>
      </c>
      <c r="J2583" t="s">
        <v>33270</v>
      </c>
      <c r="K2583" t="s">
        <v>40683</v>
      </c>
      <c r="M2583" t="s">
        <v>41992</v>
      </c>
      <c r="N2583" t="s">
        <v>44905</v>
      </c>
      <c r="O2583" t="s">
        <v>44906</v>
      </c>
      <c r="P2583">
        <v>0</v>
      </c>
      <c r="Q2583">
        <v>1</v>
      </c>
      <c r="R2583" t="s">
        <v>44908</v>
      </c>
      <c r="S2583" t="s">
        <v>45042</v>
      </c>
      <c r="T2583" t="s">
        <v>46433</v>
      </c>
      <c r="U2583" t="s">
        <v>49059</v>
      </c>
      <c r="W2583" t="s">
        <v>41992</v>
      </c>
      <c r="X2583" t="s">
        <v>44910</v>
      </c>
    </row>
    <row r="2584" spans="1:24">
      <c r="A2584">
        <f>HYPERLINK("https://www.philgeps.gov.ph/GEPSNONPILOT/Tender/SplashBidNoticeAbstractUI.aspx?menuIndex=3&amp;refID=7078376&amp;Result=3","7078376")</f>
        <v>0</v>
      </c>
      <c r="B2584" t="s">
        <v>998</v>
      </c>
      <c r="C2584" t="s">
        <v>6013</v>
      </c>
      <c r="D2584" t="s">
        <v>18110</v>
      </c>
      <c r="E2584" t="s">
        <v>19404</v>
      </c>
      <c r="F2584" t="s">
        <v>31362</v>
      </c>
      <c r="G2584" t="s">
        <v>31368</v>
      </c>
      <c r="H2584" t="s">
        <v>15799</v>
      </c>
      <c r="I2584" t="s">
        <v>7090</v>
      </c>
      <c r="J2584" t="s">
        <v>31933</v>
      </c>
      <c r="K2584" t="s">
        <v>40693</v>
      </c>
      <c r="M2584" t="s">
        <v>41993</v>
      </c>
      <c r="N2584" t="s">
        <v>44905</v>
      </c>
      <c r="O2584" t="s">
        <v>44906</v>
      </c>
      <c r="P2584">
        <v>0</v>
      </c>
      <c r="Q2584">
        <v>0</v>
      </c>
      <c r="R2584" t="s">
        <v>44908</v>
      </c>
      <c r="S2584" t="s">
        <v>45042</v>
      </c>
      <c r="T2584" t="s">
        <v>46598</v>
      </c>
      <c r="U2584" t="s">
        <v>49060</v>
      </c>
      <c r="W2584" t="s">
        <v>41993</v>
      </c>
      <c r="X2584" t="s">
        <v>44910</v>
      </c>
    </row>
    <row r="2585" spans="1:24">
      <c r="A2585">
        <f>HYPERLINK("https://www.philgeps.gov.ph/GEPSNONPILOT/Tender/SplashBidNoticeAbstractUI.aspx?menuIndex=3&amp;refID=7078606&amp;Result=3","7078606")</f>
        <v>0</v>
      </c>
      <c r="B2585" t="s">
        <v>28</v>
      </c>
      <c r="C2585" t="s">
        <v>6014</v>
      </c>
      <c r="D2585" t="s">
        <v>18102</v>
      </c>
      <c r="E2585" t="s">
        <v>20565</v>
      </c>
      <c r="F2585" t="s">
        <v>31362</v>
      </c>
      <c r="G2585" t="s">
        <v>31369</v>
      </c>
      <c r="H2585" t="s">
        <v>15799</v>
      </c>
      <c r="I2585" t="s">
        <v>31393</v>
      </c>
      <c r="J2585" t="s">
        <v>33271</v>
      </c>
      <c r="K2585" t="s">
        <v>40665</v>
      </c>
      <c r="M2585" t="s">
        <v>41994</v>
      </c>
      <c r="N2585" t="s">
        <v>44905</v>
      </c>
      <c r="O2585" t="s">
        <v>44906</v>
      </c>
      <c r="P2585">
        <v>0</v>
      </c>
      <c r="Q2585">
        <v>11</v>
      </c>
      <c r="R2585" t="s">
        <v>44908</v>
      </c>
      <c r="S2585" t="s">
        <v>45042</v>
      </c>
      <c r="T2585" t="s">
        <v>46448</v>
      </c>
      <c r="U2585" t="s">
        <v>49061</v>
      </c>
      <c r="W2585" t="s">
        <v>41994</v>
      </c>
      <c r="X2585" t="s">
        <v>44910</v>
      </c>
    </row>
    <row r="2586" spans="1:24">
      <c r="A2586">
        <f>HYPERLINK("https://www.philgeps.gov.ph/GEPSNONPILOT/Tender/SplashBidNoticeAbstractUI.aspx?menuIndex=3&amp;refID=7078600&amp;Result=3","7078600")</f>
        <v>0</v>
      </c>
      <c r="B2586" t="s">
        <v>999</v>
      </c>
      <c r="C2586" t="s">
        <v>6015</v>
      </c>
      <c r="D2586" t="s">
        <v>18103</v>
      </c>
      <c r="E2586" t="s">
        <v>20566</v>
      </c>
      <c r="F2586" t="s">
        <v>31362</v>
      </c>
      <c r="G2586" t="s">
        <v>31368</v>
      </c>
      <c r="H2586" t="s">
        <v>15799</v>
      </c>
      <c r="I2586" t="s">
        <v>31388</v>
      </c>
      <c r="J2586" t="s">
        <v>33272</v>
      </c>
      <c r="K2586" t="s">
        <v>40662</v>
      </c>
      <c r="M2586" t="s">
        <v>41995</v>
      </c>
      <c r="N2586" t="s">
        <v>44905</v>
      </c>
      <c r="O2586" t="s">
        <v>44906</v>
      </c>
      <c r="P2586">
        <v>0</v>
      </c>
      <c r="Q2586">
        <v>0</v>
      </c>
      <c r="R2586" t="s">
        <v>44908</v>
      </c>
      <c r="S2586" t="s">
        <v>45042</v>
      </c>
      <c r="T2586" t="s">
        <v>46443</v>
      </c>
      <c r="U2586" t="s">
        <v>49062</v>
      </c>
      <c r="V2586" t="s">
        <v>59339</v>
      </c>
      <c r="W2586" t="s">
        <v>41995</v>
      </c>
      <c r="X2586" t="s">
        <v>44910</v>
      </c>
    </row>
    <row r="2587" spans="1:24">
      <c r="A2587">
        <f>HYPERLINK("https://www.philgeps.gov.ph/GEPSNONPILOT/Tender/SplashBidNoticeAbstractUI.aspx?menuIndex=3&amp;refID=7078549&amp;Result=3","7078549")</f>
        <v>0</v>
      </c>
      <c r="B2587" t="s">
        <v>997</v>
      </c>
      <c r="C2587" t="s">
        <v>6016</v>
      </c>
      <c r="D2587" t="s">
        <v>18101</v>
      </c>
      <c r="E2587" t="s">
        <v>20567</v>
      </c>
      <c r="F2587" t="s">
        <v>31362</v>
      </c>
      <c r="G2587" t="s">
        <v>31369</v>
      </c>
      <c r="H2587" t="s">
        <v>31378</v>
      </c>
      <c r="I2587" t="s">
        <v>31386</v>
      </c>
      <c r="J2587" t="s">
        <v>33273</v>
      </c>
      <c r="K2587" t="s">
        <v>40683</v>
      </c>
      <c r="M2587" t="s">
        <v>41992</v>
      </c>
      <c r="N2587" t="s">
        <v>44905</v>
      </c>
      <c r="O2587" t="s">
        <v>44906</v>
      </c>
      <c r="P2587">
        <v>0</v>
      </c>
      <c r="Q2587">
        <v>1</v>
      </c>
      <c r="R2587" t="s">
        <v>44908</v>
      </c>
      <c r="S2587" t="s">
        <v>45042</v>
      </c>
      <c r="T2587" t="s">
        <v>46433</v>
      </c>
      <c r="U2587" t="s">
        <v>49063</v>
      </c>
      <c r="W2587" t="s">
        <v>41992</v>
      </c>
      <c r="X2587" t="s">
        <v>44910</v>
      </c>
    </row>
    <row r="2588" spans="1:24">
      <c r="A2588">
        <f>HYPERLINK("https://www.philgeps.gov.ph/GEPSNONPILOT/Tender/SplashBidNoticeAbstractUI.aspx?menuIndex=3&amp;refID=7078504&amp;Result=3","7078504")</f>
        <v>0</v>
      </c>
      <c r="B2588" t="s">
        <v>1000</v>
      </c>
      <c r="C2588" t="s">
        <v>6017</v>
      </c>
      <c r="D2588" t="s">
        <v>18135</v>
      </c>
      <c r="E2588" t="s">
        <v>20568</v>
      </c>
      <c r="F2588" t="s">
        <v>31365</v>
      </c>
      <c r="G2588" t="s">
        <v>31369</v>
      </c>
      <c r="H2588" t="s">
        <v>15799</v>
      </c>
      <c r="I2588" t="s">
        <v>3815</v>
      </c>
      <c r="J2588" t="s">
        <v>33274</v>
      </c>
      <c r="K2588" t="s">
        <v>40670</v>
      </c>
      <c r="M2588" t="s">
        <v>41996</v>
      </c>
      <c r="N2588" t="s">
        <v>44905</v>
      </c>
      <c r="O2588" t="s">
        <v>44906</v>
      </c>
      <c r="P2588">
        <v>0</v>
      </c>
      <c r="Q2588">
        <v>0</v>
      </c>
      <c r="R2588" t="s">
        <v>44908</v>
      </c>
      <c r="S2588" t="s">
        <v>45042</v>
      </c>
      <c r="T2588" t="s">
        <v>46623</v>
      </c>
      <c r="U2588" t="s">
        <v>49064</v>
      </c>
      <c r="W2588" t="s">
        <v>41996</v>
      </c>
      <c r="X2588" t="s">
        <v>44910</v>
      </c>
    </row>
    <row r="2589" spans="1:24">
      <c r="A2589">
        <f>HYPERLINK("https://www.philgeps.gov.ph/GEPSNONPILOT/Tender/SplashBidNoticeAbstractUI.aspx?menuIndex=3&amp;refID=7078498&amp;Result=3","7078498")</f>
        <v>0</v>
      </c>
      <c r="B2589" t="s">
        <v>414</v>
      </c>
      <c r="C2589" t="s">
        <v>6018</v>
      </c>
      <c r="E2589" t="s">
        <v>20569</v>
      </c>
      <c r="F2589" t="s">
        <v>31362</v>
      </c>
      <c r="G2589" t="s">
        <v>31373</v>
      </c>
      <c r="H2589" t="s">
        <v>15799</v>
      </c>
      <c r="I2589" t="s">
        <v>31414</v>
      </c>
      <c r="J2589" t="s">
        <v>33275</v>
      </c>
      <c r="K2589" t="s">
        <v>40686</v>
      </c>
      <c r="M2589" t="s">
        <v>41364</v>
      </c>
      <c r="N2589" t="s">
        <v>44905</v>
      </c>
      <c r="O2589" t="s">
        <v>44906</v>
      </c>
      <c r="P2589">
        <v>0</v>
      </c>
      <c r="Q2589">
        <v>13</v>
      </c>
      <c r="R2589" t="s">
        <v>44908</v>
      </c>
      <c r="S2589" t="s">
        <v>45042</v>
      </c>
      <c r="T2589" t="s">
        <v>46429</v>
      </c>
      <c r="U2589" t="s">
        <v>49065</v>
      </c>
      <c r="W2589" t="s">
        <v>41364</v>
      </c>
      <c r="X2589" t="s">
        <v>44910</v>
      </c>
    </row>
    <row r="2590" spans="1:24">
      <c r="A2590">
        <f>HYPERLINK("https://www.philgeps.gov.ph/GEPSNONPILOT/Tender/SplashBidNoticeAbstractUI.aspx?menuIndex=3&amp;refID=7078360&amp;Result=3","7078360")</f>
        <v>0</v>
      </c>
      <c r="B2590" t="s">
        <v>658</v>
      </c>
      <c r="C2590" t="s">
        <v>6019</v>
      </c>
      <c r="D2590" t="s">
        <v>18108</v>
      </c>
      <c r="E2590" t="s">
        <v>20570</v>
      </c>
      <c r="F2590" t="s">
        <v>31362</v>
      </c>
      <c r="G2590" t="s">
        <v>31369</v>
      </c>
      <c r="H2590" t="s">
        <v>15799</v>
      </c>
      <c r="I2590" t="s">
        <v>31396</v>
      </c>
      <c r="J2590" t="s">
        <v>31709</v>
      </c>
      <c r="K2590" t="s">
        <v>40662</v>
      </c>
      <c r="M2590" t="s">
        <v>41986</v>
      </c>
      <c r="N2590" t="s">
        <v>44905</v>
      </c>
      <c r="O2590" t="s">
        <v>44906</v>
      </c>
      <c r="P2590">
        <v>0</v>
      </c>
      <c r="Q2590">
        <v>11</v>
      </c>
      <c r="R2590" t="s">
        <v>44908</v>
      </c>
      <c r="S2590" t="s">
        <v>45042</v>
      </c>
      <c r="T2590" t="s">
        <v>46401</v>
      </c>
      <c r="U2590" t="s">
        <v>49066</v>
      </c>
      <c r="V2590" t="s">
        <v>59331</v>
      </c>
      <c r="W2590" t="s">
        <v>41986</v>
      </c>
      <c r="X2590" t="s">
        <v>44910</v>
      </c>
    </row>
    <row r="2591" spans="1:24">
      <c r="A2591">
        <f>HYPERLINK("https://www.philgeps.gov.ph/GEPSNONPILOT/Tender/SplashBidNoticeAbstractUI.aspx?menuIndex=3&amp;refID=7078484&amp;Result=3","7078484")</f>
        <v>0</v>
      </c>
      <c r="B2591" t="s">
        <v>1001</v>
      </c>
      <c r="C2591" t="s">
        <v>6020</v>
      </c>
      <c r="D2591" t="s">
        <v>18107</v>
      </c>
      <c r="E2591" t="s">
        <v>20571</v>
      </c>
      <c r="F2591" t="s">
        <v>31362</v>
      </c>
      <c r="G2591" t="s">
        <v>31368</v>
      </c>
      <c r="H2591" t="s">
        <v>15799</v>
      </c>
      <c r="I2591" t="s">
        <v>31389</v>
      </c>
      <c r="J2591" t="s">
        <v>31604</v>
      </c>
      <c r="K2591" t="s">
        <v>40697</v>
      </c>
      <c r="M2591" t="s">
        <v>41997</v>
      </c>
      <c r="N2591" t="s">
        <v>44905</v>
      </c>
      <c r="O2591" t="s">
        <v>44906</v>
      </c>
      <c r="P2591">
        <v>0</v>
      </c>
      <c r="Q2591">
        <v>19</v>
      </c>
      <c r="R2591" t="s">
        <v>44908</v>
      </c>
      <c r="S2591" t="s">
        <v>45042</v>
      </c>
      <c r="T2591" t="s">
        <v>46411</v>
      </c>
      <c r="U2591" t="s">
        <v>49067</v>
      </c>
      <c r="W2591" t="s">
        <v>41997</v>
      </c>
      <c r="X2591" t="s">
        <v>44910</v>
      </c>
    </row>
    <row r="2592" spans="1:24">
      <c r="A2592">
        <f>HYPERLINK("https://www.philgeps.gov.ph/GEPSNONPILOT/Tender/SplashBidNoticeAbstractUI.aspx?menuIndex=3&amp;refID=7078645&amp;Result=3","7078645")</f>
        <v>0</v>
      </c>
      <c r="B2592" t="s">
        <v>1002</v>
      </c>
      <c r="C2592" t="s">
        <v>6021</v>
      </c>
      <c r="D2592" t="s">
        <v>18186</v>
      </c>
      <c r="E2592" t="s">
        <v>20572</v>
      </c>
      <c r="F2592" t="s">
        <v>31362</v>
      </c>
      <c r="G2592" t="s">
        <v>31369</v>
      </c>
      <c r="H2592" t="s">
        <v>15799</v>
      </c>
      <c r="I2592" t="s">
        <v>31397</v>
      </c>
      <c r="J2592" t="s">
        <v>33276</v>
      </c>
      <c r="K2592" t="s">
        <v>40677</v>
      </c>
      <c r="M2592" t="s">
        <v>41998</v>
      </c>
      <c r="N2592" t="s">
        <v>44905</v>
      </c>
      <c r="O2592" t="s">
        <v>44906</v>
      </c>
      <c r="Q2592">
        <v>1</v>
      </c>
      <c r="R2592" t="s">
        <v>44908</v>
      </c>
      <c r="S2592" t="s">
        <v>45043</v>
      </c>
      <c r="T2592" t="s">
        <v>46449</v>
      </c>
      <c r="U2592" t="s">
        <v>49068</v>
      </c>
      <c r="W2592" t="s">
        <v>60879</v>
      </c>
      <c r="X2592" t="s">
        <v>44910</v>
      </c>
    </row>
    <row r="2593" spans="1:24">
      <c r="A2593">
        <f>HYPERLINK("https://www.philgeps.gov.ph/GEPSNONPILOT/Tender/SplashBidNoticeAbstractUI.aspx?menuIndex=3&amp;refID=7078483&amp;Result=3","7078483")</f>
        <v>0</v>
      </c>
      <c r="B2593" t="s">
        <v>414</v>
      </c>
      <c r="C2593" t="s">
        <v>6022</v>
      </c>
      <c r="E2593" t="s">
        <v>20573</v>
      </c>
      <c r="F2593" t="s">
        <v>31362</v>
      </c>
      <c r="G2593" t="s">
        <v>31373</v>
      </c>
      <c r="H2593" t="s">
        <v>15799</v>
      </c>
      <c r="I2593" t="s">
        <v>31414</v>
      </c>
      <c r="J2593" t="s">
        <v>33277</v>
      </c>
      <c r="K2593" t="s">
        <v>40686</v>
      </c>
      <c r="M2593" t="s">
        <v>41364</v>
      </c>
      <c r="N2593" t="s">
        <v>44905</v>
      </c>
      <c r="O2593" t="s">
        <v>44906</v>
      </c>
      <c r="P2593">
        <v>0</v>
      </c>
      <c r="Q2593">
        <v>12</v>
      </c>
      <c r="R2593" t="s">
        <v>44908</v>
      </c>
      <c r="S2593" t="s">
        <v>45042</v>
      </c>
      <c r="T2593" t="s">
        <v>46510</v>
      </c>
      <c r="U2593" t="s">
        <v>49069</v>
      </c>
      <c r="W2593" t="s">
        <v>41364</v>
      </c>
      <c r="X2593" t="s">
        <v>44910</v>
      </c>
    </row>
    <row r="2594" spans="1:24">
      <c r="A2594">
        <f>HYPERLINK("https://www.philgeps.gov.ph/GEPSNONPILOT/Tender/SplashBidNoticeAbstractUI.aspx?menuIndex=3&amp;refID=7078469&amp;Result=3","7078469")</f>
        <v>0</v>
      </c>
      <c r="B2594" t="s">
        <v>81</v>
      </c>
      <c r="C2594" t="s">
        <v>6023</v>
      </c>
      <c r="E2594" t="s">
        <v>20574</v>
      </c>
      <c r="F2594" t="s">
        <v>31362</v>
      </c>
      <c r="G2594" t="s">
        <v>31369</v>
      </c>
      <c r="H2594" t="s">
        <v>31378</v>
      </c>
      <c r="I2594" t="s">
        <v>31386</v>
      </c>
      <c r="J2594" t="s">
        <v>33278</v>
      </c>
      <c r="K2594" t="s">
        <v>40662</v>
      </c>
      <c r="M2594" t="s">
        <v>41999</v>
      </c>
      <c r="N2594" t="s">
        <v>44905</v>
      </c>
      <c r="O2594" t="s">
        <v>44906</v>
      </c>
      <c r="Q2594">
        <v>1</v>
      </c>
      <c r="R2594" t="s">
        <v>44908</v>
      </c>
      <c r="S2594" t="s">
        <v>45044</v>
      </c>
      <c r="T2594" t="s">
        <v>46433</v>
      </c>
      <c r="U2594" t="s">
        <v>49070</v>
      </c>
      <c r="W2594" t="s">
        <v>41999</v>
      </c>
      <c r="X2594" t="s">
        <v>44910</v>
      </c>
    </row>
    <row r="2595" spans="1:24">
      <c r="A2595">
        <f>HYPERLINK("https://www.philgeps.gov.ph/GEPSNONPILOT/Tender/SplashBidNoticeAbstractUI.aspx?menuIndex=3&amp;refID=7078474&amp;Result=3","7078474")</f>
        <v>0</v>
      </c>
      <c r="B2595" t="s">
        <v>81</v>
      </c>
      <c r="C2595" t="s">
        <v>6024</v>
      </c>
      <c r="E2595" t="s">
        <v>20575</v>
      </c>
      <c r="F2595" t="s">
        <v>31362</v>
      </c>
      <c r="G2595" t="s">
        <v>31369</v>
      </c>
      <c r="H2595" t="s">
        <v>31378</v>
      </c>
      <c r="I2595" t="s">
        <v>31386</v>
      </c>
      <c r="J2595" t="s">
        <v>33279</v>
      </c>
      <c r="K2595" t="s">
        <v>40662</v>
      </c>
      <c r="M2595" t="s">
        <v>41999</v>
      </c>
      <c r="N2595" t="s">
        <v>44905</v>
      </c>
      <c r="O2595" t="s">
        <v>44906</v>
      </c>
      <c r="Q2595">
        <v>1</v>
      </c>
      <c r="R2595" t="s">
        <v>44908</v>
      </c>
      <c r="S2595" t="s">
        <v>45045</v>
      </c>
      <c r="T2595" t="s">
        <v>46624</v>
      </c>
      <c r="U2595" t="s">
        <v>49071</v>
      </c>
      <c r="W2595" t="s">
        <v>41999</v>
      </c>
      <c r="X2595" t="s">
        <v>44910</v>
      </c>
    </row>
    <row r="2596" spans="1:24">
      <c r="A2596">
        <f>HYPERLINK("https://www.philgeps.gov.ph/GEPSNONPILOT/Tender/SplashBidNoticeAbstractUI.aspx?menuIndex=3&amp;refID=7078673&amp;Result=3","7078673")</f>
        <v>0</v>
      </c>
      <c r="B2596" t="s">
        <v>1003</v>
      </c>
      <c r="C2596" t="s">
        <v>6025</v>
      </c>
      <c r="D2596" t="s">
        <v>18117</v>
      </c>
      <c r="E2596" t="s">
        <v>20576</v>
      </c>
      <c r="F2596" t="s">
        <v>31362</v>
      </c>
      <c r="G2596" t="s">
        <v>31371</v>
      </c>
      <c r="H2596" t="s">
        <v>15799</v>
      </c>
      <c r="I2596" t="s">
        <v>31385</v>
      </c>
      <c r="J2596" t="s">
        <v>31570</v>
      </c>
      <c r="K2596" t="s">
        <v>40665</v>
      </c>
      <c r="M2596" t="s">
        <v>42000</v>
      </c>
      <c r="N2596" t="s">
        <v>44905</v>
      </c>
      <c r="O2596" t="s">
        <v>44906</v>
      </c>
      <c r="P2596">
        <v>0</v>
      </c>
      <c r="Q2596">
        <v>3</v>
      </c>
      <c r="R2596" t="s">
        <v>44908</v>
      </c>
      <c r="S2596" t="s">
        <v>45042</v>
      </c>
      <c r="T2596" t="s">
        <v>46434</v>
      </c>
      <c r="U2596" t="s">
        <v>49072</v>
      </c>
      <c r="V2596" t="s">
        <v>59340</v>
      </c>
      <c r="W2596" t="s">
        <v>42000</v>
      </c>
      <c r="X2596" t="s">
        <v>44910</v>
      </c>
    </row>
    <row r="2597" spans="1:24">
      <c r="A2597">
        <f>HYPERLINK("https://www.philgeps.gov.ph/GEPSNONPILOT/Tender/SplashBidNoticeAbstractUI.aspx?menuIndex=3&amp;refID=7078640&amp;Result=3","7078640")</f>
        <v>0</v>
      </c>
      <c r="B2597" t="s">
        <v>1004</v>
      </c>
      <c r="C2597" t="s">
        <v>6026</v>
      </c>
      <c r="D2597" t="s">
        <v>18101</v>
      </c>
      <c r="E2597" t="s">
        <v>19359</v>
      </c>
      <c r="F2597" t="s">
        <v>31362</v>
      </c>
      <c r="G2597" t="s">
        <v>31370</v>
      </c>
      <c r="H2597" t="s">
        <v>15799</v>
      </c>
      <c r="I2597" t="s">
        <v>3815</v>
      </c>
      <c r="J2597" t="s">
        <v>33280</v>
      </c>
      <c r="K2597" t="s">
        <v>40661</v>
      </c>
      <c r="M2597" t="s">
        <v>42001</v>
      </c>
      <c r="N2597" t="s">
        <v>44905</v>
      </c>
      <c r="O2597" t="s">
        <v>44906</v>
      </c>
      <c r="P2597">
        <v>0</v>
      </c>
      <c r="Q2597">
        <v>0</v>
      </c>
      <c r="R2597" t="s">
        <v>44908</v>
      </c>
      <c r="S2597" t="s">
        <v>45042</v>
      </c>
      <c r="T2597" t="s">
        <v>46425</v>
      </c>
      <c r="U2597" t="s">
        <v>49073</v>
      </c>
      <c r="W2597" t="s">
        <v>42001</v>
      </c>
      <c r="X2597" t="s">
        <v>44910</v>
      </c>
    </row>
    <row r="2598" spans="1:24">
      <c r="A2598">
        <f>HYPERLINK("https://www.philgeps.gov.ph/GEPSNONPILOT/Tender/SplashBidNoticeAbstractUI.aspx?menuIndex=3&amp;refID=7078491&amp;Result=3","7078491")</f>
        <v>0</v>
      </c>
      <c r="B2598" t="s">
        <v>1005</v>
      </c>
      <c r="C2598" t="s">
        <v>6027</v>
      </c>
      <c r="E2598" t="s">
        <v>20577</v>
      </c>
      <c r="F2598" t="s">
        <v>31362</v>
      </c>
      <c r="G2598" t="s">
        <v>31369</v>
      </c>
      <c r="H2598" t="s">
        <v>31378</v>
      </c>
      <c r="I2598" t="s">
        <v>31386</v>
      </c>
      <c r="J2598" t="s">
        <v>33281</v>
      </c>
      <c r="K2598" t="s">
        <v>40698</v>
      </c>
      <c r="M2598" t="s">
        <v>42002</v>
      </c>
      <c r="N2598" t="s">
        <v>44905</v>
      </c>
      <c r="O2598" t="s">
        <v>44906</v>
      </c>
      <c r="P2598">
        <v>0</v>
      </c>
      <c r="Q2598">
        <v>0</v>
      </c>
      <c r="R2598" t="s">
        <v>44908</v>
      </c>
      <c r="S2598" t="s">
        <v>45042</v>
      </c>
      <c r="T2598" t="s">
        <v>46426</v>
      </c>
      <c r="U2598" t="s">
        <v>49074</v>
      </c>
      <c r="W2598" t="s">
        <v>42002</v>
      </c>
      <c r="X2598" t="s">
        <v>44910</v>
      </c>
    </row>
    <row r="2599" spans="1:24">
      <c r="A2599">
        <f>HYPERLINK("https://www.philgeps.gov.ph/GEPSNONPILOT/Tender/SplashBidNoticeAbstractUI.aspx?menuIndex=3&amp;refID=7078808&amp;Result=3","7078808")</f>
        <v>0</v>
      </c>
      <c r="B2599" t="s">
        <v>1006</v>
      </c>
      <c r="C2599" t="s">
        <v>6028</v>
      </c>
      <c r="D2599" t="s">
        <v>18111</v>
      </c>
      <c r="E2599" t="s">
        <v>20578</v>
      </c>
      <c r="F2599" t="s">
        <v>31362</v>
      </c>
      <c r="G2599" t="s">
        <v>31370</v>
      </c>
      <c r="H2599" t="s">
        <v>15799</v>
      </c>
      <c r="I2599" t="s">
        <v>31387</v>
      </c>
      <c r="J2599" t="s">
        <v>33282</v>
      </c>
      <c r="K2599" t="s">
        <v>40662</v>
      </c>
      <c r="M2599" t="s">
        <v>42003</v>
      </c>
      <c r="N2599" t="s">
        <v>44905</v>
      </c>
      <c r="O2599" t="s">
        <v>44906</v>
      </c>
      <c r="P2599">
        <v>0</v>
      </c>
      <c r="Q2599">
        <v>0</v>
      </c>
      <c r="R2599" t="s">
        <v>44908</v>
      </c>
      <c r="S2599" t="s">
        <v>45042</v>
      </c>
      <c r="T2599" t="s">
        <v>46427</v>
      </c>
      <c r="U2599" t="s">
        <v>49075</v>
      </c>
      <c r="W2599" t="s">
        <v>42003</v>
      </c>
      <c r="X2599" t="s">
        <v>44909</v>
      </c>
    </row>
    <row r="2600" spans="1:24">
      <c r="A2600">
        <f>HYPERLINK("https://www.philgeps.gov.ph/GEPSNONPILOT/Tender/SplashBidNoticeAbstractUI.aspx?menuIndex=3&amp;refID=7078381&amp;Result=3","7078381")</f>
        <v>0</v>
      </c>
      <c r="B2600" t="s">
        <v>268</v>
      </c>
      <c r="C2600" t="s">
        <v>6029</v>
      </c>
      <c r="D2600" t="s">
        <v>18165</v>
      </c>
      <c r="E2600" t="s">
        <v>20579</v>
      </c>
      <c r="F2600" t="s">
        <v>31362</v>
      </c>
      <c r="G2600" t="s">
        <v>31369</v>
      </c>
      <c r="H2600" t="s">
        <v>15799</v>
      </c>
      <c r="I2600" t="s">
        <v>31380</v>
      </c>
      <c r="J2600" t="s">
        <v>33283</v>
      </c>
      <c r="K2600" t="s">
        <v>40661</v>
      </c>
      <c r="M2600" t="s">
        <v>41210</v>
      </c>
      <c r="N2600" t="s">
        <v>44905</v>
      </c>
      <c r="O2600" t="s">
        <v>44906</v>
      </c>
      <c r="P2600">
        <v>0</v>
      </c>
      <c r="Q2600">
        <v>0</v>
      </c>
      <c r="R2600" t="s">
        <v>44908</v>
      </c>
      <c r="S2600" t="s">
        <v>45042</v>
      </c>
      <c r="T2600" t="s">
        <v>46560</v>
      </c>
      <c r="U2600" t="s">
        <v>49076</v>
      </c>
      <c r="V2600" t="s">
        <v>59341</v>
      </c>
      <c r="W2600" t="s">
        <v>41210</v>
      </c>
      <c r="X2600" t="s">
        <v>44910</v>
      </c>
    </row>
    <row r="2601" spans="1:24">
      <c r="A2601">
        <f>HYPERLINK("https://www.philgeps.gov.ph/GEPSNONPILOT/Tender/SplashBidNoticeAbstractUI.aspx?menuIndex=3&amp;refID=7078807&amp;Result=3","7078807")</f>
        <v>0</v>
      </c>
      <c r="B2601" t="s">
        <v>1007</v>
      </c>
      <c r="C2601" t="s">
        <v>6030</v>
      </c>
      <c r="D2601" t="s">
        <v>18109</v>
      </c>
      <c r="E2601" t="s">
        <v>20580</v>
      </c>
      <c r="F2601" t="s">
        <v>31362</v>
      </c>
      <c r="G2601" t="s">
        <v>31369</v>
      </c>
      <c r="H2601" t="s">
        <v>31378</v>
      </c>
      <c r="I2601" t="s">
        <v>31386</v>
      </c>
      <c r="J2601" t="s">
        <v>31591</v>
      </c>
      <c r="K2601" t="s">
        <v>40675</v>
      </c>
      <c r="L2601" t="s">
        <v>1007</v>
      </c>
      <c r="M2601" t="s">
        <v>42004</v>
      </c>
      <c r="N2601" t="s">
        <v>44905</v>
      </c>
      <c r="O2601" t="s">
        <v>44906</v>
      </c>
      <c r="P2601">
        <v>0</v>
      </c>
      <c r="Q2601">
        <v>0</v>
      </c>
      <c r="R2601" t="s">
        <v>44908</v>
      </c>
      <c r="S2601" t="s">
        <v>45042</v>
      </c>
      <c r="T2601" t="s">
        <v>46625</v>
      </c>
      <c r="U2601" t="s">
        <v>49077</v>
      </c>
      <c r="V2601" t="s">
        <v>59342</v>
      </c>
      <c r="W2601" t="s">
        <v>42004</v>
      </c>
      <c r="X2601" t="s">
        <v>44909</v>
      </c>
    </row>
    <row r="2602" spans="1:24">
      <c r="A2602">
        <f>HYPERLINK("https://www.philgeps.gov.ph/GEPSNONPILOT/Tender/SplashBidNoticeAbstractUI.aspx?menuIndex=3&amp;refID=7078806&amp;Result=3","7078806")</f>
        <v>0</v>
      </c>
      <c r="B2602" t="s">
        <v>1006</v>
      </c>
      <c r="C2602" t="s">
        <v>6031</v>
      </c>
      <c r="D2602" t="s">
        <v>18111</v>
      </c>
      <c r="E2602" t="s">
        <v>20578</v>
      </c>
      <c r="F2602" t="s">
        <v>31362</v>
      </c>
      <c r="G2602" t="s">
        <v>31370</v>
      </c>
      <c r="H2602" t="s">
        <v>15799</v>
      </c>
      <c r="I2602" t="s">
        <v>7719</v>
      </c>
      <c r="J2602" t="s">
        <v>33284</v>
      </c>
      <c r="K2602" t="s">
        <v>40662</v>
      </c>
      <c r="M2602" t="s">
        <v>42003</v>
      </c>
      <c r="N2602" t="s">
        <v>44905</v>
      </c>
      <c r="O2602" t="s">
        <v>44906</v>
      </c>
      <c r="P2602">
        <v>0</v>
      </c>
      <c r="Q2602">
        <v>3</v>
      </c>
      <c r="R2602" t="s">
        <v>44908</v>
      </c>
      <c r="S2602" t="s">
        <v>45042</v>
      </c>
      <c r="T2602" t="s">
        <v>46427</v>
      </c>
      <c r="U2602" t="s">
        <v>49078</v>
      </c>
      <c r="W2602" t="s">
        <v>42003</v>
      </c>
      <c r="X2602" t="s">
        <v>44909</v>
      </c>
    </row>
    <row r="2603" spans="1:24">
      <c r="A2603">
        <f>HYPERLINK("https://www.philgeps.gov.ph/GEPSNONPILOT/Tender/SplashBidNoticeAbstractUI.aspx?menuIndex=3&amp;refID=7078804&amp;Result=3","7078804")</f>
        <v>0</v>
      </c>
      <c r="B2603" t="s">
        <v>152</v>
      </c>
      <c r="C2603" t="s">
        <v>6032</v>
      </c>
      <c r="D2603" t="s">
        <v>18143</v>
      </c>
      <c r="E2603" t="s">
        <v>20581</v>
      </c>
      <c r="F2603" t="s">
        <v>31362</v>
      </c>
      <c r="G2603" t="s">
        <v>31370</v>
      </c>
      <c r="H2603" t="s">
        <v>15799</v>
      </c>
      <c r="I2603" t="s">
        <v>31455</v>
      </c>
      <c r="J2603" t="s">
        <v>31688</v>
      </c>
      <c r="K2603" t="s">
        <v>40693</v>
      </c>
      <c r="M2603" t="s">
        <v>41090</v>
      </c>
      <c r="N2603" t="s">
        <v>44905</v>
      </c>
      <c r="O2603" t="s">
        <v>44906</v>
      </c>
      <c r="P2603">
        <v>0</v>
      </c>
      <c r="Q2603">
        <v>1</v>
      </c>
      <c r="R2603" t="s">
        <v>44908</v>
      </c>
      <c r="S2603" t="s">
        <v>45042</v>
      </c>
      <c r="T2603" t="s">
        <v>46432</v>
      </c>
      <c r="U2603" t="s">
        <v>49079</v>
      </c>
      <c r="W2603" t="s">
        <v>41090</v>
      </c>
      <c r="X2603" t="s">
        <v>44909</v>
      </c>
    </row>
    <row r="2604" spans="1:24">
      <c r="A2604">
        <f>HYPERLINK("https://www.philgeps.gov.ph/GEPSNONPILOT/Tender/SplashBidNoticeAbstractUI.aspx?menuIndex=3&amp;refID=7078803&amp;Result=3","7078803")</f>
        <v>0</v>
      </c>
      <c r="B2604" t="s">
        <v>1006</v>
      </c>
      <c r="C2604" t="s">
        <v>6033</v>
      </c>
      <c r="D2604" t="s">
        <v>18111</v>
      </c>
      <c r="E2604" t="s">
        <v>20582</v>
      </c>
      <c r="F2604" t="s">
        <v>31362</v>
      </c>
      <c r="G2604" t="s">
        <v>31370</v>
      </c>
      <c r="H2604" t="s">
        <v>15799</v>
      </c>
      <c r="I2604" t="s">
        <v>7090</v>
      </c>
      <c r="J2604" t="s">
        <v>33285</v>
      </c>
      <c r="K2604" t="s">
        <v>40662</v>
      </c>
      <c r="M2604" t="s">
        <v>42003</v>
      </c>
      <c r="N2604" t="s">
        <v>44905</v>
      </c>
      <c r="O2604" t="s">
        <v>44906</v>
      </c>
      <c r="P2604">
        <v>0</v>
      </c>
      <c r="Q2604">
        <v>1</v>
      </c>
      <c r="R2604" t="s">
        <v>44908</v>
      </c>
      <c r="S2604" t="s">
        <v>45042</v>
      </c>
      <c r="T2604" t="s">
        <v>46427</v>
      </c>
      <c r="U2604" t="s">
        <v>49080</v>
      </c>
      <c r="W2604" t="s">
        <v>42003</v>
      </c>
      <c r="X2604" t="s">
        <v>44909</v>
      </c>
    </row>
    <row r="2605" spans="1:24">
      <c r="A2605">
        <f>HYPERLINK("https://www.philgeps.gov.ph/GEPSNONPILOT/Tender/SplashBidNoticeAbstractUI.aspx?menuIndex=3&amp;refID=7078517&amp;Result=3","7078517")</f>
        <v>0</v>
      </c>
      <c r="B2605" t="s">
        <v>66</v>
      </c>
      <c r="C2605" t="s">
        <v>6034</v>
      </c>
      <c r="D2605" t="s">
        <v>18122</v>
      </c>
      <c r="E2605" t="s">
        <v>20583</v>
      </c>
      <c r="F2605" t="s">
        <v>31362</v>
      </c>
      <c r="G2605" t="s">
        <v>31369</v>
      </c>
      <c r="H2605" t="s">
        <v>31378</v>
      </c>
      <c r="I2605" t="s">
        <v>31386</v>
      </c>
      <c r="J2605" t="s">
        <v>33286</v>
      </c>
      <c r="K2605" t="s">
        <v>40662</v>
      </c>
      <c r="M2605" t="s">
        <v>41002</v>
      </c>
      <c r="N2605" t="s">
        <v>44905</v>
      </c>
      <c r="O2605" t="s">
        <v>44906</v>
      </c>
      <c r="P2605">
        <v>0</v>
      </c>
      <c r="Q2605">
        <v>10</v>
      </c>
      <c r="R2605" t="s">
        <v>44908</v>
      </c>
      <c r="S2605" t="s">
        <v>45042</v>
      </c>
      <c r="T2605" t="s">
        <v>46545</v>
      </c>
      <c r="U2605" t="s">
        <v>47037</v>
      </c>
      <c r="W2605" t="s">
        <v>41002</v>
      </c>
      <c r="X2605" t="s">
        <v>44910</v>
      </c>
    </row>
    <row r="2606" spans="1:24">
      <c r="A2606">
        <f>HYPERLINK("https://www.philgeps.gov.ph/GEPSNONPILOT/Tender/SplashBidNoticeAbstractUI.aspx?menuIndex=3&amp;refID=7078802&amp;Result=3","7078802")</f>
        <v>0</v>
      </c>
      <c r="B2606" t="s">
        <v>152</v>
      </c>
      <c r="C2606" t="s">
        <v>6035</v>
      </c>
      <c r="D2606" t="s">
        <v>18143</v>
      </c>
      <c r="E2606" t="s">
        <v>20584</v>
      </c>
      <c r="F2606" t="s">
        <v>31362</v>
      </c>
      <c r="G2606" t="s">
        <v>31370</v>
      </c>
      <c r="H2606" t="s">
        <v>15799</v>
      </c>
      <c r="I2606" t="s">
        <v>31397</v>
      </c>
      <c r="J2606" t="s">
        <v>33287</v>
      </c>
      <c r="K2606" t="s">
        <v>40693</v>
      </c>
      <c r="M2606" t="s">
        <v>41090</v>
      </c>
      <c r="N2606" t="s">
        <v>44905</v>
      </c>
      <c r="O2606" t="s">
        <v>44906</v>
      </c>
      <c r="P2606">
        <v>0</v>
      </c>
      <c r="Q2606">
        <v>0</v>
      </c>
      <c r="R2606" t="s">
        <v>44908</v>
      </c>
      <c r="S2606" t="s">
        <v>45042</v>
      </c>
      <c r="T2606" t="s">
        <v>46432</v>
      </c>
      <c r="U2606" t="s">
        <v>49081</v>
      </c>
      <c r="W2606" t="s">
        <v>41090</v>
      </c>
      <c r="X2606" t="s">
        <v>44909</v>
      </c>
    </row>
    <row r="2607" spans="1:24">
      <c r="A2607">
        <f>HYPERLINK("https://www.philgeps.gov.ph/GEPSNONPILOT/Tender/SplashBidNoticeAbstractUI.aspx?menuIndex=3&amp;refID=7078801&amp;Result=3","7078801")</f>
        <v>0</v>
      </c>
      <c r="B2607" t="s">
        <v>1008</v>
      </c>
      <c r="C2607" t="s">
        <v>6036</v>
      </c>
      <c r="D2607" t="s">
        <v>18108</v>
      </c>
      <c r="E2607" t="s">
        <v>20585</v>
      </c>
      <c r="F2607" t="s">
        <v>31362</v>
      </c>
      <c r="G2607" t="s">
        <v>31369</v>
      </c>
      <c r="H2607" t="s">
        <v>15799</v>
      </c>
      <c r="I2607" t="s">
        <v>7090</v>
      </c>
      <c r="J2607" t="s">
        <v>33288</v>
      </c>
      <c r="K2607" t="s">
        <v>40661</v>
      </c>
      <c r="M2607" t="s">
        <v>42005</v>
      </c>
      <c r="N2607" t="s">
        <v>44905</v>
      </c>
      <c r="O2607" t="s">
        <v>44906</v>
      </c>
      <c r="P2607">
        <v>0</v>
      </c>
      <c r="Q2607">
        <v>1</v>
      </c>
      <c r="R2607" t="s">
        <v>44908</v>
      </c>
      <c r="S2607" t="s">
        <v>45042</v>
      </c>
      <c r="T2607" t="s">
        <v>46463</v>
      </c>
      <c r="U2607" t="s">
        <v>49082</v>
      </c>
      <c r="W2607" t="s">
        <v>42005</v>
      </c>
      <c r="X2607" t="s">
        <v>44910</v>
      </c>
    </row>
    <row r="2608" spans="1:24">
      <c r="A2608">
        <f>HYPERLINK("https://www.philgeps.gov.ph/GEPSNONPILOT/Tender/SplashBidNoticeAbstractUI.aspx?menuIndex=3&amp;refID=7078799&amp;Result=3","7078799")</f>
        <v>0</v>
      </c>
      <c r="B2608" t="s">
        <v>1006</v>
      </c>
      <c r="C2608" t="s">
        <v>6037</v>
      </c>
      <c r="D2608" t="s">
        <v>18111</v>
      </c>
      <c r="E2608" t="s">
        <v>20582</v>
      </c>
      <c r="F2608" t="s">
        <v>31362</v>
      </c>
      <c r="G2608" t="s">
        <v>31370</v>
      </c>
      <c r="H2608" t="s">
        <v>15799</v>
      </c>
      <c r="I2608" t="s">
        <v>4283</v>
      </c>
      <c r="J2608" t="s">
        <v>33289</v>
      </c>
      <c r="K2608" t="s">
        <v>40662</v>
      </c>
      <c r="M2608" t="s">
        <v>42003</v>
      </c>
      <c r="N2608" t="s">
        <v>44905</v>
      </c>
      <c r="O2608" t="s">
        <v>44906</v>
      </c>
      <c r="P2608">
        <v>0</v>
      </c>
      <c r="Q2608">
        <v>3</v>
      </c>
      <c r="R2608" t="s">
        <v>44908</v>
      </c>
      <c r="S2608" t="s">
        <v>45042</v>
      </c>
      <c r="T2608" t="s">
        <v>46427</v>
      </c>
      <c r="U2608" t="s">
        <v>49083</v>
      </c>
      <c r="W2608" t="s">
        <v>42003</v>
      </c>
      <c r="X2608" t="s">
        <v>44910</v>
      </c>
    </row>
    <row r="2609" spans="1:24">
      <c r="A2609">
        <f>HYPERLINK("https://www.philgeps.gov.ph/GEPSNONPILOT/Tender/SplashBidNoticeAbstractUI.aspx?menuIndex=3&amp;refID=7078337&amp;Result=3","7078337")</f>
        <v>0</v>
      </c>
      <c r="B2609" t="s">
        <v>658</v>
      </c>
      <c r="C2609" t="s">
        <v>6038</v>
      </c>
      <c r="D2609" t="s">
        <v>18108</v>
      </c>
      <c r="E2609" t="s">
        <v>20586</v>
      </c>
      <c r="F2609" t="s">
        <v>31362</v>
      </c>
      <c r="G2609" t="s">
        <v>31369</v>
      </c>
      <c r="H2609" t="s">
        <v>15799</v>
      </c>
      <c r="I2609" t="s">
        <v>31396</v>
      </c>
      <c r="J2609" t="s">
        <v>33290</v>
      </c>
      <c r="K2609" t="s">
        <v>40662</v>
      </c>
      <c r="M2609" t="s">
        <v>41986</v>
      </c>
      <c r="N2609" t="s">
        <v>44905</v>
      </c>
      <c r="O2609" t="s">
        <v>44906</v>
      </c>
      <c r="P2609">
        <v>0</v>
      </c>
      <c r="Q2609">
        <v>9</v>
      </c>
      <c r="R2609" t="s">
        <v>44908</v>
      </c>
      <c r="S2609" t="s">
        <v>45042</v>
      </c>
      <c r="T2609" t="s">
        <v>46401</v>
      </c>
      <c r="U2609" t="s">
        <v>49084</v>
      </c>
      <c r="V2609" t="s">
        <v>59331</v>
      </c>
      <c r="W2609" t="s">
        <v>41986</v>
      </c>
      <c r="X2609" t="s">
        <v>44910</v>
      </c>
    </row>
    <row r="2610" spans="1:24">
      <c r="A2610">
        <f>HYPERLINK("https://www.philgeps.gov.ph/GEPSNONPILOT/Tender/SplashBidNoticeAbstractUI.aspx?menuIndex=3&amp;refID=7078790&amp;Result=3","7078790")</f>
        <v>0</v>
      </c>
      <c r="B2610" t="s">
        <v>1003</v>
      </c>
      <c r="C2610" t="s">
        <v>6039</v>
      </c>
      <c r="D2610" t="s">
        <v>18117</v>
      </c>
      <c r="E2610" t="s">
        <v>20587</v>
      </c>
      <c r="F2610" t="s">
        <v>31362</v>
      </c>
      <c r="G2610" t="s">
        <v>31369</v>
      </c>
      <c r="H2610" t="s">
        <v>15799</v>
      </c>
      <c r="I2610" t="s">
        <v>31415</v>
      </c>
      <c r="J2610" t="s">
        <v>33291</v>
      </c>
      <c r="K2610" t="s">
        <v>40665</v>
      </c>
      <c r="M2610" t="s">
        <v>42000</v>
      </c>
      <c r="N2610" t="s">
        <v>44905</v>
      </c>
      <c r="O2610" t="s">
        <v>44906</v>
      </c>
      <c r="P2610">
        <v>0</v>
      </c>
      <c r="Q2610">
        <v>0</v>
      </c>
      <c r="R2610" t="s">
        <v>44908</v>
      </c>
      <c r="S2610" t="s">
        <v>45042</v>
      </c>
      <c r="T2610" t="s">
        <v>46626</v>
      </c>
      <c r="U2610" t="s">
        <v>49085</v>
      </c>
      <c r="V2610" t="s">
        <v>59343</v>
      </c>
      <c r="W2610" t="s">
        <v>42000</v>
      </c>
      <c r="X2610" t="s">
        <v>44910</v>
      </c>
    </row>
    <row r="2611" spans="1:24">
      <c r="A2611">
        <f>HYPERLINK("https://www.philgeps.gov.ph/GEPSNONPILOT/Tender/SplashBidNoticeAbstractUI.aspx?menuIndex=3&amp;refID=7078777&amp;Result=3","7078777")</f>
        <v>0</v>
      </c>
      <c r="B2611" t="s">
        <v>117</v>
      </c>
      <c r="C2611" t="s">
        <v>6040</v>
      </c>
      <c r="D2611" t="s">
        <v>18104</v>
      </c>
      <c r="E2611" t="s">
        <v>20588</v>
      </c>
      <c r="F2611" t="s">
        <v>31362</v>
      </c>
      <c r="G2611" t="s">
        <v>31370</v>
      </c>
      <c r="H2611" t="s">
        <v>15799</v>
      </c>
      <c r="I2611" t="s">
        <v>31429</v>
      </c>
      <c r="J2611" t="s">
        <v>33292</v>
      </c>
      <c r="K2611" t="s">
        <v>40662</v>
      </c>
      <c r="M2611" t="s">
        <v>41054</v>
      </c>
      <c r="N2611" t="s">
        <v>44905</v>
      </c>
      <c r="O2611" t="s">
        <v>44906</v>
      </c>
      <c r="P2611">
        <v>0</v>
      </c>
      <c r="Q2611">
        <v>1</v>
      </c>
      <c r="R2611" t="s">
        <v>44908</v>
      </c>
      <c r="S2611" t="s">
        <v>45042</v>
      </c>
      <c r="T2611" t="s">
        <v>46403</v>
      </c>
      <c r="U2611" t="s">
        <v>49086</v>
      </c>
      <c r="W2611" t="s">
        <v>41054</v>
      </c>
      <c r="X2611" t="s">
        <v>44910</v>
      </c>
    </row>
    <row r="2612" spans="1:24">
      <c r="A2612">
        <f>HYPERLINK("https://www.philgeps.gov.ph/GEPSNONPILOT/Tender/SplashBidNoticeAbstractUI.aspx?menuIndex=3&amp;refID=7078765&amp;Result=3","7078765")</f>
        <v>0</v>
      </c>
      <c r="B2612" t="s">
        <v>117</v>
      </c>
      <c r="C2612" t="s">
        <v>6041</v>
      </c>
      <c r="D2612" t="s">
        <v>18152</v>
      </c>
      <c r="E2612" t="s">
        <v>20589</v>
      </c>
      <c r="F2612" t="s">
        <v>31362</v>
      </c>
      <c r="G2612" t="s">
        <v>31370</v>
      </c>
      <c r="H2612" t="s">
        <v>15799</v>
      </c>
      <c r="I2612" t="s">
        <v>31385</v>
      </c>
      <c r="J2612" t="s">
        <v>33293</v>
      </c>
      <c r="K2612" t="s">
        <v>40662</v>
      </c>
      <c r="M2612" t="s">
        <v>41054</v>
      </c>
      <c r="N2612" t="s">
        <v>44905</v>
      </c>
      <c r="O2612" t="s">
        <v>44906</v>
      </c>
      <c r="P2612">
        <v>0</v>
      </c>
      <c r="Q2612">
        <v>1</v>
      </c>
      <c r="R2612" t="s">
        <v>44908</v>
      </c>
      <c r="S2612" t="s">
        <v>45042</v>
      </c>
      <c r="T2612" t="s">
        <v>46533</v>
      </c>
      <c r="U2612" t="s">
        <v>49087</v>
      </c>
      <c r="W2612" t="s">
        <v>41054</v>
      </c>
      <c r="X2612" t="s">
        <v>44910</v>
      </c>
    </row>
    <row r="2613" spans="1:24">
      <c r="A2613">
        <f>HYPERLINK("https://www.philgeps.gov.ph/GEPSNONPILOT/Tender/SplashBidNoticeAbstractUI.aspx?menuIndex=3&amp;refID=7078762&amp;Result=3","7078762")</f>
        <v>0</v>
      </c>
      <c r="B2613" t="s">
        <v>1009</v>
      </c>
      <c r="C2613" t="s">
        <v>6042</v>
      </c>
      <c r="D2613" t="s">
        <v>18112</v>
      </c>
      <c r="E2613" t="s">
        <v>20590</v>
      </c>
      <c r="F2613" t="s">
        <v>31362</v>
      </c>
      <c r="G2613" t="s">
        <v>31370</v>
      </c>
      <c r="H2613" t="s">
        <v>15799</v>
      </c>
      <c r="I2613" t="s">
        <v>31380</v>
      </c>
      <c r="J2613" t="s">
        <v>32143</v>
      </c>
      <c r="K2613" t="s">
        <v>40697</v>
      </c>
      <c r="M2613" t="s">
        <v>42006</v>
      </c>
      <c r="N2613" t="s">
        <v>44905</v>
      </c>
      <c r="O2613" t="s">
        <v>44906</v>
      </c>
      <c r="P2613">
        <v>0</v>
      </c>
      <c r="Q2613">
        <v>1</v>
      </c>
      <c r="R2613" t="s">
        <v>44908</v>
      </c>
      <c r="S2613" t="s">
        <v>45042</v>
      </c>
      <c r="T2613" t="s">
        <v>46400</v>
      </c>
      <c r="U2613" t="s">
        <v>49088</v>
      </c>
      <c r="W2613" t="s">
        <v>42006</v>
      </c>
      <c r="X2613" t="s">
        <v>44910</v>
      </c>
    </row>
    <row r="2614" spans="1:24">
      <c r="A2614">
        <f>HYPERLINK("https://www.philgeps.gov.ph/GEPSNONPILOT/Tender/SplashBidNoticeAbstractUI.aspx?menuIndex=3&amp;refID=7078756&amp;Result=3","7078756")</f>
        <v>0</v>
      </c>
      <c r="B2614" t="s">
        <v>117</v>
      </c>
      <c r="C2614" t="s">
        <v>6043</v>
      </c>
      <c r="D2614" t="s">
        <v>18104</v>
      </c>
      <c r="E2614" t="s">
        <v>20591</v>
      </c>
      <c r="F2614" t="s">
        <v>31362</v>
      </c>
      <c r="G2614" t="s">
        <v>31370</v>
      </c>
      <c r="H2614" t="s">
        <v>15799</v>
      </c>
      <c r="I2614" t="s">
        <v>4942</v>
      </c>
      <c r="J2614" t="s">
        <v>33294</v>
      </c>
      <c r="K2614" t="s">
        <v>40662</v>
      </c>
      <c r="M2614" t="s">
        <v>41054</v>
      </c>
      <c r="N2614" t="s">
        <v>44905</v>
      </c>
      <c r="O2614" t="s">
        <v>44906</v>
      </c>
      <c r="P2614">
        <v>0</v>
      </c>
      <c r="Q2614">
        <v>0</v>
      </c>
      <c r="R2614" t="s">
        <v>44908</v>
      </c>
      <c r="S2614" t="s">
        <v>45042</v>
      </c>
      <c r="T2614" t="s">
        <v>46403</v>
      </c>
      <c r="U2614" t="s">
        <v>49089</v>
      </c>
      <c r="W2614" t="s">
        <v>41054</v>
      </c>
      <c r="X2614" t="s">
        <v>44910</v>
      </c>
    </row>
    <row r="2615" spans="1:24">
      <c r="A2615">
        <f>HYPERLINK("https://www.philgeps.gov.ph/GEPSNONPILOT/Tender/SplashBidNoticeAbstractUI.aspx?menuIndex=3&amp;refID=7078805&amp;Result=3","7078805")</f>
        <v>0</v>
      </c>
      <c r="B2615" t="s">
        <v>1006</v>
      </c>
      <c r="C2615" t="s">
        <v>6044</v>
      </c>
      <c r="D2615" t="s">
        <v>18111</v>
      </c>
      <c r="E2615" t="s">
        <v>20582</v>
      </c>
      <c r="F2615" t="s">
        <v>31362</v>
      </c>
      <c r="G2615" t="s">
        <v>31370</v>
      </c>
      <c r="H2615" t="s">
        <v>15799</v>
      </c>
      <c r="I2615" t="s">
        <v>31482</v>
      </c>
      <c r="J2615" t="s">
        <v>33295</v>
      </c>
      <c r="K2615" t="s">
        <v>40662</v>
      </c>
      <c r="M2615" t="s">
        <v>42003</v>
      </c>
      <c r="N2615" t="s">
        <v>44905</v>
      </c>
      <c r="O2615" t="s">
        <v>44906</v>
      </c>
      <c r="P2615">
        <v>0</v>
      </c>
      <c r="Q2615">
        <v>1</v>
      </c>
      <c r="R2615" t="s">
        <v>44908</v>
      </c>
      <c r="S2615" t="s">
        <v>45042</v>
      </c>
      <c r="T2615" t="s">
        <v>46427</v>
      </c>
      <c r="U2615" t="s">
        <v>49090</v>
      </c>
      <c r="W2615" t="s">
        <v>42003</v>
      </c>
      <c r="X2615" t="s">
        <v>44909</v>
      </c>
    </row>
    <row r="2616" spans="1:24">
      <c r="A2616">
        <f>HYPERLINK("https://www.philgeps.gov.ph/GEPSNONPILOT/Tender/SplashBidNoticeAbstractUI.aspx?menuIndex=3&amp;refID=7078751&amp;Result=3","7078751")</f>
        <v>0</v>
      </c>
      <c r="B2616" t="s">
        <v>117</v>
      </c>
      <c r="C2616" t="s">
        <v>6045</v>
      </c>
      <c r="D2616" t="s">
        <v>18104</v>
      </c>
      <c r="E2616" t="s">
        <v>20592</v>
      </c>
      <c r="F2616" t="s">
        <v>31362</v>
      </c>
      <c r="G2616" t="s">
        <v>31370</v>
      </c>
      <c r="H2616" t="s">
        <v>15799</v>
      </c>
      <c r="I2616" t="s">
        <v>31385</v>
      </c>
      <c r="J2616" t="s">
        <v>33296</v>
      </c>
      <c r="K2616" t="s">
        <v>40662</v>
      </c>
      <c r="M2616" t="s">
        <v>41054</v>
      </c>
      <c r="N2616" t="s">
        <v>44905</v>
      </c>
      <c r="O2616" t="s">
        <v>44906</v>
      </c>
      <c r="P2616">
        <v>0</v>
      </c>
      <c r="Q2616">
        <v>0</v>
      </c>
      <c r="R2616" t="s">
        <v>44908</v>
      </c>
      <c r="S2616" t="s">
        <v>45042</v>
      </c>
      <c r="T2616" t="s">
        <v>46397</v>
      </c>
      <c r="U2616" t="s">
        <v>49091</v>
      </c>
      <c r="W2616" t="s">
        <v>41054</v>
      </c>
      <c r="X2616" t="s">
        <v>44910</v>
      </c>
    </row>
    <row r="2617" spans="1:24">
      <c r="A2617">
        <f>HYPERLINK("https://www.philgeps.gov.ph/GEPSNONPILOT/Tender/SplashBidNoticeAbstractUI.aspx?menuIndex=3&amp;refID=7078732&amp;Result=3","7078732")</f>
        <v>0</v>
      </c>
      <c r="B2617" t="s">
        <v>1010</v>
      </c>
      <c r="C2617" t="s">
        <v>6046</v>
      </c>
      <c r="D2617" t="s">
        <v>18147</v>
      </c>
      <c r="E2617" t="s">
        <v>20593</v>
      </c>
      <c r="F2617" t="s">
        <v>31362</v>
      </c>
      <c r="G2617" t="s">
        <v>31368</v>
      </c>
      <c r="H2617" t="s">
        <v>15799</v>
      </c>
      <c r="I2617" t="s">
        <v>31428</v>
      </c>
      <c r="J2617" t="s">
        <v>33297</v>
      </c>
      <c r="K2617" t="s">
        <v>40661</v>
      </c>
      <c r="L2617" t="s">
        <v>1010</v>
      </c>
      <c r="M2617" t="s">
        <v>42007</v>
      </c>
      <c r="N2617" t="s">
        <v>44905</v>
      </c>
      <c r="O2617" t="s">
        <v>44906</v>
      </c>
      <c r="P2617">
        <v>0</v>
      </c>
      <c r="Q2617">
        <v>0</v>
      </c>
      <c r="R2617" t="s">
        <v>44908</v>
      </c>
      <c r="S2617" t="s">
        <v>45042</v>
      </c>
      <c r="T2617" t="s">
        <v>46435</v>
      </c>
      <c r="U2617" t="s">
        <v>49092</v>
      </c>
      <c r="W2617" t="s">
        <v>42007</v>
      </c>
      <c r="X2617" t="s">
        <v>44910</v>
      </c>
    </row>
    <row r="2618" spans="1:24">
      <c r="A2618">
        <f>HYPERLINK("https://www.philgeps.gov.ph/GEPSNONPILOT/Tender/SplashBidNoticeAbstractUI.aspx?menuIndex=3&amp;refID=7078434&amp;Result=3","7078434")</f>
        <v>0</v>
      </c>
      <c r="B2618" t="s">
        <v>770</v>
      </c>
      <c r="C2618" t="s">
        <v>6047</v>
      </c>
      <c r="D2618" t="s">
        <v>18104</v>
      </c>
      <c r="E2618" t="s">
        <v>20594</v>
      </c>
      <c r="F2618" t="s">
        <v>31362</v>
      </c>
      <c r="G2618" t="s">
        <v>31368</v>
      </c>
      <c r="H2618" t="s">
        <v>15799</v>
      </c>
      <c r="I2618" t="s">
        <v>4057</v>
      </c>
      <c r="J2618" t="s">
        <v>32966</v>
      </c>
      <c r="K2618" t="s">
        <v>40697</v>
      </c>
      <c r="M2618" t="s">
        <v>41738</v>
      </c>
      <c r="N2618" t="s">
        <v>44905</v>
      </c>
      <c r="O2618" t="s">
        <v>44906</v>
      </c>
      <c r="P2618">
        <v>0</v>
      </c>
      <c r="Q2618">
        <v>0</v>
      </c>
      <c r="R2618" t="s">
        <v>44908</v>
      </c>
      <c r="S2618" t="s">
        <v>45042</v>
      </c>
      <c r="T2618" t="s">
        <v>46409</v>
      </c>
      <c r="U2618" t="s">
        <v>48459</v>
      </c>
      <c r="W2618" t="s">
        <v>41738</v>
      </c>
      <c r="X2618" t="s">
        <v>44910</v>
      </c>
    </row>
    <row r="2619" spans="1:24">
      <c r="A2619">
        <f>HYPERLINK("https://www.philgeps.gov.ph/GEPSNONPILOT/Tender/SplashBidNoticeAbstractUI.aspx?menuIndex=3&amp;refID=7078467&amp;Result=3","7078467")</f>
        <v>0</v>
      </c>
      <c r="B2619" t="s">
        <v>81</v>
      </c>
      <c r="C2619" t="s">
        <v>6048</v>
      </c>
      <c r="E2619" t="s">
        <v>20595</v>
      </c>
      <c r="F2619" t="s">
        <v>31362</v>
      </c>
      <c r="G2619" t="s">
        <v>31369</v>
      </c>
      <c r="H2619" t="s">
        <v>31378</v>
      </c>
      <c r="I2619" t="s">
        <v>31386</v>
      </c>
      <c r="J2619" t="s">
        <v>33298</v>
      </c>
      <c r="K2619" t="s">
        <v>40662</v>
      </c>
      <c r="M2619" t="s">
        <v>41999</v>
      </c>
      <c r="N2619" t="s">
        <v>44905</v>
      </c>
      <c r="O2619" t="s">
        <v>44906</v>
      </c>
      <c r="Q2619">
        <v>1</v>
      </c>
      <c r="R2619" t="s">
        <v>44908</v>
      </c>
      <c r="S2619" t="s">
        <v>45046</v>
      </c>
      <c r="T2619" t="s">
        <v>46511</v>
      </c>
      <c r="U2619" t="s">
        <v>49093</v>
      </c>
      <c r="W2619" t="s">
        <v>41999</v>
      </c>
      <c r="X2619" t="s">
        <v>44910</v>
      </c>
    </row>
    <row r="2620" spans="1:24">
      <c r="A2620">
        <f>HYPERLINK("https://www.philgeps.gov.ph/GEPSNONPILOT/Tender/SplashBidNoticeAbstractUI.aspx?menuIndex=3&amp;refID=7078349&amp;Result=3","7078349")</f>
        <v>0</v>
      </c>
      <c r="B2620" t="s">
        <v>1011</v>
      </c>
      <c r="C2620" t="s">
        <v>6049</v>
      </c>
      <c r="D2620" t="s">
        <v>18110</v>
      </c>
      <c r="E2620" t="s">
        <v>20596</v>
      </c>
      <c r="F2620" t="s">
        <v>31362</v>
      </c>
      <c r="G2620" t="s">
        <v>31368</v>
      </c>
      <c r="H2620" t="s">
        <v>31379</v>
      </c>
      <c r="I2620" t="s">
        <v>31388</v>
      </c>
      <c r="J2620" t="s">
        <v>31921</v>
      </c>
      <c r="K2620" t="s">
        <v>40665</v>
      </c>
      <c r="M2620" t="s">
        <v>42008</v>
      </c>
      <c r="N2620" t="s">
        <v>44905</v>
      </c>
      <c r="O2620" t="s">
        <v>44906</v>
      </c>
      <c r="P2620">
        <v>0</v>
      </c>
      <c r="Q2620">
        <v>3</v>
      </c>
      <c r="R2620" t="s">
        <v>44908</v>
      </c>
      <c r="S2620" t="s">
        <v>45042</v>
      </c>
      <c r="T2620" t="s">
        <v>46412</v>
      </c>
      <c r="U2620" t="s">
        <v>49094</v>
      </c>
      <c r="V2620" t="s">
        <v>59344</v>
      </c>
      <c r="W2620" t="s">
        <v>42008</v>
      </c>
      <c r="X2620" t="s">
        <v>44910</v>
      </c>
    </row>
    <row r="2621" spans="1:24">
      <c r="A2621">
        <f>HYPERLINK("https://www.philgeps.gov.ph/GEPSNONPILOT/Tender/SplashBidNoticeAbstractUI.aspx?menuIndex=3&amp;refID=7078772&amp;Result=3","7078772")</f>
        <v>0</v>
      </c>
      <c r="B2621" t="s">
        <v>117</v>
      </c>
      <c r="C2621" t="s">
        <v>6050</v>
      </c>
      <c r="D2621" t="s">
        <v>18104</v>
      </c>
      <c r="E2621" t="s">
        <v>20588</v>
      </c>
      <c r="F2621" t="s">
        <v>31362</v>
      </c>
      <c r="G2621" t="s">
        <v>31368</v>
      </c>
      <c r="H2621" t="s">
        <v>15799</v>
      </c>
      <c r="I2621" t="s">
        <v>31406</v>
      </c>
      <c r="J2621" t="s">
        <v>33299</v>
      </c>
      <c r="K2621" t="s">
        <v>40662</v>
      </c>
      <c r="M2621" t="s">
        <v>41054</v>
      </c>
      <c r="N2621" t="s">
        <v>44905</v>
      </c>
      <c r="O2621" t="s">
        <v>44906</v>
      </c>
      <c r="P2621">
        <v>0</v>
      </c>
      <c r="Q2621">
        <v>2</v>
      </c>
      <c r="R2621" t="s">
        <v>44908</v>
      </c>
      <c r="S2621" t="s">
        <v>45042</v>
      </c>
      <c r="T2621" t="s">
        <v>46403</v>
      </c>
      <c r="U2621" t="s">
        <v>49095</v>
      </c>
      <c r="W2621" t="s">
        <v>41054</v>
      </c>
      <c r="X2621" t="s">
        <v>44910</v>
      </c>
    </row>
    <row r="2622" spans="1:24">
      <c r="A2622">
        <f>HYPERLINK("https://www.philgeps.gov.ph/GEPSNONPILOT/Tender/SplashBidNoticeAbstractUI.aspx?menuIndex=3&amp;refID=7078342&amp;Result=3","7078342")</f>
        <v>0</v>
      </c>
      <c r="B2622" t="s">
        <v>1012</v>
      </c>
      <c r="C2622" t="s">
        <v>6051</v>
      </c>
      <c r="D2622" t="s">
        <v>18115</v>
      </c>
      <c r="E2622" t="s">
        <v>20597</v>
      </c>
      <c r="F2622" t="s">
        <v>31362</v>
      </c>
      <c r="G2622" t="s">
        <v>31369</v>
      </c>
      <c r="H2622" t="s">
        <v>31378</v>
      </c>
      <c r="I2622" t="s">
        <v>31386</v>
      </c>
      <c r="J2622" t="s">
        <v>33300</v>
      </c>
      <c r="K2622" t="s">
        <v>40682</v>
      </c>
      <c r="M2622" t="s">
        <v>42009</v>
      </c>
      <c r="N2622" t="s">
        <v>44905</v>
      </c>
      <c r="O2622" t="s">
        <v>44906</v>
      </c>
      <c r="P2622">
        <v>0</v>
      </c>
      <c r="Q2622">
        <v>7</v>
      </c>
      <c r="R2622" t="s">
        <v>44908</v>
      </c>
      <c r="S2622" t="s">
        <v>45042</v>
      </c>
      <c r="T2622" t="s">
        <v>46419</v>
      </c>
      <c r="U2622" t="s">
        <v>49096</v>
      </c>
      <c r="W2622" t="s">
        <v>42009</v>
      </c>
      <c r="X2622" t="s">
        <v>44910</v>
      </c>
    </row>
    <row r="2623" spans="1:24">
      <c r="A2623">
        <f>HYPERLINK("https://www.philgeps.gov.ph/GEPSNONPILOT/Tender/SplashBidNoticeAbstractUI.aspx?menuIndex=3&amp;refID=7078670&amp;Result=3","7078670")</f>
        <v>0</v>
      </c>
      <c r="B2623" t="s">
        <v>996</v>
      </c>
      <c r="C2623" t="s">
        <v>6052</v>
      </c>
      <c r="D2623" t="s">
        <v>18165</v>
      </c>
      <c r="E2623" t="s">
        <v>20598</v>
      </c>
      <c r="F2623" t="s">
        <v>31362</v>
      </c>
      <c r="G2623" t="s">
        <v>31369</v>
      </c>
      <c r="H2623" t="s">
        <v>15799</v>
      </c>
      <c r="I2623" t="s">
        <v>31427</v>
      </c>
      <c r="J2623" t="s">
        <v>33301</v>
      </c>
      <c r="K2623" t="s">
        <v>40665</v>
      </c>
      <c r="M2623" t="s">
        <v>41991</v>
      </c>
      <c r="N2623" t="s">
        <v>44905</v>
      </c>
      <c r="O2623" t="s">
        <v>44906</v>
      </c>
      <c r="P2623">
        <v>0</v>
      </c>
      <c r="Q2623">
        <v>0</v>
      </c>
      <c r="R2623" t="s">
        <v>44908</v>
      </c>
      <c r="S2623" t="s">
        <v>45042</v>
      </c>
      <c r="T2623" t="s">
        <v>46577</v>
      </c>
      <c r="U2623" t="s">
        <v>49097</v>
      </c>
      <c r="W2623" t="s">
        <v>41991</v>
      </c>
      <c r="X2623" t="s">
        <v>44910</v>
      </c>
    </row>
    <row r="2624" spans="1:24">
      <c r="A2624">
        <f>HYPERLINK("https://www.philgeps.gov.ph/GEPSNONPILOT/Tender/SplashBidNoticeAbstractUI.aspx?menuIndex=3&amp;refID=7078277&amp;Result=3","7078277")</f>
        <v>0</v>
      </c>
      <c r="B2624" t="s">
        <v>92</v>
      </c>
      <c r="C2624" t="s">
        <v>6053</v>
      </c>
      <c r="D2624" t="s">
        <v>18100</v>
      </c>
      <c r="E2624" t="s">
        <v>20599</v>
      </c>
      <c r="F2624" t="s">
        <v>31362</v>
      </c>
      <c r="G2624" t="s">
        <v>31368</v>
      </c>
      <c r="H2624" t="s">
        <v>15799</v>
      </c>
      <c r="I2624" t="s">
        <v>3815</v>
      </c>
      <c r="J2624" t="s">
        <v>33302</v>
      </c>
      <c r="K2624" t="s">
        <v>40677</v>
      </c>
      <c r="M2624" t="s">
        <v>41029</v>
      </c>
      <c r="N2624" t="s">
        <v>44905</v>
      </c>
      <c r="O2624" t="s">
        <v>44906</v>
      </c>
      <c r="P2624">
        <v>0</v>
      </c>
      <c r="Q2624">
        <v>0</v>
      </c>
      <c r="R2624" t="s">
        <v>44908</v>
      </c>
      <c r="S2624" t="s">
        <v>45042</v>
      </c>
      <c r="T2624" t="s">
        <v>46440</v>
      </c>
      <c r="U2624" t="s">
        <v>47062</v>
      </c>
      <c r="W2624" t="s">
        <v>60834</v>
      </c>
      <c r="X2624" t="s">
        <v>44910</v>
      </c>
    </row>
    <row r="2625" spans="1:24">
      <c r="A2625">
        <f>HYPERLINK("https://www.philgeps.gov.ph/GEPSNONPILOT/Tender/SplashBidNoticeAbstractUI.aspx?menuIndex=3&amp;refID=7078353&amp;Result=3","7078353")</f>
        <v>0</v>
      </c>
      <c r="B2625" t="s">
        <v>88</v>
      </c>
      <c r="C2625" t="s">
        <v>6054</v>
      </c>
      <c r="D2625" t="s">
        <v>18135</v>
      </c>
      <c r="E2625" t="s">
        <v>20600</v>
      </c>
      <c r="F2625" t="s">
        <v>31362</v>
      </c>
      <c r="G2625" t="s">
        <v>31368</v>
      </c>
      <c r="H2625" t="s">
        <v>15799</v>
      </c>
      <c r="I2625" t="s">
        <v>7719</v>
      </c>
      <c r="J2625" t="s">
        <v>33303</v>
      </c>
      <c r="K2625" t="s">
        <v>40662</v>
      </c>
      <c r="M2625" t="s">
        <v>41967</v>
      </c>
      <c r="N2625" t="s">
        <v>44905</v>
      </c>
      <c r="O2625" t="s">
        <v>44906</v>
      </c>
      <c r="P2625">
        <v>0</v>
      </c>
      <c r="Q2625">
        <v>1</v>
      </c>
      <c r="R2625" t="s">
        <v>44908</v>
      </c>
      <c r="S2625" t="s">
        <v>45042</v>
      </c>
      <c r="T2625" t="s">
        <v>46507</v>
      </c>
      <c r="U2625" t="s">
        <v>49098</v>
      </c>
      <c r="V2625" t="s">
        <v>59345</v>
      </c>
      <c r="W2625" t="s">
        <v>41967</v>
      </c>
      <c r="X2625" t="s">
        <v>44910</v>
      </c>
    </row>
    <row r="2626" spans="1:24">
      <c r="A2626">
        <f>HYPERLINK("https://www.philgeps.gov.ph/GEPSNONPILOT/Tender/SplashBidNoticeAbstractUI.aspx?menuIndex=3&amp;refID=7078273&amp;Result=3","7078273")</f>
        <v>0</v>
      </c>
      <c r="B2626" t="s">
        <v>88</v>
      </c>
      <c r="C2626" t="s">
        <v>6055</v>
      </c>
      <c r="D2626" t="s">
        <v>18135</v>
      </c>
      <c r="E2626" t="s">
        <v>20601</v>
      </c>
      <c r="F2626" t="s">
        <v>31362</v>
      </c>
      <c r="G2626" t="s">
        <v>31370</v>
      </c>
      <c r="H2626" t="s">
        <v>15799</v>
      </c>
      <c r="I2626" t="s">
        <v>31393</v>
      </c>
      <c r="J2626" t="s">
        <v>31897</v>
      </c>
      <c r="K2626" t="s">
        <v>40662</v>
      </c>
      <c r="M2626" t="s">
        <v>41967</v>
      </c>
      <c r="N2626" t="s">
        <v>44905</v>
      </c>
      <c r="O2626" t="s">
        <v>44906</v>
      </c>
      <c r="P2626">
        <v>0</v>
      </c>
      <c r="Q2626">
        <v>0</v>
      </c>
      <c r="R2626" t="s">
        <v>44908</v>
      </c>
      <c r="S2626" t="s">
        <v>45042</v>
      </c>
      <c r="T2626" t="s">
        <v>46507</v>
      </c>
      <c r="U2626" t="s">
        <v>49099</v>
      </c>
      <c r="V2626" t="s">
        <v>59328</v>
      </c>
      <c r="W2626" t="s">
        <v>41967</v>
      </c>
      <c r="X2626" t="s">
        <v>44910</v>
      </c>
    </row>
    <row r="2627" spans="1:24">
      <c r="A2627">
        <f>HYPERLINK("https://www.philgeps.gov.ph/GEPSNONPILOT/Tender/SplashBidNoticeAbstractUI.aspx?menuIndex=3&amp;refID=7078809&amp;Result=3","7078809")</f>
        <v>0</v>
      </c>
      <c r="B2627" t="s">
        <v>1007</v>
      </c>
      <c r="C2627" t="s">
        <v>6056</v>
      </c>
      <c r="D2627" t="s">
        <v>18109</v>
      </c>
      <c r="E2627" t="s">
        <v>20602</v>
      </c>
      <c r="F2627" t="s">
        <v>31362</v>
      </c>
      <c r="G2627" t="s">
        <v>31369</v>
      </c>
      <c r="H2627" t="s">
        <v>31378</v>
      </c>
      <c r="I2627" t="s">
        <v>31386</v>
      </c>
      <c r="J2627" t="s">
        <v>31591</v>
      </c>
      <c r="K2627" t="s">
        <v>40675</v>
      </c>
      <c r="L2627" t="s">
        <v>1007</v>
      </c>
      <c r="M2627" t="s">
        <v>42004</v>
      </c>
      <c r="N2627" t="s">
        <v>44905</v>
      </c>
      <c r="O2627" t="s">
        <v>44906</v>
      </c>
      <c r="P2627">
        <v>0</v>
      </c>
      <c r="Q2627">
        <v>0</v>
      </c>
      <c r="R2627" t="s">
        <v>44908</v>
      </c>
      <c r="S2627" t="s">
        <v>45042</v>
      </c>
      <c r="T2627" t="s">
        <v>46625</v>
      </c>
      <c r="U2627" t="s">
        <v>49100</v>
      </c>
      <c r="V2627" t="s">
        <v>59342</v>
      </c>
      <c r="W2627" t="s">
        <v>42004</v>
      </c>
      <c r="X2627" t="s">
        <v>44909</v>
      </c>
    </row>
    <row r="2628" spans="1:24">
      <c r="A2628">
        <f>HYPERLINK("https://www.philgeps.gov.ph/GEPSNONPILOT/Tender/SplashBidNoticeAbstractUI.aspx?menuIndex=3&amp;refID=7078348&amp;Result=3","7078348")</f>
        <v>0</v>
      </c>
      <c r="B2628" t="s">
        <v>268</v>
      </c>
      <c r="C2628" t="s">
        <v>6057</v>
      </c>
      <c r="D2628" t="s">
        <v>18165</v>
      </c>
      <c r="E2628" t="s">
        <v>20603</v>
      </c>
      <c r="F2628" t="s">
        <v>31362</v>
      </c>
      <c r="G2628" t="s">
        <v>31369</v>
      </c>
      <c r="H2628" t="s">
        <v>15799</v>
      </c>
      <c r="I2628" t="s">
        <v>31409</v>
      </c>
      <c r="J2628" t="s">
        <v>33304</v>
      </c>
      <c r="K2628" t="s">
        <v>40661</v>
      </c>
      <c r="M2628" t="s">
        <v>41210</v>
      </c>
      <c r="N2628" t="s">
        <v>44905</v>
      </c>
      <c r="O2628" t="s">
        <v>44906</v>
      </c>
      <c r="P2628">
        <v>0</v>
      </c>
      <c r="Q2628">
        <v>1</v>
      </c>
      <c r="R2628" t="s">
        <v>44908</v>
      </c>
      <c r="S2628" t="s">
        <v>45042</v>
      </c>
      <c r="T2628" t="s">
        <v>46560</v>
      </c>
      <c r="U2628" t="s">
        <v>49101</v>
      </c>
      <c r="V2628" t="s">
        <v>59346</v>
      </c>
      <c r="W2628" t="s">
        <v>41210</v>
      </c>
      <c r="X2628" t="s">
        <v>44910</v>
      </c>
    </row>
    <row r="2629" spans="1:24">
      <c r="A2629">
        <f>HYPERLINK("https://www.philgeps.gov.ph/GEPSNONPILOT/Tender/SplashBidNoticeAbstractUI.aspx?menuIndex=3&amp;refID=7078266&amp;Result=3","7078266")</f>
        <v>0</v>
      </c>
      <c r="B2629" t="s">
        <v>973</v>
      </c>
      <c r="C2629" t="s">
        <v>6058</v>
      </c>
      <c r="D2629" t="s">
        <v>18103</v>
      </c>
      <c r="E2629" t="s">
        <v>20604</v>
      </c>
      <c r="F2629" t="s">
        <v>31362</v>
      </c>
      <c r="G2629" t="s">
        <v>31368</v>
      </c>
      <c r="H2629" t="s">
        <v>15799</v>
      </c>
      <c r="I2629" t="s">
        <v>6240</v>
      </c>
      <c r="J2629" t="s">
        <v>31722</v>
      </c>
      <c r="K2629" t="s">
        <v>40661</v>
      </c>
      <c r="M2629" t="s">
        <v>41963</v>
      </c>
      <c r="N2629" t="s">
        <v>44905</v>
      </c>
      <c r="O2629" t="s">
        <v>44906</v>
      </c>
      <c r="P2629">
        <v>0</v>
      </c>
      <c r="Q2629">
        <v>0</v>
      </c>
      <c r="R2629" t="s">
        <v>44908</v>
      </c>
      <c r="S2629" t="s">
        <v>45042</v>
      </c>
      <c r="T2629" t="s">
        <v>46446</v>
      </c>
      <c r="U2629" t="s">
        <v>49102</v>
      </c>
      <c r="V2629" t="s">
        <v>59347</v>
      </c>
      <c r="W2629" t="s">
        <v>41963</v>
      </c>
      <c r="X2629" t="s">
        <v>44910</v>
      </c>
    </row>
    <row r="2630" spans="1:24">
      <c r="A2630">
        <f>HYPERLINK("https://www.philgeps.gov.ph/GEPSNONPILOT/Tender/SplashBidNoticeAbstractUI.aspx?menuIndex=3&amp;refID=7078049&amp;Result=3","7078049")</f>
        <v>0</v>
      </c>
      <c r="B2630" t="s">
        <v>1013</v>
      </c>
      <c r="C2630" t="s">
        <v>6059</v>
      </c>
      <c r="D2630" t="s">
        <v>18119</v>
      </c>
      <c r="E2630" t="s">
        <v>20605</v>
      </c>
      <c r="F2630" t="s">
        <v>31362</v>
      </c>
      <c r="G2630" t="s">
        <v>31368</v>
      </c>
      <c r="H2630" t="s">
        <v>15799</v>
      </c>
      <c r="I2630" t="s">
        <v>4942</v>
      </c>
      <c r="J2630" t="s">
        <v>33305</v>
      </c>
      <c r="K2630" t="s">
        <v>40661</v>
      </c>
      <c r="M2630" t="s">
        <v>42010</v>
      </c>
      <c r="N2630" t="s">
        <v>44905</v>
      </c>
      <c r="O2630" t="s">
        <v>44906</v>
      </c>
      <c r="P2630">
        <v>0</v>
      </c>
      <c r="Q2630">
        <v>0</v>
      </c>
      <c r="R2630" t="s">
        <v>44908</v>
      </c>
      <c r="S2630" t="s">
        <v>45042</v>
      </c>
      <c r="T2630" t="s">
        <v>46409</v>
      </c>
      <c r="U2630" t="s">
        <v>49103</v>
      </c>
      <c r="W2630" t="s">
        <v>42010</v>
      </c>
      <c r="X2630" t="s">
        <v>44910</v>
      </c>
    </row>
    <row r="2631" spans="1:24">
      <c r="A2631">
        <f>HYPERLINK("https://www.philgeps.gov.ph/GEPSNONPILOT/Tender/SplashBidNoticeAbstractUI.aspx?menuIndex=3&amp;refID=7078031&amp;Result=3","7078031")</f>
        <v>0</v>
      </c>
      <c r="B2631" t="s">
        <v>1014</v>
      </c>
      <c r="C2631" t="s">
        <v>6060</v>
      </c>
      <c r="D2631" t="s">
        <v>18135</v>
      </c>
      <c r="E2631" t="s">
        <v>20606</v>
      </c>
      <c r="F2631" t="s">
        <v>31362</v>
      </c>
      <c r="G2631" t="s">
        <v>31370</v>
      </c>
      <c r="H2631" t="s">
        <v>15799</v>
      </c>
      <c r="I2631" t="s">
        <v>31414</v>
      </c>
      <c r="J2631" t="s">
        <v>33306</v>
      </c>
      <c r="K2631" t="s">
        <v>40672</v>
      </c>
      <c r="M2631" t="s">
        <v>42011</v>
      </c>
      <c r="N2631" t="s">
        <v>44905</v>
      </c>
      <c r="O2631" t="s">
        <v>44906</v>
      </c>
      <c r="P2631">
        <v>0</v>
      </c>
      <c r="Q2631">
        <v>0</v>
      </c>
      <c r="R2631" t="s">
        <v>44908</v>
      </c>
      <c r="S2631" t="s">
        <v>45042</v>
      </c>
      <c r="T2631" t="s">
        <v>46454</v>
      </c>
      <c r="U2631" t="s">
        <v>49104</v>
      </c>
      <c r="W2631" t="s">
        <v>42011</v>
      </c>
      <c r="X2631" t="s">
        <v>44910</v>
      </c>
    </row>
    <row r="2632" spans="1:24">
      <c r="A2632">
        <f>HYPERLINK("https://www.philgeps.gov.ph/GEPSNONPILOT/Tender/SplashBidNoticeAbstractUI.aspx?menuIndex=3&amp;refID=7078279&amp;Result=3","7078279")</f>
        <v>0</v>
      </c>
      <c r="B2632" t="s">
        <v>268</v>
      </c>
      <c r="C2632" t="s">
        <v>6061</v>
      </c>
      <c r="D2632" t="s">
        <v>18165</v>
      </c>
      <c r="E2632" t="s">
        <v>20607</v>
      </c>
      <c r="F2632" t="s">
        <v>31362</v>
      </c>
      <c r="G2632" t="s">
        <v>31369</v>
      </c>
      <c r="H2632" t="s">
        <v>15799</v>
      </c>
      <c r="I2632" t="s">
        <v>7188</v>
      </c>
      <c r="J2632" t="s">
        <v>33307</v>
      </c>
      <c r="K2632" t="s">
        <v>40661</v>
      </c>
      <c r="M2632" t="s">
        <v>41210</v>
      </c>
      <c r="N2632" t="s">
        <v>44905</v>
      </c>
      <c r="O2632" t="s">
        <v>44906</v>
      </c>
      <c r="P2632">
        <v>0</v>
      </c>
      <c r="Q2632">
        <v>1</v>
      </c>
      <c r="R2632" t="s">
        <v>44908</v>
      </c>
      <c r="S2632" t="s">
        <v>45042</v>
      </c>
      <c r="T2632" t="s">
        <v>46560</v>
      </c>
      <c r="U2632" t="s">
        <v>49105</v>
      </c>
      <c r="V2632" t="s">
        <v>59348</v>
      </c>
      <c r="W2632" t="s">
        <v>41210</v>
      </c>
      <c r="X2632" t="s">
        <v>44910</v>
      </c>
    </row>
    <row r="2633" spans="1:24">
      <c r="A2633">
        <f>HYPERLINK("https://www.philgeps.gov.ph/GEPSNONPILOT/Tender/SplashBidNoticeAbstractUI.aspx?menuIndex=3&amp;refID=7078278&amp;Result=3","7078278")</f>
        <v>0</v>
      </c>
      <c r="B2633" t="s">
        <v>1015</v>
      </c>
      <c r="C2633" t="s">
        <v>6062</v>
      </c>
      <c r="D2633" t="s">
        <v>18112</v>
      </c>
      <c r="E2633" t="s">
        <v>20608</v>
      </c>
      <c r="F2633" t="s">
        <v>31362</v>
      </c>
      <c r="G2633" t="s">
        <v>31368</v>
      </c>
      <c r="H2633" t="s">
        <v>15799</v>
      </c>
      <c r="I2633" t="s">
        <v>31388</v>
      </c>
      <c r="J2633" t="s">
        <v>31806</v>
      </c>
      <c r="K2633" t="s">
        <v>40662</v>
      </c>
      <c r="M2633" t="s">
        <v>42012</v>
      </c>
      <c r="N2633" t="s">
        <v>44905</v>
      </c>
      <c r="O2633" t="s">
        <v>44906</v>
      </c>
      <c r="P2633">
        <v>0</v>
      </c>
      <c r="Q2633">
        <v>0</v>
      </c>
      <c r="R2633" t="s">
        <v>44908</v>
      </c>
      <c r="S2633" t="s">
        <v>45042</v>
      </c>
      <c r="T2633" t="s">
        <v>46454</v>
      </c>
      <c r="U2633" t="s">
        <v>49106</v>
      </c>
      <c r="W2633" t="s">
        <v>42012</v>
      </c>
      <c r="X2633" t="s">
        <v>44910</v>
      </c>
    </row>
    <row r="2634" spans="1:24">
      <c r="A2634">
        <f>HYPERLINK("https://www.philgeps.gov.ph/GEPSNONPILOT/Tender/SplashBidNoticeAbstractUI.aspx?menuIndex=3&amp;refID=7078830&amp;Result=3","7078830")</f>
        <v>0</v>
      </c>
      <c r="B2634" t="s">
        <v>980</v>
      </c>
      <c r="C2634" t="s">
        <v>6063</v>
      </c>
      <c r="D2634" t="s">
        <v>18100</v>
      </c>
      <c r="E2634" t="s">
        <v>20609</v>
      </c>
      <c r="F2634" t="s">
        <v>31362</v>
      </c>
      <c r="G2634" t="s">
        <v>31368</v>
      </c>
      <c r="H2634" t="s">
        <v>31379</v>
      </c>
      <c r="I2634" t="s">
        <v>31404</v>
      </c>
      <c r="J2634" t="s">
        <v>32249</v>
      </c>
      <c r="K2634" t="s">
        <v>40712</v>
      </c>
      <c r="M2634" t="s">
        <v>41972</v>
      </c>
      <c r="N2634" t="s">
        <v>44905</v>
      </c>
      <c r="O2634" t="s">
        <v>44906</v>
      </c>
      <c r="P2634">
        <v>0</v>
      </c>
      <c r="Q2634">
        <v>0</v>
      </c>
      <c r="R2634" t="s">
        <v>44908</v>
      </c>
      <c r="S2634" t="s">
        <v>45042</v>
      </c>
      <c r="T2634" t="s">
        <v>46454</v>
      </c>
      <c r="U2634" t="s">
        <v>49107</v>
      </c>
      <c r="V2634" t="s">
        <v>59316</v>
      </c>
      <c r="W2634" t="s">
        <v>41972</v>
      </c>
      <c r="X2634" t="s">
        <v>44909</v>
      </c>
    </row>
    <row r="2635" spans="1:24">
      <c r="A2635">
        <f>HYPERLINK("https://www.philgeps.gov.ph/GEPSNONPILOT/Tender/SplashBidNoticeAbstractUI.aspx?menuIndex=3&amp;refID=7078829&amp;Result=3","7078829")</f>
        <v>0</v>
      </c>
      <c r="B2635" t="s">
        <v>792</v>
      </c>
      <c r="C2635" t="s">
        <v>6064</v>
      </c>
      <c r="D2635" t="s">
        <v>18111</v>
      </c>
      <c r="E2635" t="s">
        <v>20610</v>
      </c>
      <c r="F2635" t="s">
        <v>31362</v>
      </c>
      <c r="G2635" t="s">
        <v>31371</v>
      </c>
      <c r="H2635" t="s">
        <v>15799</v>
      </c>
      <c r="I2635" t="s">
        <v>31431</v>
      </c>
      <c r="J2635" t="s">
        <v>33308</v>
      </c>
      <c r="K2635" t="s">
        <v>40670</v>
      </c>
      <c r="M2635" t="s">
        <v>41762</v>
      </c>
      <c r="N2635" t="s">
        <v>44905</v>
      </c>
      <c r="O2635" t="s">
        <v>44906</v>
      </c>
      <c r="P2635">
        <v>0</v>
      </c>
      <c r="Q2635">
        <v>1</v>
      </c>
      <c r="R2635" t="s">
        <v>44908</v>
      </c>
      <c r="S2635" t="s">
        <v>45042</v>
      </c>
      <c r="T2635" t="s">
        <v>46414</v>
      </c>
      <c r="U2635" t="s">
        <v>48523</v>
      </c>
      <c r="W2635" t="s">
        <v>41762</v>
      </c>
      <c r="X2635" t="s">
        <v>44909</v>
      </c>
    </row>
    <row r="2636" spans="1:24">
      <c r="A2636">
        <f>HYPERLINK("https://www.philgeps.gov.ph/GEPSNONPILOT/Tender/SplashBidNoticeAbstractUI.aspx?menuIndex=3&amp;refID=7078274&amp;Result=3","7078274")</f>
        <v>0</v>
      </c>
      <c r="B2636" t="s">
        <v>942</v>
      </c>
      <c r="C2636" t="s">
        <v>6065</v>
      </c>
      <c r="D2636" t="s">
        <v>18100</v>
      </c>
      <c r="E2636" t="s">
        <v>20611</v>
      </c>
      <c r="F2636" t="s">
        <v>31362</v>
      </c>
      <c r="G2636" t="s">
        <v>31369</v>
      </c>
      <c r="H2636" t="s">
        <v>15799</v>
      </c>
      <c r="I2636" t="s">
        <v>31430</v>
      </c>
      <c r="J2636" t="s">
        <v>33309</v>
      </c>
      <c r="K2636" t="s">
        <v>40662</v>
      </c>
      <c r="M2636" t="s">
        <v>41930</v>
      </c>
      <c r="N2636" t="s">
        <v>44905</v>
      </c>
      <c r="O2636" t="s">
        <v>44906</v>
      </c>
      <c r="P2636">
        <v>0</v>
      </c>
      <c r="Q2636">
        <v>0</v>
      </c>
      <c r="R2636" t="s">
        <v>44908</v>
      </c>
      <c r="S2636" t="s">
        <v>45042</v>
      </c>
      <c r="T2636" t="s">
        <v>46426</v>
      </c>
      <c r="U2636" t="s">
        <v>48943</v>
      </c>
      <c r="W2636" t="s">
        <v>41930</v>
      </c>
      <c r="X2636" t="s">
        <v>44910</v>
      </c>
    </row>
    <row r="2637" spans="1:24">
      <c r="A2637">
        <f>HYPERLINK("https://www.philgeps.gov.ph/GEPSNONPILOT/Tender/SplashBidNoticeAbstractUI.aspx?menuIndex=3&amp;refID=7078828&amp;Result=3","7078828")</f>
        <v>0</v>
      </c>
      <c r="B2637" t="s">
        <v>792</v>
      </c>
      <c r="C2637" t="s">
        <v>6066</v>
      </c>
      <c r="D2637" t="s">
        <v>18111</v>
      </c>
      <c r="E2637" t="s">
        <v>20612</v>
      </c>
      <c r="F2637" t="s">
        <v>31362</v>
      </c>
      <c r="G2637" t="s">
        <v>31371</v>
      </c>
      <c r="H2637" t="s">
        <v>15799</v>
      </c>
      <c r="I2637" t="s">
        <v>31483</v>
      </c>
      <c r="J2637" t="s">
        <v>33310</v>
      </c>
      <c r="K2637" t="s">
        <v>40670</v>
      </c>
      <c r="M2637" t="s">
        <v>41762</v>
      </c>
      <c r="N2637" t="s">
        <v>44905</v>
      </c>
      <c r="O2637" t="s">
        <v>44906</v>
      </c>
      <c r="P2637">
        <v>0</v>
      </c>
      <c r="Q2637">
        <v>1</v>
      </c>
      <c r="R2637" t="s">
        <v>44908</v>
      </c>
      <c r="S2637" t="s">
        <v>45042</v>
      </c>
      <c r="T2637" t="s">
        <v>46414</v>
      </c>
      <c r="U2637" t="s">
        <v>48523</v>
      </c>
      <c r="W2637" t="s">
        <v>41762</v>
      </c>
      <c r="X2637" t="s">
        <v>44909</v>
      </c>
    </row>
    <row r="2638" spans="1:24">
      <c r="A2638">
        <f>HYPERLINK("https://www.philgeps.gov.ph/GEPSNONPILOT/Tender/SplashBidNoticeAbstractUI.aspx?menuIndex=3&amp;refID=7078827&amp;Result=3","7078827")</f>
        <v>0</v>
      </c>
      <c r="B2638" t="s">
        <v>1000</v>
      </c>
      <c r="C2638" t="s">
        <v>6067</v>
      </c>
      <c r="D2638" t="s">
        <v>18135</v>
      </c>
      <c r="E2638" t="s">
        <v>20613</v>
      </c>
      <c r="F2638" t="s">
        <v>31365</v>
      </c>
      <c r="G2638" t="s">
        <v>31369</v>
      </c>
      <c r="H2638" t="s">
        <v>15799</v>
      </c>
      <c r="I2638" t="s">
        <v>3815</v>
      </c>
      <c r="J2638" t="s">
        <v>31530</v>
      </c>
      <c r="K2638" t="s">
        <v>40670</v>
      </c>
      <c r="M2638" t="s">
        <v>41996</v>
      </c>
      <c r="N2638" t="s">
        <v>44905</v>
      </c>
      <c r="O2638" t="s">
        <v>44906</v>
      </c>
      <c r="P2638">
        <v>0</v>
      </c>
      <c r="Q2638">
        <v>0</v>
      </c>
      <c r="R2638" t="s">
        <v>44908</v>
      </c>
      <c r="S2638" t="s">
        <v>45042</v>
      </c>
      <c r="T2638" t="s">
        <v>46479</v>
      </c>
      <c r="U2638" t="s">
        <v>49108</v>
      </c>
      <c r="W2638" t="s">
        <v>41996</v>
      </c>
      <c r="X2638" t="s">
        <v>44909</v>
      </c>
    </row>
    <row r="2639" spans="1:24">
      <c r="A2639">
        <f>HYPERLINK("https://www.philgeps.gov.ph/GEPSNONPILOT/Tender/SplashBidNoticeAbstractUI.aspx?menuIndex=3&amp;refID=7078825&amp;Result=3","7078825")</f>
        <v>0</v>
      </c>
      <c r="B2639" t="s">
        <v>792</v>
      </c>
      <c r="C2639" t="s">
        <v>6068</v>
      </c>
      <c r="D2639" t="s">
        <v>18111</v>
      </c>
      <c r="E2639" t="s">
        <v>20614</v>
      </c>
      <c r="F2639" t="s">
        <v>31362</v>
      </c>
      <c r="G2639" t="s">
        <v>31371</v>
      </c>
      <c r="H2639" t="s">
        <v>15799</v>
      </c>
      <c r="I2639" t="s">
        <v>31381</v>
      </c>
      <c r="J2639" t="s">
        <v>33311</v>
      </c>
      <c r="K2639" t="s">
        <v>40670</v>
      </c>
      <c r="M2639" t="s">
        <v>41762</v>
      </c>
      <c r="N2639" t="s">
        <v>44905</v>
      </c>
      <c r="O2639" t="s">
        <v>44906</v>
      </c>
      <c r="P2639">
        <v>0</v>
      </c>
      <c r="Q2639">
        <v>2</v>
      </c>
      <c r="R2639" t="s">
        <v>44908</v>
      </c>
      <c r="S2639" t="s">
        <v>45042</v>
      </c>
      <c r="T2639" t="s">
        <v>46414</v>
      </c>
      <c r="U2639" t="s">
        <v>48523</v>
      </c>
      <c r="W2639" t="s">
        <v>41762</v>
      </c>
      <c r="X2639" t="s">
        <v>44909</v>
      </c>
    </row>
    <row r="2640" spans="1:24">
      <c r="A2640">
        <f>HYPERLINK("https://www.philgeps.gov.ph/GEPSNONPILOT/Tender/SplashBidNoticeAbstractUI.aspx?menuIndex=3&amp;refID=7078824&amp;Result=3","7078824")</f>
        <v>0</v>
      </c>
      <c r="B2640" t="s">
        <v>792</v>
      </c>
      <c r="C2640" t="s">
        <v>6069</v>
      </c>
      <c r="D2640" t="s">
        <v>18111</v>
      </c>
      <c r="E2640" t="s">
        <v>20615</v>
      </c>
      <c r="F2640" t="s">
        <v>31362</v>
      </c>
      <c r="G2640" t="s">
        <v>31371</v>
      </c>
      <c r="H2640" t="s">
        <v>15799</v>
      </c>
      <c r="I2640" t="s">
        <v>31484</v>
      </c>
      <c r="J2640" t="s">
        <v>33312</v>
      </c>
      <c r="K2640" t="s">
        <v>40670</v>
      </c>
      <c r="M2640" t="s">
        <v>41762</v>
      </c>
      <c r="N2640" t="s">
        <v>44905</v>
      </c>
      <c r="O2640" t="s">
        <v>44906</v>
      </c>
      <c r="P2640">
        <v>0</v>
      </c>
      <c r="Q2640">
        <v>1</v>
      </c>
      <c r="R2640" t="s">
        <v>44908</v>
      </c>
      <c r="S2640" t="s">
        <v>45042</v>
      </c>
      <c r="T2640" t="s">
        <v>46414</v>
      </c>
      <c r="U2640" t="s">
        <v>48523</v>
      </c>
      <c r="W2640" t="s">
        <v>41762</v>
      </c>
      <c r="X2640" t="s">
        <v>44909</v>
      </c>
    </row>
    <row r="2641" spans="1:24">
      <c r="A2641">
        <f>HYPERLINK("https://www.philgeps.gov.ph/GEPSNONPILOT/Tender/SplashBidNoticeAbstractUI.aspx?menuIndex=3&amp;refID=7078021&amp;Result=3","7078021")</f>
        <v>0</v>
      </c>
      <c r="B2641" t="s">
        <v>387</v>
      </c>
      <c r="C2641" t="s">
        <v>6070</v>
      </c>
      <c r="D2641" t="s">
        <v>18152</v>
      </c>
      <c r="E2641" t="s">
        <v>20616</v>
      </c>
      <c r="F2641" t="s">
        <v>31362</v>
      </c>
      <c r="G2641" t="s">
        <v>31369</v>
      </c>
      <c r="H2641" t="s">
        <v>15799</v>
      </c>
      <c r="I2641" t="s">
        <v>4057</v>
      </c>
      <c r="J2641" t="s">
        <v>33313</v>
      </c>
      <c r="K2641" t="s">
        <v>40693</v>
      </c>
      <c r="M2641" t="s">
        <v>41335</v>
      </c>
      <c r="N2641" t="s">
        <v>44905</v>
      </c>
      <c r="O2641" t="s">
        <v>44906</v>
      </c>
      <c r="P2641">
        <v>0</v>
      </c>
      <c r="Q2641">
        <v>0</v>
      </c>
      <c r="R2641" t="s">
        <v>44908</v>
      </c>
      <c r="S2641" t="s">
        <v>45042</v>
      </c>
      <c r="T2641" t="s">
        <v>46426</v>
      </c>
      <c r="U2641" t="s">
        <v>47597</v>
      </c>
      <c r="V2641" t="s">
        <v>59153</v>
      </c>
      <c r="W2641" t="s">
        <v>41335</v>
      </c>
      <c r="X2641" t="s">
        <v>44910</v>
      </c>
    </row>
    <row r="2642" spans="1:24">
      <c r="A2642">
        <f>HYPERLINK("https://www.philgeps.gov.ph/GEPSNONPILOT/Tender/SplashBidNoticeAbstractUI.aspx?menuIndex=3&amp;refID=7078033&amp;Result=3","7078033")</f>
        <v>0</v>
      </c>
      <c r="B2642" t="s">
        <v>1016</v>
      </c>
      <c r="C2642" t="s">
        <v>6071</v>
      </c>
      <c r="D2642" t="s">
        <v>18101</v>
      </c>
      <c r="E2642" t="s">
        <v>20617</v>
      </c>
      <c r="F2642" t="s">
        <v>31365</v>
      </c>
      <c r="G2642" t="s">
        <v>31369</v>
      </c>
      <c r="H2642" t="s">
        <v>31378</v>
      </c>
      <c r="I2642" t="s">
        <v>31386</v>
      </c>
      <c r="J2642" t="s">
        <v>33314</v>
      </c>
      <c r="K2642" t="s">
        <v>40665</v>
      </c>
      <c r="M2642" t="s">
        <v>42013</v>
      </c>
      <c r="N2642" t="s">
        <v>44905</v>
      </c>
      <c r="O2642" t="s">
        <v>44906</v>
      </c>
      <c r="P2642">
        <v>0</v>
      </c>
      <c r="Q2642">
        <v>0</v>
      </c>
      <c r="R2642" t="s">
        <v>44908</v>
      </c>
      <c r="S2642" t="s">
        <v>45042</v>
      </c>
      <c r="T2642" t="s">
        <v>46561</v>
      </c>
      <c r="U2642" t="s">
        <v>49109</v>
      </c>
      <c r="W2642" t="s">
        <v>42013</v>
      </c>
      <c r="X2642" t="s">
        <v>44910</v>
      </c>
    </row>
    <row r="2643" spans="1:24">
      <c r="A2643">
        <f>HYPERLINK("https://www.philgeps.gov.ph/GEPSNONPILOT/Tender/SplashBidNoticeAbstractUI.aspx?menuIndex=3&amp;refID=7078821&amp;Result=3","7078821")</f>
        <v>0</v>
      </c>
      <c r="B2643" t="s">
        <v>792</v>
      </c>
      <c r="C2643" t="s">
        <v>6072</v>
      </c>
      <c r="D2643" t="s">
        <v>18111</v>
      </c>
      <c r="E2643" t="s">
        <v>20618</v>
      </c>
      <c r="F2643" t="s">
        <v>31362</v>
      </c>
      <c r="G2643" t="s">
        <v>31371</v>
      </c>
      <c r="H2643" t="s">
        <v>15799</v>
      </c>
      <c r="I2643" t="s">
        <v>4283</v>
      </c>
      <c r="J2643" t="s">
        <v>33315</v>
      </c>
      <c r="K2643" t="s">
        <v>40670</v>
      </c>
      <c r="M2643" t="s">
        <v>41762</v>
      </c>
      <c r="N2643" t="s">
        <v>44905</v>
      </c>
      <c r="O2643" t="s">
        <v>44906</v>
      </c>
      <c r="P2643">
        <v>0</v>
      </c>
      <c r="Q2643">
        <v>2</v>
      </c>
      <c r="R2643" t="s">
        <v>44908</v>
      </c>
      <c r="S2643" t="s">
        <v>45042</v>
      </c>
      <c r="T2643" t="s">
        <v>46414</v>
      </c>
      <c r="U2643" t="s">
        <v>48523</v>
      </c>
      <c r="W2643" t="s">
        <v>41762</v>
      </c>
      <c r="X2643" t="s">
        <v>44909</v>
      </c>
    </row>
    <row r="2644" spans="1:24">
      <c r="A2644">
        <f>HYPERLINK("https://www.philgeps.gov.ph/GEPSNONPILOT/Tender/SplashBidNoticeAbstractUI.aspx?menuIndex=3&amp;refID=7078820&amp;Result=3","7078820")</f>
        <v>0</v>
      </c>
      <c r="B2644" t="s">
        <v>1000</v>
      </c>
      <c r="C2644" t="s">
        <v>6073</v>
      </c>
      <c r="D2644" t="s">
        <v>18135</v>
      </c>
      <c r="E2644" t="s">
        <v>20619</v>
      </c>
      <c r="F2644" t="s">
        <v>31365</v>
      </c>
      <c r="G2644" t="s">
        <v>31370</v>
      </c>
      <c r="H2644" t="s">
        <v>15799</v>
      </c>
      <c r="I2644" t="s">
        <v>7188</v>
      </c>
      <c r="J2644" t="s">
        <v>32143</v>
      </c>
      <c r="K2644" t="s">
        <v>40670</v>
      </c>
      <c r="M2644" t="s">
        <v>41996</v>
      </c>
      <c r="N2644" t="s">
        <v>44905</v>
      </c>
      <c r="O2644" t="s">
        <v>44906</v>
      </c>
      <c r="P2644">
        <v>0</v>
      </c>
      <c r="Q2644">
        <v>1</v>
      </c>
      <c r="R2644" t="s">
        <v>44908</v>
      </c>
      <c r="S2644" t="s">
        <v>45042</v>
      </c>
      <c r="T2644" t="s">
        <v>46463</v>
      </c>
      <c r="U2644" t="s">
        <v>49110</v>
      </c>
      <c r="W2644" t="s">
        <v>41996</v>
      </c>
      <c r="X2644" t="s">
        <v>44909</v>
      </c>
    </row>
    <row r="2645" spans="1:24">
      <c r="A2645">
        <f>HYPERLINK("https://www.philgeps.gov.ph/GEPSNONPILOT/Tender/SplashBidNoticeAbstractUI.aspx?menuIndex=3&amp;refID=7078819&amp;Result=3","7078819")</f>
        <v>0</v>
      </c>
      <c r="B2645" t="s">
        <v>792</v>
      </c>
      <c r="C2645" t="s">
        <v>5734</v>
      </c>
      <c r="D2645" t="s">
        <v>18111</v>
      </c>
      <c r="E2645" t="s">
        <v>20620</v>
      </c>
      <c r="F2645" t="s">
        <v>31362</v>
      </c>
      <c r="G2645" t="s">
        <v>31371</v>
      </c>
      <c r="H2645" t="s">
        <v>15799</v>
      </c>
      <c r="I2645" t="s">
        <v>7188</v>
      </c>
      <c r="J2645" t="s">
        <v>33316</v>
      </c>
      <c r="K2645" t="s">
        <v>40670</v>
      </c>
      <c r="M2645" t="s">
        <v>41762</v>
      </c>
      <c r="N2645" t="s">
        <v>44905</v>
      </c>
      <c r="O2645" t="s">
        <v>44906</v>
      </c>
      <c r="P2645">
        <v>0</v>
      </c>
      <c r="Q2645">
        <v>1</v>
      </c>
      <c r="R2645" t="s">
        <v>44908</v>
      </c>
      <c r="S2645" t="s">
        <v>45042</v>
      </c>
      <c r="T2645" t="s">
        <v>46414</v>
      </c>
      <c r="U2645" t="s">
        <v>49111</v>
      </c>
      <c r="W2645" t="s">
        <v>41762</v>
      </c>
      <c r="X2645" t="s">
        <v>44909</v>
      </c>
    </row>
    <row r="2646" spans="1:24">
      <c r="A2646">
        <f>HYPERLINK("https://www.philgeps.gov.ph/GEPSNONPILOT/Tender/SplashBidNoticeAbstractUI.aspx?menuIndex=3&amp;refID=7078817&amp;Result=3","7078817")</f>
        <v>0</v>
      </c>
      <c r="B2646" t="s">
        <v>792</v>
      </c>
      <c r="C2646" t="s">
        <v>6074</v>
      </c>
      <c r="D2646" t="s">
        <v>18111</v>
      </c>
      <c r="E2646" t="s">
        <v>20621</v>
      </c>
      <c r="F2646" t="s">
        <v>31362</v>
      </c>
      <c r="G2646" t="s">
        <v>31371</v>
      </c>
      <c r="H2646" t="s">
        <v>15799</v>
      </c>
      <c r="I2646" t="s">
        <v>6373</v>
      </c>
      <c r="J2646" t="s">
        <v>33317</v>
      </c>
      <c r="K2646" t="s">
        <v>40670</v>
      </c>
      <c r="M2646" t="s">
        <v>41762</v>
      </c>
      <c r="N2646" t="s">
        <v>44905</v>
      </c>
      <c r="O2646" t="s">
        <v>44906</v>
      </c>
      <c r="P2646">
        <v>0</v>
      </c>
      <c r="Q2646">
        <v>1</v>
      </c>
      <c r="R2646" t="s">
        <v>44908</v>
      </c>
      <c r="S2646" t="s">
        <v>45042</v>
      </c>
      <c r="T2646" t="s">
        <v>46414</v>
      </c>
      <c r="U2646" t="s">
        <v>48523</v>
      </c>
      <c r="W2646" t="s">
        <v>41762</v>
      </c>
      <c r="X2646" t="s">
        <v>44909</v>
      </c>
    </row>
    <row r="2647" spans="1:24">
      <c r="A2647">
        <f>HYPERLINK("https://www.philgeps.gov.ph/GEPSNONPILOT/Tender/SplashBidNoticeAbstractUI.aspx?menuIndex=3&amp;refID=7078826&amp;Result=3","7078826")</f>
        <v>0</v>
      </c>
      <c r="B2647" t="s">
        <v>792</v>
      </c>
      <c r="C2647" t="s">
        <v>6075</v>
      </c>
      <c r="D2647" t="s">
        <v>18111</v>
      </c>
      <c r="E2647" t="s">
        <v>20622</v>
      </c>
      <c r="F2647" t="s">
        <v>31362</v>
      </c>
      <c r="G2647" t="s">
        <v>31371</v>
      </c>
      <c r="H2647" t="s">
        <v>15799</v>
      </c>
      <c r="I2647" t="s">
        <v>31485</v>
      </c>
      <c r="J2647" t="s">
        <v>33318</v>
      </c>
      <c r="K2647" t="s">
        <v>40670</v>
      </c>
      <c r="M2647" t="s">
        <v>41762</v>
      </c>
      <c r="N2647" t="s">
        <v>44905</v>
      </c>
      <c r="O2647" t="s">
        <v>44906</v>
      </c>
      <c r="P2647">
        <v>0</v>
      </c>
      <c r="Q2647">
        <v>1</v>
      </c>
      <c r="R2647" t="s">
        <v>44908</v>
      </c>
      <c r="S2647" t="s">
        <v>45042</v>
      </c>
      <c r="T2647" t="s">
        <v>46414</v>
      </c>
      <c r="U2647" t="s">
        <v>48523</v>
      </c>
      <c r="W2647" t="s">
        <v>41762</v>
      </c>
      <c r="X2647" t="s">
        <v>44909</v>
      </c>
    </row>
    <row r="2648" spans="1:24">
      <c r="A2648">
        <f>HYPERLINK("https://www.philgeps.gov.ph/GEPSNONPILOT/Tender/SplashBidNoticeAbstractUI.aspx?menuIndex=3&amp;refID=7078814&amp;Result=3","7078814")</f>
        <v>0</v>
      </c>
      <c r="B2648" t="s">
        <v>1006</v>
      </c>
      <c r="C2648" t="s">
        <v>6076</v>
      </c>
      <c r="D2648" t="s">
        <v>18111</v>
      </c>
      <c r="E2648" t="s">
        <v>20582</v>
      </c>
      <c r="F2648" t="s">
        <v>31362</v>
      </c>
      <c r="G2648" t="s">
        <v>31370</v>
      </c>
      <c r="H2648" t="s">
        <v>15799</v>
      </c>
      <c r="I2648" t="s">
        <v>7090</v>
      </c>
      <c r="J2648" t="s">
        <v>33319</v>
      </c>
      <c r="K2648" t="s">
        <v>40662</v>
      </c>
      <c r="M2648" t="s">
        <v>42003</v>
      </c>
      <c r="N2648" t="s">
        <v>44905</v>
      </c>
      <c r="O2648" t="s">
        <v>44906</v>
      </c>
      <c r="P2648">
        <v>0</v>
      </c>
      <c r="Q2648">
        <v>1</v>
      </c>
      <c r="R2648" t="s">
        <v>44908</v>
      </c>
      <c r="S2648" t="s">
        <v>45042</v>
      </c>
      <c r="T2648" t="s">
        <v>46427</v>
      </c>
      <c r="U2648" t="s">
        <v>49112</v>
      </c>
      <c r="W2648" t="s">
        <v>42003</v>
      </c>
      <c r="X2648" t="s">
        <v>44909</v>
      </c>
    </row>
    <row r="2649" spans="1:24">
      <c r="A2649">
        <f>HYPERLINK("https://www.philgeps.gov.ph/GEPSNONPILOT/Tender/SplashBidNoticeAbstractUI.aspx?menuIndex=3&amp;refID=7078263&amp;Result=3","7078263")</f>
        <v>0</v>
      </c>
      <c r="B2649" t="s">
        <v>658</v>
      </c>
      <c r="C2649" t="s">
        <v>6077</v>
      </c>
      <c r="D2649" t="s">
        <v>18108</v>
      </c>
      <c r="E2649" t="s">
        <v>20623</v>
      </c>
      <c r="F2649" t="s">
        <v>31362</v>
      </c>
      <c r="G2649" t="s">
        <v>31369</v>
      </c>
      <c r="H2649" t="s">
        <v>15799</v>
      </c>
      <c r="I2649" t="s">
        <v>31396</v>
      </c>
      <c r="J2649" t="s">
        <v>33320</v>
      </c>
      <c r="K2649" t="s">
        <v>40662</v>
      </c>
      <c r="M2649" t="s">
        <v>41978</v>
      </c>
      <c r="N2649" t="s">
        <v>44905</v>
      </c>
      <c r="O2649" t="s">
        <v>44906</v>
      </c>
      <c r="P2649">
        <v>0</v>
      </c>
      <c r="Q2649">
        <v>12</v>
      </c>
      <c r="R2649" t="s">
        <v>44908</v>
      </c>
      <c r="S2649" t="s">
        <v>45042</v>
      </c>
      <c r="T2649" t="s">
        <v>46401</v>
      </c>
      <c r="U2649" t="s">
        <v>49113</v>
      </c>
      <c r="W2649" t="s">
        <v>41978</v>
      </c>
      <c r="X2649" t="s">
        <v>44910</v>
      </c>
    </row>
    <row r="2650" spans="1:24">
      <c r="A2650">
        <f>HYPERLINK("https://www.philgeps.gov.ph/GEPSNONPILOT/Tender/SplashBidNoticeAbstractUI.aspx?menuIndex=3&amp;refID=7078813&amp;Result=3","7078813")</f>
        <v>0</v>
      </c>
      <c r="B2650" t="s">
        <v>1006</v>
      </c>
      <c r="C2650" t="s">
        <v>6078</v>
      </c>
      <c r="D2650" t="s">
        <v>18111</v>
      </c>
      <c r="E2650" t="s">
        <v>20582</v>
      </c>
      <c r="F2650" t="s">
        <v>31362</v>
      </c>
      <c r="G2650" t="s">
        <v>31370</v>
      </c>
      <c r="H2650" t="s">
        <v>15799</v>
      </c>
      <c r="I2650" t="s">
        <v>7090</v>
      </c>
      <c r="J2650" t="s">
        <v>33321</v>
      </c>
      <c r="K2650" t="s">
        <v>40662</v>
      </c>
      <c r="M2650" t="s">
        <v>42003</v>
      </c>
      <c r="N2650" t="s">
        <v>44905</v>
      </c>
      <c r="O2650" t="s">
        <v>44906</v>
      </c>
      <c r="P2650">
        <v>0</v>
      </c>
      <c r="Q2650">
        <v>1</v>
      </c>
      <c r="R2650" t="s">
        <v>44908</v>
      </c>
      <c r="S2650" t="s">
        <v>45042</v>
      </c>
      <c r="T2650" t="s">
        <v>46427</v>
      </c>
      <c r="U2650" t="s">
        <v>49114</v>
      </c>
      <c r="W2650" t="s">
        <v>42003</v>
      </c>
      <c r="X2650" t="s">
        <v>44909</v>
      </c>
    </row>
    <row r="2651" spans="1:24">
      <c r="A2651">
        <f>HYPERLINK("https://www.philgeps.gov.ph/GEPSNONPILOT/Tender/SplashBidNoticeAbstractUI.aspx?menuIndex=3&amp;refID=7078822&amp;Result=3","7078822")</f>
        <v>0</v>
      </c>
      <c r="B2651" t="s">
        <v>1000</v>
      </c>
      <c r="C2651" t="s">
        <v>6079</v>
      </c>
      <c r="D2651" t="s">
        <v>18135</v>
      </c>
      <c r="E2651" t="s">
        <v>20624</v>
      </c>
      <c r="F2651" t="s">
        <v>31365</v>
      </c>
      <c r="G2651" t="s">
        <v>31370</v>
      </c>
      <c r="H2651" t="s">
        <v>15799</v>
      </c>
      <c r="I2651" t="s">
        <v>7188</v>
      </c>
      <c r="J2651" t="s">
        <v>32065</v>
      </c>
      <c r="K2651" t="s">
        <v>40670</v>
      </c>
      <c r="M2651" t="s">
        <v>41996</v>
      </c>
      <c r="N2651" t="s">
        <v>44905</v>
      </c>
      <c r="O2651" t="s">
        <v>44906</v>
      </c>
      <c r="P2651">
        <v>0</v>
      </c>
      <c r="Q2651">
        <v>0</v>
      </c>
      <c r="R2651" t="s">
        <v>44908</v>
      </c>
      <c r="S2651" t="s">
        <v>45042</v>
      </c>
      <c r="T2651" t="s">
        <v>46426</v>
      </c>
      <c r="U2651" t="s">
        <v>49115</v>
      </c>
      <c r="W2651" t="s">
        <v>41996</v>
      </c>
      <c r="X2651" t="s">
        <v>44909</v>
      </c>
    </row>
    <row r="2652" spans="1:24">
      <c r="A2652">
        <f>HYPERLINK("https://www.philgeps.gov.ph/GEPSNONPILOT/Tender/SplashBidNoticeAbstractUI.aspx?menuIndex=3&amp;refID=7078858&amp;Result=3","7078858")</f>
        <v>0</v>
      </c>
      <c r="B2652" t="s">
        <v>180</v>
      </c>
      <c r="C2652" t="s">
        <v>6080</v>
      </c>
      <c r="D2652" t="s">
        <v>18112</v>
      </c>
      <c r="E2652" t="s">
        <v>20625</v>
      </c>
      <c r="F2652" t="s">
        <v>31362</v>
      </c>
      <c r="G2652" t="s">
        <v>31368</v>
      </c>
      <c r="H2652" t="s">
        <v>15799</v>
      </c>
      <c r="I2652" t="s">
        <v>31386</v>
      </c>
      <c r="J2652" t="s">
        <v>33322</v>
      </c>
      <c r="K2652" t="s">
        <v>40680</v>
      </c>
      <c r="M2652" t="s">
        <v>41118</v>
      </c>
      <c r="N2652" t="s">
        <v>44905</v>
      </c>
      <c r="O2652" t="s">
        <v>44906</v>
      </c>
      <c r="P2652">
        <v>0</v>
      </c>
      <c r="Q2652">
        <v>0</v>
      </c>
      <c r="R2652" t="s">
        <v>44908</v>
      </c>
      <c r="S2652" t="s">
        <v>45042</v>
      </c>
      <c r="T2652" t="s">
        <v>46549</v>
      </c>
      <c r="U2652" t="s">
        <v>49116</v>
      </c>
      <c r="W2652" t="s">
        <v>41118</v>
      </c>
      <c r="X2652" t="s">
        <v>44909</v>
      </c>
    </row>
    <row r="2653" spans="1:24">
      <c r="A2653">
        <f>HYPERLINK("https://www.philgeps.gov.ph/GEPSNONPILOT/Tender/SplashBidNoticeAbstractUI.aspx?menuIndex=3&amp;refID=7078815&amp;Result=3","7078815")</f>
        <v>0</v>
      </c>
      <c r="B2653" t="s">
        <v>1006</v>
      </c>
      <c r="C2653" t="s">
        <v>6081</v>
      </c>
      <c r="D2653" t="s">
        <v>18111</v>
      </c>
      <c r="E2653" t="s">
        <v>20578</v>
      </c>
      <c r="F2653" t="s">
        <v>31362</v>
      </c>
      <c r="G2653" t="s">
        <v>31370</v>
      </c>
      <c r="H2653" t="s">
        <v>15799</v>
      </c>
      <c r="I2653" t="s">
        <v>31385</v>
      </c>
      <c r="J2653" t="s">
        <v>32235</v>
      </c>
      <c r="K2653" t="s">
        <v>40662</v>
      </c>
      <c r="M2653" t="s">
        <v>42003</v>
      </c>
      <c r="N2653" t="s">
        <v>44905</v>
      </c>
      <c r="O2653" t="s">
        <v>44906</v>
      </c>
      <c r="P2653">
        <v>0</v>
      </c>
      <c r="Q2653">
        <v>2</v>
      </c>
      <c r="R2653" t="s">
        <v>44908</v>
      </c>
      <c r="S2653" t="s">
        <v>45042</v>
      </c>
      <c r="T2653" t="s">
        <v>46427</v>
      </c>
      <c r="U2653" t="s">
        <v>49117</v>
      </c>
      <c r="W2653" t="s">
        <v>42003</v>
      </c>
      <c r="X2653" t="s">
        <v>44909</v>
      </c>
    </row>
    <row r="2654" spans="1:24">
      <c r="A2654">
        <f>HYPERLINK("https://www.philgeps.gov.ph/GEPSNONPILOT/Tender/SplashBidNoticeAbstractUI.aspx?menuIndex=3&amp;refID=7078823&amp;Result=3","7078823")</f>
        <v>0</v>
      </c>
      <c r="B2654" t="s">
        <v>1000</v>
      </c>
      <c r="C2654" t="s">
        <v>6082</v>
      </c>
      <c r="D2654" t="s">
        <v>18135</v>
      </c>
      <c r="E2654" t="s">
        <v>20626</v>
      </c>
      <c r="F2654" t="s">
        <v>31365</v>
      </c>
      <c r="G2654" t="s">
        <v>31369</v>
      </c>
      <c r="H2654" t="s">
        <v>15799</v>
      </c>
      <c r="I2654" t="s">
        <v>31427</v>
      </c>
      <c r="J2654" t="s">
        <v>33323</v>
      </c>
      <c r="K2654" t="s">
        <v>40670</v>
      </c>
      <c r="M2654" t="s">
        <v>41996</v>
      </c>
      <c r="N2654" t="s">
        <v>44905</v>
      </c>
      <c r="O2654" t="s">
        <v>44906</v>
      </c>
      <c r="P2654">
        <v>0</v>
      </c>
      <c r="Q2654">
        <v>1</v>
      </c>
      <c r="R2654" t="s">
        <v>44908</v>
      </c>
      <c r="S2654" t="s">
        <v>45042</v>
      </c>
      <c r="T2654" t="s">
        <v>46486</v>
      </c>
      <c r="U2654" t="s">
        <v>49118</v>
      </c>
      <c r="W2654" t="s">
        <v>41996</v>
      </c>
      <c r="X2654" t="s">
        <v>44909</v>
      </c>
    </row>
    <row r="2655" spans="1:24">
      <c r="A2655">
        <f>HYPERLINK("https://www.philgeps.gov.ph/GEPSNONPILOT/Tender/SplashBidNoticeAbstractUI.aspx?menuIndex=3&amp;refID=7078835&amp;Result=3","7078835")</f>
        <v>0</v>
      </c>
      <c r="B2655" t="s">
        <v>792</v>
      </c>
      <c r="C2655" t="s">
        <v>6083</v>
      </c>
      <c r="D2655" t="s">
        <v>18111</v>
      </c>
      <c r="E2655" t="s">
        <v>20627</v>
      </c>
      <c r="F2655" t="s">
        <v>31362</v>
      </c>
      <c r="G2655" t="s">
        <v>31371</v>
      </c>
      <c r="H2655" t="s">
        <v>15799</v>
      </c>
      <c r="I2655" t="s">
        <v>31385</v>
      </c>
      <c r="J2655" t="s">
        <v>31758</v>
      </c>
      <c r="K2655" t="s">
        <v>40670</v>
      </c>
      <c r="M2655" t="s">
        <v>41762</v>
      </c>
      <c r="N2655" t="s">
        <v>44905</v>
      </c>
      <c r="O2655" t="s">
        <v>44906</v>
      </c>
      <c r="P2655">
        <v>0</v>
      </c>
      <c r="Q2655">
        <v>1</v>
      </c>
      <c r="R2655" t="s">
        <v>44908</v>
      </c>
      <c r="S2655" t="s">
        <v>45042</v>
      </c>
      <c r="T2655" t="s">
        <v>46414</v>
      </c>
      <c r="U2655" t="s">
        <v>48523</v>
      </c>
      <c r="W2655" t="s">
        <v>41762</v>
      </c>
      <c r="X2655" t="s">
        <v>44909</v>
      </c>
    </row>
    <row r="2656" spans="1:24">
      <c r="A2656">
        <f>HYPERLINK("https://www.philgeps.gov.ph/GEPSNONPILOT/Tender/SplashBidNoticeAbstractUI.aspx?menuIndex=3&amp;refID=7078853&amp;Result=3","7078853")</f>
        <v>0</v>
      </c>
      <c r="B2656" t="s">
        <v>180</v>
      </c>
      <c r="C2656" t="s">
        <v>6084</v>
      </c>
      <c r="D2656" t="s">
        <v>18112</v>
      </c>
      <c r="E2656" t="s">
        <v>20628</v>
      </c>
      <c r="F2656" t="s">
        <v>31362</v>
      </c>
      <c r="G2656" t="s">
        <v>31368</v>
      </c>
      <c r="H2656" t="s">
        <v>15799</v>
      </c>
      <c r="I2656" t="s">
        <v>31430</v>
      </c>
      <c r="J2656" t="s">
        <v>33324</v>
      </c>
      <c r="K2656" t="s">
        <v>40680</v>
      </c>
      <c r="M2656" t="s">
        <v>41118</v>
      </c>
      <c r="N2656" t="s">
        <v>44905</v>
      </c>
      <c r="O2656" t="s">
        <v>44906</v>
      </c>
      <c r="P2656">
        <v>0</v>
      </c>
      <c r="Q2656">
        <v>0</v>
      </c>
      <c r="R2656" t="s">
        <v>44908</v>
      </c>
      <c r="S2656" t="s">
        <v>45042</v>
      </c>
      <c r="T2656" t="s">
        <v>46549</v>
      </c>
      <c r="U2656" t="s">
        <v>49119</v>
      </c>
      <c r="W2656" t="s">
        <v>41118</v>
      </c>
      <c r="X2656" t="s">
        <v>44909</v>
      </c>
    </row>
    <row r="2657" spans="1:24">
      <c r="A2657">
        <f>HYPERLINK("https://www.philgeps.gov.ph/GEPSNONPILOT/Tender/SplashBidNoticeAbstractUI.aspx?menuIndex=3&amp;refID=7078857&amp;Result=3","7078857")</f>
        <v>0</v>
      </c>
      <c r="B2657" t="s">
        <v>1017</v>
      </c>
      <c r="C2657" t="s">
        <v>6085</v>
      </c>
      <c r="D2657" t="s">
        <v>18171</v>
      </c>
      <c r="E2657" t="s">
        <v>20629</v>
      </c>
      <c r="F2657" t="s">
        <v>31362</v>
      </c>
      <c r="G2657" t="s">
        <v>31369</v>
      </c>
      <c r="H2657" t="s">
        <v>15799</v>
      </c>
      <c r="I2657" t="s">
        <v>3815</v>
      </c>
      <c r="J2657" t="s">
        <v>31591</v>
      </c>
      <c r="K2657" t="s">
        <v>40666</v>
      </c>
      <c r="M2657" t="s">
        <v>42014</v>
      </c>
      <c r="N2657" t="s">
        <v>44905</v>
      </c>
      <c r="O2657" t="s">
        <v>44906</v>
      </c>
      <c r="P2657">
        <v>0</v>
      </c>
      <c r="Q2657">
        <v>0</v>
      </c>
      <c r="R2657" t="s">
        <v>44908</v>
      </c>
      <c r="S2657" t="s">
        <v>45042</v>
      </c>
      <c r="T2657" t="s">
        <v>46555</v>
      </c>
      <c r="U2657" t="s">
        <v>49120</v>
      </c>
      <c r="W2657" t="s">
        <v>42014</v>
      </c>
      <c r="X2657" t="s">
        <v>44909</v>
      </c>
    </row>
    <row r="2658" spans="1:24">
      <c r="A2658">
        <f>HYPERLINK("https://www.philgeps.gov.ph/GEPSNONPILOT/Tender/SplashBidNoticeAbstractUI.aspx?menuIndex=3&amp;refID=7078850&amp;Result=3","7078850")</f>
        <v>0</v>
      </c>
      <c r="B2658" t="s">
        <v>79</v>
      </c>
      <c r="C2658" t="s">
        <v>6086</v>
      </c>
      <c r="D2658" t="s">
        <v>18114</v>
      </c>
      <c r="E2658" t="s">
        <v>6086</v>
      </c>
      <c r="F2658" t="s">
        <v>31362</v>
      </c>
      <c r="G2658" t="s">
        <v>31368</v>
      </c>
      <c r="H2658" t="s">
        <v>15799</v>
      </c>
      <c r="I2658" t="s">
        <v>6155</v>
      </c>
      <c r="J2658" t="s">
        <v>33325</v>
      </c>
      <c r="K2658" t="s">
        <v>40665</v>
      </c>
      <c r="M2658" t="s">
        <v>41015</v>
      </c>
      <c r="N2658" t="s">
        <v>44905</v>
      </c>
      <c r="O2658" t="s">
        <v>44906</v>
      </c>
      <c r="P2658">
        <v>0</v>
      </c>
      <c r="Q2658">
        <v>5</v>
      </c>
      <c r="R2658" t="s">
        <v>44908</v>
      </c>
      <c r="S2658" t="s">
        <v>45042</v>
      </c>
      <c r="T2658" t="s">
        <v>46414</v>
      </c>
      <c r="U2658" t="s">
        <v>49121</v>
      </c>
      <c r="W2658" t="s">
        <v>41015</v>
      </c>
      <c r="X2658" t="s">
        <v>44909</v>
      </c>
    </row>
    <row r="2659" spans="1:24">
      <c r="A2659">
        <f>HYPERLINK("https://www.philgeps.gov.ph/GEPSNONPILOT/Tender/SplashBidNoticeAbstractUI.aspx?menuIndex=3&amp;refID=7078851&amp;Result=3","7078851")</f>
        <v>0</v>
      </c>
      <c r="B2659" t="s">
        <v>1018</v>
      </c>
      <c r="C2659" t="s">
        <v>6087</v>
      </c>
      <c r="D2659" t="s">
        <v>18156</v>
      </c>
      <c r="E2659" t="s">
        <v>20328</v>
      </c>
      <c r="F2659" t="s">
        <v>31362</v>
      </c>
      <c r="G2659" t="s">
        <v>31369</v>
      </c>
      <c r="H2659" t="s">
        <v>15799</v>
      </c>
      <c r="I2659" t="s">
        <v>6373</v>
      </c>
      <c r="J2659" t="s">
        <v>31536</v>
      </c>
      <c r="K2659" t="s">
        <v>40661</v>
      </c>
      <c r="M2659" t="s">
        <v>42015</v>
      </c>
      <c r="N2659" t="s">
        <v>44905</v>
      </c>
      <c r="O2659" t="s">
        <v>44906</v>
      </c>
      <c r="P2659">
        <v>0</v>
      </c>
      <c r="Q2659">
        <v>4</v>
      </c>
      <c r="R2659" t="s">
        <v>44908</v>
      </c>
      <c r="S2659" t="s">
        <v>45042</v>
      </c>
      <c r="T2659" t="s">
        <v>46463</v>
      </c>
      <c r="U2659" t="s">
        <v>49122</v>
      </c>
      <c r="W2659" t="s">
        <v>42015</v>
      </c>
      <c r="X2659" t="s">
        <v>44909</v>
      </c>
    </row>
    <row r="2660" spans="1:24">
      <c r="A2660">
        <f>HYPERLINK("https://www.philgeps.gov.ph/GEPSNONPILOT/Tender/SplashBidNoticeAbstractUI.aspx?menuIndex=3&amp;refID=7078848&amp;Result=3","7078848")</f>
        <v>0</v>
      </c>
      <c r="B2660" t="s">
        <v>79</v>
      </c>
      <c r="C2660" t="s">
        <v>6088</v>
      </c>
      <c r="D2660" t="s">
        <v>18114</v>
      </c>
      <c r="E2660" t="s">
        <v>6088</v>
      </c>
      <c r="F2660" t="s">
        <v>31362</v>
      </c>
      <c r="G2660" t="s">
        <v>31370</v>
      </c>
      <c r="H2660" t="s">
        <v>15799</v>
      </c>
      <c r="I2660" t="s">
        <v>6373</v>
      </c>
      <c r="J2660" t="s">
        <v>33326</v>
      </c>
      <c r="K2660" t="s">
        <v>40665</v>
      </c>
      <c r="M2660" t="s">
        <v>41015</v>
      </c>
      <c r="N2660" t="s">
        <v>44905</v>
      </c>
      <c r="O2660" t="s">
        <v>44906</v>
      </c>
      <c r="P2660">
        <v>0</v>
      </c>
      <c r="Q2660">
        <v>0</v>
      </c>
      <c r="R2660" t="s">
        <v>44908</v>
      </c>
      <c r="S2660" t="s">
        <v>45042</v>
      </c>
      <c r="T2660" t="s">
        <v>46432</v>
      </c>
      <c r="U2660" t="s">
        <v>49123</v>
      </c>
      <c r="W2660" t="s">
        <v>41015</v>
      </c>
      <c r="X2660" t="s">
        <v>44909</v>
      </c>
    </row>
    <row r="2661" spans="1:24">
      <c r="A2661">
        <f>HYPERLINK("https://www.philgeps.gov.ph/GEPSNONPILOT/Tender/SplashBidNoticeAbstractUI.aspx?menuIndex=3&amp;refID=7078856&amp;Result=3","7078856")</f>
        <v>0</v>
      </c>
      <c r="B2661" t="s">
        <v>1019</v>
      </c>
      <c r="C2661" t="s">
        <v>4337</v>
      </c>
      <c r="D2661" t="s">
        <v>18111</v>
      </c>
      <c r="E2661" t="s">
        <v>19498</v>
      </c>
      <c r="F2661" t="s">
        <v>31362</v>
      </c>
      <c r="G2661" t="s">
        <v>31370</v>
      </c>
      <c r="H2661" t="s">
        <v>15799</v>
      </c>
      <c r="I2661" t="s">
        <v>3815</v>
      </c>
      <c r="J2661" t="s">
        <v>32065</v>
      </c>
      <c r="K2661" t="s">
        <v>40670</v>
      </c>
      <c r="M2661" t="s">
        <v>42016</v>
      </c>
      <c r="N2661" t="s">
        <v>44905</v>
      </c>
      <c r="O2661" t="s">
        <v>44906</v>
      </c>
      <c r="P2661">
        <v>0</v>
      </c>
      <c r="Q2661">
        <v>0</v>
      </c>
      <c r="R2661" t="s">
        <v>44908</v>
      </c>
      <c r="S2661" t="s">
        <v>45042</v>
      </c>
      <c r="T2661" t="s">
        <v>46443</v>
      </c>
      <c r="U2661" t="s">
        <v>47653</v>
      </c>
      <c r="W2661" t="s">
        <v>42016</v>
      </c>
      <c r="X2661" t="s">
        <v>44909</v>
      </c>
    </row>
    <row r="2662" spans="1:24">
      <c r="A2662">
        <f>HYPERLINK("https://www.philgeps.gov.ph/GEPSNONPILOT/Tender/SplashBidNoticeAbstractUI.aspx?menuIndex=3&amp;refID=7078846&amp;Result=3","7078846")</f>
        <v>0</v>
      </c>
      <c r="B2662" t="s">
        <v>520</v>
      </c>
      <c r="C2662" t="s">
        <v>6089</v>
      </c>
      <c r="D2662" t="s">
        <v>18106</v>
      </c>
      <c r="E2662" t="s">
        <v>20630</v>
      </c>
      <c r="F2662" t="s">
        <v>31362</v>
      </c>
      <c r="G2662" t="s">
        <v>31368</v>
      </c>
      <c r="H2662" t="s">
        <v>15799</v>
      </c>
      <c r="I2662" t="s">
        <v>7090</v>
      </c>
      <c r="J2662" t="s">
        <v>31724</v>
      </c>
      <c r="K2662" t="s">
        <v>40666</v>
      </c>
      <c r="M2662" t="s">
        <v>41476</v>
      </c>
      <c r="N2662" t="s">
        <v>44905</v>
      </c>
      <c r="O2662" t="s">
        <v>44906</v>
      </c>
      <c r="P2662">
        <v>0</v>
      </c>
      <c r="Q2662">
        <v>6</v>
      </c>
      <c r="R2662" t="s">
        <v>44908</v>
      </c>
      <c r="S2662" t="s">
        <v>45042</v>
      </c>
      <c r="T2662" t="s">
        <v>46454</v>
      </c>
      <c r="U2662" t="s">
        <v>49124</v>
      </c>
      <c r="W2662" t="s">
        <v>41476</v>
      </c>
      <c r="X2662" t="s">
        <v>44909</v>
      </c>
    </row>
    <row r="2663" spans="1:24">
      <c r="A2663">
        <f>HYPERLINK("https://www.philgeps.gov.ph/GEPSNONPILOT/Tender/SplashBidNoticeAbstractUI.aspx?menuIndex=3&amp;refID=7078841&amp;Result=3","7078841")</f>
        <v>0</v>
      </c>
      <c r="B2663" t="s">
        <v>79</v>
      </c>
      <c r="C2663" t="s">
        <v>6090</v>
      </c>
      <c r="D2663" t="s">
        <v>18114</v>
      </c>
      <c r="E2663" t="s">
        <v>20631</v>
      </c>
      <c r="F2663" t="s">
        <v>31362</v>
      </c>
      <c r="G2663" t="s">
        <v>31370</v>
      </c>
      <c r="H2663" t="s">
        <v>15799</v>
      </c>
      <c r="I2663" t="s">
        <v>7090</v>
      </c>
      <c r="J2663" t="s">
        <v>33024</v>
      </c>
      <c r="K2663" t="s">
        <v>40665</v>
      </c>
      <c r="M2663" t="s">
        <v>41015</v>
      </c>
      <c r="N2663" t="s">
        <v>44905</v>
      </c>
      <c r="O2663" t="s">
        <v>44906</v>
      </c>
      <c r="P2663">
        <v>0</v>
      </c>
      <c r="Q2663">
        <v>0</v>
      </c>
      <c r="R2663" t="s">
        <v>44908</v>
      </c>
      <c r="S2663" t="s">
        <v>45042</v>
      </c>
      <c r="T2663" t="s">
        <v>46434</v>
      </c>
      <c r="U2663" t="s">
        <v>49125</v>
      </c>
      <c r="W2663" t="s">
        <v>41015</v>
      </c>
      <c r="X2663" t="s">
        <v>44909</v>
      </c>
    </row>
    <row r="2664" spans="1:24">
      <c r="A2664">
        <f>HYPERLINK("https://www.philgeps.gov.ph/GEPSNONPILOT/Tender/SplashBidNoticeAbstractUI.aspx?menuIndex=3&amp;refID=7078854&amp;Result=3","7078854")</f>
        <v>0</v>
      </c>
      <c r="B2664" t="s">
        <v>79</v>
      </c>
      <c r="C2664" t="s">
        <v>6091</v>
      </c>
      <c r="D2664" t="s">
        <v>18114</v>
      </c>
      <c r="E2664" t="s">
        <v>6091</v>
      </c>
      <c r="F2664" t="s">
        <v>31362</v>
      </c>
      <c r="G2664" t="s">
        <v>31368</v>
      </c>
      <c r="H2664" t="s">
        <v>15799</v>
      </c>
      <c r="I2664" t="s">
        <v>31430</v>
      </c>
      <c r="J2664" t="s">
        <v>33327</v>
      </c>
      <c r="K2664" t="s">
        <v>40665</v>
      </c>
      <c r="M2664" t="s">
        <v>41015</v>
      </c>
      <c r="N2664" t="s">
        <v>44905</v>
      </c>
      <c r="O2664" t="s">
        <v>44906</v>
      </c>
      <c r="P2664">
        <v>0</v>
      </c>
      <c r="Q2664">
        <v>0</v>
      </c>
      <c r="R2664" t="s">
        <v>44908</v>
      </c>
      <c r="S2664" t="s">
        <v>45042</v>
      </c>
      <c r="T2664" t="s">
        <v>46393</v>
      </c>
      <c r="U2664" t="s">
        <v>49126</v>
      </c>
      <c r="W2664" t="s">
        <v>41015</v>
      </c>
      <c r="X2664" t="s">
        <v>44909</v>
      </c>
    </row>
    <row r="2665" spans="1:24">
      <c r="A2665">
        <f>HYPERLINK("https://www.philgeps.gov.ph/GEPSNONPILOT/Tender/SplashBidNoticeAbstractUI.aspx?menuIndex=3&amp;refID=7078840&amp;Result=3","7078840")</f>
        <v>0</v>
      </c>
      <c r="B2665" t="s">
        <v>79</v>
      </c>
      <c r="C2665" t="s">
        <v>6092</v>
      </c>
      <c r="D2665" t="s">
        <v>18114</v>
      </c>
      <c r="E2665" t="s">
        <v>20632</v>
      </c>
      <c r="F2665" t="s">
        <v>31362</v>
      </c>
      <c r="G2665" t="s">
        <v>31370</v>
      </c>
      <c r="H2665" t="s">
        <v>15799</v>
      </c>
      <c r="I2665" t="s">
        <v>4942</v>
      </c>
      <c r="J2665" t="s">
        <v>33328</v>
      </c>
      <c r="K2665" t="s">
        <v>40665</v>
      </c>
      <c r="M2665" t="s">
        <v>41015</v>
      </c>
      <c r="N2665" t="s">
        <v>44905</v>
      </c>
      <c r="O2665" t="s">
        <v>44906</v>
      </c>
      <c r="P2665">
        <v>0</v>
      </c>
      <c r="Q2665">
        <v>0</v>
      </c>
      <c r="R2665" t="s">
        <v>44908</v>
      </c>
      <c r="S2665" t="s">
        <v>45042</v>
      </c>
      <c r="T2665" t="s">
        <v>46434</v>
      </c>
      <c r="U2665" t="s">
        <v>49127</v>
      </c>
      <c r="W2665" t="s">
        <v>41015</v>
      </c>
      <c r="X2665" t="s">
        <v>44909</v>
      </c>
    </row>
    <row r="2666" spans="1:24">
      <c r="A2666">
        <f>HYPERLINK("https://www.philgeps.gov.ph/GEPSNONPILOT/Tender/SplashBidNoticeAbstractUI.aspx?menuIndex=3&amp;refID=7078838&amp;Result=3","7078838")</f>
        <v>0</v>
      </c>
      <c r="B2666" t="s">
        <v>792</v>
      </c>
      <c r="C2666" t="s">
        <v>6093</v>
      </c>
      <c r="D2666" t="s">
        <v>18111</v>
      </c>
      <c r="E2666" t="s">
        <v>20633</v>
      </c>
      <c r="F2666" t="s">
        <v>31362</v>
      </c>
      <c r="G2666" t="s">
        <v>31371</v>
      </c>
      <c r="H2666" t="s">
        <v>15799</v>
      </c>
      <c r="I2666" t="s">
        <v>31431</v>
      </c>
      <c r="J2666" t="s">
        <v>33329</v>
      </c>
      <c r="K2666" t="s">
        <v>40670</v>
      </c>
      <c r="M2666" t="s">
        <v>41762</v>
      </c>
      <c r="N2666" t="s">
        <v>44905</v>
      </c>
      <c r="O2666" t="s">
        <v>44906</v>
      </c>
      <c r="P2666">
        <v>0</v>
      </c>
      <c r="Q2666">
        <v>1</v>
      </c>
      <c r="R2666" t="s">
        <v>44908</v>
      </c>
      <c r="S2666" t="s">
        <v>45042</v>
      </c>
      <c r="T2666" t="s">
        <v>46414</v>
      </c>
      <c r="U2666" t="s">
        <v>48523</v>
      </c>
      <c r="W2666" t="s">
        <v>41762</v>
      </c>
      <c r="X2666" t="s">
        <v>44909</v>
      </c>
    </row>
    <row r="2667" spans="1:24">
      <c r="A2667">
        <f>HYPERLINK("https://www.philgeps.gov.ph/GEPSNONPILOT/Tender/SplashBidNoticeAbstractUI.aspx?menuIndex=3&amp;refID=7078834&amp;Result=3","7078834")</f>
        <v>0</v>
      </c>
      <c r="B2667" t="s">
        <v>1020</v>
      </c>
      <c r="C2667" t="s">
        <v>6094</v>
      </c>
      <c r="D2667" t="s">
        <v>18101</v>
      </c>
      <c r="E2667" t="s">
        <v>20634</v>
      </c>
      <c r="F2667" t="s">
        <v>31362</v>
      </c>
      <c r="G2667" t="s">
        <v>31369</v>
      </c>
      <c r="H2667" t="s">
        <v>31378</v>
      </c>
      <c r="I2667" t="s">
        <v>31386</v>
      </c>
      <c r="J2667" t="s">
        <v>33330</v>
      </c>
      <c r="K2667" t="s">
        <v>40750</v>
      </c>
      <c r="M2667" t="s">
        <v>42017</v>
      </c>
      <c r="N2667" t="s">
        <v>44905</v>
      </c>
      <c r="O2667" t="s">
        <v>44906</v>
      </c>
      <c r="P2667">
        <v>0</v>
      </c>
      <c r="Q2667">
        <v>0</v>
      </c>
      <c r="R2667" t="s">
        <v>44908</v>
      </c>
      <c r="S2667" t="s">
        <v>45042</v>
      </c>
      <c r="T2667" t="s">
        <v>46426</v>
      </c>
      <c r="U2667" t="s">
        <v>49128</v>
      </c>
      <c r="W2667" t="s">
        <v>42017</v>
      </c>
      <c r="X2667" t="s">
        <v>44909</v>
      </c>
    </row>
    <row r="2668" spans="1:24">
      <c r="A2668">
        <f>HYPERLINK("https://www.philgeps.gov.ph/GEPSNONPILOT/Tender/SplashBidNoticeAbstractUI.aspx?menuIndex=3&amp;refID=7078816&amp;Result=3","7078816")</f>
        <v>0</v>
      </c>
      <c r="B2668" t="s">
        <v>792</v>
      </c>
      <c r="C2668" t="s">
        <v>6095</v>
      </c>
      <c r="D2668" t="s">
        <v>18111</v>
      </c>
      <c r="E2668" t="s">
        <v>20635</v>
      </c>
      <c r="F2668" t="s">
        <v>31362</v>
      </c>
      <c r="G2668" t="s">
        <v>31371</v>
      </c>
      <c r="H2668" t="s">
        <v>15799</v>
      </c>
      <c r="I2668" t="s">
        <v>3815</v>
      </c>
      <c r="J2668" t="s">
        <v>33331</v>
      </c>
      <c r="K2668" t="s">
        <v>40670</v>
      </c>
      <c r="M2668" t="s">
        <v>41762</v>
      </c>
      <c r="N2668" t="s">
        <v>44905</v>
      </c>
      <c r="O2668" t="s">
        <v>44906</v>
      </c>
      <c r="P2668">
        <v>0</v>
      </c>
      <c r="Q2668">
        <v>2</v>
      </c>
      <c r="R2668" t="s">
        <v>44908</v>
      </c>
      <c r="S2668" t="s">
        <v>45042</v>
      </c>
      <c r="T2668" t="s">
        <v>46414</v>
      </c>
      <c r="U2668" t="s">
        <v>48523</v>
      </c>
      <c r="W2668" t="s">
        <v>41762</v>
      </c>
      <c r="X2668" t="s">
        <v>44909</v>
      </c>
    </row>
    <row r="2669" spans="1:24">
      <c r="A2669">
        <f>HYPERLINK("https://www.philgeps.gov.ph/GEPSNONPILOT/Tender/SplashBidNoticeAbstractUI.aspx?menuIndex=3&amp;refID=7078833&amp;Result=3","7078833")</f>
        <v>0</v>
      </c>
      <c r="B2669" t="s">
        <v>792</v>
      </c>
      <c r="C2669" t="s">
        <v>6096</v>
      </c>
      <c r="D2669" t="s">
        <v>18111</v>
      </c>
      <c r="E2669" t="s">
        <v>20636</v>
      </c>
      <c r="F2669" t="s">
        <v>31362</v>
      </c>
      <c r="G2669" t="s">
        <v>31371</v>
      </c>
      <c r="H2669" t="s">
        <v>15799</v>
      </c>
      <c r="I2669" t="s">
        <v>31387</v>
      </c>
      <c r="J2669" t="s">
        <v>31561</v>
      </c>
      <c r="K2669" t="s">
        <v>40670</v>
      </c>
      <c r="M2669" t="s">
        <v>41762</v>
      </c>
      <c r="N2669" t="s">
        <v>44905</v>
      </c>
      <c r="O2669" t="s">
        <v>44906</v>
      </c>
      <c r="P2669">
        <v>0</v>
      </c>
      <c r="Q2669">
        <v>2</v>
      </c>
      <c r="R2669" t="s">
        <v>44908</v>
      </c>
      <c r="S2669" t="s">
        <v>45042</v>
      </c>
      <c r="T2669" t="s">
        <v>46414</v>
      </c>
      <c r="U2669" t="s">
        <v>48523</v>
      </c>
      <c r="W2669" t="s">
        <v>41762</v>
      </c>
      <c r="X2669" t="s">
        <v>44909</v>
      </c>
    </row>
    <row r="2670" spans="1:24">
      <c r="A2670">
        <f>HYPERLINK("https://www.philgeps.gov.ph/GEPSNONPILOT/Tender/SplashBidNoticeAbstractUI.aspx?menuIndex=3&amp;refID=7078811&amp;Result=3","7078811")</f>
        <v>0</v>
      </c>
      <c r="B2670" t="s">
        <v>1007</v>
      </c>
      <c r="C2670" t="s">
        <v>6097</v>
      </c>
      <c r="D2670" t="s">
        <v>18109</v>
      </c>
      <c r="E2670" t="s">
        <v>20637</v>
      </c>
      <c r="F2670" t="s">
        <v>31362</v>
      </c>
      <c r="G2670" t="s">
        <v>31369</v>
      </c>
      <c r="H2670" t="s">
        <v>31378</v>
      </c>
      <c r="I2670" t="s">
        <v>31386</v>
      </c>
      <c r="J2670" t="s">
        <v>31586</v>
      </c>
      <c r="K2670" t="s">
        <v>40675</v>
      </c>
      <c r="L2670" t="s">
        <v>1007</v>
      </c>
      <c r="M2670" t="s">
        <v>42004</v>
      </c>
      <c r="N2670" t="s">
        <v>44905</v>
      </c>
      <c r="O2670" t="s">
        <v>44906</v>
      </c>
      <c r="P2670">
        <v>0</v>
      </c>
      <c r="Q2670">
        <v>0</v>
      </c>
      <c r="R2670" t="s">
        <v>44908</v>
      </c>
      <c r="S2670" t="s">
        <v>45042</v>
      </c>
      <c r="T2670" t="s">
        <v>46625</v>
      </c>
      <c r="U2670" t="s">
        <v>49077</v>
      </c>
      <c r="V2670" t="s">
        <v>59342</v>
      </c>
      <c r="W2670" t="s">
        <v>42004</v>
      </c>
      <c r="X2670" t="s">
        <v>44909</v>
      </c>
    </row>
    <row r="2671" spans="1:24">
      <c r="A2671">
        <f>HYPERLINK("https://www.philgeps.gov.ph/GEPSNONPILOT/Tender/SplashBidNoticeAbstractUI.aspx?menuIndex=3&amp;refID=7078843&amp;Result=3","7078843")</f>
        <v>0</v>
      </c>
      <c r="B2671" t="s">
        <v>1021</v>
      </c>
      <c r="C2671" t="s">
        <v>5708</v>
      </c>
      <c r="E2671" t="s">
        <v>20638</v>
      </c>
      <c r="F2671" t="s">
        <v>31362</v>
      </c>
      <c r="G2671" t="s">
        <v>31370</v>
      </c>
      <c r="H2671" t="s">
        <v>15799</v>
      </c>
      <c r="I2671" t="s">
        <v>31385</v>
      </c>
      <c r="J2671" t="s">
        <v>31604</v>
      </c>
      <c r="K2671" t="s">
        <v>40662</v>
      </c>
      <c r="M2671" t="s">
        <v>42018</v>
      </c>
      <c r="N2671" t="s">
        <v>44905</v>
      </c>
      <c r="O2671" t="s">
        <v>44906</v>
      </c>
      <c r="P2671">
        <v>0</v>
      </c>
      <c r="Q2671">
        <v>4</v>
      </c>
      <c r="R2671" t="s">
        <v>44908</v>
      </c>
      <c r="S2671" t="s">
        <v>45042</v>
      </c>
      <c r="T2671" t="s">
        <v>46443</v>
      </c>
      <c r="U2671" t="s">
        <v>49129</v>
      </c>
      <c r="W2671" t="s">
        <v>60880</v>
      </c>
      <c r="X2671" t="s">
        <v>44909</v>
      </c>
    </row>
    <row r="2672" spans="1:24">
      <c r="A2672">
        <f>HYPERLINK("https://www.philgeps.gov.ph/GEPSNONPILOT/Tender/SplashBidNoticeAbstractUI.aspx?menuIndex=3&amp;refID=7078014&amp;Result=3","7078014")</f>
        <v>0</v>
      </c>
      <c r="B2672" t="s">
        <v>886</v>
      </c>
      <c r="C2672" t="s">
        <v>6098</v>
      </c>
      <c r="E2672" t="s">
        <v>20639</v>
      </c>
      <c r="F2672" t="s">
        <v>31362</v>
      </c>
      <c r="G2672" t="s">
        <v>31368</v>
      </c>
      <c r="H2672" t="s">
        <v>15799</v>
      </c>
      <c r="I2672" t="s">
        <v>31403</v>
      </c>
      <c r="J2672" t="s">
        <v>32391</v>
      </c>
      <c r="K2672" t="s">
        <v>40662</v>
      </c>
      <c r="M2672" t="s">
        <v>42019</v>
      </c>
      <c r="N2672" t="s">
        <v>44905</v>
      </c>
      <c r="O2672" t="s">
        <v>44906</v>
      </c>
      <c r="P2672">
        <v>0</v>
      </c>
      <c r="Q2672">
        <v>4</v>
      </c>
      <c r="R2672" t="s">
        <v>44908</v>
      </c>
      <c r="S2672" t="s">
        <v>45042</v>
      </c>
      <c r="T2672" t="s">
        <v>46498</v>
      </c>
      <c r="U2672" t="s">
        <v>49130</v>
      </c>
      <c r="W2672" t="s">
        <v>42019</v>
      </c>
      <c r="X2672" t="s">
        <v>44910</v>
      </c>
    </row>
    <row r="2673" spans="1:24">
      <c r="A2673">
        <f>HYPERLINK("https://www.philgeps.gov.ph/GEPSNONPILOT/Tender/SplashBidNoticeAbstractUI.aspx?menuIndex=3&amp;refID=7078847&amp;Result=3","7078847")</f>
        <v>0</v>
      </c>
      <c r="B2673" t="s">
        <v>1022</v>
      </c>
      <c r="C2673" t="s">
        <v>6099</v>
      </c>
      <c r="D2673" t="s">
        <v>18104</v>
      </c>
      <c r="E2673" t="s">
        <v>20640</v>
      </c>
      <c r="F2673" t="s">
        <v>31362</v>
      </c>
      <c r="G2673" t="s">
        <v>31370</v>
      </c>
      <c r="H2673" t="s">
        <v>15799</v>
      </c>
      <c r="I2673" t="s">
        <v>31390</v>
      </c>
      <c r="J2673" t="s">
        <v>31574</v>
      </c>
      <c r="K2673" t="s">
        <v>40672</v>
      </c>
      <c r="M2673" t="s">
        <v>42020</v>
      </c>
      <c r="N2673" t="s">
        <v>44905</v>
      </c>
      <c r="O2673" t="s">
        <v>44906</v>
      </c>
      <c r="P2673">
        <v>0</v>
      </c>
      <c r="Q2673">
        <v>0</v>
      </c>
      <c r="R2673" t="s">
        <v>44908</v>
      </c>
      <c r="S2673" t="s">
        <v>45042</v>
      </c>
      <c r="T2673" t="s">
        <v>46434</v>
      </c>
      <c r="U2673" t="s">
        <v>49131</v>
      </c>
      <c r="W2673" t="s">
        <v>42020</v>
      </c>
      <c r="X2673" t="s">
        <v>44909</v>
      </c>
    </row>
    <row r="2674" spans="1:24">
      <c r="A2674">
        <f>HYPERLINK("https://www.philgeps.gov.ph/GEPSNONPILOT/Tender/SplashBidNoticeAbstractUI.aspx?menuIndex=3&amp;refID=7077992&amp;Result=3","7077992")</f>
        <v>0</v>
      </c>
      <c r="B2674" t="s">
        <v>1023</v>
      </c>
      <c r="C2674" t="s">
        <v>6100</v>
      </c>
      <c r="D2674" t="s">
        <v>18125</v>
      </c>
      <c r="E2674" t="s">
        <v>20641</v>
      </c>
      <c r="F2674" t="s">
        <v>31362</v>
      </c>
      <c r="G2674" t="s">
        <v>31369</v>
      </c>
      <c r="H2674" t="s">
        <v>31378</v>
      </c>
      <c r="I2674" t="s">
        <v>31386</v>
      </c>
      <c r="J2674" t="s">
        <v>33332</v>
      </c>
      <c r="K2674" t="s">
        <v>40751</v>
      </c>
      <c r="M2674" t="s">
        <v>42021</v>
      </c>
      <c r="N2674" t="s">
        <v>44905</v>
      </c>
      <c r="O2674" t="s">
        <v>44906</v>
      </c>
      <c r="P2674">
        <v>0</v>
      </c>
      <c r="Q2674">
        <v>3</v>
      </c>
      <c r="R2674" t="s">
        <v>44908</v>
      </c>
      <c r="S2674" t="s">
        <v>45042</v>
      </c>
      <c r="T2674" t="s">
        <v>46554</v>
      </c>
      <c r="U2674" t="s">
        <v>49132</v>
      </c>
      <c r="W2674" t="s">
        <v>42021</v>
      </c>
      <c r="X2674" t="s">
        <v>44910</v>
      </c>
    </row>
    <row r="2675" spans="1:24">
      <c r="A2675">
        <f>HYPERLINK("https://www.philgeps.gov.ph/GEPSNONPILOT/Tender/SplashBidNoticeAbstractUI.aspx?menuIndex=3&amp;refID=7077985&amp;Result=3","7077985")</f>
        <v>0</v>
      </c>
      <c r="B2675" t="s">
        <v>1024</v>
      </c>
      <c r="C2675" t="s">
        <v>6101</v>
      </c>
      <c r="D2675" t="s">
        <v>18125</v>
      </c>
      <c r="E2675" t="s">
        <v>20642</v>
      </c>
      <c r="F2675" t="s">
        <v>31362</v>
      </c>
      <c r="G2675" t="s">
        <v>31371</v>
      </c>
      <c r="H2675" t="s">
        <v>15799</v>
      </c>
      <c r="I2675" t="s">
        <v>31385</v>
      </c>
      <c r="J2675" t="s">
        <v>33333</v>
      </c>
      <c r="K2675" t="s">
        <v>40662</v>
      </c>
      <c r="M2675" t="s">
        <v>42022</v>
      </c>
      <c r="N2675" t="s">
        <v>44905</v>
      </c>
      <c r="O2675" t="s">
        <v>44906</v>
      </c>
      <c r="P2675">
        <v>0</v>
      </c>
      <c r="Q2675">
        <v>6</v>
      </c>
      <c r="R2675" t="s">
        <v>44908</v>
      </c>
      <c r="S2675" t="s">
        <v>45042</v>
      </c>
      <c r="T2675" t="s">
        <v>46438</v>
      </c>
      <c r="U2675" t="s">
        <v>49133</v>
      </c>
      <c r="W2675" t="s">
        <v>42022</v>
      </c>
      <c r="X2675" t="s">
        <v>44910</v>
      </c>
    </row>
    <row r="2676" spans="1:24">
      <c r="A2676">
        <f>HYPERLINK("https://www.philgeps.gov.ph/GEPSNONPILOT/Tender/SplashBidNoticeAbstractUI.aspx?menuIndex=3&amp;refID=7078859&amp;Result=3","7078859")</f>
        <v>0</v>
      </c>
      <c r="B2676" t="s">
        <v>1019</v>
      </c>
      <c r="C2676" t="s">
        <v>4462</v>
      </c>
      <c r="D2676" t="s">
        <v>18111</v>
      </c>
      <c r="E2676" t="s">
        <v>18466</v>
      </c>
      <c r="F2676" t="s">
        <v>31362</v>
      </c>
      <c r="G2676" t="s">
        <v>31370</v>
      </c>
      <c r="H2676" t="s">
        <v>15799</v>
      </c>
      <c r="I2676" t="s">
        <v>6373</v>
      </c>
      <c r="J2676" t="s">
        <v>32146</v>
      </c>
      <c r="K2676" t="s">
        <v>40670</v>
      </c>
      <c r="M2676" t="s">
        <v>42016</v>
      </c>
      <c r="N2676" t="s">
        <v>44905</v>
      </c>
      <c r="O2676" t="s">
        <v>44906</v>
      </c>
      <c r="P2676">
        <v>0</v>
      </c>
      <c r="Q2676">
        <v>1</v>
      </c>
      <c r="R2676" t="s">
        <v>44908</v>
      </c>
      <c r="S2676" t="s">
        <v>45042</v>
      </c>
      <c r="T2676" t="s">
        <v>46443</v>
      </c>
      <c r="U2676" t="s">
        <v>47761</v>
      </c>
      <c r="W2676" t="s">
        <v>42016</v>
      </c>
      <c r="X2676" t="s">
        <v>44909</v>
      </c>
    </row>
    <row r="2677" spans="1:24">
      <c r="A2677">
        <f>HYPERLINK("https://www.philgeps.gov.ph/GEPSNONPILOT/Tender/SplashBidNoticeAbstractUI.aspx?menuIndex=3&amp;refID=7078832&amp;Result=3","7078832")</f>
        <v>0</v>
      </c>
      <c r="B2677" t="s">
        <v>1000</v>
      </c>
      <c r="C2677" t="s">
        <v>6102</v>
      </c>
      <c r="D2677" t="s">
        <v>18135</v>
      </c>
      <c r="E2677" t="s">
        <v>20643</v>
      </c>
      <c r="F2677" t="s">
        <v>31365</v>
      </c>
      <c r="G2677" t="s">
        <v>31369</v>
      </c>
      <c r="H2677" t="s">
        <v>15799</v>
      </c>
      <c r="I2677" t="s">
        <v>3815</v>
      </c>
      <c r="J2677" t="s">
        <v>31531</v>
      </c>
      <c r="K2677" t="s">
        <v>40670</v>
      </c>
      <c r="M2677" t="s">
        <v>41996</v>
      </c>
      <c r="N2677" t="s">
        <v>44905</v>
      </c>
      <c r="O2677" t="s">
        <v>44906</v>
      </c>
      <c r="P2677">
        <v>0</v>
      </c>
      <c r="Q2677">
        <v>0</v>
      </c>
      <c r="R2677" t="s">
        <v>44908</v>
      </c>
      <c r="S2677" t="s">
        <v>45042</v>
      </c>
      <c r="T2677" t="s">
        <v>46486</v>
      </c>
      <c r="U2677" t="s">
        <v>49134</v>
      </c>
      <c r="W2677" t="s">
        <v>41996</v>
      </c>
      <c r="X2677" t="s">
        <v>44909</v>
      </c>
    </row>
    <row r="2678" spans="1:24">
      <c r="A2678">
        <f>HYPERLINK("https://www.philgeps.gov.ph/GEPSNONPILOT/Tender/SplashBidNoticeAbstractUI.aspx?menuIndex=3&amp;refID=7078877&amp;Result=3","7078877")</f>
        <v>0</v>
      </c>
      <c r="B2678" t="s">
        <v>88</v>
      </c>
      <c r="C2678" t="s">
        <v>6072</v>
      </c>
      <c r="D2678" t="s">
        <v>18135</v>
      </c>
      <c r="E2678" t="s">
        <v>20644</v>
      </c>
      <c r="F2678" t="s">
        <v>31362</v>
      </c>
      <c r="G2678" t="s">
        <v>31368</v>
      </c>
      <c r="H2678" t="s">
        <v>15799</v>
      </c>
      <c r="I2678" t="s">
        <v>4283</v>
      </c>
      <c r="J2678" t="s">
        <v>33334</v>
      </c>
      <c r="K2678" t="s">
        <v>40662</v>
      </c>
      <c r="M2678" t="s">
        <v>41967</v>
      </c>
      <c r="N2678" t="s">
        <v>44905</v>
      </c>
      <c r="O2678" t="s">
        <v>44906</v>
      </c>
      <c r="P2678">
        <v>0</v>
      </c>
      <c r="Q2678">
        <v>1</v>
      </c>
      <c r="R2678" t="s">
        <v>44908</v>
      </c>
      <c r="S2678" t="s">
        <v>45042</v>
      </c>
      <c r="T2678" t="s">
        <v>46507</v>
      </c>
      <c r="U2678" t="s">
        <v>49135</v>
      </c>
      <c r="V2678" t="s">
        <v>59349</v>
      </c>
      <c r="W2678" t="s">
        <v>41967</v>
      </c>
      <c r="X2678" t="s">
        <v>44909</v>
      </c>
    </row>
    <row r="2679" spans="1:24">
      <c r="A2679">
        <f>HYPERLINK("https://www.philgeps.gov.ph/GEPSNONPILOT/Tender/SplashBidNoticeAbstractUI.aspx?menuIndex=3&amp;refID=7078810&amp;Result=3","7078810")</f>
        <v>0</v>
      </c>
      <c r="B2679" t="s">
        <v>1006</v>
      </c>
      <c r="C2679" t="s">
        <v>6103</v>
      </c>
      <c r="E2679" t="s">
        <v>20578</v>
      </c>
      <c r="F2679" t="s">
        <v>31362</v>
      </c>
      <c r="G2679" t="s">
        <v>31370</v>
      </c>
      <c r="H2679" t="s">
        <v>15799</v>
      </c>
      <c r="I2679" t="s">
        <v>31415</v>
      </c>
      <c r="J2679" t="s">
        <v>33335</v>
      </c>
      <c r="K2679" t="s">
        <v>40662</v>
      </c>
      <c r="M2679" t="s">
        <v>42003</v>
      </c>
      <c r="N2679" t="s">
        <v>44905</v>
      </c>
      <c r="O2679" t="s">
        <v>44906</v>
      </c>
      <c r="P2679">
        <v>0</v>
      </c>
      <c r="Q2679">
        <v>0</v>
      </c>
      <c r="R2679" t="s">
        <v>44908</v>
      </c>
      <c r="S2679" t="s">
        <v>45042</v>
      </c>
      <c r="T2679" t="s">
        <v>46427</v>
      </c>
      <c r="U2679" t="s">
        <v>49136</v>
      </c>
      <c r="W2679" t="s">
        <v>42003</v>
      </c>
      <c r="X2679" t="s">
        <v>44909</v>
      </c>
    </row>
    <row r="2680" spans="1:24">
      <c r="A2680">
        <f>HYPERLINK("https://www.philgeps.gov.ph/GEPSNONPILOT/Tender/SplashBidNoticeAbstractUI.aspx?menuIndex=3&amp;refID=7078874&amp;Result=3","7078874")</f>
        <v>0</v>
      </c>
      <c r="B2680" t="s">
        <v>1025</v>
      </c>
      <c r="C2680" t="s">
        <v>6104</v>
      </c>
      <c r="D2680" t="s">
        <v>18134</v>
      </c>
      <c r="E2680" t="s">
        <v>20645</v>
      </c>
      <c r="F2680" t="s">
        <v>31362</v>
      </c>
      <c r="G2680" t="s">
        <v>31368</v>
      </c>
      <c r="H2680" t="s">
        <v>15799</v>
      </c>
      <c r="I2680" t="s">
        <v>31414</v>
      </c>
      <c r="J2680" t="s">
        <v>33336</v>
      </c>
      <c r="K2680" t="s">
        <v>40666</v>
      </c>
      <c r="M2680" t="s">
        <v>42023</v>
      </c>
      <c r="N2680" t="s">
        <v>44905</v>
      </c>
      <c r="O2680" t="s">
        <v>44906</v>
      </c>
      <c r="P2680">
        <v>0</v>
      </c>
      <c r="Q2680">
        <v>0</v>
      </c>
      <c r="R2680" t="s">
        <v>44908</v>
      </c>
      <c r="S2680" t="s">
        <v>45042</v>
      </c>
      <c r="T2680" t="s">
        <v>46432</v>
      </c>
      <c r="U2680" t="s">
        <v>49137</v>
      </c>
      <c r="W2680" t="s">
        <v>42023</v>
      </c>
      <c r="X2680" t="s">
        <v>44909</v>
      </c>
    </row>
    <row r="2681" spans="1:24">
      <c r="A2681">
        <f>HYPERLINK("https://www.philgeps.gov.ph/GEPSNONPILOT/Tender/SplashBidNoticeAbstractUI.aspx?menuIndex=3&amp;refID=7078860&amp;Result=3","7078860")</f>
        <v>0</v>
      </c>
      <c r="B2681" t="s">
        <v>1019</v>
      </c>
      <c r="C2681" t="s">
        <v>4462</v>
      </c>
      <c r="D2681" t="s">
        <v>18111</v>
      </c>
      <c r="E2681" t="s">
        <v>20646</v>
      </c>
      <c r="F2681" t="s">
        <v>31362</v>
      </c>
      <c r="G2681" t="s">
        <v>31370</v>
      </c>
      <c r="H2681" t="s">
        <v>15799</v>
      </c>
      <c r="I2681" t="s">
        <v>6373</v>
      </c>
      <c r="J2681" t="s">
        <v>33337</v>
      </c>
      <c r="K2681" t="s">
        <v>40670</v>
      </c>
      <c r="M2681" t="s">
        <v>42016</v>
      </c>
      <c r="N2681" t="s">
        <v>44905</v>
      </c>
      <c r="O2681" t="s">
        <v>44906</v>
      </c>
      <c r="P2681">
        <v>0</v>
      </c>
      <c r="Q2681">
        <v>1</v>
      </c>
      <c r="R2681" t="s">
        <v>44908</v>
      </c>
      <c r="S2681" t="s">
        <v>45042</v>
      </c>
      <c r="T2681" t="s">
        <v>46443</v>
      </c>
      <c r="U2681" t="s">
        <v>47761</v>
      </c>
      <c r="W2681" t="s">
        <v>42016</v>
      </c>
      <c r="X2681" t="s">
        <v>44909</v>
      </c>
    </row>
    <row r="2682" spans="1:24">
      <c r="A2682">
        <f>HYPERLINK("https://www.philgeps.gov.ph/GEPSNONPILOT/Tender/SplashBidNoticeAbstractUI.aspx?menuIndex=3&amp;refID=7078812&amp;Result=3","7078812")</f>
        <v>0</v>
      </c>
      <c r="B2682" t="s">
        <v>1006</v>
      </c>
      <c r="C2682" t="s">
        <v>6105</v>
      </c>
      <c r="D2682" t="s">
        <v>18111</v>
      </c>
      <c r="E2682" t="s">
        <v>20582</v>
      </c>
      <c r="F2682" t="s">
        <v>31362</v>
      </c>
      <c r="G2682" t="s">
        <v>31370</v>
      </c>
      <c r="H2682" t="s">
        <v>15799</v>
      </c>
      <c r="I2682" t="s">
        <v>7090</v>
      </c>
      <c r="J2682" t="s">
        <v>33338</v>
      </c>
      <c r="K2682" t="s">
        <v>40662</v>
      </c>
      <c r="M2682" t="s">
        <v>42003</v>
      </c>
      <c r="N2682" t="s">
        <v>44905</v>
      </c>
      <c r="O2682" t="s">
        <v>44906</v>
      </c>
      <c r="P2682">
        <v>0</v>
      </c>
      <c r="Q2682">
        <v>1</v>
      </c>
      <c r="R2682" t="s">
        <v>44908</v>
      </c>
      <c r="S2682" t="s">
        <v>45042</v>
      </c>
      <c r="T2682" t="s">
        <v>46427</v>
      </c>
      <c r="U2682" t="s">
        <v>49138</v>
      </c>
      <c r="W2682" t="s">
        <v>42003</v>
      </c>
      <c r="X2682" t="s">
        <v>44909</v>
      </c>
    </row>
    <row r="2683" spans="1:24">
      <c r="A2683">
        <f>HYPERLINK("https://www.philgeps.gov.ph/GEPSNONPILOT/Tender/SplashBidNoticeAbstractUI.aspx?menuIndex=3&amp;refID=7078880&amp;Result=3","7078880")</f>
        <v>0</v>
      </c>
      <c r="B2683" t="s">
        <v>88</v>
      </c>
      <c r="C2683" t="s">
        <v>4097</v>
      </c>
      <c r="D2683" t="s">
        <v>18135</v>
      </c>
      <c r="E2683" t="s">
        <v>20647</v>
      </c>
      <c r="F2683" t="s">
        <v>31362</v>
      </c>
      <c r="G2683" t="s">
        <v>31370</v>
      </c>
      <c r="H2683" t="s">
        <v>15799</v>
      </c>
      <c r="I2683" t="s">
        <v>6373</v>
      </c>
      <c r="J2683" t="s">
        <v>31731</v>
      </c>
      <c r="K2683" t="s">
        <v>40662</v>
      </c>
      <c r="M2683" t="s">
        <v>41967</v>
      </c>
      <c r="N2683" t="s">
        <v>44905</v>
      </c>
      <c r="O2683" t="s">
        <v>44906</v>
      </c>
      <c r="P2683">
        <v>0</v>
      </c>
      <c r="Q2683">
        <v>1</v>
      </c>
      <c r="R2683" t="s">
        <v>44908</v>
      </c>
      <c r="S2683" t="s">
        <v>45042</v>
      </c>
      <c r="T2683" t="s">
        <v>46507</v>
      </c>
      <c r="U2683" t="s">
        <v>49139</v>
      </c>
      <c r="V2683" t="s">
        <v>59319</v>
      </c>
      <c r="W2683" t="s">
        <v>41967</v>
      </c>
      <c r="X2683" t="s">
        <v>44909</v>
      </c>
    </row>
    <row r="2684" spans="1:24">
      <c r="A2684">
        <f>HYPERLINK("https://www.philgeps.gov.ph/GEPSNONPILOT/Tender/SplashBidNoticeAbstractUI.aspx?menuIndex=3&amp;refID=7078876&amp;Result=3","7078876")</f>
        <v>0</v>
      </c>
      <c r="B2684" t="s">
        <v>327</v>
      </c>
      <c r="C2684" t="s">
        <v>6106</v>
      </c>
      <c r="D2684" t="s">
        <v>18108</v>
      </c>
      <c r="E2684" t="s">
        <v>20648</v>
      </c>
      <c r="F2684" t="s">
        <v>31362</v>
      </c>
      <c r="G2684" t="s">
        <v>31368</v>
      </c>
      <c r="H2684" t="s">
        <v>15799</v>
      </c>
      <c r="I2684" t="s">
        <v>6155</v>
      </c>
      <c r="J2684" t="s">
        <v>31530</v>
      </c>
      <c r="K2684" t="s">
        <v>40666</v>
      </c>
      <c r="M2684" t="s">
        <v>41273</v>
      </c>
      <c r="N2684" t="s">
        <v>44905</v>
      </c>
      <c r="O2684" t="s">
        <v>44906</v>
      </c>
      <c r="P2684">
        <v>0</v>
      </c>
      <c r="Q2684">
        <v>17</v>
      </c>
      <c r="R2684" t="s">
        <v>44908</v>
      </c>
      <c r="S2684" t="s">
        <v>45042</v>
      </c>
      <c r="T2684" t="s">
        <v>46432</v>
      </c>
      <c r="U2684" t="s">
        <v>49140</v>
      </c>
      <c r="W2684" t="s">
        <v>41273</v>
      </c>
      <c r="X2684" t="s">
        <v>44909</v>
      </c>
    </row>
    <row r="2685" spans="1:24">
      <c r="A2685">
        <f>HYPERLINK("https://www.philgeps.gov.ph/GEPSNONPILOT/Tender/SplashBidNoticeAbstractUI.aspx?menuIndex=3&amp;refID=7078878&amp;Result=3","7078878")</f>
        <v>0</v>
      </c>
      <c r="B2685" t="s">
        <v>1026</v>
      </c>
      <c r="C2685" t="s">
        <v>6107</v>
      </c>
      <c r="D2685" t="s">
        <v>18134</v>
      </c>
      <c r="E2685" t="s">
        <v>20649</v>
      </c>
      <c r="F2685" t="s">
        <v>31362</v>
      </c>
      <c r="G2685" t="s">
        <v>31369</v>
      </c>
      <c r="H2685" t="s">
        <v>15799</v>
      </c>
      <c r="I2685" t="s">
        <v>4057</v>
      </c>
      <c r="J2685" t="s">
        <v>33339</v>
      </c>
      <c r="K2685" t="s">
        <v>40679</v>
      </c>
      <c r="M2685" t="s">
        <v>42024</v>
      </c>
      <c r="N2685" t="s">
        <v>44905</v>
      </c>
      <c r="O2685" t="s">
        <v>44906</v>
      </c>
      <c r="P2685">
        <v>0</v>
      </c>
      <c r="Q2685">
        <v>1</v>
      </c>
      <c r="R2685" t="s">
        <v>44908</v>
      </c>
      <c r="S2685" t="s">
        <v>45042</v>
      </c>
      <c r="T2685" t="s">
        <v>46408</v>
      </c>
      <c r="U2685" t="s">
        <v>49141</v>
      </c>
      <c r="W2685" t="s">
        <v>42024</v>
      </c>
      <c r="X2685" t="s">
        <v>44909</v>
      </c>
    </row>
    <row r="2686" spans="1:24">
      <c r="A2686">
        <f>HYPERLINK("https://www.philgeps.gov.ph/GEPSNONPILOT/Tender/SplashBidNoticeAbstractUI.aspx?menuIndex=3&amp;refID=7078871&amp;Result=3","7078871")</f>
        <v>0</v>
      </c>
      <c r="B2686" t="s">
        <v>1027</v>
      </c>
      <c r="C2686" t="s">
        <v>6108</v>
      </c>
      <c r="D2686" t="s">
        <v>18149</v>
      </c>
      <c r="E2686" t="s">
        <v>20370</v>
      </c>
      <c r="F2686" t="s">
        <v>31362</v>
      </c>
      <c r="G2686" t="s">
        <v>31368</v>
      </c>
      <c r="H2686" t="s">
        <v>15799</v>
      </c>
      <c r="I2686" t="s">
        <v>31388</v>
      </c>
      <c r="J2686" t="s">
        <v>31545</v>
      </c>
      <c r="K2686" t="s">
        <v>40723</v>
      </c>
      <c r="M2686" t="s">
        <v>42025</v>
      </c>
      <c r="N2686" t="s">
        <v>44905</v>
      </c>
      <c r="O2686" t="s">
        <v>44906</v>
      </c>
      <c r="P2686">
        <v>0</v>
      </c>
      <c r="Q2686">
        <v>0</v>
      </c>
      <c r="R2686" t="s">
        <v>44908</v>
      </c>
      <c r="S2686" t="s">
        <v>45042</v>
      </c>
      <c r="T2686" t="s">
        <v>46414</v>
      </c>
      <c r="U2686" t="s">
        <v>49142</v>
      </c>
      <c r="W2686" t="s">
        <v>42025</v>
      </c>
      <c r="X2686" t="s">
        <v>44909</v>
      </c>
    </row>
    <row r="2687" spans="1:24">
      <c r="A2687">
        <f>HYPERLINK("https://www.philgeps.gov.ph/GEPSNONPILOT/Tender/SplashBidNoticeAbstractUI.aspx?menuIndex=3&amp;refID=7078870&amp;Result=3","7078870")</f>
        <v>0</v>
      </c>
      <c r="B2687" t="s">
        <v>1028</v>
      </c>
      <c r="C2687" t="s">
        <v>6109</v>
      </c>
      <c r="D2687" t="s">
        <v>18111</v>
      </c>
      <c r="E2687" t="s">
        <v>20650</v>
      </c>
      <c r="F2687" t="s">
        <v>31362</v>
      </c>
      <c r="G2687" t="s">
        <v>31371</v>
      </c>
      <c r="H2687" t="s">
        <v>15799</v>
      </c>
      <c r="I2687" t="s">
        <v>12925</v>
      </c>
      <c r="J2687" t="s">
        <v>33340</v>
      </c>
      <c r="K2687" t="s">
        <v>40661</v>
      </c>
      <c r="M2687" t="s">
        <v>42026</v>
      </c>
      <c r="N2687" t="s">
        <v>44905</v>
      </c>
      <c r="O2687" t="s">
        <v>44906</v>
      </c>
      <c r="P2687">
        <v>0</v>
      </c>
      <c r="Q2687">
        <v>0</v>
      </c>
      <c r="R2687" t="s">
        <v>44908</v>
      </c>
      <c r="S2687" t="s">
        <v>45042</v>
      </c>
      <c r="T2687" t="s">
        <v>46408</v>
      </c>
      <c r="U2687" t="s">
        <v>49143</v>
      </c>
      <c r="W2687" t="s">
        <v>42026</v>
      </c>
      <c r="X2687" t="s">
        <v>44909</v>
      </c>
    </row>
    <row r="2688" spans="1:24">
      <c r="A2688">
        <f>HYPERLINK("https://www.philgeps.gov.ph/GEPSNONPILOT/Tender/SplashBidNoticeAbstractUI.aspx?menuIndex=3&amp;refID=7078879&amp;Result=3","7078879")</f>
        <v>0</v>
      </c>
      <c r="B2688" t="s">
        <v>88</v>
      </c>
      <c r="C2688" t="s">
        <v>6003</v>
      </c>
      <c r="D2688" t="s">
        <v>18135</v>
      </c>
      <c r="E2688" t="s">
        <v>20651</v>
      </c>
      <c r="F2688" t="s">
        <v>31362</v>
      </c>
      <c r="G2688" t="s">
        <v>31368</v>
      </c>
      <c r="H2688" t="s">
        <v>15799</v>
      </c>
      <c r="I2688" t="s">
        <v>4283</v>
      </c>
      <c r="J2688" t="s">
        <v>33341</v>
      </c>
      <c r="K2688" t="s">
        <v>40662</v>
      </c>
      <c r="M2688" t="s">
        <v>41967</v>
      </c>
      <c r="N2688" t="s">
        <v>44905</v>
      </c>
      <c r="O2688" t="s">
        <v>44906</v>
      </c>
      <c r="P2688">
        <v>0</v>
      </c>
      <c r="Q2688">
        <v>1</v>
      </c>
      <c r="R2688" t="s">
        <v>44908</v>
      </c>
      <c r="S2688" t="s">
        <v>45042</v>
      </c>
      <c r="T2688" t="s">
        <v>46507</v>
      </c>
      <c r="U2688" t="s">
        <v>49144</v>
      </c>
      <c r="V2688" t="s">
        <v>59350</v>
      </c>
      <c r="W2688" t="s">
        <v>41967</v>
      </c>
      <c r="X2688" t="s">
        <v>44909</v>
      </c>
    </row>
    <row r="2689" spans="1:24">
      <c r="A2689">
        <f>HYPERLINK("https://www.philgeps.gov.ph/GEPSNONPILOT/Tender/SplashBidNoticeAbstractUI.aspx?menuIndex=3&amp;refID=7078868&amp;Result=3","7078868")</f>
        <v>0</v>
      </c>
      <c r="B2689" t="s">
        <v>299</v>
      </c>
      <c r="C2689" t="s">
        <v>6110</v>
      </c>
      <c r="D2689" t="s">
        <v>18108</v>
      </c>
      <c r="E2689" t="s">
        <v>20652</v>
      </c>
      <c r="F2689" t="s">
        <v>31362</v>
      </c>
      <c r="G2689" t="s">
        <v>31368</v>
      </c>
      <c r="H2689" t="s">
        <v>15799</v>
      </c>
      <c r="I2689" t="s">
        <v>31393</v>
      </c>
      <c r="J2689" t="s">
        <v>32026</v>
      </c>
      <c r="K2689" t="s">
        <v>40662</v>
      </c>
      <c r="M2689" t="s">
        <v>42027</v>
      </c>
      <c r="N2689" t="s">
        <v>44905</v>
      </c>
      <c r="O2689" t="s">
        <v>44906</v>
      </c>
      <c r="P2689">
        <v>0</v>
      </c>
      <c r="Q2689">
        <v>9</v>
      </c>
      <c r="R2689" t="s">
        <v>44908</v>
      </c>
      <c r="S2689" t="s">
        <v>45042</v>
      </c>
      <c r="T2689" t="s">
        <v>46404</v>
      </c>
      <c r="U2689" t="s">
        <v>49145</v>
      </c>
      <c r="W2689" t="s">
        <v>42027</v>
      </c>
      <c r="X2689" t="s">
        <v>44909</v>
      </c>
    </row>
    <row r="2690" spans="1:24">
      <c r="A2690">
        <f>HYPERLINK("https://www.philgeps.gov.ph/GEPSNONPILOT/Tender/SplashBidNoticeAbstractUI.aspx?menuIndex=3&amp;refID=7078867&amp;Result=3","7078867")</f>
        <v>0</v>
      </c>
      <c r="B2690" t="s">
        <v>1028</v>
      </c>
      <c r="C2690" t="s">
        <v>6111</v>
      </c>
      <c r="D2690" t="s">
        <v>18111</v>
      </c>
      <c r="E2690" t="s">
        <v>20653</v>
      </c>
      <c r="F2690" t="s">
        <v>31362</v>
      </c>
      <c r="G2690" t="s">
        <v>31371</v>
      </c>
      <c r="H2690" t="s">
        <v>15799</v>
      </c>
      <c r="I2690" t="s">
        <v>3815</v>
      </c>
      <c r="J2690" t="s">
        <v>33342</v>
      </c>
      <c r="K2690" t="s">
        <v>40661</v>
      </c>
      <c r="M2690" t="s">
        <v>42026</v>
      </c>
      <c r="N2690" t="s">
        <v>44905</v>
      </c>
      <c r="O2690" t="s">
        <v>44906</v>
      </c>
      <c r="P2690">
        <v>0</v>
      </c>
      <c r="Q2690">
        <v>0</v>
      </c>
      <c r="R2690" t="s">
        <v>44908</v>
      </c>
      <c r="S2690" t="s">
        <v>45042</v>
      </c>
      <c r="T2690" t="s">
        <v>46408</v>
      </c>
      <c r="U2690" t="s">
        <v>49146</v>
      </c>
      <c r="W2690" t="s">
        <v>42026</v>
      </c>
      <c r="X2690" t="s">
        <v>44909</v>
      </c>
    </row>
    <row r="2691" spans="1:24">
      <c r="A2691">
        <f>HYPERLINK("https://www.philgeps.gov.ph/GEPSNONPILOT/Tender/SplashBidNoticeAbstractUI.aspx?menuIndex=3&amp;refID=7078873&amp;Result=3","7078873")</f>
        <v>0</v>
      </c>
      <c r="B2691" t="s">
        <v>249</v>
      </c>
      <c r="C2691" t="s">
        <v>6112</v>
      </c>
      <c r="D2691" t="s">
        <v>18110</v>
      </c>
      <c r="E2691" t="s">
        <v>20654</v>
      </c>
      <c r="F2691" t="s">
        <v>31362</v>
      </c>
      <c r="G2691" t="s">
        <v>31368</v>
      </c>
      <c r="H2691" t="s">
        <v>15799</v>
      </c>
      <c r="I2691" t="s">
        <v>31395</v>
      </c>
      <c r="J2691" t="s">
        <v>33343</v>
      </c>
      <c r="K2691" t="s">
        <v>40662</v>
      </c>
      <c r="M2691" t="s">
        <v>41188</v>
      </c>
      <c r="N2691" t="s">
        <v>44905</v>
      </c>
      <c r="O2691" t="s">
        <v>44906</v>
      </c>
      <c r="P2691">
        <v>0</v>
      </c>
      <c r="Q2691">
        <v>11</v>
      </c>
      <c r="R2691" t="s">
        <v>44908</v>
      </c>
      <c r="S2691" t="s">
        <v>45042</v>
      </c>
      <c r="T2691" t="s">
        <v>46409</v>
      </c>
      <c r="U2691" t="s">
        <v>47345</v>
      </c>
      <c r="W2691" t="s">
        <v>41188</v>
      </c>
      <c r="X2691" t="s">
        <v>44909</v>
      </c>
    </row>
    <row r="2692" spans="1:24">
      <c r="A2692">
        <f>HYPERLINK("https://www.philgeps.gov.ph/GEPSNONPILOT/Tender/SplashBidNoticeAbstractUI.aspx?menuIndex=3&amp;refID=7078865&amp;Result=3","7078865")</f>
        <v>0</v>
      </c>
      <c r="B2692" t="s">
        <v>180</v>
      </c>
      <c r="C2692" t="s">
        <v>6113</v>
      </c>
      <c r="D2692" t="s">
        <v>18112</v>
      </c>
      <c r="E2692" t="s">
        <v>20655</v>
      </c>
      <c r="F2692" t="s">
        <v>31362</v>
      </c>
      <c r="G2692" t="s">
        <v>31368</v>
      </c>
      <c r="H2692" t="s">
        <v>15799</v>
      </c>
      <c r="I2692" t="s">
        <v>31430</v>
      </c>
      <c r="J2692" t="s">
        <v>33344</v>
      </c>
      <c r="K2692" t="s">
        <v>40680</v>
      </c>
      <c r="M2692" t="s">
        <v>41118</v>
      </c>
      <c r="N2692" t="s">
        <v>44905</v>
      </c>
      <c r="O2692" t="s">
        <v>44906</v>
      </c>
      <c r="P2692">
        <v>0</v>
      </c>
      <c r="Q2692">
        <v>0</v>
      </c>
      <c r="R2692" t="s">
        <v>44908</v>
      </c>
      <c r="S2692" t="s">
        <v>45042</v>
      </c>
      <c r="T2692" t="s">
        <v>46549</v>
      </c>
      <c r="U2692" t="s">
        <v>49147</v>
      </c>
      <c r="W2692" t="s">
        <v>41118</v>
      </c>
      <c r="X2692" t="s">
        <v>44909</v>
      </c>
    </row>
    <row r="2693" spans="1:24">
      <c r="A2693">
        <f>HYPERLINK("https://www.philgeps.gov.ph/GEPSNONPILOT/Tender/SplashBidNoticeAbstractUI.aspx?menuIndex=3&amp;refID=7078864&amp;Result=3","7078864")</f>
        <v>0</v>
      </c>
      <c r="B2693" t="s">
        <v>1019</v>
      </c>
      <c r="C2693" t="s">
        <v>4462</v>
      </c>
      <c r="D2693" t="s">
        <v>18111</v>
      </c>
      <c r="E2693" t="s">
        <v>18514</v>
      </c>
      <c r="F2693" t="s">
        <v>31362</v>
      </c>
      <c r="G2693" t="s">
        <v>31370</v>
      </c>
      <c r="H2693" t="s">
        <v>15799</v>
      </c>
      <c r="I2693" t="s">
        <v>6373</v>
      </c>
      <c r="J2693" t="s">
        <v>33345</v>
      </c>
      <c r="K2693" t="s">
        <v>40670</v>
      </c>
      <c r="M2693" t="s">
        <v>42016</v>
      </c>
      <c r="N2693" t="s">
        <v>44905</v>
      </c>
      <c r="O2693" t="s">
        <v>44906</v>
      </c>
      <c r="P2693">
        <v>0</v>
      </c>
      <c r="Q2693">
        <v>1</v>
      </c>
      <c r="R2693" t="s">
        <v>44908</v>
      </c>
      <c r="S2693" t="s">
        <v>45042</v>
      </c>
      <c r="T2693" t="s">
        <v>46443</v>
      </c>
      <c r="U2693" t="s">
        <v>47761</v>
      </c>
      <c r="W2693" t="s">
        <v>42016</v>
      </c>
      <c r="X2693" t="s">
        <v>44909</v>
      </c>
    </row>
    <row r="2694" spans="1:24">
      <c r="A2694">
        <f>HYPERLINK("https://www.philgeps.gov.ph/GEPSNONPILOT/Tender/SplashBidNoticeAbstractUI.aspx?menuIndex=3&amp;refID=7078863&amp;Result=3","7078863")</f>
        <v>0</v>
      </c>
      <c r="B2694" t="s">
        <v>1028</v>
      </c>
      <c r="C2694" t="s">
        <v>6114</v>
      </c>
      <c r="D2694" t="s">
        <v>18111</v>
      </c>
      <c r="E2694" t="s">
        <v>20656</v>
      </c>
      <c r="F2694" t="s">
        <v>31362</v>
      </c>
      <c r="G2694" t="s">
        <v>31371</v>
      </c>
      <c r="H2694" t="s">
        <v>15799</v>
      </c>
      <c r="I2694" t="s">
        <v>6373</v>
      </c>
      <c r="J2694" t="s">
        <v>33346</v>
      </c>
      <c r="K2694" t="s">
        <v>40661</v>
      </c>
      <c r="M2694" t="s">
        <v>42026</v>
      </c>
      <c r="N2694" t="s">
        <v>44905</v>
      </c>
      <c r="O2694" t="s">
        <v>44906</v>
      </c>
      <c r="P2694">
        <v>0</v>
      </c>
      <c r="Q2694">
        <v>2</v>
      </c>
      <c r="R2694" t="s">
        <v>44908</v>
      </c>
      <c r="S2694" t="s">
        <v>45042</v>
      </c>
      <c r="T2694" t="s">
        <v>46408</v>
      </c>
      <c r="U2694" t="s">
        <v>49148</v>
      </c>
      <c r="W2694" t="s">
        <v>42026</v>
      </c>
      <c r="X2694" t="s">
        <v>44909</v>
      </c>
    </row>
    <row r="2695" spans="1:24">
      <c r="A2695">
        <f>HYPERLINK("https://www.philgeps.gov.ph/GEPSNONPILOT/Tender/SplashBidNoticeAbstractUI.aspx?menuIndex=3&amp;refID=7078869&amp;Result=3","7078869")</f>
        <v>0</v>
      </c>
      <c r="B2695" t="s">
        <v>244</v>
      </c>
      <c r="C2695" t="s">
        <v>6115</v>
      </c>
      <c r="D2695" t="s">
        <v>18160</v>
      </c>
      <c r="E2695" t="s">
        <v>20657</v>
      </c>
      <c r="F2695" t="s">
        <v>31362</v>
      </c>
      <c r="G2695" t="s">
        <v>31370</v>
      </c>
      <c r="H2695" t="s">
        <v>15799</v>
      </c>
      <c r="I2695" t="s">
        <v>31431</v>
      </c>
      <c r="J2695" t="s">
        <v>33347</v>
      </c>
      <c r="K2695" t="s">
        <v>40661</v>
      </c>
      <c r="L2695" t="s">
        <v>244</v>
      </c>
      <c r="M2695" t="s">
        <v>41183</v>
      </c>
      <c r="N2695" t="s">
        <v>44905</v>
      </c>
      <c r="O2695" t="s">
        <v>44906</v>
      </c>
      <c r="P2695">
        <v>0</v>
      </c>
      <c r="Q2695">
        <v>3</v>
      </c>
      <c r="R2695" t="s">
        <v>44908</v>
      </c>
      <c r="S2695" t="s">
        <v>45042</v>
      </c>
      <c r="T2695" t="s">
        <v>46478</v>
      </c>
      <c r="U2695" t="s">
        <v>47337</v>
      </c>
      <c r="W2695" t="s">
        <v>41183</v>
      </c>
      <c r="X2695" t="s">
        <v>44909</v>
      </c>
    </row>
    <row r="2696" spans="1:24">
      <c r="A2696">
        <f>HYPERLINK("https://www.philgeps.gov.ph/GEPSNONPILOT/Tender/SplashBidNoticeAbstractUI.aspx?menuIndex=3&amp;refID=7078883&amp;Result=3","7078883")</f>
        <v>0</v>
      </c>
      <c r="B2696" t="s">
        <v>1029</v>
      </c>
      <c r="C2696" t="s">
        <v>6116</v>
      </c>
      <c r="D2696" t="s">
        <v>18106</v>
      </c>
      <c r="E2696" t="s">
        <v>20658</v>
      </c>
      <c r="F2696" t="s">
        <v>31362</v>
      </c>
      <c r="G2696" t="s">
        <v>31369</v>
      </c>
      <c r="H2696" t="s">
        <v>15799</v>
      </c>
      <c r="I2696" t="s">
        <v>31384</v>
      </c>
      <c r="J2696" t="s">
        <v>31897</v>
      </c>
      <c r="K2696" t="s">
        <v>40666</v>
      </c>
      <c r="M2696" t="s">
        <v>42028</v>
      </c>
      <c r="N2696" t="s">
        <v>44905</v>
      </c>
      <c r="O2696" t="s">
        <v>44906</v>
      </c>
      <c r="P2696">
        <v>0</v>
      </c>
      <c r="Q2696">
        <v>3</v>
      </c>
      <c r="R2696" t="s">
        <v>44908</v>
      </c>
      <c r="S2696" t="s">
        <v>45042</v>
      </c>
      <c r="T2696" t="s">
        <v>46627</v>
      </c>
      <c r="U2696" t="s">
        <v>49149</v>
      </c>
      <c r="W2696" t="s">
        <v>42028</v>
      </c>
      <c r="X2696" t="s">
        <v>44909</v>
      </c>
    </row>
    <row r="2697" spans="1:24">
      <c r="A2697">
        <f>HYPERLINK("https://www.philgeps.gov.ph/GEPSNONPILOT/Tender/SplashBidNoticeAbstractUI.aspx?menuIndex=3&amp;refID=7078882&amp;Result=3","7078882")</f>
        <v>0</v>
      </c>
      <c r="B2697" t="s">
        <v>1030</v>
      </c>
      <c r="C2697" t="s">
        <v>6117</v>
      </c>
      <c r="D2697" t="s">
        <v>18122</v>
      </c>
      <c r="E2697" t="s">
        <v>20659</v>
      </c>
      <c r="F2697" t="s">
        <v>31362</v>
      </c>
      <c r="G2697" t="s">
        <v>31369</v>
      </c>
      <c r="H2697" t="s">
        <v>15799</v>
      </c>
      <c r="I2697" t="s">
        <v>3815</v>
      </c>
      <c r="J2697" t="s">
        <v>33348</v>
      </c>
      <c r="K2697" t="s">
        <v>40666</v>
      </c>
      <c r="M2697" t="s">
        <v>42029</v>
      </c>
      <c r="N2697" t="s">
        <v>44905</v>
      </c>
      <c r="O2697" t="s">
        <v>44906</v>
      </c>
      <c r="P2697">
        <v>0</v>
      </c>
      <c r="Q2697">
        <v>0</v>
      </c>
      <c r="R2697" t="s">
        <v>44908</v>
      </c>
      <c r="S2697" t="s">
        <v>45042</v>
      </c>
      <c r="T2697" t="s">
        <v>46426</v>
      </c>
      <c r="U2697" t="s">
        <v>49150</v>
      </c>
      <c r="W2697" t="s">
        <v>42029</v>
      </c>
      <c r="X2697" t="s">
        <v>44909</v>
      </c>
    </row>
    <row r="2698" spans="1:24">
      <c r="A2698">
        <f>HYPERLINK("https://www.philgeps.gov.ph/GEPSNONPILOT/Tender/SplashBidNoticeAbstractUI.aspx?menuIndex=3&amp;refID=7078881&amp;Result=3","7078881")</f>
        <v>0</v>
      </c>
      <c r="B2698" t="s">
        <v>88</v>
      </c>
      <c r="C2698" t="s">
        <v>4097</v>
      </c>
      <c r="D2698" t="s">
        <v>18135</v>
      </c>
      <c r="E2698" t="s">
        <v>20660</v>
      </c>
      <c r="F2698" t="s">
        <v>31362</v>
      </c>
      <c r="G2698" t="s">
        <v>31370</v>
      </c>
      <c r="H2698" t="s">
        <v>15799</v>
      </c>
      <c r="I2698" t="s">
        <v>31385</v>
      </c>
      <c r="J2698" t="s">
        <v>33349</v>
      </c>
      <c r="K2698" t="s">
        <v>40662</v>
      </c>
      <c r="M2698" t="s">
        <v>41967</v>
      </c>
      <c r="N2698" t="s">
        <v>44905</v>
      </c>
      <c r="O2698" t="s">
        <v>44906</v>
      </c>
      <c r="P2698">
        <v>0</v>
      </c>
      <c r="Q2698">
        <v>0</v>
      </c>
      <c r="R2698" t="s">
        <v>44908</v>
      </c>
      <c r="S2698" t="s">
        <v>45042</v>
      </c>
      <c r="T2698" t="s">
        <v>46507</v>
      </c>
      <c r="U2698" t="s">
        <v>49151</v>
      </c>
      <c r="V2698" t="s">
        <v>59319</v>
      </c>
      <c r="W2698" t="s">
        <v>41967</v>
      </c>
      <c r="X2698" t="s">
        <v>44909</v>
      </c>
    </row>
    <row r="2699" spans="1:24">
      <c r="A2699">
        <f>HYPERLINK("https://www.philgeps.gov.ph/GEPSNONPILOT/Tender/SplashBidNoticeAbstractUI.aspx?menuIndex=3&amp;refID=7078901&amp;Result=3","7078901")</f>
        <v>0</v>
      </c>
      <c r="B2699" t="s">
        <v>795</v>
      </c>
      <c r="C2699" t="s">
        <v>6118</v>
      </c>
      <c r="D2699" t="s">
        <v>18138</v>
      </c>
      <c r="E2699" t="s">
        <v>20661</v>
      </c>
      <c r="F2699" t="s">
        <v>31362</v>
      </c>
      <c r="G2699" t="s">
        <v>31369</v>
      </c>
      <c r="H2699" t="s">
        <v>31378</v>
      </c>
      <c r="I2699" t="s">
        <v>31386</v>
      </c>
      <c r="J2699" t="s">
        <v>33350</v>
      </c>
      <c r="K2699" t="s">
        <v>40752</v>
      </c>
      <c r="M2699" t="s">
        <v>41765</v>
      </c>
      <c r="N2699" t="s">
        <v>44905</v>
      </c>
      <c r="O2699" t="s">
        <v>44906</v>
      </c>
      <c r="P2699">
        <v>0</v>
      </c>
      <c r="Q2699">
        <v>1</v>
      </c>
      <c r="R2699" t="s">
        <v>44908</v>
      </c>
      <c r="S2699" t="s">
        <v>45042</v>
      </c>
      <c r="T2699" t="s">
        <v>46605</v>
      </c>
      <c r="U2699" t="s">
        <v>49152</v>
      </c>
      <c r="W2699" t="s">
        <v>41765</v>
      </c>
      <c r="X2699" t="s">
        <v>44909</v>
      </c>
    </row>
    <row r="2700" spans="1:24">
      <c r="A2700">
        <f>HYPERLINK("https://www.philgeps.gov.ph/GEPSNONPILOT/Tender/SplashBidNoticeAbstractUI.aspx?menuIndex=3&amp;refID=7078862&amp;Result=3","7078862")</f>
        <v>0</v>
      </c>
      <c r="B2700" t="s">
        <v>243</v>
      </c>
      <c r="C2700" t="s">
        <v>6119</v>
      </c>
      <c r="D2700" t="s">
        <v>18144</v>
      </c>
      <c r="E2700" t="s">
        <v>20662</v>
      </c>
      <c r="F2700" t="s">
        <v>31362</v>
      </c>
      <c r="G2700" t="s">
        <v>31369</v>
      </c>
      <c r="H2700" t="s">
        <v>15799</v>
      </c>
      <c r="I2700" t="s">
        <v>31386</v>
      </c>
      <c r="J2700" t="s">
        <v>32016</v>
      </c>
      <c r="K2700" t="s">
        <v>40666</v>
      </c>
      <c r="M2700" t="s">
        <v>41182</v>
      </c>
      <c r="N2700" t="s">
        <v>44905</v>
      </c>
      <c r="O2700" t="s">
        <v>44906</v>
      </c>
      <c r="P2700">
        <v>0</v>
      </c>
      <c r="Q2700">
        <v>0</v>
      </c>
      <c r="R2700" t="s">
        <v>44908</v>
      </c>
      <c r="S2700" t="s">
        <v>45042</v>
      </c>
      <c r="T2700" t="s">
        <v>46396</v>
      </c>
      <c r="U2700" t="s">
        <v>49153</v>
      </c>
      <c r="W2700" t="s">
        <v>41182</v>
      </c>
      <c r="X2700" t="s">
        <v>44909</v>
      </c>
    </row>
    <row r="2701" spans="1:24">
      <c r="A2701">
        <f>HYPERLINK("https://www.philgeps.gov.ph/GEPSNONPILOT/Tender/SplashBidNoticeAbstractUI.aspx?menuIndex=3&amp;refID=7078912&amp;Result=3","7078912")</f>
        <v>0</v>
      </c>
      <c r="B2701" t="s">
        <v>697</v>
      </c>
      <c r="C2701" t="s">
        <v>4280</v>
      </c>
      <c r="D2701" t="s">
        <v>18146</v>
      </c>
      <c r="E2701" t="s">
        <v>20413</v>
      </c>
      <c r="F2701" t="s">
        <v>31364</v>
      </c>
      <c r="G2701" t="s">
        <v>31368</v>
      </c>
      <c r="H2701" t="s">
        <v>15799</v>
      </c>
      <c r="I2701" t="s">
        <v>31384</v>
      </c>
      <c r="J2701" t="s">
        <v>31869</v>
      </c>
      <c r="K2701" t="s">
        <v>40661</v>
      </c>
      <c r="M2701" t="s">
        <v>41662</v>
      </c>
      <c r="N2701" t="s">
        <v>44905</v>
      </c>
      <c r="O2701" t="s">
        <v>44906</v>
      </c>
      <c r="P2701">
        <v>0</v>
      </c>
      <c r="Q2701">
        <v>1</v>
      </c>
      <c r="R2701" t="s">
        <v>44908</v>
      </c>
      <c r="S2701" t="s">
        <v>45042</v>
      </c>
      <c r="T2701" t="s">
        <v>46483</v>
      </c>
      <c r="U2701" t="s">
        <v>49154</v>
      </c>
      <c r="W2701" t="s">
        <v>41662</v>
      </c>
      <c r="X2701" t="s">
        <v>44909</v>
      </c>
    </row>
    <row r="2702" spans="1:24">
      <c r="A2702">
        <f>HYPERLINK("https://www.philgeps.gov.ph/GEPSNONPILOT/Tender/SplashBidNoticeAbstractUI.aspx?menuIndex=3&amp;refID=7078903&amp;Result=3","7078903")</f>
        <v>0</v>
      </c>
      <c r="B2702" t="s">
        <v>1031</v>
      </c>
      <c r="C2702" t="s">
        <v>6120</v>
      </c>
      <c r="D2702" t="s">
        <v>18100</v>
      </c>
      <c r="E2702" t="s">
        <v>20663</v>
      </c>
      <c r="F2702" t="s">
        <v>31362</v>
      </c>
      <c r="G2702" t="s">
        <v>31370</v>
      </c>
      <c r="H2702" t="s">
        <v>15799</v>
      </c>
      <c r="I2702" t="s">
        <v>31385</v>
      </c>
      <c r="J2702" t="s">
        <v>33351</v>
      </c>
      <c r="K2702" t="s">
        <v>40665</v>
      </c>
      <c r="M2702" t="s">
        <v>42030</v>
      </c>
      <c r="N2702" t="s">
        <v>44905</v>
      </c>
      <c r="O2702" t="s">
        <v>44906</v>
      </c>
      <c r="P2702">
        <v>0</v>
      </c>
      <c r="Q2702">
        <v>1</v>
      </c>
      <c r="R2702" t="s">
        <v>44908</v>
      </c>
      <c r="S2702" t="s">
        <v>45042</v>
      </c>
      <c r="T2702" t="s">
        <v>46447</v>
      </c>
      <c r="U2702" t="s">
        <v>49155</v>
      </c>
      <c r="W2702" t="s">
        <v>42030</v>
      </c>
      <c r="X2702" t="s">
        <v>44909</v>
      </c>
    </row>
    <row r="2703" spans="1:24">
      <c r="A2703">
        <f>HYPERLINK("https://www.philgeps.gov.ph/GEPSNONPILOT/Tender/SplashBidNoticeAbstractUI.aspx?menuIndex=3&amp;refID=7078910&amp;Result=3","7078910")</f>
        <v>0</v>
      </c>
      <c r="B2703" t="s">
        <v>72</v>
      </c>
      <c r="C2703" t="s">
        <v>6121</v>
      </c>
      <c r="D2703" t="s">
        <v>18130</v>
      </c>
      <c r="E2703" t="s">
        <v>20664</v>
      </c>
      <c r="F2703" t="s">
        <v>31362</v>
      </c>
      <c r="G2703" t="s">
        <v>31368</v>
      </c>
      <c r="H2703" t="s">
        <v>15799</v>
      </c>
      <c r="I2703" t="s">
        <v>31476</v>
      </c>
      <c r="J2703" t="s">
        <v>33352</v>
      </c>
      <c r="K2703" t="s">
        <v>40666</v>
      </c>
      <c r="M2703" t="s">
        <v>41008</v>
      </c>
      <c r="N2703" t="s">
        <v>44905</v>
      </c>
      <c r="O2703" t="s">
        <v>44906</v>
      </c>
      <c r="P2703">
        <v>0</v>
      </c>
      <c r="Q2703">
        <v>8</v>
      </c>
      <c r="R2703" t="s">
        <v>44908</v>
      </c>
      <c r="S2703" t="s">
        <v>45042</v>
      </c>
      <c r="T2703" t="s">
        <v>46428</v>
      </c>
      <c r="U2703" t="s">
        <v>49156</v>
      </c>
      <c r="W2703" t="s">
        <v>41008</v>
      </c>
      <c r="X2703" t="s">
        <v>44909</v>
      </c>
    </row>
    <row r="2704" spans="1:24">
      <c r="A2704">
        <f>HYPERLINK("https://www.philgeps.gov.ph/GEPSNONPILOT/Tender/SplashBidNoticeAbstractUI.aspx?menuIndex=3&amp;refID=7078909&amp;Result=3","7078909")</f>
        <v>0</v>
      </c>
      <c r="B2704" t="s">
        <v>438</v>
      </c>
      <c r="C2704" t="s">
        <v>6122</v>
      </c>
      <c r="D2704" t="s">
        <v>18159</v>
      </c>
      <c r="E2704" t="s">
        <v>20665</v>
      </c>
      <c r="F2704" t="s">
        <v>31362</v>
      </c>
      <c r="G2704" t="s">
        <v>31368</v>
      </c>
      <c r="H2704" t="s">
        <v>15799</v>
      </c>
      <c r="I2704" t="s">
        <v>31396</v>
      </c>
      <c r="J2704" t="s">
        <v>33353</v>
      </c>
      <c r="K2704" t="s">
        <v>40666</v>
      </c>
      <c r="M2704" t="s">
        <v>41390</v>
      </c>
      <c r="N2704" t="s">
        <v>44905</v>
      </c>
      <c r="O2704" t="s">
        <v>44906</v>
      </c>
      <c r="P2704">
        <v>0</v>
      </c>
      <c r="Q2704">
        <v>5</v>
      </c>
      <c r="R2704" t="s">
        <v>44908</v>
      </c>
      <c r="S2704" t="s">
        <v>45042</v>
      </c>
      <c r="T2704" t="s">
        <v>46534</v>
      </c>
      <c r="U2704" t="s">
        <v>49157</v>
      </c>
      <c r="W2704" t="s">
        <v>41390</v>
      </c>
      <c r="X2704" t="s">
        <v>44909</v>
      </c>
    </row>
    <row r="2705" spans="1:24">
      <c r="A2705">
        <f>HYPERLINK("https://www.philgeps.gov.ph/GEPSNONPILOT/Tender/SplashBidNoticeAbstractUI.aspx?menuIndex=3&amp;refID=7078906&amp;Result=3","7078906")</f>
        <v>0</v>
      </c>
      <c r="B2705" t="s">
        <v>207</v>
      </c>
      <c r="C2705" t="s">
        <v>6123</v>
      </c>
      <c r="D2705" t="s">
        <v>18127</v>
      </c>
      <c r="E2705" t="s">
        <v>20666</v>
      </c>
      <c r="F2705" t="s">
        <v>31362</v>
      </c>
      <c r="G2705" t="s">
        <v>31370</v>
      </c>
      <c r="H2705" t="s">
        <v>15799</v>
      </c>
      <c r="I2705" t="s">
        <v>31385</v>
      </c>
      <c r="J2705" t="s">
        <v>31546</v>
      </c>
      <c r="K2705" t="s">
        <v>40662</v>
      </c>
      <c r="M2705" t="s">
        <v>41146</v>
      </c>
      <c r="N2705" t="s">
        <v>44905</v>
      </c>
      <c r="O2705" t="s">
        <v>44906</v>
      </c>
      <c r="P2705">
        <v>0</v>
      </c>
      <c r="Q2705">
        <v>4</v>
      </c>
      <c r="R2705" t="s">
        <v>44908</v>
      </c>
      <c r="S2705" t="s">
        <v>45042</v>
      </c>
      <c r="T2705" t="s">
        <v>46425</v>
      </c>
      <c r="U2705" t="s">
        <v>49158</v>
      </c>
      <c r="W2705" t="s">
        <v>41146</v>
      </c>
      <c r="X2705" t="s">
        <v>44909</v>
      </c>
    </row>
    <row r="2706" spans="1:24">
      <c r="A2706">
        <f>HYPERLINK("https://www.philgeps.gov.ph/GEPSNONPILOT/Tender/SplashBidNoticeAbstractUI.aspx?menuIndex=3&amp;refID=7078904&amp;Result=3","7078904")</f>
        <v>0</v>
      </c>
      <c r="B2706" t="s">
        <v>1032</v>
      </c>
      <c r="C2706" t="s">
        <v>6124</v>
      </c>
      <c r="D2706" t="s">
        <v>18103</v>
      </c>
      <c r="E2706" t="s">
        <v>20667</v>
      </c>
      <c r="F2706" t="s">
        <v>31362</v>
      </c>
      <c r="G2706" t="s">
        <v>31369</v>
      </c>
      <c r="H2706" t="s">
        <v>15799</v>
      </c>
      <c r="I2706" t="s">
        <v>31400</v>
      </c>
      <c r="J2706" t="s">
        <v>32244</v>
      </c>
      <c r="K2706" t="s">
        <v>40665</v>
      </c>
      <c r="M2706" t="s">
        <v>42031</v>
      </c>
      <c r="N2706" t="s">
        <v>44905</v>
      </c>
      <c r="O2706" t="s">
        <v>44906</v>
      </c>
      <c r="P2706">
        <v>0</v>
      </c>
      <c r="Q2706">
        <v>2</v>
      </c>
      <c r="R2706" t="s">
        <v>44908</v>
      </c>
      <c r="S2706" t="s">
        <v>45042</v>
      </c>
      <c r="T2706" t="s">
        <v>46404</v>
      </c>
      <c r="U2706" t="s">
        <v>49159</v>
      </c>
      <c r="W2706" t="s">
        <v>42031</v>
      </c>
      <c r="X2706" t="s">
        <v>44909</v>
      </c>
    </row>
    <row r="2707" spans="1:24">
      <c r="A2707">
        <f>HYPERLINK("https://www.philgeps.gov.ph/GEPSNONPILOT/Tender/SplashBidNoticeAbstractUI.aspx?menuIndex=3&amp;refID=7078900&amp;Result=3","7078900")</f>
        <v>0</v>
      </c>
      <c r="B2707" t="s">
        <v>214</v>
      </c>
      <c r="C2707" t="s">
        <v>6125</v>
      </c>
      <c r="D2707" t="s">
        <v>18158</v>
      </c>
      <c r="E2707" t="s">
        <v>20668</v>
      </c>
      <c r="F2707" t="s">
        <v>31362</v>
      </c>
      <c r="G2707" t="s">
        <v>31368</v>
      </c>
      <c r="H2707" t="s">
        <v>15799</v>
      </c>
      <c r="I2707" t="s">
        <v>7719</v>
      </c>
      <c r="J2707" t="s">
        <v>33354</v>
      </c>
      <c r="K2707" t="s">
        <v>40666</v>
      </c>
      <c r="M2707" t="s">
        <v>41153</v>
      </c>
      <c r="N2707" t="s">
        <v>44905</v>
      </c>
      <c r="O2707" t="s">
        <v>44906</v>
      </c>
      <c r="P2707">
        <v>0</v>
      </c>
      <c r="Q2707">
        <v>3</v>
      </c>
      <c r="R2707" t="s">
        <v>44908</v>
      </c>
      <c r="S2707" t="s">
        <v>45042</v>
      </c>
      <c r="T2707" t="s">
        <v>46478</v>
      </c>
      <c r="U2707" t="s">
        <v>49160</v>
      </c>
      <c r="W2707" t="s">
        <v>41153</v>
      </c>
      <c r="X2707" t="s">
        <v>44909</v>
      </c>
    </row>
    <row r="2708" spans="1:24">
      <c r="A2708">
        <f>HYPERLINK("https://www.philgeps.gov.ph/GEPSNONPILOT/Tender/SplashBidNoticeAbstractUI.aspx?menuIndex=3&amp;refID=7078899&amp;Result=3","7078899")</f>
        <v>0</v>
      </c>
      <c r="B2708" t="s">
        <v>1033</v>
      </c>
      <c r="C2708" t="s">
        <v>6126</v>
      </c>
      <c r="D2708" t="s">
        <v>18162</v>
      </c>
      <c r="E2708" t="s">
        <v>20669</v>
      </c>
      <c r="F2708" t="s">
        <v>31362</v>
      </c>
      <c r="G2708" t="s">
        <v>31369</v>
      </c>
      <c r="H2708" t="s">
        <v>15799</v>
      </c>
      <c r="I2708" t="s">
        <v>31431</v>
      </c>
      <c r="J2708" t="s">
        <v>33355</v>
      </c>
      <c r="K2708" t="s">
        <v>40670</v>
      </c>
      <c r="M2708" t="s">
        <v>42032</v>
      </c>
      <c r="N2708" t="s">
        <v>44905</v>
      </c>
      <c r="O2708" t="s">
        <v>44906</v>
      </c>
      <c r="P2708">
        <v>0</v>
      </c>
      <c r="Q2708">
        <v>0</v>
      </c>
      <c r="R2708" t="s">
        <v>44908</v>
      </c>
      <c r="S2708" t="s">
        <v>45042</v>
      </c>
      <c r="T2708" t="s">
        <v>46430</v>
      </c>
      <c r="U2708" t="s">
        <v>49161</v>
      </c>
      <c r="W2708" t="s">
        <v>42032</v>
      </c>
      <c r="X2708" t="s">
        <v>44909</v>
      </c>
    </row>
    <row r="2709" spans="1:24">
      <c r="A2709">
        <f>HYPERLINK("https://www.philgeps.gov.ph/GEPSNONPILOT/Tender/SplashBidNoticeAbstractUI.aspx?menuIndex=3&amp;refID=7078898&amp;Result=3","7078898")</f>
        <v>0</v>
      </c>
      <c r="B2709" t="s">
        <v>1034</v>
      </c>
      <c r="C2709" t="s">
        <v>4462</v>
      </c>
      <c r="D2709" t="s">
        <v>18111</v>
      </c>
      <c r="E2709" t="s">
        <v>20670</v>
      </c>
      <c r="F2709" t="s">
        <v>31362</v>
      </c>
      <c r="G2709" t="s">
        <v>31370</v>
      </c>
      <c r="H2709" t="s">
        <v>15799</v>
      </c>
      <c r="I2709" t="s">
        <v>6373</v>
      </c>
      <c r="J2709" t="s">
        <v>32443</v>
      </c>
      <c r="K2709" t="s">
        <v>40670</v>
      </c>
      <c r="M2709" t="s">
        <v>42033</v>
      </c>
      <c r="N2709" t="s">
        <v>44905</v>
      </c>
      <c r="O2709" t="s">
        <v>44906</v>
      </c>
      <c r="P2709">
        <v>0</v>
      </c>
      <c r="Q2709">
        <v>3</v>
      </c>
      <c r="R2709" t="s">
        <v>44908</v>
      </c>
      <c r="S2709" t="s">
        <v>45042</v>
      </c>
      <c r="T2709" t="s">
        <v>46443</v>
      </c>
      <c r="U2709" t="s">
        <v>47761</v>
      </c>
      <c r="W2709" t="s">
        <v>42033</v>
      </c>
      <c r="X2709" t="s">
        <v>44909</v>
      </c>
    </row>
    <row r="2710" spans="1:24">
      <c r="A2710">
        <f>HYPERLINK("https://www.philgeps.gov.ph/GEPSNONPILOT/Tender/SplashBidNoticeAbstractUI.aspx?menuIndex=3&amp;refID=7078894&amp;Result=3","7078894")</f>
        <v>0</v>
      </c>
      <c r="B2710" t="s">
        <v>1034</v>
      </c>
      <c r="C2710" t="s">
        <v>4337</v>
      </c>
      <c r="D2710" t="s">
        <v>18111</v>
      </c>
      <c r="E2710" t="s">
        <v>20671</v>
      </c>
      <c r="F2710" t="s">
        <v>31362</v>
      </c>
      <c r="G2710" t="s">
        <v>31370</v>
      </c>
      <c r="H2710" t="s">
        <v>15799</v>
      </c>
      <c r="I2710" t="s">
        <v>3815</v>
      </c>
      <c r="J2710" t="s">
        <v>32589</v>
      </c>
      <c r="K2710" t="s">
        <v>40670</v>
      </c>
      <c r="M2710" t="s">
        <v>42033</v>
      </c>
      <c r="N2710" t="s">
        <v>44905</v>
      </c>
      <c r="O2710" t="s">
        <v>44906</v>
      </c>
      <c r="P2710">
        <v>0</v>
      </c>
      <c r="Q2710">
        <v>2</v>
      </c>
      <c r="R2710" t="s">
        <v>44908</v>
      </c>
      <c r="S2710" t="s">
        <v>45042</v>
      </c>
      <c r="T2710" t="s">
        <v>46443</v>
      </c>
      <c r="U2710" t="s">
        <v>47653</v>
      </c>
      <c r="W2710" t="s">
        <v>42033</v>
      </c>
      <c r="X2710" t="s">
        <v>44909</v>
      </c>
    </row>
    <row r="2711" spans="1:24">
      <c r="A2711">
        <f>HYPERLINK("https://www.philgeps.gov.ph/GEPSNONPILOT/Tender/SplashBidNoticeAbstractUI.aspx?menuIndex=3&amp;refID=7078892&amp;Result=3","7078892")</f>
        <v>0</v>
      </c>
      <c r="B2711" t="s">
        <v>1033</v>
      </c>
      <c r="C2711" t="s">
        <v>6127</v>
      </c>
      <c r="D2711" t="s">
        <v>18162</v>
      </c>
      <c r="E2711" t="s">
        <v>20672</v>
      </c>
      <c r="F2711" t="s">
        <v>31362</v>
      </c>
      <c r="G2711" t="s">
        <v>31369</v>
      </c>
      <c r="H2711" t="s">
        <v>15799</v>
      </c>
      <c r="I2711" t="s">
        <v>31384</v>
      </c>
      <c r="J2711" t="s">
        <v>31921</v>
      </c>
      <c r="K2711" t="s">
        <v>40670</v>
      </c>
      <c r="M2711" t="s">
        <v>42032</v>
      </c>
      <c r="N2711" t="s">
        <v>44905</v>
      </c>
      <c r="O2711" t="s">
        <v>44906</v>
      </c>
      <c r="P2711">
        <v>0</v>
      </c>
      <c r="Q2711">
        <v>2</v>
      </c>
      <c r="R2711" t="s">
        <v>44908</v>
      </c>
      <c r="S2711" t="s">
        <v>45042</v>
      </c>
      <c r="T2711" t="s">
        <v>46430</v>
      </c>
      <c r="U2711" t="s">
        <v>49162</v>
      </c>
      <c r="W2711" t="s">
        <v>42032</v>
      </c>
      <c r="X2711" t="s">
        <v>44909</v>
      </c>
    </row>
    <row r="2712" spans="1:24">
      <c r="A2712">
        <f>HYPERLINK("https://www.philgeps.gov.ph/GEPSNONPILOT/Tender/SplashBidNoticeAbstractUI.aspx?menuIndex=3&amp;refID=7078861&amp;Result=3","7078861")</f>
        <v>0</v>
      </c>
      <c r="B2712" t="s">
        <v>1019</v>
      </c>
      <c r="C2712" t="s">
        <v>5092</v>
      </c>
      <c r="D2712" t="s">
        <v>18111</v>
      </c>
      <c r="E2712" t="s">
        <v>20673</v>
      </c>
      <c r="F2712" t="s">
        <v>31362</v>
      </c>
      <c r="G2712" t="s">
        <v>31370</v>
      </c>
      <c r="H2712" t="s">
        <v>15799</v>
      </c>
      <c r="I2712" t="s">
        <v>31382</v>
      </c>
      <c r="J2712" t="s">
        <v>33356</v>
      </c>
      <c r="K2712" t="s">
        <v>40670</v>
      </c>
      <c r="M2712" t="s">
        <v>42016</v>
      </c>
      <c r="N2712" t="s">
        <v>44905</v>
      </c>
      <c r="O2712" t="s">
        <v>44906</v>
      </c>
      <c r="P2712">
        <v>0</v>
      </c>
      <c r="Q2712">
        <v>1</v>
      </c>
      <c r="R2712" t="s">
        <v>44908</v>
      </c>
      <c r="S2712" t="s">
        <v>45042</v>
      </c>
      <c r="T2712" t="s">
        <v>46443</v>
      </c>
      <c r="U2712" t="s">
        <v>48290</v>
      </c>
      <c r="W2712" t="s">
        <v>42016</v>
      </c>
      <c r="X2712" t="s">
        <v>44909</v>
      </c>
    </row>
    <row r="2713" spans="1:24">
      <c r="A2713">
        <f>HYPERLINK("https://www.philgeps.gov.ph/GEPSNONPILOT/Tender/SplashBidNoticeAbstractUI.aspx?menuIndex=3&amp;refID=7078890&amp;Result=3","7078890")</f>
        <v>0</v>
      </c>
      <c r="B2713" t="s">
        <v>518</v>
      </c>
      <c r="C2713" t="s">
        <v>6128</v>
      </c>
      <c r="D2713" t="s">
        <v>18131</v>
      </c>
      <c r="E2713" t="s">
        <v>20674</v>
      </c>
      <c r="F2713" t="s">
        <v>31362</v>
      </c>
      <c r="G2713" t="s">
        <v>31368</v>
      </c>
      <c r="H2713" t="s">
        <v>31378</v>
      </c>
      <c r="I2713" t="s">
        <v>31386</v>
      </c>
      <c r="J2713" t="s">
        <v>33357</v>
      </c>
      <c r="K2713" t="s">
        <v>40662</v>
      </c>
      <c r="M2713" t="s">
        <v>41474</v>
      </c>
      <c r="N2713" t="s">
        <v>44905</v>
      </c>
      <c r="O2713" t="s">
        <v>44906</v>
      </c>
      <c r="P2713">
        <v>0</v>
      </c>
      <c r="Q2713">
        <v>3</v>
      </c>
      <c r="R2713" t="s">
        <v>44908</v>
      </c>
      <c r="S2713" t="s">
        <v>45042</v>
      </c>
      <c r="T2713" t="s">
        <v>46447</v>
      </c>
      <c r="U2713" t="s">
        <v>49163</v>
      </c>
      <c r="W2713" t="s">
        <v>41474</v>
      </c>
      <c r="X2713" t="s">
        <v>44909</v>
      </c>
    </row>
    <row r="2714" spans="1:24">
      <c r="A2714">
        <f>HYPERLINK("https://www.philgeps.gov.ph/GEPSNONPILOT/Tender/SplashBidNoticeAbstractUI.aspx?menuIndex=3&amp;refID=7078893&amp;Result=3","7078893")</f>
        <v>0</v>
      </c>
      <c r="B2714" t="s">
        <v>795</v>
      </c>
      <c r="C2714" t="s">
        <v>6129</v>
      </c>
      <c r="D2714" t="s">
        <v>18138</v>
      </c>
      <c r="E2714" t="s">
        <v>20675</v>
      </c>
      <c r="F2714" t="s">
        <v>31362</v>
      </c>
      <c r="G2714" t="s">
        <v>31369</v>
      </c>
      <c r="H2714" t="s">
        <v>31378</v>
      </c>
      <c r="I2714" t="s">
        <v>31386</v>
      </c>
      <c r="J2714" t="s">
        <v>33358</v>
      </c>
      <c r="K2714" t="s">
        <v>40752</v>
      </c>
      <c r="M2714" t="s">
        <v>41765</v>
      </c>
      <c r="N2714" t="s">
        <v>44905</v>
      </c>
      <c r="O2714" t="s">
        <v>44906</v>
      </c>
      <c r="P2714">
        <v>0</v>
      </c>
      <c r="Q2714">
        <v>0</v>
      </c>
      <c r="R2714" t="s">
        <v>44908</v>
      </c>
      <c r="S2714" t="s">
        <v>45042</v>
      </c>
      <c r="T2714" t="s">
        <v>46605</v>
      </c>
      <c r="U2714" t="s">
        <v>49164</v>
      </c>
      <c r="W2714" t="s">
        <v>41765</v>
      </c>
      <c r="X2714" t="s">
        <v>44909</v>
      </c>
    </row>
    <row r="2715" spans="1:24">
      <c r="A2715">
        <f>HYPERLINK("https://www.philgeps.gov.ph/GEPSNONPILOT/Tender/SplashBidNoticeAbstractUI.aspx?menuIndex=3&amp;refID=7078836&amp;Result=3","7078836")</f>
        <v>0</v>
      </c>
      <c r="B2715" t="s">
        <v>792</v>
      </c>
      <c r="C2715" t="s">
        <v>6072</v>
      </c>
      <c r="D2715" t="s">
        <v>18111</v>
      </c>
      <c r="E2715" t="s">
        <v>20676</v>
      </c>
      <c r="F2715" t="s">
        <v>31362</v>
      </c>
      <c r="G2715" t="s">
        <v>31371</v>
      </c>
      <c r="H2715" t="s">
        <v>15799</v>
      </c>
      <c r="I2715" t="s">
        <v>4283</v>
      </c>
      <c r="J2715" t="s">
        <v>33359</v>
      </c>
      <c r="K2715" t="s">
        <v>40670</v>
      </c>
      <c r="M2715" t="s">
        <v>41762</v>
      </c>
      <c r="N2715" t="s">
        <v>44905</v>
      </c>
      <c r="O2715" t="s">
        <v>44906</v>
      </c>
      <c r="P2715">
        <v>0</v>
      </c>
      <c r="Q2715">
        <v>1</v>
      </c>
      <c r="R2715" t="s">
        <v>44908</v>
      </c>
      <c r="S2715" t="s">
        <v>45042</v>
      </c>
      <c r="T2715" t="s">
        <v>46414</v>
      </c>
      <c r="U2715" t="s">
        <v>48523</v>
      </c>
      <c r="W2715" t="s">
        <v>41762</v>
      </c>
      <c r="X2715" t="s">
        <v>44909</v>
      </c>
    </row>
    <row r="2716" spans="1:24">
      <c r="A2716">
        <f>HYPERLINK("https://www.philgeps.gov.ph/GEPSNONPILOT/Tender/SplashBidNoticeAbstractUI.aspx?menuIndex=3&amp;refID=7078915&amp;Result=3","7078915")</f>
        <v>0</v>
      </c>
      <c r="B2716" t="s">
        <v>1035</v>
      </c>
      <c r="C2716" t="s">
        <v>6130</v>
      </c>
      <c r="D2716" t="s">
        <v>18148</v>
      </c>
      <c r="E2716" t="s">
        <v>20677</v>
      </c>
      <c r="F2716" t="s">
        <v>31362</v>
      </c>
      <c r="G2716" t="s">
        <v>31370</v>
      </c>
      <c r="H2716" t="s">
        <v>15799</v>
      </c>
      <c r="I2716" t="s">
        <v>13635</v>
      </c>
      <c r="J2716" t="s">
        <v>31806</v>
      </c>
      <c r="K2716" t="s">
        <v>40662</v>
      </c>
      <c r="M2716" t="s">
        <v>42034</v>
      </c>
      <c r="N2716" t="s">
        <v>44905</v>
      </c>
      <c r="O2716" t="s">
        <v>44906</v>
      </c>
      <c r="P2716">
        <v>0</v>
      </c>
      <c r="Q2716">
        <v>8</v>
      </c>
      <c r="R2716" t="s">
        <v>44908</v>
      </c>
      <c r="S2716" t="s">
        <v>45042</v>
      </c>
      <c r="T2716" t="s">
        <v>46628</v>
      </c>
      <c r="U2716" t="s">
        <v>47665</v>
      </c>
      <c r="W2716" t="s">
        <v>42034</v>
      </c>
      <c r="X2716" t="s">
        <v>44909</v>
      </c>
    </row>
    <row r="2717" spans="1:24">
      <c r="A2717">
        <f>HYPERLINK("https://www.philgeps.gov.ph/GEPSNONPILOT/Tender/SplashBidNoticeAbstractUI.aspx?menuIndex=3&amp;refID=7078914&amp;Result=3","7078914")</f>
        <v>0</v>
      </c>
      <c r="B2717" t="s">
        <v>438</v>
      </c>
      <c r="C2717" t="s">
        <v>6131</v>
      </c>
      <c r="D2717" t="s">
        <v>18159</v>
      </c>
      <c r="E2717" t="s">
        <v>20678</v>
      </c>
      <c r="F2717" t="s">
        <v>31362</v>
      </c>
      <c r="G2717" t="s">
        <v>31368</v>
      </c>
      <c r="H2717" t="s">
        <v>15799</v>
      </c>
      <c r="I2717" t="s">
        <v>31382</v>
      </c>
      <c r="J2717" t="s">
        <v>33360</v>
      </c>
      <c r="K2717" t="s">
        <v>40666</v>
      </c>
      <c r="M2717" t="s">
        <v>41390</v>
      </c>
      <c r="N2717" t="s">
        <v>44905</v>
      </c>
      <c r="O2717" t="s">
        <v>44906</v>
      </c>
      <c r="P2717">
        <v>0</v>
      </c>
      <c r="Q2717">
        <v>3</v>
      </c>
      <c r="R2717" t="s">
        <v>44908</v>
      </c>
      <c r="S2717" t="s">
        <v>45042</v>
      </c>
      <c r="T2717" t="s">
        <v>46534</v>
      </c>
      <c r="U2717" t="s">
        <v>49165</v>
      </c>
      <c r="W2717" t="s">
        <v>41390</v>
      </c>
      <c r="X2717" t="s">
        <v>44909</v>
      </c>
    </row>
    <row r="2718" spans="1:24">
      <c r="A2718">
        <f>HYPERLINK("https://www.philgeps.gov.ph/GEPSNONPILOT/Tender/SplashBidNoticeAbstractUI.aspx?menuIndex=3&amp;refID=7078887&amp;Result=3","7078887")</f>
        <v>0</v>
      </c>
      <c r="B2718" t="s">
        <v>1034</v>
      </c>
      <c r="C2718" t="s">
        <v>4337</v>
      </c>
      <c r="D2718" t="s">
        <v>18111</v>
      </c>
      <c r="E2718" t="s">
        <v>20679</v>
      </c>
      <c r="F2718" t="s">
        <v>31362</v>
      </c>
      <c r="G2718" t="s">
        <v>31370</v>
      </c>
      <c r="H2718" t="s">
        <v>15799</v>
      </c>
      <c r="I2718" t="s">
        <v>3815</v>
      </c>
      <c r="J2718" t="s">
        <v>32443</v>
      </c>
      <c r="K2718" t="s">
        <v>40670</v>
      </c>
      <c r="M2718" t="s">
        <v>42033</v>
      </c>
      <c r="N2718" t="s">
        <v>44905</v>
      </c>
      <c r="O2718" t="s">
        <v>44906</v>
      </c>
      <c r="P2718">
        <v>0</v>
      </c>
      <c r="Q2718">
        <v>2</v>
      </c>
      <c r="R2718" t="s">
        <v>44908</v>
      </c>
      <c r="S2718" t="s">
        <v>45042</v>
      </c>
      <c r="T2718" t="s">
        <v>46443</v>
      </c>
      <c r="U2718" t="s">
        <v>47653</v>
      </c>
      <c r="W2718" t="s">
        <v>42033</v>
      </c>
      <c r="X2718" t="s">
        <v>44909</v>
      </c>
    </row>
    <row r="2719" spans="1:24">
      <c r="A2719">
        <f>HYPERLINK("https://www.philgeps.gov.ph/GEPSNONPILOT/Tender/SplashBidNoticeAbstractUI.aspx?menuIndex=3&amp;refID=7078913&amp;Result=3","7078913")</f>
        <v>0</v>
      </c>
      <c r="B2719" t="s">
        <v>1036</v>
      </c>
      <c r="C2719" t="s">
        <v>6132</v>
      </c>
      <c r="D2719" t="s">
        <v>18128</v>
      </c>
      <c r="E2719" t="s">
        <v>20680</v>
      </c>
      <c r="F2719" t="s">
        <v>31363</v>
      </c>
      <c r="G2719" t="s">
        <v>31370</v>
      </c>
      <c r="H2719" t="s">
        <v>15799</v>
      </c>
      <c r="I2719" t="s">
        <v>31387</v>
      </c>
      <c r="J2719" t="s">
        <v>33361</v>
      </c>
      <c r="K2719" t="s">
        <v>40666</v>
      </c>
      <c r="M2719" t="s">
        <v>42035</v>
      </c>
      <c r="N2719" t="s">
        <v>44905</v>
      </c>
      <c r="O2719" t="s">
        <v>44906</v>
      </c>
      <c r="P2719">
        <v>0</v>
      </c>
      <c r="Q2719">
        <v>1</v>
      </c>
      <c r="R2719" t="s">
        <v>44908</v>
      </c>
      <c r="S2719" t="s">
        <v>45042</v>
      </c>
      <c r="T2719" t="s">
        <v>46534</v>
      </c>
      <c r="U2719" t="s">
        <v>49166</v>
      </c>
      <c r="W2719" t="s">
        <v>42035</v>
      </c>
      <c r="X2719" t="s">
        <v>44909</v>
      </c>
    </row>
    <row r="2720" spans="1:24">
      <c r="A2720">
        <f>HYPERLINK("https://www.philgeps.gov.ph/GEPSNONPILOT/Tender/SplashBidNoticeAbstractUI.aspx?menuIndex=3&amp;refID=7078935&amp;Result=3","7078935")</f>
        <v>0</v>
      </c>
      <c r="B2720" t="s">
        <v>207</v>
      </c>
      <c r="C2720" t="s">
        <v>6133</v>
      </c>
      <c r="D2720" t="s">
        <v>18127</v>
      </c>
      <c r="E2720" t="s">
        <v>20681</v>
      </c>
      <c r="F2720" t="s">
        <v>31362</v>
      </c>
      <c r="G2720" t="s">
        <v>31368</v>
      </c>
      <c r="H2720" t="s">
        <v>15799</v>
      </c>
      <c r="I2720" t="s">
        <v>31380</v>
      </c>
      <c r="J2720" t="s">
        <v>32026</v>
      </c>
      <c r="K2720" t="s">
        <v>40662</v>
      </c>
      <c r="M2720" t="s">
        <v>41146</v>
      </c>
      <c r="N2720" t="s">
        <v>44905</v>
      </c>
      <c r="O2720" t="s">
        <v>44906</v>
      </c>
      <c r="P2720">
        <v>0</v>
      </c>
      <c r="Q2720">
        <v>4</v>
      </c>
      <c r="R2720" t="s">
        <v>44908</v>
      </c>
      <c r="S2720" t="s">
        <v>45042</v>
      </c>
      <c r="T2720" t="s">
        <v>46425</v>
      </c>
      <c r="U2720" t="s">
        <v>49167</v>
      </c>
      <c r="W2720" t="s">
        <v>41146</v>
      </c>
      <c r="X2720" t="s">
        <v>44909</v>
      </c>
    </row>
    <row r="2721" spans="1:24">
      <c r="A2721">
        <f>HYPERLINK("https://www.philgeps.gov.ph/GEPSNONPILOT/Tender/SplashBidNoticeAbstractUI.aspx?menuIndex=3&amp;refID=7078934&amp;Result=3","7078934")</f>
        <v>0</v>
      </c>
      <c r="B2721" t="s">
        <v>428</v>
      </c>
      <c r="C2721" t="s">
        <v>6134</v>
      </c>
      <c r="D2721" t="s">
        <v>18148</v>
      </c>
      <c r="E2721" t="s">
        <v>20682</v>
      </c>
      <c r="F2721" t="s">
        <v>31362</v>
      </c>
      <c r="G2721" t="s">
        <v>31370</v>
      </c>
      <c r="H2721" t="s">
        <v>15799</v>
      </c>
      <c r="I2721" t="s">
        <v>31415</v>
      </c>
      <c r="J2721" t="s">
        <v>31648</v>
      </c>
      <c r="K2721" t="s">
        <v>40697</v>
      </c>
      <c r="M2721" t="s">
        <v>41379</v>
      </c>
      <c r="N2721" t="s">
        <v>44905</v>
      </c>
      <c r="O2721" t="s">
        <v>44906</v>
      </c>
      <c r="P2721">
        <v>0</v>
      </c>
      <c r="Q2721">
        <v>4</v>
      </c>
      <c r="R2721" t="s">
        <v>44908</v>
      </c>
      <c r="S2721" t="s">
        <v>45042</v>
      </c>
      <c r="T2721" t="s">
        <v>46406</v>
      </c>
      <c r="U2721" t="s">
        <v>49168</v>
      </c>
      <c r="W2721" t="s">
        <v>41379</v>
      </c>
      <c r="X2721" t="s">
        <v>44909</v>
      </c>
    </row>
    <row r="2722" spans="1:24">
      <c r="A2722">
        <f>HYPERLINK("https://www.philgeps.gov.ph/GEPSNONPILOT/Tender/SplashBidNoticeAbstractUI.aspx?menuIndex=3&amp;refID=7078931&amp;Result=3","7078931")</f>
        <v>0</v>
      </c>
      <c r="B2722" t="s">
        <v>292</v>
      </c>
      <c r="C2722" t="s">
        <v>6135</v>
      </c>
      <c r="D2722" t="s">
        <v>18143</v>
      </c>
      <c r="E2722" t="s">
        <v>20683</v>
      </c>
      <c r="F2722" t="s">
        <v>31362</v>
      </c>
      <c r="G2722" t="s">
        <v>31369</v>
      </c>
      <c r="H2722" t="s">
        <v>31378</v>
      </c>
      <c r="I2722" t="s">
        <v>31386</v>
      </c>
      <c r="J2722" t="s">
        <v>33362</v>
      </c>
      <c r="K2722" t="s">
        <v>40746</v>
      </c>
      <c r="M2722" t="s">
        <v>41235</v>
      </c>
      <c r="N2722" t="s">
        <v>44905</v>
      </c>
      <c r="O2722" t="s">
        <v>44906</v>
      </c>
      <c r="P2722">
        <v>0</v>
      </c>
      <c r="Q2722">
        <v>0</v>
      </c>
      <c r="R2722" t="s">
        <v>44908</v>
      </c>
      <c r="S2722" t="s">
        <v>45042</v>
      </c>
      <c r="T2722" t="s">
        <v>46483</v>
      </c>
      <c r="U2722" t="s">
        <v>49169</v>
      </c>
      <c r="W2722" t="s">
        <v>41235</v>
      </c>
      <c r="X2722" t="s">
        <v>44909</v>
      </c>
    </row>
    <row r="2723" spans="1:24">
      <c r="A2723">
        <f>HYPERLINK("https://www.philgeps.gov.ph/GEPSNONPILOT/Tender/SplashBidNoticeAbstractUI.aspx?menuIndex=3&amp;refID=7078930&amp;Result=3","7078930")</f>
        <v>0</v>
      </c>
      <c r="B2723" t="s">
        <v>1037</v>
      </c>
      <c r="C2723" t="s">
        <v>6136</v>
      </c>
      <c r="D2723" t="s">
        <v>18146</v>
      </c>
      <c r="E2723" t="s">
        <v>20684</v>
      </c>
      <c r="F2723" t="s">
        <v>31362</v>
      </c>
      <c r="G2723" t="s">
        <v>31372</v>
      </c>
      <c r="H2723" t="s">
        <v>15799</v>
      </c>
      <c r="I2723" t="s">
        <v>31396</v>
      </c>
      <c r="J2723" t="s">
        <v>31578</v>
      </c>
      <c r="K2723" t="s">
        <v>40682</v>
      </c>
      <c r="M2723" t="s">
        <v>42036</v>
      </c>
      <c r="N2723" t="s">
        <v>44905</v>
      </c>
      <c r="O2723" t="s">
        <v>44906</v>
      </c>
      <c r="P2723">
        <v>0</v>
      </c>
      <c r="Q2723">
        <v>3</v>
      </c>
      <c r="R2723" t="s">
        <v>44908</v>
      </c>
      <c r="S2723" t="s">
        <v>45042</v>
      </c>
      <c r="T2723" t="s">
        <v>46520</v>
      </c>
      <c r="U2723" t="s">
        <v>49170</v>
      </c>
      <c r="V2723" t="s">
        <v>59351</v>
      </c>
      <c r="W2723" t="s">
        <v>42036</v>
      </c>
      <c r="X2723" t="s">
        <v>44909</v>
      </c>
    </row>
    <row r="2724" spans="1:24">
      <c r="A2724">
        <f>HYPERLINK("https://www.philgeps.gov.ph/GEPSNONPILOT/Tender/SplashBidNoticeAbstractUI.aspx?menuIndex=3&amp;refID=7078837&amp;Result=3","7078837")</f>
        <v>0</v>
      </c>
      <c r="B2724" t="s">
        <v>1038</v>
      </c>
      <c r="C2724" t="s">
        <v>6137</v>
      </c>
      <c r="D2724" t="s">
        <v>18106</v>
      </c>
      <c r="E2724" t="s">
        <v>20685</v>
      </c>
      <c r="F2724" t="s">
        <v>31362</v>
      </c>
      <c r="G2724" t="s">
        <v>31368</v>
      </c>
      <c r="H2724" t="s">
        <v>15799</v>
      </c>
      <c r="I2724" t="s">
        <v>31433</v>
      </c>
      <c r="J2724" t="s">
        <v>31915</v>
      </c>
      <c r="K2724" t="s">
        <v>40661</v>
      </c>
      <c r="M2724" t="s">
        <v>42037</v>
      </c>
      <c r="N2724" t="s">
        <v>44905</v>
      </c>
      <c r="O2724" t="s">
        <v>44906</v>
      </c>
      <c r="P2724">
        <v>0</v>
      </c>
      <c r="Q2724">
        <v>0</v>
      </c>
      <c r="R2724" t="s">
        <v>44908</v>
      </c>
      <c r="S2724" t="s">
        <v>45042</v>
      </c>
      <c r="T2724" t="s">
        <v>46409</v>
      </c>
      <c r="U2724" t="s">
        <v>49171</v>
      </c>
      <c r="W2724" t="s">
        <v>42037</v>
      </c>
      <c r="X2724" t="s">
        <v>44909</v>
      </c>
    </row>
    <row r="2725" spans="1:24">
      <c r="A2725">
        <f>HYPERLINK("https://www.philgeps.gov.ph/GEPSNONPILOT/Tender/SplashBidNoticeAbstractUI.aspx?menuIndex=3&amp;refID=7078929&amp;Result=3","7078929")</f>
        <v>0</v>
      </c>
      <c r="B2725" t="s">
        <v>966</v>
      </c>
      <c r="C2725" t="s">
        <v>6138</v>
      </c>
      <c r="D2725" t="s">
        <v>18103</v>
      </c>
      <c r="E2725" t="s">
        <v>20686</v>
      </c>
      <c r="F2725" t="s">
        <v>31362</v>
      </c>
      <c r="G2725" t="s">
        <v>31368</v>
      </c>
      <c r="H2725" t="s">
        <v>15799</v>
      </c>
      <c r="I2725" t="s">
        <v>31380</v>
      </c>
      <c r="J2725" t="s">
        <v>33363</v>
      </c>
      <c r="K2725" t="s">
        <v>40661</v>
      </c>
      <c r="M2725" t="s">
        <v>41956</v>
      </c>
      <c r="N2725" t="s">
        <v>44905</v>
      </c>
      <c r="O2725" t="s">
        <v>44906</v>
      </c>
      <c r="P2725">
        <v>0</v>
      </c>
      <c r="Q2725">
        <v>8</v>
      </c>
      <c r="R2725" t="s">
        <v>44908</v>
      </c>
      <c r="S2725" t="s">
        <v>45042</v>
      </c>
      <c r="T2725" t="s">
        <v>46454</v>
      </c>
      <c r="U2725" t="s">
        <v>49172</v>
      </c>
      <c r="V2725" t="s">
        <v>59312</v>
      </c>
      <c r="W2725" t="s">
        <v>41956</v>
      </c>
      <c r="X2725" t="s">
        <v>44909</v>
      </c>
    </row>
    <row r="2726" spans="1:24">
      <c r="A2726">
        <f>HYPERLINK("https://www.philgeps.gov.ph/GEPSNONPILOT/Tender/SplashBidNoticeAbstractUI.aspx?menuIndex=3&amp;refID=7078889&amp;Result=3","7078889")</f>
        <v>0</v>
      </c>
      <c r="B2726" t="s">
        <v>1039</v>
      </c>
      <c r="C2726" t="s">
        <v>6139</v>
      </c>
      <c r="D2726" t="s">
        <v>18101</v>
      </c>
      <c r="E2726" t="s">
        <v>20687</v>
      </c>
      <c r="F2726" t="s">
        <v>31362</v>
      </c>
      <c r="G2726" t="s">
        <v>31370</v>
      </c>
      <c r="H2726" t="s">
        <v>15799</v>
      </c>
      <c r="I2726" t="s">
        <v>4942</v>
      </c>
      <c r="J2726" t="s">
        <v>33364</v>
      </c>
      <c r="K2726" t="s">
        <v>40697</v>
      </c>
      <c r="M2726" t="s">
        <v>42038</v>
      </c>
      <c r="N2726" t="s">
        <v>44905</v>
      </c>
      <c r="O2726" t="s">
        <v>44906</v>
      </c>
      <c r="P2726">
        <v>0</v>
      </c>
      <c r="Q2726">
        <v>0</v>
      </c>
      <c r="R2726" t="s">
        <v>44908</v>
      </c>
      <c r="S2726" t="s">
        <v>45042</v>
      </c>
      <c r="T2726" t="s">
        <v>46410</v>
      </c>
      <c r="U2726" t="s">
        <v>49173</v>
      </c>
      <c r="V2726" t="s">
        <v>59352</v>
      </c>
      <c r="W2726" t="s">
        <v>42038</v>
      </c>
      <c r="X2726" t="s">
        <v>44909</v>
      </c>
    </row>
    <row r="2727" spans="1:24">
      <c r="A2727">
        <f>HYPERLINK("https://www.philgeps.gov.ph/GEPSNONPILOT/Tender/SplashBidNoticeAbstractUI.aspx?menuIndex=3&amp;refID=7078939&amp;Result=3","7078939")</f>
        <v>0</v>
      </c>
      <c r="B2727" t="s">
        <v>1040</v>
      </c>
      <c r="C2727" t="s">
        <v>4462</v>
      </c>
      <c r="D2727" t="s">
        <v>18111</v>
      </c>
      <c r="E2727" t="s">
        <v>20688</v>
      </c>
      <c r="F2727" t="s">
        <v>31362</v>
      </c>
      <c r="G2727" t="s">
        <v>31370</v>
      </c>
      <c r="H2727" t="s">
        <v>15799</v>
      </c>
      <c r="I2727" t="s">
        <v>6373</v>
      </c>
      <c r="J2727" t="s">
        <v>33365</v>
      </c>
      <c r="K2727" t="s">
        <v>40670</v>
      </c>
      <c r="M2727" t="s">
        <v>42039</v>
      </c>
      <c r="N2727" t="s">
        <v>44905</v>
      </c>
      <c r="O2727" t="s">
        <v>44906</v>
      </c>
      <c r="P2727">
        <v>0</v>
      </c>
      <c r="Q2727">
        <v>2</v>
      </c>
      <c r="R2727" t="s">
        <v>44908</v>
      </c>
      <c r="S2727" t="s">
        <v>45042</v>
      </c>
      <c r="T2727" t="s">
        <v>46443</v>
      </c>
      <c r="U2727" t="s">
        <v>47761</v>
      </c>
      <c r="W2727" t="s">
        <v>42039</v>
      </c>
      <c r="X2727" t="s">
        <v>44909</v>
      </c>
    </row>
    <row r="2728" spans="1:24">
      <c r="A2728">
        <f>HYPERLINK("https://www.philgeps.gov.ph/GEPSNONPILOT/Tender/SplashBidNoticeAbstractUI.aspx?menuIndex=3&amp;refID=7078897&amp;Result=3","7078897")</f>
        <v>0</v>
      </c>
      <c r="B2728" t="s">
        <v>1034</v>
      </c>
      <c r="C2728" t="s">
        <v>4462</v>
      </c>
      <c r="D2728" t="s">
        <v>18111</v>
      </c>
      <c r="E2728" t="s">
        <v>20689</v>
      </c>
      <c r="F2728" t="s">
        <v>31362</v>
      </c>
      <c r="G2728" t="s">
        <v>31370</v>
      </c>
      <c r="H2728" t="s">
        <v>15799</v>
      </c>
      <c r="I2728" t="s">
        <v>6373</v>
      </c>
      <c r="J2728" t="s">
        <v>32443</v>
      </c>
      <c r="K2728" t="s">
        <v>40670</v>
      </c>
      <c r="M2728" t="s">
        <v>42033</v>
      </c>
      <c r="N2728" t="s">
        <v>44905</v>
      </c>
      <c r="O2728" t="s">
        <v>44906</v>
      </c>
      <c r="P2728">
        <v>0</v>
      </c>
      <c r="Q2728">
        <v>6</v>
      </c>
      <c r="R2728" t="s">
        <v>44908</v>
      </c>
      <c r="S2728" t="s">
        <v>45042</v>
      </c>
      <c r="T2728" t="s">
        <v>46443</v>
      </c>
      <c r="U2728" t="s">
        <v>47761</v>
      </c>
      <c r="W2728" t="s">
        <v>42033</v>
      </c>
      <c r="X2728" t="s">
        <v>44909</v>
      </c>
    </row>
    <row r="2729" spans="1:24">
      <c r="A2729">
        <f>HYPERLINK("https://www.philgeps.gov.ph/GEPSNONPILOT/Tender/SplashBidNoticeAbstractUI.aspx?menuIndex=3&amp;refID=7078938&amp;Result=3","7078938")</f>
        <v>0</v>
      </c>
      <c r="B2729" t="s">
        <v>1041</v>
      </c>
      <c r="C2729" t="s">
        <v>6140</v>
      </c>
      <c r="D2729" t="s">
        <v>18108</v>
      </c>
      <c r="E2729" t="s">
        <v>20690</v>
      </c>
      <c r="F2729" t="s">
        <v>31362</v>
      </c>
      <c r="G2729" t="s">
        <v>31371</v>
      </c>
      <c r="H2729" t="s">
        <v>15799</v>
      </c>
      <c r="I2729" t="s">
        <v>31422</v>
      </c>
      <c r="J2729" t="s">
        <v>33366</v>
      </c>
      <c r="K2729" t="s">
        <v>40666</v>
      </c>
      <c r="M2729" t="s">
        <v>42040</v>
      </c>
      <c r="N2729" t="s">
        <v>44905</v>
      </c>
      <c r="O2729" t="s">
        <v>44906</v>
      </c>
      <c r="P2729">
        <v>0</v>
      </c>
      <c r="Q2729">
        <v>15</v>
      </c>
      <c r="R2729" t="s">
        <v>44908</v>
      </c>
      <c r="S2729" t="s">
        <v>45042</v>
      </c>
      <c r="T2729" t="s">
        <v>46454</v>
      </c>
      <c r="U2729" t="s">
        <v>49174</v>
      </c>
      <c r="V2729" t="s">
        <v>59353</v>
      </c>
      <c r="W2729" t="s">
        <v>42040</v>
      </c>
      <c r="X2729" t="s">
        <v>44909</v>
      </c>
    </row>
    <row r="2730" spans="1:24">
      <c r="A2730">
        <f>HYPERLINK("https://www.philgeps.gov.ph/GEPSNONPILOT/Tender/SplashBidNoticeAbstractUI.aspx?menuIndex=3&amp;refID=7078928&amp;Result=3","7078928")</f>
        <v>0</v>
      </c>
      <c r="B2730" t="s">
        <v>982</v>
      </c>
      <c r="C2730" t="s">
        <v>6141</v>
      </c>
      <c r="D2730" t="s">
        <v>18106</v>
      </c>
      <c r="E2730" t="s">
        <v>20691</v>
      </c>
      <c r="F2730" t="s">
        <v>31362</v>
      </c>
      <c r="G2730" t="s">
        <v>31368</v>
      </c>
      <c r="H2730" t="s">
        <v>15799</v>
      </c>
      <c r="I2730" t="s">
        <v>3815</v>
      </c>
      <c r="J2730" t="s">
        <v>33367</v>
      </c>
      <c r="K2730" t="s">
        <v>40672</v>
      </c>
      <c r="M2730" t="s">
        <v>41974</v>
      </c>
      <c r="N2730" t="s">
        <v>44905</v>
      </c>
      <c r="O2730" t="s">
        <v>44906</v>
      </c>
      <c r="P2730">
        <v>0</v>
      </c>
      <c r="Q2730">
        <v>1</v>
      </c>
      <c r="R2730" t="s">
        <v>44908</v>
      </c>
      <c r="S2730" t="s">
        <v>45042</v>
      </c>
      <c r="T2730" t="s">
        <v>46409</v>
      </c>
      <c r="U2730" t="s">
        <v>49018</v>
      </c>
      <c r="W2730" t="s">
        <v>41974</v>
      </c>
      <c r="X2730" t="s">
        <v>44909</v>
      </c>
    </row>
    <row r="2731" spans="1:24">
      <c r="A2731">
        <f>HYPERLINK("https://www.philgeps.gov.ph/GEPSNONPILOT/Tender/SplashBidNoticeAbstractUI.aspx?menuIndex=3&amp;refID=7078933&amp;Result=3","7078933")</f>
        <v>0</v>
      </c>
      <c r="B2731" t="s">
        <v>1042</v>
      </c>
      <c r="C2731" t="s">
        <v>6142</v>
      </c>
      <c r="D2731" t="s">
        <v>18158</v>
      </c>
      <c r="E2731" t="s">
        <v>20692</v>
      </c>
      <c r="F2731" t="s">
        <v>31362</v>
      </c>
      <c r="G2731" t="s">
        <v>31369</v>
      </c>
      <c r="H2731" t="s">
        <v>15799</v>
      </c>
      <c r="I2731" t="s">
        <v>31385</v>
      </c>
      <c r="J2731" t="s">
        <v>33368</v>
      </c>
      <c r="K2731" t="s">
        <v>40665</v>
      </c>
      <c r="M2731" t="s">
        <v>42041</v>
      </c>
      <c r="N2731" t="s">
        <v>44905</v>
      </c>
      <c r="O2731" t="s">
        <v>44906</v>
      </c>
      <c r="P2731">
        <v>0</v>
      </c>
      <c r="Q2731">
        <v>1</v>
      </c>
      <c r="R2731" t="s">
        <v>44908</v>
      </c>
      <c r="S2731" t="s">
        <v>45042</v>
      </c>
      <c r="T2731" t="s">
        <v>46426</v>
      </c>
      <c r="U2731" t="s">
        <v>49175</v>
      </c>
      <c r="W2731" t="s">
        <v>42041</v>
      </c>
      <c r="X2731" t="s">
        <v>44909</v>
      </c>
    </row>
    <row r="2732" spans="1:24">
      <c r="A2732">
        <f>HYPERLINK("https://www.philgeps.gov.ph/GEPSNONPILOT/Tender/SplashBidNoticeAbstractUI.aspx?menuIndex=3&amp;refID=7078475&amp;Result=3","7078475")</f>
        <v>0</v>
      </c>
      <c r="B2732" t="s">
        <v>886</v>
      </c>
      <c r="C2732" t="s">
        <v>6143</v>
      </c>
      <c r="E2732" t="s">
        <v>20693</v>
      </c>
      <c r="F2732" t="s">
        <v>31362</v>
      </c>
      <c r="G2732" t="s">
        <v>31368</v>
      </c>
      <c r="H2732" t="s">
        <v>15799</v>
      </c>
      <c r="I2732" t="s">
        <v>31456</v>
      </c>
      <c r="J2732" t="s">
        <v>33369</v>
      </c>
      <c r="K2732" t="s">
        <v>40662</v>
      </c>
      <c r="M2732" t="s">
        <v>41970</v>
      </c>
      <c r="N2732" t="s">
        <v>44905</v>
      </c>
      <c r="O2732" t="s">
        <v>44906</v>
      </c>
      <c r="P2732">
        <v>0</v>
      </c>
      <c r="Q2732">
        <v>6</v>
      </c>
      <c r="R2732" t="s">
        <v>44908</v>
      </c>
      <c r="S2732" t="s">
        <v>45042</v>
      </c>
      <c r="T2732" t="s">
        <v>46498</v>
      </c>
      <c r="U2732" t="s">
        <v>49176</v>
      </c>
      <c r="W2732" t="s">
        <v>41970</v>
      </c>
      <c r="X2732" t="s">
        <v>44910</v>
      </c>
    </row>
    <row r="2733" spans="1:24">
      <c r="A2733">
        <f>HYPERLINK("https://www.philgeps.gov.ph/GEPSNONPILOT/Tender/SplashBidNoticeAbstractUI.aspx?menuIndex=3&amp;refID=7078923&amp;Result=3","7078923")</f>
        <v>0</v>
      </c>
      <c r="B2733" t="s">
        <v>1040</v>
      </c>
      <c r="C2733" t="s">
        <v>4337</v>
      </c>
      <c r="D2733" t="s">
        <v>18111</v>
      </c>
      <c r="E2733" t="s">
        <v>20694</v>
      </c>
      <c r="F2733" t="s">
        <v>31362</v>
      </c>
      <c r="G2733" t="s">
        <v>31370</v>
      </c>
      <c r="H2733" t="s">
        <v>15799</v>
      </c>
      <c r="I2733" t="s">
        <v>31387</v>
      </c>
      <c r="J2733" t="s">
        <v>33370</v>
      </c>
      <c r="K2733" t="s">
        <v>40670</v>
      </c>
      <c r="M2733" t="s">
        <v>42039</v>
      </c>
      <c r="N2733" t="s">
        <v>44905</v>
      </c>
      <c r="O2733" t="s">
        <v>44906</v>
      </c>
      <c r="P2733">
        <v>0</v>
      </c>
      <c r="Q2733">
        <v>1</v>
      </c>
      <c r="R2733" t="s">
        <v>44908</v>
      </c>
      <c r="S2733" t="s">
        <v>45042</v>
      </c>
      <c r="T2733" t="s">
        <v>46443</v>
      </c>
      <c r="U2733" t="s">
        <v>47653</v>
      </c>
      <c r="W2733" t="s">
        <v>42039</v>
      </c>
      <c r="X2733" t="s">
        <v>44909</v>
      </c>
    </row>
    <row r="2734" spans="1:24">
      <c r="A2734">
        <f>HYPERLINK("https://www.philgeps.gov.ph/GEPSNONPILOT/Tender/SplashBidNoticeAbstractUI.aspx?menuIndex=3&amp;refID=7078920&amp;Result=3","7078920")</f>
        <v>0</v>
      </c>
      <c r="B2734" t="s">
        <v>244</v>
      </c>
      <c r="C2734" t="s">
        <v>6144</v>
      </c>
      <c r="D2734" t="s">
        <v>18160</v>
      </c>
      <c r="E2734" t="s">
        <v>20695</v>
      </c>
      <c r="F2734" t="s">
        <v>31362</v>
      </c>
      <c r="G2734" t="s">
        <v>31369</v>
      </c>
      <c r="H2734" t="s">
        <v>15799</v>
      </c>
      <c r="I2734" t="s">
        <v>31415</v>
      </c>
      <c r="J2734" t="s">
        <v>33371</v>
      </c>
      <c r="K2734" t="s">
        <v>40666</v>
      </c>
      <c r="L2734" t="s">
        <v>244</v>
      </c>
      <c r="M2734" t="s">
        <v>41183</v>
      </c>
      <c r="N2734" t="s">
        <v>44905</v>
      </c>
      <c r="O2734" t="s">
        <v>44906</v>
      </c>
      <c r="P2734">
        <v>0</v>
      </c>
      <c r="Q2734">
        <v>2</v>
      </c>
      <c r="R2734" t="s">
        <v>44908</v>
      </c>
      <c r="S2734" t="s">
        <v>45042</v>
      </c>
      <c r="T2734" t="s">
        <v>46608</v>
      </c>
      <c r="U2734" t="s">
        <v>49177</v>
      </c>
      <c r="W2734" t="s">
        <v>41183</v>
      </c>
      <c r="X2734" t="s">
        <v>44909</v>
      </c>
    </row>
    <row r="2735" spans="1:24">
      <c r="A2735">
        <f>HYPERLINK("https://www.philgeps.gov.ph/GEPSNONPILOT/Tender/SplashBidNoticeAbstractUI.aspx?menuIndex=3&amp;refID=7078916&amp;Result=3","7078916")</f>
        <v>0</v>
      </c>
      <c r="B2735" t="s">
        <v>1043</v>
      </c>
      <c r="C2735" t="s">
        <v>6145</v>
      </c>
      <c r="D2735" t="s">
        <v>18153</v>
      </c>
      <c r="E2735" t="s">
        <v>20696</v>
      </c>
      <c r="F2735" t="s">
        <v>31362</v>
      </c>
      <c r="G2735" t="s">
        <v>31369</v>
      </c>
      <c r="H2735" t="s">
        <v>31378</v>
      </c>
      <c r="I2735" t="s">
        <v>31386</v>
      </c>
      <c r="J2735" t="s">
        <v>33372</v>
      </c>
      <c r="K2735" t="s">
        <v>40678</v>
      </c>
      <c r="M2735" t="s">
        <v>42042</v>
      </c>
      <c r="N2735" t="s">
        <v>44905</v>
      </c>
      <c r="O2735" t="s">
        <v>44906</v>
      </c>
      <c r="P2735">
        <v>0</v>
      </c>
      <c r="Q2735">
        <v>0</v>
      </c>
      <c r="R2735" t="s">
        <v>44908</v>
      </c>
      <c r="S2735" t="s">
        <v>45042</v>
      </c>
      <c r="T2735" t="s">
        <v>46555</v>
      </c>
      <c r="U2735" t="s">
        <v>49178</v>
      </c>
      <c r="W2735" t="s">
        <v>42042</v>
      </c>
      <c r="X2735" t="s">
        <v>44909</v>
      </c>
    </row>
    <row r="2736" spans="1:24">
      <c r="A2736">
        <f>HYPERLINK("https://www.philgeps.gov.ph/GEPSNONPILOT/Tender/SplashBidNoticeAbstractUI.aspx?menuIndex=3&amp;refID=7078936&amp;Result=3","7078936")</f>
        <v>0</v>
      </c>
      <c r="B2736" t="s">
        <v>72</v>
      </c>
      <c r="C2736" t="s">
        <v>6146</v>
      </c>
      <c r="D2736" t="s">
        <v>18130</v>
      </c>
      <c r="E2736" t="s">
        <v>20697</v>
      </c>
      <c r="F2736" t="s">
        <v>31362</v>
      </c>
      <c r="G2736" t="s">
        <v>31368</v>
      </c>
      <c r="H2736" t="s">
        <v>15799</v>
      </c>
      <c r="I2736" t="s">
        <v>7719</v>
      </c>
      <c r="J2736" t="s">
        <v>31734</v>
      </c>
      <c r="K2736" t="s">
        <v>40666</v>
      </c>
      <c r="M2736" t="s">
        <v>41008</v>
      </c>
      <c r="N2736" t="s">
        <v>44905</v>
      </c>
      <c r="O2736" t="s">
        <v>44906</v>
      </c>
      <c r="P2736">
        <v>0</v>
      </c>
      <c r="Q2736">
        <v>5</v>
      </c>
      <c r="R2736" t="s">
        <v>44908</v>
      </c>
      <c r="S2736" t="s">
        <v>45042</v>
      </c>
      <c r="T2736" t="s">
        <v>46428</v>
      </c>
      <c r="U2736" t="s">
        <v>49179</v>
      </c>
      <c r="W2736" t="s">
        <v>41008</v>
      </c>
      <c r="X2736" t="s">
        <v>44909</v>
      </c>
    </row>
    <row r="2737" spans="1:24">
      <c r="A2737">
        <f>HYPERLINK("https://www.philgeps.gov.ph/GEPSNONPILOT/Tender/SplashBidNoticeAbstractUI.aspx?menuIndex=3&amp;refID=7078885&amp;Result=3","7078885")</f>
        <v>0</v>
      </c>
      <c r="B2737" t="s">
        <v>214</v>
      </c>
      <c r="C2737" t="s">
        <v>6147</v>
      </c>
      <c r="D2737" t="s">
        <v>18158</v>
      </c>
      <c r="E2737" t="s">
        <v>20698</v>
      </c>
      <c r="F2737" t="s">
        <v>31362</v>
      </c>
      <c r="G2737" t="s">
        <v>31368</v>
      </c>
      <c r="H2737" t="s">
        <v>15799</v>
      </c>
      <c r="I2737" t="s">
        <v>31380</v>
      </c>
      <c r="J2737" t="s">
        <v>33373</v>
      </c>
      <c r="K2737" t="s">
        <v>40666</v>
      </c>
      <c r="M2737" t="s">
        <v>41153</v>
      </c>
      <c r="N2737" t="s">
        <v>44905</v>
      </c>
      <c r="O2737" t="s">
        <v>44906</v>
      </c>
      <c r="P2737">
        <v>0</v>
      </c>
      <c r="Q2737">
        <v>2</v>
      </c>
      <c r="R2737" t="s">
        <v>44908</v>
      </c>
      <c r="S2737" t="s">
        <v>45042</v>
      </c>
      <c r="T2737" t="s">
        <v>46478</v>
      </c>
      <c r="U2737" t="s">
        <v>49180</v>
      </c>
      <c r="W2737" t="s">
        <v>41153</v>
      </c>
      <c r="X2737" t="s">
        <v>44909</v>
      </c>
    </row>
    <row r="2738" spans="1:24">
      <c r="A2738">
        <f>HYPERLINK("https://www.philgeps.gov.ph/GEPSNONPILOT/Tender/SplashBidNoticeAbstractUI.aspx?menuIndex=3&amp;refID=7078922&amp;Result=3","7078922")</f>
        <v>0</v>
      </c>
      <c r="B2738" t="s">
        <v>1044</v>
      </c>
      <c r="C2738" t="s">
        <v>6148</v>
      </c>
      <c r="D2738" t="s">
        <v>18100</v>
      </c>
      <c r="E2738" t="s">
        <v>18464</v>
      </c>
      <c r="F2738" t="s">
        <v>31362</v>
      </c>
      <c r="G2738" t="s">
        <v>31368</v>
      </c>
      <c r="H2738" t="s">
        <v>15799</v>
      </c>
      <c r="I2738" t="s">
        <v>31385</v>
      </c>
      <c r="J2738" t="s">
        <v>33374</v>
      </c>
      <c r="K2738" t="s">
        <v>40666</v>
      </c>
      <c r="M2738" t="s">
        <v>42043</v>
      </c>
      <c r="N2738" t="s">
        <v>44905</v>
      </c>
      <c r="O2738" t="s">
        <v>44906</v>
      </c>
      <c r="P2738">
        <v>0</v>
      </c>
      <c r="Q2738">
        <v>2</v>
      </c>
      <c r="R2738" t="s">
        <v>44908</v>
      </c>
      <c r="S2738" t="s">
        <v>45042</v>
      </c>
      <c r="T2738" t="s">
        <v>46629</v>
      </c>
      <c r="U2738" t="s">
        <v>49181</v>
      </c>
      <c r="W2738" t="s">
        <v>42043</v>
      </c>
      <c r="X2738" t="s">
        <v>44909</v>
      </c>
    </row>
    <row r="2739" spans="1:24">
      <c r="A2739">
        <f>HYPERLINK("https://www.philgeps.gov.ph/GEPSNONPILOT/Tender/SplashBidNoticeAbstractUI.aspx?menuIndex=3&amp;refID=7078919&amp;Result=3","7078919")</f>
        <v>0</v>
      </c>
      <c r="B2739" t="s">
        <v>292</v>
      </c>
      <c r="C2739" t="s">
        <v>6149</v>
      </c>
      <c r="D2739" t="s">
        <v>18143</v>
      </c>
      <c r="E2739" t="s">
        <v>20699</v>
      </c>
      <c r="F2739" t="s">
        <v>31362</v>
      </c>
      <c r="G2739" t="s">
        <v>31369</v>
      </c>
      <c r="H2739" t="s">
        <v>31378</v>
      </c>
      <c r="I2739" t="s">
        <v>31386</v>
      </c>
      <c r="J2739" t="s">
        <v>33375</v>
      </c>
      <c r="K2739" t="s">
        <v>40711</v>
      </c>
      <c r="M2739" t="s">
        <v>41235</v>
      </c>
      <c r="N2739" t="s">
        <v>44905</v>
      </c>
      <c r="O2739" t="s">
        <v>44906</v>
      </c>
      <c r="P2739">
        <v>0</v>
      </c>
      <c r="Q2739">
        <v>0</v>
      </c>
      <c r="R2739" t="s">
        <v>44908</v>
      </c>
      <c r="S2739" t="s">
        <v>45042</v>
      </c>
      <c r="T2739" t="s">
        <v>46483</v>
      </c>
      <c r="U2739" t="s">
        <v>49182</v>
      </c>
      <c r="W2739" t="s">
        <v>41235</v>
      </c>
      <c r="X2739" t="s">
        <v>44909</v>
      </c>
    </row>
    <row r="2740" spans="1:24">
      <c r="A2740">
        <f>HYPERLINK("https://www.philgeps.gov.ph/GEPSNONPILOT/Tender/SplashBidNoticeAbstractUI.aspx?menuIndex=3&amp;refID=7078924&amp;Result=3","7078924")</f>
        <v>0</v>
      </c>
      <c r="B2740" t="s">
        <v>1045</v>
      </c>
      <c r="C2740" t="s">
        <v>6150</v>
      </c>
      <c r="D2740" t="s">
        <v>18134</v>
      </c>
      <c r="E2740" t="s">
        <v>20700</v>
      </c>
      <c r="F2740" t="s">
        <v>31362</v>
      </c>
      <c r="G2740" t="s">
        <v>31369</v>
      </c>
      <c r="H2740" t="s">
        <v>31378</v>
      </c>
      <c r="I2740" t="s">
        <v>31386</v>
      </c>
      <c r="J2740" t="s">
        <v>32549</v>
      </c>
      <c r="K2740" t="s">
        <v>40749</v>
      </c>
      <c r="M2740" t="s">
        <v>42044</v>
      </c>
      <c r="N2740" t="s">
        <v>44905</v>
      </c>
      <c r="O2740" t="s">
        <v>44906</v>
      </c>
      <c r="P2740">
        <v>0</v>
      </c>
      <c r="Q2740">
        <v>0</v>
      </c>
      <c r="R2740" t="s">
        <v>44908</v>
      </c>
      <c r="S2740" t="s">
        <v>45042</v>
      </c>
      <c r="T2740" t="s">
        <v>46470</v>
      </c>
      <c r="U2740" t="s">
        <v>49183</v>
      </c>
      <c r="W2740" t="s">
        <v>42044</v>
      </c>
      <c r="X2740" t="s">
        <v>44909</v>
      </c>
    </row>
    <row r="2741" spans="1:24">
      <c r="A2741">
        <f>HYPERLINK("https://www.philgeps.gov.ph/GEPSNONPILOT/Tender/SplashBidNoticeAbstractUI.aspx?menuIndex=3&amp;refID=7078940&amp;Result=3","7078940")</f>
        <v>0</v>
      </c>
      <c r="B2741" t="s">
        <v>966</v>
      </c>
      <c r="C2741" t="s">
        <v>6151</v>
      </c>
      <c r="D2741" t="s">
        <v>18103</v>
      </c>
      <c r="E2741" t="s">
        <v>20701</v>
      </c>
      <c r="F2741" t="s">
        <v>31362</v>
      </c>
      <c r="G2741" t="s">
        <v>31368</v>
      </c>
      <c r="H2741" t="s">
        <v>15799</v>
      </c>
      <c r="I2741" t="s">
        <v>13635</v>
      </c>
      <c r="J2741" t="s">
        <v>33376</v>
      </c>
      <c r="K2741" t="s">
        <v>40661</v>
      </c>
      <c r="M2741" t="s">
        <v>41956</v>
      </c>
      <c r="N2741" t="s">
        <v>44905</v>
      </c>
      <c r="O2741" t="s">
        <v>44906</v>
      </c>
      <c r="P2741">
        <v>0</v>
      </c>
      <c r="Q2741">
        <v>9</v>
      </c>
      <c r="R2741" t="s">
        <v>44908</v>
      </c>
      <c r="S2741" t="s">
        <v>45042</v>
      </c>
      <c r="T2741" t="s">
        <v>46454</v>
      </c>
      <c r="U2741" t="s">
        <v>49184</v>
      </c>
      <c r="V2741" t="s">
        <v>59312</v>
      </c>
      <c r="W2741" t="s">
        <v>41956</v>
      </c>
      <c r="X2741" t="s">
        <v>44909</v>
      </c>
    </row>
    <row r="2742" spans="1:24">
      <c r="A2742">
        <f>HYPERLINK("https://www.philgeps.gov.ph/GEPSNONPILOT/Tender/SplashBidNoticeAbstractUI.aspx?menuIndex=3&amp;refID=7078957&amp;Result=3","7078957")</f>
        <v>0</v>
      </c>
      <c r="B2742" t="s">
        <v>1046</v>
      </c>
      <c r="C2742" t="s">
        <v>6152</v>
      </c>
      <c r="D2742" t="s">
        <v>18108</v>
      </c>
      <c r="E2742" t="s">
        <v>20702</v>
      </c>
      <c r="F2742" t="s">
        <v>31362</v>
      </c>
      <c r="G2742" t="s">
        <v>31369</v>
      </c>
      <c r="H2742" t="s">
        <v>31378</v>
      </c>
      <c r="I2742" t="s">
        <v>31386</v>
      </c>
      <c r="J2742" t="s">
        <v>33377</v>
      </c>
      <c r="K2742" t="s">
        <v>40683</v>
      </c>
      <c r="M2742" t="s">
        <v>42045</v>
      </c>
      <c r="N2742" t="s">
        <v>44905</v>
      </c>
      <c r="O2742" t="s">
        <v>44906</v>
      </c>
      <c r="P2742">
        <v>0</v>
      </c>
      <c r="Q2742">
        <v>4</v>
      </c>
      <c r="R2742" t="s">
        <v>44908</v>
      </c>
      <c r="S2742" t="s">
        <v>45042</v>
      </c>
      <c r="T2742" t="s">
        <v>46535</v>
      </c>
      <c r="U2742" t="s">
        <v>49185</v>
      </c>
      <c r="V2742" t="s">
        <v>59354</v>
      </c>
      <c r="W2742" t="s">
        <v>42045</v>
      </c>
      <c r="X2742" t="s">
        <v>44909</v>
      </c>
    </row>
    <row r="2743" spans="1:24">
      <c r="A2743">
        <f>HYPERLINK("https://www.philgeps.gov.ph/GEPSNONPILOT/Tender/SplashBidNoticeAbstractUI.aspx?menuIndex=3&amp;refID=7078952&amp;Result=3","7078952")</f>
        <v>0</v>
      </c>
      <c r="B2743" t="s">
        <v>31</v>
      </c>
      <c r="C2743" t="s">
        <v>3545</v>
      </c>
      <c r="D2743" t="s">
        <v>18105</v>
      </c>
      <c r="E2743" t="s">
        <v>20703</v>
      </c>
      <c r="F2743" t="s">
        <v>31362</v>
      </c>
      <c r="G2743" t="s">
        <v>31369</v>
      </c>
      <c r="H2743" t="s">
        <v>31378</v>
      </c>
      <c r="I2743" t="s">
        <v>31386</v>
      </c>
      <c r="J2743" t="s">
        <v>31531</v>
      </c>
      <c r="K2743" t="s">
        <v>40674</v>
      </c>
      <c r="M2743" t="s">
        <v>40965</v>
      </c>
      <c r="N2743" t="s">
        <v>44905</v>
      </c>
      <c r="O2743" t="s">
        <v>44906</v>
      </c>
      <c r="P2743">
        <v>0</v>
      </c>
      <c r="Q2743">
        <v>0</v>
      </c>
      <c r="R2743" t="s">
        <v>44908</v>
      </c>
      <c r="S2743" t="s">
        <v>45042</v>
      </c>
      <c r="T2743" t="s">
        <v>46470</v>
      </c>
      <c r="U2743" t="s">
        <v>49186</v>
      </c>
      <c r="W2743" t="s">
        <v>40965</v>
      </c>
      <c r="X2743" t="s">
        <v>44909</v>
      </c>
    </row>
    <row r="2744" spans="1:24">
      <c r="A2744">
        <f>HYPERLINK("https://www.philgeps.gov.ph/GEPSNONPILOT/Tender/SplashBidNoticeAbstractUI.aspx?menuIndex=3&amp;refID=7078925&amp;Result=3","7078925")</f>
        <v>0</v>
      </c>
      <c r="B2744" t="s">
        <v>1033</v>
      </c>
      <c r="C2744" t="s">
        <v>6153</v>
      </c>
      <c r="D2744" t="s">
        <v>18162</v>
      </c>
      <c r="E2744" t="s">
        <v>20704</v>
      </c>
      <c r="F2744" t="s">
        <v>31362</v>
      </c>
      <c r="G2744" t="s">
        <v>31369</v>
      </c>
      <c r="H2744" t="s">
        <v>15799</v>
      </c>
      <c r="I2744" t="s">
        <v>31385</v>
      </c>
      <c r="J2744" t="s">
        <v>33378</v>
      </c>
      <c r="K2744" t="s">
        <v>40670</v>
      </c>
      <c r="M2744" t="s">
        <v>42032</v>
      </c>
      <c r="N2744" t="s">
        <v>44905</v>
      </c>
      <c r="O2744" t="s">
        <v>44906</v>
      </c>
      <c r="P2744">
        <v>0</v>
      </c>
      <c r="Q2744">
        <v>0</v>
      </c>
      <c r="R2744" t="s">
        <v>44908</v>
      </c>
      <c r="S2744" t="s">
        <v>45042</v>
      </c>
      <c r="T2744" t="s">
        <v>46430</v>
      </c>
      <c r="U2744" t="s">
        <v>49187</v>
      </c>
      <c r="W2744" t="s">
        <v>42032</v>
      </c>
      <c r="X2744" t="s">
        <v>44909</v>
      </c>
    </row>
    <row r="2745" spans="1:24">
      <c r="A2745">
        <f>HYPERLINK("https://www.philgeps.gov.ph/GEPSNONPILOT/Tender/SplashBidNoticeAbstractUI.aspx?menuIndex=3&amp;refID=7078951&amp;Result=3","7078951")</f>
        <v>0</v>
      </c>
      <c r="B2745" t="s">
        <v>1040</v>
      </c>
      <c r="C2745" t="s">
        <v>4462</v>
      </c>
      <c r="D2745" t="s">
        <v>18111</v>
      </c>
      <c r="E2745" t="s">
        <v>20705</v>
      </c>
      <c r="F2745" t="s">
        <v>31362</v>
      </c>
      <c r="G2745" t="s">
        <v>31370</v>
      </c>
      <c r="H2745" t="s">
        <v>15799</v>
      </c>
      <c r="I2745" t="s">
        <v>6373</v>
      </c>
      <c r="J2745" t="s">
        <v>33370</v>
      </c>
      <c r="K2745" t="s">
        <v>40670</v>
      </c>
      <c r="M2745" t="s">
        <v>42039</v>
      </c>
      <c r="N2745" t="s">
        <v>44905</v>
      </c>
      <c r="O2745" t="s">
        <v>44906</v>
      </c>
      <c r="P2745">
        <v>0</v>
      </c>
      <c r="Q2745">
        <v>3</v>
      </c>
      <c r="R2745" t="s">
        <v>44908</v>
      </c>
      <c r="S2745" t="s">
        <v>45042</v>
      </c>
      <c r="T2745" t="s">
        <v>46443</v>
      </c>
      <c r="U2745" t="s">
        <v>47761</v>
      </c>
      <c r="W2745" t="s">
        <v>42039</v>
      </c>
      <c r="X2745" t="s">
        <v>44909</v>
      </c>
    </row>
    <row r="2746" spans="1:24">
      <c r="A2746">
        <f>HYPERLINK("https://www.philgeps.gov.ph/GEPSNONPILOT/Tender/SplashBidNoticeAbstractUI.aspx?menuIndex=3&amp;refID=7078950&amp;Result=3","7078950")</f>
        <v>0</v>
      </c>
      <c r="B2746" t="s">
        <v>966</v>
      </c>
      <c r="C2746" t="s">
        <v>6154</v>
      </c>
      <c r="D2746" t="s">
        <v>18103</v>
      </c>
      <c r="E2746" t="s">
        <v>20706</v>
      </c>
      <c r="F2746" t="s">
        <v>31362</v>
      </c>
      <c r="G2746" t="s">
        <v>31368</v>
      </c>
      <c r="H2746" t="s">
        <v>15799</v>
      </c>
      <c r="I2746" t="s">
        <v>3815</v>
      </c>
      <c r="J2746" t="s">
        <v>33379</v>
      </c>
      <c r="K2746" t="s">
        <v>40661</v>
      </c>
      <c r="M2746" t="s">
        <v>41956</v>
      </c>
      <c r="N2746" t="s">
        <v>44905</v>
      </c>
      <c r="O2746" t="s">
        <v>44906</v>
      </c>
      <c r="P2746">
        <v>0</v>
      </c>
      <c r="Q2746">
        <v>5</v>
      </c>
      <c r="R2746" t="s">
        <v>44908</v>
      </c>
      <c r="S2746" t="s">
        <v>45042</v>
      </c>
      <c r="T2746" t="s">
        <v>46454</v>
      </c>
      <c r="U2746" t="s">
        <v>49188</v>
      </c>
      <c r="V2746" t="s">
        <v>59312</v>
      </c>
      <c r="W2746" t="s">
        <v>41956</v>
      </c>
      <c r="X2746" t="s">
        <v>44909</v>
      </c>
    </row>
    <row r="2747" spans="1:24">
      <c r="A2747">
        <f>HYPERLINK("https://www.philgeps.gov.ph/GEPSNONPILOT/Tender/SplashBidNoticeAbstractUI.aspx?menuIndex=3&amp;refID=7078948&amp;Result=3","7078948")</f>
        <v>0</v>
      </c>
      <c r="B2747" t="s">
        <v>45</v>
      </c>
      <c r="C2747" t="s">
        <v>6155</v>
      </c>
      <c r="D2747" t="s">
        <v>18108</v>
      </c>
      <c r="E2747" t="s">
        <v>20707</v>
      </c>
      <c r="F2747" t="s">
        <v>31362</v>
      </c>
      <c r="G2747" t="s">
        <v>31368</v>
      </c>
      <c r="H2747" t="s">
        <v>15799</v>
      </c>
      <c r="I2747" t="s">
        <v>6155</v>
      </c>
      <c r="J2747" t="s">
        <v>31897</v>
      </c>
      <c r="K2747" t="s">
        <v>40661</v>
      </c>
      <c r="M2747" t="s">
        <v>42046</v>
      </c>
      <c r="N2747" t="s">
        <v>44905</v>
      </c>
      <c r="O2747" t="s">
        <v>44906</v>
      </c>
      <c r="P2747">
        <v>0</v>
      </c>
      <c r="Q2747">
        <v>21</v>
      </c>
      <c r="R2747" t="s">
        <v>44908</v>
      </c>
      <c r="S2747" t="s">
        <v>45042</v>
      </c>
      <c r="T2747" t="s">
        <v>46434</v>
      </c>
      <c r="U2747" t="s">
        <v>49189</v>
      </c>
      <c r="V2747" t="s">
        <v>59054</v>
      </c>
      <c r="W2747" t="s">
        <v>42046</v>
      </c>
      <c r="X2747" t="s">
        <v>44909</v>
      </c>
    </row>
    <row r="2748" spans="1:24">
      <c r="A2748">
        <f>HYPERLINK("https://www.philgeps.gov.ph/GEPSNONPILOT/Tender/SplashBidNoticeAbstractUI.aspx?menuIndex=3&amp;refID=7078946&amp;Result=3","7078946")</f>
        <v>0</v>
      </c>
      <c r="B2748" t="s">
        <v>1040</v>
      </c>
      <c r="C2748" t="s">
        <v>4337</v>
      </c>
      <c r="D2748" t="s">
        <v>18111</v>
      </c>
      <c r="E2748" t="s">
        <v>20708</v>
      </c>
      <c r="F2748" t="s">
        <v>31362</v>
      </c>
      <c r="G2748" t="s">
        <v>31370</v>
      </c>
      <c r="H2748" t="s">
        <v>15799</v>
      </c>
      <c r="I2748" t="s">
        <v>31387</v>
      </c>
      <c r="J2748" t="s">
        <v>33380</v>
      </c>
      <c r="K2748" t="s">
        <v>40670</v>
      </c>
      <c r="M2748" t="s">
        <v>42039</v>
      </c>
      <c r="N2748" t="s">
        <v>44905</v>
      </c>
      <c r="O2748" t="s">
        <v>44906</v>
      </c>
      <c r="P2748">
        <v>0</v>
      </c>
      <c r="Q2748">
        <v>1</v>
      </c>
      <c r="R2748" t="s">
        <v>44908</v>
      </c>
      <c r="S2748" t="s">
        <v>45042</v>
      </c>
      <c r="T2748" t="s">
        <v>46443</v>
      </c>
      <c r="U2748" t="s">
        <v>47653</v>
      </c>
      <c r="W2748" t="s">
        <v>42039</v>
      </c>
      <c r="X2748" t="s">
        <v>44909</v>
      </c>
    </row>
    <row r="2749" spans="1:24">
      <c r="A2749">
        <f>HYPERLINK("https://www.philgeps.gov.ph/GEPSNONPILOT/Tender/SplashBidNoticeAbstractUI.aspx?menuIndex=3&amp;refID=7078941&amp;Result=3","7078941")</f>
        <v>0</v>
      </c>
      <c r="B2749" t="s">
        <v>260</v>
      </c>
      <c r="C2749" t="s">
        <v>6156</v>
      </c>
      <c r="D2749" t="s">
        <v>18173</v>
      </c>
      <c r="E2749" t="s">
        <v>20709</v>
      </c>
      <c r="F2749" t="s">
        <v>31362</v>
      </c>
      <c r="G2749" t="s">
        <v>31368</v>
      </c>
      <c r="H2749" t="s">
        <v>15799</v>
      </c>
      <c r="I2749" t="s">
        <v>31455</v>
      </c>
      <c r="J2749" t="s">
        <v>31734</v>
      </c>
      <c r="K2749" t="s">
        <v>40662</v>
      </c>
      <c r="M2749" t="s">
        <v>41201</v>
      </c>
      <c r="N2749" t="s">
        <v>44905</v>
      </c>
      <c r="O2749" t="s">
        <v>44906</v>
      </c>
      <c r="P2749">
        <v>0</v>
      </c>
      <c r="Q2749">
        <v>0</v>
      </c>
      <c r="R2749" t="s">
        <v>44908</v>
      </c>
      <c r="S2749" t="s">
        <v>45042</v>
      </c>
      <c r="T2749" t="s">
        <v>46414</v>
      </c>
      <c r="U2749" t="s">
        <v>49190</v>
      </c>
      <c r="W2749" t="s">
        <v>41201</v>
      </c>
      <c r="X2749" t="s">
        <v>44909</v>
      </c>
    </row>
    <row r="2750" spans="1:24">
      <c r="A2750">
        <f>HYPERLINK("https://www.philgeps.gov.ph/GEPSNONPILOT/Tender/SplashBidNoticeAbstractUI.aspx?menuIndex=3&amp;refID=7078955&amp;Result=3","7078955")</f>
        <v>0</v>
      </c>
      <c r="B2750" t="s">
        <v>520</v>
      </c>
      <c r="C2750" t="s">
        <v>6157</v>
      </c>
      <c r="D2750" t="s">
        <v>18106</v>
      </c>
      <c r="E2750" t="s">
        <v>20710</v>
      </c>
      <c r="F2750" t="s">
        <v>31362</v>
      </c>
      <c r="G2750" t="s">
        <v>31368</v>
      </c>
      <c r="H2750" t="s">
        <v>15799</v>
      </c>
      <c r="I2750" t="s">
        <v>7188</v>
      </c>
      <c r="J2750" t="s">
        <v>31536</v>
      </c>
      <c r="K2750" t="s">
        <v>40666</v>
      </c>
      <c r="M2750" t="s">
        <v>41476</v>
      </c>
      <c r="N2750" t="s">
        <v>44905</v>
      </c>
      <c r="O2750" t="s">
        <v>44906</v>
      </c>
      <c r="P2750">
        <v>0</v>
      </c>
      <c r="Q2750">
        <v>6</v>
      </c>
      <c r="R2750" t="s">
        <v>44908</v>
      </c>
      <c r="S2750" t="s">
        <v>45042</v>
      </c>
      <c r="T2750" t="s">
        <v>46454</v>
      </c>
      <c r="U2750" t="s">
        <v>49191</v>
      </c>
      <c r="W2750" t="s">
        <v>41476</v>
      </c>
      <c r="X2750" t="s">
        <v>44909</v>
      </c>
    </row>
    <row r="2751" spans="1:24">
      <c r="A2751">
        <f>HYPERLINK("https://www.philgeps.gov.ph/GEPSNONPILOT/Tender/SplashBidNoticeAbstractUI.aspx?menuIndex=3&amp;refID=7078966&amp;Result=3","7078966")</f>
        <v>0</v>
      </c>
      <c r="B2751" t="s">
        <v>1047</v>
      </c>
      <c r="C2751" t="s">
        <v>4805</v>
      </c>
      <c r="D2751" t="s">
        <v>18108</v>
      </c>
      <c r="E2751" t="s">
        <v>20711</v>
      </c>
      <c r="F2751" t="s">
        <v>31362</v>
      </c>
      <c r="G2751" t="s">
        <v>31370</v>
      </c>
      <c r="H2751" t="s">
        <v>15799</v>
      </c>
      <c r="I2751" t="s">
        <v>31467</v>
      </c>
      <c r="J2751" t="s">
        <v>31997</v>
      </c>
      <c r="K2751" t="s">
        <v>40661</v>
      </c>
      <c r="M2751" t="s">
        <v>42047</v>
      </c>
      <c r="N2751" t="s">
        <v>44905</v>
      </c>
      <c r="O2751" t="s">
        <v>44906</v>
      </c>
      <c r="P2751">
        <v>0</v>
      </c>
      <c r="Q2751">
        <v>5</v>
      </c>
      <c r="R2751" t="s">
        <v>44908</v>
      </c>
      <c r="S2751" t="s">
        <v>45042</v>
      </c>
      <c r="T2751" t="s">
        <v>46630</v>
      </c>
      <c r="U2751" t="s">
        <v>49192</v>
      </c>
      <c r="W2751" t="s">
        <v>42047</v>
      </c>
      <c r="X2751" t="s">
        <v>44909</v>
      </c>
    </row>
    <row r="2752" spans="1:24">
      <c r="A2752">
        <f>HYPERLINK("https://www.philgeps.gov.ph/GEPSNONPILOT/Tender/SplashBidNoticeAbstractUI.aspx?menuIndex=3&amp;refID=7078965&amp;Result=3","7078965")</f>
        <v>0</v>
      </c>
      <c r="B2752" t="s">
        <v>982</v>
      </c>
      <c r="C2752" t="s">
        <v>6158</v>
      </c>
      <c r="D2752" t="s">
        <v>18106</v>
      </c>
      <c r="E2752" t="s">
        <v>20712</v>
      </c>
      <c r="F2752" t="s">
        <v>31362</v>
      </c>
      <c r="G2752" t="s">
        <v>31368</v>
      </c>
      <c r="H2752" t="s">
        <v>15799</v>
      </c>
      <c r="I2752" t="s">
        <v>31431</v>
      </c>
      <c r="J2752" t="s">
        <v>33381</v>
      </c>
      <c r="K2752" t="s">
        <v>40672</v>
      </c>
      <c r="M2752" t="s">
        <v>41974</v>
      </c>
      <c r="N2752" t="s">
        <v>44905</v>
      </c>
      <c r="O2752" t="s">
        <v>44906</v>
      </c>
      <c r="P2752">
        <v>0</v>
      </c>
      <c r="Q2752">
        <v>1</v>
      </c>
      <c r="R2752" t="s">
        <v>44908</v>
      </c>
      <c r="S2752" t="s">
        <v>45042</v>
      </c>
      <c r="T2752" t="s">
        <v>46409</v>
      </c>
      <c r="U2752" t="s">
        <v>49018</v>
      </c>
      <c r="W2752" t="s">
        <v>41974</v>
      </c>
      <c r="X2752" t="s">
        <v>44909</v>
      </c>
    </row>
    <row r="2753" spans="1:24">
      <c r="A2753">
        <f>HYPERLINK("https://www.philgeps.gov.ph/GEPSNONPILOT/Tender/SplashBidNoticeAbstractUI.aspx?menuIndex=3&amp;refID=7078962&amp;Result=3","7078962")</f>
        <v>0</v>
      </c>
      <c r="B2753" t="s">
        <v>1048</v>
      </c>
      <c r="C2753" t="s">
        <v>6159</v>
      </c>
      <c r="D2753" t="s">
        <v>18139</v>
      </c>
      <c r="E2753" t="s">
        <v>20713</v>
      </c>
      <c r="F2753" t="s">
        <v>31362</v>
      </c>
      <c r="G2753" t="s">
        <v>31370</v>
      </c>
      <c r="H2753" t="s">
        <v>15799</v>
      </c>
      <c r="I2753" t="s">
        <v>7719</v>
      </c>
      <c r="J2753" t="s">
        <v>33382</v>
      </c>
      <c r="K2753" t="s">
        <v>40661</v>
      </c>
      <c r="M2753" t="s">
        <v>42048</v>
      </c>
      <c r="N2753" t="s">
        <v>44905</v>
      </c>
      <c r="O2753" t="s">
        <v>44906</v>
      </c>
      <c r="P2753">
        <v>0</v>
      </c>
      <c r="Q2753">
        <v>5</v>
      </c>
      <c r="R2753" t="s">
        <v>44908</v>
      </c>
      <c r="S2753" t="s">
        <v>45042</v>
      </c>
      <c r="T2753" t="s">
        <v>46432</v>
      </c>
      <c r="U2753" t="s">
        <v>49193</v>
      </c>
      <c r="W2753" t="s">
        <v>42048</v>
      </c>
      <c r="X2753" t="s">
        <v>44909</v>
      </c>
    </row>
    <row r="2754" spans="1:24">
      <c r="A2754">
        <f>HYPERLINK("https://www.philgeps.gov.ph/GEPSNONPILOT/Tender/SplashBidNoticeAbstractUI.aspx?menuIndex=3&amp;refID=7078943&amp;Result=3","7078943")</f>
        <v>0</v>
      </c>
      <c r="B2754" t="s">
        <v>1048</v>
      </c>
      <c r="C2754" t="s">
        <v>6160</v>
      </c>
      <c r="D2754" t="s">
        <v>18139</v>
      </c>
      <c r="E2754" t="s">
        <v>20714</v>
      </c>
      <c r="F2754" t="s">
        <v>31362</v>
      </c>
      <c r="G2754" t="s">
        <v>31370</v>
      </c>
      <c r="H2754" t="s">
        <v>15799</v>
      </c>
      <c r="I2754" t="s">
        <v>31385</v>
      </c>
      <c r="J2754" t="s">
        <v>31564</v>
      </c>
      <c r="K2754" t="s">
        <v>40661</v>
      </c>
      <c r="M2754" t="s">
        <v>42048</v>
      </c>
      <c r="N2754" t="s">
        <v>44905</v>
      </c>
      <c r="O2754" t="s">
        <v>44906</v>
      </c>
      <c r="P2754">
        <v>0</v>
      </c>
      <c r="Q2754">
        <v>0</v>
      </c>
      <c r="R2754" t="s">
        <v>44908</v>
      </c>
      <c r="S2754" t="s">
        <v>45042</v>
      </c>
      <c r="T2754" t="s">
        <v>46432</v>
      </c>
      <c r="U2754" t="s">
        <v>49194</v>
      </c>
      <c r="W2754" t="s">
        <v>42048</v>
      </c>
      <c r="X2754" t="s">
        <v>44909</v>
      </c>
    </row>
    <row r="2755" spans="1:24">
      <c r="A2755">
        <f>HYPERLINK("https://www.philgeps.gov.ph/GEPSNONPILOT/Tender/SplashBidNoticeAbstractUI.aspx?menuIndex=3&amp;refID=7078942&amp;Result=3","7078942")</f>
        <v>0</v>
      </c>
      <c r="B2755" t="s">
        <v>1033</v>
      </c>
      <c r="C2755" t="s">
        <v>6161</v>
      </c>
      <c r="D2755" t="s">
        <v>18162</v>
      </c>
      <c r="E2755" t="s">
        <v>20715</v>
      </c>
      <c r="F2755" t="s">
        <v>31362</v>
      </c>
      <c r="G2755" t="s">
        <v>31369</v>
      </c>
      <c r="H2755" t="s">
        <v>15799</v>
      </c>
      <c r="I2755" t="s">
        <v>31385</v>
      </c>
      <c r="J2755" t="s">
        <v>33383</v>
      </c>
      <c r="K2755" t="s">
        <v>40670</v>
      </c>
      <c r="M2755" t="s">
        <v>42032</v>
      </c>
      <c r="N2755" t="s">
        <v>44905</v>
      </c>
      <c r="O2755" t="s">
        <v>44906</v>
      </c>
      <c r="P2755">
        <v>0</v>
      </c>
      <c r="Q2755">
        <v>0</v>
      </c>
      <c r="R2755" t="s">
        <v>44908</v>
      </c>
      <c r="S2755" t="s">
        <v>45042</v>
      </c>
      <c r="T2755" t="s">
        <v>46430</v>
      </c>
      <c r="U2755" t="s">
        <v>49195</v>
      </c>
      <c r="W2755" t="s">
        <v>42032</v>
      </c>
      <c r="X2755" t="s">
        <v>44909</v>
      </c>
    </row>
    <row r="2756" spans="1:24">
      <c r="A2756">
        <f>HYPERLINK("https://www.philgeps.gov.ph/GEPSNONPILOT/Tender/SplashBidNoticeAbstractUI.aspx?menuIndex=3&amp;refID=7078960&amp;Result=3","7078960")</f>
        <v>0</v>
      </c>
      <c r="B2756" t="s">
        <v>1040</v>
      </c>
      <c r="C2756" t="s">
        <v>4462</v>
      </c>
      <c r="D2756" t="s">
        <v>18111</v>
      </c>
      <c r="E2756" t="s">
        <v>20716</v>
      </c>
      <c r="F2756" t="s">
        <v>31362</v>
      </c>
      <c r="G2756" t="s">
        <v>31370</v>
      </c>
      <c r="H2756" t="s">
        <v>15799</v>
      </c>
      <c r="I2756" t="s">
        <v>6373</v>
      </c>
      <c r="J2756" t="s">
        <v>33370</v>
      </c>
      <c r="K2756" t="s">
        <v>40670</v>
      </c>
      <c r="M2756" t="s">
        <v>42039</v>
      </c>
      <c r="N2756" t="s">
        <v>44905</v>
      </c>
      <c r="O2756" t="s">
        <v>44906</v>
      </c>
      <c r="P2756">
        <v>0</v>
      </c>
      <c r="Q2756">
        <v>3</v>
      </c>
      <c r="R2756" t="s">
        <v>44908</v>
      </c>
      <c r="S2756" t="s">
        <v>45042</v>
      </c>
      <c r="T2756" t="s">
        <v>46443</v>
      </c>
      <c r="U2756" t="s">
        <v>47761</v>
      </c>
      <c r="W2756" t="s">
        <v>42039</v>
      </c>
      <c r="X2756" t="s">
        <v>44909</v>
      </c>
    </row>
    <row r="2757" spans="1:24">
      <c r="A2757">
        <f>HYPERLINK("https://www.philgeps.gov.ph/GEPSNONPILOT/Tender/SplashBidNoticeAbstractUI.aspx?menuIndex=3&amp;refID=7078967&amp;Result=3","7078967")</f>
        <v>0</v>
      </c>
      <c r="B2757" t="s">
        <v>1049</v>
      </c>
      <c r="C2757" t="s">
        <v>6162</v>
      </c>
      <c r="D2757" t="s">
        <v>18154</v>
      </c>
      <c r="E2757" t="s">
        <v>20717</v>
      </c>
      <c r="F2757" t="s">
        <v>31362</v>
      </c>
      <c r="G2757" t="s">
        <v>31370</v>
      </c>
      <c r="H2757" t="s">
        <v>15799</v>
      </c>
      <c r="I2757" t="s">
        <v>4057</v>
      </c>
      <c r="J2757" t="s">
        <v>33384</v>
      </c>
      <c r="K2757" t="s">
        <v>40697</v>
      </c>
      <c r="M2757" t="s">
        <v>42049</v>
      </c>
      <c r="N2757" t="s">
        <v>44905</v>
      </c>
      <c r="O2757" t="s">
        <v>44906</v>
      </c>
      <c r="P2757">
        <v>0</v>
      </c>
      <c r="Q2757">
        <v>0</v>
      </c>
      <c r="R2757" t="s">
        <v>44908</v>
      </c>
      <c r="S2757" t="s">
        <v>45042</v>
      </c>
      <c r="T2757" t="s">
        <v>46443</v>
      </c>
      <c r="U2757" t="s">
        <v>49196</v>
      </c>
      <c r="W2757" t="s">
        <v>42049</v>
      </c>
      <c r="X2757" t="s">
        <v>44909</v>
      </c>
    </row>
    <row r="2758" spans="1:24">
      <c r="A2758">
        <f>HYPERLINK("https://www.philgeps.gov.ph/GEPSNONPILOT/Tender/SplashBidNoticeAbstractUI.aspx?menuIndex=3&amp;refID=7078986&amp;Result=3","7078986")</f>
        <v>0</v>
      </c>
      <c r="B2758" t="s">
        <v>1050</v>
      </c>
      <c r="C2758" t="s">
        <v>6163</v>
      </c>
      <c r="D2758" t="s">
        <v>18139</v>
      </c>
      <c r="E2758" t="s">
        <v>20718</v>
      </c>
      <c r="F2758" t="s">
        <v>31362</v>
      </c>
      <c r="G2758" t="s">
        <v>31370</v>
      </c>
      <c r="H2758" t="s">
        <v>15799</v>
      </c>
      <c r="I2758" t="s">
        <v>31385</v>
      </c>
      <c r="J2758" t="s">
        <v>32320</v>
      </c>
      <c r="K2758" t="s">
        <v>40661</v>
      </c>
      <c r="M2758" t="s">
        <v>42050</v>
      </c>
      <c r="N2758" t="s">
        <v>44905</v>
      </c>
      <c r="O2758" t="s">
        <v>44906</v>
      </c>
      <c r="P2758">
        <v>0</v>
      </c>
      <c r="Q2758">
        <v>0</v>
      </c>
      <c r="R2758" t="s">
        <v>44908</v>
      </c>
      <c r="S2758" t="s">
        <v>45042</v>
      </c>
      <c r="T2758" t="s">
        <v>46404</v>
      </c>
      <c r="U2758" t="s">
        <v>49197</v>
      </c>
      <c r="W2758" t="s">
        <v>42050</v>
      </c>
      <c r="X2758" t="s">
        <v>44909</v>
      </c>
    </row>
    <row r="2759" spans="1:24">
      <c r="A2759">
        <f>HYPERLINK("https://www.philgeps.gov.ph/GEPSNONPILOT/Tender/SplashBidNoticeAbstractUI.aspx?menuIndex=3&amp;refID=7078954&amp;Result=3","7078954")</f>
        <v>0</v>
      </c>
      <c r="B2759" t="s">
        <v>1048</v>
      </c>
      <c r="C2759" t="s">
        <v>6164</v>
      </c>
      <c r="D2759" t="s">
        <v>18139</v>
      </c>
      <c r="E2759" t="s">
        <v>20719</v>
      </c>
      <c r="F2759" t="s">
        <v>31362</v>
      </c>
      <c r="G2759" t="s">
        <v>31370</v>
      </c>
      <c r="H2759" t="s">
        <v>15799</v>
      </c>
      <c r="I2759" t="s">
        <v>31384</v>
      </c>
      <c r="J2759" t="s">
        <v>31541</v>
      </c>
      <c r="K2759" t="s">
        <v>40661</v>
      </c>
      <c r="M2759" t="s">
        <v>42048</v>
      </c>
      <c r="N2759" t="s">
        <v>44905</v>
      </c>
      <c r="O2759" t="s">
        <v>44906</v>
      </c>
      <c r="P2759">
        <v>0</v>
      </c>
      <c r="Q2759">
        <v>2</v>
      </c>
      <c r="R2759" t="s">
        <v>44908</v>
      </c>
      <c r="S2759" t="s">
        <v>45042</v>
      </c>
      <c r="T2759" t="s">
        <v>46432</v>
      </c>
      <c r="U2759" t="s">
        <v>49198</v>
      </c>
      <c r="W2759" t="s">
        <v>42048</v>
      </c>
      <c r="X2759" t="s">
        <v>44909</v>
      </c>
    </row>
    <row r="2760" spans="1:24">
      <c r="A2760">
        <f>HYPERLINK("https://www.philgeps.gov.ph/GEPSNONPILOT/Tender/SplashBidNoticeAbstractUI.aspx?menuIndex=3&amp;refID=7078982&amp;Result=3","7078982")</f>
        <v>0</v>
      </c>
      <c r="B2760" t="s">
        <v>202</v>
      </c>
      <c r="C2760" t="s">
        <v>6165</v>
      </c>
      <c r="D2760" t="s">
        <v>18158</v>
      </c>
      <c r="E2760" t="s">
        <v>20720</v>
      </c>
      <c r="F2760" t="s">
        <v>31362</v>
      </c>
      <c r="G2760" t="s">
        <v>31369</v>
      </c>
      <c r="H2760" t="s">
        <v>31378</v>
      </c>
      <c r="I2760" t="s">
        <v>31386</v>
      </c>
      <c r="J2760" t="s">
        <v>33385</v>
      </c>
      <c r="K2760" t="s">
        <v>40711</v>
      </c>
      <c r="M2760" t="s">
        <v>41141</v>
      </c>
      <c r="N2760" t="s">
        <v>44905</v>
      </c>
      <c r="O2760" t="s">
        <v>44906</v>
      </c>
      <c r="P2760">
        <v>0</v>
      </c>
      <c r="Q2760">
        <v>0</v>
      </c>
      <c r="R2760" t="s">
        <v>44908</v>
      </c>
      <c r="S2760" t="s">
        <v>45042</v>
      </c>
      <c r="T2760" t="s">
        <v>46560</v>
      </c>
      <c r="U2760" t="s">
        <v>49199</v>
      </c>
      <c r="W2760" t="s">
        <v>41141</v>
      </c>
      <c r="X2760" t="s">
        <v>44909</v>
      </c>
    </row>
    <row r="2761" spans="1:24">
      <c r="A2761">
        <f>HYPERLINK("https://www.philgeps.gov.ph/GEPSNONPILOT/Tender/SplashBidNoticeAbstractUI.aspx?menuIndex=3&amp;refID=7078961&amp;Result=3","7078961")</f>
        <v>0</v>
      </c>
      <c r="B2761" t="s">
        <v>202</v>
      </c>
      <c r="C2761" t="s">
        <v>6166</v>
      </c>
      <c r="D2761" t="s">
        <v>18158</v>
      </c>
      <c r="E2761" t="s">
        <v>20721</v>
      </c>
      <c r="F2761" t="s">
        <v>31362</v>
      </c>
      <c r="G2761" t="s">
        <v>31369</v>
      </c>
      <c r="H2761" t="s">
        <v>15799</v>
      </c>
      <c r="I2761" t="s">
        <v>31385</v>
      </c>
      <c r="J2761" t="s">
        <v>33386</v>
      </c>
      <c r="K2761" t="s">
        <v>40666</v>
      </c>
      <c r="M2761" t="s">
        <v>41141</v>
      </c>
      <c r="N2761" t="s">
        <v>44905</v>
      </c>
      <c r="O2761" t="s">
        <v>44906</v>
      </c>
      <c r="P2761">
        <v>0</v>
      </c>
      <c r="Q2761">
        <v>3</v>
      </c>
      <c r="R2761" t="s">
        <v>44908</v>
      </c>
      <c r="S2761" t="s">
        <v>45042</v>
      </c>
      <c r="T2761" t="s">
        <v>46560</v>
      </c>
      <c r="U2761" t="s">
        <v>49200</v>
      </c>
      <c r="W2761" t="s">
        <v>41141</v>
      </c>
      <c r="X2761" t="s">
        <v>44909</v>
      </c>
    </row>
    <row r="2762" spans="1:24">
      <c r="A2762">
        <f>HYPERLINK("https://www.philgeps.gov.ph/GEPSNONPILOT/Tender/SplashBidNoticeAbstractUI.aspx?menuIndex=3&amp;refID=7078956&amp;Result=3","7078956")</f>
        <v>0</v>
      </c>
      <c r="B2762" t="s">
        <v>428</v>
      </c>
      <c r="C2762" t="s">
        <v>6167</v>
      </c>
      <c r="D2762" t="s">
        <v>18148</v>
      </c>
      <c r="E2762" t="s">
        <v>20722</v>
      </c>
      <c r="F2762" t="s">
        <v>31362</v>
      </c>
      <c r="G2762" t="s">
        <v>31368</v>
      </c>
      <c r="H2762" t="s">
        <v>15799</v>
      </c>
      <c r="I2762" t="s">
        <v>31415</v>
      </c>
      <c r="J2762" t="s">
        <v>33387</v>
      </c>
      <c r="K2762" t="s">
        <v>40697</v>
      </c>
      <c r="M2762" t="s">
        <v>41379</v>
      </c>
      <c r="N2762" t="s">
        <v>44905</v>
      </c>
      <c r="O2762" t="s">
        <v>44906</v>
      </c>
      <c r="P2762">
        <v>0</v>
      </c>
      <c r="Q2762">
        <v>1</v>
      </c>
      <c r="R2762" t="s">
        <v>44908</v>
      </c>
      <c r="S2762" t="s">
        <v>45042</v>
      </c>
      <c r="T2762" t="s">
        <v>46406</v>
      </c>
      <c r="U2762" t="s">
        <v>49201</v>
      </c>
      <c r="W2762" t="s">
        <v>41379</v>
      </c>
      <c r="X2762" t="s">
        <v>44909</v>
      </c>
    </row>
    <row r="2763" spans="1:24">
      <c r="A2763">
        <f>HYPERLINK("https://www.philgeps.gov.ph/GEPSNONPILOT/Tender/SplashBidNoticeAbstractUI.aspx?menuIndex=3&amp;refID=7078978&amp;Result=3","7078978")</f>
        <v>0</v>
      </c>
      <c r="B2763" t="s">
        <v>1044</v>
      </c>
      <c r="C2763" t="s">
        <v>6168</v>
      </c>
      <c r="D2763" t="s">
        <v>18100</v>
      </c>
      <c r="E2763" t="s">
        <v>18625</v>
      </c>
      <c r="F2763" t="s">
        <v>31362</v>
      </c>
      <c r="G2763" t="s">
        <v>31368</v>
      </c>
      <c r="H2763" t="s">
        <v>15799</v>
      </c>
      <c r="I2763" t="s">
        <v>7188</v>
      </c>
      <c r="J2763" t="s">
        <v>32022</v>
      </c>
      <c r="K2763" t="s">
        <v>40666</v>
      </c>
      <c r="M2763" t="s">
        <v>42043</v>
      </c>
      <c r="N2763" t="s">
        <v>44905</v>
      </c>
      <c r="O2763" t="s">
        <v>44906</v>
      </c>
      <c r="P2763">
        <v>0</v>
      </c>
      <c r="Q2763">
        <v>2</v>
      </c>
      <c r="R2763" t="s">
        <v>44908</v>
      </c>
      <c r="S2763" t="s">
        <v>45042</v>
      </c>
      <c r="T2763" t="s">
        <v>46631</v>
      </c>
      <c r="U2763" t="s">
        <v>49202</v>
      </c>
      <c r="W2763" t="s">
        <v>42043</v>
      </c>
      <c r="X2763" t="s">
        <v>44909</v>
      </c>
    </row>
    <row r="2764" spans="1:24">
      <c r="A2764">
        <f>HYPERLINK("https://www.philgeps.gov.ph/GEPSNONPILOT/Tender/SplashBidNoticeAbstractUI.aspx?menuIndex=3&amp;refID=7078969&amp;Result=3","7078969")</f>
        <v>0</v>
      </c>
      <c r="B2764" t="s">
        <v>262</v>
      </c>
      <c r="C2764" t="s">
        <v>6169</v>
      </c>
      <c r="D2764" t="s">
        <v>18127</v>
      </c>
      <c r="E2764" t="s">
        <v>20723</v>
      </c>
      <c r="F2764" t="s">
        <v>31362</v>
      </c>
      <c r="G2764" t="s">
        <v>31368</v>
      </c>
      <c r="H2764" t="s">
        <v>15799</v>
      </c>
      <c r="I2764" t="s">
        <v>31385</v>
      </c>
      <c r="J2764" t="s">
        <v>32249</v>
      </c>
      <c r="K2764" t="s">
        <v>40662</v>
      </c>
      <c r="M2764" t="s">
        <v>42051</v>
      </c>
      <c r="N2764" t="s">
        <v>44905</v>
      </c>
      <c r="O2764" t="s">
        <v>44906</v>
      </c>
      <c r="P2764">
        <v>0</v>
      </c>
      <c r="Q2764">
        <v>0</v>
      </c>
      <c r="R2764" t="s">
        <v>44908</v>
      </c>
      <c r="S2764" t="s">
        <v>45042</v>
      </c>
      <c r="T2764" t="s">
        <v>46438</v>
      </c>
      <c r="U2764" t="s">
        <v>47362</v>
      </c>
      <c r="W2764" t="s">
        <v>42051</v>
      </c>
      <c r="X2764" t="s">
        <v>44909</v>
      </c>
    </row>
    <row r="2765" spans="1:24">
      <c r="A2765">
        <f>HYPERLINK("https://www.philgeps.gov.ph/GEPSNONPILOT/Tender/SplashBidNoticeAbstractUI.aspx?menuIndex=3&amp;refID=7078996&amp;Result=3","7078996")</f>
        <v>0</v>
      </c>
      <c r="B2765" t="s">
        <v>548</v>
      </c>
      <c r="C2765" t="s">
        <v>6170</v>
      </c>
      <c r="D2765" t="s">
        <v>18154</v>
      </c>
      <c r="E2765" t="s">
        <v>20724</v>
      </c>
      <c r="F2765" t="s">
        <v>31362</v>
      </c>
      <c r="G2765" t="s">
        <v>31369</v>
      </c>
      <c r="H2765" t="s">
        <v>15799</v>
      </c>
      <c r="I2765" t="s">
        <v>31409</v>
      </c>
      <c r="J2765" t="s">
        <v>33388</v>
      </c>
      <c r="K2765" t="s">
        <v>40665</v>
      </c>
      <c r="M2765" t="s">
        <v>41504</v>
      </c>
      <c r="N2765" t="s">
        <v>44905</v>
      </c>
      <c r="O2765" t="s">
        <v>44906</v>
      </c>
      <c r="P2765">
        <v>0</v>
      </c>
      <c r="Q2765">
        <v>3</v>
      </c>
      <c r="R2765" t="s">
        <v>44908</v>
      </c>
      <c r="S2765" t="s">
        <v>45042</v>
      </c>
      <c r="T2765" t="s">
        <v>46433</v>
      </c>
      <c r="U2765" t="s">
        <v>49203</v>
      </c>
      <c r="W2765" t="s">
        <v>41504</v>
      </c>
      <c r="X2765" t="s">
        <v>44909</v>
      </c>
    </row>
    <row r="2766" spans="1:24">
      <c r="A2766">
        <f>HYPERLINK("https://www.philgeps.gov.ph/GEPSNONPILOT/Tender/SplashBidNoticeAbstractUI.aspx?menuIndex=3&amp;refID=7078949&amp;Result=3","7078949")</f>
        <v>0</v>
      </c>
      <c r="B2766" t="s">
        <v>1035</v>
      </c>
      <c r="C2766" t="s">
        <v>6171</v>
      </c>
      <c r="D2766" t="s">
        <v>18148</v>
      </c>
      <c r="E2766" t="s">
        <v>20725</v>
      </c>
      <c r="F2766" t="s">
        <v>31362</v>
      </c>
      <c r="G2766" t="s">
        <v>31370</v>
      </c>
      <c r="H2766" t="s">
        <v>15799</v>
      </c>
      <c r="I2766" t="s">
        <v>6240</v>
      </c>
      <c r="J2766" t="s">
        <v>33389</v>
      </c>
      <c r="K2766" t="s">
        <v>40662</v>
      </c>
      <c r="M2766" t="s">
        <v>42034</v>
      </c>
      <c r="N2766" t="s">
        <v>44905</v>
      </c>
      <c r="O2766" t="s">
        <v>44906</v>
      </c>
      <c r="P2766">
        <v>0</v>
      </c>
      <c r="Q2766">
        <v>0</v>
      </c>
      <c r="R2766" t="s">
        <v>44908</v>
      </c>
      <c r="S2766" t="s">
        <v>45042</v>
      </c>
      <c r="T2766" t="s">
        <v>46628</v>
      </c>
      <c r="U2766" t="s">
        <v>47665</v>
      </c>
      <c r="W2766" t="s">
        <v>42034</v>
      </c>
      <c r="X2766" t="s">
        <v>44909</v>
      </c>
    </row>
    <row r="2767" spans="1:24">
      <c r="A2767">
        <f>HYPERLINK("https://www.philgeps.gov.ph/GEPSNONPILOT/Tender/SplashBidNoticeAbstractUI.aspx?menuIndex=3&amp;refID=7078991&amp;Result=3","7078991")</f>
        <v>0</v>
      </c>
      <c r="B2767" t="s">
        <v>1051</v>
      </c>
      <c r="C2767" t="s">
        <v>6172</v>
      </c>
      <c r="D2767" t="s">
        <v>18116</v>
      </c>
      <c r="E2767" t="s">
        <v>20726</v>
      </c>
      <c r="F2767" t="s">
        <v>31362</v>
      </c>
      <c r="G2767" t="s">
        <v>31368</v>
      </c>
      <c r="H2767" t="s">
        <v>15799</v>
      </c>
      <c r="I2767" t="s">
        <v>7719</v>
      </c>
      <c r="J2767" t="s">
        <v>33390</v>
      </c>
      <c r="K2767" t="s">
        <v>40662</v>
      </c>
      <c r="M2767" t="s">
        <v>42052</v>
      </c>
      <c r="N2767" t="s">
        <v>44905</v>
      </c>
      <c r="O2767" t="s">
        <v>44906</v>
      </c>
      <c r="P2767">
        <v>0</v>
      </c>
      <c r="Q2767">
        <v>11</v>
      </c>
      <c r="R2767" t="s">
        <v>44908</v>
      </c>
      <c r="S2767" t="s">
        <v>45042</v>
      </c>
      <c r="T2767" t="s">
        <v>46498</v>
      </c>
      <c r="U2767" t="s">
        <v>49204</v>
      </c>
      <c r="W2767" t="s">
        <v>42052</v>
      </c>
      <c r="X2767" t="s">
        <v>44909</v>
      </c>
    </row>
    <row r="2768" spans="1:24">
      <c r="A2768">
        <f>HYPERLINK("https://www.philgeps.gov.ph/GEPSNONPILOT/Tender/SplashBidNoticeAbstractUI.aspx?menuIndex=3&amp;refID=7078990&amp;Result=3","7078990")</f>
        <v>0</v>
      </c>
      <c r="B2768" t="s">
        <v>1052</v>
      </c>
      <c r="C2768" t="s">
        <v>3795</v>
      </c>
      <c r="D2768" t="s">
        <v>18106</v>
      </c>
      <c r="E2768" t="s">
        <v>20727</v>
      </c>
      <c r="F2768" t="s">
        <v>31362</v>
      </c>
      <c r="G2768" t="s">
        <v>31371</v>
      </c>
      <c r="H2768" t="s">
        <v>15799</v>
      </c>
      <c r="I2768" t="s">
        <v>6373</v>
      </c>
      <c r="J2768" t="s">
        <v>33391</v>
      </c>
      <c r="K2768" t="s">
        <v>40662</v>
      </c>
      <c r="M2768" t="s">
        <v>42053</v>
      </c>
      <c r="N2768" t="s">
        <v>44905</v>
      </c>
      <c r="O2768" t="s">
        <v>44906</v>
      </c>
      <c r="P2768">
        <v>0</v>
      </c>
      <c r="Q2768">
        <v>4</v>
      </c>
      <c r="R2768" t="s">
        <v>44908</v>
      </c>
      <c r="S2768" t="s">
        <v>45042</v>
      </c>
      <c r="T2768" t="s">
        <v>46454</v>
      </c>
      <c r="U2768" t="s">
        <v>49205</v>
      </c>
      <c r="W2768" t="s">
        <v>42053</v>
      </c>
      <c r="X2768" t="s">
        <v>44909</v>
      </c>
    </row>
    <row r="2769" spans="1:24">
      <c r="A2769">
        <f>HYPERLINK("https://www.philgeps.gov.ph/GEPSNONPILOT/Tender/SplashBidNoticeAbstractUI.aspx?menuIndex=3&amp;refID=7078959&amp;Result=3","7078959")</f>
        <v>0</v>
      </c>
      <c r="B2769" t="s">
        <v>292</v>
      </c>
      <c r="C2769" t="s">
        <v>6173</v>
      </c>
      <c r="D2769" t="s">
        <v>18143</v>
      </c>
      <c r="E2769" t="s">
        <v>20728</v>
      </c>
      <c r="F2769" t="s">
        <v>31362</v>
      </c>
      <c r="G2769" t="s">
        <v>31369</v>
      </c>
      <c r="H2769" t="s">
        <v>31378</v>
      </c>
      <c r="I2769" t="s">
        <v>31386</v>
      </c>
      <c r="J2769" t="s">
        <v>33392</v>
      </c>
      <c r="K2769" t="s">
        <v>40735</v>
      </c>
      <c r="M2769" t="s">
        <v>41235</v>
      </c>
      <c r="N2769" t="s">
        <v>44905</v>
      </c>
      <c r="O2769" t="s">
        <v>44906</v>
      </c>
      <c r="P2769">
        <v>0</v>
      </c>
      <c r="Q2769">
        <v>0</v>
      </c>
      <c r="R2769" t="s">
        <v>44908</v>
      </c>
      <c r="S2769" t="s">
        <v>45042</v>
      </c>
      <c r="T2769" t="s">
        <v>46415</v>
      </c>
      <c r="U2769" t="s">
        <v>49206</v>
      </c>
      <c r="W2769" t="s">
        <v>41235</v>
      </c>
      <c r="X2769" t="s">
        <v>44909</v>
      </c>
    </row>
    <row r="2770" spans="1:24">
      <c r="A2770">
        <f>HYPERLINK("https://www.philgeps.gov.ph/GEPSNONPILOT/Tender/SplashBidNoticeAbstractUI.aspx?menuIndex=3&amp;refID=7078977&amp;Result=3","7078977")</f>
        <v>0</v>
      </c>
      <c r="B2770" t="s">
        <v>1053</v>
      </c>
      <c r="C2770" t="s">
        <v>6174</v>
      </c>
      <c r="D2770" t="s">
        <v>18107</v>
      </c>
      <c r="E2770" t="s">
        <v>20729</v>
      </c>
      <c r="F2770" t="s">
        <v>31362</v>
      </c>
      <c r="G2770" t="s">
        <v>31369</v>
      </c>
      <c r="H2770" t="s">
        <v>15799</v>
      </c>
      <c r="I2770" t="s">
        <v>31433</v>
      </c>
      <c r="J2770" t="s">
        <v>33393</v>
      </c>
      <c r="K2770" t="s">
        <v>40675</v>
      </c>
      <c r="M2770" t="s">
        <v>42054</v>
      </c>
      <c r="N2770" t="s">
        <v>44905</v>
      </c>
      <c r="O2770" t="s">
        <v>44906</v>
      </c>
      <c r="P2770">
        <v>0</v>
      </c>
      <c r="Q2770">
        <v>5</v>
      </c>
      <c r="R2770" t="s">
        <v>44908</v>
      </c>
      <c r="S2770" t="s">
        <v>45042</v>
      </c>
      <c r="T2770" t="s">
        <v>46624</v>
      </c>
      <c r="U2770" t="s">
        <v>49207</v>
      </c>
      <c r="W2770" t="s">
        <v>42054</v>
      </c>
      <c r="X2770" t="s">
        <v>44909</v>
      </c>
    </row>
    <row r="2771" spans="1:24">
      <c r="A2771">
        <f>HYPERLINK("https://www.philgeps.gov.ph/GEPSNONPILOT/Tender/SplashBidNoticeAbstractUI.aspx?menuIndex=3&amp;refID=7078975&amp;Result=3","7078975")</f>
        <v>0</v>
      </c>
      <c r="B2771" t="s">
        <v>1054</v>
      </c>
      <c r="C2771" t="s">
        <v>6175</v>
      </c>
      <c r="D2771" t="s">
        <v>18148</v>
      </c>
      <c r="E2771" t="s">
        <v>19550</v>
      </c>
      <c r="F2771" t="s">
        <v>31362</v>
      </c>
      <c r="G2771" t="s">
        <v>31369</v>
      </c>
      <c r="H2771" t="s">
        <v>15799</v>
      </c>
      <c r="I2771" t="s">
        <v>7188</v>
      </c>
      <c r="J2771" t="s">
        <v>31688</v>
      </c>
      <c r="K2771" t="s">
        <v>40661</v>
      </c>
      <c r="M2771" t="s">
        <v>42055</v>
      </c>
      <c r="N2771" t="s">
        <v>44905</v>
      </c>
      <c r="O2771" t="s">
        <v>44906</v>
      </c>
      <c r="P2771">
        <v>0</v>
      </c>
      <c r="Q2771">
        <v>8</v>
      </c>
      <c r="R2771" t="s">
        <v>44908</v>
      </c>
      <c r="S2771" t="s">
        <v>45042</v>
      </c>
      <c r="T2771" t="s">
        <v>46404</v>
      </c>
      <c r="U2771" t="s">
        <v>49208</v>
      </c>
      <c r="W2771" t="s">
        <v>42055</v>
      </c>
      <c r="X2771" t="s">
        <v>44909</v>
      </c>
    </row>
    <row r="2772" spans="1:24">
      <c r="A2772">
        <f>HYPERLINK("https://www.philgeps.gov.ph/GEPSNONPILOT/Tender/SplashBidNoticeAbstractUI.aspx?menuIndex=3&amp;refID=7078974&amp;Result=3","7078974")</f>
        <v>0</v>
      </c>
      <c r="B2772" t="s">
        <v>1042</v>
      </c>
      <c r="C2772" t="s">
        <v>6176</v>
      </c>
      <c r="D2772" t="s">
        <v>18158</v>
      </c>
      <c r="E2772" t="s">
        <v>19695</v>
      </c>
      <c r="F2772" t="s">
        <v>31362</v>
      </c>
      <c r="G2772" t="s">
        <v>31369</v>
      </c>
      <c r="H2772" t="s">
        <v>15799</v>
      </c>
      <c r="I2772" t="s">
        <v>7188</v>
      </c>
      <c r="J2772" t="s">
        <v>33394</v>
      </c>
      <c r="K2772" t="s">
        <v>40665</v>
      </c>
      <c r="M2772" t="s">
        <v>42041</v>
      </c>
      <c r="N2772" t="s">
        <v>44905</v>
      </c>
      <c r="O2772" t="s">
        <v>44906</v>
      </c>
      <c r="P2772">
        <v>0</v>
      </c>
      <c r="Q2772">
        <v>2</v>
      </c>
      <c r="R2772" t="s">
        <v>44908</v>
      </c>
      <c r="S2772" t="s">
        <v>45042</v>
      </c>
      <c r="T2772" t="s">
        <v>46426</v>
      </c>
      <c r="U2772" t="s">
        <v>49175</v>
      </c>
      <c r="W2772" t="s">
        <v>42041</v>
      </c>
      <c r="X2772" t="s">
        <v>44909</v>
      </c>
    </row>
    <row r="2773" spans="1:24">
      <c r="A2773">
        <f>HYPERLINK("https://www.philgeps.gov.ph/GEPSNONPILOT/Tender/SplashBidNoticeAbstractUI.aspx?menuIndex=3&amp;refID=7078971&amp;Result=3","7078971")</f>
        <v>0</v>
      </c>
      <c r="B2773" t="s">
        <v>1055</v>
      </c>
      <c r="C2773" t="s">
        <v>6177</v>
      </c>
      <c r="D2773" t="s">
        <v>18153</v>
      </c>
      <c r="E2773" t="s">
        <v>20730</v>
      </c>
      <c r="F2773" t="s">
        <v>31362</v>
      </c>
      <c r="G2773" t="s">
        <v>31369</v>
      </c>
      <c r="H2773" t="s">
        <v>15799</v>
      </c>
      <c r="I2773" t="s">
        <v>3815</v>
      </c>
      <c r="J2773" t="s">
        <v>33395</v>
      </c>
      <c r="K2773" t="s">
        <v>40662</v>
      </c>
      <c r="L2773" t="s">
        <v>1055</v>
      </c>
      <c r="M2773" t="s">
        <v>42056</v>
      </c>
      <c r="N2773" t="s">
        <v>44905</v>
      </c>
      <c r="O2773" t="s">
        <v>44906</v>
      </c>
      <c r="P2773">
        <v>0</v>
      </c>
      <c r="Q2773">
        <v>0</v>
      </c>
      <c r="R2773" t="s">
        <v>44908</v>
      </c>
      <c r="S2773" t="s">
        <v>45042</v>
      </c>
      <c r="T2773" t="s">
        <v>46404</v>
      </c>
      <c r="U2773" t="s">
        <v>49209</v>
      </c>
      <c r="W2773" t="s">
        <v>42056</v>
      </c>
      <c r="X2773" t="s">
        <v>44909</v>
      </c>
    </row>
    <row r="2774" spans="1:24">
      <c r="A2774">
        <f>HYPERLINK("https://www.philgeps.gov.ph/GEPSNONPILOT/Tender/SplashBidNoticeAbstractUI.aspx?menuIndex=3&amp;refID=7078993&amp;Result=3","7078993")</f>
        <v>0</v>
      </c>
      <c r="B2774" t="s">
        <v>1033</v>
      </c>
      <c r="C2774" t="s">
        <v>6178</v>
      </c>
      <c r="D2774" t="s">
        <v>18162</v>
      </c>
      <c r="E2774" t="s">
        <v>20731</v>
      </c>
      <c r="F2774" t="s">
        <v>31362</v>
      </c>
      <c r="G2774" t="s">
        <v>31369</v>
      </c>
      <c r="H2774" t="s">
        <v>15799</v>
      </c>
      <c r="I2774" t="s">
        <v>31385</v>
      </c>
      <c r="J2774" t="s">
        <v>33396</v>
      </c>
      <c r="K2774" t="s">
        <v>40670</v>
      </c>
      <c r="M2774" t="s">
        <v>42032</v>
      </c>
      <c r="N2774" t="s">
        <v>44905</v>
      </c>
      <c r="O2774" t="s">
        <v>44906</v>
      </c>
      <c r="P2774">
        <v>0</v>
      </c>
      <c r="Q2774">
        <v>0</v>
      </c>
      <c r="R2774" t="s">
        <v>44908</v>
      </c>
      <c r="S2774" t="s">
        <v>45042</v>
      </c>
      <c r="T2774" t="s">
        <v>46430</v>
      </c>
      <c r="U2774" t="s">
        <v>49210</v>
      </c>
      <c r="W2774" t="s">
        <v>42032</v>
      </c>
      <c r="X2774" t="s">
        <v>44909</v>
      </c>
    </row>
    <row r="2775" spans="1:24">
      <c r="A2775">
        <f>HYPERLINK("https://www.philgeps.gov.ph/GEPSNONPILOT/Tender/SplashBidNoticeAbstractUI.aspx?menuIndex=3&amp;refID=7078970&amp;Result=3","7078970")</f>
        <v>0</v>
      </c>
      <c r="B2775" t="s">
        <v>1056</v>
      </c>
      <c r="C2775" t="s">
        <v>6179</v>
      </c>
      <c r="D2775" t="s">
        <v>18106</v>
      </c>
      <c r="E2775" t="s">
        <v>20732</v>
      </c>
      <c r="F2775" t="s">
        <v>31362</v>
      </c>
      <c r="G2775" t="s">
        <v>31368</v>
      </c>
      <c r="H2775" t="s">
        <v>15799</v>
      </c>
      <c r="I2775" t="s">
        <v>7188</v>
      </c>
      <c r="J2775" t="s">
        <v>31983</v>
      </c>
      <c r="K2775" t="s">
        <v>40693</v>
      </c>
      <c r="M2775" t="s">
        <v>42057</v>
      </c>
      <c r="N2775" t="s">
        <v>44905</v>
      </c>
      <c r="O2775" t="s">
        <v>44906</v>
      </c>
      <c r="P2775">
        <v>0</v>
      </c>
      <c r="Q2775">
        <v>0</v>
      </c>
      <c r="R2775" t="s">
        <v>44908</v>
      </c>
      <c r="S2775" t="s">
        <v>45042</v>
      </c>
      <c r="T2775" t="s">
        <v>46425</v>
      </c>
      <c r="U2775" t="s">
        <v>49211</v>
      </c>
      <c r="W2775" t="s">
        <v>42057</v>
      </c>
      <c r="X2775" t="s">
        <v>44909</v>
      </c>
    </row>
    <row r="2776" spans="1:24">
      <c r="A2776">
        <f>HYPERLINK("https://www.philgeps.gov.ph/GEPSNONPILOT/Tender/SplashBidNoticeAbstractUI.aspx?menuIndex=3&amp;refID=7078992&amp;Result=3","7078992")</f>
        <v>0</v>
      </c>
      <c r="B2776" t="s">
        <v>1046</v>
      </c>
      <c r="C2776" t="s">
        <v>6180</v>
      </c>
      <c r="D2776" t="s">
        <v>18108</v>
      </c>
      <c r="E2776" t="s">
        <v>20733</v>
      </c>
      <c r="F2776" t="s">
        <v>31362</v>
      </c>
      <c r="G2776" t="s">
        <v>31369</v>
      </c>
      <c r="H2776" t="s">
        <v>31378</v>
      </c>
      <c r="I2776" t="s">
        <v>31386</v>
      </c>
      <c r="J2776" t="s">
        <v>33397</v>
      </c>
      <c r="K2776" t="s">
        <v>40691</v>
      </c>
      <c r="M2776" t="s">
        <v>42045</v>
      </c>
      <c r="N2776" t="s">
        <v>44905</v>
      </c>
      <c r="O2776" t="s">
        <v>44906</v>
      </c>
      <c r="P2776">
        <v>0</v>
      </c>
      <c r="Q2776">
        <v>2</v>
      </c>
      <c r="R2776" t="s">
        <v>44908</v>
      </c>
      <c r="S2776" t="s">
        <v>45042</v>
      </c>
      <c r="T2776" t="s">
        <v>46401</v>
      </c>
      <c r="U2776" t="s">
        <v>49212</v>
      </c>
      <c r="V2776" t="s">
        <v>59354</v>
      </c>
      <c r="W2776" t="s">
        <v>42045</v>
      </c>
      <c r="X2776" t="s">
        <v>44909</v>
      </c>
    </row>
    <row r="2777" spans="1:24">
      <c r="A2777">
        <f>HYPERLINK("https://www.philgeps.gov.ph/GEPSNONPILOT/Tender/SplashBidNoticeAbstractUI.aspx?menuIndex=3&amp;refID=7078997&amp;Result=3","7078997")</f>
        <v>0</v>
      </c>
      <c r="B2777" t="s">
        <v>1056</v>
      </c>
      <c r="C2777" t="s">
        <v>6181</v>
      </c>
      <c r="D2777" t="s">
        <v>18106</v>
      </c>
      <c r="E2777" t="s">
        <v>20734</v>
      </c>
      <c r="F2777" t="s">
        <v>31362</v>
      </c>
      <c r="G2777" t="s">
        <v>31368</v>
      </c>
      <c r="H2777" t="s">
        <v>15799</v>
      </c>
      <c r="I2777" t="s">
        <v>31380</v>
      </c>
      <c r="J2777" t="s">
        <v>31768</v>
      </c>
      <c r="K2777" t="s">
        <v>40693</v>
      </c>
      <c r="M2777" t="s">
        <v>42057</v>
      </c>
      <c r="N2777" t="s">
        <v>44905</v>
      </c>
      <c r="O2777" t="s">
        <v>44906</v>
      </c>
      <c r="P2777">
        <v>0</v>
      </c>
      <c r="Q2777">
        <v>0</v>
      </c>
      <c r="R2777" t="s">
        <v>44908</v>
      </c>
      <c r="S2777" t="s">
        <v>45042</v>
      </c>
      <c r="T2777" t="s">
        <v>46463</v>
      </c>
      <c r="U2777" t="s">
        <v>49213</v>
      </c>
      <c r="W2777" t="s">
        <v>42057</v>
      </c>
      <c r="X2777" t="s">
        <v>44909</v>
      </c>
    </row>
    <row r="2778" spans="1:24">
      <c r="A2778">
        <f>HYPERLINK("https://www.philgeps.gov.ph/GEPSNONPILOT/Tender/SplashBidNoticeAbstractUI.aspx?menuIndex=3&amp;refID=7079010&amp;Result=3","7079010")</f>
        <v>0</v>
      </c>
      <c r="B2778" t="s">
        <v>1055</v>
      </c>
      <c r="C2778" t="s">
        <v>6182</v>
      </c>
      <c r="D2778" t="s">
        <v>18153</v>
      </c>
      <c r="E2778" t="s">
        <v>20735</v>
      </c>
      <c r="F2778" t="s">
        <v>31362</v>
      </c>
      <c r="G2778" t="s">
        <v>31369</v>
      </c>
      <c r="H2778" t="s">
        <v>15799</v>
      </c>
      <c r="I2778" t="s">
        <v>31398</v>
      </c>
      <c r="J2778" t="s">
        <v>31578</v>
      </c>
      <c r="K2778" t="s">
        <v>40662</v>
      </c>
      <c r="L2778" t="s">
        <v>1055</v>
      </c>
      <c r="M2778" t="s">
        <v>42056</v>
      </c>
      <c r="N2778" t="s">
        <v>44905</v>
      </c>
      <c r="O2778" t="s">
        <v>44906</v>
      </c>
      <c r="P2778">
        <v>0</v>
      </c>
      <c r="Q2778">
        <v>2</v>
      </c>
      <c r="R2778" t="s">
        <v>44908</v>
      </c>
      <c r="S2778" t="s">
        <v>45042</v>
      </c>
      <c r="T2778" t="s">
        <v>46404</v>
      </c>
      <c r="U2778" t="s">
        <v>49214</v>
      </c>
      <c r="W2778" t="s">
        <v>42056</v>
      </c>
      <c r="X2778" t="s">
        <v>44909</v>
      </c>
    </row>
    <row r="2779" spans="1:24">
      <c r="A2779">
        <f>HYPERLINK("https://www.philgeps.gov.ph/GEPSNONPILOT/Tender/SplashBidNoticeAbstractUI.aspx?menuIndex=3&amp;refID=7079007&amp;Result=3","7079007")</f>
        <v>0</v>
      </c>
      <c r="B2779" t="s">
        <v>1046</v>
      </c>
      <c r="C2779" t="s">
        <v>6183</v>
      </c>
      <c r="D2779" t="s">
        <v>18108</v>
      </c>
      <c r="E2779" t="s">
        <v>20736</v>
      </c>
      <c r="F2779" t="s">
        <v>31362</v>
      </c>
      <c r="G2779" t="s">
        <v>31369</v>
      </c>
      <c r="H2779" t="s">
        <v>31378</v>
      </c>
      <c r="I2779" t="s">
        <v>31386</v>
      </c>
      <c r="J2779" t="s">
        <v>33398</v>
      </c>
      <c r="K2779" t="s">
        <v>40684</v>
      </c>
      <c r="M2779" t="s">
        <v>42045</v>
      </c>
      <c r="N2779" t="s">
        <v>44905</v>
      </c>
      <c r="O2779" t="s">
        <v>44906</v>
      </c>
      <c r="P2779">
        <v>0</v>
      </c>
      <c r="Q2779">
        <v>3</v>
      </c>
      <c r="R2779" t="s">
        <v>44908</v>
      </c>
      <c r="S2779" t="s">
        <v>45042</v>
      </c>
      <c r="T2779" t="s">
        <v>46401</v>
      </c>
      <c r="U2779" t="s">
        <v>49215</v>
      </c>
      <c r="V2779" t="s">
        <v>59354</v>
      </c>
      <c r="W2779" t="s">
        <v>42045</v>
      </c>
      <c r="X2779" t="s">
        <v>44909</v>
      </c>
    </row>
    <row r="2780" spans="1:24">
      <c r="A2780">
        <f>HYPERLINK("https://www.philgeps.gov.ph/GEPSNONPILOT/Tender/SplashBidNoticeAbstractUI.aspx?menuIndex=3&amp;refID=7079006&amp;Result=3","7079006")</f>
        <v>0</v>
      </c>
      <c r="B2780" t="s">
        <v>1057</v>
      </c>
      <c r="C2780" t="s">
        <v>6184</v>
      </c>
      <c r="D2780" t="s">
        <v>18163</v>
      </c>
      <c r="E2780" t="s">
        <v>20737</v>
      </c>
      <c r="F2780" t="s">
        <v>31362</v>
      </c>
      <c r="G2780" t="s">
        <v>31369</v>
      </c>
      <c r="H2780" t="s">
        <v>31378</v>
      </c>
      <c r="I2780" t="s">
        <v>31386</v>
      </c>
      <c r="J2780" t="s">
        <v>33399</v>
      </c>
      <c r="K2780" t="s">
        <v>40675</v>
      </c>
      <c r="M2780" t="s">
        <v>42058</v>
      </c>
      <c r="N2780" t="s">
        <v>44905</v>
      </c>
      <c r="O2780" t="s">
        <v>44906</v>
      </c>
      <c r="P2780">
        <v>0</v>
      </c>
      <c r="Q2780">
        <v>0</v>
      </c>
      <c r="R2780" t="s">
        <v>44908</v>
      </c>
      <c r="S2780" t="s">
        <v>45042</v>
      </c>
      <c r="T2780" t="s">
        <v>46433</v>
      </c>
      <c r="U2780" t="s">
        <v>49216</v>
      </c>
      <c r="V2780" t="s">
        <v>59355</v>
      </c>
      <c r="W2780" t="s">
        <v>42058</v>
      </c>
      <c r="X2780" t="s">
        <v>44909</v>
      </c>
    </row>
    <row r="2781" spans="1:24">
      <c r="A2781">
        <f>HYPERLINK("https://www.philgeps.gov.ph/GEPSNONPILOT/Tender/SplashBidNoticeAbstractUI.aspx?menuIndex=3&amp;refID=7078976&amp;Result=3","7078976")</f>
        <v>0</v>
      </c>
      <c r="B2781" t="s">
        <v>1058</v>
      </c>
      <c r="C2781" t="s">
        <v>6185</v>
      </c>
      <c r="D2781" t="s">
        <v>18104</v>
      </c>
      <c r="E2781" t="s">
        <v>20738</v>
      </c>
      <c r="F2781" t="s">
        <v>31362</v>
      </c>
      <c r="G2781" t="s">
        <v>31370</v>
      </c>
      <c r="H2781" t="s">
        <v>15799</v>
      </c>
      <c r="I2781" t="s">
        <v>6373</v>
      </c>
      <c r="J2781" t="s">
        <v>33400</v>
      </c>
      <c r="K2781" t="s">
        <v>40670</v>
      </c>
      <c r="M2781" t="s">
        <v>42059</v>
      </c>
      <c r="N2781" t="s">
        <v>44905</v>
      </c>
      <c r="O2781" t="s">
        <v>44906</v>
      </c>
      <c r="Q2781">
        <v>0</v>
      </c>
      <c r="R2781" t="s">
        <v>44908</v>
      </c>
      <c r="S2781" t="s">
        <v>45047</v>
      </c>
      <c r="T2781" t="s">
        <v>46447</v>
      </c>
      <c r="U2781" t="s">
        <v>49217</v>
      </c>
      <c r="W2781" t="s">
        <v>42059</v>
      </c>
      <c r="X2781" t="s">
        <v>44909</v>
      </c>
    </row>
    <row r="2782" spans="1:24">
      <c r="A2782">
        <f>HYPERLINK("https://www.philgeps.gov.ph/GEPSNONPILOT/Tender/SplashBidNoticeAbstractUI.aspx?menuIndex=3&amp;refID=7079018&amp;Result=3","7079018")</f>
        <v>0</v>
      </c>
      <c r="B2782" t="s">
        <v>123</v>
      </c>
      <c r="C2782" t="s">
        <v>3673</v>
      </c>
      <c r="D2782" t="s">
        <v>18107</v>
      </c>
      <c r="E2782" t="s">
        <v>20739</v>
      </c>
      <c r="F2782" t="s">
        <v>31362</v>
      </c>
      <c r="G2782" t="s">
        <v>31368</v>
      </c>
      <c r="H2782" t="s">
        <v>15799</v>
      </c>
      <c r="I2782" t="s">
        <v>6373</v>
      </c>
      <c r="J2782" t="s">
        <v>33401</v>
      </c>
      <c r="K2782" t="s">
        <v>40666</v>
      </c>
      <c r="M2782" t="s">
        <v>41192</v>
      </c>
      <c r="N2782" t="s">
        <v>44905</v>
      </c>
      <c r="O2782" t="s">
        <v>44906</v>
      </c>
      <c r="P2782">
        <v>0</v>
      </c>
      <c r="Q2782">
        <v>1</v>
      </c>
      <c r="R2782" t="s">
        <v>44908</v>
      </c>
      <c r="S2782" t="s">
        <v>45042</v>
      </c>
      <c r="T2782" t="s">
        <v>46632</v>
      </c>
      <c r="U2782" t="s">
        <v>49218</v>
      </c>
      <c r="W2782" t="s">
        <v>41192</v>
      </c>
      <c r="X2782" t="s">
        <v>44909</v>
      </c>
    </row>
    <row r="2783" spans="1:24">
      <c r="A2783">
        <f>HYPERLINK("https://www.philgeps.gov.ph/GEPSNONPILOT/Tender/SplashBidNoticeAbstractUI.aspx?menuIndex=3&amp;refID=7078972&amp;Result=3","7078972")</f>
        <v>0</v>
      </c>
      <c r="B2783" t="s">
        <v>292</v>
      </c>
      <c r="C2783" t="s">
        <v>6186</v>
      </c>
      <c r="D2783" t="s">
        <v>18143</v>
      </c>
      <c r="E2783" t="s">
        <v>20740</v>
      </c>
      <c r="F2783" t="s">
        <v>31362</v>
      </c>
      <c r="G2783" t="s">
        <v>31369</v>
      </c>
      <c r="H2783" t="s">
        <v>31378</v>
      </c>
      <c r="I2783" t="s">
        <v>31386</v>
      </c>
      <c r="J2783" t="s">
        <v>33402</v>
      </c>
      <c r="K2783" t="s">
        <v>40735</v>
      </c>
      <c r="M2783" t="s">
        <v>41235</v>
      </c>
      <c r="N2783" t="s">
        <v>44905</v>
      </c>
      <c r="O2783" t="s">
        <v>44906</v>
      </c>
      <c r="P2783">
        <v>0</v>
      </c>
      <c r="Q2783">
        <v>0</v>
      </c>
      <c r="R2783" t="s">
        <v>44908</v>
      </c>
      <c r="S2783" t="s">
        <v>45042</v>
      </c>
      <c r="T2783" t="s">
        <v>46431</v>
      </c>
      <c r="U2783" t="s">
        <v>49219</v>
      </c>
      <c r="W2783" t="s">
        <v>41235</v>
      </c>
      <c r="X2783" t="s">
        <v>44909</v>
      </c>
    </row>
    <row r="2784" spans="1:24">
      <c r="A2784">
        <f>HYPERLINK("https://www.philgeps.gov.ph/GEPSNONPILOT/Tender/SplashBidNoticeAbstractUI.aspx?menuIndex=3&amp;refID=7078979&amp;Result=3","7078979")</f>
        <v>0</v>
      </c>
      <c r="B2784" t="s">
        <v>72</v>
      </c>
      <c r="C2784" t="s">
        <v>6187</v>
      </c>
      <c r="D2784" t="s">
        <v>18130</v>
      </c>
      <c r="E2784" t="s">
        <v>20741</v>
      </c>
      <c r="F2784" t="s">
        <v>31362</v>
      </c>
      <c r="G2784" t="s">
        <v>31370</v>
      </c>
      <c r="H2784" t="s">
        <v>15799</v>
      </c>
      <c r="I2784" t="s">
        <v>31421</v>
      </c>
      <c r="J2784" t="s">
        <v>31545</v>
      </c>
      <c r="K2784" t="s">
        <v>40672</v>
      </c>
      <c r="M2784" t="s">
        <v>41008</v>
      </c>
      <c r="N2784" t="s">
        <v>44905</v>
      </c>
      <c r="O2784" t="s">
        <v>44906</v>
      </c>
      <c r="P2784">
        <v>0</v>
      </c>
      <c r="Q2784">
        <v>1</v>
      </c>
      <c r="R2784" t="s">
        <v>44908</v>
      </c>
      <c r="S2784" t="s">
        <v>45042</v>
      </c>
      <c r="T2784" t="s">
        <v>46428</v>
      </c>
      <c r="U2784" t="s">
        <v>49220</v>
      </c>
      <c r="W2784" t="s">
        <v>41008</v>
      </c>
      <c r="X2784" t="s">
        <v>44909</v>
      </c>
    </row>
    <row r="2785" spans="1:24">
      <c r="A2785">
        <f>HYPERLINK("https://www.philgeps.gov.ph/GEPSNONPILOT/Tender/SplashBidNoticeAbstractUI.aspx?menuIndex=3&amp;refID=7079016&amp;Result=3","7079016")</f>
        <v>0</v>
      </c>
      <c r="B2785" t="s">
        <v>1037</v>
      </c>
      <c r="C2785" t="s">
        <v>6188</v>
      </c>
      <c r="D2785" t="s">
        <v>18146</v>
      </c>
      <c r="E2785" t="s">
        <v>20742</v>
      </c>
      <c r="F2785" t="s">
        <v>31362</v>
      </c>
      <c r="G2785" t="s">
        <v>31368</v>
      </c>
      <c r="H2785" t="s">
        <v>15799</v>
      </c>
      <c r="I2785" t="s">
        <v>31411</v>
      </c>
      <c r="J2785" t="s">
        <v>32394</v>
      </c>
      <c r="K2785" t="s">
        <v>40666</v>
      </c>
      <c r="M2785" t="s">
        <v>42060</v>
      </c>
      <c r="N2785" t="s">
        <v>44905</v>
      </c>
      <c r="O2785" t="s">
        <v>44906</v>
      </c>
      <c r="P2785">
        <v>0</v>
      </c>
      <c r="Q2785">
        <v>1</v>
      </c>
      <c r="R2785" t="s">
        <v>44908</v>
      </c>
      <c r="S2785" t="s">
        <v>45042</v>
      </c>
      <c r="T2785" t="s">
        <v>46393</v>
      </c>
      <c r="U2785" t="s">
        <v>49221</v>
      </c>
      <c r="V2785" t="s">
        <v>59231</v>
      </c>
      <c r="W2785" t="s">
        <v>42060</v>
      </c>
      <c r="X2785" t="s">
        <v>44909</v>
      </c>
    </row>
    <row r="2786" spans="1:24">
      <c r="A2786">
        <f>HYPERLINK("https://www.philgeps.gov.ph/GEPSNONPILOT/Tender/SplashBidNoticeAbstractUI.aspx?menuIndex=3&amp;refID=7079014&amp;Result=3","7079014")</f>
        <v>0</v>
      </c>
      <c r="B2786" t="s">
        <v>1052</v>
      </c>
      <c r="C2786" t="s">
        <v>3795</v>
      </c>
      <c r="D2786" t="s">
        <v>18106</v>
      </c>
      <c r="E2786" t="s">
        <v>18931</v>
      </c>
      <c r="F2786" t="s">
        <v>31362</v>
      </c>
      <c r="G2786" t="s">
        <v>31371</v>
      </c>
      <c r="H2786" t="s">
        <v>15799</v>
      </c>
      <c r="I2786" t="s">
        <v>6373</v>
      </c>
      <c r="J2786" t="s">
        <v>33403</v>
      </c>
      <c r="K2786" t="s">
        <v>40662</v>
      </c>
      <c r="M2786" t="s">
        <v>42053</v>
      </c>
      <c r="N2786" t="s">
        <v>44905</v>
      </c>
      <c r="O2786" t="s">
        <v>44906</v>
      </c>
      <c r="P2786">
        <v>0</v>
      </c>
      <c r="Q2786">
        <v>2</v>
      </c>
      <c r="R2786" t="s">
        <v>44908</v>
      </c>
      <c r="S2786" t="s">
        <v>45042</v>
      </c>
      <c r="T2786" t="s">
        <v>46454</v>
      </c>
      <c r="U2786" t="s">
        <v>49205</v>
      </c>
      <c r="W2786" t="s">
        <v>42053</v>
      </c>
      <c r="X2786" t="s">
        <v>44909</v>
      </c>
    </row>
    <row r="2787" spans="1:24">
      <c r="A2787">
        <f>HYPERLINK("https://www.philgeps.gov.ph/GEPSNONPILOT/Tender/SplashBidNoticeAbstractUI.aspx?menuIndex=3&amp;refID=7079012&amp;Result=3","7079012")</f>
        <v>0</v>
      </c>
      <c r="B2787" t="s">
        <v>1059</v>
      </c>
      <c r="C2787" t="s">
        <v>6189</v>
      </c>
      <c r="D2787" t="s">
        <v>18167</v>
      </c>
      <c r="E2787" t="s">
        <v>20743</v>
      </c>
      <c r="F2787" t="s">
        <v>31362</v>
      </c>
      <c r="G2787" t="s">
        <v>31370</v>
      </c>
      <c r="H2787" t="s">
        <v>15799</v>
      </c>
      <c r="I2787" t="s">
        <v>31486</v>
      </c>
      <c r="J2787" t="s">
        <v>31886</v>
      </c>
      <c r="K2787" t="s">
        <v>40666</v>
      </c>
      <c r="L2787" t="s">
        <v>1059</v>
      </c>
      <c r="M2787" t="s">
        <v>42061</v>
      </c>
      <c r="N2787" t="s">
        <v>44905</v>
      </c>
      <c r="O2787" t="s">
        <v>44906</v>
      </c>
      <c r="P2787">
        <v>0</v>
      </c>
      <c r="Q2787">
        <v>1</v>
      </c>
      <c r="R2787" t="s">
        <v>44908</v>
      </c>
      <c r="S2787" t="s">
        <v>45042</v>
      </c>
      <c r="T2787" t="s">
        <v>46427</v>
      </c>
      <c r="U2787" t="s">
        <v>49222</v>
      </c>
      <c r="V2787" t="s">
        <v>59356</v>
      </c>
      <c r="W2787" t="s">
        <v>42061</v>
      </c>
      <c r="X2787" t="s">
        <v>44909</v>
      </c>
    </row>
    <row r="2788" spans="1:24">
      <c r="A2788">
        <f>HYPERLINK("https://www.philgeps.gov.ph/GEPSNONPILOT/Tender/SplashBidNoticeAbstractUI.aspx?menuIndex=3&amp;refID=7079011&amp;Result=3","7079011")</f>
        <v>0</v>
      </c>
      <c r="B2788" t="s">
        <v>1051</v>
      </c>
      <c r="C2788" t="s">
        <v>6190</v>
      </c>
      <c r="D2788" t="s">
        <v>18116</v>
      </c>
      <c r="E2788" t="s">
        <v>20744</v>
      </c>
      <c r="F2788" t="s">
        <v>31362</v>
      </c>
      <c r="G2788" t="s">
        <v>31368</v>
      </c>
      <c r="H2788" t="s">
        <v>15799</v>
      </c>
      <c r="I2788" t="s">
        <v>7719</v>
      </c>
      <c r="J2788" t="s">
        <v>31843</v>
      </c>
      <c r="K2788" t="s">
        <v>40662</v>
      </c>
      <c r="M2788" t="s">
        <v>42052</v>
      </c>
      <c r="N2788" t="s">
        <v>44905</v>
      </c>
      <c r="O2788" t="s">
        <v>44906</v>
      </c>
      <c r="P2788">
        <v>0</v>
      </c>
      <c r="Q2788">
        <v>18</v>
      </c>
      <c r="R2788" t="s">
        <v>44908</v>
      </c>
      <c r="S2788" t="s">
        <v>45042</v>
      </c>
      <c r="T2788" t="s">
        <v>46498</v>
      </c>
      <c r="U2788" t="s">
        <v>49223</v>
      </c>
      <c r="W2788" t="s">
        <v>42052</v>
      </c>
      <c r="X2788" t="s">
        <v>44909</v>
      </c>
    </row>
    <row r="2789" spans="1:24">
      <c r="A2789">
        <f>HYPERLINK("https://www.philgeps.gov.ph/GEPSNONPILOT/Tender/SplashBidNoticeAbstractUI.aspx?menuIndex=3&amp;refID=7079005&amp;Result=3","7079005")</f>
        <v>0</v>
      </c>
      <c r="B2789" t="s">
        <v>575</v>
      </c>
      <c r="C2789" t="s">
        <v>6191</v>
      </c>
      <c r="D2789" t="s">
        <v>18108</v>
      </c>
      <c r="E2789" t="s">
        <v>20745</v>
      </c>
      <c r="F2789" t="s">
        <v>31362</v>
      </c>
      <c r="G2789" t="s">
        <v>31369</v>
      </c>
      <c r="H2789" t="s">
        <v>15799</v>
      </c>
      <c r="I2789" t="s">
        <v>3815</v>
      </c>
      <c r="J2789" t="s">
        <v>33404</v>
      </c>
      <c r="K2789" t="s">
        <v>40665</v>
      </c>
      <c r="M2789" t="s">
        <v>41531</v>
      </c>
      <c r="N2789" t="s">
        <v>44905</v>
      </c>
      <c r="O2789" t="s">
        <v>44906</v>
      </c>
      <c r="P2789">
        <v>0</v>
      </c>
      <c r="Q2789">
        <v>1</v>
      </c>
      <c r="R2789" t="s">
        <v>44908</v>
      </c>
      <c r="S2789" t="s">
        <v>45042</v>
      </c>
      <c r="T2789" t="s">
        <v>46431</v>
      </c>
      <c r="U2789" t="s">
        <v>49224</v>
      </c>
      <c r="W2789" t="s">
        <v>41531</v>
      </c>
      <c r="X2789" t="s">
        <v>44909</v>
      </c>
    </row>
    <row r="2790" spans="1:24">
      <c r="A2790">
        <f>HYPERLINK("https://www.philgeps.gov.ph/GEPSNONPILOT/Tender/SplashBidNoticeAbstractUI.aspx?menuIndex=3&amp;refID=7079004&amp;Result=3","7079004")</f>
        <v>0</v>
      </c>
      <c r="B2790" t="s">
        <v>1046</v>
      </c>
      <c r="C2790" t="s">
        <v>6192</v>
      </c>
      <c r="D2790" t="s">
        <v>18108</v>
      </c>
      <c r="E2790" t="s">
        <v>20746</v>
      </c>
      <c r="F2790" t="s">
        <v>31362</v>
      </c>
      <c r="G2790" t="s">
        <v>31369</v>
      </c>
      <c r="H2790" t="s">
        <v>31378</v>
      </c>
      <c r="I2790" t="s">
        <v>31386</v>
      </c>
      <c r="J2790" t="s">
        <v>33405</v>
      </c>
      <c r="K2790" t="s">
        <v>40683</v>
      </c>
      <c r="M2790" t="s">
        <v>42045</v>
      </c>
      <c r="N2790" t="s">
        <v>44905</v>
      </c>
      <c r="O2790" t="s">
        <v>44906</v>
      </c>
      <c r="P2790">
        <v>0</v>
      </c>
      <c r="Q2790">
        <v>3</v>
      </c>
      <c r="R2790" t="s">
        <v>44908</v>
      </c>
      <c r="S2790" t="s">
        <v>45042</v>
      </c>
      <c r="T2790" t="s">
        <v>46401</v>
      </c>
      <c r="U2790" t="s">
        <v>49225</v>
      </c>
      <c r="V2790" t="s">
        <v>59354</v>
      </c>
      <c r="W2790" t="s">
        <v>42045</v>
      </c>
      <c r="X2790" t="s">
        <v>44909</v>
      </c>
    </row>
    <row r="2791" spans="1:24">
      <c r="A2791">
        <f>HYPERLINK("https://www.philgeps.gov.ph/GEPSNONPILOT/Tender/SplashBidNoticeAbstractUI.aspx?menuIndex=3&amp;refID=7078985&amp;Result=3","7078985")</f>
        <v>0</v>
      </c>
      <c r="B2791" t="s">
        <v>1060</v>
      </c>
      <c r="C2791" t="s">
        <v>6193</v>
      </c>
      <c r="D2791" t="s">
        <v>18117</v>
      </c>
      <c r="E2791" t="s">
        <v>20747</v>
      </c>
      <c r="F2791" t="s">
        <v>31362</v>
      </c>
      <c r="G2791" t="s">
        <v>31368</v>
      </c>
      <c r="H2791" t="s">
        <v>15799</v>
      </c>
      <c r="I2791" t="s">
        <v>13635</v>
      </c>
      <c r="J2791" t="s">
        <v>33406</v>
      </c>
      <c r="K2791" t="s">
        <v>40666</v>
      </c>
      <c r="M2791" t="s">
        <v>42062</v>
      </c>
      <c r="N2791" t="s">
        <v>44905</v>
      </c>
      <c r="O2791" t="s">
        <v>44906</v>
      </c>
      <c r="P2791">
        <v>0</v>
      </c>
      <c r="Q2791">
        <v>0</v>
      </c>
      <c r="R2791" t="s">
        <v>44908</v>
      </c>
      <c r="S2791" t="s">
        <v>45042</v>
      </c>
      <c r="T2791" t="s">
        <v>46478</v>
      </c>
      <c r="U2791" t="s">
        <v>49226</v>
      </c>
      <c r="W2791" t="s">
        <v>42062</v>
      </c>
      <c r="X2791" t="s">
        <v>44909</v>
      </c>
    </row>
    <row r="2792" spans="1:24">
      <c r="A2792">
        <f>HYPERLINK("https://www.philgeps.gov.ph/GEPSNONPILOT/Tender/SplashBidNoticeAbstractUI.aspx?menuIndex=3&amp;refID=7079002&amp;Result=3","7079002")</f>
        <v>0</v>
      </c>
      <c r="B2792" t="s">
        <v>1061</v>
      </c>
      <c r="C2792" t="s">
        <v>6194</v>
      </c>
      <c r="D2792" t="s">
        <v>18110</v>
      </c>
      <c r="E2792" t="s">
        <v>20748</v>
      </c>
      <c r="F2792" t="s">
        <v>31362</v>
      </c>
      <c r="G2792" t="s">
        <v>31370</v>
      </c>
      <c r="H2792" t="s">
        <v>15799</v>
      </c>
      <c r="I2792" t="s">
        <v>31427</v>
      </c>
      <c r="J2792" t="s">
        <v>33407</v>
      </c>
      <c r="K2792" t="s">
        <v>40661</v>
      </c>
      <c r="M2792" t="s">
        <v>42063</v>
      </c>
      <c r="N2792" t="s">
        <v>44905</v>
      </c>
      <c r="O2792" t="s">
        <v>44906</v>
      </c>
      <c r="P2792">
        <v>0</v>
      </c>
      <c r="Q2792">
        <v>9</v>
      </c>
      <c r="R2792" t="s">
        <v>44908</v>
      </c>
      <c r="S2792" t="s">
        <v>45042</v>
      </c>
      <c r="T2792" t="s">
        <v>46503</v>
      </c>
      <c r="U2792" t="s">
        <v>49227</v>
      </c>
      <c r="V2792" t="s">
        <v>59357</v>
      </c>
      <c r="W2792" t="s">
        <v>60881</v>
      </c>
      <c r="X2792" t="s">
        <v>44909</v>
      </c>
    </row>
    <row r="2793" spans="1:24">
      <c r="A2793">
        <f>HYPERLINK("https://www.philgeps.gov.ph/GEPSNONPILOT/Tender/SplashBidNoticeAbstractUI.aspx?menuIndex=3&amp;refID=7079001&amp;Result=3","7079001")</f>
        <v>0</v>
      </c>
      <c r="B2793" t="s">
        <v>369</v>
      </c>
      <c r="C2793" t="s">
        <v>6195</v>
      </c>
      <c r="D2793" t="s">
        <v>18152</v>
      </c>
      <c r="E2793" t="s">
        <v>18868</v>
      </c>
      <c r="F2793" t="s">
        <v>31362</v>
      </c>
      <c r="G2793" t="s">
        <v>31369</v>
      </c>
      <c r="H2793" t="s">
        <v>15799</v>
      </c>
      <c r="I2793" t="s">
        <v>31387</v>
      </c>
      <c r="J2793" t="s">
        <v>33408</v>
      </c>
      <c r="K2793" t="s">
        <v>40670</v>
      </c>
      <c r="M2793" t="s">
        <v>41316</v>
      </c>
      <c r="N2793" t="s">
        <v>44905</v>
      </c>
      <c r="O2793" t="s">
        <v>44906</v>
      </c>
      <c r="P2793">
        <v>0</v>
      </c>
      <c r="Q2793">
        <v>1</v>
      </c>
      <c r="R2793" t="s">
        <v>44908</v>
      </c>
      <c r="S2793" t="s">
        <v>45042</v>
      </c>
      <c r="T2793" t="s">
        <v>46524</v>
      </c>
      <c r="U2793" t="s">
        <v>49228</v>
      </c>
      <c r="W2793" t="s">
        <v>41316</v>
      </c>
      <c r="X2793" t="s">
        <v>44909</v>
      </c>
    </row>
    <row r="2794" spans="1:24">
      <c r="A2794">
        <f>HYPERLINK("https://www.philgeps.gov.ph/GEPSNONPILOT/Tender/SplashBidNoticeAbstractUI.aspx?menuIndex=3&amp;refID=7078999&amp;Result=3","7078999")</f>
        <v>0</v>
      </c>
      <c r="B2794" t="s">
        <v>350</v>
      </c>
      <c r="C2794" t="s">
        <v>6196</v>
      </c>
      <c r="D2794" t="s">
        <v>18169</v>
      </c>
      <c r="E2794" t="s">
        <v>20749</v>
      </c>
      <c r="F2794" t="s">
        <v>31362</v>
      </c>
      <c r="G2794" t="s">
        <v>31368</v>
      </c>
      <c r="H2794" t="s">
        <v>15799</v>
      </c>
      <c r="I2794" t="s">
        <v>31385</v>
      </c>
      <c r="J2794" t="s">
        <v>33409</v>
      </c>
      <c r="K2794" t="s">
        <v>40662</v>
      </c>
      <c r="M2794" t="s">
        <v>41296</v>
      </c>
      <c r="N2794" t="s">
        <v>44905</v>
      </c>
      <c r="O2794" t="s">
        <v>44906</v>
      </c>
      <c r="P2794">
        <v>0</v>
      </c>
      <c r="Q2794">
        <v>9</v>
      </c>
      <c r="R2794" t="s">
        <v>44908</v>
      </c>
      <c r="S2794" t="s">
        <v>45042</v>
      </c>
      <c r="T2794" t="s">
        <v>46454</v>
      </c>
      <c r="U2794" t="s">
        <v>47521</v>
      </c>
      <c r="V2794" t="s">
        <v>59358</v>
      </c>
      <c r="W2794" t="s">
        <v>41296</v>
      </c>
      <c r="X2794" t="s">
        <v>44909</v>
      </c>
    </row>
    <row r="2795" spans="1:24">
      <c r="A2795">
        <f>HYPERLINK("https://www.philgeps.gov.ph/GEPSNONPILOT/Tender/SplashBidNoticeAbstractUI.aspx?menuIndex=3&amp;refID=7079008&amp;Result=3","7079008")</f>
        <v>0</v>
      </c>
      <c r="B2795" t="s">
        <v>428</v>
      </c>
      <c r="C2795" t="s">
        <v>6197</v>
      </c>
      <c r="D2795" t="s">
        <v>18148</v>
      </c>
      <c r="E2795" t="s">
        <v>20750</v>
      </c>
      <c r="F2795" t="s">
        <v>31362</v>
      </c>
      <c r="G2795" t="s">
        <v>31368</v>
      </c>
      <c r="H2795" t="s">
        <v>15799</v>
      </c>
      <c r="I2795" t="s">
        <v>31420</v>
      </c>
      <c r="J2795" t="s">
        <v>33410</v>
      </c>
      <c r="K2795" t="s">
        <v>40697</v>
      </c>
      <c r="M2795" t="s">
        <v>41379</v>
      </c>
      <c r="N2795" t="s">
        <v>44905</v>
      </c>
      <c r="O2795" t="s">
        <v>44906</v>
      </c>
      <c r="P2795">
        <v>0</v>
      </c>
      <c r="Q2795">
        <v>3</v>
      </c>
      <c r="R2795" t="s">
        <v>44908</v>
      </c>
      <c r="S2795" t="s">
        <v>45042</v>
      </c>
      <c r="T2795" t="s">
        <v>46425</v>
      </c>
      <c r="U2795" t="s">
        <v>49229</v>
      </c>
      <c r="W2795" t="s">
        <v>41379</v>
      </c>
      <c r="X2795" t="s">
        <v>44909</v>
      </c>
    </row>
    <row r="2796" spans="1:24">
      <c r="A2796">
        <f>HYPERLINK("https://www.philgeps.gov.ph/GEPSNONPILOT/Tender/SplashBidNoticeAbstractUI.aspx?menuIndex=3&amp;refID=7078998&amp;Result=3","7078998")</f>
        <v>0</v>
      </c>
      <c r="B2796" t="s">
        <v>258</v>
      </c>
      <c r="C2796" t="s">
        <v>6198</v>
      </c>
      <c r="D2796" t="s">
        <v>18141</v>
      </c>
      <c r="E2796" t="s">
        <v>20751</v>
      </c>
      <c r="F2796" t="s">
        <v>31362</v>
      </c>
      <c r="G2796" t="s">
        <v>31368</v>
      </c>
      <c r="H2796" t="s">
        <v>15799</v>
      </c>
      <c r="I2796" t="s">
        <v>7719</v>
      </c>
      <c r="J2796" t="s">
        <v>31722</v>
      </c>
      <c r="K2796" t="s">
        <v>40677</v>
      </c>
      <c r="M2796" t="s">
        <v>41199</v>
      </c>
      <c r="N2796" t="s">
        <v>44905</v>
      </c>
      <c r="O2796" t="s">
        <v>44906</v>
      </c>
      <c r="P2796">
        <v>0</v>
      </c>
      <c r="Q2796">
        <v>8</v>
      </c>
      <c r="R2796" t="s">
        <v>44908</v>
      </c>
      <c r="S2796" t="s">
        <v>45042</v>
      </c>
      <c r="T2796" t="s">
        <v>46416</v>
      </c>
      <c r="U2796" t="s">
        <v>49230</v>
      </c>
      <c r="W2796" t="s">
        <v>41199</v>
      </c>
      <c r="X2796" t="s">
        <v>44909</v>
      </c>
    </row>
    <row r="2797" spans="1:24">
      <c r="A2797">
        <f>HYPERLINK("https://www.philgeps.gov.ph/GEPSNONPILOT/Tender/SplashBidNoticeAbstractUI.aspx?menuIndex=3&amp;refID=7079017&amp;Result=3","7079017")</f>
        <v>0</v>
      </c>
      <c r="B2797" t="s">
        <v>478</v>
      </c>
      <c r="C2797" t="s">
        <v>6199</v>
      </c>
      <c r="E2797" t="s">
        <v>20752</v>
      </c>
      <c r="F2797" t="s">
        <v>31362</v>
      </c>
      <c r="G2797" t="s">
        <v>31368</v>
      </c>
      <c r="H2797" t="s">
        <v>15799</v>
      </c>
      <c r="I2797" t="s">
        <v>31461</v>
      </c>
      <c r="J2797" t="s">
        <v>33411</v>
      </c>
      <c r="K2797" t="s">
        <v>40661</v>
      </c>
      <c r="M2797" t="s">
        <v>41432</v>
      </c>
      <c r="N2797" t="s">
        <v>44905</v>
      </c>
      <c r="O2797" t="s">
        <v>44906</v>
      </c>
      <c r="P2797">
        <v>0</v>
      </c>
      <c r="Q2797">
        <v>0</v>
      </c>
      <c r="R2797" t="s">
        <v>44908</v>
      </c>
      <c r="S2797" t="s">
        <v>45042</v>
      </c>
      <c r="T2797" t="s">
        <v>46633</v>
      </c>
      <c r="U2797" t="s">
        <v>49231</v>
      </c>
      <c r="W2797" t="s">
        <v>41432</v>
      </c>
      <c r="X2797" t="s">
        <v>44909</v>
      </c>
    </row>
    <row r="2798" spans="1:24">
      <c r="A2798">
        <f>HYPERLINK("https://www.philgeps.gov.ph/GEPSNONPILOT/Tender/SplashBidNoticeAbstractUI.aspx?menuIndex=3&amp;refID=7078981&amp;Result=3","7078981")</f>
        <v>0</v>
      </c>
      <c r="B2798" t="s">
        <v>966</v>
      </c>
      <c r="C2798" t="s">
        <v>6200</v>
      </c>
      <c r="D2798" t="s">
        <v>18103</v>
      </c>
      <c r="E2798" t="s">
        <v>20753</v>
      </c>
      <c r="F2798" t="s">
        <v>31362</v>
      </c>
      <c r="G2798" t="s">
        <v>31368</v>
      </c>
      <c r="H2798" t="s">
        <v>15799</v>
      </c>
      <c r="I2798" t="s">
        <v>3815</v>
      </c>
      <c r="J2798" t="s">
        <v>33412</v>
      </c>
      <c r="K2798" t="s">
        <v>40661</v>
      </c>
      <c r="M2798" t="s">
        <v>41956</v>
      </c>
      <c r="N2798" t="s">
        <v>44905</v>
      </c>
      <c r="O2798" t="s">
        <v>44906</v>
      </c>
      <c r="P2798">
        <v>0</v>
      </c>
      <c r="Q2798">
        <v>0</v>
      </c>
      <c r="R2798" t="s">
        <v>44908</v>
      </c>
      <c r="S2798" t="s">
        <v>45042</v>
      </c>
      <c r="T2798" t="s">
        <v>46454</v>
      </c>
      <c r="U2798" t="s">
        <v>49232</v>
      </c>
      <c r="V2798" t="s">
        <v>59312</v>
      </c>
      <c r="W2798" t="s">
        <v>41956</v>
      </c>
      <c r="X2798" t="s">
        <v>44909</v>
      </c>
    </row>
    <row r="2799" spans="1:24">
      <c r="A2799">
        <f>HYPERLINK("https://www.philgeps.gov.ph/GEPSNONPILOT/Tender/SplashBidNoticeAbstractUI.aspx?menuIndex=3&amp;refID=7079045&amp;Result=3","7079045")</f>
        <v>0</v>
      </c>
      <c r="B2799" t="s">
        <v>1062</v>
      </c>
      <c r="C2799" t="s">
        <v>6201</v>
      </c>
      <c r="D2799" t="s">
        <v>18102</v>
      </c>
      <c r="E2799" t="s">
        <v>20754</v>
      </c>
      <c r="F2799" t="s">
        <v>31362</v>
      </c>
      <c r="G2799" t="s">
        <v>31369</v>
      </c>
      <c r="H2799" t="s">
        <v>15799</v>
      </c>
      <c r="I2799" t="s">
        <v>31409</v>
      </c>
      <c r="J2799" t="s">
        <v>31753</v>
      </c>
      <c r="K2799" t="s">
        <v>40662</v>
      </c>
      <c r="M2799" t="s">
        <v>42064</v>
      </c>
      <c r="N2799" t="s">
        <v>44905</v>
      </c>
      <c r="O2799" t="s">
        <v>44906</v>
      </c>
      <c r="P2799">
        <v>0</v>
      </c>
      <c r="Q2799">
        <v>4</v>
      </c>
      <c r="R2799" t="s">
        <v>44908</v>
      </c>
      <c r="S2799" t="s">
        <v>45042</v>
      </c>
      <c r="T2799" t="s">
        <v>46404</v>
      </c>
      <c r="U2799" t="s">
        <v>49233</v>
      </c>
      <c r="W2799" t="s">
        <v>42064</v>
      </c>
      <c r="X2799" t="s">
        <v>44909</v>
      </c>
    </row>
    <row r="2800" spans="1:24">
      <c r="A2800">
        <f>HYPERLINK("https://www.philgeps.gov.ph/GEPSNONPILOT/Tender/SplashBidNoticeAbstractUI.aspx?menuIndex=3&amp;refID=7079015&amp;Result=3","7079015")</f>
        <v>0</v>
      </c>
      <c r="B2800" t="s">
        <v>1060</v>
      </c>
      <c r="C2800" t="s">
        <v>6202</v>
      </c>
      <c r="D2800" t="s">
        <v>18117</v>
      </c>
      <c r="E2800" t="s">
        <v>20755</v>
      </c>
      <c r="F2800" t="s">
        <v>31362</v>
      </c>
      <c r="G2800" t="s">
        <v>31368</v>
      </c>
      <c r="H2800" t="s">
        <v>15799</v>
      </c>
      <c r="I2800" t="s">
        <v>31423</v>
      </c>
      <c r="J2800" t="s">
        <v>32553</v>
      </c>
      <c r="K2800" t="s">
        <v>40665</v>
      </c>
      <c r="M2800" t="s">
        <v>42062</v>
      </c>
      <c r="N2800" t="s">
        <v>44905</v>
      </c>
      <c r="O2800" t="s">
        <v>44906</v>
      </c>
      <c r="P2800">
        <v>0</v>
      </c>
      <c r="Q2800">
        <v>0</v>
      </c>
      <c r="R2800" t="s">
        <v>44908</v>
      </c>
      <c r="S2800" t="s">
        <v>45042</v>
      </c>
      <c r="T2800" t="s">
        <v>46478</v>
      </c>
      <c r="U2800" t="s">
        <v>49234</v>
      </c>
      <c r="W2800" t="s">
        <v>42062</v>
      </c>
      <c r="X2800" t="s">
        <v>44909</v>
      </c>
    </row>
    <row r="2801" spans="1:24">
      <c r="A2801">
        <f>HYPERLINK("https://www.philgeps.gov.ph/GEPSNONPILOT/Tender/SplashBidNoticeAbstractUI.aspx?menuIndex=3&amp;refID=7079000&amp;Result=3","7079000")</f>
        <v>0</v>
      </c>
      <c r="B2801" t="s">
        <v>1063</v>
      </c>
      <c r="C2801" t="s">
        <v>6203</v>
      </c>
      <c r="D2801" t="s">
        <v>18177</v>
      </c>
      <c r="E2801" t="s">
        <v>18464</v>
      </c>
      <c r="F2801" t="s">
        <v>31362</v>
      </c>
      <c r="G2801" t="s">
        <v>31370</v>
      </c>
      <c r="H2801" t="s">
        <v>15799</v>
      </c>
      <c r="I2801" t="s">
        <v>4057</v>
      </c>
      <c r="J2801" t="s">
        <v>33413</v>
      </c>
      <c r="K2801" t="s">
        <v>40697</v>
      </c>
      <c r="M2801" t="s">
        <v>42065</v>
      </c>
      <c r="N2801" t="s">
        <v>44905</v>
      </c>
      <c r="O2801" t="s">
        <v>44906</v>
      </c>
      <c r="P2801">
        <v>0</v>
      </c>
      <c r="Q2801">
        <v>1</v>
      </c>
      <c r="R2801" t="s">
        <v>44908</v>
      </c>
      <c r="S2801" t="s">
        <v>45042</v>
      </c>
      <c r="T2801" t="s">
        <v>46414</v>
      </c>
      <c r="U2801" t="s">
        <v>49235</v>
      </c>
      <c r="W2801" t="s">
        <v>42065</v>
      </c>
      <c r="X2801" t="s">
        <v>44909</v>
      </c>
    </row>
    <row r="2802" spans="1:24">
      <c r="A2802">
        <f>HYPERLINK("https://www.philgeps.gov.ph/GEPSNONPILOT/Tender/SplashBidNoticeAbstractUI.aspx?menuIndex=3&amp;refID=7079044&amp;Result=3","7079044")</f>
        <v>0</v>
      </c>
      <c r="B2802" t="s">
        <v>406</v>
      </c>
      <c r="C2802" t="s">
        <v>6204</v>
      </c>
      <c r="E2802" t="s">
        <v>20756</v>
      </c>
      <c r="F2802" t="s">
        <v>31362</v>
      </c>
      <c r="G2802" t="s">
        <v>31368</v>
      </c>
      <c r="H2802" t="s">
        <v>15799</v>
      </c>
      <c r="I2802" t="s">
        <v>7090</v>
      </c>
      <c r="J2802" t="s">
        <v>31897</v>
      </c>
      <c r="K2802" t="s">
        <v>40662</v>
      </c>
      <c r="M2802" t="s">
        <v>41356</v>
      </c>
      <c r="N2802" t="s">
        <v>44905</v>
      </c>
      <c r="O2802" t="s">
        <v>44906</v>
      </c>
      <c r="P2802">
        <v>0</v>
      </c>
      <c r="Q2802">
        <v>2</v>
      </c>
      <c r="R2802" t="s">
        <v>44908</v>
      </c>
      <c r="S2802" t="s">
        <v>45042</v>
      </c>
      <c r="T2802" t="s">
        <v>46414</v>
      </c>
      <c r="U2802" t="s">
        <v>46933</v>
      </c>
      <c r="W2802" t="s">
        <v>41356</v>
      </c>
      <c r="X2802" t="s">
        <v>44909</v>
      </c>
    </row>
    <row r="2803" spans="1:24">
      <c r="A2803">
        <f>HYPERLINK("https://www.philgeps.gov.ph/GEPSNONPILOT/Tender/SplashBidNoticeAbstractUI.aspx?menuIndex=3&amp;refID=7079040&amp;Result=3","7079040")</f>
        <v>0</v>
      </c>
      <c r="B2803" t="s">
        <v>1044</v>
      </c>
      <c r="C2803" t="s">
        <v>6205</v>
      </c>
      <c r="D2803" t="s">
        <v>18100</v>
      </c>
      <c r="E2803" t="s">
        <v>19039</v>
      </c>
      <c r="F2803" t="s">
        <v>31362</v>
      </c>
      <c r="G2803" t="s">
        <v>31368</v>
      </c>
      <c r="H2803" t="s">
        <v>15799</v>
      </c>
      <c r="I2803" t="s">
        <v>31383</v>
      </c>
      <c r="J2803" t="s">
        <v>33414</v>
      </c>
      <c r="K2803" t="s">
        <v>40666</v>
      </c>
      <c r="M2803" t="s">
        <v>42043</v>
      </c>
      <c r="N2803" t="s">
        <v>44905</v>
      </c>
      <c r="O2803" t="s">
        <v>44906</v>
      </c>
      <c r="P2803">
        <v>0</v>
      </c>
      <c r="Q2803">
        <v>2</v>
      </c>
      <c r="R2803" t="s">
        <v>44908</v>
      </c>
      <c r="S2803" t="s">
        <v>45042</v>
      </c>
      <c r="T2803" t="s">
        <v>46634</v>
      </c>
      <c r="U2803" t="s">
        <v>49236</v>
      </c>
      <c r="W2803" t="s">
        <v>42043</v>
      </c>
      <c r="X2803" t="s">
        <v>44909</v>
      </c>
    </row>
    <row r="2804" spans="1:24">
      <c r="A2804">
        <f>HYPERLINK("https://www.philgeps.gov.ph/GEPSNONPILOT/Tender/SplashBidNoticeAbstractUI.aspx?menuIndex=3&amp;refID=7079038&amp;Result=3","7079038")</f>
        <v>0</v>
      </c>
      <c r="B2804" t="s">
        <v>1064</v>
      </c>
      <c r="C2804" t="s">
        <v>6206</v>
      </c>
      <c r="D2804" t="s">
        <v>18116</v>
      </c>
      <c r="E2804" t="s">
        <v>19255</v>
      </c>
      <c r="F2804" t="s">
        <v>31362</v>
      </c>
      <c r="G2804" t="s">
        <v>31369</v>
      </c>
      <c r="H2804" t="s">
        <v>15799</v>
      </c>
      <c r="I2804" t="s">
        <v>4283</v>
      </c>
      <c r="J2804" t="s">
        <v>33415</v>
      </c>
      <c r="K2804" t="s">
        <v>40666</v>
      </c>
      <c r="M2804" t="s">
        <v>42066</v>
      </c>
      <c r="N2804" t="s">
        <v>44905</v>
      </c>
      <c r="O2804" t="s">
        <v>44906</v>
      </c>
      <c r="P2804">
        <v>0</v>
      </c>
      <c r="Q2804">
        <v>1</v>
      </c>
      <c r="R2804" t="s">
        <v>44908</v>
      </c>
      <c r="S2804" t="s">
        <v>45042</v>
      </c>
      <c r="T2804" t="s">
        <v>46483</v>
      </c>
      <c r="U2804" t="s">
        <v>49237</v>
      </c>
      <c r="W2804" t="s">
        <v>42066</v>
      </c>
      <c r="X2804" t="s">
        <v>44909</v>
      </c>
    </row>
    <row r="2805" spans="1:24">
      <c r="A2805">
        <f>HYPERLINK("https://www.philgeps.gov.ph/GEPSNONPILOT/Tender/SplashBidNoticeAbstractUI.aspx?menuIndex=3&amp;refID=7079026&amp;Result=3","7079026")</f>
        <v>0</v>
      </c>
      <c r="B2805" t="s">
        <v>1065</v>
      </c>
      <c r="C2805" t="s">
        <v>6207</v>
      </c>
      <c r="D2805" t="s">
        <v>18110</v>
      </c>
      <c r="E2805" t="s">
        <v>20757</v>
      </c>
      <c r="F2805" t="s">
        <v>31362</v>
      </c>
      <c r="G2805" t="s">
        <v>31369</v>
      </c>
      <c r="H2805" t="s">
        <v>15799</v>
      </c>
      <c r="I2805" t="s">
        <v>3815</v>
      </c>
      <c r="J2805" t="s">
        <v>33416</v>
      </c>
      <c r="K2805" t="s">
        <v>40661</v>
      </c>
      <c r="M2805" t="s">
        <v>42067</v>
      </c>
      <c r="N2805" t="s">
        <v>44905</v>
      </c>
      <c r="O2805" t="s">
        <v>44906</v>
      </c>
      <c r="P2805">
        <v>0</v>
      </c>
      <c r="Q2805">
        <v>2</v>
      </c>
      <c r="R2805" t="s">
        <v>44908</v>
      </c>
      <c r="S2805" t="s">
        <v>45042</v>
      </c>
      <c r="T2805" t="s">
        <v>46635</v>
      </c>
      <c r="U2805" t="s">
        <v>49238</v>
      </c>
      <c r="V2805" t="s">
        <v>59359</v>
      </c>
      <c r="W2805" t="s">
        <v>42067</v>
      </c>
      <c r="X2805" t="s">
        <v>44909</v>
      </c>
    </row>
    <row r="2806" spans="1:24">
      <c r="A2806">
        <f>HYPERLINK("https://www.philgeps.gov.ph/GEPSNONPILOT/Tender/SplashBidNoticeAbstractUI.aspx?menuIndex=3&amp;refID=7079035&amp;Result=3","7079035")</f>
        <v>0</v>
      </c>
      <c r="B2806" t="s">
        <v>725</v>
      </c>
      <c r="C2806" t="s">
        <v>6208</v>
      </c>
      <c r="D2806" t="s">
        <v>18151</v>
      </c>
      <c r="E2806" t="s">
        <v>20758</v>
      </c>
      <c r="F2806" t="s">
        <v>31362</v>
      </c>
      <c r="G2806" t="s">
        <v>31369</v>
      </c>
      <c r="H2806" t="s">
        <v>15799</v>
      </c>
      <c r="I2806" t="s">
        <v>31409</v>
      </c>
      <c r="J2806" t="s">
        <v>31606</v>
      </c>
      <c r="K2806" t="s">
        <v>40665</v>
      </c>
      <c r="M2806" t="s">
        <v>41690</v>
      </c>
      <c r="N2806" t="s">
        <v>44905</v>
      </c>
      <c r="O2806" t="s">
        <v>44906</v>
      </c>
      <c r="Q2806">
        <v>3</v>
      </c>
      <c r="R2806" t="s">
        <v>44908</v>
      </c>
      <c r="S2806" t="s">
        <v>45048</v>
      </c>
      <c r="T2806" t="s">
        <v>46396</v>
      </c>
      <c r="U2806" t="s">
        <v>49239</v>
      </c>
      <c r="W2806" t="s">
        <v>41690</v>
      </c>
      <c r="X2806" t="s">
        <v>44909</v>
      </c>
    </row>
    <row r="2807" spans="1:24">
      <c r="A2807">
        <f>HYPERLINK("https://www.philgeps.gov.ph/GEPSNONPILOT/Tender/SplashBidNoticeAbstractUI.aspx?menuIndex=3&amp;refID=7079022&amp;Result=3","7079022")</f>
        <v>0</v>
      </c>
      <c r="B2807" t="s">
        <v>1046</v>
      </c>
      <c r="C2807" t="s">
        <v>6209</v>
      </c>
      <c r="D2807" t="s">
        <v>18108</v>
      </c>
      <c r="E2807" t="s">
        <v>20759</v>
      </c>
      <c r="F2807" t="s">
        <v>31362</v>
      </c>
      <c r="G2807" t="s">
        <v>31369</v>
      </c>
      <c r="H2807" t="s">
        <v>31378</v>
      </c>
      <c r="I2807" t="s">
        <v>31386</v>
      </c>
      <c r="J2807" t="s">
        <v>33417</v>
      </c>
      <c r="K2807" t="s">
        <v>40692</v>
      </c>
      <c r="M2807" t="s">
        <v>42045</v>
      </c>
      <c r="N2807" t="s">
        <v>44905</v>
      </c>
      <c r="O2807" t="s">
        <v>44906</v>
      </c>
      <c r="P2807">
        <v>0</v>
      </c>
      <c r="Q2807">
        <v>2</v>
      </c>
      <c r="R2807" t="s">
        <v>44908</v>
      </c>
      <c r="S2807" t="s">
        <v>45042</v>
      </c>
      <c r="T2807" t="s">
        <v>46401</v>
      </c>
      <c r="U2807" t="s">
        <v>49240</v>
      </c>
      <c r="V2807" t="s">
        <v>59354</v>
      </c>
      <c r="W2807" t="s">
        <v>42045</v>
      </c>
      <c r="X2807" t="s">
        <v>44909</v>
      </c>
    </row>
    <row r="2808" spans="1:24">
      <c r="A2808">
        <f>HYPERLINK("https://www.philgeps.gov.ph/GEPSNONPILOT/Tender/SplashBidNoticeAbstractUI.aspx?menuIndex=3&amp;refID=7079049&amp;Result=3","7079049")</f>
        <v>0</v>
      </c>
      <c r="B2808" t="s">
        <v>1066</v>
      </c>
      <c r="C2808" t="s">
        <v>6210</v>
      </c>
      <c r="D2808" t="s">
        <v>18125</v>
      </c>
      <c r="E2808" t="s">
        <v>20760</v>
      </c>
      <c r="F2808" t="s">
        <v>31362</v>
      </c>
      <c r="G2808" t="s">
        <v>31368</v>
      </c>
      <c r="H2808" t="s">
        <v>15799</v>
      </c>
      <c r="I2808" t="s">
        <v>31380</v>
      </c>
      <c r="J2808" t="s">
        <v>33418</v>
      </c>
      <c r="K2808" t="s">
        <v>40670</v>
      </c>
      <c r="M2808" t="s">
        <v>42068</v>
      </c>
      <c r="N2808" t="s">
        <v>44905</v>
      </c>
      <c r="O2808" t="s">
        <v>44906</v>
      </c>
      <c r="P2808">
        <v>0</v>
      </c>
      <c r="Q2808">
        <v>2</v>
      </c>
      <c r="R2808" t="s">
        <v>44908</v>
      </c>
      <c r="S2808" t="s">
        <v>45042</v>
      </c>
      <c r="T2808" t="s">
        <v>46432</v>
      </c>
      <c r="U2808" t="s">
        <v>49241</v>
      </c>
      <c r="W2808" t="s">
        <v>42068</v>
      </c>
      <c r="X2808" t="s">
        <v>44909</v>
      </c>
    </row>
    <row r="2809" spans="1:24">
      <c r="A2809">
        <f>HYPERLINK("https://www.philgeps.gov.ph/GEPSNONPILOT/Tender/SplashBidNoticeAbstractUI.aspx?menuIndex=3&amp;refID=7079024&amp;Result=3","7079024")</f>
        <v>0</v>
      </c>
      <c r="B2809" t="s">
        <v>369</v>
      </c>
      <c r="C2809" t="s">
        <v>6211</v>
      </c>
      <c r="D2809" t="s">
        <v>18152</v>
      </c>
      <c r="E2809" t="s">
        <v>18981</v>
      </c>
      <c r="F2809" t="s">
        <v>31362</v>
      </c>
      <c r="G2809" t="s">
        <v>31369</v>
      </c>
      <c r="H2809" t="s">
        <v>15799</v>
      </c>
      <c r="I2809" t="s">
        <v>31427</v>
      </c>
      <c r="J2809" t="s">
        <v>33419</v>
      </c>
      <c r="K2809" t="s">
        <v>40670</v>
      </c>
      <c r="M2809" t="s">
        <v>41316</v>
      </c>
      <c r="N2809" t="s">
        <v>44905</v>
      </c>
      <c r="O2809" t="s">
        <v>44906</v>
      </c>
      <c r="P2809">
        <v>0</v>
      </c>
      <c r="Q2809">
        <v>0</v>
      </c>
      <c r="R2809" t="s">
        <v>44908</v>
      </c>
      <c r="S2809" t="s">
        <v>45042</v>
      </c>
      <c r="T2809" t="s">
        <v>46524</v>
      </c>
      <c r="U2809" t="s">
        <v>49242</v>
      </c>
      <c r="W2809" t="s">
        <v>41316</v>
      </c>
      <c r="X2809" t="s">
        <v>44909</v>
      </c>
    </row>
    <row r="2810" spans="1:24">
      <c r="A2810">
        <f>HYPERLINK("https://www.philgeps.gov.ph/GEPSNONPILOT/Tender/SplashBidNoticeAbstractUI.aspx?menuIndex=3&amp;refID=7079037&amp;Result=3","7079037")</f>
        <v>0</v>
      </c>
      <c r="B2810" t="s">
        <v>591</v>
      </c>
      <c r="C2810" t="s">
        <v>6212</v>
      </c>
      <c r="D2810" t="s">
        <v>18109</v>
      </c>
      <c r="E2810" t="s">
        <v>6212</v>
      </c>
      <c r="F2810" t="s">
        <v>31362</v>
      </c>
      <c r="G2810" t="s">
        <v>31368</v>
      </c>
      <c r="H2810" t="s">
        <v>15799</v>
      </c>
      <c r="I2810" t="s">
        <v>31385</v>
      </c>
      <c r="J2810" t="s">
        <v>32308</v>
      </c>
      <c r="K2810" t="s">
        <v>40666</v>
      </c>
      <c r="M2810" t="s">
        <v>41548</v>
      </c>
      <c r="N2810" t="s">
        <v>44905</v>
      </c>
      <c r="O2810" t="s">
        <v>44906</v>
      </c>
      <c r="P2810">
        <v>0</v>
      </c>
      <c r="Q2810">
        <v>1</v>
      </c>
      <c r="R2810" t="s">
        <v>44908</v>
      </c>
      <c r="S2810" t="s">
        <v>45042</v>
      </c>
      <c r="T2810" t="s">
        <v>46432</v>
      </c>
      <c r="U2810" t="s">
        <v>48056</v>
      </c>
      <c r="W2810" t="s">
        <v>41548</v>
      </c>
      <c r="X2810" t="s">
        <v>44909</v>
      </c>
    </row>
    <row r="2811" spans="1:24">
      <c r="A2811">
        <f>HYPERLINK("https://www.philgeps.gov.ph/GEPSNONPILOT/Tender/SplashBidNoticeAbstractUI.aspx?menuIndex=3&amp;refID=7079046&amp;Result=3","7079046")</f>
        <v>0</v>
      </c>
      <c r="B2811" t="s">
        <v>1067</v>
      </c>
      <c r="C2811" t="s">
        <v>6213</v>
      </c>
      <c r="D2811" t="s">
        <v>18116</v>
      </c>
      <c r="E2811" t="s">
        <v>20761</v>
      </c>
      <c r="F2811" t="s">
        <v>31362</v>
      </c>
      <c r="G2811" t="s">
        <v>31368</v>
      </c>
      <c r="H2811" t="s">
        <v>15799</v>
      </c>
      <c r="I2811" t="s">
        <v>31465</v>
      </c>
      <c r="J2811" t="s">
        <v>33420</v>
      </c>
      <c r="K2811" t="s">
        <v>40665</v>
      </c>
      <c r="M2811" t="s">
        <v>42069</v>
      </c>
      <c r="N2811" t="s">
        <v>44905</v>
      </c>
      <c r="O2811" t="s">
        <v>44906</v>
      </c>
      <c r="P2811">
        <v>0</v>
      </c>
      <c r="Q2811">
        <v>1</v>
      </c>
      <c r="R2811" t="s">
        <v>44908</v>
      </c>
      <c r="S2811" t="s">
        <v>45042</v>
      </c>
      <c r="T2811" t="s">
        <v>46434</v>
      </c>
      <c r="U2811" t="s">
        <v>49243</v>
      </c>
      <c r="W2811" t="s">
        <v>42069</v>
      </c>
      <c r="X2811" t="s">
        <v>44909</v>
      </c>
    </row>
    <row r="2812" spans="1:24">
      <c r="A2812">
        <f>HYPERLINK("https://www.philgeps.gov.ph/GEPSNONPILOT/Tender/SplashBidNoticeAbstractUI.aspx?menuIndex=3&amp;refID=7079034&amp;Result=3","7079034")</f>
        <v>0</v>
      </c>
      <c r="B2812" t="s">
        <v>1068</v>
      </c>
      <c r="C2812" t="s">
        <v>6214</v>
      </c>
      <c r="D2812" t="s">
        <v>18108</v>
      </c>
      <c r="E2812" t="s">
        <v>20762</v>
      </c>
      <c r="F2812" t="s">
        <v>31363</v>
      </c>
      <c r="G2812" t="s">
        <v>31368</v>
      </c>
      <c r="H2812" t="s">
        <v>15799</v>
      </c>
      <c r="I2812" t="s">
        <v>31392</v>
      </c>
      <c r="J2812" t="s">
        <v>33421</v>
      </c>
      <c r="K2812" t="s">
        <v>40670</v>
      </c>
      <c r="M2812" t="s">
        <v>42070</v>
      </c>
      <c r="N2812" t="s">
        <v>44905</v>
      </c>
      <c r="O2812" t="s">
        <v>44906</v>
      </c>
      <c r="P2812">
        <v>0</v>
      </c>
      <c r="Q2812">
        <v>3</v>
      </c>
      <c r="R2812" t="s">
        <v>44908</v>
      </c>
      <c r="S2812" t="s">
        <v>45042</v>
      </c>
      <c r="T2812" t="s">
        <v>46408</v>
      </c>
      <c r="U2812" t="s">
        <v>49244</v>
      </c>
      <c r="W2812" t="s">
        <v>42070</v>
      </c>
      <c r="X2812" t="s">
        <v>44909</v>
      </c>
    </row>
    <row r="2813" spans="1:24">
      <c r="A2813">
        <f>HYPERLINK("https://www.philgeps.gov.ph/GEPSNONPILOT/Tender/SplashBidNoticeAbstractUI.aspx?menuIndex=3&amp;refID=7079048&amp;Result=3","7079048")</f>
        <v>0</v>
      </c>
      <c r="B2813" t="s">
        <v>1069</v>
      </c>
      <c r="C2813" t="s">
        <v>6215</v>
      </c>
      <c r="E2813" t="s">
        <v>20763</v>
      </c>
      <c r="F2813" t="s">
        <v>31362</v>
      </c>
      <c r="G2813" t="s">
        <v>31369</v>
      </c>
      <c r="H2813" t="s">
        <v>15799</v>
      </c>
      <c r="I2813" t="s">
        <v>31406</v>
      </c>
      <c r="J2813" t="s">
        <v>31869</v>
      </c>
      <c r="K2813" t="s">
        <v>40662</v>
      </c>
      <c r="M2813" t="s">
        <v>42071</v>
      </c>
      <c r="N2813" t="s">
        <v>44905</v>
      </c>
      <c r="O2813" t="s">
        <v>44906</v>
      </c>
      <c r="P2813">
        <v>0</v>
      </c>
      <c r="Q2813">
        <v>3</v>
      </c>
      <c r="R2813" t="s">
        <v>44908</v>
      </c>
      <c r="S2813" t="s">
        <v>45042</v>
      </c>
      <c r="T2813" t="s">
        <v>46464</v>
      </c>
      <c r="U2813" t="s">
        <v>49245</v>
      </c>
      <c r="W2813" t="s">
        <v>42071</v>
      </c>
      <c r="X2813" t="s">
        <v>44909</v>
      </c>
    </row>
    <row r="2814" spans="1:24">
      <c r="A2814">
        <f>HYPERLINK("https://www.philgeps.gov.ph/GEPSNONPILOT/Tender/SplashBidNoticeAbstractUI.aspx?menuIndex=3&amp;refID=7079029&amp;Result=3","7079029")</f>
        <v>0</v>
      </c>
      <c r="B2814" t="s">
        <v>1070</v>
      </c>
      <c r="C2814" t="s">
        <v>6216</v>
      </c>
      <c r="D2814" t="s">
        <v>18138</v>
      </c>
      <c r="E2814" t="s">
        <v>20764</v>
      </c>
      <c r="F2814" t="s">
        <v>31362</v>
      </c>
      <c r="G2814" t="s">
        <v>31368</v>
      </c>
      <c r="H2814" t="s">
        <v>15799</v>
      </c>
      <c r="I2814" t="s">
        <v>6240</v>
      </c>
      <c r="J2814" t="s">
        <v>33422</v>
      </c>
      <c r="K2814" t="s">
        <v>40666</v>
      </c>
      <c r="M2814" t="s">
        <v>42072</v>
      </c>
      <c r="N2814" t="s">
        <v>44905</v>
      </c>
      <c r="O2814" t="s">
        <v>44906</v>
      </c>
      <c r="P2814">
        <v>0</v>
      </c>
      <c r="Q2814">
        <v>2</v>
      </c>
      <c r="R2814" t="s">
        <v>44908</v>
      </c>
      <c r="S2814" t="s">
        <v>45042</v>
      </c>
      <c r="T2814" t="s">
        <v>46410</v>
      </c>
      <c r="U2814" t="s">
        <v>49246</v>
      </c>
      <c r="W2814" t="s">
        <v>42072</v>
      </c>
      <c r="X2814" t="s">
        <v>44909</v>
      </c>
    </row>
    <row r="2815" spans="1:24">
      <c r="A2815">
        <f>HYPERLINK("https://www.philgeps.gov.ph/GEPSNONPILOT/Tender/SplashBidNoticeAbstractUI.aspx?menuIndex=3&amp;refID=7079047&amp;Result=3","7079047")</f>
        <v>0</v>
      </c>
      <c r="B2815" t="s">
        <v>1057</v>
      </c>
      <c r="C2815" t="s">
        <v>6217</v>
      </c>
      <c r="D2815" t="s">
        <v>18163</v>
      </c>
      <c r="E2815" t="s">
        <v>20765</v>
      </c>
      <c r="F2815" t="s">
        <v>31362</v>
      </c>
      <c r="G2815" t="s">
        <v>31369</v>
      </c>
      <c r="H2815" t="s">
        <v>31378</v>
      </c>
      <c r="I2815" t="s">
        <v>31386</v>
      </c>
      <c r="J2815" t="s">
        <v>31625</v>
      </c>
      <c r="K2815" t="s">
        <v>40665</v>
      </c>
      <c r="M2815" t="s">
        <v>42058</v>
      </c>
      <c r="N2815" t="s">
        <v>44905</v>
      </c>
      <c r="O2815" t="s">
        <v>44906</v>
      </c>
      <c r="P2815">
        <v>0</v>
      </c>
      <c r="Q2815">
        <v>0</v>
      </c>
      <c r="R2815" t="s">
        <v>44908</v>
      </c>
      <c r="S2815" t="s">
        <v>45042</v>
      </c>
      <c r="T2815" t="s">
        <v>46433</v>
      </c>
      <c r="U2815" t="s">
        <v>49216</v>
      </c>
      <c r="V2815" t="s">
        <v>59360</v>
      </c>
      <c r="W2815" t="s">
        <v>42058</v>
      </c>
      <c r="X2815" t="s">
        <v>44909</v>
      </c>
    </row>
    <row r="2816" spans="1:24">
      <c r="A2816">
        <f>HYPERLINK("https://www.philgeps.gov.ph/GEPSNONPILOT/Tender/SplashBidNoticeAbstractUI.aspx?menuIndex=3&amp;refID=7079027&amp;Result=3","7079027")</f>
        <v>0</v>
      </c>
      <c r="B2816" t="s">
        <v>1071</v>
      </c>
      <c r="C2816" t="s">
        <v>6218</v>
      </c>
      <c r="D2816" t="s">
        <v>18104</v>
      </c>
      <c r="E2816" t="s">
        <v>20766</v>
      </c>
      <c r="F2816" t="s">
        <v>31362</v>
      </c>
      <c r="G2816" t="s">
        <v>31368</v>
      </c>
      <c r="H2816" t="s">
        <v>31379</v>
      </c>
      <c r="I2816" t="s">
        <v>6218</v>
      </c>
      <c r="J2816" t="s">
        <v>33423</v>
      </c>
      <c r="K2816" t="s">
        <v>40723</v>
      </c>
      <c r="M2816" t="s">
        <v>42073</v>
      </c>
      <c r="N2816" t="s">
        <v>44905</v>
      </c>
      <c r="O2816" t="s">
        <v>44906</v>
      </c>
      <c r="P2816">
        <v>0</v>
      </c>
      <c r="Q2816">
        <v>0</v>
      </c>
      <c r="R2816" t="s">
        <v>44908</v>
      </c>
      <c r="S2816" t="s">
        <v>45042</v>
      </c>
      <c r="T2816" t="s">
        <v>46434</v>
      </c>
      <c r="U2816" t="s">
        <v>49247</v>
      </c>
      <c r="W2816" t="s">
        <v>42073</v>
      </c>
      <c r="X2816" t="s">
        <v>44909</v>
      </c>
    </row>
    <row r="2817" spans="1:24">
      <c r="A2817">
        <f>HYPERLINK("https://www.philgeps.gov.ph/GEPSNONPILOT/Tender/SplashBidNoticeAbstractUI.aspx?menuIndex=3&amp;refID=7079067&amp;Result=3","7079067")</f>
        <v>0</v>
      </c>
      <c r="B2817" t="s">
        <v>1072</v>
      </c>
      <c r="C2817" t="s">
        <v>6219</v>
      </c>
      <c r="D2817" t="s">
        <v>18126</v>
      </c>
      <c r="E2817" t="s">
        <v>20767</v>
      </c>
      <c r="F2817" t="s">
        <v>31362</v>
      </c>
      <c r="G2817" t="s">
        <v>31369</v>
      </c>
      <c r="H2817" t="s">
        <v>31378</v>
      </c>
      <c r="I2817" t="s">
        <v>31386</v>
      </c>
      <c r="J2817" t="s">
        <v>33424</v>
      </c>
      <c r="K2817" t="s">
        <v>40671</v>
      </c>
      <c r="L2817" t="s">
        <v>1072</v>
      </c>
      <c r="M2817" t="s">
        <v>42074</v>
      </c>
      <c r="N2817" t="s">
        <v>44905</v>
      </c>
      <c r="O2817" t="s">
        <v>44906</v>
      </c>
      <c r="P2817">
        <v>0</v>
      </c>
      <c r="Q2817">
        <v>0</v>
      </c>
      <c r="R2817" t="s">
        <v>44908</v>
      </c>
      <c r="S2817" t="s">
        <v>45042</v>
      </c>
      <c r="T2817" t="s">
        <v>46470</v>
      </c>
      <c r="U2817" t="s">
        <v>49248</v>
      </c>
      <c r="V2817" t="s">
        <v>59361</v>
      </c>
      <c r="W2817" t="s">
        <v>42074</v>
      </c>
      <c r="X2817" t="s">
        <v>44909</v>
      </c>
    </row>
    <row r="2818" spans="1:24">
      <c r="A2818">
        <f>HYPERLINK("https://www.philgeps.gov.ph/GEPSNONPILOT/Tender/SplashBidNoticeAbstractUI.aspx?menuIndex=3&amp;refID=7079003&amp;Result=3","7079003")</f>
        <v>0</v>
      </c>
      <c r="B2818" t="s">
        <v>299</v>
      </c>
      <c r="C2818" t="s">
        <v>6220</v>
      </c>
      <c r="D2818" t="s">
        <v>18108</v>
      </c>
      <c r="E2818" t="s">
        <v>20768</v>
      </c>
      <c r="F2818" t="s">
        <v>31362</v>
      </c>
      <c r="G2818" t="s">
        <v>31368</v>
      </c>
      <c r="H2818" t="s">
        <v>15799</v>
      </c>
      <c r="I2818" t="s">
        <v>7719</v>
      </c>
      <c r="J2818" t="s">
        <v>32777</v>
      </c>
      <c r="K2818" t="s">
        <v>40662</v>
      </c>
      <c r="M2818" t="s">
        <v>42027</v>
      </c>
      <c r="N2818" t="s">
        <v>44905</v>
      </c>
      <c r="O2818" t="s">
        <v>44906</v>
      </c>
      <c r="P2818">
        <v>0</v>
      </c>
      <c r="Q2818">
        <v>11</v>
      </c>
      <c r="R2818" t="s">
        <v>44908</v>
      </c>
      <c r="S2818" t="s">
        <v>45042</v>
      </c>
      <c r="T2818" t="s">
        <v>46427</v>
      </c>
      <c r="U2818" t="s">
        <v>49249</v>
      </c>
      <c r="W2818" t="s">
        <v>42027</v>
      </c>
      <c r="X2818" t="s">
        <v>44909</v>
      </c>
    </row>
    <row r="2819" spans="1:24">
      <c r="A2819">
        <f>HYPERLINK("https://www.philgeps.gov.ph/GEPSNONPILOT/Tender/SplashBidNoticeAbstractUI.aspx?menuIndex=3&amp;refID=7079066&amp;Result=3","7079066")</f>
        <v>0</v>
      </c>
      <c r="B2819" t="s">
        <v>1073</v>
      </c>
      <c r="C2819" t="s">
        <v>6221</v>
      </c>
      <c r="D2819" t="s">
        <v>18121</v>
      </c>
      <c r="E2819" t="s">
        <v>20769</v>
      </c>
      <c r="F2819" t="s">
        <v>31362</v>
      </c>
      <c r="G2819" t="s">
        <v>31368</v>
      </c>
      <c r="H2819" t="s">
        <v>15799</v>
      </c>
      <c r="I2819" t="s">
        <v>31380</v>
      </c>
      <c r="J2819" t="s">
        <v>33425</v>
      </c>
      <c r="K2819" t="s">
        <v>40662</v>
      </c>
      <c r="M2819" t="s">
        <v>42075</v>
      </c>
      <c r="N2819" t="s">
        <v>44905</v>
      </c>
      <c r="O2819" t="s">
        <v>44906</v>
      </c>
      <c r="P2819">
        <v>0</v>
      </c>
      <c r="Q2819">
        <v>3</v>
      </c>
      <c r="R2819" t="s">
        <v>44908</v>
      </c>
      <c r="S2819" t="s">
        <v>45042</v>
      </c>
      <c r="T2819" t="s">
        <v>46446</v>
      </c>
      <c r="U2819" t="s">
        <v>49250</v>
      </c>
      <c r="W2819" t="s">
        <v>42075</v>
      </c>
      <c r="X2819" t="s">
        <v>44909</v>
      </c>
    </row>
    <row r="2820" spans="1:24">
      <c r="A2820">
        <f>HYPERLINK("https://www.philgeps.gov.ph/GEPSNONPILOT/Tender/SplashBidNoticeAbstractUI.aspx?menuIndex=3&amp;refID=7079032&amp;Result=3","7079032")</f>
        <v>0</v>
      </c>
      <c r="B2820" t="s">
        <v>1033</v>
      </c>
      <c r="C2820" t="s">
        <v>6222</v>
      </c>
      <c r="D2820" t="s">
        <v>18187</v>
      </c>
      <c r="E2820" t="s">
        <v>20770</v>
      </c>
      <c r="F2820" t="s">
        <v>31362</v>
      </c>
      <c r="G2820" t="s">
        <v>31369</v>
      </c>
      <c r="H2820" t="s">
        <v>15799</v>
      </c>
      <c r="I2820" t="s">
        <v>31454</v>
      </c>
      <c r="J2820" t="s">
        <v>33426</v>
      </c>
      <c r="K2820" t="s">
        <v>40670</v>
      </c>
      <c r="M2820" t="s">
        <v>42032</v>
      </c>
      <c r="N2820" t="s">
        <v>44905</v>
      </c>
      <c r="O2820" t="s">
        <v>44906</v>
      </c>
      <c r="P2820">
        <v>0</v>
      </c>
      <c r="Q2820">
        <v>0</v>
      </c>
      <c r="R2820" t="s">
        <v>44908</v>
      </c>
      <c r="S2820" t="s">
        <v>45042</v>
      </c>
      <c r="T2820" t="s">
        <v>46430</v>
      </c>
      <c r="U2820" t="s">
        <v>49251</v>
      </c>
      <c r="W2820" t="s">
        <v>42032</v>
      </c>
      <c r="X2820" t="s">
        <v>44909</v>
      </c>
    </row>
    <row r="2821" spans="1:24">
      <c r="A2821">
        <f>HYPERLINK("https://www.philgeps.gov.ph/GEPSNONPILOT/Tender/SplashBidNoticeAbstractUI.aspx?menuIndex=3&amp;refID=7079031&amp;Result=3","7079031")</f>
        <v>0</v>
      </c>
      <c r="B2821" t="s">
        <v>269</v>
      </c>
      <c r="C2821" t="s">
        <v>6223</v>
      </c>
      <c r="D2821" t="s">
        <v>18117</v>
      </c>
      <c r="E2821" t="s">
        <v>18648</v>
      </c>
      <c r="F2821" t="s">
        <v>31362</v>
      </c>
      <c r="G2821" t="s">
        <v>31370</v>
      </c>
      <c r="H2821" t="s">
        <v>15799</v>
      </c>
      <c r="I2821" t="s">
        <v>6373</v>
      </c>
      <c r="J2821" t="s">
        <v>33427</v>
      </c>
      <c r="K2821" t="s">
        <v>40666</v>
      </c>
      <c r="M2821" t="s">
        <v>41211</v>
      </c>
      <c r="N2821" t="s">
        <v>44905</v>
      </c>
      <c r="O2821" t="s">
        <v>44906</v>
      </c>
      <c r="P2821">
        <v>0</v>
      </c>
      <c r="Q2821">
        <v>8</v>
      </c>
      <c r="R2821" t="s">
        <v>44908</v>
      </c>
      <c r="S2821" t="s">
        <v>45042</v>
      </c>
      <c r="T2821" t="s">
        <v>46414</v>
      </c>
      <c r="U2821" t="s">
        <v>49252</v>
      </c>
      <c r="W2821" t="s">
        <v>41211</v>
      </c>
      <c r="X2821" t="s">
        <v>44909</v>
      </c>
    </row>
    <row r="2822" spans="1:24">
      <c r="A2822">
        <f>HYPERLINK("https://www.philgeps.gov.ph/GEPSNONPILOT/Tender/SplashBidNoticeAbstractUI.aspx?menuIndex=3&amp;refID=7079063&amp;Result=3","7079063")</f>
        <v>0</v>
      </c>
      <c r="B2822" t="s">
        <v>1020</v>
      </c>
      <c r="C2822" t="s">
        <v>6224</v>
      </c>
      <c r="D2822" t="s">
        <v>18101</v>
      </c>
      <c r="E2822" t="s">
        <v>20634</v>
      </c>
      <c r="F2822" t="s">
        <v>31362</v>
      </c>
      <c r="G2822" t="s">
        <v>31369</v>
      </c>
      <c r="H2822" t="s">
        <v>31378</v>
      </c>
      <c r="I2822" t="s">
        <v>31386</v>
      </c>
      <c r="J2822" t="s">
        <v>33428</v>
      </c>
      <c r="K2822" t="s">
        <v>40668</v>
      </c>
      <c r="M2822" t="s">
        <v>42017</v>
      </c>
      <c r="N2822" t="s">
        <v>44905</v>
      </c>
      <c r="O2822" t="s">
        <v>44906</v>
      </c>
      <c r="P2822">
        <v>0</v>
      </c>
      <c r="Q2822">
        <v>0</v>
      </c>
      <c r="R2822" t="s">
        <v>44908</v>
      </c>
      <c r="S2822" t="s">
        <v>45042</v>
      </c>
      <c r="T2822" t="s">
        <v>46426</v>
      </c>
      <c r="U2822" t="s">
        <v>49253</v>
      </c>
      <c r="W2822" t="s">
        <v>42017</v>
      </c>
      <c r="X2822" t="s">
        <v>44909</v>
      </c>
    </row>
    <row r="2823" spans="1:24">
      <c r="A2823">
        <f>HYPERLINK("https://www.philgeps.gov.ph/GEPSNONPILOT/Tender/SplashBidNoticeAbstractUI.aspx?menuIndex=3&amp;refID=7079043&amp;Result=3","7079043")</f>
        <v>0</v>
      </c>
      <c r="B2823" t="s">
        <v>478</v>
      </c>
      <c r="C2823" t="s">
        <v>6225</v>
      </c>
      <c r="E2823" t="s">
        <v>20771</v>
      </c>
      <c r="F2823" t="s">
        <v>31362</v>
      </c>
      <c r="G2823" t="s">
        <v>31368</v>
      </c>
      <c r="H2823" t="s">
        <v>15799</v>
      </c>
      <c r="I2823" t="s">
        <v>31461</v>
      </c>
      <c r="J2823" t="s">
        <v>33429</v>
      </c>
      <c r="K2823" t="s">
        <v>40661</v>
      </c>
      <c r="M2823" t="s">
        <v>41432</v>
      </c>
      <c r="N2823" t="s">
        <v>44905</v>
      </c>
      <c r="O2823" t="s">
        <v>44906</v>
      </c>
      <c r="P2823">
        <v>0</v>
      </c>
      <c r="Q2823">
        <v>1</v>
      </c>
      <c r="R2823" t="s">
        <v>44908</v>
      </c>
      <c r="S2823" t="s">
        <v>45042</v>
      </c>
      <c r="T2823" t="s">
        <v>46438</v>
      </c>
      <c r="U2823" t="s">
        <v>49254</v>
      </c>
      <c r="W2823" t="s">
        <v>41432</v>
      </c>
      <c r="X2823" t="s">
        <v>44909</v>
      </c>
    </row>
    <row r="2824" spans="1:24">
      <c r="A2824">
        <f>HYPERLINK("https://www.philgeps.gov.ph/GEPSNONPILOT/Tender/SplashBidNoticeAbstractUI.aspx?menuIndex=3&amp;refID=7079071&amp;Result=3","7079071")</f>
        <v>0</v>
      </c>
      <c r="B2824" t="s">
        <v>1074</v>
      </c>
      <c r="C2824" t="s">
        <v>6226</v>
      </c>
      <c r="D2824" t="s">
        <v>18178</v>
      </c>
      <c r="E2824" t="s">
        <v>20772</v>
      </c>
      <c r="F2824" t="s">
        <v>31362</v>
      </c>
      <c r="G2824" t="s">
        <v>31368</v>
      </c>
      <c r="H2824" t="s">
        <v>15799</v>
      </c>
      <c r="I2824" t="s">
        <v>6373</v>
      </c>
      <c r="J2824" t="s">
        <v>33430</v>
      </c>
      <c r="K2824" t="s">
        <v>40662</v>
      </c>
      <c r="M2824" t="s">
        <v>42076</v>
      </c>
      <c r="N2824" t="s">
        <v>44905</v>
      </c>
      <c r="O2824" t="s">
        <v>44906</v>
      </c>
      <c r="P2824">
        <v>0</v>
      </c>
      <c r="Q2824">
        <v>0</v>
      </c>
      <c r="R2824" t="s">
        <v>44908</v>
      </c>
      <c r="S2824" t="s">
        <v>45042</v>
      </c>
      <c r="T2824" t="s">
        <v>46435</v>
      </c>
      <c r="U2824" t="s">
        <v>49255</v>
      </c>
      <c r="V2824" t="s">
        <v>59362</v>
      </c>
      <c r="W2824" t="s">
        <v>42076</v>
      </c>
      <c r="X2824" t="s">
        <v>44909</v>
      </c>
    </row>
    <row r="2825" spans="1:24">
      <c r="A2825">
        <f>HYPERLINK("https://www.philgeps.gov.ph/GEPSNONPILOT/Tender/SplashBidNoticeAbstractUI.aspx?menuIndex=3&amp;refID=7079070&amp;Result=3","7079070")</f>
        <v>0</v>
      </c>
      <c r="B2825" t="s">
        <v>1075</v>
      </c>
      <c r="C2825" t="s">
        <v>6227</v>
      </c>
      <c r="D2825" t="s">
        <v>18101</v>
      </c>
      <c r="E2825" t="s">
        <v>20773</v>
      </c>
      <c r="F2825" t="s">
        <v>31362</v>
      </c>
      <c r="G2825" t="s">
        <v>31369</v>
      </c>
      <c r="H2825" t="s">
        <v>15799</v>
      </c>
      <c r="I2825" t="s">
        <v>7090</v>
      </c>
      <c r="J2825" t="s">
        <v>33431</v>
      </c>
      <c r="K2825" t="s">
        <v>40666</v>
      </c>
      <c r="M2825" t="s">
        <v>42077</v>
      </c>
      <c r="N2825" t="s">
        <v>44905</v>
      </c>
      <c r="O2825" t="s">
        <v>44906</v>
      </c>
      <c r="P2825">
        <v>0</v>
      </c>
      <c r="Q2825">
        <v>1</v>
      </c>
      <c r="R2825" t="s">
        <v>44908</v>
      </c>
      <c r="S2825" t="s">
        <v>45042</v>
      </c>
      <c r="T2825" t="s">
        <v>46560</v>
      </c>
      <c r="U2825" t="s">
        <v>49256</v>
      </c>
      <c r="W2825" t="s">
        <v>42077</v>
      </c>
      <c r="X2825" t="s">
        <v>44909</v>
      </c>
    </row>
    <row r="2826" spans="1:24">
      <c r="A2826">
        <f>HYPERLINK("https://www.philgeps.gov.ph/GEPSNONPILOT/Tender/SplashBidNoticeAbstractUI.aspx?menuIndex=3&amp;refID=7079062&amp;Result=3","7079062")</f>
        <v>0</v>
      </c>
      <c r="B2826" t="s">
        <v>1051</v>
      </c>
      <c r="C2826" t="s">
        <v>6228</v>
      </c>
      <c r="D2826" t="s">
        <v>18116</v>
      </c>
      <c r="E2826" t="s">
        <v>20774</v>
      </c>
      <c r="F2826" t="s">
        <v>31362</v>
      </c>
      <c r="G2826" t="s">
        <v>31368</v>
      </c>
      <c r="H2826" t="s">
        <v>15799</v>
      </c>
      <c r="I2826" t="s">
        <v>31385</v>
      </c>
      <c r="J2826" t="s">
        <v>31866</v>
      </c>
      <c r="K2826" t="s">
        <v>40662</v>
      </c>
      <c r="M2826" t="s">
        <v>42052</v>
      </c>
      <c r="N2826" t="s">
        <v>44905</v>
      </c>
      <c r="O2826" t="s">
        <v>44906</v>
      </c>
      <c r="P2826">
        <v>0</v>
      </c>
      <c r="Q2826">
        <v>3</v>
      </c>
      <c r="R2826" t="s">
        <v>44908</v>
      </c>
      <c r="S2826" t="s">
        <v>45042</v>
      </c>
      <c r="T2826" t="s">
        <v>46498</v>
      </c>
      <c r="U2826" t="s">
        <v>49257</v>
      </c>
      <c r="W2826" t="s">
        <v>42052</v>
      </c>
      <c r="X2826" t="s">
        <v>44909</v>
      </c>
    </row>
    <row r="2827" spans="1:24">
      <c r="A2827">
        <f>HYPERLINK("https://www.philgeps.gov.ph/GEPSNONPILOT/Tender/SplashBidNoticeAbstractUI.aspx?menuIndex=3&amp;refID=7079061&amp;Result=3","7079061")</f>
        <v>0</v>
      </c>
      <c r="B2827" t="s">
        <v>1076</v>
      </c>
      <c r="C2827" t="s">
        <v>6229</v>
      </c>
      <c r="D2827" t="s">
        <v>18114</v>
      </c>
      <c r="E2827" t="s">
        <v>20775</v>
      </c>
      <c r="F2827" t="s">
        <v>31362</v>
      </c>
      <c r="G2827" t="s">
        <v>31369</v>
      </c>
      <c r="H2827" t="s">
        <v>31379</v>
      </c>
      <c r="I2827" t="s">
        <v>31473</v>
      </c>
      <c r="J2827" t="s">
        <v>31570</v>
      </c>
      <c r="K2827" t="s">
        <v>40661</v>
      </c>
      <c r="M2827" t="s">
        <v>42078</v>
      </c>
      <c r="N2827" t="s">
        <v>44905</v>
      </c>
      <c r="O2827" t="s">
        <v>44906</v>
      </c>
      <c r="P2827">
        <v>0</v>
      </c>
      <c r="Q2827">
        <v>1</v>
      </c>
      <c r="R2827" t="s">
        <v>44908</v>
      </c>
      <c r="S2827" t="s">
        <v>45042</v>
      </c>
      <c r="T2827" t="s">
        <v>46463</v>
      </c>
      <c r="U2827" t="s">
        <v>49258</v>
      </c>
      <c r="W2827" t="s">
        <v>42078</v>
      </c>
      <c r="X2827" t="s">
        <v>44909</v>
      </c>
    </row>
    <row r="2828" spans="1:24">
      <c r="A2828">
        <f>HYPERLINK("https://www.philgeps.gov.ph/GEPSNONPILOT/Tender/SplashBidNoticeAbstractUI.aspx?menuIndex=3&amp;refID=7079060&amp;Result=3","7079060")</f>
        <v>0</v>
      </c>
      <c r="B2828" t="s">
        <v>1033</v>
      </c>
      <c r="C2828" t="s">
        <v>6230</v>
      </c>
      <c r="D2828" t="s">
        <v>18162</v>
      </c>
      <c r="E2828" t="s">
        <v>20776</v>
      </c>
      <c r="F2828" t="s">
        <v>31362</v>
      </c>
      <c r="G2828" t="s">
        <v>31369</v>
      </c>
      <c r="H2828" t="s">
        <v>15799</v>
      </c>
      <c r="I2828" t="s">
        <v>31385</v>
      </c>
      <c r="J2828" t="s">
        <v>33432</v>
      </c>
      <c r="K2828" t="s">
        <v>40670</v>
      </c>
      <c r="M2828" t="s">
        <v>42032</v>
      </c>
      <c r="N2828" t="s">
        <v>44905</v>
      </c>
      <c r="O2828" t="s">
        <v>44906</v>
      </c>
      <c r="P2828">
        <v>0</v>
      </c>
      <c r="Q2828">
        <v>0</v>
      </c>
      <c r="R2828" t="s">
        <v>44908</v>
      </c>
      <c r="S2828" t="s">
        <v>45042</v>
      </c>
      <c r="T2828" t="s">
        <v>46430</v>
      </c>
      <c r="U2828" t="s">
        <v>49259</v>
      </c>
      <c r="W2828" t="s">
        <v>42032</v>
      </c>
      <c r="X2828" t="s">
        <v>44909</v>
      </c>
    </row>
    <row r="2829" spans="1:24">
      <c r="A2829">
        <f>HYPERLINK("https://www.philgeps.gov.ph/GEPSNONPILOT/Tender/SplashBidNoticeAbstractUI.aspx?menuIndex=3&amp;refID=7079058&amp;Result=3","7079058")</f>
        <v>0</v>
      </c>
      <c r="B2829" t="s">
        <v>1060</v>
      </c>
      <c r="C2829" t="s">
        <v>6231</v>
      </c>
      <c r="D2829" t="s">
        <v>18117</v>
      </c>
      <c r="E2829" t="s">
        <v>20777</v>
      </c>
      <c r="F2829" t="s">
        <v>31362</v>
      </c>
      <c r="G2829" t="s">
        <v>31368</v>
      </c>
      <c r="H2829" t="s">
        <v>31378</v>
      </c>
      <c r="I2829" t="s">
        <v>31412</v>
      </c>
      <c r="J2829" t="s">
        <v>31724</v>
      </c>
      <c r="K2829" t="s">
        <v>40679</v>
      </c>
      <c r="M2829" t="s">
        <v>42062</v>
      </c>
      <c r="N2829" t="s">
        <v>44905</v>
      </c>
      <c r="O2829" t="s">
        <v>44906</v>
      </c>
      <c r="P2829">
        <v>0</v>
      </c>
      <c r="Q2829">
        <v>0</v>
      </c>
      <c r="R2829" t="s">
        <v>44908</v>
      </c>
      <c r="S2829" t="s">
        <v>45042</v>
      </c>
      <c r="T2829" t="s">
        <v>46478</v>
      </c>
      <c r="U2829" t="s">
        <v>49260</v>
      </c>
      <c r="W2829" t="s">
        <v>42062</v>
      </c>
      <c r="X2829" t="s">
        <v>44909</v>
      </c>
    </row>
    <row r="2830" spans="1:24">
      <c r="A2830">
        <f>HYPERLINK("https://www.philgeps.gov.ph/GEPSNONPILOT/Tender/SplashBidNoticeAbstractUI.aspx?menuIndex=3&amp;refID=7079056&amp;Result=3","7079056")</f>
        <v>0</v>
      </c>
      <c r="B2830" t="s">
        <v>545</v>
      </c>
      <c r="C2830" t="s">
        <v>6232</v>
      </c>
      <c r="D2830" t="s">
        <v>18143</v>
      </c>
      <c r="E2830" t="s">
        <v>18464</v>
      </c>
      <c r="F2830" t="s">
        <v>31362</v>
      </c>
      <c r="G2830" t="s">
        <v>31369</v>
      </c>
      <c r="H2830" t="s">
        <v>15799</v>
      </c>
      <c r="I2830" t="s">
        <v>31409</v>
      </c>
      <c r="J2830" t="s">
        <v>33433</v>
      </c>
      <c r="K2830" t="s">
        <v>40661</v>
      </c>
      <c r="M2830" t="s">
        <v>41501</v>
      </c>
      <c r="N2830" t="s">
        <v>44905</v>
      </c>
      <c r="O2830" t="s">
        <v>44906</v>
      </c>
      <c r="P2830">
        <v>0</v>
      </c>
      <c r="Q2830">
        <v>9</v>
      </c>
      <c r="R2830" t="s">
        <v>44908</v>
      </c>
      <c r="S2830" t="s">
        <v>45042</v>
      </c>
      <c r="T2830" t="s">
        <v>46402</v>
      </c>
      <c r="U2830" t="s">
        <v>49261</v>
      </c>
      <c r="V2830" t="s">
        <v>59363</v>
      </c>
      <c r="W2830" t="s">
        <v>41501</v>
      </c>
      <c r="X2830" t="s">
        <v>44909</v>
      </c>
    </row>
    <row r="2831" spans="1:24">
      <c r="A2831">
        <f>HYPERLINK("https://www.philgeps.gov.ph/GEPSNONPILOT/Tender/SplashBidNoticeAbstractUI.aspx?menuIndex=3&amp;refID=7079041&amp;Result=3","7079041")</f>
        <v>0</v>
      </c>
      <c r="B2831" t="s">
        <v>1077</v>
      </c>
      <c r="C2831" t="s">
        <v>6233</v>
      </c>
      <c r="D2831" t="s">
        <v>18149</v>
      </c>
      <c r="E2831" t="s">
        <v>20778</v>
      </c>
      <c r="F2831" t="s">
        <v>31362</v>
      </c>
      <c r="G2831" t="s">
        <v>31368</v>
      </c>
      <c r="H2831" t="s">
        <v>15799</v>
      </c>
      <c r="I2831" t="s">
        <v>6240</v>
      </c>
      <c r="J2831" t="s">
        <v>31577</v>
      </c>
      <c r="K2831" t="s">
        <v>40662</v>
      </c>
      <c r="M2831" t="s">
        <v>42079</v>
      </c>
      <c r="N2831" t="s">
        <v>44905</v>
      </c>
      <c r="O2831" t="s">
        <v>44906</v>
      </c>
      <c r="P2831">
        <v>0</v>
      </c>
      <c r="Q2831">
        <v>0</v>
      </c>
      <c r="R2831" t="s">
        <v>44908</v>
      </c>
      <c r="S2831" t="s">
        <v>45042</v>
      </c>
      <c r="T2831" t="s">
        <v>46443</v>
      </c>
      <c r="U2831" t="s">
        <v>49262</v>
      </c>
      <c r="W2831" t="s">
        <v>42079</v>
      </c>
      <c r="X2831" t="s">
        <v>44909</v>
      </c>
    </row>
    <row r="2832" spans="1:24">
      <c r="A2832">
        <f>HYPERLINK("https://www.philgeps.gov.ph/GEPSNONPILOT/Tender/SplashBidNoticeAbstractUI.aspx?menuIndex=3&amp;refID=7079069&amp;Result=3","7079069")</f>
        <v>0</v>
      </c>
      <c r="B2832" t="s">
        <v>1069</v>
      </c>
      <c r="C2832" t="s">
        <v>6234</v>
      </c>
      <c r="E2832" t="s">
        <v>20779</v>
      </c>
      <c r="F2832" t="s">
        <v>31362</v>
      </c>
      <c r="G2832" t="s">
        <v>31369</v>
      </c>
      <c r="H2832" t="s">
        <v>15799</v>
      </c>
      <c r="I2832" t="s">
        <v>3815</v>
      </c>
      <c r="J2832" t="s">
        <v>31921</v>
      </c>
      <c r="K2832" t="s">
        <v>40662</v>
      </c>
      <c r="M2832" t="s">
        <v>42071</v>
      </c>
      <c r="N2832" t="s">
        <v>44905</v>
      </c>
      <c r="O2832" t="s">
        <v>44906</v>
      </c>
      <c r="P2832">
        <v>0</v>
      </c>
      <c r="Q2832">
        <v>0</v>
      </c>
      <c r="R2832" t="s">
        <v>44908</v>
      </c>
      <c r="S2832" t="s">
        <v>45042</v>
      </c>
      <c r="T2832" t="s">
        <v>46464</v>
      </c>
      <c r="U2832" t="s">
        <v>49245</v>
      </c>
      <c r="W2832" t="s">
        <v>42071</v>
      </c>
      <c r="X2832" t="s">
        <v>44909</v>
      </c>
    </row>
    <row r="2833" spans="1:24">
      <c r="A2833">
        <f>HYPERLINK("https://www.philgeps.gov.ph/GEPSNONPILOT/Tender/SplashBidNoticeAbstractUI.aspx?menuIndex=3&amp;refID=7079050&amp;Result=3","7079050")</f>
        <v>0</v>
      </c>
      <c r="B2833" t="s">
        <v>1078</v>
      </c>
      <c r="C2833" t="s">
        <v>6235</v>
      </c>
      <c r="D2833" t="s">
        <v>18122</v>
      </c>
      <c r="E2833" t="s">
        <v>20780</v>
      </c>
      <c r="F2833" t="s">
        <v>31362</v>
      </c>
      <c r="G2833" t="s">
        <v>31368</v>
      </c>
      <c r="H2833" t="s">
        <v>31378</v>
      </c>
      <c r="I2833" t="s">
        <v>31386</v>
      </c>
      <c r="J2833" t="s">
        <v>32197</v>
      </c>
      <c r="K2833" t="s">
        <v>40662</v>
      </c>
      <c r="M2833" t="s">
        <v>42080</v>
      </c>
      <c r="N2833" t="s">
        <v>44905</v>
      </c>
      <c r="O2833" t="s">
        <v>44906</v>
      </c>
      <c r="P2833">
        <v>0</v>
      </c>
      <c r="Q2833">
        <v>0</v>
      </c>
      <c r="R2833" t="s">
        <v>44908</v>
      </c>
      <c r="S2833" t="s">
        <v>45042</v>
      </c>
      <c r="T2833" t="s">
        <v>46406</v>
      </c>
      <c r="U2833" t="s">
        <v>49263</v>
      </c>
      <c r="V2833" t="s">
        <v>59364</v>
      </c>
      <c r="W2833" t="s">
        <v>42080</v>
      </c>
      <c r="X2833" t="s">
        <v>44909</v>
      </c>
    </row>
    <row r="2834" spans="1:24">
      <c r="A2834">
        <f>HYPERLINK("https://www.philgeps.gov.ph/GEPSNONPILOT/Tender/SplashBidNoticeAbstractUI.aspx?menuIndex=3&amp;refID=7079053&amp;Result=3","7079053")</f>
        <v>0</v>
      </c>
      <c r="B2834" t="s">
        <v>1075</v>
      </c>
      <c r="C2834" t="s">
        <v>6236</v>
      </c>
      <c r="D2834" t="s">
        <v>18101</v>
      </c>
      <c r="E2834" t="s">
        <v>20781</v>
      </c>
      <c r="F2834" t="s">
        <v>31362</v>
      </c>
      <c r="G2834" t="s">
        <v>31369</v>
      </c>
      <c r="H2834" t="s">
        <v>15799</v>
      </c>
      <c r="I2834" t="s">
        <v>3815</v>
      </c>
      <c r="J2834" t="s">
        <v>33434</v>
      </c>
      <c r="K2834" t="s">
        <v>40666</v>
      </c>
      <c r="M2834" t="s">
        <v>42077</v>
      </c>
      <c r="N2834" t="s">
        <v>44905</v>
      </c>
      <c r="O2834" t="s">
        <v>44906</v>
      </c>
      <c r="P2834">
        <v>0</v>
      </c>
      <c r="Q2834">
        <v>0</v>
      </c>
      <c r="R2834" t="s">
        <v>44908</v>
      </c>
      <c r="S2834" t="s">
        <v>45042</v>
      </c>
      <c r="T2834" t="s">
        <v>46560</v>
      </c>
      <c r="U2834" t="s">
        <v>49264</v>
      </c>
      <c r="W2834" t="s">
        <v>42077</v>
      </c>
      <c r="X2834" t="s">
        <v>44909</v>
      </c>
    </row>
    <row r="2835" spans="1:24">
      <c r="A2835">
        <f>HYPERLINK("https://www.philgeps.gov.ph/GEPSNONPILOT/Tender/SplashBidNoticeAbstractUI.aspx?menuIndex=3&amp;refID=7079068&amp;Result=3","7079068")</f>
        <v>0</v>
      </c>
      <c r="B2835" t="s">
        <v>1079</v>
      </c>
      <c r="C2835" t="s">
        <v>6237</v>
      </c>
      <c r="D2835" t="s">
        <v>18100</v>
      </c>
      <c r="E2835" t="s">
        <v>20782</v>
      </c>
      <c r="F2835" t="s">
        <v>31362</v>
      </c>
      <c r="G2835" t="s">
        <v>31369</v>
      </c>
      <c r="H2835" t="s">
        <v>31378</v>
      </c>
      <c r="I2835" t="s">
        <v>31386</v>
      </c>
      <c r="J2835" t="s">
        <v>33435</v>
      </c>
      <c r="K2835" t="s">
        <v>40740</v>
      </c>
      <c r="M2835" t="s">
        <v>42081</v>
      </c>
      <c r="N2835" t="s">
        <v>44905</v>
      </c>
      <c r="O2835" t="s">
        <v>44906</v>
      </c>
      <c r="P2835">
        <v>0</v>
      </c>
      <c r="Q2835">
        <v>0</v>
      </c>
      <c r="R2835" t="s">
        <v>44908</v>
      </c>
      <c r="S2835" t="s">
        <v>45042</v>
      </c>
      <c r="T2835" t="s">
        <v>46605</v>
      </c>
      <c r="U2835" t="s">
        <v>49265</v>
      </c>
      <c r="W2835" t="s">
        <v>42081</v>
      </c>
      <c r="X2835" t="s">
        <v>44909</v>
      </c>
    </row>
    <row r="2836" spans="1:24">
      <c r="A2836">
        <f>HYPERLINK("https://www.philgeps.gov.ph/GEPSNONPILOT/Tender/SplashBidNoticeAbstractUI.aspx?menuIndex=3&amp;refID=7079064&amp;Result=3","7079064")</f>
        <v>0</v>
      </c>
      <c r="B2836" t="s">
        <v>1080</v>
      </c>
      <c r="C2836" t="s">
        <v>6238</v>
      </c>
      <c r="D2836" t="s">
        <v>18101</v>
      </c>
      <c r="E2836" t="s">
        <v>20783</v>
      </c>
      <c r="F2836" t="s">
        <v>31362</v>
      </c>
      <c r="G2836" t="s">
        <v>31369</v>
      </c>
      <c r="H2836" t="s">
        <v>15799</v>
      </c>
      <c r="I2836" t="s">
        <v>3815</v>
      </c>
      <c r="J2836" t="s">
        <v>33436</v>
      </c>
      <c r="K2836" t="s">
        <v>40670</v>
      </c>
      <c r="M2836" t="s">
        <v>42082</v>
      </c>
      <c r="N2836" t="s">
        <v>44905</v>
      </c>
      <c r="O2836" t="s">
        <v>44906</v>
      </c>
      <c r="P2836">
        <v>0</v>
      </c>
      <c r="Q2836">
        <v>0</v>
      </c>
      <c r="R2836" t="s">
        <v>44908</v>
      </c>
      <c r="S2836" t="s">
        <v>45042</v>
      </c>
      <c r="T2836" t="s">
        <v>46506</v>
      </c>
      <c r="U2836" t="s">
        <v>49266</v>
      </c>
      <c r="W2836" t="s">
        <v>42082</v>
      </c>
      <c r="X2836" t="s">
        <v>44909</v>
      </c>
    </row>
    <row r="2837" spans="1:24">
      <c r="A2837">
        <f>HYPERLINK("https://www.philgeps.gov.ph/GEPSNONPILOT/Tender/SplashBidNoticeAbstractUI.aspx?menuIndex=3&amp;refID=7079057&amp;Result=3","7079057")</f>
        <v>0</v>
      </c>
      <c r="B2837" t="s">
        <v>406</v>
      </c>
      <c r="C2837" t="s">
        <v>6239</v>
      </c>
      <c r="E2837" t="s">
        <v>20784</v>
      </c>
      <c r="F2837" t="s">
        <v>31362</v>
      </c>
      <c r="G2837" t="s">
        <v>31368</v>
      </c>
      <c r="H2837" t="s">
        <v>15799</v>
      </c>
      <c r="I2837" t="s">
        <v>31388</v>
      </c>
      <c r="J2837" t="s">
        <v>33437</v>
      </c>
      <c r="K2837" t="s">
        <v>40662</v>
      </c>
      <c r="M2837" t="s">
        <v>41356</v>
      </c>
      <c r="N2837" t="s">
        <v>44905</v>
      </c>
      <c r="O2837" t="s">
        <v>44906</v>
      </c>
      <c r="P2837">
        <v>0</v>
      </c>
      <c r="Q2837">
        <v>0</v>
      </c>
      <c r="R2837" t="s">
        <v>44908</v>
      </c>
      <c r="S2837" t="s">
        <v>45042</v>
      </c>
      <c r="T2837" t="s">
        <v>46414</v>
      </c>
      <c r="U2837" t="s">
        <v>46933</v>
      </c>
      <c r="W2837" t="s">
        <v>41356</v>
      </c>
      <c r="X2837" t="s">
        <v>44909</v>
      </c>
    </row>
    <row r="2838" spans="1:24">
      <c r="A2838">
        <f>HYPERLINK("https://www.philgeps.gov.ph/GEPSNONPILOT/Tender/SplashBidNoticeAbstractUI.aspx?menuIndex=3&amp;refID=7079054&amp;Result=3","7079054")</f>
        <v>0</v>
      </c>
      <c r="B2838" t="s">
        <v>45</v>
      </c>
      <c r="C2838" t="s">
        <v>6240</v>
      </c>
      <c r="D2838" t="s">
        <v>18108</v>
      </c>
      <c r="E2838" t="s">
        <v>20785</v>
      </c>
      <c r="F2838" t="s">
        <v>31362</v>
      </c>
      <c r="G2838" t="s">
        <v>31368</v>
      </c>
      <c r="H2838" t="s">
        <v>15799</v>
      </c>
      <c r="I2838" t="s">
        <v>6240</v>
      </c>
      <c r="J2838" t="s">
        <v>31765</v>
      </c>
      <c r="K2838" t="s">
        <v>40661</v>
      </c>
      <c r="M2838" t="s">
        <v>42046</v>
      </c>
      <c r="N2838" t="s">
        <v>44905</v>
      </c>
      <c r="O2838" t="s">
        <v>44906</v>
      </c>
      <c r="P2838">
        <v>0</v>
      </c>
      <c r="Q2838">
        <v>2</v>
      </c>
      <c r="R2838" t="s">
        <v>44908</v>
      </c>
      <c r="S2838" t="s">
        <v>45042</v>
      </c>
      <c r="T2838" t="s">
        <v>46434</v>
      </c>
      <c r="U2838" t="s">
        <v>49267</v>
      </c>
      <c r="V2838" t="s">
        <v>59054</v>
      </c>
      <c r="W2838" t="s">
        <v>42046</v>
      </c>
      <c r="X2838" t="s">
        <v>44909</v>
      </c>
    </row>
    <row r="2839" spans="1:24">
      <c r="A2839">
        <f>HYPERLINK("https://www.philgeps.gov.ph/GEPSNONPILOT/Tender/SplashBidNoticeAbstractUI.aspx?menuIndex=3&amp;refID=7079052&amp;Result=3","7079052")</f>
        <v>0</v>
      </c>
      <c r="B2839" t="s">
        <v>369</v>
      </c>
      <c r="C2839" t="s">
        <v>6241</v>
      </c>
      <c r="D2839" t="s">
        <v>18152</v>
      </c>
      <c r="E2839" t="s">
        <v>20786</v>
      </c>
      <c r="F2839" t="s">
        <v>31362</v>
      </c>
      <c r="G2839" t="s">
        <v>31368</v>
      </c>
      <c r="H2839" t="s">
        <v>15799</v>
      </c>
      <c r="I2839" t="s">
        <v>31387</v>
      </c>
      <c r="J2839" t="s">
        <v>32302</v>
      </c>
      <c r="K2839" t="s">
        <v>40670</v>
      </c>
      <c r="M2839" t="s">
        <v>41316</v>
      </c>
      <c r="N2839" t="s">
        <v>44905</v>
      </c>
      <c r="O2839" t="s">
        <v>44906</v>
      </c>
      <c r="P2839">
        <v>0</v>
      </c>
      <c r="Q2839">
        <v>0</v>
      </c>
      <c r="R2839" t="s">
        <v>44908</v>
      </c>
      <c r="S2839" t="s">
        <v>45042</v>
      </c>
      <c r="T2839" t="s">
        <v>46524</v>
      </c>
      <c r="U2839" t="s">
        <v>49268</v>
      </c>
      <c r="W2839" t="s">
        <v>41316</v>
      </c>
      <c r="X2839" t="s">
        <v>44909</v>
      </c>
    </row>
    <row r="2840" spans="1:24">
      <c r="A2840">
        <f>HYPERLINK("https://www.philgeps.gov.ph/GEPSNONPILOT/Tender/SplashBidNoticeAbstractUI.aspx?menuIndex=3&amp;refID=7079051&amp;Result=3","7079051")</f>
        <v>0</v>
      </c>
      <c r="B2840" t="s">
        <v>78</v>
      </c>
      <c r="C2840" t="s">
        <v>6242</v>
      </c>
      <c r="D2840" t="s">
        <v>18108</v>
      </c>
      <c r="E2840" t="s">
        <v>20787</v>
      </c>
      <c r="F2840" t="s">
        <v>31362</v>
      </c>
      <c r="G2840" t="s">
        <v>31368</v>
      </c>
      <c r="H2840" t="s">
        <v>15799</v>
      </c>
      <c r="I2840" t="s">
        <v>31393</v>
      </c>
      <c r="J2840" t="s">
        <v>33438</v>
      </c>
      <c r="K2840" t="s">
        <v>40662</v>
      </c>
      <c r="M2840" t="s">
        <v>42083</v>
      </c>
      <c r="N2840" t="s">
        <v>44905</v>
      </c>
      <c r="O2840" t="s">
        <v>44906</v>
      </c>
      <c r="P2840">
        <v>0</v>
      </c>
      <c r="Q2840">
        <v>9</v>
      </c>
      <c r="R2840" t="s">
        <v>44908</v>
      </c>
      <c r="S2840" t="s">
        <v>45042</v>
      </c>
      <c r="T2840" t="s">
        <v>46432</v>
      </c>
      <c r="U2840" t="s">
        <v>49269</v>
      </c>
      <c r="W2840" t="s">
        <v>42083</v>
      </c>
      <c r="X2840" t="s">
        <v>44909</v>
      </c>
    </row>
    <row r="2841" spans="1:24">
      <c r="A2841">
        <f>HYPERLINK("https://www.philgeps.gov.ph/GEPSNONPILOT/Tender/SplashBidNoticeAbstractUI.aspx?menuIndex=3&amp;refID=7079055&amp;Result=3","7079055")</f>
        <v>0</v>
      </c>
      <c r="B2841" t="s">
        <v>1057</v>
      </c>
      <c r="C2841" t="s">
        <v>6243</v>
      </c>
      <c r="D2841" t="s">
        <v>18163</v>
      </c>
      <c r="E2841" t="s">
        <v>20788</v>
      </c>
      <c r="F2841" t="s">
        <v>31362</v>
      </c>
      <c r="G2841" t="s">
        <v>31369</v>
      </c>
      <c r="H2841" t="s">
        <v>31378</v>
      </c>
      <c r="I2841" t="s">
        <v>31386</v>
      </c>
      <c r="J2841" t="s">
        <v>33439</v>
      </c>
      <c r="K2841" t="s">
        <v>40675</v>
      </c>
      <c r="M2841" t="s">
        <v>42058</v>
      </c>
      <c r="N2841" t="s">
        <v>44905</v>
      </c>
      <c r="O2841" t="s">
        <v>44906</v>
      </c>
      <c r="P2841">
        <v>0</v>
      </c>
      <c r="Q2841">
        <v>0</v>
      </c>
      <c r="R2841" t="s">
        <v>44908</v>
      </c>
      <c r="S2841" t="s">
        <v>45042</v>
      </c>
      <c r="T2841" t="s">
        <v>46433</v>
      </c>
      <c r="U2841" t="s">
        <v>49216</v>
      </c>
      <c r="V2841" t="s">
        <v>59365</v>
      </c>
      <c r="W2841" t="s">
        <v>42058</v>
      </c>
      <c r="X2841" t="s">
        <v>44909</v>
      </c>
    </row>
    <row r="2842" spans="1:24">
      <c r="A2842">
        <f>HYPERLINK("https://www.philgeps.gov.ph/GEPSNONPILOT/Tender/SplashBidNoticeAbstractUI.aspx?menuIndex=3&amp;refID=7079072&amp;Result=3","7079072")</f>
        <v>0</v>
      </c>
      <c r="B2842" t="s">
        <v>1081</v>
      </c>
      <c r="C2842" t="s">
        <v>6244</v>
      </c>
      <c r="D2842" t="s">
        <v>18135</v>
      </c>
      <c r="E2842" t="s">
        <v>20789</v>
      </c>
      <c r="F2842" t="s">
        <v>31362</v>
      </c>
      <c r="G2842" t="s">
        <v>31369</v>
      </c>
      <c r="H2842" t="s">
        <v>15799</v>
      </c>
      <c r="I2842" t="s">
        <v>31386</v>
      </c>
      <c r="J2842" t="s">
        <v>31897</v>
      </c>
      <c r="K2842" t="s">
        <v>40680</v>
      </c>
      <c r="M2842" t="s">
        <v>42084</v>
      </c>
      <c r="N2842" t="s">
        <v>44905</v>
      </c>
      <c r="O2842" t="s">
        <v>44906</v>
      </c>
      <c r="P2842">
        <v>0</v>
      </c>
      <c r="Q2842">
        <v>0</v>
      </c>
      <c r="R2842" t="s">
        <v>44908</v>
      </c>
      <c r="S2842" t="s">
        <v>45042</v>
      </c>
      <c r="T2842" t="s">
        <v>46636</v>
      </c>
      <c r="U2842" t="s">
        <v>49270</v>
      </c>
      <c r="W2842" t="s">
        <v>42084</v>
      </c>
      <c r="X2842" t="s">
        <v>44909</v>
      </c>
    </row>
    <row r="2843" spans="1:24">
      <c r="A2843">
        <f>HYPERLINK("https://www.philgeps.gov.ph/GEPSNONPILOT/Tender/SplashBidNoticeAbstractUI.aspx?menuIndex=3&amp;refID=7079078&amp;Result=3","7079078")</f>
        <v>0</v>
      </c>
      <c r="B2843" t="s">
        <v>1082</v>
      </c>
      <c r="C2843" t="s">
        <v>6245</v>
      </c>
      <c r="D2843" t="s">
        <v>18115</v>
      </c>
      <c r="E2843" t="s">
        <v>20790</v>
      </c>
      <c r="F2843" t="s">
        <v>31362</v>
      </c>
      <c r="G2843" t="s">
        <v>31368</v>
      </c>
      <c r="H2843" t="s">
        <v>15799</v>
      </c>
      <c r="I2843" t="s">
        <v>31388</v>
      </c>
      <c r="J2843" t="s">
        <v>33440</v>
      </c>
      <c r="K2843" t="s">
        <v>40661</v>
      </c>
      <c r="M2843" t="s">
        <v>42085</v>
      </c>
      <c r="N2843" t="s">
        <v>44905</v>
      </c>
      <c r="O2843" t="s">
        <v>44906</v>
      </c>
      <c r="P2843">
        <v>0</v>
      </c>
      <c r="Q2843">
        <v>2</v>
      </c>
      <c r="R2843" t="s">
        <v>44908</v>
      </c>
      <c r="S2843" t="s">
        <v>45042</v>
      </c>
      <c r="T2843" t="s">
        <v>46438</v>
      </c>
      <c r="U2843" t="s">
        <v>49271</v>
      </c>
      <c r="W2843" t="s">
        <v>42085</v>
      </c>
      <c r="X2843" t="s">
        <v>44909</v>
      </c>
    </row>
    <row r="2844" spans="1:24">
      <c r="A2844">
        <f>HYPERLINK("https://www.philgeps.gov.ph/GEPSNONPILOT/Tender/SplashBidNoticeAbstractUI.aspx?menuIndex=3&amp;refID=7079084&amp;Result=3","7079084")</f>
        <v>0</v>
      </c>
      <c r="B2844" t="s">
        <v>1083</v>
      </c>
      <c r="C2844" t="s">
        <v>6246</v>
      </c>
      <c r="D2844" t="s">
        <v>18152</v>
      </c>
      <c r="E2844" t="s">
        <v>20791</v>
      </c>
      <c r="F2844" t="s">
        <v>31362</v>
      </c>
      <c r="G2844" t="s">
        <v>31368</v>
      </c>
      <c r="H2844" t="s">
        <v>15799</v>
      </c>
      <c r="I2844" t="s">
        <v>7188</v>
      </c>
      <c r="J2844" t="s">
        <v>32694</v>
      </c>
      <c r="K2844" t="s">
        <v>40665</v>
      </c>
      <c r="M2844" t="s">
        <v>42086</v>
      </c>
      <c r="N2844" t="s">
        <v>44905</v>
      </c>
      <c r="O2844" t="s">
        <v>44906</v>
      </c>
      <c r="P2844">
        <v>0</v>
      </c>
      <c r="Q2844">
        <v>3</v>
      </c>
      <c r="R2844" t="s">
        <v>44908</v>
      </c>
      <c r="S2844" t="s">
        <v>45042</v>
      </c>
      <c r="T2844" t="s">
        <v>46470</v>
      </c>
      <c r="U2844" t="s">
        <v>49272</v>
      </c>
      <c r="V2844" t="s">
        <v>59366</v>
      </c>
      <c r="W2844" t="s">
        <v>42086</v>
      </c>
      <c r="X2844" t="s">
        <v>44909</v>
      </c>
    </row>
    <row r="2845" spans="1:24">
      <c r="A2845">
        <f>HYPERLINK("https://www.philgeps.gov.ph/GEPSNONPILOT/Tender/SplashBidNoticeAbstractUI.aspx?menuIndex=3&amp;refID=7079077&amp;Result=3","7079077")</f>
        <v>0</v>
      </c>
      <c r="B2845" t="s">
        <v>1084</v>
      </c>
      <c r="C2845" t="s">
        <v>6247</v>
      </c>
      <c r="D2845" t="s">
        <v>18131</v>
      </c>
      <c r="E2845" t="s">
        <v>20792</v>
      </c>
      <c r="F2845" t="s">
        <v>31362</v>
      </c>
      <c r="G2845" t="s">
        <v>31369</v>
      </c>
      <c r="H2845" t="s">
        <v>31378</v>
      </c>
      <c r="I2845" t="s">
        <v>31386</v>
      </c>
      <c r="J2845" t="s">
        <v>33441</v>
      </c>
      <c r="K2845" t="s">
        <v>40662</v>
      </c>
      <c r="M2845" t="s">
        <v>42087</v>
      </c>
      <c r="N2845" t="s">
        <v>44905</v>
      </c>
      <c r="O2845" t="s">
        <v>44906</v>
      </c>
      <c r="P2845">
        <v>0</v>
      </c>
      <c r="Q2845">
        <v>1</v>
      </c>
      <c r="R2845" t="s">
        <v>44908</v>
      </c>
      <c r="S2845" t="s">
        <v>45042</v>
      </c>
      <c r="T2845" t="s">
        <v>46404</v>
      </c>
      <c r="U2845" t="s">
        <v>49273</v>
      </c>
      <c r="V2845" t="s">
        <v>59367</v>
      </c>
      <c r="W2845" t="s">
        <v>42087</v>
      </c>
      <c r="X2845" t="s">
        <v>44909</v>
      </c>
    </row>
    <row r="2846" spans="1:24">
      <c r="A2846">
        <f>HYPERLINK("https://www.philgeps.gov.ph/GEPSNONPILOT/Tender/SplashBidNoticeAbstractUI.aspx?menuIndex=3&amp;refID=7079076&amp;Result=3","7079076")</f>
        <v>0</v>
      </c>
      <c r="B2846" t="s">
        <v>1035</v>
      </c>
      <c r="C2846" t="s">
        <v>6248</v>
      </c>
      <c r="D2846" t="s">
        <v>18148</v>
      </c>
      <c r="E2846" t="s">
        <v>20793</v>
      </c>
      <c r="F2846" t="s">
        <v>31362</v>
      </c>
      <c r="G2846" t="s">
        <v>31370</v>
      </c>
      <c r="H2846" t="s">
        <v>15799</v>
      </c>
      <c r="I2846" t="s">
        <v>6240</v>
      </c>
      <c r="J2846" t="s">
        <v>33442</v>
      </c>
      <c r="K2846" t="s">
        <v>40662</v>
      </c>
      <c r="M2846" t="s">
        <v>42034</v>
      </c>
      <c r="N2846" t="s">
        <v>44905</v>
      </c>
      <c r="O2846" t="s">
        <v>44906</v>
      </c>
      <c r="P2846">
        <v>0</v>
      </c>
      <c r="Q2846">
        <v>0</v>
      </c>
      <c r="R2846" t="s">
        <v>44908</v>
      </c>
      <c r="S2846" t="s">
        <v>45042</v>
      </c>
      <c r="T2846" t="s">
        <v>46628</v>
      </c>
      <c r="U2846" t="s">
        <v>47665</v>
      </c>
      <c r="W2846" t="s">
        <v>42034</v>
      </c>
      <c r="X2846" t="s">
        <v>44909</v>
      </c>
    </row>
    <row r="2847" spans="1:24">
      <c r="A2847">
        <f>HYPERLINK("https://www.philgeps.gov.ph/GEPSNONPILOT/Tender/SplashBidNoticeAbstractUI.aspx?menuIndex=3&amp;refID=7079075&amp;Result=3","7079075")</f>
        <v>0</v>
      </c>
      <c r="B2847" t="s">
        <v>1070</v>
      </c>
      <c r="C2847" t="s">
        <v>6249</v>
      </c>
      <c r="D2847" t="s">
        <v>18138</v>
      </c>
      <c r="E2847" t="s">
        <v>20794</v>
      </c>
      <c r="F2847" t="s">
        <v>31362</v>
      </c>
      <c r="G2847" t="s">
        <v>31368</v>
      </c>
      <c r="H2847" t="s">
        <v>15799</v>
      </c>
      <c r="I2847" t="s">
        <v>3815</v>
      </c>
      <c r="J2847" t="s">
        <v>32178</v>
      </c>
      <c r="K2847" t="s">
        <v>40666</v>
      </c>
      <c r="M2847" t="s">
        <v>42072</v>
      </c>
      <c r="N2847" t="s">
        <v>44905</v>
      </c>
      <c r="O2847" t="s">
        <v>44906</v>
      </c>
      <c r="P2847">
        <v>0</v>
      </c>
      <c r="Q2847">
        <v>0</v>
      </c>
      <c r="R2847" t="s">
        <v>44908</v>
      </c>
      <c r="S2847" t="s">
        <v>45042</v>
      </c>
      <c r="T2847" t="s">
        <v>46410</v>
      </c>
      <c r="U2847" t="s">
        <v>49274</v>
      </c>
      <c r="W2847" t="s">
        <v>42072</v>
      </c>
      <c r="X2847" t="s">
        <v>44909</v>
      </c>
    </row>
    <row r="2848" spans="1:24">
      <c r="A2848">
        <f>HYPERLINK("https://www.philgeps.gov.ph/GEPSNONPILOT/Tender/SplashBidNoticeAbstractUI.aspx?menuIndex=3&amp;refID=7079074&amp;Result=3","7079074")</f>
        <v>0</v>
      </c>
      <c r="B2848" t="s">
        <v>1085</v>
      </c>
      <c r="C2848" t="s">
        <v>6250</v>
      </c>
      <c r="D2848" t="s">
        <v>18119</v>
      </c>
      <c r="E2848" t="s">
        <v>20795</v>
      </c>
      <c r="F2848" t="s">
        <v>31362</v>
      </c>
      <c r="G2848" t="s">
        <v>31369</v>
      </c>
      <c r="H2848" t="s">
        <v>15799</v>
      </c>
      <c r="I2848" t="s">
        <v>31392</v>
      </c>
      <c r="J2848" t="s">
        <v>31981</v>
      </c>
      <c r="K2848" t="s">
        <v>40662</v>
      </c>
      <c r="M2848" t="s">
        <v>42088</v>
      </c>
      <c r="N2848" t="s">
        <v>44905</v>
      </c>
      <c r="O2848" t="s">
        <v>44906</v>
      </c>
      <c r="P2848">
        <v>0</v>
      </c>
      <c r="Q2848">
        <v>6</v>
      </c>
      <c r="R2848" t="s">
        <v>44908</v>
      </c>
      <c r="S2848" t="s">
        <v>45042</v>
      </c>
      <c r="T2848" t="s">
        <v>46449</v>
      </c>
      <c r="U2848" t="s">
        <v>49275</v>
      </c>
      <c r="V2848" t="s">
        <v>59368</v>
      </c>
      <c r="W2848" t="s">
        <v>42088</v>
      </c>
      <c r="X2848" t="s">
        <v>44909</v>
      </c>
    </row>
    <row r="2849" spans="1:24">
      <c r="A2849">
        <f>HYPERLINK("https://www.philgeps.gov.ph/GEPSNONPILOT/Tender/SplashBidNoticeAbstractUI.aspx?menuIndex=3&amp;refID=7079073&amp;Result=3","7079073")</f>
        <v>0</v>
      </c>
      <c r="B2849" t="s">
        <v>1086</v>
      </c>
      <c r="C2849" t="s">
        <v>6251</v>
      </c>
      <c r="D2849" t="s">
        <v>18123</v>
      </c>
      <c r="E2849" t="s">
        <v>20796</v>
      </c>
      <c r="F2849" t="s">
        <v>31362</v>
      </c>
      <c r="G2849" t="s">
        <v>31370</v>
      </c>
      <c r="H2849" t="s">
        <v>15799</v>
      </c>
      <c r="I2849" t="s">
        <v>31393</v>
      </c>
      <c r="J2849" t="s">
        <v>33443</v>
      </c>
      <c r="K2849" t="s">
        <v>40665</v>
      </c>
      <c r="M2849" t="s">
        <v>42089</v>
      </c>
      <c r="N2849" t="s">
        <v>44905</v>
      </c>
      <c r="O2849" t="s">
        <v>44906</v>
      </c>
      <c r="P2849">
        <v>0</v>
      </c>
      <c r="Q2849">
        <v>2</v>
      </c>
      <c r="R2849" t="s">
        <v>44908</v>
      </c>
      <c r="S2849" t="s">
        <v>45042</v>
      </c>
      <c r="T2849" t="s">
        <v>46470</v>
      </c>
      <c r="U2849" t="s">
        <v>49276</v>
      </c>
      <c r="W2849" t="s">
        <v>42089</v>
      </c>
      <c r="X2849" t="s">
        <v>44909</v>
      </c>
    </row>
    <row r="2850" spans="1:24">
      <c r="A2850">
        <f>HYPERLINK("https://www.philgeps.gov.ph/GEPSNONPILOT/Tender/SplashBidNoticeAbstractUI.aspx?menuIndex=3&amp;refID=7079081&amp;Result=3","7079081")</f>
        <v>0</v>
      </c>
      <c r="B2850" t="s">
        <v>1058</v>
      </c>
      <c r="C2850" t="s">
        <v>6252</v>
      </c>
      <c r="D2850" t="s">
        <v>18104</v>
      </c>
      <c r="E2850" t="s">
        <v>20797</v>
      </c>
      <c r="F2850" t="s">
        <v>31362</v>
      </c>
      <c r="G2850" t="s">
        <v>31370</v>
      </c>
      <c r="H2850" t="s">
        <v>15799</v>
      </c>
      <c r="I2850" t="s">
        <v>31385</v>
      </c>
      <c r="J2850" t="s">
        <v>32587</v>
      </c>
      <c r="K2850" t="s">
        <v>40670</v>
      </c>
      <c r="M2850" t="s">
        <v>42059</v>
      </c>
      <c r="N2850" t="s">
        <v>44905</v>
      </c>
      <c r="O2850" t="s">
        <v>44906</v>
      </c>
      <c r="P2850">
        <v>0</v>
      </c>
      <c r="Q2850">
        <v>0</v>
      </c>
      <c r="R2850" t="s">
        <v>44908</v>
      </c>
      <c r="S2850" t="s">
        <v>45042</v>
      </c>
      <c r="T2850" t="s">
        <v>46447</v>
      </c>
      <c r="U2850" t="s">
        <v>49277</v>
      </c>
      <c r="W2850" t="s">
        <v>42059</v>
      </c>
      <c r="X2850" t="s">
        <v>44909</v>
      </c>
    </row>
    <row r="2851" spans="1:24">
      <c r="A2851">
        <f>HYPERLINK("https://www.philgeps.gov.ph/GEPSNONPILOT/Tender/SplashBidNoticeAbstractUI.aspx?menuIndex=3&amp;refID=7079094&amp;Result=3","7079094")</f>
        <v>0</v>
      </c>
      <c r="B2851" t="s">
        <v>1066</v>
      </c>
      <c r="C2851" t="s">
        <v>6253</v>
      </c>
      <c r="D2851" t="s">
        <v>18125</v>
      </c>
      <c r="E2851" t="s">
        <v>20798</v>
      </c>
      <c r="F2851" t="s">
        <v>31362</v>
      </c>
      <c r="G2851" t="s">
        <v>31368</v>
      </c>
      <c r="H2851" t="s">
        <v>15799</v>
      </c>
      <c r="I2851" t="s">
        <v>31380</v>
      </c>
      <c r="J2851" t="s">
        <v>33444</v>
      </c>
      <c r="K2851" t="s">
        <v>40670</v>
      </c>
      <c r="M2851" t="s">
        <v>42068</v>
      </c>
      <c r="N2851" t="s">
        <v>44905</v>
      </c>
      <c r="O2851" t="s">
        <v>44906</v>
      </c>
      <c r="P2851">
        <v>0</v>
      </c>
      <c r="Q2851">
        <v>0</v>
      </c>
      <c r="R2851" t="s">
        <v>44908</v>
      </c>
      <c r="S2851" t="s">
        <v>45042</v>
      </c>
      <c r="T2851" t="s">
        <v>46432</v>
      </c>
      <c r="U2851" t="s">
        <v>49241</v>
      </c>
      <c r="W2851" t="s">
        <v>42068</v>
      </c>
      <c r="X2851" t="s">
        <v>44909</v>
      </c>
    </row>
    <row r="2852" spans="1:24">
      <c r="A2852">
        <f>HYPERLINK("https://www.philgeps.gov.ph/GEPSNONPILOT/Tender/SplashBidNoticeAbstractUI.aspx?menuIndex=3&amp;refID=7079091&amp;Result=3","7079091")</f>
        <v>0</v>
      </c>
      <c r="B2852" t="s">
        <v>1070</v>
      </c>
      <c r="C2852" t="s">
        <v>6254</v>
      </c>
      <c r="D2852" t="s">
        <v>18138</v>
      </c>
      <c r="E2852" t="s">
        <v>20799</v>
      </c>
      <c r="F2852" t="s">
        <v>31362</v>
      </c>
      <c r="G2852" t="s">
        <v>31368</v>
      </c>
      <c r="H2852" t="s">
        <v>15799</v>
      </c>
      <c r="I2852" t="s">
        <v>6373</v>
      </c>
      <c r="J2852" t="s">
        <v>33445</v>
      </c>
      <c r="K2852" t="s">
        <v>40666</v>
      </c>
      <c r="M2852" t="s">
        <v>42072</v>
      </c>
      <c r="N2852" t="s">
        <v>44905</v>
      </c>
      <c r="O2852" t="s">
        <v>44906</v>
      </c>
      <c r="P2852">
        <v>0</v>
      </c>
      <c r="Q2852">
        <v>5</v>
      </c>
      <c r="R2852" t="s">
        <v>44908</v>
      </c>
      <c r="S2852" t="s">
        <v>45042</v>
      </c>
      <c r="T2852" t="s">
        <v>46410</v>
      </c>
      <c r="U2852" t="s">
        <v>49278</v>
      </c>
      <c r="W2852" t="s">
        <v>42072</v>
      </c>
      <c r="X2852" t="s">
        <v>44909</v>
      </c>
    </row>
    <row r="2853" spans="1:24">
      <c r="A2853">
        <f>HYPERLINK("https://www.philgeps.gov.ph/GEPSNONPILOT/Tender/SplashBidNoticeAbstractUI.aspx?menuIndex=3&amp;refID=7079090&amp;Result=3","7079090")</f>
        <v>0</v>
      </c>
      <c r="B2853" t="s">
        <v>1087</v>
      </c>
      <c r="C2853" t="s">
        <v>6255</v>
      </c>
      <c r="D2853" t="s">
        <v>18101</v>
      </c>
      <c r="E2853" t="s">
        <v>20800</v>
      </c>
      <c r="F2853" t="s">
        <v>31362</v>
      </c>
      <c r="G2853" t="s">
        <v>31370</v>
      </c>
      <c r="H2853" t="s">
        <v>15799</v>
      </c>
      <c r="I2853" t="s">
        <v>31394</v>
      </c>
      <c r="J2853" t="s">
        <v>31983</v>
      </c>
      <c r="K2853" t="s">
        <v>40661</v>
      </c>
      <c r="M2853" t="s">
        <v>42090</v>
      </c>
      <c r="N2853" t="s">
        <v>44905</v>
      </c>
      <c r="O2853" t="s">
        <v>44906</v>
      </c>
      <c r="P2853">
        <v>0</v>
      </c>
      <c r="Q2853">
        <v>1</v>
      </c>
      <c r="R2853" t="s">
        <v>44908</v>
      </c>
      <c r="S2853" t="s">
        <v>45042</v>
      </c>
      <c r="T2853" t="s">
        <v>46432</v>
      </c>
      <c r="U2853" t="s">
        <v>49279</v>
      </c>
      <c r="V2853" t="s">
        <v>59369</v>
      </c>
      <c r="W2853" t="s">
        <v>42090</v>
      </c>
      <c r="X2853" t="s">
        <v>44909</v>
      </c>
    </row>
    <row r="2854" spans="1:24">
      <c r="A2854">
        <f>HYPERLINK("https://www.philgeps.gov.ph/GEPSNONPILOT/Tender/SplashBidNoticeAbstractUI.aspx?menuIndex=3&amp;refID=7079087&amp;Result=3","7079087")</f>
        <v>0</v>
      </c>
      <c r="B2854" t="s">
        <v>545</v>
      </c>
      <c r="C2854" t="s">
        <v>6256</v>
      </c>
      <c r="D2854" t="s">
        <v>18143</v>
      </c>
      <c r="E2854" t="s">
        <v>18625</v>
      </c>
      <c r="F2854" t="s">
        <v>31362</v>
      </c>
      <c r="G2854" t="s">
        <v>31369</v>
      </c>
      <c r="H2854" t="s">
        <v>15799</v>
      </c>
      <c r="I2854" t="s">
        <v>31409</v>
      </c>
      <c r="J2854" t="s">
        <v>33446</v>
      </c>
      <c r="K2854" t="s">
        <v>40661</v>
      </c>
      <c r="M2854" t="s">
        <v>41501</v>
      </c>
      <c r="N2854" t="s">
        <v>44905</v>
      </c>
      <c r="O2854" t="s">
        <v>44906</v>
      </c>
      <c r="P2854">
        <v>0</v>
      </c>
      <c r="Q2854">
        <v>2</v>
      </c>
      <c r="R2854" t="s">
        <v>44908</v>
      </c>
      <c r="S2854" t="s">
        <v>45042</v>
      </c>
      <c r="T2854" t="s">
        <v>46402</v>
      </c>
      <c r="U2854" t="s">
        <v>49280</v>
      </c>
      <c r="V2854" t="s">
        <v>59370</v>
      </c>
      <c r="W2854" t="s">
        <v>41501</v>
      </c>
      <c r="X2854" t="s">
        <v>44909</v>
      </c>
    </row>
    <row r="2855" spans="1:24">
      <c r="A2855">
        <f>HYPERLINK("https://www.philgeps.gov.ph/GEPSNONPILOT/Tender/SplashBidNoticeAbstractUI.aspx?menuIndex=3&amp;refID=7079089&amp;Result=3","7079089")</f>
        <v>0</v>
      </c>
      <c r="B2855" t="s">
        <v>968</v>
      </c>
      <c r="C2855" t="s">
        <v>6257</v>
      </c>
      <c r="D2855" t="s">
        <v>18100</v>
      </c>
      <c r="E2855" t="s">
        <v>20801</v>
      </c>
      <c r="F2855" t="s">
        <v>31362</v>
      </c>
      <c r="G2855" t="s">
        <v>31372</v>
      </c>
      <c r="H2855" t="s">
        <v>15799</v>
      </c>
      <c r="I2855" t="s">
        <v>3815</v>
      </c>
      <c r="J2855" t="s">
        <v>31519</v>
      </c>
      <c r="K2855" t="s">
        <v>40662</v>
      </c>
      <c r="M2855" t="s">
        <v>42091</v>
      </c>
      <c r="N2855" t="s">
        <v>44905</v>
      </c>
      <c r="O2855" t="s">
        <v>44906</v>
      </c>
      <c r="P2855">
        <v>0</v>
      </c>
      <c r="Q2855">
        <v>0</v>
      </c>
      <c r="R2855" t="s">
        <v>44908</v>
      </c>
      <c r="S2855" t="s">
        <v>45042</v>
      </c>
      <c r="T2855" t="s">
        <v>46411</v>
      </c>
      <c r="U2855" t="s">
        <v>49281</v>
      </c>
      <c r="W2855" t="s">
        <v>42091</v>
      </c>
      <c r="X2855" t="s">
        <v>44909</v>
      </c>
    </row>
    <row r="2856" spans="1:24">
      <c r="A2856">
        <f>HYPERLINK("https://www.philgeps.gov.ph/GEPSNONPILOT/Tender/SplashBidNoticeAbstractUI.aspx?menuIndex=3&amp;refID=7079097&amp;Result=3","7079097")</f>
        <v>0</v>
      </c>
      <c r="B2856" t="s">
        <v>288</v>
      </c>
      <c r="C2856" t="s">
        <v>6258</v>
      </c>
      <c r="D2856" t="s">
        <v>18102</v>
      </c>
      <c r="E2856" t="s">
        <v>20802</v>
      </c>
      <c r="F2856" t="s">
        <v>31362</v>
      </c>
      <c r="G2856" t="s">
        <v>31370</v>
      </c>
      <c r="H2856" t="s">
        <v>15799</v>
      </c>
      <c r="I2856" t="s">
        <v>6373</v>
      </c>
      <c r="J2856" t="s">
        <v>33447</v>
      </c>
      <c r="K2856" t="s">
        <v>40670</v>
      </c>
      <c r="M2856" t="s">
        <v>42092</v>
      </c>
      <c r="N2856" t="s">
        <v>44905</v>
      </c>
      <c r="O2856" t="s">
        <v>44906</v>
      </c>
      <c r="P2856">
        <v>0</v>
      </c>
      <c r="Q2856">
        <v>2</v>
      </c>
      <c r="R2856" t="s">
        <v>44908</v>
      </c>
      <c r="S2856" t="s">
        <v>45042</v>
      </c>
      <c r="T2856" t="s">
        <v>46447</v>
      </c>
      <c r="U2856" t="s">
        <v>49282</v>
      </c>
      <c r="W2856" t="s">
        <v>42092</v>
      </c>
      <c r="X2856" t="s">
        <v>44909</v>
      </c>
    </row>
    <row r="2857" spans="1:24">
      <c r="A2857">
        <f>HYPERLINK("https://www.philgeps.gov.ph/GEPSNONPILOT/Tender/SplashBidNoticeAbstractUI.aspx?menuIndex=3&amp;refID=7079095&amp;Result=3","7079095")</f>
        <v>0</v>
      </c>
      <c r="B2857" t="s">
        <v>1088</v>
      </c>
      <c r="C2857" t="s">
        <v>6259</v>
      </c>
      <c r="D2857" t="s">
        <v>18108</v>
      </c>
      <c r="E2857" t="s">
        <v>20803</v>
      </c>
      <c r="F2857" t="s">
        <v>31362</v>
      </c>
      <c r="G2857" t="s">
        <v>31369</v>
      </c>
      <c r="H2857" t="s">
        <v>15799</v>
      </c>
      <c r="I2857" t="s">
        <v>31454</v>
      </c>
      <c r="J2857" t="s">
        <v>31535</v>
      </c>
      <c r="K2857" t="s">
        <v>40697</v>
      </c>
      <c r="M2857" t="s">
        <v>42093</v>
      </c>
      <c r="N2857" t="s">
        <v>44905</v>
      </c>
      <c r="O2857" t="s">
        <v>44906</v>
      </c>
      <c r="P2857">
        <v>0</v>
      </c>
      <c r="Q2857">
        <v>9</v>
      </c>
      <c r="R2857" t="s">
        <v>44908</v>
      </c>
      <c r="S2857" t="s">
        <v>45042</v>
      </c>
      <c r="T2857" t="s">
        <v>46427</v>
      </c>
      <c r="U2857" t="s">
        <v>49283</v>
      </c>
      <c r="W2857" t="s">
        <v>42093</v>
      </c>
      <c r="X2857" t="s">
        <v>44909</v>
      </c>
    </row>
    <row r="2858" spans="1:24">
      <c r="A2858">
        <f>HYPERLINK("https://www.philgeps.gov.ph/GEPSNONPILOT/Tender/SplashBidNoticeAbstractUI.aspx?menuIndex=3&amp;refID=7079112&amp;Result=3","7079112")</f>
        <v>0</v>
      </c>
      <c r="B2858" t="s">
        <v>1089</v>
      </c>
      <c r="C2858" t="s">
        <v>6260</v>
      </c>
      <c r="D2858" t="s">
        <v>18106</v>
      </c>
      <c r="E2858" t="s">
        <v>20804</v>
      </c>
      <c r="F2858" t="s">
        <v>31362</v>
      </c>
      <c r="G2858" t="s">
        <v>31368</v>
      </c>
      <c r="H2858" t="s">
        <v>15799</v>
      </c>
      <c r="I2858" t="s">
        <v>31380</v>
      </c>
      <c r="J2858" t="s">
        <v>33448</v>
      </c>
      <c r="K2858" t="s">
        <v>40662</v>
      </c>
      <c r="M2858" t="s">
        <v>42094</v>
      </c>
      <c r="N2858" t="s">
        <v>44905</v>
      </c>
      <c r="O2858" t="s">
        <v>44906</v>
      </c>
      <c r="P2858">
        <v>0</v>
      </c>
      <c r="Q2858">
        <v>1</v>
      </c>
      <c r="R2858" t="s">
        <v>44908</v>
      </c>
      <c r="S2858" t="s">
        <v>45042</v>
      </c>
      <c r="T2858" t="s">
        <v>46416</v>
      </c>
      <c r="U2858" t="s">
        <v>49284</v>
      </c>
      <c r="W2858" t="s">
        <v>42094</v>
      </c>
      <c r="X2858" t="s">
        <v>44909</v>
      </c>
    </row>
    <row r="2859" spans="1:24">
      <c r="A2859">
        <f>HYPERLINK("https://www.philgeps.gov.ph/GEPSNONPILOT/Tender/SplashBidNoticeAbstractUI.aspx?menuIndex=3&amp;refID=7079111&amp;Result=3","7079111")</f>
        <v>0</v>
      </c>
      <c r="B2859" t="s">
        <v>1058</v>
      </c>
      <c r="C2859" t="s">
        <v>6261</v>
      </c>
      <c r="D2859" t="s">
        <v>18104</v>
      </c>
      <c r="E2859" t="s">
        <v>20805</v>
      </c>
      <c r="F2859" t="s">
        <v>31362</v>
      </c>
      <c r="G2859" t="s">
        <v>31370</v>
      </c>
      <c r="H2859" t="s">
        <v>15799</v>
      </c>
      <c r="I2859" t="s">
        <v>31393</v>
      </c>
      <c r="J2859" t="s">
        <v>32143</v>
      </c>
      <c r="K2859" t="s">
        <v>40670</v>
      </c>
      <c r="M2859" t="s">
        <v>42059</v>
      </c>
      <c r="N2859" t="s">
        <v>44905</v>
      </c>
      <c r="O2859" t="s">
        <v>44906</v>
      </c>
      <c r="P2859">
        <v>0</v>
      </c>
      <c r="Q2859">
        <v>0</v>
      </c>
      <c r="R2859" t="s">
        <v>44908</v>
      </c>
      <c r="S2859" t="s">
        <v>45042</v>
      </c>
      <c r="T2859" t="s">
        <v>46447</v>
      </c>
      <c r="U2859" t="s">
        <v>49285</v>
      </c>
      <c r="W2859" t="s">
        <v>42059</v>
      </c>
      <c r="X2859" t="s">
        <v>44909</v>
      </c>
    </row>
    <row r="2860" spans="1:24">
      <c r="A2860">
        <f>HYPERLINK("https://www.philgeps.gov.ph/GEPSNONPILOT/Tender/SplashBidNoticeAbstractUI.aspx?menuIndex=3&amp;refID=7079110&amp;Result=3","7079110")</f>
        <v>0</v>
      </c>
      <c r="B2860" t="s">
        <v>966</v>
      </c>
      <c r="C2860" t="s">
        <v>6262</v>
      </c>
      <c r="D2860" t="s">
        <v>18103</v>
      </c>
      <c r="E2860" t="s">
        <v>20806</v>
      </c>
      <c r="F2860" t="s">
        <v>31362</v>
      </c>
      <c r="G2860" t="s">
        <v>31368</v>
      </c>
      <c r="H2860" t="s">
        <v>15799</v>
      </c>
      <c r="I2860" t="s">
        <v>3815</v>
      </c>
      <c r="J2860" t="s">
        <v>33449</v>
      </c>
      <c r="K2860" t="s">
        <v>40661</v>
      </c>
      <c r="M2860" t="s">
        <v>41956</v>
      </c>
      <c r="N2860" t="s">
        <v>44905</v>
      </c>
      <c r="O2860" t="s">
        <v>44906</v>
      </c>
      <c r="P2860">
        <v>0</v>
      </c>
      <c r="Q2860">
        <v>3</v>
      </c>
      <c r="R2860" t="s">
        <v>44908</v>
      </c>
      <c r="S2860" t="s">
        <v>45042</v>
      </c>
      <c r="T2860" t="s">
        <v>46454</v>
      </c>
      <c r="U2860" t="s">
        <v>49286</v>
      </c>
      <c r="V2860" t="s">
        <v>59312</v>
      </c>
      <c r="W2860" t="s">
        <v>41956</v>
      </c>
      <c r="X2860" t="s">
        <v>44909</v>
      </c>
    </row>
    <row r="2861" spans="1:24">
      <c r="A2861">
        <f>HYPERLINK("https://www.philgeps.gov.ph/GEPSNONPILOT/Tender/SplashBidNoticeAbstractUI.aspx?menuIndex=3&amp;refID=7079109&amp;Result=3","7079109")</f>
        <v>0</v>
      </c>
      <c r="B2861" t="s">
        <v>350</v>
      </c>
      <c r="C2861" t="s">
        <v>6263</v>
      </c>
      <c r="D2861" t="s">
        <v>18169</v>
      </c>
      <c r="E2861" t="s">
        <v>20807</v>
      </c>
      <c r="F2861" t="s">
        <v>31362</v>
      </c>
      <c r="G2861" t="s">
        <v>31368</v>
      </c>
      <c r="H2861" t="s">
        <v>15799</v>
      </c>
      <c r="I2861" t="s">
        <v>31387</v>
      </c>
      <c r="J2861" t="s">
        <v>32679</v>
      </c>
      <c r="K2861" t="s">
        <v>40662</v>
      </c>
      <c r="M2861" t="s">
        <v>41296</v>
      </c>
      <c r="N2861" t="s">
        <v>44905</v>
      </c>
      <c r="O2861" t="s">
        <v>44906</v>
      </c>
      <c r="P2861">
        <v>0</v>
      </c>
      <c r="Q2861">
        <v>0</v>
      </c>
      <c r="R2861" t="s">
        <v>44908</v>
      </c>
      <c r="S2861" t="s">
        <v>45042</v>
      </c>
      <c r="T2861" t="s">
        <v>46454</v>
      </c>
      <c r="U2861" t="s">
        <v>47521</v>
      </c>
      <c r="V2861" t="s">
        <v>59371</v>
      </c>
      <c r="W2861" t="s">
        <v>41296</v>
      </c>
      <c r="X2861" t="s">
        <v>44909</v>
      </c>
    </row>
    <row r="2862" spans="1:24">
      <c r="A2862">
        <f>HYPERLINK("https://www.philgeps.gov.ph/GEPSNONPILOT/Tender/SplashBidNoticeAbstractUI.aspx?menuIndex=3&amp;refID=7079108&amp;Result=3","7079108")</f>
        <v>0</v>
      </c>
      <c r="B2862" t="s">
        <v>1013</v>
      </c>
      <c r="C2862" t="s">
        <v>6264</v>
      </c>
      <c r="D2862" t="s">
        <v>18119</v>
      </c>
      <c r="E2862" t="s">
        <v>20808</v>
      </c>
      <c r="F2862" t="s">
        <v>31362</v>
      </c>
      <c r="G2862" t="s">
        <v>31368</v>
      </c>
      <c r="H2862" t="s">
        <v>15799</v>
      </c>
      <c r="I2862" t="s">
        <v>13635</v>
      </c>
      <c r="J2862" t="s">
        <v>33450</v>
      </c>
      <c r="K2862" t="s">
        <v>40670</v>
      </c>
      <c r="M2862" t="s">
        <v>42010</v>
      </c>
      <c r="N2862" t="s">
        <v>44905</v>
      </c>
      <c r="O2862" t="s">
        <v>44906</v>
      </c>
      <c r="P2862">
        <v>0</v>
      </c>
      <c r="Q2862">
        <v>0</v>
      </c>
      <c r="R2862" t="s">
        <v>44908</v>
      </c>
      <c r="S2862" t="s">
        <v>45042</v>
      </c>
      <c r="T2862" t="s">
        <v>46409</v>
      </c>
      <c r="U2862" t="s">
        <v>49287</v>
      </c>
      <c r="W2862" t="s">
        <v>42010</v>
      </c>
      <c r="X2862" t="s">
        <v>44909</v>
      </c>
    </row>
    <row r="2863" spans="1:24">
      <c r="A2863">
        <f>HYPERLINK("https://www.philgeps.gov.ph/GEPSNONPILOT/Tender/SplashBidNoticeAbstractUI.aspx?menuIndex=3&amp;refID=7079086&amp;Result=3","7079086")</f>
        <v>0</v>
      </c>
      <c r="B2863" t="s">
        <v>1090</v>
      </c>
      <c r="C2863" t="s">
        <v>6265</v>
      </c>
      <c r="D2863" t="s">
        <v>18116</v>
      </c>
      <c r="E2863" t="s">
        <v>20809</v>
      </c>
      <c r="F2863" t="s">
        <v>31362</v>
      </c>
      <c r="G2863" t="s">
        <v>31369</v>
      </c>
      <c r="H2863" t="s">
        <v>15799</v>
      </c>
      <c r="I2863" t="s">
        <v>7090</v>
      </c>
      <c r="J2863" t="s">
        <v>33451</v>
      </c>
      <c r="K2863" t="s">
        <v>40662</v>
      </c>
      <c r="M2863" t="s">
        <v>42095</v>
      </c>
      <c r="N2863" t="s">
        <v>44905</v>
      </c>
      <c r="O2863" t="s">
        <v>44906</v>
      </c>
      <c r="P2863">
        <v>0</v>
      </c>
      <c r="Q2863">
        <v>0</v>
      </c>
      <c r="R2863" t="s">
        <v>44908</v>
      </c>
      <c r="S2863" t="s">
        <v>45042</v>
      </c>
      <c r="T2863" t="s">
        <v>46483</v>
      </c>
      <c r="U2863" t="s">
        <v>49288</v>
      </c>
      <c r="W2863" t="s">
        <v>42095</v>
      </c>
      <c r="X2863" t="s">
        <v>44909</v>
      </c>
    </row>
    <row r="2864" spans="1:24">
      <c r="A2864">
        <f>HYPERLINK("https://www.philgeps.gov.ph/GEPSNONPILOT/Tender/SplashBidNoticeAbstractUI.aspx?menuIndex=3&amp;refID=7079118&amp;Result=3","7079118")</f>
        <v>0</v>
      </c>
      <c r="B2864" t="s">
        <v>428</v>
      </c>
      <c r="C2864" t="s">
        <v>6266</v>
      </c>
      <c r="D2864" t="s">
        <v>18148</v>
      </c>
      <c r="E2864" t="s">
        <v>20810</v>
      </c>
      <c r="F2864" t="s">
        <v>31362</v>
      </c>
      <c r="G2864" t="s">
        <v>31368</v>
      </c>
      <c r="H2864" t="s">
        <v>15799</v>
      </c>
      <c r="I2864" t="s">
        <v>31400</v>
      </c>
      <c r="J2864" t="s">
        <v>31536</v>
      </c>
      <c r="K2864" t="s">
        <v>40697</v>
      </c>
      <c r="M2864" t="s">
        <v>41379</v>
      </c>
      <c r="N2864" t="s">
        <v>44905</v>
      </c>
      <c r="O2864" t="s">
        <v>44906</v>
      </c>
      <c r="P2864">
        <v>0</v>
      </c>
      <c r="Q2864">
        <v>1</v>
      </c>
      <c r="R2864" t="s">
        <v>44908</v>
      </c>
      <c r="S2864" t="s">
        <v>45042</v>
      </c>
      <c r="T2864" t="s">
        <v>46425</v>
      </c>
      <c r="U2864" t="s">
        <v>49289</v>
      </c>
      <c r="W2864" t="s">
        <v>41379</v>
      </c>
      <c r="X2864" t="s">
        <v>44909</v>
      </c>
    </row>
    <row r="2865" spans="1:24">
      <c r="A2865">
        <f>HYPERLINK("https://www.philgeps.gov.ph/GEPSNONPILOT/Tender/SplashBidNoticeAbstractUI.aspx?menuIndex=3&amp;refID=7079115&amp;Result=3","7079115")</f>
        <v>0</v>
      </c>
      <c r="B2865" t="s">
        <v>1067</v>
      </c>
      <c r="C2865" t="s">
        <v>6267</v>
      </c>
      <c r="D2865" t="s">
        <v>18116</v>
      </c>
      <c r="E2865" t="s">
        <v>20811</v>
      </c>
      <c r="F2865" t="s">
        <v>31362</v>
      </c>
      <c r="G2865" t="s">
        <v>31368</v>
      </c>
      <c r="H2865" t="s">
        <v>15799</v>
      </c>
      <c r="I2865" t="s">
        <v>4942</v>
      </c>
      <c r="J2865" t="s">
        <v>33452</v>
      </c>
      <c r="K2865" t="s">
        <v>40665</v>
      </c>
      <c r="M2865" t="s">
        <v>42069</v>
      </c>
      <c r="N2865" t="s">
        <v>44905</v>
      </c>
      <c r="O2865" t="s">
        <v>44906</v>
      </c>
      <c r="P2865">
        <v>0</v>
      </c>
      <c r="Q2865">
        <v>0</v>
      </c>
      <c r="R2865" t="s">
        <v>44908</v>
      </c>
      <c r="S2865" t="s">
        <v>45042</v>
      </c>
      <c r="T2865" t="s">
        <v>46434</v>
      </c>
      <c r="U2865" t="s">
        <v>49290</v>
      </c>
      <c r="W2865" t="s">
        <v>42069</v>
      </c>
      <c r="X2865" t="s">
        <v>44909</v>
      </c>
    </row>
    <row r="2866" spans="1:24">
      <c r="A2866">
        <f>HYPERLINK("https://www.philgeps.gov.ph/GEPSNONPILOT/Tender/SplashBidNoticeAbstractUI.aspx?menuIndex=3&amp;refID=7079083&amp;Result=3","7079083")</f>
        <v>0</v>
      </c>
      <c r="B2866" t="s">
        <v>292</v>
      </c>
      <c r="C2866" t="s">
        <v>6268</v>
      </c>
      <c r="D2866" t="s">
        <v>18143</v>
      </c>
      <c r="E2866" t="s">
        <v>20812</v>
      </c>
      <c r="F2866" t="s">
        <v>31362</v>
      </c>
      <c r="G2866" t="s">
        <v>31369</v>
      </c>
      <c r="H2866" t="s">
        <v>31378</v>
      </c>
      <c r="I2866" t="s">
        <v>31386</v>
      </c>
      <c r="J2866" t="s">
        <v>33453</v>
      </c>
      <c r="K2866" t="s">
        <v>40753</v>
      </c>
      <c r="M2866" t="s">
        <v>41235</v>
      </c>
      <c r="N2866" t="s">
        <v>44905</v>
      </c>
      <c r="O2866" t="s">
        <v>44906</v>
      </c>
      <c r="P2866">
        <v>0</v>
      </c>
      <c r="Q2866">
        <v>0</v>
      </c>
      <c r="R2866" t="s">
        <v>44908</v>
      </c>
      <c r="S2866" t="s">
        <v>45042</v>
      </c>
      <c r="T2866" t="s">
        <v>46431</v>
      </c>
      <c r="U2866" t="s">
        <v>49291</v>
      </c>
      <c r="W2866" t="s">
        <v>41235</v>
      </c>
      <c r="X2866" t="s">
        <v>44909</v>
      </c>
    </row>
    <row r="2867" spans="1:24">
      <c r="A2867">
        <f>HYPERLINK("https://www.philgeps.gov.ph/GEPSNONPILOT/Tender/SplashBidNoticeAbstractUI.aspx?menuIndex=3&amp;refID=7079093&amp;Result=3","7079093")</f>
        <v>0</v>
      </c>
      <c r="B2867" t="s">
        <v>327</v>
      </c>
      <c r="C2867" t="s">
        <v>6269</v>
      </c>
      <c r="D2867" t="s">
        <v>18108</v>
      </c>
      <c r="E2867" t="s">
        <v>20813</v>
      </c>
      <c r="F2867" t="s">
        <v>31362</v>
      </c>
      <c r="G2867" t="s">
        <v>31368</v>
      </c>
      <c r="H2867" t="s">
        <v>15799</v>
      </c>
      <c r="I2867" t="s">
        <v>31393</v>
      </c>
      <c r="J2867" t="s">
        <v>33454</v>
      </c>
      <c r="K2867" t="s">
        <v>40666</v>
      </c>
      <c r="M2867" t="s">
        <v>41273</v>
      </c>
      <c r="N2867" t="s">
        <v>44905</v>
      </c>
      <c r="O2867" t="s">
        <v>44906</v>
      </c>
      <c r="P2867">
        <v>0</v>
      </c>
      <c r="Q2867">
        <v>1</v>
      </c>
      <c r="R2867" t="s">
        <v>44908</v>
      </c>
      <c r="S2867" t="s">
        <v>45042</v>
      </c>
      <c r="T2867" t="s">
        <v>46454</v>
      </c>
      <c r="U2867" t="s">
        <v>49292</v>
      </c>
      <c r="W2867" t="s">
        <v>41273</v>
      </c>
      <c r="X2867" t="s">
        <v>44909</v>
      </c>
    </row>
    <row r="2868" spans="1:24">
      <c r="A2868">
        <f>HYPERLINK("https://www.philgeps.gov.ph/GEPSNONPILOT/Tender/SplashBidNoticeAbstractUI.aspx?menuIndex=3&amp;refID=7079116&amp;Result=3","7079116")</f>
        <v>0</v>
      </c>
      <c r="B2868" t="s">
        <v>1091</v>
      </c>
      <c r="C2868" t="s">
        <v>6270</v>
      </c>
      <c r="D2868" t="s">
        <v>18177</v>
      </c>
      <c r="E2868" t="s">
        <v>18460</v>
      </c>
      <c r="F2868" t="s">
        <v>31362</v>
      </c>
      <c r="G2868" t="s">
        <v>31368</v>
      </c>
      <c r="H2868" t="s">
        <v>15799</v>
      </c>
      <c r="I2868" t="s">
        <v>31409</v>
      </c>
      <c r="J2868" t="s">
        <v>33455</v>
      </c>
      <c r="K2868" t="s">
        <v>40666</v>
      </c>
      <c r="M2868" t="s">
        <v>42096</v>
      </c>
      <c r="N2868" t="s">
        <v>44905</v>
      </c>
      <c r="O2868" t="s">
        <v>44906</v>
      </c>
      <c r="P2868">
        <v>0</v>
      </c>
      <c r="Q2868">
        <v>0</v>
      </c>
      <c r="R2868" t="s">
        <v>44908</v>
      </c>
      <c r="S2868" t="s">
        <v>45042</v>
      </c>
      <c r="T2868" t="s">
        <v>46432</v>
      </c>
      <c r="U2868" t="s">
        <v>49293</v>
      </c>
      <c r="W2868" t="s">
        <v>42096</v>
      </c>
      <c r="X2868" t="s">
        <v>44909</v>
      </c>
    </row>
    <row r="2869" spans="1:24">
      <c r="A2869">
        <f>HYPERLINK("https://www.philgeps.gov.ph/GEPSNONPILOT/Tender/SplashBidNoticeAbstractUI.aspx?menuIndex=3&amp;refID=7079105&amp;Result=3","7079105")</f>
        <v>0</v>
      </c>
      <c r="B2869" t="s">
        <v>369</v>
      </c>
      <c r="C2869" t="s">
        <v>6271</v>
      </c>
      <c r="D2869" t="s">
        <v>18152</v>
      </c>
      <c r="E2869" t="s">
        <v>20814</v>
      </c>
      <c r="F2869" t="s">
        <v>31362</v>
      </c>
      <c r="G2869" t="s">
        <v>31369</v>
      </c>
      <c r="H2869" t="s">
        <v>31378</v>
      </c>
      <c r="I2869" t="s">
        <v>31386</v>
      </c>
      <c r="J2869" t="s">
        <v>31591</v>
      </c>
      <c r="K2869" t="s">
        <v>40746</v>
      </c>
      <c r="M2869" t="s">
        <v>41316</v>
      </c>
      <c r="N2869" t="s">
        <v>44905</v>
      </c>
      <c r="O2869" t="s">
        <v>44906</v>
      </c>
      <c r="P2869">
        <v>0</v>
      </c>
      <c r="Q2869">
        <v>0</v>
      </c>
      <c r="R2869" t="s">
        <v>44908</v>
      </c>
      <c r="S2869" t="s">
        <v>45042</v>
      </c>
      <c r="T2869" t="s">
        <v>46524</v>
      </c>
      <c r="U2869" t="s">
        <v>49294</v>
      </c>
      <c r="W2869" t="s">
        <v>41316</v>
      </c>
      <c r="X2869" t="s">
        <v>44909</v>
      </c>
    </row>
    <row r="2870" spans="1:24">
      <c r="A2870">
        <f>HYPERLINK("https://www.philgeps.gov.ph/GEPSNONPILOT/Tender/SplashBidNoticeAbstractUI.aspx?menuIndex=3&amp;refID=7079104&amp;Result=3","7079104")</f>
        <v>0</v>
      </c>
      <c r="B2870" t="s">
        <v>1069</v>
      </c>
      <c r="C2870" t="s">
        <v>6272</v>
      </c>
      <c r="E2870" t="s">
        <v>20763</v>
      </c>
      <c r="F2870" t="s">
        <v>31362</v>
      </c>
      <c r="G2870" t="s">
        <v>31369</v>
      </c>
      <c r="H2870" t="s">
        <v>15799</v>
      </c>
      <c r="I2870" t="s">
        <v>31380</v>
      </c>
      <c r="J2870" t="s">
        <v>32143</v>
      </c>
      <c r="K2870" t="s">
        <v>40662</v>
      </c>
      <c r="M2870" t="s">
        <v>42071</v>
      </c>
      <c r="N2870" t="s">
        <v>44905</v>
      </c>
      <c r="O2870" t="s">
        <v>44906</v>
      </c>
      <c r="P2870">
        <v>0</v>
      </c>
      <c r="Q2870">
        <v>1</v>
      </c>
      <c r="R2870" t="s">
        <v>44908</v>
      </c>
      <c r="S2870" t="s">
        <v>45042</v>
      </c>
      <c r="T2870" t="s">
        <v>46464</v>
      </c>
      <c r="U2870" t="s">
        <v>49245</v>
      </c>
      <c r="W2870" t="s">
        <v>42071</v>
      </c>
      <c r="X2870" t="s">
        <v>44909</v>
      </c>
    </row>
    <row r="2871" spans="1:24">
      <c r="A2871">
        <f>HYPERLINK("https://www.philgeps.gov.ph/GEPSNONPILOT/Tender/SplashBidNoticeAbstractUI.aspx?menuIndex=3&amp;refID=7079114&amp;Result=3","7079114")</f>
        <v>0</v>
      </c>
      <c r="B2871" t="s">
        <v>1083</v>
      </c>
      <c r="C2871" t="s">
        <v>6273</v>
      </c>
      <c r="D2871" t="s">
        <v>18152</v>
      </c>
      <c r="E2871" t="s">
        <v>20791</v>
      </c>
      <c r="F2871" t="s">
        <v>31362</v>
      </c>
      <c r="G2871" t="s">
        <v>31368</v>
      </c>
      <c r="H2871" t="s">
        <v>15799</v>
      </c>
      <c r="I2871" t="s">
        <v>31487</v>
      </c>
      <c r="J2871" t="s">
        <v>33410</v>
      </c>
      <c r="K2871" t="s">
        <v>40665</v>
      </c>
      <c r="M2871" t="s">
        <v>42086</v>
      </c>
      <c r="N2871" t="s">
        <v>44905</v>
      </c>
      <c r="O2871" t="s">
        <v>44906</v>
      </c>
      <c r="P2871">
        <v>0</v>
      </c>
      <c r="Q2871">
        <v>1</v>
      </c>
      <c r="R2871" t="s">
        <v>44908</v>
      </c>
      <c r="S2871" t="s">
        <v>45042</v>
      </c>
      <c r="T2871" t="s">
        <v>46470</v>
      </c>
      <c r="U2871" t="s">
        <v>49272</v>
      </c>
      <c r="V2871" t="s">
        <v>59372</v>
      </c>
      <c r="W2871" t="s">
        <v>42086</v>
      </c>
      <c r="X2871" t="s">
        <v>44909</v>
      </c>
    </row>
    <row r="2872" spans="1:24">
      <c r="A2872">
        <f>HYPERLINK("https://www.philgeps.gov.ph/GEPSNONPILOT/Tender/SplashBidNoticeAbstractUI.aspx?menuIndex=3&amp;refID=7079113&amp;Result=3","7079113")</f>
        <v>0</v>
      </c>
      <c r="B2872" t="s">
        <v>697</v>
      </c>
      <c r="C2872" t="s">
        <v>6274</v>
      </c>
      <c r="D2872" t="s">
        <v>18146</v>
      </c>
      <c r="E2872" t="s">
        <v>20815</v>
      </c>
      <c r="F2872" t="s">
        <v>31364</v>
      </c>
      <c r="G2872" t="s">
        <v>31369</v>
      </c>
      <c r="H2872" t="s">
        <v>15799</v>
      </c>
      <c r="I2872" t="s">
        <v>31387</v>
      </c>
      <c r="J2872" t="s">
        <v>33456</v>
      </c>
      <c r="K2872" t="s">
        <v>40687</v>
      </c>
      <c r="M2872" t="s">
        <v>41662</v>
      </c>
      <c r="N2872" t="s">
        <v>44905</v>
      </c>
      <c r="O2872" t="s">
        <v>44906</v>
      </c>
      <c r="P2872">
        <v>0</v>
      </c>
      <c r="Q2872">
        <v>1</v>
      </c>
      <c r="R2872" t="s">
        <v>44908</v>
      </c>
      <c r="S2872" t="s">
        <v>45042</v>
      </c>
      <c r="T2872" t="s">
        <v>46608</v>
      </c>
      <c r="U2872" t="s">
        <v>49295</v>
      </c>
      <c r="W2872" t="s">
        <v>41662</v>
      </c>
      <c r="X2872" t="s">
        <v>44909</v>
      </c>
    </row>
    <row r="2873" spans="1:24">
      <c r="A2873">
        <f>HYPERLINK("https://www.philgeps.gov.ph/GEPSNONPILOT/Tender/SplashBidNoticeAbstractUI.aspx?menuIndex=3&amp;refID=7079102&amp;Result=3","7079102")</f>
        <v>0</v>
      </c>
      <c r="B2873" t="s">
        <v>1051</v>
      </c>
      <c r="C2873" t="s">
        <v>6275</v>
      </c>
      <c r="D2873" t="s">
        <v>18116</v>
      </c>
      <c r="E2873" t="s">
        <v>20816</v>
      </c>
      <c r="F2873" t="s">
        <v>31362</v>
      </c>
      <c r="G2873" t="s">
        <v>31368</v>
      </c>
      <c r="H2873" t="s">
        <v>15799</v>
      </c>
      <c r="I2873" t="s">
        <v>7719</v>
      </c>
      <c r="J2873" t="s">
        <v>31724</v>
      </c>
      <c r="K2873" t="s">
        <v>40662</v>
      </c>
      <c r="M2873" t="s">
        <v>42052</v>
      </c>
      <c r="N2873" t="s">
        <v>44905</v>
      </c>
      <c r="O2873" t="s">
        <v>44906</v>
      </c>
      <c r="P2873">
        <v>0</v>
      </c>
      <c r="Q2873">
        <v>13</v>
      </c>
      <c r="R2873" t="s">
        <v>44908</v>
      </c>
      <c r="S2873" t="s">
        <v>45042</v>
      </c>
      <c r="T2873" t="s">
        <v>46498</v>
      </c>
      <c r="U2873" t="s">
        <v>49296</v>
      </c>
      <c r="W2873" t="s">
        <v>42052</v>
      </c>
      <c r="X2873" t="s">
        <v>44909</v>
      </c>
    </row>
    <row r="2874" spans="1:24">
      <c r="A2874">
        <f>HYPERLINK("https://www.philgeps.gov.ph/GEPSNONPILOT/Tender/SplashBidNoticeAbstractUI.aspx?menuIndex=3&amp;refID=7079100&amp;Result=3","7079100")</f>
        <v>0</v>
      </c>
      <c r="B2874" t="s">
        <v>1033</v>
      </c>
      <c r="C2874" t="s">
        <v>6276</v>
      </c>
      <c r="D2874" t="s">
        <v>18162</v>
      </c>
      <c r="E2874" t="s">
        <v>20817</v>
      </c>
      <c r="F2874" t="s">
        <v>31362</v>
      </c>
      <c r="G2874" t="s">
        <v>31369</v>
      </c>
      <c r="H2874" t="s">
        <v>15799</v>
      </c>
      <c r="I2874" t="s">
        <v>31385</v>
      </c>
      <c r="J2874" t="s">
        <v>33457</v>
      </c>
      <c r="K2874" t="s">
        <v>40670</v>
      </c>
      <c r="M2874" t="s">
        <v>42032</v>
      </c>
      <c r="N2874" t="s">
        <v>44905</v>
      </c>
      <c r="O2874" t="s">
        <v>44906</v>
      </c>
      <c r="P2874">
        <v>0</v>
      </c>
      <c r="Q2874">
        <v>0</v>
      </c>
      <c r="R2874" t="s">
        <v>44908</v>
      </c>
      <c r="S2874" t="s">
        <v>45042</v>
      </c>
      <c r="T2874" t="s">
        <v>46430</v>
      </c>
      <c r="U2874" t="s">
        <v>49297</v>
      </c>
      <c r="W2874" t="s">
        <v>42032</v>
      </c>
      <c r="X2874" t="s">
        <v>44909</v>
      </c>
    </row>
    <row r="2875" spans="1:24">
      <c r="A2875">
        <f>HYPERLINK("https://www.philgeps.gov.ph/GEPSNONPILOT/Tender/SplashBidNoticeAbstractUI.aspx?menuIndex=3&amp;refID=7079122&amp;Result=3","7079122")</f>
        <v>0</v>
      </c>
      <c r="B2875" t="s">
        <v>1092</v>
      </c>
      <c r="C2875" t="s">
        <v>6277</v>
      </c>
      <c r="D2875" t="s">
        <v>18107</v>
      </c>
      <c r="E2875" t="s">
        <v>20818</v>
      </c>
      <c r="F2875" t="s">
        <v>31362</v>
      </c>
      <c r="G2875" t="s">
        <v>31370</v>
      </c>
      <c r="H2875" t="s">
        <v>15799</v>
      </c>
      <c r="I2875" t="s">
        <v>6240</v>
      </c>
      <c r="J2875" t="s">
        <v>33458</v>
      </c>
      <c r="K2875" t="s">
        <v>40697</v>
      </c>
      <c r="M2875" t="s">
        <v>42097</v>
      </c>
      <c r="N2875" t="s">
        <v>44905</v>
      </c>
      <c r="O2875" t="s">
        <v>44906</v>
      </c>
      <c r="P2875">
        <v>0</v>
      </c>
      <c r="Q2875">
        <v>0</v>
      </c>
      <c r="R2875" t="s">
        <v>44908</v>
      </c>
      <c r="S2875" t="s">
        <v>45042</v>
      </c>
      <c r="T2875" t="s">
        <v>46409</v>
      </c>
      <c r="U2875" t="s">
        <v>49298</v>
      </c>
      <c r="W2875" t="s">
        <v>42097</v>
      </c>
      <c r="X2875" t="s">
        <v>44909</v>
      </c>
    </row>
    <row r="2876" spans="1:24">
      <c r="A2876">
        <f>HYPERLINK("https://www.philgeps.gov.ph/GEPSNONPILOT/Tender/SplashBidNoticeAbstractUI.aspx?menuIndex=3&amp;refID=7079150&amp;Result=3","7079150")</f>
        <v>0</v>
      </c>
      <c r="B2876" t="s">
        <v>1083</v>
      </c>
      <c r="C2876" t="s">
        <v>6278</v>
      </c>
      <c r="D2876" t="s">
        <v>18152</v>
      </c>
      <c r="E2876" t="s">
        <v>20819</v>
      </c>
      <c r="F2876" t="s">
        <v>31362</v>
      </c>
      <c r="G2876" t="s">
        <v>31368</v>
      </c>
      <c r="H2876" t="s">
        <v>15799</v>
      </c>
      <c r="I2876" t="s">
        <v>31384</v>
      </c>
      <c r="J2876" t="s">
        <v>33459</v>
      </c>
      <c r="K2876" t="s">
        <v>40665</v>
      </c>
      <c r="M2876" t="s">
        <v>42086</v>
      </c>
      <c r="N2876" t="s">
        <v>44905</v>
      </c>
      <c r="O2876" t="s">
        <v>44906</v>
      </c>
      <c r="P2876">
        <v>0</v>
      </c>
      <c r="Q2876">
        <v>5</v>
      </c>
      <c r="R2876" t="s">
        <v>44908</v>
      </c>
      <c r="S2876" t="s">
        <v>45042</v>
      </c>
      <c r="T2876" t="s">
        <v>46470</v>
      </c>
      <c r="U2876" t="s">
        <v>49272</v>
      </c>
      <c r="V2876" t="s">
        <v>59373</v>
      </c>
      <c r="W2876" t="s">
        <v>42086</v>
      </c>
      <c r="X2876" t="s">
        <v>44909</v>
      </c>
    </row>
    <row r="2877" spans="1:24">
      <c r="A2877">
        <f>HYPERLINK("https://www.philgeps.gov.ph/GEPSNONPILOT/Tender/SplashBidNoticeAbstractUI.aspx?menuIndex=3&amp;refID=7079148&amp;Result=3","7079148")</f>
        <v>0</v>
      </c>
      <c r="B2877" t="s">
        <v>1033</v>
      </c>
      <c r="C2877" t="s">
        <v>6279</v>
      </c>
      <c r="D2877" t="s">
        <v>18162</v>
      </c>
      <c r="E2877" t="s">
        <v>20820</v>
      </c>
      <c r="F2877" t="s">
        <v>31362</v>
      </c>
      <c r="G2877" t="s">
        <v>31369</v>
      </c>
      <c r="H2877" t="s">
        <v>15799</v>
      </c>
      <c r="I2877" t="s">
        <v>31385</v>
      </c>
      <c r="J2877" t="s">
        <v>33460</v>
      </c>
      <c r="K2877" t="s">
        <v>40670</v>
      </c>
      <c r="M2877" t="s">
        <v>42032</v>
      </c>
      <c r="N2877" t="s">
        <v>44905</v>
      </c>
      <c r="O2877" t="s">
        <v>44906</v>
      </c>
      <c r="P2877">
        <v>0</v>
      </c>
      <c r="Q2877">
        <v>0</v>
      </c>
      <c r="R2877" t="s">
        <v>44908</v>
      </c>
      <c r="S2877" t="s">
        <v>45042</v>
      </c>
      <c r="T2877" t="s">
        <v>46430</v>
      </c>
      <c r="U2877" t="s">
        <v>49299</v>
      </c>
      <c r="W2877" t="s">
        <v>42032</v>
      </c>
      <c r="X2877" t="s">
        <v>44909</v>
      </c>
    </row>
    <row r="2878" spans="1:24">
      <c r="A2878">
        <f>HYPERLINK("https://www.philgeps.gov.ph/GEPSNONPILOT/Tender/SplashBidNoticeAbstractUI.aspx?menuIndex=3&amp;refID=7079103&amp;Result=3","7079103")</f>
        <v>0</v>
      </c>
      <c r="B2878" t="s">
        <v>545</v>
      </c>
      <c r="C2878" t="s">
        <v>6280</v>
      </c>
      <c r="D2878" t="s">
        <v>18143</v>
      </c>
      <c r="E2878" t="s">
        <v>19039</v>
      </c>
      <c r="F2878" t="s">
        <v>31362</v>
      </c>
      <c r="G2878" t="s">
        <v>31369</v>
      </c>
      <c r="H2878" t="s">
        <v>31378</v>
      </c>
      <c r="I2878" t="s">
        <v>3815</v>
      </c>
      <c r="J2878" t="s">
        <v>31709</v>
      </c>
      <c r="K2878" t="s">
        <v>40661</v>
      </c>
      <c r="M2878" t="s">
        <v>41501</v>
      </c>
      <c r="N2878" t="s">
        <v>44905</v>
      </c>
      <c r="O2878" t="s">
        <v>44906</v>
      </c>
      <c r="P2878">
        <v>0</v>
      </c>
      <c r="Q2878">
        <v>0</v>
      </c>
      <c r="R2878" t="s">
        <v>44908</v>
      </c>
      <c r="S2878" t="s">
        <v>45042</v>
      </c>
      <c r="T2878" t="s">
        <v>46602</v>
      </c>
      <c r="U2878" t="s">
        <v>49300</v>
      </c>
      <c r="V2878" t="s">
        <v>59370</v>
      </c>
      <c r="W2878" t="s">
        <v>41501</v>
      </c>
      <c r="X2878" t="s">
        <v>44909</v>
      </c>
    </row>
    <row r="2879" spans="1:24">
      <c r="A2879">
        <f>HYPERLINK("https://www.philgeps.gov.ph/GEPSNONPILOT/Tender/SplashBidNoticeAbstractUI.aspx?menuIndex=3&amp;refID=7079147&amp;Result=3","7079147")</f>
        <v>0</v>
      </c>
      <c r="B2879" t="s">
        <v>1093</v>
      </c>
      <c r="C2879" t="s">
        <v>6281</v>
      </c>
      <c r="D2879" t="s">
        <v>18156</v>
      </c>
      <c r="E2879" t="s">
        <v>20821</v>
      </c>
      <c r="F2879" t="s">
        <v>31362</v>
      </c>
      <c r="G2879" t="s">
        <v>31369</v>
      </c>
      <c r="H2879" t="s">
        <v>15799</v>
      </c>
      <c r="I2879" t="s">
        <v>31380</v>
      </c>
      <c r="J2879" t="s">
        <v>33461</v>
      </c>
      <c r="K2879" t="s">
        <v>40666</v>
      </c>
      <c r="M2879" t="s">
        <v>42098</v>
      </c>
      <c r="N2879" t="s">
        <v>44905</v>
      </c>
      <c r="O2879" t="s">
        <v>44906</v>
      </c>
      <c r="P2879">
        <v>0</v>
      </c>
      <c r="Q2879">
        <v>8</v>
      </c>
      <c r="R2879" t="s">
        <v>44908</v>
      </c>
      <c r="S2879" t="s">
        <v>45042</v>
      </c>
      <c r="T2879" t="s">
        <v>46452</v>
      </c>
      <c r="U2879" t="s">
        <v>49301</v>
      </c>
      <c r="W2879" t="s">
        <v>42098</v>
      </c>
      <c r="X2879" t="s">
        <v>44909</v>
      </c>
    </row>
    <row r="2880" spans="1:24">
      <c r="A2880">
        <f>HYPERLINK("https://www.philgeps.gov.ph/GEPSNONPILOT/Tender/SplashBidNoticeAbstractUI.aspx?menuIndex=3&amp;refID=7079101&amp;Result=3","7079101")</f>
        <v>0</v>
      </c>
      <c r="B2880" t="s">
        <v>1094</v>
      </c>
      <c r="C2880" t="s">
        <v>6282</v>
      </c>
      <c r="D2880" t="s">
        <v>18117</v>
      </c>
      <c r="E2880" t="s">
        <v>20822</v>
      </c>
      <c r="F2880" t="s">
        <v>31362</v>
      </c>
      <c r="G2880" t="s">
        <v>31368</v>
      </c>
      <c r="H2880" t="s">
        <v>15799</v>
      </c>
      <c r="I2880" t="s">
        <v>31400</v>
      </c>
      <c r="J2880" t="s">
        <v>33462</v>
      </c>
      <c r="K2880" t="s">
        <v>40672</v>
      </c>
      <c r="M2880" t="s">
        <v>42099</v>
      </c>
      <c r="N2880" t="s">
        <v>44905</v>
      </c>
      <c r="O2880" t="s">
        <v>44906</v>
      </c>
      <c r="P2880">
        <v>0</v>
      </c>
      <c r="Q2880">
        <v>0</v>
      </c>
      <c r="R2880" t="s">
        <v>44908</v>
      </c>
      <c r="S2880" t="s">
        <v>45042</v>
      </c>
      <c r="T2880" t="s">
        <v>46454</v>
      </c>
      <c r="U2880" t="s">
        <v>49302</v>
      </c>
      <c r="W2880" t="s">
        <v>42099</v>
      </c>
      <c r="X2880" t="s">
        <v>44909</v>
      </c>
    </row>
    <row r="2881" spans="1:24">
      <c r="A2881">
        <f>HYPERLINK("https://www.philgeps.gov.ph/GEPSNONPILOT/Tender/SplashBidNoticeAbstractUI.aspx?menuIndex=3&amp;refID=7079107&amp;Result=3","7079107")</f>
        <v>0</v>
      </c>
      <c r="B2881" t="s">
        <v>1095</v>
      </c>
      <c r="C2881" t="s">
        <v>6283</v>
      </c>
      <c r="D2881" t="s">
        <v>18106</v>
      </c>
      <c r="E2881" t="s">
        <v>20823</v>
      </c>
      <c r="F2881" t="s">
        <v>31362</v>
      </c>
      <c r="G2881" t="s">
        <v>31368</v>
      </c>
      <c r="H2881" t="s">
        <v>15799</v>
      </c>
      <c r="I2881" t="s">
        <v>6240</v>
      </c>
      <c r="J2881" t="s">
        <v>33463</v>
      </c>
      <c r="K2881" t="s">
        <v>40661</v>
      </c>
      <c r="M2881" t="s">
        <v>42100</v>
      </c>
      <c r="N2881" t="s">
        <v>44905</v>
      </c>
      <c r="O2881" t="s">
        <v>44906</v>
      </c>
      <c r="P2881">
        <v>0</v>
      </c>
      <c r="Q2881">
        <v>1</v>
      </c>
      <c r="R2881" t="s">
        <v>44908</v>
      </c>
      <c r="S2881" t="s">
        <v>45042</v>
      </c>
      <c r="T2881" t="s">
        <v>46434</v>
      </c>
      <c r="U2881" t="s">
        <v>49303</v>
      </c>
      <c r="W2881" t="s">
        <v>42100</v>
      </c>
      <c r="X2881" t="s">
        <v>44909</v>
      </c>
    </row>
    <row r="2882" spans="1:24">
      <c r="A2882">
        <f>HYPERLINK("https://www.philgeps.gov.ph/GEPSNONPILOT/Tender/SplashBidNoticeAbstractUI.aspx?menuIndex=3&amp;refID=7079137&amp;Result=3","7079137")</f>
        <v>0</v>
      </c>
      <c r="B2882" t="s">
        <v>993</v>
      </c>
      <c r="C2882" t="s">
        <v>6284</v>
      </c>
      <c r="D2882" t="s">
        <v>18103</v>
      </c>
      <c r="E2882" t="s">
        <v>20824</v>
      </c>
      <c r="F2882" t="s">
        <v>31362</v>
      </c>
      <c r="G2882" t="s">
        <v>31369</v>
      </c>
      <c r="H2882" t="s">
        <v>31378</v>
      </c>
      <c r="I2882" t="s">
        <v>31386</v>
      </c>
      <c r="J2882" t="s">
        <v>33464</v>
      </c>
      <c r="K2882" t="s">
        <v>40684</v>
      </c>
      <c r="M2882" t="s">
        <v>41988</v>
      </c>
      <c r="N2882" t="s">
        <v>44905</v>
      </c>
      <c r="O2882" t="s">
        <v>44906</v>
      </c>
      <c r="P2882">
        <v>0</v>
      </c>
      <c r="Q2882">
        <v>0</v>
      </c>
      <c r="R2882" t="s">
        <v>44908</v>
      </c>
      <c r="S2882" t="s">
        <v>45042</v>
      </c>
      <c r="T2882" t="s">
        <v>46522</v>
      </c>
      <c r="U2882" t="s">
        <v>49053</v>
      </c>
      <c r="W2882" t="s">
        <v>41988</v>
      </c>
      <c r="X2882" t="s">
        <v>44909</v>
      </c>
    </row>
    <row r="2883" spans="1:24">
      <c r="A2883">
        <f>HYPERLINK("https://www.philgeps.gov.ph/GEPSNONPILOT/Tender/SplashBidNoticeAbstractUI.aspx?menuIndex=3&amp;refID=7079136&amp;Result=3","7079136")</f>
        <v>0</v>
      </c>
      <c r="B2883" t="s">
        <v>288</v>
      </c>
      <c r="C2883" t="s">
        <v>6285</v>
      </c>
      <c r="D2883" t="s">
        <v>18102</v>
      </c>
      <c r="E2883" t="s">
        <v>20825</v>
      </c>
      <c r="F2883" t="s">
        <v>31362</v>
      </c>
      <c r="G2883" t="s">
        <v>31370</v>
      </c>
      <c r="H2883" t="s">
        <v>15799</v>
      </c>
      <c r="I2883" t="s">
        <v>3815</v>
      </c>
      <c r="J2883" t="s">
        <v>33465</v>
      </c>
      <c r="K2883" t="s">
        <v>40670</v>
      </c>
      <c r="M2883" t="s">
        <v>42092</v>
      </c>
      <c r="N2883" t="s">
        <v>44905</v>
      </c>
      <c r="O2883" t="s">
        <v>44906</v>
      </c>
      <c r="P2883">
        <v>0</v>
      </c>
      <c r="Q2883">
        <v>2</v>
      </c>
      <c r="R2883" t="s">
        <v>44908</v>
      </c>
      <c r="S2883" t="s">
        <v>45042</v>
      </c>
      <c r="T2883" t="s">
        <v>46447</v>
      </c>
      <c r="U2883" t="s">
        <v>47376</v>
      </c>
      <c r="W2883" t="s">
        <v>42092</v>
      </c>
      <c r="X2883" t="s">
        <v>44909</v>
      </c>
    </row>
    <row r="2884" spans="1:24">
      <c r="A2884">
        <f>HYPERLINK("https://www.philgeps.gov.ph/GEPSNONPILOT/Tender/SplashBidNoticeAbstractUI.aspx?menuIndex=3&amp;refID=7079079&amp;Result=3","7079079")</f>
        <v>0</v>
      </c>
      <c r="B2884" t="s">
        <v>1096</v>
      </c>
      <c r="C2884" t="s">
        <v>6286</v>
      </c>
      <c r="D2884" t="s">
        <v>18108</v>
      </c>
      <c r="E2884" t="s">
        <v>18648</v>
      </c>
      <c r="F2884" t="s">
        <v>31362</v>
      </c>
      <c r="G2884" t="s">
        <v>31370</v>
      </c>
      <c r="H2884" t="s">
        <v>15799</v>
      </c>
      <c r="I2884" t="s">
        <v>6155</v>
      </c>
      <c r="J2884" t="s">
        <v>31806</v>
      </c>
      <c r="K2884" t="s">
        <v>40672</v>
      </c>
      <c r="M2884" t="s">
        <v>42101</v>
      </c>
      <c r="N2884" t="s">
        <v>44905</v>
      </c>
      <c r="O2884" t="s">
        <v>44906</v>
      </c>
      <c r="P2884">
        <v>0</v>
      </c>
      <c r="Q2884">
        <v>7</v>
      </c>
      <c r="R2884" t="s">
        <v>44908</v>
      </c>
      <c r="S2884" t="s">
        <v>45042</v>
      </c>
      <c r="T2884" t="s">
        <v>46434</v>
      </c>
      <c r="U2884" t="s">
        <v>49304</v>
      </c>
      <c r="W2884" t="s">
        <v>42101</v>
      </c>
      <c r="X2884" t="s">
        <v>44909</v>
      </c>
    </row>
    <row r="2885" spans="1:24">
      <c r="A2885">
        <f>HYPERLINK("https://www.philgeps.gov.ph/GEPSNONPILOT/Tender/SplashBidNoticeAbstractUI.aspx?menuIndex=3&amp;refID=7079132&amp;Result=3","7079132")</f>
        <v>0</v>
      </c>
      <c r="B2885" t="s">
        <v>1097</v>
      </c>
      <c r="C2885" t="s">
        <v>6287</v>
      </c>
      <c r="D2885" t="s">
        <v>18155</v>
      </c>
      <c r="E2885" t="s">
        <v>20826</v>
      </c>
      <c r="F2885" t="s">
        <v>31362</v>
      </c>
      <c r="G2885" t="s">
        <v>31368</v>
      </c>
      <c r="H2885" t="s">
        <v>15799</v>
      </c>
      <c r="I2885" t="s">
        <v>31422</v>
      </c>
      <c r="J2885" t="s">
        <v>33466</v>
      </c>
      <c r="K2885" t="s">
        <v>40661</v>
      </c>
      <c r="M2885" t="s">
        <v>42102</v>
      </c>
      <c r="N2885" t="s">
        <v>44905</v>
      </c>
      <c r="O2885" t="s">
        <v>44906</v>
      </c>
      <c r="P2885">
        <v>0</v>
      </c>
      <c r="Q2885">
        <v>0</v>
      </c>
      <c r="R2885" t="s">
        <v>44908</v>
      </c>
      <c r="S2885" t="s">
        <v>45042</v>
      </c>
      <c r="T2885" t="s">
        <v>46409</v>
      </c>
      <c r="U2885" t="s">
        <v>49305</v>
      </c>
      <c r="W2885" t="s">
        <v>42102</v>
      </c>
      <c r="X2885" t="s">
        <v>44909</v>
      </c>
    </row>
    <row r="2886" spans="1:24">
      <c r="A2886">
        <f>HYPERLINK("https://www.philgeps.gov.ph/GEPSNONPILOT/Tender/SplashBidNoticeAbstractUI.aspx?menuIndex=3&amp;refID=7079131&amp;Result=3","7079131")</f>
        <v>0</v>
      </c>
      <c r="B2886" t="s">
        <v>1058</v>
      </c>
      <c r="C2886" t="s">
        <v>6185</v>
      </c>
      <c r="D2886" t="s">
        <v>18104</v>
      </c>
      <c r="E2886" t="s">
        <v>20827</v>
      </c>
      <c r="F2886" t="s">
        <v>31362</v>
      </c>
      <c r="G2886" t="s">
        <v>31370</v>
      </c>
      <c r="H2886" t="s">
        <v>15799</v>
      </c>
      <c r="I2886" t="s">
        <v>6373</v>
      </c>
      <c r="J2886" t="s">
        <v>32143</v>
      </c>
      <c r="K2886" t="s">
        <v>40670</v>
      </c>
      <c r="M2886" t="s">
        <v>42059</v>
      </c>
      <c r="N2886" t="s">
        <v>44905</v>
      </c>
      <c r="O2886" t="s">
        <v>44906</v>
      </c>
      <c r="P2886">
        <v>0</v>
      </c>
      <c r="Q2886">
        <v>0</v>
      </c>
      <c r="R2886" t="s">
        <v>44908</v>
      </c>
      <c r="S2886" t="s">
        <v>45042</v>
      </c>
      <c r="T2886" t="s">
        <v>46447</v>
      </c>
      <c r="U2886" t="s">
        <v>49306</v>
      </c>
      <c r="W2886" t="s">
        <v>42059</v>
      </c>
      <c r="X2886" t="s">
        <v>44909</v>
      </c>
    </row>
    <row r="2887" spans="1:24">
      <c r="A2887">
        <f>HYPERLINK("https://www.philgeps.gov.ph/GEPSNONPILOT/Tender/SplashBidNoticeAbstractUI.aspx?menuIndex=3&amp;refID=7079138&amp;Result=3","7079138")</f>
        <v>0</v>
      </c>
      <c r="B2887" t="s">
        <v>405</v>
      </c>
      <c r="C2887" t="s">
        <v>6288</v>
      </c>
      <c r="D2887" t="s">
        <v>18100</v>
      </c>
      <c r="E2887" t="s">
        <v>20828</v>
      </c>
      <c r="F2887" t="s">
        <v>31362</v>
      </c>
      <c r="G2887" t="s">
        <v>31368</v>
      </c>
      <c r="H2887" t="s">
        <v>15799</v>
      </c>
      <c r="I2887" t="s">
        <v>31447</v>
      </c>
      <c r="J2887" t="s">
        <v>32143</v>
      </c>
      <c r="K2887" t="s">
        <v>40673</v>
      </c>
      <c r="M2887" t="s">
        <v>41355</v>
      </c>
      <c r="N2887" t="s">
        <v>44905</v>
      </c>
      <c r="O2887" t="s">
        <v>44906</v>
      </c>
      <c r="P2887">
        <v>0</v>
      </c>
      <c r="Q2887">
        <v>0</v>
      </c>
      <c r="R2887" t="s">
        <v>44908</v>
      </c>
      <c r="S2887" t="s">
        <v>45042</v>
      </c>
      <c r="T2887" t="s">
        <v>46454</v>
      </c>
      <c r="U2887" t="s">
        <v>49307</v>
      </c>
      <c r="W2887" t="s">
        <v>41355</v>
      </c>
      <c r="X2887" t="s">
        <v>44909</v>
      </c>
    </row>
    <row r="2888" spans="1:24">
      <c r="A2888">
        <f>HYPERLINK("https://www.philgeps.gov.ph/GEPSNONPILOT/Tender/SplashBidNoticeAbstractUI.aspx?menuIndex=3&amp;refID=7079127&amp;Result=3","7079127")</f>
        <v>0</v>
      </c>
      <c r="B2888" t="s">
        <v>1051</v>
      </c>
      <c r="C2888" t="s">
        <v>6289</v>
      </c>
      <c r="D2888" t="s">
        <v>18116</v>
      </c>
      <c r="E2888" t="s">
        <v>20829</v>
      </c>
      <c r="F2888" t="s">
        <v>31362</v>
      </c>
      <c r="G2888" t="s">
        <v>31368</v>
      </c>
      <c r="H2888" t="s">
        <v>15799</v>
      </c>
      <c r="I2888" t="s">
        <v>7719</v>
      </c>
      <c r="J2888" t="s">
        <v>32400</v>
      </c>
      <c r="K2888" t="s">
        <v>40662</v>
      </c>
      <c r="M2888" t="s">
        <v>42052</v>
      </c>
      <c r="N2888" t="s">
        <v>44905</v>
      </c>
      <c r="O2888" t="s">
        <v>44906</v>
      </c>
      <c r="P2888">
        <v>0</v>
      </c>
      <c r="Q2888">
        <v>14</v>
      </c>
      <c r="R2888" t="s">
        <v>44908</v>
      </c>
      <c r="S2888" t="s">
        <v>45042</v>
      </c>
      <c r="T2888" t="s">
        <v>46498</v>
      </c>
      <c r="U2888" t="s">
        <v>49308</v>
      </c>
      <c r="W2888" t="s">
        <v>42052</v>
      </c>
      <c r="X2888" t="s">
        <v>44909</v>
      </c>
    </row>
    <row r="2889" spans="1:24">
      <c r="A2889">
        <f>HYPERLINK("https://www.philgeps.gov.ph/GEPSNONPILOT/Tender/SplashBidNoticeAbstractUI.aspx?menuIndex=3&amp;refID=7079155&amp;Result=3","7079155")</f>
        <v>0</v>
      </c>
      <c r="B2889" t="s">
        <v>1098</v>
      </c>
      <c r="C2889" t="s">
        <v>6290</v>
      </c>
      <c r="D2889" t="s">
        <v>18139</v>
      </c>
      <c r="E2889" t="s">
        <v>20783</v>
      </c>
      <c r="F2889" t="s">
        <v>31362</v>
      </c>
      <c r="G2889" t="s">
        <v>31369</v>
      </c>
      <c r="H2889" t="s">
        <v>15799</v>
      </c>
      <c r="I2889" t="s">
        <v>3815</v>
      </c>
      <c r="J2889" t="s">
        <v>33467</v>
      </c>
      <c r="K2889" t="s">
        <v>40697</v>
      </c>
      <c r="M2889" t="s">
        <v>42103</v>
      </c>
      <c r="N2889" t="s">
        <v>44905</v>
      </c>
      <c r="O2889" t="s">
        <v>44906</v>
      </c>
      <c r="P2889">
        <v>0</v>
      </c>
      <c r="Q2889">
        <v>0</v>
      </c>
      <c r="R2889" t="s">
        <v>44908</v>
      </c>
      <c r="S2889" t="s">
        <v>45042</v>
      </c>
      <c r="T2889" t="s">
        <v>46417</v>
      </c>
      <c r="U2889" t="s">
        <v>49309</v>
      </c>
      <c r="V2889" t="s">
        <v>59374</v>
      </c>
      <c r="W2889" t="s">
        <v>42103</v>
      </c>
      <c r="X2889" t="s">
        <v>44909</v>
      </c>
    </row>
    <row r="2890" spans="1:24">
      <c r="A2890">
        <f>HYPERLINK("https://www.philgeps.gov.ph/GEPSNONPILOT/Tender/SplashBidNoticeAbstractUI.aspx?menuIndex=3&amp;refID=7079135&amp;Result=3","7079135")</f>
        <v>0</v>
      </c>
      <c r="B2890" t="s">
        <v>406</v>
      </c>
      <c r="C2890" t="s">
        <v>6291</v>
      </c>
      <c r="E2890" t="s">
        <v>20830</v>
      </c>
      <c r="F2890" t="s">
        <v>31362</v>
      </c>
      <c r="G2890" t="s">
        <v>31368</v>
      </c>
      <c r="H2890" t="s">
        <v>15799</v>
      </c>
      <c r="I2890" t="s">
        <v>7719</v>
      </c>
      <c r="J2890" t="s">
        <v>33468</v>
      </c>
      <c r="K2890" t="s">
        <v>40662</v>
      </c>
      <c r="M2890" t="s">
        <v>41356</v>
      </c>
      <c r="N2890" t="s">
        <v>44905</v>
      </c>
      <c r="O2890" t="s">
        <v>44906</v>
      </c>
      <c r="P2890">
        <v>0</v>
      </c>
      <c r="Q2890">
        <v>5</v>
      </c>
      <c r="R2890" t="s">
        <v>44908</v>
      </c>
      <c r="S2890" t="s">
        <v>45042</v>
      </c>
      <c r="T2890" t="s">
        <v>46414</v>
      </c>
      <c r="U2890" t="s">
        <v>46933</v>
      </c>
      <c r="W2890" t="s">
        <v>41356</v>
      </c>
      <c r="X2890" t="s">
        <v>44909</v>
      </c>
    </row>
    <row r="2891" spans="1:24">
      <c r="A2891">
        <f>HYPERLINK("https://www.philgeps.gov.ph/GEPSNONPILOT/Tender/SplashBidNoticeAbstractUI.aspx?menuIndex=3&amp;refID=7079088&amp;Result=3","7079088")</f>
        <v>0</v>
      </c>
      <c r="B2891" t="s">
        <v>1075</v>
      </c>
      <c r="C2891" t="s">
        <v>6292</v>
      </c>
      <c r="D2891" t="s">
        <v>18101</v>
      </c>
      <c r="E2891" t="s">
        <v>20831</v>
      </c>
      <c r="F2891" t="s">
        <v>31362</v>
      </c>
      <c r="G2891" t="s">
        <v>31369</v>
      </c>
      <c r="H2891" t="s">
        <v>15799</v>
      </c>
      <c r="I2891" t="s">
        <v>7090</v>
      </c>
      <c r="J2891" t="s">
        <v>33469</v>
      </c>
      <c r="K2891" t="s">
        <v>40666</v>
      </c>
      <c r="M2891" t="s">
        <v>42077</v>
      </c>
      <c r="N2891" t="s">
        <v>44905</v>
      </c>
      <c r="O2891" t="s">
        <v>44906</v>
      </c>
      <c r="P2891">
        <v>0</v>
      </c>
      <c r="Q2891">
        <v>1</v>
      </c>
      <c r="R2891" t="s">
        <v>44908</v>
      </c>
      <c r="S2891" t="s">
        <v>45042</v>
      </c>
      <c r="T2891" t="s">
        <v>46560</v>
      </c>
      <c r="U2891" t="s">
        <v>49310</v>
      </c>
      <c r="W2891" t="s">
        <v>42077</v>
      </c>
      <c r="X2891" t="s">
        <v>44909</v>
      </c>
    </row>
    <row r="2892" spans="1:24">
      <c r="A2892">
        <f>HYPERLINK("https://www.philgeps.gov.ph/GEPSNONPILOT/Tender/SplashBidNoticeAbstractUI.aspx?menuIndex=3&amp;refID=7079145&amp;Result=3","7079145")</f>
        <v>0</v>
      </c>
      <c r="B2892" t="s">
        <v>1099</v>
      </c>
      <c r="C2892" t="s">
        <v>6293</v>
      </c>
      <c r="D2892" t="s">
        <v>18117</v>
      </c>
      <c r="E2892" t="s">
        <v>20832</v>
      </c>
      <c r="F2892" t="s">
        <v>31362</v>
      </c>
      <c r="G2892" t="s">
        <v>31369</v>
      </c>
      <c r="H2892" t="s">
        <v>15799</v>
      </c>
      <c r="I2892" t="s">
        <v>3815</v>
      </c>
      <c r="J2892" t="s">
        <v>33470</v>
      </c>
      <c r="K2892" t="s">
        <v>40665</v>
      </c>
      <c r="M2892" t="s">
        <v>42104</v>
      </c>
      <c r="N2892" t="s">
        <v>44905</v>
      </c>
      <c r="O2892" t="s">
        <v>44906</v>
      </c>
      <c r="P2892">
        <v>0</v>
      </c>
      <c r="Q2892">
        <v>0</v>
      </c>
      <c r="R2892" t="s">
        <v>44908</v>
      </c>
      <c r="S2892" t="s">
        <v>45042</v>
      </c>
      <c r="T2892" t="s">
        <v>46404</v>
      </c>
      <c r="U2892" t="s">
        <v>49311</v>
      </c>
      <c r="W2892" t="s">
        <v>42104</v>
      </c>
      <c r="X2892" t="s">
        <v>44909</v>
      </c>
    </row>
    <row r="2893" spans="1:24">
      <c r="A2893">
        <f>HYPERLINK("https://www.philgeps.gov.ph/GEPSNONPILOT/Tender/SplashBidNoticeAbstractUI.aspx?menuIndex=3&amp;refID=7079129&amp;Result=3","7079129")</f>
        <v>0</v>
      </c>
      <c r="B2893" t="s">
        <v>1088</v>
      </c>
      <c r="C2893" t="s">
        <v>6294</v>
      </c>
      <c r="D2893" t="s">
        <v>18108</v>
      </c>
      <c r="E2893" t="s">
        <v>20833</v>
      </c>
      <c r="F2893" t="s">
        <v>31362</v>
      </c>
      <c r="G2893" t="s">
        <v>31369</v>
      </c>
      <c r="H2893" t="s">
        <v>15799</v>
      </c>
      <c r="I2893" t="s">
        <v>31411</v>
      </c>
      <c r="J2893" t="s">
        <v>33471</v>
      </c>
      <c r="K2893" t="s">
        <v>40697</v>
      </c>
      <c r="M2893" t="s">
        <v>42093</v>
      </c>
      <c r="N2893" t="s">
        <v>44905</v>
      </c>
      <c r="O2893" t="s">
        <v>44906</v>
      </c>
      <c r="P2893">
        <v>0</v>
      </c>
      <c r="Q2893">
        <v>0</v>
      </c>
      <c r="R2893" t="s">
        <v>44908</v>
      </c>
      <c r="S2893" t="s">
        <v>45042</v>
      </c>
      <c r="T2893" t="s">
        <v>46453</v>
      </c>
      <c r="U2893" t="s">
        <v>49312</v>
      </c>
      <c r="W2893" t="s">
        <v>42093</v>
      </c>
      <c r="X2893" t="s">
        <v>44909</v>
      </c>
    </row>
    <row r="2894" spans="1:24">
      <c r="A2894">
        <f>HYPERLINK("https://www.philgeps.gov.ph/GEPSNONPILOT/Tender/SplashBidNoticeAbstractUI.aspx?menuIndex=3&amp;refID=7079126&amp;Result=3","7079126")</f>
        <v>0</v>
      </c>
      <c r="B2894" t="s">
        <v>1100</v>
      </c>
      <c r="C2894" t="s">
        <v>6295</v>
      </c>
      <c r="D2894" t="s">
        <v>18100</v>
      </c>
      <c r="E2894" t="s">
        <v>18888</v>
      </c>
      <c r="F2894" t="s">
        <v>31362</v>
      </c>
      <c r="G2894" t="s">
        <v>31369</v>
      </c>
      <c r="H2894" t="s">
        <v>15799</v>
      </c>
      <c r="I2894" t="s">
        <v>31409</v>
      </c>
      <c r="J2894" t="s">
        <v>33472</v>
      </c>
      <c r="K2894" t="s">
        <v>40665</v>
      </c>
      <c r="M2894" t="s">
        <v>42105</v>
      </c>
      <c r="N2894" t="s">
        <v>44905</v>
      </c>
      <c r="O2894" t="s">
        <v>44906</v>
      </c>
      <c r="P2894">
        <v>0</v>
      </c>
      <c r="Q2894">
        <v>2</v>
      </c>
      <c r="R2894" t="s">
        <v>44908</v>
      </c>
      <c r="S2894" t="s">
        <v>45042</v>
      </c>
      <c r="T2894" t="s">
        <v>46559</v>
      </c>
      <c r="U2894" t="s">
        <v>49313</v>
      </c>
      <c r="W2894" t="s">
        <v>42105</v>
      </c>
      <c r="X2894" t="s">
        <v>44909</v>
      </c>
    </row>
    <row r="2895" spans="1:24">
      <c r="A2895">
        <f>HYPERLINK("https://www.philgeps.gov.ph/GEPSNONPILOT/Tender/SplashBidNoticeAbstractUI.aspx?menuIndex=3&amp;refID=7079174&amp;Result=3","7079174")</f>
        <v>0</v>
      </c>
      <c r="B2895" t="s">
        <v>1093</v>
      </c>
      <c r="C2895" t="s">
        <v>6296</v>
      </c>
      <c r="D2895" t="s">
        <v>18156</v>
      </c>
      <c r="E2895" t="s">
        <v>20834</v>
      </c>
      <c r="F2895" t="s">
        <v>31362</v>
      </c>
      <c r="G2895" t="s">
        <v>31369</v>
      </c>
      <c r="H2895" t="s">
        <v>15799</v>
      </c>
      <c r="I2895" t="s">
        <v>6373</v>
      </c>
      <c r="J2895" t="s">
        <v>33473</v>
      </c>
      <c r="K2895" t="s">
        <v>40666</v>
      </c>
      <c r="M2895" t="s">
        <v>42098</v>
      </c>
      <c r="N2895" t="s">
        <v>44905</v>
      </c>
      <c r="O2895" t="s">
        <v>44906</v>
      </c>
      <c r="P2895">
        <v>0</v>
      </c>
      <c r="Q2895">
        <v>2</v>
      </c>
      <c r="R2895" t="s">
        <v>44908</v>
      </c>
      <c r="S2895" t="s">
        <v>45042</v>
      </c>
      <c r="T2895" t="s">
        <v>46452</v>
      </c>
      <c r="U2895" t="s">
        <v>49314</v>
      </c>
      <c r="W2895" t="s">
        <v>42098</v>
      </c>
      <c r="X2895" t="s">
        <v>44909</v>
      </c>
    </row>
    <row r="2896" spans="1:24">
      <c r="A2896">
        <f>HYPERLINK("https://www.philgeps.gov.ph/GEPSNONPILOT/Tender/SplashBidNoticeAbstractUI.aspx?menuIndex=3&amp;refID=7079175&amp;Result=3","7079175")</f>
        <v>0</v>
      </c>
      <c r="B2896" t="s">
        <v>993</v>
      </c>
      <c r="C2896" t="s">
        <v>6297</v>
      </c>
      <c r="D2896" t="s">
        <v>18103</v>
      </c>
      <c r="E2896" t="s">
        <v>20824</v>
      </c>
      <c r="F2896" t="s">
        <v>31362</v>
      </c>
      <c r="G2896" t="s">
        <v>31369</v>
      </c>
      <c r="H2896" t="s">
        <v>31378</v>
      </c>
      <c r="I2896" t="s">
        <v>31386</v>
      </c>
      <c r="J2896" t="s">
        <v>33474</v>
      </c>
      <c r="K2896" t="s">
        <v>40678</v>
      </c>
      <c r="M2896" t="s">
        <v>41988</v>
      </c>
      <c r="N2896" t="s">
        <v>44905</v>
      </c>
      <c r="O2896" t="s">
        <v>44906</v>
      </c>
      <c r="P2896">
        <v>0</v>
      </c>
      <c r="Q2896">
        <v>0</v>
      </c>
      <c r="R2896" t="s">
        <v>44908</v>
      </c>
      <c r="S2896" t="s">
        <v>45042</v>
      </c>
      <c r="T2896" t="s">
        <v>46522</v>
      </c>
      <c r="U2896" t="s">
        <v>49053</v>
      </c>
      <c r="W2896" t="s">
        <v>41988</v>
      </c>
      <c r="X2896" t="s">
        <v>44909</v>
      </c>
    </row>
    <row r="2897" spans="1:24">
      <c r="A2897">
        <f>HYPERLINK("https://www.philgeps.gov.ph/GEPSNONPILOT/Tender/SplashBidNoticeAbstractUI.aspx?menuIndex=3&amp;refID=7079173&amp;Result=3","7079173")</f>
        <v>0</v>
      </c>
      <c r="B2897" t="s">
        <v>1099</v>
      </c>
      <c r="C2897" t="s">
        <v>6298</v>
      </c>
      <c r="D2897" t="s">
        <v>18117</v>
      </c>
      <c r="E2897" t="s">
        <v>20835</v>
      </c>
      <c r="F2897" t="s">
        <v>31362</v>
      </c>
      <c r="G2897" t="s">
        <v>31369</v>
      </c>
      <c r="H2897" t="s">
        <v>15799</v>
      </c>
      <c r="I2897" t="s">
        <v>3815</v>
      </c>
      <c r="J2897" t="s">
        <v>33475</v>
      </c>
      <c r="K2897" t="s">
        <v>40665</v>
      </c>
      <c r="M2897" t="s">
        <v>42104</v>
      </c>
      <c r="N2897" t="s">
        <v>44905</v>
      </c>
      <c r="O2897" t="s">
        <v>44906</v>
      </c>
      <c r="P2897">
        <v>0</v>
      </c>
      <c r="Q2897">
        <v>0</v>
      </c>
      <c r="R2897" t="s">
        <v>44908</v>
      </c>
      <c r="S2897" t="s">
        <v>45042</v>
      </c>
      <c r="T2897" t="s">
        <v>46404</v>
      </c>
      <c r="U2897" t="s">
        <v>49311</v>
      </c>
      <c r="W2897" t="s">
        <v>42104</v>
      </c>
      <c r="X2897" t="s">
        <v>44909</v>
      </c>
    </row>
    <row r="2898" spans="1:24">
      <c r="A2898">
        <f>HYPERLINK("https://www.philgeps.gov.ph/GEPSNONPILOT/Tender/SplashBidNoticeAbstractUI.aspx?menuIndex=3&amp;refID=7079169&amp;Result=3","7079169")</f>
        <v>0</v>
      </c>
      <c r="B2898" t="s">
        <v>1101</v>
      </c>
      <c r="C2898" t="s">
        <v>6299</v>
      </c>
      <c r="D2898" t="s">
        <v>18138</v>
      </c>
      <c r="E2898" t="s">
        <v>20836</v>
      </c>
      <c r="F2898" t="s">
        <v>31362</v>
      </c>
      <c r="G2898" t="s">
        <v>31372</v>
      </c>
      <c r="H2898" t="s">
        <v>15799</v>
      </c>
      <c r="I2898" t="s">
        <v>31404</v>
      </c>
      <c r="J2898" t="s">
        <v>33476</v>
      </c>
      <c r="K2898" t="s">
        <v>40665</v>
      </c>
      <c r="M2898" t="s">
        <v>42106</v>
      </c>
      <c r="N2898" t="s">
        <v>44905</v>
      </c>
      <c r="O2898" t="s">
        <v>44906</v>
      </c>
      <c r="P2898">
        <v>0</v>
      </c>
      <c r="Q2898">
        <v>0</v>
      </c>
      <c r="R2898" t="s">
        <v>44908</v>
      </c>
      <c r="S2898" t="s">
        <v>45042</v>
      </c>
      <c r="T2898" t="s">
        <v>46432</v>
      </c>
      <c r="U2898" t="s">
        <v>49315</v>
      </c>
      <c r="V2898" t="s">
        <v>59375</v>
      </c>
      <c r="W2898" t="s">
        <v>42106</v>
      </c>
      <c r="X2898" t="s">
        <v>44909</v>
      </c>
    </row>
    <row r="2899" spans="1:24">
      <c r="A2899">
        <f>HYPERLINK("https://www.philgeps.gov.ph/GEPSNONPILOT/Tender/SplashBidNoticeAbstractUI.aspx?menuIndex=3&amp;refID=7079168&amp;Result=3","7079168")</f>
        <v>0</v>
      </c>
      <c r="B2899" t="s">
        <v>1058</v>
      </c>
      <c r="C2899" t="s">
        <v>6185</v>
      </c>
      <c r="D2899" t="s">
        <v>18104</v>
      </c>
      <c r="E2899" t="s">
        <v>20837</v>
      </c>
      <c r="F2899" t="s">
        <v>31362</v>
      </c>
      <c r="G2899" t="s">
        <v>31370</v>
      </c>
      <c r="H2899" t="s">
        <v>15799</v>
      </c>
      <c r="I2899" t="s">
        <v>6373</v>
      </c>
      <c r="J2899" t="s">
        <v>31866</v>
      </c>
      <c r="K2899" t="s">
        <v>40670</v>
      </c>
      <c r="M2899" t="s">
        <v>42059</v>
      </c>
      <c r="N2899" t="s">
        <v>44905</v>
      </c>
      <c r="O2899" t="s">
        <v>44906</v>
      </c>
      <c r="P2899">
        <v>0</v>
      </c>
      <c r="Q2899">
        <v>0</v>
      </c>
      <c r="R2899" t="s">
        <v>44908</v>
      </c>
      <c r="S2899" t="s">
        <v>45042</v>
      </c>
      <c r="T2899" t="s">
        <v>46447</v>
      </c>
      <c r="U2899" t="s">
        <v>49316</v>
      </c>
      <c r="W2899" t="s">
        <v>42059</v>
      </c>
      <c r="X2899" t="s">
        <v>44909</v>
      </c>
    </row>
    <row r="2900" spans="1:24">
      <c r="A2900">
        <f>HYPERLINK("https://www.philgeps.gov.ph/GEPSNONPILOT/Tender/SplashBidNoticeAbstractUI.aspx?menuIndex=3&amp;refID=7079176&amp;Result=3","7079176")</f>
        <v>0</v>
      </c>
      <c r="B2900" t="s">
        <v>1079</v>
      </c>
      <c r="C2900" t="s">
        <v>6300</v>
      </c>
      <c r="D2900" t="s">
        <v>18100</v>
      </c>
      <c r="E2900" t="s">
        <v>20838</v>
      </c>
      <c r="F2900" t="s">
        <v>31362</v>
      </c>
      <c r="G2900" t="s">
        <v>31369</v>
      </c>
      <c r="H2900" t="s">
        <v>31378</v>
      </c>
      <c r="I2900" t="s">
        <v>31386</v>
      </c>
      <c r="J2900" t="s">
        <v>33435</v>
      </c>
      <c r="K2900" t="s">
        <v>40740</v>
      </c>
      <c r="M2900" t="s">
        <v>42081</v>
      </c>
      <c r="N2900" t="s">
        <v>44905</v>
      </c>
      <c r="O2900" t="s">
        <v>44906</v>
      </c>
      <c r="P2900">
        <v>0</v>
      </c>
      <c r="Q2900">
        <v>1</v>
      </c>
      <c r="R2900" t="s">
        <v>44908</v>
      </c>
      <c r="S2900" t="s">
        <v>45042</v>
      </c>
      <c r="T2900" t="s">
        <v>46605</v>
      </c>
      <c r="U2900" t="s">
        <v>49317</v>
      </c>
      <c r="W2900" t="s">
        <v>42081</v>
      </c>
      <c r="X2900" t="s">
        <v>44909</v>
      </c>
    </row>
    <row r="2901" spans="1:24">
      <c r="A2901">
        <f>HYPERLINK("https://www.philgeps.gov.ph/GEPSNONPILOT/Tender/SplashBidNoticeAbstractUI.aspx?menuIndex=3&amp;refID=7079165&amp;Result=3","7079165")</f>
        <v>0</v>
      </c>
      <c r="B2901" t="s">
        <v>45</v>
      </c>
      <c r="C2901" t="s">
        <v>6301</v>
      </c>
      <c r="D2901" t="s">
        <v>18108</v>
      </c>
      <c r="E2901" t="s">
        <v>20839</v>
      </c>
      <c r="F2901" t="s">
        <v>31362</v>
      </c>
      <c r="G2901" t="s">
        <v>31368</v>
      </c>
      <c r="H2901" t="s">
        <v>15799</v>
      </c>
      <c r="I2901" t="s">
        <v>31397</v>
      </c>
      <c r="J2901" t="s">
        <v>32302</v>
      </c>
      <c r="K2901" t="s">
        <v>40661</v>
      </c>
      <c r="M2901" t="s">
        <v>42046</v>
      </c>
      <c r="N2901" t="s">
        <v>44905</v>
      </c>
      <c r="O2901" t="s">
        <v>44906</v>
      </c>
      <c r="P2901">
        <v>0</v>
      </c>
      <c r="Q2901">
        <v>2</v>
      </c>
      <c r="R2901" t="s">
        <v>44908</v>
      </c>
      <c r="S2901" t="s">
        <v>45042</v>
      </c>
      <c r="T2901" t="s">
        <v>46434</v>
      </c>
      <c r="U2901" t="s">
        <v>49318</v>
      </c>
      <c r="V2901" t="s">
        <v>59054</v>
      </c>
      <c r="W2901" t="s">
        <v>42046</v>
      </c>
      <c r="X2901" t="s">
        <v>44909</v>
      </c>
    </row>
    <row r="2902" spans="1:24">
      <c r="A2902">
        <f>HYPERLINK("https://www.philgeps.gov.ph/GEPSNONPILOT/Tender/SplashBidNoticeAbstractUI.aspx?menuIndex=3&amp;refID=7079163&amp;Result=3","7079163")</f>
        <v>0</v>
      </c>
      <c r="B2902" t="s">
        <v>1102</v>
      </c>
      <c r="C2902" t="s">
        <v>6302</v>
      </c>
      <c r="D2902" t="s">
        <v>18160</v>
      </c>
      <c r="E2902" t="s">
        <v>20840</v>
      </c>
      <c r="F2902" t="s">
        <v>31362</v>
      </c>
      <c r="G2902" t="s">
        <v>31368</v>
      </c>
      <c r="H2902" t="s">
        <v>15799</v>
      </c>
      <c r="I2902" t="s">
        <v>7188</v>
      </c>
      <c r="J2902" t="s">
        <v>33477</v>
      </c>
      <c r="K2902" t="s">
        <v>40662</v>
      </c>
      <c r="M2902" t="s">
        <v>42107</v>
      </c>
      <c r="N2902" t="s">
        <v>44905</v>
      </c>
      <c r="O2902" t="s">
        <v>44906</v>
      </c>
      <c r="P2902">
        <v>0</v>
      </c>
      <c r="Q2902">
        <v>0</v>
      </c>
      <c r="R2902" t="s">
        <v>44908</v>
      </c>
      <c r="S2902" t="s">
        <v>45042</v>
      </c>
      <c r="T2902" t="s">
        <v>46414</v>
      </c>
      <c r="U2902" t="s">
        <v>49319</v>
      </c>
      <c r="W2902" t="s">
        <v>42107</v>
      </c>
      <c r="X2902" t="s">
        <v>44909</v>
      </c>
    </row>
    <row r="2903" spans="1:24">
      <c r="A2903">
        <f>HYPERLINK("https://www.philgeps.gov.ph/GEPSNONPILOT/Tender/SplashBidNoticeAbstractUI.aspx?menuIndex=3&amp;refID=7079161&amp;Result=3","7079161")</f>
        <v>0</v>
      </c>
      <c r="B2903" t="s">
        <v>1103</v>
      </c>
      <c r="C2903" t="s">
        <v>6303</v>
      </c>
      <c r="D2903" t="s">
        <v>18127</v>
      </c>
      <c r="E2903" t="s">
        <v>20841</v>
      </c>
      <c r="F2903" t="s">
        <v>31362</v>
      </c>
      <c r="G2903" t="s">
        <v>31371</v>
      </c>
      <c r="H2903" t="s">
        <v>15799</v>
      </c>
      <c r="I2903" t="s">
        <v>31385</v>
      </c>
      <c r="J2903" t="s">
        <v>32356</v>
      </c>
      <c r="K2903" t="s">
        <v>40697</v>
      </c>
      <c r="M2903" t="s">
        <v>42108</v>
      </c>
      <c r="N2903" t="s">
        <v>44905</v>
      </c>
      <c r="O2903" t="s">
        <v>44906</v>
      </c>
      <c r="P2903">
        <v>0</v>
      </c>
      <c r="Q2903">
        <v>0</v>
      </c>
      <c r="R2903" t="s">
        <v>44908</v>
      </c>
      <c r="S2903" t="s">
        <v>45042</v>
      </c>
      <c r="T2903" t="s">
        <v>46432</v>
      </c>
      <c r="U2903" t="s">
        <v>49320</v>
      </c>
      <c r="W2903" t="s">
        <v>42108</v>
      </c>
      <c r="X2903" t="s">
        <v>44909</v>
      </c>
    </row>
    <row r="2904" spans="1:24">
      <c r="A2904">
        <f>HYPERLINK("https://www.philgeps.gov.ph/GEPSNONPILOT/Tender/SplashBidNoticeAbstractUI.aspx?menuIndex=3&amp;refID=7079160&amp;Result=3","7079160")</f>
        <v>0</v>
      </c>
      <c r="B2904" t="s">
        <v>1104</v>
      </c>
      <c r="C2904" t="s">
        <v>4466</v>
      </c>
      <c r="D2904" t="s">
        <v>18105</v>
      </c>
      <c r="E2904" t="s">
        <v>20842</v>
      </c>
      <c r="F2904" t="s">
        <v>31362</v>
      </c>
      <c r="G2904" t="s">
        <v>31369</v>
      </c>
      <c r="H2904" t="s">
        <v>31378</v>
      </c>
      <c r="I2904" t="s">
        <v>31421</v>
      </c>
      <c r="J2904" t="s">
        <v>31987</v>
      </c>
      <c r="K2904" t="s">
        <v>40672</v>
      </c>
      <c r="M2904" t="s">
        <v>42109</v>
      </c>
      <c r="N2904" t="s">
        <v>44905</v>
      </c>
      <c r="O2904" t="s">
        <v>44906</v>
      </c>
      <c r="P2904">
        <v>0</v>
      </c>
      <c r="Q2904">
        <v>1</v>
      </c>
      <c r="R2904" t="s">
        <v>44908</v>
      </c>
      <c r="S2904" t="s">
        <v>45042</v>
      </c>
      <c r="T2904" t="s">
        <v>46470</v>
      </c>
      <c r="U2904" t="s">
        <v>49321</v>
      </c>
      <c r="W2904" t="s">
        <v>42109</v>
      </c>
      <c r="X2904" t="s">
        <v>44909</v>
      </c>
    </row>
    <row r="2905" spans="1:24">
      <c r="A2905">
        <f>HYPERLINK("https://www.philgeps.gov.ph/GEPSNONPILOT/Tender/SplashBidNoticeAbstractUI.aspx?menuIndex=3&amp;refID=7079170&amp;Result=3","7079170")</f>
        <v>0</v>
      </c>
      <c r="B2905" t="s">
        <v>1081</v>
      </c>
      <c r="C2905" t="s">
        <v>6304</v>
      </c>
      <c r="D2905" t="s">
        <v>18135</v>
      </c>
      <c r="E2905" t="s">
        <v>20843</v>
      </c>
      <c r="F2905" t="s">
        <v>31362</v>
      </c>
      <c r="G2905" t="s">
        <v>31369</v>
      </c>
      <c r="H2905" t="s">
        <v>15799</v>
      </c>
      <c r="I2905" t="s">
        <v>31386</v>
      </c>
      <c r="J2905" t="s">
        <v>31536</v>
      </c>
      <c r="K2905" t="s">
        <v>40680</v>
      </c>
      <c r="M2905" t="s">
        <v>42084</v>
      </c>
      <c r="N2905" t="s">
        <v>44905</v>
      </c>
      <c r="O2905" t="s">
        <v>44906</v>
      </c>
      <c r="P2905">
        <v>0</v>
      </c>
      <c r="Q2905">
        <v>0</v>
      </c>
      <c r="R2905" t="s">
        <v>44908</v>
      </c>
      <c r="S2905" t="s">
        <v>45042</v>
      </c>
      <c r="T2905" t="s">
        <v>46504</v>
      </c>
      <c r="U2905" t="s">
        <v>49322</v>
      </c>
      <c r="W2905" t="s">
        <v>42084</v>
      </c>
      <c r="X2905" t="s">
        <v>44909</v>
      </c>
    </row>
    <row r="2906" spans="1:24">
      <c r="A2906">
        <f>HYPERLINK("https://www.philgeps.gov.ph/GEPSNONPILOT/Tender/SplashBidNoticeAbstractUI.aspx?menuIndex=3&amp;refID=7079156&amp;Result=3","7079156")</f>
        <v>0</v>
      </c>
      <c r="B2906" t="s">
        <v>288</v>
      </c>
      <c r="C2906" t="s">
        <v>6305</v>
      </c>
      <c r="D2906" t="s">
        <v>18102</v>
      </c>
      <c r="E2906" t="s">
        <v>20844</v>
      </c>
      <c r="F2906" t="s">
        <v>31362</v>
      </c>
      <c r="G2906" t="s">
        <v>31370</v>
      </c>
      <c r="H2906" t="s">
        <v>15799</v>
      </c>
      <c r="I2906" t="s">
        <v>3815</v>
      </c>
      <c r="J2906" t="s">
        <v>33478</v>
      </c>
      <c r="K2906" t="s">
        <v>40670</v>
      </c>
      <c r="M2906" t="s">
        <v>42092</v>
      </c>
      <c r="N2906" t="s">
        <v>44905</v>
      </c>
      <c r="O2906" t="s">
        <v>44906</v>
      </c>
      <c r="P2906">
        <v>0</v>
      </c>
      <c r="Q2906">
        <v>2</v>
      </c>
      <c r="R2906" t="s">
        <v>44908</v>
      </c>
      <c r="S2906" t="s">
        <v>45042</v>
      </c>
      <c r="T2906" t="s">
        <v>46447</v>
      </c>
      <c r="U2906" t="s">
        <v>49323</v>
      </c>
      <c r="W2906" t="s">
        <v>42092</v>
      </c>
      <c r="X2906" t="s">
        <v>44909</v>
      </c>
    </row>
    <row r="2907" spans="1:24">
      <c r="A2907">
        <f>HYPERLINK("https://www.philgeps.gov.ph/GEPSNONPILOT/Tender/SplashBidNoticeAbstractUI.aspx?menuIndex=3&amp;refID=7079154&amp;Result=3","7079154")</f>
        <v>0</v>
      </c>
      <c r="B2907" t="s">
        <v>1105</v>
      </c>
      <c r="C2907" t="s">
        <v>6306</v>
      </c>
      <c r="D2907" t="s">
        <v>18168</v>
      </c>
      <c r="E2907" t="s">
        <v>20845</v>
      </c>
      <c r="F2907" t="s">
        <v>31362</v>
      </c>
      <c r="G2907" t="s">
        <v>31368</v>
      </c>
      <c r="H2907" t="s">
        <v>15799</v>
      </c>
      <c r="I2907" t="s">
        <v>31441</v>
      </c>
      <c r="J2907" t="s">
        <v>32088</v>
      </c>
      <c r="K2907" t="s">
        <v>40662</v>
      </c>
      <c r="M2907" t="s">
        <v>42110</v>
      </c>
      <c r="N2907" t="s">
        <v>44905</v>
      </c>
      <c r="O2907" t="s">
        <v>44906</v>
      </c>
      <c r="P2907">
        <v>0</v>
      </c>
      <c r="Q2907">
        <v>0</v>
      </c>
      <c r="R2907" t="s">
        <v>44908</v>
      </c>
      <c r="S2907" t="s">
        <v>45042</v>
      </c>
      <c r="T2907" t="s">
        <v>46432</v>
      </c>
      <c r="U2907" t="s">
        <v>49324</v>
      </c>
      <c r="W2907" t="s">
        <v>42110</v>
      </c>
      <c r="X2907" t="s">
        <v>44909</v>
      </c>
    </row>
    <row r="2908" spans="1:24">
      <c r="A2908">
        <f>HYPERLINK("https://www.philgeps.gov.ph/GEPSNONPILOT/Tender/SplashBidNoticeAbstractUI.aspx?menuIndex=3&amp;refID=7079140&amp;Result=3","7079140")</f>
        <v>0</v>
      </c>
      <c r="B2908" t="s">
        <v>1095</v>
      </c>
      <c r="C2908" t="s">
        <v>6307</v>
      </c>
      <c r="D2908" t="s">
        <v>18106</v>
      </c>
      <c r="E2908" t="s">
        <v>20846</v>
      </c>
      <c r="F2908" t="s">
        <v>31362</v>
      </c>
      <c r="G2908" t="s">
        <v>31368</v>
      </c>
      <c r="H2908" t="s">
        <v>15799</v>
      </c>
      <c r="I2908" t="s">
        <v>31392</v>
      </c>
      <c r="J2908" t="s">
        <v>31577</v>
      </c>
      <c r="K2908" t="s">
        <v>40661</v>
      </c>
      <c r="M2908" t="s">
        <v>42100</v>
      </c>
      <c r="N2908" t="s">
        <v>44905</v>
      </c>
      <c r="O2908" t="s">
        <v>44906</v>
      </c>
      <c r="P2908">
        <v>0</v>
      </c>
      <c r="Q2908">
        <v>0</v>
      </c>
      <c r="R2908" t="s">
        <v>44908</v>
      </c>
      <c r="S2908" t="s">
        <v>45042</v>
      </c>
      <c r="T2908" t="s">
        <v>46434</v>
      </c>
      <c r="U2908" t="s">
        <v>49325</v>
      </c>
      <c r="W2908" t="s">
        <v>42100</v>
      </c>
      <c r="X2908" t="s">
        <v>44909</v>
      </c>
    </row>
    <row r="2909" spans="1:24">
      <c r="A2909">
        <f>HYPERLINK("https://www.philgeps.gov.ph/GEPSNONPILOT/Tender/SplashBidNoticeAbstractUI.aspx?menuIndex=3&amp;refID=7079151&amp;Result=3","7079151")</f>
        <v>0</v>
      </c>
      <c r="B2909" t="s">
        <v>966</v>
      </c>
      <c r="C2909" t="s">
        <v>6308</v>
      </c>
      <c r="D2909" t="s">
        <v>18103</v>
      </c>
      <c r="E2909" t="s">
        <v>20847</v>
      </c>
      <c r="F2909" t="s">
        <v>31362</v>
      </c>
      <c r="G2909" t="s">
        <v>31368</v>
      </c>
      <c r="H2909" t="s">
        <v>31378</v>
      </c>
      <c r="I2909" t="s">
        <v>31386</v>
      </c>
      <c r="J2909" t="s">
        <v>33479</v>
      </c>
      <c r="K2909" t="s">
        <v>40661</v>
      </c>
      <c r="M2909" t="s">
        <v>41956</v>
      </c>
      <c r="N2909" t="s">
        <v>44905</v>
      </c>
      <c r="O2909" t="s">
        <v>44906</v>
      </c>
      <c r="P2909">
        <v>0</v>
      </c>
      <c r="Q2909">
        <v>0</v>
      </c>
      <c r="R2909" t="s">
        <v>44908</v>
      </c>
      <c r="S2909" t="s">
        <v>45042</v>
      </c>
      <c r="T2909" t="s">
        <v>46454</v>
      </c>
      <c r="U2909" t="s">
        <v>49326</v>
      </c>
      <c r="V2909" t="s">
        <v>59312</v>
      </c>
      <c r="W2909" t="s">
        <v>41956</v>
      </c>
      <c r="X2909" t="s">
        <v>44909</v>
      </c>
    </row>
    <row r="2910" spans="1:24">
      <c r="A2910">
        <f>HYPERLINK("https://www.philgeps.gov.ph/GEPSNONPILOT/Tender/SplashBidNoticeAbstractUI.aspx?menuIndex=3&amp;refID=7079172&amp;Result=3","7079172")</f>
        <v>0</v>
      </c>
      <c r="B2910" t="s">
        <v>1106</v>
      </c>
      <c r="C2910" t="s">
        <v>6309</v>
      </c>
      <c r="D2910" t="s">
        <v>18143</v>
      </c>
      <c r="E2910" t="s">
        <v>20848</v>
      </c>
      <c r="F2910" t="s">
        <v>31362</v>
      </c>
      <c r="G2910" t="s">
        <v>31368</v>
      </c>
      <c r="H2910" t="s">
        <v>15799</v>
      </c>
      <c r="I2910" t="s">
        <v>7719</v>
      </c>
      <c r="J2910" t="s">
        <v>33480</v>
      </c>
      <c r="K2910" t="s">
        <v>40665</v>
      </c>
      <c r="M2910" t="s">
        <v>42111</v>
      </c>
      <c r="N2910" t="s">
        <v>44905</v>
      </c>
      <c r="O2910" t="s">
        <v>44906</v>
      </c>
      <c r="P2910">
        <v>0</v>
      </c>
      <c r="Q2910">
        <v>13</v>
      </c>
      <c r="R2910" t="s">
        <v>44908</v>
      </c>
      <c r="S2910" t="s">
        <v>45042</v>
      </c>
      <c r="T2910" t="s">
        <v>46404</v>
      </c>
      <c r="U2910" t="s">
        <v>49327</v>
      </c>
      <c r="W2910" t="s">
        <v>42111</v>
      </c>
      <c r="X2910" t="s">
        <v>44909</v>
      </c>
    </row>
    <row r="2911" spans="1:24">
      <c r="A2911">
        <f>HYPERLINK("https://www.philgeps.gov.ph/GEPSNONPILOT/Tender/SplashBidNoticeAbstractUI.aspx?menuIndex=3&amp;refID=7079124&amp;Result=3","7079124")</f>
        <v>0</v>
      </c>
      <c r="B2911" t="s">
        <v>1107</v>
      </c>
      <c r="C2911" t="s">
        <v>6310</v>
      </c>
      <c r="D2911" t="s">
        <v>18143</v>
      </c>
      <c r="E2911" t="s">
        <v>20849</v>
      </c>
      <c r="F2911" t="s">
        <v>31362</v>
      </c>
      <c r="G2911" t="s">
        <v>31368</v>
      </c>
      <c r="H2911" t="s">
        <v>15799</v>
      </c>
      <c r="I2911" t="s">
        <v>7188</v>
      </c>
      <c r="J2911" t="s">
        <v>33481</v>
      </c>
      <c r="K2911" t="s">
        <v>40677</v>
      </c>
      <c r="M2911" t="s">
        <v>42112</v>
      </c>
      <c r="N2911" t="s">
        <v>44905</v>
      </c>
      <c r="O2911" t="s">
        <v>44906</v>
      </c>
      <c r="P2911">
        <v>0</v>
      </c>
      <c r="Q2911">
        <v>1</v>
      </c>
      <c r="R2911" t="s">
        <v>44908</v>
      </c>
      <c r="S2911" t="s">
        <v>45042</v>
      </c>
      <c r="T2911" t="s">
        <v>46470</v>
      </c>
      <c r="U2911" t="s">
        <v>49328</v>
      </c>
      <c r="W2911" t="s">
        <v>42112</v>
      </c>
      <c r="X2911" t="s">
        <v>44909</v>
      </c>
    </row>
    <row r="2912" spans="1:24">
      <c r="A2912">
        <f>HYPERLINK("https://www.philgeps.gov.ph/GEPSNONPILOT/Tender/SplashBidNoticeAbstractUI.aspx?menuIndex=3&amp;refID=7079121&amp;Result=3","7079121")</f>
        <v>0</v>
      </c>
      <c r="B2912" t="s">
        <v>545</v>
      </c>
      <c r="C2912" t="s">
        <v>6311</v>
      </c>
      <c r="D2912" t="s">
        <v>18143</v>
      </c>
      <c r="E2912" t="s">
        <v>18777</v>
      </c>
      <c r="F2912" t="s">
        <v>31362</v>
      </c>
      <c r="G2912" t="s">
        <v>31369</v>
      </c>
      <c r="H2912" t="s">
        <v>31378</v>
      </c>
      <c r="I2912" t="s">
        <v>3815</v>
      </c>
      <c r="J2912" t="s">
        <v>33482</v>
      </c>
      <c r="K2912" t="s">
        <v>40661</v>
      </c>
      <c r="M2912" t="s">
        <v>41501</v>
      </c>
      <c r="N2912" t="s">
        <v>44905</v>
      </c>
      <c r="O2912" t="s">
        <v>44906</v>
      </c>
      <c r="P2912">
        <v>0</v>
      </c>
      <c r="Q2912">
        <v>0</v>
      </c>
      <c r="R2912" t="s">
        <v>44908</v>
      </c>
      <c r="S2912" t="s">
        <v>45042</v>
      </c>
      <c r="T2912" t="s">
        <v>46602</v>
      </c>
      <c r="U2912" t="s">
        <v>49329</v>
      </c>
      <c r="V2912" t="s">
        <v>59370</v>
      </c>
      <c r="W2912" t="s">
        <v>41501</v>
      </c>
      <c r="X2912" t="s">
        <v>44909</v>
      </c>
    </row>
    <row r="2913" spans="1:24">
      <c r="A2913">
        <f>HYPERLINK("https://www.philgeps.gov.ph/GEPSNONPILOT/Tender/SplashBidNoticeAbstractUI.aspx?menuIndex=3&amp;refID=7079123&amp;Result=3","7079123")</f>
        <v>0</v>
      </c>
      <c r="B2913" t="s">
        <v>993</v>
      </c>
      <c r="C2913" t="s">
        <v>6312</v>
      </c>
      <c r="D2913" t="s">
        <v>18103</v>
      </c>
      <c r="E2913" t="s">
        <v>20824</v>
      </c>
      <c r="F2913" t="s">
        <v>31362</v>
      </c>
      <c r="G2913" t="s">
        <v>31369</v>
      </c>
      <c r="H2913" t="s">
        <v>31378</v>
      </c>
      <c r="I2913" t="s">
        <v>31386</v>
      </c>
      <c r="J2913" t="s">
        <v>33483</v>
      </c>
      <c r="K2913" t="s">
        <v>40678</v>
      </c>
      <c r="M2913" t="s">
        <v>41988</v>
      </c>
      <c r="N2913" t="s">
        <v>44905</v>
      </c>
      <c r="O2913" t="s">
        <v>44906</v>
      </c>
      <c r="P2913">
        <v>0</v>
      </c>
      <c r="Q2913">
        <v>0</v>
      </c>
      <c r="R2913" t="s">
        <v>44908</v>
      </c>
      <c r="S2913" t="s">
        <v>45042</v>
      </c>
      <c r="T2913" t="s">
        <v>46522</v>
      </c>
      <c r="U2913" t="s">
        <v>49053</v>
      </c>
      <c r="W2913" t="s">
        <v>41988</v>
      </c>
      <c r="X2913" t="s">
        <v>44909</v>
      </c>
    </row>
    <row r="2914" spans="1:24">
      <c r="A2914">
        <f>HYPERLINK("https://www.philgeps.gov.ph/GEPSNONPILOT/Tender/SplashBidNoticeAbstractUI.aspx?menuIndex=3&amp;refID=7079166&amp;Result=3","7079166")</f>
        <v>0</v>
      </c>
      <c r="B2914" t="s">
        <v>1108</v>
      </c>
      <c r="C2914" t="s">
        <v>6313</v>
      </c>
      <c r="D2914" t="s">
        <v>18137</v>
      </c>
      <c r="E2914" t="s">
        <v>20850</v>
      </c>
      <c r="F2914" t="s">
        <v>31362</v>
      </c>
      <c r="G2914" t="s">
        <v>31368</v>
      </c>
      <c r="H2914" t="s">
        <v>15799</v>
      </c>
      <c r="I2914" t="s">
        <v>31488</v>
      </c>
      <c r="J2914" t="s">
        <v>32207</v>
      </c>
      <c r="K2914" t="s">
        <v>40670</v>
      </c>
      <c r="M2914" t="s">
        <v>42113</v>
      </c>
      <c r="N2914" t="s">
        <v>44905</v>
      </c>
      <c r="O2914" t="s">
        <v>44906</v>
      </c>
      <c r="P2914">
        <v>0</v>
      </c>
      <c r="Q2914">
        <v>0</v>
      </c>
      <c r="R2914" t="s">
        <v>44908</v>
      </c>
      <c r="S2914" t="s">
        <v>45042</v>
      </c>
      <c r="T2914" t="s">
        <v>46427</v>
      </c>
      <c r="U2914" t="s">
        <v>49330</v>
      </c>
      <c r="W2914" t="s">
        <v>42113</v>
      </c>
      <c r="X2914" t="s">
        <v>44909</v>
      </c>
    </row>
    <row r="2915" spans="1:24">
      <c r="A2915">
        <f>HYPERLINK("https://www.philgeps.gov.ph/GEPSNONPILOT/Tender/SplashBidNoticeAbstractUI.aspx?menuIndex=3&amp;refID=7079199&amp;Result=3","7079199")</f>
        <v>0</v>
      </c>
      <c r="B2915" t="s">
        <v>1109</v>
      </c>
      <c r="C2915" t="s">
        <v>6314</v>
      </c>
      <c r="D2915" t="s">
        <v>18122</v>
      </c>
      <c r="E2915" t="s">
        <v>20851</v>
      </c>
      <c r="F2915" t="s">
        <v>31362</v>
      </c>
      <c r="G2915" t="s">
        <v>31368</v>
      </c>
      <c r="H2915" t="s">
        <v>15799</v>
      </c>
      <c r="I2915" t="s">
        <v>31427</v>
      </c>
      <c r="J2915" t="s">
        <v>33484</v>
      </c>
      <c r="K2915" t="s">
        <v>40661</v>
      </c>
      <c r="M2915" t="s">
        <v>42114</v>
      </c>
      <c r="N2915" t="s">
        <v>44905</v>
      </c>
      <c r="O2915" t="s">
        <v>44906</v>
      </c>
      <c r="P2915">
        <v>0</v>
      </c>
      <c r="Q2915">
        <v>8</v>
      </c>
      <c r="R2915" t="s">
        <v>44908</v>
      </c>
      <c r="S2915" t="s">
        <v>45042</v>
      </c>
      <c r="T2915" t="s">
        <v>46454</v>
      </c>
      <c r="U2915" t="s">
        <v>49331</v>
      </c>
      <c r="W2915" t="s">
        <v>42114</v>
      </c>
      <c r="X2915" t="s">
        <v>44909</v>
      </c>
    </row>
    <row r="2916" spans="1:24">
      <c r="A2916">
        <f>HYPERLINK("https://www.philgeps.gov.ph/GEPSNONPILOT/Tender/SplashBidNoticeAbstractUI.aspx?menuIndex=3&amp;refID=7079153&amp;Result=3","7079153")</f>
        <v>0</v>
      </c>
      <c r="B2916" t="s">
        <v>1110</v>
      </c>
      <c r="C2916" t="s">
        <v>6315</v>
      </c>
      <c r="D2916" t="s">
        <v>18153</v>
      </c>
      <c r="E2916" t="s">
        <v>20852</v>
      </c>
      <c r="F2916" t="s">
        <v>31362</v>
      </c>
      <c r="G2916" t="s">
        <v>31370</v>
      </c>
      <c r="H2916" t="s">
        <v>15799</v>
      </c>
      <c r="I2916" t="s">
        <v>31404</v>
      </c>
      <c r="J2916" t="s">
        <v>33485</v>
      </c>
      <c r="K2916" t="s">
        <v>40712</v>
      </c>
      <c r="M2916" t="s">
        <v>42115</v>
      </c>
      <c r="N2916" t="s">
        <v>44905</v>
      </c>
      <c r="O2916" t="s">
        <v>44906</v>
      </c>
      <c r="P2916">
        <v>0</v>
      </c>
      <c r="Q2916">
        <v>0</v>
      </c>
      <c r="R2916" t="s">
        <v>44908</v>
      </c>
      <c r="S2916" t="s">
        <v>45042</v>
      </c>
      <c r="T2916" t="s">
        <v>46483</v>
      </c>
      <c r="U2916" t="s">
        <v>49332</v>
      </c>
      <c r="W2916" t="s">
        <v>42115</v>
      </c>
      <c r="X2916" t="s">
        <v>44909</v>
      </c>
    </row>
    <row r="2917" spans="1:24">
      <c r="A2917">
        <f>HYPERLINK("https://www.philgeps.gov.ph/GEPSNONPILOT/Tender/SplashBidNoticeAbstractUI.aspx?menuIndex=3&amp;refID=7079204&amp;Result=3","7079204")</f>
        <v>0</v>
      </c>
      <c r="B2917" t="s">
        <v>1111</v>
      </c>
      <c r="C2917" t="s">
        <v>6316</v>
      </c>
      <c r="D2917" t="s">
        <v>18172</v>
      </c>
      <c r="E2917" t="s">
        <v>20853</v>
      </c>
      <c r="F2917" t="s">
        <v>31362</v>
      </c>
      <c r="G2917" t="s">
        <v>31368</v>
      </c>
      <c r="H2917" t="s">
        <v>15799</v>
      </c>
      <c r="I2917" t="s">
        <v>31392</v>
      </c>
      <c r="J2917" t="s">
        <v>31536</v>
      </c>
      <c r="K2917" t="s">
        <v>40670</v>
      </c>
      <c r="M2917" t="s">
        <v>42116</v>
      </c>
      <c r="N2917" t="s">
        <v>44905</v>
      </c>
      <c r="O2917" t="s">
        <v>44906</v>
      </c>
      <c r="P2917">
        <v>0</v>
      </c>
      <c r="Q2917">
        <v>0</v>
      </c>
      <c r="R2917" t="s">
        <v>44908</v>
      </c>
      <c r="S2917" t="s">
        <v>45042</v>
      </c>
      <c r="T2917" t="s">
        <v>46427</v>
      </c>
      <c r="U2917" t="s">
        <v>49333</v>
      </c>
      <c r="W2917" t="s">
        <v>42116</v>
      </c>
      <c r="X2917" t="s">
        <v>44909</v>
      </c>
    </row>
    <row r="2918" spans="1:24">
      <c r="A2918">
        <f>HYPERLINK("https://www.philgeps.gov.ph/GEPSNONPILOT/Tender/SplashBidNoticeAbstractUI.aspx?menuIndex=3&amp;refID=7079202&amp;Result=3","7079202")</f>
        <v>0</v>
      </c>
      <c r="B2918" t="s">
        <v>1112</v>
      </c>
      <c r="C2918" t="s">
        <v>6317</v>
      </c>
      <c r="D2918" t="s">
        <v>18111</v>
      </c>
      <c r="E2918" t="s">
        <v>20854</v>
      </c>
      <c r="F2918" t="s">
        <v>31362</v>
      </c>
      <c r="G2918" t="s">
        <v>31368</v>
      </c>
      <c r="H2918" t="s">
        <v>15799</v>
      </c>
      <c r="I2918" t="s">
        <v>31387</v>
      </c>
      <c r="J2918" t="s">
        <v>33486</v>
      </c>
      <c r="K2918" t="s">
        <v>40661</v>
      </c>
      <c r="M2918" t="s">
        <v>42117</v>
      </c>
      <c r="N2918" t="s">
        <v>44905</v>
      </c>
      <c r="O2918" t="s">
        <v>44906</v>
      </c>
      <c r="P2918">
        <v>0</v>
      </c>
      <c r="Q2918">
        <v>2</v>
      </c>
      <c r="R2918" t="s">
        <v>44908</v>
      </c>
      <c r="S2918" t="s">
        <v>45042</v>
      </c>
      <c r="T2918" t="s">
        <v>46432</v>
      </c>
      <c r="U2918" t="s">
        <v>49334</v>
      </c>
      <c r="W2918" t="s">
        <v>42117</v>
      </c>
      <c r="X2918" t="s">
        <v>44909</v>
      </c>
    </row>
    <row r="2919" spans="1:24">
      <c r="A2919">
        <f>HYPERLINK("https://www.philgeps.gov.ph/GEPSNONPILOT/Tender/SplashBidNoticeAbstractUI.aspx?menuIndex=3&amp;refID=7079201&amp;Result=3","7079201")</f>
        <v>0</v>
      </c>
      <c r="B2919" t="s">
        <v>834</v>
      </c>
      <c r="C2919" t="s">
        <v>5189</v>
      </c>
      <c r="D2919" t="s">
        <v>18108</v>
      </c>
      <c r="E2919" t="s">
        <v>20855</v>
      </c>
      <c r="F2919" t="s">
        <v>31362</v>
      </c>
      <c r="G2919" t="s">
        <v>31368</v>
      </c>
      <c r="H2919" t="s">
        <v>15799</v>
      </c>
      <c r="I2919" t="s">
        <v>31422</v>
      </c>
      <c r="J2919" t="s">
        <v>31536</v>
      </c>
      <c r="K2919" t="s">
        <v>40661</v>
      </c>
      <c r="M2919" t="s">
        <v>42118</v>
      </c>
      <c r="N2919" t="s">
        <v>44905</v>
      </c>
      <c r="O2919" t="s">
        <v>44906</v>
      </c>
      <c r="P2919">
        <v>0</v>
      </c>
      <c r="Q2919">
        <v>6</v>
      </c>
      <c r="R2919" t="s">
        <v>44908</v>
      </c>
      <c r="S2919" t="s">
        <v>45042</v>
      </c>
      <c r="T2919" t="s">
        <v>46400</v>
      </c>
      <c r="U2919" t="s">
        <v>49335</v>
      </c>
      <c r="V2919" t="s">
        <v>59376</v>
      </c>
      <c r="W2919" t="s">
        <v>42118</v>
      </c>
      <c r="X2919" t="s">
        <v>44909</v>
      </c>
    </row>
    <row r="2920" spans="1:24">
      <c r="A2920">
        <f>HYPERLINK("https://www.philgeps.gov.ph/GEPSNONPILOT/Tender/SplashBidNoticeAbstractUI.aspx?menuIndex=3&amp;refID=7079200&amp;Result=3","7079200")</f>
        <v>0</v>
      </c>
      <c r="B2920" t="s">
        <v>993</v>
      </c>
      <c r="C2920" t="s">
        <v>6318</v>
      </c>
      <c r="D2920" t="s">
        <v>18103</v>
      </c>
      <c r="E2920" t="s">
        <v>20824</v>
      </c>
      <c r="F2920" t="s">
        <v>31362</v>
      </c>
      <c r="G2920" t="s">
        <v>31369</v>
      </c>
      <c r="H2920" t="s">
        <v>31378</v>
      </c>
      <c r="I2920" t="s">
        <v>31386</v>
      </c>
      <c r="J2920" t="s">
        <v>33487</v>
      </c>
      <c r="K2920" t="s">
        <v>40678</v>
      </c>
      <c r="M2920" t="s">
        <v>41988</v>
      </c>
      <c r="N2920" t="s">
        <v>44905</v>
      </c>
      <c r="O2920" t="s">
        <v>44906</v>
      </c>
      <c r="P2920">
        <v>0</v>
      </c>
      <c r="Q2920">
        <v>0</v>
      </c>
      <c r="R2920" t="s">
        <v>44908</v>
      </c>
      <c r="S2920" t="s">
        <v>45042</v>
      </c>
      <c r="T2920" t="s">
        <v>46522</v>
      </c>
      <c r="U2920" t="s">
        <v>49053</v>
      </c>
      <c r="W2920" t="s">
        <v>41988</v>
      </c>
      <c r="X2920" t="s">
        <v>44909</v>
      </c>
    </row>
    <row r="2921" spans="1:24">
      <c r="A2921">
        <f>HYPERLINK("https://www.philgeps.gov.ph/GEPSNONPILOT/Tender/SplashBidNoticeAbstractUI.aspx?menuIndex=3&amp;refID=7079198&amp;Result=3","7079198")</f>
        <v>0</v>
      </c>
      <c r="B2921" t="s">
        <v>1113</v>
      </c>
      <c r="C2921" t="s">
        <v>6319</v>
      </c>
      <c r="D2921" t="s">
        <v>18102</v>
      </c>
      <c r="E2921" t="s">
        <v>20856</v>
      </c>
      <c r="F2921" t="s">
        <v>31362</v>
      </c>
      <c r="G2921" t="s">
        <v>31368</v>
      </c>
      <c r="H2921" t="s">
        <v>15799</v>
      </c>
      <c r="I2921" t="s">
        <v>3582</v>
      </c>
      <c r="J2921" t="s">
        <v>33488</v>
      </c>
      <c r="K2921" t="s">
        <v>40661</v>
      </c>
      <c r="M2921" t="s">
        <v>42119</v>
      </c>
      <c r="N2921" t="s">
        <v>44905</v>
      </c>
      <c r="O2921" t="s">
        <v>44906</v>
      </c>
      <c r="P2921">
        <v>0</v>
      </c>
      <c r="Q2921">
        <v>0</v>
      </c>
      <c r="R2921" t="s">
        <v>44908</v>
      </c>
      <c r="S2921" t="s">
        <v>45042</v>
      </c>
      <c r="T2921" t="s">
        <v>46470</v>
      </c>
      <c r="U2921" t="s">
        <v>49336</v>
      </c>
      <c r="W2921" t="s">
        <v>42119</v>
      </c>
      <c r="X2921" t="s">
        <v>44909</v>
      </c>
    </row>
    <row r="2922" spans="1:24">
      <c r="A2922">
        <f>HYPERLINK("https://www.philgeps.gov.ph/GEPSNONPILOT/Tender/SplashBidNoticeAbstractUI.aspx?menuIndex=3&amp;refID=7079195&amp;Result=3","7079195")</f>
        <v>0</v>
      </c>
      <c r="B2922" t="s">
        <v>1035</v>
      </c>
      <c r="C2922" t="s">
        <v>6320</v>
      </c>
      <c r="D2922" t="s">
        <v>18148</v>
      </c>
      <c r="E2922" t="s">
        <v>20857</v>
      </c>
      <c r="F2922" t="s">
        <v>31362</v>
      </c>
      <c r="G2922" t="s">
        <v>31370</v>
      </c>
      <c r="H2922" t="s">
        <v>15799</v>
      </c>
      <c r="I2922" t="s">
        <v>6240</v>
      </c>
      <c r="J2922" t="s">
        <v>33489</v>
      </c>
      <c r="K2922" t="s">
        <v>40662</v>
      </c>
      <c r="M2922" t="s">
        <v>42034</v>
      </c>
      <c r="N2922" t="s">
        <v>44905</v>
      </c>
      <c r="O2922" t="s">
        <v>44906</v>
      </c>
      <c r="P2922">
        <v>0</v>
      </c>
      <c r="Q2922">
        <v>0</v>
      </c>
      <c r="R2922" t="s">
        <v>44908</v>
      </c>
      <c r="S2922" t="s">
        <v>45042</v>
      </c>
      <c r="T2922" t="s">
        <v>46628</v>
      </c>
      <c r="U2922" t="s">
        <v>47665</v>
      </c>
      <c r="W2922" t="s">
        <v>42034</v>
      </c>
      <c r="X2922" t="s">
        <v>44909</v>
      </c>
    </row>
    <row r="2923" spans="1:24">
      <c r="A2923">
        <f>HYPERLINK("https://www.philgeps.gov.ph/GEPSNONPILOT/Tender/SplashBidNoticeAbstractUI.aspx?menuIndex=3&amp;refID=7079092&amp;Result=3","7079092")</f>
        <v>0</v>
      </c>
      <c r="B2923" t="s">
        <v>1114</v>
      </c>
      <c r="C2923" t="s">
        <v>6321</v>
      </c>
      <c r="D2923" t="s">
        <v>18109</v>
      </c>
      <c r="E2923" t="s">
        <v>20858</v>
      </c>
      <c r="F2923" t="s">
        <v>31362</v>
      </c>
      <c r="G2923" t="s">
        <v>31368</v>
      </c>
      <c r="H2923" t="s">
        <v>15799</v>
      </c>
      <c r="I2923" t="s">
        <v>31385</v>
      </c>
      <c r="J2923" t="s">
        <v>33490</v>
      </c>
      <c r="K2923" t="s">
        <v>40666</v>
      </c>
      <c r="M2923" t="s">
        <v>42120</v>
      </c>
      <c r="N2923" t="s">
        <v>44905</v>
      </c>
      <c r="O2923" t="s">
        <v>44906</v>
      </c>
      <c r="P2923">
        <v>0</v>
      </c>
      <c r="Q2923">
        <v>9</v>
      </c>
      <c r="R2923" t="s">
        <v>44908</v>
      </c>
      <c r="S2923" t="s">
        <v>45042</v>
      </c>
      <c r="T2923" t="s">
        <v>46409</v>
      </c>
      <c r="U2923" t="s">
        <v>49337</v>
      </c>
      <c r="V2923" t="s">
        <v>59377</v>
      </c>
      <c r="W2923" t="s">
        <v>42120</v>
      </c>
      <c r="X2923" t="s">
        <v>44909</v>
      </c>
    </row>
    <row r="2924" spans="1:24">
      <c r="A2924">
        <f>HYPERLINK("https://www.philgeps.gov.ph/GEPSNONPILOT/Tender/SplashBidNoticeAbstractUI.aspx?menuIndex=3&amp;refID=7079203&amp;Result=3","7079203")</f>
        <v>0</v>
      </c>
      <c r="B2924" t="s">
        <v>1115</v>
      </c>
      <c r="C2924" t="s">
        <v>6322</v>
      </c>
      <c r="D2924" t="s">
        <v>18104</v>
      </c>
      <c r="E2924" t="s">
        <v>20859</v>
      </c>
      <c r="F2924" t="s">
        <v>31362</v>
      </c>
      <c r="G2924" t="s">
        <v>31372</v>
      </c>
      <c r="H2924" t="s">
        <v>15799</v>
      </c>
      <c r="I2924" t="s">
        <v>31404</v>
      </c>
      <c r="J2924" t="s">
        <v>33491</v>
      </c>
      <c r="K2924" t="s">
        <v>40712</v>
      </c>
      <c r="M2924" t="s">
        <v>42121</v>
      </c>
      <c r="N2924" t="s">
        <v>44905</v>
      </c>
      <c r="O2924" t="s">
        <v>44906</v>
      </c>
      <c r="P2924">
        <v>0</v>
      </c>
      <c r="Q2924">
        <v>0</v>
      </c>
      <c r="R2924" t="s">
        <v>44908</v>
      </c>
      <c r="S2924" t="s">
        <v>45042</v>
      </c>
      <c r="T2924" t="s">
        <v>46470</v>
      </c>
      <c r="U2924" t="s">
        <v>49338</v>
      </c>
      <c r="V2924" t="s">
        <v>59378</v>
      </c>
      <c r="W2924" t="s">
        <v>42121</v>
      </c>
      <c r="X2924" t="s">
        <v>44909</v>
      </c>
    </row>
    <row r="2925" spans="1:24">
      <c r="A2925">
        <f>HYPERLINK("https://www.philgeps.gov.ph/GEPSNONPILOT/Tender/SplashBidNoticeAbstractUI.aspx?menuIndex=3&amp;refID=7079158&amp;Result=3","7079158")</f>
        <v>0</v>
      </c>
      <c r="B2925" t="s">
        <v>1100</v>
      </c>
      <c r="C2925" t="s">
        <v>6323</v>
      </c>
      <c r="D2925" t="s">
        <v>18100</v>
      </c>
      <c r="E2925" t="s">
        <v>20860</v>
      </c>
      <c r="F2925" t="s">
        <v>31362</v>
      </c>
      <c r="G2925" t="s">
        <v>31369</v>
      </c>
      <c r="H2925" t="s">
        <v>15799</v>
      </c>
      <c r="I2925" t="s">
        <v>4283</v>
      </c>
      <c r="J2925" t="s">
        <v>32173</v>
      </c>
      <c r="K2925" t="s">
        <v>40672</v>
      </c>
      <c r="M2925" t="s">
        <v>42105</v>
      </c>
      <c r="N2925" t="s">
        <v>44905</v>
      </c>
      <c r="O2925" t="s">
        <v>44906</v>
      </c>
      <c r="P2925">
        <v>0</v>
      </c>
      <c r="Q2925">
        <v>3</v>
      </c>
      <c r="R2925" t="s">
        <v>44908</v>
      </c>
      <c r="S2925" t="s">
        <v>45042</v>
      </c>
      <c r="T2925" t="s">
        <v>46559</v>
      </c>
      <c r="U2925" t="s">
        <v>49339</v>
      </c>
      <c r="W2925" t="s">
        <v>42105</v>
      </c>
      <c r="X2925" t="s">
        <v>44909</v>
      </c>
    </row>
    <row r="2926" spans="1:24">
      <c r="A2926">
        <f>HYPERLINK("https://www.philgeps.gov.ph/GEPSNONPILOT/Tender/SplashBidNoticeAbstractUI.aspx?menuIndex=3&amp;refID=7079188&amp;Result=3","7079188")</f>
        <v>0</v>
      </c>
      <c r="B2926" t="s">
        <v>1067</v>
      </c>
      <c r="C2926" t="s">
        <v>6324</v>
      </c>
      <c r="D2926" t="s">
        <v>18116</v>
      </c>
      <c r="E2926" t="s">
        <v>20861</v>
      </c>
      <c r="F2926" t="s">
        <v>31362</v>
      </c>
      <c r="G2926" t="s">
        <v>31368</v>
      </c>
      <c r="H2926" t="s">
        <v>15799</v>
      </c>
      <c r="I2926" t="s">
        <v>31394</v>
      </c>
      <c r="J2926" t="s">
        <v>31564</v>
      </c>
      <c r="K2926" t="s">
        <v>40665</v>
      </c>
      <c r="M2926" t="s">
        <v>42069</v>
      </c>
      <c r="N2926" t="s">
        <v>44905</v>
      </c>
      <c r="O2926" t="s">
        <v>44906</v>
      </c>
      <c r="P2926">
        <v>0</v>
      </c>
      <c r="Q2926">
        <v>2</v>
      </c>
      <c r="R2926" t="s">
        <v>44908</v>
      </c>
      <c r="S2926" t="s">
        <v>45042</v>
      </c>
      <c r="T2926" t="s">
        <v>46434</v>
      </c>
      <c r="U2926" t="s">
        <v>49340</v>
      </c>
      <c r="W2926" t="s">
        <v>42069</v>
      </c>
      <c r="X2926" t="s">
        <v>44909</v>
      </c>
    </row>
    <row r="2927" spans="1:24">
      <c r="A2927">
        <f>HYPERLINK("https://www.philgeps.gov.ph/GEPSNONPILOT/Tender/SplashBidNoticeAbstractUI.aspx?menuIndex=3&amp;refID=7079187&amp;Result=3","7079187")</f>
        <v>0</v>
      </c>
      <c r="B2927" t="s">
        <v>1116</v>
      </c>
      <c r="C2927" t="s">
        <v>6325</v>
      </c>
      <c r="D2927" t="s">
        <v>18153</v>
      </c>
      <c r="E2927" t="s">
        <v>20862</v>
      </c>
      <c r="F2927" t="s">
        <v>31362</v>
      </c>
      <c r="G2927" t="s">
        <v>31369</v>
      </c>
      <c r="H2927" t="s">
        <v>15799</v>
      </c>
      <c r="I2927" t="s">
        <v>31393</v>
      </c>
      <c r="J2927" t="s">
        <v>33227</v>
      </c>
      <c r="K2927" t="s">
        <v>40662</v>
      </c>
      <c r="M2927" t="s">
        <v>42122</v>
      </c>
      <c r="N2927" t="s">
        <v>44905</v>
      </c>
      <c r="O2927" t="s">
        <v>44906</v>
      </c>
      <c r="P2927">
        <v>0</v>
      </c>
      <c r="Q2927">
        <v>1</v>
      </c>
      <c r="R2927" t="s">
        <v>44908</v>
      </c>
      <c r="S2927" t="s">
        <v>45042</v>
      </c>
      <c r="T2927" t="s">
        <v>46396</v>
      </c>
      <c r="U2927" t="s">
        <v>49341</v>
      </c>
      <c r="W2927" t="s">
        <v>60882</v>
      </c>
      <c r="X2927" t="s">
        <v>44909</v>
      </c>
    </row>
    <row r="2928" spans="1:24">
      <c r="A2928">
        <f>HYPERLINK("https://www.philgeps.gov.ph/GEPSNONPILOT/Tender/SplashBidNoticeAbstractUI.aspx?menuIndex=3&amp;refID=7079184&amp;Result=3","7079184")</f>
        <v>0</v>
      </c>
      <c r="B2928" t="s">
        <v>260</v>
      </c>
      <c r="C2928" t="s">
        <v>6156</v>
      </c>
      <c r="D2928" t="s">
        <v>18138</v>
      </c>
      <c r="E2928" t="s">
        <v>20863</v>
      </c>
      <c r="F2928" t="s">
        <v>31362</v>
      </c>
      <c r="G2928" t="s">
        <v>31368</v>
      </c>
      <c r="H2928" t="s">
        <v>15799</v>
      </c>
      <c r="I2928" t="s">
        <v>31455</v>
      </c>
      <c r="J2928" t="s">
        <v>31734</v>
      </c>
      <c r="K2928" t="s">
        <v>40662</v>
      </c>
      <c r="M2928" t="s">
        <v>41201</v>
      </c>
      <c r="N2928" t="s">
        <v>44905</v>
      </c>
      <c r="O2928" t="s">
        <v>44906</v>
      </c>
      <c r="P2928">
        <v>0</v>
      </c>
      <c r="Q2928">
        <v>0</v>
      </c>
      <c r="R2928" t="s">
        <v>44908</v>
      </c>
      <c r="S2928" t="s">
        <v>45042</v>
      </c>
      <c r="T2928" t="s">
        <v>46414</v>
      </c>
      <c r="U2928" t="s">
        <v>49190</v>
      </c>
      <c r="W2928" t="s">
        <v>41201</v>
      </c>
      <c r="X2928" t="s">
        <v>44909</v>
      </c>
    </row>
    <row r="2929" spans="1:24">
      <c r="A2929">
        <f>HYPERLINK("https://www.philgeps.gov.ph/GEPSNONPILOT/Tender/SplashBidNoticeAbstractUI.aspx?menuIndex=3&amp;refID=7079182&amp;Result=3","7079182")</f>
        <v>0</v>
      </c>
      <c r="B2929" t="s">
        <v>1117</v>
      </c>
      <c r="C2929" t="s">
        <v>6326</v>
      </c>
      <c r="D2929" t="s">
        <v>18177</v>
      </c>
      <c r="E2929" t="s">
        <v>20864</v>
      </c>
      <c r="F2929" t="s">
        <v>31362</v>
      </c>
      <c r="G2929" t="s">
        <v>31368</v>
      </c>
      <c r="H2929" t="s">
        <v>15799</v>
      </c>
      <c r="I2929" t="s">
        <v>31385</v>
      </c>
      <c r="J2929" t="s">
        <v>32165</v>
      </c>
      <c r="K2929" t="s">
        <v>40697</v>
      </c>
      <c r="M2929" t="s">
        <v>42123</v>
      </c>
      <c r="N2929" t="s">
        <v>44905</v>
      </c>
      <c r="O2929" t="s">
        <v>44906</v>
      </c>
      <c r="P2929">
        <v>0</v>
      </c>
      <c r="Q2929">
        <v>1</v>
      </c>
      <c r="R2929" t="s">
        <v>44908</v>
      </c>
      <c r="S2929" t="s">
        <v>45042</v>
      </c>
      <c r="T2929" t="s">
        <v>46467</v>
      </c>
      <c r="U2929" t="s">
        <v>49342</v>
      </c>
      <c r="W2929" t="s">
        <v>42123</v>
      </c>
      <c r="X2929" t="s">
        <v>44909</v>
      </c>
    </row>
    <row r="2930" spans="1:24">
      <c r="A2930">
        <f>HYPERLINK("https://www.philgeps.gov.ph/GEPSNONPILOT/Tender/SplashBidNoticeAbstractUI.aspx?menuIndex=3&amp;refID=7079181&amp;Result=3","7079181")</f>
        <v>0</v>
      </c>
      <c r="B2930" t="s">
        <v>1118</v>
      </c>
      <c r="C2930" t="s">
        <v>6327</v>
      </c>
      <c r="D2930" t="s">
        <v>18106</v>
      </c>
      <c r="E2930" t="s">
        <v>20865</v>
      </c>
      <c r="F2930" t="s">
        <v>31362</v>
      </c>
      <c r="G2930" t="s">
        <v>31368</v>
      </c>
      <c r="H2930" t="s">
        <v>15799</v>
      </c>
      <c r="I2930" t="s">
        <v>31385</v>
      </c>
      <c r="J2930" t="s">
        <v>33492</v>
      </c>
      <c r="K2930" t="s">
        <v>40673</v>
      </c>
      <c r="M2930" t="s">
        <v>42124</v>
      </c>
      <c r="N2930" t="s">
        <v>44905</v>
      </c>
      <c r="O2930" t="s">
        <v>44906</v>
      </c>
      <c r="P2930">
        <v>0</v>
      </c>
      <c r="Q2930">
        <v>2</v>
      </c>
      <c r="R2930" t="s">
        <v>44908</v>
      </c>
      <c r="S2930" t="s">
        <v>45042</v>
      </c>
      <c r="T2930" t="s">
        <v>46447</v>
      </c>
      <c r="U2930" t="s">
        <v>49343</v>
      </c>
      <c r="W2930" t="s">
        <v>42124</v>
      </c>
      <c r="X2930" t="s">
        <v>44909</v>
      </c>
    </row>
    <row r="2931" spans="1:24">
      <c r="A2931">
        <f>HYPERLINK("https://www.philgeps.gov.ph/GEPSNONPILOT/Tender/SplashBidNoticeAbstractUI.aspx?menuIndex=3&amp;refID=7079193&amp;Result=3","7079193")</f>
        <v>0</v>
      </c>
      <c r="B2931" t="s">
        <v>1115</v>
      </c>
      <c r="C2931" t="s">
        <v>6328</v>
      </c>
      <c r="D2931" t="s">
        <v>18104</v>
      </c>
      <c r="E2931" t="s">
        <v>20866</v>
      </c>
      <c r="F2931" t="s">
        <v>31362</v>
      </c>
      <c r="G2931" t="s">
        <v>31368</v>
      </c>
      <c r="H2931" t="s">
        <v>15799</v>
      </c>
      <c r="I2931" t="s">
        <v>31414</v>
      </c>
      <c r="J2931" t="s">
        <v>31531</v>
      </c>
      <c r="K2931" t="s">
        <v>40670</v>
      </c>
      <c r="M2931" t="s">
        <v>42121</v>
      </c>
      <c r="N2931" t="s">
        <v>44905</v>
      </c>
      <c r="O2931" t="s">
        <v>44906</v>
      </c>
      <c r="P2931">
        <v>0</v>
      </c>
      <c r="Q2931">
        <v>1</v>
      </c>
      <c r="R2931" t="s">
        <v>44908</v>
      </c>
      <c r="S2931" t="s">
        <v>45042</v>
      </c>
      <c r="T2931" t="s">
        <v>46470</v>
      </c>
      <c r="U2931" t="s">
        <v>49344</v>
      </c>
      <c r="V2931" t="s">
        <v>59378</v>
      </c>
      <c r="W2931" t="s">
        <v>42121</v>
      </c>
      <c r="X2931" t="s">
        <v>44909</v>
      </c>
    </row>
    <row r="2932" spans="1:24">
      <c r="A2932">
        <f>HYPERLINK("https://www.philgeps.gov.ph/GEPSNONPILOT/Tender/SplashBidNoticeAbstractUI.aspx?menuIndex=3&amp;refID=7079179&amp;Result=3","7079179")</f>
        <v>0</v>
      </c>
      <c r="B2932" t="s">
        <v>1119</v>
      </c>
      <c r="C2932" t="s">
        <v>6329</v>
      </c>
      <c r="E2932" t="s">
        <v>20867</v>
      </c>
      <c r="F2932" t="s">
        <v>31362</v>
      </c>
      <c r="G2932" t="s">
        <v>31368</v>
      </c>
      <c r="H2932" t="s">
        <v>31377</v>
      </c>
      <c r="I2932" t="s">
        <v>31377</v>
      </c>
      <c r="J2932" t="s">
        <v>31891</v>
      </c>
      <c r="K2932" t="s">
        <v>40662</v>
      </c>
      <c r="M2932" t="s">
        <v>42125</v>
      </c>
      <c r="N2932" t="s">
        <v>44905</v>
      </c>
      <c r="O2932" t="s">
        <v>44906</v>
      </c>
      <c r="P2932">
        <v>0</v>
      </c>
      <c r="Q2932">
        <v>3</v>
      </c>
      <c r="R2932" t="s">
        <v>44908</v>
      </c>
      <c r="S2932" t="s">
        <v>45042</v>
      </c>
      <c r="T2932" t="s">
        <v>46580</v>
      </c>
      <c r="U2932" t="s">
        <v>49345</v>
      </c>
      <c r="W2932" t="s">
        <v>42125</v>
      </c>
      <c r="X2932" t="s">
        <v>44909</v>
      </c>
    </row>
    <row r="2933" spans="1:24">
      <c r="A2933">
        <f>HYPERLINK("https://www.philgeps.gov.ph/GEPSNONPILOT/Tender/SplashBidNoticeAbstractUI.aspx?menuIndex=3&amp;refID=7079178&amp;Result=3","7079178")</f>
        <v>0</v>
      </c>
      <c r="B2933" t="s">
        <v>1120</v>
      </c>
      <c r="C2933" t="s">
        <v>4462</v>
      </c>
      <c r="D2933" t="s">
        <v>18111</v>
      </c>
      <c r="E2933" t="s">
        <v>20868</v>
      </c>
      <c r="F2933" t="s">
        <v>31362</v>
      </c>
      <c r="G2933" t="s">
        <v>31370</v>
      </c>
      <c r="H2933" t="s">
        <v>15799</v>
      </c>
      <c r="I2933" t="s">
        <v>6373</v>
      </c>
      <c r="J2933" t="s">
        <v>33493</v>
      </c>
      <c r="K2933" t="s">
        <v>40670</v>
      </c>
      <c r="M2933" t="s">
        <v>42126</v>
      </c>
      <c r="N2933" t="s">
        <v>44905</v>
      </c>
      <c r="O2933" t="s">
        <v>44906</v>
      </c>
      <c r="P2933">
        <v>0</v>
      </c>
      <c r="Q2933">
        <v>1</v>
      </c>
      <c r="R2933" t="s">
        <v>44908</v>
      </c>
      <c r="S2933" t="s">
        <v>45042</v>
      </c>
      <c r="T2933" t="s">
        <v>46443</v>
      </c>
      <c r="U2933" t="s">
        <v>47761</v>
      </c>
      <c r="W2933" t="s">
        <v>42126</v>
      </c>
      <c r="X2933" t="s">
        <v>44909</v>
      </c>
    </row>
    <row r="2934" spans="1:24">
      <c r="A2934">
        <f>HYPERLINK("https://www.philgeps.gov.ph/GEPSNONPILOT/Tender/SplashBidNoticeAbstractUI.aspx?menuIndex=3&amp;refID=7079196&amp;Result=3","7079196")</f>
        <v>0</v>
      </c>
      <c r="B2934" t="s">
        <v>267</v>
      </c>
      <c r="C2934" t="s">
        <v>6330</v>
      </c>
      <c r="D2934" t="s">
        <v>18154</v>
      </c>
      <c r="E2934" t="s">
        <v>20869</v>
      </c>
      <c r="F2934" t="s">
        <v>31362</v>
      </c>
      <c r="G2934" t="s">
        <v>31368</v>
      </c>
      <c r="H2934" t="s">
        <v>15799</v>
      </c>
      <c r="I2934" t="s">
        <v>31404</v>
      </c>
      <c r="J2934" t="s">
        <v>33494</v>
      </c>
      <c r="K2934" t="s">
        <v>40661</v>
      </c>
      <c r="M2934" t="s">
        <v>41208</v>
      </c>
      <c r="N2934" t="s">
        <v>44905</v>
      </c>
      <c r="O2934" t="s">
        <v>44906</v>
      </c>
      <c r="P2934">
        <v>0</v>
      </c>
      <c r="Q2934">
        <v>0</v>
      </c>
      <c r="R2934" t="s">
        <v>44908</v>
      </c>
      <c r="S2934" t="s">
        <v>45042</v>
      </c>
      <c r="T2934" t="s">
        <v>46447</v>
      </c>
      <c r="U2934" t="s">
        <v>49346</v>
      </c>
      <c r="W2934" t="s">
        <v>41208</v>
      </c>
      <c r="X2934" t="s">
        <v>44909</v>
      </c>
    </row>
    <row r="2935" spans="1:24">
      <c r="A2935">
        <f>HYPERLINK("https://www.philgeps.gov.ph/GEPSNONPILOT/Tender/SplashBidNoticeAbstractUI.aspx?menuIndex=3&amp;refID=7079098&amp;Result=3","7079098")</f>
        <v>0</v>
      </c>
      <c r="B2935" t="s">
        <v>976</v>
      </c>
      <c r="C2935" t="s">
        <v>6331</v>
      </c>
      <c r="D2935" t="s">
        <v>18158</v>
      </c>
      <c r="E2935" t="s">
        <v>20870</v>
      </c>
      <c r="F2935" t="s">
        <v>31363</v>
      </c>
      <c r="G2935" t="s">
        <v>31370</v>
      </c>
      <c r="H2935" t="s">
        <v>15799</v>
      </c>
      <c r="I2935" t="s">
        <v>31380</v>
      </c>
      <c r="J2935" t="s">
        <v>33495</v>
      </c>
      <c r="K2935" t="s">
        <v>40670</v>
      </c>
      <c r="M2935" t="s">
        <v>41966</v>
      </c>
      <c r="N2935" t="s">
        <v>44905</v>
      </c>
      <c r="O2935" t="s">
        <v>44906</v>
      </c>
      <c r="P2935">
        <v>0</v>
      </c>
      <c r="Q2935">
        <v>9</v>
      </c>
      <c r="R2935" t="s">
        <v>44908</v>
      </c>
      <c r="S2935" t="s">
        <v>45042</v>
      </c>
      <c r="T2935" t="s">
        <v>46479</v>
      </c>
      <c r="U2935" t="s">
        <v>49347</v>
      </c>
      <c r="W2935" t="s">
        <v>41966</v>
      </c>
      <c r="X2935" t="s">
        <v>44909</v>
      </c>
    </row>
    <row r="2936" spans="1:24">
      <c r="A2936">
        <f>HYPERLINK("https://www.philgeps.gov.ph/GEPSNONPILOT/Tender/SplashBidNoticeAbstractUI.aspx?menuIndex=3&amp;refID=7079185&amp;Result=3","7079185")</f>
        <v>0</v>
      </c>
      <c r="B2936" t="s">
        <v>1121</v>
      </c>
      <c r="C2936" t="s">
        <v>6332</v>
      </c>
      <c r="D2936" t="s">
        <v>18169</v>
      </c>
      <c r="E2936" t="s">
        <v>20871</v>
      </c>
      <c r="F2936" t="s">
        <v>31362</v>
      </c>
      <c r="G2936" t="s">
        <v>31370</v>
      </c>
      <c r="H2936" t="s">
        <v>15799</v>
      </c>
      <c r="I2936" t="s">
        <v>31389</v>
      </c>
      <c r="J2936" t="s">
        <v>33496</v>
      </c>
      <c r="K2936" t="s">
        <v>40666</v>
      </c>
      <c r="M2936" t="s">
        <v>42127</v>
      </c>
      <c r="N2936" t="s">
        <v>44905</v>
      </c>
      <c r="O2936" t="s">
        <v>44906</v>
      </c>
      <c r="P2936">
        <v>0</v>
      </c>
      <c r="Q2936">
        <v>4</v>
      </c>
      <c r="R2936" t="s">
        <v>44908</v>
      </c>
      <c r="S2936" t="s">
        <v>45042</v>
      </c>
      <c r="T2936" t="s">
        <v>46480</v>
      </c>
      <c r="U2936" t="s">
        <v>49348</v>
      </c>
      <c r="W2936" t="s">
        <v>42127</v>
      </c>
      <c r="X2936" t="s">
        <v>44909</v>
      </c>
    </row>
    <row r="2937" spans="1:24">
      <c r="A2937">
        <f>HYPERLINK("https://www.philgeps.gov.ph/GEPSNONPILOT/Tender/SplashBidNoticeAbstractUI.aspx?menuIndex=3&amp;refID=7079209&amp;Result=3","7079209")</f>
        <v>0</v>
      </c>
      <c r="B2937" t="s">
        <v>832</v>
      </c>
      <c r="C2937" t="s">
        <v>6333</v>
      </c>
      <c r="E2937" t="s">
        <v>20872</v>
      </c>
      <c r="F2937" t="s">
        <v>31362</v>
      </c>
      <c r="G2937" t="s">
        <v>31368</v>
      </c>
      <c r="H2937" t="s">
        <v>15799</v>
      </c>
      <c r="I2937" t="s">
        <v>31382</v>
      </c>
      <c r="J2937" t="s">
        <v>32549</v>
      </c>
      <c r="K2937" t="s">
        <v>40662</v>
      </c>
      <c r="M2937" t="s">
        <v>42128</v>
      </c>
      <c r="N2937" t="s">
        <v>44905</v>
      </c>
      <c r="O2937" t="s">
        <v>44906</v>
      </c>
      <c r="P2937">
        <v>0</v>
      </c>
      <c r="Q2937">
        <v>26</v>
      </c>
      <c r="R2937" t="s">
        <v>44908</v>
      </c>
      <c r="S2937" t="s">
        <v>45042</v>
      </c>
      <c r="T2937" t="s">
        <v>46414</v>
      </c>
      <c r="U2937" t="s">
        <v>49349</v>
      </c>
      <c r="W2937" t="s">
        <v>42128</v>
      </c>
      <c r="X2937" t="s">
        <v>44909</v>
      </c>
    </row>
    <row r="2938" spans="1:24">
      <c r="A2938">
        <f>HYPERLINK("https://www.philgeps.gov.ph/GEPSNONPILOT/Tender/SplashBidNoticeAbstractUI.aspx?menuIndex=3&amp;refID=7079208&amp;Result=3","7079208")</f>
        <v>0</v>
      </c>
      <c r="B2938" t="s">
        <v>1122</v>
      </c>
      <c r="C2938" t="s">
        <v>6334</v>
      </c>
      <c r="D2938" t="s">
        <v>18113</v>
      </c>
      <c r="E2938" t="s">
        <v>20873</v>
      </c>
      <c r="F2938" t="s">
        <v>31362</v>
      </c>
      <c r="G2938" t="s">
        <v>31368</v>
      </c>
      <c r="H2938" t="s">
        <v>15799</v>
      </c>
      <c r="I2938" t="s">
        <v>4057</v>
      </c>
      <c r="J2938" t="s">
        <v>33445</v>
      </c>
      <c r="K2938" t="s">
        <v>40665</v>
      </c>
      <c r="M2938" t="s">
        <v>42129</v>
      </c>
      <c r="N2938" t="s">
        <v>44905</v>
      </c>
      <c r="O2938" t="s">
        <v>44906</v>
      </c>
      <c r="P2938">
        <v>0</v>
      </c>
      <c r="Q2938">
        <v>0</v>
      </c>
      <c r="R2938" t="s">
        <v>44908</v>
      </c>
      <c r="S2938" t="s">
        <v>45042</v>
      </c>
      <c r="T2938" t="s">
        <v>46483</v>
      </c>
      <c r="U2938" t="s">
        <v>49350</v>
      </c>
      <c r="W2938" t="s">
        <v>42129</v>
      </c>
      <c r="X2938" t="s">
        <v>44909</v>
      </c>
    </row>
    <row r="2939" spans="1:24">
      <c r="A2939">
        <f>HYPERLINK("https://www.philgeps.gov.ph/GEPSNONPILOT/Tender/SplashBidNoticeAbstractUI.aspx?menuIndex=3&amp;refID=7079233&amp;Result=3","7079233")</f>
        <v>0</v>
      </c>
      <c r="B2939" t="s">
        <v>993</v>
      </c>
      <c r="C2939" t="s">
        <v>6335</v>
      </c>
      <c r="D2939" t="s">
        <v>18103</v>
      </c>
      <c r="E2939" t="s">
        <v>20824</v>
      </c>
      <c r="F2939" t="s">
        <v>31362</v>
      </c>
      <c r="G2939" t="s">
        <v>31369</v>
      </c>
      <c r="H2939" t="s">
        <v>31378</v>
      </c>
      <c r="I2939" t="s">
        <v>31386</v>
      </c>
      <c r="J2939" t="s">
        <v>33497</v>
      </c>
      <c r="K2939" t="s">
        <v>40683</v>
      </c>
      <c r="M2939" t="s">
        <v>41988</v>
      </c>
      <c r="N2939" t="s">
        <v>44905</v>
      </c>
      <c r="O2939" t="s">
        <v>44906</v>
      </c>
      <c r="P2939">
        <v>0</v>
      </c>
      <c r="Q2939">
        <v>1</v>
      </c>
      <c r="R2939" t="s">
        <v>44908</v>
      </c>
      <c r="S2939" t="s">
        <v>45042</v>
      </c>
      <c r="T2939" t="s">
        <v>46522</v>
      </c>
      <c r="U2939" t="s">
        <v>49053</v>
      </c>
      <c r="W2939" t="s">
        <v>41988</v>
      </c>
      <c r="X2939" t="s">
        <v>44909</v>
      </c>
    </row>
    <row r="2940" spans="1:24">
      <c r="A2940">
        <f>HYPERLINK("https://www.philgeps.gov.ph/GEPSNONPILOT/Tender/SplashBidNoticeAbstractUI.aspx?menuIndex=3&amp;refID=7079232&amp;Result=3","7079232")</f>
        <v>0</v>
      </c>
      <c r="B2940" t="s">
        <v>1033</v>
      </c>
      <c r="C2940" t="s">
        <v>6336</v>
      </c>
      <c r="D2940" t="s">
        <v>18162</v>
      </c>
      <c r="E2940" t="s">
        <v>20874</v>
      </c>
      <c r="F2940" t="s">
        <v>31362</v>
      </c>
      <c r="G2940" t="s">
        <v>31369</v>
      </c>
      <c r="H2940" t="s">
        <v>15799</v>
      </c>
      <c r="I2940" t="s">
        <v>31385</v>
      </c>
      <c r="J2940" t="s">
        <v>33498</v>
      </c>
      <c r="K2940" t="s">
        <v>40670</v>
      </c>
      <c r="M2940" t="s">
        <v>42032</v>
      </c>
      <c r="N2940" t="s">
        <v>44905</v>
      </c>
      <c r="O2940" t="s">
        <v>44906</v>
      </c>
      <c r="P2940">
        <v>0</v>
      </c>
      <c r="Q2940">
        <v>0</v>
      </c>
      <c r="R2940" t="s">
        <v>44908</v>
      </c>
      <c r="S2940" t="s">
        <v>45042</v>
      </c>
      <c r="T2940" t="s">
        <v>46430</v>
      </c>
      <c r="U2940" t="s">
        <v>49351</v>
      </c>
      <c r="W2940" t="s">
        <v>42032</v>
      </c>
      <c r="X2940" t="s">
        <v>44909</v>
      </c>
    </row>
    <row r="2941" spans="1:24">
      <c r="A2941">
        <f>HYPERLINK("https://www.philgeps.gov.ph/GEPSNONPILOT/Tender/SplashBidNoticeAbstractUI.aspx?menuIndex=3&amp;refID=7079231&amp;Result=3","7079231")</f>
        <v>0</v>
      </c>
      <c r="B2941" t="s">
        <v>1116</v>
      </c>
      <c r="C2941" t="s">
        <v>6337</v>
      </c>
      <c r="D2941" t="s">
        <v>18153</v>
      </c>
      <c r="E2941" t="s">
        <v>20875</v>
      </c>
      <c r="F2941" t="s">
        <v>31362</v>
      </c>
      <c r="G2941" t="s">
        <v>31369</v>
      </c>
      <c r="H2941" t="s">
        <v>15799</v>
      </c>
      <c r="I2941" t="s">
        <v>31400</v>
      </c>
      <c r="J2941" t="s">
        <v>33499</v>
      </c>
      <c r="K2941" t="s">
        <v>40662</v>
      </c>
      <c r="M2941" t="s">
        <v>42122</v>
      </c>
      <c r="N2941" t="s">
        <v>44905</v>
      </c>
      <c r="O2941" t="s">
        <v>44906</v>
      </c>
      <c r="P2941">
        <v>0</v>
      </c>
      <c r="Q2941">
        <v>1</v>
      </c>
      <c r="R2941" t="s">
        <v>44908</v>
      </c>
      <c r="S2941" t="s">
        <v>45042</v>
      </c>
      <c r="T2941" t="s">
        <v>46510</v>
      </c>
      <c r="U2941" t="s">
        <v>49352</v>
      </c>
      <c r="W2941" t="s">
        <v>60882</v>
      </c>
      <c r="X2941" t="s">
        <v>44909</v>
      </c>
    </row>
    <row r="2942" spans="1:24">
      <c r="A2942">
        <f>HYPERLINK("https://www.philgeps.gov.ph/GEPSNONPILOT/Tender/SplashBidNoticeAbstractUI.aspx?menuIndex=3&amp;refID=7079229&amp;Result=3","7079229")</f>
        <v>0</v>
      </c>
      <c r="B2942" t="s">
        <v>1123</v>
      </c>
      <c r="C2942" t="s">
        <v>6338</v>
      </c>
      <c r="D2942" t="s">
        <v>18106</v>
      </c>
      <c r="E2942" t="s">
        <v>19844</v>
      </c>
      <c r="F2942" t="s">
        <v>31365</v>
      </c>
      <c r="G2942" t="s">
        <v>31369</v>
      </c>
      <c r="H2942" t="s">
        <v>31378</v>
      </c>
      <c r="I2942" t="s">
        <v>31386</v>
      </c>
      <c r="J2942" t="s">
        <v>31536</v>
      </c>
      <c r="K2942" t="s">
        <v>40665</v>
      </c>
      <c r="L2942" t="s">
        <v>1123</v>
      </c>
      <c r="M2942" t="s">
        <v>42130</v>
      </c>
      <c r="N2942" t="s">
        <v>44905</v>
      </c>
      <c r="O2942" t="s">
        <v>44906</v>
      </c>
      <c r="P2942">
        <v>0</v>
      </c>
      <c r="Q2942">
        <v>0</v>
      </c>
      <c r="R2942" t="s">
        <v>44908</v>
      </c>
      <c r="S2942" t="s">
        <v>45042</v>
      </c>
      <c r="T2942" t="s">
        <v>46613</v>
      </c>
      <c r="U2942" t="s">
        <v>49353</v>
      </c>
      <c r="W2942" t="s">
        <v>42130</v>
      </c>
      <c r="X2942" t="s">
        <v>44909</v>
      </c>
    </row>
    <row r="2943" spans="1:24">
      <c r="A2943">
        <f>HYPERLINK("https://www.philgeps.gov.ph/GEPSNONPILOT/Tender/SplashBidNoticeAbstractUI.aspx?menuIndex=3&amp;refID=7079228&amp;Result=3","7079228")</f>
        <v>0</v>
      </c>
      <c r="B2943" t="s">
        <v>1079</v>
      </c>
      <c r="C2943" t="s">
        <v>6339</v>
      </c>
      <c r="D2943" t="s">
        <v>18100</v>
      </c>
      <c r="E2943" t="s">
        <v>20876</v>
      </c>
      <c r="F2943" t="s">
        <v>31362</v>
      </c>
      <c r="G2943" t="s">
        <v>31369</v>
      </c>
      <c r="H2943" t="s">
        <v>31378</v>
      </c>
      <c r="I2943" t="s">
        <v>31386</v>
      </c>
      <c r="J2943" t="s">
        <v>33435</v>
      </c>
      <c r="K2943" t="s">
        <v>40740</v>
      </c>
      <c r="M2943" t="s">
        <v>42081</v>
      </c>
      <c r="N2943" t="s">
        <v>44905</v>
      </c>
      <c r="O2943" t="s">
        <v>44906</v>
      </c>
      <c r="P2943">
        <v>0</v>
      </c>
      <c r="Q2943">
        <v>0</v>
      </c>
      <c r="R2943" t="s">
        <v>44908</v>
      </c>
      <c r="S2943" t="s">
        <v>45042</v>
      </c>
      <c r="T2943" t="s">
        <v>46605</v>
      </c>
      <c r="U2943" t="s">
        <v>49354</v>
      </c>
      <c r="W2943" t="s">
        <v>42081</v>
      </c>
      <c r="X2943" t="s">
        <v>44909</v>
      </c>
    </row>
    <row r="2944" spans="1:24">
      <c r="A2944">
        <f>HYPERLINK("https://www.philgeps.gov.ph/GEPSNONPILOT/Tender/SplashBidNoticeAbstractUI.aspx?menuIndex=3&amp;refID=7079227&amp;Result=3","7079227")</f>
        <v>0</v>
      </c>
      <c r="B2944" t="s">
        <v>1124</v>
      </c>
      <c r="C2944" t="s">
        <v>6340</v>
      </c>
      <c r="D2944" t="s">
        <v>18123</v>
      </c>
      <c r="E2944" t="s">
        <v>20877</v>
      </c>
      <c r="F2944" t="s">
        <v>31362</v>
      </c>
      <c r="G2944" t="s">
        <v>31368</v>
      </c>
      <c r="H2944" t="s">
        <v>15799</v>
      </c>
      <c r="I2944" t="s">
        <v>31387</v>
      </c>
      <c r="J2944" t="s">
        <v>33500</v>
      </c>
      <c r="K2944" t="s">
        <v>40715</v>
      </c>
      <c r="L2944" t="s">
        <v>1124</v>
      </c>
      <c r="M2944" t="s">
        <v>42131</v>
      </c>
      <c r="N2944" t="s">
        <v>44905</v>
      </c>
      <c r="O2944" t="s">
        <v>44906</v>
      </c>
      <c r="P2944">
        <v>0</v>
      </c>
      <c r="Q2944">
        <v>1</v>
      </c>
      <c r="R2944" t="s">
        <v>44908</v>
      </c>
      <c r="S2944" t="s">
        <v>45042</v>
      </c>
      <c r="T2944" t="s">
        <v>46432</v>
      </c>
      <c r="U2944" t="s">
        <v>49355</v>
      </c>
      <c r="W2944" t="s">
        <v>42131</v>
      </c>
      <c r="X2944" t="s">
        <v>44909</v>
      </c>
    </row>
    <row r="2945" spans="1:24">
      <c r="A2945">
        <f>HYPERLINK("https://www.philgeps.gov.ph/GEPSNONPILOT/Tender/SplashBidNoticeAbstractUI.aspx?menuIndex=3&amp;refID=7079125&amp;Result=3","7079125")</f>
        <v>0</v>
      </c>
      <c r="B2945" t="s">
        <v>1125</v>
      </c>
      <c r="C2945" t="s">
        <v>6341</v>
      </c>
      <c r="D2945" t="s">
        <v>18101</v>
      </c>
      <c r="E2945" t="s">
        <v>18464</v>
      </c>
      <c r="F2945" t="s">
        <v>31362</v>
      </c>
      <c r="G2945" t="s">
        <v>31369</v>
      </c>
      <c r="H2945" t="s">
        <v>15799</v>
      </c>
      <c r="I2945" t="s">
        <v>31466</v>
      </c>
      <c r="J2945" t="s">
        <v>33501</v>
      </c>
      <c r="K2945" t="s">
        <v>40661</v>
      </c>
      <c r="M2945" t="s">
        <v>42132</v>
      </c>
      <c r="N2945" t="s">
        <v>44905</v>
      </c>
      <c r="O2945" t="s">
        <v>44906</v>
      </c>
      <c r="P2945">
        <v>0</v>
      </c>
      <c r="Q2945">
        <v>1</v>
      </c>
      <c r="R2945" t="s">
        <v>44908</v>
      </c>
      <c r="S2945" t="s">
        <v>45042</v>
      </c>
      <c r="T2945" t="s">
        <v>46397</v>
      </c>
      <c r="U2945" t="s">
        <v>49356</v>
      </c>
      <c r="W2945" t="s">
        <v>42132</v>
      </c>
      <c r="X2945" t="s">
        <v>44909</v>
      </c>
    </row>
    <row r="2946" spans="1:24">
      <c r="A2946">
        <f>HYPERLINK("https://www.philgeps.gov.ph/GEPSNONPILOT/Tender/SplashBidNoticeAbstractUI.aspx?menuIndex=3&amp;refID=7079180&amp;Result=3","7079180")</f>
        <v>0</v>
      </c>
      <c r="B2946" t="s">
        <v>1126</v>
      </c>
      <c r="C2946" t="s">
        <v>6342</v>
      </c>
      <c r="D2946" t="s">
        <v>18161</v>
      </c>
      <c r="E2946" t="s">
        <v>20878</v>
      </c>
      <c r="F2946" t="s">
        <v>31362</v>
      </c>
      <c r="G2946" t="s">
        <v>31369</v>
      </c>
      <c r="H2946" t="s">
        <v>15799</v>
      </c>
      <c r="I2946" t="s">
        <v>3815</v>
      </c>
      <c r="J2946" t="s">
        <v>31849</v>
      </c>
      <c r="K2946" t="s">
        <v>40665</v>
      </c>
      <c r="M2946" t="s">
        <v>42133</v>
      </c>
      <c r="N2946" t="s">
        <v>44905</v>
      </c>
      <c r="O2946" t="s">
        <v>44906</v>
      </c>
      <c r="P2946">
        <v>0</v>
      </c>
      <c r="Q2946">
        <v>0</v>
      </c>
      <c r="R2946" t="s">
        <v>44908</v>
      </c>
      <c r="S2946" t="s">
        <v>45042</v>
      </c>
      <c r="T2946" t="s">
        <v>46404</v>
      </c>
      <c r="U2946" t="s">
        <v>49357</v>
      </c>
      <c r="W2946" t="s">
        <v>42133</v>
      </c>
      <c r="X2946" t="s">
        <v>44909</v>
      </c>
    </row>
    <row r="2947" spans="1:24">
      <c r="A2947">
        <f>HYPERLINK("https://www.philgeps.gov.ph/GEPSNONPILOT/Tender/SplashBidNoticeAbstractUI.aspx?menuIndex=3&amp;refID=7079159&amp;Result=3","7079159")</f>
        <v>0</v>
      </c>
      <c r="B2947" t="s">
        <v>1127</v>
      </c>
      <c r="C2947" t="s">
        <v>6343</v>
      </c>
      <c r="D2947" t="s">
        <v>18160</v>
      </c>
      <c r="E2947" t="s">
        <v>20879</v>
      </c>
      <c r="F2947" t="s">
        <v>31362</v>
      </c>
      <c r="G2947" t="s">
        <v>31368</v>
      </c>
      <c r="H2947" t="s">
        <v>15799</v>
      </c>
      <c r="I2947" t="s">
        <v>6373</v>
      </c>
      <c r="J2947" t="s">
        <v>31577</v>
      </c>
      <c r="K2947" t="s">
        <v>40696</v>
      </c>
      <c r="M2947" t="s">
        <v>42134</v>
      </c>
      <c r="N2947" t="s">
        <v>44905</v>
      </c>
      <c r="O2947" t="s">
        <v>44906</v>
      </c>
      <c r="P2947">
        <v>0</v>
      </c>
      <c r="Q2947">
        <v>0</v>
      </c>
      <c r="R2947" t="s">
        <v>44908</v>
      </c>
      <c r="S2947" t="s">
        <v>45042</v>
      </c>
      <c r="T2947" t="s">
        <v>46454</v>
      </c>
      <c r="U2947" t="s">
        <v>49358</v>
      </c>
      <c r="W2947" t="s">
        <v>42134</v>
      </c>
      <c r="X2947" t="s">
        <v>44909</v>
      </c>
    </row>
    <row r="2948" spans="1:24">
      <c r="A2948">
        <f>HYPERLINK("https://www.philgeps.gov.ph/GEPSNONPILOT/Tender/SplashBidNoticeAbstractUI.aspx?menuIndex=3&amp;refID=7079224&amp;Result=3","7079224")</f>
        <v>0</v>
      </c>
      <c r="B2948" t="s">
        <v>421</v>
      </c>
      <c r="C2948" t="s">
        <v>6344</v>
      </c>
      <c r="D2948" t="s">
        <v>18133</v>
      </c>
      <c r="E2948" t="s">
        <v>20880</v>
      </c>
      <c r="F2948" t="s">
        <v>31362</v>
      </c>
      <c r="G2948" t="s">
        <v>31369</v>
      </c>
      <c r="H2948" t="s">
        <v>31378</v>
      </c>
      <c r="I2948" t="s">
        <v>31386</v>
      </c>
      <c r="J2948" t="s">
        <v>33502</v>
      </c>
      <c r="K2948" t="s">
        <v>40754</v>
      </c>
      <c r="M2948" t="s">
        <v>41372</v>
      </c>
      <c r="N2948" t="s">
        <v>44905</v>
      </c>
      <c r="O2948" t="s">
        <v>44906</v>
      </c>
      <c r="P2948">
        <v>0</v>
      </c>
      <c r="Q2948">
        <v>0</v>
      </c>
      <c r="R2948" t="s">
        <v>44908</v>
      </c>
      <c r="S2948" t="s">
        <v>45042</v>
      </c>
      <c r="T2948" t="s">
        <v>46531</v>
      </c>
      <c r="U2948" t="s">
        <v>49359</v>
      </c>
      <c r="W2948" t="s">
        <v>41372</v>
      </c>
      <c r="X2948" t="s">
        <v>44909</v>
      </c>
    </row>
    <row r="2949" spans="1:24">
      <c r="A2949">
        <f>HYPERLINK("https://www.philgeps.gov.ph/GEPSNONPILOT/Tender/SplashBidNoticeAbstractUI.aspx?menuIndex=3&amp;refID=7079222&amp;Result=3","7079222")</f>
        <v>0</v>
      </c>
      <c r="B2949" t="s">
        <v>1128</v>
      </c>
      <c r="C2949" t="s">
        <v>6345</v>
      </c>
      <c r="D2949" t="s">
        <v>18171</v>
      </c>
      <c r="E2949" t="s">
        <v>20881</v>
      </c>
      <c r="F2949" t="s">
        <v>31362</v>
      </c>
      <c r="G2949" t="s">
        <v>31369</v>
      </c>
      <c r="H2949" t="s">
        <v>15799</v>
      </c>
      <c r="I2949" t="s">
        <v>4057</v>
      </c>
      <c r="J2949" t="s">
        <v>31564</v>
      </c>
      <c r="K2949" t="s">
        <v>40672</v>
      </c>
      <c r="M2949" t="s">
        <v>42135</v>
      </c>
      <c r="N2949" t="s">
        <v>44905</v>
      </c>
      <c r="O2949" t="s">
        <v>44906</v>
      </c>
      <c r="P2949">
        <v>0</v>
      </c>
      <c r="Q2949">
        <v>0</v>
      </c>
      <c r="R2949" t="s">
        <v>44908</v>
      </c>
      <c r="S2949" t="s">
        <v>45042</v>
      </c>
      <c r="T2949" t="s">
        <v>46470</v>
      </c>
      <c r="U2949" t="s">
        <v>49360</v>
      </c>
      <c r="W2949" t="s">
        <v>42135</v>
      </c>
      <c r="X2949" t="s">
        <v>44909</v>
      </c>
    </row>
    <row r="2950" spans="1:24">
      <c r="A2950">
        <f>HYPERLINK("https://www.philgeps.gov.ph/GEPSNONPILOT/Tender/SplashBidNoticeAbstractUI.aspx?menuIndex=3&amp;refID=7079119&amp;Result=3","7079119")</f>
        <v>0</v>
      </c>
      <c r="B2950" t="s">
        <v>1099</v>
      </c>
      <c r="C2950" t="s">
        <v>6346</v>
      </c>
      <c r="D2950" t="s">
        <v>18117</v>
      </c>
      <c r="E2950" t="s">
        <v>20882</v>
      </c>
      <c r="F2950" t="s">
        <v>31362</v>
      </c>
      <c r="G2950" t="s">
        <v>31369</v>
      </c>
      <c r="H2950" t="s">
        <v>15799</v>
      </c>
      <c r="I2950" t="s">
        <v>3815</v>
      </c>
      <c r="J2950" t="s">
        <v>33503</v>
      </c>
      <c r="K2950" t="s">
        <v>40665</v>
      </c>
      <c r="M2950" t="s">
        <v>42104</v>
      </c>
      <c r="N2950" t="s">
        <v>44905</v>
      </c>
      <c r="O2950" t="s">
        <v>44906</v>
      </c>
      <c r="P2950">
        <v>0</v>
      </c>
      <c r="Q2950">
        <v>1</v>
      </c>
      <c r="R2950" t="s">
        <v>44908</v>
      </c>
      <c r="S2950" t="s">
        <v>45042</v>
      </c>
      <c r="T2950" t="s">
        <v>46404</v>
      </c>
      <c r="U2950" t="s">
        <v>49311</v>
      </c>
      <c r="W2950" t="s">
        <v>42104</v>
      </c>
      <c r="X2950" t="s">
        <v>44909</v>
      </c>
    </row>
    <row r="2951" spans="1:24">
      <c r="A2951">
        <f>HYPERLINK("https://www.philgeps.gov.ph/GEPSNONPILOT/Tender/SplashBidNoticeAbstractUI.aspx?menuIndex=3&amp;refID=7079218&amp;Result=3","7079218")</f>
        <v>0</v>
      </c>
      <c r="B2951" t="s">
        <v>260</v>
      </c>
      <c r="C2951" t="s">
        <v>6156</v>
      </c>
      <c r="D2951" t="s">
        <v>18138</v>
      </c>
      <c r="E2951" t="s">
        <v>20883</v>
      </c>
      <c r="F2951" t="s">
        <v>31362</v>
      </c>
      <c r="G2951" t="s">
        <v>31368</v>
      </c>
      <c r="H2951" t="s">
        <v>15799</v>
      </c>
      <c r="I2951" t="s">
        <v>31455</v>
      </c>
      <c r="J2951" t="s">
        <v>31734</v>
      </c>
      <c r="K2951" t="s">
        <v>40662</v>
      </c>
      <c r="M2951" t="s">
        <v>41201</v>
      </c>
      <c r="N2951" t="s">
        <v>44905</v>
      </c>
      <c r="O2951" t="s">
        <v>44906</v>
      </c>
      <c r="P2951">
        <v>0</v>
      </c>
      <c r="Q2951">
        <v>0</v>
      </c>
      <c r="R2951" t="s">
        <v>44908</v>
      </c>
      <c r="S2951" t="s">
        <v>45042</v>
      </c>
      <c r="T2951" t="s">
        <v>46414</v>
      </c>
      <c r="U2951" t="s">
        <v>49190</v>
      </c>
      <c r="W2951" t="s">
        <v>41201</v>
      </c>
      <c r="X2951" t="s">
        <v>44909</v>
      </c>
    </row>
    <row r="2952" spans="1:24">
      <c r="A2952">
        <f>HYPERLINK("https://www.philgeps.gov.ph/GEPSNONPILOT/Tender/SplashBidNoticeAbstractUI.aspx?menuIndex=3&amp;refID=7079216&amp;Result=3","7079216")</f>
        <v>0</v>
      </c>
      <c r="B2952" t="s">
        <v>1129</v>
      </c>
      <c r="C2952" t="s">
        <v>6347</v>
      </c>
      <c r="D2952" t="s">
        <v>18106</v>
      </c>
      <c r="E2952" t="s">
        <v>18648</v>
      </c>
      <c r="F2952" t="s">
        <v>31362</v>
      </c>
      <c r="G2952" t="s">
        <v>31369</v>
      </c>
      <c r="H2952" t="s">
        <v>15799</v>
      </c>
      <c r="I2952" t="s">
        <v>3815</v>
      </c>
      <c r="J2952" t="s">
        <v>33504</v>
      </c>
      <c r="K2952" t="s">
        <v>40680</v>
      </c>
      <c r="M2952" t="s">
        <v>42136</v>
      </c>
      <c r="N2952" t="s">
        <v>44905</v>
      </c>
      <c r="O2952" t="s">
        <v>44906</v>
      </c>
      <c r="P2952">
        <v>0</v>
      </c>
      <c r="Q2952">
        <v>0</v>
      </c>
      <c r="R2952" t="s">
        <v>44908</v>
      </c>
      <c r="S2952" t="s">
        <v>45042</v>
      </c>
      <c r="T2952" t="s">
        <v>46479</v>
      </c>
      <c r="U2952" t="s">
        <v>49361</v>
      </c>
      <c r="V2952" t="s">
        <v>59203</v>
      </c>
      <c r="W2952" t="s">
        <v>42136</v>
      </c>
      <c r="X2952" t="s">
        <v>44909</v>
      </c>
    </row>
    <row r="2953" spans="1:24">
      <c r="A2953">
        <f>HYPERLINK("https://www.philgeps.gov.ph/GEPSNONPILOT/Tender/SplashBidNoticeAbstractUI.aspx?menuIndex=3&amp;refID=7079215&amp;Result=3","7079215")</f>
        <v>0</v>
      </c>
      <c r="B2953" t="s">
        <v>1130</v>
      </c>
      <c r="C2953" t="s">
        <v>6348</v>
      </c>
      <c r="D2953" t="s">
        <v>18172</v>
      </c>
      <c r="E2953" t="s">
        <v>20884</v>
      </c>
      <c r="F2953" t="s">
        <v>31362</v>
      </c>
      <c r="G2953" t="s">
        <v>31370</v>
      </c>
      <c r="H2953" t="s">
        <v>15799</v>
      </c>
      <c r="I2953" t="s">
        <v>31427</v>
      </c>
      <c r="J2953" t="s">
        <v>33505</v>
      </c>
      <c r="K2953" t="s">
        <v>40666</v>
      </c>
      <c r="M2953" t="s">
        <v>42137</v>
      </c>
      <c r="N2953" t="s">
        <v>44905</v>
      </c>
      <c r="O2953" t="s">
        <v>44906</v>
      </c>
      <c r="P2953">
        <v>0</v>
      </c>
      <c r="Q2953">
        <v>10</v>
      </c>
      <c r="R2953" t="s">
        <v>44908</v>
      </c>
      <c r="S2953" t="s">
        <v>45042</v>
      </c>
      <c r="T2953" t="s">
        <v>46408</v>
      </c>
      <c r="U2953" t="s">
        <v>49362</v>
      </c>
      <c r="V2953" t="s">
        <v>59379</v>
      </c>
      <c r="W2953" t="s">
        <v>42137</v>
      </c>
      <c r="X2953" t="s">
        <v>44909</v>
      </c>
    </row>
    <row r="2954" spans="1:24">
      <c r="A2954">
        <f>HYPERLINK("https://www.philgeps.gov.ph/GEPSNONPILOT/Tender/SplashBidNoticeAbstractUI.aspx?menuIndex=3&amp;refID=7079214&amp;Result=3","7079214")</f>
        <v>0</v>
      </c>
      <c r="B2954" t="s">
        <v>1058</v>
      </c>
      <c r="C2954" t="s">
        <v>6349</v>
      </c>
      <c r="D2954" t="s">
        <v>18104</v>
      </c>
      <c r="E2954" t="s">
        <v>20885</v>
      </c>
      <c r="F2954" t="s">
        <v>31362</v>
      </c>
      <c r="G2954" t="s">
        <v>31370</v>
      </c>
      <c r="H2954" t="s">
        <v>15799</v>
      </c>
      <c r="I2954" t="s">
        <v>31422</v>
      </c>
      <c r="J2954" t="s">
        <v>33506</v>
      </c>
      <c r="K2954" t="s">
        <v>40670</v>
      </c>
      <c r="M2954" t="s">
        <v>42059</v>
      </c>
      <c r="N2954" t="s">
        <v>44905</v>
      </c>
      <c r="O2954" t="s">
        <v>44906</v>
      </c>
      <c r="P2954">
        <v>0</v>
      </c>
      <c r="Q2954">
        <v>0</v>
      </c>
      <c r="R2954" t="s">
        <v>44908</v>
      </c>
      <c r="S2954" t="s">
        <v>45042</v>
      </c>
      <c r="T2954" t="s">
        <v>46447</v>
      </c>
      <c r="U2954" t="s">
        <v>49363</v>
      </c>
      <c r="W2954" t="s">
        <v>42059</v>
      </c>
      <c r="X2954" t="s">
        <v>44909</v>
      </c>
    </row>
    <row r="2955" spans="1:24">
      <c r="A2955">
        <f>HYPERLINK("https://www.philgeps.gov.ph/GEPSNONPILOT/Tender/SplashBidNoticeAbstractUI.aspx?menuIndex=3&amp;refID=7079226&amp;Result=3","7079226")</f>
        <v>0</v>
      </c>
      <c r="B2955" t="s">
        <v>1102</v>
      </c>
      <c r="C2955" t="s">
        <v>6350</v>
      </c>
      <c r="D2955" t="s">
        <v>18160</v>
      </c>
      <c r="E2955" t="s">
        <v>20886</v>
      </c>
      <c r="F2955" t="s">
        <v>31362</v>
      </c>
      <c r="G2955" t="s">
        <v>31370</v>
      </c>
      <c r="H2955" t="s">
        <v>15799</v>
      </c>
      <c r="I2955" t="s">
        <v>4942</v>
      </c>
      <c r="J2955" t="s">
        <v>32394</v>
      </c>
      <c r="K2955" t="s">
        <v>40662</v>
      </c>
      <c r="M2955" t="s">
        <v>42107</v>
      </c>
      <c r="N2955" t="s">
        <v>44905</v>
      </c>
      <c r="O2955" t="s">
        <v>44906</v>
      </c>
      <c r="P2955">
        <v>0</v>
      </c>
      <c r="Q2955">
        <v>0</v>
      </c>
      <c r="R2955" t="s">
        <v>44908</v>
      </c>
      <c r="S2955" t="s">
        <v>45042</v>
      </c>
      <c r="T2955" t="s">
        <v>46414</v>
      </c>
      <c r="U2955" t="s">
        <v>49364</v>
      </c>
      <c r="W2955" t="s">
        <v>42107</v>
      </c>
      <c r="X2955" t="s">
        <v>44909</v>
      </c>
    </row>
    <row r="2956" spans="1:24">
      <c r="A2956">
        <f>HYPERLINK("https://www.philgeps.gov.ph/GEPSNONPILOT/Tender/SplashBidNoticeAbstractUI.aspx?menuIndex=3&amp;refID=7079205&amp;Result=3","7079205")</f>
        <v>0</v>
      </c>
      <c r="B2956" t="s">
        <v>912</v>
      </c>
      <c r="C2956" t="s">
        <v>6351</v>
      </c>
      <c r="D2956" t="s">
        <v>18135</v>
      </c>
      <c r="E2956" t="s">
        <v>20887</v>
      </c>
      <c r="F2956" t="s">
        <v>31363</v>
      </c>
      <c r="G2956" t="s">
        <v>31368</v>
      </c>
      <c r="H2956" t="s">
        <v>15799</v>
      </c>
      <c r="I2956" t="s">
        <v>31478</v>
      </c>
      <c r="J2956" t="s">
        <v>31897</v>
      </c>
      <c r="K2956" t="s">
        <v>40729</v>
      </c>
      <c r="M2956" t="s">
        <v>41895</v>
      </c>
      <c r="N2956" t="s">
        <v>44905</v>
      </c>
      <c r="O2956" t="s">
        <v>44906</v>
      </c>
      <c r="P2956">
        <v>0</v>
      </c>
      <c r="Q2956">
        <v>0</v>
      </c>
      <c r="R2956" t="s">
        <v>44908</v>
      </c>
      <c r="S2956" t="s">
        <v>45042</v>
      </c>
      <c r="T2956" t="s">
        <v>46426</v>
      </c>
      <c r="U2956" t="s">
        <v>49365</v>
      </c>
      <c r="W2956" t="s">
        <v>41895</v>
      </c>
      <c r="X2956" t="s">
        <v>44909</v>
      </c>
    </row>
    <row r="2957" spans="1:24">
      <c r="A2957">
        <f>HYPERLINK("https://www.philgeps.gov.ph/GEPSNONPILOT/Tender/SplashBidNoticeAbstractUI.aspx?menuIndex=3&amp;refID=7079236&amp;Result=3","7079236")</f>
        <v>0</v>
      </c>
      <c r="B2957" t="s">
        <v>334</v>
      </c>
      <c r="C2957" t="s">
        <v>6352</v>
      </c>
      <c r="D2957" t="s">
        <v>18116</v>
      </c>
      <c r="E2957" t="s">
        <v>20888</v>
      </c>
      <c r="F2957" t="s">
        <v>31362</v>
      </c>
      <c r="G2957" t="s">
        <v>31368</v>
      </c>
      <c r="H2957" t="s">
        <v>15799</v>
      </c>
      <c r="I2957" t="s">
        <v>7090</v>
      </c>
      <c r="J2957" t="s">
        <v>33507</v>
      </c>
      <c r="K2957" t="s">
        <v>40662</v>
      </c>
      <c r="M2957" t="s">
        <v>41280</v>
      </c>
      <c r="N2957" t="s">
        <v>44905</v>
      </c>
      <c r="O2957" t="s">
        <v>44906</v>
      </c>
      <c r="P2957">
        <v>0</v>
      </c>
      <c r="Q2957">
        <v>0</v>
      </c>
      <c r="R2957" t="s">
        <v>44908</v>
      </c>
      <c r="S2957" t="s">
        <v>45042</v>
      </c>
      <c r="T2957" t="s">
        <v>46414</v>
      </c>
      <c r="U2957" t="s">
        <v>49366</v>
      </c>
      <c r="W2957" t="s">
        <v>41280</v>
      </c>
      <c r="X2957" t="s">
        <v>44909</v>
      </c>
    </row>
    <row r="2958" spans="1:24">
      <c r="A2958">
        <f>HYPERLINK("https://www.philgeps.gov.ph/GEPSNONPILOT/Tender/SplashBidNoticeAbstractUI.aspx?menuIndex=3&amp;refID=7079234&amp;Result=3","7079234")</f>
        <v>0</v>
      </c>
      <c r="B2958" t="s">
        <v>260</v>
      </c>
      <c r="C2958" t="s">
        <v>6156</v>
      </c>
      <c r="D2958" t="s">
        <v>18138</v>
      </c>
      <c r="E2958" t="s">
        <v>20883</v>
      </c>
      <c r="F2958" t="s">
        <v>31362</v>
      </c>
      <c r="G2958" t="s">
        <v>31368</v>
      </c>
      <c r="H2958" t="s">
        <v>15799</v>
      </c>
      <c r="I2958" t="s">
        <v>31455</v>
      </c>
      <c r="J2958" t="s">
        <v>31734</v>
      </c>
      <c r="K2958" t="s">
        <v>40662</v>
      </c>
      <c r="M2958" t="s">
        <v>41201</v>
      </c>
      <c r="N2958" t="s">
        <v>44905</v>
      </c>
      <c r="O2958" t="s">
        <v>44906</v>
      </c>
      <c r="P2958">
        <v>0</v>
      </c>
      <c r="Q2958">
        <v>0</v>
      </c>
      <c r="R2958" t="s">
        <v>44908</v>
      </c>
      <c r="S2958" t="s">
        <v>45042</v>
      </c>
      <c r="T2958" t="s">
        <v>46414</v>
      </c>
      <c r="U2958" t="s">
        <v>49190</v>
      </c>
      <c r="W2958" t="s">
        <v>41201</v>
      </c>
      <c r="X2958" t="s">
        <v>44909</v>
      </c>
    </row>
    <row r="2959" spans="1:24">
      <c r="A2959">
        <f>HYPERLINK("https://www.philgeps.gov.ph/GEPSNONPILOT/Tender/SplashBidNoticeAbstractUI.aspx?menuIndex=3&amp;refID=7079223&amp;Result=3","7079223")</f>
        <v>0</v>
      </c>
      <c r="B2959" t="s">
        <v>791</v>
      </c>
      <c r="C2959" t="s">
        <v>6353</v>
      </c>
      <c r="D2959" t="s">
        <v>18108</v>
      </c>
      <c r="E2959" t="s">
        <v>20889</v>
      </c>
      <c r="F2959" t="s">
        <v>31362</v>
      </c>
      <c r="G2959" t="s">
        <v>31369</v>
      </c>
      <c r="H2959" t="s">
        <v>15799</v>
      </c>
      <c r="I2959" t="s">
        <v>7719</v>
      </c>
      <c r="J2959" t="s">
        <v>31634</v>
      </c>
      <c r="K2959" t="s">
        <v>40662</v>
      </c>
      <c r="M2959" t="s">
        <v>42138</v>
      </c>
      <c r="N2959" t="s">
        <v>44905</v>
      </c>
      <c r="O2959" t="s">
        <v>44906</v>
      </c>
      <c r="P2959">
        <v>0</v>
      </c>
      <c r="Q2959">
        <v>39</v>
      </c>
      <c r="R2959" t="s">
        <v>44908</v>
      </c>
      <c r="S2959" t="s">
        <v>45042</v>
      </c>
      <c r="T2959" t="s">
        <v>46511</v>
      </c>
      <c r="U2959" t="s">
        <v>49367</v>
      </c>
      <c r="W2959" t="s">
        <v>42138</v>
      </c>
      <c r="X2959" t="s">
        <v>44909</v>
      </c>
    </row>
    <row r="2960" spans="1:24">
      <c r="A2960">
        <f>HYPERLINK("https://www.philgeps.gov.ph/GEPSNONPILOT/Tender/SplashBidNoticeAbstractUI.aspx?menuIndex=3&amp;refID=7079252&amp;Result=3","7079252")</f>
        <v>0</v>
      </c>
      <c r="B2960" t="s">
        <v>1013</v>
      </c>
      <c r="C2960" t="s">
        <v>6354</v>
      </c>
      <c r="D2960" t="s">
        <v>18119</v>
      </c>
      <c r="E2960" t="s">
        <v>20890</v>
      </c>
      <c r="F2960" t="s">
        <v>31362</v>
      </c>
      <c r="G2960" t="s">
        <v>31368</v>
      </c>
      <c r="H2960" t="s">
        <v>15799</v>
      </c>
      <c r="I2960" t="s">
        <v>31387</v>
      </c>
      <c r="J2960" t="s">
        <v>33508</v>
      </c>
      <c r="K2960" t="s">
        <v>40670</v>
      </c>
      <c r="M2960" t="s">
        <v>42010</v>
      </c>
      <c r="N2960" t="s">
        <v>44905</v>
      </c>
      <c r="O2960" t="s">
        <v>44906</v>
      </c>
      <c r="P2960">
        <v>0</v>
      </c>
      <c r="Q2960">
        <v>0</v>
      </c>
      <c r="R2960" t="s">
        <v>44908</v>
      </c>
      <c r="S2960" t="s">
        <v>45042</v>
      </c>
      <c r="T2960" t="s">
        <v>46409</v>
      </c>
      <c r="U2960" t="s">
        <v>49368</v>
      </c>
      <c r="W2960" t="s">
        <v>42010</v>
      </c>
      <c r="X2960" t="s">
        <v>44909</v>
      </c>
    </row>
    <row r="2961" spans="1:24">
      <c r="A2961">
        <f>HYPERLINK("https://www.philgeps.gov.ph/GEPSNONPILOT/Tender/SplashBidNoticeAbstractUI.aspx?menuIndex=3&amp;refID=7079225&amp;Result=3","7079225")</f>
        <v>0</v>
      </c>
      <c r="B2961" t="s">
        <v>117</v>
      </c>
      <c r="C2961" t="s">
        <v>6355</v>
      </c>
      <c r="D2961" t="s">
        <v>18104</v>
      </c>
      <c r="E2961" t="s">
        <v>20891</v>
      </c>
      <c r="F2961" t="s">
        <v>31362</v>
      </c>
      <c r="G2961" t="s">
        <v>31370</v>
      </c>
      <c r="H2961" t="s">
        <v>15799</v>
      </c>
      <c r="I2961" t="s">
        <v>4942</v>
      </c>
      <c r="J2961" t="s">
        <v>31546</v>
      </c>
      <c r="K2961" t="s">
        <v>40662</v>
      </c>
      <c r="M2961" t="s">
        <v>41054</v>
      </c>
      <c r="N2961" t="s">
        <v>44905</v>
      </c>
      <c r="O2961" t="s">
        <v>44906</v>
      </c>
      <c r="P2961">
        <v>0</v>
      </c>
      <c r="Q2961">
        <v>1</v>
      </c>
      <c r="R2961" t="s">
        <v>44908</v>
      </c>
      <c r="S2961" t="s">
        <v>45042</v>
      </c>
      <c r="T2961" t="s">
        <v>46454</v>
      </c>
      <c r="U2961" t="s">
        <v>49369</v>
      </c>
      <c r="W2961" t="s">
        <v>41054</v>
      </c>
      <c r="X2961" t="s">
        <v>44909</v>
      </c>
    </row>
    <row r="2962" spans="1:24">
      <c r="A2962">
        <f>HYPERLINK("https://www.philgeps.gov.ph/GEPSNONPILOT/Tender/SplashBidNoticeAbstractUI.aspx?menuIndex=3&amp;refID=7079206&amp;Result=3","7079206")</f>
        <v>0</v>
      </c>
      <c r="B2962" t="s">
        <v>1099</v>
      </c>
      <c r="C2962" t="s">
        <v>6356</v>
      </c>
      <c r="D2962" t="s">
        <v>18117</v>
      </c>
      <c r="E2962" t="s">
        <v>20892</v>
      </c>
      <c r="F2962" t="s">
        <v>31362</v>
      </c>
      <c r="G2962" t="s">
        <v>31369</v>
      </c>
      <c r="H2962" t="s">
        <v>15799</v>
      </c>
      <c r="I2962" t="s">
        <v>3815</v>
      </c>
      <c r="J2962" t="s">
        <v>33509</v>
      </c>
      <c r="K2962" t="s">
        <v>40665</v>
      </c>
      <c r="M2962" t="s">
        <v>42104</v>
      </c>
      <c r="N2962" t="s">
        <v>44905</v>
      </c>
      <c r="O2962" t="s">
        <v>44906</v>
      </c>
      <c r="P2962">
        <v>0</v>
      </c>
      <c r="Q2962">
        <v>0</v>
      </c>
      <c r="R2962" t="s">
        <v>44908</v>
      </c>
      <c r="S2962" t="s">
        <v>45042</v>
      </c>
      <c r="T2962" t="s">
        <v>46404</v>
      </c>
      <c r="U2962" t="s">
        <v>49311</v>
      </c>
      <c r="W2962" t="s">
        <v>42104</v>
      </c>
      <c r="X2962" t="s">
        <v>44909</v>
      </c>
    </row>
    <row r="2963" spans="1:24">
      <c r="A2963">
        <f>HYPERLINK("https://www.philgeps.gov.ph/GEPSNONPILOT/Tender/SplashBidNoticeAbstractUI.aspx?menuIndex=3&amp;refID=7079248&amp;Result=3","7079248")</f>
        <v>0</v>
      </c>
      <c r="B2963" t="s">
        <v>1131</v>
      </c>
      <c r="C2963" t="s">
        <v>6357</v>
      </c>
      <c r="D2963" t="s">
        <v>18104</v>
      </c>
      <c r="E2963" t="s">
        <v>20893</v>
      </c>
      <c r="F2963" t="s">
        <v>31362</v>
      </c>
      <c r="G2963" t="s">
        <v>31370</v>
      </c>
      <c r="H2963" t="s">
        <v>15799</v>
      </c>
      <c r="I2963" t="s">
        <v>7188</v>
      </c>
      <c r="J2963" t="s">
        <v>33510</v>
      </c>
      <c r="K2963" t="s">
        <v>40665</v>
      </c>
      <c r="M2963" t="s">
        <v>42139</v>
      </c>
      <c r="N2963" t="s">
        <v>44905</v>
      </c>
      <c r="O2963" t="s">
        <v>44906</v>
      </c>
      <c r="P2963">
        <v>0</v>
      </c>
      <c r="Q2963">
        <v>0</v>
      </c>
      <c r="R2963" t="s">
        <v>44908</v>
      </c>
      <c r="S2963" t="s">
        <v>45042</v>
      </c>
      <c r="T2963" t="s">
        <v>46432</v>
      </c>
      <c r="U2963" t="s">
        <v>49370</v>
      </c>
      <c r="W2963" t="s">
        <v>42139</v>
      </c>
      <c r="X2963" t="s">
        <v>44909</v>
      </c>
    </row>
    <row r="2964" spans="1:24">
      <c r="A2964">
        <f>HYPERLINK("https://www.philgeps.gov.ph/GEPSNONPILOT/Tender/SplashBidNoticeAbstractUI.aspx?menuIndex=3&amp;refID=7079235&amp;Result=3","7079235")</f>
        <v>0</v>
      </c>
      <c r="B2964" t="s">
        <v>1132</v>
      </c>
      <c r="C2964" t="s">
        <v>6358</v>
      </c>
      <c r="D2964" t="s">
        <v>18112</v>
      </c>
      <c r="E2964" t="s">
        <v>20894</v>
      </c>
      <c r="F2964" t="s">
        <v>31362</v>
      </c>
      <c r="G2964" t="s">
        <v>31372</v>
      </c>
      <c r="H2964" t="s">
        <v>15799</v>
      </c>
      <c r="I2964" t="s">
        <v>4283</v>
      </c>
      <c r="J2964" t="s">
        <v>33511</v>
      </c>
      <c r="K2964" t="s">
        <v>40670</v>
      </c>
      <c r="M2964" t="s">
        <v>42140</v>
      </c>
      <c r="N2964" t="s">
        <v>44905</v>
      </c>
      <c r="O2964" t="s">
        <v>44906</v>
      </c>
      <c r="P2964">
        <v>0</v>
      </c>
      <c r="Q2964">
        <v>3</v>
      </c>
      <c r="R2964" t="s">
        <v>44908</v>
      </c>
      <c r="S2964" t="s">
        <v>45042</v>
      </c>
      <c r="T2964" t="s">
        <v>46454</v>
      </c>
      <c r="U2964" t="s">
        <v>49371</v>
      </c>
      <c r="W2964" t="s">
        <v>42140</v>
      </c>
      <c r="X2964" t="s">
        <v>44909</v>
      </c>
    </row>
    <row r="2965" spans="1:24">
      <c r="A2965">
        <f>HYPERLINK("https://www.philgeps.gov.ph/GEPSNONPILOT/Tender/SplashBidNoticeAbstractUI.aspx?menuIndex=3&amp;refID=7079247&amp;Result=3","7079247")</f>
        <v>0</v>
      </c>
      <c r="B2965" t="s">
        <v>1133</v>
      </c>
      <c r="C2965" t="s">
        <v>6359</v>
      </c>
      <c r="D2965" t="s">
        <v>18114</v>
      </c>
      <c r="E2965" t="s">
        <v>20895</v>
      </c>
      <c r="F2965" t="s">
        <v>31362</v>
      </c>
      <c r="G2965" t="s">
        <v>31369</v>
      </c>
      <c r="H2965" t="s">
        <v>31379</v>
      </c>
      <c r="I2965" t="s">
        <v>31473</v>
      </c>
      <c r="J2965" t="s">
        <v>31897</v>
      </c>
      <c r="K2965" t="s">
        <v>40661</v>
      </c>
      <c r="M2965" t="s">
        <v>42141</v>
      </c>
      <c r="N2965" t="s">
        <v>44905</v>
      </c>
      <c r="O2965" t="s">
        <v>44906</v>
      </c>
      <c r="P2965">
        <v>0</v>
      </c>
      <c r="Q2965">
        <v>2</v>
      </c>
      <c r="R2965" t="s">
        <v>44908</v>
      </c>
      <c r="S2965" t="s">
        <v>45042</v>
      </c>
      <c r="T2965" t="s">
        <v>46463</v>
      </c>
      <c r="U2965" t="s">
        <v>49372</v>
      </c>
      <c r="W2965" t="s">
        <v>42141</v>
      </c>
      <c r="X2965" t="s">
        <v>44909</v>
      </c>
    </row>
    <row r="2966" spans="1:24">
      <c r="A2966">
        <f>HYPERLINK("https://www.philgeps.gov.ph/GEPSNONPILOT/Tender/SplashBidNoticeAbstractUI.aspx?menuIndex=3&amp;refID=7079253&amp;Result=3","7079253")</f>
        <v>0</v>
      </c>
      <c r="B2966" t="s">
        <v>1134</v>
      </c>
      <c r="C2966" t="s">
        <v>6155</v>
      </c>
      <c r="D2966" t="s">
        <v>18134</v>
      </c>
      <c r="E2966" t="s">
        <v>20896</v>
      </c>
      <c r="F2966" t="s">
        <v>31362</v>
      </c>
      <c r="G2966" t="s">
        <v>31368</v>
      </c>
      <c r="H2966" t="s">
        <v>15799</v>
      </c>
      <c r="I2966" t="s">
        <v>6155</v>
      </c>
      <c r="J2966" t="s">
        <v>31646</v>
      </c>
      <c r="K2966" t="s">
        <v>40665</v>
      </c>
      <c r="M2966" t="s">
        <v>42142</v>
      </c>
      <c r="N2966" t="s">
        <v>44905</v>
      </c>
      <c r="O2966" t="s">
        <v>44906</v>
      </c>
      <c r="P2966">
        <v>0</v>
      </c>
      <c r="Q2966">
        <v>3</v>
      </c>
      <c r="R2966" t="s">
        <v>44908</v>
      </c>
      <c r="S2966" t="s">
        <v>45042</v>
      </c>
      <c r="T2966" t="s">
        <v>46425</v>
      </c>
      <c r="U2966" t="s">
        <v>49373</v>
      </c>
      <c r="W2966" t="s">
        <v>42142</v>
      </c>
      <c r="X2966" t="s">
        <v>44909</v>
      </c>
    </row>
    <row r="2967" spans="1:24">
      <c r="A2967">
        <f>HYPERLINK("https://www.philgeps.gov.ph/GEPSNONPILOT/Tender/SplashBidNoticeAbstractUI.aspx?menuIndex=3&amp;refID=7079258&amp;Result=3","7079258")</f>
        <v>0</v>
      </c>
      <c r="B2967" t="s">
        <v>1135</v>
      </c>
      <c r="C2967" t="s">
        <v>6360</v>
      </c>
      <c r="D2967" t="s">
        <v>18102</v>
      </c>
      <c r="E2967" t="s">
        <v>20897</v>
      </c>
      <c r="F2967" t="s">
        <v>31362</v>
      </c>
      <c r="G2967" t="s">
        <v>31371</v>
      </c>
      <c r="H2967" t="s">
        <v>15799</v>
      </c>
      <c r="I2967" t="s">
        <v>31385</v>
      </c>
      <c r="J2967" t="s">
        <v>33512</v>
      </c>
      <c r="K2967" t="s">
        <v>40662</v>
      </c>
      <c r="M2967" t="s">
        <v>42143</v>
      </c>
      <c r="N2967" t="s">
        <v>44905</v>
      </c>
      <c r="O2967" t="s">
        <v>44906</v>
      </c>
      <c r="P2967">
        <v>0</v>
      </c>
      <c r="Q2967">
        <v>4</v>
      </c>
      <c r="R2967" t="s">
        <v>44908</v>
      </c>
      <c r="S2967" t="s">
        <v>45042</v>
      </c>
      <c r="T2967" t="s">
        <v>46454</v>
      </c>
      <c r="U2967" t="s">
        <v>49374</v>
      </c>
      <c r="W2967" t="s">
        <v>42143</v>
      </c>
      <c r="X2967" t="s">
        <v>44909</v>
      </c>
    </row>
    <row r="2968" spans="1:24">
      <c r="A2968">
        <f>HYPERLINK("https://www.philgeps.gov.ph/GEPSNONPILOT/Tender/SplashBidNoticeAbstractUI.aspx?menuIndex=3&amp;refID=7079250&amp;Result=3","7079250")</f>
        <v>0</v>
      </c>
      <c r="B2968" t="s">
        <v>1115</v>
      </c>
      <c r="C2968" t="s">
        <v>6361</v>
      </c>
      <c r="D2968" t="s">
        <v>18104</v>
      </c>
      <c r="E2968" t="s">
        <v>20898</v>
      </c>
      <c r="F2968" t="s">
        <v>31362</v>
      </c>
      <c r="G2968" t="s">
        <v>31368</v>
      </c>
      <c r="H2968" t="s">
        <v>15799</v>
      </c>
      <c r="I2968" t="s">
        <v>6240</v>
      </c>
      <c r="J2968" t="s">
        <v>33513</v>
      </c>
      <c r="K2968" t="s">
        <v>40666</v>
      </c>
      <c r="M2968" t="s">
        <v>42121</v>
      </c>
      <c r="N2968" t="s">
        <v>44905</v>
      </c>
      <c r="O2968" t="s">
        <v>44906</v>
      </c>
      <c r="P2968">
        <v>0</v>
      </c>
      <c r="Q2968">
        <v>0</v>
      </c>
      <c r="R2968" t="s">
        <v>44908</v>
      </c>
      <c r="S2968" t="s">
        <v>45042</v>
      </c>
      <c r="T2968" t="s">
        <v>46470</v>
      </c>
      <c r="U2968" t="s">
        <v>49375</v>
      </c>
      <c r="V2968" t="s">
        <v>59378</v>
      </c>
      <c r="W2968" t="s">
        <v>42121</v>
      </c>
      <c r="X2968" t="s">
        <v>44909</v>
      </c>
    </row>
    <row r="2969" spans="1:24">
      <c r="A2969">
        <f>HYPERLINK("https://www.philgeps.gov.ph/GEPSNONPILOT/Tender/SplashBidNoticeAbstractUI.aspx?menuIndex=3&amp;refID=7079256&amp;Result=3","7079256")</f>
        <v>0</v>
      </c>
      <c r="B2969" t="s">
        <v>1136</v>
      </c>
      <c r="C2969" t="s">
        <v>6362</v>
      </c>
      <c r="D2969" t="s">
        <v>18164</v>
      </c>
      <c r="E2969" t="s">
        <v>20899</v>
      </c>
      <c r="F2969" t="s">
        <v>31362</v>
      </c>
      <c r="G2969" t="s">
        <v>31368</v>
      </c>
      <c r="H2969" t="s">
        <v>31378</v>
      </c>
      <c r="I2969" t="s">
        <v>31386</v>
      </c>
      <c r="J2969" t="s">
        <v>33514</v>
      </c>
      <c r="K2969" t="s">
        <v>40697</v>
      </c>
      <c r="M2969" t="s">
        <v>42144</v>
      </c>
      <c r="N2969" t="s">
        <v>44905</v>
      </c>
      <c r="O2969" t="s">
        <v>44906</v>
      </c>
      <c r="P2969">
        <v>0</v>
      </c>
      <c r="Q2969">
        <v>0</v>
      </c>
      <c r="R2969" t="s">
        <v>44908</v>
      </c>
      <c r="S2969" t="s">
        <v>45042</v>
      </c>
      <c r="T2969" t="s">
        <v>46446</v>
      </c>
      <c r="U2969" t="s">
        <v>49376</v>
      </c>
      <c r="W2969" t="s">
        <v>42144</v>
      </c>
      <c r="X2969" t="s">
        <v>44909</v>
      </c>
    </row>
    <row r="2970" spans="1:24">
      <c r="A2970">
        <f>HYPERLINK("https://www.philgeps.gov.ph/GEPSNONPILOT/Tender/SplashBidNoticeAbstractUI.aspx?menuIndex=3&amp;refID=7079255&amp;Result=3","7079255")</f>
        <v>0</v>
      </c>
      <c r="B2970" t="s">
        <v>1102</v>
      </c>
      <c r="C2970" t="s">
        <v>6363</v>
      </c>
      <c r="D2970" t="s">
        <v>18160</v>
      </c>
      <c r="E2970" t="s">
        <v>20900</v>
      </c>
      <c r="F2970" t="s">
        <v>31362</v>
      </c>
      <c r="G2970" t="s">
        <v>31368</v>
      </c>
      <c r="H2970" t="s">
        <v>15799</v>
      </c>
      <c r="I2970" t="s">
        <v>3815</v>
      </c>
      <c r="J2970" t="s">
        <v>33515</v>
      </c>
      <c r="K2970" t="s">
        <v>40662</v>
      </c>
      <c r="M2970" t="s">
        <v>42107</v>
      </c>
      <c r="N2970" t="s">
        <v>44905</v>
      </c>
      <c r="O2970" t="s">
        <v>44906</v>
      </c>
      <c r="P2970">
        <v>0</v>
      </c>
      <c r="Q2970">
        <v>0</v>
      </c>
      <c r="R2970" t="s">
        <v>44908</v>
      </c>
      <c r="S2970" t="s">
        <v>45042</v>
      </c>
      <c r="T2970" t="s">
        <v>46414</v>
      </c>
      <c r="U2970" t="s">
        <v>49377</v>
      </c>
      <c r="W2970" t="s">
        <v>42107</v>
      </c>
      <c r="X2970" t="s">
        <v>44909</v>
      </c>
    </row>
    <row r="2971" spans="1:24">
      <c r="A2971">
        <f>HYPERLINK("https://www.philgeps.gov.ph/GEPSNONPILOT/Tender/SplashBidNoticeAbstractUI.aspx?menuIndex=3&amp;refID=7079249&amp;Result=3","7079249")</f>
        <v>0</v>
      </c>
      <c r="B2971" t="s">
        <v>1137</v>
      </c>
      <c r="C2971" t="s">
        <v>6364</v>
      </c>
      <c r="D2971" t="s">
        <v>18175</v>
      </c>
      <c r="E2971" t="s">
        <v>20901</v>
      </c>
      <c r="F2971" t="s">
        <v>31362</v>
      </c>
      <c r="G2971" t="s">
        <v>31369</v>
      </c>
      <c r="H2971" t="s">
        <v>31378</v>
      </c>
      <c r="I2971" t="s">
        <v>31386</v>
      </c>
      <c r="J2971" t="s">
        <v>33516</v>
      </c>
      <c r="K2971" t="s">
        <v>40686</v>
      </c>
      <c r="M2971" t="s">
        <v>42145</v>
      </c>
      <c r="N2971" t="s">
        <v>44905</v>
      </c>
      <c r="O2971" t="s">
        <v>44906</v>
      </c>
      <c r="P2971">
        <v>0</v>
      </c>
      <c r="Q2971">
        <v>1</v>
      </c>
      <c r="R2971" t="s">
        <v>44908</v>
      </c>
      <c r="S2971" t="s">
        <v>45042</v>
      </c>
      <c r="T2971" t="s">
        <v>46429</v>
      </c>
      <c r="U2971" t="s">
        <v>49378</v>
      </c>
      <c r="W2971" t="s">
        <v>42145</v>
      </c>
      <c r="X2971" t="s">
        <v>44909</v>
      </c>
    </row>
    <row r="2972" spans="1:24">
      <c r="A2972">
        <f>HYPERLINK("https://www.philgeps.gov.ph/GEPSNONPILOT/Tender/SplashBidNoticeAbstractUI.aspx?menuIndex=3&amp;refID=7079245&amp;Result=3","7079245")</f>
        <v>0</v>
      </c>
      <c r="B2972" t="s">
        <v>1112</v>
      </c>
      <c r="C2972" t="s">
        <v>6365</v>
      </c>
      <c r="D2972" t="s">
        <v>18111</v>
      </c>
      <c r="E2972" t="s">
        <v>20902</v>
      </c>
      <c r="F2972" t="s">
        <v>31362</v>
      </c>
      <c r="G2972" t="s">
        <v>31368</v>
      </c>
      <c r="H2972" t="s">
        <v>15799</v>
      </c>
      <c r="I2972" t="s">
        <v>6373</v>
      </c>
      <c r="J2972" t="s">
        <v>33517</v>
      </c>
      <c r="K2972" t="s">
        <v>40661</v>
      </c>
      <c r="M2972" t="s">
        <v>42117</v>
      </c>
      <c r="N2972" t="s">
        <v>44905</v>
      </c>
      <c r="O2972" t="s">
        <v>44906</v>
      </c>
      <c r="P2972">
        <v>0</v>
      </c>
      <c r="Q2972">
        <v>2</v>
      </c>
      <c r="R2972" t="s">
        <v>44908</v>
      </c>
      <c r="S2972" t="s">
        <v>45042</v>
      </c>
      <c r="T2972" t="s">
        <v>46432</v>
      </c>
      <c r="U2972" t="s">
        <v>49334</v>
      </c>
      <c r="W2972" t="s">
        <v>42117</v>
      </c>
      <c r="X2972" t="s">
        <v>44909</v>
      </c>
    </row>
    <row r="2973" spans="1:24">
      <c r="A2973">
        <f>HYPERLINK("https://www.philgeps.gov.ph/GEPSNONPILOT/Tender/SplashBidNoticeAbstractUI.aspx?menuIndex=3&amp;refID=7079257&amp;Result=3","7079257")</f>
        <v>0</v>
      </c>
      <c r="B2973" t="s">
        <v>123</v>
      </c>
      <c r="C2973" t="s">
        <v>6366</v>
      </c>
      <c r="D2973" t="s">
        <v>18146</v>
      </c>
      <c r="E2973" t="s">
        <v>20903</v>
      </c>
      <c r="F2973" t="s">
        <v>31362</v>
      </c>
      <c r="G2973" t="s">
        <v>31368</v>
      </c>
      <c r="H2973" t="s">
        <v>15799</v>
      </c>
      <c r="I2973" t="s">
        <v>31397</v>
      </c>
      <c r="J2973" t="s">
        <v>33518</v>
      </c>
      <c r="K2973" t="s">
        <v>40665</v>
      </c>
      <c r="M2973" t="s">
        <v>42146</v>
      </c>
      <c r="N2973" t="s">
        <v>44905</v>
      </c>
      <c r="O2973" t="s">
        <v>44906</v>
      </c>
      <c r="P2973">
        <v>0</v>
      </c>
      <c r="Q2973">
        <v>4</v>
      </c>
      <c r="R2973" t="s">
        <v>44908</v>
      </c>
      <c r="S2973" t="s">
        <v>45042</v>
      </c>
      <c r="T2973" t="s">
        <v>46427</v>
      </c>
      <c r="U2973" t="s">
        <v>49379</v>
      </c>
      <c r="W2973" t="s">
        <v>42146</v>
      </c>
      <c r="X2973" t="s">
        <v>44909</v>
      </c>
    </row>
    <row r="2974" spans="1:24">
      <c r="A2974">
        <f>HYPERLINK("https://www.philgeps.gov.ph/GEPSNONPILOT/Tender/SplashBidNoticeAbstractUI.aspx?menuIndex=3&amp;refID=7079210&amp;Result=3","7079210")</f>
        <v>0</v>
      </c>
      <c r="B2974" t="s">
        <v>1138</v>
      </c>
      <c r="C2974" t="s">
        <v>6367</v>
      </c>
      <c r="D2974" t="s">
        <v>18131</v>
      </c>
      <c r="E2974" t="s">
        <v>20904</v>
      </c>
      <c r="F2974" t="s">
        <v>31362</v>
      </c>
      <c r="G2974" t="s">
        <v>31369</v>
      </c>
      <c r="H2974" t="s">
        <v>15799</v>
      </c>
      <c r="I2974" t="s">
        <v>4283</v>
      </c>
      <c r="J2974" t="s">
        <v>31843</v>
      </c>
      <c r="K2974" t="s">
        <v>40662</v>
      </c>
      <c r="M2974" t="s">
        <v>42147</v>
      </c>
      <c r="N2974" t="s">
        <v>44905</v>
      </c>
      <c r="O2974" t="s">
        <v>44906</v>
      </c>
      <c r="P2974">
        <v>0</v>
      </c>
      <c r="Q2974">
        <v>2</v>
      </c>
      <c r="R2974" t="s">
        <v>44908</v>
      </c>
      <c r="S2974" t="s">
        <v>45042</v>
      </c>
      <c r="T2974" t="s">
        <v>46404</v>
      </c>
      <c r="U2974" t="s">
        <v>49380</v>
      </c>
      <c r="V2974" t="s">
        <v>59380</v>
      </c>
      <c r="W2974" t="s">
        <v>42147</v>
      </c>
      <c r="X2974" t="s">
        <v>44909</v>
      </c>
    </row>
    <row r="2975" spans="1:24">
      <c r="A2975">
        <f>HYPERLINK("https://www.philgeps.gov.ph/GEPSNONPILOT/Tender/SplashBidNoticeAbstractUI.aspx?menuIndex=3&amp;refID=7079238&amp;Result=3","7079238")</f>
        <v>0</v>
      </c>
      <c r="B2975" t="s">
        <v>1139</v>
      </c>
      <c r="C2975" t="s">
        <v>6368</v>
      </c>
      <c r="D2975" t="s">
        <v>18131</v>
      </c>
      <c r="E2975" t="s">
        <v>18232</v>
      </c>
      <c r="F2975" t="s">
        <v>31362</v>
      </c>
      <c r="G2975" t="s">
        <v>31368</v>
      </c>
      <c r="H2975" t="s">
        <v>15799</v>
      </c>
      <c r="I2975" t="s">
        <v>31471</v>
      </c>
      <c r="J2975" t="s">
        <v>33519</v>
      </c>
      <c r="K2975" t="s">
        <v>40725</v>
      </c>
      <c r="M2975" t="s">
        <v>42148</v>
      </c>
      <c r="N2975" t="s">
        <v>44905</v>
      </c>
      <c r="O2975" t="s">
        <v>44906</v>
      </c>
      <c r="P2975">
        <v>0</v>
      </c>
      <c r="Q2975">
        <v>2</v>
      </c>
      <c r="R2975" t="s">
        <v>44908</v>
      </c>
      <c r="S2975" t="s">
        <v>45042</v>
      </c>
      <c r="T2975" t="s">
        <v>46412</v>
      </c>
      <c r="U2975" t="s">
        <v>49381</v>
      </c>
      <c r="W2975" t="s">
        <v>42148</v>
      </c>
      <c r="X2975" t="s">
        <v>44909</v>
      </c>
    </row>
    <row r="2976" spans="1:24">
      <c r="A2976">
        <f>HYPERLINK("https://www.philgeps.gov.ph/GEPSNONPILOT/Tender/SplashBidNoticeAbstractUI.aspx?menuIndex=3&amp;refID=7079237&amp;Result=3","7079237")</f>
        <v>0</v>
      </c>
      <c r="B2976" t="s">
        <v>1122</v>
      </c>
      <c r="C2976" t="s">
        <v>6369</v>
      </c>
      <c r="D2976" t="s">
        <v>18113</v>
      </c>
      <c r="E2976" t="s">
        <v>20905</v>
      </c>
      <c r="F2976" t="s">
        <v>31362</v>
      </c>
      <c r="G2976" t="s">
        <v>31368</v>
      </c>
      <c r="H2976" t="s">
        <v>15799</v>
      </c>
      <c r="I2976" t="s">
        <v>31414</v>
      </c>
      <c r="J2976" t="s">
        <v>31578</v>
      </c>
      <c r="K2976" t="s">
        <v>40675</v>
      </c>
      <c r="M2976" t="s">
        <v>42129</v>
      </c>
      <c r="N2976" t="s">
        <v>44905</v>
      </c>
      <c r="O2976" t="s">
        <v>44906</v>
      </c>
      <c r="P2976">
        <v>0</v>
      </c>
      <c r="Q2976">
        <v>3</v>
      </c>
      <c r="R2976" t="s">
        <v>44908</v>
      </c>
      <c r="S2976" t="s">
        <v>45042</v>
      </c>
      <c r="T2976" t="s">
        <v>46483</v>
      </c>
      <c r="U2976" t="s">
        <v>49382</v>
      </c>
      <c r="W2976" t="s">
        <v>42129</v>
      </c>
      <c r="X2976" t="s">
        <v>44909</v>
      </c>
    </row>
    <row r="2977" spans="1:24">
      <c r="A2977">
        <f>HYPERLINK("https://www.philgeps.gov.ph/GEPSNONPILOT/Tender/SplashBidNoticeAbstractUI.aspx?menuIndex=3&amp;refID=7079246&amp;Result=3","7079246")</f>
        <v>0</v>
      </c>
      <c r="B2977" t="s">
        <v>1140</v>
      </c>
      <c r="C2977" t="s">
        <v>6370</v>
      </c>
      <c r="D2977" t="s">
        <v>18160</v>
      </c>
      <c r="E2977" t="s">
        <v>20906</v>
      </c>
      <c r="F2977" t="s">
        <v>31362</v>
      </c>
      <c r="G2977" t="s">
        <v>31368</v>
      </c>
      <c r="H2977" t="s">
        <v>15799</v>
      </c>
      <c r="I2977" t="s">
        <v>31385</v>
      </c>
      <c r="J2977" t="s">
        <v>33520</v>
      </c>
      <c r="K2977" t="s">
        <v>40666</v>
      </c>
      <c r="M2977" t="s">
        <v>42149</v>
      </c>
      <c r="N2977" t="s">
        <v>44905</v>
      </c>
      <c r="O2977" t="s">
        <v>44906</v>
      </c>
      <c r="P2977">
        <v>0</v>
      </c>
      <c r="Q2977">
        <v>7</v>
      </c>
      <c r="R2977" t="s">
        <v>44908</v>
      </c>
      <c r="S2977" t="s">
        <v>45042</v>
      </c>
      <c r="T2977" t="s">
        <v>46396</v>
      </c>
      <c r="U2977" t="s">
        <v>49383</v>
      </c>
      <c r="W2977" t="s">
        <v>42149</v>
      </c>
      <c r="X2977" t="s">
        <v>44909</v>
      </c>
    </row>
    <row r="2978" spans="1:24">
      <c r="A2978">
        <f>HYPERLINK("https://www.philgeps.gov.ph/GEPSNONPILOT/Tender/SplashBidNoticeAbstractUI.aspx?menuIndex=3&amp;refID=7079239&amp;Result=3","7079239")</f>
        <v>0</v>
      </c>
      <c r="B2978" t="s">
        <v>1141</v>
      </c>
      <c r="C2978" t="s">
        <v>6371</v>
      </c>
      <c r="D2978" t="s">
        <v>18153</v>
      </c>
      <c r="E2978" t="s">
        <v>20907</v>
      </c>
      <c r="F2978" t="s">
        <v>31362</v>
      </c>
      <c r="G2978" t="s">
        <v>31370</v>
      </c>
      <c r="H2978" t="s">
        <v>15799</v>
      </c>
      <c r="I2978" t="s">
        <v>6155</v>
      </c>
      <c r="J2978" t="s">
        <v>31734</v>
      </c>
      <c r="K2978" t="s">
        <v>40662</v>
      </c>
      <c r="M2978" t="s">
        <v>42150</v>
      </c>
      <c r="N2978" t="s">
        <v>44905</v>
      </c>
      <c r="O2978" t="s">
        <v>44906</v>
      </c>
      <c r="P2978">
        <v>0</v>
      </c>
      <c r="Q2978">
        <v>8</v>
      </c>
      <c r="R2978" t="s">
        <v>44908</v>
      </c>
      <c r="S2978" t="s">
        <v>45042</v>
      </c>
      <c r="T2978" t="s">
        <v>46503</v>
      </c>
      <c r="U2978" t="s">
        <v>49384</v>
      </c>
      <c r="W2978" t="s">
        <v>60883</v>
      </c>
      <c r="X2978" t="s">
        <v>44909</v>
      </c>
    </row>
    <row r="2979" spans="1:24">
      <c r="A2979">
        <f>HYPERLINK("https://www.philgeps.gov.ph/GEPSNONPILOT/Tender/SplashBidNoticeAbstractUI.aspx?menuIndex=3&amp;refID=7079241&amp;Result=3","7079241")</f>
        <v>0</v>
      </c>
      <c r="B2979" t="s">
        <v>1115</v>
      </c>
      <c r="C2979" t="s">
        <v>6372</v>
      </c>
      <c r="D2979" t="s">
        <v>18104</v>
      </c>
      <c r="E2979" t="s">
        <v>20908</v>
      </c>
      <c r="F2979" t="s">
        <v>31362</v>
      </c>
      <c r="G2979" t="s">
        <v>31368</v>
      </c>
      <c r="H2979" t="s">
        <v>15799</v>
      </c>
      <c r="I2979" t="s">
        <v>31409</v>
      </c>
      <c r="J2979" t="s">
        <v>31688</v>
      </c>
      <c r="K2979" t="s">
        <v>40670</v>
      </c>
      <c r="M2979" t="s">
        <v>42121</v>
      </c>
      <c r="N2979" t="s">
        <v>44905</v>
      </c>
      <c r="O2979" t="s">
        <v>44906</v>
      </c>
      <c r="P2979">
        <v>0</v>
      </c>
      <c r="Q2979">
        <v>0</v>
      </c>
      <c r="R2979" t="s">
        <v>44908</v>
      </c>
      <c r="S2979" t="s">
        <v>45042</v>
      </c>
      <c r="T2979" t="s">
        <v>46470</v>
      </c>
      <c r="U2979" t="s">
        <v>49385</v>
      </c>
      <c r="V2979" t="s">
        <v>59378</v>
      </c>
      <c r="W2979" t="s">
        <v>42121</v>
      </c>
      <c r="X2979" t="s">
        <v>44909</v>
      </c>
    </row>
    <row r="2980" spans="1:24">
      <c r="A2980">
        <f>HYPERLINK("https://www.philgeps.gov.ph/GEPSNONPILOT/Tender/SplashBidNoticeAbstractUI.aspx?menuIndex=3&amp;refID=7079251&amp;Result=3","7079251")</f>
        <v>0</v>
      </c>
      <c r="B2980" t="s">
        <v>1142</v>
      </c>
      <c r="C2980" t="s">
        <v>6373</v>
      </c>
      <c r="D2980" t="s">
        <v>18136</v>
      </c>
      <c r="E2980" t="s">
        <v>20909</v>
      </c>
      <c r="F2980" t="s">
        <v>31362</v>
      </c>
      <c r="G2980" t="s">
        <v>31368</v>
      </c>
      <c r="H2980" t="s">
        <v>15799</v>
      </c>
      <c r="I2980" t="s">
        <v>6373</v>
      </c>
      <c r="J2980" t="s">
        <v>33521</v>
      </c>
      <c r="K2980" t="s">
        <v>40715</v>
      </c>
      <c r="M2980" t="s">
        <v>42151</v>
      </c>
      <c r="N2980" t="s">
        <v>44905</v>
      </c>
      <c r="O2980" t="s">
        <v>44906</v>
      </c>
      <c r="P2980">
        <v>0</v>
      </c>
      <c r="Q2980">
        <v>1</v>
      </c>
      <c r="R2980" t="s">
        <v>44908</v>
      </c>
      <c r="S2980" t="s">
        <v>45042</v>
      </c>
      <c r="T2980" t="s">
        <v>46432</v>
      </c>
      <c r="U2980" t="s">
        <v>49386</v>
      </c>
      <c r="V2980" t="s">
        <v>59381</v>
      </c>
      <c r="W2980" t="s">
        <v>42151</v>
      </c>
      <c r="X2980" t="s">
        <v>44909</v>
      </c>
    </row>
    <row r="2981" spans="1:24">
      <c r="A2981">
        <f>HYPERLINK("https://www.philgeps.gov.ph/GEPSNONPILOT/Tender/SplashBidNoticeAbstractUI.aspx?menuIndex=3&amp;refID=7079259&amp;Result=3","7079259")</f>
        <v>0</v>
      </c>
      <c r="B2981" t="s">
        <v>45</v>
      </c>
      <c r="C2981" t="s">
        <v>6374</v>
      </c>
      <c r="D2981" t="s">
        <v>18108</v>
      </c>
      <c r="E2981" t="s">
        <v>18985</v>
      </c>
      <c r="F2981" t="s">
        <v>31362</v>
      </c>
      <c r="G2981" t="s">
        <v>31369</v>
      </c>
      <c r="H2981" t="s">
        <v>15799</v>
      </c>
      <c r="I2981" t="s">
        <v>31406</v>
      </c>
      <c r="J2981" t="s">
        <v>33522</v>
      </c>
      <c r="K2981" t="s">
        <v>40675</v>
      </c>
      <c r="M2981" t="s">
        <v>40979</v>
      </c>
      <c r="N2981" t="s">
        <v>44905</v>
      </c>
      <c r="O2981" t="s">
        <v>44906</v>
      </c>
      <c r="P2981">
        <v>0</v>
      </c>
      <c r="Q2981">
        <v>13</v>
      </c>
      <c r="R2981" t="s">
        <v>44908</v>
      </c>
      <c r="S2981" t="s">
        <v>45042</v>
      </c>
      <c r="T2981" t="s">
        <v>46607</v>
      </c>
      <c r="U2981" t="s">
        <v>49387</v>
      </c>
      <c r="W2981" t="s">
        <v>40979</v>
      </c>
      <c r="X2981" t="s">
        <v>44909</v>
      </c>
    </row>
    <row r="2982" spans="1:24">
      <c r="A2982">
        <f>HYPERLINK("https://www.philgeps.gov.ph/GEPSNONPILOT/Tender/SplashBidNoticeAbstractUI.aspx?menuIndex=3&amp;refID=7079277&amp;Result=3","7079277")</f>
        <v>0</v>
      </c>
      <c r="B2982" t="s">
        <v>1143</v>
      </c>
      <c r="C2982" t="s">
        <v>6375</v>
      </c>
      <c r="D2982" t="s">
        <v>18178</v>
      </c>
      <c r="E2982" t="s">
        <v>20910</v>
      </c>
      <c r="F2982" t="s">
        <v>31362</v>
      </c>
      <c r="G2982" t="s">
        <v>31368</v>
      </c>
      <c r="H2982" t="s">
        <v>15799</v>
      </c>
      <c r="I2982" t="s">
        <v>31409</v>
      </c>
      <c r="J2982" t="s">
        <v>31536</v>
      </c>
      <c r="K2982" t="s">
        <v>40666</v>
      </c>
      <c r="M2982" t="s">
        <v>42152</v>
      </c>
      <c r="N2982" t="s">
        <v>44905</v>
      </c>
      <c r="O2982" t="s">
        <v>44906</v>
      </c>
      <c r="P2982">
        <v>0</v>
      </c>
      <c r="Q2982">
        <v>0</v>
      </c>
      <c r="R2982" t="s">
        <v>44908</v>
      </c>
      <c r="S2982" t="s">
        <v>45042</v>
      </c>
      <c r="T2982" t="s">
        <v>46425</v>
      </c>
      <c r="U2982" t="s">
        <v>49388</v>
      </c>
      <c r="W2982" t="s">
        <v>42152</v>
      </c>
      <c r="X2982" t="s">
        <v>44909</v>
      </c>
    </row>
    <row r="2983" spans="1:24">
      <c r="A2983">
        <f>HYPERLINK("https://www.philgeps.gov.ph/GEPSNONPILOT/Tender/SplashBidNoticeAbstractUI.aspx?menuIndex=3&amp;refID=7079275&amp;Result=3","7079275")</f>
        <v>0</v>
      </c>
      <c r="B2983" t="s">
        <v>791</v>
      </c>
      <c r="C2983" t="s">
        <v>6376</v>
      </c>
      <c r="D2983" t="s">
        <v>18108</v>
      </c>
      <c r="E2983" t="s">
        <v>20911</v>
      </c>
      <c r="F2983" t="s">
        <v>31362</v>
      </c>
      <c r="G2983" t="s">
        <v>31369</v>
      </c>
      <c r="H2983" t="s">
        <v>15799</v>
      </c>
      <c r="I2983" t="s">
        <v>7719</v>
      </c>
      <c r="J2983" t="s">
        <v>33523</v>
      </c>
      <c r="K2983" t="s">
        <v>40662</v>
      </c>
      <c r="M2983" t="s">
        <v>42138</v>
      </c>
      <c r="N2983" t="s">
        <v>44905</v>
      </c>
      <c r="O2983" t="s">
        <v>44906</v>
      </c>
      <c r="P2983">
        <v>0</v>
      </c>
      <c r="Q2983">
        <v>40</v>
      </c>
      <c r="R2983" t="s">
        <v>44908</v>
      </c>
      <c r="S2983" t="s">
        <v>45042</v>
      </c>
      <c r="T2983" t="s">
        <v>46511</v>
      </c>
      <c r="U2983" t="s">
        <v>49389</v>
      </c>
      <c r="W2983" t="s">
        <v>42138</v>
      </c>
      <c r="X2983" t="s">
        <v>44909</v>
      </c>
    </row>
    <row r="2984" spans="1:24">
      <c r="A2984">
        <f>HYPERLINK("https://www.philgeps.gov.ph/GEPSNONPILOT/Tender/SplashBidNoticeAbstractUI.aspx?menuIndex=3&amp;refID=7079274&amp;Result=3","7079274")</f>
        <v>0</v>
      </c>
      <c r="B2984" t="s">
        <v>1138</v>
      </c>
      <c r="C2984" t="s">
        <v>6377</v>
      </c>
      <c r="D2984" t="s">
        <v>18131</v>
      </c>
      <c r="E2984" t="s">
        <v>20912</v>
      </c>
      <c r="F2984" t="s">
        <v>31362</v>
      </c>
      <c r="G2984" t="s">
        <v>31369</v>
      </c>
      <c r="H2984" t="s">
        <v>31378</v>
      </c>
      <c r="I2984" t="s">
        <v>31386</v>
      </c>
      <c r="J2984" t="s">
        <v>33524</v>
      </c>
      <c r="K2984" t="s">
        <v>40662</v>
      </c>
      <c r="M2984" t="s">
        <v>42147</v>
      </c>
      <c r="N2984" t="s">
        <v>44905</v>
      </c>
      <c r="O2984" t="s">
        <v>44906</v>
      </c>
      <c r="P2984">
        <v>0</v>
      </c>
      <c r="Q2984">
        <v>1</v>
      </c>
      <c r="R2984" t="s">
        <v>44908</v>
      </c>
      <c r="S2984" t="s">
        <v>45042</v>
      </c>
      <c r="T2984" t="s">
        <v>46404</v>
      </c>
      <c r="U2984" t="s">
        <v>49390</v>
      </c>
      <c r="V2984" t="s">
        <v>59367</v>
      </c>
      <c r="W2984" t="s">
        <v>42147</v>
      </c>
      <c r="X2984" t="s">
        <v>44909</v>
      </c>
    </row>
    <row r="2985" spans="1:24">
      <c r="A2985">
        <f>HYPERLINK("https://www.philgeps.gov.ph/GEPSNONPILOT/Tender/SplashBidNoticeAbstractUI.aspx?menuIndex=3&amp;refID=7079273&amp;Result=3","7079273")</f>
        <v>0</v>
      </c>
      <c r="B2985" t="s">
        <v>1023</v>
      </c>
      <c r="C2985" t="s">
        <v>6378</v>
      </c>
      <c r="D2985" t="s">
        <v>18125</v>
      </c>
      <c r="E2985" t="s">
        <v>20913</v>
      </c>
      <c r="F2985" t="s">
        <v>31362</v>
      </c>
      <c r="G2985" t="s">
        <v>31369</v>
      </c>
      <c r="H2985" t="s">
        <v>31378</v>
      </c>
      <c r="I2985" t="s">
        <v>31386</v>
      </c>
      <c r="J2985" t="s">
        <v>33525</v>
      </c>
      <c r="K2985" t="s">
        <v>40755</v>
      </c>
      <c r="M2985" t="s">
        <v>42021</v>
      </c>
      <c r="N2985" t="s">
        <v>44905</v>
      </c>
      <c r="O2985" t="s">
        <v>44906</v>
      </c>
      <c r="P2985">
        <v>0</v>
      </c>
      <c r="Q2985">
        <v>3</v>
      </c>
      <c r="R2985" t="s">
        <v>44908</v>
      </c>
      <c r="S2985" t="s">
        <v>45042</v>
      </c>
      <c r="T2985" t="s">
        <v>46554</v>
      </c>
      <c r="U2985" t="s">
        <v>49391</v>
      </c>
      <c r="W2985" t="s">
        <v>42021</v>
      </c>
      <c r="X2985" t="s">
        <v>44909</v>
      </c>
    </row>
    <row r="2986" spans="1:24">
      <c r="A2986">
        <f>HYPERLINK("https://www.philgeps.gov.ph/GEPSNONPILOT/Tender/SplashBidNoticeAbstractUI.aspx?menuIndex=3&amp;refID=7079260&amp;Result=3","7079260")</f>
        <v>0</v>
      </c>
      <c r="B2986" t="s">
        <v>1144</v>
      </c>
      <c r="C2986" t="s">
        <v>6379</v>
      </c>
      <c r="D2986" t="s">
        <v>18154</v>
      </c>
      <c r="E2986" t="s">
        <v>20914</v>
      </c>
      <c r="F2986" t="s">
        <v>31362</v>
      </c>
      <c r="G2986" t="s">
        <v>31368</v>
      </c>
      <c r="H2986" t="s">
        <v>15799</v>
      </c>
      <c r="I2986" t="s">
        <v>31385</v>
      </c>
      <c r="J2986" t="s">
        <v>31546</v>
      </c>
      <c r="K2986" t="s">
        <v>40662</v>
      </c>
      <c r="M2986" t="s">
        <v>42153</v>
      </c>
      <c r="N2986" t="s">
        <v>44905</v>
      </c>
      <c r="O2986" t="s">
        <v>44906</v>
      </c>
      <c r="P2986">
        <v>0</v>
      </c>
      <c r="Q2986">
        <v>4</v>
      </c>
      <c r="R2986" t="s">
        <v>44908</v>
      </c>
      <c r="S2986" t="s">
        <v>45042</v>
      </c>
      <c r="T2986" t="s">
        <v>46478</v>
      </c>
      <c r="U2986" t="s">
        <v>49392</v>
      </c>
      <c r="W2986" t="s">
        <v>42153</v>
      </c>
      <c r="X2986" t="s">
        <v>44909</v>
      </c>
    </row>
    <row r="2987" spans="1:24">
      <c r="A2987">
        <f>HYPERLINK("https://www.philgeps.gov.ph/GEPSNONPILOT/Tender/SplashBidNoticeAbstractUI.aspx?menuIndex=3&amp;refID=7079262&amp;Result=3","7079262")</f>
        <v>0</v>
      </c>
      <c r="B2987" t="s">
        <v>333</v>
      </c>
      <c r="C2987" t="s">
        <v>6380</v>
      </c>
      <c r="D2987" t="s">
        <v>18108</v>
      </c>
      <c r="E2987" t="s">
        <v>20915</v>
      </c>
      <c r="F2987" t="s">
        <v>31362</v>
      </c>
      <c r="G2987" t="s">
        <v>31371</v>
      </c>
      <c r="H2987" t="s">
        <v>15799</v>
      </c>
      <c r="I2987" t="s">
        <v>31385</v>
      </c>
      <c r="J2987" t="s">
        <v>33526</v>
      </c>
      <c r="K2987" t="s">
        <v>40661</v>
      </c>
      <c r="M2987" t="s">
        <v>41279</v>
      </c>
      <c r="N2987" t="s">
        <v>44905</v>
      </c>
      <c r="O2987" t="s">
        <v>44906</v>
      </c>
      <c r="P2987">
        <v>0</v>
      </c>
      <c r="Q2987">
        <v>2</v>
      </c>
      <c r="R2987" t="s">
        <v>44908</v>
      </c>
      <c r="S2987" t="s">
        <v>45042</v>
      </c>
      <c r="T2987" t="s">
        <v>46483</v>
      </c>
      <c r="U2987" t="s">
        <v>49393</v>
      </c>
      <c r="W2987" t="s">
        <v>60847</v>
      </c>
      <c r="X2987" t="s">
        <v>44909</v>
      </c>
    </row>
    <row r="2988" spans="1:24">
      <c r="A2988">
        <f>HYPERLINK("https://www.philgeps.gov.ph/GEPSNONPILOT/Tender/SplashBidNoticeAbstractUI.aspx?menuIndex=3&amp;refID=7079281&amp;Result=3","7079281")</f>
        <v>0</v>
      </c>
      <c r="B2988" t="s">
        <v>405</v>
      </c>
      <c r="C2988" t="s">
        <v>6381</v>
      </c>
      <c r="D2988" t="s">
        <v>18100</v>
      </c>
      <c r="E2988" t="s">
        <v>20916</v>
      </c>
      <c r="F2988" t="s">
        <v>31362</v>
      </c>
      <c r="G2988" t="s">
        <v>31368</v>
      </c>
      <c r="H2988" t="s">
        <v>15799</v>
      </c>
      <c r="I2988" t="s">
        <v>6155</v>
      </c>
      <c r="J2988" t="s">
        <v>32536</v>
      </c>
      <c r="K2988" t="s">
        <v>40673</v>
      </c>
      <c r="M2988" t="s">
        <v>41355</v>
      </c>
      <c r="N2988" t="s">
        <v>44905</v>
      </c>
      <c r="O2988" t="s">
        <v>44906</v>
      </c>
      <c r="P2988">
        <v>0</v>
      </c>
      <c r="Q2988">
        <v>1</v>
      </c>
      <c r="R2988" t="s">
        <v>44908</v>
      </c>
      <c r="S2988" t="s">
        <v>45042</v>
      </c>
      <c r="T2988" t="s">
        <v>46454</v>
      </c>
      <c r="U2988" t="s">
        <v>49394</v>
      </c>
      <c r="W2988" t="s">
        <v>41355</v>
      </c>
      <c r="X2988" t="s">
        <v>44909</v>
      </c>
    </row>
    <row r="2989" spans="1:24">
      <c r="A2989">
        <f>HYPERLINK("https://www.philgeps.gov.ph/GEPSNONPILOT/Tender/SplashBidNoticeAbstractUI.aspx?menuIndex=3&amp;refID=7079269&amp;Result=3","7079269")</f>
        <v>0</v>
      </c>
      <c r="B2989" t="s">
        <v>1115</v>
      </c>
      <c r="C2989" t="s">
        <v>6382</v>
      </c>
      <c r="D2989" t="s">
        <v>18104</v>
      </c>
      <c r="E2989" t="s">
        <v>18683</v>
      </c>
      <c r="F2989" t="s">
        <v>31362</v>
      </c>
      <c r="G2989" t="s">
        <v>31368</v>
      </c>
      <c r="H2989" t="s">
        <v>15799</v>
      </c>
      <c r="I2989" t="s">
        <v>31451</v>
      </c>
      <c r="J2989" t="s">
        <v>33527</v>
      </c>
      <c r="K2989" t="s">
        <v>40670</v>
      </c>
      <c r="M2989" t="s">
        <v>42121</v>
      </c>
      <c r="N2989" t="s">
        <v>44905</v>
      </c>
      <c r="O2989" t="s">
        <v>44906</v>
      </c>
      <c r="P2989">
        <v>0</v>
      </c>
      <c r="Q2989">
        <v>0</v>
      </c>
      <c r="R2989" t="s">
        <v>44908</v>
      </c>
      <c r="S2989" t="s">
        <v>45042</v>
      </c>
      <c r="T2989" t="s">
        <v>46470</v>
      </c>
      <c r="U2989" t="s">
        <v>49395</v>
      </c>
      <c r="V2989" t="s">
        <v>59378</v>
      </c>
      <c r="W2989" t="s">
        <v>42121</v>
      </c>
      <c r="X2989" t="s">
        <v>44909</v>
      </c>
    </row>
    <row r="2990" spans="1:24">
      <c r="A2990">
        <f>HYPERLINK("https://www.philgeps.gov.ph/GEPSNONPILOT/Tender/SplashBidNoticeAbstractUI.aspx?menuIndex=3&amp;refID=7079267&amp;Result=3","7079267")</f>
        <v>0</v>
      </c>
      <c r="B2990" t="s">
        <v>1012</v>
      </c>
      <c r="C2990" t="s">
        <v>6383</v>
      </c>
      <c r="D2990" t="s">
        <v>18115</v>
      </c>
      <c r="E2990" t="s">
        <v>20917</v>
      </c>
      <c r="F2990" t="s">
        <v>31362</v>
      </c>
      <c r="G2990" t="s">
        <v>31369</v>
      </c>
      <c r="H2990" t="s">
        <v>31377</v>
      </c>
      <c r="I2990" t="s">
        <v>31377</v>
      </c>
      <c r="J2990" t="s">
        <v>33528</v>
      </c>
      <c r="K2990" t="s">
        <v>40756</v>
      </c>
      <c r="M2990" t="s">
        <v>42009</v>
      </c>
      <c r="N2990" t="s">
        <v>44905</v>
      </c>
      <c r="O2990" t="s">
        <v>44906</v>
      </c>
      <c r="P2990">
        <v>0</v>
      </c>
      <c r="Q2990">
        <v>3</v>
      </c>
      <c r="R2990" t="s">
        <v>44908</v>
      </c>
      <c r="S2990" t="s">
        <v>45042</v>
      </c>
      <c r="T2990" t="s">
        <v>46470</v>
      </c>
      <c r="U2990" t="s">
        <v>49396</v>
      </c>
      <c r="W2990" t="s">
        <v>42009</v>
      </c>
      <c r="X2990" t="s">
        <v>44909</v>
      </c>
    </row>
    <row r="2991" spans="1:24">
      <c r="A2991">
        <f>HYPERLINK("https://www.philgeps.gov.ph/GEPSNONPILOT/Tender/SplashBidNoticeAbstractUI.aspx?menuIndex=3&amp;refID=7079284&amp;Result=3","7079284")</f>
        <v>0</v>
      </c>
      <c r="B2991" t="s">
        <v>1115</v>
      </c>
      <c r="C2991" t="s">
        <v>6384</v>
      </c>
      <c r="D2991" t="s">
        <v>18104</v>
      </c>
      <c r="E2991" t="s">
        <v>20918</v>
      </c>
      <c r="F2991" t="s">
        <v>31362</v>
      </c>
      <c r="G2991" t="s">
        <v>31368</v>
      </c>
      <c r="H2991" t="s">
        <v>15799</v>
      </c>
      <c r="I2991" t="s">
        <v>31393</v>
      </c>
      <c r="J2991" t="s">
        <v>31575</v>
      </c>
      <c r="K2991" t="s">
        <v>40662</v>
      </c>
      <c r="M2991" t="s">
        <v>42121</v>
      </c>
      <c r="N2991" t="s">
        <v>44905</v>
      </c>
      <c r="O2991" t="s">
        <v>44906</v>
      </c>
      <c r="P2991">
        <v>0</v>
      </c>
      <c r="Q2991">
        <v>2</v>
      </c>
      <c r="R2991" t="s">
        <v>44908</v>
      </c>
      <c r="S2991" t="s">
        <v>45042</v>
      </c>
      <c r="T2991" t="s">
        <v>46470</v>
      </c>
      <c r="U2991" t="s">
        <v>49397</v>
      </c>
      <c r="V2991" t="s">
        <v>59378</v>
      </c>
      <c r="W2991" t="s">
        <v>42121</v>
      </c>
      <c r="X2991" t="s">
        <v>44909</v>
      </c>
    </row>
    <row r="2992" spans="1:24">
      <c r="A2992">
        <f>HYPERLINK("https://www.philgeps.gov.ph/GEPSNONPILOT/Tender/SplashBidNoticeAbstractUI.aspx?menuIndex=3&amp;refID=7079283&amp;Result=3","7079283")</f>
        <v>0</v>
      </c>
      <c r="B2992" t="s">
        <v>1122</v>
      </c>
      <c r="C2992" t="s">
        <v>6385</v>
      </c>
      <c r="D2992" t="s">
        <v>18113</v>
      </c>
      <c r="E2992" t="s">
        <v>20919</v>
      </c>
      <c r="F2992" t="s">
        <v>31362</v>
      </c>
      <c r="G2992" t="s">
        <v>31368</v>
      </c>
      <c r="H2992" t="s">
        <v>15799</v>
      </c>
      <c r="I2992" t="s">
        <v>4057</v>
      </c>
      <c r="J2992" t="s">
        <v>31819</v>
      </c>
      <c r="K2992" t="s">
        <v>40665</v>
      </c>
      <c r="M2992" t="s">
        <v>42129</v>
      </c>
      <c r="N2992" t="s">
        <v>44905</v>
      </c>
      <c r="O2992" t="s">
        <v>44906</v>
      </c>
      <c r="P2992">
        <v>0</v>
      </c>
      <c r="Q2992">
        <v>0</v>
      </c>
      <c r="R2992" t="s">
        <v>44908</v>
      </c>
      <c r="S2992" t="s">
        <v>45042</v>
      </c>
      <c r="T2992" t="s">
        <v>46483</v>
      </c>
      <c r="U2992" t="s">
        <v>49398</v>
      </c>
      <c r="W2992" t="s">
        <v>42129</v>
      </c>
      <c r="X2992" t="s">
        <v>44909</v>
      </c>
    </row>
    <row r="2993" spans="1:24">
      <c r="A2993">
        <f>HYPERLINK("https://www.philgeps.gov.ph/GEPSNONPILOT/Tender/SplashBidNoticeAbstractUI.aspx?menuIndex=3&amp;refID=7079282&amp;Result=3","7079282")</f>
        <v>0</v>
      </c>
      <c r="B2993" t="s">
        <v>1145</v>
      </c>
      <c r="C2993" t="s">
        <v>6386</v>
      </c>
      <c r="D2993" t="s">
        <v>18172</v>
      </c>
      <c r="E2993" t="s">
        <v>20920</v>
      </c>
      <c r="F2993" t="s">
        <v>31362</v>
      </c>
      <c r="G2993" t="s">
        <v>31369</v>
      </c>
      <c r="H2993" t="s">
        <v>15799</v>
      </c>
      <c r="I2993" t="s">
        <v>7090</v>
      </c>
      <c r="J2993" t="s">
        <v>33529</v>
      </c>
      <c r="K2993" t="s">
        <v>40662</v>
      </c>
      <c r="M2993" t="s">
        <v>42154</v>
      </c>
      <c r="N2993" t="s">
        <v>44905</v>
      </c>
      <c r="O2993" t="s">
        <v>44906</v>
      </c>
      <c r="P2993">
        <v>0</v>
      </c>
      <c r="Q2993">
        <v>0</v>
      </c>
      <c r="R2993" t="s">
        <v>44908</v>
      </c>
      <c r="S2993" t="s">
        <v>45042</v>
      </c>
      <c r="T2993" t="s">
        <v>46415</v>
      </c>
      <c r="U2993" t="s">
        <v>49399</v>
      </c>
      <c r="V2993" t="s">
        <v>59382</v>
      </c>
      <c r="W2993" t="s">
        <v>42154</v>
      </c>
      <c r="X2993" t="s">
        <v>44909</v>
      </c>
    </row>
    <row r="2994" spans="1:24">
      <c r="A2994">
        <f>HYPERLINK("https://www.philgeps.gov.ph/GEPSNONPILOT/Tender/SplashBidNoticeAbstractUI.aspx?menuIndex=3&amp;refID=7079266&amp;Result=3","7079266")</f>
        <v>0</v>
      </c>
      <c r="B2994" t="s">
        <v>1112</v>
      </c>
      <c r="C2994" t="s">
        <v>6387</v>
      </c>
      <c r="D2994" t="s">
        <v>18111</v>
      </c>
      <c r="E2994" t="s">
        <v>20921</v>
      </c>
      <c r="F2994" t="s">
        <v>31362</v>
      </c>
      <c r="G2994" t="s">
        <v>31368</v>
      </c>
      <c r="H2994" t="s">
        <v>15799</v>
      </c>
      <c r="I2994" t="s">
        <v>6373</v>
      </c>
      <c r="J2994" t="s">
        <v>33530</v>
      </c>
      <c r="K2994" t="s">
        <v>40661</v>
      </c>
      <c r="M2994" t="s">
        <v>42117</v>
      </c>
      <c r="N2994" t="s">
        <v>44905</v>
      </c>
      <c r="O2994" t="s">
        <v>44906</v>
      </c>
      <c r="P2994">
        <v>0</v>
      </c>
      <c r="Q2994">
        <v>2</v>
      </c>
      <c r="R2994" t="s">
        <v>44908</v>
      </c>
      <c r="S2994" t="s">
        <v>45042</v>
      </c>
      <c r="T2994" t="s">
        <v>46414</v>
      </c>
      <c r="U2994" t="s">
        <v>49400</v>
      </c>
      <c r="W2994" t="s">
        <v>42117</v>
      </c>
      <c r="X2994" t="s">
        <v>44909</v>
      </c>
    </row>
    <row r="2995" spans="1:24">
      <c r="A2995">
        <f>HYPERLINK("https://www.philgeps.gov.ph/GEPSNONPILOT/Tender/SplashBidNoticeAbstractUI.aspx?menuIndex=3&amp;refID=7079263&amp;Result=3","7079263")</f>
        <v>0</v>
      </c>
      <c r="B2995" t="s">
        <v>1122</v>
      </c>
      <c r="C2995" t="s">
        <v>6388</v>
      </c>
      <c r="D2995" t="s">
        <v>18113</v>
      </c>
      <c r="E2995" t="s">
        <v>20922</v>
      </c>
      <c r="F2995" t="s">
        <v>31362</v>
      </c>
      <c r="G2995" t="s">
        <v>31368</v>
      </c>
      <c r="H2995" t="s">
        <v>15799</v>
      </c>
      <c r="I2995" t="s">
        <v>4057</v>
      </c>
      <c r="J2995" t="s">
        <v>33531</v>
      </c>
      <c r="K2995" t="s">
        <v>40665</v>
      </c>
      <c r="M2995" t="s">
        <v>42129</v>
      </c>
      <c r="N2995" t="s">
        <v>44905</v>
      </c>
      <c r="O2995" t="s">
        <v>44906</v>
      </c>
      <c r="P2995">
        <v>0</v>
      </c>
      <c r="Q2995">
        <v>0</v>
      </c>
      <c r="R2995" t="s">
        <v>44908</v>
      </c>
      <c r="S2995" t="s">
        <v>45042</v>
      </c>
      <c r="T2995" t="s">
        <v>46483</v>
      </c>
      <c r="U2995" t="s">
        <v>49401</v>
      </c>
      <c r="W2995" t="s">
        <v>42129</v>
      </c>
      <c r="X2995" t="s">
        <v>44909</v>
      </c>
    </row>
    <row r="2996" spans="1:24">
      <c r="A2996">
        <f>HYPERLINK("https://www.philgeps.gov.ph/GEPSNONPILOT/Tender/SplashBidNoticeAbstractUI.aspx?menuIndex=3&amp;refID=7079270&amp;Result=3","7079270")</f>
        <v>0</v>
      </c>
      <c r="B2996" t="s">
        <v>977</v>
      </c>
      <c r="C2996" t="s">
        <v>6389</v>
      </c>
      <c r="D2996" t="s">
        <v>18127</v>
      </c>
      <c r="E2996" t="s">
        <v>20923</v>
      </c>
      <c r="F2996" t="s">
        <v>31362</v>
      </c>
      <c r="G2996" t="s">
        <v>31371</v>
      </c>
      <c r="H2996" t="s">
        <v>15799</v>
      </c>
      <c r="I2996" t="s">
        <v>31385</v>
      </c>
      <c r="J2996" t="s">
        <v>33532</v>
      </c>
      <c r="K2996" t="s">
        <v>40662</v>
      </c>
      <c r="M2996" t="s">
        <v>41968</v>
      </c>
      <c r="N2996" t="s">
        <v>44905</v>
      </c>
      <c r="O2996" t="s">
        <v>44906</v>
      </c>
      <c r="P2996">
        <v>0</v>
      </c>
      <c r="Q2996">
        <v>3</v>
      </c>
      <c r="R2996" t="s">
        <v>44908</v>
      </c>
      <c r="S2996" t="s">
        <v>45042</v>
      </c>
      <c r="T2996" t="s">
        <v>46435</v>
      </c>
      <c r="U2996" t="s">
        <v>49402</v>
      </c>
      <c r="W2996" t="s">
        <v>41968</v>
      </c>
      <c r="X2996" t="s">
        <v>44909</v>
      </c>
    </row>
    <row r="2997" spans="1:24">
      <c r="A2997">
        <f>HYPERLINK("https://www.philgeps.gov.ph/GEPSNONPILOT/Tender/SplashBidNoticeAbstractUI.aspx?menuIndex=3&amp;refID=7079285&amp;Result=3","7079285")</f>
        <v>0</v>
      </c>
      <c r="B2997" t="s">
        <v>183</v>
      </c>
      <c r="C2997" t="s">
        <v>6390</v>
      </c>
      <c r="D2997" t="s">
        <v>18129</v>
      </c>
      <c r="E2997" t="s">
        <v>20924</v>
      </c>
      <c r="F2997" t="s">
        <v>31362</v>
      </c>
      <c r="G2997" t="s">
        <v>31369</v>
      </c>
      <c r="H2997" t="s">
        <v>15799</v>
      </c>
      <c r="I2997" t="s">
        <v>31415</v>
      </c>
      <c r="J2997" t="s">
        <v>33533</v>
      </c>
      <c r="K2997" t="s">
        <v>40665</v>
      </c>
      <c r="M2997" t="s">
        <v>41121</v>
      </c>
      <c r="N2997" t="s">
        <v>44905</v>
      </c>
      <c r="O2997" t="s">
        <v>44906</v>
      </c>
      <c r="P2997">
        <v>0</v>
      </c>
      <c r="Q2997">
        <v>0</v>
      </c>
      <c r="R2997" t="s">
        <v>44908</v>
      </c>
      <c r="S2997" t="s">
        <v>45042</v>
      </c>
      <c r="T2997" t="s">
        <v>46627</v>
      </c>
      <c r="U2997" t="s">
        <v>49403</v>
      </c>
      <c r="W2997" t="s">
        <v>41121</v>
      </c>
      <c r="X2997" t="s">
        <v>44909</v>
      </c>
    </row>
    <row r="2998" spans="1:24">
      <c r="A2998">
        <f>HYPERLINK("https://www.philgeps.gov.ph/GEPSNONPILOT/Tender/SplashBidNoticeAbstractUI.aspx?menuIndex=3&amp;refID=7079264&amp;Result=3","7079264")</f>
        <v>0</v>
      </c>
      <c r="B2998" t="s">
        <v>183</v>
      </c>
      <c r="C2998" t="s">
        <v>6391</v>
      </c>
      <c r="D2998" t="s">
        <v>18129</v>
      </c>
      <c r="E2998" t="s">
        <v>20925</v>
      </c>
      <c r="F2998" t="s">
        <v>31362</v>
      </c>
      <c r="G2998" t="s">
        <v>31369</v>
      </c>
      <c r="H2998" t="s">
        <v>15799</v>
      </c>
      <c r="I2998" t="s">
        <v>31415</v>
      </c>
      <c r="J2998" t="s">
        <v>33534</v>
      </c>
      <c r="K2998" t="s">
        <v>40665</v>
      </c>
      <c r="M2998" t="s">
        <v>41121</v>
      </c>
      <c r="N2998" t="s">
        <v>44905</v>
      </c>
      <c r="O2998" t="s">
        <v>44906</v>
      </c>
      <c r="P2998">
        <v>0</v>
      </c>
      <c r="Q2998">
        <v>1</v>
      </c>
      <c r="R2998" t="s">
        <v>44908</v>
      </c>
      <c r="S2998" t="s">
        <v>45042</v>
      </c>
      <c r="T2998" t="s">
        <v>46465</v>
      </c>
      <c r="U2998" t="s">
        <v>49404</v>
      </c>
      <c r="W2998" t="s">
        <v>41121</v>
      </c>
      <c r="X2998" t="s">
        <v>44909</v>
      </c>
    </row>
    <row r="2999" spans="1:24">
      <c r="A2999">
        <f>HYPERLINK("https://www.philgeps.gov.ph/GEPSNONPILOT/Tender/SplashBidNoticeAbstractUI.aspx?menuIndex=3&amp;refID=7079272&amp;Result=3","7079272")</f>
        <v>0</v>
      </c>
      <c r="B2999" t="s">
        <v>913</v>
      </c>
      <c r="C2999" t="s">
        <v>6392</v>
      </c>
      <c r="D2999" t="s">
        <v>18176</v>
      </c>
      <c r="E2999" t="s">
        <v>20926</v>
      </c>
      <c r="F2999" t="s">
        <v>31362</v>
      </c>
      <c r="G2999" t="s">
        <v>31369</v>
      </c>
      <c r="H2999" t="s">
        <v>31378</v>
      </c>
      <c r="I2999" t="s">
        <v>31386</v>
      </c>
      <c r="J2999" t="s">
        <v>33535</v>
      </c>
      <c r="K2999" t="s">
        <v>40665</v>
      </c>
      <c r="M2999" t="s">
        <v>41896</v>
      </c>
      <c r="N2999" t="s">
        <v>44905</v>
      </c>
      <c r="O2999" t="s">
        <v>44906</v>
      </c>
      <c r="P2999">
        <v>0</v>
      </c>
      <c r="Q2999">
        <v>0</v>
      </c>
      <c r="R2999" t="s">
        <v>44908</v>
      </c>
      <c r="S2999" t="s">
        <v>45042</v>
      </c>
      <c r="T2999" t="s">
        <v>46426</v>
      </c>
      <c r="U2999" t="s">
        <v>49405</v>
      </c>
      <c r="W2999" t="s">
        <v>41896</v>
      </c>
      <c r="X2999" t="s">
        <v>44909</v>
      </c>
    </row>
    <row r="3000" spans="1:24">
      <c r="A3000">
        <f>HYPERLINK("https://www.philgeps.gov.ph/GEPSNONPILOT/Tender/SplashBidNoticeAbstractUI.aspx?menuIndex=3&amp;refID=7079298&amp;Result=3","7079298")</f>
        <v>0</v>
      </c>
      <c r="B3000" t="s">
        <v>260</v>
      </c>
      <c r="C3000" t="s">
        <v>6156</v>
      </c>
      <c r="D3000" t="s">
        <v>18164</v>
      </c>
      <c r="E3000" t="s">
        <v>20927</v>
      </c>
      <c r="F3000" t="s">
        <v>31362</v>
      </c>
      <c r="G3000" t="s">
        <v>31368</v>
      </c>
      <c r="H3000" t="s">
        <v>15799</v>
      </c>
      <c r="I3000" t="s">
        <v>31455</v>
      </c>
      <c r="J3000" t="s">
        <v>31734</v>
      </c>
      <c r="K3000" t="s">
        <v>40662</v>
      </c>
      <c r="M3000" t="s">
        <v>41201</v>
      </c>
      <c r="N3000" t="s">
        <v>44905</v>
      </c>
      <c r="O3000" t="s">
        <v>44906</v>
      </c>
      <c r="P3000">
        <v>0</v>
      </c>
      <c r="Q3000">
        <v>0</v>
      </c>
      <c r="R3000" t="s">
        <v>44908</v>
      </c>
      <c r="S3000" t="s">
        <v>45042</v>
      </c>
      <c r="T3000" t="s">
        <v>46414</v>
      </c>
      <c r="U3000" t="s">
        <v>49190</v>
      </c>
      <c r="W3000" t="s">
        <v>41201</v>
      </c>
      <c r="X3000" t="s">
        <v>44909</v>
      </c>
    </row>
    <row r="3001" spans="1:24">
      <c r="A3001">
        <f>HYPERLINK("https://www.philgeps.gov.ph/GEPSNONPILOT/Tender/SplashBidNoticeAbstractUI.aspx?menuIndex=3&amp;refID=7079296&amp;Result=3","7079296")</f>
        <v>0</v>
      </c>
      <c r="B3001" t="s">
        <v>1146</v>
      </c>
      <c r="C3001" t="s">
        <v>6393</v>
      </c>
      <c r="D3001" t="s">
        <v>18131</v>
      </c>
      <c r="E3001" t="s">
        <v>20928</v>
      </c>
      <c r="F3001" t="s">
        <v>31362</v>
      </c>
      <c r="G3001" t="s">
        <v>31371</v>
      </c>
      <c r="H3001" t="s">
        <v>15799</v>
      </c>
      <c r="I3001" t="s">
        <v>31384</v>
      </c>
      <c r="J3001" t="s">
        <v>33536</v>
      </c>
      <c r="K3001" t="s">
        <v>40661</v>
      </c>
      <c r="M3001" t="s">
        <v>42155</v>
      </c>
      <c r="N3001" t="s">
        <v>44905</v>
      </c>
      <c r="O3001" t="s">
        <v>44906</v>
      </c>
      <c r="P3001">
        <v>0</v>
      </c>
      <c r="Q3001">
        <v>8</v>
      </c>
      <c r="R3001" t="s">
        <v>44908</v>
      </c>
      <c r="S3001" t="s">
        <v>45042</v>
      </c>
      <c r="T3001" t="s">
        <v>46443</v>
      </c>
      <c r="U3001" t="s">
        <v>49406</v>
      </c>
      <c r="W3001" t="s">
        <v>60884</v>
      </c>
      <c r="X3001" t="s">
        <v>44909</v>
      </c>
    </row>
    <row r="3002" spans="1:24">
      <c r="A3002">
        <f>HYPERLINK("https://www.philgeps.gov.ph/GEPSNONPILOT/Tender/SplashBidNoticeAbstractUI.aspx?menuIndex=3&amp;refID=7079295&amp;Result=3","7079295")</f>
        <v>0</v>
      </c>
      <c r="B3002" t="s">
        <v>1147</v>
      </c>
      <c r="C3002" t="s">
        <v>6394</v>
      </c>
      <c r="D3002" t="s">
        <v>18119</v>
      </c>
      <c r="E3002" t="s">
        <v>20929</v>
      </c>
      <c r="F3002" t="s">
        <v>31362</v>
      </c>
      <c r="G3002" t="s">
        <v>31368</v>
      </c>
      <c r="H3002" t="s">
        <v>15799</v>
      </c>
      <c r="I3002" t="s">
        <v>3815</v>
      </c>
      <c r="J3002" t="s">
        <v>31578</v>
      </c>
      <c r="K3002" t="s">
        <v>40666</v>
      </c>
      <c r="M3002" t="s">
        <v>42156</v>
      </c>
      <c r="N3002" t="s">
        <v>44905</v>
      </c>
      <c r="O3002" t="s">
        <v>44906</v>
      </c>
      <c r="P3002">
        <v>0</v>
      </c>
      <c r="Q3002">
        <v>0</v>
      </c>
      <c r="R3002" t="s">
        <v>44908</v>
      </c>
      <c r="S3002" t="s">
        <v>45042</v>
      </c>
      <c r="T3002" t="s">
        <v>46428</v>
      </c>
      <c r="U3002" t="s">
        <v>49407</v>
      </c>
      <c r="V3002" t="s">
        <v>59383</v>
      </c>
      <c r="W3002" t="s">
        <v>42156</v>
      </c>
      <c r="X3002" t="s">
        <v>44909</v>
      </c>
    </row>
    <row r="3003" spans="1:24">
      <c r="A3003">
        <f>HYPERLINK("https://www.philgeps.gov.ph/GEPSNONPILOT/Tender/SplashBidNoticeAbstractUI.aspx?menuIndex=3&amp;refID=7079293&amp;Result=3","7079293")</f>
        <v>0</v>
      </c>
      <c r="B3003" t="s">
        <v>1132</v>
      </c>
      <c r="C3003" t="s">
        <v>6395</v>
      </c>
      <c r="D3003" t="s">
        <v>18112</v>
      </c>
      <c r="E3003" t="s">
        <v>20894</v>
      </c>
      <c r="F3003" t="s">
        <v>31362</v>
      </c>
      <c r="G3003" t="s">
        <v>31372</v>
      </c>
      <c r="H3003" t="s">
        <v>15799</v>
      </c>
      <c r="I3003" t="s">
        <v>31429</v>
      </c>
      <c r="J3003" t="s">
        <v>31724</v>
      </c>
      <c r="K3003" t="s">
        <v>40670</v>
      </c>
      <c r="M3003" t="s">
        <v>42140</v>
      </c>
      <c r="N3003" t="s">
        <v>44905</v>
      </c>
      <c r="O3003" t="s">
        <v>44906</v>
      </c>
      <c r="P3003">
        <v>0</v>
      </c>
      <c r="Q3003">
        <v>3</v>
      </c>
      <c r="R3003" t="s">
        <v>44908</v>
      </c>
      <c r="S3003" t="s">
        <v>45042</v>
      </c>
      <c r="T3003" t="s">
        <v>46412</v>
      </c>
      <c r="U3003" t="s">
        <v>49408</v>
      </c>
      <c r="W3003" t="s">
        <v>42140</v>
      </c>
      <c r="X3003" t="s">
        <v>44909</v>
      </c>
    </row>
    <row r="3004" spans="1:24">
      <c r="A3004">
        <f>HYPERLINK("https://www.philgeps.gov.ph/GEPSNONPILOT/Tender/SplashBidNoticeAbstractUI.aspx?menuIndex=3&amp;refID=7079278&amp;Result=3","7079278")</f>
        <v>0</v>
      </c>
      <c r="B3004" t="s">
        <v>1142</v>
      </c>
      <c r="C3004" t="s">
        <v>6373</v>
      </c>
      <c r="D3004" t="s">
        <v>18136</v>
      </c>
      <c r="E3004" t="s">
        <v>20930</v>
      </c>
      <c r="F3004" t="s">
        <v>31362</v>
      </c>
      <c r="G3004" t="s">
        <v>31368</v>
      </c>
      <c r="H3004" t="s">
        <v>15799</v>
      </c>
      <c r="I3004" t="s">
        <v>6373</v>
      </c>
      <c r="J3004" t="s">
        <v>33537</v>
      </c>
      <c r="K3004" t="s">
        <v>40715</v>
      </c>
      <c r="M3004" t="s">
        <v>42151</v>
      </c>
      <c r="N3004" t="s">
        <v>44905</v>
      </c>
      <c r="O3004" t="s">
        <v>44906</v>
      </c>
      <c r="P3004">
        <v>0</v>
      </c>
      <c r="Q3004">
        <v>2</v>
      </c>
      <c r="R3004" t="s">
        <v>44908</v>
      </c>
      <c r="S3004" t="s">
        <v>45042</v>
      </c>
      <c r="T3004" t="s">
        <v>46432</v>
      </c>
      <c r="U3004" t="s">
        <v>49409</v>
      </c>
      <c r="V3004" t="s">
        <v>59381</v>
      </c>
      <c r="W3004" t="s">
        <v>42151</v>
      </c>
      <c r="X3004" t="s">
        <v>44909</v>
      </c>
    </row>
    <row r="3005" spans="1:24">
      <c r="A3005">
        <f>HYPERLINK("https://www.philgeps.gov.ph/GEPSNONPILOT/Tender/SplashBidNoticeAbstractUI.aspx?menuIndex=3&amp;refID=7079287&amp;Result=3","7079287")</f>
        <v>0</v>
      </c>
      <c r="B3005" t="s">
        <v>1044</v>
      </c>
      <c r="C3005" t="s">
        <v>6396</v>
      </c>
      <c r="D3005" t="s">
        <v>18100</v>
      </c>
      <c r="E3005" t="s">
        <v>18744</v>
      </c>
      <c r="F3005" t="s">
        <v>31362</v>
      </c>
      <c r="G3005" t="s">
        <v>31368</v>
      </c>
      <c r="H3005" t="s">
        <v>15799</v>
      </c>
      <c r="I3005" t="s">
        <v>31395</v>
      </c>
      <c r="J3005" t="s">
        <v>33538</v>
      </c>
      <c r="K3005" t="s">
        <v>40670</v>
      </c>
      <c r="M3005" t="s">
        <v>42043</v>
      </c>
      <c r="N3005" t="s">
        <v>44905</v>
      </c>
      <c r="O3005" t="s">
        <v>44906</v>
      </c>
      <c r="P3005">
        <v>0</v>
      </c>
      <c r="Q3005">
        <v>1</v>
      </c>
      <c r="R3005" t="s">
        <v>44908</v>
      </c>
      <c r="S3005" t="s">
        <v>45042</v>
      </c>
      <c r="T3005" t="s">
        <v>46637</v>
      </c>
      <c r="U3005" t="s">
        <v>49410</v>
      </c>
      <c r="W3005" t="s">
        <v>42043</v>
      </c>
      <c r="X3005" t="s">
        <v>44909</v>
      </c>
    </row>
    <row r="3006" spans="1:24">
      <c r="A3006">
        <f>HYPERLINK("https://www.philgeps.gov.ph/GEPSNONPILOT/Tender/SplashBidNoticeAbstractUI.aspx?menuIndex=3&amp;refID=7079290&amp;Result=3","7079290")</f>
        <v>0</v>
      </c>
      <c r="B3006" t="s">
        <v>1112</v>
      </c>
      <c r="C3006" t="s">
        <v>6387</v>
      </c>
      <c r="D3006" t="s">
        <v>18111</v>
      </c>
      <c r="E3006" t="s">
        <v>20931</v>
      </c>
      <c r="F3006" t="s">
        <v>31362</v>
      </c>
      <c r="G3006" t="s">
        <v>31368</v>
      </c>
      <c r="H3006" t="s">
        <v>15799</v>
      </c>
      <c r="I3006" t="s">
        <v>6373</v>
      </c>
      <c r="J3006" t="s">
        <v>33539</v>
      </c>
      <c r="K3006" t="s">
        <v>40661</v>
      </c>
      <c r="M3006" t="s">
        <v>42117</v>
      </c>
      <c r="N3006" t="s">
        <v>44905</v>
      </c>
      <c r="O3006" t="s">
        <v>44906</v>
      </c>
      <c r="P3006">
        <v>0</v>
      </c>
      <c r="Q3006">
        <v>2</v>
      </c>
      <c r="R3006" t="s">
        <v>44908</v>
      </c>
      <c r="S3006" t="s">
        <v>45042</v>
      </c>
      <c r="T3006" t="s">
        <v>46414</v>
      </c>
      <c r="U3006" t="s">
        <v>49334</v>
      </c>
      <c r="W3006" t="s">
        <v>42117</v>
      </c>
      <c r="X3006" t="s">
        <v>44909</v>
      </c>
    </row>
    <row r="3007" spans="1:24">
      <c r="A3007">
        <f>HYPERLINK("https://www.philgeps.gov.ph/GEPSNONPILOT/Tender/SplashBidNoticeAbstractUI.aspx?menuIndex=3&amp;refID=7079307&amp;Result=3","7079307")</f>
        <v>0</v>
      </c>
      <c r="B3007" t="s">
        <v>1081</v>
      </c>
      <c r="C3007" t="s">
        <v>6397</v>
      </c>
      <c r="D3007" t="s">
        <v>18135</v>
      </c>
      <c r="E3007" t="s">
        <v>20932</v>
      </c>
      <c r="F3007" t="s">
        <v>31362</v>
      </c>
      <c r="G3007" t="s">
        <v>31369</v>
      </c>
      <c r="H3007" t="s">
        <v>15799</v>
      </c>
      <c r="I3007" t="s">
        <v>31409</v>
      </c>
      <c r="J3007" t="s">
        <v>32018</v>
      </c>
      <c r="K3007" t="s">
        <v>40680</v>
      </c>
      <c r="M3007" t="s">
        <v>42084</v>
      </c>
      <c r="N3007" t="s">
        <v>44905</v>
      </c>
      <c r="O3007" t="s">
        <v>44906</v>
      </c>
      <c r="P3007">
        <v>0</v>
      </c>
      <c r="Q3007">
        <v>0</v>
      </c>
      <c r="R3007" t="s">
        <v>44908</v>
      </c>
      <c r="S3007" t="s">
        <v>45042</v>
      </c>
      <c r="T3007" t="s">
        <v>46638</v>
      </c>
      <c r="U3007" t="s">
        <v>49411</v>
      </c>
      <c r="W3007" t="s">
        <v>42084</v>
      </c>
      <c r="X3007" t="s">
        <v>44909</v>
      </c>
    </row>
    <row r="3008" spans="1:24">
      <c r="A3008">
        <f>HYPERLINK("https://www.philgeps.gov.ph/GEPSNONPILOT/Tender/SplashBidNoticeAbstractUI.aspx?menuIndex=3&amp;refID=7079297&amp;Result=3","7079297")</f>
        <v>0</v>
      </c>
      <c r="B3008" t="s">
        <v>993</v>
      </c>
      <c r="C3008" t="s">
        <v>6398</v>
      </c>
      <c r="D3008" t="s">
        <v>18103</v>
      </c>
      <c r="E3008" t="s">
        <v>20824</v>
      </c>
      <c r="F3008" t="s">
        <v>31362</v>
      </c>
      <c r="G3008" t="s">
        <v>31369</v>
      </c>
      <c r="H3008" t="s">
        <v>31378</v>
      </c>
      <c r="I3008" t="s">
        <v>31386</v>
      </c>
      <c r="J3008" t="s">
        <v>33540</v>
      </c>
      <c r="K3008" t="s">
        <v>40711</v>
      </c>
      <c r="M3008" t="s">
        <v>41988</v>
      </c>
      <c r="N3008" t="s">
        <v>44905</v>
      </c>
      <c r="O3008" t="s">
        <v>44906</v>
      </c>
      <c r="P3008">
        <v>0</v>
      </c>
      <c r="Q3008">
        <v>0</v>
      </c>
      <c r="R3008" t="s">
        <v>44908</v>
      </c>
      <c r="S3008" t="s">
        <v>45042</v>
      </c>
      <c r="T3008" t="s">
        <v>46522</v>
      </c>
      <c r="U3008" t="s">
        <v>49053</v>
      </c>
      <c r="W3008" t="s">
        <v>41988</v>
      </c>
      <c r="X3008" t="s">
        <v>44909</v>
      </c>
    </row>
    <row r="3009" spans="1:24">
      <c r="A3009">
        <f>HYPERLINK("https://www.philgeps.gov.ph/GEPSNONPILOT/Tender/SplashBidNoticeAbstractUI.aspx?menuIndex=3&amp;refID=7079294&amp;Result=3","7079294")</f>
        <v>0</v>
      </c>
      <c r="B3009" t="s">
        <v>1148</v>
      </c>
      <c r="C3009" t="s">
        <v>6399</v>
      </c>
      <c r="D3009" t="s">
        <v>18168</v>
      </c>
      <c r="E3009" t="s">
        <v>20764</v>
      </c>
      <c r="F3009" t="s">
        <v>31362</v>
      </c>
      <c r="G3009" t="s">
        <v>31370</v>
      </c>
      <c r="H3009" t="s">
        <v>15799</v>
      </c>
      <c r="I3009" t="s">
        <v>31427</v>
      </c>
      <c r="J3009" t="s">
        <v>33541</v>
      </c>
      <c r="K3009" t="s">
        <v>40661</v>
      </c>
      <c r="M3009" t="s">
        <v>42157</v>
      </c>
      <c r="N3009" t="s">
        <v>44905</v>
      </c>
      <c r="O3009" t="s">
        <v>44906</v>
      </c>
      <c r="P3009">
        <v>0</v>
      </c>
      <c r="Q3009">
        <v>6</v>
      </c>
      <c r="R3009" t="s">
        <v>44908</v>
      </c>
      <c r="S3009" t="s">
        <v>45042</v>
      </c>
      <c r="T3009" t="s">
        <v>46435</v>
      </c>
      <c r="U3009" t="s">
        <v>49412</v>
      </c>
      <c r="W3009" t="s">
        <v>42157</v>
      </c>
      <c r="X3009" t="s">
        <v>44909</v>
      </c>
    </row>
    <row r="3010" spans="1:24">
      <c r="A3010">
        <f>HYPERLINK("https://www.philgeps.gov.ph/GEPSNONPILOT/Tender/SplashBidNoticeAbstractUI.aspx?menuIndex=3&amp;refID=7079306&amp;Result=3","7079306")</f>
        <v>0</v>
      </c>
      <c r="B3010" t="s">
        <v>1035</v>
      </c>
      <c r="C3010" t="s">
        <v>6400</v>
      </c>
      <c r="D3010" t="s">
        <v>18148</v>
      </c>
      <c r="E3010" t="s">
        <v>20933</v>
      </c>
      <c r="F3010" t="s">
        <v>31362</v>
      </c>
      <c r="G3010" t="s">
        <v>31370</v>
      </c>
      <c r="H3010" t="s">
        <v>15799</v>
      </c>
      <c r="I3010" t="s">
        <v>6240</v>
      </c>
      <c r="J3010" t="s">
        <v>33542</v>
      </c>
      <c r="K3010" t="s">
        <v>40662</v>
      </c>
      <c r="M3010" t="s">
        <v>42034</v>
      </c>
      <c r="N3010" t="s">
        <v>44905</v>
      </c>
      <c r="O3010" t="s">
        <v>44906</v>
      </c>
      <c r="P3010">
        <v>0</v>
      </c>
      <c r="Q3010">
        <v>0</v>
      </c>
      <c r="R3010" t="s">
        <v>44908</v>
      </c>
      <c r="S3010" t="s">
        <v>45042</v>
      </c>
      <c r="T3010" t="s">
        <v>46628</v>
      </c>
      <c r="U3010" t="s">
        <v>47665</v>
      </c>
      <c r="W3010" t="s">
        <v>42034</v>
      </c>
      <c r="X3010" t="s">
        <v>44909</v>
      </c>
    </row>
    <row r="3011" spans="1:24">
      <c r="A3011">
        <f>HYPERLINK("https://www.philgeps.gov.ph/GEPSNONPILOT/Tender/SplashBidNoticeAbstractUI.aspx?menuIndex=3&amp;refID=7079280&amp;Result=3","7079280")</f>
        <v>0</v>
      </c>
      <c r="B3011" t="s">
        <v>1149</v>
      </c>
      <c r="C3011" t="s">
        <v>6401</v>
      </c>
      <c r="D3011" t="s">
        <v>18100</v>
      </c>
      <c r="E3011" t="s">
        <v>20729</v>
      </c>
      <c r="F3011" t="s">
        <v>31362</v>
      </c>
      <c r="G3011" t="s">
        <v>31368</v>
      </c>
      <c r="H3011" t="s">
        <v>15799</v>
      </c>
      <c r="I3011" t="s">
        <v>6155</v>
      </c>
      <c r="J3011" t="s">
        <v>32559</v>
      </c>
      <c r="K3011" t="s">
        <v>40662</v>
      </c>
      <c r="M3011" t="s">
        <v>42158</v>
      </c>
      <c r="N3011" t="s">
        <v>44905</v>
      </c>
      <c r="O3011" t="s">
        <v>44906</v>
      </c>
      <c r="P3011">
        <v>0</v>
      </c>
      <c r="Q3011">
        <v>8</v>
      </c>
      <c r="R3011" t="s">
        <v>44908</v>
      </c>
      <c r="S3011" t="s">
        <v>45042</v>
      </c>
      <c r="T3011" t="s">
        <v>46454</v>
      </c>
      <c r="U3011" t="s">
        <v>49413</v>
      </c>
      <c r="W3011" t="s">
        <v>42158</v>
      </c>
      <c r="X3011" t="s">
        <v>44909</v>
      </c>
    </row>
    <row r="3012" spans="1:24">
      <c r="A3012">
        <f>HYPERLINK("https://www.philgeps.gov.ph/GEPSNONPILOT/Tender/SplashBidNoticeAbstractUI.aspx?menuIndex=3&amp;refID=7079302&amp;Result=3","7079302")</f>
        <v>0</v>
      </c>
      <c r="B3012" t="s">
        <v>1150</v>
      </c>
      <c r="C3012" t="s">
        <v>6402</v>
      </c>
      <c r="E3012" t="s">
        <v>20934</v>
      </c>
      <c r="F3012" t="s">
        <v>31362</v>
      </c>
      <c r="G3012" t="s">
        <v>31368</v>
      </c>
      <c r="H3012" t="s">
        <v>15799</v>
      </c>
      <c r="I3012" t="s">
        <v>7188</v>
      </c>
      <c r="J3012" t="s">
        <v>33543</v>
      </c>
      <c r="K3012" t="s">
        <v>40662</v>
      </c>
      <c r="M3012" t="s">
        <v>42159</v>
      </c>
      <c r="N3012" t="s">
        <v>44905</v>
      </c>
      <c r="O3012" t="s">
        <v>44906</v>
      </c>
      <c r="P3012">
        <v>0</v>
      </c>
      <c r="Q3012">
        <v>1</v>
      </c>
      <c r="R3012" t="s">
        <v>44908</v>
      </c>
      <c r="S3012" t="s">
        <v>45042</v>
      </c>
      <c r="T3012" t="s">
        <v>46438</v>
      </c>
      <c r="U3012" t="s">
        <v>49414</v>
      </c>
      <c r="W3012" t="s">
        <v>42159</v>
      </c>
      <c r="X3012" t="s">
        <v>44909</v>
      </c>
    </row>
    <row r="3013" spans="1:24">
      <c r="A3013">
        <f>HYPERLINK("https://www.philgeps.gov.ph/GEPSNONPILOT/Tender/SplashBidNoticeAbstractUI.aspx?menuIndex=3&amp;refID=7079292&amp;Result=3","7079292")</f>
        <v>0</v>
      </c>
      <c r="B3013" t="s">
        <v>1151</v>
      </c>
      <c r="C3013" t="s">
        <v>6403</v>
      </c>
      <c r="D3013" t="s">
        <v>18116</v>
      </c>
      <c r="E3013" t="s">
        <v>20935</v>
      </c>
      <c r="F3013" t="s">
        <v>31362</v>
      </c>
      <c r="G3013" t="s">
        <v>31369</v>
      </c>
      <c r="H3013" t="s">
        <v>15799</v>
      </c>
      <c r="I3013" t="s">
        <v>7090</v>
      </c>
      <c r="J3013" t="s">
        <v>33544</v>
      </c>
      <c r="K3013" t="s">
        <v>40662</v>
      </c>
      <c r="M3013" t="s">
        <v>42160</v>
      </c>
      <c r="N3013" t="s">
        <v>44905</v>
      </c>
      <c r="O3013" t="s">
        <v>44906</v>
      </c>
      <c r="P3013">
        <v>0</v>
      </c>
      <c r="Q3013">
        <v>0</v>
      </c>
      <c r="R3013" t="s">
        <v>44908</v>
      </c>
      <c r="S3013" t="s">
        <v>45042</v>
      </c>
      <c r="T3013" t="s">
        <v>46415</v>
      </c>
      <c r="U3013" t="s">
        <v>49415</v>
      </c>
      <c r="W3013" t="s">
        <v>42160</v>
      </c>
      <c r="X3013" t="s">
        <v>44909</v>
      </c>
    </row>
    <row r="3014" spans="1:24">
      <c r="A3014">
        <f>HYPERLINK("https://www.philgeps.gov.ph/GEPSNONPILOT/Tender/SplashBidNoticeAbstractUI.aspx?menuIndex=3&amp;refID=7079301&amp;Result=3","7079301")</f>
        <v>0</v>
      </c>
      <c r="B3014" t="s">
        <v>1115</v>
      </c>
      <c r="C3014" t="s">
        <v>6404</v>
      </c>
      <c r="D3014" t="s">
        <v>18104</v>
      </c>
      <c r="E3014" t="s">
        <v>20936</v>
      </c>
      <c r="F3014" t="s">
        <v>31362</v>
      </c>
      <c r="G3014" t="s">
        <v>31368</v>
      </c>
      <c r="H3014" t="s">
        <v>15799</v>
      </c>
      <c r="I3014" t="s">
        <v>6240</v>
      </c>
      <c r="J3014" t="s">
        <v>33545</v>
      </c>
      <c r="K3014" t="s">
        <v>40665</v>
      </c>
      <c r="M3014" t="s">
        <v>42121</v>
      </c>
      <c r="N3014" t="s">
        <v>44905</v>
      </c>
      <c r="O3014" t="s">
        <v>44906</v>
      </c>
      <c r="P3014">
        <v>0</v>
      </c>
      <c r="Q3014">
        <v>0</v>
      </c>
      <c r="R3014" t="s">
        <v>44908</v>
      </c>
      <c r="S3014" t="s">
        <v>45042</v>
      </c>
      <c r="T3014" t="s">
        <v>46470</v>
      </c>
      <c r="U3014" t="s">
        <v>49416</v>
      </c>
      <c r="V3014" t="s">
        <v>59378</v>
      </c>
      <c r="W3014" t="s">
        <v>42121</v>
      </c>
      <c r="X3014" t="s">
        <v>44909</v>
      </c>
    </row>
    <row r="3015" spans="1:24">
      <c r="A3015">
        <f>HYPERLINK("https://www.philgeps.gov.ph/GEPSNONPILOT/Tender/SplashBidNoticeAbstractUI.aspx?menuIndex=3&amp;refID=7079300&amp;Result=3","7079300")</f>
        <v>0</v>
      </c>
      <c r="B3015" t="s">
        <v>1152</v>
      </c>
      <c r="C3015" t="s">
        <v>6405</v>
      </c>
      <c r="D3015" t="s">
        <v>18138</v>
      </c>
      <c r="E3015" t="s">
        <v>20937</v>
      </c>
      <c r="F3015" t="s">
        <v>31362</v>
      </c>
      <c r="G3015" t="s">
        <v>31368</v>
      </c>
      <c r="H3015" t="s">
        <v>15799</v>
      </c>
      <c r="I3015" t="s">
        <v>31466</v>
      </c>
      <c r="J3015" t="s">
        <v>31546</v>
      </c>
      <c r="K3015" t="s">
        <v>40697</v>
      </c>
      <c r="M3015" t="s">
        <v>42161</v>
      </c>
      <c r="N3015" t="s">
        <v>44905</v>
      </c>
      <c r="O3015" t="s">
        <v>44906</v>
      </c>
      <c r="P3015">
        <v>0</v>
      </c>
      <c r="Q3015">
        <v>2</v>
      </c>
      <c r="R3015" t="s">
        <v>44908</v>
      </c>
      <c r="S3015" t="s">
        <v>45042</v>
      </c>
      <c r="T3015" t="s">
        <v>46432</v>
      </c>
      <c r="U3015" t="s">
        <v>49417</v>
      </c>
      <c r="V3015" t="s">
        <v>59384</v>
      </c>
      <c r="W3015" t="s">
        <v>42161</v>
      </c>
      <c r="X3015" t="s">
        <v>44909</v>
      </c>
    </row>
    <row r="3016" spans="1:24">
      <c r="A3016">
        <f>HYPERLINK("https://www.philgeps.gov.ph/GEPSNONPILOT/Tender/SplashBidNoticeAbstractUI.aspx?menuIndex=3&amp;refID=7079289&amp;Result=3","7079289")</f>
        <v>0</v>
      </c>
      <c r="B3016" t="s">
        <v>1153</v>
      </c>
      <c r="C3016" t="s">
        <v>6406</v>
      </c>
      <c r="D3016" t="s">
        <v>18122</v>
      </c>
      <c r="E3016" t="s">
        <v>19081</v>
      </c>
      <c r="F3016" t="s">
        <v>31362</v>
      </c>
      <c r="G3016" t="s">
        <v>31368</v>
      </c>
      <c r="H3016" t="s">
        <v>15799</v>
      </c>
      <c r="I3016" t="s">
        <v>6155</v>
      </c>
      <c r="J3016" t="s">
        <v>31579</v>
      </c>
      <c r="K3016" t="s">
        <v>40665</v>
      </c>
      <c r="M3016" t="s">
        <v>42162</v>
      </c>
      <c r="N3016" t="s">
        <v>44905</v>
      </c>
      <c r="O3016" t="s">
        <v>44906</v>
      </c>
      <c r="P3016">
        <v>0</v>
      </c>
      <c r="Q3016">
        <v>5</v>
      </c>
      <c r="R3016" t="s">
        <v>44908</v>
      </c>
      <c r="S3016" t="s">
        <v>45042</v>
      </c>
      <c r="T3016" t="s">
        <v>46520</v>
      </c>
      <c r="U3016" t="s">
        <v>49418</v>
      </c>
      <c r="W3016" t="s">
        <v>42162</v>
      </c>
      <c r="X3016" t="s">
        <v>44909</v>
      </c>
    </row>
    <row r="3017" spans="1:24">
      <c r="A3017">
        <f>HYPERLINK("https://www.philgeps.gov.ph/GEPSNONPILOT/Tender/SplashBidNoticeAbstractUI.aspx?menuIndex=3&amp;refID=7079309&amp;Result=3","7079309")</f>
        <v>0</v>
      </c>
      <c r="B3017" t="s">
        <v>431</v>
      </c>
      <c r="C3017" t="s">
        <v>6407</v>
      </c>
      <c r="D3017" t="s">
        <v>18159</v>
      </c>
      <c r="E3017" t="s">
        <v>6407</v>
      </c>
      <c r="F3017" t="s">
        <v>31362</v>
      </c>
      <c r="G3017" t="s">
        <v>31370</v>
      </c>
      <c r="H3017" t="s">
        <v>15799</v>
      </c>
      <c r="I3017" t="s">
        <v>7188</v>
      </c>
      <c r="J3017" t="s">
        <v>31919</v>
      </c>
      <c r="K3017" t="s">
        <v>40661</v>
      </c>
      <c r="L3017" t="s">
        <v>431</v>
      </c>
      <c r="M3017" t="s">
        <v>41383</v>
      </c>
      <c r="N3017" t="s">
        <v>44905</v>
      </c>
      <c r="O3017" t="s">
        <v>44906</v>
      </c>
      <c r="P3017">
        <v>0</v>
      </c>
      <c r="Q3017">
        <v>2</v>
      </c>
      <c r="R3017" t="s">
        <v>44908</v>
      </c>
      <c r="S3017" t="s">
        <v>45042</v>
      </c>
      <c r="T3017" t="s">
        <v>46406</v>
      </c>
      <c r="U3017" t="s">
        <v>49419</v>
      </c>
      <c r="W3017" t="s">
        <v>41383</v>
      </c>
      <c r="X3017" t="s">
        <v>44909</v>
      </c>
    </row>
    <row r="3018" spans="1:24">
      <c r="A3018">
        <f>HYPERLINK("https://www.philgeps.gov.ph/GEPSNONPILOT/Tender/SplashBidNoticeAbstractUI.aspx?menuIndex=3&amp;refID=7079308&amp;Result=3","7079308")</f>
        <v>0</v>
      </c>
      <c r="B3018" t="s">
        <v>1142</v>
      </c>
      <c r="C3018" t="s">
        <v>4942</v>
      </c>
      <c r="D3018" t="s">
        <v>18136</v>
      </c>
      <c r="E3018" t="s">
        <v>20938</v>
      </c>
      <c r="F3018" t="s">
        <v>31362</v>
      </c>
      <c r="G3018" t="s">
        <v>31368</v>
      </c>
      <c r="H3018" t="s">
        <v>15799</v>
      </c>
      <c r="I3018" t="s">
        <v>4942</v>
      </c>
      <c r="J3018" t="s">
        <v>33546</v>
      </c>
      <c r="K3018" t="s">
        <v>40715</v>
      </c>
      <c r="M3018" t="s">
        <v>42151</v>
      </c>
      <c r="N3018" t="s">
        <v>44905</v>
      </c>
      <c r="O3018" t="s">
        <v>44906</v>
      </c>
      <c r="P3018">
        <v>0</v>
      </c>
      <c r="Q3018">
        <v>0</v>
      </c>
      <c r="R3018" t="s">
        <v>44908</v>
      </c>
      <c r="S3018" t="s">
        <v>45042</v>
      </c>
      <c r="T3018" t="s">
        <v>46432</v>
      </c>
      <c r="U3018" t="s">
        <v>49420</v>
      </c>
      <c r="V3018" t="s">
        <v>59381</v>
      </c>
      <c r="W3018" t="s">
        <v>42151</v>
      </c>
      <c r="X3018" t="s">
        <v>44909</v>
      </c>
    </row>
    <row r="3019" spans="1:24">
      <c r="A3019">
        <f>HYPERLINK("https://www.philgeps.gov.ph/GEPSNONPILOT/Tender/SplashBidNoticeAbstractUI.aspx?menuIndex=3&amp;refID=7079327&amp;Result=3","7079327")</f>
        <v>0</v>
      </c>
      <c r="B3019" t="s">
        <v>1102</v>
      </c>
      <c r="C3019" t="s">
        <v>6408</v>
      </c>
      <c r="D3019" t="s">
        <v>18160</v>
      </c>
      <c r="E3019" t="s">
        <v>20939</v>
      </c>
      <c r="F3019" t="s">
        <v>31362</v>
      </c>
      <c r="G3019" t="s">
        <v>31368</v>
      </c>
      <c r="H3019" t="s">
        <v>15799</v>
      </c>
      <c r="I3019" t="s">
        <v>4283</v>
      </c>
      <c r="J3019" t="s">
        <v>33547</v>
      </c>
      <c r="K3019" t="s">
        <v>40662</v>
      </c>
      <c r="M3019" t="s">
        <v>42107</v>
      </c>
      <c r="N3019" t="s">
        <v>44905</v>
      </c>
      <c r="O3019" t="s">
        <v>44906</v>
      </c>
      <c r="P3019">
        <v>0</v>
      </c>
      <c r="Q3019">
        <v>0</v>
      </c>
      <c r="R3019" t="s">
        <v>44908</v>
      </c>
      <c r="S3019" t="s">
        <v>45042</v>
      </c>
      <c r="T3019" t="s">
        <v>46414</v>
      </c>
      <c r="U3019" t="s">
        <v>49421</v>
      </c>
      <c r="W3019" t="s">
        <v>42107</v>
      </c>
      <c r="X3019" t="s">
        <v>44909</v>
      </c>
    </row>
    <row r="3020" spans="1:24">
      <c r="A3020">
        <f>HYPERLINK("https://www.philgeps.gov.ph/GEPSNONPILOT/Tender/SplashBidNoticeAbstractUI.aspx?menuIndex=3&amp;refID=7079324&amp;Result=3","7079324")</f>
        <v>0</v>
      </c>
      <c r="B3020" t="s">
        <v>1115</v>
      </c>
      <c r="C3020" t="s">
        <v>6409</v>
      </c>
      <c r="D3020" t="s">
        <v>18104</v>
      </c>
      <c r="E3020" t="s">
        <v>20940</v>
      </c>
      <c r="F3020" t="s">
        <v>31362</v>
      </c>
      <c r="G3020" t="s">
        <v>31368</v>
      </c>
      <c r="H3020" t="s">
        <v>15799</v>
      </c>
      <c r="I3020" t="s">
        <v>6240</v>
      </c>
      <c r="J3020" t="s">
        <v>33548</v>
      </c>
      <c r="K3020" t="s">
        <v>40670</v>
      </c>
      <c r="M3020" t="s">
        <v>42121</v>
      </c>
      <c r="N3020" t="s">
        <v>44905</v>
      </c>
      <c r="O3020" t="s">
        <v>44906</v>
      </c>
      <c r="P3020">
        <v>0</v>
      </c>
      <c r="Q3020">
        <v>0</v>
      </c>
      <c r="R3020" t="s">
        <v>44908</v>
      </c>
      <c r="S3020" t="s">
        <v>45042</v>
      </c>
      <c r="T3020" t="s">
        <v>46470</v>
      </c>
      <c r="U3020" t="s">
        <v>49422</v>
      </c>
      <c r="V3020" t="s">
        <v>59378</v>
      </c>
      <c r="W3020" t="s">
        <v>42121</v>
      </c>
      <c r="X3020" t="s">
        <v>44909</v>
      </c>
    </row>
    <row r="3021" spans="1:24">
      <c r="A3021">
        <f>HYPERLINK("https://www.philgeps.gov.ph/GEPSNONPILOT/Tender/SplashBidNoticeAbstractUI.aspx?menuIndex=3&amp;refID=7079303&amp;Result=3","7079303")</f>
        <v>0</v>
      </c>
      <c r="B3021" t="s">
        <v>992</v>
      </c>
      <c r="C3021" t="s">
        <v>6410</v>
      </c>
      <c r="D3021" t="s">
        <v>18127</v>
      </c>
      <c r="E3021" t="s">
        <v>20941</v>
      </c>
      <c r="F3021" t="s">
        <v>31362</v>
      </c>
      <c r="G3021" t="s">
        <v>31369</v>
      </c>
      <c r="H3021" t="s">
        <v>31378</v>
      </c>
      <c r="I3021" t="s">
        <v>31386</v>
      </c>
      <c r="J3021" t="s">
        <v>31637</v>
      </c>
      <c r="K3021" t="s">
        <v>40678</v>
      </c>
      <c r="M3021" t="s">
        <v>41987</v>
      </c>
      <c r="N3021" t="s">
        <v>44905</v>
      </c>
      <c r="O3021" t="s">
        <v>44906</v>
      </c>
      <c r="P3021">
        <v>0</v>
      </c>
      <c r="Q3021">
        <v>0</v>
      </c>
      <c r="R3021" t="s">
        <v>44908</v>
      </c>
      <c r="S3021" t="s">
        <v>45042</v>
      </c>
      <c r="T3021" t="s">
        <v>46401</v>
      </c>
      <c r="U3021" t="s">
        <v>49423</v>
      </c>
      <c r="W3021" t="s">
        <v>41987</v>
      </c>
      <c r="X3021" t="s">
        <v>44909</v>
      </c>
    </row>
    <row r="3022" spans="1:24">
      <c r="A3022">
        <f>HYPERLINK("https://www.philgeps.gov.ph/GEPSNONPILOT/Tender/SplashBidNoticeAbstractUI.aspx?menuIndex=3&amp;refID=7079305&amp;Result=3","7079305")</f>
        <v>0</v>
      </c>
      <c r="B3022" t="s">
        <v>1154</v>
      </c>
      <c r="C3022" t="s">
        <v>6411</v>
      </c>
      <c r="D3022" t="s">
        <v>18108</v>
      </c>
      <c r="E3022" t="s">
        <v>20942</v>
      </c>
      <c r="F3022" t="s">
        <v>31362</v>
      </c>
      <c r="G3022" t="s">
        <v>31368</v>
      </c>
      <c r="H3022" t="s">
        <v>15799</v>
      </c>
      <c r="I3022" t="s">
        <v>31414</v>
      </c>
      <c r="J3022" t="s">
        <v>33549</v>
      </c>
      <c r="K3022" t="s">
        <v>40661</v>
      </c>
      <c r="M3022" t="s">
        <v>42163</v>
      </c>
      <c r="N3022" t="s">
        <v>44905</v>
      </c>
      <c r="O3022" t="s">
        <v>44906</v>
      </c>
      <c r="P3022">
        <v>0</v>
      </c>
      <c r="Q3022">
        <v>1</v>
      </c>
      <c r="R3022" t="s">
        <v>44908</v>
      </c>
      <c r="S3022" t="s">
        <v>45042</v>
      </c>
      <c r="T3022" t="s">
        <v>46639</v>
      </c>
      <c r="U3022" t="s">
        <v>49424</v>
      </c>
      <c r="W3022" t="s">
        <v>42163</v>
      </c>
      <c r="X3022" t="s">
        <v>44909</v>
      </c>
    </row>
    <row r="3023" spans="1:24">
      <c r="A3023">
        <f>HYPERLINK("https://www.philgeps.gov.ph/GEPSNONPILOT/Tender/SplashBidNoticeAbstractUI.aspx?menuIndex=3&amp;refID=7079322&amp;Result=3","7079322")</f>
        <v>0</v>
      </c>
      <c r="B3023" t="s">
        <v>767</v>
      </c>
      <c r="C3023" t="s">
        <v>6412</v>
      </c>
      <c r="D3023" t="s">
        <v>18122</v>
      </c>
      <c r="E3023" t="s">
        <v>20943</v>
      </c>
      <c r="F3023" t="s">
        <v>31362</v>
      </c>
      <c r="G3023" t="s">
        <v>31368</v>
      </c>
      <c r="H3023" t="s">
        <v>15799</v>
      </c>
      <c r="I3023" t="s">
        <v>6155</v>
      </c>
      <c r="J3023" t="s">
        <v>31536</v>
      </c>
      <c r="K3023" t="s">
        <v>40677</v>
      </c>
      <c r="M3023" t="s">
        <v>41735</v>
      </c>
      <c r="N3023" t="s">
        <v>44905</v>
      </c>
      <c r="O3023" t="s">
        <v>44906</v>
      </c>
      <c r="P3023">
        <v>0</v>
      </c>
      <c r="Q3023">
        <v>4</v>
      </c>
      <c r="R3023" t="s">
        <v>44908</v>
      </c>
      <c r="S3023" t="s">
        <v>45042</v>
      </c>
      <c r="T3023" t="s">
        <v>46454</v>
      </c>
      <c r="U3023" t="s">
        <v>48452</v>
      </c>
      <c r="W3023" t="s">
        <v>44787</v>
      </c>
      <c r="X3023" t="s">
        <v>44909</v>
      </c>
    </row>
    <row r="3024" spans="1:24">
      <c r="A3024">
        <f>HYPERLINK("https://www.philgeps.gov.ph/GEPSNONPILOT/Tender/SplashBidNoticeAbstractUI.aspx?menuIndex=3&amp;refID=7079319&amp;Result=3","7079319")</f>
        <v>0</v>
      </c>
      <c r="B3024" t="s">
        <v>993</v>
      </c>
      <c r="C3024" t="s">
        <v>6413</v>
      </c>
      <c r="D3024" t="s">
        <v>18103</v>
      </c>
      <c r="E3024" t="s">
        <v>20824</v>
      </c>
      <c r="F3024" t="s">
        <v>31362</v>
      </c>
      <c r="G3024" t="s">
        <v>31369</v>
      </c>
      <c r="H3024" t="s">
        <v>31378</v>
      </c>
      <c r="I3024" t="s">
        <v>31386</v>
      </c>
      <c r="J3024" t="s">
        <v>33550</v>
      </c>
      <c r="K3024" t="s">
        <v>40694</v>
      </c>
      <c r="M3024" t="s">
        <v>41988</v>
      </c>
      <c r="N3024" t="s">
        <v>44905</v>
      </c>
      <c r="O3024" t="s">
        <v>44906</v>
      </c>
      <c r="P3024">
        <v>0</v>
      </c>
      <c r="Q3024">
        <v>0</v>
      </c>
      <c r="R3024" t="s">
        <v>44908</v>
      </c>
      <c r="S3024" t="s">
        <v>45042</v>
      </c>
      <c r="T3024" t="s">
        <v>46522</v>
      </c>
      <c r="U3024" t="s">
        <v>49053</v>
      </c>
      <c r="W3024" t="s">
        <v>41988</v>
      </c>
      <c r="X3024" t="s">
        <v>44909</v>
      </c>
    </row>
    <row r="3025" spans="1:24">
      <c r="A3025">
        <f>HYPERLINK("https://www.philgeps.gov.ph/GEPSNONPILOT/Tender/SplashBidNoticeAbstractUI.aspx?menuIndex=3&amp;refID=7079336&amp;Result=3","7079336")</f>
        <v>0</v>
      </c>
      <c r="B3025" t="s">
        <v>431</v>
      </c>
      <c r="C3025" t="s">
        <v>6414</v>
      </c>
      <c r="D3025" t="s">
        <v>18159</v>
      </c>
      <c r="E3025" t="s">
        <v>6414</v>
      </c>
      <c r="F3025" t="s">
        <v>31362</v>
      </c>
      <c r="G3025" t="s">
        <v>31370</v>
      </c>
      <c r="H3025" t="s">
        <v>15799</v>
      </c>
      <c r="I3025" t="s">
        <v>7188</v>
      </c>
      <c r="J3025" t="s">
        <v>33551</v>
      </c>
      <c r="K3025" t="s">
        <v>40661</v>
      </c>
      <c r="L3025" t="s">
        <v>431</v>
      </c>
      <c r="M3025" t="s">
        <v>41383</v>
      </c>
      <c r="N3025" t="s">
        <v>44905</v>
      </c>
      <c r="O3025" t="s">
        <v>44906</v>
      </c>
      <c r="P3025">
        <v>0</v>
      </c>
      <c r="Q3025">
        <v>1</v>
      </c>
      <c r="R3025" t="s">
        <v>44908</v>
      </c>
      <c r="S3025" t="s">
        <v>45042</v>
      </c>
      <c r="T3025" t="s">
        <v>46406</v>
      </c>
      <c r="U3025" t="s">
        <v>49425</v>
      </c>
      <c r="W3025" t="s">
        <v>41383</v>
      </c>
      <c r="X3025" t="s">
        <v>44909</v>
      </c>
    </row>
    <row r="3026" spans="1:24">
      <c r="A3026">
        <f>HYPERLINK("https://www.philgeps.gov.ph/GEPSNONPILOT/Tender/SplashBidNoticeAbstractUI.aspx?menuIndex=3&amp;refID=7079335&amp;Result=3","7079335")</f>
        <v>0</v>
      </c>
      <c r="B3026" t="s">
        <v>1155</v>
      </c>
      <c r="C3026" t="s">
        <v>6415</v>
      </c>
      <c r="D3026" t="s">
        <v>18166</v>
      </c>
      <c r="E3026" t="s">
        <v>20944</v>
      </c>
      <c r="F3026" t="s">
        <v>31362</v>
      </c>
      <c r="G3026" t="s">
        <v>31369</v>
      </c>
      <c r="H3026" t="s">
        <v>31378</v>
      </c>
      <c r="I3026" t="s">
        <v>3815</v>
      </c>
      <c r="J3026" t="s">
        <v>32597</v>
      </c>
      <c r="K3026" t="s">
        <v>40683</v>
      </c>
      <c r="M3026" t="s">
        <v>42164</v>
      </c>
      <c r="N3026" t="s">
        <v>44905</v>
      </c>
      <c r="O3026" t="s">
        <v>44906</v>
      </c>
      <c r="P3026">
        <v>0</v>
      </c>
      <c r="Q3026">
        <v>0</v>
      </c>
      <c r="R3026" t="s">
        <v>44908</v>
      </c>
      <c r="S3026" t="s">
        <v>45042</v>
      </c>
      <c r="T3026" t="s">
        <v>46419</v>
      </c>
      <c r="U3026" t="s">
        <v>49426</v>
      </c>
      <c r="W3026" t="s">
        <v>42164</v>
      </c>
      <c r="X3026" t="s">
        <v>44909</v>
      </c>
    </row>
    <row r="3027" spans="1:24">
      <c r="A3027">
        <f>HYPERLINK("https://www.philgeps.gov.ph/GEPSNONPILOT/Tender/SplashBidNoticeAbstractUI.aspx?menuIndex=3&amp;refID=7079326&amp;Result=3","7079326")</f>
        <v>0</v>
      </c>
      <c r="B3027" t="s">
        <v>1129</v>
      </c>
      <c r="C3027" t="s">
        <v>6416</v>
      </c>
      <c r="D3027" t="s">
        <v>18106</v>
      </c>
      <c r="E3027" t="s">
        <v>18874</v>
      </c>
      <c r="F3027" t="s">
        <v>31362</v>
      </c>
      <c r="G3027" t="s">
        <v>31369</v>
      </c>
      <c r="H3027" t="s">
        <v>15799</v>
      </c>
      <c r="I3027" t="s">
        <v>3815</v>
      </c>
      <c r="J3027" t="s">
        <v>33504</v>
      </c>
      <c r="K3027" t="s">
        <v>40680</v>
      </c>
      <c r="M3027" t="s">
        <v>42136</v>
      </c>
      <c r="N3027" t="s">
        <v>44905</v>
      </c>
      <c r="O3027" t="s">
        <v>44906</v>
      </c>
      <c r="P3027">
        <v>0</v>
      </c>
      <c r="Q3027">
        <v>0</v>
      </c>
      <c r="R3027" t="s">
        <v>44908</v>
      </c>
      <c r="S3027" t="s">
        <v>45042</v>
      </c>
      <c r="T3027" t="s">
        <v>46479</v>
      </c>
      <c r="U3027" t="s">
        <v>49427</v>
      </c>
      <c r="V3027" t="s">
        <v>59385</v>
      </c>
      <c r="W3027" t="s">
        <v>42136</v>
      </c>
      <c r="X3027" t="s">
        <v>44909</v>
      </c>
    </row>
    <row r="3028" spans="1:24">
      <c r="A3028">
        <f>HYPERLINK("https://www.philgeps.gov.ph/GEPSNONPILOT/Tender/SplashBidNoticeAbstractUI.aspx?menuIndex=3&amp;refID=7079320&amp;Result=3","7079320")</f>
        <v>0</v>
      </c>
      <c r="B3028" t="s">
        <v>1122</v>
      </c>
      <c r="C3028" t="s">
        <v>6417</v>
      </c>
      <c r="D3028" t="s">
        <v>18113</v>
      </c>
      <c r="E3028" t="s">
        <v>20945</v>
      </c>
      <c r="F3028" t="s">
        <v>31362</v>
      </c>
      <c r="G3028" t="s">
        <v>31368</v>
      </c>
      <c r="H3028" t="s">
        <v>15799</v>
      </c>
      <c r="I3028" t="s">
        <v>4057</v>
      </c>
      <c r="J3028" t="s">
        <v>31915</v>
      </c>
      <c r="K3028" t="s">
        <v>40665</v>
      </c>
      <c r="M3028" t="s">
        <v>42129</v>
      </c>
      <c r="N3028" t="s">
        <v>44905</v>
      </c>
      <c r="O3028" t="s">
        <v>44906</v>
      </c>
      <c r="P3028">
        <v>0</v>
      </c>
      <c r="Q3028">
        <v>0</v>
      </c>
      <c r="R3028" t="s">
        <v>44908</v>
      </c>
      <c r="S3028" t="s">
        <v>45042</v>
      </c>
      <c r="T3028" t="s">
        <v>46483</v>
      </c>
      <c r="U3028" t="s">
        <v>49428</v>
      </c>
      <c r="W3028" t="s">
        <v>42129</v>
      </c>
      <c r="X3028" t="s">
        <v>44909</v>
      </c>
    </row>
    <row r="3029" spans="1:24">
      <c r="A3029">
        <f>HYPERLINK("https://www.philgeps.gov.ph/GEPSNONPILOT/Tender/SplashBidNoticeAbstractUI.aspx?menuIndex=3&amp;refID=7079331&amp;Result=3","7079331")</f>
        <v>0</v>
      </c>
      <c r="B3029" t="s">
        <v>1134</v>
      </c>
      <c r="C3029" t="s">
        <v>6373</v>
      </c>
      <c r="D3029" t="s">
        <v>18134</v>
      </c>
      <c r="E3029" t="s">
        <v>20946</v>
      </c>
      <c r="F3029" t="s">
        <v>31362</v>
      </c>
      <c r="G3029" t="s">
        <v>31371</v>
      </c>
      <c r="H3029" t="s">
        <v>15799</v>
      </c>
      <c r="I3029" t="s">
        <v>6373</v>
      </c>
      <c r="J3029" t="s">
        <v>33552</v>
      </c>
      <c r="K3029" t="s">
        <v>40665</v>
      </c>
      <c r="M3029" t="s">
        <v>42142</v>
      </c>
      <c r="N3029" t="s">
        <v>44905</v>
      </c>
      <c r="O3029" t="s">
        <v>44906</v>
      </c>
      <c r="P3029">
        <v>0</v>
      </c>
      <c r="Q3029">
        <v>4</v>
      </c>
      <c r="R3029" t="s">
        <v>44908</v>
      </c>
      <c r="S3029" t="s">
        <v>45042</v>
      </c>
      <c r="T3029" t="s">
        <v>46425</v>
      </c>
      <c r="U3029" t="s">
        <v>49429</v>
      </c>
      <c r="W3029" t="s">
        <v>42142</v>
      </c>
      <c r="X3029" t="s">
        <v>44909</v>
      </c>
    </row>
    <row r="3030" spans="1:24">
      <c r="A3030">
        <f>HYPERLINK("https://www.philgeps.gov.ph/GEPSNONPILOT/Tender/SplashBidNoticeAbstractUI.aspx?menuIndex=3&amp;refID=7079328&amp;Result=3","7079328")</f>
        <v>0</v>
      </c>
      <c r="B3030" t="s">
        <v>1142</v>
      </c>
      <c r="C3030" t="s">
        <v>6418</v>
      </c>
      <c r="D3030" t="s">
        <v>18136</v>
      </c>
      <c r="E3030" t="s">
        <v>20947</v>
      </c>
      <c r="F3030" t="s">
        <v>31362</v>
      </c>
      <c r="G3030" t="s">
        <v>31368</v>
      </c>
      <c r="H3030" t="s">
        <v>15799</v>
      </c>
      <c r="I3030" t="s">
        <v>31429</v>
      </c>
      <c r="J3030" t="s">
        <v>33553</v>
      </c>
      <c r="K3030" t="s">
        <v>40715</v>
      </c>
      <c r="M3030" t="s">
        <v>42151</v>
      </c>
      <c r="N3030" t="s">
        <v>44905</v>
      </c>
      <c r="O3030" t="s">
        <v>44906</v>
      </c>
      <c r="P3030">
        <v>0</v>
      </c>
      <c r="Q3030">
        <v>0</v>
      </c>
      <c r="R3030" t="s">
        <v>44908</v>
      </c>
      <c r="S3030" t="s">
        <v>45042</v>
      </c>
      <c r="T3030" t="s">
        <v>46432</v>
      </c>
      <c r="U3030" t="s">
        <v>49430</v>
      </c>
      <c r="V3030" t="s">
        <v>59381</v>
      </c>
      <c r="W3030" t="s">
        <v>42151</v>
      </c>
      <c r="X3030" t="s">
        <v>44909</v>
      </c>
    </row>
    <row r="3031" spans="1:24">
      <c r="A3031">
        <f>HYPERLINK("https://www.philgeps.gov.ph/GEPSNONPILOT/Tender/SplashBidNoticeAbstractUI.aspx?menuIndex=3&amp;refID=7079317&amp;Result=3","7079317")</f>
        <v>0</v>
      </c>
      <c r="B3031" t="s">
        <v>521</v>
      </c>
      <c r="C3031" t="s">
        <v>6419</v>
      </c>
      <c r="D3031" t="s">
        <v>18107</v>
      </c>
      <c r="E3031" t="s">
        <v>20948</v>
      </c>
      <c r="F3031" t="s">
        <v>31362</v>
      </c>
      <c r="G3031" t="s">
        <v>31368</v>
      </c>
      <c r="H3031" t="s">
        <v>15799</v>
      </c>
      <c r="I3031" t="s">
        <v>31380</v>
      </c>
      <c r="J3031" t="s">
        <v>31817</v>
      </c>
      <c r="K3031" t="s">
        <v>40661</v>
      </c>
      <c r="M3031" t="s">
        <v>41477</v>
      </c>
      <c r="N3031" t="s">
        <v>44905</v>
      </c>
      <c r="O3031" t="s">
        <v>44906</v>
      </c>
      <c r="P3031">
        <v>0</v>
      </c>
      <c r="Q3031">
        <v>2</v>
      </c>
      <c r="R3031" t="s">
        <v>44908</v>
      </c>
      <c r="S3031" t="s">
        <v>45042</v>
      </c>
      <c r="T3031" t="s">
        <v>46432</v>
      </c>
      <c r="U3031" t="s">
        <v>49431</v>
      </c>
      <c r="W3031" t="s">
        <v>60857</v>
      </c>
      <c r="X3031" t="s">
        <v>44909</v>
      </c>
    </row>
    <row r="3032" spans="1:24">
      <c r="A3032">
        <f>HYPERLINK("https://www.philgeps.gov.ph/GEPSNONPILOT/Tender/SplashBidNoticeAbstractUI.aspx?menuIndex=3&amp;refID=7079191&amp;Result=3","7079191")</f>
        <v>0</v>
      </c>
      <c r="B3032" t="s">
        <v>369</v>
      </c>
      <c r="C3032" t="s">
        <v>6420</v>
      </c>
      <c r="D3032" t="s">
        <v>18152</v>
      </c>
      <c r="E3032" t="s">
        <v>20949</v>
      </c>
      <c r="F3032" t="s">
        <v>31362</v>
      </c>
      <c r="G3032" t="s">
        <v>31369</v>
      </c>
      <c r="H3032" t="s">
        <v>15799</v>
      </c>
      <c r="I3032" t="s">
        <v>31386</v>
      </c>
      <c r="J3032" t="s">
        <v>31578</v>
      </c>
      <c r="K3032" t="s">
        <v>40665</v>
      </c>
      <c r="M3032" t="s">
        <v>41316</v>
      </c>
      <c r="N3032" t="s">
        <v>44905</v>
      </c>
      <c r="O3032" t="s">
        <v>44906</v>
      </c>
      <c r="P3032">
        <v>0</v>
      </c>
      <c r="Q3032">
        <v>0</v>
      </c>
      <c r="R3032" t="s">
        <v>44908</v>
      </c>
      <c r="S3032" t="s">
        <v>45042</v>
      </c>
      <c r="T3032" t="s">
        <v>46524</v>
      </c>
      <c r="U3032" t="s">
        <v>49432</v>
      </c>
      <c r="W3032" t="s">
        <v>41316</v>
      </c>
      <c r="X3032" t="s">
        <v>44909</v>
      </c>
    </row>
    <row r="3033" spans="1:24">
      <c r="A3033">
        <f>HYPERLINK("https://www.philgeps.gov.ph/GEPSNONPILOT/Tender/SplashBidNoticeAbstractUI.aspx?menuIndex=3&amp;refID=7079313&amp;Result=3","7079313")</f>
        <v>0</v>
      </c>
      <c r="B3033" t="s">
        <v>1115</v>
      </c>
      <c r="C3033" t="s">
        <v>6421</v>
      </c>
      <c r="D3033" t="s">
        <v>18104</v>
      </c>
      <c r="E3033" t="s">
        <v>20950</v>
      </c>
      <c r="F3033" t="s">
        <v>31362</v>
      </c>
      <c r="G3033" t="s">
        <v>31368</v>
      </c>
      <c r="H3033" t="s">
        <v>15799</v>
      </c>
      <c r="I3033" t="s">
        <v>31404</v>
      </c>
      <c r="J3033" t="s">
        <v>33554</v>
      </c>
      <c r="K3033" t="s">
        <v>40677</v>
      </c>
      <c r="M3033" t="s">
        <v>42121</v>
      </c>
      <c r="N3033" t="s">
        <v>44905</v>
      </c>
      <c r="O3033" t="s">
        <v>44906</v>
      </c>
      <c r="P3033">
        <v>0</v>
      </c>
      <c r="Q3033">
        <v>0</v>
      </c>
      <c r="R3033" t="s">
        <v>44908</v>
      </c>
      <c r="S3033" t="s">
        <v>45042</v>
      </c>
      <c r="T3033" t="s">
        <v>46470</v>
      </c>
      <c r="U3033" t="s">
        <v>49433</v>
      </c>
      <c r="V3033" t="s">
        <v>59378</v>
      </c>
      <c r="W3033" t="s">
        <v>42121</v>
      </c>
      <c r="X3033" t="s">
        <v>44909</v>
      </c>
    </row>
    <row r="3034" spans="1:24">
      <c r="A3034">
        <f>HYPERLINK("https://www.philgeps.gov.ph/GEPSNONPILOT/Tender/SplashBidNoticeAbstractUI.aspx?menuIndex=3&amp;refID=7079332&amp;Result=3","7079332")</f>
        <v>0</v>
      </c>
      <c r="B3034" t="s">
        <v>1156</v>
      </c>
      <c r="C3034" t="s">
        <v>6422</v>
      </c>
      <c r="D3034" t="s">
        <v>18111</v>
      </c>
      <c r="E3034" t="s">
        <v>20951</v>
      </c>
      <c r="F3034" t="s">
        <v>31362</v>
      </c>
      <c r="G3034" t="s">
        <v>31369</v>
      </c>
      <c r="H3034" t="s">
        <v>31378</v>
      </c>
      <c r="I3034" t="s">
        <v>31386</v>
      </c>
      <c r="J3034" t="s">
        <v>33555</v>
      </c>
      <c r="K3034" t="s">
        <v>40662</v>
      </c>
      <c r="M3034" t="s">
        <v>42165</v>
      </c>
      <c r="N3034" t="s">
        <v>44905</v>
      </c>
      <c r="O3034" t="s">
        <v>44906</v>
      </c>
      <c r="P3034">
        <v>0</v>
      </c>
      <c r="Q3034">
        <v>0</v>
      </c>
      <c r="R3034" t="s">
        <v>44908</v>
      </c>
      <c r="S3034" t="s">
        <v>45042</v>
      </c>
      <c r="T3034" t="s">
        <v>46470</v>
      </c>
      <c r="U3034" t="s">
        <v>49434</v>
      </c>
      <c r="W3034" t="s">
        <v>60885</v>
      </c>
      <c r="X3034" t="s">
        <v>44909</v>
      </c>
    </row>
    <row r="3035" spans="1:24">
      <c r="A3035">
        <f>HYPERLINK("https://www.philgeps.gov.ph/GEPSNONPILOT/Tender/SplashBidNoticeAbstractUI.aspx?menuIndex=3&amp;refID=7079299&amp;Result=3","7079299")</f>
        <v>0</v>
      </c>
      <c r="B3035" t="s">
        <v>1157</v>
      </c>
      <c r="C3035" t="s">
        <v>6423</v>
      </c>
      <c r="D3035" t="s">
        <v>18152</v>
      </c>
      <c r="E3035" t="s">
        <v>18548</v>
      </c>
      <c r="F3035" t="s">
        <v>31365</v>
      </c>
      <c r="G3035" t="s">
        <v>31369</v>
      </c>
      <c r="H3035" t="s">
        <v>15799</v>
      </c>
      <c r="I3035" t="s">
        <v>31422</v>
      </c>
      <c r="J3035" t="s">
        <v>31564</v>
      </c>
      <c r="K3035" t="s">
        <v>40661</v>
      </c>
      <c r="M3035" t="s">
        <v>42166</v>
      </c>
      <c r="N3035" t="s">
        <v>44905</v>
      </c>
      <c r="O3035" t="s">
        <v>44906</v>
      </c>
      <c r="P3035">
        <v>0</v>
      </c>
      <c r="Q3035">
        <v>1</v>
      </c>
      <c r="R3035" t="s">
        <v>44908</v>
      </c>
      <c r="S3035" t="s">
        <v>45042</v>
      </c>
      <c r="T3035" t="s">
        <v>46559</v>
      </c>
      <c r="U3035" t="s">
        <v>49435</v>
      </c>
      <c r="W3035" t="s">
        <v>42166</v>
      </c>
      <c r="X3035" t="s">
        <v>44909</v>
      </c>
    </row>
    <row r="3036" spans="1:24">
      <c r="A3036">
        <f>HYPERLINK("https://www.philgeps.gov.ph/GEPSNONPILOT/Tender/SplashBidNoticeAbstractUI.aspx?menuIndex=3&amp;refID=7079358&amp;Result=3","7079358")</f>
        <v>0</v>
      </c>
      <c r="B3036" t="s">
        <v>260</v>
      </c>
      <c r="C3036" t="s">
        <v>6156</v>
      </c>
      <c r="D3036" t="s">
        <v>18168</v>
      </c>
      <c r="E3036" t="s">
        <v>20952</v>
      </c>
      <c r="F3036" t="s">
        <v>31362</v>
      </c>
      <c r="G3036" t="s">
        <v>31368</v>
      </c>
      <c r="H3036" t="s">
        <v>15799</v>
      </c>
      <c r="I3036" t="s">
        <v>31455</v>
      </c>
      <c r="J3036" t="s">
        <v>31734</v>
      </c>
      <c r="K3036" t="s">
        <v>40662</v>
      </c>
      <c r="M3036" t="s">
        <v>41201</v>
      </c>
      <c r="N3036" t="s">
        <v>44905</v>
      </c>
      <c r="O3036" t="s">
        <v>44906</v>
      </c>
      <c r="P3036">
        <v>0</v>
      </c>
      <c r="Q3036">
        <v>0</v>
      </c>
      <c r="R3036" t="s">
        <v>44908</v>
      </c>
      <c r="S3036" t="s">
        <v>45042</v>
      </c>
      <c r="T3036" t="s">
        <v>46414</v>
      </c>
      <c r="U3036" t="s">
        <v>49190</v>
      </c>
      <c r="W3036" t="s">
        <v>41201</v>
      </c>
      <c r="X3036" t="s">
        <v>44909</v>
      </c>
    </row>
    <row r="3037" spans="1:24">
      <c r="A3037">
        <f>HYPERLINK("https://www.philgeps.gov.ph/GEPSNONPILOT/Tender/SplashBidNoticeAbstractUI.aspx?menuIndex=3&amp;refID=7079329&amp;Result=3","7079329")</f>
        <v>0</v>
      </c>
      <c r="B3037" t="s">
        <v>1158</v>
      </c>
      <c r="C3037" t="s">
        <v>6424</v>
      </c>
      <c r="D3037" t="s">
        <v>18109</v>
      </c>
      <c r="E3037" t="s">
        <v>20953</v>
      </c>
      <c r="F3037" t="s">
        <v>31362</v>
      </c>
      <c r="G3037" t="s">
        <v>31368</v>
      </c>
      <c r="H3037" t="s">
        <v>15799</v>
      </c>
      <c r="I3037" t="s">
        <v>6155</v>
      </c>
      <c r="J3037" t="s">
        <v>33556</v>
      </c>
      <c r="K3037" t="s">
        <v>40662</v>
      </c>
      <c r="M3037" t="s">
        <v>42167</v>
      </c>
      <c r="N3037" t="s">
        <v>44905</v>
      </c>
      <c r="O3037" t="s">
        <v>44906</v>
      </c>
      <c r="P3037">
        <v>0</v>
      </c>
      <c r="Q3037">
        <v>6</v>
      </c>
      <c r="R3037" t="s">
        <v>44908</v>
      </c>
      <c r="S3037" t="s">
        <v>45042</v>
      </c>
      <c r="T3037" t="s">
        <v>46447</v>
      </c>
      <c r="U3037" t="s">
        <v>49436</v>
      </c>
      <c r="W3037" t="s">
        <v>42167</v>
      </c>
      <c r="X3037" t="s">
        <v>44909</v>
      </c>
    </row>
    <row r="3038" spans="1:24">
      <c r="A3038">
        <f>HYPERLINK("https://www.philgeps.gov.ph/GEPSNONPILOT/Tender/SplashBidNoticeAbstractUI.aspx?menuIndex=3&amp;refID=7079367&amp;Result=3","7079367")</f>
        <v>0</v>
      </c>
      <c r="B3038" t="s">
        <v>1159</v>
      </c>
      <c r="C3038" t="s">
        <v>6425</v>
      </c>
      <c r="D3038" t="s">
        <v>18126</v>
      </c>
      <c r="E3038" t="s">
        <v>20954</v>
      </c>
      <c r="F3038" t="s">
        <v>31362</v>
      </c>
      <c r="G3038" t="s">
        <v>31369</v>
      </c>
      <c r="H3038" t="s">
        <v>15799</v>
      </c>
      <c r="I3038" t="s">
        <v>31386</v>
      </c>
      <c r="J3038" t="s">
        <v>33557</v>
      </c>
      <c r="K3038" t="s">
        <v>40724</v>
      </c>
      <c r="M3038" t="s">
        <v>42168</v>
      </c>
      <c r="N3038" t="s">
        <v>44905</v>
      </c>
      <c r="O3038" t="s">
        <v>44906</v>
      </c>
      <c r="P3038">
        <v>0</v>
      </c>
      <c r="Q3038">
        <v>0</v>
      </c>
      <c r="R3038" t="s">
        <v>44908</v>
      </c>
      <c r="S3038" t="s">
        <v>45042</v>
      </c>
      <c r="T3038" t="s">
        <v>46449</v>
      </c>
      <c r="U3038" t="s">
        <v>49437</v>
      </c>
      <c r="V3038" t="s">
        <v>59386</v>
      </c>
      <c r="W3038" t="s">
        <v>42168</v>
      </c>
      <c r="X3038" t="s">
        <v>44909</v>
      </c>
    </row>
    <row r="3039" spans="1:24">
      <c r="A3039">
        <f>HYPERLINK("https://www.philgeps.gov.ph/GEPSNONPILOT/Tender/SplashBidNoticeAbstractUI.aspx?menuIndex=3&amp;refID=7079365&amp;Result=3","7079365")</f>
        <v>0</v>
      </c>
      <c r="B3039" t="s">
        <v>1160</v>
      </c>
      <c r="C3039" t="s">
        <v>6426</v>
      </c>
      <c r="D3039" t="s">
        <v>18123</v>
      </c>
      <c r="E3039" t="s">
        <v>18227</v>
      </c>
      <c r="F3039" t="s">
        <v>31362</v>
      </c>
      <c r="G3039" t="s">
        <v>31369</v>
      </c>
      <c r="H3039" t="s">
        <v>15799</v>
      </c>
      <c r="I3039" t="s">
        <v>31439</v>
      </c>
      <c r="J3039" t="s">
        <v>33558</v>
      </c>
      <c r="K3039" t="s">
        <v>40675</v>
      </c>
      <c r="M3039" t="s">
        <v>42169</v>
      </c>
      <c r="N3039" t="s">
        <v>44905</v>
      </c>
      <c r="O3039" t="s">
        <v>44906</v>
      </c>
      <c r="P3039">
        <v>0</v>
      </c>
      <c r="Q3039">
        <v>0</v>
      </c>
      <c r="R3039" t="s">
        <v>44908</v>
      </c>
      <c r="S3039" t="s">
        <v>45042</v>
      </c>
      <c r="T3039" t="s">
        <v>46555</v>
      </c>
      <c r="U3039" t="s">
        <v>49438</v>
      </c>
      <c r="W3039" t="s">
        <v>42169</v>
      </c>
      <c r="X3039" t="s">
        <v>44909</v>
      </c>
    </row>
    <row r="3040" spans="1:24">
      <c r="A3040">
        <f>HYPERLINK("https://www.philgeps.gov.ph/GEPSNONPILOT/Tender/SplashBidNoticeAbstractUI.aspx?menuIndex=3&amp;refID=7079363&amp;Result=3","7079363")</f>
        <v>0</v>
      </c>
      <c r="B3040" t="s">
        <v>676</v>
      </c>
      <c r="C3040" t="s">
        <v>6427</v>
      </c>
      <c r="D3040" t="s">
        <v>18134</v>
      </c>
      <c r="E3040" t="s">
        <v>20955</v>
      </c>
      <c r="F3040" t="s">
        <v>31362</v>
      </c>
      <c r="G3040" t="s">
        <v>31368</v>
      </c>
      <c r="H3040" t="s">
        <v>15799</v>
      </c>
      <c r="I3040" t="s">
        <v>7719</v>
      </c>
      <c r="J3040" t="s">
        <v>31724</v>
      </c>
      <c r="K3040" t="s">
        <v>40661</v>
      </c>
      <c r="M3040" t="s">
        <v>41638</v>
      </c>
      <c r="N3040" t="s">
        <v>44905</v>
      </c>
      <c r="O3040" t="s">
        <v>44906</v>
      </c>
      <c r="P3040">
        <v>0</v>
      </c>
      <c r="Q3040">
        <v>5</v>
      </c>
      <c r="R3040" t="s">
        <v>44908</v>
      </c>
      <c r="S3040" t="s">
        <v>45042</v>
      </c>
      <c r="T3040" t="s">
        <v>46454</v>
      </c>
      <c r="U3040" t="s">
        <v>49439</v>
      </c>
      <c r="W3040" t="s">
        <v>41638</v>
      </c>
      <c r="X3040" t="s">
        <v>44909</v>
      </c>
    </row>
    <row r="3041" spans="1:24">
      <c r="A3041">
        <f>HYPERLINK("https://www.philgeps.gov.ph/GEPSNONPILOT/Tender/SplashBidNoticeAbstractUI.aspx?menuIndex=3&amp;refID=7079362&amp;Result=3","7079362")</f>
        <v>0</v>
      </c>
      <c r="B3041" t="s">
        <v>1161</v>
      </c>
      <c r="C3041" t="s">
        <v>6428</v>
      </c>
      <c r="E3041" t="s">
        <v>20956</v>
      </c>
      <c r="F3041" t="s">
        <v>31362</v>
      </c>
      <c r="G3041" t="s">
        <v>31368</v>
      </c>
      <c r="H3041" t="s">
        <v>15799</v>
      </c>
      <c r="I3041" t="s">
        <v>31489</v>
      </c>
      <c r="J3041" t="s">
        <v>33559</v>
      </c>
      <c r="K3041" t="s">
        <v>40662</v>
      </c>
      <c r="M3041" t="s">
        <v>42170</v>
      </c>
      <c r="N3041" t="s">
        <v>44905</v>
      </c>
      <c r="O3041" t="s">
        <v>44906</v>
      </c>
      <c r="P3041">
        <v>0</v>
      </c>
      <c r="Q3041">
        <v>2</v>
      </c>
      <c r="R3041" t="s">
        <v>44908</v>
      </c>
      <c r="S3041" t="s">
        <v>45042</v>
      </c>
      <c r="T3041" t="s">
        <v>46509</v>
      </c>
      <c r="U3041" t="s">
        <v>49440</v>
      </c>
      <c r="W3041" t="s">
        <v>42170</v>
      </c>
      <c r="X3041" t="s">
        <v>44909</v>
      </c>
    </row>
    <row r="3042" spans="1:24">
      <c r="A3042">
        <f>HYPERLINK("https://www.philgeps.gov.ph/GEPSNONPILOT/Tender/SplashBidNoticeAbstractUI.aspx?menuIndex=3&amp;refID=7079359&amp;Result=3","7079359")</f>
        <v>0</v>
      </c>
      <c r="B3042" t="s">
        <v>1102</v>
      </c>
      <c r="C3042" t="s">
        <v>6429</v>
      </c>
      <c r="D3042" t="s">
        <v>18160</v>
      </c>
      <c r="E3042" t="s">
        <v>20957</v>
      </c>
      <c r="F3042" t="s">
        <v>31362</v>
      </c>
      <c r="G3042" t="s">
        <v>31368</v>
      </c>
      <c r="H3042" t="s">
        <v>15799</v>
      </c>
      <c r="I3042" t="s">
        <v>3815</v>
      </c>
      <c r="J3042" t="s">
        <v>33560</v>
      </c>
      <c r="K3042" t="s">
        <v>40662</v>
      </c>
      <c r="M3042" t="s">
        <v>42107</v>
      </c>
      <c r="N3042" t="s">
        <v>44905</v>
      </c>
      <c r="O3042" t="s">
        <v>44906</v>
      </c>
      <c r="P3042">
        <v>0</v>
      </c>
      <c r="Q3042">
        <v>0</v>
      </c>
      <c r="R3042" t="s">
        <v>44908</v>
      </c>
      <c r="S3042" t="s">
        <v>45042</v>
      </c>
      <c r="T3042" t="s">
        <v>46414</v>
      </c>
      <c r="U3042" t="s">
        <v>49377</v>
      </c>
      <c r="W3042" t="s">
        <v>42107</v>
      </c>
      <c r="X3042" t="s">
        <v>44909</v>
      </c>
    </row>
    <row r="3043" spans="1:24">
      <c r="A3043">
        <f>HYPERLINK("https://www.philgeps.gov.ph/GEPSNONPILOT/Tender/SplashBidNoticeAbstractUI.aspx?menuIndex=3&amp;refID=7079357&amp;Result=3","7079357")</f>
        <v>0</v>
      </c>
      <c r="B3043" t="s">
        <v>1115</v>
      </c>
      <c r="C3043" t="s">
        <v>6430</v>
      </c>
      <c r="D3043" t="s">
        <v>18104</v>
      </c>
      <c r="E3043" t="s">
        <v>20958</v>
      </c>
      <c r="F3043" t="s">
        <v>31362</v>
      </c>
      <c r="G3043" t="s">
        <v>31368</v>
      </c>
      <c r="H3043" t="s">
        <v>15799</v>
      </c>
      <c r="I3043" t="s">
        <v>7188</v>
      </c>
      <c r="J3043" t="s">
        <v>31578</v>
      </c>
      <c r="K3043" t="s">
        <v>40670</v>
      </c>
      <c r="M3043" t="s">
        <v>42121</v>
      </c>
      <c r="N3043" t="s">
        <v>44905</v>
      </c>
      <c r="O3043" t="s">
        <v>44906</v>
      </c>
      <c r="P3043">
        <v>0</v>
      </c>
      <c r="Q3043">
        <v>9</v>
      </c>
      <c r="R3043" t="s">
        <v>44908</v>
      </c>
      <c r="S3043" t="s">
        <v>45042</v>
      </c>
      <c r="T3043" t="s">
        <v>46470</v>
      </c>
      <c r="U3043" t="s">
        <v>49441</v>
      </c>
      <c r="V3043" t="s">
        <v>59378</v>
      </c>
      <c r="W3043" t="s">
        <v>42121</v>
      </c>
      <c r="X3043" t="s">
        <v>44909</v>
      </c>
    </row>
    <row r="3044" spans="1:24">
      <c r="A3044">
        <f>HYPERLINK("https://www.philgeps.gov.ph/GEPSNONPILOT/Tender/SplashBidNoticeAbstractUI.aspx?menuIndex=3&amp;refID=7079310&amp;Result=3","7079310")</f>
        <v>0</v>
      </c>
      <c r="B3044" t="s">
        <v>794</v>
      </c>
      <c r="C3044" t="s">
        <v>6431</v>
      </c>
      <c r="E3044" t="s">
        <v>20959</v>
      </c>
      <c r="F3044" t="s">
        <v>31362</v>
      </c>
      <c r="G3044" t="s">
        <v>31372</v>
      </c>
      <c r="H3044" t="s">
        <v>31378</v>
      </c>
      <c r="I3044" t="s">
        <v>31386</v>
      </c>
      <c r="J3044" t="s">
        <v>31542</v>
      </c>
      <c r="K3044" t="s">
        <v>40675</v>
      </c>
      <c r="M3044" t="s">
        <v>42171</v>
      </c>
      <c r="N3044" t="s">
        <v>44905</v>
      </c>
      <c r="O3044" t="s">
        <v>44906</v>
      </c>
      <c r="P3044">
        <v>0</v>
      </c>
      <c r="Q3044">
        <v>0</v>
      </c>
      <c r="R3044" t="s">
        <v>44908</v>
      </c>
      <c r="S3044" t="s">
        <v>45042</v>
      </c>
      <c r="T3044" t="s">
        <v>46409</v>
      </c>
      <c r="U3044" t="s">
        <v>49442</v>
      </c>
      <c r="W3044" t="s">
        <v>42171</v>
      </c>
      <c r="X3044" t="s">
        <v>44909</v>
      </c>
    </row>
    <row r="3045" spans="1:24">
      <c r="A3045">
        <f>HYPERLINK("https://www.philgeps.gov.ph/GEPSNONPILOT/Tender/SplashBidNoticeAbstractUI.aspx?menuIndex=3&amp;refID=7079354&amp;Result=3","7079354")</f>
        <v>0</v>
      </c>
      <c r="B3045" t="s">
        <v>1122</v>
      </c>
      <c r="C3045" t="s">
        <v>6432</v>
      </c>
      <c r="D3045" t="s">
        <v>18113</v>
      </c>
      <c r="E3045" t="s">
        <v>20960</v>
      </c>
      <c r="F3045" t="s">
        <v>31362</v>
      </c>
      <c r="G3045" t="s">
        <v>31368</v>
      </c>
      <c r="H3045" t="s">
        <v>15799</v>
      </c>
      <c r="I3045" t="s">
        <v>31430</v>
      </c>
      <c r="J3045" t="s">
        <v>31546</v>
      </c>
      <c r="K3045" t="s">
        <v>40665</v>
      </c>
      <c r="M3045" t="s">
        <v>42129</v>
      </c>
      <c r="N3045" t="s">
        <v>44905</v>
      </c>
      <c r="O3045" t="s">
        <v>44906</v>
      </c>
      <c r="P3045">
        <v>0</v>
      </c>
      <c r="Q3045">
        <v>1</v>
      </c>
      <c r="R3045" t="s">
        <v>44908</v>
      </c>
      <c r="S3045" t="s">
        <v>45042</v>
      </c>
      <c r="T3045" t="s">
        <v>46483</v>
      </c>
      <c r="U3045" t="s">
        <v>49443</v>
      </c>
      <c r="W3045" t="s">
        <v>42129</v>
      </c>
      <c r="X3045" t="s">
        <v>44909</v>
      </c>
    </row>
    <row r="3046" spans="1:24">
      <c r="A3046">
        <f>HYPERLINK("https://www.philgeps.gov.ph/GEPSNONPILOT/Tender/SplashBidNoticeAbstractUI.aspx?menuIndex=3&amp;refID=7079352&amp;Result=3","7079352")</f>
        <v>0</v>
      </c>
      <c r="B3046" t="s">
        <v>993</v>
      </c>
      <c r="C3046" t="s">
        <v>6433</v>
      </c>
      <c r="D3046" t="s">
        <v>18103</v>
      </c>
      <c r="E3046" t="s">
        <v>19912</v>
      </c>
      <c r="F3046" t="s">
        <v>31362</v>
      </c>
      <c r="G3046" t="s">
        <v>31369</v>
      </c>
      <c r="H3046" t="s">
        <v>31378</v>
      </c>
      <c r="I3046" t="s">
        <v>31386</v>
      </c>
      <c r="J3046" t="s">
        <v>33561</v>
      </c>
      <c r="K3046" t="s">
        <v>40678</v>
      </c>
      <c r="M3046" t="s">
        <v>41988</v>
      </c>
      <c r="N3046" t="s">
        <v>44905</v>
      </c>
      <c r="O3046" t="s">
        <v>44906</v>
      </c>
      <c r="P3046">
        <v>0</v>
      </c>
      <c r="Q3046">
        <v>1</v>
      </c>
      <c r="R3046" t="s">
        <v>44908</v>
      </c>
      <c r="S3046" t="s">
        <v>45042</v>
      </c>
      <c r="T3046" t="s">
        <v>46522</v>
      </c>
      <c r="U3046" t="s">
        <v>49053</v>
      </c>
      <c r="W3046" t="s">
        <v>41988</v>
      </c>
      <c r="X3046" t="s">
        <v>44909</v>
      </c>
    </row>
    <row r="3047" spans="1:24">
      <c r="A3047">
        <f>HYPERLINK("https://www.philgeps.gov.ph/GEPSNONPILOT/Tender/SplashBidNoticeAbstractUI.aspx?menuIndex=3&amp;refID=7079350&amp;Result=3","7079350")</f>
        <v>0</v>
      </c>
      <c r="B3047" t="s">
        <v>1094</v>
      </c>
      <c r="C3047" t="s">
        <v>6434</v>
      </c>
      <c r="D3047" t="s">
        <v>18117</v>
      </c>
      <c r="E3047" t="s">
        <v>20961</v>
      </c>
      <c r="F3047" t="s">
        <v>31362</v>
      </c>
      <c r="G3047" t="s">
        <v>31368</v>
      </c>
      <c r="H3047" t="s">
        <v>15799</v>
      </c>
      <c r="I3047" t="s">
        <v>7719</v>
      </c>
      <c r="J3047" t="s">
        <v>33562</v>
      </c>
      <c r="K3047" t="s">
        <v>40672</v>
      </c>
      <c r="M3047" t="s">
        <v>42099</v>
      </c>
      <c r="N3047" t="s">
        <v>44905</v>
      </c>
      <c r="O3047" t="s">
        <v>44906</v>
      </c>
      <c r="P3047">
        <v>0</v>
      </c>
      <c r="Q3047">
        <v>10</v>
      </c>
      <c r="R3047" t="s">
        <v>44908</v>
      </c>
      <c r="S3047" t="s">
        <v>45042</v>
      </c>
      <c r="T3047" t="s">
        <v>46454</v>
      </c>
      <c r="U3047" t="s">
        <v>49444</v>
      </c>
      <c r="W3047" t="s">
        <v>42099</v>
      </c>
      <c r="X3047" t="s">
        <v>44909</v>
      </c>
    </row>
    <row r="3048" spans="1:24">
      <c r="A3048">
        <f>HYPERLINK("https://www.philgeps.gov.ph/GEPSNONPILOT/Tender/SplashBidNoticeAbstractUI.aspx?menuIndex=3&amp;refID=7079333&amp;Result=3","7079333")</f>
        <v>0</v>
      </c>
      <c r="B3048" t="s">
        <v>405</v>
      </c>
      <c r="C3048" t="s">
        <v>6435</v>
      </c>
      <c r="D3048" t="s">
        <v>18100</v>
      </c>
      <c r="E3048" t="s">
        <v>20962</v>
      </c>
      <c r="F3048" t="s">
        <v>31362</v>
      </c>
      <c r="G3048" t="s">
        <v>31368</v>
      </c>
      <c r="H3048" t="s">
        <v>15799</v>
      </c>
      <c r="I3048" t="s">
        <v>6155</v>
      </c>
      <c r="J3048" t="s">
        <v>31921</v>
      </c>
      <c r="K3048" t="s">
        <v>40673</v>
      </c>
      <c r="M3048" t="s">
        <v>41355</v>
      </c>
      <c r="N3048" t="s">
        <v>44905</v>
      </c>
      <c r="O3048" t="s">
        <v>44906</v>
      </c>
      <c r="P3048">
        <v>0</v>
      </c>
      <c r="Q3048">
        <v>2</v>
      </c>
      <c r="R3048" t="s">
        <v>44908</v>
      </c>
      <c r="S3048" t="s">
        <v>45042</v>
      </c>
      <c r="T3048" t="s">
        <v>46454</v>
      </c>
      <c r="U3048" t="s">
        <v>49445</v>
      </c>
      <c r="W3048" t="s">
        <v>41355</v>
      </c>
      <c r="X3048" t="s">
        <v>44909</v>
      </c>
    </row>
    <row r="3049" spans="1:24">
      <c r="A3049">
        <f>HYPERLINK("https://www.philgeps.gov.ph/GEPSNONPILOT/Tender/SplashBidNoticeAbstractUI.aspx?menuIndex=3&amp;refID=7079349&amp;Result=3","7079349")</f>
        <v>0</v>
      </c>
      <c r="B3049" t="s">
        <v>1156</v>
      </c>
      <c r="C3049" t="s">
        <v>6436</v>
      </c>
      <c r="D3049" t="s">
        <v>18111</v>
      </c>
      <c r="E3049" t="s">
        <v>20963</v>
      </c>
      <c r="F3049" t="s">
        <v>31362</v>
      </c>
      <c r="G3049" t="s">
        <v>31369</v>
      </c>
      <c r="H3049" t="s">
        <v>31378</v>
      </c>
      <c r="I3049" t="s">
        <v>31386</v>
      </c>
      <c r="J3049" t="s">
        <v>33563</v>
      </c>
      <c r="K3049" t="s">
        <v>40662</v>
      </c>
      <c r="M3049" t="s">
        <v>42165</v>
      </c>
      <c r="N3049" t="s">
        <v>44905</v>
      </c>
      <c r="O3049" t="s">
        <v>44906</v>
      </c>
      <c r="P3049">
        <v>0</v>
      </c>
      <c r="Q3049">
        <v>0</v>
      </c>
      <c r="R3049" t="s">
        <v>44908</v>
      </c>
      <c r="S3049" t="s">
        <v>45042</v>
      </c>
      <c r="T3049" t="s">
        <v>46470</v>
      </c>
      <c r="U3049" t="s">
        <v>49446</v>
      </c>
      <c r="W3049" t="s">
        <v>60885</v>
      </c>
      <c r="X3049" t="s">
        <v>44909</v>
      </c>
    </row>
    <row r="3050" spans="1:24">
      <c r="A3050">
        <f>HYPERLINK("https://www.philgeps.gov.ph/GEPSNONPILOT/Tender/SplashBidNoticeAbstractUI.aspx?menuIndex=3&amp;refID=7079312&amp;Result=3","7079312")</f>
        <v>0</v>
      </c>
      <c r="B3050" t="s">
        <v>200</v>
      </c>
      <c r="C3050" t="s">
        <v>6437</v>
      </c>
      <c r="D3050" t="s">
        <v>18106</v>
      </c>
      <c r="E3050" t="s">
        <v>20964</v>
      </c>
      <c r="F3050" t="s">
        <v>31362</v>
      </c>
      <c r="G3050" t="s">
        <v>31369</v>
      </c>
      <c r="H3050" t="s">
        <v>31378</v>
      </c>
      <c r="I3050" t="s">
        <v>31386</v>
      </c>
      <c r="J3050" t="s">
        <v>33564</v>
      </c>
      <c r="K3050" t="s">
        <v>40707</v>
      </c>
      <c r="M3050" t="s">
        <v>41139</v>
      </c>
      <c r="N3050" t="s">
        <v>44905</v>
      </c>
      <c r="O3050" t="s">
        <v>44906</v>
      </c>
      <c r="P3050">
        <v>0</v>
      </c>
      <c r="Q3050">
        <v>1</v>
      </c>
      <c r="R3050" t="s">
        <v>44908</v>
      </c>
      <c r="S3050" t="s">
        <v>45042</v>
      </c>
      <c r="T3050" t="s">
        <v>46640</v>
      </c>
      <c r="U3050" t="s">
        <v>49447</v>
      </c>
      <c r="W3050" t="s">
        <v>41139</v>
      </c>
      <c r="X3050" t="s">
        <v>44909</v>
      </c>
    </row>
    <row r="3051" spans="1:24">
      <c r="A3051">
        <f>HYPERLINK("https://www.philgeps.gov.ph/GEPSNONPILOT/Tender/SplashBidNoticeAbstractUI.aspx?menuIndex=3&amp;refID=7079348&amp;Result=3","7079348")</f>
        <v>0</v>
      </c>
      <c r="B3051" t="s">
        <v>1162</v>
      </c>
      <c r="C3051" t="s">
        <v>6438</v>
      </c>
      <c r="D3051" t="s">
        <v>18125</v>
      </c>
      <c r="E3051" t="s">
        <v>20965</v>
      </c>
      <c r="F3051" t="s">
        <v>31362</v>
      </c>
      <c r="G3051" t="s">
        <v>31368</v>
      </c>
      <c r="H3051" t="s">
        <v>31378</v>
      </c>
      <c r="I3051" t="s">
        <v>31386</v>
      </c>
      <c r="J3051" t="s">
        <v>33565</v>
      </c>
      <c r="K3051" t="s">
        <v>40670</v>
      </c>
      <c r="M3051" t="s">
        <v>42172</v>
      </c>
      <c r="N3051" t="s">
        <v>44905</v>
      </c>
      <c r="O3051" t="s">
        <v>44906</v>
      </c>
      <c r="P3051">
        <v>0</v>
      </c>
      <c r="Q3051">
        <v>0</v>
      </c>
      <c r="R3051" t="s">
        <v>44908</v>
      </c>
      <c r="S3051" t="s">
        <v>45042</v>
      </c>
      <c r="T3051" t="s">
        <v>46447</v>
      </c>
      <c r="U3051" t="s">
        <v>49448</v>
      </c>
      <c r="V3051" t="s">
        <v>59387</v>
      </c>
      <c r="W3051" t="s">
        <v>42172</v>
      </c>
      <c r="X3051" t="s">
        <v>44909</v>
      </c>
    </row>
    <row r="3052" spans="1:24">
      <c r="A3052">
        <f>HYPERLINK("https://www.philgeps.gov.ph/GEPSNONPILOT/Tender/SplashBidNoticeAbstractUI.aspx?menuIndex=3&amp;refID=7079346&amp;Result=3","7079346")</f>
        <v>0</v>
      </c>
      <c r="B3052" t="s">
        <v>1163</v>
      </c>
      <c r="C3052" t="s">
        <v>6439</v>
      </c>
      <c r="D3052" t="s">
        <v>18154</v>
      </c>
      <c r="E3052" t="s">
        <v>20966</v>
      </c>
      <c r="F3052" t="s">
        <v>31362</v>
      </c>
      <c r="G3052" t="s">
        <v>31368</v>
      </c>
      <c r="H3052" t="s">
        <v>15799</v>
      </c>
      <c r="I3052" t="s">
        <v>31404</v>
      </c>
      <c r="J3052" t="s">
        <v>32339</v>
      </c>
      <c r="K3052" t="s">
        <v>40665</v>
      </c>
      <c r="M3052" t="s">
        <v>42173</v>
      </c>
      <c r="N3052" t="s">
        <v>44905</v>
      </c>
      <c r="O3052" t="s">
        <v>44906</v>
      </c>
      <c r="P3052">
        <v>0</v>
      </c>
      <c r="Q3052">
        <v>0</v>
      </c>
      <c r="R3052" t="s">
        <v>44908</v>
      </c>
      <c r="S3052" t="s">
        <v>45042</v>
      </c>
      <c r="T3052" t="s">
        <v>46394</v>
      </c>
      <c r="U3052" t="s">
        <v>49449</v>
      </c>
      <c r="W3052" t="s">
        <v>42173</v>
      </c>
      <c r="X3052" t="s">
        <v>44909</v>
      </c>
    </row>
    <row r="3053" spans="1:24">
      <c r="A3053">
        <f>HYPERLINK("https://www.philgeps.gov.ph/GEPSNONPILOT/Tender/SplashBidNoticeAbstractUI.aspx?menuIndex=3&amp;refID=7079344&amp;Result=3","7079344")</f>
        <v>0</v>
      </c>
      <c r="B3053" t="s">
        <v>1115</v>
      </c>
      <c r="C3053" t="s">
        <v>6440</v>
      </c>
      <c r="D3053" t="s">
        <v>18104</v>
      </c>
      <c r="E3053" t="s">
        <v>20967</v>
      </c>
      <c r="F3053" t="s">
        <v>31362</v>
      </c>
      <c r="G3053" t="s">
        <v>31368</v>
      </c>
      <c r="H3053" t="s">
        <v>15799</v>
      </c>
      <c r="I3053" t="s">
        <v>7188</v>
      </c>
      <c r="J3053" t="s">
        <v>31578</v>
      </c>
      <c r="K3053" t="s">
        <v>40662</v>
      </c>
      <c r="M3053" t="s">
        <v>42121</v>
      </c>
      <c r="N3053" t="s">
        <v>44905</v>
      </c>
      <c r="O3053" t="s">
        <v>44906</v>
      </c>
      <c r="P3053">
        <v>0</v>
      </c>
      <c r="Q3053">
        <v>1</v>
      </c>
      <c r="R3053" t="s">
        <v>44908</v>
      </c>
      <c r="S3053" t="s">
        <v>45042</v>
      </c>
      <c r="T3053" t="s">
        <v>46470</v>
      </c>
      <c r="U3053" t="s">
        <v>49450</v>
      </c>
      <c r="V3053" t="s">
        <v>59378</v>
      </c>
      <c r="W3053" t="s">
        <v>42121</v>
      </c>
      <c r="X3053" t="s">
        <v>44909</v>
      </c>
    </row>
    <row r="3054" spans="1:24">
      <c r="A3054">
        <f>HYPERLINK("https://www.philgeps.gov.ph/GEPSNONPILOT/Tender/SplashBidNoticeAbstractUI.aspx?menuIndex=3&amp;refID=7079341&amp;Result=3","7079341")</f>
        <v>0</v>
      </c>
      <c r="B3054" t="s">
        <v>993</v>
      </c>
      <c r="C3054" t="s">
        <v>6441</v>
      </c>
      <c r="D3054" t="s">
        <v>18103</v>
      </c>
      <c r="E3054" t="s">
        <v>20824</v>
      </c>
      <c r="F3054" t="s">
        <v>31362</v>
      </c>
      <c r="G3054" t="s">
        <v>31369</v>
      </c>
      <c r="H3054" t="s">
        <v>31378</v>
      </c>
      <c r="I3054" t="s">
        <v>31386</v>
      </c>
      <c r="J3054" t="s">
        <v>33566</v>
      </c>
      <c r="K3054" t="s">
        <v>40686</v>
      </c>
      <c r="M3054" t="s">
        <v>41988</v>
      </c>
      <c r="N3054" t="s">
        <v>44905</v>
      </c>
      <c r="O3054" t="s">
        <v>44906</v>
      </c>
      <c r="P3054">
        <v>0</v>
      </c>
      <c r="Q3054">
        <v>0</v>
      </c>
      <c r="R3054" t="s">
        <v>44908</v>
      </c>
      <c r="S3054" t="s">
        <v>45042</v>
      </c>
      <c r="T3054" t="s">
        <v>46522</v>
      </c>
      <c r="U3054" t="s">
        <v>49053</v>
      </c>
      <c r="W3054" t="s">
        <v>41988</v>
      </c>
      <c r="X3054" t="s">
        <v>44909</v>
      </c>
    </row>
    <row r="3055" spans="1:24">
      <c r="A3055">
        <f>HYPERLINK("https://www.philgeps.gov.ph/GEPSNONPILOT/Tender/SplashBidNoticeAbstractUI.aspx?menuIndex=3&amp;refID=7079351&amp;Result=3","7079351")</f>
        <v>0</v>
      </c>
      <c r="B3055" t="s">
        <v>992</v>
      </c>
      <c r="C3055" t="s">
        <v>6442</v>
      </c>
      <c r="D3055" t="s">
        <v>18127</v>
      </c>
      <c r="E3055" t="s">
        <v>20968</v>
      </c>
      <c r="F3055" t="s">
        <v>31362</v>
      </c>
      <c r="G3055" t="s">
        <v>31369</v>
      </c>
      <c r="H3055" t="s">
        <v>31378</v>
      </c>
      <c r="I3055" t="s">
        <v>31386</v>
      </c>
      <c r="J3055" t="s">
        <v>33567</v>
      </c>
      <c r="K3055" t="s">
        <v>40678</v>
      </c>
      <c r="M3055" t="s">
        <v>41987</v>
      </c>
      <c r="N3055" t="s">
        <v>44905</v>
      </c>
      <c r="O3055" t="s">
        <v>44906</v>
      </c>
      <c r="P3055">
        <v>0</v>
      </c>
      <c r="Q3055">
        <v>0</v>
      </c>
      <c r="R3055" t="s">
        <v>44908</v>
      </c>
      <c r="S3055" t="s">
        <v>45042</v>
      </c>
      <c r="T3055" t="s">
        <v>46401</v>
      </c>
      <c r="U3055" t="s">
        <v>49451</v>
      </c>
      <c r="W3055" t="s">
        <v>41987</v>
      </c>
      <c r="X3055" t="s">
        <v>44909</v>
      </c>
    </row>
    <row r="3056" spans="1:24">
      <c r="A3056">
        <f>HYPERLINK("https://www.philgeps.gov.ph/GEPSNONPILOT/Tender/SplashBidNoticeAbstractUI.aspx?menuIndex=3&amp;refID=7079369&amp;Result=3","7079369")</f>
        <v>0</v>
      </c>
      <c r="B3056" t="s">
        <v>643</v>
      </c>
      <c r="C3056" t="s">
        <v>6443</v>
      </c>
      <c r="D3056" t="s">
        <v>18103</v>
      </c>
      <c r="E3056" t="s">
        <v>20969</v>
      </c>
      <c r="F3056" t="s">
        <v>31362</v>
      </c>
      <c r="G3056" t="s">
        <v>31370</v>
      </c>
      <c r="H3056" t="s">
        <v>15799</v>
      </c>
      <c r="I3056" t="s">
        <v>31411</v>
      </c>
      <c r="J3056" t="s">
        <v>33568</v>
      </c>
      <c r="K3056" t="s">
        <v>40672</v>
      </c>
      <c r="M3056" t="s">
        <v>41603</v>
      </c>
      <c r="N3056" t="s">
        <v>44905</v>
      </c>
      <c r="O3056" t="s">
        <v>44906</v>
      </c>
      <c r="P3056">
        <v>0</v>
      </c>
      <c r="Q3056">
        <v>0</v>
      </c>
      <c r="R3056" t="s">
        <v>44908</v>
      </c>
      <c r="S3056" t="s">
        <v>45042</v>
      </c>
      <c r="T3056" t="s">
        <v>46432</v>
      </c>
      <c r="U3056" t="s">
        <v>49452</v>
      </c>
      <c r="W3056" t="s">
        <v>41603</v>
      </c>
      <c r="X3056" t="s">
        <v>44909</v>
      </c>
    </row>
    <row r="3057" spans="1:24">
      <c r="A3057">
        <f>HYPERLINK("https://www.philgeps.gov.ph/GEPSNONPILOT/Tender/SplashBidNoticeAbstractUI.aspx?menuIndex=3&amp;refID=7079288&amp;Result=3","7079288")</f>
        <v>0</v>
      </c>
      <c r="B3057" t="s">
        <v>1102</v>
      </c>
      <c r="C3057" t="s">
        <v>6444</v>
      </c>
      <c r="D3057" t="s">
        <v>18160</v>
      </c>
      <c r="E3057" t="s">
        <v>20970</v>
      </c>
      <c r="F3057" t="s">
        <v>31362</v>
      </c>
      <c r="G3057" t="s">
        <v>31368</v>
      </c>
      <c r="H3057" t="s">
        <v>15799</v>
      </c>
      <c r="I3057" t="s">
        <v>31430</v>
      </c>
      <c r="J3057" t="s">
        <v>33569</v>
      </c>
      <c r="K3057" t="s">
        <v>40662</v>
      </c>
      <c r="M3057" t="s">
        <v>42107</v>
      </c>
      <c r="N3057" t="s">
        <v>44905</v>
      </c>
      <c r="O3057" t="s">
        <v>44906</v>
      </c>
      <c r="P3057">
        <v>0</v>
      </c>
      <c r="Q3057">
        <v>0</v>
      </c>
      <c r="R3057" t="s">
        <v>44908</v>
      </c>
      <c r="S3057" t="s">
        <v>45042</v>
      </c>
      <c r="T3057" t="s">
        <v>46414</v>
      </c>
      <c r="U3057" t="s">
        <v>49453</v>
      </c>
      <c r="W3057" t="s">
        <v>42107</v>
      </c>
      <c r="X3057" t="s">
        <v>44909</v>
      </c>
    </row>
    <row r="3058" spans="1:24">
      <c r="A3058">
        <f>HYPERLINK("https://www.philgeps.gov.ph/GEPSNONPILOT/Tender/SplashBidNoticeAbstractUI.aspx?menuIndex=3&amp;refID=7079390&amp;Result=3","7079390")</f>
        <v>0</v>
      </c>
      <c r="B3058" t="s">
        <v>1164</v>
      </c>
      <c r="C3058" t="s">
        <v>6445</v>
      </c>
      <c r="D3058" t="s">
        <v>18111</v>
      </c>
      <c r="E3058" t="s">
        <v>20971</v>
      </c>
      <c r="F3058" t="s">
        <v>31362</v>
      </c>
      <c r="G3058" t="s">
        <v>31370</v>
      </c>
      <c r="H3058" t="s">
        <v>15799</v>
      </c>
      <c r="I3058" t="s">
        <v>31387</v>
      </c>
      <c r="J3058" t="s">
        <v>33570</v>
      </c>
      <c r="K3058" t="s">
        <v>40670</v>
      </c>
      <c r="M3058" t="s">
        <v>42174</v>
      </c>
      <c r="N3058" t="s">
        <v>44905</v>
      </c>
      <c r="O3058" t="s">
        <v>44906</v>
      </c>
      <c r="P3058">
        <v>0</v>
      </c>
      <c r="Q3058">
        <v>1</v>
      </c>
      <c r="R3058" t="s">
        <v>44908</v>
      </c>
      <c r="S3058" t="s">
        <v>45042</v>
      </c>
      <c r="T3058" t="s">
        <v>46414</v>
      </c>
      <c r="U3058" t="s">
        <v>49454</v>
      </c>
      <c r="W3058" t="s">
        <v>42174</v>
      </c>
      <c r="X3058" t="s">
        <v>44909</v>
      </c>
    </row>
    <row r="3059" spans="1:24">
      <c r="A3059">
        <f>HYPERLINK("https://www.philgeps.gov.ph/GEPSNONPILOT/Tender/SplashBidNoticeAbstractUI.aspx?menuIndex=3&amp;refID=7079389&amp;Result=3","7079389")</f>
        <v>0</v>
      </c>
      <c r="B3059" t="s">
        <v>1165</v>
      </c>
      <c r="C3059" t="s">
        <v>6446</v>
      </c>
      <c r="D3059" t="s">
        <v>18134</v>
      </c>
      <c r="E3059" t="s">
        <v>20972</v>
      </c>
      <c r="F3059" t="s">
        <v>31362</v>
      </c>
      <c r="G3059" t="s">
        <v>31368</v>
      </c>
      <c r="H3059" t="s">
        <v>15799</v>
      </c>
      <c r="I3059" t="s">
        <v>3815</v>
      </c>
      <c r="J3059" t="s">
        <v>33571</v>
      </c>
      <c r="K3059" t="s">
        <v>40670</v>
      </c>
      <c r="M3059" t="s">
        <v>42175</v>
      </c>
      <c r="N3059" t="s">
        <v>44905</v>
      </c>
      <c r="O3059" t="s">
        <v>44906</v>
      </c>
      <c r="P3059">
        <v>0</v>
      </c>
      <c r="Q3059">
        <v>0</v>
      </c>
      <c r="R3059" t="s">
        <v>44908</v>
      </c>
      <c r="S3059" t="s">
        <v>45042</v>
      </c>
      <c r="T3059" t="s">
        <v>46408</v>
      </c>
      <c r="U3059" t="s">
        <v>49455</v>
      </c>
      <c r="W3059" t="s">
        <v>42175</v>
      </c>
      <c r="X3059" t="s">
        <v>44909</v>
      </c>
    </row>
    <row r="3060" spans="1:24">
      <c r="A3060">
        <f>HYPERLINK("https://www.philgeps.gov.ph/GEPSNONPILOT/Tender/SplashBidNoticeAbstractUI.aspx?menuIndex=3&amp;refID=7079311&amp;Result=3","7079311")</f>
        <v>0</v>
      </c>
      <c r="B3060" t="s">
        <v>912</v>
      </c>
      <c r="C3060" t="s">
        <v>6351</v>
      </c>
      <c r="D3060" t="s">
        <v>18122</v>
      </c>
      <c r="E3060" t="s">
        <v>20973</v>
      </c>
      <c r="F3060" t="s">
        <v>31363</v>
      </c>
      <c r="G3060" t="s">
        <v>31368</v>
      </c>
      <c r="H3060" t="s">
        <v>15799</v>
      </c>
      <c r="I3060" t="s">
        <v>31478</v>
      </c>
      <c r="J3060" t="s">
        <v>31897</v>
      </c>
      <c r="K3060" t="s">
        <v>40729</v>
      </c>
      <c r="M3060" t="s">
        <v>41895</v>
      </c>
      <c r="N3060" t="s">
        <v>44905</v>
      </c>
      <c r="O3060" t="s">
        <v>44906</v>
      </c>
      <c r="P3060">
        <v>0</v>
      </c>
      <c r="Q3060">
        <v>1</v>
      </c>
      <c r="R3060" t="s">
        <v>44908</v>
      </c>
      <c r="S3060" t="s">
        <v>45042</v>
      </c>
      <c r="T3060" t="s">
        <v>46426</v>
      </c>
      <c r="U3060" t="s">
        <v>49456</v>
      </c>
      <c r="W3060" t="s">
        <v>41895</v>
      </c>
      <c r="X3060" t="s">
        <v>44909</v>
      </c>
    </row>
    <row r="3061" spans="1:24">
      <c r="A3061">
        <f>HYPERLINK("https://www.philgeps.gov.ph/GEPSNONPILOT/Tender/SplashBidNoticeAbstractUI.aspx?menuIndex=3&amp;refID=7079388&amp;Result=3","7079388")</f>
        <v>0</v>
      </c>
      <c r="B3061" t="s">
        <v>1166</v>
      </c>
      <c r="C3061" t="s">
        <v>6447</v>
      </c>
      <c r="D3061" t="s">
        <v>18140</v>
      </c>
      <c r="E3061" t="s">
        <v>19844</v>
      </c>
      <c r="F3061" t="s">
        <v>31362</v>
      </c>
      <c r="G3061" t="s">
        <v>31369</v>
      </c>
      <c r="H3061" t="s">
        <v>31378</v>
      </c>
      <c r="I3061" t="s">
        <v>31386</v>
      </c>
      <c r="J3061" t="s">
        <v>33572</v>
      </c>
      <c r="K3061" t="s">
        <v>40662</v>
      </c>
      <c r="M3061" t="s">
        <v>42176</v>
      </c>
      <c r="N3061" t="s">
        <v>44905</v>
      </c>
      <c r="O3061" t="s">
        <v>44906</v>
      </c>
      <c r="P3061">
        <v>0</v>
      </c>
      <c r="Q3061">
        <v>0</v>
      </c>
      <c r="R3061" t="s">
        <v>44908</v>
      </c>
      <c r="S3061" t="s">
        <v>45042</v>
      </c>
      <c r="T3061" t="s">
        <v>46427</v>
      </c>
      <c r="U3061" t="s">
        <v>47766</v>
      </c>
      <c r="W3061" t="s">
        <v>42176</v>
      </c>
      <c r="X3061" t="s">
        <v>44909</v>
      </c>
    </row>
    <row r="3062" spans="1:24">
      <c r="A3062">
        <f>HYPERLINK("https://www.philgeps.gov.ph/GEPSNONPILOT/Tender/SplashBidNoticeAbstractUI.aspx?menuIndex=3&amp;refID=7079382&amp;Result=3","7079382")</f>
        <v>0</v>
      </c>
      <c r="B3062" t="s">
        <v>1122</v>
      </c>
      <c r="C3062" t="s">
        <v>6448</v>
      </c>
      <c r="D3062" t="s">
        <v>18113</v>
      </c>
      <c r="E3062" t="s">
        <v>20974</v>
      </c>
      <c r="F3062" t="s">
        <v>31362</v>
      </c>
      <c r="G3062" t="s">
        <v>31368</v>
      </c>
      <c r="H3062" t="s">
        <v>15799</v>
      </c>
      <c r="I3062" t="s">
        <v>31430</v>
      </c>
      <c r="J3062" t="s">
        <v>33573</v>
      </c>
      <c r="K3062" t="s">
        <v>40665</v>
      </c>
      <c r="M3062" t="s">
        <v>42129</v>
      </c>
      <c r="N3062" t="s">
        <v>44905</v>
      </c>
      <c r="O3062" t="s">
        <v>44906</v>
      </c>
      <c r="P3062">
        <v>0</v>
      </c>
      <c r="Q3062">
        <v>0</v>
      </c>
      <c r="R3062" t="s">
        <v>44908</v>
      </c>
      <c r="S3062" t="s">
        <v>45042</v>
      </c>
      <c r="T3062" t="s">
        <v>46483</v>
      </c>
      <c r="U3062" t="s">
        <v>49457</v>
      </c>
      <c r="W3062" t="s">
        <v>42129</v>
      </c>
      <c r="X3062" t="s">
        <v>44909</v>
      </c>
    </row>
    <row r="3063" spans="1:24">
      <c r="A3063">
        <f>HYPERLINK("https://www.philgeps.gov.ph/GEPSNONPILOT/Tender/SplashBidNoticeAbstractUI.aspx?menuIndex=3&amp;refID=7079342&amp;Result=3","7079342")</f>
        <v>0</v>
      </c>
      <c r="B3063" t="s">
        <v>363</v>
      </c>
      <c r="C3063" t="s">
        <v>6449</v>
      </c>
      <c r="D3063" t="s">
        <v>18136</v>
      </c>
      <c r="E3063" t="s">
        <v>20975</v>
      </c>
      <c r="F3063" t="s">
        <v>31362</v>
      </c>
      <c r="G3063" t="s">
        <v>31368</v>
      </c>
      <c r="H3063" t="s">
        <v>15799</v>
      </c>
      <c r="I3063" t="s">
        <v>31395</v>
      </c>
      <c r="J3063" t="s">
        <v>31597</v>
      </c>
      <c r="K3063" t="s">
        <v>40665</v>
      </c>
      <c r="M3063" t="s">
        <v>41310</v>
      </c>
      <c r="N3063" t="s">
        <v>44905</v>
      </c>
      <c r="O3063" t="s">
        <v>44906</v>
      </c>
      <c r="P3063">
        <v>0</v>
      </c>
      <c r="Q3063">
        <v>2</v>
      </c>
      <c r="R3063" t="s">
        <v>44908</v>
      </c>
      <c r="S3063" t="s">
        <v>45042</v>
      </c>
      <c r="T3063" t="s">
        <v>46432</v>
      </c>
      <c r="U3063" t="s">
        <v>49458</v>
      </c>
      <c r="W3063" t="s">
        <v>41310</v>
      </c>
      <c r="X3063" t="s">
        <v>44909</v>
      </c>
    </row>
    <row r="3064" spans="1:24">
      <c r="A3064">
        <f>HYPERLINK("https://www.philgeps.gov.ph/GEPSNONPILOT/Tender/SplashBidNoticeAbstractUI.aspx?menuIndex=3&amp;refID=7079394&amp;Result=3","7079394")</f>
        <v>0</v>
      </c>
      <c r="B3064" t="s">
        <v>1167</v>
      </c>
      <c r="C3064" t="s">
        <v>6450</v>
      </c>
      <c r="D3064" t="s">
        <v>18151</v>
      </c>
      <c r="E3064" t="s">
        <v>20976</v>
      </c>
      <c r="F3064" t="s">
        <v>31362</v>
      </c>
      <c r="G3064" t="s">
        <v>31369</v>
      </c>
      <c r="H3064" t="s">
        <v>31378</v>
      </c>
      <c r="I3064" t="s">
        <v>31386</v>
      </c>
      <c r="J3064" t="s">
        <v>33574</v>
      </c>
      <c r="K3064" t="s">
        <v>40686</v>
      </c>
      <c r="M3064" t="s">
        <v>42177</v>
      </c>
      <c r="N3064" t="s">
        <v>44905</v>
      </c>
      <c r="O3064" t="s">
        <v>44906</v>
      </c>
      <c r="P3064">
        <v>0</v>
      </c>
      <c r="Q3064">
        <v>1</v>
      </c>
      <c r="R3064" t="s">
        <v>44908</v>
      </c>
      <c r="S3064" t="s">
        <v>45042</v>
      </c>
      <c r="T3064" t="s">
        <v>46449</v>
      </c>
      <c r="U3064" t="s">
        <v>49459</v>
      </c>
      <c r="W3064" t="s">
        <v>42177</v>
      </c>
      <c r="X3064" t="s">
        <v>44909</v>
      </c>
    </row>
    <row r="3065" spans="1:24">
      <c r="A3065">
        <f>HYPERLINK("https://www.philgeps.gov.ph/GEPSNONPILOT/Tender/SplashBidNoticeAbstractUI.aspx?menuIndex=3&amp;refID=7079340&amp;Result=3","7079340")</f>
        <v>0</v>
      </c>
      <c r="B3065" t="s">
        <v>1122</v>
      </c>
      <c r="C3065" t="s">
        <v>6451</v>
      </c>
      <c r="D3065" t="s">
        <v>18113</v>
      </c>
      <c r="E3065" t="s">
        <v>20977</v>
      </c>
      <c r="F3065" t="s">
        <v>31362</v>
      </c>
      <c r="G3065" t="s">
        <v>31368</v>
      </c>
      <c r="H3065" t="s">
        <v>15799</v>
      </c>
      <c r="I3065" t="s">
        <v>7090</v>
      </c>
      <c r="J3065" t="s">
        <v>33575</v>
      </c>
      <c r="K3065" t="s">
        <v>40682</v>
      </c>
      <c r="M3065" t="s">
        <v>42129</v>
      </c>
      <c r="N3065" t="s">
        <v>44905</v>
      </c>
      <c r="O3065" t="s">
        <v>44906</v>
      </c>
      <c r="P3065">
        <v>0</v>
      </c>
      <c r="Q3065">
        <v>0</v>
      </c>
      <c r="R3065" t="s">
        <v>44908</v>
      </c>
      <c r="S3065" t="s">
        <v>45042</v>
      </c>
      <c r="T3065" t="s">
        <v>46483</v>
      </c>
      <c r="U3065" t="s">
        <v>49460</v>
      </c>
      <c r="W3065" t="s">
        <v>42129</v>
      </c>
      <c r="X3065" t="s">
        <v>44909</v>
      </c>
    </row>
    <row r="3066" spans="1:24">
      <c r="A3066">
        <f>HYPERLINK("https://www.philgeps.gov.ph/GEPSNONPILOT/Tender/SplashBidNoticeAbstractUI.aspx?menuIndex=3&amp;refID=7079345&amp;Result=3","7079345")</f>
        <v>0</v>
      </c>
      <c r="B3066" t="s">
        <v>1168</v>
      </c>
      <c r="C3066" t="s">
        <v>6452</v>
      </c>
      <c r="D3066" t="s">
        <v>18178</v>
      </c>
      <c r="E3066" t="s">
        <v>20978</v>
      </c>
      <c r="F3066" t="s">
        <v>31362</v>
      </c>
      <c r="G3066" t="s">
        <v>31369</v>
      </c>
      <c r="H3066" t="s">
        <v>15799</v>
      </c>
      <c r="I3066" t="s">
        <v>6240</v>
      </c>
      <c r="J3066" t="s">
        <v>32400</v>
      </c>
      <c r="K3066" t="s">
        <v>40666</v>
      </c>
      <c r="M3066" t="s">
        <v>42178</v>
      </c>
      <c r="N3066" t="s">
        <v>44905</v>
      </c>
      <c r="O3066" t="s">
        <v>44906</v>
      </c>
      <c r="P3066">
        <v>0</v>
      </c>
      <c r="Q3066">
        <v>1</v>
      </c>
      <c r="R3066" t="s">
        <v>44908</v>
      </c>
      <c r="S3066" t="s">
        <v>45042</v>
      </c>
      <c r="T3066" t="s">
        <v>46506</v>
      </c>
      <c r="U3066" t="s">
        <v>49461</v>
      </c>
      <c r="W3066" t="s">
        <v>42178</v>
      </c>
      <c r="X3066" t="s">
        <v>44909</v>
      </c>
    </row>
    <row r="3067" spans="1:24">
      <c r="A3067">
        <f>HYPERLINK("https://www.philgeps.gov.ph/GEPSNONPILOT/Tender/SplashBidNoticeAbstractUI.aspx?menuIndex=3&amp;refID=7079384&amp;Result=3","7079384")</f>
        <v>0</v>
      </c>
      <c r="B3067" t="s">
        <v>1169</v>
      </c>
      <c r="C3067" t="s">
        <v>6453</v>
      </c>
      <c r="D3067" t="s">
        <v>18130</v>
      </c>
      <c r="E3067" t="s">
        <v>19709</v>
      </c>
      <c r="F3067" t="s">
        <v>31362</v>
      </c>
      <c r="G3067" t="s">
        <v>31369</v>
      </c>
      <c r="H3067" t="s">
        <v>15799</v>
      </c>
      <c r="I3067" t="s">
        <v>31392</v>
      </c>
      <c r="J3067" t="s">
        <v>32302</v>
      </c>
      <c r="K3067" t="s">
        <v>40666</v>
      </c>
      <c r="M3067" t="s">
        <v>42179</v>
      </c>
      <c r="N3067" t="s">
        <v>44905</v>
      </c>
      <c r="O3067" t="s">
        <v>44906</v>
      </c>
      <c r="P3067">
        <v>0</v>
      </c>
      <c r="Q3067">
        <v>0</v>
      </c>
      <c r="R3067" t="s">
        <v>44908</v>
      </c>
      <c r="S3067" t="s">
        <v>45042</v>
      </c>
      <c r="T3067" t="s">
        <v>46463</v>
      </c>
      <c r="U3067" t="s">
        <v>49462</v>
      </c>
      <c r="W3067" t="s">
        <v>42179</v>
      </c>
      <c r="X3067" t="s">
        <v>44909</v>
      </c>
    </row>
    <row r="3068" spans="1:24">
      <c r="A3068">
        <f>HYPERLINK("https://www.philgeps.gov.ph/GEPSNONPILOT/Tender/SplashBidNoticeAbstractUI.aspx?menuIndex=3&amp;refID=7079380&amp;Result=3","7079380")</f>
        <v>0</v>
      </c>
      <c r="B3068" t="s">
        <v>1062</v>
      </c>
      <c r="C3068" t="s">
        <v>6454</v>
      </c>
      <c r="D3068" t="s">
        <v>18102</v>
      </c>
      <c r="E3068" t="s">
        <v>20979</v>
      </c>
      <c r="F3068" t="s">
        <v>31362</v>
      </c>
      <c r="G3068" t="s">
        <v>31370</v>
      </c>
      <c r="H3068" t="s">
        <v>15799</v>
      </c>
      <c r="I3068" t="s">
        <v>31393</v>
      </c>
      <c r="J3068" t="s">
        <v>31806</v>
      </c>
      <c r="K3068" t="s">
        <v>40662</v>
      </c>
      <c r="M3068" t="s">
        <v>42064</v>
      </c>
      <c r="N3068" t="s">
        <v>44905</v>
      </c>
      <c r="O3068" t="s">
        <v>44906</v>
      </c>
      <c r="P3068">
        <v>0</v>
      </c>
      <c r="Q3068">
        <v>0</v>
      </c>
      <c r="R3068" t="s">
        <v>44908</v>
      </c>
      <c r="S3068" t="s">
        <v>45042</v>
      </c>
      <c r="T3068" t="s">
        <v>46454</v>
      </c>
      <c r="U3068" t="s">
        <v>49463</v>
      </c>
      <c r="W3068" t="s">
        <v>42064</v>
      </c>
      <c r="X3068" t="s">
        <v>44909</v>
      </c>
    </row>
    <row r="3069" spans="1:24">
      <c r="A3069">
        <f>HYPERLINK("https://www.philgeps.gov.ph/GEPSNONPILOT/Tender/SplashBidNoticeAbstractUI.aspx?menuIndex=3&amp;refID=7079379&amp;Result=3","7079379")</f>
        <v>0</v>
      </c>
      <c r="B3069" t="s">
        <v>789</v>
      </c>
      <c r="C3069" t="s">
        <v>6455</v>
      </c>
      <c r="E3069" t="s">
        <v>20980</v>
      </c>
      <c r="F3069" t="s">
        <v>31362</v>
      </c>
      <c r="G3069" t="s">
        <v>31368</v>
      </c>
      <c r="H3069" t="s">
        <v>15799</v>
      </c>
      <c r="I3069" t="s">
        <v>31438</v>
      </c>
      <c r="J3069" t="s">
        <v>33576</v>
      </c>
      <c r="K3069" t="s">
        <v>40662</v>
      </c>
      <c r="M3069" t="s">
        <v>41759</v>
      </c>
      <c r="N3069" t="s">
        <v>44905</v>
      </c>
      <c r="O3069" t="s">
        <v>44906</v>
      </c>
      <c r="P3069">
        <v>0</v>
      </c>
      <c r="Q3069">
        <v>2</v>
      </c>
      <c r="R3069" t="s">
        <v>44908</v>
      </c>
      <c r="S3069" t="s">
        <v>45042</v>
      </c>
      <c r="T3069" t="s">
        <v>46425</v>
      </c>
      <c r="U3069" t="s">
        <v>49464</v>
      </c>
      <c r="W3069" t="s">
        <v>41759</v>
      </c>
      <c r="X3069" t="s">
        <v>44909</v>
      </c>
    </row>
    <row r="3070" spans="1:24">
      <c r="A3070">
        <f>HYPERLINK("https://www.philgeps.gov.ph/GEPSNONPILOT/Tender/SplashBidNoticeAbstractUI.aspx?menuIndex=3&amp;refID=7079378&amp;Result=3","7079378")</f>
        <v>0</v>
      </c>
      <c r="B3070" t="s">
        <v>1115</v>
      </c>
      <c r="C3070" t="s">
        <v>6456</v>
      </c>
      <c r="D3070" t="s">
        <v>18104</v>
      </c>
      <c r="E3070" t="s">
        <v>20981</v>
      </c>
      <c r="F3070" t="s">
        <v>31362</v>
      </c>
      <c r="G3070" t="s">
        <v>31368</v>
      </c>
      <c r="H3070" t="s">
        <v>15799</v>
      </c>
      <c r="I3070" t="s">
        <v>13635</v>
      </c>
      <c r="J3070" t="s">
        <v>33577</v>
      </c>
      <c r="K3070" t="s">
        <v>40670</v>
      </c>
      <c r="M3070" t="s">
        <v>42121</v>
      </c>
      <c r="N3070" t="s">
        <v>44905</v>
      </c>
      <c r="O3070" t="s">
        <v>44906</v>
      </c>
      <c r="P3070">
        <v>0</v>
      </c>
      <c r="Q3070">
        <v>2</v>
      </c>
      <c r="R3070" t="s">
        <v>44908</v>
      </c>
      <c r="S3070" t="s">
        <v>45042</v>
      </c>
      <c r="T3070" t="s">
        <v>46470</v>
      </c>
      <c r="U3070" t="s">
        <v>49465</v>
      </c>
      <c r="V3070" t="s">
        <v>59378</v>
      </c>
      <c r="W3070" t="s">
        <v>42121</v>
      </c>
      <c r="X3070" t="s">
        <v>44909</v>
      </c>
    </row>
    <row r="3071" spans="1:24">
      <c r="A3071">
        <f>HYPERLINK("https://www.philgeps.gov.ph/GEPSNONPILOT/Tender/SplashBidNoticeAbstractUI.aspx?menuIndex=3&amp;refID=7079374&amp;Result=3","7079374")</f>
        <v>0</v>
      </c>
      <c r="B3071" t="s">
        <v>1170</v>
      </c>
      <c r="C3071" t="s">
        <v>6457</v>
      </c>
      <c r="D3071" t="s">
        <v>18138</v>
      </c>
      <c r="E3071" t="s">
        <v>20982</v>
      </c>
      <c r="F3071" t="s">
        <v>31362</v>
      </c>
      <c r="G3071" t="s">
        <v>31372</v>
      </c>
      <c r="H3071" t="s">
        <v>15799</v>
      </c>
      <c r="I3071" t="s">
        <v>31385</v>
      </c>
      <c r="J3071" t="s">
        <v>33578</v>
      </c>
      <c r="K3071" t="s">
        <v>40661</v>
      </c>
      <c r="M3071" t="s">
        <v>42180</v>
      </c>
      <c r="N3071" t="s">
        <v>44905</v>
      </c>
      <c r="O3071" t="s">
        <v>44906</v>
      </c>
      <c r="P3071">
        <v>0</v>
      </c>
      <c r="Q3071">
        <v>1</v>
      </c>
      <c r="R3071" t="s">
        <v>44908</v>
      </c>
      <c r="S3071" t="s">
        <v>45042</v>
      </c>
      <c r="T3071" t="s">
        <v>46454</v>
      </c>
      <c r="U3071" t="s">
        <v>49466</v>
      </c>
      <c r="W3071" t="s">
        <v>42180</v>
      </c>
      <c r="X3071" t="s">
        <v>44909</v>
      </c>
    </row>
    <row r="3072" spans="1:24">
      <c r="A3072">
        <f>HYPERLINK("https://www.philgeps.gov.ph/GEPSNONPILOT/Tender/SplashBidNoticeAbstractUI.aspx?menuIndex=3&amp;refID=7079392&amp;Result=3","7079392")</f>
        <v>0</v>
      </c>
      <c r="B3072" t="s">
        <v>992</v>
      </c>
      <c r="C3072" t="s">
        <v>6458</v>
      </c>
      <c r="D3072" t="s">
        <v>18127</v>
      </c>
      <c r="E3072" t="s">
        <v>20983</v>
      </c>
      <c r="F3072" t="s">
        <v>31362</v>
      </c>
      <c r="G3072" t="s">
        <v>31369</v>
      </c>
      <c r="H3072" t="s">
        <v>31378</v>
      </c>
      <c r="I3072" t="s">
        <v>31386</v>
      </c>
      <c r="J3072" t="s">
        <v>33579</v>
      </c>
      <c r="K3072" t="s">
        <v>40683</v>
      </c>
      <c r="M3072" t="s">
        <v>41987</v>
      </c>
      <c r="N3072" t="s">
        <v>44905</v>
      </c>
      <c r="O3072" t="s">
        <v>44906</v>
      </c>
      <c r="P3072">
        <v>0</v>
      </c>
      <c r="Q3072">
        <v>0</v>
      </c>
      <c r="R3072" t="s">
        <v>44908</v>
      </c>
      <c r="S3072" t="s">
        <v>45042</v>
      </c>
      <c r="T3072" t="s">
        <v>46401</v>
      </c>
      <c r="U3072" t="s">
        <v>49467</v>
      </c>
      <c r="W3072" t="s">
        <v>41987</v>
      </c>
      <c r="X3072" t="s">
        <v>44909</v>
      </c>
    </row>
    <row r="3073" spans="1:24">
      <c r="A3073">
        <f>HYPERLINK("https://www.philgeps.gov.ph/GEPSNONPILOT/Tender/SplashBidNoticeAbstractUI.aspx?menuIndex=3&amp;refID=7079372&amp;Result=3","7079372")</f>
        <v>0</v>
      </c>
      <c r="B3073" t="s">
        <v>1157</v>
      </c>
      <c r="C3073" t="s">
        <v>6459</v>
      </c>
      <c r="D3073" t="s">
        <v>18152</v>
      </c>
      <c r="E3073" t="s">
        <v>18476</v>
      </c>
      <c r="F3073" t="s">
        <v>31365</v>
      </c>
      <c r="G3073" t="s">
        <v>31369</v>
      </c>
      <c r="H3073" t="s">
        <v>31378</v>
      </c>
      <c r="I3073" t="s">
        <v>31386</v>
      </c>
      <c r="J3073" t="s">
        <v>33580</v>
      </c>
      <c r="K3073" t="s">
        <v>40661</v>
      </c>
      <c r="M3073" t="s">
        <v>42166</v>
      </c>
      <c r="N3073" t="s">
        <v>44905</v>
      </c>
      <c r="O3073" t="s">
        <v>44906</v>
      </c>
      <c r="P3073">
        <v>0</v>
      </c>
      <c r="Q3073">
        <v>0</v>
      </c>
      <c r="R3073" t="s">
        <v>44908</v>
      </c>
      <c r="S3073" t="s">
        <v>45042</v>
      </c>
      <c r="T3073" t="s">
        <v>46559</v>
      </c>
      <c r="U3073" t="s">
        <v>49468</v>
      </c>
      <c r="W3073" t="s">
        <v>42166</v>
      </c>
      <c r="X3073" t="s">
        <v>44909</v>
      </c>
    </row>
    <row r="3074" spans="1:24">
      <c r="A3074">
        <f>HYPERLINK("https://www.philgeps.gov.ph/GEPSNONPILOT/Tender/SplashBidNoticeAbstractUI.aspx?menuIndex=3&amp;refID=7079387&amp;Result=3","7079387")</f>
        <v>0</v>
      </c>
      <c r="B3074" t="s">
        <v>1171</v>
      </c>
      <c r="C3074" t="s">
        <v>6460</v>
      </c>
      <c r="D3074" t="s">
        <v>18107</v>
      </c>
      <c r="E3074" t="s">
        <v>20984</v>
      </c>
      <c r="F3074" t="s">
        <v>31362</v>
      </c>
      <c r="G3074" t="s">
        <v>31371</v>
      </c>
      <c r="H3074" t="s">
        <v>15799</v>
      </c>
      <c r="I3074" t="s">
        <v>31385</v>
      </c>
      <c r="J3074" t="s">
        <v>33581</v>
      </c>
      <c r="K3074" t="s">
        <v>40662</v>
      </c>
      <c r="M3074" t="s">
        <v>42181</v>
      </c>
      <c r="N3074" t="s">
        <v>44905</v>
      </c>
      <c r="O3074" t="s">
        <v>44906</v>
      </c>
      <c r="P3074">
        <v>0</v>
      </c>
      <c r="Q3074">
        <v>4</v>
      </c>
      <c r="R3074" t="s">
        <v>44908</v>
      </c>
      <c r="S3074" t="s">
        <v>45042</v>
      </c>
      <c r="T3074" t="s">
        <v>46432</v>
      </c>
      <c r="U3074" t="s">
        <v>49469</v>
      </c>
      <c r="W3074" t="s">
        <v>42181</v>
      </c>
      <c r="X3074" t="s">
        <v>44909</v>
      </c>
    </row>
    <row r="3075" spans="1:24">
      <c r="A3075">
        <f>HYPERLINK("https://www.philgeps.gov.ph/GEPSNONPILOT/Tender/SplashBidNoticeAbstractUI.aspx?menuIndex=3&amp;refID=7079371&amp;Result=3","7079371")</f>
        <v>0</v>
      </c>
      <c r="B3075" t="s">
        <v>1172</v>
      </c>
      <c r="C3075" t="s">
        <v>6461</v>
      </c>
      <c r="D3075" t="s">
        <v>18152</v>
      </c>
      <c r="E3075" t="s">
        <v>20985</v>
      </c>
      <c r="F3075" t="s">
        <v>31362</v>
      </c>
      <c r="G3075" t="s">
        <v>31368</v>
      </c>
      <c r="H3075" t="s">
        <v>15799</v>
      </c>
      <c r="I3075" t="s">
        <v>31422</v>
      </c>
      <c r="J3075" t="s">
        <v>33582</v>
      </c>
      <c r="K3075" t="s">
        <v>40676</v>
      </c>
      <c r="M3075" t="s">
        <v>42182</v>
      </c>
      <c r="N3075" t="s">
        <v>44905</v>
      </c>
      <c r="O3075" t="s">
        <v>44906</v>
      </c>
      <c r="P3075">
        <v>0</v>
      </c>
      <c r="Q3075">
        <v>1</v>
      </c>
      <c r="R3075" t="s">
        <v>44908</v>
      </c>
      <c r="S3075" t="s">
        <v>45042</v>
      </c>
      <c r="T3075" t="s">
        <v>46641</v>
      </c>
      <c r="U3075" t="s">
        <v>49470</v>
      </c>
      <c r="W3075" t="s">
        <v>42182</v>
      </c>
      <c r="X3075" t="s">
        <v>44909</v>
      </c>
    </row>
    <row r="3076" spans="1:24">
      <c r="A3076">
        <f>HYPERLINK("https://www.philgeps.gov.ph/GEPSNONPILOT/Tender/SplashBidNoticeAbstractUI.aspx?menuIndex=3&amp;refID=7079396&amp;Result=3","7079396")</f>
        <v>0</v>
      </c>
      <c r="B3076" t="s">
        <v>643</v>
      </c>
      <c r="C3076" t="s">
        <v>6462</v>
      </c>
      <c r="D3076" t="s">
        <v>18103</v>
      </c>
      <c r="E3076" t="s">
        <v>20986</v>
      </c>
      <c r="F3076" t="s">
        <v>31362</v>
      </c>
      <c r="G3076" t="s">
        <v>31370</v>
      </c>
      <c r="H3076" t="s">
        <v>15799</v>
      </c>
      <c r="I3076" t="s">
        <v>31384</v>
      </c>
      <c r="J3076" t="s">
        <v>33583</v>
      </c>
      <c r="K3076" t="s">
        <v>40672</v>
      </c>
      <c r="M3076" t="s">
        <v>41603</v>
      </c>
      <c r="N3076" t="s">
        <v>44905</v>
      </c>
      <c r="O3076" t="s">
        <v>44906</v>
      </c>
      <c r="P3076">
        <v>0</v>
      </c>
      <c r="Q3076">
        <v>4</v>
      </c>
      <c r="R3076" t="s">
        <v>44908</v>
      </c>
      <c r="S3076" t="s">
        <v>45042</v>
      </c>
      <c r="T3076" t="s">
        <v>46432</v>
      </c>
      <c r="U3076" t="s">
        <v>49471</v>
      </c>
      <c r="W3076" t="s">
        <v>41603</v>
      </c>
      <c r="X3076" t="s">
        <v>44909</v>
      </c>
    </row>
    <row r="3077" spans="1:24">
      <c r="A3077">
        <f>HYPERLINK("https://www.philgeps.gov.ph/GEPSNONPILOT/Tender/SplashBidNoticeAbstractUI.aspx?menuIndex=3&amp;refID=7079421&amp;Result=3","7079421")</f>
        <v>0</v>
      </c>
      <c r="B3077" t="s">
        <v>1173</v>
      </c>
      <c r="C3077" t="s">
        <v>6463</v>
      </c>
      <c r="D3077" t="s">
        <v>18174</v>
      </c>
      <c r="E3077" t="s">
        <v>20987</v>
      </c>
      <c r="F3077" t="s">
        <v>31362</v>
      </c>
      <c r="G3077" t="s">
        <v>31368</v>
      </c>
      <c r="H3077" t="s">
        <v>15799</v>
      </c>
      <c r="I3077" t="s">
        <v>3815</v>
      </c>
      <c r="J3077" t="s">
        <v>33584</v>
      </c>
      <c r="K3077" t="s">
        <v>40661</v>
      </c>
      <c r="M3077" t="s">
        <v>42183</v>
      </c>
      <c r="N3077" t="s">
        <v>44905</v>
      </c>
      <c r="O3077" t="s">
        <v>44906</v>
      </c>
      <c r="P3077">
        <v>0</v>
      </c>
      <c r="Q3077">
        <v>0</v>
      </c>
      <c r="R3077" t="s">
        <v>44908</v>
      </c>
      <c r="S3077" t="s">
        <v>45042</v>
      </c>
      <c r="T3077" t="s">
        <v>46404</v>
      </c>
      <c r="U3077" t="s">
        <v>49472</v>
      </c>
      <c r="W3077" t="s">
        <v>42183</v>
      </c>
      <c r="X3077" t="s">
        <v>44909</v>
      </c>
    </row>
    <row r="3078" spans="1:24">
      <c r="A3078">
        <f>HYPERLINK("https://www.philgeps.gov.ph/GEPSNONPILOT/Tender/SplashBidNoticeAbstractUI.aspx?menuIndex=3&amp;refID=7079368&amp;Result=3","7079368")</f>
        <v>0</v>
      </c>
      <c r="B3078" t="s">
        <v>233</v>
      </c>
      <c r="C3078" t="s">
        <v>6464</v>
      </c>
      <c r="D3078" t="s">
        <v>18108</v>
      </c>
      <c r="E3078" t="s">
        <v>20988</v>
      </c>
      <c r="F3078" t="s">
        <v>31362</v>
      </c>
      <c r="G3078" t="s">
        <v>31368</v>
      </c>
      <c r="H3078" t="s">
        <v>15799</v>
      </c>
      <c r="I3078" t="s">
        <v>31388</v>
      </c>
      <c r="J3078" t="s">
        <v>31753</v>
      </c>
      <c r="K3078" t="s">
        <v>40666</v>
      </c>
      <c r="M3078" t="s">
        <v>42184</v>
      </c>
      <c r="N3078" t="s">
        <v>44905</v>
      </c>
      <c r="O3078" t="s">
        <v>44906</v>
      </c>
      <c r="P3078">
        <v>0</v>
      </c>
      <c r="Q3078">
        <v>3</v>
      </c>
      <c r="R3078" t="s">
        <v>44908</v>
      </c>
      <c r="S3078" t="s">
        <v>45042</v>
      </c>
      <c r="T3078" t="s">
        <v>46498</v>
      </c>
      <c r="U3078" t="s">
        <v>49473</v>
      </c>
      <c r="V3078" t="s">
        <v>49473</v>
      </c>
      <c r="W3078" t="s">
        <v>42184</v>
      </c>
      <c r="X3078" t="s">
        <v>44909</v>
      </c>
    </row>
    <row r="3079" spans="1:24">
      <c r="A3079">
        <f>HYPERLINK("https://www.philgeps.gov.ph/GEPSNONPILOT/Tender/SplashBidNoticeAbstractUI.aspx?menuIndex=3&amp;refID=7079373&amp;Result=3","7079373")</f>
        <v>0</v>
      </c>
      <c r="B3079" t="s">
        <v>1174</v>
      </c>
      <c r="C3079" t="s">
        <v>6465</v>
      </c>
      <c r="D3079" t="s">
        <v>18127</v>
      </c>
      <c r="E3079" t="s">
        <v>20989</v>
      </c>
      <c r="F3079" t="s">
        <v>31362</v>
      </c>
      <c r="G3079" t="s">
        <v>31368</v>
      </c>
      <c r="H3079" t="s">
        <v>15799</v>
      </c>
      <c r="I3079" t="s">
        <v>31427</v>
      </c>
      <c r="J3079" t="s">
        <v>33585</v>
      </c>
      <c r="K3079" t="s">
        <v>40665</v>
      </c>
      <c r="M3079" t="s">
        <v>42185</v>
      </c>
      <c r="N3079" t="s">
        <v>44905</v>
      </c>
      <c r="O3079" t="s">
        <v>44906</v>
      </c>
      <c r="P3079">
        <v>0</v>
      </c>
      <c r="Q3079">
        <v>9</v>
      </c>
      <c r="R3079" t="s">
        <v>44908</v>
      </c>
      <c r="S3079" t="s">
        <v>45042</v>
      </c>
      <c r="T3079" t="s">
        <v>46394</v>
      </c>
      <c r="U3079" t="s">
        <v>49474</v>
      </c>
      <c r="W3079" t="s">
        <v>42185</v>
      </c>
      <c r="X3079" t="s">
        <v>44909</v>
      </c>
    </row>
    <row r="3080" spans="1:24">
      <c r="A3080">
        <f>HYPERLINK("https://www.philgeps.gov.ph/GEPSNONPILOT/Tender/SplashBidNoticeAbstractUI.aspx?menuIndex=3&amp;refID=7079418&amp;Result=3","7079418")</f>
        <v>0</v>
      </c>
      <c r="B3080" t="s">
        <v>1154</v>
      </c>
      <c r="C3080" t="s">
        <v>6466</v>
      </c>
      <c r="D3080" t="s">
        <v>18108</v>
      </c>
      <c r="E3080" t="s">
        <v>20990</v>
      </c>
      <c r="F3080" t="s">
        <v>31362</v>
      </c>
      <c r="G3080" t="s">
        <v>31368</v>
      </c>
      <c r="H3080" t="s">
        <v>31378</v>
      </c>
      <c r="I3080" t="s">
        <v>31386</v>
      </c>
      <c r="J3080" t="s">
        <v>33586</v>
      </c>
      <c r="K3080" t="s">
        <v>40662</v>
      </c>
      <c r="M3080" t="s">
        <v>42163</v>
      </c>
      <c r="N3080" t="s">
        <v>44905</v>
      </c>
      <c r="O3080" t="s">
        <v>44906</v>
      </c>
      <c r="P3080">
        <v>0</v>
      </c>
      <c r="Q3080">
        <v>0</v>
      </c>
      <c r="R3080" t="s">
        <v>44908</v>
      </c>
      <c r="S3080" t="s">
        <v>45042</v>
      </c>
      <c r="T3080" t="s">
        <v>46639</v>
      </c>
      <c r="U3080" t="s">
        <v>49475</v>
      </c>
      <c r="W3080" t="s">
        <v>42163</v>
      </c>
      <c r="X3080" t="s">
        <v>44909</v>
      </c>
    </row>
    <row r="3081" spans="1:24">
      <c r="A3081">
        <f>HYPERLINK("https://www.philgeps.gov.ph/GEPSNONPILOT/Tender/SplashBidNoticeAbstractUI.aspx?menuIndex=3&amp;refID=7079417&amp;Result=3","7079417")</f>
        <v>0</v>
      </c>
      <c r="B3081" t="s">
        <v>1175</v>
      </c>
      <c r="C3081" t="s">
        <v>6467</v>
      </c>
      <c r="D3081" t="s">
        <v>18180</v>
      </c>
      <c r="E3081" t="s">
        <v>20991</v>
      </c>
      <c r="F3081" t="s">
        <v>31362</v>
      </c>
      <c r="G3081" t="s">
        <v>31374</v>
      </c>
      <c r="H3081" t="s">
        <v>15799</v>
      </c>
      <c r="I3081" t="s">
        <v>31387</v>
      </c>
      <c r="J3081" t="s">
        <v>33587</v>
      </c>
      <c r="K3081" t="s">
        <v>40666</v>
      </c>
      <c r="M3081" t="s">
        <v>42186</v>
      </c>
      <c r="N3081" t="s">
        <v>44905</v>
      </c>
      <c r="O3081" t="s">
        <v>44906</v>
      </c>
      <c r="P3081">
        <v>0</v>
      </c>
      <c r="Q3081">
        <v>0</v>
      </c>
      <c r="R3081" t="s">
        <v>44908</v>
      </c>
      <c r="S3081" t="s">
        <v>45042</v>
      </c>
      <c r="T3081" t="s">
        <v>46642</v>
      </c>
      <c r="U3081" t="s">
        <v>49476</v>
      </c>
      <c r="W3081" t="s">
        <v>42186</v>
      </c>
      <c r="X3081" t="s">
        <v>44909</v>
      </c>
    </row>
    <row r="3082" spans="1:24">
      <c r="A3082">
        <f>HYPERLINK("https://www.philgeps.gov.ph/GEPSNONPILOT/Tender/SplashBidNoticeAbstractUI.aspx?menuIndex=3&amp;refID=7079414&amp;Result=3","7079414")</f>
        <v>0</v>
      </c>
      <c r="B3082" t="s">
        <v>1062</v>
      </c>
      <c r="C3082" t="s">
        <v>6468</v>
      </c>
      <c r="D3082" t="s">
        <v>18102</v>
      </c>
      <c r="E3082" t="s">
        <v>20992</v>
      </c>
      <c r="F3082" t="s">
        <v>31362</v>
      </c>
      <c r="G3082" t="s">
        <v>31370</v>
      </c>
      <c r="H3082" t="s">
        <v>15799</v>
      </c>
      <c r="I3082" t="s">
        <v>31400</v>
      </c>
      <c r="J3082" t="s">
        <v>31668</v>
      </c>
      <c r="K3082" t="s">
        <v>40662</v>
      </c>
      <c r="M3082" t="s">
        <v>42064</v>
      </c>
      <c r="N3082" t="s">
        <v>44905</v>
      </c>
      <c r="O3082" t="s">
        <v>44906</v>
      </c>
      <c r="P3082">
        <v>0</v>
      </c>
      <c r="Q3082">
        <v>1</v>
      </c>
      <c r="R3082" t="s">
        <v>44908</v>
      </c>
      <c r="S3082" t="s">
        <v>45042</v>
      </c>
      <c r="T3082" t="s">
        <v>46454</v>
      </c>
      <c r="U3082" t="s">
        <v>49477</v>
      </c>
      <c r="W3082" t="s">
        <v>42064</v>
      </c>
      <c r="X3082" t="s">
        <v>44909</v>
      </c>
    </row>
    <row r="3083" spans="1:24">
      <c r="A3083">
        <f>HYPERLINK("https://www.philgeps.gov.ph/GEPSNONPILOT/Tender/SplashBidNoticeAbstractUI.aspx?menuIndex=3&amp;refID=7079412&amp;Result=3","7079412")</f>
        <v>0</v>
      </c>
      <c r="B3083" t="s">
        <v>362</v>
      </c>
      <c r="C3083" t="s">
        <v>6469</v>
      </c>
      <c r="D3083" t="s">
        <v>18103</v>
      </c>
      <c r="E3083" t="s">
        <v>20993</v>
      </c>
      <c r="F3083" t="s">
        <v>31362</v>
      </c>
      <c r="G3083" t="s">
        <v>31368</v>
      </c>
      <c r="H3083" t="s">
        <v>15799</v>
      </c>
      <c r="I3083" t="s">
        <v>7090</v>
      </c>
      <c r="J3083" t="s">
        <v>33588</v>
      </c>
      <c r="K3083" t="s">
        <v>40677</v>
      </c>
      <c r="M3083" t="s">
        <v>42187</v>
      </c>
      <c r="N3083" t="s">
        <v>44905</v>
      </c>
      <c r="O3083" t="s">
        <v>44906</v>
      </c>
      <c r="P3083">
        <v>0</v>
      </c>
      <c r="Q3083">
        <v>6</v>
      </c>
      <c r="R3083" t="s">
        <v>44908</v>
      </c>
      <c r="S3083" t="s">
        <v>45042</v>
      </c>
      <c r="T3083" t="s">
        <v>46409</v>
      </c>
      <c r="U3083" t="s">
        <v>47543</v>
      </c>
      <c r="V3083" t="s">
        <v>59144</v>
      </c>
      <c r="W3083" t="s">
        <v>60886</v>
      </c>
      <c r="X3083" t="s">
        <v>44909</v>
      </c>
    </row>
    <row r="3084" spans="1:24">
      <c r="A3084">
        <f>HYPERLINK("https://www.philgeps.gov.ph/GEPSNONPILOT/Tender/SplashBidNoticeAbstractUI.aspx?menuIndex=3&amp;refID=7079375&amp;Result=3","7079375")</f>
        <v>0</v>
      </c>
      <c r="B3084" t="s">
        <v>1176</v>
      </c>
      <c r="C3084" t="s">
        <v>6470</v>
      </c>
      <c r="D3084" t="s">
        <v>18127</v>
      </c>
      <c r="E3084" t="s">
        <v>20994</v>
      </c>
      <c r="F3084" t="s">
        <v>31362</v>
      </c>
      <c r="G3084" t="s">
        <v>31369</v>
      </c>
      <c r="H3084" t="s">
        <v>15799</v>
      </c>
      <c r="I3084" t="s">
        <v>3815</v>
      </c>
      <c r="J3084" t="s">
        <v>33589</v>
      </c>
      <c r="K3084" t="s">
        <v>40665</v>
      </c>
      <c r="M3084" t="s">
        <v>42188</v>
      </c>
      <c r="N3084" t="s">
        <v>44905</v>
      </c>
      <c r="O3084" t="s">
        <v>44906</v>
      </c>
      <c r="P3084">
        <v>0</v>
      </c>
      <c r="Q3084">
        <v>0</v>
      </c>
      <c r="R3084" t="s">
        <v>44908</v>
      </c>
      <c r="S3084" t="s">
        <v>45042</v>
      </c>
      <c r="T3084" t="s">
        <v>46613</v>
      </c>
      <c r="U3084" t="s">
        <v>49478</v>
      </c>
      <c r="W3084" t="s">
        <v>42188</v>
      </c>
      <c r="X3084" t="s">
        <v>44909</v>
      </c>
    </row>
    <row r="3085" spans="1:24">
      <c r="A3085">
        <f>HYPERLINK("https://www.philgeps.gov.ph/GEPSNONPILOT/Tender/SplashBidNoticeAbstractUI.aspx?menuIndex=3&amp;refID=7079410&amp;Result=3","7079410")</f>
        <v>0</v>
      </c>
      <c r="B3085" t="s">
        <v>1157</v>
      </c>
      <c r="C3085" t="s">
        <v>6459</v>
      </c>
      <c r="D3085" t="s">
        <v>18152</v>
      </c>
      <c r="E3085" t="s">
        <v>18476</v>
      </c>
      <c r="F3085" t="s">
        <v>31365</v>
      </c>
      <c r="G3085" t="s">
        <v>31369</v>
      </c>
      <c r="H3085" t="s">
        <v>31378</v>
      </c>
      <c r="I3085" t="s">
        <v>31386</v>
      </c>
      <c r="J3085" t="s">
        <v>33580</v>
      </c>
      <c r="K3085" t="s">
        <v>40665</v>
      </c>
      <c r="M3085" t="s">
        <v>42166</v>
      </c>
      <c r="N3085" t="s">
        <v>44905</v>
      </c>
      <c r="O3085" t="s">
        <v>44906</v>
      </c>
      <c r="P3085">
        <v>0</v>
      </c>
      <c r="Q3085">
        <v>0</v>
      </c>
      <c r="R3085" t="s">
        <v>44908</v>
      </c>
      <c r="S3085" t="s">
        <v>45042</v>
      </c>
      <c r="T3085" t="s">
        <v>46559</v>
      </c>
      <c r="U3085" t="s">
        <v>49468</v>
      </c>
      <c r="W3085" t="s">
        <v>42166</v>
      </c>
      <c r="X3085" t="s">
        <v>44909</v>
      </c>
    </row>
    <row r="3086" spans="1:24">
      <c r="A3086">
        <f>HYPERLINK("https://www.philgeps.gov.ph/GEPSNONPILOT/Tender/SplashBidNoticeAbstractUI.aspx?menuIndex=3&amp;refID=7079419&amp;Result=3","7079419")</f>
        <v>0</v>
      </c>
      <c r="B3086" t="s">
        <v>1172</v>
      </c>
      <c r="C3086" t="s">
        <v>4717</v>
      </c>
      <c r="D3086" t="s">
        <v>18152</v>
      </c>
      <c r="E3086" t="s">
        <v>20995</v>
      </c>
      <c r="F3086" t="s">
        <v>31362</v>
      </c>
      <c r="G3086" t="s">
        <v>31368</v>
      </c>
      <c r="H3086" t="s">
        <v>15799</v>
      </c>
      <c r="I3086" t="s">
        <v>6373</v>
      </c>
      <c r="J3086" t="s">
        <v>33590</v>
      </c>
      <c r="K3086" t="s">
        <v>40676</v>
      </c>
      <c r="M3086" t="s">
        <v>42182</v>
      </c>
      <c r="N3086" t="s">
        <v>44905</v>
      </c>
      <c r="O3086" t="s">
        <v>44906</v>
      </c>
      <c r="P3086">
        <v>0</v>
      </c>
      <c r="Q3086">
        <v>2</v>
      </c>
      <c r="R3086" t="s">
        <v>44908</v>
      </c>
      <c r="S3086" t="s">
        <v>45042</v>
      </c>
      <c r="T3086" t="s">
        <v>46641</v>
      </c>
      <c r="U3086" t="s">
        <v>49479</v>
      </c>
      <c r="W3086" t="s">
        <v>42182</v>
      </c>
      <c r="X3086" t="s">
        <v>44909</v>
      </c>
    </row>
    <row r="3087" spans="1:24">
      <c r="A3087">
        <f>HYPERLINK("https://www.philgeps.gov.ph/GEPSNONPILOT/Tender/SplashBidNoticeAbstractUI.aspx?menuIndex=3&amp;refID=7079408&amp;Result=3","7079408")</f>
        <v>0</v>
      </c>
      <c r="B3087" t="s">
        <v>1177</v>
      </c>
      <c r="C3087" t="s">
        <v>6471</v>
      </c>
      <c r="D3087" t="s">
        <v>18110</v>
      </c>
      <c r="E3087" t="s">
        <v>20996</v>
      </c>
      <c r="F3087" t="s">
        <v>31362</v>
      </c>
      <c r="G3087" t="s">
        <v>31370</v>
      </c>
      <c r="H3087" t="s">
        <v>15799</v>
      </c>
      <c r="I3087" t="s">
        <v>7188</v>
      </c>
      <c r="J3087" t="s">
        <v>33017</v>
      </c>
      <c r="K3087" t="s">
        <v>40666</v>
      </c>
      <c r="M3087" t="s">
        <v>42189</v>
      </c>
      <c r="N3087" t="s">
        <v>44905</v>
      </c>
      <c r="O3087" t="s">
        <v>44906</v>
      </c>
      <c r="P3087">
        <v>0</v>
      </c>
      <c r="Q3087">
        <v>2</v>
      </c>
      <c r="R3087" t="s">
        <v>44908</v>
      </c>
      <c r="S3087" t="s">
        <v>45042</v>
      </c>
      <c r="T3087" t="s">
        <v>46414</v>
      </c>
      <c r="U3087" t="s">
        <v>49480</v>
      </c>
      <c r="W3087" t="s">
        <v>42189</v>
      </c>
      <c r="X3087" t="s">
        <v>44909</v>
      </c>
    </row>
    <row r="3088" spans="1:24">
      <c r="A3088">
        <f>HYPERLINK("https://www.philgeps.gov.ph/GEPSNONPILOT/Tender/SplashBidNoticeAbstractUI.aspx?menuIndex=3&amp;refID=7079353&amp;Result=3","7079353")</f>
        <v>0</v>
      </c>
      <c r="B3088" t="s">
        <v>1178</v>
      </c>
      <c r="C3088" t="s">
        <v>6472</v>
      </c>
      <c r="D3088" t="s">
        <v>18153</v>
      </c>
      <c r="E3088" t="s">
        <v>20783</v>
      </c>
      <c r="F3088" t="s">
        <v>31363</v>
      </c>
      <c r="G3088" t="s">
        <v>31369</v>
      </c>
      <c r="H3088" t="s">
        <v>31378</v>
      </c>
      <c r="I3088" t="s">
        <v>31386</v>
      </c>
      <c r="J3088" t="s">
        <v>33591</v>
      </c>
      <c r="K3088" t="s">
        <v>40686</v>
      </c>
      <c r="M3088" t="s">
        <v>42190</v>
      </c>
      <c r="N3088" t="s">
        <v>44905</v>
      </c>
      <c r="O3088" t="s">
        <v>44906</v>
      </c>
      <c r="P3088">
        <v>0</v>
      </c>
      <c r="Q3088">
        <v>0</v>
      </c>
      <c r="R3088" t="s">
        <v>44908</v>
      </c>
      <c r="S3088" t="s">
        <v>45042</v>
      </c>
      <c r="T3088" t="s">
        <v>46465</v>
      </c>
      <c r="U3088" t="s">
        <v>49481</v>
      </c>
      <c r="W3088" t="s">
        <v>42190</v>
      </c>
      <c r="X3088" t="s">
        <v>44909</v>
      </c>
    </row>
    <row r="3089" spans="1:24">
      <c r="A3089">
        <f>HYPERLINK("https://www.philgeps.gov.ph/GEPSNONPILOT/Tender/SplashBidNoticeAbstractUI.aspx?menuIndex=3&amp;refID=7079407&amp;Result=3","7079407")</f>
        <v>0</v>
      </c>
      <c r="B3089" t="s">
        <v>1115</v>
      </c>
      <c r="C3089" t="s">
        <v>6473</v>
      </c>
      <c r="D3089" t="s">
        <v>18104</v>
      </c>
      <c r="E3089" t="s">
        <v>20997</v>
      </c>
      <c r="F3089" t="s">
        <v>31362</v>
      </c>
      <c r="G3089" t="s">
        <v>31368</v>
      </c>
      <c r="H3089" t="s">
        <v>15799</v>
      </c>
      <c r="I3089" t="s">
        <v>31385</v>
      </c>
      <c r="J3089" t="s">
        <v>33592</v>
      </c>
      <c r="K3089" t="s">
        <v>40677</v>
      </c>
      <c r="M3089" t="s">
        <v>42121</v>
      </c>
      <c r="N3089" t="s">
        <v>44905</v>
      </c>
      <c r="O3089" t="s">
        <v>44906</v>
      </c>
      <c r="P3089">
        <v>0</v>
      </c>
      <c r="Q3089">
        <v>1</v>
      </c>
      <c r="R3089" t="s">
        <v>44908</v>
      </c>
      <c r="S3089" t="s">
        <v>45042</v>
      </c>
      <c r="T3089" t="s">
        <v>46470</v>
      </c>
      <c r="U3089" t="s">
        <v>49482</v>
      </c>
      <c r="V3089" t="s">
        <v>59378</v>
      </c>
      <c r="W3089" t="s">
        <v>42121</v>
      </c>
      <c r="X3089" t="s">
        <v>44909</v>
      </c>
    </row>
    <row r="3090" spans="1:24">
      <c r="A3090">
        <f>HYPERLINK("https://www.philgeps.gov.ph/GEPSNONPILOT/Tender/SplashBidNoticeAbstractUI.aspx?menuIndex=3&amp;refID=7079406&amp;Result=3","7079406")</f>
        <v>0</v>
      </c>
      <c r="B3090" t="s">
        <v>1179</v>
      </c>
      <c r="C3090" t="s">
        <v>6474</v>
      </c>
      <c r="D3090" t="s">
        <v>18158</v>
      </c>
      <c r="E3090" t="s">
        <v>20998</v>
      </c>
      <c r="F3090" t="s">
        <v>31362</v>
      </c>
      <c r="G3090" t="s">
        <v>31369</v>
      </c>
      <c r="H3090" t="s">
        <v>15799</v>
      </c>
      <c r="I3090" t="s">
        <v>3815</v>
      </c>
      <c r="J3090" t="s">
        <v>33593</v>
      </c>
      <c r="K3090" t="s">
        <v>40661</v>
      </c>
      <c r="M3090" t="s">
        <v>42191</v>
      </c>
      <c r="N3090" t="s">
        <v>44905</v>
      </c>
      <c r="O3090" t="s">
        <v>44906</v>
      </c>
      <c r="P3090">
        <v>0</v>
      </c>
      <c r="Q3090">
        <v>0</v>
      </c>
      <c r="R3090" t="s">
        <v>44908</v>
      </c>
      <c r="S3090" t="s">
        <v>45042</v>
      </c>
      <c r="T3090" t="s">
        <v>46483</v>
      </c>
      <c r="U3090" t="s">
        <v>47766</v>
      </c>
      <c r="W3090" t="s">
        <v>42191</v>
      </c>
      <c r="X3090" t="s">
        <v>44909</v>
      </c>
    </row>
    <row r="3091" spans="1:24">
      <c r="A3091">
        <f>HYPERLINK("https://www.philgeps.gov.ph/GEPSNONPILOT/Tender/SplashBidNoticeAbstractUI.aspx?menuIndex=3&amp;refID=7079405&amp;Result=3","7079405")</f>
        <v>0</v>
      </c>
      <c r="B3091" t="s">
        <v>354</v>
      </c>
      <c r="C3091" t="s">
        <v>6475</v>
      </c>
      <c r="D3091" t="s">
        <v>18141</v>
      </c>
      <c r="E3091" t="s">
        <v>20999</v>
      </c>
      <c r="F3091" t="s">
        <v>31362</v>
      </c>
      <c r="G3091" t="s">
        <v>31370</v>
      </c>
      <c r="H3091" t="s">
        <v>15799</v>
      </c>
      <c r="I3091" t="s">
        <v>31404</v>
      </c>
      <c r="J3091" t="s">
        <v>33594</v>
      </c>
      <c r="K3091" t="s">
        <v>40677</v>
      </c>
      <c r="M3091" t="s">
        <v>41301</v>
      </c>
      <c r="N3091" t="s">
        <v>44905</v>
      </c>
      <c r="O3091" t="s">
        <v>44906</v>
      </c>
      <c r="P3091">
        <v>0</v>
      </c>
      <c r="Q3091">
        <v>0</v>
      </c>
      <c r="R3091" t="s">
        <v>44908</v>
      </c>
      <c r="S3091" t="s">
        <v>45042</v>
      </c>
      <c r="T3091" t="s">
        <v>46478</v>
      </c>
      <c r="U3091" t="s">
        <v>49483</v>
      </c>
      <c r="W3091" t="s">
        <v>41301</v>
      </c>
      <c r="X3091" t="s">
        <v>44909</v>
      </c>
    </row>
    <row r="3092" spans="1:24">
      <c r="A3092">
        <f>HYPERLINK("https://www.philgeps.gov.ph/GEPSNONPILOT/Tender/SplashBidNoticeAbstractUI.aspx?menuIndex=3&amp;refID=7079448&amp;Result=3","7079448")</f>
        <v>0</v>
      </c>
      <c r="B3092" t="s">
        <v>1062</v>
      </c>
      <c r="C3092" t="s">
        <v>6476</v>
      </c>
      <c r="D3092" t="s">
        <v>18102</v>
      </c>
      <c r="E3092" t="s">
        <v>21000</v>
      </c>
      <c r="F3092" t="s">
        <v>31362</v>
      </c>
      <c r="G3092" t="s">
        <v>31368</v>
      </c>
      <c r="H3092" t="s">
        <v>15799</v>
      </c>
      <c r="I3092" t="s">
        <v>31411</v>
      </c>
      <c r="J3092" t="s">
        <v>31937</v>
      </c>
      <c r="K3092" t="s">
        <v>40662</v>
      </c>
      <c r="M3092" t="s">
        <v>42064</v>
      </c>
      <c r="N3092" t="s">
        <v>44905</v>
      </c>
      <c r="O3092" t="s">
        <v>44906</v>
      </c>
      <c r="P3092">
        <v>0</v>
      </c>
      <c r="Q3092">
        <v>1</v>
      </c>
      <c r="R3092" t="s">
        <v>44908</v>
      </c>
      <c r="S3092" t="s">
        <v>45042</v>
      </c>
      <c r="T3092" t="s">
        <v>46454</v>
      </c>
      <c r="U3092" t="s">
        <v>49484</v>
      </c>
      <c r="W3092" t="s">
        <v>42064</v>
      </c>
      <c r="X3092" t="s">
        <v>44909</v>
      </c>
    </row>
    <row r="3093" spans="1:24">
      <c r="A3093">
        <f>HYPERLINK("https://www.philgeps.gov.ph/GEPSNONPILOT/Tender/SplashBidNoticeAbstractUI.aspx?menuIndex=3&amp;refID=7079447&amp;Result=3","7079447")</f>
        <v>0</v>
      </c>
      <c r="B3093" t="s">
        <v>1180</v>
      </c>
      <c r="C3093" t="s">
        <v>6477</v>
      </c>
      <c r="D3093" t="s">
        <v>18109</v>
      </c>
      <c r="E3093" t="s">
        <v>21001</v>
      </c>
      <c r="F3093" t="s">
        <v>31362</v>
      </c>
      <c r="G3093" t="s">
        <v>31369</v>
      </c>
      <c r="H3093" t="s">
        <v>31377</v>
      </c>
      <c r="I3093" t="s">
        <v>31412</v>
      </c>
      <c r="J3093" t="s">
        <v>33595</v>
      </c>
      <c r="K3093" t="s">
        <v>40662</v>
      </c>
      <c r="M3093" t="s">
        <v>42192</v>
      </c>
      <c r="N3093" t="s">
        <v>44905</v>
      </c>
      <c r="O3093" t="s">
        <v>44906</v>
      </c>
      <c r="P3093">
        <v>0</v>
      </c>
      <c r="Q3093">
        <v>4</v>
      </c>
      <c r="R3093" t="s">
        <v>44908</v>
      </c>
      <c r="S3093" t="s">
        <v>45042</v>
      </c>
      <c r="T3093" t="s">
        <v>46521</v>
      </c>
      <c r="U3093" t="s">
        <v>49485</v>
      </c>
      <c r="W3093" t="s">
        <v>42192</v>
      </c>
      <c r="X3093" t="s">
        <v>44909</v>
      </c>
    </row>
    <row r="3094" spans="1:24">
      <c r="A3094">
        <f>HYPERLINK("https://www.philgeps.gov.ph/GEPSNONPILOT/Tender/SplashBidNoticeAbstractUI.aspx?menuIndex=3&amp;refID=7079391&amp;Result=3","7079391")</f>
        <v>0</v>
      </c>
      <c r="B3094" t="s">
        <v>1181</v>
      </c>
      <c r="C3094" t="s">
        <v>6474</v>
      </c>
      <c r="D3094" t="s">
        <v>18158</v>
      </c>
      <c r="E3094" t="s">
        <v>21002</v>
      </c>
      <c r="F3094" t="s">
        <v>31362</v>
      </c>
      <c r="G3094" t="s">
        <v>31369</v>
      </c>
      <c r="H3094" t="s">
        <v>15799</v>
      </c>
      <c r="I3094" t="s">
        <v>3815</v>
      </c>
      <c r="J3094" t="s">
        <v>31530</v>
      </c>
      <c r="K3094" t="s">
        <v>40661</v>
      </c>
      <c r="M3094" t="s">
        <v>42193</v>
      </c>
      <c r="N3094" t="s">
        <v>44905</v>
      </c>
      <c r="O3094" t="s">
        <v>44906</v>
      </c>
      <c r="P3094">
        <v>0</v>
      </c>
      <c r="Q3094">
        <v>0</v>
      </c>
      <c r="R3094" t="s">
        <v>44908</v>
      </c>
      <c r="S3094" t="s">
        <v>45042</v>
      </c>
      <c r="T3094" t="s">
        <v>46483</v>
      </c>
      <c r="U3094" t="s">
        <v>47766</v>
      </c>
      <c r="W3094" t="s">
        <v>42193</v>
      </c>
      <c r="X3094" t="s">
        <v>44909</v>
      </c>
    </row>
    <row r="3095" spans="1:24">
      <c r="A3095">
        <f>HYPERLINK("https://www.philgeps.gov.ph/GEPSNONPILOT/Tender/SplashBidNoticeAbstractUI.aspx?menuIndex=3&amp;refID=7079444&amp;Result=3","7079444")</f>
        <v>0</v>
      </c>
      <c r="B3095" t="s">
        <v>1109</v>
      </c>
      <c r="C3095" t="s">
        <v>6478</v>
      </c>
      <c r="D3095" t="s">
        <v>18122</v>
      </c>
      <c r="E3095" t="s">
        <v>21003</v>
      </c>
      <c r="F3095" t="s">
        <v>31362</v>
      </c>
      <c r="G3095" t="s">
        <v>31368</v>
      </c>
      <c r="H3095" t="s">
        <v>15799</v>
      </c>
      <c r="I3095" t="s">
        <v>3815</v>
      </c>
      <c r="J3095" t="s">
        <v>33596</v>
      </c>
      <c r="K3095" t="s">
        <v>40661</v>
      </c>
      <c r="M3095" t="s">
        <v>42114</v>
      </c>
      <c r="N3095" t="s">
        <v>44905</v>
      </c>
      <c r="O3095" t="s">
        <v>44906</v>
      </c>
      <c r="P3095">
        <v>0</v>
      </c>
      <c r="Q3095">
        <v>0</v>
      </c>
      <c r="R3095" t="s">
        <v>44908</v>
      </c>
      <c r="S3095" t="s">
        <v>45042</v>
      </c>
      <c r="T3095" t="s">
        <v>46454</v>
      </c>
      <c r="U3095" t="s">
        <v>49331</v>
      </c>
      <c r="W3095" t="s">
        <v>42114</v>
      </c>
      <c r="X3095" t="s">
        <v>44909</v>
      </c>
    </row>
    <row r="3096" spans="1:24">
      <c r="A3096">
        <f>HYPERLINK("https://www.philgeps.gov.ph/GEPSNONPILOT/Tender/SplashBidNoticeAbstractUI.aspx?menuIndex=3&amp;refID=7079443&amp;Result=3","7079443")</f>
        <v>0</v>
      </c>
      <c r="B3096" t="s">
        <v>1182</v>
      </c>
      <c r="C3096" t="s">
        <v>6479</v>
      </c>
      <c r="D3096" t="s">
        <v>18158</v>
      </c>
      <c r="E3096" t="s">
        <v>21004</v>
      </c>
      <c r="F3096" t="s">
        <v>31362</v>
      </c>
      <c r="G3096" t="s">
        <v>31369</v>
      </c>
      <c r="H3096" t="s">
        <v>31378</v>
      </c>
      <c r="I3096" t="s">
        <v>31386</v>
      </c>
      <c r="J3096" t="s">
        <v>33597</v>
      </c>
      <c r="K3096" t="s">
        <v>40679</v>
      </c>
      <c r="M3096" t="s">
        <v>42194</v>
      </c>
      <c r="N3096" t="s">
        <v>44905</v>
      </c>
      <c r="O3096" t="s">
        <v>44906</v>
      </c>
      <c r="P3096">
        <v>0</v>
      </c>
      <c r="Q3096">
        <v>1</v>
      </c>
      <c r="R3096" t="s">
        <v>44908</v>
      </c>
      <c r="S3096" t="s">
        <v>45042</v>
      </c>
      <c r="T3096" t="s">
        <v>46559</v>
      </c>
      <c r="U3096" t="s">
        <v>49486</v>
      </c>
      <c r="W3096" t="s">
        <v>42194</v>
      </c>
      <c r="X3096" t="s">
        <v>44909</v>
      </c>
    </row>
    <row r="3097" spans="1:24">
      <c r="A3097">
        <f>HYPERLINK("https://www.philgeps.gov.ph/GEPSNONPILOT/Tender/SplashBidNoticeAbstractUI.aspx?menuIndex=3&amp;refID=7079441&amp;Result=3","7079441")</f>
        <v>0</v>
      </c>
      <c r="B3097" t="s">
        <v>1115</v>
      </c>
      <c r="C3097" t="s">
        <v>6480</v>
      </c>
      <c r="D3097" t="s">
        <v>18104</v>
      </c>
      <c r="E3097" t="s">
        <v>21005</v>
      </c>
      <c r="F3097" t="s">
        <v>31362</v>
      </c>
      <c r="G3097" t="s">
        <v>31368</v>
      </c>
      <c r="H3097" t="s">
        <v>15799</v>
      </c>
      <c r="I3097" t="s">
        <v>31468</v>
      </c>
      <c r="J3097" t="s">
        <v>33598</v>
      </c>
      <c r="K3097" t="s">
        <v>40677</v>
      </c>
      <c r="M3097" t="s">
        <v>42121</v>
      </c>
      <c r="N3097" t="s">
        <v>44905</v>
      </c>
      <c r="O3097" t="s">
        <v>44906</v>
      </c>
      <c r="P3097">
        <v>0</v>
      </c>
      <c r="Q3097">
        <v>0</v>
      </c>
      <c r="R3097" t="s">
        <v>44908</v>
      </c>
      <c r="S3097" t="s">
        <v>45042</v>
      </c>
      <c r="T3097" t="s">
        <v>46470</v>
      </c>
      <c r="U3097" t="s">
        <v>49487</v>
      </c>
      <c r="V3097" t="s">
        <v>59378</v>
      </c>
      <c r="W3097" t="s">
        <v>42121</v>
      </c>
      <c r="X3097" t="s">
        <v>44909</v>
      </c>
    </row>
    <row r="3098" spans="1:24">
      <c r="A3098">
        <f>HYPERLINK("https://www.philgeps.gov.ph/GEPSNONPILOT/Tender/SplashBidNoticeAbstractUI.aspx?menuIndex=3&amp;refID=7079423&amp;Result=3","7079423")</f>
        <v>0</v>
      </c>
      <c r="B3098" t="s">
        <v>1183</v>
      </c>
      <c r="C3098" t="s">
        <v>6481</v>
      </c>
      <c r="D3098" t="s">
        <v>18118</v>
      </c>
      <c r="E3098" t="s">
        <v>20493</v>
      </c>
      <c r="F3098" t="s">
        <v>31362</v>
      </c>
      <c r="G3098" t="s">
        <v>31369</v>
      </c>
      <c r="H3098" t="s">
        <v>31378</v>
      </c>
      <c r="I3098" t="s">
        <v>31386</v>
      </c>
      <c r="J3098" t="s">
        <v>33599</v>
      </c>
      <c r="K3098" t="s">
        <v>40679</v>
      </c>
      <c r="M3098" t="s">
        <v>42195</v>
      </c>
      <c r="N3098" t="s">
        <v>44905</v>
      </c>
      <c r="O3098" t="s">
        <v>44906</v>
      </c>
      <c r="P3098">
        <v>0</v>
      </c>
      <c r="Q3098">
        <v>1</v>
      </c>
      <c r="R3098" t="s">
        <v>44908</v>
      </c>
      <c r="S3098" t="s">
        <v>45042</v>
      </c>
      <c r="T3098" t="s">
        <v>46643</v>
      </c>
      <c r="U3098" t="s">
        <v>49488</v>
      </c>
      <c r="V3098" t="s">
        <v>59388</v>
      </c>
      <c r="W3098" t="s">
        <v>42195</v>
      </c>
      <c r="X3098" t="s">
        <v>44909</v>
      </c>
    </row>
    <row r="3099" spans="1:24">
      <c r="A3099">
        <f>HYPERLINK("https://www.philgeps.gov.ph/GEPSNONPILOT/Tender/SplashBidNoticeAbstractUI.aspx?menuIndex=3&amp;refID=7079438&amp;Result=3","7079438")</f>
        <v>0</v>
      </c>
      <c r="B3099" t="s">
        <v>169</v>
      </c>
      <c r="C3099" t="s">
        <v>6482</v>
      </c>
      <c r="D3099" t="s">
        <v>18108</v>
      </c>
      <c r="E3099" t="s">
        <v>21006</v>
      </c>
      <c r="F3099" t="s">
        <v>31362</v>
      </c>
      <c r="G3099" t="s">
        <v>31368</v>
      </c>
      <c r="H3099" t="s">
        <v>15799</v>
      </c>
      <c r="I3099" t="s">
        <v>7090</v>
      </c>
      <c r="J3099" t="s">
        <v>33600</v>
      </c>
      <c r="K3099" t="s">
        <v>40666</v>
      </c>
      <c r="M3099" t="s">
        <v>41580</v>
      </c>
      <c r="N3099" t="s">
        <v>44905</v>
      </c>
      <c r="O3099" t="s">
        <v>44906</v>
      </c>
      <c r="P3099">
        <v>0</v>
      </c>
      <c r="Q3099">
        <v>0</v>
      </c>
      <c r="R3099" t="s">
        <v>44908</v>
      </c>
      <c r="S3099" t="s">
        <v>45042</v>
      </c>
      <c r="T3099" t="s">
        <v>46411</v>
      </c>
      <c r="U3099" t="s">
        <v>48111</v>
      </c>
      <c r="W3099" t="s">
        <v>41580</v>
      </c>
      <c r="X3099" t="s">
        <v>44909</v>
      </c>
    </row>
    <row r="3100" spans="1:24">
      <c r="A3100">
        <f>HYPERLINK("https://www.philgeps.gov.ph/GEPSNONPILOT/Tender/SplashBidNoticeAbstractUI.aspx?menuIndex=3&amp;refID=7079446&amp;Result=3","7079446")</f>
        <v>0</v>
      </c>
      <c r="B3100" t="s">
        <v>978</v>
      </c>
      <c r="C3100" t="s">
        <v>6483</v>
      </c>
      <c r="D3100" t="s">
        <v>18100</v>
      </c>
      <c r="E3100" t="s">
        <v>21007</v>
      </c>
      <c r="F3100" t="s">
        <v>31362</v>
      </c>
      <c r="G3100" t="s">
        <v>31368</v>
      </c>
      <c r="H3100" t="s">
        <v>15799</v>
      </c>
      <c r="I3100" t="s">
        <v>6155</v>
      </c>
      <c r="J3100" t="s">
        <v>31736</v>
      </c>
      <c r="K3100" t="s">
        <v>40662</v>
      </c>
      <c r="M3100" t="s">
        <v>41969</v>
      </c>
      <c r="N3100" t="s">
        <v>44905</v>
      </c>
      <c r="O3100" t="s">
        <v>44906</v>
      </c>
      <c r="P3100">
        <v>0</v>
      </c>
      <c r="Q3100">
        <v>1</v>
      </c>
      <c r="R3100" t="s">
        <v>44908</v>
      </c>
      <c r="S3100" t="s">
        <v>45042</v>
      </c>
      <c r="T3100" t="s">
        <v>46414</v>
      </c>
      <c r="U3100" t="s">
        <v>49489</v>
      </c>
      <c r="W3100" t="s">
        <v>41969</v>
      </c>
      <c r="X3100" t="s">
        <v>44909</v>
      </c>
    </row>
    <row r="3101" spans="1:24">
      <c r="A3101">
        <f>HYPERLINK("https://www.philgeps.gov.ph/GEPSNONPILOT/Tender/SplashBidNoticeAbstractUI.aspx?menuIndex=3&amp;refID=7079436&amp;Result=3","7079436")</f>
        <v>0</v>
      </c>
      <c r="B3101" t="s">
        <v>1184</v>
      </c>
      <c r="C3101" t="s">
        <v>6484</v>
      </c>
      <c r="D3101" t="s">
        <v>18119</v>
      </c>
      <c r="E3101" t="s">
        <v>21008</v>
      </c>
      <c r="F3101" t="s">
        <v>31362</v>
      </c>
      <c r="G3101" t="s">
        <v>31368</v>
      </c>
      <c r="H3101" t="s">
        <v>15799</v>
      </c>
      <c r="I3101" t="s">
        <v>31400</v>
      </c>
      <c r="J3101" t="s">
        <v>33601</v>
      </c>
      <c r="K3101" t="s">
        <v>40670</v>
      </c>
      <c r="M3101" t="s">
        <v>42196</v>
      </c>
      <c r="N3101" t="s">
        <v>44905</v>
      </c>
      <c r="O3101" t="s">
        <v>44906</v>
      </c>
      <c r="P3101">
        <v>0</v>
      </c>
      <c r="Q3101">
        <v>2</v>
      </c>
      <c r="R3101" t="s">
        <v>44908</v>
      </c>
      <c r="S3101" t="s">
        <v>45042</v>
      </c>
      <c r="T3101" t="s">
        <v>46447</v>
      </c>
      <c r="U3101" t="s">
        <v>49490</v>
      </c>
      <c r="W3101" t="s">
        <v>42196</v>
      </c>
      <c r="X3101" t="s">
        <v>44909</v>
      </c>
    </row>
    <row r="3102" spans="1:24">
      <c r="A3102">
        <f>HYPERLINK("https://www.philgeps.gov.ph/GEPSNONPILOT/Tender/SplashBidNoticeAbstractUI.aspx?menuIndex=3&amp;refID=7079435&amp;Result=3","7079435")</f>
        <v>0</v>
      </c>
      <c r="B3102" t="s">
        <v>1185</v>
      </c>
      <c r="C3102" t="s">
        <v>6485</v>
      </c>
      <c r="D3102" t="s">
        <v>18161</v>
      </c>
      <c r="E3102" t="s">
        <v>21009</v>
      </c>
      <c r="F3102" t="s">
        <v>31362</v>
      </c>
      <c r="G3102" t="s">
        <v>31368</v>
      </c>
      <c r="H3102" t="s">
        <v>15799</v>
      </c>
      <c r="I3102" t="s">
        <v>3815</v>
      </c>
      <c r="J3102" t="s">
        <v>33602</v>
      </c>
      <c r="K3102" t="s">
        <v>40670</v>
      </c>
      <c r="M3102" t="s">
        <v>42197</v>
      </c>
      <c r="N3102" t="s">
        <v>44905</v>
      </c>
      <c r="O3102" t="s">
        <v>44906</v>
      </c>
      <c r="P3102">
        <v>0</v>
      </c>
      <c r="Q3102">
        <v>0</v>
      </c>
      <c r="R3102" t="s">
        <v>44908</v>
      </c>
      <c r="S3102" t="s">
        <v>45042</v>
      </c>
      <c r="T3102" t="s">
        <v>46393</v>
      </c>
      <c r="U3102" t="s">
        <v>49491</v>
      </c>
      <c r="W3102" t="s">
        <v>42197</v>
      </c>
      <c r="X3102" t="s">
        <v>44909</v>
      </c>
    </row>
    <row r="3103" spans="1:24">
      <c r="A3103">
        <f>HYPERLINK("https://www.philgeps.gov.ph/GEPSNONPILOT/Tender/SplashBidNoticeAbstractUI.aspx?menuIndex=3&amp;refID=7079434&amp;Result=3","7079434")</f>
        <v>0</v>
      </c>
      <c r="B3103" t="s">
        <v>1186</v>
      </c>
      <c r="C3103" t="s">
        <v>6486</v>
      </c>
      <c r="D3103" t="s">
        <v>18134</v>
      </c>
      <c r="E3103" t="s">
        <v>21010</v>
      </c>
      <c r="F3103" t="s">
        <v>31362</v>
      </c>
      <c r="G3103" t="s">
        <v>31369</v>
      </c>
      <c r="H3103" t="s">
        <v>15799</v>
      </c>
      <c r="I3103" t="s">
        <v>31388</v>
      </c>
      <c r="J3103" t="s">
        <v>32278</v>
      </c>
      <c r="K3103" t="s">
        <v>40678</v>
      </c>
      <c r="M3103" t="s">
        <v>42198</v>
      </c>
      <c r="N3103" t="s">
        <v>44905</v>
      </c>
      <c r="O3103" t="s">
        <v>44906</v>
      </c>
      <c r="P3103">
        <v>0</v>
      </c>
      <c r="Q3103">
        <v>1</v>
      </c>
      <c r="R3103" t="s">
        <v>44908</v>
      </c>
      <c r="S3103" t="s">
        <v>45042</v>
      </c>
      <c r="T3103" t="s">
        <v>46464</v>
      </c>
      <c r="U3103" t="s">
        <v>49492</v>
      </c>
      <c r="V3103" t="s">
        <v>59389</v>
      </c>
      <c r="W3103" t="s">
        <v>42198</v>
      </c>
      <c r="X3103" t="s">
        <v>44909</v>
      </c>
    </row>
    <row r="3104" spans="1:24">
      <c r="A3104">
        <f>HYPERLINK("https://www.philgeps.gov.ph/GEPSNONPILOT/Tender/SplashBidNoticeAbstractUI.aspx?menuIndex=3&amp;refID=7079432&amp;Result=3","7079432")</f>
        <v>0</v>
      </c>
      <c r="B3104" t="s">
        <v>1173</v>
      </c>
      <c r="C3104" t="s">
        <v>6487</v>
      </c>
      <c r="D3104" t="s">
        <v>18174</v>
      </c>
      <c r="E3104" t="s">
        <v>21011</v>
      </c>
      <c r="F3104" t="s">
        <v>31362</v>
      </c>
      <c r="G3104" t="s">
        <v>31368</v>
      </c>
      <c r="H3104" t="s">
        <v>15799</v>
      </c>
      <c r="I3104" t="s">
        <v>3815</v>
      </c>
      <c r="J3104" t="s">
        <v>33603</v>
      </c>
      <c r="K3104" t="s">
        <v>40661</v>
      </c>
      <c r="M3104" t="s">
        <v>42183</v>
      </c>
      <c r="N3104" t="s">
        <v>44905</v>
      </c>
      <c r="O3104" t="s">
        <v>44906</v>
      </c>
      <c r="P3104">
        <v>0</v>
      </c>
      <c r="Q3104">
        <v>0</v>
      </c>
      <c r="R3104" t="s">
        <v>44908</v>
      </c>
      <c r="S3104" t="s">
        <v>45042</v>
      </c>
      <c r="T3104" t="s">
        <v>46404</v>
      </c>
      <c r="U3104" t="s">
        <v>49472</v>
      </c>
      <c r="W3104" t="s">
        <v>42183</v>
      </c>
      <c r="X3104" t="s">
        <v>44909</v>
      </c>
    </row>
    <row r="3105" spans="1:24">
      <c r="A3105">
        <f>HYPERLINK("https://www.philgeps.gov.ph/GEPSNONPILOT/Tender/SplashBidNoticeAbstractUI.aspx?menuIndex=3&amp;refID=7079413&amp;Result=3","7079413")</f>
        <v>0</v>
      </c>
      <c r="B3105" t="s">
        <v>1035</v>
      </c>
      <c r="C3105" t="s">
        <v>6488</v>
      </c>
      <c r="D3105" t="s">
        <v>18148</v>
      </c>
      <c r="E3105" t="s">
        <v>20933</v>
      </c>
      <c r="F3105" t="s">
        <v>31362</v>
      </c>
      <c r="G3105" t="s">
        <v>31370</v>
      </c>
      <c r="H3105" t="s">
        <v>15799</v>
      </c>
      <c r="I3105" t="s">
        <v>6240</v>
      </c>
      <c r="J3105" t="s">
        <v>33604</v>
      </c>
      <c r="K3105" t="s">
        <v>40662</v>
      </c>
      <c r="M3105" t="s">
        <v>42034</v>
      </c>
      <c r="N3105" t="s">
        <v>44905</v>
      </c>
      <c r="O3105" t="s">
        <v>44906</v>
      </c>
      <c r="P3105">
        <v>0</v>
      </c>
      <c r="Q3105">
        <v>0</v>
      </c>
      <c r="R3105" t="s">
        <v>44908</v>
      </c>
      <c r="S3105" t="s">
        <v>45042</v>
      </c>
      <c r="T3105" t="s">
        <v>46443</v>
      </c>
      <c r="U3105" t="s">
        <v>47665</v>
      </c>
      <c r="W3105" t="s">
        <v>42034</v>
      </c>
      <c r="X3105" t="s">
        <v>44909</v>
      </c>
    </row>
    <row r="3106" spans="1:24">
      <c r="A3106">
        <f>HYPERLINK("https://www.philgeps.gov.ph/GEPSNONPILOT/Tender/SplashBidNoticeAbstractUI.aspx?menuIndex=3&amp;refID=7079429&amp;Result=3","7079429")</f>
        <v>0</v>
      </c>
      <c r="B3106" t="s">
        <v>260</v>
      </c>
      <c r="C3106" t="s">
        <v>6156</v>
      </c>
      <c r="D3106" t="s">
        <v>18112</v>
      </c>
      <c r="E3106" t="s">
        <v>21012</v>
      </c>
      <c r="F3106" t="s">
        <v>31362</v>
      </c>
      <c r="G3106" t="s">
        <v>31368</v>
      </c>
      <c r="H3106" t="s">
        <v>15799</v>
      </c>
      <c r="I3106" t="s">
        <v>31455</v>
      </c>
      <c r="J3106" t="s">
        <v>31734</v>
      </c>
      <c r="K3106" t="s">
        <v>40662</v>
      </c>
      <c r="M3106" t="s">
        <v>41201</v>
      </c>
      <c r="N3106" t="s">
        <v>44905</v>
      </c>
      <c r="O3106" t="s">
        <v>44906</v>
      </c>
      <c r="P3106">
        <v>0</v>
      </c>
      <c r="Q3106">
        <v>0</v>
      </c>
      <c r="R3106" t="s">
        <v>44908</v>
      </c>
      <c r="S3106" t="s">
        <v>45042</v>
      </c>
      <c r="T3106" t="s">
        <v>46414</v>
      </c>
      <c r="U3106" t="s">
        <v>49190</v>
      </c>
      <c r="W3106" t="s">
        <v>41201</v>
      </c>
      <c r="X3106" t="s">
        <v>44909</v>
      </c>
    </row>
    <row r="3107" spans="1:24">
      <c r="A3107">
        <f>HYPERLINK("https://www.philgeps.gov.ph/GEPSNONPILOT/Tender/SplashBidNoticeAbstractUI.aspx?menuIndex=3&amp;refID=7079427&amp;Result=3","7079427")</f>
        <v>0</v>
      </c>
      <c r="B3107" t="s">
        <v>1187</v>
      </c>
      <c r="C3107" t="s">
        <v>6489</v>
      </c>
      <c r="E3107" t="s">
        <v>21013</v>
      </c>
      <c r="F3107" t="s">
        <v>31362</v>
      </c>
      <c r="G3107" t="s">
        <v>31369</v>
      </c>
      <c r="H3107" t="s">
        <v>31378</v>
      </c>
      <c r="I3107" t="s">
        <v>31386</v>
      </c>
      <c r="J3107" t="s">
        <v>32016</v>
      </c>
      <c r="K3107" t="s">
        <v>40661</v>
      </c>
      <c r="M3107" t="s">
        <v>42199</v>
      </c>
      <c r="N3107" t="s">
        <v>44905</v>
      </c>
      <c r="O3107" t="s">
        <v>44906</v>
      </c>
      <c r="P3107">
        <v>0</v>
      </c>
      <c r="Q3107">
        <v>0</v>
      </c>
      <c r="R3107" t="s">
        <v>44908</v>
      </c>
      <c r="S3107" t="s">
        <v>45042</v>
      </c>
      <c r="T3107" t="s">
        <v>46426</v>
      </c>
      <c r="U3107" t="s">
        <v>49493</v>
      </c>
      <c r="W3107" t="s">
        <v>42199</v>
      </c>
      <c r="X3107" t="s">
        <v>44909</v>
      </c>
    </row>
    <row r="3108" spans="1:24">
      <c r="A3108">
        <f>HYPERLINK("https://www.philgeps.gov.ph/GEPSNONPILOT/Tender/SplashBidNoticeAbstractUI.aspx?menuIndex=3&amp;refID=7079424&amp;Result=3","7079424")</f>
        <v>0</v>
      </c>
      <c r="B3108" t="s">
        <v>1122</v>
      </c>
      <c r="C3108" t="s">
        <v>6490</v>
      </c>
      <c r="D3108" t="s">
        <v>18113</v>
      </c>
      <c r="E3108" t="s">
        <v>21014</v>
      </c>
      <c r="F3108" t="s">
        <v>31362</v>
      </c>
      <c r="G3108" t="s">
        <v>31368</v>
      </c>
      <c r="H3108" t="s">
        <v>15799</v>
      </c>
      <c r="I3108" t="s">
        <v>4057</v>
      </c>
      <c r="J3108" t="s">
        <v>31579</v>
      </c>
      <c r="K3108" t="s">
        <v>40699</v>
      </c>
      <c r="M3108" t="s">
        <v>42129</v>
      </c>
      <c r="N3108" t="s">
        <v>44905</v>
      </c>
      <c r="O3108" t="s">
        <v>44906</v>
      </c>
      <c r="P3108">
        <v>0</v>
      </c>
      <c r="Q3108">
        <v>0</v>
      </c>
      <c r="R3108" t="s">
        <v>44908</v>
      </c>
      <c r="S3108" t="s">
        <v>45042</v>
      </c>
      <c r="T3108" t="s">
        <v>46483</v>
      </c>
      <c r="U3108" t="s">
        <v>49494</v>
      </c>
      <c r="W3108" t="s">
        <v>42129</v>
      </c>
      <c r="X3108" t="s">
        <v>44909</v>
      </c>
    </row>
    <row r="3109" spans="1:24">
      <c r="A3109">
        <f>HYPERLINK("https://www.philgeps.gov.ph/GEPSNONPILOT/Tender/SplashBidNoticeAbstractUI.aspx?menuIndex=3&amp;refID=7079393&amp;Result=3","7079393")</f>
        <v>0</v>
      </c>
      <c r="B3109" t="s">
        <v>1156</v>
      </c>
      <c r="C3109" t="s">
        <v>6491</v>
      </c>
      <c r="D3109" t="s">
        <v>18111</v>
      </c>
      <c r="E3109" t="s">
        <v>21015</v>
      </c>
      <c r="F3109" t="s">
        <v>31362</v>
      </c>
      <c r="G3109" t="s">
        <v>31369</v>
      </c>
      <c r="H3109" t="s">
        <v>31378</v>
      </c>
      <c r="I3109" t="s">
        <v>31386</v>
      </c>
      <c r="J3109" t="s">
        <v>33605</v>
      </c>
      <c r="K3109" t="s">
        <v>40662</v>
      </c>
      <c r="M3109" t="s">
        <v>42165</v>
      </c>
      <c r="N3109" t="s">
        <v>44905</v>
      </c>
      <c r="O3109" t="s">
        <v>44906</v>
      </c>
      <c r="P3109">
        <v>0</v>
      </c>
      <c r="Q3109">
        <v>0</v>
      </c>
      <c r="R3109" t="s">
        <v>44908</v>
      </c>
      <c r="S3109" t="s">
        <v>45042</v>
      </c>
      <c r="T3109" t="s">
        <v>46470</v>
      </c>
      <c r="U3109" t="s">
        <v>49495</v>
      </c>
      <c r="W3109" t="s">
        <v>60885</v>
      </c>
      <c r="X3109" t="s">
        <v>44909</v>
      </c>
    </row>
    <row r="3110" spans="1:24">
      <c r="A3110">
        <f>HYPERLINK("https://www.philgeps.gov.ph/GEPSNONPILOT/Tender/SplashBidNoticeAbstractUI.aspx?menuIndex=3&amp;refID=7079437&amp;Result=3","7079437")</f>
        <v>0</v>
      </c>
      <c r="B3110" t="s">
        <v>1122</v>
      </c>
      <c r="C3110" t="s">
        <v>6492</v>
      </c>
      <c r="D3110" t="s">
        <v>18113</v>
      </c>
      <c r="E3110" t="s">
        <v>21016</v>
      </c>
      <c r="F3110" t="s">
        <v>31362</v>
      </c>
      <c r="G3110" t="s">
        <v>31368</v>
      </c>
      <c r="H3110" t="s">
        <v>15799</v>
      </c>
      <c r="I3110" t="s">
        <v>31455</v>
      </c>
      <c r="J3110" t="s">
        <v>31897</v>
      </c>
      <c r="K3110" t="s">
        <v>40665</v>
      </c>
      <c r="M3110" t="s">
        <v>42129</v>
      </c>
      <c r="N3110" t="s">
        <v>44905</v>
      </c>
      <c r="O3110" t="s">
        <v>44906</v>
      </c>
      <c r="P3110">
        <v>0</v>
      </c>
      <c r="Q3110">
        <v>0</v>
      </c>
      <c r="R3110" t="s">
        <v>44908</v>
      </c>
      <c r="S3110" t="s">
        <v>45042</v>
      </c>
      <c r="T3110" t="s">
        <v>46483</v>
      </c>
      <c r="U3110" t="s">
        <v>49496</v>
      </c>
      <c r="W3110" t="s">
        <v>42129</v>
      </c>
      <c r="X3110" t="s">
        <v>44909</v>
      </c>
    </row>
    <row r="3111" spans="1:24">
      <c r="A3111">
        <f>HYPERLINK("https://www.philgeps.gov.ph/GEPSNONPILOT/Tender/SplashBidNoticeAbstractUI.aspx?menuIndex=3&amp;refID=7079426&amp;Result=3","7079426")</f>
        <v>0</v>
      </c>
      <c r="B3111" t="s">
        <v>123</v>
      </c>
      <c r="C3111" t="s">
        <v>6493</v>
      </c>
      <c r="D3111" t="s">
        <v>18146</v>
      </c>
      <c r="E3111" t="s">
        <v>21017</v>
      </c>
      <c r="F3111" t="s">
        <v>31362</v>
      </c>
      <c r="G3111" t="s">
        <v>31368</v>
      </c>
      <c r="H3111" t="s">
        <v>15799</v>
      </c>
      <c r="I3111" t="s">
        <v>31397</v>
      </c>
      <c r="J3111" t="s">
        <v>31564</v>
      </c>
      <c r="K3111" t="s">
        <v>40665</v>
      </c>
      <c r="M3111" t="s">
        <v>42146</v>
      </c>
      <c r="N3111" t="s">
        <v>44905</v>
      </c>
      <c r="O3111" t="s">
        <v>44906</v>
      </c>
      <c r="P3111">
        <v>0</v>
      </c>
      <c r="Q3111">
        <v>2</v>
      </c>
      <c r="R3111" t="s">
        <v>44908</v>
      </c>
      <c r="S3111" t="s">
        <v>45042</v>
      </c>
      <c r="T3111" t="s">
        <v>46427</v>
      </c>
      <c r="U3111" t="s">
        <v>49497</v>
      </c>
      <c r="W3111" t="s">
        <v>42146</v>
      </c>
      <c r="X3111" t="s">
        <v>44909</v>
      </c>
    </row>
    <row r="3112" spans="1:24">
      <c r="A3112">
        <f>HYPERLINK("https://www.philgeps.gov.ph/GEPSNONPILOT/Tender/SplashBidNoticeAbstractUI.aspx?menuIndex=3&amp;refID=7079404&amp;Result=3","7079404")</f>
        <v>0</v>
      </c>
      <c r="B3112" t="s">
        <v>1122</v>
      </c>
      <c r="C3112" t="s">
        <v>6494</v>
      </c>
      <c r="D3112" t="s">
        <v>18113</v>
      </c>
      <c r="E3112" t="s">
        <v>21018</v>
      </c>
      <c r="F3112" t="s">
        <v>31362</v>
      </c>
      <c r="G3112" t="s">
        <v>31368</v>
      </c>
      <c r="H3112" t="s">
        <v>15799</v>
      </c>
      <c r="I3112" t="s">
        <v>31461</v>
      </c>
      <c r="J3112" t="s">
        <v>33606</v>
      </c>
      <c r="K3112" t="s">
        <v>40665</v>
      </c>
      <c r="M3112" t="s">
        <v>42129</v>
      </c>
      <c r="N3112" t="s">
        <v>44905</v>
      </c>
      <c r="O3112" t="s">
        <v>44906</v>
      </c>
      <c r="P3112">
        <v>0</v>
      </c>
      <c r="Q3112">
        <v>0</v>
      </c>
      <c r="R3112" t="s">
        <v>44908</v>
      </c>
      <c r="S3112" t="s">
        <v>45042</v>
      </c>
      <c r="T3112" t="s">
        <v>46483</v>
      </c>
      <c r="U3112" t="s">
        <v>49498</v>
      </c>
      <c r="W3112" t="s">
        <v>42129</v>
      </c>
      <c r="X3112" t="s">
        <v>44909</v>
      </c>
    </row>
    <row r="3113" spans="1:24">
      <c r="A3113">
        <f>HYPERLINK("https://www.philgeps.gov.ph/GEPSNONPILOT/Tender/SplashBidNoticeAbstractUI.aspx?menuIndex=3&amp;refID=7079398&amp;Result=3","7079398")</f>
        <v>0</v>
      </c>
      <c r="B3113" t="s">
        <v>1025</v>
      </c>
      <c r="C3113" t="s">
        <v>6495</v>
      </c>
      <c r="D3113" t="s">
        <v>18134</v>
      </c>
      <c r="E3113" t="s">
        <v>21019</v>
      </c>
      <c r="F3113" t="s">
        <v>31362</v>
      </c>
      <c r="G3113" t="s">
        <v>31368</v>
      </c>
      <c r="H3113" t="s">
        <v>15799</v>
      </c>
      <c r="I3113" t="s">
        <v>31414</v>
      </c>
      <c r="J3113" t="s">
        <v>33485</v>
      </c>
      <c r="K3113" t="s">
        <v>40665</v>
      </c>
      <c r="M3113" t="s">
        <v>42023</v>
      </c>
      <c r="N3113" t="s">
        <v>44905</v>
      </c>
      <c r="O3113" t="s">
        <v>44906</v>
      </c>
      <c r="P3113">
        <v>0</v>
      </c>
      <c r="Q3113">
        <v>1</v>
      </c>
      <c r="R3113" t="s">
        <v>44908</v>
      </c>
      <c r="S3113" t="s">
        <v>45042</v>
      </c>
      <c r="T3113" t="s">
        <v>46432</v>
      </c>
      <c r="U3113" t="s">
        <v>49137</v>
      </c>
      <c r="W3113" t="s">
        <v>42023</v>
      </c>
      <c r="X3113" t="s">
        <v>44909</v>
      </c>
    </row>
    <row r="3114" spans="1:24">
      <c r="A3114">
        <f>HYPERLINK("https://www.philgeps.gov.ph/GEPSNONPILOT/Tender/SplashBidNoticeAbstractUI.aspx?menuIndex=3&amp;refID=7079442&amp;Result=3","7079442")</f>
        <v>0</v>
      </c>
      <c r="B3114" t="s">
        <v>94</v>
      </c>
      <c r="C3114" t="s">
        <v>6496</v>
      </c>
      <c r="D3114" t="s">
        <v>18116</v>
      </c>
      <c r="E3114" t="s">
        <v>21020</v>
      </c>
      <c r="F3114" t="s">
        <v>31362</v>
      </c>
      <c r="G3114" t="s">
        <v>31368</v>
      </c>
      <c r="H3114" t="s">
        <v>15799</v>
      </c>
      <c r="I3114" t="s">
        <v>31388</v>
      </c>
      <c r="J3114" t="s">
        <v>33607</v>
      </c>
      <c r="K3114" t="s">
        <v>40665</v>
      </c>
      <c r="M3114" t="s">
        <v>41031</v>
      </c>
      <c r="N3114" t="s">
        <v>44905</v>
      </c>
      <c r="O3114" t="s">
        <v>44906</v>
      </c>
      <c r="P3114">
        <v>0</v>
      </c>
      <c r="Q3114">
        <v>0</v>
      </c>
      <c r="R3114" t="s">
        <v>44908</v>
      </c>
      <c r="S3114" t="s">
        <v>45042</v>
      </c>
      <c r="T3114" t="s">
        <v>46404</v>
      </c>
      <c r="U3114" t="s">
        <v>49499</v>
      </c>
      <c r="W3114" t="s">
        <v>41031</v>
      </c>
      <c r="X3114" t="s">
        <v>44909</v>
      </c>
    </row>
    <row r="3115" spans="1:24">
      <c r="A3115">
        <f>HYPERLINK("https://www.philgeps.gov.ph/GEPSNONPILOT/Tender/SplashBidNoticeAbstractUI.aspx?menuIndex=3&amp;refID=7079397&amp;Result=3","7079397")</f>
        <v>0</v>
      </c>
      <c r="B3115" t="s">
        <v>1062</v>
      </c>
      <c r="C3115" t="s">
        <v>6497</v>
      </c>
      <c r="D3115" t="s">
        <v>18102</v>
      </c>
      <c r="E3115" t="s">
        <v>21021</v>
      </c>
      <c r="F3115" t="s">
        <v>31362</v>
      </c>
      <c r="G3115" t="s">
        <v>31368</v>
      </c>
      <c r="H3115" t="s">
        <v>15799</v>
      </c>
      <c r="I3115" t="s">
        <v>31456</v>
      </c>
      <c r="J3115" t="s">
        <v>33608</v>
      </c>
      <c r="K3115" t="s">
        <v>40662</v>
      </c>
      <c r="M3115" t="s">
        <v>42064</v>
      </c>
      <c r="N3115" t="s">
        <v>44905</v>
      </c>
      <c r="O3115" t="s">
        <v>44906</v>
      </c>
      <c r="P3115">
        <v>0</v>
      </c>
      <c r="Q3115">
        <v>1</v>
      </c>
      <c r="R3115" t="s">
        <v>44908</v>
      </c>
      <c r="S3115" t="s">
        <v>45042</v>
      </c>
      <c r="T3115" t="s">
        <v>46454</v>
      </c>
      <c r="U3115" t="s">
        <v>49500</v>
      </c>
      <c r="W3115" t="s">
        <v>42064</v>
      </c>
      <c r="X3115" t="s">
        <v>44909</v>
      </c>
    </row>
    <row r="3116" spans="1:24">
      <c r="A3116">
        <f>HYPERLINK("https://www.philgeps.gov.ph/GEPSNONPILOT/Tender/SplashBidNoticeAbstractUI.aspx?menuIndex=3&amp;refID=7079420&amp;Result=3","7079420")</f>
        <v>0</v>
      </c>
      <c r="B3116" t="s">
        <v>1169</v>
      </c>
      <c r="C3116" t="s">
        <v>6498</v>
      </c>
      <c r="D3116" t="s">
        <v>18130</v>
      </c>
      <c r="E3116" t="s">
        <v>18952</v>
      </c>
      <c r="F3116" t="s">
        <v>31362</v>
      </c>
      <c r="G3116" t="s">
        <v>31369</v>
      </c>
      <c r="H3116" t="s">
        <v>15799</v>
      </c>
      <c r="I3116" t="s">
        <v>3815</v>
      </c>
      <c r="J3116" t="s">
        <v>33609</v>
      </c>
      <c r="K3116" t="s">
        <v>40666</v>
      </c>
      <c r="M3116" t="s">
        <v>42179</v>
      </c>
      <c r="N3116" t="s">
        <v>44905</v>
      </c>
      <c r="O3116" t="s">
        <v>44906</v>
      </c>
      <c r="P3116">
        <v>0</v>
      </c>
      <c r="Q3116">
        <v>0</v>
      </c>
      <c r="R3116" t="s">
        <v>44908</v>
      </c>
      <c r="S3116" t="s">
        <v>45042</v>
      </c>
      <c r="T3116" t="s">
        <v>46463</v>
      </c>
      <c r="U3116" t="s">
        <v>49501</v>
      </c>
      <c r="W3116" t="s">
        <v>42179</v>
      </c>
      <c r="X3116" t="s">
        <v>44909</v>
      </c>
    </row>
    <row r="3117" spans="1:24">
      <c r="A3117">
        <f>HYPERLINK("https://www.philgeps.gov.ph/GEPSNONPILOT/Tender/SplashBidNoticeAbstractUI.aspx?menuIndex=3&amp;refID=7079452&amp;Result=3","7079452")</f>
        <v>0</v>
      </c>
      <c r="B3117" t="s">
        <v>888</v>
      </c>
      <c r="C3117" t="s">
        <v>6499</v>
      </c>
      <c r="D3117" t="s">
        <v>18108</v>
      </c>
      <c r="E3117" t="s">
        <v>21022</v>
      </c>
      <c r="F3117" t="s">
        <v>31362</v>
      </c>
      <c r="G3117" t="s">
        <v>31368</v>
      </c>
      <c r="H3117" t="s">
        <v>15799</v>
      </c>
      <c r="I3117" t="s">
        <v>31386</v>
      </c>
      <c r="J3117" t="s">
        <v>31668</v>
      </c>
      <c r="K3117" t="s">
        <v>40661</v>
      </c>
      <c r="M3117" t="s">
        <v>41866</v>
      </c>
      <c r="N3117" t="s">
        <v>44905</v>
      </c>
      <c r="O3117" t="s">
        <v>44906</v>
      </c>
      <c r="P3117">
        <v>0</v>
      </c>
      <c r="Q3117">
        <v>3</v>
      </c>
      <c r="R3117" t="s">
        <v>44908</v>
      </c>
      <c r="S3117" t="s">
        <v>45042</v>
      </c>
      <c r="T3117" t="s">
        <v>46412</v>
      </c>
      <c r="U3117" t="s">
        <v>48778</v>
      </c>
      <c r="W3117" t="s">
        <v>41866</v>
      </c>
      <c r="X3117" t="s">
        <v>44909</v>
      </c>
    </row>
    <row r="3118" spans="1:24">
      <c r="A3118">
        <f>HYPERLINK("https://www.philgeps.gov.ph/GEPSNONPILOT/Tender/SplashBidNoticeAbstractUI.aspx?menuIndex=3&amp;refID=7079451&amp;Result=3","7079451")</f>
        <v>0</v>
      </c>
      <c r="B3118" t="s">
        <v>789</v>
      </c>
      <c r="C3118" t="s">
        <v>6500</v>
      </c>
      <c r="E3118" t="s">
        <v>21023</v>
      </c>
      <c r="F3118" t="s">
        <v>31362</v>
      </c>
      <c r="G3118" t="s">
        <v>31368</v>
      </c>
      <c r="H3118" t="s">
        <v>15799</v>
      </c>
      <c r="I3118" t="s">
        <v>31422</v>
      </c>
      <c r="J3118" t="s">
        <v>32165</v>
      </c>
      <c r="K3118" t="s">
        <v>40662</v>
      </c>
      <c r="M3118" t="s">
        <v>41759</v>
      </c>
      <c r="N3118" t="s">
        <v>44905</v>
      </c>
      <c r="O3118" t="s">
        <v>44906</v>
      </c>
      <c r="P3118">
        <v>0</v>
      </c>
      <c r="Q3118">
        <v>5</v>
      </c>
      <c r="R3118" t="s">
        <v>44908</v>
      </c>
      <c r="S3118" t="s">
        <v>45042</v>
      </c>
      <c r="T3118" t="s">
        <v>46425</v>
      </c>
      <c r="U3118" t="s">
        <v>49502</v>
      </c>
      <c r="W3118" t="s">
        <v>41759</v>
      </c>
      <c r="X3118" t="s">
        <v>44909</v>
      </c>
    </row>
    <row r="3119" spans="1:24">
      <c r="A3119">
        <f>HYPERLINK("https://www.philgeps.gov.ph/GEPSNONPILOT/Tender/SplashBidNoticeAbstractUI.aspx?menuIndex=3&amp;refID=7079449&amp;Result=3","7079449")</f>
        <v>0</v>
      </c>
      <c r="B3119" t="s">
        <v>1122</v>
      </c>
      <c r="C3119" t="s">
        <v>6501</v>
      </c>
      <c r="D3119" t="s">
        <v>18113</v>
      </c>
      <c r="E3119" t="s">
        <v>21024</v>
      </c>
      <c r="F3119" t="s">
        <v>31362</v>
      </c>
      <c r="G3119" t="s">
        <v>31368</v>
      </c>
      <c r="H3119" t="s">
        <v>15799</v>
      </c>
      <c r="I3119" t="s">
        <v>7719</v>
      </c>
      <c r="J3119" t="s">
        <v>33610</v>
      </c>
      <c r="K3119" t="s">
        <v>40665</v>
      </c>
      <c r="M3119" t="s">
        <v>42129</v>
      </c>
      <c r="N3119" t="s">
        <v>44905</v>
      </c>
      <c r="O3119" t="s">
        <v>44906</v>
      </c>
      <c r="P3119">
        <v>0</v>
      </c>
      <c r="Q3119">
        <v>3</v>
      </c>
      <c r="R3119" t="s">
        <v>44908</v>
      </c>
      <c r="S3119" t="s">
        <v>45042</v>
      </c>
      <c r="T3119" t="s">
        <v>46483</v>
      </c>
      <c r="U3119" t="s">
        <v>49503</v>
      </c>
      <c r="W3119" t="s">
        <v>42129</v>
      </c>
      <c r="X3119" t="s">
        <v>44909</v>
      </c>
    </row>
    <row r="3120" spans="1:24">
      <c r="A3120">
        <f>HYPERLINK("https://www.philgeps.gov.ph/GEPSNONPILOT/Tender/SplashBidNoticeAbstractUI.aspx?menuIndex=3&amp;refID=7079401&amp;Result=3","7079401")</f>
        <v>0</v>
      </c>
      <c r="B3120" t="s">
        <v>1158</v>
      </c>
      <c r="C3120" t="s">
        <v>6502</v>
      </c>
      <c r="D3120" t="s">
        <v>18109</v>
      </c>
      <c r="E3120" t="s">
        <v>21025</v>
      </c>
      <c r="F3120" t="s">
        <v>31362</v>
      </c>
      <c r="G3120" t="s">
        <v>31368</v>
      </c>
      <c r="H3120" t="s">
        <v>15799</v>
      </c>
      <c r="I3120" t="s">
        <v>7188</v>
      </c>
      <c r="J3120" t="s">
        <v>31545</v>
      </c>
      <c r="K3120" t="s">
        <v>40662</v>
      </c>
      <c r="M3120" t="s">
        <v>42167</v>
      </c>
      <c r="N3120" t="s">
        <v>44905</v>
      </c>
      <c r="O3120" t="s">
        <v>44906</v>
      </c>
      <c r="P3120">
        <v>0</v>
      </c>
      <c r="Q3120">
        <v>4</v>
      </c>
      <c r="R3120" t="s">
        <v>44908</v>
      </c>
      <c r="S3120" t="s">
        <v>45042</v>
      </c>
      <c r="T3120" t="s">
        <v>46447</v>
      </c>
      <c r="U3120" t="s">
        <v>49504</v>
      </c>
      <c r="W3120" t="s">
        <v>42167</v>
      </c>
      <c r="X3120" t="s">
        <v>44909</v>
      </c>
    </row>
    <row r="3121" spans="1:24">
      <c r="A3121">
        <f>HYPERLINK("https://www.philgeps.gov.ph/GEPSNONPILOT/Tender/SplashBidNoticeAbstractUI.aspx?menuIndex=3&amp;refID=7079469&amp;Result=3","7079469")</f>
        <v>0</v>
      </c>
      <c r="B3121" t="s">
        <v>1183</v>
      </c>
      <c r="C3121" t="s">
        <v>6503</v>
      </c>
      <c r="D3121" t="s">
        <v>18118</v>
      </c>
      <c r="E3121" t="s">
        <v>20604</v>
      </c>
      <c r="F3121" t="s">
        <v>31362</v>
      </c>
      <c r="G3121" t="s">
        <v>31369</v>
      </c>
      <c r="H3121" t="s">
        <v>31378</v>
      </c>
      <c r="I3121" t="s">
        <v>31386</v>
      </c>
      <c r="J3121" t="s">
        <v>33611</v>
      </c>
      <c r="K3121" t="s">
        <v>40694</v>
      </c>
      <c r="M3121" t="s">
        <v>42195</v>
      </c>
      <c r="N3121" t="s">
        <v>44905</v>
      </c>
      <c r="O3121" t="s">
        <v>44906</v>
      </c>
      <c r="P3121">
        <v>0</v>
      </c>
      <c r="Q3121">
        <v>1</v>
      </c>
      <c r="R3121" t="s">
        <v>44908</v>
      </c>
      <c r="S3121" t="s">
        <v>45042</v>
      </c>
      <c r="T3121" t="s">
        <v>46644</v>
      </c>
      <c r="U3121" t="s">
        <v>49505</v>
      </c>
      <c r="V3121" t="s">
        <v>59388</v>
      </c>
      <c r="W3121" t="s">
        <v>42195</v>
      </c>
      <c r="X3121" t="s">
        <v>44909</v>
      </c>
    </row>
    <row r="3122" spans="1:24">
      <c r="A3122">
        <f>HYPERLINK("https://www.philgeps.gov.ph/GEPSNONPILOT/Tender/SplashBidNoticeAbstractUI.aspx?menuIndex=3&amp;refID=7079468&amp;Result=3","7079468")</f>
        <v>0</v>
      </c>
      <c r="B3122" t="s">
        <v>1188</v>
      </c>
      <c r="C3122" t="s">
        <v>6504</v>
      </c>
      <c r="D3122" t="s">
        <v>18116</v>
      </c>
      <c r="E3122" t="s">
        <v>21026</v>
      </c>
      <c r="F3122" t="s">
        <v>31362</v>
      </c>
      <c r="G3122" t="s">
        <v>31368</v>
      </c>
      <c r="H3122" t="s">
        <v>15799</v>
      </c>
      <c r="I3122" t="s">
        <v>31422</v>
      </c>
      <c r="J3122" t="s">
        <v>33612</v>
      </c>
      <c r="K3122" t="s">
        <v>40665</v>
      </c>
      <c r="M3122" t="s">
        <v>42200</v>
      </c>
      <c r="N3122" t="s">
        <v>44905</v>
      </c>
      <c r="O3122" t="s">
        <v>44906</v>
      </c>
      <c r="P3122">
        <v>0</v>
      </c>
      <c r="Q3122">
        <v>0</v>
      </c>
      <c r="R3122" t="s">
        <v>44908</v>
      </c>
      <c r="S3122" t="s">
        <v>45042</v>
      </c>
      <c r="T3122" t="s">
        <v>46409</v>
      </c>
      <c r="U3122" t="s">
        <v>49506</v>
      </c>
      <c r="W3122" t="s">
        <v>60887</v>
      </c>
      <c r="X3122" t="s">
        <v>44909</v>
      </c>
    </row>
    <row r="3123" spans="1:24">
      <c r="A3123">
        <f>HYPERLINK("https://www.philgeps.gov.ph/GEPSNONPILOT/Tender/SplashBidNoticeAbstractUI.aspx?menuIndex=3&amp;refID=7079422&amp;Result=3","7079422")</f>
        <v>0</v>
      </c>
      <c r="B3123" t="s">
        <v>1115</v>
      </c>
      <c r="C3123" t="s">
        <v>6505</v>
      </c>
      <c r="D3123" t="s">
        <v>18104</v>
      </c>
      <c r="E3123" t="s">
        <v>21027</v>
      </c>
      <c r="F3123" t="s">
        <v>31362</v>
      </c>
      <c r="G3123" t="s">
        <v>31368</v>
      </c>
      <c r="H3123" t="s">
        <v>15799</v>
      </c>
      <c r="I3123" t="s">
        <v>31387</v>
      </c>
      <c r="J3123" t="s">
        <v>33613</v>
      </c>
      <c r="K3123" t="s">
        <v>40670</v>
      </c>
      <c r="M3123" t="s">
        <v>42121</v>
      </c>
      <c r="N3123" t="s">
        <v>44905</v>
      </c>
      <c r="O3123" t="s">
        <v>44906</v>
      </c>
      <c r="P3123">
        <v>0</v>
      </c>
      <c r="Q3123">
        <v>3</v>
      </c>
      <c r="R3123" t="s">
        <v>44908</v>
      </c>
      <c r="S3123" t="s">
        <v>45042</v>
      </c>
      <c r="T3123" t="s">
        <v>46470</v>
      </c>
      <c r="U3123" t="s">
        <v>49507</v>
      </c>
      <c r="V3123" t="s">
        <v>59378</v>
      </c>
      <c r="W3123" t="s">
        <v>42121</v>
      </c>
      <c r="X3123" t="s">
        <v>44909</v>
      </c>
    </row>
    <row r="3124" spans="1:24">
      <c r="A3124">
        <f>HYPERLINK("https://www.philgeps.gov.ph/GEPSNONPILOT/Tender/SplashBidNoticeAbstractUI.aspx?menuIndex=3&amp;refID=7079474&amp;Result=3","7079474")</f>
        <v>0</v>
      </c>
      <c r="B3124" t="s">
        <v>1189</v>
      </c>
      <c r="C3124" t="s">
        <v>6506</v>
      </c>
      <c r="D3124" t="s">
        <v>18162</v>
      </c>
      <c r="E3124" t="s">
        <v>21028</v>
      </c>
      <c r="F3124" t="s">
        <v>31362</v>
      </c>
      <c r="G3124" t="s">
        <v>31371</v>
      </c>
      <c r="H3124" t="s">
        <v>15799</v>
      </c>
      <c r="I3124" t="s">
        <v>31451</v>
      </c>
      <c r="J3124" t="s">
        <v>33614</v>
      </c>
      <c r="K3124" t="s">
        <v>40666</v>
      </c>
      <c r="M3124" t="s">
        <v>42201</v>
      </c>
      <c r="N3124" t="s">
        <v>44905</v>
      </c>
      <c r="O3124" t="s">
        <v>44906</v>
      </c>
      <c r="P3124">
        <v>0</v>
      </c>
      <c r="Q3124">
        <v>0</v>
      </c>
      <c r="R3124" t="s">
        <v>44908</v>
      </c>
      <c r="S3124" t="s">
        <v>45042</v>
      </c>
      <c r="T3124" t="s">
        <v>46438</v>
      </c>
      <c r="U3124" t="s">
        <v>49508</v>
      </c>
      <c r="W3124" t="s">
        <v>42201</v>
      </c>
      <c r="X3124" t="s">
        <v>44909</v>
      </c>
    </row>
    <row r="3125" spans="1:24">
      <c r="A3125">
        <f>HYPERLINK("https://www.philgeps.gov.ph/GEPSNONPILOT/Tender/SplashBidNoticeAbstractUI.aspx?menuIndex=3&amp;refID=7079473&amp;Result=3","7079473")</f>
        <v>0</v>
      </c>
      <c r="B3125" t="s">
        <v>1190</v>
      </c>
      <c r="C3125" t="s">
        <v>6507</v>
      </c>
      <c r="D3125" t="s">
        <v>18117</v>
      </c>
      <c r="E3125" t="s">
        <v>19844</v>
      </c>
      <c r="F3125" t="s">
        <v>31362</v>
      </c>
      <c r="G3125" t="s">
        <v>31369</v>
      </c>
      <c r="H3125" t="s">
        <v>15799</v>
      </c>
      <c r="I3125" t="s">
        <v>31399</v>
      </c>
      <c r="J3125" t="s">
        <v>31531</v>
      </c>
      <c r="K3125" t="s">
        <v>40670</v>
      </c>
      <c r="M3125" t="s">
        <v>42202</v>
      </c>
      <c r="N3125" t="s">
        <v>44905</v>
      </c>
      <c r="O3125" t="s">
        <v>44906</v>
      </c>
      <c r="P3125">
        <v>0</v>
      </c>
      <c r="Q3125">
        <v>0</v>
      </c>
      <c r="R3125" t="s">
        <v>44908</v>
      </c>
      <c r="S3125" t="s">
        <v>45042</v>
      </c>
      <c r="T3125" t="s">
        <v>46426</v>
      </c>
      <c r="U3125" t="s">
        <v>49509</v>
      </c>
      <c r="W3125" t="s">
        <v>42202</v>
      </c>
      <c r="X3125" t="s">
        <v>44909</v>
      </c>
    </row>
    <row r="3126" spans="1:24">
      <c r="A3126">
        <f>HYPERLINK("https://www.philgeps.gov.ph/GEPSNONPILOT/Tender/SplashBidNoticeAbstractUI.aspx?menuIndex=3&amp;refID=7079430&amp;Result=3","7079430")</f>
        <v>0</v>
      </c>
      <c r="B3126" t="s">
        <v>1094</v>
      </c>
      <c r="C3126" t="s">
        <v>6508</v>
      </c>
      <c r="D3126" t="s">
        <v>18117</v>
      </c>
      <c r="E3126" t="s">
        <v>21029</v>
      </c>
      <c r="F3126" t="s">
        <v>31362</v>
      </c>
      <c r="G3126" t="s">
        <v>31368</v>
      </c>
      <c r="H3126" t="s">
        <v>15799</v>
      </c>
      <c r="I3126" t="s">
        <v>7719</v>
      </c>
      <c r="J3126" t="s">
        <v>32308</v>
      </c>
      <c r="K3126" t="s">
        <v>40672</v>
      </c>
      <c r="M3126" t="s">
        <v>42099</v>
      </c>
      <c r="N3126" t="s">
        <v>44905</v>
      </c>
      <c r="O3126" t="s">
        <v>44906</v>
      </c>
      <c r="P3126">
        <v>0</v>
      </c>
      <c r="Q3126">
        <v>6</v>
      </c>
      <c r="R3126" t="s">
        <v>44908</v>
      </c>
      <c r="S3126" t="s">
        <v>45042</v>
      </c>
      <c r="T3126" t="s">
        <v>46454</v>
      </c>
      <c r="U3126" t="s">
        <v>49510</v>
      </c>
      <c r="W3126" t="s">
        <v>42099</v>
      </c>
      <c r="X3126" t="s">
        <v>44909</v>
      </c>
    </row>
    <row r="3127" spans="1:24">
      <c r="A3127">
        <f>HYPERLINK("https://www.philgeps.gov.ph/GEPSNONPILOT/Tender/SplashBidNoticeAbstractUI.aspx?menuIndex=3&amp;refID=7079450&amp;Result=3","7079450")</f>
        <v>0</v>
      </c>
      <c r="B3127" t="s">
        <v>1191</v>
      </c>
      <c r="C3127" t="s">
        <v>6509</v>
      </c>
      <c r="D3127" t="s">
        <v>18106</v>
      </c>
      <c r="E3127" t="s">
        <v>21030</v>
      </c>
      <c r="F3127" t="s">
        <v>31362</v>
      </c>
      <c r="G3127" t="s">
        <v>31369</v>
      </c>
      <c r="H3127" t="s">
        <v>31377</v>
      </c>
      <c r="I3127" t="s">
        <v>31427</v>
      </c>
      <c r="J3127" t="s">
        <v>33615</v>
      </c>
      <c r="K3127" t="s">
        <v>40672</v>
      </c>
      <c r="M3127" t="s">
        <v>42203</v>
      </c>
      <c r="N3127" t="s">
        <v>44905</v>
      </c>
      <c r="O3127" t="s">
        <v>44906</v>
      </c>
      <c r="P3127">
        <v>0</v>
      </c>
      <c r="Q3127">
        <v>0</v>
      </c>
      <c r="R3127" t="s">
        <v>44908</v>
      </c>
      <c r="S3127" t="s">
        <v>45042</v>
      </c>
      <c r="T3127" t="s">
        <v>46404</v>
      </c>
      <c r="U3127" t="s">
        <v>49511</v>
      </c>
      <c r="W3127" t="s">
        <v>42203</v>
      </c>
      <c r="X3127" t="s">
        <v>44909</v>
      </c>
    </row>
    <row r="3128" spans="1:24">
      <c r="A3128">
        <f>HYPERLINK("https://www.philgeps.gov.ph/GEPSNONPILOT/Tender/SplashBidNoticeAbstractUI.aspx?menuIndex=3&amp;refID=7079466&amp;Result=3","7079466")</f>
        <v>0</v>
      </c>
      <c r="B3128" t="s">
        <v>713</v>
      </c>
      <c r="C3128" t="s">
        <v>6510</v>
      </c>
      <c r="D3128" t="s">
        <v>18108</v>
      </c>
      <c r="E3128" t="s">
        <v>21031</v>
      </c>
      <c r="F3128" t="s">
        <v>31362</v>
      </c>
      <c r="G3128" t="s">
        <v>31368</v>
      </c>
      <c r="H3128" t="s">
        <v>15799</v>
      </c>
      <c r="I3128" t="s">
        <v>6240</v>
      </c>
      <c r="J3128" t="s">
        <v>33616</v>
      </c>
      <c r="K3128" t="s">
        <v>40661</v>
      </c>
      <c r="M3128" t="s">
        <v>41678</v>
      </c>
      <c r="N3128" t="s">
        <v>44905</v>
      </c>
      <c r="O3128" t="s">
        <v>44906</v>
      </c>
      <c r="P3128">
        <v>0</v>
      </c>
      <c r="Q3128">
        <v>5</v>
      </c>
      <c r="R3128" t="s">
        <v>44908</v>
      </c>
      <c r="S3128" t="s">
        <v>45042</v>
      </c>
      <c r="T3128" t="s">
        <v>46463</v>
      </c>
      <c r="U3128" t="s">
        <v>49512</v>
      </c>
      <c r="W3128" t="s">
        <v>41678</v>
      </c>
      <c r="X3128" t="s">
        <v>44909</v>
      </c>
    </row>
    <row r="3129" spans="1:24">
      <c r="A3129">
        <f>HYPERLINK("https://www.philgeps.gov.ph/GEPSNONPILOT/Tender/SplashBidNoticeAbstractUI.aspx?menuIndex=3&amp;refID=7079465&amp;Result=3","7079465")</f>
        <v>0</v>
      </c>
      <c r="B3129" t="s">
        <v>994</v>
      </c>
      <c r="C3129" t="s">
        <v>6511</v>
      </c>
      <c r="D3129" t="s">
        <v>18131</v>
      </c>
      <c r="E3129" t="s">
        <v>21032</v>
      </c>
      <c r="F3129" t="s">
        <v>31362</v>
      </c>
      <c r="G3129" t="s">
        <v>31368</v>
      </c>
      <c r="H3129" t="s">
        <v>15799</v>
      </c>
      <c r="I3129" t="s">
        <v>31426</v>
      </c>
      <c r="J3129" t="s">
        <v>31725</v>
      </c>
      <c r="K3129" t="s">
        <v>40665</v>
      </c>
      <c r="M3129" t="s">
        <v>41989</v>
      </c>
      <c r="N3129" t="s">
        <v>44905</v>
      </c>
      <c r="O3129" t="s">
        <v>44906</v>
      </c>
      <c r="P3129">
        <v>0</v>
      </c>
      <c r="Q3129">
        <v>0</v>
      </c>
      <c r="R3129" t="s">
        <v>44908</v>
      </c>
      <c r="S3129" t="s">
        <v>45042</v>
      </c>
      <c r="T3129" t="s">
        <v>46400</v>
      </c>
      <c r="U3129" t="s">
        <v>49513</v>
      </c>
      <c r="V3129" t="s">
        <v>59390</v>
      </c>
      <c r="W3129" t="s">
        <v>41989</v>
      </c>
      <c r="X3129" t="s">
        <v>44909</v>
      </c>
    </row>
    <row r="3130" spans="1:24">
      <c r="A3130">
        <f>HYPERLINK("https://www.philgeps.gov.ph/GEPSNONPILOT/Tender/SplashBidNoticeAbstractUI.aspx?menuIndex=3&amp;refID=7079464&amp;Result=3","7079464")</f>
        <v>0</v>
      </c>
      <c r="B3130" t="s">
        <v>1051</v>
      </c>
      <c r="C3130" t="s">
        <v>6512</v>
      </c>
      <c r="D3130" t="s">
        <v>18116</v>
      </c>
      <c r="E3130" t="s">
        <v>21033</v>
      </c>
      <c r="F3130" t="s">
        <v>31362</v>
      </c>
      <c r="G3130" t="s">
        <v>31368</v>
      </c>
      <c r="H3130" t="s">
        <v>15799</v>
      </c>
      <c r="I3130" t="s">
        <v>7719</v>
      </c>
      <c r="J3130" t="s">
        <v>33617</v>
      </c>
      <c r="K3130" t="s">
        <v>40662</v>
      </c>
      <c r="M3130" t="s">
        <v>42052</v>
      </c>
      <c r="N3130" t="s">
        <v>44905</v>
      </c>
      <c r="O3130" t="s">
        <v>44906</v>
      </c>
      <c r="P3130">
        <v>0</v>
      </c>
      <c r="Q3130">
        <v>22</v>
      </c>
      <c r="R3130" t="s">
        <v>44908</v>
      </c>
      <c r="S3130" t="s">
        <v>45042</v>
      </c>
      <c r="T3130" t="s">
        <v>46498</v>
      </c>
      <c r="U3130" t="s">
        <v>49514</v>
      </c>
      <c r="W3130" t="s">
        <v>42052</v>
      </c>
      <c r="X3130" t="s">
        <v>44909</v>
      </c>
    </row>
    <row r="3131" spans="1:24">
      <c r="A3131">
        <f>HYPERLINK("https://www.philgeps.gov.ph/GEPSNONPILOT/Tender/SplashBidNoticeAbstractUI.aspx?menuIndex=3&amp;refID=7079462&amp;Result=3","7079462")</f>
        <v>0</v>
      </c>
      <c r="B3131" t="s">
        <v>1192</v>
      </c>
      <c r="C3131" t="s">
        <v>6513</v>
      </c>
      <c r="D3131" t="s">
        <v>18122</v>
      </c>
      <c r="E3131" t="s">
        <v>21034</v>
      </c>
      <c r="F3131" t="s">
        <v>31362</v>
      </c>
      <c r="G3131" t="s">
        <v>31370</v>
      </c>
      <c r="H3131" t="s">
        <v>15799</v>
      </c>
      <c r="I3131" t="s">
        <v>31465</v>
      </c>
      <c r="J3131" t="s">
        <v>33618</v>
      </c>
      <c r="K3131" t="s">
        <v>40672</v>
      </c>
      <c r="M3131" t="s">
        <v>42204</v>
      </c>
      <c r="N3131" t="s">
        <v>44905</v>
      </c>
      <c r="O3131" t="s">
        <v>44906</v>
      </c>
      <c r="P3131">
        <v>0</v>
      </c>
      <c r="Q3131">
        <v>0</v>
      </c>
      <c r="R3131" t="s">
        <v>44908</v>
      </c>
      <c r="S3131" t="s">
        <v>45042</v>
      </c>
      <c r="T3131" t="s">
        <v>46412</v>
      </c>
      <c r="U3131" t="s">
        <v>49515</v>
      </c>
      <c r="W3131" t="s">
        <v>42204</v>
      </c>
      <c r="X3131" t="s">
        <v>44909</v>
      </c>
    </row>
    <row r="3132" spans="1:24">
      <c r="A3132">
        <f>HYPERLINK("https://www.philgeps.gov.ph/GEPSNONPILOT/Tender/SplashBidNoticeAbstractUI.aspx?menuIndex=3&amp;refID=7079461&amp;Result=3","7079461")</f>
        <v>0</v>
      </c>
      <c r="B3132" t="s">
        <v>1122</v>
      </c>
      <c r="C3132" t="s">
        <v>6514</v>
      </c>
      <c r="D3132" t="s">
        <v>18113</v>
      </c>
      <c r="E3132" t="s">
        <v>21035</v>
      </c>
      <c r="F3132" t="s">
        <v>31362</v>
      </c>
      <c r="G3132" t="s">
        <v>31368</v>
      </c>
      <c r="H3132" t="s">
        <v>15799</v>
      </c>
      <c r="I3132" t="s">
        <v>7719</v>
      </c>
      <c r="J3132" t="s">
        <v>33619</v>
      </c>
      <c r="K3132" t="s">
        <v>40665</v>
      </c>
      <c r="M3132" t="s">
        <v>42129</v>
      </c>
      <c r="N3132" t="s">
        <v>44905</v>
      </c>
      <c r="O3132" t="s">
        <v>44906</v>
      </c>
      <c r="P3132">
        <v>0</v>
      </c>
      <c r="Q3132">
        <v>2</v>
      </c>
      <c r="R3132" t="s">
        <v>44908</v>
      </c>
      <c r="S3132" t="s">
        <v>45042</v>
      </c>
      <c r="T3132" t="s">
        <v>46483</v>
      </c>
      <c r="U3132" t="s">
        <v>49516</v>
      </c>
      <c r="W3132" t="s">
        <v>42129</v>
      </c>
      <c r="X3132" t="s">
        <v>44909</v>
      </c>
    </row>
    <row r="3133" spans="1:24">
      <c r="A3133">
        <f>HYPERLINK("https://www.philgeps.gov.ph/GEPSNONPILOT/Tender/SplashBidNoticeAbstractUI.aspx?menuIndex=3&amp;refID=7079460&amp;Result=3","7079460")</f>
        <v>0</v>
      </c>
      <c r="B3133" t="s">
        <v>169</v>
      </c>
      <c r="C3133" t="s">
        <v>6515</v>
      </c>
      <c r="D3133" t="s">
        <v>18108</v>
      </c>
      <c r="E3133" t="s">
        <v>21036</v>
      </c>
      <c r="F3133" t="s">
        <v>31362</v>
      </c>
      <c r="G3133" t="s">
        <v>31368</v>
      </c>
      <c r="H3133" t="s">
        <v>15799</v>
      </c>
      <c r="I3133" t="s">
        <v>7090</v>
      </c>
      <c r="J3133" t="s">
        <v>33620</v>
      </c>
      <c r="K3133" t="s">
        <v>40666</v>
      </c>
      <c r="M3133" t="s">
        <v>41580</v>
      </c>
      <c r="N3133" t="s">
        <v>44905</v>
      </c>
      <c r="O3133" t="s">
        <v>44906</v>
      </c>
      <c r="Q3133">
        <v>8</v>
      </c>
      <c r="R3133" t="s">
        <v>44908</v>
      </c>
      <c r="S3133" t="s">
        <v>45049</v>
      </c>
      <c r="T3133" t="s">
        <v>46411</v>
      </c>
      <c r="U3133" t="s">
        <v>48111</v>
      </c>
      <c r="W3133" t="s">
        <v>41580</v>
      </c>
      <c r="X3133" t="s">
        <v>44909</v>
      </c>
    </row>
    <row r="3134" spans="1:24">
      <c r="A3134">
        <f>HYPERLINK("https://www.philgeps.gov.ph/GEPSNONPILOT/Tender/SplashBidNoticeAbstractUI.aspx?menuIndex=3&amp;refID=7079459&amp;Result=3","7079459")</f>
        <v>0</v>
      </c>
      <c r="B3134" t="s">
        <v>428</v>
      </c>
      <c r="C3134" t="s">
        <v>4460</v>
      </c>
      <c r="D3134" t="s">
        <v>18148</v>
      </c>
      <c r="E3134" t="s">
        <v>21037</v>
      </c>
      <c r="F3134" t="s">
        <v>31362</v>
      </c>
      <c r="G3134" t="s">
        <v>31368</v>
      </c>
      <c r="H3134" t="s">
        <v>15799</v>
      </c>
      <c r="I3134" t="s">
        <v>31404</v>
      </c>
      <c r="J3134" t="s">
        <v>33621</v>
      </c>
      <c r="K3134" t="s">
        <v>40697</v>
      </c>
      <c r="M3134" t="s">
        <v>41379</v>
      </c>
      <c r="N3134" t="s">
        <v>44905</v>
      </c>
      <c r="O3134" t="s">
        <v>44906</v>
      </c>
      <c r="P3134">
        <v>0</v>
      </c>
      <c r="Q3134">
        <v>0</v>
      </c>
      <c r="R3134" t="s">
        <v>44908</v>
      </c>
      <c r="S3134" t="s">
        <v>45042</v>
      </c>
      <c r="T3134" t="s">
        <v>46435</v>
      </c>
      <c r="U3134" t="s">
        <v>47738</v>
      </c>
      <c r="W3134" t="s">
        <v>41379</v>
      </c>
      <c r="X3134" t="s">
        <v>44909</v>
      </c>
    </row>
    <row r="3135" spans="1:24">
      <c r="A3135">
        <f>HYPERLINK("https://www.philgeps.gov.ph/GEPSNONPILOT/Tender/SplashBidNoticeAbstractUI.aspx?menuIndex=3&amp;refID=7079453&amp;Result=3","7079453")</f>
        <v>0</v>
      </c>
      <c r="B3135" t="s">
        <v>1115</v>
      </c>
      <c r="C3135" t="s">
        <v>6516</v>
      </c>
      <c r="D3135" t="s">
        <v>18104</v>
      </c>
      <c r="E3135" t="s">
        <v>21038</v>
      </c>
      <c r="F3135" t="s">
        <v>31362</v>
      </c>
      <c r="G3135" t="s">
        <v>31368</v>
      </c>
      <c r="H3135" t="s">
        <v>15799</v>
      </c>
      <c r="I3135" t="s">
        <v>31430</v>
      </c>
      <c r="J3135" t="s">
        <v>33622</v>
      </c>
      <c r="K3135" t="s">
        <v>40670</v>
      </c>
      <c r="M3135" t="s">
        <v>42121</v>
      </c>
      <c r="N3135" t="s">
        <v>44905</v>
      </c>
      <c r="O3135" t="s">
        <v>44906</v>
      </c>
      <c r="P3135">
        <v>0</v>
      </c>
      <c r="Q3135">
        <v>1</v>
      </c>
      <c r="R3135" t="s">
        <v>44908</v>
      </c>
      <c r="S3135" t="s">
        <v>45042</v>
      </c>
      <c r="T3135" t="s">
        <v>46470</v>
      </c>
      <c r="U3135" t="s">
        <v>49517</v>
      </c>
      <c r="V3135" t="s">
        <v>59378</v>
      </c>
      <c r="W3135" t="s">
        <v>42121</v>
      </c>
      <c r="X3135" t="s">
        <v>44909</v>
      </c>
    </row>
    <row r="3136" spans="1:24">
      <c r="A3136">
        <f>HYPERLINK("https://www.philgeps.gov.ph/GEPSNONPILOT/Tender/SplashBidNoticeAbstractUI.aspx?menuIndex=3&amp;refID=7079402&amp;Result=3","7079402")</f>
        <v>0</v>
      </c>
      <c r="B3136" t="s">
        <v>1173</v>
      </c>
      <c r="C3136" t="s">
        <v>6517</v>
      </c>
      <c r="D3136" t="s">
        <v>18174</v>
      </c>
      <c r="E3136" t="s">
        <v>21039</v>
      </c>
      <c r="F3136" t="s">
        <v>31362</v>
      </c>
      <c r="G3136" t="s">
        <v>31368</v>
      </c>
      <c r="H3136" t="s">
        <v>15799</v>
      </c>
      <c r="I3136" t="s">
        <v>6373</v>
      </c>
      <c r="J3136" t="s">
        <v>33623</v>
      </c>
      <c r="K3136" t="s">
        <v>40661</v>
      </c>
      <c r="M3136" t="s">
        <v>42183</v>
      </c>
      <c r="N3136" t="s">
        <v>44905</v>
      </c>
      <c r="O3136" t="s">
        <v>44906</v>
      </c>
      <c r="P3136">
        <v>0</v>
      </c>
      <c r="Q3136">
        <v>0</v>
      </c>
      <c r="R3136" t="s">
        <v>44908</v>
      </c>
      <c r="S3136" t="s">
        <v>45042</v>
      </c>
      <c r="T3136" t="s">
        <v>46404</v>
      </c>
      <c r="U3136" t="s">
        <v>49472</v>
      </c>
      <c r="W3136" t="s">
        <v>42183</v>
      </c>
      <c r="X3136" t="s">
        <v>44909</v>
      </c>
    </row>
    <row r="3137" spans="1:24">
      <c r="A3137">
        <f>HYPERLINK("https://www.philgeps.gov.ph/GEPSNONPILOT/Tender/SplashBidNoticeAbstractUI.aspx?menuIndex=3&amp;refID=7079463&amp;Result=3","7079463")</f>
        <v>0</v>
      </c>
      <c r="B3137" t="s">
        <v>1115</v>
      </c>
      <c r="C3137" t="s">
        <v>6518</v>
      </c>
      <c r="D3137" t="s">
        <v>18104</v>
      </c>
      <c r="E3137" t="s">
        <v>21040</v>
      </c>
      <c r="F3137" t="s">
        <v>31362</v>
      </c>
      <c r="G3137" t="s">
        <v>31368</v>
      </c>
      <c r="H3137" t="s">
        <v>15799</v>
      </c>
      <c r="I3137" t="s">
        <v>31430</v>
      </c>
      <c r="J3137" t="s">
        <v>33624</v>
      </c>
      <c r="K3137" t="s">
        <v>40670</v>
      </c>
      <c r="M3137" t="s">
        <v>42121</v>
      </c>
      <c r="N3137" t="s">
        <v>44905</v>
      </c>
      <c r="O3137" t="s">
        <v>44906</v>
      </c>
      <c r="P3137">
        <v>0</v>
      </c>
      <c r="Q3137">
        <v>0</v>
      </c>
      <c r="R3137" t="s">
        <v>44908</v>
      </c>
      <c r="S3137" t="s">
        <v>45042</v>
      </c>
      <c r="T3137" t="s">
        <v>46470</v>
      </c>
      <c r="U3137" t="s">
        <v>49518</v>
      </c>
      <c r="V3137" t="s">
        <v>59378</v>
      </c>
      <c r="W3137" t="s">
        <v>42121</v>
      </c>
      <c r="X3137" t="s">
        <v>44909</v>
      </c>
    </row>
    <row r="3138" spans="1:24">
      <c r="A3138">
        <f>HYPERLINK("https://www.philgeps.gov.ph/GEPSNONPILOT/Tender/SplashBidNoticeAbstractUI.aspx?menuIndex=3&amp;refID=7079470&amp;Result=3","7079470")</f>
        <v>0</v>
      </c>
      <c r="B3138" t="s">
        <v>1062</v>
      </c>
      <c r="C3138" t="s">
        <v>6519</v>
      </c>
      <c r="D3138" t="s">
        <v>18102</v>
      </c>
      <c r="E3138" t="s">
        <v>21041</v>
      </c>
      <c r="F3138" t="s">
        <v>31362</v>
      </c>
      <c r="G3138" t="s">
        <v>31368</v>
      </c>
      <c r="H3138" t="s">
        <v>15799</v>
      </c>
      <c r="I3138" t="s">
        <v>31431</v>
      </c>
      <c r="J3138" t="s">
        <v>33625</v>
      </c>
      <c r="K3138" t="s">
        <v>40662</v>
      </c>
      <c r="M3138" t="s">
        <v>42064</v>
      </c>
      <c r="N3138" t="s">
        <v>44905</v>
      </c>
      <c r="O3138" t="s">
        <v>44906</v>
      </c>
      <c r="P3138">
        <v>0</v>
      </c>
      <c r="Q3138">
        <v>3</v>
      </c>
      <c r="R3138" t="s">
        <v>44908</v>
      </c>
      <c r="S3138" t="s">
        <v>45042</v>
      </c>
      <c r="T3138" t="s">
        <v>46454</v>
      </c>
      <c r="U3138" t="s">
        <v>49519</v>
      </c>
      <c r="W3138" t="s">
        <v>42064</v>
      </c>
      <c r="X3138" t="s">
        <v>44909</v>
      </c>
    </row>
    <row r="3139" spans="1:24">
      <c r="A3139">
        <f>HYPERLINK("https://www.philgeps.gov.ph/GEPSNONPILOT/Tender/SplashBidNoticeAbstractUI.aspx?menuIndex=3&amp;refID=7079457&amp;Result=3","7079457")</f>
        <v>0</v>
      </c>
      <c r="B3139" t="s">
        <v>1156</v>
      </c>
      <c r="C3139" t="s">
        <v>6520</v>
      </c>
      <c r="D3139" t="s">
        <v>18111</v>
      </c>
      <c r="E3139" t="s">
        <v>21042</v>
      </c>
      <c r="F3139" t="s">
        <v>31362</v>
      </c>
      <c r="G3139" t="s">
        <v>31369</v>
      </c>
      <c r="H3139" t="s">
        <v>31378</v>
      </c>
      <c r="I3139" t="s">
        <v>31386</v>
      </c>
      <c r="J3139" t="s">
        <v>33626</v>
      </c>
      <c r="K3139" t="s">
        <v>40662</v>
      </c>
      <c r="M3139" t="s">
        <v>42165</v>
      </c>
      <c r="N3139" t="s">
        <v>44905</v>
      </c>
      <c r="O3139" t="s">
        <v>44906</v>
      </c>
      <c r="P3139">
        <v>0</v>
      </c>
      <c r="Q3139">
        <v>0</v>
      </c>
      <c r="R3139" t="s">
        <v>44908</v>
      </c>
      <c r="S3139" t="s">
        <v>45042</v>
      </c>
      <c r="T3139" t="s">
        <v>46470</v>
      </c>
      <c r="U3139" t="s">
        <v>49520</v>
      </c>
      <c r="W3139" t="s">
        <v>60885</v>
      </c>
      <c r="X3139" t="s">
        <v>44909</v>
      </c>
    </row>
    <row r="3140" spans="1:24">
      <c r="A3140">
        <f>HYPERLINK("https://www.philgeps.gov.ph/GEPSNONPILOT/Tender/SplashBidNoticeAbstractUI.aspx?menuIndex=3&amp;refID=7079467&amp;Result=3","7079467")</f>
        <v>0</v>
      </c>
      <c r="B3140" t="s">
        <v>1171</v>
      </c>
      <c r="C3140" t="s">
        <v>6521</v>
      </c>
      <c r="D3140" t="s">
        <v>18107</v>
      </c>
      <c r="E3140" t="s">
        <v>21043</v>
      </c>
      <c r="F3140" t="s">
        <v>31362</v>
      </c>
      <c r="G3140" t="s">
        <v>31370</v>
      </c>
      <c r="H3140" t="s">
        <v>15799</v>
      </c>
      <c r="I3140" t="s">
        <v>31431</v>
      </c>
      <c r="J3140" t="s">
        <v>33627</v>
      </c>
      <c r="K3140" t="s">
        <v>40662</v>
      </c>
      <c r="M3140" t="s">
        <v>42181</v>
      </c>
      <c r="N3140" t="s">
        <v>44905</v>
      </c>
      <c r="O3140" t="s">
        <v>44906</v>
      </c>
      <c r="P3140">
        <v>0</v>
      </c>
      <c r="Q3140">
        <v>2</v>
      </c>
      <c r="R3140" t="s">
        <v>44908</v>
      </c>
      <c r="S3140" t="s">
        <v>45042</v>
      </c>
      <c r="T3140" t="s">
        <v>46432</v>
      </c>
      <c r="U3140" t="s">
        <v>49469</v>
      </c>
      <c r="W3140" t="s">
        <v>42181</v>
      </c>
      <c r="X3140" t="s">
        <v>44909</v>
      </c>
    </row>
    <row r="3141" spans="1:24">
      <c r="A3141">
        <f>HYPERLINK("https://www.philgeps.gov.ph/GEPSNONPILOT/Tender/SplashBidNoticeAbstractUI.aspx?menuIndex=3&amp;refID=7079493&amp;Result=3","7079493")</f>
        <v>0</v>
      </c>
      <c r="B3141" t="s">
        <v>1164</v>
      </c>
      <c r="C3141" t="s">
        <v>6522</v>
      </c>
      <c r="D3141" t="s">
        <v>18111</v>
      </c>
      <c r="E3141" t="s">
        <v>20971</v>
      </c>
      <c r="F3141" t="s">
        <v>31362</v>
      </c>
      <c r="G3141" t="s">
        <v>31370</v>
      </c>
      <c r="H3141" t="s">
        <v>15799</v>
      </c>
      <c r="I3141" t="s">
        <v>31390</v>
      </c>
      <c r="J3141" t="s">
        <v>33628</v>
      </c>
      <c r="K3141" t="s">
        <v>40670</v>
      </c>
      <c r="M3141" t="s">
        <v>42174</v>
      </c>
      <c r="N3141" t="s">
        <v>44905</v>
      </c>
      <c r="O3141" t="s">
        <v>44906</v>
      </c>
      <c r="P3141">
        <v>0</v>
      </c>
      <c r="Q3141">
        <v>2</v>
      </c>
      <c r="R3141" t="s">
        <v>44908</v>
      </c>
      <c r="S3141" t="s">
        <v>45042</v>
      </c>
      <c r="T3141" t="s">
        <v>46414</v>
      </c>
      <c r="U3141" t="s">
        <v>49454</v>
      </c>
      <c r="W3141" t="s">
        <v>42174</v>
      </c>
      <c r="X3141" t="s">
        <v>44909</v>
      </c>
    </row>
    <row r="3142" spans="1:24">
      <c r="A3142">
        <f>HYPERLINK("https://www.philgeps.gov.ph/GEPSNONPILOT/Tender/SplashBidNoticeAbstractUI.aspx?menuIndex=3&amp;refID=7079479&amp;Result=3","7079479")</f>
        <v>0</v>
      </c>
      <c r="B3142" t="s">
        <v>913</v>
      </c>
      <c r="C3142" t="s">
        <v>6523</v>
      </c>
      <c r="D3142" t="s">
        <v>18176</v>
      </c>
      <c r="E3142" t="s">
        <v>21044</v>
      </c>
      <c r="F3142" t="s">
        <v>31362</v>
      </c>
      <c r="G3142" t="s">
        <v>31369</v>
      </c>
      <c r="H3142" t="s">
        <v>15799</v>
      </c>
      <c r="I3142" t="s">
        <v>31380</v>
      </c>
      <c r="J3142" t="s">
        <v>33629</v>
      </c>
      <c r="K3142" t="s">
        <v>40662</v>
      </c>
      <c r="M3142" t="s">
        <v>41896</v>
      </c>
      <c r="N3142" t="s">
        <v>44905</v>
      </c>
      <c r="O3142" t="s">
        <v>44906</v>
      </c>
      <c r="P3142">
        <v>0</v>
      </c>
      <c r="Q3142">
        <v>0</v>
      </c>
      <c r="R3142" t="s">
        <v>44908</v>
      </c>
      <c r="S3142" t="s">
        <v>45042</v>
      </c>
      <c r="T3142" t="s">
        <v>46426</v>
      </c>
      <c r="U3142" t="s">
        <v>49521</v>
      </c>
      <c r="W3142" t="s">
        <v>41896</v>
      </c>
      <c r="X3142" t="s">
        <v>44909</v>
      </c>
    </row>
    <row r="3143" spans="1:24">
      <c r="A3143">
        <f>HYPERLINK("https://www.philgeps.gov.ph/GEPSNONPILOT/Tender/SplashBidNoticeAbstractUI.aspx?menuIndex=3&amp;refID=7079492&amp;Result=3","7079492")</f>
        <v>0</v>
      </c>
      <c r="B3143" t="s">
        <v>1051</v>
      </c>
      <c r="C3143" t="s">
        <v>6524</v>
      </c>
      <c r="D3143" t="s">
        <v>18116</v>
      </c>
      <c r="E3143" t="s">
        <v>21045</v>
      </c>
      <c r="F3143" t="s">
        <v>31362</v>
      </c>
      <c r="G3143" t="s">
        <v>31368</v>
      </c>
      <c r="H3143" t="s">
        <v>15799</v>
      </c>
      <c r="I3143" t="s">
        <v>7719</v>
      </c>
      <c r="J3143" t="s">
        <v>32018</v>
      </c>
      <c r="K3143" t="s">
        <v>40662</v>
      </c>
      <c r="M3143" t="s">
        <v>42052</v>
      </c>
      <c r="N3143" t="s">
        <v>44905</v>
      </c>
      <c r="O3143" t="s">
        <v>44906</v>
      </c>
      <c r="P3143">
        <v>0</v>
      </c>
      <c r="Q3143">
        <v>16</v>
      </c>
      <c r="R3143" t="s">
        <v>44908</v>
      </c>
      <c r="S3143" t="s">
        <v>45042</v>
      </c>
      <c r="T3143" t="s">
        <v>46498</v>
      </c>
      <c r="U3143" t="s">
        <v>49522</v>
      </c>
      <c r="W3143" t="s">
        <v>42052</v>
      </c>
      <c r="X3143" t="s">
        <v>44909</v>
      </c>
    </row>
    <row r="3144" spans="1:24">
      <c r="A3144">
        <f>HYPERLINK("https://www.philgeps.gov.ph/GEPSNONPILOT/Tender/SplashBidNoticeAbstractUI.aspx?menuIndex=3&amp;refID=7079490&amp;Result=3","7079490")</f>
        <v>0</v>
      </c>
      <c r="B3144" t="s">
        <v>1193</v>
      </c>
      <c r="C3144" t="s">
        <v>6525</v>
      </c>
      <c r="D3144" t="s">
        <v>18113</v>
      </c>
      <c r="E3144" t="s">
        <v>21046</v>
      </c>
      <c r="F3144" t="s">
        <v>31362</v>
      </c>
      <c r="G3144" t="s">
        <v>31368</v>
      </c>
      <c r="H3144" t="s">
        <v>15799</v>
      </c>
      <c r="I3144" t="s">
        <v>7090</v>
      </c>
      <c r="J3144" t="s">
        <v>31915</v>
      </c>
      <c r="K3144" t="s">
        <v>40666</v>
      </c>
      <c r="M3144" t="s">
        <v>42205</v>
      </c>
      <c r="N3144" t="s">
        <v>44905</v>
      </c>
      <c r="O3144" t="s">
        <v>44906</v>
      </c>
      <c r="P3144">
        <v>0</v>
      </c>
      <c r="Q3144">
        <v>0</v>
      </c>
      <c r="R3144" t="s">
        <v>44908</v>
      </c>
      <c r="S3144" t="s">
        <v>45042</v>
      </c>
      <c r="T3144" t="s">
        <v>46443</v>
      </c>
      <c r="U3144" t="s">
        <v>49523</v>
      </c>
      <c r="W3144" t="s">
        <v>42205</v>
      </c>
      <c r="X3144" t="s">
        <v>44909</v>
      </c>
    </row>
    <row r="3145" spans="1:24">
      <c r="A3145">
        <f>HYPERLINK("https://www.philgeps.gov.ph/GEPSNONPILOT/Tender/SplashBidNoticeAbstractUI.aspx?menuIndex=3&amp;refID=7079489&amp;Result=3","7079489")</f>
        <v>0</v>
      </c>
      <c r="B3145" t="s">
        <v>1156</v>
      </c>
      <c r="C3145" t="s">
        <v>6526</v>
      </c>
      <c r="D3145" t="s">
        <v>18111</v>
      </c>
      <c r="E3145" t="s">
        <v>21047</v>
      </c>
      <c r="F3145" t="s">
        <v>31362</v>
      </c>
      <c r="G3145" t="s">
        <v>31369</v>
      </c>
      <c r="H3145" t="s">
        <v>31378</v>
      </c>
      <c r="I3145" t="s">
        <v>31386</v>
      </c>
      <c r="J3145" t="s">
        <v>33630</v>
      </c>
      <c r="K3145" t="s">
        <v>40662</v>
      </c>
      <c r="M3145" t="s">
        <v>42165</v>
      </c>
      <c r="N3145" t="s">
        <v>44905</v>
      </c>
      <c r="O3145" t="s">
        <v>44906</v>
      </c>
      <c r="P3145">
        <v>0</v>
      </c>
      <c r="Q3145">
        <v>0</v>
      </c>
      <c r="R3145" t="s">
        <v>44908</v>
      </c>
      <c r="S3145" t="s">
        <v>45042</v>
      </c>
      <c r="T3145" t="s">
        <v>46470</v>
      </c>
      <c r="U3145" t="s">
        <v>49524</v>
      </c>
      <c r="W3145" t="s">
        <v>60885</v>
      </c>
      <c r="X3145" t="s">
        <v>44909</v>
      </c>
    </row>
    <row r="3146" spans="1:24">
      <c r="A3146">
        <f>HYPERLINK("https://www.philgeps.gov.ph/GEPSNONPILOT/Tender/SplashBidNoticeAbstractUI.aspx?menuIndex=3&amp;refID=7079399&amp;Result=3","7079399")</f>
        <v>0</v>
      </c>
      <c r="B3146" t="s">
        <v>978</v>
      </c>
      <c r="C3146" t="s">
        <v>6527</v>
      </c>
      <c r="D3146" t="s">
        <v>18100</v>
      </c>
      <c r="E3146" t="s">
        <v>21048</v>
      </c>
      <c r="F3146" t="s">
        <v>31362</v>
      </c>
      <c r="G3146" t="s">
        <v>31368</v>
      </c>
      <c r="H3146" t="s">
        <v>15799</v>
      </c>
      <c r="I3146" t="s">
        <v>6155</v>
      </c>
      <c r="J3146" t="s">
        <v>33631</v>
      </c>
      <c r="K3146" t="s">
        <v>40662</v>
      </c>
      <c r="M3146" t="s">
        <v>41969</v>
      </c>
      <c r="N3146" t="s">
        <v>44905</v>
      </c>
      <c r="O3146" t="s">
        <v>44906</v>
      </c>
      <c r="P3146">
        <v>0</v>
      </c>
      <c r="Q3146">
        <v>0</v>
      </c>
      <c r="R3146" t="s">
        <v>44908</v>
      </c>
      <c r="S3146" t="s">
        <v>45042</v>
      </c>
      <c r="T3146" t="s">
        <v>46414</v>
      </c>
      <c r="U3146" t="s">
        <v>49525</v>
      </c>
      <c r="W3146" t="s">
        <v>41969</v>
      </c>
      <c r="X3146" t="s">
        <v>44909</v>
      </c>
    </row>
    <row r="3147" spans="1:24">
      <c r="A3147">
        <f>HYPERLINK("https://www.philgeps.gov.ph/GEPSNONPILOT/Tender/SplashBidNoticeAbstractUI.aspx?menuIndex=3&amp;refID=7079486&amp;Result=3","7079486")</f>
        <v>0</v>
      </c>
      <c r="B3147" t="s">
        <v>1154</v>
      </c>
      <c r="C3147" t="s">
        <v>6528</v>
      </c>
      <c r="D3147" t="s">
        <v>18108</v>
      </c>
      <c r="E3147" t="s">
        <v>21049</v>
      </c>
      <c r="F3147" t="s">
        <v>31362</v>
      </c>
      <c r="G3147" t="s">
        <v>31368</v>
      </c>
      <c r="H3147" t="s">
        <v>31378</v>
      </c>
      <c r="I3147" t="s">
        <v>31386</v>
      </c>
      <c r="J3147" t="s">
        <v>33632</v>
      </c>
      <c r="K3147" t="s">
        <v>40662</v>
      </c>
      <c r="M3147" t="s">
        <v>42163</v>
      </c>
      <c r="N3147" t="s">
        <v>44905</v>
      </c>
      <c r="O3147" t="s">
        <v>44906</v>
      </c>
      <c r="P3147">
        <v>0</v>
      </c>
      <c r="Q3147">
        <v>0</v>
      </c>
      <c r="R3147" t="s">
        <v>44908</v>
      </c>
      <c r="S3147" t="s">
        <v>45042</v>
      </c>
      <c r="T3147" t="s">
        <v>46639</v>
      </c>
      <c r="U3147" t="s">
        <v>49526</v>
      </c>
      <c r="W3147" t="s">
        <v>42163</v>
      </c>
      <c r="X3147" t="s">
        <v>44909</v>
      </c>
    </row>
    <row r="3148" spans="1:24">
      <c r="A3148">
        <f>HYPERLINK("https://www.philgeps.gov.ph/GEPSNONPILOT/Tender/SplashBidNoticeAbstractUI.aspx?menuIndex=3&amp;refID=7079483&amp;Result=3","7079483")</f>
        <v>0</v>
      </c>
      <c r="B3148" t="s">
        <v>1122</v>
      </c>
      <c r="C3148" t="s">
        <v>6529</v>
      </c>
      <c r="D3148" t="s">
        <v>18113</v>
      </c>
      <c r="E3148" t="s">
        <v>21050</v>
      </c>
      <c r="F3148" t="s">
        <v>31362</v>
      </c>
      <c r="G3148" t="s">
        <v>31368</v>
      </c>
      <c r="H3148" t="s">
        <v>15799</v>
      </c>
      <c r="I3148" t="s">
        <v>31429</v>
      </c>
      <c r="J3148" t="s">
        <v>31937</v>
      </c>
      <c r="K3148" t="s">
        <v>40665</v>
      </c>
      <c r="M3148" t="s">
        <v>42129</v>
      </c>
      <c r="N3148" t="s">
        <v>44905</v>
      </c>
      <c r="O3148" t="s">
        <v>44906</v>
      </c>
      <c r="P3148">
        <v>0</v>
      </c>
      <c r="Q3148">
        <v>3</v>
      </c>
      <c r="R3148" t="s">
        <v>44908</v>
      </c>
      <c r="S3148" t="s">
        <v>45042</v>
      </c>
      <c r="T3148" t="s">
        <v>46483</v>
      </c>
      <c r="U3148" t="s">
        <v>49527</v>
      </c>
      <c r="W3148" t="s">
        <v>42129</v>
      </c>
      <c r="X3148" t="s">
        <v>44909</v>
      </c>
    </row>
    <row r="3149" spans="1:24">
      <c r="A3149">
        <f>HYPERLINK("https://www.philgeps.gov.ph/GEPSNONPILOT/Tender/SplashBidNoticeAbstractUI.aspx?menuIndex=3&amp;refID=7079477&amp;Result=3","7079477")</f>
        <v>0</v>
      </c>
      <c r="B3149" t="s">
        <v>1194</v>
      </c>
      <c r="C3149" t="s">
        <v>6530</v>
      </c>
      <c r="D3149" t="s">
        <v>18106</v>
      </c>
      <c r="E3149" t="s">
        <v>19844</v>
      </c>
      <c r="F3149" t="s">
        <v>31366</v>
      </c>
      <c r="G3149" t="s">
        <v>31369</v>
      </c>
      <c r="H3149" t="s">
        <v>31378</v>
      </c>
      <c r="I3149" t="s">
        <v>31386</v>
      </c>
      <c r="J3149" t="s">
        <v>33633</v>
      </c>
      <c r="K3149" t="s">
        <v>40665</v>
      </c>
      <c r="M3149" t="s">
        <v>42206</v>
      </c>
      <c r="N3149" t="s">
        <v>44905</v>
      </c>
      <c r="O3149" t="s">
        <v>44906</v>
      </c>
      <c r="P3149">
        <v>0</v>
      </c>
      <c r="Q3149">
        <v>0</v>
      </c>
      <c r="R3149" t="s">
        <v>44908</v>
      </c>
      <c r="S3149" t="s">
        <v>45042</v>
      </c>
      <c r="T3149" t="s">
        <v>46401</v>
      </c>
      <c r="U3149" t="s">
        <v>49528</v>
      </c>
      <c r="W3149" t="s">
        <v>42206</v>
      </c>
      <c r="X3149" t="s">
        <v>44909</v>
      </c>
    </row>
    <row r="3150" spans="1:24">
      <c r="A3150">
        <f>HYPERLINK("https://www.philgeps.gov.ph/GEPSNONPILOT/Tender/SplashBidNoticeAbstractUI.aspx?menuIndex=3&amp;refID=7079482&amp;Result=3","7079482")</f>
        <v>0</v>
      </c>
      <c r="B3150" t="s">
        <v>1062</v>
      </c>
      <c r="C3150" t="s">
        <v>6531</v>
      </c>
      <c r="D3150" t="s">
        <v>18102</v>
      </c>
      <c r="E3150" t="s">
        <v>21051</v>
      </c>
      <c r="F3150" t="s">
        <v>31362</v>
      </c>
      <c r="G3150" t="s">
        <v>31368</v>
      </c>
      <c r="H3150" t="s">
        <v>15799</v>
      </c>
      <c r="I3150" t="s">
        <v>3815</v>
      </c>
      <c r="J3150" t="s">
        <v>33634</v>
      </c>
      <c r="K3150" t="s">
        <v>40662</v>
      </c>
      <c r="M3150" t="s">
        <v>42064</v>
      </c>
      <c r="N3150" t="s">
        <v>44905</v>
      </c>
      <c r="O3150" t="s">
        <v>44906</v>
      </c>
      <c r="P3150">
        <v>0</v>
      </c>
      <c r="Q3150">
        <v>0</v>
      </c>
      <c r="R3150" t="s">
        <v>44908</v>
      </c>
      <c r="S3150" t="s">
        <v>45042</v>
      </c>
      <c r="T3150" t="s">
        <v>46454</v>
      </c>
      <c r="U3150" t="s">
        <v>49529</v>
      </c>
      <c r="W3150" t="s">
        <v>42064</v>
      </c>
      <c r="X3150" t="s">
        <v>44909</v>
      </c>
    </row>
    <row r="3151" spans="1:24">
      <c r="A3151">
        <f>HYPERLINK("https://www.philgeps.gov.ph/GEPSNONPILOT/Tender/SplashBidNoticeAbstractUI.aspx?menuIndex=3&amp;refID=7079498&amp;Result=3","7079498")</f>
        <v>0</v>
      </c>
      <c r="B3151" t="s">
        <v>428</v>
      </c>
      <c r="C3151" t="s">
        <v>6532</v>
      </c>
      <c r="D3151" t="s">
        <v>18148</v>
      </c>
      <c r="E3151" t="s">
        <v>21052</v>
      </c>
      <c r="F3151" t="s">
        <v>31362</v>
      </c>
      <c r="G3151" t="s">
        <v>31368</v>
      </c>
      <c r="H3151" t="s">
        <v>15799</v>
      </c>
      <c r="I3151" t="s">
        <v>31404</v>
      </c>
      <c r="J3151" t="s">
        <v>33635</v>
      </c>
      <c r="K3151" t="s">
        <v>40697</v>
      </c>
      <c r="M3151" t="s">
        <v>41379</v>
      </c>
      <c r="N3151" t="s">
        <v>44905</v>
      </c>
      <c r="O3151" t="s">
        <v>44906</v>
      </c>
      <c r="P3151">
        <v>0</v>
      </c>
      <c r="Q3151">
        <v>0</v>
      </c>
      <c r="R3151" t="s">
        <v>44908</v>
      </c>
      <c r="S3151" t="s">
        <v>45042</v>
      </c>
      <c r="T3151" t="s">
        <v>46435</v>
      </c>
      <c r="U3151" t="s">
        <v>47759</v>
      </c>
      <c r="W3151" t="s">
        <v>41379</v>
      </c>
      <c r="X3151" t="s">
        <v>44909</v>
      </c>
    </row>
    <row r="3152" spans="1:24">
      <c r="A3152">
        <f>HYPERLINK("https://www.philgeps.gov.ph/GEPSNONPILOT/Tender/SplashBidNoticeAbstractUI.aspx?menuIndex=3&amp;refID=7079487&amp;Result=3","7079487")</f>
        <v>0</v>
      </c>
      <c r="B3152" t="s">
        <v>169</v>
      </c>
      <c r="C3152" t="s">
        <v>6533</v>
      </c>
      <c r="D3152" t="s">
        <v>18108</v>
      </c>
      <c r="E3152" t="s">
        <v>21053</v>
      </c>
      <c r="F3152" t="s">
        <v>31362</v>
      </c>
      <c r="G3152" t="s">
        <v>31368</v>
      </c>
      <c r="H3152" t="s">
        <v>15799</v>
      </c>
      <c r="I3152" t="s">
        <v>7090</v>
      </c>
      <c r="J3152" t="s">
        <v>31788</v>
      </c>
      <c r="K3152" t="s">
        <v>40665</v>
      </c>
      <c r="M3152" t="s">
        <v>41580</v>
      </c>
      <c r="N3152" t="s">
        <v>44905</v>
      </c>
      <c r="O3152" t="s">
        <v>44906</v>
      </c>
      <c r="P3152">
        <v>0</v>
      </c>
      <c r="Q3152">
        <v>0</v>
      </c>
      <c r="R3152" t="s">
        <v>44908</v>
      </c>
      <c r="S3152" t="s">
        <v>45042</v>
      </c>
      <c r="T3152" t="s">
        <v>46411</v>
      </c>
      <c r="U3152" t="s">
        <v>48111</v>
      </c>
      <c r="W3152" t="s">
        <v>41580</v>
      </c>
      <c r="X3152" t="s">
        <v>44909</v>
      </c>
    </row>
    <row r="3153" spans="1:24">
      <c r="A3153">
        <f>HYPERLINK("https://www.philgeps.gov.ph/GEPSNONPILOT/Tender/SplashBidNoticeAbstractUI.aspx?menuIndex=3&amp;refID=7079496&amp;Result=3","7079496")</f>
        <v>0</v>
      </c>
      <c r="B3153" t="s">
        <v>1114</v>
      </c>
      <c r="C3153" t="s">
        <v>6534</v>
      </c>
      <c r="D3153" t="s">
        <v>18113</v>
      </c>
      <c r="E3153" t="s">
        <v>21054</v>
      </c>
      <c r="F3153" t="s">
        <v>31362</v>
      </c>
      <c r="G3153" t="s">
        <v>31368</v>
      </c>
      <c r="H3153" t="s">
        <v>15799</v>
      </c>
      <c r="I3153" t="s">
        <v>31400</v>
      </c>
      <c r="J3153" t="s">
        <v>32204</v>
      </c>
      <c r="K3153" t="s">
        <v>40665</v>
      </c>
      <c r="M3153" t="s">
        <v>42120</v>
      </c>
      <c r="N3153" t="s">
        <v>44905</v>
      </c>
      <c r="O3153" t="s">
        <v>44906</v>
      </c>
      <c r="P3153">
        <v>0</v>
      </c>
      <c r="Q3153">
        <v>1</v>
      </c>
      <c r="R3153" t="s">
        <v>44908</v>
      </c>
      <c r="S3153" t="s">
        <v>45042</v>
      </c>
      <c r="T3153" t="s">
        <v>46409</v>
      </c>
      <c r="U3153" t="s">
        <v>49530</v>
      </c>
      <c r="V3153" t="s">
        <v>59377</v>
      </c>
      <c r="W3153" t="s">
        <v>42120</v>
      </c>
      <c r="X3153" t="s">
        <v>44909</v>
      </c>
    </row>
    <row r="3154" spans="1:24">
      <c r="A3154">
        <f>HYPERLINK("https://www.philgeps.gov.ph/GEPSNONPILOT/Tender/SplashBidNoticeAbstractUI.aspx?menuIndex=3&amp;refID=7079484&amp;Result=3","7079484")</f>
        <v>0</v>
      </c>
      <c r="B3154" t="s">
        <v>998</v>
      </c>
      <c r="C3154" t="s">
        <v>6535</v>
      </c>
      <c r="D3154" t="s">
        <v>18110</v>
      </c>
      <c r="E3154" t="s">
        <v>21055</v>
      </c>
      <c r="F3154" t="s">
        <v>31362</v>
      </c>
      <c r="G3154" t="s">
        <v>31368</v>
      </c>
      <c r="H3154" t="s">
        <v>15799</v>
      </c>
      <c r="I3154" t="s">
        <v>3815</v>
      </c>
      <c r="J3154" t="s">
        <v>33316</v>
      </c>
      <c r="K3154" t="s">
        <v>40693</v>
      </c>
      <c r="M3154" t="s">
        <v>41993</v>
      </c>
      <c r="N3154" t="s">
        <v>44905</v>
      </c>
      <c r="O3154" t="s">
        <v>44906</v>
      </c>
      <c r="P3154">
        <v>0</v>
      </c>
      <c r="Q3154">
        <v>0</v>
      </c>
      <c r="R3154" t="s">
        <v>44908</v>
      </c>
      <c r="S3154" t="s">
        <v>45042</v>
      </c>
      <c r="T3154" t="s">
        <v>46598</v>
      </c>
      <c r="U3154" t="s">
        <v>49531</v>
      </c>
      <c r="W3154" t="s">
        <v>41993</v>
      </c>
      <c r="X3154" t="s">
        <v>44909</v>
      </c>
    </row>
    <row r="3155" spans="1:24">
      <c r="A3155">
        <f>HYPERLINK("https://www.philgeps.gov.ph/GEPSNONPILOT/Tender/SplashBidNoticeAbstractUI.aspx?menuIndex=3&amp;refID=7079481&amp;Result=3","7079481")</f>
        <v>0</v>
      </c>
      <c r="B3155" t="s">
        <v>200</v>
      </c>
      <c r="C3155" t="s">
        <v>6536</v>
      </c>
      <c r="D3155" t="s">
        <v>18106</v>
      </c>
      <c r="E3155" t="s">
        <v>21056</v>
      </c>
      <c r="F3155" t="s">
        <v>31362</v>
      </c>
      <c r="G3155" t="s">
        <v>31368</v>
      </c>
      <c r="H3155" t="s">
        <v>15799</v>
      </c>
      <c r="I3155" t="s">
        <v>31429</v>
      </c>
      <c r="J3155" t="s">
        <v>31723</v>
      </c>
      <c r="K3155" t="s">
        <v>40697</v>
      </c>
      <c r="M3155" t="s">
        <v>41139</v>
      </c>
      <c r="N3155" t="s">
        <v>44905</v>
      </c>
      <c r="O3155" t="s">
        <v>44906</v>
      </c>
      <c r="P3155">
        <v>0</v>
      </c>
      <c r="Q3155">
        <v>1</v>
      </c>
      <c r="R3155" t="s">
        <v>44908</v>
      </c>
      <c r="S3155" t="s">
        <v>45042</v>
      </c>
      <c r="T3155" t="s">
        <v>46409</v>
      </c>
      <c r="U3155" t="s">
        <v>49532</v>
      </c>
      <c r="W3155" t="s">
        <v>41139</v>
      </c>
      <c r="X3155" t="s">
        <v>44909</v>
      </c>
    </row>
    <row r="3156" spans="1:24">
      <c r="A3156">
        <f>HYPERLINK("https://www.philgeps.gov.ph/GEPSNONPILOT/Tender/SplashBidNoticeAbstractUI.aspx?menuIndex=3&amp;refID=7079494&amp;Result=3","7079494")</f>
        <v>0</v>
      </c>
      <c r="B3156" t="s">
        <v>1195</v>
      </c>
      <c r="C3156" t="s">
        <v>6537</v>
      </c>
      <c r="D3156" t="s">
        <v>18125</v>
      </c>
      <c r="E3156" t="s">
        <v>21057</v>
      </c>
      <c r="F3156" t="s">
        <v>31362</v>
      </c>
      <c r="G3156" t="s">
        <v>31370</v>
      </c>
      <c r="H3156" t="s">
        <v>15799</v>
      </c>
      <c r="I3156" t="s">
        <v>4057</v>
      </c>
      <c r="J3156" t="s">
        <v>31626</v>
      </c>
      <c r="K3156" t="s">
        <v>40662</v>
      </c>
      <c r="M3156" t="s">
        <v>42207</v>
      </c>
      <c r="N3156" t="s">
        <v>44905</v>
      </c>
      <c r="O3156" t="s">
        <v>44906</v>
      </c>
      <c r="P3156">
        <v>0</v>
      </c>
      <c r="Q3156">
        <v>1</v>
      </c>
      <c r="R3156" t="s">
        <v>44908</v>
      </c>
      <c r="S3156" t="s">
        <v>45042</v>
      </c>
      <c r="T3156" t="s">
        <v>46443</v>
      </c>
      <c r="U3156" t="s">
        <v>49533</v>
      </c>
      <c r="W3156" t="s">
        <v>42207</v>
      </c>
      <c r="X3156" t="s">
        <v>44909</v>
      </c>
    </row>
    <row r="3157" spans="1:24">
      <c r="A3157">
        <f>HYPERLINK("https://www.philgeps.gov.ph/GEPSNONPILOT/Tender/SplashBidNoticeAbstractUI.aspx?menuIndex=3&amp;refID=7079480&amp;Result=3","7079480")</f>
        <v>0</v>
      </c>
      <c r="B3157" t="s">
        <v>1196</v>
      </c>
      <c r="C3157" t="s">
        <v>6538</v>
      </c>
      <c r="D3157" t="s">
        <v>18117</v>
      </c>
      <c r="E3157" t="s">
        <v>21058</v>
      </c>
      <c r="F3157" t="s">
        <v>31362</v>
      </c>
      <c r="G3157" t="s">
        <v>31368</v>
      </c>
      <c r="H3157" t="s">
        <v>15799</v>
      </c>
      <c r="I3157" t="s">
        <v>31430</v>
      </c>
      <c r="J3157" t="s">
        <v>33636</v>
      </c>
      <c r="K3157" t="s">
        <v>40661</v>
      </c>
      <c r="M3157" t="s">
        <v>42208</v>
      </c>
      <c r="N3157" t="s">
        <v>44905</v>
      </c>
      <c r="O3157" t="s">
        <v>44906</v>
      </c>
      <c r="P3157">
        <v>0</v>
      </c>
      <c r="Q3157">
        <v>0</v>
      </c>
      <c r="R3157" t="s">
        <v>44908</v>
      </c>
      <c r="S3157" t="s">
        <v>45042</v>
      </c>
      <c r="T3157" t="s">
        <v>46432</v>
      </c>
      <c r="U3157" t="s">
        <v>49534</v>
      </c>
      <c r="W3157" t="s">
        <v>42208</v>
      </c>
      <c r="X3157" t="s">
        <v>44909</v>
      </c>
    </row>
    <row r="3158" spans="1:24">
      <c r="A3158">
        <f>HYPERLINK("https://www.philgeps.gov.ph/GEPSNONPILOT/Tender/SplashBidNoticeAbstractUI.aspx?menuIndex=3&amp;refID=7079503&amp;Result=3","7079503")</f>
        <v>0</v>
      </c>
      <c r="B3158" t="s">
        <v>1132</v>
      </c>
      <c r="C3158" t="s">
        <v>6539</v>
      </c>
      <c r="D3158" t="s">
        <v>18112</v>
      </c>
      <c r="E3158" t="s">
        <v>20894</v>
      </c>
      <c r="F3158" t="s">
        <v>31362</v>
      </c>
      <c r="G3158" t="s">
        <v>31372</v>
      </c>
      <c r="H3158" t="s">
        <v>15799</v>
      </c>
      <c r="I3158" t="s">
        <v>31429</v>
      </c>
      <c r="J3158" t="s">
        <v>31806</v>
      </c>
      <c r="K3158" t="s">
        <v>40670</v>
      </c>
      <c r="M3158" t="s">
        <v>42140</v>
      </c>
      <c r="N3158" t="s">
        <v>44905</v>
      </c>
      <c r="O3158" t="s">
        <v>44906</v>
      </c>
      <c r="P3158">
        <v>0</v>
      </c>
      <c r="Q3158">
        <v>2</v>
      </c>
      <c r="R3158" t="s">
        <v>44908</v>
      </c>
      <c r="S3158" t="s">
        <v>45042</v>
      </c>
      <c r="T3158" t="s">
        <v>46412</v>
      </c>
      <c r="U3158" t="s">
        <v>49535</v>
      </c>
      <c r="W3158" t="s">
        <v>42140</v>
      </c>
      <c r="X3158" t="s">
        <v>44909</v>
      </c>
    </row>
    <row r="3159" spans="1:24">
      <c r="A3159">
        <f>HYPERLINK("https://www.philgeps.gov.ph/GEPSNONPILOT/Tender/SplashBidNoticeAbstractUI.aspx?menuIndex=3&amp;refID=7079501&amp;Result=3","7079501")</f>
        <v>0</v>
      </c>
      <c r="B3159" t="s">
        <v>1197</v>
      </c>
      <c r="C3159" t="s">
        <v>6540</v>
      </c>
      <c r="D3159" t="s">
        <v>18147</v>
      </c>
      <c r="E3159" t="s">
        <v>21059</v>
      </c>
      <c r="F3159" t="s">
        <v>31362</v>
      </c>
      <c r="G3159" t="s">
        <v>31369</v>
      </c>
      <c r="H3159" t="s">
        <v>15799</v>
      </c>
      <c r="I3159" t="s">
        <v>31415</v>
      </c>
      <c r="J3159" t="s">
        <v>33637</v>
      </c>
      <c r="K3159" t="s">
        <v>40686</v>
      </c>
      <c r="L3159" t="s">
        <v>1197</v>
      </c>
      <c r="M3159" t="s">
        <v>42209</v>
      </c>
      <c r="N3159" t="s">
        <v>44905</v>
      </c>
      <c r="O3159" t="s">
        <v>44906</v>
      </c>
      <c r="P3159">
        <v>0</v>
      </c>
      <c r="Q3159">
        <v>1</v>
      </c>
      <c r="R3159" t="s">
        <v>44908</v>
      </c>
      <c r="S3159" t="s">
        <v>45042</v>
      </c>
      <c r="T3159" t="s">
        <v>46627</v>
      </c>
      <c r="U3159" t="s">
        <v>49536</v>
      </c>
      <c r="V3159" t="s">
        <v>59391</v>
      </c>
      <c r="W3159" t="s">
        <v>42209</v>
      </c>
      <c r="X3159" t="s">
        <v>44909</v>
      </c>
    </row>
    <row r="3160" spans="1:24">
      <c r="A3160">
        <f>HYPERLINK("https://www.philgeps.gov.ph/GEPSNONPILOT/Tender/SplashBidNoticeAbstractUI.aspx?menuIndex=3&amp;refID=7079515&amp;Result=3","7079515")</f>
        <v>0</v>
      </c>
      <c r="B3160" t="s">
        <v>1180</v>
      </c>
      <c r="C3160" t="s">
        <v>6541</v>
      </c>
      <c r="D3160" t="s">
        <v>18109</v>
      </c>
      <c r="E3160" t="s">
        <v>21001</v>
      </c>
      <c r="F3160" t="s">
        <v>31362</v>
      </c>
      <c r="G3160" t="s">
        <v>31369</v>
      </c>
      <c r="H3160" t="s">
        <v>31377</v>
      </c>
      <c r="I3160" t="s">
        <v>31412</v>
      </c>
      <c r="J3160" t="s">
        <v>33638</v>
      </c>
      <c r="K3160" t="s">
        <v>40662</v>
      </c>
      <c r="M3160" t="s">
        <v>42192</v>
      </c>
      <c r="N3160" t="s">
        <v>44905</v>
      </c>
      <c r="O3160" t="s">
        <v>44906</v>
      </c>
      <c r="P3160">
        <v>0</v>
      </c>
      <c r="Q3160">
        <v>3</v>
      </c>
      <c r="R3160" t="s">
        <v>44908</v>
      </c>
      <c r="S3160" t="s">
        <v>45042</v>
      </c>
      <c r="T3160" t="s">
        <v>46521</v>
      </c>
      <c r="U3160" t="s">
        <v>49537</v>
      </c>
      <c r="W3160" t="s">
        <v>42192</v>
      </c>
      <c r="X3160" t="s">
        <v>44909</v>
      </c>
    </row>
    <row r="3161" spans="1:24">
      <c r="A3161">
        <f>HYPERLINK("https://www.philgeps.gov.ph/GEPSNONPILOT/Tender/SplashBidNoticeAbstractUI.aspx?menuIndex=3&amp;refID=7079513&amp;Result=3","7079513")</f>
        <v>0</v>
      </c>
      <c r="B3161" t="s">
        <v>585</v>
      </c>
      <c r="C3161" t="s">
        <v>6542</v>
      </c>
      <c r="D3161" t="s">
        <v>18100</v>
      </c>
      <c r="E3161" t="s">
        <v>21060</v>
      </c>
      <c r="F3161" t="s">
        <v>31362</v>
      </c>
      <c r="G3161" t="s">
        <v>31368</v>
      </c>
      <c r="H3161" t="s">
        <v>15799</v>
      </c>
      <c r="I3161" t="s">
        <v>31430</v>
      </c>
      <c r="J3161" t="s">
        <v>31931</v>
      </c>
      <c r="K3161" t="s">
        <v>40662</v>
      </c>
      <c r="M3161" t="s">
        <v>41542</v>
      </c>
      <c r="N3161" t="s">
        <v>44905</v>
      </c>
      <c r="O3161" t="s">
        <v>44906</v>
      </c>
      <c r="P3161">
        <v>0</v>
      </c>
      <c r="Q3161">
        <v>1</v>
      </c>
      <c r="R3161" t="s">
        <v>44908</v>
      </c>
      <c r="S3161" t="s">
        <v>45042</v>
      </c>
      <c r="T3161" t="s">
        <v>46426</v>
      </c>
      <c r="U3161" t="s">
        <v>49538</v>
      </c>
      <c r="W3161" t="s">
        <v>41542</v>
      </c>
      <c r="X3161" t="s">
        <v>44909</v>
      </c>
    </row>
    <row r="3162" spans="1:24">
      <c r="A3162">
        <f>HYPERLINK("https://www.philgeps.gov.ph/GEPSNONPILOT/Tender/SplashBidNoticeAbstractUI.aspx?menuIndex=3&amp;refID=7079475&amp;Result=3","7079475")</f>
        <v>0</v>
      </c>
      <c r="B3162" t="s">
        <v>1035</v>
      </c>
      <c r="C3162" t="s">
        <v>6543</v>
      </c>
      <c r="D3162" t="s">
        <v>18148</v>
      </c>
      <c r="E3162" t="s">
        <v>21061</v>
      </c>
      <c r="F3162" t="s">
        <v>31362</v>
      </c>
      <c r="G3162" t="s">
        <v>31370</v>
      </c>
      <c r="H3162" t="s">
        <v>15799</v>
      </c>
      <c r="I3162" t="s">
        <v>6240</v>
      </c>
      <c r="J3162" t="s">
        <v>33639</v>
      </c>
      <c r="K3162" t="s">
        <v>40662</v>
      </c>
      <c r="M3162" t="s">
        <v>42034</v>
      </c>
      <c r="N3162" t="s">
        <v>44905</v>
      </c>
      <c r="O3162" t="s">
        <v>44906</v>
      </c>
      <c r="P3162">
        <v>0</v>
      </c>
      <c r="Q3162">
        <v>0</v>
      </c>
      <c r="R3162" t="s">
        <v>44908</v>
      </c>
      <c r="S3162" t="s">
        <v>45042</v>
      </c>
      <c r="T3162" t="s">
        <v>46443</v>
      </c>
      <c r="U3162" t="s">
        <v>47665</v>
      </c>
      <c r="W3162" t="s">
        <v>42034</v>
      </c>
      <c r="X3162" t="s">
        <v>44909</v>
      </c>
    </row>
    <row r="3163" spans="1:24">
      <c r="A3163">
        <f>HYPERLINK("https://www.philgeps.gov.ph/GEPSNONPILOT/Tender/SplashBidNoticeAbstractUI.aspx?menuIndex=3&amp;refID=7079510&amp;Result=3","7079510")</f>
        <v>0</v>
      </c>
      <c r="B3163" t="s">
        <v>1135</v>
      </c>
      <c r="C3163" t="s">
        <v>6544</v>
      </c>
      <c r="D3163" t="s">
        <v>18102</v>
      </c>
      <c r="E3163" t="s">
        <v>21062</v>
      </c>
      <c r="F3163" t="s">
        <v>31362</v>
      </c>
      <c r="G3163" t="s">
        <v>31371</v>
      </c>
      <c r="H3163" t="s">
        <v>15799</v>
      </c>
      <c r="I3163" t="s">
        <v>31406</v>
      </c>
      <c r="J3163" t="s">
        <v>33640</v>
      </c>
      <c r="K3163" t="s">
        <v>40662</v>
      </c>
      <c r="M3163" t="s">
        <v>42143</v>
      </c>
      <c r="N3163" t="s">
        <v>44905</v>
      </c>
      <c r="O3163" t="s">
        <v>44906</v>
      </c>
      <c r="P3163">
        <v>0</v>
      </c>
      <c r="Q3163">
        <v>7</v>
      </c>
      <c r="R3163" t="s">
        <v>44908</v>
      </c>
      <c r="S3163" t="s">
        <v>45042</v>
      </c>
      <c r="T3163" t="s">
        <v>46454</v>
      </c>
      <c r="U3163" t="s">
        <v>49539</v>
      </c>
      <c r="W3163" t="s">
        <v>42143</v>
      </c>
      <c r="X3163" t="s">
        <v>44909</v>
      </c>
    </row>
    <row r="3164" spans="1:24">
      <c r="A3164">
        <f>HYPERLINK("https://www.philgeps.gov.ph/GEPSNONPILOT/Tender/SplashBidNoticeAbstractUI.aspx?menuIndex=3&amp;refID=7079509&amp;Result=3","7079509")</f>
        <v>0</v>
      </c>
      <c r="B3164" t="s">
        <v>214</v>
      </c>
      <c r="C3164" t="s">
        <v>6545</v>
      </c>
      <c r="D3164" t="s">
        <v>18158</v>
      </c>
      <c r="E3164" t="s">
        <v>21063</v>
      </c>
      <c r="F3164" t="s">
        <v>31362</v>
      </c>
      <c r="G3164" t="s">
        <v>31369</v>
      </c>
      <c r="H3164" t="s">
        <v>15799</v>
      </c>
      <c r="I3164" t="s">
        <v>4283</v>
      </c>
      <c r="J3164" t="s">
        <v>33641</v>
      </c>
      <c r="K3164" t="s">
        <v>40677</v>
      </c>
      <c r="M3164" t="s">
        <v>41153</v>
      </c>
      <c r="N3164" t="s">
        <v>44905</v>
      </c>
      <c r="O3164" t="s">
        <v>44906</v>
      </c>
      <c r="P3164">
        <v>0</v>
      </c>
      <c r="Q3164">
        <v>9</v>
      </c>
      <c r="R3164" t="s">
        <v>44908</v>
      </c>
      <c r="S3164" t="s">
        <v>45042</v>
      </c>
      <c r="T3164" t="s">
        <v>46419</v>
      </c>
      <c r="U3164" t="s">
        <v>49540</v>
      </c>
      <c r="W3164" t="s">
        <v>41153</v>
      </c>
      <c r="X3164" t="s">
        <v>44909</v>
      </c>
    </row>
    <row r="3165" spans="1:24">
      <c r="A3165">
        <f>HYPERLINK("https://www.philgeps.gov.ph/GEPSNONPILOT/Tender/SplashBidNoticeAbstractUI.aspx?menuIndex=3&amp;refID=7079502&amp;Result=3","7079502")</f>
        <v>0</v>
      </c>
      <c r="B3165" t="s">
        <v>1012</v>
      </c>
      <c r="C3165" t="s">
        <v>6546</v>
      </c>
      <c r="D3165" t="s">
        <v>18115</v>
      </c>
      <c r="E3165" t="s">
        <v>21064</v>
      </c>
      <c r="F3165" t="s">
        <v>31362</v>
      </c>
      <c r="G3165" t="s">
        <v>31369</v>
      </c>
      <c r="H3165" t="s">
        <v>15799</v>
      </c>
      <c r="I3165" t="s">
        <v>31404</v>
      </c>
      <c r="J3165" t="s">
        <v>33642</v>
      </c>
      <c r="K3165" t="s">
        <v>40662</v>
      </c>
      <c r="M3165" t="s">
        <v>42009</v>
      </c>
      <c r="N3165" t="s">
        <v>44905</v>
      </c>
      <c r="O3165" t="s">
        <v>44906</v>
      </c>
      <c r="P3165">
        <v>0</v>
      </c>
      <c r="Q3165">
        <v>0</v>
      </c>
      <c r="R3165" t="s">
        <v>44908</v>
      </c>
      <c r="S3165" t="s">
        <v>45042</v>
      </c>
      <c r="T3165" t="s">
        <v>46419</v>
      </c>
      <c r="U3165" t="s">
        <v>49541</v>
      </c>
      <c r="W3165" t="s">
        <v>42009</v>
      </c>
      <c r="X3165" t="s">
        <v>44909</v>
      </c>
    </row>
    <row r="3166" spans="1:24">
      <c r="A3166">
        <f>HYPERLINK("https://www.philgeps.gov.ph/GEPSNONPILOT/Tender/SplashBidNoticeAbstractUI.aspx?menuIndex=3&amp;refID=7079497&amp;Result=3","7079497")</f>
        <v>0</v>
      </c>
      <c r="B3166" t="s">
        <v>1122</v>
      </c>
      <c r="C3166" t="s">
        <v>6547</v>
      </c>
      <c r="D3166" t="s">
        <v>18113</v>
      </c>
      <c r="E3166" t="s">
        <v>21065</v>
      </c>
      <c r="F3166" t="s">
        <v>31362</v>
      </c>
      <c r="G3166" t="s">
        <v>31368</v>
      </c>
      <c r="H3166" t="s">
        <v>15799</v>
      </c>
      <c r="I3166" t="s">
        <v>31404</v>
      </c>
      <c r="J3166" t="s">
        <v>33643</v>
      </c>
      <c r="K3166" t="s">
        <v>40665</v>
      </c>
      <c r="M3166" t="s">
        <v>42129</v>
      </c>
      <c r="N3166" t="s">
        <v>44905</v>
      </c>
      <c r="O3166" t="s">
        <v>44906</v>
      </c>
      <c r="P3166">
        <v>0</v>
      </c>
      <c r="Q3166">
        <v>0</v>
      </c>
      <c r="R3166" t="s">
        <v>44908</v>
      </c>
      <c r="S3166" t="s">
        <v>45042</v>
      </c>
      <c r="T3166" t="s">
        <v>46483</v>
      </c>
      <c r="U3166" t="s">
        <v>49542</v>
      </c>
      <c r="W3166" t="s">
        <v>42129</v>
      </c>
      <c r="X3166" t="s">
        <v>44909</v>
      </c>
    </row>
    <row r="3167" spans="1:24">
      <c r="A3167">
        <f>HYPERLINK("https://www.philgeps.gov.ph/GEPSNONPILOT/Tender/SplashBidNoticeAbstractUI.aspx?menuIndex=3&amp;refID=7079512&amp;Result=3","7079512")</f>
        <v>0</v>
      </c>
      <c r="B3167" t="s">
        <v>1198</v>
      </c>
      <c r="C3167" t="s">
        <v>6548</v>
      </c>
      <c r="D3167" t="s">
        <v>18106</v>
      </c>
      <c r="E3167" t="s">
        <v>19844</v>
      </c>
      <c r="F3167" t="s">
        <v>31365</v>
      </c>
      <c r="G3167" t="s">
        <v>31369</v>
      </c>
      <c r="H3167" t="s">
        <v>31378</v>
      </c>
      <c r="I3167" t="s">
        <v>31386</v>
      </c>
      <c r="J3167" t="s">
        <v>31578</v>
      </c>
      <c r="K3167" t="s">
        <v>40665</v>
      </c>
      <c r="M3167" t="s">
        <v>42210</v>
      </c>
      <c r="N3167" t="s">
        <v>44905</v>
      </c>
      <c r="O3167" t="s">
        <v>44906</v>
      </c>
      <c r="P3167">
        <v>0</v>
      </c>
      <c r="Q3167">
        <v>0</v>
      </c>
      <c r="R3167" t="s">
        <v>44908</v>
      </c>
      <c r="S3167" t="s">
        <v>45042</v>
      </c>
      <c r="T3167" t="s">
        <v>46489</v>
      </c>
      <c r="U3167" t="s">
        <v>49543</v>
      </c>
      <c r="W3167" t="s">
        <v>42210</v>
      </c>
      <c r="X3167" t="s">
        <v>44909</v>
      </c>
    </row>
    <row r="3168" spans="1:24">
      <c r="A3168">
        <f>HYPERLINK("https://www.philgeps.gov.ph/GEPSNONPILOT/Tender/SplashBidNoticeAbstractUI.aspx?menuIndex=3&amp;refID=7079511&amp;Result=3","7079511")</f>
        <v>0</v>
      </c>
      <c r="B3168" t="s">
        <v>912</v>
      </c>
      <c r="C3168" t="s">
        <v>6549</v>
      </c>
      <c r="D3168" t="s">
        <v>18122</v>
      </c>
      <c r="E3168" t="s">
        <v>21066</v>
      </c>
      <c r="F3168" t="s">
        <v>31363</v>
      </c>
      <c r="G3168" t="s">
        <v>31368</v>
      </c>
      <c r="H3168" t="s">
        <v>15799</v>
      </c>
      <c r="I3168" t="s">
        <v>31435</v>
      </c>
      <c r="J3168" t="s">
        <v>31536</v>
      </c>
      <c r="K3168" t="s">
        <v>40666</v>
      </c>
      <c r="M3168" t="s">
        <v>41895</v>
      </c>
      <c r="N3168" t="s">
        <v>44905</v>
      </c>
      <c r="O3168" t="s">
        <v>44906</v>
      </c>
      <c r="P3168">
        <v>0</v>
      </c>
      <c r="Q3168">
        <v>0</v>
      </c>
      <c r="R3168" t="s">
        <v>44908</v>
      </c>
      <c r="S3168" t="s">
        <v>45042</v>
      </c>
      <c r="T3168" t="s">
        <v>46426</v>
      </c>
      <c r="U3168" t="s">
        <v>49544</v>
      </c>
      <c r="W3168" t="s">
        <v>41895</v>
      </c>
      <c r="X3168" t="s">
        <v>44909</v>
      </c>
    </row>
    <row r="3169" spans="1:24">
      <c r="A3169">
        <f>HYPERLINK("https://www.philgeps.gov.ph/GEPSNONPILOT/Tender/SplashBidNoticeAbstractUI.aspx?menuIndex=3&amp;refID=7079527&amp;Result=3","7079527")</f>
        <v>0</v>
      </c>
      <c r="B3169" t="s">
        <v>994</v>
      </c>
      <c r="C3169" t="s">
        <v>6550</v>
      </c>
      <c r="D3169" t="s">
        <v>18131</v>
      </c>
      <c r="E3169" t="s">
        <v>21067</v>
      </c>
      <c r="F3169" t="s">
        <v>31362</v>
      </c>
      <c r="G3169" t="s">
        <v>31368</v>
      </c>
      <c r="H3169" t="s">
        <v>15799</v>
      </c>
      <c r="I3169" t="s">
        <v>31429</v>
      </c>
      <c r="J3169" t="s">
        <v>33644</v>
      </c>
      <c r="K3169" t="s">
        <v>40665</v>
      </c>
      <c r="M3169" t="s">
        <v>41989</v>
      </c>
      <c r="N3169" t="s">
        <v>44905</v>
      </c>
      <c r="O3169" t="s">
        <v>44906</v>
      </c>
      <c r="P3169">
        <v>0</v>
      </c>
      <c r="Q3169">
        <v>0</v>
      </c>
      <c r="R3169" t="s">
        <v>44908</v>
      </c>
      <c r="S3169" t="s">
        <v>45042</v>
      </c>
      <c r="T3169" t="s">
        <v>46480</v>
      </c>
      <c r="U3169" t="s">
        <v>49545</v>
      </c>
      <c r="V3169" t="s">
        <v>59390</v>
      </c>
      <c r="W3169" t="s">
        <v>41989</v>
      </c>
      <c r="X3169" t="s">
        <v>44909</v>
      </c>
    </row>
    <row r="3170" spans="1:24">
      <c r="A3170">
        <f>HYPERLINK("https://www.philgeps.gov.ph/GEPSNONPILOT/Tender/SplashBidNoticeAbstractUI.aspx?menuIndex=3&amp;refID=7079495&amp;Result=3","7079495")</f>
        <v>0</v>
      </c>
      <c r="B3170" t="s">
        <v>1159</v>
      </c>
      <c r="C3170" t="s">
        <v>6551</v>
      </c>
      <c r="D3170" t="s">
        <v>18126</v>
      </c>
      <c r="E3170" t="s">
        <v>21068</v>
      </c>
      <c r="F3170" t="s">
        <v>31362</v>
      </c>
      <c r="G3170" t="s">
        <v>31369</v>
      </c>
      <c r="H3170" t="s">
        <v>15799</v>
      </c>
      <c r="I3170" t="s">
        <v>31386</v>
      </c>
      <c r="J3170" t="s">
        <v>33645</v>
      </c>
      <c r="K3170" t="s">
        <v>40757</v>
      </c>
      <c r="M3170" t="s">
        <v>42168</v>
      </c>
      <c r="N3170" t="s">
        <v>44905</v>
      </c>
      <c r="O3170" t="s">
        <v>44906</v>
      </c>
      <c r="P3170">
        <v>0</v>
      </c>
      <c r="Q3170">
        <v>0</v>
      </c>
      <c r="R3170" t="s">
        <v>44908</v>
      </c>
      <c r="S3170" t="s">
        <v>45042</v>
      </c>
      <c r="T3170" t="s">
        <v>46449</v>
      </c>
      <c r="U3170" t="s">
        <v>49546</v>
      </c>
      <c r="V3170" t="s">
        <v>59386</v>
      </c>
      <c r="W3170" t="s">
        <v>42168</v>
      </c>
      <c r="X3170" t="s">
        <v>44909</v>
      </c>
    </row>
    <row r="3171" spans="1:24">
      <c r="A3171">
        <f>HYPERLINK("https://www.philgeps.gov.ph/GEPSNONPILOT/Tender/SplashBidNoticeAbstractUI.aspx?menuIndex=3&amp;refID=7079526&amp;Result=3","7079526")</f>
        <v>0</v>
      </c>
      <c r="B3171" t="s">
        <v>982</v>
      </c>
      <c r="C3171" t="s">
        <v>6552</v>
      </c>
      <c r="D3171" t="s">
        <v>18106</v>
      </c>
      <c r="E3171" t="s">
        <v>21069</v>
      </c>
      <c r="F3171" t="s">
        <v>31362</v>
      </c>
      <c r="G3171" t="s">
        <v>31368</v>
      </c>
      <c r="H3171" t="s">
        <v>15799</v>
      </c>
      <c r="I3171" t="s">
        <v>13635</v>
      </c>
      <c r="J3171" t="s">
        <v>33646</v>
      </c>
      <c r="K3171" t="s">
        <v>40672</v>
      </c>
      <c r="M3171" t="s">
        <v>41974</v>
      </c>
      <c r="N3171" t="s">
        <v>44905</v>
      </c>
      <c r="O3171" t="s">
        <v>44906</v>
      </c>
      <c r="P3171">
        <v>0</v>
      </c>
      <c r="Q3171">
        <v>1</v>
      </c>
      <c r="R3171" t="s">
        <v>44908</v>
      </c>
      <c r="S3171" t="s">
        <v>45042</v>
      </c>
      <c r="T3171" t="s">
        <v>46409</v>
      </c>
      <c r="U3171" t="s">
        <v>49018</v>
      </c>
      <c r="W3171" t="s">
        <v>41974</v>
      </c>
      <c r="X3171" t="s">
        <v>44909</v>
      </c>
    </row>
    <row r="3172" spans="1:24">
      <c r="A3172">
        <f>HYPERLINK("https://www.philgeps.gov.ph/GEPSNONPILOT/Tender/SplashBidNoticeAbstractUI.aspx?menuIndex=3&amp;refID=7079524&amp;Result=3","7079524")</f>
        <v>0</v>
      </c>
      <c r="B3172" t="s">
        <v>1199</v>
      </c>
      <c r="C3172" t="s">
        <v>6553</v>
      </c>
      <c r="D3172" t="s">
        <v>18114</v>
      </c>
      <c r="E3172" t="s">
        <v>19255</v>
      </c>
      <c r="F3172" t="s">
        <v>31362</v>
      </c>
      <c r="G3172" t="s">
        <v>31368</v>
      </c>
      <c r="H3172" t="s">
        <v>15799</v>
      </c>
      <c r="I3172" t="s">
        <v>6240</v>
      </c>
      <c r="J3172" t="s">
        <v>33647</v>
      </c>
      <c r="K3172" t="s">
        <v>40697</v>
      </c>
      <c r="M3172" t="s">
        <v>42211</v>
      </c>
      <c r="N3172" t="s">
        <v>44905</v>
      </c>
      <c r="O3172" t="s">
        <v>44906</v>
      </c>
      <c r="P3172">
        <v>0</v>
      </c>
      <c r="Q3172">
        <v>0</v>
      </c>
      <c r="R3172" t="s">
        <v>44908</v>
      </c>
      <c r="S3172" t="s">
        <v>45042</v>
      </c>
      <c r="T3172" t="s">
        <v>46636</v>
      </c>
      <c r="U3172" t="s">
        <v>49547</v>
      </c>
      <c r="W3172" t="s">
        <v>42211</v>
      </c>
      <c r="X3172" t="s">
        <v>44909</v>
      </c>
    </row>
    <row r="3173" spans="1:24">
      <c r="A3173">
        <f>HYPERLINK("https://www.philgeps.gov.ph/GEPSNONPILOT/Tender/SplashBidNoticeAbstractUI.aspx?menuIndex=3&amp;refID=7079522&amp;Result=3","7079522")</f>
        <v>0</v>
      </c>
      <c r="B3173" t="s">
        <v>169</v>
      </c>
      <c r="C3173" t="s">
        <v>6554</v>
      </c>
      <c r="D3173" t="s">
        <v>18108</v>
      </c>
      <c r="E3173" t="s">
        <v>21070</v>
      </c>
      <c r="F3173" t="s">
        <v>31362</v>
      </c>
      <c r="G3173" t="s">
        <v>31368</v>
      </c>
      <c r="H3173" t="s">
        <v>15799</v>
      </c>
      <c r="I3173" t="s">
        <v>31413</v>
      </c>
      <c r="J3173" t="s">
        <v>33648</v>
      </c>
      <c r="K3173" t="s">
        <v>40665</v>
      </c>
      <c r="M3173" t="s">
        <v>41580</v>
      </c>
      <c r="N3173" t="s">
        <v>44905</v>
      </c>
      <c r="O3173" t="s">
        <v>44906</v>
      </c>
      <c r="P3173">
        <v>0</v>
      </c>
      <c r="Q3173">
        <v>1</v>
      </c>
      <c r="R3173" t="s">
        <v>44908</v>
      </c>
      <c r="S3173" t="s">
        <v>45042</v>
      </c>
      <c r="T3173" t="s">
        <v>46411</v>
      </c>
      <c r="U3173" t="s">
        <v>48111</v>
      </c>
      <c r="W3173" t="s">
        <v>41580</v>
      </c>
      <c r="X3173" t="s">
        <v>44909</v>
      </c>
    </row>
    <row r="3174" spans="1:24">
      <c r="A3174">
        <f>HYPERLINK("https://www.philgeps.gov.ph/GEPSNONPILOT/Tender/SplashBidNoticeAbstractUI.aspx?menuIndex=3&amp;refID=7079519&amp;Result=3","7079519")</f>
        <v>0</v>
      </c>
      <c r="B3174" t="s">
        <v>1035</v>
      </c>
      <c r="C3174" t="s">
        <v>6555</v>
      </c>
      <c r="D3174" t="s">
        <v>18148</v>
      </c>
      <c r="E3174" t="s">
        <v>21061</v>
      </c>
      <c r="F3174" t="s">
        <v>31362</v>
      </c>
      <c r="G3174" t="s">
        <v>31370</v>
      </c>
      <c r="H3174" t="s">
        <v>15799</v>
      </c>
      <c r="I3174" t="s">
        <v>6240</v>
      </c>
      <c r="J3174" t="s">
        <v>33649</v>
      </c>
      <c r="K3174" t="s">
        <v>40662</v>
      </c>
      <c r="M3174" t="s">
        <v>42034</v>
      </c>
      <c r="N3174" t="s">
        <v>44905</v>
      </c>
      <c r="O3174" t="s">
        <v>44906</v>
      </c>
      <c r="P3174">
        <v>0</v>
      </c>
      <c r="Q3174">
        <v>0</v>
      </c>
      <c r="R3174" t="s">
        <v>44908</v>
      </c>
      <c r="S3174" t="s">
        <v>45042</v>
      </c>
      <c r="T3174" t="s">
        <v>46443</v>
      </c>
      <c r="U3174" t="s">
        <v>47665</v>
      </c>
      <c r="W3174" t="s">
        <v>42034</v>
      </c>
      <c r="X3174" t="s">
        <v>44909</v>
      </c>
    </row>
    <row r="3175" spans="1:24">
      <c r="A3175">
        <f>HYPERLINK("https://www.philgeps.gov.ph/GEPSNONPILOT/Tender/SplashBidNoticeAbstractUI.aspx?menuIndex=3&amp;refID=7079476&amp;Result=3","7079476")</f>
        <v>0</v>
      </c>
      <c r="B3175" t="s">
        <v>207</v>
      </c>
      <c r="C3175" t="s">
        <v>6556</v>
      </c>
      <c r="D3175" t="s">
        <v>18127</v>
      </c>
      <c r="E3175" t="s">
        <v>21071</v>
      </c>
      <c r="F3175" t="s">
        <v>31362</v>
      </c>
      <c r="G3175" t="s">
        <v>31370</v>
      </c>
      <c r="H3175" t="s">
        <v>15799</v>
      </c>
      <c r="I3175" t="s">
        <v>31430</v>
      </c>
      <c r="J3175" t="s">
        <v>33650</v>
      </c>
      <c r="K3175" t="s">
        <v>40662</v>
      </c>
      <c r="M3175" t="s">
        <v>41146</v>
      </c>
      <c r="N3175" t="s">
        <v>44905</v>
      </c>
      <c r="O3175" t="s">
        <v>44906</v>
      </c>
      <c r="P3175">
        <v>0</v>
      </c>
      <c r="Q3175">
        <v>0</v>
      </c>
      <c r="R3175" t="s">
        <v>44908</v>
      </c>
      <c r="S3175" t="s">
        <v>45042</v>
      </c>
      <c r="T3175" t="s">
        <v>46427</v>
      </c>
      <c r="U3175" t="s">
        <v>49548</v>
      </c>
      <c r="W3175" t="s">
        <v>41146</v>
      </c>
      <c r="X3175" t="s">
        <v>44909</v>
      </c>
    </row>
    <row r="3176" spans="1:24">
      <c r="A3176">
        <f>HYPERLINK("https://www.philgeps.gov.ph/GEPSNONPILOT/Tender/SplashBidNoticeAbstractUI.aspx?menuIndex=3&amp;refID=7079507&amp;Result=3","7079507")</f>
        <v>0</v>
      </c>
      <c r="B3176" t="s">
        <v>1102</v>
      </c>
      <c r="C3176" t="s">
        <v>6557</v>
      </c>
      <c r="D3176" t="s">
        <v>18160</v>
      </c>
      <c r="E3176" t="s">
        <v>21072</v>
      </c>
      <c r="F3176" t="s">
        <v>31362</v>
      </c>
      <c r="G3176" t="s">
        <v>31368</v>
      </c>
      <c r="H3176" t="s">
        <v>15799</v>
      </c>
      <c r="I3176" t="s">
        <v>4283</v>
      </c>
      <c r="J3176" t="s">
        <v>33651</v>
      </c>
      <c r="K3176" t="s">
        <v>40662</v>
      </c>
      <c r="M3176" t="s">
        <v>42107</v>
      </c>
      <c r="N3176" t="s">
        <v>44905</v>
      </c>
      <c r="O3176" t="s">
        <v>44906</v>
      </c>
      <c r="P3176">
        <v>0</v>
      </c>
      <c r="Q3176">
        <v>1</v>
      </c>
      <c r="R3176" t="s">
        <v>44908</v>
      </c>
      <c r="S3176" t="s">
        <v>45042</v>
      </c>
      <c r="T3176" t="s">
        <v>46414</v>
      </c>
      <c r="U3176" t="s">
        <v>49549</v>
      </c>
      <c r="W3176" t="s">
        <v>42107</v>
      </c>
      <c r="X3176" t="s">
        <v>44909</v>
      </c>
    </row>
    <row r="3177" spans="1:24">
      <c r="A3177">
        <f>HYPERLINK("https://www.philgeps.gov.ph/GEPSNONPILOT/Tender/SplashBidNoticeAbstractUI.aspx?menuIndex=3&amp;refID=7079520&amp;Result=3","7079520")</f>
        <v>0</v>
      </c>
      <c r="B3177" t="s">
        <v>520</v>
      </c>
      <c r="C3177" t="s">
        <v>6558</v>
      </c>
      <c r="D3177" t="s">
        <v>18106</v>
      </c>
      <c r="E3177" t="s">
        <v>21073</v>
      </c>
      <c r="F3177" t="s">
        <v>31362</v>
      </c>
      <c r="G3177" t="s">
        <v>31369</v>
      </c>
      <c r="H3177" t="s">
        <v>15799</v>
      </c>
      <c r="I3177" t="s">
        <v>7090</v>
      </c>
      <c r="J3177" t="s">
        <v>33652</v>
      </c>
      <c r="K3177" t="s">
        <v>40699</v>
      </c>
      <c r="M3177" t="s">
        <v>41476</v>
      </c>
      <c r="N3177" t="s">
        <v>44905</v>
      </c>
      <c r="O3177" t="s">
        <v>44906</v>
      </c>
      <c r="P3177">
        <v>0</v>
      </c>
      <c r="Q3177">
        <v>3</v>
      </c>
      <c r="R3177" t="s">
        <v>44908</v>
      </c>
      <c r="S3177" t="s">
        <v>45042</v>
      </c>
      <c r="T3177" t="s">
        <v>46404</v>
      </c>
      <c r="U3177" t="s">
        <v>49550</v>
      </c>
      <c r="W3177" t="s">
        <v>41476</v>
      </c>
      <c r="X3177" t="s">
        <v>44909</v>
      </c>
    </row>
    <row r="3178" spans="1:24">
      <c r="A3178">
        <f>HYPERLINK("https://www.philgeps.gov.ph/GEPSNONPILOT/Tender/SplashBidNoticeAbstractUI.aspx?menuIndex=3&amp;refID=7079516&amp;Result=3","7079516")</f>
        <v>0</v>
      </c>
      <c r="B3178" t="s">
        <v>1200</v>
      </c>
      <c r="C3178" t="s">
        <v>6559</v>
      </c>
      <c r="D3178" t="s">
        <v>18122</v>
      </c>
      <c r="E3178" t="s">
        <v>21074</v>
      </c>
      <c r="F3178" t="s">
        <v>31362</v>
      </c>
      <c r="G3178" t="s">
        <v>31368</v>
      </c>
      <c r="H3178" t="s">
        <v>15799</v>
      </c>
      <c r="I3178" t="s">
        <v>31427</v>
      </c>
      <c r="J3178" t="s">
        <v>33248</v>
      </c>
      <c r="K3178" t="s">
        <v>40661</v>
      </c>
      <c r="M3178" t="s">
        <v>42212</v>
      </c>
      <c r="N3178" t="s">
        <v>44905</v>
      </c>
      <c r="O3178" t="s">
        <v>44906</v>
      </c>
      <c r="P3178">
        <v>0</v>
      </c>
      <c r="Q3178">
        <v>5</v>
      </c>
      <c r="R3178" t="s">
        <v>44908</v>
      </c>
      <c r="S3178" t="s">
        <v>45042</v>
      </c>
      <c r="T3178" t="s">
        <v>46426</v>
      </c>
      <c r="U3178" t="s">
        <v>49551</v>
      </c>
      <c r="W3178" t="s">
        <v>42212</v>
      </c>
      <c r="X3178" t="s">
        <v>44909</v>
      </c>
    </row>
    <row r="3179" spans="1:24">
      <c r="A3179">
        <f>HYPERLINK("https://www.philgeps.gov.ph/GEPSNONPILOT/Tender/SplashBidNoticeAbstractUI.aspx?menuIndex=3&amp;refID=7079504&amp;Result=3","7079504")</f>
        <v>0</v>
      </c>
      <c r="B3179" t="s">
        <v>1201</v>
      </c>
      <c r="C3179" t="s">
        <v>6560</v>
      </c>
      <c r="D3179" t="s">
        <v>18116</v>
      </c>
      <c r="E3179" t="s">
        <v>6560</v>
      </c>
      <c r="F3179" t="s">
        <v>31362</v>
      </c>
      <c r="G3179" t="s">
        <v>31370</v>
      </c>
      <c r="H3179" t="s">
        <v>15799</v>
      </c>
      <c r="I3179" t="s">
        <v>4942</v>
      </c>
      <c r="J3179" t="s">
        <v>32241</v>
      </c>
      <c r="K3179" t="s">
        <v>40662</v>
      </c>
      <c r="M3179" t="s">
        <v>42213</v>
      </c>
      <c r="N3179" t="s">
        <v>44905</v>
      </c>
      <c r="O3179" t="s">
        <v>44906</v>
      </c>
      <c r="P3179">
        <v>0</v>
      </c>
      <c r="Q3179">
        <v>0</v>
      </c>
      <c r="R3179" t="s">
        <v>44908</v>
      </c>
      <c r="S3179" t="s">
        <v>45042</v>
      </c>
      <c r="T3179" t="s">
        <v>46414</v>
      </c>
      <c r="U3179" t="s">
        <v>49552</v>
      </c>
      <c r="W3179" t="s">
        <v>42213</v>
      </c>
      <c r="X3179" t="s">
        <v>44909</v>
      </c>
    </row>
    <row r="3180" spans="1:24">
      <c r="A3180">
        <f>HYPERLINK("https://www.philgeps.gov.ph/GEPSNONPILOT/Tender/SplashBidNoticeAbstractUI.aspx?menuIndex=3&amp;refID=7079505&amp;Result=3","7079505")</f>
        <v>0</v>
      </c>
      <c r="B3180" t="s">
        <v>1193</v>
      </c>
      <c r="C3180" t="s">
        <v>6561</v>
      </c>
      <c r="D3180" t="s">
        <v>18130</v>
      </c>
      <c r="E3180" t="s">
        <v>21075</v>
      </c>
      <c r="F3180" t="s">
        <v>31362</v>
      </c>
      <c r="G3180" t="s">
        <v>31368</v>
      </c>
      <c r="H3180" t="s">
        <v>15799</v>
      </c>
      <c r="I3180" t="s">
        <v>31455</v>
      </c>
      <c r="J3180" t="s">
        <v>31545</v>
      </c>
      <c r="K3180" t="s">
        <v>40675</v>
      </c>
      <c r="M3180" t="s">
        <v>42205</v>
      </c>
      <c r="N3180" t="s">
        <v>44905</v>
      </c>
      <c r="O3180" t="s">
        <v>44906</v>
      </c>
      <c r="P3180">
        <v>0</v>
      </c>
      <c r="Q3180">
        <v>0</v>
      </c>
      <c r="R3180" t="s">
        <v>44908</v>
      </c>
      <c r="S3180" t="s">
        <v>45042</v>
      </c>
      <c r="T3180" t="s">
        <v>46409</v>
      </c>
      <c r="U3180" t="s">
        <v>49553</v>
      </c>
      <c r="W3180" t="s">
        <v>42205</v>
      </c>
      <c r="X3180" t="s">
        <v>44909</v>
      </c>
    </row>
    <row r="3181" spans="1:24">
      <c r="A3181">
        <f>HYPERLINK("https://www.philgeps.gov.ph/GEPSNONPILOT/Tender/SplashBidNoticeAbstractUI.aspx?menuIndex=3&amp;refID=7079543&amp;Result=3","7079543")</f>
        <v>0</v>
      </c>
      <c r="B3181" t="s">
        <v>1122</v>
      </c>
      <c r="C3181" t="s">
        <v>6562</v>
      </c>
      <c r="D3181" t="s">
        <v>18113</v>
      </c>
      <c r="E3181" t="s">
        <v>21076</v>
      </c>
      <c r="F3181" t="s">
        <v>31362</v>
      </c>
      <c r="G3181" t="s">
        <v>31368</v>
      </c>
      <c r="H3181" t="s">
        <v>15799</v>
      </c>
      <c r="I3181" t="s">
        <v>4057</v>
      </c>
      <c r="J3181" t="s">
        <v>32725</v>
      </c>
      <c r="K3181" t="s">
        <v>40665</v>
      </c>
      <c r="M3181" t="s">
        <v>42129</v>
      </c>
      <c r="N3181" t="s">
        <v>44905</v>
      </c>
      <c r="O3181" t="s">
        <v>44906</v>
      </c>
      <c r="P3181">
        <v>0</v>
      </c>
      <c r="Q3181">
        <v>0</v>
      </c>
      <c r="R3181" t="s">
        <v>44908</v>
      </c>
      <c r="S3181" t="s">
        <v>45042</v>
      </c>
      <c r="T3181" t="s">
        <v>46483</v>
      </c>
      <c r="U3181" t="s">
        <v>49554</v>
      </c>
      <c r="W3181" t="s">
        <v>42129</v>
      </c>
      <c r="X3181" t="s">
        <v>44909</v>
      </c>
    </row>
    <row r="3182" spans="1:24">
      <c r="A3182">
        <f>HYPERLINK("https://www.philgeps.gov.ph/GEPSNONPILOT/Tender/SplashBidNoticeAbstractUI.aspx?menuIndex=3&amp;refID=7079530&amp;Result=3","7079530")</f>
        <v>0</v>
      </c>
      <c r="B3182" t="s">
        <v>1202</v>
      </c>
      <c r="C3182" t="s">
        <v>6563</v>
      </c>
      <c r="D3182" t="s">
        <v>18164</v>
      </c>
      <c r="E3182" t="s">
        <v>21077</v>
      </c>
      <c r="F3182" t="s">
        <v>31362</v>
      </c>
      <c r="G3182" t="s">
        <v>31369</v>
      </c>
      <c r="H3182" t="s">
        <v>31378</v>
      </c>
      <c r="I3182" t="s">
        <v>31386</v>
      </c>
      <c r="J3182" t="s">
        <v>33653</v>
      </c>
      <c r="K3182" t="s">
        <v>40694</v>
      </c>
      <c r="L3182" t="s">
        <v>1202</v>
      </c>
      <c r="M3182" t="s">
        <v>42214</v>
      </c>
      <c r="N3182" t="s">
        <v>44905</v>
      </c>
      <c r="O3182" t="s">
        <v>44906</v>
      </c>
      <c r="P3182">
        <v>0</v>
      </c>
      <c r="Q3182">
        <v>0</v>
      </c>
      <c r="R3182" t="s">
        <v>44908</v>
      </c>
      <c r="S3182" t="s">
        <v>45042</v>
      </c>
      <c r="T3182" t="s">
        <v>46419</v>
      </c>
      <c r="U3182" t="s">
        <v>49555</v>
      </c>
      <c r="W3182" t="s">
        <v>42214</v>
      </c>
      <c r="X3182" t="s">
        <v>44909</v>
      </c>
    </row>
    <row r="3183" spans="1:24">
      <c r="A3183">
        <f>HYPERLINK("https://www.philgeps.gov.ph/GEPSNONPILOT/Tender/SplashBidNoticeAbstractUI.aspx?menuIndex=3&amp;refID=7079541&amp;Result=3","7079541")</f>
        <v>0</v>
      </c>
      <c r="B3183" t="s">
        <v>1173</v>
      </c>
      <c r="C3183" t="s">
        <v>6564</v>
      </c>
      <c r="D3183" t="s">
        <v>18174</v>
      </c>
      <c r="E3183" t="s">
        <v>21078</v>
      </c>
      <c r="F3183" t="s">
        <v>31362</v>
      </c>
      <c r="G3183" t="s">
        <v>31368</v>
      </c>
      <c r="H3183" t="s">
        <v>15799</v>
      </c>
      <c r="I3183" t="s">
        <v>3815</v>
      </c>
      <c r="J3183" t="s">
        <v>33654</v>
      </c>
      <c r="K3183" t="s">
        <v>40661</v>
      </c>
      <c r="M3183" t="s">
        <v>42183</v>
      </c>
      <c r="N3183" t="s">
        <v>44905</v>
      </c>
      <c r="O3183" t="s">
        <v>44906</v>
      </c>
      <c r="P3183">
        <v>0</v>
      </c>
      <c r="Q3183">
        <v>0</v>
      </c>
      <c r="R3183" t="s">
        <v>44908</v>
      </c>
      <c r="S3183" t="s">
        <v>45042</v>
      </c>
      <c r="T3183" t="s">
        <v>46404</v>
      </c>
      <c r="U3183" t="s">
        <v>49472</v>
      </c>
      <c r="W3183" t="s">
        <v>42183</v>
      </c>
      <c r="X3183" t="s">
        <v>44909</v>
      </c>
    </row>
    <row r="3184" spans="1:24">
      <c r="A3184">
        <f>HYPERLINK("https://www.philgeps.gov.ph/GEPSNONPILOT/Tender/SplashBidNoticeAbstractUI.aspx?menuIndex=3&amp;refID=7079537&amp;Result=3","7079537")</f>
        <v>0</v>
      </c>
      <c r="B3184" t="s">
        <v>1203</v>
      </c>
      <c r="C3184" t="s">
        <v>6565</v>
      </c>
      <c r="D3184" t="s">
        <v>18126</v>
      </c>
      <c r="E3184" t="s">
        <v>21079</v>
      </c>
      <c r="F3184" t="s">
        <v>31362</v>
      </c>
      <c r="G3184" t="s">
        <v>31368</v>
      </c>
      <c r="H3184" t="s">
        <v>15799</v>
      </c>
      <c r="I3184" t="s">
        <v>31383</v>
      </c>
      <c r="J3184" t="s">
        <v>33655</v>
      </c>
      <c r="K3184" t="s">
        <v>40661</v>
      </c>
      <c r="M3184" t="s">
        <v>42215</v>
      </c>
      <c r="N3184" t="s">
        <v>44905</v>
      </c>
      <c r="O3184" t="s">
        <v>44906</v>
      </c>
      <c r="P3184">
        <v>0</v>
      </c>
      <c r="Q3184">
        <v>0</v>
      </c>
      <c r="R3184" t="s">
        <v>44908</v>
      </c>
      <c r="S3184" t="s">
        <v>45042</v>
      </c>
      <c r="T3184" t="s">
        <v>46497</v>
      </c>
      <c r="U3184" t="s">
        <v>49556</v>
      </c>
      <c r="W3184" t="s">
        <v>42215</v>
      </c>
      <c r="X3184" t="s">
        <v>44909</v>
      </c>
    </row>
    <row r="3185" spans="1:24">
      <c r="A3185">
        <f>HYPERLINK("https://www.philgeps.gov.ph/GEPSNONPILOT/Tender/SplashBidNoticeAbstractUI.aspx?menuIndex=3&amp;refID=7079536&amp;Result=3","7079536")</f>
        <v>0</v>
      </c>
      <c r="B3185" t="s">
        <v>1193</v>
      </c>
      <c r="C3185" t="s">
        <v>6566</v>
      </c>
      <c r="D3185" t="s">
        <v>18113</v>
      </c>
      <c r="E3185" t="s">
        <v>21080</v>
      </c>
      <c r="F3185" t="s">
        <v>31362</v>
      </c>
      <c r="G3185" t="s">
        <v>31368</v>
      </c>
      <c r="H3185" t="s">
        <v>15799</v>
      </c>
      <c r="I3185" t="s">
        <v>7090</v>
      </c>
      <c r="J3185" t="s">
        <v>33656</v>
      </c>
      <c r="K3185" t="s">
        <v>40675</v>
      </c>
      <c r="M3185" t="s">
        <v>42205</v>
      </c>
      <c r="N3185" t="s">
        <v>44905</v>
      </c>
      <c r="O3185" t="s">
        <v>44906</v>
      </c>
      <c r="P3185">
        <v>0</v>
      </c>
      <c r="Q3185">
        <v>0</v>
      </c>
      <c r="R3185" t="s">
        <v>44908</v>
      </c>
      <c r="S3185" t="s">
        <v>45042</v>
      </c>
      <c r="T3185" t="s">
        <v>46409</v>
      </c>
      <c r="U3185" t="s">
        <v>49557</v>
      </c>
      <c r="W3185" t="s">
        <v>42205</v>
      </c>
      <c r="X3185" t="s">
        <v>44909</v>
      </c>
    </row>
    <row r="3186" spans="1:24">
      <c r="A3186">
        <f>HYPERLINK("https://www.philgeps.gov.ph/GEPSNONPILOT/Tender/SplashBidNoticeAbstractUI.aspx?menuIndex=3&amp;refID=7079528&amp;Result=3","7079528")</f>
        <v>0</v>
      </c>
      <c r="B3186" t="s">
        <v>972</v>
      </c>
      <c r="C3186" t="s">
        <v>6567</v>
      </c>
      <c r="D3186" t="s">
        <v>18141</v>
      </c>
      <c r="E3186" t="s">
        <v>21081</v>
      </c>
      <c r="F3186" t="s">
        <v>31362</v>
      </c>
      <c r="G3186" t="s">
        <v>31369</v>
      </c>
      <c r="H3186" t="s">
        <v>31378</v>
      </c>
      <c r="I3186" t="s">
        <v>31386</v>
      </c>
      <c r="J3186" t="s">
        <v>33657</v>
      </c>
      <c r="K3186" t="s">
        <v>40682</v>
      </c>
      <c r="M3186" t="s">
        <v>42216</v>
      </c>
      <c r="N3186" t="s">
        <v>44905</v>
      </c>
      <c r="O3186" t="s">
        <v>44906</v>
      </c>
      <c r="P3186">
        <v>0</v>
      </c>
      <c r="Q3186">
        <v>0</v>
      </c>
      <c r="R3186" t="s">
        <v>44908</v>
      </c>
      <c r="S3186" t="s">
        <v>45042</v>
      </c>
      <c r="T3186" t="s">
        <v>46449</v>
      </c>
      <c r="U3186" t="s">
        <v>49558</v>
      </c>
      <c r="W3186" t="s">
        <v>42216</v>
      </c>
      <c r="X3186" t="s">
        <v>44909</v>
      </c>
    </row>
    <row r="3187" spans="1:24">
      <c r="A3187">
        <f>HYPERLINK("https://www.philgeps.gov.ph/GEPSNONPILOT/Tender/SplashBidNoticeAbstractUI.aspx?menuIndex=3&amp;refID=7079540&amp;Result=3","7079540")</f>
        <v>0</v>
      </c>
      <c r="B3187" t="s">
        <v>1204</v>
      </c>
      <c r="C3187" t="s">
        <v>6568</v>
      </c>
      <c r="D3187" t="s">
        <v>18181</v>
      </c>
      <c r="E3187" t="s">
        <v>21082</v>
      </c>
      <c r="F3187" t="s">
        <v>31362</v>
      </c>
      <c r="G3187" t="s">
        <v>31369</v>
      </c>
      <c r="H3187" t="s">
        <v>31378</v>
      </c>
      <c r="I3187" t="s">
        <v>31386</v>
      </c>
      <c r="J3187" t="s">
        <v>31696</v>
      </c>
      <c r="K3187" t="s">
        <v>40683</v>
      </c>
      <c r="M3187" t="s">
        <v>42217</v>
      </c>
      <c r="N3187" t="s">
        <v>44905</v>
      </c>
      <c r="O3187" t="s">
        <v>44906</v>
      </c>
      <c r="P3187">
        <v>0</v>
      </c>
      <c r="Q3187">
        <v>1</v>
      </c>
      <c r="R3187" t="s">
        <v>44908</v>
      </c>
      <c r="S3187" t="s">
        <v>45042</v>
      </c>
      <c r="T3187" t="s">
        <v>46449</v>
      </c>
      <c r="U3187" t="s">
        <v>49559</v>
      </c>
      <c r="W3187" t="s">
        <v>42217</v>
      </c>
      <c r="X3187" t="s">
        <v>44909</v>
      </c>
    </row>
    <row r="3188" spans="1:24">
      <c r="A3188">
        <f>HYPERLINK("https://www.philgeps.gov.ph/GEPSNONPILOT/Tender/SplashBidNoticeAbstractUI.aspx?menuIndex=3&amp;refID=7079534&amp;Result=3","7079534")</f>
        <v>0</v>
      </c>
      <c r="B3188" t="s">
        <v>1164</v>
      </c>
      <c r="C3188" t="s">
        <v>6569</v>
      </c>
      <c r="D3188" t="s">
        <v>18111</v>
      </c>
      <c r="E3188" t="s">
        <v>21083</v>
      </c>
      <c r="F3188" t="s">
        <v>31362</v>
      </c>
      <c r="G3188" t="s">
        <v>31370</v>
      </c>
      <c r="H3188" t="s">
        <v>15799</v>
      </c>
      <c r="I3188" t="s">
        <v>31385</v>
      </c>
      <c r="J3188" t="s">
        <v>33658</v>
      </c>
      <c r="K3188" t="s">
        <v>40670</v>
      </c>
      <c r="M3188" t="s">
        <v>42174</v>
      </c>
      <c r="N3188" t="s">
        <v>44905</v>
      </c>
      <c r="O3188" t="s">
        <v>44906</v>
      </c>
      <c r="P3188">
        <v>0</v>
      </c>
      <c r="Q3188">
        <v>3</v>
      </c>
      <c r="R3188" t="s">
        <v>44908</v>
      </c>
      <c r="S3188" t="s">
        <v>45042</v>
      </c>
      <c r="T3188" t="s">
        <v>46414</v>
      </c>
      <c r="U3188" t="s">
        <v>49454</v>
      </c>
      <c r="W3188" t="s">
        <v>42174</v>
      </c>
      <c r="X3188" t="s">
        <v>44909</v>
      </c>
    </row>
    <row r="3189" spans="1:24">
      <c r="A3189">
        <f>HYPERLINK("https://www.philgeps.gov.ph/GEPSNONPILOT/Tender/SplashBidNoticeAbstractUI.aspx?menuIndex=3&amp;refID=7079531&amp;Result=3","7079531")</f>
        <v>0</v>
      </c>
      <c r="B3189" t="s">
        <v>518</v>
      </c>
      <c r="C3189" t="s">
        <v>6570</v>
      </c>
      <c r="D3189" t="s">
        <v>18131</v>
      </c>
      <c r="E3189" t="s">
        <v>21084</v>
      </c>
      <c r="F3189" t="s">
        <v>31362</v>
      </c>
      <c r="G3189" t="s">
        <v>31368</v>
      </c>
      <c r="H3189" t="s">
        <v>15799</v>
      </c>
      <c r="I3189" t="s">
        <v>31427</v>
      </c>
      <c r="J3189" t="s">
        <v>33659</v>
      </c>
      <c r="K3189" t="s">
        <v>40662</v>
      </c>
      <c r="M3189" t="s">
        <v>41474</v>
      </c>
      <c r="N3189" t="s">
        <v>44905</v>
      </c>
      <c r="O3189" t="s">
        <v>44906</v>
      </c>
      <c r="P3189">
        <v>0</v>
      </c>
      <c r="Q3189">
        <v>2</v>
      </c>
      <c r="R3189" t="s">
        <v>44908</v>
      </c>
      <c r="S3189" t="s">
        <v>45042</v>
      </c>
      <c r="T3189" t="s">
        <v>46435</v>
      </c>
      <c r="U3189" t="s">
        <v>49560</v>
      </c>
      <c r="W3189" t="s">
        <v>41474</v>
      </c>
      <c r="X3189" t="s">
        <v>44909</v>
      </c>
    </row>
    <row r="3190" spans="1:24">
      <c r="A3190">
        <f>HYPERLINK("https://www.philgeps.gov.ph/GEPSNONPILOT/Tender/SplashBidNoticeAbstractUI.aspx?menuIndex=3&amp;refID=7079553&amp;Result=3","7079553")</f>
        <v>0</v>
      </c>
      <c r="B3190" t="s">
        <v>1205</v>
      </c>
      <c r="C3190" t="s">
        <v>6571</v>
      </c>
      <c r="D3190" t="s">
        <v>18134</v>
      </c>
      <c r="E3190" t="s">
        <v>21085</v>
      </c>
      <c r="F3190" t="s">
        <v>31362</v>
      </c>
      <c r="G3190" t="s">
        <v>31371</v>
      </c>
      <c r="H3190" t="s">
        <v>15799</v>
      </c>
      <c r="I3190" t="s">
        <v>31385</v>
      </c>
      <c r="J3190" t="s">
        <v>33660</v>
      </c>
      <c r="K3190" t="s">
        <v>40666</v>
      </c>
      <c r="M3190" t="s">
        <v>42218</v>
      </c>
      <c r="N3190" t="s">
        <v>44905</v>
      </c>
      <c r="O3190" t="s">
        <v>44906</v>
      </c>
      <c r="P3190">
        <v>0</v>
      </c>
      <c r="Q3190">
        <v>2</v>
      </c>
      <c r="R3190" t="s">
        <v>44908</v>
      </c>
      <c r="S3190" t="s">
        <v>45042</v>
      </c>
      <c r="T3190" t="s">
        <v>46409</v>
      </c>
      <c r="U3190" t="s">
        <v>49561</v>
      </c>
      <c r="W3190" t="s">
        <v>42218</v>
      </c>
      <c r="X3190" t="s">
        <v>44909</v>
      </c>
    </row>
    <row r="3191" spans="1:24">
      <c r="A3191">
        <f>HYPERLINK("https://www.philgeps.gov.ph/GEPSNONPILOT/Tender/SplashBidNoticeAbstractUI.aspx?menuIndex=3&amp;refID=7079532&amp;Result=3","7079532")</f>
        <v>0</v>
      </c>
      <c r="B3191" t="s">
        <v>1154</v>
      </c>
      <c r="C3191" t="s">
        <v>6572</v>
      </c>
      <c r="D3191" t="s">
        <v>18108</v>
      </c>
      <c r="E3191" t="s">
        <v>21086</v>
      </c>
      <c r="F3191" t="s">
        <v>31362</v>
      </c>
      <c r="G3191" t="s">
        <v>31368</v>
      </c>
      <c r="H3191" t="s">
        <v>31378</v>
      </c>
      <c r="I3191" t="s">
        <v>31386</v>
      </c>
      <c r="J3191" t="s">
        <v>33661</v>
      </c>
      <c r="K3191" t="s">
        <v>40661</v>
      </c>
      <c r="M3191" t="s">
        <v>42163</v>
      </c>
      <c r="N3191" t="s">
        <v>44905</v>
      </c>
      <c r="O3191" t="s">
        <v>44906</v>
      </c>
      <c r="P3191">
        <v>0</v>
      </c>
      <c r="Q3191">
        <v>0</v>
      </c>
      <c r="R3191" t="s">
        <v>44908</v>
      </c>
      <c r="S3191" t="s">
        <v>45042</v>
      </c>
      <c r="T3191" t="s">
        <v>46639</v>
      </c>
      <c r="U3191" t="s">
        <v>49562</v>
      </c>
      <c r="W3191" t="s">
        <v>42163</v>
      </c>
      <c r="X3191" t="s">
        <v>44909</v>
      </c>
    </row>
    <row r="3192" spans="1:24">
      <c r="A3192">
        <f>HYPERLINK("https://www.philgeps.gov.ph/GEPSNONPILOT/Tender/SplashBidNoticeAbstractUI.aspx?menuIndex=3&amp;refID=7079551&amp;Result=3","7079551")</f>
        <v>0</v>
      </c>
      <c r="B3192" t="s">
        <v>440</v>
      </c>
      <c r="C3192" t="s">
        <v>6573</v>
      </c>
      <c r="D3192" t="s">
        <v>18154</v>
      </c>
      <c r="E3192" t="s">
        <v>21087</v>
      </c>
      <c r="F3192" t="s">
        <v>31362</v>
      </c>
      <c r="G3192" t="s">
        <v>31372</v>
      </c>
      <c r="H3192" t="s">
        <v>31378</v>
      </c>
      <c r="I3192" t="s">
        <v>31386</v>
      </c>
      <c r="J3192" t="s">
        <v>33662</v>
      </c>
      <c r="K3192" t="s">
        <v>40662</v>
      </c>
      <c r="M3192" t="s">
        <v>41604</v>
      </c>
      <c r="N3192" t="s">
        <v>44905</v>
      </c>
      <c r="O3192" t="s">
        <v>44906</v>
      </c>
      <c r="P3192">
        <v>0</v>
      </c>
      <c r="Q3192">
        <v>0</v>
      </c>
      <c r="R3192" t="s">
        <v>44908</v>
      </c>
      <c r="S3192" t="s">
        <v>45042</v>
      </c>
      <c r="T3192" t="s">
        <v>46392</v>
      </c>
      <c r="U3192" t="s">
        <v>49563</v>
      </c>
      <c r="W3192" t="s">
        <v>41604</v>
      </c>
      <c r="X3192" t="s">
        <v>44909</v>
      </c>
    </row>
    <row r="3193" spans="1:24">
      <c r="A3193">
        <f>HYPERLINK("https://www.philgeps.gov.ph/GEPSNONPILOT/Tender/SplashBidNoticeAbstractUI.aspx?menuIndex=3&amp;refID=7079533&amp;Result=3","7079533")</f>
        <v>0</v>
      </c>
      <c r="B3193" t="s">
        <v>1206</v>
      </c>
      <c r="C3193" t="s">
        <v>6574</v>
      </c>
      <c r="D3193" t="s">
        <v>18118</v>
      </c>
      <c r="E3193" t="s">
        <v>21088</v>
      </c>
      <c r="F3193" t="s">
        <v>31362</v>
      </c>
      <c r="G3193" t="s">
        <v>31368</v>
      </c>
      <c r="H3193" t="s">
        <v>15799</v>
      </c>
      <c r="I3193" t="s">
        <v>3815</v>
      </c>
      <c r="J3193" t="s">
        <v>33663</v>
      </c>
      <c r="K3193" t="s">
        <v>40697</v>
      </c>
      <c r="M3193" t="s">
        <v>42219</v>
      </c>
      <c r="N3193" t="s">
        <v>44905</v>
      </c>
      <c r="O3193" t="s">
        <v>44906</v>
      </c>
      <c r="P3193">
        <v>0</v>
      </c>
      <c r="Q3193">
        <v>0</v>
      </c>
      <c r="R3193" t="s">
        <v>44908</v>
      </c>
      <c r="S3193" t="s">
        <v>45042</v>
      </c>
      <c r="T3193" t="s">
        <v>46592</v>
      </c>
      <c r="U3193" t="s">
        <v>49564</v>
      </c>
      <c r="W3193" t="s">
        <v>42219</v>
      </c>
      <c r="X3193" t="s">
        <v>44909</v>
      </c>
    </row>
    <row r="3194" spans="1:24">
      <c r="A3194">
        <f>HYPERLINK("https://www.philgeps.gov.ph/GEPSNONPILOT/Tender/SplashBidNoticeAbstractUI.aspx?menuIndex=3&amp;refID=7079552&amp;Result=3","7079552")</f>
        <v>0</v>
      </c>
      <c r="B3194" t="s">
        <v>412</v>
      </c>
      <c r="C3194" t="s">
        <v>6575</v>
      </c>
      <c r="D3194" t="s">
        <v>18127</v>
      </c>
      <c r="E3194" t="s">
        <v>21089</v>
      </c>
      <c r="F3194" t="s">
        <v>31362</v>
      </c>
      <c r="G3194" t="s">
        <v>31369</v>
      </c>
      <c r="H3194" t="s">
        <v>15799</v>
      </c>
      <c r="I3194" t="s">
        <v>4283</v>
      </c>
      <c r="J3194" t="s">
        <v>33664</v>
      </c>
      <c r="K3194" t="s">
        <v>40666</v>
      </c>
      <c r="M3194" t="s">
        <v>41362</v>
      </c>
      <c r="N3194" t="s">
        <v>44905</v>
      </c>
      <c r="O3194" t="s">
        <v>44906</v>
      </c>
      <c r="P3194">
        <v>0</v>
      </c>
      <c r="Q3194">
        <v>2</v>
      </c>
      <c r="R3194" t="s">
        <v>44908</v>
      </c>
      <c r="S3194" t="s">
        <v>45042</v>
      </c>
      <c r="T3194" t="s">
        <v>46504</v>
      </c>
      <c r="U3194" t="s">
        <v>49565</v>
      </c>
      <c r="V3194" t="s">
        <v>59162</v>
      </c>
      <c r="W3194" t="s">
        <v>41362</v>
      </c>
      <c r="X3194" t="s">
        <v>44909</v>
      </c>
    </row>
    <row r="3195" spans="1:24">
      <c r="A3195">
        <f>HYPERLINK("https://www.philgeps.gov.ph/GEPSNONPILOT/Tender/SplashBidNoticeAbstractUI.aspx?menuIndex=3&amp;refID=7079560&amp;Result=3","7079560")</f>
        <v>0</v>
      </c>
      <c r="B3195" t="s">
        <v>675</v>
      </c>
      <c r="C3195" t="s">
        <v>6576</v>
      </c>
      <c r="D3195" t="s">
        <v>18111</v>
      </c>
      <c r="E3195" t="s">
        <v>21090</v>
      </c>
      <c r="F3195" t="s">
        <v>31362</v>
      </c>
      <c r="G3195" t="s">
        <v>31368</v>
      </c>
      <c r="H3195" t="s">
        <v>15799</v>
      </c>
      <c r="I3195" t="s">
        <v>31385</v>
      </c>
      <c r="J3195" t="s">
        <v>33665</v>
      </c>
      <c r="K3195" t="s">
        <v>40662</v>
      </c>
      <c r="M3195" t="s">
        <v>41637</v>
      </c>
      <c r="N3195" t="s">
        <v>44905</v>
      </c>
      <c r="O3195" t="s">
        <v>44906</v>
      </c>
      <c r="P3195">
        <v>0</v>
      </c>
      <c r="Q3195">
        <v>3</v>
      </c>
      <c r="R3195" t="s">
        <v>44908</v>
      </c>
      <c r="S3195" t="s">
        <v>45042</v>
      </c>
      <c r="T3195" t="s">
        <v>46483</v>
      </c>
      <c r="U3195" t="s">
        <v>48808</v>
      </c>
      <c r="W3195" t="s">
        <v>41637</v>
      </c>
      <c r="X3195" t="s">
        <v>44909</v>
      </c>
    </row>
    <row r="3196" spans="1:24">
      <c r="A3196">
        <f>HYPERLINK("https://www.philgeps.gov.ph/GEPSNONPILOT/Tender/SplashBidNoticeAbstractUI.aspx?menuIndex=3&amp;refID=7079550&amp;Result=3","7079550")</f>
        <v>0</v>
      </c>
      <c r="B3196" t="s">
        <v>982</v>
      </c>
      <c r="C3196" t="s">
        <v>6577</v>
      </c>
      <c r="D3196" t="s">
        <v>18106</v>
      </c>
      <c r="E3196" t="s">
        <v>21091</v>
      </c>
      <c r="F3196" t="s">
        <v>31362</v>
      </c>
      <c r="G3196" t="s">
        <v>31368</v>
      </c>
      <c r="H3196" t="s">
        <v>15799</v>
      </c>
      <c r="I3196" t="s">
        <v>31422</v>
      </c>
      <c r="J3196" t="s">
        <v>33666</v>
      </c>
      <c r="K3196" t="s">
        <v>40672</v>
      </c>
      <c r="M3196" t="s">
        <v>41974</v>
      </c>
      <c r="N3196" t="s">
        <v>44905</v>
      </c>
      <c r="O3196" t="s">
        <v>44906</v>
      </c>
      <c r="P3196">
        <v>0</v>
      </c>
      <c r="Q3196">
        <v>2</v>
      </c>
      <c r="R3196" t="s">
        <v>44908</v>
      </c>
      <c r="S3196" t="s">
        <v>45042</v>
      </c>
      <c r="T3196" t="s">
        <v>46409</v>
      </c>
      <c r="U3196" t="s">
        <v>49018</v>
      </c>
      <c r="W3196" t="s">
        <v>41974</v>
      </c>
      <c r="X3196" t="s">
        <v>44909</v>
      </c>
    </row>
    <row r="3197" spans="1:24">
      <c r="A3197">
        <f>HYPERLINK("https://www.philgeps.gov.ph/GEPSNONPILOT/Tender/SplashBidNoticeAbstractUI.aspx?menuIndex=3&amp;refID=7079549&amp;Result=3","7079549")</f>
        <v>0</v>
      </c>
      <c r="B3197" t="s">
        <v>1207</v>
      </c>
      <c r="C3197" t="s">
        <v>6578</v>
      </c>
      <c r="D3197" t="s">
        <v>18106</v>
      </c>
      <c r="E3197" t="s">
        <v>19844</v>
      </c>
      <c r="F3197" t="s">
        <v>31365</v>
      </c>
      <c r="G3197" t="s">
        <v>31369</v>
      </c>
      <c r="H3197" t="s">
        <v>31378</v>
      </c>
      <c r="I3197" t="s">
        <v>31386</v>
      </c>
      <c r="J3197" t="s">
        <v>31578</v>
      </c>
      <c r="K3197" t="s">
        <v>40665</v>
      </c>
      <c r="M3197" t="s">
        <v>42220</v>
      </c>
      <c r="N3197" t="s">
        <v>44905</v>
      </c>
      <c r="O3197" t="s">
        <v>44906</v>
      </c>
      <c r="P3197">
        <v>0</v>
      </c>
      <c r="Q3197">
        <v>0</v>
      </c>
      <c r="R3197" t="s">
        <v>44908</v>
      </c>
      <c r="S3197" t="s">
        <v>45042</v>
      </c>
      <c r="T3197" t="s">
        <v>46613</v>
      </c>
      <c r="U3197" t="s">
        <v>49566</v>
      </c>
      <c r="W3197" t="s">
        <v>42220</v>
      </c>
      <c r="X3197" t="s">
        <v>44909</v>
      </c>
    </row>
    <row r="3198" spans="1:24">
      <c r="A3198">
        <f>HYPERLINK("https://www.philgeps.gov.ph/GEPSNONPILOT/Tender/SplashBidNoticeAbstractUI.aspx?menuIndex=3&amp;refID=7079556&amp;Result=3","7079556")</f>
        <v>0</v>
      </c>
      <c r="B3198" t="s">
        <v>1193</v>
      </c>
      <c r="C3198" t="s">
        <v>6579</v>
      </c>
      <c r="D3198" t="s">
        <v>18113</v>
      </c>
      <c r="E3198" t="s">
        <v>21092</v>
      </c>
      <c r="F3198" t="s">
        <v>31362</v>
      </c>
      <c r="G3198" t="s">
        <v>31368</v>
      </c>
      <c r="H3198" t="s">
        <v>15799</v>
      </c>
      <c r="I3198" t="s">
        <v>7090</v>
      </c>
      <c r="J3198" t="s">
        <v>33667</v>
      </c>
      <c r="K3198" t="s">
        <v>40675</v>
      </c>
      <c r="M3198" t="s">
        <v>42205</v>
      </c>
      <c r="N3198" t="s">
        <v>44905</v>
      </c>
      <c r="O3198" t="s">
        <v>44906</v>
      </c>
      <c r="P3198">
        <v>0</v>
      </c>
      <c r="Q3198">
        <v>0</v>
      </c>
      <c r="R3198" t="s">
        <v>44908</v>
      </c>
      <c r="S3198" t="s">
        <v>45042</v>
      </c>
      <c r="T3198" t="s">
        <v>46409</v>
      </c>
      <c r="U3198" t="s">
        <v>49567</v>
      </c>
      <c r="W3198" t="s">
        <v>42205</v>
      </c>
      <c r="X3198" t="s">
        <v>44909</v>
      </c>
    </row>
    <row r="3199" spans="1:24">
      <c r="A3199">
        <f>HYPERLINK("https://www.philgeps.gov.ph/GEPSNONPILOT/Tender/SplashBidNoticeAbstractUI.aspx?menuIndex=3&amp;refID=7079554&amp;Result=3","7079554")</f>
        <v>0</v>
      </c>
      <c r="B3199" t="s">
        <v>1208</v>
      </c>
      <c r="C3199" t="s">
        <v>6580</v>
      </c>
      <c r="D3199" t="s">
        <v>18100</v>
      </c>
      <c r="E3199" t="s">
        <v>18479</v>
      </c>
      <c r="F3199" t="s">
        <v>31362</v>
      </c>
      <c r="G3199" t="s">
        <v>31368</v>
      </c>
      <c r="H3199" t="s">
        <v>15799</v>
      </c>
      <c r="I3199" t="s">
        <v>6865</v>
      </c>
      <c r="J3199" t="s">
        <v>33668</v>
      </c>
      <c r="K3199" t="s">
        <v>40670</v>
      </c>
      <c r="M3199" t="s">
        <v>42221</v>
      </c>
      <c r="N3199" t="s">
        <v>44905</v>
      </c>
      <c r="O3199" t="s">
        <v>44906</v>
      </c>
      <c r="P3199">
        <v>0</v>
      </c>
      <c r="Q3199">
        <v>2</v>
      </c>
      <c r="R3199" t="s">
        <v>44908</v>
      </c>
      <c r="S3199" t="s">
        <v>45042</v>
      </c>
      <c r="T3199" t="s">
        <v>46645</v>
      </c>
      <c r="U3199" t="s">
        <v>49568</v>
      </c>
      <c r="V3199" t="s">
        <v>59392</v>
      </c>
      <c r="W3199" t="s">
        <v>42221</v>
      </c>
      <c r="X3199" t="s">
        <v>44909</v>
      </c>
    </row>
    <row r="3200" spans="1:24">
      <c r="A3200">
        <f>HYPERLINK("https://www.philgeps.gov.ph/GEPSNONPILOT/Tender/SplashBidNoticeAbstractUI.aspx?menuIndex=3&amp;refID=7079577&amp;Result=3","7079577")</f>
        <v>0</v>
      </c>
      <c r="B3200" t="s">
        <v>972</v>
      </c>
      <c r="C3200" t="s">
        <v>6581</v>
      </c>
      <c r="D3200" t="s">
        <v>18141</v>
      </c>
      <c r="E3200" t="s">
        <v>21093</v>
      </c>
      <c r="F3200" t="s">
        <v>31362</v>
      </c>
      <c r="G3200" t="s">
        <v>31369</v>
      </c>
      <c r="H3200" t="s">
        <v>31378</v>
      </c>
      <c r="I3200" t="s">
        <v>31386</v>
      </c>
      <c r="J3200" t="s">
        <v>33669</v>
      </c>
      <c r="K3200" t="s">
        <v>40665</v>
      </c>
      <c r="M3200" t="s">
        <v>42216</v>
      </c>
      <c r="N3200" t="s">
        <v>44905</v>
      </c>
      <c r="O3200" t="s">
        <v>44906</v>
      </c>
      <c r="P3200">
        <v>0</v>
      </c>
      <c r="Q3200">
        <v>0</v>
      </c>
      <c r="R3200" t="s">
        <v>44908</v>
      </c>
      <c r="S3200" t="s">
        <v>45042</v>
      </c>
      <c r="T3200" t="s">
        <v>46449</v>
      </c>
      <c r="U3200" t="s">
        <v>49558</v>
      </c>
      <c r="W3200" t="s">
        <v>42216</v>
      </c>
      <c r="X3200" t="s">
        <v>44909</v>
      </c>
    </row>
    <row r="3201" spans="1:24">
      <c r="A3201">
        <f>HYPERLINK("https://www.philgeps.gov.ph/GEPSNONPILOT/Tender/SplashBidNoticeAbstractUI.aspx?menuIndex=3&amp;refID=7079572&amp;Result=3","7079572")</f>
        <v>0</v>
      </c>
      <c r="B3201" t="s">
        <v>440</v>
      </c>
      <c r="C3201" t="s">
        <v>6582</v>
      </c>
      <c r="D3201" t="s">
        <v>18154</v>
      </c>
      <c r="E3201" t="s">
        <v>21094</v>
      </c>
      <c r="F3201" t="s">
        <v>31362</v>
      </c>
      <c r="G3201" t="s">
        <v>31372</v>
      </c>
      <c r="H3201" t="s">
        <v>31378</v>
      </c>
      <c r="I3201" t="s">
        <v>31386</v>
      </c>
      <c r="J3201" t="s">
        <v>33670</v>
      </c>
      <c r="K3201" t="s">
        <v>40662</v>
      </c>
      <c r="M3201" t="s">
        <v>41604</v>
      </c>
      <c r="N3201" t="s">
        <v>44905</v>
      </c>
      <c r="O3201" t="s">
        <v>44906</v>
      </c>
      <c r="P3201">
        <v>0</v>
      </c>
      <c r="Q3201">
        <v>0</v>
      </c>
      <c r="R3201" t="s">
        <v>44908</v>
      </c>
      <c r="S3201" t="s">
        <v>45042</v>
      </c>
      <c r="T3201" t="s">
        <v>46392</v>
      </c>
      <c r="U3201" t="s">
        <v>49569</v>
      </c>
      <c r="W3201" t="s">
        <v>41604</v>
      </c>
      <c r="X3201" t="s">
        <v>44909</v>
      </c>
    </row>
    <row r="3202" spans="1:24">
      <c r="A3202">
        <f>HYPERLINK("https://www.philgeps.gov.ph/GEPSNONPILOT/Tender/SplashBidNoticeAbstractUI.aspx?menuIndex=3&amp;refID=7079583&amp;Result=3","7079583")</f>
        <v>0</v>
      </c>
      <c r="B3202" t="s">
        <v>1184</v>
      </c>
      <c r="C3202" t="s">
        <v>6583</v>
      </c>
      <c r="D3202" t="s">
        <v>18119</v>
      </c>
      <c r="E3202" t="s">
        <v>21095</v>
      </c>
      <c r="F3202" t="s">
        <v>31362</v>
      </c>
      <c r="G3202" t="s">
        <v>31368</v>
      </c>
      <c r="H3202" t="s">
        <v>15799</v>
      </c>
      <c r="I3202" t="s">
        <v>7090</v>
      </c>
      <c r="J3202" t="s">
        <v>33671</v>
      </c>
      <c r="K3202" t="s">
        <v>40670</v>
      </c>
      <c r="M3202" t="s">
        <v>42196</v>
      </c>
      <c r="N3202" t="s">
        <v>44905</v>
      </c>
      <c r="O3202" t="s">
        <v>44906</v>
      </c>
      <c r="P3202">
        <v>0</v>
      </c>
      <c r="Q3202">
        <v>0</v>
      </c>
      <c r="R3202" t="s">
        <v>44908</v>
      </c>
      <c r="S3202" t="s">
        <v>45042</v>
      </c>
      <c r="T3202" t="s">
        <v>46447</v>
      </c>
      <c r="U3202" t="s">
        <v>49570</v>
      </c>
      <c r="W3202" t="s">
        <v>42196</v>
      </c>
      <c r="X3202" t="s">
        <v>44909</v>
      </c>
    </row>
    <row r="3203" spans="1:24">
      <c r="A3203">
        <f>HYPERLINK("https://www.philgeps.gov.ph/GEPSNONPILOT/Tender/SplashBidNoticeAbstractUI.aspx?menuIndex=3&amp;refID=7079581&amp;Result=3","7079581")</f>
        <v>0</v>
      </c>
      <c r="B3203" t="s">
        <v>521</v>
      </c>
      <c r="C3203" t="s">
        <v>6584</v>
      </c>
      <c r="D3203" t="s">
        <v>18107</v>
      </c>
      <c r="E3203" t="s">
        <v>21096</v>
      </c>
      <c r="F3203" t="s">
        <v>31362</v>
      </c>
      <c r="G3203" t="s">
        <v>31368</v>
      </c>
      <c r="H3203" t="s">
        <v>15799</v>
      </c>
      <c r="I3203" t="s">
        <v>31380</v>
      </c>
      <c r="J3203" t="s">
        <v>31738</v>
      </c>
      <c r="K3203" t="s">
        <v>40661</v>
      </c>
      <c r="M3203" t="s">
        <v>41477</v>
      </c>
      <c r="N3203" t="s">
        <v>44905</v>
      </c>
      <c r="O3203" t="s">
        <v>44906</v>
      </c>
      <c r="P3203">
        <v>0</v>
      </c>
      <c r="Q3203">
        <v>2</v>
      </c>
      <c r="R3203" t="s">
        <v>44908</v>
      </c>
      <c r="S3203" t="s">
        <v>45042</v>
      </c>
      <c r="T3203" t="s">
        <v>46432</v>
      </c>
      <c r="U3203" t="s">
        <v>49571</v>
      </c>
      <c r="W3203" t="s">
        <v>60857</v>
      </c>
      <c r="X3203" t="s">
        <v>44909</v>
      </c>
    </row>
    <row r="3204" spans="1:24">
      <c r="A3204">
        <f>HYPERLINK("https://www.philgeps.gov.ph/GEPSNONPILOT/Tender/SplashBidNoticeAbstractUI.aspx?menuIndex=3&amp;refID=7079546&amp;Result=3","7079546")</f>
        <v>0</v>
      </c>
      <c r="B3204" t="s">
        <v>1209</v>
      </c>
      <c r="C3204" t="s">
        <v>6585</v>
      </c>
      <c r="D3204" t="s">
        <v>18117</v>
      </c>
      <c r="E3204" t="s">
        <v>21097</v>
      </c>
      <c r="F3204" t="s">
        <v>31362</v>
      </c>
      <c r="G3204" t="s">
        <v>31368</v>
      </c>
      <c r="H3204" t="s">
        <v>31379</v>
      </c>
      <c r="I3204" t="s">
        <v>31394</v>
      </c>
      <c r="J3204" t="s">
        <v>32090</v>
      </c>
      <c r="K3204" t="s">
        <v>40693</v>
      </c>
      <c r="M3204" t="s">
        <v>42222</v>
      </c>
      <c r="N3204" t="s">
        <v>44905</v>
      </c>
      <c r="O3204" t="s">
        <v>44906</v>
      </c>
      <c r="P3204">
        <v>0</v>
      </c>
      <c r="Q3204">
        <v>7</v>
      </c>
      <c r="R3204" t="s">
        <v>44908</v>
      </c>
      <c r="S3204" t="s">
        <v>45042</v>
      </c>
      <c r="T3204" t="s">
        <v>46416</v>
      </c>
      <c r="U3204" t="s">
        <v>49572</v>
      </c>
      <c r="V3204" t="s">
        <v>59393</v>
      </c>
      <c r="W3204" t="s">
        <v>42222</v>
      </c>
      <c r="X3204" t="s">
        <v>44909</v>
      </c>
    </row>
    <row r="3205" spans="1:24">
      <c r="A3205">
        <f>HYPERLINK("https://www.philgeps.gov.ph/GEPSNONPILOT/Tender/SplashBidNoticeAbstractUI.aspx?menuIndex=3&amp;refID=7079580&amp;Result=3","7079580")</f>
        <v>0</v>
      </c>
      <c r="B3205" t="s">
        <v>1051</v>
      </c>
      <c r="C3205" t="s">
        <v>6586</v>
      </c>
      <c r="D3205" t="s">
        <v>18116</v>
      </c>
      <c r="E3205" t="s">
        <v>21098</v>
      </c>
      <c r="F3205" t="s">
        <v>31362</v>
      </c>
      <c r="G3205" t="s">
        <v>31368</v>
      </c>
      <c r="H3205" t="s">
        <v>15799</v>
      </c>
      <c r="I3205" t="s">
        <v>7719</v>
      </c>
      <c r="J3205" t="s">
        <v>31570</v>
      </c>
      <c r="K3205" t="s">
        <v>40662</v>
      </c>
      <c r="M3205" t="s">
        <v>42052</v>
      </c>
      <c r="N3205" t="s">
        <v>44905</v>
      </c>
      <c r="O3205" t="s">
        <v>44906</v>
      </c>
      <c r="P3205">
        <v>0</v>
      </c>
      <c r="Q3205">
        <v>14</v>
      </c>
      <c r="R3205" t="s">
        <v>44908</v>
      </c>
      <c r="S3205" t="s">
        <v>45042</v>
      </c>
      <c r="T3205" t="s">
        <v>46498</v>
      </c>
      <c r="U3205" t="s">
        <v>49573</v>
      </c>
      <c r="W3205" t="s">
        <v>42052</v>
      </c>
      <c r="X3205" t="s">
        <v>44909</v>
      </c>
    </row>
    <row r="3206" spans="1:24">
      <c r="A3206">
        <f>HYPERLINK("https://www.philgeps.gov.ph/GEPSNONPILOT/Tender/SplashBidNoticeAbstractUI.aspx?menuIndex=3&amp;refID=7079578&amp;Result=3","7079578")</f>
        <v>0</v>
      </c>
      <c r="B3206" t="s">
        <v>267</v>
      </c>
      <c r="C3206" t="s">
        <v>6587</v>
      </c>
      <c r="D3206" t="s">
        <v>18154</v>
      </c>
      <c r="E3206" t="s">
        <v>21099</v>
      </c>
      <c r="F3206" t="s">
        <v>31362</v>
      </c>
      <c r="G3206" t="s">
        <v>31368</v>
      </c>
      <c r="H3206" t="s">
        <v>15799</v>
      </c>
      <c r="I3206" t="s">
        <v>31404</v>
      </c>
      <c r="J3206" t="s">
        <v>33672</v>
      </c>
      <c r="K3206" t="s">
        <v>40661</v>
      </c>
      <c r="M3206" t="s">
        <v>41208</v>
      </c>
      <c r="N3206" t="s">
        <v>44905</v>
      </c>
      <c r="O3206" t="s">
        <v>44906</v>
      </c>
      <c r="P3206">
        <v>0</v>
      </c>
      <c r="Q3206">
        <v>0</v>
      </c>
      <c r="R3206" t="s">
        <v>44908</v>
      </c>
      <c r="S3206" t="s">
        <v>45042</v>
      </c>
      <c r="T3206" t="s">
        <v>46447</v>
      </c>
      <c r="U3206" t="s">
        <v>49574</v>
      </c>
      <c r="W3206" t="s">
        <v>41208</v>
      </c>
      <c r="X3206" t="s">
        <v>44909</v>
      </c>
    </row>
    <row r="3207" spans="1:24">
      <c r="A3207">
        <f>HYPERLINK("https://www.philgeps.gov.ph/GEPSNONPILOT/Tender/SplashBidNoticeAbstractUI.aspx?menuIndex=3&amp;refID=7079573&amp;Result=3","7079573")</f>
        <v>0</v>
      </c>
      <c r="B3207" t="s">
        <v>1210</v>
      </c>
      <c r="C3207" t="s">
        <v>6588</v>
      </c>
      <c r="D3207" t="s">
        <v>18148</v>
      </c>
      <c r="E3207" t="s">
        <v>21100</v>
      </c>
      <c r="F3207" t="s">
        <v>31362</v>
      </c>
      <c r="G3207" t="s">
        <v>31369</v>
      </c>
      <c r="H3207" t="s">
        <v>15799</v>
      </c>
      <c r="I3207" t="s">
        <v>31400</v>
      </c>
      <c r="J3207" t="s">
        <v>33673</v>
      </c>
      <c r="K3207" t="s">
        <v>40662</v>
      </c>
      <c r="M3207" t="s">
        <v>42223</v>
      </c>
      <c r="N3207" t="s">
        <v>44905</v>
      </c>
      <c r="O3207" t="s">
        <v>44906</v>
      </c>
      <c r="P3207">
        <v>0</v>
      </c>
      <c r="Q3207">
        <v>2</v>
      </c>
      <c r="R3207" t="s">
        <v>44908</v>
      </c>
      <c r="S3207" t="s">
        <v>45042</v>
      </c>
      <c r="T3207" t="s">
        <v>46462</v>
      </c>
      <c r="U3207" t="s">
        <v>49575</v>
      </c>
      <c r="V3207" t="s">
        <v>59394</v>
      </c>
      <c r="W3207" t="s">
        <v>42223</v>
      </c>
      <c r="X3207" t="s">
        <v>44909</v>
      </c>
    </row>
    <row r="3208" spans="1:24">
      <c r="A3208">
        <f>HYPERLINK("https://www.philgeps.gov.ph/GEPSNONPILOT/Tender/SplashBidNoticeAbstractUI.aspx?menuIndex=3&amp;refID=7079571&amp;Result=3","7079571")</f>
        <v>0</v>
      </c>
      <c r="B3208" t="s">
        <v>94</v>
      </c>
      <c r="C3208" t="s">
        <v>6589</v>
      </c>
      <c r="D3208" t="s">
        <v>18116</v>
      </c>
      <c r="E3208" t="s">
        <v>21101</v>
      </c>
      <c r="F3208" t="s">
        <v>31362</v>
      </c>
      <c r="G3208" t="s">
        <v>31368</v>
      </c>
      <c r="H3208" t="s">
        <v>15799</v>
      </c>
      <c r="I3208" t="s">
        <v>31422</v>
      </c>
      <c r="J3208" t="s">
        <v>32549</v>
      </c>
      <c r="K3208" t="s">
        <v>40665</v>
      </c>
      <c r="M3208" t="s">
        <v>41031</v>
      </c>
      <c r="N3208" t="s">
        <v>44905</v>
      </c>
      <c r="O3208" t="s">
        <v>44906</v>
      </c>
      <c r="P3208">
        <v>0</v>
      </c>
      <c r="Q3208">
        <v>1</v>
      </c>
      <c r="R3208" t="s">
        <v>44908</v>
      </c>
      <c r="S3208" t="s">
        <v>45042</v>
      </c>
      <c r="T3208" t="s">
        <v>46404</v>
      </c>
      <c r="U3208" t="s">
        <v>49576</v>
      </c>
      <c r="W3208" t="s">
        <v>41031</v>
      </c>
      <c r="X3208" t="s">
        <v>44909</v>
      </c>
    </row>
    <row r="3209" spans="1:24">
      <c r="A3209">
        <f>HYPERLINK("https://www.philgeps.gov.ph/GEPSNONPILOT/Tender/SplashBidNoticeAbstractUI.aspx?menuIndex=3&amp;refID=7079579&amp;Result=3","7079579")</f>
        <v>0</v>
      </c>
      <c r="B3209" t="s">
        <v>1122</v>
      </c>
      <c r="C3209" t="s">
        <v>6590</v>
      </c>
      <c r="D3209" t="s">
        <v>18113</v>
      </c>
      <c r="E3209" t="s">
        <v>21102</v>
      </c>
      <c r="F3209" t="s">
        <v>31362</v>
      </c>
      <c r="G3209" t="s">
        <v>31368</v>
      </c>
      <c r="H3209" t="s">
        <v>15799</v>
      </c>
      <c r="I3209" t="s">
        <v>4057</v>
      </c>
      <c r="J3209" t="s">
        <v>31564</v>
      </c>
      <c r="K3209" t="s">
        <v>40699</v>
      </c>
      <c r="M3209" t="s">
        <v>42129</v>
      </c>
      <c r="N3209" t="s">
        <v>44905</v>
      </c>
      <c r="O3209" t="s">
        <v>44906</v>
      </c>
      <c r="P3209">
        <v>0</v>
      </c>
      <c r="Q3209">
        <v>0</v>
      </c>
      <c r="R3209" t="s">
        <v>44908</v>
      </c>
      <c r="S3209" t="s">
        <v>45042</v>
      </c>
      <c r="T3209" t="s">
        <v>46483</v>
      </c>
      <c r="U3209" t="s">
        <v>49577</v>
      </c>
      <c r="W3209" t="s">
        <v>42129</v>
      </c>
      <c r="X3209" t="s">
        <v>44909</v>
      </c>
    </row>
    <row r="3210" spans="1:24">
      <c r="A3210">
        <f>HYPERLINK("https://www.philgeps.gov.ph/GEPSNONPILOT/Tender/SplashBidNoticeAbstractUI.aspx?menuIndex=3&amp;refID=7079565&amp;Result=3","7079565")</f>
        <v>0</v>
      </c>
      <c r="B3210" t="s">
        <v>1171</v>
      </c>
      <c r="C3210" t="s">
        <v>6591</v>
      </c>
      <c r="D3210" t="s">
        <v>18107</v>
      </c>
      <c r="E3210" t="s">
        <v>21103</v>
      </c>
      <c r="F3210" t="s">
        <v>31362</v>
      </c>
      <c r="G3210" t="s">
        <v>31371</v>
      </c>
      <c r="H3210" t="s">
        <v>15799</v>
      </c>
      <c r="I3210" t="s">
        <v>31385</v>
      </c>
      <c r="J3210" t="s">
        <v>33674</v>
      </c>
      <c r="K3210" t="s">
        <v>40662</v>
      </c>
      <c r="M3210" t="s">
        <v>42181</v>
      </c>
      <c r="N3210" t="s">
        <v>44905</v>
      </c>
      <c r="O3210" t="s">
        <v>44906</v>
      </c>
      <c r="P3210">
        <v>0</v>
      </c>
      <c r="Q3210">
        <v>6</v>
      </c>
      <c r="R3210" t="s">
        <v>44908</v>
      </c>
      <c r="S3210" t="s">
        <v>45042</v>
      </c>
      <c r="T3210" t="s">
        <v>46432</v>
      </c>
      <c r="U3210" t="s">
        <v>49469</v>
      </c>
      <c r="W3210" t="s">
        <v>42181</v>
      </c>
      <c r="X3210" t="s">
        <v>44909</v>
      </c>
    </row>
    <row r="3211" spans="1:24">
      <c r="A3211">
        <f>HYPERLINK("https://www.philgeps.gov.ph/GEPSNONPILOT/Tender/SplashBidNoticeAbstractUI.aspx?menuIndex=3&amp;refID=7079570&amp;Result=3","7079570")</f>
        <v>0</v>
      </c>
      <c r="B3211" t="s">
        <v>1154</v>
      </c>
      <c r="C3211" t="s">
        <v>6592</v>
      </c>
      <c r="D3211" t="s">
        <v>18108</v>
      </c>
      <c r="E3211" t="s">
        <v>21104</v>
      </c>
      <c r="F3211" t="s">
        <v>31362</v>
      </c>
      <c r="G3211" t="s">
        <v>31368</v>
      </c>
      <c r="H3211" t="s">
        <v>31378</v>
      </c>
      <c r="I3211" t="s">
        <v>31386</v>
      </c>
      <c r="J3211" t="s">
        <v>33675</v>
      </c>
      <c r="K3211" t="s">
        <v>40662</v>
      </c>
      <c r="M3211" t="s">
        <v>42163</v>
      </c>
      <c r="N3211" t="s">
        <v>44905</v>
      </c>
      <c r="O3211" t="s">
        <v>44906</v>
      </c>
      <c r="P3211">
        <v>0</v>
      </c>
      <c r="Q3211">
        <v>0</v>
      </c>
      <c r="R3211" t="s">
        <v>44908</v>
      </c>
      <c r="S3211" t="s">
        <v>45042</v>
      </c>
      <c r="T3211" t="s">
        <v>46639</v>
      </c>
      <c r="U3211" t="s">
        <v>49578</v>
      </c>
      <c r="W3211" t="s">
        <v>42163</v>
      </c>
      <c r="X3211" t="s">
        <v>44909</v>
      </c>
    </row>
    <row r="3212" spans="1:24">
      <c r="A3212">
        <f>HYPERLINK("https://www.philgeps.gov.ph/GEPSNONPILOT/Tender/SplashBidNoticeAbstractUI.aspx?menuIndex=3&amp;refID=7079568&amp;Result=3","7079568")</f>
        <v>0</v>
      </c>
      <c r="B3212" t="s">
        <v>1211</v>
      </c>
      <c r="C3212" t="s">
        <v>6593</v>
      </c>
      <c r="D3212" t="s">
        <v>18108</v>
      </c>
      <c r="E3212" t="s">
        <v>21105</v>
      </c>
      <c r="F3212" t="s">
        <v>31362</v>
      </c>
      <c r="G3212" t="s">
        <v>31370</v>
      </c>
      <c r="H3212" t="s">
        <v>15799</v>
      </c>
      <c r="I3212" t="s">
        <v>3815</v>
      </c>
      <c r="J3212" t="s">
        <v>31735</v>
      </c>
      <c r="K3212" t="s">
        <v>40661</v>
      </c>
      <c r="M3212" t="s">
        <v>42224</v>
      </c>
      <c r="N3212" t="s">
        <v>44905</v>
      </c>
      <c r="O3212" t="s">
        <v>44906</v>
      </c>
      <c r="P3212">
        <v>0</v>
      </c>
      <c r="Q3212">
        <v>1</v>
      </c>
      <c r="R3212" t="s">
        <v>44908</v>
      </c>
      <c r="S3212" t="s">
        <v>45042</v>
      </c>
      <c r="T3212" t="s">
        <v>46443</v>
      </c>
      <c r="U3212" t="s">
        <v>49579</v>
      </c>
      <c r="W3212" t="s">
        <v>42224</v>
      </c>
      <c r="X3212" t="s">
        <v>44909</v>
      </c>
    </row>
    <row r="3213" spans="1:24">
      <c r="A3213">
        <f>HYPERLINK("https://www.philgeps.gov.ph/GEPSNONPILOT/Tender/SplashBidNoticeAbstractUI.aspx?menuIndex=3&amp;refID=7079564&amp;Result=3","7079564")</f>
        <v>0</v>
      </c>
      <c r="B3213" t="s">
        <v>1212</v>
      </c>
      <c r="C3213" t="s">
        <v>6594</v>
      </c>
      <c r="E3213" t="s">
        <v>21106</v>
      </c>
      <c r="F3213" t="s">
        <v>31362</v>
      </c>
      <c r="G3213" t="s">
        <v>31368</v>
      </c>
      <c r="H3213" t="s">
        <v>15799</v>
      </c>
      <c r="I3213" t="s">
        <v>31481</v>
      </c>
      <c r="J3213" t="s">
        <v>33676</v>
      </c>
      <c r="K3213" t="s">
        <v>40662</v>
      </c>
      <c r="M3213" t="s">
        <v>42225</v>
      </c>
      <c r="N3213" t="s">
        <v>44905</v>
      </c>
      <c r="O3213" t="s">
        <v>44906</v>
      </c>
      <c r="P3213">
        <v>0</v>
      </c>
      <c r="Q3213">
        <v>0</v>
      </c>
      <c r="R3213" t="s">
        <v>44908</v>
      </c>
      <c r="S3213" t="s">
        <v>45042</v>
      </c>
      <c r="T3213" t="s">
        <v>46403</v>
      </c>
      <c r="U3213" t="s">
        <v>47665</v>
      </c>
      <c r="W3213" t="s">
        <v>42225</v>
      </c>
      <c r="X3213" t="s">
        <v>44909</v>
      </c>
    </row>
    <row r="3214" spans="1:24">
      <c r="A3214">
        <f>HYPERLINK("https://www.philgeps.gov.ph/GEPSNONPILOT/Tender/SplashBidNoticeAbstractUI.aspx?menuIndex=3&amp;refID=7079563&amp;Result=3","7079563")</f>
        <v>0</v>
      </c>
      <c r="B3214" t="s">
        <v>1173</v>
      </c>
      <c r="C3214" t="s">
        <v>6595</v>
      </c>
      <c r="D3214" t="s">
        <v>18174</v>
      </c>
      <c r="E3214" t="s">
        <v>21107</v>
      </c>
      <c r="F3214" t="s">
        <v>31362</v>
      </c>
      <c r="G3214" t="s">
        <v>31368</v>
      </c>
      <c r="H3214" t="s">
        <v>15799</v>
      </c>
      <c r="I3214" t="s">
        <v>3815</v>
      </c>
      <c r="J3214" t="s">
        <v>33654</v>
      </c>
      <c r="K3214" t="s">
        <v>40661</v>
      </c>
      <c r="M3214" t="s">
        <v>42183</v>
      </c>
      <c r="N3214" t="s">
        <v>44905</v>
      </c>
      <c r="O3214" t="s">
        <v>44906</v>
      </c>
      <c r="P3214">
        <v>0</v>
      </c>
      <c r="Q3214">
        <v>0</v>
      </c>
      <c r="R3214" t="s">
        <v>44908</v>
      </c>
      <c r="S3214" t="s">
        <v>45042</v>
      </c>
      <c r="T3214" t="s">
        <v>46404</v>
      </c>
      <c r="U3214" t="s">
        <v>49472</v>
      </c>
      <c r="W3214" t="s">
        <v>42183</v>
      </c>
      <c r="X3214" t="s">
        <v>44909</v>
      </c>
    </row>
    <row r="3215" spans="1:24">
      <c r="A3215">
        <f>HYPERLINK("https://www.philgeps.gov.ph/GEPSNONPILOT/Tender/SplashBidNoticeAbstractUI.aspx?menuIndex=3&amp;refID=7079562&amp;Result=3","7079562")</f>
        <v>0</v>
      </c>
      <c r="B3215" t="s">
        <v>1213</v>
      </c>
      <c r="C3215" t="s">
        <v>6596</v>
      </c>
      <c r="D3215" t="s">
        <v>18158</v>
      </c>
      <c r="E3215" t="s">
        <v>21108</v>
      </c>
      <c r="F3215" t="s">
        <v>31362</v>
      </c>
      <c r="G3215" t="s">
        <v>31368</v>
      </c>
      <c r="H3215" t="s">
        <v>15799</v>
      </c>
      <c r="I3215" t="s">
        <v>31490</v>
      </c>
      <c r="J3215" t="s">
        <v>31998</v>
      </c>
      <c r="K3215" t="s">
        <v>40679</v>
      </c>
      <c r="M3215" t="s">
        <v>42226</v>
      </c>
      <c r="N3215" t="s">
        <v>44905</v>
      </c>
      <c r="O3215" t="s">
        <v>44906</v>
      </c>
      <c r="P3215">
        <v>0</v>
      </c>
      <c r="Q3215">
        <v>0</v>
      </c>
      <c r="R3215" t="s">
        <v>44908</v>
      </c>
      <c r="S3215" t="s">
        <v>45042</v>
      </c>
      <c r="T3215" t="s">
        <v>46534</v>
      </c>
      <c r="U3215" t="s">
        <v>49580</v>
      </c>
      <c r="W3215" t="s">
        <v>42226</v>
      </c>
      <c r="X3215" t="s">
        <v>44909</v>
      </c>
    </row>
    <row r="3216" spans="1:24">
      <c r="A3216">
        <f>HYPERLINK("https://www.philgeps.gov.ph/GEPSNONPILOT/Tender/SplashBidNoticeAbstractUI.aspx?menuIndex=3&amp;refID=7079587&amp;Result=3","7079587")</f>
        <v>0</v>
      </c>
      <c r="B3216" t="s">
        <v>982</v>
      </c>
      <c r="C3216" t="s">
        <v>6597</v>
      </c>
      <c r="D3216" t="s">
        <v>18106</v>
      </c>
      <c r="E3216" t="s">
        <v>21109</v>
      </c>
      <c r="F3216" t="s">
        <v>31362</v>
      </c>
      <c r="G3216" t="s">
        <v>31371</v>
      </c>
      <c r="H3216" t="s">
        <v>15799</v>
      </c>
      <c r="I3216" t="s">
        <v>6373</v>
      </c>
      <c r="J3216" t="s">
        <v>33677</v>
      </c>
      <c r="K3216" t="s">
        <v>40670</v>
      </c>
      <c r="M3216" t="s">
        <v>41974</v>
      </c>
      <c r="N3216" t="s">
        <v>44905</v>
      </c>
      <c r="O3216" t="s">
        <v>44906</v>
      </c>
      <c r="P3216">
        <v>0</v>
      </c>
      <c r="Q3216">
        <v>1</v>
      </c>
      <c r="R3216" t="s">
        <v>44908</v>
      </c>
      <c r="S3216" t="s">
        <v>45042</v>
      </c>
      <c r="T3216" t="s">
        <v>46409</v>
      </c>
      <c r="U3216" t="s">
        <v>49018</v>
      </c>
      <c r="W3216" t="s">
        <v>41974</v>
      </c>
      <c r="X3216" t="s">
        <v>44909</v>
      </c>
    </row>
    <row r="3217" spans="1:24">
      <c r="A3217">
        <f>HYPERLINK("https://www.philgeps.gov.ph/GEPSNONPILOT/Tender/SplashBidNoticeAbstractUI.aspx?menuIndex=3&amp;refID=7079586&amp;Result=3","7079586")</f>
        <v>0</v>
      </c>
      <c r="B3217" t="s">
        <v>211</v>
      </c>
      <c r="C3217" t="s">
        <v>6598</v>
      </c>
      <c r="D3217" t="s">
        <v>18161</v>
      </c>
      <c r="E3217" t="s">
        <v>21110</v>
      </c>
      <c r="F3217" t="s">
        <v>31362</v>
      </c>
      <c r="G3217" t="s">
        <v>31370</v>
      </c>
      <c r="H3217" t="s">
        <v>15799</v>
      </c>
      <c r="I3217" t="s">
        <v>7188</v>
      </c>
      <c r="J3217" t="s">
        <v>33678</v>
      </c>
      <c r="K3217" t="s">
        <v>40666</v>
      </c>
      <c r="M3217" t="s">
        <v>41150</v>
      </c>
      <c r="N3217" t="s">
        <v>44905</v>
      </c>
      <c r="O3217" t="s">
        <v>44906</v>
      </c>
      <c r="P3217">
        <v>0</v>
      </c>
      <c r="Q3217">
        <v>4</v>
      </c>
      <c r="R3217" t="s">
        <v>44908</v>
      </c>
      <c r="S3217" t="s">
        <v>45042</v>
      </c>
      <c r="T3217" t="s">
        <v>46504</v>
      </c>
      <c r="U3217" t="s">
        <v>49581</v>
      </c>
      <c r="W3217" t="s">
        <v>41150</v>
      </c>
      <c r="X3217" t="s">
        <v>44909</v>
      </c>
    </row>
    <row r="3218" spans="1:24">
      <c r="A3218">
        <f>HYPERLINK("https://www.philgeps.gov.ph/GEPSNONPILOT/Tender/SplashBidNoticeAbstractUI.aspx?menuIndex=3&amp;refID=7079566&amp;Result=3","7079566")</f>
        <v>0</v>
      </c>
      <c r="B3218" t="s">
        <v>1122</v>
      </c>
      <c r="C3218" t="s">
        <v>6599</v>
      </c>
      <c r="D3218" t="s">
        <v>18113</v>
      </c>
      <c r="E3218" t="s">
        <v>21111</v>
      </c>
      <c r="F3218" t="s">
        <v>31362</v>
      </c>
      <c r="G3218" t="s">
        <v>31368</v>
      </c>
      <c r="H3218" t="s">
        <v>15799</v>
      </c>
      <c r="I3218" t="s">
        <v>6155</v>
      </c>
      <c r="J3218" t="s">
        <v>32022</v>
      </c>
      <c r="K3218" t="s">
        <v>40665</v>
      </c>
      <c r="M3218" t="s">
        <v>42129</v>
      </c>
      <c r="N3218" t="s">
        <v>44905</v>
      </c>
      <c r="O3218" t="s">
        <v>44906</v>
      </c>
      <c r="P3218">
        <v>0</v>
      </c>
      <c r="Q3218">
        <v>0</v>
      </c>
      <c r="R3218" t="s">
        <v>44908</v>
      </c>
      <c r="S3218" t="s">
        <v>45042</v>
      </c>
      <c r="T3218" t="s">
        <v>46483</v>
      </c>
      <c r="U3218" t="s">
        <v>49582</v>
      </c>
      <c r="W3218" t="s">
        <v>42129</v>
      </c>
      <c r="X3218" t="s">
        <v>44909</v>
      </c>
    </row>
    <row r="3219" spans="1:24">
      <c r="A3219">
        <f>HYPERLINK("https://www.philgeps.gov.ph/GEPSNONPILOT/Tender/SplashBidNoticeAbstractUI.aspx?menuIndex=3&amp;refID=7079585&amp;Result=3","7079585")</f>
        <v>0</v>
      </c>
      <c r="B3219" t="s">
        <v>1193</v>
      </c>
      <c r="C3219" t="s">
        <v>6600</v>
      </c>
      <c r="D3219" t="s">
        <v>18113</v>
      </c>
      <c r="E3219" t="s">
        <v>21112</v>
      </c>
      <c r="F3219" t="s">
        <v>31362</v>
      </c>
      <c r="G3219" t="s">
        <v>31368</v>
      </c>
      <c r="H3219" t="s">
        <v>15799</v>
      </c>
      <c r="I3219" t="s">
        <v>7090</v>
      </c>
      <c r="J3219" t="s">
        <v>33437</v>
      </c>
      <c r="K3219" t="s">
        <v>40665</v>
      </c>
      <c r="M3219" t="s">
        <v>42205</v>
      </c>
      <c r="N3219" t="s">
        <v>44905</v>
      </c>
      <c r="O3219" t="s">
        <v>44906</v>
      </c>
      <c r="P3219">
        <v>0</v>
      </c>
      <c r="Q3219">
        <v>0</v>
      </c>
      <c r="R3219" t="s">
        <v>44908</v>
      </c>
      <c r="S3219" t="s">
        <v>45042</v>
      </c>
      <c r="T3219" t="s">
        <v>46414</v>
      </c>
      <c r="U3219" t="s">
        <v>49583</v>
      </c>
      <c r="W3219" t="s">
        <v>42205</v>
      </c>
      <c r="X3219" t="s">
        <v>44909</v>
      </c>
    </row>
    <row r="3220" spans="1:24">
      <c r="A3220">
        <f>HYPERLINK("https://www.philgeps.gov.ph/GEPSNONPILOT/Tender/SplashBidNoticeAbstractUI.aspx?menuIndex=3&amp;refID=7079609&amp;Result=3","7079609")</f>
        <v>0</v>
      </c>
      <c r="B3220" t="s">
        <v>1094</v>
      </c>
      <c r="C3220" t="s">
        <v>6601</v>
      </c>
      <c r="D3220" t="s">
        <v>18117</v>
      </c>
      <c r="E3220" t="s">
        <v>21113</v>
      </c>
      <c r="F3220" t="s">
        <v>31362</v>
      </c>
      <c r="G3220" t="s">
        <v>31368</v>
      </c>
      <c r="H3220" t="s">
        <v>15799</v>
      </c>
      <c r="I3220" t="s">
        <v>7719</v>
      </c>
      <c r="J3220" t="s">
        <v>33679</v>
      </c>
      <c r="K3220" t="s">
        <v>40672</v>
      </c>
      <c r="M3220" t="s">
        <v>42099</v>
      </c>
      <c r="N3220" t="s">
        <v>44905</v>
      </c>
      <c r="O3220" t="s">
        <v>44906</v>
      </c>
      <c r="P3220">
        <v>0</v>
      </c>
      <c r="Q3220">
        <v>8</v>
      </c>
      <c r="R3220" t="s">
        <v>44908</v>
      </c>
      <c r="S3220" t="s">
        <v>45042</v>
      </c>
      <c r="T3220" t="s">
        <v>46454</v>
      </c>
      <c r="U3220" t="s">
        <v>49584</v>
      </c>
      <c r="W3220" t="s">
        <v>42099</v>
      </c>
      <c r="X3220" t="s">
        <v>44909</v>
      </c>
    </row>
    <row r="3221" spans="1:24">
      <c r="A3221">
        <f>HYPERLINK("https://www.philgeps.gov.ph/GEPSNONPILOT/Tender/SplashBidNoticeAbstractUI.aspx?menuIndex=3&amp;refID=7079608&amp;Result=3","7079608")</f>
        <v>0</v>
      </c>
      <c r="B3221" t="s">
        <v>440</v>
      </c>
      <c r="C3221" t="s">
        <v>6602</v>
      </c>
      <c r="D3221" t="s">
        <v>18154</v>
      </c>
      <c r="E3221" t="s">
        <v>21114</v>
      </c>
      <c r="F3221" t="s">
        <v>31362</v>
      </c>
      <c r="G3221" t="s">
        <v>31369</v>
      </c>
      <c r="H3221" t="s">
        <v>31378</v>
      </c>
      <c r="I3221" t="s">
        <v>31386</v>
      </c>
      <c r="J3221" t="s">
        <v>32965</v>
      </c>
      <c r="K3221" t="s">
        <v>40662</v>
      </c>
      <c r="M3221" t="s">
        <v>41604</v>
      </c>
      <c r="N3221" t="s">
        <v>44905</v>
      </c>
      <c r="O3221" t="s">
        <v>44906</v>
      </c>
      <c r="P3221">
        <v>0</v>
      </c>
      <c r="Q3221">
        <v>0</v>
      </c>
      <c r="R3221" t="s">
        <v>44908</v>
      </c>
      <c r="S3221" t="s">
        <v>45042</v>
      </c>
      <c r="T3221" t="s">
        <v>46433</v>
      </c>
      <c r="U3221" t="s">
        <v>49585</v>
      </c>
      <c r="W3221" t="s">
        <v>41604</v>
      </c>
      <c r="X3221" t="s">
        <v>44909</v>
      </c>
    </row>
    <row r="3222" spans="1:24">
      <c r="A3222">
        <f>HYPERLINK("https://www.philgeps.gov.ph/GEPSNONPILOT/Tender/SplashBidNoticeAbstractUI.aspx?menuIndex=3&amp;refID=7079606&amp;Result=3","7079606")</f>
        <v>0</v>
      </c>
      <c r="B3222" t="s">
        <v>1212</v>
      </c>
      <c r="C3222" t="s">
        <v>6603</v>
      </c>
      <c r="E3222" t="s">
        <v>21115</v>
      </c>
      <c r="F3222" t="s">
        <v>31362</v>
      </c>
      <c r="G3222" t="s">
        <v>31368</v>
      </c>
      <c r="H3222" t="s">
        <v>15799</v>
      </c>
      <c r="I3222" t="s">
        <v>31481</v>
      </c>
      <c r="J3222" t="s">
        <v>33680</v>
      </c>
      <c r="K3222" t="s">
        <v>40662</v>
      </c>
      <c r="M3222" t="s">
        <v>42225</v>
      </c>
      <c r="N3222" t="s">
        <v>44905</v>
      </c>
      <c r="O3222" t="s">
        <v>44906</v>
      </c>
      <c r="P3222">
        <v>0</v>
      </c>
      <c r="Q3222">
        <v>1</v>
      </c>
      <c r="R3222" t="s">
        <v>44908</v>
      </c>
      <c r="S3222" t="s">
        <v>45042</v>
      </c>
      <c r="T3222" t="s">
        <v>46403</v>
      </c>
      <c r="U3222" t="s">
        <v>47665</v>
      </c>
      <c r="W3222" t="s">
        <v>42225</v>
      </c>
      <c r="X3222" t="s">
        <v>44909</v>
      </c>
    </row>
    <row r="3223" spans="1:24">
      <c r="A3223">
        <f>HYPERLINK("https://www.philgeps.gov.ph/GEPSNONPILOT/Tender/SplashBidNoticeAbstractUI.aspx?menuIndex=3&amp;refID=7079604&amp;Result=3","7079604")</f>
        <v>0</v>
      </c>
      <c r="B3223" t="s">
        <v>1214</v>
      </c>
      <c r="C3223" t="s">
        <v>6604</v>
      </c>
      <c r="D3223" t="s">
        <v>18123</v>
      </c>
      <c r="E3223" t="s">
        <v>21116</v>
      </c>
      <c r="F3223" t="s">
        <v>31362</v>
      </c>
      <c r="G3223" t="s">
        <v>31368</v>
      </c>
      <c r="H3223" t="s">
        <v>31377</v>
      </c>
      <c r="I3223" t="s">
        <v>31377</v>
      </c>
      <c r="J3223" t="s">
        <v>31969</v>
      </c>
      <c r="K3223" t="s">
        <v>40741</v>
      </c>
      <c r="M3223" t="s">
        <v>42227</v>
      </c>
      <c r="N3223" t="s">
        <v>44905</v>
      </c>
      <c r="O3223" t="s">
        <v>44906</v>
      </c>
      <c r="P3223">
        <v>0</v>
      </c>
      <c r="Q3223">
        <v>4</v>
      </c>
      <c r="R3223" t="s">
        <v>44908</v>
      </c>
      <c r="S3223" t="s">
        <v>45042</v>
      </c>
      <c r="T3223" t="s">
        <v>46480</v>
      </c>
      <c r="U3223" t="s">
        <v>49586</v>
      </c>
      <c r="W3223" t="s">
        <v>42227</v>
      </c>
      <c r="X3223" t="s">
        <v>44909</v>
      </c>
    </row>
    <row r="3224" spans="1:24">
      <c r="A3224">
        <f>HYPERLINK("https://www.philgeps.gov.ph/GEPSNONPILOT/Tender/SplashBidNoticeAbstractUI.aspx?menuIndex=3&amp;refID=7079561&amp;Result=3","7079561")</f>
        <v>0</v>
      </c>
      <c r="B3224" t="s">
        <v>1164</v>
      </c>
      <c r="C3224" t="s">
        <v>6605</v>
      </c>
      <c r="D3224" t="s">
        <v>18111</v>
      </c>
      <c r="E3224" t="s">
        <v>21083</v>
      </c>
      <c r="F3224" t="s">
        <v>31362</v>
      </c>
      <c r="G3224" t="s">
        <v>31370</v>
      </c>
      <c r="H3224" t="s">
        <v>15799</v>
      </c>
      <c r="I3224" t="s">
        <v>31390</v>
      </c>
      <c r="J3224" t="s">
        <v>33681</v>
      </c>
      <c r="K3224" t="s">
        <v>40670</v>
      </c>
      <c r="M3224" t="s">
        <v>42174</v>
      </c>
      <c r="N3224" t="s">
        <v>44905</v>
      </c>
      <c r="O3224" t="s">
        <v>44906</v>
      </c>
      <c r="P3224">
        <v>0</v>
      </c>
      <c r="Q3224">
        <v>2</v>
      </c>
      <c r="R3224" t="s">
        <v>44908</v>
      </c>
      <c r="S3224" t="s">
        <v>45042</v>
      </c>
      <c r="T3224" t="s">
        <v>46414</v>
      </c>
      <c r="U3224" t="s">
        <v>49454</v>
      </c>
      <c r="W3224" t="s">
        <v>42174</v>
      </c>
      <c r="X3224" t="s">
        <v>44909</v>
      </c>
    </row>
    <row r="3225" spans="1:24">
      <c r="A3225">
        <f>HYPERLINK("https://www.philgeps.gov.ph/GEPSNONPILOT/Tender/SplashBidNoticeAbstractUI.aspx?menuIndex=3&amp;refID=7079602&amp;Result=3","7079602")</f>
        <v>0</v>
      </c>
      <c r="B3225" t="s">
        <v>913</v>
      </c>
      <c r="C3225" t="s">
        <v>6606</v>
      </c>
      <c r="D3225" t="s">
        <v>18176</v>
      </c>
      <c r="E3225" t="s">
        <v>21117</v>
      </c>
      <c r="F3225" t="s">
        <v>31362</v>
      </c>
      <c r="G3225" t="s">
        <v>31369</v>
      </c>
      <c r="H3225" t="s">
        <v>15799</v>
      </c>
      <c r="I3225" t="s">
        <v>31380</v>
      </c>
      <c r="J3225" t="s">
        <v>33682</v>
      </c>
      <c r="K3225" t="s">
        <v>40670</v>
      </c>
      <c r="M3225" t="s">
        <v>41896</v>
      </c>
      <c r="N3225" t="s">
        <v>44905</v>
      </c>
      <c r="O3225" t="s">
        <v>44906</v>
      </c>
      <c r="P3225">
        <v>0</v>
      </c>
      <c r="Q3225">
        <v>6</v>
      </c>
      <c r="R3225" t="s">
        <v>44908</v>
      </c>
      <c r="S3225" t="s">
        <v>45042</v>
      </c>
      <c r="T3225" t="s">
        <v>46511</v>
      </c>
      <c r="U3225" t="s">
        <v>49587</v>
      </c>
      <c r="W3225" t="s">
        <v>41896</v>
      </c>
      <c r="X3225" t="s">
        <v>44909</v>
      </c>
    </row>
    <row r="3226" spans="1:24">
      <c r="A3226">
        <f>HYPERLINK("https://www.philgeps.gov.ph/GEPSNONPILOT/Tender/SplashBidNoticeAbstractUI.aspx?menuIndex=3&amp;refID=7079601&amp;Result=3","7079601")</f>
        <v>0</v>
      </c>
      <c r="B3226" t="s">
        <v>1164</v>
      </c>
      <c r="C3226" t="s">
        <v>6607</v>
      </c>
      <c r="D3226" t="s">
        <v>18111</v>
      </c>
      <c r="E3226" t="s">
        <v>21083</v>
      </c>
      <c r="F3226" t="s">
        <v>31362</v>
      </c>
      <c r="G3226" t="s">
        <v>31370</v>
      </c>
      <c r="H3226" t="s">
        <v>15799</v>
      </c>
      <c r="I3226" t="s">
        <v>31387</v>
      </c>
      <c r="J3226" t="s">
        <v>33683</v>
      </c>
      <c r="K3226" t="s">
        <v>40670</v>
      </c>
      <c r="M3226" t="s">
        <v>42174</v>
      </c>
      <c r="N3226" t="s">
        <v>44905</v>
      </c>
      <c r="O3226" t="s">
        <v>44906</v>
      </c>
      <c r="P3226">
        <v>0</v>
      </c>
      <c r="Q3226">
        <v>1</v>
      </c>
      <c r="R3226" t="s">
        <v>44908</v>
      </c>
      <c r="S3226" t="s">
        <v>45042</v>
      </c>
      <c r="T3226" t="s">
        <v>46414</v>
      </c>
      <c r="U3226" t="s">
        <v>49454</v>
      </c>
      <c r="W3226" t="s">
        <v>42174</v>
      </c>
      <c r="X3226" t="s">
        <v>44909</v>
      </c>
    </row>
    <row r="3227" spans="1:24">
      <c r="A3227">
        <f>HYPERLINK("https://www.philgeps.gov.ph/GEPSNONPILOT/Tender/SplashBidNoticeAbstractUI.aspx?menuIndex=3&amp;refID=7079599&amp;Result=3","7079599")</f>
        <v>0</v>
      </c>
      <c r="B3227" t="s">
        <v>1215</v>
      </c>
      <c r="C3227" t="s">
        <v>6608</v>
      </c>
      <c r="D3227" t="s">
        <v>18108</v>
      </c>
      <c r="E3227" t="s">
        <v>21118</v>
      </c>
      <c r="F3227" t="s">
        <v>31362</v>
      </c>
      <c r="G3227" t="s">
        <v>31368</v>
      </c>
      <c r="H3227" t="s">
        <v>15799</v>
      </c>
      <c r="I3227" t="s">
        <v>7188</v>
      </c>
      <c r="J3227" t="s">
        <v>32959</v>
      </c>
      <c r="K3227" t="s">
        <v>40665</v>
      </c>
      <c r="M3227" t="s">
        <v>42228</v>
      </c>
      <c r="N3227" t="s">
        <v>44905</v>
      </c>
      <c r="O3227" t="s">
        <v>44906</v>
      </c>
      <c r="P3227">
        <v>0</v>
      </c>
      <c r="Q3227">
        <v>8</v>
      </c>
      <c r="R3227" t="s">
        <v>44908</v>
      </c>
      <c r="S3227" t="s">
        <v>45042</v>
      </c>
      <c r="T3227" t="s">
        <v>46425</v>
      </c>
      <c r="U3227" t="s">
        <v>49588</v>
      </c>
      <c r="W3227" t="s">
        <v>42228</v>
      </c>
      <c r="X3227" t="s">
        <v>44909</v>
      </c>
    </row>
    <row r="3228" spans="1:24">
      <c r="A3228">
        <f>HYPERLINK("https://www.philgeps.gov.ph/GEPSNONPILOT/Tender/SplashBidNoticeAbstractUI.aspx?menuIndex=3&amp;refID=7079542&amp;Result=3","7079542")</f>
        <v>0</v>
      </c>
      <c r="B3228" t="s">
        <v>1216</v>
      </c>
      <c r="C3228" t="s">
        <v>6609</v>
      </c>
      <c r="D3228" t="s">
        <v>18158</v>
      </c>
      <c r="E3228" t="s">
        <v>21119</v>
      </c>
      <c r="F3228" t="s">
        <v>31362</v>
      </c>
      <c r="G3228" t="s">
        <v>31369</v>
      </c>
      <c r="H3228" t="s">
        <v>15799</v>
      </c>
      <c r="I3228" t="s">
        <v>3815</v>
      </c>
      <c r="J3228" t="s">
        <v>33684</v>
      </c>
      <c r="K3228" t="s">
        <v>40661</v>
      </c>
      <c r="M3228" t="s">
        <v>42229</v>
      </c>
      <c r="N3228" t="s">
        <v>44905</v>
      </c>
      <c r="O3228" t="s">
        <v>44906</v>
      </c>
      <c r="P3228">
        <v>0</v>
      </c>
      <c r="Q3228">
        <v>0</v>
      </c>
      <c r="R3228" t="s">
        <v>44908</v>
      </c>
      <c r="S3228" t="s">
        <v>45042</v>
      </c>
      <c r="T3228" t="s">
        <v>46483</v>
      </c>
      <c r="U3228" t="s">
        <v>47766</v>
      </c>
      <c r="W3228" t="s">
        <v>42229</v>
      </c>
      <c r="X3228" t="s">
        <v>44909</v>
      </c>
    </row>
    <row r="3229" spans="1:24">
      <c r="A3229">
        <f>HYPERLINK("https://www.philgeps.gov.ph/GEPSNONPILOT/Tender/SplashBidNoticeAbstractUI.aspx?menuIndex=3&amp;refID=7079597&amp;Result=3","7079597")</f>
        <v>0</v>
      </c>
      <c r="B3229" t="s">
        <v>1217</v>
      </c>
      <c r="C3229" t="s">
        <v>6610</v>
      </c>
      <c r="D3229" t="s">
        <v>18106</v>
      </c>
      <c r="E3229" t="s">
        <v>21120</v>
      </c>
      <c r="F3229" t="s">
        <v>31362</v>
      </c>
      <c r="G3229" t="s">
        <v>31368</v>
      </c>
      <c r="H3229" t="s">
        <v>15799</v>
      </c>
      <c r="I3229" t="s">
        <v>4942</v>
      </c>
      <c r="J3229" t="s">
        <v>33685</v>
      </c>
      <c r="K3229" t="s">
        <v>40665</v>
      </c>
      <c r="M3229" t="s">
        <v>42230</v>
      </c>
      <c r="N3229" t="s">
        <v>44905</v>
      </c>
      <c r="O3229" t="s">
        <v>44906</v>
      </c>
      <c r="P3229">
        <v>0</v>
      </c>
      <c r="Q3229">
        <v>0</v>
      </c>
      <c r="R3229" t="s">
        <v>44908</v>
      </c>
      <c r="S3229" t="s">
        <v>45042</v>
      </c>
      <c r="T3229" t="s">
        <v>46447</v>
      </c>
      <c r="U3229" t="s">
        <v>49589</v>
      </c>
      <c r="V3229" t="s">
        <v>59395</v>
      </c>
      <c r="W3229" t="s">
        <v>42230</v>
      </c>
      <c r="X3229" t="s">
        <v>44909</v>
      </c>
    </row>
    <row r="3230" spans="1:24">
      <c r="A3230">
        <f>HYPERLINK("https://www.philgeps.gov.ph/GEPSNONPILOT/Tender/SplashBidNoticeAbstractUI.aspx?menuIndex=3&amp;refID=7079596&amp;Result=3","7079596")</f>
        <v>0</v>
      </c>
      <c r="B3230" t="s">
        <v>1218</v>
      </c>
      <c r="C3230" t="s">
        <v>6611</v>
      </c>
      <c r="D3230" t="s">
        <v>18100</v>
      </c>
      <c r="E3230" t="s">
        <v>21121</v>
      </c>
      <c r="F3230" t="s">
        <v>31362</v>
      </c>
      <c r="G3230" t="s">
        <v>31368</v>
      </c>
      <c r="H3230" t="s">
        <v>15799</v>
      </c>
      <c r="I3230" t="s">
        <v>7188</v>
      </c>
      <c r="J3230" t="s">
        <v>31940</v>
      </c>
      <c r="K3230" t="s">
        <v>40666</v>
      </c>
      <c r="M3230" t="s">
        <v>42231</v>
      </c>
      <c r="N3230" t="s">
        <v>44905</v>
      </c>
      <c r="O3230" t="s">
        <v>44906</v>
      </c>
      <c r="P3230">
        <v>0</v>
      </c>
      <c r="Q3230">
        <v>1</v>
      </c>
      <c r="R3230" t="s">
        <v>44908</v>
      </c>
      <c r="S3230" t="s">
        <v>45042</v>
      </c>
      <c r="T3230" t="s">
        <v>46432</v>
      </c>
      <c r="U3230" t="s">
        <v>49590</v>
      </c>
      <c r="W3230" t="s">
        <v>42231</v>
      </c>
      <c r="X3230" t="s">
        <v>44909</v>
      </c>
    </row>
    <row r="3231" spans="1:24">
      <c r="A3231">
        <f>HYPERLINK("https://www.philgeps.gov.ph/GEPSNONPILOT/Tender/SplashBidNoticeAbstractUI.aspx?menuIndex=3&amp;refID=7079605&amp;Result=3","7079605")</f>
        <v>0</v>
      </c>
      <c r="B3231" t="s">
        <v>1122</v>
      </c>
      <c r="C3231" t="s">
        <v>6612</v>
      </c>
      <c r="D3231" t="s">
        <v>18113</v>
      </c>
      <c r="E3231" t="s">
        <v>21122</v>
      </c>
      <c r="F3231" t="s">
        <v>31362</v>
      </c>
      <c r="G3231" t="s">
        <v>31368</v>
      </c>
      <c r="H3231" t="s">
        <v>15799</v>
      </c>
      <c r="I3231" t="s">
        <v>6240</v>
      </c>
      <c r="J3231" t="s">
        <v>33686</v>
      </c>
      <c r="K3231" t="s">
        <v>40665</v>
      </c>
      <c r="M3231" t="s">
        <v>42129</v>
      </c>
      <c r="N3231" t="s">
        <v>44905</v>
      </c>
      <c r="O3231" t="s">
        <v>44906</v>
      </c>
      <c r="P3231">
        <v>0</v>
      </c>
      <c r="Q3231">
        <v>0</v>
      </c>
      <c r="R3231" t="s">
        <v>44908</v>
      </c>
      <c r="S3231" t="s">
        <v>45042</v>
      </c>
      <c r="T3231" t="s">
        <v>46483</v>
      </c>
      <c r="U3231" t="s">
        <v>49591</v>
      </c>
      <c r="W3231" t="s">
        <v>42129</v>
      </c>
      <c r="X3231" t="s">
        <v>44909</v>
      </c>
    </row>
    <row r="3232" spans="1:24">
      <c r="A3232">
        <f>HYPERLINK("https://www.philgeps.gov.ph/GEPSNONPILOT/Tender/SplashBidNoticeAbstractUI.aspx?menuIndex=3&amp;refID=7079548&amp;Result=3","7079548")</f>
        <v>0</v>
      </c>
      <c r="B3232" t="s">
        <v>1219</v>
      </c>
      <c r="C3232" t="s">
        <v>6613</v>
      </c>
      <c r="E3232" t="s">
        <v>21123</v>
      </c>
      <c r="F3232" t="s">
        <v>31362</v>
      </c>
      <c r="G3232" t="s">
        <v>31370</v>
      </c>
      <c r="H3232" t="s">
        <v>15799</v>
      </c>
      <c r="I3232" t="s">
        <v>31385</v>
      </c>
      <c r="J3232" t="s">
        <v>33687</v>
      </c>
      <c r="K3232" t="s">
        <v>40662</v>
      </c>
      <c r="M3232" t="s">
        <v>42232</v>
      </c>
      <c r="N3232" t="s">
        <v>44905</v>
      </c>
      <c r="O3232" t="s">
        <v>44906</v>
      </c>
      <c r="P3232">
        <v>0</v>
      </c>
      <c r="Q3232">
        <v>1</v>
      </c>
      <c r="R3232" t="s">
        <v>44908</v>
      </c>
      <c r="S3232" t="s">
        <v>45042</v>
      </c>
      <c r="T3232" t="s">
        <v>46407</v>
      </c>
      <c r="U3232" t="s">
        <v>47749</v>
      </c>
      <c r="W3232" t="s">
        <v>42232</v>
      </c>
      <c r="X3232" t="s">
        <v>44909</v>
      </c>
    </row>
    <row r="3233" spans="1:24">
      <c r="A3233">
        <f>HYPERLINK("https://www.philgeps.gov.ph/GEPSNONPILOT/Tender/SplashBidNoticeAbstractUI.aspx?menuIndex=3&amp;refID=7079617&amp;Result=3","7079617")</f>
        <v>0</v>
      </c>
      <c r="B3233" t="s">
        <v>1122</v>
      </c>
      <c r="C3233" t="s">
        <v>6614</v>
      </c>
      <c r="D3233" t="s">
        <v>18113</v>
      </c>
      <c r="E3233" t="s">
        <v>21124</v>
      </c>
      <c r="F3233" t="s">
        <v>31362</v>
      </c>
      <c r="G3233" t="s">
        <v>31368</v>
      </c>
      <c r="H3233" t="s">
        <v>15799</v>
      </c>
      <c r="I3233" t="s">
        <v>31463</v>
      </c>
      <c r="J3233" t="s">
        <v>31723</v>
      </c>
      <c r="K3233" t="s">
        <v>40665</v>
      </c>
      <c r="M3233" t="s">
        <v>42129</v>
      </c>
      <c r="N3233" t="s">
        <v>44905</v>
      </c>
      <c r="O3233" t="s">
        <v>44906</v>
      </c>
      <c r="P3233">
        <v>0</v>
      </c>
      <c r="Q3233">
        <v>0</v>
      </c>
      <c r="R3233" t="s">
        <v>44908</v>
      </c>
      <c r="S3233" t="s">
        <v>45042</v>
      </c>
      <c r="T3233" t="s">
        <v>46483</v>
      </c>
      <c r="U3233" t="s">
        <v>49592</v>
      </c>
      <c r="W3233" t="s">
        <v>42129</v>
      </c>
      <c r="X3233" t="s">
        <v>44909</v>
      </c>
    </row>
    <row r="3234" spans="1:24">
      <c r="A3234">
        <f>HYPERLINK("https://www.philgeps.gov.ph/GEPSNONPILOT/Tender/SplashBidNoticeAbstractUI.aspx?menuIndex=3&amp;refID=7079547&amp;Result=3","7079547")</f>
        <v>0</v>
      </c>
      <c r="B3234" t="s">
        <v>1210</v>
      </c>
      <c r="C3234" t="s">
        <v>6615</v>
      </c>
      <c r="D3234" t="s">
        <v>18148</v>
      </c>
      <c r="E3234" t="s">
        <v>21125</v>
      </c>
      <c r="F3234" t="s">
        <v>31362</v>
      </c>
      <c r="G3234" t="s">
        <v>31369</v>
      </c>
      <c r="H3234" t="s">
        <v>15799</v>
      </c>
      <c r="I3234" t="s">
        <v>31400</v>
      </c>
      <c r="J3234" t="s">
        <v>33688</v>
      </c>
      <c r="K3234" t="s">
        <v>40662</v>
      </c>
      <c r="M3234" t="s">
        <v>42223</v>
      </c>
      <c r="N3234" t="s">
        <v>44905</v>
      </c>
      <c r="O3234" t="s">
        <v>44906</v>
      </c>
      <c r="P3234">
        <v>0</v>
      </c>
      <c r="Q3234">
        <v>2</v>
      </c>
      <c r="R3234" t="s">
        <v>44908</v>
      </c>
      <c r="S3234" t="s">
        <v>45042</v>
      </c>
      <c r="T3234" t="s">
        <v>46462</v>
      </c>
      <c r="U3234" t="s">
        <v>49593</v>
      </c>
      <c r="V3234" t="s">
        <v>59394</v>
      </c>
      <c r="W3234" t="s">
        <v>42223</v>
      </c>
      <c r="X3234" t="s">
        <v>44909</v>
      </c>
    </row>
    <row r="3235" spans="1:24">
      <c r="A3235">
        <f>HYPERLINK("https://www.philgeps.gov.ph/GEPSNONPILOT/Tender/SplashBidNoticeAbstractUI.aspx?menuIndex=3&amp;refID=7079644&amp;Result=3","7079644")</f>
        <v>0</v>
      </c>
      <c r="B3235" t="s">
        <v>312</v>
      </c>
      <c r="C3235" t="s">
        <v>6616</v>
      </c>
      <c r="D3235" t="s">
        <v>18119</v>
      </c>
      <c r="E3235" t="s">
        <v>21126</v>
      </c>
      <c r="F3235" t="s">
        <v>31362</v>
      </c>
      <c r="G3235" t="s">
        <v>31369</v>
      </c>
      <c r="H3235" t="s">
        <v>31378</v>
      </c>
      <c r="I3235" t="s">
        <v>31386</v>
      </c>
      <c r="J3235" t="s">
        <v>32006</v>
      </c>
      <c r="K3235" t="s">
        <v>40686</v>
      </c>
      <c r="M3235" t="s">
        <v>41257</v>
      </c>
      <c r="N3235" t="s">
        <v>44905</v>
      </c>
      <c r="O3235" t="s">
        <v>44906</v>
      </c>
      <c r="P3235">
        <v>0</v>
      </c>
      <c r="Q3235">
        <v>1</v>
      </c>
      <c r="R3235" t="s">
        <v>44908</v>
      </c>
      <c r="S3235" t="s">
        <v>45042</v>
      </c>
      <c r="T3235" t="s">
        <v>46449</v>
      </c>
      <c r="U3235" t="s">
        <v>49594</v>
      </c>
      <c r="W3235" t="s">
        <v>41257</v>
      </c>
      <c r="X3235" t="s">
        <v>44909</v>
      </c>
    </row>
    <row r="3236" spans="1:24">
      <c r="A3236">
        <f>HYPERLINK("https://www.philgeps.gov.ph/GEPSNONPILOT/Tender/SplashBidNoticeAbstractUI.aspx?menuIndex=3&amp;refID=7079594&amp;Result=3","7079594")</f>
        <v>0</v>
      </c>
      <c r="B3236" t="s">
        <v>1211</v>
      </c>
      <c r="C3236" t="s">
        <v>6617</v>
      </c>
      <c r="D3236" t="s">
        <v>18108</v>
      </c>
      <c r="E3236" t="s">
        <v>21127</v>
      </c>
      <c r="F3236" t="s">
        <v>31362</v>
      </c>
      <c r="G3236" t="s">
        <v>31370</v>
      </c>
      <c r="H3236" t="s">
        <v>15799</v>
      </c>
      <c r="I3236" t="s">
        <v>31408</v>
      </c>
      <c r="J3236" t="s">
        <v>33689</v>
      </c>
      <c r="K3236" t="s">
        <v>40661</v>
      </c>
      <c r="M3236" t="s">
        <v>42224</v>
      </c>
      <c r="N3236" t="s">
        <v>44905</v>
      </c>
      <c r="O3236" t="s">
        <v>44906</v>
      </c>
      <c r="P3236">
        <v>0</v>
      </c>
      <c r="Q3236">
        <v>7</v>
      </c>
      <c r="R3236" t="s">
        <v>44908</v>
      </c>
      <c r="S3236" t="s">
        <v>45042</v>
      </c>
      <c r="T3236" t="s">
        <v>46443</v>
      </c>
      <c r="U3236" t="s">
        <v>49579</v>
      </c>
      <c r="W3236" t="s">
        <v>42224</v>
      </c>
      <c r="X3236" t="s">
        <v>44909</v>
      </c>
    </row>
    <row r="3237" spans="1:24">
      <c r="A3237">
        <f>HYPERLINK("https://www.philgeps.gov.ph/GEPSNONPILOT/Tender/SplashBidNoticeAbstractUI.aspx?menuIndex=3&amp;refID=7079643&amp;Result=3","7079643")</f>
        <v>0</v>
      </c>
      <c r="B3237" t="s">
        <v>440</v>
      </c>
      <c r="C3237" t="s">
        <v>6618</v>
      </c>
      <c r="D3237" t="s">
        <v>18154</v>
      </c>
      <c r="E3237" t="s">
        <v>21128</v>
      </c>
      <c r="F3237" t="s">
        <v>31362</v>
      </c>
      <c r="G3237" t="s">
        <v>31369</v>
      </c>
      <c r="H3237" t="s">
        <v>31378</v>
      </c>
      <c r="I3237" t="s">
        <v>31386</v>
      </c>
      <c r="J3237" t="s">
        <v>33690</v>
      </c>
      <c r="K3237" t="s">
        <v>40662</v>
      </c>
      <c r="M3237" t="s">
        <v>41604</v>
      </c>
      <c r="N3237" t="s">
        <v>44905</v>
      </c>
      <c r="O3237" t="s">
        <v>44906</v>
      </c>
      <c r="P3237">
        <v>0</v>
      </c>
      <c r="Q3237">
        <v>0</v>
      </c>
      <c r="R3237" t="s">
        <v>44908</v>
      </c>
      <c r="S3237" t="s">
        <v>45042</v>
      </c>
      <c r="T3237" t="s">
        <v>46433</v>
      </c>
      <c r="U3237" t="s">
        <v>49595</v>
      </c>
      <c r="W3237" t="s">
        <v>41604</v>
      </c>
      <c r="X3237" t="s">
        <v>44909</v>
      </c>
    </row>
    <row r="3238" spans="1:24">
      <c r="A3238">
        <f>HYPERLINK("https://www.philgeps.gov.ph/GEPSNONPILOT/Tender/SplashBidNoticeAbstractUI.aspx?menuIndex=3&amp;refID=7079642&amp;Result=3","7079642")</f>
        <v>0</v>
      </c>
      <c r="B3238" t="s">
        <v>1220</v>
      </c>
      <c r="C3238" t="s">
        <v>6619</v>
      </c>
      <c r="D3238" t="s">
        <v>18100</v>
      </c>
      <c r="E3238" t="s">
        <v>21129</v>
      </c>
      <c r="F3238" t="s">
        <v>31362</v>
      </c>
      <c r="G3238" t="s">
        <v>31369</v>
      </c>
      <c r="H3238" t="s">
        <v>15799</v>
      </c>
      <c r="I3238" t="s">
        <v>31404</v>
      </c>
      <c r="J3238" t="s">
        <v>33691</v>
      </c>
      <c r="K3238" t="s">
        <v>40662</v>
      </c>
      <c r="M3238" t="s">
        <v>42233</v>
      </c>
      <c r="N3238" t="s">
        <v>44905</v>
      </c>
      <c r="O3238" t="s">
        <v>44906</v>
      </c>
      <c r="P3238">
        <v>0</v>
      </c>
      <c r="Q3238">
        <v>0</v>
      </c>
      <c r="R3238" t="s">
        <v>44908</v>
      </c>
      <c r="S3238" t="s">
        <v>45042</v>
      </c>
      <c r="T3238" t="s">
        <v>46542</v>
      </c>
      <c r="U3238" t="s">
        <v>49596</v>
      </c>
      <c r="V3238" t="s">
        <v>59396</v>
      </c>
      <c r="W3238" t="s">
        <v>42233</v>
      </c>
      <c r="X3238" t="s">
        <v>44909</v>
      </c>
    </row>
    <row r="3239" spans="1:24">
      <c r="A3239">
        <f>HYPERLINK("https://www.philgeps.gov.ph/GEPSNONPILOT/Tender/SplashBidNoticeAbstractUI.aspx?menuIndex=3&amp;refID=7079593&amp;Result=3","7079593")</f>
        <v>0</v>
      </c>
      <c r="B3239" t="s">
        <v>440</v>
      </c>
      <c r="C3239" t="s">
        <v>6620</v>
      </c>
      <c r="D3239" t="s">
        <v>18154</v>
      </c>
      <c r="E3239" t="s">
        <v>21130</v>
      </c>
      <c r="F3239" t="s">
        <v>31362</v>
      </c>
      <c r="G3239" t="s">
        <v>31369</v>
      </c>
      <c r="H3239" t="s">
        <v>15799</v>
      </c>
      <c r="I3239" t="s">
        <v>31385</v>
      </c>
      <c r="J3239" t="s">
        <v>33692</v>
      </c>
      <c r="K3239" t="s">
        <v>40662</v>
      </c>
      <c r="M3239" t="s">
        <v>41604</v>
      </c>
      <c r="N3239" t="s">
        <v>44905</v>
      </c>
      <c r="O3239" t="s">
        <v>44906</v>
      </c>
      <c r="P3239">
        <v>0</v>
      </c>
      <c r="Q3239">
        <v>2</v>
      </c>
      <c r="R3239" t="s">
        <v>44908</v>
      </c>
      <c r="S3239" t="s">
        <v>45042</v>
      </c>
      <c r="T3239" t="s">
        <v>46392</v>
      </c>
      <c r="U3239" t="s">
        <v>49597</v>
      </c>
      <c r="W3239" t="s">
        <v>41604</v>
      </c>
      <c r="X3239" t="s">
        <v>44909</v>
      </c>
    </row>
    <row r="3240" spans="1:24">
      <c r="A3240">
        <f>HYPERLINK("https://www.philgeps.gov.ph/GEPSNONPILOT/Tender/SplashBidNoticeAbstractUI.aspx?menuIndex=3&amp;refID=7079641&amp;Result=3","7079641")</f>
        <v>0</v>
      </c>
      <c r="B3240" t="s">
        <v>237</v>
      </c>
      <c r="C3240" t="s">
        <v>6621</v>
      </c>
      <c r="D3240" t="s">
        <v>18108</v>
      </c>
      <c r="E3240" t="s">
        <v>21131</v>
      </c>
      <c r="F3240" t="s">
        <v>31362</v>
      </c>
      <c r="G3240" t="s">
        <v>31368</v>
      </c>
      <c r="H3240" t="s">
        <v>15799</v>
      </c>
      <c r="I3240" t="s">
        <v>31383</v>
      </c>
      <c r="J3240" t="s">
        <v>33693</v>
      </c>
      <c r="K3240" t="s">
        <v>40670</v>
      </c>
      <c r="M3240" t="s">
        <v>42234</v>
      </c>
      <c r="N3240" t="s">
        <v>44905</v>
      </c>
      <c r="O3240" t="s">
        <v>44906</v>
      </c>
      <c r="P3240">
        <v>0</v>
      </c>
      <c r="Q3240">
        <v>7</v>
      </c>
      <c r="R3240" t="s">
        <v>44908</v>
      </c>
      <c r="S3240" t="s">
        <v>45042</v>
      </c>
      <c r="T3240" t="s">
        <v>46494</v>
      </c>
      <c r="U3240" t="s">
        <v>49598</v>
      </c>
      <c r="V3240" t="s">
        <v>59397</v>
      </c>
      <c r="W3240" t="s">
        <v>42234</v>
      </c>
      <c r="X3240" t="s">
        <v>44909</v>
      </c>
    </row>
    <row r="3241" spans="1:24">
      <c r="A3241">
        <f>HYPERLINK("https://www.philgeps.gov.ph/GEPSNONPILOT/Tender/SplashBidNoticeAbstractUI.aspx?menuIndex=3&amp;refID=7079639&amp;Result=3","7079639")</f>
        <v>0</v>
      </c>
      <c r="B3241" t="s">
        <v>1164</v>
      </c>
      <c r="C3241" t="s">
        <v>6622</v>
      </c>
      <c r="D3241" t="s">
        <v>18111</v>
      </c>
      <c r="E3241" t="s">
        <v>21083</v>
      </c>
      <c r="F3241" t="s">
        <v>31362</v>
      </c>
      <c r="G3241" t="s">
        <v>31370</v>
      </c>
      <c r="H3241" t="s">
        <v>15799</v>
      </c>
      <c r="I3241" t="s">
        <v>31406</v>
      </c>
      <c r="J3241" t="s">
        <v>33631</v>
      </c>
      <c r="K3241" t="s">
        <v>40670</v>
      </c>
      <c r="M3241" t="s">
        <v>42174</v>
      </c>
      <c r="N3241" t="s">
        <v>44905</v>
      </c>
      <c r="O3241" t="s">
        <v>44906</v>
      </c>
      <c r="P3241">
        <v>0</v>
      </c>
      <c r="Q3241">
        <v>3</v>
      </c>
      <c r="R3241" t="s">
        <v>44908</v>
      </c>
      <c r="S3241" t="s">
        <v>45042</v>
      </c>
      <c r="T3241" t="s">
        <v>46414</v>
      </c>
      <c r="U3241" t="s">
        <v>49454</v>
      </c>
      <c r="W3241" t="s">
        <v>42174</v>
      </c>
      <c r="X3241" t="s">
        <v>44909</v>
      </c>
    </row>
    <row r="3242" spans="1:24">
      <c r="A3242">
        <f>HYPERLINK("https://www.philgeps.gov.ph/GEPSNONPILOT/Tender/SplashBidNoticeAbstractUI.aspx?menuIndex=3&amp;refID=7079598&amp;Result=3","7079598")</f>
        <v>0</v>
      </c>
      <c r="B3242" t="s">
        <v>190</v>
      </c>
      <c r="C3242" t="s">
        <v>3889</v>
      </c>
      <c r="D3242" t="s">
        <v>18101</v>
      </c>
      <c r="E3242" t="s">
        <v>21132</v>
      </c>
      <c r="F3242" t="s">
        <v>31362</v>
      </c>
      <c r="G3242" t="s">
        <v>31368</v>
      </c>
      <c r="H3242" t="s">
        <v>15799</v>
      </c>
      <c r="I3242" t="s">
        <v>3815</v>
      </c>
      <c r="J3242" t="s">
        <v>33694</v>
      </c>
      <c r="K3242" t="s">
        <v>40666</v>
      </c>
      <c r="M3242" t="s">
        <v>41128</v>
      </c>
      <c r="N3242" t="s">
        <v>44905</v>
      </c>
      <c r="O3242" t="s">
        <v>44906</v>
      </c>
      <c r="P3242">
        <v>0</v>
      </c>
      <c r="Q3242">
        <v>0</v>
      </c>
      <c r="R3242" t="s">
        <v>44908</v>
      </c>
      <c r="S3242" t="s">
        <v>45042</v>
      </c>
      <c r="T3242" t="s">
        <v>46409</v>
      </c>
      <c r="U3242" t="s">
        <v>49599</v>
      </c>
      <c r="V3242" t="s">
        <v>59398</v>
      </c>
      <c r="W3242" t="s">
        <v>41128</v>
      </c>
      <c r="X3242" t="s">
        <v>44909</v>
      </c>
    </row>
    <row r="3243" spans="1:24">
      <c r="A3243">
        <f>HYPERLINK("https://www.philgeps.gov.ph/GEPSNONPILOT/Tender/SplashBidNoticeAbstractUI.aspx?menuIndex=3&amp;refID=7079633&amp;Result=3","7079633")</f>
        <v>0</v>
      </c>
      <c r="B3243" t="s">
        <v>440</v>
      </c>
      <c r="C3243" t="s">
        <v>6623</v>
      </c>
      <c r="D3243" t="s">
        <v>18154</v>
      </c>
      <c r="E3243" t="s">
        <v>21133</v>
      </c>
      <c r="F3243" t="s">
        <v>31362</v>
      </c>
      <c r="G3243" t="s">
        <v>31369</v>
      </c>
      <c r="H3243" t="s">
        <v>31378</v>
      </c>
      <c r="I3243" t="s">
        <v>31386</v>
      </c>
      <c r="J3243" t="s">
        <v>32964</v>
      </c>
      <c r="K3243" t="s">
        <v>40662</v>
      </c>
      <c r="M3243" t="s">
        <v>41604</v>
      </c>
      <c r="N3243" t="s">
        <v>44905</v>
      </c>
      <c r="O3243" t="s">
        <v>44906</v>
      </c>
      <c r="P3243">
        <v>0</v>
      </c>
      <c r="Q3243">
        <v>0</v>
      </c>
      <c r="R3243" t="s">
        <v>44908</v>
      </c>
      <c r="S3243" t="s">
        <v>45042</v>
      </c>
      <c r="T3243" t="s">
        <v>46433</v>
      </c>
      <c r="U3243" t="s">
        <v>49600</v>
      </c>
      <c r="W3243" t="s">
        <v>41604</v>
      </c>
      <c r="X3243" t="s">
        <v>44909</v>
      </c>
    </row>
    <row r="3244" spans="1:24">
      <c r="A3244">
        <f>HYPERLINK("https://www.philgeps.gov.ph/GEPSNONPILOT/Tender/SplashBidNoticeAbstractUI.aspx?menuIndex=3&amp;refID=7079632&amp;Result=3","7079632")</f>
        <v>0</v>
      </c>
      <c r="B3244" t="s">
        <v>677</v>
      </c>
      <c r="C3244" t="s">
        <v>6624</v>
      </c>
      <c r="D3244" t="s">
        <v>18148</v>
      </c>
      <c r="E3244" t="s">
        <v>21134</v>
      </c>
      <c r="F3244" t="s">
        <v>31362</v>
      </c>
      <c r="G3244" t="s">
        <v>31368</v>
      </c>
      <c r="H3244" t="s">
        <v>15799</v>
      </c>
      <c r="I3244" t="s">
        <v>13635</v>
      </c>
      <c r="J3244" t="s">
        <v>31983</v>
      </c>
      <c r="K3244" t="s">
        <v>40666</v>
      </c>
      <c r="M3244" t="s">
        <v>41639</v>
      </c>
      <c r="N3244" t="s">
        <v>44905</v>
      </c>
      <c r="O3244" t="s">
        <v>44906</v>
      </c>
      <c r="P3244">
        <v>0</v>
      </c>
      <c r="Q3244">
        <v>0</v>
      </c>
      <c r="R3244" t="s">
        <v>44908</v>
      </c>
      <c r="S3244" t="s">
        <v>45042</v>
      </c>
      <c r="T3244" t="s">
        <v>46443</v>
      </c>
      <c r="U3244" t="s">
        <v>49601</v>
      </c>
      <c r="V3244" t="s">
        <v>59399</v>
      </c>
      <c r="W3244" t="s">
        <v>41639</v>
      </c>
      <c r="X3244" t="s">
        <v>44909</v>
      </c>
    </row>
    <row r="3245" spans="1:24">
      <c r="A3245">
        <f>HYPERLINK("https://www.philgeps.gov.ph/GEPSNONPILOT/Tender/SplashBidNoticeAbstractUI.aspx?menuIndex=3&amp;refID=7079627&amp;Result=3","7079627")</f>
        <v>0</v>
      </c>
      <c r="B3245" t="s">
        <v>1132</v>
      </c>
      <c r="C3245" t="s">
        <v>6625</v>
      </c>
      <c r="D3245" t="s">
        <v>18112</v>
      </c>
      <c r="E3245" t="s">
        <v>20894</v>
      </c>
      <c r="F3245" t="s">
        <v>31362</v>
      </c>
      <c r="G3245" t="s">
        <v>31372</v>
      </c>
      <c r="H3245" t="s">
        <v>15799</v>
      </c>
      <c r="I3245" t="s">
        <v>31429</v>
      </c>
      <c r="J3245" t="s">
        <v>31806</v>
      </c>
      <c r="K3245" t="s">
        <v>40670</v>
      </c>
      <c r="M3245" t="s">
        <v>42140</v>
      </c>
      <c r="N3245" t="s">
        <v>44905</v>
      </c>
      <c r="O3245" t="s">
        <v>44906</v>
      </c>
      <c r="P3245">
        <v>0</v>
      </c>
      <c r="Q3245">
        <v>1</v>
      </c>
      <c r="R3245" t="s">
        <v>44908</v>
      </c>
      <c r="S3245" t="s">
        <v>45042</v>
      </c>
      <c r="T3245" t="s">
        <v>46412</v>
      </c>
      <c r="U3245" t="s">
        <v>49602</v>
      </c>
      <c r="W3245" t="s">
        <v>42140</v>
      </c>
      <c r="X3245" t="s">
        <v>44909</v>
      </c>
    </row>
    <row r="3246" spans="1:24">
      <c r="A3246">
        <f>HYPERLINK("https://www.philgeps.gov.ph/GEPSNONPILOT/Tender/SplashBidNoticeAbstractUI.aspx?menuIndex=3&amp;refID=7079624&amp;Result=3","7079624")</f>
        <v>0</v>
      </c>
      <c r="B3246" t="s">
        <v>237</v>
      </c>
      <c r="C3246" t="s">
        <v>6626</v>
      </c>
      <c r="D3246" t="s">
        <v>18108</v>
      </c>
      <c r="E3246" t="s">
        <v>21135</v>
      </c>
      <c r="F3246" t="s">
        <v>31362</v>
      </c>
      <c r="G3246" t="s">
        <v>31368</v>
      </c>
      <c r="H3246" t="s">
        <v>15799</v>
      </c>
      <c r="I3246" t="s">
        <v>31380</v>
      </c>
      <c r="J3246" t="s">
        <v>31537</v>
      </c>
      <c r="K3246" t="s">
        <v>40670</v>
      </c>
      <c r="M3246" t="s">
        <v>42234</v>
      </c>
      <c r="N3246" t="s">
        <v>44905</v>
      </c>
      <c r="O3246" t="s">
        <v>44906</v>
      </c>
      <c r="P3246">
        <v>0</v>
      </c>
      <c r="Q3246">
        <v>7</v>
      </c>
      <c r="R3246" t="s">
        <v>44908</v>
      </c>
      <c r="S3246" t="s">
        <v>45042</v>
      </c>
      <c r="T3246" t="s">
        <v>46494</v>
      </c>
      <c r="U3246" t="s">
        <v>49603</v>
      </c>
      <c r="V3246" t="s">
        <v>59397</v>
      </c>
      <c r="W3246" t="s">
        <v>42234</v>
      </c>
      <c r="X3246" t="s">
        <v>44909</v>
      </c>
    </row>
    <row r="3247" spans="1:24">
      <c r="A3247">
        <f>HYPERLINK("https://www.philgeps.gov.ph/GEPSNONPILOT/Tender/SplashBidNoticeAbstractUI.aspx?menuIndex=3&amp;refID=7079623&amp;Result=3","7079623")</f>
        <v>0</v>
      </c>
      <c r="B3247" t="s">
        <v>440</v>
      </c>
      <c r="C3247" t="s">
        <v>6627</v>
      </c>
      <c r="D3247" t="s">
        <v>18154</v>
      </c>
      <c r="E3247" t="s">
        <v>21136</v>
      </c>
      <c r="F3247" t="s">
        <v>31362</v>
      </c>
      <c r="G3247" t="s">
        <v>31369</v>
      </c>
      <c r="H3247" t="s">
        <v>31378</v>
      </c>
      <c r="I3247" t="s">
        <v>31386</v>
      </c>
      <c r="J3247" t="s">
        <v>32965</v>
      </c>
      <c r="K3247" t="s">
        <v>40662</v>
      </c>
      <c r="M3247" t="s">
        <v>41604</v>
      </c>
      <c r="N3247" t="s">
        <v>44905</v>
      </c>
      <c r="O3247" t="s">
        <v>44906</v>
      </c>
      <c r="P3247">
        <v>0</v>
      </c>
      <c r="Q3247">
        <v>2</v>
      </c>
      <c r="R3247" t="s">
        <v>44908</v>
      </c>
      <c r="S3247" t="s">
        <v>45042</v>
      </c>
      <c r="T3247" t="s">
        <v>46433</v>
      </c>
      <c r="U3247" t="s">
        <v>49604</v>
      </c>
      <c r="W3247" t="s">
        <v>41604</v>
      </c>
      <c r="X3247" t="s">
        <v>44909</v>
      </c>
    </row>
    <row r="3248" spans="1:24">
      <c r="A3248">
        <f>HYPERLINK("https://www.philgeps.gov.ph/GEPSNONPILOT/Tender/SplashBidNoticeAbstractUI.aspx?menuIndex=3&amp;refID=7079635&amp;Result=3","7079635")</f>
        <v>0</v>
      </c>
      <c r="B3248" t="s">
        <v>1221</v>
      </c>
      <c r="C3248" t="s">
        <v>6628</v>
      </c>
      <c r="D3248" t="s">
        <v>18108</v>
      </c>
      <c r="E3248" t="s">
        <v>21137</v>
      </c>
      <c r="F3248" t="s">
        <v>31362</v>
      </c>
      <c r="G3248" t="s">
        <v>31369</v>
      </c>
      <c r="H3248" t="s">
        <v>15799</v>
      </c>
      <c r="I3248" t="s">
        <v>31385</v>
      </c>
      <c r="J3248" t="s">
        <v>31578</v>
      </c>
      <c r="K3248" t="s">
        <v>40661</v>
      </c>
      <c r="M3248" t="s">
        <v>42235</v>
      </c>
      <c r="N3248" t="s">
        <v>44905</v>
      </c>
      <c r="O3248" t="s">
        <v>44906</v>
      </c>
      <c r="P3248">
        <v>0</v>
      </c>
      <c r="Q3248">
        <v>1</v>
      </c>
      <c r="R3248" t="s">
        <v>44908</v>
      </c>
      <c r="S3248" t="s">
        <v>45042</v>
      </c>
      <c r="T3248" t="s">
        <v>46506</v>
      </c>
      <c r="U3248" t="s">
        <v>49605</v>
      </c>
      <c r="W3248" t="s">
        <v>42235</v>
      </c>
      <c r="X3248" t="s">
        <v>44909</v>
      </c>
    </row>
    <row r="3249" spans="1:24">
      <c r="A3249">
        <f>HYPERLINK("https://www.philgeps.gov.ph/GEPSNONPILOT/Tender/SplashBidNoticeAbstractUI.aspx?menuIndex=3&amp;refID=7079665&amp;Result=3","7079665")</f>
        <v>0</v>
      </c>
      <c r="B3249" t="s">
        <v>1092</v>
      </c>
      <c r="C3249" t="s">
        <v>6629</v>
      </c>
      <c r="D3249" t="s">
        <v>18107</v>
      </c>
      <c r="E3249" t="s">
        <v>21138</v>
      </c>
      <c r="F3249" t="s">
        <v>31362</v>
      </c>
      <c r="G3249" t="s">
        <v>31370</v>
      </c>
      <c r="H3249" t="s">
        <v>15799</v>
      </c>
      <c r="I3249" t="s">
        <v>31422</v>
      </c>
      <c r="J3249" t="s">
        <v>33695</v>
      </c>
      <c r="K3249" t="s">
        <v>40672</v>
      </c>
      <c r="M3249" t="s">
        <v>42097</v>
      </c>
      <c r="N3249" t="s">
        <v>44905</v>
      </c>
      <c r="O3249" t="s">
        <v>44906</v>
      </c>
      <c r="P3249">
        <v>0</v>
      </c>
      <c r="Q3249">
        <v>0</v>
      </c>
      <c r="R3249" t="s">
        <v>44908</v>
      </c>
      <c r="S3249" t="s">
        <v>45042</v>
      </c>
      <c r="T3249" t="s">
        <v>46409</v>
      </c>
      <c r="U3249" t="s">
        <v>49606</v>
      </c>
      <c r="W3249" t="s">
        <v>42097</v>
      </c>
      <c r="X3249" t="s">
        <v>44909</v>
      </c>
    </row>
    <row r="3250" spans="1:24">
      <c r="A3250">
        <f>HYPERLINK("https://www.philgeps.gov.ph/GEPSNONPILOT/Tender/SplashBidNoticeAbstractUI.aspx?menuIndex=3&amp;refID=7079634&amp;Result=3","7079634")</f>
        <v>0</v>
      </c>
      <c r="B3250" t="s">
        <v>1217</v>
      </c>
      <c r="C3250" t="s">
        <v>6630</v>
      </c>
      <c r="D3250" t="s">
        <v>18106</v>
      </c>
      <c r="E3250" t="s">
        <v>21139</v>
      </c>
      <c r="F3250" t="s">
        <v>31362</v>
      </c>
      <c r="G3250" t="s">
        <v>31368</v>
      </c>
      <c r="H3250" t="s">
        <v>15799</v>
      </c>
      <c r="I3250" t="s">
        <v>31393</v>
      </c>
      <c r="J3250" t="s">
        <v>33696</v>
      </c>
      <c r="K3250" t="s">
        <v>40665</v>
      </c>
      <c r="M3250" t="s">
        <v>42230</v>
      </c>
      <c r="N3250" t="s">
        <v>44905</v>
      </c>
      <c r="O3250" t="s">
        <v>44906</v>
      </c>
      <c r="P3250">
        <v>0</v>
      </c>
      <c r="Q3250">
        <v>3</v>
      </c>
      <c r="R3250" t="s">
        <v>44908</v>
      </c>
      <c r="S3250" t="s">
        <v>45042</v>
      </c>
      <c r="T3250" t="s">
        <v>46447</v>
      </c>
      <c r="U3250" t="s">
        <v>49589</v>
      </c>
      <c r="V3250" t="s">
        <v>59395</v>
      </c>
      <c r="W3250" t="s">
        <v>42230</v>
      </c>
      <c r="X3250" t="s">
        <v>44909</v>
      </c>
    </row>
    <row r="3251" spans="1:24">
      <c r="A3251">
        <f>HYPERLINK("https://www.philgeps.gov.ph/GEPSNONPILOT/Tender/SplashBidNoticeAbstractUI.aspx?menuIndex=3&amp;refID=7079675&amp;Result=3","7079675")</f>
        <v>0</v>
      </c>
      <c r="B3251" t="s">
        <v>585</v>
      </c>
      <c r="C3251" t="s">
        <v>6631</v>
      </c>
      <c r="D3251" t="s">
        <v>18100</v>
      </c>
      <c r="E3251" t="s">
        <v>21140</v>
      </c>
      <c r="F3251" t="s">
        <v>31362</v>
      </c>
      <c r="G3251" t="s">
        <v>31368</v>
      </c>
      <c r="H3251" t="s">
        <v>15799</v>
      </c>
      <c r="I3251" t="s">
        <v>6240</v>
      </c>
      <c r="J3251" t="s">
        <v>33427</v>
      </c>
      <c r="K3251" t="s">
        <v>40662</v>
      </c>
      <c r="M3251" t="s">
        <v>41542</v>
      </c>
      <c r="N3251" t="s">
        <v>44905</v>
      </c>
      <c r="O3251" t="s">
        <v>44906</v>
      </c>
      <c r="P3251">
        <v>0</v>
      </c>
      <c r="Q3251">
        <v>0</v>
      </c>
      <c r="R3251" t="s">
        <v>44908</v>
      </c>
      <c r="S3251" t="s">
        <v>45042</v>
      </c>
      <c r="T3251" t="s">
        <v>46470</v>
      </c>
      <c r="U3251" t="s">
        <v>49538</v>
      </c>
      <c r="W3251" t="s">
        <v>41542</v>
      </c>
      <c r="X3251" t="s">
        <v>44909</v>
      </c>
    </row>
    <row r="3252" spans="1:24">
      <c r="A3252">
        <f>HYPERLINK("https://www.philgeps.gov.ph/GEPSNONPILOT/Tender/SplashBidNoticeAbstractUI.aspx?menuIndex=3&amp;refID=7079631&amp;Result=3","7079631")</f>
        <v>0</v>
      </c>
      <c r="B3252" t="s">
        <v>1220</v>
      </c>
      <c r="C3252" t="s">
        <v>6632</v>
      </c>
      <c r="D3252" t="s">
        <v>18100</v>
      </c>
      <c r="E3252" t="s">
        <v>21141</v>
      </c>
      <c r="F3252" t="s">
        <v>31362</v>
      </c>
      <c r="G3252" t="s">
        <v>31369</v>
      </c>
      <c r="H3252" t="s">
        <v>15799</v>
      </c>
      <c r="I3252" t="s">
        <v>31404</v>
      </c>
      <c r="J3252" t="s">
        <v>33697</v>
      </c>
      <c r="K3252" t="s">
        <v>40662</v>
      </c>
      <c r="M3252" t="s">
        <v>42233</v>
      </c>
      <c r="N3252" t="s">
        <v>44905</v>
      </c>
      <c r="O3252" t="s">
        <v>44906</v>
      </c>
      <c r="P3252">
        <v>0</v>
      </c>
      <c r="Q3252">
        <v>0</v>
      </c>
      <c r="R3252" t="s">
        <v>44908</v>
      </c>
      <c r="S3252" t="s">
        <v>45042</v>
      </c>
      <c r="T3252" t="s">
        <v>46542</v>
      </c>
      <c r="U3252" t="s">
        <v>49607</v>
      </c>
      <c r="V3252" t="s">
        <v>59396</v>
      </c>
      <c r="W3252" t="s">
        <v>42233</v>
      </c>
      <c r="X3252" t="s">
        <v>44909</v>
      </c>
    </row>
    <row r="3253" spans="1:24">
      <c r="A3253">
        <f>HYPERLINK("https://www.philgeps.gov.ph/GEPSNONPILOT/Tender/SplashBidNoticeAbstractUI.aspx?menuIndex=3&amp;refID=7079545&amp;Result=3","7079545")</f>
        <v>0</v>
      </c>
      <c r="B3253" t="s">
        <v>1212</v>
      </c>
      <c r="C3253" t="s">
        <v>6633</v>
      </c>
      <c r="E3253" t="s">
        <v>21142</v>
      </c>
      <c r="F3253" t="s">
        <v>31362</v>
      </c>
      <c r="G3253" t="s">
        <v>31368</v>
      </c>
      <c r="H3253" t="s">
        <v>15799</v>
      </c>
      <c r="I3253" t="s">
        <v>31481</v>
      </c>
      <c r="J3253" t="s">
        <v>33698</v>
      </c>
      <c r="K3253" t="s">
        <v>40662</v>
      </c>
      <c r="M3253" t="s">
        <v>42225</v>
      </c>
      <c r="N3253" t="s">
        <v>44905</v>
      </c>
      <c r="O3253" t="s">
        <v>44906</v>
      </c>
      <c r="P3253">
        <v>0</v>
      </c>
      <c r="Q3253">
        <v>0</v>
      </c>
      <c r="R3253" t="s">
        <v>44908</v>
      </c>
      <c r="S3253" t="s">
        <v>45042</v>
      </c>
      <c r="T3253" t="s">
        <v>46403</v>
      </c>
      <c r="U3253" t="s">
        <v>47665</v>
      </c>
      <c r="W3253" t="s">
        <v>42225</v>
      </c>
      <c r="X3253" t="s">
        <v>44909</v>
      </c>
    </row>
    <row r="3254" spans="1:24">
      <c r="A3254">
        <f>HYPERLINK("https://www.philgeps.gov.ph/GEPSNONPILOT/Tender/SplashBidNoticeAbstractUI.aspx?menuIndex=3&amp;refID=7079673&amp;Result=3","7079673")</f>
        <v>0</v>
      </c>
      <c r="B3254" t="s">
        <v>1222</v>
      </c>
      <c r="C3254" t="s">
        <v>6634</v>
      </c>
      <c r="D3254" t="s">
        <v>18141</v>
      </c>
      <c r="E3254" t="s">
        <v>21143</v>
      </c>
      <c r="F3254" t="s">
        <v>31362</v>
      </c>
      <c r="G3254" t="s">
        <v>31370</v>
      </c>
      <c r="H3254" t="s">
        <v>15799</v>
      </c>
      <c r="I3254" t="s">
        <v>7188</v>
      </c>
      <c r="J3254" t="s">
        <v>31806</v>
      </c>
      <c r="K3254" t="s">
        <v>40672</v>
      </c>
      <c r="M3254" t="s">
        <v>42236</v>
      </c>
      <c r="N3254" t="s">
        <v>44905</v>
      </c>
      <c r="O3254" t="s">
        <v>44906</v>
      </c>
      <c r="P3254">
        <v>0</v>
      </c>
      <c r="Q3254">
        <v>3</v>
      </c>
      <c r="R3254" t="s">
        <v>44908</v>
      </c>
      <c r="S3254" t="s">
        <v>45042</v>
      </c>
      <c r="T3254" t="s">
        <v>46411</v>
      </c>
      <c r="U3254" t="s">
        <v>49608</v>
      </c>
      <c r="W3254" t="s">
        <v>42236</v>
      </c>
      <c r="X3254" t="s">
        <v>44909</v>
      </c>
    </row>
    <row r="3255" spans="1:24">
      <c r="A3255">
        <f>HYPERLINK("https://www.philgeps.gov.ph/GEPSNONPILOT/Tender/SplashBidNoticeAbstractUI.aspx?menuIndex=3&amp;refID=7079638&amp;Result=3","7079638")</f>
        <v>0</v>
      </c>
      <c r="B3255" t="s">
        <v>1223</v>
      </c>
      <c r="C3255" t="s">
        <v>6635</v>
      </c>
      <c r="D3255" t="s">
        <v>18126</v>
      </c>
      <c r="E3255" t="s">
        <v>21144</v>
      </c>
      <c r="F3255" t="s">
        <v>31362</v>
      </c>
      <c r="G3255" t="s">
        <v>31370</v>
      </c>
      <c r="H3255" t="s">
        <v>15799</v>
      </c>
      <c r="I3255" t="s">
        <v>31387</v>
      </c>
      <c r="J3255" t="s">
        <v>33699</v>
      </c>
      <c r="K3255" t="s">
        <v>40693</v>
      </c>
      <c r="M3255" t="s">
        <v>42237</v>
      </c>
      <c r="N3255" t="s">
        <v>44905</v>
      </c>
      <c r="O3255" t="s">
        <v>44906</v>
      </c>
      <c r="P3255">
        <v>0</v>
      </c>
      <c r="Q3255">
        <v>0</v>
      </c>
      <c r="R3255" t="s">
        <v>44908</v>
      </c>
      <c r="S3255" t="s">
        <v>45042</v>
      </c>
      <c r="T3255" t="s">
        <v>46409</v>
      </c>
      <c r="U3255" t="s">
        <v>49609</v>
      </c>
      <c r="W3255" t="s">
        <v>42237</v>
      </c>
      <c r="X3255" t="s">
        <v>44909</v>
      </c>
    </row>
    <row r="3256" spans="1:24">
      <c r="A3256">
        <f>HYPERLINK("https://www.philgeps.gov.ph/GEPSNONPILOT/Tender/SplashBidNoticeAbstractUI.aspx?menuIndex=3&amp;refID=7079672&amp;Result=3","7079672")</f>
        <v>0</v>
      </c>
      <c r="B3256" t="s">
        <v>1224</v>
      </c>
      <c r="C3256" t="s">
        <v>6636</v>
      </c>
      <c r="D3256" t="s">
        <v>18133</v>
      </c>
      <c r="E3256" t="s">
        <v>21145</v>
      </c>
      <c r="F3256" t="s">
        <v>31362</v>
      </c>
      <c r="G3256" t="s">
        <v>31368</v>
      </c>
      <c r="H3256" t="s">
        <v>15799</v>
      </c>
      <c r="I3256" t="s">
        <v>31459</v>
      </c>
      <c r="J3256" t="s">
        <v>33700</v>
      </c>
      <c r="K3256" t="s">
        <v>40666</v>
      </c>
      <c r="M3256" t="s">
        <v>42238</v>
      </c>
      <c r="N3256" t="s">
        <v>44905</v>
      </c>
      <c r="O3256" t="s">
        <v>44906</v>
      </c>
      <c r="P3256">
        <v>0</v>
      </c>
      <c r="Q3256">
        <v>1</v>
      </c>
      <c r="R3256" t="s">
        <v>44908</v>
      </c>
      <c r="S3256" t="s">
        <v>45042</v>
      </c>
      <c r="T3256" t="s">
        <v>46408</v>
      </c>
      <c r="U3256" t="s">
        <v>49610</v>
      </c>
      <c r="W3256" t="s">
        <v>42238</v>
      </c>
      <c r="X3256" t="s">
        <v>44909</v>
      </c>
    </row>
    <row r="3257" spans="1:24">
      <c r="A3257">
        <f>HYPERLINK("https://www.philgeps.gov.ph/GEPSNONPILOT/Tender/SplashBidNoticeAbstractUI.aspx?menuIndex=3&amp;refID=7079666&amp;Result=3","7079666")</f>
        <v>0</v>
      </c>
      <c r="B3257" t="s">
        <v>1225</v>
      </c>
      <c r="C3257" t="s">
        <v>6637</v>
      </c>
      <c r="D3257" t="s">
        <v>18148</v>
      </c>
      <c r="E3257" t="s">
        <v>21146</v>
      </c>
      <c r="F3257" t="s">
        <v>31362</v>
      </c>
      <c r="G3257" t="s">
        <v>31368</v>
      </c>
      <c r="H3257" t="s">
        <v>31377</v>
      </c>
      <c r="I3257" t="s">
        <v>31386</v>
      </c>
      <c r="J3257" t="s">
        <v>33701</v>
      </c>
      <c r="K3257" t="s">
        <v>40758</v>
      </c>
      <c r="L3257" t="s">
        <v>1225</v>
      </c>
      <c r="M3257" t="s">
        <v>42239</v>
      </c>
      <c r="N3257" t="s">
        <v>44905</v>
      </c>
      <c r="O3257" t="s">
        <v>44906</v>
      </c>
      <c r="P3257">
        <v>0</v>
      </c>
      <c r="Q3257">
        <v>0</v>
      </c>
      <c r="R3257" t="s">
        <v>44908</v>
      </c>
      <c r="S3257" t="s">
        <v>45042</v>
      </c>
      <c r="T3257" t="s">
        <v>46435</v>
      </c>
      <c r="U3257" t="s">
        <v>49611</v>
      </c>
      <c r="W3257" t="s">
        <v>42239</v>
      </c>
      <c r="X3257" t="s">
        <v>44909</v>
      </c>
    </row>
    <row r="3258" spans="1:24">
      <c r="A3258">
        <f>HYPERLINK("https://www.philgeps.gov.ph/GEPSNONPILOT/Tender/SplashBidNoticeAbstractUI.aspx?menuIndex=3&amp;refID=7079663&amp;Result=3","7079663")</f>
        <v>0</v>
      </c>
      <c r="B3258" t="s">
        <v>1226</v>
      </c>
      <c r="C3258" t="s">
        <v>6638</v>
      </c>
      <c r="D3258" t="s">
        <v>18112</v>
      </c>
      <c r="E3258" t="s">
        <v>20783</v>
      </c>
      <c r="F3258" t="s">
        <v>31362</v>
      </c>
      <c r="G3258" t="s">
        <v>31370</v>
      </c>
      <c r="H3258" t="s">
        <v>15799</v>
      </c>
      <c r="I3258" t="s">
        <v>31431</v>
      </c>
      <c r="J3258" t="s">
        <v>33702</v>
      </c>
      <c r="K3258" t="s">
        <v>40672</v>
      </c>
      <c r="M3258" t="s">
        <v>42240</v>
      </c>
      <c r="N3258" t="s">
        <v>44905</v>
      </c>
      <c r="O3258" t="s">
        <v>44906</v>
      </c>
      <c r="P3258">
        <v>0</v>
      </c>
      <c r="Q3258">
        <v>0</v>
      </c>
      <c r="R3258" t="s">
        <v>44908</v>
      </c>
      <c r="S3258" t="s">
        <v>45042</v>
      </c>
      <c r="T3258" t="s">
        <v>46534</v>
      </c>
      <c r="U3258" t="s">
        <v>49612</v>
      </c>
      <c r="W3258" t="s">
        <v>42240</v>
      </c>
      <c r="X3258" t="s">
        <v>44909</v>
      </c>
    </row>
    <row r="3259" spans="1:24">
      <c r="A3259">
        <f>HYPERLINK("https://www.philgeps.gov.ph/GEPSNONPILOT/Tender/SplashBidNoticeAbstractUI.aspx?menuIndex=3&amp;refID=7079646&amp;Result=3","7079646")</f>
        <v>0</v>
      </c>
      <c r="B3259" t="s">
        <v>1227</v>
      </c>
      <c r="C3259" t="s">
        <v>6639</v>
      </c>
      <c r="D3259" t="s">
        <v>18158</v>
      </c>
      <c r="E3259" t="s">
        <v>21147</v>
      </c>
      <c r="F3259" t="s">
        <v>31362</v>
      </c>
      <c r="G3259" t="s">
        <v>31369</v>
      </c>
      <c r="H3259" t="s">
        <v>31378</v>
      </c>
      <c r="I3259" t="s">
        <v>31427</v>
      </c>
      <c r="J3259" t="s">
        <v>33703</v>
      </c>
      <c r="K3259" t="s">
        <v>40666</v>
      </c>
      <c r="M3259" t="s">
        <v>42241</v>
      </c>
      <c r="N3259" t="s">
        <v>44905</v>
      </c>
      <c r="O3259" t="s">
        <v>44906</v>
      </c>
      <c r="P3259">
        <v>0</v>
      </c>
      <c r="Q3259">
        <v>0</v>
      </c>
      <c r="R3259" t="s">
        <v>44908</v>
      </c>
      <c r="S3259" t="s">
        <v>45042</v>
      </c>
      <c r="T3259" t="s">
        <v>46426</v>
      </c>
      <c r="U3259" t="s">
        <v>49613</v>
      </c>
      <c r="W3259" t="s">
        <v>42241</v>
      </c>
      <c r="X3259" t="s">
        <v>44909</v>
      </c>
    </row>
    <row r="3260" spans="1:24">
      <c r="A3260">
        <f>HYPERLINK("https://www.philgeps.gov.ph/GEPSNONPILOT/Tender/SplashBidNoticeAbstractUI.aspx?menuIndex=3&amp;refID=7079661&amp;Result=3","7079661")</f>
        <v>0</v>
      </c>
      <c r="B3260" t="s">
        <v>982</v>
      </c>
      <c r="C3260" t="s">
        <v>6640</v>
      </c>
      <c r="D3260" t="s">
        <v>18106</v>
      </c>
      <c r="E3260" t="s">
        <v>21148</v>
      </c>
      <c r="F3260" t="s">
        <v>31362</v>
      </c>
      <c r="G3260" t="s">
        <v>31368</v>
      </c>
      <c r="H3260" t="s">
        <v>15799</v>
      </c>
      <c r="I3260" t="s">
        <v>7188</v>
      </c>
      <c r="J3260" t="s">
        <v>33704</v>
      </c>
      <c r="K3260" t="s">
        <v>40670</v>
      </c>
      <c r="M3260" t="s">
        <v>41974</v>
      </c>
      <c r="N3260" t="s">
        <v>44905</v>
      </c>
      <c r="O3260" t="s">
        <v>44906</v>
      </c>
      <c r="P3260">
        <v>0</v>
      </c>
      <c r="Q3260">
        <v>2</v>
      </c>
      <c r="R3260" t="s">
        <v>44908</v>
      </c>
      <c r="S3260" t="s">
        <v>45042</v>
      </c>
      <c r="T3260" t="s">
        <v>46409</v>
      </c>
      <c r="U3260" t="s">
        <v>49018</v>
      </c>
      <c r="W3260" t="s">
        <v>41974</v>
      </c>
      <c r="X3260" t="s">
        <v>44909</v>
      </c>
    </row>
    <row r="3261" spans="1:24">
      <c r="A3261">
        <f>HYPERLINK("https://www.philgeps.gov.ph/GEPSNONPILOT/Tender/SplashBidNoticeAbstractUI.aspx?menuIndex=3&amp;refID=7079668&amp;Result=3","7079668")</f>
        <v>0</v>
      </c>
      <c r="B3261" t="s">
        <v>1132</v>
      </c>
      <c r="C3261" t="s">
        <v>6641</v>
      </c>
      <c r="D3261" t="s">
        <v>18112</v>
      </c>
      <c r="E3261" t="s">
        <v>20894</v>
      </c>
      <c r="F3261" t="s">
        <v>31362</v>
      </c>
      <c r="G3261" t="s">
        <v>31372</v>
      </c>
      <c r="H3261" t="s">
        <v>15799</v>
      </c>
      <c r="I3261" t="s">
        <v>31429</v>
      </c>
      <c r="J3261" t="s">
        <v>31983</v>
      </c>
      <c r="K3261" t="s">
        <v>40670</v>
      </c>
      <c r="M3261" t="s">
        <v>42140</v>
      </c>
      <c r="N3261" t="s">
        <v>44905</v>
      </c>
      <c r="O3261" t="s">
        <v>44906</v>
      </c>
      <c r="P3261">
        <v>0</v>
      </c>
      <c r="Q3261">
        <v>2</v>
      </c>
      <c r="R3261" t="s">
        <v>44908</v>
      </c>
      <c r="S3261" t="s">
        <v>45042</v>
      </c>
      <c r="T3261" t="s">
        <v>46412</v>
      </c>
      <c r="U3261" t="s">
        <v>49614</v>
      </c>
      <c r="W3261" t="s">
        <v>42140</v>
      </c>
      <c r="X3261" t="s">
        <v>44909</v>
      </c>
    </row>
    <row r="3262" spans="1:24">
      <c r="A3262">
        <f>HYPERLINK("https://www.philgeps.gov.ph/GEPSNONPILOT/Tender/SplashBidNoticeAbstractUI.aspx?menuIndex=3&amp;refID=7079659&amp;Result=3","7079659")</f>
        <v>0</v>
      </c>
      <c r="B3262" t="s">
        <v>1228</v>
      </c>
      <c r="C3262" t="s">
        <v>6642</v>
      </c>
      <c r="D3262" t="s">
        <v>18100</v>
      </c>
      <c r="E3262" t="s">
        <v>21149</v>
      </c>
      <c r="F3262" t="s">
        <v>31362</v>
      </c>
      <c r="G3262" t="s">
        <v>31369</v>
      </c>
      <c r="H3262" t="s">
        <v>15799</v>
      </c>
      <c r="I3262" t="s">
        <v>31385</v>
      </c>
      <c r="J3262" t="s">
        <v>33705</v>
      </c>
      <c r="K3262" t="s">
        <v>40693</v>
      </c>
      <c r="M3262" t="s">
        <v>42242</v>
      </c>
      <c r="N3262" t="s">
        <v>44905</v>
      </c>
      <c r="O3262" t="s">
        <v>44906</v>
      </c>
      <c r="P3262">
        <v>0</v>
      </c>
      <c r="Q3262">
        <v>0</v>
      </c>
      <c r="R3262" t="s">
        <v>44908</v>
      </c>
      <c r="S3262" t="s">
        <v>45042</v>
      </c>
      <c r="T3262" t="s">
        <v>46419</v>
      </c>
      <c r="U3262" t="s">
        <v>49615</v>
      </c>
      <c r="W3262" t="s">
        <v>42242</v>
      </c>
      <c r="X3262" t="s">
        <v>44909</v>
      </c>
    </row>
    <row r="3263" spans="1:24">
      <c r="A3263">
        <f>HYPERLINK("https://www.philgeps.gov.ph/GEPSNONPILOT/Tender/SplashBidNoticeAbstractUI.aspx?menuIndex=3&amp;refID=7079654&amp;Result=3","7079654")</f>
        <v>0</v>
      </c>
      <c r="B3263" t="s">
        <v>1229</v>
      </c>
      <c r="C3263" t="s">
        <v>6643</v>
      </c>
      <c r="D3263" t="s">
        <v>18106</v>
      </c>
      <c r="E3263" t="s">
        <v>21150</v>
      </c>
      <c r="F3263" t="s">
        <v>31362</v>
      </c>
      <c r="G3263" t="s">
        <v>31371</v>
      </c>
      <c r="H3263" t="s">
        <v>15799</v>
      </c>
      <c r="I3263" t="s">
        <v>7188</v>
      </c>
      <c r="J3263" t="s">
        <v>31731</v>
      </c>
      <c r="K3263" t="s">
        <v>40693</v>
      </c>
      <c r="M3263" t="s">
        <v>42243</v>
      </c>
      <c r="N3263" t="s">
        <v>44905</v>
      </c>
      <c r="O3263" t="s">
        <v>44906</v>
      </c>
      <c r="P3263">
        <v>0</v>
      </c>
      <c r="Q3263">
        <v>3</v>
      </c>
      <c r="R3263" t="s">
        <v>44908</v>
      </c>
      <c r="S3263" t="s">
        <v>45042</v>
      </c>
      <c r="T3263" t="s">
        <v>46454</v>
      </c>
      <c r="U3263" t="s">
        <v>49616</v>
      </c>
      <c r="W3263" t="s">
        <v>42243</v>
      </c>
      <c r="X3263" t="s">
        <v>44909</v>
      </c>
    </row>
    <row r="3264" spans="1:24">
      <c r="A3264">
        <f>HYPERLINK("https://www.philgeps.gov.ph/GEPSNONPILOT/Tender/SplashBidNoticeAbstractUI.aspx?menuIndex=3&amp;refID=7079664&amp;Result=3","7079664")</f>
        <v>0</v>
      </c>
      <c r="B3264" t="s">
        <v>1230</v>
      </c>
      <c r="C3264" t="s">
        <v>6644</v>
      </c>
      <c r="D3264" t="s">
        <v>18106</v>
      </c>
      <c r="E3264" t="s">
        <v>21151</v>
      </c>
      <c r="F3264" t="s">
        <v>31362</v>
      </c>
      <c r="G3264" t="s">
        <v>31370</v>
      </c>
      <c r="H3264" t="s">
        <v>15799</v>
      </c>
      <c r="I3264" t="s">
        <v>7188</v>
      </c>
      <c r="J3264" t="s">
        <v>33706</v>
      </c>
      <c r="K3264" t="s">
        <v>40661</v>
      </c>
      <c r="M3264" t="s">
        <v>42244</v>
      </c>
      <c r="N3264" t="s">
        <v>44905</v>
      </c>
      <c r="O3264" t="s">
        <v>44906</v>
      </c>
      <c r="P3264">
        <v>0</v>
      </c>
      <c r="Q3264">
        <v>2</v>
      </c>
      <c r="R3264" t="s">
        <v>44908</v>
      </c>
      <c r="S3264" t="s">
        <v>45042</v>
      </c>
      <c r="T3264" t="s">
        <v>46432</v>
      </c>
      <c r="U3264" t="s">
        <v>49617</v>
      </c>
      <c r="W3264" t="s">
        <v>42244</v>
      </c>
      <c r="X3264" t="s">
        <v>44909</v>
      </c>
    </row>
    <row r="3265" spans="1:24">
      <c r="A3265">
        <f>HYPERLINK("https://www.philgeps.gov.ph/GEPSNONPILOT/Tender/SplashBidNoticeAbstractUI.aspx?menuIndex=3&amp;refID=7079652&amp;Result=3","7079652")</f>
        <v>0</v>
      </c>
      <c r="B3265" t="s">
        <v>1221</v>
      </c>
      <c r="C3265" t="s">
        <v>6645</v>
      </c>
      <c r="D3265" t="s">
        <v>18108</v>
      </c>
      <c r="E3265" t="s">
        <v>21152</v>
      </c>
      <c r="F3265" t="s">
        <v>31362</v>
      </c>
      <c r="G3265" t="s">
        <v>31369</v>
      </c>
      <c r="H3265" t="s">
        <v>15799</v>
      </c>
      <c r="I3265" t="s">
        <v>7090</v>
      </c>
      <c r="J3265" t="s">
        <v>33707</v>
      </c>
      <c r="K3265" t="s">
        <v>40661</v>
      </c>
      <c r="M3265" t="s">
        <v>42235</v>
      </c>
      <c r="N3265" t="s">
        <v>44905</v>
      </c>
      <c r="O3265" t="s">
        <v>44906</v>
      </c>
      <c r="P3265">
        <v>0</v>
      </c>
      <c r="Q3265">
        <v>1</v>
      </c>
      <c r="R3265" t="s">
        <v>44908</v>
      </c>
      <c r="S3265" t="s">
        <v>45042</v>
      </c>
      <c r="T3265" t="s">
        <v>46506</v>
      </c>
      <c r="U3265" t="s">
        <v>49618</v>
      </c>
      <c r="W3265" t="s">
        <v>42235</v>
      </c>
      <c r="X3265" t="s">
        <v>44909</v>
      </c>
    </row>
    <row r="3266" spans="1:24">
      <c r="A3266">
        <f>HYPERLINK("https://www.philgeps.gov.ph/GEPSNONPILOT/Tender/SplashBidNoticeAbstractUI.aspx?menuIndex=3&amp;refID=7079651&amp;Result=3","7079651")</f>
        <v>0</v>
      </c>
      <c r="B3266" t="s">
        <v>1231</v>
      </c>
      <c r="C3266" t="s">
        <v>6646</v>
      </c>
      <c r="D3266" t="s">
        <v>18143</v>
      </c>
      <c r="E3266" t="s">
        <v>21153</v>
      </c>
      <c r="F3266" t="s">
        <v>31362</v>
      </c>
      <c r="G3266" t="s">
        <v>31370</v>
      </c>
      <c r="H3266" t="s">
        <v>15799</v>
      </c>
      <c r="I3266" t="s">
        <v>31387</v>
      </c>
      <c r="J3266" t="s">
        <v>33708</v>
      </c>
      <c r="K3266" t="s">
        <v>40670</v>
      </c>
      <c r="M3266" t="s">
        <v>42245</v>
      </c>
      <c r="N3266" t="s">
        <v>44905</v>
      </c>
      <c r="O3266" t="s">
        <v>44906</v>
      </c>
      <c r="P3266">
        <v>0</v>
      </c>
      <c r="Q3266">
        <v>1</v>
      </c>
      <c r="R3266" t="s">
        <v>44908</v>
      </c>
      <c r="S3266" t="s">
        <v>45042</v>
      </c>
      <c r="T3266" t="s">
        <v>46425</v>
      </c>
      <c r="U3266" t="s">
        <v>49619</v>
      </c>
      <c r="W3266" t="s">
        <v>42245</v>
      </c>
      <c r="X3266" t="s">
        <v>44909</v>
      </c>
    </row>
    <row r="3267" spans="1:24">
      <c r="A3267">
        <f>HYPERLINK("https://www.philgeps.gov.ph/GEPSNONPILOT/Tender/SplashBidNoticeAbstractUI.aspx?menuIndex=3&amp;refID=7079670&amp;Result=3","7079670")</f>
        <v>0</v>
      </c>
      <c r="B3267" t="s">
        <v>1232</v>
      </c>
      <c r="C3267" t="s">
        <v>6647</v>
      </c>
      <c r="D3267" t="s">
        <v>18110</v>
      </c>
      <c r="E3267" t="s">
        <v>21154</v>
      </c>
      <c r="F3267" t="s">
        <v>31362</v>
      </c>
      <c r="G3267" t="s">
        <v>31368</v>
      </c>
      <c r="H3267" t="s">
        <v>15799</v>
      </c>
      <c r="I3267" t="s">
        <v>6373</v>
      </c>
      <c r="J3267" t="s">
        <v>32065</v>
      </c>
      <c r="K3267" t="s">
        <v>40697</v>
      </c>
      <c r="M3267" t="s">
        <v>42246</v>
      </c>
      <c r="N3267" t="s">
        <v>44905</v>
      </c>
      <c r="O3267" t="s">
        <v>44906</v>
      </c>
      <c r="P3267">
        <v>0</v>
      </c>
      <c r="Q3267">
        <v>0</v>
      </c>
      <c r="R3267" t="s">
        <v>44908</v>
      </c>
      <c r="S3267" t="s">
        <v>45042</v>
      </c>
      <c r="T3267" t="s">
        <v>46408</v>
      </c>
      <c r="U3267" t="s">
        <v>49620</v>
      </c>
      <c r="W3267" t="s">
        <v>42246</v>
      </c>
      <c r="X3267" t="s">
        <v>44909</v>
      </c>
    </row>
    <row r="3268" spans="1:24">
      <c r="A3268">
        <f>HYPERLINK("https://www.philgeps.gov.ph/GEPSNONPILOT/Tender/SplashBidNoticeAbstractUI.aspx?menuIndex=3&amp;refID=7079649&amp;Result=3","7079649")</f>
        <v>0</v>
      </c>
      <c r="B3268" t="s">
        <v>1220</v>
      </c>
      <c r="C3268" t="s">
        <v>6648</v>
      </c>
      <c r="D3268" t="s">
        <v>18100</v>
      </c>
      <c r="E3268" t="s">
        <v>21155</v>
      </c>
      <c r="F3268" t="s">
        <v>31362</v>
      </c>
      <c r="G3268" t="s">
        <v>31369</v>
      </c>
      <c r="H3268" t="s">
        <v>15799</v>
      </c>
      <c r="I3268" t="s">
        <v>7719</v>
      </c>
      <c r="J3268" t="s">
        <v>33709</v>
      </c>
      <c r="K3268" t="s">
        <v>40662</v>
      </c>
      <c r="M3268" t="s">
        <v>42233</v>
      </c>
      <c r="N3268" t="s">
        <v>44905</v>
      </c>
      <c r="O3268" t="s">
        <v>44906</v>
      </c>
      <c r="P3268">
        <v>0</v>
      </c>
      <c r="Q3268">
        <v>4</v>
      </c>
      <c r="R3268" t="s">
        <v>44908</v>
      </c>
      <c r="S3268" t="s">
        <v>45042</v>
      </c>
      <c r="T3268" t="s">
        <v>46542</v>
      </c>
      <c r="U3268" t="s">
        <v>49621</v>
      </c>
      <c r="V3268" t="s">
        <v>59396</v>
      </c>
      <c r="W3268" t="s">
        <v>42233</v>
      </c>
      <c r="X3268" t="s">
        <v>44909</v>
      </c>
    </row>
    <row r="3269" spans="1:24">
      <c r="A3269">
        <f>HYPERLINK("https://www.philgeps.gov.ph/GEPSNONPILOT/Tender/SplashBidNoticeAbstractUI.aspx?menuIndex=3&amp;refID=7079650&amp;Result=3","7079650")</f>
        <v>0</v>
      </c>
      <c r="B3269" t="s">
        <v>1217</v>
      </c>
      <c r="C3269" t="s">
        <v>6649</v>
      </c>
      <c r="D3269" t="s">
        <v>18106</v>
      </c>
      <c r="E3269" t="s">
        <v>21156</v>
      </c>
      <c r="F3269" t="s">
        <v>31362</v>
      </c>
      <c r="G3269" t="s">
        <v>31368</v>
      </c>
      <c r="H3269" t="s">
        <v>15799</v>
      </c>
      <c r="I3269" t="s">
        <v>7090</v>
      </c>
      <c r="J3269" t="s">
        <v>33710</v>
      </c>
      <c r="K3269" t="s">
        <v>40665</v>
      </c>
      <c r="M3269" t="s">
        <v>42230</v>
      </c>
      <c r="N3269" t="s">
        <v>44905</v>
      </c>
      <c r="O3269" t="s">
        <v>44906</v>
      </c>
      <c r="P3269">
        <v>0</v>
      </c>
      <c r="Q3269">
        <v>1</v>
      </c>
      <c r="R3269" t="s">
        <v>44908</v>
      </c>
      <c r="S3269" t="s">
        <v>45042</v>
      </c>
      <c r="T3269" t="s">
        <v>46447</v>
      </c>
      <c r="U3269" t="s">
        <v>49589</v>
      </c>
      <c r="V3269" t="s">
        <v>59395</v>
      </c>
      <c r="W3269" t="s">
        <v>42230</v>
      </c>
      <c r="X3269" t="s">
        <v>44909</v>
      </c>
    </row>
    <row r="3270" spans="1:24">
      <c r="A3270">
        <f>HYPERLINK("https://www.philgeps.gov.ph/GEPSNONPILOT/Tender/SplashBidNoticeAbstractUI.aspx?menuIndex=3&amp;refID=7079620&amp;Result=3","7079620")</f>
        <v>0</v>
      </c>
      <c r="B3270" t="s">
        <v>1212</v>
      </c>
      <c r="C3270" t="s">
        <v>6650</v>
      </c>
      <c r="E3270" t="s">
        <v>21157</v>
      </c>
      <c r="F3270" t="s">
        <v>31362</v>
      </c>
      <c r="G3270" t="s">
        <v>31368</v>
      </c>
      <c r="H3270" t="s">
        <v>15799</v>
      </c>
      <c r="I3270" t="s">
        <v>31481</v>
      </c>
      <c r="J3270" t="s">
        <v>33711</v>
      </c>
      <c r="K3270" t="s">
        <v>40662</v>
      </c>
      <c r="M3270" t="s">
        <v>42225</v>
      </c>
      <c r="N3270" t="s">
        <v>44905</v>
      </c>
      <c r="O3270" t="s">
        <v>44906</v>
      </c>
      <c r="P3270">
        <v>0</v>
      </c>
      <c r="Q3270">
        <v>1</v>
      </c>
      <c r="R3270" t="s">
        <v>44908</v>
      </c>
      <c r="S3270" t="s">
        <v>45042</v>
      </c>
      <c r="T3270" t="s">
        <v>46403</v>
      </c>
      <c r="U3270" t="s">
        <v>47665</v>
      </c>
      <c r="W3270" t="s">
        <v>42225</v>
      </c>
      <c r="X3270" t="s">
        <v>44909</v>
      </c>
    </row>
    <row r="3271" spans="1:24">
      <c r="A3271">
        <f>HYPERLINK("https://www.philgeps.gov.ph/GEPSNONPILOT/Tender/SplashBidNoticeAbstractUI.aspx?menuIndex=3&amp;refID=7079618&amp;Result=3","7079618")</f>
        <v>0</v>
      </c>
      <c r="B3271" t="s">
        <v>1233</v>
      </c>
      <c r="C3271" t="s">
        <v>6651</v>
      </c>
      <c r="D3271" t="s">
        <v>18108</v>
      </c>
      <c r="E3271" t="s">
        <v>19956</v>
      </c>
      <c r="F3271" t="s">
        <v>31362</v>
      </c>
      <c r="G3271" t="s">
        <v>31368</v>
      </c>
      <c r="H3271" t="s">
        <v>15799</v>
      </c>
      <c r="I3271" t="s">
        <v>7090</v>
      </c>
      <c r="J3271" t="s">
        <v>32249</v>
      </c>
      <c r="K3271" t="s">
        <v>40662</v>
      </c>
      <c r="M3271" t="s">
        <v>42247</v>
      </c>
      <c r="N3271" t="s">
        <v>44905</v>
      </c>
      <c r="O3271" t="s">
        <v>44906</v>
      </c>
      <c r="P3271">
        <v>0</v>
      </c>
      <c r="Q3271">
        <v>3</v>
      </c>
      <c r="R3271" t="s">
        <v>44908</v>
      </c>
      <c r="S3271" t="s">
        <v>45042</v>
      </c>
      <c r="T3271" t="s">
        <v>46393</v>
      </c>
      <c r="U3271" t="s">
        <v>49622</v>
      </c>
      <c r="W3271" t="s">
        <v>42247</v>
      </c>
      <c r="X3271" t="s">
        <v>44909</v>
      </c>
    </row>
    <row r="3272" spans="1:24">
      <c r="A3272">
        <f>HYPERLINK("https://www.philgeps.gov.ph/GEPSNONPILOT/Tender/SplashBidNoticeAbstractUI.aspx?menuIndex=3&amp;refID=7079613&amp;Result=3","7079613")</f>
        <v>0</v>
      </c>
      <c r="B3272" t="s">
        <v>1234</v>
      </c>
      <c r="C3272" t="s">
        <v>6652</v>
      </c>
      <c r="D3272" t="s">
        <v>18131</v>
      </c>
      <c r="E3272" t="s">
        <v>21158</v>
      </c>
      <c r="F3272" t="s">
        <v>31362</v>
      </c>
      <c r="G3272" t="s">
        <v>31368</v>
      </c>
      <c r="H3272" t="s">
        <v>15799</v>
      </c>
      <c r="I3272" t="s">
        <v>31445</v>
      </c>
      <c r="J3272" t="s">
        <v>31734</v>
      </c>
      <c r="K3272" t="s">
        <v>40666</v>
      </c>
      <c r="M3272" t="s">
        <v>42248</v>
      </c>
      <c r="N3272" t="s">
        <v>44905</v>
      </c>
      <c r="O3272" t="s">
        <v>44906</v>
      </c>
      <c r="P3272">
        <v>0</v>
      </c>
      <c r="Q3272">
        <v>2</v>
      </c>
      <c r="R3272" t="s">
        <v>44908</v>
      </c>
      <c r="S3272" t="s">
        <v>45042</v>
      </c>
      <c r="T3272" t="s">
        <v>46454</v>
      </c>
      <c r="U3272" t="s">
        <v>49623</v>
      </c>
      <c r="W3272" t="s">
        <v>42248</v>
      </c>
      <c r="X3272" t="s">
        <v>44909</v>
      </c>
    </row>
    <row r="3273" spans="1:24">
      <c r="A3273">
        <f>HYPERLINK("https://www.philgeps.gov.ph/GEPSNONPILOT/Tender/SplashBidNoticeAbstractUI.aspx?menuIndex=3&amp;refID=7079658&amp;Result=3","7079658")</f>
        <v>0</v>
      </c>
      <c r="B3273" t="s">
        <v>1164</v>
      </c>
      <c r="C3273" t="s">
        <v>6653</v>
      </c>
      <c r="D3273" t="s">
        <v>18111</v>
      </c>
      <c r="E3273" t="s">
        <v>21083</v>
      </c>
      <c r="F3273" t="s">
        <v>31362</v>
      </c>
      <c r="G3273" t="s">
        <v>31370</v>
      </c>
      <c r="H3273" t="s">
        <v>15799</v>
      </c>
      <c r="I3273" t="s">
        <v>31423</v>
      </c>
      <c r="J3273" t="s">
        <v>33712</v>
      </c>
      <c r="K3273" t="s">
        <v>40670</v>
      </c>
      <c r="M3273" t="s">
        <v>42174</v>
      </c>
      <c r="N3273" t="s">
        <v>44905</v>
      </c>
      <c r="O3273" t="s">
        <v>44906</v>
      </c>
      <c r="P3273">
        <v>0</v>
      </c>
      <c r="Q3273">
        <v>2</v>
      </c>
      <c r="R3273" t="s">
        <v>44908</v>
      </c>
      <c r="S3273" t="s">
        <v>45042</v>
      </c>
      <c r="T3273" t="s">
        <v>46414</v>
      </c>
      <c r="U3273" t="s">
        <v>49454</v>
      </c>
      <c r="W3273" t="s">
        <v>42174</v>
      </c>
      <c r="X3273" t="s">
        <v>44909</v>
      </c>
    </row>
    <row r="3274" spans="1:24">
      <c r="A3274">
        <f>HYPERLINK("https://www.philgeps.gov.ph/GEPSNONPILOT/Tender/SplashBidNoticeAbstractUI.aspx?menuIndex=3&amp;refID=7079584&amp;Result=3","7079584")</f>
        <v>0</v>
      </c>
      <c r="B3274" t="s">
        <v>1167</v>
      </c>
      <c r="C3274" t="s">
        <v>6654</v>
      </c>
      <c r="D3274" t="s">
        <v>18151</v>
      </c>
      <c r="E3274" t="s">
        <v>21159</v>
      </c>
      <c r="F3274" t="s">
        <v>31362</v>
      </c>
      <c r="G3274" t="s">
        <v>31369</v>
      </c>
      <c r="H3274" t="s">
        <v>31378</v>
      </c>
      <c r="I3274" t="s">
        <v>31386</v>
      </c>
      <c r="J3274" t="s">
        <v>33713</v>
      </c>
      <c r="K3274" t="s">
        <v>40684</v>
      </c>
      <c r="M3274" t="s">
        <v>42177</v>
      </c>
      <c r="N3274" t="s">
        <v>44905</v>
      </c>
      <c r="O3274" t="s">
        <v>44906</v>
      </c>
      <c r="P3274">
        <v>0</v>
      </c>
      <c r="Q3274">
        <v>1</v>
      </c>
      <c r="R3274" t="s">
        <v>44908</v>
      </c>
      <c r="S3274" t="s">
        <v>45042</v>
      </c>
      <c r="T3274" t="s">
        <v>46449</v>
      </c>
      <c r="U3274" t="s">
        <v>49459</v>
      </c>
      <c r="W3274" t="s">
        <v>42177</v>
      </c>
      <c r="X3274" t="s">
        <v>44909</v>
      </c>
    </row>
    <row r="3275" spans="1:24">
      <c r="A3275">
        <f>HYPERLINK("https://www.philgeps.gov.ph/GEPSNONPILOT/Tender/SplashBidNoticeAbstractUI.aspx?menuIndex=3&amp;refID=7079656&amp;Result=3","7079656")</f>
        <v>0</v>
      </c>
      <c r="B3275" t="s">
        <v>1235</v>
      </c>
      <c r="C3275" t="s">
        <v>6655</v>
      </c>
      <c r="E3275" t="s">
        <v>21160</v>
      </c>
      <c r="F3275" t="s">
        <v>31362</v>
      </c>
      <c r="G3275" t="s">
        <v>31369</v>
      </c>
      <c r="H3275" t="s">
        <v>15799</v>
      </c>
      <c r="I3275" t="s">
        <v>31380</v>
      </c>
      <c r="J3275" t="s">
        <v>33714</v>
      </c>
      <c r="K3275" t="s">
        <v>40662</v>
      </c>
      <c r="M3275" t="s">
        <v>42249</v>
      </c>
      <c r="N3275" t="s">
        <v>44905</v>
      </c>
      <c r="O3275" t="s">
        <v>44906</v>
      </c>
      <c r="P3275">
        <v>0</v>
      </c>
      <c r="Q3275">
        <v>7</v>
      </c>
      <c r="R3275" t="s">
        <v>44908</v>
      </c>
      <c r="S3275" t="s">
        <v>45042</v>
      </c>
      <c r="T3275" t="s">
        <v>46449</v>
      </c>
      <c r="U3275" t="s">
        <v>49624</v>
      </c>
      <c r="W3275" t="s">
        <v>42249</v>
      </c>
      <c r="X3275" t="s">
        <v>44909</v>
      </c>
    </row>
    <row r="3276" spans="1:24">
      <c r="A3276">
        <f>HYPERLINK("https://www.philgeps.gov.ph/GEPSNONPILOT/Tender/SplashBidNoticeAbstractUI.aspx?menuIndex=3&amp;refID=7079662&amp;Result=3","7079662")</f>
        <v>0</v>
      </c>
      <c r="B3276" t="s">
        <v>237</v>
      </c>
      <c r="C3276" t="s">
        <v>6656</v>
      </c>
      <c r="D3276" t="s">
        <v>18108</v>
      </c>
      <c r="E3276" t="s">
        <v>21161</v>
      </c>
      <c r="F3276" t="s">
        <v>31362</v>
      </c>
      <c r="G3276" t="s">
        <v>31368</v>
      </c>
      <c r="H3276" t="s">
        <v>15799</v>
      </c>
      <c r="I3276" t="s">
        <v>7188</v>
      </c>
      <c r="J3276" t="s">
        <v>33715</v>
      </c>
      <c r="K3276" t="s">
        <v>40670</v>
      </c>
      <c r="M3276" t="s">
        <v>42234</v>
      </c>
      <c r="N3276" t="s">
        <v>44905</v>
      </c>
      <c r="O3276" t="s">
        <v>44906</v>
      </c>
      <c r="P3276">
        <v>0</v>
      </c>
      <c r="Q3276">
        <v>1</v>
      </c>
      <c r="R3276" t="s">
        <v>44908</v>
      </c>
      <c r="S3276" t="s">
        <v>45042</v>
      </c>
      <c r="T3276" t="s">
        <v>46494</v>
      </c>
      <c r="U3276" t="s">
        <v>49625</v>
      </c>
      <c r="V3276" t="s">
        <v>59397</v>
      </c>
      <c r="W3276" t="s">
        <v>42234</v>
      </c>
      <c r="X3276" t="s">
        <v>44909</v>
      </c>
    </row>
    <row r="3277" spans="1:24">
      <c r="A3277">
        <f>HYPERLINK("https://www.philgeps.gov.ph/GEPSNONPILOT/Tender/SplashBidNoticeAbstractUI.aspx?menuIndex=3&amp;refID=7079680&amp;Result=3","7079680")</f>
        <v>0</v>
      </c>
      <c r="B3277" t="s">
        <v>1235</v>
      </c>
      <c r="C3277" t="s">
        <v>6657</v>
      </c>
      <c r="E3277" t="s">
        <v>21162</v>
      </c>
      <c r="F3277" t="s">
        <v>31362</v>
      </c>
      <c r="G3277" t="s">
        <v>31369</v>
      </c>
      <c r="H3277" t="s">
        <v>15799</v>
      </c>
      <c r="I3277" t="s">
        <v>4942</v>
      </c>
      <c r="J3277" t="s">
        <v>33716</v>
      </c>
      <c r="K3277" t="s">
        <v>40662</v>
      </c>
      <c r="M3277" t="s">
        <v>42249</v>
      </c>
      <c r="N3277" t="s">
        <v>44905</v>
      </c>
      <c r="O3277" t="s">
        <v>44906</v>
      </c>
      <c r="P3277">
        <v>0</v>
      </c>
      <c r="Q3277">
        <v>1</v>
      </c>
      <c r="R3277" t="s">
        <v>44908</v>
      </c>
      <c r="S3277" t="s">
        <v>45042</v>
      </c>
      <c r="T3277" t="s">
        <v>46449</v>
      </c>
      <c r="U3277" t="s">
        <v>49626</v>
      </c>
      <c r="W3277" t="s">
        <v>42249</v>
      </c>
      <c r="X3277" t="s">
        <v>44909</v>
      </c>
    </row>
    <row r="3278" spans="1:24">
      <c r="A3278">
        <f>HYPERLINK("https://www.philgeps.gov.ph/GEPSNONPILOT/Tender/SplashBidNoticeAbstractUI.aspx?menuIndex=3&amp;refID=7079707&amp;Result=3","7079707")</f>
        <v>0</v>
      </c>
      <c r="B3278" t="s">
        <v>467</v>
      </c>
      <c r="C3278" t="s">
        <v>6658</v>
      </c>
      <c r="D3278" t="s">
        <v>18134</v>
      </c>
      <c r="E3278" t="s">
        <v>21163</v>
      </c>
      <c r="F3278" t="s">
        <v>31362</v>
      </c>
      <c r="G3278" t="s">
        <v>31369</v>
      </c>
      <c r="H3278" t="s">
        <v>31378</v>
      </c>
      <c r="I3278" t="s">
        <v>31386</v>
      </c>
      <c r="J3278" t="s">
        <v>33717</v>
      </c>
      <c r="K3278" t="s">
        <v>40682</v>
      </c>
      <c r="M3278" t="s">
        <v>41421</v>
      </c>
      <c r="N3278" t="s">
        <v>44905</v>
      </c>
      <c r="O3278" t="s">
        <v>44906</v>
      </c>
      <c r="P3278">
        <v>0</v>
      </c>
      <c r="Q3278">
        <v>1</v>
      </c>
      <c r="R3278" t="s">
        <v>44908</v>
      </c>
      <c r="S3278" t="s">
        <v>45042</v>
      </c>
      <c r="T3278" t="s">
        <v>46511</v>
      </c>
      <c r="U3278" t="s">
        <v>49627</v>
      </c>
      <c r="V3278" t="s">
        <v>59178</v>
      </c>
      <c r="W3278" t="s">
        <v>41421</v>
      </c>
      <c r="X3278" t="s">
        <v>44909</v>
      </c>
    </row>
    <row r="3279" spans="1:24">
      <c r="A3279">
        <f>HYPERLINK("https://www.philgeps.gov.ph/GEPSNONPILOT/Tender/SplashBidNoticeAbstractUI.aspx?menuIndex=3&amp;refID=7079706&amp;Result=3","7079706")</f>
        <v>0</v>
      </c>
      <c r="B3279" t="s">
        <v>1132</v>
      </c>
      <c r="C3279" t="s">
        <v>6659</v>
      </c>
      <c r="D3279" t="s">
        <v>18112</v>
      </c>
      <c r="E3279" t="s">
        <v>20894</v>
      </c>
      <c r="F3279" t="s">
        <v>31362</v>
      </c>
      <c r="G3279" t="s">
        <v>31372</v>
      </c>
      <c r="H3279" t="s">
        <v>15799</v>
      </c>
      <c r="I3279" t="s">
        <v>31397</v>
      </c>
      <c r="J3279" t="s">
        <v>31823</v>
      </c>
      <c r="K3279" t="s">
        <v>40670</v>
      </c>
      <c r="M3279" t="s">
        <v>42140</v>
      </c>
      <c r="N3279" t="s">
        <v>44905</v>
      </c>
      <c r="O3279" t="s">
        <v>44906</v>
      </c>
      <c r="P3279">
        <v>0</v>
      </c>
      <c r="Q3279">
        <v>0</v>
      </c>
      <c r="R3279" t="s">
        <v>44908</v>
      </c>
      <c r="S3279" t="s">
        <v>45042</v>
      </c>
      <c r="T3279" t="s">
        <v>46412</v>
      </c>
      <c r="U3279" t="s">
        <v>49628</v>
      </c>
      <c r="W3279" t="s">
        <v>42140</v>
      </c>
      <c r="X3279" t="s">
        <v>44909</v>
      </c>
    </row>
    <row r="3280" spans="1:24">
      <c r="A3280">
        <f>HYPERLINK("https://www.philgeps.gov.ph/GEPSNONPILOT/Tender/SplashBidNoticeAbstractUI.aspx?menuIndex=3&amp;refID=7079589&amp;Result=3","7079589")</f>
        <v>0</v>
      </c>
      <c r="B3280" t="s">
        <v>677</v>
      </c>
      <c r="C3280" t="s">
        <v>6660</v>
      </c>
      <c r="D3280" t="s">
        <v>18148</v>
      </c>
      <c r="E3280" t="s">
        <v>21134</v>
      </c>
      <c r="F3280" t="s">
        <v>31362</v>
      </c>
      <c r="G3280" t="s">
        <v>31371</v>
      </c>
      <c r="H3280" t="s">
        <v>15799</v>
      </c>
      <c r="I3280" t="s">
        <v>31385</v>
      </c>
      <c r="J3280" t="s">
        <v>33718</v>
      </c>
      <c r="K3280" t="s">
        <v>40666</v>
      </c>
      <c r="M3280" t="s">
        <v>41639</v>
      </c>
      <c r="N3280" t="s">
        <v>44905</v>
      </c>
      <c r="O3280" t="s">
        <v>44906</v>
      </c>
      <c r="P3280">
        <v>0</v>
      </c>
      <c r="Q3280">
        <v>1</v>
      </c>
      <c r="R3280" t="s">
        <v>44908</v>
      </c>
      <c r="S3280" t="s">
        <v>45042</v>
      </c>
      <c r="T3280" t="s">
        <v>46443</v>
      </c>
      <c r="U3280" t="s">
        <v>49629</v>
      </c>
      <c r="V3280" t="s">
        <v>59400</v>
      </c>
      <c r="W3280" t="s">
        <v>41639</v>
      </c>
      <c r="X3280" t="s">
        <v>44909</v>
      </c>
    </row>
    <row r="3281" spans="1:24">
      <c r="A3281">
        <f>HYPERLINK("https://www.philgeps.gov.ph/GEPSNONPILOT/Tender/SplashBidNoticeAbstractUI.aspx?menuIndex=3&amp;refID=7079705&amp;Result=3","7079705")</f>
        <v>0</v>
      </c>
      <c r="B3281" t="s">
        <v>581</v>
      </c>
      <c r="C3281" t="s">
        <v>6661</v>
      </c>
      <c r="E3281" t="s">
        <v>21164</v>
      </c>
      <c r="F3281" t="s">
        <v>31362</v>
      </c>
      <c r="G3281" t="s">
        <v>31368</v>
      </c>
      <c r="H3281" t="s">
        <v>31377</v>
      </c>
      <c r="I3281" t="s">
        <v>31377</v>
      </c>
      <c r="J3281" t="s">
        <v>31625</v>
      </c>
      <c r="K3281" t="s">
        <v>40712</v>
      </c>
      <c r="M3281" t="s">
        <v>41538</v>
      </c>
      <c r="N3281" t="s">
        <v>44905</v>
      </c>
      <c r="O3281" t="s">
        <v>44906</v>
      </c>
      <c r="P3281">
        <v>0</v>
      </c>
      <c r="Q3281">
        <v>0</v>
      </c>
      <c r="R3281" t="s">
        <v>44908</v>
      </c>
      <c r="S3281" t="s">
        <v>45042</v>
      </c>
      <c r="T3281" t="s">
        <v>46400</v>
      </c>
      <c r="U3281" t="s">
        <v>49630</v>
      </c>
      <c r="W3281" t="s">
        <v>41538</v>
      </c>
      <c r="X3281" t="s">
        <v>44909</v>
      </c>
    </row>
    <row r="3282" spans="1:24">
      <c r="A3282">
        <f>HYPERLINK("https://www.philgeps.gov.ph/GEPSNONPILOT/Tender/SplashBidNoticeAbstractUI.aspx?menuIndex=3&amp;refID=7079607&amp;Result=3","7079607")</f>
        <v>0</v>
      </c>
      <c r="B3282" t="s">
        <v>1226</v>
      </c>
      <c r="C3282" t="s">
        <v>6662</v>
      </c>
      <c r="D3282" t="s">
        <v>18112</v>
      </c>
      <c r="E3282" t="s">
        <v>20783</v>
      </c>
      <c r="F3282" t="s">
        <v>31362</v>
      </c>
      <c r="G3282" t="s">
        <v>31370</v>
      </c>
      <c r="H3282" t="s">
        <v>15799</v>
      </c>
      <c r="I3282" t="s">
        <v>7090</v>
      </c>
      <c r="J3282" t="s">
        <v>33719</v>
      </c>
      <c r="K3282" t="s">
        <v>40672</v>
      </c>
      <c r="M3282" t="s">
        <v>42240</v>
      </c>
      <c r="N3282" t="s">
        <v>44905</v>
      </c>
      <c r="O3282" t="s">
        <v>44906</v>
      </c>
      <c r="P3282">
        <v>0</v>
      </c>
      <c r="Q3282">
        <v>0</v>
      </c>
      <c r="R3282" t="s">
        <v>44908</v>
      </c>
      <c r="S3282" t="s">
        <v>45042</v>
      </c>
      <c r="T3282" t="s">
        <v>46534</v>
      </c>
      <c r="U3282" t="s">
        <v>49631</v>
      </c>
      <c r="W3282" t="s">
        <v>42240</v>
      </c>
      <c r="X3282" t="s">
        <v>44909</v>
      </c>
    </row>
    <row r="3283" spans="1:24">
      <c r="A3283">
        <f>HYPERLINK("https://www.philgeps.gov.ph/GEPSNONPILOT/Tender/SplashBidNoticeAbstractUI.aspx?menuIndex=3&amp;refID=7079704&amp;Result=3","7079704")</f>
        <v>0</v>
      </c>
      <c r="B3283" t="s">
        <v>982</v>
      </c>
      <c r="C3283" t="s">
        <v>6663</v>
      </c>
      <c r="D3283" t="s">
        <v>18106</v>
      </c>
      <c r="E3283" t="s">
        <v>21165</v>
      </c>
      <c r="F3283" t="s">
        <v>31362</v>
      </c>
      <c r="G3283" t="s">
        <v>31368</v>
      </c>
      <c r="H3283" t="s">
        <v>31378</v>
      </c>
      <c r="I3283" t="s">
        <v>31386</v>
      </c>
      <c r="J3283" t="s">
        <v>33720</v>
      </c>
      <c r="K3283" t="s">
        <v>40718</v>
      </c>
      <c r="M3283" t="s">
        <v>41974</v>
      </c>
      <c r="N3283" t="s">
        <v>44905</v>
      </c>
      <c r="O3283" t="s">
        <v>44906</v>
      </c>
      <c r="P3283">
        <v>0</v>
      </c>
      <c r="Q3283">
        <v>1</v>
      </c>
      <c r="R3283" t="s">
        <v>44908</v>
      </c>
      <c r="S3283" t="s">
        <v>45042</v>
      </c>
      <c r="T3283" t="s">
        <v>46409</v>
      </c>
      <c r="U3283" t="s">
        <v>49018</v>
      </c>
      <c r="W3283" t="s">
        <v>41974</v>
      </c>
      <c r="X3283" t="s">
        <v>44909</v>
      </c>
    </row>
    <row r="3284" spans="1:24">
      <c r="A3284">
        <f>HYPERLINK("https://www.philgeps.gov.ph/GEPSNONPILOT/Tender/SplashBidNoticeAbstractUI.aspx?menuIndex=3&amp;refID=7079621&amp;Result=3","7079621")</f>
        <v>0</v>
      </c>
      <c r="B3284" t="s">
        <v>994</v>
      </c>
      <c r="C3284" t="s">
        <v>6664</v>
      </c>
      <c r="D3284" t="s">
        <v>18131</v>
      </c>
      <c r="E3284" t="s">
        <v>21166</v>
      </c>
      <c r="F3284" t="s">
        <v>31362</v>
      </c>
      <c r="G3284" t="s">
        <v>31368</v>
      </c>
      <c r="H3284" t="s">
        <v>15799</v>
      </c>
      <c r="I3284" t="s">
        <v>31449</v>
      </c>
      <c r="J3284" t="s">
        <v>31734</v>
      </c>
      <c r="K3284" t="s">
        <v>40665</v>
      </c>
      <c r="M3284" t="s">
        <v>41989</v>
      </c>
      <c r="N3284" t="s">
        <v>44905</v>
      </c>
      <c r="O3284" t="s">
        <v>44906</v>
      </c>
      <c r="P3284">
        <v>0</v>
      </c>
      <c r="Q3284">
        <v>0</v>
      </c>
      <c r="R3284" t="s">
        <v>44908</v>
      </c>
      <c r="S3284" t="s">
        <v>45042</v>
      </c>
      <c r="T3284" t="s">
        <v>46480</v>
      </c>
      <c r="U3284" t="s">
        <v>49632</v>
      </c>
      <c r="V3284" t="s">
        <v>59401</v>
      </c>
      <c r="W3284" t="s">
        <v>41989</v>
      </c>
      <c r="X3284" t="s">
        <v>44909</v>
      </c>
    </row>
    <row r="3285" spans="1:24">
      <c r="A3285">
        <f>HYPERLINK("https://www.philgeps.gov.ph/GEPSNONPILOT/Tender/SplashBidNoticeAbstractUI.aspx?menuIndex=3&amp;refID=7079694&amp;Result=3","7079694")</f>
        <v>0</v>
      </c>
      <c r="B3285" t="s">
        <v>1105</v>
      </c>
      <c r="C3285" t="s">
        <v>6665</v>
      </c>
      <c r="D3285" t="s">
        <v>18168</v>
      </c>
      <c r="E3285" t="s">
        <v>21167</v>
      </c>
      <c r="F3285" t="s">
        <v>31362</v>
      </c>
      <c r="G3285" t="s">
        <v>31368</v>
      </c>
      <c r="H3285" t="s">
        <v>15799</v>
      </c>
      <c r="I3285" t="s">
        <v>31404</v>
      </c>
      <c r="J3285" t="s">
        <v>31843</v>
      </c>
      <c r="K3285" t="s">
        <v>40662</v>
      </c>
      <c r="M3285" t="s">
        <v>42110</v>
      </c>
      <c r="N3285" t="s">
        <v>44905</v>
      </c>
      <c r="O3285" t="s">
        <v>44906</v>
      </c>
      <c r="P3285">
        <v>0</v>
      </c>
      <c r="Q3285">
        <v>0</v>
      </c>
      <c r="R3285" t="s">
        <v>44908</v>
      </c>
      <c r="S3285" t="s">
        <v>45042</v>
      </c>
      <c r="T3285" t="s">
        <v>46426</v>
      </c>
      <c r="U3285" t="s">
        <v>49324</v>
      </c>
      <c r="W3285" t="s">
        <v>42110</v>
      </c>
      <c r="X3285" t="s">
        <v>44909</v>
      </c>
    </row>
    <row r="3286" spans="1:24">
      <c r="A3286">
        <f>HYPERLINK("https://www.philgeps.gov.ph/GEPSNONPILOT/Tender/SplashBidNoticeAbstractUI.aspx?menuIndex=3&amp;refID=7079693&amp;Result=3","7079693")</f>
        <v>0</v>
      </c>
      <c r="B3286" t="s">
        <v>286</v>
      </c>
      <c r="C3286" t="s">
        <v>6666</v>
      </c>
      <c r="E3286" t="s">
        <v>21168</v>
      </c>
      <c r="F3286" t="s">
        <v>31362</v>
      </c>
      <c r="G3286" t="s">
        <v>31368</v>
      </c>
      <c r="H3286" t="s">
        <v>15799</v>
      </c>
      <c r="I3286" t="s">
        <v>31422</v>
      </c>
      <c r="J3286" t="s">
        <v>33721</v>
      </c>
      <c r="K3286" t="s">
        <v>40666</v>
      </c>
      <c r="M3286" t="s">
        <v>41229</v>
      </c>
      <c r="N3286" t="s">
        <v>44905</v>
      </c>
      <c r="O3286" t="s">
        <v>44906</v>
      </c>
      <c r="P3286">
        <v>0</v>
      </c>
      <c r="Q3286">
        <v>2</v>
      </c>
      <c r="R3286" t="s">
        <v>44908</v>
      </c>
      <c r="S3286" t="s">
        <v>45042</v>
      </c>
      <c r="T3286" t="s">
        <v>46434</v>
      </c>
      <c r="U3286" t="s">
        <v>49633</v>
      </c>
      <c r="W3286" t="s">
        <v>41229</v>
      </c>
      <c r="X3286" t="s">
        <v>44909</v>
      </c>
    </row>
    <row r="3287" spans="1:24">
      <c r="A3287">
        <f>HYPERLINK("https://www.philgeps.gov.ph/GEPSNONPILOT/Tender/SplashBidNoticeAbstractUI.aspx?menuIndex=3&amp;refID=7079610&amp;Result=3","7079610")</f>
        <v>0</v>
      </c>
      <c r="B3287" t="s">
        <v>1219</v>
      </c>
      <c r="C3287" t="s">
        <v>6613</v>
      </c>
      <c r="E3287" t="s">
        <v>21169</v>
      </c>
      <c r="F3287" t="s">
        <v>31362</v>
      </c>
      <c r="G3287" t="s">
        <v>31370</v>
      </c>
      <c r="H3287" t="s">
        <v>15799</v>
      </c>
      <c r="I3287" t="s">
        <v>31385</v>
      </c>
      <c r="J3287" t="s">
        <v>33722</v>
      </c>
      <c r="K3287" t="s">
        <v>40662</v>
      </c>
      <c r="M3287" t="s">
        <v>42232</v>
      </c>
      <c r="N3287" t="s">
        <v>44905</v>
      </c>
      <c r="O3287" t="s">
        <v>44906</v>
      </c>
      <c r="P3287">
        <v>0</v>
      </c>
      <c r="Q3287">
        <v>2</v>
      </c>
      <c r="R3287" t="s">
        <v>44908</v>
      </c>
      <c r="S3287" t="s">
        <v>45042</v>
      </c>
      <c r="T3287" t="s">
        <v>46407</v>
      </c>
      <c r="U3287" t="s">
        <v>47749</v>
      </c>
      <c r="W3287" t="s">
        <v>42232</v>
      </c>
      <c r="X3287" t="s">
        <v>44909</v>
      </c>
    </row>
    <row r="3288" spans="1:24">
      <c r="A3288">
        <f>HYPERLINK("https://www.philgeps.gov.ph/GEPSNONPILOT/Tender/SplashBidNoticeAbstractUI.aspx?menuIndex=3&amp;refID=7079690&amp;Result=3","7079690")</f>
        <v>0</v>
      </c>
      <c r="B3288" t="s">
        <v>333</v>
      </c>
      <c r="C3288" t="s">
        <v>6667</v>
      </c>
      <c r="D3288" t="s">
        <v>18108</v>
      </c>
      <c r="E3288" t="s">
        <v>21170</v>
      </c>
      <c r="F3288" t="s">
        <v>31362</v>
      </c>
      <c r="G3288" t="s">
        <v>31368</v>
      </c>
      <c r="H3288" t="s">
        <v>15799</v>
      </c>
      <c r="I3288" t="s">
        <v>31388</v>
      </c>
      <c r="J3288" t="s">
        <v>31530</v>
      </c>
      <c r="K3288" t="s">
        <v>40666</v>
      </c>
      <c r="M3288" t="s">
        <v>41279</v>
      </c>
      <c r="N3288" t="s">
        <v>44905</v>
      </c>
      <c r="O3288" t="s">
        <v>44906</v>
      </c>
      <c r="P3288">
        <v>0</v>
      </c>
      <c r="Q3288">
        <v>2</v>
      </c>
      <c r="R3288" t="s">
        <v>44908</v>
      </c>
      <c r="S3288" t="s">
        <v>45042</v>
      </c>
      <c r="T3288" t="s">
        <v>46483</v>
      </c>
      <c r="U3288" t="s">
        <v>49634</v>
      </c>
      <c r="W3288" t="s">
        <v>60847</v>
      </c>
      <c r="X3288" t="s">
        <v>44909</v>
      </c>
    </row>
    <row r="3289" spans="1:24">
      <c r="A3289">
        <f>HYPERLINK("https://www.philgeps.gov.ph/GEPSNONPILOT/Tender/SplashBidNoticeAbstractUI.aspx?menuIndex=3&amp;refID=7079592&amp;Result=3","7079592")</f>
        <v>0</v>
      </c>
      <c r="B3289" t="s">
        <v>1122</v>
      </c>
      <c r="C3289" t="s">
        <v>6668</v>
      </c>
      <c r="D3289" t="s">
        <v>18113</v>
      </c>
      <c r="E3289" t="s">
        <v>21171</v>
      </c>
      <c r="F3289" t="s">
        <v>31362</v>
      </c>
      <c r="G3289" t="s">
        <v>31368</v>
      </c>
      <c r="H3289" t="s">
        <v>15799</v>
      </c>
      <c r="I3289" t="s">
        <v>6240</v>
      </c>
      <c r="J3289" t="s">
        <v>33723</v>
      </c>
      <c r="K3289" t="s">
        <v>40665</v>
      </c>
      <c r="M3289" t="s">
        <v>42129</v>
      </c>
      <c r="N3289" t="s">
        <v>44905</v>
      </c>
      <c r="O3289" t="s">
        <v>44906</v>
      </c>
      <c r="P3289">
        <v>0</v>
      </c>
      <c r="Q3289">
        <v>0</v>
      </c>
      <c r="R3289" t="s">
        <v>44908</v>
      </c>
      <c r="S3289" t="s">
        <v>45042</v>
      </c>
      <c r="T3289" t="s">
        <v>46483</v>
      </c>
      <c r="U3289" t="s">
        <v>49635</v>
      </c>
      <c r="W3289" t="s">
        <v>42129</v>
      </c>
      <c r="X3289" t="s">
        <v>44909</v>
      </c>
    </row>
    <row r="3290" spans="1:24">
      <c r="A3290">
        <f>HYPERLINK("https://www.philgeps.gov.ph/GEPSNONPILOT/Tender/SplashBidNoticeAbstractUI.aspx?menuIndex=3&amp;refID=7079687&amp;Result=3","7079687")</f>
        <v>0</v>
      </c>
      <c r="B3290" t="s">
        <v>1236</v>
      </c>
      <c r="C3290" t="s">
        <v>6669</v>
      </c>
      <c r="D3290" t="s">
        <v>18134</v>
      </c>
      <c r="E3290" t="s">
        <v>21172</v>
      </c>
      <c r="F3290" t="s">
        <v>31362</v>
      </c>
      <c r="G3290" t="s">
        <v>31368</v>
      </c>
      <c r="H3290" t="s">
        <v>15799</v>
      </c>
      <c r="I3290" t="s">
        <v>31380</v>
      </c>
      <c r="J3290" t="s">
        <v>32109</v>
      </c>
      <c r="K3290" t="s">
        <v>40693</v>
      </c>
      <c r="M3290" t="s">
        <v>42250</v>
      </c>
      <c r="N3290" t="s">
        <v>44905</v>
      </c>
      <c r="O3290" t="s">
        <v>44906</v>
      </c>
      <c r="P3290">
        <v>0</v>
      </c>
      <c r="Q3290">
        <v>3</v>
      </c>
      <c r="R3290" t="s">
        <v>44908</v>
      </c>
      <c r="S3290" t="s">
        <v>45042</v>
      </c>
      <c r="T3290" t="s">
        <v>46432</v>
      </c>
      <c r="U3290" t="s">
        <v>49636</v>
      </c>
      <c r="W3290" t="s">
        <v>42250</v>
      </c>
      <c r="X3290" t="s">
        <v>44909</v>
      </c>
    </row>
    <row r="3291" spans="1:24">
      <c r="A3291">
        <f>HYPERLINK("https://www.philgeps.gov.ph/GEPSNONPILOT/Tender/SplashBidNoticeAbstractUI.aspx?menuIndex=3&amp;refID=7079682&amp;Result=3","7079682")</f>
        <v>0</v>
      </c>
      <c r="B3291" t="s">
        <v>1237</v>
      </c>
      <c r="C3291" t="s">
        <v>6670</v>
      </c>
      <c r="D3291" t="s">
        <v>18108</v>
      </c>
      <c r="E3291" t="s">
        <v>21173</v>
      </c>
      <c r="F3291" t="s">
        <v>31362</v>
      </c>
      <c r="G3291" t="s">
        <v>31368</v>
      </c>
      <c r="H3291" t="s">
        <v>15799</v>
      </c>
      <c r="I3291" t="s">
        <v>31382</v>
      </c>
      <c r="J3291" t="s">
        <v>31817</v>
      </c>
      <c r="K3291" t="s">
        <v>40675</v>
      </c>
      <c r="M3291" t="s">
        <v>42251</v>
      </c>
      <c r="N3291" t="s">
        <v>44905</v>
      </c>
      <c r="O3291" t="s">
        <v>44906</v>
      </c>
      <c r="P3291">
        <v>0</v>
      </c>
      <c r="Q3291">
        <v>14</v>
      </c>
      <c r="R3291" t="s">
        <v>44908</v>
      </c>
      <c r="S3291" t="s">
        <v>45042</v>
      </c>
      <c r="T3291" t="s">
        <v>46432</v>
      </c>
      <c r="U3291" t="s">
        <v>49637</v>
      </c>
      <c r="W3291" t="s">
        <v>42251</v>
      </c>
      <c r="X3291" t="s">
        <v>44909</v>
      </c>
    </row>
    <row r="3292" spans="1:24">
      <c r="A3292">
        <f>HYPERLINK("https://www.philgeps.gov.ph/GEPSNONPILOT/Tender/SplashBidNoticeAbstractUI.aspx?menuIndex=3&amp;refID=7079695&amp;Result=3","7079695")</f>
        <v>0</v>
      </c>
      <c r="B3292" t="s">
        <v>477</v>
      </c>
      <c r="C3292" t="s">
        <v>6671</v>
      </c>
      <c r="D3292" t="s">
        <v>18158</v>
      </c>
      <c r="E3292" t="s">
        <v>21174</v>
      </c>
      <c r="F3292" t="s">
        <v>31362</v>
      </c>
      <c r="G3292" t="s">
        <v>31369</v>
      </c>
      <c r="H3292" t="s">
        <v>15799</v>
      </c>
      <c r="I3292" t="s">
        <v>3815</v>
      </c>
      <c r="J3292" t="s">
        <v>32340</v>
      </c>
      <c r="K3292" t="s">
        <v>40682</v>
      </c>
      <c r="M3292" t="s">
        <v>41431</v>
      </c>
      <c r="N3292" t="s">
        <v>44905</v>
      </c>
      <c r="O3292" t="s">
        <v>44906</v>
      </c>
      <c r="P3292">
        <v>0</v>
      </c>
      <c r="Q3292">
        <v>0</v>
      </c>
      <c r="R3292" t="s">
        <v>44908</v>
      </c>
      <c r="S3292" t="s">
        <v>45042</v>
      </c>
      <c r="T3292" t="s">
        <v>46470</v>
      </c>
      <c r="U3292" t="s">
        <v>49638</v>
      </c>
      <c r="W3292" t="s">
        <v>41431</v>
      </c>
      <c r="X3292" t="s">
        <v>44909</v>
      </c>
    </row>
    <row r="3293" spans="1:24">
      <c r="A3293">
        <f>HYPERLINK("https://www.philgeps.gov.ph/GEPSNONPILOT/Tender/SplashBidNoticeAbstractUI.aspx?menuIndex=3&amp;refID=7079681&amp;Result=3","7079681")</f>
        <v>0</v>
      </c>
      <c r="B3293" t="s">
        <v>194</v>
      </c>
      <c r="C3293" t="s">
        <v>6672</v>
      </c>
      <c r="D3293" t="s">
        <v>18143</v>
      </c>
      <c r="E3293" t="s">
        <v>21175</v>
      </c>
      <c r="F3293" t="s">
        <v>31362</v>
      </c>
      <c r="G3293" t="s">
        <v>31369</v>
      </c>
      <c r="H3293" t="s">
        <v>31378</v>
      </c>
      <c r="I3293" t="s">
        <v>31386</v>
      </c>
      <c r="J3293" t="s">
        <v>33724</v>
      </c>
      <c r="K3293" t="s">
        <v>40759</v>
      </c>
      <c r="M3293" t="s">
        <v>41132</v>
      </c>
      <c r="N3293" t="s">
        <v>44905</v>
      </c>
      <c r="O3293" t="s">
        <v>44906</v>
      </c>
      <c r="P3293">
        <v>0</v>
      </c>
      <c r="Q3293">
        <v>0</v>
      </c>
      <c r="R3293" t="s">
        <v>44908</v>
      </c>
      <c r="S3293" t="s">
        <v>45042</v>
      </c>
      <c r="T3293" t="s">
        <v>46620</v>
      </c>
      <c r="U3293" t="s">
        <v>49639</v>
      </c>
      <c r="V3293" t="s">
        <v>59402</v>
      </c>
      <c r="W3293" t="s">
        <v>41132</v>
      </c>
      <c r="X3293" t="s">
        <v>44909</v>
      </c>
    </row>
    <row r="3294" spans="1:24">
      <c r="A3294">
        <f>HYPERLINK("https://www.philgeps.gov.ph/GEPSNONPILOT/Tender/SplashBidNoticeAbstractUI.aspx?menuIndex=3&amp;refID=7079732&amp;Result=3","7079732")</f>
        <v>0</v>
      </c>
      <c r="B3294" t="s">
        <v>1238</v>
      </c>
      <c r="C3294" t="s">
        <v>6673</v>
      </c>
      <c r="D3294" t="s">
        <v>18160</v>
      </c>
      <c r="E3294" t="s">
        <v>21176</v>
      </c>
      <c r="F3294" t="s">
        <v>31362</v>
      </c>
      <c r="G3294" t="s">
        <v>31368</v>
      </c>
      <c r="H3294" t="s">
        <v>15799</v>
      </c>
      <c r="I3294" t="s">
        <v>31386</v>
      </c>
      <c r="J3294" t="s">
        <v>31648</v>
      </c>
      <c r="K3294" t="s">
        <v>40665</v>
      </c>
      <c r="M3294" t="s">
        <v>42252</v>
      </c>
      <c r="N3294" t="s">
        <v>44905</v>
      </c>
      <c r="O3294" t="s">
        <v>44906</v>
      </c>
      <c r="P3294">
        <v>0</v>
      </c>
      <c r="Q3294">
        <v>0</v>
      </c>
      <c r="R3294" t="s">
        <v>44908</v>
      </c>
      <c r="S3294" t="s">
        <v>45042</v>
      </c>
      <c r="T3294" t="s">
        <v>46416</v>
      </c>
      <c r="U3294" t="s">
        <v>49640</v>
      </c>
      <c r="W3294" t="s">
        <v>42252</v>
      </c>
      <c r="X3294" t="s">
        <v>44909</v>
      </c>
    </row>
    <row r="3295" spans="1:24">
      <c r="A3295">
        <f>HYPERLINK("https://www.philgeps.gov.ph/GEPSNONPILOT/Tender/SplashBidNoticeAbstractUI.aspx?menuIndex=3&amp;refID=7079731&amp;Result=3","7079731")</f>
        <v>0</v>
      </c>
      <c r="B3295" t="s">
        <v>1235</v>
      </c>
      <c r="C3295" t="s">
        <v>6674</v>
      </c>
      <c r="E3295" t="s">
        <v>21177</v>
      </c>
      <c r="F3295" t="s">
        <v>31362</v>
      </c>
      <c r="G3295" t="s">
        <v>31369</v>
      </c>
      <c r="H3295" t="s">
        <v>15799</v>
      </c>
      <c r="I3295" t="s">
        <v>6218</v>
      </c>
      <c r="J3295" t="s">
        <v>33725</v>
      </c>
      <c r="K3295" t="s">
        <v>40662</v>
      </c>
      <c r="M3295" t="s">
        <v>42249</v>
      </c>
      <c r="N3295" t="s">
        <v>44905</v>
      </c>
      <c r="O3295" t="s">
        <v>44906</v>
      </c>
      <c r="P3295">
        <v>0</v>
      </c>
      <c r="Q3295">
        <v>0</v>
      </c>
      <c r="R3295" t="s">
        <v>44908</v>
      </c>
      <c r="S3295" t="s">
        <v>45042</v>
      </c>
      <c r="T3295" t="s">
        <v>46449</v>
      </c>
      <c r="U3295" t="s">
        <v>49641</v>
      </c>
      <c r="W3295" t="s">
        <v>42249</v>
      </c>
      <c r="X3295" t="s">
        <v>44909</v>
      </c>
    </row>
    <row r="3296" spans="1:24">
      <c r="A3296">
        <f>HYPERLINK("https://www.philgeps.gov.ph/GEPSNONPILOT/Tender/SplashBidNoticeAbstractUI.aspx?menuIndex=3&amp;refID=7079698&amp;Result=3","7079698")</f>
        <v>0</v>
      </c>
      <c r="B3296" t="s">
        <v>1239</v>
      </c>
      <c r="C3296" t="s">
        <v>6675</v>
      </c>
      <c r="D3296" t="s">
        <v>18108</v>
      </c>
      <c r="E3296" t="s">
        <v>21178</v>
      </c>
      <c r="F3296" t="s">
        <v>31362</v>
      </c>
      <c r="G3296" t="s">
        <v>31368</v>
      </c>
      <c r="H3296" t="s">
        <v>15799</v>
      </c>
      <c r="I3296" t="s">
        <v>31382</v>
      </c>
      <c r="J3296" t="s">
        <v>33726</v>
      </c>
      <c r="K3296" t="s">
        <v>40665</v>
      </c>
      <c r="M3296" t="s">
        <v>42253</v>
      </c>
      <c r="N3296" t="s">
        <v>44905</v>
      </c>
      <c r="O3296" t="s">
        <v>44906</v>
      </c>
      <c r="P3296">
        <v>0</v>
      </c>
      <c r="Q3296">
        <v>6</v>
      </c>
      <c r="R3296" t="s">
        <v>44908</v>
      </c>
      <c r="S3296" t="s">
        <v>45042</v>
      </c>
      <c r="T3296" t="s">
        <v>46447</v>
      </c>
      <c r="U3296" t="s">
        <v>49642</v>
      </c>
      <c r="V3296" t="s">
        <v>59403</v>
      </c>
      <c r="W3296" t="s">
        <v>42253</v>
      </c>
      <c r="X3296" t="s">
        <v>44909</v>
      </c>
    </row>
    <row r="3297" spans="1:24">
      <c r="A3297">
        <f>HYPERLINK("https://www.philgeps.gov.ph/GEPSNONPILOT/Tender/SplashBidNoticeAbstractUI.aspx?menuIndex=3&amp;refID=7079730&amp;Result=3","7079730")</f>
        <v>0</v>
      </c>
      <c r="B3297" t="s">
        <v>970</v>
      </c>
      <c r="C3297" t="s">
        <v>6676</v>
      </c>
      <c r="D3297" t="s">
        <v>18154</v>
      </c>
      <c r="E3297" t="s">
        <v>21179</v>
      </c>
      <c r="F3297" t="s">
        <v>31362</v>
      </c>
      <c r="G3297" t="s">
        <v>31373</v>
      </c>
      <c r="H3297" t="s">
        <v>15799</v>
      </c>
      <c r="I3297" t="s">
        <v>7090</v>
      </c>
      <c r="J3297" t="s">
        <v>33727</v>
      </c>
      <c r="K3297" t="s">
        <v>40697</v>
      </c>
      <c r="M3297" t="s">
        <v>41960</v>
      </c>
      <c r="N3297" t="s">
        <v>44905</v>
      </c>
      <c r="O3297" t="s">
        <v>44906</v>
      </c>
      <c r="P3297">
        <v>0</v>
      </c>
      <c r="Q3297">
        <v>1</v>
      </c>
      <c r="R3297" t="s">
        <v>44908</v>
      </c>
      <c r="S3297" t="s">
        <v>45042</v>
      </c>
      <c r="T3297" t="s">
        <v>46470</v>
      </c>
      <c r="U3297" t="s">
        <v>49643</v>
      </c>
      <c r="W3297" t="s">
        <v>41960</v>
      </c>
      <c r="X3297" t="s">
        <v>44909</v>
      </c>
    </row>
    <row r="3298" spans="1:24">
      <c r="A3298">
        <f>HYPERLINK("https://www.philgeps.gov.ph/GEPSNONPILOT/Tender/SplashBidNoticeAbstractUI.aspx?menuIndex=3&amp;refID=7079728&amp;Result=3","7079728")</f>
        <v>0</v>
      </c>
      <c r="B3298" t="s">
        <v>178</v>
      </c>
      <c r="C3298" t="s">
        <v>6677</v>
      </c>
      <c r="D3298" t="s">
        <v>18126</v>
      </c>
      <c r="E3298" t="s">
        <v>21180</v>
      </c>
      <c r="F3298" t="s">
        <v>31362</v>
      </c>
      <c r="G3298" t="s">
        <v>31369</v>
      </c>
      <c r="H3298" t="s">
        <v>15799</v>
      </c>
      <c r="I3298" t="s">
        <v>31393</v>
      </c>
      <c r="J3298" t="s">
        <v>33728</v>
      </c>
      <c r="K3298" t="s">
        <v>40666</v>
      </c>
      <c r="M3298" t="s">
        <v>42254</v>
      </c>
      <c r="N3298" t="s">
        <v>44905</v>
      </c>
      <c r="O3298" t="s">
        <v>44906</v>
      </c>
      <c r="P3298">
        <v>0</v>
      </c>
      <c r="Q3298">
        <v>9</v>
      </c>
      <c r="R3298" t="s">
        <v>44908</v>
      </c>
      <c r="S3298" t="s">
        <v>45042</v>
      </c>
      <c r="T3298" t="s">
        <v>46613</v>
      </c>
      <c r="U3298" t="s">
        <v>49644</v>
      </c>
      <c r="W3298" t="s">
        <v>42254</v>
      </c>
      <c r="X3298" t="s">
        <v>44909</v>
      </c>
    </row>
    <row r="3299" spans="1:24">
      <c r="A3299">
        <f>HYPERLINK("https://www.philgeps.gov.ph/GEPSNONPILOT/Tender/SplashBidNoticeAbstractUI.aspx?menuIndex=3&amp;refID=7079726&amp;Result=3","7079726")</f>
        <v>0</v>
      </c>
      <c r="B3299" t="s">
        <v>982</v>
      </c>
      <c r="C3299" t="s">
        <v>6678</v>
      </c>
      <c r="D3299" t="s">
        <v>18106</v>
      </c>
      <c r="E3299" t="s">
        <v>21181</v>
      </c>
      <c r="F3299" t="s">
        <v>31362</v>
      </c>
      <c r="G3299" t="s">
        <v>31368</v>
      </c>
      <c r="H3299" t="s">
        <v>31378</v>
      </c>
      <c r="I3299" t="s">
        <v>31386</v>
      </c>
      <c r="J3299" t="s">
        <v>33729</v>
      </c>
      <c r="K3299" t="s">
        <v>40661</v>
      </c>
      <c r="M3299" t="s">
        <v>41974</v>
      </c>
      <c r="N3299" t="s">
        <v>44905</v>
      </c>
      <c r="O3299" t="s">
        <v>44906</v>
      </c>
      <c r="P3299">
        <v>0</v>
      </c>
      <c r="Q3299">
        <v>1</v>
      </c>
      <c r="R3299" t="s">
        <v>44908</v>
      </c>
      <c r="S3299" t="s">
        <v>45042</v>
      </c>
      <c r="T3299" t="s">
        <v>46409</v>
      </c>
      <c r="U3299" t="s">
        <v>49018</v>
      </c>
      <c r="W3299" t="s">
        <v>41974</v>
      </c>
      <c r="X3299" t="s">
        <v>44909</v>
      </c>
    </row>
    <row r="3300" spans="1:24">
      <c r="A3300">
        <f>HYPERLINK("https://www.philgeps.gov.ph/GEPSNONPILOT/Tender/SplashBidNoticeAbstractUI.aspx?menuIndex=3&amp;refID=7079725&amp;Result=3","7079725")</f>
        <v>0</v>
      </c>
      <c r="B3300" t="s">
        <v>1235</v>
      </c>
      <c r="C3300" t="s">
        <v>6679</v>
      </c>
      <c r="E3300" t="s">
        <v>21182</v>
      </c>
      <c r="F3300" t="s">
        <v>31362</v>
      </c>
      <c r="G3300" t="s">
        <v>31369</v>
      </c>
      <c r="H3300" t="s">
        <v>15799</v>
      </c>
      <c r="I3300" t="s">
        <v>31384</v>
      </c>
      <c r="J3300" t="s">
        <v>33730</v>
      </c>
      <c r="K3300" t="s">
        <v>40662</v>
      </c>
      <c r="M3300" t="s">
        <v>42249</v>
      </c>
      <c r="N3300" t="s">
        <v>44905</v>
      </c>
      <c r="O3300" t="s">
        <v>44906</v>
      </c>
      <c r="P3300">
        <v>0</v>
      </c>
      <c r="Q3300">
        <v>9</v>
      </c>
      <c r="R3300" t="s">
        <v>44908</v>
      </c>
      <c r="S3300" t="s">
        <v>45042</v>
      </c>
      <c r="T3300" t="s">
        <v>46449</v>
      </c>
      <c r="U3300" t="s">
        <v>49645</v>
      </c>
      <c r="W3300" t="s">
        <v>42249</v>
      </c>
      <c r="X3300" t="s">
        <v>44909</v>
      </c>
    </row>
    <row r="3301" spans="1:24">
      <c r="A3301">
        <f>HYPERLINK("https://www.philgeps.gov.ph/GEPSNONPILOT/Tender/SplashBidNoticeAbstractUI.aspx?menuIndex=3&amp;refID=7079702&amp;Result=3","7079702")</f>
        <v>0</v>
      </c>
      <c r="B3301" t="s">
        <v>1240</v>
      </c>
      <c r="C3301" t="s">
        <v>6680</v>
      </c>
      <c r="D3301" t="s">
        <v>18122</v>
      </c>
      <c r="E3301" t="s">
        <v>21183</v>
      </c>
      <c r="F3301" t="s">
        <v>31362</v>
      </c>
      <c r="G3301" t="s">
        <v>31370</v>
      </c>
      <c r="H3301" t="s">
        <v>31379</v>
      </c>
      <c r="I3301" t="s">
        <v>31477</v>
      </c>
      <c r="J3301" t="s">
        <v>33731</v>
      </c>
      <c r="K3301" t="s">
        <v>40698</v>
      </c>
      <c r="M3301" t="s">
        <v>42255</v>
      </c>
      <c r="N3301" t="s">
        <v>44905</v>
      </c>
      <c r="O3301" t="s">
        <v>44906</v>
      </c>
      <c r="P3301">
        <v>0</v>
      </c>
      <c r="Q3301">
        <v>0</v>
      </c>
      <c r="R3301" t="s">
        <v>44908</v>
      </c>
      <c r="S3301" t="s">
        <v>45042</v>
      </c>
      <c r="T3301" t="s">
        <v>46646</v>
      </c>
      <c r="U3301" t="s">
        <v>49646</v>
      </c>
      <c r="W3301" t="s">
        <v>42255</v>
      </c>
      <c r="X3301" t="s">
        <v>44909</v>
      </c>
    </row>
    <row r="3302" spans="1:24">
      <c r="A3302">
        <f>HYPERLINK("https://www.philgeps.gov.ph/GEPSNONPILOT/Tender/SplashBidNoticeAbstractUI.aspx?menuIndex=3&amp;refID=7079723&amp;Result=3","7079723")</f>
        <v>0</v>
      </c>
      <c r="B3302" t="s">
        <v>1241</v>
      </c>
      <c r="C3302" t="s">
        <v>6681</v>
      </c>
      <c r="D3302" t="s">
        <v>18134</v>
      </c>
      <c r="E3302" t="s">
        <v>21184</v>
      </c>
      <c r="F3302" t="s">
        <v>31362</v>
      </c>
      <c r="G3302" t="s">
        <v>31369</v>
      </c>
      <c r="H3302" t="s">
        <v>31378</v>
      </c>
      <c r="I3302" t="s">
        <v>31386</v>
      </c>
      <c r="J3302" t="s">
        <v>31530</v>
      </c>
      <c r="K3302" t="s">
        <v>40662</v>
      </c>
      <c r="M3302" t="s">
        <v>42256</v>
      </c>
      <c r="N3302" t="s">
        <v>44905</v>
      </c>
      <c r="O3302" t="s">
        <v>44906</v>
      </c>
      <c r="P3302">
        <v>0</v>
      </c>
      <c r="Q3302">
        <v>1</v>
      </c>
      <c r="R3302" t="s">
        <v>44908</v>
      </c>
      <c r="S3302" t="s">
        <v>45042</v>
      </c>
      <c r="T3302" t="s">
        <v>46608</v>
      </c>
      <c r="U3302" t="s">
        <v>49647</v>
      </c>
      <c r="W3302" t="s">
        <v>42256</v>
      </c>
      <c r="X3302" t="s">
        <v>44909</v>
      </c>
    </row>
    <row r="3303" spans="1:24">
      <c r="A3303">
        <f>HYPERLINK("https://www.philgeps.gov.ph/GEPSNONPILOT/Tender/SplashBidNoticeAbstractUI.aspx?menuIndex=3&amp;refID=7079719&amp;Result=3","7079719")</f>
        <v>0</v>
      </c>
      <c r="B3303" t="s">
        <v>312</v>
      </c>
      <c r="C3303" t="s">
        <v>6682</v>
      </c>
      <c r="D3303" t="s">
        <v>18119</v>
      </c>
      <c r="E3303" t="s">
        <v>20168</v>
      </c>
      <c r="F3303" t="s">
        <v>31362</v>
      </c>
      <c r="G3303" t="s">
        <v>31369</v>
      </c>
      <c r="H3303" t="s">
        <v>31378</v>
      </c>
      <c r="I3303" t="s">
        <v>31386</v>
      </c>
      <c r="J3303" t="s">
        <v>31693</v>
      </c>
      <c r="K3303" t="s">
        <v>40686</v>
      </c>
      <c r="M3303" t="s">
        <v>41257</v>
      </c>
      <c r="N3303" t="s">
        <v>44905</v>
      </c>
      <c r="O3303" t="s">
        <v>44906</v>
      </c>
      <c r="P3303">
        <v>0</v>
      </c>
      <c r="Q3303">
        <v>1</v>
      </c>
      <c r="R3303" t="s">
        <v>44908</v>
      </c>
      <c r="S3303" t="s">
        <v>45042</v>
      </c>
      <c r="T3303" t="s">
        <v>46613</v>
      </c>
      <c r="U3303" t="s">
        <v>49648</v>
      </c>
      <c r="W3303" t="s">
        <v>41257</v>
      </c>
      <c r="X3303" t="s">
        <v>44909</v>
      </c>
    </row>
    <row r="3304" spans="1:24">
      <c r="A3304">
        <f>HYPERLINK("https://www.philgeps.gov.ph/GEPSNONPILOT/Tender/SplashBidNoticeAbstractUI.aspx?menuIndex=3&amp;refID=7079727&amp;Result=3","7079727")</f>
        <v>0</v>
      </c>
      <c r="B3304" t="s">
        <v>1242</v>
      </c>
      <c r="C3304" t="s">
        <v>6683</v>
      </c>
      <c r="D3304" t="s">
        <v>18159</v>
      </c>
      <c r="E3304" t="s">
        <v>21185</v>
      </c>
      <c r="F3304" t="s">
        <v>31362</v>
      </c>
      <c r="G3304" t="s">
        <v>31368</v>
      </c>
      <c r="H3304" t="s">
        <v>31378</v>
      </c>
      <c r="I3304" t="s">
        <v>31386</v>
      </c>
      <c r="J3304" t="s">
        <v>33732</v>
      </c>
      <c r="K3304" t="s">
        <v>40677</v>
      </c>
      <c r="M3304" t="s">
        <v>42257</v>
      </c>
      <c r="N3304" t="s">
        <v>44905</v>
      </c>
      <c r="O3304" t="s">
        <v>44906</v>
      </c>
      <c r="P3304">
        <v>0</v>
      </c>
      <c r="Q3304">
        <v>0</v>
      </c>
      <c r="R3304" t="s">
        <v>44908</v>
      </c>
      <c r="S3304" t="s">
        <v>45042</v>
      </c>
      <c r="T3304" t="s">
        <v>46509</v>
      </c>
      <c r="U3304" t="s">
        <v>49649</v>
      </c>
      <c r="V3304" t="s">
        <v>59404</v>
      </c>
      <c r="W3304" t="s">
        <v>42257</v>
      </c>
      <c r="X3304" t="s">
        <v>44909</v>
      </c>
    </row>
    <row r="3305" spans="1:24">
      <c r="A3305">
        <f>HYPERLINK("https://www.philgeps.gov.ph/GEPSNONPILOT/Tender/SplashBidNoticeAbstractUI.aspx?menuIndex=3&amp;refID=7079718&amp;Result=3","7079718")</f>
        <v>0</v>
      </c>
      <c r="B3305" t="s">
        <v>1226</v>
      </c>
      <c r="C3305" t="s">
        <v>6684</v>
      </c>
      <c r="D3305" t="s">
        <v>18112</v>
      </c>
      <c r="E3305" t="s">
        <v>20783</v>
      </c>
      <c r="F3305" t="s">
        <v>31362</v>
      </c>
      <c r="G3305" t="s">
        <v>31370</v>
      </c>
      <c r="H3305" t="s">
        <v>15799</v>
      </c>
      <c r="I3305" t="s">
        <v>6373</v>
      </c>
      <c r="J3305" t="s">
        <v>33733</v>
      </c>
      <c r="K3305" t="s">
        <v>40672</v>
      </c>
      <c r="M3305" t="s">
        <v>42240</v>
      </c>
      <c r="N3305" t="s">
        <v>44905</v>
      </c>
      <c r="O3305" t="s">
        <v>44906</v>
      </c>
      <c r="P3305">
        <v>0</v>
      </c>
      <c r="Q3305">
        <v>0</v>
      </c>
      <c r="R3305" t="s">
        <v>44908</v>
      </c>
      <c r="S3305" t="s">
        <v>45042</v>
      </c>
      <c r="T3305" t="s">
        <v>46534</v>
      </c>
      <c r="U3305" t="s">
        <v>49650</v>
      </c>
      <c r="W3305" t="s">
        <v>42240</v>
      </c>
      <c r="X3305" t="s">
        <v>44909</v>
      </c>
    </row>
    <row r="3306" spans="1:24">
      <c r="A3306">
        <f>HYPERLINK("https://www.philgeps.gov.ph/GEPSNONPILOT/Tender/SplashBidNoticeAbstractUI.aspx?menuIndex=3&amp;refID=7079716&amp;Result=3","7079716")</f>
        <v>0</v>
      </c>
      <c r="B3306" t="s">
        <v>1024</v>
      </c>
      <c r="C3306" t="s">
        <v>6101</v>
      </c>
      <c r="D3306" t="s">
        <v>18125</v>
      </c>
      <c r="E3306" t="s">
        <v>21186</v>
      </c>
      <c r="F3306" t="s">
        <v>31362</v>
      </c>
      <c r="G3306" t="s">
        <v>31371</v>
      </c>
      <c r="H3306" t="s">
        <v>15799</v>
      </c>
      <c r="I3306" t="s">
        <v>31385</v>
      </c>
      <c r="J3306" t="s">
        <v>33734</v>
      </c>
      <c r="K3306" t="s">
        <v>40662</v>
      </c>
      <c r="M3306" t="s">
        <v>42022</v>
      </c>
      <c r="N3306" t="s">
        <v>44905</v>
      </c>
      <c r="O3306" t="s">
        <v>44906</v>
      </c>
      <c r="P3306">
        <v>0</v>
      </c>
      <c r="Q3306">
        <v>4</v>
      </c>
      <c r="R3306" t="s">
        <v>44908</v>
      </c>
      <c r="S3306" t="s">
        <v>45042</v>
      </c>
      <c r="T3306" t="s">
        <v>46438</v>
      </c>
      <c r="U3306" t="s">
        <v>49133</v>
      </c>
      <c r="W3306" t="s">
        <v>42022</v>
      </c>
      <c r="X3306" t="s">
        <v>44909</v>
      </c>
    </row>
    <row r="3307" spans="1:24">
      <c r="A3307">
        <f>HYPERLINK("https://www.philgeps.gov.ph/GEPSNONPILOT/Tender/SplashBidNoticeAbstractUI.aspx?menuIndex=3&amp;refID=7079715&amp;Result=3","7079715")</f>
        <v>0</v>
      </c>
      <c r="B3307" t="s">
        <v>1235</v>
      </c>
      <c r="C3307" t="s">
        <v>6685</v>
      </c>
      <c r="E3307" t="s">
        <v>21187</v>
      </c>
      <c r="F3307" t="s">
        <v>31362</v>
      </c>
      <c r="G3307" t="s">
        <v>31369</v>
      </c>
      <c r="H3307" t="s">
        <v>15799</v>
      </c>
      <c r="I3307" t="s">
        <v>7090</v>
      </c>
      <c r="J3307" t="s">
        <v>33735</v>
      </c>
      <c r="K3307" t="s">
        <v>40662</v>
      </c>
      <c r="M3307" t="s">
        <v>42249</v>
      </c>
      <c r="N3307" t="s">
        <v>44905</v>
      </c>
      <c r="O3307" t="s">
        <v>44906</v>
      </c>
      <c r="P3307">
        <v>0</v>
      </c>
      <c r="Q3307">
        <v>5</v>
      </c>
      <c r="R3307" t="s">
        <v>44908</v>
      </c>
      <c r="S3307" t="s">
        <v>45042</v>
      </c>
      <c r="T3307" t="s">
        <v>46449</v>
      </c>
      <c r="U3307" t="s">
        <v>49651</v>
      </c>
      <c r="W3307" t="s">
        <v>42249</v>
      </c>
      <c r="X3307" t="s">
        <v>44909</v>
      </c>
    </row>
    <row r="3308" spans="1:24">
      <c r="A3308">
        <f>HYPERLINK("https://www.philgeps.gov.ph/GEPSNONPILOT/Tender/SplashBidNoticeAbstractUI.aspx?menuIndex=3&amp;refID=7079683&amp;Result=3","7079683")</f>
        <v>0</v>
      </c>
      <c r="B3308" t="s">
        <v>970</v>
      </c>
      <c r="C3308" t="s">
        <v>6686</v>
      </c>
      <c r="D3308" t="s">
        <v>18154</v>
      </c>
      <c r="E3308" t="s">
        <v>21188</v>
      </c>
      <c r="F3308" t="s">
        <v>31362</v>
      </c>
      <c r="G3308" t="s">
        <v>31368</v>
      </c>
      <c r="H3308" t="s">
        <v>15799</v>
      </c>
      <c r="I3308" t="s">
        <v>7090</v>
      </c>
      <c r="J3308" t="s">
        <v>31921</v>
      </c>
      <c r="K3308" t="s">
        <v>40697</v>
      </c>
      <c r="M3308" t="s">
        <v>41960</v>
      </c>
      <c r="N3308" t="s">
        <v>44905</v>
      </c>
      <c r="O3308" t="s">
        <v>44906</v>
      </c>
      <c r="P3308">
        <v>0</v>
      </c>
      <c r="Q3308">
        <v>1</v>
      </c>
      <c r="R3308" t="s">
        <v>44908</v>
      </c>
      <c r="S3308" t="s">
        <v>45042</v>
      </c>
      <c r="T3308" t="s">
        <v>46400</v>
      </c>
      <c r="U3308" t="s">
        <v>49652</v>
      </c>
      <c r="W3308" t="s">
        <v>41960</v>
      </c>
      <c r="X3308" t="s">
        <v>44909</v>
      </c>
    </row>
    <row r="3309" spans="1:24">
      <c r="A3309">
        <f>HYPERLINK("https://www.philgeps.gov.ph/GEPSNONPILOT/Tender/SplashBidNoticeAbstractUI.aspx?menuIndex=3&amp;refID=7079729&amp;Result=3","7079729")</f>
        <v>0</v>
      </c>
      <c r="B3309" t="s">
        <v>1243</v>
      </c>
      <c r="C3309" t="s">
        <v>6687</v>
      </c>
      <c r="D3309" t="s">
        <v>18177</v>
      </c>
      <c r="E3309" t="s">
        <v>18218</v>
      </c>
      <c r="F3309" t="s">
        <v>31362</v>
      </c>
      <c r="G3309" t="s">
        <v>31368</v>
      </c>
      <c r="H3309" t="s">
        <v>15799</v>
      </c>
      <c r="I3309" t="s">
        <v>31415</v>
      </c>
      <c r="J3309" t="s">
        <v>33736</v>
      </c>
      <c r="K3309" t="s">
        <v>40670</v>
      </c>
      <c r="M3309" t="s">
        <v>42258</v>
      </c>
      <c r="N3309" t="s">
        <v>44905</v>
      </c>
      <c r="O3309" t="s">
        <v>44906</v>
      </c>
      <c r="P3309">
        <v>0</v>
      </c>
      <c r="Q3309">
        <v>1</v>
      </c>
      <c r="R3309" t="s">
        <v>44908</v>
      </c>
      <c r="S3309" t="s">
        <v>45042</v>
      </c>
      <c r="T3309" t="s">
        <v>46446</v>
      </c>
      <c r="U3309" t="s">
        <v>49653</v>
      </c>
      <c r="W3309" t="s">
        <v>42258</v>
      </c>
      <c r="X3309" t="s">
        <v>44909</v>
      </c>
    </row>
    <row r="3310" spans="1:24">
      <c r="A3310">
        <f>HYPERLINK("https://www.philgeps.gov.ph/GEPSNONPILOT/Tender/SplashBidNoticeAbstractUI.aspx?menuIndex=3&amp;refID=7079720&amp;Result=3","7079720")</f>
        <v>0</v>
      </c>
      <c r="B3310" t="s">
        <v>1092</v>
      </c>
      <c r="C3310" t="s">
        <v>6688</v>
      </c>
      <c r="D3310" t="s">
        <v>18107</v>
      </c>
      <c r="E3310" t="s">
        <v>21189</v>
      </c>
      <c r="F3310" t="s">
        <v>31362</v>
      </c>
      <c r="G3310" t="s">
        <v>31370</v>
      </c>
      <c r="H3310" t="s">
        <v>15799</v>
      </c>
      <c r="I3310" t="s">
        <v>3815</v>
      </c>
      <c r="J3310" t="s">
        <v>33737</v>
      </c>
      <c r="K3310" t="s">
        <v>40697</v>
      </c>
      <c r="M3310" t="s">
        <v>42097</v>
      </c>
      <c r="N3310" t="s">
        <v>44905</v>
      </c>
      <c r="O3310" t="s">
        <v>44906</v>
      </c>
      <c r="P3310">
        <v>0</v>
      </c>
      <c r="Q3310">
        <v>0</v>
      </c>
      <c r="R3310" t="s">
        <v>44908</v>
      </c>
      <c r="S3310" t="s">
        <v>45042</v>
      </c>
      <c r="T3310" t="s">
        <v>46409</v>
      </c>
      <c r="U3310" t="s">
        <v>49654</v>
      </c>
      <c r="W3310" t="s">
        <v>42097</v>
      </c>
      <c r="X3310" t="s">
        <v>44909</v>
      </c>
    </row>
    <row r="3311" spans="1:24">
      <c r="A3311">
        <f>HYPERLINK("https://www.philgeps.gov.ph/GEPSNONPILOT/Tender/SplashBidNoticeAbstractUI.aspx?menuIndex=3&amp;refID=7079757&amp;Result=3","7079757")</f>
        <v>0</v>
      </c>
      <c r="B3311" t="s">
        <v>1244</v>
      </c>
      <c r="C3311" t="s">
        <v>6689</v>
      </c>
      <c r="D3311" t="s">
        <v>18131</v>
      </c>
      <c r="E3311" t="s">
        <v>21190</v>
      </c>
      <c r="F3311" t="s">
        <v>31362</v>
      </c>
      <c r="G3311" t="s">
        <v>31369</v>
      </c>
      <c r="H3311" t="s">
        <v>15799</v>
      </c>
      <c r="I3311" t="s">
        <v>31390</v>
      </c>
      <c r="J3311" t="s">
        <v>33738</v>
      </c>
      <c r="K3311" t="s">
        <v>40680</v>
      </c>
      <c r="M3311" t="s">
        <v>42259</v>
      </c>
      <c r="N3311" t="s">
        <v>44905</v>
      </c>
      <c r="O3311" t="s">
        <v>44906</v>
      </c>
      <c r="P3311">
        <v>0</v>
      </c>
      <c r="Q3311">
        <v>1</v>
      </c>
      <c r="R3311" t="s">
        <v>44908</v>
      </c>
      <c r="S3311" t="s">
        <v>45042</v>
      </c>
      <c r="T3311" t="s">
        <v>46427</v>
      </c>
      <c r="U3311" t="s">
        <v>49655</v>
      </c>
      <c r="W3311" t="s">
        <v>42259</v>
      </c>
      <c r="X3311" t="s">
        <v>44909</v>
      </c>
    </row>
    <row r="3312" spans="1:24">
      <c r="A3312">
        <f>HYPERLINK("https://www.philgeps.gov.ph/GEPSNONPILOT/Tender/SplashBidNoticeAbstractUI.aspx?menuIndex=3&amp;refID=7079756&amp;Result=3","7079756")</f>
        <v>0</v>
      </c>
      <c r="B3312" t="s">
        <v>1245</v>
      </c>
      <c r="C3312" t="s">
        <v>6690</v>
      </c>
      <c r="D3312" t="s">
        <v>18134</v>
      </c>
      <c r="E3312" t="s">
        <v>21191</v>
      </c>
      <c r="F3312" t="s">
        <v>31362</v>
      </c>
      <c r="G3312" t="s">
        <v>31368</v>
      </c>
      <c r="H3312" t="s">
        <v>15799</v>
      </c>
      <c r="I3312" t="s">
        <v>3815</v>
      </c>
      <c r="J3312" t="s">
        <v>33739</v>
      </c>
      <c r="K3312" t="s">
        <v>40661</v>
      </c>
      <c r="M3312" t="s">
        <v>42260</v>
      </c>
      <c r="N3312" t="s">
        <v>44905</v>
      </c>
      <c r="O3312" t="s">
        <v>44906</v>
      </c>
      <c r="P3312">
        <v>0</v>
      </c>
      <c r="Q3312">
        <v>0</v>
      </c>
      <c r="R3312" t="s">
        <v>44908</v>
      </c>
      <c r="S3312" t="s">
        <v>45042</v>
      </c>
      <c r="T3312" t="s">
        <v>46396</v>
      </c>
      <c r="U3312" t="s">
        <v>49656</v>
      </c>
      <c r="W3312" t="s">
        <v>42260</v>
      </c>
      <c r="X3312" t="s">
        <v>44909</v>
      </c>
    </row>
    <row r="3313" spans="1:24">
      <c r="A3313">
        <f>HYPERLINK("https://www.philgeps.gov.ph/GEPSNONPILOT/Tender/SplashBidNoticeAbstractUI.aspx?menuIndex=3&amp;refID=7079753&amp;Result=3","7079753")</f>
        <v>0</v>
      </c>
      <c r="B3313" t="s">
        <v>1184</v>
      </c>
      <c r="C3313" t="s">
        <v>6691</v>
      </c>
      <c r="D3313" t="s">
        <v>18119</v>
      </c>
      <c r="E3313" t="s">
        <v>21192</v>
      </c>
      <c r="F3313" t="s">
        <v>31362</v>
      </c>
      <c r="G3313" t="s">
        <v>31368</v>
      </c>
      <c r="H3313" t="s">
        <v>15799</v>
      </c>
      <c r="I3313" t="s">
        <v>13635</v>
      </c>
      <c r="J3313" t="s">
        <v>33740</v>
      </c>
      <c r="K3313" t="s">
        <v>40670</v>
      </c>
      <c r="M3313" t="s">
        <v>42196</v>
      </c>
      <c r="N3313" t="s">
        <v>44905</v>
      </c>
      <c r="O3313" t="s">
        <v>44906</v>
      </c>
      <c r="P3313">
        <v>0</v>
      </c>
      <c r="Q3313">
        <v>0</v>
      </c>
      <c r="R3313" t="s">
        <v>44908</v>
      </c>
      <c r="S3313" t="s">
        <v>45042</v>
      </c>
      <c r="T3313" t="s">
        <v>46447</v>
      </c>
      <c r="U3313" t="s">
        <v>49657</v>
      </c>
      <c r="W3313" t="s">
        <v>42196</v>
      </c>
      <c r="X3313" t="s">
        <v>44909</v>
      </c>
    </row>
    <row r="3314" spans="1:24">
      <c r="A3314">
        <f>HYPERLINK("https://www.philgeps.gov.ph/GEPSNONPILOT/Tender/SplashBidNoticeAbstractUI.aspx?menuIndex=3&amp;refID=7079752&amp;Result=3","7079752")</f>
        <v>0</v>
      </c>
      <c r="B3314" t="s">
        <v>1246</v>
      </c>
      <c r="C3314" t="s">
        <v>6692</v>
      </c>
      <c r="D3314" t="s">
        <v>18104</v>
      </c>
      <c r="E3314" t="s">
        <v>21193</v>
      </c>
      <c r="F3314" t="s">
        <v>31362</v>
      </c>
      <c r="G3314" t="s">
        <v>31370</v>
      </c>
      <c r="H3314" t="s">
        <v>15799</v>
      </c>
      <c r="I3314" t="s">
        <v>31411</v>
      </c>
      <c r="J3314" t="s">
        <v>33741</v>
      </c>
      <c r="K3314" t="s">
        <v>40665</v>
      </c>
      <c r="M3314" t="s">
        <v>42261</v>
      </c>
      <c r="N3314" t="s">
        <v>44905</v>
      </c>
      <c r="O3314" t="s">
        <v>44906</v>
      </c>
      <c r="P3314">
        <v>0</v>
      </c>
      <c r="Q3314">
        <v>1</v>
      </c>
      <c r="R3314" t="s">
        <v>44908</v>
      </c>
      <c r="S3314" t="s">
        <v>45042</v>
      </c>
      <c r="T3314" t="s">
        <v>46416</v>
      </c>
      <c r="U3314" t="s">
        <v>49658</v>
      </c>
      <c r="W3314" t="s">
        <v>42261</v>
      </c>
      <c r="X3314" t="s">
        <v>44909</v>
      </c>
    </row>
    <row r="3315" spans="1:24">
      <c r="A3315">
        <f>HYPERLINK("https://www.philgeps.gov.ph/GEPSNONPILOT/Tender/SplashBidNoticeAbstractUI.aspx?menuIndex=3&amp;refID=7079750&amp;Result=3","7079750")</f>
        <v>0</v>
      </c>
      <c r="B3315" t="s">
        <v>1247</v>
      </c>
      <c r="C3315" t="s">
        <v>6693</v>
      </c>
      <c r="D3315" t="s">
        <v>18119</v>
      </c>
      <c r="E3315" t="s">
        <v>21194</v>
      </c>
      <c r="F3315" t="s">
        <v>31362</v>
      </c>
      <c r="G3315" t="s">
        <v>31369</v>
      </c>
      <c r="H3315" t="s">
        <v>15799</v>
      </c>
      <c r="I3315" t="s">
        <v>7090</v>
      </c>
      <c r="J3315" t="s">
        <v>33742</v>
      </c>
      <c r="K3315" t="s">
        <v>40696</v>
      </c>
      <c r="M3315" t="s">
        <v>42262</v>
      </c>
      <c r="N3315" t="s">
        <v>44905</v>
      </c>
      <c r="O3315" t="s">
        <v>44906</v>
      </c>
      <c r="P3315">
        <v>0</v>
      </c>
      <c r="Q3315">
        <v>4</v>
      </c>
      <c r="R3315" t="s">
        <v>44908</v>
      </c>
      <c r="S3315" t="s">
        <v>45042</v>
      </c>
      <c r="T3315" t="s">
        <v>46449</v>
      </c>
      <c r="U3315" t="s">
        <v>49659</v>
      </c>
      <c r="W3315" t="s">
        <v>60888</v>
      </c>
      <c r="X3315" t="s">
        <v>44909</v>
      </c>
    </row>
    <row r="3316" spans="1:24">
      <c r="A3316">
        <f>HYPERLINK("https://www.philgeps.gov.ph/GEPSNONPILOT/Tender/SplashBidNoticeAbstractUI.aspx?menuIndex=3&amp;refID=7079760&amp;Result=3","7079760")</f>
        <v>0</v>
      </c>
      <c r="B3316" t="s">
        <v>722</v>
      </c>
      <c r="C3316" t="s">
        <v>6694</v>
      </c>
      <c r="E3316" t="s">
        <v>19824</v>
      </c>
      <c r="F3316" t="s">
        <v>31362</v>
      </c>
      <c r="G3316" t="s">
        <v>31369</v>
      </c>
      <c r="H3316" t="s">
        <v>15799</v>
      </c>
      <c r="I3316" t="s">
        <v>7188</v>
      </c>
      <c r="J3316" t="s">
        <v>33743</v>
      </c>
      <c r="K3316" t="s">
        <v>40662</v>
      </c>
      <c r="M3316" t="s">
        <v>41687</v>
      </c>
      <c r="N3316" t="s">
        <v>44905</v>
      </c>
      <c r="O3316" t="s">
        <v>44906</v>
      </c>
      <c r="P3316">
        <v>0</v>
      </c>
      <c r="Q3316">
        <v>7</v>
      </c>
      <c r="R3316" t="s">
        <v>44908</v>
      </c>
      <c r="S3316" t="s">
        <v>45042</v>
      </c>
      <c r="T3316" t="s">
        <v>46577</v>
      </c>
      <c r="U3316" t="s">
        <v>49660</v>
      </c>
      <c r="V3316" t="s">
        <v>59231</v>
      </c>
      <c r="W3316" t="s">
        <v>41687</v>
      </c>
      <c r="X3316" t="s">
        <v>44909</v>
      </c>
    </row>
    <row r="3317" spans="1:24">
      <c r="A3317">
        <f>HYPERLINK("https://www.philgeps.gov.ph/GEPSNONPILOT/Tender/SplashBidNoticeAbstractUI.aspx?menuIndex=3&amp;refID=7079748&amp;Result=3","7079748")</f>
        <v>0</v>
      </c>
      <c r="B3317" t="s">
        <v>722</v>
      </c>
      <c r="C3317" t="s">
        <v>6695</v>
      </c>
      <c r="E3317" t="s">
        <v>21195</v>
      </c>
      <c r="F3317" t="s">
        <v>31362</v>
      </c>
      <c r="G3317" t="s">
        <v>31369</v>
      </c>
      <c r="H3317" t="s">
        <v>15799</v>
      </c>
      <c r="I3317" t="s">
        <v>31409</v>
      </c>
      <c r="J3317" t="s">
        <v>33744</v>
      </c>
      <c r="K3317" t="s">
        <v>40662</v>
      </c>
      <c r="M3317" t="s">
        <v>41687</v>
      </c>
      <c r="N3317" t="s">
        <v>44905</v>
      </c>
      <c r="O3317" t="s">
        <v>44906</v>
      </c>
      <c r="P3317">
        <v>0</v>
      </c>
      <c r="Q3317">
        <v>2</v>
      </c>
      <c r="R3317" t="s">
        <v>44908</v>
      </c>
      <c r="S3317" t="s">
        <v>45042</v>
      </c>
      <c r="T3317" t="s">
        <v>46577</v>
      </c>
      <c r="U3317" t="s">
        <v>49660</v>
      </c>
      <c r="V3317" t="s">
        <v>59231</v>
      </c>
      <c r="W3317" t="s">
        <v>41687</v>
      </c>
      <c r="X3317" t="s">
        <v>44909</v>
      </c>
    </row>
    <row r="3318" spans="1:24">
      <c r="A3318">
        <f>HYPERLINK("https://www.philgeps.gov.ph/GEPSNONPILOT/Tender/SplashBidNoticeAbstractUI.aspx?menuIndex=3&amp;refID=7079759&amp;Result=3","7079759")</f>
        <v>0</v>
      </c>
      <c r="B3318" t="s">
        <v>1248</v>
      </c>
      <c r="C3318" t="s">
        <v>6696</v>
      </c>
      <c r="D3318" t="s">
        <v>18122</v>
      </c>
      <c r="E3318" t="s">
        <v>21196</v>
      </c>
      <c r="F3318" t="s">
        <v>31362</v>
      </c>
      <c r="G3318" t="s">
        <v>31368</v>
      </c>
      <c r="H3318" t="s">
        <v>15799</v>
      </c>
      <c r="I3318" t="s">
        <v>7719</v>
      </c>
      <c r="J3318" t="s">
        <v>33745</v>
      </c>
      <c r="K3318" t="s">
        <v>40665</v>
      </c>
      <c r="M3318" t="s">
        <v>42263</v>
      </c>
      <c r="N3318" t="s">
        <v>44905</v>
      </c>
      <c r="O3318" t="s">
        <v>44906</v>
      </c>
      <c r="P3318">
        <v>0</v>
      </c>
      <c r="Q3318">
        <v>10</v>
      </c>
      <c r="R3318" t="s">
        <v>44908</v>
      </c>
      <c r="S3318" t="s">
        <v>45042</v>
      </c>
      <c r="T3318" t="s">
        <v>46426</v>
      </c>
      <c r="U3318" t="s">
        <v>49661</v>
      </c>
      <c r="W3318" t="s">
        <v>42263</v>
      </c>
      <c r="X3318" t="s">
        <v>44909</v>
      </c>
    </row>
    <row r="3319" spans="1:24">
      <c r="A3319">
        <f>HYPERLINK("https://www.philgeps.gov.ph/GEPSNONPILOT/Tender/SplashBidNoticeAbstractUI.aspx?menuIndex=3&amp;refID=7079745&amp;Result=3","7079745")</f>
        <v>0</v>
      </c>
      <c r="B3319" t="s">
        <v>1235</v>
      </c>
      <c r="C3319" t="s">
        <v>6697</v>
      </c>
      <c r="E3319" t="s">
        <v>21197</v>
      </c>
      <c r="F3319" t="s">
        <v>31362</v>
      </c>
      <c r="G3319" t="s">
        <v>31369</v>
      </c>
      <c r="H3319" t="s">
        <v>15799</v>
      </c>
      <c r="I3319" t="s">
        <v>7090</v>
      </c>
      <c r="J3319" t="s">
        <v>33746</v>
      </c>
      <c r="K3319" t="s">
        <v>40662</v>
      </c>
      <c r="M3319" t="s">
        <v>42249</v>
      </c>
      <c r="N3319" t="s">
        <v>44905</v>
      </c>
      <c r="O3319" t="s">
        <v>44906</v>
      </c>
      <c r="P3319">
        <v>0</v>
      </c>
      <c r="Q3319">
        <v>3</v>
      </c>
      <c r="R3319" t="s">
        <v>44908</v>
      </c>
      <c r="S3319" t="s">
        <v>45042</v>
      </c>
      <c r="T3319" t="s">
        <v>46449</v>
      </c>
      <c r="U3319" t="s">
        <v>49662</v>
      </c>
      <c r="W3319" t="s">
        <v>42249</v>
      </c>
      <c r="X3319" t="s">
        <v>44909</v>
      </c>
    </row>
    <row r="3320" spans="1:24">
      <c r="A3320">
        <f>HYPERLINK("https://www.philgeps.gov.ph/GEPSNONPILOT/Tender/SplashBidNoticeAbstractUI.aspx?menuIndex=3&amp;refID=7079742&amp;Result=3","7079742")</f>
        <v>0</v>
      </c>
      <c r="B3320" t="s">
        <v>1249</v>
      </c>
      <c r="C3320" t="s">
        <v>6698</v>
      </c>
      <c r="D3320" t="s">
        <v>18102</v>
      </c>
      <c r="E3320" t="s">
        <v>21198</v>
      </c>
      <c r="F3320" t="s">
        <v>31362</v>
      </c>
      <c r="G3320" t="s">
        <v>31370</v>
      </c>
      <c r="H3320" t="s">
        <v>15799</v>
      </c>
      <c r="I3320" t="s">
        <v>31400</v>
      </c>
      <c r="J3320" t="s">
        <v>33747</v>
      </c>
      <c r="K3320" t="s">
        <v>40662</v>
      </c>
      <c r="M3320" t="s">
        <v>42264</v>
      </c>
      <c r="N3320" t="s">
        <v>44905</v>
      </c>
      <c r="O3320" t="s">
        <v>44906</v>
      </c>
      <c r="P3320">
        <v>0</v>
      </c>
      <c r="Q3320">
        <v>4</v>
      </c>
      <c r="R3320" t="s">
        <v>44908</v>
      </c>
      <c r="S3320" t="s">
        <v>45042</v>
      </c>
      <c r="T3320" t="s">
        <v>46569</v>
      </c>
      <c r="U3320" t="s">
        <v>49663</v>
      </c>
      <c r="W3320" t="s">
        <v>42264</v>
      </c>
      <c r="X3320" t="s">
        <v>44909</v>
      </c>
    </row>
    <row r="3321" spans="1:24">
      <c r="A3321">
        <f>HYPERLINK("https://www.philgeps.gov.ph/GEPSNONPILOT/Tender/SplashBidNoticeAbstractUI.aspx?menuIndex=3&amp;refID=7079692&amp;Result=3","7079692")</f>
        <v>0</v>
      </c>
      <c r="B3321" t="s">
        <v>1217</v>
      </c>
      <c r="C3321" t="s">
        <v>6699</v>
      </c>
      <c r="D3321" t="s">
        <v>18106</v>
      </c>
      <c r="E3321" t="s">
        <v>21199</v>
      </c>
      <c r="F3321" t="s">
        <v>31362</v>
      </c>
      <c r="G3321" t="s">
        <v>31368</v>
      </c>
      <c r="H3321" t="s">
        <v>15799</v>
      </c>
      <c r="I3321" t="s">
        <v>7090</v>
      </c>
      <c r="J3321" t="s">
        <v>33748</v>
      </c>
      <c r="K3321" t="s">
        <v>40665</v>
      </c>
      <c r="M3321" t="s">
        <v>42230</v>
      </c>
      <c r="N3321" t="s">
        <v>44905</v>
      </c>
      <c r="O3321" t="s">
        <v>44906</v>
      </c>
      <c r="P3321">
        <v>0</v>
      </c>
      <c r="Q3321">
        <v>1</v>
      </c>
      <c r="R3321" t="s">
        <v>44908</v>
      </c>
      <c r="S3321" t="s">
        <v>45042</v>
      </c>
      <c r="T3321" t="s">
        <v>46447</v>
      </c>
      <c r="U3321" t="s">
        <v>49589</v>
      </c>
      <c r="V3321" t="s">
        <v>59395</v>
      </c>
      <c r="W3321" t="s">
        <v>42230</v>
      </c>
      <c r="X3321" t="s">
        <v>44909</v>
      </c>
    </row>
    <row r="3322" spans="1:24">
      <c r="A3322">
        <f>HYPERLINK("https://www.philgeps.gov.ph/GEPSNONPILOT/Tender/SplashBidNoticeAbstractUI.aspx?menuIndex=3&amp;refID=7079763&amp;Result=3","7079763")</f>
        <v>0</v>
      </c>
      <c r="B3322" t="s">
        <v>1235</v>
      </c>
      <c r="C3322" t="s">
        <v>6700</v>
      </c>
      <c r="E3322" t="s">
        <v>21200</v>
      </c>
      <c r="F3322" t="s">
        <v>31362</v>
      </c>
      <c r="G3322" t="s">
        <v>31369</v>
      </c>
      <c r="H3322" t="s">
        <v>15799</v>
      </c>
      <c r="I3322" t="s">
        <v>31388</v>
      </c>
      <c r="J3322" t="s">
        <v>33749</v>
      </c>
      <c r="K3322" t="s">
        <v>40662</v>
      </c>
      <c r="M3322" t="s">
        <v>42249</v>
      </c>
      <c r="N3322" t="s">
        <v>44905</v>
      </c>
      <c r="O3322" t="s">
        <v>44906</v>
      </c>
      <c r="P3322">
        <v>0</v>
      </c>
      <c r="Q3322">
        <v>1</v>
      </c>
      <c r="R3322" t="s">
        <v>44908</v>
      </c>
      <c r="S3322" t="s">
        <v>45042</v>
      </c>
      <c r="T3322" t="s">
        <v>46449</v>
      </c>
      <c r="U3322" t="s">
        <v>49664</v>
      </c>
      <c r="W3322" t="s">
        <v>42249</v>
      </c>
      <c r="X3322" t="s">
        <v>44909</v>
      </c>
    </row>
    <row r="3323" spans="1:24">
      <c r="A3323">
        <f>HYPERLINK("https://www.philgeps.gov.ph/GEPSNONPILOT/Tender/SplashBidNoticeAbstractUI.aspx?menuIndex=3&amp;refID=7079755&amp;Result=3","7079755")</f>
        <v>0</v>
      </c>
      <c r="B3323" t="s">
        <v>355</v>
      </c>
      <c r="C3323" t="s">
        <v>6701</v>
      </c>
      <c r="D3323" t="s">
        <v>18134</v>
      </c>
      <c r="E3323" t="s">
        <v>21201</v>
      </c>
      <c r="F3323" t="s">
        <v>31362</v>
      </c>
      <c r="G3323" t="s">
        <v>31369</v>
      </c>
      <c r="H3323" t="s">
        <v>31378</v>
      </c>
      <c r="I3323" t="s">
        <v>31386</v>
      </c>
      <c r="J3323" t="s">
        <v>33750</v>
      </c>
      <c r="K3323" t="s">
        <v>40681</v>
      </c>
      <c r="M3323" t="s">
        <v>41302</v>
      </c>
      <c r="N3323" t="s">
        <v>44905</v>
      </c>
      <c r="O3323" t="s">
        <v>44906</v>
      </c>
      <c r="P3323">
        <v>0</v>
      </c>
      <c r="Q3323">
        <v>0</v>
      </c>
      <c r="R3323" t="s">
        <v>44908</v>
      </c>
      <c r="S3323" t="s">
        <v>45042</v>
      </c>
      <c r="T3323" t="s">
        <v>46449</v>
      </c>
      <c r="U3323" t="s">
        <v>49665</v>
      </c>
      <c r="W3323" t="s">
        <v>41302</v>
      </c>
      <c r="X3323" t="s">
        <v>44909</v>
      </c>
    </row>
    <row r="3324" spans="1:24">
      <c r="A3324">
        <f>HYPERLINK("https://www.philgeps.gov.ph/GEPSNONPILOT/Tender/SplashBidNoticeAbstractUI.aspx?menuIndex=3&amp;refID=7079700&amp;Result=3","7079700")</f>
        <v>0</v>
      </c>
      <c r="B3324" t="s">
        <v>237</v>
      </c>
      <c r="C3324" t="s">
        <v>6702</v>
      </c>
      <c r="D3324" t="s">
        <v>18108</v>
      </c>
      <c r="E3324" t="s">
        <v>21202</v>
      </c>
      <c r="F3324" t="s">
        <v>31362</v>
      </c>
      <c r="G3324" t="s">
        <v>31368</v>
      </c>
      <c r="H3324" t="s">
        <v>15799</v>
      </c>
      <c r="I3324" t="s">
        <v>31384</v>
      </c>
      <c r="J3324" t="s">
        <v>33751</v>
      </c>
      <c r="K3324" t="s">
        <v>40670</v>
      </c>
      <c r="M3324" t="s">
        <v>42234</v>
      </c>
      <c r="N3324" t="s">
        <v>44905</v>
      </c>
      <c r="O3324" t="s">
        <v>44906</v>
      </c>
      <c r="P3324">
        <v>0</v>
      </c>
      <c r="Q3324">
        <v>7</v>
      </c>
      <c r="R3324" t="s">
        <v>44908</v>
      </c>
      <c r="S3324" t="s">
        <v>45042</v>
      </c>
      <c r="T3324" t="s">
        <v>46494</v>
      </c>
      <c r="U3324" t="s">
        <v>49666</v>
      </c>
      <c r="V3324" t="s">
        <v>59397</v>
      </c>
      <c r="W3324" t="s">
        <v>42234</v>
      </c>
      <c r="X3324" t="s">
        <v>44909</v>
      </c>
    </row>
    <row r="3325" spans="1:24">
      <c r="A3325">
        <f>HYPERLINK("https://www.philgeps.gov.ph/GEPSNONPILOT/Tender/SplashBidNoticeAbstractUI.aspx?menuIndex=3&amp;refID=7079749&amp;Result=3","7079749")</f>
        <v>0</v>
      </c>
      <c r="B3325" t="s">
        <v>873</v>
      </c>
      <c r="C3325" t="s">
        <v>6703</v>
      </c>
      <c r="D3325" t="s">
        <v>18116</v>
      </c>
      <c r="E3325" t="s">
        <v>21203</v>
      </c>
      <c r="F3325" t="s">
        <v>31362</v>
      </c>
      <c r="G3325" t="s">
        <v>31369</v>
      </c>
      <c r="H3325" t="s">
        <v>15799</v>
      </c>
      <c r="I3325" t="s">
        <v>3815</v>
      </c>
      <c r="J3325" t="s">
        <v>33752</v>
      </c>
      <c r="K3325" t="s">
        <v>40665</v>
      </c>
      <c r="L3325" t="s">
        <v>873</v>
      </c>
      <c r="M3325" t="s">
        <v>42265</v>
      </c>
      <c r="N3325" t="s">
        <v>44905</v>
      </c>
      <c r="O3325" t="s">
        <v>44906</v>
      </c>
      <c r="P3325">
        <v>0</v>
      </c>
      <c r="Q3325">
        <v>0</v>
      </c>
      <c r="R3325" t="s">
        <v>44908</v>
      </c>
      <c r="S3325" t="s">
        <v>45042</v>
      </c>
      <c r="T3325" t="s">
        <v>46433</v>
      </c>
      <c r="U3325" t="s">
        <v>49667</v>
      </c>
      <c r="W3325" t="s">
        <v>42265</v>
      </c>
      <c r="X3325" t="s">
        <v>44909</v>
      </c>
    </row>
    <row r="3326" spans="1:24">
      <c r="A3326">
        <f>HYPERLINK("https://www.philgeps.gov.ph/GEPSNONPILOT/Tender/SplashBidNoticeAbstractUI.aspx?menuIndex=3&amp;refID=7079787&amp;Result=3","7079787")</f>
        <v>0</v>
      </c>
      <c r="B3326" t="s">
        <v>1246</v>
      </c>
      <c r="C3326" t="s">
        <v>6692</v>
      </c>
      <c r="D3326" t="s">
        <v>18104</v>
      </c>
      <c r="E3326" t="s">
        <v>21204</v>
      </c>
      <c r="F3326" t="s">
        <v>31362</v>
      </c>
      <c r="G3326" t="s">
        <v>31370</v>
      </c>
      <c r="H3326" t="s">
        <v>15799</v>
      </c>
      <c r="I3326" t="s">
        <v>7188</v>
      </c>
      <c r="J3326" t="s">
        <v>33753</v>
      </c>
      <c r="K3326" t="s">
        <v>40682</v>
      </c>
      <c r="M3326" t="s">
        <v>42261</v>
      </c>
      <c r="N3326" t="s">
        <v>44905</v>
      </c>
      <c r="O3326" t="s">
        <v>44906</v>
      </c>
      <c r="P3326">
        <v>0</v>
      </c>
      <c r="Q3326">
        <v>0</v>
      </c>
      <c r="R3326" t="s">
        <v>44908</v>
      </c>
      <c r="S3326" t="s">
        <v>45042</v>
      </c>
      <c r="T3326" t="s">
        <v>46416</v>
      </c>
      <c r="U3326" t="s">
        <v>49668</v>
      </c>
      <c r="W3326" t="s">
        <v>42261</v>
      </c>
      <c r="X3326" t="s">
        <v>44909</v>
      </c>
    </row>
    <row r="3327" spans="1:24">
      <c r="A3327">
        <f>HYPERLINK("https://www.philgeps.gov.ph/GEPSNONPILOT/Tender/SplashBidNoticeAbstractUI.aspx?menuIndex=3&amp;refID=7079786&amp;Result=3","7079786")</f>
        <v>0</v>
      </c>
      <c r="B3327" t="s">
        <v>258</v>
      </c>
      <c r="C3327" t="s">
        <v>6704</v>
      </c>
      <c r="D3327" t="s">
        <v>18141</v>
      </c>
      <c r="E3327" t="s">
        <v>21205</v>
      </c>
      <c r="F3327" t="s">
        <v>31362</v>
      </c>
      <c r="G3327" t="s">
        <v>31368</v>
      </c>
      <c r="H3327" t="s">
        <v>15799</v>
      </c>
      <c r="I3327" t="s">
        <v>7719</v>
      </c>
      <c r="J3327" t="s">
        <v>33754</v>
      </c>
      <c r="K3327" t="s">
        <v>40677</v>
      </c>
      <c r="M3327" t="s">
        <v>41199</v>
      </c>
      <c r="N3327" t="s">
        <v>44905</v>
      </c>
      <c r="O3327" t="s">
        <v>44906</v>
      </c>
      <c r="P3327">
        <v>0</v>
      </c>
      <c r="Q3327">
        <v>6</v>
      </c>
      <c r="R3327" t="s">
        <v>44908</v>
      </c>
      <c r="S3327" t="s">
        <v>45042</v>
      </c>
      <c r="T3327" t="s">
        <v>46416</v>
      </c>
      <c r="U3327" t="s">
        <v>49669</v>
      </c>
      <c r="W3327" t="s">
        <v>41199</v>
      </c>
      <c r="X3327" t="s">
        <v>44909</v>
      </c>
    </row>
    <row r="3328" spans="1:24">
      <c r="A3328">
        <f>HYPERLINK("https://www.philgeps.gov.ph/GEPSNONPILOT/Tender/SplashBidNoticeAbstractUI.aspx?menuIndex=3&amp;refID=7079689&amp;Result=3","7079689")</f>
        <v>0</v>
      </c>
      <c r="B3328" t="s">
        <v>1250</v>
      </c>
      <c r="C3328" t="s">
        <v>6705</v>
      </c>
      <c r="D3328" t="s">
        <v>18158</v>
      </c>
      <c r="E3328" t="s">
        <v>21206</v>
      </c>
      <c r="F3328" t="s">
        <v>31362</v>
      </c>
      <c r="G3328" t="s">
        <v>31368</v>
      </c>
      <c r="H3328" t="s">
        <v>15799</v>
      </c>
      <c r="I3328" t="s">
        <v>3815</v>
      </c>
      <c r="J3328" t="s">
        <v>32925</v>
      </c>
      <c r="K3328" t="s">
        <v>40697</v>
      </c>
      <c r="M3328" t="s">
        <v>42266</v>
      </c>
      <c r="N3328" t="s">
        <v>44905</v>
      </c>
      <c r="O3328" t="s">
        <v>44906</v>
      </c>
      <c r="P3328">
        <v>0</v>
      </c>
      <c r="Q3328">
        <v>0</v>
      </c>
      <c r="R3328" t="s">
        <v>44908</v>
      </c>
      <c r="S3328" t="s">
        <v>45042</v>
      </c>
      <c r="T3328" t="s">
        <v>46409</v>
      </c>
      <c r="U3328" t="s">
        <v>49670</v>
      </c>
      <c r="W3328" t="s">
        <v>42266</v>
      </c>
      <c r="X3328" t="s">
        <v>44909</v>
      </c>
    </row>
    <row r="3329" spans="1:24">
      <c r="A3329">
        <f>HYPERLINK("https://www.philgeps.gov.ph/GEPSNONPILOT/Tender/SplashBidNoticeAbstractUI.aspx?menuIndex=3&amp;refID=7079741&amp;Result=3","7079741")</f>
        <v>0</v>
      </c>
      <c r="B3329" t="s">
        <v>241</v>
      </c>
      <c r="C3329" t="s">
        <v>6706</v>
      </c>
      <c r="D3329" t="s">
        <v>18143</v>
      </c>
      <c r="E3329" t="s">
        <v>21207</v>
      </c>
      <c r="F3329" t="s">
        <v>31362</v>
      </c>
      <c r="G3329" t="s">
        <v>31369</v>
      </c>
      <c r="H3329" t="s">
        <v>15799</v>
      </c>
      <c r="I3329" t="s">
        <v>3815</v>
      </c>
      <c r="J3329" t="s">
        <v>33755</v>
      </c>
      <c r="K3329" t="s">
        <v>40665</v>
      </c>
      <c r="M3329" t="s">
        <v>41180</v>
      </c>
      <c r="N3329" t="s">
        <v>44905</v>
      </c>
      <c r="O3329" t="s">
        <v>44906</v>
      </c>
      <c r="P3329">
        <v>0</v>
      </c>
      <c r="Q3329">
        <v>0</v>
      </c>
      <c r="R3329" t="s">
        <v>44908</v>
      </c>
      <c r="S3329" t="s">
        <v>45042</v>
      </c>
      <c r="T3329" t="s">
        <v>46559</v>
      </c>
      <c r="U3329" t="s">
        <v>49671</v>
      </c>
      <c r="V3329" t="s">
        <v>59405</v>
      </c>
      <c r="W3329" t="s">
        <v>41180</v>
      </c>
      <c r="X3329" t="s">
        <v>44909</v>
      </c>
    </row>
    <row r="3330" spans="1:24">
      <c r="A3330">
        <f>HYPERLINK("https://www.philgeps.gov.ph/GEPSNONPILOT/Tender/SplashBidNoticeAbstractUI.aspx?menuIndex=3&amp;refID=7079780&amp;Result=3","7079780")</f>
        <v>0</v>
      </c>
      <c r="B3330" t="s">
        <v>970</v>
      </c>
      <c r="C3330" t="s">
        <v>6707</v>
      </c>
      <c r="D3330" t="s">
        <v>18100</v>
      </c>
      <c r="E3330" t="s">
        <v>21208</v>
      </c>
      <c r="F3330" t="s">
        <v>31362</v>
      </c>
      <c r="G3330" t="s">
        <v>31368</v>
      </c>
      <c r="H3330" t="s">
        <v>15799</v>
      </c>
      <c r="I3330" t="s">
        <v>7090</v>
      </c>
      <c r="J3330" t="s">
        <v>32065</v>
      </c>
      <c r="K3330" t="s">
        <v>40697</v>
      </c>
      <c r="M3330" t="s">
        <v>41960</v>
      </c>
      <c r="N3330" t="s">
        <v>44905</v>
      </c>
      <c r="O3330" t="s">
        <v>44906</v>
      </c>
      <c r="P3330">
        <v>0</v>
      </c>
      <c r="Q3330">
        <v>1</v>
      </c>
      <c r="R3330" t="s">
        <v>44908</v>
      </c>
      <c r="S3330" t="s">
        <v>45042</v>
      </c>
      <c r="T3330" t="s">
        <v>46427</v>
      </c>
      <c r="U3330" t="s">
        <v>49672</v>
      </c>
      <c r="W3330" t="s">
        <v>41960</v>
      </c>
      <c r="X3330" t="s">
        <v>44909</v>
      </c>
    </row>
    <row r="3331" spans="1:24">
      <c r="A3331">
        <f>HYPERLINK("https://www.philgeps.gov.ph/GEPSNONPILOT/Tender/SplashBidNoticeAbstractUI.aspx?menuIndex=3&amp;refID=7079779&amp;Result=3","7079779")</f>
        <v>0</v>
      </c>
      <c r="B3331" t="s">
        <v>406</v>
      </c>
      <c r="C3331" t="s">
        <v>6708</v>
      </c>
      <c r="E3331" t="s">
        <v>21209</v>
      </c>
      <c r="F3331" t="s">
        <v>31362</v>
      </c>
      <c r="G3331" t="s">
        <v>31370</v>
      </c>
      <c r="H3331" t="s">
        <v>15799</v>
      </c>
      <c r="I3331" t="s">
        <v>7188</v>
      </c>
      <c r="J3331" t="s">
        <v>31577</v>
      </c>
      <c r="K3331" t="s">
        <v>40662</v>
      </c>
      <c r="M3331" t="s">
        <v>41356</v>
      </c>
      <c r="N3331" t="s">
        <v>44905</v>
      </c>
      <c r="O3331" t="s">
        <v>44906</v>
      </c>
      <c r="P3331">
        <v>0</v>
      </c>
      <c r="Q3331">
        <v>5</v>
      </c>
      <c r="R3331" t="s">
        <v>44908</v>
      </c>
      <c r="S3331" t="s">
        <v>45042</v>
      </c>
      <c r="T3331" t="s">
        <v>46414</v>
      </c>
      <c r="U3331" t="s">
        <v>46933</v>
      </c>
      <c r="W3331" t="s">
        <v>41356</v>
      </c>
      <c r="X3331" t="s">
        <v>44909</v>
      </c>
    </row>
    <row r="3332" spans="1:24">
      <c r="A3332">
        <f>HYPERLINK("https://www.philgeps.gov.ph/GEPSNONPILOT/Tender/SplashBidNoticeAbstractUI.aspx?menuIndex=3&amp;refID=7079776&amp;Result=3","7079776")</f>
        <v>0</v>
      </c>
      <c r="B3332" t="s">
        <v>1251</v>
      </c>
      <c r="C3332" t="s">
        <v>6709</v>
      </c>
      <c r="D3332" t="s">
        <v>18101</v>
      </c>
      <c r="E3332" t="s">
        <v>21210</v>
      </c>
      <c r="F3332" t="s">
        <v>31362</v>
      </c>
      <c r="G3332" t="s">
        <v>31369</v>
      </c>
      <c r="H3332" t="s">
        <v>31378</v>
      </c>
      <c r="I3332" t="s">
        <v>31386</v>
      </c>
      <c r="J3332" t="s">
        <v>33756</v>
      </c>
      <c r="K3332" t="s">
        <v>40737</v>
      </c>
      <c r="M3332" t="s">
        <v>42267</v>
      </c>
      <c r="N3332" t="s">
        <v>44905</v>
      </c>
      <c r="O3332" t="s">
        <v>44906</v>
      </c>
      <c r="P3332">
        <v>0</v>
      </c>
      <c r="Q3332">
        <v>0</v>
      </c>
      <c r="R3332" t="s">
        <v>44908</v>
      </c>
      <c r="S3332" t="s">
        <v>45042</v>
      </c>
      <c r="T3332" t="s">
        <v>46419</v>
      </c>
      <c r="U3332" t="s">
        <v>49673</v>
      </c>
      <c r="V3332" t="s">
        <v>59406</v>
      </c>
      <c r="W3332" t="s">
        <v>42267</v>
      </c>
      <c r="X3332" t="s">
        <v>44909</v>
      </c>
    </row>
    <row r="3333" spans="1:24">
      <c r="A3333">
        <f>HYPERLINK("https://www.philgeps.gov.ph/GEPSNONPILOT/Tender/SplashBidNoticeAbstractUI.aspx?menuIndex=3&amp;refID=7079775&amp;Result=3","7079775")</f>
        <v>0</v>
      </c>
      <c r="B3333" t="s">
        <v>1252</v>
      </c>
      <c r="C3333" t="s">
        <v>6710</v>
      </c>
      <c r="D3333" t="s">
        <v>18108</v>
      </c>
      <c r="E3333" t="s">
        <v>21211</v>
      </c>
      <c r="F3333" t="s">
        <v>31362</v>
      </c>
      <c r="G3333" t="s">
        <v>31368</v>
      </c>
      <c r="H3333" t="s">
        <v>15799</v>
      </c>
      <c r="I3333" t="s">
        <v>31389</v>
      </c>
      <c r="J3333" t="s">
        <v>33757</v>
      </c>
      <c r="K3333" t="s">
        <v>40665</v>
      </c>
      <c r="M3333" t="s">
        <v>42268</v>
      </c>
      <c r="N3333" t="s">
        <v>44905</v>
      </c>
      <c r="O3333" t="s">
        <v>44906</v>
      </c>
      <c r="P3333">
        <v>0</v>
      </c>
      <c r="Q3333">
        <v>8</v>
      </c>
      <c r="R3333" t="s">
        <v>44908</v>
      </c>
      <c r="S3333" t="s">
        <v>45042</v>
      </c>
      <c r="T3333" t="s">
        <v>46478</v>
      </c>
      <c r="U3333" t="s">
        <v>49674</v>
      </c>
      <c r="W3333" t="s">
        <v>42268</v>
      </c>
      <c r="X3333" t="s">
        <v>44909</v>
      </c>
    </row>
    <row r="3334" spans="1:24">
      <c r="A3334">
        <f>HYPERLINK("https://www.philgeps.gov.ph/GEPSNONPILOT/Tender/SplashBidNoticeAbstractUI.aspx?menuIndex=3&amp;refID=7079782&amp;Result=3","7079782")</f>
        <v>0</v>
      </c>
      <c r="B3334" t="s">
        <v>1253</v>
      </c>
      <c r="C3334" t="s">
        <v>6711</v>
      </c>
      <c r="D3334" t="s">
        <v>18104</v>
      </c>
      <c r="E3334" t="s">
        <v>21212</v>
      </c>
      <c r="F3334" t="s">
        <v>31362</v>
      </c>
      <c r="G3334" t="s">
        <v>31369</v>
      </c>
      <c r="H3334" t="s">
        <v>15799</v>
      </c>
      <c r="I3334" t="s">
        <v>31409</v>
      </c>
      <c r="J3334" t="s">
        <v>33758</v>
      </c>
      <c r="K3334" t="s">
        <v>40675</v>
      </c>
      <c r="M3334" t="s">
        <v>42269</v>
      </c>
      <c r="N3334" t="s">
        <v>44905</v>
      </c>
      <c r="O3334" t="s">
        <v>44906</v>
      </c>
      <c r="P3334">
        <v>0</v>
      </c>
      <c r="Q3334">
        <v>2</v>
      </c>
      <c r="R3334" t="s">
        <v>44908</v>
      </c>
      <c r="S3334" t="s">
        <v>45042</v>
      </c>
      <c r="T3334" t="s">
        <v>46427</v>
      </c>
      <c r="U3334" t="s">
        <v>49675</v>
      </c>
      <c r="W3334" t="s">
        <v>42269</v>
      </c>
      <c r="X3334" t="s">
        <v>44909</v>
      </c>
    </row>
    <row r="3335" spans="1:24">
      <c r="A3335">
        <f>HYPERLINK("https://www.philgeps.gov.ph/GEPSNONPILOT/Tender/SplashBidNoticeAbstractUI.aspx?menuIndex=3&amp;refID=7079778&amp;Result=3","7079778")</f>
        <v>0</v>
      </c>
      <c r="B3335" t="s">
        <v>1254</v>
      </c>
      <c r="C3335" t="s">
        <v>6712</v>
      </c>
      <c r="D3335" t="s">
        <v>18131</v>
      </c>
      <c r="E3335" t="s">
        <v>21213</v>
      </c>
      <c r="F3335" t="s">
        <v>31362</v>
      </c>
      <c r="G3335" t="s">
        <v>31369</v>
      </c>
      <c r="H3335" t="s">
        <v>15799</v>
      </c>
      <c r="I3335" t="s">
        <v>3815</v>
      </c>
      <c r="J3335" t="s">
        <v>33759</v>
      </c>
      <c r="K3335" t="s">
        <v>40680</v>
      </c>
      <c r="M3335" t="s">
        <v>42270</v>
      </c>
      <c r="N3335" t="s">
        <v>44905</v>
      </c>
      <c r="O3335" t="s">
        <v>44906</v>
      </c>
      <c r="P3335">
        <v>0</v>
      </c>
      <c r="Q3335">
        <v>0</v>
      </c>
      <c r="R3335" t="s">
        <v>44908</v>
      </c>
      <c r="S3335" t="s">
        <v>45042</v>
      </c>
      <c r="T3335" t="s">
        <v>46427</v>
      </c>
      <c r="U3335" t="s">
        <v>49655</v>
      </c>
      <c r="W3335" t="s">
        <v>42270</v>
      </c>
      <c r="X3335" t="s">
        <v>44909</v>
      </c>
    </row>
    <row r="3336" spans="1:24">
      <c r="A3336">
        <f>HYPERLINK("https://www.philgeps.gov.ph/GEPSNONPILOT/Tender/SplashBidNoticeAbstractUI.aspx?menuIndex=3&amp;refID=7079771&amp;Result=3","7079771")</f>
        <v>0</v>
      </c>
      <c r="B3336" t="s">
        <v>406</v>
      </c>
      <c r="C3336" t="s">
        <v>6713</v>
      </c>
      <c r="E3336" t="s">
        <v>21214</v>
      </c>
      <c r="F3336" t="s">
        <v>31362</v>
      </c>
      <c r="G3336" t="s">
        <v>31370</v>
      </c>
      <c r="H3336" t="s">
        <v>15799</v>
      </c>
      <c r="I3336" t="s">
        <v>7188</v>
      </c>
      <c r="J3336" t="s">
        <v>31688</v>
      </c>
      <c r="K3336" t="s">
        <v>40662</v>
      </c>
      <c r="M3336" t="s">
        <v>41356</v>
      </c>
      <c r="N3336" t="s">
        <v>44905</v>
      </c>
      <c r="O3336" t="s">
        <v>44906</v>
      </c>
      <c r="P3336">
        <v>0</v>
      </c>
      <c r="Q3336">
        <v>7</v>
      </c>
      <c r="R3336" t="s">
        <v>44908</v>
      </c>
      <c r="S3336" t="s">
        <v>45042</v>
      </c>
      <c r="T3336" t="s">
        <v>46414</v>
      </c>
      <c r="U3336" t="s">
        <v>46933</v>
      </c>
      <c r="W3336" t="s">
        <v>41356</v>
      </c>
      <c r="X3336" t="s">
        <v>44909</v>
      </c>
    </row>
    <row r="3337" spans="1:24">
      <c r="A3337">
        <f>HYPERLINK("https://www.philgeps.gov.ph/GEPSNONPILOT/Tender/SplashBidNoticeAbstractUI.aspx?menuIndex=3&amp;refID=7079788&amp;Result=3","7079788")</f>
        <v>0</v>
      </c>
      <c r="B3337" t="s">
        <v>406</v>
      </c>
      <c r="C3337" t="s">
        <v>6714</v>
      </c>
      <c r="E3337" t="s">
        <v>21215</v>
      </c>
      <c r="F3337" t="s">
        <v>31362</v>
      </c>
      <c r="G3337" t="s">
        <v>31370</v>
      </c>
      <c r="H3337" t="s">
        <v>15799</v>
      </c>
      <c r="I3337" t="s">
        <v>7188</v>
      </c>
      <c r="J3337" t="s">
        <v>31806</v>
      </c>
      <c r="K3337" t="s">
        <v>40662</v>
      </c>
      <c r="M3337" t="s">
        <v>41356</v>
      </c>
      <c r="N3337" t="s">
        <v>44905</v>
      </c>
      <c r="O3337" t="s">
        <v>44906</v>
      </c>
      <c r="P3337">
        <v>0</v>
      </c>
      <c r="Q3337">
        <v>7</v>
      </c>
      <c r="R3337" t="s">
        <v>44908</v>
      </c>
      <c r="S3337" t="s">
        <v>45042</v>
      </c>
      <c r="T3337" t="s">
        <v>46414</v>
      </c>
      <c r="U3337" t="s">
        <v>46933</v>
      </c>
      <c r="W3337" t="s">
        <v>41356</v>
      </c>
      <c r="X3337" t="s">
        <v>44909</v>
      </c>
    </row>
    <row r="3338" spans="1:24">
      <c r="A3338">
        <f>HYPERLINK("https://www.philgeps.gov.ph/GEPSNONPILOT/Tender/SplashBidNoticeAbstractUI.aspx?menuIndex=3&amp;refID=7079768&amp;Result=3","7079768")</f>
        <v>0</v>
      </c>
      <c r="B3338" t="s">
        <v>1255</v>
      </c>
      <c r="C3338" t="s">
        <v>6715</v>
      </c>
      <c r="D3338" t="s">
        <v>18179</v>
      </c>
      <c r="E3338" t="s">
        <v>21216</v>
      </c>
      <c r="F3338" t="s">
        <v>31362</v>
      </c>
      <c r="G3338" t="s">
        <v>31371</v>
      </c>
      <c r="H3338" t="s">
        <v>15799</v>
      </c>
      <c r="I3338" t="s">
        <v>31395</v>
      </c>
      <c r="J3338" t="s">
        <v>31581</v>
      </c>
      <c r="K3338" t="s">
        <v>40665</v>
      </c>
      <c r="M3338" t="s">
        <v>42271</v>
      </c>
      <c r="N3338" t="s">
        <v>44905</v>
      </c>
      <c r="O3338" t="s">
        <v>44906</v>
      </c>
      <c r="P3338">
        <v>0</v>
      </c>
      <c r="Q3338">
        <v>5</v>
      </c>
      <c r="R3338" t="s">
        <v>44908</v>
      </c>
      <c r="S3338" t="s">
        <v>45042</v>
      </c>
      <c r="T3338" t="s">
        <v>46483</v>
      </c>
      <c r="U3338" t="s">
        <v>49676</v>
      </c>
      <c r="W3338" t="s">
        <v>42271</v>
      </c>
      <c r="X3338" t="s">
        <v>44909</v>
      </c>
    </row>
    <row r="3339" spans="1:24">
      <c r="A3339">
        <f>HYPERLINK("https://www.philgeps.gov.ph/GEPSNONPILOT/Tender/SplashBidNoticeAbstractUI.aspx?menuIndex=3&amp;refID=7079766&amp;Result=3","7079766")</f>
        <v>0</v>
      </c>
      <c r="B3339" t="s">
        <v>1256</v>
      </c>
      <c r="C3339" t="s">
        <v>6716</v>
      </c>
      <c r="D3339" t="s">
        <v>18108</v>
      </c>
      <c r="E3339" t="s">
        <v>21217</v>
      </c>
      <c r="F3339" t="s">
        <v>31362</v>
      </c>
      <c r="G3339" t="s">
        <v>31368</v>
      </c>
      <c r="H3339" t="s">
        <v>31379</v>
      </c>
      <c r="I3339" t="s">
        <v>31406</v>
      </c>
      <c r="J3339" t="s">
        <v>33760</v>
      </c>
      <c r="K3339" t="s">
        <v>40666</v>
      </c>
      <c r="M3339" t="s">
        <v>42272</v>
      </c>
      <c r="N3339" t="s">
        <v>44905</v>
      </c>
      <c r="O3339" t="s">
        <v>44906</v>
      </c>
      <c r="P3339">
        <v>0</v>
      </c>
      <c r="Q3339">
        <v>6</v>
      </c>
      <c r="R3339" t="s">
        <v>44908</v>
      </c>
      <c r="S3339" t="s">
        <v>45042</v>
      </c>
      <c r="T3339" t="s">
        <v>46400</v>
      </c>
      <c r="U3339" t="s">
        <v>49677</v>
      </c>
      <c r="V3339" t="s">
        <v>59407</v>
      </c>
      <c r="W3339" t="s">
        <v>42272</v>
      </c>
      <c r="X3339" t="s">
        <v>44909</v>
      </c>
    </row>
    <row r="3340" spans="1:24">
      <c r="A3340">
        <f>HYPERLINK("https://www.philgeps.gov.ph/GEPSNONPILOT/Tender/SplashBidNoticeAbstractUI.aspx?menuIndex=3&amp;refID=7079785&amp;Result=3","7079785")</f>
        <v>0</v>
      </c>
      <c r="B3340" t="s">
        <v>1132</v>
      </c>
      <c r="C3340" t="s">
        <v>6717</v>
      </c>
      <c r="D3340" t="s">
        <v>18112</v>
      </c>
      <c r="E3340" t="s">
        <v>20894</v>
      </c>
      <c r="F3340" t="s">
        <v>31362</v>
      </c>
      <c r="G3340" t="s">
        <v>31372</v>
      </c>
      <c r="H3340" t="s">
        <v>15799</v>
      </c>
      <c r="I3340" t="s">
        <v>31421</v>
      </c>
      <c r="J3340" t="s">
        <v>31983</v>
      </c>
      <c r="K3340" t="s">
        <v>40670</v>
      </c>
      <c r="M3340" t="s">
        <v>42140</v>
      </c>
      <c r="N3340" t="s">
        <v>44905</v>
      </c>
      <c r="O3340" t="s">
        <v>44906</v>
      </c>
      <c r="P3340">
        <v>0</v>
      </c>
      <c r="Q3340">
        <v>0</v>
      </c>
      <c r="R3340" t="s">
        <v>44908</v>
      </c>
      <c r="S3340" t="s">
        <v>45042</v>
      </c>
      <c r="T3340" t="s">
        <v>46412</v>
      </c>
      <c r="U3340" t="s">
        <v>49678</v>
      </c>
      <c r="W3340" t="s">
        <v>42140</v>
      </c>
      <c r="X3340" t="s">
        <v>44909</v>
      </c>
    </row>
    <row r="3341" spans="1:24">
      <c r="A3341">
        <f>HYPERLINK("https://www.philgeps.gov.ph/GEPSNONPILOT/Tender/SplashBidNoticeAbstractUI.aspx?menuIndex=3&amp;refID=7079765&amp;Result=3","7079765")</f>
        <v>0</v>
      </c>
      <c r="B3341" t="s">
        <v>1257</v>
      </c>
      <c r="C3341" t="s">
        <v>6718</v>
      </c>
      <c r="D3341" t="s">
        <v>18108</v>
      </c>
      <c r="E3341" t="s">
        <v>21218</v>
      </c>
      <c r="F3341" t="s">
        <v>31362</v>
      </c>
      <c r="G3341" t="s">
        <v>31369</v>
      </c>
      <c r="H3341" t="s">
        <v>15799</v>
      </c>
      <c r="I3341" t="s">
        <v>6240</v>
      </c>
      <c r="J3341" t="s">
        <v>31578</v>
      </c>
      <c r="K3341" t="s">
        <v>40666</v>
      </c>
      <c r="M3341" t="s">
        <v>42273</v>
      </c>
      <c r="N3341" t="s">
        <v>44905</v>
      </c>
      <c r="O3341" t="s">
        <v>44906</v>
      </c>
      <c r="P3341">
        <v>0</v>
      </c>
      <c r="Q3341">
        <v>1</v>
      </c>
      <c r="R3341" t="s">
        <v>44908</v>
      </c>
      <c r="S3341" t="s">
        <v>45042</v>
      </c>
      <c r="T3341" t="s">
        <v>46506</v>
      </c>
      <c r="U3341" t="s">
        <v>49679</v>
      </c>
      <c r="W3341" t="s">
        <v>42273</v>
      </c>
      <c r="X3341" t="s">
        <v>44909</v>
      </c>
    </row>
    <row r="3342" spans="1:24">
      <c r="A3342">
        <f>HYPERLINK("https://www.philgeps.gov.ph/GEPSNONPILOT/Tender/SplashBidNoticeAbstractUI.aspx?menuIndex=3&amp;refID=7079764&amp;Result=3","7079764")</f>
        <v>0</v>
      </c>
      <c r="B3342" t="s">
        <v>1250</v>
      </c>
      <c r="C3342" t="s">
        <v>6719</v>
      </c>
      <c r="D3342" t="s">
        <v>18158</v>
      </c>
      <c r="E3342" t="s">
        <v>21206</v>
      </c>
      <c r="F3342" t="s">
        <v>31362</v>
      </c>
      <c r="G3342" t="s">
        <v>31368</v>
      </c>
      <c r="H3342" t="s">
        <v>15799</v>
      </c>
      <c r="I3342" t="s">
        <v>31451</v>
      </c>
      <c r="J3342" t="s">
        <v>33761</v>
      </c>
      <c r="K3342" t="s">
        <v>40697</v>
      </c>
      <c r="M3342" t="s">
        <v>42266</v>
      </c>
      <c r="N3342" t="s">
        <v>44905</v>
      </c>
      <c r="O3342" t="s">
        <v>44906</v>
      </c>
      <c r="P3342">
        <v>0</v>
      </c>
      <c r="Q3342">
        <v>0</v>
      </c>
      <c r="R3342" t="s">
        <v>44908</v>
      </c>
      <c r="S3342" t="s">
        <v>45042</v>
      </c>
      <c r="T3342" t="s">
        <v>46409</v>
      </c>
      <c r="U3342" t="s">
        <v>49680</v>
      </c>
      <c r="W3342" t="s">
        <v>42266</v>
      </c>
      <c r="X3342" t="s">
        <v>44909</v>
      </c>
    </row>
    <row r="3343" spans="1:24">
      <c r="A3343">
        <f>HYPERLINK("https://www.philgeps.gov.ph/GEPSNONPILOT/Tender/SplashBidNoticeAbstractUI.aspx?menuIndex=3&amp;refID=7079738&amp;Result=3","7079738")</f>
        <v>0</v>
      </c>
      <c r="B3343" t="s">
        <v>1258</v>
      </c>
      <c r="C3343" t="s">
        <v>6720</v>
      </c>
      <c r="D3343" t="s">
        <v>18110</v>
      </c>
      <c r="E3343" t="s">
        <v>21219</v>
      </c>
      <c r="F3343" t="s">
        <v>31362</v>
      </c>
      <c r="G3343" t="s">
        <v>31370</v>
      </c>
      <c r="H3343" t="s">
        <v>15799</v>
      </c>
      <c r="I3343" t="s">
        <v>31427</v>
      </c>
      <c r="J3343" t="s">
        <v>32763</v>
      </c>
      <c r="K3343" t="s">
        <v>40662</v>
      </c>
      <c r="M3343" t="s">
        <v>42274</v>
      </c>
      <c r="N3343" t="s">
        <v>44905</v>
      </c>
      <c r="O3343" t="s">
        <v>44906</v>
      </c>
      <c r="P3343">
        <v>0</v>
      </c>
      <c r="Q3343">
        <v>8</v>
      </c>
      <c r="R3343" t="s">
        <v>44908</v>
      </c>
      <c r="S3343" t="s">
        <v>45042</v>
      </c>
      <c r="T3343" t="s">
        <v>46549</v>
      </c>
      <c r="U3343" t="s">
        <v>49681</v>
      </c>
      <c r="W3343" t="s">
        <v>42274</v>
      </c>
      <c r="X3343" t="s">
        <v>44909</v>
      </c>
    </row>
    <row r="3344" spans="1:24">
      <c r="A3344">
        <f>HYPERLINK("https://www.philgeps.gov.ph/GEPSNONPILOT/Tender/SplashBidNoticeAbstractUI.aspx?menuIndex=3&amp;refID=7079823&amp;Result=3","7079823")</f>
        <v>0</v>
      </c>
      <c r="B3344" t="s">
        <v>1259</v>
      </c>
      <c r="C3344" t="s">
        <v>6721</v>
      </c>
      <c r="D3344" t="s">
        <v>18113</v>
      </c>
      <c r="E3344" t="s">
        <v>21220</v>
      </c>
      <c r="F3344" t="s">
        <v>31362</v>
      </c>
      <c r="G3344" t="s">
        <v>31372</v>
      </c>
      <c r="H3344" t="s">
        <v>15799</v>
      </c>
      <c r="I3344" t="s">
        <v>31409</v>
      </c>
      <c r="J3344" t="s">
        <v>31607</v>
      </c>
      <c r="K3344" t="s">
        <v>40665</v>
      </c>
      <c r="M3344" t="s">
        <v>42275</v>
      </c>
      <c r="N3344" t="s">
        <v>44905</v>
      </c>
      <c r="O3344" t="s">
        <v>44906</v>
      </c>
      <c r="P3344">
        <v>0</v>
      </c>
      <c r="Q3344">
        <v>3</v>
      </c>
      <c r="R3344" t="s">
        <v>44908</v>
      </c>
      <c r="S3344" t="s">
        <v>45042</v>
      </c>
      <c r="T3344" t="s">
        <v>46498</v>
      </c>
      <c r="U3344" t="s">
        <v>49682</v>
      </c>
      <c r="V3344" t="s">
        <v>59408</v>
      </c>
      <c r="W3344" t="s">
        <v>42275</v>
      </c>
      <c r="X3344" t="s">
        <v>44909</v>
      </c>
    </row>
    <row r="3345" spans="1:24">
      <c r="A3345">
        <f>HYPERLINK("https://www.philgeps.gov.ph/GEPSNONPILOT/Tender/SplashBidNoticeAbstractUI.aspx?menuIndex=3&amp;refID=7079767&amp;Result=3","7079767")</f>
        <v>0</v>
      </c>
      <c r="B3345" t="s">
        <v>1260</v>
      </c>
      <c r="C3345" t="s">
        <v>6722</v>
      </c>
      <c r="D3345" t="s">
        <v>18142</v>
      </c>
      <c r="E3345" t="s">
        <v>21221</v>
      </c>
      <c r="F3345" t="s">
        <v>31362</v>
      </c>
      <c r="G3345" t="s">
        <v>31369</v>
      </c>
      <c r="H3345" t="s">
        <v>15799</v>
      </c>
      <c r="I3345" t="s">
        <v>31461</v>
      </c>
      <c r="J3345" t="s">
        <v>33762</v>
      </c>
      <c r="K3345" t="s">
        <v>40677</v>
      </c>
      <c r="M3345" t="s">
        <v>42276</v>
      </c>
      <c r="N3345" t="s">
        <v>44905</v>
      </c>
      <c r="O3345" t="s">
        <v>44906</v>
      </c>
      <c r="P3345">
        <v>0</v>
      </c>
      <c r="Q3345">
        <v>2</v>
      </c>
      <c r="R3345" t="s">
        <v>44908</v>
      </c>
      <c r="S3345" t="s">
        <v>45042</v>
      </c>
      <c r="T3345" t="s">
        <v>46426</v>
      </c>
      <c r="U3345" t="s">
        <v>49683</v>
      </c>
      <c r="W3345" t="s">
        <v>42276</v>
      </c>
      <c r="X3345" t="s">
        <v>44909</v>
      </c>
    </row>
    <row r="3346" spans="1:24">
      <c r="A3346">
        <f>HYPERLINK("https://www.philgeps.gov.ph/GEPSNONPILOT/Tender/SplashBidNoticeAbstractUI.aspx?menuIndex=3&amp;refID=7079820&amp;Result=3","7079820")</f>
        <v>0</v>
      </c>
      <c r="B3346" t="s">
        <v>1260</v>
      </c>
      <c r="C3346" t="s">
        <v>6723</v>
      </c>
      <c r="D3346" t="s">
        <v>18142</v>
      </c>
      <c r="E3346" t="s">
        <v>21222</v>
      </c>
      <c r="F3346" t="s">
        <v>31362</v>
      </c>
      <c r="G3346" t="s">
        <v>31369</v>
      </c>
      <c r="H3346" t="s">
        <v>15799</v>
      </c>
      <c r="I3346" t="s">
        <v>31393</v>
      </c>
      <c r="J3346" t="s">
        <v>31536</v>
      </c>
      <c r="K3346" t="s">
        <v>40677</v>
      </c>
      <c r="M3346" t="s">
        <v>42276</v>
      </c>
      <c r="N3346" t="s">
        <v>44905</v>
      </c>
      <c r="O3346" t="s">
        <v>44906</v>
      </c>
      <c r="P3346">
        <v>0</v>
      </c>
      <c r="Q3346">
        <v>4</v>
      </c>
      <c r="R3346" t="s">
        <v>44908</v>
      </c>
      <c r="S3346" t="s">
        <v>45042</v>
      </c>
      <c r="T3346" t="s">
        <v>46426</v>
      </c>
      <c r="U3346" t="s">
        <v>49683</v>
      </c>
      <c r="W3346" t="s">
        <v>42276</v>
      </c>
      <c r="X3346" t="s">
        <v>44909</v>
      </c>
    </row>
    <row r="3347" spans="1:24">
      <c r="A3347">
        <f>HYPERLINK("https://www.philgeps.gov.ph/GEPSNONPILOT/Tender/SplashBidNoticeAbstractUI.aspx?menuIndex=3&amp;refID=7079743&amp;Result=3","7079743")</f>
        <v>0</v>
      </c>
      <c r="B3347" t="s">
        <v>982</v>
      </c>
      <c r="C3347" t="s">
        <v>6724</v>
      </c>
      <c r="D3347" t="s">
        <v>18106</v>
      </c>
      <c r="E3347" t="s">
        <v>18497</v>
      </c>
      <c r="F3347" t="s">
        <v>31362</v>
      </c>
      <c r="G3347" t="s">
        <v>31371</v>
      </c>
      <c r="H3347" t="s">
        <v>15799</v>
      </c>
      <c r="I3347" t="s">
        <v>31429</v>
      </c>
      <c r="J3347" t="s">
        <v>33763</v>
      </c>
      <c r="K3347" t="s">
        <v>40670</v>
      </c>
      <c r="M3347" t="s">
        <v>41974</v>
      </c>
      <c r="N3347" t="s">
        <v>44905</v>
      </c>
      <c r="O3347" t="s">
        <v>44906</v>
      </c>
      <c r="P3347">
        <v>0</v>
      </c>
      <c r="Q3347">
        <v>2</v>
      </c>
      <c r="R3347" t="s">
        <v>44908</v>
      </c>
      <c r="S3347" t="s">
        <v>45042</v>
      </c>
      <c r="T3347" t="s">
        <v>46409</v>
      </c>
      <c r="U3347" t="s">
        <v>49018</v>
      </c>
      <c r="W3347" t="s">
        <v>41974</v>
      </c>
      <c r="X3347" t="s">
        <v>44909</v>
      </c>
    </row>
    <row r="3348" spans="1:24">
      <c r="A3348">
        <f>HYPERLINK("https://www.philgeps.gov.ph/GEPSNONPILOT/Tender/SplashBidNoticeAbstractUI.aspx?menuIndex=3&amp;refID=7079817&amp;Result=3","7079817")</f>
        <v>0</v>
      </c>
      <c r="B3348" t="s">
        <v>1246</v>
      </c>
      <c r="C3348" t="s">
        <v>6692</v>
      </c>
      <c r="D3348" t="s">
        <v>18104</v>
      </c>
      <c r="E3348" t="s">
        <v>21223</v>
      </c>
      <c r="F3348" t="s">
        <v>31362</v>
      </c>
      <c r="G3348" t="s">
        <v>31370</v>
      </c>
      <c r="H3348" t="s">
        <v>15799</v>
      </c>
      <c r="I3348" t="s">
        <v>7188</v>
      </c>
      <c r="J3348" t="s">
        <v>33764</v>
      </c>
      <c r="K3348" t="s">
        <v>40682</v>
      </c>
      <c r="M3348" t="s">
        <v>42261</v>
      </c>
      <c r="N3348" t="s">
        <v>44905</v>
      </c>
      <c r="O3348" t="s">
        <v>44906</v>
      </c>
      <c r="P3348">
        <v>0</v>
      </c>
      <c r="Q3348">
        <v>0</v>
      </c>
      <c r="R3348" t="s">
        <v>44908</v>
      </c>
      <c r="S3348" t="s">
        <v>45042</v>
      </c>
      <c r="T3348" t="s">
        <v>46416</v>
      </c>
      <c r="U3348" t="s">
        <v>49684</v>
      </c>
      <c r="W3348" t="s">
        <v>42261</v>
      </c>
      <c r="X3348" t="s">
        <v>44909</v>
      </c>
    </row>
    <row r="3349" spans="1:24">
      <c r="A3349">
        <f>HYPERLINK("https://www.philgeps.gov.ph/GEPSNONPILOT/Tender/SplashBidNoticeAbstractUI.aspx?menuIndex=3&amp;refID=7079815&amp;Result=3","7079815")</f>
        <v>0</v>
      </c>
      <c r="B3349" t="s">
        <v>1261</v>
      </c>
      <c r="C3349" t="s">
        <v>6725</v>
      </c>
      <c r="D3349" t="s">
        <v>18113</v>
      </c>
      <c r="E3349" t="s">
        <v>6725</v>
      </c>
      <c r="F3349" t="s">
        <v>31362</v>
      </c>
      <c r="G3349" t="s">
        <v>31369</v>
      </c>
      <c r="H3349" t="s">
        <v>15799</v>
      </c>
      <c r="I3349" t="s">
        <v>4283</v>
      </c>
      <c r="J3349" t="s">
        <v>33765</v>
      </c>
      <c r="K3349" t="s">
        <v>40665</v>
      </c>
      <c r="M3349" t="s">
        <v>42277</v>
      </c>
      <c r="N3349" t="s">
        <v>44905</v>
      </c>
      <c r="O3349" t="s">
        <v>44906</v>
      </c>
      <c r="P3349">
        <v>0</v>
      </c>
      <c r="Q3349">
        <v>1</v>
      </c>
      <c r="R3349" t="s">
        <v>44908</v>
      </c>
      <c r="S3349" t="s">
        <v>45042</v>
      </c>
      <c r="T3349" t="s">
        <v>46611</v>
      </c>
      <c r="U3349" t="s">
        <v>49685</v>
      </c>
      <c r="W3349" t="s">
        <v>42277</v>
      </c>
      <c r="X3349" t="s">
        <v>44909</v>
      </c>
    </row>
    <row r="3350" spans="1:24">
      <c r="A3350">
        <f>HYPERLINK("https://www.philgeps.gov.ph/GEPSNONPILOT/Tender/SplashBidNoticeAbstractUI.aspx?menuIndex=3&amp;refID=7079772&amp;Result=3","7079772")</f>
        <v>0</v>
      </c>
      <c r="B3350" t="s">
        <v>308</v>
      </c>
      <c r="C3350" t="s">
        <v>3815</v>
      </c>
      <c r="D3350" t="s">
        <v>18123</v>
      </c>
      <c r="E3350" t="s">
        <v>21224</v>
      </c>
      <c r="F3350" t="s">
        <v>31362</v>
      </c>
      <c r="G3350" t="s">
        <v>31368</v>
      </c>
      <c r="H3350" t="s">
        <v>15799</v>
      </c>
      <c r="I3350" t="s">
        <v>31387</v>
      </c>
      <c r="J3350" t="s">
        <v>33766</v>
      </c>
      <c r="K3350" t="s">
        <v>40666</v>
      </c>
      <c r="M3350" t="s">
        <v>41252</v>
      </c>
      <c r="N3350" t="s">
        <v>44905</v>
      </c>
      <c r="O3350" t="s">
        <v>44906</v>
      </c>
      <c r="P3350">
        <v>0</v>
      </c>
      <c r="Q3350">
        <v>0</v>
      </c>
      <c r="R3350" t="s">
        <v>44908</v>
      </c>
      <c r="S3350" t="s">
        <v>45042</v>
      </c>
      <c r="T3350" t="s">
        <v>46467</v>
      </c>
      <c r="U3350" t="s">
        <v>49686</v>
      </c>
      <c r="W3350" t="s">
        <v>41252</v>
      </c>
      <c r="X3350" t="s">
        <v>44909</v>
      </c>
    </row>
    <row r="3351" spans="1:24">
      <c r="A3351">
        <f>HYPERLINK("https://www.philgeps.gov.ph/GEPSNONPILOT/Tender/SplashBidNoticeAbstractUI.aspx?menuIndex=3&amp;refID=7079809&amp;Result=3","7079809")</f>
        <v>0</v>
      </c>
      <c r="B3351" t="s">
        <v>1262</v>
      </c>
      <c r="C3351" t="s">
        <v>6726</v>
      </c>
      <c r="D3351" t="s">
        <v>18102</v>
      </c>
      <c r="E3351" t="s">
        <v>21225</v>
      </c>
      <c r="F3351" t="s">
        <v>31362</v>
      </c>
      <c r="G3351" t="s">
        <v>31369</v>
      </c>
      <c r="H3351" t="s">
        <v>31378</v>
      </c>
      <c r="I3351" t="s">
        <v>31386</v>
      </c>
      <c r="J3351" t="s">
        <v>31531</v>
      </c>
      <c r="K3351" t="s">
        <v>40662</v>
      </c>
      <c r="M3351" t="s">
        <v>42278</v>
      </c>
      <c r="N3351" t="s">
        <v>44905</v>
      </c>
      <c r="O3351" t="s">
        <v>44906</v>
      </c>
      <c r="P3351">
        <v>0</v>
      </c>
      <c r="Q3351">
        <v>0</v>
      </c>
      <c r="R3351" t="s">
        <v>44908</v>
      </c>
      <c r="S3351" t="s">
        <v>45042</v>
      </c>
      <c r="T3351" t="s">
        <v>46415</v>
      </c>
      <c r="U3351" t="s">
        <v>49687</v>
      </c>
      <c r="W3351" t="s">
        <v>42278</v>
      </c>
      <c r="X3351" t="s">
        <v>44909</v>
      </c>
    </row>
    <row r="3352" spans="1:24">
      <c r="A3352">
        <f>HYPERLINK("https://www.philgeps.gov.ph/GEPSNONPILOT/Tender/SplashBidNoticeAbstractUI.aspx?menuIndex=3&amp;refID=7079808&amp;Result=3","7079808")</f>
        <v>0</v>
      </c>
      <c r="B3352" t="s">
        <v>1260</v>
      </c>
      <c r="C3352" t="s">
        <v>6727</v>
      </c>
      <c r="D3352" t="s">
        <v>18142</v>
      </c>
      <c r="E3352" t="s">
        <v>21226</v>
      </c>
      <c r="F3352" t="s">
        <v>31362</v>
      </c>
      <c r="G3352" t="s">
        <v>31369</v>
      </c>
      <c r="H3352" t="s">
        <v>15799</v>
      </c>
      <c r="I3352" t="s">
        <v>31383</v>
      </c>
      <c r="J3352" t="s">
        <v>31564</v>
      </c>
      <c r="K3352" t="s">
        <v>40677</v>
      </c>
      <c r="M3352" t="s">
        <v>42276</v>
      </c>
      <c r="N3352" t="s">
        <v>44905</v>
      </c>
      <c r="O3352" t="s">
        <v>44906</v>
      </c>
      <c r="P3352">
        <v>0</v>
      </c>
      <c r="Q3352">
        <v>1</v>
      </c>
      <c r="R3352" t="s">
        <v>44908</v>
      </c>
      <c r="S3352" t="s">
        <v>45042</v>
      </c>
      <c r="T3352" t="s">
        <v>46426</v>
      </c>
      <c r="U3352" t="s">
        <v>49683</v>
      </c>
      <c r="W3352" t="s">
        <v>42276</v>
      </c>
      <c r="X3352" t="s">
        <v>44909</v>
      </c>
    </row>
    <row r="3353" spans="1:24">
      <c r="A3353">
        <f>HYPERLINK("https://www.philgeps.gov.ph/GEPSNONPILOT/Tender/SplashBidNoticeAbstractUI.aspx?menuIndex=3&amp;refID=7079805&amp;Result=3","7079805")</f>
        <v>0</v>
      </c>
      <c r="B3353" t="s">
        <v>117</v>
      </c>
      <c r="C3353" t="s">
        <v>6728</v>
      </c>
      <c r="D3353" t="s">
        <v>18104</v>
      </c>
      <c r="E3353" t="s">
        <v>21227</v>
      </c>
      <c r="F3353" t="s">
        <v>31362</v>
      </c>
      <c r="G3353" t="s">
        <v>31371</v>
      </c>
      <c r="H3353" t="s">
        <v>15799</v>
      </c>
      <c r="I3353" t="s">
        <v>31380</v>
      </c>
      <c r="J3353" t="s">
        <v>31827</v>
      </c>
      <c r="K3353" t="s">
        <v>40662</v>
      </c>
      <c r="M3353" t="s">
        <v>42279</v>
      </c>
      <c r="N3353" t="s">
        <v>44905</v>
      </c>
      <c r="O3353" t="s">
        <v>44906</v>
      </c>
      <c r="P3353">
        <v>0</v>
      </c>
      <c r="Q3353">
        <v>3</v>
      </c>
      <c r="R3353" t="s">
        <v>44908</v>
      </c>
      <c r="S3353" t="s">
        <v>45042</v>
      </c>
      <c r="T3353" t="s">
        <v>46438</v>
      </c>
      <c r="U3353" t="s">
        <v>49688</v>
      </c>
      <c r="W3353" t="s">
        <v>42279</v>
      </c>
      <c r="X3353" t="s">
        <v>44909</v>
      </c>
    </row>
    <row r="3354" spans="1:24">
      <c r="A3354">
        <f>HYPERLINK("https://www.philgeps.gov.ph/GEPSNONPILOT/Tender/SplashBidNoticeAbstractUI.aspx?menuIndex=3&amp;refID=7079821&amp;Result=3","7079821")</f>
        <v>0</v>
      </c>
      <c r="B3354" t="s">
        <v>262</v>
      </c>
      <c r="C3354" t="s">
        <v>6729</v>
      </c>
      <c r="D3354" t="s">
        <v>18127</v>
      </c>
      <c r="E3354" t="s">
        <v>21228</v>
      </c>
      <c r="F3354" t="s">
        <v>31362</v>
      </c>
      <c r="G3354" t="s">
        <v>31370</v>
      </c>
      <c r="H3354" t="s">
        <v>15799</v>
      </c>
      <c r="I3354" t="s">
        <v>4057</v>
      </c>
      <c r="J3354" t="s">
        <v>33767</v>
      </c>
      <c r="K3354" t="s">
        <v>40662</v>
      </c>
      <c r="M3354" t="s">
        <v>42051</v>
      </c>
      <c r="N3354" t="s">
        <v>44905</v>
      </c>
      <c r="O3354" t="s">
        <v>44906</v>
      </c>
      <c r="P3354">
        <v>0</v>
      </c>
      <c r="Q3354">
        <v>0</v>
      </c>
      <c r="R3354" t="s">
        <v>44908</v>
      </c>
      <c r="S3354" t="s">
        <v>45042</v>
      </c>
      <c r="T3354" t="s">
        <v>46454</v>
      </c>
      <c r="U3354" t="s">
        <v>49689</v>
      </c>
      <c r="W3354" t="s">
        <v>42051</v>
      </c>
      <c r="X3354" t="s">
        <v>44909</v>
      </c>
    </row>
    <row r="3355" spans="1:24">
      <c r="A3355">
        <f>HYPERLINK("https://www.philgeps.gov.ph/GEPSNONPILOT/Tender/SplashBidNoticeAbstractUI.aspx?menuIndex=3&amp;refID=7079804&amp;Result=3","7079804")</f>
        <v>0</v>
      </c>
      <c r="B3355" t="s">
        <v>1263</v>
      </c>
      <c r="C3355" t="s">
        <v>6730</v>
      </c>
      <c r="D3355" t="s">
        <v>18106</v>
      </c>
      <c r="E3355" t="s">
        <v>21229</v>
      </c>
      <c r="F3355" t="s">
        <v>31362</v>
      </c>
      <c r="G3355" t="s">
        <v>31370</v>
      </c>
      <c r="H3355" t="s">
        <v>15799</v>
      </c>
      <c r="I3355" t="s">
        <v>31385</v>
      </c>
      <c r="J3355" t="s">
        <v>31545</v>
      </c>
      <c r="K3355" t="s">
        <v>40661</v>
      </c>
      <c r="M3355" t="s">
        <v>42280</v>
      </c>
      <c r="N3355" t="s">
        <v>44905</v>
      </c>
      <c r="O3355" t="s">
        <v>44906</v>
      </c>
      <c r="P3355">
        <v>0</v>
      </c>
      <c r="Q3355">
        <v>1</v>
      </c>
      <c r="R3355" t="s">
        <v>44908</v>
      </c>
      <c r="S3355" t="s">
        <v>45042</v>
      </c>
      <c r="T3355" t="s">
        <v>46454</v>
      </c>
      <c r="U3355" t="s">
        <v>49690</v>
      </c>
      <c r="W3355" t="s">
        <v>42280</v>
      </c>
      <c r="X3355" t="s">
        <v>44909</v>
      </c>
    </row>
    <row r="3356" spans="1:24">
      <c r="A3356">
        <f>HYPERLINK("https://www.philgeps.gov.ph/GEPSNONPILOT/Tender/SplashBidNoticeAbstractUI.aspx?menuIndex=3&amp;refID=7079799&amp;Result=3","7079799")</f>
        <v>0</v>
      </c>
      <c r="B3356" t="s">
        <v>1260</v>
      </c>
      <c r="C3356" t="s">
        <v>6731</v>
      </c>
      <c r="D3356" t="s">
        <v>18142</v>
      </c>
      <c r="E3356" t="s">
        <v>21230</v>
      </c>
      <c r="F3356" t="s">
        <v>31362</v>
      </c>
      <c r="G3356" t="s">
        <v>31369</v>
      </c>
      <c r="H3356" t="s">
        <v>15799</v>
      </c>
      <c r="I3356" t="s">
        <v>31384</v>
      </c>
      <c r="J3356" t="s">
        <v>31536</v>
      </c>
      <c r="K3356" t="s">
        <v>40677</v>
      </c>
      <c r="M3356" t="s">
        <v>42276</v>
      </c>
      <c r="N3356" t="s">
        <v>44905</v>
      </c>
      <c r="O3356" t="s">
        <v>44906</v>
      </c>
      <c r="P3356">
        <v>0</v>
      </c>
      <c r="Q3356">
        <v>2</v>
      </c>
      <c r="R3356" t="s">
        <v>44908</v>
      </c>
      <c r="S3356" t="s">
        <v>45042</v>
      </c>
      <c r="T3356" t="s">
        <v>46426</v>
      </c>
      <c r="U3356" t="s">
        <v>49683</v>
      </c>
      <c r="W3356" t="s">
        <v>42276</v>
      </c>
      <c r="X3356" t="s">
        <v>44909</v>
      </c>
    </row>
    <row r="3357" spans="1:24">
      <c r="A3357">
        <f>HYPERLINK("https://www.philgeps.gov.ph/GEPSNONPILOT/Tender/SplashBidNoticeAbstractUI.aspx?menuIndex=3&amp;refID=7079739&amp;Result=3","7079739")</f>
        <v>0</v>
      </c>
      <c r="B3357" t="s">
        <v>1264</v>
      </c>
      <c r="C3357" t="s">
        <v>6732</v>
      </c>
      <c r="D3357" t="s">
        <v>18108</v>
      </c>
      <c r="E3357" t="s">
        <v>20783</v>
      </c>
      <c r="F3357" t="s">
        <v>31362</v>
      </c>
      <c r="G3357" t="s">
        <v>31368</v>
      </c>
      <c r="H3357" t="s">
        <v>15799</v>
      </c>
      <c r="I3357" t="s">
        <v>31467</v>
      </c>
      <c r="J3357" t="s">
        <v>31969</v>
      </c>
      <c r="K3357" t="s">
        <v>40665</v>
      </c>
      <c r="M3357" t="s">
        <v>42281</v>
      </c>
      <c r="N3357" t="s">
        <v>44905</v>
      </c>
      <c r="O3357" t="s">
        <v>44906</v>
      </c>
      <c r="P3357">
        <v>0</v>
      </c>
      <c r="Q3357">
        <v>5</v>
      </c>
      <c r="R3357" t="s">
        <v>44908</v>
      </c>
      <c r="S3357" t="s">
        <v>45042</v>
      </c>
      <c r="T3357" t="s">
        <v>46438</v>
      </c>
      <c r="U3357" t="s">
        <v>49691</v>
      </c>
      <c r="W3357" t="s">
        <v>42281</v>
      </c>
      <c r="X3357" t="s">
        <v>44909</v>
      </c>
    </row>
    <row r="3358" spans="1:24">
      <c r="A3358">
        <f>HYPERLINK("https://www.philgeps.gov.ph/GEPSNONPILOT/Tender/SplashBidNoticeAbstractUI.aspx?menuIndex=3&amp;refID=7079807&amp;Result=3","7079807")</f>
        <v>0</v>
      </c>
      <c r="B3358" t="s">
        <v>406</v>
      </c>
      <c r="C3358" t="s">
        <v>6733</v>
      </c>
      <c r="E3358" t="s">
        <v>21231</v>
      </c>
      <c r="F3358" t="s">
        <v>31362</v>
      </c>
      <c r="G3358" t="s">
        <v>31370</v>
      </c>
      <c r="H3358" t="s">
        <v>15799</v>
      </c>
      <c r="I3358" t="s">
        <v>31385</v>
      </c>
      <c r="J3358" t="s">
        <v>33768</v>
      </c>
      <c r="K3358" t="s">
        <v>40662</v>
      </c>
      <c r="M3358" t="s">
        <v>41356</v>
      </c>
      <c r="N3358" t="s">
        <v>44905</v>
      </c>
      <c r="O3358" t="s">
        <v>44906</v>
      </c>
      <c r="P3358">
        <v>0</v>
      </c>
      <c r="Q3358">
        <v>7</v>
      </c>
      <c r="R3358" t="s">
        <v>44908</v>
      </c>
      <c r="S3358" t="s">
        <v>45042</v>
      </c>
      <c r="T3358" t="s">
        <v>46414</v>
      </c>
      <c r="U3358" t="s">
        <v>46933</v>
      </c>
      <c r="W3358" t="s">
        <v>41356</v>
      </c>
      <c r="X3358" t="s">
        <v>44909</v>
      </c>
    </row>
    <row r="3359" spans="1:24">
      <c r="A3359">
        <f>HYPERLINK("https://www.philgeps.gov.ph/GEPSNONPILOT/Tender/SplashBidNoticeAbstractUI.aspx?menuIndex=3&amp;refID=7079806&amp;Result=3","7079806")</f>
        <v>0</v>
      </c>
      <c r="B3359" t="s">
        <v>117</v>
      </c>
      <c r="C3359" t="s">
        <v>6734</v>
      </c>
      <c r="D3359" t="s">
        <v>18104</v>
      </c>
      <c r="E3359" t="s">
        <v>21232</v>
      </c>
      <c r="F3359" t="s">
        <v>31362</v>
      </c>
      <c r="G3359" t="s">
        <v>31370</v>
      </c>
      <c r="H3359" t="s">
        <v>15799</v>
      </c>
      <c r="I3359" t="s">
        <v>4942</v>
      </c>
      <c r="J3359" t="s">
        <v>33769</v>
      </c>
      <c r="K3359" t="s">
        <v>40662</v>
      </c>
      <c r="M3359" t="s">
        <v>41054</v>
      </c>
      <c r="N3359" t="s">
        <v>44905</v>
      </c>
      <c r="O3359" t="s">
        <v>44906</v>
      </c>
      <c r="P3359">
        <v>0</v>
      </c>
      <c r="Q3359">
        <v>0</v>
      </c>
      <c r="R3359" t="s">
        <v>44908</v>
      </c>
      <c r="S3359" t="s">
        <v>45042</v>
      </c>
      <c r="T3359" t="s">
        <v>46454</v>
      </c>
      <c r="U3359" t="s">
        <v>49692</v>
      </c>
      <c r="W3359" t="s">
        <v>41054</v>
      </c>
      <c r="X3359" t="s">
        <v>44909</v>
      </c>
    </row>
    <row r="3360" spans="1:24">
      <c r="A3360">
        <f>HYPERLINK("https://www.philgeps.gov.ph/GEPSNONPILOT/Tender/SplashBidNoticeAbstractUI.aspx?menuIndex=3&amp;refID=7079847&amp;Result=3","7079847")</f>
        <v>0</v>
      </c>
      <c r="B3360" t="s">
        <v>1265</v>
      </c>
      <c r="C3360" t="s">
        <v>6735</v>
      </c>
      <c r="D3360" t="s">
        <v>18131</v>
      </c>
      <c r="E3360" t="s">
        <v>21233</v>
      </c>
      <c r="F3360" t="s">
        <v>31362</v>
      </c>
      <c r="G3360" t="s">
        <v>31369</v>
      </c>
      <c r="H3360" t="s">
        <v>31378</v>
      </c>
      <c r="I3360" t="s">
        <v>31386</v>
      </c>
      <c r="J3360" t="s">
        <v>33770</v>
      </c>
      <c r="K3360" t="s">
        <v>40678</v>
      </c>
      <c r="M3360" t="s">
        <v>42282</v>
      </c>
      <c r="N3360" t="s">
        <v>44905</v>
      </c>
      <c r="O3360" t="s">
        <v>44906</v>
      </c>
      <c r="P3360">
        <v>0</v>
      </c>
      <c r="Q3360">
        <v>8</v>
      </c>
      <c r="R3360" t="s">
        <v>44908</v>
      </c>
      <c r="S3360" t="s">
        <v>45042</v>
      </c>
      <c r="T3360" t="s">
        <v>46449</v>
      </c>
      <c r="U3360" t="s">
        <v>49693</v>
      </c>
      <c r="V3360" t="s">
        <v>59409</v>
      </c>
      <c r="W3360" t="s">
        <v>42282</v>
      </c>
      <c r="X3360" t="s">
        <v>44909</v>
      </c>
    </row>
    <row r="3361" spans="1:24">
      <c r="A3361">
        <f>HYPERLINK("https://www.philgeps.gov.ph/GEPSNONPILOT/Tender/SplashBidNoticeAbstractUI.aspx?menuIndex=3&amp;refID=7079801&amp;Result=3","7079801")</f>
        <v>0</v>
      </c>
      <c r="B3361" t="s">
        <v>1261</v>
      </c>
      <c r="C3361" t="s">
        <v>6736</v>
      </c>
      <c r="D3361" t="s">
        <v>18113</v>
      </c>
      <c r="E3361" t="s">
        <v>6736</v>
      </c>
      <c r="F3361" t="s">
        <v>31362</v>
      </c>
      <c r="G3361" t="s">
        <v>31369</v>
      </c>
      <c r="H3361" t="s">
        <v>15799</v>
      </c>
      <c r="I3361" t="s">
        <v>7090</v>
      </c>
      <c r="J3361" t="s">
        <v>33771</v>
      </c>
      <c r="K3361" t="s">
        <v>40670</v>
      </c>
      <c r="M3361" t="s">
        <v>42277</v>
      </c>
      <c r="N3361" t="s">
        <v>44905</v>
      </c>
      <c r="O3361" t="s">
        <v>44906</v>
      </c>
      <c r="P3361">
        <v>0</v>
      </c>
      <c r="Q3361">
        <v>0</v>
      </c>
      <c r="R3361" t="s">
        <v>44908</v>
      </c>
      <c r="S3361" t="s">
        <v>45042</v>
      </c>
      <c r="T3361" t="s">
        <v>46611</v>
      </c>
      <c r="U3361" t="s">
        <v>49694</v>
      </c>
      <c r="W3361" t="s">
        <v>42277</v>
      </c>
      <c r="X3361" t="s">
        <v>44909</v>
      </c>
    </row>
    <row r="3362" spans="1:24">
      <c r="A3362">
        <f>HYPERLINK("https://www.philgeps.gov.ph/GEPSNONPILOT/Tender/SplashBidNoticeAbstractUI.aspx?menuIndex=3&amp;refID=7079844&amp;Result=3","7079844")</f>
        <v>0</v>
      </c>
      <c r="B3362" t="s">
        <v>1260</v>
      </c>
      <c r="C3362" t="s">
        <v>6737</v>
      </c>
      <c r="D3362" t="s">
        <v>18142</v>
      </c>
      <c r="E3362" t="s">
        <v>21234</v>
      </c>
      <c r="F3362" t="s">
        <v>31362</v>
      </c>
      <c r="G3362" t="s">
        <v>31369</v>
      </c>
      <c r="H3362" t="s">
        <v>15799</v>
      </c>
      <c r="I3362" t="s">
        <v>31465</v>
      </c>
      <c r="J3362" t="s">
        <v>33772</v>
      </c>
      <c r="K3362" t="s">
        <v>40677</v>
      </c>
      <c r="M3362" t="s">
        <v>42276</v>
      </c>
      <c r="N3362" t="s">
        <v>44905</v>
      </c>
      <c r="O3362" t="s">
        <v>44906</v>
      </c>
      <c r="P3362">
        <v>0</v>
      </c>
      <c r="Q3362">
        <v>0</v>
      </c>
      <c r="R3362" t="s">
        <v>44908</v>
      </c>
      <c r="S3362" t="s">
        <v>45042</v>
      </c>
      <c r="T3362" t="s">
        <v>46426</v>
      </c>
      <c r="U3362" t="s">
        <v>49683</v>
      </c>
      <c r="W3362" t="s">
        <v>42276</v>
      </c>
      <c r="X3362" t="s">
        <v>44909</v>
      </c>
    </row>
    <row r="3363" spans="1:24">
      <c r="A3363">
        <f>HYPERLINK("https://www.philgeps.gov.ph/GEPSNONPILOT/Tender/SplashBidNoticeAbstractUI.aspx?menuIndex=3&amp;refID=7079842&amp;Result=3","7079842")</f>
        <v>0</v>
      </c>
      <c r="B3363" t="s">
        <v>1266</v>
      </c>
      <c r="C3363" t="s">
        <v>6738</v>
      </c>
      <c r="D3363" t="s">
        <v>18117</v>
      </c>
      <c r="E3363" t="s">
        <v>21235</v>
      </c>
      <c r="F3363" t="s">
        <v>31363</v>
      </c>
      <c r="G3363" t="s">
        <v>31370</v>
      </c>
      <c r="H3363" t="s">
        <v>15799</v>
      </c>
      <c r="I3363" t="s">
        <v>31385</v>
      </c>
      <c r="J3363" t="s">
        <v>33773</v>
      </c>
      <c r="K3363" t="s">
        <v>40661</v>
      </c>
      <c r="M3363" t="s">
        <v>42283</v>
      </c>
      <c r="N3363" t="s">
        <v>44905</v>
      </c>
      <c r="O3363" t="s">
        <v>44906</v>
      </c>
      <c r="P3363">
        <v>0</v>
      </c>
      <c r="Q3363">
        <v>0</v>
      </c>
      <c r="R3363" t="s">
        <v>44908</v>
      </c>
      <c r="S3363" t="s">
        <v>45042</v>
      </c>
      <c r="T3363" t="s">
        <v>46520</v>
      </c>
      <c r="U3363" t="s">
        <v>49695</v>
      </c>
      <c r="W3363" t="s">
        <v>42283</v>
      </c>
      <c r="X3363" t="s">
        <v>44909</v>
      </c>
    </row>
    <row r="3364" spans="1:24">
      <c r="A3364">
        <f>HYPERLINK("https://www.philgeps.gov.ph/GEPSNONPILOT/Tender/SplashBidNoticeAbstractUI.aspx?menuIndex=3&amp;refID=7079841&amp;Result=3","7079841")</f>
        <v>0</v>
      </c>
      <c r="B3364" t="s">
        <v>1260</v>
      </c>
      <c r="C3364" t="s">
        <v>6739</v>
      </c>
      <c r="D3364" t="s">
        <v>18142</v>
      </c>
      <c r="E3364" t="s">
        <v>21236</v>
      </c>
      <c r="F3364" t="s">
        <v>31362</v>
      </c>
      <c r="G3364" t="s">
        <v>31369</v>
      </c>
      <c r="H3364" t="s">
        <v>15799</v>
      </c>
      <c r="I3364" t="s">
        <v>31460</v>
      </c>
      <c r="J3364" t="s">
        <v>33774</v>
      </c>
      <c r="K3364" t="s">
        <v>40677</v>
      </c>
      <c r="M3364" t="s">
        <v>42276</v>
      </c>
      <c r="N3364" t="s">
        <v>44905</v>
      </c>
      <c r="O3364" t="s">
        <v>44906</v>
      </c>
      <c r="P3364">
        <v>0</v>
      </c>
      <c r="Q3364">
        <v>0</v>
      </c>
      <c r="R3364" t="s">
        <v>44908</v>
      </c>
      <c r="S3364" t="s">
        <v>45042</v>
      </c>
      <c r="T3364" t="s">
        <v>46426</v>
      </c>
      <c r="U3364" t="s">
        <v>49683</v>
      </c>
      <c r="W3364" t="s">
        <v>42276</v>
      </c>
      <c r="X3364" t="s">
        <v>44909</v>
      </c>
    </row>
    <row r="3365" spans="1:24">
      <c r="A3365">
        <f>HYPERLINK("https://www.philgeps.gov.ph/GEPSNONPILOT/Tender/SplashBidNoticeAbstractUI.aspx?menuIndex=3&amp;refID=7079845&amp;Result=3","7079845")</f>
        <v>0</v>
      </c>
      <c r="B3365" t="s">
        <v>1267</v>
      </c>
      <c r="C3365" t="s">
        <v>6740</v>
      </c>
      <c r="D3365" t="s">
        <v>18111</v>
      </c>
      <c r="E3365" t="s">
        <v>18548</v>
      </c>
      <c r="F3365" t="s">
        <v>31362</v>
      </c>
      <c r="G3365" t="s">
        <v>31369</v>
      </c>
      <c r="H3365" t="s">
        <v>15799</v>
      </c>
      <c r="I3365" t="s">
        <v>3815</v>
      </c>
      <c r="J3365" t="s">
        <v>33775</v>
      </c>
      <c r="K3365" t="s">
        <v>40670</v>
      </c>
      <c r="M3365" t="s">
        <v>42284</v>
      </c>
      <c r="N3365" t="s">
        <v>44905</v>
      </c>
      <c r="O3365" t="s">
        <v>44906</v>
      </c>
      <c r="P3365">
        <v>0</v>
      </c>
      <c r="Q3365">
        <v>3</v>
      </c>
      <c r="R3365" t="s">
        <v>44908</v>
      </c>
      <c r="S3365" t="s">
        <v>45042</v>
      </c>
      <c r="T3365" t="s">
        <v>46559</v>
      </c>
      <c r="U3365" t="s">
        <v>49696</v>
      </c>
      <c r="W3365" t="s">
        <v>42284</v>
      </c>
      <c r="X3365" t="s">
        <v>44909</v>
      </c>
    </row>
    <row r="3366" spans="1:24">
      <c r="A3366">
        <f>HYPERLINK("https://www.philgeps.gov.ph/GEPSNONPILOT/Tender/SplashBidNoticeAbstractUI.aspx?menuIndex=3&amp;refID=7079811&amp;Result=3","7079811")</f>
        <v>0</v>
      </c>
      <c r="B3366" t="s">
        <v>1261</v>
      </c>
      <c r="C3366" t="s">
        <v>6741</v>
      </c>
      <c r="D3366" t="s">
        <v>18113</v>
      </c>
      <c r="E3366" t="s">
        <v>6741</v>
      </c>
      <c r="F3366" t="s">
        <v>31362</v>
      </c>
      <c r="G3366" t="s">
        <v>31369</v>
      </c>
      <c r="H3366" t="s">
        <v>15799</v>
      </c>
      <c r="I3366" t="s">
        <v>4942</v>
      </c>
      <c r="J3366" t="s">
        <v>33776</v>
      </c>
      <c r="K3366" t="s">
        <v>40665</v>
      </c>
      <c r="M3366" t="s">
        <v>42277</v>
      </c>
      <c r="N3366" t="s">
        <v>44905</v>
      </c>
      <c r="O3366" t="s">
        <v>44906</v>
      </c>
      <c r="P3366">
        <v>0</v>
      </c>
      <c r="Q3366">
        <v>0</v>
      </c>
      <c r="R3366" t="s">
        <v>44908</v>
      </c>
      <c r="S3366" t="s">
        <v>45042</v>
      </c>
      <c r="T3366" t="s">
        <v>46611</v>
      </c>
      <c r="U3366" t="s">
        <v>49697</v>
      </c>
      <c r="W3366" t="s">
        <v>42277</v>
      </c>
      <c r="X3366" t="s">
        <v>44909</v>
      </c>
    </row>
    <row r="3367" spans="1:24">
      <c r="A3367">
        <f>HYPERLINK("https://www.philgeps.gov.ph/GEPSNONPILOT/Tender/SplashBidNoticeAbstractUI.aspx?menuIndex=3&amp;refID=7079770&amp;Result=3","7079770")</f>
        <v>0</v>
      </c>
      <c r="B3367" t="s">
        <v>1262</v>
      </c>
      <c r="C3367" t="s">
        <v>6742</v>
      </c>
      <c r="D3367" t="s">
        <v>18102</v>
      </c>
      <c r="E3367" t="s">
        <v>21237</v>
      </c>
      <c r="F3367" t="s">
        <v>31362</v>
      </c>
      <c r="G3367" t="s">
        <v>31369</v>
      </c>
      <c r="H3367" t="s">
        <v>31378</v>
      </c>
      <c r="I3367" t="s">
        <v>31386</v>
      </c>
      <c r="J3367" t="s">
        <v>31591</v>
      </c>
      <c r="K3367" t="s">
        <v>40662</v>
      </c>
      <c r="M3367" t="s">
        <v>42278</v>
      </c>
      <c r="N3367" t="s">
        <v>44905</v>
      </c>
      <c r="O3367" t="s">
        <v>44906</v>
      </c>
      <c r="P3367">
        <v>0</v>
      </c>
      <c r="Q3367">
        <v>0</v>
      </c>
      <c r="R3367" t="s">
        <v>44908</v>
      </c>
      <c r="S3367" t="s">
        <v>45042</v>
      </c>
      <c r="T3367" t="s">
        <v>46415</v>
      </c>
      <c r="U3367" t="s">
        <v>49698</v>
      </c>
      <c r="W3367" t="s">
        <v>42278</v>
      </c>
      <c r="X3367" t="s">
        <v>44909</v>
      </c>
    </row>
    <row r="3368" spans="1:24">
      <c r="A3368">
        <f>HYPERLINK("https://www.philgeps.gov.ph/GEPSNONPILOT/Tender/SplashBidNoticeAbstractUI.aspx?menuIndex=3&amp;refID=7079837&amp;Result=3","7079837")</f>
        <v>0</v>
      </c>
      <c r="B3368" t="s">
        <v>1063</v>
      </c>
      <c r="C3368" t="s">
        <v>6743</v>
      </c>
      <c r="D3368" t="s">
        <v>18177</v>
      </c>
      <c r="E3368" t="s">
        <v>18625</v>
      </c>
      <c r="F3368" t="s">
        <v>31362</v>
      </c>
      <c r="G3368" t="s">
        <v>31370</v>
      </c>
      <c r="H3368" t="s">
        <v>15799</v>
      </c>
      <c r="I3368" t="s">
        <v>31385</v>
      </c>
      <c r="J3368" t="s">
        <v>33777</v>
      </c>
      <c r="K3368" t="s">
        <v>40693</v>
      </c>
      <c r="M3368" t="s">
        <v>42065</v>
      </c>
      <c r="N3368" t="s">
        <v>44905</v>
      </c>
      <c r="O3368" t="s">
        <v>44906</v>
      </c>
      <c r="P3368">
        <v>0</v>
      </c>
      <c r="Q3368">
        <v>0</v>
      </c>
      <c r="R3368" t="s">
        <v>44908</v>
      </c>
      <c r="S3368" t="s">
        <v>45042</v>
      </c>
      <c r="T3368" t="s">
        <v>46414</v>
      </c>
      <c r="U3368" t="s">
        <v>49699</v>
      </c>
      <c r="W3368" t="s">
        <v>42065</v>
      </c>
      <c r="X3368" t="s">
        <v>44909</v>
      </c>
    </row>
    <row r="3369" spans="1:24">
      <c r="A3369">
        <f>HYPERLINK("https://www.philgeps.gov.ph/GEPSNONPILOT/Tender/SplashBidNoticeAbstractUI.aspx?menuIndex=3&amp;refID=7079836&amp;Result=3","7079836")</f>
        <v>0</v>
      </c>
      <c r="B3369" t="s">
        <v>1268</v>
      </c>
      <c r="C3369" t="s">
        <v>6744</v>
      </c>
      <c r="E3369" t="s">
        <v>21238</v>
      </c>
      <c r="F3369" t="s">
        <v>31362</v>
      </c>
      <c r="G3369" t="s">
        <v>31368</v>
      </c>
      <c r="H3369" t="s">
        <v>15799</v>
      </c>
      <c r="I3369" t="s">
        <v>31430</v>
      </c>
      <c r="J3369" t="s">
        <v>31577</v>
      </c>
      <c r="K3369" t="s">
        <v>40662</v>
      </c>
      <c r="M3369" t="s">
        <v>42285</v>
      </c>
      <c r="N3369" t="s">
        <v>44905</v>
      </c>
      <c r="O3369" t="s">
        <v>44906</v>
      </c>
      <c r="P3369">
        <v>0</v>
      </c>
      <c r="Q3369">
        <v>1</v>
      </c>
      <c r="R3369" t="s">
        <v>44908</v>
      </c>
      <c r="S3369" t="s">
        <v>45042</v>
      </c>
      <c r="T3369" t="s">
        <v>46432</v>
      </c>
      <c r="U3369" t="s">
        <v>49700</v>
      </c>
      <c r="W3369" t="s">
        <v>42285</v>
      </c>
      <c r="X3369" t="s">
        <v>44909</v>
      </c>
    </row>
    <row r="3370" spans="1:24">
      <c r="A3370">
        <f>HYPERLINK("https://www.philgeps.gov.ph/GEPSNONPILOT/Tender/SplashBidNoticeAbstractUI.aspx?menuIndex=3&amp;refID=7079849&amp;Result=3","7079849")</f>
        <v>0</v>
      </c>
      <c r="B3370" t="s">
        <v>235</v>
      </c>
      <c r="C3370" t="s">
        <v>6745</v>
      </c>
      <c r="D3370" t="s">
        <v>18100</v>
      </c>
      <c r="E3370" t="s">
        <v>21239</v>
      </c>
      <c r="F3370" t="s">
        <v>31362</v>
      </c>
      <c r="G3370" t="s">
        <v>31368</v>
      </c>
      <c r="H3370" t="s">
        <v>15799</v>
      </c>
      <c r="I3370" t="s">
        <v>31409</v>
      </c>
      <c r="J3370" t="s">
        <v>33541</v>
      </c>
      <c r="K3370" t="s">
        <v>40661</v>
      </c>
      <c r="M3370" t="s">
        <v>41174</v>
      </c>
      <c r="N3370" t="s">
        <v>44905</v>
      </c>
      <c r="O3370" t="s">
        <v>44906</v>
      </c>
      <c r="P3370">
        <v>0</v>
      </c>
      <c r="Q3370">
        <v>0</v>
      </c>
      <c r="R3370" t="s">
        <v>44908</v>
      </c>
      <c r="S3370" t="s">
        <v>45042</v>
      </c>
      <c r="T3370" t="s">
        <v>46427</v>
      </c>
      <c r="U3370" t="s">
        <v>49701</v>
      </c>
      <c r="W3370" t="s">
        <v>41174</v>
      </c>
      <c r="X3370" t="s">
        <v>44909</v>
      </c>
    </row>
    <row r="3371" spans="1:24">
      <c r="A3371">
        <f>HYPERLINK("https://www.philgeps.gov.ph/GEPSNONPILOT/Tender/SplashBidNoticeAbstractUI.aspx?menuIndex=3&amp;refID=7079870&amp;Result=3","7079870")</f>
        <v>0</v>
      </c>
      <c r="B3371" t="s">
        <v>1269</v>
      </c>
      <c r="C3371" t="s">
        <v>6746</v>
      </c>
      <c r="D3371" t="s">
        <v>18113</v>
      </c>
      <c r="E3371" t="s">
        <v>21240</v>
      </c>
      <c r="F3371" t="s">
        <v>31362</v>
      </c>
      <c r="G3371" t="s">
        <v>31368</v>
      </c>
      <c r="H3371" t="s">
        <v>15799</v>
      </c>
      <c r="I3371" t="s">
        <v>31463</v>
      </c>
      <c r="J3371" t="s">
        <v>31531</v>
      </c>
      <c r="K3371" t="s">
        <v>40677</v>
      </c>
      <c r="M3371" t="s">
        <v>42286</v>
      </c>
      <c r="N3371" t="s">
        <v>44905</v>
      </c>
      <c r="O3371" t="s">
        <v>44906</v>
      </c>
      <c r="P3371">
        <v>0</v>
      </c>
      <c r="Q3371">
        <v>0</v>
      </c>
      <c r="R3371" t="s">
        <v>44908</v>
      </c>
      <c r="S3371" t="s">
        <v>45042</v>
      </c>
      <c r="T3371" t="s">
        <v>46409</v>
      </c>
      <c r="U3371" t="s">
        <v>49702</v>
      </c>
      <c r="W3371" t="s">
        <v>42286</v>
      </c>
      <c r="X3371" t="s">
        <v>44909</v>
      </c>
    </row>
    <row r="3372" spans="1:24">
      <c r="A3372">
        <f>HYPERLINK("https://www.philgeps.gov.ph/GEPSNONPILOT/Tender/SplashBidNoticeAbstractUI.aspx?menuIndex=3&amp;refID=7079869&amp;Result=3","7079869")</f>
        <v>0</v>
      </c>
      <c r="B3372" t="s">
        <v>235</v>
      </c>
      <c r="C3372" t="s">
        <v>6747</v>
      </c>
      <c r="D3372" t="s">
        <v>18100</v>
      </c>
      <c r="E3372" t="s">
        <v>21241</v>
      </c>
      <c r="F3372" t="s">
        <v>31362</v>
      </c>
      <c r="G3372" t="s">
        <v>31368</v>
      </c>
      <c r="H3372" t="s">
        <v>15799</v>
      </c>
      <c r="I3372" t="s">
        <v>31393</v>
      </c>
      <c r="J3372" t="s">
        <v>32278</v>
      </c>
      <c r="K3372" t="s">
        <v>40661</v>
      </c>
      <c r="M3372" t="s">
        <v>41174</v>
      </c>
      <c r="N3372" t="s">
        <v>44905</v>
      </c>
      <c r="O3372" t="s">
        <v>44906</v>
      </c>
      <c r="P3372">
        <v>0</v>
      </c>
      <c r="Q3372">
        <v>2</v>
      </c>
      <c r="R3372" t="s">
        <v>44908</v>
      </c>
      <c r="S3372" t="s">
        <v>45042</v>
      </c>
      <c r="T3372" t="s">
        <v>46427</v>
      </c>
      <c r="U3372" t="s">
        <v>49703</v>
      </c>
      <c r="W3372" t="s">
        <v>41174</v>
      </c>
      <c r="X3372" t="s">
        <v>44909</v>
      </c>
    </row>
    <row r="3373" spans="1:24">
      <c r="A3373">
        <f>HYPERLINK("https://www.philgeps.gov.ph/GEPSNONPILOT/Tender/SplashBidNoticeAbstractUI.aspx?menuIndex=3&amp;refID=7079868&amp;Result=3","7079868")</f>
        <v>0</v>
      </c>
      <c r="B3373" t="s">
        <v>1033</v>
      </c>
      <c r="C3373" t="s">
        <v>6748</v>
      </c>
      <c r="D3373" t="s">
        <v>18162</v>
      </c>
      <c r="E3373" t="s">
        <v>21242</v>
      </c>
      <c r="F3373" t="s">
        <v>31362</v>
      </c>
      <c r="G3373" t="s">
        <v>31369</v>
      </c>
      <c r="H3373" t="s">
        <v>15799</v>
      </c>
      <c r="I3373" t="s">
        <v>31385</v>
      </c>
      <c r="J3373" t="s">
        <v>33778</v>
      </c>
      <c r="K3373" t="s">
        <v>40670</v>
      </c>
      <c r="M3373" t="s">
        <v>42032</v>
      </c>
      <c r="N3373" t="s">
        <v>44905</v>
      </c>
      <c r="O3373" t="s">
        <v>44906</v>
      </c>
      <c r="P3373">
        <v>0</v>
      </c>
      <c r="Q3373">
        <v>0</v>
      </c>
      <c r="R3373" t="s">
        <v>44908</v>
      </c>
      <c r="S3373" t="s">
        <v>45042</v>
      </c>
      <c r="T3373" t="s">
        <v>46430</v>
      </c>
      <c r="U3373" t="s">
        <v>49704</v>
      </c>
      <c r="W3373" t="s">
        <v>42032</v>
      </c>
      <c r="X3373" t="s">
        <v>44909</v>
      </c>
    </row>
    <row r="3374" spans="1:24">
      <c r="A3374">
        <f>HYPERLINK("https://www.philgeps.gov.ph/GEPSNONPILOT/Tender/SplashBidNoticeAbstractUI.aspx?menuIndex=3&amp;refID=7079867&amp;Result=3","7079867")</f>
        <v>0</v>
      </c>
      <c r="B3374" t="s">
        <v>270</v>
      </c>
      <c r="C3374" t="s">
        <v>6749</v>
      </c>
      <c r="D3374" t="s">
        <v>18166</v>
      </c>
      <c r="E3374" t="s">
        <v>21243</v>
      </c>
      <c r="F3374" t="s">
        <v>31362</v>
      </c>
      <c r="G3374" t="s">
        <v>31368</v>
      </c>
      <c r="H3374" t="s">
        <v>15799</v>
      </c>
      <c r="I3374" t="s">
        <v>4942</v>
      </c>
      <c r="J3374" t="s">
        <v>31536</v>
      </c>
      <c r="K3374" t="s">
        <v>40661</v>
      </c>
      <c r="M3374" t="s">
        <v>41953</v>
      </c>
      <c r="N3374" t="s">
        <v>44905</v>
      </c>
      <c r="O3374" t="s">
        <v>44906</v>
      </c>
      <c r="P3374">
        <v>0</v>
      </c>
      <c r="Q3374">
        <v>0</v>
      </c>
      <c r="R3374" t="s">
        <v>44908</v>
      </c>
      <c r="S3374" t="s">
        <v>45042</v>
      </c>
      <c r="T3374" t="s">
        <v>46393</v>
      </c>
      <c r="U3374" t="s">
        <v>49705</v>
      </c>
      <c r="W3374" t="s">
        <v>41953</v>
      </c>
      <c r="X3374" t="s">
        <v>44909</v>
      </c>
    </row>
    <row r="3375" spans="1:24">
      <c r="A3375">
        <f>HYPERLINK("https://www.philgeps.gov.ph/GEPSNONPILOT/Tender/SplashBidNoticeAbstractUI.aspx?menuIndex=3&amp;refID=7079865&amp;Result=3","7079865")</f>
        <v>0</v>
      </c>
      <c r="B3375" t="s">
        <v>1270</v>
      </c>
      <c r="C3375" t="s">
        <v>6750</v>
      </c>
      <c r="D3375" t="s">
        <v>18157</v>
      </c>
      <c r="E3375" t="s">
        <v>21244</v>
      </c>
      <c r="F3375" t="s">
        <v>31362</v>
      </c>
      <c r="G3375" t="s">
        <v>31368</v>
      </c>
      <c r="H3375" t="s">
        <v>15799</v>
      </c>
      <c r="I3375" t="s">
        <v>4057</v>
      </c>
      <c r="J3375" t="s">
        <v>33779</v>
      </c>
      <c r="K3375" t="s">
        <v>40698</v>
      </c>
      <c r="M3375" t="s">
        <v>42287</v>
      </c>
      <c r="N3375" t="s">
        <v>44905</v>
      </c>
      <c r="O3375" t="s">
        <v>44906</v>
      </c>
      <c r="P3375">
        <v>0</v>
      </c>
      <c r="Q3375">
        <v>0</v>
      </c>
      <c r="R3375" t="s">
        <v>44908</v>
      </c>
      <c r="S3375" t="s">
        <v>45042</v>
      </c>
      <c r="T3375" t="s">
        <v>46404</v>
      </c>
      <c r="U3375" t="s">
        <v>49706</v>
      </c>
      <c r="W3375" t="s">
        <v>42287</v>
      </c>
      <c r="X3375" t="s">
        <v>44909</v>
      </c>
    </row>
    <row r="3376" spans="1:24">
      <c r="A3376">
        <f>HYPERLINK("https://www.philgeps.gov.ph/GEPSNONPILOT/Tender/SplashBidNoticeAbstractUI.aspx?menuIndex=3&amp;refID=7079864&amp;Result=3","7079864")</f>
        <v>0</v>
      </c>
      <c r="B3376" t="s">
        <v>1271</v>
      </c>
      <c r="C3376" t="s">
        <v>6751</v>
      </c>
      <c r="D3376" t="s">
        <v>18179</v>
      </c>
      <c r="E3376" t="s">
        <v>21245</v>
      </c>
      <c r="F3376" t="s">
        <v>31362</v>
      </c>
      <c r="G3376" t="s">
        <v>31369</v>
      </c>
      <c r="H3376" t="s">
        <v>15799</v>
      </c>
      <c r="I3376" t="s">
        <v>3815</v>
      </c>
      <c r="J3376" t="s">
        <v>32239</v>
      </c>
      <c r="K3376" t="s">
        <v>40665</v>
      </c>
      <c r="M3376" t="s">
        <v>42288</v>
      </c>
      <c r="N3376" t="s">
        <v>44905</v>
      </c>
      <c r="O3376" t="s">
        <v>44906</v>
      </c>
      <c r="P3376">
        <v>0</v>
      </c>
      <c r="Q3376">
        <v>0</v>
      </c>
      <c r="R3376" t="s">
        <v>44908</v>
      </c>
      <c r="S3376" t="s">
        <v>45042</v>
      </c>
      <c r="T3376" t="s">
        <v>46470</v>
      </c>
      <c r="U3376" t="s">
        <v>49707</v>
      </c>
      <c r="W3376" t="s">
        <v>42288</v>
      </c>
      <c r="X3376" t="s">
        <v>44909</v>
      </c>
    </row>
    <row r="3377" spans="1:24">
      <c r="A3377">
        <f>HYPERLINK("https://www.philgeps.gov.ph/GEPSNONPILOT/Tender/SplashBidNoticeAbstractUI.aspx?menuIndex=3&amp;refID=7079863&amp;Result=3","7079863")</f>
        <v>0</v>
      </c>
      <c r="B3377" t="s">
        <v>1235</v>
      </c>
      <c r="C3377" t="s">
        <v>6752</v>
      </c>
      <c r="E3377" t="s">
        <v>21246</v>
      </c>
      <c r="F3377" t="s">
        <v>31362</v>
      </c>
      <c r="G3377" t="s">
        <v>31369</v>
      </c>
      <c r="H3377" t="s">
        <v>15799</v>
      </c>
      <c r="I3377" t="s">
        <v>7188</v>
      </c>
      <c r="J3377" t="s">
        <v>33780</v>
      </c>
      <c r="K3377" t="s">
        <v>40662</v>
      </c>
      <c r="M3377" t="s">
        <v>42249</v>
      </c>
      <c r="N3377" t="s">
        <v>44905</v>
      </c>
      <c r="O3377" t="s">
        <v>44906</v>
      </c>
      <c r="P3377">
        <v>0</v>
      </c>
      <c r="Q3377">
        <v>7</v>
      </c>
      <c r="R3377" t="s">
        <v>44908</v>
      </c>
      <c r="S3377" t="s">
        <v>45042</v>
      </c>
      <c r="T3377" t="s">
        <v>46449</v>
      </c>
      <c r="U3377" t="s">
        <v>49708</v>
      </c>
      <c r="W3377" t="s">
        <v>42249</v>
      </c>
      <c r="X3377" t="s">
        <v>44909</v>
      </c>
    </row>
    <row r="3378" spans="1:24">
      <c r="A3378">
        <f>HYPERLINK("https://www.philgeps.gov.ph/GEPSNONPILOT/Tender/SplashBidNoticeAbstractUI.aspx?menuIndex=3&amp;refID=7079862&amp;Result=3","7079862")</f>
        <v>0</v>
      </c>
      <c r="B3378" t="s">
        <v>1272</v>
      </c>
      <c r="C3378" t="s">
        <v>6753</v>
      </c>
      <c r="D3378" t="s">
        <v>18104</v>
      </c>
      <c r="E3378" t="s">
        <v>21247</v>
      </c>
      <c r="F3378" t="s">
        <v>31362</v>
      </c>
      <c r="G3378" t="s">
        <v>31368</v>
      </c>
      <c r="H3378" t="s">
        <v>15799</v>
      </c>
      <c r="I3378" t="s">
        <v>31380</v>
      </c>
      <c r="J3378" t="s">
        <v>33781</v>
      </c>
      <c r="K3378" t="s">
        <v>40661</v>
      </c>
      <c r="M3378" t="s">
        <v>42289</v>
      </c>
      <c r="N3378" t="s">
        <v>44905</v>
      </c>
      <c r="O3378" t="s">
        <v>44906</v>
      </c>
      <c r="P3378">
        <v>0</v>
      </c>
      <c r="Q3378">
        <v>3</v>
      </c>
      <c r="R3378" t="s">
        <v>44908</v>
      </c>
      <c r="S3378" t="s">
        <v>45042</v>
      </c>
      <c r="T3378" t="s">
        <v>46426</v>
      </c>
      <c r="U3378" t="s">
        <v>49709</v>
      </c>
      <c r="W3378" t="s">
        <v>42289</v>
      </c>
      <c r="X3378" t="s">
        <v>44909</v>
      </c>
    </row>
    <row r="3379" spans="1:24">
      <c r="A3379">
        <f>HYPERLINK("https://www.philgeps.gov.ph/GEPSNONPILOT/Tender/SplashBidNoticeAbstractUI.aspx?menuIndex=3&amp;refID=7079860&amp;Result=3","7079860")</f>
        <v>0</v>
      </c>
      <c r="B3379" t="s">
        <v>1273</v>
      </c>
      <c r="C3379" t="s">
        <v>6754</v>
      </c>
      <c r="D3379" t="s">
        <v>18108</v>
      </c>
      <c r="E3379" t="s">
        <v>21248</v>
      </c>
      <c r="F3379" t="s">
        <v>31362</v>
      </c>
      <c r="G3379" t="s">
        <v>31368</v>
      </c>
      <c r="H3379" t="s">
        <v>15799</v>
      </c>
      <c r="I3379" t="s">
        <v>31388</v>
      </c>
      <c r="J3379" t="s">
        <v>33782</v>
      </c>
      <c r="K3379" t="s">
        <v>40662</v>
      </c>
      <c r="M3379" t="s">
        <v>42290</v>
      </c>
      <c r="N3379" t="s">
        <v>44905</v>
      </c>
      <c r="O3379" t="s">
        <v>44906</v>
      </c>
      <c r="P3379">
        <v>0</v>
      </c>
      <c r="Q3379">
        <v>6</v>
      </c>
      <c r="R3379" t="s">
        <v>44908</v>
      </c>
      <c r="S3379" t="s">
        <v>45042</v>
      </c>
      <c r="T3379" t="s">
        <v>46409</v>
      </c>
      <c r="U3379" t="s">
        <v>49710</v>
      </c>
      <c r="W3379" t="s">
        <v>42290</v>
      </c>
      <c r="X3379" t="s">
        <v>44909</v>
      </c>
    </row>
    <row r="3380" spans="1:24">
      <c r="A3380">
        <f>HYPERLINK("https://www.philgeps.gov.ph/GEPSNONPILOT/Tender/SplashBidNoticeAbstractUI.aspx?menuIndex=3&amp;refID=7079859&amp;Result=3","7079859")</f>
        <v>0</v>
      </c>
      <c r="B3380" t="s">
        <v>262</v>
      </c>
      <c r="C3380" t="s">
        <v>6755</v>
      </c>
      <c r="D3380" t="s">
        <v>18127</v>
      </c>
      <c r="E3380" t="s">
        <v>21249</v>
      </c>
      <c r="F3380" t="s">
        <v>31362</v>
      </c>
      <c r="G3380" t="s">
        <v>31368</v>
      </c>
      <c r="H3380" t="s">
        <v>15799</v>
      </c>
      <c r="I3380" t="s">
        <v>7090</v>
      </c>
      <c r="J3380" t="s">
        <v>33783</v>
      </c>
      <c r="K3380" t="s">
        <v>40661</v>
      </c>
      <c r="M3380" t="s">
        <v>42051</v>
      </c>
      <c r="N3380" t="s">
        <v>44905</v>
      </c>
      <c r="O3380" t="s">
        <v>44906</v>
      </c>
      <c r="P3380">
        <v>0</v>
      </c>
      <c r="Q3380">
        <v>0</v>
      </c>
      <c r="R3380" t="s">
        <v>44908</v>
      </c>
      <c r="S3380" t="s">
        <v>45042</v>
      </c>
      <c r="T3380" t="s">
        <v>46454</v>
      </c>
      <c r="U3380" t="s">
        <v>49689</v>
      </c>
      <c r="W3380" t="s">
        <v>42051</v>
      </c>
      <c r="X3380" t="s">
        <v>44909</v>
      </c>
    </row>
    <row r="3381" spans="1:24">
      <c r="A3381">
        <f>HYPERLINK("https://www.philgeps.gov.ph/GEPSNONPILOT/Tender/SplashBidNoticeAbstractUI.aspx?menuIndex=3&amp;refID=7079892&amp;Result=3","7079892")</f>
        <v>0</v>
      </c>
      <c r="B3381" t="s">
        <v>1274</v>
      </c>
      <c r="C3381" t="s">
        <v>6756</v>
      </c>
      <c r="D3381" t="s">
        <v>18134</v>
      </c>
      <c r="E3381" t="s">
        <v>21250</v>
      </c>
      <c r="F3381" t="s">
        <v>31362</v>
      </c>
      <c r="G3381" t="s">
        <v>31370</v>
      </c>
      <c r="H3381" t="s">
        <v>15799</v>
      </c>
      <c r="I3381" t="s">
        <v>7188</v>
      </c>
      <c r="J3381" t="s">
        <v>33182</v>
      </c>
      <c r="K3381" t="s">
        <v>40697</v>
      </c>
      <c r="M3381" t="s">
        <v>42291</v>
      </c>
      <c r="N3381" t="s">
        <v>44905</v>
      </c>
      <c r="O3381" t="s">
        <v>44906</v>
      </c>
      <c r="P3381">
        <v>0</v>
      </c>
      <c r="Q3381">
        <v>0</v>
      </c>
      <c r="R3381" t="s">
        <v>44908</v>
      </c>
      <c r="S3381" t="s">
        <v>45042</v>
      </c>
      <c r="T3381" t="s">
        <v>46414</v>
      </c>
      <c r="U3381" t="s">
        <v>49711</v>
      </c>
      <c r="W3381" t="s">
        <v>42291</v>
      </c>
      <c r="X3381" t="s">
        <v>44909</v>
      </c>
    </row>
    <row r="3382" spans="1:24">
      <c r="A3382">
        <f>HYPERLINK("https://www.philgeps.gov.ph/GEPSNONPILOT/Tender/SplashBidNoticeAbstractUI.aspx?menuIndex=3&amp;refID=7079891&amp;Result=3","7079891")</f>
        <v>0</v>
      </c>
      <c r="B3382" t="s">
        <v>1033</v>
      </c>
      <c r="C3382" t="s">
        <v>6757</v>
      </c>
      <c r="D3382" t="s">
        <v>18162</v>
      </c>
      <c r="E3382" t="s">
        <v>21251</v>
      </c>
      <c r="F3382" t="s">
        <v>31362</v>
      </c>
      <c r="G3382" t="s">
        <v>31369</v>
      </c>
      <c r="H3382" t="s">
        <v>15799</v>
      </c>
      <c r="I3382" t="s">
        <v>31385</v>
      </c>
      <c r="J3382" t="s">
        <v>33784</v>
      </c>
      <c r="K3382" t="s">
        <v>40670</v>
      </c>
      <c r="M3382" t="s">
        <v>42032</v>
      </c>
      <c r="N3382" t="s">
        <v>44905</v>
      </c>
      <c r="O3382" t="s">
        <v>44906</v>
      </c>
      <c r="P3382">
        <v>0</v>
      </c>
      <c r="Q3382">
        <v>0</v>
      </c>
      <c r="R3382" t="s">
        <v>44908</v>
      </c>
      <c r="S3382" t="s">
        <v>45042</v>
      </c>
      <c r="T3382" t="s">
        <v>46430</v>
      </c>
      <c r="U3382" t="s">
        <v>49712</v>
      </c>
      <c r="W3382" t="s">
        <v>42032</v>
      </c>
      <c r="X3382" t="s">
        <v>44909</v>
      </c>
    </row>
    <row r="3383" spans="1:24">
      <c r="A3383">
        <f>HYPERLINK("https://www.philgeps.gov.ph/GEPSNONPILOT/Tender/SplashBidNoticeAbstractUI.aspx?menuIndex=3&amp;refID=7079890&amp;Result=3","7079890")</f>
        <v>0</v>
      </c>
      <c r="B3383" t="s">
        <v>1270</v>
      </c>
      <c r="C3383" t="s">
        <v>6758</v>
      </c>
      <c r="D3383" t="s">
        <v>18157</v>
      </c>
      <c r="E3383" t="s">
        <v>21252</v>
      </c>
      <c r="F3383" t="s">
        <v>31362</v>
      </c>
      <c r="G3383" t="s">
        <v>31368</v>
      </c>
      <c r="H3383" t="s">
        <v>15799</v>
      </c>
      <c r="I3383" t="s">
        <v>4057</v>
      </c>
      <c r="J3383" t="s">
        <v>33785</v>
      </c>
      <c r="K3383" t="s">
        <v>40698</v>
      </c>
      <c r="M3383" t="s">
        <v>42287</v>
      </c>
      <c r="N3383" t="s">
        <v>44905</v>
      </c>
      <c r="O3383" t="s">
        <v>44906</v>
      </c>
      <c r="P3383">
        <v>0</v>
      </c>
      <c r="Q3383">
        <v>0</v>
      </c>
      <c r="R3383" t="s">
        <v>44908</v>
      </c>
      <c r="S3383" t="s">
        <v>45042</v>
      </c>
      <c r="T3383" t="s">
        <v>46404</v>
      </c>
      <c r="U3383" t="s">
        <v>49706</v>
      </c>
      <c r="W3383" t="s">
        <v>42287</v>
      </c>
      <c r="X3383" t="s">
        <v>44909</v>
      </c>
    </row>
    <row r="3384" spans="1:24">
      <c r="A3384">
        <f>HYPERLINK("https://www.philgeps.gov.ph/GEPSNONPILOT/Tender/SplashBidNoticeAbstractUI.aspx?menuIndex=3&amp;refID=7079888&amp;Result=3","7079888")</f>
        <v>0</v>
      </c>
      <c r="B3384" t="s">
        <v>1167</v>
      </c>
      <c r="C3384" t="s">
        <v>6759</v>
      </c>
      <c r="D3384" t="s">
        <v>18151</v>
      </c>
      <c r="E3384" t="s">
        <v>21253</v>
      </c>
      <c r="F3384" t="s">
        <v>31362</v>
      </c>
      <c r="G3384" t="s">
        <v>31369</v>
      </c>
      <c r="H3384" t="s">
        <v>31378</v>
      </c>
      <c r="I3384" t="s">
        <v>31386</v>
      </c>
      <c r="J3384" t="s">
        <v>33786</v>
      </c>
      <c r="K3384" t="s">
        <v>40686</v>
      </c>
      <c r="M3384" t="s">
        <v>42177</v>
      </c>
      <c r="N3384" t="s">
        <v>44905</v>
      </c>
      <c r="O3384" t="s">
        <v>44906</v>
      </c>
      <c r="P3384">
        <v>0</v>
      </c>
      <c r="Q3384">
        <v>1</v>
      </c>
      <c r="R3384" t="s">
        <v>44908</v>
      </c>
      <c r="S3384" t="s">
        <v>45042</v>
      </c>
      <c r="T3384" t="s">
        <v>46449</v>
      </c>
      <c r="U3384" t="s">
        <v>49459</v>
      </c>
      <c r="W3384" t="s">
        <v>42177</v>
      </c>
      <c r="X3384" t="s">
        <v>44909</v>
      </c>
    </row>
    <row r="3385" spans="1:24">
      <c r="A3385">
        <f>HYPERLINK("https://www.philgeps.gov.ph/GEPSNONPILOT/Tender/SplashBidNoticeAbstractUI.aspx?menuIndex=3&amp;refID=7079887&amp;Result=3","7079887")</f>
        <v>0</v>
      </c>
      <c r="B3385" t="s">
        <v>1275</v>
      </c>
      <c r="C3385" t="s">
        <v>6760</v>
      </c>
      <c r="D3385" t="s">
        <v>18126</v>
      </c>
      <c r="E3385" t="s">
        <v>6760</v>
      </c>
      <c r="F3385" t="s">
        <v>31362</v>
      </c>
      <c r="G3385" t="s">
        <v>31368</v>
      </c>
      <c r="H3385" t="s">
        <v>31379</v>
      </c>
      <c r="I3385" t="s">
        <v>13635</v>
      </c>
      <c r="J3385" t="s">
        <v>31987</v>
      </c>
      <c r="K3385" t="s">
        <v>40670</v>
      </c>
      <c r="L3385" t="s">
        <v>1275</v>
      </c>
      <c r="M3385" t="s">
        <v>42292</v>
      </c>
      <c r="N3385" t="s">
        <v>44905</v>
      </c>
      <c r="O3385" t="s">
        <v>44906</v>
      </c>
      <c r="P3385">
        <v>0</v>
      </c>
      <c r="Q3385">
        <v>5</v>
      </c>
      <c r="R3385" t="s">
        <v>44908</v>
      </c>
      <c r="S3385" t="s">
        <v>45042</v>
      </c>
      <c r="T3385" t="s">
        <v>46406</v>
      </c>
      <c r="U3385" t="s">
        <v>49713</v>
      </c>
      <c r="W3385" t="s">
        <v>42292</v>
      </c>
      <c r="X3385" t="s">
        <v>44909</v>
      </c>
    </row>
    <row r="3386" spans="1:24">
      <c r="A3386">
        <f>HYPERLINK("https://www.philgeps.gov.ph/GEPSNONPILOT/Tender/SplashBidNoticeAbstractUI.aspx?menuIndex=3&amp;refID=7079839&amp;Result=3","7079839")</f>
        <v>0</v>
      </c>
      <c r="B3386" t="s">
        <v>1246</v>
      </c>
      <c r="C3386" t="s">
        <v>6692</v>
      </c>
      <c r="D3386" t="s">
        <v>18104</v>
      </c>
      <c r="E3386" t="s">
        <v>21254</v>
      </c>
      <c r="F3386" t="s">
        <v>31362</v>
      </c>
      <c r="G3386" t="s">
        <v>31370</v>
      </c>
      <c r="H3386" t="s">
        <v>15799</v>
      </c>
      <c r="I3386" t="s">
        <v>31466</v>
      </c>
      <c r="J3386" t="s">
        <v>33584</v>
      </c>
      <c r="K3386" t="s">
        <v>40665</v>
      </c>
      <c r="M3386" t="s">
        <v>42261</v>
      </c>
      <c r="N3386" t="s">
        <v>44905</v>
      </c>
      <c r="O3386" t="s">
        <v>44906</v>
      </c>
      <c r="P3386">
        <v>0</v>
      </c>
      <c r="Q3386">
        <v>3</v>
      </c>
      <c r="R3386" t="s">
        <v>44908</v>
      </c>
      <c r="S3386" t="s">
        <v>45042</v>
      </c>
      <c r="T3386" t="s">
        <v>46416</v>
      </c>
      <c r="U3386" t="s">
        <v>49714</v>
      </c>
      <c r="W3386" t="s">
        <v>42261</v>
      </c>
      <c r="X3386" t="s">
        <v>44909</v>
      </c>
    </row>
    <row r="3387" spans="1:24">
      <c r="A3387">
        <f>HYPERLINK("https://www.philgeps.gov.ph/GEPSNONPILOT/Tender/SplashBidNoticeAbstractUI.aspx?menuIndex=3&amp;refID=7079886&amp;Result=3","7079886")</f>
        <v>0</v>
      </c>
      <c r="B3387" t="s">
        <v>743</v>
      </c>
      <c r="C3387" t="s">
        <v>6761</v>
      </c>
      <c r="D3387" t="s">
        <v>18117</v>
      </c>
      <c r="E3387" t="s">
        <v>21255</v>
      </c>
      <c r="F3387" t="s">
        <v>31362</v>
      </c>
      <c r="G3387" t="s">
        <v>31368</v>
      </c>
      <c r="H3387" t="s">
        <v>15799</v>
      </c>
      <c r="I3387" t="s">
        <v>31380</v>
      </c>
      <c r="J3387" t="s">
        <v>33787</v>
      </c>
      <c r="K3387" t="s">
        <v>40670</v>
      </c>
      <c r="M3387" t="s">
        <v>41710</v>
      </c>
      <c r="N3387" t="s">
        <v>44905</v>
      </c>
      <c r="O3387" t="s">
        <v>44906</v>
      </c>
      <c r="P3387">
        <v>0</v>
      </c>
      <c r="Q3387">
        <v>5</v>
      </c>
      <c r="R3387" t="s">
        <v>44908</v>
      </c>
      <c r="S3387" t="s">
        <v>45042</v>
      </c>
      <c r="T3387" t="s">
        <v>46468</v>
      </c>
      <c r="U3387" t="s">
        <v>49715</v>
      </c>
      <c r="W3387" t="s">
        <v>60868</v>
      </c>
      <c r="X3387" t="s">
        <v>44909</v>
      </c>
    </row>
    <row r="3388" spans="1:24">
      <c r="A3388">
        <f>HYPERLINK("https://www.philgeps.gov.ph/GEPSNONPILOT/Tender/SplashBidNoticeAbstractUI.aspx?menuIndex=3&amp;refID=7079889&amp;Result=3","7079889")</f>
        <v>0</v>
      </c>
      <c r="B3388" t="s">
        <v>1276</v>
      </c>
      <c r="C3388" t="s">
        <v>6762</v>
      </c>
      <c r="D3388" t="s">
        <v>18118</v>
      </c>
      <c r="E3388" t="s">
        <v>21256</v>
      </c>
      <c r="F3388" t="s">
        <v>31362</v>
      </c>
      <c r="G3388" t="s">
        <v>31368</v>
      </c>
      <c r="H3388" t="s">
        <v>15799</v>
      </c>
      <c r="I3388" t="s">
        <v>7090</v>
      </c>
      <c r="J3388" t="s">
        <v>31768</v>
      </c>
      <c r="K3388" t="s">
        <v>40697</v>
      </c>
      <c r="M3388" t="s">
        <v>42293</v>
      </c>
      <c r="N3388" t="s">
        <v>44905</v>
      </c>
      <c r="O3388" t="s">
        <v>44906</v>
      </c>
      <c r="P3388">
        <v>0</v>
      </c>
      <c r="Q3388">
        <v>0</v>
      </c>
      <c r="R3388" t="s">
        <v>44908</v>
      </c>
      <c r="S3388" t="s">
        <v>45042</v>
      </c>
      <c r="T3388" t="s">
        <v>46409</v>
      </c>
      <c r="U3388" t="s">
        <v>49716</v>
      </c>
      <c r="W3388" t="s">
        <v>42293</v>
      </c>
      <c r="X3388" t="s">
        <v>44909</v>
      </c>
    </row>
    <row r="3389" spans="1:24">
      <c r="A3389">
        <f>HYPERLINK("https://www.philgeps.gov.ph/GEPSNONPILOT/Tender/SplashBidNoticeAbstractUI.aspx?menuIndex=3&amp;refID=7079884&amp;Result=3","7079884")</f>
        <v>0</v>
      </c>
      <c r="B3389" t="s">
        <v>1063</v>
      </c>
      <c r="C3389" t="s">
        <v>6763</v>
      </c>
      <c r="D3389" t="s">
        <v>18177</v>
      </c>
      <c r="E3389" t="s">
        <v>18777</v>
      </c>
      <c r="F3389" t="s">
        <v>31362</v>
      </c>
      <c r="G3389" t="s">
        <v>31370</v>
      </c>
      <c r="H3389" t="s">
        <v>15799</v>
      </c>
      <c r="I3389" t="s">
        <v>3815</v>
      </c>
      <c r="J3389" t="s">
        <v>33788</v>
      </c>
      <c r="K3389" t="s">
        <v>40693</v>
      </c>
      <c r="M3389" t="s">
        <v>42065</v>
      </c>
      <c r="N3389" t="s">
        <v>44905</v>
      </c>
      <c r="O3389" t="s">
        <v>44906</v>
      </c>
      <c r="P3389">
        <v>0</v>
      </c>
      <c r="Q3389">
        <v>0</v>
      </c>
      <c r="R3389" t="s">
        <v>44908</v>
      </c>
      <c r="S3389" t="s">
        <v>45042</v>
      </c>
      <c r="T3389" t="s">
        <v>46414</v>
      </c>
      <c r="U3389" t="s">
        <v>49717</v>
      </c>
      <c r="W3389" t="s">
        <v>42065</v>
      </c>
      <c r="X3389" t="s">
        <v>44909</v>
      </c>
    </row>
    <row r="3390" spans="1:24">
      <c r="A3390">
        <f>HYPERLINK("https://www.philgeps.gov.ph/GEPSNONPILOT/Tender/SplashBidNoticeAbstractUI.aspx?menuIndex=3&amp;refID=7079866&amp;Result=3","7079866")</f>
        <v>0</v>
      </c>
      <c r="B3390" t="s">
        <v>262</v>
      </c>
      <c r="C3390" t="s">
        <v>6764</v>
      </c>
      <c r="D3390" t="s">
        <v>18127</v>
      </c>
      <c r="E3390" t="s">
        <v>21257</v>
      </c>
      <c r="F3390" t="s">
        <v>31362</v>
      </c>
      <c r="G3390" t="s">
        <v>31368</v>
      </c>
      <c r="H3390" t="s">
        <v>15799</v>
      </c>
      <c r="I3390" t="s">
        <v>31404</v>
      </c>
      <c r="J3390" t="s">
        <v>33789</v>
      </c>
      <c r="K3390" t="s">
        <v>40662</v>
      </c>
      <c r="M3390" t="s">
        <v>42051</v>
      </c>
      <c r="N3390" t="s">
        <v>44905</v>
      </c>
      <c r="O3390" t="s">
        <v>44906</v>
      </c>
      <c r="P3390">
        <v>0</v>
      </c>
      <c r="Q3390">
        <v>0</v>
      </c>
      <c r="R3390" t="s">
        <v>44908</v>
      </c>
      <c r="S3390" t="s">
        <v>45042</v>
      </c>
      <c r="T3390" t="s">
        <v>46454</v>
      </c>
      <c r="U3390" t="s">
        <v>49689</v>
      </c>
      <c r="W3390" t="s">
        <v>42051</v>
      </c>
      <c r="X3390" t="s">
        <v>44909</v>
      </c>
    </row>
    <row r="3391" spans="1:24">
      <c r="A3391">
        <f>HYPERLINK("https://www.philgeps.gov.ph/GEPSNONPILOT/Tender/SplashBidNoticeAbstractUI.aspx?menuIndex=3&amp;refID=7079883&amp;Result=3","7079883")</f>
        <v>0</v>
      </c>
      <c r="B3391" t="s">
        <v>1033</v>
      </c>
      <c r="C3391" t="s">
        <v>6765</v>
      </c>
      <c r="D3391" t="s">
        <v>18162</v>
      </c>
      <c r="E3391" t="s">
        <v>21258</v>
      </c>
      <c r="F3391" t="s">
        <v>31362</v>
      </c>
      <c r="G3391" t="s">
        <v>31369</v>
      </c>
      <c r="H3391" t="s">
        <v>15799</v>
      </c>
      <c r="I3391" t="s">
        <v>31431</v>
      </c>
      <c r="J3391" t="s">
        <v>33790</v>
      </c>
      <c r="K3391" t="s">
        <v>40670</v>
      </c>
      <c r="M3391" t="s">
        <v>42032</v>
      </c>
      <c r="N3391" t="s">
        <v>44905</v>
      </c>
      <c r="O3391" t="s">
        <v>44906</v>
      </c>
      <c r="P3391">
        <v>0</v>
      </c>
      <c r="Q3391">
        <v>0</v>
      </c>
      <c r="R3391" t="s">
        <v>44908</v>
      </c>
      <c r="S3391" t="s">
        <v>45042</v>
      </c>
      <c r="T3391" t="s">
        <v>46430</v>
      </c>
      <c r="U3391" t="s">
        <v>49718</v>
      </c>
      <c r="W3391" t="s">
        <v>42032</v>
      </c>
      <c r="X3391" t="s">
        <v>44909</v>
      </c>
    </row>
    <row r="3392" spans="1:24">
      <c r="A3392">
        <f>HYPERLINK("https://www.philgeps.gov.ph/GEPSNONPILOT/Tender/SplashBidNoticeAbstractUI.aspx?menuIndex=3&amp;refID=7079881&amp;Result=3","7079881")</f>
        <v>0</v>
      </c>
      <c r="B3392" t="s">
        <v>1044</v>
      </c>
      <c r="C3392" t="s">
        <v>6766</v>
      </c>
      <c r="D3392" t="s">
        <v>18100</v>
      </c>
      <c r="E3392" t="s">
        <v>19348</v>
      </c>
      <c r="F3392" t="s">
        <v>31362</v>
      </c>
      <c r="G3392" t="s">
        <v>31368</v>
      </c>
      <c r="H3392" t="s">
        <v>15799</v>
      </c>
      <c r="I3392" t="s">
        <v>31397</v>
      </c>
      <c r="J3392" t="s">
        <v>31890</v>
      </c>
      <c r="K3392" t="s">
        <v>40670</v>
      </c>
      <c r="M3392" t="s">
        <v>42043</v>
      </c>
      <c r="N3392" t="s">
        <v>44905</v>
      </c>
      <c r="O3392" t="s">
        <v>44906</v>
      </c>
      <c r="P3392">
        <v>0</v>
      </c>
      <c r="Q3392">
        <v>1</v>
      </c>
      <c r="R3392" t="s">
        <v>44908</v>
      </c>
      <c r="S3392" t="s">
        <v>45042</v>
      </c>
      <c r="T3392" t="s">
        <v>46647</v>
      </c>
      <c r="U3392" t="s">
        <v>49719</v>
      </c>
      <c r="W3392" t="s">
        <v>42043</v>
      </c>
      <c r="X3392" t="s">
        <v>44909</v>
      </c>
    </row>
    <row r="3393" spans="1:24">
      <c r="A3393">
        <f>HYPERLINK("https://www.philgeps.gov.ph/GEPSNONPILOT/Tender/SplashBidNoticeAbstractUI.aspx?menuIndex=3&amp;refID=7079885&amp;Result=3","7079885")</f>
        <v>0</v>
      </c>
      <c r="B3393" t="s">
        <v>521</v>
      </c>
      <c r="C3393" t="s">
        <v>6767</v>
      </c>
      <c r="D3393" t="s">
        <v>18107</v>
      </c>
      <c r="E3393" t="s">
        <v>21259</v>
      </c>
      <c r="F3393" t="s">
        <v>31362</v>
      </c>
      <c r="G3393" t="s">
        <v>31368</v>
      </c>
      <c r="H3393" t="s">
        <v>15799</v>
      </c>
      <c r="I3393" t="s">
        <v>31380</v>
      </c>
      <c r="J3393" t="s">
        <v>31571</v>
      </c>
      <c r="K3393" t="s">
        <v>40661</v>
      </c>
      <c r="M3393" t="s">
        <v>41477</v>
      </c>
      <c r="N3393" t="s">
        <v>44905</v>
      </c>
      <c r="O3393" t="s">
        <v>44906</v>
      </c>
      <c r="P3393">
        <v>0</v>
      </c>
      <c r="Q3393">
        <v>0</v>
      </c>
      <c r="R3393" t="s">
        <v>44908</v>
      </c>
      <c r="S3393" t="s">
        <v>45042</v>
      </c>
      <c r="T3393" t="s">
        <v>46432</v>
      </c>
      <c r="U3393" t="s">
        <v>49720</v>
      </c>
      <c r="W3393" t="s">
        <v>60857</v>
      </c>
      <c r="X3393" t="s">
        <v>44909</v>
      </c>
    </row>
    <row r="3394" spans="1:24">
      <c r="A3394">
        <f>HYPERLINK("https://www.philgeps.gov.ph/GEPSNONPILOT/Tender/SplashBidNoticeAbstractUI.aspx?menuIndex=3&amp;refID=7079912&amp;Result=3","7079912")</f>
        <v>0</v>
      </c>
      <c r="B3394" t="s">
        <v>1277</v>
      </c>
      <c r="C3394" t="s">
        <v>6768</v>
      </c>
      <c r="D3394" t="s">
        <v>18123</v>
      </c>
      <c r="E3394" t="s">
        <v>21260</v>
      </c>
      <c r="F3394" t="s">
        <v>31362</v>
      </c>
      <c r="G3394" t="s">
        <v>31368</v>
      </c>
      <c r="H3394" t="s">
        <v>15799</v>
      </c>
      <c r="I3394" t="s">
        <v>31409</v>
      </c>
      <c r="J3394" t="s">
        <v>33058</v>
      </c>
      <c r="K3394" t="s">
        <v>40666</v>
      </c>
      <c r="M3394" t="s">
        <v>42294</v>
      </c>
      <c r="N3394" t="s">
        <v>44905</v>
      </c>
      <c r="O3394" t="s">
        <v>44906</v>
      </c>
      <c r="P3394">
        <v>0</v>
      </c>
      <c r="Q3394">
        <v>0</v>
      </c>
      <c r="R3394" t="s">
        <v>44908</v>
      </c>
      <c r="S3394" t="s">
        <v>45042</v>
      </c>
      <c r="T3394" t="s">
        <v>46509</v>
      </c>
      <c r="U3394" t="s">
        <v>49721</v>
      </c>
      <c r="W3394" t="s">
        <v>42294</v>
      </c>
      <c r="X3394" t="s">
        <v>44909</v>
      </c>
    </row>
    <row r="3395" spans="1:24">
      <c r="A3395">
        <f>HYPERLINK("https://www.philgeps.gov.ph/GEPSNONPILOT/Tender/SplashBidNoticeAbstractUI.aspx?menuIndex=3&amp;refID=7079882&amp;Result=3","7079882")</f>
        <v>0</v>
      </c>
      <c r="B3395" t="s">
        <v>1260</v>
      </c>
      <c r="C3395" t="s">
        <v>6769</v>
      </c>
      <c r="D3395" t="s">
        <v>18142</v>
      </c>
      <c r="E3395" t="s">
        <v>21261</v>
      </c>
      <c r="F3395" t="s">
        <v>31362</v>
      </c>
      <c r="G3395" t="s">
        <v>31372</v>
      </c>
      <c r="H3395" t="s">
        <v>15799</v>
      </c>
      <c r="I3395" t="s">
        <v>31409</v>
      </c>
      <c r="J3395" t="s">
        <v>31597</v>
      </c>
      <c r="K3395" t="s">
        <v>40677</v>
      </c>
      <c r="M3395" t="s">
        <v>42276</v>
      </c>
      <c r="N3395" t="s">
        <v>44905</v>
      </c>
      <c r="O3395" t="s">
        <v>44906</v>
      </c>
      <c r="P3395">
        <v>0</v>
      </c>
      <c r="Q3395">
        <v>0</v>
      </c>
      <c r="R3395" t="s">
        <v>44908</v>
      </c>
      <c r="S3395" t="s">
        <v>45042</v>
      </c>
      <c r="T3395" t="s">
        <v>46426</v>
      </c>
      <c r="U3395" t="s">
        <v>49683</v>
      </c>
      <c r="W3395" t="s">
        <v>42276</v>
      </c>
      <c r="X3395" t="s">
        <v>44909</v>
      </c>
    </row>
    <row r="3396" spans="1:24">
      <c r="A3396">
        <f>HYPERLINK("https://www.philgeps.gov.ph/GEPSNONPILOT/Tender/SplashBidNoticeAbstractUI.aspx?menuIndex=3&amp;refID=7079913&amp;Result=3","7079913")</f>
        <v>0</v>
      </c>
      <c r="B3396" t="s">
        <v>1278</v>
      </c>
      <c r="C3396" t="s">
        <v>6770</v>
      </c>
      <c r="D3396" t="s">
        <v>18163</v>
      </c>
      <c r="E3396" t="s">
        <v>21262</v>
      </c>
      <c r="F3396" t="s">
        <v>31362</v>
      </c>
      <c r="G3396" t="s">
        <v>31369</v>
      </c>
      <c r="H3396" t="s">
        <v>31378</v>
      </c>
      <c r="I3396" t="s">
        <v>31427</v>
      </c>
      <c r="J3396" t="s">
        <v>33791</v>
      </c>
      <c r="K3396" t="s">
        <v>40682</v>
      </c>
      <c r="L3396" t="s">
        <v>1278</v>
      </c>
      <c r="M3396" t="s">
        <v>42295</v>
      </c>
      <c r="N3396" t="s">
        <v>44905</v>
      </c>
      <c r="O3396" t="s">
        <v>44906</v>
      </c>
      <c r="P3396">
        <v>0</v>
      </c>
      <c r="Q3396">
        <v>0</v>
      </c>
      <c r="R3396" t="s">
        <v>44908</v>
      </c>
      <c r="S3396" t="s">
        <v>45042</v>
      </c>
      <c r="T3396" t="s">
        <v>46391</v>
      </c>
      <c r="U3396" t="s">
        <v>49722</v>
      </c>
      <c r="W3396" t="s">
        <v>42295</v>
      </c>
      <c r="X3396" t="s">
        <v>44909</v>
      </c>
    </row>
    <row r="3397" spans="1:24">
      <c r="A3397">
        <f>HYPERLINK("https://www.philgeps.gov.ph/GEPSNONPILOT/Tender/SplashBidNoticeAbstractUI.aspx?menuIndex=3&amp;refID=7079840&amp;Result=3","7079840")</f>
        <v>0</v>
      </c>
      <c r="B3397" t="s">
        <v>1167</v>
      </c>
      <c r="C3397" t="s">
        <v>6771</v>
      </c>
      <c r="D3397" t="s">
        <v>18151</v>
      </c>
      <c r="E3397" t="s">
        <v>21263</v>
      </c>
      <c r="F3397" t="s">
        <v>31362</v>
      </c>
      <c r="G3397" t="s">
        <v>31369</v>
      </c>
      <c r="H3397" t="s">
        <v>31378</v>
      </c>
      <c r="I3397" t="s">
        <v>31386</v>
      </c>
      <c r="J3397" t="s">
        <v>33786</v>
      </c>
      <c r="K3397" t="s">
        <v>40686</v>
      </c>
      <c r="M3397" t="s">
        <v>42177</v>
      </c>
      <c r="N3397" t="s">
        <v>44905</v>
      </c>
      <c r="O3397" t="s">
        <v>44906</v>
      </c>
      <c r="P3397">
        <v>0</v>
      </c>
      <c r="Q3397">
        <v>1</v>
      </c>
      <c r="R3397" t="s">
        <v>44908</v>
      </c>
      <c r="S3397" t="s">
        <v>45042</v>
      </c>
      <c r="T3397" t="s">
        <v>46449</v>
      </c>
      <c r="U3397" t="s">
        <v>49459</v>
      </c>
      <c r="W3397" t="s">
        <v>42177</v>
      </c>
      <c r="X3397" t="s">
        <v>44909</v>
      </c>
    </row>
    <row r="3398" spans="1:24">
      <c r="A3398">
        <f>HYPERLINK("https://www.philgeps.gov.ph/GEPSNONPILOT/Tender/SplashBidNoticeAbstractUI.aspx?menuIndex=3&amp;refID=7079838&amp;Result=3","7079838")</f>
        <v>0</v>
      </c>
      <c r="B3398" t="s">
        <v>78</v>
      </c>
      <c r="C3398" t="s">
        <v>6772</v>
      </c>
      <c r="D3398" t="s">
        <v>18108</v>
      </c>
      <c r="E3398" t="s">
        <v>21264</v>
      </c>
      <c r="F3398" t="s">
        <v>31362</v>
      </c>
      <c r="G3398" t="s">
        <v>31371</v>
      </c>
      <c r="H3398" t="s">
        <v>15799</v>
      </c>
      <c r="I3398" t="s">
        <v>6373</v>
      </c>
      <c r="J3398" t="s">
        <v>33792</v>
      </c>
      <c r="K3398" t="s">
        <v>40662</v>
      </c>
      <c r="M3398" t="s">
        <v>42083</v>
      </c>
      <c r="N3398" t="s">
        <v>44905</v>
      </c>
      <c r="O3398" t="s">
        <v>44906</v>
      </c>
      <c r="P3398">
        <v>0</v>
      </c>
      <c r="Q3398">
        <v>4</v>
      </c>
      <c r="R3398" t="s">
        <v>44908</v>
      </c>
      <c r="S3398" t="s">
        <v>45042</v>
      </c>
      <c r="T3398" t="s">
        <v>46432</v>
      </c>
      <c r="U3398" t="s">
        <v>49269</v>
      </c>
      <c r="W3398" t="s">
        <v>42083</v>
      </c>
      <c r="X3398" t="s">
        <v>44909</v>
      </c>
    </row>
    <row r="3399" spans="1:24">
      <c r="A3399">
        <f>HYPERLINK("https://www.philgeps.gov.ph/GEPSNONPILOT/Tender/SplashBidNoticeAbstractUI.aspx?menuIndex=3&amp;refID=7079911&amp;Result=3","7079911")</f>
        <v>0</v>
      </c>
      <c r="B3399" t="s">
        <v>1051</v>
      </c>
      <c r="C3399" t="s">
        <v>6773</v>
      </c>
      <c r="D3399" t="s">
        <v>18116</v>
      </c>
      <c r="E3399" t="s">
        <v>21265</v>
      </c>
      <c r="F3399" t="s">
        <v>31362</v>
      </c>
      <c r="G3399" t="s">
        <v>31368</v>
      </c>
      <c r="H3399" t="s">
        <v>15799</v>
      </c>
      <c r="I3399" t="s">
        <v>7719</v>
      </c>
      <c r="J3399" t="s">
        <v>33793</v>
      </c>
      <c r="K3399" t="s">
        <v>40662</v>
      </c>
      <c r="M3399" t="s">
        <v>42052</v>
      </c>
      <c r="N3399" t="s">
        <v>44905</v>
      </c>
      <c r="O3399" t="s">
        <v>44906</v>
      </c>
      <c r="P3399">
        <v>0</v>
      </c>
      <c r="Q3399">
        <v>10</v>
      </c>
      <c r="R3399" t="s">
        <v>44908</v>
      </c>
      <c r="S3399" t="s">
        <v>45042</v>
      </c>
      <c r="T3399" t="s">
        <v>46498</v>
      </c>
      <c r="U3399" t="s">
        <v>49723</v>
      </c>
      <c r="W3399" t="s">
        <v>42052</v>
      </c>
      <c r="X3399" t="s">
        <v>44909</v>
      </c>
    </row>
    <row r="3400" spans="1:24">
      <c r="A3400">
        <f>HYPERLINK("https://www.philgeps.gov.ph/GEPSNONPILOT/Tender/SplashBidNoticeAbstractUI.aspx?menuIndex=3&amp;refID=7079910&amp;Result=3","7079910")</f>
        <v>0</v>
      </c>
      <c r="B3400" t="s">
        <v>1033</v>
      </c>
      <c r="C3400" t="s">
        <v>6774</v>
      </c>
      <c r="D3400" t="s">
        <v>18162</v>
      </c>
      <c r="E3400" t="s">
        <v>21266</v>
      </c>
      <c r="F3400" t="s">
        <v>31362</v>
      </c>
      <c r="G3400" t="s">
        <v>31369</v>
      </c>
      <c r="H3400" t="s">
        <v>15799</v>
      </c>
      <c r="I3400" t="s">
        <v>31385</v>
      </c>
      <c r="J3400" t="s">
        <v>33794</v>
      </c>
      <c r="K3400" t="s">
        <v>40670</v>
      </c>
      <c r="M3400" t="s">
        <v>42032</v>
      </c>
      <c r="N3400" t="s">
        <v>44905</v>
      </c>
      <c r="O3400" t="s">
        <v>44906</v>
      </c>
      <c r="P3400">
        <v>0</v>
      </c>
      <c r="Q3400">
        <v>0</v>
      </c>
      <c r="R3400" t="s">
        <v>44908</v>
      </c>
      <c r="S3400" t="s">
        <v>45042</v>
      </c>
      <c r="T3400" t="s">
        <v>46430</v>
      </c>
      <c r="U3400" t="s">
        <v>49724</v>
      </c>
      <c r="W3400" t="s">
        <v>42032</v>
      </c>
      <c r="X3400" t="s">
        <v>44909</v>
      </c>
    </row>
    <row r="3401" spans="1:24">
      <c r="A3401">
        <f>HYPERLINK("https://www.philgeps.gov.ph/GEPSNONPILOT/Tender/SplashBidNoticeAbstractUI.aspx?menuIndex=3&amp;refID=7079905&amp;Result=3","7079905")</f>
        <v>0</v>
      </c>
      <c r="B3401" t="s">
        <v>1257</v>
      </c>
      <c r="C3401" t="s">
        <v>6775</v>
      </c>
      <c r="D3401" t="s">
        <v>18108</v>
      </c>
      <c r="E3401" t="s">
        <v>21267</v>
      </c>
      <c r="F3401" t="s">
        <v>31362</v>
      </c>
      <c r="G3401" t="s">
        <v>31369</v>
      </c>
      <c r="H3401" t="s">
        <v>15799</v>
      </c>
      <c r="I3401" t="s">
        <v>7090</v>
      </c>
      <c r="J3401" t="s">
        <v>31578</v>
      </c>
      <c r="K3401" t="s">
        <v>40661</v>
      </c>
      <c r="M3401" t="s">
        <v>42273</v>
      </c>
      <c r="N3401" t="s">
        <v>44905</v>
      </c>
      <c r="O3401" t="s">
        <v>44906</v>
      </c>
      <c r="P3401">
        <v>0</v>
      </c>
      <c r="Q3401">
        <v>3</v>
      </c>
      <c r="R3401" t="s">
        <v>44908</v>
      </c>
      <c r="S3401" t="s">
        <v>45042</v>
      </c>
      <c r="T3401" t="s">
        <v>46506</v>
      </c>
      <c r="U3401" t="s">
        <v>49725</v>
      </c>
      <c r="W3401" t="s">
        <v>42273</v>
      </c>
      <c r="X3401" t="s">
        <v>44909</v>
      </c>
    </row>
    <row r="3402" spans="1:24">
      <c r="A3402">
        <f>HYPERLINK("https://www.philgeps.gov.ph/GEPSNONPILOT/Tender/SplashBidNoticeAbstractUI.aspx?menuIndex=3&amp;refID=7079904&amp;Result=3","7079904")</f>
        <v>0</v>
      </c>
      <c r="B3402" t="s">
        <v>1279</v>
      </c>
      <c r="C3402" t="s">
        <v>6776</v>
      </c>
      <c r="D3402" t="s">
        <v>18108</v>
      </c>
      <c r="E3402" t="s">
        <v>21268</v>
      </c>
      <c r="F3402" t="s">
        <v>31362</v>
      </c>
      <c r="G3402" t="s">
        <v>31368</v>
      </c>
      <c r="H3402" t="s">
        <v>15799</v>
      </c>
      <c r="I3402" t="s">
        <v>31396</v>
      </c>
      <c r="J3402" t="s">
        <v>32519</v>
      </c>
      <c r="K3402" t="s">
        <v>40672</v>
      </c>
      <c r="M3402" t="s">
        <v>42296</v>
      </c>
      <c r="N3402" t="s">
        <v>44905</v>
      </c>
      <c r="O3402" t="s">
        <v>44906</v>
      </c>
      <c r="P3402">
        <v>0</v>
      </c>
      <c r="Q3402">
        <v>2</v>
      </c>
      <c r="R3402" t="s">
        <v>44908</v>
      </c>
      <c r="S3402" t="s">
        <v>45042</v>
      </c>
      <c r="T3402" t="s">
        <v>46414</v>
      </c>
      <c r="U3402" t="s">
        <v>49726</v>
      </c>
      <c r="W3402" t="s">
        <v>42296</v>
      </c>
      <c r="X3402" t="s">
        <v>44909</v>
      </c>
    </row>
    <row r="3403" spans="1:24">
      <c r="A3403">
        <f>HYPERLINK("https://www.philgeps.gov.ph/GEPSNONPILOT/Tender/SplashBidNoticeAbstractUI.aspx?menuIndex=3&amp;refID=7079908&amp;Result=3","7079908")</f>
        <v>0</v>
      </c>
      <c r="B3403" t="s">
        <v>743</v>
      </c>
      <c r="C3403" t="s">
        <v>6777</v>
      </c>
      <c r="D3403" t="s">
        <v>18117</v>
      </c>
      <c r="E3403" t="s">
        <v>21269</v>
      </c>
      <c r="F3403" t="s">
        <v>31362</v>
      </c>
      <c r="G3403" t="s">
        <v>31368</v>
      </c>
      <c r="H3403" t="s">
        <v>15799</v>
      </c>
      <c r="I3403" t="s">
        <v>31430</v>
      </c>
      <c r="J3403" t="s">
        <v>33795</v>
      </c>
      <c r="K3403" t="s">
        <v>40670</v>
      </c>
      <c r="M3403" t="s">
        <v>41710</v>
      </c>
      <c r="N3403" t="s">
        <v>44905</v>
      </c>
      <c r="O3403" t="s">
        <v>44906</v>
      </c>
      <c r="P3403">
        <v>0</v>
      </c>
      <c r="Q3403">
        <v>0</v>
      </c>
      <c r="R3403" t="s">
        <v>44908</v>
      </c>
      <c r="S3403" t="s">
        <v>45042</v>
      </c>
      <c r="T3403" t="s">
        <v>46412</v>
      </c>
      <c r="U3403" t="s">
        <v>49727</v>
      </c>
      <c r="W3403" t="s">
        <v>60868</v>
      </c>
      <c r="X3403" t="s">
        <v>44909</v>
      </c>
    </row>
    <row r="3404" spans="1:24">
      <c r="A3404">
        <f>HYPERLINK("https://www.philgeps.gov.ph/GEPSNONPILOT/Tender/SplashBidNoticeAbstractUI.aspx?menuIndex=3&amp;refID=7079848&amp;Result=3","7079848")</f>
        <v>0</v>
      </c>
      <c r="B3404" t="s">
        <v>1260</v>
      </c>
      <c r="C3404" t="s">
        <v>6778</v>
      </c>
      <c r="D3404" t="s">
        <v>18142</v>
      </c>
      <c r="E3404" t="s">
        <v>21270</v>
      </c>
      <c r="F3404" t="s">
        <v>31362</v>
      </c>
      <c r="G3404" t="s">
        <v>31369</v>
      </c>
      <c r="H3404" t="s">
        <v>15799</v>
      </c>
      <c r="I3404" t="s">
        <v>7090</v>
      </c>
      <c r="J3404" t="s">
        <v>33796</v>
      </c>
      <c r="K3404" t="s">
        <v>40677</v>
      </c>
      <c r="M3404" t="s">
        <v>42276</v>
      </c>
      <c r="N3404" t="s">
        <v>44905</v>
      </c>
      <c r="O3404" t="s">
        <v>44906</v>
      </c>
      <c r="P3404">
        <v>0</v>
      </c>
      <c r="Q3404">
        <v>0</v>
      </c>
      <c r="R3404" t="s">
        <v>44908</v>
      </c>
      <c r="S3404" t="s">
        <v>45042</v>
      </c>
      <c r="T3404" t="s">
        <v>46426</v>
      </c>
      <c r="U3404" t="s">
        <v>49683</v>
      </c>
      <c r="W3404" t="s">
        <v>42276</v>
      </c>
      <c r="X3404" t="s">
        <v>44909</v>
      </c>
    </row>
    <row r="3405" spans="1:24">
      <c r="A3405">
        <f>HYPERLINK("https://www.philgeps.gov.ph/GEPSNONPILOT/Tender/SplashBidNoticeAbstractUI.aspx?menuIndex=3&amp;refID=7079902&amp;Result=3","7079902")</f>
        <v>0</v>
      </c>
      <c r="B3405" t="s">
        <v>1260</v>
      </c>
      <c r="C3405" t="s">
        <v>6779</v>
      </c>
      <c r="D3405" t="s">
        <v>18142</v>
      </c>
      <c r="E3405" t="s">
        <v>21271</v>
      </c>
      <c r="F3405" t="s">
        <v>31362</v>
      </c>
      <c r="G3405" t="s">
        <v>31372</v>
      </c>
      <c r="H3405" t="s">
        <v>15799</v>
      </c>
      <c r="I3405" t="s">
        <v>31393</v>
      </c>
      <c r="J3405" t="s">
        <v>31723</v>
      </c>
      <c r="K3405" t="s">
        <v>40677</v>
      </c>
      <c r="M3405" t="s">
        <v>42276</v>
      </c>
      <c r="N3405" t="s">
        <v>44905</v>
      </c>
      <c r="O3405" t="s">
        <v>44906</v>
      </c>
      <c r="P3405">
        <v>0</v>
      </c>
      <c r="Q3405">
        <v>3</v>
      </c>
      <c r="R3405" t="s">
        <v>44908</v>
      </c>
      <c r="S3405" t="s">
        <v>45042</v>
      </c>
      <c r="T3405" t="s">
        <v>46426</v>
      </c>
      <c r="U3405" t="s">
        <v>49683</v>
      </c>
      <c r="W3405" t="s">
        <v>42276</v>
      </c>
      <c r="X3405" t="s">
        <v>44909</v>
      </c>
    </row>
    <row r="3406" spans="1:24">
      <c r="A3406">
        <f>HYPERLINK("https://www.philgeps.gov.ph/GEPSNONPILOT/Tender/SplashBidNoticeAbstractUI.aspx?menuIndex=3&amp;refID=7079906&amp;Result=3","7079906")</f>
        <v>0</v>
      </c>
      <c r="B3406" t="s">
        <v>1270</v>
      </c>
      <c r="C3406" t="s">
        <v>6780</v>
      </c>
      <c r="D3406" t="s">
        <v>18157</v>
      </c>
      <c r="E3406" t="s">
        <v>21272</v>
      </c>
      <c r="F3406" t="s">
        <v>31362</v>
      </c>
      <c r="G3406" t="s">
        <v>31368</v>
      </c>
      <c r="H3406" t="s">
        <v>15799</v>
      </c>
      <c r="I3406" t="s">
        <v>4057</v>
      </c>
      <c r="J3406" t="s">
        <v>31646</v>
      </c>
      <c r="K3406" t="s">
        <v>40698</v>
      </c>
      <c r="M3406" t="s">
        <v>42287</v>
      </c>
      <c r="N3406" t="s">
        <v>44905</v>
      </c>
      <c r="O3406" t="s">
        <v>44906</v>
      </c>
      <c r="P3406">
        <v>0</v>
      </c>
      <c r="Q3406">
        <v>0</v>
      </c>
      <c r="R3406" t="s">
        <v>44908</v>
      </c>
      <c r="S3406" t="s">
        <v>45042</v>
      </c>
      <c r="T3406" t="s">
        <v>46404</v>
      </c>
      <c r="U3406" t="s">
        <v>49706</v>
      </c>
      <c r="W3406" t="s">
        <v>42287</v>
      </c>
      <c r="X3406" t="s">
        <v>44909</v>
      </c>
    </row>
    <row r="3407" spans="1:24">
      <c r="A3407">
        <f>HYPERLINK("https://www.philgeps.gov.ph/GEPSNONPILOT/Tender/SplashBidNoticeAbstractUI.aspx?menuIndex=3&amp;refID=7079937&amp;Result=3","7079937")</f>
        <v>0</v>
      </c>
      <c r="B3407" t="s">
        <v>1280</v>
      </c>
      <c r="C3407" t="s">
        <v>6781</v>
      </c>
      <c r="D3407" t="s">
        <v>18152</v>
      </c>
      <c r="E3407" t="s">
        <v>21273</v>
      </c>
      <c r="F3407" t="s">
        <v>31362</v>
      </c>
      <c r="G3407" t="s">
        <v>31368</v>
      </c>
      <c r="H3407" t="s">
        <v>15799</v>
      </c>
      <c r="I3407" t="s">
        <v>7090</v>
      </c>
      <c r="J3407" t="s">
        <v>31943</v>
      </c>
      <c r="K3407" t="s">
        <v>40662</v>
      </c>
      <c r="M3407" t="s">
        <v>42297</v>
      </c>
      <c r="N3407" t="s">
        <v>44905</v>
      </c>
      <c r="O3407" t="s">
        <v>44906</v>
      </c>
      <c r="P3407">
        <v>0</v>
      </c>
      <c r="Q3407">
        <v>0</v>
      </c>
      <c r="R3407" t="s">
        <v>44908</v>
      </c>
      <c r="S3407" t="s">
        <v>45042</v>
      </c>
      <c r="T3407" t="s">
        <v>46507</v>
      </c>
      <c r="U3407" t="s">
        <v>49728</v>
      </c>
      <c r="W3407" t="s">
        <v>42297</v>
      </c>
      <c r="X3407" t="s">
        <v>44909</v>
      </c>
    </row>
    <row r="3408" spans="1:24">
      <c r="A3408">
        <f>HYPERLINK("https://www.philgeps.gov.ph/GEPSNONPILOT/Tender/SplashBidNoticeAbstractUI.aspx?menuIndex=3&amp;refID=7079935&amp;Result=3","7079935")</f>
        <v>0</v>
      </c>
      <c r="B3408" t="s">
        <v>1260</v>
      </c>
      <c r="C3408" t="s">
        <v>6782</v>
      </c>
      <c r="D3408" t="s">
        <v>18142</v>
      </c>
      <c r="E3408" t="s">
        <v>21274</v>
      </c>
      <c r="F3408" t="s">
        <v>31362</v>
      </c>
      <c r="G3408" t="s">
        <v>31369</v>
      </c>
      <c r="H3408" t="s">
        <v>15799</v>
      </c>
      <c r="I3408" t="s">
        <v>7090</v>
      </c>
      <c r="J3408" t="s">
        <v>33797</v>
      </c>
      <c r="K3408" t="s">
        <v>40665</v>
      </c>
      <c r="M3408" t="s">
        <v>42276</v>
      </c>
      <c r="N3408" t="s">
        <v>44905</v>
      </c>
      <c r="O3408" t="s">
        <v>44906</v>
      </c>
      <c r="P3408">
        <v>0</v>
      </c>
      <c r="Q3408">
        <v>1</v>
      </c>
      <c r="R3408" t="s">
        <v>44908</v>
      </c>
      <c r="S3408" t="s">
        <v>45042</v>
      </c>
      <c r="T3408" t="s">
        <v>46401</v>
      </c>
      <c r="U3408" t="s">
        <v>49729</v>
      </c>
      <c r="W3408" t="s">
        <v>42276</v>
      </c>
      <c r="X3408" t="s">
        <v>44909</v>
      </c>
    </row>
    <row r="3409" spans="1:24">
      <c r="A3409">
        <f>HYPERLINK("https://www.philgeps.gov.ph/GEPSNONPILOT/Tender/SplashBidNoticeAbstractUI.aspx?menuIndex=3&amp;refID=7079909&amp;Result=3","7079909")</f>
        <v>0</v>
      </c>
      <c r="B3409" t="s">
        <v>1260</v>
      </c>
      <c r="C3409" t="s">
        <v>6783</v>
      </c>
      <c r="D3409" t="s">
        <v>18142</v>
      </c>
      <c r="E3409" t="s">
        <v>21275</v>
      </c>
      <c r="F3409" t="s">
        <v>31362</v>
      </c>
      <c r="G3409" t="s">
        <v>31372</v>
      </c>
      <c r="H3409" t="s">
        <v>15799</v>
      </c>
      <c r="I3409" t="s">
        <v>31393</v>
      </c>
      <c r="J3409" t="s">
        <v>31997</v>
      </c>
      <c r="K3409" t="s">
        <v>40677</v>
      </c>
      <c r="M3409" t="s">
        <v>42276</v>
      </c>
      <c r="N3409" t="s">
        <v>44905</v>
      </c>
      <c r="O3409" t="s">
        <v>44906</v>
      </c>
      <c r="P3409">
        <v>0</v>
      </c>
      <c r="Q3409">
        <v>2</v>
      </c>
      <c r="R3409" t="s">
        <v>44908</v>
      </c>
      <c r="S3409" t="s">
        <v>45042</v>
      </c>
      <c r="T3409" t="s">
        <v>46426</v>
      </c>
      <c r="U3409" t="s">
        <v>49683</v>
      </c>
      <c r="W3409" t="s">
        <v>42276</v>
      </c>
      <c r="X3409" t="s">
        <v>44909</v>
      </c>
    </row>
    <row r="3410" spans="1:24">
      <c r="A3410">
        <f>HYPERLINK("https://www.philgeps.gov.ph/GEPSNONPILOT/Tender/SplashBidNoticeAbstractUI.aspx?menuIndex=3&amp;refID=7079934&amp;Result=3","7079934")</f>
        <v>0</v>
      </c>
      <c r="B3410" t="s">
        <v>1033</v>
      </c>
      <c r="C3410" t="s">
        <v>6784</v>
      </c>
      <c r="D3410" t="s">
        <v>18162</v>
      </c>
      <c r="E3410" t="s">
        <v>21276</v>
      </c>
      <c r="F3410" t="s">
        <v>31362</v>
      </c>
      <c r="G3410" t="s">
        <v>31369</v>
      </c>
      <c r="H3410" t="s">
        <v>15799</v>
      </c>
      <c r="I3410" t="s">
        <v>7188</v>
      </c>
      <c r="J3410" t="s">
        <v>33798</v>
      </c>
      <c r="K3410" t="s">
        <v>40670</v>
      </c>
      <c r="M3410" t="s">
        <v>42032</v>
      </c>
      <c r="N3410" t="s">
        <v>44905</v>
      </c>
      <c r="O3410" t="s">
        <v>44906</v>
      </c>
      <c r="P3410">
        <v>0</v>
      </c>
      <c r="Q3410">
        <v>1</v>
      </c>
      <c r="R3410" t="s">
        <v>44908</v>
      </c>
      <c r="S3410" t="s">
        <v>45042</v>
      </c>
      <c r="T3410" t="s">
        <v>46430</v>
      </c>
      <c r="U3410" t="s">
        <v>49730</v>
      </c>
      <c r="W3410" t="s">
        <v>42032</v>
      </c>
      <c r="X3410" t="s">
        <v>44909</v>
      </c>
    </row>
    <row r="3411" spans="1:24">
      <c r="A3411">
        <f>HYPERLINK("https://www.philgeps.gov.ph/GEPSNONPILOT/Tender/SplashBidNoticeAbstractUI.aspx?menuIndex=3&amp;refID=7079916&amp;Result=3","7079916")</f>
        <v>0</v>
      </c>
      <c r="B3411" t="s">
        <v>262</v>
      </c>
      <c r="C3411" t="s">
        <v>6785</v>
      </c>
      <c r="D3411" t="s">
        <v>18127</v>
      </c>
      <c r="E3411" t="s">
        <v>21257</v>
      </c>
      <c r="F3411" t="s">
        <v>31362</v>
      </c>
      <c r="G3411" t="s">
        <v>31368</v>
      </c>
      <c r="H3411" t="s">
        <v>15799</v>
      </c>
      <c r="I3411" t="s">
        <v>6155</v>
      </c>
      <c r="J3411" t="s">
        <v>33272</v>
      </c>
      <c r="K3411" t="s">
        <v>40662</v>
      </c>
      <c r="M3411" t="s">
        <v>42051</v>
      </c>
      <c r="N3411" t="s">
        <v>44905</v>
      </c>
      <c r="O3411" t="s">
        <v>44906</v>
      </c>
      <c r="P3411">
        <v>0</v>
      </c>
      <c r="Q3411">
        <v>10</v>
      </c>
      <c r="R3411" t="s">
        <v>44908</v>
      </c>
      <c r="S3411" t="s">
        <v>45042</v>
      </c>
      <c r="T3411" t="s">
        <v>46454</v>
      </c>
      <c r="U3411" t="s">
        <v>49689</v>
      </c>
      <c r="W3411" t="s">
        <v>42051</v>
      </c>
      <c r="X3411" t="s">
        <v>44909</v>
      </c>
    </row>
    <row r="3412" spans="1:24">
      <c r="A3412">
        <f>HYPERLINK("https://www.philgeps.gov.ph/GEPSNONPILOT/Tender/SplashBidNoticeAbstractUI.aspx?menuIndex=3&amp;refID=7079936&amp;Result=3","7079936")</f>
        <v>0</v>
      </c>
      <c r="B3412" t="s">
        <v>1281</v>
      </c>
      <c r="C3412" t="s">
        <v>6786</v>
      </c>
      <c r="D3412" t="s">
        <v>18156</v>
      </c>
      <c r="E3412" t="s">
        <v>21277</v>
      </c>
      <c r="F3412" t="s">
        <v>31362</v>
      </c>
      <c r="G3412" t="s">
        <v>31369</v>
      </c>
      <c r="H3412" t="s">
        <v>15799</v>
      </c>
      <c r="I3412" t="s">
        <v>31409</v>
      </c>
      <c r="J3412" t="s">
        <v>31625</v>
      </c>
      <c r="K3412" t="s">
        <v>40666</v>
      </c>
      <c r="M3412" t="s">
        <v>42298</v>
      </c>
      <c r="N3412" t="s">
        <v>44905</v>
      </c>
      <c r="O3412" t="s">
        <v>44906</v>
      </c>
      <c r="P3412">
        <v>0</v>
      </c>
      <c r="Q3412">
        <v>1</v>
      </c>
      <c r="R3412" t="s">
        <v>44908</v>
      </c>
      <c r="S3412" t="s">
        <v>45042</v>
      </c>
      <c r="T3412" t="s">
        <v>46395</v>
      </c>
      <c r="U3412" t="s">
        <v>49731</v>
      </c>
      <c r="W3412" t="s">
        <v>42298</v>
      </c>
      <c r="X3412" t="s">
        <v>44909</v>
      </c>
    </row>
    <row r="3413" spans="1:24">
      <c r="A3413">
        <f>HYPERLINK("https://www.philgeps.gov.ph/GEPSNONPILOT/Tender/SplashBidNoticeAbstractUI.aspx?menuIndex=3&amp;refID=7079930&amp;Result=3","7079930")</f>
        <v>0</v>
      </c>
      <c r="B3413" t="s">
        <v>1282</v>
      </c>
      <c r="C3413" t="s">
        <v>6787</v>
      </c>
      <c r="D3413" t="s">
        <v>18112</v>
      </c>
      <c r="E3413" t="s">
        <v>21278</v>
      </c>
      <c r="F3413" t="s">
        <v>31363</v>
      </c>
      <c r="G3413" t="s">
        <v>31369</v>
      </c>
      <c r="H3413" t="s">
        <v>15799</v>
      </c>
      <c r="I3413" t="s">
        <v>31491</v>
      </c>
      <c r="J3413" t="s">
        <v>33799</v>
      </c>
      <c r="K3413" t="s">
        <v>40670</v>
      </c>
      <c r="M3413" t="s">
        <v>42299</v>
      </c>
      <c r="N3413" t="s">
        <v>44905</v>
      </c>
      <c r="O3413" t="s">
        <v>44906</v>
      </c>
      <c r="P3413">
        <v>0</v>
      </c>
      <c r="Q3413">
        <v>2</v>
      </c>
      <c r="R3413" t="s">
        <v>44908</v>
      </c>
      <c r="S3413" t="s">
        <v>45042</v>
      </c>
      <c r="T3413" t="s">
        <v>46401</v>
      </c>
      <c r="U3413" t="s">
        <v>49732</v>
      </c>
      <c r="W3413" t="s">
        <v>42299</v>
      </c>
      <c r="X3413" t="s">
        <v>44909</v>
      </c>
    </row>
    <row r="3414" spans="1:24">
      <c r="A3414">
        <f>HYPERLINK("https://www.philgeps.gov.ph/GEPSNONPILOT/Tender/SplashBidNoticeAbstractUI.aspx?menuIndex=3&amp;refID=7079926&amp;Result=3","7079926")</f>
        <v>0</v>
      </c>
      <c r="B3414" t="s">
        <v>1033</v>
      </c>
      <c r="C3414" t="s">
        <v>6788</v>
      </c>
      <c r="D3414" t="s">
        <v>18162</v>
      </c>
      <c r="E3414" t="s">
        <v>21279</v>
      </c>
      <c r="F3414" t="s">
        <v>31362</v>
      </c>
      <c r="G3414" t="s">
        <v>31369</v>
      </c>
      <c r="H3414" t="s">
        <v>15799</v>
      </c>
      <c r="I3414" t="s">
        <v>7188</v>
      </c>
      <c r="J3414" t="s">
        <v>32143</v>
      </c>
      <c r="K3414" t="s">
        <v>40670</v>
      </c>
      <c r="M3414" t="s">
        <v>42032</v>
      </c>
      <c r="N3414" t="s">
        <v>44905</v>
      </c>
      <c r="O3414" t="s">
        <v>44906</v>
      </c>
      <c r="P3414">
        <v>0</v>
      </c>
      <c r="Q3414">
        <v>0</v>
      </c>
      <c r="R3414" t="s">
        <v>44908</v>
      </c>
      <c r="S3414" t="s">
        <v>45042</v>
      </c>
      <c r="T3414" t="s">
        <v>46430</v>
      </c>
      <c r="U3414" t="s">
        <v>49733</v>
      </c>
      <c r="W3414" t="s">
        <v>42032</v>
      </c>
      <c r="X3414" t="s">
        <v>44909</v>
      </c>
    </row>
    <row r="3415" spans="1:24">
      <c r="A3415">
        <f>HYPERLINK("https://www.philgeps.gov.ph/GEPSNONPILOT/Tender/SplashBidNoticeAbstractUI.aspx?menuIndex=3&amp;refID=7079933&amp;Result=3","7079933")</f>
        <v>0</v>
      </c>
      <c r="B3415" t="s">
        <v>1283</v>
      </c>
      <c r="C3415" t="s">
        <v>6789</v>
      </c>
      <c r="D3415" t="s">
        <v>18122</v>
      </c>
      <c r="E3415" t="s">
        <v>18648</v>
      </c>
      <c r="F3415" t="s">
        <v>31362</v>
      </c>
      <c r="G3415" t="s">
        <v>31369</v>
      </c>
      <c r="H3415" t="s">
        <v>15799</v>
      </c>
      <c r="I3415" t="s">
        <v>3815</v>
      </c>
      <c r="J3415" t="s">
        <v>33800</v>
      </c>
      <c r="K3415" t="s">
        <v>40666</v>
      </c>
      <c r="M3415" t="s">
        <v>42300</v>
      </c>
      <c r="N3415" t="s">
        <v>44905</v>
      </c>
      <c r="O3415" t="s">
        <v>44906</v>
      </c>
      <c r="P3415">
        <v>0</v>
      </c>
      <c r="Q3415">
        <v>0</v>
      </c>
      <c r="R3415" t="s">
        <v>44908</v>
      </c>
      <c r="S3415" t="s">
        <v>45042</v>
      </c>
      <c r="T3415" t="s">
        <v>46506</v>
      </c>
      <c r="U3415" t="s">
        <v>49734</v>
      </c>
      <c r="W3415" t="s">
        <v>42300</v>
      </c>
      <c r="X3415" t="s">
        <v>44909</v>
      </c>
    </row>
    <row r="3416" spans="1:24">
      <c r="A3416">
        <f>HYPERLINK("https://www.philgeps.gov.ph/GEPSNONPILOT/Tender/SplashBidNoticeAbstractUI.aspx?menuIndex=3&amp;refID=7079925&amp;Result=3","7079925")</f>
        <v>0</v>
      </c>
      <c r="B3416" t="s">
        <v>1270</v>
      </c>
      <c r="C3416" t="s">
        <v>6790</v>
      </c>
      <c r="D3416" t="s">
        <v>18157</v>
      </c>
      <c r="E3416" t="s">
        <v>21280</v>
      </c>
      <c r="F3416" t="s">
        <v>31362</v>
      </c>
      <c r="G3416" t="s">
        <v>31368</v>
      </c>
      <c r="H3416" t="s">
        <v>15799</v>
      </c>
      <c r="I3416" t="s">
        <v>4057</v>
      </c>
      <c r="J3416" t="s">
        <v>33801</v>
      </c>
      <c r="K3416" t="s">
        <v>40698</v>
      </c>
      <c r="M3416" t="s">
        <v>42287</v>
      </c>
      <c r="N3416" t="s">
        <v>44905</v>
      </c>
      <c r="O3416" t="s">
        <v>44906</v>
      </c>
      <c r="P3416">
        <v>0</v>
      </c>
      <c r="Q3416">
        <v>0</v>
      </c>
      <c r="R3416" t="s">
        <v>44908</v>
      </c>
      <c r="S3416" t="s">
        <v>45042</v>
      </c>
      <c r="T3416" t="s">
        <v>46404</v>
      </c>
      <c r="U3416" t="s">
        <v>49706</v>
      </c>
      <c r="W3416" t="s">
        <v>42287</v>
      </c>
      <c r="X3416" t="s">
        <v>44909</v>
      </c>
    </row>
    <row r="3417" spans="1:24">
      <c r="A3417">
        <f>HYPERLINK("https://www.philgeps.gov.ph/GEPSNONPILOT/Tender/SplashBidNoticeAbstractUI.aspx?menuIndex=3&amp;refID=7079924&amp;Result=3","7079924")</f>
        <v>0</v>
      </c>
      <c r="B3417" t="s">
        <v>1257</v>
      </c>
      <c r="C3417" t="s">
        <v>6791</v>
      </c>
      <c r="D3417" t="s">
        <v>18108</v>
      </c>
      <c r="E3417" t="s">
        <v>21281</v>
      </c>
      <c r="F3417" t="s">
        <v>31362</v>
      </c>
      <c r="G3417" t="s">
        <v>31369</v>
      </c>
      <c r="H3417" t="s">
        <v>15799</v>
      </c>
      <c r="I3417" t="s">
        <v>7090</v>
      </c>
      <c r="J3417" t="s">
        <v>33802</v>
      </c>
      <c r="K3417" t="s">
        <v>40661</v>
      </c>
      <c r="M3417" t="s">
        <v>42273</v>
      </c>
      <c r="N3417" t="s">
        <v>44905</v>
      </c>
      <c r="O3417" t="s">
        <v>44906</v>
      </c>
      <c r="P3417">
        <v>0</v>
      </c>
      <c r="Q3417">
        <v>2</v>
      </c>
      <c r="R3417" t="s">
        <v>44908</v>
      </c>
      <c r="S3417" t="s">
        <v>45042</v>
      </c>
      <c r="T3417" t="s">
        <v>46506</v>
      </c>
      <c r="U3417" t="s">
        <v>49735</v>
      </c>
      <c r="W3417" t="s">
        <v>42273</v>
      </c>
      <c r="X3417" t="s">
        <v>44909</v>
      </c>
    </row>
    <row r="3418" spans="1:24">
      <c r="A3418">
        <f>HYPERLINK("https://www.philgeps.gov.ph/GEPSNONPILOT/Tender/SplashBidNoticeAbstractUI.aspx?menuIndex=3&amp;refID=7079922&amp;Result=3","7079922")</f>
        <v>0</v>
      </c>
      <c r="B3418" t="s">
        <v>94</v>
      </c>
      <c r="C3418" t="s">
        <v>6792</v>
      </c>
      <c r="D3418" t="s">
        <v>18116</v>
      </c>
      <c r="E3418" t="s">
        <v>21282</v>
      </c>
      <c r="F3418" t="s">
        <v>31362</v>
      </c>
      <c r="G3418" t="s">
        <v>31368</v>
      </c>
      <c r="H3418" t="s">
        <v>15799</v>
      </c>
      <c r="I3418" t="s">
        <v>31393</v>
      </c>
      <c r="J3418" t="s">
        <v>33803</v>
      </c>
      <c r="K3418" t="s">
        <v>40665</v>
      </c>
      <c r="M3418" t="s">
        <v>41031</v>
      </c>
      <c r="N3418" t="s">
        <v>44905</v>
      </c>
      <c r="O3418" t="s">
        <v>44906</v>
      </c>
      <c r="P3418">
        <v>0</v>
      </c>
      <c r="Q3418">
        <v>9</v>
      </c>
      <c r="R3418" t="s">
        <v>44908</v>
      </c>
      <c r="S3418" t="s">
        <v>45042</v>
      </c>
      <c r="T3418" t="s">
        <v>46454</v>
      </c>
      <c r="U3418" t="s">
        <v>49736</v>
      </c>
      <c r="W3418" t="s">
        <v>41031</v>
      </c>
      <c r="X3418" t="s">
        <v>44909</v>
      </c>
    </row>
    <row r="3419" spans="1:24">
      <c r="A3419">
        <f>HYPERLINK("https://www.philgeps.gov.ph/GEPSNONPILOT/Tender/SplashBidNoticeAbstractUI.aspx?menuIndex=3&amp;refID=7079919&amp;Result=3","7079919")</f>
        <v>0</v>
      </c>
      <c r="B3419" t="s">
        <v>1033</v>
      </c>
      <c r="C3419" t="s">
        <v>6793</v>
      </c>
      <c r="D3419" t="s">
        <v>18162</v>
      </c>
      <c r="E3419" t="s">
        <v>21283</v>
      </c>
      <c r="F3419" t="s">
        <v>31362</v>
      </c>
      <c r="G3419" t="s">
        <v>31369</v>
      </c>
      <c r="H3419" t="s">
        <v>15799</v>
      </c>
      <c r="I3419" t="s">
        <v>7188</v>
      </c>
      <c r="J3419" t="s">
        <v>31545</v>
      </c>
      <c r="K3419" t="s">
        <v>40670</v>
      </c>
      <c r="M3419" t="s">
        <v>42032</v>
      </c>
      <c r="N3419" t="s">
        <v>44905</v>
      </c>
      <c r="O3419" t="s">
        <v>44906</v>
      </c>
      <c r="P3419">
        <v>0</v>
      </c>
      <c r="Q3419">
        <v>0</v>
      </c>
      <c r="R3419" t="s">
        <v>44908</v>
      </c>
      <c r="S3419" t="s">
        <v>45042</v>
      </c>
      <c r="T3419" t="s">
        <v>46430</v>
      </c>
      <c r="U3419" t="s">
        <v>49737</v>
      </c>
      <c r="W3419" t="s">
        <v>42032</v>
      </c>
      <c r="X3419" t="s">
        <v>44909</v>
      </c>
    </row>
    <row r="3420" spans="1:24">
      <c r="A3420">
        <f>HYPERLINK("https://www.philgeps.gov.ph/GEPSNONPILOT/Tender/SplashBidNoticeAbstractUI.aspx?menuIndex=3&amp;refID=7079903&amp;Result=3","7079903")</f>
        <v>0</v>
      </c>
      <c r="B3420" t="s">
        <v>1284</v>
      </c>
      <c r="C3420" t="s">
        <v>6794</v>
      </c>
      <c r="D3420" t="s">
        <v>18110</v>
      </c>
      <c r="E3420" t="s">
        <v>21284</v>
      </c>
      <c r="F3420" t="s">
        <v>31362</v>
      </c>
      <c r="G3420" t="s">
        <v>31369</v>
      </c>
      <c r="H3420" t="s">
        <v>31378</v>
      </c>
      <c r="I3420" t="s">
        <v>31386</v>
      </c>
      <c r="J3420" t="s">
        <v>33482</v>
      </c>
      <c r="K3420" t="s">
        <v>40662</v>
      </c>
      <c r="M3420" t="s">
        <v>42301</v>
      </c>
      <c r="N3420" t="s">
        <v>44905</v>
      </c>
      <c r="O3420" t="s">
        <v>44906</v>
      </c>
      <c r="P3420">
        <v>0</v>
      </c>
      <c r="Q3420">
        <v>0</v>
      </c>
      <c r="R3420" t="s">
        <v>44908</v>
      </c>
      <c r="S3420" t="s">
        <v>45042</v>
      </c>
      <c r="T3420" t="s">
        <v>46429</v>
      </c>
      <c r="U3420" t="s">
        <v>49738</v>
      </c>
      <c r="W3420" t="s">
        <v>42301</v>
      </c>
      <c r="X3420" t="s">
        <v>44909</v>
      </c>
    </row>
    <row r="3421" spans="1:24">
      <c r="A3421">
        <f>HYPERLINK("https://www.philgeps.gov.ph/GEPSNONPILOT/Tender/SplashBidNoticeAbstractUI.aspx?menuIndex=3&amp;refID=7079918&amp;Result=3","7079918")</f>
        <v>0</v>
      </c>
      <c r="B3421" t="s">
        <v>355</v>
      </c>
      <c r="C3421" t="s">
        <v>6795</v>
      </c>
      <c r="D3421" t="s">
        <v>18134</v>
      </c>
      <c r="E3421" t="s">
        <v>21285</v>
      </c>
      <c r="F3421" t="s">
        <v>31362</v>
      </c>
      <c r="G3421" t="s">
        <v>31368</v>
      </c>
      <c r="H3421" t="s">
        <v>15799</v>
      </c>
      <c r="I3421" t="s">
        <v>31393</v>
      </c>
      <c r="J3421" t="s">
        <v>32032</v>
      </c>
      <c r="K3421" t="s">
        <v>40670</v>
      </c>
      <c r="M3421" t="s">
        <v>41302</v>
      </c>
      <c r="N3421" t="s">
        <v>44905</v>
      </c>
      <c r="O3421" t="s">
        <v>44906</v>
      </c>
      <c r="P3421">
        <v>0</v>
      </c>
      <c r="Q3421">
        <v>3</v>
      </c>
      <c r="R3421" t="s">
        <v>44908</v>
      </c>
      <c r="S3421" t="s">
        <v>45042</v>
      </c>
      <c r="T3421" t="s">
        <v>46409</v>
      </c>
      <c r="U3421" t="s">
        <v>47529</v>
      </c>
      <c r="W3421" t="s">
        <v>41302</v>
      </c>
      <c r="X3421" t="s">
        <v>44909</v>
      </c>
    </row>
    <row r="3422" spans="1:24">
      <c r="A3422">
        <f>HYPERLINK("https://www.philgeps.gov.ph/GEPSNONPILOT/Tender/SplashBidNoticeAbstractUI.aspx?menuIndex=3&amp;refID=7079915&amp;Result=3","7079915")</f>
        <v>0</v>
      </c>
      <c r="B3422" t="s">
        <v>1063</v>
      </c>
      <c r="C3422" t="s">
        <v>6796</v>
      </c>
      <c r="D3422" t="s">
        <v>18177</v>
      </c>
      <c r="E3422" t="s">
        <v>18744</v>
      </c>
      <c r="F3422" t="s">
        <v>31362</v>
      </c>
      <c r="G3422" t="s">
        <v>31370</v>
      </c>
      <c r="H3422" t="s">
        <v>15799</v>
      </c>
      <c r="I3422" t="s">
        <v>3815</v>
      </c>
      <c r="J3422" t="s">
        <v>33804</v>
      </c>
      <c r="K3422" t="s">
        <v>40693</v>
      </c>
      <c r="M3422" t="s">
        <v>42065</v>
      </c>
      <c r="N3422" t="s">
        <v>44905</v>
      </c>
      <c r="O3422" t="s">
        <v>44906</v>
      </c>
      <c r="P3422">
        <v>0</v>
      </c>
      <c r="Q3422">
        <v>0</v>
      </c>
      <c r="R3422" t="s">
        <v>44908</v>
      </c>
      <c r="S3422" t="s">
        <v>45042</v>
      </c>
      <c r="T3422" t="s">
        <v>46414</v>
      </c>
      <c r="U3422" t="s">
        <v>49739</v>
      </c>
      <c r="W3422" t="s">
        <v>42065</v>
      </c>
      <c r="X3422" t="s">
        <v>44909</v>
      </c>
    </row>
    <row r="3423" spans="1:24">
      <c r="A3423">
        <f>HYPERLINK("https://www.philgeps.gov.ph/GEPSNONPILOT/Tender/SplashBidNoticeAbstractUI.aspx?menuIndex=3&amp;refID=7079923&amp;Result=3","7079923")</f>
        <v>0</v>
      </c>
      <c r="B3423" t="s">
        <v>1285</v>
      </c>
      <c r="C3423" t="s">
        <v>4462</v>
      </c>
      <c r="D3423" t="s">
        <v>18111</v>
      </c>
      <c r="E3423" t="s">
        <v>21286</v>
      </c>
      <c r="F3423" t="s">
        <v>31362</v>
      </c>
      <c r="G3423" t="s">
        <v>31370</v>
      </c>
      <c r="H3423" t="s">
        <v>15799</v>
      </c>
      <c r="I3423" t="s">
        <v>6373</v>
      </c>
      <c r="J3423" t="s">
        <v>32443</v>
      </c>
      <c r="K3423" t="s">
        <v>40670</v>
      </c>
      <c r="M3423" t="s">
        <v>42302</v>
      </c>
      <c r="N3423" t="s">
        <v>44905</v>
      </c>
      <c r="O3423" t="s">
        <v>44906</v>
      </c>
      <c r="P3423">
        <v>0</v>
      </c>
      <c r="Q3423">
        <v>3</v>
      </c>
      <c r="R3423" t="s">
        <v>44908</v>
      </c>
      <c r="S3423" t="s">
        <v>45042</v>
      </c>
      <c r="T3423" t="s">
        <v>46443</v>
      </c>
      <c r="U3423" t="s">
        <v>47761</v>
      </c>
      <c r="W3423" t="s">
        <v>42302</v>
      </c>
      <c r="X3423" t="s">
        <v>44909</v>
      </c>
    </row>
    <row r="3424" spans="1:24">
      <c r="A3424">
        <f>HYPERLINK("https://www.philgeps.gov.ph/GEPSNONPILOT/Tender/SplashBidNoticeAbstractUI.aspx?menuIndex=3&amp;refID=7079914&amp;Result=3","7079914")</f>
        <v>0</v>
      </c>
      <c r="B3424" t="s">
        <v>1286</v>
      </c>
      <c r="C3424" t="s">
        <v>6797</v>
      </c>
      <c r="D3424" t="s">
        <v>18108</v>
      </c>
      <c r="E3424" t="s">
        <v>11036</v>
      </c>
      <c r="F3424" t="s">
        <v>31362</v>
      </c>
      <c r="G3424" t="s">
        <v>31369</v>
      </c>
      <c r="H3424" t="s">
        <v>15799</v>
      </c>
      <c r="I3424" t="s">
        <v>7090</v>
      </c>
      <c r="J3424" t="s">
        <v>31687</v>
      </c>
      <c r="K3424" t="s">
        <v>40661</v>
      </c>
      <c r="M3424" t="s">
        <v>42303</v>
      </c>
      <c r="N3424" t="s">
        <v>44905</v>
      </c>
      <c r="O3424" t="s">
        <v>44906</v>
      </c>
      <c r="P3424">
        <v>0</v>
      </c>
      <c r="Q3424">
        <v>1</v>
      </c>
      <c r="R3424" t="s">
        <v>44908</v>
      </c>
      <c r="S3424" t="s">
        <v>45042</v>
      </c>
      <c r="T3424" t="s">
        <v>46408</v>
      </c>
      <c r="U3424" t="s">
        <v>49740</v>
      </c>
      <c r="V3424" t="s">
        <v>59410</v>
      </c>
      <c r="W3424" t="s">
        <v>42303</v>
      </c>
      <c r="X3424" t="s">
        <v>44909</v>
      </c>
    </row>
    <row r="3425" spans="1:24">
      <c r="A3425">
        <f>HYPERLINK("https://www.philgeps.gov.ph/GEPSNONPILOT/Tender/SplashBidNoticeAbstractUI.aspx?menuIndex=3&amp;refID=7079901&amp;Result=3","7079901")</f>
        <v>0</v>
      </c>
      <c r="B3425" t="s">
        <v>1287</v>
      </c>
      <c r="C3425" t="s">
        <v>6798</v>
      </c>
      <c r="D3425" t="s">
        <v>18152</v>
      </c>
      <c r="E3425" t="s">
        <v>18648</v>
      </c>
      <c r="F3425" t="s">
        <v>31362</v>
      </c>
      <c r="G3425" t="s">
        <v>31369</v>
      </c>
      <c r="H3425" t="s">
        <v>15799</v>
      </c>
      <c r="I3425" t="s">
        <v>3815</v>
      </c>
      <c r="J3425" t="s">
        <v>33805</v>
      </c>
      <c r="K3425" t="s">
        <v>40665</v>
      </c>
      <c r="M3425" t="s">
        <v>42304</v>
      </c>
      <c r="N3425" t="s">
        <v>44905</v>
      </c>
      <c r="O3425" t="s">
        <v>44906</v>
      </c>
      <c r="P3425">
        <v>0</v>
      </c>
      <c r="Q3425">
        <v>0</v>
      </c>
      <c r="R3425" t="s">
        <v>44908</v>
      </c>
      <c r="S3425" t="s">
        <v>45042</v>
      </c>
      <c r="T3425" t="s">
        <v>46392</v>
      </c>
      <c r="U3425" t="s">
        <v>49741</v>
      </c>
      <c r="W3425" t="s">
        <v>42304</v>
      </c>
      <c r="X3425" t="s">
        <v>44909</v>
      </c>
    </row>
    <row r="3426" spans="1:24">
      <c r="A3426">
        <f>HYPERLINK("https://www.philgeps.gov.ph/GEPSNONPILOT/Tender/SplashBidNoticeAbstractUI.aspx?menuIndex=3&amp;refID=7079920&amp;Result=3","7079920")</f>
        <v>0</v>
      </c>
      <c r="B3426" t="s">
        <v>1260</v>
      </c>
      <c r="C3426" t="s">
        <v>6799</v>
      </c>
      <c r="D3426" t="s">
        <v>18142</v>
      </c>
      <c r="E3426" t="s">
        <v>21287</v>
      </c>
      <c r="F3426" t="s">
        <v>31362</v>
      </c>
      <c r="G3426" t="s">
        <v>31372</v>
      </c>
      <c r="H3426" t="s">
        <v>15799</v>
      </c>
      <c r="I3426" t="s">
        <v>31410</v>
      </c>
      <c r="J3426" t="s">
        <v>33806</v>
      </c>
      <c r="K3426" t="s">
        <v>40677</v>
      </c>
      <c r="M3426" t="s">
        <v>42276</v>
      </c>
      <c r="N3426" t="s">
        <v>44905</v>
      </c>
      <c r="O3426" t="s">
        <v>44906</v>
      </c>
      <c r="P3426">
        <v>0</v>
      </c>
      <c r="Q3426">
        <v>0</v>
      </c>
      <c r="R3426" t="s">
        <v>44908</v>
      </c>
      <c r="S3426" t="s">
        <v>45042</v>
      </c>
      <c r="T3426" t="s">
        <v>46426</v>
      </c>
      <c r="U3426" t="s">
        <v>49683</v>
      </c>
      <c r="W3426" t="s">
        <v>42276</v>
      </c>
      <c r="X3426" t="s">
        <v>44909</v>
      </c>
    </row>
    <row r="3427" spans="1:24">
      <c r="A3427">
        <f>HYPERLINK("https://www.philgeps.gov.ph/GEPSNONPILOT/Tender/SplashBidNoticeAbstractUI.aspx?menuIndex=3&amp;refID=7079929&amp;Result=3","7079929")</f>
        <v>0</v>
      </c>
      <c r="B3427" t="s">
        <v>600</v>
      </c>
      <c r="C3427" t="s">
        <v>6800</v>
      </c>
      <c r="D3427" t="s">
        <v>18125</v>
      </c>
      <c r="E3427" t="s">
        <v>21288</v>
      </c>
      <c r="F3427" t="s">
        <v>31362</v>
      </c>
      <c r="G3427" t="s">
        <v>31370</v>
      </c>
      <c r="H3427" t="s">
        <v>15799</v>
      </c>
      <c r="I3427" t="s">
        <v>7090</v>
      </c>
      <c r="J3427" t="s">
        <v>31843</v>
      </c>
      <c r="K3427" t="s">
        <v>40665</v>
      </c>
      <c r="M3427" t="s">
        <v>41557</v>
      </c>
      <c r="N3427" t="s">
        <v>44905</v>
      </c>
      <c r="O3427" t="s">
        <v>44906</v>
      </c>
      <c r="P3427">
        <v>0</v>
      </c>
      <c r="Q3427">
        <v>0</v>
      </c>
      <c r="R3427" t="s">
        <v>44908</v>
      </c>
      <c r="S3427" t="s">
        <v>45042</v>
      </c>
      <c r="T3427" t="s">
        <v>46443</v>
      </c>
      <c r="U3427" t="s">
        <v>46948</v>
      </c>
      <c r="W3427" t="s">
        <v>41557</v>
      </c>
      <c r="X3427" t="s">
        <v>44909</v>
      </c>
    </row>
    <row r="3428" spans="1:24">
      <c r="A3428">
        <f>HYPERLINK("https://www.philgeps.gov.ph/GEPSNONPILOT/Tender/SplashBidNoticeAbstractUI.aspx?menuIndex=3&amp;refID=7079900&amp;Result=3","7079900")</f>
        <v>0</v>
      </c>
      <c r="B3428" t="s">
        <v>1033</v>
      </c>
      <c r="C3428" t="s">
        <v>6801</v>
      </c>
      <c r="D3428" t="s">
        <v>18162</v>
      </c>
      <c r="E3428" t="s">
        <v>21289</v>
      </c>
      <c r="F3428" t="s">
        <v>31362</v>
      </c>
      <c r="G3428" t="s">
        <v>31369</v>
      </c>
      <c r="H3428" t="s">
        <v>15799</v>
      </c>
      <c r="I3428" t="s">
        <v>31431</v>
      </c>
      <c r="J3428" t="s">
        <v>33807</v>
      </c>
      <c r="K3428" t="s">
        <v>40670</v>
      </c>
      <c r="M3428" t="s">
        <v>42032</v>
      </c>
      <c r="N3428" t="s">
        <v>44905</v>
      </c>
      <c r="O3428" t="s">
        <v>44906</v>
      </c>
      <c r="P3428">
        <v>0</v>
      </c>
      <c r="Q3428">
        <v>0</v>
      </c>
      <c r="R3428" t="s">
        <v>44908</v>
      </c>
      <c r="S3428" t="s">
        <v>45042</v>
      </c>
      <c r="T3428" t="s">
        <v>46430</v>
      </c>
      <c r="U3428" t="s">
        <v>49742</v>
      </c>
      <c r="W3428" t="s">
        <v>42032</v>
      </c>
      <c r="X3428" t="s">
        <v>44909</v>
      </c>
    </row>
    <row r="3429" spans="1:24">
      <c r="A3429">
        <f>HYPERLINK("https://www.philgeps.gov.ph/GEPSNONPILOT/Tender/SplashBidNoticeAbstractUI.aspx?menuIndex=3&amp;refID=7079941&amp;Result=3","7079941")</f>
        <v>0</v>
      </c>
      <c r="B3429" t="s">
        <v>1288</v>
      </c>
      <c r="C3429" t="s">
        <v>6802</v>
      </c>
      <c r="E3429" t="s">
        <v>21290</v>
      </c>
      <c r="F3429" t="s">
        <v>31362</v>
      </c>
      <c r="G3429" t="s">
        <v>31369</v>
      </c>
      <c r="H3429" t="s">
        <v>31378</v>
      </c>
      <c r="I3429" t="s">
        <v>31386</v>
      </c>
      <c r="J3429" t="s">
        <v>33808</v>
      </c>
      <c r="K3429" t="s">
        <v>40666</v>
      </c>
      <c r="M3429" t="s">
        <v>42305</v>
      </c>
      <c r="N3429" t="s">
        <v>44905</v>
      </c>
      <c r="O3429" t="s">
        <v>44906</v>
      </c>
      <c r="P3429">
        <v>0</v>
      </c>
      <c r="Q3429">
        <v>3</v>
      </c>
      <c r="R3429" t="s">
        <v>44908</v>
      </c>
      <c r="S3429" t="s">
        <v>45042</v>
      </c>
      <c r="T3429" t="s">
        <v>46506</v>
      </c>
      <c r="U3429" t="s">
        <v>49743</v>
      </c>
      <c r="W3429" t="s">
        <v>42305</v>
      </c>
      <c r="X3429" t="s">
        <v>44909</v>
      </c>
    </row>
    <row r="3430" spans="1:24">
      <c r="A3430">
        <f>HYPERLINK("https://www.philgeps.gov.ph/GEPSNONPILOT/Tender/SplashBidNoticeAbstractUI.aspx?menuIndex=3&amp;refID=7079917&amp;Result=3","7079917")</f>
        <v>0</v>
      </c>
      <c r="B3430" t="s">
        <v>1260</v>
      </c>
      <c r="C3430" t="s">
        <v>6803</v>
      </c>
      <c r="D3430" t="s">
        <v>18142</v>
      </c>
      <c r="E3430" t="s">
        <v>21291</v>
      </c>
      <c r="F3430" t="s">
        <v>31362</v>
      </c>
      <c r="G3430" t="s">
        <v>31372</v>
      </c>
      <c r="H3430" t="s">
        <v>15799</v>
      </c>
      <c r="I3430" t="s">
        <v>31409</v>
      </c>
      <c r="J3430" t="s">
        <v>32263</v>
      </c>
      <c r="K3430" t="s">
        <v>40677</v>
      </c>
      <c r="M3430" t="s">
        <v>42276</v>
      </c>
      <c r="N3430" t="s">
        <v>44905</v>
      </c>
      <c r="O3430" t="s">
        <v>44906</v>
      </c>
      <c r="P3430">
        <v>0</v>
      </c>
      <c r="Q3430">
        <v>0</v>
      </c>
      <c r="R3430" t="s">
        <v>44908</v>
      </c>
      <c r="S3430" t="s">
        <v>45042</v>
      </c>
      <c r="T3430" t="s">
        <v>46426</v>
      </c>
      <c r="U3430" t="s">
        <v>49683</v>
      </c>
      <c r="W3430" t="s">
        <v>42276</v>
      </c>
      <c r="X3430" t="s">
        <v>44909</v>
      </c>
    </row>
    <row r="3431" spans="1:24">
      <c r="A3431">
        <f>HYPERLINK("https://www.philgeps.gov.ph/GEPSNONPILOT/Tender/SplashBidNoticeAbstractUI.aspx?menuIndex=3&amp;refID=7079958&amp;Result=3","7079958")</f>
        <v>0</v>
      </c>
      <c r="B3431" t="s">
        <v>1289</v>
      </c>
      <c r="C3431" t="s">
        <v>6804</v>
      </c>
      <c r="D3431" t="s">
        <v>18100</v>
      </c>
      <c r="E3431" t="s">
        <v>21292</v>
      </c>
      <c r="F3431" t="s">
        <v>31362</v>
      </c>
      <c r="G3431" t="s">
        <v>31368</v>
      </c>
      <c r="H3431" t="s">
        <v>15799</v>
      </c>
      <c r="I3431" t="s">
        <v>31385</v>
      </c>
      <c r="J3431" t="s">
        <v>32368</v>
      </c>
      <c r="K3431" t="s">
        <v>40662</v>
      </c>
      <c r="M3431" t="s">
        <v>42306</v>
      </c>
      <c r="N3431" t="s">
        <v>44905</v>
      </c>
      <c r="O3431" t="s">
        <v>44906</v>
      </c>
      <c r="P3431">
        <v>0</v>
      </c>
      <c r="Q3431">
        <v>0</v>
      </c>
      <c r="R3431" t="s">
        <v>44908</v>
      </c>
      <c r="S3431" t="s">
        <v>45042</v>
      </c>
      <c r="T3431" t="s">
        <v>46481</v>
      </c>
      <c r="U3431" t="s">
        <v>49744</v>
      </c>
      <c r="W3431" t="s">
        <v>42306</v>
      </c>
      <c r="X3431" t="s">
        <v>44909</v>
      </c>
    </row>
    <row r="3432" spans="1:24">
      <c r="A3432">
        <f>HYPERLINK("https://www.philgeps.gov.ph/GEPSNONPILOT/Tender/SplashBidNoticeAbstractUI.aspx?menuIndex=3&amp;refID=7079957&amp;Result=3","7079957")</f>
        <v>0</v>
      </c>
      <c r="B3432" t="s">
        <v>1290</v>
      </c>
      <c r="C3432" t="s">
        <v>6805</v>
      </c>
      <c r="D3432" t="s">
        <v>18127</v>
      </c>
      <c r="E3432" t="s">
        <v>21293</v>
      </c>
      <c r="F3432" t="s">
        <v>31362</v>
      </c>
      <c r="G3432" t="s">
        <v>31369</v>
      </c>
      <c r="H3432" t="s">
        <v>31378</v>
      </c>
      <c r="I3432" t="s">
        <v>31386</v>
      </c>
      <c r="J3432" t="s">
        <v>31696</v>
      </c>
      <c r="K3432" t="s">
        <v>40691</v>
      </c>
      <c r="M3432" t="s">
        <v>42307</v>
      </c>
      <c r="N3432" t="s">
        <v>44905</v>
      </c>
      <c r="O3432" t="s">
        <v>44906</v>
      </c>
      <c r="P3432">
        <v>0</v>
      </c>
      <c r="Q3432">
        <v>1</v>
      </c>
      <c r="R3432" t="s">
        <v>44908</v>
      </c>
      <c r="S3432" t="s">
        <v>45042</v>
      </c>
      <c r="T3432" t="s">
        <v>46511</v>
      </c>
      <c r="U3432" t="s">
        <v>49745</v>
      </c>
      <c r="W3432" t="s">
        <v>42307</v>
      </c>
      <c r="X3432" t="s">
        <v>44909</v>
      </c>
    </row>
    <row r="3433" spans="1:24">
      <c r="A3433">
        <f>HYPERLINK("https://www.philgeps.gov.ph/GEPSNONPILOT/Tender/SplashBidNoticeAbstractUI.aspx?menuIndex=3&amp;refID=7079956&amp;Result=3","7079956")</f>
        <v>0</v>
      </c>
      <c r="B3433" t="s">
        <v>1033</v>
      </c>
      <c r="C3433" t="s">
        <v>6806</v>
      </c>
      <c r="D3433" t="s">
        <v>18162</v>
      </c>
      <c r="E3433" t="s">
        <v>21294</v>
      </c>
      <c r="F3433" t="s">
        <v>31362</v>
      </c>
      <c r="G3433" t="s">
        <v>31369</v>
      </c>
      <c r="H3433" t="s">
        <v>15799</v>
      </c>
      <c r="I3433" t="s">
        <v>7188</v>
      </c>
      <c r="J3433" t="s">
        <v>31890</v>
      </c>
      <c r="K3433" t="s">
        <v>40670</v>
      </c>
      <c r="M3433" t="s">
        <v>42032</v>
      </c>
      <c r="N3433" t="s">
        <v>44905</v>
      </c>
      <c r="O3433" t="s">
        <v>44906</v>
      </c>
      <c r="P3433">
        <v>0</v>
      </c>
      <c r="Q3433">
        <v>1</v>
      </c>
      <c r="R3433" t="s">
        <v>44908</v>
      </c>
      <c r="S3433" t="s">
        <v>45042</v>
      </c>
      <c r="T3433" t="s">
        <v>46430</v>
      </c>
      <c r="U3433" t="s">
        <v>49746</v>
      </c>
      <c r="W3433" t="s">
        <v>42032</v>
      </c>
      <c r="X3433" t="s">
        <v>44909</v>
      </c>
    </row>
    <row r="3434" spans="1:24">
      <c r="A3434">
        <f>HYPERLINK("https://www.philgeps.gov.ph/GEPSNONPILOT/Tender/SplashBidNoticeAbstractUI.aspx?menuIndex=3&amp;refID=7079955&amp;Result=3","7079955")</f>
        <v>0</v>
      </c>
      <c r="B3434" t="s">
        <v>1291</v>
      </c>
      <c r="C3434" t="s">
        <v>6807</v>
      </c>
      <c r="D3434" t="s">
        <v>18106</v>
      </c>
      <c r="E3434" t="s">
        <v>21295</v>
      </c>
      <c r="F3434" t="s">
        <v>31365</v>
      </c>
      <c r="G3434" t="s">
        <v>31369</v>
      </c>
      <c r="H3434" t="s">
        <v>31378</v>
      </c>
      <c r="I3434" t="s">
        <v>31377</v>
      </c>
      <c r="J3434" t="s">
        <v>33809</v>
      </c>
      <c r="K3434" t="s">
        <v>40665</v>
      </c>
      <c r="M3434" t="s">
        <v>42308</v>
      </c>
      <c r="N3434" t="s">
        <v>44905</v>
      </c>
      <c r="O3434" t="s">
        <v>44906</v>
      </c>
      <c r="P3434">
        <v>0</v>
      </c>
      <c r="Q3434">
        <v>0</v>
      </c>
      <c r="R3434" t="s">
        <v>44908</v>
      </c>
      <c r="S3434" t="s">
        <v>45042</v>
      </c>
      <c r="T3434" t="s">
        <v>46608</v>
      </c>
      <c r="U3434" t="s">
        <v>49747</v>
      </c>
      <c r="W3434" t="s">
        <v>42308</v>
      </c>
      <c r="X3434" t="s">
        <v>44909</v>
      </c>
    </row>
    <row r="3435" spans="1:24">
      <c r="A3435">
        <f>HYPERLINK("https://www.philgeps.gov.ph/GEPSNONPILOT/Tender/SplashBidNoticeAbstractUI.aspx?menuIndex=3&amp;refID=7079953&amp;Result=3","7079953")</f>
        <v>0</v>
      </c>
      <c r="B3435" t="s">
        <v>1164</v>
      </c>
      <c r="C3435" t="s">
        <v>6808</v>
      </c>
      <c r="D3435" t="s">
        <v>18111</v>
      </c>
      <c r="E3435" t="s">
        <v>21296</v>
      </c>
      <c r="F3435" t="s">
        <v>31362</v>
      </c>
      <c r="G3435" t="s">
        <v>31370</v>
      </c>
      <c r="H3435" t="s">
        <v>15799</v>
      </c>
      <c r="I3435" t="s">
        <v>31385</v>
      </c>
      <c r="J3435" t="s">
        <v>33810</v>
      </c>
      <c r="K3435" t="s">
        <v>40670</v>
      </c>
      <c r="M3435" t="s">
        <v>42174</v>
      </c>
      <c r="N3435" t="s">
        <v>44905</v>
      </c>
      <c r="O3435" t="s">
        <v>44906</v>
      </c>
      <c r="P3435">
        <v>0</v>
      </c>
      <c r="Q3435">
        <v>2</v>
      </c>
      <c r="R3435" t="s">
        <v>44908</v>
      </c>
      <c r="S3435" t="s">
        <v>45042</v>
      </c>
      <c r="T3435" t="s">
        <v>46414</v>
      </c>
      <c r="U3435" t="s">
        <v>49454</v>
      </c>
      <c r="W3435" t="s">
        <v>42174</v>
      </c>
      <c r="X3435" t="s">
        <v>44909</v>
      </c>
    </row>
    <row r="3436" spans="1:24">
      <c r="A3436">
        <f>HYPERLINK("https://www.philgeps.gov.ph/GEPSNONPILOT/Tender/SplashBidNoticeAbstractUI.aspx?menuIndex=3&amp;refID=7079952&amp;Result=3","7079952")</f>
        <v>0</v>
      </c>
      <c r="B3436" t="s">
        <v>1051</v>
      </c>
      <c r="C3436" t="s">
        <v>6809</v>
      </c>
      <c r="D3436" t="s">
        <v>18116</v>
      </c>
      <c r="E3436" t="s">
        <v>21297</v>
      </c>
      <c r="F3436" t="s">
        <v>31362</v>
      </c>
      <c r="G3436" t="s">
        <v>31368</v>
      </c>
      <c r="H3436" t="s">
        <v>15799</v>
      </c>
      <c r="I3436" t="s">
        <v>31400</v>
      </c>
      <c r="J3436" t="s">
        <v>32143</v>
      </c>
      <c r="K3436" t="s">
        <v>40662</v>
      </c>
      <c r="M3436" t="s">
        <v>42052</v>
      </c>
      <c r="N3436" t="s">
        <v>44905</v>
      </c>
      <c r="O3436" t="s">
        <v>44906</v>
      </c>
      <c r="P3436">
        <v>0</v>
      </c>
      <c r="Q3436">
        <v>1</v>
      </c>
      <c r="R3436" t="s">
        <v>44908</v>
      </c>
      <c r="S3436" t="s">
        <v>45042</v>
      </c>
      <c r="T3436" t="s">
        <v>46498</v>
      </c>
      <c r="U3436" t="s">
        <v>49748</v>
      </c>
      <c r="W3436" t="s">
        <v>42052</v>
      </c>
      <c r="X3436" t="s">
        <v>44909</v>
      </c>
    </row>
    <row r="3437" spans="1:24">
      <c r="A3437">
        <f>HYPERLINK("https://www.philgeps.gov.ph/GEPSNONPILOT/Tender/SplashBidNoticeAbstractUI.aspx?menuIndex=3&amp;refID=7079950&amp;Result=3","7079950")</f>
        <v>0</v>
      </c>
      <c r="B3437" t="s">
        <v>1287</v>
      </c>
      <c r="C3437" t="s">
        <v>6798</v>
      </c>
      <c r="D3437" t="s">
        <v>18152</v>
      </c>
      <c r="E3437" t="s">
        <v>18874</v>
      </c>
      <c r="F3437" t="s">
        <v>31362</v>
      </c>
      <c r="G3437" t="s">
        <v>31369</v>
      </c>
      <c r="H3437" t="s">
        <v>15799</v>
      </c>
      <c r="I3437" t="s">
        <v>3815</v>
      </c>
      <c r="J3437" t="s">
        <v>32119</v>
      </c>
      <c r="K3437" t="s">
        <v>40665</v>
      </c>
      <c r="M3437" t="s">
        <v>42304</v>
      </c>
      <c r="N3437" t="s">
        <v>44905</v>
      </c>
      <c r="O3437" t="s">
        <v>44906</v>
      </c>
      <c r="P3437">
        <v>0</v>
      </c>
      <c r="Q3437">
        <v>0</v>
      </c>
      <c r="R3437" t="s">
        <v>44908</v>
      </c>
      <c r="S3437" t="s">
        <v>45042</v>
      </c>
      <c r="T3437" t="s">
        <v>46392</v>
      </c>
      <c r="U3437" t="s">
        <v>49749</v>
      </c>
      <c r="W3437" t="s">
        <v>42304</v>
      </c>
      <c r="X3437" t="s">
        <v>44909</v>
      </c>
    </row>
    <row r="3438" spans="1:24">
      <c r="A3438">
        <f>HYPERLINK("https://www.philgeps.gov.ph/GEPSNONPILOT/Tender/SplashBidNoticeAbstractUI.aspx?menuIndex=3&amp;refID=7079949&amp;Result=3","7079949")</f>
        <v>0</v>
      </c>
      <c r="B3438" t="s">
        <v>1280</v>
      </c>
      <c r="C3438" t="s">
        <v>6810</v>
      </c>
      <c r="D3438" t="s">
        <v>18152</v>
      </c>
      <c r="E3438" t="s">
        <v>21298</v>
      </c>
      <c r="F3438" t="s">
        <v>31362</v>
      </c>
      <c r="G3438" t="s">
        <v>31368</v>
      </c>
      <c r="H3438" t="s">
        <v>15799</v>
      </c>
      <c r="I3438" t="s">
        <v>7090</v>
      </c>
      <c r="J3438" t="s">
        <v>31545</v>
      </c>
      <c r="K3438" t="s">
        <v>40662</v>
      </c>
      <c r="M3438" t="s">
        <v>42297</v>
      </c>
      <c r="N3438" t="s">
        <v>44905</v>
      </c>
      <c r="O3438" t="s">
        <v>44906</v>
      </c>
      <c r="P3438">
        <v>0</v>
      </c>
      <c r="Q3438">
        <v>0</v>
      </c>
      <c r="R3438" t="s">
        <v>44908</v>
      </c>
      <c r="S3438" t="s">
        <v>45042</v>
      </c>
      <c r="T3438" t="s">
        <v>46507</v>
      </c>
      <c r="U3438" t="s">
        <v>49728</v>
      </c>
      <c r="W3438" t="s">
        <v>42297</v>
      </c>
      <c r="X3438" t="s">
        <v>44909</v>
      </c>
    </row>
    <row r="3439" spans="1:24">
      <c r="A3439">
        <f>HYPERLINK("https://www.philgeps.gov.ph/GEPSNONPILOT/Tender/SplashBidNoticeAbstractUI.aspx?menuIndex=3&amp;refID=7079948&amp;Result=3","7079948")</f>
        <v>0</v>
      </c>
      <c r="B3439" t="s">
        <v>1257</v>
      </c>
      <c r="C3439" t="s">
        <v>6811</v>
      </c>
      <c r="D3439" t="s">
        <v>18108</v>
      </c>
      <c r="E3439" t="s">
        <v>21299</v>
      </c>
      <c r="F3439" t="s">
        <v>31362</v>
      </c>
      <c r="G3439" t="s">
        <v>31369</v>
      </c>
      <c r="H3439" t="s">
        <v>15799</v>
      </c>
      <c r="I3439" t="s">
        <v>7090</v>
      </c>
      <c r="J3439" t="s">
        <v>33811</v>
      </c>
      <c r="K3439" t="s">
        <v>40661</v>
      </c>
      <c r="M3439" t="s">
        <v>42273</v>
      </c>
      <c r="N3439" t="s">
        <v>44905</v>
      </c>
      <c r="O3439" t="s">
        <v>44906</v>
      </c>
      <c r="P3439">
        <v>0</v>
      </c>
      <c r="Q3439">
        <v>1</v>
      </c>
      <c r="R3439" t="s">
        <v>44908</v>
      </c>
      <c r="S3439" t="s">
        <v>45042</v>
      </c>
      <c r="T3439" t="s">
        <v>46506</v>
      </c>
      <c r="U3439" t="s">
        <v>49750</v>
      </c>
      <c r="W3439" t="s">
        <v>42273</v>
      </c>
      <c r="X3439" t="s">
        <v>44909</v>
      </c>
    </row>
    <row r="3440" spans="1:24">
      <c r="A3440">
        <f>HYPERLINK("https://www.philgeps.gov.ph/GEPSNONPILOT/Tender/SplashBidNoticeAbstractUI.aspx?menuIndex=3&amp;refID=7079959&amp;Result=3","7079959")</f>
        <v>0</v>
      </c>
      <c r="B3440" t="s">
        <v>679</v>
      </c>
      <c r="C3440" t="s">
        <v>6812</v>
      </c>
      <c r="D3440" t="s">
        <v>18148</v>
      </c>
      <c r="E3440" t="s">
        <v>21300</v>
      </c>
      <c r="F3440" t="s">
        <v>31362</v>
      </c>
      <c r="G3440" t="s">
        <v>31368</v>
      </c>
      <c r="H3440" t="s">
        <v>15799</v>
      </c>
      <c r="I3440" t="s">
        <v>31430</v>
      </c>
      <c r="J3440" t="s">
        <v>31535</v>
      </c>
      <c r="K3440" t="s">
        <v>40662</v>
      </c>
      <c r="M3440" t="s">
        <v>41641</v>
      </c>
      <c r="N3440" t="s">
        <v>44905</v>
      </c>
      <c r="O3440" t="s">
        <v>44906</v>
      </c>
      <c r="P3440">
        <v>0</v>
      </c>
      <c r="Q3440">
        <v>1</v>
      </c>
      <c r="R3440" t="s">
        <v>44908</v>
      </c>
      <c r="S3440" t="s">
        <v>45042</v>
      </c>
      <c r="T3440" t="s">
        <v>46409</v>
      </c>
      <c r="U3440" t="s">
        <v>49751</v>
      </c>
      <c r="W3440" t="s">
        <v>41641</v>
      </c>
      <c r="X3440" t="s">
        <v>44909</v>
      </c>
    </row>
    <row r="3441" spans="1:24">
      <c r="A3441">
        <f>HYPERLINK("https://www.philgeps.gov.ph/GEPSNONPILOT/Tender/SplashBidNoticeAbstractUI.aspx?menuIndex=3&amp;refID=7079946&amp;Result=3","7079946")</f>
        <v>0</v>
      </c>
      <c r="B3441" t="s">
        <v>1285</v>
      </c>
      <c r="C3441" t="s">
        <v>4462</v>
      </c>
      <c r="D3441" t="s">
        <v>18111</v>
      </c>
      <c r="E3441" t="s">
        <v>21301</v>
      </c>
      <c r="F3441" t="s">
        <v>31362</v>
      </c>
      <c r="G3441" t="s">
        <v>31370</v>
      </c>
      <c r="H3441" t="s">
        <v>15799</v>
      </c>
      <c r="I3441" t="s">
        <v>6373</v>
      </c>
      <c r="J3441" t="s">
        <v>32443</v>
      </c>
      <c r="K3441" t="s">
        <v>40670</v>
      </c>
      <c r="M3441" t="s">
        <v>42302</v>
      </c>
      <c r="N3441" t="s">
        <v>44905</v>
      </c>
      <c r="O3441" t="s">
        <v>44906</v>
      </c>
      <c r="P3441">
        <v>0</v>
      </c>
      <c r="Q3441">
        <v>2</v>
      </c>
      <c r="R3441" t="s">
        <v>44908</v>
      </c>
      <c r="S3441" t="s">
        <v>45042</v>
      </c>
      <c r="T3441" t="s">
        <v>46443</v>
      </c>
      <c r="U3441" t="s">
        <v>47761</v>
      </c>
      <c r="W3441" t="s">
        <v>42302</v>
      </c>
      <c r="X3441" t="s">
        <v>44909</v>
      </c>
    </row>
    <row r="3442" spans="1:24">
      <c r="A3442">
        <f>HYPERLINK("https://www.philgeps.gov.ph/GEPSNONPILOT/Tender/SplashBidNoticeAbstractUI.aspx?menuIndex=3&amp;refID=7079945&amp;Result=3","7079945")</f>
        <v>0</v>
      </c>
      <c r="B3442" t="s">
        <v>1274</v>
      </c>
      <c r="C3442" t="s">
        <v>6813</v>
      </c>
      <c r="D3442" t="s">
        <v>18134</v>
      </c>
      <c r="E3442" t="s">
        <v>21302</v>
      </c>
      <c r="F3442" t="s">
        <v>31362</v>
      </c>
      <c r="G3442" t="s">
        <v>31370</v>
      </c>
      <c r="H3442" t="s">
        <v>15799</v>
      </c>
      <c r="I3442" t="s">
        <v>31392</v>
      </c>
      <c r="J3442" t="s">
        <v>33812</v>
      </c>
      <c r="K3442" t="s">
        <v>40697</v>
      </c>
      <c r="M3442" t="s">
        <v>42291</v>
      </c>
      <c r="N3442" t="s">
        <v>44905</v>
      </c>
      <c r="O3442" t="s">
        <v>44906</v>
      </c>
      <c r="P3442">
        <v>0</v>
      </c>
      <c r="Q3442">
        <v>0</v>
      </c>
      <c r="R3442" t="s">
        <v>44908</v>
      </c>
      <c r="S3442" t="s">
        <v>45042</v>
      </c>
      <c r="T3442" t="s">
        <v>46414</v>
      </c>
      <c r="U3442" t="s">
        <v>49711</v>
      </c>
      <c r="W3442" t="s">
        <v>42291</v>
      </c>
      <c r="X3442" t="s">
        <v>44909</v>
      </c>
    </row>
    <row r="3443" spans="1:24">
      <c r="A3443">
        <f>HYPERLINK("https://www.philgeps.gov.ph/GEPSNONPILOT/Tender/SplashBidNoticeAbstractUI.aspx?menuIndex=3&amp;refID=7079954&amp;Result=3","7079954")</f>
        <v>0</v>
      </c>
      <c r="B3443" t="s">
        <v>1260</v>
      </c>
      <c r="C3443" t="s">
        <v>6814</v>
      </c>
      <c r="D3443" t="s">
        <v>18142</v>
      </c>
      <c r="E3443" t="s">
        <v>21303</v>
      </c>
      <c r="F3443" t="s">
        <v>31362</v>
      </c>
      <c r="G3443" t="s">
        <v>31369</v>
      </c>
      <c r="H3443" t="s">
        <v>15799</v>
      </c>
      <c r="I3443" t="s">
        <v>31456</v>
      </c>
      <c r="J3443" t="s">
        <v>33813</v>
      </c>
      <c r="K3443" t="s">
        <v>40665</v>
      </c>
      <c r="M3443" t="s">
        <v>42276</v>
      </c>
      <c r="N3443" t="s">
        <v>44905</v>
      </c>
      <c r="O3443" t="s">
        <v>44906</v>
      </c>
      <c r="P3443">
        <v>0</v>
      </c>
      <c r="Q3443">
        <v>0</v>
      </c>
      <c r="R3443" t="s">
        <v>44908</v>
      </c>
      <c r="S3443" t="s">
        <v>45042</v>
      </c>
      <c r="T3443" t="s">
        <v>46401</v>
      </c>
      <c r="U3443" t="s">
        <v>49752</v>
      </c>
      <c r="W3443" t="s">
        <v>42276</v>
      </c>
      <c r="X3443" t="s">
        <v>44909</v>
      </c>
    </row>
    <row r="3444" spans="1:24">
      <c r="A3444">
        <f>HYPERLINK("https://www.philgeps.gov.ph/GEPSNONPILOT/Tender/SplashBidNoticeAbstractUI.aspx?menuIndex=3&amp;refID=7079942&amp;Result=3","7079942")</f>
        <v>0</v>
      </c>
      <c r="B3444" t="s">
        <v>1292</v>
      </c>
      <c r="C3444" t="s">
        <v>6815</v>
      </c>
      <c r="D3444" t="s">
        <v>18161</v>
      </c>
      <c r="E3444" t="s">
        <v>21304</v>
      </c>
      <c r="F3444" t="s">
        <v>31362</v>
      </c>
      <c r="G3444" t="s">
        <v>31368</v>
      </c>
      <c r="H3444" t="s">
        <v>15799</v>
      </c>
      <c r="I3444" t="s">
        <v>4057</v>
      </c>
      <c r="J3444" t="s">
        <v>32408</v>
      </c>
      <c r="K3444" t="s">
        <v>40665</v>
      </c>
      <c r="M3444" t="s">
        <v>42309</v>
      </c>
      <c r="N3444" t="s">
        <v>44905</v>
      </c>
      <c r="O3444" t="s">
        <v>44906</v>
      </c>
      <c r="P3444">
        <v>0</v>
      </c>
      <c r="Q3444">
        <v>0</v>
      </c>
      <c r="R3444" t="s">
        <v>44908</v>
      </c>
      <c r="S3444" t="s">
        <v>45042</v>
      </c>
      <c r="T3444" t="s">
        <v>46454</v>
      </c>
      <c r="U3444" t="s">
        <v>49753</v>
      </c>
      <c r="W3444" t="s">
        <v>42309</v>
      </c>
      <c r="X3444" t="s">
        <v>44909</v>
      </c>
    </row>
    <row r="3445" spans="1:24">
      <c r="A3445">
        <f>HYPERLINK("https://www.philgeps.gov.ph/GEPSNONPILOT/Tender/SplashBidNoticeAbstractUI.aspx?menuIndex=3&amp;refID=7079985&amp;Result=3","7079985")</f>
        <v>0</v>
      </c>
      <c r="B3445" t="s">
        <v>215</v>
      </c>
      <c r="C3445" t="s">
        <v>6816</v>
      </c>
      <c r="D3445" t="s">
        <v>18108</v>
      </c>
      <c r="E3445" t="s">
        <v>21305</v>
      </c>
      <c r="F3445" t="s">
        <v>31362</v>
      </c>
      <c r="G3445" t="s">
        <v>31371</v>
      </c>
      <c r="H3445" t="s">
        <v>15799</v>
      </c>
      <c r="I3445" t="s">
        <v>31380</v>
      </c>
      <c r="J3445" t="s">
        <v>33814</v>
      </c>
      <c r="K3445" t="s">
        <v>40661</v>
      </c>
      <c r="M3445" t="s">
        <v>42310</v>
      </c>
      <c r="N3445" t="s">
        <v>44905</v>
      </c>
      <c r="O3445" t="s">
        <v>44906</v>
      </c>
      <c r="P3445">
        <v>0</v>
      </c>
      <c r="Q3445">
        <v>16</v>
      </c>
      <c r="R3445" t="s">
        <v>44908</v>
      </c>
      <c r="S3445" t="s">
        <v>45042</v>
      </c>
      <c r="T3445" t="s">
        <v>46549</v>
      </c>
      <c r="U3445" t="s">
        <v>49754</v>
      </c>
      <c r="V3445" t="s">
        <v>59411</v>
      </c>
      <c r="W3445" t="s">
        <v>42310</v>
      </c>
      <c r="X3445" t="s">
        <v>44909</v>
      </c>
    </row>
    <row r="3446" spans="1:24">
      <c r="A3446">
        <f>HYPERLINK("https://www.philgeps.gov.ph/GEPSNONPILOT/Tender/SplashBidNoticeAbstractUI.aspx?menuIndex=3&amp;refID=7079984&amp;Result=3","7079984")</f>
        <v>0</v>
      </c>
      <c r="B3446" t="s">
        <v>1033</v>
      </c>
      <c r="C3446" t="s">
        <v>6817</v>
      </c>
      <c r="D3446" t="s">
        <v>18162</v>
      </c>
      <c r="E3446" t="s">
        <v>21306</v>
      </c>
      <c r="F3446" t="s">
        <v>31362</v>
      </c>
      <c r="G3446" t="s">
        <v>31369</v>
      </c>
      <c r="H3446" t="s">
        <v>15799</v>
      </c>
      <c r="I3446" t="s">
        <v>7188</v>
      </c>
      <c r="J3446" t="s">
        <v>31890</v>
      </c>
      <c r="K3446" t="s">
        <v>40670</v>
      </c>
      <c r="M3446" t="s">
        <v>42032</v>
      </c>
      <c r="N3446" t="s">
        <v>44905</v>
      </c>
      <c r="O3446" t="s">
        <v>44906</v>
      </c>
      <c r="P3446">
        <v>0</v>
      </c>
      <c r="Q3446">
        <v>1</v>
      </c>
      <c r="R3446" t="s">
        <v>44908</v>
      </c>
      <c r="S3446" t="s">
        <v>45042</v>
      </c>
      <c r="T3446" t="s">
        <v>46430</v>
      </c>
      <c r="U3446" t="s">
        <v>49755</v>
      </c>
      <c r="W3446" t="s">
        <v>42032</v>
      </c>
      <c r="X3446" t="s">
        <v>44909</v>
      </c>
    </row>
    <row r="3447" spans="1:24">
      <c r="A3447">
        <f>HYPERLINK("https://www.philgeps.gov.ph/GEPSNONPILOT/Tender/SplashBidNoticeAbstractUI.aspx?menuIndex=3&amp;refID=7079960&amp;Result=3","7079960")</f>
        <v>0</v>
      </c>
      <c r="B3447" t="s">
        <v>1271</v>
      </c>
      <c r="C3447" t="s">
        <v>6818</v>
      </c>
      <c r="D3447" t="s">
        <v>18179</v>
      </c>
      <c r="E3447" t="s">
        <v>21307</v>
      </c>
      <c r="F3447" t="s">
        <v>31362</v>
      </c>
      <c r="G3447" t="s">
        <v>31369</v>
      </c>
      <c r="H3447" t="s">
        <v>15799</v>
      </c>
      <c r="I3447" t="s">
        <v>3815</v>
      </c>
      <c r="J3447" t="s">
        <v>31817</v>
      </c>
      <c r="K3447" t="s">
        <v>40665</v>
      </c>
      <c r="M3447" t="s">
        <v>42288</v>
      </c>
      <c r="N3447" t="s">
        <v>44905</v>
      </c>
      <c r="O3447" t="s">
        <v>44906</v>
      </c>
      <c r="P3447">
        <v>0</v>
      </c>
      <c r="Q3447">
        <v>0</v>
      </c>
      <c r="R3447" t="s">
        <v>44908</v>
      </c>
      <c r="S3447" t="s">
        <v>45042</v>
      </c>
      <c r="T3447" t="s">
        <v>46470</v>
      </c>
      <c r="U3447" t="s">
        <v>49756</v>
      </c>
      <c r="W3447" t="s">
        <v>42288</v>
      </c>
      <c r="X3447" t="s">
        <v>44909</v>
      </c>
    </row>
    <row r="3448" spans="1:24">
      <c r="A3448">
        <f>HYPERLINK("https://www.philgeps.gov.ph/GEPSNONPILOT/Tender/SplashBidNoticeAbstractUI.aspx?menuIndex=3&amp;refID=7079982&amp;Result=3","7079982")</f>
        <v>0</v>
      </c>
      <c r="B3448" t="s">
        <v>1174</v>
      </c>
      <c r="C3448" t="s">
        <v>6819</v>
      </c>
      <c r="D3448" t="s">
        <v>18127</v>
      </c>
      <c r="E3448" t="s">
        <v>21308</v>
      </c>
      <c r="F3448" t="s">
        <v>31362</v>
      </c>
      <c r="G3448" t="s">
        <v>31368</v>
      </c>
      <c r="H3448" t="s">
        <v>15799</v>
      </c>
      <c r="I3448" t="s">
        <v>13635</v>
      </c>
      <c r="J3448" t="s">
        <v>31564</v>
      </c>
      <c r="K3448" t="s">
        <v>40677</v>
      </c>
      <c r="M3448" t="s">
        <v>42185</v>
      </c>
      <c r="N3448" t="s">
        <v>44905</v>
      </c>
      <c r="O3448" t="s">
        <v>44906</v>
      </c>
      <c r="P3448">
        <v>0</v>
      </c>
      <c r="Q3448">
        <v>0</v>
      </c>
      <c r="R3448" t="s">
        <v>44908</v>
      </c>
      <c r="S3448" t="s">
        <v>45042</v>
      </c>
      <c r="T3448" t="s">
        <v>46480</v>
      </c>
      <c r="U3448" t="s">
        <v>49757</v>
      </c>
      <c r="W3448" t="s">
        <v>42185</v>
      </c>
      <c r="X3448" t="s">
        <v>44909</v>
      </c>
    </row>
    <row r="3449" spans="1:24">
      <c r="A3449">
        <f>HYPERLINK("https://www.philgeps.gov.ph/GEPSNONPILOT/Tender/SplashBidNoticeAbstractUI.aspx?menuIndex=3&amp;refID=7079944&amp;Result=3","7079944")</f>
        <v>0</v>
      </c>
      <c r="B3449" t="s">
        <v>1033</v>
      </c>
      <c r="C3449" t="s">
        <v>6820</v>
      </c>
      <c r="D3449" t="s">
        <v>18162</v>
      </c>
      <c r="E3449" t="s">
        <v>21309</v>
      </c>
      <c r="F3449" t="s">
        <v>31362</v>
      </c>
      <c r="G3449" t="s">
        <v>31369</v>
      </c>
      <c r="H3449" t="s">
        <v>15799</v>
      </c>
      <c r="I3449" t="s">
        <v>31431</v>
      </c>
      <c r="J3449" t="s">
        <v>33815</v>
      </c>
      <c r="K3449" t="s">
        <v>40670</v>
      </c>
      <c r="M3449" t="s">
        <v>42032</v>
      </c>
      <c r="N3449" t="s">
        <v>44905</v>
      </c>
      <c r="O3449" t="s">
        <v>44906</v>
      </c>
      <c r="P3449">
        <v>0</v>
      </c>
      <c r="Q3449">
        <v>0</v>
      </c>
      <c r="R3449" t="s">
        <v>44908</v>
      </c>
      <c r="S3449" t="s">
        <v>45042</v>
      </c>
      <c r="T3449" t="s">
        <v>46430</v>
      </c>
      <c r="U3449" t="s">
        <v>49758</v>
      </c>
      <c r="W3449" t="s">
        <v>42032</v>
      </c>
      <c r="X3449" t="s">
        <v>44909</v>
      </c>
    </row>
    <row r="3450" spans="1:24">
      <c r="A3450">
        <f>HYPERLINK("https://www.philgeps.gov.ph/GEPSNONPILOT/Tender/SplashBidNoticeAbstractUI.aspx?menuIndex=3&amp;refID=7079943&amp;Result=3","7079943")</f>
        <v>0</v>
      </c>
      <c r="B3450" t="s">
        <v>1270</v>
      </c>
      <c r="C3450" t="s">
        <v>6821</v>
      </c>
      <c r="D3450" t="s">
        <v>18157</v>
      </c>
      <c r="E3450" t="s">
        <v>21310</v>
      </c>
      <c r="F3450" t="s">
        <v>31362</v>
      </c>
      <c r="G3450" t="s">
        <v>31368</v>
      </c>
      <c r="H3450" t="s">
        <v>15799</v>
      </c>
      <c r="I3450" t="s">
        <v>4057</v>
      </c>
      <c r="J3450" t="s">
        <v>33816</v>
      </c>
      <c r="K3450" t="s">
        <v>40698</v>
      </c>
      <c r="M3450" t="s">
        <v>42287</v>
      </c>
      <c r="N3450" t="s">
        <v>44905</v>
      </c>
      <c r="O3450" t="s">
        <v>44906</v>
      </c>
      <c r="P3450">
        <v>0</v>
      </c>
      <c r="Q3450">
        <v>0</v>
      </c>
      <c r="R3450" t="s">
        <v>44908</v>
      </c>
      <c r="S3450" t="s">
        <v>45042</v>
      </c>
      <c r="T3450" t="s">
        <v>46404</v>
      </c>
      <c r="U3450" t="s">
        <v>49706</v>
      </c>
      <c r="W3450" t="s">
        <v>42287</v>
      </c>
      <c r="X3450" t="s">
        <v>44909</v>
      </c>
    </row>
    <row r="3451" spans="1:24">
      <c r="A3451">
        <f>HYPERLINK("https://www.philgeps.gov.ph/GEPSNONPILOT/Tender/SplashBidNoticeAbstractUI.aspx?menuIndex=3&amp;refID=7079980&amp;Result=3","7079980")</f>
        <v>0</v>
      </c>
      <c r="B3451" t="s">
        <v>406</v>
      </c>
      <c r="C3451" t="s">
        <v>6822</v>
      </c>
      <c r="E3451" t="s">
        <v>21311</v>
      </c>
      <c r="F3451" t="s">
        <v>31362</v>
      </c>
      <c r="G3451" t="s">
        <v>31370</v>
      </c>
      <c r="H3451" t="s">
        <v>15799</v>
      </c>
      <c r="I3451" t="s">
        <v>7719</v>
      </c>
      <c r="J3451" t="s">
        <v>31577</v>
      </c>
      <c r="K3451" t="s">
        <v>40662</v>
      </c>
      <c r="M3451" t="s">
        <v>41356</v>
      </c>
      <c r="N3451" t="s">
        <v>44905</v>
      </c>
      <c r="O3451" t="s">
        <v>44906</v>
      </c>
      <c r="P3451">
        <v>0</v>
      </c>
      <c r="Q3451">
        <v>9</v>
      </c>
      <c r="R3451" t="s">
        <v>44908</v>
      </c>
      <c r="S3451" t="s">
        <v>45042</v>
      </c>
      <c r="T3451" t="s">
        <v>46414</v>
      </c>
      <c r="U3451" t="s">
        <v>46933</v>
      </c>
      <c r="W3451" t="s">
        <v>41356</v>
      </c>
      <c r="X3451" t="s">
        <v>44909</v>
      </c>
    </row>
    <row r="3452" spans="1:24">
      <c r="A3452">
        <f>HYPERLINK("https://www.philgeps.gov.ph/GEPSNONPILOT/Tender/SplashBidNoticeAbstractUI.aspx?menuIndex=3&amp;refID=7079977&amp;Result=3","7079977")</f>
        <v>0</v>
      </c>
      <c r="B3452" t="s">
        <v>1293</v>
      </c>
      <c r="C3452" t="s">
        <v>6823</v>
      </c>
      <c r="D3452" t="s">
        <v>18104</v>
      </c>
      <c r="E3452" t="s">
        <v>21312</v>
      </c>
      <c r="F3452" t="s">
        <v>31362</v>
      </c>
      <c r="G3452" t="s">
        <v>31369</v>
      </c>
      <c r="H3452" t="s">
        <v>31378</v>
      </c>
      <c r="I3452" t="s">
        <v>31386</v>
      </c>
      <c r="J3452" t="s">
        <v>32391</v>
      </c>
      <c r="K3452" t="s">
        <v>40676</v>
      </c>
      <c r="M3452" t="s">
        <v>42311</v>
      </c>
      <c r="N3452" t="s">
        <v>44905</v>
      </c>
      <c r="O3452" t="s">
        <v>44906</v>
      </c>
      <c r="P3452">
        <v>0</v>
      </c>
      <c r="Q3452">
        <v>0</v>
      </c>
      <c r="R3452" t="s">
        <v>44908</v>
      </c>
      <c r="S3452" t="s">
        <v>45042</v>
      </c>
      <c r="T3452" t="s">
        <v>46431</v>
      </c>
      <c r="U3452" t="s">
        <v>49759</v>
      </c>
      <c r="V3452" t="s">
        <v>59412</v>
      </c>
      <c r="W3452" t="s">
        <v>42311</v>
      </c>
      <c r="X3452" t="s">
        <v>44909</v>
      </c>
    </row>
    <row r="3453" spans="1:24">
      <c r="A3453">
        <f>HYPERLINK("https://www.philgeps.gov.ph/GEPSNONPILOT/Tender/SplashBidNoticeAbstractUI.aspx?menuIndex=3&amp;refID=7079976&amp;Result=3","7079976")</f>
        <v>0</v>
      </c>
      <c r="B3453" t="s">
        <v>1294</v>
      </c>
      <c r="C3453" t="s">
        <v>6824</v>
      </c>
      <c r="D3453" t="s">
        <v>18110</v>
      </c>
      <c r="E3453" t="s">
        <v>21313</v>
      </c>
      <c r="F3453" t="s">
        <v>31362</v>
      </c>
      <c r="G3453" t="s">
        <v>31368</v>
      </c>
      <c r="H3453" t="s">
        <v>15799</v>
      </c>
      <c r="I3453" t="s">
        <v>31461</v>
      </c>
      <c r="J3453" t="s">
        <v>31545</v>
      </c>
      <c r="K3453" t="s">
        <v>40661</v>
      </c>
      <c r="M3453" t="s">
        <v>42312</v>
      </c>
      <c r="N3453" t="s">
        <v>44905</v>
      </c>
      <c r="O3453" t="s">
        <v>44906</v>
      </c>
      <c r="P3453">
        <v>0</v>
      </c>
      <c r="Q3453">
        <v>2</v>
      </c>
      <c r="R3453" t="s">
        <v>44908</v>
      </c>
      <c r="S3453" t="s">
        <v>45042</v>
      </c>
      <c r="T3453" t="s">
        <v>46470</v>
      </c>
      <c r="U3453" t="s">
        <v>49760</v>
      </c>
      <c r="W3453" t="s">
        <v>42312</v>
      </c>
      <c r="X3453" t="s">
        <v>44909</v>
      </c>
    </row>
    <row r="3454" spans="1:24">
      <c r="A3454">
        <f>HYPERLINK("https://www.philgeps.gov.ph/GEPSNONPILOT/Tender/SplashBidNoticeAbstractUI.aspx?menuIndex=3&amp;refID=7079983&amp;Result=3","7079983")</f>
        <v>0</v>
      </c>
      <c r="B3454" t="s">
        <v>1295</v>
      </c>
      <c r="C3454" t="s">
        <v>6825</v>
      </c>
      <c r="D3454" t="s">
        <v>18139</v>
      </c>
      <c r="E3454" t="s">
        <v>18460</v>
      </c>
      <c r="F3454" t="s">
        <v>31362</v>
      </c>
      <c r="G3454" t="s">
        <v>31368</v>
      </c>
      <c r="H3454" t="s">
        <v>15799</v>
      </c>
      <c r="I3454" t="s">
        <v>31422</v>
      </c>
      <c r="J3454" t="s">
        <v>33817</v>
      </c>
      <c r="K3454" t="s">
        <v>40670</v>
      </c>
      <c r="M3454" t="s">
        <v>42313</v>
      </c>
      <c r="N3454" t="s">
        <v>44905</v>
      </c>
      <c r="O3454" t="s">
        <v>44906</v>
      </c>
      <c r="P3454">
        <v>0</v>
      </c>
      <c r="Q3454">
        <v>0</v>
      </c>
      <c r="R3454" t="s">
        <v>44908</v>
      </c>
      <c r="S3454" t="s">
        <v>45042</v>
      </c>
      <c r="T3454" t="s">
        <v>46443</v>
      </c>
      <c r="U3454" t="s">
        <v>49761</v>
      </c>
      <c r="V3454" t="s">
        <v>59413</v>
      </c>
      <c r="W3454" t="s">
        <v>42313</v>
      </c>
      <c r="X3454" t="s">
        <v>44909</v>
      </c>
    </row>
    <row r="3455" spans="1:24">
      <c r="A3455">
        <f>HYPERLINK("https://www.philgeps.gov.ph/GEPSNONPILOT/Tender/SplashBidNoticeAbstractUI.aspx?menuIndex=3&amp;refID=7079974&amp;Result=3","7079974")</f>
        <v>0</v>
      </c>
      <c r="B3455" t="s">
        <v>1033</v>
      </c>
      <c r="C3455" t="s">
        <v>6826</v>
      </c>
      <c r="D3455" t="s">
        <v>18162</v>
      </c>
      <c r="E3455" t="s">
        <v>21314</v>
      </c>
      <c r="F3455" t="s">
        <v>31362</v>
      </c>
      <c r="G3455" t="s">
        <v>31369</v>
      </c>
      <c r="H3455" t="s">
        <v>15799</v>
      </c>
      <c r="I3455" t="s">
        <v>7188</v>
      </c>
      <c r="J3455" t="s">
        <v>31768</v>
      </c>
      <c r="K3455" t="s">
        <v>40670</v>
      </c>
      <c r="M3455" t="s">
        <v>42032</v>
      </c>
      <c r="N3455" t="s">
        <v>44905</v>
      </c>
      <c r="O3455" t="s">
        <v>44906</v>
      </c>
      <c r="P3455">
        <v>0</v>
      </c>
      <c r="Q3455">
        <v>1</v>
      </c>
      <c r="R3455" t="s">
        <v>44908</v>
      </c>
      <c r="S3455" t="s">
        <v>45042</v>
      </c>
      <c r="T3455" t="s">
        <v>46430</v>
      </c>
      <c r="U3455" t="s">
        <v>49762</v>
      </c>
      <c r="W3455" t="s">
        <v>42032</v>
      </c>
      <c r="X3455" t="s">
        <v>44909</v>
      </c>
    </row>
    <row r="3456" spans="1:24">
      <c r="A3456">
        <f>HYPERLINK("https://www.philgeps.gov.ph/GEPSNONPILOT/Tender/SplashBidNoticeAbstractUI.aspx?menuIndex=3&amp;refID=7079928&amp;Result=3","7079928")</f>
        <v>0</v>
      </c>
      <c r="B3456" t="s">
        <v>1164</v>
      </c>
      <c r="C3456" t="s">
        <v>6827</v>
      </c>
      <c r="D3456" t="s">
        <v>18111</v>
      </c>
      <c r="E3456" t="s">
        <v>21083</v>
      </c>
      <c r="F3456" t="s">
        <v>31362</v>
      </c>
      <c r="G3456" t="s">
        <v>31370</v>
      </c>
      <c r="H3456" t="s">
        <v>15799</v>
      </c>
      <c r="I3456" t="s">
        <v>7188</v>
      </c>
      <c r="J3456" t="s">
        <v>33818</v>
      </c>
      <c r="K3456" t="s">
        <v>40670</v>
      </c>
      <c r="M3456" t="s">
        <v>42174</v>
      </c>
      <c r="N3456" t="s">
        <v>44905</v>
      </c>
      <c r="O3456" t="s">
        <v>44906</v>
      </c>
      <c r="P3456">
        <v>0</v>
      </c>
      <c r="Q3456">
        <v>2</v>
      </c>
      <c r="R3456" t="s">
        <v>44908</v>
      </c>
      <c r="S3456" t="s">
        <v>45042</v>
      </c>
      <c r="T3456" t="s">
        <v>46414</v>
      </c>
      <c r="U3456" t="s">
        <v>49454</v>
      </c>
      <c r="W3456" t="s">
        <v>42174</v>
      </c>
      <c r="X3456" t="s">
        <v>44909</v>
      </c>
    </row>
    <row r="3457" spans="1:24">
      <c r="A3457">
        <f>HYPERLINK("https://www.philgeps.gov.ph/GEPSNONPILOT/Tender/SplashBidNoticeAbstractUI.aspx?menuIndex=3&amp;refID=7079973&amp;Result=3","7079973")</f>
        <v>0</v>
      </c>
      <c r="B3457" t="s">
        <v>270</v>
      </c>
      <c r="C3457" t="s">
        <v>6828</v>
      </c>
      <c r="D3457" t="s">
        <v>18166</v>
      </c>
      <c r="E3457" t="s">
        <v>21315</v>
      </c>
      <c r="F3457" t="s">
        <v>31362</v>
      </c>
      <c r="G3457" t="s">
        <v>31368</v>
      </c>
      <c r="H3457" t="s">
        <v>15799</v>
      </c>
      <c r="I3457" t="s">
        <v>4942</v>
      </c>
      <c r="J3457" t="s">
        <v>33819</v>
      </c>
      <c r="K3457" t="s">
        <v>40661</v>
      </c>
      <c r="M3457" t="s">
        <v>41953</v>
      </c>
      <c r="N3457" t="s">
        <v>44905</v>
      </c>
      <c r="O3457" t="s">
        <v>44906</v>
      </c>
      <c r="P3457">
        <v>0</v>
      </c>
      <c r="Q3457">
        <v>0</v>
      </c>
      <c r="R3457" t="s">
        <v>44908</v>
      </c>
      <c r="S3457" t="s">
        <v>45042</v>
      </c>
      <c r="T3457" t="s">
        <v>46416</v>
      </c>
      <c r="U3457" t="s">
        <v>49763</v>
      </c>
      <c r="W3457" t="s">
        <v>41953</v>
      </c>
      <c r="X3457" t="s">
        <v>44909</v>
      </c>
    </row>
    <row r="3458" spans="1:24">
      <c r="A3458">
        <f>HYPERLINK("https://www.philgeps.gov.ph/GEPSNONPILOT/Tender/SplashBidNoticeAbstractUI.aspx?menuIndex=3&amp;refID=7079971&amp;Result=3","7079971")</f>
        <v>0</v>
      </c>
      <c r="B3458" t="s">
        <v>1296</v>
      </c>
      <c r="C3458" t="s">
        <v>6829</v>
      </c>
      <c r="D3458" t="s">
        <v>18101</v>
      </c>
      <c r="E3458" t="s">
        <v>21316</v>
      </c>
      <c r="F3458" t="s">
        <v>31362</v>
      </c>
      <c r="G3458" t="s">
        <v>31368</v>
      </c>
      <c r="H3458" t="s">
        <v>15799</v>
      </c>
      <c r="I3458" t="s">
        <v>31385</v>
      </c>
      <c r="J3458" t="s">
        <v>33820</v>
      </c>
      <c r="K3458" t="s">
        <v>40697</v>
      </c>
      <c r="M3458" t="s">
        <v>42314</v>
      </c>
      <c r="N3458" t="s">
        <v>44905</v>
      </c>
      <c r="O3458" t="s">
        <v>44906</v>
      </c>
      <c r="P3458">
        <v>0</v>
      </c>
      <c r="Q3458">
        <v>1</v>
      </c>
      <c r="R3458" t="s">
        <v>44908</v>
      </c>
      <c r="S3458" t="s">
        <v>45042</v>
      </c>
      <c r="T3458" t="s">
        <v>46416</v>
      </c>
      <c r="U3458" t="s">
        <v>49764</v>
      </c>
      <c r="W3458" t="s">
        <v>42314</v>
      </c>
      <c r="X3458" t="s">
        <v>44909</v>
      </c>
    </row>
    <row r="3459" spans="1:24">
      <c r="A3459">
        <f>HYPERLINK("https://www.philgeps.gov.ph/GEPSNONPILOT/Tender/SplashBidNoticeAbstractUI.aspx?menuIndex=3&amp;refID=7079969&amp;Result=3","7079969")</f>
        <v>0</v>
      </c>
      <c r="B3459" t="s">
        <v>1260</v>
      </c>
      <c r="C3459" t="s">
        <v>6830</v>
      </c>
      <c r="D3459" t="s">
        <v>18142</v>
      </c>
      <c r="E3459" t="s">
        <v>21317</v>
      </c>
      <c r="F3459" t="s">
        <v>31362</v>
      </c>
      <c r="G3459" t="s">
        <v>31369</v>
      </c>
      <c r="H3459" t="s">
        <v>15799</v>
      </c>
      <c r="I3459" t="s">
        <v>31419</v>
      </c>
      <c r="J3459" t="s">
        <v>33821</v>
      </c>
      <c r="K3459" t="s">
        <v>40665</v>
      </c>
      <c r="M3459" t="s">
        <v>42276</v>
      </c>
      <c r="N3459" t="s">
        <v>44905</v>
      </c>
      <c r="O3459" t="s">
        <v>44906</v>
      </c>
      <c r="P3459">
        <v>0</v>
      </c>
      <c r="Q3459">
        <v>6</v>
      </c>
      <c r="R3459" t="s">
        <v>44908</v>
      </c>
      <c r="S3459" t="s">
        <v>45042</v>
      </c>
      <c r="T3459" t="s">
        <v>46401</v>
      </c>
      <c r="U3459" t="s">
        <v>49765</v>
      </c>
      <c r="V3459" t="s">
        <v>59414</v>
      </c>
      <c r="W3459" t="s">
        <v>42276</v>
      </c>
      <c r="X3459" t="s">
        <v>44909</v>
      </c>
    </row>
    <row r="3460" spans="1:24">
      <c r="A3460">
        <f>HYPERLINK("https://www.philgeps.gov.ph/GEPSNONPILOT/Tender/SplashBidNoticeAbstractUI.aspx?menuIndex=3&amp;refID=7079967&amp;Result=3","7079967")</f>
        <v>0</v>
      </c>
      <c r="B3460" t="s">
        <v>406</v>
      </c>
      <c r="C3460" t="s">
        <v>6831</v>
      </c>
      <c r="E3460" t="s">
        <v>21318</v>
      </c>
      <c r="F3460" t="s">
        <v>31362</v>
      </c>
      <c r="G3460" t="s">
        <v>31370</v>
      </c>
      <c r="H3460" t="s">
        <v>15799</v>
      </c>
      <c r="I3460" t="s">
        <v>7090</v>
      </c>
      <c r="J3460" t="s">
        <v>33822</v>
      </c>
      <c r="K3460" t="s">
        <v>40662</v>
      </c>
      <c r="M3460" t="s">
        <v>41356</v>
      </c>
      <c r="N3460" t="s">
        <v>44905</v>
      </c>
      <c r="O3460" t="s">
        <v>44906</v>
      </c>
      <c r="P3460">
        <v>0</v>
      </c>
      <c r="Q3460">
        <v>4</v>
      </c>
      <c r="R3460" t="s">
        <v>44908</v>
      </c>
      <c r="S3460" t="s">
        <v>45042</v>
      </c>
      <c r="T3460" t="s">
        <v>46414</v>
      </c>
      <c r="U3460" t="s">
        <v>46933</v>
      </c>
      <c r="W3460" t="s">
        <v>41356</v>
      </c>
      <c r="X3460" t="s">
        <v>44909</v>
      </c>
    </row>
    <row r="3461" spans="1:24">
      <c r="A3461">
        <f>HYPERLINK("https://www.philgeps.gov.ph/GEPSNONPILOT/Tender/SplashBidNoticeAbstractUI.aspx?menuIndex=3&amp;refID=7079966&amp;Result=3","7079966")</f>
        <v>0</v>
      </c>
      <c r="B3461" t="s">
        <v>1033</v>
      </c>
      <c r="C3461" t="s">
        <v>6832</v>
      </c>
      <c r="D3461" t="s">
        <v>18162</v>
      </c>
      <c r="E3461" t="s">
        <v>21319</v>
      </c>
      <c r="F3461" t="s">
        <v>31362</v>
      </c>
      <c r="G3461" t="s">
        <v>31369</v>
      </c>
      <c r="H3461" t="s">
        <v>15799</v>
      </c>
      <c r="I3461" t="s">
        <v>7188</v>
      </c>
      <c r="J3461" t="s">
        <v>31921</v>
      </c>
      <c r="K3461" t="s">
        <v>40670</v>
      </c>
      <c r="M3461" t="s">
        <v>42032</v>
      </c>
      <c r="N3461" t="s">
        <v>44905</v>
      </c>
      <c r="O3461" t="s">
        <v>44906</v>
      </c>
      <c r="P3461">
        <v>0</v>
      </c>
      <c r="Q3461">
        <v>1</v>
      </c>
      <c r="R3461" t="s">
        <v>44908</v>
      </c>
      <c r="S3461" t="s">
        <v>45042</v>
      </c>
      <c r="T3461" t="s">
        <v>46430</v>
      </c>
      <c r="U3461" t="s">
        <v>49766</v>
      </c>
      <c r="W3461" t="s">
        <v>42032</v>
      </c>
      <c r="X3461" t="s">
        <v>44909</v>
      </c>
    </row>
    <row r="3462" spans="1:24">
      <c r="A3462">
        <f>HYPERLINK("https://www.philgeps.gov.ph/GEPSNONPILOT/Tender/SplashBidNoticeAbstractUI.aspx?menuIndex=3&amp;refID=7079963&amp;Result=3","7079963")</f>
        <v>0</v>
      </c>
      <c r="B3462" t="s">
        <v>235</v>
      </c>
      <c r="C3462" t="s">
        <v>6833</v>
      </c>
      <c r="D3462" t="s">
        <v>18100</v>
      </c>
      <c r="E3462" t="s">
        <v>21320</v>
      </c>
      <c r="F3462" t="s">
        <v>31362</v>
      </c>
      <c r="G3462" t="s">
        <v>31368</v>
      </c>
      <c r="H3462" t="s">
        <v>15799</v>
      </c>
      <c r="I3462" t="s">
        <v>31385</v>
      </c>
      <c r="J3462" t="s">
        <v>31546</v>
      </c>
      <c r="K3462" t="s">
        <v>40661</v>
      </c>
      <c r="M3462" t="s">
        <v>41174</v>
      </c>
      <c r="N3462" t="s">
        <v>44905</v>
      </c>
      <c r="O3462" t="s">
        <v>44906</v>
      </c>
      <c r="P3462">
        <v>0</v>
      </c>
      <c r="Q3462">
        <v>1</v>
      </c>
      <c r="R3462" t="s">
        <v>44908</v>
      </c>
      <c r="S3462" t="s">
        <v>45042</v>
      </c>
      <c r="T3462" t="s">
        <v>46427</v>
      </c>
      <c r="U3462" t="s">
        <v>49767</v>
      </c>
      <c r="W3462" t="s">
        <v>41174</v>
      </c>
      <c r="X3462" t="s">
        <v>44909</v>
      </c>
    </row>
    <row r="3463" spans="1:24">
      <c r="A3463">
        <f>HYPERLINK("https://www.philgeps.gov.ph/GEPSNONPILOT/Tender/SplashBidNoticeAbstractUI.aspx?menuIndex=3&amp;refID=7079907&amp;Result=3","7079907")</f>
        <v>0</v>
      </c>
      <c r="B3463" t="s">
        <v>1297</v>
      </c>
      <c r="C3463" t="s">
        <v>6834</v>
      </c>
      <c r="D3463" t="s">
        <v>18125</v>
      </c>
      <c r="E3463" t="s">
        <v>21321</v>
      </c>
      <c r="F3463" t="s">
        <v>31362</v>
      </c>
      <c r="G3463" t="s">
        <v>31369</v>
      </c>
      <c r="H3463" t="s">
        <v>31378</v>
      </c>
      <c r="I3463" t="s">
        <v>31386</v>
      </c>
      <c r="J3463" t="s">
        <v>33446</v>
      </c>
      <c r="K3463" t="s">
        <v>40760</v>
      </c>
      <c r="M3463" t="s">
        <v>42315</v>
      </c>
      <c r="N3463" t="s">
        <v>44905</v>
      </c>
      <c r="O3463" t="s">
        <v>44906</v>
      </c>
      <c r="P3463">
        <v>0</v>
      </c>
      <c r="Q3463">
        <v>1</v>
      </c>
      <c r="R3463" t="s">
        <v>44908</v>
      </c>
      <c r="S3463" t="s">
        <v>45042</v>
      </c>
      <c r="T3463" t="s">
        <v>46620</v>
      </c>
      <c r="U3463" t="s">
        <v>49768</v>
      </c>
      <c r="W3463" t="s">
        <v>42315</v>
      </c>
      <c r="X3463" t="s">
        <v>44909</v>
      </c>
    </row>
    <row r="3464" spans="1:24">
      <c r="A3464">
        <f>HYPERLINK("https://www.philgeps.gov.ph/GEPSNONPILOT/Tender/SplashBidNoticeAbstractUI.aspx?menuIndex=3&amp;refID=7079939&amp;Result=3","7079939")</f>
        <v>0</v>
      </c>
      <c r="B3464" t="s">
        <v>1297</v>
      </c>
      <c r="C3464" t="s">
        <v>6835</v>
      </c>
      <c r="D3464" t="s">
        <v>18125</v>
      </c>
      <c r="E3464" t="s">
        <v>21322</v>
      </c>
      <c r="F3464" t="s">
        <v>31362</v>
      </c>
      <c r="G3464" t="s">
        <v>31369</v>
      </c>
      <c r="H3464" t="s">
        <v>15799</v>
      </c>
      <c r="I3464" t="s">
        <v>3815</v>
      </c>
      <c r="J3464" t="s">
        <v>31591</v>
      </c>
      <c r="K3464" t="s">
        <v>40682</v>
      </c>
      <c r="M3464" t="s">
        <v>42315</v>
      </c>
      <c r="N3464" t="s">
        <v>44905</v>
      </c>
      <c r="O3464" t="s">
        <v>44906</v>
      </c>
      <c r="P3464">
        <v>0</v>
      </c>
      <c r="Q3464">
        <v>0</v>
      </c>
      <c r="R3464" t="s">
        <v>44908</v>
      </c>
      <c r="S3464" t="s">
        <v>45042</v>
      </c>
      <c r="T3464" t="s">
        <v>46616</v>
      </c>
      <c r="U3464" t="s">
        <v>49768</v>
      </c>
      <c r="W3464" t="s">
        <v>42315</v>
      </c>
      <c r="X3464" t="s">
        <v>44909</v>
      </c>
    </row>
    <row r="3465" spans="1:24">
      <c r="A3465">
        <f>HYPERLINK("https://www.philgeps.gov.ph/GEPSNONPILOT/Tender/SplashBidNoticeAbstractUI.aspx?menuIndex=3&amp;refID=7079978&amp;Result=3","7079978")</f>
        <v>0</v>
      </c>
      <c r="B3465" t="s">
        <v>1261</v>
      </c>
      <c r="C3465" t="s">
        <v>6836</v>
      </c>
      <c r="D3465" t="s">
        <v>18113</v>
      </c>
      <c r="E3465" t="s">
        <v>6836</v>
      </c>
      <c r="F3465" t="s">
        <v>31362</v>
      </c>
      <c r="G3465" t="s">
        <v>31369</v>
      </c>
      <c r="H3465" t="s">
        <v>15799</v>
      </c>
      <c r="I3465" t="s">
        <v>31393</v>
      </c>
      <c r="J3465" t="s">
        <v>31849</v>
      </c>
      <c r="K3465" t="s">
        <v>40665</v>
      </c>
      <c r="M3465" t="s">
        <v>42277</v>
      </c>
      <c r="N3465" t="s">
        <v>44905</v>
      </c>
      <c r="O3465" t="s">
        <v>44906</v>
      </c>
      <c r="P3465">
        <v>0</v>
      </c>
      <c r="Q3465">
        <v>1</v>
      </c>
      <c r="R3465" t="s">
        <v>44908</v>
      </c>
      <c r="S3465" t="s">
        <v>45042</v>
      </c>
      <c r="T3465" t="s">
        <v>46611</v>
      </c>
      <c r="U3465" t="s">
        <v>49769</v>
      </c>
      <c r="W3465" t="s">
        <v>42277</v>
      </c>
      <c r="X3465" t="s">
        <v>44909</v>
      </c>
    </row>
    <row r="3466" spans="1:24">
      <c r="A3466">
        <f>HYPERLINK("https://www.philgeps.gov.ph/GEPSNONPILOT/Tender/SplashBidNoticeAbstractUI.aspx?menuIndex=3&amp;refID=7079938&amp;Result=3","7079938")</f>
        <v>0</v>
      </c>
      <c r="B3466" t="s">
        <v>1257</v>
      </c>
      <c r="C3466" t="s">
        <v>6837</v>
      </c>
      <c r="D3466" t="s">
        <v>18108</v>
      </c>
      <c r="E3466" t="s">
        <v>21323</v>
      </c>
      <c r="F3466" t="s">
        <v>31362</v>
      </c>
      <c r="G3466" t="s">
        <v>31369</v>
      </c>
      <c r="H3466" t="s">
        <v>15799</v>
      </c>
      <c r="I3466" t="s">
        <v>7090</v>
      </c>
      <c r="J3466" t="s">
        <v>33823</v>
      </c>
      <c r="K3466" t="s">
        <v>40661</v>
      </c>
      <c r="M3466" t="s">
        <v>42273</v>
      </c>
      <c r="N3466" t="s">
        <v>44905</v>
      </c>
      <c r="O3466" t="s">
        <v>44906</v>
      </c>
      <c r="P3466">
        <v>0</v>
      </c>
      <c r="Q3466">
        <v>1</v>
      </c>
      <c r="R3466" t="s">
        <v>44908</v>
      </c>
      <c r="S3466" t="s">
        <v>45042</v>
      </c>
      <c r="T3466" t="s">
        <v>46506</v>
      </c>
      <c r="U3466" t="s">
        <v>49770</v>
      </c>
      <c r="W3466" t="s">
        <v>42273</v>
      </c>
      <c r="X3466" t="s">
        <v>44909</v>
      </c>
    </row>
    <row r="3467" spans="1:24">
      <c r="A3467">
        <f>HYPERLINK("https://www.philgeps.gov.ph/GEPSNONPILOT/Tender/SplashBidNoticeAbstractUI.aspx?menuIndex=3&amp;refID=7079899&amp;Result=3","7079899")</f>
        <v>0</v>
      </c>
      <c r="B3467" t="s">
        <v>1288</v>
      </c>
      <c r="C3467" t="s">
        <v>6838</v>
      </c>
      <c r="D3467" t="s">
        <v>18108</v>
      </c>
      <c r="E3467" t="s">
        <v>21324</v>
      </c>
      <c r="F3467" t="s">
        <v>31362</v>
      </c>
      <c r="G3467" t="s">
        <v>31369</v>
      </c>
      <c r="H3467" t="s">
        <v>31378</v>
      </c>
      <c r="I3467" t="s">
        <v>31386</v>
      </c>
      <c r="J3467" t="s">
        <v>33824</v>
      </c>
      <c r="K3467" t="s">
        <v>40666</v>
      </c>
      <c r="M3467" t="s">
        <v>42305</v>
      </c>
      <c r="N3467" t="s">
        <v>44905</v>
      </c>
      <c r="O3467" t="s">
        <v>44906</v>
      </c>
      <c r="P3467">
        <v>0</v>
      </c>
      <c r="Q3467">
        <v>3</v>
      </c>
      <c r="R3467" t="s">
        <v>44908</v>
      </c>
      <c r="S3467" t="s">
        <v>45042</v>
      </c>
      <c r="T3467" t="s">
        <v>46506</v>
      </c>
      <c r="U3467" t="s">
        <v>49771</v>
      </c>
      <c r="W3467" t="s">
        <v>42305</v>
      </c>
      <c r="X3467" t="s">
        <v>44909</v>
      </c>
    </row>
    <row r="3468" spans="1:24">
      <c r="A3468">
        <f>HYPERLINK("https://www.philgeps.gov.ph/GEPSNONPILOT/Tender/SplashBidNoticeAbstractUI.aspx?menuIndex=3&amp;refID=7079988&amp;Result=3","7079988")</f>
        <v>0</v>
      </c>
      <c r="B3468" t="s">
        <v>783</v>
      </c>
      <c r="C3468" t="s">
        <v>6839</v>
      </c>
      <c r="D3468" t="s">
        <v>18140</v>
      </c>
      <c r="E3468" t="s">
        <v>20009</v>
      </c>
      <c r="F3468" t="s">
        <v>31362</v>
      </c>
      <c r="G3468" t="s">
        <v>31369</v>
      </c>
      <c r="H3468" t="s">
        <v>15799</v>
      </c>
      <c r="I3468" t="s">
        <v>31385</v>
      </c>
      <c r="J3468" t="s">
        <v>33825</v>
      </c>
      <c r="K3468" t="s">
        <v>40661</v>
      </c>
      <c r="M3468" t="s">
        <v>41753</v>
      </c>
      <c r="N3468" t="s">
        <v>44905</v>
      </c>
      <c r="O3468" t="s">
        <v>44906</v>
      </c>
      <c r="P3468">
        <v>0</v>
      </c>
      <c r="Q3468">
        <v>4</v>
      </c>
      <c r="R3468" t="s">
        <v>44908</v>
      </c>
      <c r="S3468" t="s">
        <v>45042</v>
      </c>
      <c r="T3468" t="s">
        <v>46648</v>
      </c>
      <c r="U3468" t="s">
        <v>49772</v>
      </c>
      <c r="V3468" t="s">
        <v>59415</v>
      </c>
      <c r="W3468" t="s">
        <v>41753</v>
      </c>
      <c r="X3468" t="s">
        <v>44909</v>
      </c>
    </row>
    <row r="3469" spans="1:24">
      <c r="A3469">
        <f>HYPERLINK("https://www.philgeps.gov.ph/GEPSNONPILOT/Tender/SplashBidNoticeAbstractUI.aspx?menuIndex=3&amp;refID=7079964&amp;Result=3","7079964")</f>
        <v>0</v>
      </c>
      <c r="B3469" t="s">
        <v>783</v>
      </c>
      <c r="C3469" t="s">
        <v>6840</v>
      </c>
      <c r="D3469" t="s">
        <v>18140</v>
      </c>
      <c r="E3469" t="s">
        <v>19649</v>
      </c>
      <c r="F3469" t="s">
        <v>31362</v>
      </c>
      <c r="G3469" t="s">
        <v>31369</v>
      </c>
      <c r="H3469" t="s">
        <v>15799</v>
      </c>
      <c r="I3469" t="s">
        <v>6373</v>
      </c>
      <c r="J3469" t="s">
        <v>33826</v>
      </c>
      <c r="K3469" t="s">
        <v>40661</v>
      </c>
      <c r="M3469" t="s">
        <v>41753</v>
      </c>
      <c r="N3469" t="s">
        <v>44905</v>
      </c>
      <c r="O3469" t="s">
        <v>44906</v>
      </c>
      <c r="P3469">
        <v>0</v>
      </c>
      <c r="Q3469">
        <v>5</v>
      </c>
      <c r="R3469" t="s">
        <v>44908</v>
      </c>
      <c r="S3469" t="s">
        <v>45042</v>
      </c>
      <c r="T3469" t="s">
        <v>46648</v>
      </c>
      <c r="U3469" t="s">
        <v>49773</v>
      </c>
      <c r="V3469" t="s">
        <v>59415</v>
      </c>
      <c r="W3469" t="s">
        <v>41753</v>
      </c>
      <c r="X3469" t="s">
        <v>44909</v>
      </c>
    </row>
    <row r="3470" spans="1:24">
      <c r="A3470">
        <f>HYPERLINK("https://www.philgeps.gov.ph/GEPSNONPILOT/Tender/SplashBidNoticeAbstractUI.aspx?menuIndex=3&amp;refID=7080006&amp;Result=3","7080006")</f>
        <v>0</v>
      </c>
      <c r="B3470" t="s">
        <v>1033</v>
      </c>
      <c r="C3470" t="s">
        <v>6841</v>
      </c>
      <c r="D3470" t="s">
        <v>18162</v>
      </c>
      <c r="E3470" t="s">
        <v>21325</v>
      </c>
      <c r="F3470" t="s">
        <v>31362</v>
      </c>
      <c r="G3470" t="s">
        <v>31369</v>
      </c>
      <c r="H3470" t="s">
        <v>15799</v>
      </c>
      <c r="I3470" t="s">
        <v>7188</v>
      </c>
      <c r="J3470" t="s">
        <v>32143</v>
      </c>
      <c r="K3470" t="s">
        <v>40670</v>
      </c>
      <c r="M3470" t="s">
        <v>42032</v>
      </c>
      <c r="N3470" t="s">
        <v>44905</v>
      </c>
      <c r="O3470" t="s">
        <v>44906</v>
      </c>
      <c r="P3470">
        <v>0</v>
      </c>
      <c r="Q3470">
        <v>0</v>
      </c>
      <c r="R3470" t="s">
        <v>44908</v>
      </c>
      <c r="S3470" t="s">
        <v>45042</v>
      </c>
      <c r="T3470" t="s">
        <v>46430</v>
      </c>
      <c r="U3470" t="s">
        <v>49774</v>
      </c>
      <c r="W3470" t="s">
        <v>42032</v>
      </c>
      <c r="X3470" t="s">
        <v>44909</v>
      </c>
    </row>
    <row r="3471" spans="1:24">
      <c r="A3471">
        <f>HYPERLINK("https://www.philgeps.gov.ph/GEPSNONPILOT/Tender/SplashBidNoticeAbstractUI.aspx?menuIndex=3&amp;refID=7080003&amp;Result=3","7080003")</f>
        <v>0</v>
      </c>
      <c r="B3471" t="s">
        <v>1051</v>
      </c>
      <c r="C3471" t="s">
        <v>6842</v>
      </c>
      <c r="D3471" t="s">
        <v>18116</v>
      </c>
      <c r="E3471" t="s">
        <v>21326</v>
      </c>
      <c r="F3471" t="s">
        <v>31362</v>
      </c>
      <c r="G3471" t="s">
        <v>31368</v>
      </c>
      <c r="H3471" t="s">
        <v>15799</v>
      </c>
      <c r="I3471" t="s">
        <v>4283</v>
      </c>
      <c r="J3471" t="s">
        <v>33827</v>
      </c>
      <c r="K3471" t="s">
        <v>40662</v>
      </c>
      <c r="M3471" t="s">
        <v>42052</v>
      </c>
      <c r="N3471" t="s">
        <v>44905</v>
      </c>
      <c r="O3471" t="s">
        <v>44906</v>
      </c>
      <c r="P3471">
        <v>0</v>
      </c>
      <c r="Q3471">
        <v>3</v>
      </c>
      <c r="R3471" t="s">
        <v>44908</v>
      </c>
      <c r="S3471" t="s">
        <v>45042</v>
      </c>
      <c r="T3471" t="s">
        <v>46498</v>
      </c>
      <c r="U3471" t="s">
        <v>49775</v>
      </c>
      <c r="W3471" t="s">
        <v>42052</v>
      </c>
      <c r="X3471" t="s">
        <v>44909</v>
      </c>
    </row>
    <row r="3472" spans="1:24">
      <c r="A3472">
        <f>HYPERLINK("https://www.philgeps.gov.ph/GEPSNONPILOT/Tender/SplashBidNoticeAbstractUI.aspx?menuIndex=3&amp;refID=7080002&amp;Result=3","7080002")</f>
        <v>0</v>
      </c>
      <c r="B3472" t="s">
        <v>412</v>
      </c>
      <c r="C3472" t="s">
        <v>6843</v>
      </c>
      <c r="D3472" t="s">
        <v>18127</v>
      </c>
      <c r="E3472" t="s">
        <v>21327</v>
      </c>
      <c r="F3472" t="s">
        <v>31362</v>
      </c>
      <c r="G3472" t="s">
        <v>31369</v>
      </c>
      <c r="H3472" t="s">
        <v>31378</v>
      </c>
      <c r="I3472" t="s">
        <v>31386</v>
      </c>
      <c r="J3472" t="s">
        <v>33828</v>
      </c>
      <c r="K3472" t="s">
        <v>40677</v>
      </c>
      <c r="M3472" t="s">
        <v>41362</v>
      </c>
      <c r="N3472" t="s">
        <v>44905</v>
      </c>
      <c r="O3472" t="s">
        <v>44906</v>
      </c>
      <c r="P3472">
        <v>0</v>
      </c>
      <c r="Q3472">
        <v>0</v>
      </c>
      <c r="R3472" t="s">
        <v>44908</v>
      </c>
      <c r="S3472" t="s">
        <v>45042</v>
      </c>
      <c r="T3472" t="s">
        <v>46529</v>
      </c>
      <c r="U3472" t="s">
        <v>49776</v>
      </c>
      <c r="V3472" t="s">
        <v>59162</v>
      </c>
      <c r="W3472" t="s">
        <v>41362</v>
      </c>
      <c r="X3472" t="s">
        <v>44909</v>
      </c>
    </row>
    <row r="3473" spans="1:24">
      <c r="A3473">
        <f>HYPERLINK("https://www.philgeps.gov.ph/GEPSNONPILOT/Tender/SplashBidNoticeAbstractUI.aspx?menuIndex=3&amp;refID=7080000&amp;Result=3","7080000")</f>
        <v>0</v>
      </c>
      <c r="B3473" t="s">
        <v>1298</v>
      </c>
      <c r="C3473" t="s">
        <v>6844</v>
      </c>
      <c r="D3473" t="s">
        <v>18108</v>
      </c>
      <c r="E3473" t="s">
        <v>21328</v>
      </c>
      <c r="F3473" t="s">
        <v>31362</v>
      </c>
      <c r="G3473" t="s">
        <v>31370</v>
      </c>
      <c r="H3473" t="s">
        <v>15799</v>
      </c>
      <c r="I3473" t="s">
        <v>7090</v>
      </c>
      <c r="J3473" t="s">
        <v>33829</v>
      </c>
      <c r="K3473" t="s">
        <v>40661</v>
      </c>
      <c r="M3473" t="s">
        <v>42316</v>
      </c>
      <c r="N3473" t="s">
        <v>44905</v>
      </c>
      <c r="O3473" t="s">
        <v>44906</v>
      </c>
      <c r="P3473">
        <v>0</v>
      </c>
      <c r="Q3473">
        <v>1</v>
      </c>
      <c r="R3473" t="s">
        <v>44908</v>
      </c>
      <c r="S3473" t="s">
        <v>45042</v>
      </c>
      <c r="T3473" t="s">
        <v>46400</v>
      </c>
      <c r="U3473" t="s">
        <v>49777</v>
      </c>
      <c r="W3473" t="s">
        <v>42316</v>
      </c>
      <c r="X3473" t="s">
        <v>44909</v>
      </c>
    </row>
    <row r="3474" spans="1:24">
      <c r="A3474">
        <f>HYPERLINK("https://www.philgeps.gov.ph/GEPSNONPILOT/Tender/SplashBidNoticeAbstractUI.aspx?menuIndex=3&amp;refID=7079781&amp;Result=3","7079781")</f>
        <v>0</v>
      </c>
      <c r="B3474" t="s">
        <v>214</v>
      </c>
      <c r="C3474" t="s">
        <v>6845</v>
      </c>
      <c r="D3474" t="s">
        <v>18158</v>
      </c>
      <c r="E3474" t="s">
        <v>21329</v>
      </c>
      <c r="F3474" t="s">
        <v>31362</v>
      </c>
      <c r="G3474" t="s">
        <v>31368</v>
      </c>
      <c r="H3474" t="s">
        <v>15799</v>
      </c>
      <c r="I3474" t="s">
        <v>31380</v>
      </c>
      <c r="J3474" t="s">
        <v>33830</v>
      </c>
      <c r="K3474" t="s">
        <v>40677</v>
      </c>
      <c r="M3474" t="s">
        <v>41153</v>
      </c>
      <c r="N3474" t="s">
        <v>44905</v>
      </c>
      <c r="O3474" t="s">
        <v>44906</v>
      </c>
      <c r="P3474">
        <v>0</v>
      </c>
      <c r="Q3474">
        <v>2</v>
      </c>
      <c r="R3474" t="s">
        <v>44908</v>
      </c>
      <c r="S3474" t="s">
        <v>45042</v>
      </c>
      <c r="T3474" t="s">
        <v>46478</v>
      </c>
      <c r="U3474" t="s">
        <v>49778</v>
      </c>
      <c r="W3474" t="s">
        <v>41153</v>
      </c>
      <c r="X3474" t="s">
        <v>44909</v>
      </c>
    </row>
    <row r="3475" spans="1:24">
      <c r="A3475">
        <f>HYPERLINK("https://www.philgeps.gov.ph/GEPSNONPILOT/Tender/SplashBidNoticeAbstractUI.aspx?menuIndex=3&amp;refID=7079999&amp;Result=3","7079999")</f>
        <v>0</v>
      </c>
      <c r="B3475" t="s">
        <v>534</v>
      </c>
      <c r="C3475" t="s">
        <v>6846</v>
      </c>
      <c r="D3475" t="s">
        <v>18131</v>
      </c>
      <c r="E3475" t="s">
        <v>21330</v>
      </c>
      <c r="F3475" t="s">
        <v>31362</v>
      </c>
      <c r="G3475" t="s">
        <v>31372</v>
      </c>
      <c r="H3475" t="s">
        <v>15799</v>
      </c>
      <c r="I3475" t="s">
        <v>31387</v>
      </c>
      <c r="J3475" t="s">
        <v>33831</v>
      </c>
      <c r="K3475" t="s">
        <v>40670</v>
      </c>
      <c r="M3475" t="s">
        <v>41490</v>
      </c>
      <c r="N3475" t="s">
        <v>44905</v>
      </c>
      <c r="O3475" t="s">
        <v>44906</v>
      </c>
      <c r="P3475">
        <v>0</v>
      </c>
      <c r="Q3475">
        <v>0</v>
      </c>
      <c r="R3475" t="s">
        <v>44908</v>
      </c>
      <c r="S3475" t="s">
        <v>45042</v>
      </c>
      <c r="T3475" t="s">
        <v>46435</v>
      </c>
      <c r="U3475" t="s">
        <v>49779</v>
      </c>
      <c r="W3475" t="s">
        <v>41490</v>
      </c>
      <c r="X3475" t="s">
        <v>44909</v>
      </c>
    </row>
    <row r="3476" spans="1:24">
      <c r="A3476">
        <f>HYPERLINK("https://www.philgeps.gov.ph/GEPSNONPILOT/Tender/SplashBidNoticeAbstractUI.aspx?menuIndex=3&amp;refID=7080004&amp;Result=3","7080004")</f>
        <v>0</v>
      </c>
      <c r="B3476" t="s">
        <v>1270</v>
      </c>
      <c r="C3476" t="s">
        <v>6847</v>
      </c>
      <c r="D3476" t="s">
        <v>18157</v>
      </c>
      <c r="E3476" t="s">
        <v>21331</v>
      </c>
      <c r="F3476" t="s">
        <v>31362</v>
      </c>
      <c r="G3476" t="s">
        <v>31368</v>
      </c>
      <c r="H3476" t="s">
        <v>15799</v>
      </c>
      <c r="I3476" t="s">
        <v>4057</v>
      </c>
      <c r="J3476" t="s">
        <v>33832</v>
      </c>
      <c r="K3476" t="s">
        <v>40698</v>
      </c>
      <c r="M3476" t="s">
        <v>42287</v>
      </c>
      <c r="N3476" t="s">
        <v>44905</v>
      </c>
      <c r="O3476" t="s">
        <v>44906</v>
      </c>
      <c r="P3476">
        <v>0</v>
      </c>
      <c r="Q3476">
        <v>0</v>
      </c>
      <c r="R3476" t="s">
        <v>44908</v>
      </c>
      <c r="S3476" t="s">
        <v>45042</v>
      </c>
      <c r="T3476" t="s">
        <v>46404</v>
      </c>
      <c r="U3476" t="s">
        <v>49706</v>
      </c>
      <c r="W3476" t="s">
        <v>42287</v>
      </c>
      <c r="X3476" t="s">
        <v>44909</v>
      </c>
    </row>
    <row r="3477" spans="1:24">
      <c r="A3477">
        <f>HYPERLINK("https://www.philgeps.gov.ph/GEPSNONPILOT/Tender/SplashBidNoticeAbstractUI.aspx?menuIndex=3&amp;refID=7079997&amp;Result=3","7079997")</f>
        <v>0</v>
      </c>
      <c r="B3477" t="s">
        <v>1283</v>
      </c>
      <c r="C3477" t="s">
        <v>6848</v>
      </c>
      <c r="D3477" t="s">
        <v>18122</v>
      </c>
      <c r="E3477" t="s">
        <v>18874</v>
      </c>
      <c r="F3477" t="s">
        <v>31362</v>
      </c>
      <c r="G3477" t="s">
        <v>31369</v>
      </c>
      <c r="H3477" t="s">
        <v>15799</v>
      </c>
      <c r="I3477" t="s">
        <v>3815</v>
      </c>
      <c r="J3477" t="s">
        <v>33833</v>
      </c>
      <c r="K3477" t="s">
        <v>40666</v>
      </c>
      <c r="M3477" t="s">
        <v>42300</v>
      </c>
      <c r="N3477" t="s">
        <v>44905</v>
      </c>
      <c r="O3477" t="s">
        <v>44906</v>
      </c>
      <c r="P3477">
        <v>0</v>
      </c>
      <c r="Q3477">
        <v>0</v>
      </c>
      <c r="R3477" t="s">
        <v>44908</v>
      </c>
      <c r="S3477" t="s">
        <v>45042</v>
      </c>
      <c r="T3477" t="s">
        <v>46506</v>
      </c>
      <c r="U3477" t="s">
        <v>49780</v>
      </c>
      <c r="W3477" t="s">
        <v>42300</v>
      </c>
      <c r="X3477" t="s">
        <v>44909</v>
      </c>
    </row>
    <row r="3478" spans="1:24">
      <c r="A3478">
        <f>HYPERLINK("https://www.philgeps.gov.ph/GEPSNONPILOT/Tender/SplashBidNoticeAbstractUI.aspx?menuIndex=3&amp;refID=7079996&amp;Result=3","7079996")</f>
        <v>0</v>
      </c>
      <c r="B3478" t="s">
        <v>406</v>
      </c>
      <c r="C3478" t="s">
        <v>6849</v>
      </c>
      <c r="E3478" t="s">
        <v>21332</v>
      </c>
      <c r="F3478" t="s">
        <v>31362</v>
      </c>
      <c r="G3478" t="s">
        <v>31370</v>
      </c>
      <c r="H3478" t="s">
        <v>15799</v>
      </c>
      <c r="I3478" t="s">
        <v>7188</v>
      </c>
      <c r="J3478" t="s">
        <v>31577</v>
      </c>
      <c r="K3478" t="s">
        <v>40662</v>
      </c>
      <c r="M3478" t="s">
        <v>41356</v>
      </c>
      <c r="N3478" t="s">
        <v>44905</v>
      </c>
      <c r="O3478" t="s">
        <v>44906</v>
      </c>
      <c r="P3478">
        <v>0</v>
      </c>
      <c r="Q3478">
        <v>9</v>
      </c>
      <c r="R3478" t="s">
        <v>44908</v>
      </c>
      <c r="S3478" t="s">
        <v>45042</v>
      </c>
      <c r="T3478" t="s">
        <v>46414</v>
      </c>
      <c r="U3478" t="s">
        <v>46933</v>
      </c>
      <c r="W3478" t="s">
        <v>41356</v>
      </c>
      <c r="X3478" t="s">
        <v>44909</v>
      </c>
    </row>
    <row r="3479" spans="1:24">
      <c r="A3479">
        <f>HYPERLINK("https://www.philgeps.gov.ph/GEPSNONPILOT/Tender/SplashBidNoticeAbstractUI.aspx?menuIndex=3&amp;refID=7079995&amp;Result=3","7079995")</f>
        <v>0</v>
      </c>
      <c r="B3479" t="s">
        <v>1299</v>
      </c>
      <c r="C3479" t="s">
        <v>6850</v>
      </c>
      <c r="D3479" t="s">
        <v>18160</v>
      </c>
      <c r="E3479" t="s">
        <v>21333</v>
      </c>
      <c r="F3479" t="s">
        <v>31362</v>
      </c>
      <c r="G3479" t="s">
        <v>31369</v>
      </c>
      <c r="H3479" t="s">
        <v>15799</v>
      </c>
      <c r="I3479" t="s">
        <v>3815</v>
      </c>
      <c r="J3479" t="s">
        <v>33834</v>
      </c>
      <c r="K3479" t="s">
        <v>40665</v>
      </c>
      <c r="M3479" t="s">
        <v>42317</v>
      </c>
      <c r="N3479" t="s">
        <v>44905</v>
      </c>
      <c r="O3479" t="s">
        <v>44906</v>
      </c>
      <c r="P3479">
        <v>0</v>
      </c>
      <c r="Q3479">
        <v>0</v>
      </c>
      <c r="R3479" t="s">
        <v>44908</v>
      </c>
      <c r="S3479" t="s">
        <v>45042</v>
      </c>
      <c r="T3479" t="s">
        <v>46488</v>
      </c>
      <c r="U3479" t="s">
        <v>49781</v>
      </c>
      <c r="W3479" t="s">
        <v>42317</v>
      </c>
      <c r="X3479" t="s">
        <v>44909</v>
      </c>
    </row>
    <row r="3480" spans="1:24">
      <c r="A3480">
        <f>HYPERLINK("https://www.philgeps.gov.ph/GEPSNONPILOT/Tender/SplashBidNoticeAbstractUI.aspx?menuIndex=3&amp;refID=7079994&amp;Result=3","7079994")</f>
        <v>0</v>
      </c>
      <c r="B3480" t="s">
        <v>1033</v>
      </c>
      <c r="C3480" t="s">
        <v>6851</v>
      </c>
      <c r="D3480" t="s">
        <v>18162</v>
      </c>
      <c r="E3480" t="s">
        <v>21334</v>
      </c>
      <c r="F3480" t="s">
        <v>31362</v>
      </c>
      <c r="G3480" t="s">
        <v>31369</v>
      </c>
      <c r="H3480" t="s">
        <v>15799</v>
      </c>
      <c r="I3480" t="s">
        <v>31385</v>
      </c>
      <c r="J3480" t="s">
        <v>31890</v>
      </c>
      <c r="K3480" t="s">
        <v>40670</v>
      </c>
      <c r="M3480" t="s">
        <v>42032</v>
      </c>
      <c r="N3480" t="s">
        <v>44905</v>
      </c>
      <c r="O3480" t="s">
        <v>44906</v>
      </c>
      <c r="P3480">
        <v>0</v>
      </c>
      <c r="Q3480">
        <v>0</v>
      </c>
      <c r="R3480" t="s">
        <v>44908</v>
      </c>
      <c r="S3480" t="s">
        <v>45042</v>
      </c>
      <c r="T3480" t="s">
        <v>46430</v>
      </c>
      <c r="U3480" t="s">
        <v>49782</v>
      </c>
      <c r="W3480" t="s">
        <v>42032</v>
      </c>
      <c r="X3480" t="s">
        <v>44909</v>
      </c>
    </row>
    <row r="3481" spans="1:24">
      <c r="A3481">
        <f>HYPERLINK("https://www.philgeps.gov.ph/GEPSNONPILOT/Tender/SplashBidNoticeAbstractUI.aspx?menuIndex=3&amp;refID=7079993&amp;Result=3","7079993")</f>
        <v>0</v>
      </c>
      <c r="B3481" t="s">
        <v>1300</v>
      </c>
      <c r="C3481" t="s">
        <v>6852</v>
      </c>
      <c r="D3481" t="s">
        <v>18115</v>
      </c>
      <c r="E3481" t="s">
        <v>18548</v>
      </c>
      <c r="F3481" t="s">
        <v>31362</v>
      </c>
      <c r="G3481" t="s">
        <v>31369</v>
      </c>
      <c r="H3481" t="s">
        <v>31378</v>
      </c>
      <c r="I3481" t="s">
        <v>3815</v>
      </c>
      <c r="J3481" t="s">
        <v>33835</v>
      </c>
      <c r="K3481" t="s">
        <v>40666</v>
      </c>
      <c r="M3481" t="s">
        <v>42318</v>
      </c>
      <c r="N3481" t="s">
        <v>44905</v>
      </c>
      <c r="O3481" t="s">
        <v>44906</v>
      </c>
      <c r="P3481">
        <v>0</v>
      </c>
      <c r="Q3481">
        <v>2</v>
      </c>
      <c r="R3481" t="s">
        <v>44908</v>
      </c>
      <c r="S3481" t="s">
        <v>45042</v>
      </c>
      <c r="T3481" t="s">
        <v>46561</v>
      </c>
      <c r="U3481" t="s">
        <v>49783</v>
      </c>
      <c r="W3481" t="s">
        <v>42318</v>
      </c>
      <c r="X3481" t="s">
        <v>44909</v>
      </c>
    </row>
    <row r="3482" spans="1:24">
      <c r="A3482">
        <f>HYPERLINK("https://www.philgeps.gov.ph/GEPSNONPILOT/Tender/SplashBidNoticeAbstractUI.aspx?menuIndex=3&amp;refID=7080009&amp;Result=3","7080009")</f>
        <v>0</v>
      </c>
      <c r="B3482" t="s">
        <v>1164</v>
      </c>
      <c r="C3482" t="s">
        <v>6853</v>
      </c>
      <c r="D3482" t="s">
        <v>18111</v>
      </c>
      <c r="E3482" t="s">
        <v>21296</v>
      </c>
      <c r="F3482" t="s">
        <v>31362</v>
      </c>
      <c r="G3482" t="s">
        <v>31370</v>
      </c>
      <c r="H3482" t="s">
        <v>15799</v>
      </c>
      <c r="I3482" t="s">
        <v>7188</v>
      </c>
      <c r="J3482" t="s">
        <v>33836</v>
      </c>
      <c r="K3482" t="s">
        <v>40670</v>
      </c>
      <c r="M3482" t="s">
        <v>42174</v>
      </c>
      <c r="N3482" t="s">
        <v>44905</v>
      </c>
      <c r="O3482" t="s">
        <v>44906</v>
      </c>
      <c r="P3482">
        <v>0</v>
      </c>
      <c r="Q3482">
        <v>2</v>
      </c>
      <c r="R3482" t="s">
        <v>44908</v>
      </c>
      <c r="S3482" t="s">
        <v>45042</v>
      </c>
      <c r="T3482" t="s">
        <v>46414</v>
      </c>
      <c r="U3482" t="s">
        <v>49454</v>
      </c>
      <c r="W3482" t="s">
        <v>42174</v>
      </c>
      <c r="X3482" t="s">
        <v>44909</v>
      </c>
    </row>
    <row r="3483" spans="1:24">
      <c r="A3483">
        <f>HYPERLINK("https://www.philgeps.gov.ph/GEPSNONPILOT/Tender/SplashBidNoticeAbstractUI.aspx?menuIndex=3&amp;refID=7080031&amp;Result=3","7080031")</f>
        <v>0</v>
      </c>
      <c r="B3483" t="s">
        <v>1301</v>
      </c>
      <c r="C3483" t="s">
        <v>6854</v>
      </c>
      <c r="D3483" t="s">
        <v>18126</v>
      </c>
      <c r="E3483" t="s">
        <v>21335</v>
      </c>
      <c r="F3483" t="s">
        <v>31363</v>
      </c>
      <c r="G3483" t="s">
        <v>31370</v>
      </c>
      <c r="H3483" t="s">
        <v>15799</v>
      </c>
      <c r="I3483" t="s">
        <v>7188</v>
      </c>
      <c r="J3483" t="s">
        <v>33837</v>
      </c>
      <c r="K3483" t="s">
        <v>40661</v>
      </c>
      <c r="M3483" t="s">
        <v>42319</v>
      </c>
      <c r="N3483" t="s">
        <v>44905</v>
      </c>
      <c r="O3483" t="s">
        <v>44906</v>
      </c>
      <c r="P3483">
        <v>0</v>
      </c>
      <c r="Q3483">
        <v>0</v>
      </c>
      <c r="R3483" t="s">
        <v>44908</v>
      </c>
      <c r="S3483" t="s">
        <v>45042</v>
      </c>
      <c r="T3483" t="s">
        <v>46443</v>
      </c>
      <c r="U3483" t="s">
        <v>49784</v>
      </c>
      <c r="W3483" t="s">
        <v>42319</v>
      </c>
      <c r="X3483" t="s">
        <v>44909</v>
      </c>
    </row>
    <row r="3484" spans="1:24">
      <c r="A3484">
        <f>HYPERLINK("https://www.philgeps.gov.ph/GEPSNONPILOT/Tender/SplashBidNoticeAbstractUI.aspx?menuIndex=3&amp;refID=7079998&amp;Result=3","7079998")</f>
        <v>0</v>
      </c>
      <c r="B3484" t="s">
        <v>1302</v>
      </c>
      <c r="C3484" t="s">
        <v>6855</v>
      </c>
      <c r="D3484" t="s">
        <v>18108</v>
      </c>
      <c r="E3484" t="s">
        <v>21336</v>
      </c>
      <c r="F3484" t="s">
        <v>31362</v>
      </c>
      <c r="G3484" t="s">
        <v>31369</v>
      </c>
      <c r="H3484" t="s">
        <v>15799</v>
      </c>
      <c r="I3484" t="s">
        <v>31390</v>
      </c>
      <c r="J3484" t="s">
        <v>33838</v>
      </c>
      <c r="K3484" t="s">
        <v>40665</v>
      </c>
      <c r="M3484" t="s">
        <v>42320</v>
      </c>
      <c r="N3484" t="s">
        <v>44905</v>
      </c>
      <c r="O3484" t="s">
        <v>44906</v>
      </c>
      <c r="P3484">
        <v>0</v>
      </c>
      <c r="Q3484">
        <v>0</v>
      </c>
      <c r="R3484" t="s">
        <v>44908</v>
      </c>
      <c r="S3484" t="s">
        <v>45042</v>
      </c>
      <c r="T3484" t="s">
        <v>46396</v>
      </c>
      <c r="U3484" t="s">
        <v>49785</v>
      </c>
      <c r="W3484" t="s">
        <v>42320</v>
      </c>
      <c r="X3484" t="s">
        <v>44909</v>
      </c>
    </row>
    <row r="3485" spans="1:24">
      <c r="A3485">
        <f>HYPERLINK("https://www.philgeps.gov.ph/GEPSNONPILOT/Tender/SplashBidNoticeAbstractUI.aspx?menuIndex=3&amp;refID=7080029&amp;Result=3","7080029")</f>
        <v>0</v>
      </c>
      <c r="B3485" t="s">
        <v>215</v>
      </c>
      <c r="C3485" t="s">
        <v>6856</v>
      </c>
      <c r="D3485" t="s">
        <v>18108</v>
      </c>
      <c r="E3485" t="s">
        <v>21337</v>
      </c>
      <c r="F3485" t="s">
        <v>31362</v>
      </c>
      <c r="G3485" t="s">
        <v>31371</v>
      </c>
      <c r="H3485" t="s">
        <v>15799</v>
      </c>
      <c r="I3485" t="s">
        <v>31380</v>
      </c>
      <c r="J3485" t="s">
        <v>33839</v>
      </c>
      <c r="K3485" t="s">
        <v>40661</v>
      </c>
      <c r="M3485" t="s">
        <v>42310</v>
      </c>
      <c r="N3485" t="s">
        <v>44905</v>
      </c>
      <c r="O3485" t="s">
        <v>44906</v>
      </c>
      <c r="P3485">
        <v>0</v>
      </c>
      <c r="Q3485">
        <v>9</v>
      </c>
      <c r="R3485" t="s">
        <v>44908</v>
      </c>
      <c r="S3485" t="s">
        <v>45042</v>
      </c>
      <c r="T3485" t="s">
        <v>46549</v>
      </c>
      <c r="U3485" t="s">
        <v>49786</v>
      </c>
      <c r="V3485" t="s">
        <v>59411</v>
      </c>
      <c r="W3485" t="s">
        <v>42310</v>
      </c>
      <c r="X3485" t="s">
        <v>44909</v>
      </c>
    </row>
    <row r="3486" spans="1:24">
      <c r="A3486">
        <f>HYPERLINK("https://www.philgeps.gov.ph/GEPSNONPILOT/Tender/SplashBidNoticeAbstractUI.aspx?menuIndex=3&amp;refID=7080001&amp;Result=3","7080001")</f>
        <v>0</v>
      </c>
      <c r="B3486" t="s">
        <v>1303</v>
      </c>
      <c r="C3486" t="s">
        <v>6857</v>
      </c>
      <c r="D3486" t="s">
        <v>18118</v>
      </c>
      <c r="E3486" t="s">
        <v>21338</v>
      </c>
      <c r="F3486" t="s">
        <v>31362</v>
      </c>
      <c r="G3486" t="s">
        <v>31368</v>
      </c>
      <c r="H3486" t="s">
        <v>15799</v>
      </c>
      <c r="I3486" t="s">
        <v>3815</v>
      </c>
      <c r="J3486" t="s">
        <v>33840</v>
      </c>
      <c r="K3486" t="s">
        <v>40697</v>
      </c>
      <c r="M3486" t="s">
        <v>42321</v>
      </c>
      <c r="N3486" t="s">
        <v>44905</v>
      </c>
      <c r="O3486" t="s">
        <v>44906</v>
      </c>
      <c r="P3486">
        <v>0</v>
      </c>
      <c r="Q3486">
        <v>0</v>
      </c>
      <c r="R3486" t="s">
        <v>44908</v>
      </c>
      <c r="S3486" t="s">
        <v>45042</v>
      </c>
      <c r="T3486" t="s">
        <v>46409</v>
      </c>
      <c r="U3486" t="s">
        <v>49787</v>
      </c>
      <c r="W3486" t="s">
        <v>42321</v>
      </c>
      <c r="X3486" t="s">
        <v>44909</v>
      </c>
    </row>
    <row r="3487" spans="1:24">
      <c r="A3487">
        <f>HYPERLINK("https://www.philgeps.gov.ph/GEPSNONPILOT/Tender/SplashBidNoticeAbstractUI.aspx?menuIndex=3&amp;refID=7080027&amp;Result=3","7080027")</f>
        <v>0</v>
      </c>
      <c r="B3487" t="s">
        <v>1304</v>
      </c>
      <c r="C3487" t="s">
        <v>6858</v>
      </c>
      <c r="D3487" t="s">
        <v>18104</v>
      </c>
      <c r="E3487" t="s">
        <v>18319</v>
      </c>
      <c r="F3487" t="s">
        <v>31362</v>
      </c>
      <c r="G3487" t="s">
        <v>31369</v>
      </c>
      <c r="H3487" t="s">
        <v>31378</v>
      </c>
      <c r="I3487" t="s">
        <v>31386</v>
      </c>
      <c r="J3487" t="s">
        <v>31564</v>
      </c>
      <c r="K3487" t="s">
        <v>40675</v>
      </c>
      <c r="M3487" t="s">
        <v>42322</v>
      </c>
      <c r="N3487" t="s">
        <v>44905</v>
      </c>
      <c r="O3487" t="s">
        <v>44906</v>
      </c>
      <c r="P3487">
        <v>0</v>
      </c>
      <c r="Q3487">
        <v>0</v>
      </c>
      <c r="R3487" t="s">
        <v>44908</v>
      </c>
      <c r="S3487" t="s">
        <v>45042</v>
      </c>
      <c r="T3487" t="s">
        <v>46624</v>
      </c>
      <c r="U3487" t="s">
        <v>49788</v>
      </c>
      <c r="W3487" t="s">
        <v>42322</v>
      </c>
      <c r="X3487" t="s">
        <v>44909</v>
      </c>
    </row>
    <row r="3488" spans="1:24">
      <c r="A3488">
        <f>HYPERLINK("https://www.philgeps.gov.ph/GEPSNONPILOT/Tender/SplashBidNoticeAbstractUI.aspx?menuIndex=3&amp;refID=7080025&amp;Result=3","7080025")</f>
        <v>0</v>
      </c>
      <c r="B3488" t="s">
        <v>1270</v>
      </c>
      <c r="C3488" t="s">
        <v>6859</v>
      </c>
      <c r="D3488" t="s">
        <v>18157</v>
      </c>
      <c r="E3488" t="s">
        <v>21339</v>
      </c>
      <c r="F3488" t="s">
        <v>31362</v>
      </c>
      <c r="G3488" t="s">
        <v>31368</v>
      </c>
      <c r="H3488" t="s">
        <v>15799</v>
      </c>
      <c r="I3488" t="s">
        <v>4057</v>
      </c>
      <c r="J3488" t="s">
        <v>33841</v>
      </c>
      <c r="K3488" t="s">
        <v>40698</v>
      </c>
      <c r="M3488" t="s">
        <v>42287</v>
      </c>
      <c r="N3488" t="s">
        <v>44905</v>
      </c>
      <c r="O3488" t="s">
        <v>44906</v>
      </c>
      <c r="P3488">
        <v>0</v>
      </c>
      <c r="Q3488">
        <v>0</v>
      </c>
      <c r="R3488" t="s">
        <v>44908</v>
      </c>
      <c r="S3488" t="s">
        <v>45042</v>
      </c>
      <c r="T3488" t="s">
        <v>46404</v>
      </c>
      <c r="U3488" t="s">
        <v>49706</v>
      </c>
      <c r="W3488" t="s">
        <v>42287</v>
      </c>
      <c r="X3488" t="s">
        <v>44909</v>
      </c>
    </row>
    <row r="3489" spans="1:24">
      <c r="A3489">
        <f>HYPERLINK("https://www.philgeps.gov.ph/GEPSNONPILOT/Tender/SplashBidNoticeAbstractUI.aspx?menuIndex=3&amp;refID=7080024&amp;Result=3","7080024")</f>
        <v>0</v>
      </c>
      <c r="B3489" t="s">
        <v>1063</v>
      </c>
      <c r="C3489" t="s">
        <v>6860</v>
      </c>
      <c r="D3489" t="s">
        <v>18177</v>
      </c>
      <c r="E3489" t="s">
        <v>19348</v>
      </c>
      <c r="F3489" t="s">
        <v>31362</v>
      </c>
      <c r="G3489" t="s">
        <v>31370</v>
      </c>
      <c r="H3489" t="s">
        <v>15799</v>
      </c>
      <c r="I3489" t="s">
        <v>3815</v>
      </c>
      <c r="J3489" t="s">
        <v>33842</v>
      </c>
      <c r="K3489" t="s">
        <v>40693</v>
      </c>
      <c r="M3489" t="s">
        <v>42065</v>
      </c>
      <c r="N3489" t="s">
        <v>44905</v>
      </c>
      <c r="O3489" t="s">
        <v>44906</v>
      </c>
      <c r="P3489">
        <v>0</v>
      </c>
      <c r="Q3489">
        <v>0</v>
      </c>
      <c r="R3489" t="s">
        <v>44908</v>
      </c>
      <c r="S3489" t="s">
        <v>45042</v>
      </c>
      <c r="T3489" t="s">
        <v>46414</v>
      </c>
      <c r="U3489" t="s">
        <v>49789</v>
      </c>
      <c r="W3489" t="s">
        <v>42065</v>
      </c>
      <c r="X3489" t="s">
        <v>44909</v>
      </c>
    </row>
    <row r="3490" spans="1:24">
      <c r="A3490">
        <f>HYPERLINK("https://www.philgeps.gov.ph/GEPSNONPILOT/Tender/SplashBidNoticeAbstractUI.aspx?menuIndex=3&amp;refID=7080023&amp;Result=3","7080023")</f>
        <v>0</v>
      </c>
      <c r="B3490" t="s">
        <v>406</v>
      </c>
      <c r="C3490" t="s">
        <v>6861</v>
      </c>
      <c r="E3490" t="s">
        <v>21340</v>
      </c>
      <c r="F3490" t="s">
        <v>31362</v>
      </c>
      <c r="G3490" t="s">
        <v>31370</v>
      </c>
      <c r="H3490" t="s">
        <v>15799</v>
      </c>
      <c r="I3490" t="s">
        <v>7090</v>
      </c>
      <c r="J3490" t="s">
        <v>32777</v>
      </c>
      <c r="K3490" t="s">
        <v>40662</v>
      </c>
      <c r="M3490" t="s">
        <v>41356</v>
      </c>
      <c r="N3490" t="s">
        <v>44905</v>
      </c>
      <c r="O3490" t="s">
        <v>44906</v>
      </c>
      <c r="P3490">
        <v>0</v>
      </c>
      <c r="Q3490">
        <v>7</v>
      </c>
      <c r="R3490" t="s">
        <v>44908</v>
      </c>
      <c r="S3490" t="s">
        <v>45042</v>
      </c>
      <c r="T3490" t="s">
        <v>46414</v>
      </c>
      <c r="U3490" t="s">
        <v>46933</v>
      </c>
      <c r="W3490" t="s">
        <v>41356</v>
      </c>
      <c r="X3490" t="s">
        <v>44909</v>
      </c>
    </row>
    <row r="3491" spans="1:24">
      <c r="A3491">
        <f>HYPERLINK("https://www.philgeps.gov.ph/GEPSNONPILOT/Tender/SplashBidNoticeAbstractUI.aspx?menuIndex=3&amp;refID=7080030&amp;Result=3","7080030")</f>
        <v>0</v>
      </c>
      <c r="B3491" t="s">
        <v>260</v>
      </c>
      <c r="C3491" t="s">
        <v>6862</v>
      </c>
      <c r="D3491" t="s">
        <v>18112</v>
      </c>
      <c r="E3491" t="s">
        <v>21341</v>
      </c>
      <c r="F3491" t="s">
        <v>31362</v>
      </c>
      <c r="G3491" t="s">
        <v>31368</v>
      </c>
      <c r="H3491" t="s">
        <v>15799</v>
      </c>
      <c r="I3491" t="s">
        <v>4057</v>
      </c>
      <c r="J3491" t="s">
        <v>33782</v>
      </c>
      <c r="K3491" t="s">
        <v>40662</v>
      </c>
      <c r="M3491" t="s">
        <v>41201</v>
      </c>
      <c r="N3491" t="s">
        <v>44905</v>
      </c>
      <c r="O3491" t="s">
        <v>44906</v>
      </c>
      <c r="P3491">
        <v>0</v>
      </c>
      <c r="Q3491">
        <v>0</v>
      </c>
      <c r="R3491" t="s">
        <v>44908</v>
      </c>
      <c r="S3491" t="s">
        <v>45042</v>
      </c>
      <c r="T3491" t="s">
        <v>46414</v>
      </c>
      <c r="U3491" t="s">
        <v>49790</v>
      </c>
      <c r="W3491" t="s">
        <v>41201</v>
      </c>
      <c r="X3491" t="s">
        <v>44909</v>
      </c>
    </row>
    <row r="3492" spans="1:24">
      <c r="A3492">
        <f>HYPERLINK("https://www.philgeps.gov.ph/GEPSNONPILOT/Tender/SplashBidNoticeAbstractUI.aspx?menuIndex=3&amp;refID=7079962&amp;Result=3","7079962")</f>
        <v>0</v>
      </c>
      <c r="B3492" t="s">
        <v>1270</v>
      </c>
      <c r="C3492" t="s">
        <v>6863</v>
      </c>
      <c r="D3492" t="s">
        <v>18157</v>
      </c>
      <c r="E3492" t="s">
        <v>21342</v>
      </c>
      <c r="F3492" t="s">
        <v>31362</v>
      </c>
      <c r="G3492" t="s">
        <v>31368</v>
      </c>
      <c r="H3492" t="s">
        <v>15799</v>
      </c>
      <c r="I3492" t="s">
        <v>4057</v>
      </c>
      <c r="J3492" t="s">
        <v>33822</v>
      </c>
      <c r="K3492" t="s">
        <v>40698</v>
      </c>
      <c r="M3492" t="s">
        <v>42287</v>
      </c>
      <c r="N3492" t="s">
        <v>44905</v>
      </c>
      <c r="O3492" t="s">
        <v>44906</v>
      </c>
      <c r="P3492">
        <v>0</v>
      </c>
      <c r="Q3492">
        <v>0</v>
      </c>
      <c r="R3492" t="s">
        <v>44908</v>
      </c>
      <c r="S3492" t="s">
        <v>45042</v>
      </c>
      <c r="T3492" t="s">
        <v>46404</v>
      </c>
      <c r="U3492" t="s">
        <v>49706</v>
      </c>
      <c r="W3492" t="s">
        <v>42287</v>
      </c>
      <c r="X3492" t="s">
        <v>44909</v>
      </c>
    </row>
    <row r="3493" spans="1:24">
      <c r="A3493">
        <f>HYPERLINK("https://www.philgeps.gov.ph/GEPSNONPILOT/Tender/SplashBidNoticeAbstractUI.aspx?menuIndex=3&amp;refID=7080020&amp;Result=3","7080020")</f>
        <v>0</v>
      </c>
      <c r="B3493" t="s">
        <v>1305</v>
      </c>
      <c r="C3493" t="s">
        <v>6864</v>
      </c>
      <c r="D3493" t="s">
        <v>18117</v>
      </c>
      <c r="E3493" t="s">
        <v>21343</v>
      </c>
      <c r="F3493" t="s">
        <v>31362</v>
      </c>
      <c r="G3493" t="s">
        <v>31368</v>
      </c>
      <c r="H3493" t="s">
        <v>15799</v>
      </c>
      <c r="I3493" t="s">
        <v>3815</v>
      </c>
      <c r="J3493" t="s">
        <v>33843</v>
      </c>
      <c r="K3493" t="s">
        <v>40661</v>
      </c>
      <c r="M3493" t="s">
        <v>42323</v>
      </c>
      <c r="N3493" t="s">
        <v>44905</v>
      </c>
      <c r="O3493" t="s">
        <v>44906</v>
      </c>
      <c r="P3493">
        <v>0</v>
      </c>
      <c r="Q3493">
        <v>0</v>
      </c>
      <c r="R3493" t="s">
        <v>44908</v>
      </c>
      <c r="S3493" t="s">
        <v>45042</v>
      </c>
      <c r="T3493" t="s">
        <v>46404</v>
      </c>
      <c r="U3493" t="s">
        <v>49791</v>
      </c>
      <c r="W3493" t="s">
        <v>42323</v>
      </c>
      <c r="X3493" t="s">
        <v>44909</v>
      </c>
    </row>
    <row r="3494" spans="1:24">
      <c r="A3494">
        <f>HYPERLINK("https://www.philgeps.gov.ph/GEPSNONPILOT/Tender/SplashBidNoticeAbstractUI.aspx?menuIndex=3&amp;refID=7080035&amp;Result=3","7080035")</f>
        <v>0</v>
      </c>
      <c r="B3494" t="s">
        <v>791</v>
      </c>
      <c r="C3494" t="s">
        <v>6865</v>
      </c>
      <c r="D3494" t="s">
        <v>18108</v>
      </c>
      <c r="E3494" t="s">
        <v>21344</v>
      </c>
      <c r="F3494" t="s">
        <v>31362</v>
      </c>
      <c r="G3494" t="s">
        <v>31368</v>
      </c>
      <c r="H3494" t="s">
        <v>15799</v>
      </c>
      <c r="I3494" t="s">
        <v>6865</v>
      </c>
      <c r="J3494" t="s">
        <v>33844</v>
      </c>
      <c r="K3494" t="s">
        <v>40662</v>
      </c>
      <c r="M3494" t="s">
        <v>41761</v>
      </c>
      <c r="N3494" t="s">
        <v>44905</v>
      </c>
      <c r="O3494" t="s">
        <v>44906</v>
      </c>
      <c r="P3494">
        <v>0</v>
      </c>
      <c r="Q3494">
        <v>14</v>
      </c>
      <c r="R3494" t="s">
        <v>44908</v>
      </c>
      <c r="S3494" t="s">
        <v>45042</v>
      </c>
      <c r="T3494" t="s">
        <v>46399</v>
      </c>
      <c r="U3494" t="s">
        <v>49792</v>
      </c>
      <c r="V3494" t="s">
        <v>59151</v>
      </c>
      <c r="W3494" t="s">
        <v>41761</v>
      </c>
      <c r="X3494" t="s">
        <v>44909</v>
      </c>
    </row>
    <row r="3495" spans="1:24">
      <c r="A3495">
        <f>HYPERLINK("https://www.philgeps.gov.ph/GEPSNONPILOT/Tender/SplashBidNoticeAbstractUI.aspx?menuIndex=3&amp;refID=7080052&amp;Result=3","7080052")</f>
        <v>0</v>
      </c>
      <c r="B3495" t="s">
        <v>227</v>
      </c>
      <c r="C3495" t="s">
        <v>6866</v>
      </c>
      <c r="D3495" t="s">
        <v>18108</v>
      </c>
      <c r="E3495" t="s">
        <v>21345</v>
      </c>
      <c r="F3495" t="s">
        <v>31362</v>
      </c>
      <c r="G3495" t="s">
        <v>31368</v>
      </c>
      <c r="H3495" t="s">
        <v>15799</v>
      </c>
      <c r="I3495" t="s">
        <v>6155</v>
      </c>
      <c r="J3495" t="s">
        <v>33845</v>
      </c>
      <c r="K3495" t="s">
        <v>40662</v>
      </c>
      <c r="M3495" t="s">
        <v>41166</v>
      </c>
      <c r="N3495" t="s">
        <v>44905</v>
      </c>
      <c r="O3495" t="s">
        <v>44906</v>
      </c>
      <c r="P3495">
        <v>0</v>
      </c>
      <c r="Q3495">
        <v>7</v>
      </c>
      <c r="R3495" t="s">
        <v>44908</v>
      </c>
      <c r="S3495" t="s">
        <v>45042</v>
      </c>
      <c r="T3495" t="s">
        <v>46494</v>
      </c>
      <c r="U3495" t="s">
        <v>49793</v>
      </c>
      <c r="W3495" t="s">
        <v>41166</v>
      </c>
      <c r="X3495" t="s">
        <v>44909</v>
      </c>
    </row>
    <row r="3496" spans="1:24">
      <c r="A3496">
        <f>HYPERLINK("https://www.philgeps.gov.ph/GEPSNONPILOT/Tender/SplashBidNoticeAbstractUI.aspx?menuIndex=3&amp;refID=7079972&amp;Result=3","7079972")</f>
        <v>0</v>
      </c>
      <c r="B3496" t="s">
        <v>732</v>
      </c>
      <c r="C3496" t="s">
        <v>6867</v>
      </c>
      <c r="D3496" t="s">
        <v>18125</v>
      </c>
      <c r="E3496" t="s">
        <v>21346</v>
      </c>
      <c r="F3496" t="s">
        <v>31362</v>
      </c>
      <c r="G3496" t="s">
        <v>31368</v>
      </c>
      <c r="H3496" t="s">
        <v>15799</v>
      </c>
      <c r="I3496" t="s">
        <v>4942</v>
      </c>
      <c r="J3496" t="s">
        <v>33846</v>
      </c>
      <c r="K3496" t="s">
        <v>40712</v>
      </c>
      <c r="M3496" t="s">
        <v>41699</v>
      </c>
      <c r="N3496" t="s">
        <v>44905</v>
      </c>
      <c r="O3496" t="s">
        <v>44906</v>
      </c>
      <c r="P3496">
        <v>0</v>
      </c>
      <c r="Q3496">
        <v>0</v>
      </c>
      <c r="R3496" t="s">
        <v>44908</v>
      </c>
      <c r="S3496" t="s">
        <v>45042</v>
      </c>
      <c r="T3496" t="s">
        <v>46483</v>
      </c>
      <c r="U3496" t="s">
        <v>49794</v>
      </c>
      <c r="W3496" t="s">
        <v>41699</v>
      </c>
      <c r="X3496" t="s">
        <v>44909</v>
      </c>
    </row>
    <row r="3497" spans="1:24">
      <c r="A3497">
        <f>HYPERLINK("https://www.philgeps.gov.ph/GEPSNONPILOT/Tender/SplashBidNoticeAbstractUI.aspx?menuIndex=3&amp;refID=7080022&amp;Result=3","7080022")</f>
        <v>0</v>
      </c>
      <c r="B3497" t="s">
        <v>1033</v>
      </c>
      <c r="C3497" t="s">
        <v>6868</v>
      </c>
      <c r="D3497" t="s">
        <v>18162</v>
      </c>
      <c r="E3497" t="s">
        <v>21347</v>
      </c>
      <c r="F3497" t="s">
        <v>31362</v>
      </c>
      <c r="G3497" t="s">
        <v>31369</v>
      </c>
      <c r="H3497" t="s">
        <v>15799</v>
      </c>
      <c r="I3497" t="s">
        <v>31385</v>
      </c>
      <c r="J3497" t="s">
        <v>33847</v>
      </c>
      <c r="K3497" t="s">
        <v>40670</v>
      </c>
      <c r="M3497" t="s">
        <v>42032</v>
      </c>
      <c r="N3497" t="s">
        <v>44905</v>
      </c>
      <c r="O3497" t="s">
        <v>44906</v>
      </c>
      <c r="P3497">
        <v>0</v>
      </c>
      <c r="Q3497">
        <v>0</v>
      </c>
      <c r="R3497" t="s">
        <v>44908</v>
      </c>
      <c r="S3497" t="s">
        <v>45042</v>
      </c>
      <c r="T3497" t="s">
        <v>46430</v>
      </c>
      <c r="U3497" t="s">
        <v>49795</v>
      </c>
      <c r="W3497" t="s">
        <v>42032</v>
      </c>
      <c r="X3497" t="s">
        <v>44909</v>
      </c>
    </row>
    <row r="3498" spans="1:24">
      <c r="A3498">
        <f>HYPERLINK("https://www.philgeps.gov.ph/GEPSNONPILOT/Tender/SplashBidNoticeAbstractUI.aspx?menuIndex=3&amp;refID=7080050&amp;Result=3","7080050")</f>
        <v>0</v>
      </c>
      <c r="B3498" t="s">
        <v>1304</v>
      </c>
      <c r="C3498" t="s">
        <v>6869</v>
      </c>
      <c r="D3498" t="s">
        <v>18104</v>
      </c>
      <c r="E3498" t="s">
        <v>18919</v>
      </c>
      <c r="F3498" t="s">
        <v>31362</v>
      </c>
      <c r="G3498" t="s">
        <v>31369</v>
      </c>
      <c r="H3498" t="s">
        <v>31378</v>
      </c>
      <c r="I3498" t="s">
        <v>31386</v>
      </c>
      <c r="J3498" t="s">
        <v>33848</v>
      </c>
      <c r="K3498" t="s">
        <v>40675</v>
      </c>
      <c r="M3498" t="s">
        <v>42322</v>
      </c>
      <c r="N3498" t="s">
        <v>44905</v>
      </c>
      <c r="O3498" t="s">
        <v>44906</v>
      </c>
      <c r="P3498">
        <v>0</v>
      </c>
      <c r="Q3498">
        <v>0</v>
      </c>
      <c r="R3498" t="s">
        <v>44908</v>
      </c>
      <c r="S3498" t="s">
        <v>45042</v>
      </c>
      <c r="T3498" t="s">
        <v>46624</v>
      </c>
      <c r="U3498" t="s">
        <v>49788</v>
      </c>
      <c r="W3498" t="s">
        <v>42322</v>
      </c>
      <c r="X3498" t="s">
        <v>44909</v>
      </c>
    </row>
    <row r="3499" spans="1:24">
      <c r="A3499">
        <f>HYPERLINK("https://www.philgeps.gov.ph/GEPSNONPILOT/Tender/SplashBidNoticeAbstractUI.aspx?menuIndex=3&amp;refID=7080049&amp;Result=3","7080049")</f>
        <v>0</v>
      </c>
      <c r="B3499" t="s">
        <v>1303</v>
      </c>
      <c r="C3499" t="s">
        <v>6870</v>
      </c>
      <c r="D3499" t="s">
        <v>18118</v>
      </c>
      <c r="E3499" t="s">
        <v>21256</v>
      </c>
      <c r="F3499" t="s">
        <v>31362</v>
      </c>
      <c r="G3499" t="s">
        <v>31368</v>
      </c>
      <c r="H3499" t="s">
        <v>15799</v>
      </c>
      <c r="I3499" t="s">
        <v>3815</v>
      </c>
      <c r="J3499" t="s">
        <v>33849</v>
      </c>
      <c r="K3499" t="s">
        <v>40697</v>
      </c>
      <c r="M3499" t="s">
        <v>42321</v>
      </c>
      <c r="N3499" t="s">
        <v>44905</v>
      </c>
      <c r="O3499" t="s">
        <v>44906</v>
      </c>
      <c r="P3499">
        <v>0</v>
      </c>
      <c r="Q3499">
        <v>0</v>
      </c>
      <c r="R3499" t="s">
        <v>44908</v>
      </c>
      <c r="S3499" t="s">
        <v>45042</v>
      </c>
      <c r="T3499" t="s">
        <v>46409</v>
      </c>
      <c r="U3499" t="s">
        <v>49796</v>
      </c>
      <c r="W3499" t="s">
        <v>42321</v>
      </c>
      <c r="X3499" t="s">
        <v>44909</v>
      </c>
    </row>
    <row r="3500" spans="1:24">
      <c r="A3500">
        <f>HYPERLINK("https://www.philgeps.gov.ph/GEPSNONPILOT/Tender/SplashBidNoticeAbstractUI.aspx?menuIndex=3&amp;refID=7080048&amp;Result=3","7080048")</f>
        <v>0</v>
      </c>
      <c r="B3500" t="s">
        <v>477</v>
      </c>
      <c r="C3500" t="s">
        <v>6871</v>
      </c>
      <c r="D3500" t="s">
        <v>18158</v>
      </c>
      <c r="E3500" t="s">
        <v>21348</v>
      </c>
      <c r="F3500" t="s">
        <v>31362</v>
      </c>
      <c r="G3500" t="s">
        <v>31370</v>
      </c>
      <c r="H3500" t="s">
        <v>15799</v>
      </c>
      <c r="I3500" t="s">
        <v>31397</v>
      </c>
      <c r="J3500" t="s">
        <v>31942</v>
      </c>
      <c r="K3500" t="s">
        <v>40665</v>
      </c>
      <c r="M3500" t="s">
        <v>41431</v>
      </c>
      <c r="N3500" t="s">
        <v>44905</v>
      </c>
      <c r="O3500" t="s">
        <v>44906</v>
      </c>
      <c r="P3500">
        <v>0</v>
      </c>
      <c r="Q3500">
        <v>0</v>
      </c>
      <c r="R3500" t="s">
        <v>44908</v>
      </c>
      <c r="S3500" t="s">
        <v>45042</v>
      </c>
      <c r="T3500" t="s">
        <v>46409</v>
      </c>
      <c r="U3500" t="s">
        <v>49797</v>
      </c>
      <c r="W3500" t="s">
        <v>41431</v>
      </c>
      <c r="X3500" t="s">
        <v>44909</v>
      </c>
    </row>
    <row r="3501" spans="1:24">
      <c r="A3501">
        <f>HYPERLINK("https://www.philgeps.gov.ph/GEPSNONPILOT/Tender/SplashBidNoticeAbstractUI.aspx?menuIndex=3&amp;refID=7080047&amp;Result=3","7080047")</f>
        <v>0</v>
      </c>
      <c r="B3501" t="s">
        <v>235</v>
      </c>
      <c r="C3501" t="s">
        <v>6872</v>
      </c>
      <c r="D3501" t="s">
        <v>18100</v>
      </c>
      <c r="E3501" t="s">
        <v>21349</v>
      </c>
      <c r="F3501" t="s">
        <v>31362</v>
      </c>
      <c r="G3501" t="s">
        <v>31368</v>
      </c>
      <c r="H3501" t="s">
        <v>15799</v>
      </c>
      <c r="I3501" t="s">
        <v>31420</v>
      </c>
      <c r="J3501" t="s">
        <v>32553</v>
      </c>
      <c r="K3501" t="s">
        <v>40661</v>
      </c>
      <c r="M3501" t="s">
        <v>41174</v>
      </c>
      <c r="N3501" t="s">
        <v>44905</v>
      </c>
      <c r="O3501" t="s">
        <v>44906</v>
      </c>
      <c r="P3501">
        <v>0</v>
      </c>
      <c r="Q3501">
        <v>6</v>
      </c>
      <c r="R3501" t="s">
        <v>44908</v>
      </c>
      <c r="S3501" t="s">
        <v>45042</v>
      </c>
      <c r="T3501" t="s">
        <v>46427</v>
      </c>
      <c r="U3501" t="s">
        <v>49798</v>
      </c>
      <c r="W3501" t="s">
        <v>41174</v>
      </c>
      <c r="X3501" t="s">
        <v>44909</v>
      </c>
    </row>
    <row r="3502" spans="1:24">
      <c r="A3502">
        <f>HYPERLINK("https://www.philgeps.gov.ph/GEPSNONPILOT/Tender/SplashBidNoticeAbstractUI.aspx?menuIndex=3&amp;refID=7080046&amp;Result=3","7080046")</f>
        <v>0</v>
      </c>
      <c r="B3502" t="s">
        <v>438</v>
      </c>
      <c r="C3502" t="s">
        <v>6873</v>
      </c>
      <c r="D3502" t="s">
        <v>18159</v>
      </c>
      <c r="E3502" t="s">
        <v>21350</v>
      </c>
      <c r="F3502" t="s">
        <v>31362</v>
      </c>
      <c r="G3502" t="s">
        <v>31368</v>
      </c>
      <c r="H3502" t="s">
        <v>15799</v>
      </c>
      <c r="I3502" t="s">
        <v>7090</v>
      </c>
      <c r="J3502" t="s">
        <v>33850</v>
      </c>
      <c r="K3502" t="s">
        <v>40666</v>
      </c>
      <c r="M3502" t="s">
        <v>41390</v>
      </c>
      <c r="N3502" t="s">
        <v>44905</v>
      </c>
      <c r="O3502" t="s">
        <v>44906</v>
      </c>
      <c r="P3502">
        <v>0</v>
      </c>
      <c r="Q3502">
        <v>0</v>
      </c>
      <c r="R3502" t="s">
        <v>44908</v>
      </c>
      <c r="S3502" t="s">
        <v>45042</v>
      </c>
      <c r="T3502" t="s">
        <v>46534</v>
      </c>
      <c r="U3502" t="s">
        <v>49799</v>
      </c>
      <c r="W3502" t="s">
        <v>41390</v>
      </c>
      <c r="X3502" t="s">
        <v>44909</v>
      </c>
    </row>
    <row r="3503" spans="1:24">
      <c r="A3503">
        <f>HYPERLINK("https://www.philgeps.gov.ph/GEPSNONPILOT/Tender/SplashBidNoticeAbstractUI.aspx?menuIndex=3&amp;refID=7080045&amp;Result=3","7080045")</f>
        <v>0</v>
      </c>
      <c r="B3503" t="s">
        <v>270</v>
      </c>
      <c r="C3503" t="s">
        <v>6874</v>
      </c>
      <c r="D3503" t="s">
        <v>18166</v>
      </c>
      <c r="E3503" t="s">
        <v>21351</v>
      </c>
      <c r="F3503" t="s">
        <v>31362</v>
      </c>
      <c r="G3503" t="s">
        <v>31371</v>
      </c>
      <c r="H3503" t="s">
        <v>15799</v>
      </c>
      <c r="I3503" t="s">
        <v>31452</v>
      </c>
      <c r="J3503" t="s">
        <v>33851</v>
      </c>
      <c r="K3503" t="s">
        <v>40661</v>
      </c>
      <c r="M3503" t="s">
        <v>41953</v>
      </c>
      <c r="N3503" t="s">
        <v>44905</v>
      </c>
      <c r="O3503" t="s">
        <v>44906</v>
      </c>
      <c r="P3503">
        <v>0</v>
      </c>
      <c r="Q3503">
        <v>2</v>
      </c>
      <c r="R3503" t="s">
        <v>44908</v>
      </c>
      <c r="S3503" t="s">
        <v>45042</v>
      </c>
      <c r="T3503" t="s">
        <v>46569</v>
      </c>
      <c r="U3503" t="s">
        <v>49800</v>
      </c>
      <c r="W3503" t="s">
        <v>41953</v>
      </c>
      <c r="X3503" t="s">
        <v>44909</v>
      </c>
    </row>
    <row r="3504" spans="1:24">
      <c r="A3504">
        <f>HYPERLINK("https://www.philgeps.gov.ph/GEPSNONPILOT/Tender/SplashBidNoticeAbstractUI.aspx?menuIndex=3&amp;refID=7080044&amp;Result=3","7080044")</f>
        <v>0</v>
      </c>
      <c r="B3504" t="s">
        <v>534</v>
      </c>
      <c r="C3504" t="s">
        <v>6875</v>
      </c>
      <c r="D3504" t="s">
        <v>18131</v>
      </c>
      <c r="E3504" t="s">
        <v>21352</v>
      </c>
      <c r="F3504" t="s">
        <v>31362</v>
      </c>
      <c r="G3504" t="s">
        <v>31372</v>
      </c>
      <c r="H3504" t="s">
        <v>15799</v>
      </c>
      <c r="I3504" t="s">
        <v>31409</v>
      </c>
      <c r="J3504" t="s">
        <v>33852</v>
      </c>
      <c r="K3504" t="s">
        <v>40670</v>
      </c>
      <c r="M3504" t="s">
        <v>41490</v>
      </c>
      <c r="N3504" t="s">
        <v>44905</v>
      </c>
      <c r="O3504" t="s">
        <v>44906</v>
      </c>
      <c r="P3504">
        <v>0</v>
      </c>
      <c r="Q3504">
        <v>1</v>
      </c>
      <c r="R3504" t="s">
        <v>44908</v>
      </c>
      <c r="S3504" t="s">
        <v>45042</v>
      </c>
      <c r="T3504" t="s">
        <v>46435</v>
      </c>
      <c r="U3504" t="s">
        <v>49801</v>
      </c>
      <c r="W3504" t="s">
        <v>41490</v>
      </c>
      <c r="X3504" t="s">
        <v>44909</v>
      </c>
    </row>
    <row r="3505" spans="1:24">
      <c r="A3505">
        <f>HYPERLINK("https://www.philgeps.gov.ph/GEPSNONPILOT/Tender/SplashBidNoticeAbstractUI.aspx?menuIndex=3&amp;refID=7080043&amp;Result=3","7080043")</f>
        <v>0</v>
      </c>
      <c r="B3505" t="s">
        <v>1270</v>
      </c>
      <c r="C3505" t="s">
        <v>6876</v>
      </c>
      <c r="D3505" t="s">
        <v>18157</v>
      </c>
      <c r="E3505" t="s">
        <v>21353</v>
      </c>
      <c r="F3505" t="s">
        <v>31362</v>
      </c>
      <c r="G3505" t="s">
        <v>31368</v>
      </c>
      <c r="H3505" t="s">
        <v>15799</v>
      </c>
      <c r="I3505" t="s">
        <v>4057</v>
      </c>
      <c r="J3505" t="s">
        <v>31597</v>
      </c>
      <c r="K3505" t="s">
        <v>40698</v>
      </c>
      <c r="M3505" t="s">
        <v>42287</v>
      </c>
      <c r="N3505" t="s">
        <v>44905</v>
      </c>
      <c r="O3505" t="s">
        <v>44906</v>
      </c>
      <c r="P3505">
        <v>0</v>
      </c>
      <c r="Q3505">
        <v>0</v>
      </c>
      <c r="R3505" t="s">
        <v>44908</v>
      </c>
      <c r="S3505" t="s">
        <v>45042</v>
      </c>
      <c r="T3505" t="s">
        <v>46404</v>
      </c>
      <c r="U3505" t="s">
        <v>49706</v>
      </c>
      <c r="W3505" t="s">
        <v>42287</v>
      </c>
      <c r="X3505" t="s">
        <v>44909</v>
      </c>
    </row>
    <row r="3506" spans="1:24">
      <c r="A3506">
        <f>HYPERLINK("https://www.philgeps.gov.ph/GEPSNONPILOT/Tender/SplashBidNoticeAbstractUI.aspx?menuIndex=3&amp;refID=7080039&amp;Result=3","7080039")</f>
        <v>0</v>
      </c>
      <c r="B3506" t="s">
        <v>1306</v>
      </c>
      <c r="C3506" t="s">
        <v>6877</v>
      </c>
      <c r="D3506" t="s">
        <v>18158</v>
      </c>
      <c r="E3506" t="s">
        <v>21354</v>
      </c>
      <c r="F3506" t="s">
        <v>31362</v>
      </c>
      <c r="G3506" t="s">
        <v>31369</v>
      </c>
      <c r="H3506" t="s">
        <v>15799</v>
      </c>
      <c r="I3506" t="s">
        <v>31404</v>
      </c>
      <c r="J3506" t="s">
        <v>33853</v>
      </c>
      <c r="K3506" t="s">
        <v>40675</v>
      </c>
      <c r="M3506" t="s">
        <v>42324</v>
      </c>
      <c r="N3506" t="s">
        <v>44905</v>
      </c>
      <c r="O3506" t="s">
        <v>44906</v>
      </c>
      <c r="P3506">
        <v>0</v>
      </c>
      <c r="Q3506">
        <v>0</v>
      </c>
      <c r="R3506" t="s">
        <v>44908</v>
      </c>
      <c r="S3506" t="s">
        <v>45042</v>
      </c>
      <c r="T3506" t="s">
        <v>46649</v>
      </c>
      <c r="U3506" t="s">
        <v>49802</v>
      </c>
      <c r="W3506" t="s">
        <v>42324</v>
      </c>
      <c r="X3506" t="s">
        <v>44909</v>
      </c>
    </row>
    <row r="3507" spans="1:24">
      <c r="A3507">
        <f>HYPERLINK("https://www.philgeps.gov.ph/GEPSNONPILOT/Tender/SplashBidNoticeAbstractUI.aspx?menuIndex=3&amp;refID=7079970&amp;Result=3","7079970")</f>
        <v>0</v>
      </c>
      <c r="B3507" t="s">
        <v>1290</v>
      </c>
      <c r="C3507" t="s">
        <v>6878</v>
      </c>
      <c r="D3507" t="s">
        <v>18127</v>
      </c>
      <c r="E3507" t="s">
        <v>21355</v>
      </c>
      <c r="F3507" t="s">
        <v>31362</v>
      </c>
      <c r="G3507" t="s">
        <v>31369</v>
      </c>
      <c r="H3507" t="s">
        <v>31378</v>
      </c>
      <c r="I3507" t="s">
        <v>31386</v>
      </c>
      <c r="J3507" t="s">
        <v>31696</v>
      </c>
      <c r="K3507" t="s">
        <v>40678</v>
      </c>
      <c r="M3507" t="s">
        <v>42307</v>
      </c>
      <c r="N3507" t="s">
        <v>44905</v>
      </c>
      <c r="O3507" t="s">
        <v>44906</v>
      </c>
      <c r="P3507">
        <v>0</v>
      </c>
      <c r="Q3507">
        <v>2</v>
      </c>
      <c r="R3507" t="s">
        <v>44908</v>
      </c>
      <c r="S3507" t="s">
        <v>45042</v>
      </c>
      <c r="T3507" t="s">
        <v>46511</v>
      </c>
      <c r="U3507" t="s">
        <v>49803</v>
      </c>
      <c r="W3507" t="s">
        <v>42307</v>
      </c>
      <c r="X3507" t="s">
        <v>44909</v>
      </c>
    </row>
    <row r="3508" spans="1:24">
      <c r="A3508">
        <f>HYPERLINK("https://www.philgeps.gov.ph/GEPSNONPILOT/Tender/SplashBidNoticeAbstractUI.aspx?menuIndex=3&amp;refID=7080055&amp;Result=3","7080055")</f>
        <v>0</v>
      </c>
      <c r="B3508" t="s">
        <v>1307</v>
      </c>
      <c r="C3508" t="s">
        <v>6879</v>
      </c>
      <c r="D3508" t="s">
        <v>18158</v>
      </c>
      <c r="E3508" t="s">
        <v>21356</v>
      </c>
      <c r="F3508" t="s">
        <v>31362</v>
      </c>
      <c r="G3508" t="s">
        <v>31368</v>
      </c>
      <c r="H3508" t="s">
        <v>15799</v>
      </c>
      <c r="I3508" t="s">
        <v>31390</v>
      </c>
      <c r="J3508" t="s">
        <v>33854</v>
      </c>
      <c r="K3508" t="s">
        <v>40697</v>
      </c>
      <c r="M3508" t="s">
        <v>42325</v>
      </c>
      <c r="N3508" t="s">
        <v>44905</v>
      </c>
      <c r="O3508" t="s">
        <v>44906</v>
      </c>
      <c r="P3508">
        <v>0</v>
      </c>
      <c r="Q3508">
        <v>0</v>
      </c>
      <c r="R3508" t="s">
        <v>44908</v>
      </c>
      <c r="S3508" t="s">
        <v>45042</v>
      </c>
      <c r="T3508" t="s">
        <v>46432</v>
      </c>
      <c r="U3508" t="s">
        <v>49804</v>
      </c>
      <c r="W3508" t="s">
        <v>42325</v>
      </c>
      <c r="X3508" t="s">
        <v>44909</v>
      </c>
    </row>
    <row r="3509" spans="1:24">
      <c r="A3509">
        <f>HYPERLINK("https://www.philgeps.gov.ph/GEPSNONPILOT/Tender/SplashBidNoticeAbstractUI.aspx?menuIndex=3&amp;refID=7080071&amp;Result=3","7080071")</f>
        <v>0</v>
      </c>
      <c r="B3509" t="s">
        <v>254</v>
      </c>
      <c r="C3509" t="s">
        <v>6880</v>
      </c>
      <c r="D3509" t="s">
        <v>18127</v>
      </c>
      <c r="E3509" t="s">
        <v>21186</v>
      </c>
      <c r="F3509" t="s">
        <v>31362</v>
      </c>
      <c r="G3509" t="s">
        <v>31368</v>
      </c>
      <c r="H3509" t="s">
        <v>15799</v>
      </c>
      <c r="I3509" t="s">
        <v>31393</v>
      </c>
      <c r="J3509" t="s">
        <v>31575</v>
      </c>
      <c r="K3509" t="s">
        <v>40672</v>
      </c>
      <c r="M3509" t="s">
        <v>41194</v>
      </c>
      <c r="N3509" t="s">
        <v>44905</v>
      </c>
      <c r="O3509" t="s">
        <v>44906</v>
      </c>
      <c r="P3509">
        <v>0</v>
      </c>
      <c r="Q3509">
        <v>0</v>
      </c>
      <c r="R3509" t="s">
        <v>44908</v>
      </c>
      <c r="S3509" t="s">
        <v>45042</v>
      </c>
      <c r="T3509" t="s">
        <v>46438</v>
      </c>
      <c r="U3509" t="s">
        <v>49805</v>
      </c>
      <c r="W3509" t="s">
        <v>41194</v>
      </c>
      <c r="X3509" t="s">
        <v>44909</v>
      </c>
    </row>
    <row r="3510" spans="1:24">
      <c r="A3510">
        <f>HYPERLINK("https://www.philgeps.gov.ph/GEPSNONPILOT/Tender/SplashBidNoticeAbstractUI.aspx?menuIndex=3&amp;refID=7080075&amp;Result=3","7080075")</f>
        <v>0</v>
      </c>
      <c r="B3510" t="s">
        <v>1261</v>
      </c>
      <c r="C3510" t="s">
        <v>6881</v>
      </c>
      <c r="D3510" t="s">
        <v>18113</v>
      </c>
      <c r="E3510" t="s">
        <v>6881</v>
      </c>
      <c r="F3510" t="s">
        <v>31362</v>
      </c>
      <c r="G3510" t="s">
        <v>31369</v>
      </c>
      <c r="H3510" t="s">
        <v>15799</v>
      </c>
      <c r="I3510" t="s">
        <v>13635</v>
      </c>
      <c r="J3510" t="s">
        <v>33855</v>
      </c>
      <c r="K3510" t="s">
        <v>40665</v>
      </c>
      <c r="M3510" t="s">
        <v>42277</v>
      </c>
      <c r="N3510" t="s">
        <v>44905</v>
      </c>
      <c r="O3510" t="s">
        <v>44906</v>
      </c>
      <c r="P3510">
        <v>0</v>
      </c>
      <c r="Q3510">
        <v>1</v>
      </c>
      <c r="R3510" t="s">
        <v>44908</v>
      </c>
      <c r="S3510" t="s">
        <v>45042</v>
      </c>
      <c r="T3510" t="s">
        <v>46611</v>
      </c>
      <c r="U3510" t="s">
        <v>49806</v>
      </c>
      <c r="W3510" t="s">
        <v>42277</v>
      </c>
      <c r="X3510" t="s">
        <v>44909</v>
      </c>
    </row>
    <row r="3511" spans="1:24">
      <c r="A3511">
        <f>HYPERLINK("https://www.philgeps.gov.ph/GEPSNONPILOT/Tender/SplashBidNoticeAbstractUI.aspx?menuIndex=3&amp;refID=7080042&amp;Result=3","7080042")</f>
        <v>0</v>
      </c>
      <c r="B3511" t="s">
        <v>1308</v>
      </c>
      <c r="C3511" t="s">
        <v>6882</v>
      </c>
      <c r="D3511" t="s">
        <v>18134</v>
      </c>
      <c r="E3511" t="s">
        <v>21086</v>
      </c>
      <c r="F3511" t="s">
        <v>31362</v>
      </c>
      <c r="G3511" t="s">
        <v>31368</v>
      </c>
      <c r="H3511" t="s">
        <v>15799</v>
      </c>
      <c r="I3511" t="s">
        <v>31385</v>
      </c>
      <c r="J3511" t="s">
        <v>33856</v>
      </c>
      <c r="K3511" t="s">
        <v>40677</v>
      </c>
      <c r="L3511" t="s">
        <v>1308</v>
      </c>
      <c r="M3511" t="s">
        <v>42326</v>
      </c>
      <c r="N3511" t="s">
        <v>44905</v>
      </c>
      <c r="O3511" t="s">
        <v>44906</v>
      </c>
      <c r="P3511">
        <v>0</v>
      </c>
      <c r="Q3511">
        <v>1</v>
      </c>
      <c r="R3511" t="s">
        <v>44908</v>
      </c>
      <c r="S3511" t="s">
        <v>45042</v>
      </c>
      <c r="T3511" t="s">
        <v>46425</v>
      </c>
      <c r="U3511" t="s">
        <v>49807</v>
      </c>
      <c r="W3511" t="s">
        <v>42326</v>
      </c>
      <c r="X3511" t="s">
        <v>44909</v>
      </c>
    </row>
    <row r="3512" spans="1:24">
      <c r="A3512">
        <f>HYPERLINK("https://www.philgeps.gov.ph/GEPSNONPILOT/Tender/SplashBidNoticeAbstractUI.aspx?menuIndex=3&amp;refID=7080041&amp;Result=3","7080041")</f>
        <v>0</v>
      </c>
      <c r="B3512" t="s">
        <v>130</v>
      </c>
      <c r="C3512" t="s">
        <v>6883</v>
      </c>
      <c r="D3512" t="s">
        <v>18109</v>
      </c>
      <c r="E3512" t="s">
        <v>21357</v>
      </c>
      <c r="F3512" t="s">
        <v>31362</v>
      </c>
      <c r="G3512" t="s">
        <v>31368</v>
      </c>
      <c r="H3512" t="s">
        <v>15799</v>
      </c>
      <c r="I3512" t="s">
        <v>31431</v>
      </c>
      <c r="J3512" t="s">
        <v>33857</v>
      </c>
      <c r="K3512" t="s">
        <v>40662</v>
      </c>
      <c r="M3512" t="s">
        <v>41067</v>
      </c>
      <c r="N3512" t="s">
        <v>44905</v>
      </c>
      <c r="O3512" t="s">
        <v>44906</v>
      </c>
      <c r="P3512">
        <v>0</v>
      </c>
      <c r="Q3512">
        <v>3</v>
      </c>
      <c r="R3512" t="s">
        <v>44908</v>
      </c>
      <c r="S3512" t="s">
        <v>45042</v>
      </c>
      <c r="T3512" t="s">
        <v>46394</v>
      </c>
      <c r="U3512" t="s">
        <v>49808</v>
      </c>
      <c r="W3512" t="s">
        <v>41067</v>
      </c>
      <c r="X3512" t="s">
        <v>44909</v>
      </c>
    </row>
    <row r="3513" spans="1:24">
      <c r="A3513">
        <f>HYPERLINK("https://www.philgeps.gov.ph/GEPSNONPILOT/Tender/SplashBidNoticeAbstractUI.aspx?menuIndex=3&amp;refID=7080073&amp;Result=3","7080073")</f>
        <v>0</v>
      </c>
      <c r="B3513" t="s">
        <v>1304</v>
      </c>
      <c r="C3513" t="s">
        <v>6884</v>
      </c>
      <c r="D3513" t="s">
        <v>18104</v>
      </c>
      <c r="E3513" t="s">
        <v>18782</v>
      </c>
      <c r="F3513" t="s">
        <v>31362</v>
      </c>
      <c r="G3513" t="s">
        <v>31369</v>
      </c>
      <c r="H3513" t="s">
        <v>15799</v>
      </c>
      <c r="I3513" t="s">
        <v>31409</v>
      </c>
      <c r="J3513" t="s">
        <v>31734</v>
      </c>
      <c r="K3513" t="s">
        <v>40682</v>
      </c>
      <c r="M3513" t="s">
        <v>42322</v>
      </c>
      <c r="N3513" t="s">
        <v>44905</v>
      </c>
      <c r="O3513" t="s">
        <v>44906</v>
      </c>
      <c r="P3513">
        <v>0</v>
      </c>
      <c r="Q3513">
        <v>0</v>
      </c>
      <c r="R3513" t="s">
        <v>44908</v>
      </c>
      <c r="S3513" t="s">
        <v>45042</v>
      </c>
      <c r="T3513" t="s">
        <v>46624</v>
      </c>
      <c r="U3513" t="s">
        <v>49788</v>
      </c>
      <c r="W3513" t="s">
        <v>42322</v>
      </c>
      <c r="X3513" t="s">
        <v>44909</v>
      </c>
    </row>
    <row r="3514" spans="1:24">
      <c r="A3514">
        <f>HYPERLINK("https://www.philgeps.gov.ph/GEPSNONPILOT/Tender/SplashBidNoticeAbstractUI.aspx?menuIndex=3&amp;refID=7080072&amp;Result=3","7080072")</f>
        <v>0</v>
      </c>
      <c r="B3514" t="s">
        <v>1164</v>
      </c>
      <c r="C3514" t="s">
        <v>6885</v>
      </c>
      <c r="D3514" t="s">
        <v>18111</v>
      </c>
      <c r="E3514" t="s">
        <v>21358</v>
      </c>
      <c r="F3514" t="s">
        <v>31362</v>
      </c>
      <c r="G3514" t="s">
        <v>31370</v>
      </c>
      <c r="H3514" t="s">
        <v>15799</v>
      </c>
      <c r="I3514" t="s">
        <v>31390</v>
      </c>
      <c r="J3514" t="s">
        <v>33858</v>
      </c>
      <c r="K3514" t="s">
        <v>40670</v>
      </c>
      <c r="M3514" t="s">
        <v>42174</v>
      </c>
      <c r="N3514" t="s">
        <v>44905</v>
      </c>
      <c r="O3514" t="s">
        <v>44906</v>
      </c>
      <c r="P3514">
        <v>0</v>
      </c>
      <c r="Q3514">
        <v>1</v>
      </c>
      <c r="R3514" t="s">
        <v>44908</v>
      </c>
      <c r="S3514" t="s">
        <v>45042</v>
      </c>
      <c r="T3514" t="s">
        <v>46414</v>
      </c>
      <c r="U3514" t="s">
        <v>49454</v>
      </c>
      <c r="W3514" t="s">
        <v>42174</v>
      </c>
      <c r="X3514" t="s">
        <v>44909</v>
      </c>
    </row>
    <row r="3515" spans="1:24">
      <c r="A3515">
        <f>HYPERLINK("https://www.philgeps.gov.ph/GEPSNONPILOT/Tender/SplashBidNoticeAbstractUI.aspx?menuIndex=3&amp;refID=7080070&amp;Result=3","7080070")</f>
        <v>0</v>
      </c>
      <c r="B3515" t="s">
        <v>1270</v>
      </c>
      <c r="C3515" t="s">
        <v>6886</v>
      </c>
      <c r="D3515" t="s">
        <v>18157</v>
      </c>
      <c r="E3515" t="s">
        <v>21359</v>
      </c>
      <c r="F3515" t="s">
        <v>31362</v>
      </c>
      <c r="G3515" t="s">
        <v>31368</v>
      </c>
      <c r="H3515" t="s">
        <v>15799</v>
      </c>
      <c r="I3515" t="s">
        <v>4057</v>
      </c>
      <c r="J3515" t="s">
        <v>33859</v>
      </c>
      <c r="K3515" t="s">
        <v>40698</v>
      </c>
      <c r="M3515" t="s">
        <v>42287</v>
      </c>
      <c r="N3515" t="s">
        <v>44905</v>
      </c>
      <c r="O3515" t="s">
        <v>44906</v>
      </c>
      <c r="P3515">
        <v>0</v>
      </c>
      <c r="Q3515">
        <v>0</v>
      </c>
      <c r="R3515" t="s">
        <v>44908</v>
      </c>
      <c r="S3515" t="s">
        <v>45042</v>
      </c>
      <c r="T3515" t="s">
        <v>46404</v>
      </c>
      <c r="U3515" t="s">
        <v>49706</v>
      </c>
      <c r="W3515" t="s">
        <v>42287</v>
      </c>
      <c r="X3515" t="s">
        <v>44909</v>
      </c>
    </row>
    <row r="3516" spans="1:24">
      <c r="A3516">
        <f>HYPERLINK("https://www.philgeps.gov.ph/GEPSNONPILOT/Tender/SplashBidNoticeAbstractUI.aspx?menuIndex=3&amp;refID=7080068&amp;Result=3","7080068")</f>
        <v>0</v>
      </c>
      <c r="B3516" t="s">
        <v>1309</v>
      </c>
      <c r="C3516" t="s">
        <v>6887</v>
      </c>
      <c r="D3516" t="s">
        <v>18172</v>
      </c>
      <c r="E3516" t="s">
        <v>19844</v>
      </c>
      <c r="F3516" t="s">
        <v>31362</v>
      </c>
      <c r="G3516" t="s">
        <v>31369</v>
      </c>
      <c r="H3516" t="s">
        <v>15799</v>
      </c>
      <c r="I3516" t="s">
        <v>3815</v>
      </c>
      <c r="J3516" t="s">
        <v>33860</v>
      </c>
      <c r="K3516" t="s">
        <v>40666</v>
      </c>
      <c r="M3516" t="s">
        <v>42327</v>
      </c>
      <c r="N3516" t="s">
        <v>44905</v>
      </c>
      <c r="O3516" t="s">
        <v>44906</v>
      </c>
      <c r="P3516">
        <v>0</v>
      </c>
      <c r="Q3516">
        <v>0</v>
      </c>
      <c r="R3516" t="s">
        <v>44908</v>
      </c>
      <c r="S3516" t="s">
        <v>45042</v>
      </c>
      <c r="T3516" t="s">
        <v>46396</v>
      </c>
      <c r="U3516" t="s">
        <v>49809</v>
      </c>
      <c r="W3516" t="s">
        <v>42327</v>
      </c>
      <c r="X3516" t="s">
        <v>44909</v>
      </c>
    </row>
    <row r="3517" spans="1:24">
      <c r="A3517">
        <f>HYPERLINK("https://www.philgeps.gov.ph/GEPSNONPILOT/Tender/SplashBidNoticeAbstractUI.aspx?menuIndex=3&amp;refID=7080065&amp;Result=3","7080065")</f>
        <v>0</v>
      </c>
      <c r="B3517" t="s">
        <v>1310</v>
      </c>
      <c r="C3517" t="s">
        <v>6888</v>
      </c>
      <c r="D3517" t="s">
        <v>18122</v>
      </c>
      <c r="E3517" t="s">
        <v>21360</v>
      </c>
      <c r="F3517" t="s">
        <v>31362</v>
      </c>
      <c r="G3517" t="s">
        <v>31369</v>
      </c>
      <c r="H3517" t="s">
        <v>31378</v>
      </c>
      <c r="I3517" t="s">
        <v>31386</v>
      </c>
      <c r="J3517" t="s">
        <v>33861</v>
      </c>
      <c r="K3517" t="s">
        <v>40682</v>
      </c>
      <c r="M3517" t="s">
        <v>42328</v>
      </c>
      <c r="N3517" t="s">
        <v>44905</v>
      </c>
      <c r="O3517" t="s">
        <v>44906</v>
      </c>
      <c r="P3517">
        <v>0</v>
      </c>
      <c r="Q3517">
        <v>2</v>
      </c>
      <c r="R3517" t="s">
        <v>44908</v>
      </c>
      <c r="S3517" t="s">
        <v>45042</v>
      </c>
      <c r="T3517" t="s">
        <v>46419</v>
      </c>
      <c r="U3517" t="s">
        <v>49810</v>
      </c>
      <c r="V3517" t="s">
        <v>59416</v>
      </c>
      <c r="W3517" t="s">
        <v>42328</v>
      </c>
      <c r="X3517" t="s">
        <v>44909</v>
      </c>
    </row>
    <row r="3518" spans="1:24">
      <c r="A3518">
        <f>HYPERLINK("https://www.philgeps.gov.ph/GEPSNONPILOT/Tender/SplashBidNoticeAbstractUI.aspx?menuIndex=3&amp;refID=7080051&amp;Result=3","7080051")</f>
        <v>0</v>
      </c>
      <c r="B3518" t="s">
        <v>1287</v>
      </c>
      <c r="C3518" t="s">
        <v>6798</v>
      </c>
      <c r="D3518" t="s">
        <v>18152</v>
      </c>
      <c r="E3518" t="s">
        <v>18680</v>
      </c>
      <c r="F3518" t="s">
        <v>31362</v>
      </c>
      <c r="G3518" t="s">
        <v>31369</v>
      </c>
      <c r="H3518" t="s">
        <v>15799</v>
      </c>
      <c r="I3518" t="s">
        <v>3815</v>
      </c>
      <c r="J3518" t="s">
        <v>33862</v>
      </c>
      <c r="K3518" t="s">
        <v>40665</v>
      </c>
      <c r="M3518" t="s">
        <v>42304</v>
      </c>
      <c r="N3518" t="s">
        <v>44905</v>
      </c>
      <c r="O3518" t="s">
        <v>44906</v>
      </c>
      <c r="P3518">
        <v>0</v>
      </c>
      <c r="Q3518">
        <v>0</v>
      </c>
      <c r="R3518" t="s">
        <v>44908</v>
      </c>
      <c r="S3518" t="s">
        <v>45042</v>
      </c>
      <c r="T3518" t="s">
        <v>46392</v>
      </c>
      <c r="U3518" t="s">
        <v>49811</v>
      </c>
      <c r="W3518" t="s">
        <v>42304</v>
      </c>
      <c r="X3518" t="s">
        <v>44909</v>
      </c>
    </row>
    <row r="3519" spans="1:24">
      <c r="A3519">
        <f>HYPERLINK("https://www.philgeps.gov.ph/GEPSNONPILOT/Tender/SplashBidNoticeAbstractUI.aspx?menuIndex=3&amp;refID=7080074&amp;Result=3","7080074")</f>
        <v>0</v>
      </c>
      <c r="B3519" t="s">
        <v>1311</v>
      </c>
      <c r="C3519" t="s">
        <v>5899</v>
      </c>
      <c r="D3519" t="s">
        <v>18156</v>
      </c>
      <c r="E3519" t="s">
        <v>21361</v>
      </c>
      <c r="F3519" t="s">
        <v>31362</v>
      </c>
      <c r="G3519" t="s">
        <v>31370</v>
      </c>
      <c r="H3519" t="s">
        <v>15799</v>
      </c>
      <c r="I3519" t="s">
        <v>7090</v>
      </c>
      <c r="J3519" t="s">
        <v>32178</v>
      </c>
      <c r="K3519" t="s">
        <v>40662</v>
      </c>
      <c r="M3519" t="s">
        <v>42329</v>
      </c>
      <c r="N3519" t="s">
        <v>44905</v>
      </c>
      <c r="O3519" t="s">
        <v>44906</v>
      </c>
      <c r="P3519">
        <v>0</v>
      </c>
      <c r="Q3519">
        <v>0</v>
      </c>
      <c r="R3519" t="s">
        <v>44908</v>
      </c>
      <c r="S3519" t="s">
        <v>45042</v>
      </c>
      <c r="T3519" t="s">
        <v>46454</v>
      </c>
      <c r="U3519" t="s">
        <v>49812</v>
      </c>
      <c r="V3519" t="s">
        <v>59417</v>
      </c>
      <c r="W3519" t="s">
        <v>42329</v>
      </c>
      <c r="X3519" t="s">
        <v>44909</v>
      </c>
    </row>
    <row r="3520" spans="1:24">
      <c r="A3520">
        <f>HYPERLINK("https://www.philgeps.gov.ph/GEPSNONPILOT/Tender/SplashBidNoticeAbstractUI.aspx?menuIndex=3&amp;refID=7080064&amp;Result=3","7080064")</f>
        <v>0</v>
      </c>
      <c r="B3520" t="s">
        <v>1287</v>
      </c>
      <c r="C3520" t="s">
        <v>6889</v>
      </c>
      <c r="D3520" t="s">
        <v>18152</v>
      </c>
      <c r="E3520" t="s">
        <v>18717</v>
      </c>
      <c r="F3520" t="s">
        <v>31362</v>
      </c>
      <c r="G3520" t="s">
        <v>31369</v>
      </c>
      <c r="H3520" t="s">
        <v>15799</v>
      </c>
      <c r="I3520" t="s">
        <v>3815</v>
      </c>
      <c r="J3520" t="s">
        <v>33863</v>
      </c>
      <c r="K3520" t="s">
        <v>40665</v>
      </c>
      <c r="M3520" t="s">
        <v>42304</v>
      </c>
      <c r="N3520" t="s">
        <v>44905</v>
      </c>
      <c r="O3520" t="s">
        <v>44906</v>
      </c>
      <c r="P3520">
        <v>0</v>
      </c>
      <c r="Q3520">
        <v>0</v>
      </c>
      <c r="R3520" t="s">
        <v>44908</v>
      </c>
      <c r="S3520" t="s">
        <v>45042</v>
      </c>
      <c r="T3520" t="s">
        <v>46392</v>
      </c>
      <c r="U3520" t="s">
        <v>49813</v>
      </c>
      <c r="W3520" t="s">
        <v>42304</v>
      </c>
      <c r="X3520" t="s">
        <v>44909</v>
      </c>
    </row>
    <row r="3521" spans="1:24">
      <c r="A3521">
        <f>HYPERLINK("https://www.philgeps.gov.ph/GEPSNONPILOT/Tender/SplashBidNoticeAbstractUI.aspx?menuIndex=3&amp;refID=7080063&amp;Result=3","7080063")</f>
        <v>0</v>
      </c>
      <c r="B3521" t="s">
        <v>1312</v>
      </c>
      <c r="C3521" t="s">
        <v>6890</v>
      </c>
      <c r="D3521" t="s">
        <v>18174</v>
      </c>
      <c r="E3521" t="s">
        <v>21362</v>
      </c>
      <c r="F3521" t="s">
        <v>31362</v>
      </c>
      <c r="G3521" t="s">
        <v>31370</v>
      </c>
      <c r="H3521" t="s">
        <v>15799</v>
      </c>
      <c r="I3521" t="s">
        <v>3815</v>
      </c>
      <c r="J3521" t="s">
        <v>33864</v>
      </c>
      <c r="K3521" t="s">
        <v>40666</v>
      </c>
      <c r="M3521" t="s">
        <v>42330</v>
      </c>
      <c r="N3521" t="s">
        <v>44905</v>
      </c>
      <c r="O3521" t="s">
        <v>44906</v>
      </c>
      <c r="P3521">
        <v>0</v>
      </c>
      <c r="Q3521">
        <v>1</v>
      </c>
      <c r="R3521" t="s">
        <v>44908</v>
      </c>
      <c r="S3521" t="s">
        <v>45042</v>
      </c>
      <c r="T3521" t="s">
        <v>46447</v>
      </c>
      <c r="U3521" t="s">
        <v>49814</v>
      </c>
      <c r="W3521" t="s">
        <v>42330</v>
      </c>
      <c r="X3521" t="s">
        <v>44909</v>
      </c>
    </row>
    <row r="3522" spans="1:24">
      <c r="A3522">
        <f>HYPERLINK("https://www.philgeps.gov.ph/GEPSNONPILOT/Tender/SplashBidNoticeAbstractUI.aspx?menuIndex=3&amp;refID=7080061&amp;Result=3","7080061")</f>
        <v>0</v>
      </c>
      <c r="B3522" t="s">
        <v>1313</v>
      </c>
      <c r="C3522" t="s">
        <v>6891</v>
      </c>
      <c r="D3522" t="s">
        <v>18153</v>
      </c>
      <c r="E3522" t="s">
        <v>21363</v>
      </c>
      <c r="F3522" t="s">
        <v>31362</v>
      </c>
      <c r="G3522" t="s">
        <v>31368</v>
      </c>
      <c r="H3522" t="s">
        <v>15799</v>
      </c>
      <c r="I3522" t="s">
        <v>31427</v>
      </c>
      <c r="J3522" t="s">
        <v>33865</v>
      </c>
      <c r="K3522" t="s">
        <v>40666</v>
      </c>
      <c r="M3522" t="s">
        <v>42331</v>
      </c>
      <c r="N3522" t="s">
        <v>44905</v>
      </c>
      <c r="O3522" t="s">
        <v>44906</v>
      </c>
      <c r="P3522">
        <v>0</v>
      </c>
      <c r="Q3522">
        <v>8</v>
      </c>
      <c r="R3522" t="s">
        <v>44908</v>
      </c>
      <c r="S3522" t="s">
        <v>45042</v>
      </c>
      <c r="T3522" t="s">
        <v>46434</v>
      </c>
      <c r="U3522" t="s">
        <v>49815</v>
      </c>
      <c r="W3522" t="s">
        <v>60889</v>
      </c>
      <c r="X3522" t="s">
        <v>44909</v>
      </c>
    </row>
    <row r="3523" spans="1:24">
      <c r="A3523">
        <f>HYPERLINK("https://www.philgeps.gov.ph/GEPSNONPILOT/Tender/SplashBidNoticeAbstractUI.aspx?menuIndex=3&amp;refID=7080060&amp;Result=3","7080060")</f>
        <v>0</v>
      </c>
      <c r="B3523" t="s">
        <v>1314</v>
      </c>
      <c r="C3523" t="s">
        <v>6892</v>
      </c>
      <c r="D3523" t="s">
        <v>18134</v>
      </c>
      <c r="E3523" t="s">
        <v>21364</v>
      </c>
      <c r="F3523" t="s">
        <v>31362</v>
      </c>
      <c r="G3523" t="s">
        <v>31372</v>
      </c>
      <c r="H3523" t="s">
        <v>15799</v>
      </c>
      <c r="I3523" t="s">
        <v>31404</v>
      </c>
      <c r="J3523" t="s">
        <v>33866</v>
      </c>
      <c r="K3523" t="s">
        <v>40711</v>
      </c>
      <c r="M3523" t="s">
        <v>42332</v>
      </c>
      <c r="N3523" t="s">
        <v>44905</v>
      </c>
      <c r="O3523" t="s">
        <v>44906</v>
      </c>
      <c r="P3523">
        <v>0</v>
      </c>
      <c r="Q3523">
        <v>0</v>
      </c>
      <c r="R3523" t="s">
        <v>44908</v>
      </c>
      <c r="S3523" t="s">
        <v>45042</v>
      </c>
      <c r="T3523" t="s">
        <v>46460</v>
      </c>
      <c r="U3523" t="s">
        <v>49816</v>
      </c>
      <c r="W3523" t="s">
        <v>42332</v>
      </c>
      <c r="X3523" t="s">
        <v>44909</v>
      </c>
    </row>
    <row r="3524" spans="1:24">
      <c r="A3524">
        <f>HYPERLINK("https://www.philgeps.gov.ph/GEPSNONPILOT/Tender/SplashBidNoticeAbstractUI.aspx?menuIndex=3&amp;refID=7080078&amp;Result=3","7080078")</f>
        <v>0</v>
      </c>
      <c r="B3524" t="s">
        <v>611</v>
      </c>
      <c r="C3524" t="s">
        <v>6893</v>
      </c>
      <c r="D3524" t="s">
        <v>18148</v>
      </c>
      <c r="E3524" t="s">
        <v>21365</v>
      </c>
      <c r="F3524" t="s">
        <v>31362</v>
      </c>
      <c r="G3524" t="s">
        <v>31370</v>
      </c>
      <c r="H3524" t="s">
        <v>15799</v>
      </c>
      <c r="I3524" t="s">
        <v>31385</v>
      </c>
      <c r="J3524" t="s">
        <v>33867</v>
      </c>
      <c r="K3524" t="s">
        <v>40662</v>
      </c>
      <c r="M3524" t="s">
        <v>41569</v>
      </c>
      <c r="N3524" t="s">
        <v>44905</v>
      </c>
      <c r="O3524" t="s">
        <v>44906</v>
      </c>
      <c r="P3524">
        <v>0</v>
      </c>
      <c r="Q3524">
        <v>1</v>
      </c>
      <c r="R3524" t="s">
        <v>44908</v>
      </c>
      <c r="S3524" t="s">
        <v>45042</v>
      </c>
      <c r="T3524" t="s">
        <v>46411</v>
      </c>
      <c r="U3524" t="s">
        <v>47749</v>
      </c>
      <c r="W3524" t="s">
        <v>41569</v>
      </c>
      <c r="X3524" t="s">
        <v>44909</v>
      </c>
    </row>
    <row r="3525" spans="1:24">
      <c r="A3525">
        <f>HYPERLINK("https://www.philgeps.gov.ph/GEPSNONPILOT/Tender/SplashBidNoticeAbstractUI.aspx?menuIndex=3&amp;refID=7080077&amp;Result=3","7080077")</f>
        <v>0</v>
      </c>
      <c r="B3525" t="s">
        <v>1315</v>
      </c>
      <c r="C3525" t="s">
        <v>6894</v>
      </c>
      <c r="D3525" t="s">
        <v>18157</v>
      </c>
      <c r="E3525" t="s">
        <v>21366</v>
      </c>
      <c r="F3525" t="s">
        <v>31362</v>
      </c>
      <c r="G3525" t="s">
        <v>31369</v>
      </c>
      <c r="H3525" t="s">
        <v>15799</v>
      </c>
      <c r="I3525" t="s">
        <v>31433</v>
      </c>
      <c r="J3525" t="s">
        <v>33868</v>
      </c>
      <c r="K3525" t="s">
        <v>40666</v>
      </c>
      <c r="M3525" t="s">
        <v>42333</v>
      </c>
      <c r="N3525" t="s">
        <v>44905</v>
      </c>
      <c r="O3525" t="s">
        <v>44906</v>
      </c>
      <c r="P3525">
        <v>0</v>
      </c>
      <c r="Q3525">
        <v>3</v>
      </c>
      <c r="R3525" t="s">
        <v>44908</v>
      </c>
      <c r="S3525" t="s">
        <v>45042</v>
      </c>
      <c r="T3525" t="s">
        <v>46604</v>
      </c>
      <c r="U3525" t="s">
        <v>49817</v>
      </c>
      <c r="W3525" t="s">
        <v>42333</v>
      </c>
      <c r="X3525" t="s">
        <v>44909</v>
      </c>
    </row>
    <row r="3526" spans="1:24">
      <c r="A3526">
        <f>HYPERLINK("https://www.philgeps.gov.ph/GEPSNONPILOT/Tender/SplashBidNoticeAbstractUI.aspx?menuIndex=3&amp;refID=7080059&amp;Result=3","7080059")</f>
        <v>0</v>
      </c>
      <c r="B3526" t="s">
        <v>1316</v>
      </c>
      <c r="C3526" t="s">
        <v>6895</v>
      </c>
      <c r="D3526" t="s">
        <v>18123</v>
      </c>
      <c r="E3526" t="s">
        <v>21367</v>
      </c>
      <c r="F3526" t="s">
        <v>31362</v>
      </c>
      <c r="G3526" t="s">
        <v>31368</v>
      </c>
      <c r="H3526" t="s">
        <v>15799</v>
      </c>
      <c r="I3526" t="s">
        <v>3815</v>
      </c>
      <c r="J3526" t="s">
        <v>33869</v>
      </c>
      <c r="K3526" t="s">
        <v>40662</v>
      </c>
      <c r="M3526" t="s">
        <v>42334</v>
      </c>
      <c r="N3526" t="s">
        <v>44905</v>
      </c>
      <c r="O3526" t="s">
        <v>44906</v>
      </c>
      <c r="P3526">
        <v>0</v>
      </c>
      <c r="Q3526">
        <v>0</v>
      </c>
      <c r="R3526" t="s">
        <v>44908</v>
      </c>
      <c r="S3526" t="s">
        <v>45042</v>
      </c>
      <c r="T3526" t="s">
        <v>46447</v>
      </c>
      <c r="U3526" t="s">
        <v>49818</v>
      </c>
      <c r="V3526" t="s">
        <v>59418</v>
      </c>
      <c r="W3526" t="s">
        <v>42334</v>
      </c>
      <c r="X3526" t="s">
        <v>44909</v>
      </c>
    </row>
    <row r="3527" spans="1:24">
      <c r="A3527">
        <f>HYPERLINK("https://www.philgeps.gov.ph/GEPSNONPILOT/Tender/SplashBidNoticeAbstractUI.aspx?menuIndex=3&amp;refID=7080101&amp;Result=3","7080101")</f>
        <v>0</v>
      </c>
      <c r="B3527" t="s">
        <v>1205</v>
      </c>
      <c r="C3527" t="s">
        <v>6896</v>
      </c>
      <c r="D3527" t="s">
        <v>18134</v>
      </c>
      <c r="E3527" t="s">
        <v>21368</v>
      </c>
      <c r="F3527" t="s">
        <v>31362</v>
      </c>
      <c r="G3527" t="s">
        <v>31368</v>
      </c>
      <c r="H3527" t="s">
        <v>15799</v>
      </c>
      <c r="I3527" t="s">
        <v>31398</v>
      </c>
      <c r="J3527" t="s">
        <v>31724</v>
      </c>
      <c r="K3527" t="s">
        <v>40666</v>
      </c>
      <c r="M3527" t="s">
        <v>42218</v>
      </c>
      <c r="N3527" t="s">
        <v>44905</v>
      </c>
      <c r="O3527" t="s">
        <v>44906</v>
      </c>
      <c r="P3527">
        <v>0</v>
      </c>
      <c r="Q3527">
        <v>1</v>
      </c>
      <c r="R3527" t="s">
        <v>44908</v>
      </c>
      <c r="S3527" t="s">
        <v>45042</v>
      </c>
      <c r="T3527" t="s">
        <v>46409</v>
      </c>
      <c r="U3527" t="s">
        <v>49561</v>
      </c>
      <c r="W3527" t="s">
        <v>42218</v>
      </c>
      <c r="X3527" t="s">
        <v>44909</v>
      </c>
    </row>
    <row r="3528" spans="1:24">
      <c r="A3528">
        <f>HYPERLINK("https://www.philgeps.gov.ph/GEPSNONPILOT/Tender/SplashBidNoticeAbstractUI.aspx?menuIndex=3&amp;refID=7080100&amp;Result=3","7080100")</f>
        <v>0</v>
      </c>
      <c r="B3528" t="s">
        <v>1317</v>
      </c>
      <c r="C3528" t="s">
        <v>6897</v>
      </c>
      <c r="D3528" t="s">
        <v>18136</v>
      </c>
      <c r="E3528" t="s">
        <v>21369</v>
      </c>
      <c r="F3528" t="s">
        <v>31362</v>
      </c>
      <c r="G3528" t="s">
        <v>31368</v>
      </c>
      <c r="H3528" t="s">
        <v>15799</v>
      </c>
      <c r="I3528" t="s">
        <v>31400</v>
      </c>
      <c r="J3528" t="s">
        <v>31536</v>
      </c>
      <c r="K3528" t="s">
        <v>40665</v>
      </c>
      <c r="M3528" t="s">
        <v>42335</v>
      </c>
      <c r="N3528" t="s">
        <v>44905</v>
      </c>
      <c r="O3528" t="s">
        <v>44906</v>
      </c>
      <c r="P3528">
        <v>0</v>
      </c>
      <c r="Q3528">
        <v>1</v>
      </c>
      <c r="R3528" t="s">
        <v>44908</v>
      </c>
      <c r="S3528" t="s">
        <v>45042</v>
      </c>
      <c r="T3528" t="s">
        <v>46413</v>
      </c>
      <c r="U3528" t="s">
        <v>49819</v>
      </c>
      <c r="W3528" t="s">
        <v>42335</v>
      </c>
      <c r="X3528" t="s">
        <v>44909</v>
      </c>
    </row>
    <row r="3529" spans="1:24">
      <c r="A3529">
        <f>HYPERLINK("https://www.philgeps.gov.ph/GEPSNONPILOT/Tender/SplashBidNoticeAbstractUI.aspx?menuIndex=3&amp;refID=7080097&amp;Result=3","7080097")</f>
        <v>0</v>
      </c>
      <c r="B3529" t="s">
        <v>534</v>
      </c>
      <c r="C3529" t="s">
        <v>6898</v>
      </c>
      <c r="D3529" t="s">
        <v>18131</v>
      </c>
      <c r="E3529" t="s">
        <v>21370</v>
      </c>
      <c r="F3529" t="s">
        <v>31362</v>
      </c>
      <c r="G3529" t="s">
        <v>31368</v>
      </c>
      <c r="H3529" t="s">
        <v>15799</v>
      </c>
      <c r="I3529" t="s">
        <v>31397</v>
      </c>
      <c r="J3529" t="s">
        <v>31722</v>
      </c>
      <c r="K3529" t="s">
        <v>40670</v>
      </c>
      <c r="M3529" t="s">
        <v>41490</v>
      </c>
      <c r="N3529" t="s">
        <v>44905</v>
      </c>
      <c r="O3529" t="s">
        <v>44906</v>
      </c>
      <c r="P3529">
        <v>0</v>
      </c>
      <c r="Q3529">
        <v>3</v>
      </c>
      <c r="R3529" t="s">
        <v>44908</v>
      </c>
      <c r="S3529" t="s">
        <v>45042</v>
      </c>
      <c r="T3529" t="s">
        <v>46435</v>
      </c>
      <c r="U3529" t="s">
        <v>49820</v>
      </c>
      <c r="W3529" t="s">
        <v>41490</v>
      </c>
      <c r="X3529" t="s">
        <v>44909</v>
      </c>
    </row>
    <row r="3530" spans="1:24">
      <c r="A3530">
        <f>HYPERLINK("https://www.philgeps.gov.ph/GEPSNONPILOT/Tender/SplashBidNoticeAbstractUI.aspx?menuIndex=3&amp;refID=7080096&amp;Result=3","7080096")</f>
        <v>0</v>
      </c>
      <c r="B3530" t="s">
        <v>1287</v>
      </c>
      <c r="C3530" t="s">
        <v>6889</v>
      </c>
      <c r="D3530" t="s">
        <v>18152</v>
      </c>
      <c r="E3530" t="s">
        <v>18712</v>
      </c>
      <c r="F3530" t="s">
        <v>31362</v>
      </c>
      <c r="G3530" t="s">
        <v>31369</v>
      </c>
      <c r="H3530" t="s">
        <v>15799</v>
      </c>
      <c r="I3530" t="s">
        <v>3815</v>
      </c>
      <c r="J3530" t="s">
        <v>33870</v>
      </c>
      <c r="K3530" t="s">
        <v>40665</v>
      </c>
      <c r="M3530" t="s">
        <v>42304</v>
      </c>
      <c r="N3530" t="s">
        <v>44905</v>
      </c>
      <c r="O3530" t="s">
        <v>44906</v>
      </c>
      <c r="P3530">
        <v>0</v>
      </c>
      <c r="Q3530">
        <v>0</v>
      </c>
      <c r="R3530" t="s">
        <v>44908</v>
      </c>
      <c r="S3530" t="s">
        <v>45042</v>
      </c>
      <c r="T3530" t="s">
        <v>46392</v>
      </c>
      <c r="U3530" t="s">
        <v>49821</v>
      </c>
      <c r="W3530" t="s">
        <v>42304</v>
      </c>
      <c r="X3530" t="s">
        <v>44909</v>
      </c>
    </row>
    <row r="3531" spans="1:24">
      <c r="A3531">
        <f>HYPERLINK("https://www.philgeps.gov.ph/GEPSNONPILOT/Tender/SplashBidNoticeAbstractUI.aspx?menuIndex=3&amp;refID=7080095&amp;Result=3","7080095")</f>
        <v>0</v>
      </c>
      <c r="B3531" t="s">
        <v>223</v>
      </c>
      <c r="C3531" t="s">
        <v>6899</v>
      </c>
      <c r="D3531" t="s">
        <v>18153</v>
      </c>
      <c r="E3531" t="s">
        <v>21371</v>
      </c>
      <c r="F3531" t="s">
        <v>31362</v>
      </c>
      <c r="G3531" t="s">
        <v>31368</v>
      </c>
      <c r="H3531" t="s">
        <v>15799</v>
      </c>
      <c r="I3531" t="s">
        <v>31387</v>
      </c>
      <c r="J3531" t="s">
        <v>33871</v>
      </c>
      <c r="K3531" t="s">
        <v>40666</v>
      </c>
      <c r="M3531" t="s">
        <v>41162</v>
      </c>
      <c r="N3531" t="s">
        <v>44905</v>
      </c>
      <c r="O3531" t="s">
        <v>44906</v>
      </c>
      <c r="P3531">
        <v>0</v>
      </c>
      <c r="Q3531">
        <v>1</v>
      </c>
      <c r="R3531" t="s">
        <v>44908</v>
      </c>
      <c r="S3531" t="s">
        <v>45042</v>
      </c>
      <c r="T3531" t="s">
        <v>46435</v>
      </c>
      <c r="U3531" t="s">
        <v>49822</v>
      </c>
      <c r="W3531" t="s">
        <v>41162</v>
      </c>
      <c r="X3531" t="s">
        <v>44909</v>
      </c>
    </row>
    <row r="3532" spans="1:24">
      <c r="A3532">
        <f>HYPERLINK("https://www.philgeps.gov.ph/GEPSNONPILOT/Tender/SplashBidNoticeAbstractUI.aspx?menuIndex=3&amp;refID=7080018&amp;Result=3","7080018")</f>
        <v>0</v>
      </c>
      <c r="B3532" t="s">
        <v>1318</v>
      </c>
      <c r="C3532" t="s">
        <v>6900</v>
      </c>
      <c r="D3532" t="s">
        <v>18102</v>
      </c>
      <c r="E3532" t="s">
        <v>21372</v>
      </c>
      <c r="F3532" t="s">
        <v>31362</v>
      </c>
      <c r="G3532" t="s">
        <v>31370</v>
      </c>
      <c r="H3532" t="s">
        <v>15799</v>
      </c>
      <c r="I3532" t="s">
        <v>31492</v>
      </c>
      <c r="J3532" t="s">
        <v>33872</v>
      </c>
      <c r="K3532" t="s">
        <v>40682</v>
      </c>
      <c r="M3532" t="s">
        <v>42336</v>
      </c>
      <c r="N3532" t="s">
        <v>44905</v>
      </c>
      <c r="O3532" t="s">
        <v>44906</v>
      </c>
      <c r="P3532">
        <v>0</v>
      </c>
      <c r="Q3532">
        <v>1</v>
      </c>
      <c r="R3532" t="s">
        <v>44908</v>
      </c>
      <c r="S3532" t="s">
        <v>45042</v>
      </c>
      <c r="T3532" t="s">
        <v>46467</v>
      </c>
      <c r="U3532" t="s">
        <v>49823</v>
      </c>
      <c r="W3532" t="s">
        <v>42336</v>
      </c>
      <c r="X3532" t="s">
        <v>44909</v>
      </c>
    </row>
    <row r="3533" spans="1:24">
      <c r="A3533">
        <f>HYPERLINK("https://www.philgeps.gov.ph/GEPSNONPILOT/Tender/SplashBidNoticeAbstractUI.aspx?menuIndex=3&amp;refID=7080094&amp;Result=3","7080094")</f>
        <v>0</v>
      </c>
      <c r="B3533" t="s">
        <v>1319</v>
      </c>
      <c r="C3533" t="s">
        <v>6901</v>
      </c>
      <c r="D3533" t="s">
        <v>18131</v>
      </c>
      <c r="E3533" t="s">
        <v>21373</v>
      </c>
      <c r="F3533" t="s">
        <v>31362</v>
      </c>
      <c r="G3533" t="s">
        <v>31368</v>
      </c>
      <c r="H3533" t="s">
        <v>15799</v>
      </c>
      <c r="I3533" t="s">
        <v>31409</v>
      </c>
      <c r="J3533" t="s">
        <v>31536</v>
      </c>
      <c r="K3533" t="s">
        <v>40666</v>
      </c>
      <c r="M3533" t="s">
        <v>42337</v>
      </c>
      <c r="N3533" t="s">
        <v>44905</v>
      </c>
      <c r="O3533" t="s">
        <v>44906</v>
      </c>
      <c r="P3533">
        <v>0</v>
      </c>
      <c r="Q3533">
        <v>0</v>
      </c>
      <c r="R3533" t="s">
        <v>44908</v>
      </c>
      <c r="S3533" t="s">
        <v>45042</v>
      </c>
      <c r="T3533" t="s">
        <v>46454</v>
      </c>
      <c r="U3533" t="s">
        <v>49824</v>
      </c>
      <c r="W3533" t="s">
        <v>42337</v>
      </c>
      <c r="X3533" t="s">
        <v>44909</v>
      </c>
    </row>
    <row r="3534" spans="1:24">
      <c r="A3534">
        <f>HYPERLINK("https://www.philgeps.gov.ph/GEPSNONPILOT/Tender/SplashBidNoticeAbstractUI.aspx?menuIndex=3&amp;refID=7080093&amp;Result=3","7080093")</f>
        <v>0</v>
      </c>
      <c r="B3534" t="s">
        <v>1304</v>
      </c>
      <c r="C3534" t="s">
        <v>6902</v>
      </c>
      <c r="D3534" t="s">
        <v>18104</v>
      </c>
      <c r="E3534" t="s">
        <v>19189</v>
      </c>
      <c r="F3534" t="s">
        <v>31362</v>
      </c>
      <c r="G3534" t="s">
        <v>31369</v>
      </c>
      <c r="H3534" t="s">
        <v>31378</v>
      </c>
      <c r="I3534" t="s">
        <v>31386</v>
      </c>
      <c r="J3534" t="s">
        <v>31921</v>
      </c>
      <c r="K3534" t="s">
        <v>40665</v>
      </c>
      <c r="M3534" t="s">
        <v>42322</v>
      </c>
      <c r="N3534" t="s">
        <v>44905</v>
      </c>
      <c r="O3534" t="s">
        <v>44906</v>
      </c>
      <c r="P3534">
        <v>0</v>
      </c>
      <c r="Q3534">
        <v>0</v>
      </c>
      <c r="R3534" t="s">
        <v>44908</v>
      </c>
      <c r="S3534" t="s">
        <v>45042</v>
      </c>
      <c r="T3534" t="s">
        <v>46624</v>
      </c>
      <c r="U3534" t="s">
        <v>49788</v>
      </c>
      <c r="W3534" t="s">
        <v>42322</v>
      </c>
      <c r="X3534" t="s">
        <v>44909</v>
      </c>
    </row>
    <row r="3535" spans="1:24">
      <c r="A3535">
        <f>HYPERLINK("https://www.philgeps.gov.ph/GEPSNONPILOT/Tender/SplashBidNoticeAbstractUI.aspx?menuIndex=3&amp;refID=7080092&amp;Result=3","7080092")</f>
        <v>0</v>
      </c>
      <c r="B3535" t="s">
        <v>1320</v>
      </c>
      <c r="C3535" t="s">
        <v>6903</v>
      </c>
      <c r="D3535" t="s">
        <v>18117</v>
      </c>
      <c r="E3535" t="s">
        <v>21374</v>
      </c>
      <c r="F3535" t="s">
        <v>31362</v>
      </c>
      <c r="G3535" t="s">
        <v>31369</v>
      </c>
      <c r="H3535" t="s">
        <v>15799</v>
      </c>
      <c r="I3535" t="s">
        <v>31399</v>
      </c>
      <c r="J3535" t="s">
        <v>31997</v>
      </c>
      <c r="K3535" t="s">
        <v>40665</v>
      </c>
      <c r="M3535" t="s">
        <v>42338</v>
      </c>
      <c r="N3535" t="s">
        <v>44905</v>
      </c>
      <c r="O3535" t="s">
        <v>44906</v>
      </c>
      <c r="P3535">
        <v>0</v>
      </c>
      <c r="Q3535">
        <v>0</v>
      </c>
      <c r="R3535" t="s">
        <v>44908</v>
      </c>
      <c r="S3535" t="s">
        <v>45042</v>
      </c>
      <c r="T3535" t="s">
        <v>46470</v>
      </c>
      <c r="U3535" t="s">
        <v>49825</v>
      </c>
      <c r="V3535" t="s">
        <v>59419</v>
      </c>
      <c r="W3535" t="s">
        <v>42338</v>
      </c>
      <c r="X3535" t="s">
        <v>44909</v>
      </c>
    </row>
    <row r="3536" spans="1:24">
      <c r="A3536">
        <f>HYPERLINK("https://www.philgeps.gov.ph/GEPSNONPILOT/Tender/SplashBidNoticeAbstractUI.aspx?menuIndex=3&amp;refID=7080091&amp;Result=3","7080091")</f>
        <v>0</v>
      </c>
      <c r="B3536" t="s">
        <v>130</v>
      </c>
      <c r="C3536" t="s">
        <v>6904</v>
      </c>
      <c r="D3536" t="s">
        <v>18109</v>
      </c>
      <c r="E3536" t="s">
        <v>6904</v>
      </c>
      <c r="F3536" t="s">
        <v>31362</v>
      </c>
      <c r="G3536" t="s">
        <v>31368</v>
      </c>
      <c r="H3536" t="s">
        <v>15799</v>
      </c>
      <c r="I3536" t="s">
        <v>7090</v>
      </c>
      <c r="J3536" t="s">
        <v>31531</v>
      </c>
      <c r="K3536" t="s">
        <v>40662</v>
      </c>
      <c r="M3536" t="s">
        <v>41067</v>
      </c>
      <c r="N3536" t="s">
        <v>44905</v>
      </c>
      <c r="O3536" t="s">
        <v>44906</v>
      </c>
      <c r="P3536">
        <v>0</v>
      </c>
      <c r="Q3536">
        <v>5</v>
      </c>
      <c r="R3536" t="s">
        <v>44908</v>
      </c>
      <c r="S3536" t="s">
        <v>45042</v>
      </c>
      <c r="T3536" t="s">
        <v>46394</v>
      </c>
      <c r="U3536" t="s">
        <v>49826</v>
      </c>
      <c r="W3536" t="s">
        <v>41067</v>
      </c>
      <c r="X3536" t="s">
        <v>44909</v>
      </c>
    </row>
    <row r="3537" spans="1:24">
      <c r="A3537">
        <f>HYPERLINK("https://www.philgeps.gov.ph/GEPSNONPILOT/Tender/SplashBidNoticeAbstractUI.aspx?menuIndex=3&amp;refID=7079979&amp;Result=3","7079979")</f>
        <v>0</v>
      </c>
      <c r="B3537" t="s">
        <v>1270</v>
      </c>
      <c r="C3537" t="s">
        <v>6905</v>
      </c>
      <c r="D3537" t="s">
        <v>18157</v>
      </c>
      <c r="E3537" t="s">
        <v>21375</v>
      </c>
      <c r="F3537" t="s">
        <v>31362</v>
      </c>
      <c r="G3537" t="s">
        <v>31368</v>
      </c>
      <c r="H3537" t="s">
        <v>15799</v>
      </c>
      <c r="I3537" t="s">
        <v>4057</v>
      </c>
      <c r="J3537" t="s">
        <v>31987</v>
      </c>
      <c r="K3537" t="s">
        <v>40698</v>
      </c>
      <c r="M3537" t="s">
        <v>42287</v>
      </c>
      <c r="N3537" t="s">
        <v>44905</v>
      </c>
      <c r="O3537" t="s">
        <v>44906</v>
      </c>
      <c r="P3537">
        <v>0</v>
      </c>
      <c r="Q3537">
        <v>0</v>
      </c>
      <c r="R3537" t="s">
        <v>44908</v>
      </c>
      <c r="S3537" t="s">
        <v>45042</v>
      </c>
      <c r="T3537" t="s">
        <v>46404</v>
      </c>
      <c r="U3537" t="s">
        <v>49706</v>
      </c>
      <c r="W3537" t="s">
        <v>42287</v>
      </c>
      <c r="X3537" t="s">
        <v>44909</v>
      </c>
    </row>
    <row r="3538" spans="1:24">
      <c r="A3538">
        <f>HYPERLINK("https://www.philgeps.gov.ph/GEPSNONPILOT/Tender/SplashBidNoticeAbstractUI.aspx?menuIndex=3&amp;refID=7080090&amp;Result=3","7080090")</f>
        <v>0</v>
      </c>
      <c r="B3538" t="s">
        <v>258</v>
      </c>
      <c r="C3538" t="s">
        <v>6906</v>
      </c>
      <c r="D3538" t="s">
        <v>18141</v>
      </c>
      <c r="E3538" t="s">
        <v>21376</v>
      </c>
      <c r="F3538" t="s">
        <v>31362</v>
      </c>
      <c r="G3538" t="s">
        <v>31368</v>
      </c>
      <c r="H3538" t="s">
        <v>15799</v>
      </c>
      <c r="I3538" t="s">
        <v>7719</v>
      </c>
      <c r="J3538" t="s">
        <v>33873</v>
      </c>
      <c r="K3538" t="s">
        <v>40677</v>
      </c>
      <c r="M3538" t="s">
        <v>41199</v>
      </c>
      <c r="N3538" t="s">
        <v>44905</v>
      </c>
      <c r="O3538" t="s">
        <v>44906</v>
      </c>
      <c r="P3538">
        <v>0</v>
      </c>
      <c r="Q3538">
        <v>5</v>
      </c>
      <c r="R3538" t="s">
        <v>44908</v>
      </c>
      <c r="S3538" t="s">
        <v>45042</v>
      </c>
      <c r="T3538" t="s">
        <v>46416</v>
      </c>
      <c r="U3538" t="s">
        <v>49827</v>
      </c>
      <c r="W3538" t="s">
        <v>41199</v>
      </c>
      <c r="X3538" t="s">
        <v>44909</v>
      </c>
    </row>
    <row r="3539" spans="1:24">
      <c r="A3539">
        <f>HYPERLINK("https://www.philgeps.gov.ph/GEPSNONPILOT/Tender/SplashBidNoticeAbstractUI.aspx?menuIndex=3&amp;refID=7080087&amp;Result=3","7080087")</f>
        <v>0</v>
      </c>
      <c r="B3539" t="s">
        <v>1321</v>
      </c>
      <c r="C3539" t="s">
        <v>6907</v>
      </c>
      <c r="D3539" t="s">
        <v>18134</v>
      </c>
      <c r="E3539" t="s">
        <v>21377</v>
      </c>
      <c r="F3539" t="s">
        <v>31362</v>
      </c>
      <c r="G3539" t="s">
        <v>31368</v>
      </c>
      <c r="H3539" t="s">
        <v>15799</v>
      </c>
      <c r="I3539" t="s">
        <v>7719</v>
      </c>
      <c r="J3539" t="s">
        <v>31531</v>
      </c>
      <c r="K3539" t="s">
        <v>40661</v>
      </c>
      <c r="M3539" t="s">
        <v>42339</v>
      </c>
      <c r="N3539" t="s">
        <v>44905</v>
      </c>
      <c r="O3539" t="s">
        <v>44906</v>
      </c>
      <c r="P3539">
        <v>0</v>
      </c>
      <c r="Q3539">
        <v>5</v>
      </c>
      <c r="R3539" t="s">
        <v>44908</v>
      </c>
      <c r="S3539" t="s">
        <v>45042</v>
      </c>
      <c r="T3539" t="s">
        <v>46403</v>
      </c>
      <c r="U3539" t="s">
        <v>49828</v>
      </c>
      <c r="W3539" t="s">
        <v>42339</v>
      </c>
      <c r="X3539" t="s">
        <v>44909</v>
      </c>
    </row>
    <row r="3540" spans="1:24">
      <c r="A3540">
        <f>HYPERLINK("https://www.philgeps.gov.ph/GEPSNONPILOT/Tender/SplashBidNoticeAbstractUI.aspx?menuIndex=3&amp;refID=7080099&amp;Result=3","7080099")</f>
        <v>0</v>
      </c>
      <c r="B3540" t="s">
        <v>1322</v>
      </c>
      <c r="C3540" t="s">
        <v>6908</v>
      </c>
      <c r="D3540" t="s">
        <v>18125</v>
      </c>
      <c r="E3540" t="s">
        <v>21378</v>
      </c>
      <c r="F3540" t="s">
        <v>31362</v>
      </c>
      <c r="G3540" t="s">
        <v>31369</v>
      </c>
      <c r="H3540" t="s">
        <v>31378</v>
      </c>
      <c r="I3540" t="s">
        <v>31386</v>
      </c>
      <c r="J3540" t="s">
        <v>31637</v>
      </c>
      <c r="K3540" t="s">
        <v>40722</v>
      </c>
      <c r="M3540" t="s">
        <v>42340</v>
      </c>
      <c r="N3540" t="s">
        <v>44905</v>
      </c>
      <c r="O3540" t="s">
        <v>44906</v>
      </c>
      <c r="P3540">
        <v>0</v>
      </c>
      <c r="Q3540">
        <v>0</v>
      </c>
      <c r="R3540" t="s">
        <v>44908</v>
      </c>
      <c r="S3540" t="s">
        <v>45042</v>
      </c>
      <c r="T3540" t="s">
        <v>46419</v>
      </c>
      <c r="U3540" t="s">
        <v>49829</v>
      </c>
      <c r="W3540" t="s">
        <v>42340</v>
      </c>
      <c r="X3540" t="s">
        <v>44909</v>
      </c>
    </row>
    <row r="3541" spans="1:24">
      <c r="A3541">
        <f>HYPERLINK("https://www.philgeps.gov.ph/GEPSNONPILOT/Tender/SplashBidNoticeAbstractUI.aspx?menuIndex=3&amp;refID=7080103&amp;Result=3","7080103")</f>
        <v>0</v>
      </c>
      <c r="B3541" t="s">
        <v>1033</v>
      </c>
      <c r="C3541" t="s">
        <v>6909</v>
      </c>
      <c r="D3541" t="s">
        <v>18162</v>
      </c>
      <c r="E3541" t="s">
        <v>21379</v>
      </c>
      <c r="F3541" t="s">
        <v>31362</v>
      </c>
      <c r="G3541" t="s">
        <v>31369</v>
      </c>
      <c r="H3541" t="s">
        <v>15799</v>
      </c>
      <c r="I3541" t="s">
        <v>31397</v>
      </c>
      <c r="J3541" t="s">
        <v>31536</v>
      </c>
      <c r="K3541" t="s">
        <v>40670</v>
      </c>
      <c r="M3541" t="s">
        <v>42032</v>
      </c>
      <c r="N3541" t="s">
        <v>44905</v>
      </c>
      <c r="O3541" t="s">
        <v>44906</v>
      </c>
      <c r="P3541">
        <v>0</v>
      </c>
      <c r="Q3541">
        <v>0</v>
      </c>
      <c r="R3541" t="s">
        <v>44908</v>
      </c>
      <c r="S3541" t="s">
        <v>45042</v>
      </c>
      <c r="T3541" t="s">
        <v>46430</v>
      </c>
      <c r="U3541" t="s">
        <v>49830</v>
      </c>
      <c r="W3541" t="s">
        <v>42032</v>
      </c>
      <c r="X3541" t="s">
        <v>44909</v>
      </c>
    </row>
    <row r="3542" spans="1:24">
      <c r="A3542">
        <f>HYPERLINK("https://www.philgeps.gov.ph/GEPSNONPILOT/Tender/SplashBidNoticeAbstractUI.aspx?menuIndex=3&amp;refID=7080028&amp;Result=3","7080028")</f>
        <v>0</v>
      </c>
      <c r="B3542" t="s">
        <v>205</v>
      </c>
      <c r="C3542" t="s">
        <v>6910</v>
      </c>
      <c r="E3542" t="s">
        <v>21380</v>
      </c>
      <c r="F3542" t="s">
        <v>31362</v>
      </c>
      <c r="G3542" t="s">
        <v>31368</v>
      </c>
      <c r="H3542" t="s">
        <v>15799</v>
      </c>
      <c r="I3542" t="s">
        <v>7090</v>
      </c>
      <c r="J3542" t="s">
        <v>33874</v>
      </c>
      <c r="K3542" t="s">
        <v>40662</v>
      </c>
      <c r="M3542" t="s">
        <v>41144</v>
      </c>
      <c r="N3542" t="s">
        <v>44905</v>
      </c>
      <c r="O3542" t="s">
        <v>44906</v>
      </c>
      <c r="P3542">
        <v>0</v>
      </c>
      <c r="Q3542">
        <v>1</v>
      </c>
      <c r="R3542" t="s">
        <v>44908</v>
      </c>
      <c r="S3542" t="s">
        <v>45042</v>
      </c>
      <c r="T3542" t="s">
        <v>46393</v>
      </c>
      <c r="U3542" t="s">
        <v>49831</v>
      </c>
      <c r="W3542" t="s">
        <v>41144</v>
      </c>
      <c r="X3542" t="s">
        <v>44909</v>
      </c>
    </row>
    <row r="3543" spans="1:24">
      <c r="A3543">
        <f>HYPERLINK("https://www.philgeps.gov.ph/GEPSNONPILOT/Tender/SplashBidNoticeAbstractUI.aspx?menuIndex=3&amp;refID=7080122&amp;Result=3","7080122")</f>
        <v>0</v>
      </c>
      <c r="B3543" t="s">
        <v>1256</v>
      </c>
      <c r="C3543" t="s">
        <v>6911</v>
      </c>
      <c r="D3543" t="s">
        <v>18108</v>
      </c>
      <c r="E3543" t="s">
        <v>18743</v>
      </c>
      <c r="F3543" t="s">
        <v>31362</v>
      </c>
      <c r="G3543" t="s">
        <v>31368</v>
      </c>
      <c r="H3543" t="s">
        <v>31379</v>
      </c>
      <c r="I3543" t="s">
        <v>6155</v>
      </c>
      <c r="J3543" t="s">
        <v>33875</v>
      </c>
      <c r="K3543" t="s">
        <v>40666</v>
      </c>
      <c r="M3543" t="s">
        <v>42272</v>
      </c>
      <c r="N3543" t="s">
        <v>44905</v>
      </c>
      <c r="O3543" t="s">
        <v>44906</v>
      </c>
      <c r="P3543">
        <v>0</v>
      </c>
      <c r="Q3543">
        <v>12</v>
      </c>
      <c r="R3543" t="s">
        <v>44908</v>
      </c>
      <c r="S3543" t="s">
        <v>45042</v>
      </c>
      <c r="T3543" t="s">
        <v>46400</v>
      </c>
      <c r="U3543" t="s">
        <v>49832</v>
      </c>
      <c r="V3543" t="s">
        <v>59052</v>
      </c>
      <c r="W3543" t="s">
        <v>42272</v>
      </c>
      <c r="X3543" t="s">
        <v>44909</v>
      </c>
    </row>
    <row r="3544" spans="1:24">
      <c r="A3544">
        <f>HYPERLINK("https://www.philgeps.gov.ph/GEPSNONPILOT/Tender/SplashBidNoticeAbstractUI.aspx?menuIndex=3&amp;refID=7080121&amp;Result=3","7080121")</f>
        <v>0</v>
      </c>
      <c r="B3544" t="s">
        <v>1323</v>
      </c>
      <c r="C3544" t="s">
        <v>6912</v>
      </c>
      <c r="D3544" t="s">
        <v>18160</v>
      </c>
      <c r="E3544" t="s">
        <v>21381</v>
      </c>
      <c r="F3544" t="s">
        <v>31362</v>
      </c>
      <c r="G3544" t="s">
        <v>31369</v>
      </c>
      <c r="H3544" t="s">
        <v>31378</v>
      </c>
      <c r="I3544" t="s">
        <v>31386</v>
      </c>
      <c r="J3544" t="s">
        <v>31668</v>
      </c>
      <c r="K3544" t="s">
        <v>40761</v>
      </c>
      <c r="M3544" t="s">
        <v>42341</v>
      </c>
      <c r="N3544" t="s">
        <v>44905</v>
      </c>
      <c r="O3544" t="s">
        <v>44906</v>
      </c>
      <c r="P3544">
        <v>0</v>
      </c>
      <c r="Q3544">
        <v>0</v>
      </c>
      <c r="R3544" t="s">
        <v>44908</v>
      </c>
      <c r="S3544" t="s">
        <v>45042</v>
      </c>
      <c r="T3544" t="s">
        <v>46401</v>
      </c>
      <c r="U3544" t="s">
        <v>49833</v>
      </c>
      <c r="W3544" t="s">
        <v>42341</v>
      </c>
      <c r="X3544" t="s">
        <v>44909</v>
      </c>
    </row>
    <row r="3545" spans="1:24">
      <c r="A3545">
        <f>HYPERLINK("https://www.philgeps.gov.ph/GEPSNONPILOT/Tender/SplashBidNoticeAbstractUI.aspx?menuIndex=3&amp;refID=7080120&amp;Result=3","7080120")</f>
        <v>0</v>
      </c>
      <c r="B3545" t="s">
        <v>534</v>
      </c>
      <c r="C3545" t="s">
        <v>6913</v>
      </c>
      <c r="D3545" t="s">
        <v>18131</v>
      </c>
      <c r="E3545" t="s">
        <v>21382</v>
      </c>
      <c r="F3545" t="s">
        <v>31362</v>
      </c>
      <c r="G3545" t="s">
        <v>31372</v>
      </c>
      <c r="H3545" t="s">
        <v>15799</v>
      </c>
      <c r="I3545" t="s">
        <v>31387</v>
      </c>
      <c r="J3545" t="s">
        <v>33876</v>
      </c>
      <c r="K3545" t="s">
        <v>40670</v>
      </c>
      <c r="M3545" t="s">
        <v>41490</v>
      </c>
      <c r="N3545" t="s">
        <v>44905</v>
      </c>
      <c r="O3545" t="s">
        <v>44906</v>
      </c>
      <c r="P3545">
        <v>0</v>
      </c>
      <c r="Q3545">
        <v>0</v>
      </c>
      <c r="R3545" t="s">
        <v>44908</v>
      </c>
      <c r="S3545" t="s">
        <v>45042</v>
      </c>
      <c r="T3545" t="s">
        <v>46435</v>
      </c>
      <c r="U3545" t="s">
        <v>49834</v>
      </c>
      <c r="W3545" t="s">
        <v>41490</v>
      </c>
      <c r="X3545" t="s">
        <v>44909</v>
      </c>
    </row>
    <row r="3546" spans="1:24">
      <c r="A3546">
        <f>HYPERLINK("https://www.philgeps.gov.ph/GEPSNONPILOT/Tender/SplashBidNoticeAbstractUI.aspx?menuIndex=3&amp;refID=7080088&amp;Result=3","7080088")</f>
        <v>0</v>
      </c>
      <c r="B3546" t="s">
        <v>971</v>
      </c>
      <c r="C3546" t="s">
        <v>6914</v>
      </c>
      <c r="D3546" t="s">
        <v>18166</v>
      </c>
      <c r="E3546" t="s">
        <v>21383</v>
      </c>
      <c r="F3546" t="s">
        <v>31362</v>
      </c>
      <c r="G3546" t="s">
        <v>31369</v>
      </c>
      <c r="H3546" t="s">
        <v>15799</v>
      </c>
      <c r="I3546" t="s">
        <v>4942</v>
      </c>
      <c r="J3546" t="s">
        <v>33877</v>
      </c>
      <c r="K3546" t="s">
        <v>40665</v>
      </c>
      <c r="M3546" t="s">
        <v>41961</v>
      </c>
      <c r="N3546" t="s">
        <v>44905</v>
      </c>
      <c r="O3546" t="s">
        <v>44906</v>
      </c>
      <c r="P3546">
        <v>0</v>
      </c>
      <c r="Q3546">
        <v>0</v>
      </c>
      <c r="R3546" t="s">
        <v>44908</v>
      </c>
      <c r="S3546" t="s">
        <v>45042</v>
      </c>
      <c r="T3546" t="s">
        <v>46431</v>
      </c>
      <c r="U3546" t="s">
        <v>49835</v>
      </c>
      <c r="W3546" t="s">
        <v>41961</v>
      </c>
      <c r="X3546" t="s">
        <v>44909</v>
      </c>
    </row>
    <row r="3547" spans="1:24">
      <c r="A3547">
        <f>HYPERLINK("https://www.philgeps.gov.ph/GEPSNONPILOT/Tender/SplashBidNoticeAbstractUI.aspx?menuIndex=3&amp;refID=7080118&amp;Result=3","7080118")</f>
        <v>0</v>
      </c>
      <c r="B3547" t="s">
        <v>1308</v>
      </c>
      <c r="C3547" t="s">
        <v>6915</v>
      </c>
      <c r="D3547" t="s">
        <v>18134</v>
      </c>
      <c r="E3547" t="s">
        <v>21384</v>
      </c>
      <c r="F3547" t="s">
        <v>31362</v>
      </c>
      <c r="G3547" t="s">
        <v>31368</v>
      </c>
      <c r="H3547" t="s">
        <v>15799</v>
      </c>
      <c r="I3547" t="s">
        <v>31385</v>
      </c>
      <c r="J3547" t="s">
        <v>33878</v>
      </c>
      <c r="K3547" t="s">
        <v>40665</v>
      </c>
      <c r="L3547" t="s">
        <v>1308</v>
      </c>
      <c r="M3547" t="s">
        <v>42326</v>
      </c>
      <c r="N3547" t="s">
        <v>44905</v>
      </c>
      <c r="O3547" t="s">
        <v>44906</v>
      </c>
      <c r="P3547">
        <v>0</v>
      </c>
      <c r="Q3547">
        <v>0</v>
      </c>
      <c r="R3547" t="s">
        <v>44908</v>
      </c>
      <c r="S3547" t="s">
        <v>45042</v>
      </c>
      <c r="T3547" t="s">
        <v>46425</v>
      </c>
      <c r="U3547" t="s">
        <v>49807</v>
      </c>
      <c r="W3547" t="s">
        <v>42326</v>
      </c>
      <c r="X3547" t="s">
        <v>44909</v>
      </c>
    </row>
    <row r="3548" spans="1:24">
      <c r="A3548">
        <f>HYPERLINK("https://www.philgeps.gov.ph/GEPSNONPILOT/Tender/SplashBidNoticeAbstractUI.aspx?menuIndex=3&amp;refID=7080116&amp;Result=3","7080116")</f>
        <v>0</v>
      </c>
      <c r="B3548" t="s">
        <v>1287</v>
      </c>
      <c r="C3548" t="s">
        <v>6889</v>
      </c>
      <c r="D3548" t="s">
        <v>18152</v>
      </c>
      <c r="E3548" t="s">
        <v>21385</v>
      </c>
      <c r="F3548" t="s">
        <v>31362</v>
      </c>
      <c r="G3548" t="s">
        <v>31369</v>
      </c>
      <c r="H3548" t="s">
        <v>15799</v>
      </c>
      <c r="I3548" t="s">
        <v>3815</v>
      </c>
      <c r="J3548" t="s">
        <v>33879</v>
      </c>
      <c r="K3548" t="s">
        <v>40665</v>
      </c>
      <c r="M3548" t="s">
        <v>42304</v>
      </c>
      <c r="N3548" t="s">
        <v>44905</v>
      </c>
      <c r="O3548" t="s">
        <v>44906</v>
      </c>
      <c r="P3548">
        <v>0</v>
      </c>
      <c r="Q3548">
        <v>0</v>
      </c>
      <c r="R3548" t="s">
        <v>44908</v>
      </c>
      <c r="S3548" t="s">
        <v>45042</v>
      </c>
      <c r="T3548" t="s">
        <v>46392</v>
      </c>
      <c r="U3548" t="s">
        <v>49836</v>
      </c>
      <c r="W3548" t="s">
        <v>42304</v>
      </c>
      <c r="X3548" t="s">
        <v>44909</v>
      </c>
    </row>
    <row r="3549" spans="1:24">
      <c r="A3549">
        <f>HYPERLINK("https://www.philgeps.gov.ph/GEPSNONPILOT/Tender/SplashBidNoticeAbstractUI.aspx?menuIndex=3&amp;refID=7080115&amp;Result=3","7080115")</f>
        <v>0</v>
      </c>
      <c r="B3549" t="s">
        <v>180</v>
      </c>
      <c r="C3549" t="s">
        <v>6916</v>
      </c>
      <c r="D3549" t="s">
        <v>18112</v>
      </c>
      <c r="E3549" t="s">
        <v>21386</v>
      </c>
      <c r="F3549" t="s">
        <v>31362</v>
      </c>
      <c r="G3549" t="s">
        <v>31368</v>
      </c>
      <c r="H3549" t="s">
        <v>15799</v>
      </c>
      <c r="I3549" t="s">
        <v>13635</v>
      </c>
      <c r="J3549" t="s">
        <v>33880</v>
      </c>
      <c r="K3549" t="s">
        <v>40680</v>
      </c>
      <c r="M3549" t="s">
        <v>41118</v>
      </c>
      <c r="N3549" t="s">
        <v>44905</v>
      </c>
      <c r="O3549" t="s">
        <v>44906</v>
      </c>
      <c r="P3549">
        <v>0</v>
      </c>
      <c r="Q3549">
        <v>1</v>
      </c>
      <c r="R3549" t="s">
        <v>44908</v>
      </c>
      <c r="S3549" t="s">
        <v>45042</v>
      </c>
      <c r="T3549" t="s">
        <v>46549</v>
      </c>
      <c r="U3549" t="s">
        <v>49837</v>
      </c>
      <c r="W3549" t="s">
        <v>41118</v>
      </c>
      <c r="X3549" t="s">
        <v>44909</v>
      </c>
    </row>
    <row r="3550" spans="1:24">
      <c r="A3550">
        <f>HYPERLINK("https://www.philgeps.gov.ph/GEPSNONPILOT/Tender/SplashBidNoticeAbstractUI.aspx?menuIndex=3&amp;refID=7080113&amp;Result=3","7080113")</f>
        <v>0</v>
      </c>
      <c r="B3550" t="s">
        <v>260</v>
      </c>
      <c r="C3550" t="s">
        <v>6917</v>
      </c>
      <c r="D3550" t="s">
        <v>18138</v>
      </c>
      <c r="E3550" t="s">
        <v>21387</v>
      </c>
      <c r="F3550" t="s">
        <v>31362</v>
      </c>
      <c r="G3550" t="s">
        <v>31368</v>
      </c>
      <c r="H3550" t="s">
        <v>15799</v>
      </c>
      <c r="I3550" t="s">
        <v>4057</v>
      </c>
      <c r="J3550" t="s">
        <v>33782</v>
      </c>
      <c r="K3550" t="s">
        <v>40662</v>
      </c>
      <c r="M3550" t="s">
        <v>41201</v>
      </c>
      <c r="N3550" t="s">
        <v>44905</v>
      </c>
      <c r="O3550" t="s">
        <v>44906</v>
      </c>
      <c r="P3550">
        <v>0</v>
      </c>
      <c r="Q3550">
        <v>0</v>
      </c>
      <c r="R3550" t="s">
        <v>44908</v>
      </c>
      <c r="S3550" t="s">
        <v>45042</v>
      </c>
      <c r="T3550" t="s">
        <v>46414</v>
      </c>
      <c r="U3550" t="s">
        <v>49790</v>
      </c>
      <c r="W3550" t="s">
        <v>41201</v>
      </c>
      <c r="X3550" t="s">
        <v>44909</v>
      </c>
    </row>
    <row r="3551" spans="1:24">
      <c r="A3551">
        <f>HYPERLINK("https://www.philgeps.gov.ph/GEPSNONPILOT/Tender/SplashBidNoticeAbstractUI.aspx?menuIndex=3&amp;refID=7080112&amp;Result=3","7080112")</f>
        <v>0</v>
      </c>
      <c r="B3551" t="s">
        <v>1270</v>
      </c>
      <c r="C3551" t="s">
        <v>6918</v>
      </c>
      <c r="D3551" t="s">
        <v>18157</v>
      </c>
      <c r="E3551" t="s">
        <v>21388</v>
      </c>
      <c r="F3551" t="s">
        <v>31362</v>
      </c>
      <c r="G3551" t="s">
        <v>31368</v>
      </c>
      <c r="H3551" t="s">
        <v>15799</v>
      </c>
      <c r="I3551" t="s">
        <v>4057</v>
      </c>
      <c r="J3551" t="s">
        <v>33881</v>
      </c>
      <c r="K3551" t="s">
        <v>40698</v>
      </c>
      <c r="M3551" t="s">
        <v>42287</v>
      </c>
      <c r="N3551" t="s">
        <v>44905</v>
      </c>
      <c r="O3551" t="s">
        <v>44906</v>
      </c>
      <c r="P3551">
        <v>0</v>
      </c>
      <c r="Q3551">
        <v>0</v>
      </c>
      <c r="R3551" t="s">
        <v>44908</v>
      </c>
      <c r="S3551" t="s">
        <v>45042</v>
      </c>
      <c r="T3551" t="s">
        <v>46404</v>
      </c>
      <c r="U3551" t="s">
        <v>49706</v>
      </c>
      <c r="W3551" t="s">
        <v>42287</v>
      </c>
      <c r="X3551" t="s">
        <v>44909</v>
      </c>
    </row>
    <row r="3552" spans="1:24">
      <c r="A3552">
        <f>HYPERLINK("https://www.philgeps.gov.ph/GEPSNONPILOT/Tender/SplashBidNoticeAbstractUI.aspx?menuIndex=3&amp;refID=7080111&amp;Result=3","7080111")</f>
        <v>0</v>
      </c>
      <c r="B3552" t="s">
        <v>1033</v>
      </c>
      <c r="C3552" t="s">
        <v>6919</v>
      </c>
      <c r="D3552" t="s">
        <v>18162</v>
      </c>
      <c r="E3552" t="s">
        <v>21389</v>
      </c>
      <c r="F3552" t="s">
        <v>31362</v>
      </c>
      <c r="G3552" t="s">
        <v>31369</v>
      </c>
      <c r="H3552" t="s">
        <v>15799</v>
      </c>
      <c r="I3552" t="s">
        <v>3815</v>
      </c>
      <c r="J3552" t="s">
        <v>33882</v>
      </c>
      <c r="K3552" t="s">
        <v>40670</v>
      </c>
      <c r="M3552" t="s">
        <v>42032</v>
      </c>
      <c r="N3552" t="s">
        <v>44905</v>
      </c>
      <c r="O3552" t="s">
        <v>44906</v>
      </c>
      <c r="P3552">
        <v>0</v>
      </c>
      <c r="Q3552">
        <v>0</v>
      </c>
      <c r="R3552" t="s">
        <v>44908</v>
      </c>
      <c r="S3552" t="s">
        <v>45042</v>
      </c>
      <c r="T3552" t="s">
        <v>46430</v>
      </c>
      <c r="U3552" t="s">
        <v>49838</v>
      </c>
      <c r="W3552" t="s">
        <v>42032</v>
      </c>
      <c r="X3552" t="s">
        <v>44909</v>
      </c>
    </row>
    <row r="3553" spans="1:24">
      <c r="A3553">
        <f>HYPERLINK("https://www.philgeps.gov.ph/GEPSNONPILOT/Tender/SplashBidNoticeAbstractUI.aspx?menuIndex=3&amp;refID=7080109&amp;Result=3","7080109")</f>
        <v>0</v>
      </c>
      <c r="B3553" t="s">
        <v>1308</v>
      </c>
      <c r="C3553" t="s">
        <v>6920</v>
      </c>
      <c r="D3553" t="s">
        <v>18134</v>
      </c>
      <c r="E3553" t="s">
        <v>21390</v>
      </c>
      <c r="F3553" t="s">
        <v>31362</v>
      </c>
      <c r="G3553" t="s">
        <v>31368</v>
      </c>
      <c r="H3553" t="s">
        <v>15799</v>
      </c>
      <c r="I3553" t="s">
        <v>31385</v>
      </c>
      <c r="J3553" t="s">
        <v>31910</v>
      </c>
      <c r="K3553" t="s">
        <v>40665</v>
      </c>
      <c r="L3553" t="s">
        <v>1308</v>
      </c>
      <c r="M3553" t="s">
        <v>42326</v>
      </c>
      <c r="N3553" t="s">
        <v>44905</v>
      </c>
      <c r="O3553" t="s">
        <v>44906</v>
      </c>
      <c r="P3553">
        <v>0</v>
      </c>
      <c r="Q3553">
        <v>2</v>
      </c>
      <c r="R3553" t="s">
        <v>44908</v>
      </c>
      <c r="S3553" t="s">
        <v>45042</v>
      </c>
      <c r="T3553" t="s">
        <v>46425</v>
      </c>
      <c r="U3553" t="s">
        <v>49807</v>
      </c>
      <c r="W3553" t="s">
        <v>42326</v>
      </c>
      <c r="X3553" t="s">
        <v>44909</v>
      </c>
    </row>
    <row r="3554" spans="1:24">
      <c r="A3554">
        <f>HYPERLINK("https://www.philgeps.gov.ph/GEPSNONPILOT/Tender/SplashBidNoticeAbstractUI.aspx?menuIndex=3&amp;refID=7080119&amp;Result=3","7080119")</f>
        <v>0</v>
      </c>
      <c r="B3554" t="s">
        <v>1063</v>
      </c>
      <c r="C3554" t="s">
        <v>6921</v>
      </c>
      <c r="D3554" t="s">
        <v>18177</v>
      </c>
      <c r="E3554" t="s">
        <v>21391</v>
      </c>
      <c r="F3554" t="s">
        <v>31362</v>
      </c>
      <c r="G3554" t="s">
        <v>31370</v>
      </c>
      <c r="H3554" t="s">
        <v>15799</v>
      </c>
      <c r="I3554" t="s">
        <v>31385</v>
      </c>
      <c r="J3554" t="s">
        <v>33883</v>
      </c>
      <c r="K3554" t="s">
        <v>40693</v>
      </c>
      <c r="M3554" t="s">
        <v>42065</v>
      </c>
      <c r="N3554" t="s">
        <v>44905</v>
      </c>
      <c r="O3554" t="s">
        <v>44906</v>
      </c>
      <c r="P3554">
        <v>0</v>
      </c>
      <c r="Q3554">
        <v>0</v>
      </c>
      <c r="R3554" t="s">
        <v>44908</v>
      </c>
      <c r="S3554" t="s">
        <v>45042</v>
      </c>
      <c r="T3554" t="s">
        <v>46414</v>
      </c>
      <c r="U3554" t="s">
        <v>49839</v>
      </c>
      <c r="W3554" t="s">
        <v>42065</v>
      </c>
      <c r="X3554" t="s">
        <v>44909</v>
      </c>
    </row>
    <row r="3555" spans="1:24">
      <c r="A3555">
        <f>HYPERLINK("https://www.philgeps.gov.ph/GEPSNONPILOT/Tender/SplashBidNoticeAbstractUI.aspx?menuIndex=3&amp;refID=7080108&amp;Result=3","7080108")</f>
        <v>0</v>
      </c>
      <c r="B3555" t="s">
        <v>130</v>
      </c>
      <c r="C3555" t="s">
        <v>6922</v>
      </c>
      <c r="D3555" t="s">
        <v>18109</v>
      </c>
      <c r="E3555" t="s">
        <v>21392</v>
      </c>
      <c r="F3555" t="s">
        <v>31362</v>
      </c>
      <c r="G3555" t="s">
        <v>31368</v>
      </c>
      <c r="H3555" t="s">
        <v>15799</v>
      </c>
      <c r="I3555" t="s">
        <v>31395</v>
      </c>
      <c r="J3555" t="s">
        <v>33884</v>
      </c>
      <c r="K3555" t="s">
        <v>40662</v>
      </c>
      <c r="M3555" t="s">
        <v>41067</v>
      </c>
      <c r="N3555" t="s">
        <v>44905</v>
      </c>
      <c r="O3555" t="s">
        <v>44906</v>
      </c>
      <c r="P3555">
        <v>0</v>
      </c>
      <c r="Q3555">
        <v>1</v>
      </c>
      <c r="R3555" t="s">
        <v>44908</v>
      </c>
      <c r="S3555" t="s">
        <v>45042</v>
      </c>
      <c r="T3555" t="s">
        <v>46394</v>
      </c>
      <c r="U3555" t="s">
        <v>49840</v>
      </c>
      <c r="W3555" t="s">
        <v>41067</v>
      </c>
      <c r="X3555" t="s">
        <v>44909</v>
      </c>
    </row>
    <row r="3556" spans="1:24">
      <c r="A3556">
        <f>HYPERLINK("https://www.philgeps.gov.ph/GEPSNONPILOT/Tender/SplashBidNoticeAbstractUI.aspx?menuIndex=3&amp;refID=7080086&amp;Result=3","7080086")</f>
        <v>0</v>
      </c>
      <c r="B3556" t="s">
        <v>1182</v>
      </c>
      <c r="C3556" t="s">
        <v>6923</v>
      </c>
      <c r="D3556" t="s">
        <v>18158</v>
      </c>
      <c r="E3556" t="s">
        <v>21393</v>
      </c>
      <c r="F3556" t="s">
        <v>31362</v>
      </c>
      <c r="G3556" t="s">
        <v>31369</v>
      </c>
      <c r="H3556" t="s">
        <v>15799</v>
      </c>
      <c r="I3556" t="s">
        <v>7090</v>
      </c>
      <c r="J3556" t="s">
        <v>31531</v>
      </c>
      <c r="K3556" t="s">
        <v>40666</v>
      </c>
      <c r="M3556" t="s">
        <v>42194</v>
      </c>
      <c r="N3556" t="s">
        <v>44905</v>
      </c>
      <c r="O3556" t="s">
        <v>44906</v>
      </c>
      <c r="P3556">
        <v>0</v>
      </c>
      <c r="Q3556">
        <v>0</v>
      </c>
      <c r="R3556" t="s">
        <v>44908</v>
      </c>
      <c r="S3556" t="s">
        <v>45042</v>
      </c>
      <c r="T3556" t="s">
        <v>46483</v>
      </c>
      <c r="U3556" t="s">
        <v>49841</v>
      </c>
      <c r="W3556" t="s">
        <v>42194</v>
      </c>
      <c r="X3556" t="s">
        <v>44909</v>
      </c>
    </row>
    <row r="3557" spans="1:24">
      <c r="A3557">
        <f>HYPERLINK("https://www.philgeps.gov.ph/GEPSNONPILOT/Tender/SplashBidNoticeAbstractUI.aspx?menuIndex=3&amp;refID=7080114&amp;Result=3","7080114")</f>
        <v>0</v>
      </c>
      <c r="B3557" t="s">
        <v>1164</v>
      </c>
      <c r="C3557" t="s">
        <v>6924</v>
      </c>
      <c r="D3557" t="s">
        <v>18111</v>
      </c>
      <c r="E3557" t="s">
        <v>21358</v>
      </c>
      <c r="F3557" t="s">
        <v>31362</v>
      </c>
      <c r="G3557" t="s">
        <v>31370</v>
      </c>
      <c r="H3557" t="s">
        <v>15799</v>
      </c>
      <c r="I3557" t="s">
        <v>7188</v>
      </c>
      <c r="J3557" t="s">
        <v>33885</v>
      </c>
      <c r="K3557" t="s">
        <v>40670</v>
      </c>
      <c r="M3557" t="s">
        <v>42174</v>
      </c>
      <c r="N3557" t="s">
        <v>44905</v>
      </c>
      <c r="O3557" t="s">
        <v>44906</v>
      </c>
      <c r="P3557">
        <v>0</v>
      </c>
      <c r="Q3557">
        <v>3</v>
      </c>
      <c r="R3557" t="s">
        <v>44908</v>
      </c>
      <c r="S3557" t="s">
        <v>45042</v>
      </c>
      <c r="T3557" t="s">
        <v>46414</v>
      </c>
      <c r="U3557" t="s">
        <v>49454</v>
      </c>
      <c r="W3557" t="s">
        <v>42174</v>
      </c>
      <c r="X3557" t="s">
        <v>44909</v>
      </c>
    </row>
    <row r="3558" spans="1:24">
      <c r="A3558">
        <f>HYPERLINK("https://www.philgeps.gov.ph/GEPSNONPILOT/Tender/SplashBidNoticeAbstractUI.aspx?menuIndex=3&amp;refID=7080106&amp;Result=3","7080106")</f>
        <v>0</v>
      </c>
      <c r="B3558" t="s">
        <v>117</v>
      </c>
      <c r="C3558" t="s">
        <v>6925</v>
      </c>
      <c r="D3558" t="s">
        <v>18104</v>
      </c>
      <c r="E3558" t="s">
        <v>21394</v>
      </c>
      <c r="F3558" t="s">
        <v>31362</v>
      </c>
      <c r="G3558" t="s">
        <v>31370</v>
      </c>
      <c r="H3558" t="s">
        <v>15799</v>
      </c>
      <c r="I3558" t="s">
        <v>31380</v>
      </c>
      <c r="J3558" t="s">
        <v>33886</v>
      </c>
      <c r="K3558" t="s">
        <v>40662</v>
      </c>
      <c r="M3558" t="s">
        <v>41054</v>
      </c>
      <c r="N3558" t="s">
        <v>44905</v>
      </c>
      <c r="O3558" t="s">
        <v>44906</v>
      </c>
      <c r="P3558">
        <v>0</v>
      </c>
      <c r="Q3558">
        <v>3</v>
      </c>
      <c r="R3558" t="s">
        <v>44908</v>
      </c>
      <c r="S3558" t="s">
        <v>45042</v>
      </c>
      <c r="T3558" t="s">
        <v>46403</v>
      </c>
      <c r="U3558" t="s">
        <v>49842</v>
      </c>
      <c r="W3558" t="s">
        <v>41054</v>
      </c>
      <c r="X3558" t="s">
        <v>44909</v>
      </c>
    </row>
    <row r="3559" spans="1:24">
      <c r="A3559">
        <f>HYPERLINK("https://www.philgeps.gov.ph/GEPSNONPILOT/Tender/SplashBidNoticeAbstractUI.aspx?menuIndex=3&amp;refID=7080143&amp;Result=3","7080143")</f>
        <v>0</v>
      </c>
      <c r="B3559" t="s">
        <v>1324</v>
      </c>
      <c r="C3559" t="s">
        <v>6926</v>
      </c>
      <c r="D3559" t="s">
        <v>18177</v>
      </c>
      <c r="E3559" t="s">
        <v>21395</v>
      </c>
      <c r="F3559" t="s">
        <v>31362</v>
      </c>
      <c r="G3559" t="s">
        <v>31368</v>
      </c>
      <c r="H3559" t="s">
        <v>15799</v>
      </c>
      <c r="I3559" t="s">
        <v>31430</v>
      </c>
      <c r="J3559" t="s">
        <v>33887</v>
      </c>
      <c r="K3559" t="s">
        <v>40665</v>
      </c>
      <c r="M3559" t="s">
        <v>42342</v>
      </c>
      <c r="N3559" t="s">
        <v>44905</v>
      </c>
      <c r="O3559" t="s">
        <v>44906</v>
      </c>
      <c r="P3559">
        <v>0</v>
      </c>
      <c r="Q3559">
        <v>0</v>
      </c>
      <c r="R3559" t="s">
        <v>44908</v>
      </c>
      <c r="S3559" t="s">
        <v>45042</v>
      </c>
      <c r="T3559" t="s">
        <v>46414</v>
      </c>
      <c r="U3559" t="s">
        <v>49843</v>
      </c>
      <c r="V3559" t="s">
        <v>59420</v>
      </c>
      <c r="W3559" t="s">
        <v>42342</v>
      </c>
      <c r="X3559" t="s">
        <v>44909</v>
      </c>
    </row>
    <row r="3560" spans="1:24">
      <c r="A3560">
        <f>HYPERLINK("https://www.philgeps.gov.ph/GEPSNONPILOT/Tender/SplashBidNoticeAbstractUI.aspx?menuIndex=3&amp;refID=7080110&amp;Result=3","7080110")</f>
        <v>0</v>
      </c>
      <c r="B3560" t="s">
        <v>1319</v>
      </c>
      <c r="C3560" t="s">
        <v>6927</v>
      </c>
      <c r="D3560" t="s">
        <v>18131</v>
      </c>
      <c r="E3560" t="s">
        <v>21396</v>
      </c>
      <c r="F3560" t="s">
        <v>31362</v>
      </c>
      <c r="G3560" t="s">
        <v>31369</v>
      </c>
      <c r="H3560" t="s">
        <v>15799</v>
      </c>
      <c r="I3560" t="s">
        <v>31400</v>
      </c>
      <c r="J3560" t="s">
        <v>33888</v>
      </c>
      <c r="K3560" t="s">
        <v>40675</v>
      </c>
      <c r="M3560" t="s">
        <v>42337</v>
      </c>
      <c r="N3560" t="s">
        <v>44905</v>
      </c>
      <c r="O3560" t="s">
        <v>44906</v>
      </c>
      <c r="P3560">
        <v>0</v>
      </c>
      <c r="Q3560">
        <v>4</v>
      </c>
      <c r="R3560" t="s">
        <v>44908</v>
      </c>
      <c r="S3560" t="s">
        <v>45042</v>
      </c>
      <c r="T3560" t="s">
        <v>46533</v>
      </c>
      <c r="U3560" t="s">
        <v>49844</v>
      </c>
      <c r="W3560" t="s">
        <v>42337</v>
      </c>
      <c r="X3560" t="s">
        <v>44909</v>
      </c>
    </row>
    <row r="3561" spans="1:24">
      <c r="A3561">
        <f>HYPERLINK("https://www.philgeps.gov.ph/GEPSNONPILOT/Tender/SplashBidNoticeAbstractUI.aspx?menuIndex=3&amp;refID=7080148&amp;Result=3","7080148")</f>
        <v>0</v>
      </c>
      <c r="B3561" t="s">
        <v>1311</v>
      </c>
      <c r="C3561" t="s">
        <v>6928</v>
      </c>
      <c r="D3561" t="s">
        <v>18156</v>
      </c>
      <c r="E3561" t="s">
        <v>21397</v>
      </c>
      <c r="F3561" t="s">
        <v>31362</v>
      </c>
      <c r="G3561" t="s">
        <v>31370</v>
      </c>
      <c r="H3561" t="s">
        <v>15799</v>
      </c>
      <c r="I3561" t="s">
        <v>31395</v>
      </c>
      <c r="J3561" t="s">
        <v>33889</v>
      </c>
      <c r="K3561" t="s">
        <v>40662</v>
      </c>
      <c r="M3561" t="s">
        <v>42329</v>
      </c>
      <c r="N3561" t="s">
        <v>44905</v>
      </c>
      <c r="O3561" t="s">
        <v>44906</v>
      </c>
      <c r="P3561">
        <v>0</v>
      </c>
      <c r="Q3561">
        <v>7</v>
      </c>
      <c r="R3561" t="s">
        <v>44908</v>
      </c>
      <c r="S3561" t="s">
        <v>45042</v>
      </c>
      <c r="T3561" t="s">
        <v>46454</v>
      </c>
      <c r="U3561" t="s">
        <v>49845</v>
      </c>
      <c r="V3561" t="s">
        <v>59417</v>
      </c>
      <c r="W3561" t="s">
        <v>42329</v>
      </c>
      <c r="X3561" t="s">
        <v>44909</v>
      </c>
    </row>
    <row r="3562" spans="1:24">
      <c r="A3562">
        <f>HYPERLINK("https://www.philgeps.gov.ph/GEPSNONPILOT/Tender/SplashBidNoticeAbstractUI.aspx?menuIndex=3&amp;refID=7080146&amp;Result=3","7080146")</f>
        <v>0</v>
      </c>
      <c r="B3562" t="s">
        <v>1325</v>
      </c>
      <c r="C3562" t="s">
        <v>6929</v>
      </c>
      <c r="D3562" t="s">
        <v>18101</v>
      </c>
      <c r="E3562" t="s">
        <v>19255</v>
      </c>
      <c r="F3562" t="s">
        <v>31362</v>
      </c>
      <c r="G3562" t="s">
        <v>31369</v>
      </c>
      <c r="H3562" t="s">
        <v>31378</v>
      </c>
      <c r="I3562" t="s">
        <v>31386</v>
      </c>
      <c r="J3562" t="s">
        <v>33890</v>
      </c>
      <c r="K3562" t="s">
        <v>40677</v>
      </c>
      <c r="M3562" t="s">
        <v>42343</v>
      </c>
      <c r="N3562" t="s">
        <v>44905</v>
      </c>
      <c r="O3562" t="s">
        <v>44906</v>
      </c>
      <c r="P3562">
        <v>0</v>
      </c>
      <c r="Q3562">
        <v>0</v>
      </c>
      <c r="R3562" t="s">
        <v>44908</v>
      </c>
      <c r="S3562" t="s">
        <v>45042</v>
      </c>
      <c r="T3562" t="s">
        <v>46403</v>
      </c>
      <c r="U3562" t="s">
        <v>49846</v>
      </c>
      <c r="W3562" t="s">
        <v>42343</v>
      </c>
      <c r="X3562" t="s">
        <v>44909</v>
      </c>
    </row>
    <row r="3563" spans="1:24">
      <c r="A3563">
        <f>HYPERLINK("https://www.philgeps.gov.ph/GEPSNONPILOT/Tender/SplashBidNoticeAbstractUI.aspx?menuIndex=3&amp;refID=7080084&amp;Result=3","7080084")</f>
        <v>0</v>
      </c>
      <c r="B3563" t="s">
        <v>1308</v>
      </c>
      <c r="C3563" t="s">
        <v>6930</v>
      </c>
      <c r="D3563" t="s">
        <v>18134</v>
      </c>
      <c r="E3563" t="s">
        <v>21398</v>
      </c>
      <c r="F3563" t="s">
        <v>31362</v>
      </c>
      <c r="G3563" t="s">
        <v>31368</v>
      </c>
      <c r="H3563" t="s">
        <v>15799</v>
      </c>
      <c r="I3563" t="s">
        <v>31430</v>
      </c>
      <c r="J3563" t="s">
        <v>33891</v>
      </c>
      <c r="K3563" t="s">
        <v>40665</v>
      </c>
      <c r="L3563" t="s">
        <v>1308</v>
      </c>
      <c r="M3563" t="s">
        <v>42326</v>
      </c>
      <c r="N3563" t="s">
        <v>44905</v>
      </c>
      <c r="O3563" t="s">
        <v>44906</v>
      </c>
      <c r="P3563">
        <v>0</v>
      </c>
      <c r="Q3563">
        <v>1</v>
      </c>
      <c r="R3563" t="s">
        <v>44908</v>
      </c>
      <c r="S3563" t="s">
        <v>45042</v>
      </c>
      <c r="T3563" t="s">
        <v>46425</v>
      </c>
      <c r="U3563" t="s">
        <v>49807</v>
      </c>
      <c r="W3563" t="s">
        <v>42326</v>
      </c>
      <c r="X3563" t="s">
        <v>44909</v>
      </c>
    </row>
    <row r="3564" spans="1:24">
      <c r="A3564">
        <f>HYPERLINK("https://www.philgeps.gov.ph/GEPSNONPILOT/Tender/SplashBidNoticeAbstractUI.aspx?menuIndex=3&amp;refID=7080107&amp;Result=3","7080107")</f>
        <v>0</v>
      </c>
      <c r="B3564" t="s">
        <v>935</v>
      </c>
      <c r="C3564" t="s">
        <v>6931</v>
      </c>
      <c r="D3564" t="s">
        <v>18113</v>
      </c>
      <c r="E3564" t="s">
        <v>21399</v>
      </c>
      <c r="F3564" t="s">
        <v>31362</v>
      </c>
      <c r="G3564" t="s">
        <v>31372</v>
      </c>
      <c r="H3564" t="s">
        <v>15799</v>
      </c>
      <c r="I3564" t="s">
        <v>31393</v>
      </c>
      <c r="J3564" t="s">
        <v>31531</v>
      </c>
      <c r="K3564" t="s">
        <v>40662</v>
      </c>
      <c r="M3564" t="s">
        <v>41922</v>
      </c>
      <c r="N3564" t="s">
        <v>44905</v>
      </c>
      <c r="O3564" t="s">
        <v>44906</v>
      </c>
      <c r="P3564">
        <v>0</v>
      </c>
      <c r="Q3564">
        <v>1</v>
      </c>
      <c r="R3564" t="s">
        <v>44908</v>
      </c>
      <c r="S3564" t="s">
        <v>45042</v>
      </c>
      <c r="T3564" t="s">
        <v>46393</v>
      </c>
      <c r="U3564" t="s">
        <v>49847</v>
      </c>
      <c r="W3564" t="s">
        <v>60890</v>
      </c>
      <c r="X3564" t="s">
        <v>44909</v>
      </c>
    </row>
    <row r="3565" spans="1:24">
      <c r="A3565">
        <f>HYPERLINK("https://www.philgeps.gov.ph/GEPSNONPILOT/Tender/SplashBidNoticeAbstractUI.aspx?menuIndex=3&amp;refID=7080144&amp;Result=3","7080144")</f>
        <v>0</v>
      </c>
      <c r="B3565" t="s">
        <v>1326</v>
      </c>
      <c r="C3565" t="s">
        <v>6932</v>
      </c>
      <c r="D3565" t="s">
        <v>18185</v>
      </c>
      <c r="E3565" t="s">
        <v>21400</v>
      </c>
      <c r="F3565" t="s">
        <v>31362</v>
      </c>
      <c r="G3565" t="s">
        <v>31369</v>
      </c>
      <c r="H3565" t="s">
        <v>31378</v>
      </c>
      <c r="I3565" t="s">
        <v>31386</v>
      </c>
      <c r="J3565" t="s">
        <v>31726</v>
      </c>
      <c r="K3565" t="s">
        <v>40725</v>
      </c>
      <c r="M3565" t="s">
        <v>42344</v>
      </c>
      <c r="N3565" t="s">
        <v>44905</v>
      </c>
      <c r="O3565" t="s">
        <v>44906</v>
      </c>
      <c r="P3565">
        <v>0</v>
      </c>
      <c r="Q3565">
        <v>0</v>
      </c>
      <c r="R3565" t="s">
        <v>44908</v>
      </c>
      <c r="S3565" t="s">
        <v>45042</v>
      </c>
      <c r="T3565" t="s">
        <v>46427</v>
      </c>
      <c r="U3565" t="s">
        <v>49848</v>
      </c>
      <c r="V3565" t="s">
        <v>59421</v>
      </c>
      <c r="W3565" t="s">
        <v>42344</v>
      </c>
      <c r="X3565" t="s">
        <v>44909</v>
      </c>
    </row>
    <row r="3566" spans="1:24">
      <c r="A3566">
        <f>HYPERLINK("https://www.philgeps.gov.ph/GEPSNONPILOT/Tender/SplashBidNoticeAbstractUI.aspx?menuIndex=3&amp;refID=7080105&amp;Result=3","7080105")</f>
        <v>0</v>
      </c>
      <c r="B3566" t="s">
        <v>1327</v>
      </c>
      <c r="C3566" t="s">
        <v>6933</v>
      </c>
      <c r="D3566" t="s">
        <v>18122</v>
      </c>
      <c r="E3566" t="s">
        <v>18203</v>
      </c>
      <c r="F3566" t="s">
        <v>31362</v>
      </c>
      <c r="G3566" t="s">
        <v>31369</v>
      </c>
      <c r="H3566" t="s">
        <v>15799</v>
      </c>
      <c r="I3566" t="s">
        <v>3815</v>
      </c>
      <c r="J3566" t="s">
        <v>33892</v>
      </c>
      <c r="K3566" t="s">
        <v>40661</v>
      </c>
      <c r="M3566" t="s">
        <v>42345</v>
      </c>
      <c r="N3566" t="s">
        <v>44905</v>
      </c>
      <c r="O3566" t="s">
        <v>44906</v>
      </c>
      <c r="P3566">
        <v>0</v>
      </c>
      <c r="Q3566">
        <v>0</v>
      </c>
      <c r="R3566" t="s">
        <v>44908</v>
      </c>
      <c r="S3566" t="s">
        <v>45042</v>
      </c>
      <c r="T3566" t="s">
        <v>46463</v>
      </c>
      <c r="U3566" t="s">
        <v>49849</v>
      </c>
      <c r="W3566" t="s">
        <v>42345</v>
      </c>
      <c r="X3566" t="s">
        <v>44909</v>
      </c>
    </row>
    <row r="3567" spans="1:24">
      <c r="A3567">
        <f>HYPERLINK("https://www.philgeps.gov.ph/GEPSNONPILOT/Tender/SplashBidNoticeAbstractUI.aspx?menuIndex=3&amp;refID=7080139&amp;Result=3","7080139")</f>
        <v>0</v>
      </c>
      <c r="B3567" t="s">
        <v>1033</v>
      </c>
      <c r="C3567" t="s">
        <v>6934</v>
      </c>
      <c r="D3567" t="s">
        <v>18162</v>
      </c>
      <c r="E3567" t="s">
        <v>21401</v>
      </c>
      <c r="F3567" t="s">
        <v>31362</v>
      </c>
      <c r="G3567" t="s">
        <v>31369</v>
      </c>
      <c r="H3567" t="s">
        <v>15799</v>
      </c>
      <c r="I3567" t="s">
        <v>7188</v>
      </c>
      <c r="J3567" t="s">
        <v>31768</v>
      </c>
      <c r="K3567" t="s">
        <v>40670</v>
      </c>
      <c r="M3567" t="s">
        <v>42032</v>
      </c>
      <c r="N3567" t="s">
        <v>44905</v>
      </c>
      <c r="O3567" t="s">
        <v>44906</v>
      </c>
      <c r="P3567">
        <v>0</v>
      </c>
      <c r="Q3567">
        <v>0</v>
      </c>
      <c r="R3567" t="s">
        <v>44908</v>
      </c>
      <c r="S3567" t="s">
        <v>45042</v>
      </c>
      <c r="T3567" t="s">
        <v>46430</v>
      </c>
      <c r="U3567" t="s">
        <v>49850</v>
      </c>
      <c r="W3567" t="s">
        <v>42032</v>
      </c>
      <c r="X3567" t="s">
        <v>44909</v>
      </c>
    </row>
    <row r="3568" spans="1:24">
      <c r="A3568">
        <f>HYPERLINK("https://www.philgeps.gov.ph/GEPSNONPILOT/Tender/SplashBidNoticeAbstractUI.aspx?menuIndex=3&amp;refID=7080138&amp;Result=3","7080138")</f>
        <v>0</v>
      </c>
      <c r="B3568" t="s">
        <v>1328</v>
      </c>
      <c r="C3568" t="s">
        <v>6935</v>
      </c>
      <c r="D3568" t="s">
        <v>18108</v>
      </c>
      <c r="E3568" t="s">
        <v>21402</v>
      </c>
      <c r="F3568" t="s">
        <v>31362</v>
      </c>
      <c r="G3568" t="s">
        <v>31368</v>
      </c>
      <c r="H3568" t="s">
        <v>15799</v>
      </c>
      <c r="I3568" t="s">
        <v>31393</v>
      </c>
      <c r="J3568" t="s">
        <v>31732</v>
      </c>
      <c r="K3568" t="s">
        <v>40665</v>
      </c>
      <c r="M3568" t="s">
        <v>42346</v>
      </c>
      <c r="N3568" t="s">
        <v>44905</v>
      </c>
      <c r="O3568" t="s">
        <v>44906</v>
      </c>
      <c r="P3568">
        <v>0</v>
      </c>
      <c r="Q3568">
        <v>3</v>
      </c>
      <c r="R3568" t="s">
        <v>44908</v>
      </c>
      <c r="S3568" t="s">
        <v>45042</v>
      </c>
      <c r="T3568" t="s">
        <v>46454</v>
      </c>
      <c r="U3568" t="s">
        <v>49851</v>
      </c>
      <c r="W3568" t="s">
        <v>42346</v>
      </c>
      <c r="X3568" t="s">
        <v>44909</v>
      </c>
    </row>
    <row r="3569" spans="1:24">
      <c r="A3569">
        <f>HYPERLINK("https://www.philgeps.gov.ph/GEPSNONPILOT/Tender/SplashBidNoticeAbstractUI.aspx?menuIndex=3&amp;refID=7080137&amp;Result=3","7080137")</f>
        <v>0</v>
      </c>
      <c r="B3569" t="s">
        <v>1317</v>
      </c>
      <c r="C3569" t="s">
        <v>6936</v>
      </c>
      <c r="D3569" t="s">
        <v>18136</v>
      </c>
      <c r="E3569" t="s">
        <v>21403</v>
      </c>
      <c r="F3569" t="s">
        <v>31362</v>
      </c>
      <c r="G3569" t="s">
        <v>31370</v>
      </c>
      <c r="H3569" t="s">
        <v>15799</v>
      </c>
      <c r="I3569" t="s">
        <v>13635</v>
      </c>
      <c r="J3569" t="s">
        <v>31545</v>
      </c>
      <c r="K3569" t="s">
        <v>40665</v>
      </c>
      <c r="M3569" t="s">
        <v>42335</v>
      </c>
      <c r="N3569" t="s">
        <v>44905</v>
      </c>
      <c r="O3569" t="s">
        <v>44906</v>
      </c>
      <c r="P3569">
        <v>0</v>
      </c>
      <c r="Q3569">
        <v>3</v>
      </c>
      <c r="R3569" t="s">
        <v>44908</v>
      </c>
      <c r="S3569" t="s">
        <v>45042</v>
      </c>
      <c r="T3569" t="s">
        <v>46438</v>
      </c>
      <c r="U3569" t="s">
        <v>49852</v>
      </c>
      <c r="W3569" t="s">
        <v>42335</v>
      </c>
      <c r="X3569" t="s">
        <v>44909</v>
      </c>
    </row>
    <row r="3570" spans="1:24">
      <c r="A3570">
        <f>HYPERLINK("https://www.philgeps.gov.ph/GEPSNONPILOT/Tender/SplashBidNoticeAbstractUI.aspx?menuIndex=3&amp;refID=7080136&amp;Result=3","7080136")</f>
        <v>0</v>
      </c>
      <c r="B3570" t="s">
        <v>1266</v>
      </c>
      <c r="C3570" t="s">
        <v>6937</v>
      </c>
      <c r="D3570" t="s">
        <v>18117</v>
      </c>
      <c r="E3570" t="s">
        <v>21404</v>
      </c>
      <c r="F3570" t="s">
        <v>31363</v>
      </c>
      <c r="G3570" t="s">
        <v>31370</v>
      </c>
      <c r="H3570" t="s">
        <v>15799</v>
      </c>
      <c r="I3570" t="s">
        <v>31403</v>
      </c>
      <c r="J3570" t="s">
        <v>33893</v>
      </c>
      <c r="K3570" t="s">
        <v>40661</v>
      </c>
      <c r="M3570" t="s">
        <v>42283</v>
      </c>
      <c r="N3570" t="s">
        <v>44905</v>
      </c>
      <c r="O3570" t="s">
        <v>44906</v>
      </c>
      <c r="P3570">
        <v>0</v>
      </c>
      <c r="Q3570">
        <v>0</v>
      </c>
      <c r="R3570" t="s">
        <v>44908</v>
      </c>
      <c r="S3570" t="s">
        <v>45042</v>
      </c>
      <c r="T3570" t="s">
        <v>46393</v>
      </c>
      <c r="U3570" t="s">
        <v>49853</v>
      </c>
      <c r="W3570" t="s">
        <v>42283</v>
      </c>
      <c r="X3570" t="s">
        <v>44909</v>
      </c>
    </row>
    <row r="3571" spans="1:24">
      <c r="A3571">
        <f>HYPERLINK("https://www.philgeps.gov.ph/GEPSNONPILOT/Tender/SplashBidNoticeAbstractUI.aspx?menuIndex=3&amp;refID=7080135&amp;Result=3","7080135")</f>
        <v>0</v>
      </c>
      <c r="B3571" t="s">
        <v>313</v>
      </c>
      <c r="C3571" t="s">
        <v>6938</v>
      </c>
      <c r="D3571" t="s">
        <v>18111</v>
      </c>
      <c r="E3571" t="s">
        <v>21405</v>
      </c>
      <c r="F3571" t="s">
        <v>31362</v>
      </c>
      <c r="G3571" t="s">
        <v>31369</v>
      </c>
      <c r="H3571" t="s">
        <v>15799</v>
      </c>
      <c r="I3571" t="s">
        <v>6373</v>
      </c>
      <c r="J3571" t="s">
        <v>33894</v>
      </c>
      <c r="K3571" t="s">
        <v>40670</v>
      </c>
      <c r="M3571" t="s">
        <v>41258</v>
      </c>
      <c r="N3571" t="s">
        <v>44905</v>
      </c>
      <c r="O3571" t="s">
        <v>44906</v>
      </c>
      <c r="P3571">
        <v>0</v>
      </c>
      <c r="Q3571">
        <v>9</v>
      </c>
      <c r="R3571" t="s">
        <v>44908</v>
      </c>
      <c r="S3571" t="s">
        <v>45042</v>
      </c>
      <c r="T3571" t="s">
        <v>46458</v>
      </c>
      <c r="U3571" t="s">
        <v>49854</v>
      </c>
      <c r="W3571" t="s">
        <v>41258</v>
      </c>
      <c r="X3571" t="s">
        <v>44909</v>
      </c>
    </row>
    <row r="3572" spans="1:24">
      <c r="A3572">
        <f>HYPERLINK("https://www.philgeps.gov.ph/GEPSNONPILOT/Tender/SplashBidNoticeAbstractUI.aspx?menuIndex=3&amp;refID=7080147&amp;Result=3","7080147")</f>
        <v>0</v>
      </c>
      <c r="B3572" t="s">
        <v>1329</v>
      </c>
      <c r="C3572" t="s">
        <v>6939</v>
      </c>
      <c r="D3572" t="s">
        <v>18131</v>
      </c>
      <c r="E3572" t="s">
        <v>21406</v>
      </c>
      <c r="F3572" t="s">
        <v>31362</v>
      </c>
      <c r="G3572" t="s">
        <v>31369</v>
      </c>
      <c r="H3572" t="s">
        <v>15799</v>
      </c>
      <c r="I3572" t="s">
        <v>3815</v>
      </c>
      <c r="J3572" t="s">
        <v>31578</v>
      </c>
      <c r="K3572" t="s">
        <v>40670</v>
      </c>
      <c r="L3572" t="s">
        <v>1329</v>
      </c>
      <c r="M3572" t="s">
        <v>42347</v>
      </c>
      <c r="N3572" t="s">
        <v>44905</v>
      </c>
      <c r="O3572" t="s">
        <v>44906</v>
      </c>
      <c r="P3572">
        <v>0</v>
      </c>
      <c r="Q3572">
        <v>4</v>
      </c>
      <c r="R3572" t="s">
        <v>44908</v>
      </c>
      <c r="S3572" t="s">
        <v>45042</v>
      </c>
      <c r="T3572" t="s">
        <v>46415</v>
      </c>
      <c r="U3572" t="s">
        <v>49855</v>
      </c>
      <c r="W3572" t="s">
        <v>42347</v>
      </c>
      <c r="X3572" t="s">
        <v>44909</v>
      </c>
    </row>
    <row r="3573" spans="1:24">
      <c r="A3573">
        <f>HYPERLINK("https://www.philgeps.gov.ph/GEPSNONPILOT/Tender/SplashBidNoticeAbstractUI.aspx?menuIndex=3&amp;refID=7080133&amp;Result=3","7080133")</f>
        <v>0</v>
      </c>
      <c r="B3573" t="s">
        <v>1270</v>
      </c>
      <c r="C3573" t="s">
        <v>6940</v>
      </c>
      <c r="D3573" t="s">
        <v>18157</v>
      </c>
      <c r="E3573" t="s">
        <v>21407</v>
      </c>
      <c r="F3573" t="s">
        <v>31362</v>
      </c>
      <c r="G3573" t="s">
        <v>31368</v>
      </c>
      <c r="H3573" t="s">
        <v>15799</v>
      </c>
      <c r="I3573" t="s">
        <v>4057</v>
      </c>
      <c r="J3573" t="s">
        <v>33895</v>
      </c>
      <c r="K3573" t="s">
        <v>40698</v>
      </c>
      <c r="M3573" t="s">
        <v>42287</v>
      </c>
      <c r="N3573" t="s">
        <v>44905</v>
      </c>
      <c r="O3573" t="s">
        <v>44906</v>
      </c>
      <c r="P3573">
        <v>0</v>
      </c>
      <c r="Q3573">
        <v>0</v>
      </c>
      <c r="R3573" t="s">
        <v>44908</v>
      </c>
      <c r="S3573" t="s">
        <v>45042</v>
      </c>
      <c r="T3573" t="s">
        <v>46404</v>
      </c>
      <c r="U3573" t="s">
        <v>49706</v>
      </c>
      <c r="W3573" t="s">
        <v>42287</v>
      </c>
      <c r="X3573" t="s">
        <v>44909</v>
      </c>
    </row>
    <row r="3574" spans="1:24">
      <c r="A3574">
        <f>HYPERLINK("https://www.philgeps.gov.ph/GEPSNONPILOT/Tender/SplashBidNoticeAbstractUI.aspx?menuIndex=3&amp;refID=7080130&amp;Result=3","7080130")</f>
        <v>0</v>
      </c>
      <c r="B3574" t="s">
        <v>286</v>
      </c>
      <c r="C3574" t="s">
        <v>6941</v>
      </c>
      <c r="E3574" t="s">
        <v>21408</v>
      </c>
      <c r="F3574" t="s">
        <v>31362</v>
      </c>
      <c r="G3574" t="s">
        <v>31368</v>
      </c>
      <c r="H3574" t="s">
        <v>15799</v>
      </c>
      <c r="I3574" t="s">
        <v>3815</v>
      </c>
      <c r="J3574" t="s">
        <v>33896</v>
      </c>
      <c r="K3574" t="s">
        <v>40672</v>
      </c>
      <c r="M3574" t="s">
        <v>41229</v>
      </c>
      <c r="N3574" t="s">
        <v>44905</v>
      </c>
      <c r="O3574" t="s">
        <v>44906</v>
      </c>
      <c r="P3574">
        <v>0</v>
      </c>
      <c r="Q3574">
        <v>0</v>
      </c>
      <c r="R3574" t="s">
        <v>44908</v>
      </c>
      <c r="S3574" t="s">
        <v>45042</v>
      </c>
      <c r="T3574" t="s">
        <v>46434</v>
      </c>
      <c r="U3574" t="s">
        <v>49856</v>
      </c>
      <c r="W3574" t="s">
        <v>41229</v>
      </c>
      <c r="X3574" t="s">
        <v>44909</v>
      </c>
    </row>
    <row r="3575" spans="1:24">
      <c r="A3575">
        <f>HYPERLINK("https://www.philgeps.gov.ph/GEPSNONPILOT/Tender/SplashBidNoticeAbstractUI.aspx?menuIndex=3&amp;refID=7080142&amp;Result=3","7080142")</f>
        <v>0</v>
      </c>
      <c r="B3575" t="s">
        <v>130</v>
      </c>
      <c r="C3575" t="s">
        <v>6942</v>
      </c>
      <c r="D3575" t="s">
        <v>18109</v>
      </c>
      <c r="E3575" t="s">
        <v>21409</v>
      </c>
      <c r="F3575" t="s">
        <v>31362</v>
      </c>
      <c r="G3575" t="s">
        <v>31368</v>
      </c>
      <c r="H3575" t="s">
        <v>15799</v>
      </c>
      <c r="I3575" t="s">
        <v>31404</v>
      </c>
      <c r="J3575" t="s">
        <v>33897</v>
      </c>
      <c r="K3575" t="s">
        <v>40662</v>
      </c>
      <c r="M3575" t="s">
        <v>41067</v>
      </c>
      <c r="N3575" t="s">
        <v>44905</v>
      </c>
      <c r="O3575" t="s">
        <v>44906</v>
      </c>
      <c r="P3575">
        <v>0</v>
      </c>
      <c r="Q3575">
        <v>0</v>
      </c>
      <c r="R3575" t="s">
        <v>44908</v>
      </c>
      <c r="S3575" t="s">
        <v>45042</v>
      </c>
      <c r="T3575" t="s">
        <v>46394</v>
      </c>
      <c r="U3575" t="s">
        <v>49857</v>
      </c>
      <c r="W3575" t="s">
        <v>41067</v>
      </c>
      <c r="X3575" t="s">
        <v>44909</v>
      </c>
    </row>
    <row r="3576" spans="1:24">
      <c r="A3576">
        <f>HYPERLINK("https://www.philgeps.gov.ph/GEPSNONPILOT/Tender/SplashBidNoticeAbstractUI.aspx?menuIndex=3&amp;refID=7080127&amp;Result=3","7080127")</f>
        <v>0</v>
      </c>
      <c r="B3576" t="s">
        <v>130</v>
      </c>
      <c r="C3576" t="s">
        <v>6943</v>
      </c>
      <c r="D3576" t="s">
        <v>18109</v>
      </c>
      <c r="E3576" t="s">
        <v>21410</v>
      </c>
      <c r="F3576" t="s">
        <v>31362</v>
      </c>
      <c r="G3576" t="s">
        <v>31368</v>
      </c>
      <c r="H3576" t="s">
        <v>15799</v>
      </c>
      <c r="I3576" t="s">
        <v>31404</v>
      </c>
      <c r="J3576" t="s">
        <v>33898</v>
      </c>
      <c r="K3576" t="s">
        <v>40662</v>
      </c>
      <c r="M3576" t="s">
        <v>41067</v>
      </c>
      <c r="N3576" t="s">
        <v>44905</v>
      </c>
      <c r="O3576" t="s">
        <v>44906</v>
      </c>
      <c r="P3576">
        <v>0</v>
      </c>
      <c r="Q3576">
        <v>0</v>
      </c>
      <c r="R3576" t="s">
        <v>44908</v>
      </c>
      <c r="S3576" t="s">
        <v>45042</v>
      </c>
      <c r="T3576" t="s">
        <v>46394</v>
      </c>
      <c r="U3576" t="s">
        <v>49858</v>
      </c>
      <c r="W3576" t="s">
        <v>41067</v>
      </c>
      <c r="X3576" t="s">
        <v>44909</v>
      </c>
    </row>
    <row r="3577" spans="1:24">
      <c r="A3577">
        <f>HYPERLINK("https://www.philgeps.gov.ph/GEPSNONPILOT/Tender/SplashBidNoticeAbstractUI.aspx?menuIndex=3&amp;refID=7080124&amp;Result=3","7080124")</f>
        <v>0</v>
      </c>
      <c r="B3577" t="s">
        <v>1330</v>
      </c>
      <c r="C3577" t="s">
        <v>6944</v>
      </c>
      <c r="D3577" t="s">
        <v>18105</v>
      </c>
      <c r="E3577" t="s">
        <v>21411</v>
      </c>
      <c r="F3577" t="s">
        <v>31362</v>
      </c>
      <c r="G3577" t="s">
        <v>31371</v>
      </c>
      <c r="H3577" t="s">
        <v>15799</v>
      </c>
      <c r="I3577" t="s">
        <v>13635</v>
      </c>
      <c r="J3577" t="s">
        <v>33899</v>
      </c>
      <c r="K3577" t="s">
        <v>40666</v>
      </c>
      <c r="M3577" t="s">
        <v>42348</v>
      </c>
      <c r="N3577" t="s">
        <v>44905</v>
      </c>
      <c r="O3577" t="s">
        <v>44906</v>
      </c>
      <c r="P3577">
        <v>0</v>
      </c>
      <c r="Q3577">
        <v>1</v>
      </c>
      <c r="R3577" t="s">
        <v>44908</v>
      </c>
      <c r="S3577" t="s">
        <v>45042</v>
      </c>
      <c r="T3577" t="s">
        <v>46393</v>
      </c>
      <c r="U3577" t="s">
        <v>49859</v>
      </c>
      <c r="W3577" t="s">
        <v>42348</v>
      </c>
      <c r="X3577" t="s">
        <v>44909</v>
      </c>
    </row>
    <row r="3578" spans="1:24">
      <c r="A3578">
        <f>HYPERLINK("https://www.philgeps.gov.ph/GEPSNONPILOT/Tender/SplashBidNoticeAbstractUI.aspx?menuIndex=3&amp;refID=7080104&amp;Result=3","7080104")</f>
        <v>0</v>
      </c>
      <c r="B3578" t="s">
        <v>1331</v>
      </c>
      <c r="C3578" t="s">
        <v>6945</v>
      </c>
      <c r="D3578" t="s">
        <v>18138</v>
      </c>
      <c r="E3578" t="s">
        <v>21412</v>
      </c>
      <c r="F3578" t="s">
        <v>31362</v>
      </c>
      <c r="G3578" t="s">
        <v>31369</v>
      </c>
      <c r="H3578" t="s">
        <v>31378</v>
      </c>
      <c r="I3578" t="s">
        <v>31386</v>
      </c>
      <c r="J3578" t="s">
        <v>33900</v>
      </c>
      <c r="K3578" t="s">
        <v>40678</v>
      </c>
      <c r="M3578" t="s">
        <v>42349</v>
      </c>
      <c r="N3578" t="s">
        <v>44905</v>
      </c>
      <c r="O3578" t="s">
        <v>44906</v>
      </c>
      <c r="P3578">
        <v>0</v>
      </c>
      <c r="Q3578">
        <v>0</v>
      </c>
      <c r="R3578" t="s">
        <v>44908</v>
      </c>
      <c r="S3578" t="s">
        <v>45042</v>
      </c>
      <c r="T3578" t="s">
        <v>46456</v>
      </c>
      <c r="U3578" t="s">
        <v>49860</v>
      </c>
      <c r="W3578" t="s">
        <v>42349</v>
      </c>
      <c r="X3578" t="s">
        <v>44909</v>
      </c>
    </row>
    <row r="3579" spans="1:24">
      <c r="A3579">
        <f>HYPERLINK("https://www.philgeps.gov.ph/GEPSNONPILOT/Tender/SplashBidNoticeAbstractUI.aspx?menuIndex=3&amp;refID=7080141&amp;Result=3","7080141")</f>
        <v>0</v>
      </c>
      <c r="B3579" t="s">
        <v>1321</v>
      </c>
      <c r="C3579" t="s">
        <v>6946</v>
      </c>
      <c r="D3579" t="s">
        <v>18134</v>
      </c>
      <c r="E3579" t="s">
        <v>21413</v>
      </c>
      <c r="F3579" t="s">
        <v>31362</v>
      </c>
      <c r="G3579" t="s">
        <v>31368</v>
      </c>
      <c r="H3579" t="s">
        <v>15799</v>
      </c>
      <c r="I3579" t="s">
        <v>31387</v>
      </c>
      <c r="J3579" t="s">
        <v>33901</v>
      </c>
      <c r="K3579" t="s">
        <v>40661</v>
      </c>
      <c r="M3579" t="s">
        <v>42339</v>
      </c>
      <c r="N3579" t="s">
        <v>44905</v>
      </c>
      <c r="O3579" t="s">
        <v>44906</v>
      </c>
      <c r="P3579">
        <v>0</v>
      </c>
      <c r="Q3579">
        <v>0</v>
      </c>
      <c r="R3579" t="s">
        <v>44908</v>
      </c>
      <c r="S3579" t="s">
        <v>45042</v>
      </c>
      <c r="T3579" t="s">
        <v>46425</v>
      </c>
      <c r="U3579" t="s">
        <v>49861</v>
      </c>
      <c r="W3579" t="s">
        <v>42339</v>
      </c>
      <c r="X3579" t="s">
        <v>44909</v>
      </c>
    </row>
    <row r="3580" spans="1:24">
      <c r="A3580">
        <f>HYPERLINK("https://www.philgeps.gov.ph/GEPSNONPILOT/Tender/SplashBidNoticeAbstractUI.aspx?menuIndex=3&amp;refID=7080102&amp;Result=3","7080102")</f>
        <v>0</v>
      </c>
      <c r="B3580" t="s">
        <v>1308</v>
      </c>
      <c r="C3580" t="s">
        <v>6947</v>
      </c>
      <c r="D3580" t="s">
        <v>18134</v>
      </c>
      <c r="E3580" t="s">
        <v>21414</v>
      </c>
      <c r="F3580" t="s">
        <v>31362</v>
      </c>
      <c r="G3580" t="s">
        <v>31368</v>
      </c>
      <c r="H3580" t="s">
        <v>15799</v>
      </c>
      <c r="I3580" t="s">
        <v>31430</v>
      </c>
      <c r="J3580" t="s">
        <v>33902</v>
      </c>
      <c r="K3580" t="s">
        <v>40665</v>
      </c>
      <c r="L3580" t="s">
        <v>1308</v>
      </c>
      <c r="M3580" t="s">
        <v>42326</v>
      </c>
      <c r="N3580" t="s">
        <v>44905</v>
      </c>
      <c r="O3580" t="s">
        <v>44906</v>
      </c>
      <c r="P3580">
        <v>0</v>
      </c>
      <c r="Q3580">
        <v>1</v>
      </c>
      <c r="R3580" t="s">
        <v>44908</v>
      </c>
      <c r="S3580" t="s">
        <v>45042</v>
      </c>
      <c r="T3580" t="s">
        <v>46425</v>
      </c>
      <c r="U3580" t="s">
        <v>49807</v>
      </c>
      <c r="W3580" t="s">
        <v>42326</v>
      </c>
      <c r="X3580" t="s">
        <v>44909</v>
      </c>
    </row>
    <row r="3581" spans="1:24">
      <c r="A3581">
        <f>HYPERLINK("https://www.philgeps.gov.ph/GEPSNONPILOT/Tender/SplashBidNoticeAbstractUI.aspx?menuIndex=3&amp;refID=7080128&amp;Result=3","7080128")</f>
        <v>0</v>
      </c>
      <c r="B3581" t="s">
        <v>558</v>
      </c>
      <c r="C3581" t="s">
        <v>6948</v>
      </c>
      <c r="D3581" t="s">
        <v>18107</v>
      </c>
      <c r="E3581" t="s">
        <v>21415</v>
      </c>
      <c r="F3581" t="s">
        <v>31362</v>
      </c>
      <c r="G3581" t="s">
        <v>31370</v>
      </c>
      <c r="H3581" t="s">
        <v>15799</v>
      </c>
      <c r="I3581" t="s">
        <v>31380</v>
      </c>
      <c r="J3581" t="s">
        <v>31586</v>
      </c>
      <c r="K3581" t="s">
        <v>40672</v>
      </c>
      <c r="M3581" t="s">
        <v>41514</v>
      </c>
      <c r="N3581" t="s">
        <v>44905</v>
      </c>
      <c r="O3581" t="s">
        <v>44906</v>
      </c>
      <c r="P3581">
        <v>0</v>
      </c>
      <c r="Q3581">
        <v>2</v>
      </c>
      <c r="R3581" t="s">
        <v>44908</v>
      </c>
      <c r="S3581" t="s">
        <v>45042</v>
      </c>
      <c r="T3581" t="s">
        <v>46506</v>
      </c>
      <c r="U3581" t="s">
        <v>49862</v>
      </c>
      <c r="W3581" t="s">
        <v>41514</v>
      </c>
      <c r="X3581" t="s">
        <v>44909</v>
      </c>
    </row>
    <row r="3582" spans="1:24">
      <c r="A3582">
        <f>HYPERLINK("https://www.philgeps.gov.ph/GEPSNONPILOT/Tender/SplashBidNoticeAbstractUI.aspx?menuIndex=3&amp;refID=7080082&amp;Result=3","7080082")</f>
        <v>0</v>
      </c>
      <c r="B3582" t="s">
        <v>534</v>
      </c>
      <c r="C3582" t="s">
        <v>6949</v>
      </c>
      <c r="D3582" t="s">
        <v>18131</v>
      </c>
      <c r="E3582" t="s">
        <v>21416</v>
      </c>
      <c r="F3582" t="s">
        <v>31362</v>
      </c>
      <c r="G3582" t="s">
        <v>31372</v>
      </c>
      <c r="H3582" t="s">
        <v>15799</v>
      </c>
      <c r="I3582" t="s">
        <v>6240</v>
      </c>
      <c r="J3582" t="s">
        <v>33903</v>
      </c>
      <c r="K3582" t="s">
        <v>40670</v>
      </c>
      <c r="M3582" t="s">
        <v>41490</v>
      </c>
      <c r="N3582" t="s">
        <v>44905</v>
      </c>
      <c r="O3582" t="s">
        <v>44906</v>
      </c>
      <c r="P3582">
        <v>0</v>
      </c>
      <c r="Q3582">
        <v>0</v>
      </c>
      <c r="R3582" t="s">
        <v>44908</v>
      </c>
      <c r="S3582" t="s">
        <v>45042</v>
      </c>
      <c r="T3582" t="s">
        <v>46435</v>
      </c>
      <c r="U3582" t="s">
        <v>49863</v>
      </c>
      <c r="W3582" t="s">
        <v>41490</v>
      </c>
      <c r="X3582" t="s">
        <v>44909</v>
      </c>
    </row>
    <row r="3583" spans="1:24">
      <c r="A3583">
        <f>HYPERLINK("https://www.philgeps.gov.ph/GEPSNONPILOT/Tender/SplashBidNoticeAbstractUI.aspx?menuIndex=3&amp;refID=7080126&amp;Result=3","7080126")</f>
        <v>0</v>
      </c>
      <c r="B3583" t="s">
        <v>1033</v>
      </c>
      <c r="C3583" t="s">
        <v>6950</v>
      </c>
      <c r="D3583" t="s">
        <v>18162</v>
      </c>
      <c r="E3583" t="s">
        <v>21417</v>
      </c>
      <c r="F3583" t="s">
        <v>31362</v>
      </c>
      <c r="G3583" t="s">
        <v>31369</v>
      </c>
      <c r="H3583" t="s">
        <v>15799</v>
      </c>
      <c r="I3583" t="s">
        <v>3815</v>
      </c>
      <c r="J3583" t="s">
        <v>33904</v>
      </c>
      <c r="K3583" t="s">
        <v>40670</v>
      </c>
      <c r="M3583" t="s">
        <v>42032</v>
      </c>
      <c r="N3583" t="s">
        <v>44905</v>
      </c>
      <c r="O3583" t="s">
        <v>44906</v>
      </c>
      <c r="P3583">
        <v>0</v>
      </c>
      <c r="Q3583">
        <v>0</v>
      </c>
      <c r="R3583" t="s">
        <v>44908</v>
      </c>
      <c r="S3583" t="s">
        <v>45042</v>
      </c>
      <c r="T3583" t="s">
        <v>46430</v>
      </c>
      <c r="U3583" t="s">
        <v>49864</v>
      </c>
      <c r="W3583" t="s">
        <v>42032</v>
      </c>
      <c r="X3583" t="s">
        <v>44909</v>
      </c>
    </row>
    <row r="3584" spans="1:24">
      <c r="A3584">
        <f>HYPERLINK("https://www.philgeps.gov.ph/GEPSNONPILOT/Tender/SplashBidNoticeAbstractUI.aspx?menuIndex=3&amp;refID=7080169&amp;Result=3","7080169")</f>
        <v>0</v>
      </c>
      <c r="B3584" t="s">
        <v>1332</v>
      </c>
      <c r="C3584" t="s">
        <v>6951</v>
      </c>
      <c r="D3584" t="s">
        <v>18101</v>
      </c>
      <c r="E3584" t="s">
        <v>20720</v>
      </c>
      <c r="F3584" t="s">
        <v>31362</v>
      </c>
      <c r="G3584" t="s">
        <v>31368</v>
      </c>
      <c r="H3584" t="s">
        <v>15799</v>
      </c>
      <c r="I3584" t="s">
        <v>31387</v>
      </c>
      <c r="J3584" t="s">
        <v>32178</v>
      </c>
      <c r="K3584" t="s">
        <v>40666</v>
      </c>
      <c r="M3584" t="s">
        <v>42350</v>
      </c>
      <c r="N3584" t="s">
        <v>44905</v>
      </c>
      <c r="O3584" t="s">
        <v>44906</v>
      </c>
      <c r="P3584">
        <v>0</v>
      </c>
      <c r="Q3584">
        <v>1</v>
      </c>
      <c r="R3584" t="s">
        <v>44908</v>
      </c>
      <c r="S3584" t="s">
        <v>45042</v>
      </c>
      <c r="T3584" t="s">
        <v>46443</v>
      </c>
      <c r="U3584" t="s">
        <v>49865</v>
      </c>
      <c r="W3584" t="s">
        <v>42350</v>
      </c>
      <c r="X3584" t="s">
        <v>44909</v>
      </c>
    </row>
    <row r="3585" spans="1:24">
      <c r="A3585">
        <f>HYPERLINK("https://www.philgeps.gov.ph/GEPSNONPILOT/Tender/SplashBidNoticeAbstractUI.aspx?menuIndex=3&amp;refID=7080069&amp;Result=3","7080069")</f>
        <v>0</v>
      </c>
      <c r="B3585" t="s">
        <v>1308</v>
      </c>
      <c r="C3585" t="s">
        <v>6952</v>
      </c>
      <c r="D3585" t="s">
        <v>18134</v>
      </c>
      <c r="E3585" t="s">
        <v>21104</v>
      </c>
      <c r="F3585" t="s">
        <v>31362</v>
      </c>
      <c r="G3585" t="s">
        <v>31368</v>
      </c>
      <c r="H3585" t="s">
        <v>15799</v>
      </c>
      <c r="I3585" t="s">
        <v>31385</v>
      </c>
      <c r="J3585" t="s">
        <v>33905</v>
      </c>
      <c r="K3585" t="s">
        <v>40677</v>
      </c>
      <c r="L3585" t="s">
        <v>1308</v>
      </c>
      <c r="M3585" t="s">
        <v>42326</v>
      </c>
      <c r="N3585" t="s">
        <v>44905</v>
      </c>
      <c r="O3585" t="s">
        <v>44906</v>
      </c>
      <c r="P3585">
        <v>0</v>
      </c>
      <c r="Q3585">
        <v>4</v>
      </c>
      <c r="R3585" t="s">
        <v>44908</v>
      </c>
      <c r="S3585" t="s">
        <v>45042</v>
      </c>
      <c r="T3585" t="s">
        <v>46425</v>
      </c>
      <c r="U3585" t="s">
        <v>49807</v>
      </c>
      <c r="W3585" t="s">
        <v>42326</v>
      </c>
      <c r="X3585" t="s">
        <v>44909</v>
      </c>
    </row>
    <row r="3586" spans="1:24">
      <c r="A3586">
        <f>HYPERLINK("https://www.philgeps.gov.ph/GEPSNONPILOT/Tender/SplashBidNoticeAbstractUI.aspx?menuIndex=3&amp;refID=7080167&amp;Result=3","7080167")</f>
        <v>0</v>
      </c>
      <c r="B3586" t="s">
        <v>367</v>
      </c>
      <c r="C3586" t="s">
        <v>6953</v>
      </c>
      <c r="D3586" t="s">
        <v>18134</v>
      </c>
      <c r="E3586" t="s">
        <v>21418</v>
      </c>
      <c r="F3586" t="s">
        <v>31362</v>
      </c>
      <c r="G3586" t="s">
        <v>31368</v>
      </c>
      <c r="H3586" t="s">
        <v>15799</v>
      </c>
      <c r="I3586" t="s">
        <v>31384</v>
      </c>
      <c r="J3586" t="s">
        <v>31646</v>
      </c>
      <c r="K3586" t="s">
        <v>40677</v>
      </c>
      <c r="M3586" t="s">
        <v>41314</v>
      </c>
      <c r="N3586" t="s">
        <v>44905</v>
      </c>
      <c r="O3586" t="s">
        <v>44906</v>
      </c>
      <c r="P3586">
        <v>0</v>
      </c>
      <c r="Q3586">
        <v>4</v>
      </c>
      <c r="R3586" t="s">
        <v>44908</v>
      </c>
      <c r="S3586" t="s">
        <v>45042</v>
      </c>
      <c r="T3586" t="s">
        <v>46447</v>
      </c>
      <c r="U3586" t="s">
        <v>49866</v>
      </c>
      <c r="W3586" t="s">
        <v>41314</v>
      </c>
      <c r="X3586" t="s">
        <v>44909</v>
      </c>
    </row>
    <row r="3587" spans="1:24">
      <c r="A3587">
        <f>HYPERLINK("https://www.philgeps.gov.ph/GEPSNONPILOT/Tender/SplashBidNoticeAbstractUI.aspx?menuIndex=3&amp;refID=7080166&amp;Result=3","7080166")</f>
        <v>0</v>
      </c>
      <c r="B3587" t="s">
        <v>130</v>
      </c>
      <c r="C3587" t="s">
        <v>6954</v>
      </c>
      <c r="D3587" t="s">
        <v>18109</v>
      </c>
      <c r="E3587" t="s">
        <v>21419</v>
      </c>
      <c r="F3587" t="s">
        <v>31362</v>
      </c>
      <c r="G3587" t="s">
        <v>31368</v>
      </c>
      <c r="H3587" t="s">
        <v>15799</v>
      </c>
      <c r="I3587" t="s">
        <v>31404</v>
      </c>
      <c r="J3587" t="s">
        <v>33906</v>
      </c>
      <c r="K3587" t="s">
        <v>40662</v>
      </c>
      <c r="M3587" t="s">
        <v>41067</v>
      </c>
      <c r="N3587" t="s">
        <v>44905</v>
      </c>
      <c r="O3587" t="s">
        <v>44906</v>
      </c>
      <c r="P3587">
        <v>0</v>
      </c>
      <c r="Q3587">
        <v>0</v>
      </c>
      <c r="R3587" t="s">
        <v>44908</v>
      </c>
      <c r="S3587" t="s">
        <v>45042</v>
      </c>
      <c r="T3587" t="s">
        <v>46394</v>
      </c>
      <c r="U3587" t="s">
        <v>49867</v>
      </c>
      <c r="W3587" t="s">
        <v>41067</v>
      </c>
      <c r="X3587" t="s">
        <v>44909</v>
      </c>
    </row>
    <row r="3588" spans="1:24">
      <c r="A3588">
        <f>HYPERLINK("https://www.philgeps.gov.ph/GEPSNONPILOT/Tender/SplashBidNoticeAbstractUI.aspx?menuIndex=3&amp;refID=7080083&amp;Result=3","7080083")</f>
        <v>0</v>
      </c>
      <c r="B3588" t="s">
        <v>1033</v>
      </c>
      <c r="C3588" t="s">
        <v>6955</v>
      </c>
      <c r="D3588" t="s">
        <v>18162</v>
      </c>
      <c r="E3588" t="s">
        <v>21420</v>
      </c>
      <c r="F3588" t="s">
        <v>31362</v>
      </c>
      <c r="G3588" t="s">
        <v>31369</v>
      </c>
      <c r="H3588" t="s">
        <v>15799</v>
      </c>
      <c r="I3588" t="s">
        <v>3815</v>
      </c>
      <c r="J3588" t="s">
        <v>33907</v>
      </c>
      <c r="K3588" t="s">
        <v>40670</v>
      </c>
      <c r="M3588" t="s">
        <v>42032</v>
      </c>
      <c r="N3588" t="s">
        <v>44905</v>
      </c>
      <c r="O3588" t="s">
        <v>44906</v>
      </c>
      <c r="P3588">
        <v>0</v>
      </c>
      <c r="Q3588">
        <v>0</v>
      </c>
      <c r="R3588" t="s">
        <v>44908</v>
      </c>
      <c r="S3588" t="s">
        <v>45042</v>
      </c>
      <c r="T3588" t="s">
        <v>46430</v>
      </c>
      <c r="U3588" t="s">
        <v>49868</v>
      </c>
      <c r="W3588" t="s">
        <v>42032</v>
      </c>
      <c r="X3588" t="s">
        <v>44909</v>
      </c>
    </row>
    <row r="3589" spans="1:24">
      <c r="A3589">
        <f>HYPERLINK("https://www.philgeps.gov.ph/GEPSNONPILOT/Tender/SplashBidNoticeAbstractUI.aspx?menuIndex=3&amp;refID=7080165&amp;Result=3","7080165")</f>
        <v>0</v>
      </c>
      <c r="B3589" t="s">
        <v>701</v>
      </c>
      <c r="C3589" t="s">
        <v>6956</v>
      </c>
      <c r="D3589" t="s">
        <v>18172</v>
      </c>
      <c r="E3589" t="s">
        <v>21421</v>
      </c>
      <c r="F3589" t="s">
        <v>31362</v>
      </c>
      <c r="G3589" t="s">
        <v>31369</v>
      </c>
      <c r="H3589" t="s">
        <v>15799</v>
      </c>
      <c r="I3589" t="s">
        <v>3815</v>
      </c>
      <c r="J3589" t="s">
        <v>33908</v>
      </c>
      <c r="K3589" t="s">
        <v>40693</v>
      </c>
      <c r="M3589" t="s">
        <v>41666</v>
      </c>
      <c r="N3589" t="s">
        <v>44905</v>
      </c>
      <c r="O3589" t="s">
        <v>44906</v>
      </c>
      <c r="P3589">
        <v>0</v>
      </c>
      <c r="Q3589">
        <v>0</v>
      </c>
      <c r="R3589" t="s">
        <v>44908</v>
      </c>
      <c r="S3589" t="s">
        <v>45042</v>
      </c>
      <c r="T3589" t="s">
        <v>46415</v>
      </c>
      <c r="U3589" t="s">
        <v>49869</v>
      </c>
      <c r="W3589" t="s">
        <v>41666</v>
      </c>
      <c r="X3589" t="s">
        <v>44909</v>
      </c>
    </row>
    <row r="3590" spans="1:24">
      <c r="A3590">
        <f>HYPERLINK("https://www.philgeps.gov.ph/GEPSNONPILOT/Tender/SplashBidNoticeAbstractUI.aspx?menuIndex=3&amp;refID=7080164&amp;Result=3","7080164")</f>
        <v>0</v>
      </c>
      <c r="B3590" t="s">
        <v>1270</v>
      </c>
      <c r="C3590" t="s">
        <v>6957</v>
      </c>
      <c r="D3590" t="s">
        <v>18157</v>
      </c>
      <c r="E3590" t="s">
        <v>21422</v>
      </c>
      <c r="F3590" t="s">
        <v>31362</v>
      </c>
      <c r="G3590" t="s">
        <v>31368</v>
      </c>
      <c r="H3590" t="s">
        <v>15799</v>
      </c>
      <c r="I3590" t="s">
        <v>4057</v>
      </c>
      <c r="J3590" t="s">
        <v>31939</v>
      </c>
      <c r="K3590" t="s">
        <v>40698</v>
      </c>
      <c r="M3590" t="s">
        <v>42287</v>
      </c>
      <c r="N3590" t="s">
        <v>44905</v>
      </c>
      <c r="O3590" t="s">
        <v>44906</v>
      </c>
      <c r="P3590">
        <v>0</v>
      </c>
      <c r="Q3590">
        <v>0</v>
      </c>
      <c r="R3590" t="s">
        <v>44908</v>
      </c>
      <c r="S3590" t="s">
        <v>45042</v>
      </c>
      <c r="T3590" t="s">
        <v>46404</v>
      </c>
      <c r="U3590" t="s">
        <v>49706</v>
      </c>
      <c r="W3590" t="s">
        <v>42287</v>
      </c>
      <c r="X3590" t="s">
        <v>44909</v>
      </c>
    </row>
    <row r="3591" spans="1:24">
      <c r="A3591">
        <f>HYPERLINK("https://www.philgeps.gov.ph/GEPSNONPILOT/Tender/SplashBidNoticeAbstractUI.aspx?menuIndex=3&amp;refID=7080163&amp;Result=3","7080163")</f>
        <v>0</v>
      </c>
      <c r="B3591" t="s">
        <v>1333</v>
      </c>
      <c r="C3591" t="s">
        <v>6958</v>
      </c>
      <c r="D3591" t="s">
        <v>18139</v>
      </c>
      <c r="E3591" t="s">
        <v>21423</v>
      </c>
      <c r="F3591" t="s">
        <v>31362</v>
      </c>
      <c r="G3591" t="s">
        <v>31368</v>
      </c>
      <c r="H3591" t="s">
        <v>15799</v>
      </c>
      <c r="I3591" t="s">
        <v>31392</v>
      </c>
      <c r="J3591" t="s">
        <v>33909</v>
      </c>
      <c r="K3591" t="s">
        <v>40666</v>
      </c>
      <c r="M3591" t="s">
        <v>42351</v>
      </c>
      <c r="N3591" t="s">
        <v>44905</v>
      </c>
      <c r="O3591" t="s">
        <v>44906</v>
      </c>
      <c r="P3591">
        <v>0</v>
      </c>
      <c r="Q3591">
        <v>1</v>
      </c>
      <c r="R3591" t="s">
        <v>44908</v>
      </c>
      <c r="S3591" t="s">
        <v>45042</v>
      </c>
      <c r="T3591" t="s">
        <v>46483</v>
      </c>
      <c r="U3591" t="s">
        <v>49870</v>
      </c>
      <c r="W3591" t="s">
        <v>42351</v>
      </c>
      <c r="X3591" t="s">
        <v>44909</v>
      </c>
    </row>
    <row r="3592" spans="1:24">
      <c r="A3592">
        <f>HYPERLINK("https://www.philgeps.gov.ph/GEPSNONPILOT/Tender/SplashBidNoticeAbstractUI.aspx?menuIndex=3&amp;refID=7080066&amp;Result=3","7080066")</f>
        <v>0</v>
      </c>
      <c r="B3592" t="s">
        <v>1033</v>
      </c>
      <c r="C3592" t="s">
        <v>6959</v>
      </c>
      <c r="D3592" t="s">
        <v>18162</v>
      </c>
      <c r="E3592" t="s">
        <v>21424</v>
      </c>
      <c r="F3592" t="s">
        <v>31362</v>
      </c>
      <c r="G3592" t="s">
        <v>31369</v>
      </c>
      <c r="H3592" t="s">
        <v>15799</v>
      </c>
      <c r="I3592" t="s">
        <v>31413</v>
      </c>
      <c r="J3592" t="s">
        <v>31866</v>
      </c>
      <c r="K3592" t="s">
        <v>40670</v>
      </c>
      <c r="M3592" t="s">
        <v>42032</v>
      </c>
      <c r="N3592" t="s">
        <v>44905</v>
      </c>
      <c r="O3592" t="s">
        <v>44906</v>
      </c>
      <c r="P3592">
        <v>0</v>
      </c>
      <c r="Q3592">
        <v>0</v>
      </c>
      <c r="R3592" t="s">
        <v>44908</v>
      </c>
      <c r="S3592" t="s">
        <v>45042</v>
      </c>
      <c r="T3592" t="s">
        <v>46430</v>
      </c>
      <c r="U3592" t="s">
        <v>49871</v>
      </c>
      <c r="W3592" t="s">
        <v>42032</v>
      </c>
      <c r="X3592" t="s">
        <v>44909</v>
      </c>
    </row>
    <row r="3593" spans="1:24">
      <c r="A3593">
        <f>HYPERLINK("https://www.philgeps.gov.ph/GEPSNONPILOT/Tender/SplashBidNoticeAbstractUI.aspx?menuIndex=3&amp;refID=7080168&amp;Result=3","7080168")</f>
        <v>0</v>
      </c>
      <c r="B3593" t="s">
        <v>1311</v>
      </c>
      <c r="C3593" t="s">
        <v>6960</v>
      </c>
      <c r="D3593" t="s">
        <v>18156</v>
      </c>
      <c r="E3593" t="s">
        <v>21425</v>
      </c>
      <c r="F3593" t="s">
        <v>31362</v>
      </c>
      <c r="G3593" t="s">
        <v>31368</v>
      </c>
      <c r="H3593" t="s">
        <v>15799</v>
      </c>
      <c r="I3593" t="s">
        <v>31477</v>
      </c>
      <c r="J3593" t="s">
        <v>33494</v>
      </c>
      <c r="K3593" t="s">
        <v>40662</v>
      </c>
      <c r="M3593" t="s">
        <v>42329</v>
      </c>
      <c r="N3593" t="s">
        <v>44905</v>
      </c>
      <c r="O3593" t="s">
        <v>44906</v>
      </c>
      <c r="P3593">
        <v>0</v>
      </c>
      <c r="Q3593">
        <v>0</v>
      </c>
      <c r="R3593" t="s">
        <v>44908</v>
      </c>
      <c r="S3593" t="s">
        <v>45042</v>
      </c>
      <c r="T3593" t="s">
        <v>46454</v>
      </c>
      <c r="U3593" t="s">
        <v>49872</v>
      </c>
      <c r="V3593" t="s">
        <v>59417</v>
      </c>
      <c r="W3593" t="s">
        <v>42329</v>
      </c>
      <c r="X3593" t="s">
        <v>44909</v>
      </c>
    </row>
    <row r="3594" spans="1:24">
      <c r="A3594">
        <f>HYPERLINK("https://www.philgeps.gov.ph/GEPSNONPILOT/Tender/SplashBidNoticeAbstractUI.aspx?menuIndex=3&amp;refID=7080129&amp;Result=3","7080129")</f>
        <v>0</v>
      </c>
      <c r="B3594" t="s">
        <v>1334</v>
      </c>
      <c r="C3594" t="s">
        <v>6961</v>
      </c>
      <c r="D3594" t="s">
        <v>18162</v>
      </c>
      <c r="E3594" t="s">
        <v>21426</v>
      </c>
      <c r="F3594" t="s">
        <v>31362</v>
      </c>
      <c r="G3594" t="s">
        <v>31368</v>
      </c>
      <c r="H3594" t="s">
        <v>15799</v>
      </c>
      <c r="I3594" t="s">
        <v>31392</v>
      </c>
      <c r="J3594" t="s">
        <v>31564</v>
      </c>
      <c r="K3594" t="s">
        <v>40666</v>
      </c>
      <c r="M3594" t="s">
        <v>42352</v>
      </c>
      <c r="N3594" t="s">
        <v>44905</v>
      </c>
      <c r="O3594" t="s">
        <v>44906</v>
      </c>
      <c r="P3594">
        <v>0</v>
      </c>
      <c r="Q3594">
        <v>0</v>
      </c>
      <c r="R3594" t="s">
        <v>44908</v>
      </c>
      <c r="S3594" t="s">
        <v>45042</v>
      </c>
      <c r="T3594" t="s">
        <v>46404</v>
      </c>
      <c r="U3594" t="s">
        <v>49873</v>
      </c>
      <c r="V3594" t="s">
        <v>59422</v>
      </c>
      <c r="W3594" t="s">
        <v>42352</v>
      </c>
      <c r="X3594" t="s">
        <v>44909</v>
      </c>
    </row>
    <row r="3595" spans="1:24">
      <c r="A3595">
        <f>HYPERLINK("https://www.philgeps.gov.ph/GEPSNONPILOT/Tender/SplashBidNoticeAbstractUI.aspx?menuIndex=3&amp;refID=7080159&amp;Result=3","7080159")</f>
        <v>0</v>
      </c>
      <c r="B3595" t="s">
        <v>521</v>
      </c>
      <c r="C3595" t="s">
        <v>6962</v>
      </c>
      <c r="D3595" t="s">
        <v>18107</v>
      </c>
      <c r="E3595" t="s">
        <v>21427</v>
      </c>
      <c r="F3595" t="s">
        <v>31362</v>
      </c>
      <c r="G3595" t="s">
        <v>31368</v>
      </c>
      <c r="H3595" t="s">
        <v>15799</v>
      </c>
      <c r="I3595" t="s">
        <v>31380</v>
      </c>
      <c r="J3595" t="s">
        <v>33058</v>
      </c>
      <c r="K3595" t="s">
        <v>40661</v>
      </c>
      <c r="M3595" t="s">
        <v>41477</v>
      </c>
      <c r="N3595" t="s">
        <v>44905</v>
      </c>
      <c r="O3595" t="s">
        <v>44906</v>
      </c>
      <c r="P3595">
        <v>0</v>
      </c>
      <c r="Q3595">
        <v>0</v>
      </c>
      <c r="R3595" t="s">
        <v>44908</v>
      </c>
      <c r="S3595" t="s">
        <v>45042</v>
      </c>
      <c r="T3595" t="s">
        <v>46432</v>
      </c>
      <c r="U3595" t="s">
        <v>49874</v>
      </c>
      <c r="W3595" t="s">
        <v>60857</v>
      </c>
      <c r="X3595" t="s">
        <v>44909</v>
      </c>
    </row>
    <row r="3596" spans="1:24">
      <c r="A3596">
        <f>HYPERLINK("https://www.philgeps.gov.ph/GEPSNONPILOT/Tender/SplashBidNoticeAbstractUI.aspx?menuIndex=3&amp;refID=7080158&amp;Result=3","7080158")</f>
        <v>0</v>
      </c>
      <c r="B3596" t="s">
        <v>1164</v>
      </c>
      <c r="C3596" t="s">
        <v>6963</v>
      </c>
      <c r="D3596" t="s">
        <v>18111</v>
      </c>
      <c r="E3596" t="s">
        <v>20971</v>
      </c>
      <c r="F3596" t="s">
        <v>31362</v>
      </c>
      <c r="G3596" t="s">
        <v>31370</v>
      </c>
      <c r="H3596" t="s">
        <v>15799</v>
      </c>
      <c r="I3596" t="s">
        <v>7188</v>
      </c>
      <c r="J3596" t="s">
        <v>31768</v>
      </c>
      <c r="K3596" t="s">
        <v>40670</v>
      </c>
      <c r="M3596" t="s">
        <v>42174</v>
      </c>
      <c r="N3596" t="s">
        <v>44905</v>
      </c>
      <c r="O3596" t="s">
        <v>44906</v>
      </c>
      <c r="P3596">
        <v>0</v>
      </c>
      <c r="Q3596">
        <v>1</v>
      </c>
      <c r="R3596" t="s">
        <v>44908</v>
      </c>
      <c r="S3596" t="s">
        <v>45042</v>
      </c>
      <c r="T3596" t="s">
        <v>46414</v>
      </c>
      <c r="U3596" t="s">
        <v>49454</v>
      </c>
      <c r="W3596" t="s">
        <v>42174</v>
      </c>
      <c r="X3596" t="s">
        <v>44909</v>
      </c>
    </row>
    <row r="3597" spans="1:24">
      <c r="A3597">
        <f>HYPERLINK("https://www.philgeps.gov.ph/GEPSNONPILOT/Tender/SplashBidNoticeAbstractUI.aspx?menuIndex=3&amp;refID=7080157&amp;Result=3","7080157")</f>
        <v>0</v>
      </c>
      <c r="B3597" t="s">
        <v>1335</v>
      </c>
      <c r="C3597" t="s">
        <v>6964</v>
      </c>
      <c r="D3597" t="s">
        <v>18110</v>
      </c>
      <c r="E3597" t="s">
        <v>18467</v>
      </c>
      <c r="F3597" t="s">
        <v>31362</v>
      </c>
      <c r="G3597" t="s">
        <v>31368</v>
      </c>
      <c r="H3597" t="s">
        <v>15799</v>
      </c>
      <c r="I3597" t="s">
        <v>31390</v>
      </c>
      <c r="J3597" t="s">
        <v>31915</v>
      </c>
      <c r="K3597" t="s">
        <v>40661</v>
      </c>
      <c r="M3597" t="s">
        <v>42353</v>
      </c>
      <c r="N3597" t="s">
        <v>44905</v>
      </c>
      <c r="O3597" t="s">
        <v>44906</v>
      </c>
      <c r="P3597">
        <v>0</v>
      </c>
      <c r="Q3597">
        <v>1</v>
      </c>
      <c r="R3597" t="s">
        <v>44908</v>
      </c>
      <c r="S3597" t="s">
        <v>45042</v>
      </c>
      <c r="T3597" t="s">
        <v>46427</v>
      </c>
      <c r="U3597" t="s">
        <v>49875</v>
      </c>
      <c r="W3597" t="s">
        <v>42353</v>
      </c>
      <c r="X3597" t="s">
        <v>44909</v>
      </c>
    </row>
    <row r="3598" spans="1:24">
      <c r="A3598">
        <f>HYPERLINK("https://www.philgeps.gov.ph/GEPSNONPILOT/Tender/SplashBidNoticeAbstractUI.aspx?menuIndex=3&amp;refID=7080079&amp;Result=3","7080079")</f>
        <v>0</v>
      </c>
      <c r="B3598" t="s">
        <v>1063</v>
      </c>
      <c r="C3598" t="s">
        <v>6965</v>
      </c>
      <c r="D3598" t="s">
        <v>18177</v>
      </c>
      <c r="E3598" t="s">
        <v>21428</v>
      </c>
      <c r="F3598" t="s">
        <v>31362</v>
      </c>
      <c r="G3598" t="s">
        <v>31370</v>
      </c>
      <c r="H3598" t="s">
        <v>15799</v>
      </c>
      <c r="I3598" t="s">
        <v>3815</v>
      </c>
      <c r="J3598" t="s">
        <v>33910</v>
      </c>
      <c r="K3598" t="s">
        <v>40693</v>
      </c>
      <c r="M3598" t="s">
        <v>42065</v>
      </c>
      <c r="N3598" t="s">
        <v>44905</v>
      </c>
      <c r="O3598" t="s">
        <v>44906</v>
      </c>
      <c r="P3598">
        <v>0</v>
      </c>
      <c r="Q3598">
        <v>0</v>
      </c>
      <c r="R3598" t="s">
        <v>44908</v>
      </c>
      <c r="S3598" t="s">
        <v>45042</v>
      </c>
      <c r="T3598" t="s">
        <v>46414</v>
      </c>
      <c r="U3598" t="s">
        <v>49876</v>
      </c>
      <c r="W3598" t="s">
        <v>42065</v>
      </c>
      <c r="X3598" t="s">
        <v>44909</v>
      </c>
    </row>
    <row r="3599" spans="1:24">
      <c r="A3599">
        <f>HYPERLINK("https://www.philgeps.gov.ph/GEPSNONPILOT/Tender/SplashBidNoticeAbstractUI.aspx?menuIndex=3&amp;refID=7080193&amp;Result=3","7080193")</f>
        <v>0</v>
      </c>
      <c r="B3599" t="s">
        <v>534</v>
      </c>
      <c r="C3599" t="s">
        <v>6966</v>
      </c>
      <c r="D3599" t="s">
        <v>18131</v>
      </c>
      <c r="E3599" t="s">
        <v>21429</v>
      </c>
      <c r="F3599" t="s">
        <v>31362</v>
      </c>
      <c r="G3599" t="s">
        <v>31368</v>
      </c>
      <c r="H3599" t="s">
        <v>15799</v>
      </c>
      <c r="I3599" t="s">
        <v>31387</v>
      </c>
      <c r="J3599" t="s">
        <v>33911</v>
      </c>
      <c r="K3599" t="s">
        <v>40670</v>
      </c>
      <c r="M3599" t="s">
        <v>41490</v>
      </c>
      <c r="N3599" t="s">
        <v>44905</v>
      </c>
      <c r="O3599" t="s">
        <v>44906</v>
      </c>
      <c r="P3599">
        <v>0</v>
      </c>
      <c r="Q3599">
        <v>0</v>
      </c>
      <c r="R3599" t="s">
        <v>44908</v>
      </c>
      <c r="S3599" t="s">
        <v>45042</v>
      </c>
      <c r="T3599" t="s">
        <v>46400</v>
      </c>
      <c r="U3599" t="s">
        <v>49877</v>
      </c>
      <c r="W3599" t="s">
        <v>41490</v>
      </c>
      <c r="X3599" t="s">
        <v>44909</v>
      </c>
    </row>
    <row r="3600" spans="1:24">
      <c r="A3600">
        <f>HYPERLINK("https://www.philgeps.gov.ph/GEPSNONPILOT/Tender/SplashBidNoticeAbstractUI.aspx?menuIndex=3&amp;refID=7080191&amp;Result=3","7080191")</f>
        <v>0</v>
      </c>
      <c r="B3600" t="s">
        <v>791</v>
      </c>
      <c r="C3600" t="s">
        <v>6967</v>
      </c>
      <c r="D3600" t="s">
        <v>18108</v>
      </c>
      <c r="E3600" t="s">
        <v>21430</v>
      </c>
      <c r="F3600" t="s">
        <v>31362</v>
      </c>
      <c r="G3600" t="s">
        <v>31368</v>
      </c>
      <c r="H3600" t="s">
        <v>15799</v>
      </c>
      <c r="I3600" t="s">
        <v>31422</v>
      </c>
      <c r="J3600" t="s">
        <v>33912</v>
      </c>
      <c r="K3600" t="s">
        <v>40662</v>
      </c>
      <c r="M3600" t="s">
        <v>41761</v>
      </c>
      <c r="N3600" t="s">
        <v>44905</v>
      </c>
      <c r="O3600" t="s">
        <v>44906</v>
      </c>
      <c r="P3600">
        <v>0</v>
      </c>
      <c r="Q3600">
        <v>11</v>
      </c>
      <c r="R3600" t="s">
        <v>44908</v>
      </c>
      <c r="S3600" t="s">
        <v>45042</v>
      </c>
      <c r="T3600" t="s">
        <v>46399</v>
      </c>
      <c r="U3600" t="s">
        <v>49878</v>
      </c>
      <c r="V3600" t="s">
        <v>59151</v>
      </c>
      <c r="W3600" t="s">
        <v>41761</v>
      </c>
      <c r="X3600" t="s">
        <v>44909</v>
      </c>
    </row>
    <row r="3601" spans="1:24">
      <c r="A3601">
        <f>HYPERLINK("https://www.philgeps.gov.ph/GEPSNONPILOT/Tender/SplashBidNoticeAbstractUI.aspx?menuIndex=3&amp;refID=7080161&amp;Result=3","7080161")</f>
        <v>0</v>
      </c>
      <c r="B3601" t="s">
        <v>661</v>
      </c>
      <c r="C3601" t="s">
        <v>6968</v>
      </c>
      <c r="D3601" t="s">
        <v>18110</v>
      </c>
      <c r="E3601" t="s">
        <v>21431</v>
      </c>
      <c r="F3601" t="s">
        <v>31362</v>
      </c>
      <c r="G3601" t="s">
        <v>31369</v>
      </c>
      <c r="H3601" t="s">
        <v>15799</v>
      </c>
      <c r="I3601" t="s">
        <v>31384</v>
      </c>
      <c r="J3601" t="s">
        <v>33913</v>
      </c>
      <c r="K3601" t="s">
        <v>40661</v>
      </c>
      <c r="M3601" t="s">
        <v>41623</v>
      </c>
      <c r="N3601" t="s">
        <v>44905</v>
      </c>
      <c r="O3601" t="s">
        <v>44906</v>
      </c>
      <c r="P3601">
        <v>0</v>
      </c>
      <c r="Q3601">
        <v>7</v>
      </c>
      <c r="R3601" t="s">
        <v>44908</v>
      </c>
      <c r="S3601" t="s">
        <v>45042</v>
      </c>
      <c r="T3601" t="s">
        <v>46553</v>
      </c>
      <c r="U3601" t="s">
        <v>49879</v>
      </c>
      <c r="W3601" t="s">
        <v>41623</v>
      </c>
      <c r="X3601" t="s">
        <v>44909</v>
      </c>
    </row>
    <row r="3602" spans="1:24">
      <c r="A3602">
        <f>HYPERLINK("https://www.philgeps.gov.ph/GEPSNONPILOT/Tender/SplashBidNoticeAbstractUI.aspx?menuIndex=3&amp;refID=7080190&amp;Result=3","7080190")</f>
        <v>0</v>
      </c>
      <c r="B3602" t="s">
        <v>585</v>
      </c>
      <c r="C3602" t="s">
        <v>6969</v>
      </c>
      <c r="D3602" t="s">
        <v>18100</v>
      </c>
      <c r="E3602" t="s">
        <v>21432</v>
      </c>
      <c r="F3602" t="s">
        <v>31362</v>
      </c>
      <c r="G3602" t="s">
        <v>31368</v>
      </c>
      <c r="H3602" t="s">
        <v>15799</v>
      </c>
      <c r="I3602" t="s">
        <v>6240</v>
      </c>
      <c r="J3602" t="s">
        <v>33914</v>
      </c>
      <c r="K3602" t="s">
        <v>40662</v>
      </c>
      <c r="M3602" t="s">
        <v>41542</v>
      </c>
      <c r="N3602" t="s">
        <v>44905</v>
      </c>
      <c r="O3602" t="s">
        <v>44906</v>
      </c>
      <c r="P3602">
        <v>0</v>
      </c>
      <c r="Q3602">
        <v>0</v>
      </c>
      <c r="R3602" t="s">
        <v>44908</v>
      </c>
      <c r="S3602" t="s">
        <v>45042</v>
      </c>
      <c r="T3602" t="s">
        <v>46444</v>
      </c>
      <c r="U3602" t="s">
        <v>49538</v>
      </c>
      <c r="W3602" t="s">
        <v>41542</v>
      </c>
      <c r="X3602" t="s">
        <v>44909</v>
      </c>
    </row>
    <row r="3603" spans="1:24">
      <c r="A3603">
        <f>HYPERLINK("https://www.philgeps.gov.ph/GEPSNONPILOT/Tender/SplashBidNoticeAbstractUI.aspx?menuIndex=3&amp;refID=7080188&amp;Result=3","7080188")</f>
        <v>0</v>
      </c>
      <c r="B3603" t="s">
        <v>1336</v>
      </c>
      <c r="C3603" t="s">
        <v>6970</v>
      </c>
      <c r="D3603" t="s">
        <v>18154</v>
      </c>
      <c r="E3603" t="s">
        <v>21433</v>
      </c>
      <c r="F3603" t="s">
        <v>31362</v>
      </c>
      <c r="G3603" t="s">
        <v>31369</v>
      </c>
      <c r="H3603" t="s">
        <v>15799</v>
      </c>
      <c r="I3603" t="s">
        <v>7188</v>
      </c>
      <c r="J3603" t="s">
        <v>31536</v>
      </c>
      <c r="K3603" t="s">
        <v>40662</v>
      </c>
      <c r="M3603" t="s">
        <v>42354</v>
      </c>
      <c r="N3603" t="s">
        <v>44905</v>
      </c>
      <c r="O3603" t="s">
        <v>44906</v>
      </c>
      <c r="P3603">
        <v>0</v>
      </c>
      <c r="Q3603">
        <v>2</v>
      </c>
      <c r="R3603" t="s">
        <v>44908</v>
      </c>
      <c r="S3603" t="s">
        <v>45042</v>
      </c>
      <c r="T3603" t="s">
        <v>46415</v>
      </c>
      <c r="U3603" t="s">
        <v>49880</v>
      </c>
      <c r="W3603" t="s">
        <v>42354</v>
      </c>
      <c r="X3603" t="s">
        <v>44909</v>
      </c>
    </row>
    <row r="3604" spans="1:24">
      <c r="A3604">
        <f>HYPERLINK("https://www.philgeps.gov.ph/GEPSNONPILOT/Tender/SplashBidNoticeAbstractUI.aspx?menuIndex=3&amp;refID=7080170&amp;Result=3","7080170")</f>
        <v>0</v>
      </c>
      <c r="B3604" t="s">
        <v>416</v>
      </c>
      <c r="C3604" t="s">
        <v>6971</v>
      </c>
      <c r="D3604" t="s">
        <v>18169</v>
      </c>
      <c r="E3604" t="s">
        <v>21434</v>
      </c>
      <c r="F3604" t="s">
        <v>31362</v>
      </c>
      <c r="G3604" t="s">
        <v>31369</v>
      </c>
      <c r="H3604" t="s">
        <v>31378</v>
      </c>
      <c r="I3604" t="s">
        <v>31386</v>
      </c>
      <c r="J3604" t="s">
        <v>33653</v>
      </c>
      <c r="K3604" t="s">
        <v>40718</v>
      </c>
      <c r="M3604" t="s">
        <v>41366</v>
      </c>
      <c r="N3604" t="s">
        <v>44905</v>
      </c>
      <c r="O3604" t="s">
        <v>44906</v>
      </c>
      <c r="P3604">
        <v>0</v>
      </c>
      <c r="Q3604">
        <v>0</v>
      </c>
      <c r="R3604" t="s">
        <v>44908</v>
      </c>
      <c r="S3604" t="s">
        <v>45042</v>
      </c>
      <c r="T3604" t="s">
        <v>46570</v>
      </c>
      <c r="U3604" t="s">
        <v>49881</v>
      </c>
      <c r="V3604" t="s">
        <v>59423</v>
      </c>
      <c r="W3604" t="s">
        <v>41366</v>
      </c>
      <c r="X3604" t="s">
        <v>44909</v>
      </c>
    </row>
    <row r="3605" spans="1:24">
      <c r="A3605">
        <f>HYPERLINK("https://www.philgeps.gov.ph/GEPSNONPILOT/Tender/SplashBidNoticeAbstractUI.aspx?menuIndex=3&amp;refID=7080187&amp;Result=3","7080187")</f>
        <v>0</v>
      </c>
      <c r="B3605" t="s">
        <v>1270</v>
      </c>
      <c r="C3605" t="s">
        <v>6972</v>
      </c>
      <c r="D3605" t="s">
        <v>18157</v>
      </c>
      <c r="E3605" t="s">
        <v>21435</v>
      </c>
      <c r="F3605" t="s">
        <v>31362</v>
      </c>
      <c r="G3605" t="s">
        <v>31368</v>
      </c>
      <c r="H3605" t="s">
        <v>15799</v>
      </c>
      <c r="I3605" t="s">
        <v>4057</v>
      </c>
      <c r="J3605" t="s">
        <v>33915</v>
      </c>
      <c r="K3605" t="s">
        <v>40698</v>
      </c>
      <c r="M3605" t="s">
        <v>42287</v>
      </c>
      <c r="N3605" t="s">
        <v>44905</v>
      </c>
      <c r="O3605" t="s">
        <v>44906</v>
      </c>
      <c r="P3605">
        <v>0</v>
      </c>
      <c r="Q3605">
        <v>0</v>
      </c>
      <c r="R3605" t="s">
        <v>44908</v>
      </c>
      <c r="S3605" t="s">
        <v>45042</v>
      </c>
      <c r="T3605" t="s">
        <v>46404</v>
      </c>
      <c r="U3605" t="s">
        <v>49706</v>
      </c>
      <c r="W3605" t="s">
        <v>42287</v>
      </c>
      <c r="X3605" t="s">
        <v>44909</v>
      </c>
    </row>
    <row r="3606" spans="1:24">
      <c r="A3606">
        <f>HYPERLINK("https://www.philgeps.gov.ph/GEPSNONPILOT/Tender/SplashBidNoticeAbstractUI.aspx?menuIndex=3&amp;refID=7080186&amp;Result=3","7080186")</f>
        <v>0</v>
      </c>
      <c r="B3606" t="s">
        <v>461</v>
      </c>
      <c r="C3606" t="s">
        <v>6973</v>
      </c>
      <c r="D3606" t="s">
        <v>18112</v>
      </c>
      <c r="E3606" t="s">
        <v>21436</v>
      </c>
      <c r="F3606" t="s">
        <v>31362</v>
      </c>
      <c r="G3606" t="s">
        <v>31368</v>
      </c>
      <c r="H3606" t="s">
        <v>15799</v>
      </c>
      <c r="I3606" t="s">
        <v>31384</v>
      </c>
      <c r="J3606" t="s">
        <v>33916</v>
      </c>
      <c r="K3606" t="s">
        <v>40677</v>
      </c>
      <c r="M3606" t="s">
        <v>42355</v>
      </c>
      <c r="N3606" t="s">
        <v>44905</v>
      </c>
      <c r="O3606" t="s">
        <v>44906</v>
      </c>
      <c r="P3606">
        <v>0</v>
      </c>
      <c r="Q3606">
        <v>5</v>
      </c>
      <c r="R3606" t="s">
        <v>44908</v>
      </c>
      <c r="S3606" t="s">
        <v>45042</v>
      </c>
      <c r="T3606" t="s">
        <v>46462</v>
      </c>
      <c r="U3606" t="s">
        <v>49882</v>
      </c>
      <c r="W3606" t="s">
        <v>42355</v>
      </c>
      <c r="X3606" t="s">
        <v>44909</v>
      </c>
    </row>
    <row r="3607" spans="1:24">
      <c r="A3607">
        <f>HYPERLINK("https://www.philgeps.gov.ph/GEPSNONPILOT/Tender/SplashBidNoticeAbstractUI.aspx?menuIndex=3&amp;refID=7080192&amp;Result=3","7080192")</f>
        <v>0</v>
      </c>
      <c r="B3607" t="s">
        <v>1322</v>
      </c>
      <c r="C3607" t="s">
        <v>6974</v>
      </c>
      <c r="D3607" t="s">
        <v>18125</v>
      </c>
      <c r="E3607" t="s">
        <v>21437</v>
      </c>
      <c r="F3607" t="s">
        <v>31362</v>
      </c>
      <c r="G3607" t="s">
        <v>31369</v>
      </c>
      <c r="H3607" t="s">
        <v>31378</v>
      </c>
      <c r="I3607" t="s">
        <v>31386</v>
      </c>
      <c r="J3607" t="s">
        <v>33482</v>
      </c>
      <c r="K3607" t="s">
        <v>40694</v>
      </c>
      <c r="M3607" t="s">
        <v>42340</v>
      </c>
      <c r="N3607" t="s">
        <v>44905</v>
      </c>
      <c r="O3607" t="s">
        <v>44906</v>
      </c>
      <c r="P3607">
        <v>0</v>
      </c>
      <c r="Q3607">
        <v>0</v>
      </c>
      <c r="R3607" t="s">
        <v>44908</v>
      </c>
      <c r="S3607" t="s">
        <v>45042</v>
      </c>
      <c r="T3607" t="s">
        <v>46419</v>
      </c>
      <c r="U3607" t="s">
        <v>49883</v>
      </c>
      <c r="W3607" t="s">
        <v>42340</v>
      </c>
      <c r="X3607" t="s">
        <v>44909</v>
      </c>
    </row>
    <row r="3608" spans="1:24">
      <c r="A3608">
        <f>HYPERLINK("https://www.philgeps.gov.ph/GEPSNONPILOT/Tender/SplashBidNoticeAbstractUI.aspx?menuIndex=3&amp;refID=7080183&amp;Result=3","7080183")</f>
        <v>0</v>
      </c>
      <c r="B3608" t="s">
        <v>1337</v>
      </c>
      <c r="C3608" t="s">
        <v>6975</v>
      </c>
      <c r="D3608" t="s">
        <v>18155</v>
      </c>
      <c r="E3608" t="s">
        <v>21438</v>
      </c>
      <c r="F3608" t="s">
        <v>31362</v>
      </c>
      <c r="G3608" t="s">
        <v>31368</v>
      </c>
      <c r="H3608" t="s">
        <v>15799</v>
      </c>
      <c r="I3608" t="s">
        <v>7188</v>
      </c>
      <c r="J3608" t="s">
        <v>31530</v>
      </c>
      <c r="K3608" t="s">
        <v>40672</v>
      </c>
      <c r="M3608" t="s">
        <v>42356</v>
      </c>
      <c r="N3608" t="s">
        <v>44905</v>
      </c>
      <c r="O3608" t="s">
        <v>44906</v>
      </c>
      <c r="P3608">
        <v>0</v>
      </c>
      <c r="Q3608">
        <v>5</v>
      </c>
      <c r="R3608" t="s">
        <v>44908</v>
      </c>
      <c r="S3608" t="s">
        <v>45042</v>
      </c>
      <c r="T3608" t="s">
        <v>46650</v>
      </c>
      <c r="U3608" t="s">
        <v>49884</v>
      </c>
      <c r="W3608" t="s">
        <v>42356</v>
      </c>
      <c r="X3608" t="s">
        <v>44909</v>
      </c>
    </row>
    <row r="3609" spans="1:24">
      <c r="A3609">
        <f>HYPERLINK("https://www.philgeps.gov.ph/GEPSNONPILOT/Tender/SplashBidNoticeAbstractUI.aspx?menuIndex=3&amp;refID=7080189&amp;Result=3","7080189")</f>
        <v>0</v>
      </c>
      <c r="B3609" t="s">
        <v>1224</v>
      </c>
      <c r="C3609" t="s">
        <v>6976</v>
      </c>
      <c r="D3609" t="s">
        <v>18133</v>
      </c>
      <c r="E3609" t="s">
        <v>21439</v>
      </c>
      <c r="F3609" t="s">
        <v>31362</v>
      </c>
      <c r="G3609" t="s">
        <v>31368</v>
      </c>
      <c r="H3609" t="s">
        <v>15799</v>
      </c>
      <c r="I3609" t="s">
        <v>31380</v>
      </c>
      <c r="J3609" t="s">
        <v>33917</v>
      </c>
      <c r="K3609" t="s">
        <v>40666</v>
      </c>
      <c r="M3609" t="s">
        <v>42238</v>
      </c>
      <c r="N3609" t="s">
        <v>44905</v>
      </c>
      <c r="O3609" t="s">
        <v>44906</v>
      </c>
      <c r="P3609">
        <v>0</v>
      </c>
      <c r="Q3609">
        <v>4</v>
      </c>
      <c r="R3609" t="s">
        <v>44908</v>
      </c>
      <c r="S3609" t="s">
        <v>45042</v>
      </c>
      <c r="T3609" t="s">
        <v>46408</v>
      </c>
      <c r="U3609" t="s">
        <v>49885</v>
      </c>
      <c r="W3609" t="s">
        <v>42238</v>
      </c>
      <c r="X3609" t="s">
        <v>44909</v>
      </c>
    </row>
    <row r="3610" spans="1:24">
      <c r="A3610">
        <f>HYPERLINK("https://www.philgeps.gov.ph/GEPSNONPILOT/Tender/SplashBidNoticeAbstractUI.aspx?menuIndex=3&amp;refID=7080160&amp;Result=3","7080160")</f>
        <v>0</v>
      </c>
      <c r="B3610" t="s">
        <v>1338</v>
      </c>
      <c r="C3610" t="s">
        <v>6977</v>
      </c>
      <c r="D3610" t="s">
        <v>18143</v>
      </c>
      <c r="E3610" t="s">
        <v>21440</v>
      </c>
      <c r="F3610" t="s">
        <v>31362</v>
      </c>
      <c r="G3610" t="s">
        <v>31369</v>
      </c>
      <c r="H3610" t="s">
        <v>15799</v>
      </c>
      <c r="I3610" t="s">
        <v>31387</v>
      </c>
      <c r="J3610" t="s">
        <v>32246</v>
      </c>
      <c r="K3610" t="s">
        <v>40675</v>
      </c>
      <c r="M3610" t="s">
        <v>42357</v>
      </c>
      <c r="N3610" t="s">
        <v>44905</v>
      </c>
      <c r="O3610" t="s">
        <v>44906</v>
      </c>
      <c r="P3610">
        <v>0</v>
      </c>
      <c r="Q3610">
        <v>0</v>
      </c>
      <c r="R3610" t="s">
        <v>44908</v>
      </c>
      <c r="S3610" t="s">
        <v>45042</v>
      </c>
      <c r="T3610" t="s">
        <v>46651</v>
      </c>
      <c r="U3610" t="s">
        <v>49886</v>
      </c>
      <c r="W3610" t="s">
        <v>42357</v>
      </c>
      <c r="X3610" t="s">
        <v>44909</v>
      </c>
    </row>
    <row r="3611" spans="1:24">
      <c r="A3611">
        <f>HYPERLINK("https://www.philgeps.gov.ph/GEPSNONPILOT/Tender/SplashBidNoticeAbstractUI.aspx?menuIndex=3&amp;refID=7080182&amp;Result=3","7080182")</f>
        <v>0</v>
      </c>
      <c r="B3611" t="s">
        <v>1339</v>
      </c>
      <c r="C3611" t="s">
        <v>6978</v>
      </c>
      <c r="D3611" t="s">
        <v>18169</v>
      </c>
      <c r="E3611" t="s">
        <v>21441</v>
      </c>
      <c r="F3611" t="s">
        <v>31362</v>
      </c>
      <c r="G3611" t="s">
        <v>31368</v>
      </c>
      <c r="H3611" t="s">
        <v>15799</v>
      </c>
      <c r="I3611" t="s">
        <v>31421</v>
      </c>
      <c r="J3611" t="s">
        <v>33918</v>
      </c>
      <c r="K3611" t="s">
        <v>40661</v>
      </c>
      <c r="M3611" t="s">
        <v>42358</v>
      </c>
      <c r="N3611" t="s">
        <v>44905</v>
      </c>
      <c r="O3611" t="s">
        <v>44906</v>
      </c>
      <c r="P3611">
        <v>0</v>
      </c>
      <c r="Q3611">
        <v>0</v>
      </c>
      <c r="R3611" t="s">
        <v>44908</v>
      </c>
      <c r="S3611" t="s">
        <v>45042</v>
      </c>
      <c r="T3611" t="s">
        <v>46432</v>
      </c>
      <c r="U3611" t="s">
        <v>49887</v>
      </c>
      <c r="W3611" t="s">
        <v>42358</v>
      </c>
      <c r="X3611" t="s">
        <v>44909</v>
      </c>
    </row>
    <row r="3612" spans="1:24">
      <c r="A3612">
        <f>HYPERLINK("https://www.philgeps.gov.ph/GEPSNONPILOT/Tender/SplashBidNoticeAbstractUI.aspx?menuIndex=3&amp;refID=7080179&amp;Result=3","7080179")</f>
        <v>0</v>
      </c>
      <c r="B3612" t="s">
        <v>534</v>
      </c>
      <c r="C3612" t="s">
        <v>6979</v>
      </c>
      <c r="D3612" t="s">
        <v>18131</v>
      </c>
      <c r="E3612" t="s">
        <v>21442</v>
      </c>
      <c r="F3612" t="s">
        <v>31362</v>
      </c>
      <c r="G3612" t="s">
        <v>31368</v>
      </c>
      <c r="H3612" t="s">
        <v>15799</v>
      </c>
      <c r="I3612" t="s">
        <v>31385</v>
      </c>
      <c r="J3612" t="s">
        <v>32436</v>
      </c>
      <c r="K3612" t="s">
        <v>40670</v>
      </c>
      <c r="M3612" t="s">
        <v>41490</v>
      </c>
      <c r="N3612" t="s">
        <v>44905</v>
      </c>
      <c r="O3612" t="s">
        <v>44906</v>
      </c>
      <c r="P3612">
        <v>0</v>
      </c>
      <c r="Q3612">
        <v>1</v>
      </c>
      <c r="R3612" t="s">
        <v>44908</v>
      </c>
      <c r="S3612" t="s">
        <v>45042</v>
      </c>
      <c r="T3612" t="s">
        <v>46406</v>
      </c>
      <c r="U3612" t="s">
        <v>49888</v>
      </c>
      <c r="W3612" t="s">
        <v>41490</v>
      </c>
      <c r="X3612" t="s">
        <v>44909</v>
      </c>
    </row>
    <row r="3613" spans="1:24">
      <c r="A3613">
        <f>HYPERLINK("https://www.philgeps.gov.ph/GEPSNONPILOT/Tender/SplashBidNoticeAbstractUI.aspx?menuIndex=3&amp;refID=7080178&amp;Result=3","7080178")</f>
        <v>0</v>
      </c>
      <c r="B3613" t="s">
        <v>600</v>
      </c>
      <c r="C3613" t="s">
        <v>6980</v>
      </c>
      <c r="D3613" t="s">
        <v>18125</v>
      </c>
      <c r="E3613" t="s">
        <v>21443</v>
      </c>
      <c r="F3613" t="s">
        <v>31367</v>
      </c>
      <c r="G3613" t="s">
        <v>31368</v>
      </c>
      <c r="H3613" t="s">
        <v>15799</v>
      </c>
      <c r="I3613" t="s">
        <v>7090</v>
      </c>
      <c r="J3613" t="s">
        <v>33919</v>
      </c>
      <c r="K3613" t="s">
        <v>40666</v>
      </c>
      <c r="M3613" t="s">
        <v>41557</v>
      </c>
      <c r="N3613" t="s">
        <v>44905</v>
      </c>
      <c r="O3613" t="s">
        <v>44906</v>
      </c>
      <c r="P3613">
        <v>0</v>
      </c>
      <c r="Q3613">
        <v>0</v>
      </c>
      <c r="R3613" t="s">
        <v>44908</v>
      </c>
      <c r="S3613" t="s">
        <v>45042</v>
      </c>
      <c r="T3613" t="s">
        <v>46493</v>
      </c>
      <c r="U3613" t="s">
        <v>49889</v>
      </c>
      <c r="W3613" t="s">
        <v>41557</v>
      </c>
      <c r="X3613" t="s">
        <v>44909</v>
      </c>
    </row>
    <row r="3614" spans="1:24">
      <c r="A3614">
        <f>HYPERLINK("https://www.philgeps.gov.ph/GEPSNONPILOT/Tender/SplashBidNoticeAbstractUI.aspx?menuIndex=3&amp;refID=7080177&amp;Result=3","7080177")</f>
        <v>0</v>
      </c>
      <c r="B3614" t="s">
        <v>1340</v>
      </c>
      <c r="C3614" t="s">
        <v>6981</v>
      </c>
      <c r="D3614" t="s">
        <v>18134</v>
      </c>
      <c r="E3614" t="s">
        <v>21444</v>
      </c>
      <c r="F3614" t="s">
        <v>31363</v>
      </c>
      <c r="G3614" t="s">
        <v>31369</v>
      </c>
      <c r="H3614" t="s">
        <v>15799</v>
      </c>
      <c r="I3614" t="s">
        <v>3815</v>
      </c>
      <c r="J3614" t="s">
        <v>33920</v>
      </c>
      <c r="K3614" t="s">
        <v>40670</v>
      </c>
      <c r="M3614" t="s">
        <v>42359</v>
      </c>
      <c r="N3614" t="s">
        <v>44905</v>
      </c>
      <c r="O3614" t="s">
        <v>44906</v>
      </c>
      <c r="P3614">
        <v>0</v>
      </c>
      <c r="Q3614">
        <v>0</v>
      </c>
      <c r="R3614" t="s">
        <v>44908</v>
      </c>
      <c r="S3614" t="s">
        <v>45042</v>
      </c>
      <c r="T3614" t="s">
        <v>46401</v>
      </c>
      <c r="U3614" t="s">
        <v>49890</v>
      </c>
      <c r="V3614" t="s">
        <v>54965</v>
      </c>
      <c r="W3614" t="s">
        <v>42359</v>
      </c>
      <c r="X3614" t="s">
        <v>44909</v>
      </c>
    </row>
    <row r="3615" spans="1:24">
      <c r="A3615">
        <f>HYPERLINK("https://www.philgeps.gov.ph/GEPSNONPILOT/Tender/SplashBidNoticeAbstractUI.aspx?menuIndex=3&amp;refID=7080175&amp;Result=3","7080175")</f>
        <v>0</v>
      </c>
      <c r="B3615" t="s">
        <v>1341</v>
      </c>
      <c r="C3615" t="s">
        <v>6982</v>
      </c>
      <c r="D3615" t="s">
        <v>18107</v>
      </c>
      <c r="E3615" t="s">
        <v>6982</v>
      </c>
      <c r="F3615" t="s">
        <v>31362</v>
      </c>
      <c r="G3615" t="s">
        <v>31369</v>
      </c>
      <c r="H3615" t="s">
        <v>15799</v>
      </c>
      <c r="I3615" t="s">
        <v>31409</v>
      </c>
      <c r="J3615" t="s">
        <v>33921</v>
      </c>
      <c r="K3615" t="s">
        <v>40686</v>
      </c>
      <c r="M3615" t="s">
        <v>42360</v>
      </c>
      <c r="N3615" t="s">
        <v>44905</v>
      </c>
      <c r="O3615" t="s">
        <v>44906</v>
      </c>
      <c r="P3615">
        <v>0</v>
      </c>
      <c r="Q3615">
        <v>6</v>
      </c>
      <c r="R3615" t="s">
        <v>44908</v>
      </c>
      <c r="S3615" t="s">
        <v>45042</v>
      </c>
      <c r="T3615" t="s">
        <v>46652</v>
      </c>
      <c r="U3615" t="s">
        <v>49891</v>
      </c>
      <c r="W3615" t="s">
        <v>42360</v>
      </c>
      <c r="X3615" t="s">
        <v>44909</v>
      </c>
    </row>
    <row r="3616" spans="1:24">
      <c r="A3616">
        <f>HYPERLINK("https://www.philgeps.gov.ph/GEPSNONPILOT/Tender/SplashBidNoticeAbstractUI.aspx?menuIndex=3&amp;refID=7080174&amp;Result=3","7080174")</f>
        <v>0</v>
      </c>
      <c r="B3616" t="s">
        <v>401</v>
      </c>
      <c r="C3616" t="s">
        <v>6983</v>
      </c>
      <c r="D3616" t="s">
        <v>18132</v>
      </c>
      <c r="E3616" t="s">
        <v>21445</v>
      </c>
      <c r="F3616" t="s">
        <v>31362</v>
      </c>
      <c r="G3616" t="s">
        <v>31369</v>
      </c>
      <c r="H3616" t="s">
        <v>15799</v>
      </c>
      <c r="I3616" t="s">
        <v>3815</v>
      </c>
      <c r="J3616" t="s">
        <v>33922</v>
      </c>
      <c r="K3616" t="s">
        <v>40666</v>
      </c>
      <c r="M3616" t="s">
        <v>41351</v>
      </c>
      <c r="N3616" t="s">
        <v>44905</v>
      </c>
      <c r="O3616" t="s">
        <v>44906</v>
      </c>
      <c r="P3616">
        <v>0</v>
      </c>
      <c r="Q3616">
        <v>0</v>
      </c>
      <c r="R3616" t="s">
        <v>44908</v>
      </c>
      <c r="S3616" t="s">
        <v>45042</v>
      </c>
      <c r="T3616" t="s">
        <v>46463</v>
      </c>
      <c r="U3616" t="s">
        <v>49892</v>
      </c>
      <c r="W3616" t="s">
        <v>41351</v>
      </c>
      <c r="X3616" t="s">
        <v>44909</v>
      </c>
    </row>
    <row r="3617" spans="1:24">
      <c r="A3617">
        <f>HYPERLINK("https://www.philgeps.gov.ph/GEPSNONPILOT/Tender/SplashBidNoticeAbstractUI.aspx?menuIndex=3&amp;refID=7080173&amp;Result=3","7080173")</f>
        <v>0</v>
      </c>
      <c r="B3617" t="s">
        <v>1334</v>
      </c>
      <c r="C3617" t="s">
        <v>6984</v>
      </c>
      <c r="D3617" t="s">
        <v>18162</v>
      </c>
      <c r="E3617" t="s">
        <v>21446</v>
      </c>
      <c r="F3617" t="s">
        <v>31362</v>
      </c>
      <c r="G3617" t="s">
        <v>31368</v>
      </c>
      <c r="H3617" t="s">
        <v>15799</v>
      </c>
      <c r="I3617" t="s">
        <v>31469</v>
      </c>
      <c r="J3617" t="s">
        <v>31545</v>
      </c>
      <c r="K3617" t="s">
        <v>40666</v>
      </c>
      <c r="M3617" t="s">
        <v>42352</v>
      </c>
      <c r="N3617" t="s">
        <v>44905</v>
      </c>
      <c r="O3617" t="s">
        <v>44906</v>
      </c>
      <c r="P3617">
        <v>0</v>
      </c>
      <c r="Q3617">
        <v>1</v>
      </c>
      <c r="R3617" t="s">
        <v>44908</v>
      </c>
      <c r="S3617" t="s">
        <v>45042</v>
      </c>
      <c r="T3617" t="s">
        <v>46506</v>
      </c>
      <c r="U3617" t="s">
        <v>49893</v>
      </c>
      <c r="V3617" t="s">
        <v>59422</v>
      </c>
      <c r="W3617" t="s">
        <v>42352</v>
      </c>
      <c r="X3617" t="s">
        <v>44909</v>
      </c>
    </row>
    <row r="3618" spans="1:24">
      <c r="A3618">
        <f>HYPERLINK("https://www.philgeps.gov.ph/GEPSNONPILOT/Tender/SplashBidNoticeAbstractUI.aspx?menuIndex=3&amp;refID=7080156&amp;Result=3","7080156")</f>
        <v>0</v>
      </c>
      <c r="B3618" t="s">
        <v>1342</v>
      </c>
      <c r="C3618" t="s">
        <v>6985</v>
      </c>
      <c r="D3618" t="s">
        <v>18108</v>
      </c>
      <c r="E3618" t="s">
        <v>21447</v>
      </c>
      <c r="F3618" t="s">
        <v>31362</v>
      </c>
      <c r="G3618" t="s">
        <v>31369</v>
      </c>
      <c r="H3618" t="s">
        <v>15799</v>
      </c>
      <c r="I3618" t="s">
        <v>31400</v>
      </c>
      <c r="J3618" t="s">
        <v>33923</v>
      </c>
      <c r="K3618" t="s">
        <v>40672</v>
      </c>
      <c r="M3618" t="s">
        <v>42361</v>
      </c>
      <c r="N3618" t="s">
        <v>44905</v>
      </c>
      <c r="O3618" t="s">
        <v>44906</v>
      </c>
      <c r="P3618">
        <v>0</v>
      </c>
      <c r="Q3618">
        <v>2</v>
      </c>
      <c r="R3618" t="s">
        <v>44908</v>
      </c>
      <c r="S3618" t="s">
        <v>45042</v>
      </c>
      <c r="T3618" t="s">
        <v>46483</v>
      </c>
      <c r="U3618" t="s">
        <v>49894</v>
      </c>
      <c r="W3618" t="s">
        <v>42361</v>
      </c>
      <c r="X3618" t="s">
        <v>44909</v>
      </c>
    </row>
    <row r="3619" spans="1:24">
      <c r="A3619">
        <f>HYPERLINK("https://www.philgeps.gov.ph/GEPSNONPILOT/Tender/SplashBidNoticeAbstractUI.aspx?menuIndex=3&amp;refID=7080181&amp;Result=3","7080181")</f>
        <v>0</v>
      </c>
      <c r="B3619" t="s">
        <v>1343</v>
      </c>
      <c r="C3619" t="s">
        <v>6986</v>
      </c>
      <c r="D3619" t="s">
        <v>18136</v>
      </c>
      <c r="E3619" t="s">
        <v>21448</v>
      </c>
      <c r="F3619" t="s">
        <v>31362</v>
      </c>
      <c r="G3619" t="s">
        <v>31368</v>
      </c>
      <c r="H3619" t="s">
        <v>15799</v>
      </c>
      <c r="I3619" t="s">
        <v>31383</v>
      </c>
      <c r="J3619" t="s">
        <v>33924</v>
      </c>
      <c r="K3619" t="s">
        <v>40665</v>
      </c>
      <c r="M3619" t="s">
        <v>42362</v>
      </c>
      <c r="N3619" t="s">
        <v>44905</v>
      </c>
      <c r="O3619" t="s">
        <v>44906</v>
      </c>
      <c r="P3619">
        <v>0</v>
      </c>
      <c r="Q3619">
        <v>0</v>
      </c>
      <c r="R3619" t="s">
        <v>44908</v>
      </c>
      <c r="S3619" t="s">
        <v>45042</v>
      </c>
      <c r="T3619" t="s">
        <v>46432</v>
      </c>
      <c r="U3619" t="s">
        <v>49895</v>
      </c>
      <c r="W3619" t="s">
        <v>42362</v>
      </c>
      <c r="X3619" t="s">
        <v>44909</v>
      </c>
    </row>
    <row r="3620" spans="1:24">
      <c r="A3620">
        <f>HYPERLINK("https://www.philgeps.gov.ph/GEPSNONPILOT/Tender/SplashBidNoticeAbstractUI.aspx?menuIndex=3&amp;refID=7080162&amp;Result=3","7080162")</f>
        <v>0</v>
      </c>
      <c r="B3620" t="s">
        <v>1344</v>
      </c>
      <c r="C3620" t="s">
        <v>6987</v>
      </c>
      <c r="D3620" t="s">
        <v>18118</v>
      </c>
      <c r="E3620" t="s">
        <v>21449</v>
      </c>
      <c r="F3620" t="s">
        <v>31362</v>
      </c>
      <c r="G3620" t="s">
        <v>31368</v>
      </c>
      <c r="H3620" t="s">
        <v>15799</v>
      </c>
      <c r="I3620" t="s">
        <v>31475</v>
      </c>
      <c r="J3620" t="s">
        <v>31530</v>
      </c>
      <c r="K3620" t="s">
        <v>40666</v>
      </c>
      <c r="M3620" t="s">
        <v>42363</v>
      </c>
      <c r="N3620" t="s">
        <v>44905</v>
      </c>
      <c r="O3620" t="s">
        <v>44906</v>
      </c>
      <c r="P3620">
        <v>0</v>
      </c>
      <c r="Q3620">
        <v>2</v>
      </c>
      <c r="R3620" t="s">
        <v>44908</v>
      </c>
      <c r="S3620" t="s">
        <v>45042</v>
      </c>
      <c r="T3620" t="s">
        <v>46432</v>
      </c>
      <c r="U3620" t="s">
        <v>49896</v>
      </c>
      <c r="W3620" t="s">
        <v>42363</v>
      </c>
      <c r="X3620" t="s">
        <v>44909</v>
      </c>
    </row>
    <row r="3621" spans="1:24">
      <c r="A3621">
        <f>HYPERLINK("https://www.philgeps.gov.ph/GEPSNONPILOT/Tender/SplashBidNoticeAbstractUI.aspx?menuIndex=3&amp;refID=7080152&amp;Result=3","7080152")</f>
        <v>0</v>
      </c>
      <c r="B3621" t="s">
        <v>1045</v>
      </c>
      <c r="C3621" t="s">
        <v>6988</v>
      </c>
      <c r="D3621" t="s">
        <v>18134</v>
      </c>
      <c r="E3621" t="s">
        <v>21450</v>
      </c>
      <c r="F3621" t="s">
        <v>31362</v>
      </c>
      <c r="G3621" t="s">
        <v>31368</v>
      </c>
      <c r="H3621" t="s">
        <v>15799</v>
      </c>
      <c r="I3621" t="s">
        <v>3582</v>
      </c>
      <c r="J3621" t="s">
        <v>31575</v>
      </c>
      <c r="K3621" t="s">
        <v>40672</v>
      </c>
      <c r="M3621" t="s">
        <v>42044</v>
      </c>
      <c r="N3621" t="s">
        <v>44905</v>
      </c>
      <c r="O3621" t="s">
        <v>44906</v>
      </c>
      <c r="P3621">
        <v>0</v>
      </c>
      <c r="Q3621">
        <v>0</v>
      </c>
      <c r="R3621" t="s">
        <v>44908</v>
      </c>
      <c r="S3621" t="s">
        <v>45042</v>
      </c>
      <c r="T3621" t="s">
        <v>46393</v>
      </c>
      <c r="U3621" t="s">
        <v>49897</v>
      </c>
      <c r="W3621" t="s">
        <v>42044</v>
      </c>
      <c r="X3621" t="s">
        <v>44909</v>
      </c>
    </row>
    <row r="3622" spans="1:24">
      <c r="A3622">
        <f>HYPERLINK("https://www.philgeps.gov.ph/GEPSNONPILOT/Tender/SplashBidNoticeAbstractUI.aspx?menuIndex=3&amp;refID=7080151&amp;Result=3","7080151")</f>
        <v>0</v>
      </c>
      <c r="B3622" t="s">
        <v>401</v>
      </c>
      <c r="C3622" t="s">
        <v>6989</v>
      </c>
      <c r="D3622" t="s">
        <v>18132</v>
      </c>
      <c r="E3622" t="s">
        <v>21451</v>
      </c>
      <c r="F3622" t="s">
        <v>31362</v>
      </c>
      <c r="G3622" t="s">
        <v>31369</v>
      </c>
      <c r="H3622" t="s">
        <v>15799</v>
      </c>
      <c r="I3622" t="s">
        <v>3815</v>
      </c>
      <c r="J3622" t="s">
        <v>33925</v>
      </c>
      <c r="K3622" t="s">
        <v>40666</v>
      </c>
      <c r="M3622" t="s">
        <v>41351</v>
      </c>
      <c r="N3622" t="s">
        <v>44905</v>
      </c>
      <c r="O3622" t="s">
        <v>44906</v>
      </c>
      <c r="P3622">
        <v>0</v>
      </c>
      <c r="Q3622">
        <v>0</v>
      </c>
      <c r="R3622" t="s">
        <v>44908</v>
      </c>
      <c r="S3622" t="s">
        <v>45042</v>
      </c>
      <c r="T3622" t="s">
        <v>46463</v>
      </c>
      <c r="U3622" t="s">
        <v>49892</v>
      </c>
      <c r="W3622" t="s">
        <v>41351</v>
      </c>
      <c r="X3622" t="s">
        <v>44909</v>
      </c>
    </row>
    <row r="3623" spans="1:24">
      <c r="A3623">
        <f>HYPERLINK("https://www.philgeps.gov.ph/GEPSNONPILOT/Tender/SplashBidNoticeAbstractUI.aspx?menuIndex=3&amp;refID=7080185&amp;Result=3","7080185")</f>
        <v>0</v>
      </c>
      <c r="B3623" t="s">
        <v>1223</v>
      </c>
      <c r="C3623" t="s">
        <v>6990</v>
      </c>
      <c r="D3623" t="s">
        <v>18126</v>
      </c>
      <c r="E3623" t="s">
        <v>21452</v>
      </c>
      <c r="F3623" t="s">
        <v>31362</v>
      </c>
      <c r="G3623" t="s">
        <v>31370</v>
      </c>
      <c r="H3623" t="s">
        <v>15799</v>
      </c>
      <c r="I3623" t="s">
        <v>31387</v>
      </c>
      <c r="J3623" t="s">
        <v>33926</v>
      </c>
      <c r="K3623" t="s">
        <v>40693</v>
      </c>
      <c r="M3623" t="s">
        <v>42237</v>
      </c>
      <c r="N3623" t="s">
        <v>44905</v>
      </c>
      <c r="O3623" t="s">
        <v>44906</v>
      </c>
      <c r="P3623">
        <v>0</v>
      </c>
      <c r="Q3623">
        <v>0</v>
      </c>
      <c r="R3623" t="s">
        <v>44908</v>
      </c>
      <c r="S3623" t="s">
        <v>45042</v>
      </c>
      <c r="T3623" t="s">
        <v>46409</v>
      </c>
      <c r="U3623" t="s">
        <v>49898</v>
      </c>
      <c r="W3623" t="s">
        <v>42237</v>
      </c>
      <c r="X3623" t="s">
        <v>44909</v>
      </c>
    </row>
    <row r="3624" spans="1:24">
      <c r="A3624">
        <f>HYPERLINK("https://www.philgeps.gov.ph/GEPSNONPILOT/Tender/SplashBidNoticeAbstractUI.aspx?menuIndex=3&amp;refID=7080184&amp;Result=3","7080184")</f>
        <v>0</v>
      </c>
      <c r="B3624" t="s">
        <v>130</v>
      </c>
      <c r="C3624" t="s">
        <v>6991</v>
      </c>
      <c r="D3624" t="s">
        <v>18109</v>
      </c>
      <c r="E3624" t="s">
        <v>6991</v>
      </c>
      <c r="F3624" t="s">
        <v>31362</v>
      </c>
      <c r="G3624" t="s">
        <v>31368</v>
      </c>
      <c r="H3624" t="s">
        <v>15799</v>
      </c>
      <c r="I3624" t="s">
        <v>3815</v>
      </c>
      <c r="J3624" t="s">
        <v>33927</v>
      </c>
      <c r="K3624" t="s">
        <v>40662</v>
      </c>
      <c r="M3624" t="s">
        <v>41067</v>
      </c>
      <c r="N3624" t="s">
        <v>44905</v>
      </c>
      <c r="O3624" t="s">
        <v>44906</v>
      </c>
      <c r="P3624">
        <v>0</v>
      </c>
      <c r="Q3624">
        <v>0</v>
      </c>
      <c r="R3624" t="s">
        <v>44908</v>
      </c>
      <c r="S3624" t="s">
        <v>45042</v>
      </c>
      <c r="T3624" t="s">
        <v>46394</v>
      </c>
      <c r="U3624" t="s">
        <v>49899</v>
      </c>
      <c r="W3624" t="s">
        <v>41067</v>
      </c>
      <c r="X3624" t="s">
        <v>44909</v>
      </c>
    </row>
    <row r="3625" spans="1:24">
      <c r="A3625">
        <f>HYPERLINK("https://www.philgeps.gov.ph/GEPSNONPILOT/Tender/SplashBidNoticeAbstractUI.aspx?menuIndex=3&amp;refID=7080058&amp;Result=3","7080058")</f>
        <v>0</v>
      </c>
      <c r="B3625" t="s">
        <v>1345</v>
      </c>
      <c r="C3625" t="s">
        <v>6992</v>
      </c>
      <c r="D3625" t="s">
        <v>18172</v>
      </c>
      <c r="E3625" t="s">
        <v>21453</v>
      </c>
      <c r="F3625" t="s">
        <v>31362</v>
      </c>
      <c r="G3625" t="s">
        <v>31369</v>
      </c>
      <c r="H3625" t="s">
        <v>15799</v>
      </c>
      <c r="I3625" t="s">
        <v>3815</v>
      </c>
      <c r="J3625" t="s">
        <v>33928</v>
      </c>
      <c r="K3625" t="s">
        <v>40666</v>
      </c>
      <c r="L3625" t="s">
        <v>1345</v>
      </c>
      <c r="M3625" t="s">
        <v>42364</v>
      </c>
      <c r="N3625" t="s">
        <v>44905</v>
      </c>
      <c r="O3625" t="s">
        <v>44906</v>
      </c>
      <c r="P3625">
        <v>0</v>
      </c>
      <c r="Q3625">
        <v>0</v>
      </c>
      <c r="R3625" t="s">
        <v>44908</v>
      </c>
      <c r="S3625" t="s">
        <v>45042</v>
      </c>
      <c r="T3625" t="s">
        <v>46504</v>
      </c>
      <c r="U3625" t="s">
        <v>49900</v>
      </c>
      <c r="W3625" t="s">
        <v>42364</v>
      </c>
      <c r="X3625" t="s">
        <v>44909</v>
      </c>
    </row>
    <row r="3626" spans="1:24">
      <c r="A3626">
        <f>HYPERLINK("https://www.philgeps.gov.ph/GEPSNONPILOT/Tender/SplashBidNoticeAbstractUI.aspx?menuIndex=3&amp;refID=7080056&amp;Result=3","7080056")</f>
        <v>0</v>
      </c>
      <c r="B3626" t="s">
        <v>1302</v>
      </c>
      <c r="C3626" t="s">
        <v>6993</v>
      </c>
      <c r="D3626" t="s">
        <v>18108</v>
      </c>
      <c r="E3626" t="s">
        <v>21454</v>
      </c>
      <c r="F3626" t="s">
        <v>31362</v>
      </c>
      <c r="G3626" t="s">
        <v>31369</v>
      </c>
      <c r="H3626" t="s">
        <v>15799</v>
      </c>
      <c r="I3626" t="s">
        <v>6373</v>
      </c>
      <c r="J3626" t="s">
        <v>33929</v>
      </c>
      <c r="K3626" t="s">
        <v>40665</v>
      </c>
      <c r="M3626" t="s">
        <v>42320</v>
      </c>
      <c r="N3626" t="s">
        <v>44905</v>
      </c>
      <c r="O3626" t="s">
        <v>44906</v>
      </c>
      <c r="P3626">
        <v>0</v>
      </c>
      <c r="Q3626">
        <v>3</v>
      </c>
      <c r="R3626" t="s">
        <v>44908</v>
      </c>
      <c r="S3626" t="s">
        <v>45042</v>
      </c>
      <c r="T3626" t="s">
        <v>46396</v>
      </c>
      <c r="U3626" t="s">
        <v>49901</v>
      </c>
      <c r="W3626" t="s">
        <v>42320</v>
      </c>
      <c r="X3626" t="s">
        <v>44909</v>
      </c>
    </row>
    <row r="3627" spans="1:24">
      <c r="A3627">
        <f>HYPERLINK("https://www.philgeps.gov.ph/GEPSNONPILOT/Tender/SplashBidNoticeAbstractUI.aspx?menuIndex=3&amp;refID=7080154&amp;Result=3","7080154")</f>
        <v>0</v>
      </c>
      <c r="B3627" t="s">
        <v>1330</v>
      </c>
      <c r="C3627" t="s">
        <v>6994</v>
      </c>
      <c r="D3627" t="s">
        <v>18105</v>
      </c>
      <c r="E3627" t="s">
        <v>21455</v>
      </c>
      <c r="F3627" t="s">
        <v>31362</v>
      </c>
      <c r="G3627" t="s">
        <v>31371</v>
      </c>
      <c r="H3627" t="s">
        <v>15799</v>
      </c>
      <c r="I3627" t="s">
        <v>31393</v>
      </c>
      <c r="J3627" t="s">
        <v>31578</v>
      </c>
      <c r="K3627" t="s">
        <v>40666</v>
      </c>
      <c r="M3627" t="s">
        <v>42348</v>
      </c>
      <c r="N3627" t="s">
        <v>44905</v>
      </c>
      <c r="O3627" t="s">
        <v>44906</v>
      </c>
      <c r="P3627">
        <v>0</v>
      </c>
      <c r="Q3627">
        <v>1</v>
      </c>
      <c r="R3627" t="s">
        <v>44908</v>
      </c>
      <c r="S3627" t="s">
        <v>45042</v>
      </c>
      <c r="T3627" t="s">
        <v>46393</v>
      </c>
      <c r="U3627" t="s">
        <v>49902</v>
      </c>
      <c r="W3627" t="s">
        <v>42348</v>
      </c>
      <c r="X3627" t="s">
        <v>44909</v>
      </c>
    </row>
    <row r="3628" spans="1:24">
      <c r="A3628">
        <f>HYPERLINK("https://www.philgeps.gov.ph/GEPSNONPILOT/Tender/SplashBidNoticeAbstractUI.aspx?menuIndex=3&amp;refID=7080053&amp;Result=3","7080053")</f>
        <v>0</v>
      </c>
      <c r="B3628" t="s">
        <v>1033</v>
      </c>
      <c r="C3628" t="s">
        <v>6995</v>
      </c>
      <c r="D3628" t="s">
        <v>18162</v>
      </c>
      <c r="E3628" t="s">
        <v>21456</v>
      </c>
      <c r="F3628" t="s">
        <v>31362</v>
      </c>
      <c r="G3628" t="s">
        <v>31369</v>
      </c>
      <c r="H3628" t="s">
        <v>15799</v>
      </c>
      <c r="I3628" t="s">
        <v>31385</v>
      </c>
      <c r="J3628" t="s">
        <v>33930</v>
      </c>
      <c r="K3628" t="s">
        <v>40670</v>
      </c>
      <c r="M3628" t="s">
        <v>42032</v>
      </c>
      <c r="N3628" t="s">
        <v>44905</v>
      </c>
      <c r="O3628" t="s">
        <v>44906</v>
      </c>
      <c r="P3628">
        <v>0</v>
      </c>
      <c r="Q3628">
        <v>0</v>
      </c>
      <c r="R3628" t="s">
        <v>44908</v>
      </c>
      <c r="S3628" t="s">
        <v>45042</v>
      </c>
      <c r="T3628" t="s">
        <v>46430</v>
      </c>
      <c r="U3628" t="s">
        <v>49903</v>
      </c>
      <c r="W3628" t="s">
        <v>42032</v>
      </c>
      <c r="X3628" t="s">
        <v>44909</v>
      </c>
    </row>
    <row r="3629" spans="1:24">
      <c r="A3629">
        <f>HYPERLINK("https://www.philgeps.gov.ph/GEPSNONPILOT/Tender/SplashBidNoticeAbstractUI.aspx?menuIndex=3&amp;refID=7080038&amp;Result=3","7080038")</f>
        <v>0</v>
      </c>
      <c r="B3629" t="s">
        <v>1058</v>
      </c>
      <c r="C3629" t="s">
        <v>6185</v>
      </c>
      <c r="D3629" t="s">
        <v>18104</v>
      </c>
      <c r="E3629" t="s">
        <v>21457</v>
      </c>
      <c r="F3629" t="s">
        <v>31362</v>
      </c>
      <c r="G3629" t="s">
        <v>31370</v>
      </c>
      <c r="H3629" t="s">
        <v>15799</v>
      </c>
      <c r="I3629" t="s">
        <v>6373</v>
      </c>
      <c r="J3629" t="s">
        <v>33931</v>
      </c>
      <c r="K3629" t="s">
        <v>40670</v>
      </c>
      <c r="M3629" t="s">
        <v>42059</v>
      </c>
      <c r="N3629" t="s">
        <v>44905</v>
      </c>
      <c r="O3629" t="s">
        <v>44906</v>
      </c>
      <c r="P3629">
        <v>0</v>
      </c>
      <c r="Q3629">
        <v>0</v>
      </c>
      <c r="R3629" t="s">
        <v>44908</v>
      </c>
      <c r="S3629" t="s">
        <v>45042</v>
      </c>
      <c r="T3629" t="s">
        <v>46447</v>
      </c>
      <c r="U3629" t="s">
        <v>49904</v>
      </c>
      <c r="W3629" t="s">
        <v>42059</v>
      </c>
      <c r="X3629" t="s">
        <v>44909</v>
      </c>
    </row>
    <row r="3630" spans="1:24">
      <c r="A3630">
        <f>HYPERLINK("https://www.philgeps.gov.ph/GEPSNONPILOT/Tender/SplashBidNoticeAbstractUI.aspx?menuIndex=3&amp;refID=7080037&amp;Result=3","7080037")</f>
        <v>0</v>
      </c>
      <c r="B3630" t="s">
        <v>1164</v>
      </c>
      <c r="C3630" t="s">
        <v>6996</v>
      </c>
      <c r="D3630" t="s">
        <v>18111</v>
      </c>
      <c r="E3630" t="s">
        <v>21358</v>
      </c>
      <c r="F3630" t="s">
        <v>31362</v>
      </c>
      <c r="G3630" t="s">
        <v>31370</v>
      </c>
      <c r="H3630" t="s">
        <v>15799</v>
      </c>
      <c r="I3630" t="s">
        <v>31385</v>
      </c>
      <c r="J3630" t="s">
        <v>33932</v>
      </c>
      <c r="K3630" t="s">
        <v>40670</v>
      </c>
      <c r="M3630" t="s">
        <v>42174</v>
      </c>
      <c r="N3630" t="s">
        <v>44905</v>
      </c>
      <c r="O3630" t="s">
        <v>44906</v>
      </c>
      <c r="P3630">
        <v>0</v>
      </c>
      <c r="Q3630">
        <v>1</v>
      </c>
      <c r="R3630" t="s">
        <v>44908</v>
      </c>
      <c r="S3630" t="s">
        <v>45042</v>
      </c>
      <c r="T3630" t="s">
        <v>46414</v>
      </c>
      <c r="U3630" t="s">
        <v>49454</v>
      </c>
      <c r="W3630" t="s">
        <v>42174</v>
      </c>
      <c r="X3630" t="s">
        <v>44909</v>
      </c>
    </row>
    <row r="3631" spans="1:24">
      <c r="A3631">
        <f>HYPERLINK("https://www.philgeps.gov.ph/GEPSNONPILOT/Tender/SplashBidNoticeAbstractUI.aspx?menuIndex=3&amp;refID=7080033&amp;Result=3","7080033")</f>
        <v>0</v>
      </c>
      <c r="B3631" t="s">
        <v>1070</v>
      </c>
      <c r="C3631" t="s">
        <v>6997</v>
      </c>
      <c r="D3631" t="s">
        <v>18138</v>
      </c>
      <c r="E3631" t="s">
        <v>21458</v>
      </c>
      <c r="F3631" t="s">
        <v>31362</v>
      </c>
      <c r="G3631" t="s">
        <v>31369</v>
      </c>
      <c r="H3631" t="s">
        <v>31377</v>
      </c>
      <c r="I3631" t="s">
        <v>31377</v>
      </c>
      <c r="J3631" t="s">
        <v>33933</v>
      </c>
      <c r="K3631" t="s">
        <v>40677</v>
      </c>
      <c r="M3631" t="s">
        <v>42072</v>
      </c>
      <c r="N3631" t="s">
        <v>44905</v>
      </c>
      <c r="O3631" t="s">
        <v>44906</v>
      </c>
      <c r="P3631">
        <v>0</v>
      </c>
      <c r="Q3631">
        <v>2</v>
      </c>
      <c r="R3631" t="s">
        <v>44908</v>
      </c>
      <c r="S3631" t="s">
        <v>45042</v>
      </c>
      <c r="T3631" t="s">
        <v>46653</v>
      </c>
      <c r="U3631" t="s">
        <v>49905</v>
      </c>
      <c r="W3631" t="s">
        <v>42072</v>
      </c>
      <c r="X3631" t="s">
        <v>44909</v>
      </c>
    </row>
    <row r="3632" spans="1:24">
      <c r="A3632">
        <f>HYPERLINK("https://www.philgeps.gov.ph/GEPSNONPILOT/Tender/SplashBidNoticeAbstractUI.aspx?menuIndex=3&amp;refID=7080150&amp;Result=3","7080150")</f>
        <v>0</v>
      </c>
      <c r="B3632" t="s">
        <v>35</v>
      </c>
      <c r="C3632" t="s">
        <v>6998</v>
      </c>
      <c r="D3632" t="s">
        <v>18108</v>
      </c>
      <c r="E3632" t="s">
        <v>21459</v>
      </c>
      <c r="F3632" t="s">
        <v>31362</v>
      </c>
      <c r="G3632" t="s">
        <v>31368</v>
      </c>
      <c r="H3632" t="s">
        <v>15799</v>
      </c>
      <c r="I3632" t="s">
        <v>31393</v>
      </c>
      <c r="J3632" t="s">
        <v>32952</v>
      </c>
      <c r="K3632" t="s">
        <v>40662</v>
      </c>
      <c r="M3632" t="s">
        <v>42365</v>
      </c>
      <c r="N3632" t="s">
        <v>44905</v>
      </c>
      <c r="O3632" t="s">
        <v>44906</v>
      </c>
      <c r="P3632">
        <v>0</v>
      </c>
      <c r="Q3632">
        <v>5</v>
      </c>
      <c r="R3632" t="s">
        <v>44908</v>
      </c>
      <c r="S3632" t="s">
        <v>45042</v>
      </c>
      <c r="T3632" t="s">
        <v>46534</v>
      </c>
      <c r="U3632" t="s">
        <v>49906</v>
      </c>
      <c r="V3632" t="s">
        <v>59424</v>
      </c>
      <c r="W3632" t="s">
        <v>42365</v>
      </c>
      <c r="X3632" t="s">
        <v>44909</v>
      </c>
    </row>
    <row r="3633" spans="1:24">
      <c r="A3633">
        <f>HYPERLINK("https://www.philgeps.gov.ph/GEPSNONPILOT/Tender/SplashBidNoticeAbstractUI.aspx?menuIndex=3&amp;refID=7080149&amp;Result=3","7080149")</f>
        <v>0</v>
      </c>
      <c r="B3633" t="s">
        <v>611</v>
      </c>
      <c r="C3633" t="s">
        <v>6999</v>
      </c>
      <c r="D3633" t="s">
        <v>18148</v>
      </c>
      <c r="E3633" t="s">
        <v>21460</v>
      </c>
      <c r="F3633" t="s">
        <v>31362</v>
      </c>
      <c r="G3633" t="s">
        <v>31370</v>
      </c>
      <c r="H3633" t="s">
        <v>15799</v>
      </c>
      <c r="I3633" t="s">
        <v>4942</v>
      </c>
      <c r="J3633" t="s">
        <v>33934</v>
      </c>
      <c r="K3633" t="s">
        <v>40662</v>
      </c>
      <c r="M3633" t="s">
        <v>41569</v>
      </c>
      <c r="N3633" t="s">
        <v>44905</v>
      </c>
      <c r="O3633" t="s">
        <v>44906</v>
      </c>
      <c r="P3633">
        <v>0</v>
      </c>
      <c r="Q3633">
        <v>0</v>
      </c>
      <c r="R3633" t="s">
        <v>44908</v>
      </c>
      <c r="S3633" t="s">
        <v>45042</v>
      </c>
      <c r="T3633" t="s">
        <v>46411</v>
      </c>
      <c r="U3633" t="s">
        <v>49907</v>
      </c>
      <c r="W3633" t="s">
        <v>41569</v>
      </c>
      <c r="X3633" t="s">
        <v>44909</v>
      </c>
    </row>
    <row r="3634" spans="1:24">
      <c r="A3634">
        <f>HYPERLINK("https://www.philgeps.gov.ph/GEPSNONPILOT/Tender/SplashBidNoticeAbstractUI.aspx?menuIndex=3&amp;refID=7080036&amp;Result=3","7080036")</f>
        <v>0</v>
      </c>
      <c r="B3634" t="s">
        <v>782</v>
      </c>
      <c r="C3634" t="s">
        <v>7000</v>
      </c>
      <c r="D3634" t="s">
        <v>18125</v>
      </c>
      <c r="E3634" t="s">
        <v>18464</v>
      </c>
      <c r="F3634" t="s">
        <v>31362</v>
      </c>
      <c r="G3634" t="s">
        <v>31371</v>
      </c>
      <c r="H3634" t="s">
        <v>15799</v>
      </c>
      <c r="I3634" t="s">
        <v>31421</v>
      </c>
      <c r="J3634" t="s">
        <v>31855</v>
      </c>
      <c r="K3634" t="s">
        <v>40662</v>
      </c>
      <c r="M3634" t="s">
        <v>41750</v>
      </c>
      <c r="N3634" t="s">
        <v>44905</v>
      </c>
      <c r="O3634" t="s">
        <v>44906</v>
      </c>
      <c r="P3634">
        <v>0</v>
      </c>
      <c r="Q3634">
        <v>1</v>
      </c>
      <c r="R3634" t="s">
        <v>44908</v>
      </c>
      <c r="S3634" t="s">
        <v>45042</v>
      </c>
      <c r="T3634" t="s">
        <v>46454</v>
      </c>
      <c r="U3634" t="s">
        <v>49908</v>
      </c>
      <c r="W3634" t="s">
        <v>41750</v>
      </c>
      <c r="X3634" t="s">
        <v>44909</v>
      </c>
    </row>
    <row r="3635" spans="1:24">
      <c r="A3635">
        <f>HYPERLINK("https://www.philgeps.gov.ph/GEPSNONPILOT/Tender/SplashBidNoticeAbstractUI.aspx?menuIndex=3&amp;refID=7080057&amp;Result=3","7080057")</f>
        <v>0</v>
      </c>
      <c r="B3635" t="s">
        <v>1261</v>
      </c>
      <c r="C3635" t="s">
        <v>7001</v>
      </c>
      <c r="D3635" t="s">
        <v>18113</v>
      </c>
      <c r="E3635" t="s">
        <v>21461</v>
      </c>
      <c r="F3635" t="s">
        <v>31362</v>
      </c>
      <c r="G3635" t="s">
        <v>31369</v>
      </c>
      <c r="H3635" t="s">
        <v>15799</v>
      </c>
      <c r="I3635" t="s">
        <v>31430</v>
      </c>
      <c r="J3635" t="s">
        <v>33935</v>
      </c>
      <c r="K3635" t="s">
        <v>40665</v>
      </c>
      <c r="M3635" t="s">
        <v>42277</v>
      </c>
      <c r="N3635" t="s">
        <v>44905</v>
      </c>
      <c r="O3635" t="s">
        <v>44906</v>
      </c>
      <c r="P3635">
        <v>0</v>
      </c>
      <c r="Q3635">
        <v>0</v>
      </c>
      <c r="R3635" t="s">
        <v>44908</v>
      </c>
      <c r="S3635" t="s">
        <v>45042</v>
      </c>
      <c r="T3635" t="s">
        <v>46611</v>
      </c>
      <c r="U3635" t="s">
        <v>49909</v>
      </c>
      <c r="W3635" t="s">
        <v>42277</v>
      </c>
      <c r="X3635" t="s">
        <v>44909</v>
      </c>
    </row>
    <row r="3636" spans="1:24">
      <c r="A3636">
        <f>HYPERLINK("https://www.philgeps.gov.ph/GEPSNONPILOT/Tender/SplashBidNoticeAbstractUI.aspx?menuIndex=3&amp;refID=7080034&amp;Result=3","7080034")</f>
        <v>0</v>
      </c>
      <c r="B3636" t="s">
        <v>1033</v>
      </c>
      <c r="C3636" t="s">
        <v>7002</v>
      </c>
      <c r="D3636" t="s">
        <v>18162</v>
      </c>
      <c r="E3636" t="s">
        <v>21462</v>
      </c>
      <c r="F3636" t="s">
        <v>31362</v>
      </c>
      <c r="G3636" t="s">
        <v>31369</v>
      </c>
      <c r="H3636" t="s">
        <v>15799</v>
      </c>
      <c r="I3636" t="s">
        <v>31385</v>
      </c>
      <c r="J3636" t="s">
        <v>33936</v>
      </c>
      <c r="K3636" t="s">
        <v>40670</v>
      </c>
      <c r="M3636" t="s">
        <v>42032</v>
      </c>
      <c r="N3636" t="s">
        <v>44905</v>
      </c>
      <c r="O3636" t="s">
        <v>44906</v>
      </c>
      <c r="P3636">
        <v>0</v>
      </c>
      <c r="Q3636">
        <v>0</v>
      </c>
      <c r="R3636" t="s">
        <v>44908</v>
      </c>
      <c r="S3636" t="s">
        <v>45042</v>
      </c>
      <c r="T3636" t="s">
        <v>46430</v>
      </c>
      <c r="U3636" t="s">
        <v>49910</v>
      </c>
      <c r="W3636" t="s">
        <v>42032</v>
      </c>
      <c r="X3636" t="s">
        <v>44909</v>
      </c>
    </row>
    <row r="3637" spans="1:24">
      <c r="A3637">
        <f>HYPERLINK("https://www.philgeps.gov.ph/GEPSNONPILOT/Tender/SplashBidNoticeAbstractUI.aspx?menuIndex=3&amp;refID=7080211&amp;Result=3","7080211")</f>
        <v>0</v>
      </c>
      <c r="B3637" t="s">
        <v>1045</v>
      </c>
      <c r="C3637" t="s">
        <v>7003</v>
      </c>
      <c r="D3637" t="s">
        <v>18134</v>
      </c>
      <c r="E3637" t="s">
        <v>21463</v>
      </c>
      <c r="F3637" t="s">
        <v>31362</v>
      </c>
      <c r="G3637" t="s">
        <v>31368</v>
      </c>
      <c r="H3637" t="s">
        <v>15799</v>
      </c>
      <c r="I3637" t="s">
        <v>7188</v>
      </c>
      <c r="J3637" t="s">
        <v>31546</v>
      </c>
      <c r="K3637" t="s">
        <v>40672</v>
      </c>
      <c r="M3637" t="s">
        <v>42044</v>
      </c>
      <c r="N3637" t="s">
        <v>44905</v>
      </c>
      <c r="O3637" t="s">
        <v>44906</v>
      </c>
      <c r="P3637">
        <v>0</v>
      </c>
      <c r="Q3637">
        <v>1</v>
      </c>
      <c r="R3637" t="s">
        <v>44908</v>
      </c>
      <c r="S3637" t="s">
        <v>45042</v>
      </c>
      <c r="T3637" t="s">
        <v>46447</v>
      </c>
      <c r="U3637" t="s">
        <v>49911</v>
      </c>
      <c r="W3637" t="s">
        <v>42044</v>
      </c>
      <c r="X3637" t="s">
        <v>44909</v>
      </c>
    </row>
    <row r="3638" spans="1:24">
      <c r="A3638">
        <f>HYPERLINK("https://www.philgeps.gov.ph/GEPSNONPILOT/Tender/SplashBidNoticeAbstractUI.aspx?menuIndex=3&amp;refID=7080216&amp;Result=3","7080216")</f>
        <v>0</v>
      </c>
      <c r="B3638" t="s">
        <v>1346</v>
      </c>
      <c r="C3638" t="s">
        <v>6071</v>
      </c>
      <c r="D3638" t="s">
        <v>18131</v>
      </c>
      <c r="E3638" t="s">
        <v>21406</v>
      </c>
      <c r="F3638" t="s">
        <v>31362</v>
      </c>
      <c r="G3638" t="s">
        <v>31369</v>
      </c>
      <c r="H3638" t="s">
        <v>15799</v>
      </c>
      <c r="I3638" t="s">
        <v>3815</v>
      </c>
      <c r="J3638" t="s">
        <v>31578</v>
      </c>
      <c r="K3638" t="s">
        <v>40670</v>
      </c>
      <c r="L3638" t="s">
        <v>1346</v>
      </c>
      <c r="M3638" t="s">
        <v>42366</v>
      </c>
      <c r="N3638" t="s">
        <v>44905</v>
      </c>
      <c r="O3638" t="s">
        <v>44906</v>
      </c>
      <c r="P3638">
        <v>0</v>
      </c>
      <c r="Q3638">
        <v>4</v>
      </c>
      <c r="R3638" t="s">
        <v>44908</v>
      </c>
      <c r="S3638" t="s">
        <v>45042</v>
      </c>
      <c r="T3638" t="s">
        <v>46415</v>
      </c>
      <c r="U3638" t="s">
        <v>49912</v>
      </c>
      <c r="W3638" t="s">
        <v>42366</v>
      </c>
      <c r="X3638" t="s">
        <v>44909</v>
      </c>
    </row>
    <row r="3639" spans="1:24">
      <c r="A3639">
        <f>HYPERLINK("https://www.philgeps.gov.ph/GEPSNONPILOT/Tender/SplashBidNoticeAbstractUI.aspx?menuIndex=3&amp;refID=7080215&amp;Result=3","7080215")</f>
        <v>0</v>
      </c>
      <c r="B3639" t="s">
        <v>1311</v>
      </c>
      <c r="C3639" t="s">
        <v>7004</v>
      </c>
      <c r="D3639" t="s">
        <v>18156</v>
      </c>
      <c r="E3639" t="s">
        <v>21464</v>
      </c>
      <c r="F3639" t="s">
        <v>31362</v>
      </c>
      <c r="G3639" t="s">
        <v>31371</v>
      </c>
      <c r="H3639" t="s">
        <v>15799</v>
      </c>
      <c r="I3639" t="s">
        <v>7188</v>
      </c>
      <c r="J3639" t="s">
        <v>33937</v>
      </c>
      <c r="K3639" t="s">
        <v>40662</v>
      </c>
      <c r="M3639" t="s">
        <v>42329</v>
      </c>
      <c r="N3639" t="s">
        <v>44905</v>
      </c>
      <c r="O3639" t="s">
        <v>44906</v>
      </c>
      <c r="P3639">
        <v>0</v>
      </c>
      <c r="Q3639">
        <v>2</v>
      </c>
      <c r="R3639" t="s">
        <v>44908</v>
      </c>
      <c r="S3639" t="s">
        <v>45042</v>
      </c>
      <c r="T3639" t="s">
        <v>46454</v>
      </c>
      <c r="U3639" t="s">
        <v>49913</v>
      </c>
      <c r="V3639" t="s">
        <v>59417</v>
      </c>
      <c r="W3639" t="s">
        <v>42329</v>
      </c>
      <c r="X3639" t="s">
        <v>44909</v>
      </c>
    </row>
    <row r="3640" spans="1:24">
      <c r="A3640">
        <f>HYPERLINK("https://www.philgeps.gov.ph/GEPSNONPILOT/Tender/SplashBidNoticeAbstractUI.aspx?menuIndex=3&amp;refID=7080032&amp;Result=3","7080032")</f>
        <v>0</v>
      </c>
      <c r="B3640" t="s">
        <v>1302</v>
      </c>
      <c r="C3640" t="s">
        <v>7005</v>
      </c>
      <c r="D3640" t="s">
        <v>18108</v>
      </c>
      <c r="E3640" t="s">
        <v>21465</v>
      </c>
      <c r="F3640" t="s">
        <v>31362</v>
      </c>
      <c r="G3640" t="s">
        <v>31369</v>
      </c>
      <c r="H3640" t="s">
        <v>15799</v>
      </c>
      <c r="I3640" t="s">
        <v>3582</v>
      </c>
      <c r="J3640" t="s">
        <v>33938</v>
      </c>
      <c r="K3640" t="s">
        <v>40665</v>
      </c>
      <c r="M3640" t="s">
        <v>42320</v>
      </c>
      <c r="N3640" t="s">
        <v>44905</v>
      </c>
      <c r="O3640" t="s">
        <v>44906</v>
      </c>
      <c r="P3640">
        <v>0</v>
      </c>
      <c r="Q3640">
        <v>1</v>
      </c>
      <c r="R3640" t="s">
        <v>44908</v>
      </c>
      <c r="S3640" t="s">
        <v>45042</v>
      </c>
      <c r="T3640" t="s">
        <v>46396</v>
      </c>
      <c r="U3640" t="s">
        <v>49914</v>
      </c>
      <c r="W3640" t="s">
        <v>42320</v>
      </c>
      <c r="X3640" t="s">
        <v>44909</v>
      </c>
    </row>
    <row r="3641" spans="1:24">
      <c r="A3641">
        <f>HYPERLINK("https://www.philgeps.gov.ph/GEPSNONPILOT/Tender/SplashBidNoticeAbstractUI.aspx?menuIndex=3&amp;refID=7080153&amp;Result=3","7080153")</f>
        <v>0</v>
      </c>
      <c r="B3641" t="s">
        <v>675</v>
      </c>
      <c r="C3641" t="s">
        <v>7006</v>
      </c>
      <c r="D3641" t="s">
        <v>18111</v>
      </c>
      <c r="E3641" t="s">
        <v>21466</v>
      </c>
      <c r="F3641" t="s">
        <v>31362</v>
      </c>
      <c r="G3641" t="s">
        <v>31368</v>
      </c>
      <c r="H3641" t="s">
        <v>15799</v>
      </c>
      <c r="I3641" t="s">
        <v>7719</v>
      </c>
      <c r="J3641" t="s">
        <v>33939</v>
      </c>
      <c r="K3641" t="s">
        <v>40662</v>
      </c>
      <c r="M3641" t="s">
        <v>41637</v>
      </c>
      <c r="N3641" t="s">
        <v>44905</v>
      </c>
      <c r="O3641" t="s">
        <v>44906</v>
      </c>
      <c r="P3641">
        <v>0</v>
      </c>
      <c r="Q3641">
        <v>19</v>
      </c>
      <c r="R3641" t="s">
        <v>44908</v>
      </c>
      <c r="S3641" t="s">
        <v>45042</v>
      </c>
      <c r="T3641" t="s">
        <v>46483</v>
      </c>
      <c r="U3641" t="s">
        <v>49915</v>
      </c>
      <c r="W3641" t="s">
        <v>41637</v>
      </c>
      <c r="X3641" t="s">
        <v>44909</v>
      </c>
    </row>
    <row r="3642" spans="1:24">
      <c r="A3642">
        <f>HYPERLINK("https://www.philgeps.gov.ph/GEPSNONPILOT/Tender/SplashBidNoticeAbstractUI.aspx?menuIndex=3&amp;refID=7080209&amp;Result=3","7080209")</f>
        <v>0</v>
      </c>
      <c r="B3642" t="s">
        <v>1347</v>
      </c>
      <c r="C3642" t="s">
        <v>7007</v>
      </c>
      <c r="D3642" t="s">
        <v>18117</v>
      </c>
      <c r="E3642" t="s">
        <v>21467</v>
      </c>
      <c r="F3642" t="s">
        <v>31362</v>
      </c>
      <c r="G3642" t="s">
        <v>31368</v>
      </c>
      <c r="H3642" t="s">
        <v>15799</v>
      </c>
      <c r="I3642" t="s">
        <v>3815</v>
      </c>
      <c r="J3642" t="s">
        <v>33940</v>
      </c>
      <c r="K3642" t="s">
        <v>40665</v>
      </c>
      <c r="M3642" t="s">
        <v>42367</v>
      </c>
      <c r="N3642" t="s">
        <v>44905</v>
      </c>
      <c r="O3642" t="s">
        <v>44906</v>
      </c>
      <c r="P3642">
        <v>0</v>
      </c>
      <c r="Q3642">
        <v>0</v>
      </c>
      <c r="R3642" t="s">
        <v>44908</v>
      </c>
      <c r="S3642" t="s">
        <v>45042</v>
      </c>
      <c r="T3642" t="s">
        <v>46411</v>
      </c>
      <c r="U3642" t="s">
        <v>49916</v>
      </c>
      <c r="W3642" t="s">
        <v>42367</v>
      </c>
      <c r="X3642" t="s">
        <v>44909</v>
      </c>
    </row>
    <row r="3643" spans="1:24">
      <c r="A3643">
        <f>HYPERLINK("https://www.philgeps.gov.ph/GEPSNONPILOT/Tender/SplashBidNoticeAbstractUI.aspx?menuIndex=3&amp;refID=7080015&amp;Result=3","7080015")</f>
        <v>0</v>
      </c>
      <c r="B3643" t="s">
        <v>406</v>
      </c>
      <c r="C3643" t="s">
        <v>7008</v>
      </c>
      <c r="E3643" t="s">
        <v>21468</v>
      </c>
      <c r="F3643" t="s">
        <v>31362</v>
      </c>
      <c r="G3643" t="s">
        <v>31370</v>
      </c>
      <c r="H3643" t="s">
        <v>15799</v>
      </c>
      <c r="I3643" t="s">
        <v>7188</v>
      </c>
      <c r="J3643" t="s">
        <v>31987</v>
      </c>
      <c r="K3643" t="s">
        <v>40662</v>
      </c>
      <c r="M3643" t="s">
        <v>41356</v>
      </c>
      <c r="N3643" t="s">
        <v>44905</v>
      </c>
      <c r="O3643" t="s">
        <v>44906</v>
      </c>
      <c r="P3643">
        <v>0</v>
      </c>
      <c r="Q3643">
        <v>6</v>
      </c>
      <c r="R3643" t="s">
        <v>44908</v>
      </c>
      <c r="S3643" t="s">
        <v>45042</v>
      </c>
      <c r="T3643" t="s">
        <v>46414</v>
      </c>
      <c r="U3643" t="s">
        <v>46933</v>
      </c>
      <c r="W3643" t="s">
        <v>41356</v>
      </c>
      <c r="X3643" t="s">
        <v>44909</v>
      </c>
    </row>
    <row r="3644" spans="1:24">
      <c r="A3644">
        <f>HYPERLINK("https://www.philgeps.gov.ph/GEPSNONPILOT/Tender/SplashBidNoticeAbstractUI.aspx?menuIndex=3&amp;refID=7080132&amp;Result=3","7080132")</f>
        <v>0</v>
      </c>
      <c r="B3644" t="s">
        <v>1348</v>
      </c>
      <c r="C3644" t="s">
        <v>7009</v>
      </c>
      <c r="D3644" t="s">
        <v>18108</v>
      </c>
      <c r="E3644" t="s">
        <v>21469</v>
      </c>
      <c r="F3644" t="s">
        <v>31362</v>
      </c>
      <c r="G3644" t="s">
        <v>31370</v>
      </c>
      <c r="H3644" t="s">
        <v>15799</v>
      </c>
      <c r="I3644" t="s">
        <v>6155</v>
      </c>
      <c r="J3644" t="s">
        <v>31530</v>
      </c>
      <c r="K3644" t="s">
        <v>40682</v>
      </c>
      <c r="M3644" t="s">
        <v>42368</v>
      </c>
      <c r="N3644" t="s">
        <v>44905</v>
      </c>
      <c r="O3644" t="s">
        <v>44906</v>
      </c>
      <c r="P3644">
        <v>0</v>
      </c>
      <c r="Q3644">
        <v>16</v>
      </c>
      <c r="R3644" t="s">
        <v>44908</v>
      </c>
      <c r="S3644" t="s">
        <v>45042</v>
      </c>
      <c r="T3644" t="s">
        <v>46454</v>
      </c>
      <c r="U3644" t="s">
        <v>49917</v>
      </c>
      <c r="W3644" t="s">
        <v>42368</v>
      </c>
      <c r="X3644" t="s">
        <v>44909</v>
      </c>
    </row>
    <row r="3645" spans="1:24">
      <c r="A3645">
        <f>HYPERLINK("https://www.philgeps.gov.ph/GEPSNONPILOT/Tender/SplashBidNoticeAbstractUI.aspx?menuIndex=3&amp;refID=7080206&amp;Result=3","7080206")</f>
        <v>0</v>
      </c>
      <c r="B3645" t="s">
        <v>1167</v>
      </c>
      <c r="C3645" t="s">
        <v>7010</v>
      </c>
      <c r="D3645" t="s">
        <v>18151</v>
      </c>
      <c r="E3645" t="s">
        <v>21470</v>
      </c>
      <c r="F3645" t="s">
        <v>31362</v>
      </c>
      <c r="G3645" t="s">
        <v>31369</v>
      </c>
      <c r="H3645" t="s">
        <v>31378</v>
      </c>
      <c r="I3645" t="s">
        <v>31386</v>
      </c>
      <c r="J3645" t="s">
        <v>33786</v>
      </c>
      <c r="K3645" t="s">
        <v>40686</v>
      </c>
      <c r="M3645" t="s">
        <v>42177</v>
      </c>
      <c r="N3645" t="s">
        <v>44905</v>
      </c>
      <c r="O3645" t="s">
        <v>44906</v>
      </c>
      <c r="P3645">
        <v>0</v>
      </c>
      <c r="Q3645">
        <v>1</v>
      </c>
      <c r="R3645" t="s">
        <v>44908</v>
      </c>
      <c r="S3645" t="s">
        <v>45042</v>
      </c>
      <c r="T3645" t="s">
        <v>46449</v>
      </c>
      <c r="U3645" t="s">
        <v>49459</v>
      </c>
      <c r="W3645" t="s">
        <v>42177</v>
      </c>
      <c r="X3645" t="s">
        <v>44909</v>
      </c>
    </row>
    <row r="3646" spans="1:24">
      <c r="A3646">
        <f>HYPERLINK("https://www.philgeps.gov.ph/GEPSNONPILOT/Tender/SplashBidNoticeAbstractUI.aspx?menuIndex=3&amp;refID=7080205&amp;Result=3","7080205")</f>
        <v>0</v>
      </c>
      <c r="B3646" t="s">
        <v>267</v>
      </c>
      <c r="C3646" t="s">
        <v>7011</v>
      </c>
      <c r="D3646" t="s">
        <v>18154</v>
      </c>
      <c r="E3646" t="s">
        <v>21471</v>
      </c>
      <c r="F3646" t="s">
        <v>31362</v>
      </c>
      <c r="G3646" t="s">
        <v>31369</v>
      </c>
      <c r="H3646" t="s">
        <v>15799</v>
      </c>
      <c r="I3646" t="s">
        <v>7090</v>
      </c>
      <c r="J3646" t="s">
        <v>33941</v>
      </c>
      <c r="K3646" t="s">
        <v>40670</v>
      </c>
      <c r="M3646" t="s">
        <v>41208</v>
      </c>
      <c r="N3646" t="s">
        <v>44905</v>
      </c>
      <c r="O3646" t="s">
        <v>44906</v>
      </c>
      <c r="P3646">
        <v>0</v>
      </c>
      <c r="Q3646">
        <v>0</v>
      </c>
      <c r="R3646" t="s">
        <v>44908</v>
      </c>
      <c r="S3646" t="s">
        <v>45042</v>
      </c>
      <c r="T3646" t="s">
        <v>46470</v>
      </c>
      <c r="U3646" t="s">
        <v>49918</v>
      </c>
      <c r="W3646" t="s">
        <v>41208</v>
      </c>
      <c r="X3646" t="s">
        <v>44909</v>
      </c>
    </row>
    <row r="3647" spans="1:24">
      <c r="A3647">
        <f>HYPERLINK("https://www.philgeps.gov.ph/GEPSNONPILOT/Tender/SplashBidNoticeAbstractUI.aspx?menuIndex=3&amp;refID=7080204&amp;Result=3","7080204")</f>
        <v>0</v>
      </c>
      <c r="B3647" t="s">
        <v>797</v>
      </c>
      <c r="C3647" t="s">
        <v>7012</v>
      </c>
      <c r="D3647" t="s">
        <v>18152</v>
      </c>
      <c r="E3647" t="s">
        <v>21472</v>
      </c>
      <c r="F3647" t="s">
        <v>31362</v>
      </c>
      <c r="G3647" t="s">
        <v>31369</v>
      </c>
      <c r="H3647" t="s">
        <v>31377</v>
      </c>
      <c r="I3647" t="s">
        <v>31377</v>
      </c>
      <c r="J3647" t="s">
        <v>33942</v>
      </c>
      <c r="K3647" t="s">
        <v>40666</v>
      </c>
      <c r="M3647" t="s">
        <v>42369</v>
      </c>
      <c r="N3647" t="s">
        <v>44905</v>
      </c>
      <c r="O3647" t="s">
        <v>44906</v>
      </c>
      <c r="P3647">
        <v>0</v>
      </c>
      <c r="Q3647">
        <v>2</v>
      </c>
      <c r="R3647" t="s">
        <v>44908</v>
      </c>
      <c r="S3647" t="s">
        <v>45042</v>
      </c>
      <c r="T3647" t="s">
        <v>46441</v>
      </c>
      <c r="U3647" t="s">
        <v>49919</v>
      </c>
      <c r="V3647" t="s">
        <v>59425</v>
      </c>
      <c r="W3647" t="s">
        <v>42369</v>
      </c>
      <c r="X3647" t="s">
        <v>44909</v>
      </c>
    </row>
    <row r="3648" spans="1:24">
      <c r="A3648">
        <f>HYPERLINK("https://www.philgeps.gov.ph/GEPSNONPILOT/Tender/SplashBidNoticeAbstractUI.aspx?menuIndex=3&amp;refID=7080203&amp;Result=3","7080203")</f>
        <v>0</v>
      </c>
      <c r="B3648" t="s">
        <v>1349</v>
      </c>
      <c r="C3648" t="s">
        <v>7013</v>
      </c>
      <c r="E3648" t="s">
        <v>21473</v>
      </c>
      <c r="F3648" t="s">
        <v>31362</v>
      </c>
      <c r="G3648" t="s">
        <v>31368</v>
      </c>
      <c r="H3648" t="s">
        <v>15799</v>
      </c>
      <c r="I3648" t="s">
        <v>31388</v>
      </c>
      <c r="J3648" t="s">
        <v>33943</v>
      </c>
      <c r="K3648" t="s">
        <v>40662</v>
      </c>
      <c r="M3648" t="s">
        <v>42370</v>
      </c>
      <c r="N3648" t="s">
        <v>44905</v>
      </c>
      <c r="O3648" t="s">
        <v>44906</v>
      </c>
      <c r="P3648">
        <v>0</v>
      </c>
      <c r="Q3648">
        <v>0</v>
      </c>
      <c r="R3648" t="s">
        <v>44908</v>
      </c>
      <c r="S3648" t="s">
        <v>45042</v>
      </c>
      <c r="T3648" t="s">
        <v>46409</v>
      </c>
      <c r="U3648" t="s">
        <v>49920</v>
      </c>
      <c r="V3648" t="s">
        <v>59426</v>
      </c>
      <c r="W3648" t="s">
        <v>42370</v>
      </c>
      <c r="X3648" t="s">
        <v>44909</v>
      </c>
    </row>
    <row r="3649" spans="1:24">
      <c r="A3649">
        <f>HYPERLINK("https://www.philgeps.gov.ph/GEPSNONPILOT/Tender/SplashBidNoticeAbstractUI.aspx?menuIndex=3&amp;refID=7080202&amp;Result=3","7080202")</f>
        <v>0</v>
      </c>
      <c r="B3649" t="s">
        <v>35</v>
      </c>
      <c r="C3649" t="s">
        <v>7014</v>
      </c>
      <c r="D3649" t="s">
        <v>18108</v>
      </c>
      <c r="E3649" t="s">
        <v>21474</v>
      </c>
      <c r="F3649" t="s">
        <v>31362</v>
      </c>
      <c r="G3649" t="s">
        <v>31368</v>
      </c>
      <c r="H3649" t="s">
        <v>15799</v>
      </c>
      <c r="I3649" t="s">
        <v>31393</v>
      </c>
      <c r="J3649" t="s">
        <v>31575</v>
      </c>
      <c r="K3649" t="s">
        <v>40662</v>
      </c>
      <c r="M3649" t="s">
        <v>42365</v>
      </c>
      <c r="N3649" t="s">
        <v>44905</v>
      </c>
      <c r="O3649" t="s">
        <v>44906</v>
      </c>
      <c r="P3649">
        <v>0</v>
      </c>
      <c r="Q3649">
        <v>8</v>
      </c>
      <c r="R3649" t="s">
        <v>44908</v>
      </c>
      <c r="S3649" t="s">
        <v>45042</v>
      </c>
      <c r="T3649" t="s">
        <v>46534</v>
      </c>
      <c r="U3649" t="s">
        <v>49906</v>
      </c>
      <c r="W3649" t="s">
        <v>42365</v>
      </c>
      <c r="X3649" t="s">
        <v>44909</v>
      </c>
    </row>
    <row r="3650" spans="1:24">
      <c r="A3650">
        <f>HYPERLINK("https://www.philgeps.gov.ph/GEPSNONPILOT/Tender/SplashBidNoticeAbstractUI.aspx?menuIndex=3&amp;refID=7080200&amp;Result=3","7080200")</f>
        <v>0</v>
      </c>
      <c r="B3650" t="s">
        <v>1350</v>
      </c>
      <c r="C3650" t="s">
        <v>7015</v>
      </c>
      <c r="D3650" t="s">
        <v>18108</v>
      </c>
      <c r="E3650" t="s">
        <v>21475</v>
      </c>
      <c r="F3650" t="s">
        <v>31362</v>
      </c>
      <c r="G3650" t="s">
        <v>31369</v>
      </c>
      <c r="H3650" t="s">
        <v>15799</v>
      </c>
      <c r="I3650" t="s">
        <v>31422</v>
      </c>
      <c r="J3650" t="s">
        <v>33944</v>
      </c>
      <c r="K3650" t="s">
        <v>40731</v>
      </c>
      <c r="M3650" t="s">
        <v>42371</v>
      </c>
      <c r="N3650" t="s">
        <v>44905</v>
      </c>
      <c r="O3650" t="s">
        <v>44906</v>
      </c>
      <c r="P3650">
        <v>0</v>
      </c>
      <c r="Q3650">
        <v>3</v>
      </c>
      <c r="R3650" t="s">
        <v>44908</v>
      </c>
      <c r="S3650" t="s">
        <v>45042</v>
      </c>
      <c r="T3650" t="s">
        <v>46449</v>
      </c>
      <c r="U3650" t="s">
        <v>49921</v>
      </c>
      <c r="W3650" t="s">
        <v>42371</v>
      </c>
      <c r="X3650" t="s">
        <v>44909</v>
      </c>
    </row>
    <row r="3651" spans="1:24">
      <c r="A3651">
        <f>HYPERLINK("https://www.philgeps.gov.ph/GEPSNONPILOT/Tender/SplashBidNoticeAbstractUI.aspx?menuIndex=3&amp;refID=7080210&amp;Result=3","7080210")</f>
        <v>0</v>
      </c>
      <c r="B3651" t="s">
        <v>1351</v>
      </c>
      <c r="C3651" t="s">
        <v>7016</v>
      </c>
      <c r="D3651" t="s">
        <v>18160</v>
      </c>
      <c r="E3651" t="s">
        <v>21476</v>
      </c>
      <c r="F3651" t="s">
        <v>31365</v>
      </c>
      <c r="G3651" t="s">
        <v>31369</v>
      </c>
      <c r="H3651" t="s">
        <v>31378</v>
      </c>
      <c r="I3651" t="s">
        <v>31386</v>
      </c>
      <c r="J3651" t="s">
        <v>32036</v>
      </c>
      <c r="K3651" t="s">
        <v>40762</v>
      </c>
      <c r="M3651" t="s">
        <v>42372</v>
      </c>
      <c r="N3651" t="s">
        <v>44905</v>
      </c>
      <c r="O3651" t="s">
        <v>44906</v>
      </c>
      <c r="P3651">
        <v>0</v>
      </c>
      <c r="Q3651">
        <v>0</v>
      </c>
      <c r="R3651" t="s">
        <v>44908</v>
      </c>
      <c r="S3651" t="s">
        <v>45042</v>
      </c>
      <c r="T3651" t="s">
        <v>46654</v>
      </c>
      <c r="U3651" t="s">
        <v>49922</v>
      </c>
      <c r="W3651" t="s">
        <v>42372</v>
      </c>
      <c r="X3651" t="s">
        <v>44909</v>
      </c>
    </row>
    <row r="3652" spans="1:24">
      <c r="A3652">
        <f>HYPERLINK("https://www.philgeps.gov.ph/GEPSNONPILOT/Tender/SplashBidNoticeAbstractUI.aspx?menuIndex=3&amp;refID=7080197&amp;Result=3","7080197")</f>
        <v>0</v>
      </c>
      <c r="B3652" t="s">
        <v>1352</v>
      </c>
      <c r="C3652" t="s">
        <v>7017</v>
      </c>
      <c r="D3652" t="s">
        <v>18108</v>
      </c>
      <c r="E3652" t="s">
        <v>21477</v>
      </c>
      <c r="F3652" t="s">
        <v>31362</v>
      </c>
      <c r="G3652" t="s">
        <v>31368</v>
      </c>
      <c r="H3652" t="s">
        <v>15799</v>
      </c>
      <c r="I3652" t="s">
        <v>31445</v>
      </c>
      <c r="J3652" t="s">
        <v>31806</v>
      </c>
      <c r="K3652" t="s">
        <v>40661</v>
      </c>
      <c r="M3652" t="s">
        <v>42373</v>
      </c>
      <c r="N3652" t="s">
        <v>44905</v>
      </c>
      <c r="O3652" t="s">
        <v>44906</v>
      </c>
      <c r="P3652">
        <v>0</v>
      </c>
      <c r="Q3652">
        <v>0</v>
      </c>
      <c r="R3652" t="s">
        <v>44908</v>
      </c>
      <c r="S3652" t="s">
        <v>45042</v>
      </c>
      <c r="T3652" t="s">
        <v>46655</v>
      </c>
      <c r="U3652" t="s">
        <v>49923</v>
      </c>
      <c r="W3652" t="s">
        <v>42373</v>
      </c>
      <c r="X3652" t="s">
        <v>44909</v>
      </c>
    </row>
    <row r="3653" spans="1:24">
      <c r="A3653">
        <f>HYPERLINK("https://www.philgeps.gov.ph/GEPSNONPILOT/Tender/SplashBidNoticeAbstractUI.aspx?menuIndex=3&amp;refID=7080207&amp;Result=3","7080207")</f>
        <v>0</v>
      </c>
      <c r="B3653" t="s">
        <v>1353</v>
      </c>
      <c r="C3653" t="s">
        <v>7018</v>
      </c>
      <c r="D3653" t="s">
        <v>18103</v>
      </c>
      <c r="E3653" t="s">
        <v>21478</v>
      </c>
      <c r="F3653" t="s">
        <v>31362</v>
      </c>
      <c r="G3653" t="s">
        <v>31372</v>
      </c>
      <c r="H3653" t="s">
        <v>31378</v>
      </c>
      <c r="I3653" t="s">
        <v>31386</v>
      </c>
      <c r="J3653" t="s">
        <v>33945</v>
      </c>
      <c r="K3653" t="s">
        <v>40682</v>
      </c>
      <c r="M3653" t="s">
        <v>42374</v>
      </c>
      <c r="N3653" t="s">
        <v>44905</v>
      </c>
      <c r="O3653" t="s">
        <v>44906</v>
      </c>
      <c r="P3653">
        <v>0</v>
      </c>
      <c r="Q3653">
        <v>1</v>
      </c>
      <c r="R3653" t="s">
        <v>44908</v>
      </c>
      <c r="S3653" t="s">
        <v>45042</v>
      </c>
      <c r="T3653" t="s">
        <v>46656</v>
      </c>
      <c r="U3653" t="s">
        <v>49924</v>
      </c>
      <c r="W3653" t="s">
        <v>42374</v>
      </c>
      <c r="X3653" t="s">
        <v>44909</v>
      </c>
    </row>
    <row r="3654" spans="1:24">
      <c r="A3654">
        <f>HYPERLINK("https://www.philgeps.gov.ph/GEPSNONPILOT/Tender/SplashBidNoticeAbstractUI.aspx?menuIndex=3&amp;refID=7080196&amp;Result=3","7080196")</f>
        <v>0</v>
      </c>
      <c r="B3654" t="s">
        <v>1317</v>
      </c>
      <c r="C3654" t="s">
        <v>7019</v>
      </c>
      <c r="D3654" t="s">
        <v>18136</v>
      </c>
      <c r="E3654" t="s">
        <v>21479</v>
      </c>
      <c r="F3654" t="s">
        <v>31362</v>
      </c>
      <c r="G3654" t="s">
        <v>31370</v>
      </c>
      <c r="H3654" t="s">
        <v>15799</v>
      </c>
      <c r="I3654" t="s">
        <v>13635</v>
      </c>
      <c r="J3654" t="s">
        <v>33946</v>
      </c>
      <c r="K3654" t="s">
        <v>40665</v>
      </c>
      <c r="M3654" t="s">
        <v>42335</v>
      </c>
      <c r="N3654" t="s">
        <v>44905</v>
      </c>
      <c r="O3654" t="s">
        <v>44906</v>
      </c>
      <c r="P3654">
        <v>0</v>
      </c>
      <c r="Q3654">
        <v>3</v>
      </c>
      <c r="R3654" t="s">
        <v>44908</v>
      </c>
      <c r="S3654" t="s">
        <v>45042</v>
      </c>
      <c r="T3654" t="s">
        <v>46413</v>
      </c>
      <c r="U3654" t="s">
        <v>49925</v>
      </c>
      <c r="W3654" t="s">
        <v>42335</v>
      </c>
      <c r="X3654" t="s">
        <v>44909</v>
      </c>
    </row>
    <row r="3655" spans="1:24">
      <c r="A3655">
        <f>HYPERLINK("https://www.philgeps.gov.ph/GEPSNONPILOT/Tender/SplashBidNoticeAbstractUI.aspx?menuIndex=3&amp;refID=7080195&amp;Result=3","7080195")</f>
        <v>0</v>
      </c>
      <c r="B3655" t="s">
        <v>1164</v>
      </c>
      <c r="C3655" t="s">
        <v>7020</v>
      </c>
      <c r="D3655" t="s">
        <v>18111</v>
      </c>
      <c r="E3655" t="s">
        <v>21083</v>
      </c>
      <c r="F3655" t="s">
        <v>31362</v>
      </c>
      <c r="G3655" t="s">
        <v>31370</v>
      </c>
      <c r="H3655" t="s">
        <v>15799</v>
      </c>
      <c r="I3655" t="s">
        <v>31387</v>
      </c>
      <c r="J3655" t="s">
        <v>33947</v>
      </c>
      <c r="K3655" t="s">
        <v>40670</v>
      </c>
      <c r="M3655" t="s">
        <v>42174</v>
      </c>
      <c r="N3655" t="s">
        <v>44905</v>
      </c>
      <c r="O3655" t="s">
        <v>44906</v>
      </c>
      <c r="P3655">
        <v>0</v>
      </c>
      <c r="Q3655">
        <v>1</v>
      </c>
      <c r="R3655" t="s">
        <v>44908</v>
      </c>
      <c r="S3655" t="s">
        <v>45042</v>
      </c>
      <c r="T3655" t="s">
        <v>46414</v>
      </c>
      <c r="U3655" t="s">
        <v>49454</v>
      </c>
      <c r="W3655" t="s">
        <v>42174</v>
      </c>
      <c r="X3655" t="s">
        <v>44909</v>
      </c>
    </row>
    <row r="3656" spans="1:24">
      <c r="A3656">
        <f>HYPERLINK("https://www.philgeps.gov.ph/GEPSNONPILOT/Tender/SplashBidNoticeAbstractUI.aspx?menuIndex=3&amp;refID=7080016&amp;Result=3","7080016")</f>
        <v>0</v>
      </c>
      <c r="B3656" t="s">
        <v>1261</v>
      </c>
      <c r="C3656" t="s">
        <v>7021</v>
      </c>
      <c r="D3656" t="s">
        <v>18113</v>
      </c>
      <c r="E3656" t="s">
        <v>21480</v>
      </c>
      <c r="F3656" t="s">
        <v>31362</v>
      </c>
      <c r="G3656" t="s">
        <v>31369</v>
      </c>
      <c r="H3656" t="s">
        <v>15799</v>
      </c>
      <c r="I3656" t="s">
        <v>31384</v>
      </c>
      <c r="J3656" t="s">
        <v>33948</v>
      </c>
      <c r="K3656" t="s">
        <v>40665</v>
      </c>
      <c r="M3656" t="s">
        <v>42277</v>
      </c>
      <c r="N3656" t="s">
        <v>44905</v>
      </c>
      <c r="O3656" t="s">
        <v>44906</v>
      </c>
      <c r="P3656">
        <v>0</v>
      </c>
      <c r="Q3656">
        <v>5</v>
      </c>
      <c r="R3656" t="s">
        <v>44908</v>
      </c>
      <c r="S3656" t="s">
        <v>45042</v>
      </c>
      <c r="T3656" t="s">
        <v>46611</v>
      </c>
      <c r="U3656" t="s">
        <v>49926</v>
      </c>
      <c r="W3656" t="s">
        <v>42277</v>
      </c>
      <c r="X3656" t="s">
        <v>44909</v>
      </c>
    </row>
    <row r="3657" spans="1:24">
      <c r="A3657">
        <f>HYPERLINK("https://www.philgeps.gov.ph/GEPSNONPILOT/Tender/SplashBidNoticeAbstractUI.aspx?menuIndex=3&amp;refID=7080194&amp;Result=3","7080194")</f>
        <v>0</v>
      </c>
      <c r="B3657" t="s">
        <v>1302</v>
      </c>
      <c r="C3657" t="s">
        <v>7022</v>
      </c>
      <c r="D3657" t="s">
        <v>18108</v>
      </c>
      <c r="E3657" t="s">
        <v>21481</v>
      </c>
      <c r="F3657" t="s">
        <v>31362</v>
      </c>
      <c r="G3657" t="s">
        <v>31369</v>
      </c>
      <c r="H3657" t="s">
        <v>15799</v>
      </c>
      <c r="I3657" t="s">
        <v>4942</v>
      </c>
      <c r="J3657" t="s">
        <v>33949</v>
      </c>
      <c r="K3657" t="s">
        <v>40665</v>
      </c>
      <c r="M3657" t="s">
        <v>42320</v>
      </c>
      <c r="N3657" t="s">
        <v>44905</v>
      </c>
      <c r="O3657" t="s">
        <v>44906</v>
      </c>
      <c r="P3657">
        <v>0</v>
      </c>
      <c r="Q3657">
        <v>1</v>
      </c>
      <c r="R3657" t="s">
        <v>44908</v>
      </c>
      <c r="S3657" t="s">
        <v>45042</v>
      </c>
      <c r="T3657" t="s">
        <v>46396</v>
      </c>
      <c r="U3657" t="s">
        <v>49927</v>
      </c>
      <c r="W3657" t="s">
        <v>42320</v>
      </c>
      <c r="X3657" t="s">
        <v>44909</v>
      </c>
    </row>
    <row r="3658" spans="1:24">
      <c r="A3658">
        <f>HYPERLINK("https://www.philgeps.gov.ph/GEPSNONPILOT/Tender/SplashBidNoticeAbstractUI.aspx?menuIndex=3&amp;refID=7080014&amp;Result=3","7080014")</f>
        <v>0</v>
      </c>
      <c r="B3658" t="s">
        <v>534</v>
      </c>
      <c r="C3658" t="s">
        <v>7023</v>
      </c>
      <c r="D3658" t="s">
        <v>18131</v>
      </c>
      <c r="E3658" t="s">
        <v>21482</v>
      </c>
      <c r="F3658" t="s">
        <v>31362</v>
      </c>
      <c r="G3658" t="s">
        <v>31372</v>
      </c>
      <c r="H3658" t="s">
        <v>15799</v>
      </c>
      <c r="I3658" t="s">
        <v>31387</v>
      </c>
      <c r="J3658" t="s">
        <v>33950</v>
      </c>
      <c r="K3658" t="s">
        <v>40670</v>
      </c>
      <c r="M3658" t="s">
        <v>41490</v>
      </c>
      <c r="N3658" t="s">
        <v>44905</v>
      </c>
      <c r="O3658" t="s">
        <v>44906</v>
      </c>
      <c r="P3658">
        <v>0</v>
      </c>
      <c r="Q3658">
        <v>0</v>
      </c>
      <c r="R3658" t="s">
        <v>44908</v>
      </c>
      <c r="S3658" t="s">
        <v>45042</v>
      </c>
      <c r="T3658" t="s">
        <v>46435</v>
      </c>
      <c r="U3658" t="s">
        <v>49928</v>
      </c>
      <c r="W3658" t="s">
        <v>41490</v>
      </c>
      <c r="X3658" t="s">
        <v>44909</v>
      </c>
    </row>
    <row r="3659" spans="1:24">
      <c r="A3659">
        <f>HYPERLINK("https://www.philgeps.gov.ph/GEPSNONPILOT/Tender/SplashBidNoticeAbstractUI.aspx?menuIndex=3&amp;refID=7080012&amp;Result=3","7080012")</f>
        <v>0</v>
      </c>
      <c r="B3659" t="s">
        <v>1033</v>
      </c>
      <c r="C3659" t="s">
        <v>7024</v>
      </c>
      <c r="D3659" t="s">
        <v>18162</v>
      </c>
      <c r="E3659" t="s">
        <v>21483</v>
      </c>
      <c r="F3659" t="s">
        <v>31362</v>
      </c>
      <c r="G3659" t="s">
        <v>31369</v>
      </c>
      <c r="H3659" t="s">
        <v>15799</v>
      </c>
      <c r="I3659" t="s">
        <v>31385</v>
      </c>
      <c r="J3659" t="s">
        <v>31724</v>
      </c>
      <c r="K3659" t="s">
        <v>40670</v>
      </c>
      <c r="M3659" t="s">
        <v>42032</v>
      </c>
      <c r="N3659" t="s">
        <v>44905</v>
      </c>
      <c r="O3659" t="s">
        <v>44906</v>
      </c>
      <c r="P3659">
        <v>0</v>
      </c>
      <c r="Q3659">
        <v>0</v>
      </c>
      <c r="R3659" t="s">
        <v>44908</v>
      </c>
      <c r="S3659" t="s">
        <v>45042</v>
      </c>
      <c r="T3659" t="s">
        <v>46430</v>
      </c>
      <c r="U3659" t="s">
        <v>49929</v>
      </c>
      <c r="W3659" t="s">
        <v>42032</v>
      </c>
      <c r="X3659" t="s">
        <v>44909</v>
      </c>
    </row>
    <row r="3660" spans="1:24">
      <c r="A3660">
        <f>HYPERLINK("https://www.philgeps.gov.ph/GEPSNONPILOT/Tender/SplashBidNoticeAbstractUI.aspx?menuIndex=3&amp;refID=7080011&amp;Result=3","7080011")</f>
        <v>0</v>
      </c>
      <c r="B3660" t="s">
        <v>1263</v>
      </c>
      <c r="C3660" t="s">
        <v>7025</v>
      </c>
      <c r="D3660" t="s">
        <v>18106</v>
      </c>
      <c r="E3660" t="s">
        <v>21229</v>
      </c>
      <c r="F3660" t="s">
        <v>31362</v>
      </c>
      <c r="G3660" t="s">
        <v>31372</v>
      </c>
      <c r="H3660" t="s">
        <v>15799</v>
      </c>
      <c r="I3660" t="s">
        <v>31457</v>
      </c>
      <c r="J3660" t="s">
        <v>31591</v>
      </c>
      <c r="K3660" t="s">
        <v>40661</v>
      </c>
      <c r="M3660" t="s">
        <v>42280</v>
      </c>
      <c r="N3660" t="s">
        <v>44905</v>
      </c>
      <c r="O3660" t="s">
        <v>44906</v>
      </c>
      <c r="P3660">
        <v>0</v>
      </c>
      <c r="Q3660">
        <v>3</v>
      </c>
      <c r="R3660" t="s">
        <v>44908</v>
      </c>
      <c r="S3660" t="s">
        <v>45042</v>
      </c>
      <c r="T3660" t="s">
        <v>46412</v>
      </c>
      <c r="U3660" t="s">
        <v>49930</v>
      </c>
      <c r="W3660" t="s">
        <v>42280</v>
      </c>
      <c r="X3660" t="s">
        <v>44909</v>
      </c>
    </row>
    <row r="3661" spans="1:24">
      <c r="A3661">
        <f>HYPERLINK("https://www.philgeps.gov.ph/GEPSNONPILOT/Tender/SplashBidNoticeAbstractUI.aspx?menuIndex=3&amp;refID=7080010&amp;Result=3","7080010")</f>
        <v>0</v>
      </c>
      <c r="B3661" t="s">
        <v>912</v>
      </c>
      <c r="C3661" t="s">
        <v>7026</v>
      </c>
      <c r="E3661" t="s">
        <v>20984</v>
      </c>
      <c r="F3661" t="s">
        <v>31363</v>
      </c>
      <c r="G3661" t="s">
        <v>31368</v>
      </c>
      <c r="H3661" t="s">
        <v>15799</v>
      </c>
      <c r="I3661" t="s">
        <v>3815</v>
      </c>
      <c r="J3661" t="s">
        <v>32016</v>
      </c>
      <c r="K3661" t="s">
        <v>40672</v>
      </c>
      <c r="M3661" t="s">
        <v>41895</v>
      </c>
      <c r="N3661" t="s">
        <v>44905</v>
      </c>
      <c r="O3661" t="s">
        <v>44906</v>
      </c>
      <c r="P3661">
        <v>0</v>
      </c>
      <c r="Q3661">
        <v>1</v>
      </c>
      <c r="R3661" t="s">
        <v>44908</v>
      </c>
      <c r="S3661" t="s">
        <v>45042</v>
      </c>
      <c r="T3661" t="s">
        <v>46426</v>
      </c>
      <c r="U3661" t="s">
        <v>49931</v>
      </c>
      <c r="W3661" t="s">
        <v>41895</v>
      </c>
      <c r="X3661" t="s">
        <v>44909</v>
      </c>
    </row>
    <row r="3662" spans="1:24">
      <c r="A3662">
        <f>HYPERLINK("https://www.philgeps.gov.ph/GEPSNONPILOT/Tender/SplashBidNoticeAbstractUI.aspx?menuIndex=3&amp;refID=7080007&amp;Result=3","7080007")</f>
        <v>0</v>
      </c>
      <c r="B3662" t="s">
        <v>406</v>
      </c>
      <c r="C3662" t="s">
        <v>7027</v>
      </c>
      <c r="E3662" t="s">
        <v>21484</v>
      </c>
      <c r="F3662" t="s">
        <v>31362</v>
      </c>
      <c r="G3662" t="s">
        <v>31370</v>
      </c>
      <c r="H3662" t="s">
        <v>15799</v>
      </c>
      <c r="I3662" t="s">
        <v>7090</v>
      </c>
      <c r="J3662" t="s">
        <v>33951</v>
      </c>
      <c r="K3662" t="s">
        <v>40662</v>
      </c>
      <c r="M3662" t="s">
        <v>41356</v>
      </c>
      <c r="N3662" t="s">
        <v>44905</v>
      </c>
      <c r="O3662" t="s">
        <v>44906</v>
      </c>
      <c r="P3662">
        <v>0</v>
      </c>
      <c r="Q3662">
        <v>6</v>
      </c>
      <c r="R3662" t="s">
        <v>44908</v>
      </c>
      <c r="S3662" t="s">
        <v>45042</v>
      </c>
      <c r="T3662" t="s">
        <v>46414</v>
      </c>
      <c r="U3662" t="s">
        <v>46933</v>
      </c>
      <c r="W3662" t="s">
        <v>41356</v>
      </c>
      <c r="X3662" t="s">
        <v>44909</v>
      </c>
    </row>
    <row r="3663" spans="1:24">
      <c r="A3663">
        <f>HYPERLINK("https://www.philgeps.gov.ph/GEPSNONPILOT/Tender/SplashBidNoticeAbstractUI.aspx?menuIndex=3&amp;refID=7080198&amp;Result=3","7080198")</f>
        <v>0</v>
      </c>
      <c r="B3663" t="s">
        <v>1354</v>
      </c>
      <c r="C3663" t="s">
        <v>7028</v>
      </c>
      <c r="D3663" t="s">
        <v>18101</v>
      </c>
      <c r="E3663" t="s">
        <v>18227</v>
      </c>
      <c r="F3663" t="s">
        <v>31362</v>
      </c>
      <c r="G3663" t="s">
        <v>31369</v>
      </c>
      <c r="H3663" t="s">
        <v>15799</v>
      </c>
      <c r="I3663" t="s">
        <v>3815</v>
      </c>
      <c r="J3663" t="s">
        <v>33952</v>
      </c>
      <c r="K3663" t="s">
        <v>40670</v>
      </c>
      <c r="M3663" t="s">
        <v>42375</v>
      </c>
      <c r="N3663" t="s">
        <v>44905</v>
      </c>
      <c r="O3663" t="s">
        <v>44906</v>
      </c>
      <c r="P3663">
        <v>0</v>
      </c>
      <c r="Q3663">
        <v>0</v>
      </c>
      <c r="R3663" t="s">
        <v>44908</v>
      </c>
      <c r="S3663" t="s">
        <v>45042</v>
      </c>
      <c r="T3663" t="s">
        <v>46483</v>
      </c>
      <c r="U3663" t="s">
        <v>49932</v>
      </c>
      <c r="W3663" t="s">
        <v>42375</v>
      </c>
      <c r="X3663" t="s">
        <v>44909</v>
      </c>
    </row>
    <row r="3664" spans="1:24">
      <c r="A3664">
        <f>HYPERLINK("https://www.philgeps.gov.ph/GEPSNONPILOT/Tender/SplashBidNoticeAbstractUI.aspx?menuIndex=3&amp;refID=7079991&amp;Result=3","7079991")</f>
        <v>0</v>
      </c>
      <c r="B3664" t="s">
        <v>1167</v>
      </c>
      <c r="C3664" t="s">
        <v>7029</v>
      </c>
      <c r="D3664" t="s">
        <v>18151</v>
      </c>
      <c r="E3664" t="s">
        <v>21485</v>
      </c>
      <c r="F3664" t="s">
        <v>31362</v>
      </c>
      <c r="G3664" t="s">
        <v>31369</v>
      </c>
      <c r="H3664" t="s">
        <v>31378</v>
      </c>
      <c r="I3664" t="s">
        <v>31386</v>
      </c>
      <c r="J3664" t="s">
        <v>33786</v>
      </c>
      <c r="K3664" t="s">
        <v>40686</v>
      </c>
      <c r="M3664" t="s">
        <v>42177</v>
      </c>
      <c r="N3664" t="s">
        <v>44905</v>
      </c>
      <c r="O3664" t="s">
        <v>44906</v>
      </c>
      <c r="P3664">
        <v>0</v>
      </c>
      <c r="Q3664">
        <v>1</v>
      </c>
      <c r="R3664" t="s">
        <v>44908</v>
      </c>
      <c r="S3664" t="s">
        <v>45042</v>
      </c>
      <c r="T3664" t="s">
        <v>46449</v>
      </c>
      <c r="U3664" t="s">
        <v>49459</v>
      </c>
      <c r="W3664" t="s">
        <v>42177</v>
      </c>
      <c r="X3664" t="s">
        <v>44909</v>
      </c>
    </row>
    <row r="3665" spans="1:24">
      <c r="A3665">
        <f>HYPERLINK("https://www.philgeps.gov.ph/GEPSNONPILOT/Tender/SplashBidNoticeAbstractUI.aspx?menuIndex=3&amp;refID=7079990&amp;Result=3","7079990")</f>
        <v>0</v>
      </c>
      <c r="B3665" t="s">
        <v>1355</v>
      </c>
      <c r="C3665" t="s">
        <v>7030</v>
      </c>
      <c r="D3665" t="s">
        <v>18111</v>
      </c>
      <c r="E3665" t="s">
        <v>21486</v>
      </c>
      <c r="F3665" t="s">
        <v>31362</v>
      </c>
      <c r="G3665" t="s">
        <v>31370</v>
      </c>
      <c r="H3665" t="s">
        <v>15799</v>
      </c>
      <c r="I3665" t="s">
        <v>31385</v>
      </c>
      <c r="J3665" t="s">
        <v>33953</v>
      </c>
      <c r="K3665" t="s">
        <v>40662</v>
      </c>
      <c r="M3665" t="s">
        <v>42376</v>
      </c>
      <c r="N3665" t="s">
        <v>44905</v>
      </c>
      <c r="O3665" t="s">
        <v>44906</v>
      </c>
      <c r="P3665">
        <v>0</v>
      </c>
      <c r="Q3665">
        <v>1</v>
      </c>
      <c r="R3665" t="s">
        <v>44908</v>
      </c>
      <c r="S3665" t="s">
        <v>45042</v>
      </c>
      <c r="T3665" t="s">
        <v>46408</v>
      </c>
      <c r="U3665" t="s">
        <v>49933</v>
      </c>
      <c r="W3665" t="s">
        <v>42376</v>
      </c>
      <c r="X3665" t="s">
        <v>44909</v>
      </c>
    </row>
    <row r="3666" spans="1:24">
      <c r="A3666">
        <f>HYPERLINK("https://www.philgeps.gov.ph/GEPSNONPILOT/Tender/SplashBidNoticeAbstractUI.aspx?menuIndex=3&amp;refID=7079987&amp;Result=3","7079987")</f>
        <v>0</v>
      </c>
      <c r="B3666" t="s">
        <v>400</v>
      </c>
      <c r="C3666" t="s">
        <v>7031</v>
      </c>
      <c r="D3666" t="s">
        <v>18178</v>
      </c>
      <c r="E3666" t="s">
        <v>18394</v>
      </c>
      <c r="F3666" t="s">
        <v>31362</v>
      </c>
      <c r="G3666" t="s">
        <v>31369</v>
      </c>
      <c r="H3666" t="s">
        <v>31378</v>
      </c>
      <c r="I3666" t="s">
        <v>31386</v>
      </c>
      <c r="J3666" t="s">
        <v>31738</v>
      </c>
      <c r="K3666" t="s">
        <v>40661</v>
      </c>
      <c r="M3666" t="s">
        <v>41349</v>
      </c>
      <c r="N3666" t="s">
        <v>44905</v>
      </c>
      <c r="O3666" t="s">
        <v>44906</v>
      </c>
      <c r="P3666">
        <v>0</v>
      </c>
      <c r="Q3666">
        <v>0</v>
      </c>
      <c r="R3666" t="s">
        <v>44908</v>
      </c>
      <c r="S3666" t="s">
        <v>45042</v>
      </c>
      <c r="T3666" t="s">
        <v>46588</v>
      </c>
      <c r="U3666" t="s">
        <v>49934</v>
      </c>
      <c r="V3666" t="s">
        <v>59427</v>
      </c>
      <c r="W3666" t="s">
        <v>41349</v>
      </c>
      <c r="X3666" t="s">
        <v>44909</v>
      </c>
    </row>
    <row r="3667" spans="1:24">
      <c r="A3667">
        <f>HYPERLINK("https://www.philgeps.gov.ph/GEPSNONPILOT/Tender/SplashBidNoticeAbstractUI.aspx?menuIndex=3&amp;refID=7079986&amp;Result=3","7079986")</f>
        <v>0</v>
      </c>
      <c r="B3667" t="s">
        <v>1164</v>
      </c>
      <c r="C3667" t="s">
        <v>7032</v>
      </c>
      <c r="D3667" t="s">
        <v>18111</v>
      </c>
      <c r="E3667" t="s">
        <v>21296</v>
      </c>
      <c r="F3667" t="s">
        <v>31362</v>
      </c>
      <c r="G3667" t="s">
        <v>31370</v>
      </c>
      <c r="H3667" t="s">
        <v>15799</v>
      </c>
      <c r="I3667" t="s">
        <v>31406</v>
      </c>
      <c r="J3667" t="s">
        <v>32356</v>
      </c>
      <c r="K3667" t="s">
        <v>40670</v>
      </c>
      <c r="M3667" t="s">
        <v>42174</v>
      </c>
      <c r="N3667" t="s">
        <v>44905</v>
      </c>
      <c r="O3667" t="s">
        <v>44906</v>
      </c>
      <c r="P3667">
        <v>0</v>
      </c>
      <c r="Q3667">
        <v>2</v>
      </c>
      <c r="R3667" t="s">
        <v>44908</v>
      </c>
      <c r="S3667" t="s">
        <v>45042</v>
      </c>
      <c r="T3667" t="s">
        <v>46414</v>
      </c>
      <c r="U3667" t="s">
        <v>49454</v>
      </c>
      <c r="W3667" t="s">
        <v>42174</v>
      </c>
      <c r="X3667" t="s">
        <v>44909</v>
      </c>
    </row>
    <row r="3668" spans="1:24">
      <c r="A3668">
        <f>HYPERLINK("https://www.philgeps.gov.ph/GEPSNONPILOT/Tender/SplashBidNoticeAbstractUI.aspx?menuIndex=3&amp;refID=7079898&amp;Result=3","7079898")</f>
        <v>0</v>
      </c>
      <c r="B3668" t="s">
        <v>1260</v>
      </c>
      <c r="C3668" t="s">
        <v>7033</v>
      </c>
      <c r="D3668" t="s">
        <v>18142</v>
      </c>
      <c r="E3668" t="s">
        <v>21487</v>
      </c>
      <c r="F3668" t="s">
        <v>31362</v>
      </c>
      <c r="G3668" t="s">
        <v>31372</v>
      </c>
      <c r="H3668" t="s">
        <v>15799</v>
      </c>
      <c r="I3668" t="s">
        <v>31385</v>
      </c>
      <c r="J3668" t="s">
        <v>33954</v>
      </c>
      <c r="K3668" t="s">
        <v>40677</v>
      </c>
      <c r="M3668" t="s">
        <v>42276</v>
      </c>
      <c r="N3668" t="s">
        <v>44905</v>
      </c>
      <c r="O3668" t="s">
        <v>44906</v>
      </c>
      <c r="P3668">
        <v>0</v>
      </c>
      <c r="Q3668">
        <v>2</v>
      </c>
      <c r="R3668" t="s">
        <v>44908</v>
      </c>
      <c r="S3668" t="s">
        <v>45042</v>
      </c>
      <c r="T3668" t="s">
        <v>46426</v>
      </c>
      <c r="U3668" t="s">
        <v>49683</v>
      </c>
      <c r="W3668" t="s">
        <v>42276</v>
      </c>
      <c r="X3668" t="s">
        <v>44909</v>
      </c>
    </row>
    <row r="3669" spans="1:24">
      <c r="A3669">
        <f>HYPERLINK("https://www.philgeps.gov.ph/GEPSNONPILOT/Tender/SplashBidNoticeAbstractUI.aspx?menuIndex=3&amp;refID=7080201&amp;Result=3","7080201")</f>
        <v>0</v>
      </c>
      <c r="B3669" t="s">
        <v>1033</v>
      </c>
      <c r="C3669" t="s">
        <v>7034</v>
      </c>
      <c r="D3669" t="s">
        <v>18162</v>
      </c>
      <c r="E3669" t="s">
        <v>21488</v>
      </c>
      <c r="F3669" t="s">
        <v>31362</v>
      </c>
      <c r="G3669" t="s">
        <v>31369</v>
      </c>
      <c r="H3669" t="s">
        <v>15799</v>
      </c>
      <c r="I3669" t="s">
        <v>7188</v>
      </c>
      <c r="J3669" t="s">
        <v>31545</v>
      </c>
      <c r="K3669" t="s">
        <v>40670</v>
      </c>
      <c r="M3669" t="s">
        <v>42032</v>
      </c>
      <c r="N3669" t="s">
        <v>44905</v>
      </c>
      <c r="O3669" t="s">
        <v>44906</v>
      </c>
      <c r="P3669">
        <v>0</v>
      </c>
      <c r="Q3669">
        <v>0</v>
      </c>
      <c r="R3669" t="s">
        <v>44908</v>
      </c>
      <c r="S3669" t="s">
        <v>45042</v>
      </c>
      <c r="T3669" t="s">
        <v>46430</v>
      </c>
      <c r="U3669" t="s">
        <v>49935</v>
      </c>
      <c r="W3669" t="s">
        <v>42032</v>
      </c>
      <c r="X3669" t="s">
        <v>44909</v>
      </c>
    </row>
    <row r="3670" spans="1:24">
      <c r="A3670">
        <f>HYPERLINK("https://www.philgeps.gov.ph/GEPSNONPILOT/Tender/SplashBidNoticeAbstractUI.aspx?menuIndex=3&amp;refID=7079897&amp;Result=3","7079897")</f>
        <v>0</v>
      </c>
      <c r="B3670" t="s">
        <v>1356</v>
      </c>
      <c r="C3670" t="s">
        <v>7035</v>
      </c>
      <c r="D3670" t="s">
        <v>18108</v>
      </c>
      <c r="E3670" t="s">
        <v>21489</v>
      </c>
      <c r="F3670" t="s">
        <v>31362</v>
      </c>
      <c r="G3670" t="s">
        <v>31368</v>
      </c>
      <c r="H3670" t="s">
        <v>15799</v>
      </c>
      <c r="I3670" t="s">
        <v>31493</v>
      </c>
      <c r="J3670" t="s">
        <v>33955</v>
      </c>
      <c r="K3670" t="s">
        <v>40697</v>
      </c>
      <c r="M3670" t="s">
        <v>42377</v>
      </c>
      <c r="N3670" t="s">
        <v>44905</v>
      </c>
      <c r="O3670" t="s">
        <v>44906</v>
      </c>
      <c r="P3670">
        <v>0</v>
      </c>
      <c r="Q3670">
        <v>1</v>
      </c>
      <c r="R3670" t="s">
        <v>44908</v>
      </c>
      <c r="S3670" t="s">
        <v>45042</v>
      </c>
      <c r="T3670" t="s">
        <v>46394</v>
      </c>
      <c r="U3670" t="s">
        <v>49936</v>
      </c>
      <c r="W3670" t="s">
        <v>42377</v>
      </c>
      <c r="X3670" t="s">
        <v>44909</v>
      </c>
    </row>
    <row r="3671" spans="1:24">
      <c r="A3671">
        <f>HYPERLINK("https://www.philgeps.gov.ph/GEPSNONPILOT/Tender/SplashBidNoticeAbstractUI.aspx?menuIndex=3&amp;refID=7079893&amp;Result=3","7079893")</f>
        <v>0</v>
      </c>
      <c r="B3671" t="s">
        <v>1271</v>
      </c>
      <c r="C3671" t="s">
        <v>7036</v>
      </c>
      <c r="D3671" t="s">
        <v>18179</v>
      </c>
      <c r="E3671" t="s">
        <v>21490</v>
      </c>
      <c r="F3671" t="s">
        <v>31362</v>
      </c>
      <c r="G3671" t="s">
        <v>31369</v>
      </c>
      <c r="H3671" t="s">
        <v>15799</v>
      </c>
      <c r="I3671" t="s">
        <v>3815</v>
      </c>
      <c r="J3671" t="s">
        <v>31817</v>
      </c>
      <c r="K3671" t="s">
        <v>40665</v>
      </c>
      <c r="M3671" t="s">
        <v>42288</v>
      </c>
      <c r="N3671" t="s">
        <v>44905</v>
      </c>
      <c r="O3671" t="s">
        <v>44906</v>
      </c>
      <c r="P3671">
        <v>0</v>
      </c>
      <c r="Q3671">
        <v>0</v>
      </c>
      <c r="R3671" t="s">
        <v>44908</v>
      </c>
      <c r="S3671" t="s">
        <v>45042</v>
      </c>
      <c r="T3671" t="s">
        <v>46470</v>
      </c>
      <c r="U3671" t="s">
        <v>49937</v>
      </c>
      <c r="W3671" t="s">
        <v>42288</v>
      </c>
      <c r="X3671" t="s">
        <v>44909</v>
      </c>
    </row>
    <row r="3672" spans="1:24">
      <c r="A3672">
        <f>HYPERLINK("https://www.philgeps.gov.ph/GEPSNONPILOT/Tender/SplashBidNoticeAbstractUI.aspx?menuIndex=3&amp;refID=7080208&amp;Result=3","7080208")</f>
        <v>0</v>
      </c>
      <c r="B3672" t="s">
        <v>1357</v>
      </c>
      <c r="C3672" t="s">
        <v>7037</v>
      </c>
      <c r="D3672" t="s">
        <v>18139</v>
      </c>
      <c r="E3672" t="s">
        <v>21491</v>
      </c>
      <c r="F3672" t="s">
        <v>31362</v>
      </c>
      <c r="G3672" t="s">
        <v>31369</v>
      </c>
      <c r="H3672" t="s">
        <v>15799</v>
      </c>
      <c r="I3672" t="s">
        <v>3815</v>
      </c>
      <c r="J3672" t="s">
        <v>31530</v>
      </c>
      <c r="K3672" t="s">
        <v>40662</v>
      </c>
      <c r="M3672" t="s">
        <v>42378</v>
      </c>
      <c r="N3672" t="s">
        <v>44905</v>
      </c>
      <c r="O3672" t="s">
        <v>44906</v>
      </c>
      <c r="P3672">
        <v>0</v>
      </c>
      <c r="Q3672">
        <v>0</v>
      </c>
      <c r="R3672" t="s">
        <v>44908</v>
      </c>
      <c r="S3672" t="s">
        <v>45042</v>
      </c>
      <c r="T3672" t="s">
        <v>46397</v>
      </c>
      <c r="U3672" t="s">
        <v>49938</v>
      </c>
      <c r="W3672" t="s">
        <v>42378</v>
      </c>
      <c r="X3672" t="s">
        <v>44909</v>
      </c>
    </row>
    <row r="3673" spans="1:24">
      <c r="A3673">
        <f>HYPERLINK("https://www.philgeps.gov.ph/GEPSNONPILOT/Tender/SplashBidNoticeAbstractUI.aspx?menuIndex=3&amp;refID=7079992&amp;Result=3","7079992")</f>
        <v>0</v>
      </c>
      <c r="B3673" t="s">
        <v>1261</v>
      </c>
      <c r="C3673" t="s">
        <v>7038</v>
      </c>
      <c r="D3673" t="s">
        <v>18113</v>
      </c>
      <c r="E3673" t="s">
        <v>7038</v>
      </c>
      <c r="F3673" t="s">
        <v>31362</v>
      </c>
      <c r="G3673" t="s">
        <v>31369</v>
      </c>
      <c r="H3673" t="s">
        <v>15799</v>
      </c>
      <c r="I3673" t="s">
        <v>31404</v>
      </c>
      <c r="J3673" t="s">
        <v>33956</v>
      </c>
      <c r="K3673" t="s">
        <v>40662</v>
      </c>
      <c r="M3673" t="s">
        <v>42277</v>
      </c>
      <c r="N3673" t="s">
        <v>44905</v>
      </c>
      <c r="O3673" t="s">
        <v>44906</v>
      </c>
      <c r="P3673">
        <v>0</v>
      </c>
      <c r="Q3673">
        <v>0</v>
      </c>
      <c r="R3673" t="s">
        <v>44908</v>
      </c>
      <c r="S3673" t="s">
        <v>45042</v>
      </c>
      <c r="T3673" t="s">
        <v>46611</v>
      </c>
      <c r="U3673" t="s">
        <v>49939</v>
      </c>
      <c r="W3673" t="s">
        <v>42277</v>
      </c>
      <c r="X3673" t="s">
        <v>44909</v>
      </c>
    </row>
    <row r="3674" spans="1:24">
      <c r="A3674">
        <f>HYPERLINK("https://www.philgeps.gov.ph/GEPSNONPILOT/Tender/SplashBidNoticeAbstractUI.aspx?menuIndex=3&amp;refID=7079894&amp;Result=3","7079894")</f>
        <v>0</v>
      </c>
      <c r="B3674" t="s">
        <v>1260</v>
      </c>
      <c r="C3674" t="s">
        <v>7039</v>
      </c>
      <c r="D3674" t="s">
        <v>18142</v>
      </c>
      <c r="E3674" t="s">
        <v>21492</v>
      </c>
      <c r="F3674" t="s">
        <v>31362</v>
      </c>
      <c r="G3674" t="s">
        <v>31372</v>
      </c>
      <c r="H3674" t="s">
        <v>15799</v>
      </c>
      <c r="I3674" t="s">
        <v>7188</v>
      </c>
      <c r="J3674" t="s">
        <v>31536</v>
      </c>
      <c r="K3674" t="s">
        <v>40677</v>
      </c>
      <c r="M3674" t="s">
        <v>42276</v>
      </c>
      <c r="N3674" t="s">
        <v>44905</v>
      </c>
      <c r="O3674" t="s">
        <v>44906</v>
      </c>
      <c r="P3674">
        <v>0</v>
      </c>
      <c r="Q3674">
        <v>4</v>
      </c>
      <c r="R3674" t="s">
        <v>44908</v>
      </c>
      <c r="S3674" t="s">
        <v>45042</v>
      </c>
      <c r="T3674" t="s">
        <v>46426</v>
      </c>
      <c r="U3674" t="s">
        <v>49683</v>
      </c>
      <c r="W3674" t="s">
        <v>42276</v>
      </c>
      <c r="X3674" t="s">
        <v>44909</v>
      </c>
    </row>
    <row r="3675" spans="1:24">
      <c r="A3675">
        <f>HYPERLINK("https://www.philgeps.gov.ph/GEPSNONPILOT/Tender/SplashBidNoticeAbstractUI.aspx?menuIndex=3&amp;refID=7079880&amp;Result=3","7079880")</f>
        <v>0</v>
      </c>
      <c r="B3675" t="s">
        <v>1033</v>
      </c>
      <c r="C3675" t="s">
        <v>7040</v>
      </c>
      <c r="D3675" t="s">
        <v>18162</v>
      </c>
      <c r="E3675" t="s">
        <v>21493</v>
      </c>
      <c r="F3675" t="s">
        <v>31362</v>
      </c>
      <c r="G3675" t="s">
        <v>31369</v>
      </c>
      <c r="H3675" t="s">
        <v>15799</v>
      </c>
      <c r="I3675" t="s">
        <v>31385</v>
      </c>
      <c r="J3675" t="s">
        <v>33957</v>
      </c>
      <c r="K3675" t="s">
        <v>40670</v>
      </c>
      <c r="M3675" t="s">
        <v>42032</v>
      </c>
      <c r="N3675" t="s">
        <v>44905</v>
      </c>
      <c r="O3675" t="s">
        <v>44906</v>
      </c>
      <c r="P3675">
        <v>0</v>
      </c>
      <c r="Q3675">
        <v>0</v>
      </c>
      <c r="R3675" t="s">
        <v>44908</v>
      </c>
      <c r="S3675" t="s">
        <v>45042</v>
      </c>
      <c r="T3675" t="s">
        <v>46430</v>
      </c>
      <c r="U3675" t="s">
        <v>49940</v>
      </c>
      <c r="W3675" t="s">
        <v>42032</v>
      </c>
      <c r="X3675" t="s">
        <v>44909</v>
      </c>
    </row>
    <row r="3676" spans="1:24">
      <c r="A3676">
        <f>HYPERLINK("https://www.philgeps.gov.ph/GEPSNONPILOT/Tender/SplashBidNoticeAbstractUI.aspx?menuIndex=3&amp;refID=7079989&amp;Result=3","7079989")</f>
        <v>0</v>
      </c>
      <c r="B3676" t="s">
        <v>1358</v>
      </c>
      <c r="C3676" t="s">
        <v>7041</v>
      </c>
      <c r="D3676" t="s">
        <v>18117</v>
      </c>
      <c r="E3676" t="s">
        <v>18203</v>
      </c>
      <c r="F3676" t="s">
        <v>31362</v>
      </c>
      <c r="G3676" t="s">
        <v>31369</v>
      </c>
      <c r="H3676" t="s">
        <v>15799</v>
      </c>
      <c r="I3676" t="s">
        <v>3815</v>
      </c>
      <c r="J3676" t="s">
        <v>33958</v>
      </c>
      <c r="K3676" t="s">
        <v>40670</v>
      </c>
      <c r="M3676" t="s">
        <v>42379</v>
      </c>
      <c r="N3676" t="s">
        <v>44905</v>
      </c>
      <c r="O3676" t="s">
        <v>44906</v>
      </c>
      <c r="P3676">
        <v>0</v>
      </c>
      <c r="Q3676">
        <v>0</v>
      </c>
      <c r="R3676" t="s">
        <v>44908</v>
      </c>
      <c r="S3676" t="s">
        <v>45042</v>
      </c>
      <c r="T3676" t="s">
        <v>46505</v>
      </c>
      <c r="U3676" t="s">
        <v>49941</v>
      </c>
      <c r="V3676" t="s">
        <v>59428</v>
      </c>
      <c r="W3676" t="s">
        <v>42379</v>
      </c>
      <c r="X3676" t="s">
        <v>44909</v>
      </c>
    </row>
    <row r="3677" spans="1:24">
      <c r="A3677">
        <f>HYPERLINK("https://www.philgeps.gov.ph/GEPSNONPILOT/Tender/SplashBidNoticeAbstractUI.aspx?menuIndex=3&amp;refID=7080239&amp;Result=3","7080239")</f>
        <v>0</v>
      </c>
      <c r="B3677" t="s">
        <v>223</v>
      </c>
      <c r="C3677" t="s">
        <v>7042</v>
      </c>
      <c r="D3677" t="s">
        <v>18153</v>
      </c>
      <c r="E3677" t="s">
        <v>21494</v>
      </c>
      <c r="F3677" t="s">
        <v>31362</v>
      </c>
      <c r="G3677" t="s">
        <v>31368</v>
      </c>
      <c r="H3677" t="s">
        <v>15799</v>
      </c>
      <c r="I3677" t="s">
        <v>31385</v>
      </c>
      <c r="J3677" t="s">
        <v>33959</v>
      </c>
      <c r="K3677" t="s">
        <v>40666</v>
      </c>
      <c r="M3677" t="s">
        <v>41162</v>
      </c>
      <c r="N3677" t="s">
        <v>44905</v>
      </c>
      <c r="O3677" t="s">
        <v>44906</v>
      </c>
      <c r="P3677">
        <v>0</v>
      </c>
      <c r="Q3677">
        <v>2</v>
      </c>
      <c r="R3677" t="s">
        <v>44908</v>
      </c>
      <c r="S3677" t="s">
        <v>45042</v>
      </c>
      <c r="T3677" t="s">
        <v>46435</v>
      </c>
      <c r="U3677" t="s">
        <v>49942</v>
      </c>
      <c r="W3677" t="s">
        <v>41162</v>
      </c>
      <c r="X3677" t="s">
        <v>44909</v>
      </c>
    </row>
    <row r="3678" spans="1:24">
      <c r="A3678">
        <f>HYPERLINK("https://www.philgeps.gov.ph/GEPSNONPILOT/Tender/SplashBidNoticeAbstractUI.aspx?menuIndex=3&amp;refID=7080213&amp;Result=3","7080213")</f>
        <v>0</v>
      </c>
      <c r="B3678" t="s">
        <v>534</v>
      </c>
      <c r="C3678" t="s">
        <v>7043</v>
      </c>
      <c r="D3678" t="s">
        <v>18131</v>
      </c>
      <c r="E3678" t="s">
        <v>21495</v>
      </c>
      <c r="F3678" t="s">
        <v>31362</v>
      </c>
      <c r="G3678" t="s">
        <v>31368</v>
      </c>
      <c r="H3678" t="s">
        <v>15799</v>
      </c>
      <c r="I3678" t="s">
        <v>31400</v>
      </c>
      <c r="J3678" t="s">
        <v>33960</v>
      </c>
      <c r="K3678" t="s">
        <v>40670</v>
      </c>
      <c r="M3678" t="s">
        <v>41490</v>
      </c>
      <c r="N3678" t="s">
        <v>44905</v>
      </c>
      <c r="O3678" t="s">
        <v>44906</v>
      </c>
      <c r="P3678">
        <v>0</v>
      </c>
      <c r="Q3678">
        <v>0</v>
      </c>
      <c r="R3678" t="s">
        <v>44908</v>
      </c>
      <c r="S3678" t="s">
        <v>45042</v>
      </c>
      <c r="T3678" t="s">
        <v>46435</v>
      </c>
      <c r="U3678" t="s">
        <v>49943</v>
      </c>
      <c r="W3678" t="s">
        <v>41490</v>
      </c>
      <c r="X3678" t="s">
        <v>44909</v>
      </c>
    </row>
    <row r="3679" spans="1:24">
      <c r="A3679">
        <f>HYPERLINK("https://www.philgeps.gov.ph/GEPSNONPILOT/Tender/SplashBidNoticeAbstractUI.aspx?menuIndex=3&amp;refID=7080238&amp;Result=3","7080238")</f>
        <v>0</v>
      </c>
      <c r="B3679" t="s">
        <v>1359</v>
      </c>
      <c r="C3679" t="s">
        <v>7044</v>
      </c>
      <c r="D3679" t="s">
        <v>18122</v>
      </c>
      <c r="E3679" t="s">
        <v>21496</v>
      </c>
      <c r="F3679" t="s">
        <v>31363</v>
      </c>
      <c r="G3679" t="s">
        <v>31370</v>
      </c>
      <c r="H3679" t="s">
        <v>15799</v>
      </c>
      <c r="I3679" t="s">
        <v>6373</v>
      </c>
      <c r="J3679" t="s">
        <v>32356</v>
      </c>
      <c r="K3679" t="s">
        <v>40697</v>
      </c>
      <c r="M3679" t="s">
        <v>42380</v>
      </c>
      <c r="N3679" t="s">
        <v>44905</v>
      </c>
      <c r="O3679" t="s">
        <v>44906</v>
      </c>
      <c r="P3679">
        <v>0</v>
      </c>
      <c r="Q3679">
        <v>0</v>
      </c>
      <c r="R3679" t="s">
        <v>44908</v>
      </c>
      <c r="S3679" t="s">
        <v>45042</v>
      </c>
      <c r="T3679" t="s">
        <v>46416</v>
      </c>
      <c r="U3679" t="s">
        <v>49944</v>
      </c>
      <c r="W3679" t="s">
        <v>42380</v>
      </c>
      <c r="X3679" t="s">
        <v>44909</v>
      </c>
    </row>
    <row r="3680" spans="1:24">
      <c r="A3680">
        <f>HYPERLINK("https://www.philgeps.gov.ph/GEPSNONPILOT/Tender/SplashBidNoticeAbstractUI.aspx?menuIndex=3&amp;refID=7080237&amp;Result=3","7080237")</f>
        <v>0</v>
      </c>
      <c r="B3680" t="s">
        <v>1317</v>
      </c>
      <c r="C3680" t="s">
        <v>7045</v>
      </c>
      <c r="D3680" t="s">
        <v>18136</v>
      </c>
      <c r="E3680" t="s">
        <v>21497</v>
      </c>
      <c r="F3680" t="s">
        <v>31362</v>
      </c>
      <c r="G3680" t="s">
        <v>31368</v>
      </c>
      <c r="H3680" t="s">
        <v>15799</v>
      </c>
      <c r="I3680" t="s">
        <v>31387</v>
      </c>
      <c r="J3680" t="s">
        <v>33961</v>
      </c>
      <c r="K3680" t="s">
        <v>40665</v>
      </c>
      <c r="M3680" t="s">
        <v>42335</v>
      </c>
      <c r="N3680" t="s">
        <v>44905</v>
      </c>
      <c r="O3680" t="s">
        <v>44906</v>
      </c>
      <c r="P3680">
        <v>0</v>
      </c>
      <c r="Q3680">
        <v>1</v>
      </c>
      <c r="R3680" t="s">
        <v>44908</v>
      </c>
      <c r="S3680" t="s">
        <v>45042</v>
      </c>
      <c r="T3680" t="s">
        <v>46413</v>
      </c>
      <c r="U3680" t="s">
        <v>49945</v>
      </c>
      <c r="W3680" t="s">
        <v>42335</v>
      </c>
      <c r="X3680" t="s">
        <v>44909</v>
      </c>
    </row>
    <row r="3681" spans="1:24">
      <c r="A3681">
        <f>HYPERLINK("https://www.philgeps.gov.ph/GEPSNONPILOT/Tender/SplashBidNoticeAbstractUI.aspx?menuIndex=3&amp;refID=7079895&amp;Result=3","7079895")</f>
        <v>0</v>
      </c>
      <c r="B3681" t="s">
        <v>1360</v>
      </c>
      <c r="C3681" t="s">
        <v>7046</v>
      </c>
      <c r="D3681" t="s">
        <v>18117</v>
      </c>
      <c r="E3681" t="s">
        <v>21498</v>
      </c>
      <c r="F3681" t="s">
        <v>31362</v>
      </c>
      <c r="G3681" t="s">
        <v>31370</v>
      </c>
      <c r="H3681" t="s">
        <v>15799</v>
      </c>
      <c r="I3681" t="s">
        <v>31421</v>
      </c>
      <c r="J3681" t="s">
        <v>33390</v>
      </c>
      <c r="K3681" t="s">
        <v>40672</v>
      </c>
      <c r="M3681" t="s">
        <v>42381</v>
      </c>
      <c r="N3681" t="s">
        <v>44905</v>
      </c>
      <c r="O3681" t="s">
        <v>44906</v>
      </c>
      <c r="P3681">
        <v>0</v>
      </c>
      <c r="Q3681">
        <v>1</v>
      </c>
      <c r="R3681" t="s">
        <v>44908</v>
      </c>
      <c r="S3681" t="s">
        <v>45042</v>
      </c>
      <c r="T3681" t="s">
        <v>46412</v>
      </c>
      <c r="U3681" t="s">
        <v>49946</v>
      </c>
      <c r="W3681" t="s">
        <v>42381</v>
      </c>
      <c r="X3681" t="s">
        <v>44909</v>
      </c>
    </row>
    <row r="3682" spans="1:24">
      <c r="A3682">
        <f>HYPERLINK("https://www.philgeps.gov.ph/GEPSNONPILOT/Tender/SplashBidNoticeAbstractUI.aspx?menuIndex=3&amp;refID=7080234&amp;Result=3","7080234")</f>
        <v>0</v>
      </c>
      <c r="B3682" t="s">
        <v>797</v>
      </c>
      <c r="C3682" t="s">
        <v>7047</v>
      </c>
      <c r="D3682" t="s">
        <v>18152</v>
      </c>
      <c r="E3682" t="s">
        <v>21499</v>
      </c>
      <c r="F3682" t="s">
        <v>31362</v>
      </c>
      <c r="G3682" t="s">
        <v>31369</v>
      </c>
      <c r="H3682" t="s">
        <v>31377</v>
      </c>
      <c r="I3682" t="s">
        <v>31377</v>
      </c>
      <c r="J3682" t="s">
        <v>33962</v>
      </c>
      <c r="K3682" t="s">
        <v>40665</v>
      </c>
      <c r="M3682" t="s">
        <v>42369</v>
      </c>
      <c r="N3682" t="s">
        <v>44905</v>
      </c>
      <c r="O3682" t="s">
        <v>44906</v>
      </c>
      <c r="P3682">
        <v>0</v>
      </c>
      <c r="Q3682">
        <v>2</v>
      </c>
      <c r="R3682" t="s">
        <v>44908</v>
      </c>
      <c r="S3682" t="s">
        <v>45042</v>
      </c>
      <c r="T3682" t="s">
        <v>46441</v>
      </c>
      <c r="U3682" t="s">
        <v>49947</v>
      </c>
      <c r="V3682" t="s">
        <v>59429</v>
      </c>
      <c r="W3682" t="s">
        <v>42369</v>
      </c>
      <c r="X3682" t="s">
        <v>44909</v>
      </c>
    </row>
    <row r="3683" spans="1:24">
      <c r="A3683">
        <f>HYPERLINK("https://www.philgeps.gov.ph/GEPSNONPILOT/Tender/SplashBidNoticeAbstractUI.aspx?menuIndex=3&amp;refID=7080241&amp;Result=3","7080241")</f>
        <v>0</v>
      </c>
      <c r="B3683" t="s">
        <v>1342</v>
      </c>
      <c r="C3683" t="s">
        <v>7048</v>
      </c>
      <c r="D3683" t="s">
        <v>18108</v>
      </c>
      <c r="E3683" t="s">
        <v>21500</v>
      </c>
      <c r="F3683" t="s">
        <v>31362</v>
      </c>
      <c r="G3683" t="s">
        <v>31369</v>
      </c>
      <c r="H3683" t="s">
        <v>15799</v>
      </c>
      <c r="I3683" t="s">
        <v>31469</v>
      </c>
      <c r="J3683" t="s">
        <v>33963</v>
      </c>
      <c r="K3683" t="s">
        <v>40672</v>
      </c>
      <c r="M3683" t="s">
        <v>42361</v>
      </c>
      <c r="N3683" t="s">
        <v>44905</v>
      </c>
      <c r="O3683" t="s">
        <v>44906</v>
      </c>
      <c r="P3683">
        <v>0</v>
      </c>
      <c r="Q3683">
        <v>5</v>
      </c>
      <c r="R3683" t="s">
        <v>44908</v>
      </c>
      <c r="S3683" t="s">
        <v>45042</v>
      </c>
      <c r="T3683" t="s">
        <v>46483</v>
      </c>
      <c r="U3683" t="s">
        <v>49894</v>
      </c>
      <c r="W3683" t="s">
        <v>42361</v>
      </c>
      <c r="X3683" t="s">
        <v>44909</v>
      </c>
    </row>
    <row r="3684" spans="1:24">
      <c r="A3684">
        <f>HYPERLINK("https://www.philgeps.gov.ph/GEPSNONPILOT/Tender/SplashBidNoticeAbstractUI.aspx?menuIndex=3&amp;refID=7080233&amp;Result=3","7080233")</f>
        <v>0</v>
      </c>
      <c r="B3684" t="s">
        <v>1164</v>
      </c>
      <c r="C3684" t="s">
        <v>7049</v>
      </c>
      <c r="D3684" t="s">
        <v>18111</v>
      </c>
      <c r="E3684" t="s">
        <v>21083</v>
      </c>
      <c r="F3684" t="s">
        <v>31362</v>
      </c>
      <c r="G3684" t="s">
        <v>31370</v>
      </c>
      <c r="H3684" t="s">
        <v>15799</v>
      </c>
      <c r="I3684" t="s">
        <v>7188</v>
      </c>
      <c r="J3684" t="s">
        <v>33964</v>
      </c>
      <c r="K3684" t="s">
        <v>40670</v>
      </c>
      <c r="M3684" t="s">
        <v>42174</v>
      </c>
      <c r="N3684" t="s">
        <v>44905</v>
      </c>
      <c r="O3684" t="s">
        <v>44906</v>
      </c>
      <c r="P3684">
        <v>0</v>
      </c>
      <c r="Q3684">
        <v>0</v>
      </c>
      <c r="R3684" t="s">
        <v>44908</v>
      </c>
      <c r="S3684" t="s">
        <v>45042</v>
      </c>
      <c r="T3684" t="s">
        <v>46414</v>
      </c>
      <c r="U3684" t="s">
        <v>49454</v>
      </c>
      <c r="W3684" t="s">
        <v>42174</v>
      </c>
      <c r="X3684" t="s">
        <v>44909</v>
      </c>
    </row>
    <row r="3685" spans="1:24">
      <c r="A3685">
        <f>HYPERLINK("https://www.philgeps.gov.ph/GEPSNONPILOT/Tender/SplashBidNoticeAbstractUI.aspx?menuIndex=3&amp;refID=7080240&amp;Result=3","7080240")</f>
        <v>0</v>
      </c>
      <c r="B3685" t="s">
        <v>1361</v>
      </c>
      <c r="C3685" t="s">
        <v>7050</v>
      </c>
      <c r="D3685" t="s">
        <v>18140</v>
      </c>
      <c r="E3685" t="s">
        <v>21501</v>
      </c>
      <c r="F3685" t="s">
        <v>31362</v>
      </c>
      <c r="G3685" t="s">
        <v>31369</v>
      </c>
      <c r="H3685" t="s">
        <v>31378</v>
      </c>
      <c r="I3685" t="s">
        <v>31386</v>
      </c>
      <c r="J3685" t="s">
        <v>33965</v>
      </c>
      <c r="K3685" t="s">
        <v>40682</v>
      </c>
      <c r="M3685" t="s">
        <v>42382</v>
      </c>
      <c r="N3685" t="s">
        <v>44905</v>
      </c>
      <c r="O3685" t="s">
        <v>44906</v>
      </c>
      <c r="P3685">
        <v>0</v>
      </c>
      <c r="Q3685">
        <v>1</v>
      </c>
      <c r="R3685" t="s">
        <v>44908</v>
      </c>
      <c r="S3685" t="s">
        <v>45042</v>
      </c>
      <c r="T3685" t="s">
        <v>46433</v>
      </c>
      <c r="U3685" t="s">
        <v>49948</v>
      </c>
      <c r="W3685" t="s">
        <v>42382</v>
      </c>
      <c r="X3685" t="s">
        <v>44909</v>
      </c>
    </row>
    <row r="3686" spans="1:24">
      <c r="A3686">
        <f>HYPERLINK("https://www.philgeps.gov.ph/GEPSNONPILOT/Tender/SplashBidNoticeAbstractUI.aspx?menuIndex=3&amp;refID=7080227&amp;Result=3","7080227")</f>
        <v>0</v>
      </c>
      <c r="B3686" t="s">
        <v>1281</v>
      </c>
      <c r="C3686" t="s">
        <v>7051</v>
      </c>
      <c r="D3686" t="s">
        <v>18156</v>
      </c>
      <c r="E3686" t="s">
        <v>21502</v>
      </c>
      <c r="F3686" t="s">
        <v>31362</v>
      </c>
      <c r="G3686" t="s">
        <v>31369</v>
      </c>
      <c r="H3686" t="s">
        <v>31378</v>
      </c>
      <c r="I3686" t="s">
        <v>31392</v>
      </c>
      <c r="J3686" t="s">
        <v>33966</v>
      </c>
      <c r="K3686" t="s">
        <v>40679</v>
      </c>
      <c r="M3686" t="s">
        <v>42298</v>
      </c>
      <c r="N3686" t="s">
        <v>44905</v>
      </c>
      <c r="O3686" t="s">
        <v>44906</v>
      </c>
      <c r="P3686">
        <v>0</v>
      </c>
      <c r="Q3686">
        <v>5</v>
      </c>
      <c r="R3686" t="s">
        <v>44908</v>
      </c>
      <c r="S3686" t="s">
        <v>45042</v>
      </c>
      <c r="T3686" t="s">
        <v>46395</v>
      </c>
      <c r="U3686" t="s">
        <v>49949</v>
      </c>
      <c r="W3686" t="s">
        <v>42298</v>
      </c>
      <c r="X3686" t="s">
        <v>44909</v>
      </c>
    </row>
    <row r="3687" spans="1:24">
      <c r="A3687">
        <f>HYPERLINK("https://www.philgeps.gov.ph/GEPSNONPILOT/Tender/SplashBidNoticeAbstractUI.aspx?menuIndex=3&amp;refID=7080266&amp;Result=3","7080266")</f>
        <v>0</v>
      </c>
      <c r="B3687" t="s">
        <v>1342</v>
      </c>
      <c r="C3687" t="s">
        <v>7052</v>
      </c>
      <c r="D3687" t="s">
        <v>18108</v>
      </c>
      <c r="E3687" t="s">
        <v>21503</v>
      </c>
      <c r="F3687" t="s">
        <v>31362</v>
      </c>
      <c r="G3687" t="s">
        <v>31369</v>
      </c>
      <c r="H3687" t="s">
        <v>15799</v>
      </c>
      <c r="I3687" t="s">
        <v>31469</v>
      </c>
      <c r="J3687" t="s">
        <v>31806</v>
      </c>
      <c r="K3687" t="s">
        <v>40672</v>
      </c>
      <c r="M3687" t="s">
        <v>42361</v>
      </c>
      <c r="N3687" t="s">
        <v>44905</v>
      </c>
      <c r="O3687" t="s">
        <v>44906</v>
      </c>
      <c r="P3687">
        <v>0</v>
      </c>
      <c r="Q3687">
        <v>5</v>
      </c>
      <c r="R3687" t="s">
        <v>44908</v>
      </c>
      <c r="S3687" t="s">
        <v>45042</v>
      </c>
      <c r="T3687" t="s">
        <v>46483</v>
      </c>
      <c r="U3687" t="s">
        <v>49894</v>
      </c>
      <c r="W3687" t="s">
        <v>42361</v>
      </c>
      <c r="X3687" t="s">
        <v>44909</v>
      </c>
    </row>
    <row r="3688" spans="1:24">
      <c r="A3688">
        <f>HYPERLINK("https://www.philgeps.gov.ph/GEPSNONPILOT/Tender/SplashBidNoticeAbstractUI.aspx?menuIndex=3&amp;refID=7080263&amp;Result=3","7080263")</f>
        <v>0</v>
      </c>
      <c r="B3688" t="s">
        <v>1033</v>
      </c>
      <c r="C3688" t="s">
        <v>7053</v>
      </c>
      <c r="D3688" t="s">
        <v>18162</v>
      </c>
      <c r="E3688" t="s">
        <v>21504</v>
      </c>
      <c r="F3688" t="s">
        <v>31362</v>
      </c>
      <c r="G3688" t="s">
        <v>31369</v>
      </c>
      <c r="H3688" t="s">
        <v>15799</v>
      </c>
      <c r="I3688" t="s">
        <v>31385</v>
      </c>
      <c r="J3688" t="s">
        <v>33967</v>
      </c>
      <c r="K3688" t="s">
        <v>40670</v>
      </c>
      <c r="M3688" t="s">
        <v>42032</v>
      </c>
      <c r="N3688" t="s">
        <v>44905</v>
      </c>
      <c r="O3688" t="s">
        <v>44906</v>
      </c>
      <c r="P3688">
        <v>0</v>
      </c>
      <c r="Q3688">
        <v>0</v>
      </c>
      <c r="R3688" t="s">
        <v>44908</v>
      </c>
      <c r="S3688" t="s">
        <v>45042</v>
      </c>
      <c r="T3688" t="s">
        <v>46430</v>
      </c>
      <c r="U3688" t="s">
        <v>49950</v>
      </c>
      <c r="W3688" t="s">
        <v>42032</v>
      </c>
      <c r="X3688" t="s">
        <v>44909</v>
      </c>
    </row>
    <row r="3689" spans="1:24">
      <c r="A3689">
        <f>HYPERLINK("https://www.philgeps.gov.ph/GEPSNONPILOT/Tender/SplashBidNoticeAbstractUI.aspx?menuIndex=3&amp;refID=7080008&amp;Result=3","7080008")</f>
        <v>0</v>
      </c>
      <c r="B3689" t="s">
        <v>520</v>
      </c>
      <c r="C3689" t="s">
        <v>7054</v>
      </c>
      <c r="D3689" t="s">
        <v>18106</v>
      </c>
      <c r="E3689" t="s">
        <v>21505</v>
      </c>
      <c r="F3689" t="s">
        <v>31362</v>
      </c>
      <c r="G3689" t="s">
        <v>31369</v>
      </c>
      <c r="H3689" t="s">
        <v>31378</v>
      </c>
      <c r="I3689" t="s">
        <v>31386</v>
      </c>
      <c r="J3689" t="s">
        <v>33653</v>
      </c>
      <c r="K3689" t="s">
        <v>40694</v>
      </c>
      <c r="M3689" t="s">
        <v>41476</v>
      </c>
      <c r="N3689" t="s">
        <v>44905</v>
      </c>
      <c r="O3689" t="s">
        <v>44906</v>
      </c>
      <c r="P3689">
        <v>0</v>
      </c>
      <c r="Q3689">
        <v>4</v>
      </c>
      <c r="R3689" t="s">
        <v>44908</v>
      </c>
      <c r="S3689" t="s">
        <v>45042</v>
      </c>
      <c r="T3689" t="s">
        <v>46404</v>
      </c>
      <c r="U3689" t="s">
        <v>49951</v>
      </c>
      <c r="W3689" t="s">
        <v>41476</v>
      </c>
      <c r="X3689" t="s">
        <v>44909</v>
      </c>
    </row>
    <row r="3690" spans="1:24">
      <c r="A3690">
        <f>HYPERLINK("https://www.philgeps.gov.ph/GEPSNONPILOT/Tender/SplashBidNoticeAbstractUI.aspx?menuIndex=3&amp;refID=7080230&amp;Result=3","7080230")</f>
        <v>0</v>
      </c>
      <c r="B3690" t="s">
        <v>1341</v>
      </c>
      <c r="C3690" t="s">
        <v>7055</v>
      </c>
      <c r="D3690" t="s">
        <v>18107</v>
      </c>
      <c r="E3690" t="s">
        <v>7055</v>
      </c>
      <c r="F3690" t="s">
        <v>31362</v>
      </c>
      <c r="G3690" t="s">
        <v>31369</v>
      </c>
      <c r="H3690" t="s">
        <v>31378</v>
      </c>
      <c r="I3690" t="s">
        <v>31386</v>
      </c>
      <c r="J3690" t="s">
        <v>33968</v>
      </c>
      <c r="K3690" t="s">
        <v>40686</v>
      </c>
      <c r="M3690" t="s">
        <v>42360</v>
      </c>
      <c r="N3690" t="s">
        <v>44905</v>
      </c>
      <c r="O3690" t="s">
        <v>44906</v>
      </c>
      <c r="P3690">
        <v>0</v>
      </c>
      <c r="Q3690">
        <v>0</v>
      </c>
      <c r="R3690" t="s">
        <v>44908</v>
      </c>
      <c r="S3690" t="s">
        <v>45042</v>
      </c>
      <c r="T3690" t="s">
        <v>46620</v>
      </c>
      <c r="U3690" t="s">
        <v>49952</v>
      </c>
      <c r="W3690" t="s">
        <v>42360</v>
      </c>
      <c r="X3690" t="s">
        <v>44909</v>
      </c>
    </row>
    <row r="3691" spans="1:24">
      <c r="A3691">
        <f>HYPERLINK("https://www.philgeps.gov.ph/GEPSNONPILOT/Tender/SplashBidNoticeAbstractUI.aspx?menuIndex=3&amp;refID=7080258&amp;Result=3","7080258")</f>
        <v>0</v>
      </c>
      <c r="B3691" t="s">
        <v>299</v>
      </c>
      <c r="C3691" t="s">
        <v>7056</v>
      </c>
      <c r="D3691" t="s">
        <v>18108</v>
      </c>
      <c r="E3691" t="s">
        <v>21506</v>
      </c>
      <c r="F3691" t="s">
        <v>31362</v>
      </c>
      <c r="G3691" t="s">
        <v>31368</v>
      </c>
      <c r="H3691" t="s">
        <v>15799</v>
      </c>
      <c r="I3691" t="s">
        <v>7719</v>
      </c>
      <c r="J3691" t="s">
        <v>33969</v>
      </c>
      <c r="K3691" t="s">
        <v>40662</v>
      </c>
      <c r="M3691" t="s">
        <v>42027</v>
      </c>
      <c r="N3691" t="s">
        <v>44905</v>
      </c>
      <c r="O3691" t="s">
        <v>44906</v>
      </c>
      <c r="P3691">
        <v>0</v>
      </c>
      <c r="Q3691">
        <v>11</v>
      </c>
      <c r="R3691" t="s">
        <v>44908</v>
      </c>
      <c r="S3691" t="s">
        <v>45042</v>
      </c>
      <c r="T3691" t="s">
        <v>46657</v>
      </c>
      <c r="U3691" t="s">
        <v>49953</v>
      </c>
      <c r="W3691" t="s">
        <v>42027</v>
      </c>
      <c r="X3691" t="s">
        <v>44909</v>
      </c>
    </row>
    <row r="3692" spans="1:24">
      <c r="A3692">
        <f>HYPERLINK("https://www.philgeps.gov.ph/GEPSNONPILOT/Tender/SplashBidNoticeAbstractUI.aspx?menuIndex=3&amp;refID=7080228&amp;Result=3","7080228")</f>
        <v>0</v>
      </c>
      <c r="B3692" t="s">
        <v>1337</v>
      </c>
      <c r="C3692" t="s">
        <v>7057</v>
      </c>
      <c r="D3692" t="s">
        <v>18155</v>
      </c>
      <c r="E3692" t="s">
        <v>21507</v>
      </c>
      <c r="F3692" t="s">
        <v>31362</v>
      </c>
      <c r="G3692" t="s">
        <v>31369</v>
      </c>
      <c r="H3692" t="s">
        <v>15799</v>
      </c>
      <c r="I3692" t="s">
        <v>31487</v>
      </c>
      <c r="J3692" t="s">
        <v>33970</v>
      </c>
      <c r="K3692" t="s">
        <v>40666</v>
      </c>
      <c r="M3692" t="s">
        <v>42356</v>
      </c>
      <c r="N3692" t="s">
        <v>44905</v>
      </c>
      <c r="O3692" t="s">
        <v>44906</v>
      </c>
      <c r="P3692">
        <v>0</v>
      </c>
      <c r="Q3692">
        <v>2</v>
      </c>
      <c r="R3692" t="s">
        <v>44908</v>
      </c>
      <c r="S3692" t="s">
        <v>45042</v>
      </c>
      <c r="T3692" t="s">
        <v>46658</v>
      </c>
      <c r="U3692" t="s">
        <v>49954</v>
      </c>
      <c r="W3692" t="s">
        <v>42356</v>
      </c>
      <c r="X3692" t="s">
        <v>44909</v>
      </c>
    </row>
    <row r="3693" spans="1:24">
      <c r="A3693">
        <f>HYPERLINK("https://www.philgeps.gov.ph/GEPSNONPILOT/Tender/SplashBidNoticeAbstractUI.aspx?menuIndex=3&amp;refID=7080256&amp;Result=3","7080256")</f>
        <v>0</v>
      </c>
      <c r="B3693" t="s">
        <v>1311</v>
      </c>
      <c r="C3693" t="s">
        <v>7058</v>
      </c>
      <c r="D3693" t="s">
        <v>18156</v>
      </c>
      <c r="E3693" t="s">
        <v>21508</v>
      </c>
      <c r="F3693" t="s">
        <v>31362</v>
      </c>
      <c r="G3693" t="s">
        <v>31370</v>
      </c>
      <c r="H3693" t="s">
        <v>15799</v>
      </c>
      <c r="I3693" t="s">
        <v>7090</v>
      </c>
      <c r="J3693" t="s">
        <v>32751</v>
      </c>
      <c r="K3693" t="s">
        <v>40662</v>
      </c>
      <c r="M3693" t="s">
        <v>42329</v>
      </c>
      <c r="N3693" t="s">
        <v>44905</v>
      </c>
      <c r="O3693" t="s">
        <v>44906</v>
      </c>
      <c r="P3693">
        <v>0</v>
      </c>
      <c r="Q3693">
        <v>3</v>
      </c>
      <c r="R3693" t="s">
        <v>44908</v>
      </c>
      <c r="S3693" t="s">
        <v>45042</v>
      </c>
      <c r="T3693" t="s">
        <v>46454</v>
      </c>
      <c r="U3693" t="s">
        <v>49955</v>
      </c>
      <c r="V3693" t="s">
        <v>59417</v>
      </c>
      <c r="W3693" t="s">
        <v>42329</v>
      </c>
      <c r="X3693" t="s">
        <v>44909</v>
      </c>
    </row>
    <row r="3694" spans="1:24">
      <c r="A3694">
        <f>HYPERLINK("https://www.philgeps.gov.ph/GEPSNONPILOT/Tender/SplashBidNoticeAbstractUI.aspx?menuIndex=3&amp;refID=7080254&amp;Result=3","7080254")</f>
        <v>0</v>
      </c>
      <c r="B3694" t="s">
        <v>675</v>
      </c>
      <c r="C3694" t="s">
        <v>7059</v>
      </c>
      <c r="D3694" t="s">
        <v>18111</v>
      </c>
      <c r="E3694" t="s">
        <v>21509</v>
      </c>
      <c r="F3694" t="s">
        <v>31362</v>
      </c>
      <c r="G3694" t="s">
        <v>31368</v>
      </c>
      <c r="H3694" t="s">
        <v>15799</v>
      </c>
      <c r="I3694" t="s">
        <v>31393</v>
      </c>
      <c r="J3694" t="s">
        <v>33971</v>
      </c>
      <c r="K3694" t="s">
        <v>40662</v>
      </c>
      <c r="M3694" t="s">
        <v>41637</v>
      </c>
      <c r="N3694" t="s">
        <v>44905</v>
      </c>
      <c r="O3694" t="s">
        <v>44906</v>
      </c>
      <c r="P3694">
        <v>0</v>
      </c>
      <c r="Q3694">
        <v>7</v>
      </c>
      <c r="R3694" t="s">
        <v>44908</v>
      </c>
      <c r="S3694" t="s">
        <v>45042</v>
      </c>
      <c r="T3694" t="s">
        <v>46483</v>
      </c>
      <c r="U3694" t="s">
        <v>49915</v>
      </c>
      <c r="W3694" t="s">
        <v>41637</v>
      </c>
      <c r="X3694" t="s">
        <v>44909</v>
      </c>
    </row>
    <row r="3695" spans="1:24">
      <c r="A3695">
        <f>HYPERLINK("https://www.philgeps.gov.ph/GEPSNONPILOT/Tender/SplashBidNoticeAbstractUI.aspx?menuIndex=3&amp;refID=7080253&amp;Result=3","7080253")</f>
        <v>0</v>
      </c>
      <c r="B3695" t="s">
        <v>1362</v>
      </c>
      <c r="C3695" t="s">
        <v>7060</v>
      </c>
      <c r="D3695" t="s">
        <v>18160</v>
      </c>
      <c r="E3695" t="s">
        <v>21510</v>
      </c>
      <c r="F3695" t="s">
        <v>31362</v>
      </c>
      <c r="G3695" t="s">
        <v>31368</v>
      </c>
      <c r="H3695" t="s">
        <v>15799</v>
      </c>
      <c r="I3695" t="s">
        <v>6240</v>
      </c>
      <c r="J3695" t="s">
        <v>33972</v>
      </c>
      <c r="K3695" t="s">
        <v>40665</v>
      </c>
      <c r="M3695" t="s">
        <v>42383</v>
      </c>
      <c r="N3695" t="s">
        <v>44905</v>
      </c>
      <c r="O3695" t="s">
        <v>44906</v>
      </c>
      <c r="P3695">
        <v>0</v>
      </c>
      <c r="Q3695">
        <v>0</v>
      </c>
      <c r="R3695" t="s">
        <v>44908</v>
      </c>
      <c r="S3695" t="s">
        <v>45042</v>
      </c>
      <c r="T3695" t="s">
        <v>46394</v>
      </c>
      <c r="U3695" t="s">
        <v>49956</v>
      </c>
      <c r="W3695" t="s">
        <v>42383</v>
      </c>
      <c r="X3695" t="s">
        <v>44909</v>
      </c>
    </row>
    <row r="3696" spans="1:24">
      <c r="A3696">
        <f>HYPERLINK("https://www.philgeps.gov.ph/GEPSNONPILOT/Tender/SplashBidNoticeAbstractUI.aspx?menuIndex=3&amp;refID=7080236&amp;Result=3","7080236")</f>
        <v>0</v>
      </c>
      <c r="B3696" t="s">
        <v>51</v>
      </c>
      <c r="C3696" t="s">
        <v>7061</v>
      </c>
      <c r="D3696" t="s">
        <v>18118</v>
      </c>
      <c r="E3696" t="s">
        <v>21511</v>
      </c>
      <c r="F3696" t="s">
        <v>31362</v>
      </c>
      <c r="G3696" t="s">
        <v>31368</v>
      </c>
      <c r="H3696" t="s">
        <v>15799</v>
      </c>
      <c r="I3696" t="s">
        <v>3815</v>
      </c>
      <c r="J3696" t="s">
        <v>33973</v>
      </c>
      <c r="K3696" t="s">
        <v>40661</v>
      </c>
      <c r="M3696" t="s">
        <v>40985</v>
      </c>
      <c r="N3696" t="s">
        <v>44905</v>
      </c>
      <c r="O3696" t="s">
        <v>44906</v>
      </c>
      <c r="P3696">
        <v>0</v>
      </c>
      <c r="Q3696">
        <v>1</v>
      </c>
      <c r="R3696" t="s">
        <v>44908</v>
      </c>
      <c r="S3696" t="s">
        <v>45042</v>
      </c>
      <c r="T3696" t="s">
        <v>46411</v>
      </c>
      <c r="U3696" t="s">
        <v>49957</v>
      </c>
      <c r="W3696" t="s">
        <v>40985</v>
      </c>
      <c r="X3696" t="s">
        <v>44909</v>
      </c>
    </row>
    <row r="3697" spans="1:24">
      <c r="A3697">
        <f>HYPERLINK("https://www.philgeps.gov.ph/GEPSNONPILOT/Tender/SplashBidNoticeAbstractUI.aspx?menuIndex=3&amp;refID=7080250&amp;Result=3","7080250")</f>
        <v>0</v>
      </c>
      <c r="B3697" t="s">
        <v>1169</v>
      </c>
      <c r="C3697" t="s">
        <v>7062</v>
      </c>
      <c r="D3697" t="s">
        <v>18130</v>
      </c>
      <c r="E3697" t="s">
        <v>18985</v>
      </c>
      <c r="F3697" t="s">
        <v>31362</v>
      </c>
      <c r="G3697" t="s">
        <v>31369</v>
      </c>
      <c r="H3697" t="s">
        <v>15799</v>
      </c>
      <c r="I3697" t="s">
        <v>31446</v>
      </c>
      <c r="J3697" t="s">
        <v>32268</v>
      </c>
      <c r="K3697" t="s">
        <v>40666</v>
      </c>
      <c r="M3697" t="s">
        <v>42179</v>
      </c>
      <c r="N3697" t="s">
        <v>44905</v>
      </c>
      <c r="O3697" t="s">
        <v>44906</v>
      </c>
      <c r="P3697">
        <v>0</v>
      </c>
      <c r="Q3697">
        <v>0</v>
      </c>
      <c r="R3697" t="s">
        <v>44908</v>
      </c>
      <c r="S3697" t="s">
        <v>45042</v>
      </c>
      <c r="T3697" t="s">
        <v>46463</v>
      </c>
      <c r="U3697" t="s">
        <v>49958</v>
      </c>
      <c r="W3697" t="s">
        <v>42179</v>
      </c>
      <c r="X3697" t="s">
        <v>44909</v>
      </c>
    </row>
    <row r="3698" spans="1:24">
      <c r="A3698">
        <f>HYPERLINK("https://www.philgeps.gov.ph/GEPSNONPILOT/Tender/SplashBidNoticeAbstractUI.aspx?menuIndex=3&amp;refID=7080259&amp;Result=3","7080259")</f>
        <v>0</v>
      </c>
      <c r="B3698" t="s">
        <v>1363</v>
      </c>
      <c r="C3698" t="s">
        <v>7063</v>
      </c>
      <c r="D3698" t="s">
        <v>18149</v>
      </c>
      <c r="E3698" t="s">
        <v>21512</v>
      </c>
      <c r="F3698" t="s">
        <v>31362</v>
      </c>
      <c r="G3698" t="s">
        <v>31368</v>
      </c>
      <c r="H3698" t="s">
        <v>15799</v>
      </c>
      <c r="I3698" t="s">
        <v>6373</v>
      </c>
      <c r="J3698" t="s">
        <v>33974</v>
      </c>
      <c r="K3698" t="s">
        <v>40670</v>
      </c>
      <c r="M3698" t="s">
        <v>42384</v>
      </c>
      <c r="N3698" t="s">
        <v>44905</v>
      </c>
      <c r="O3698" t="s">
        <v>44906</v>
      </c>
      <c r="P3698">
        <v>0</v>
      </c>
      <c r="Q3698">
        <v>1</v>
      </c>
      <c r="R3698" t="s">
        <v>44908</v>
      </c>
      <c r="S3698" t="s">
        <v>45042</v>
      </c>
      <c r="T3698" t="s">
        <v>46414</v>
      </c>
      <c r="U3698" t="s">
        <v>49959</v>
      </c>
      <c r="W3698" t="s">
        <v>42384</v>
      </c>
      <c r="X3698" t="s">
        <v>44909</v>
      </c>
    </row>
    <row r="3699" spans="1:24">
      <c r="A3699">
        <f>HYPERLINK("https://www.philgeps.gov.ph/GEPSNONPILOT/Tender/SplashBidNoticeAbstractUI.aspx?menuIndex=3&amp;refID=7080260&amp;Result=3","7080260")</f>
        <v>0</v>
      </c>
      <c r="B3699" t="s">
        <v>1364</v>
      </c>
      <c r="C3699" t="s">
        <v>7064</v>
      </c>
      <c r="D3699" t="s">
        <v>18112</v>
      </c>
      <c r="E3699" t="s">
        <v>20853</v>
      </c>
      <c r="F3699" t="s">
        <v>31362</v>
      </c>
      <c r="G3699" t="s">
        <v>31369</v>
      </c>
      <c r="H3699" t="s">
        <v>31378</v>
      </c>
      <c r="I3699" t="s">
        <v>31386</v>
      </c>
      <c r="J3699" t="s">
        <v>33975</v>
      </c>
      <c r="K3699" t="s">
        <v>40682</v>
      </c>
      <c r="M3699" t="s">
        <v>42385</v>
      </c>
      <c r="N3699" t="s">
        <v>44905</v>
      </c>
      <c r="O3699" t="s">
        <v>44906</v>
      </c>
      <c r="P3699">
        <v>0</v>
      </c>
      <c r="Q3699">
        <v>0</v>
      </c>
      <c r="R3699" t="s">
        <v>44908</v>
      </c>
      <c r="S3699" t="s">
        <v>45042</v>
      </c>
      <c r="T3699" t="s">
        <v>46449</v>
      </c>
      <c r="U3699" t="s">
        <v>49960</v>
      </c>
      <c r="W3699" t="s">
        <v>42385</v>
      </c>
      <c r="X3699" t="s">
        <v>44909</v>
      </c>
    </row>
    <row r="3700" spans="1:24">
      <c r="A3700">
        <f>HYPERLINK("https://www.philgeps.gov.ph/GEPSNONPILOT/Tender/SplashBidNoticeAbstractUI.aspx?menuIndex=3&amp;refID=7080248&amp;Result=3","7080248")</f>
        <v>0</v>
      </c>
      <c r="B3700" t="s">
        <v>1033</v>
      </c>
      <c r="C3700" t="s">
        <v>7065</v>
      </c>
      <c r="D3700" t="s">
        <v>18162</v>
      </c>
      <c r="E3700" t="s">
        <v>21513</v>
      </c>
      <c r="F3700" t="s">
        <v>31362</v>
      </c>
      <c r="G3700" t="s">
        <v>31369</v>
      </c>
      <c r="H3700" t="s">
        <v>15799</v>
      </c>
      <c r="I3700" t="s">
        <v>3815</v>
      </c>
      <c r="J3700" t="s">
        <v>33976</v>
      </c>
      <c r="K3700" t="s">
        <v>40670</v>
      </c>
      <c r="M3700" t="s">
        <v>42032</v>
      </c>
      <c r="N3700" t="s">
        <v>44905</v>
      </c>
      <c r="O3700" t="s">
        <v>44906</v>
      </c>
      <c r="P3700">
        <v>0</v>
      </c>
      <c r="Q3700">
        <v>0</v>
      </c>
      <c r="R3700" t="s">
        <v>44908</v>
      </c>
      <c r="S3700" t="s">
        <v>45042</v>
      </c>
      <c r="T3700" t="s">
        <v>46430</v>
      </c>
      <c r="U3700" t="s">
        <v>49961</v>
      </c>
      <c r="W3700" t="s">
        <v>42032</v>
      </c>
      <c r="X3700" t="s">
        <v>44909</v>
      </c>
    </row>
    <row r="3701" spans="1:24">
      <c r="A3701">
        <f>HYPERLINK("https://www.philgeps.gov.ph/GEPSNONPILOT/Tender/SplashBidNoticeAbstractUI.aspx?menuIndex=3&amp;refID=7080247&amp;Result=3","7080247")</f>
        <v>0</v>
      </c>
      <c r="B3701" t="s">
        <v>1365</v>
      </c>
      <c r="C3701" t="s">
        <v>7066</v>
      </c>
      <c r="D3701" t="s">
        <v>18115</v>
      </c>
      <c r="E3701" t="s">
        <v>21514</v>
      </c>
      <c r="F3701" t="s">
        <v>31362</v>
      </c>
      <c r="G3701" t="s">
        <v>31368</v>
      </c>
      <c r="H3701" t="s">
        <v>15799</v>
      </c>
      <c r="I3701" t="s">
        <v>31393</v>
      </c>
      <c r="J3701" t="s">
        <v>33977</v>
      </c>
      <c r="K3701" t="s">
        <v>40661</v>
      </c>
      <c r="M3701" t="s">
        <v>42386</v>
      </c>
      <c r="N3701" t="s">
        <v>44905</v>
      </c>
      <c r="O3701" t="s">
        <v>44906</v>
      </c>
      <c r="P3701">
        <v>0</v>
      </c>
      <c r="Q3701">
        <v>2</v>
      </c>
      <c r="R3701" t="s">
        <v>44908</v>
      </c>
      <c r="S3701" t="s">
        <v>45042</v>
      </c>
      <c r="T3701" t="s">
        <v>46432</v>
      </c>
      <c r="U3701" t="s">
        <v>49962</v>
      </c>
      <c r="V3701" t="s">
        <v>59430</v>
      </c>
      <c r="W3701" t="s">
        <v>42386</v>
      </c>
      <c r="X3701" t="s">
        <v>44909</v>
      </c>
    </row>
    <row r="3702" spans="1:24">
      <c r="A3702">
        <f>HYPERLINK("https://www.philgeps.gov.ph/GEPSNONPILOT/Tender/SplashBidNoticeAbstractUI.aspx?menuIndex=3&amp;refID=7080229&amp;Result=3","7080229")</f>
        <v>0</v>
      </c>
      <c r="B3702" t="s">
        <v>1302</v>
      </c>
      <c r="C3702" t="s">
        <v>7067</v>
      </c>
      <c r="D3702" t="s">
        <v>18108</v>
      </c>
      <c r="E3702" t="s">
        <v>21515</v>
      </c>
      <c r="F3702" t="s">
        <v>31362</v>
      </c>
      <c r="G3702" t="s">
        <v>31369</v>
      </c>
      <c r="H3702" t="s">
        <v>15799</v>
      </c>
      <c r="I3702" t="s">
        <v>31380</v>
      </c>
      <c r="J3702" t="s">
        <v>33978</v>
      </c>
      <c r="K3702" t="s">
        <v>40665</v>
      </c>
      <c r="M3702" t="s">
        <v>42320</v>
      </c>
      <c r="N3702" t="s">
        <v>44905</v>
      </c>
      <c r="O3702" t="s">
        <v>44906</v>
      </c>
      <c r="P3702">
        <v>0</v>
      </c>
      <c r="Q3702">
        <v>2</v>
      </c>
      <c r="R3702" t="s">
        <v>44908</v>
      </c>
      <c r="S3702" t="s">
        <v>45042</v>
      </c>
      <c r="T3702" t="s">
        <v>46396</v>
      </c>
      <c r="U3702" t="s">
        <v>49963</v>
      </c>
      <c r="W3702" t="s">
        <v>42320</v>
      </c>
      <c r="X3702" t="s">
        <v>44909</v>
      </c>
    </row>
    <row r="3703" spans="1:24">
      <c r="A3703">
        <f>HYPERLINK("https://www.philgeps.gov.ph/GEPSNONPILOT/Tender/SplashBidNoticeAbstractUI.aspx?menuIndex=3&amp;refID=7080246&amp;Result=3","7080246")</f>
        <v>0</v>
      </c>
      <c r="B3703" t="s">
        <v>526</v>
      </c>
      <c r="C3703" t="s">
        <v>7068</v>
      </c>
      <c r="D3703" t="s">
        <v>18101</v>
      </c>
      <c r="E3703" t="s">
        <v>21516</v>
      </c>
      <c r="F3703" t="s">
        <v>31362</v>
      </c>
      <c r="G3703" t="s">
        <v>31369</v>
      </c>
      <c r="H3703" t="s">
        <v>15799</v>
      </c>
      <c r="I3703" t="s">
        <v>31459</v>
      </c>
      <c r="J3703" t="s">
        <v>31531</v>
      </c>
      <c r="K3703" t="s">
        <v>40666</v>
      </c>
      <c r="M3703" t="s">
        <v>41482</v>
      </c>
      <c r="N3703" t="s">
        <v>44905</v>
      </c>
      <c r="O3703" t="s">
        <v>44906</v>
      </c>
      <c r="P3703">
        <v>0</v>
      </c>
      <c r="Q3703">
        <v>0</v>
      </c>
      <c r="R3703" t="s">
        <v>44908</v>
      </c>
      <c r="S3703" t="s">
        <v>45042</v>
      </c>
      <c r="T3703" t="s">
        <v>46659</v>
      </c>
      <c r="U3703" t="s">
        <v>49964</v>
      </c>
      <c r="W3703" t="s">
        <v>41482</v>
      </c>
      <c r="X3703" t="s">
        <v>44909</v>
      </c>
    </row>
    <row r="3704" spans="1:24">
      <c r="A3704">
        <f>HYPERLINK("https://www.philgeps.gov.ph/GEPSNONPILOT/Tender/SplashBidNoticeAbstractUI.aspx?menuIndex=3&amp;refID=7080245&amp;Result=3","7080245")</f>
        <v>0</v>
      </c>
      <c r="B3704" t="s">
        <v>1366</v>
      </c>
      <c r="C3704" t="s">
        <v>7069</v>
      </c>
      <c r="D3704" t="s">
        <v>18138</v>
      </c>
      <c r="E3704" t="s">
        <v>21517</v>
      </c>
      <c r="F3704" t="s">
        <v>31362</v>
      </c>
      <c r="G3704" t="s">
        <v>31368</v>
      </c>
      <c r="H3704" t="s">
        <v>15799</v>
      </c>
      <c r="I3704" t="s">
        <v>6865</v>
      </c>
      <c r="J3704" t="s">
        <v>32263</v>
      </c>
      <c r="K3704" t="s">
        <v>40665</v>
      </c>
      <c r="M3704" t="s">
        <v>42387</v>
      </c>
      <c r="N3704" t="s">
        <v>44905</v>
      </c>
      <c r="O3704" t="s">
        <v>44906</v>
      </c>
      <c r="P3704">
        <v>0</v>
      </c>
      <c r="Q3704">
        <v>1</v>
      </c>
      <c r="R3704" t="s">
        <v>44908</v>
      </c>
      <c r="S3704" t="s">
        <v>45042</v>
      </c>
      <c r="T3704" t="s">
        <v>46427</v>
      </c>
      <c r="U3704" t="s">
        <v>49965</v>
      </c>
      <c r="W3704" t="s">
        <v>42387</v>
      </c>
      <c r="X3704" t="s">
        <v>44909</v>
      </c>
    </row>
    <row r="3705" spans="1:24">
      <c r="A3705">
        <f>HYPERLINK("https://www.philgeps.gov.ph/GEPSNONPILOT/Tender/SplashBidNoticeAbstractUI.aspx?menuIndex=3&amp;refID=7080285&amp;Result=3","7080285")</f>
        <v>0</v>
      </c>
      <c r="B3705" t="s">
        <v>701</v>
      </c>
      <c r="C3705" t="s">
        <v>5343</v>
      </c>
      <c r="D3705" t="s">
        <v>18172</v>
      </c>
      <c r="E3705" t="s">
        <v>21518</v>
      </c>
      <c r="F3705" t="s">
        <v>31362</v>
      </c>
      <c r="G3705" t="s">
        <v>31369</v>
      </c>
      <c r="H3705" t="s">
        <v>15799</v>
      </c>
      <c r="I3705" t="s">
        <v>31427</v>
      </c>
      <c r="J3705" t="s">
        <v>33979</v>
      </c>
      <c r="K3705" t="s">
        <v>40666</v>
      </c>
      <c r="M3705" t="s">
        <v>41666</v>
      </c>
      <c r="N3705" t="s">
        <v>44905</v>
      </c>
      <c r="O3705" t="s">
        <v>44906</v>
      </c>
      <c r="P3705">
        <v>0</v>
      </c>
      <c r="Q3705">
        <v>0</v>
      </c>
      <c r="R3705" t="s">
        <v>44908</v>
      </c>
      <c r="S3705" t="s">
        <v>45042</v>
      </c>
      <c r="T3705" t="s">
        <v>46415</v>
      </c>
      <c r="U3705" t="s">
        <v>49966</v>
      </c>
      <c r="W3705" t="s">
        <v>41666</v>
      </c>
      <c r="X3705" t="s">
        <v>44909</v>
      </c>
    </row>
    <row r="3706" spans="1:24">
      <c r="A3706">
        <f>HYPERLINK("https://www.philgeps.gov.ph/GEPSNONPILOT/Tender/SplashBidNoticeAbstractUI.aspx?menuIndex=3&amp;refID=7080288&amp;Result=3","7080288")</f>
        <v>0</v>
      </c>
      <c r="B3706" t="s">
        <v>1311</v>
      </c>
      <c r="C3706" t="s">
        <v>7070</v>
      </c>
      <c r="D3706" t="s">
        <v>18156</v>
      </c>
      <c r="E3706" t="s">
        <v>21519</v>
      </c>
      <c r="F3706" t="s">
        <v>31362</v>
      </c>
      <c r="G3706" t="s">
        <v>31370</v>
      </c>
      <c r="H3706" t="s">
        <v>15799</v>
      </c>
      <c r="I3706" t="s">
        <v>31393</v>
      </c>
      <c r="J3706" t="s">
        <v>33980</v>
      </c>
      <c r="K3706" t="s">
        <v>40662</v>
      </c>
      <c r="M3706" t="s">
        <v>42329</v>
      </c>
      <c r="N3706" t="s">
        <v>44905</v>
      </c>
      <c r="O3706" t="s">
        <v>44906</v>
      </c>
      <c r="P3706">
        <v>0</v>
      </c>
      <c r="Q3706">
        <v>2</v>
      </c>
      <c r="R3706" t="s">
        <v>44908</v>
      </c>
      <c r="S3706" t="s">
        <v>45042</v>
      </c>
      <c r="T3706" t="s">
        <v>46454</v>
      </c>
      <c r="U3706" t="s">
        <v>49967</v>
      </c>
      <c r="V3706" t="s">
        <v>59417</v>
      </c>
      <c r="W3706" t="s">
        <v>42329</v>
      </c>
      <c r="X3706" t="s">
        <v>44909</v>
      </c>
    </row>
    <row r="3707" spans="1:24">
      <c r="A3707">
        <f>HYPERLINK("https://www.philgeps.gov.ph/GEPSNONPILOT/Tender/SplashBidNoticeAbstractUI.aspx?menuIndex=3&amp;refID=7080287&amp;Result=3","7080287")</f>
        <v>0</v>
      </c>
      <c r="B3707" t="s">
        <v>1342</v>
      </c>
      <c r="C3707" t="s">
        <v>7071</v>
      </c>
      <c r="D3707" t="s">
        <v>18108</v>
      </c>
      <c r="E3707" t="s">
        <v>21520</v>
      </c>
      <c r="F3707" t="s">
        <v>31362</v>
      </c>
      <c r="G3707" t="s">
        <v>31369</v>
      </c>
      <c r="H3707" t="s">
        <v>15799</v>
      </c>
      <c r="I3707" t="s">
        <v>31469</v>
      </c>
      <c r="J3707" t="s">
        <v>33299</v>
      </c>
      <c r="K3707" t="s">
        <v>40672</v>
      </c>
      <c r="M3707" t="s">
        <v>42361</v>
      </c>
      <c r="N3707" t="s">
        <v>44905</v>
      </c>
      <c r="O3707" t="s">
        <v>44906</v>
      </c>
      <c r="P3707">
        <v>0</v>
      </c>
      <c r="Q3707">
        <v>11</v>
      </c>
      <c r="R3707" t="s">
        <v>44908</v>
      </c>
      <c r="S3707" t="s">
        <v>45042</v>
      </c>
      <c r="T3707" t="s">
        <v>46483</v>
      </c>
      <c r="U3707" t="s">
        <v>49894</v>
      </c>
      <c r="W3707" t="s">
        <v>42361</v>
      </c>
      <c r="X3707" t="s">
        <v>44909</v>
      </c>
    </row>
    <row r="3708" spans="1:24">
      <c r="A3708">
        <f>HYPERLINK("https://www.philgeps.gov.ph/GEPSNONPILOT/Tender/SplashBidNoticeAbstractUI.aspx?menuIndex=3&amp;refID=7080251&amp;Result=3","7080251")</f>
        <v>0</v>
      </c>
      <c r="B3708" t="s">
        <v>1334</v>
      </c>
      <c r="C3708" t="s">
        <v>7072</v>
      </c>
      <c r="D3708" t="s">
        <v>18162</v>
      </c>
      <c r="E3708" t="s">
        <v>21521</v>
      </c>
      <c r="F3708" t="s">
        <v>31362</v>
      </c>
      <c r="G3708" t="s">
        <v>31368</v>
      </c>
      <c r="H3708" t="s">
        <v>15799</v>
      </c>
      <c r="I3708" t="s">
        <v>3815</v>
      </c>
      <c r="J3708" t="s">
        <v>33981</v>
      </c>
      <c r="K3708" t="s">
        <v>40666</v>
      </c>
      <c r="M3708" t="s">
        <v>42352</v>
      </c>
      <c r="N3708" t="s">
        <v>44905</v>
      </c>
      <c r="O3708" t="s">
        <v>44906</v>
      </c>
      <c r="P3708">
        <v>0</v>
      </c>
      <c r="Q3708">
        <v>0</v>
      </c>
      <c r="R3708" t="s">
        <v>44908</v>
      </c>
      <c r="S3708" t="s">
        <v>45042</v>
      </c>
      <c r="T3708" t="s">
        <v>46427</v>
      </c>
      <c r="U3708" t="s">
        <v>49968</v>
      </c>
      <c r="V3708" t="s">
        <v>59422</v>
      </c>
      <c r="W3708" t="s">
        <v>42352</v>
      </c>
      <c r="X3708" t="s">
        <v>44909</v>
      </c>
    </row>
    <row r="3709" spans="1:24">
      <c r="A3709">
        <f>HYPERLINK("https://www.philgeps.gov.ph/GEPSNONPILOT/Tender/SplashBidNoticeAbstractUI.aspx?menuIndex=3&amp;refID=7080284&amp;Result=3","7080284")</f>
        <v>0</v>
      </c>
      <c r="B3709" t="s">
        <v>1367</v>
      </c>
      <c r="C3709" t="s">
        <v>7073</v>
      </c>
      <c r="D3709" t="s">
        <v>18117</v>
      </c>
      <c r="E3709" t="s">
        <v>21522</v>
      </c>
      <c r="F3709" t="s">
        <v>31362</v>
      </c>
      <c r="G3709" t="s">
        <v>31368</v>
      </c>
      <c r="H3709" t="s">
        <v>15799</v>
      </c>
      <c r="I3709" t="s">
        <v>3815</v>
      </c>
      <c r="J3709" t="s">
        <v>33982</v>
      </c>
      <c r="K3709" t="s">
        <v>40670</v>
      </c>
      <c r="M3709" t="s">
        <v>42388</v>
      </c>
      <c r="N3709" t="s">
        <v>44905</v>
      </c>
      <c r="O3709" t="s">
        <v>44906</v>
      </c>
      <c r="P3709">
        <v>0</v>
      </c>
      <c r="Q3709">
        <v>1</v>
      </c>
      <c r="R3709" t="s">
        <v>44908</v>
      </c>
      <c r="S3709" t="s">
        <v>45042</v>
      </c>
      <c r="T3709" t="s">
        <v>46404</v>
      </c>
      <c r="U3709" t="s">
        <v>49969</v>
      </c>
      <c r="W3709" t="s">
        <v>42388</v>
      </c>
      <c r="X3709" t="s">
        <v>44909</v>
      </c>
    </row>
    <row r="3710" spans="1:24">
      <c r="A3710">
        <f>HYPERLINK("https://www.philgeps.gov.ph/GEPSNONPILOT/Tender/SplashBidNoticeAbstractUI.aspx?menuIndex=3&amp;refID=7080257&amp;Result=3","7080257")</f>
        <v>0</v>
      </c>
      <c r="B3710" t="s">
        <v>335</v>
      </c>
      <c r="C3710" t="s">
        <v>7074</v>
      </c>
      <c r="D3710" t="s">
        <v>18108</v>
      </c>
      <c r="E3710" t="s">
        <v>21523</v>
      </c>
      <c r="F3710" t="s">
        <v>31362</v>
      </c>
      <c r="G3710" t="s">
        <v>31368</v>
      </c>
      <c r="H3710" t="s">
        <v>15799</v>
      </c>
      <c r="I3710" t="s">
        <v>7090</v>
      </c>
      <c r="J3710" t="s">
        <v>31823</v>
      </c>
      <c r="K3710" t="s">
        <v>40661</v>
      </c>
      <c r="M3710" t="s">
        <v>42389</v>
      </c>
      <c r="N3710" t="s">
        <v>44905</v>
      </c>
      <c r="O3710" t="s">
        <v>44906</v>
      </c>
      <c r="P3710">
        <v>0</v>
      </c>
      <c r="Q3710">
        <v>1</v>
      </c>
      <c r="R3710" t="s">
        <v>44908</v>
      </c>
      <c r="S3710" t="s">
        <v>45042</v>
      </c>
      <c r="T3710" t="s">
        <v>46600</v>
      </c>
      <c r="U3710" t="s">
        <v>49970</v>
      </c>
      <c r="W3710" t="s">
        <v>42389</v>
      </c>
      <c r="X3710" t="s">
        <v>44909</v>
      </c>
    </row>
    <row r="3711" spans="1:24">
      <c r="A3711">
        <f>HYPERLINK("https://www.philgeps.gov.ph/GEPSNONPILOT/Tender/SplashBidNoticeAbstractUI.aspx?menuIndex=3&amp;refID=7080280&amp;Result=3","7080280")</f>
        <v>0</v>
      </c>
      <c r="B3711" t="s">
        <v>1368</v>
      </c>
      <c r="C3711" t="s">
        <v>7075</v>
      </c>
      <c r="D3711" t="s">
        <v>18101</v>
      </c>
      <c r="E3711" t="s">
        <v>21524</v>
      </c>
      <c r="F3711" t="s">
        <v>31362</v>
      </c>
      <c r="G3711" t="s">
        <v>31369</v>
      </c>
      <c r="H3711" t="s">
        <v>31378</v>
      </c>
      <c r="I3711" t="s">
        <v>31441</v>
      </c>
      <c r="J3711" t="s">
        <v>31536</v>
      </c>
      <c r="K3711" t="s">
        <v>40675</v>
      </c>
      <c r="M3711" t="s">
        <v>42390</v>
      </c>
      <c r="N3711" t="s">
        <v>44905</v>
      </c>
      <c r="O3711" t="s">
        <v>44906</v>
      </c>
      <c r="P3711">
        <v>0</v>
      </c>
      <c r="Q3711">
        <v>0</v>
      </c>
      <c r="R3711" t="s">
        <v>44908</v>
      </c>
      <c r="S3711" t="s">
        <v>45042</v>
      </c>
      <c r="T3711" t="s">
        <v>46427</v>
      </c>
      <c r="U3711" t="s">
        <v>49971</v>
      </c>
      <c r="W3711" t="s">
        <v>42390</v>
      </c>
      <c r="X3711" t="s">
        <v>44909</v>
      </c>
    </row>
    <row r="3712" spans="1:24">
      <c r="A3712">
        <f>HYPERLINK("https://www.philgeps.gov.ph/GEPSNONPILOT/Tender/SplashBidNoticeAbstractUI.aspx?menuIndex=3&amp;refID=7080255&amp;Result=3","7080255")</f>
        <v>0</v>
      </c>
      <c r="B3712" t="s">
        <v>562</v>
      </c>
      <c r="C3712" t="s">
        <v>7076</v>
      </c>
      <c r="D3712" t="s">
        <v>18177</v>
      </c>
      <c r="E3712" t="s">
        <v>21525</v>
      </c>
      <c r="F3712" t="s">
        <v>31362</v>
      </c>
      <c r="G3712" t="s">
        <v>31368</v>
      </c>
      <c r="H3712" t="s">
        <v>15799</v>
      </c>
      <c r="I3712" t="s">
        <v>4942</v>
      </c>
      <c r="J3712" t="s">
        <v>33983</v>
      </c>
      <c r="K3712" t="s">
        <v>40697</v>
      </c>
      <c r="M3712" t="s">
        <v>41518</v>
      </c>
      <c r="N3712" t="s">
        <v>44905</v>
      </c>
      <c r="O3712" t="s">
        <v>44906</v>
      </c>
      <c r="P3712">
        <v>0</v>
      </c>
      <c r="Q3712">
        <v>0</v>
      </c>
      <c r="R3712" t="s">
        <v>44908</v>
      </c>
      <c r="S3712" t="s">
        <v>45042</v>
      </c>
      <c r="T3712" t="s">
        <v>46432</v>
      </c>
      <c r="U3712" t="s">
        <v>49972</v>
      </c>
      <c r="V3712" t="s">
        <v>59207</v>
      </c>
      <c r="W3712" t="s">
        <v>41518</v>
      </c>
      <c r="X3712" t="s">
        <v>44909</v>
      </c>
    </row>
    <row r="3713" spans="1:24">
      <c r="A3713">
        <f>HYPERLINK("https://www.philgeps.gov.ph/GEPSNONPILOT/Tender/SplashBidNoticeAbstractUI.aspx?menuIndex=3&amp;refID=7080282&amp;Result=3","7080282")</f>
        <v>0</v>
      </c>
      <c r="B3713" t="s">
        <v>130</v>
      </c>
      <c r="C3713" t="s">
        <v>7077</v>
      </c>
      <c r="D3713" t="s">
        <v>18109</v>
      </c>
      <c r="E3713" t="s">
        <v>21526</v>
      </c>
      <c r="F3713" t="s">
        <v>31362</v>
      </c>
      <c r="G3713" t="s">
        <v>31368</v>
      </c>
      <c r="H3713" t="s">
        <v>15799</v>
      </c>
      <c r="I3713" t="s">
        <v>31422</v>
      </c>
      <c r="J3713" t="s">
        <v>31843</v>
      </c>
      <c r="K3713" t="s">
        <v>40662</v>
      </c>
      <c r="M3713" t="s">
        <v>41067</v>
      </c>
      <c r="N3713" t="s">
        <v>44905</v>
      </c>
      <c r="O3713" t="s">
        <v>44906</v>
      </c>
      <c r="P3713">
        <v>0</v>
      </c>
      <c r="Q3713">
        <v>5</v>
      </c>
      <c r="R3713" t="s">
        <v>44908</v>
      </c>
      <c r="S3713" t="s">
        <v>45042</v>
      </c>
      <c r="T3713" t="s">
        <v>46394</v>
      </c>
      <c r="U3713" t="s">
        <v>49973</v>
      </c>
      <c r="W3713" t="s">
        <v>41067</v>
      </c>
      <c r="X3713" t="s">
        <v>44909</v>
      </c>
    </row>
    <row r="3714" spans="1:24">
      <c r="A3714">
        <f>HYPERLINK("https://www.philgeps.gov.ph/GEPSNONPILOT/Tender/SplashBidNoticeAbstractUI.aspx?menuIndex=3&amp;refID=7080286&amp;Result=3","7080286")</f>
        <v>0</v>
      </c>
      <c r="B3714" t="s">
        <v>1314</v>
      </c>
      <c r="C3714" t="s">
        <v>7078</v>
      </c>
      <c r="D3714" t="s">
        <v>18134</v>
      </c>
      <c r="E3714" t="s">
        <v>21527</v>
      </c>
      <c r="F3714" t="s">
        <v>31362</v>
      </c>
      <c r="G3714" t="s">
        <v>31369</v>
      </c>
      <c r="H3714" t="s">
        <v>31378</v>
      </c>
      <c r="I3714" t="s">
        <v>31386</v>
      </c>
      <c r="J3714" t="s">
        <v>33984</v>
      </c>
      <c r="K3714" t="s">
        <v>40682</v>
      </c>
      <c r="M3714" t="s">
        <v>42332</v>
      </c>
      <c r="N3714" t="s">
        <v>44905</v>
      </c>
      <c r="O3714" t="s">
        <v>44906</v>
      </c>
      <c r="P3714">
        <v>0</v>
      </c>
      <c r="Q3714">
        <v>0</v>
      </c>
      <c r="R3714" t="s">
        <v>44908</v>
      </c>
      <c r="S3714" t="s">
        <v>45042</v>
      </c>
      <c r="T3714" t="s">
        <v>46431</v>
      </c>
      <c r="U3714" t="s">
        <v>49974</v>
      </c>
      <c r="W3714" t="s">
        <v>42332</v>
      </c>
      <c r="X3714" t="s">
        <v>44909</v>
      </c>
    </row>
    <row r="3715" spans="1:24">
      <c r="A3715">
        <f>HYPERLINK("https://www.philgeps.gov.ph/GEPSNONPILOT/Tender/SplashBidNoticeAbstractUI.aspx?menuIndex=3&amp;refID=7080283&amp;Result=3","7080283")</f>
        <v>0</v>
      </c>
      <c r="B3715" t="s">
        <v>486</v>
      </c>
      <c r="C3715" t="s">
        <v>7079</v>
      </c>
      <c r="D3715" t="s">
        <v>18148</v>
      </c>
      <c r="E3715" t="s">
        <v>21528</v>
      </c>
      <c r="F3715" t="s">
        <v>31362</v>
      </c>
      <c r="G3715" t="s">
        <v>31368</v>
      </c>
      <c r="H3715" t="s">
        <v>15799</v>
      </c>
      <c r="I3715" t="s">
        <v>31387</v>
      </c>
      <c r="J3715" t="s">
        <v>33985</v>
      </c>
      <c r="K3715" t="s">
        <v>40665</v>
      </c>
      <c r="M3715" t="s">
        <v>41441</v>
      </c>
      <c r="N3715" t="s">
        <v>44905</v>
      </c>
      <c r="O3715" t="s">
        <v>44906</v>
      </c>
      <c r="P3715">
        <v>0</v>
      </c>
      <c r="Q3715">
        <v>0</v>
      </c>
      <c r="R3715" t="s">
        <v>44908</v>
      </c>
      <c r="S3715" t="s">
        <v>45042</v>
      </c>
      <c r="T3715" t="s">
        <v>46443</v>
      </c>
      <c r="U3715" t="s">
        <v>47855</v>
      </c>
      <c r="W3715" t="s">
        <v>41441</v>
      </c>
      <c r="X3715" t="s">
        <v>44909</v>
      </c>
    </row>
    <row r="3716" spans="1:24">
      <c r="A3716">
        <f>HYPERLINK("https://www.philgeps.gov.ph/GEPSNONPILOT/Tender/SplashBidNoticeAbstractUI.aspx?menuIndex=3&amp;refID=7080275&amp;Result=3","7080275")</f>
        <v>0</v>
      </c>
      <c r="B3716" t="s">
        <v>1336</v>
      </c>
      <c r="C3716" t="s">
        <v>7080</v>
      </c>
      <c r="D3716" t="s">
        <v>18154</v>
      </c>
      <c r="E3716" t="s">
        <v>21529</v>
      </c>
      <c r="F3716" t="s">
        <v>31362</v>
      </c>
      <c r="G3716" t="s">
        <v>31369</v>
      </c>
      <c r="H3716" t="s">
        <v>15799</v>
      </c>
      <c r="I3716" t="s">
        <v>31385</v>
      </c>
      <c r="J3716" t="s">
        <v>33986</v>
      </c>
      <c r="K3716" t="s">
        <v>40662</v>
      </c>
      <c r="M3716" t="s">
        <v>42354</v>
      </c>
      <c r="N3716" t="s">
        <v>44905</v>
      </c>
      <c r="O3716" t="s">
        <v>44906</v>
      </c>
      <c r="P3716">
        <v>0</v>
      </c>
      <c r="Q3716">
        <v>0</v>
      </c>
      <c r="R3716" t="s">
        <v>44908</v>
      </c>
      <c r="S3716" t="s">
        <v>45042</v>
      </c>
      <c r="T3716" t="s">
        <v>46415</v>
      </c>
      <c r="U3716" t="s">
        <v>49880</v>
      </c>
      <c r="W3716" t="s">
        <v>42354</v>
      </c>
      <c r="X3716" t="s">
        <v>44909</v>
      </c>
    </row>
    <row r="3717" spans="1:24">
      <c r="A3717">
        <f>HYPERLINK("https://www.philgeps.gov.ph/GEPSNONPILOT/Tender/SplashBidNoticeAbstractUI.aspx?menuIndex=3&amp;refID=7080281&amp;Result=3","7080281")</f>
        <v>0</v>
      </c>
      <c r="B3717" t="s">
        <v>1033</v>
      </c>
      <c r="C3717" t="s">
        <v>7081</v>
      </c>
      <c r="D3717" t="s">
        <v>18162</v>
      </c>
      <c r="E3717" t="s">
        <v>21530</v>
      </c>
      <c r="F3717" t="s">
        <v>31362</v>
      </c>
      <c r="G3717" t="s">
        <v>31369</v>
      </c>
      <c r="H3717" t="s">
        <v>15799</v>
      </c>
      <c r="I3717" t="s">
        <v>31385</v>
      </c>
      <c r="J3717" t="s">
        <v>33987</v>
      </c>
      <c r="K3717" t="s">
        <v>40670</v>
      </c>
      <c r="M3717" t="s">
        <v>42032</v>
      </c>
      <c r="N3717" t="s">
        <v>44905</v>
      </c>
      <c r="O3717" t="s">
        <v>44906</v>
      </c>
      <c r="P3717">
        <v>0</v>
      </c>
      <c r="Q3717">
        <v>0</v>
      </c>
      <c r="R3717" t="s">
        <v>44908</v>
      </c>
      <c r="S3717" t="s">
        <v>45042</v>
      </c>
      <c r="T3717" t="s">
        <v>46430</v>
      </c>
      <c r="U3717" t="s">
        <v>49975</v>
      </c>
      <c r="W3717" t="s">
        <v>42032</v>
      </c>
      <c r="X3717" t="s">
        <v>44909</v>
      </c>
    </row>
    <row r="3718" spans="1:24">
      <c r="A3718">
        <f>HYPERLINK("https://www.philgeps.gov.ph/GEPSNONPILOT/Tender/SplashBidNoticeAbstractUI.aspx?menuIndex=3&amp;refID=7080274&amp;Result=3","7080274")</f>
        <v>0</v>
      </c>
      <c r="B3718" t="s">
        <v>1317</v>
      </c>
      <c r="C3718" t="s">
        <v>7082</v>
      </c>
      <c r="D3718" t="s">
        <v>18136</v>
      </c>
      <c r="E3718" t="s">
        <v>21531</v>
      </c>
      <c r="F3718" t="s">
        <v>31362</v>
      </c>
      <c r="G3718" t="s">
        <v>31370</v>
      </c>
      <c r="H3718" t="s">
        <v>15799</v>
      </c>
      <c r="I3718" t="s">
        <v>3815</v>
      </c>
      <c r="J3718" t="s">
        <v>33988</v>
      </c>
      <c r="K3718" t="s">
        <v>40665</v>
      </c>
      <c r="M3718" t="s">
        <v>42335</v>
      </c>
      <c r="N3718" t="s">
        <v>44905</v>
      </c>
      <c r="O3718" t="s">
        <v>44906</v>
      </c>
      <c r="P3718">
        <v>0</v>
      </c>
      <c r="Q3718">
        <v>0</v>
      </c>
      <c r="R3718" t="s">
        <v>44908</v>
      </c>
      <c r="S3718" t="s">
        <v>45042</v>
      </c>
      <c r="T3718" t="s">
        <v>46438</v>
      </c>
      <c r="U3718" t="s">
        <v>49976</v>
      </c>
      <c r="W3718" t="s">
        <v>42335</v>
      </c>
      <c r="X3718" t="s">
        <v>44909</v>
      </c>
    </row>
    <row r="3719" spans="1:24">
      <c r="A3719">
        <f>HYPERLINK("https://www.philgeps.gov.ph/GEPSNONPILOT/Tender/SplashBidNoticeAbstractUI.aspx?menuIndex=3&amp;refID=7080249&amp;Result=3","7080249")</f>
        <v>0</v>
      </c>
      <c r="B3719" t="s">
        <v>732</v>
      </c>
      <c r="C3719" t="s">
        <v>7083</v>
      </c>
      <c r="D3719" t="s">
        <v>18125</v>
      </c>
      <c r="E3719" t="s">
        <v>21532</v>
      </c>
      <c r="F3719" t="s">
        <v>31362</v>
      </c>
      <c r="G3719" t="s">
        <v>31368</v>
      </c>
      <c r="H3719" t="s">
        <v>15799</v>
      </c>
      <c r="I3719" t="s">
        <v>4057</v>
      </c>
      <c r="J3719" t="s">
        <v>31829</v>
      </c>
      <c r="K3719" t="s">
        <v>40720</v>
      </c>
      <c r="M3719" t="s">
        <v>41699</v>
      </c>
      <c r="N3719" t="s">
        <v>44905</v>
      </c>
      <c r="O3719" t="s">
        <v>44906</v>
      </c>
      <c r="P3719">
        <v>0</v>
      </c>
      <c r="Q3719">
        <v>1</v>
      </c>
      <c r="R3719" t="s">
        <v>44908</v>
      </c>
      <c r="S3719" t="s">
        <v>45042</v>
      </c>
      <c r="T3719" t="s">
        <v>46483</v>
      </c>
      <c r="U3719" t="s">
        <v>49977</v>
      </c>
      <c r="W3719" t="s">
        <v>41699</v>
      </c>
      <c r="X3719" t="s">
        <v>44909</v>
      </c>
    </row>
    <row r="3720" spans="1:24">
      <c r="A3720">
        <f>HYPERLINK("https://www.philgeps.gov.ph/GEPSNONPILOT/Tender/SplashBidNoticeAbstractUI.aspx?menuIndex=3&amp;refID=7080272&amp;Result=3","7080272")</f>
        <v>0</v>
      </c>
      <c r="B3720" t="s">
        <v>51</v>
      </c>
      <c r="C3720" t="s">
        <v>7084</v>
      </c>
      <c r="D3720" t="s">
        <v>18118</v>
      </c>
      <c r="E3720" t="s">
        <v>21533</v>
      </c>
      <c r="F3720" t="s">
        <v>31362</v>
      </c>
      <c r="G3720" t="s">
        <v>31368</v>
      </c>
      <c r="H3720" t="s">
        <v>15799</v>
      </c>
      <c r="I3720" t="s">
        <v>3815</v>
      </c>
      <c r="J3720" t="s">
        <v>33989</v>
      </c>
      <c r="K3720" t="s">
        <v>40661</v>
      </c>
      <c r="M3720" t="s">
        <v>40985</v>
      </c>
      <c r="N3720" t="s">
        <v>44905</v>
      </c>
      <c r="O3720" t="s">
        <v>44906</v>
      </c>
      <c r="P3720">
        <v>0</v>
      </c>
      <c r="Q3720">
        <v>1</v>
      </c>
      <c r="R3720" t="s">
        <v>44908</v>
      </c>
      <c r="S3720" t="s">
        <v>45042</v>
      </c>
      <c r="T3720" t="s">
        <v>46411</v>
      </c>
      <c r="U3720" t="s">
        <v>49978</v>
      </c>
      <c r="W3720" t="s">
        <v>40985</v>
      </c>
      <c r="X3720" t="s">
        <v>44909</v>
      </c>
    </row>
    <row r="3721" spans="1:24">
      <c r="A3721">
        <f>HYPERLINK("https://www.philgeps.gov.ph/GEPSNONPILOT/Tender/SplashBidNoticeAbstractUI.aspx?menuIndex=3&amp;refID=7080278&amp;Result=3","7080278")</f>
        <v>0</v>
      </c>
      <c r="B3721" t="s">
        <v>787</v>
      </c>
      <c r="C3721" t="s">
        <v>7085</v>
      </c>
      <c r="D3721" t="s">
        <v>18149</v>
      </c>
      <c r="E3721" t="s">
        <v>21534</v>
      </c>
      <c r="F3721" t="s">
        <v>31362</v>
      </c>
      <c r="G3721" t="s">
        <v>31370</v>
      </c>
      <c r="H3721" t="s">
        <v>15799</v>
      </c>
      <c r="I3721" t="s">
        <v>31393</v>
      </c>
      <c r="J3721" t="s">
        <v>33990</v>
      </c>
      <c r="K3721" t="s">
        <v>40672</v>
      </c>
      <c r="M3721" t="s">
        <v>41757</v>
      </c>
      <c r="N3721" t="s">
        <v>44905</v>
      </c>
      <c r="O3721" t="s">
        <v>44906</v>
      </c>
      <c r="P3721">
        <v>0</v>
      </c>
      <c r="Q3721">
        <v>0</v>
      </c>
      <c r="R3721" t="s">
        <v>44908</v>
      </c>
      <c r="S3721" t="s">
        <v>45042</v>
      </c>
      <c r="T3721" t="s">
        <v>46409</v>
      </c>
      <c r="U3721" t="s">
        <v>49979</v>
      </c>
      <c r="W3721" t="s">
        <v>41757</v>
      </c>
      <c r="X3721" t="s">
        <v>44909</v>
      </c>
    </row>
    <row r="3722" spans="1:24">
      <c r="A3722">
        <f>HYPERLINK("https://www.philgeps.gov.ph/GEPSNONPILOT/Tender/SplashBidNoticeAbstractUI.aspx?menuIndex=3&amp;refID=7080310&amp;Result=3","7080310")</f>
        <v>0</v>
      </c>
      <c r="B3722" t="s">
        <v>1369</v>
      </c>
      <c r="C3722" t="s">
        <v>7086</v>
      </c>
      <c r="D3722" t="s">
        <v>18131</v>
      </c>
      <c r="E3722" t="s">
        <v>21535</v>
      </c>
      <c r="F3722" t="s">
        <v>31362</v>
      </c>
      <c r="G3722" t="s">
        <v>31369</v>
      </c>
      <c r="H3722" t="s">
        <v>31378</v>
      </c>
      <c r="I3722" t="s">
        <v>31386</v>
      </c>
      <c r="J3722" t="s">
        <v>33991</v>
      </c>
      <c r="K3722" t="s">
        <v>40662</v>
      </c>
      <c r="M3722" t="s">
        <v>42391</v>
      </c>
      <c r="N3722" t="s">
        <v>44905</v>
      </c>
      <c r="O3722" t="s">
        <v>44906</v>
      </c>
      <c r="P3722">
        <v>0</v>
      </c>
      <c r="Q3722">
        <v>1</v>
      </c>
      <c r="R3722" t="s">
        <v>44908</v>
      </c>
      <c r="S3722" t="s">
        <v>45042</v>
      </c>
      <c r="T3722" t="s">
        <v>46404</v>
      </c>
      <c r="U3722" t="s">
        <v>49980</v>
      </c>
      <c r="V3722" t="s">
        <v>59431</v>
      </c>
      <c r="W3722" t="s">
        <v>42391</v>
      </c>
      <c r="X3722" t="s">
        <v>44909</v>
      </c>
    </row>
    <row r="3723" spans="1:24">
      <c r="A3723">
        <f>HYPERLINK("https://www.philgeps.gov.ph/GEPSNONPILOT/Tender/SplashBidNoticeAbstractUI.aspx?menuIndex=3&amp;refID=7080276&amp;Result=3","7080276")</f>
        <v>0</v>
      </c>
      <c r="B3723" t="s">
        <v>1169</v>
      </c>
      <c r="C3723" t="s">
        <v>7087</v>
      </c>
      <c r="D3723" t="s">
        <v>18130</v>
      </c>
      <c r="E3723" t="s">
        <v>19359</v>
      </c>
      <c r="F3723" t="s">
        <v>31362</v>
      </c>
      <c r="G3723" t="s">
        <v>31369</v>
      </c>
      <c r="H3723" t="s">
        <v>15799</v>
      </c>
      <c r="I3723" t="s">
        <v>3815</v>
      </c>
      <c r="J3723" t="s">
        <v>33992</v>
      </c>
      <c r="K3723" t="s">
        <v>40666</v>
      </c>
      <c r="M3723" t="s">
        <v>42179</v>
      </c>
      <c r="N3723" t="s">
        <v>44905</v>
      </c>
      <c r="O3723" t="s">
        <v>44906</v>
      </c>
      <c r="P3723">
        <v>0</v>
      </c>
      <c r="Q3723">
        <v>0</v>
      </c>
      <c r="R3723" t="s">
        <v>44908</v>
      </c>
      <c r="S3723" t="s">
        <v>45042</v>
      </c>
      <c r="T3723" t="s">
        <v>46463</v>
      </c>
      <c r="U3723" t="s">
        <v>49501</v>
      </c>
      <c r="W3723" t="s">
        <v>42179</v>
      </c>
      <c r="X3723" t="s">
        <v>44909</v>
      </c>
    </row>
    <row r="3724" spans="1:24">
      <c r="A3724">
        <f>HYPERLINK("https://www.philgeps.gov.ph/GEPSNONPILOT/Tender/SplashBidNoticeAbstractUI.aspx?menuIndex=3&amp;refID=7080308&amp;Result=3","7080308")</f>
        <v>0</v>
      </c>
      <c r="B3724" t="s">
        <v>967</v>
      </c>
      <c r="C3724" t="s">
        <v>7088</v>
      </c>
      <c r="D3724" t="s">
        <v>18139</v>
      </c>
      <c r="E3724" t="s">
        <v>21536</v>
      </c>
      <c r="F3724" t="s">
        <v>31362</v>
      </c>
      <c r="G3724" t="s">
        <v>31368</v>
      </c>
      <c r="H3724" t="s">
        <v>15799</v>
      </c>
      <c r="I3724" t="s">
        <v>31393</v>
      </c>
      <c r="J3724" t="s">
        <v>33993</v>
      </c>
      <c r="K3724" t="s">
        <v>40666</v>
      </c>
      <c r="M3724" t="s">
        <v>41957</v>
      </c>
      <c r="N3724" t="s">
        <v>44905</v>
      </c>
      <c r="O3724" t="s">
        <v>44906</v>
      </c>
      <c r="P3724">
        <v>0</v>
      </c>
      <c r="Q3724">
        <v>2</v>
      </c>
      <c r="R3724" t="s">
        <v>44908</v>
      </c>
      <c r="S3724" t="s">
        <v>45042</v>
      </c>
      <c r="T3724" t="s">
        <v>46414</v>
      </c>
      <c r="U3724" t="s">
        <v>48987</v>
      </c>
      <c r="W3724" t="s">
        <v>60878</v>
      </c>
      <c r="X3724" t="s">
        <v>44909</v>
      </c>
    </row>
    <row r="3725" spans="1:24">
      <c r="A3725">
        <f>HYPERLINK("https://www.philgeps.gov.ph/GEPSNONPILOT/Tender/SplashBidNoticeAbstractUI.aspx?menuIndex=3&amp;refID=7080307&amp;Result=3","7080307")</f>
        <v>0</v>
      </c>
      <c r="B3725" t="s">
        <v>1114</v>
      </c>
      <c r="C3725" t="s">
        <v>7089</v>
      </c>
      <c r="D3725" t="s">
        <v>18109</v>
      </c>
      <c r="E3725" t="s">
        <v>21537</v>
      </c>
      <c r="F3725" t="s">
        <v>31362</v>
      </c>
      <c r="G3725" t="s">
        <v>31368</v>
      </c>
      <c r="H3725" t="s">
        <v>15799</v>
      </c>
      <c r="I3725" t="s">
        <v>31393</v>
      </c>
      <c r="J3725" t="s">
        <v>33090</v>
      </c>
      <c r="K3725" t="s">
        <v>40666</v>
      </c>
      <c r="M3725" t="s">
        <v>42392</v>
      </c>
      <c r="N3725" t="s">
        <v>44905</v>
      </c>
      <c r="O3725" t="s">
        <v>44906</v>
      </c>
      <c r="P3725">
        <v>0</v>
      </c>
      <c r="Q3725">
        <v>3</v>
      </c>
      <c r="R3725" t="s">
        <v>44908</v>
      </c>
      <c r="S3725" t="s">
        <v>45042</v>
      </c>
      <c r="T3725" t="s">
        <v>46447</v>
      </c>
      <c r="U3725" t="s">
        <v>49981</v>
      </c>
      <c r="W3725" t="s">
        <v>42392</v>
      </c>
      <c r="X3725" t="s">
        <v>44909</v>
      </c>
    </row>
    <row r="3726" spans="1:24">
      <c r="A3726">
        <f>HYPERLINK("https://www.philgeps.gov.ph/GEPSNONPILOT/Tender/SplashBidNoticeAbstractUI.aspx?menuIndex=3&amp;refID=7080306&amp;Result=3","7080306")</f>
        <v>0</v>
      </c>
      <c r="B3726" t="s">
        <v>791</v>
      </c>
      <c r="C3726" t="s">
        <v>7090</v>
      </c>
      <c r="D3726" t="s">
        <v>18108</v>
      </c>
      <c r="E3726" t="s">
        <v>21538</v>
      </c>
      <c r="F3726" t="s">
        <v>31362</v>
      </c>
      <c r="G3726" t="s">
        <v>31368</v>
      </c>
      <c r="H3726" t="s">
        <v>15799</v>
      </c>
      <c r="I3726" t="s">
        <v>7090</v>
      </c>
      <c r="J3726" t="s">
        <v>33994</v>
      </c>
      <c r="K3726" t="s">
        <v>40662</v>
      </c>
      <c r="M3726" t="s">
        <v>41761</v>
      </c>
      <c r="N3726" t="s">
        <v>44905</v>
      </c>
      <c r="O3726" t="s">
        <v>44906</v>
      </c>
      <c r="P3726">
        <v>0</v>
      </c>
      <c r="Q3726">
        <v>4</v>
      </c>
      <c r="R3726" t="s">
        <v>44908</v>
      </c>
      <c r="S3726" t="s">
        <v>45042</v>
      </c>
      <c r="T3726" t="s">
        <v>46399</v>
      </c>
      <c r="U3726" t="s">
        <v>49982</v>
      </c>
      <c r="V3726" t="s">
        <v>59151</v>
      </c>
      <c r="W3726" t="s">
        <v>41761</v>
      </c>
      <c r="X3726" t="s">
        <v>44909</v>
      </c>
    </row>
    <row r="3727" spans="1:24">
      <c r="A3727">
        <f>HYPERLINK("https://www.philgeps.gov.ph/GEPSNONPILOT/Tender/SplashBidNoticeAbstractUI.aspx?menuIndex=3&amp;refID=7080304&amp;Result=3","7080304")</f>
        <v>0</v>
      </c>
      <c r="B3727" t="s">
        <v>1169</v>
      </c>
      <c r="C3727" t="s">
        <v>7091</v>
      </c>
      <c r="D3727" t="s">
        <v>18130</v>
      </c>
      <c r="E3727" t="s">
        <v>19861</v>
      </c>
      <c r="F3727" t="s">
        <v>31362</v>
      </c>
      <c r="G3727" t="s">
        <v>31369</v>
      </c>
      <c r="H3727" t="s">
        <v>15799</v>
      </c>
      <c r="I3727" t="s">
        <v>3815</v>
      </c>
      <c r="J3727" t="s">
        <v>33995</v>
      </c>
      <c r="K3727" t="s">
        <v>40666</v>
      </c>
      <c r="M3727" t="s">
        <v>42179</v>
      </c>
      <c r="N3727" t="s">
        <v>44905</v>
      </c>
      <c r="O3727" t="s">
        <v>44906</v>
      </c>
      <c r="P3727">
        <v>0</v>
      </c>
      <c r="Q3727">
        <v>0</v>
      </c>
      <c r="R3727" t="s">
        <v>44908</v>
      </c>
      <c r="S3727" t="s">
        <v>45042</v>
      </c>
      <c r="T3727" t="s">
        <v>46463</v>
      </c>
      <c r="U3727" t="s">
        <v>49983</v>
      </c>
      <c r="W3727" t="s">
        <v>42179</v>
      </c>
      <c r="X3727" t="s">
        <v>44909</v>
      </c>
    </row>
    <row r="3728" spans="1:24">
      <c r="A3728">
        <f>HYPERLINK("https://www.philgeps.gov.ph/GEPSNONPILOT/Tender/SplashBidNoticeAbstractUI.aspx?menuIndex=3&amp;refID=7080303&amp;Result=3","7080303")</f>
        <v>0</v>
      </c>
      <c r="B3728" t="s">
        <v>401</v>
      </c>
      <c r="C3728" t="s">
        <v>7092</v>
      </c>
      <c r="D3728" t="s">
        <v>18132</v>
      </c>
      <c r="E3728" t="s">
        <v>21539</v>
      </c>
      <c r="F3728" t="s">
        <v>31362</v>
      </c>
      <c r="G3728" t="s">
        <v>31368</v>
      </c>
      <c r="H3728" t="s">
        <v>15799</v>
      </c>
      <c r="I3728" t="s">
        <v>31471</v>
      </c>
      <c r="J3728" t="s">
        <v>31724</v>
      </c>
      <c r="K3728" t="s">
        <v>40666</v>
      </c>
      <c r="M3728" t="s">
        <v>41351</v>
      </c>
      <c r="N3728" t="s">
        <v>44905</v>
      </c>
      <c r="O3728" t="s">
        <v>44906</v>
      </c>
      <c r="P3728">
        <v>0</v>
      </c>
      <c r="Q3728">
        <v>4</v>
      </c>
      <c r="R3728" t="s">
        <v>44908</v>
      </c>
      <c r="S3728" t="s">
        <v>45042</v>
      </c>
      <c r="T3728" t="s">
        <v>46454</v>
      </c>
      <c r="U3728" t="s">
        <v>49984</v>
      </c>
      <c r="W3728" t="s">
        <v>41351</v>
      </c>
      <c r="X3728" t="s">
        <v>44909</v>
      </c>
    </row>
    <row r="3729" spans="1:24">
      <c r="A3729">
        <f>HYPERLINK("https://www.philgeps.gov.ph/GEPSNONPILOT/Tender/SplashBidNoticeAbstractUI.aspx?menuIndex=3&amp;refID=7080302&amp;Result=3","7080302")</f>
        <v>0</v>
      </c>
      <c r="B3729" t="s">
        <v>1051</v>
      </c>
      <c r="C3729" t="s">
        <v>7093</v>
      </c>
      <c r="D3729" t="s">
        <v>18116</v>
      </c>
      <c r="E3729" t="s">
        <v>21540</v>
      </c>
      <c r="F3729" t="s">
        <v>31362</v>
      </c>
      <c r="G3729" t="s">
        <v>31368</v>
      </c>
      <c r="H3729" t="s">
        <v>15799</v>
      </c>
      <c r="I3729" t="s">
        <v>7719</v>
      </c>
      <c r="J3729" t="s">
        <v>33996</v>
      </c>
      <c r="K3729" t="s">
        <v>40662</v>
      </c>
      <c r="M3729" t="s">
        <v>42052</v>
      </c>
      <c r="N3729" t="s">
        <v>44905</v>
      </c>
      <c r="O3729" t="s">
        <v>44906</v>
      </c>
      <c r="P3729">
        <v>0</v>
      </c>
      <c r="Q3729">
        <v>12</v>
      </c>
      <c r="R3729" t="s">
        <v>44908</v>
      </c>
      <c r="S3729" t="s">
        <v>45042</v>
      </c>
      <c r="T3729" t="s">
        <v>46498</v>
      </c>
      <c r="U3729" t="s">
        <v>49985</v>
      </c>
      <c r="W3729" t="s">
        <v>42052</v>
      </c>
      <c r="X3729" t="s">
        <v>44909</v>
      </c>
    </row>
    <row r="3730" spans="1:24">
      <c r="A3730">
        <f>HYPERLINK("https://www.philgeps.gov.ph/GEPSNONPILOT/Tender/SplashBidNoticeAbstractUI.aspx?menuIndex=3&amp;refID=7080300&amp;Result=3","7080300")</f>
        <v>0</v>
      </c>
      <c r="B3730" t="s">
        <v>491</v>
      </c>
      <c r="C3730" t="s">
        <v>7094</v>
      </c>
      <c r="D3730" t="s">
        <v>18126</v>
      </c>
      <c r="E3730" t="s">
        <v>21541</v>
      </c>
      <c r="F3730" t="s">
        <v>31362</v>
      </c>
      <c r="G3730" t="s">
        <v>31369</v>
      </c>
      <c r="H3730" t="s">
        <v>31378</v>
      </c>
      <c r="I3730" t="s">
        <v>31386</v>
      </c>
      <c r="J3730" t="s">
        <v>33997</v>
      </c>
      <c r="K3730" t="s">
        <v>40694</v>
      </c>
      <c r="M3730" t="s">
        <v>41446</v>
      </c>
      <c r="N3730" t="s">
        <v>44905</v>
      </c>
      <c r="O3730" t="s">
        <v>44906</v>
      </c>
      <c r="P3730">
        <v>0</v>
      </c>
      <c r="Q3730">
        <v>0</v>
      </c>
      <c r="R3730" t="s">
        <v>44908</v>
      </c>
      <c r="S3730" t="s">
        <v>45042</v>
      </c>
      <c r="T3730" t="s">
        <v>46533</v>
      </c>
      <c r="U3730" t="s">
        <v>49986</v>
      </c>
      <c r="W3730" t="s">
        <v>41446</v>
      </c>
      <c r="X3730" t="s">
        <v>44909</v>
      </c>
    </row>
    <row r="3731" spans="1:24">
      <c r="A3731">
        <f>HYPERLINK("https://www.philgeps.gov.ph/GEPSNONPILOT/Tender/SplashBidNoticeAbstractUI.aspx?menuIndex=3&amp;refID=7080309&amp;Result=3","7080309")</f>
        <v>0</v>
      </c>
      <c r="B3731" t="s">
        <v>94</v>
      </c>
      <c r="C3731" t="s">
        <v>7095</v>
      </c>
      <c r="D3731" t="s">
        <v>18116</v>
      </c>
      <c r="E3731" t="s">
        <v>21542</v>
      </c>
      <c r="F3731" t="s">
        <v>31362</v>
      </c>
      <c r="G3731" t="s">
        <v>31368</v>
      </c>
      <c r="H3731" t="s">
        <v>15799</v>
      </c>
      <c r="I3731" t="s">
        <v>31452</v>
      </c>
      <c r="J3731" t="s">
        <v>33998</v>
      </c>
      <c r="K3731" t="s">
        <v>40665</v>
      </c>
      <c r="M3731" t="s">
        <v>41031</v>
      </c>
      <c r="N3731" t="s">
        <v>44905</v>
      </c>
      <c r="O3731" t="s">
        <v>44906</v>
      </c>
      <c r="P3731">
        <v>0</v>
      </c>
      <c r="Q3731">
        <v>1</v>
      </c>
      <c r="R3731" t="s">
        <v>44908</v>
      </c>
      <c r="S3731" t="s">
        <v>45042</v>
      </c>
      <c r="T3731" t="s">
        <v>46454</v>
      </c>
      <c r="U3731" t="s">
        <v>49987</v>
      </c>
      <c r="W3731" t="s">
        <v>41031</v>
      </c>
      <c r="X3731" t="s">
        <v>44909</v>
      </c>
    </row>
    <row r="3732" spans="1:24">
      <c r="A3732">
        <f>HYPERLINK("https://www.philgeps.gov.ph/GEPSNONPILOT/Tender/SplashBidNoticeAbstractUI.aspx?menuIndex=3&amp;refID=7080299&amp;Result=3","7080299")</f>
        <v>0</v>
      </c>
      <c r="B3732" t="s">
        <v>1281</v>
      </c>
      <c r="C3732" t="s">
        <v>7096</v>
      </c>
      <c r="D3732" t="s">
        <v>18156</v>
      </c>
      <c r="E3732" t="s">
        <v>21543</v>
      </c>
      <c r="F3732" t="s">
        <v>31362</v>
      </c>
      <c r="G3732" t="s">
        <v>31369</v>
      </c>
      <c r="H3732" t="s">
        <v>15799</v>
      </c>
      <c r="I3732" t="s">
        <v>6155</v>
      </c>
      <c r="J3732" t="s">
        <v>33999</v>
      </c>
      <c r="K3732" t="s">
        <v>40666</v>
      </c>
      <c r="M3732" t="s">
        <v>42298</v>
      </c>
      <c r="N3732" t="s">
        <v>44905</v>
      </c>
      <c r="O3732" t="s">
        <v>44906</v>
      </c>
      <c r="P3732">
        <v>0</v>
      </c>
      <c r="Q3732">
        <v>5</v>
      </c>
      <c r="R3732" t="s">
        <v>44908</v>
      </c>
      <c r="S3732" t="s">
        <v>45042</v>
      </c>
      <c r="T3732" t="s">
        <v>46395</v>
      </c>
      <c r="U3732" t="s">
        <v>49731</v>
      </c>
      <c r="W3732" t="s">
        <v>42298</v>
      </c>
      <c r="X3732" t="s">
        <v>44909</v>
      </c>
    </row>
    <row r="3733" spans="1:24">
      <c r="A3733">
        <f>HYPERLINK("https://www.philgeps.gov.ph/GEPSNONPILOT/Tender/SplashBidNoticeAbstractUI.aspx?menuIndex=3&amp;refID=7080298&amp;Result=3","7080298")</f>
        <v>0</v>
      </c>
      <c r="B3733" t="s">
        <v>51</v>
      </c>
      <c r="C3733" t="s">
        <v>7097</v>
      </c>
      <c r="D3733" t="s">
        <v>18118</v>
      </c>
      <c r="E3733" t="s">
        <v>21544</v>
      </c>
      <c r="F3733" t="s">
        <v>31362</v>
      </c>
      <c r="G3733" t="s">
        <v>31368</v>
      </c>
      <c r="H3733" t="s">
        <v>15799</v>
      </c>
      <c r="I3733" t="s">
        <v>3815</v>
      </c>
      <c r="J3733" t="s">
        <v>34000</v>
      </c>
      <c r="K3733" t="s">
        <v>40661</v>
      </c>
      <c r="M3733" t="s">
        <v>40985</v>
      </c>
      <c r="N3733" t="s">
        <v>44905</v>
      </c>
      <c r="O3733" t="s">
        <v>44906</v>
      </c>
      <c r="P3733">
        <v>0</v>
      </c>
      <c r="Q3733">
        <v>1</v>
      </c>
      <c r="R3733" t="s">
        <v>44908</v>
      </c>
      <c r="S3733" t="s">
        <v>45042</v>
      </c>
      <c r="T3733" t="s">
        <v>46411</v>
      </c>
      <c r="U3733" t="s">
        <v>49988</v>
      </c>
      <c r="W3733" t="s">
        <v>40985</v>
      </c>
      <c r="X3733" t="s">
        <v>44909</v>
      </c>
    </row>
    <row r="3734" spans="1:24">
      <c r="A3734">
        <f>HYPERLINK("https://www.philgeps.gov.ph/GEPSNONPILOT/Tender/SplashBidNoticeAbstractUI.aspx?menuIndex=3&amp;refID=7080289&amp;Result=3","7080289")</f>
        <v>0</v>
      </c>
      <c r="B3734" t="s">
        <v>1302</v>
      </c>
      <c r="C3734" t="s">
        <v>7098</v>
      </c>
      <c r="D3734" t="s">
        <v>18108</v>
      </c>
      <c r="E3734" t="s">
        <v>21545</v>
      </c>
      <c r="F3734" t="s">
        <v>31362</v>
      </c>
      <c r="G3734" t="s">
        <v>31369</v>
      </c>
      <c r="H3734" t="s">
        <v>15799</v>
      </c>
      <c r="I3734" t="s">
        <v>7090</v>
      </c>
      <c r="J3734" t="s">
        <v>34001</v>
      </c>
      <c r="K3734" t="s">
        <v>40665</v>
      </c>
      <c r="M3734" t="s">
        <v>42320</v>
      </c>
      <c r="N3734" t="s">
        <v>44905</v>
      </c>
      <c r="O3734" t="s">
        <v>44906</v>
      </c>
      <c r="P3734">
        <v>0</v>
      </c>
      <c r="Q3734">
        <v>0</v>
      </c>
      <c r="R3734" t="s">
        <v>44908</v>
      </c>
      <c r="S3734" t="s">
        <v>45042</v>
      </c>
      <c r="T3734" t="s">
        <v>46396</v>
      </c>
      <c r="U3734" t="s">
        <v>49989</v>
      </c>
      <c r="W3734" t="s">
        <v>42320</v>
      </c>
      <c r="X3734" t="s">
        <v>44909</v>
      </c>
    </row>
    <row r="3735" spans="1:24">
      <c r="A3735">
        <f>HYPERLINK("https://www.philgeps.gov.ph/GEPSNONPILOT/Tender/SplashBidNoticeAbstractUI.aspx?menuIndex=3&amp;refID=7080297&amp;Result=3","7080297")</f>
        <v>0</v>
      </c>
      <c r="B3735" t="s">
        <v>1349</v>
      </c>
      <c r="C3735" t="s">
        <v>7099</v>
      </c>
      <c r="E3735" t="s">
        <v>21546</v>
      </c>
      <c r="F3735" t="s">
        <v>31362</v>
      </c>
      <c r="G3735" t="s">
        <v>31368</v>
      </c>
      <c r="H3735" t="s">
        <v>15799</v>
      </c>
      <c r="I3735" t="s">
        <v>31388</v>
      </c>
      <c r="J3735" t="s">
        <v>33943</v>
      </c>
      <c r="K3735" t="s">
        <v>40662</v>
      </c>
      <c r="M3735" t="s">
        <v>42370</v>
      </c>
      <c r="N3735" t="s">
        <v>44905</v>
      </c>
      <c r="O3735" t="s">
        <v>44906</v>
      </c>
      <c r="P3735">
        <v>0</v>
      </c>
      <c r="Q3735">
        <v>0</v>
      </c>
      <c r="R3735" t="s">
        <v>44908</v>
      </c>
      <c r="S3735" t="s">
        <v>45042</v>
      </c>
      <c r="T3735" t="s">
        <v>46409</v>
      </c>
      <c r="U3735" t="s">
        <v>49920</v>
      </c>
      <c r="V3735" t="s">
        <v>59426</v>
      </c>
      <c r="W3735" t="s">
        <v>42370</v>
      </c>
      <c r="X3735" t="s">
        <v>44909</v>
      </c>
    </row>
    <row r="3736" spans="1:24">
      <c r="A3736">
        <f>HYPERLINK("https://www.philgeps.gov.ph/GEPSNONPILOT/Tender/SplashBidNoticeAbstractUI.aspx?menuIndex=3&amp;refID=7080277&amp;Result=3","7080277")</f>
        <v>0</v>
      </c>
      <c r="B3736" t="s">
        <v>1362</v>
      </c>
      <c r="C3736" t="s">
        <v>7100</v>
      </c>
      <c r="D3736" t="s">
        <v>18160</v>
      </c>
      <c r="E3736" t="s">
        <v>21547</v>
      </c>
      <c r="F3736" t="s">
        <v>31362</v>
      </c>
      <c r="G3736" t="s">
        <v>31368</v>
      </c>
      <c r="H3736" t="s">
        <v>15799</v>
      </c>
      <c r="I3736" t="s">
        <v>6240</v>
      </c>
      <c r="J3736" t="s">
        <v>34002</v>
      </c>
      <c r="K3736" t="s">
        <v>40665</v>
      </c>
      <c r="M3736" t="s">
        <v>42383</v>
      </c>
      <c r="N3736" t="s">
        <v>44905</v>
      </c>
      <c r="O3736" t="s">
        <v>44906</v>
      </c>
      <c r="P3736">
        <v>0</v>
      </c>
      <c r="Q3736">
        <v>0</v>
      </c>
      <c r="R3736" t="s">
        <v>44908</v>
      </c>
      <c r="S3736" t="s">
        <v>45042</v>
      </c>
      <c r="T3736" t="s">
        <v>46394</v>
      </c>
      <c r="U3736" t="s">
        <v>49990</v>
      </c>
      <c r="W3736" t="s">
        <v>42383</v>
      </c>
      <c r="X3736" t="s">
        <v>44909</v>
      </c>
    </row>
    <row r="3737" spans="1:24">
      <c r="A3737">
        <f>HYPERLINK("https://www.philgeps.gov.ph/GEPSNONPILOT/Tender/SplashBidNoticeAbstractUI.aspx?menuIndex=3&amp;refID=7080295&amp;Result=3","7080295")</f>
        <v>0</v>
      </c>
      <c r="B3737" t="s">
        <v>1370</v>
      </c>
      <c r="C3737" t="s">
        <v>7101</v>
      </c>
      <c r="D3737" t="s">
        <v>18108</v>
      </c>
      <c r="E3737" t="s">
        <v>21548</v>
      </c>
      <c r="F3737" t="s">
        <v>31362</v>
      </c>
      <c r="G3737" t="s">
        <v>31368</v>
      </c>
      <c r="H3737" t="s">
        <v>15799</v>
      </c>
      <c r="I3737" t="s">
        <v>31393</v>
      </c>
      <c r="J3737" t="s">
        <v>34003</v>
      </c>
      <c r="K3737" t="s">
        <v>40670</v>
      </c>
      <c r="M3737" t="s">
        <v>42393</v>
      </c>
      <c r="N3737" t="s">
        <v>44905</v>
      </c>
      <c r="O3737" t="s">
        <v>44906</v>
      </c>
      <c r="P3737">
        <v>0</v>
      </c>
      <c r="Q3737">
        <v>2</v>
      </c>
      <c r="R3737" t="s">
        <v>44908</v>
      </c>
      <c r="S3737" t="s">
        <v>45042</v>
      </c>
      <c r="T3737" t="s">
        <v>46447</v>
      </c>
      <c r="U3737" t="s">
        <v>49991</v>
      </c>
      <c r="V3737" t="s">
        <v>59432</v>
      </c>
      <c r="W3737" t="s">
        <v>42393</v>
      </c>
      <c r="X3737" t="s">
        <v>44909</v>
      </c>
    </row>
    <row r="3738" spans="1:24">
      <c r="A3738">
        <f>HYPERLINK("https://www.philgeps.gov.ph/GEPSNONPILOT/Tender/SplashBidNoticeAbstractUI.aspx?menuIndex=3&amp;refID=7080337&amp;Result=3","7080337")</f>
        <v>0</v>
      </c>
      <c r="B3738" t="s">
        <v>1358</v>
      </c>
      <c r="C3738" t="s">
        <v>7102</v>
      </c>
      <c r="D3738" t="s">
        <v>18117</v>
      </c>
      <c r="E3738" t="s">
        <v>21549</v>
      </c>
      <c r="F3738" t="s">
        <v>31362</v>
      </c>
      <c r="G3738" t="s">
        <v>31369</v>
      </c>
      <c r="H3738" t="s">
        <v>15799</v>
      </c>
      <c r="I3738" t="s">
        <v>3815</v>
      </c>
      <c r="J3738" t="s">
        <v>31645</v>
      </c>
      <c r="K3738" t="s">
        <v>40670</v>
      </c>
      <c r="M3738" t="s">
        <v>42379</v>
      </c>
      <c r="N3738" t="s">
        <v>44905</v>
      </c>
      <c r="O3738" t="s">
        <v>44906</v>
      </c>
      <c r="P3738">
        <v>0</v>
      </c>
      <c r="Q3738">
        <v>0</v>
      </c>
      <c r="R3738" t="s">
        <v>44908</v>
      </c>
      <c r="S3738" t="s">
        <v>45042</v>
      </c>
      <c r="T3738" t="s">
        <v>46426</v>
      </c>
      <c r="U3738" t="s">
        <v>49992</v>
      </c>
      <c r="V3738" t="s">
        <v>59433</v>
      </c>
      <c r="W3738" t="s">
        <v>42379</v>
      </c>
      <c r="X3738" t="s">
        <v>44909</v>
      </c>
    </row>
    <row r="3739" spans="1:24">
      <c r="A3739">
        <f>HYPERLINK("https://www.philgeps.gov.ph/GEPSNONPILOT/Tender/SplashBidNoticeAbstractUI.aspx?menuIndex=3&amp;refID=7080301&amp;Result=3","7080301")</f>
        <v>0</v>
      </c>
      <c r="B3739" t="s">
        <v>1371</v>
      </c>
      <c r="C3739" t="s">
        <v>7103</v>
      </c>
      <c r="D3739" t="s">
        <v>18104</v>
      </c>
      <c r="E3739" t="s">
        <v>21550</v>
      </c>
      <c r="F3739" t="s">
        <v>31362</v>
      </c>
      <c r="G3739" t="s">
        <v>31368</v>
      </c>
      <c r="H3739" t="s">
        <v>15799</v>
      </c>
      <c r="I3739" t="s">
        <v>3815</v>
      </c>
      <c r="J3739" t="s">
        <v>34004</v>
      </c>
      <c r="K3739" t="s">
        <v>40666</v>
      </c>
      <c r="M3739" t="s">
        <v>42394</v>
      </c>
      <c r="N3739" t="s">
        <v>44905</v>
      </c>
      <c r="O3739" t="s">
        <v>44906</v>
      </c>
      <c r="P3739">
        <v>0</v>
      </c>
      <c r="Q3739">
        <v>0</v>
      </c>
      <c r="R3739" t="s">
        <v>44908</v>
      </c>
      <c r="S3739" t="s">
        <v>45042</v>
      </c>
      <c r="T3739" t="s">
        <v>46443</v>
      </c>
      <c r="U3739" t="s">
        <v>49993</v>
      </c>
      <c r="W3739" t="s">
        <v>42394</v>
      </c>
      <c r="X3739" t="s">
        <v>44909</v>
      </c>
    </row>
    <row r="3740" spans="1:24">
      <c r="A3740">
        <f>HYPERLINK("https://www.philgeps.gov.ph/GEPSNONPILOT/Tender/SplashBidNoticeAbstractUI.aspx?menuIndex=3&amp;refID=7080336&amp;Result=3","7080336")</f>
        <v>0</v>
      </c>
      <c r="B3740" t="s">
        <v>1043</v>
      </c>
      <c r="C3740" t="s">
        <v>7104</v>
      </c>
      <c r="D3740" t="s">
        <v>18153</v>
      </c>
      <c r="E3740" t="s">
        <v>21551</v>
      </c>
      <c r="F3740" t="s">
        <v>31362</v>
      </c>
      <c r="G3740" t="s">
        <v>31368</v>
      </c>
      <c r="H3740" t="s">
        <v>15799</v>
      </c>
      <c r="I3740" t="s">
        <v>3815</v>
      </c>
      <c r="J3740" t="s">
        <v>34005</v>
      </c>
      <c r="K3740" t="s">
        <v>40661</v>
      </c>
      <c r="M3740" t="s">
        <v>42042</v>
      </c>
      <c r="N3740" t="s">
        <v>44905</v>
      </c>
      <c r="O3740" t="s">
        <v>44906</v>
      </c>
      <c r="P3740">
        <v>0</v>
      </c>
      <c r="Q3740">
        <v>0</v>
      </c>
      <c r="R3740" t="s">
        <v>44908</v>
      </c>
      <c r="S3740" t="s">
        <v>45042</v>
      </c>
      <c r="T3740" t="s">
        <v>46549</v>
      </c>
      <c r="U3740" t="s">
        <v>49994</v>
      </c>
      <c r="W3740" t="s">
        <v>42042</v>
      </c>
      <c r="X3740" t="s">
        <v>44909</v>
      </c>
    </row>
    <row r="3741" spans="1:24">
      <c r="A3741">
        <f>HYPERLINK("https://www.philgeps.gov.ph/GEPSNONPILOT/Tender/SplashBidNoticeAbstractUI.aspx?menuIndex=3&amp;refID=7080305&amp;Result=3","7080305")</f>
        <v>0</v>
      </c>
      <c r="B3741" t="s">
        <v>130</v>
      </c>
      <c r="C3741" t="s">
        <v>7105</v>
      </c>
      <c r="D3741" t="s">
        <v>18109</v>
      </c>
      <c r="E3741" t="s">
        <v>21552</v>
      </c>
      <c r="F3741" t="s">
        <v>31362</v>
      </c>
      <c r="G3741" t="s">
        <v>31368</v>
      </c>
      <c r="H3741" t="s">
        <v>15799</v>
      </c>
      <c r="I3741" t="s">
        <v>31422</v>
      </c>
      <c r="J3741" t="s">
        <v>31688</v>
      </c>
      <c r="K3741" t="s">
        <v>40662</v>
      </c>
      <c r="M3741" t="s">
        <v>41067</v>
      </c>
      <c r="N3741" t="s">
        <v>44905</v>
      </c>
      <c r="O3741" t="s">
        <v>44906</v>
      </c>
      <c r="P3741">
        <v>0</v>
      </c>
      <c r="Q3741">
        <v>4</v>
      </c>
      <c r="R3741" t="s">
        <v>44908</v>
      </c>
      <c r="S3741" t="s">
        <v>45042</v>
      </c>
      <c r="T3741" t="s">
        <v>46394</v>
      </c>
      <c r="U3741" t="s">
        <v>49995</v>
      </c>
      <c r="W3741" t="s">
        <v>41067</v>
      </c>
      <c r="X3741" t="s">
        <v>44909</v>
      </c>
    </row>
    <row r="3742" spans="1:24">
      <c r="A3742">
        <f>HYPERLINK("https://www.philgeps.gov.ph/GEPSNONPILOT/Tender/SplashBidNoticeAbstractUI.aspx?menuIndex=3&amp;refID=7080333&amp;Result=3","7080333")</f>
        <v>0</v>
      </c>
      <c r="B3742" t="s">
        <v>486</v>
      </c>
      <c r="C3742" t="s">
        <v>7106</v>
      </c>
      <c r="D3742" t="s">
        <v>18148</v>
      </c>
      <c r="E3742" t="s">
        <v>21553</v>
      </c>
      <c r="F3742" t="s">
        <v>31362</v>
      </c>
      <c r="G3742" t="s">
        <v>31368</v>
      </c>
      <c r="H3742" t="s">
        <v>15799</v>
      </c>
      <c r="I3742" t="s">
        <v>31387</v>
      </c>
      <c r="J3742" t="s">
        <v>34006</v>
      </c>
      <c r="K3742" t="s">
        <v>40665</v>
      </c>
      <c r="M3742" t="s">
        <v>41441</v>
      </c>
      <c r="N3742" t="s">
        <v>44905</v>
      </c>
      <c r="O3742" t="s">
        <v>44906</v>
      </c>
      <c r="P3742">
        <v>0</v>
      </c>
      <c r="Q3742">
        <v>1</v>
      </c>
      <c r="R3742" t="s">
        <v>44908</v>
      </c>
      <c r="S3742" t="s">
        <v>45042</v>
      </c>
      <c r="T3742" t="s">
        <v>46443</v>
      </c>
      <c r="U3742" t="s">
        <v>47855</v>
      </c>
      <c r="W3742" t="s">
        <v>41441</v>
      </c>
      <c r="X3742" t="s">
        <v>44909</v>
      </c>
    </row>
    <row r="3743" spans="1:24">
      <c r="A3743">
        <f>HYPERLINK("https://www.philgeps.gov.ph/GEPSNONPILOT/Tender/SplashBidNoticeAbstractUI.aspx?menuIndex=3&amp;refID=7080331&amp;Result=3","7080331")</f>
        <v>0</v>
      </c>
      <c r="B3743" t="s">
        <v>959</v>
      </c>
      <c r="C3743" t="s">
        <v>7107</v>
      </c>
      <c r="D3743" t="s">
        <v>18117</v>
      </c>
      <c r="E3743" t="s">
        <v>20795</v>
      </c>
      <c r="F3743" t="s">
        <v>31362</v>
      </c>
      <c r="G3743" t="s">
        <v>31368</v>
      </c>
      <c r="H3743" t="s">
        <v>15799</v>
      </c>
      <c r="I3743" t="s">
        <v>31380</v>
      </c>
      <c r="J3743" t="s">
        <v>32165</v>
      </c>
      <c r="K3743" t="s">
        <v>40661</v>
      </c>
      <c r="M3743" t="s">
        <v>41947</v>
      </c>
      <c r="N3743" t="s">
        <v>44905</v>
      </c>
      <c r="O3743" t="s">
        <v>44906</v>
      </c>
      <c r="P3743">
        <v>0</v>
      </c>
      <c r="Q3743">
        <v>7</v>
      </c>
      <c r="R3743" t="s">
        <v>44908</v>
      </c>
      <c r="S3743" t="s">
        <v>45042</v>
      </c>
      <c r="T3743" t="s">
        <v>46408</v>
      </c>
      <c r="U3743" t="s">
        <v>49996</v>
      </c>
      <c r="W3743" t="s">
        <v>41947</v>
      </c>
      <c r="X3743" t="s">
        <v>44909</v>
      </c>
    </row>
    <row r="3744" spans="1:24">
      <c r="A3744">
        <f>HYPERLINK("https://www.philgeps.gov.ph/GEPSNONPILOT/Tender/SplashBidNoticeAbstractUI.aspx?menuIndex=3&amp;refID=7080296&amp;Result=3","7080296")</f>
        <v>0</v>
      </c>
      <c r="B3744" t="s">
        <v>1372</v>
      </c>
      <c r="C3744" t="s">
        <v>7108</v>
      </c>
      <c r="D3744" t="s">
        <v>18103</v>
      </c>
      <c r="E3744" t="s">
        <v>21554</v>
      </c>
      <c r="F3744" t="s">
        <v>31362</v>
      </c>
      <c r="G3744" t="s">
        <v>31368</v>
      </c>
      <c r="H3744" t="s">
        <v>31378</v>
      </c>
      <c r="I3744" t="s">
        <v>31427</v>
      </c>
      <c r="J3744" t="s">
        <v>34007</v>
      </c>
      <c r="K3744" t="s">
        <v>40665</v>
      </c>
      <c r="M3744" t="s">
        <v>42395</v>
      </c>
      <c r="N3744" t="s">
        <v>44905</v>
      </c>
      <c r="O3744" t="s">
        <v>44906</v>
      </c>
      <c r="P3744">
        <v>0</v>
      </c>
      <c r="Q3744">
        <v>7</v>
      </c>
      <c r="R3744" t="s">
        <v>44908</v>
      </c>
      <c r="S3744" t="s">
        <v>45042</v>
      </c>
      <c r="T3744" t="s">
        <v>46432</v>
      </c>
      <c r="U3744" t="s">
        <v>49997</v>
      </c>
      <c r="W3744" t="s">
        <v>42395</v>
      </c>
      <c r="X3744" t="s">
        <v>44909</v>
      </c>
    </row>
    <row r="3745" spans="1:24">
      <c r="A3745">
        <f>HYPERLINK("https://www.philgeps.gov.ph/GEPSNONPILOT/Tender/SplashBidNoticeAbstractUI.aspx?menuIndex=3&amp;refID=7080326&amp;Result=3","7080326")</f>
        <v>0</v>
      </c>
      <c r="B3745" t="s">
        <v>1373</v>
      </c>
      <c r="C3745" t="s">
        <v>7109</v>
      </c>
      <c r="D3745" t="s">
        <v>18109</v>
      </c>
      <c r="E3745" t="s">
        <v>21555</v>
      </c>
      <c r="F3745" t="s">
        <v>31362</v>
      </c>
      <c r="G3745" t="s">
        <v>31370</v>
      </c>
      <c r="H3745" t="s">
        <v>15799</v>
      </c>
      <c r="I3745" t="s">
        <v>31427</v>
      </c>
      <c r="J3745" t="s">
        <v>32207</v>
      </c>
      <c r="K3745" t="s">
        <v>40665</v>
      </c>
      <c r="M3745" t="s">
        <v>42396</v>
      </c>
      <c r="N3745" t="s">
        <v>44905</v>
      </c>
      <c r="O3745" t="s">
        <v>44906</v>
      </c>
      <c r="P3745">
        <v>0</v>
      </c>
      <c r="Q3745">
        <v>5</v>
      </c>
      <c r="R3745" t="s">
        <v>44908</v>
      </c>
      <c r="S3745" t="s">
        <v>45042</v>
      </c>
      <c r="T3745" t="s">
        <v>46454</v>
      </c>
      <c r="U3745" t="s">
        <v>49998</v>
      </c>
      <c r="W3745" t="s">
        <v>42396</v>
      </c>
      <c r="X3745" t="s">
        <v>44909</v>
      </c>
    </row>
    <row r="3746" spans="1:24">
      <c r="A3746">
        <f>HYPERLINK("https://www.philgeps.gov.ph/GEPSNONPILOT/Tender/SplashBidNoticeAbstractUI.aspx?menuIndex=3&amp;refID=7080338&amp;Result=3","7080338")</f>
        <v>0</v>
      </c>
      <c r="B3746" t="s">
        <v>1371</v>
      </c>
      <c r="C3746" t="s">
        <v>7110</v>
      </c>
      <c r="D3746" t="s">
        <v>18104</v>
      </c>
      <c r="E3746" t="s">
        <v>21556</v>
      </c>
      <c r="F3746" t="s">
        <v>31362</v>
      </c>
      <c r="G3746" t="s">
        <v>31368</v>
      </c>
      <c r="H3746" t="s">
        <v>15799</v>
      </c>
      <c r="I3746" t="s">
        <v>3815</v>
      </c>
      <c r="J3746" t="s">
        <v>34008</v>
      </c>
      <c r="K3746" t="s">
        <v>40666</v>
      </c>
      <c r="M3746" t="s">
        <v>42394</v>
      </c>
      <c r="N3746" t="s">
        <v>44905</v>
      </c>
      <c r="O3746" t="s">
        <v>44906</v>
      </c>
      <c r="P3746">
        <v>0</v>
      </c>
      <c r="Q3746">
        <v>0</v>
      </c>
      <c r="R3746" t="s">
        <v>44908</v>
      </c>
      <c r="S3746" t="s">
        <v>45042</v>
      </c>
      <c r="T3746" t="s">
        <v>46660</v>
      </c>
      <c r="U3746" t="s">
        <v>49999</v>
      </c>
      <c r="W3746" t="s">
        <v>42394</v>
      </c>
      <c r="X3746" t="s">
        <v>44909</v>
      </c>
    </row>
    <row r="3747" spans="1:24">
      <c r="A3747">
        <f>HYPERLINK("https://www.philgeps.gov.ph/GEPSNONPILOT/Tender/SplashBidNoticeAbstractUI.aspx?menuIndex=3&amp;refID=7080323&amp;Result=3","7080323")</f>
        <v>0</v>
      </c>
      <c r="B3747" t="s">
        <v>1322</v>
      </c>
      <c r="C3747" t="s">
        <v>7111</v>
      </c>
      <c r="D3747" t="s">
        <v>18125</v>
      </c>
      <c r="E3747" t="s">
        <v>21557</v>
      </c>
      <c r="F3747" t="s">
        <v>31362</v>
      </c>
      <c r="G3747" t="s">
        <v>31369</v>
      </c>
      <c r="H3747" t="s">
        <v>31378</v>
      </c>
      <c r="I3747" t="s">
        <v>31386</v>
      </c>
      <c r="J3747" t="s">
        <v>34009</v>
      </c>
      <c r="K3747" t="s">
        <v>40763</v>
      </c>
      <c r="M3747" t="s">
        <v>42340</v>
      </c>
      <c r="N3747" t="s">
        <v>44905</v>
      </c>
      <c r="O3747" t="s">
        <v>44906</v>
      </c>
      <c r="P3747">
        <v>0</v>
      </c>
      <c r="Q3747">
        <v>1</v>
      </c>
      <c r="R3747" t="s">
        <v>44908</v>
      </c>
      <c r="S3747" t="s">
        <v>45042</v>
      </c>
      <c r="T3747" t="s">
        <v>46419</v>
      </c>
      <c r="U3747" t="s">
        <v>50000</v>
      </c>
      <c r="W3747" t="s">
        <v>42340</v>
      </c>
      <c r="X3747" t="s">
        <v>44909</v>
      </c>
    </row>
    <row r="3748" spans="1:24">
      <c r="A3748">
        <f>HYPERLINK("https://www.philgeps.gov.ph/GEPSNONPILOT/Tender/SplashBidNoticeAbstractUI.aspx?menuIndex=3&amp;refID=7080335&amp;Result=3","7080335")</f>
        <v>0</v>
      </c>
      <c r="B3748" t="s">
        <v>1316</v>
      </c>
      <c r="C3748" t="s">
        <v>7112</v>
      </c>
      <c r="D3748" t="s">
        <v>18123</v>
      </c>
      <c r="E3748" t="s">
        <v>20493</v>
      </c>
      <c r="F3748" t="s">
        <v>31362</v>
      </c>
      <c r="G3748" t="s">
        <v>31368</v>
      </c>
      <c r="H3748" t="s">
        <v>15799</v>
      </c>
      <c r="I3748" t="s">
        <v>7719</v>
      </c>
      <c r="J3748" t="s">
        <v>32423</v>
      </c>
      <c r="K3748" t="s">
        <v>40666</v>
      </c>
      <c r="M3748" t="s">
        <v>42334</v>
      </c>
      <c r="N3748" t="s">
        <v>44905</v>
      </c>
      <c r="O3748" t="s">
        <v>44906</v>
      </c>
      <c r="P3748">
        <v>0</v>
      </c>
      <c r="Q3748">
        <v>5</v>
      </c>
      <c r="R3748" t="s">
        <v>44908</v>
      </c>
      <c r="S3748" t="s">
        <v>45042</v>
      </c>
      <c r="T3748" t="s">
        <v>46447</v>
      </c>
      <c r="U3748" t="s">
        <v>50001</v>
      </c>
      <c r="V3748" t="s">
        <v>59418</v>
      </c>
      <c r="W3748" t="s">
        <v>42334</v>
      </c>
      <c r="X3748" t="s">
        <v>44909</v>
      </c>
    </row>
    <row r="3749" spans="1:24">
      <c r="A3749">
        <f>HYPERLINK("https://www.philgeps.gov.ph/GEPSNONPILOT/Tender/SplashBidNoticeAbstractUI.aspx?menuIndex=3&amp;refID=7080319&amp;Result=3","7080319")</f>
        <v>0</v>
      </c>
      <c r="B3749" t="s">
        <v>1164</v>
      </c>
      <c r="C3749" t="s">
        <v>7113</v>
      </c>
      <c r="D3749" t="s">
        <v>18111</v>
      </c>
      <c r="E3749" t="s">
        <v>21358</v>
      </c>
      <c r="F3749" t="s">
        <v>31362</v>
      </c>
      <c r="G3749" t="s">
        <v>31370</v>
      </c>
      <c r="H3749" t="s">
        <v>15799</v>
      </c>
      <c r="I3749" t="s">
        <v>31385</v>
      </c>
      <c r="J3749" t="s">
        <v>34010</v>
      </c>
      <c r="K3749" t="s">
        <v>40670</v>
      </c>
      <c r="M3749" t="s">
        <v>42174</v>
      </c>
      <c r="N3749" t="s">
        <v>44905</v>
      </c>
      <c r="O3749" t="s">
        <v>44906</v>
      </c>
      <c r="P3749">
        <v>0</v>
      </c>
      <c r="Q3749">
        <v>0</v>
      </c>
      <c r="R3749" t="s">
        <v>44908</v>
      </c>
      <c r="S3749" t="s">
        <v>45042</v>
      </c>
      <c r="T3749" t="s">
        <v>46414</v>
      </c>
      <c r="U3749" t="s">
        <v>49454</v>
      </c>
      <c r="W3749" t="s">
        <v>42174</v>
      </c>
      <c r="X3749" t="s">
        <v>44909</v>
      </c>
    </row>
    <row r="3750" spans="1:24">
      <c r="A3750">
        <f>HYPERLINK("https://www.philgeps.gov.ph/GEPSNONPILOT/Tender/SplashBidNoticeAbstractUI.aspx?menuIndex=3&amp;refID=7080270&amp;Result=3","7080270")</f>
        <v>0</v>
      </c>
      <c r="B3750" t="s">
        <v>83</v>
      </c>
      <c r="C3750" t="s">
        <v>7114</v>
      </c>
      <c r="D3750" t="s">
        <v>18116</v>
      </c>
      <c r="E3750" t="s">
        <v>21558</v>
      </c>
      <c r="F3750" t="s">
        <v>31362</v>
      </c>
      <c r="G3750" t="s">
        <v>31370</v>
      </c>
      <c r="H3750" t="s">
        <v>15799</v>
      </c>
      <c r="I3750" t="s">
        <v>31430</v>
      </c>
      <c r="J3750" t="s">
        <v>34011</v>
      </c>
      <c r="K3750" t="s">
        <v>40661</v>
      </c>
      <c r="M3750" t="s">
        <v>41019</v>
      </c>
      <c r="N3750" t="s">
        <v>44905</v>
      </c>
      <c r="O3750" t="s">
        <v>44906</v>
      </c>
      <c r="P3750">
        <v>0</v>
      </c>
      <c r="Q3750">
        <v>0</v>
      </c>
      <c r="R3750" t="s">
        <v>44908</v>
      </c>
      <c r="S3750" t="s">
        <v>45042</v>
      </c>
      <c r="T3750" t="s">
        <v>46400</v>
      </c>
      <c r="U3750" t="s">
        <v>50002</v>
      </c>
      <c r="W3750" t="s">
        <v>41019</v>
      </c>
      <c r="X3750" t="s">
        <v>44909</v>
      </c>
    </row>
    <row r="3751" spans="1:24">
      <c r="A3751">
        <f>HYPERLINK("https://www.philgeps.gov.ph/GEPSNONPILOT/Tender/SplashBidNoticeAbstractUI.aspx?menuIndex=3&amp;refID=7080327&amp;Result=3","7080327")</f>
        <v>0</v>
      </c>
      <c r="B3751" t="s">
        <v>74</v>
      </c>
      <c r="C3751" t="s">
        <v>7115</v>
      </c>
      <c r="D3751" t="s">
        <v>18108</v>
      </c>
      <c r="E3751" t="s">
        <v>21559</v>
      </c>
      <c r="F3751" t="s">
        <v>31362</v>
      </c>
      <c r="G3751" t="s">
        <v>31368</v>
      </c>
      <c r="H3751" t="s">
        <v>15799</v>
      </c>
      <c r="I3751" t="s">
        <v>31393</v>
      </c>
      <c r="J3751" t="s">
        <v>34012</v>
      </c>
      <c r="K3751" t="s">
        <v>40662</v>
      </c>
      <c r="M3751" t="s">
        <v>41587</v>
      </c>
      <c r="N3751" t="s">
        <v>44905</v>
      </c>
      <c r="O3751" t="s">
        <v>44906</v>
      </c>
      <c r="P3751">
        <v>0</v>
      </c>
      <c r="Q3751">
        <v>0</v>
      </c>
      <c r="R3751" t="s">
        <v>44908</v>
      </c>
      <c r="S3751" t="s">
        <v>45042</v>
      </c>
      <c r="T3751" t="s">
        <v>46454</v>
      </c>
      <c r="U3751" t="s">
        <v>50003</v>
      </c>
      <c r="W3751" t="s">
        <v>41587</v>
      </c>
      <c r="X3751" t="s">
        <v>44909</v>
      </c>
    </row>
    <row r="3752" spans="1:24">
      <c r="A3752">
        <f>HYPERLINK("https://www.philgeps.gov.ph/GEPSNONPILOT/Tender/SplashBidNoticeAbstractUI.aspx?menuIndex=3&amp;refID=7080361&amp;Result=3","7080361")</f>
        <v>0</v>
      </c>
      <c r="B3752" t="s">
        <v>1336</v>
      </c>
      <c r="C3752" t="s">
        <v>7116</v>
      </c>
      <c r="D3752" t="s">
        <v>18154</v>
      </c>
      <c r="E3752" t="s">
        <v>21560</v>
      </c>
      <c r="F3752" t="s">
        <v>31362</v>
      </c>
      <c r="G3752" t="s">
        <v>31368</v>
      </c>
      <c r="H3752" t="s">
        <v>15799</v>
      </c>
      <c r="I3752" t="s">
        <v>31404</v>
      </c>
      <c r="J3752" t="s">
        <v>32356</v>
      </c>
      <c r="K3752" t="s">
        <v>40662</v>
      </c>
      <c r="M3752" t="s">
        <v>42354</v>
      </c>
      <c r="N3752" t="s">
        <v>44905</v>
      </c>
      <c r="O3752" t="s">
        <v>44906</v>
      </c>
      <c r="P3752">
        <v>0</v>
      </c>
      <c r="Q3752">
        <v>0</v>
      </c>
      <c r="R3752" t="s">
        <v>44908</v>
      </c>
      <c r="S3752" t="s">
        <v>45042</v>
      </c>
      <c r="T3752" t="s">
        <v>46443</v>
      </c>
      <c r="U3752" t="s">
        <v>50004</v>
      </c>
      <c r="W3752" t="s">
        <v>42354</v>
      </c>
      <c r="X3752" t="s">
        <v>44909</v>
      </c>
    </row>
    <row r="3753" spans="1:24">
      <c r="A3753">
        <f>HYPERLINK("https://www.philgeps.gov.ph/GEPSNONPILOT/Tender/SplashBidNoticeAbstractUI.aspx?menuIndex=3&amp;refID=7080325&amp;Result=3","7080325")</f>
        <v>0</v>
      </c>
      <c r="B3753" t="s">
        <v>130</v>
      </c>
      <c r="C3753" t="s">
        <v>7117</v>
      </c>
      <c r="D3753" t="s">
        <v>18109</v>
      </c>
      <c r="E3753" t="s">
        <v>21561</v>
      </c>
      <c r="F3753" t="s">
        <v>31362</v>
      </c>
      <c r="G3753" t="s">
        <v>31368</v>
      </c>
      <c r="H3753" t="s">
        <v>15799</v>
      </c>
      <c r="I3753" t="s">
        <v>31422</v>
      </c>
      <c r="J3753" t="s">
        <v>31604</v>
      </c>
      <c r="K3753" t="s">
        <v>40662</v>
      </c>
      <c r="M3753" t="s">
        <v>41067</v>
      </c>
      <c r="N3753" t="s">
        <v>44905</v>
      </c>
      <c r="O3753" t="s">
        <v>44906</v>
      </c>
      <c r="P3753">
        <v>0</v>
      </c>
      <c r="Q3753">
        <v>2</v>
      </c>
      <c r="R3753" t="s">
        <v>44908</v>
      </c>
      <c r="S3753" t="s">
        <v>45042</v>
      </c>
      <c r="T3753" t="s">
        <v>46394</v>
      </c>
      <c r="U3753" t="s">
        <v>50005</v>
      </c>
      <c r="W3753" t="s">
        <v>41067</v>
      </c>
      <c r="X3753" t="s">
        <v>44909</v>
      </c>
    </row>
    <row r="3754" spans="1:24">
      <c r="A3754">
        <f>HYPERLINK("https://www.philgeps.gov.ph/GEPSNONPILOT/Tender/SplashBidNoticeAbstractUI.aspx?menuIndex=3&amp;refID=7080360&amp;Result=3","7080360")</f>
        <v>0</v>
      </c>
      <c r="B3754" t="s">
        <v>1281</v>
      </c>
      <c r="C3754" t="s">
        <v>7118</v>
      </c>
      <c r="D3754" t="s">
        <v>18156</v>
      </c>
      <c r="E3754" t="s">
        <v>21562</v>
      </c>
      <c r="F3754" t="s">
        <v>31362</v>
      </c>
      <c r="G3754" t="s">
        <v>31369</v>
      </c>
      <c r="H3754" t="s">
        <v>31379</v>
      </c>
      <c r="I3754" t="s">
        <v>4942</v>
      </c>
      <c r="J3754" t="s">
        <v>34013</v>
      </c>
      <c r="K3754" t="s">
        <v>40679</v>
      </c>
      <c r="M3754" t="s">
        <v>42298</v>
      </c>
      <c r="N3754" t="s">
        <v>44905</v>
      </c>
      <c r="O3754" t="s">
        <v>44906</v>
      </c>
      <c r="P3754">
        <v>0</v>
      </c>
      <c r="Q3754">
        <v>0</v>
      </c>
      <c r="R3754" t="s">
        <v>44908</v>
      </c>
      <c r="S3754" t="s">
        <v>45042</v>
      </c>
      <c r="T3754" t="s">
        <v>46395</v>
      </c>
      <c r="U3754" t="s">
        <v>49731</v>
      </c>
      <c r="W3754" t="s">
        <v>42298</v>
      </c>
      <c r="X3754" t="s">
        <v>44909</v>
      </c>
    </row>
    <row r="3755" spans="1:24">
      <c r="A3755">
        <f>HYPERLINK("https://www.philgeps.gov.ph/GEPSNONPILOT/Tender/SplashBidNoticeAbstractUI.aspx?menuIndex=3&amp;refID=7080324&amp;Result=3","7080324")</f>
        <v>0</v>
      </c>
      <c r="B3755" t="s">
        <v>1374</v>
      </c>
      <c r="C3755" t="s">
        <v>7119</v>
      </c>
      <c r="D3755" t="s">
        <v>18178</v>
      </c>
      <c r="E3755" t="s">
        <v>21563</v>
      </c>
      <c r="F3755" t="s">
        <v>31362</v>
      </c>
      <c r="G3755" t="s">
        <v>31369</v>
      </c>
      <c r="H3755" t="s">
        <v>31378</v>
      </c>
      <c r="I3755" t="s">
        <v>31386</v>
      </c>
      <c r="J3755" t="s">
        <v>34014</v>
      </c>
      <c r="K3755" t="s">
        <v>40764</v>
      </c>
      <c r="M3755" t="s">
        <v>42397</v>
      </c>
      <c r="N3755" t="s">
        <v>44905</v>
      </c>
      <c r="O3755" t="s">
        <v>44906</v>
      </c>
      <c r="P3755">
        <v>0</v>
      </c>
      <c r="Q3755">
        <v>0</v>
      </c>
      <c r="R3755" t="s">
        <v>44908</v>
      </c>
      <c r="S3755" t="s">
        <v>45042</v>
      </c>
      <c r="T3755" t="s">
        <v>46404</v>
      </c>
      <c r="U3755" t="s">
        <v>50006</v>
      </c>
      <c r="W3755" t="s">
        <v>42397</v>
      </c>
      <c r="X3755" t="s">
        <v>44909</v>
      </c>
    </row>
    <row r="3756" spans="1:24">
      <c r="A3756">
        <f>HYPERLINK("https://www.philgeps.gov.ph/GEPSNONPILOT/Tender/SplashBidNoticeAbstractUI.aspx?menuIndex=3&amp;refID=7080358&amp;Result=3","7080358")</f>
        <v>0</v>
      </c>
      <c r="B3756" t="s">
        <v>1043</v>
      </c>
      <c r="C3756" t="s">
        <v>7120</v>
      </c>
      <c r="D3756" t="s">
        <v>18153</v>
      </c>
      <c r="E3756" t="s">
        <v>21564</v>
      </c>
      <c r="F3756" t="s">
        <v>31362</v>
      </c>
      <c r="G3756" t="s">
        <v>31368</v>
      </c>
      <c r="H3756" t="s">
        <v>15799</v>
      </c>
      <c r="I3756" t="s">
        <v>3815</v>
      </c>
      <c r="J3756" t="s">
        <v>34015</v>
      </c>
      <c r="K3756" t="s">
        <v>40661</v>
      </c>
      <c r="M3756" t="s">
        <v>42042</v>
      </c>
      <c r="N3756" t="s">
        <v>44905</v>
      </c>
      <c r="O3756" t="s">
        <v>44906</v>
      </c>
      <c r="P3756">
        <v>0</v>
      </c>
      <c r="Q3756">
        <v>0</v>
      </c>
      <c r="R3756" t="s">
        <v>44908</v>
      </c>
      <c r="S3756" t="s">
        <v>45042</v>
      </c>
      <c r="T3756" t="s">
        <v>46549</v>
      </c>
      <c r="U3756" t="s">
        <v>50007</v>
      </c>
      <c r="W3756" t="s">
        <v>42042</v>
      </c>
      <c r="X3756" t="s">
        <v>44909</v>
      </c>
    </row>
    <row r="3757" spans="1:24">
      <c r="A3757">
        <f>HYPERLINK("https://www.philgeps.gov.ph/GEPSNONPILOT/Tender/SplashBidNoticeAbstractUI.aspx?menuIndex=3&amp;refID=7080334&amp;Result=3","7080334")</f>
        <v>0</v>
      </c>
      <c r="B3757" t="s">
        <v>1375</v>
      </c>
      <c r="C3757" t="s">
        <v>7121</v>
      </c>
      <c r="D3757" t="s">
        <v>18108</v>
      </c>
      <c r="E3757" t="s">
        <v>21565</v>
      </c>
      <c r="F3757" t="s">
        <v>31362</v>
      </c>
      <c r="G3757" t="s">
        <v>31368</v>
      </c>
      <c r="H3757" t="s">
        <v>15799</v>
      </c>
      <c r="I3757" t="s">
        <v>31451</v>
      </c>
      <c r="J3757" t="s">
        <v>31872</v>
      </c>
      <c r="K3757" t="s">
        <v>40723</v>
      </c>
      <c r="M3757" t="s">
        <v>42398</v>
      </c>
      <c r="N3757" t="s">
        <v>44905</v>
      </c>
      <c r="O3757" t="s">
        <v>44906</v>
      </c>
      <c r="P3757">
        <v>0</v>
      </c>
      <c r="Q3757">
        <v>2</v>
      </c>
      <c r="R3757" t="s">
        <v>44908</v>
      </c>
      <c r="S3757" t="s">
        <v>45042</v>
      </c>
      <c r="T3757" t="s">
        <v>46488</v>
      </c>
      <c r="U3757" t="s">
        <v>50008</v>
      </c>
      <c r="W3757" t="s">
        <v>42398</v>
      </c>
      <c r="X3757" t="s">
        <v>44909</v>
      </c>
    </row>
    <row r="3758" spans="1:24">
      <c r="A3758">
        <f>HYPERLINK("https://www.philgeps.gov.ph/GEPSNONPILOT/Tender/SplashBidNoticeAbstractUI.aspx?menuIndex=3&amp;refID=7080320&amp;Result=3","7080320")</f>
        <v>0</v>
      </c>
      <c r="B3758" t="s">
        <v>190</v>
      </c>
      <c r="C3758" t="s">
        <v>3889</v>
      </c>
      <c r="D3758" t="s">
        <v>18101</v>
      </c>
      <c r="E3758" t="s">
        <v>21566</v>
      </c>
      <c r="F3758" t="s">
        <v>31362</v>
      </c>
      <c r="G3758" t="s">
        <v>31368</v>
      </c>
      <c r="H3758" t="s">
        <v>15799</v>
      </c>
      <c r="I3758" t="s">
        <v>3815</v>
      </c>
      <c r="J3758" t="s">
        <v>34016</v>
      </c>
      <c r="K3758" t="s">
        <v>40666</v>
      </c>
      <c r="M3758" t="s">
        <v>41128</v>
      </c>
      <c r="N3758" t="s">
        <v>44905</v>
      </c>
      <c r="O3758" t="s">
        <v>44906</v>
      </c>
      <c r="P3758">
        <v>0</v>
      </c>
      <c r="Q3758">
        <v>0</v>
      </c>
      <c r="R3758" t="s">
        <v>44908</v>
      </c>
      <c r="S3758" t="s">
        <v>45042</v>
      </c>
      <c r="T3758" t="s">
        <v>46409</v>
      </c>
      <c r="U3758" t="s">
        <v>50009</v>
      </c>
      <c r="V3758" t="s">
        <v>59434</v>
      </c>
      <c r="W3758" t="s">
        <v>41128</v>
      </c>
      <c r="X3758" t="s">
        <v>44909</v>
      </c>
    </row>
    <row r="3759" spans="1:24">
      <c r="A3759">
        <f>HYPERLINK("https://www.philgeps.gov.ph/GEPSNONPILOT/Tender/SplashBidNoticeAbstractUI.aspx?menuIndex=3&amp;refID=7080356&amp;Result=3","7080356")</f>
        <v>0</v>
      </c>
      <c r="B3759" t="s">
        <v>1376</v>
      </c>
      <c r="C3759" t="s">
        <v>7122</v>
      </c>
      <c r="D3759" t="s">
        <v>18112</v>
      </c>
      <c r="E3759" t="s">
        <v>21567</v>
      </c>
      <c r="F3759" t="s">
        <v>31362</v>
      </c>
      <c r="G3759" t="s">
        <v>31368</v>
      </c>
      <c r="H3759" t="s">
        <v>15799</v>
      </c>
      <c r="I3759" t="s">
        <v>31404</v>
      </c>
      <c r="J3759" t="s">
        <v>34017</v>
      </c>
      <c r="K3759" t="s">
        <v>40672</v>
      </c>
      <c r="M3759" t="s">
        <v>42399</v>
      </c>
      <c r="N3759" t="s">
        <v>44905</v>
      </c>
      <c r="O3759" t="s">
        <v>44906</v>
      </c>
      <c r="P3759">
        <v>0</v>
      </c>
      <c r="Q3759">
        <v>0</v>
      </c>
      <c r="R3759" t="s">
        <v>44908</v>
      </c>
      <c r="S3759" t="s">
        <v>45042</v>
      </c>
      <c r="T3759" t="s">
        <v>46434</v>
      </c>
      <c r="U3759" t="s">
        <v>50010</v>
      </c>
      <c r="W3759" t="s">
        <v>42399</v>
      </c>
      <c r="X3759" t="s">
        <v>44909</v>
      </c>
    </row>
    <row r="3760" spans="1:24">
      <c r="A3760">
        <f>HYPERLINK("https://www.philgeps.gov.ph/GEPSNONPILOT/Tender/SplashBidNoticeAbstractUI.aspx?menuIndex=3&amp;refID=7080355&amp;Result=3","7080355")</f>
        <v>0</v>
      </c>
      <c r="B3760" t="s">
        <v>1377</v>
      </c>
      <c r="C3760" t="s">
        <v>7123</v>
      </c>
      <c r="D3760" t="s">
        <v>18116</v>
      </c>
      <c r="E3760" t="s">
        <v>21568</v>
      </c>
      <c r="F3760" t="s">
        <v>31362</v>
      </c>
      <c r="G3760" t="s">
        <v>31368</v>
      </c>
      <c r="H3760" t="s">
        <v>15799</v>
      </c>
      <c r="I3760" t="s">
        <v>31430</v>
      </c>
      <c r="J3760" t="s">
        <v>31943</v>
      </c>
      <c r="K3760" t="s">
        <v>40662</v>
      </c>
      <c r="M3760" t="s">
        <v>42400</v>
      </c>
      <c r="N3760" t="s">
        <v>44905</v>
      </c>
      <c r="O3760" t="s">
        <v>44906</v>
      </c>
      <c r="P3760">
        <v>0</v>
      </c>
      <c r="Q3760">
        <v>1</v>
      </c>
      <c r="R3760" t="s">
        <v>44908</v>
      </c>
      <c r="S3760" t="s">
        <v>45042</v>
      </c>
      <c r="T3760" t="s">
        <v>46414</v>
      </c>
      <c r="U3760" t="s">
        <v>50011</v>
      </c>
      <c r="W3760" t="s">
        <v>42400</v>
      </c>
      <c r="X3760" t="s">
        <v>44909</v>
      </c>
    </row>
    <row r="3761" spans="1:24">
      <c r="A3761">
        <f>HYPERLINK("https://www.philgeps.gov.ph/GEPSNONPILOT/Tender/SplashBidNoticeAbstractUI.aspx?menuIndex=3&amp;refID=7080353&amp;Result=3","7080353")</f>
        <v>0</v>
      </c>
      <c r="B3761" t="s">
        <v>1373</v>
      </c>
      <c r="C3761" t="s">
        <v>7124</v>
      </c>
      <c r="D3761" t="s">
        <v>18109</v>
      </c>
      <c r="E3761" t="s">
        <v>21569</v>
      </c>
      <c r="F3761" t="s">
        <v>31362</v>
      </c>
      <c r="G3761" t="s">
        <v>31370</v>
      </c>
      <c r="H3761" t="s">
        <v>15799</v>
      </c>
      <c r="I3761" t="s">
        <v>31413</v>
      </c>
      <c r="J3761" t="s">
        <v>31574</v>
      </c>
      <c r="K3761" t="s">
        <v>40675</v>
      </c>
      <c r="M3761" t="s">
        <v>42396</v>
      </c>
      <c r="N3761" t="s">
        <v>44905</v>
      </c>
      <c r="O3761" t="s">
        <v>44906</v>
      </c>
      <c r="P3761">
        <v>0</v>
      </c>
      <c r="Q3761">
        <v>3</v>
      </c>
      <c r="R3761" t="s">
        <v>44908</v>
      </c>
      <c r="S3761" t="s">
        <v>45042</v>
      </c>
      <c r="T3761" t="s">
        <v>46454</v>
      </c>
      <c r="U3761" t="s">
        <v>49998</v>
      </c>
      <c r="W3761" t="s">
        <v>42396</v>
      </c>
      <c r="X3761" t="s">
        <v>44909</v>
      </c>
    </row>
    <row r="3762" spans="1:24">
      <c r="A3762">
        <f>HYPERLINK("https://www.philgeps.gov.ph/GEPSNONPILOT/Tender/SplashBidNoticeAbstractUI.aspx?menuIndex=3&amp;refID=7080349&amp;Result=3","7080349")</f>
        <v>0</v>
      </c>
      <c r="B3762" t="s">
        <v>776</v>
      </c>
      <c r="C3762" t="s">
        <v>7125</v>
      </c>
      <c r="D3762" t="s">
        <v>18108</v>
      </c>
      <c r="E3762" t="s">
        <v>21570</v>
      </c>
      <c r="F3762" t="s">
        <v>31362</v>
      </c>
      <c r="G3762" t="s">
        <v>31369</v>
      </c>
      <c r="H3762" t="s">
        <v>31378</v>
      </c>
      <c r="I3762" t="s">
        <v>31386</v>
      </c>
      <c r="J3762" t="s">
        <v>34018</v>
      </c>
      <c r="K3762" t="s">
        <v>40683</v>
      </c>
      <c r="M3762" t="s">
        <v>42401</v>
      </c>
      <c r="N3762" t="s">
        <v>44905</v>
      </c>
      <c r="O3762" t="s">
        <v>44906</v>
      </c>
      <c r="P3762">
        <v>0</v>
      </c>
      <c r="Q3762">
        <v>1</v>
      </c>
      <c r="R3762" t="s">
        <v>44908</v>
      </c>
      <c r="S3762" t="s">
        <v>45042</v>
      </c>
      <c r="T3762" t="s">
        <v>46471</v>
      </c>
      <c r="U3762" t="s">
        <v>50012</v>
      </c>
      <c r="W3762" t="s">
        <v>42401</v>
      </c>
      <c r="X3762" t="s">
        <v>44909</v>
      </c>
    </row>
    <row r="3763" spans="1:24">
      <c r="A3763">
        <f>HYPERLINK("https://www.philgeps.gov.ph/GEPSNONPILOT/Tender/SplashBidNoticeAbstractUI.aspx?menuIndex=3&amp;refID=7080348&amp;Result=3","7080348")</f>
        <v>0</v>
      </c>
      <c r="B3763" t="s">
        <v>1280</v>
      </c>
      <c r="C3763" t="s">
        <v>7126</v>
      </c>
      <c r="D3763" t="s">
        <v>18152</v>
      </c>
      <c r="E3763" t="s">
        <v>21571</v>
      </c>
      <c r="F3763" t="s">
        <v>31362</v>
      </c>
      <c r="G3763" t="s">
        <v>31368</v>
      </c>
      <c r="H3763" t="s">
        <v>15799</v>
      </c>
      <c r="I3763" t="s">
        <v>31380</v>
      </c>
      <c r="J3763" t="s">
        <v>34019</v>
      </c>
      <c r="K3763" t="s">
        <v>40662</v>
      </c>
      <c r="M3763" t="s">
        <v>42297</v>
      </c>
      <c r="N3763" t="s">
        <v>44905</v>
      </c>
      <c r="O3763" t="s">
        <v>44906</v>
      </c>
      <c r="P3763">
        <v>0</v>
      </c>
      <c r="Q3763">
        <v>0</v>
      </c>
      <c r="R3763" t="s">
        <v>44908</v>
      </c>
      <c r="S3763" t="s">
        <v>45042</v>
      </c>
      <c r="T3763" t="s">
        <v>46507</v>
      </c>
      <c r="U3763" t="s">
        <v>50013</v>
      </c>
      <c r="W3763" t="s">
        <v>42297</v>
      </c>
      <c r="X3763" t="s">
        <v>44909</v>
      </c>
    </row>
    <row r="3764" spans="1:24">
      <c r="A3764">
        <f>HYPERLINK("https://www.philgeps.gov.ph/GEPSNONPILOT/Tender/SplashBidNoticeAbstractUI.aspx?menuIndex=3&amp;refID=7080346&amp;Result=3","7080346")</f>
        <v>0</v>
      </c>
      <c r="B3764" t="s">
        <v>1302</v>
      </c>
      <c r="C3764" t="s">
        <v>7127</v>
      </c>
      <c r="D3764" t="s">
        <v>18108</v>
      </c>
      <c r="E3764" t="s">
        <v>21572</v>
      </c>
      <c r="F3764" t="s">
        <v>31362</v>
      </c>
      <c r="G3764" t="s">
        <v>31369</v>
      </c>
      <c r="H3764" t="s">
        <v>15799</v>
      </c>
      <c r="I3764" t="s">
        <v>3582</v>
      </c>
      <c r="J3764" t="s">
        <v>34020</v>
      </c>
      <c r="K3764" t="s">
        <v>40665</v>
      </c>
      <c r="M3764" t="s">
        <v>42320</v>
      </c>
      <c r="N3764" t="s">
        <v>44905</v>
      </c>
      <c r="O3764" t="s">
        <v>44906</v>
      </c>
      <c r="P3764">
        <v>0</v>
      </c>
      <c r="Q3764">
        <v>0</v>
      </c>
      <c r="R3764" t="s">
        <v>44908</v>
      </c>
      <c r="S3764" t="s">
        <v>45042</v>
      </c>
      <c r="T3764" t="s">
        <v>46396</v>
      </c>
      <c r="U3764" t="s">
        <v>50014</v>
      </c>
      <c r="W3764" t="s">
        <v>42320</v>
      </c>
      <c r="X3764" t="s">
        <v>44909</v>
      </c>
    </row>
    <row r="3765" spans="1:24">
      <c r="A3765">
        <f>HYPERLINK("https://www.philgeps.gov.ph/GEPSNONPILOT/Tender/SplashBidNoticeAbstractUI.aspx?menuIndex=3&amp;refID=7080273&amp;Result=3","7080273")</f>
        <v>0</v>
      </c>
      <c r="B3765" t="s">
        <v>1164</v>
      </c>
      <c r="C3765" t="s">
        <v>7128</v>
      </c>
      <c r="D3765" t="s">
        <v>18111</v>
      </c>
      <c r="E3765" t="s">
        <v>21296</v>
      </c>
      <c r="F3765" t="s">
        <v>31362</v>
      </c>
      <c r="G3765" t="s">
        <v>31370</v>
      </c>
      <c r="H3765" t="s">
        <v>15799</v>
      </c>
      <c r="I3765" t="s">
        <v>31385</v>
      </c>
      <c r="J3765" t="s">
        <v>31768</v>
      </c>
      <c r="K3765" t="s">
        <v>40670</v>
      </c>
      <c r="M3765" t="s">
        <v>42174</v>
      </c>
      <c r="N3765" t="s">
        <v>44905</v>
      </c>
      <c r="O3765" t="s">
        <v>44906</v>
      </c>
      <c r="P3765">
        <v>0</v>
      </c>
      <c r="Q3765">
        <v>0</v>
      </c>
      <c r="R3765" t="s">
        <v>44908</v>
      </c>
      <c r="S3765" t="s">
        <v>45042</v>
      </c>
      <c r="T3765" t="s">
        <v>46414</v>
      </c>
      <c r="U3765" t="s">
        <v>49454</v>
      </c>
      <c r="W3765" t="s">
        <v>42174</v>
      </c>
      <c r="X3765" t="s">
        <v>44909</v>
      </c>
    </row>
    <row r="3766" spans="1:24">
      <c r="A3766">
        <f>HYPERLINK("https://www.philgeps.gov.ph/GEPSNONPILOT/Tender/SplashBidNoticeAbstractUI.aspx?menuIndex=3&amp;refID=7080357&amp;Result=3","7080357")</f>
        <v>0</v>
      </c>
      <c r="B3766" t="s">
        <v>1164</v>
      </c>
      <c r="C3766" t="s">
        <v>7129</v>
      </c>
      <c r="D3766" t="s">
        <v>18111</v>
      </c>
      <c r="E3766" t="s">
        <v>21358</v>
      </c>
      <c r="F3766" t="s">
        <v>31362</v>
      </c>
      <c r="G3766" t="s">
        <v>31370</v>
      </c>
      <c r="H3766" t="s">
        <v>15799</v>
      </c>
      <c r="I3766" t="s">
        <v>31380</v>
      </c>
      <c r="J3766" t="s">
        <v>34021</v>
      </c>
      <c r="K3766" t="s">
        <v>40670</v>
      </c>
      <c r="M3766" t="s">
        <v>42174</v>
      </c>
      <c r="N3766" t="s">
        <v>44905</v>
      </c>
      <c r="O3766" t="s">
        <v>44906</v>
      </c>
      <c r="P3766">
        <v>0</v>
      </c>
      <c r="Q3766">
        <v>1</v>
      </c>
      <c r="R3766" t="s">
        <v>44908</v>
      </c>
      <c r="S3766" t="s">
        <v>45042</v>
      </c>
      <c r="T3766" t="s">
        <v>46414</v>
      </c>
      <c r="U3766" t="s">
        <v>49454</v>
      </c>
      <c r="W3766" t="s">
        <v>42174</v>
      </c>
      <c r="X3766" t="s">
        <v>44909</v>
      </c>
    </row>
    <row r="3767" spans="1:24">
      <c r="A3767">
        <f>HYPERLINK("https://www.philgeps.gov.ph/GEPSNONPILOT/Tender/SplashBidNoticeAbstractUI.aspx?menuIndex=3&amp;refID=7080345&amp;Result=3","7080345")</f>
        <v>0</v>
      </c>
      <c r="B3767" t="s">
        <v>35</v>
      </c>
      <c r="C3767" t="s">
        <v>7130</v>
      </c>
      <c r="D3767" t="s">
        <v>18108</v>
      </c>
      <c r="E3767" t="s">
        <v>21573</v>
      </c>
      <c r="F3767" t="s">
        <v>31362</v>
      </c>
      <c r="G3767" t="s">
        <v>31368</v>
      </c>
      <c r="H3767" t="s">
        <v>15799</v>
      </c>
      <c r="I3767" t="s">
        <v>31463</v>
      </c>
      <c r="J3767" t="s">
        <v>34022</v>
      </c>
      <c r="K3767" t="s">
        <v>40662</v>
      </c>
      <c r="M3767" t="s">
        <v>42365</v>
      </c>
      <c r="N3767" t="s">
        <v>44905</v>
      </c>
      <c r="O3767" t="s">
        <v>44906</v>
      </c>
      <c r="P3767">
        <v>0</v>
      </c>
      <c r="Q3767">
        <v>3</v>
      </c>
      <c r="R3767" t="s">
        <v>44908</v>
      </c>
      <c r="S3767" t="s">
        <v>45042</v>
      </c>
      <c r="T3767" t="s">
        <v>46534</v>
      </c>
      <c r="U3767" t="s">
        <v>49906</v>
      </c>
      <c r="V3767" t="s">
        <v>59424</v>
      </c>
      <c r="W3767" t="s">
        <v>42365</v>
      </c>
      <c r="X3767" t="s">
        <v>44909</v>
      </c>
    </row>
    <row r="3768" spans="1:24">
      <c r="A3768">
        <f>HYPERLINK("https://www.philgeps.gov.ph/GEPSNONPILOT/Tender/SplashBidNoticeAbstractUI.aspx?menuIndex=3&amp;refID=7080343&amp;Result=3","7080343")</f>
        <v>0</v>
      </c>
      <c r="B3768" t="s">
        <v>421</v>
      </c>
      <c r="C3768" t="s">
        <v>7131</v>
      </c>
      <c r="D3768" t="s">
        <v>18133</v>
      </c>
      <c r="E3768" t="s">
        <v>21574</v>
      </c>
      <c r="F3768" t="s">
        <v>31362</v>
      </c>
      <c r="G3768" t="s">
        <v>31369</v>
      </c>
      <c r="H3768" t="s">
        <v>31378</v>
      </c>
      <c r="I3768" t="s">
        <v>31386</v>
      </c>
      <c r="J3768" t="s">
        <v>34023</v>
      </c>
      <c r="K3768" t="s">
        <v>40765</v>
      </c>
      <c r="M3768" t="s">
        <v>41372</v>
      </c>
      <c r="N3768" t="s">
        <v>44905</v>
      </c>
      <c r="O3768" t="s">
        <v>44906</v>
      </c>
      <c r="P3768">
        <v>0</v>
      </c>
      <c r="Q3768">
        <v>0</v>
      </c>
      <c r="R3768" t="s">
        <v>44908</v>
      </c>
      <c r="S3768" t="s">
        <v>45042</v>
      </c>
      <c r="T3768" t="s">
        <v>46627</v>
      </c>
      <c r="U3768" t="s">
        <v>50015</v>
      </c>
      <c r="W3768" t="s">
        <v>41372</v>
      </c>
      <c r="X3768" t="s">
        <v>44909</v>
      </c>
    </row>
    <row r="3769" spans="1:24">
      <c r="A3769">
        <f>HYPERLINK("https://www.philgeps.gov.ph/GEPSNONPILOT/Tender/SplashBidNoticeAbstractUI.aspx?menuIndex=3&amp;refID=7080342&amp;Result=3","7080342")</f>
        <v>0</v>
      </c>
      <c r="B3769" t="s">
        <v>361</v>
      </c>
      <c r="C3769" t="s">
        <v>7132</v>
      </c>
      <c r="E3769" t="s">
        <v>21575</v>
      </c>
      <c r="F3769" t="s">
        <v>31362</v>
      </c>
      <c r="G3769" t="s">
        <v>31368</v>
      </c>
      <c r="H3769" t="s">
        <v>15799</v>
      </c>
      <c r="I3769" t="s">
        <v>6373</v>
      </c>
      <c r="J3769" t="s">
        <v>34024</v>
      </c>
      <c r="K3769" t="s">
        <v>40666</v>
      </c>
      <c r="M3769" t="s">
        <v>41308</v>
      </c>
      <c r="N3769" t="s">
        <v>44905</v>
      </c>
      <c r="O3769" t="s">
        <v>44906</v>
      </c>
      <c r="P3769">
        <v>0</v>
      </c>
      <c r="Q3769">
        <v>2</v>
      </c>
      <c r="R3769" t="s">
        <v>44908</v>
      </c>
      <c r="S3769" t="s">
        <v>45042</v>
      </c>
      <c r="T3769" t="s">
        <v>46454</v>
      </c>
      <c r="U3769" t="s">
        <v>50016</v>
      </c>
      <c r="V3769" t="s">
        <v>59143</v>
      </c>
      <c r="W3769" t="s">
        <v>41308</v>
      </c>
      <c r="X3769" t="s">
        <v>44909</v>
      </c>
    </row>
    <row r="3770" spans="1:24">
      <c r="A3770">
        <f>HYPERLINK("https://www.philgeps.gov.ph/GEPSNONPILOT/Tender/SplashBidNoticeAbstractUI.aspx?menuIndex=3&amp;refID=7080341&amp;Result=3","7080341")</f>
        <v>0</v>
      </c>
      <c r="B3770" t="s">
        <v>130</v>
      </c>
      <c r="C3770" t="s">
        <v>7133</v>
      </c>
      <c r="D3770" t="s">
        <v>18109</v>
      </c>
      <c r="E3770" t="s">
        <v>21576</v>
      </c>
      <c r="F3770" t="s">
        <v>31362</v>
      </c>
      <c r="G3770" t="s">
        <v>31368</v>
      </c>
      <c r="H3770" t="s">
        <v>15799</v>
      </c>
      <c r="I3770" t="s">
        <v>31422</v>
      </c>
      <c r="J3770" t="s">
        <v>31997</v>
      </c>
      <c r="K3770" t="s">
        <v>40662</v>
      </c>
      <c r="M3770" t="s">
        <v>41067</v>
      </c>
      <c r="N3770" t="s">
        <v>44905</v>
      </c>
      <c r="O3770" t="s">
        <v>44906</v>
      </c>
      <c r="P3770">
        <v>0</v>
      </c>
      <c r="Q3770">
        <v>2</v>
      </c>
      <c r="R3770" t="s">
        <v>44908</v>
      </c>
      <c r="S3770" t="s">
        <v>45042</v>
      </c>
      <c r="T3770" t="s">
        <v>46394</v>
      </c>
      <c r="U3770" t="s">
        <v>50017</v>
      </c>
      <c r="W3770" t="s">
        <v>41067</v>
      </c>
      <c r="X3770" t="s">
        <v>44909</v>
      </c>
    </row>
    <row r="3771" spans="1:24">
      <c r="A3771">
        <f>HYPERLINK("https://www.philgeps.gov.ph/GEPSNONPILOT/Tender/SplashBidNoticeAbstractUI.aspx?menuIndex=3&amp;refID=7080340&amp;Result=3","7080340")</f>
        <v>0</v>
      </c>
      <c r="B3771" t="s">
        <v>791</v>
      </c>
      <c r="C3771" t="s">
        <v>7134</v>
      </c>
      <c r="D3771" t="s">
        <v>18101</v>
      </c>
      <c r="E3771" t="s">
        <v>21577</v>
      </c>
      <c r="F3771" t="s">
        <v>31362</v>
      </c>
      <c r="G3771" t="s">
        <v>31368</v>
      </c>
      <c r="H3771" t="s">
        <v>15799</v>
      </c>
      <c r="I3771" t="s">
        <v>6240</v>
      </c>
      <c r="J3771" t="s">
        <v>31536</v>
      </c>
      <c r="K3771" t="s">
        <v>40662</v>
      </c>
      <c r="M3771" t="s">
        <v>42138</v>
      </c>
      <c r="N3771" t="s">
        <v>44905</v>
      </c>
      <c r="O3771" t="s">
        <v>44906</v>
      </c>
      <c r="Q3771">
        <v>0</v>
      </c>
      <c r="R3771" t="s">
        <v>44908</v>
      </c>
      <c r="S3771" t="s">
        <v>45050</v>
      </c>
      <c r="T3771" t="s">
        <v>46580</v>
      </c>
      <c r="U3771" t="s">
        <v>50018</v>
      </c>
      <c r="V3771" t="s">
        <v>59435</v>
      </c>
      <c r="W3771" t="s">
        <v>42138</v>
      </c>
      <c r="X3771" t="s">
        <v>44909</v>
      </c>
    </row>
    <row r="3772" spans="1:24">
      <c r="A3772">
        <f>HYPERLINK("https://www.philgeps.gov.ph/GEPSNONPILOT/Tender/SplashBidNoticeAbstractUI.aspx?menuIndex=3&amp;refID=7080347&amp;Result=3","7080347")</f>
        <v>0</v>
      </c>
      <c r="B3772" t="s">
        <v>776</v>
      </c>
      <c r="C3772" t="s">
        <v>7135</v>
      </c>
      <c r="E3772" t="s">
        <v>21578</v>
      </c>
      <c r="F3772" t="s">
        <v>31362</v>
      </c>
      <c r="G3772" t="s">
        <v>31368</v>
      </c>
      <c r="H3772" t="s">
        <v>15799</v>
      </c>
      <c r="I3772" t="s">
        <v>7188</v>
      </c>
      <c r="J3772" t="s">
        <v>31711</v>
      </c>
      <c r="K3772" t="s">
        <v>40662</v>
      </c>
      <c r="M3772" t="s">
        <v>41744</v>
      </c>
      <c r="N3772" t="s">
        <v>44905</v>
      </c>
      <c r="O3772" t="s">
        <v>44906</v>
      </c>
      <c r="P3772">
        <v>0</v>
      </c>
      <c r="Q3772">
        <v>0</v>
      </c>
      <c r="R3772" t="s">
        <v>44908</v>
      </c>
      <c r="S3772" t="s">
        <v>45042</v>
      </c>
      <c r="T3772" t="s">
        <v>46400</v>
      </c>
      <c r="U3772" t="s">
        <v>50019</v>
      </c>
      <c r="W3772" t="s">
        <v>41744</v>
      </c>
      <c r="X3772" t="s">
        <v>44909</v>
      </c>
    </row>
    <row r="3773" spans="1:24">
      <c r="A3773">
        <f>HYPERLINK("https://www.philgeps.gov.ph/GEPSNONPILOT/Tender/SplashBidNoticeAbstractUI.aspx?menuIndex=3&amp;refID=7080317&amp;Result=3","7080317")</f>
        <v>0</v>
      </c>
      <c r="B3773" t="s">
        <v>267</v>
      </c>
      <c r="C3773" t="s">
        <v>7136</v>
      </c>
      <c r="D3773" t="s">
        <v>18154</v>
      </c>
      <c r="E3773" t="s">
        <v>21579</v>
      </c>
      <c r="F3773" t="s">
        <v>31362</v>
      </c>
      <c r="G3773" t="s">
        <v>31369</v>
      </c>
      <c r="H3773" t="s">
        <v>15799</v>
      </c>
      <c r="I3773" t="s">
        <v>7188</v>
      </c>
      <c r="J3773" t="s">
        <v>34025</v>
      </c>
      <c r="K3773" t="s">
        <v>40670</v>
      </c>
      <c r="M3773" t="s">
        <v>41208</v>
      </c>
      <c r="N3773" t="s">
        <v>44905</v>
      </c>
      <c r="O3773" t="s">
        <v>44906</v>
      </c>
      <c r="P3773">
        <v>0</v>
      </c>
      <c r="Q3773">
        <v>0</v>
      </c>
      <c r="R3773" t="s">
        <v>44908</v>
      </c>
      <c r="S3773" t="s">
        <v>45042</v>
      </c>
      <c r="T3773" t="s">
        <v>46470</v>
      </c>
      <c r="U3773" t="s">
        <v>50020</v>
      </c>
      <c r="W3773" t="s">
        <v>41208</v>
      </c>
      <c r="X3773" t="s">
        <v>44909</v>
      </c>
    </row>
    <row r="3774" spans="1:24">
      <c r="A3774">
        <f>HYPERLINK("https://www.philgeps.gov.ph/GEPSNONPILOT/Tender/SplashBidNoticeAbstractUI.aspx?menuIndex=3&amp;refID=7080351&amp;Result=3","7080351")</f>
        <v>0</v>
      </c>
      <c r="B3774" t="s">
        <v>558</v>
      </c>
      <c r="C3774" t="s">
        <v>6948</v>
      </c>
      <c r="D3774" t="s">
        <v>18107</v>
      </c>
      <c r="E3774" t="s">
        <v>19384</v>
      </c>
      <c r="F3774" t="s">
        <v>31362</v>
      </c>
      <c r="G3774" t="s">
        <v>31370</v>
      </c>
      <c r="H3774" t="s">
        <v>15799</v>
      </c>
      <c r="I3774" t="s">
        <v>31380</v>
      </c>
      <c r="J3774" t="s">
        <v>32018</v>
      </c>
      <c r="K3774" t="s">
        <v>40672</v>
      </c>
      <c r="M3774" t="s">
        <v>41514</v>
      </c>
      <c r="N3774" t="s">
        <v>44905</v>
      </c>
      <c r="O3774" t="s">
        <v>44906</v>
      </c>
      <c r="P3774">
        <v>0</v>
      </c>
      <c r="Q3774">
        <v>1</v>
      </c>
      <c r="R3774" t="s">
        <v>44908</v>
      </c>
      <c r="S3774" t="s">
        <v>45042</v>
      </c>
      <c r="T3774" t="s">
        <v>46506</v>
      </c>
      <c r="U3774" t="s">
        <v>49862</v>
      </c>
      <c r="W3774" t="s">
        <v>41514</v>
      </c>
      <c r="X3774" t="s">
        <v>44909</v>
      </c>
    </row>
    <row r="3775" spans="1:24">
      <c r="A3775">
        <f>HYPERLINK("https://www.philgeps.gov.ph/GEPSNONPILOT/Tender/SplashBidNoticeAbstractUI.aspx?menuIndex=3&amp;refID=7080313&amp;Result=3","7080313")</f>
        <v>0</v>
      </c>
      <c r="B3775" t="s">
        <v>1317</v>
      </c>
      <c r="C3775" t="s">
        <v>7137</v>
      </c>
      <c r="D3775" t="s">
        <v>18136</v>
      </c>
      <c r="E3775" t="s">
        <v>21580</v>
      </c>
      <c r="F3775" t="s">
        <v>31362</v>
      </c>
      <c r="G3775" t="s">
        <v>31368</v>
      </c>
      <c r="H3775" t="s">
        <v>15799</v>
      </c>
      <c r="I3775" t="s">
        <v>3815</v>
      </c>
      <c r="J3775" t="s">
        <v>34026</v>
      </c>
      <c r="K3775" t="s">
        <v>40665</v>
      </c>
      <c r="M3775" t="s">
        <v>42335</v>
      </c>
      <c r="N3775" t="s">
        <v>44905</v>
      </c>
      <c r="O3775" t="s">
        <v>44906</v>
      </c>
      <c r="P3775">
        <v>0</v>
      </c>
      <c r="Q3775">
        <v>0</v>
      </c>
      <c r="R3775" t="s">
        <v>44908</v>
      </c>
      <c r="S3775" t="s">
        <v>45042</v>
      </c>
      <c r="T3775" t="s">
        <v>46413</v>
      </c>
      <c r="U3775" t="s">
        <v>50021</v>
      </c>
      <c r="W3775" t="s">
        <v>42335</v>
      </c>
      <c r="X3775" t="s">
        <v>44909</v>
      </c>
    </row>
    <row r="3776" spans="1:24">
      <c r="A3776">
        <f>HYPERLINK("https://www.philgeps.gov.ph/GEPSNONPILOT/Tender/SplashBidNoticeAbstractUI.aspx?menuIndex=3&amp;refID=7080314&amp;Result=3","7080314")</f>
        <v>0</v>
      </c>
      <c r="B3776" t="s">
        <v>1043</v>
      </c>
      <c r="C3776" t="s">
        <v>7138</v>
      </c>
      <c r="D3776" t="s">
        <v>18153</v>
      </c>
      <c r="E3776" t="s">
        <v>21581</v>
      </c>
      <c r="F3776" t="s">
        <v>31362</v>
      </c>
      <c r="G3776" t="s">
        <v>31368</v>
      </c>
      <c r="H3776" t="s">
        <v>15799</v>
      </c>
      <c r="I3776" t="s">
        <v>3815</v>
      </c>
      <c r="J3776" t="s">
        <v>34027</v>
      </c>
      <c r="K3776" t="s">
        <v>40661</v>
      </c>
      <c r="M3776" t="s">
        <v>42042</v>
      </c>
      <c r="N3776" t="s">
        <v>44905</v>
      </c>
      <c r="O3776" t="s">
        <v>44906</v>
      </c>
      <c r="P3776">
        <v>0</v>
      </c>
      <c r="Q3776">
        <v>0</v>
      </c>
      <c r="R3776" t="s">
        <v>44908</v>
      </c>
      <c r="S3776" t="s">
        <v>45042</v>
      </c>
      <c r="T3776" t="s">
        <v>46549</v>
      </c>
      <c r="U3776" t="s">
        <v>50022</v>
      </c>
      <c r="W3776" t="s">
        <v>42042</v>
      </c>
      <c r="X3776" t="s">
        <v>44909</v>
      </c>
    </row>
    <row r="3777" spans="1:24">
      <c r="A3777">
        <f>HYPERLINK("https://www.philgeps.gov.ph/GEPSNONPILOT/Tender/SplashBidNoticeAbstractUI.aspx?menuIndex=3&amp;refID=7080312&amp;Result=3","7080312")</f>
        <v>0</v>
      </c>
      <c r="B3777" t="s">
        <v>1376</v>
      </c>
      <c r="C3777" t="s">
        <v>7139</v>
      </c>
      <c r="D3777" t="s">
        <v>18112</v>
      </c>
      <c r="E3777" t="s">
        <v>21582</v>
      </c>
      <c r="F3777" t="s">
        <v>31362</v>
      </c>
      <c r="G3777" t="s">
        <v>31368</v>
      </c>
      <c r="H3777" t="s">
        <v>15799</v>
      </c>
      <c r="I3777" t="s">
        <v>31385</v>
      </c>
      <c r="J3777" t="s">
        <v>31579</v>
      </c>
      <c r="K3777" t="s">
        <v>40672</v>
      </c>
      <c r="M3777" t="s">
        <v>42399</v>
      </c>
      <c r="N3777" t="s">
        <v>44905</v>
      </c>
      <c r="O3777" t="s">
        <v>44906</v>
      </c>
      <c r="P3777">
        <v>0</v>
      </c>
      <c r="Q3777">
        <v>4</v>
      </c>
      <c r="R3777" t="s">
        <v>44908</v>
      </c>
      <c r="S3777" t="s">
        <v>45042</v>
      </c>
      <c r="T3777" t="s">
        <v>46434</v>
      </c>
      <c r="U3777" t="s">
        <v>50010</v>
      </c>
      <c r="W3777" t="s">
        <v>42399</v>
      </c>
      <c r="X3777" t="s">
        <v>44909</v>
      </c>
    </row>
    <row r="3778" spans="1:24">
      <c r="A3778">
        <f>HYPERLINK("https://www.philgeps.gov.ph/GEPSNONPILOT/Tender/SplashBidNoticeAbstractUI.aspx?menuIndex=3&amp;refID=7080294&amp;Result=3","7080294")</f>
        <v>0</v>
      </c>
      <c r="B3778" t="s">
        <v>1341</v>
      </c>
      <c r="C3778" t="s">
        <v>7140</v>
      </c>
      <c r="D3778" t="s">
        <v>18107</v>
      </c>
      <c r="E3778" t="s">
        <v>7140</v>
      </c>
      <c r="F3778" t="s">
        <v>31362</v>
      </c>
      <c r="G3778" t="s">
        <v>31369</v>
      </c>
      <c r="H3778" t="s">
        <v>15799</v>
      </c>
      <c r="I3778" t="s">
        <v>31409</v>
      </c>
      <c r="J3778" t="s">
        <v>32540</v>
      </c>
      <c r="K3778" t="s">
        <v>40686</v>
      </c>
      <c r="M3778" t="s">
        <v>42360</v>
      </c>
      <c r="N3778" t="s">
        <v>44905</v>
      </c>
      <c r="O3778" t="s">
        <v>44906</v>
      </c>
      <c r="P3778">
        <v>0</v>
      </c>
      <c r="Q3778">
        <v>3</v>
      </c>
      <c r="R3778" t="s">
        <v>44908</v>
      </c>
      <c r="S3778" t="s">
        <v>45042</v>
      </c>
      <c r="T3778" t="s">
        <v>46539</v>
      </c>
      <c r="U3778" t="s">
        <v>50023</v>
      </c>
      <c r="W3778" t="s">
        <v>42360</v>
      </c>
      <c r="X3778" t="s">
        <v>44909</v>
      </c>
    </row>
    <row r="3779" spans="1:24">
      <c r="A3779">
        <f>HYPERLINK("https://www.philgeps.gov.ph/GEPSNONPILOT/Tender/SplashBidNoticeAbstractUI.aspx?menuIndex=3&amp;refID=7080344&amp;Result=3","7080344")</f>
        <v>0</v>
      </c>
      <c r="B3779" t="s">
        <v>1378</v>
      </c>
      <c r="C3779" t="s">
        <v>7141</v>
      </c>
      <c r="D3779" t="s">
        <v>18138</v>
      </c>
      <c r="E3779" t="s">
        <v>21583</v>
      </c>
      <c r="F3779" t="s">
        <v>31362</v>
      </c>
      <c r="G3779" t="s">
        <v>31368</v>
      </c>
      <c r="H3779" t="s">
        <v>15799</v>
      </c>
      <c r="I3779" t="s">
        <v>31421</v>
      </c>
      <c r="J3779" t="s">
        <v>33084</v>
      </c>
      <c r="K3779" t="s">
        <v>40697</v>
      </c>
      <c r="M3779" t="s">
        <v>42402</v>
      </c>
      <c r="N3779" t="s">
        <v>44905</v>
      </c>
      <c r="O3779" t="s">
        <v>44906</v>
      </c>
      <c r="P3779">
        <v>0</v>
      </c>
      <c r="Q3779">
        <v>0</v>
      </c>
      <c r="R3779" t="s">
        <v>44908</v>
      </c>
      <c r="S3779" t="s">
        <v>45042</v>
      </c>
      <c r="T3779" t="s">
        <v>46409</v>
      </c>
      <c r="U3779" t="s">
        <v>50024</v>
      </c>
      <c r="V3779" t="s">
        <v>59436</v>
      </c>
      <c r="W3779" t="s">
        <v>42402</v>
      </c>
      <c r="X3779" t="s">
        <v>44909</v>
      </c>
    </row>
    <row r="3780" spans="1:24">
      <c r="A3780">
        <f>HYPERLINK("https://www.philgeps.gov.ph/GEPSNONPILOT/Tender/SplashBidNoticeAbstractUI.aspx?menuIndex=3&amp;refID=7080292&amp;Result=3","7080292")</f>
        <v>0</v>
      </c>
      <c r="B3780" t="s">
        <v>1379</v>
      </c>
      <c r="C3780" t="s">
        <v>7142</v>
      </c>
      <c r="D3780" t="s">
        <v>18101</v>
      </c>
      <c r="E3780" t="s">
        <v>21584</v>
      </c>
      <c r="F3780" t="s">
        <v>31362</v>
      </c>
      <c r="G3780" t="s">
        <v>31369</v>
      </c>
      <c r="H3780" t="s">
        <v>15799</v>
      </c>
      <c r="I3780" t="s">
        <v>3815</v>
      </c>
      <c r="J3780" t="s">
        <v>34028</v>
      </c>
      <c r="K3780" t="s">
        <v>40670</v>
      </c>
      <c r="M3780" t="s">
        <v>42403</v>
      </c>
      <c r="N3780" t="s">
        <v>44905</v>
      </c>
      <c r="O3780" t="s">
        <v>44906</v>
      </c>
      <c r="P3780">
        <v>0</v>
      </c>
      <c r="Q3780">
        <v>0</v>
      </c>
      <c r="R3780" t="s">
        <v>44908</v>
      </c>
      <c r="S3780" t="s">
        <v>45042</v>
      </c>
      <c r="T3780" t="s">
        <v>46483</v>
      </c>
      <c r="U3780" t="s">
        <v>50025</v>
      </c>
      <c r="W3780" t="s">
        <v>42403</v>
      </c>
      <c r="X3780" t="s">
        <v>44909</v>
      </c>
    </row>
    <row r="3781" spans="1:24">
      <c r="A3781">
        <f>HYPERLINK("https://www.philgeps.gov.ph/GEPSNONPILOT/Tender/SplashBidNoticeAbstractUI.aspx?menuIndex=3&amp;refID=7080291&amp;Result=3","7080291")</f>
        <v>0</v>
      </c>
      <c r="B3781" t="s">
        <v>1380</v>
      </c>
      <c r="C3781" t="s">
        <v>7143</v>
      </c>
      <c r="D3781" t="s">
        <v>18127</v>
      </c>
      <c r="E3781" t="s">
        <v>21585</v>
      </c>
      <c r="F3781" t="s">
        <v>31362</v>
      </c>
      <c r="G3781" t="s">
        <v>31369</v>
      </c>
      <c r="H3781" t="s">
        <v>31378</v>
      </c>
      <c r="I3781" t="s">
        <v>31386</v>
      </c>
      <c r="J3781" t="s">
        <v>32016</v>
      </c>
      <c r="K3781" t="s">
        <v>40682</v>
      </c>
      <c r="M3781" t="s">
        <v>42404</v>
      </c>
      <c r="N3781" t="s">
        <v>44905</v>
      </c>
      <c r="O3781" t="s">
        <v>44906</v>
      </c>
      <c r="P3781">
        <v>0</v>
      </c>
      <c r="Q3781">
        <v>0</v>
      </c>
      <c r="R3781" t="s">
        <v>44908</v>
      </c>
      <c r="S3781" t="s">
        <v>45042</v>
      </c>
      <c r="T3781" t="s">
        <v>46470</v>
      </c>
      <c r="U3781" t="s">
        <v>50026</v>
      </c>
      <c r="W3781" t="s">
        <v>42404</v>
      </c>
      <c r="X3781" t="s">
        <v>44909</v>
      </c>
    </row>
    <row r="3782" spans="1:24">
      <c r="A3782">
        <f>HYPERLINK("https://www.philgeps.gov.ph/GEPSNONPILOT/Tender/SplashBidNoticeAbstractUI.aspx?menuIndex=3&amp;refID=7080269&amp;Result=3","7080269")</f>
        <v>0</v>
      </c>
      <c r="B3782" t="s">
        <v>1381</v>
      </c>
      <c r="C3782" t="s">
        <v>7144</v>
      </c>
      <c r="D3782" t="s">
        <v>18123</v>
      </c>
      <c r="E3782" t="s">
        <v>21586</v>
      </c>
      <c r="F3782" t="s">
        <v>31362</v>
      </c>
      <c r="G3782" t="s">
        <v>31369</v>
      </c>
      <c r="H3782" t="s">
        <v>15799</v>
      </c>
      <c r="I3782" t="s">
        <v>31468</v>
      </c>
      <c r="J3782" t="s">
        <v>33271</v>
      </c>
      <c r="K3782" t="s">
        <v>40665</v>
      </c>
      <c r="M3782" t="s">
        <v>42405</v>
      </c>
      <c r="N3782" t="s">
        <v>44905</v>
      </c>
      <c r="O3782" t="s">
        <v>44906</v>
      </c>
      <c r="P3782">
        <v>0</v>
      </c>
      <c r="Q3782">
        <v>1</v>
      </c>
      <c r="R3782" t="s">
        <v>44908</v>
      </c>
      <c r="S3782" t="s">
        <v>45042</v>
      </c>
      <c r="T3782" t="s">
        <v>46661</v>
      </c>
      <c r="U3782" t="s">
        <v>50027</v>
      </c>
      <c r="V3782" t="s">
        <v>59437</v>
      </c>
      <c r="W3782" t="s">
        <v>42405</v>
      </c>
      <c r="X3782" t="s">
        <v>44909</v>
      </c>
    </row>
    <row r="3783" spans="1:24">
      <c r="A3783">
        <f>HYPERLINK("https://www.philgeps.gov.ph/GEPSNONPILOT/Tender/SplashBidNoticeAbstractUI.aspx?menuIndex=3&amp;refID=7080318&amp;Result=3","7080318")</f>
        <v>0</v>
      </c>
      <c r="B3783" t="s">
        <v>1280</v>
      </c>
      <c r="C3783" t="s">
        <v>7145</v>
      </c>
      <c r="D3783" t="s">
        <v>18152</v>
      </c>
      <c r="E3783" t="s">
        <v>21587</v>
      </c>
      <c r="F3783" t="s">
        <v>31362</v>
      </c>
      <c r="G3783" t="s">
        <v>31368</v>
      </c>
      <c r="H3783" t="s">
        <v>15799</v>
      </c>
      <c r="I3783" t="s">
        <v>31385</v>
      </c>
      <c r="J3783" t="s">
        <v>34029</v>
      </c>
      <c r="K3783" t="s">
        <v>40662</v>
      </c>
      <c r="M3783" t="s">
        <v>42297</v>
      </c>
      <c r="N3783" t="s">
        <v>44905</v>
      </c>
      <c r="O3783" t="s">
        <v>44906</v>
      </c>
      <c r="P3783">
        <v>0</v>
      </c>
      <c r="Q3783">
        <v>0</v>
      </c>
      <c r="R3783" t="s">
        <v>44908</v>
      </c>
      <c r="S3783" t="s">
        <v>45042</v>
      </c>
      <c r="T3783" t="s">
        <v>46507</v>
      </c>
      <c r="U3783" t="s">
        <v>50013</v>
      </c>
      <c r="W3783" t="s">
        <v>42297</v>
      </c>
      <c r="X3783" t="s">
        <v>44909</v>
      </c>
    </row>
    <row r="3784" spans="1:24">
      <c r="A3784">
        <f>HYPERLINK("https://www.philgeps.gov.ph/GEPSNONPILOT/Tender/SplashBidNoticeAbstractUI.aspx?menuIndex=3&amp;refID=7080268&amp;Result=3","7080268")</f>
        <v>0</v>
      </c>
      <c r="B3784" t="s">
        <v>963</v>
      </c>
      <c r="C3784" t="s">
        <v>7146</v>
      </c>
      <c r="D3784" t="s">
        <v>18131</v>
      </c>
      <c r="E3784" t="s">
        <v>21588</v>
      </c>
      <c r="F3784" t="s">
        <v>31362</v>
      </c>
      <c r="G3784" t="s">
        <v>31368</v>
      </c>
      <c r="H3784" t="s">
        <v>15799</v>
      </c>
      <c r="I3784" t="s">
        <v>6373</v>
      </c>
      <c r="J3784" t="s">
        <v>33387</v>
      </c>
      <c r="K3784" t="s">
        <v>40662</v>
      </c>
      <c r="M3784" t="s">
        <v>41951</v>
      </c>
      <c r="N3784" t="s">
        <v>44905</v>
      </c>
      <c r="O3784" t="s">
        <v>44906</v>
      </c>
      <c r="P3784">
        <v>0</v>
      </c>
      <c r="Q3784">
        <v>3</v>
      </c>
      <c r="R3784" t="s">
        <v>44908</v>
      </c>
      <c r="S3784" t="s">
        <v>45042</v>
      </c>
      <c r="T3784" t="s">
        <v>46432</v>
      </c>
      <c r="U3784" t="s">
        <v>48808</v>
      </c>
      <c r="W3784" t="s">
        <v>41951</v>
      </c>
      <c r="X3784" t="s">
        <v>44909</v>
      </c>
    </row>
    <row r="3785" spans="1:24">
      <c r="A3785">
        <f>HYPERLINK("https://www.philgeps.gov.ph/GEPSNONPILOT/Tender/SplashBidNoticeAbstractUI.aspx?menuIndex=3&amp;refID=7080243&amp;Result=3","7080243")</f>
        <v>0</v>
      </c>
      <c r="B3785" t="s">
        <v>130</v>
      </c>
      <c r="C3785" t="s">
        <v>7147</v>
      </c>
      <c r="D3785" t="s">
        <v>18109</v>
      </c>
      <c r="E3785" t="s">
        <v>21589</v>
      </c>
      <c r="F3785" t="s">
        <v>31362</v>
      </c>
      <c r="G3785" t="s">
        <v>31368</v>
      </c>
      <c r="H3785" t="s">
        <v>15799</v>
      </c>
      <c r="I3785" t="s">
        <v>31409</v>
      </c>
      <c r="J3785" t="s">
        <v>31688</v>
      </c>
      <c r="K3785" t="s">
        <v>40662</v>
      </c>
      <c r="M3785" t="s">
        <v>41067</v>
      </c>
      <c r="N3785" t="s">
        <v>44905</v>
      </c>
      <c r="O3785" t="s">
        <v>44906</v>
      </c>
      <c r="P3785">
        <v>0</v>
      </c>
      <c r="Q3785">
        <v>0</v>
      </c>
      <c r="R3785" t="s">
        <v>44908</v>
      </c>
      <c r="S3785" t="s">
        <v>45042</v>
      </c>
      <c r="T3785" t="s">
        <v>46394</v>
      </c>
      <c r="U3785" t="s">
        <v>50028</v>
      </c>
      <c r="W3785" t="s">
        <v>41067</v>
      </c>
      <c r="X3785" t="s">
        <v>44909</v>
      </c>
    </row>
    <row r="3786" spans="1:24">
      <c r="A3786">
        <f>HYPERLINK("https://www.philgeps.gov.ph/GEPSNONPILOT/Tender/SplashBidNoticeAbstractUI.aspx?menuIndex=3&amp;refID=7080242&amp;Result=3","7080242")</f>
        <v>0</v>
      </c>
      <c r="B3786" t="s">
        <v>1345</v>
      </c>
      <c r="C3786" t="s">
        <v>7148</v>
      </c>
      <c r="D3786" t="s">
        <v>18172</v>
      </c>
      <c r="E3786" t="s">
        <v>21590</v>
      </c>
      <c r="F3786" t="s">
        <v>31362</v>
      </c>
      <c r="G3786" t="s">
        <v>31369</v>
      </c>
      <c r="H3786" t="s">
        <v>15799</v>
      </c>
      <c r="I3786" t="s">
        <v>3815</v>
      </c>
      <c r="J3786" t="s">
        <v>34030</v>
      </c>
      <c r="K3786" t="s">
        <v>40665</v>
      </c>
      <c r="L3786" t="s">
        <v>1345</v>
      </c>
      <c r="M3786" t="s">
        <v>42364</v>
      </c>
      <c r="N3786" t="s">
        <v>44905</v>
      </c>
      <c r="O3786" t="s">
        <v>44906</v>
      </c>
      <c r="P3786">
        <v>0</v>
      </c>
      <c r="Q3786">
        <v>0</v>
      </c>
      <c r="R3786" t="s">
        <v>44908</v>
      </c>
      <c r="S3786" t="s">
        <v>45042</v>
      </c>
      <c r="T3786" t="s">
        <v>46504</v>
      </c>
      <c r="U3786" t="s">
        <v>50029</v>
      </c>
      <c r="W3786" t="s">
        <v>42364</v>
      </c>
      <c r="X3786" t="s">
        <v>44909</v>
      </c>
    </row>
    <row r="3787" spans="1:24">
      <c r="A3787">
        <f>HYPERLINK("https://www.philgeps.gov.ph/GEPSNONPILOT/Tender/SplashBidNoticeAbstractUI.aspx?menuIndex=3&amp;refID=7080354&amp;Result=3","7080354")</f>
        <v>0</v>
      </c>
      <c r="B3787" t="s">
        <v>1381</v>
      </c>
      <c r="C3787" t="s">
        <v>7149</v>
      </c>
      <c r="D3787" t="s">
        <v>18123</v>
      </c>
      <c r="E3787" t="s">
        <v>21591</v>
      </c>
      <c r="F3787" t="s">
        <v>31362</v>
      </c>
      <c r="G3787" t="s">
        <v>31369</v>
      </c>
      <c r="H3787" t="s">
        <v>15799</v>
      </c>
      <c r="I3787" t="s">
        <v>31414</v>
      </c>
      <c r="J3787" t="s">
        <v>34031</v>
      </c>
      <c r="K3787" t="s">
        <v>40665</v>
      </c>
      <c r="M3787" t="s">
        <v>42405</v>
      </c>
      <c r="N3787" t="s">
        <v>44905</v>
      </c>
      <c r="O3787" t="s">
        <v>44906</v>
      </c>
      <c r="P3787">
        <v>0</v>
      </c>
      <c r="Q3787">
        <v>6</v>
      </c>
      <c r="R3787" t="s">
        <v>44908</v>
      </c>
      <c r="S3787" t="s">
        <v>45042</v>
      </c>
      <c r="T3787" t="s">
        <v>46662</v>
      </c>
      <c r="U3787" t="s">
        <v>50030</v>
      </c>
      <c r="V3787" t="s">
        <v>59437</v>
      </c>
      <c r="W3787" t="s">
        <v>42405</v>
      </c>
      <c r="X3787" t="s">
        <v>44909</v>
      </c>
    </row>
    <row r="3788" spans="1:24">
      <c r="A3788">
        <f>HYPERLINK("https://www.philgeps.gov.ph/GEPSNONPILOT/Tender/SplashBidNoticeAbstractUI.aspx?menuIndex=3&amp;refID=7080362&amp;Result=3","7080362")</f>
        <v>0</v>
      </c>
      <c r="B3788" t="s">
        <v>1355</v>
      </c>
      <c r="C3788" t="s">
        <v>7030</v>
      </c>
      <c r="D3788" t="s">
        <v>18111</v>
      </c>
      <c r="E3788" t="s">
        <v>21592</v>
      </c>
      <c r="F3788" t="s">
        <v>31362</v>
      </c>
      <c r="G3788" t="s">
        <v>31370</v>
      </c>
      <c r="H3788" t="s">
        <v>15799</v>
      </c>
      <c r="I3788" t="s">
        <v>31385</v>
      </c>
      <c r="J3788" t="s">
        <v>34032</v>
      </c>
      <c r="K3788" t="s">
        <v>40662</v>
      </c>
      <c r="M3788" t="s">
        <v>42376</v>
      </c>
      <c r="N3788" t="s">
        <v>44905</v>
      </c>
      <c r="O3788" t="s">
        <v>44906</v>
      </c>
      <c r="P3788">
        <v>0</v>
      </c>
      <c r="Q3788">
        <v>1</v>
      </c>
      <c r="R3788" t="s">
        <v>44908</v>
      </c>
      <c r="S3788" t="s">
        <v>45042</v>
      </c>
      <c r="T3788" t="s">
        <v>46408</v>
      </c>
      <c r="U3788" t="s">
        <v>50031</v>
      </c>
      <c r="W3788" t="s">
        <v>42376</v>
      </c>
      <c r="X3788" t="s">
        <v>44909</v>
      </c>
    </row>
    <row r="3789" spans="1:24">
      <c r="A3789">
        <f>HYPERLINK("https://www.philgeps.gov.ph/GEPSNONPILOT/Tender/SplashBidNoticeAbstractUI.aspx?menuIndex=3&amp;refID=7080293&amp;Result=3","7080293")</f>
        <v>0</v>
      </c>
      <c r="B3789" t="s">
        <v>1362</v>
      </c>
      <c r="C3789" t="s">
        <v>7150</v>
      </c>
      <c r="D3789" t="s">
        <v>18160</v>
      </c>
      <c r="E3789" t="s">
        <v>21593</v>
      </c>
      <c r="F3789" t="s">
        <v>31362</v>
      </c>
      <c r="G3789" t="s">
        <v>31368</v>
      </c>
      <c r="H3789" t="s">
        <v>15799</v>
      </c>
      <c r="I3789" t="s">
        <v>6240</v>
      </c>
      <c r="J3789" t="s">
        <v>34033</v>
      </c>
      <c r="K3789" t="s">
        <v>40665</v>
      </c>
      <c r="M3789" t="s">
        <v>42383</v>
      </c>
      <c r="N3789" t="s">
        <v>44905</v>
      </c>
      <c r="O3789" t="s">
        <v>44906</v>
      </c>
      <c r="P3789">
        <v>0</v>
      </c>
      <c r="Q3789">
        <v>0</v>
      </c>
      <c r="R3789" t="s">
        <v>44908</v>
      </c>
      <c r="S3789" t="s">
        <v>45042</v>
      </c>
      <c r="T3789" t="s">
        <v>46394</v>
      </c>
      <c r="U3789" t="s">
        <v>50032</v>
      </c>
      <c r="W3789" t="s">
        <v>42383</v>
      </c>
      <c r="X3789" t="s">
        <v>44909</v>
      </c>
    </row>
    <row r="3790" spans="1:24">
      <c r="A3790">
        <f>HYPERLINK("https://www.philgeps.gov.ph/GEPSNONPILOT/Tender/SplashBidNoticeAbstractUI.aspx?menuIndex=3&amp;refID=7080381&amp;Result=3","7080381")</f>
        <v>0</v>
      </c>
      <c r="B3790" t="s">
        <v>1374</v>
      </c>
      <c r="C3790" t="s">
        <v>7151</v>
      </c>
      <c r="D3790" t="s">
        <v>18178</v>
      </c>
      <c r="E3790" t="s">
        <v>21594</v>
      </c>
      <c r="F3790" t="s">
        <v>31362</v>
      </c>
      <c r="G3790" t="s">
        <v>31369</v>
      </c>
      <c r="H3790" t="s">
        <v>31378</v>
      </c>
      <c r="I3790" t="s">
        <v>31386</v>
      </c>
      <c r="J3790" t="s">
        <v>34034</v>
      </c>
      <c r="K3790" t="s">
        <v>40705</v>
      </c>
      <c r="M3790" t="s">
        <v>42397</v>
      </c>
      <c r="N3790" t="s">
        <v>44905</v>
      </c>
      <c r="O3790" t="s">
        <v>44906</v>
      </c>
      <c r="P3790">
        <v>0</v>
      </c>
      <c r="Q3790">
        <v>0</v>
      </c>
      <c r="R3790" t="s">
        <v>44908</v>
      </c>
      <c r="S3790" t="s">
        <v>45042</v>
      </c>
      <c r="T3790" t="s">
        <v>46621</v>
      </c>
      <c r="U3790" t="s">
        <v>50033</v>
      </c>
      <c r="W3790" t="s">
        <v>42397</v>
      </c>
      <c r="X3790" t="s">
        <v>44909</v>
      </c>
    </row>
    <row r="3791" spans="1:24">
      <c r="A3791">
        <f>HYPERLINK("https://www.philgeps.gov.ph/GEPSNONPILOT/Tender/SplashBidNoticeAbstractUI.aspx?menuIndex=3&amp;refID=7080359&amp;Result=3","7080359")</f>
        <v>0</v>
      </c>
      <c r="B3791" t="s">
        <v>1243</v>
      </c>
      <c r="C3791" t="s">
        <v>7152</v>
      </c>
      <c r="D3791" t="s">
        <v>18177</v>
      </c>
      <c r="E3791" t="s">
        <v>21595</v>
      </c>
      <c r="F3791" t="s">
        <v>31362</v>
      </c>
      <c r="G3791" t="s">
        <v>31368</v>
      </c>
      <c r="H3791" t="s">
        <v>15799</v>
      </c>
      <c r="I3791" t="s">
        <v>3815</v>
      </c>
      <c r="J3791" t="s">
        <v>34035</v>
      </c>
      <c r="K3791" t="s">
        <v>40670</v>
      </c>
      <c r="M3791" t="s">
        <v>42258</v>
      </c>
      <c r="N3791" t="s">
        <v>44905</v>
      </c>
      <c r="O3791" t="s">
        <v>44906</v>
      </c>
      <c r="P3791">
        <v>0</v>
      </c>
      <c r="Q3791">
        <v>0</v>
      </c>
      <c r="R3791" t="s">
        <v>44908</v>
      </c>
      <c r="S3791" t="s">
        <v>45042</v>
      </c>
      <c r="T3791" t="s">
        <v>46446</v>
      </c>
      <c r="U3791" t="s">
        <v>50034</v>
      </c>
      <c r="W3791" t="s">
        <v>42258</v>
      </c>
      <c r="X3791" t="s">
        <v>44909</v>
      </c>
    </row>
    <row r="3792" spans="1:24">
      <c r="A3792">
        <f>HYPERLINK("https://www.philgeps.gov.ph/GEPSNONPILOT/Tender/SplashBidNoticeAbstractUI.aspx?menuIndex=3&amp;refID=7080380&amp;Result=3","7080380")</f>
        <v>0</v>
      </c>
      <c r="B3792" t="s">
        <v>701</v>
      </c>
      <c r="C3792" t="s">
        <v>7153</v>
      </c>
      <c r="D3792" t="s">
        <v>18172</v>
      </c>
      <c r="E3792" t="s">
        <v>21596</v>
      </c>
      <c r="F3792" t="s">
        <v>31362</v>
      </c>
      <c r="G3792" t="s">
        <v>31369</v>
      </c>
      <c r="H3792" t="s">
        <v>15799</v>
      </c>
      <c r="I3792" t="s">
        <v>3815</v>
      </c>
      <c r="J3792" t="s">
        <v>34036</v>
      </c>
      <c r="K3792" t="s">
        <v>40666</v>
      </c>
      <c r="M3792" t="s">
        <v>41666</v>
      </c>
      <c r="N3792" t="s">
        <v>44905</v>
      </c>
      <c r="O3792" t="s">
        <v>44906</v>
      </c>
      <c r="P3792">
        <v>0</v>
      </c>
      <c r="Q3792">
        <v>0</v>
      </c>
      <c r="R3792" t="s">
        <v>44908</v>
      </c>
      <c r="S3792" t="s">
        <v>45042</v>
      </c>
      <c r="T3792" t="s">
        <v>46415</v>
      </c>
      <c r="U3792" t="s">
        <v>50035</v>
      </c>
      <c r="W3792" t="s">
        <v>41666</v>
      </c>
      <c r="X3792" t="s">
        <v>44909</v>
      </c>
    </row>
    <row r="3793" spans="1:24">
      <c r="A3793">
        <f>HYPERLINK("https://www.philgeps.gov.ph/GEPSNONPILOT/Tender/SplashBidNoticeAbstractUI.aspx?menuIndex=3&amp;refID=7080379&amp;Result=3","7080379")</f>
        <v>0</v>
      </c>
      <c r="B3793" t="s">
        <v>1033</v>
      </c>
      <c r="C3793" t="s">
        <v>7154</v>
      </c>
      <c r="D3793" t="s">
        <v>18162</v>
      </c>
      <c r="E3793" t="s">
        <v>21597</v>
      </c>
      <c r="F3793" t="s">
        <v>31362</v>
      </c>
      <c r="G3793" t="s">
        <v>31369</v>
      </c>
      <c r="H3793" t="s">
        <v>15799</v>
      </c>
      <c r="I3793" t="s">
        <v>7188</v>
      </c>
      <c r="J3793" t="s">
        <v>31758</v>
      </c>
      <c r="K3793" t="s">
        <v>40670</v>
      </c>
      <c r="M3793" t="s">
        <v>42032</v>
      </c>
      <c r="N3793" t="s">
        <v>44905</v>
      </c>
      <c r="O3793" t="s">
        <v>44906</v>
      </c>
      <c r="P3793">
        <v>0</v>
      </c>
      <c r="Q3793">
        <v>0</v>
      </c>
      <c r="R3793" t="s">
        <v>44908</v>
      </c>
      <c r="S3793" t="s">
        <v>45042</v>
      </c>
      <c r="T3793" t="s">
        <v>46430</v>
      </c>
      <c r="U3793" t="s">
        <v>50036</v>
      </c>
      <c r="W3793" t="s">
        <v>42032</v>
      </c>
      <c r="X3793" t="s">
        <v>44909</v>
      </c>
    </row>
    <row r="3794" spans="1:24">
      <c r="A3794">
        <f>HYPERLINK("https://www.philgeps.gov.ph/GEPSNONPILOT/Tender/SplashBidNoticeAbstractUI.aspx?menuIndex=3&amp;refID=7080378&amp;Result=3","7080378")</f>
        <v>0</v>
      </c>
      <c r="B3794" t="s">
        <v>1302</v>
      </c>
      <c r="C3794" t="s">
        <v>7155</v>
      </c>
      <c r="D3794" t="s">
        <v>18108</v>
      </c>
      <c r="E3794" t="s">
        <v>21598</v>
      </c>
      <c r="F3794" t="s">
        <v>31362</v>
      </c>
      <c r="G3794" t="s">
        <v>31369</v>
      </c>
      <c r="H3794" t="s">
        <v>15799</v>
      </c>
      <c r="I3794" t="s">
        <v>3582</v>
      </c>
      <c r="J3794" t="s">
        <v>34037</v>
      </c>
      <c r="K3794" t="s">
        <v>40665</v>
      </c>
      <c r="M3794" t="s">
        <v>42320</v>
      </c>
      <c r="N3794" t="s">
        <v>44905</v>
      </c>
      <c r="O3794" t="s">
        <v>44906</v>
      </c>
      <c r="P3794">
        <v>0</v>
      </c>
      <c r="Q3794">
        <v>0</v>
      </c>
      <c r="R3794" t="s">
        <v>44908</v>
      </c>
      <c r="S3794" t="s">
        <v>45042</v>
      </c>
      <c r="T3794" t="s">
        <v>46396</v>
      </c>
      <c r="U3794" t="s">
        <v>50014</v>
      </c>
      <c r="W3794" t="s">
        <v>42320</v>
      </c>
      <c r="X3794" t="s">
        <v>44909</v>
      </c>
    </row>
    <row r="3795" spans="1:24">
      <c r="A3795">
        <f>HYPERLINK("https://www.philgeps.gov.ph/GEPSNONPILOT/Tender/SplashBidNoticeAbstractUI.aspx?menuIndex=3&amp;refID=7080377&amp;Result=3","7080377")</f>
        <v>0</v>
      </c>
      <c r="B3795" t="s">
        <v>473</v>
      </c>
      <c r="C3795" t="s">
        <v>7156</v>
      </c>
      <c r="D3795" t="s">
        <v>18114</v>
      </c>
      <c r="E3795" t="s">
        <v>21599</v>
      </c>
      <c r="F3795" t="s">
        <v>31362</v>
      </c>
      <c r="G3795" t="s">
        <v>31370</v>
      </c>
      <c r="H3795" t="s">
        <v>15799</v>
      </c>
      <c r="I3795" t="s">
        <v>31431</v>
      </c>
      <c r="J3795" t="s">
        <v>31564</v>
      </c>
      <c r="K3795" t="s">
        <v>40697</v>
      </c>
      <c r="M3795" t="s">
        <v>41955</v>
      </c>
      <c r="N3795" t="s">
        <v>44905</v>
      </c>
      <c r="O3795" t="s">
        <v>44906</v>
      </c>
      <c r="P3795">
        <v>0</v>
      </c>
      <c r="Q3795">
        <v>1</v>
      </c>
      <c r="R3795" t="s">
        <v>44908</v>
      </c>
      <c r="S3795" t="s">
        <v>45042</v>
      </c>
      <c r="T3795" t="s">
        <v>46414</v>
      </c>
      <c r="U3795" t="s">
        <v>50037</v>
      </c>
      <c r="W3795" t="s">
        <v>41955</v>
      </c>
      <c r="X3795" t="s">
        <v>44909</v>
      </c>
    </row>
    <row r="3796" spans="1:24">
      <c r="A3796">
        <f>HYPERLINK("https://www.philgeps.gov.ph/GEPSNONPILOT/Tender/SplashBidNoticeAbstractUI.aspx?menuIndex=3&amp;refID=7080225&amp;Result=3","7080225")</f>
        <v>0</v>
      </c>
      <c r="B3796" t="s">
        <v>130</v>
      </c>
      <c r="C3796" t="s">
        <v>7157</v>
      </c>
      <c r="D3796" t="s">
        <v>18109</v>
      </c>
      <c r="E3796" t="s">
        <v>21600</v>
      </c>
      <c r="F3796" t="s">
        <v>31362</v>
      </c>
      <c r="G3796" t="s">
        <v>31368</v>
      </c>
      <c r="H3796" t="s">
        <v>15799</v>
      </c>
      <c r="I3796" t="s">
        <v>31461</v>
      </c>
      <c r="J3796" t="s">
        <v>32278</v>
      </c>
      <c r="K3796" t="s">
        <v>40662</v>
      </c>
      <c r="M3796" t="s">
        <v>41067</v>
      </c>
      <c r="N3796" t="s">
        <v>44905</v>
      </c>
      <c r="O3796" t="s">
        <v>44906</v>
      </c>
      <c r="P3796">
        <v>0</v>
      </c>
      <c r="Q3796">
        <v>1</v>
      </c>
      <c r="R3796" t="s">
        <v>44908</v>
      </c>
      <c r="S3796" t="s">
        <v>45042</v>
      </c>
      <c r="T3796" t="s">
        <v>46394</v>
      </c>
      <c r="U3796" t="s">
        <v>50038</v>
      </c>
      <c r="W3796" t="s">
        <v>41067</v>
      </c>
      <c r="X3796" t="s">
        <v>44909</v>
      </c>
    </row>
    <row r="3797" spans="1:24">
      <c r="A3797">
        <f>HYPERLINK("https://www.philgeps.gov.ph/GEPSNONPILOT/Tender/SplashBidNoticeAbstractUI.aspx?menuIndex=3&amp;refID=7080376&amp;Result=3","7080376")</f>
        <v>0</v>
      </c>
      <c r="B3797" t="s">
        <v>1382</v>
      </c>
      <c r="C3797" t="s">
        <v>7158</v>
      </c>
      <c r="D3797" t="s">
        <v>18131</v>
      </c>
      <c r="E3797" t="s">
        <v>21601</v>
      </c>
      <c r="F3797" t="s">
        <v>31362</v>
      </c>
      <c r="G3797" t="s">
        <v>31370</v>
      </c>
      <c r="H3797" t="s">
        <v>31378</v>
      </c>
      <c r="I3797" t="s">
        <v>31386</v>
      </c>
      <c r="J3797" t="s">
        <v>34038</v>
      </c>
      <c r="K3797" t="s">
        <v>40672</v>
      </c>
      <c r="M3797" t="s">
        <v>42406</v>
      </c>
      <c r="N3797" t="s">
        <v>44905</v>
      </c>
      <c r="O3797" t="s">
        <v>44906</v>
      </c>
      <c r="P3797">
        <v>0</v>
      </c>
      <c r="Q3797">
        <v>0</v>
      </c>
      <c r="R3797" t="s">
        <v>44908</v>
      </c>
      <c r="S3797" t="s">
        <v>45042</v>
      </c>
      <c r="T3797" t="s">
        <v>46538</v>
      </c>
      <c r="U3797" t="s">
        <v>50039</v>
      </c>
      <c r="W3797" t="s">
        <v>42406</v>
      </c>
      <c r="X3797" t="s">
        <v>44909</v>
      </c>
    </row>
    <row r="3798" spans="1:24">
      <c r="A3798">
        <f>HYPERLINK("https://www.philgeps.gov.ph/GEPSNONPILOT/Tender/SplashBidNoticeAbstractUI.aspx?menuIndex=3&amp;refID=7080375&amp;Result=3","7080375")</f>
        <v>0</v>
      </c>
      <c r="B3798" t="s">
        <v>1280</v>
      </c>
      <c r="C3798" t="s">
        <v>7159</v>
      </c>
      <c r="D3798" t="s">
        <v>18152</v>
      </c>
      <c r="E3798" t="s">
        <v>21602</v>
      </c>
      <c r="F3798" t="s">
        <v>31362</v>
      </c>
      <c r="G3798" t="s">
        <v>31368</v>
      </c>
      <c r="H3798" t="s">
        <v>15799</v>
      </c>
      <c r="I3798" t="s">
        <v>7188</v>
      </c>
      <c r="J3798" t="s">
        <v>31561</v>
      </c>
      <c r="K3798" t="s">
        <v>40662</v>
      </c>
      <c r="M3798" t="s">
        <v>42297</v>
      </c>
      <c r="N3798" t="s">
        <v>44905</v>
      </c>
      <c r="O3798" t="s">
        <v>44906</v>
      </c>
      <c r="P3798">
        <v>0</v>
      </c>
      <c r="Q3798">
        <v>0</v>
      </c>
      <c r="R3798" t="s">
        <v>44908</v>
      </c>
      <c r="S3798" t="s">
        <v>45042</v>
      </c>
      <c r="T3798" t="s">
        <v>46507</v>
      </c>
      <c r="U3798" t="s">
        <v>50013</v>
      </c>
      <c r="W3798" t="s">
        <v>42297</v>
      </c>
      <c r="X3798" t="s">
        <v>44909</v>
      </c>
    </row>
    <row r="3799" spans="1:24">
      <c r="A3799">
        <f>HYPERLINK("https://www.philgeps.gov.ph/GEPSNONPILOT/Tender/SplashBidNoticeAbstractUI.aspx?menuIndex=3&amp;refID=7080374&amp;Result=3","7080374")</f>
        <v>0</v>
      </c>
      <c r="B3799" t="s">
        <v>580</v>
      </c>
      <c r="C3799" t="s">
        <v>7160</v>
      </c>
      <c r="D3799" t="s">
        <v>18106</v>
      </c>
      <c r="E3799" t="s">
        <v>21603</v>
      </c>
      <c r="F3799" t="s">
        <v>31362</v>
      </c>
      <c r="G3799" t="s">
        <v>31369</v>
      </c>
      <c r="H3799" t="s">
        <v>31378</v>
      </c>
      <c r="I3799" t="s">
        <v>31386</v>
      </c>
      <c r="J3799" t="s">
        <v>34039</v>
      </c>
      <c r="K3799" t="s">
        <v>40708</v>
      </c>
      <c r="M3799" t="s">
        <v>41537</v>
      </c>
      <c r="N3799" t="s">
        <v>44905</v>
      </c>
      <c r="O3799" t="s">
        <v>44906</v>
      </c>
      <c r="P3799">
        <v>0</v>
      </c>
      <c r="Q3799">
        <v>0</v>
      </c>
      <c r="R3799" t="s">
        <v>44908</v>
      </c>
      <c r="S3799" t="s">
        <v>45042</v>
      </c>
      <c r="T3799" t="s">
        <v>46404</v>
      </c>
      <c r="U3799" t="s">
        <v>49008</v>
      </c>
      <c r="V3799" t="s">
        <v>59438</v>
      </c>
      <c r="W3799" t="s">
        <v>41537</v>
      </c>
      <c r="X3799" t="s">
        <v>44909</v>
      </c>
    </row>
    <row r="3800" spans="1:24">
      <c r="A3800">
        <f>HYPERLINK("https://www.philgeps.gov.ph/GEPSNONPILOT/Tender/SplashBidNoticeAbstractUI.aspx?menuIndex=3&amp;refID=7080371&amp;Result=3","7080371")</f>
        <v>0</v>
      </c>
      <c r="B3800" t="s">
        <v>1383</v>
      </c>
      <c r="C3800" t="s">
        <v>7161</v>
      </c>
      <c r="D3800" t="s">
        <v>18148</v>
      </c>
      <c r="E3800" t="s">
        <v>21491</v>
      </c>
      <c r="F3800" t="s">
        <v>31362</v>
      </c>
      <c r="G3800" t="s">
        <v>31368</v>
      </c>
      <c r="H3800" t="s">
        <v>15799</v>
      </c>
      <c r="I3800" t="s">
        <v>31380</v>
      </c>
      <c r="J3800" t="s">
        <v>34040</v>
      </c>
      <c r="K3800" t="s">
        <v>40672</v>
      </c>
      <c r="M3800" t="s">
        <v>42407</v>
      </c>
      <c r="N3800" t="s">
        <v>44905</v>
      </c>
      <c r="O3800" t="s">
        <v>44906</v>
      </c>
      <c r="P3800">
        <v>0</v>
      </c>
      <c r="Q3800">
        <v>2</v>
      </c>
      <c r="R3800" t="s">
        <v>44908</v>
      </c>
      <c r="S3800" t="s">
        <v>45042</v>
      </c>
      <c r="T3800" t="s">
        <v>46414</v>
      </c>
      <c r="U3800" t="s">
        <v>50040</v>
      </c>
      <c r="W3800" t="s">
        <v>42407</v>
      </c>
      <c r="X3800" t="s">
        <v>44909</v>
      </c>
    </row>
    <row r="3801" spans="1:24">
      <c r="A3801">
        <f>HYPERLINK("https://www.philgeps.gov.ph/GEPSNONPILOT/Tender/SplashBidNoticeAbstractUI.aspx?menuIndex=3&amp;refID=7080370&amp;Result=3","7080370")</f>
        <v>0</v>
      </c>
      <c r="B3801" t="s">
        <v>529</v>
      </c>
      <c r="C3801" t="s">
        <v>7162</v>
      </c>
      <c r="D3801" t="s">
        <v>18124</v>
      </c>
      <c r="E3801" t="s">
        <v>21604</v>
      </c>
      <c r="F3801" t="s">
        <v>31362</v>
      </c>
      <c r="G3801" t="s">
        <v>31369</v>
      </c>
      <c r="H3801" t="s">
        <v>31378</v>
      </c>
      <c r="I3801" t="s">
        <v>31386</v>
      </c>
      <c r="J3801" t="s">
        <v>31542</v>
      </c>
      <c r="K3801" t="s">
        <v>40742</v>
      </c>
      <c r="L3801" t="s">
        <v>529</v>
      </c>
      <c r="M3801" t="s">
        <v>41485</v>
      </c>
      <c r="N3801" t="s">
        <v>44905</v>
      </c>
      <c r="O3801" t="s">
        <v>44906</v>
      </c>
      <c r="P3801">
        <v>0</v>
      </c>
      <c r="Q3801">
        <v>1</v>
      </c>
      <c r="R3801" t="s">
        <v>44908</v>
      </c>
      <c r="S3801" t="s">
        <v>45042</v>
      </c>
      <c r="T3801" t="s">
        <v>46427</v>
      </c>
      <c r="U3801" t="s">
        <v>50041</v>
      </c>
      <c r="W3801" t="s">
        <v>41485</v>
      </c>
      <c r="X3801" t="s">
        <v>44909</v>
      </c>
    </row>
    <row r="3802" spans="1:24">
      <c r="A3802">
        <f>HYPERLINK("https://www.philgeps.gov.ph/GEPSNONPILOT/Tender/SplashBidNoticeAbstractUI.aspx?menuIndex=3&amp;refID=7080368&amp;Result=3","7080368")</f>
        <v>0</v>
      </c>
      <c r="B3802" t="s">
        <v>276</v>
      </c>
      <c r="C3802" t="s">
        <v>7163</v>
      </c>
      <c r="D3802" t="s">
        <v>18106</v>
      </c>
      <c r="E3802" t="s">
        <v>21605</v>
      </c>
      <c r="F3802" t="s">
        <v>31362</v>
      </c>
      <c r="G3802" t="s">
        <v>31371</v>
      </c>
      <c r="H3802" t="s">
        <v>15799</v>
      </c>
      <c r="I3802" t="s">
        <v>6373</v>
      </c>
      <c r="J3802" t="s">
        <v>31855</v>
      </c>
      <c r="K3802" t="s">
        <v>40661</v>
      </c>
      <c r="M3802" t="s">
        <v>41218</v>
      </c>
      <c r="N3802" t="s">
        <v>44905</v>
      </c>
      <c r="O3802" t="s">
        <v>44906</v>
      </c>
      <c r="P3802">
        <v>0</v>
      </c>
      <c r="Q3802">
        <v>1</v>
      </c>
      <c r="R3802" t="s">
        <v>44908</v>
      </c>
      <c r="S3802" t="s">
        <v>45042</v>
      </c>
      <c r="T3802" t="s">
        <v>46438</v>
      </c>
      <c r="U3802" t="s">
        <v>50042</v>
      </c>
      <c r="W3802" t="s">
        <v>41218</v>
      </c>
      <c r="X3802" t="s">
        <v>44909</v>
      </c>
    </row>
    <row r="3803" spans="1:24">
      <c r="A3803">
        <f>HYPERLINK("https://www.philgeps.gov.ph/GEPSNONPILOT/Tender/SplashBidNoticeAbstractUI.aspx?menuIndex=3&amp;refID=7080244&amp;Result=3","7080244")</f>
        <v>0</v>
      </c>
      <c r="B3803" t="s">
        <v>270</v>
      </c>
      <c r="C3803" t="s">
        <v>7164</v>
      </c>
      <c r="D3803" t="s">
        <v>18166</v>
      </c>
      <c r="E3803" t="s">
        <v>21606</v>
      </c>
      <c r="F3803" t="s">
        <v>31362</v>
      </c>
      <c r="G3803" t="s">
        <v>31368</v>
      </c>
      <c r="H3803" t="s">
        <v>15799</v>
      </c>
      <c r="I3803" t="s">
        <v>4942</v>
      </c>
      <c r="J3803" t="s">
        <v>32779</v>
      </c>
      <c r="K3803" t="s">
        <v>40661</v>
      </c>
      <c r="M3803" t="s">
        <v>41953</v>
      </c>
      <c r="N3803" t="s">
        <v>44905</v>
      </c>
      <c r="O3803" t="s">
        <v>44906</v>
      </c>
      <c r="P3803">
        <v>0</v>
      </c>
      <c r="Q3803">
        <v>0</v>
      </c>
      <c r="R3803" t="s">
        <v>44908</v>
      </c>
      <c r="S3803" t="s">
        <v>45042</v>
      </c>
      <c r="T3803" t="s">
        <v>46462</v>
      </c>
      <c r="U3803" t="s">
        <v>50043</v>
      </c>
      <c r="W3803" t="s">
        <v>41953</v>
      </c>
      <c r="X3803" t="s">
        <v>44909</v>
      </c>
    </row>
    <row r="3804" spans="1:24">
      <c r="A3804">
        <f>HYPERLINK("https://www.philgeps.gov.ph/GEPSNONPILOT/Tender/SplashBidNoticeAbstractUI.aspx?menuIndex=3&amp;refID=7080366&amp;Result=3","7080366")</f>
        <v>0</v>
      </c>
      <c r="B3804" t="s">
        <v>1384</v>
      </c>
      <c r="C3804" t="s">
        <v>7165</v>
      </c>
      <c r="D3804" t="s">
        <v>18139</v>
      </c>
      <c r="E3804" t="s">
        <v>21607</v>
      </c>
      <c r="F3804" t="s">
        <v>31362</v>
      </c>
      <c r="G3804" t="s">
        <v>31371</v>
      </c>
      <c r="H3804" t="s">
        <v>15799</v>
      </c>
      <c r="I3804" t="s">
        <v>31395</v>
      </c>
      <c r="J3804" t="s">
        <v>34041</v>
      </c>
      <c r="K3804" t="s">
        <v>40670</v>
      </c>
      <c r="M3804" t="s">
        <v>42408</v>
      </c>
      <c r="N3804" t="s">
        <v>44905</v>
      </c>
      <c r="O3804" t="s">
        <v>44906</v>
      </c>
      <c r="P3804">
        <v>0</v>
      </c>
      <c r="Q3804">
        <v>0</v>
      </c>
      <c r="R3804" t="s">
        <v>44908</v>
      </c>
      <c r="S3804" t="s">
        <v>45042</v>
      </c>
      <c r="T3804" t="s">
        <v>46454</v>
      </c>
      <c r="U3804" t="s">
        <v>50044</v>
      </c>
      <c r="W3804" t="s">
        <v>60891</v>
      </c>
      <c r="X3804" t="s">
        <v>44909</v>
      </c>
    </row>
    <row r="3805" spans="1:24">
      <c r="A3805">
        <f>HYPERLINK("https://www.philgeps.gov.ph/GEPSNONPILOT/Tender/SplashBidNoticeAbstractUI.aspx?menuIndex=3&amp;refID=7080316&amp;Result=3","7080316")</f>
        <v>0</v>
      </c>
      <c r="B3805" t="s">
        <v>1385</v>
      </c>
      <c r="C3805" t="s">
        <v>7166</v>
      </c>
      <c r="D3805" t="s">
        <v>18116</v>
      </c>
      <c r="E3805" t="s">
        <v>18680</v>
      </c>
      <c r="F3805" t="s">
        <v>31362</v>
      </c>
      <c r="G3805" t="s">
        <v>31369</v>
      </c>
      <c r="H3805" t="s">
        <v>31378</v>
      </c>
      <c r="I3805" t="s">
        <v>31386</v>
      </c>
      <c r="J3805" t="s">
        <v>31606</v>
      </c>
      <c r="K3805" t="s">
        <v>40670</v>
      </c>
      <c r="M3805" t="s">
        <v>42409</v>
      </c>
      <c r="N3805" t="s">
        <v>44905</v>
      </c>
      <c r="O3805" t="s">
        <v>44906</v>
      </c>
      <c r="P3805">
        <v>0</v>
      </c>
      <c r="Q3805">
        <v>0</v>
      </c>
      <c r="R3805" t="s">
        <v>44908</v>
      </c>
      <c r="S3805" t="s">
        <v>45042</v>
      </c>
      <c r="T3805" t="s">
        <v>46506</v>
      </c>
      <c r="U3805" t="s">
        <v>50045</v>
      </c>
      <c r="W3805" t="s">
        <v>42409</v>
      </c>
      <c r="X3805" t="s">
        <v>44909</v>
      </c>
    </row>
    <row r="3806" spans="1:24">
      <c r="A3806">
        <f>HYPERLINK("https://www.philgeps.gov.ph/GEPSNONPILOT/Tender/SplashBidNoticeAbstractUI.aspx?menuIndex=3&amp;refID=7080365&amp;Result=3","7080365")</f>
        <v>0</v>
      </c>
      <c r="B3806" t="s">
        <v>1386</v>
      </c>
      <c r="C3806" t="s">
        <v>7167</v>
      </c>
      <c r="D3806" t="s">
        <v>18133</v>
      </c>
      <c r="E3806" t="s">
        <v>21608</v>
      </c>
      <c r="F3806" t="s">
        <v>31362</v>
      </c>
      <c r="G3806" t="s">
        <v>31369</v>
      </c>
      <c r="H3806" t="s">
        <v>15799</v>
      </c>
      <c r="I3806" t="s">
        <v>7188</v>
      </c>
      <c r="J3806" t="s">
        <v>34042</v>
      </c>
      <c r="K3806" t="s">
        <v>40679</v>
      </c>
      <c r="M3806" t="s">
        <v>42410</v>
      </c>
      <c r="N3806" t="s">
        <v>44905</v>
      </c>
      <c r="O3806" t="s">
        <v>44906</v>
      </c>
      <c r="P3806">
        <v>0</v>
      </c>
      <c r="Q3806">
        <v>3</v>
      </c>
      <c r="R3806" t="s">
        <v>44908</v>
      </c>
      <c r="S3806" t="s">
        <v>45042</v>
      </c>
      <c r="T3806" t="s">
        <v>46415</v>
      </c>
      <c r="U3806" t="s">
        <v>50046</v>
      </c>
      <c r="W3806" t="s">
        <v>42410</v>
      </c>
      <c r="X3806" t="s">
        <v>44909</v>
      </c>
    </row>
    <row r="3807" spans="1:24">
      <c r="A3807">
        <f>HYPERLINK("https://www.philgeps.gov.ph/GEPSNONPILOT/Tender/SplashBidNoticeAbstractUI.aspx?menuIndex=3&amp;refID=7080224&amp;Result=3","7080224")</f>
        <v>0</v>
      </c>
      <c r="B3807" t="s">
        <v>1373</v>
      </c>
      <c r="C3807" t="s">
        <v>7168</v>
      </c>
      <c r="D3807" t="s">
        <v>18109</v>
      </c>
      <c r="E3807" t="s">
        <v>21609</v>
      </c>
      <c r="F3807" t="s">
        <v>31362</v>
      </c>
      <c r="G3807" t="s">
        <v>31370</v>
      </c>
      <c r="H3807" t="s">
        <v>15799</v>
      </c>
      <c r="I3807" t="s">
        <v>31427</v>
      </c>
      <c r="J3807" t="s">
        <v>34043</v>
      </c>
      <c r="K3807" t="s">
        <v>40665</v>
      </c>
      <c r="M3807" t="s">
        <v>42396</v>
      </c>
      <c r="N3807" t="s">
        <v>44905</v>
      </c>
      <c r="O3807" t="s">
        <v>44906</v>
      </c>
      <c r="P3807">
        <v>0</v>
      </c>
      <c r="Q3807">
        <v>5</v>
      </c>
      <c r="R3807" t="s">
        <v>44908</v>
      </c>
      <c r="S3807" t="s">
        <v>45042</v>
      </c>
      <c r="T3807" t="s">
        <v>46454</v>
      </c>
      <c r="U3807" t="s">
        <v>49998</v>
      </c>
      <c r="W3807" t="s">
        <v>42396</v>
      </c>
      <c r="X3807" t="s">
        <v>44909</v>
      </c>
    </row>
    <row r="3808" spans="1:24">
      <c r="A3808">
        <f>HYPERLINK("https://www.philgeps.gov.ph/GEPSNONPILOT/Tender/SplashBidNoticeAbstractUI.aspx?menuIndex=3&amp;refID=7080372&amp;Result=3","7080372")</f>
        <v>0</v>
      </c>
      <c r="B3808" t="s">
        <v>1387</v>
      </c>
      <c r="C3808" t="s">
        <v>7169</v>
      </c>
      <c r="D3808" t="s">
        <v>18158</v>
      </c>
      <c r="E3808" t="s">
        <v>18464</v>
      </c>
      <c r="F3808" t="s">
        <v>31362</v>
      </c>
      <c r="G3808" t="s">
        <v>31369</v>
      </c>
      <c r="H3808" t="s">
        <v>15799</v>
      </c>
      <c r="I3808" t="s">
        <v>31411</v>
      </c>
      <c r="J3808" t="s">
        <v>34044</v>
      </c>
      <c r="K3808" t="s">
        <v>40666</v>
      </c>
      <c r="M3808" t="s">
        <v>42411</v>
      </c>
      <c r="N3808" t="s">
        <v>44905</v>
      </c>
      <c r="O3808" t="s">
        <v>44906</v>
      </c>
      <c r="P3808">
        <v>0</v>
      </c>
      <c r="Q3808">
        <v>1</v>
      </c>
      <c r="R3808" t="s">
        <v>44908</v>
      </c>
      <c r="S3808" t="s">
        <v>45042</v>
      </c>
      <c r="T3808" t="s">
        <v>46429</v>
      </c>
      <c r="U3808" t="s">
        <v>50047</v>
      </c>
      <c r="V3808" t="s">
        <v>59439</v>
      </c>
      <c r="W3808" t="s">
        <v>42411</v>
      </c>
      <c r="X3808" t="s">
        <v>44909</v>
      </c>
    </row>
    <row r="3809" spans="1:24">
      <c r="A3809">
        <f>HYPERLINK("https://www.philgeps.gov.ph/GEPSNONPILOT/Tender/SplashBidNoticeAbstractUI.aspx?menuIndex=3&amp;refID=7080382&amp;Result=3","7080382")</f>
        <v>0</v>
      </c>
      <c r="B3809" t="s">
        <v>1347</v>
      </c>
      <c r="C3809" t="s">
        <v>7170</v>
      </c>
      <c r="D3809" t="s">
        <v>18117</v>
      </c>
      <c r="E3809" t="s">
        <v>21610</v>
      </c>
      <c r="F3809" t="s">
        <v>31362</v>
      </c>
      <c r="G3809" t="s">
        <v>31369</v>
      </c>
      <c r="H3809" t="s">
        <v>15799</v>
      </c>
      <c r="I3809" t="s">
        <v>3815</v>
      </c>
      <c r="J3809" t="s">
        <v>34045</v>
      </c>
      <c r="K3809" t="s">
        <v>40665</v>
      </c>
      <c r="M3809" t="s">
        <v>42412</v>
      </c>
      <c r="N3809" t="s">
        <v>44905</v>
      </c>
      <c r="O3809" t="s">
        <v>44906</v>
      </c>
      <c r="P3809">
        <v>0</v>
      </c>
      <c r="Q3809">
        <v>0</v>
      </c>
      <c r="R3809" t="s">
        <v>44908</v>
      </c>
      <c r="S3809" t="s">
        <v>45042</v>
      </c>
      <c r="T3809" t="s">
        <v>46415</v>
      </c>
      <c r="U3809" t="s">
        <v>50048</v>
      </c>
      <c r="W3809" t="s">
        <v>42367</v>
      </c>
      <c r="X3809" t="s">
        <v>44909</v>
      </c>
    </row>
    <row r="3810" spans="1:24">
      <c r="A3810">
        <f>HYPERLINK("https://www.philgeps.gov.ph/GEPSNONPILOT/Tender/SplashBidNoticeAbstractUI.aspx?menuIndex=3&amp;refID=7080401&amp;Result=3","7080401")</f>
        <v>0</v>
      </c>
      <c r="B3810" t="s">
        <v>1231</v>
      </c>
      <c r="C3810" t="s">
        <v>7171</v>
      </c>
      <c r="D3810" t="s">
        <v>18143</v>
      </c>
      <c r="E3810" t="s">
        <v>21611</v>
      </c>
      <c r="F3810" t="s">
        <v>31362</v>
      </c>
      <c r="G3810" t="s">
        <v>31370</v>
      </c>
      <c r="H3810" t="s">
        <v>15799</v>
      </c>
      <c r="I3810" t="s">
        <v>31415</v>
      </c>
      <c r="J3810" t="s">
        <v>34046</v>
      </c>
      <c r="K3810" t="s">
        <v>40666</v>
      </c>
      <c r="M3810" t="s">
        <v>42245</v>
      </c>
      <c r="N3810" t="s">
        <v>44905</v>
      </c>
      <c r="O3810" t="s">
        <v>44906</v>
      </c>
      <c r="P3810">
        <v>0</v>
      </c>
      <c r="Q3810">
        <v>0</v>
      </c>
      <c r="R3810" t="s">
        <v>44908</v>
      </c>
      <c r="S3810" t="s">
        <v>45042</v>
      </c>
      <c r="T3810" t="s">
        <v>46575</v>
      </c>
      <c r="U3810" t="s">
        <v>50049</v>
      </c>
      <c r="W3810" t="s">
        <v>42245</v>
      </c>
      <c r="X3810" t="s">
        <v>44909</v>
      </c>
    </row>
    <row r="3811" spans="1:24">
      <c r="A3811">
        <f>HYPERLINK("https://www.philgeps.gov.ph/GEPSNONPILOT/Tender/SplashBidNoticeAbstractUI.aspx?menuIndex=3&amp;refID=7080367&amp;Result=3","7080367")</f>
        <v>0</v>
      </c>
      <c r="B3811" t="s">
        <v>1373</v>
      </c>
      <c r="C3811" t="s">
        <v>7172</v>
      </c>
      <c r="D3811" t="s">
        <v>18109</v>
      </c>
      <c r="E3811" t="s">
        <v>21612</v>
      </c>
      <c r="F3811" t="s">
        <v>31362</v>
      </c>
      <c r="G3811" t="s">
        <v>31370</v>
      </c>
      <c r="H3811" t="s">
        <v>15799</v>
      </c>
      <c r="I3811" t="s">
        <v>31398</v>
      </c>
      <c r="J3811" t="s">
        <v>31536</v>
      </c>
      <c r="K3811" t="s">
        <v>40665</v>
      </c>
      <c r="M3811" t="s">
        <v>42396</v>
      </c>
      <c r="N3811" t="s">
        <v>44905</v>
      </c>
      <c r="O3811" t="s">
        <v>44906</v>
      </c>
      <c r="P3811">
        <v>0</v>
      </c>
      <c r="Q3811">
        <v>5</v>
      </c>
      <c r="R3811" t="s">
        <v>44908</v>
      </c>
      <c r="S3811" t="s">
        <v>45042</v>
      </c>
      <c r="T3811" t="s">
        <v>46454</v>
      </c>
      <c r="U3811" t="s">
        <v>49998</v>
      </c>
      <c r="W3811" t="s">
        <v>42396</v>
      </c>
      <c r="X3811" t="s">
        <v>44909</v>
      </c>
    </row>
    <row r="3812" spans="1:24">
      <c r="A3812">
        <f>HYPERLINK("https://www.philgeps.gov.ph/GEPSNONPILOT/Tender/SplashBidNoticeAbstractUI.aspx?menuIndex=3&amp;refID=7080398&amp;Result=3","7080398")</f>
        <v>0</v>
      </c>
      <c r="B3812" t="s">
        <v>1388</v>
      </c>
      <c r="C3812" t="s">
        <v>7173</v>
      </c>
      <c r="E3812" t="s">
        <v>21613</v>
      </c>
      <c r="F3812" t="s">
        <v>31362</v>
      </c>
      <c r="G3812" t="s">
        <v>31368</v>
      </c>
      <c r="H3812" t="s">
        <v>15799</v>
      </c>
      <c r="I3812" t="s">
        <v>31397</v>
      </c>
      <c r="J3812" t="s">
        <v>31536</v>
      </c>
      <c r="K3812" t="s">
        <v>40662</v>
      </c>
      <c r="M3812" t="s">
        <v>42413</v>
      </c>
      <c r="N3812" t="s">
        <v>44905</v>
      </c>
      <c r="O3812" t="s">
        <v>44906</v>
      </c>
      <c r="P3812">
        <v>0</v>
      </c>
      <c r="Q3812">
        <v>0</v>
      </c>
      <c r="R3812" t="s">
        <v>44908</v>
      </c>
      <c r="S3812" t="s">
        <v>45042</v>
      </c>
      <c r="T3812" t="s">
        <v>46414</v>
      </c>
      <c r="U3812" t="s">
        <v>50050</v>
      </c>
      <c r="W3812" t="s">
        <v>42413</v>
      </c>
      <c r="X3812" t="s">
        <v>44909</v>
      </c>
    </row>
    <row r="3813" spans="1:24">
      <c r="A3813">
        <f>HYPERLINK("https://www.philgeps.gov.ph/GEPSNONPILOT/Tender/SplashBidNoticeAbstractUI.aspx?menuIndex=3&amp;refID=7080397&amp;Result=3","7080397")</f>
        <v>0</v>
      </c>
      <c r="B3813" t="s">
        <v>708</v>
      </c>
      <c r="C3813" t="s">
        <v>7174</v>
      </c>
      <c r="D3813" t="s">
        <v>18124</v>
      </c>
      <c r="E3813" t="s">
        <v>21614</v>
      </c>
      <c r="F3813" t="s">
        <v>31362</v>
      </c>
      <c r="G3813" t="s">
        <v>31368</v>
      </c>
      <c r="H3813" t="s">
        <v>15799</v>
      </c>
      <c r="I3813" t="s">
        <v>7188</v>
      </c>
      <c r="J3813" t="s">
        <v>34047</v>
      </c>
      <c r="K3813" t="s">
        <v>40661</v>
      </c>
      <c r="M3813" t="s">
        <v>41673</v>
      </c>
      <c r="N3813" t="s">
        <v>44905</v>
      </c>
      <c r="O3813" t="s">
        <v>44906</v>
      </c>
      <c r="P3813">
        <v>0</v>
      </c>
      <c r="Q3813">
        <v>1</v>
      </c>
      <c r="R3813" t="s">
        <v>44908</v>
      </c>
      <c r="S3813" t="s">
        <v>45042</v>
      </c>
      <c r="T3813" t="s">
        <v>46525</v>
      </c>
      <c r="U3813" t="s">
        <v>50051</v>
      </c>
      <c r="W3813" t="s">
        <v>41673</v>
      </c>
      <c r="X3813" t="s">
        <v>44909</v>
      </c>
    </row>
    <row r="3814" spans="1:24">
      <c r="A3814">
        <f>HYPERLINK("https://www.philgeps.gov.ph/GEPSNONPILOT/Tender/SplashBidNoticeAbstractUI.aspx?menuIndex=3&amp;refID=7080396&amp;Result=3","7080396")</f>
        <v>0</v>
      </c>
      <c r="B3814" t="s">
        <v>1033</v>
      </c>
      <c r="C3814" t="s">
        <v>7175</v>
      </c>
      <c r="D3814" t="s">
        <v>18162</v>
      </c>
      <c r="E3814" t="s">
        <v>21615</v>
      </c>
      <c r="F3814" t="s">
        <v>31362</v>
      </c>
      <c r="G3814" t="s">
        <v>31369</v>
      </c>
      <c r="H3814" t="s">
        <v>15799</v>
      </c>
      <c r="I3814" t="s">
        <v>31385</v>
      </c>
      <c r="J3814" t="s">
        <v>31768</v>
      </c>
      <c r="K3814" t="s">
        <v>40670</v>
      </c>
      <c r="M3814" t="s">
        <v>42032</v>
      </c>
      <c r="N3814" t="s">
        <v>44905</v>
      </c>
      <c r="O3814" t="s">
        <v>44906</v>
      </c>
      <c r="P3814">
        <v>0</v>
      </c>
      <c r="Q3814">
        <v>0</v>
      </c>
      <c r="R3814" t="s">
        <v>44908</v>
      </c>
      <c r="S3814" t="s">
        <v>45042</v>
      </c>
      <c r="T3814" t="s">
        <v>46430</v>
      </c>
      <c r="U3814" t="s">
        <v>50052</v>
      </c>
      <c r="W3814" t="s">
        <v>42032</v>
      </c>
      <c r="X3814" t="s">
        <v>44909</v>
      </c>
    </row>
    <row r="3815" spans="1:24">
      <c r="A3815">
        <f>HYPERLINK("https://www.philgeps.gov.ph/GEPSNONPILOT/Tender/SplashBidNoticeAbstractUI.aspx?menuIndex=3&amp;refID=7080395&amp;Result=3","7080395")</f>
        <v>0</v>
      </c>
      <c r="B3815" t="s">
        <v>1389</v>
      </c>
      <c r="C3815" t="s">
        <v>7176</v>
      </c>
      <c r="D3815" t="s">
        <v>18127</v>
      </c>
      <c r="E3815" t="s">
        <v>21616</v>
      </c>
      <c r="F3815" t="s">
        <v>31362</v>
      </c>
      <c r="G3815" t="s">
        <v>31369</v>
      </c>
      <c r="H3815" t="s">
        <v>31378</v>
      </c>
      <c r="I3815" t="s">
        <v>31386</v>
      </c>
      <c r="J3815" t="s">
        <v>34048</v>
      </c>
      <c r="K3815" t="s">
        <v>40662</v>
      </c>
      <c r="M3815" t="s">
        <v>42414</v>
      </c>
      <c r="N3815" t="s">
        <v>44905</v>
      </c>
      <c r="O3815" t="s">
        <v>44906</v>
      </c>
      <c r="P3815">
        <v>0</v>
      </c>
      <c r="Q3815">
        <v>0</v>
      </c>
      <c r="R3815" t="s">
        <v>44908</v>
      </c>
      <c r="S3815" t="s">
        <v>45042</v>
      </c>
      <c r="T3815" t="s">
        <v>46398</v>
      </c>
      <c r="U3815" t="s">
        <v>50053</v>
      </c>
      <c r="W3815" t="s">
        <v>42414</v>
      </c>
      <c r="X3815" t="s">
        <v>44909</v>
      </c>
    </row>
    <row r="3816" spans="1:24">
      <c r="A3816">
        <f>HYPERLINK("https://www.philgeps.gov.ph/GEPSNONPILOT/Tender/SplashBidNoticeAbstractUI.aspx?menuIndex=3&amp;refID=7080394&amp;Result=3","7080394")</f>
        <v>0</v>
      </c>
      <c r="B3816" t="s">
        <v>1264</v>
      </c>
      <c r="C3816" t="s">
        <v>7177</v>
      </c>
      <c r="D3816" t="s">
        <v>18108</v>
      </c>
      <c r="E3816" t="s">
        <v>20783</v>
      </c>
      <c r="F3816" t="s">
        <v>31362</v>
      </c>
      <c r="G3816" t="s">
        <v>31368</v>
      </c>
      <c r="H3816" t="s">
        <v>15799</v>
      </c>
      <c r="I3816" t="s">
        <v>4283</v>
      </c>
      <c r="J3816" t="s">
        <v>34049</v>
      </c>
      <c r="K3816" t="s">
        <v>40665</v>
      </c>
      <c r="M3816" t="s">
        <v>42281</v>
      </c>
      <c r="N3816" t="s">
        <v>44905</v>
      </c>
      <c r="O3816" t="s">
        <v>44906</v>
      </c>
      <c r="P3816">
        <v>0</v>
      </c>
      <c r="Q3816">
        <v>4</v>
      </c>
      <c r="R3816" t="s">
        <v>44908</v>
      </c>
      <c r="S3816" t="s">
        <v>45042</v>
      </c>
      <c r="T3816" t="s">
        <v>46454</v>
      </c>
      <c r="U3816" t="s">
        <v>50054</v>
      </c>
      <c r="W3816" t="s">
        <v>42281</v>
      </c>
      <c r="X3816" t="s">
        <v>44909</v>
      </c>
    </row>
    <row r="3817" spans="1:24">
      <c r="A3817">
        <f>HYPERLINK("https://www.philgeps.gov.ph/GEPSNONPILOT/Tender/SplashBidNoticeAbstractUI.aspx?menuIndex=3&amp;refID=7080393&amp;Result=3","7080393")</f>
        <v>0</v>
      </c>
      <c r="B3817" t="s">
        <v>1390</v>
      </c>
      <c r="C3817" t="s">
        <v>7178</v>
      </c>
      <c r="D3817" t="s">
        <v>18174</v>
      </c>
      <c r="E3817" t="s">
        <v>21617</v>
      </c>
      <c r="F3817" t="s">
        <v>31362</v>
      </c>
      <c r="G3817" t="s">
        <v>31369</v>
      </c>
      <c r="H3817" t="s">
        <v>15799</v>
      </c>
      <c r="I3817" t="s">
        <v>3815</v>
      </c>
      <c r="J3817" t="s">
        <v>34050</v>
      </c>
      <c r="K3817" t="s">
        <v>40665</v>
      </c>
      <c r="M3817" t="s">
        <v>42415</v>
      </c>
      <c r="N3817" t="s">
        <v>44905</v>
      </c>
      <c r="O3817" t="s">
        <v>44906</v>
      </c>
      <c r="P3817">
        <v>0</v>
      </c>
      <c r="Q3817">
        <v>0</v>
      </c>
      <c r="R3817" t="s">
        <v>44908</v>
      </c>
      <c r="S3817" t="s">
        <v>45042</v>
      </c>
      <c r="T3817" t="s">
        <v>46420</v>
      </c>
      <c r="U3817" t="s">
        <v>50055</v>
      </c>
      <c r="W3817" t="s">
        <v>42415</v>
      </c>
      <c r="X3817" t="s">
        <v>44909</v>
      </c>
    </row>
    <row r="3818" spans="1:24">
      <c r="A3818">
        <f>HYPERLINK("https://www.philgeps.gov.ph/GEPSNONPILOT/Tender/SplashBidNoticeAbstractUI.aspx?menuIndex=3&amp;refID=7080392&amp;Result=3","7080392")</f>
        <v>0</v>
      </c>
      <c r="B3818" t="s">
        <v>1391</v>
      </c>
      <c r="C3818" t="s">
        <v>7179</v>
      </c>
      <c r="D3818" t="s">
        <v>18108</v>
      </c>
      <c r="E3818" t="s">
        <v>21618</v>
      </c>
      <c r="F3818" t="s">
        <v>31362</v>
      </c>
      <c r="G3818" t="s">
        <v>31368</v>
      </c>
      <c r="H3818" t="s">
        <v>15799</v>
      </c>
      <c r="I3818" t="s">
        <v>6155</v>
      </c>
      <c r="J3818" t="s">
        <v>32922</v>
      </c>
      <c r="K3818" t="s">
        <v>40677</v>
      </c>
      <c r="M3818" t="s">
        <v>42416</v>
      </c>
      <c r="N3818" t="s">
        <v>44905</v>
      </c>
      <c r="O3818" t="s">
        <v>44906</v>
      </c>
      <c r="P3818">
        <v>0</v>
      </c>
      <c r="Q3818">
        <v>19</v>
      </c>
      <c r="R3818" t="s">
        <v>44908</v>
      </c>
      <c r="S3818" t="s">
        <v>45042</v>
      </c>
      <c r="T3818" t="s">
        <v>46454</v>
      </c>
      <c r="U3818" t="s">
        <v>50056</v>
      </c>
      <c r="V3818" t="s">
        <v>59440</v>
      </c>
      <c r="W3818" t="s">
        <v>42416</v>
      </c>
      <c r="X3818" t="s">
        <v>44909</v>
      </c>
    </row>
    <row r="3819" spans="1:24">
      <c r="A3819">
        <f>HYPERLINK("https://www.philgeps.gov.ph/GEPSNONPILOT/Tender/SplashBidNoticeAbstractUI.aspx?menuIndex=3&amp;refID=7080402&amp;Result=3","7080402")</f>
        <v>0</v>
      </c>
      <c r="B3819" t="s">
        <v>888</v>
      </c>
      <c r="C3819" t="s">
        <v>7180</v>
      </c>
      <c r="D3819" t="s">
        <v>18108</v>
      </c>
      <c r="E3819" t="s">
        <v>21619</v>
      </c>
      <c r="F3819" t="s">
        <v>31362</v>
      </c>
      <c r="G3819" t="s">
        <v>31368</v>
      </c>
      <c r="H3819" t="s">
        <v>15799</v>
      </c>
      <c r="I3819" t="s">
        <v>31393</v>
      </c>
      <c r="J3819" t="s">
        <v>31531</v>
      </c>
      <c r="K3819" t="s">
        <v>40661</v>
      </c>
      <c r="M3819" t="s">
        <v>41866</v>
      </c>
      <c r="N3819" t="s">
        <v>44905</v>
      </c>
      <c r="O3819" t="s">
        <v>44906</v>
      </c>
      <c r="P3819">
        <v>0</v>
      </c>
      <c r="Q3819">
        <v>7</v>
      </c>
      <c r="R3819" t="s">
        <v>44908</v>
      </c>
      <c r="S3819" t="s">
        <v>45042</v>
      </c>
      <c r="T3819" t="s">
        <v>46412</v>
      </c>
      <c r="U3819" t="s">
        <v>48778</v>
      </c>
      <c r="W3819" t="s">
        <v>41866</v>
      </c>
      <c r="X3819" t="s">
        <v>44909</v>
      </c>
    </row>
    <row r="3820" spans="1:24">
      <c r="A3820">
        <f>HYPERLINK("https://www.philgeps.gov.ph/GEPSNONPILOT/Tender/SplashBidNoticeAbstractUI.aspx?menuIndex=3&amp;refID=7080391&amp;Result=3","7080391")</f>
        <v>0</v>
      </c>
      <c r="B3820" t="s">
        <v>751</v>
      </c>
      <c r="C3820" t="s">
        <v>4048</v>
      </c>
      <c r="D3820" t="s">
        <v>18122</v>
      </c>
      <c r="E3820" t="s">
        <v>21620</v>
      </c>
      <c r="F3820" t="s">
        <v>31362</v>
      </c>
      <c r="G3820" t="s">
        <v>31371</v>
      </c>
      <c r="H3820" t="s">
        <v>15799</v>
      </c>
      <c r="I3820" t="s">
        <v>31385</v>
      </c>
      <c r="J3820" t="s">
        <v>34051</v>
      </c>
      <c r="K3820" t="s">
        <v>40662</v>
      </c>
      <c r="M3820" t="s">
        <v>41719</v>
      </c>
      <c r="N3820" t="s">
        <v>44905</v>
      </c>
      <c r="O3820" t="s">
        <v>44906</v>
      </c>
      <c r="P3820">
        <v>0</v>
      </c>
      <c r="Q3820">
        <v>1</v>
      </c>
      <c r="R3820" t="s">
        <v>44908</v>
      </c>
      <c r="S3820" t="s">
        <v>45042</v>
      </c>
      <c r="T3820" t="s">
        <v>46438</v>
      </c>
      <c r="U3820" t="s">
        <v>50057</v>
      </c>
      <c r="W3820" t="s">
        <v>41719</v>
      </c>
      <c r="X3820" t="s">
        <v>44909</v>
      </c>
    </row>
    <row r="3821" spans="1:24">
      <c r="A3821">
        <f>HYPERLINK("https://www.philgeps.gov.ph/GEPSNONPILOT/Tender/SplashBidNoticeAbstractUI.aspx?menuIndex=3&amp;refID=7080390&amp;Result=3","7080390")</f>
        <v>0</v>
      </c>
      <c r="B3821" t="s">
        <v>1371</v>
      </c>
      <c r="C3821" t="s">
        <v>7181</v>
      </c>
      <c r="D3821" t="s">
        <v>18104</v>
      </c>
      <c r="E3821" t="s">
        <v>21621</v>
      </c>
      <c r="F3821" t="s">
        <v>31362</v>
      </c>
      <c r="G3821" t="s">
        <v>31368</v>
      </c>
      <c r="H3821" t="s">
        <v>15799</v>
      </c>
      <c r="I3821" t="s">
        <v>31427</v>
      </c>
      <c r="J3821" t="s">
        <v>34052</v>
      </c>
      <c r="K3821" t="s">
        <v>40666</v>
      </c>
      <c r="M3821" t="s">
        <v>42394</v>
      </c>
      <c r="N3821" t="s">
        <v>44905</v>
      </c>
      <c r="O3821" t="s">
        <v>44906</v>
      </c>
      <c r="P3821">
        <v>0</v>
      </c>
      <c r="Q3821">
        <v>0</v>
      </c>
      <c r="R3821" t="s">
        <v>44908</v>
      </c>
      <c r="S3821" t="s">
        <v>45042</v>
      </c>
      <c r="T3821" t="s">
        <v>46583</v>
      </c>
      <c r="U3821" t="s">
        <v>50058</v>
      </c>
      <c r="W3821" t="s">
        <v>42394</v>
      </c>
      <c r="X3821" t="s">
        <v>44909</v>
      </c>
    </row>
    <row r="3822" spans="1:24">
      <c r="A3822">
        <f>HYPERLINK("https://www.philgeps.gov.ph/GEPSNONPILOT/Tender/SplashBidNoticeAbstractUI.aspx?menuIndex=3&amp;refID=7080389&amp;Result=3","7080389")</f>
        <v>0</v>
      </c>
      <c r="B3822" t="s">
        <v>130</v>
      </c>
      <c r="C3822" t="s">
        <v>7182</v>
      </c>
      <c r="D3822" t="s">
        <v>18109</v>
      </c>
      <c r="E3822" t="s">
        <v>7182</v>
      </c>
      <c r="F3822" t="s">
        <v>31362</v>
      </c>
      <c r="G3822" t="s">
        <v>31368</v>
      </c>
      <c r="H3822" t="s">
        <v>15799</v>
      </c>
      <c r="I3822" t="s">
        <v>31455</v>
      </c>
      <c r="J3822" t="s">
        <v>33890</v>
      </c>
      <c r="K3822" t="s">
        <v>40662</v>
      </c>
      <c r="M3822" t="s">
        <v>41067</v>
      </c>
      <c r="N3822" t="s">
        <v>44905</v>
      </c>
      <c r="O3822" t="s">
        <v>44906</v>
      </c>
      <c r="P3822">
        <v>0</v>
      </c>
      <c r="Q3822">
        <v>1</v>
      </c>
      <c r="R3822" t="s">
        <v>44908</v>
      </c>
      <c r="S3822" t="s">
        <v>45042</v>
      </c>
      <c r="T3822" t="s">
        <v>46394</v>
      </c>
      <c r="U3822" t="s">
        <v>50059</v>
      </c>
      <c r="W3822" t="s">
        <v>41067</v>
      </c>
      <c r="X3822" t="s">
        <v>44909</v>
      </c>
    </row>
    <row r="3823" spans="1:24">
      <c r="A3823">
        <f>HYPERLINK("https://www.philgeps.gov.ph/GEPSNONPILOT/Tender/SplashBidNoticeAbstractUI.aspx?menuIndex=3&amp;refID=7080423&amp;Result=3","7080423")</f>
        <v>0</v>
      </c>
      <c r="B3823" t="s">
        <v>1373</v>
      </c>
      <c r="C3823" t="s">
        <v>7183</v>
      </c>
      <c r="D3823" t="s">
        <v>18109</v>
      </c>
      <c r="E3823" t="s">
        <v>21622</v>
      </c>
      <c r="F3823" t="s">
        <v>31362</v>
      </c>
      <c r="G3823" t="s">
        <v>31370</v>
      </c>
      <c r="H3823" t="s">
        <v>15799</v>
      </c>
      <c r="I3823" t="s">
        <v>31427</v>
      </c>
      <c r="J3823" t="s">
        <v>34053</v>
      </c>
      <c r="K3823" t="s">
        <v>40665</v>
      </c>
      <c r="M3823" t="s">
        <v>42396</v>
      </c>
      <c r="N3823" t="s">
        <v>44905</v>
      </c>
      <c r="O3823" t="s">
        <v>44906</v>
      </c>
      <c r="P3823">
        <v>0</v>
      </c>
      <c r="Q3823">
        <v>3</v>
      </c>
      <c r="R3823" t="s">
        <v>44908</v>
      </c>
      <c r="S3823" t="s">
        <v>45042</v>
      </c>
      <c r="T3823" t="s">
        <v>46454</v>
      </c>
      <c r="U3823" t="s">
        <v>49998</v>
      </c>
      <c r="W3823" t="s">
        <v>42396</v>
      </c>
      <c r="X3823" t="s">
        <v>44909</v>
      </c>
    </row>
    <row r="3824" spans="1:24">
      <c r="A3824">
        <f>HYPERLINK("https://www.philgeps.gov.ph/GEPSNONPILOT/Tender/SplashBidNoticeAbstractUI.aspx?menuIndex=3&amp;refID=7080422&amp;Result=3","7080422")</f>
        <v>0</v>
      </c>
      <c r="B3824" t="s">
        <v>1392</v>
      </c>
      <c r="C3824" t="s">
        <v>7184</v>
      </c>
      <c r="D3824" t="s">
        <v>18108</v>
      </c>
      <c r="E3824" t="s">
        <v>21623</v>
      </c>
      <c r="F3824" t="s">
        <v>31362</v>
      </c>
      <c r="G3824" t="s">
        <v>31368</v>
      </c>
      <c r="H3824" t="s">
        <v>31378</v>
      </c>
      <c r="I3824" t="s">
        <v>31449</v>
      </c>
      <c r="J3824" t="s">
        <v>34054</v>
      </c>
      <c r="K3824" t="s">
        <v>40672</v>
      </c>
      <c r="M3824" t="s">
        <v>42417</v>
      </c>
      <c r="N3824" t="s">
        <v>44905</v>
      </c>
      <c r="O3824" t="s">
        <v>44906</v>
      </c>
      <c r="P3824">
        <v>0</v>
      </c>
      <c r="Q3824">
        <v>0</v>
      </c>
      <c r="R3824" t="s">
        <v>44908</v>
      </c>
      <c r="S3824" t="s">
        <v>45042</v>
      </c>
      <c r="T3824" t="s">
        <v>46506</v>
      </c>
      <c r="U3824" t="s">
        <v>50060</v>
      </c>
      <c r="W3824" t="s">
        <v>42417</v>
      </c>
      <c r="X3824" t="s">
        <v>44909</v>
      </c>
    </row>
    <row r="3825" spans="1:24">
      <c r="A3825">
        <f>HYPERLINK("https://www.philgeps.gov.ph/GEPSNONPILOT/Tender/SplashBidNoticeAbstractUI.aspx?menuIndex=3&amp;refID=7080421&amp;Result=3","7080421")</f>
        <v>0</v>
      </c>
      <c r="B3825" t="s">
        <v>1353</v>
      </c>
      <c r="C3825" t="s">
        <v>7185</v>
      </c>
      <c r="D3825" t="s">
        <v>18103</v>
      </c>
      <c r="E3825" t="s">
        <v>21624</v>
      </c>
      <c r="F3825" t="s">
        <v>31362</v>
      </c>
      <c r="G3825" t="s">
        <v>31372</v>
      </c>
      <c r="H3825" t="s">
        <v>31378</v>
      </c>
      <c r="I3825" t="s">
        <v>31386</v>
      </c>
      <c r="J3825" t="s">
        <v>34055</v>
      </c>
      <c r="K3825" t="s">
        <v>40682</v>
      </c>
      <c r="M3825" t="s">
        <v>42374</v>
      </c>
      <c r="N3825" t="s">
        <v>44905</v>
      </c>
      <c r="O3825" t="s">
        <v>44906</v>
      </c>
      <c r="P3825">
        <v>0</v>
      </c>
      <c r="Q3825">
        <v>1</v>
      </c>
      <c r="R3825" t="s">
        <v>44908</v>
      </c>
      <c r="S3825" t="s">
        <v>45042</v>
      </c>
      <c r="T3825" t="s">
        <v>46663</v>
      </c>
      <c r="U3825" t="s">
        <v>50061</v>
      </c>
      <c r="W3825" t="s">
        <v>42374</v>
      </c>
      <c r="X3825" t="s">
        <v>44909</v>
      </c>
    </row>
    <row r="3826" spans="1:24">
      <c r="A3826">
        <f>HYPERLINK("https://www.philgeps.gov.ph/GEPSNONPILOT/Tender/SplashBidNoticeAbstractUI.aspx?menuIndex=3&amp;refID=7080369&amp;Result=3","7080369")</f>
        <v>0</v>
      </c>
      <c r="B3826" t="s">
        <v>1343</v>
      </c>
      <c r="C3826" t="s">
        <v>7186</v>
      </c>
      <c r="D3826" t="s">
        <v>18136</v>
      </c>
      <c r="E3826" t="s">
        <v>21625</v>
      </c>
      <c r="F3826" t="s">
        <v>31362</v>
      </c>
      <c r="G3826" t="s">
        <v>31368</v>
      </c>
      <c r="H3826" t="s">
        <v>15799</v>
      </c>
      <c r="I3826" t="s">
        <v>31419</v>
      </c>
      <c r="J3826" t="s">
        <v>34056</v>
      </c>
      <c r="K3826" t="s">
        <v>40665</v>
      </c>
      <c r="M3826" t="s">
        <v>42362</v>
      </c>
      <c r="N3826" t="s">
        <v>44905</v>
      </c>
      <c r="O3826" t="s">
        <v>44906</v>
      </c>
      <c r="P3826">
        <v>0</v>
      </c>
      <c r="Q3826">
        <v>6</v>
      </c>
      <c r="R3826" t="s">
        <v>44908</v>
      </c>
      <c r="S3826" t="s">
        <v>45042</v>
      </c>
      <c r="T3826" t="s">
        <v>46432</v>
      </c>
      <c r="U3826" t="s">
        <v>50062</v>
      </c>
      <c r="W3826" t="s">
        <v>42362</v>
      </c>
      <c r="X3826" t="s">
        <v>44909</v>
      </c>
    </row>
    <row r="3827" spans="1:24">
      <c r="A3827">
        <f>HYPERLINK("https://www.philgeps.gov.ph/GEPSNONPILOT/Tender/SplashBidNoticeAbstractUI.aspx?menuIndex=3&amp;refID=7080420&amp;Result=3","7080420")</f>
        <v>0</v>
      </c>
      <c r="B3827" t="s">
        <v>1393</v>
      </c>
      <c r="C3827" t="s">
        <v>7187</v>
      </c>
      <c r="D3827" t="s">
        <v>18108</v>
      </c>
      <c r="E3827" t="s">
        <v>21626</v>
      </c>
      <c r="F3827" t="s">
        <v>31362</v>
      </c>
      <c r="G3827" t="s">
        <v>31370</v>
      </c>
      <c r="H3827" t="s">
        <v>15799</v>
      </c>
      <c r="I3827" t="s">
        <v>31431</v>
      </c>
      <c r="J3827" t="s">
        <v>32090</v>
      </c>
      <c r="K3827" t="s">
        <v>40661</v>
      </c>
      <c r="M3827" t="s">
        <v>42418</v>
      </c>
      <c r="N3827" t="s">
        <v>44905</v>
      </c>
      <c r="O3827" t="s">
        <v>44906</v>
      </c>
      <c r="P3827">
        <v>0</v>
      </c>
      <c r="Q3827">
        <v>8</v>
      </c>
      <c r="R3827" t="s">
        <v>44908</v>
      </c>
      <c r="S3827" t="s">
        <v>45042</v>
      </c>
      <c r="T3827" t="s">
        <v>46454</v>
      </c>
      <c r="U3827" t="s">
        <v>50063</v>
      </c>
      <c r="W3827" t="s">
        <v>42418</v>
      </c>
      <c r="X3827" t="s">
        <v>44909</v>
      </c>
    </row>
    <row r="3828" spans="1:24">
      <c r="A3828">
        <f>HYPERLINK("https://www.philgeps.gov.ph/GEPSNONPILOT/Tender/SplashBidNoticeAbstractUI.aspx?menuIndex=3&amp;refID=7080419&amp;Result=3","7080419")</f>
        <v>0</v>
      </c>
      <c r="B3828" t="s">
        <v>286</v>
      </c>
      <c r="C3828" t="s">
        <v>7188</v>
      </c>
      <c r="E3828" t="s">
        <v>21627</v>
      </c>
      <c r="F3828" t="s">
        <v>31362</v>
      </c>
      <c r="G3828" t="s">
        <v>31368</v>
      </c>
      <c r="H3828" t="s">
        <v>15799</v>
      </c>
      <c r="I3828" t="s">
        <v>7188</v>
      </c>
      <c r="J3828" t="s">
        <v>34057</v>
      </c>
      <c r="K3828" t="s">
        <v>40666</v>
      </c>
      <c r="M3828" t="s">
        <v>41229</v>
      </c>
      <c r="N3828" t="s">
        <v>44905</v>
      </c>
      <c r="O3828" t="s">
        <v>44906</v>
      </c>
      <c r="P3828">
        <v>0</v>
      </c>
      <c r="Q3828">
        <v>1</v>
      </c>
      <c r="R3828" t="s">
        <v>44908</v>
      </c>
      <c r="S3828" t="s">
        <v>45042</v>
      </c>
      <c r="T3828" t="s">
        <v>46434</v>
      </c>
      <c r="U3828" t="s">
        <v>50064</v>
      </c>
      <c r="W3828" t="s">
        <v>41229</v>
      </c>
      <c r="X3828" t="s">
        <v>44909</v>
      </c>
    </row>
    <row r="3829" spans="1:24">
      <c r="A3829">
        <f>HYPERLINK("https://www.philgeps.gov.ph/GEPSNONPILOT/Tender/SplashBidNoticeAbstractUI.aspx?menuIndex=3&amp;refID=7080417&amp;Result=3","7080417")</f>
        <v>0</v>
      </c>
      <c r="B3829" t="s">
        <v>94</v>
      </c>
      <c r="C3829" t="s">
        <v>7189</v>
      </c>
      <c r="D3829" t="s">
        <v>18116</v>
      </c>
      <c r="E3829" t="s">
        <v>21628</v>
      </c>
      <c r="F3829" t="s">
        <v>31362</v>
      </c>
      <c r="G3829" t="s">
        <v>31368</v>
      </c>
      <c r="H3829" t="s">
        <v>15799</v>
      </c>
      <c r="I3829" t="s">
        <v>13635</v>
      </c>
      <c r="J3829" t="s">
        <v>34058</v>
      </c>
      <c r="K3829" t="s">
        <v>40665</v>
      </c>
      <c r="M3829" t="s">
        <v>41031</v>
      </c>
      <c r="N3829" t="s">
        <v>44905</v>
      </c>
      <c r="O3829" t="s">
        <v>44906</v>
      </c>
      <c r="P3829">
        <v>0</v>
      </c>
      <c r="Q3829">
        <v>2</v>
      </c>
      <c r="R3829" t="s">
        <v>44908</v>
      </c>
      <c r="S3829" t="s">
        <v>45042</v>
      </c>
      <c r="T3829" t="s">
        <v>46454</v>
      </c>
      <c r="U3829" t="s">
        <v>50065</v>
      </c>
      <c r="W3829" t="s">
        <v>41031</v>
      </c>
      <c r="X3829" t="s">
        <v>44909</v>
      </c>
    </row>
    <row r="3830" spans="1:24">
      <c r="A3830">
        <f>HYPERLINK("https://www.philgeps.gov.ph/GEPSNONPILOT/Tender/SplashBidNoticeAbstractUI.aspx?menuIndex=3&amp;refID=7080414&amp;Result=3","7080414")</f>
        <v>0</v>
      </c>
      <c r="B3830" t="s">
        <v>791</v>
      </c>
      <c r="C3830" t="s">
        <v>7190</v>
      </c>
      <c r="D3830" t="s">
        <v>18108</v>
      </c>
      <c r="E3830" t="s">
        <v>21629</v>
      </c>
      <c r="F3830" t="s">
        <v>31362</v>
      </c>
      <c r="G3830" t="s">
        <v>31368</v>
      </c>
      <c r="H3830" t="s">
        <v>15799</v>
      </c>
      <c r="I3830" t="s">
        <v>7719</v>
      </c>
      <c r="J3830" t="s">
        <v>31536</v>
      </c>
      <c r="K3830" t="s">
        <v>40662</v>
      </c>
      <c r="M3830" t="s">
        <v>42138</v>
      </c>
      <c r="N3830" t="s">
        <v>44905</v>
      </c>
      <c r="O3830" t="s">
        <v>44906</v>
      </c>
      <c r="P3830">
        <v>0</v>
      </c>
      <c r="Q3830">
        <v>5</v>
      </c>
      <c r="R3830" t="s">
        <v>44908</v>
      </c>
      <c r="S3830" t="s">
        <v>45042</v>
      </c>
      <c r="T3830" t="s">
        <v>46580</v>
      </c>
      <c r="U3830" t="s">
        <v>50066</v>
      </c>
      <c r="V3830" t="s">
        <v>59435</v>
      </c>
      <c r="W3830" t="s">
        <v>42138</v>
      </c>
      <c r="X3830" t="s">
        <v>44909</v>
      </c>
    </row>
    <row r="3831" spans="1:24">
      <c r="A3831">
        <f>HYPERLINK("https://www.philgeps.gov.ph/GEPSNONPILOT/Tender/SplashBidNoticeAbstractUI.aspx?menuIndex=3&amp;refID=7080403&amp;Result=3","7080403")</f>
        <v>0</v>
      </c>
      <c r="B3831" t="s">
        <v>130</v>
      </c>
      <c r="C3831" t="s">
        <v>7191</v>
      </c>
      <c r="D3831" t="s">
        <v>18109</v>
      </c>
      <c r="E3831" t="s">
        <v>7191</v>
      </c>
      <c r="F3831" t="s">
        <v>31362</v>
      </c>
      <c r="G3831" t="s">
        <v>31372</v>
      </c>
      <c r="H3831" t="s">
        <v>15799</v>
      </c>
      <c r="I3831" t="s">
        <v>6240</v>
      </c>
      <c r="J3831" t="s">
        <v>34059</v>
      </c>
      <c r="K3831" t="s">
        <v>40662</v>
      </c>
      <c r="M3831" t="s">
        <v>41067</v>
      </c>
      <c r="N3831" t="s">
        <v>44905</v>
      </c>
      <c r="O3831" t="s">
        <v>44906</v>
      </c>
      <c r="P3831">
        <v>0</v>
      </c>
      <c r="Q3831">
        <v>1</v>
      </c>
      <c r="R3831" t="s">
        <v>44908</v>
      </c>
      <c r="S3831" t="s">
        <v>45042</v>
      </c>
      <c r="T3831" t="s">
        <v>46394</v>
      </c>
      <c r="U3831" t="s">
        <v>50067</v>
      </c>
      <c r="W3831" t="s">
        <v>41067</v>
      </c>
      <c r="X3831" t="s">
        <v>44909</v>
      </c>
    </row>
    <row r="3832" spans="1:24">
      <c r="A3832">
        <f>HYPERLINK("https://www.philgeps.gov.ph/GEPSNONPILOT/Tender/SplashBidNoticeAbstractUI.aspx?menuIndex=3&amp;refID=7080413&amp;Result=3","7080413")</f>
        <v>0</v>
      </c>
      <c r="B3832" t="s">
        <v>101</v>
      </c>
      <c r="C3832" t="s">
        <v>7192</v>
      </c>
      <c r="E3832" t="s">
        <v>18397</v>
      </c>
      <c r="F3832" t="s">
        <v>31365</v>
      </c>
      <c r="G3832" t="s">
        <v>31369</v>
      </c>
      <c r="H3832" t="s">
        <v>15799</v>
      </c>
      <c r="I3832" t="s">
        <v>3815</v>
      </c>
      <c r="J3832" t="s">
        <v>31806</v>
      </c>
      <c r="K3832" t="s">
        <v>40662</v>
      </c>
      <c r="M3832" t="s">
        <v>41038</v>
      </c>
      <c r="N3832" t="s">
        <v>44905</v>
      </c>
      <c r="O3832" t="s">
        <v>44906</v>
      </c>
      <c r="P3832">
        <v>0</v>
      </c>
      <c r="Q3832">
        <v>0</v>
      </c>
      <c r="R3832" t="s">
        <v>44908</v>
      </c>
      <c r="S3832" t="s">
        <v>45042</v>
      </c>
      <c r="T3832" t="s">
        <v>46420</v>
      </c>
      <c r="U3832" t="s">
        <v>47088</v>
      </c>
      <c r="W3832" t="s">
        <v>41038</v>
      </c>
      <c r="X3832" t="s">
        <v>44909</v>
      </c>
    </row>
    <row r="3833" spans="1:24">
      <c r="A3833">
        <f>HYPERLINK("https://www.philgeps.gov.ph/GEPSNONPILOT/Tender/SplashBidNoticeAbstractUI.aspx?menuIndex=3&amp;refID=7080424&amp;Result=3","7080424")</f>
        <v>0</v>
      </c>
      <c r="B3833" t="s">
        <v>1369</v>
      </c>
      <c r="C3833" t="s">
        <v>7193</v>
      </c>
      <c r="D3833" t="s">
        <v>18131</v>
      </c>
      <c r="E3833" t="s">
        <v>21630</v>
      </c>
      <c r="F3833" t="s">
        <v>31362</v>
      </c>
      <c r="G3833" t="s">
        <v>31369</v>
      </c>
      <c r="H3833" t="s">
        <v>31378</v>
      </c>
      <c r="I3833" t="s">
        <v>31386</v>
      </c>
      <c r="J3833" t="s">
        <v>32739</v>
      </c>
      <c r="K3833" t="s">
        <v>40662</v>
      </c>
      <c r="M3833" t="s">
        <v>42391</v>
      </c>
      <c r="N3833" t="s">
        <v>44905</v>
      </c>
      <c r="O3833" t="s">
        <v>44906</v>
      </c>
      <c r="P3833">
        <v>0</v>
      </c>
      <c r="Q3833">
        <v>1</v>
      </c>
      <c r="R3833" t="s">
        <v>44908</v>
      </c>
      <c r="S3833" t="s">
        <v>45042</v>
      </c>
      <c r="T3833" t="s">
        <v>46404</v>
      </c>
      <c r="U3833" t="s">
        <v>50068</v>
      </c>
      <c r="V3833" t="s">
        <v>59431</v>
      </c>
      <c r="W3833" t="s">
        <v>42391</v>
      </c>
      <c r="X3833" t="s">
        <v>44909</v>
      </c>
    </row>
    <row r="3834" spans="1:24">
      <c r="A3834">
        <f>HYPERLINK("https://www.philgeps.gov.ph/GEPSNONPILOT/Tender/SplashBidNoticeAbstractUI.aspx?menuIndex=3&amp;refID=7080418&amp;Result=3","7080418")</f>
        <v>0</v>
      </c>
      <c r="B3834" t="s">
        <v>1033</v>
      </c>
      <c r="C3834" t="s">
        <v>7194</v>
      </c>
      <c r="D3834" t="s">
        <v>18162</v>
      </c>
      <c r="E3834" t="s">
        <v>21631</v>
      </c>
      <c r="F3834" t="s">
        <v>31362</v>
      </c>
      <c r="G3834" t="s">
        <v>31369</v>
      </c>
      <c r="H3834" t="s">
        <v>15799</v>
      </c>
      <c r="I3834" t="s">
        <v>31385</v>
      </c>
      <c r="J3834" t="s">
        <v>34060</v>
      </c>
      <c r="K3834" t="s">
        <v>40670</v>
      </c>
      <c r="M3834" t="s">
        <v>42032</v>
      </c>
      <c r="N3834" t="s">
        <v>44905</v>
      </c>
      <c r="O3834" t="s">
        <v>44906</v>
      </c>
      <c r="P3834">
        <v>0</v>
      </c>
      <c r="Q3834">
        <v>0</v>
      </c>
      <c r="R3834" t="s">
        <v>44908</v>
      </c>
      <c r="S3834" t="s">
        <v>45042</v>
      </c>
      <c r="T3834" t="s">
        <v>46430</v>
      </c>
      <c r="U3834" t="s">
        <v>50069</v>
      </c>
      <c r="W3834" t="s">
        <v>42032</v>
      </c>
      <c r="X3834" t="s">
        <v>44909</v>
      </c>
    </row>
    <row r="3835" spans="1:24">
      <c r="A3835">
        <f>HYPERLINK("https://www.philgeps.gov.ph/GEPSNONPILOT/Tender/SplashBidNoticeAbstractUI.aspx?menuIndex=3&amp;refID=7080443&amp;Result=3","7080443")</f>
        <v>0</v>
      </c>
      <c r="B3835" t="s">
        <v>1394</v>
      </c>
      <c r="C3835" t="s">
        <v>7195</v>
      </c>
      <c r="D3835" t="s">
        <v>18134</v>
      </c>
      <c r="E3835" t="s">
        <v>18394</v>
      </c>
      <c r="F3835" t="s">
        <v>31362</v>
      </c>
      <c r="G3835" t="s">
        <v>31369</v>
      </c>
      <c r="H3835" t="s">
        <v>31378</v>
      </c>
      <c r="I3835" t="s">
        <v>31386</v>
      </c>
      <c r="J3835" t="s">
        <v>32553</v>
      </c>
      <c r="K3835" t="s">
        <v>40681</v>
      </c>
      <c r="M3835" t="s">
        <v>42419</v>
      </c>
      <c r="N3835" t="s">
        <v>44905</v>
      </c>
      <c r="O3835" t="s">
        <v>44906</v>
      </c>
      <c r="P3835">
        <v>0</v>
      </c>
      <c r="Q3835">
        <v>0</v>
      </c>
      <c r="R3835" t="s">
        <v>44908</v>
      </c>
      <c r="S3835" t="s">
        <v>45042</v>
      </c>
      <c r="T3835" t="s">
        <v>46404</v>
      </c>
      <c r="U3835" t="s">
        <v>50070</v>
      </c>
      <c r="W3835" t="s">
        <v>42419</v>
      </c>
      <c r="X3835" t="s">
        <v>44909</v>
      </c>
    </row>
    <row r="3836" spans="1:24">
      <c r="A3836">
        <f>HYPERLINK("https://www.philgeps.gov.ph/GEPSNONPILOT/Tender/SplashBidNoticeAbstractUI.aspx?menuIndex=3&amp;refID=7080416&amp;Result=3","7080416")</f>
        <v>0</v>
      </c>
      <c r="B3836" t="s">
        <v>1395</v>
      </c>
      <c r="C3836" t="s">
        <v>7196</v>
      </c>
      <c r="D3836" t="s">
        <v>18116</v>
      </c>
      <c r="E3836" t="s">
        <v>21632</v>
      </c>
      <c r="F3836" t="s">
        <v>31362</v>
      </c>
      <c r="G3836" t="s">
        <v>31368</v>
      </c>
      <c r="H3836" t="s">
        <v>15799</v>
      </c>
      <c r="I3836" t="s">
        <v>31402</v>
      </c>
      <c r="J3836" t="s">
        <v>32327</v>
      </c>
      <c r="K3836" t="s">
        <v>40670</v>
      </c>
      <c r="M3836" t="s">
        <v>42420</v>
      </c>
      <c r="N3836" t="s">
        <v>44905</v>
      </c>
      <c r="O3836" t="s">
        <v>44906</v>
      </c>
      <c r="P3836">
        <v>0</v>
      </c>
      <c r="Q3836">
        <v>0</v>
      </c>
      <c r="R3836" t="s">
        <v>44908</v>
      </c>
      <c r="S3836" t="s">
        <v>45042</v>
      </c>
      <c r="T3836" t="s">
        <v>46409</v>
      </c>
      <c r="U3836" t="s">
        <v>50071</v>
      </c>
      <c r="W3836" t="s">
        <v>42420</v>
      </c>
      <c r="X3836" t="s">
        <v>44909</v>
      </c>
    </row>
    <row r="3837" spans="1:24">
      <c r="A3837">
        <f>HYPERLINK("https://www.philgeps.gov.ph/GEPSNONPILOT/Tender/SplashBidNoticeAbstractUI.aspx?menuIndex=3&amp;refID=7080441&amp;Result=3","7080441")</f>
        <v>0</v>
      </c>
      <c r="B3837" t="s">
        <v>1396</v>
      </c>
      <c r="C3837" t="s">
        <v>7197</v>
      </c>
      <c r="D3837" t="s">
        <v>18122</v>
      </c>
      <c r="E3837" t="s">
        <v>21633</v>
      </c>
      <c r="F3837" t="s">
        <v>31362</v>
      </c>
      <c r="G3837" t="s">
        <v>31368</v>
      </c>
      <c r="H3837" t="s">
        <v>15799</v>
      </c>
      <c r="I3837" t="s">
        <v>3815</v>
      </c>
      <c r="J3837" t="s">
        <v>34061</v>
      </c>
      <c r="K3837" t="s">
        <v>40661</v>
      </c>
      <c r="M3837" t="s">
        <v>42421</v>
      </c>
      <c r="N3837" t="s">
        <v>44905</v>
      </c>
      <c r="O3837" t="s">
        <v>44906</v>
      </c>
      <c r="P3837">
        <v>0</v>
      </c>
      <c r="Q3837">
        <v>0</v>
      </c>
      <c r="R3837" t="s">
        <v>44908</v>
      </c>
      <c r="S3837" t="s">
        <v>45042</v>
      </c>
      <c r="T3837" t="s">
        <v>46597</v>
      </c>
      <c r="U3837" t="s">
        <v>50072</v>
      </c>
      <c r="V3837" t="s">
        <v>59441</v>
      </c>
      <c r="W3837" t="s">
        <v>42421</v>
      </c>
      <c r="X3837" t="s">
        <v>44909</v>
      </c>
    </row>
    <row r="3838" spans="1:24">
      <c r="A3838">
        <f>HYPERLINK("https://www.philgeps.gov.ph/GEPSNONPILOT/Tender/SplashBidNoticeAbstractUI.aspx?menuIndex=3&amp;refID=7080440&amp;Result=3","7080440")</f>
        <v>0</v>
      </c>
      <c r="B3838" t="s">
        <v>1388</v>
      </c>
      <c r="C3838" t="s">
        <v>7198</v>
      </c>
      <c r="E3838" t="s">
        <v>21613</v>
      </c>
      <c r="F3838" t="s">
        <v>31362</v>
      </c>
      <c r="G3838" t="s">
        <v>31370</v>
      </c>
      <c r="H3838" t="s">
        <v>15799</v>
      </c>
      <c r="I3838" t="s">
        <v>31399</v>
      </c>
      <c r="J3838" t="s">
        <v>31536</v>
      </c>
      <c r="K3838" t="s">
        <v>40662</v>
      </c>
      <c r="M3838" t="s">
        <v>42413</v>
      </c>
      <c r="N3838" t="s">
        <v>44905</v>
      </c>
      <c r="O3838" t="s">
        <v>44906</v>
      </c>
      <c r="P3838">
        <v>0</v>
      </c>
      <c r="Q3838">
        <v>0</v>
      </c>
      <c r="R3838" t="s">
        <v>44908</v>
      </c>
      <c r="S3838" t="s">
        <v>45042</v>
      </c>
      <c r="T3838" t="s">
        <v>46414</v>
      </c>
      <c r="U3838" t="s">
        <v>50073</v>
      </c>
      <c r="W3838" t="s">
        <v>42413</v>
      </c>
      <c r="X3838" t="s">
        <v>44909</v>
      </c>
    </row>
    <row r="3839" spans="1:24">
      <c r="A3839">
        <f>HYPERLINK("https://www.philgeps.gov.ph/GEPSNONPILOT/Tender/SplashBidNoticeAbstractUI.aspx?menuIndex=3&amp;refID=7080412&amp;Result=3","7080412")</f>
        <v>0</v>
      </c>
      <c r="B3839" t="s">
        <v>814</v>
      </c>
      <c r="C3839" t="s">
        <v>7199</v>
      </c>
      <c r="D3839" t="s">
        <v>18138</v>
      </c>
      <c r="E3839" t="s">
        <v>21634</v>
      </c>
      <c r="F3839" t="s">
        <v>31362</v>
      </c>
      <c r="G3839" t="s">
        <v>31368</v>
      </c>
      <c r="H3839" t="s">
        <v>15799</v>
      </c>
      <c r="I3839" t="s">
        <v>31393</v>
      </c>
      <c r="J3839" t="s">
        <v>31545</v>
      </c>
      <c r="K3839" t="s">
        <v>40682</v>
      </c>
      <c r="M3839" t="s">
        <v>41787</v>
      </c>
      <c r="N3839" t="s">
        <v>44905</v>
      </c>
      <c r="O3839" t="s">
        <v>44906</v>
      </c>
      <c r="P3839">
        <v>0</v>
      </c>
      <c r="Q3839">
        <v>4</v>
      </c>
      <c r="R3839" t="s">
        <v>44908</v>
      </c>
      <c r="S3839" t="s">
        <v>45042</v>
      </c>
      <c r="T3839" t="s">
        <v>46454</v>
      </c>
      <c r="U3839" t="s">
        <v>50074</v>
      </c>
      <c r="V3839" t="s">
        <v>59442</v>
      </c>
      <c r="W3839" t="s">
        <v>41787</v>
      </c>
      <c r="X3839" t="s">
        <v>44909</v>
      </c>
    </row>
    <row r="3840" spans="1:24">
      <c r="A3840">
        <f>HYPERLINK("https://www.philgeps.gov.ph/GEPSNONPILOT/Tender/SplashBidNoticeAbstractUI.aspx?menuIndex=3&amp;refID=7080438&amp;Result=3","7080438")</f>
        <v>0</v>
      </c>
      <c r="B3840" t="s">
        <v>795</v>
      </c>
      <c r="C3840" t="s">
        <v>7200</v>
      </c>
      <c r="D3840" t="s">
        <v>18138</v>
      </c>
      <c r="E3840" t="s">
        <v>21635</v>
      </c>
      <c r="F3840" t="s">
        <v>31362</v>
      </c>
      <c r="G3840" t="s">
        <v>31368</v>
      </c>
      <c r="H3840" t="s">
        <v>31378</v>
      </c>
      <c r="I3840" t="s">
        <v>31386</v>
      </c>
      <c r="J3840" t="s">
        <v>34062</v>
      </c>
      <c r="K3840" t="s">
        <v>40687</v>
      </c>
      <c r="M3840" t="s">
        <v>41765</v>
      </c>
      <c r="N3840" t="s">
        <v>44905</v>
      </c>
      <c r="O3840" t="s">
        <v>44906</v>
      </c>
      <c r="P3840">
        <v>0</v>
      </c>
      <c r="Q3840">
        <v>0</v>
      </c>
      <c r="R3840" t="s">
        <v>44908</v>
      </c>
      <c r="S3840" t="s">
        <v>45042</v>
      </c>
      <c r="T3840" t="s">
        <v>46438</v>
      </c>
      <c r="U3840" t="s">
        <v>50075</v>
      </c>
      <c r="W3840" t="s">
        <v>41765</v>
      </c>
      <c r="X3840" t="s">
        <v>44909</v>
      </c>
    </row>
    <row r="3841" spans="1:24">
      <c r="A3841">
        <f>HYPERLINK("https://www.philgeps.gov.ph/GEPSNONPILOT/Tender/SplashBidNoticeAbstractUI.aspx?menuIndex=3&amp;refID=7080400&amp;Result=3","7080400")</f>
        <v>0</v>
      </c>
      <c r="B3841" t="s">
        <v>1051</v>
      </c>
      <c r="C3841" t="s">
        <v>7201</v>
      </c>
      <c r="D3841" t="s">
        <v>18116</v>
      </c>
      <c r="E3841" t="s">
        <v>21636</v>
      </c>
      <c r="F3841" t="s">
        <v>31362</v>
      </c>
      <c r="G3841" t="s">
        <v>31368</v>
      </c>
      <c r="H3841" t="s">
        <v>15799</v>
      </c>
      <c r="I3841" t="s">
        <v>7719</v>
      </c>
      <c r="J3841" t="s">
        <v>31897</v>
      </c>
      <c r="K3841" t="s">
        <v>40662</v>
      </c>
      <c r="M3841" t="s">
        <v>42052</v>
      </c>
      <c r="N3841" t="s">
        <v>44905</v>
      </c>
      <c r="O3841" t="s">
        <v>44906</v>
      </c>
      <c r="P3841">
        <v>0</v>
      </c>
      <c r="Q3841">
        <v>9</v>
      </c>
      <c r="R3841" t="s">
        <v>44908</v>
      </c>
      <c r="S3841" t="s">
        <v>45042</v>
      </c>
      <c r="T3841" t="s">
        <v>46498</v>
      </c>
      <c r="U3841" t="s">
        <v>50076</v>
      </c>
      <c r="W3841" t="s">
        <v>42052</v>
      </c>
      <c r="X3841" t="s">
        <v>44909</v>
      </c>
    </row>
    <row r="3842" spans="1:24">
      <c r="A3842">
        <f>HYPERLINK("https://www.philgeps.gov.ph/GEPSNONPILOT/Tender/SplashBidNoticeAbstractUI.aspx?menuIndex=3&amp;refID=7080364&amp;Result=3","7080364")</f>
        <v>0</v>
      </c>
      <c r="B3842" t="s">
        <v>1397</v>
      </c>
      <c r="C3842" t="s">
        <v>7202</v>
      </c>
      <c r="D3842" t="s">
        <v>18100</v>
      </c>
      <c r="E3842" t="s">
        <v>21637</v>
      </c>
      <c r="F3842" t="s">
        <v>31362</v>
      </c>
      <c r="G3842" t="s">
        <v>31368</v>
      </c>
      <c r="H3842" t="s">
        <v>15799</v>
      </c>
      <c r="I3842" t="s">
        <v>4283</v>
      </c>
      <c r="J3842" t="s">
        <v>32758</v>
      </c>
      <c r="K3842" t="s">
        <v>40679</v>
      </c>
      <c r="M3842" t="s">
        <v>42422</v>
      </c>
      <c r="N3842" t="s">
        <v>44905</v>
      </c>
      <c r="O3842" t="s">
        <v>44906</v>
      </c>
      <c r="P3842">
        <v>0</v>
      </c>
      <c r="Q3842">
        <v>2</v>
      </c>
      <c r="R3842" t="s">
        <v>44908</v>
      </c>
      <c r="S3842" t="s">
        <v>45042</v>
      </c>
      <c r="T3842" t="s">
        <v>46414</v>
      </c>
      <c r="U3842" t="s">
        <v>50077</v>
      </c>
      <c r="V3842" t="s">
        <v>59443</v>
      </c>
      <c r="W3842" t="s">
        <v>42422</v>
      </c>
      <c r="X3842" t="s">
        <v>44909</v>
      </c>
    </row>
    <row r="3843" spans="1:24">
      <c r="A3843">
        <f>HYPERLINK("https://www.philgeps.gov.ph/GEPSNONPILOT/Tender/SplashBidNoticeAbstractUI.aspx?menuIndex=3&amp;refID=7080435&amp;Result=3","7080435")</f>
        <v>0</v>
      </c>
      <c r="B3843" t="s">
        <v>1372</v>
      </c>
      <c r="C3843" t="s">
        <v>7203</v>
      </c>
      <c r="D3843" t="s">
        <v>18103</v>
      </c>
      <c r="E3843" t="s">
        <v>21638</v>
      </c>
      <c r="F3843" t="s">
        <v>31362</v>
      </c>
      <c r="G3843" t="s">
        <v>31368</v>
      </c>
      <c r="H3843" t="s">
        <v>15799</v>
      </c>
      <c r="I3843" t="s">
        <v>31427</v>
      </c>
      <c r="J3843" t="s">
        <v>34063</v>
      </c>
      <c r="K3843" t="s">
        <v>40672</v>
      </c>
      <c r="M3843" t="s">
        <v>42395</v>
      </c>
      <c r="N3843" t="s">
        <v>44905</v>
      </c>
      <c r="O3843" t="s">
        <v>44906</v>
      </c>
      <c r="P3843">
        <v>0</v>
      </c>
      <c r="Q3843">
        <v>12</v>
      </c>
      <c r="R3843" t="s">
        <v>44908</v>
      </c>
      <c r="S3843" t="s">
        <v>45042</v>
      </c>
      <c r="T3843" t="s">
        <v>46432</v>
      </c>
      <c r="U3843" t="s">
        <v>50078</v>
      </c>
      <c r="W3843" t="s">
        <v>42395</v>
      </c>
      <c r="X3843" t="s">
        <v>44909</v>
      </c>
    </row>
    <row r="3844" spans="1:24">
      <c r="A3844">
        <f>HYPERLINK("https://www.philgeps.gov.ph/GEPSNONPILOT/Tender/SplashBidNoticeAbstractUI.aspx?menuIndex=3&amp;refID=7080442&amp;Result=3","7080442")</f>
        <v>0</v>
      </c>
      <c r="B3844" t="s">
        <v>1374</v>
      </c>
      <c r="C3844" t="s">
        <v>7119</v>
      </c>
      <c r="D3844" t="s">
        <v>18178</v>
      </c>
      <c r="E3844" t="s">
        <v>21639</v>
      </c>
      <c r="F3844" t="s">
        <v>31362</v>
      </c>
      <c r="G3844" t="s">
        <v>31369</v>
      </c>
      <c r="H3844" t="s">
        <v>31378</v>
      </c>
      <c r="I3844" t="s">
        <v>31386</v>
      </c>
      <c r="J3844" t="s">
        <v>34064</v>
      </c>
      <c r="K3844" t="s">
        <v>40766</v>
      </c>
      <c r="M3844" t="s">
        <v>42397</v>
      </c>
      <c r="N3844" t="s">
        <v>44905</v>
      </c>
      <c r="O3844" t="s">
        <v>44906</v>
      </c>
      <c r="P3844">
        <v>0</v>
      </c>
      <c r="Q3844">
        <v>0</v>
      </c>
      <c r="R3844" t="s">
        <v>44908</v>
      </c>
      <c r="S3844" t="s">
        <v>45042</v>
      </c>
      <c r="T3844" t="s">
        <v>46404</v>
      </c>
      <c r="U3844" t="s">
        <v>50079</v>
      </c>
      <c r="W3844" t="s">
        <v>42397</v>
      </c>
      <c r="X3844" t="s">
        <v>44909</v>
      </c>
    </row>
    <row r="3845" spans="1:24">
      <c r="A3845">
        <f>HYPERLINK("https://www.philgeps.gov.ph/GEPSNONPILOT/Tender/SplashBidNoticeAbstractUI.aspx?menuIndex=3&amp;refID=7080434&amp;Result=3","7080434")</f>
        <v>0</v>
      </c>
      <c r="B3845" t="s">
        <v>1398</v>
      </c>
      <c r="C3845" t="s">
        <v>7204</v>
      </c>
      <c r="D3845" t="s">
        <v>18152</v>
      </c>
      <c r="E3845" t="s">
        <v>21640</v>
      </c>
      <c r="F3845" t="s">
        <v>31362</v>
      </c>
      <c r="G3845" t="s">
        <v>31369</v>
      </c>
      <c r="H3845" t="s">
        <v>31378</v>
      </c>
      <c r="I3845" t="s">
        <v>31386</v>
      </c>
      <c r="J3845" t="s">
        <v>32577</v>
      </c>
      <c r="K3845" t="s">
        <v>40682</v>
      </c>
      <c r="M3845" t="s">
        <v>42423</v>
      </c>
      <c r="N3845" t="s">
        <v>44905</v>
      </c>
      <c r="O3845" t="s">
        <v>44906</v>
      </c>
      <c r="P3845">
        <v>0</v>
      </c>
      <c r="Q3845">
        <v>1</v>
      </c>
      <c r="R3845" t="s">
        <v>44908</v>
      </c>
      <c r="S3845" t="s">
        <v>45042</v>
      </c>
      <c r="T3845" t="s">
        <v>46627</v>
      </c>
      <c r="U3845" t="s">
        <v>50080</v>
      </c>
      <c r="W3845" t="s">
        <v>42423</v>
      </c>
      <c r="X3845" t="s">
        <v>44909</v>
      </c>
    </row>
    <row r="3846" spans="1:24">
      <c r="A3846">
        <f>HYPERLINK("https://www.philgeps.gov.ph/GEPSNONPILOT/Tender/SplashBidNoticeAbstractUI.aspx?menuIndex=3&amp;refID=7080444&amp;Result=3","7080444")</f>
        <v>0</v>
      </c>
      <c r="B3846" t="s">
        <v>1371</v>
      </c>
      <c r="C3846" t="s">
        <v>7205</v>
      </c>
      <c r="D3846" t="s">
        <v>18104</v>
      </c>
      <c r="E3846" t="s">
        <v>21641</v>
      </c>
      <c r="F3846" t="s">
        <v>31362</v>
      </c>
      <c r="G3846" t="s">
        <v>31368</v>
      </c>
      <c r="H3846" t="s">
        <v>15799</v>
      </c>
      <c r="I3846" t="s">
        <v>3815</v>
      </c>
      <c r="J3846" t="s">
        <v>34065</v>
      </c>
      <c r="K3846" t="s">
        <v>40666</v>
      </c>
      <c r="M3846" t="s">
        <v>42394</v>
      </c>
      <c r="N3846" t="s">
        <v>44905</v>
      </c>
      <c r="O3846" t="s">
        <v>44906</v>
      </c>
      <c r="P3846">
        <v>0</v>
      </c>
      <c r="Q3846">
        <v>0</v>
      </c>
      <c r="R3846" t="s">
        <v>44908</v>
      </c>
      <c r="S3846" t="s">
        <v>45042</v>
      </c>
      <c r="T3846" t="s">
        <v>46664</v>
      </c>
      <c r="U3846" t="s">
        <v>50081</v>
      </c>
      <c r="W3846" t="s">
        <v>42394</v>
      </c>
      <c r="X3846" t="s">
        <v>44909</v>
      </c>
    </row>
    <row r="3847" spans="1:24">
      <c r="A3847">
        <f>HYPERLINK("https://www.philgeps.gov.ph/GEPSNONPILOT/Tender/SplashBidNoticeAbstractUI.aspx?menuIndex=3&amp;refID=7080456&amp;Result=3","7080456")</f>
        <v>0</v>
      </c>
      <c r="B3847" t="s">
        <v>1262</v>
      </c>
      <c r="C3847" t="s">
        <v>7206</v>
      </c>
      <c r="D3847" t="s">
        <v>18102</v>
      </c>
      <c r="E3847" t="s">
        <v>21642</v>
      </c>
      <c r="F3847" t="s">
        <v>31362</v>
      </c>
      <c r="G3847" t="s">
        <v>31369</v>
      </c>
      <c r="H3847" t="s">
        <v>31378</v>
      </c>
      <c r="I3847" t="s">
        <v>31386</v>
      </c>
      <c r="J3847" t="s">
        <v>31578</v>
      </c>
      <c r="K3847" t="s">
        <v>40662</v>
      </c>
      <c r="M3847" t="s">
        <v>42278</v>
      </c>
      <c r="N3847" t="s">
        <v>44905</v>
      </c>
      <c r="O3847" t="s">
        <v>44906</v>
      </c>
      <c r="P3847">
        <v>0</v>
      </c>
      <c r="Q3847">
        <v>0</v>
      </c>
      <c r="R3847" t="s">
        <v>44908</v>
      </c>
      <c r="S3847" t="s">
        <v>45042</v>
      </c>
      <c r="T3847" t="s">
        <v>46415</v>
      </c>
      <c r="U3847" t="s">
        <v>50082</v>
      </c>
      <c r="W3847" t="s">
        <v>42278</v>
      </c>
      <c r="X3847" t="s">
        <v>44909</v>
      </c>
    </row>
    <row r="3848" spans="1:24">
      <c r="A3848">
        <f>HYPERLINK("https://www.philgeps.gov.ph/GEPSNONPILOT/Tender/SplashBidNoticeAbstractUI.aspx?menuIndex=3&amp;refID=7080439&amp;Result=3","7080439")</f>
        <v>0</v>
      </c>
      <c r="B3848" t="s">
        <v>1033</v>
      </c>
      <c r="C3848" t="s">
        <v>7207</v>
      </c>
      <c r="D3848" t="s">
        <v>18162</v>
      </c>
      <c r="E3848" t="s">
        <v>21643</v>
      </c>
      <c r="F3848" t="s">
        <v>31362</v>
      </c>
      <c r="G3848" t="s">
        <v>31369</v>
      </c>
      <c r="H3848" t="s">
        <v>15799</v>
      </c>
      <c r="I3848" t="s">
        <v>31385</v>
      </c>
      <c r="J3848" t="s">
        <v>34066</v>
      </c>
      <c r="K3848" t="s">
        <v>40670</v>
      </c>
      <c r="M3848" t="s">
        <v>42032</v>
      </c>
      <c r="N3848" t="s">
        <v>44905</v>
      </c>
      <c r="O3848" t="s">
        <v>44906</v>
      </c>
      <c r="P3848">
        <v>0</v>
      </c>
      <c r="Q3848">
        <v>0</v>
      </c>
      <c r="R3848" t="s">
        <v>44908</v>
      </c>
      <c r="S3848" t="s">
        <v>45042</v>
      </c>
      <c r="T3848" t="s">
        <v>46430</v>
      </c>
      <c r="U3848" t="s">
        <v>50083</v>
      </c>
      <c r="W3848" t="s">
        <v>42032</v>
      </c>
      <c r="X3848" t="s">
        <v>44909</v>
      </c>
    </row>
    <row r="3849" spans="1:24">
      <c r="A3849">
        <f>HYPERLINK("https://www.philgeps.gov.ph/GEPSNONPILOT/Tender/SplashBidNoticeAbstractUI.aspx?menuIndex=3&amp;refID=7080437&amp;Result=3","7080437")</f>
        <v>0</v>
      </c>
      <c r="B3849" t="s">
        <v>1380</v>
      </c>
      <c r="C3849" t="s">
        <v>7208</v>
      </c>
      <c r="D3849" t="s">
        <v>18127</v>
      </c>
      <c r="E3849" t="s">
        <v>21644</v>
      </c>
      <c r="F3849" t="s">
        <v>31362</v>
      </c>
      <c r="G3849" t="s">
        <v>31369</v>
      </c>
      <c r="H3849" t="s">
        <v>31378</v>
      </c>
      <c r="I3849" t="s">
        <v>31386</v>
      </c>
      <c r="J3849" t="s">
        <v>32082</v>
      </c>
      <c r="K3849" t="s">
        <v>40682</v>
      </c>
      <c r="M3849" t="s">
        <v>42404</v>
      </c>
      <c r="N3849" t="s">
        <v>44905</v>
      </c>
      <c r="O3849" t="s">
        <v>44906</v>
      </c>
      <c r="P3849">
        <v>0</v>
      </c>
      <c r="Q3849">
        <v>0</v>
      </c>
      <c r="R3849" t="s">
        <v>44908</v>
      </c>
      <c r="S3849" t="s">
        <v>45042</v>
      </c>
      <c r="T3849" t="s">
        <v>46470</v>
      </c>
      <c r="U3849" t="s">
        <v>50084</v>
      </c>
      <c r="W3849" t="s">
        <v>42404</v>
      </c>
      <c r="X3849" t="s">
        <v>44909</v>
      </c>
    </row>
    <row r="3850" spans="1:24">
      <c r="A3850">
        <f>HYPERLINK("https://www.philgeps.gov.ph/GEPSNONPILOT/Tender/SplashBidNoticeAbstractUI.aspx?menuIndex=3&amp;refID=7080436&amp;Result=3","7080436")</f>
        <v>0</v>
      </c>
      <c r="B3850" t="s">
        <v>180</v>
      </c>
      <c r="C3850" t="s">
        <v>7209</v>
      </c>
      <c r="D3850" t="s">
        <v>18112</v>
      </c>
      <c r="E3850" t="s">
        <v>21645</v>
      </c>
      <c r="F3850" t="s">
        <v>31362</v>
      </c>
      <c r="G3850" t="s">
        <v>31370</v>
      </c>
      <c r="H3850" t="s">
        <v>15799</v>
      </c>
      <c r="I3850" t="s">
        <v>6373</v>
      </c>
      <c r="J3850" t="s">
        <v>34067</v>
      </c>
      <c r="K3850" t="s">
        <v>40680</v>
      </c>
      <c r="M3850" t="s">
        <v>41118</v>
      </c>
      <c r="N3850" t="s">
        <v>44905</v>
      </c>
      <c r="O3850" t="s">
        <v>44906</v>
      </c>
      <c r="P3850">
        <v>0</v>
      </c>
      <c r="Q3850">
        <v>0</v>
      </c>
      <c r="R3850" t="s">
        <v>44908</v>
      </c>
      <c r="S3850" t="s">
        <v>45042</v>
      </c>
      <c r="T3850" t="s">
        <v>46549</v>
      </c>
      <c r="U3850" t="s">
        <v>50085</v>
      </c>
      <c r="W3850" t="s">
        <v>41118</v>
      </c>
      <c r="X3850" t="s">
        <v>44909</v>
      </c>
    </row>
    <row r="3851" spans="1:24">
      <c r="A3851">
        <f>HYPERLINK("https://www.philgeps.gov.ph/GEPSNONPILOT/Tender/SplashBidNoticeAbstractUI.aspx?menuIndex=3&amp;refID=7080461&amp;Result=3","7080461")</f>
        <v>0</v>
      </c>
      <c r="B3851" t="s">
        <v>1399</v>
      </c>
      <c r="C3851" t="s">
        <v>7210</v>
      </c>
      <c r="D3851" t="s">
        <v>18108</v>
      </c>
      <c r="E3851" t="s">
        <v>21646</v>
      </c>
      <c r="F3851" t="s">
        <v>31362</v>
      </c>
      <c r="G3851" t="s">
        <v>31370</v>
      </c>
      <c r="H3851" t="s">
        <v>15799</v>
      </c>
      <c r="I3851" t="s">
        <v>31385</v>
      </c>
      <c r="J3851" t="s">
        <v>31545</v>
      </c>
      <c r="K3851" t="s">
        <v>40661</v>
      </c>
      <c r="M3851" t="s">
        <v>42424</v>
      </c>
      <c r="N3851" t="s">
        <v>44905</v>
      </c>
      <c r="O3851" t="s">
        <v>44906</v>
      </c>
      <c r="P3851">
        <v>0</v>
      </c>
      <c r="Q3851">
        <v>2</v>
      </c>
      <c r="R3851" t="s">
        <v>44908</v>
      </c>
      <c r="S3851" t="s">
        <v>45042</v>
      </c>
      <c r="T3851" t="s">
        <v>46434</v>
      </c>
      <c r="U3851" t="s">
        <v>50086</v>
      </c>
      <c r="W3851" t="s">
        <v>42424</v>
      </c>
      <c r="X3851" t="s">
        <v>44909</v>
      </c>
    </row>
    <row r="3852" spans="1:24">
      <c r="A3852">
        <f>HYPERLINK("https://www.philgeps.gov.ph/GEPSNONPILOT/Tender/SplashBidNoticeAbstractUI.aspx?menuIndex=3&amp;refID=7080460&amp;Result=3","7080460")</f>
        <v>0</v>
      </c>
      <c r="B3852" t="s">
        <v>1400</v>
      </c>
      <c r="C3852" t="s">
        <v>7211</v>
      </c>
      <c r="D3852" t="s">
        <v>18108</v>
      </c>
      <c r="E3852" t="s">
        <v>7211</v>
      </c>
      <c r="F3852" t="s">
        <v>31362</v>
      </c>
      <c r="G3852" t="s">
        <v>31370</v>
      </c>
      <c r="H3852" t="s">
        <v>15799</v>
      </c>
      <c r="I3852" t="s">
        <v>31422</v>
      </c>
      <c r="J3852" t="s">
        <v>34068</v>
      </c>
      <c r="K3852" t="s">
        <v>40661</v>
      </c>
      <c r="M3852" t="s">
        <v>42425</v>
      </c>
      <c r="N3852" t="s">
        <v>44905</v>
      </c>
      <c r="O3852" t="s">
        <v>44906</v>
      </c>
      <c r="P3852">
        <v>0</v>
      </c>
      <c r="Q3852">
        <v>7</v>
      </c>
      <c r="R3852" t="s">
        <v>44908</v>
      </c>
      <c r="S3852" t="s">
        <v>45042</v>
      </c>
      <c r="T3852" t="s">
        <v>46434</v>
      </c>
      <c r="U3852" t="s">
        <v>50087</v>
      </c>
      <c r="V3852" t="s">
        <v>59444</v>
      </c>
      <c r="W3852" t="s">
        <v>42425</v>
      </c>
      <c r="X3852" t="s">
        <v>44909</v>
      </c>
    </row>
    <row r="3853" spans="1:24">
      <c r="A3853">
        <f>HYPERLINK("https://www.philgeps.gov.ph/GEPSNONPILOT/Tender/SplashBidNoticeAbstractUI.aspx?menuIndex=3&amp;refID=7080458&amp;Result=3","7080458")</f>
        <v>0</v>
      </c>
      <c r="B3853" t="s">
        <v>1174</v>
      </c>
      <c r="C3853" t="s">
        <v>7212</v>
      </c>
      <c r="D3853" t="s">
        <v>18127</v>
      </c>
      <c r="E3853" t="s">
        <v>21647</v>
      </c>
      <c r="F3853" t="s">
        <v>31362</v>
      </c>
      <c r="G3853" t="s">
        <v>31368</v>
      </c>
      <c r="H3853" t="s">
        <v>15799</v>
      </c>
      <c r="I3853" t="s">
        <v>31494</v>
      </c>
      <c r="J3853" t="s">
        <v>32278</v>
      </c>
      <c r="K3853" t="s">
        <v>40665</v>
      </c>
      <c r="M3853" t="s">
        <v>42185</v>
      </c>
      <c r="N3853" t="s">
        <v>44905</v>
      </c>
      <c r="O3853" t="s">
        <v>44906</v>
      </c>
      <c r="P3853">
        <v>0</v>
      </c>
      <c r="Q3853">
        <v>1</v>
      </c>
      <c r="R3853" t="s">
        <v>44908</v>
      </c>
      <c r="S3853" t="s">
        <v>45042</v>
      </c>
      <c r="T3853" t="s">
        <v>46480</v>
      </c>
      <c r="U3853" t="s">
        <v>50088</v>
      </c>
      <c r="W3853" t="s">
        <v>42185</v>
      </c>
      <c r="X3853" t="s">
        <v>44909</v>
      </c>
    </row>
    <row r="3854" spans="1:24">
      <c r="A3854">
        <f>HYPERLINK("https://www.philgeps.gov.ph/GEPSNONPILOT/Tender/SplashBidNoticeAbstractUI.aspx?menuIndex=3&amp;refID=7080457&amp;Result=3","7080457")</f>
        <v>0</v>
      </c>
      <c r="B3854" t="s">
        <v>1374</v>
      </c>
      <c r="C3854" t="s">
        <v>7119</v>
      </c>
      <c r="D3854" t="s">
        <v>18178</v>
      </c>
      <c r="E3854" t="s">
        <v>21648</v>
      </c>
      <c r="F3854" t="s">
        <v>31362</v>
      </c>
      <c r="G3854" t="s">
        <v>31369</v>
      </c>
      <c r="H3854" t="s">
        <v>31378</v>
      </c>
      <c r="I3854" t="s">
        <v>31386</v>
      </c>
      <c r="J3854" t="s">
        <v>34069</v>
      </c>
      <c r="K3854" t="s">
        <v>40694</v>
      </c>
      <c r="M3854" t="s">
        <v>42397</v>
      </c>
      <c r="N3854" t="s">
        <v>44905</v>
      </c>
      <c r="O3854" t="s">
        <v>44906</v>
      </c>
      <c r="P3854">
        <v>0</v>
      </c>
      <c r="Q3854">
        <v>0</v>
      </c>
      <c r="R3854" t="s">
        <v>44908</v>
      </c>
      <c r="S3854" t="s">
        <v>45042</v>
      </c>
      <c r="T3854" t="s">
        <v>46404</v>
      </c>
      <c r="U3854" t="s">
        <v>50089</v>
      </c>
      <c r="W3854" t="s">
        <v>42397</v>
      </c>
      <c r="X3854" t="s">
        <v>44909</v>
      </c>
    </row>
    <row r="3855" spans="1:24">
      <c r="A3855">
        <f>HYPERLINK("https://www.philgeps.gov.ph/GEPSNONPILOT/Tender/SplashBidNoticeAbstractUI.aspx?menuIndex=3&amp;refID=7080459&amp;Result=3","7080459")</f>
        <v>0</v>
      </c>
      <c r="B3855" t="s">
        <v>672</v>
      </c>
      <c r="C3855" t="s">
        <v>7213</v>
      </c>
      <c r="D3855" t="s">
        <v>18103</v>
      </c>
      <c r="E3855" t="s">
        <v>21649</v>
      </c>
      <c r="F3855" t="s">
        <v>31362</v>
      </c>
      <c r="G3855" t="s">
        <v>31369</v>
      </c>
      <c r="H3855" t="s">
        <v>31378</v>
      </c>
      <c r="I3855" t="s">
        <v>31386</v>
      </c>
      <c r="J3855" t="s">
        <v>31606</v>
      </c>
      <c r="K3855" t="s">
        <v>40675</v>
      </c>
      <c r="M3855" t="s">
        <v>41634</v>
      </c>
      <c r="N3855" t="s">
        <v>44905</v>
      </c>
      <c r="O3855" t="s">
        <v>44906</v>
      </c>
      <c r="P3855">
        <v>0</v>
      </c>
      <c r="Q3855">
        <v>2</v>
      </c>
      <c r="R3855" t="s">
        <v>44908</v>
      </c>
      <c r="S3855" t="s">
        <v>45042</v>
      </c>
      <c r="T3855" t="s">
        <v>46429</v>
      </c>
      <c r="U3855" t="s">
        <v>50090</v>
      </c>
      <c r="W3855" t="s">
        <v>60863</v>
      </c>
      <c r="X3855" t="s">
        <v>44909</v>
      </c>
    </row>
    <row r="3856" spans="1:24">
      <c r="A3856">
        <f>HYPERLINK("https://www.philgeps.gov.ph/GEPSNONPILOT/Tender/SplashBidNoticeAbstractUI.aspx?menuIndex=3&amp;refID=7080452&amp;Result=3","7080452")</f>
        <v>0</v>
      </c>
      <c r="B3856" t="s">
        <v>1401</v>
      </c>
      <c r="C3856" t="s">
        <v>3795</v>
      </c>
      <c r="D3856" t="s">
        <v>18151</v>
      </c>
      <c r="E3856" t="s">
        <v>21650</v>
      </c>
      <c r="F3856" t="s">
        <v>31362</v>
      </c>
      <c r="G3856" t="s">
        <v>31369</v>
      </c>
      <c r="H3856" t="s">
        <v>15799</v>
      </c>
      <c r="I3856" t="s">
        <v>31385</v>
      </c>
      <c r="J3856" t="s">
        <v>34070</v>
      </c>
      <c r="K3856" t="s">
        <v>40662</v>
      </c>
      <c r="M3856" t="s">
        <v>42426</v>
      </c>
      <c r="N3856" t="s">
        <v>44905</v>
      </c>
      <c r="O3856" t="s">
        <v>44906</v>
      </c>
      <c r="P3856">
        <v>0</v>
      </c>
      <c r="Q3856">
        <v>0</v>
      </c>
      <c r="R3856" t="s">
        <v>44908</v>
      </c>
      <c r="S3856" t="s">
        <v>45042</v>
      </c>
      <c r="T3856" t="s">
        <v>46483</v>
      </c>
      <c r="U3856" t="s">
        <v>47749</v>
      </c>
      <c r="W3856" t="s">
        <v>42426</v>
      </c>
      <c r="X3856" t="s">
        <v>44909</v>
      </c>
    </row>
    <row r="3857" spans="1:24">
      <c r="A3857">
        <f>HYPERLINK("https://www.philgeps.gov.ph/GEPSNONPILOT/Tender/SplashBidNoticeAbstractUI.aspx?menuIndex=3&amp;refID=7080464&amp;Result=3","7080464")</f>
        <v>0</v>
      </c>
      <c r="B3857" t="s">
        <v>1373</v>
      </c>
      <c r="C3857" t="s">
        <v>7214</v>
      </c>
      <c r="D3857" t="s">
        <v>18109</v>
      </c>
      <c r="E3857" t="s">
        <v>21651</v>
      </c>
      <c r="F3857" t="s">
        <v>31362</v>
      </c>
      <c r="G3857" t="s">
        <v>31370</v>
      </c>
      <c r="H3857" t="s">
        <v>15799</v>
      </c>
      <c r="I3857" t="s">
        <v>31421</v>
      </c>
      <c r="J3857" t="s">
        <v>34071</v>
      </c>
      <c r="K3857" t="s">
        <v>40662</v>
      </c>
      <c r="M3857" t="s">
        <v>42396</v>
      </c>
      <c r="N3857" t="s">
        <v>44905</v>
      </c>
      <c r="O3857" t="s">
        <v>44906</v>
      </c>
      <c r="P3857">
        <v>0</v>
      </c>
      <c r="Q3857">
        <v>1</v>
      </c>
      <c r="R3857" t="s">
        <v>44908</v>
      </c>
      <c r="S3857" t="s">
        <v>45042</v>
      </c>
      <c r="T3857" t="s">
        <v>46454</v>
      </c>
      <c r="U3857" t="s">
        <v>49998</v>
      </c>
      <c r="W3857" t="s">
        <v>42396</v>
      </c>
      <c r="X3857" t="s">
        <v>44909</v>
      </c>
    </row>
    <row r="3858" spans="1:24">
      <c r="A3858">
        <f>HYPERLINK("https://www.philgeps.gov.ph/GEPSNONPILOT/Tender/SplashBidNoticeAbstractUI.aspx?menuIndex=3&amp;refID=7080451&amp;Result=3","7080451")</f>
        <v>0</v>
      </c>
      <c r="B3858" t="s">
        <v>1328</v>
      </c>
      <c r="C3858" t="s">
        <v>7215</v>
      </c>
      <c r="D3858" t="s">
        <v>18108</v>
      </c>
      <c r="E3858" t="s">
        <v>21652</v>
      </c>
      <c r="F3858" t="s">
        <v>31362</v>
      </c>
      <c r="G3858" t="s">
        <v>31368</v>
      </c>
      <c r="H3858" t="s">
        <v>15799</v>
      </c>
      <c r="I3858" t="s">
        <v>3815</v>
      </c>
      <c r="J3858" t="s">
        <v>32519</v>
      </c>
      <c r="K3858" t="s">
        <v>40666</v>
      </c>
      <c r="M3858" t="s">
        <v>42346</v>
      </c>
      <c r="N3858" t="s">
        <v>44905</v>
      </c>
      <c r="O3858" t="s">
        <v>44906</v>
      </c>
      <c r="P3858">
        <v>0</v>
      </c>
      <c r="Q3858">
        <v>0</v>
      </c>
      <c r="R3858" t="s">
        <v>44908</v>
      </c>
      <c r="S3858" t="s">
        <v>45042</v>
      </c>
      <c r="T3858" t="s">
        <v>46454</v>
      </c>
      <c r="U3858" t="s">
        <v>50091</v>
      </c>
      <c r="W3858" t="s">
        <v>42346</v>
      </c>
      <c r="X3858" t="s">
        <v>44909</v>
      </c>
    </row>
    <row r="3859" spans="1:24">
      <c r="A3859">
        <f>HYPERLINK("https://www.philgeps.gov.ph/GEPSNONPILOT/Tender/SplashBidNoticeAbstractUI.aspx?menuIndex=3&amp;refID=7080462&amp;Result=3","7080462")</f>
        <v>0</v>
      </c>
      <c r="B3859" t="s">
        <v>1322</v>
      </c>
      <c r="C3859" t="s">
        <v>7216</v>
      </c>
      <c r="D3859" t="s">
        <v>18125</v>
      </c>
      <c r="E3859" t="s">
        <v>21653</v>
      </c>
      <c r="F3859" t="s">
        <v>31362</v>
      </c>
      <c r="G3859" t="s">
        <v>31369</v>
      </c>
      <c r="H3859" t="s">
        <v>15799</v>
      </c>
      <c r="I3859" t="s">
        <v>31420</v>
      </c>
      <c r="J3859" t="s">
        <v>34072</v>
      </c>
      <c r="K3859" t="s">
        <v>40665</v>
      </c>
      <c r="M3859" t="s">
        <v>42340</v>
      </c>
      <c r="N3859" t="s">
        <v>44905</v>
      </c>
      <c r="O3859" t="s">
        <v>44906</v>
      </c>
      <c r="P3859">
        <v>0</v>
      </c>
      <c r="Q3859">
        <v>8</v>
      </c>
      <c r="R3859" t="s">
        <v>44908</v>
      </c>
      <c r="S3859" t="s">
        <v>45042</v>
      </c>
      <c r="T3859" t="s">
        <v>46419</v>
      </c>
      <c r="U3859" t="s">
        <v>50092</v>
      </c>
      <c r="W3859" t="s">
        <v>42340</v>
      </c>
      <c r="X3859" t="s">
        <v>44909</v>
      </c>
    </row>
    <row r="3860" spans="1:24">
      <c r="A3860">
        <f>HYPERLINK("https://www.philgeps.gov.ph/GEPSNONPILOT/Tender/SplashBidNoticeAbstractUI.aspx?menuIndex=3&amp;refID=7080449&amp;Result=3","7080449")</f>
        <v>0</v>
      </c>
      <c r="B3860" t="s">
        <v>421</v>
      </c>
      <c r="C3860" t="s">
        <v>7217</v>
      </c>
      <c r="D3860" t="s">
        <v>18133</v>
      </c>
      <c r="E3860" t="s">
        <v>21654</v>
      </c>
      <c r="F3860" t="s">
        <v>31362</v>
      </c>
      <c r="G3860" t="s">
        <v>31369</v>
      </c>
      <c r="H3860" t="s">
        <v>31378</v>
      </c>
      <c r="I3860" t="s">
        <v>31386</v>
      </c>
      <c r="J3860" t="s">
        <v>33502</v>
      </c>
      <c r="K3860" t="s">
        <v>40765</v>
      </c>
      <c r="M3860" t="s">
        <v>41372</v>
      </c>
      <c r="N3860" t="s">
        <v>44905</v>
      </c>
      <c r="O3860" t="s">
        <v>44906</v>
      </c>
      <c r="P3860">
        <v>0</v>
      </c>
      <c r="Q3860">
        <v>0</v>
      </c>
      <c r="R3860" t="s">
        <v>44908</v>
      </c>
      <c r="S3860" t="s">
        <v>45042</v>
      </c>
      <c r="T3860" t="s">
        <v>46627</v>
      </c>
      <c r="U3860" t="s">
        <v>50093</v>
      </c>
      <c r="W3860" t="s">
        <v>41372</v>
      </c>
      <c r="X3860" t="s">
        <v>44909</v>
      </c>
    </row>
    <row r="3861" spans="1:24">
      <c r="A3861">
        <f>HYPERLINK("https://www.philgeps.gov.ph/GEPSNONPILOT/Tender/SplashBidNoticeAbstractUI.aspx?menuIndex=3&amp;refID=7080466&amp;Result=3","7080466")</f>
        <v>0</v>
      </c>
      <c r="B3861" t="s">
        <v>1402</v>
      </c>
      <c r="C3861" t="s">
        <v>5065</v>
      </c>
      <c r="D3861" t="s">
        <v>18119</v>
      </c>
      <c r="E3861" t="s">
        <v>18888</v>
      </c>
      <c r="F3861" t="s">
        <v>31362</v>
      </c>
      <c r="G3861" t="s">
        <v>31369</v>
      </c>
      <c r="H3861" t="s">
        <v>15799</v>
      </c>
      <c r="I3861" t="s">
        <v>3815</v>
      </c>
      <c r="J3861" t="s">
        <v>34073</v>
      </c>
      <c r="K3861" t="s">
        <v>40662</v>
      </c>
      <c r="M3861" t="s">
        <v>42427</v>
      </c>
      <c r="N3861" t="s">
        <v>44905</v>
      </c>
      <c r="O3861" t="s">
        <v>44906</v>
      </c>
      <c r="P3861">
        <v>0</v>
      </c>
      <c r="Q3861">
        <v>0</v>
      </c>
      <c r="R3861" t="s">
        <v>44908</v>
      </c>
      <c r="S3861" t="s">
        <v>45042</v>
      </c>
      <c r="T3861" t="s">
        <v>46449</v>
      </c>
      <c r="U3861" t="s">
        <v>50094</v>
      </c>
      <c r="W3861" t="s">
        <v>42427</v>
      </c>
      <c r="X3861" t="s">
        <v>44909</v>
      </c>
    </row>
    <row r="3862" spans="1:24">
      <c r="A3862">
        <f>HYPERLINK("https://www.philgeps.gov.ph/GEPSNONPILOT/Tender/SplashBidNoticeAbstractUI.aspx?menuIndex=3&amp;refID=7080453&amp;Result=3","7080453")</f>
        <v>0</v>
      </c>
      <c r="B3862" t="s">
        <v>580</v>
      </c>
      <c r="C3862" t="s">
        <v>7218</v>
      </c>
      <c r="D3862" t="s">
        <v>18106</v>
      </c>
      <c r="E3862" t="s">
        <v>21655</v>
      </c>
      <c r="F3862" t="s">
        <v>31362</v>
      </c>
      <c r="G3862" t="s">
        <v>31369</v>
      </c>
      <c r="H3862" t="s">
        <v>31378</v>
      </c>
      <c r="I3862" t="s">
        <v>31386</v>
      </c>
      <c r="J3862" t="s">
        <v>34074</v>
      </c>
      <c r="K3862" t="s">
        <v>40767</v>
      </c>
      <c r="M3862" t="s">
        <v>41537</v>
      </c>
      <c r="N3862" t="s">
        <v>44905</v>
      </c>
      <c r="O3862" t="s">
        <v>44906</v>
      </c>
      <c r="P3862">
        <v>0</v>
      </c>
      <c r="Q3862">
        <v>0</v>
      </c>
      <c r="R3862" t="s">
        <v>44908</v>
      </c>
      <c r="S3862" t="s">
        <v>45042</v>
      </c>
      <c r="T3862" t="s">
        <v>46404</v>
      </c>
      <c r="U3862" t="s">
        <v>49008</v>
      </c>
      <c r="V3862" t="s">
        <v>59438</v>
      </c>
      <c r="W3862" t="s">
        <v>41537</v>
      </c>
      <c r="X3862" t="s">
        <v>44909</v>
      </c>
    </row>
    <row r="3863" spans="1:24">
      <c r="A3863">
        <f>HYPERLINK("https://www.philgeps.gov.ph/GEPSNONPILOT/Tender/SplashBidNoticeAbstractUI.aspx?menuIndex=3&amp;refID=7080487&amp;Result=3","7080487")</f>
        <v>0</v>
      </c>
      <c r="B3863" t="s">
        <v>1403</v>
      </c>
      <c r="C3863" t="s">
        <v>7219</v>
      </c>
      <c r="D3863" t="s">
        <v>18158</v>
      </c>
      <c r="E3863" t="s">
        <v>21656</v>
      </c>
      <c r="F3863" t="s">
        <v>31362</v>
      </c>
      <c r="G3863" t="s">
        <v>31368</v>
      </c>
      <c r="H3863" t="s">
        <v>15799</v>
      </c>
      <c r="I3863" t="s">
        <v>3815</v>
      </c>
      <c r="J3863" t="s">
        <v>34075</v>
      </c>
      <c r="K3863" t="s">
        <v>40662</v>
      </c>
      <c r="M3863" t="s">
        <v>42428</v>
      </c>
      <c r="N3863" t="s">
        <v>44905</v>
      </c>
      <c r="O3863" t="s">
        <v>44906</v>
      </c>
      <c r="P3863">
        <v>0</v>
      </c>
      <c r="Q3863">
        <v>0</v>
      </c>
      <c r="R3863" t="s">
        <v>44908</v>
      </c>
      <c r="S3863" t="s">
        <v>45042</v>
      </c>
      <c r="T3863" t="s">
        <v>46409</v>
      </c>
      <c r="U3863" t="s">
        <v>50095</v>
      </c>
      <c r="W3863" t="s">
        <v>42428</v>
      </c>
      <c r="X3863" t="s">
        <v>44909</v>
      </c>
    </row>
    <row r="3864" spans="1:24">
      <c r="A3864">
        <f>HYPERLINK("https://www.philgeps.gov.ph/GEPSNONPILOT/Tender/SplashBidNoticeAbstractUI.aspx?menuIndex=3&amp;refID=7080384&amp;Result=3","7080384")</f>
        <v>0</v>
      </c>
      <c r="B3864" t="s">
        <v>1281</v>
      </c>
      <c r="C3864" t="s">
        <v>7220</v>
      </c>
      <c r="D3864" t="s">
        <v>18156</v>
      </c>
      <c r="E3864" t="s">
        <v>21657</v>
      </c>
      <c r="F3864" t="s">
        <v>31362</v>
      </c>
      <c r="G3864" t="s">
        <v>31369</v>
      </c>
      <c r="H3864" t="s">
        <v>31378</v>
      </c>
      <c r="I3864" t="s">
        <v>31399</v>
      </c>
      <c r="J3864" t="s">
        <v>34076</v>
      </c>
      <c r="K3864" t="s">
        <v>40679</v>
      </c>
      <c r="M3864" t="s">
        <v>42298</v>
      </c>
      <c r="N3864" t="s">
        <v>44905</v>
      </c>
      <c r="O3864" t="s">
        <v>44906</v>
      </c>
      <c r="P3864">
        <v>0</v>
      </c>
      <c r="Q3864">
        <v>4</v>
      </c>
      <c r="R3864" t="s">
        <v>44908</v>
      </c>
      <c r="S3864" t="s">
        <v>45042</v>
      </c>
      <c r="T3864" t="s">
        <v>46395</v>
      </c>
      <c r="U3864" t="s">
        <v>50096</v>
      </c>
      <c r="W3864" t="s">
        <v>42298</v>
      </c>
      <c r="X3864" t="s">
        <v>44909</v>
      </c>
    </row>
    <row r="3865" spans="1:24">
      <c r="A3865">
        <f>HYPERLINK("https://www.philgeps.gov.ph/GEPSNONPILOT/Tender/SplashBidNoticeAbstractUI.aspx?menuIndex=3&amp;refID=7080450&amp;Result=3","7080450")</f>
        <v>0</v>
      </c>
      <c r="B3865" t="s">
        <v>1264</v>
      </c>
      <c r="C3865" t="s">
        <v>7221</v>
      </c>
      <c r="D3865" t="s">
        <v>18108</v>
      </c>
      <c r="E3865" t="s">
        <v>21658</v>
      </c>
      <c r="F3865" t="s">
        <v>31362</v>
      </c>
      <c r="G3865" t="s">
        <v>31368</v>
      </c>
      <c r="H3865" t="s">
        <v>15799</v>
      </c>
      <c r="I3865" t="s">
        <v>4283</v>
      </c>
      <c r="J3865" t="s">
        <v>31688</v>
      </c>
      <c r="K3865" t="s">
        <v>40665</v>
      </c>
      <c r="M3865" t="s">
        <v>42281</v>
      </c>
      <c r="N3865" t="s">
        <v>44905</v>
      </c>
      <c r="O3865" t="s">
        <v>44906</v>
      </c>
      <c r="P3865">
        <v>0</v>
      </c>
      <c r="Q3865">
        <v>3</v>
      </c>
      <c r="R3865" t="s">
        <v>44908</v>
      </c>
      <c r="S3865" t="s">
        <v>45042</v>
      </c>
      <c r="T3865" t="s">
        <v>46454</v>
      </c>
      <c r="U3865" t="s">
        <v>50097</v>
      </c>
      <c r="W3865" t="s">
        <v>42281</v>
      </c>
      <c r="X3865" t="s">
        <v>44909</v>
      </c>
    </row>
    <row r="3866" spans="1:24">
      <c r="A3866">
        <f>HYPERLINK("https://www.philgeps.gov.ph/GEPSNONPILOT/Tender/SplashBidNoticeAbstractUI.aspx?menuIndex=3&amp;refID=7080484&amp;Result=3","7080484")</f>
        <v>0</v>
      </c>
      <c r="B3866" t="s">
        <v>101</v>
      </c>
      <c r="C3866" t="s">
        <v>7222</v>
      </c>
      <c r="E3866" t="s">
        <v>18397</v>
      </c>
      <c r="F3866" t="s">
        <v>31365</v>
      </c>
      <c r="G3866" t="s">
        <v>31369</v>
      </c>
      <c r="H3866" t="s">
        <v>15799</v>
      </c>
      <c r="I3866" t="s">
        <v>3815</v>
      </c>
      <c r="J3866" t="s">
        <v>34077</v>
      </c>
      <c r="K3866" t="s">
        <v>40662</v>
      </c>
      <c r="M3866" t="s">
        <v>41038</v>
      </c>
      <c r="N3866" t="s">
        <v>44905</v>
      </c>
      <c r="O3866" t="s">
        <v>44906</v>
      </c>
      <c r="P3866">
        <v>0</v>
      </c>
      <c r="Q3866">
        <v>0</v>
      </c>
      <c r="R3866" t="s">
        <v>44908</v>
      </c>
      <c r="S3866" t="s">
        <v>45042</v>
      </c>
      <c r="T3866" t="s">
        <v>46420</v>
      </c>
      <c r="U3866" t="s">
        <v>47088</v>
      </c>
      <c r="W3866" t="s">
        <v>41038</v>
      </c>
      <c r="X3866" t="s">
        <v>44909</v>
      </c>
    </row>
    <row r="3867" spans="1:24">
      <c r="A3867">
        <f>HYPERLINK("https://www.philgeps.gov.ph/GEPSNONPILOT/Tender/SplashBidNoticeAbstractUI.aspx?menuIndex=3&amp;refID=7080483&amp;Result=3","7080483")</f>
        <v>0</v>
      </c>
      <c r="B3867" t="s">
        <v>1033</v>
      </c>
      <c r="C3867" t="s">
        <v>7223</v>
      </c>
      <c r="D3867" t="s">
        <v>18162</v>
      </c>
      <c r="E3867" t="s">
        <v>21659</v>
      </c>
      <c r="F3867" t="s">
        <v>31362</v>
      </c>
      <c r="G3867" t="s">
        <v>31369</v>
      </c>
      <c r="H3867" t="s">
        <v>15799</v>
      </c>
      <c r="I3867" t="s">
        <v>31385</v>
      </c>
      <c r="J3867" t="s">
        <v>32356</v>
      </c>
      <c r="K3867" t="s">
        <v>40670</v>
      </c>
      <c r="M3867" t="s">
        <v>42032</v>
      </c>
      <c r="N3867" t="s">
        <v>44905</v>
      </c>
      <c r="O3867" t="s">
        <v>44906</v>
      </c>
      <c r="P3867">
        <v>0</v>
      </c>
      <c r="Q3867">
        <v>0</v>
      </c>
      <c r="R3867" t="s">
        <v>44908</v>
      </c>
      <c r="S3867" t="s">
        <v>45042</v>
      </c>
      <c r="T3867" t="s">
        <v>46430</v>
      </c>
      <c r="U3867" t="s">
        <v>50098</v>
      </c>
      <c r="W3867" t="s">
        <v>42032</v>
      </c>
      <c r="X3867" t="s">
        <v>44909</v>
      </c>
    </row>
    <row r="3868" spans="1:24">
      <c r="A3868">
        <f>HYPERLINK("https://www.philgeps.gov.ph/GEPSNONPILOT/Tender/SplashBidNoticeAbstractUI.aspx?menuIndex=3&amp;refID=7080481&amp;Result=3","7080481")</f>
        <v>0</v>
      </c>
      <c r="B3868" t="s">
        <v>1404</v>
      </c>
      <c r="C3868" t="s">
        <v>7224</v>
      </c>
      <c r="D3868" t="s">
        <v>18112</v>
      </c>
      <c r="E3868" t="s">
        <v>21658</v>
      </c>
      <c r="F3868" t="s">
        <v>31362</v>
      </c>
      <c r="G3868" t="s">
        <v>31371</v>
      </c>
      <c r="H3868" t="s">
        <v>15799</v>
      </c>
      <c r="I3868" t="s">
        <v>3815</v>
      </c>
      <c r="J3868" t="s">
        <v>32589</v>
      </c>
      <c r="K3868" t="s">
        <v>40693</v>
      </c>
      <c r="M3868" t="s">
        <v>42429</v>
      </c>
      <c r="N3868" t="s">
        <v>44905</v>
      </c>
      <c r="O3868" t="s">
        <v>44906</v>
      </c>
      <c r="P3868">
        <v>0</v>
      </c>
      <c r="Q3868">
        <v>0</v>
      </c>
      <c r="R3868" t="s">
        <v>44908</v>
      </c>
      <c r="S3868" t="s">
        <v>45042</v>
      </c>
      <c r="T3868" t="s">
        <v>46665</v>
      </c>
      <c r="U3868" t="s">
        <v>50099</v>
      </c>
      <c r="W3868" t="s">
        <v>42429</v>
      </c>
      <c r="X3868" t="s">
        <v>44909</v>
      </c>
    </row>
    <row r="3869" spans="1:24">
      <c r="A3869">
        <f>HYPERLINK("https://www.philgeps.gov.ph/GEPSNONPILOT/Tender/SplashBidNoticeAbstractUI.aspx?menuIndex=3&amp;refID=7080479&amp;Result=3","7080479")</f>
        <v>0</v>
      </c>
      <c r="B3869" t="s">
        <v>1374</v>
      </c>
      <c r="C3869" t="s">
        <v>7119</v>
      </c>
      <c r="D3869" t="s">
        <v>18178</v>
      </c>
      <c r="E3869" t="s">
        <v>21660</v>
      </c>
      <c r="F3869" t="s">
        <v>31362</v>
      </c>
      <c r="G3869" t="s">
        <v>31369</v>
      </c>
      <c r="H3869" t="s">
        <v>31378</v>
      </c>
      <c r="I3869" t="s">
        <v>31386</v>
      </c>
      <c r="J3869" t="s">
        <v>31709</v>
      </c>
      <c r="K3869" t="s">
        <v>40694</v>
      </c>
      <c r="M3869" t="s">
        <v>42397</v>
      </c>
      <c r="N3869" t="s">
        <v>44905</v>
      </c>
      <c r="O3869" t="s">
        <v>44906</v>
      </c>
      <c r="P3869">
        <v>0</v>
      </c>
      <c r="Q3869">
        <v>0</v>
      </c>
      <c r="R3869" t="s">
        <v>44908</v>
      </c>
      <c r="S3869" t="s">
        <v>45042</v>
      </c>
      <c r="T3869" t="s">
        <v>46404</v>
      </c>
      <c r="U3869" t="s">
        <v>50100</v>
      </c>
      <c r="W3869" t="s">
        <v>42397</v>
      </c>
      <c r="X3869" t="s">
        <v>44909</v>
      </c>
    </row>
    <row r="3870" spans="1:24">
      <c r="A3870">
        <f>HYPERLINK("https://www.philgeps.gov.ph/GEPSNONPILOT/Tender/SplashBidNoticeAbstractUI.aspx?menuIndex=3&amp;refID=7080454&amp;Result=3","7080454")</f>
        <v>0</v>
      </c>
      <c r="B3870" t="s">
        <v>708</v>
      </c>
      <c r="C3870" t="s">
        <v>7225</v>
      </c>
      <c r="D3870" t="s">
        <v>18124</v>
      </c>
      <c r="E3870" t="s">
        <v>21614</v>
      </c>
      <c r="F3870" t="s">
        <v>31362</v>
      </c>
      <c r="G3870" t="s">
        <v>31368</v>
      </c>
      <c r="H3870" t="s">
        <v>15799</v>
      </c>
      <c r="I3870" t="s">
        <v>4057</v>
      </c>
      <c r="J3870" t="s">
        <v>34078</v>
      </c>
      <c r="K3870" t="s">
        <v>40661</v>
      </c>
      <c r="M3870" t="s">
        <v>41673</v>
      </c>
      <c r="N3870" t="s">
        <v>44905</v>
      </c>
      <c r="O3870" t="s">
        <v>44906</v>
      </c>
      <c r="P3870">
        <v>0</v>
      </c>
      <c r="Q3870">
        <v>0</v>
      </c>
      <c r="R3870" t="s">
        <v>44908</v>
      </c>
      <c r="S3870" t="s">
        <v>45042</v>
      </c>
      <c r="T3870" t="s">
        <v>46525</v>
      </c>
      <c r="U3870" t="s">
        <v>50051</v>
      </c>
      <c r="W3870" t="s">
        <v>41673</v>
      </c>
      <c r="X3870" t="s">
        <v>44909</v>
      </c>
    </row>
    <row r="3871" spans="1:24">
      <c r="A3871">
        <f>HYPERLINK("https://www.philgeps.gov.ph/GEPSNONPILOT/Tender/SplashBidNoticeAbstractUI.aspx?menuIndex=3&amp;refID=7080478&amp;Result=3","7080478")</f>
        <v>0</v>
      </c>
      <c r="B3871" t="s">
        <v>529</v>
      </c>
      <c r="C3871" t="s">
        <v>7226</v>
      </c>
      <c r="D3871" t="s">
        <v>18124</v>
      </c>
      <c r="E3871" t="s">
        <v>21661</v>
      </c>
      <c r="F3871" t="s">
        <v>31362</v>
      </c>
      <c r="G3871" t="s">
        <v>31369</v>
      </c>
      <c r="H3871" t="s">
        <v>31378</v>
      </c>
      <c r="I3871" t="s">
        <v>31386</v>
      </c>
      <c r="J3871" t="s">
        <v>31586</v>
      </c>
      <c r="K3871" t="s">
        <v>40768</v>
      </c>
      <c r="L3871" t="s">
        <v>529</v>
      </c>
      <c r="M3871" t="s">
        <v>41485</v>
      </c>
      <c r="N3871" t="s">
        <v>44905</v>
      </c>
      <c r="O3871" t="s">
        <v>44906</v>
      </c>
      <c r="P3871">
        <v>0</v>
      </c>
      <c r="Q3871">
        <v>1</v>
      </c>
      <c r="R3871" t="s">
        <v>44908</v>
      </c>
      <c r="S3871" t="s">
        <v>45042</v>
      </c>
      <c r="T3871" t="s">
        <v>46427</v>
      </c>
      <c r="U3871" t="s">
        <v>50101</v>
      </c>
      <c r="W3871" t="s">
        <v>41485</v>
      </c>
      <c r="X3871" t="s">
        <v>44909</v>
      </c>
    </row>
    <row r="3872" spans="1:24">
      <c r="A3872">
        <f>HYPERLINK("https://www.philgeps.gov.ph/GEPSNONPILOT/Tender/SplashBidNoticeAbstractUI.aspx?menuIndex=3&amp;refID=7080477&amp;Result=3","7080477")</f>
        <v>0</v>
      </c>
      <c r="B3872" t="s">
        <v>963</v>
      </c>
      <c r="C3872" t="s">
        <v>7227</v>
      </c>
      <c r="D3872" t="s">
        <v>18131</v>
      </c>
      <c r="E3872" t="s">
        <v>21662</v>
      </c>
      <c r="F3872" t="s">
        <v>31362</v>
      </c>
      <c r="G3872" t="s">
        <v>31368</v>
      </c>
      <c r="H3872" t="s">
        <v>15799</v>
      </c>
      <c r="I3872" t="s">
        <v>7188</v>
      </c>
      <c r="J3872" t="s">
        <v>31545</v>
      </c>
      <c r="K3872" t="s">
        <v>40662</v>
      </c>
      <c r="M3872" t="s">
        <v>41951</v>
      </c>
      <c r="N3872" t="s">
        <v>44905</v>
      </c>
      <c r="O3872" t="s">
        <v>44906</v>
      </c>
      <c r="P3872">
        <v>0</v>
      </c>
      <c r="Q3872">
        <v>1</v>
      </c>
      <c r="R3872" t="s">
        <v>44908</v>
      </c>
      <c r="S3872" t="s">
        <v>45042</v>
      </c>
      <c r="T3872" t="s">
        <v>46432</v>
      </c>
      <c r="U3872" t="s">
        <v>48808</v>
      </c>
      <c r="W3872" t="s">
        <v>41951</v>
      </c>
      <c r="X3872" t="s">
        <v>44909</v>
      </c>
    </row>
    <row r="3873" spans="1:24">
      <c r="A3873">
        <f>HYPERLINK("https://www.philgeps.gov.ph/GEPSNONPILOT/Tender/SplashBidNoticeAbstractUI.aspx?menuIndex=3&amp;refID=7080475&amp;Result=3","7080475")</f>
        <v>0</v>
      </c>
      <c r="B3873" t="s">
        <v>776</v>
      </c>
      <c r="C3873" t="s">
        <v>7135</v>
      </c>
      <c r="E3873" t="s">
        <v>21663</v>
      </c>
      <c r="F3873" t="s">
        <v>31362</v>
      </c>
      <c r="G3873" t="s">
        <v>31368</v>
      </c>
      <c r="H3873" t="s">
        <v>15799</v>
      </c>
      <c r="I3873" t="s">
        <v>31398</v>
      </c>
      <c r="J3873" t="s">
        <v>34079</v>
      </c>
      <c r="K3873" t="s">
        <v>40662</v>
      </c>
      <c r="M3873" t="s">
        <v>41744</v>
      </c>
      <c r="N3873" t="s">
        <v>44905</v>
      </c>
      <c r="O3873" t="s">
        <v>44906</v>
      </c>
      <c r="P3873">
        <v>0</v>
      </c>
      <c r="Q3873">
        <v>1</v>
      </c>
      <c r="R3873" t="s">
        <v>44908</v>
      </c>
      <c r="S3873" t="s">
        <v>45042</v>
      </c>
      <c r="T3873" t="s">
        <v>46400</v>
      </c>
      <c r="U3873" t="s">
        <v>50102</v>
      </c>
      <c r="W3873" t="s">
        <v>41744</v>
      </c>
      <c r="X3873" t="s">
        <v>44909</v>
      </c>
    </row>
    <row r="3874" spans="1:24">
      <c r="A3874">
        <f>HYPERLINK("https://www.philgeps.gov.ph/GEPSNONPILOT/Tender/SplashBidNoticeAbstractUI.aspx?menuIndex=3&amp;refID=7080474&amp;Result=3","7080474")</f>
        <v>0</v>
      </c>
      <c r="B3874" t="s">
        <v>262</v>
      </c>
      <c r="C3874" t="s">
        <v>7228</v>
      </c>
      <c r="D3874" t="s">
        <v>18127</v>
      </c>
      <c r="E3874" t="s">
        <v>21257</v>
      </c>
      <c r="F3874" t="s">
        <v>31362</v>
      </c>
      <c r="G3874" t="s">
        <v>31370</v>
      </c>
      <c r="H3874" t="s">
        <v>15799</v>
      </c>
      <c r="I3874" t="s">
        <v>4057</v>
      </c>
      <c r="J3874" t="s">
        <v>34080</v>
      </c>
      <c r="K3874" t="s">
        <v>40662</v>
      </c>
      <c r="M3874" t="s">
        <v>42051</v>
      </c>
      <c r="N3874" t="s">
        <v>44905</v>
      </c>
      <c r="O3874" t="s">
        <v>44906</v>
      </c>
      <c r="P3874">
        <v>0</v>
      </c>
      <c r="Q3874">
        <v>0</v>
      </c>
      <c r="R3874" t="s">
        <v>44908</v>
      </c>
      <c r="S3874" t="s">
        <v>45042</v>
      </c>
      <c r="T3874" t="s">
        <v>46454</v>
      </c>
      <c r="U3874" t="s">
        <v>49689</v>
      </c>
      <c r="W3874" t="s">
        <v>42051</v>
      </c>
      <c r="X3874" t="s">
        <v>44909</v>
      </c>
    </row>
    <row r="3875" spans="1:24">
      <c r="A3875">
        <f>HYPERLINK("https://www.philgeps.gov.ph/GEPSNONPILOT/Tender/SplashBidNoticeAbstractUI.aspx?menuIndex=3&amp;refID=7080485&amp;Result=3","7080485")</f>
        <v>0</v>
      </c>
      <c r="B3875" t="s">
        <v>791</v>
      </c>
      <c r="C3875" t="s">
        <v>7229</v>
      </c>
      <c r="D3875" t="s">
        <v>18129</v>
      </c>
      <c r="E3875" t="s">
        <v>21664</v>
      </c>
      <c r="F3875" t="s">
        <v>31362</v>
      </c>
      <c r="G3875" t="s">
        <v>31368</v>
      </c>
      <c r="H3875" t="s">
        <v>15799</v>
      </c>
      <c r="I3875" t="s">
        <v>31455</v>
      </c>
      <c r="J3875" t="s">
        <v>31531</v>
      </c>
      <c r="K3875" t="s">
        <v>40662</v>
      </c>
      <c r="M3875" t="s">
        <v>41761</v>
      </c>
      <c r="N3875" t="s">
        <v>44905</v>
      </c>
      <c r="O3875" t="s">
        <v>44906</v>
      </c>
      <c r="P3875">
        <v>0</v>
      </c>
      <c r="Q3875">
        <v>2</v>
      </c>
      <c r="R3875" t="s">
        <v>44908</v>
      </c>
      <c r="S3875" t="s">
        <v>45042</v>
      </c>
      <c r="T3875" t="s">
        <v>46399</v>
      </c>
      <c r="U3875" t="s">
        <v>50103</v>
      </c>
      <c r="V3875" t="s">
        <v>59151</v>
      </c>
      <c r="W3875" t="s">
        <v>41761</v>
      </c>
      <c r="X3875" t="s">
        <v>44909</v>
      </c>
    </row>
    <row r="3876" spans="1:24">
      <c r="A3876">
        <f>HYPERLINK("https://www.philgeps.gov.ph/GEPSNONPILOT/Tender/SplashBidNoticeAbstractUI.aspx?menuIndex=3&amp;refID=7080473&amp;Result=3","7080473")</f>
        <v>0</v>
      </c>
      <c r="B3876" t="s">
        <v>672</v>
      </c>
      <c r="C3876" t="s">
        <v>7230</v>
      </c>
      <c r="D3876" t="s">
        <v>18103</v>
      </c>
      <c r="E3876" t="s">
        <v>21665</v>
      </c>
      <c r="F3876" t="s">
        <v>31362</v>
      </c>
      <c r="G3876" t="s">
        <v>31369</v>
      </c>
      <c r="H3876" t="s">
        <v>31378</v>
      </c>
      <c r="I3876" t="s">
        <v>31386</v>
      </c>
      <c r="J3876" t="s">
        <v>34081</v>
      </c>
      <c r="K3876" t="s">
        <v>40686</v>
      </c>
      <c r="M3876" t="s">
        <v>41634</v>
      </c>
      <c r="N3876" t="s">
        <v>44905</v>
      </c>
      <c r="O3876" t="s">
        <v>44906</v>
      </c>
      <c r="P3876">
        <v>0</v>
      </c>
      <c r="Q3876">
        <v>2</v>
      </c>
      <c r="R3876" t="s">
        <v>44908</v>
      </c>
      <c r="S3876" t="s">
        <v>45042</v>
      </c>
      <c r="T3876" t="s">
        <v>46429</v>
      </c>
      <c r="U3876" t="s">
        <v>50090</v>
      </c>
      <c r="W3876" t="s">
        <v>60863</v>
      </c>
      <c r="X3876" t="s">
        <v>44909</v>
      </c>
    </row>
    <row r="3877" spans="1:24">
      <c r="A3877">
        <f>HYPERLINK("https://www.philgeps.gov.ph/GEPSNONPILOT/Tender/SplashBidNoticeAbstractUI.aspx?menuIndex=3&amp;refID=7080482&amp;Result=3","7080482")</f>
        <v>0</v>
      </c>
      <c r="B3877" t="s">
        <v>348</v>
      </c>
      <c r="C3877" t="s">
        <v>7231</v>
      </c>
      <c r="D3877" t="s">
        <v>18122</v>
      </c>
      <c r="E3877" t="s">
        <v>21666</v>
      </c>
      <c r="F3877" t="s">
        <v>31362</v>
      </c>
      <c r="G3877" t="s">
        <v>31368</v>
      </c>
      <c r="H3877" t="s">
        <v>15799</v>
      </c>
      <c r="I3877" t="s">
        <v>31385</v>
      </c>
      <c r="J3877" t="s">
        <v>34082</v>
      </c>
      <c r="K3877" t="s">
        <v>40661</v>
      </c>
      <c r="M3877" t="s">
        <v>41294</v>
      </c>
      <c r="N3877" t="s">
        <v>44905</v>
      </c>
      <c r="O3877" t="s">
        <v>44906</v>
      </c>
      <c r="P3877">
        <v>0</v>
      </c>
      <c r="Q3877">
        <v>2</v>
      </c>
      <c r="R3877" t="s">
        <v>44908</v>
      </c>
      <c r="S3877" t="s">
        <v>45042</v>
      </c>
      <c r="T3877" t="s">
        <v>46425</v>
      </c>
      <c r="U3877" t="s">
        <v>50104</v>
      </c>
      <c r="W3877" t="s">
        <v>41294</v>
      </c>
      <c r="X3877" t="s">
        <v>44909</v>
      </c>
    </row>
    <row r="3878" spans="1:24">
      <c r="A3878">
        <f>HYPERLINK("https://www.philgeps.gov.ph/GEPSNONPILOT/Tender/SplashBidNoticeAbstractUI.aspx?menuIndex=3&amp;refID=7080476&amp;Result=3","7080476")</f>
        <v>0</v>
      </c>
      <c r="B3878" t="s">
        <v>335</v>
      </c>
      <c r="C3878" t="s">
        <v>7232</v>
      </c>
      <c r="D3878" t="s">
        <v>18108</v>
      </c>
      <c r="E3878" t="s">
        <v>21667</v>
      </c>
      <c r="F3878" t="s">
        <v>31362</v>
      </c>
      <c r="G3878" t="s">
        <v>31368</v>
      </c>
      <c r="H3878" t="s">
        <v>15799</v>
      </c>
      <c r="I3878" t="s">
        <v>31386</v>
      </c>
      <c r="J3878" t="s">
        <v>32830</v>
      </c>
      <c r="K3878" t="s">
        <v>40661</v>
      </c>
      <c r="M3878" t="s">
        <v>42389</v>
      </c>
      <c r="N3878" t="s">
        <v>44905</v>
      </c>
      <c r="O3878" t="s">
        <v>44906</v>
      </c>
      <c r="P3878">
        <v>0</v>
      </c>
      <c r="Q3878">
        <v>0</v>
      </c>
      <c r="R3878" t="s">
        <v>44908</v>
      </c>
      <c r="S3878" t="s">
        <v>45042</v>
      </c>
      <c r="T3878" t="s">
        <v>46447</v>
      </c>
      <c r="U3878" t="s">
        <v>50105</v>
      </c>
      <c r="W3878" t="s">
        <v>42389</v>
      </c>
      <c r="X3878" t="s">
        <v>44909</v>
      </c>
    </row>
    <row r="3879" spans="1:24">
      <c r="A3879">
        <f>HYPERLINK("https://www.philgeps.gov.ph/GEPSNONPILOT/Tender/SplashBidNoticeAbstractUI.aspx?menuIndex=3&amp;refID=7080512&amp;Result=3","7080512")</f>
        <v>0</v>
      </c>
      <c r="B3879" t="s">
        <v>1405</v>
      </c>
      <c r="C3879" t="s">
        <v>7233</v>
      </c>
      <c r="D3879" t="s">
        <v>18127</v>
      </c>
      <c r="E3879" t="s">
        <v>21668</v>
      </c>
      <c r="F3879" t="s">
        <v>31362</v>
      </c>
      <c r="G3879" t="s">
        <v>31370</v>
      </c>
      <c r="H3879" t="s">
        <v>15799</v>
      </c>
      <c r="I3879" t="s">
        <v>31398</v>
      </c>
      <c r="J3879" t="s">
        <v>34083</v>
      </c>
      <c r="K3879" t="s">
        <v>40672</v>
      </c>
      <c r="M3879" t="s">
        <v>42430</v>
      </c>
      <c r="N3879" t="s">
        <v>44905</v>
      </c>
      <c r="O3879" t="s">
        <v>44906</v>
      </c>
      <c r="P3879">
        <v>0</v>
      </c>
      <c r="Q3879">
        <v>0</v>
      </c>
      <c r="R3879" t="s">
        <v>44908</v>
      </c>
      <c r="S3879" t="s">
        <v>45042</v>
      </c>
      <c r="T3879" t="s">
        <v>46443</v>
      </c>
      <c r="U3879" t="s">
        <v>50106</v>
      </c>
      <c r="V3879" t="s">
        <v>59445</v>
      </c>
      <c r="W3879" t="s">
        <v>42430</v>
      </c>
      <c r="X3879" t="s">
        <v>44909</v>
      </c>
    </row>
    <row r="3880" spans="1:24">
      <c r="A3880">
        <f>HYPERLINK("https://www.philgeps.gov.ph/GEPSNONPILOT/Tender/SplashBidNoticeAbstractUI.aspx?menuIndex=3&amp;refID=7080511&amp;Result=3","7080511")</f>
        <v>0</v>
      </c>
      <c r="B3880" t="s">
        <v>1399</v>
      </c>
      <c r="C3880" t="s">
        <v>7234</v>
      </c>
      <c r="D3880" t="s">
        <v>18108</v>
      </c>
      <c r="E3880" t="s">
        <v>21669</v>
      </c>
      <c r="F3880" t="s">
        <v>31362</v>
      </c>
      <c r="G3880" t="s">
        <v>31368</v>
      </c>
      <c r="H3880" t="s">
        <v>31379</v>
      </c>
      <c r="I3880" t="s">
        <v>31451</v>
      </c>
      <c r="J3880" t="s">
        <v>32118</v>
      </c>
      <c r="K3880" t="s">
        <v>40720</v>
      </c>
      <c r="M3880" t="s">
        <v>42424</v>
      </c>
      <c r="N3880" t="s">
        <v>44905</v>
      </c>
      <c r="O3880" t="s">
        <v>44906</v>
      </c>
      <c r="P3880">
        <v>0</v>
      </c>
      <c r="Q3880">
        <v>1</v>
      </c>
      <c r="R3880" t="s">
        <v>44908</v>
      </c>
      <c r="S3880" t="s">
        <v>45042</v>
      </c>
      <c r="T3880" t="s">
        <v>46434</v>
      </c>
      <c r="U3880" t="s">
        <v>50107</v>
      </c>
      <c r="W3880" t="s">
        <v>42424</v>
      </c>
      <c r="X3880" t="s">
        <v>44909</v>
      </c>
    </row>
    <row r="3881" spans="1:24">
      <c r="A3881">
        <f>HYPERLINK("https://www.philgeps.gov.ph/GEPSNONPILOT/Tender/SplashBidNoticeAbstractUI.aspx?menuIndex=3&amp;refID=7080509&amp;Result=3","7080509")</f>
        <v>0</v>
      </c>
      <c r="B3881" t="s">
        <v>1406</v>
      </c>
      <c r="C3881" t="s">
        <v>7235</v>
      </c>
      <c r="D3881" t="s">
        <v>18108</v>
      </c>
      <c r="E3881" t="s">
        <v>21670</v>
      </c>
      <c r="F3881" t="s">
        <v>31362</v>
      </c>
      <c r="G3881" t="s">
        <v>31368</v>
      </c>
      <c r="H3881" t="s">
        <v>15799</v>
      </c>
      <c r="I3881" t="s">
        <v>4283</v>
      </c>
      <c r="J3881" t="s">
        <v>34084</v>
      </c>
      <c r="K3881" t="s">
        <v>40666</v>
      </c>
      <c r="M3881" t="s">
        <v>42431</v>
      </c>
      <c r="N3881" t="s">
        <v>44905</v>
      </c>
      <c r="O3881" t="s">
        <v>44906</v>
      </c>
      <c r="P3881">
        <v>0</v>
      </c>
      <c r="Q3881">
        <v>5</v>
      </c>
      <c r="R3881" t="s">
        <v>44908</v>
      </c>
      <c r="S3881" t="s">
        <v>45042</v>
      </c>
      <c r="T3881" t="s">
        <v>46470</v>
      </c>
      <c r="U3881" t="s">
        <v>50108</v>
      </c>
      <c r="V3881" t="s">
        <v>59446</v>
      </c>
      <c r="W3881" t="s">
        <v>42431</v>
      </c>
      <c r="X3881" t="s">
        <v>44909</v>
      </c>
    </row>
    <row r="3882" spans="1:24">
      <c r="A3882">
        <f>HYPERLINK("https://www.philgeps.gov.ph/GEPSNONPILOT/Tender/SplashBidNoticeAbstractUI.aspx?menuIndex=3&amp;refID=7080513&amp;Result=3","7080513")</f>
        <v>0</v>
      </c>
      <c r="B3882" t="s">
        <v>1033</v>
      </c>
      <c r="C3882" t="s">
        <v>7236</v>
      </c>
      <c r="D3882" t="s">
        <v>18162</v>
      </c>
      <c r="E3882" t="s">
        <v>21671</v>
      </c>
      <c r="F3882" t="s">
        <v>31362</v>
      </c>
      <c r="G3882" t="s">
        <v>31372</v>
      </c>
      <c r="H3882" t="s">
        <v>15799</v>
      </c>
      <c r="I3882" t="s">
        <v>31409</v>
      </c>
      <c r="J3882" t="s">
        <v>34085</v>
      </c>
      <c r="K3882" t="s">
        <v>40670</v>
      </c>
      <c r="M3882" t="s">
        <v>42032</v>
      </c>
      <c r="N3882" t="s">
        <v>44905</v>
      </c>
      <c r="O3882" t="s">
        <v>44906</v>
      </c>
      <c r="P3882">
        <v>0</v>
      </c>
      <c r="Q3882">
        <v>1</v>
      </c>
      <c r="R3882" t="s">
        <v>44908</v>
      </c>
      <c r="S3882" t="s">
        <v>45042</v>
      </c>
      <c r="T3882" t="s">
        <v>46502</v>
      </c>
      <c r="U3882" t="s">
        <v>50109</v>
      </c>
      <c r="W3882" t="s">
        <v>42032</v>
      </c>
      <c r="X3882" t="s">
        <v>44909</v>
      </c>
    </row>
    <row r="3883" spans="1:24">
      <c r="A3883">
        <f>HYPERLINK("https://www.philgeps.gov.ph/GEPSNONPILOT/Tender/SplashBidNoticeAbstractUI.aspx?menuIndex=3&amp;refID=7080448&amp;Result=3","7080448")</f>
        <v>0</v>
      </c>
      <c r="B3883" t="s">
        <v>1033</v>
      </c>
      <c r="C3883" t="s">
        <v>7237</v>
      </c>
      <c r="D3883" t="s">
        <v>18162</v>
      </c>
      <c r="E3883" t="s">
        <v>21672</v>
      </c>
      <c r="F3883" t="s">
        <v>31362</v>
      </c>
      <c r="G3883" t="s">
        <v>31369</v>
      </c>
      <c r="H3883" t="s">
        <v>15799</v>
      </c>
      <c r="I3883" t="s">
        <v>31385</v>
      </c>
      <c r="J3883" t="s">
        <v>32235</v>
      </c>
      <c r="K3883" t="s">
        <v>40670</v>
      </c>
      <c r="M3883" t="s">
        <v>42032</v>
      </c>
      <c r="N3883" t="s">
        <v>44905</v>
      </c>
      <c r="O3883" t="s">
        <v>44906</v>
      </c>
      <c r="P3883">
        <v>0</v>
      </c>
      <c r="Q3883">
        <v>0</v>
      </c>
      <c r="R3883" t="s">
        <v>44908</v>
      </c>
      <c r="S3883" t="s">
        <v>45042</v>
      </c>
      <c r="T3883" t="s">
        <v>46430</v>
      </c>
      <c r="U3883" t="s">
        <v>50110</v>
      </c>
      <c r="W3883" t="s">
        <v>42032</v>
      </c>
      <c r="X3883" t="s">
        <v>44909</v>
      </c>
    </row>
    <row r="3884" spans="1:24">
      <c r="A3884">
        <f>HYPERLINK("https://www.philgeps.gov.ph/GEPSNONPILOT/Tender/SplashBidNoticeAbstractUI.aspx?menuIndex=3&amp;refID=7080504&amp;Result=3","7080504")</f>
        <v>0</v>
      </c>
      <c r="B3884" t="s">
        <v>1407</v>
      </c>
      <c r="C3884" t="s">
        <v>7238</v>
      </c>
      <c r="D3884" t="s">
        <v>18172</v>
      </c>
      <c r="E3884" t="s">
        <v>18319</v>
      </c>
      <c r="F3884" t="s">
        <v>31362</v>
      </c>
      <c r="G3884" t="s">
        <v>31369</v>
      </c>
      <c r="H3884" t="s">
        <v>31378</v>
      </c>
      <c r="I3884" t="s">
        <v>31386</v>
      </c>
      <c r="J3884" t="s">
        <v>34086</v>
      </c>
      <c r="K3884" t="s">
        <v>40670</v>
      </c>
      <c r="M3884" t="s">
        <v>42432</v>
      </c>
      <c r="N3884" t="s">
        <v>44905</v>
      </c>
      <c r="O3884" t="s">
        <v>44906</v>
      </c>
      <c r="P3884">
        <v>0</v>
      </c>
      <c r="Q3884">
        <v>0</v>
      </c>
      <c r="R3884" t="s">
        <v>44908</v>
      </c>
      <c r="S3884" t="s">
        <v>45042</v>
      </c>
      <c r="T3884" t="s">
        <v>46463</v>
      </c>
      <c r="U3884" t="s">
        <v>50111</v>
      </c>
      <c r="W3884" t="s">
        <v>42432</v>
      </c>
      <c r="X3884" t="s">
        <v>44909</v>
      </c>
    </row>
    <row r="3885" spans="1:24">
      <c r="A3885">
        <f>HYPERLINK("https://www.philgeps.gov.ph/GEPSNONPILOT/Tender/SplashBidNoticeAbstractUI.aspx?menuIndex=3&amp;refID=7080510&amp;Result=3","7080510")</f>
        <v>0</v>
      </c>
      <c r="B3885" t="s">
        <v>417</v>
      </c>
      <c r="C3885" t="s">
        <v>7239</v>
      </c>
      <c r="D3885" t="s">
        <v>18166</v>
      </c>
      <c r="E3885" t="s">
        <v>21673</v>
      </c>
      <c r="F3885" t="s">
        <v>31362</v>
      </c>
      <c r="G3885" t="s">
        <v>31371</v>
      </c>
      <c r="H3885" t="s">
        <v>15799</v>
      </c>
      <c r="I3885" t="s">
        <v>31422</v>
      </c>
      <c r="J3885" t="s">
        <v>31889</v>
      </c>
      <c r="K3885" t="s">
        <v>40670</v>
      </c>
      <c r="M3885" t="s">
        <v>41367</v>
      </c>
      <c r="N3885" t="s">
        <v>44905</v>
      </c>
      <c r="O3885" t="s">
        <v>44906</v>
      </c>
      <c r="P3885">
        <v>0</v>
      </c>
      <c r="Q3885">
        <v>1</v>
      </c>
      <c r="R3885" t="s">
        <v>44908</v>
      </c>
      <c r="S3885" t="s">
        <v>45042</v>
      </c>
      <c r="T3885" t="s">
        <v>46454</v>
      </c>
      <c r="U3885" t="s">
        <v>50112</v>
      </c>
      <c r="W3885" t="s">
        <v>41367</v>
      </c>
      <c r="X3885" t="s">
        <v>44909</v>
      </c>
    </row>
    <row r="3886" spans="1:24">
      <c r="A3886">
        <f>HYPERLINK("https://www.philgeps.gov.ph/GEPSNONPILOT/Tender/SplashBidNoticeAbstractUI.aspx?menuIndex=3&amp;refID=7080500&amp;Result=3","7080500")</f>
        <v>0</v>
      </c>
      <c r="B3886" t="s">
        <v>1408</v>
      </c>
      <c r="C3886" t="s">
        <v>7240</v>
      </c>
      <c r="D3886" t="s">
        <v>18122</v>
      </c>
      <c r="E3886" t="s">
        <v>21674</v>
      </c>
      <c r="F3886" t="s">
        <v>31362</v>
      </c>
      <c r="G3886" t="s">
        <v>31368</v>
      </c>
      <c r="H3886" t="s">
        <v>15799</v>
      </c>
      <c r="I3886" t="s">
        <v>31393</v>
      </c>
      <c r="J3886" t="s">
        <v>34087</v>
      </c>
      <c r="K3886" t="s">
        <v>40670</v>
      </c>
      <c r="M3886" t="s">
        <v>42433</v>
      </c>
      <c r="N3886" t="s">
        <v>44905</v>
      </c>
      <c r="O3886" t="s">
        <v>44906</v>
      </c>
      <c r="P3886">
        <v>0</v>
      </c>
      <c r="Q3886">
        <v>2</v>
      </c>
      <c r="R3886" t="s">
        <v>44908</v>
      </c>
      <c r="S3886" t="s">
        <v>45042</v>
      </c>
      <c r="T3886" t="s">
        <v>46438</v>
      </c>
      <c r="U3886" t="s">
        <v>50113</v>
      </c>
      <c r="W3886" t="s">
        <v>42433</v>
      </c>
      <c r="X3886" t="s">
        <v>44909</v>
      </c>
    </row>
    <row r="3887" spans="1:24">
      <c r="A3887">
        <f>HYPERLINK("https://www.philgeps.gov.ph/GEPSNONPILOT/Tender/SplashBidNoticeAbstractUI.aspx?menuIndex=3&amp;refID=7080502&amp;Result=3","7080502")</f>
        <v>0</v>
      </c>
      <c r="B3887" t="s">
        <v>672</v>
      </c>
      <c r="C3887" t="s">
        <v>7241</v>
      </c>
      <c r="D3887" t="s">
        <v>18103</v>
      </c>
      <c r="E3887" t="s">
        <v>21675</v>
      </c>
      <c r="F3887" t="s">
        <v>31362</v>
      </c>
      <c r="G3887" t="s">
        <v>31369</v>
      </c>
      <c r="H3887" t="s">
        <v>31378</v>
      </c>
      <c r="I3887" t="s">
        <v>31386</v>
      </c>
      <c r="J3887" t="s">
        <v>33502</v>
      </c>
      <c r="K3887" t="s">
        <v>40679</v>
      </c>
      <c r="M3887" t="s">
        <v>41634</v>
      </c>
      <c r="N3887" t="s">
        <v>44905</v>
      </c>
      <c r="O3887" t="s">
        <v>44906</v>
      </c>
      <c r="P3887">
        <v>0</v>
      </c>
      <c r="Q3887">
        <v>2</v>
      </c>
      <c r="R3887" t="s">
        <v>44908</v>
      </c>
      <c r="S3887" t="s">
        <v>45042</v>
      </c>
      <c r="T3887" t="s">
        <v>46429</v>
      </c>
      <c r="U3887" t="s">
        <v>50090</v>
      </c>
      <c r="W3887" t="s">
        <v>60863</v>
      </c>
      <c r="X3887" t="s">
        <v>44909</v>
      </c>
    </row>
    <row r="3888" spans="1:24">
      <c r="A3888">
        <f>HYPERLINK("https://www.philgeps.gov.ph/GEPSNONPILOT/Tender/SplashBidNoticeAbstractUI.aspx?menuIndex=3&amp;refID=7080498&amp;Result=3","7080498")</f>
        <v>0</v>
      </c>
      <c r="B3888" t="s">
        <v>1118</v>
      </c>
      <c r="C3888" t="s">
        <v>7242</v>
      </c>
      <c r="D3888" t="s">
        <v>18106</v>
      </c>
      <c r="E3888" t="s">
        <v>21676</v>
      </c>
      <c r="F3888" t="s">
        <v>31362</v>
      </c>
      <c r="G3888" t="s">
        <v>31369</v>
      </c>
      <c r="H3888" t="s">
        <v>15799</v>
      </c>
      <c r="I3888" t="s">
        <v>4283</v>
      </c>
      <c r="J3888" t="s">
        <v>31531</v>
      </c>
      <c r="K3888" t="s">
        <v>40670</v>
      </c>
      <c r="M3888" t="s">
        <v>42124</v>
      </c>
      <c r="N3888" t="s">
        <v>44905</v>
      </c>
      <c r="O3888" t="s">
        <v>44906</v>
      </c>
      <c r="P3888">
        <v>0</v>
      </c>
      <c r="Q3888">
        <v>2</v>
      </c>
      <c r="R3888" t="s">
        <v>44908</v>
      </c>
      <c r="S3888" t="s">
        <v>45042</v>
      </c>
      <c r="T3888" t="s">
        <v>46523</v>
      </c>
      <c r="U3888" t="s">
        <v>50114</v>
      </c>
      <c r="V3888" t="s">
        <v>59447</v>
      </c>
      <c r="W3888" t="s">
        <v>42124</v>
      </c>
      <c r="X3888" t="s">
        <v>44909</v>
      </c>
    </row>
    <row r="3889" spans="1:24">
      <c r="A3889">
        <f>HYPERLINK("https://www.philgeps.gov.ph/GEPSNONPILOT/Tender/SplashBidNoticeAbstractUI.aspx?menuIndex=3&amp;refID=7080507&amp;Result=3","7080507")</f>
        <v>0</v>
      </c>
      <c r="B3889" t="s">
        <v>585</v>
      </c>
      <c r="C3889" t="s">
        <v>7243</v>
      </c>
      <c r="D3889" t="s">
        <v>18100</v>
      </c>
      <c r="E3889" t="s">
        <v>21677</v>
      </c>
      <c r="F3889" t="s">
        <v>31362</v>
      </c>
      <c r="G3889" t="s">
        <v>31374</v>
      </c>
      <c r="H3889" t="s">
        <v>15799</v>
      </c>
      <c r="I3889" t="s">
        <v>31430</v>
      </c>
      <c r="J3889" t="s">
        <v>34088</v>
      </c>
      <c r="K3889" t="s">
        <v>40662</v>
      </c>
      <c r="M3889" t="s">
        <v>41542</v>
      </c>
      <c r="N3889" t="s">
        <v>44905</v>
      </c>
      <c r="O3889" t="s">
        <v>44906</v>
      </c>
      <c r="P3889">
        <v>0</v>
      </c>
      <c r="Q3889">
        <v>0</v>
      </c>
      <c r="R3889" t="s">
        <v>44908</v>
      </c>
      <c r="S3889" t="s">
        <v>45042</v>
      </c>
      <c r="T3889" t="s">
        <v>46506</v>
      </c>
      <c r="U3889" t="s">
        <v>49538</v>
      </c>
      <c r="W3889" t="s">
        <v>41542</v>
      </c>
      <c r="X3889" t="s">
        <v>44909</v>
      </c>
    </row>
    <row r="3890" spans="1:24">
      <c r="A3890">
        <f>HYPERLINK("https://www.philgeps.gov.ph/GEPSNONPILOT/Tender/SplashBidNoticeAbstractUI.aspx?menuIndex=3&amp;refID=7080497&amp;Result=3","7080497")</f>
        <v>0</v>
      </c>
      <c r="B3890" t="s">
        <v>1409</v>
      </c>
      <c r="C3890" t="s">
        <v>7244</v>
      </c>
      <c r="D3890" t="s">
        <v>18106</v>
      </c>
      <c r="E3890" t="s">
        <v>21678</v>
      </c>
      <c r="F3890" t="s">
        <v>31365</v>
      </c>
      <c r="G3890" t="s">
        <v>31369</v>
      </c>
      <c r="H3890" t="s">
        <v>31378</v>
      </c>
      <c r="I3890" t="s">
        <v>31386</v>
      </c>
      <c r="J3890" t="s">
        <v>34089</v>
      </c>
      <c r="K3890" t="s">
        <v>40665</v>
      </c>
      <c r="M3890" t="s">
        <v>42434</v>
      </c>
      <c r="N3890" t="s">
        <v>44905</v>
      </c>
      <c r="O3890" t="s">
        <v>44906</v>
      </c>
      <c r="P3890">
        <v>0</v>
      </c>
      <c r="Q3890">
        <v>0</v>
      </c>
      <c r="R3890" t="s">
        <v>44908</v>
      </c>
      <c r="S3890" t="s">
        <v>45042</v>
      </c>
      <c r="T3890" t="s">
        <v>46535</v>
      </c>
      <c r="U3890" t="s">
        <v>50115</v>
      </c>
      <c r="W3890" t="s">
        <v>42434</v>
      </c>
      <c r="X3890" t="s">
        <v>44909</v>
      </c>
    </row>
    <row r="3891" spans="1:24">
      <c r="A3891">
        <f>HYPERLINK("https://www.philgeps.gov.ph/GEPSNONPILOT/Tender/SplashBidNoticeAbstractUI.aspx?menuIndex=3&amp;refID=7080496&amp;Result=3","7080496")</f>
        <v>0</v>
      </c>
      <c r="B3891" t="s">
        <v>174</v>
      </c>
      <c r="C3891" t="s">
        <v>7245</v>
      </c>
      <c r="D3891" t="s">
        <v>18108</v>
      </c>
      <c r="E3891" t="s">
        <v>21679</v>
      </c>
      <c r="F3891" t="s">
        <v>31362</v>
      </c>
      <c r="G3891" t="s">
        <v>31368</v>
      </c>
      <c r="H3891" t="s">
        <v>15799</v>
      </c>
      <c r="I3891" t="s">
        <v>31380</v>
      </c>
      <c r="J3891" t="s">
        <v>31545</v>
      </c>
      <c r="K3891" t="s">
        <v>40670</v>
      </c>
      <c r="M3891" t="s">
        <v>41112</v>
      </c>
      <c r="N3891" t="s">
        <v>44905</v>
      </c>
      <c r="O3891" t="s">
        <v>44906</v>
      </c>
      <c r="P3891">
        <v>0</v>
      </c>
      <c r="Q3891">
        <v>7</v>
      </c>
      <c r="R3891" t="s">
        <v>44908</v>
      </c>
      <c r="S3891" t="s">
        <v>45042</v>
      </c>
      <c r="T3891" t="s">
        <v>46447</v>
      </c>
      <c r="U3891" t="s">
        <v>50116</v>
      </c>
      <c r="W3891" t="s">
        <v>41112</v>
      </c>
      <c r="X3891" t="s">
        <v>44909</v>
      </c>
    </row>
    <row r="3892" spans="1:24">
      <c r="A3892">
        <f>HYPERLINK("https://www.philgeps.gov.ph/GEPSNONPILOT/Tender/SplashBidNoticeAbstractUI.aspx?menuIndex=3&amp;refID=7080528&amp;Result=3","7080528")</f>
        <v>0</v>
      </c>
      <c r="B3892" t="s">
        <v>666</v>
      </c>
      <c r="C3892" t="s">
        <v>7246</v>
      </c>
      <c r="D3892" t="s">
        <v>18108</v>
      </c>
      <c r="E3892" t="s">
        <v>21680</v>
      </c>
      <c r="F3892" t="s">
        <v>31362</v>
      </c>
      <c r="G3892" t="s">
        <v>31368</v>
      </c>
      <c r="H3892" t="s">
        <v>15799</v>
      </c>
      <c r="I3892" t="s">
        <v>31399</v>
      </c>
      <c r="J3892" t="s">
        <v>34090</v>
      </c>
      <c r="K3892" t="s">
        <v>40661</v>
      </c>
      <c r="M3892" t="s">
        <v>41628</v>
      </c>
      <c r="N3892" t="s">
        <v>44905</v>
      </c>
      <c r="O3892" t="s">
        <v>44906</v>
      </c>
      <c r="P3892">
        <v>0</v>
      </c>
      <c r="Q3892">
        <v>8</v>
      </c>
      <c r="R3892" t="s">
        <v>44908</v>
      </c>
      <c r="S3892" t="s">
        <v>45042</v>
      </c>
      <c r="T3892" t="s">
        <v>46488</v>
      </c>
      <c r="U3892" t="s">
        <v>50117</v>
      </c>
      <c r="W3892" t="s">
        <v>41628</v>
      </c>
      <c r="X3892" t="s">
        <v>44909</v>
      </c>
    </row>
    <row r="3893" spans="1:24">
      <c r="A3893">
        <f>HYPERLINK("https://www.philgeps.gov.ph/GEPSNONPILOT/Tender/SplashBidNoticeAbstractUI.aspx?menuIndex=3&amp;refID=7080534&amp;Result=3","7080534")</f>
        <v>0</v>
      </c>
      <c r="B3893" t="s">
        <v>267</v>
      </c>
      <c r="C3893" t="s">
        <v>7247</v>
      </c>
      <c r="D3893" t="s">
        <v>18154</v>
      </c>
      <c r="E3893" t="s">
        <v>21681</v>
      </c>
      <c r="F3893" t="s">
        <v>31362</v>
      </c>
      <c r="G3893" t="s">
        <v>31369</v>
      </c>
      <c r="H3893" t="s">
        <v>15799</v>
      </c>
      <c r="I3893" t="s">
        <v>3582</v>
      </c>
      <c r="J3893" t="s">
        <v>34091</v>
      </c>
      <c r="K3893" t="s">
        <v>40670</v>
      </c>
      <c r="M3893" t="s">
        <v>41208</v>
      </c>
      <c r="N3893" t="s">
        <v>44905</v>
      </c>
      <c r="O3893" t="s">
        <v>44906</v>
      </c>
      <c r="P3893">
        <v>0</v>
      </c>
      <c r="Q3893">
        <v>0</v>
      </c>
      <c r="R3893" t="s">
        <v>44908</v>
      </c>
      <c r="S3893" t="s">
        <v>45042</v>
      </c>
      <c r="T3893" t="s">
        <v>46470</v>
      </c>
      <c r="U3893" t="s">
        <v>50118</v>
      </c>
      <c r="W3893" t="s">
        <v>41208</v>
      </c>
      <c r="X3893" t="s">
        <v>44909</v>
      </c>
    </row>
    <row r="3894" spans="1:24">
      <c r="A3894">
        <f>HYPERLINK("https://www.philgeps.gov.ph/GEPSNONPILOT/Tender/SplashBidNoticeAbstractUI.aspx?menuIndex=3&amp;refID=7080532&amp;Result=3","7080532")</f>
        <v>0</v>
      </c>
      <c r="B3894" t="s">
        <v>656</v>
      </c>
      <c r="C3894" t="s">
        <v>7248</v>
      </c>
      <c r="D3894" t="s">
        <v>18123</v>
      </c>
      <c r="E3894" t="s">
        <v>21682</v>
      </c>
      <c r="F3894" t="s">
        <v>31362</v>
      </c>
      <c r="G3894" t="s">
        <v>31369</v>
      </c>
      <c r="H3894" t="s">
        <v>31378</v>
      </c>
      <c r="I3894" t="s">
        <v>31386</v>
      </c>
      <c r="J3894" t="s">
        <v>34092</v>
      </c>
      <c r="K3894" t="s">
        <v>40679</v>
      </c>
      <c r="M3894" t="s">
        <v>41618</v>
      </c>
      <c r="N3894" t="s">
        <v>44905</v>
      </c>
      <c r="O3894" t="s">
        <v>44906</v>
      </c>
      <c r="P3894">
        <v>0</v>
      </c>
      <c r="Q3894">
        <v>0</v>
      </c>
      <c r="R3894" t="s">
        <v>44908</v>
      </c>
      <c r="S3894" t="s">
        <v>45042</v>
      </c>
      <c r="T3894" t="s">
        <v>46433</v>
      </c>
      <c r="U3894" t="s">
        <v>50119</v>
      </c>
      <c r="W3894" t="s">
        <v>41618</v>
      </c>
      <c r="X3894" t="s">
        <v>44909</v>
      </c>
    </row>
    <row r="3895" spans="1:24">
      <c r="A3895">
        <f>HYPERLINK("https://www.philgeps.gov.ph/GEPSNONPILOT/Tender/SplashBidNoticeAbstractUI.aspx?menuIndex=3&amp;refID=7080530&amp;Result=3","7080530")</f>
        <v>0</v>
      </c>
      <c r="B3895" t="s">
        <v>1033</v>
      </c>
      <c r="C3895" t="s">
        <v>7249</v>
      </c>
      <c r="D3895" t="s">
        <v>18162</v>
      </c>
      <c r="E3895" t="s">
        <v>21683</v>
      </c>
      <c r="F3895" t="s">
        <v>31362</v>
      </c>
      <c r="G3895" t="s">
        <v>31372</v>
      </c>
      <c r="H3895" t="s">
        <v>15799</v>
      </c>
      <c r="I3895" t="s">
        <v>31385</v>
      </c>
      <c r="J3895" t="s">
        <v>34093</v>
      </c>
      <c r="K3895" t="s">
        <v>40670</v>
      </c>
      <c r="M3895" t="s">
        <v>42032</v>
      </c>
      <c r="N3895" t="s">
        <v>44905</v>
      </c>
      <c r="O3895" t="s">
        <v>44906</v>
      </c>
      <c r="P3895">
        <v>0</v>
      </c>
      <c r="Q3895">
        <v>0</v>
      </c>
      <c r="R3895" t="s">
        <v>44908</v>
      </c>
      <c r="S3895" t="s">
        <v>45042</v>
      </c>
      <c r="T3895" t="s">
        <v>46502</v>
      </c>
      <c r="U3895" t="s">
        <v>50120</v>
      </c>
      <c r="W3895" t="s">
        <v>42032</v>
      </c>
      <c r="X3895" t="s">
        <v>44909</v>
      </c>
    </row>
    <row r="3896" spans="1:24">
      <c r="A3896">
        <f>HYPERLINK("https://www.philgeps.gov.ph/GEPSNONPILOT/Tender/SplashBidNoticeAbstractUI.aspx?menuIndex=3&amp;refID=7080529&amp;Result=3","7080529")</f>
        <v>0</v>
      </c>
      <c r="B3896" t="s">
        <v>232</v>
      </c>
      <c r="C3896" t="s">
        <v>7250</v>
      </c>
      <c r="D3896" t="s">
        <v>18101</v>
      </c>
      <c r="E3896" t="s">
        <v>21684</v>
      </c>
      <c r="F3896" t="s">
        <v>31362</v>
      </c>
      <c r="G3896" t="s">
        <v>31368</v>
      </c>
      <c r="H3896" t="s">
        <v>15799</v>
      </c>
      <c r="I3896" t="s">
        <v>7188</v>
      </c>
      <c r="J3896" t="s">
        <v>31848</v>
      </c>
      <c r="K3896" t="s">
        <v>40661</v>
      </c>
      <c r="M3896" t="s">
        <v>41171</v>
      </c>
      <c r="N3896" t="s">
        <v>44905</v>
      </c>
      <c r="O3896" t="s">
        <v>44906</v>
      </c>
      <c r="P3896">
        <v>0</v>
      </c>
      <c r="Q3896">
        <v>0</v>
      </c>
      <c r="R3896" t="s">
        <v>44908</v>
      </c>
      <c r="S3896" t="s">
        <v>45042</v>
      </c>
      <c r="T3896" t="s">
        <v>46409</v>
      </c>
      <c r="U3896" t="s">
        <v>50121</v>
      </c>
      <c r="W3896" t="s">
        <v>41171</v>
      </c>
      <c r="X3896" t="s">
        <v>44909</v>
      </c>
    </row>
    <row r="3897" spans="1:24">
      <c r="A3897">
        <f>HYPERLINK("https://www.philgeps.gov.ph/GEPSNONPILOT/Tender/SplashBidNoticeAbstractUI.aspx?menuIndex=3&amp;refID=7080527&amp;Result=3","7080527")</f>
        <v>0</v>
      </c>
      <c r="B3897" t="s">
        <v>1410</v>
      </c>
      <c r="C3897" t="s">
        <v>7251</v>
      </c>
      <c r="D3897" t="s">
        <v>18108</v>
      </c>
      <c r="E3897" t="s">
        <v>21685</v>
      </c>
      <c r="F3897" t="s">
        <v>31362</v>
      </c>
      <c r="G3897" t="s">
        <v>31370</v>
      </c>
      <c r="H3897" t="s">
        <v>15799</v>
      </c>
      <c r="I3897" t="s">
        <v>6373</v>
      </c>
      <c r="J3897" t="s">
        <v>34094</v>
      </c>
      <c r="K3897" t="s">
        <v>40666</v>
      </c>
      <c r="M3897" t="s">
        <v>42435</v>
      </c>
      <c r="N3897" t="s">
        <v>44905</v>
      </c>
      <c r="O3897" t="s">
        <v>44906</v>
      </c>
      <c r="P3897">
        <v>0</v>
      </c>
      <c r="Q3897">
        <v>14</v>
      </c>
      <c r="R3897" t="s">
        <v>44908</v>
      </c>
      <c r="S3897" t="s">
        <v>45042</v>
      </c>
      <c r="T3897" t="s">
        <v>46400</v>
      </c>
      <c r="U3897" t="s">
        <v>50122</v>
      </c>
      <c r="W3897" t="s">
        <v>42435</v>
      </c>
      <c r="X3897" t="s">
        <v>44909</v>
      </c>
    </row>
    <row r="3898" spans="1:24">
      <c r="A3898">
        <f>HYPERLINK("https://www.philgeps.gov.ph/GEPSNONPILOT/Tender/SplashBidNoticeAbstractUI.aspx?menuIndex=3&amp;refID=7080526&amp;Result=3","7080526")</f>
        <v>0</v>
      </c>
      <c r="B3898" t="s">
        <v>1411</v>
      </c>
      <c r="C3898" t="s">
        <v>7252</v>
      </c>
      <c r="E3898" t="s">
        <v>21686</v>
      </c>
      <c r="F3898" t="s">
        <v>31362</v>
      </c>
      <c r="G3898" t="s">
        <v>31370</v>
      </c>
      <c r="H3898" t="s">
        <v>15799</v>
      </c>
      <c r="I3898" t="s">
        <v>31393</v>
      </c>
      <c r="J3898" t="s">
        <v>31545</v>
      </c>
      <c r="K3898" t="s">
        <v>40662</v>
      </c>
      <c r="M3898" t="s">
        <v>42436</v>
      </c>
      <c r="N3898" t="s">
        <v>44905</v>
      </c>
      <c r="O3898" t="s">
        <v>44906</v>
      </c>
      <c r="P3898">
        <v>0</v>
      </c>
      <c r="Q3898">
        <v>9</v>
      </c>
      <c r="R3898" t="s">
        <v>44908</v>
      </c>
      <c r="S3898" t="s">
        <v>45042</v>
      </c>
      <c r="T3898" t="s">
        <v>46454</v>
      </c>
      <c r="U3898" t="s">
        <v>50123</v>
      </c>
      <c r="W3898" t="s">
        <v>60892</v>
      </c>
      <c r="X3898" t="s">
        <v>44909</v>
      </c>
    </row>
    <row r="3899" spans="1:24">
      <c r="A3899">
        <f>HYPERLINK("https://www.philgeps.gov.ph/GEPSNONPILOT/Tender/SplashBidNoticeAbstractUI.aspx?menuIndex=3&amp;refID=7080525&amp;Result=3","7080525")</f>
        <v>0</v>
      </c>
      <c r="B3899" t="s">
        <v>243</v>
      </c>
      <c r="C3899" t="s">
        <v>7253</v>
      </c>
      <c r="D3899" t="s">
        <v>18144</v>
      </c>
      <c r="E3899" t="s">
        <v>21687</v>
      </c>
      <c r="F3899" t="s">
        <v>31362</v>
      </c>
      <c r="G3899" t="s">
        <v>31370</v>
      </c>
      <c r="H3899" t="s">
        <v>15799</v>
      </c>
      <c r="I3899" t="s">
        <v>31431</v>
      </c>
      <c r="J3899" t="s">
        <v>34095</v>
      </c>
      <c r="K3899" t="s">
        <v>40670</v>
      </c>
      <c r="M3899" t="s">
        <v>41182</v>
      </c>
      <c r="N3899" t="s">
        <v>44905</v>
      </c>
      <c r="O3899" t="s">
        <v>44906</v>
      </c>
      <c r="P3899">
        <v>0</v>
      </c>
      <c r="Q3899">
        <v>0</v>
      </c>
      <c r="R3899" t="s">
        <v>44908</v>
      </c>
      <c r="S3899" t="s">
        <v>45042</v>
      </c>
      <c r="T3899" t="s">
        <v>46443</v>
      </c>
      <c r="U3899" t="s">
        <v>50124</v>
      </c>
      <c r="W3899" t="s">
        <v>41182</v>
      </c>
      <c r="X3899" t="s">
        <v>44909</v>
      </c>
    </row>
    <row r="3900" spans="1:24">
      <c r="A3900">
        <f>HYPERLINK("https://www.philgeps.gov.ph/GEPSNONPILOT/Tender/SplashBidNoticeAbstractUI.aspx?menuIndex=3&amp;refID=7080524&amp;Result=3","7080524")</f>
        <v>0</v>
      </c>
      <c r="B3900" t="s">
        <v>672</v>
      </c>
      <c r="C3900" t="s">
        <v>7254</v>
      </c>
      <c r="D3900" t="s">
        <v>18103</v>
      </c>
      <c r="E3900" t="s">
        <v>21688</v>
      </c>
      <c r="F3900" t="s">
        <v>31362</v>
      </c>
      <c r="G3900" t="s">
        <v>31369</v>
      </c>
      <c r="H3900" t="s">
        <v>31378</v>
      </c>
      <c r="I3900" t="s">
        <v>31386</v>
      </c>
      <c r="J3900" t="s">
        <v>34096</v>
      </c>
      <c r="K3900" t="s">
        <v>40684</v>
      </c>
      <c r="M3900" t="s">
        <v>41634</v>
      </c>
      <c r="N3900" t="s">
        <v>44905</v>
      </c>
      <c r="O3900" t="s">
        <v>44906</v>
      </c>
      <c r="P3900">
        <v>0</v>
      </c>
      <c r="Q3900">
        <v>4</v>
      </c>
      <c r="R3900" t="s">
        <v>44908</v>
      </c>
      <c r="S3900" t="s">
        <v>45042</v>
      </c>
      <c r="T3900" t="s">
        <v>46429</v>
      </c>
      <c r="U3900" t="s">
        <v>50090</v>
      </c>
      <c r="W3900" t="s">
        <v>60863</v>
      </c>
      <c r="X3900" t="s">
        <v>44909</v>
      </c>
    </row>
    <row r="3901" spans="1:24">
      <c r="A3901">
        <f>HYPERLINK("https://www.philgeps.gov.ph/GEPSNONPILOT/Tender/SplashBidNoticeAbstractUI.aspx?menuIndex=3&amp;refID=7080523&amp;Result=3","7080523")</f>
        <v>0</v>
      </c>
      <c r="B3901" t="s">
        <v>1374</v>
      </c>
      <c r="C3901" t="s">
        <v>7255</v>
      </c>
      <c r="D3901" t="s">
        <v>18178</v>
      </c>
      <c r="E3901" t="s">
        <v>21689</v>
      </c>
      <c r="F3901" t="s">
        <v>31362</v>
      </c>
      <c r="G3901" t="s">
        <v>31369</v>
      </c>
      <c r="H3901" t="s">
        <v>31378</v>
      </c>
      <c r="I3901" t="s">
        <v>31386</v>
      </c>
      <c r="J3901" t="s">
        <v>34097</v>
      </c>
      <c r="K3901" t="s">
        <v>40711</v>
      </c>
      <c r="M3901" t="s">
        <v>42397</v>
      </c>
      <c r="N3901" t="s">
        <v>44905</v>
      </c>
      <c r="O3901" t="s">
        <v>44906</v>
      </c>
      <c r="P3901">
        <v>0</v>
      </c>
      <c r="Q3901">
        <v>0</v>
      </c>
      <c r="R3901" t="s">
        <v>44908</v>
      </c>
      <c r="S3901" t="s">
        <v>45042</v>
      </c>
      <c r="T3901" t="s">
        <v>46404</v>
      </c>
      <c r="U3901" t="s">
        <v>50125</v>
      </c>
      <c r="W3901" t="s">
        <v>42397</v>
      </c>
      <c r="X3901" t="s">
        <v>44909</v>
      </c>
    </row>
    <row r="3902" spans="1:24">
      <c r="A3902">
        <f>HYPERLINK("https://www.philgeps.gov.ph/GEPSNONPILOT/Tender/SplashBidNoticeAbstractUI.aspx?menuIndex=3&amp;refID=7080522&amp;Result=3","7080522")</f>
        <v>0</v>
      </c>
      <c r="B3902" t="s">
        <v>1412</v>
      </c>
      <c r="C3902" t="s">
        <v>7256</v>
      </c>
      <c r="D3902" t="s">
        <v>18108</v>
      </c>
      <c r="E3902" t="s">
        <v>21690</v>
      </c>
      <c r="F3902" t="s">
        <v>31362</v>
      </c>
      <c r="G3902" t="s">
        <v>31368</v>
      </c>
      <c r="H3902" t="s">
        <v>15799</v>
      </c>
      <c r="I3902" t="s">
        <v>31380</v>
      </c>
      <c r="J3902" t="s">
        <v>32844</v>
      </c>
      <c r="K3902" t="s">
        <v>40677</v>
      </c>
      <c r="M3902" t="s">
        <v>42437</v>
      </c>
      <c r="N3902" t="s">
        <v>44905</v>
      </c>
      <c r="O3902" t="s">
        <v>44906</v>
      </c>
      <c r="P3902">
        <v>0</v>
      </c>
      <c r="Q3902">
        <v>3</v>
      </c>
      <c r="R3902" t="s">
        <v>44908</v>
      </c>
      <c r="S3902" t="s">
        <v>45042</v>
      </c>
      <c r="T3902" t="s">
        <v>46509</v>
      </c>
      <c r="U3902" t="s">
        <v>50126</v>
      </c>
      <c r="W3902" t="s">
        <v>42437</v>
      </c>
      <c r="X3902" t="s">
        <v>44909</v>
      </c>
    </row>
    <row r="3903" spans="1:24">
      <c r="A3903">
        <f>HYPERLINK("https://www.philgeps.gov.ph/GEPSNONPILOT/Tender/SplashBidNoticeAbstractUI.aspx?menuIndex=3&amp;refID=7080533&amp;Result=3","7080533")</f>
        <v>0</v>
      </c>
      <c r="B3903" t="s">
        <v>1399</v>
      </c>
      <c r="C3903" t="s">
        <v>7257</v>
      </c>
      <c r="D3903" t="s">
        <v>18108</v>
      </c>
      <c r="E3903" t="s">
        <v>21691</v>
      </c>
      <c r="F3903" t="s">
        <v>31362</v>
      </c>
      <c r="G3903" t="s">
        <v>31368</v>
      </c>
      <c r="H3903" t="s">
        <v>15799</v>
      </c>
      <c r="I3903" t="s">
        <v>3815</v>
      </c>
      <c r="J3903" t="s">
        <v>34098</v>
      </c>
      <c r="K3903" t="s">
        <v>40661</v>
      </c>
      <c r="M3903" t="s">
        <v>42424</v>
      </c>
      <c r="N3903" t="s">
        <v>44905</v>
      </c>
      <c r="O3903" t="s">
        <v>44906</v>
      </c>
      <c r="P3903">
        <v>0</v>
      </c>
      <c r="Q3903">
        <v>1</v>
      </c>
      <c r="R3903" t="s">
        <v>44908</v>
      </c>
      <c r="S3903" t="s">
        <v>45042</v>
      </c>
      <c r="T3903" t="s">
        <v>46434</v>
      </c>
      <c r="U3903" t="s">
        <v>50107</v>
      </c>
      <c r="W3903" t="s">
        <v>42424</v>
      </c>
      <c r="X3903" t="s">
        <v>44909</v>
      </c>
    </row>
    <row r="3904" spans="1:24">
      <c r="A3904">
        <f>HYPERLINK("https://www.philgeps.gov.ph/GEPSNONPILOT/Tender/SplashBidNoticeAbstractUI.aspx?menuIndex=3&amp;refID=7080531&amp;Result=3","7080531")</f>
        <v>0</v>
      </c>
      <c r="B3904" t="s">
        <v>130</v>
      </c>
      <c r="C3904" t="s">
        <v>7258</v>
      </c>
      <c r="D3904" t="s">
        <v>18109</v>
      </c>
      <c r="E3904" t="s">
        <v>21692</v>
      </c>
      <c r="F3904" t="s">
        <v>31362</v>
      </c>
      <c r="G3904" t="s">
        <v>31368</v>
      </c>
      <c r="H3904" t="s">
        <v>15799</v>
      </c>
      <c r="I3904" t="s">
        <v>31419</v>
      </c>
      <c r="J3904" t="s">
        <v>31577</v>
      </c>
      <c r="K3904" t="s">
        <v>40662</v>
      </c>
      <c r="M3904" t="s">
        <v>41067</v>
      </c>
      <c r="N3904" t="s">
        <v>44905</v>
      </c>
      <c r="O3904" t="s">
        <v>44906</v>
      </c>
      <c r="P3904">
        <v>0</v>
      </c>
      <c r="Q3904">
        <v>3</v>
      </c>
      <c r="R3904" t="s">
        <v>44908</v>
      </c>
      <c r="S3904" t="s">
        <v>45042</v>
      </c>
      <c r="T3904" t="s">
        <v>46394</v>
      </c>
      <c r="U3904" t="s">
        <v>50127</v>
      </c>
      <c r="W3904" t="s">
        <v>41067</v>
      </c>
      <c r="X3904" t="s">
        <v>44909</v>
      </c>
    </row>
    <row r="3905" spans="1:24">
      <c r="A3905">
        <f>HYPERLINK("https://www.philgeps.gov.ph/GEPSNONPILOT/Tender/SplashBidNoticeAbstractUI.aspx?menuIndex=3&amp;refID=7080520&amp;Result=3","7080520")</f>
        <v>0</v>
      </c>
      <c r="B3905" t="s">
        <v>814</v>
      </c>
      <c r="C3905" t="s">
        <v>7259</v>
      </c>
      <c r="D3905" t="s">
        <v>18138</v>
      </c>
      <c r="E3905" t="s">
        <v>21693</v>
      </c>
      <c r="F3905" t="s">
        <v>31362</v>
      </c>
      <c r="G3905" t="s">
        <v>31368</v>
      </c>
      <c r="H3905" t="s">
        <v>31379</v>
      </c>
      <c r="I3905" t="s">
        <v>6240</v>
      </c>
      <c r="J3905" t="s">
        <v>31536</v>
      </c>
      <c r="K3905" t="s">
        <v>40682</v>
      </c>
      <c r="M3905" t="s">
        <v>41787</v>
      </c>
      <c r="N3905" t="s">
        <v>44905</v>
      </c>
      <c r="O3905" t="s">
        <v>44906</v>
      </c>
      <c r="P3905">
        <v>0</v>
      </c>
      <c r="Q3905">
        <v>0</v>
      </c>
      <c r="R3905" t="s">
        <v>44908</v>
      </c>
      <c r="S3905" t="s">
        <v>45042</v>
      </c>
      <c r="T3905" t="s">
        <v>46454</v>
      </c>
      <c r="U3905" t="s">
        <v>50074</v>
      </c>
      <c r="V3905" t="s">
        <v>59442</v>
      </c>
      <c r="W3905" t="s">
        <v>41787</v>
      </c>
      <c r="X3905" t="s">
        <v>44909</v>
      </c>
    </row>
    <row r="3906" spans="1:24">
      <c r="A3906">
        <f>HYPERLINK("https://www.philgeps.gov.ph/GEPSNONPILOT/Tender/SplashBidNoticeAbstractUI.aspx?menuIndex=3&amp;refID=7080561&amp;Result=3","7080561")</f>
        <v>0</v>
      </c>
      <c r="B3906" t="s">
        <v>232</v>
      </c>
      <c r="C3906" t="s">
        <v>7260</v>
      </c>
      <c r="D3906" t="s">
        <v>18101</v>
      </c>
      <c r="E3906" t="s">
        <v>21694</v>
      </c>
      <c r="F3906" t="s">
        <v>31362</v>
      </c>
      <c r="G3906" t="s">
        <v>31368</v>
      </c>
      <c r="H3906" t="s">
        <v>15799</v>
      </c>
      <c r="I3906" t="s">
        <v>31387</v>
      </c>
      <c r="J3906" t="s">
        <v>34099</v>
      </c>
      <c r="K3906" t="s">
        <v>40661</v>
      </c>
      <c r="M3906" t="s">
        <v>41171</v>
      </c>
      <c r="N3906" t="s">
        <v>44905</v>
      </c>
      <c r="O3906" t="s">
        <v>44906</v>
      </c>
      <c r="P3906">
        <v>0</v>
      </c>
      <c r="Q3906">
        <v>0</v>
      </c>
      <c r="R3906" t="s">
        <v>44908</v>
      </c>
      <c r="S3906" t="s">
        <v>45042</v>
      </c>
      <c r="T3906" t="s">
        <v>46432</v>
      </c>
      <c r="U3906" t="s">
        <v>50128</v>
      </c>
      <c r="W3906" t="s">
        <v>41171</v>
      </c>
      <c r="X3906" t="s">
        <v>44909</v>
      </c>
    </row>
    <row r="3907" spans="1:24">
      <c r="A3907">
        <f>HYPERLINK("https://www.philgeps.gov.ph/GEPSNONPILOT/Tender/SplashBidNoticeAbstractUI.aspx?menuIndex=3&amp;refID=7080559&amp;Result=3","7080559")</f>
        <v>0</v>
      </c>
      <c r="B3907" t="s">
        <v>255</v>
      </c>
      <c r="C3907" t="s">
        <v>7261</v>
      </c>
      <c r="E3907" t="s">
        <v>21695</v>
      </c>
      <c r="F3907" t="s">
        <v>31362</v>
      </c>
      <c r="G3907" t="s">
        <v>31368</v>
      </c>
      <c r="H3907" t="s">
        <v>15799</v>
      </c>
      <c r="I3907" t="s">
        <v>4057</v>
      </c>
      <c r="J3907" t="s">
        <v>32146</v>
      </c>
      <c r="K3907" t="s">
        <v>40662</v>
      </c>
      <c r="M3907" t="s">
        <v>41246</v>
      </c>
      <c r="N3907" t="s">
        <v>44905</v>
      </c>
      <c r="O3907" t="s">
        <v>44906</v>
      </c>
      <c r="P3907">
        <v>0</v>
      </c>
      <c r="Q3907">
        <v>1</v>
      </c>
      <c r="R3907" t="s">
        <v>44908</v>
      </c>
      <c r="S3907" t="s">
        <v>45042</v>
      </c>
      <c r="T3907" t="s">
        <v>46393</v>
      </c>
      <c r="U3907" t="s">
        <v>50129</v>
      </c>
      <c r="W3907" t="s">
        <v>41246</v>
      </c>
      <c r="X3907" t="s">
        <v>44909</v>
      </c>
    </row>
    <row r="3908" spans="1:24">
      <c r="A3908">
        <f>HYPERLINK("https://www.philgeps.gov.ph/GEPSNONPILOT/Tender/SplashBidNoticeAbstractUI.aspx?menuIndex=3&amp;refID=7080558&amp;Result=3","7080558")</f>
        <v>0</v>
      </c>
      <c r="B3908" t="s">
        <v>791</v>
      </c>
      <c r="C3908" t="s">
        <v>7262</v>
      </c>
      <c r="D3908" t="s">
        <v>18101</v>
      </c>
      <c r="E3908" t="s">
        <v>21696</v>
      </c>
      <c r="F3908" t="s">
        <v>31362</v>
      </c>
      <c r="G3908" t="s">
        <v>31368</v>
      </c>
      <c r="H3908" t="s">
        <v>15799</v>
      </c>
      <c r="I3908" t="s">
        <v>31410</v>
      </c>
      <c r="J3908" t="s">
        <v>31546</v>
      </c>
      <c r="K3908" t="s">
        <v>40662</v>
      </c>
      <c r="M3908" t="s">
        <v>41761</v>
      </c>
      <c r="N3908" t="s">
        <v>44905</v>
      </c>
      <c r="O3908" t="s">
        <v>44906</v>
      </c>
      <c r="P3908">
        <v>0</v>
      </c>
      <c r="Q3908">
        <v>0</v>
      </c>
      <c r="R3908" t="s">
        <v>44908</v>
      </c>
      <c r="S3908" t="s">
        <v>45042</v>
      </c>
      <c r="T3908" t="s">
        <v>46399</v>
      </c>
      <c r="U3908" t="s">
        <v>50130</v>
      </c>
      <c r="V3908" t="s">
        <v>59151</v>
      </c>
      <c r="W3908" t="s">
        <v>41761</v>
      </c>
      <c r="X3908" t="s">
        <v>44909</v>
      </c>
    </row>
    <row r="3909" spans="1:24">
      <c r="A3909">
        <f>HYPERLINK("https://www.philgeps.gov.ph/GEPSNONPILOT/Tender/SplashBidNoticeAbstractUI.aspx?menuIndex=3&amp;refID=7080521&amp;Result=3","7080521")</f>
        <v>0</v>
      </c>
      <c r="B3909" t="s">
        <v>1079</v>
      </c>
      <c r="C3909" t="s">
        <v>7263</v>
      </c>
      <c r="D3909" t="s">
        <v>18100</v>
      </c>
      <c r="E3909" t="s">
        <v>21697</v>
      </c>
      <c r="F3909" t="s">
        <v>31362</v>
      </c>
      <c r="G3909" t="s">
        <v>31368</v>
      </c>
      <c r="H3909" t="s">
        <v>15799</v>
      </c>
      <c r="I3909" t="s">
        <v>31385</v>
      </c>
      <c r="J3909" t="s">
        <v>34100</v>
      </c>
      <c r="K3909" t="s">
        <v>40666</v>
      </c>
      <c r="M3909" t="s">
        <v>42081</v>
      </c>
      <c r="N3909" t="s">
        <v>44905</v>
      </c>
      <c r="O3909" t="s">
        <v>44906</v>
      </c>
      <c r="P3909">
        <v>0</v>
      </c>
      <c r="Q3909">
        <v>0</v>
      </c>
      <c r="R3909" t="s">
        <v>44908</v>
      </c>
      <c r="S3909" t="s">
        <v>45042</v>
      </c>
      <c r="T3909" t="s">
        <v>46473</v>
      </c>
      <c r="U3909" t="s">
        <v>50131</v>
      </c>
      <c r="W3909" t="s">
        <v>42081</v>
      </c>
      <c r="X3909" t="s">
        <v>44909</v>
      </c>
    </row>
    <row r="3910" spans="1:24">
      <c r="A3910">
        <f>HYPERLINK("https://www.philgeps.gov.ph/GEPSNONPILOT/Tender/SplashBidNoticeAbstractUI.aspx?menuIndex=3&amp;refID=7080557&amp;Result=3","7080557")</f>
        <v>0</v>
      </c>
      <c r="B3910" t="s">
        <v>313</v>
      </c>
      <c r="C3910" t="s">
        <v>7264</v>
      </c>
      <c r="D3910" t="s">
        <v>18111</v>
      </c>
      <c r="E3910" t="s">
        <v>21698</v>
      </c>
      <c r="F3910" t="s">
        <v>31362</v>
      </c>
      <c r="G3910" t="s">
        <v>31369</v>
      </c>
      <c r="H3910" t="s">
        <v>15799</v>
      </c>
      <c r="I3910" t="s">
        <v>7090</v>
      </c>
      <c r="J3910" t="s">
        <v>34101</v>
      </c>
      <c r="K3910" t="s">
        <v>40670</v>
      </c>
      <c r="M3910" t="s">
        <v>41258</v>
      </c>
      <c r="N3910" t="s">
        <v>44905</v>
      </c>
      <c r="O3910" t="s">
        <v>44906</v>
      </c>
      <c r="P3910">
        <v>0</v>
      </c>
      <c r="Q3910">
        <v>6</v>
      </c>
      <c r="R3910" t="s">
        <v>44908</v>
      </c>
      <c r="S3910" t="s">
        <v>45042</v>
      </c>
      <c r="T3910" t="s">
        <v>46458</v>
      </c>
      <c r="U3910" t="s">
        <v>50132</v>
      </c>
      <c r="W3910" t="s">
        <v>41258</v>
      </c>
      <c r="X3910" t="s">
        <v>44909</v>
      </c>
    </row>
    <row r="3911" spans="1:24">
      <c r="A3911">
        <f>HYPERLINK("https://www.philgeps.gov.ph/GEPSNONPILOT/Tender/SplashBidNoticeAbstractUI.aspx?menuIndex=3&amp;refID=7080556&amp;Result=3","7080556")</f>
        <v>0</v>
      </c>
      <c r="B3911" t="s">
        <v>1413</v>
      </c>
      <c r="C3911" t="s">
        <v>7265</v>
      </c>
      <c r="D3911" t="s">
        <v>18169</v>
      </c>
      <c r="E3911" t="s">
        <v>21699</v>
      </c>
      <c r="F3911" t="s">
        <v>31362</v>
      </c>
      <c r="G3911" t="s">
        <v>31368</v>
      </c>
      <c r="H3911" t="s">
        <v>15799</v>
      </c>
      <c r="I3911" t="s">
        <v>31478</v>
      </c>
      <c r="J3911" t="s">
        <v>31545</v>
      </c>
      <c r="K3911" t="s">
        <v>40661</v>
      </c>
      <c r="M3911" t="s">
        <v>42438</v>
      </c>
      <c r="N3911" t="s">
        <v>44905</v>
      </c>
      <c r="O3911" t="s">
        <v>44906</v>
      </c>
      <c r="P3911">
        <v>0</v>
      </c>
      <c r="Q3911">
        <v>0</v>
      </c>
      <c r="R3911" t="s">
        <v>44908</v>
      </c>
      <c r="S3911" t="s">
        <v>45042</v>
      </c>
      <c r="T3911" t="s">
        <v>46438</v>
      </c>
      <c r="U3911" t="s">
        <v>50133</v>
      </c>
      <c r="W3911" t="s">
        <v>42438</v>
      </c>
      <c r="X3911" t="s">
        <v>44909</v>
      </c>
    </row>
    <row r="3912" spans="1:24">
      <c r="A3912">
        <f>HYPERLINK("https://www.philgeps.gov.ph/GEPSNONPILOT/Tender/SplashBidNoticeAbstractUI.aspx?menuIndex=3&amp;refID=7080554&amp;Result=3","7080554")</f>
        <v>0</v>
      </c>
      <c r="B3912" t="s">
        <v>1114</v>
      </c>
      <c r="C3912" t="s">
        <v>7266</v>
      </c>
      <c r="D3912" t="s">
        <v>18109</v>
      </c>
      <c r="E3912" t="s">
        <v>21700</v>
      </c>
      <c r="F3912" t="s">
        <v>31362</v>
      </c>
      <c r="G3912" t="s">
        <v>31368</v>
      </c>
      <c r="H3912" t="s">
        <v>15799</v>
      </c>
      <c r="I3912" t="s">
        <v>7188</v>
      </c>
      <c r="J3912" t="s">
        <v>31545</v>
      </c>
      <c r="K3912" t="s">
        <v>40666</v>
      </c>
      <c r="M3912" t="s">
        <v>42392</v>
      </c>
      <c r="N3912" t="s">
        <v>44905</v>
      </c>
      <c r="O3912" t="s">
        <v>44906</v>
      </c>
      <c r="P3912">
        <v>0</v>
      </c>
      <c r="Q3912">
        <v>0</v>
      </c>
      <c r="R3912" t="s">
        <v>44908</v>
      </c>
      <c r="S3912" t="s">
        <v>45042</v>
      </c>
      <c r="T3912" t="s">
        <v>46435</v>
      </c>
      <c r="U3912" t="s">
        <v>49981</v>
      </c>
      <c r="W3912" t="s">
        <v>42392</v>
      </c>
      <c r="X3912" t="s">
        <v>44909</v>
      </c>
    </row>
    <row r="3913" spans="1:24">
      <c r="A3913">
        <f>HYPERLINK("https://www.philgeps.gov.ph/GEPSNONPILOT/Tender/SplashBidNoticeAbstractUI.aspx?menuIndex=3&amp;refID=7080471&amp;Result=3","7080471")</f>
        <v>0</v>
      </c>
      <c r="B3913" t="s">
        <v>1264</v>
      </c>
      <c r="C3913" t="s">
        <v>7267</v>
      </c>
      <c r="D3913" t="s">
        <v>18108</v>
      </c>
      <c r="E3913" t="s">
        <v>21701</v>
      </c>
      <c r="F3913" t="s">
        <v>31362</v>
      </c>
      <c r="G3913" t="s">
        <v>31368</v>
      </c>
      <c r="H3913" t="s">
        <v>15799</v>
      </c>
      <c r="I3913" t="s">
        <v>4283</v>
      </c>
      <c r="J3913" t="s">
        <v>34102</v>
      </c>
      <c r="K3913" t="s">
        <v>40665</v>
      </c>
      <c r="M3913" t="s">
        <v>42281</v>
      </c>
      <c r="N3913" t="s">
        <v>44905</v>
      </c>
      <c r="O3913" t="s">
        <v>44906</v>
      </c>
      <c r="P3913">
        <v>0</v>
      </c>
      <c r="Q3913">
        <v>3</v>
      </c>
      <c r="R3913" t="s">
        <v>44908</v>
      </c>
      <c r="S3913" t="s">
        <v>45042</v>
      </c>
      <c r="T3913" t="s">
        <v>46454</v>
      </c>
      <c r="U3913" t="s">
        <v>50134</v>
      </c>
      <c r="W3913" t="s">
        <v>42281</v>
      </c>
      <c r="X3913" t="s">
        <v>44909</v>
      </c>
    </row>
    <row r="3914" spans="1:24">
      <c r="A3914">
        <f>HYPERLINK("https://www.philgeps.gov.ph/GEPSNONPILOT/Tender/SplashBidNoticeAbstractUI.aspx?menuIndex=3&amp;refID=7080552&amp;Result=3","7080552")</f>
        <v>0</v>
      </c>
      <c r="B3914" t="s">
        <v>1414</v>
      </c>
      <c r="C3914" t="s">
        <v>7268</v>
      </c>
      <c r="D3914" t="s">
        <v>18106</v>
      </c>
      <c r="E3914" t="s">
        <v>21702</v>
      </c>
      <c r="F3914" t="s">
        <v>31362</v>
      </c>
      <c r="G3914" t="s">
        <v>31369</v>
      </c>
      <c r="H3914" t="s">
        <v>31378</v>
      </c>
      <c r="I3914" t="s">
        <v>31386</v>
      </c>
      <c r="J3914" t="s">
        <v>31687</v>
      </c>
      <c r="K3914" t="s">
        <v>40665</v>
      </c>
      <c r="M3914" t="s">
        <v>42439</v>
      </c>
      <c r="N3914" t="s">
        <v>44905</v>
      </c>
      <c r="O3914" t="s">
        <v>44906</v>
      </c>
      <c r="P3914">
        <v>0</v>
      </c>
      <c r="Q3914">
        <v>0</v>
      </c>
      <c r="R3914" t="s">
        <v>44908</v>
      </c>
      <c r="S3914" t="s">
        <v>45042</v>
      </c>
      <c r="T3914" t="s">
        <v>46450</v>
      </c>
      <c r="U3914" t="s">
        <v>50135</v>
      </c>
      <c r="W3914" t="s">
        <v>42439</v>
      </c>
      <c r="X3914" t="s">
        <v>44909</v>
      </c>
    </row>
    <row r="3915" spans="1:24">
      <c r="A3915">
        <f>HYPERLINK("https://www.philgeps.gov.ph/GEPSNONPILOT/Tender/SplashBidNoticeAbstractUI.aspx?menuIndex=3&amp;refID=7080551&amp;Result=3","7080551")</f>
        <v>0</v>
      </c>
      <c r="B3915" t="s">
        <v>1262</v>
      </c>
      <c r="C3915" t="s">
        <v>7269</v>
      </c>
      <c r="D3915" t="s">
        <v>18102</v>
      </c>
      <c r="E3915" t="s">
        <v>21703</v>
      </c>
      <c r="F3915" t="s">
        <v>31362</v>
      </c>
      <c r="G3915" t="s">
        <v>31369</v>
      </c>
      <c r="H3915" t="s">
        <v>31378</v>
      </c>
      <c r="I3915" t="s">
        <v>31386</v>
      </c>
      <c r="J3915" t="s">
        <v>31578</v>
      </c>
      <c r="K3915" t="s">
        <v>40662</v>
      </c>
      <c r="M3915" t="s">
        <v>42278</v>
      </c>
      <c r="N3915" t="s">
        <v>44905</v>
      </c>
      <c r="O3915" t="s">
        <v>44906</v>
      </c>
      <c r="P3915">
        <v>0</v>
      </c>
      <c r="Q3915">
        <v>0</v>
      </c>
      <c r="R3915" t="s">
        <v>44908</v>
      </c>
      <c r="S3915" t="s">
        <v>45042</v>
      </c>
      <c r="T3915" t="s">
        <v>46415</v>
      </c>
      <c r="U3915" t="s">
        <v>50136</v>
      </c>
      <c r="W3915" t="s">
        <v>42278</v>
      </c>
      <c r="X3915" t="s">
        <v>44909</v>
      </c>
    </row>
    <row r="3916" spans="1:24">
      <c r="A3916">
        <f>HYPERLINK("https://www.philgeps.gov.ph/GEPSNONPILOT/Tender/SplashBidNoticeAbstractUI.aspx?menuIndex=3&amp;refID=7080547&amp;Result=3","7080547")</f>
        <v>0</v>
      </c>
      <c r="B3916" t="s">
        <v>672</v>
      </c>
      <c r="C3916" t="s">
        <v>7270</v>
      </c>
      <c r="D3916" t="s">
        <v>18103</v>
      </c>
      <c r="E3916" t="s">
        <v>21704</v>
      </c>
      <c r="F3916" t="s">
        <v>31362</v>
      </c>
      <c r="G3916" t="s">
        <v>31369</v>
      </c>
      <c r="H3916" t="s">
        <v>31378</v>
      </c>
      <c r="I3916" t="s">
        <v>31386</v>
      </c>
      <c r="J3916" t="s">
        <v>34103</v>
      </c>
      <c r="K3916" t="s">
        <v>40686</v>
      </c>
      <c r="M3916" t="s">
        <v>41634</v>
      </c>
      <c r="N3916" t="s">
        <v>44905</v>
      </c>
      <c r="O3916" t="s">
        <v>44906</v>
      </c>
      <c r="P3916">
        <v>0</v>
      </c>
      <c r="Q3916">
        <v>3</v>
      </c>
      <c r="R3916" t="s">
        <v>44908</v>
      </c>
      <c r="S3916" t="s">
        <v>45042</v>
      </c>
      <c r="T3916" t="s">
        <v>46429</v>
      </c>
      <c r="U3916" t="s">
        <v>50090</v>
      </c>
      <c r="W3916" t="s">
        <v>60863</v>
      </c>
      <c r="X3916" t="s">
        <v>44909</v>
      </c>
    </row>
    <row r="3917" spans="1:24">
      <c r="A3917">
        <f>HYPERLINK("https://www.philgeps.gov.ph/GEPSNONPILOT/Tender/SplashBidNoticeAbstractUI.aspx?menuIndex=3&amp;refID=7080546&amp;Result=3","7080546")</f>
        <v>0</v>
      </c>
      <c r="B3917" t="s">
        <v>491</v>
      </c>
      <c r="C3917" t="s">
        <v>7271</v>
      </c>
      <c r="D3917" t="s">
        <v>18126</v>
      </c>
      <c r="E3917" t="s">
        <v>21705</v>
      </c>
      <c r="F3917" t="s">
        <v>31362</v>
      </c>
      <c r="G3917" t="s">
        <v>31369</v>
      </c>
      <c r="H3917" t="s">
        <v>31378</v>
      </c>
      <c r="I3917" t="s">
        <v>31386</v>
      </c>
      <c r="J3917" t="s">
        <v>34104</v>
      </c>
      <c r="K3917" t="s">
        <v>40686</v>
      </c>
      <c r="M3917" t="s">
        <v>41446</v>
      </c>
      <c r="N3917" t="s">
        <v>44905</v>
      </c>
      <c r="O3917" t="s">
        <v>44906</v>
      </c>
      <c r="P3917">
        <v>0</v>
      </c>
      <c r="Q3917">
        <v>0</v>
      </c>
      <c r="R3917" t="s">
        <v>44908</v>
      </c>
      <c r="S3917" t="s">
        <v>45042</v>
      </c>
      <c r="T3917" t="s">
        <v>46638</v>
      </c>
      <c r="U3917" t="s">
        <v>50137</v>
      </c>
      <c r="W3917" t="s">
        <v>41446</v>
      </c>
      <c r="X3917" t="s">
        <v>44909</v>
      </c>
    </row>
    <row r="3918" spans="1:24">
      <c r="A3918">
        <f>HYPERLINK("https://www.philgeps.gov.ph/GEPSNONPILOT/Tender/SplashBidNoticeAbstractUI.aspx?menuIndex=3&amp;refID=7080472&amp;Result=3","7080472")</f>
        <v>0</v>
      </c>
      <c r="B3918" t="s">
        <v>123</v>
      </c>
      <c r="C3918" t="s">
        <v>7272</v>
      </c>
      <c r="D3918" t="s">
        <v>18127</v>
      </c>
      <c r="E3918" t="s">
        <v>21706</v>
      </c>
      <c r="F3918" t="s">
        <v>31362</v>
      </c>
      <c r="G3918" t="s">
        <v>31368</v>
      </c>
      <c r="H3918" t="s">
        <v>15799</v>
      </c>
      <c r="I3918" t="s">
        <v>3815</v>
      </c>
      <c r="J3918" t="s">
        <v>34105</v>
      </c>
      <c r="K3918" t="s">
        <v>40665</v>
      </c>
      <c r="M3918" t="s">
        <v>42440</v>
      </c>
      <c r="N3918" t="s">
        <v>44905</v>
      </c>
      <c r="O3918" t="s">
        <v>44906</v>
      </c>
      <c r="P3918">
        <v>0</v>
      </c>
      <c r="Q3918">
        <v>1</v>
      </c>
      <c r="R3918" t="s">
        <v>44908</v>
      </c>
      <c r="S3918" t="s">
        <v>45042</v>
      </c>
      <c r="T3918" t="s">
        <v>46480</v>
      </c>
      <c r="U3918" t="s">
        <v>50138</v>
      </c>
      <c r="W3918" t="s">
        <v>42440</v>
      </c>
      <c r="X3918" t="s">
        <v>44909</v>
      </c>
    </row>
    <row r="3919" spans="1:24">
      <c r="A3919">
        <f>HYPERLINK("https://www.philgeps.gov.ph/GEPSNONPILOT/Tender/SplashBidNoticeAbstractUI.aspx?menuIndex=3&amp;refID=7080545&amp;Result=3","7080545")</f>
        <v>0</v>
      </c>
      <c r="B3919" t="s">
        <v>184</v>
      </c>
      <c r="C3919" t="s">
        <v>7273</v>
      </c>
      <c r="D3919" t="s">
        <v>18123</v>
      </c>
      <c r="E3919" t="s">
        <v>21707</v>
      </c>
      <c r="F3919" t="s">
        <v>31362</v>
      </c>
      <c r="G3919" t="s">
        <v>31369</v>
      </c>
      <c r="H3919" t="s">
        <v>31379</v>
      </c>
      <c r="I3919" t="s">
        <v>31436</v>
      </c>
      <c r="J3919" t="s">
        <v>34106</v>
      </c>
      <c r="K3919" t="s">
        <v>40769</v>
      </c>
      <c r="M3919" t="s">
        <v>41133</v>
      </c>
      <c r="N3919" t="s">
        <v>44905</v>
      </c>
      <c r="O3919" t="s">
        <v>44906</v>
      </c>
      <c r="P3919">
        <v>0</v>
      </c>
      <c r="Q3919">
        <v>1</v>
      </c>
      <c r="R3919" t="s">
        <v>44908</v>
      </c>
      <c r="S3919" t="s">
        <v>45042</v>
      </c>
      <c r="T3919" t="s">
        <v>46666</v>
      </c>
      <c r="U3919" t="s">
        <v>50139</v>
      </c>
      <c r="W3919" t="s">
        <v>41133</v>
      </c>
      <c r="X3919" t="s">
        <v>44909</v>
      </c>
    </row>
    <row r="3920" spans="1:24">
      <c r="A3920">
        <f>HYPERLINK("https://www.philgeps.gov.ph/GEPSNONPILOT/Tender/SplashBidNoticeAbstractUI.aspx?menuIndex=3&amp;refID=7080543&amp;Result=3","7080543")</f>
        <v>0</v>
      </c>
      <c r="B3920" t="s">
        <v>708</v>
      </c>
      <c r="C3920" t="s">
        <v>7274</v>
      </c>
      <c r="D3920" t="s">
        <v>18124</v>
      </c>
      <c r="E3920" t="s">
        <v>21614</v>
      </c>
      <c r="F3920" t="s">
        <v>31362</v>
      </c>
      <c r="G3920" t="s">
        <v>31369</v>
      </c>
      <c r="H3920" t="s">
        <v>15799</v>
      </c>
      <c r="I3920" t="s">
        <v>31408</v>
      </c>
      <c r="J3920" t="s">
        <v>32016</v>
      </c>
      <c r="K3920" t="s">
        <v>40661</v>
      </c>
      <c r="M3920" t="s">
        <v>41673</v>
      </c>
      <c r="N3920" t="s">
        <v>44905</v>
      </c>
      <c r="O3920" t="s">
        <v>44906</v>
      </c>
      <c r="P3920">
        <v>0</v>
      </c>
      <c r="Q3920">
        <v>0</v>
      </c>
      <c r="R3920" t="s">
        <v>44908</v>
      </c>
      <c r="S3920" t="s">
        <v>45042</v>
      </c>
      <c r="T3920" t="s">
        <v>46525</v>
      </c>
      <c r="U3920" t="s">
        <v>50051</v>
      </c>
      <c r="W3920" t="s">
        <v>41673</v>
      </c>
      <c r="X3920" t="s">
        <v>44909</v>
      </c>
    </row>
    <row r="3921" spans="1:24">
      <c r="A3921">
        <f>HYPERLINK("https://www.philgeps.gov.ph/GEPSNONPILOT/Tender/SplashBidNoticeAbstractUI.aspx?menuIndex=3&amp;refID=7080549&amp;Result=3","7080549")</f>
        <v>0</v>
      </c>
      <c r="B3921" t="s">
        <v>232</v>
      </c>
      <c r="C3921" t="s">
        <v>7275</v>
      </c>
      <c r="D3921" t="s">
        <v>18101</v>
      </c>
      <c r="E3921" t="s">
        <v>21708</v>
      </c>
      <c r="F3921" t="s">
        <v>31362</v>
      </c>
      <c r="G3921" t="s">
        <v>31368</v>
      </c>
      <c r="H3921" t="s">
        <v>15799</v>
      </c>
      <c r="I3921" t="s">
        <v>31387</v>
      </c>
      <c r="J3921" t="s">
        <v>32721</v>
      </c>
      <c r="K3921" t="s">
        <v>40661</v>
      </c>
      <c r="M3921" t="s">
        <v>41171</v>
      </c>
      <c r="N3921" t="s">
        <v>44905</v>
      </c>
      <c r="O3921" t="s">
        <v>44906</v>
      </c>
      <c r="P3921">
        <v>0</v>
      </c>
      <c r="Q3921">
        <v>0</v>
      </c>
      <c r="R3921" t="s">
        <v>44908</v>
      </c>
      <c r="S3921" t="s">
        <v>45042</v>
      </c>
      <c r="T3921" t="s">
        <v>46409</v>
      </c>
      <c r="U3921" t="s">
        <v>50140</v>
      </c>
      <c r="W3921" t="s">
        <v>41171</v>
      </c>
      <c r="X3921" t="s">
        <v>44909</v>
      </c>
    </row>
    <row r="3922" spans="1:24">
      <c r="A3922">
        <f>HYPERLINK("https://www.philgeps.gov.ph/GEPSNONPILOT/Tender/SplashBidNoticeAbstractUI.aspx?menuIndex=3&amp;refID=7080539&amp;Result=3","7080539")</f>
        <v>0</v>
      </c>
      <c r="B3922" t="s">
        <v>1336</v>
      </c>
      <c r="C3922" t="s">
        <v>7276</v>
      </c>
      <c r="D3922" t="s">
        <v>18154</v>
      </c>
      <c r="E3922" t="s">
        <v>21709</v>
      </c>
      <c r="F3922" t="s">
        <v>31362</v>
      </c>
      <c r="G3922" t="s">
        <v>31368</v>
      </c>
      <c r="H3922" t="s">
        <v>15799</v>
      </c>
      <c r="I3922" t="s">
        <v>31461</v>
      </c>
      <c r="J3922" t="s">
        <v>34107</v>
      </c>
      <c r="K3922" t="s">
        <v>40662</v>
      </c>
      <c r="M3922" t="s">
        <v>42354</v>
      </c>
      <c r="N3922" t="s">
        <v>44905</v>
      </c>
      <c r="O3922" t="s">
        <v>44906</v>
      </c>
      <c r="P3922">
        <v>0</v>
      </c>
      <c r="Q3922">
        <v>1</v>
      </c>
      <c r="R3922" t="s">
        <v>44908</v>
      </c>
      <c r="S3922" t="s">
        <v>45042</v>
      </c>
      <c r="T3922" t="s">
        <v>46443</v>
      </c>
      <c r="U3922" t="s">
        <v>50141</v>
      </c>
      <c r="W3922" t="s">
        <v>42354</v>
      </c>
      <c r="X3922" t="s">
        <v>44909</v>
      </c>
    </row>
    <row r="3923" spans="1:24">
      <c r="A3923">
        <f>HYPERLINK("https://www.philgeps.gov.ph/GEPSNONPILOT/Tender/SplashBidNoticeAbstractUI.aspx?menuIndex=3&amp;refID=7080555&amp;Result=3","7080555")</f>
        <v>0</v>
      </c>
      <c r="B3923" t="s">
        <v>1371</v>
      </c>
      <c r="C3923" t="s">
        <v>7277</v>
      </c>
      <c r="E3923" t="s">
        <v>21710</v>
      </c>
      <c r="F3923" t="s">
        <v>31362</v>
      </c>
      <c r="G3923" t="s">
        <v>31368</v>
      </c>
      <c r="H3923" t="s">
        <v>15799</v>
      </c>
      <c r="I3923" t="s">
        <v>3815</v>
      </c>
      <c r="J3923" t="s">
        <v>32754</v>
      </c>
      <c r="K3923" t="s">
        <v>40666</v>
      </c>
      <c r="M3923" t="s">
        <v>42394</v>
      </c>
      <c r="N3923" t="s">
        <v>44905</v>
      </c>
      <c r="O3923" t="s">
        <v>44906</v>
      </c>
      <c r="P3923">
        <v>0</v>
      </c>
      <c r="Q3923">
        <v>0</v>
      </c>
      <c r="R3923" t="s">
        <v>44908</v>
      </c>
      <c r="S3923" t="s">
        <v>45042</v>
      </c>
      <c r="T3923" t="s">
        <v>46667</v>
      </c>
      <c r="U3923" t="s">
        <v>50142</v>
      </c>
      <c r="W3923" t="s">
        <v>42394</v>
      </c>
      <c r="X3923" t="s">
        <v>44909</v>
      </c>
    </row>
    <row r="3924" spans="1:24">
      <c r="A3924">
        <f>HYPERLINK("https://www.philgeps.gov.ph/GEPSNONPILOT/Tender/SplashBidNoticeAbstractUI.aspx?menuIndex=3&amp;refID=7080538&amp;Result=3","7080538")</f>
        <v>0</v>
      </c>
      <c r="B3924" t="s">
        <v>232</v>
      </c>
      <c r="C3924" t="s">
        <v>7278</v>
      </c>
      <c r="D3924" t="s">
        <v>18101</v>
      </c>
      <c r="E3924" t="s">
        <v>21711</v>
      </c>
      <c r="F3924" t="s">
        <v>31362</v>
      </c>
      <c r="G3924" t="s">
        <v>31368</v>
      </c>
      <c r="H3924" t="s">
        <v>15799</v>
      </c>
      <c r="I3924" t="s">
        <v>31387</v>
      </c>
      <c r="J3924" t="s">
        <v>32071</v>
      </c>
      <c r="K3924" t="s">
        <v>40661</v>
      </c>
      <c r="M3924" t="s">
        <v>41171</v>
      </c>
      <c r="N3924" t="s">
        <v>44905</v>
      </c>
      <c r="O3924" t="s">
        <v>44906</v>
      </c>
      <c r="P3924">
        <v>0</v>
      </c>
      <c r="Q3924">
        <v>0</v>
      </c>
      <c r="R3924" t="s">
        <v>44908</v>
      </c>
      <c r="S3924" t="s">
        <v>45042</v>
      </c>
      <c r="T3924" t="s">
        <v>46409</v>
      </c>
      <c r="U3924" t="s">
        <v>50143</v>
      </c>
      <c r="W3924" t="s">
        <v>41171</v>
      </c>
      <c r="X3924" t="s">
        <v>44909</v>
      </c>
    </row>
    <row r="3925" spans="1:24">
      <c r="A3925">
        <f>HYPERLINK("https://www.philgeps.gov.ph/GEPSNONPILOT/Tender/SplashBidNoticeAbstractUI.aspx?menuIndex=3&amp;refID=7080519&amp;Result=3","7080519")</f>
        <v>0</v>
      </c>
      <c r="B3925" t="s">
        <v>816</v>
      </c>
      <c r="C3925" t="s">
        <v>7279</v>
      </c>
      <c r="D3925" t="s">
        <v>18134</v>
      </c>
      <c r="E3925" t="s">
        <v>21712</v>
      </c>
      <c r="F3925" t="s">
        <v>31362</v>
      </c>
      <c r="G3925" t="s">
        <v>31368</v>
      </c>
      <c r="H3925" t="s">
        <v>15799</v>
      </c>
      <c r="I3925" t="s">
        <v>31397</v>
      </c>
      <c r="J3925" t="s">
        <v>34108</v>
      </c>
      <c r="K3925" t="s">
        <v>40697</v>
      </c>
      <c r="M3925" t="s">
        <v>41789</v>
      </c>
      <c r="N3925" t="s">
        <v>44905</v>
      </c>
      <c r="O3925" t="s">
        <v>44906</v>
      </c>
      <c r="P3925">
        <v>0</v>
      </c>
      <c r="Q3925">
        <v>1</v>
      </c>
      <c r="R3925" t="s">
        <v>44908</v>
      </c>
      <c r="S3925" t="s">
        <v>45042</v>
      </c>
      <c r="T3925" t="s">
        <v>46454</v>
      </c>
      <c r="U3925" t="s">
        <v>50144</v>
      </c>
      <c r="W3925" t="s">
        <v>41789</v>
      </c>
      <c r="X3925" t="s">
        <v>44909</v>
      </c>
    </row>
    <row r="3926" spans="1:24">
      <c r="A3926">
        <f>HYPERLINK("https://www.philgeps.gov.ph/GEPSNONPILOT/Tender/SplashBidNoticeAbstractUI.aspx?menuIndex=3&amp;refID=7080463&amp;Result=3","7080463")</f>
        <v>0</v>
      </c>
      <c r="B3926" t="s">
        <v>473</v>
      </c>
      <c r="C3926" t="s">
        <v>7280</v>
      </c>
      <c r="D3926" t="s">
        <v>18114</v>
      </c>
      <c r="E3926" t="s">
        <v>21713</v>
      </c>
      <c r="F3926" t="s">
        <v>31362</v>
      </c>
      <c r="G3926" t="s">
        <v>31370</v>
      </c>
      <c r="H3926" t="s">
        <v>15799</v>
      </c>
      <c r="I3926" t="s">
        <v>31380</v>
      </c>
      <c r="J3926" t="s">
        <v>31866</v>
      </c>
      <c r="K3926" t="s">
        <v>40697</v>
      </c>
      <c r="M3926" t="s">
        <v>41955</v>
      </c>
      <c r="N3926" t="s">
        <v>44905</v>
      </c>
      <c r="O3926" t="s">
        <v>44906</v>
      </c>
      <c r="P3926">
        <v>0</v>
      </c>
      <c r="Q3926">
        <v>5</v>
      </c>
      <c r="R3926" t="s">
        <v>44908</v>
      </c>
      <c r="S3926" t="s">
        <v>45042</v>
      </c>
      <c r="T3926" t="s">
        <v>46414</v>
      </c>
      <c r="U3926" t="s">
        <v>50145</v>
      </c>
      <c r="W3926" t="s">
        <v>41955</v>
      </c>
      <c r="X3926" t="s">
        <v>44909</v>
      </c>
    </row>
    <row r="3927" spans="1:24">
      <c r="A3927">
        <f>HYPERLINK("https://www.philgeps.gov.ph/GEPSNONPILOT/Tender/SplashBidNoticeAbstractUI.aspx?menuIndex=3&amp;refID=7080517&amp;Result=3","7080517")</f>
        <v>0</v>
      </c>
      <c r="B3927" t="s">
        <v>1415</v>
      </c>
      <c r="C3927" t="s">
        <v>3795</v>
      </c>
      <c r="D3927" t="s">
        <v>18100</v>
      </c>
      <c r="E3927" t="s">
        <v>21714</v>
      </c>
      <c r="F3927" t="s">
        <v>31362</v>
      </c>
      <c r="G3927" t="s">
        <v>31371</v>
      </c>
      <c r="H3927" t="s">
        <v>15799</v>
      </c>
      <c r="I3927" t="s">
        <v>6373</v>
      </c>
      <c r="J3927" t="s">
        <v>34109</v>
      </c>
      <c r="K3927" t="s">
        <v>40662</v>
      </c>
      <c r="M3927" t="s">
        <v>42441</v>
      </c>
      <c r="N3927" t="s">
        <v>44905</v>
      </c>
      <c r="O3927" t="s">
        <v>44906</v>
      </c>
      <c r="P3927">
        <v>0</v>
      </c>
      <c r="Q3927">
        <v>0</v>
      </c>
      <c r="R3927" t="s">
        <v>44908</v>
      </c>
      <c r="S3927" t="s">
        <v>45042</v>
      </c>
      <c r="T3927" t="s">
        <v>46404</v>
      </c>
      <c r="U3927" t="s">
        <v>47749</v>
      </c>
      <c r="W3927" t="s">
        <v>42441</v>
      </c>
      <c r="X3927" t="s">
        <v>44909</v>
      </c>
    </row>
    <row r="3928" spans="1:24">
      <c r="A3928">
        <f>HYPERLINK("https://www.philgeps.gov.ph/GEPSNONPILOT/Tender/SplashBidNoticeAbstractUI.aspx?menuIndex=3&amp;refID=7080542&amp;Result=3","7080542")</f>
        <v>0</v>
      </c>
      <c r="B3928" t="s">
        <v>1416</v>
      </c>
      <c r="C3928" t="s">
        <v>7281</v>
      </c>
      <c r="D3928" t="s">
        <v>18127</v>
      </c>
      <c r="E3928" t="s">
        <v>19162</v>
      </c>
      <c r="F3928" t="s">
        <v>31362</v>
      </c>
      <c r="G3928" t="s">
        <v>31369</v>
      </c>
      <c r="H3928" t="s">
        <v>31378</v>
      </c>
      <c r="I3928" t="s">
        <v>3815</v>
      </c>
      <c r="J3928" t="s">
        <v>31564</v>
      </c>
      <c r="K3928" t="s">
        <v>40665</v>
      </c>
      <c r="M3928" t="s">
        <v>42442</v>
      </c>
      <c r="N3928" t="s">
        <v>44905</v>
      </c>
      <c r="O3928" t="s">
        <v>44906</v>
      </c>
      <c r="P3928">
        <v>0</v>
      </c>
      <c r="Q3928">
        <v>0</v>
      </c>
      <c r="R3928" t="s">
        <v>44908</v>
      </c>
      <c r="S3928" t="s">
        <v>45042</v>
      </c>
      <c r="T3928" t="s">
        <v>46668</v>
      </c>
      <c r="U3928" t="s">
        <v>50146</v>
      </c>
      <c r="V3928" t="s">
        <v>50146</v>
      </c>
      <c r="W3928" t="s">
        <v>42442</v>
      </c>
      <c r="X3928" t="s">
        <v>44909</v>
      </c>
    </row>
    <row r="3929" spans="1:24">
      <c r="A3929">
        <f>HYPERLINK("https://www.philgeps.gov.ph/GEPSNONPILOT/Tender/SplashBidNoticeAbstractUI.aspx?menuIndex=3&amp;refID=7080515&amp;Result=3","7080515")</f>
        <v>0</v>
      </c>
      <c r="B3929" t="s">
        <v>1114</v>
      </c>
      <c r="C3929" t="s">
        <v>7266</v>
      </c>
      <c r="D3929" t="s">
        <v>18109</v>
      </c>
      <c r="E3929" t="s">
        <v>21715</v>
      </c>
      <c r="F3929" t="s">
        <v>31362</v>
      </c>
      <c r="G3929" t="s">
        <v>31368</v>
      </c>
      <c r="H3929" t="s">
        <v>15799</v>
      </c>
      <c r="I3929" t="s">
        <v>7188</v>
      </c>
      <c r="J3929" t="s">
        <v>31829</v>
      </c>
      <c r="K3929" t="s">
        <v>40666</v>
      </c>
      <c r="M3929" t="s">
        <v>42392</v>
      </c>
      <c r="N3929" t="s">
        <v>44905</v>
      </c>
      <c r="O3929" t="s">
        <v>44906</v>
      </c>
      <c r="P3929">
        <v>0</v>
      </c>
      <c r="Q3929">
        <v>0</v>
      </c>
      <c r="R3929" t="s">
        <v>44908</v>
      </c>
      <c r="S3929" t="s">
        <v>45042</v>
      </c>
      <c r="T3929" t="s">
        <v>46447</v>
      </c>
      <c r="U3929" t="s">
        <v>49981</v>
      </c>
      <c r="W3929" t="s">
        <v>42392</v>
      </c>
      <c r="X3929" t="s">
        <v>44909</v>
      </c>
    </row>
    <row r="3930" spans="1:24">
      <c r="A3930">
        <f>HYPERLINK("https://www.philgeps.gov.ph/GEPSNONPILOT/Tender/SplashBidNoticeAbstractUI.aspx?menuIndex=3&amp;refID=7080514&amp;Result=3","7080514")</f>
        <v>0</v>
      </c>
      <c r="B3930" t="s">
        <v>1417</v>
      </c>
      <c r="C3930" t="s">
        <v>7282</v>
      </c>
      <c r="E3930" t="s">
        <v>21716</v>
      </c>
      <c r="F3930" t="s">
        <v>31362</v>
      </c>
      <c r="G3930" t="s">
        <v>31369</v>
      </c>
      <c r="H3930" t="s">
        <v>31378</v>
      </c>
      <c r="I3930" t="s">
        <v>4057</v>
      </c>
      <c r="J3930" t="s">
        <v>34110</v>
      </c>
      <c r="K3930" t="s">
        <v>40728</v>
      </c>
      <c r="M3930" t="s">
        <v>42443</v>
      </c>
      <c r="N3930" t="s">
        <v>44905</v>
      </c>
      <c r="O3930" t="s">
        <v>44906</v>
      </c>
      <c r="P3930">
        <v>0</v>
      </c>
      <c r="Q3930">
        <v>1</v>
      </c>
      <c r="R3930" t="s">
        <v>44908</v>
      </c>
      <c r="S3930" t="s">
        <v>45042</v>
      </c>
      <c r="T3930" t="s">
        <v>46395</v>
      </c>
      <c r="U3930" t="s">
        <v>50147</v>
      </c>
      <c r="W3930" t="s">
        <v>42443</v>
      </c>
      <c r="X3930" t="s">
        <v>44909</v>
      </c>
    </row>
    <row r="3931" spans="1:24">
      <c r="A3931">
        <f>HYPERLINK("https://www.philgeps.gov.ph/GEPSNONPILOT/Tender/SplashBidNoticeAbstractUI.aspx?menuIndex=3&amp;refID=7080494&amp;Result=3","7080494")</f>
        <v>0</v>
      </c>
      <c r="B3931" t="s">
        <v>1371</v>
      </c>
      <c r="C3931" t="s">
        <v>7283</v>
      </c>
      <c r="D3931" t="s">
        <v>18104</v>
      </c>
      <c r="E3931" t="s">
        <v>21717</v>
      </c>
      <c r="F3931" t="s">
        <v>31362</v>
      </c>
      <c r="G3931" t="s">
        <v>31368</v>
      </c>
      <c r="H3931" t="s">
        <v>15799</v>
      </c>
      <c r="I3931" t="s">
        <v>3815</v>
      </c>
      <c r="J3931" t="s">
        <v>34111</v>
      </c>
      <c r="K3931" t="s">
        <v>40666</v>
      </c>
      <c r="M3931" t="s">
        <v>42394</v>
      </c>
      <c r="N3931" t="s">
        <v>44905</v>
      </c>
      <c r="O3931" t="s">
        <v>44906</v>
      </c>
      <c r="P3931">
        <v>0</v>
      </c>
      <c r="Q3931">
        <v>0</v>
      </c>
      <c r="R3931" t="s">
        <v>44908</v>
      </c>
      <c r="S3931" t="s">
        <v>45042</v>
      </c>
      <c r="T3931" t="s">
        <v>46432</v>
      </c>
      <c r="U3931" t="s">
        <v>50148</v>
      </c>
      <c r="W3931" t="s">
        <v>42394</v>
      </c>
      <c r="X3931" t="s">
        <v>44909</v>
      </c>
    </row>
    <row r="3932" spans="1:24">
      <c r="A3932">
        <f>HYPERLINK("https://www.philgeps.gov.ph/GEPSNONPILOT/Tender/SplashBidNoticeAbstractUI.aspx?menuIndex=3&amp;refID=7080399&amp;Result=3","7080399")</f>
        <v>0</v>
      </c>
      <c r="B3932" t="s">
        <v>1339</v>
      </c>
      <c r="C3932" t="s">
        <v>7284</v>
      </c>
      <c r="D3932" t="s">
        <v>18169</v>
      </c>
      <c r="E3932" t="s">
        <v>21718</v>
      </c>
      <c r="F3932" t="s">
        <v>31362</v>
      </c>
      <c r="G3932" t="s">
        <v>31370</v>
      </c>
      <c r="H3932" t="s">
        <v>15799</v>
      </c>
      <c r="I3932" t="s">
        <v>4942</v>
      </c>
      <c r="J3932" t="s">
        <v>34112</v>
      </c>
      <c r="K3932" t="s">
        <v>40661</v>
      </c>
      <c r="M3932" t="s">
        <v>42358</v>
      </c>
      <c r="N3932" t="s">
        <v>44905</v>
      </c>
      <c r="O3932" t="s">
        <v>44906</v>
      </c>
      <c r="P3932">
        <v>0</v>
      </c>
      <c r="Q3932">
        <v>0</v>
      </c>
      <c r="R3932" t="s">
        <v>44908</v>
      </c>
      <c r="S3932" t="s">
        <v>45042</v>
      </c>
      <c r="T3932" t="s">
        <v>46414</v>
      </c>
      <c r="U3932" t="s">
        <v>49887</v>
      </c>
      <c r="W3932" t="s">
        <v>42358</v>
      </c>
      <c r="X3932" t="s">
        <v>44909</v>
      </c>
    </row>
    <row r="3933" spans="1:24">
      <c r="A3933">
        <f>HYPERLINK("https://www.philgeps.gov.ph/GEPSNONPILOT/Tender/SplashBidNoticeAbstractUI.aspx?menuIndex=3&amp;refID=7080493&amp;Result=3","7080493")</f>
        <v>0</v>
      </c>
      <c r="B3933" t="s">
        <v>260</v>
      </c>
      <c r="C3933" t="s">
        <v>7285</v>
      </c>
      <c r="E3933" t="s">
        <v>21719</v>
      </c>
      <c r="F3933" t="s">
        <v>31362</v>
      </c>
      <c r="G3933" t="s">
        <v>31368</v>
      </c>
      <c r="H3933" t="s">
        <v>15799</v>
      </c>
      <c r="I3933" t="s">
        <v>31397</v>
      </c>
      <c r="J3933" t="s">
        <v>34113</v>
      </c>
      <c r="K3933" t="s">
        <v>40662</v>
      </c>
      <c r="M3933" t="s">
        <v>41201</v>
      </c>
      <c r="N3933" t="s">
        <v>44905</v>
      </c>
      <c r="O3933" t="s">
        <v>44906</v>
      </c>
      <c r="P3933">
        <v>0</v>
      </c>
      <c r="Q3933">
        <v>1</v>
      </c>
      <c r="R3933" t="s">
        <v>44908</v>
      </c>
      <c r="S3933" t="s">
        <v>45042</v>
      </c>
      <c r="T3933" t="s">
        <v>46414</v>
      </c>
      <c r="U3933" t="s">
        <v>50149</v>
      </c>
      <c r="W3933" t="s">
        <v>41201</v>
      </c>
      <c r="X3933" t="s">
        <v>44909</v>
      </c>
    </row>
    <row r="3934" spans="1:24">
      <c r="A3934">
        <f>HYPERLINK("https://www.philgeps.gov.ph/GEPSNONPILOT/Tender/SplashBidNoticeAbstractUI.aspx?menuIndex=3&amp;refID=7080492&amp;Result=3","7080492")</f>
        <v>0</v>
      </c>
      <c r="B3934" t="s">
        <v>971</v>
      </c>
      <c r="C3934" t="s">
        <v>6545</v>
      </c>
      <c r="D3934" t="s">
        <v>18166</v>
      </c>
      <c r="E3934" t="s">
        <v>21720</v>
      </c>
      <c r="F3934" t="s">
        <v>31362</v>
      </c>
      <c r="G3934" t="s">
        <v>31369</v>
      </c>
      <c r="H3934" t="s">
        <v>15799</v>
      </c>
      <c r="I3934" t="s">
        <v>4283</v>
      </c>
      <c r="J3934" t="s">
        <v>34114</v>
      </c>
      <c r="K3934" t="s">
        <v>40665</v>
      </c>
      <c r="M3934" t="s">
        <v>41961</v>
      </c>
      <c r="N3934" t="s">
        <v>44905</v>
      </c>
      <c r="O3934" t="s">
        <v>44906</v>
      </c>
      <c r="P3934">
        <v>0</v>
      </c>
      <c r="Q3934">
        <v>5</v>
      </c>
      <c r="R3934" t="s">
        <v>44908</v>
      </c>
      <c r="S3934" t="s">
        <v>45042</v>
      </c>
      <c r="T3934" t="s">
        <v>46431</v>
      </c>
      <c r="U3934" t="s">
        <v>50150</v>
      </c>
      <c r="W3934" t="s">
        <v>41961</v>
      </c>
      <c r="X3934" t="s">
        <v>44909</v>
      </c>
    </row>
    <row r="3935" spans="1:24">
      <c r="A3935">
        <f>HYPERLINK("https://www.philgeps.gov.ph/GEPSNONPILOT/Tender/SplashBidNoticeAbstractUI.aspx?menuIndex=3&amp;refID=7080490&amp;Result=3","7080490")</f>
        <v>0</v>
      </c>
      <c r="B3935" t="s">
        <v>672</v>
      </c>
      <c r="C3935" t="s">
        <v>7286</v>
      </c>
      <c r="D3935" t="s">
        <v>18103</v>
      </c>
      <c r="E3935" t="s">
        <v>21721</v>
      </c>
      <c r="F3935" t="s">
        <v>31362</v>
      </c>
      <c r="G3935" t="s">
        <v>31369</v>
      </c>
      <c r="H3935" t="s">
        <v>31378</v>
      </c>
      <c r="I3935" t="s">
        <v>31386</v>
      </c>
      <c r="J3935" t="s">
        <v>34023</v>
      </c>
      <c r="K3935" t="s">
        <v>40686</v>
      </c>
      <c r="M3935" t="s">
        <v>41634</v>
      </c>
      <c r="N3935" t="s">
        <v>44905</v>
      </c>
      <c r="O3935" t="s">
        <v>44906</v>
      </c>
      <c r="P3935">
        <v>0</v>
      </c>
      <c r="Q3935">
        <v>2</v>
      </c>
      <c r="R3935" t="s">
        <v>44908</v>
      </c>
      <c r="S3935" t="s">
        <v>45042</v>
      </c>
      <c r="T3935" t="s">
        <v>46429</v>
      </c>
      <c r="U3935" t="s">
        <v>50090</v>
      </c>
      <c r="W3935" t="s">
        <v>60863</v>
      </c>
      <c r="X3935" t="s">
        <v>44909</v>
      </c>
    </row>
    <row r="3936" spans="1:24">
      <c r="A3936">
        <f>HYPERLINK("https://www.philgeps.gov.ph/GEPSNONPILOT/Tender/SplashBidNoticeAbstractUI.aspx?menuIndex=3&amp;refID=7080489&amp;Result=3","7080489")</f>
        <v>0</v>
      </c>
      <c r="B3936" t="s">
        <v>94</v>
      </c>
      <c r="C3936" t="s">
        <v>7287</v>
      </c>
      <c r="D3936" t="s">
        <v>18116</v>
      </c>
      <c r="E3936" t="s">
        <v>21722</v>
      </c>
      <c r="F3936" t="s">
        <v>31362</v>
      </c>
      <c r="G3936" t="s">
        <v>31368</v>
      </c>
      <c r="H3936" t="s">
        <v>15799</v>
      </c>
      <c r="I3936" t="s">
        <v>31388</v>
      </c>
      <c r="J3936" t="s">
        <v>34115</v>
      </c>
      <c r="K3936" t="s">
        <v>40665</v>
      </c>
      <c r="M3936" t="s">
        <v>41031</v>
      </c>
      <c r="N3936" t="s">
        <v>44905</v>
      </c>
      <c r="O3936" t="s">
        <v>44906</v>
      </c>
      <c r="P3936">
        <v>0</v>
      </c>
      <c r="Q3936">
        <v>0</v>
      </c>
      <c r="R3936" t="s">
        <v>44908</v>
      </c>
      <c r="S3936" t="s">
        <v>45042</v>
      </c>
      <c r="T3936" t="s">
        <v>46454</v>
      </c>
      <c r="U3936" t="s">
        <v>50151</v>
      </c>
      <c r="W3936" t="s">
        <v>41031</v>
      </c>
      <c r="X3936" t="s">
        <v>44909</v>
      </c>
    </row>
    <row r="3937" spans="1:24">
      <c r="A3937">
        <f>HYPERLINK("https://www.philgeps.gov.ph/GEPSNONPILOT/Tender/SplashBidNoticeAbstractUI.aspx?menuIndex=3&amp;refID=7080488&amp;Result=3","7080488")</f>
        <v>0</v>
      </c>
      <c r="B3937" t="s">
        <v>364</v>
      </c>
      <c r="C3937" t="s">
        <v>7288</v>
      </c>
      <c r="D3937" t="s">
        <v>18138</v>
      </c>
      <c r="E3937" t="s">
        <v>21723</v>
      </c>
      <c r="F3937" t="s">
        <v>31362</v>
      </c>
      <c r="G3937" t="s">
        <v>31368</v>
      </c>
      <c r="H3937" t="s">
        <v>15799</v>
      </c>
      <c r="I3937" t="s">
        <v>31400</v>
      </c>
      <c r="J3937" t="s">
        <v>32883</v>
      </c>
      <c r="K3937" t="s">
        <v>40662</v>
      </c>
      <c r="M3937" t="s">
        <v>41311</v>
      </c>
      <c r="N3937" t="s">
        <v>44905</v>
      </c>
      <c r="O3937" t="s">
        <v>44906</v>
      </c>
      <c r="P3937">
        <v>0</v>
      </c>
      <c r="Q3937">
        <v>1</v>
      </c>
      <c r="R3937" t="s">
        <v>44908</v>
      </c>
      <c r="S3937" t="s">
        <v>45042</v>
      </c>
      <c r="T3937" t="s">
        <v>46409</v>
      </c>
      <c r="U3937" t="s">
        <v>47548</v>
      </c>
      <c r="W3937" t="s">
        <v>41311</v>
      </c>
      <c r="X3937" t="s">
        <v>44909</v>
      </c>
    </row>
    <row r="3938" spans="1:24">
      <c r="A3938">
        <f>HYPERLINK("https://www.philgeps.gov.ph/GEPSNONPILOT/Tender/SplashBidNoticeAbstractUI.aspx?menuIndex=3&amp;refID=7080495&amp;Result=3","7080495")</f>
        <v>0</v>
      </c>
      <c r="B3938" t="s">
        <v>461</v>
      </c>
      <c r="C3938" t="s">
        <v>7289</v>
      </c>
      <c r="D3938" t="s">
        <v>18112</v>
      </c>
      <c r="E3938" t="s">
        <v>21724</v>
      </c>
      <c r="F3938" t="s">
        <v>31362</v>
      </c>
      <c r="G3938" t="s">
        <v>31368</v>
      </c>
      <c r="H3938" t="s">
        <v>15799</v>
      </c>
      <c r="I3938" t="s">
        <v>31422</v>
      </c>
      <c r="J3938" t="s">
        <v>34116</v>
      </c>
      <c r="K3938" t="s">
        <v>40677</v>
      </c>
      <c r="M3938" t="s">
        <v>42444</v>
      </c>
      <c r="N3938" t="s">
        <v>44905</v>
      </c>
      <c r="O3938" t="s">
        <v>44906</v>
      </c>
      <c r="P3938">
        <v>0</v>
      </c>
      <c r="Q3938">
        <v>2</v>
      </c>
      <c r="R3938" t="s">
        <v>44908</v>
      </c>
      <c r="S3938" t="s">
        <v>45042</v>
      </c>
      <c r="T3938" t="s">
        <v>46411</v>
      </c>
      <c r="U3938" t="s">
        <v>50152</v>
      </c>
      <c r="W3938" t="s">
        <v>42444</v>
      </c>
      <c r="X3938" t="s">
        <v>44909</v>
      </c>
    </row>
    <row r="3939" spans="1:24">
      <c r="A3939">
        <f>HYPERLINK("https://www.philgeps.gov.ph/GEPSNONPILOT/Tender/SplashBidNoticeAbstractUI.aspx?menuIndex=3&amp;refID=7080468&amp;Result=3","7080468")</f>
        <v>0</v>
      </c>
      <c r="B3939" t="s">
        <v>1418</v>
      </c>
      <c r="C3939" t="s">
        <v>7290</v>
      </c>
      <c r="D3939" t="s">
        <v>18172</v>
      </c>
      <c r="E3939" t="s">
        <v>21725</v>
      </c>
      <c r="F3939" t="s">
        <v>31362</v>
      </c>
      <c r="G3939" t="s">
        <v>31369</v>
      </c>
      <c r="H3939" t="s">
        <v>15799</v>
      </c>
      <c r="I3939" t="s">
        <v>3815</v>
      </c>
      <c r="J3939" t="s">
        <v>34117</v>
      </c>
      <c r="K3939" t="s">
        <v>40682</v>
      </c>
      <c r="L3939" t="s">
        <v>1418</v>
      </c>
      <c r="M3939" t="s">
        <v>42445</v>
      </c>
      <c r="N3939" t="s">
        <v>44905</v>
      </c>
      <c r="O3939" t="s">
        <v>44906</v>
      </c>
      <c r="P3939">
        <v>0</v>
      </c>
      <c r="Q3939">
        <v>0</v>
      </c>
      <c r="R3939" t="s">
        <v>44908</v>
      </c>
      <c r="S3939" t="s">
        <v>45042</v>
      </c>
      <c r="T3939" t="s">
        <v>46519</v>
      </c>
      <c r="U3939" t="s">
        <v>50153</v>
      </c>
      <c r="W3939" t="s">
        <v>42445</v>
      </c>
      <c r="X3939" t="s">
        <v>44909</v>
      </c>
    </row>
    <row r="3940" spans="1:24">
      <c r="A3940">
        <f>HYPERLINK("https://www.philgeps.gov.ph/GEPSNONPILOT/Tender/SplashBidNoticeAbstractUI.aspx?menuIndex=3&amp;refID=7080535&amp;Result=3","7080535")</f>
        <v>0</v>
      </c>
      <c r="B3940" t="s">
        <v>118</v>
      </c>
      <c r="C3940" t="s">
        <v>7291</v>
      </c>
      <c r="D3940" t="s">
        <v>18142</v>
      </c>
      <c r="E3940" t="s">
        <v>21726</v>
      </c>
      <c r="F3940" t="s">
        <v>31362</v>
      </c>
      <c r="G3940" t="s">
        <v>31369</v>
      </c>
      <c r="H3940" t="s">
        <v>31378</v>
      </c>
      <c r="I3940" t="s">
        <v>31386</v>
      </c>
      <c r="J3940" t="s">
        <v>31625</v>
      </c>
      <c r="K3940" t="s">
        <v>40706</v>
      </c>
      <c r="M3940" t="s">
        <v>41055</v>
      </c>
      <c r="N3940" t="s">
        <v>44905</v>
      </c>
      <c r="O3940" t="s">
        <v>44906</v>
      </c>
      <c r="P3940">
        <v>0</v>
      </c>
      <c r="Q3940">
        <v>0</v>
      </c>
      <c r="R3940" t="s">
        <v>44908</v>
      </c>
      <c r="S3940" t="s">
        <v>45042</v>
      </c>
      <c r="T3940" t="s">
        <v>46648</v>
      </c>
      <c r="U3940" t="s">
        <v>50154</v>
      </c>
      <c r="W3940" t="s">
        <v>41055</v>
      </c>
      <c r="X3940" t="s">
        <v>44909</v>
      </c>
    </row>
    <row r="3941" spans="1:24">
      <c r="A3941">
        <f>HYPERLINK("https://www.philgeps.gov.ph/GEPSNONPILOT/Tender/SplashBidNoticeAbstractUI.aspx?menuIndex=3&amp;refID=7080465&amp;Result=3","7080465")</f>
        <v>0</v>
      </c>
      <c r="B3941" t="s">
        <v>1419</v>
      </c>
      <c r="C3941" t="s">
        <v>7292</v>
      </c>
      <c r="D3941" t="s">
        <v>18136</v>
      </c>
      <c r="E3941" t="s">
        <v>21727</v>
      </c>
      <c r="F3941" t="s">
        <v>31362</v>
      </c>
      <c r="G3941" t="s">
        <v>31370</v>
      </c>
      <c r="H3941" t="s">
        <v>15799</v>
      </c>
      <c r="I3941" t="s">
        <v>7090</v>
      </c>
      <c r="J3941" t="s">
        <v>34118</v>
      </c>
      <c r="K3941" t="s">
        <v>40661</v>
      </c>
      <c r="M3941" t="s">
        <v>42446</v>
      </c>
      <c r="N3941" t="s">
        <v>44905</v>
      </c>
      <c r="O3941" t="s">
        <v>44906</v>
      </c>
      <c r="P3941">
        <v>0</v>
      </c>
      <c r="Q3941">
        <v>0</v>
      </c>
      <c r="R3941" t="s">
        <v>44908</v>
      </c>
      <c r="S3941" t="s">
        <v>45042</v>
      </c>
      <c r="T3941" t="s">
        <v>46411</v>
      </c>
      <c r="U3941" t="s">
        <v>50155</v>
      </c>
      <c r="W3941" t="s">
        <v>42446</v>
      </c>
      <c r="X3941" t="s">
        <v>44909</v>
      </c>
    </row>
    <row r="3942" spans="1:24">
      <c r="A3942">
        <f>HYPERLINK("https://www.philgeps.gov.ph/GEPSNONPILOT/Tender/SplashBidNoticeAbstractUI.aspx?menuIndex=3&amp;refID=7080516&amp;Result=3","7080516")</f>
        <v>0</v>
      </c>
      <c r="B3942" t="s">
        <v>672</v>
      </c>
      <c r="C3942" t="s">
        <v>7293</v>
      </c>
      <c r="D3942" t="s">
        <v>18103</v>
      </c>
      <c r="E3942" t="s">
        <v>21728</v>
      </c>
      <c r="F3942" t="s">
        <v>31362</v>
      </c>
      <c r="G3942" t="s">
        <v>31369</v>
      </c>
      <c r="H3942" t="s">
        <v>31378</v>
      </c>
      <c r="I3942" t="s">
        <v>31386</v>
      </c>
      <c r="J3942" t="s">
        <v>34023</v>
      </c>
      <c r="K3942" t="s">
        <v>40686</v>
      </c>
      <c r="M3942" t="s">
        <v>41634</v>
      </c>
      <c r="N3942" t="s">
        <v>44905</v>
      </c>
      <c r="O3942" t="s">
        <v>44906</v>
      </c>
      <c r="P3942">
        <v>0</v>
      </c>
      <c r="Q3942">
        <v>3</v>
      </c>
      <c r="R3942" t="s">
        <v>44908</v>
      </c>
      <c r="S3942" t="s">
        <v>45042</v>
      </c>
      <c r="T3942" t="s">
        <v>46429</v>
      </c>
      <c r="U3942" t="s">
        <v>50090</v>
      </c>
      <c r="W3942" t="s">
        <v>60863</v>
      </c>
      <c r="X3942" t="s">
        <v>44909</v>
      </c>
    </row>
    <row r="3943" spans="1:24">
      <c r="A3943">
        <f>HYPERLINK("https://www.philgeps.gov.ph/GEPSNONPILOT/Tender/SplashBidNoticeAbstractUI.aspx?menuIndex=3&amp;refID=7080491&amp;Result=3","7080491")</f>
        <v>0</v>
      </c>
      <c r="B3943" t="s">
        <v>1420</v>
      </c>
      <c r="C3943" t="s">
        <v>7294</v>
      </c>
      <c r="D3943" t="s">
        <v>18160</v>
      </c>
      <c r="E3943" t="s">
        <v>21729</v>
      </c>
      <c r="F3943" t="s">
        <v>31362</v>
      </c>
      <c r="G3943" t="s">
        <v>31370</v>
      </c>
      <c r="H3943" t="s">
        <v>15799</v>
      </c>
      <c r="I3943" t="s">
        <v>31381</v>
      </c>
      <c r="J3943" t="s">
        <v>33205</v>
      </c>
      <c r="K3943" t="s">
        <v>40662</v>
      </c>
      <c r="M3943" t="s">
        <v>42447</v>
      </c>
      <c r="N3943" t="s">
        <v>44905</v>
      </c>
      <c r="O3943" t="s">
        <v>44906</v>
      </c>
      <c r="P3943">
        <v>0</v>
      </c>
      <c r="Q3943">
        <v>1</v>
      </c>
      <c r="R3943" t="s">
        <v>44908</v>
      </c>
      <c r="S3943" t="s">
        <v>45042</v>
      </c>
      <c r="T3943" t="s">
        <v>46427</v>
      </c>
      <c r="U3943" t="s">
        <v>50156</v>
      </c>
      <c r="W3943" t="s">
        <v>42447</v>
      </c>
      <c r="X3943" t="s">
        <v>44909</v>
      </c>
    </row>
    <row r="3944" spans="1:24">
      <c r="A3944">
        <f>HYPERLINK("https://www.philgeps.gov.ph/GEPSNONPILOT/Tender/SplashBidNoticeAbstractUI.aspx?menuIndex=3&amp;refID=7080560&amp;Result=3","7080560")</f>
        <v>0</v>
      </c>
      <c r="B3944" t="s">
        <v>130</v>
      </c>
      <c r="C3944" t="s">
        <v>7295</v>
      </c>
      <c r="D3944" t="s">
        <v>18109</v>
      </c>
      <c r="E3944" t="s">
        <v>21730</v>
      </c>
      <c r="F3944" t="s">
        <v>31362</v>
      </c>
      <c r="G3944" t="s">
        <v>31368</v>
      </c>
      <c r="H3944" t="s">
        <v>15799</v>
      </c>
      <c r="I3944" t="s">
        <v>31433</v>
      </c>
      <c r="J3944" t="s">
        <v>31806</v>
      </c>
      <c r="K3944" t="s">
        <v>40662</v>
      </c>
      <c r="M3944" t="s">
        <v>41067</v>
      </c>
      <c r="N3944" t="s">
        <v>44905</v>
      </c>
      <c r="O3944" t="s">
        <v>44906</v>
      </c>
      <c r="P3944">
        <v>0</v>
      </c>
      <c r="Q3944">
        <v>1</v>
      </c>
      <c r="R3944" t="s">
        <v>44908</v>
      </c>
      <c r="S3944" t="s">
        <v>45042</v>
      </c>
      <c r="T3944" t="s">
        <v>46394</v>
      </c>
      <c r="U3944" t="s">
        <v>50157</v>
      </c>
      <c r="W3944" t="s">
        <v>41067</v>
      </c>
      <c r="X3944" t="s">
        <v>44909</v>
      </c>
    </row>
    <row r="3945" spans="1:24">
      <c r="A3945">
        <f>HYPERLINK("https://www.philgeps.gov.ph/GEPSNONPILOT/Tender/SplashBidNoticeAbstractUI.aspx?menuIndex=3&amp;refID=7080564&amp;Result=3","7080564")</f>
        <v>0</v>
      </c>
      <c r="B3945" t="s">
        <v>520</v>
      </c>
      <c r="C3945" t="s">
        <v>7296</v>
      </c>
      <c r="D3945" t="s">
        <v>18106</v>
      </c>
      <c r="E3945" t="s">
        <v>21731</v>
      </c>
      <c r="F3945" t="s">
        <v>31362</v>
      </c>
      <c r="G3945" t="s">
        <v>31369</v>
      </c>
      <c r="H3945" t="s">
        <v>31378</v>
      </c>
      <c r="I3945" t="s">
        <v>31386</v>
      </c>
      <c r="J3945" t="s">
        <v>33446</v>
      </c>
      <c r="K3945" t="s">
        <v>40682</v>
      </c>
      <c r="M3945" t="s">
        <v>41476</v>
      </c>
      <c r="N3945" t="s">
        <v>44905</v>
      </c>
      <c r="O3945" t="s">
        <v>44906</v>
      </c>
      <c r="P3945">
        <v>0</v>
      </c>
      <c r="Q3945">
        <v>3</v>
      </c>
      <c r="R3945" t="s">
        <v>44908</v>
      </c>
      <c r="S3945" t="s">
        <v>45042</v>
      </c>
      <c r="T3945" t="s">
        <v>46404</v>
      </c>
      <c r="U3945" t="s">
        <v>50158</v>
      </c>
      <c r="W3945" t="s">
        <v>41476</v>
      </c>
      <c r="X3945" t="s">
        <v>44909</v>
      </c>
    </row>
    <row r="3946" spans="1:24">
      <c r="A3946">
        <f>HYPERLINK("https://www.philgeps.gov.ph/GEPSNONPILOT/Tender/SplashBidNoticeAbstractUI.aspx?menuIndex=3&amp;refID=7080536&amp;Result=3","7080536")</f>
        <v>0</v>
      </c>
      <c r="B3946" t="s">
        <v>1310</v>
      </c>
      <c r="C3946" t="s">
        <v>7297</v>
      </c>
      <c r="D3946" t="s">
        <v>18122</v>
      </c>
      <c r="E3946" t="s">
        <v>21732</v>
      </c>
      <c r="F3946" t="s">
        <v>31362</v>
      </c>
      <c r="G3946" t="s">
        <v>31372</v>
      </c>
      <c r="H3946" t="s">
        <v>15799</v>
      </c>
      <c r="I3946" t="s">
        <v>3815</v>
      </c>
      <c r="J3946" t="s">
        <v>34119</v>
      </c>
      <c r="K3946" t="s">
        <v>40682</v>
      </c>
      <c r="M3946" t="s">
        <v>42328</v>
      </c>
      <c r="N3946" t="s">
        <v>44905</v>
      </c>
      <c r="O3946" t="s">
        <v>44906</v>
      </c>
      <c r="P3946">
        <v>0</v>
      </c>
      <c r="Q3946">
        <v>1</v>
      </c>
      <c r="R3946" t="s">
        <v>44908</v>
      </c>
      <c r="S3946" t="s">
        <v>45042</v>
      </c>
      <c r="T3946" t="s">
        <v>46419</v>
      </c>
      <c r="U3946" t="s">
        <v>50159</v>
      </c>
      <c r="V3946" t="s">
        <v>59448</v>
      </c>
      <c r="W3946" t="s">
        <v>42328</v>
      </c>
      <c r="X3946" t="s">
        <v>44909</v>
      </c>
    </row>
    <row r="3947" spans="1:24">
      <c r="A3947">
        <f>HYPERLINK("https://www.philgeps.gov.ph/GEPSNONPILOT/Tender/SplashBidNoticeAbstractUI.aspx?menuIndex=3&amp;refID=7080470&amp;Result=3","7080470")</f>
        <v>0</v>
      </c>
      <c r="B3947" t="s">
        <v>1421</v>
      </c>
      <c r="C3947" t="s">
        <v>7298</v>
      </c>
      <c r="D3947" t="s">
        <v>18155</v>
      </c>
      <c r="E3947" t="s">
        <v>21733</v>
      </c>
      <c r="F3947" t="s">
        <v>31362</v>
      </c>
      <c r="G3947" t="s">
        <v>31368</v>
      </c>
      <c r="H3947" t="s">
        <v>15799</v>
      </c>
      <c r="I3947" t="s">
        <v>31382</v>
      </c>
      <c r="J3947" t="s">
        <v>34120</v>
      </c>
      <c r="K3947" t="s">
        <v>40665</v>
      </c>
      <c r="M3947" t="s">
        <v>42448</v>
      </c>
      <c r="N3947" t="s">
        <v>44905</v>
      </c>
      <c r="O3947" t="s">
        <v>44906</v>
      </c>
      <c r="P3947">
        <v>0</v>
      </c>
      <c r="Q3947">
        <v>2</v>
      </c>
      <c r="R3947" t="s">
        <v>44908</v>
      </c>
      <c r="S3947" t="s">
        <v>45042</v>
      </c>
      <c r="T3947" t="s">
        <v>46438</v>
      </c>
      <c r="U3947" t="s">
        <v>50160</v>
      </c>
      <c r="W3947" t="s">
        <v>42448</v>
      </c>
      <c r="X3947" t="s">
        <v>44909</v>
      </c>
    </row>
    <row r="3948" spans="1:24">
      <c r="A3948">
        <f>HYPERLINK("https://www.philgeps.gov.ph/GEPSNONPILOT/Tender/SplashBidNoticeAbstractUI.aspx?menuIndex=3&amp;refID=7080592&amp;Result=3","7080592")</f>
        <v>0</v>
      </c>
      <c r="B3948" t="s">
        <v>335</v>
      </c>
      <c r="C3948" t="s">
        <v>7299</v>
      </c>
      <c r="D3948" t="s">
        <v>18108</v>
      </c>
      <c r="E3948" t="s">
        <v>21734</v>
      </c>
      <c r="F3948" t="s">
        <v>31362</v>
      </c>
      <c r="G3948" t="s">
        <v>31368</v>
      </c>
      <c r="H3948" t="s">
        <v>15799</v>
      </c>
      <c r="I3948" t="s">
        <v>3815</v>
      </c>
      <c r="J3948" t="s">
        <v>34121</v>
      </c>
      <c r="K3948" t="s">
        <v>40661</v>
      </c>
      <c r="M3948" t="s">
        <v>42389</v>
      </c>
      <c r="N3948" t="s">
        <v>44905</v>
      </c>
      <c r="O3948" t="s">
        <v>44906</v>
      </c>
      <c r="P3948">
        <v>0</v>
      </c>
      <c r="Q3948">
        <v>1</v>
      </c>
      <c r="R3948" t="s">
        <v>44908</v>
      </c>
      <c r="S3948" t="s">
        <v>45042</v>
      </c>
      <c r="T3948" t="s">
        <v>46447</v>
      </c>
      <c r="U3948" t="s">
        <v>50105</v>
      </c>
      <c r="W3948" t="s">
        <v>42389</v>
      </c>
      <c r="X3948" t="s">
        <v>44909</v>
      </c>
    </row>
    <row r="3949" spans="1:24">
      <c r="A3949">
        <f>HYPERLINK("https://www.philgeps.gov.ph/GEPSNONPILOT/Tender/SplashBidNoticeAbstractUI.aspx?menuIndex=3&amp;refID=7080467&amp;Result=3","7080467")</f>
        <v>0</v>
      </c>
      <c r="B3949" t="s">
        <v>191</v>
      </c>
      <c r="C3949" t="s">
        <v>7300</v>
      </c>
      <c r="D3949" t="s">
        <v>18154</v>
      </c>
      <c r="E3949" t="s">
        <v>21735</v>
      </c>
      <c r="F3949" t="s">
        <v>31362</v>
      </c>
      <c r="G3949" t="s">
        <v>31369</v>
      </c>
      <c r="H3949" t="s">
        <v>15799</v>
      </c>
      <c r="I3949" t="s">
        <v>31444</v>
      </c>
      <c r="J3949" t="s">
        <v>34122</v>
      </c>
      <c r="K3949" t="s">
        <v>40665</v>
      </c>
      <c r="M3949" t="s">
        <v>41129</v>
      </c>
      <c r="N3949" t="s">
        <v>44905</v>
      </c>
      <c r="O3949" t="s">
        <v>44906</v>
      </c>
      <c r="Q3949">
        <v>9</v>
      </c>
      <c r="R3949" t="s">
        <v>44908</v>
      </c>
      <c r="S3949" t="s">
        <v>45051</v>
      </c>
      <c r="T3949" t="s">
        <v>46541</v>
      </c>
      <c r="U3949" t="s">
        <v>50161</v>
      </c>
      <c r="W3949" t="s">
        <v>41129</v>
      </c>
      <c r="X3949" t="s">
        <v>44909</v>
      </c>
    </row>
    <row r="3950" spans="1:24">
      <c r="A3950">
        <f>HYPERLINK("https://www.philgeps.gov.ph/GEPSNONPILOT/Tender/SplashBidNoticeAbstractUI.aspx?menuIndex=3&amp;refID=7080446&amp;Result=3","7080446")</f>
        <v>0</v>
      </c>
      <c r="B3950" t="s">
        <v>1422</v>
      </c>
      <c r="C3950" t="s">
        <v>7301</v>
      </c>
      <c r="D3950" t="s">
        <v>18106</v>
      </c>
      <c r="E3950" t="s">
        <v>21736</v>
      </c>
      <c r="F3950" t="s">
        <v>31362</v>
      </c>
      <c r="G3950" t="s">
        <v>31369</v>
      </c>
      <c r="H3950" t="s">
        <v>31378</v>
      </c>
      <c r="I3950" t="s">
        <v>31386</v>
      </c>
      <c r="J3950" t="s">
        <v>34123</v>
      </c>
      <c r="K3950" t="s">
        <v>40665</v>
      </c>
      <c r="M3950" t="s">
        <v>42449</v>
      </c>
      <c r="N3950" t="s">
        <v>44905</v>
      </c>
      <c r="O3950" t="s">
        <v>44906</v>
      </c>
      <c r="P3950">
        <v>0</v>
      </c>
      <c r="Q3950">
        <v>0</v>
      </c>
      <c r="R3950" t="s">
        <v>44908</v>
      </c>
      <c r="S3950" t="s">
        <v>45042</v>
      </c>
      <c r="T3950" t="s">
        <v>46404</v>
      </c>
      <c r="U3950" t="s">
        <v>50162</v>
      </c>
      <c r="W3950" t="s">
        <v>42449</v>
      </c>
      <c r="X3950" t="s">
        <v>44909</v>
      </c>
    </row>
    <row r="3951" spans="1:24">
      <c r="A3951">
        <f>HYPERLINK("https://www.philgeps.gov.ph/GEPSNONPILOT/Tender/SplashBidNoticeAbstractUI.aspx?menuIndex=3&amp;refID=7080447&amp;Result=3","7080447")</f>
        <v>0</v>
      </c>
      <c r="B3951" t="s">
        <v>791</v>
      </c>
      <c r="C3951" t="s">
        <v>7302</v>
      </c>
      <c r="D3951" t="s">
        <v>18129</v>
      </c>
      <c r="E3951" t="s">
        <v>21737</v>
      </c>
      <c r="F3951" t="s">
        <v>31362</v>
      </c>
      <c r="G3951" t="s">
        <v>31368</v>
      </c>
      <c r="H3951" t="s">
        <v>15799</v>
      </c>
      <c r="I3951" t="s">
        <v>31455</v>
      </c>
      <c r="J3951" t="s">
        <v>31806</v>
      </c>
      <c r="K3951" t="s">
        <v>40662</v>
      </c>
      <c r="M3951" t="s">
        <v>41761</v>
      </c>
      <c r="N3951" t="s">
        <v>44905</v>
      </c>
      <c r="O3951" t="s">
        <v>44906</v>
      </c>
      <c r="P3951">
        <v>0</v>
      </c>
      <c r="Q3951">
        <v>2</v>
      </c>
      <c r="R3951" t="s">
        <v>44908</v>
      </c>
      <c r="S3951" t="s">
        <v>45042</v>
      </c>
      <c r="T3951" t="s">
        <v>46416</v>
      </c>
      <c r="U3951" t="s">
        <v>50163</v>
      </c>
      <c r="V3951" t="s">
        <v>59151</v>
      </c>
      <c r="W3951" t="s">
        <v>41761</v>
      </c>
      <c r="X3951" t="s">
        <v>44909</v>
      </c>
    </row>
    <row r="3952" spans="1:24">
      <c r="A3952">
        <f>HYPERLINK("https://www.philgeps.gov.ph/GEPSNONPILOT/Tender/SplashBidNoticeAbstractUI.aspx?menuIndex=3&amp;refID=7080583&amp;Result=3","7080583")</f>
        <v>0</v>
      </c>
      <c r="B3952" t="s">
        <v>1423</v>
      </c>
      <c r="C3952" t="s">
        <v>5994</v>
      </c>
      <c r="D3952" t="s">
        <v>18108</v>
      </c>
      <c r="E3952" t="s">
        <v>21738</v>
      </c>
      <c r="F3952" t="s">
        <v>31362</v>
      </c>
      <c r="G3952" t="s">
        <v>31368</v>
      </c>
      <c r="H3952" t="s">
        <v>15799</v>
      </c>
      <c r="I3952" t="s">
        <v>31393</v>
      </c>
      <c r="J3952" t="s">
        <v>34124</v>
      </c>
      <c r="K3952" t="s">
        <v>40661</v>
      </c>
      <c r="M3952" t="s">
        <v>42450</v>
      </c>
      <c r="N3952" t="s">
        <v>44905</v>
      </c>
      <c r="O3952" t="s">
        <v>44906</v>
      </c>
      <c r="P3952">
        <v>0</v>
      </c>
      <c r="Q3952">
        <v>12</v>
      </c>
      <c r="R3952" t="s">
        <v>44908</v>
      </c>
      <c r="S3952" t="s">
        <v>45042</v>
      </c>
      <c r="T3952" t="s">
        <v>46425</v>
      </c>
      <c r="U3952" t="s">
        <v>50164</v>
      </c>
      <c r="W3952" t="s">
        <v>42450</v>
      </c>
      <c r="X3952" t="s">
        <v>44909</v>
      </c>
    </row>
    <row r="3953" spans="1:24">
      <c r="A3953">
        <f>HYPERLINK("https://www.philgeps.gov.ph/GEPSNONPILOT/Tender/SplashBidNoticeAbstractUI.aspx?menuIndex=3&amp;refID=7080581&amp;Result=3","7080581")</f>
        <v>0</v>
      </c>
      <c r="B3953" t="s">
        <v>1374</v>
      </c>
      <c r="C3953" t="s">
        <v>7255</v>
      </c>
      <c r="D3953" t="s">
        <v>18178</v>
      </c>
      <c r="E3953" t="s">
        <v>21739</v>
      </c>
      <c r="F3953" t="s">
        <v>31362</v>
      </c>
      <c r="G3953" t="s">
        <v>31369</v>
      </c>
      <c r="H3953" t="s">
        <v>31378</v>
      </c>
      <c r="I3953" t="s">
        <v>31386</v>
      </c>
      <c r="J3953" t="s">
        <v>34125</v>
      </c>
      <c r="K3953" t="s">
        <v>40681</v>
      </c>
      <c r="M3953" t="s">
        <v>42397</v>
      </c>
      <c r="N3953" t="s">
        <v>44905</v>
      </c>
      <c r="O3953" t="s">
        <v>44906</v>
      </c>
      <c r="P3953">
        <v>0</v>
      </c>
      <c r="Q3953">
        <v>0</v>
      </c>
      <c r="R3953" t="s">
        <v>44908</v>
      </c>
      <c r="S3953" t="s">
        <v>45042</v>
      </c>
      <c r="T3953" t="s">
        <v>46404</v>
      </c>
      <c r="U3953" t="s">
        <v>50165</v>
      </c>
      <c r="W3953" t="s">
        <v>42397</v>
      </c>
      <c r="X3953" t="s">
        <v>44909</v>
      </c>
    </row>
    <row r="3954" spans="1:24">
      <c r="A3954">
        <f>HYPERLINK("https://www.philgeps.gov.ph/GEPSNONPILOT/Tender/SplashBidNoticeAbstractUI.aspx?menuIndex=3&amp;refID=7080577&amp;Result=3","7080577")</f>
        <v>0</v>
      </c>
      <c r="B3954" t="s">
        <v>130</v>
      </c>
      <c r="C3954" t="s">
        <v>7303</v>
      </c>
      <c r="D3954" t="s">
        <v>18109</v>
      </c>
      <c r="E3954" t="s">
        <v>21740</v>
      </c>
      <c r="F3954" t="s">
        <v>31362</v>
      </c>
      <c r="G3954" t="s">
        <v>31368</v>
      </c>
      <c r="H3954" t="s">
        <v>15799</v>
      </c>
      <c r="I3954" t="s">
        <v>31433</v>
      </c>
      <c r="J3954" t="s">
        <v>32519</v>
      </c>
      <c r="K3954" t="s">
        <v>40662</v>
      </c>
      <c r="M3954" t="s">
        <v>41067</v>
      </c>
      <c r="N3954" t="s">
        <v>44905</v>
      </c>
      <c r="O3954" t="s">
        <v>44906</v>
      </c>
      <c r="P3954">
        <v>0</v>
      </c>
      <c r="Q3954">
        <v>2</v>
      </c>
      <c r="R3954" t="s">
        <v>44908</v>
      </c>
      <c r="S3954" t="s">
        <v>45042</v>
      </c>
      <c r="T3954" t="s">
        <v>46394</v>
      </c>
      <c r="U3954" t="s">
        <v>50166</v>
      </c>
      <c r="W3954" t="s">
        <v>41067</v>
      </c>
      <c r="X3954" t="s">
        <v>44909</v>
      </c>
    </row>
    <row r="3955" spans="1:24">
      <c r="A3955">
        <f>HYPERLINK("https://www.philgeps.gov.ph/GEPSNONPILOT/Tender/SplashBidNoticeAbstractUI.aspx?menuIndex=3&amp;refID=7080575&amp;Result=3","7080575")</f>
        <v>0</v>
      </c>
      <c r="B3955" t="s">
        <v>299</v>
      </c>
      <c r="C3955" t="s">
        <v>7304</v>
      </c>
      <c r="D3955" t="s">
        <v>18108</v>
      </c>
      <c r="E3955" t="s">
        <v>21741</v>
      </c>
      <c r="F3955" t="s">
        <v>31362</v>
      </c>
      <c r="G3955" t="s">
        <v>31368</v>
      </c>
      <c r="H3955" t="s">
        <v>15799</v>
      </c>
      <c r="I3955" t="s">
        <v>31454</v>
      </c>
      <c r="J3955" t="s">
        <v>31866</v>
      </c>
      <c r="K3955" t="s">
        <v>40662</v>
      </c>
      <c r="M3955" t="s">
        <v>42027</v>
      </c>
      <c r="N3955" t="s">
        <v>44905</v>
      </c>
      <c r="O3955" t="s">
        <v>44906</v>
      </c>
      <c r="P3955">
        <v>0</v>
      </c>
      <c r="Q3955">
        <v>4</v>
      </c>
      <c r="R3955" t="s">
        <v>44908</v>
      </c>
      <c r="S3955" t="s">
        <v>45042</v>
      </c>
      <c r="T3955" t="s">
        <v>46427</v>
      </c>
      <c r="U3955" t="s">
        <v>50167</v>
      </c>
      <c r="W3955" t="s">
        <v>42027</v>
      </c>
      <c r="X3955" t="s">
        <v>44909</v>
      </c>
    </row>
    <row r="3956" spans="1:24">
      <c r="A3956">
        <f>HYPERLINK("https://www.philgeps.gov.ph/GEPSNONPILOT/Tender/SplashBidNoticeAbstractUI.aspx?menuIndex=3&amp;refID=7080591&amp;Result=3","7080591")</f>
        <v>0</v>
      </c>
      <c r="B3956" t="s">
        <v>791</v>
      </c>
      <c r="C3956" t="s">
        <v>7305</v>
      </c>
      <c r="D3956" t="s">
        <v>18101</v>
      </c>
      <c r="E3956" t="s">
        <v>21742</v>
      </c>
      <c r="F3956" t="s">
        <v>31362</v>
      </c>
      <c r="G3956" t="s">
        <v>31368</v>
      </c>
      <c r="H3956" t="s">
        <v>15799</v>
      </c>
      <c r="I3956" t="s">
        <v>31410</v>
      </c>
      <c r="J3956" t="s">
        <v>32143</v>
      </c>
      <c r="K3956" t="s">
        <v>40662</v>
      </c>
      <c r="M3956" t="s">
        <v>41761</v>
      </c>
      <c r="N3956" t="s">
        <v>44905</v>
      </c>
      <c r="O3956" t="s">
        <v>44906</v>
      </c>
      <c r="P3956">
        <v>0</v>
      </c>
      <c r="Q3956">
        <v>1</v>
      </c>
      <c r="R3956" t="s">
        <v>44908</v>
      </c>
      <c r="S3956" t="s">
        <v>45042</v>
      </c>
      <c r="T3956" t="s">
        <v>46399</v>
      </c>
      <c r="U3956" t="s">
        <v>50168</v>
      </c>
      <c r="V3956" t="s">
        <v>59151</v>
      </c>
      <c r="W3956" t="s">
        <v>41761</v>
      </c>
      <c r="X3956" t="s">
        <v>44909</v>
      </c>
    </row>
    <row r="3957" spans="1:24">
      <c r="A3957">
        <f>HYPERLINK("https://www.philgeps.gov.ph/GEPSNONPILOT/Tender/SplashBidNoticeAbstractUI.aspx?menuIndex=3&amp;refID=7080588&amp;Result=3","7080588")</f>
        <v>0</v>
      </c>
      <c r="B3957" t="s">
        <v>1424</v>
      </c>
      <c r="C3957" t="s">
        <v>7306</v>
      </c>
      <c r="D3957" t="s">
        <v>18143</v>
      </c>
      <c r="E3957" t="s">
        <v>21743</v>
      </c>
      <c r="F3957" t="s">
        <v>31362</v>
      </c>
      <c r="G3957" t="s">
        <v>31370</v>
      </c>
      <c r="H3957" t="s">
        <v>15799</v>
      </c>
      <c r="I3957" t="s">
        <v>31444</v>
      </c>
      <c r="J3957" t="s">
        <v>34126</v>
      </c>
      <c r="K3957" t="s">
        <v>40666</v>
      </c>
      <c r="M3957" t="s">
        <v>42451</v>
      </c>
      <c r="N3957" t="s">
        <v>44905</v>
      </c>
      <c r="O3957" t="s">
        <v>44906</v>
      </c>
      <c r="P3957">
        <v>0</v>
      </c>
      <c r="Q3957">
        <v>3</v>
      </c>
      <c r="R3957" t="s">
        <v>44908</v>
      </c>
      <c r="S3957" t="s">
        <v>45042</v>
      </c>
      <c r="T3957" t="s">
        <v>46409</v>
      </c>
      <c r="U3957" t="s">
        <v>50169</v>
      </c>
      <c r="W3957" t="s">
        <v>42451</v>
      </c>
      <c r="X3957" t="s">
        <v>44909</v>
      </c>
    </row>
    <row r="3958" spans="1:24">
      <c r="A3958">
        <f>HYPERLINK("https://www.philgeps.gov.ph/GEPSNONPILOT/Tender/SplashBidNoticeAbstractUI.aspx?menuIndex=3&amp;refID=7080573&amp;Result=3","7080573")</f>
        <v>0</v>
      </c>
      <c r="B3958" t="s">
        <v>1425</v>
      </c>
      <c r="C3958" t="s">
        <v>7307</v>
      </c>
      <c r="D3958" t="s">
        <v>18100</v>
      </c>
      <c r="E3958" t="s">
        <v>21744</v>
      </c>
      <c r="F3958" t="s">
        <v>31362</v>
      </c>
      <c r="G3958" t="s">
        <v>31369</v>
      </c>
      <c r="H3958" t="s">
        <v>15799</v>
      </c>
      <c r="I3958" t="s">
        <v>6373</v>
      </c>
      <c r="J3958" t="s">
        <v>34127</v>
      </c>
      <c r="K3958" t="s">
        <v>40666</v>
      </c>
      <c r="M3958" t="s">
        <v>42452</v>
      </c>
      <c r="N3958" t="s">
        <v>44905</v>
      </c>
      <c r="O3958" t="s">
        <v>44906</v>
      </c>
      <c r="P3958">
        <v>0</v>
      </c>
      <c r="Q3958">
        <v>4</v>
      </c>
      <c r="R3958" t="s">
        <v>44908</v>
      </c>
      <c r="S3958" t="s">
        <v>45042</v>
      </c>
      <c r="T3958" t="s">
        <v>46470</v>
      </c>
      <c r="U3958" t="s">
        <v>50170</v>
      </c>
      <c r="W3958" t="s">
        <v>42452</v>
      </c>
      <c r="X3958" t="s">
        <v>44909</v>
      </c>
    </row>
    <row r="3959" spans="1:24">
      <c r="A3959">
        <f>HYPERLINK("https://www.philgeps.gov.ph/GEPSNONPILOT/Tender/SplashBidNoticeAbstractUI.aspx?menuIndex=3&amp;refID=7080568&amp;Result=3","7080568")</f>
        <v>0</v>
      </c>
      <c r="B3959" t="s">
        <v>119</v>
      </c>
      <c r="C3959" t="s">
        <v>7308</v>
      </c>
      <c r="D3959" t="s">
        <v>18108</v>
      </c>
      <c r="E3959" t="s">
        <v>21745</v>
      </c>
      <c r="F3959" t="s">
        <v>31362</v>
      </c>
      <c r="G3959" t="s">
        <v>31368</v>
      </c>
      <c r="H3959" t="s">
        <v>15799</v>
      </c>
      <c r="I3959" t="s">
        <v>31382</v>
      </c>
      <c r="J3959" t="s">
        <v>34128</v>
      </c>
      <c r="K3959" t="s">
        <v>40661</v>
      </c>
      <c r="M3959" t="s">
        <v>41056</v>
      </c>
      <c r="N3959" t="s">
        <v>44905</v>
      </c>
      <c r="O3959" t="s">
        <v>44906</v>
      </c>
      <c r="P3959">
        <v>0</v>
      </c>
      <c r="Q3959">
        <v>4</v>
      </c>
      <c r="R3959" t="s">
        <v>44908</v>
      </c>
      <c r="S3959" t="s">
        <v>45042</v>
      </c>
      <c r="T3959" t="s">
        <v>46453</v>
      </c>
      <c r="U3959" t="s">
        <v>50171</v>
      </c>
      <c r="W3959" t="s">
        <v>41056</v>
      </c>
      <c r="X3959" t="s">
        <v>44909</v>
      </c>
    </row>
    <row r="3960" spans="1:24">
      <c r="A3960">
        <f>HYPERLINK("https://www.philgeps.gov.ph/GEPSNONPILOT/Tender/SplashBidNoticeAbstractUI.aspx?menuIndex=3&amp;refID=7080584&amp;Result=3","7080584")</f>
        <v>0</v>
      </c>
      <c r="B3960" t="s">
        <v>232</v>
      </c>
      <c r="C3960" t="s">
        <v>7309</v>
      </c>
      <c r="D3960" t="s">
        <v>18101</v>
      </c>
      <c r="E3960" t="s">
        <v>21746</v>
      </c>
      <c r="F3960" t="s">
        <v>31362</v>
      </c>
      <c r="G3960" t="s">
        <v>31374</v>
      </c>
      <c r="H3960" t="s">
        <v>15799</v>
      </c>
      <c r="I3960" t="s">
        <v>31387</v>
      </c>
      <c r="J3960" t="s">
        <v>34129</v>
      </c>
      <c r="K3960" t="s">
        <v>40661</v>
      </c>
      <c r="M3960" t="s">
        <v>41171</v>
      </c>
      <c r="N3960" t="s">
        <v>44905</v>
      </c>
      <c r="O3960" t="s">
        <v>44906</v>
      </c>
      <c r="P3960">
        <v>0</v>
      </c>
      <c r="Q3960">
        <v>0</v>
      </c>
      <c r="R3960" t="s">
        <v>44908</v>
      </c>
      <c r="S3960" t="s">
        <v>45042</v>
      </c>
      <c r="T3960" t="s">
        <v>46409</v>
      </c>
      <c r="U3960" t="s">
        <v>50172</v>
      </c>
      <c r="W3960" t="s">
        <v>41171</v>
      </c>
      <c r="X3960" t="s">
        <v>44909</v>
      </c>
    </row>
    <row r="3961" spans="1:24">
      <c r="A3961">
        <f>HYPERLINK("https://www.philgeps.gov.ph/GEPSNONPILOT/Tender/SplashBidNoticeAbstractUI.aspx?menuIndex=3&amp;refID=7080608&amp;Result=3","7080608")</f>
        <v>0</v>
      </c>
      <c r="B3961" t="s">
        <v>1426</v>
      </c>
      <c r="C3961" t="s">
        <v>7310</v>
      </c>
      <c r="D3961" t="s">
        <v>18131</v>
      </c>
      <c r="E3961" t="s">
        <v>21747</v>
      </c>
      <c r="F3961" t="s">
        <v>31362</v>
      </c>
      <c r="G3961" t="s">
        <v>31368</v>
      </c>
      <c r="H3961" t="s">
        <v>15799</v>
      </c>
      <c r="I3961" t="s">
        <v>7719</v>
      </c>
      <c r="J3961" t="s">
        <v>31919</v>
      </c>
      <c r="K3961" t="s">
        <v>40666</v>
      </c>
      <c r="M3961" t="s">
        <v>42453</v>
      </c>
      <c r="N3961" t="s">
        <v>44905</v>
      </c>
      <c r="O3961" t="s">
        <v>44906</v>
      </c>
      <c r="P3961">
        <v>0</v>
      </c>
      <c r="Q3961">
        <v>18</v>
      </c>
      <c r="R3961" t="s">
        <v>44908</v>
      </c>
      <c r="S3961" t="s">
        <v>45042</v>
      </c>
      <c r="T3961" t="s">
        <v>46480</v>
      </c>
      <c r="U3961" t="s">
        <v>50173</v>
      </c>
      <c r="W3961" t="s">
        <v>42453</v>
      </c>
      <c r="X3961" t="s">
        <v>44909</v>
      </c>
    </row>
    <row r="3962" spans="1:24">
      <c r="A3962">
        <f>HYPERLINK("https://www.philgeps.gov.ph/GEPSNONPILOT/Tender/SplashBidNoticeAbstractUI.aspx?menuIndex=3&amp;refID=7080578&amp;Result=3","7080578")</f>
        <v>0</v>
      </c>
      <c r="B3962" t="s">
        <v>791</v>
      </c>
      <c r="C3962" t="s">
        <v>7311</v>
      </c>
      <c r="D3962" t="s">
        <v>18108</v>
      </c>
      <c r="E3962" t="s">
        <v>21748</v>
      </c>
      <c r="F3962" t="s">
        <v>31362</v>
      </c>
      <c r="G3962" t="s">
        <v>31368</v>
      </c>
      <c r="H3962" t="s">
        <v>15799</v>
      </c>
      <c r="I3962" t="s">
        <v>7719</v>
      </c>
      <c r="J3962" t="s">
        <v>34130</v>
      </c>
      <c r="K3962" t="s">
        <v>40662</v>
      </c>
      <c r="M3962" t="s">
        <v>42138</v>
      </c>
      <c r="N3962" t="s">
        <v>44905</v>
      </c>
      <c r="O3962" t="s">
        <v>44906</v>
      </c>
      <c r="P3962">
        <v>0</v>
      </c>
      <c r="Q3962">
        <v>7</v>
      </c>
      <c r="R3962" t="s">
        <v>44908</v>
      </c>
      <c r="S3962" t="s">
        <v>45042</v>
      </c>
      <c r="T3962" t="s">
        <v>46580</v>
      </c>
      <c r="U3962" t="s">
        <v>50174</v>
      </c>
      <c r="V3962" t="s">
        <v>59435</v>
      </c>
      <c r="W3962" t="s">
        <v>42138</v>
      </c>
      <c r="X3962" t="s">
        <v>44909</v>
      </c>
    </row>
    <row r="3963" spans="1:24">
      <c r="A3963">
        <f>HYPERLINK("https://www.philgeps.gov.ph/GEPSNONPILOT/Tender/SplashBidNoticeAbstractUI.aspx?menuIndex=3&amp;refID=7080589&amp;Result=3","7080589")</f>
        <v>0</v>
      </c>
      <c r="B3963" t="s">
        <v>232</v>
      </c>
      <c r="C3963" t="s">
        <v>7312</v>
      </c>
      <c r="D3963" t="s">
        <v>18101</v>
      </c>
      <c r="E3963" t="s">
        <v>21749</v>
      </c>
      <c r="F3963" t="s">
        <v>31362</v>
      </c>
      <c r="G3963" t="s">
        <v>31368</v>
      </c>
      <c r="H3963" t="s">
        <v>15799</v>
      </c>
      <c r="I3963" t="s">
        <v>31387</v>
      </c>
      <c r="J3963" t="s">
        <v>34131</v>
      </c>
      <c r="K3963" t="s">
        <v>40661</v>
      </c>
      <c r="M3963" t="s">
        <v>41171</v>
      </c>
      <c r="N3963" t="s">
        <v>44905</v>
      </c>
      <c r="O3963" t="s">
        <v>44906</v>
      </c>
      <c r="P3963">
        <v>0</v>
      </c>
      <c r="Q3963">
        <v>0</v>
      </c>
      <c r="R3963" t="s">
        <v>44908</v>
      </c>
      <c r="S3963" t="s">
        <v>45042</v>
      </c>
      <c r="T3963" t="s">
        <v>46409</v>
      </c>
      <c r="U3963" t="s">
        <v>50175</v>
      </c>
      <c r="W3963" t="s">
        <v>41171</v>
      </c>
      <c r="X3963" t="s">
        <v>44909</v>
      </c>
    </row>
    <row r="3964" spans="1:24">
      <c r="A3964">
        <f>HYPERLINK("https://www.philgeps.gov.ph/GEPSNONPILOT/Tender/SplashBidNoticeAbstractUI.aspx?menuIndex=3&amp;refID=7080616&amp;Result=3","7080616")</f>
        <v>0</v>
      </c>
      <c r="B3964" t="s">
        <v>169</v>
      </c>
      <c r="C3964" t="s">
        <v>7313</v>
      </c>
      <c r="D3964" t="s">
        <v>18108</v>
      </c>
      <c r="E3964" t="s">
        <v>21750</v>
      </c>
      <c r="F3964" t="s">
        <v>31362</v>
      </c>
      <c r="G3964" t="s">
        <v>31368</v>
      </c>
      <c r="H3964" t="s">
        <v>15799</v>
      </c>
      <c r="I3964" t="s">
        <v>31392</v>
      </c>
      <c r="J3964" t="s">
        <v>34132</v>
      </c>
      <c r="K3964" t="s">
        <v>40679</v>
      </c>
      <c r="M3964" t="s">
        <v>42454</v>
      </c>
      <c r="N3964" t="s">
        <v>44905</v>
      </c>
      <c r="O3964" t="s">
        <v>44906</v>
      </c>
      <c r="P3964">
        <v>0</v>
      </c>
      <c r="Q3964">
        <v>3</v>
      </c>
      <c r="R3964" t="s">
        <v>44908</v>
      </c>
      <c r="S3964" t="s">
        <v>45042</v>
      </c>
      <c r="T3964" t="s">
        <v>46411</v>
      </c>
      <c r="U3964" t="s">
        <v>50176</v>
      </c>
      <c r="W3964" t="s">
        <v>42454</v>
      </c>
      <c r="X3964" t="s">
        <v>44909</v>
      </c>
    </row>
    <row r="3965" spans="1:24">
      <c r="A3965">
        <f>HYPERLINK("https://www.philgeps.gov.ph/GEPSNONPILOT/Tender/SplashBidNoticeAbstractUI.aspx?menuIndex=3&amp;refID=7080572&amp;Result=3","7080572")</f>
        <v>0</v>
      </c>
      <c r="B3965" t="s">
        <v>238</v>
      </c>
      <c r="C3965" t="s">
        <v>7314</v>
      </c>
      <c r="D3965" t="s">
        <v>18163</v>
      </c>
      <c r="E3965" t="s">
        <v>21751</v>
      </c>
      <c r="F3965" t="s">
        <v>31362</v>
      </c>
      <c r="G3965" t="s">
        <v>31368</v>
      </c>
      <c r="H3965" t="s">
        <v>15799</v>
      </c>
      <c r="I3965" t="s">
        <v>4057</v>
      </c>
      <c r="J3965" t="s">
        <v>31545</v>
      </c>
      <c r="K3965" t="s">
        <v>40666</v>
      </c>
      <c r="M3965" t="s">
        <v>41177</v>
      </c>
      <c r="N3965" t="s">
        <v>44905</v>
      </c>
      <c r="O3965" t="s">
        <v>44906</v>
      </c>
      <c r="P3965">
        <v>0</v>
      </c>
      <c r="Q3965">
        <v>0</v>
      </c>
      <c r="R3965" t="s">
        <v>44908</v>
      </c>
      <c r="S3965" t="s">
        <v>45042</v>
      </c>
      <c r="T3965" t="s">
        <v>46409</v>
      </c>
      <c r="U3965" t="s">
        <v>50177</v>
      </c>
      <c r="W3965" t="s">
        <v>41177</v>
      </c>
      <c r="X3965" t="s">
        <v>44909</v>
      </c>
    </row>
    <row r="3966" spans="1:24">
      <c r="A3966">
        <f>HYPERLINK("https://www.philgeps.gov.ph/GEPSNONPILOT/Tender/SplashBidNoticeAbstractUI.aspx?menuIndex=3&amp;refID=7080613&amp;Result=3","7080613")</f>
        <v>0</v>
      </c>
      <c r="B3966" t="s">
        <v>1427</v>
      </c>
      <c r="C3966" t="s">
        <v>7315</v>
      </c>
      <c r="D3966" t="s">
        <v>18127</v>
      </c>
      <c r="E3966" t="s">
        <v>7315</v>
      </c>
      <c r="F3966" t="s">
        <v>31362</v>
      </c>
      <c r="G3966" t="s">
        <v>31372</v>
      </c>
      <c r="H3966" t="s">
        <v>15799</v>
      </c>
      <c r="I3966" t="s">
        <v>4283</v>
      </c>
      <c r="J3966" t="s">
        <v>34133</v>
      </c>
      <c r="K3966" t="s">
        <v>40662</v>
      </c>
      <c r="M3966" t="s">
        <v>42455</v>
      </c>
      <c r="N3966" t="s">
        <v>44905</v>
      </c>
      <c r="O3966" t="s">
        <v>44906</v>
      </c>
      <c r="P3966">
        <v>0</v>
      </c>
      <c r="Q3966">
        <v>2</v>
      </c>
      <c r="R3966" t="s">
        <v>44908</v>
      </c>
      <c r="S3966" t="s">
        <v>45042</v>
      </c>
      <c r="T3966" t="s">
        <v>46422</v>
      </c>
      <c r="U3966" t="s">
        <v>50178</v>
      </c>
      <c r="V3966" t="s">
        <v>59449</v>
      </c>
      <c r="W3966" t="s">
        <v>42455</v>
      </c>
      <c r="X3966" t="s">
        <v>44909</v>
      </c>
    </row>
    <row r="3967" spans="1:24">
      <c r="A3967">
        <f>HYPERLINK("https://www.philgeps.gov.ph/GEPSNONPILOT/Tender/SplashBidNoticeAbstractUI.aspx?menuIndex=3&amp;refID=7080571&amp;Result=3","7080571")</f>
        <v>0</v>
      </c>
      <c r="B3967" t="s">
        <v>1404</v>
      </c>
      <c r="C3967" t="s">
        <v>7316</v>
      </c>
      <c r="D3967" t="s">
        <v>18112</v>
      </c>
      <c r="E3967" t="s">
        <v>21701</v>
      </c>
      <c r="F3967" t="s">
        <v>31362</v>
      </c>
      <c r="G3967" t="s">
        <v>31371</v>
      </c>
      <c r="H3967" t="s">
        <v>15799</v>
      </c>
      <c r="I3967" t="s">
        <v>31390</v>
      </c>
      <c r="J3967" t="s">
        <v>32018</v>
      </c>
      <c r="K3967" t="s">
        <v>40693</v>
      </c>
      <c r="M3967" t="s">
        <v>42429</v>
      </c>
      <c r="N3967" t="s">
        <v>44905</v>
      </c>
      <c r="O3967" t="s">
        <v>44906</v>
      </c>
      <c r="P3967">
        <v>0</v>
      </c>
      <c r="Q3967">
        <v>0</v>
      </c>
      <c r="R3967" t="s">
        <v>44908</v>
      </c>
      <c r="S3967" t="s">
        <v>45042</v>
      </c>
      <c r="T3967" t="s">
        <v>46665</v>
      </c>
      <c r="U3967" t="s">
        <v>50179</v>
      </c>
      <c r="W3967" t="s">
        <v>42429</v>
      </c>
      <c r="X3967" t="s">
        <v>44909</v>
      </c>
    </row>
    <row r="3968" spans="1:24">
      <c r="A3968">
        <f>HYPERLINK("https://www.philgeps.gov.ph/GEPSNONPILOT/Tender/SplashBidNoticeAbstractUI.aspx?menuIndex=3&amp;refID=7080570&amp;Result=3","7080570")</f>
        <v>0</v>
      </c>
      <c r="B3968" t="s">
        <v>1428</v>
      </c>
      <c r="C3968" t="s">
        <v>7317</v>
      </c>
      <c r="D3968" t="s">
        <v>18108</v>
      </c>
      <c r="E3968" t="s">
        <v>21752</v>
      </c>
      <c r="F3968" t="s">
        <v>31362</v>
      </c>
      <c r="G3968" t="s">
        <v>31368</v>
      </c>
      <c r="H3968" t="s">
        <v>31378</v>
      </c>
      <c r="I3968" t="s">
        <v>31392</v>
      </c>
      <c r="J3968" t="s">
        <v>31564</v>
      </c>
      <c r="K3968" t="s">
        <v>40696</v>
      </c>
      <c r="M3968" t="s">
        <v>42456</v>
      </c>
      <c r="N3968" t="s">
        <v>44905</v>
      </c>
      <c r="O3968" t="s">
        <v>44906</v>
      </c>
      <c r="P3968">
        <v>0</v>
      </c>
      <c r="Q3968">
        <v>3</v>
      </c>
      <c r="R3968" t="s">
        <v>44908</v>
      </c>
      <c r="S3968" t="s">
        <v>45042</v>
      </c>
      <c r="T3968" t="s">
        <v>46409</v>
      </c>
      <c r="U3968" t="s">
        <v>50180</v>
      </c>
      <c r="W3968" t="s">
        <v>60893</v>
      </c>
      <c r="X3968" t="s">
        <v>44909</v>
      </c>
    </row>
    <row r="3969" spans="1:24">
      <c r="A3969">
        <f>HYPERLINK("https://www.philgeps.gov.ph/GEPSNONPILOT/Tender/SplashBidNoticeAbstractUI.aspx?menuIndex=3&amp;refID=7080612&amp;Result=3","7080612")</f>
        <v>0</v>
      </c>
      <c r="B3969" t="s">
        <v>232</v>
      </c>
      <c r="C3969" t="s">
        <v>7318</v>
      </c>
      <c r="D3969" t="s">
        <v>18101</v>
      </c>
      <c r="E3969" t="s">
        <v>21753</v>
      </c>
      <c r="F3969" t="s">
        <v>31362</v>
      </c>
      <c r="G3969" t="s">
        <v>31368</v>
      </c>
      <c r="H3969" t="s">
        <v>15799</v>
      </c>
      <c r="I3969" t="s">
        <v>31387</v>
      </c>
      <c r="J3969" t="s">
        <v>31889</v>
      </c>
      <c r="K3969" t="s">
        <v>40661</v>
      </c>
      <c r="M3969" t="s">
        <v>41171</v>
      </c>
      <c r="N3969" t="s">
        <v>44905</v>
      </c>
      <c r="O3969" t="s">
        <v>44906</v>
      </c>
      <c r="P3969">
        <v>0</v>
      </c>
      <c r="Q3969">
        <v>0</v>
      </c>
      <c r="R3969" t="s">
        <v>44908</v>
      </c>
      <c r="S3969" t="s">
        <v>45042</v>
      </c>
      <c r="T3969" t="s">
        <v>46409</v>
      </c>
      <c r="U3969" t="s">
        <v>50181</v>
      </c>
      <c r="W3969" t="s">
        <v>41171</v>
      </c>
      <c r="X3969" t="s">
        <v>44909</v>
      </c>
    </row>
    <row r="3970" spans="1:24">
      <c r="A3970">
        <f>HYPERLINK("https://www.philgeps.gov.ph/GEPSNONPILOT/Tender/SplashBidNoticeAbstractUI.aspx?menuIndex=3&amp;refID=7080610&amp;Result=3","7080610")</f>
        <v>0</v>
      </c>
      <c r="B3970" t="s">
        <v>1429</v>
      </c>
      <c r="C3970" t="s">
        <v>3889</v>
      </c>
      <c r="D3970" t="s">
        <v>18138</v>
      </c>
      <c r="E3970" t="s">
        <v>21754</v>
      </c>
      <c r="F3970" t="s">
        <v>31362</v>
      </c>
      <c r="G3970" t="s">
        <v>31368</v>
      </c>
      <c r="H3970" t="s">
        <v>15799</v>
      </c>
      <c r="I3970" t="s">
        <v>7719</v>
      </c>
      <c r="J3970" t="s">
        <v>33492</v>
      </c>
      <c r="K3970" t="s">
        <v>40661</v>
      </c>
      <c r="M3970" t="s">
        <v>42457</v>
      </c>
      <c r="N3970" t="s">
        <v>44905</v>
      </c>
      <c r="O3970" t="s">
        <v>44906</v>
      </c>
      <c r="P3970">
        <v>0</v>
      </c>
      <c r="Q3970">
        <v>4</v>
      </c>
      <c r="R3970" t="s">
        <v>44908</v>
      </c>
      <c r="S3970" t="s">
        <v>45042</v>
      </c>
      <c r="T3970" t="s">
        <v>46669</v>
      </c>
      <c r="U3970" t="s">
        <v>50182</v>
      </c>
      <c r="W3970" t="s">
        <v>42457</v>
      </c>
      <c r="X3970" t="s">
        <v>44909</v>
      </c>
    </row>
    <row r="3971" spans="1:24">
      <c r="A3971">
        <f>HYPERLINK("https://www.philgeps.gov.ph/GEPSNONPILOT/Tender/SplashBidNoticeAbstractUI.aspx?menuIndex=3&amp;refID=7080605&amp;Result=3","7080605")</f>
        <v>0</v>
      </c>
      <c r="B3971" t="s">
        <v>1357</v>
      </c>
      <c r="C3971" t="s">
        <v>7037</v>
      </c>
      <c r="D3971" t="s">
        <v>18139</v>
      </c>
      <c r="E3971" t="s">
        <v>21755</v>
      </c>
      <c r="F3971" t="s">
        <v>31362</v>
      </c>
      <c r="G3971" t="s">
        <v>31369</v>
      </c>
      <c r="H3971" t="s">
        <v>15799</v>
      </c>
      <c r="I3971" t="s">
        <v>3815</v>
      </c>
      <c r="J3971" t="s">
        <v>31604</v>
      </c>
      <c r="K3971" t="s">
        <v>40662</v>
      </c>
      <c r="M3971" t="s">
        <v>42378</v>
      </c>
      <c r="N3971" t="s">
        <v>44905</v>
      </c>
      <c r="O3971" t="s">
        <v>44906</v>
      </c>
      <c r="P3971">
        <v>0</v>
      </c>
      <c r="Q3971">
        <v>0</v>
      </c>
      <c r="R3971" t="s">
        <v>44908</v>
      </c>
      <c r="S3971" t="s">
        <v>45042</v>
      </c>
      <c r="T3971" t="s">
        <v>46417</v>
      </c>
      <c r="U3971" t="s">
        <v>50183</v>
      </c>
      <c r="W3971" t="s">
        <v>42378</v>
      </c>
      <c r="X3971" t="s">
        <v>44909</v>
      </c>
    </row>
    <row r="3972" spans="1:24">
      <c r="A3972">
        <f>HYPERLINK("https://www.philgeps.gov.ph/GEPSNONPILOT/Tender/SplashBidNoticeAbstractUI.aspx?menuIndex=3&amp;refID=7080565&amp;Result=3","7080565")</f>
        <v>0</v>
      </c>
      <c r="B3972" t="s">
        <v>1380</v>
      </c>
      <c r="C3972" t="s">
        <v>7319</v>
      </c>
      <c r="D3972" t="s">
        <v>18127</v>
      </c>
      <c r="E3972" t="s">
        <v>21756</v>
      </c>
      <c r="F3972" t="s">
        <v>31362</v>
      </c>
      <c r="G3972" t="s">
        <v>31369</v>
      </c>
      <c r="H3972" t="s">
        <v>31378</v>
      </c>
      <c r="I3972" t="s">
        <v>31386</v>
      </c>
      <c r="J3972" t="s">
        <v>34134</v>
      </c>
      <c r="K3972" t="s">
        <v>40682</v>
      </c>
      <c r="M3972" t="s">
        <v>42404</v>
      </c>
      <c r="N3972" t="s">
        <v>44905</v>
      </c>
      <c r="O3972" t="s">
        <v>44906</v>
      </c>
      <c r="P3972">
        <v>0</v>
      </c>
      <c r="Q3972">
        <v>0</v>
      </c>
      <c r="R3972" t="s">
        <v>44908</v>
      </c>
      <c r="S3972" t="s">
        <v>45042</v>
      </c>
      <c r="T3972" t="s">
        <v>46470</v>
      </c>
      <c r="U3972" t="s">
        <v>50184</v>
      </c>
      <c r="W3972" t="s">
        <v>42404</v>
      </c>
      <c r="X3972" t="s">
        <v>44909</v>
      </c>
    </row>
    <row r="3973" spans="1:24">
      <c r="A3973">
        <f>HYPERLINK("https://www.philgeps.gov.ph/GEPSNONPILOT/Tender/SplashBidNoticeAbstractUI.aspx?menuIndex=3&amp;refID=7080590&amp;Result=3","7080590")</f>
        <v>0</v>
      </c>
      <c r="B3973" t="s">
        <v>1366</v>
      </c>
      <c r="C3973" t="s">
        <v>7320</v>
      </c>
      <c r="D3973" t="s">
        <v>18138</v>
      </c>
      <c r="E3973" t="s">
        <v>21757</v>
      </c>
      <c r="F3973" t="s">
        <v>31362</v>
      </c>
      <c r="G3973" t="s">
        <v>31368</v>
      </c>
      <c r="H3973" t="s">
        <v>15799</v>
      </c>
      <c r="I3973" t="s">
        <v>31430</v>
      </c>
      <c r="J3973" t="s">
        <v>31577</v>
      </c>
      <c r="K3973" t="s">
        <v>40665</v>
      </c>
      <c r="M3973" t="s">
        <v>42387</v>
      </c>
      <c r="N3973" t="s">
        <v>44905</v>
      </c>
      <c r="O3973" t="s">
        <v>44906</v>
      </c>
      <c r="P3973">
        <v>0</v>
      </c>
      <c r="Q3973">
        <v>1</v>
      </c>
      <c r="R3973" t="s">
        <v>44908</v>
      </c>
      <c r="S3973" t="s">
        <v>45042</v>
      </c>
      <c r="T3973" t="s">
        <v>46427</v>
      </c>
      <c r="U3973" t="s">
        <v>49965</v>
      </c>
      <c r="W3973" t="s">
        <v>42387</v>
      </c>
      <c r="X3973" t="s">
        <v>44909</v>
      </c>
    </row>
    <row r="3974" spans="1:24">
      <c r="A3974">
        <f>HYPERLINK("https://www.philgeps.gov.ph/GEPSNONPILOT/Tender/SplashBidNoticeAbstractUI.aspx?menuIndex=3&amp;refID=7080604&amp;Result=3","7080604")</f>
        <v>0</v>
      </c>
      <c r="B3974" t="s">
        <v>267</v>
      </c>
      <c r="C3974" t="s">
        <v>7321</v>
      </c>
      <c r="D3974" t="s">
        <v>18154</v>
      </c>
      <c r="E3974" t="s">
        <v>21758</v>
      </c>
      <c r="F3974" t="s">
        <v>31362</v>
      </c>
      <c r="G3974" t="s">
        <v>31369</v>
      </c>
      <c r="H3974" t="s">
        <v>15799</v>
      </c>
      <c r="I3974" t="s">
        <v>3582</v>
      </c>
      <c r="J3974" t="s">
        <v>34135</v>
      </c>
      <c r="K3974" t="s">
        <v>40670</v>
      </c>
      <c r="M3974" t="s">
        <v>41208</v>
      </c>
      <c r="N3974" t="s">
        <v>44905</v>
      </c>
      <c r="O3974" t="s">
        <v>44906</v>
      </c>
      <c r="P3974">
        <v>0</v>
      </c>
      <c r="Q3974">
        <v>0</v>
      </c>
      <c r="R3974" t="s">
        <v>44908</v>
      </c>
      <c r="S3974" t="s">
        <v>45042</v>
      </c>
      <c r="T3974" t="s">
        <v>46470</v>
      </c>
      <c r="U3974" t="s">
        <v>50185</v>
      </c>
      <c r="W3974" t="s">
        <v>41208</v>
      </c>
      <c r="X3974" t="s">
        <v>44909</v>
      </c>
    </row>
    <row r="3975" spans="1:24">
      <c r="A3975">
        <f>HYPERLINK("https://www.philgeps.gov.ph/GEPSNONPILOT/Tender/SplashBidNoticeAbstractUI.aspx?menuIndex=3&amp;refID=7080598&amp;Result=3","7080598")</f>
        <v>0</v>
      </c>
      <c r="B3975" t="s">
        <v>1371</v>
      </c>
      <c r="C3975" t="s">
        <v>7322</v>
      </c>
      <c r="D3975" t="s">
        <v>18104</v>
      </c>
      <c r="E3975" t="s">
        <v>21759</v>
      </c>
      <c r="F3975" t="s">
        <v>31362</v>
      </c>
      <c r="G3975" t="s">
        <v>31368</v>
      </c>
      <c r="H3975" t="s">
        <v>15799</v>
      </c>
      <c r="I3975" t="s">
        <v>3815</v>
      </c>
      <c r="J3975" t="s">
        <v>34136</v>
      </c>
      <c r="K3975" t="s">
        <v>40666</v>
      </c>
      <c r="M3975" t="s">
        <v>42394</v>
      </c>
      <c r="N3975" t="s">
        <v>44905</v>
      </c>
      <c r="O3975" t="s">
        <v>44906</v>
      </c>
      <c r="P3975">
        <v>0</v>
      </c>
      <c r="Q3975">
        <v>0</v>
      </c>
      <c r="R3975" t="s">
        <v>44908</v>
      </c>
      <c r="S3975" t="s">
        <v>45042</v>
      </c>
      <c r="T3975" t="s">
        <v>46670</v>
      </c>
      <c r="U3975" t="s">
        <v>50186</v>
      </c>
      <c r="W3975" t="s">
        <v>42394</v>
      </c>
      <c r="X3975" t="s">
        <v>44909</v>
      </c>
    </row>
    <row r="3976" spans="1:24">
      <c r="A3976">
        <f>HYPERLINK("https://www.philgeps.gov.ph/GEPSNONPILOT/Tender/SplashBidNoticeAbstractUI.aspx?menuIndex=3&amp;refID=7080609&amp;Result=3","7080609")</f>
        <v>0</v>
      </c>
      <c r="B3976" t="s">
        <v>1430</v>
      </c>
      <c r="C3976" t="s">
        <v>7323</v>
      </c>
      <c r="D3976" t="s">
        <v>18108</v>
      </c>
      <c r="E3976" t="s">
        <v>21760</v>
      </c>
      <c r="F3976" t="s">
        <v>31362</v>
      </c>
      <c r="G3976" t="s">
        <v>31368</v>
      </c>
      <c r="H3976" t="s">
        <v>15799</v>
      </c>
      <c r="I3976" t="s">
        <v>3815</v>
      </c>
      <c r="J3976" t="s">
        <v>34137</v>
      </c>
      <c r="K3976" t="s">
        <v>40693</v>
      </c>
      <c r="M3976" t="s">
        <v>42458</v>
      </c>
      <c r="N3976" t="s">
        <v>44905</v>
      </c>
      <c r="O3976" t="s">
        <v>44906</v>
      </c>
      <c r="P3976">
        <v>0</v>
      </c>
      <c r="Q3976">
        <v>0</v>
      </c>
      <c r="R3976" t="s">
        <v>44908</v>
      </c>
      <c r="S3976" t="s">
        <v>45042</v>
      </c>
      <c r="T3976" t="s">
        <v>46447</v>
      </c>
      <c r="U3976" t="s">
        <v>50187</v>
      </c>
      <c r="W3976" t="s">
        <v>42458</v>
      </c>
      <c r="X3976" t="s">
        <v>44909</v>
      </c>
    </row>
    <row r="3977" spans="1:24">
      <c r="A3977">
        <f>HYPERLINK("https://www.philgeps.gov.ph/GEPSNONPILOT/Tender/SplashBidNoticeAbstractUI.aspx?menuIndex=3&amp;refID=7080597&amp;Result=3","7080597")</f>
        <v>0</v>
      </c>
      <c r="B3977" t="s">
        <v>1431</v>
      </c>
      <c r="C3977" t="s">
        <v>7324</v>
      </c>
      <c r="D3977" t="s">
        <v>18101</v>
      </c>
      <c r="E3977" t="s">
        <v>21761</v>
      </c>
      <c r="F3977" t="s">
        <v>31362</v>
      </c>
      <c r="G3977" t="s">
        <v>31371</v>
      </c>
      <c r="H3977" t="s">
        <v>15799</v>
      </c>
      <c r="I3977" t="s">
        <v>31422</v>
      </c>
      <c r="J3977" t="s">
        <v>32617</v>
      </c>
      <c r="K3977" t="s">
        <v>40662</v>
      </c>
      <c r="M3977" t="s">
        <v>42459</v>
      </c>
      <c r="N3977" t="s">
        <v>44905</v>
      </c>
      <c r="O3977" t="s">
        <v>44906</v>
      </c>
      <c r="P3977">
        <v>0</v>
      </c>
      <c r="Q3977">
        <v>3</v>
      </c>
      <c r="R3977" t="s">
        <v>44908</v>
      </c>
      <c r="S3977" t="s">
        <v>45042</v>
      </c>
      <c r="T3977" t="s">
        <v>46438</v>
      </c>
      <c r="U3977" t="s">
        <v>50188</v>
      </c>
      <c r="V3977" t="s">
        <v>59450</v>
      </c>
      <c r="W3977" t="s">
        <v>42459</v>
      </c>
      <c r="X3977" t="s">
        <v>44909</v>
      </c>
    </row>
    <row r="3978" spans="1:24">
      <c r="A3978">
        <f>HYPERLINK("https://www.philgeps.gov.ph/GEPSNONPILOT/Tender/SplashBidNoticeAbstractUI.aspx?menuIndex=3&amp;refID=7080606&amp;Result=3","7080606")</f>
        <v>0</v>
      </c>
      <c r="B3978" t="s">
        <v>260</v>
      </c>
      <c r="C3978" t="s">
        <v>7325</v>
      </c>
      <c r="E3978" t="s">
        <v>21762</v>
      </c>
      <c r="F3978" t="s">
        <v>31362</v>
      </c>
      <c r="G3978" t="s">
        <v>31368</v>
      </c>
      <c r="H3978" t="s">
        <v>15799</v>
      </c>
      <c r="I3978" t="s">
        <v>31385</v>
      </c>
      <c r="J3978" t="s">
        <v>31890</v>
      </c>
      <c r="K3978" t="s">
        <v>40662</v>
      </c>
      <c r="M3978" t="s">
        <v>41201</v>
      </c>
      <c r="N3978" t="s">
        <v>44905</v>
      </c>
      <c r="O3978" t="s">
        <v>44906</v>
      </c>
      <c r="P3978">
        <v>0</v>
      </c>
      <c r="Q3978">
        <v>1</v>
      </c>
      <c r="R3978" t="s">
        <v>44908</v>
      </c>
      <c r="S3978" t="s">
        <v>45042</v>
      </c>
      <c r="T3978" t="s">
        <v>46414</v>
      </c>
      <c r="U3978" t="s">
        <v>50189</v>
      </c>
      <c r="W3978" t="s">
        <v>41201</v>
      </c>
      <c r="X3978" t="s">
        <v>44909</v>
      </c>
    </row>
    <row r="3979" spans="1:24">
      <c r="A3979">
        <f>HYPERLINK("https://www.philgeps.gov.ph/GEPSNONPILOT/Tender/SplashBidNoticeAbstractUI.aspx?menuIndex=3&amp;refID=7080596&amp;Result=3","7080596")</f>
        <v>0</v>
      </c>
      <c r="B3979" t="s">
        <v>238</v>
      </c>
      <c r="C3979" t="s">
        <v>7326</v>
      </c>
      <c r="D3979" t="s">
        <v>18163</v>
      </c>
      <c r="E3979" t="s">
        <v>21763</v>
      </c>
      <c r="F3979" t="s">
        <v>31362</v>
      </c>
      <c r="G3979" t="s">
        <v>31368</v>
      </c>
      <c r="H3979" t="s">
        <v>15799</v>
      </c>
      <c r="I3979" t="s">
        <v>31427</v>
      </c>
      <c r="J3979" t="s">
        <v>31827</v>
      </c>
      <c r="K3979" t="s">
        <v>40666</v>
      </c>
      <c r="M3979" t="s">
        <v>41177</v>
      </c>
      <c r="N3979" t="s">
        <v>44905</v>
      </c>
      <c r="O3979" t="s">
        <v>44906</v>
      </c>
      <c r="P3979">
        <v>0</v>
      </c>
      <c r="Q3979">
        <v>2</v>
      </c>
      <c r="R3979" t="s">
        <v>44908</v>
      </c>
      <c r="S3979" t="s">
        <v>45042</v>
      </c>
      <c r="T3979" t="s">
        <v>46409</v>
      </c>
      <c r="U3979" t="s">
        <v>50190</v>
      </c>
      <c r="W3979" t="s">
        <v>41177</v>
      </c>
      <c r="X3979" t="s">
        <v>44909</v>
      </c>
    </row>
    <row r="3980" spans="1:24">
      <c r="A3980">
        <f>HYPERLINK("https://www.philgeps.gov.ph/GEPSNONPILOT/Tender/SplashBidNoticeAbstractUI.aspx?menuIndex=3&amp;refID=7080594&amp;Result=3","7080594")</f>
        <v>0</v>
      </c>
      <c r="B3980" t="s">
        <v>1374</v>
      </c>
      <c r="C3980" t="s">
        <v>7255</v>
      </c>
      <c r="D3980" t="s">
        <v>18178</v>
      </c>
      <c r="E3980" t="s">
        <v>21764</v>
      </c>
      <c r="F3980" t="s">
        <v>31362</v>
      </c>
      <c r="G3980" t="s">
        <v>31369</v>
      </c>
      <c r="H3980" t="s">
        <v>31378</v>
      </c>
      <c r="I3980" t="s">
        <v>31386</v>
      </c>
      <c r="J3980" t="s">
        <v>34138</v>
      </c>
      <c r="K3980" t="s">
        <v>40722</v>
      </c>
      <c r="M3980" t="s">
        <v>42397</v>
      </c>
      <c r="N3980" t="s">
        <v>44905</v>
      </c>
      <c r="O3980" t="s">
        <v>44906</v>
      </c>
      <c r="P3980">
        <v>0</v>
      </c>
      <c r="Q3980">
        <v>0</v>
      </c>
      <c r="R3980" t="s">
        <v>44908</v>
      </c>
      <c r="S3980" t="s">
        <v>45042</v>
      </c>
      <c r="T3980" t="s">
        <v>46404</v>
      </c>
      <c r="U3980" t="s">
        <v>50191</v>
      </c>
      <c r="W3980" t="s">
        <v>42397</v>
      </c>
      <c r="X3980" t="s">
        <v>44909</v>
      </c>
    </row>
    <row r="3981" spans="1:24">
      <c r="A3981">
        <f>HYPERLINK("https://www.philgeps.gov.ph/GEPSNONPILOT/Tender/SplashBidNoticeAbstractUI.aspx?menuIndex=3&amp;refID=7080602&amp;Result=3","7080602")</f>
        <v>0</v>
      </c>
      <c r="B3981" t="s">
        <v>1343</v>
      </c>
      <c r="C3981" t="s">
        <v>7327</v>
      </c>
      <c r="D3981" t="s">
        <v>18136</v>
      </c>
      <c r="E3981" t="s">
        <v>21765</v>
      </c>
      <c r="F3981" t="s">
        <v>31362</v>
      </c>
      <c r="G3981" t="s">
        <v>31368</v>
      </c>
      <c r="H3981" t="s">
        <v>15799</v>
      </c>
      <c r="I3981" t="s">
        <v>7090</v>
      </c>
      <c r="J3981" t="s">
        <v>31530</v>
      </c>
      <c r="K3981" t="s">
        <v>40665</v>
      </c>
      <c r="M3981" t="s">
        <v>42362</v>
      </c>
      <c r="N3981" t="s">
        <v>44905</v>
      </c>
      <c r="O3981" t="s">
        <v>44906</v>
      </c>
      <c r="P3981">
        <v>0</v>
      </c>
      <c r="Q3981">
        <v>3</v>
      </c>
      <c r="R3981" t="s">
        <v>44908</v>
      </c>
      <c r="S3981" t="s">
        <v>45042</v>
      </c>
      <c r="T3981" t="s">
        <v>46432</v>
      </c>
      <c r="U3981" t="s">
        <v>50192</v>
      </c>
      <c r="W3981" t="s">
        <v>42362</v>
      </c>
      <c r="X3981" t="s">
        <v>44909</v>
      </c>
    </row>
    <row r="3982" spans="1:24">
      <c r="A3982">
        <f>HYPERLINK("https://www.philgeps.gov.ph/GEPSNONPILOT/Tender/SplashBidNoticeAbstractUI.aspx?menuIndex=3&amp;refID=7080617&amp;Result=3","7080617")</f>
        <v>0</v>
      </c>
      <c r="B3982" t="s">
        <v>238</v>
      </c>
      <c r="C3982" t="s">
        <v>7328</v>
      </c>
      <c r="D3982" t="s">
        <v>18163</v>
      </c>
      <c r="E3982" t="s">
        <v>21766</v>
      </c>
      <c r="F3982" t="s">
        <v>31362</v>
      </c>
      <c r="G3982" t="s">
        <v>31368</v>
      </c>
      <c r="H3982" t="s">
        <v>15799</v>
      </c>
      <c r="I3982" t="s">
        <v>31427</v>
      </c>
      <c r="J3982" t="s">
        <v>31827</v>
      </c>
      <c r="K3982" t="s">
        <v>40666</v>
      </c>
      <c r="M3982" t="s">
        <v>41177</v>
      </c>
      <c r="N3982" t="s">
        <v>44905</v>
      </c>
      <c r="O3982" t="s">
        <v>44906</v>
      </c>
      <c r="P3982">
        <v>0</v>
      </c>
      <c r="Q3982">
        <v>2</v>
      </c>
      <c r="R3982" t="s">
        <v>44908</v>
      </c>
      <c r="S3982" t="s">
        <v>45042</v>
      </c>
      <c r="T3982" t="s">
        <v>46409</v>
      </c>
      <c r="U3982" t="s">
        <v>50193</v>
      </c>
      <c r="W3982" t="s">
        <v>41177</v>
      </c>
      <c r="X3982" t="s">
        <v>44909</v>
      </c>
    </row>
    <row r="3983" spans="1:24">
      <c r="A3983">
        <f>HYPERLINK("https://www.philgeps.gov.ph/GEPSNONPILOT/Tender/SplashBidNoticeAbstractUI.aspx?menuIndex=3&amp;refID=7080601&amp;Result=3","7080601")</f>
        <v>0</v>
      </c>
      <c r="B3983" t="s">
        <v>223</v>
      </c>
      <c r="C3983" t="s">
        <v>7329</v>
      </c>
      <c r="D3983" t="s">
        <v>18153</v>
      </c>
      <c r="E3983" t="s">
        <v>21767</v>
      </c>
      <c r="F3983" t="s">
        <v>31362</v>
      </c>
      <c r="G3983" t="s">
        <v>31368</v>
      </c>
      <c r="H3983" t="s">
        <v>15799</v>
      </c>
      <c r="I3983" t="s">
        <v>3815</v>
      </c>
      <c r="J3983" t="s">
        <v>34139</v>
      </c>
      <c r="K3983" t="s">
        <v>40666</v>
      </c>
      <c r="M3983" t="s">
        <v>41162</v>
      </c>
      <c r="N3983" t="s">
        <v>44905</v>
      </c>
      <c r="O3983" t="s">
        <v>44906</v>
      </c>
      <c r="P3983">
        <v>0</v>
      </c>
      <c r="Q3983">
        <v>0</v>
      </c>
      <c r="R3983" t="s">
        <v>44908</v>
      </c>
      <c r="S3983" t="s">
        <v>45042</v>
      </c>
      <c r="T3983" t="s">
        <v>46435</v>
      </c>
      <c r="U3983" t="s">
        <v>50194</v>
      </c>
      <c r="W3983" t="s">
        <v>41162</v>
      </c>
      <c r="X3983" t="s">
        <v>44909</v>
      </c>
    </row>
    <row r="3984" spans="1:24">
      <c r="A3984">
        <f>HYPERLINK("https://www.philgeps.gov.ph/GEPSNONPILOT/Tender/SplashBidNoticeAbstractUI.aspx?menuIndex=3&amp;refID=7080614&amp;Result=3","7080614")</f>
        <v>0</v>
      </c>
      <c r="B3984" t="s">
        <v>580</v>
      </c>
      <c r="C3984" t="s">
        <v>7330</v>
      </c>
      <c r="D3984" t="s">
        <v>18106</v>
      </c>
      <c r="E3984" t="s">
        <v>21768</v>
      </c>
      <c r="F3984" t="s">
        <v>31362</v>
      </c>
      <c r="G3984" t="s">
        <v>31368</v>
      </c>
      <c r="H3984" t="s">
        <v>15799</v>
      </c>
      <c r="I3984" t="s">
        <v>31392</v>
      </c>
      <c r="J3984" t="s">
        <v>32016</v>
      </c>
      <c r="K3984" t="s">
        <v>40693</v>
      </c>
      <c r="M3984" t="s">
        <v>41537</v>
      </c>
      <c r="N3984" t="s">
        <v>44905</v>
      </c>
      <c r="O3984" t="s">
        <v>44906</v>
      </c>
      <c r="P3984">
        <v>0</v>
      </c>
      <c r="Q3984">
        <v>3</v>
      </c>
      <c r="R3984" t="s">
        <v>44908</v>
      </c>
      <c r="S3984" t="s">
        <v>45042</v>
      </c>
      <c r="T3984" t="s">
        <v>46404</v>
      </c>
      <c r="U3984" t="s">
        <v>47766</v>
      </c>
      <c r="W3984" t="s">
        <v>41537</v>
      </c>
      <c r="X3984" t="s">
        <v>44909</v>
      </c>
    </row>
    <row r="3985" spans="1:24">
      <c r="A3985">
        <f>HYPERLINK("https://www.philgeps.gov.ph/GEPSNONPILOT/Tender/SplashBidNoticeAbstractUI.aspx?menuIndex=3&amp;refID=7080607&amp;Result=3","7080607")</f>
        <v>0</v>
      </c>
      <c r="B3985" t="s">
        <v>1432</v>
      </c>
      <c r="C3985" t="s">
        <v>7331</v>
      </c>
      <c r="D3985" t="s">
        <v>18158</v>
      </c>
      <c r="E3985" t="s">
        <v>21769</v>
      </c>
      <c r="F3985" t="s">
        <v>31365</v>
      </c>
      <c r="G3985" t="s">
        <v>31368</v>
      </c>
      <c r="H3985" t="s">
        <v>15799</v>
      </c>
      <c r="I3985" t="s">
        <v>6155</v>
      </c>
      <c r="J3985" t="s">
        <v>31724</v>
      </c>
      <c r="K3985" t="s">
        <v>40661</v>
      </c>
      <c r="M3985" t="s">
        <v>42460</v>
      </c>
      <c r="N3985" t="s">
        <v>44905</v>
      </c>
      <c r="O3985" t="s">
        <v>44906</v>
      </c>
      <c r="P3985">
        <v>0</v>
      </c>
      <c r="Q3985">
        <v>1</v>
      </c>
      <c r="R3985" t="s">
        <v>44908</v>
      </c>
      <c r="S3985" t="s">
        <v>45042</v>
      </c>
      <c r="T3985" t="s">
        <v>46417</v>
      </c>
      <c r="U3985" t="s">
        <v>50195</v>
      </c>
      <c r="W3985" t="s">
        <v>42460</v>
      </c>
      <c r="X3985" t="s">
        <v>44909</v>
      </c>
    </row>
    <row r="3986" spans="1:24">
      <c r="A3986">
        <f>HYPERLINK("https://www.philgeps.gov.ph/GEPSNONPILOT/Tender/SplashBidNoticeAbstractUI.aspx?menuIndex=3&amp;refID=7080603&amp;Result=3","7080603")</f>
        <v>0</v>
      </c>
      <c r="B3986" t="s">
        <v>232</v>
      </c>
      <c r="C3986" t="s">
        <v>7332</v>
      </c>
      <c r="D3986" t="s">
        <v>18101</v>
      </c>
      <c r="E3986" t="s">
        <v>21770</v>
      </c>
      <c r="F3986" t="s">
        <v>31362</v>
      </c>
      <c r="G3986" t="s">
        <v>31368</v>
      </c>
      <c r="H3986" t="s">
        <v>15799</v>
      </c>
      <c r="I3986" t="s">
        <v>31387</v>
      </c>
      <c r="J3986" t="s">
        <v>34140</v>
      </c>
      <c r="K3986" t="s">
        <v>40661</v>
      </c>
      <c r="M3986" t="s">
        <v>41171</v>
      </c>
      <c r="N3986" t="s">
        <v>44905</v>
      </c>
      <c r="O3986" t="s">
        <v>44906</v>
      </c>
      <c r="P3986">
        <v>0</v>
      </c>
      <c r="Q3986">
        <v>0</v>
      </c>
      <c r="R3986" t="s">
        <v>44908</v>
      </c>
      <c r="S3986" t="s">
        <v>45042</v>
      </c>
      <c r="T3986" t="s">
        <v>46409</v>
      </c>
      <c r="U3986" t="s">
        <v>50196</v>
      </c>
      <c r="W3986" t="s">
        <v>41171</v>
      </c>
      <c r="X3986" t="s">
        <v>44909</v>
      </c>
    </row>
    <row r="3987" spans="1:24">
      <c r="A3987">
        <f>HYPERLINK("https://www.philgeps.gov.ph/GEPSNONPILOT/Tender/SplashBidNoticeAbstractUI.aspx?menuIndex=3&amp;refID=7080595&amp;Result=3","7080595")</f>
        <v>0</v>
      </c>
      <c r="B3987" t="s">
        <v>1433</v>
      </c>
      <c r="C3987" t="s">
        <v>7333</v>
      </c>
      <c r="D3987" t="s">
        <v>18147</v>
      </c>
      <c r="E3987" t="s">
        <v>21771</v>
      </c>
      <c r="F3987" t="s">
        <v>31362</v>
      </c>
      <c r="G3987" t="s">
        <v>31368</v>
      </c>
      <c r="H3987" t="s">
        <v>15799</v>
      </c>
      <c r="I3987" t="s">
        <v>3815</v>
      </c>
      <c r="J3987" t="s">
        <v>34141</v>
      </c>
      <c r="K3987" t="s">
        <v>40679</v>
      </c>
      <c r="M3987" t="s">
        <v>42461</v>
      </c>
      <c r="N3987" t="s">
        <v>44905</v>
      </c>
      <c r="O3987" t="s">
        <v>44906</v>
      </c>
      <c r="P3987">
        <v>0</v>
      </c>
      <c r="Q3987">
        <v>0</v>
      </c>
      <c r="R3987" t="s">
        <v>44908</v>
      </c>
      <c r="S3987" t="s">
        <v>45042</v>
      </c>
      <c r="T3987" t="s">
        <v>46463</v>
      </c>
      <c r="U3987" t="s">
        <v>50197</v>
      </c>
      <c r="W3987" t="s">
        <v>42461</v>
      </c>
      <c r="X3987" t="s">
        <v>44909</v>
      </c>
    </row>
    <row r="3988" spans="1:24">
      <c r="A3988">
        <f>HYPERLINK("https://www.philgeps.gov.ph/GEPSNONPILOT/Tender/SplashBidNoticeAbstractUI.aspx?menuIndex=3&amp;refID=7080635&amp;Result=3","7080635")</f>
        <v>0</v>
      </c>
      <c r="B3988" t="s">
        <v>238</v>
      </c>
      <c r="C3988" t="s">
        <v>7334</v>
      </c>
      <c r="D3988" t="s">
        <v>18163</v>
      </c>
      <c r="E3988" t="s">
        <v>21772</v>
      </c>
      <c r="F3988" t="s">
        <v>31362</v>
      </c>
      <c r="G3988" t="s">
        <v>31368</v>
      </c>
      <c r="H3988" t="s">
        <v>15799</v>
      </c>
      <c r="I3988" t="s">
        <v>4057</v>
      </c>
      <c r="J3988" t="s">
        <v>31545</v>
      </c>
      <c r="K3988" t="s">
        <v>40666</v>
      </c>
      <c r="M3988" t="s">
        <v>41177</v>
      </c>
      <c r="N3988" t="s">
        <v>44905</v>
      </c>
      <c r="O3988" t="s">
        <v>44906</v>
      </c>
      <c r="P3988">
        <v>0</v>
      </c>
      <c r="Q3988">
        <v>0</v>
      </c>
      <c r="R3988" t="s">
        <v>44908</v>
      </c>
      <c r="S3988" t="s">
        <v>45042</v>
      </c>
      <c r="T3988" t="s">
        <v>46409</v>
      </c>
      <c r="U3988" t="s">
        <v>50198</v>
      </c>
      <c r="W3988" t="s">
        <v>41177</v>
      </c>
      <c r="X3988" t="s">
        <v>44909</v>
      </c>
    </row>
    <row r="3989" spans="1:24">
      <c r="A3989">
        <f>HYPERLINK("https://www.philgeps.gov.ph/GEPSNONPILOT/Tender/SplashBidNoticeAbstractUI.aspx?menuIndex=3&amp;refID=7080634&amp;Result=3","7080634")</f>
        <v>0</v>
      </c>
      <c r="B3989" t="s">
        <v>1374</v>
      </c>
      <c r="C3989" t="s">
        <v>7255</v>
      </c>
      <c r="D3989" t="s">
        <v>18178</v>
      </c>
      <c r="E3989" t="s">
        <v>21773</v>
      </c>
      <c r="F3989" t="s">
        <v>31362</v>
      </c>
      <c r="G3989" t="s">
        <v>31369</v>
      </c>
      <c r="H3989" t="s">
        <v>31378</v>
      </c>
      <c r="I3989" t="s">
        <v>31386</v>
      </c>
      <c r="J3989" t="s">
        <v>34142</v>
      </c>
      <c r="K3989" t="s">
        <v>40770</v>
      </c>
      <c r="M3989" t="s">
        <v>42397</v>
      </c>
      <c r="N3989" t="s">
        <v>44905</v>
      </c>
      <c r="O3989" t="s">
        <v>44906</v>
      </c>
      <c r="P3989">
        <v>0</v>
      </c>
      <c r="Q3989">
        <v>0</v>
      </c>
      <c r="R3989" t="s">
        <v>44908</v>
      </c>
      <c r="S3989" t="s">
        <v>45042</v>
      </c>
      <c r="T3989" t="s">
        <v>46404</v>
      </c>
      <c r="U3989" t="s">
        <v>50199</v>
      </c>
      <c r="W3989" t="s">
        <v>42397</v>
      </c>
      <c r="X3989" t="s">
        <v>44909</v>
      </c>
    </row>
    <row r="3990" spans="1:24">
      <c r="A3990">
        <f>HYPERLINK("https://www.philgeps.gov.ph/GEPSNONPILOT/Tender/SplashBidNoticeAbstractUI.aspx?menuIndex=3&amp;refID=7080633&amp;Result=3","7080633")</f>
        <v>0</v>
      </c>
      <c r="B3990" t="s">
        <v>335</v>
      </c>
      <c r="C3990" t="s">
        <v>7335</v>
      </c>
      <c r="D3990" t="s">
        <v>18108</v>
      </c>
      <c r="E3990" t="s">
        <v>21774</v>
      </c>
      <c r="F3990" t="s">
        <v>31362</v>
      </c>
      <c r="G3990" t="s">
        <v>31368</v>
      </c>
      <c r="H3990" t="s">
        <v>15799</v>
      </c>
      <c r="I3990" t="s">
        <v>3815</v>
      </c>
      <c r="J3990" t="s">
        <v>34143</v>
      </c>
      <c r="K3990" t="s">
        <v>40661</v>
      </c>
      <c r="M3990" t="s">
        <v>42389</v>
      </c>
      <c r="N3990" t="s">
        <v>44905</v>
      </c>
      <c r="O3990" t="s">
        <v>44906</v>
      </c>
      <c r="P3990">
        <v>0</v>
      </c>
      <c r="Q3990">
        <v>1</v>
      </c>
      <c r="R3990" t="s">
        <v>44908</v>
      </c>
      <c r="S3990" t="s">
        <v>45042</v>
      </c>
      <c r="T3990" t="s">
        <v>46447</v>
      </c>
      <c r="U3990" t="s">
        <v>50200</v>
      </c>
      <c r="W3990" t="s">
        <v>42389</v>
      </c>
      <c r="X3990" t="s">
        <v>44909</v>
      </c>
    </row>
    <row r="3991" spans="1:24">
      <c r="A3991">
        <f>HYPERLINK("https://www.philgeps.gov.ph/GEPSNONPILOT/Tender/SplashBidNoticeAbstractUI.aspx?menuIndex=3&amp;refID=7080631&amp;Result=3","7080631")</f>
        <v>0</v>
      </c>
      <c r="B3991" t="s">
        <v>1416</v>
      </c>
      <c r="C3991" t="s">
        <v>7336</v>
      </c>
      <c r="D3991" t="s">
        <v>18127</v>
      </c>
      <c r="E3991" t="s">
        <v>19186</v>
      </c>
      <c r="F3991" t="s">
        <v>31362</v>
      </c>
      <c r="G3991" t="s">
        <v>31369</v>
      </c>
      <c r="H3991" t="s">
        <v>31378</v>
      </c>
      <c r="I3991" t="s">
        <v>3815</v>
      </c>
      <c r="J3991" t="s">
        <v>31897</v>
      </c>
      <c r="K3991" t="s">
        <v>40665</v>
      </c>
      <c r="M3991" t="s">
        <v>42442</v>
      </c>
      <c r="N3991" t="s">
        <v>44905</v>
      </c>
      <c r="O3991" t="s">
        <v>44906</v>
      </c>
      <c r="P3991">
        <v>0</v>
      </c>
      <c r="Q3991">
        <v>0</v>
      </c>
      <c r="R3991" t="s">
        <v>44908</v>
      </c>
      <c r="S3991" t="s">
        <v>45042</v>
      </c>
      <c r="T3991" t="s">
        <v>46668</v>
      </c>
      <c r="U3991" t="s">
        <v>50201</v>
      </c>
      <c r="V3991" t="s">
        <v>59451</v>
      </c>
      <c r="W3991" t="s">
        <v>42442</v>
      </c>
      <c r="X3991" t="s">
        <v>44909</v>
      </c>
    </row>
    <row r="3992" spans="1:24">
      <c r="A3992">
        <f>HYPERLINK("https://www.philgeps.gov.ph/GEPSNONPILOT/Tender/SplashBidNoticeAbstractUI.aspx?menuIndex=3&amp;refID=7080628&amp;Result=3","7080628")</f>
        <v>0</v>
      </c>
      <c r="B3992" t="s">
        <v>1380</v>
      </c>
      <c r="C3992" t="s">
        <v>7337</v>
      </c>
      <c r="D3992" t="s">
        <v>18127</v>
      </c>
      <c r="E3992" t="s">
        <v>21775</v>
      </c>
      <c r="F3992" t="s">
        <v>31362</v>
      </c>
      <c r="G3992" t="s">
        <v>31369</v>
      </c>
      <c r="H3992" t="s">
        <v>31378</v>
      </c>
      <c r="I3992" t="s">
        <v>31386</v>
      </c>
      <c r="J3992" t="s">
        <v>31564</v>
      </c>
      <c r="K3992" t="s">
        <v>40662</v>
      </c>
      <c r="M3992" t="s">
        <v>42404</v>
      </c>
      <c r="N3992" t="s">
        <v>44905</v>
      </c>
      <c r="O3992" t="s">
        <v>44906</v>
      </c>
      <c r="P3992">
        <v>0</v>
      </c>
      <c r="Q3992">
        <v>0</v>
      </c>
      <c r="R3992" t="s">
        <v>44908</v>
      </c>
      <c r="S3992" t="s">
        <v>45042</v>
      </c>
      <c r="T3992" t="s">
        <v>46470</v>
      </c>
      <c r="U3992" t="s">
        <v>50202</v>
      </c>
      <c r="W3992" t="s">
        <v>42404</v>
      </c>
      <c r="X3992" t="s">
        <v>44909</v>
      </c>
    </row>
    <row r="3993" spans="1:24">
      <c r="A3993">
        <f>HYPERLINK("https://www.philgeps.gov.ph/GEPSNONPILOT/Tender/SplashBidNoticeAbstractUI.aspx?menuIndex=3&amp;refID=7080639&amp;Result=3","7080639")</f>
        <v>0</v>
      </c>
      <c r="B3993" t="s">
        <v>232</v>
      </c>
      <c r="C3993" t="s">
        <v>7338</v>
      </c>
      <c r="D3993" t="s">
        <v>18101</v>
      </c>
      <c r="E3993" t="s">
        <v>21776</v>
      </c>
      <c r="F3993" t="s">
        <v>31362</v>
      </c>
      <c r="G3993" t="s">
        <v>31370</v>
      </c>
      <c r="H3993" t="s">
        <v>15799</v>
      </c>
      <c r="I3993" t="s">
        <v>31385</v>
      </c>
      <c r="J3993" t="s">
        <v>34144</v>
      </c>
      <c r="K3993" t="s">
        <v>40661</v>
      </c>
      <c r="M3993" t="s">
        <v>41171</v>
      </c>
      <c r="N3993" t="s">
        <v>44905</v>
      </c>
      <c r="O3993" t="s">
        <v>44906</v>
      </c>
      <c r="P3993">
        <v>0</v>
      </c>
      <c r="Q3993">
        <v>0</v>
      </c>
      <c r="R3993" t="s">
        <v>44908</v>
      </c>
      <c r="S3993" t="s">
        <v>45042</v>
      </c>
      <c r="T3993" t="s">
        <v>46409</v>
      </c>
      <c r="U3993" t="s">
        <v>50203</v>
      </c>
      <c r="W3993" t="s">
        <v>41171</v>
      </c>
      <c r="X3993" t="s">
        <v>44909</v>
      </c>
    </row>
    <row r="3994" spans="1:24">
      <c r="A3994">
        <f>HYPERLINK("https://www.philgeps.gov.ph/GEPSNONPILOT/Tender/SplashBidNoticeAbstractUI.aspx?menuIndex=3&amp;refID=7080636&amp;Result=3","7080636")</f>
        <v>0</v>
      </c>
      <c r="B3994" t="s">
        <v>1250</v>
      </c>
      <c r="C3994" t="s">
        <v>7339</v>
      </c>
      <c r="D3994" t="s">
        <v>18158</v>
      </c>
      <c r="E3994" t="s">
        <v>21206</v>
      </c>
      <c r="F3994" t="s">
        <v>31362</v>
      </c>
      <c r="G3994" t="s">
        <v>31368</v>
      </c>
      <c r="H3994" t="s">
        <v>15799</v>
      </c>
      <c r="I3994" t="s">
        <v>4057</v>
      </c>
      <c r="J3994" t="s">
        <v>31659</v>
      </c>
      <c r="K3994" t="s">
        <v>40697</v>
      </c>
      <c r="M3994" t="s">
        <v>42266</v>
      </c>
      <c r="N3994" t="s">
        <v>44905</v>
      </c>
      <c r="O3994" t="s">
        <v>44906</v>
      </c>
      <c r="P3994">
        <v>0</v>
      </c>
      <c r="Q3994">
        <v>0</v>
      </c>
      <c r="R3994" t="s">
        <v>44908</v>
      </c>
      <c r="S3994" t="s">
        <v>45042</v>
      </c>
      <c r="T3994" t="s">
        <v>46409</v>
      </c>
      <c r="U3994" t="s">
        <v>50204</v>
      </c>
      <c r="W3994" t="s">
        <v>42266</v>
      </c>
      <c r="X3994" t="s">
        <v>44909</v>
      </c>
    </row>
    <row r="3995" spans="1:24">
      <c r="A3995">
        <f>HYPERLINK("https://www.philgeps.gov.ph/GEPSNONPILOT/Tender/SplashBidNoticeAbstractUI.aspx?menuIndex=3&amp;refID=7080593&amp;Result=3","7080593")</f>
        <v>0</v>
      </c>
      <c r="B3995" t="s">
        <v>1414</v>
      </c>
      <c r="C3995" t="s">
        <v>7340</v>
      </c>
      <c r="D3995" t="s">
        <v>18106</v>
      </c>
      <c r="E3995" t="s">
        <v>21777</v>
      </c>
      <c r="F3995" t="s">
        <v>31362</v>
      </c>
      <c r="G3995" t="s">
        <v>31369</v>
      </c>
      <c r="H3995" t="s">
        <v>31378</v>
      </c>
      <c r="I3995" t="s">
        <v>31386</v>
      </c>
      <c r="J3995" t="s">
        <v>31531</v>
      </c>
      <c r="K3995" t="s">
        <v>40681</v>
      </c>
      <c r="M3995" t="s">
        <v>42439</v>
      </c>
      <c r="N3995" t="s">
        <v>44905</v>
      </c>
      <c r="O3995" t="s">
        <v>44906</v>
      </c>
      <c r="P3995">
        <v>0</v>
      </c>
      <c r="Q3995">
        <v>0</v>
      </c>
      <c r="R3995" t="s">
        <v>44908</v>
      </c>
      <c r="S3995" t="s">
        <v>45042</v>
      </c>
      <c r="T3995" t="s">
        <v>46450</v>
      </c>
      <c r="U3995" t="s">
        <v>50205</v>
      </c>
      <c r="W3995" t="s">
        <v>42439</v>
      </c>
      <c r="X3995" t="s">
        <v>44909</v>
      </c>
    </row>
    <row r="3996" spans="1:24">
      <c r="A3996">
        <f>HYPERLINK("https://www.philgeps.gov.ph/GEPSNONPILOT/Tender/SplashBidNoticeAbstractUI.aspx?menuIndex=3&amp;refID=7080624&amp;Result=3","7080624")</f>
        <v>0</v>
      </c>
      <c r="B3996" t="s">
        <v>1429</v>
      </c>
      <c r="C3996" t="s">
        <v>7341</v>
      </c>
      <c r="D3996" t="s">
        <v>18138</v>
      </c>
      <c r="E3996" t="s">
        <v>21778</v>
      </c>
      <c r="F3996" t="s">
        <v>31362</v>
      </c>
      <c r="G3996" t="s">
        <v>31368</v>
      </c>
      <c r="H3996" t="s">
        <v>15799</v>
      </c>
      <c r="I3996" t="s">
        <v>4057</v>
      </c>
      <c r="J3996" t="s">
        <v>32589</v>
      </c>
      <c r="K3996" t="s">
        <v>40661</v>
      </c>
      <c r="M3996" t="s">
        <v>42457</v>
      </c>
      <c r="N3996" t="s">
        <v>44905</v>
      </c>
      <c r="O3996" t="s">
        <v>44906</v>
      </c>
      <c r="P3996">
        <v>0</v>
      </c>
      <c r="Q3996">
        <v>0</v>
      </c>
      <c r="R3996" t="s">
        <v>44908</v>
      </c>
      <c r="S3996" t="s">
        <v>45042</v>
      </c>
      <c r="T3996" t="s">
        <v>46393</v>
      </c>
      <c r="U3996" t="s">
        <v>50206</v>
      </c>
      <c r="W3996" t="s">
        <v>42457</v>
      </c>
      <c r="X3996" t="s">
        <v>44909</v>
      </c>
    </row>
    <row r="3997" spans="1:24">
      <c r="A3997">
        <f>HYPERLINK("https://www.philgeps.gov.ph/GEPSNONPILOT/Tender/SplashBidNoticeAbstractUI.aspx?menuIndex=3&amp;refID=7080629&amp;Result=3","7080629")</f>
        <v>0</v>
      </c>
      <c r="B3997" t="s">
        <v>591</v>
      </c>
      <c r="C3997" t="s">
        <v>7342</v>
      </c>
      <c r="D3997" t="s">
        <v>18109</v>
      </c>
      <c r="E3997" t="s">
        <v>7342</v>
      </c>
      <c r="F3997" t="s">
        <v>31362</v>
      </c>
      <c r="G3997" t="s">
        <v>31368</v>
      </c>
      <c r="H3997" t="s">
        <v>15799</v>
      </c>
      <c r="I3997" t="s">
        <v>31385</v>
      </c>
      <c r="J3997" t="s">
        <v>34145</v>
      </c>
      <c r="K3997" t="s">
        <v>40666</v>
      </c>
      <c r="M3997" t="s">
        <v>41548</v>
      </c>
      <c r="N3997" t="s">
        <v>44905</v>
      </c>
      <c r="O3997" t="s">
        <v>44906</v>
      </c>
      <c r="P3997">
        <v>0</v>
      </c>
      <c r="Q3997">
        <v>0</v>
      </c>
      <c r="R3997" t="s">
        <v>44908</v>
      </c>
      <c r="S3997" t="s">
        <v>45042</v>
      </c>
      <c r="T3997" t="s">
        <v>46432</v>
      </c>
      <c r="U3997" t="s">
        <v>48056</v>
      </c>
      <c r="W3997" t="s">
        <v>41548</v>
      </c>
      <c r="X3997" t="s">
        <v>44909</v>
      </c>
    </row>
    <row r="3998" spans="1:24">
      <c r="A3998">
        <f>HYPERLINK("https://www.philgeps.gov.ph/GEPSNONPILOT/Tender/SplashBidNoticeAbstractUI.aspx?menuIndex=3&amp;refID=7080643&amp;Result=3","7080643")</f>
        <v>0</v>
      </c>
      <c r="B3998" t="s">
        <v>1434</v>
      </c>
      <c r="C3998" t="s">
        <v>7343</v>
      </c>
      <c r="D3998" t="s">
        <v>18168</v>
      </c>
      <c r="E3998" t="s">
        <v>21779</v>
      </c>
      <c r="F3998" t="s">
        <v>31362</v>
      </c>
      <c r="G3998" t="s">
        <v>31371</v>
      </c>
      <c r="H3998" t="s">
        <v>15799</v>
      </c>
      <c r="I3998" t="s">
        <v>7188</v>
      </c>
      <c r="J3998" t="s">
        <v>34146</v>
      </c>
      <c r="K3998" t="s">
        <v>40661</v>
      </c>
      <c r="M3998" t="s">
        <v>42462</v>
      </c>
      <c r="N3998" t="s">
        <v>44905</v>
      </c>
      <c r="O3998" t="s">
        <v>44906</v>
      </c>
      <c r="P3998">
        <v>0</v>
      </c>
      <c r="Q3998">
        <v>4</v>
      </c>
      <c r="R3998" t="s">
        <v>44908</v>
      </c>
      <c r="S3998" t="s">
        <v>45042</v>
      </c>
      <c r="T3998" t="s">
        <v>46463</v>
      </c>
      <c r="U3998" t="s">
        <v>50207</v>
      </c>
      <c r="W3998" t="s">
        <v>42462</v>
      </c>
      <c r="X3998" t="s">
        <v>44909</v>
      </c>
    </row>
    <row r="3999" spans="1:24">
      <c r="A3999">
        <f>HYPERLINK("https://www.philgeps.gov.ph/GEPSNONPILOT/Tender/SplashBidNoticeAbstractUI.aspx?menuIndex=3&amp;refID=7080627&amp;Result=3","7080627")</f>
        <v>0</v>
      </c>
      <c r="B3999" t="s">
        <v>1051</v>
      </c>
      <c r="C3999" t="s">
        <v>7344</v>
      </c>
      <c r="D3999" t="s">
        <v>18116</v>
      </c>
      <c r="E3999" t="s">
        <v>21780</v>
      </c>
      <c r="F3999" t="s">
        <v>31362</v>
      </c>
      <c r="G3999" t="s">
        <v>31368</v>
      </c>
      <c r="H3999" t="s">
        <v>15799</v>
      </c>
      <c r="I3999" t="s">
        <v>7719</v>
      </c>
      <c r="J3999" t="s">
        <v>34147</v>
      </c>
      <c r="K3999" t="s">
        <v>40662</v>
      </c>
      <c r="M3999" t="s">
        <v>42052</v>
      </c>
      <c r="N3999" t="s">
        <v>44905</v>
      </c>
      <c r="O3999" t="s">
        <v>44906</v>
      </c>
      <c r="P3999">
        <v>0</v>
      </c>
      <c r="Q3999">
        <v>11</v>
      </c>
      <c r="R3999" t="s">
        <v>44908</v>
      </c>
      <c r="S3999" t="s">
        <v>45042</v>
      </c>
      <c r="T3999" t="s">
        <v>46498</v>
      </c>
      <c r="U3999" t="s">
        <v>50208</v>
      </c>
      <c r="W3999" t="s">
        <v>42052</v>
      </c>
      <c r="X3999" t="s">
        <v>44909</v>
      </c>
    </row>
    <row r="4000" spans="1:24">
      <c r="A4000">
        <f>HYPERLINK("https://www.philgeps.gov.ph/GEPSNONPILOT/Tender/SplashBidNoticeAbstractUI.aspx?menuIndex=3&amp;refID=7080669&amp;Result=3","7080669")</f>
        <v>0</v>
      </c>
      <c r="B4000" t="s">
        <v>1435</v>
      </c>
      <c r="C4000" t="s">
        <v>7345</v>
      </c>
      <c r="D4000" t="s">
        <v>18103</v>
      </c>
      <c r="E4000" t="s">
        <v>21781</v>
      </c>
      <c r="F4000" t="s">
        <v>31362</v>
      </c>
      <c r="G4000" t="s">
        <v>31372</v>
      </c>
      <c r="H4000" t="s">
        <v>15799</v>
      </c>
      <c r="I4000" t="s">
        <v>6155</v>
      </c>
      <c r="J4000" t="s">
        <v>34148</v>
      </c>
      <c r="K4000" t="s">
        <v>40665</v>
      </c>
      <c r="M4000" t="s">
        <v>42463</v>
      </c>
      <c r="N4000" t="s">
        <v>44905</v>
      </c>
      <c r="O4000" t="s">
        <v>44906</v>
      </c>
      <c r="Q4000">
        <v>12</v>
      </c>
      <c r="R4000" t="s">
        <v>44908</v>
      </c>
      <c r="S4000" t="s">
        <v>45052</v>
      </c>
      <c r="T4000" t="s">
        <v>46505</v>
      </c>
      <c r="U4000" t="s">
        <v>50209</v>
      </c>
      <c r="V4000" t="s">
        <v>59452</v>
      </c>
      <c r="W4000" t="s">
        <v>42463</v>
      </c>
      <c r="X4000" t="s">
        <v>44909</v>
      </c>
    </row>
    <row r="4001" spans="1:24">
      <c r="A4001">
        <f>HYPERLINK("https://www.philgeps.gov.ph/GEPSNONPILOT/Tender/SplashBidNoticeAbstractUI.aspx?menuIndex=3&amp;refID=7080667&amp;Result=3","7080667")</f>
        <v>0</v>
      </c>
      <c r="B4001" t="s">
        <v>1242</v>
      </c>
      <c r="C4001" t="s">
        <v>7346</v>
      </c>
      <c r="D4001" t="s">
        <v>18159</v>
      </c>
      <c r="E4001" t="s">
        <v>21782</v>
      </c>
      <c r="F4001" t="s">
        <v>31362</v>
      </c>
      <c r="G4001" t="s">
        <v>31368</v>
      </c>
      <c r="H4001" t="s">
        <v>15799</v>
      </c>
      <c r="I4001" t="s">
        <v>31422</v>
      </c>
      <c r="J4001" t="s">
        <v>34149</v>
      </c>
      <c r="K4001" t="s">
        <v>40666</v>
      </c>
      <c r="M4001" t="s">
        <v>42464</v>
      </c>
      <c r="N4001" t="s">
        <v>44905</v>
      </c>
      <c r="O4001" t="s">
        <v>44906</v>
      </c>
      <c r="P4001">
        <v>0</v>
      </c>
      <c r="Q4001">
        <v>1</v>
      </c>
      <c r="R4001" t="s">
        <v>44908</v>
      </c>
      <c r="S4001" t="s">
        <v>45042</v>
      </c>
      <c r="T4001" t="s">
        <v>46432</v>
      </c>
      <c r="U4001" t="s">
        <v>50210</v>
      </c>
      <c r="V4001" t="s">
        <v>59453</v>
      </c>
      <c r="W4001" t="s">
        <v>42464</v>
      </c>
      <c r="X4001" t="s">
        <v>44909</v>
      </c>
    </row>
    <row r="4002" spans="1:24">
      <c r="A4002">
        <f>HYPERLINK("https://www.philgeps.gov.ph/GEPSNONPILOT/Tender/SplashBidNoticeAbstractUI.aspx?menuIndex=3&amp;refID=7080666&amp;Result=3","7080666")</f>
        <v>0</v>
      </c>
      <c r="B4002" t="s">
        <v>1373</v>
      </c>
      <c r="C4002" t="s">
        <v>7347</v>
      </c>
      <c r="D4002" t="s">
        <v>18109</v>
      </c>
      <c r="E4002" t="s">
        <v>21783</v>
      </c>
      <c r="F4002" t="s">
        <v>31362</v>
      </c>
      <c r="G4002" t="s">
        <v>31368</v>
      </c>
      <c r="H4002" t="s">
        <v>15799</v>
      </c>
      <c r="I4002" t="s">
        <v>31445</v>
      </c>
      <c r="J4002" t="s">
        <v>34150</v>
      </c>
      <c r="K4002" t="s">
        <v>40662</v>
      </c>
      <c r="M4002" t="s">
        <v>42396</v>
      </c>
      <c r="N4002" t="s">
        <v>44905</v>
      </c>
      <c r="O4002" t="s">
        <v>44906</v>
      </c>
      <c r="P4002">
        <v>0</v>
      </c>
      <c r="Q4002">
        <v>2</v>
      </c>
      <c r="R4002" t="s">
        <v>44908</v>
      </c>
      <c r="S4002" t="s">
        <v>45042</v>
      </c>
      <c r="T4002" t="s">
        <v>46394</v>
      </c>
      <c r="U4002" t="s">
        <v>49998</v>
      </c>
      <c r="W4002" t="s">
        <v>42396</v>
      </c>
      <c r="X4002" t="s">
        <v>44909</v>
      </c>
    </row>
    <row r="4003" spans="1:24">
      <c r="A4003">
        <f>HYPERLINK("https://www.philgeps.gov.ph/GEPSNONPILOT/Tender/SplashBidNoticeAbstractUI.aspx?menuIndex=3&amp;refID=7080625&amp;Result=3","7080625")</f>
        <v>0</v>
      </c>
      <c r="B4003" t="s">
        <v>35</v>
      </c>
      <c r="C4003" t="s">
        <v>7348</v>
      </c>
      <c r="D4003" t="s">
        <v>18108</v>
      </c>
      <c r="E4003" t="s">
        <v>21784</v>
      </c>
      <c r="F4003" t="s">
        <v>31362</v>
      </c>
      <c r="G4003" t="s">
        <v>31368</v>
      </c>
      <c r="H4003" t="s">
        <v>15799</v>
      </c>
      <c r="I4003" t="s">
        <v>31393</v>
      </c>
      <c r="J4003" t="s">
        <v>32536</v>
      </c>
      <c r="K4003" t="s">
        <v>40662</v>
      </c>
      <c r="M4003" t="s">
        <v>42365</v>
      </c>
      <c r="N4003" t="s">
        <v>44905</v>
      </c>
      <c r="O4003" t="s">
        <v>44906</v>
      </c>
      <c r="P4003">
        <v>0</v>
      </c>
      <c r="Q4003">
        <v>1</v>
      </c>
      <c r="R4003" t="s">
        <v>44908</v>
      </c>
      <c r="S4003" t="s">
        <v>45042</v>
      </c>
      <c r="T4003" t="s">
        <v>46534</v>
      </c>
      <c r="U4003" t="s">
        <v>49906</v>
      </c>
      <c r="V4003" t="s">
        <v>59424</v>
      </c>
      <c r="W4003" t="s">
        <v>42365</v>
      </c>
      <c r="X4003" t="s">
        <v>44909</v>
      </c>
    </row>
    <row r="4004" spans="1:24">
      <c r="A4004">
        <f>HYPERLINK("https://www.philgeps.gov.ph/GEPSNONPILOT/Tender/SplashBidNoticeAbstractUI.aspx?menuIndex=3&amp;refID=7080663&amp;Result=3","7080663")</f>
        <v>0</v>
      </c>
      <c r="B4004" t="s">
        <v>1263</v>
      </c>
      <c r="C4004" t="s">
        <v>7349</v>
      </c>
      <c r="D4004" t="s">
        <v>18106</v>
      </c>
      <c r="E4004" t="s">
        <v>21229</v>
      </c>
      <c r="F4004" t="s">
        <v>31362</v>
      </c>
      <c r="G4004" t="s">
        <v>31370</v>
      </c>
      <c r="H4004" t="s">
        <v>15799</v>
      </c>
      <c r="I4004" t="s">
        <v>7188</v>
      </c>
      <c r="J4004" t="s">
        <v>31575</v>
      </c>
      <c r="K4004" t="s">
        <v>40661</v>
      </c>
      <c r="M4004" t="s">
        <v>42280</v>
      </c>
      <c r="N4004" t="s">
        <v>44905</v>
      </c>
      <c r="O4004" t="s">
        <v>44906</v>
      </c>
      <c r="P4004">
        <v>0</v>
      </c>
      <c r="Q4004">
        <v>2</v>
      </c>
      <c r="R4004" t="s">
        <v>44908</v>
      </c>
      <c r="S4004" t="s">
        <v>45042</v>
      </c>
      <c r="T4004" t="s">
        <v>46454</v>
      </c>
      <c r="U4004" t="s">
        <v>50211</v>
      </c>
      <c r="W4004" t="s">
        <v>42280</v>
      </c>
      <c r="X4004" t="s">
        <v>44909</v>
      </c>
    </row>
    <row r="4005" spans="1:24">
      <c r="A4005">
        <f>HYPERLINK("https://www.philgeps.gov.ph/GEPSNONPILOT/Tender/SplashBidNoticeAbstractUI.aspx?menuIndex=3&amp;refID=7080630&amp;Result=3","7080630")</f>
        <v>0</v>
      </c>
      <c r="B4005" t="s">
        <v>232</v>
      </c>
      <c r="C4005" t="s">
        <v>7350</v>
      </c>
      <c r="D4005" t="s">
        <v>18101</v>
      </c>
      <c r="E4005" t="s">
        <v>21785</v>
      </c>
      <c r="F4005" t="s">
        <v>31362</v>
      </c>
      <c r="G4005" t="s">
        <v>31370</v>
      </c>
      <c r="H4005" t="s">
        <v>15799</v>
      </c>
      <c r="I4005" t="s">
        <v>31385</v>
      </c>
      <c r="J4005" t="s">
        <v>34151</v>
      </c>
      <c r="K4005" t="s">
        <v>40661</v>
      </c>
      <c r="M4005" t="s">
        <v>41171</v>
      </c>
      <c r="N4005" t="s">
        <v>44905</v>
      </c>
      <c r="O4005" t="s">
        <v>44906</v>
      </c>
      <c r="P4005">
        <v>0</v>
      </c>
      <c r="Q4005">
        <v>0</v>
      </c>
      <c r="R4005" t="s">
        <v>44908</v>
      </c>
      <c r="S4005" t="s">
        <v>45042</v>
      </c>
      <c r="T4005" t="s">
        <v>46409</v>
      </c>
      <c r="U4005" t="s">
        <v>50212</v>
      </c>
      <c r="W4005" t="s">
        <v>41171</v>
      </c>
      <c r="X4005" t="s">
        <v>44909</v>
      </c>
    </row>
    <row r="4006" spans="1:24">
      <c r="A4006">
        <f>HYPERLINK("https://www.philgeps.gov.ph/GEPSNONPILOT/Tender/SplashBidNoticeAbstractUI.aspx?menuIndex=3&amp;refID=7080661&amp;Result=3","7080661")</f>
        <v>0</v>
      </c>
      <c r="B4006" t="s">
        <v>232</v>
      </c>
      <c r="C4006" t="s">
        <v>7351</v>
      </c>
      <c r="D4006" t="s">
        <v>18101</v>
      </c>
      <c r="E4006" t="s">
        <v>21786</v>
      </c>
      <c r="F4006" t="s">
        <v>31362</v>
      </c>
      <c r="G4006" t="s">
        <v>31368</v>
      </c>
      <c r="H4006" t="s">
        <v>15799</v>
      </c>
      <c r="I4006" t="s">
        <v>31383</v>
      </c>
      <c r="J4006" t="s">
        <v>31722</v>
      </c>
      <c r="K4006" t="s">
        <v>40661</v>
      </c>
      <c r="M4006" t="s">
        <v>41171</v>
      </c>
      <c r="N4006" t="s">
        <v>44905</v>
      </c>
      <c r="O4006" t="s">
        <v>44906</v>
      </c>
      <c r="P4006">
        <v>0</v>
      </c>
      <c r="Q4006">
        <v>1</v>
      </c>
      <c r="R4006" t="s">
        <v>44908</v>
      </c>
      <c r="S4006" t="s">
        <v>45042</v>
      </c>
      <c r="T4006" t="s">
        <v>46409</v>
      </c>
      <c r="U4006" t="s">
        <v>50213</v>
      </c>
      <c r="W4006" t="s">
        <v>41171</v>
      </c>
      <c r="X4006" t="s">
        <v>44909</v>
      </c>
    </row>
    <row r="4007" spans="1:24">
      <c r="A4007">
        <f>HYPERLINK("https://www.philgeps.gov.ph/GEPSNONPILOT/Tender/SplashBidNoticeAbstractUI.aspx?menuIndex=3&amp;refID=7080657&amp;Result=3","7080657")</f>
        <v>0</v>
      </c>
      <c r="B4007" t="s">
        <v>1429</v>
      </c>
      <c r="C4007" t="s">
        <v>7352</v>
      </c>
      <c r="D4007" t="s">
        <v>18138</v>
      </c>
      <c r="E4007" t="s">
        <v>21787</v>
      </c>
      <c r="F4007" t="s">
        <v>31362</v>
      </c>
      <c r="G4007" t="s">
        <v>31368</v>
      </c>
      <c r="H4007" t="s">
        <v>15799</v>
      </c>
      <c r="I4007" t="s">
        <v>31400</v>
      </c>
      <c r="J4007" t="s">
        <v>31575</v>
      </c>
      <c r="K4007" t="s">
        <v>40661</v>
      </c>
      <c r="M4007" t="s">
        <v>42457</v>
      </c>
      <c r="N4007" t="s">
        <v>44905</v>
      </c>
      <c r="O4007" t="s">
        <v>44906</v>
      </c>
      <c r="P4007">
        <v>0</v>
      </c>
      <c r="Q4007">
        <v>0</v>
      </c>
      <c r="R4007" t="s">
        <v>44908</v>
      </c>
      <c r="S4007" t="s">
        <v>45042</v>
      </c>
      <c r="T4007" t="s">
        <v>46447</v>
      </c>
      <c r="U4007" t="s">
        <v>50214</v>
      </c>
      <c r="W4007" t="s">
        <v>42457</v>
      </c>
      <c r="X4007" t="s">
        <v>44909</v>
      </c>
    </row>
    <row r="4008" spans="1:24">
      <c r="A4008">
        <f>HYPERLINK("https://www.philgeps.gov.ph/GEPSNONPILOT/Tender/SplashBidNoticeAbstractUI.aspx?menuIndex=3&amp;refID=7080626&amp;Result=3","7080626")</f>
        <v>0</v>
      </c>
      <c r="B4008" t="s">
        <v>118</v>
      </c>
      <c r="C4008" t="s">
        <v>7353</v>
      </c>
      <c r="D4008" t="s">
        <v>18142</v>
      </c>
      <c r="E4008" t="s">
        <v>21788</v>
      </c>
      <c r="F4008" t="s">
        <v>31362</v>
      </c>
      <c r="G4008" t="s">
        <v>31369</v>
      </c>
      <c r="H4008" t="s">
        <v>31378</v>
      </c>
      <c r="I4008" t="s">
        <v>31386</v>
      </c>
      <c r="J4008" t="s">
        <v>31625</v>
      </c>
      <c r="K4008" t="s">
        <v>40771</v>
      </c>
      <c r="M4008" t="s">
        <v>41055</v>
      </c>
      <c r="N4008" t="s">
        <v>44905</v>
      </c>
      <c r="O4008" t="s">
        <v>44906</v>
      </c>
      <c r="P4008">
        <v>0</v>
      </c>
      <c r="Q4008">
        <v>0</v>
      </c>
      <c r="R4008" t="s">
        <v>44908</v>
      </c>
      <c r="S4008" t="s">
        <v>45042</v>
      </c>
      <c r="T4008" t="s">
        <v>46627</v>
      </c>
      <c r="U4008" t="s">
        <v>50215</v>
      </c>
      <c r="W4008" t="s">
        <v>41055</v>
      </c>
      <c r="X4008" t="s">
        <v>44909</v>
      </c>
    </row>
    <row r="4009" spans="1:24">
      <c r="A4009">
        <f>HYPERLINK("https://www.philgeps.gov.ph/GEPSNONPILOT/Tender/SplashBidNoticeAbstractUI.aspx?menuIndex=3&amp;refID=7080656&amp;Result=3","7080656")</f>
        <v>0</v>
      </c>
      <c r="B4009" t="s">
        <v>1374</v>
      </c>
      <c r="C4009" t="s">
        <v>7255</v>
      </c>
      <c r="D4009" t="s">
        <v>18178</v>
      </c>
      <c r="E4009" t="s">
        <v>21789</v>
      </c>
      <c r="F4009" t="s">
        <v>31362</v>
      </c>
      <c r="G4009" t="s">
        <v>31369</v>
      </c>
      <c r="H4009" t="s">
        <v>31378</v>
      </c>
      <c r="I4009" t="s">
        <v>31386</v>
      </c>
      <c r="J4009" t="s">
        <v>34152</v>
      </c>
      <c r="K4009" t="s">
        <v>40772</v>
      </c>
      <c r="M4009" t="s">
        <v>42397</v>
      </c>
      <c r="N4009" t="s">
        <v>44905</v>
      </c>
      <c r="O4009" t="s">
        <v>44906</v>
      </c>
      <c r="P4009">
        <v>0</v>
      </c>
      <c r="Q4009">
        <v>0</v>
      </c>
      <c r="R4009" t="s">
        <v>44908</v>
      </c>
      <c r="S4009" t="s">
        <v>45042</v>
      </c>
      <c r="T4009" t="s">
        <v>46404</v>
      </c>
      <c r="U4009" t="s">
        <v>50216</v>
      </c>
      <c r="W4009" t="s">
        <v>42397</v>
      </c>
      <c r="X4009" t="s">
        <v>44909</v>
      </c>
    </row>
    <row r="4010" spans="1:24">
      <c r="A4010">
        <f>HYPERLINK("https://www.philgeps.gov.ph/GEPSNONPILOT/Tender/SplashBidNoticeAbstractUI.aspx?menuIndex=3&amp;refID=7080654&amp;Result=3","7080654")</f>
        <v>0</v>
      </c>
      <c r="B4010" t="s">
        <v>238</v>
      </c>
      <c r="C4010" t="s">
        <v>7354</v>
      </c>
      <c r="D4010" t="s">
        <v>18163</v>
      </c>
      <c r="E4010" t="s">
        <v>21790</v>
      </c>
      <c r="F4010" t="s">
        <v>31362</v>
      </c>
      <c r="G4010" t="s">
        <v>31368</v>
      </c>
      <c r="H4010" t="s">
        <v>15799</v>
      </c>
      <c r="I4010" t="s">
        <v>4057</v>
      </c>
      <c r="J4010" t="s">
        <v>31545</v>
      </c>
      <c r="K4010" t="s">
        <v>40666</v>
      </c>
      <c r="M4010" t="s">
        <v>41177</v>
      </c>
      <c r="N4010" t="s">
        <v>44905</v>
      </c>
      <c r="O4010" t="s">
        <v>44906</v>
      </c>
      <c r="P4010">
        <v>0</v>
      </c>
      <c r="Q4010">
        <v>0</v>
      </c>
      <c r="R4010" t="s">
        <v>44908</v>
      </c>
      <c r="S4010" t="s">
        <v>45042</v>
      </c>
      <c r="T4010" t="s">
        <v>46409</v>
      </c>
      <c r="U4010" t="s">
        <v>50198</v>
      </c>
      <c r="W4010" t="s">
        <v>41177</v>
      </c>
      <c r="X4010" t="s">
        <v>44909</v>
      </c>
    </row>
    <row r="4011" spans="1:24">
      <c r="A4011">
        <f>HYPERLINK("https://www.philgeps.gov.ph/GEPSNONPILOT/Tender/SplashBidNoticeAbstractUI.aspx?menuIndex=3&amp;refID=7080653&amp;Result=3","7080653")</f>
        <v>0</v>
      </c>
      <c r="B4011" t="s">
        <v>1436</v>
      </c>
      <c r="C4011" t="s">
        <v>7355</v>
      </c>
      <c r="D4011" t="s">
        <v>18107</v>
      </c>
      <c r="E4011" t="s">
        <v>21791</v>
      </c>
      <c r="F4011" t="s">
        <v>31362</v>
      </c>
      <c r="G4011" t="s">
        <v>31368</v>
      </c>
      <c r="H4011" t="s">
        <v>15799</v>
      </c>
      <c r="I4011" t="s">
        <v>7188</v>
      </c>
      <c r="J4011" t="s">
        <v>34153</v>
      </c>
      <c r="K4011" t="s">
        <v>40680</v>
      </c>
      <c r="M4011" t="s">
        <v>42465</v>
      </c>
      <c r="N4011" t="s">
        <v>44905</v>
      </c>
      <c r="O4011" t="s">
        <v>44906</v>
      </c>
      <c r="P4011">
        <v>0</v>
      </c>
      <c r="Q4011">
        <v>3</v>
      </c>
      <c r="R4011" t="s">
        <v>44908</v>
      </c>
      <c r="S4011" t="s">
        <v>45042</v>
      </c>
      <c r="T4011" t="s">
        <v>46432</v>
      </c>
      <c r="U4011" t="s">
        <v>50217</v>
      </c>
      <c r="W4011" t="s">
        <v>42465</v>
      </c>
      <c r="X4011" t="s">
        <v>44909</v>
      </c>
    </row>
    <row r="4012" spans="1:24">
      <c r="A4012">
        <f>HYPERLINK("https://www.philgeps.gov.ph/GEPSNONPILOT/Tender/SplashBidNoticeAbstractUI.aspx?menuIndex=3&amp;refID=7080651&amp;Result=3","7080651")</f>
        <v>0</v>
      </c>
      <c r="B4012" t="s">
        <v>1223</v>
      </c>
      <c r="C4012" t="s">
        <v>7356</v>
      </c>
      <c r="D4012" t="s">
        <v>18126</v>
      </c>
      <c r="E4012" t="s">
        <v>21792</v>
      </c>
      <c r="F4012" t="s">
        <v>31362</v>
      </c>
      <c r="G4012" t="s">
        <v>31370</v>
      </c>
      <c r="H4012" t="s">
        <v>15799</v>
      </c>
      <c r="I4012" t="s">
        <v>31380</v>
      </c>
      <c r="J4012" t="s">
        <v>34154</v>
      </c>
      <c r="K4012" t="s">
        <v>40693</v>
      </c>
      <c r="M4012" t="s">
        <v>42237</v>
      </c>
      <c r="N4012" t="s">
        <v>44905</v>
      </c>
      <c r="O4012" t="s">
        <v>44906</v>
      </c>
      <c r="P4012">
        <v>0</v>
      </c>
      <c r="Q4012">
        <v>0</v>
      </c>
      <c r="R4012" t="s">
        <v>44908</v>
      </c>
      <c r="S4012" t="s">
        <v>45042</v>
      </c>
      <c r="T4012" t="s">
        <v>46409</v>
      </c>
      <c r="U4012" t="s">
        <v>50218</v>
      </c>
      <c r="W4012" t="s">
        <v>42237</v>
      </c>
      <c r="X4012" t="s">
        <v>44909</v>
      </c>
    </row>
    <row r="4013" spans="1:24">
      <c r="A4013">
        <f>HYPERLINK("https://www.philgeps.gov.ph/GEPSNONPILOT/Tender/SplashBidNoticeAbstractUI.aspx?menuIndex=3&amp;refID=7080650&amp;Result=3","7080650")</f>
        <v>0</v>
      </c>
      <c r="B4013" t="s">
        <v>1437</v>
      </c>
      <c r="C4013" t="s">
        <v>7357</v>
      </c>
      <c r="D4013" t="s">
        <v>18109</v>
      </c>
      <c r="E4013" t="s">
        <v>21793</v>
      </c>
      <c r="F4013" t="s">
        <v>31362</v>
      </c>
      <c r="G4013" t="s">
        <v>31369</v>
      </c>
      <c r="H4013" t="s">
        <v>31378</v>
      </c>
      <c r="I4013" t="s">
        <v>31386</v>
      </c>
      <c r="J4013" t="s">
        <v>34155</v>
      </c>
      <c r="K4013" t="s">
        <v>40682</v>
      </c>
      <c r="M4013" t="s">
        <v>42466</v>
      </c>
      <c r="N4013" t="s">
        <v>44905</v>
      </c>
      <c r="O4013" t="s">
        <v>44906</v>
      </c>
      <c r="P4013">
        <v>0</v>
      </c>
      <c r="Q4013">
        <v>0</v>
      </c>
      <c r="R4013" t="s">
        <v>44908</v>
      </c>
      <c r="S4013" t="s">
        <v>45042</v>
      </c>
      <c r="T4013" t="s">
        <v>46469</v>
      </c>
      <c r="U4013" t="s">
        <v>50219</v>
      </c>
      <c r="W4013" t="s">
        <v>60894</v>
      </c>
      <c r="X4013" t="s">
        <v>44909</v>
      </c>
    </row>
    <row r="4014" spans="1:24">
      <c r="A4014">
        <f>HYPERLINK("https://www.philgeps.gov.ph/GEPSNONPILOT/Tender/SplashBidNoticeAbstractUI.aspx?menuIndex=3&amp;refID=7080648&amp;Result=3","7080648")</f>
        <v>0</v>
      </c>
      <c r="B4014" t="s">
        <v>1261</v>
      </c>
      <c r="C4014" t="s">
        <v>7358</v>
      </c>
      <c r="D4014" t="s">
        <v>18113</v>
      </c>
      <c r="E4014" t="s">
        <v>7358</v>
      </c>
      <c r="F4014" t="s">
        <v>31362</v>
      </c>
      <c r="G4014" t="s">
        <v>31369</v>
      </c>
      <c r="H4014" t="s">
        <v>15799</v>
      </c>
      <c r="I4014" t="s">
        <v>31404</v>
      </c>
      <c r="J4014" t="s">
        <v>34156</v>
      </c>
      <c r="K4014" t="s">
        <v>40662</v>
      </c>
      <c r="M4014" t="s">
        <v>42277</v>
      </c>
      <c r="N4014" t="s">
        <v>44905</v>
      </c>
      <c r="O4014" t="s">
        <v>44906</v>
      </c>
      <c r="P4014">
        <v>0</v>
      </c>
      <c r="Q4014">
        <v>0</v>
      </c>
      <c r="R4014" t="s">
        <v>44908</v>
      </c>
      <c r="S4014" t="s">
        <v>45042</v>
      </c>
      <c r="T4014" t="s">
        <v>46611</v>
      </c>
      <c r="U4014" t="s">
        <v>50220</v>
      </c>
      <c r="W4014" t="s">
        <v>42277</v>
      </c>
      <c r="X4014" t="s">
        <v>44909</v>
      </c>
    </row>
    <row r="4015" spans="1:24">
      <c r="A4015">
        <f>HYPERLINK("https://www.philgeps.gov.ph/GEPSNONPILOT/Tender/SplashBidNoticeAbstractUI.aspx?menuIndex=3&amp;refID=7080645&amp;Result=3","7080645")</f>
        <v>0</v>
      </c>
      <c r="B4015" t="s">
        <v>254</v>
      </c>
      <c r="C4015" t="s">
        <v>7359</v>
      </c>
      <c r="D4015" t="s">
        <v>18127</v>
      </c>
      <c r="E4015" t="s">
        <v>21794</v>
      </c>
      <c r="F4015" t="s">
        <v>31362</v>
      </c>
      <c r="G4015" t="s">
        <v>31369</v>
      </c>
      <c r="H4015" t="s">
        <v>15799</v>
      </c>
      <c r="I4015" t="s">
        <v>31393</v>
      </c>
      <c r="J4015" t="s">
        <v>31625</v>
      </c>
      <c r="K4015" t="s">
        <v>40666</v>
      </c>
      <c r="M4015" t="s">
        <v>41194</v>
      </c>
      <c r="N4015" t="s">
        <v>44905</v>
      </c>
      <c r="O4015" t="s">
        <v>44906</v>
      </c>
      <c r="P4015">
        <v>0</v>
      </c>
      <c r="Q4015">
        <v>7</v>
      </c>
      <c r="R4015" t="s">
        <v>44908</v>
      </c>
      <c r="S4015" t="s">
        <v>45042</v>
      </c>
      <c r="T4015" t="s">
        <v>46391</v>
      </c>
      <c r="U4015" t="s">
        <v>48610</v>
      </c>
      <c r="W4015" t="s">
        <v>41194</v>
      </c>
      <c r="X4015" t="s">
        <v>44909</v>
      </c>
    </row>
    <row r="4016" spans="1:24">
      <c r="A4016">
        <f>HYPERLINK("https://www.philgeps.gov.ph/GEPSNONPILOT/Tender/SplashBidNoticeAbstractUI.aspx?menuIndex=3&amp;refID=7080642&amp;Result=3","7080642")</f>
        <v>0</v>
      </c>
      <c r="B4016" t="s">
        <v>199</v>
      </c>
      <c r="C4016" t="s">
        <v>7360</v>
      </c>
      <c r="D4016" t="s">
        <v>18139</v>
      </c>
      <c r="E4016" t="s">
        <v>21795</v>
      </c>
      <c r="F4016" t="s">
        <v>31362</v>
      </c>
      <c r="G4016" t="s">
        <v>31368</v>
      </c>
      <c r="H4016" t="s">
        <v>15799</v>
      </c>
      <c r="I4016" t="s">
        <v>31393</v>
      </c>
      <c r="J4016" t="s">
        <v>31575</v>
      </c>
      <c r="K4016" t="s">
        <v>40662</v>
      </c>
      <c r="M4016" t="s">
        <v>41138</v>
      </c>
      <c r="N4016" t="s">
        <v>44905</v>
      </c>
      <c r="O4016" t="s">
        <v>44906</v>
      </c>
      <c r="P4016">
        <v>0</v>
      </c>
      <c r="Q4016">
        <v>5</v>
      </c>
      <c r="R4016" t="s">
        <v>44908</v>
      </c>
      <c r="S4016" t="s">
        <v>45042</v>
      </c>
      <c r="T4016" t="s">
        <v>46454</v>
      </c>
      <c r="U4016" t="s">
        <v>50221</v>
      </c>
      <c r="V4016" t="s">
        <v>59454</v>
      </c>
      <c r="W4016" t="s">
        <v>41138</v>
      </c>
      <c r="X4016" t="s">
        <v>44909</v>
      </c>
    </row>
    <row r="4017" spans="1:24">
      <c r="A4017">
        <f>HYPERLINK("https://www.philgeps.gov.ph/GEPSNONPILOT/Tender/SplashBidNoticeAbstractUI.aspx?menuIndex=3&amp;refID=7080665&amp;Result=3","7080665")</f>
        <v>0</v>
      </c>
      <c r="B4017" t="s">
        <v>417</v>
      </c>
      <c r="C4017" t="s">
        <v>4355</v>
      </c>
      <c r="D4017" t="s">
        <v>18166</v>
      </c>
      <c r="E4017" t="s">
        <v>21796</v>
      </c>
      <c r="F4017" t="s">
        <v>31362</v>
      </c>
      <c r="G4017" t="s">
        <v>31368</v>
      </c>
      <c r="H4017" t="s">
        <v>15799</v>
      </c>
      <c r="I4017" t="s">
        <v>4942</v>
      </c>
      <c r="J4017" t="s">
        <v>32179</v>
      </c>
      <c r="K4017" t="s">
        <v>40670</v>
      </c>
      <c r="M4017" t="s">
        <v>41367</v>
      </c>
      <c r="N4017" t="s">
        <v>44905</v>
      </c>
      <c r="O4017" t="s">
        <v>44906</v>
      </c>
      <c r="P4017">
        <v>0</v>
      </c>
      <c r="Q4017">
        <v>0</v>
      </c>
      <c r="R4017" t="s">
        <v>44908</v>
      </c>
      <c r="S4017" t="s">
        <v>45042</v>
      </c>
      <c r="T4017" t="s">
        <v>46454</v>
      </c>
      <c r="U4017" t="s">
        <v>50222</v>
      </c>
      <c r="W4017" t="s">
        <v>41367</v>
      </c>
      <c r="X4017" t="s">
        <v>44909</v>
      </c>
    </row>
    <row r="4018" spans="1:24">
      <c r="A4018">
        <f>HYPERLINK("https://www.philgeps.gov.ph/GEPSNONPILOT/Tender/SplashBidNoticeAbstractUI.aspx?menuIndex=3&amp;refID=7080623&amp;Result=3","7080623")</f>
        <v>0</v>
      </c>
      <c r="B4018" t="s">
        <v>286</v>
      </c>
      <c r="C4018" t="s">
        <v>7361</v>
      </c>
      <c r="E4018" t="s">
        <v>21797</v>
      </c>
      <c r="F4018" t="s">
        <v>31362</v>
      </c>
      <c r="G4018" t="s">
        <v>31368</v>
      </c>
      <c r="H4018" t="s">
        <v>15799</v>
      </c>
      <c r="I4018" t="s">
        <v>31380</v>
      </c>
      <c r="J4018" t="s">
        <v>34157</v>
      </c>
      <c r="K4018" t="s">
        <v>40672</v>
      </c>
      <c r="M4018" t="s">
        <v>41229</v>
      </c>
      <c r="N4018" t="s">
        <v>44905</v>
      </c>
      <c r="O4018" t="s">
        <v>44906</v>
      </c>
      <c r="P4018">
        <v>0</v>
      </c>
      <c r="Q4018">
        <v>0</v>
      </c>
      <c r="R4018" t="s">
        <v>44908</v>
      </c>
      <c r="S4018" t="s">
        <v>45042</v>
      </c>
      <c r="T4018" t="s">
        <v>46434</v>
      </c>
      <c r="U4018" t="s">
        <v>50223</v>
      </c>
      <c r="W4018" t="s">
        <v>41229</v>
      </c>
      <c r="X4018" t="s">
        <v>44909</v>
      </c>
    </row>
    <row r="4019" spans="1:24">
      <c r="A4019">
        <f>HYPERLINK("https://www.philgeps.gov.ph/GEPSNONPILOT/Tender/SplashBidNoticeAbstractUI.aspx?menuIndex=3&amp;refID=7080621&amp;Result=3","7080621")</f>
        <v>0</v>
      </c>
      <c r="B4019" t="s">
        <v>232</v>
      </c>
      <c r="C4019" t="s">
        <v>7362</v>
      </c>
      <c r="D4019" t="s">
        <v>18101</v>
      </c>
      <c r="E4019" t="s">
        <v>21798</v>
      </c>
      <c r="F4019" t="s">
        <v>31362</v>
      </c>
      <c r="G4019" t="s">
        <v>31370</v>
      </c>
      <c r="H4019" t="s">
        <v>15799</v>
      </c>
      <c r="I4019" t="s">
        <v>31385</v>
      </c>
      <c r="J4019" t="s">
        <v>34158</v>
      </c>
      <c r="K4019" t="s">
        <v>40661</v>
      </c>
      <c r="M4019" t="s">
        <v>41171</v>
      </c>
      <c r="N4019" t="s">
        <v>44905</v>
      </c>
      <c r="O4019" t="s">
        <v>44906</v>
      </c>
      <c r="P4019">
        <v>0</v>
      </c>
      <c r="Q4019">
        <v>0</v>
      </c>
      <c r="R4019" t="s">
        <v>44908</v>
      </c>
      <c r="S4019" t="s">
        <v>45042</v>
      </c>
      <c r="T4019" t="s">
        <v>46409</v>
      </c>
      <c r="U4019" t="s">
        <v>50224</v>
      </c>
      <c r="W4019" t="s">
        <v>41171</v>
      </c>
      <c r="X4019" t="s">
        <v>44909</v>
      </c>
    </row>
    <row r="4020" spans="1:24">
      <c r="A4020">
        <f>HYPERLINK("https://www.philgeps.gov.ph/GEPSNONPILOT/Tender/SplashBidNoticeAbstractUI.aspx?menuIndex=3&amp;refID=7080619&amp;Result=3","7080619")</f>
        <v>0</v>
      </c>
      <c r="B4020" t="s">
        <v>1414</v>
      </c>
      <c r="C4020" t="s">
        <v>7363</v>
      </c>
      <c r="D4020" t="s">
        <v>18106</v>
      </c>
      <c r="E4020" t="s">
        <v>21799</v>
      </c>
      <c r="F4020" t="s">
        <v>31362</v>
      </c>
      <c r="G4020" t="s">
        <v>31369</v>
      </c>
      <c r="H4020" t="s">
        <v>31378</v>
      </c>
      <c r="I4020" t="s">
        <v>31386</v>
      </c>
      <c r="J4020" t="s">
        <v>31591</v>
      </c>
      <c r="K4020" t="s">
        <v>40718</v>
      </c>
      <c r="M4020" t="s">
        <v>42439</v>
      </c>
      <c r="N4020" t="s">
        <v>44905</v>
      </c>
      <c r="O4020" t="s">
        <v>44906</v>
      </c>
      <c r="P4020">
        <v>0</v>
      </c>
      <c r="Q4020">
        <v>1</v>
      </c>
      <c r="R4020" t="s">
        <v>44908</v>
      </c>
      <c r="S4020" t="s">
        <v>45042</v>
      </c>
      <c r="T4020" t="s">
        <v>46450</v>
      </c>
      <c r="U4020" t="s">
        <v>50225</v>
      </c>
      <c r="W4020" t="s">
        <v>42439</v>
      </c>
      <c r="X4020" t="s">
        <v>44909</v>
      </c>
    </row>
    <row r="4021" spans="1:24">
      <c r="A4021">
        <f>HYPERLINK("https://www.philgeps.gov.ph/GEPSNONPILOT/Tender/SplashBidNoticeAbstractUI.aspx?menuIndex=3&amp;refID=7080646&amp;Result=3","7080646")</f>
        <v>0</v>
      </c>
      <c r="B4021" t="s">
        <v>1438</v>
      </c>
      <c r="C4021" t="s">
        <v>7364</v>
      </c>
      <c r="D4021" t="s">
        <v>18117</v>
      </c>
      <c r="E4021" t="s">
        <v>19128</v>
      </c>
      <c r="F4021" t="s">
        <v>31362</v>
      </c>
      <c r="G4021" t="s">
        <v>31370</v>
      </c>
      <c r="H4021" t="s">
        <v>15799</v>
      </c>
      <c r="I4021" t="s">
        <v>31380</v>
      </c>
      <c r="J4021" t="s">
        <v>34159</v>
      </c>
      <c r="K4021" t="s">
        <v>40661</v>
      </c>
      <c r="M4021" t="s">
        <v>42467</v>
      </c>
      <c r="N4021" t="s">
        <v>44905</v>
      </c>
      <c r="O4021" t="s">
        <v>44906</v>
      </c>
      <c r="P4021">
        <v>0</v>
      </c>
      <c r="Q4021">
        <v>2</v>
      </c>
      <c r="R4021" t="s">
        <v>44908</v>
      </c>
      <c r="S4021" t="s">
        <v>45042</v>
      </c>
      <c r="T4021" t="s">
        <v>46400</v>
      </c>
      <c r="U4021" t="s">
        <v>50226</v>
      </c>
      <c r="W4021" t="s">
        <v>42467</v>
      </c>
      <c r="X4021" t="s">
        <v>44909</v>
      </c>
    </row>
    <row r="4022" spans="1:24">
      <c r="A4022">
        <f>HYPERLINK("https://www.philgeps.gov.ph/GEPSNONPILOT/Tender/SplashBidNoticeAbstractUI.aspx?menuIndex=3&amp;refID=7080562&amp;Result=3","7080562")</f>
        <v>0</v>
      </c>
      <c r="B4022" t="s">
        <v>1439</v>
      </c>
      <c r="C4022" t="s">
        <v>7365</v>
      </c>
      <c r="D4022" t="s">
        <v>18124</v>
      </c>
      <c r="E4022" t="s">
        <v>21800</v>
      </c>
      <c r="F4022" t="s">
        <v>31362</v>
      </c>
      <c r="G4022" t="s">
        <v>31368</v>
      </c>
      <c r="H4022" t="s">
        <v>15799</v>
      </c>
      <c r="I4022" t="s">
        <v>3815</v>
      </c>
      <c r="J4022" t="s">
        <v>34160</v>
      </c>
      <c r="K4022" t="s">
        <v>40666</v>
      </c>
      <c r="M4022" t="s">
        <v>42468</v>
      </c>
      <c r="N4022" t="s">
        <v>44905</v>
      </c>
      <c r="O4022" t="s">
        <v>44906</v>
      </c>
      <c r="P4022">
        <v>0</v>
      </c>
      <c r="Q4022">
        <v>0</v>
      </c>
      <c r="R4022" t="s">
        <v>44908</v>
      </c>
      <c r="S4022" t="s">
        <v>45042</v>
      </c>
      <c r="T4022" t="s">
        <v>46426</v>
      </c>
      <c r="U4022" t="s">
        <v>50227</v>
      </c>
      <c r="W4022" t="s">
        <v>42468</v>
      </c>
      <c r="X4022" t="s">
        <v>44909</v>
      </c>
    </row>
    <row r="4023" spans="1:24">
      <c r="A4023">
        <f>HYPERLINK("https://www.philgeps.gov.ph/GEPSNONPILOT/Tender/SplashBidNoticeAbstractUI.aspx?menuIndex=3&amp;refID=7080637&amp;Result=3","7080637")</f>
        <v>0</v>
      </c>
      <c r="B4023" t="s">
        <v>78</v>
      </c>
      <c r="C4023" t="s">
        <v>7366</v>
      </c>
      <c r="D4023" t="s">
        <v>18108</v>
      </c>
      <c r="E4023" t="s">
        <v>21801</v>
      </c>
      <c r="F4023" t="s">
        <v>31362</v>
      </c>
      <c r="G4023" t="s">
        <v>31368</v>
      </c>
      <c r="H4023" t="s">
        <v>15799</v>
      </c>
      <c r="I4023" t="s">
        <v>31444</v>
      </c>
      <c r="J4023" t="s">
        <v>33531</v>
      </c>
      <c r="K4023" t="s">
        <v>40662</v>
      </c>
      <c r="M4023" t="s">
        <v>42083</v>
      </c>
      <c r="N4023" t="s">
        <v>44905</v>
      </c>
      <c r="O4023" t="s">
        <v>44906</v>
      </c>
      <c r="P4023">
        <v>0</v>
      </c>
      <c r="Q4023">
        <v>4</v>
      </c>
      <c r="R4023" t="s">
        <v>44908</v>
      </c>
      <c r="S4023" t="s">
        <v>45042</v>
      </c>
      <c r="T4023" t="s">
        <v>46432</v>
      </c>
      <c r="U4023" t="s">
        <v>49269</v>
      </c>
      <c r="W4023" t="s">
        <v>42083</v>
      </c>
      <c r="X4023" t="s">
        <v>44909</v>
      </c>
    </row>
    <row r="4024" spans="1:24">
      <c r="A4024">
        <f>HYPERLINK("https://www.philgeps.gov.ph/GEPSNONPILOT/Tender/SplashBidNoticeAbstractUI.aspx?menuIndex=3&amp;refID=7080698&amp;Result=3","7080698")</f>
        <v>0</v>
      </c>
      <c r="B4024" t="s">
        <v>672</v>
      </c>
      <c r="C4024" t="s">
        <v>7367</v>
      </c>
      <c r="D4024" t="s">
        <v>18103</v>
      </c>
      <c r="E4024" t="s">
        <v>21802</v>
      </c>
      <c r="F4024" t="s">
        <v>31362</v>
      </c>
      <c r="G4024" t="s">
        <v>31369</v>
      </c>
      <c r="H4024" t="s">
        <v>31378</v>
      </c>
      <c r="I4024" t="s">
        <v>31386</v>
      </c>
      <c r="J4024" t="s">
        <v>34161</v>
      </c>
      <c r="K4024" t="s">
        <v>40684</v>
      </c>
      <c r="M4024" t="s">
        <v>41634</v>
      </c>
      <c r="N4024" t="s">
        <v>44905</v>
      </c>
      <c r="O4024" t="s">
        <v>44906</v>
      </c>
      <c r="P4024">
        <v>0</v>
      </c>
      <c r="Q4024">
        <v>2</v>
      </c>
      <c r="R4024" t="s">
        <v>44908</v>
      </c>
      <c r="S4024" t="s">
        <v>45042</v>
      </c>
      <c r="T4024" t="s">
        <v>46429</v>
      </c>
      <c r="U4024" t="s">
        <v>50090</v>
      </c>
      <c r="W4024" t="s">
        <v>60863</v>
      </c>
      <c r="X4024" t="s">
        <v>44909</v>
      </c>
    </row>
    <row r="4025" spans="1:24">
      <c r="A4025">
        <f>HYPERLINK("https://www.philgeps.gov.ph/GEPSNONPILOT/Tender/SplashBidNoticeAbstractUI.aspx?menuIndex=3&amp;refID=7080697&amp;Result=3","7080697")</f>
        <v>0</v>
      </c>
      <c r="B4025" t="s">
        <v>123</v>
      </c>
      <c r="C4025" t="s">
        <v>7368</v>
      </c>
      <c r="D4025" t="s">
        <v>18107</v>
      </c>
      <c r="E4025" t="s">
        <v>21803</v>
      </c>
      <c r="F4025" t="s">
        <v>31364</v>
      </c>
      <c r="G4025" t="s">
        <v>31368</v>
      </c>
      <c r="H4025" t="s">
        <v>31379</v>
      </c>
      <c r="I4025" t="s">
        <v>4057</v>
      </c>
      <c r="J4025" t="s">
        <v>32729</v>
      </c>
      <c r="K4025" t="s">
        <v>40661</v>
      </c>
      <c r="M4025" t="s">
        <v>41346</v>
      </c>
      <c r="N4025" t="s">
        <v>44905</v>
      </c>
      <c r="O4025" t="s">
        <v>44906</v>
      </c>
      <c r="P4025">
        <v>0</v>
      </c>
      <c r="Q4025">
        <v>0</v>
      </c>
      <c r="R4025" t="s">
        <v>44908</v>
      </c>
      <c r="S4025" t="s">
        <v>45042</v>
      </c>
      <c r="T4025" t="s">
        <v>46453</v>
      </c>
      <c r="U4025" t="s">
        <v>50228</v>
      </c>
      <c r="V4025" t="s">
        <v>47665</v>
      </c>
      <c r="W4025" t="s">
        <v>41346</v>
      </c>
      <c r="X4025" t="s">
        <v>44909</v>
      </c>
    </row>
    <row r="4026" spans="1:24">
      <c r="A4026">
        <f>HYPERLINK("https://www.philgeps.gov.ph/GEPSNONPILOT/Tender/SplashBidNoticeAbstractUI.aspx?menuIndex=3&amp;refID=7080696&amp;Result=3","7080696")</f>
        <v>0</v>
      </c>
      <c r="B4026" t="s">
        <v>174</v>
      </c>
      <c r="C4026" t="s">
        <v>7369</v>
      </c>
      <c r="D4026" t="s">
        <v>18108</v>
      </c>
      <c r="E4026" t="s">
        <v>21804</v>
      </c>
      <c r="F4026" t="s">
        <v>31362</v>
      </c>
      <c r="G4026" t="s">
        <v>31368</v>
      </c>
      <c r="H4026" t="s">
        <v>15799</v>
      </c>
      <c r="I4026" t="s">
        <v>31385</v>
      </c>
      <c r="J4026" t="s">
        <v>31530</v>
      </c>
      <c r="K4026" t="s">
        <v>40670</v>
      </c>
      <c r="M4026" t="s">
        <v>41112</v>
      </c>
      <c r="N4026" t="s">
        <v>44905</v>
      </c>
      <c r="O4026" t="s">
        <v>44906</v>
      </c>
      <c r="P4026">
        <v>0</v>
      </c>
      <c r="Q4026">
        <v>7</v>
      </c>
      <c r="R4026" t="s">
        <v>44908</v>
      </c>
      <c r="S4026" t="s">
        <v>45042</v>
      </c>
      <c r="T4026" t="s">
        <v>46447</v>
      </c>
      <c r="U4026" t="s">
        <v>50229</v>
      </c>
      <c r="W4026" t="s">
        <v>41112</v>
      </c>
      <c r="X4026" t="s">
        <v>44909</v>
      </c>
    </row>
    <row r="4027" spans="1:24">
      <c r="A4027">
        <f>HYPERLINK("https://www.philgeps.gov.ph/GEPSNONPILOT/Tender/SplashBidNoticeAbstractUI.aspx?menuIndex=3&amp;refID=7080563&amp;Result=3","7080563")</f>
        <v>0</v>
      </c>
      <c r="B4027" t="s">
        <v>1250</v>
      </c>
      <c r="C4027" t="s">
        <v>7370</v>
      </c>
      <c r="D4027" t="s">
        <v>18158</v>
      </c>
      <c r="E4027" t="s">
        <v>21206</v>
      </c>
      <c r="F4027" t="s">
        <v>31362</v>
      </c>
      <c r="G4027" t="s">
        <v>31368</v>
      </c>
      <c r="H4027" t="s">
        <v>15799</v>
      </c>
      <c r="I4027" t="s">
        <v>4057</v>
      </c>
      <c r="J4027" t="s">
        <v>31768</v>
      </c>
      <c r="K4027" t="s">
        <v>40697</v>
      </c>
      <c r="M4027" t="s">
        <v>42266</v>
      </c>
      <c r="N4027" t="s">
        <v>44905</v>
      </c>
      <c r="O4027" t="s">
        <v>44906</v>
      </c>
      <c r="P4027">
        <v>0</v>
      </c>
      <c r="Q4027">
        <v>0</v>
      </c>
      <c r="R4027" t="s">
        <v>44908</v>
      </c>
      <c r="S4027" t="s">
        <v>45042</v>
      </c>
      <c r="T4027" t="s">
        <v>46409</v>
      </c>
      <c r="U4027" t="s">
        <v>50230</v>
      </c>
      <c r="W4027" t="s">
        <v>42266</v>
      </c>
      <c r="X4027" t="s">
        <v>44909</v>
      </c>
    </row>
    <row r="4028" spans="1:24">
      <c r="A4028">
        <f>HYPERLINK("https://www.philgeps.gov.ph/GEPSNONPILOT/Tender/SplashBidNoticeAbstractUI.aspx?menuIndex=3&amp;refID=7080692&amp;Result=3","7080692")</f>
        <v>0</v>
      </c>
      <c r="B4028" t="s">
        <v>1429</v>
      </c>
      <c r="C4028" t="s">
        <v>7371</v>
      </c>
      <c r="D4028" t="s">
        <v>18138</v>
      </c>
      <c r="E4028" t="s">
        <v>21805</v>
      </c>
      <c r="F4028" t="s">
        <v>31362</v>
      </c>
      <c r="G4028" t="s">
        <v>31368</v>
      </c>
      <c r="H4028" t="s">
        <v>15799</v>
      </c>
      <c r="I4028" t="s">
        <v>31404</v>
      </c>
      <c r="J4028" t="s">
        <v>31530</v>
      </c>
      <c r="K4028" t="s">
        <v>40661</v>
      </c>
      <c r="M4028" t="s">
        <v>42457</v>
      </c>
      <c r="N4028" t="s">
        <v>44905</v>
      </c>
      <c r="O4028" t="s">
        <v>44906</v>
      </c>
      <c r="P4028">
        <v>0</v>
      </c>
      <c r="Q4028">
        <v>0</v>
      </c>
      <c r="R4028" t="s">
        <v>44908</v>
      </c>
      <c r="S4028" t="s">
        <v>45042</v>
      </c>
      <c r="T4028" t="s">
        <v>46393</v>
      </c>
      <c r="U4028" t="s">
        <v>50231</v>
      </c>
      <c r="W4028" t="s">
        <v>42457</v>
      </c>
      <c r="X4028" t="s">
        <v>44909</v>
      </c>
    </row>
    <row r="4029" spans="1:24">
      <c r="A4029">
        <f>HYPERLINK("https://www.philgeps.gov.ph/GEPSNONPILOT/Tender/SplashBidNoticeAbstractUI.aspx?menuIndex=3&amp;refID=7080691&amp;Result=3","7080691")</f>
        <v>0</v>
      </c>
      <c r="B4029" t="s">
        <v>1440</v>
      </c>
      <c r="C4029" t="s">
        <v>7372</v>
      </c>
      <c r="D4029" t="s">
        <v>18115</v>
      </c>
      <c r="E4029" t="s">
        <v>21806</v>
      </c>
      <c r="F4029" t="s">
        <v>31362</v>
      </c>
      <c r="G4029" t="s">
        <v>31368</v>
      </c>
      <c r="H4029" t="s">
        <v>15799</v>
      </c>
      <c r="I4029" t="s">
        <v>31415</v>
      </c>
      <c r="J4029" t="s">
        <v>34162</v>
      </c>
      <c r="K4029" t="s">
        <v>40665</v>
      </c>
      <c r="M4029" t="s">
        <v>42469</v>
      </c>
      <c r="N4029" t="s">
        <v>44905</v>
      </c>
      <c r="O4029" t="s">
        <v>44906</v>
      </c>
      <c r="P4029">
        <v>0</v>
      </c>
      <c r="Q4029">
        <v>0</v>
      </c>
      <c r="R4029" t="s">
        <v>44908</v>
      </c>
      <c r="S4029" t="s">
        <v>45042</v>
      </c>
      <c r="T4029" t="s">
        <v>46414</v>
      </c>
      <c r="U4029" t="s">
        <v>50232</v>
      </c>
      <c r="W4029" t="s">
        <v>42469</v>
      </c>
      <c r="X4029" t="s">
        <v>44909</v>
      </c>
    </row>
    <row r="4030" spans="1:24">
      <c r="A4030">
        <f>HYPERLINK("https://www.philgeps.gov.ph/GEPSNONPILOT/Tender/SplashBidNoticeAbstractUI.aspx?menuIndex=3&amp;refID=7080690&amp;Result=3","7080690")</f>
        <v>0</v>
      </c>
      <c r="B4030" t="s">
        <v>237</v>
      </c>
      <c r="C4030" t="s">
        <v>7373</v>
      </c>
      <c r="D4030" t="s">
        <v>18108</v>
      </c>
      <c r="E4030" t="s">
        <v>18900</v>
      </c>
      <c r="F4030" t="s">
        <v>31362</v>
      </c>
      <c r="G4030" t="s">
        <v>31370</v>
      </c>
      <c r="H4030" t="s">
        <v>15799</v>
      </c>
      <c r="I4030" t="s">
        <v>31380</v>
      </c>
      <c r="J4030" t="s">
        <v>34163</v>
      </c>
      <c r="K4030" t="s">
        <v>40670</v>
      </c>
      <c r="M4030" t="s">
        <v>41330</v>
      </c>
      <c r="N4030" t="s">
        <v>44905</v>
      </c>
      <c r="O4030" t="s">
        <v>44906</v>
      </c>
      <c r="P4030">
        <v>0</v>
      </c>
      <c r="Q4030">
        <v>2</v>
      </c>
      <c r="R4030" t="s">
        <v>44908</v>
      </c>
      <c r="S4030" t="s">
        <v>45042</v>
      </c>
      <c r="T4030" t="s">
        <v>46454</v>
      </c>
      <c r="U4030" t="s">
        <v>50233</v>
      </c>
      <c r="V4030" t="s">
        <v>59455</v>
      </c>
      <c r="W4030" t="s">
        <v>41330</v>
      </c>
      <c r="X4030" t="s">
        <v>44909</v>
      </c>
    </row>
    <row r="4031" spans="1:24">
      <c r="A4031">
        <f>HYPERLINK("https://www.philgeps.gov.ph/GEPSNONPILOT/Tender/SplashBidNoticeAbstractUI.aspx?menuIndex=3&amp;refID=7080647&amp;Result=3","7080647")</f>
        <v>0</v>
      </c>
      <c r="B4031" t="s">
        <v>1086</v>
      </c>
      <c r="C4031" t="s">
        <v>7374</v>
      </c>
      <c r="D4031" t="s">
        <v>18123</v>
      </c>
      <c r="E4031" t="s">
        <v>21807</v>
      </c>
      <c r="F4031" t="s">
        <v>31362</v>
      </c>
      <c r="G4031" t="s">
        <v>31370</v>
      </c>
      <c r="H4031" t="s">
        <v>31378</v>
      </c>
      <c r="I4031" t="s">
        <v>31386</v>
      </c>
      <c r="J4031" t="s">
        <v>34164</v>
      </c>
      <c r="K4031" t="s">
        <v>40665</v>
      </c>
      <c r="M4031" t="s">
        <v>42089</v>
      </c>
      <c r="N4031" t="s">
        <v>44905</v>
      </c>
      <c r="O4031" t="s">
        <v>44906</v>
      </c>
      <c r="P4031">
        <v>0</v>
      </c>
      <c r="Q4031">
        <v>0</v>
      </c>
      <c r="R4031" t="s">
        <v>44908</v>
      </c>
      <c r="S4031" t="s">
        <v>45042</v>
      </c>
      <c r="T4031" t="s">
        <v>46470</v>
      </c>
      <c r="U4031" t="s">
        <v>49276</v>
      </c>
      <c r="W4031" t="s">
        <v>42089</v>
      </c>
      <c r="X4031" t="s">
        <v>44909</v>
      </c>
    </row>
    <row r="4032" spans="1:24">
      <c r="A4032">
        <f>HYPERLINK("https://www.philgeps.gov.ph/GEPSNONPILOT/Tender/SplashBidNoticeAbstractUI.aspx?menuIndex=3&amp;refID=7080687&amp;Result=3","7080687")</f>
        <v>0</v>
      </c>
      <c r="B4032" t="s">
        <v>118</v>
      </c>
      <c r="C4032" t="s">
        <v>7375</v>
      </c>
      <c r="D4032" t="s">
        <v>18142</v>
      </c>
      <c r="E4032" t="s">
        <v>21808</v>
      </c>
      <c r="F4032" t="s">
        <v>31362</v>
      </c>
      <c r="G4032" t="s">
        <v>31369</v>
      </c>
      <c r="H4032" t="s">
        <v>31378</v>
      </c>
      <c r="I4032" t="s">
        <v>31386</v>
      </c>
      <c r="J4032" t="s">
        <v>31578</v>
      </c>
      <c r="K4032" t="s">
        <v>40665</v>
      </c>
      <c r="M4032" t="s">
        <v>41055</v>
      </c>
      <c r="N4032" t="s">
        <v>44905</v>
      </c>
      <c r="O4032" t="s">
        <v>44906</v>
      </c>
      <c r="P4032">
        <v>0</v>
      </c>
      <c r="Q4032">
        <v>0</v>
      </c>
      <c r="R4032" t="s">
        <v>44908</v>
      </c>
      <c r="S4032" t="s">
        <v>45042</v>
      </c>
      <c r="T4032" t="s">
        <v>46493</v>
      </c>
      <c r="U4032" t="s">
        <v>50234</v>
      </c>
      <c r="W4032" t="s">
        <v>41055</v>
      </c>
      <c r="X4032" t="s">
        <v>44909</v>
      </c>
    </row>
    <row r="4033" spans="1:24">
      <c r="A4033">
        <f>HYPERLINK("https://www.philgeps.gov.ph/GEPSNONPILOT/Tender/SplashBidNoticeAbstractUI.aspx?menuIndex=3&amp;refID=7080618&amp;Result=3","7080618")</f>
        <v>0</v>
      </c>
      <c r="B4033" t="s">
        <v>1374</v>
      </c>
      <c r="C4033" t="s">
        <v>7255</v>
      </c>
      <c r="D4033" t="s">
        <v>18178</v>
      </c>
      <c r="E4033" t="s">
        <v>21809</v>
      </c>
      <c r="F4033" t="s">
        <v>31362</v>
      </c>
      <c r="G4033" t="s">
        <v>31369</v>
      </c>
      <c r="H4033" t="s">
        <v>31378</v>
      </c>
      <c r="I4033" t="s">
        <v>31386</v>
      </c>
      <c r="J4033" t="s">
        <v>34165</v>
      </c>
      <c r="K4033" t="s">
        <v>40773</v>
      </c>
      <c r="M4033" t="s">
        <v>42397</v>
      </c>
      <c r="N4033" t="s">
        <v>44905</v>
      </c>
      <c r="O4033" t="s">
        <v>44906</v>
      </c>
      <c r="P4033">
        <v>0</v>
      </c>
      <c r="Q4033">
        <v>0</v>
      </c>
      <c r="R4033" t="s">
        <v>44908</v>
      </c>
      <c r="S4033" t="s">
        <v>45042</v>
      </c>
      <c r="T4033" t="s">
        <v>46404</v>
      </c>
      <c r="U4033" t="s">
        <v>50235</v>
      </c>
      <c r="W4033" t="s">
        <v>42397</v>
      </c>
      <c r="X4033" t="s">
        <v>44909</v>
      </c>
    </row>
    <row r="4034" spans="1:24">
      <c r="A4034">
        <f>HYPERLINK("https://www.philgeps.gov.ph/GEPSNONPILOT/Tender/SplashBidNoticeAbstractUI.aspx?menuIndex=3&amp;refID=7080685&amp;Result=3","7080685")</f>
        <v>0</v>
      </c>
      <c r="B4034" t="s">
        <v>232</v>
      </c>
      <c r="C4034" t="s">
        <v>7376</v>
      </c>
      <c r="D4034" t="s">
        <v>18101</v>
      </c>
      <c r="E4034" t="s">
        <v>21810</v>
      </c>
      <c r="F4034" t="s">
        <v>31362</v>
      </c>
      <c r="G4034" t="s">
        <v>31369</v>
      </c>
      <c r="H4034" t="s">
        <v>15799</v>
      </c>
      <c r="I4034" t="s">
        <v>31387</v>
      </c>
      <c r="J4034" t="s">
        <v>34166</v>
      </c>
      <c r="K4034" t="s">
        <v>40666</v>
      </c>
      <c r="M4034" t="s">
        <v>41171</v>
      </c>
      <c r="N4034" t="s">
        <v>44905</v>
      </c>
      <c r="O4034" t="s">
        <v>44906</v>
      </c>
      <c r="P4034">
        <v>0</v>
      </c>
      <c r="Q4034">
        <v>1</v>
      </c>
      <c r="R4034" t="s">
        <v>44908</v>
      </c>
      <c r="S4034" t="s">
        <v>45042</v>
      </c>
      <c r="T4034" t="s">
        <v>46396</v>
      </c>
      <c r="U4034" t="s">
        <v>50236</v>
      </c>
      <c r="V4034" t="s">
        <v>59456</v>
      </c>
      <c r="W4034" t="s">
        <v>41171</v>
      </c>
      <c r="X4034" t="s">
        <v>44909</v>
      </c>
    </row>
    <row r="4035" spans="1:24">
      <c r="A4035">
        <f>HYPERLINK("https://www.philgeps.gov.ph/GEPSNONPILOT/Tender/SplashBidNoticeAbstractUI.aspx?menuIndex=3&amp;refID=7080695&amp;Result=3","7080695")</f>
        <v>0</v>
      </c>
      <c r="B4035" t="s">
        <v>1441</v>
      </c>
      <c r="C4035" t="s">
        <v>7377</v>
      </c>
      <c r="D4035" t="s">
        <v>18127</v>
      </c>
      <c r="E4035" t="s">
        <v>21811</v>
      </c>
      <c r="F4035" t="s">
        <v>31362</v>
      </c>
      <c r="G4035" t="s">
        <v>31369</v>
      </c>
      <c r="H4035" t="s">
        <v>31378</v>
      </c>
      <c r="I4035" t="s">
        <v>31386</v>
      </c>
      <c r="J4035" t="s">
        <v>34167</v>
      </c>
      <c r="K4035" t="s">
        <v>40675</v>
      </c>
      <c r="M4035" t="s">
        <v>42470</v>
      </c>
      <c r="N4035" t="s">
        <v>44905</v>
      </c>
      <c r="O4035" t="s">
        <v>44906</v>
      </c>
      <c r="P4035">
        <v>0</v>
      </c>
      <c r="Q4035">
        <v>0</v>
      </c>
      <c r="R4035" t="s">
        <v>44908</v>
      </c>
      <c r="S4035" t="s">
        <v>45042</v>
      </c>
      <c r="T4035" t="s">
        <v>46511</v>
      </c>
      <c r="U4035" t="s">
        <v>50237</v>
      </c>
      <c r="W4035" t="s">
        <v>42470</v>
      </c>
      <c r="X4035" t="s">
        <v>44909</v>
      </c>
    </row>
    <row r="4036" spans="1:24">
      <c r="A4036">
        <f>HYPERLINK("https://www.philgeps.gov.ph/GEPSNONPILOT/Tender/SplashBidNoticeAbstractUI.aspx?menuIndex=3&amp;refID=7080684&amp;Result=3","7080684")</f>
        <v>0</v>
      </c>
      <c r="B4036" t="s">
        <v>238</v>
      </c>
      <c r="C4036" t="s">
        <v>7378</v>
      </c>
      <c r="D4036" t="s">
        <v>18163</v>
      </c>
      <c r="E4036" t="s">
        <v>21812</v>
      </c>
      <c r="F4036" t="s">
        <v>31362</v>
      </c>
      <c r="G4036" t="s">
        <v>31368</v>
      </c>
      <c r="H4036" t="s">
        <v>15799</v>
      </c>
      <c r="I4036" t="s">
        <v>4057</v>
      </c>
      <c r="J4036" t="s">
        <v>31530</v>
      </c>
      <c r="K4036" t="s">
        <v>40666</v>
      </c>
      <c r="M4036" t="s">
        <v>41177</v>
      </c>
      <c r="N4036" t="s">
        <v>44905</v>
      </c>
      <c r="O4036" t="s">
        <v>44906</v>
      </c>
      <c r="P4036">
        <v>0</v>
      </c>
      <c r="Q4036">
        <v>0</v>
      </c>
      <c r="R4036" t="s">
        <v>44908</v>
      </c>
      <c r="S4036" t="s">
        <v>45042</v>
      </c>
      <c r="T4036" t="s">
        <v>46409</v>
      </c>
      <c r="U4036" t="s">
        <v>50238</v>
      </c>
      <c r="W4036" t="s">
        <v>41177</v>
      </c>
      <c r="X4036" t="s">
        <v>44909</v>
      </c>
    </row>
    <row r="4037" spans="1:24">
      <c r="A4037">
        <f>HYPERLINK("https://www.philgeps.gov.ph/GEPSNONPILOT/Tender/SplashBidNoticeAbstractUI.aspx?menuIndex=3&amp;refID=7080679&amp;Result=3","7080679")</f>
        <v>0</v>
      </c>
      <c r="B4037" t="s">
        <v>1442</v>
      </c>
      <c r="C4037" t="s">
        <v>7379</v>
      </c>
      <c r="D4037" t="s">
        <v>18108</v>
      </c>
      <c r="E4037" t="s">
        <v>21813</v>
      </c>
      <c r="F4037" t="s">
        <v>31362</v>
      </c>
      <c r="G4037" t="s">
        <v>31368</v>
      </c>
      <c r="H4037" t="s">
        <v>15799</v>
      </c>
      <c r="I4037" t="s">
        <v>13635</v>
      </c>
      <c r="J4037" t="s">
        <v>34168</v>
      </c>
      <c r="K4037" t="s">
        <v>40662</v>
      </c>
      <c r="M4037" t="s">
        <v>42471</v>
      </c>
      <c r="N4037" t="s">
        <v>44905</v>
      </c>
      <c r="O4037" t="s">
        <v>44906</v>
      </c>
      <c r="P4037">
        <v>0</v>
      </c>
      <c r="Q4037">
        <v>9</v>
      </c>
      <c r="R4037" t="s">
        <v>44908</v>
      </c>
      <c r="S4037" t="s">
        <v>45042</v>
      </c>
      <c r="T4037" t="s">
        <v>46417</v>
      </c>
      <c r="U4037" t="s">
        <v>50239</v>
      </c>
      <c r="W4037" t="s">
        <v>42471</v>
      </c>
      <c r="X4037" t="s">
        <v>44909</v>
      </c>
    </row>
    <row r="4038" spans="1:24">
      <c r="A4038">
        <f>HYPERLINK("https://www.philgeps.gov.ph/GEPSNONPILOT/Tender/SplashBidNoticeAbstractUI.aspx?menuIndex=3&amp;refID=7080707&amp;Result=3","7080707")</f>
        <v>0</v>
      </c>
      <c r="B4038" t="s">
        <v>232</v>
      </c>
      <c r="C4038" t="s">
        <v>7380</v>
      </c>
      <c r="D4038" t="s">
        <v>18101</v>
      </c>
      <c r="E4038" t="s">
        <v>21814</v>
      </c>
      <c r="F4038" t="s">
        <v>31362</v>
      </c>
      <c r="G4038" t="s">
        <v>31369</v>
      </c>
      <c r="H4038" t="s">
        <v>15799</v>
      </c>
      <c r="I4038" t="s">
        <v>7188</v>
      </c>
      <c r="J4038" t="s">
        <v>31531</v>
      </c>
      <c r="K4038" t="s">
        <v>40666</v>
      </c>
      <c r="M4038" t="s">
        <v>41171</v>
      </c>
      <c r="N4038" t="s">
        <v>44905</v>
      </c>
      <c r="O4038" t="s">
        <v>44906</v>
      </c>
      <c r="P4038">
        <v>0</v>
      </c>
      <c r="Q4038">
        <v>0</v>
      </c>
      <c r="R4038" t="s">
        <v>44908</v>
      </c>
      <c r="S4038" t="s">
        <v>45042</v>
      </c>
      <c r="T4038" t="s">
        <v>46396</v>
      </c>
      <c r="U4038" t="s">
        <v>50240</v>
      </c>
      <c r="V4038" t="s">
        <v>59456</v>
      </c>
      <c r="W4038" t="s">
        <v>41171</v>
      </c>
      <c r="X4038" t="s">
        <v>44909</v>
      </c>
    </row>
    <row r="4039" spans="1:24">
      <c r="A4039">
        <f>HYPERLINK("https://www.philgeps.gov.ph/GEPSNONPILOT/Tender/SplashBidNoticeAbstractUI.aspx?menuIndex=3&amp;refID=7080730&amp;Result=3","7080730")</f>
        <v>0</v>
      </c>
      <c r="B4039" t="s">
        <v>267</v>
      </c>
      <c r="C4039" t="s">
        <v>7381</v>
      </c>
      <c r="D4039" t="s">
        <v>18154</v>
      </c>
      <c r="E4039" t="s">
        <v>21815</v>
      </c>
      <c r="F4039" t="s">
        <v>31362</v>
      </c>
      <c r="G4039" t="s">
        <v>31369</v>
      </c>
      <c r="H4039" t="s">
        <v>15799</v>
      </c>
      <c r="I4039" t="s">
        <v>31433</v>
      </c>
      <c r="J4039" t="s">
        <v>34169</v>
      </c>
      <c r="K4039" t="s">
        <v>40670</v>
      </c>
      <c r="M4039" t="s">
        <v>41208</v>
      </c>
      <c r="N4039" t="s">
        <v>44905</v>
      </c>
      <c r="O4039" t="s">
        <v>44906</v>
      </c>
      <c r="P4039">
        <v>0</v>
      </c>
      <c r="Q4039">
        <v>0</v>
      </c>
      <c r="R4039" t="s">
        <v>44908</v>
      </c>
      <c r="S4039" t="s">
        <v>45042</v>
      </c>
      <c r="T4039" t="s">
        <v>46470</v>
      </c>
      <c r="U4039" t="s">
        <v>50241</v>
      </c>
      <c r="W4039" t="s">
        <v>41208</v>
      </c>
      <c r="X4039" t="s">
        <v>44909</v>
      </c>
    </row>
    <row r="4040" spans="1:24">
      <c r="A4040">
        <f>HYPERLINK("https://www.philgeps.gov.ph/GEPSNONPILOT/Tender/SplashBidNoticeAbstractUI.aspx?menuIndex=3&amp;refID=7080729&amp;Result=3","7080729")</f>
        <v>0</v>
      </c>
      <c r="B4040" t="s">
        <v>440</v>
      </c>
      <c r="C4040" t="s">
        <v>7382</v>
      </c>
      <c r="D4040" t="s">
        <v>18154</v>
      </c>
      <c r="E4040" t="s">
        <v>21816</v>
      </c>
      <c r="F4040" t="s">
        <v>31362</v>
      </c>
      <c r="G4040" t="s">
        <v>31370</v>
      </c>
      <c r="H4040" t="s">
        <v>15799</v>
      </c>
      <c r="I4040" t="s">
        <v>4283</v>
      </c>
      <c r="J4040" t="s">
        <v>34170</v>
      </c>
      <c r="K4040" t="s">
        <v>40662</v>
      </c>
      <c r="M4040" t="s">
        <v>41604</v>
      </c>
      <c r="N4040" t="s">
        <v>44905</v>
      </c>
      <c r="O4040" t="s">
        <v>44906</v>
      </c>
      <c r="P4040">
        <v>0</v>
      </c>
      <c r="Q4040">
        <v>1</v>
      </c>
      <c r="R4040" t="s">
        <v>44908</v>
      </c>
      <c r="S4040" t="s">
        <v>45042</v>
      </c>
      <c r="T4040" t="s">
        <v>46447</v>
      </c>
      <c r="U4040" t="s">
        <v>50242</v>
      </c>
      <c r="W4040" t="s">
        <v>41604</v>
      </c>
      <c r="X4040" t="s">
        <v>44909</v>
      </c>
    </row>
    <row r="4041" spans="1:24">
      <c r="A4041">
        <f>HYPERLINK("https://www.philgeps.gov.ph/GEPSNONPILOT/Tender/SplashBidNoticeAbstractUI.aspx?menuIndex=3&amp;refID=7080727&amp;Result=3","7080727")</f>
        <v>0</v>
      </c>
      <c r="B4041" t="s">
        <v>1334</v>
      </c>
      <c r="C4041" t="s">
        <v>7383</v>
      </c>
      <c r="D4041" t="s">
        <v>18162</v>
      </c>
      <c r="E4041" t="s">
        <v>21817</v>
      </c>
      <c r="F4041" t="s">
        <v>31362</v>
      </c>
      <c r="G4041" t="s">
        <v>31372</v>
      </c>
      <c r="H4041" t="s">
        <v>31378</v>
      </c>
      <c r="I4041" t="s">
        <v>31386</v>
      </c>
      <c r="J4041" t="s">
        <v>34171</v>
      </c>
      <c r="K4041" t="s">
        <v>40679</v>
      </c>
      <c r="M4041" t="s">
        <v>42352</v>
      </c>
      <c r="N4041" t="s">
        <v>44905</v>
      </c>
      <c r="O4041" t="s">
        <v>44906</v>
      </c>
      <c r="P4041">
        <v>0</v>
      </c>
      <c r="Q4041">
        <v>0</v>
      </c>
      <c r="R4041" t="s">
        <v>44908</v>
      </c>
      <c r="S4041" t="s">
        <v>45042</v>
      </c>
      <c r="T4041" t="s">
        <v>46404</v>
      </c>
      <c r="U4041" t="s">
        <v>50243</v>
      </c>
      <c r="V4041" t="s">
        <v>59422</v>
      </c>
      <c r="W4041" t="s">
        <v>42352</v>
      </c>
      <c r="X4041" t="s">
        <v>44909</v>
      </c>
    </row>
    <row r="4042" spans="1:24">
      <c r="A4042">
        <f>HYPERLINK("https://www.philgeps.gov.ph/GEPSNONPILOT/Tender/SplashBidNoticeAbstractUI.aspx?menuIndex=3&amp;refID=7080688&amp;Result=3","7080688")</f>
        <v>0</v>
      </c>
      <c r="B4042" t="s">
        <v>1436</v>
      </c>
      <c r="C4042" t="s">
        <v>7384</v>
      </c>
      <c r="D4042" t="s">
        <v>18107</v>
      </c>
      <c r="E4042" t="s">
        <v>21818</v>
      </c>
      <c r="F4042" t="s">
        <v>31362</v>
      </c>
      <c r="G4042" t="s">
        <v>31368</v>
      </c>
      <c r="H4042" t="s">
        <v>15799</v>
      </c>
      <c r="I4042" t="s">
        <v>31430</v>
      </c>
      <c r="J4042" t="s">
        <v>34172</v>
      </c>
      <c r="K4042" t="s">
        <v>40680</v>
      </c>
      <c r="M4042" t="s">
        <v>42465</v>
      </c>
      <c r="N4042" t="s">
        <v>44905</v>
      </c>
      <c r="O4042" t="s">
        <v>44906</v>
      </c>
      <c r="P4042">
        <v>0</v>
      </c>
      <c r="Q4042">
        <v>0</v>
      </c>
      <c r="R4042" t="s">
        <v>44908</v>
      </c>
      <c r="S4042" t="s">
        <v>45042</v>
      </c>
      <c r="T4042" t="s">
        <v>46432</v>
      </c>
      <c r="U4042" t="s">
        <v>50244</v>
      </c>
      <c r="W4042" t="s">
        <v>42465</v>
      </c>
      <c r="X4042" t="s">
        <v>44909</v>
      </c>
    </row>
    <row r="4043" spans="1:24">
      <c r="A4043">
        <f>HYPERLINK("https://www.philgeps.gov.ph/GEPSNONPILOT/Tender/SplashBidNoticeAbstractUI.aspx?menuIndex=3&amp;refID=7080724&amp;Result=3","7080724")</f>
        <v>0</v>
      </c>
      <c r="B4043" t="s">
        <v>1443</v>
      </c>
      <c r="C4043" t="s">
        <v>6071</v>
      </c>
      <c r="D4043" t="s">
        <v>18101</v>
      </c>
      <c r="E4043" t="s">
        <v>21819</v>
      </c>
      <c r="F4043" t="s">
        <v>31365</v>
      </c>
      <c r="G4043" t="s">
        <v>31369</v>
      </c>
      <c r="H4043" t="s">
        <v>31378</v>
      </c>
      <c r="I4043" t="s">
        <v>31386</v>
      </c>
      <c r="J4043" t="s">
        <v>34173</v>
      </c>
      <c r="K4043" t="s">
        <v>40665</v>
      </c>
      <c r="M4043" t="s">
        <v>42472</v>
      </c>
      <c r="N4043" t="s">
        <v>44905</v>
      </c>
      <c r="O4043" t="s">
        <v>44906</v>
      </c>
      <c r="P4043">
        <v>0</v>
      </c>
      <c r="Q4043">
        <v>0</v>
      </c>
      <c r="R4043" t="s">
        <v>44908</v>
      </c>
      <c r="S4043" t="s">
        <v>45042</v>
      </c>
      <c r="T4043" t="s">
        <v>46561</v>
      </c>
      <c r="U4043" t="s">
        <v>50245</v>
      </c>
      <c r="W4043" t="s">
        <v>42472</v>
      </c>
      <c r="X4043" t="s">
        <v>44909</v>
      </c>
    </row>
    <row r="4044" spans="1:24">
      <c r="A4044">
        <f>HYPERLINK("https://www.philgeps.gov.ph/GEPSNONPILOT/Tender/SplashBidNoticeAbstractUI.aspx?menuIndex=3&amp;refID=7080723&amp;Result=3","7080723")</f>
        <v>0</v>
      </c>
      <c r="B4044" t="s">
        <v>1444</v>
      </c>
      <c r="C4044" t="s">
        <v>7385</v>
      </c>
      <c r="D4044" t="s">
        <v>18172</v>
      </c>
      <c r="E4044" t="s">
        <v>21820</v>
      </c>
      <c r="F4044" t="s">
        <v>31362</v>
      </c>
      <c r="G4044" t="s">
        <v>31368</v>
      </c>
      <c r="H4044" t="s">
        <v>15799</v>
      </c>
      <c r="I4044" t="s">
        <v>31415</v>
      </c>
      <c r="J4044" t="s">
        <v>31577</v>
      </c>
      <c r="K4044" t="s">
        <v>40666</v>
      </c>
      <c r="M4044" t="s">
        <v>42473</v>
      </c>
      <c r="N4044" t="s">
        <v>44905</v>
      </c>
      <c r="O4044" t="s">
        <v>44906</v>
      </c>
      <c r="P4044">
        <v>0</v>
      </c>
      <c r="Q4044">
        <v>0</v>
      </c>
      <c r="R4044" t="s">
        <v>44908</v>
      </c>
      <c r="S4044" t="s">
        <v>45042</v>
      </c>
      <c r="T4044" t="s">
        <v>46467</v>
      </c>
      <c r="U4044" t="s">
        <v>50246</v>
      </c>
      <c r="W4044" t="s">
        <v>42473</v>
      </c>
      <c r="X4044" t="s">
        <v>44909</v>
      </c>
    </row>
    <row r="4045" spans="1:24">
      <c r="A4045">
        <f>HYPERLINK("https://www.philgeps.gov.ph/GEPSNONPILOT/Tender/SplashBidNoticeAbstractUI.aspx?menuIndex=3&amp;refID=7080722&amp;Result=3","7080722")</f>
        <v>0</v>
      </c>
      <c r="B4045" t="s">
        <v>217</v>
      </c>
      <c r="C4045" t="s">
        <v>7386</v>
      </c>
      <c r="D4045" t="s">
        <v>18108</v>
      </c>
      <c r="E4045" t="s">
        <v>21821</v>
      </c>
      <c r="F4045" t="s">
        <v>31362</v>
      </c>
      <c r="G4045" t="s">
        <v>31370</v>
      </c>
      <c r="H4045" t="s">
        <v>15799</v>
      </c>
      <c r="I4045" t="s">
        <v>31380</v>
      </c>
      <c r="J4045" t="s">
        <v>31575</v>
      </c>
      <c r="K4045" t="s">
        <v>40697</v>
      </c>
      <c r="M4045" t="s">
        <v>41752</v>
      </c>
      <c r="N4045" t="s">
        <v>44905</v>
      </c>
      <c r="O4045" t="s">
        <v>44906</v>
      </c>
      <c r="P4045">
        <v>0</v>
      </c>
      <c r="Q4045">
        <v>1</v>
      </c>
      <c r="R4045" t="s">
        <v>44908</v>
      </c>
      <c r="S4045" t="s">
        <v>45042</v>
      </c>
      <c r="T4045" t="s">
        <v>46454</v>
      </c>
      <c r="U4045" t="s">
        <v>50247</v>
      </c>
      <c r="V4045" t="s">
        <v>59243</v>
      </c>
      <c r="W4045" t="s">
        <v>41752</v>
      </c>
      <c r="X4045" t="s">
        <v>44909</v>
      </c>
    </row>
    <row r="4046" spans="1:24">
      <c r="A4046">
        <f>HYPERLINK("https://www.philgeps.gov.ph/GEPSNONPILOT/Tender/SplashBidNoticeAbstractUI.aspx?menuIndex=3&amp;refID=7080680&amp;Result=3","7080680")</f>
        <v>0</v>
      </c>
      <c r="B4046" t="s">
        <v>1445</v>
      </c>
      <c r="C4046" t="s">
        <v>7387</v>
      </c>
      <c r="D4046" t="s">
        <v>18107</v>
      </c>
      <c r="E4046" t="s">
        <v>21822</v>
      </c>
      <c r="F4046" t="s">
        <v>31362</v>
      </c>
      <c r="G4046" t="s">
        <v>31369</v>
      </c>
      <c r="H4046" t="s">
        <v>15799</v>
      </c>
      <c r="I4046" t="s">
        <v>7090</v>
      </c>
      <c r="J4046" t="s">
        <v>32669</v>
      </c>
      <c r="K4046" t="s">
        <v>40665</v>
      </c>
      <c r="M4046" t="s">
        <v>42474</v>
      </c>
      <c r="N4046" t="s">
        <v>44905</v>
      </c>
      <c r="O4046" t="s">
        <v>44906</v>
      </c>
      <c r="P4046">
        <v>0</v>
      </c>
      <c r="Q4046">
        <v>0</v>
      </c>
      <c r="R4046" t="s">
        <v>44908</v>
      </c>
      <c r="S4046" t="s">
        <v>45042</v>
      </c>
      <c r="T4046" t="s">
        <v>46511</v>
      </c>
      <c r="U4046" t="s">
        <v>50248</v>
      </c>
      <c r="W4046" t="s">
        <v>42474</v>
      </c>
      <c r="X4046" t="s">
        <v>44909</v>
      </c>
    </row>
    <row r="4047" spans="1:24">
      <c r="A4047">
        <f>HYPERLINK("https://www.philgeps.gov.ph/GEPSNONPILOT/Tender/SplashBidNoticeAbstractUI.aspx?menuIndex=3&amp;refID=7080717&amp;Result=3","7080717")</f>
        <v>0</v>
      </c>
      <c r="B4047" t="s">
        <v>1414</v>
      </c>
      <c r="C4047" t="s">
        <v>7388</v>
      </c>
      <c r="D4047" t="s">
        <v>18106</v>
      </c>
      <c r="E4047" t="s">
        <v>21823</v>
      </c>
      <c r="F4047" t="s">
        <v>31362</v>
      </c>
      <c r="G4047" t="s">
        <v>31369</v>
      </c>
      <c r="H4047" t="s">
        <v>31378</v>
      </c>
      <c r="I4047" t="s">
        <v>31386</v>
      </c>
      <c r="J4047" t="s">
        <v>31591</v>
      </c>
      <c r="K4047" t="s">
        <v>40718</v>
      </c>
      <c r="M4047" t="s">
        <v>42439</v>
      </c>
      <c r="N4047" t="s">
        <v>44905</v>
      </c>
      <c r="O4047" t="s">
        <v>44906</v>
      </c>
      <c r="P4047">
        <v>0</v>
      </c>
      <c r="Q4047">
        <v>0</v>
      </c>
      <c r="R4047" t="s">
        <v>44908</v>
      </c>
      <c r="S4047" t="s">
        <v>45042</v>
      </c>
      <c r="T4047" t="s">
        <v>46450</v>
      </c>
      <c r="U4047" t="s">
        <v>50249</v>
      </c>
      <c r="W4047" t="s">
        <v>42439</v>
      </c>
      <c r="X4047" t="s">
        <v>44909</v>
      </c>
    </row>
    <row r="4048" spans="1:24">
      <c r="A4048">
        <f>HYPERLINK("https://www.philgeps.gov.ph/GEPSNONPILOT/Tender/SplashBidNoticeAbstractUI.aspx?menuIndex=3&amp;refID=7080725&amp;Result=3","7080725")</f>
        <v>0</v>
      </c>
      <c r="B4048" t="s">
        <v>232</v>
      </c>
      <c r="C4048" t="s">
        <v>7389</v>
      </c>
      <c r="D4048" t="s">
        <v>18101</v>
      </c>
      <c r="E4048" t="s">
        <v>21824</v>
      </c>
      <c r="F4048" t="s">
        <v>31362</v>
      </c>
      <c r="G4048" t="s">
        <v>31369</v>
      </c>
      <c r="H4048" t="s">
        <v>31378</v>
      </c>
      <c r="I4048" t="s">
        <v>31386</v>
      </c>
      <c r="J4048" t="s">
        <v>34174</v>
      </c>
      <c r="K4048" t="s">
        <v>40665</v>
      </c>
      <c r="M4048" t="s">
        <v>41171</v>
      </c>
      <c r="N4048" t="s">
        <v>44905</v>
      </c>
      <c r="O4048" t="s">
        <v>44906</v>
      </c>
      <c r="P4048">
        <v>0</v>
      </c>
      <c r="Q4048">
        <v>0</v>
      </c>
      <c r="R4048" t="s">
        <v>44908</v>
      </c>
      <c r="S4048" t="s">
        <v>45042</v>
      </c>
      <c r="T4048" t="s">
        <v>46396</v>
      </c>
      <c r="U4048" t="s">
        <v>50250</v>
      </c>
      <c r="V4048" t="s">
        <v>59456</v>
      </c>
      <c r="W4048" t="s">
        <v>41171</v>
      </c>
      <c r="X4048" t="s">
        <v>44909</v>
      </c>
    </row>
    <row r="4049" spans="1:24">
      <c r="A4049">
        <f>HYPERLINK("https://www.philgeps.gov.ph/GEPSNONPILOT/Tender/SplashBidNoticeAbstractUI.aspx?menuIndex=3&amp;refID=7080660&amp;Result=3","7080660")</f>
        <v>0</v>
      </c>
      <c r="B4049" t="s">
        <v>1446</v>
      </c>
      <c r="C4049" t="s">
        <v>7390</v>
      </c>
      <c r="D4049" t="s">
        <v>18108</v>
      </c>
      <c r="E4049" t="s">
        <v>21825</v>
      </c>
      <c r="F4049" t="s">
        <v>31362</v>
      </c>
      <c r="G4049" t="s">
        <v>31368</v>
      </c>
      <c r="H4049" t="s">
        <v>15799</v>
      </c>
      <c r="I4049" t="s">
        <v>6155</v>
      </c>
      <c r="J4049" t="s">
        <v>34175</v>
      </c>
      <c r="K4049" t="s">
        <v>40662</v>
      </c>
      <c r="M4049" t="s">
        <v>42475</v>
      </c>
      <c r="N4049" t="s">
        <v>44905</v>
      </c>
      <c r="O4049" t="s">
        <v>44906</v>
      </c>
      <c r="P4049">
        <v>0</v>
      </c>
      <c r="Q4049">
        <v>24</v>
      </c>
      <c r="R4049" t="s">
        <v>44908</v>
      </c>
      <c r="S4049" t="s">
        <v>45042</v>
      </c>
      <c r="T4049" t="s">
        <v>46498</v>
      </c>
      <c r="U4049" t="s">
        <v>50251</v>
      </c>
      <c r="W4049" t="s">
        <v>42475</v>
      </c>
      <c r="X4049" t="s">
        <v>44909</v>
      </c>
    </row>
    <row r="4050" spans="1:24">
      <c r="A4050">
        <f>HYPERLINK("https://www.philgeps.gov.ph/GEPSNONPILOT/Tender/SplashBidNoticeAbstractUI.aspx?menuIndex=3&amp;refID=7080716&amp;Result=3","7080716")</f>
        <v>0</v>
      </c>
      <c r="B4050" t="s">
        <v>94</v>
      </c>
      <c r="C4050" t="s">
        <v>7391</v>
      </c>
      <c r="D4050" t="s">
        <v>18116</v>
      </c>
      <c r="E4050" t="s">
        <v>21826</v>
      </c>
      <c r="F4050" t="s">
        <v>31362</v>
      </c>
      <c r="G4050" t="s">
        <v>31368</v>
      </c>
      <c r="H4050" t="s">
        <v>15799</v>
      </c>
      <c r="I4050" t="s">
        <v>31422</v>
      </c>
      <c r="J4050" t="s">
        <v>34089</v>
      </c>
      <c r="K4050" t="s">
        <v>40665</v>
      </c>
      <c r="M4050" t="s">
        <v>41031</v>
      </c>
      <c r="N4050" t="s">
        <v>44905</v>
      </c>
      <c r="O4050" t="s">
        <v>44906</v>
      </c>
      <c r="P4050">
        <v>0</v>
      </c>
      <c r="Q4050">
        <v>6</v>
      </c>
      <c r="R4050" t="s">
        <v>44908</v>
      </c>
      <c r="S4050" t="s">
        <v>45042</v>
      </c>
      <c r="T4050" t="s">
        <v>46454</v>
      </c>
      <c r="U4050" t="s">
        <v>50252</v>
      </c>
      <c r="W4050" t="s">
        <v>41031</v>
      </c>
      <c r="X4050" t="s">
        <v>44909</v>
      </c>
    </row>
    <row r="4051" spans="1:24">
      <c r="A4051">
        <f>HYPERLINK("https://www.philgeps.gov.ph/GEPSNONPILOT/Tender/SplashBidNoticeAbstractUI.aspx?menuIndex=3&amp;refID=7080712&amp;Result=3","7080712")</f>
        <v>0</v>
      </c>
      <c r="B4051" t="s">
        <v>1447</v>
      </c>
      <c r="C4051" t="s">
        <v>7392</v>
      </c>
      <c r="D4051" t="s">
        <v>18160</v>
      </c>
      <c r="E4051" t="s">
        <v>21827</v>
      </c>
      <c r="F4051" t="s">
        <v>31362</v>
      </c>
      <c r="G4051" t="s">
        <v>31368</v>
      </c>
      <c r="H4051" t="s">
        <v>15799</v>
      </c>
      <c r="I4051" t="s">
        <v>31393</v>
      </c>
      <c r="J4051" t="s">
        <v>31578</v>
      </c>
      <c r="K4051" t="s">
        <v>40665</v>
      </c>
      <c r="M4051" t="s">
        <v>42476</v>
      </c>
      <c r="N4051" t="s">
        <v>44905</v>
      </c>
      <c r="O4051" t="s">
        <v>44906</v>
      </c>
      <c r="P4051">
        <v>0</v>
      </c>
      <c r="Q4051">
        <v>3</v>
      </c>
      <c r="R4051" t="s">
        <v>44908</v>
      </c>
      <c r="S4051" t="s">
        <v>45042</v>
      </c>
      <c r="T4051" t="s">
        <v>46414</v>
      </c>
      <c r="U4051" t="s">
        <v>50253</v>
      </c>
      <c r="W4051" t="s">
        <v>42476</v>
      </c>
      <c r="X4051" t="s">
        <v>44909</v>
      </c>
    </row>
    <row r="4052" spans="1:24">
      <c r="A4052">
        <f>HYPERLINK("https://www.philgeps.gov.ph/GEPSNONPILOT/Tender/SplashBidNoticeAbstractUI.aspx?menuIndex=3&amp;refID=7080709&amp;Result=3","7080709")</f>
        <v>0</v>
      </c>
      <c r="B4052" t="s">
        <v>238</v>
      </c>
      <c r="C4052" t="s">
        <v>7393</v>
      </c>
      <c r="D4052" t="s">
        <v>18163</v>
      </c>
      <c r="E4052" t="s">
        <v>21828</v>
      </c>
      <c r="F4052" t="s">
        <v>31362</v>
      </c>
      <c r="G4052" t="s">
        <v>31368</v>
      </c>
      <c r="H4052" t="s">
        <v>15799</v>
      </c>
      <c r="I4052" t="s">
        <v>7719</v>
      </c>
      <c r="J4052" t="s">
        <v>34176</v>
      </c>
      <c r="K4052" t="s">
        <v>40666</v>
      </c>
      <c r="M4052" t="s">
        <v>41177</v>
      </c>
      <c r="N4052" t="s">
        <v>44905</v>
      </c>
      <c r="O4052" t="s">
        <v>44906</v>
      </c>
      <c r="P4052">
        <v>0</v>
      </c>
      <c r="Q4052">
        <v>1</v>
      </c>
      <c r="R4052" t="s">
        <v>44908</v>
      </c>
      <c r="S4052" t="s">
        <v>45042</v>
      </c>
      <c r="T4052" t="s">
        <v>46409</v>
      </c>
      <c r="U4052" t="s">
        <v>50254</v>
      </c>
      <c r="W4052" t="s">
        <v>41177</v>
      </c>
      <c r="X4052" t="s">
        <v>44909</v>
      </c>
    </row>
    <row r="4053" spans="1:24">
      <c r="A4053">
        <f>HYPERLINK("https://www.philgeps.gov.ph/GEPSNONPILOT/Tender/SplashBidNoticeAbstractUI.aspx?menuIndex=3&amp;refID=7080641&amp;Result=3","7080641")</f>
        <v>0</v>
      </c>
      <c r="B4053" t="s">
        <v>1203</v>
      </c>
      <c r="C4053" t="s">
        <v>7394</v>
      </c>
      <c r="D4053" t="s">
        <v>18126</v>
      </c>
      <c r="E4053" t="s">
        <v>21829</v>
      </c>
      <c r="F4053" t="s">
        <v>31362</v>
      </c>
      <c r="G4053" t="s">
        <v>31369</v>
      </c>
      <c r="H4053" t="s">
        <v>31378</v>
      </c>
      <c r="I4053" t="s">
        <v>31386</v>
      </c>
      <c r="J4053" t="s">
        <v>34177</v>
      </c>
      <c r="K4053" t="s">
        <v>40682</v>
      </c>
      <c r="M4053" t="s">
        <v>42477</v>
      </c>
      <c r="N4053" t="s">
        <v>44905</v>
      </c>
      <c r="O4053" t="s">
        <v>44906</v>
      </c>
      <c r="P4053">
        <v>0</v>
      </c>
      <c r="Q4053">
        <v>0</v>
      </c>
      <c r="R4053" t="s">
        <v>44908</v>
      </c>
      <c r="S4053" t="s">
        <v>45042</v>
      </c>
      <c r="T4053" t="s">
        <v>46648</v>
      </c>
      <c r="U4053" t="s">
        <v>50255</v>
      </c>
      <c r="W4053" t="s">
        <v>42477</v>
      </c>
      <c r="X4053" t="s">
        <v>44909</v>
      </c>
    </row>
    <row r="4054" spans="1:24">
      <c r="A4054">
        <f>HYPERLINK("https://www.philgeps.gov.ph/GEPSNONPILOT/Tender/SplashBidNoticeAbstractUI.aspx?menuIndex=3&amp;refID=7080708&amp;Result=3","7080708")</f>
        <v>0</v>
      </c>
      <c r="B4054" t="s">
        <v>1429</v>
      </c>
      <c r="C4054" t="s">
        <v>7395</v>
      </c>
      <c r="D4054" t="s">
        <v>18138</v>
      </c>
      <c r="E4054" t="s">
        <v>21830</v>
      </c>
      <c r="F4054" t="s">
        <v>31362</v>
      </c>
      <c r="G4054" t="s">
        <v>31368</v>
      </c>
      <c r="H4054" t="s">
        <v>15799</v>
      </c>
      <c r="I4054" t="s">
        <v>31404</v>
      </c>
      <c r="J4054" t="s">
        <v>31530</v>
      </c>
      <c r="K4054" t="s">
        <v>40661</v>
      </c>
      <c r="M4054" t="s">
        <v>42457</v>
      </c>
      <c r="N4054" t="s">
        <v>44905</v>
      </c>
      <c r="O4054" t="s">
        <v>44906</v>
      </c>
      <c r="P4054">
        <v>0</v>
      </c>
      <c r="Q4054">
        <v>0</v>
      </c>
      <c r="R4054" t="s">
        <v>44908</v>
      </c>
      <c r="S4054" t="s">
        <v>45042</v>
      </c>
      <c r="T4054" t="s">
        <v>46447</v>
      </c>
      <c r="U4054" t="s">
        <v>50256</v>
      </c>
      <c r="W4054" t="s">
        <v>42457</v>
      </c>
      <c r="X4054" t="s">
        <v>44909</v>
      </c>
    </row>
    <row r="4055" spans="1:24">
      <c r="A4055">
        <f>HYPERLINK("https://www.philgeps.gov.ph/GEPSNONPILOT/Tender/SplashBidNoticeAbstractUI.aspx?menuIndex=3&amp;refID=7080706&amp;Result=3","7080706")</f>
        <v>0</v>
      </c>
      <c r="B4055" t="s">
        <v>1374</v>
      </c>
      <c r="C4055" t="s">
        <v>7396</v>
      </c>
      <c r="D4055" t="s">
        <v>18178</v>
      </c>
      <c r="E4055" t="s">
        <v>18648</v>
      </c>
      <c r="F4055" t="s">
        <v>31362</v>
      </c>
      <c r="G4055" t="s">
        <v>31369</v>
      </c>
      <c r="H4055" t="s">
        <v>31378</v>
      </c>
      <c r="I4055" t="s">
        <v>31386</v>
      </c>
      <c r="J4055" t="s">
        <v>34178</v>
      </c>
      <c r="K4055" t="s">
        <v>40661</v>
      </c>
      <c r="M4055" t="s">
        <v>42397</v>
      </c>
      <c r="N4055" t="s">
        <v>44905</v>
      </c>
      <c r="O4055" t="s">
        <v>44906</v>
      </c>
      <c r="P4055">
        <v>0</v>
      </c>
      <c r="Q4055">
        <v>0</v>
      </c>
      <c r="R4055" t="s">
        <v>44908</v>
      </c>
      <c r="S4055" t="s">
        <v>45042</v>
      </c>
      <c r="T4055" t="s">
        <v>46404</v>
      </c>
      <c r="U4055" t="s">
        <v>50257</v>
      </c>
      <c r="W4055" t="s">
        <v>42397</v>
      </c>
      <c r="X4055" t="s">
        <v>44909</v>
      </c>
    </row>
    <row r="4056" spans="1:24">
      <c r="A4056">
        <f>HYPERLINK("https://www.philgeps.gov.ph/GEPSNONPILOT/Tender/SplashBidNoticeAbstractUI.aspx?menuIndex=3&amp;refID=7080720&amp;Result=3","7080720")</f>
        <v>0</v>
      </c>
      <c r="B4056" t="s">
        <v>1448</v>
      </c>
      <c r="C4056" t="s">
        <v>7397</v>
      </c>
      <c r="D4056" t="s">
        <v>18158</v>
      </c>
      <c r="E4056" t="s">
        <v>21831</v>
      </c>
      <c r="F4056" t="s">
        <v>31362</v>
      </c>
      <c r="G4056" t="s">
        <v>31371</v>
      </c>
      <c r="H4056" t="s">
        <v>15799</v>
      </c>
      <c r="I4056" t="s">
        <v>31385</v>
      </c>
      <c r="J4056" t="s">
        <v>34179</v>
      </c>
      <c r="K4056" t="s">
        <v>40666</v>
      </c>
      <c r="M4056" t="s">
        <v>42478</v>
      </c>
      <c r="N4056" t="s">
        <v>44905</v>
      </c>
      <c r="O4056" t="s">
        <v>44906</v>
      </c>
      <c r="P4056">
        <v>0</v>
      </c>
      <c r="Q4056">
        <v>0</v>
      </c>
      <c r="R4056" t="s">
        <v>44908</v>
      </c>
      <c r="S4056" t="s">
        <v>45042</v>
      </c>
      <c r="T4056" t="s">
        <v>46412</v>
      </c>
      <c r="U4056" t="s">
        <v>50258</v>
      </c>
      <c r="W4056" t="s">
        <v>42478</v>
      </c>
      <c r="X4056" t="s">
        <v>44909</v>
      </c>
    </row>
    <row r="4057" spans="1:24">
      <c r="A4057">
        <f>HYPERLINK("https://www.philgeps.gov.ph/GEPSNONPILOT/Tender/SplashBidNoticeAbstractUI.aspx?menuIndex=3&amp;refID=7080699&amp;Result=3","7080699")</f>
        <v>0</v>
      </c>
      <c r="B4057" t="s">
        <v>1262</v>
      </c>
      <c r="C4057" t="s">
        <v>7398</v>
      </c>
      <c r="D4057" t="s">
        <v>18102</v>
      </c>
      <c r="E4057" t="s">
        <v>21832</v>
      </c>
      <c r="F4057" t="s">
        <v>31362</v>
      </c>
      <c r="G4057" t="s">
        <v>31369</v>
      </c>
      <c r="H4057" t="s">
        <v>31378</v>
      </c>
      <c r="I4057" t="s">
        <v>31386</v>
      </c>
      <c r="J4057" t="s">
        <v>31591</v>
      </c>
      <c r="K4057" t="s">
        <v>40662</v>
      </c>
      <c r="M4057" t="s">
        <v>42278</v>
      </c>
      <c r="N4057" t="s">
        <v>44905</v>
      </c>
      <c r="O4057" t="s">
        <v>44906</v>
      </c>
      <c r="P4057">
        <v>0</v>
      </c>
      <c r="Q4057">
        <v>0</v>
      </c>
      <c r="R4057" t="s">
        <v>44908</v>
      </c>
      <c r="S4057" t="s">
        <v>45042</v>
      </c>
      <c r="T4057" t="s">
        <v>46415</v>
      </c>
      <c r="U4057" t="s">
        <v>50259</v>
      </c>
      <c r="W4057" t="s">
        <v>42278</v>
      </c>
      <c r="X4057" t="s">
        <v>44909</v>
      </c>
    </row>
    <row r="4058" spans="1:24">
      <c r="A4058">
        <f>HYPERLINK("https://www.philgeps.gov.ph/GEPSNONPILOT/Tender/SplashBidNoticeAbstractUI.aspx?menuIndex=3&amp;refID=7080719&amp;Result=3","7080719")</f>
        <v>0</v>
      </c>
      <c r="B4058" t="s">
        <v>1445</v>
      </c>
      <c r="C4058" t="s">
        <v>7399</v>
      </c>
      <c r="D4058" t="s">
        <v>18107</v>
      </c>
      <c r="E4058" t="s">
        <v>21833</v>
      </c>
      <c r="F4058" t="s">
        <v>31362</v>
      </c>
      <c r="G4058" t="s">
        <v>31369</v>
      </c>
      <c r="H4058" t="s">
        <v>15799</v>
      </c>
      <c r="I4058" t="s">
        <v>3815</v>
      </c>
      <c r="J4058" t="s">
        <v>33089</v>
      </c>
      <c r="K4058" t="s">
        <v>40665</v>
      </c>
      <c r="M4058" t="s">
        <v>42474</v>
      </c>
      <c r="N4058" t="s">
        <v>44905</v>
      </c>
      <c r="O4058" t="s">
        <v>44906</v>
      </c>
      <c r="P4058">
        <v>0</v>
      </c>
      <c r="Q4058">
        <v>0</v>
      </c>
      <c r="R4058" t="s">
        <v>44908</v>
      </c>
      <c r="S4058" t="s">
        <v>45042</v>
      </c>
      <c r="T4058" t="s">
        <v>46511</v>
      </c>
      <c r="U4058" t="s">
        <v>50260</v>
      </c>
      <c r="W4058" t="s">
        <v>42474</v>
      </c>
      <c r="X4058" t="s">
        <v>44909</v>
      </c>
    </row>
    <row r="4059" spans="1:24">
      <c r="A4059">
        <f>HYPERLINK("https://www.philgeps.gov.ph/GEPSNONPILOT/Tender/SplashBidNoticeAbstractUI.aspx?menuIndex=3&amp;refID=7080678&amp;Result=3","7080678")</f>
        <v>0</v>
      </c>
      <c r="B4059" t="s">
        <v>1449</v>
      </c>
      <c r="C4059" t="s">
        <v>7400</v>
      </c>
      <c r="E4059" t="s">
        <v>20227</v>
      </c>
      <c r="F4059" t="s">
        <v>31362</v>
      </c>
      <c r="G4059" t="s">
        <v>31373</v>
      </c>
      <c r="H4059" t="s">
        <v>15799</v>
      </c>
      <c r="I4059" t="s">
        <v>31393</v>
      </c>
      <c r="J4059" t="s">
        <v>34180</v>
      </c>
      <c r="K4059" t="s">
        <v>40662</v>
      </c>
      <c r="M4059" t="s">
        <v>42479</v>
      </c>
      <c r="N4059" t="s">
        <v>44905</v>
      </c>
      <c r="O4059" t="s">
        <v>44906</v>
      </c>
      <c r="P4059">
        <v>0</v>
      </c>
      <c r="Q4059">
        <v>7</v>
      </c>
      <c r="R4059" t="s">
        <v>44908</v>
      </c>
      <c r="S4059" t="s">
        <v>45042</v>
      </c>
      <c r="T4059" t="s">
        <v>46671</v>
      </c>
      <c r="U4059" t="s">
        <v>50261</v>
      </c>
      <c r="W4059" t="s">
        <v>42479</v>
      </c>
      <c r="X4059" t="s">
        <v>44909</v>
      </c>
    </row>
    <row r="4060" spans="1:24">
      <c r="A4060">
        <f>HYPERLINK("https://www.philgeps.gov.ph/GEPSNONPILOT/Tender/SplashBidNoticeAbstractUI.aspx?menuIndex=3&amp;refID=7080676&amp;Result=3","7080676")</f>
        <v>0</v>
      </c>
      <c r="B4060" t="s">
        <v>267</v>
      </c>
      <c r="C4060" t="s">
        <v>7401</v>
      </c>
      <c r="D4060" t="s">
        <v>18154</v>
      </c>
      <c r="E4060" t="s">
        <v>21834</v>
      </c>
      <c r="F4060" t="s">
        <v>31362</v>
      </c>
      <c r="G4060" t="s">
        <v>31369</v>
      </c>
      <c r="H4060" t="s">
        <v>15799</v>
      </c>
      <c r="I4060" t="s">
        <v>13635</v>
      </c>
      <c r="J4060" t="s">
        <v>32966</v>
      </c>
      <c r="K4060" t="s">
        <v>40670</v>
      </c>
      <c r="M4060" t="s">
        <v>41208</v>
      </c>
      <c r="N4060" t="s">
        <v>44905</v>
      </c>
      <c r="O4060" t="s">
        <v>44906</v>
      </c>
      <c r="P4060">
        <v>0</v>
      </c>
      <c r="Q4060">
        <v>0</v>
      </c>
      <c r="R4060" t="s">
        <v>44908</v>
      </c>
      <c r="S4060" t="s">
        <v>45042</v>
      </c>
      <c r="T4060" t="s">
        <v>46470</v>
      </c>
      <c r="U4060" t="s">
        <v>50262</v>
      </c>
      <c r="W4060" t="s">
        <v>41208</v>
      </c>
      <c r="X4060" t="s">
        <v>44909</v>
      </c>
    </row>
    <row r="4061" spans="1:24">
      <c r="A4061">
        <f>HYPERLINK("https://www.philgeps.gov.ph/GEPSNONPILOT/Tender/SplashBidNoticeAbstractUI.aspx?menuIndex=3&amp;refID=7080671&amp;Result=3","7080671")</f>
        <v>0</v>
      </c>
      <c r="B4061" t="s">
        <v>1396</v>
      </c>
      <c r="C4061" t="s">
        <v>7402</v>
      </c>
      <c r="D4061" t="s">
        <v>18122</v>
      </c>
      <c r="E4061" t="s">
        <v>21835</v>
      </c>
      <c r="F4061" t="s">
        <v>31362</v>
      </c>
      <c r="G4061" t="s">
        <v>31368</v>
      </c>
      <c r="H4061" t="s">
        <v>15799</v>
      </c>
      <c r="I4061" t="s">
        <v>3815</v>
      </c>
      <c r="J4061" t="s">
        <v>31536</v>
      </c>
      <c r="K4061" t="s">
        <v>40661</v>
      </c>
      <c r="M4061" t="s">
        <v>42421</v>
      </c>
      <c r="N4061" t="s">
        <v>44905</v>
      </c>
      <c r="O4061" t="s">
        <v>44906</v>
      </c>
      <c r="P4061">
        <v>0</v>
      </c>
      <c r="Q4061">
        <v>0</v>
      </c>
      <c r="R4061" t="s">
        <v>44908</v>
      </c>
      <c r="S4061" t="s">
        <v>45042</v>
      </c>
      <c r="T4061" t="s">
        <v>46509</v>
      </c>
      <c r="U4061" t="s">
        <v>50263</v>
      </c>
      <c r="V4061" t="s">
        <v>59457</v>
      </c>
      <c r="W4061" t="s">
        <v>42421</v>
      </c>
      <c r="X4061" t="s">
        <v>44909</v>
      </c>
    </row>
    <row r="4062" spans="1:24">
      <c r="A4062">
        <f>HYPERLINK("https://www.philgeps.gov.ph/GEPSNONPILOT/Tender/SplashBidNoticeAbstractUI.aspx?menuIndex=3&amp;refID=7080658&amp;Result=3","7080658")</f>
        <v>0</v>
      </c>
      <c r="B4062" t="s">
        <v>1414</v>
      </c>
      <c r="C4062" t="s">
        <v>7403</v>
      </c>
      <c r="D4062" t="s">
        <v>18106</v>
      </c>
      <c r="E4062" t="s">
        <v>21836</v>
      </c>
      <c r="F4062" t="s">
        <v>31362</v>
      </c>
      <c r="G4062" t="s">
        <v>31369</v>
      </c>
      <c r="H4062" t="s">
        <v>31378</v>
      </c>
      <c r="I4062" t="s">
        <v>31386</v>
      </c>
      <c r="J4062" t="s">
        <v>31734</v>
      </c>
      <c r="K4062" t="s">
        <v>40677</v>
      </c>
      <c r="M4062" t="s">
        <v>42439</v>
      </c>
      <c r="N4062" t="s">
        <v>44905</v>
      </c>
      <c r="O4062" t="s">
        <v>44906</v>
      </c>
      <c r="P4062">
        <v>0</v>
      </c>
      <c r="Q4062">
        <v>0</v>
      </c>
      <c r="R4062" t="s">
        <v>44908</v>
      </c>
      <c r="S4062" t="s">
        <v>45042</v>
      </c>
      <c r="T4062" t="s">
        <v>46450</v>
      </c>
      <c r="U4062" t="s">
        <v>50264</v>
      </c>
      <c r="W4062" t="s">
        <v>42439</v>
      </c>
      <c r="X4062" t="s">
        <v>44909</v>
      </c>
    </row>
    <row r="4063" spans="1:24">
      <c r="A4063">
        <f>HYPERLINK("https://www.philgeps.gov.ph/GEPSNONPILOT/Tender/SplashBidNoticeAbstractUI.aspx?menuIndex=3&amp;refID=7080742&amp;Result=3","7080742")</f>
        <v>0</v>
      </c>
      <c r="B4063" t="s">
        <v>1440</v>
      </c>
      <c r="C4063" t="s">
        <v>7404</v>
      </c>
      <c r="D4063" t="s">
        <v>18115</v>
      </c>
      <c r="E4063" t="s">
        <v>19962</v>
      </c>
      <c r="F4063" t="s">
        <v>31362</v>
      </c>
      <c r="G4063" t="s">
        <v>31368</v>
      </c>
      <c r="H4063" t="s">
        <v>15799</v>
      </c>
      <c r="I4063" t="s">
        <v>4283</v>
      </c>
      <c r="J4063" t="s">
        <v>34181</v>
      </c>
      <c r="K4063" t="s">
        <v>40665</v>
      </c>
      <c r="M4063" t="s">
        <v>42469</v>
      </c>
      <c r="N4063" t="s">
        <v>44905</v>
      </c>
      <c r="O4063" t="s">
        <v>44906</v>
      </c>
      <c r="P4063">
        <v>0</v>
      </c>
      <c r="Q4063">
        <v>4</v>
      </c>
      <c r="R4063" t="s">
        <v>44908</v>
      </c>
      <c r="S4063" t="s">
        <v>45042</v>
      </c>
      <c r="T4063" t="s">
        <v>46414</v>
      </c>
      <c r="U4063" t="s">
        <v>50265</v>
      </c>
      <c r="W4063" t="s">
        <v>42469</v>
      </c>
      <c r="X4063" t="s">
        <v>44909</v>
      </c>
    </row>
    <row r="4064" spans="1:24">
      <c r="A4064">
        <f>HYPERLINK("https://www.philgeps.gov.ph/GEPSNONPILOT/Tender/SplashBidNoticeAbstractUI.aspx?menuIndex=3&amp;refID=7080677&amp;Result=3","7080677")</f>
        <v>0</v>
      </c>
      <c r="B4064" t="s">
        <v>672</v>
      </c>
      <c r="C4064" t="s">
        <v>7405</v>
      </c>
      <c r="D4064" t="s">
        <v>18103</v>
      </c>
      <c r="E4064" t="s">
        <v>21837</v>
      </c>
      <c r="F4064" t="s">
        <v>31362</v>
      </c>
      <c r="G4064" t="s">
        <v>31369</v>
      </c>
      <c r="H4064" t="s">
        <v>31378</v>
      </c>
      <c r="I4064" t="s">
        <v>31386</v>
      </c>
      <c r="J4064" t="s">
        <v>34182</v>
      </c>
      <c r="K4064" t="s">
        <v>40679</v>
      </c>
      <c r="M4064" t="s">
        <v>41634</v>
      </c>
      <c r="N4064" t="s">
        <v>44905</v>
      </c>
      <c r="O4064" t="s">
        <v>44906</v>
      </c>
      <c r="P4064">
        <v>0</v>
      </c>
      <c r="Q4064">
        <v>3</v>
      </c>
      <c r="R4064" t="s">
        <v>44908</v>
      </c>
      <c r="S4064" t="s">
        <v>45042</v>
      </c>
      <c r="T4064" t="s">
        <v>46429</v>
      </c>
      <c r="U4064" t="s">
        <v>50090</v>
      </c>
      <c r="W4064" t="s">
        <v>60863</v>
      </c>
      <c r="X4064" t="s">
        <v>44909</v>
      </c>
    </row>
    <row r="4065" spans="1:24">
      <c r="A4065">
        <f>HYPERLINK("https://www.philgeps.gov.ph/GEPSNONPILOT/Tender/SplashBidNoticeAbstractUI.aspx?menuIndex=3&amp;refID=7080672&amp;Result=3","7080672")</f>
        <v>0</v>
      </c>
      <c r="B4065" t="s">
        <v>1262</v>
      </c>
      <c r="C4065" t="s">
        <v>7406</v>
      </c>
      <c r="D4065" t="s">
        <v>18102</v>
      </c>
      <c r="E4065" t="s">
        <v>21838</v>
      </c>
      <c r="F4065" t="s">
        <v>31362</v>
      </c>
      <c r="G4065" t="s">
        <v>31369</v>
      </c>
      <c r="H4065" t="s">
        <v>31378</v>
      </c>
      <c r="I4065" t="s">
        <v>31386</v>
      </c>
      <c r="J4065" t="s">
        <v>31578</v>
      </c>
      <c r="K4065" t="s">
        <v>40662</v>
      </c>
      <c r="M4065" t="s">
        <v>42278</v>
      </c>
      <c r="N4065" t="s">
        <v>44905</v>
      </c>
      <c r="O4065" t="s">
        <v>44906</v>
      </c>
      <c r="P4065">
        <v>0</v>
      </c>
      <c r="Q4065">
        <v>0</v>
      </c>
      <c r="R4065" t="s">
        <v>44908</v>
      </c>
      <c r="S4065" t="s">
        <v>45042</v>
      </c>
      <c r="T4065" t="s">
        <v>46415</v>
      </c>
      <c r="U4065" t="s">
        <v>50266</v>
      </c>
      <c r="W4065" t="s">
        <v>42278</v>
      </c>
      <c r="X4065" t="s">
        <v>44909</v>
      </c>
    </row>
    <row r="4066" spans="1:24">
      <c r="A4066">
        <f>HYPERLINK("https://www.philgeps.gov.ph/GEPSNONPILOT/Tender/SplashBidNoticeAbstractUI.aspx?menuIndex=3&amp;refID=7080711&amp;Result=3","7080711")</f>
        <v>0</v>
      </c>
      <c r="B4066" t="s">
        <v>1450</v>
      </c>
      <c r="C4066" t="s">
        <v>7407</v>
      </c>
      <c r="D4066" t="s">
        <v>18101</v>
      </c>
      <c r="E4066" t="s">
        <v>20367</v>
      </c>
      <c r="F4066" t="s">
        <v>31362</v>
      </c>
      <c r="G4066" t="s">
        <v>31369</v>
      </c>
      <c r="H4066" t="s">
        <v>31378</v>
      </c>
      <c r="I4066" t="s">
        <v>31386</v>
      </c>
      <c r="J4066" t="s">
        <v>34183</v>
      </c>
      <c r="K4066" t="s">
        <v>40677</v>
      </c>
      <c r="M4066" t="s">
        <v>42480</v>
      </c>
      <c r="N4066" t="s">
        <v>44905</v>
      </c>
      <c r="O4066" t="s">
        <v>44906</v>
      </c>
      <c r="P4066">
        <v>0</v>
      </c>
      <c r="Q4066">
        <v>0</v>
      </c>
      <c r="R4066" t="s">
        <v>44908</v>
      </c>
      <c r="S4066" t="s">
        <v>45042</v>
      </c>
      <c r="T4066" t="s">
        <v>46499</v>
      </c>
      <c r="U4066" t="s">
        <v>50267</v>
      </c>
      <c r="W4066" t="s">
        <v>42480</v>
      </c>
      <c r="X4066" t="s">
        <v>44909</v>
      </c>
    </row>
    <row r="4067" spans="1:24">
      <c r="A4067">
        <f>HYPERLINK("https://www.philgeps.gov.ph/GEPSNONPILOT/Tender/SplashBidNoticeAbstractUI.aspx?menuIndex=3&amp;refID=7080710&amp;Result=3","7080710")</f>
        <v>0</v>
      </c>
      <c r="B4067" t="s">
        <v>1451</v>
      </c>
      <c r="C4067" t="s">
        <v>7408</v>
      </c>
      <c r="D4067" t="s">
        <v>18138</v>
      </c>
      <c r="E4067" t="s">
        <v>21839</v>
      </c>
      <c r="F4067" t="s">
        <v>31362</v>
      </c>
      <c r="G4067" t="s">
        <v>31368</v>
      </c>
      <c r="H4067" t="s">
        <v>15799</v>
      </c>
      <c r="I4067" t="s">
        <v>3582</v>
      </c>
      <c r="J4067" t="s">
        <v>34184</v>
      </c>
      <c r="K4067" t="s">
        <v>40661</v>
      </c>
      <c r="M4067" t="s">
        <v>42481</v>
      </c>
      <c r="N4067" t="s">
        <v>44905</v>
      </c>
      <c r="O4067" t="s">
        <v>44906</v>
      </c>
      <c r="P4067">
        <v>0</v>
      </c>
      <c r="Q4067">
        <v>2</v>
      </c>
      <c r="R4067" t="s">
        <v>44908</v>
      </c>
      <c r="S4067" t="s">
        <v>45042</v>
      </c>
      <c r="T4067" t="s">
        <v>46498</v>
      </c>
      <c r="U4067" t="s">
        <v>50268</v>
      </c>
      <c r="W4067" t="s">
        <v>42481</v>
      </c>
      <c r="X4067" t="s">
        <v>44909</v>
      </c>
    </row>
    <row r="4068" spans="1:24">
      <c r="A4068">
        <f>HYPERLINK("https://www.philgeps.gov.ph/GEPSNONPILOT/Tender/SplashBidNoticeAbstractUI.aspx?menuIndex=3&amp;refID=7080755&amp;Result=3","7080755")</f>
        <v>0</v>
      </c>
      <c r="B4068" t="s">
        <v>672</v>
      </c>
      <c r="C4068" t="s">
        <v>7409</v>
      </c>
      <c r="D4068" t="s">
        <v>18103</v>
      </c>
      <c r="E4068" t="s">
        <v>21840</v>
      </c>
      <c r="F4068" t="s">
        <v>31362</v>
      </c>
      <c r="G4068" t="s">
        <v>31369</v>
      </c>
      <c r="H4068" t="s">
        <v>31378</v>
      </c>
      <c r="I4068" t="s">
        <v>31386</v>
      </c>
      <c r="J4068" t="s">
        <v>34185</v>
      </c>
      <c r="K4068" t="s">
        <v>40694</v>
      </c>
      <c r="M4068" t="s">
        <v>41634</v>
      </c>
      <c r="N4068" t="s">
        <v>44905</v>
      </c>
      <c r="O4068" t="s">
        <v>44906</v>
      </c>
      <c r="P4068">
        <v>0</v>
      </c>
      <c r="Q4068">
        <v>4</v>
      </c>
      <c r="R4068" t="s">
        <v>44908</v>
      </c>
      <c r="S4068" t="s">
        <v>45042</v>
      </c>
      <c r="T4068" t="s">
        <v>46429</v>
      </c>
      <c r="U4068" t="s">
        <v>50090</v>
      </c>
      <c r="W4068" t="s">
        <v>60863</v>
      </c>
      <c r="X4068" t="s">
        <v>44909</v>
      </c>
    </row>
    <row r="4069" spans="1:24">
      <c r="A4069">
        <f>HYPERLINK("https://www.philgeps.gov.ph/GEPSNONPILOT/Tender/SplashBidNoticeAbstractUI.aspx?menuIndex=3&amp;refID=7080700&amp;Result=3","7080700")</f>
        <v>0</v>
      </c>
      <c r="B4069" t="s">
        <v>1452</v>
      </c>
      <c r="C4069" t="s">
        <v>7410</v>
      </c>
      <c r="D4069" t="s">
        <v>18113</v>
      </c>
      <c r="E4069" t="s">
        <v>21841</v>
      </c>
      <c r="F4069" t="s">
        <v>31362</v>
      </c>
      <c r="G4069" t="s">
        <v>31368</v>
      </c>
      <c r="H4069" t="s">
        <v>15799</v>
      </c>
      <c r="I4069" t="s">
        <v>6240</v>
      </c>
      <c r="J4069" t="s">
        <v>34186</v>
      </c>
      <c r="K4069" t="s">
        <v>40682</v>
      </c>
      <c r="M4069" t="s">
        <v>42482</v>
      </c>
      <c r="N4069" t="s">
        <v>44905</v>
      </c>
      <c r="O4069" t="s">
        <v>44906</v>
      </c>
      <c r="P4069">
        <v>0</v>
      </c>
      <c r="Q4069">
        <v>0</v>
      </c>
      <c r="R4069" t="s">
        <v>44908</v>
      </c>
      <c r="S4069" t="s">
        <v>45042</v>
      </c>
      <c r="T4069" t="s">
        <v>46411</v>
      </c>
      <c r="U4069" t="s">
        <v>50269</v>
      </c>
      <c r="W4069" t="s">
        <v>60895</v>
      </c>
      <c r="X4069" t="s">
        <v>44909</v>
      </c>
    </row>
    <row r="4070" spans="1:24">
      <c r="A4070">
        <f>HYPERLINK("https://www.philgeps.gov.ph/GEPSNONPILOT/Tender/SplashBidNoticeAbstractUI.aspx?menuIndex=3&amp;refID=7080747&amp;Result=3","7080747")</f>
        <v>0</v>
      </c>
      <c r="B4070" t="s">
        <v>232</v>
      </c>
      <c r="C4070" t="s">
        <v>7411</v>
      </c>
      <c r="D4070" t="s">
        <v>18101</v>
      </c>
      <c r="E4070" t="s">
        <v>21842</v>
      </c>
      <c r="F4070" t="s">
        <v>31362</v>
      </c>
      <c r="G4070" t="s">
        <v>31369</v>
      </c>
      <c r="H4070" t="s">
        <v>15799</v>
      </c>
      <c r="I4070" t="s">
        <v>31386</v>
      </c>
      <c r="J4070" t="s">
        <v>34174</v>
      </c>
      <c r="K4070" t="s">
        <v>40661</v>
      </c>
      <c r="M4070" t="s">
        <v>41171</v>
      </c>
      <c r="N4070" t="s">
        <v>44905</v>
      </c>
      <c r="O4070" t="s">
        <v>44906</v>
      </c>
      <c r="P4070">
        <v>0</v>
      </c>
      <c r="Q4070">
        <v>0</v>
      </c>
      <c r="R4070" t="s">
        <v>44908</v>
      </c>
      <c r="S4070" t="s">
        <v>45042</v>
      </c>
      <c r="T4070" t="s">
        <v>46396</v>
      </c>
      <c r="U4070" t="s">
        <v>50250</v>
      </c>
      <c r="V4070" t="s">
        <v>59456</v>
      </c>
      <c r="W4070" t="s">
        <v>41171</v>
      </c>
      <c r="X4070" t="s">
        <v>44909</v>
      </c>
    </row>
    <row r="4071" spans="1:24">
      <c r="A4071">
        <f>HYPERLINK("https://www.philgeps.gov.ph/GEPSNONPILOT/Tender/SplashBidNoticeAbstractUI.aspx?menuIndex=3&amp;refID=7080746&amp;Result=3","7080746")</f>
        <v>0</v>
      </c>
      <c r="B4071" t="s">
        <v>534</v>
      </c>
      <c r="C4071" t="s">
        <v>7412</v>
      </c>
      <c r="D4071" t="s">
        <v>18131</v>
      </c>
      <c r="E4071" t="s">
        <v>21843</v>
      </c>
      <c r="F4071" t="s">
        <v>31362</v>
      </c>
      <c r="G4071" t="s">
        <v>31368</v>
      </c>
      <c r="H4071" t="s">
        <v>15799</v>
      </c>
      <c r="I4071" t="s">
        <v>31380</v>
      </c>
      <c r="J4071" t="s">
        <v>31536</v>
      </c>
      <c r="K4071" t="s">
        <v>40670</v>
      </c>
      <c r="M4071" t="s">
        <v>41490</v>
      </c>
      <c r="N4071" t="s">
        <v>44905</v>
      </c>
      <c r="O4071" t="s">
        <v>44906</v>
      </c>
      <c r="P4071">
        <v>0</v>
      </c>
      <c r="Q4071">
        <v>7</v>
      </c>
      <c r="R4071" t="s">
        <v>44908</v>
      </c>
      <c r="S4071" t="s">
        <v>45042</v>
      </c>
      <c r="T4071" t="s">
        <v>46435</v>
      </c>
      <c r="U4071" t="s">
        <v>50270</v>
      </c>
      <c r="W4071" t="s">
        <v>41490</v>
      </c>
      <c r="X4071" t="s">
        <v>44909</v>
      </c>
    </row>
    <row r="4072" spans="1:24">
      <c r="A4072">
        <f>HYPERLINK("https://www.philgeps.gov.ph/GEPSNONPILOT/Tender/SplashBidNoticeAbstractUI.aspx?menuIndex=3&amp;refID=7080745&amp;Result=3","7080745")</f>
        <v>0</v>
      </c>
      <c r="B4072" t="s">
        <v>1134</v>
      </c>
      <c r="C4072" t="s">
        <v>7413</v>
      </c>
      <c r="D4072" t="s">
        <v>18134</v>
      </c>
      <c r="E4072" t="s">
        <v>21844</v>
      </c>
      <c r="F4072" t="s">
        <v>31362</v>
      </c>
      <c r="G4072" t="s">
        <v>31369</v>
      </c>
      <c r="H4072" t="s">
        <v>31378</v>
      </c>
      <c r="I4072" t="s">
        <v>31386</v>
      </c>
      <c r="J4072" t="s">
        <v>34187</v>
      </c>
      <c r="K4072" t="s">
        <v>40692</v>
      </c>
      <c r="M4072" t="s">
        <v>42483</v>
      </c>
      <c r="N4072" t="s">
        <v>44905</v>
      </c>
      <c r="O4072" t="s">
        <v>44906</v>
      </c>
      <c r="P4072">
        <v>0</v>
      </c>
      <c r="Q4072">
        <v>0</v>
      </c>
      <c r="R4072" t="s">
        <v>44908</v>
      </c>
      <c r="S4072" t="s">
        <v>45042</v>
      </c>
      <c r="T4072" t="s">
        <v>46395</v>
      </c>
      <c r="U4072" t="s">
        <v>50271</v>
      </c>
      <c r="W4072" t="s">
        <v>42483</v>
      </c>
      <c r="X4072" t="s">
        <v>44909</v>
      </c>
    </row>
    <row r="4073" spans="1:24">
      <c r="A4073">
        <f>HYPERLINK("https://www.philgeps.gov.ph/GEPSNONPILOT/Tender/SplashBidNoticeAbstractUI.aspx?menuIndex=3&amp;refID=7080674&amp;Result=3","7080674")</f>
        <v>0</v>
      </c>
      <c r="B4073" t="s">
        <v>1453</v>
      </c>
      <c r="C4073" t="s">
        <v>7414</v>
      </c>
      <c r="D4073" t="s">
        <v>18101</v>
      </c>
      <c r="E4073" t="s">
        <v>21845</v>
      </c>
      <c r="F4073" t="s">
        <v>31362</v>
      </c>
      <c r="G4073" t="s">
        <v>31371</v>
      </c>
      <c r="H4073" t="s">
        <v>15799</v>
      </c>
      <c r="I4073" t="s">
        <v>31400</v>
      </c>
      <c r="J4073" t="s">
        <v>34188</v>
      </c>
      <c r="K4073" t="s">
        <v>40666</v>
      </c>
      <c r="M4073" t="s">
        <v>42484</v>
      </c>
      <c r="N4073" t="s">
        <v>44905</v>
      </c>
      <c r="O4073" t="s">
        <v>44906</v>
      </c>
      <c r="P4073">
        <v>0</v>
      </c>
      <c r="Q4073">
        <v>0</v>
      </c>
      <c r="R4073" t="s">
        <v>44908</v>
      </c>
      <c r="S4073" t="s">
        <v>45042</v>
      </c>
      <c r="T4073" t="s">
        <v>46403</v>
      </c>
      <c r="U4073" t="s">
        <v>50272</v>
      </c>
      <c r="W4073" t="s">
        <v>42484</v>
      </c>
      <c r="X4073" t="s">
        <v>44909</v>
      </c>
    </row>
    <row r="4074" spans="1:24">
      <c r="A4074">
        <f>HYPERLINK("https://www.philgeps.gov.ph/GEPSNONPILOT/Tender/SplashBidNoticeAbstractUI.aspx?menuIndex=3&amp;refID=7080744&amp;Result=3","7080744")</f>
        <v>0</v>
      </c>
      <c r="B4074" t="s">
        <v>1454</v>
      </c>
      <c r="C4074" t="s">
        <v>7415</v>
      </c>
      <c r="D4074" t="s">
        <v>18146</v>
      </c>
      <c r="E4074" t="s">
        <v>21846</v>
      </c>
      <c r="F4074" t="s">
        <v>31362</v>
      </c>
      <c r="G4074" t="s">
        <v>31368</v>
      </c>
      <c r="H4074" t="s">
        <v>15799</v>
      </c>
      <c r="I4074" t="s">
        <v>3815</v>
      </c>
      <c r="J4074" t="s">
        <v>34189</v>
      </c>
      <c r="K4074" t="s">
        <v>40661</v>
      </c>
      <c r="M4074" t="s">
        <v>42485</v>
      </c>
      <c r="N4074" t="s">
        <v>44905</v>
      </c>
      <c r="O4074" t="s">
        <v>44906</v>
      </c>
      <c r="P4074">
        <v>0</v>
      </c>
      <c r="Q4074">
        <v>0</v>
      </c>
      <c r="R4074" t="s">
        <v>44908</v>
      </c>
      <c r="S4074" t="s">
        <v>45042</v>
      </c>
      <c r="T4074" t="s">
        <v>46409</v>
      </c>
      <c r="U4074" t="s">
        <v>50273</v>
      </c>
      <c r="V4074" t="s">
        <v>59458</v>
      </c>
      <c r="W4074" t="s">
        <v>42485</v>
      </c>
      <c r="X4074" t="s">
        <v>44909</v>
      </c>
    </row>
    <row r="4075" spans="1:24">
      <c r="A4075">
        <f>HYPERLINK("https://www.philgeps.gov.ph/GEPSNONPILOT/Tender/SplashBidNoticeAbstractUI.aspx?menuIndex=3&amp;refID=7080743&amp;Result=3","7080743")</f>
        <v>0</v>
      </c>
      <c r="B4075" t="s">
        <v>676</v>
      </c>
      <c r="C4075" t="s">
        <v>7416</v>
      </c>
      <c r="D4075" t="s">
        <v>18134</v>
      </c>
      <c r="E4075" t="s">
        <v>21847</v>
      </c>
      <c r="F4075" t="s">
        <v>31362</v>
      </c>
      <c r="G4075" t="s">
        <v>31368</v>
      </c>
      <c r="H4075" t="s">
        <v>15799</v>
      </c>
      <c r="I4075" t="s">
        <v>4057</v>
      </c>
      <c r="J4075" t="s">
        <v>31724</v>
      </c>
      <c r="K4075" t="s">
        <v>40661</v>
      </c>
      <c r="M4075" t="s">
        <v>41638</v>
      </c>
      <c r="N4075" t="s">
        <v>44905</v>
      </c>
      <c r="O4075" t="s">
        <v>44906</v>
      </c>
      <c r="P4075">
        <v>0</v>
      </c>
      <c r="Q4075">
        <v>1</v>
      </c>
      <c r="R4075" t="s">
        <v>44908</v>
      </c>
      <c r="S4075" t="s">
        <v>45042</v>
      </c>
      <c r="T4075" t="s">
        <v>46414</v>
      </c>
      <c r="U4075" t="s">
        <v>49439</v>
      </c>
      <c r="W4075" t="s">
        <v>41638</v>
      </c>
      <c r="X4075" t="s">
        <v>44909</v>
      </c>
    </row>
    <row r="4076" spans="1:24">
      <c r="A4076">
        <f>HYPERLINK("https://www.philgeps.gov.ph/GEPSNONPILOT/Tender/SplashBidNoticeAbstractUI.aspx?menuIndex=3&amp;refID=7080752&amp;Result=3","7080752")</f>
        <v>0</v>
      </c>
      <c r="B4076" t="s">
        <v>1455</v>
      </c>
      <c r="C4076" t="s">
        <v>7417</v>
      </c>
      <c r="E4076" t="s">
        <v>21848</v>
      </c>
      <c r="F4076" t="s">
        <v>31362</v>
      </c>
      <c r="G4076" t="s">
        <v>31369</v>
      </c>
      <c r="H4076" t="s">
        <v>31377</v>
      </c>
      <c r="I4076" t="s">
        <v>31377</v>
      </c>
      <c r="J4076" t="s">
        <v>34190</v>
      </c>
      <c r="K4076" t="s">
        <v>40754</v>
      </c>
      <c r="M4076" t="s">
        <v>42486</v>
      </c>
      <c r="N4076" t="s">
        <v>44905</v>
      </c>
      <c r="O4076" t="s">
        <v>44906</v>
      </c>
      <c r="P4076">
        <v>0</v>
      </c>
      <c r="Q4076">
        <v>1</v>
      </c>
      <c r="R4076" t="s">
        <v>44908</v>
      </c>
      <c r="S4076" t="s">
        <v>45042</v>
      </c>
      <c r="T4076" t="s">
        <v>46426</v>
      </c>
      <c r="U4076" t="s">
        <v>50274</v>
      </c>
      <c r="W4076" t="s">
        <v>42486</v>
      </c>
      <c r="X4076" t="s">
        <v>44909</v>
      </c>
    </row>
    <row r="4077" spans="1:24">
      <c r="A4077">
        <f>HYPERLINK("https://www.philgeps.gov.ph/GEPSNONPILOT/Tender/SplashBidNoticeAbstractUI.aspx?menuIndex=3&amp;refID=7080739&amp;Result=3","7080739")</f>
        <v>0</v>
      </c>
      <c r="B4077" t="s">
        <v>473</v>
      </c>
      <c r="C4077" t="s">
        <v>7418</v>
      </c>
      <c r="D4077" t="s">
        <v>18114</v>
      </c>
      <c r="E4077" t="s">
        <v>21849</v>
      </c>
      <c r="F4077" t="s">
        <v>31362</v>
      </c>
      <c r="G4077" t="s">
        <v>31370</v>
      </c>
      <c r="H4077" t="s">
        <v>15799</v>
      </c>
      <c r="I4077" t="s">
        <v>31380</v>
      </c>
      <c r="J4077" t="s">
        <v>31564</v>
      </c>
      <c r="K4077" t="s">
        <v>40697</v>
      </c>
      <c r="M4077" t="s">
        <v>41955</v>
      </c>
      <c r="N4077" t="s">
        <v>44905</v>
      </c>
      <c r="O4077" t="s">
        <v>44906</v>
      </c>
      <c r="P4077">
        <v>0</v>
      </c>
      <c r="Q4077">
        <v>11</v>
      </c>
      <c r="R4077" t="s">
        <v>44908</v>
      </c>
      <c r="S4077" t="s">
        <v>45042</v>
      </c>
      <c r="T4077" t="s">
        <v>46414</v>
      </c>
      <c r="U4077" t="s">
        <v>50275</v>
      </c>
      <c r="W4077" t="s">
        <v>41955</v>
      </c>
      <c r="X4077" t="s">
        <v>44909</v>
      </c>
    </row>
    <row r="4078" spans="1:24">
      <c r="A4078">
        <f>HYPERLINK("https://www.philgeps.gov.ph/GEPSNONPILOT/Tender/SplashBidNoticeAbstractUI.aspx?menuIndex=3&amp;refID=7080750&amp;Result=3","7080750")</f>
        <v>0</v>
      </c>
      <c r="B4078" t="s">
        <v>1456</v>
      </c>
      <c r="C4078" t="s">
        <v>7419</v>
      </c>
      <c r="D4078" t="s">
        <v>18151</v>
      </c>
      <c r="E4078" t="s">
        <v>21850</v>
      </c>
      <c r="F4078" t="s">
        <v>31362</v>
      </c>
      <c r="G4078" t="s">
        <v>31369</v>
      </c>
      <c r="H4078" t="s">
        <v>31378</v>
      </c>
      <c r="I4078" t="s">
        <v>31386</v>
      </c>
      <c r="J4078" t="s">
        <v>34191</v>
      </c>
      <c r="K4078" t="s">
        <v>40773</v>
      </c>
      <c r="M4078" t="s">
        <v>42487</v>
      </c>
      <c r="N4078" t="s">
        <v>44905</v>
      </c>
      <c r="O4078" t="s">
        <v>44906</v>
      </c>
      <c r="P4078">
        <v>0</v>
      </c>
      <c r="Q4078">
        <v>0</v>
      </c>
      <c r="R4078" t="s">
        <v>44908</v>
      </c>
      <c r="S4078" t="s">
        <v>45042</v>
      </c>
      <c r="T4078" t="s">
        <v>46483</v>
      </c>
      <c r="U4078" t="s">
        <v>50276</v>
      </c>
      <c r="W4078" t="s">
        <v>42487</v>
      </c>
      <c r="X4078" t="s">
        <v>44909</v>
      </c>
    </row>
    <row r="4079" spans="1:24">
      <c r="A4079">
        <f>HYPERLINK("https://www.philgeps.gov.ph/GEPSNONPILOT/Tender/SplashBidNoticeAbstractUI.aspx?menuIndex=3&amp;refID=7080738&amp;Result=3","7080738")</f>
        <v>0</v>
      </c>
      <c r="B4079" t="s">
        <v>1457</v>
      </c>
      <c r="C4079" t="s">
        <v>7420</v>
      </c>
      <c r="E4079" t="s">
        <v>21851</v>
      </c>
      <c r="F4079" t="s">
        <v>31362</v>
      </c>
      <c r="G4079" t="s">
        <v>31370</v>
      </c>
      <c r="H4079" t="s">
        <v>15799</v>
      </c>
      <c r="I4079" t="s">
        <v>31495</v>
      </c>
      <c r="J4079" t="s">
        <v>34192</v>
      </c>
      <c r="K4079" t="s">
        <v>40661</v>
      </c>
      <c r="M4079" t="s">
        <v>42488</v>
      </c>
      <c r="N4079" t="s">
        <v>44905</v>
      </c>
      <c r="O4079" t="s">
        <v>44906</v>
      </c>
      <c r="P4079">
        <v>0</v>
      </c>
      <c r="Q4079">
        <v>0</v>
      </c>
      <c r="R4079" t="s">
        <v>44908</v>
      </c>
      <c r="S4079" t="s">
        <v>45042</v>
      </c>
      <c r="T4079" t="s">
        <v>46435</v>
      </c>
      <c r="U4079" t="s">
        <v>50277</v>
      </c>
      <c r="W4079" t="s">
        <v>42488</v>
      </c>
      <c r="X4079" t="s">
        <v>44909</v>
      </c>
    </row>
    <row r="4080" spans="1:24">
      <c r="A4080">
        <f>HYPERLINK("https://www.philgeps.gov.ph/GEPSNONPILOT/Tender/SplashBidNoticeAbstractUI.aspx?menuIndex=3&amp;refID=7080736&amp;Result=3","7080736")</f>
        <v>0</v>
      </c>
      <c r="B4080" t="s">
        <v>1451</v>
      </c>
      <c r="C4080" t="s">
        <v>7421</v>
      </c>
      <c r="D4080" t="s">
        <v>18138</v>
      </c>
      <c r="E4080" t="s">
        <v>21852</v>
      </c>
      <c r="F4080" t="s">
        <v>31362</v>
      </c>
      <c r="G4080" t="s">
        <v>31368</v>
      </c>
      <c r="H4080" t="s">
        <v>15799</v>
      </c>
      <c r="I4080" t="s">
        <v>13635</v>
      </c>
      <c r="J4080" t="s">
        <v>34193</v>
      </c>
      <c r="K4080" t="s">
        <v>40661</v>
      </c>
      <c r="M4080" t="s">
        <v>42481</v>
      </c>
      <c r="N4080" t="s">
        <v>44905</v>
      </c>
      <c r="O4080" t="s">
        <v>44906</v>
      </c>
      <c r="P4080">
        <v>0</v>
      </c>
      <c r="Q4080">
        <v>3</v>
      </c>
      <c r="R4080" t="s">
        <v>44908</v>
      </c>
      <c r="S4080" t="s">
        <v>45042</v>
      </c>
      <c r="T4080" t="s">
        <v>46498</v>
      </c>
      <c r="U4080" t="s">
        <v>50268</v>
      </c>
      <c r="W4080" t="s">
        <v>42481</v>
      </c>
      <c r="X4080" t="s">
        <v>44909</v>
      </c>
    </row>
    <row r="4081" spans="1:24">
      <c r="A4081">
        <f>HYPERLINK("https://www.philgeps.gov.ph/GEPSNONPILOT/Tender/SplashBidNoticeAbstractUI.aspx?menuIndex=3&amp;refID=7080735&amp;Result=3","7080735")</f>
        <v>0</v>
      </c>
      <c r="B4081" t="s">
        <v>1458</v>
      </c>
      <c r="C4081" t="s">
        <v>7422</v>
      </c>
      <c r="D4081" t="s">
        <v>18108</v>
      </c>
      <c r="E4081" t="s">
        <v>18464</v>
      </c>
      <c r="F4081" t="s">
        <v>31362</v>
      </c>
      <c r="G4081" t="s">
        <v>31369</v>
      </c>
      <c r="H4081" t="s">
        <v>15799</v>
      </c>
      <c r="I4081" t="s">
        <v>6373</v>
      </c>
      <c r="J4081" t="s">
        <v>34194</v>
      </c>
      <c r="K4081" t="s">
        <v>40679</v>
      </c>
      <c r="M4081" t="s">
        <v>42489</v>
      </c>
      <c r="N4081" t="s">
        <v>44905</v>
      </c>
      <c r="O4081" t="s">
        <v>44906</v>
      </c>
      <c r="P4081">
        <v>0</v>
      </c>
      <c r="Q4081">
        <v>1</v>
      </c>
      <c r="R4081" t="s">
        <v>44908</v>
      </c>
      <c r="S4081" t="s">
        <v>45042</v>
      </c>
      <c r="T4081" t="s">
        <v>46533</v>
      </c>
      <c r="U4081" t="s">
        <v>50278</v>
      </c>
      <c r="W4081" t="s">
        <v>42489</v>
      </c>
      <c r="X4081" t="s">
        <v>44909</v>
      </c>
    </row>
    <row r="4082" spans="1:24">
      <c r="A4082">
        <f>HYPERLINK("https://www.philgeps.gov.ph/GEPSNONPILOT/Tender/SplashBidNoticeAbstractUI.aspx?menuIndex=3&amp;refID=7080757&amp;Result=3","7080757")</f>
        <v>0</v>
      </c>
      <c r="B4082" t="s">
        <v>1435</v>
      </c>
      <c r="C4082" t="s">
        <v>7423</v>
      </c>
      <c r="D4082" t="s">
        <v>18103</v>
      </c>
      <c r="E4082" t="s">
        <v>21853</v>
      </c>
      <c r="F4082" t="s">
        <v>31362</v>
      </c>
      <c r="G4082" t="s">
        <v>31372</v>
      </c>
      <c r="H4082" t="s">
        <v>15799</v>
      </c>
      <c r="I4082" t="s">
        <v>31389</v>
      </c>
      <c r="J4082" t="s">
        <v>34195</v>
      </c>
      <c r="K4082" t="s">
        <v>40665</v>
      </c>
      <c r="M4082" t="s">
        <v>42463</v>
      </c>
      <c r="N4082" t="s">
        <v>44905</v>
      </c>
      <c r="O4082" t="s">
        <v>44906</v>
      </c>
      <c r="Q4082">
        <v>9</v>
      </c>
      <c r="R4082" t="s">
        <v>44908</v>
      </c>
      <c r="S4082" t="s">
        <v>45053</v>
      </c>
      <c r="T4082" t="s">
        <v>46505</v>
      </c>
      <c r="U4082" t="s">
        <v>50209</v>
      </c>
      <c r="V4082" t="s">
        <v>59459</v>
      </c>
      <c r="W4082" t="s">
        <v>42463</v>
      </c>
      <c r="X4082" t="s">
        <v>44909</v>
      </c>
    </row>
    <row r="4083" spans="1:24">
      <c r="A4083">
        <f>HYPERLINK("https://www.philgeps.gov.ph/GEPSNONPILOT/Tender/SplashBidNoticeAbstractUI.aspx?menuIndex=3&amp;refID=7080776&amp;Result=3","7080776")</f>
        <v>0</v>
      </c>
      <c r="B4083" t="s">
        <v>1459</v>
      </c>
      <c r="C4083" t="s">
        <v>7424</v>
      </c>
      <c r="D4083" t="s">
        <v>18131</v>
      </c>
      <c r="E4083" t="s">
        <v>21854</v>
      </c>
      <c r="F4083" t="s">
        <v>31362</v>
      </c>
      <c r="G4083" t="s">
        <v>31368</v>
      </c>
      <c r="H4083" t="s">
        <v>31378</v>
      </c>
      <c r="I4083" t="s">
        <v>31386</v>
      </c>
      <c r="J4083" t="s">
        <v>31570</v>
      </c>
      <c r="K4083" t="s">
        <v>40665</v>
      </c>
      <c r="L4083" t="s">
        <v>1459</v>
      </c>
      <c r="M4083" t="s">
        <v>42490</v>
      </c>
      <c r="N4083" t="s">
        <v>44905</v>
      </c>
      <c r="O4083" t="s">
        <v>44906</v>
      </c>
      <c r="P4083">
        <v>0</v>
      </c>
      <c r="Q4083">
        <v>2</v>
      </c>
      <c r="R4083" t="s">
        <v>44908</v>
      </c>
      <c r="S4083" t="s">
        <v>45042</v>
      </c>
      <c r="T4083" t="s">
        <v>46397</v>
      </c>
      <c r="U4083" t="s">
        <v>50279</v>
      </c>
      <c r="W4083" t="s">
        <v>42490</v>
      </c>
      <c r="X4083" t="s">
        <v>44909</v>
      </c>
    </row>
    <row r="4084" spans="1:24">
      <c r="A4084">
        <f>HYPERLINK("https://www.philgeps.gov.ph/GEPSNONPILOT/Tender/SplashBidNoticeAbstractUI.aspx?menuIndex=3&amp;refID=7080775&amp;Result=3","7080775")</f>
        <v>0</v>
      </c>
      <c r="B4084" t="s">
        <v>335</v>
      </c>
      <c r="C4084" t="s">
        <v>7425</v>
      </c>
      <c r="D4084" t="s">
        <v>18108</v>
      </c>
      <c r="E4084" t="s">
        <v>21855</v>
      </c>
      <c r="F4084" t="s">
        <v>31362</v>
      </c>
      <c r="G4084" t="s">
        <v>31368</v>
      </c>
      <c r="H4084" t="s">
        <v>15799</v>
      </c>
      <c r="I4084" t="s">
        <v>7090</v>
      </c>
      <c r="J4084" t="s">
        <v>34196</v>
      </c>
      <c r="K4084" t="s">
        <v>40661</v>
      </c>
      <c r="M4084" t="s">
        <v>42389</v>
      </c>
      <c r="N4084" t="s">
        <v>44905</v>
      </c>
      <c r="O4084" t="s">
        <v>44906</v>
      </c>
      <c r="P4084">
        <v>0</v>
      </c>
      <c r="Q4084">
        <v>1</v>
      </c>
      <c r="R4084" t="s">
        <v>44908</v>
      </c>
      <c r="S4084" t="s">
        <v>45042</v>
      </c>
      <c r="T4084" t="s">
        <v>46447</v>
      </c>
      <c r="U4084" t="s">
        <v>50280</v>
      </c>
      <c r="W4084" t="s">
        <v>42389</v>
      </c>
      <c r="X4084" t="s">
        <v>44909</v>
      </c>
    </row>
    <row r="4085" spans="1:24">
      <c r="A4085">
        <f>HYPERLINK("https://www.philgeps.gov.ph/GEPSNONPILOT/Tender/SplashBidNoticeAbstractUI.aspx?menuIndex=3&amp;refID=7080741&amp;Result=3","7080741")</f>
        <v>0</v>
      </c>
      <c r="B4085" t="s">
        <v>1460</v>
      </c>
      <c r="C4085" t="s">
        <v>7426</v>
      </c>
      <c r="E4085" t="s">
        <v>21856</v>
      </c>
      <c r="F4085" t="s">
        <v>31363</v>
      </c>
      <c r="G4085" t="s">
        <v>31369</v>
      </c>
      <c r="H4085" t="s">
        <v>15799</v>
      </c>
      <c r="I4085" t="s">
        <v>3815</v>
      </c>
      <c r="J4085" t="s">
        <v>34197</v>
      </c>
      <c r="K4085" t="s">
        <v>40661</v>
      </c>
      <c r="L4085" t="s">
        <v>1460</v>
      </c>
      <c r="M4085" t="s">
        <v>42491</v>
      </c>
      <c r="N4085" t="s">
        <v>44905</v>
      </c>
      <c r="O4085" t="s">
        <v>44906</v>
      </c>
      <c r="P4085">
        <v>0</v>
      </c>
      <c r="Q4085">
        <v>0</v>
      </c>
      <c r="R4085" t="s">
        <v>44908</v>
      </c>
      <c r="S4085" t="s">
        <v>45042</v>
      </c>
      <c r="T4085" t="s">
        <v>46672</v>
      </c>
      <c r="U4085" t="s">
        <v>50281</v>
      </c>
      <c r="W4085" t="s">
        <v>42491</v>
      </c>
      <c r="X4085" t="s">
        <v>44909</v>
      </c>
    </row>
    <row r="4086" spans="1:24">
      <c r="A4086">
        <f>HYPERLINK("https://www.philgeps.gov.ph/GEPSNONPILOT/Tender/SplashBidNoticeAbstractUI.aspx?menuIndex=3&amp;refID=7080773&amp;Result=3","7080773")</f>
        <v>0</v>
      </c>
      <c r="B4086" t="s">
        <v>1051</v>
      </c>
      <c r="C4086" t="s">
        <v>7427</v>
      </c>
      <c r="D4086" t="s">
        <v>18116</v>
      </c>
      <c r="E4086" t="s">
        <v>21857</v>
      </c>
      <c r="F4086" t="s">
        <v>31362</v>
      </c>
      <c r="G4086" t="s">
        <v>31368</v>
      </c>
      <c r="H4086" t="s">
        <v>15799</v>
      </c>
      <c r="I4086" t="s">
        <v>7719</v>
      </c>
      <c r="J4086" t="s">
        <v>34198</v>
      </c>
      <c r="K4086" t="s">
        <v>40662</v>
      </c>
      <c r="M4086" t="s">
        <v>42052</v>
      </c>
      <c r="N4086" t="s">
        <v>44905</v>
      </c>
      <c r="O4086" t="s">
        <v>44906</v>
      </c>
      <c r="P4086">
        <v>0</v>
      </c>
      <c r="Q4086">
        <v>10</v>
      </c>
      <c r="R4086" t="s">
        <v>44908</v>
      </c>
      <c r="S4086" t="s">
        <v>45042</v>
      </c>
      <c r="T4086" t="s">
        <v>46498</v>
      </c>
      <c r="U4086" t="s">
        <v>50282</v>
      </c>
      <c r="W4086" t="s">
        <v>42052</v>
      </c>
      <c r="X4086" t="s">
        <v>44909</v>
      </c>
    </row>
    <row r="4087" spans="1:24">
      <c r="A4087">
        <f>HYPERLINK("https://www.philgeps.gov.ph/GEPSNONPILOT/Tender/SplashBidNoticeAbstractUI.aspx?menuIndex=3&amp;refID=7080771&amp;Result=3","7080771")</f>
        <v>0</v>
      </c>
      <c r="B4087" t="s">
        <v>1387</v>
      </c>
      <c r="C4087" t="s">
        <v>7428</v>
      </c>
      <c r="D4087" t="s">
        <v>18158</v>
      </c>
      <c r="E4087" t="s">
        <v>18625</v>
      </c>
      <c r="F4087" t="s">
        <v>31362</v>
      </c>
      <c r="G4087" t="s">
        <v>31372</v>
      </c>
      <c r="H4087" t="s">
        <v>15799</v>
      </c>
      <c r="I4087" t="s">
        <v>31399</v>
      </c>
      <c r="J4087" t="s">
        <v>34199</v>
      </c>
      <c r="K4087" t="s">
        <v>40677</v>
      </c>
      <c r="M4087" t="s">
        <v>42411</v>
      </c>
      <c r="N4087" t="s">
        <v>44905</v>
      </c>
      <c r="O4087" t="s">
        <v>44906</v>
      </c>
      <c r="P4087">
        <v>0</v>
      </c>
      <c r="Q4087">
        <v>2</v>
      </c>
      <c r="R4087" t="s">
        <v>44908</v>
      </c>
      <c r="S4087" t="s">
        <v>45042</v>
      </c>
      <c r="T4087" t="s">
        <v>46560</v>
      </c>
      <c r="U4087" t="s">
        <v>50283</v>
      </c>
      <c r="V4087" t="s">
        <v>59151</v>
      </c>
      <c r="W4087" t="s">
        <v>42411</v>
      </c>
      <c r="X4087" t="s">
        <v>44909</v>
      </c>
    </row>
    <row r="4088" spans="1:24">
      <c r="A4088">
        <f>HYPERLINK("https://www.philgeps.gov.ph/GEPSNONPILOT/Tender/SplashBidNoticeAbstractUI.aspx?menuIndex=3&amp;refID=7080770&amp;Result=3","7080770")</f>
        <v>0</v>
      </c>
      <c r="B4088" t="s">
        <v>267</v>
      </c>
      <c r="C4088" t="s">
        <v>7429</v>
      </c>
      <c r="D4088" t="s">
        <v>18154</v>
      </c>
      <c r="E4088" t="s">
        <v>21858</v>
      </c>
      <c r="F4088" t="s">
        <v>31362</v>
      </c>
      <c r="G4088" t="s">
        <v>31369</v>
      </c>
      <c r="H4088" t="s">
        <v>15799</v>
      </c>
      <c r="I4088" t="s">
        <v>3815</v>
      </c>
      <c r="J4088" t="s">
        <v>34200</v>
      </c>
      <c r="K4088" t="s">
        <v>40670</v>
      </c>
      <c r="M4088" t="s">
        <v>41208</v>
      </c>
      <c r="N4088" t="s">
        <v>44905</v>
      </c>
      <c r="O4088" t="s">
        <v>44906</v>
      </c>
      <c r="P4088">
        <v>0</v>
      </c>
      <c r="Q4088">
        <v>0</v>
      </c>
      <c r="R4088" t="s">
        <v>44908</v>
      </c>
      <c r="S4088" t="s">
        <v>45042</v>
      </c>
      <c r="T4088" t="s">
        <v>46470</v>
      </c>
      <c r="U4088" t="s">
        <v>50284</v>
      </c>
      <c r="W4088" t="s">
        <v>41208</v>
      </c>
      <c r="X4088" t="s">
        <v>44909</v>
      </c>
    </row>
    <row r="4089" spans="1:24">
      <c r="A4089">
        <f>HYPERLINK("https://www.philgeps.gov.ph/GEPSNONPILOT/Tender/SplashBidNoticeAbstractUI.aspx?menuIndex=3&amp;refID=7080769&amp;Result=3","7080769")</f>
        <v>0</v>
      </c>
      <c r="B4089" t="s">
        <v>1461</v>
      </c>
      <c r="C4089" t="s">
        <v>7430</v>
      </c>
      <c r="D4089" t="s">
        <v>18134</v>
      </c>
      <c r="E4089" t="s">
        <v>21859</v>
      </c>
      <c r="F4089" t="s">
        <v>31362</v>
      </c>
      <c r="G4089" t="s">
        <v>31371</v>
      </c>
      <c r="H4089" t="s">
        <v>15799</v>
      </c>
      <c r="I4089" t="s">
        <v>31385</v>
      </c>
      <c r="J4089" t="s">
        <v>34201</v>
      </c>
      <c r="K4089" t="s">
        <v>40666</v>
      </c>
      <c r="M4089" t="s">
        <v>42492</v>
      </c>
      <c r="N4089" t="s">
        <v>44905</v>
      </c>
      <c r="O4089" t="s">
        <v>44906</v>
      </c>
      <c r="P4089">
        <v>0</v>
      </c>
      <c r="Q4089">
        <v>1</v>
      </c>
      <c r="R4089" t="s">
        <v>44908</v>
      </c>
      <c r="S4089" t="s">
        <v>45042</v>
      </c>
      <c r="T4089" t="s">
        <v>46406</v>
      </c>
      <c r="U4089" t="s">
        <v>50285</v>
      </c>
      <c r="W4089" t="s">
        <v>42492</v>
      </c>
      <c r="X4089" t="s">
        <v>44909</v>
      </c>
    </row>
    <row r="4090" spans="1:24">
      <c r="A4090">
        <f>HYPERLINK("https://www.philgeps.gov.ph/GEPSNONPILOT/Tender/SplashBidNoticeAbstractUI.aspx?menuIndex=3&amp;refID=7080772&amp;Result=3","7080772")</f>
        <v>0</v>
      </c>
      <c r="B4090" t="s">
        <v>1462</v>
      </c>
      <c r="C4090" t="s">
        <v>7431</v>
      </c>
      <c r="D4090" t="s">
        <v>18106</v>
      </c>
      <c r="E4090" t="s">
        <v>19224</v>
      </c>
      <c r="F4090" t="s">
        <v>31362</v>
      </c>
      <c r="G4090" t="s">
        <v>31368</v>
      </c>
      <c r="H4090" t="s">
        <v>15799</v>
      </c>
      <c r="I4090" t="s">
        <v>31392</v>
      </c>
      <c r="J4090" t="s">
        <v>34202</v>
      </c>
      <c r="K4090" t="s">
        <v>40666</v>
      </c>
      <c r="M4090" t="s">
        <v>42493</v>
      </c>
      <c r="N4090" t="s">
        <v>44905</v>
      </c>
      <c r="O4090" t="s">
        <v>44906</v>
      </c>
      <c r="P4090">
        <v>0</v>
      </c>
      <c r="Q4090">
        <v>3</v>
      </c>
      <c r="R4090" t="s">
        <v>44908</v>
      </c>
      <c r="S4090" t="s">
        <v>45042</v>
      </c>
      <c r="T4090" t="s">
        <v>46454</v>
      </c>
      <c r="U4090" t="s">
        <v>50286</v>
      </c>
      <c r="W4090" t="s">
        <v>42493</v>
      </c>
      <c r="X4090" t="s">
        <v>44909</v>
      </c>
    </row>
    <row r="4091" spans="1:24">
      <c r="A4091">
        <f>HYPERLINK("https://www.philgeps.gov.ph/GEPSNONPILOT/Tender/SplashBidNoticeAbstractUI.aspx?menuIndex=3&amp;refID=7080768&amp;Result=3","7080768")</f>
        <v>0</v>
      </c>
      <c r="B4091" t="s">
        <v>130</v>
      </c>
      <c r="C4091" t="s">
        <v>7432</v>
      </c>
      <c r="D4091" t="s">
        <v>18109</v>
      </c>
      <c r="E4091" t="s">
        <v>21860</v>
      </c>
      <c r="F4091" t="s">
        <v>31362</v>
      </c>
      <c r="G4091" t="s">
        <v>31368</v>
      </c>
      <c r="H4091" t="s">
        <v>15799</v>
      </c>
      <c r="I4091" t="s">
        <v>31422</v>
      </c>
      <c r="J4091" t="s">
        <v>31725</v>
      </c>
      <c r="K4091" t="s">
        <v>40662</v>
      </c>
      <c r="M4091" t="s">
        <v>41067</v>
      </c>
      <c r="N4091" t="s">
        <v>44905</v>
      </c>
      <c r="O4091" t="s">
        <v>44906</v>
      </c>
      <c r="P4091">
        <v>0</v>
      </c>
      <c r="Q4091">
        <v>2</v>
      </c>
      <c r="R4091" t="s">
        <v>44908</v>
      </c>
      <c r="S4091" t="s">
        <v>45042</v>
      </c>
      <c r="T4091" t="s">
        <v>46394</v>
      </c>
      <c r="U4091" t="s">
        <v>50287</v>
      </c>
      <c r="W4091" t="s">
        <v>41067</v>
      </c>
      <c r="X4091" t="s">
        <v>44909</v>
      </c>
    </row>
    <row r="4092" spans="1:24">
      <c r="A4092">
        <f>HYPERLINK("https://www.philgeps.gov.ph/GEPSNONPILOT/Tender/SplashBidNoticeAbstractUI.aspx?menuIndex=3&amp;refID=7080767&amp;Result=3","7080767")</f>
        <v>0</v>
      </c>
      <c r="B4092" t="s">
        <v>232</v>
      </c>
      <c r="C4092" t="s">
        <v>7433</v>
      </c>
      <c r="D4092" t="s">
        <v>18101</v>
      </c>
      <c r="E4092" t="s">
        <v>21861</v>
      </c>
      <c r="F4092" t="s">
        <v>31362</v>
      </c>
      <c r="G4092" t="s">
        <v>31369</v>
      </c>
      <c r="H4092" t="s">
        <v>31378</v>
      </c>
      <c r="I4092" t="s">
        <v>31386</v>
      </c>
      <c r="J4092" t="s">
        <v>34203</v>
      </c>
      <c r="K4092" t="s">
        <v>40679</v>
      </c>
      <c r="M4092" t="s">
        <v>41171</v>
      </c>
      <c r="N4092" t="s">
        <v>44905</v>
      </c>
      <c r="O4092" t="s">
        <v>44906</v>
      </c>
      <c r="P4092">
        <v>0</v>
      </c>
      <c r="Q4092">
        <v>0</v>
      </c>
      <c r="R4092" t="s">
        <v>44908</v>
      </c>
      <c r="S4092" t="s">
        <v>45042</v>
      </c>
      <c r="T4092" t="s">
        <v>46449</v>
      </c>
      <c r="U4092" t="s">
        <v>50288</v>
      </c>
      <c r="V4092" t="s">
        <v>59456</v>
      </c>
      <c r="W4092" t="s">
        <v>41171</v>
      </c>
      <c r="X4092" t="s">
        <v>44909</v>
      </c>
    </row>
    <row r="4093" spans="1:24">
      <c r="A4093">
        <f>HYPERLINK("https://www.philgeps.gov.ph/GEPSNONPILOT/Tender/SplashBidNoticeAbstractUI.aspx?menuIndex=3&amp;refID=7080766&amp;Result=3","7080766")</f>
        <v>0</v>
      </c>
      <c r="B4093" t="s">
        <v>1451</v>
      </c>
      <c r="C4093" t="s">
        <v>7434</v>
      </c>
      <c r="D4093" t="s">
        <v>18138</v>
      </c>
      <c r="E4093" t="s">
        <v>21862</v>
      </c>
      <c r="F4093" t="s">
        <v>31362</v>
      </c>
      <c r="G4093" t="s">
        <v>31368</v>
      </c>
      <c r="H4093" t="s">
        <v>15799</v>
      </c>
      <c r="I4093" t="s">
        <v>13635</v>
      </c>
      <c r="J4093" t="s">
        <v>34204</v>
      </c>
      <c r="K4093" t="s">
        <v>40661</v>
      </c>
      <c r="M4093" t="s">
        <v>42481</v>
      </c>
      <c r="N4093" t="s">
        <v>44905</v>
      </c>
      <c r="O4093" t="s">
        <v>44906</v>
      </c>
      <c r="P4093">
        <v>0</v>
      </c>
      <c r="Q4093">
        <v>3</v>
      </c>
      <c r="R4093" t="s">
        <v>44908</v>
      </c>
      <c r="S4093" t="s">
        <v>45042</v>
      </c>
      <c r="T4093" t="s">
        <v>46498</v>
      </c>
      <c r="U4093" t="s">
        <v>50268</v>
      </c>
      <c r="W4093" t="s">
        <v>42481</v>
      </c>
      <c r="X4093" t="s">
        <v>44909</v>
      </c>
    </row>
    <row r="4094" spans="1:24">
      <c r="A4094">
        <f>HYPERLINK("https://www.philgeps.gov.ph/GEPSNONPILOT/Tender/SplashBidNoticeAbstractUI.aspx?menuIndex=3&amp;refID=7080763&amp;Result=3","7080763")</f>
        <v>0</v>
      </c>
      <c r="B4094" t="s">
        <v>1434</v>
      </c>
      <c r="C4094" t="s">
        <v>7435</v>
      </c>
      <c r="D4094" t="s">
        <v>18168</v>
      </c>
      <c r="E4094" t="s">
        <v>21863</v>
      </c>
      <c r="F4094" t="s">
        <v>31362</v>
      </c>
      <c r="G4094" t="s">
        <v>31371</v>
      </c>
      <c r="H4094" t="s">
        <v>15799</v>
      </c>
      <c r="I4094" t="s">
        <v>7188</v>
      </c>
      <c r="J4094" t="s">
        <v>34205</v>
      </c>
      <c r="K4094" t="s">
        <v>40661</v>
      </c>
      <c r="M4094" t="s">
        <v>42462</v>
      </c>
      <c r="N4094" t="s">
        <v>44905</v>
      </c>
      <c r="O4094" t="s">
        <v>44906</v>
      </c>
      <c r="P4094">
        <v>0</v>
      </c>
      <c r="Q4094">
        <v>0</v>
      </c>
      <c r="R4094" t="s">
        <v>44908</v>
      </c>
      <c r="S4094" t="s">
        <v>45042</v>
      </c>
      <c r="T4094" t="s">
        <v>46427</v>
      </c>
      <c r="U4094" t="s">
        <v>50289</v>
      </c>
      <c r="W4094" t="s">
        <v>42462</v>
      </c>
      <c r="X4094" t="s">
        <v>44909</v>
      </c>
    </row>
    <row r="4095" spans="1:24">
      <c r="A4095">
        <f>HYPERLINK("https://www.philgeps.gov.ph/GEPSNONPILOT/Tender/SplashBidNoticeAbstractUI.aspx?menuIndex=3&amp;refID=7080749&amp;Result=3","7080749")</f>
        <v>0</v>
      </c>
      <c r="B4095" t="s">
        <v>1463</v>
      </c>
      <c r="C4095" t="s">
        <v>7436</v>
      </c>
      <c r="D4095" t="s">
        <v>18138</v>
      </c>
      <c r="E4095" t="s">
        <v>21864</v>
      </c>
      <c r="F4095" t="s">
        <v>31362</v>
      </c>
      <c r="G4095" t="s">
        <v>31369</v>
      </c>
      <c r="H4095" t="s">
        <v>15799</v>
      </c>
      <c r="I4095" t="s">
        <v>31441</v>
      </c>
      <c r="J4095" t="s">
        <v>34206</v>
      </c>
      <c r="K4095" t="s">
        <v>40666</v>
      </c>
      <c r="M4095" t="s">
        <v>42494</v>
      </c>
      <c r="N4095" t="s">
        <v>44905</v>
      </c>
      <c r="O4095" t="s">
        <v>44906</v>
      </c>
      <c r="P4095">
        <v>0</v>
      </c>
      <c r="Q4095">
        <v>1</v>
      </c>
      <c r="R4095" t="s">
        <v>44908</v>
      </c>
      <c r="S4095" t="s">
        <v>45042</v>
      </c>
      <c r="T4095" t="s">
        <v>46673</v>
      </c>
      <c r="U4095" t="s">
        <v>50290</v>
      </c>
      <c r="W4095" t="s">
        <v>42494</v>
      </c>
      <c r="X4095" t="s">
        <v>44909</v>
      </c>
    </row>
    <row r="4096" spans="1:24">
      <c r="A4096">
        <f>HYPERLINK("https://www.philgeps.gov.ph/GEPSNONPILOT/Tender/SplashBidNoticeAbstractUI.aspx?menuIndex=3&amp;refID=7080762&amp;Result=3","7080762")</f>
        <v>0</v>
      </c>
      <c r="B4096" t="s">
        <v>1245</v>
      </c>
      <c r="C4096" t="s">
        <v>7437</v>
      </c>
      <c r="D4096" t="s">
        <v>18134</v>
      </c>
      <c r="E4096" t="s">
        <v>21865</v>
      </c>
      <c r="F4096" t="s">
        <v>31362</v>
      </c>
      <c r="G4096" t="s">
        <v>31368</v>
      </c>
      <c r="H4096" t="s">
        <v>15799</v>
      </c>
      <c r="I4096" t="s">
        <v>13635</v>
      </c>
      <c r="J4096" t="s">
        <v>34207</v>
      </c>
      <c r="K4096" t="s">
        <v>40661</v>
      </c>
      <c r="M4096" t="s">
        <v>42260</v>
      </c>
      <c r="N4096" t="s">
        <v>44905</v>
      </c>
      <c r="O4096" t="s">
        <v>44906</v>
      </c>
      <c r="P4096">
        <v>0</v>
      </c>
      <c r="Q4096">
        <v>0</v>
      </c>
      <c r="R4096" t="s">
        <v>44908</v>
      </c>
      <c r="S4096" t="s">
        <v>45042</v>
      </c>
      <c r="T4096" t="s">
        <v>46396</v>
      </c>
      <c r="U4096" t="s">
        <v>50291</v>
      </c>
      <c r="W4096" t="s">
        <v>42260</v>
      </c>
      <c r="X4096" t="s">
        <v>44909</v>
      </c>
    </row>
    <row r="4097" spans="1:24">
      <c r="A4097">
        <f>HYPERLINK("https://www.philgeps.gov.ph/GEPSNONPILOT/Tender/SplashBidNoticeAbstractUI.aspx?menuIndex=3&amp;refID=7080760&amp;Result=3","7080760")</f>
        <v>0</v>
      </c>
      <c r="B4097" t="s">
        <v>1424</v>
      </c>
      <c r="C4097" t="s">
        <v>7438</v>
      </c>
      <c r="D4097" t="s">
        <v>18143</v>
      </c>
      <c r="E4097" t="s">
        <v>19340</v>
      </c>
      <c r="F4097" t="s">
        <v>31362</v>
      </c>
      <c r="G4097" t="s">
        <v>31370</v>
      </c>
      <c r="H4097" t="s">
        <v>15799</v>
      </c>
      <c r="I4097" t="s">
        <v>31409</v>
      </c>
      <c r="J4097" t="s">
        <v>31545</v>
      </c>
      <c r="K4097" t="s">
        <v>40665</v>
      </c>
      <c r="M4097" t="s">
        <v>42451</v>
      </c>
      <c r="N4097" t="s">
        <v>44905</v>
      </c>
      <c r="O4097" t="s">
        <v>44906</v>
      </c>
      <c r="P4097">
        <v>0</v>
      </c>
      <c r="Q4097">
        <v>1</v>
      </c>
      <c r="R4097" t="s">
        <v>44908</v>
      </c>
      <c r="S4097" t="s">
        <v>45042</v>
      </c>
      <c r="T4097" t="s">
        <v>46409</v>
      </c>
      <c r="U4097" t="s">
        <v>50169</v>
      </c>
      <c r="W4097" t="s">
        <v>42451</v>
      </c>
      <c r="X4097" t="s">
        <v>44909</v>
      </c>
    </row>
    <row r="4098" spans="1:24">
      <c r="A4098">
        <f>HYPERLINK("https://www.philgeps.gov.ph/GEPSNONPILOT/Tender/SplashBidNoticeAbstractUI.aspx?menuIndex=3&amp;refID=7080764&amp;Result=3","7080764")</f>
        <v>0</v>
      </c>
      <c r="B4098" t="s">
        <v>299</v>
      </c>
      <c r="C4098" t="s">
        <v>7439</v>
      </c>
      <c r="D4098" t="s">
        <v>18108</v>
      </c>
      <c r="E4098" t="s">
        <v>21866</v>
      </c>
      <c r="F4098" t="s">
        <v>31362</v>
      </c>
      <c r="G4098" t="s">
        <v>31368</v>
      </c>
      <c r="H4098" t="s">
        <v>15799</v>
      </c>
      <c r="I4098" t="s">
        <v>7719</v>
      </c>
      <c r="J4098" t="s">
        <v>31724</v>
      </c>
      <c r="K4098" t="s">
        <v>40662</v>
      </c>
      <c r="M4098" t="s">
        <v>42027</v>
      </c>
      <c r="N4098" t="s">
        <v>44905</v>
      </c>
      <c r="O4098" t="s">
        <v>44906</v>
      </c>
      <c r="P4098">
        <v>0</v>
      </c>
      <c r="Q4098">
        <v>5</v>
      </c>
      <c r="R4098" t="s">
        <v>44908</v>
      </c>
      <c r="S4098" t="s">
        <v>45042</v>
      </c>
      <c r="T4098" t="s">
        <v>46657</v>
      </c>
      <c r="U4098" t="s">
        <v>50292</v>
      </c>
      <c r="W4098" t="s">
        <v>42027</v>
      </c>
      <c r="X4098" t="s">
        <v>44909</v>
      </c>
    </row>
    <row r="4099" spans="1:24">
      <c r="A4099">
        <f>HYPERLINK("https://www.philgeps.gov.ph/GEPSNONPILOT/Tender/SplashBidNoticeAbstractUI.aspx?menuIndex=3&amp;refID=7080759&amp;Result=3","7080759")</f>
        <v>0</v>
      </c>
      <c r="B4099" t="s">
        <v>237</v>
      </c>
      <c r="C4099" t="s">
        <v>7440</v>
      </c>
      <c r="D4099" t="s">
        <v>18108</v>
      </c>
      <c r="E4099" t="s">
        <v>21867</v>
      </c>
      <c r="F4099" t="s">
        <v>31362</v>
      </c>
      <c r="G4099" t="s">
        <v>31370</v>
      </c>
      <c r="H4099" t="s">
        <v>15799</v>
      </c>
      <c r="I4099" t="s">
        <v>7719</v>
      </c>
      <c r="J4099" t="s">
        <v>34208</v>
      </c>
      <c r="K4099" t="s">
        <v>40670</v>
      </c>
      <c r="M4099" t="s">
        <v>41781</v>
      </c>
      <c r="N4099" t="s">
        <v>44905</v>
      </c>
      <c r="O4099" t="s">
        <v>44906</v>
      </c>
      <c r="P4099">
        <v>0</v>
      </c>
      <c r="Q4099">
        <v>2</v>
      </c>
      <c r="R4099" t="s">
        <v>44908</v>
      </c>
      <c r="S4099" t="s">
        <v>45042</v>
      </c>
      <c r="T4099" t="s">
        <v>46518</v>
      </c>
      <c r="U4099" t="s">
        <v>50293</v>
      </c>
      <c r="V4099" t="s">
        <v>59255</v>
      </c>
      <c r="W4099" t="s">
        <v>41781</v>
      </c>
      <c r="X4099" t="s">
        <v>44909</v>
      </c>
    </row>
    <row r="4100" spans="1:24">
      <c r="A4100">
        <f>HYPERLINK("https://www.philgeps.gov.ph/GEPSNONPILOT/Tender/SplashBidNoticeAbstractUI.aspx?menuIndex=3&amp;refID=7080670&amp;Result=3","7080670")</f>
        <v>0</v>
      </c>
      <c r="B4100" t="s">
        <v>1464</v>
      </c>
      <c r="C4100" t="s">
        <v>7441</v>
      </c>
      <c r="D4100" t="s">
        <v>18116</v>
      </c>
      <c r="E4100" t="s">
        <v>21868</v>
      </c>
      <c r="F4100" t="s">
        <v>31362</v>
      </c>
      <c r="G4100" t="s">
        <v>31370</v>
      </c>
      <c r="H4100" t="s">
        <v>31379</v>
      </c>
      <c r="I4100" t="s">
        <v>3582</v>
      </c>
      <c r="J4100" t="s">
        <v>31768</v>
      </c>
      <c r="K4100" t="s">
        <v>40661</v>
      </c>
      <c r="M4100" t="s">
        <v>42495</v>
      </c>
      <c r="N4100" t="s">
        <v>44905</v>
      </c>
      <c r="O4100" t="s">
        <v>44906</v>
      </c>
      <c r="P4100">
        <v>0</v>
      </c>
      <c r="Q4100">
        <v>0</v>
      </c>
      <c r="R4100" t="s">
        <v>44908</v>
      </c>
      <c r="S4100" t="s">
        <v>45042</v>
      </c>
      <c r="T4100" t="s">
        <v>46467</v>
      </c>
      <c r="U4100" t="s">
        <v>50294</v>
      </c>
      <c r="W4100" t="s">
        <v>42495</v>
      </c>
      <c r="X4100" t="s">
        <v>44909</v>
      </c>
    </row>
    <row r="4101" spans="1:24">
      <c r="A4101">
        <f>HYPERLINK("https://www.philgeps.gov.ph/GEPSNONPILOT/Tender/SplashBidNoticeAbstractUI.aspx?menuIndex=3&amp;refID=7080758&amp;Result=3","7080758")</f>
        <v>0</v>
      </c>
      <c r="B4101" t="s">
        <v>1380</v>
      </c>
      <c r="C4101" t="s">
        <v>7442</v>
      </c>
      <c r="D4101" t="s">
        <v>18127</v>
      </c>
      <c r="E4101" t="s">
        <v>21869</v>
      </c>
      <c r="F4101" t="s">
        <v>31362</v>
      </c>
      <c r="G4101" t="s">
        <v>31369</v>
      </c>
      <c r="H4101" t="s">
        <v>31378</v>
      </c>
      <c r="I4101" t="s">
        <v>31386</v>
      </c>
      <c r="J4101" t="s">
        <v>34209</v>
      </c>
      <c r="K4101" t="s">
        <v>40682</v>
      </c>
      <c r="M4101" t="s">
        <v>42404</v>
      </c>
      <c r="N4101" t="s">
        <v>44905</v>
      </c>
      <c r="O4101" t="s">
        <v>44906</v>
      </c>
      <c r="P4101">
        <v>0</v>
      </c>
      <c r="Q4101">
        <v>0</v>
      </c>
      <c r="R4101" t="s">
        <v>44908</v>
      </c>
      <c r="S4101" t="s">
        <v>45042</v>
      </c>
      <c r="T4101" t="s">
        <v>46470</v>
      </c>
      <c r="U4101" t="s">
        <v>50295</v>
      </c>
      <c r="W4101" t="s">
        <v>42404</v>
      </c>
      <c r="X4101" t="s">
        <v>44909</v>
      </c>
    </row>
    <row r="4102" spans="1:24">
      <c r="A4102">
        <f>HYPERLINK("https://www.philgeps.gov.ph/GEPSNONPILOT/Tender/SplashBidNoticeAbstractUI.aspx?menuIndex=3&amp;refID=7080756&amp;Result=3","7080756")</f>
        <v>0</v>
      </c>
      <c r="B4102" t="s">
        <v>1465</v>
      </c>
      <c r="C4102" t="s">
        <v>7443</v>
      </c>
      <c r="D4102" t="s">
        <v>18116</v>
      </c>
      <c r="E4102" t="s">
        <v>21870</v>
      </c>
      <c r="F4102" t="s">
        <v>31362</v>
      </c>
      <c r="G4102" t="s">
        <v>31374</v>
      </c>
      <c r="H4102" t="s">
        <v>31378</v>
      </c>
      <c r="I4102" t="s">
        <v>31386</v>
      </c>
      <c r="J4102" t="s">
        <v>34210</v>
      </c>
      <c r="K4102" t="s">
        <v>40662</v>
      </c>
      <c r="M4102" t="s">
        <v>42496</v>
      </c>
      <c r="N4102" t="s">
        <v>44905</v>
      </c>
      <c r="O4102" t="s">
        <v>44906</v>
      </c>
      <c r="P4102">
        <v>0</v>
      </c>
      <c r="Q4102">
        <v>0</v>
      </c>
      <c r="R4102" t="s">
        <v>44908</v>
      </c>
      <c r="S4102" t="s">
        <v>45042</v>
      </c>
      <c r="T4102" t="s">
        <v>46454</v>
      </c>
      <c r="U4102" t="s">
        <v>50296</v>
      </c>
      <c r="W4102" t="s">
        <v>42496</v>
      </c>
      <c r="X4102" t="s">
        <v>44909</v>
      </c>
    </row>
    <row r="4103" spans="1:24">
      <c r="A4103">
        <f>HYPERLINK("https://www.philgeps.gov.ph/GEPSNONPILOT/Tender/SplashBidNoticeAbstractUI.aspx?menuIndex=3&amp;refID=7080732&amp;Result=3","7080732")</f>
        <v>0</v>
      </c>
      <c r="B4103" t="s">
        <v>1436</v>
      </c>
      <c r="C4103" t="s">
        <v>7444</v>
      </c>
      <c r="D4103" t="s">
        <v>18107</v>
      </c>
      <c r="E4103" t="s">
        <v>21871</v>
      </c>
      <c r="F4103" t="s">
        <v>31362</v>
      </c>
      <c r="G4103" t="s">
        <v>31368</v>
      </c>
      <c r="H4103" t="s">
        <v>15799</v>
      </c>
      <c r="I4103" t="s">
        <v>31430</v>
      </c>
      <c r="J4103" t="s">
        <v>34211</v>
      </c>
      <c r="K4103" t="s">
        <v>40680</v>
      </c>
      <c r="M4103" t="s">
        <v>42465</v>
      </c>
      <c r="N4103" t="s">
        <v>44905</v>
      </c>
      <c r="O4103" t="s">
        <v>44906</v>
      </c>
      <c r="P4103">
        <v>0</v>
      </c>
      <c r="Q4103">
        <v>0</v>
      </c>
      <c r="R4103" t="s">
        <v>44908</v>
      </c>
      <c r="S4103" t="s">
        <v>45042</v>
      </c>
      <c r="T4103" t="s">
        <v>46432</v>
      </c>
      <c r="U4103" t="s">
        <v>50297</v>
      </c>
      <c r="W4103" t="s">
        <v>42465</v>
      </c>
      <c r="X4103" t="s">
        <v>44909</v>
      </c>
    </row>
    <row r="4104" spans="1:24">
      <c r="A4104">
        <f>HYPERLINK("https://www.philgeps.gov.ph/GEPSNONPILOT/Tender/SplashBidNoticeAbstractUI.aspx?menuIndex=3&amp;refID=7080445&amp;Result=3","7080445")</f>
        <v>0</v>
      </c>
      <c r="B4104" t="s">
        <v>880</v>
      </c>
      <c r="C4104" t="s">
        <v>7445</v>
      </c>
      <c r="D4104" t="s">
        <v>18139</v>
      </c>
      <c r="E4104" t="s">
        <v>21872</v>
      </c>
      <c r="F4104" t="s">
        <v>31362</v>
      </c>
      <c r="G4104" t="s">
        <v>31368</v>
      </c>
      <c r="H4104" t="s">
        <v>15799</v>
      </c>
      <c r="I4104" t="s">
        <v>31394</v>
      </c>
      <c r="J4104" t="s">
        <v>34212</v>
      </c>
      <c r="K4104" t="s">
        <v>40675</v>
      </c>
      <c r="M4104" t="s">
        <v>42497</v>
      </c>
      <c r="N4104" t="s">
        <v>44905</v>
      </c>
      <c r="O4104" t="s">
        <v>44906</v>
      </c>
      <c r="P4104">
        <v>0</v>
      </c>
      <c r="Q4104">
        <v>4</v>
      </c>
      <c r="R4104" t="s">
        <v>44908</v>
      </c>
      <c r="S4104" t="s">
        <v>45042</v>
      </c>
      <c r="T4104" t="s">
        <v>46534</v>
      </c>
      <c r="U4104" t="s">
        <v>48761</v>
      </c>
      <c r="W4104" t="s">
        <v>42497</v>
      </c>
      <c r="X4104" t="s">
        <v>44909</v>
      </c>
    </row>
    <row r="4105" spans="1:24">
      <c r="A4105">
        <f>HYPERLINK("https://www.philgeps.gov.ph/GEPSNONPILOT/Tender/SplashBidNoticeAbstractUI.aspx?menuIndex=3&amp;refID=7080761&amp;Result=3","7080761")</f>
        <v>0</v>
      </c>
      <c r="B4105" t="s">
        <v>534</v>
      </c>
      <c r="C4105" t="s">
        <v>4871</v>
      </c>
      <c r="D4105" t="s">
        <v>18131</v>
      </c>
      <c r="E4105" t="s">
        <v>21873</v>
      </c>
      <c r="F4105" t="s">
        <v>31362</v>
      </c>
      <c r="G4105" t="s">
        <v>31368</v>
      </c>
      <c r="H4105" t="s">
        <v>15799</v>
      </c>
      <c r="I4105" t="s">
        <v>13635</v>
      </c>
      <c r="J4105" t="s">
        <v>33026</v>
      </c>
      <c r="K4105" t="s">
        <v>40670</v>
      </c>
      <c r="M4105" t="s">
        <v>41490</v>
      </c>
      <c r="N4105" t="s">
        <v>44905</v>
      </c>
      <c r="O4105" t="s">
        <v>44906</v>
      </c>
      <c r="P4105">
        <v>0</v>
      </c>
      <c r="Q4105">
        <v>0</v>
      </c>
      <c r="R4105" t="s">
        <v>44908</v>
      </c>
      <c r="S4105" t="s">
        <v>45042</v>
      </c>
      <c r="T4105" t="s">
        <v>46435</v>
      </c>
      <c r="U4105" t="s">
        <v>50298</v>
      </c>
      <c r="W4105" t="s">
        <v>41490</v>
      </c>
      <c r="X4105" t="s">
        <v>44909</v>
      </c>
    </row>
    <row r="4106" spans="1:24">
      <c r="A4106">
        <f>HYPERLINK("https://www.philgeps.gov.ph/GEPSNONPILOT/Tender/SplashBidNoticeAbstractUI.aspx?menuIndex=3&amp;refID=7080433&amp;Result=3","7080433")</f>
        <v>0</v>
      </c>
      <c r="B4106" t="s">
        <v>1264</v>
      </c>
      <c r="C4106" t="s">
        <v>7446</v>
      </c>
      <c r="D4106" t="s">
        <v>18108</v>
      </c>
      <c r="E4106" t="s">
        <v>18553</v>
      </c>
      <c r="F4106" t="s">
        <v>31362</v>
      </c>
      <c r="G4106" t="s">
        <v>31368</v>
      </c>
      <c r="H4106" t="s">
        <v>15799</v>
      </c>
      <c r="I4106" t="s">
        <v>4283</v>
      </c>
      <c r="J4106" t="s">
        <v>34213</v>
      </c>
      <c r="K4106" t="s">
        <v>40665</v>
      </c>
      <c r="M4106" t="s">
        <v>42281</v>
      </c>
      <c r="N4106" t="s">
        <v>44905</v>
      </c>
      <c r="O4106" t="s">
        <v>44906</v>
      </c>
      <c r="P4106">
        <v>0</v>
      </c>
      <c r="Q4106">
        <v>3</v>
      </c>
      <c r="R4106" t="s">
        <v>44908</v>
      </c>
      <c r="S4106" t="s">
        <v>45042</v>
      </c>
      <c r="T4106" t="s">
        <v>46454</v>
      </c>
      <c r="U4106" t="s">
        <v>50299</v>
      </c>
      <c r="W4106" t="s">
        <v>42281</v>
      </c>
      <c r="X4106" t="s">
        <v>44909</v>
      </c>
    </row>
    <row r="4107" spans="1:24">
      <c r="A4107">
        <f>HYPERLINK("https://www.philgeps.gov.ph/GEPSNONPILOT/Tender/SplashBidNoticeAbstractUI.aspx?menuIndex=3&amp;refID=7080432&amp;Result=3","7080432")</f>
        <v>0</v>
      </c>
      <c r="B4107" t="s">
        <v>130</v>
      </c>
      <c r="C4107" t="s">
        <v>7447</v>
      </c>
      <c r="D4107" t="s">
        <v>18109</v>
      </c>
      <c r="E4107" t="s">
        <v>21874</v>
      </c>
      <c r="F4107" t="s">
        <v>31362</v>
      </c>
      <c r="G4107" t="s">
        <v>31368</v>
      </c>
      <c r="H4107" t="s">
        <v>15799</v>
      </c>
      <c r="I4107" t="s">
        <v>31419</v>
      </c>
      <c r="J4107" t="s">
        <v>34214</v>
      </c>
      <c r="K4107" t="s">
        <v>40662</v>
      </c>
      <c r="M4107" t="s">
        <v>41067</v>
      </c>
      <c r="N4107" t="s">
        <v>44905</v>
      </c>
      <c r="O4107" t="s">
        <v>44906</v>
      </c>
      <c r="P4107">
        <v>0</v>
      </c>
      <c r="Q4107">
        <v>5</v>
      </c>
      <c r="R4107" t="s">
        <v>44908</v>
      </c>
      <c r="S4107" t="s">
        <v>45042</v>
      </c>
      <c r="T4107" t="s">
        <v>46394</v>
      </c>
      <c r="U4107" t="s">
        <v>50300</v>
      </c>
      <c r="W4107" t="s">
        <v>41067</v>
      </c>
      <c r="X4107" t="s">
        <v>44909</v>
      </c>
    </row>
    <row r="4108" spans="1:24">
      <c r="A4108">
        <f>HYPERLINK("https://www.philgeps.gov.ph/GEPSNONPILOT/Tender/SplashBidNoticeAbstractUI.aspx?menuIndex=3&amp;refID=7080430&amp;Result=3","7080430")</f>
        <v>0</v>
      </c>
      <c r="B4108" t="s">
        <v>1355</v>
      </c>
      <c r="C4108" t="s">
        <v>7030</v>
      </c>
      <c r="D4108" t="s">
        <v>18111</v>
      </c>
      <c r="E4108" t="s">
        <v>21875</v>
      </c>
      <c r="F4108" t="s">
        <v>31362</v>
      </c>
      <c r="G4108" t="s">
        <v>31370</v>
      </c>
      <c r="H4108" t="s">
        <v>15799</v>
      </c>
      <c r="I4108" t="s">
        <v>31390</v>
      </c>
      <c r="J4108" t="s">
        <v>34215</v>
      </c>
      <c r="K4108" t="s">
        <v>40662</v>
      </c>
      <c r="M4108" t="s">
        <v>42376</v>
      </c>
      <c r="N4108" t="s">
        <v>44905</v>
      </c>
      <c r="O4108" t="s">
        <v>44906</v>
      </c>
      <c r="P4108">
        <v>0</v>
      </c>
      <c r="Q4108">
        <v>0</v>
      </c>
      <c r="R4108" t="s">
        <v>44908</v>
      </c>
      <c r="S4108" t="s">
        <v>45042</v>
      </c>
      <c r="T4108" t="s">
        <v>46408</v>
      </c>
      <c r="U4108" t="s">
        <v>50301</v>
      </c>
      <c r="W4108" t="s">
        <v>42376</v>
      </c>
      <c r="X4108" t="s">
        <v>44909</v>
      </c>
    </row>
    <row r="4109" spans="1:24">
      <c r="A4109">
        <f>HYPERLINK("https://www.philgeps.gov.ph/GEPSNONPILOT/Tender/SplashBidNoticeAbstractUI.aspx?menuIndex=3&amp;refID=7080429&amp;Result=3","7080429")</f>
        <v>0</v>
      </c>
      <c r="B4109" t="s">
        <v>1466</v>
      </c>
      <c r="C4109" t="s">
        <v>4337</v>
      </c>
      <c r="D4109" t="s">
        <v>18128</v>
      </c>
      <c r="E4109" t="s">
        <v>21876</v>
      </c>
      <c r="F4109" t="s">
        <v>31362</v>
      </c>
      <c r="G4109" t="s">
        <v>31370</v>
      </c>
      <c r="H4109" t="s">
        <v>15799</v>
      </c>
      <c r="I4109" t="s">
        <v>3815</v>
      </c>
      <c r="J4109" t="s">
        <v>34216</v>
      </c>
      <c r="K4109" t="s">
        <v>40666</v>
      </c>
      <c r="M4109" t="s">
        <v>42498</v>
      </c>
      <c r="N4109" t="s">
        <v>44905</v>
      </c>
      <c r="O4109" t="s">
        <v>44906</v>
      </c>
      <c r="P4109">
        <v>0</v>
      </c>
      <c r="Q4109">
        <v>0</v>
      </c>
      <c r="R4109" t="s">
        <v>44908</v>
      </c>
      <c r="S4109" t="s">
        <v>45042</v>
      </c>
      <c r="T4109" t="s">
        <v>46549</v>
      </c>
      <c r="U4109" t="s">
        <v>50302</v>
      </c>
      <c r="V4109" t="s">
        <v>59460</v>
      </c>
      <c r="W4109" t="s">
        <v>42498</v>
      </c>
      <c r="X4109" t="s">
        <v>44909</v>
      </c>
    </row>
    <row r="4110" spans="1:24">
      <c r="A4110">
        <f>HYPERLINK("https://www.philgeps.gov.ph/GEPSNONPILOT/Tender/SplashBidNoticeAbstractUI.aspx?menuIndex=3&amp;refID=7080780&amp;Result=3","7080780")</f>
        <v>0</v>
      </c>
      <c r="B4110" t="s">
        <v>299</v>
      </c>
      <c r="C4110" t="s">
        <v>7448</v>
      </c>
      <c r="D4110" t="s">
        <v>18108</v>
      </c>
      <c r="E4110" t="s">
        <v>21877</v>
      </c>
      <c r="F4110" t="s">
        <v>31362</v>
      </c>
      <c r="G4110" t="s">
        <v>31368</v>
      </c>
      <c r="H4110" t="s">
        <v>15799</v>
      </c>
      <c r="I4110" t="s">
        <v>4942</v>
      </c>
      <c r="J4110" t="s">
        <v>32143</v>
      </c>
      <c r="K4110" t="s">
        <v>40662</v>
      </c>
      <c r="M4110" t="s">
        <v>42027</v>
      </c>
      <c r="N4110" t="s">
        <v>44905</v>
      </c>
      <c r="O4110" t="s">
        <v>44906</v>
      </c>
      <c r="P4110">
        <v>0</v>
      </c>
      <c r="Q4110">
        <v>0</v>
      </c>
      <c r="R4110" t="s">
        <v>44908</v>
      </c>
      <c r="S4110" t="s">
        <v>45042</v>
      </c>
      <c r="T4110" t="s">
        <v>46427</v>
      </c>
      <c r="U4110" t="s">
        <v>50303</v>
      </c>
      <c r="W4110" t="s">
        <v>42027</v>
      </c>
      <c r="X4110" t="s">
        <v>44909</v>
      </c>
    </row>
    <row r="4111" spans="1:24">
      <c r="A4111">
        <f>HYPERLINK("https://www.philgeps.gov.ph/GEPSNONPILOT/Tender/SplashBidNoticeAbstractUI.aspx?menuIndex=3&amp;refID=7080798&amp;Result=3","7080798")</f>
        <v>0</v>
      </c>
      <c r="B4111" t="s">
        <v>1441</v>
      </c>
      <c r="C4111" t="s">
        <v>7449</v>
      </c>
      <c r="D4111" t="s">
        <v>18127</v>
      </c>
      <c r="E4111" t="s">
        <v>21878</v>
      </c>
      <c r="F4111" t="s">
        <v>31362</v>
      </c>
      <c r="G4111" t="s">
        <v>31369</v>
      </c>
      <c r="H4111" t="s">
        <v>31378</v>
      </c>
      <c r="I4111" t="s">
        <v>31386</v>
      </c>
      <c r="J4111" t="s">
        <v>34217</v>
      </c>
      <c r="K4111" t="s">
        <v>40774</v>
      </c>
      <c r="M4111" t="s">
        <v>42470</v>
      </c>
      <c r="N4111" t="s">
        <v>44905</v>
      </c>
      <c r="O4111" t="s">
        <v>44906</v>
      </c>
      <c r="P4111">
        <v>0</v>
      </c>
      <c r="Q4111">
        <v>0</v>
      </c>
      <c r="R4111" t="s">
        <v>44908</v>
      </c>
      <c r="S4111" t="s">
        <v>45042</v>
      </c>
      <c r="T4111" t="s">
        <v>46511</v>
      </c>
      <c r="U4111" t="s">
        <v>50304</v>
      </c>
      <c r="W4111" t="s">
        <v>42470</v>
      </c>
      <c r="X4111" t="s">
        <v>44909</v>
      </c>
    </row>
    <row r="4112" spans="1:24">
      <c r="A4112">
        <f>HYPERLINK("https://www.philgeps.gov.ph/GEPSNONPILOT/Tender/SplashBidNoticeAbstractUI.aspx?menuIndex=3&amp;refID=7080431&amp;Result=3","7080431")</f>
        <v>0</v>
      </c>
      <c r="B4112" t="s">
        <v>1408</v>
      </c>
      <c r="C4112" t="s">
        <v>7450</v>
      </c>
      <c r="D4112" t="s">
        <v>18122</v>
      </c>
      <c r="E4112" t="s">
        <v>21879</v>
      </c>
      <c r="F4112" t="s">
        <v>31362</v>
      </c>
      <c r="G4112" t="s">
        <v>31368</v>
      </c>
      <c r="H4112" t="s">
        <v>15799</v>
      </c>
      <c r="I4112" t="s">
        <v>31393</v>
      </c>
      <c r="J4112" t="s">
        <v>34218</v>
      </c>
      <c r="K4112" t="s">
        <v>40670</v>
      </c>
      <c r="M4112" t="s">
        <v>42433</v>
      </c>
      <c r="N4112" t="s">
        <v>44905</v>
      </c>
      <c r="O4112" t="s">
        <v>44906</v>
      </c>
      <c r="P4112">
        <v>0</v>
      </c>
      <c r="Q4112">
        <v>0</v>
      </c>
      <c r="R4112" t="s">
        <v>44908</v>
      </c>
      <c r="S4112" t="s">
        <v>45042</v>
      </c>
      <c r="T4112" t="s">
        <v>46454</v>
      </c>
      <c r="U4112" t="s">
        <v>50305</v>
      </c>
      <c r="W4112" t="s">
        <v>42433</v>
      </c>
      <c r="X4112" t="s">
        <v>44909</v>
      </c>
    </row>
    <row r="4113" spans="1:24">
      <c r="A4113">
        <f>HYPERLINK("https://www.philgeps.gov.ph/GEPSNONPILOT/Tender/SplashBidNoticeAbstractUI.aspx?menuIndex=3&amp;refID=7080428&amp;Result=3","7080428")</f>
        <v>0</v>
      </c>
      <c r="B4113" t="s">
        <v>1223</v>
      </c>
      <c r="C4113" t="s">
        <v>7451</v>
      </c>
      <c r="D4113" t="s">
        <v>18126</v>
      </c>
      <c r="E4113" t="s">
        <v>21880</v>
      </c>
      <c r="F4113" t="s">
        <v>31362</v>
      </c>
      <c r="G4113" t="s">
        <v>31370</v>
      </c>
      <c r="H4113" t="s">
        <v>15799</v>
      </c>
      <c r="I4113" t="s">
        <v>31387</v>
      </c>
      <c r="J4113" t="s">
        <v>34219</v>
      </c>
      <c r="K4113" t="s">
        <v>40693</v>
      </c>
      <c r="M4113" t="s">
        <v>42237</v>
      </c>
      <c r="N4113" t="s">
        <v>44905</v>
      </c>
      <c r="O4113" t="s">
        <v>44906</v>
      </c>
      <c r="P4113">
        <v>0</v>
      </c>
      <c r="Q4113">
        <v>0</v>
      </c>
      <c r="R4113" t="s">
        <v>44908</v>
      </c>
      <c r="S4113" t="s">
        <v>45042</v>
      </c>
      <c r="T4113" t="s">
        <v>46409</v>
      </c>
      <c r="U4113" t="s">
        <v>50306</v>
      </c>
      <c r="W4113" t="s">
        <v>42237</v>
      </c>
      <c r="X4113" t="s">
        <v>44909</v>
      </c>
    </row>
    <row r="4114" spans="1:24">
      <c r="A4114">
        <f>HYPERLINK("https://www.philgeps.gov.ph/GEPSNONPILOT/Tender/SplashBidNoticeAbstractUI.aspx?menuIndex=3&amp;refID=7080731&amp;Result=3","7080731")</f>
        <v>0</v>
      </c>
      <c r="B4114" t="s">
        <v>1429</v>
      </c>
      <c r="C4114" t="s">
        <v>7452</v>
      </c>
      <c r="D4114" t="s">
        <v>18138</v>
      </c>
      <c r="E4114" t="s">
        <v>21881</v>
      </c>
      <c r="F4114" t="s">
        <v>31362</v>
      </c>
      <c r="G4114" t="s">
        <v>31368</v>
      </c>
      <c r="H4114" t="s">
        <v>15799</v>
      </c>
      <c r="I4114" t="s">
        <v>31393</v>
      </c>
      <c r="J4114" t="s">
        <v>34220</v>
      </c>
      <c r="K4114" t="s">
        <v>40661</v>
      </c>
      <c r="M4114" t="s">
        <v>42457</v>
      </c>
      <c r="N4114" t="s">
        <v>44905</v>
      </c>
      <c r="O4114" t="s">
        <v>44906</v>
      </c>
      <c r="P4114">
        <v>0</v>
      </c>
      <c r="Q4114">
        <v>1</v>
      </c>
      <c r="R4114" t="s">
        <v>44908</v>
      </c>
      <c r="S4114" t="s">
        <v>45042</v>
      </c>
      <c r="T4114" t="s">
        <v>46393</v>
      </c>
      <c r="U4114" t="s">
        <v>50307</v>
      </c>
      <c r="W4114" t="s">
        <v>42457</v>
      </c>
      <c r="X4114" t="s">
        <v>44909</v>
      </c>
    </row>
    <row r="4115" spans="1:24">
      <c r="A4115">
        <f>HYPERLINK("https://www.philgeps.gov.ph/GEPSNONPILOT/Tender/SplashBidNoticeAbstractUI.aspx?menuIndex=3&amp;refID=7080801&amp;Result=3","7080801")</f>
        <v>0</v>
      </c>
      <c r="B4115" t="s">
        <v>1455</v>
      </c>
      <c r="C4115" t="s">
        <v>7453</v>
      </c>
      <c r="E4115" t="s">
        <v>21882</v>
      </c>
      <c r="F4115" t="s">
        <v>31362</v>
      </c>
      <c r="G4115" t="s">
        <v>31369</v>
      </c>
      <c r="H4115" t="s">
        <v>31377</v>
      </c>
      <c r="I4115" t="s">
        <v>31377</v>
      </c>
      <c r="J4115" t="s">
        <v>34221</v>
      </c>
      <c r="K4115" t="s">
        <v>40775</v>
      </c>
      <c r="M4115" t="s">
        <v>42486</v>
      </c>
      <c r="N4115" t="s">
        <v>44905</v>
      </c>
      <c r="O4115" t="s">
        <v>44906</v>
      </c>
      <c r="P4115">
        <v>0</v>
      </c>
      <c r="Q4115">
        <v>1</v>
      </c>
      <c r="R4115" t="s">
        <v>44908</v>
      </c>
      <c r="S4115" t="s">
        <v>45042</v>
      </c>
      <c r="T4115" t="s">
        <v>46426</v>
      </c>
      <c r="U4115" t="s">
        <v>50308</v>
      </c>
      <c r="W4115" t="s">
        <v>42486</v>
      </c>
      <c r="X4115" t="s">
        <v>44909</v>
      </c>
    </row>
    <row r="4116" spans="1:24">
      <c r="A4116">
        <f>HYPERLINK("https://www.philgeps.gov.ph/GEPSNONPILOT/Tender/SplashBidNoticeAbstractUI.aspx?menuIndex=3&amp;refID=7080800&amp;Result=3","7080800")</f>
        <v>0</v>
      </c>
      <c r="B4116" t="s">
        <v>130</v>
      </c>
      <c r="C4116" t="s">
        <v>7454</v>
      </c>
      <c r="D4116" t="s">
        <v>18109</v>
      </c>
      <c r="E4116" t="s">
        <v>7454</v>
      </c>
      <c r="F4116" t="s">
        <v>31362</v>
      </c>
      <c r="G4116" t="s">
        <v>31368</v>
      </c>
      <c r="H4116" t="s">
        <v>15799</v>
      </c>
      <c r="I4116" t="s">
        <v>7188</v>
      </c>
      <c r="J4116" t="s">
        <v>31578</v>
      </c>
      <c r="K4116" t="s">
        <v>40662</v>
      </c>
      <c r="M4116" t="s">
        <v>41067</v>
      </c>
      <c r="N4116" t="s">
        <v>44905</v>
      </c>
      <c r="O4116" t="s">
        <v>44906</v>
      </c>
      <c r="P4116">
        <v>0</v>
      </c>
      <c r="Q4116">
        <v>8</v>
      </c>
      <c r="R4116" t="s">
        <v>44908</v>
      </c>
      <c r="S4116" t="s">
        <v>45042</v>
      </c>
      <c r="T4116" t="s">
        <v>46394</v>
      </c>
      <c r="U4116" t="s">
        <v>50309</v>
      </c>
      <c r="W4116" t="s">
        <v>41067</v>
      </c>
      <c r="X4116" t="s">
        <v>44909</v>
      </c>
    </row>
    <row r="4117" spans="1:24">
      <c r="A4117">
        <f>HYPERLINK("https://www.philgeps.gov.ph/GEPSNONPILOT/Tender/SplashBidNoticeAbstractUI.aspx?menuIndex=3&amp;refID=7080799&amp;Result=3","7080799")</f>
        <v>0</v>
      </c>
      <c r="B4117" t="s">
        <v>676</v>
      </c>
      <c r="C4117" t="s">
        <v>7455</v>
      </c>
      <c r="D4117" t="s">
        <v>18134</v>
      </c>
      <c r="E4117" t="s">
        <v>21883</v>
      </c>
      <c r="F4117" t="s">
        <v>31362</v>
      </c>
      <c r="G4117" t="s">
        <v>31368</v>
      </c>
      <c r="H4117" t="s">
        <v>15799</v>
      </c>
      <c r="I4117" t="s">
        <v>4057</v>
      </c>
      <c r="J4117" t="s">
        <v>31724</v>
      </c>
      <c r="K4117" t="s">
        <v>40661</v>
      </c>
      <c r="M4117" t="s">
        <v>41638</v>
      </c>
      <c r="N4117" t="s">
        <v>44905</v>
      </c>
      <c r="O4117" t="s">
        <v>44906</v>
      </c>
      <c r="P4117">
        <v>0</v>
      </c>
      <c r="Q4117">
        <v>1</v>
      </c>
      <c r="R4117" t="s">
        <v>44908</v>
      </c>
      <c r="S4117" t="s">
        <v>45042</v>
      </c>
      <c r="T4117" t="s">
        <v>46414</v>
      </c>
      <c r="U4117" t="s">
        <v>49439</v>
      </c>
      <c r="W4117" t="s">
        <v>41638</v>
      </c>
      <c r="X4117" t="s">
        <v>44909</v>
      </c>
    </row>
    <row r="4118" spans="1:24">
      <c r="A4118">
        <f>HYPERLINK("https://www.philgeps.gov.ph/GEPSNONPILOT/Tender/SplashBidNoticeAbstractUI.aspx?menuIndex=3&amp;refID=7080796&amp;Result=3","7080796")</f>
        <v>0</v>
      </c>
      <c r="B4118" t="s">
        <v>1465</v>
      </c>
      <c r="C4118" t="s">
        <v>7456</v>
      </c>
      <c r="D4118" t="s">
        <v>18116</v>
      </c>
      <c r="E4118" t="s">
        <v>21884</v>
      </c>
      <c r="F4118" t="s">
        <v>31362</v>
      </c>
      <c r="G4118" t="s">
        <v>31370</v>
      </c>
      <c r="H4118" t="s">
        <v>31378</v>
      </c>
      <c r="I4118" t="s">
        <v>31386</v>
      </c>
      <c r="J4118" t="s">
        <v>34222</v>
      </c>
      <c r="K4118" t="s">
        <v>40662</v>
      </c>
      <c r="M4118" t="s">
        <v>42496</v>
      </c>
      <c r="N4118" t="s">
        <v>44905</v>
      </c>
      <c r="O4118" t="s">
        <v>44906</v>
      </c>
      <c r="P4118">
        <v>0</v>
      </c>
      <c r="Q4118">
        <v>0</v>
      </c>
      <c r="R4118" t="s">
        <v>44908</v>
      </c>
      <c r="S4118" t="s">
        <v>45042</v>
      </c>
      <c r="T4118" t="s">
        <v>46454</v>
      </c>
      <c r="U4118" t="s">
        <v>50310</v>
      </c>
      <c r="W4118" t="s">
        <v>42496</v>
      </c>
      <c r="X4118" t="s">
        <v>44909</v>
      </c>
    </row>
    <row r="4119" spans="1:24">
      <c r="A4119">
        <f>HYPERLINK("https://www.philgeps.gov.ph/GEPSNONPILOT/Tender/SplashBidNoticeAbstractUI.aspx?menuIndex=3&amp;refID=7080802&amp;Result=3","7080802")</f>
        <v>0</v>
      </c>
      <c r="B4119" t="s">
        <v>1467</v>
      </c>
      <c r="C4119" t="s">
        <v>7457</v>
      </c>
      <c r="D4119" t="s">
        <v>18147</v>
      </c>
      <c r="E4119" t="s">
        <v>21885</v>
      </c>
      <c r="F4119" t="s">
        <v>31362</v>
      </c>
      <c r="G4119" t="s">
        <v>31370</v>
      </c>
      <c r="H4119" t="s">
        <v>15799</v>
      </c>
      <c r="I4119" t="s">
        <v>31386</v>
      </c>
      <c r="J4119" t="s">
        <v>34223</v>
      </c>
      <c r="K4119" t="s">
        <v>40697</v>
      </c>
      <c r="M4119" t="s">
        <v>42499</v>
      </c>
      <c r="N4119" t="s">
        <v>44905</v>
      </c>
      <c r="O4119" t="s">
        <v>44906</v>
      </c>
      <c r="P4119">
        <v>0</v>
      </c>
      <c r="Q4119">
        <v>0</v>
      </c>
      <c r="R4119" t="s">
        <v>44908</v>
      </c>
      <c r="S4119" t="s">
        <v>45042</v>
      </c>
      <c r="T4119" t="s">
        <v>46463</v>
      </c>
      <c r="U4119" t="s">
        <v>50311</v>
      </c>
      <c r="W4119" t="s">
        <v>42499</v>
      </c>
      <c r="X4119" t="s">
        <v>44909</v>
      </c>
    </row>
    <row r="4120" spans="1:24">
      <c r="A4120">
        <f>HYPERLINK("https://www.philgeps.gov.ph/GEPSNONPILOT/Tender/SplashBidNoticeAbstractUI.aspx?menuIndex=3&amp;refID=7080794&amp;Result=3","7080794")</f>
        <v>0</v>
      </c>
      <c r="B4120" t="s">
        <v>1436</v>
      </c>
      <c r="C4120" t="s">
        <v>7458</v>
      </c>
      <c r="D4120" t="s">
        <v>18107</v>
      </c>
      <c r="E4120" t="s">
        <v>21886</v>
      </c>
      <c r="F4120" t="s">
        <v>31362</v>
      </c>
      <c r="G4120" t="s">
        <v>31368</v>
      </c>
      <c r="H4120" t="s">
        <v>15799</v>
      </c>
      <c r="I4120" t="s">
        <v>7090</v>
      </c>
      <c r="J4120" t="s">
        <v>33844</v>
      </c>
      <c r="K4120" t="s">
        <v>40680</v>
      </c>
      <c r="M4120" t="s">
        <v>42465</v>
      </c>
      <c r="N4120" t="s">
        <v>44905</v>
      </c>
      <c r="O4120" t="s">
        <v>44906</v>
      </c>
      <c r="P4120">
        <v>0</v>
      </c>
      <c r="Q4120">
        <v>0</v>
      </c>
      <c r="R4120" t="s">
        <v>44908</v>
      </c>
      <c r="S4120" t="s">
        <v>45042</v>
      </c>
      <c r="T4120" t="s">
        <v>46432</v>
      </c>
      <c r="U4120" t="s">
        <v>50312</v>
      </c>
      <c r="W4120" t="s">
        <v>42465</v>
      </c>
      <c r="X4120" t="s">
        <v>44909</v>
      </c>
    </row>
    <row r="4121" spans="1:24">
      <c r="A4121">
        <f>HYPERLINK("https://www.philgeps.gov.ph/GEPSNONPILOT/Tender/SplashBidNoticeAbstractUI.aspx?menuIndex=3&amp;refID=7080791&amp;Result=3","7080791")</f>
        <v>0</v>
      </c>
      <c r="B4121" t="s">
        <v>254</v>
      </c>
      <c r="C4121" t="s">
        <v>7459</v>
      </c>
      <c r="D4121" t="s">
        <v>18127</v>
      </c>
      <c r="E4121" t="s">
        <v>21887</v>
      </c>
      <c r="F4121" t="s">
        <v>31362</v>
      </c>
      <c r="G4121" t="s">
        <v>31368</v>
      </c>
      <c r="H4121" t="s">
        <v>15799</v>
      </c>
      <c r="I4121" t="s">
        <v>31383</v>
      </c>
      <c r="J4121" t="s">
        <v>31577</v>
      </c>
      <c r="K4121" t="s">
        <v>40661</v>
      </c>
      <c r="M4121" t="s">
        <v>41194</v>
      </c>
      <c r="N4121" t="s">
        <v>44905</v>
      </c>
      <c r="O4121" t="s">
        <v>44906</v>
      </c>
      <c r="P4121">
        <v>0</v>
      </c>
      <c r="Q4121">
        <v>0</v>
      </c>
      <c r="R4121" t="s">
        <v>44908</v>
      </c>
      <c r="S4121" t="s">
        <v>45042</v>
      </c>
      <c r="T4121" t="s">
        <v>46438</v>
      </c>
      <c r="U4121" t="s">
        <v>50313</v>
      </c>
      <c r="W4121" t="s">
        <v>41194</v>
      </c>
      <c r="X4121" t="s">
        <v>44909</v>
      </c>
    </row>
    <row r="4122" spans="1:24">
      <c r="A4122">
        <f>HYPERLINK("https://www.philgeps.gov.ph/GEPSNONPILOT/Tender/SplashBidNoticeAbstractUI.aspx?menuIndex=3&amp;refID=7080790&amp;Result=3","7080790")</f>
        <v>0</v>
      </c>
      <c r="B4122" t="s">
        <v>307</v>
      </c>
      <c r="C4122" t="s">
        <v>7460</v>
      </c>
      <c r="D4122" t="s">
        <v>18114</v>
      </c>
      <c r="E4122" t="s">
        <v>21888</v>
      </c>
      <c r="F4122" t="s">
        <v>31362</v>
      </c>
      <c r="G4122" t="s">
        <v>31369</v>
      </c>
      <c r="H4122" t="s">
        <v>15799</v>
      </c>
      <c r="I4122" t="s">
        <v>31438</v>
      </c>
      <c r="J4122" t="s">
        <v>34224</v>
      </c>
      <c r="K4122" t="s">
        <v>40670</v>
      </c>
      <c r="M4122" t="s">
        <v>42500</v>
      </c>
      <c r="N4122" t="s">
        <v>44905</v>
      </c>
      <c r="O4122" t="s">
        <v>44906</v>
      </c>
      <c r="P4122">
        <v>0</v>
      </c>
      <c r="Q4122">
        <v>5</v>
      </c>
      <c r="R4122" t="s">
        <v>44908</v>
      </c>
      <c r="S4122" t="s">
        <v>45042</v>
      </c>
      <c r="T4122" t="s">
        <v>46456</v>
      </c>
      <c r="U4122" t="s">
        <v>50314</v>
      </c>
      <c r="W4122" t="s">
        <v>42500</v>
      </c>
      <c r="X4122" t="s">
        <v>44909</v>
      </c>
    </row>
    <row r="4123" spans="1:24">
      <c r="A4123">
        <f>HYPERLINK("https://www.philgeps.gov.ph/GEPSNONPILOT/Tender/SplashBidNoticeAbstractUI.aspx?menuIndex=3&amp;refID=7080789&amp;Result=3","7080789")</f>
        <v>0</v>
      </c>
      <c r="B4123" t="s">
        <v>1217</v>
      </c>
      <c r="C4123" t="s">
        <v>7461</v>
      </c>
      <c r="D4123" t="s">
        <v>18106</v>
      </c>
      <c r="E4123" t="s">
        <v>21889</v>
      </c>
      <c r="F4123" t="s">
        <v>31362</v>
      </c>
      <c r="G4123" t="s">
        <v>31370</v>
      </c>
      <c r="H4123" t="s">
        <v>15799</v>
      </c>
      <c r="I4123" t="s">
        <v>7090</v>
      </c>
      <c r="J4123" t="s">
        <v>34225</v>
      </c>
      <c r="K4123" t="s">
        <v>40665</v>
      </c>
      <c r="M4123" t="s">
        <v>42230</v>
      </c>
      <c r="N4123" t="s">
        <v>44905</v>
      </c>
      <c r="O4123" t="s">
        <v>44906</v>
      </c>
      <c r="P4123">
        <v>0</v>
      </c>
      <c r="Q4123">
        <v>1</v>
      </c>
      <c r="R4123" t="s">
        <v>44908</v>
      </c>
      <c r="S4123" t="s">
        <v>45042</v>
      </c>
      <c r="T4123" t="s">
        <v>46447</v>
      </c>
      <c r="U4123" t="s">
        <v>49589</v>
      </c>
      <c r="V4123" t="s">
        <v>59395</v>
      </c>
      <c r="W4123" t="s">
        <v>42230</v>
      </c>
      <c r="X4123" t="s">
        <v>44909</v>
      </c>
    </row>
    <row r="4124" spans="1:24">
      <c r="A4124">
        <f>HYPERLINK("https://www.philgeps.gov.ph/GEPSNONPILOT/Tender/SplashBidNoticeAbstractUI.aspx?menuIndex=3&amp;refID=7080811&amp;Result=3","7080811")</f>
        <v>0</v>
      </c>
      <c r="B4124" t="s">
        <v>1468</v>
      </c>
      <c r="C4124" t="s">
        <v>7462</v>
      </c>
      <c r="D4124" t="s">
        <v>18134</v>
      </c>
      <c r="E4124" t="s">
        <v>21890</v>
      </c>
      <c r="F4124" t="s">
        <v>31362</v>
      </c>
      <c r="G4124" t="s">
        <v>31369</v>
      </c>
      <c r="H4124" t="s">
        <v>31378</v>
      </c>
      <c r="I4124" t="s">
        <v>31386</v>
      </c>
      <c r="J4124" t="s">
        <v>34226</v>
      </c>
      <c r="K4124" t="s">
        <v>40748</v>
      </c>
      <c r="M4124" t="s">
        <v>42501</v>
      </c>
      <c r="N4124" t="s">
        <v>44905</v>
      </c>
      <c r="O4124" t="s">
        <v>44906</v>
      </c>
      <c r="P4124">
        <v>0</v>
      </c>
      <c r="Q4124">
        <v>3</v>
      </c>
      <c r="R4124" t="s">
        <v>44908</v>
      </c>
      <c r="S4124" t="s">
        <v>45042</v>
      </c>
      <c r="T4124" t="s">
        <v>46398</v>
      </c>
      <c r="U4124" t="s">
        <v>50315</v>
      </c>
      <c r="W4124" t="s">
        <v>42501</v>
      </c>
      <c r="X4124" t="s">
        <v>44909</v>
      </c>
    </row>
    <row r="4125" spans="1:24">
      <c r="A4125">
        <f>HYPERLINK("https://www.philgeps.gov.ph/GEPSNONPILOT/Tender/SplashBidNoticeAbstractUI.aspx?menuIndex=3&amp;refID=7080795&amp;Result=3","7080795")</f>
        <v>0</v>
      </c>
      <c r="B4125" t="s">
        <v>345</v>
      </c>
      <c r="C4125" t="s">
        <v>7463</v>
      </c>
      <c r="D4125" t="s">
        <v>18149</v>
      </c>
      <c r="E4125" t="s">
        <v>21891</v>
      </c>
      <c r="F4125" t="s">
        <v>31362</v>
      </c>
      <c r="G4125" t="s">
        <v>31368</v>
      </c>
      <c r="H4125" t="s">
        <v>15799</v>
      </c>
      <c r="I4125" t="s">
        <v>7090</v>
      </c>
      <c r="J4125" t="s">
        <v>34227</v>
      </c>
      <c r="K4125" t="s">
        <v>40693</v>
      </c>
      <c r="M4125" t="s">
        <v>41291</v>
      </c>
      <c r="N4125" t="s">
        <v>44905</v>
      </c>
      <c r="O4125" t="s">
        <v>44906</v>
      </c>
      <c r="P4125">
        <v>0</v>
      </c>
      <c r="Q4125">
        <v>0</v>
      </c>
      <c r="R4125" t="s">
        <v>44908</v>
      </c>
      <c r="S4125" t="s">
        <v>45042</v>
      </c>
      <c r="T4125" t="s">
        <v>46580</v>
      </c>
      <c r="U4125" t="s">
        <v>50316</v>
      </c>
      <c r="W4125" t="s">
        <v>41291</v>
      </c>
      <c r="X4125" t="s">
        <v>44909</v>
      </c>
    </row>
    <row r="4126" spans="1:24">
      <c r="A4126">
        <f>HYPERLINK("https://www.philgeps.gov.ph/GEPSNONPILOT/Tender/SplashBidNoticeAbstractUI.aspx?menuIndex=3&amp;refID=7080836&amp;Result=3","7080836")</f>
        <v>0</v>
      </c>
      <c r="B4126" t="s">
        <v>1431</v>
      </c>
      <c r="C4126" t="s">
        <v>7464</v>
      </c>
      <c r="D4126" t="s">
        <v>18101</v>
      </c>
      <c r="E4126" t="s">
        <v>21892</v>
      </c>
      <c r="F4126" t="s">
        <v>31362</v>
      </c>
      <c r="G4126" t="s">
        <v>31371</v>
      </c>
      <c r="H4126" t="s">
        <v>15799</v>
      </c>
      <c r="I4126" t="s">
        <v>31431</v>
      </c>
      <c r="J4126" t="s">
        <v>34228</v>
      </c>
      <c r="K4126" t="s">
        <v>40662</v>
      </c>
      <c r="M4126" t="s">
        <v>42459</v>
      </c>
      <c r="N4126" t="s">
        <v>44905</v>
      </c>
      <c r="O4126" t="s">
        <v>44906</v>
      </c>
      <c r="P4126">
        <v>0</v>
      </c>
      <c r="Q4126">
        <v>2</v>
      </c>
      <c r="R4126" t="s">
        <v>44908</v>
      </c>
      <c r="S4126" t="s">
        <v>45042</v>
      </c>
      <c r="T4126" t="s">
        <v>46438</v>
      </c>
      <c r="U4126" t="s">
        <v>50317</v>
      </c>
      <c r="V4126" t="s">
        <v>59450</v>
      </c>
      <c r="W4126" t="s">
        <v>42459</v>
      </c>
      <c r="X4126" t="s">
        <v>44909</v>
      </c>
    </row>
    <row r="4127" spans="1:24">
      <c r="A4127">
        <f>HYPERLINK("https://www.philgeps.gov.ph/GEPSNONPILOT/Tender/SplashBidNoticeAbstractUI.aspx?menuIndex=3&amp;refID=7080792&amp;Result=3","7080792")</f>
        <v>0</v>
      </c>
      <c r="B4127" t="s">
        <v>959</v>
      </c>
      <c r="C4127" t="s">
        <v>7465</v>
      </c>
      <c r="D4127" t="s">
        <v>18117</v>
      </c>
      <c r="E4127" t="s">
        <v>19693</v>
      </c>
      <c r="F4127" t="s">
        <v>31362</v>
      </c>
      <c r="G4127" t="s">
        <v>31369</v>
      </c>
      <c r="H4127" t="s">
        <v>15799</v>
      </c>
      <c r="I4127" t="s">
        <v>7090</v>
      </c>
      <c r="J4127" t="s">
        <v>31606</v>
      </c>
      <c r="K4127" t="s">
        <v>40661</v>
      </c>
      <c r="M4127" t="s">
        <v>41947</v>
      </c>
      <c r="N4127" t="s">
        <v>44905</v>
      </c>
      <c r="O4127" t="s">
        <v>44906</v>
      </c>
      <c r="P4127">
        <v>0</v>
      </c>
      <c r="Q4127">
        <v>1</v>
      </c>
      <c r="R4127" t="s">
        <v>44908</v>
      </c>
      <c r="S4127" t="s">
        <v>45042</v>
      </c>
      <c r="T4127" t="s">
        <v>46535</v>
      </c>
      <c r="U4127" t="s">
        <v>50318</v>
      </c>
      <c r="W4127" t="s">
        <v>41947</v>
      </c>
      <c r="X4127" t="s">
        <v>44909</v>
      </c>
    </row>
    <row r="4128" spans="1:24">
      <c r="A4128">
        <f>HYPERLINK("https://www.philgeps.gov.ph/GEPSNONPILOT/Tender/SplashBidNoticeAbstractUI.aspx?menuIndex=3&amp;refID=7080831&amp;Result=3","7080831")</f>
        <v>0</v>
      </c>
      <c r="B4128" t="s">
        <v>1226</v>
      </c>
      <c r="C4128" t="s">
        <v>7466</v>
      </c>
      <c r="D4128" t="s">
        <v>18112</v>
      </c>
      <c r="E4128" t="s">
        <v>20783</v>
      </c>
      <c r="F4128" t="s">
        <v>31362</v>
      </c>
      <c r="G4128" t="s">
        <v>31370</v>
      </c>
      <c r="H4128" t="s">
        <v>15799</v>
      </c>
      <c r="I4128" t="s">
        <v>6373</v>
      </c>
      <c r="J4128" t="s">
        <v>34229</v>
      </c>
      <c r="K4128" t="s">
        <v>40672</v>
      </c>
      <c r="M4128" t="s">
        <v>42240</v>
      </c>
      <c r="N4128" t="s">
        <v>44905</v>
      </c>
      <c r="O4128" t="s">
        <v>44906</v>
      </c>
      <c r="P4128">
        <v>0</v>
      </c>
      <c r="Q4128">
        <v>0</v>
      </c>
      <c r="R4128" t="s">
        <v>44908</v>
      </c>
      <c r="S4128" t="s">
        <v>45042</v>
      </c>
      <c r="T4128" t="s">
        <v>46534</v>
      </c>
      <c r="U4128" t="s">
        <v>50319</v>
      </c>
      <c r="W4128" t="s">
        <v>42240</v>
      </c>
      <c r="X4128" t="s">
        <v>44909</v>
      </c>
    </row>
    <row r="4129" spans="1:24">
      <c r="A4129">
        <f>HYPERLINK("https://www.philgeps.gov.ph/GEPSNONPILOT/Tender/SplashBidNoticeAbstractUI.aspx?menuIndex=3&amp;refID=7080734&amp;Result=3","7080734")</f>
        <v>0</v>
      </c>
      <c r="B4129" t="s">
        <v>1452</v>
      </c>
      <c r="C4129" t="s">
        <v>7467</v>
      </c>
      <c r="D4129" t="s">
        <v>18113</v>
      </c>
      <c r="E4129" t="s">
        <v>21893</v>
      </c>
      <c r="F4129" t="s">
        <v>31362</v>
      </c>
      <c r="G4129" t="s">
        <v>31368</v>
      </c>
      <c r="H4129" t="s">
        <v>15799</v>
      </c>
      <c r="I4129" t="s">
        <v>31385</v>
      </c>
      <c r="J4129" t="s">
        <v>34230</v>
      </c>
      <c r="K4129" t="s">
        <v>40682</v>
      </c>
      <c r="M4129" t="s">
        <v>42482</v>
      </c>
      <c r="N4129" t="s">
        <v>44905</v>
      </c>
      <c r="O4129" t="s">
        <v>44906</v>
      </c>
      <c r="P4129">
        <v>0</v>
      </c>
      <c r="Q4129">
        <v>0</v>
      </c>
      <c r="R4129" t="s">
        <v>44908</v>
      </c>
      <c r="S4129" t="s">
        <v>45042</v>
      </c>
      <c r="T4129" t="s">
        <v>46411</v>
      </c>
      <c r="U4129" t="s">
        <v>50320</v>
      </c>
      <c r="W4129" t="s">
        <v>60895</v>
      </c>
      <c r="X4129" t="s">
        <v>44909</v>
      </c>
    </row>
    <row r="4130" spans="1:24">
      <c r="A4130">
        <f>HYPERLINK("https://www.philgeps.gov.ph/GEPSNONPILOT/Tender/SplashBidNoticeAbstractUI.aspx?menuIndex=3&amp;refID=7080805&amp;Result=3","7080805")</f>
        <v>0</v>
      </c>
      <c r="B4130" t="s">
        <v>238</v>
      </c>
      <c r="C4130" t="s">
        <v>7468</v>
      </c>
      <c r="D4130" t="s">
        <v>18163</v>
      </c>
      <c r="E4130" t="s">
        <v>21894</v>
      </c>
      <c r="F4130" t="s">
        <v>31362</v>
      </c>
      <c r="G4130" t="s">
        <v>31368</v>
      </c>
      <c r="H4130" t="s">
        <v>15799</v>
      </c>
      <c r="I4130" t="s">
        <v>7719</v>
      </c>
      <c r="J4130" t="s">
        <v>34231</v>
      </c>
      <c r="K4130" t="s">
        <v>40666</v>
      </c>
      <c r="M4130" t="s">
        <v>41177</v>
      </c>
      <c r="N4130" t="s">
        <v>44905</v>
      </c>
      <c r="O4130" t="s">
        <v>44906</v>
      </c>
      <c r="P4130">
        <v>0</v>
      </c>
      <c r="Q4130">
        <v>1</v>
      </c>
      <c r="R4130" t="s">
        <v>44908</v>
      </c>
      <c r="S4130" t="s">
        <v>45042</v>
      </c>
      <c r="T4130" t="s">
        <v>46409</v>
      </c>
      <c r="U4130" t="s">
        <v>50321</v>
      </c>
      <c r="W4130" t="s">
        <v>41177</v>
      </c>
      <c r="X4130" t="s">
        <v>44909</v>
      </c>
    </row>
    <row r="4131" spans="1:24">
      <c r="A4131">
        <f>HYPERLINK("https://www.philgeps.gov.ph/GEPSNONPILOT/Tender/SplashBidNoticeAbstractUI.aspx?menuIndex=3&amp;refID=7080826&amp;Result=3","7080826")</f>
        <v>0</v>
      </c>
      <c r="B4131" t="s">
        <v>976</v>
      </c>
      <c r="C4131" t="s">
        <v>7469</v>
      </c>
      <c r="D4131" t="s">
        <v>18158</v>
      </c>
      <c r="E4131" t="s">
        <v>21895</v>
      </c>
      <c r="F4131" t="s">
        <v>31363</v>
      </c>
      <c r="G4131" t="s">
        <v>31370</v>
      </c>
      <c r="H4131" t="s">
        <v>15799</v>
      </c>
      <c r="I4131" t="s">
        <v>31392</v>
      </c>
      <c r="J4131" t="s">
        <v>32589</v>
      </c>
      <c r="K4131" t="s">
        <v>40670</v>
      </c>
      <c r="M4131" t="s">
        <v>41966</v>
      </c>
      <c r="N4131" t="s">
        <v>44905</v>
      </c>
      <c r="O4131" t="s">
        <v>44906</v>
      </c>
      <c r="P4131">
        <v>0</v>
      </c>
      <c r="Q4131">
        <v>0</v>
      </c>
      <c r="R4131" t="s">
        <v>44908</v>
      </c>
      <c r="S4131" t="s">
        <v>45042</v>
      </c>
      <c r="T4131" t="s">
        <v>46479</v>
      </c>
      <c r="U4131" t="s">
        <v>50322</v>
      </c>
      <c r="W4131" t="s">
        <v>41966</v>
      </c>
      <c r="X4131" t="s">
        <v>44909</v>
      </c>
    </row>
    <row r="4132" spans="1:24">
      <c r="A4132">
        <f>HYPERLINK("https://www.philgeps.gov.ph/GEPSNONPILOT/Tender/SplashBidNoticeAbstractUI.aspx?menuIndex=3&amp;refID=7080835&amp;Result=3","7080835")</f>
        <v>0</v>
      </c>
      <c r="B4132" t="s">
        <v>104</v>
      </c>
      <c r="C4132" t="s">
        <v>7470</v>
      </c>
      <c r="D4132" t="s">
        <v>18127</v>
      </c>
      <c r="E4132" t="s">
        <v>21896</v>
      </c>
      <c r="F4132" t="s">
        <v>31362</v>
      </c>
      <c r="G4132" t="s">
        <v>31369</v>
      </c>
      <c r="H4132" t="s">
        <v>31378</v>
      </c>
      <c r="I4132" t="s">
        <v>31386</v>
      </c>
      <c r="J4132" t="s">
        <v>34232</v>
      </c>
      <c r="K4132" t="s">
        <v>40682</v>
      </c>
      <c r="M4132" t="s">
        <v>41041</v>
      </c>
      <c r="N4132" t="s">
        <v>44905</v>
      </c>
      <c r="O4132" t="s">
        <v>44906</v>
      </c>
      <c r="P4132">
        <v>0</v>
      </c>
      <c r="Q4132">
        <v>0</v>
      </c>
      <c r="R4132" t="s">
        <v>44908</v>
      </c>
      <c r="S4132" t="s">
        <v>45042</v>
      </c>
      <c r="T4132" t="s">
        <v>46444</v>
      </c>
      <c r="U4132" t="s">
        <v>50323</v>
      </c>
      <c r="W4132" t="s">
        <v>41041</v>
      </c>
      <c r="X4132" t="s">
        <v>44909</v>
      </c>
    </row>
    <row r="4133" spans="1:24">
      <c r="A4133">
        <f>HYPERLINK("https://www.philgeps.gov.ph/GEPSNONPILOT/Tender/SplashBidNoticeAbstractUI.aspx?menuIndex=3&amp;refID=7080823&amp;Result=3","7080823")</f>
        <v>0</v>
      </c>
      <c r="B4133" t="s">
        <v>232</v>
      </c>
      <c r="C4133" t="s">
        <v>7471</v>
      </c>
      <c r="D4133" t="s">
        <v>18101</v>
      </c>
      <c r="E4133" t="s">
        <v>21897</v>
      </c>
      <c r="F4133" t="s">
        <v>31362</v>
      </c>
      <c r="G4133" t="s">
        <v>31369</v>
      </c>
      <c r="H4133" t="s">
        <v>31378</v>
      </c>
      <c r="I4133" t="s">
        <v>31386</v>
      </c>
      <c r="J4133" t="s">
        <v>34233</v>
      </c>
      <c r="K4133" t="s">
        <v>40666</v>
      </c>
      <c r="M4133" t="s">
        <v>41171</v>
      </c>
      <c r="N4133" t="s">
        <v>44905</v>
      </c>
      <c r="O4133" t="s">
        <v>44906</v>
      </c>
      <c r="P4133">
        <v>0</v>
      </c>
      <c r="Q4133">
        <v>0</v>
      </c>
      <c r="R4133" t="s">
        <v>44908</v>
      </c>
      <c r="S4133" t="s">
        <v>45042</v>
      </c>
      <c r="T4133" t="s">
        <v>46396</v>
      </c>
      <c r="U4133" t="s">
        <v>50324</v>
      </c>
      <c r="V4133" t="s">
        <v>59456</v>
      </c>
      <c r="W4133" t="s">
        <v>41171</v>
      </c>
      <c r="X4133" t="s">
        <v>44909</v>
      </c>
    </row>
    <row r="4134" spans="1:24">
      <c r="A4134">
        <f>HYPERLINK("https://www.philgeps.gov.ph/GEPSNONPILOT/Tender/SplashBidNoticeAbstractUI.aspx?menuIndex=3&amp;refID=7080828&amp;Result=3","7080828")</f>
        <v>0</v>
      </c>
      <c r="B4134" t="s">
        <v>1358</v>
      </c>
      <c r="C4134" t="s">
        <v>7472</v>
      </c>
      <c r="D4134" t="s">
        <v>18117</v>
      </c>
      <c r="E4134" t="s">
        <v>21898</v>
      </c>
      <c r="F4134" t="s">
        <v>31362</v>
      </c>
      <c r="G4134" t="s">
        <v>31369</v>
      </c>
      <c r="H4134" t="s">
        <v>15799</v>
      </c>
      <c r="I4134" t="s">
        <v>3815</v>
      </c>
      <c r="J4134" t="s">
        <v>34234</v>
      </c>
      <c r="K4134" t="s">
        <v>40670</v>
      </c>
      <c r="M4134" t="s">
        <v>42379</v>
      </c>
      <c r="N4134" t="s">
        <v>44905</v>
      </c>
      <c r="O4134" t="s">
        <v>44906</v>
      </c>
      <c r="P4134">
        <v>0</v>
      </c>
      <c r="Q4134">
        <v>0</v>
      </c>
      <c r="R4134" t="s">
        <v>44908</v>
      </c>
      <c r="S4134" t="s">
        <v>45042</v>
      </c>
      <c r="T4134" t="s">
        <v>46505</v>
      </c>
      <c r="U4134" t="s">
        <v>50325</v>
      </c>
      <c r="V4134" t="s">
        <v>59428</v>
      </c>
      <c r="W4134" t="s">
        <v>42379</v>
      </c>
      <c r="X4134" t="s">
        <v>44909</v>
      </c>
    </row>
    <row r="4135" spans="1:24">
      <c r="A4135">
        <f>HYPERLINK("https://www.philgeps.gov.ph/GEPSNONPILOT/Tender/SplashBidNoticeAbstractUI.aspx?menuIndex=3&amp;refID=7080822&amp;Result=3","7080822")</f>
        <v>0</v>
      </c>
      <c r="B4135" t="s">
        <v>254</v>
      </c>
      <c r="C4135" t="s">
        <v>7473</v>
      </c>
      <c r="D4135" t="s">
        <v>18127</v>
      </c>
      <c r="E4135" t="s">
        <v>21899</v>
      </c>
      <c r="F4135" t="s">
        <v>31362</v>
      </c>
      <c r="G4135" t="s">
        <v>31368</v>
      </c>
      <c r="H4135" t="s">
        <v>15799</v>
      </c>
      <c r="I4135" t="s">
        <v>31393</v>
      </c>
      <c r="J4135" t="s">
        <v>31577</v>
      </c>
      <c r="K4135" t="s">
        <v>40661</v>
      </c>
      <c r="M4135" t="s">
        <v>41194</v>
      </c>
      <c r="N4135" t="s">
        <v>44905</v>
      </c>
      <c r="O4135" t="s">
        <v>44906</v>
      </c>
      <c r="P4135">
        <v>0</v>
      </c>
      <c r="Q4135">
        <v>0</v>
      </c>
      <c r="R4135" t="s">
        <v>44908</v>
      </c>
      <c r="S4135" t="s">
        <v>45042</v>
      </c>
      <c r="T4135" t="s">
        <v>46438</v>
      </c>
      <c r="U4135" t="s">
        <v>50326</v>
      </c>
      <c r="W4135" t="s">
        <v>41194</v>
      </c>
      <c r="X4135" t="s">
        <v>44909</v>
      </c>
    </row>
    <row r="4136" spans="1:24">
      <c r="A4136">
        <f>HYPERLINK("https://www.philgeps.gov.ph/GEPSNONPILOT/Tender/SplashBidNoticeAbstractUI.aspx?menuIndex=3&amp;refID=7080825&amp;Result=3","7080825")</f>
        <v>0</v>
      </c>
      <c r="B4136" t="s">
        <v>1469</v>
      </c>
      <c r="C4136" t="s">
        <v>7474</v>
      </c>
      <c r="D4136" t="s">
        <v>18168</v>
      </c>
      <c r="E4136" t="s">
        <v>21900</v>
      </c>
      <c r="F4136" t="s">
        <v>31362</v>
      </c>
      <c r="G4136" t="s">
        <v>31369</v>
      </c>
      <c r="H4136" t="s">
        <v>15799</v>
      </c>
      <c r="I4136" t="s">
        <v>31400</v>
      </c>
      <c r="J4136" t="s">
        <v>32249</v>
      </c>
      <c r="K4136" t="s">
        <v>40686</v>
      </c>
      <c r="M4136" t="s">
        <v>42502</v>
      </c>
      <c r="N4136" t="s">
        <v>44905</v>
      </c>
      <c r="O4136" t="s">
        <v>44906</v>
      </c>
      <c r="P4136">
        <v>0</v>
      </c>
      <c r="Q4136">
        <v>0</v>
      </c>
      <c r="R4136" t="s">
        <v>44908</v>
      </c>
      <c r="S4136" t="s">
        <v>45042</v>
      </c>
      <c r="T4136" t="s">
        <v>46470</v>
      </c>
      <c r="U4136" t="s">
        <v>50327</v>
      </c>
      <c r="W4136" t="s">
        <v>42502</v>
      </c>
      <c r="X4136" t="s">
        <v>44909</v>
      </c>
    </row>
    <row r="4137" spans="1:24">
      <c r="A4137">
        <f>HYPERLINK("https://www.philgeps.gov.ph/GEPSNONPILOT/Tender/SplashBidNoticeAbstractUI.aspx?menuIndex=3&amp;refID=7080853&amp;Result=3","7080853")</f>
        <v>0</v>
      </c>
      <c r="B4137" t="s">
        <v>1427</v>
      </c>
      <c r="C4137" t="s">
        <v>7475</v>
      </c>
      <c r="D4137" t="s">
        <v>18127</v>
      </c>
      <c r="E4137" t="s">
        <v>21901</v>
      </c>
      <c r="F4137" t="s">
        <v>31362</v>
      </c>
      <c r="G4137" t="s">
        <v>31372</v>
      </c>
      <c r="H4137" t="s">
        <v>15799</v>
      </c>
      <c r="I4137" t="s">
        <v>31380</v>
      </c>
      <c r="J4137" t="s">
        <v>34235</v>
      </c>
      <c r="K4137" t="s">
        <v>40662</v>
      </c>
      <c r="M4137" t="s">
        <v>42455</v>
      </c>
      <c r="N4137" t="s">
        <v>44905</v>
      </c>
      <c r="O4137" t="s">
        <v>44906</v>
      </c>
      <c r="P4137">
        <v>0</v>
      </c>
      <c r="Q4137">
        <v>2</v>
      </c>
      <c r="R4137" t="s">
        <v>44908</v>
      </c>
      <c r="S4137" t="s">
        <v>45042</v>
      </c>
      <c r="T4137" t="s">
        <v>46393</v>
      </c>
      <c r="U4137" t="s">
        <v>50178</v>
      </c>
      <c r="V4137" t="s">
        <v>59449</v>
      </c>
      <c r="W4137" t="s">
        <v>42455</v>
      </c>
      <c r="X4137" t="s">
        <v>44909</v>
      </c>
    </row>
    <row r="4138" spans="1:24">
      <c r="A4138">
        <f>HYPERLINK("https://www.philgeps.gov.ph/GEPSNONPILOT/Tender/SplashBidNoticeAbstractUI.aspx?menuIndex=3&amp;refID=7080861&amp;Result=3","7080861")</f>
        <v>0</v>
      </c>
      <c r="B4138" t="s">
        <v>1415</v>
      </c>
      <c r="C4138" t="s">
        <v>3795</v>
      </c>
      <c r="D4138" t="s">
        <v>18100</v>
      </c>
      <c r="E4138" t="s">
        <v>21902</v>
      </c>
      <c r="F4138" t="s">
        <v>31362</v>
      </c>
      <c r="G4138" t="s">
        <v>31371</v>
      </c>
      <c r="H4138" t="s">
        <v>15799</v>
      </c>
      <c r="I4138" t="s">
        <v>31385</v>
      </c>
      <c r="J4138" t="s">
        <v>34109</v>
      </c>
      <c r="K4138" t="s">
        <v>40662</v>
      </c>
      <c r="M4138" t="s">
        <v>42441</v>
      </c>
      <c r="N4138" t="s">
        <v>44905</v>
      </c>
      <c r="O4138" t="s">
        <v>44906</v>
      </c>
      <c r="P4138">
        <v>0</v>
      </c>
      <c r="Q4138">
        <v>0</v>
      </c>
      <c r="R4138" t="s">
        <v>44908</v>
      </c>
      <c r="S4138" t="s">
        <v>45042</v>
      </c>
      <c r="T4138" t="s">
        <v>46404</v>
      </c>
      <c r="U4138" t="s">
        <v>50328</v>
      </c>
      <c r="W4138" t="s">
        <v>42441</v>
      </c>
      <c r="X4138" t="s">
        <v>44909</v>
      </c>
    </row>
    <row r="4139" spans="1:24">
      <c r="A4139">
        <f>HYPERLINK("https://www.philgeps.gov.ph/GEPSNONPILOT/Tender/SplashBidNoticeAbstractUI.aspx?menuIndex=3&amp;refID=7080827&amp;Result=3","7080827")</f>
        <v>0</v>
      </c>
      <c r="B4139" t="s">
        <v>238</v>
      </c>
      <c r="C4139" t="s">
        <v>7476</v>
      </c>
      <c r="D4139" t="s">
        <v>18163</v>
      </c>
      <c r="E4139" t="s">
        <v>21903</v>
      </c>
      <c r="F4139" t="s">
        <v>31362</v>
      </c>
      <c r="G4139" t="s">
        <v>31368</v>
      </c>
      <c r="H4139" t="s">
        <v>15799</v>
      </c>
      <c r="I4139" t="s">
        <v>4942</v>
      </c>
      <c r="J4139" t="s">
        <v>34236</v>
      </c>
      <c r="K4139" t="s">
        <v>40666</v>
      </c>
      <c r="M4139" t="s">
        <v>41177</v>
      </c>
      <c r="N4139" t="s">
        <v>44905</v>
      </c>
      <c r="O4139" t="s">
        <v>44906</v>
      </c>
      <c r="P4139">
        <v>0</v>
      </c>
      <c r="Q4139">
        <v>0</v>
      </c>
      <c r="R4139" t="s">
        <v>44908</v>
      </c>
      <c r="S4139" t="s">
        <v>45042</v>
      </c>
      <c r="T4139" t="s">
        <v>46409</v>
      </c>
      <c r="U4139" t="s">
        <v>50329</v>
      </c>
      <c r="W4139" t="s">
        <v>41177</v>
      </c>
      <c r="X4139" t="s">
        <v>44909</v>
      </c>
    </row>
    <row r="4140" spans="1:24">
      <c r="A4140">
        <f>HYPERLINK("https://www.philgeps.gov.ph/GEPSNONPILOT/Tender/SplashBidNoticeAbstractUI.aspx?menuIndex=3&amp;refID=7080838&amp;Result=3","7080838")</f>
        <v>0</v>
      </c>
      <c r="B4140" t="s">
        <v>1223</v>
      </c>
      <c r="C4140" t="s">
        <v>7477</v>
      </c>
      <c r="D4140" t="s">
        <v>18126</v>
      </c>
      <c r="E4140" t="s">
        <v>21904</v>
      </c>
      <c r="F4140" t="s">
        <v>31362</v>
      </c>
      <c r="G4140" t="s">
        <v>31370</v>
      </c>
      <c r="H4140" t="s">
        <v>15799</v>
      </c>
      <c r="I4140" t="s">
        <v>31402</v>
      </c>
      <c r="J4140" t="s">
        <v>34237</v>
      </c>
      <c r="K4140" t="s">
        <v>40693</v>
      </c>
      <c r="M4140" t="s">
        <v>42237</v>
      </c>
      <c r="N4140" t="s">
        <v>44905</v>
      </c>
      <c r="O4140" t="s">
        <v>44906</v>
      </c>
      <c r="P4140">
        <v>0</v>
      </c>
      <c r="Q4140">
        <v>0</v>
      </c>
      <c r="R4140" t="s">
        <v>44908</v>
      </c>
      <c r="S4140" t="s">
        <v>45042</v>
      </c>
      <c r="T4140" t="s">
        <v>46409</v>
      </c>
      <c r="U4140" t="s">
        <v>50330</v>
      </c>
      <c r="W4140" t="s">
        <v>42237</v>
      </c>
      <c r="X4140" t="s">
        <v>44909</v>
      </c>
    </row>
    <row r="4141" spans="1:24">
      <c r="A4141">
        <f>HYPERLINK("https://www.philgeps.gov.ph/GEPSNONPILOT/Tender/SplashBidNoticeAbstractUI.aspx?menuIndex=3&amp;refID=7080856&amp;Result=3","7080856")</f>
        <v>0</v>
      </c>
      <c r="B4141" t="s">
        <v>1465</v>
      </c>
      <c r="C4141" t="s">
        <v>7478</v>
      </c>
      <c r="D4141" t="s">
        <v>18116</v>
      </c>
      <c r="E4141" t="s">
        <v>21905</v>
      </c>
      <c r="F4141" t="s">
        <v>31362</v>
      </c>
      <c r="G4141" t="s">
        <v>31370</v>
      </c>
      <c r="H4141" t="s">
        <v>15799</v>
      </c>
      <c r="I4141" t="s">
        <v>7188</v>
      </c>
      <c r="J4141" t="s">
        <v>31792</v>
      </c>
      <c r="K4141" t="s">
        <v>40662</v>
      </c>
      <c r="M4141" t="s">
        <v>42496</v>
      </c>
      <c r="N4141" t="s">
        <v>44905</v>
      </c>
      <c r="O4141" t="s">
        <v>44906</v>
      </c>
      <c r="P4141">
        <v>0</v>
      </c>
      <c r="Q4141">
        <v>0</v>
      </c>
      <c r="R4141" t="s">
        <v>44908</v>
      </c>
      <c r="S4141" t="s">
        <v>45042</v>
      </c>
      <c r="T4141" t="s">
        <v>46454</v>
      </c>
      <c r="U4141" t="s">
        <v>50331</v>
      </c>
      <c r="W4141" t="s">
        <v>42496</v>
      </c>
      <c r="X4141" t="s">
        <v>44909</v>
      </c>
    </row>
    <row r="4142" spans="1:24">
      <c r="A4142">
        <f>HYPERLINK("https://www.philgeps.gov.ph/GEPSNONPILOT/Tender/SplashBidNoticeAbstractUI.aspx?menuIndex=3&amp;refID=7080774&amp;Result=3","7080774")</f>
        <v>0</v>
      </c>
      <c r="B4142" t="s">
        <v>354</v>
      </c>
      <c r="C4142" t="s">
        <v>7479</v>
      </c>
      <c r="D4142" t="s">
        <v>18141</v>
      </c>
      <c r="E4142" t="s">
        <v>21906</v>
      </c>
      <c r="F4142" t="s">
        <v>31362</v>
      </c>
      <c r="G4142" t="s">
        <v>31370</v>
      </c>
      <c r="H4142" t="s">
        <v>15799</v>
      </c>
      <c r="I4142" t="s">
        <v>31404</v>
      </c>
      <c r="J4142" t="s">
        <v>34238</v>
      </c>
      <c r="K4142" t="s">
        <v>40666</v>
      </c>
      <c r="M4142" t="s">
        <v>41301</v>
      </c>
      <c r="N4142" t="s">
        <v>44905</v>
      </c>
      <c r="O4142" t="s">
        <v>44906</v>
      </c>
      <c r="P4142">
        <v>0</v>
      </c>
      <c r="Q4142">
        <v>0</v>
      </c>
      <c r="R4142" t="s">
        <v>44908</v>
      </c>
      <c r="S4142" t="s">
        <v>45042</v>
      </c>
      <c r="T4142" t="s">
        <v>46497</v>
      </c>
      <c r="U4142" t="s">
        <v>50332</v>
      </c>
      <c r="W4142" t="s">
        <v>41301</v>
      </c>
      <c r="X4142" t="s">
        <v>44909</v>
      </c>
    </row>
    <row r="4143" spans="1:24">
      <c r="A4143">
        <f>HYPERLINK("https://www.philgeps.gov.ph/GEPSNONPILOT/Tender/SplashBidNoticeAbstractUI.aspx?menuIndex=3&amp;refID=7080855&amp;Result=3","7080855")</f>
        <v>0</v>
      </c>
      <c r="B4143" t="s">
        <v>349</v>
      </c>
      <c r="C4143" t="s">
        <v>7480</v>
      </c>
      <c r="D4143" t="s">
        <v>18160</v>
      </c>
      <c r="E4143" t="s">
        <v>21907</v>
      </c>
      <c r="F4143" t="s">
        <v>31362</v>
      </c>
      <c r="G4143" t="s">
        <v>31368</v>
      </c>
      <c r="H4143" t="s">
        <v>15799</v>
      </c>
      <c r="I4143" t="s">
        <v>31484</v>
      </c>
      <c r="J4143" t="s">
        <v>33272</v>
      </c>
      <c r="K4143" t="s">
        <v>40661</v>
      </c>
      <c r="M4143" t="s">
        <v>41295</v>
      </c>
      <c r="N4143" t="s">
        <v>44905</v>
      </c>
      <c r="O4143" t="s">
        <v>44906</v>
      </c>
      <c r="P4143">
        <v>0</v>
      </c>
      <c r="Q4143">
        <v>4</v>
      </c>
      <c r="R4143" t="s">
        <v>44908</v>
      </c>
      <c r="S4143" t="s">
        <v>45042</v>
      </c>
      <c r="T4143" t="s">
        <v>46393</v>
      </c>
      <c r="U4143" t="s">
        <v>50333</v>
      </c>
      <c r="W4143" t="s">
        <v>41295</v>
      </c>
      <c r="X4143" t="s">
        <v>44909</v>
      </c>
    </row>
    <row r="4144" spans="1:24">
      <c r="A4144">
        <f>HYPERLINK("https://www.philgeps.gov.ph/GEPSNONPILOT/Tender/SplashBidNoticeAbstractUI.aspx?menuIndex=3&amp;refID=7080852&amp;Result=3","7080852")</f>
        <v>0</v>
      </c>
      <c r="B4144" t="s">
        <v>1252</v>
      </c>
      <c r="C4144" t="s">
        <v>7481</v>
      </c>
      <c r="D4144" t="s">
        <v>18108</v>
      </c>
      <c r="E4144" t="s">
        <v>21908</v>
      </c>
      <c r="F4144" t="s">
        <v>31362</v>
      </c>
      <c r="G4144" t="s">
        <v>31368</v>
      </c>
      <c r="H4144" t="s">
        <v>15799</v>
      </c>
      <c r="I4144" t="s">
        <v>31406</v>
      </c>
      <c r="J4144" t="s">
        <v>34239</v>
      </c>
      <c r="K4144" t="s">
        <v>40665</v>
      </c>
      <c r="M4144" t="s">
        <v>42268</v>
      </c>
      <c r="N4144" t="s">
        <v>44905</v>
      </c>
      <c r="O4144" t="s">
        <v>44906</v>
      </c>
      <c r="P4144">
        <v>0</v>
      </c>
      <c r="Q4144">
        <v>4</v>
      </c>
      <c r="R4144" t="s">
        <v>44908</v>
      </c>
      <c r="S4144" t="s">
        <v>45042</v>
      </c>
      <c r="T4144" t="s">
        <v>46478</v>
      </c>
      <c r="U4144" t="s">
        <v>50334</v>
      </c>
      <c r="W4144" t="s">
        <v>42268</v>
      </c>
      <c r="X4144" t="s">
        <v>44909</v>
      </c>
    </row>
    <row r="4145" spans="1:24">
      <c r="A4145">
        <f>HYPERLINK("https://www.philgeps.gov.ph/GEPSNONPILOT/Tender/SplashBidNoticeAbstractUI.aspx?menuIndex=3&amp;refID=7080824&amp;Result=3","7080824")</f>
        <v>0</v>
      </c>
      <c r="B4145" t="s">
        <v>1263</v>
      </c>
      <c r="C4145" t="s">
        <v>7482</v>
      </c>
      <c r="D4145" t="s">
        <v>18106</v>
      </c>
      <c r="E4145" t="s">
        <v>21229</v>
      </c>
      <c r="F4145" t="s">
        <v>31362</v>
      </c>
      <c r="G4145" t="s">
        <v>31370</v>
      </c>
      <c r="H4145" t="s">
        <v>15799</v>
      </c>
      <c r="I4145" t="s">
        <v>31440</v>
      </c>
      <c r="J4145" t="s">
        <v>32026</v>
      </c>
      <c r="K4145" t="s">
        <v>40661</v>
      </c>
      <c r="M4145" t="s">
        <v>42280</v>
      </c>
      <c r="N4145" t="s">
        <v>44905</v>
      </c>
      <c r="O4145" t="s">
        <v>44906</v>
      </c>
      <c r="P4145">
        <v>0</v>
      </c>
      <c r="Q4145">
        <v>1</v>
      </c>
      <c r="R4145" t="s">
        <v>44908</v>
      </c>
      <c r="S4145" t="s">
        <v>45042</v>
      </c>
      <c r="T4145" t="s">
        <v>46454</v>
      </c>
      <c r="U4145" t="s">
        <v>50335</v>
      </c>
      <c r="W4145" t="s">
        <v>42280</v>
      </c>
      <c r="X4145" t="s">
        <v>44909</v>
      </c>
    </row>
    <row r="4146" spans="1:24">
      <c r="A4146">
        <f>HYPERLINK("https://www.philgeps.gov.ph/GEPSNONPILOT/Tender/SplashBidNoticeAbstractUI.aspx?menuIndex=3&amp;refID=7080858&amp;Result=3","7080858")</f>
        <v>0</v>
      </c>
      <c r="B4146" t="s">
        <v>672</v>
      </c>
      <c r="C4146" t="s">
        <v>7483</v>
      </c>
      <c r="D4146" t="s">
        <v>18103</v>
      </c>
      <c r="E4146" t="s">
        <v>21909</v>
      </c>
      <c r="F4146" t="s">
        <v>31362</v>
      </c>
      <c r="G4146" t="s">
        <v>31369</v>
      </c>
      <c r="H4146" t="s">
        <v>31378</v>
      </c>
      <c r="I4146" t="s">
        <v>31386</v>
      </c>
      <c r="J4146" t="s">
        <v>34240</v>
      </c>
      <c r="K4146" t="s">
        <v>40678</v>
      </c>
      <c r="M4146" t="s">
        <v>41634</v>
      </c>
      <c r="N4146" t="s">
        <v>44905</v>
      </c>
      <c r="O4146" t="s">
        <v>44906</v>
      </c>
      <c r="P4146">
        <v>0</v>
      </c>
      <c r="Q4146">
        <v>3</v>
      </c>
      <c r="R4146" t="s">
        <v>44908</v>
      </c>
      <c r="S4146" t="s">
        <v>45042</v>
      </c>
      <c r="T4146" t="s">
        <v>46429</v>
      </c>
      <c r="U4146" t="s">
        <v>50090</v>
      </c>
      <c r="W4146" t="s">
        <v>60863</v>
      </c>
      <c r="X4146" t="s">
        <v>44909</v>
      </c>
    </row>
    <row r="4147" spans="1:24">
      <c r="A4147">
        <f>HYPERLINK("https://www.philgeps.gov.ph/GEPSNONPILOT/Tender/SplashBidNoticeAbstractUI.aspx?menuIndex=3&amp;refID=7080857&amp;Result=3","7080857")</f>
        <v>0</v>
      </c>
      <c r="B4147" t="s">
        <v>254</v>
      </c>
      <c r="C4147" t="s">
        <v>7484</v>
      </c>
      <c r="D4147" t="s">
        <v>18127</v>
      </c>
      <c r="E4147" t="s">
        <v>21910</v>
      </c>
      <c r="F4147" t="s">
        <v>31362</v>
      </c>
      <c r="G4147" t="s">
        <v>31368</v>
      </c>
      <c r="H4147" t="s">
        <v>15799</v>
      </c>
      <c r="I4147" t="s">
        <v>31383</v>
      </c>
      <c r="J4147" t="s">
        <v>31724</v>
      </c>
      <c r="K4147" t="s">
        <v>40661</v>
      </c>
      <c r="M4147" t="s">
        <v>41194</v>
      </c>
      <c r="N4147" t="s">
        <v>44905</v>
      </c>
      <c r="O4147" t="s">
        <v>44906</v>
      </c>
      <c r="P4147">
        <v>0</v>
      </c>
      <c r="Q4147">
        <v>0</v>
      </c>
      <c r="R4147" t="s">
        <v>44908</v>
      </c>
      <c r="S4147" t="s">
        <v>45042</v>
      </c>
      <c r="T4147" t="s">
        <v>46438</v>
      </c>
      <c r="U4147" t="s">
        <v>50336</v>
      </c>
      <c r="W4147" t="s">
        <v>41194</v>
      </c>
      <c r="X4147" t="s">
        <v>44909</v>
      </c>
    </row>
    <row r="4148" spans="1:24">
      <c r="A4148">
        <f>HYPERLINK("https://www.philgeps.gov.ph/GEPSNONPILOT/Tender/SplashBidNoticeAbstractUI.aspx?menuIndex=3&amp;refID=7080740&amp;Result=3","7080740")</f>
        <v>0</v>
      </c>
      <c r="B4148" t="s">
        <v>1427</v>
      </c>
      <c r="C4148" t="s">
        <v>7485</v>
      </c>
      <c r="D4148" t="s">
        <v>18127</v>
      </c>
      <c r="E4148" t="s">
        <v>7485</v>
      </c>
      <c r="F4148" t="s">
        <v>31362</v>
      </c>
      <c r="G4148" t="s">
        <v>31372</v>
      </c>
      <c r="H4148" t="s">
        <v>15799</v>
      </c>
      <c r="I4148" t="s">
        <v>31382</v>
      </c>
      <c r="J4148" t="s">
        <v>34241</v>
      </c>
      <c r="K4148" t="s">
        <v>40662</v>
      </c>
      <c r="M4148" t="s">
        <v>42455</v>
      </c>
      <c r="N4148" t="s">
        <v>44905</v>
      </c>
      <c r="O4148" t="s">
        <v>44906</v>
      </c>
      <c r="P4148">
        <v>0</v>
      </c>
      <c r="Q4148">
        <v>5</v>
      </c>
      <c r="R4148" t="s">
        <v>44908</v>
      </c>
      <c r="S4148" t="s">
        <v>45042</v>
      </c>
      <c r="T4148" t="s">
        <v>46422</v>
      </c>
      <c r="U4148" t="s">
        <v>50178</v>
      </c>
      <c r="V4148" t="s">
        <v>59449</v>
      </c>
      <c r="W4148" t="s">
        <v>42455</v>
      </c>
      <c r="X4148" t="s">
        <v>44909</v>
      </c>
    </row>
    <row r="4149" spans="1:24">
      <c r="A4149">
        <f>HYPERLINK("https://www.philgeps.gov.ph/GEPSNONPILOT/Tender/SplashBidNoticeAbstractUI.aspx?menuIndex=3&amp;refID=7080844&amp;Result=3","7080844")</f>
        <v>0</v>
      </c>
      <c r="B4149" t="s">
        <v>345</v>
      </c>
      <c r="C4149" t="s">
        <v>7486</v>
      </c>
      <c r="D4149" t="s">
        <v>18149</v>
      </c>
      <c r="E4149" t="s">
        <v>21911</v>
      </c>
      <c r="F4149" t="s">
        <v>31362</v>
      </c>
      <c r="G4149" t="s">
        <v>31368</v>
      </c>
      <c r="H4149" t="s">
        <v>15799</v>
      </c>
      <c r="I4149" t="s">
        <v>6240</v>
      </c>
      <c r="J4149" t="s">
        <v>34242</v>
      </c>
      <c r="K4149" t="s">
        <v>40693</v>
      </c>
      <c r="M4149" t="s">
        <v>41291</v>
      </c>
      <c r="N4149" t="s">
        <v>44905</v>
      </c>
      <c r="O4149" t="s">
        <v>44906</v>
      </c>
      <c r="P4149">
        <v>0</v>
      </c>
      <c r="Q4149">
        <v>0</v>
      </c>
      <c r="R4149" t="s">
        <v>44908</v>
      </c>
      <c r="S4149" t="s">
        <v>45042</v>
      </c>
      <c r="T4149" t="s">
        <v>46580</v>
      </c>
      <c r="U4149" t="s">
        <v>50337</v>
      </c>
      <c r="W4149" t="s">
        <v>41291</v>
      </c>
      <c r="X4149" t="s">
        <v>44909</v>
      </c>
    </row>
    <row r="4150" spans="1:24">
      <c r="A4150">
        <f>HYPERLINK("https://www.philgeps.gov.ph/GEPSNONPILOT/Tender/SplashBidNoticeAbstractUI.aspx?menuIndex=3&amp;refID=7080854&amp;Result=3","7080854")</f>
        <v>0</v>
      </c>
      <c r="B4150" t="s">
        <v>1470</v>
      </c>
      <c r="C4150" t="s">
        <v>7487</v>
      </c>
      <c r="D4150" t="s">
        <v>18104</v>
      </c>
      <c r="E4150" t="s">
        <v>21912</v>
      </c>
      <c r="F4150" t="s">
        <v>31362</v>
      </c>
      <c r="G4150" t="s">
        <v>31368</v>
      </c>
      <c r="H4150" t="s">
        <v>15799</v>
      </c>
      <c r="I4150" t="s">
        <v>31385</v>
      </c>
      <c r="J4150" t="s">
        <v>34243</v>
      </c>
      <c r="K4150" t="s">
        <v>40661</v>
      </c>
      <c r="M4150" t="s">
        <v>42503</v>
      </c>
      <c r="N4150" t="s">
        <v>44905</v>
      </c>
      <c r="O4150" t="s">
        <v>44906</v>
      </c>
      <c r="P4150">
        <v>0</v>
      </c>
      <c r="Q4150">
        <v>0</v>
      </c>
      <c r="R4150" t="s">
        <v>44908</v>
      </c>
      <c r="S4150" t="s">
        <v>45042</v>
      </c>
      <c r="T4150" t="s">
        <v>46467</v>
      </c>
      <c r="U4150" t="s">
        <v>50338</v>
      </c>
      <c r="W4150" t="s">
        <v>42503</v>
      </c>
      <c r="X4150" t="s">
        <v>44909</v>
      </c>
    </row>
    <row r="4151" spans="1:24">
      <c r="A4151">
        <f>HYPERLINK("https://www.philgeps.gov.ph/GEPSNONPILOT/Tender/SplashBidNoticeAbstractUI.aspx?menuIndex=3&amp;refID=7080887&amp;Result=3","7080887")</f>
        <v>0</v>
      </c>
      <c r="B4151" t="s">
        <v>1471</v>
      </c>
      <c r="C4151" t="s">
        <v>7488</v>
      </c>
      <c r="D4151" t="s">
        <v>18177</v>
      </c>
      <c r="E4151" t="s">
        <v>18203</v>
      </c>
      <c r="F4151" t="s">
        <v>31362</v>
      </c>
      <c r="G4151" t="s">
        <v>31369</v>
      </c>
      <c r="H4151" t="s">
        <v>15799</v>
      </c>
      <c r="I4151" t="s">
        <v>3815</v>
      </c>
      <c r="J4151" t="s">
        <v>32559</v>
      </c>
      <c r="K4151" t="s">
        <v>40665</v>
      </c>
      <c r="M4151" t="s">
        <v>42504</v>
      </c>
      <c r="N4151" t="s">
        <v>44905</v>
      </c>
      <c r="O4151" t="s">
        <v>44906</v>
      </c>
      <c r="P4151">
        <v>0</v>
      </c>
      <c r="Q4151">
        <v>0</v>
      </c>
      <c r="R4151" t="s">
        <v>44908</v>
      </c>
      <c r="S4151" t="s">
        <v>45042</v>
      </c>
      <c r="T4151" t="s">
        <v>46396</v>
      </c>
      <c r="U4151" t="s">
        <v>50339</v>
      </c>
      <c r="W4151" t="s">
        <v>42504</v>
      </c>
      <c r="X4151" t="s">
        <v>44909</v>
      </c>
    </row>
    <row r="4152" spans="1:24">
      <c r="A4152">
        <f>HYPERLINK("https://www.philgeps.gov.ph/GEPSNONPILOT/Tender/SplashBidNoticeAbstractUI.aspx?menuIndex=3&amp;refID=7080851&amp;Result=3","7080851")</f>
        <v>0</v>
      </c>
      <c r="B4152" t="s">
        <v>123</v>
      </c>
      <c r="C4152" t="s">
        <v>7489</v>
      </c>
      <c r="D4152" t="s">
        <v>18127</v>
      </c>
      <c r="E4152" t="s">
        <v>21913</v>
      </c>
      <c r="F4152" t="s">
        <v>31362</v>
      </c>
      <c r="G4152" t="s">
        <v>31369</v>
      </c>
      <c r="H4152" t="s">
        <v>15799</v>
      </c>
      <c r="I4152" t="s">
        <v>31455</v>
      </c>
      <c r="J4152" t="s">
        <v>34244</v>
      </c>
      <c r="K4152" t="s">
        <v>40720</v>
      </c>
      <c r="M4152" t="s">
        <v>41060</v>
      </c>
      <c r="N4152" t="s">
        <v>44905</v>
      </c>
      <c r="O4152" t="s">
        <v>44906</v>
      </c>
      <c r="P4152">
        <v>0</v>
      </c>
      <c r="Q4152">
        <v>0</v>
      </c>
      <c r="R4152" t="s">
        <v>44908</v>
      </c>
      <c r="S4152" t="s">
        <v>45042</v>
      </c>
      <c r="T4152" t="s">
        <v>46604</v>
      </c>
      <c r="U4152" t="s">
        <v>50340</v>
      </c>
      <c r="V4152" t="s">
        <v>59076</v>
      </c>
      <c r="W4152" t="s">
        <v>41060</v>
      </c>
      <c r="X4152" t="s">
        <v>44909</v>
      </c>
    </row>
    <row r="4153" spans="1:24">
      <c r="A4153">
        <f>HYPERLINK("https://www.philgeps.gov.ph/GEPSNONPILOT/Tender/SplashBidNoticeAbstractUI.aspx?menuIndex=3&amp;refID=7080885&amp;Result=3","7080885")</f>
        <v>0</v>
      </c>
      <c r="B4153" t="s">
        <v>604</v>
      </c>
      <c r="C4153" t="s">
        <v>7490</v>
      </c>
      <c r="D4153" t="s">
        <v>18122</v>
      </c>
      <c r="E4153" t="s">
        <v>21914</v>
      </c>
      <c r="F4153" t="s">
        <v>31362</v>
      </c>
      <c r="G4153" t="s">
        <v>31373</v>
      </c>
      <c r="H4153" t="s">
        <v>31378</v>
      </c>
      <c r="I4153" t="s">
        <v>31386</v>
      </c>
      <c r="J4153" t="s">
        <v>34245</v>
      </c>
      <c r="K4153" t="s">
        <v>40725</v>
      </c>
      <c r="M4153" t="s">
        <v>41562</v>
      </c>
      <c r="N4153" t="s">
        <v>44905</v>
      </c>
      <c r="O4153" t="s">
        <v>44906</v>
      </c>
      <c r="P4153">
        <v>0</v>
      </c>
      <c r="Q4153">
        <v>4</v>
      </c>
      <c r="R4153" t="s">
        <v>44908</v>
      </c>
      <c r="S4153" t="s">
        <v>45042</v>
      </c>
      <c r="T4153" t="s">
        <v>46449</v>
      </c>
      <c r="U4153" t="s">
        <v>50341</v>
      </c>
      <c r="V4153" t="s">
        <v>59212</v>
      </c>
      <c r="W4153" t="s">
        <v>41562</v>
      </c>
      <c r="X4153" t="s">
        <v>44909</v>
      </c>
    </row>
    <row r="4154" spans="1:24">
      <c r="A4154">
        <f>HYPERLINK("https://www.philgeps.gov.ph/GEPSNONPILOT/Tender/SplashBidNoticeAbstractUI.aspx?menuIndex=3&amp;refID=7080850&amp;Result=3","7080850")</f>
        <v>0</v>
      </c>
      <c r="B4154" t="s">
        <v>910</v>
      </c>
      <c r="C4154" t="s">
        <v>7491</v>
      </c>
      <c r="D4154" t="s">
        <v>18155</v>
      </c>
      <c r="E4154" t="s">
        <v>21915</v>
      </c>
      <c r="F4154" t="s">
        <v>31362</v>
      </c>
      <c r="G4154" t="s">
        <v>31368</v>
      </c>
      <c r="H4154" t="s">
        <v>15799</v>
      </c>
      <c r="I4154" t="s">
        <v>7188</v>
      </c>
      <c r="J4154" t="s">
        <v>31564</v>
      </c>
      <c r="K4154" t="s">
        <v>40665</v>
      </c>
      <c r="M4154" t="s">
        <v>42505</v>
      </c>
      <c r="N4154" t="s">
        <v>44905</v>
      </c>
      <c r="O4154" t="s">
        <v>44906</v>
      </c>
      <c r="P4154">
        <v>0</v>
      </c>
      <c r="Q4154">
        <v>5</v>
      </c>
      <c r="R4154" t="s">
        <v>44908</v>
      </c>
      <c r="S4154" t="s">
        <v>45042</v>
      </c>
      <c r="T4154" t="s">
        <v>46409</v>
      </c>
      <c r="U4154" t="s">
        <v>50342</v>
      </c>
      <c r="W4154" t="s">
        <v>42505</v>
      </c>
      <c r="X4154" t="s">
        <v>44909</v>
      </c>
    </row>
    <row r="4155" spans="1:24">
      <c r="A4155">
        <f>HYPERLINK("https://www.philgeps.gov.ph/GEPSNONPILOT/Tender/SplashBidNoticeAbstractUI.aspx?menuIndex=3&amp;refID=7080883&amp;Result=3","7080883")</f>
        <v>0</v>
      </c>
      <c r="B4155" t="s">
        <v>440</v>
      </c>
      <c r="C4155" t="s">
        <v>7492</v>
      </c>
      <c r="D4155" t="s">
        <v>18154</v>
      </c>
      <c r="E4155" t="s">
        <v>21916</v>
      </c>
      <c r="F4155" t="s">
        <v>31362</v>
      </c>
      <c r="G4155" t="s">
        <v>31368</v>
      </c>
      <c r="H4155" t="s">
        <v>15799</v>
      </c>
      <c r="I4155" t="s">
        <v>31388</v>
      </c>
      <c r="J4155" t="s">
        <v>32400</v>
      </c>
      <c r="K4155" t="s">
        <v>40662</v>
      </c>
      <c r="M4155" t="s">
        <v>41604</v>
      </c>
      <c r="N4155" t="s">
        <v>44905</v>
      </c>
      <c r="O4155" t="s">
        <v>44906</v>
      </c>
      <c r="P4155">
        <v>0</v>
      </c>
      <c r="Q4155">
        <v>0</v>
      </c>
      <c r="R4155" t="s">
        <v>44908</v>
      </c>
      <c r="S4155" t="s">
        <v>45042</v>
      </c>
      <c r="T4155" t="s">
        <v>46447</v>
      </c>
      <c r="U4155" t="s">
        <v>50343</v>
      </c>
      <c r="W4155" t="s">
        <v>41604</v>
      </c>
      <c r="X4155" t="s">
        <v>44909</v>
      </c>
    </row>
    <row r="4156" spans="1:24">
      <c r="A4156">
        <f>HYPERLINK("https://www.philgeps.gov.ph/GEPSNONPILOT/Tender/SplashBidNoticeAbstractUI.aspx?menuIndex=3&amp;refID=7080881&amp;Result=3","7080881")</f>
        <v>0</v>
      </c>
      <c r="B4156" t="s">
        <v>993</v>
      </c>
      <c r="C4156" t="s">
        <v>7493</v>
      </c>
      <c r="D4156" t="s">
        <v>18103</v>
      </c>
      <c r="E4156" t="s">
        <v>21917</v>
      </c>
      <c r="F4156" t="s">
        <v>31362</v>
      </c>
      <c r="G4156" t="s">
        <v>31369</v>
      </c>
      <c r="H4156" t="s">
        <v>15799</v>
      </c>
      <c r="I4156" t="s">
        <v>31384</v>
      </c>
      <c r="J4156" t="s">
        <v>34246</v>
      </c>
      <c r="K4156" t="s">
        <v>40662</v>
      </c>
      <c r="M4156" t="s">
        <v>41988</v>
      </c>
      <c r="N4156" t="s">
        <v>44905</v>
      </c>
      <c r="O4156" t="s">
        <v>44906</v>
      </c>
      <c r="P4156">
        <v>0</v>
      </c>
      <c r="Q4156">
        <v>7</v>
      </c>
      <c r="R4156" t="s">
        <v>44908</v>
      </c>
      <c r="S4156" t="s">
        <v>45042</v>
      </c>
      <c r="T4156" t="s">
        <v>46522</v>
      </c>
      <c r="U4156" t="s">
        <v>50344</v>
      </c>
      <c r="W4156" t="s">
        <v>41988</v>
      </c>
      <c r="X4156" t="s">
        <v>44909</v>
      </c>
    </row>
    <row r="4157" spans="1:24">
      <c r="A4157">
        <f>HYPERLINK("https://www.philgeps.gov.ph/GEPSNONPILOT/Tender/SplashBidNoticeAbstractUI.aspx?menuIndex=3&amp;refID=7080879&amp;Result=3","7080879")</f>
        <v>0</v>
      </c>
      <c r="B4157" t="s">
        <v>74</v>
      </c>
      <c r="C4157" t="s">
        <v>7494</v>
      </c>
      <c r="D4157" t="s">
        <v>18108</v>
      </c>
      <c r="E4157" t="s">
        <v>21918</v>
      </c>
      <c r="F4157" t="s">
        <v>31362</v>
      </c>
      <c r="G4157" t="s">
        <v>31371</v>
      </c>
      <c r="H4157" t="s">
        <v>15799</v>
      </c>
      <c r="I4157" t="s">
        <v>31414</v>
      </c>
      <c r="J4157" t="s">
        <v>34247</v>
      </c>
      <c r="K4157" t="s">
        <v>40670</v>
      </c>
      <c r="M4157" t="s">
        <v>41010</v>
      </c>
      <c r="N4157" t="s">
        <v>44905</v>
      </c>
      <c r="O4157" t="s">
        <v>44906</v>
      </c>
      <c r="P4157">
        <v>0</v>
      </c>
      <c r="Q4157">
        <v>5</v>
      </c>
      <c r="R4157" t="s">
        <v>44908</v>
      </c>
      <c r="S4157" t="s">
        <v>45042</v>
      </c>
      <c r="T4157" t="s">
        <v>46404</v>
      </c>
      <c r="U4157" t="s">
        <v>50345</v>
      </c>
      <c r="W4157" t="s">
        <v>41010</v>
      </c>
      <c r="X4157" t="s">
        <v>44909</v>
      </c>
    </row>
    <row r="4158" spans="1:24">
      <c r="A4158">
        <f>HYPERLINK("https://www.philgeps.gov.ph/GEPSNONPILOT/Tender/SplashBidNoticeAbstractUI.aspx?menuIndex=3&amp;refID=7080878&amp;Result=3","7080878")</f>
        <v>0</v>
      </c>
      <c r="B4158" t="s">
        <v>417</v>
      </c>
      <c r="C4158" t="s">
        <v>7495</v>
      </c>
      <c r="D4158" t="s">
        <v>18166</v>
      </c>
      <c r="E4158" t="s">
        <v>21919</v>
      </c>
      <c r="F4158" t="s">
        <v>31362</v>
      </c>
      <c r="G4158" t="s">
        <v>31369</v>
      </c>
      <c r="H4158" t="s">
        <v>15799</v>
      </c>
      <c r="I4158" t="s">
        <v>4942</v>
      </c>
      <c r="J4158" t="s">
        <v>34248</v>
      </c>
      <c r="K4158" t="s">
        <v>40670</v>
      </c>
      <c r="M4158" t="s">
        <v>41367</v>
      </c>
      <c r="N4158" t="s">
        <v>44905</v>
      </c>
      <c r="O4158" t="s">
        <v>44906</v>
      </c>
      <c r="P4158">
        <v>0</v>
      </c>
      <c r="Q4158">
        <v>0</v>
      </c>
      <c r="R4158" t="s">
        <v>44908</v>
      </c>
      <c r="S4158" t="s">
        <v>45042</v>
      </c>
      <c r="T4158" t="s">
        <v>46404</v>
      </c>
      <c r="U4158" t="s">
        <v>50346</v>
      </c>
      <c r="W4158" t="s">
        <v>41367</v>
      </c>
      <c r="X4158" t="s">
        <v>44909</v>
      </c>
    </row>
    <row r="4159" spans="1:24">
      <c r="A4159">
        <f>HYPERLINK("https://www.philgeps.gov.ph/GEPSNONPILOT/Tender/SplashBidNoticeAbstractUI.aspx?menuIndex=3&amp;refID=7080875&amp;Result=3","7080875")</f>
        <v>0</v>
      </c>
      <c r="B4159" t="s">
        <v>534</v>
      </c>
      <c r="C4159" t="s">
        <v>7496</v>
      </c>
      <c r="D4159" t="s">
        <v>18131</v>
      </c>
      <c r="E4159" t="s">
        <v>21920</v>
      </c>
      <c r="F4159" t="s">
        <v>31362</v>
      </c>
      <c r="G4159" t="s">
        <v>31368</v>
      </c>
      <c r="H4159" t="s">
        <v>15799</v>
      </c>
      <c r="I4159" t="s">
        <v>31387</v>
      </c>
      <c r="J4159" t="s">
        <v>34249</v>
      </c>
      <c r="K4159" t="s">
        <v>40670</v>
      </c>
      <c r="M4159" t="s">
        <v>41490</v>
      </c>
      <c r="N4159" t="s">
        <v>44905</v>
      </c>
      <c r="O4159" t="s">
        <v>44906</v>
      </c>
      <c r="P4159">
        <v>0</v>
      </c>
      <c r="Q4159">
        <v>0</v>
      </c>
      <c r="R4159" t="s">
        <v>44908</v>
      </c>
      <c r="S4159" t="s">
        <v>45042</v>
      </c>
      <c r="T4159" t="s">
        <v>46435</v>
      </c>
      <c r="U4159" t="s">
        <v>50347</v>
      </c>
      <c r="W4159" t="s">
        <v>41490</v>
      </c>
      <c r="X4159" t="s">
        <v>44909</v>
      </c>
    </row>
    <row r="4160" spans="1:24">
      <c r="A4160">
        <f>HYPERLINK("https://www.philgeps.gov.ph/GEPSNONPILOT/Tender/SplashBidNoticeAbstractUI.aspx?menuIndex=3&amp;refID=7080874&amp;Result=3","7080874")</f>
        <v>0</v>
      </c>
      <c r="B4160" t="s">
        <v>1468</v>
      </c>
      <c r="C4160" t="s">
        <v>7497</v>
      </c>
      <c r="D4160" t="s">
        <v>18134</v>
      </c>
      <c r="E4160" t="s">
        <v>21921</v>
      </c>
      <c r="F4160" t="s">
        <v>31362</v>
      </c>
      <c r="G4160" t="s">
        <v>31369</v>
      </c>
      <c r="H4160" t="s">
        <v>31378</v>
      </c>
      <c r="I4160" t="s">
        <v>31386</v>
      </c>
      <c r="J4160" t="s">
        <v>34250</v>
      </c>
      <c r="K4160" t="s">
        <v>40710</v>
      </c>
      <c r="M4160" t="s">
        <v>42501</v>
      </c>
      <c r="N4160" t="s">
        <v>44905</v>
      </c>
      <c r="O4160" t="s">
        <v>44906</v>
      </c>
      <c r="P4160">
        <v>0</v>
      </c>
      <c r="Q4160">
        <v>2</v>
      </c>
      <c r="R4160" t="s">
        <v>44908</v>
      </c>
      <c r="S4160" t="s">
        <v>45042</v>
      </c>
      <c r="T4160" t="s">
        <v>46398</v>
      </c>
      <c r="U4160" t="s">
        <v>50348</v>
      </c>
      <c r="W4160" t="s">
        <v>42501</v>
      </c>
      <c r="X4160" t="s">
        <v>44909</v>
      </c>
    </row>
    <row r="4161" spans="1:24">
      <c r="A4161">
        <f>HYPERLINK("https://www.philgeps.gov.ph/GEPSNONPILOT/Tender/SplashBidNoticeAbstractUI.aspx?menuIndex=3&amp;refID=7080846&amp;Result=3","7080846")</f>
        <v>0</v>
      </c>
      <c r="B4161" t="s">
        <v>237</v>
      </c>
      <c r="C4161" t="s">
        <v>7498</v>
      </c>
      <c r="D4161" t="s">
        <v>18108</v>
      </c>
      <c r="E4161" t="s">
        <v>21922</v>
      </c>
      <c r="F4161" t="s">
        <v>31362</v>
      </c>
      <c r="G4161" t="s">
        <v>31370</v>
      </c>
      <c r="H4161" t="s">
        <v>15799</v>
      </c>
      <c r="I4161" t="s">
        <v>31380</v>
      </c>
      <c r="J4161" t="s">
        <v>34251</v>
      </c>
      <c r="K4161" t="s">
        <v>40670</v>
      </c>
      <c r="M4161" t="s">
        <v>41330</v>
      </c>
      <c r="N4161" t="s">
        <v>44905</v>
      </c>
      <c r="O4161" t="s">
        <v>44906</v>
      </c>
      <c r="P4161">
        <v>0</v>
      </c>
      <c r="Q4161">
        <v>2</v>
      </c>
      <c r="R4161" t="s">
        <v>44908</v>
      </c>
      <c r="S4161" t="s">
        <v>45042</v>
      </c>
      <c r="T4161" t="s">
        <v>46454</v>
      </c>
      <c r="U4161" t="s">
        <v>50349</v>
      </c>
      <c r="V4161" t="s">
        <v>59461</v>
      </c>
      <c r="W4161" t="s">
        <v>41330</v>
      </c>
      <c r="X4161" t="s">
        <v>44909</v>
      </c>
    </row>
    <row r="4162" spans="1:24">
      <c r="A4162">
        <f>HYPERLINK("https://www.philgeps.gov.ph/GEPSNONPILOT/Tender/SplashBidNoticeAbstractUI.aspx?menuIndex=3&amp;refID=7080873&amp;Result=3","7080873")</f>
        <v>0</v>
      </c>
      <c r="B4162" t="s">
        <v>1226</v>
      </c>
      <c r="C4162" t="s">
        <v>7499</v>
      </c>
      <c r="D4162" t="s">
        <v>18112</v>
      </c>
      <c r="E4162" t="s">
        <v>20783</v>
      </c>
      <c r="F4162" t="s">
        <v>31362</v>
      </c>
      <c r="G4162" t="s">
        <v>31370</v>
      </c>
      <c r="H4162" t="s">
        <v>15799</v>
      </c>
      <c r="I4162" t="s">
        <v>6373</v>
      </c>
      <c r="J4162" t="s">
        <v>34252</v>
      </c>
      <c r="K4162" t="s">
        <v>40672</v>
      </c>
      <c r="M4162" t="s">
        <v>42240</v>
      </c>
      <c r="N4162" t="s">
        <v>44905</v>
      </c>
      <c r="O4162" t="s">
        <v>44906</v>
      </c>
      <c r="P4162">
        <v>0</v>
      </c>
      <c r="Q4162">
        <v>1</v>
      </c>
      <c r="R4162" t="s">
        <v>44908</v>
      </c>
      <c r="S4162" t="s">
        <v>45042</v>
      </c>
      <c r="T4162" t="s">
        <v>46534</v>
      </c>
      <c r="U4162" t="s">
        <v>50350</v>
      </c>
      <c r="W4162" t="s">
        <v>42240</v>
      </c>
      <c r="X4162" t="s">
        <v>44909</v>
      </c>
    </row>
    <row r="4163" spans="1:24">
      <c r="A4163">
        <f>HYPERLINK("https://www.philgeps.gov.ph/GEPSNONPILOT/Tender/SplashBidNoticeAbstractUI.aspx?menuIndex=3&amp;refID=7080869&amp;Result=3","7080869")</f>
        <v>0</v>
      </c>
      <c r="B4163" t="s">
        <v>672</v>
      </c>
      <c r="C4163" t="s">
        <v>7500</v>
      </c>
      <c r="D4163" t="s">
        <v>18103</v>
      </c>
      <c r="E4163" t="s">
        <v>21923</v>
      </c>
      <c r="F4163" t="s">
        <v>31362</v>
      </c>
      <c r="G4163" t="s">
        <v>31369</v>
      </c>
      <c r="H4163" t="s">
        <v>31378</v>
      </c>
      <c r="I4163" t="s">
        <v>31386</v>
      </c>
      <c r="J4163" t="s">
        <v>34253</v>
      </c>
      <c r="K4163" t="s">
        <v>40683</v>
      </c>
      <c r="M4163" t="s">
        <v>41634</v>
      </c>
      <c r="N4163" t="s">
        <v>44905</v>
      </c>
      <c r="O4163" t="s">
        <v>44906</v>
      </c>
      <c r="P4163">
        <v>0</v>
      </c>
      <c r="Q4163">
        <v>2</v>
      </c>
      <c r="R4163" t="s">
        <v>44908</v>
      </c>
      <c r="S4163" t="s">
        <v>45042</v>
      </c>
      <c r="T4163" t="s">
        <v>46429</v>
      </c>
      <c r="U4163" t="s">
        <v>50090</v>
      </c>
      <c r="W4163" t="s">
        <v>60863</v>
      </c>
      <c r="X4163" t="s">
        <v>44909</v>
      </c>
    </row>
    <row r="4164" spans="1:24">
      <c r="A4164">
        <f>HYPERLINK("https://www.philgeps.gov.ph/GEPSNONPILOT/Tender/SplashBidNoticeAbstractUI.aspx?menuIndex=3&amp;refID=7080886&amp;Result=3","7080886")</f>
        <v>0</v>
      </c>
      <c r="B4164" t="s">
        <v>104</v>
      </c>
      <c r="C4164" t="s">
        <v>7501</v>
      </c>
      <c r="D4164" t="s">
        <v>18127</v>
      </c>
      <c r="E4164" t="s">
        <v>18218</v>
      </c>
      <c r="F4164" t="s">
        <v>31362</v>
      </c>
      <c r="G4164" t="s">
        <v>31369</v>
      </c>
      <c r="H4164" t="s">
        <v>31378</v>
      </c>
      <c r="I4164" t="s">
        <v>31386</v>
      </c>
      <c r="J4164" t="s">
        <v>34254</v>
      </c>
      <c r="K4164" t="s">
        <v>40694</v>
      </c>
      <c r="M4164" t="s">
        <v>41041</v>
      </c>
      <c r="N4164" t="s">
        <v>44905</v>
      </c>
      <c r="O4164" t="s">
        <v>44906</v>
      </c>
      <c r="P4164">
        <v>0</v>
      </c>
      <c r="Q4164">
        <v>0</v>
      </c>
      <c r="R4164" t="s">
        <v>44908</v>
      </c>
      <c r="S4164" t="s">
        <v>45042</v>
      </c>
      <c r="T4164" t="s">
        <v>46444</v>
      </c>
      <c r="U4164" t="s">
        <v>50351</v>
      </c>
      <c r="W4164" t="s">
        <v>41041</v>
      </c>
      <c r="X4164" t="s">
        <v>44909</v>
      </c>
    </row>
    <row r="4165" spans="1:24">
      <c r="A4165">
        <f>HYPERLINK("https://www.philgeps.gov.ph/GEPSNONPILOT/Tender/SplashBidNoticeAbstractUI.aspx?menuIndex=3&amp;refID=7080868&amp;Result=3","7080868")</f>
        <v>0</v>
      </c>
      <c r="B4165" t="s">
        <v>1398</v>
      </c>
      <c r="C4165" t="s">
        <v>7502</v>
      </c>
      <c r="D4165" t="s">
        <v>18152</v>
      </c>
      <c r="E4165" t="s">
        <v>21924</v>
      </c>
      <c r="F4165" t="s">
        <v>31362</v>
      </c>
      <c r="G4165" t="s">
        <v>31369</v>
      </c>
      <c r="H4165" t="s">
        <v>15799</v>
      </c>
      <c r="I4165" t="s">
        <v>4283</v>
      </c>
      <c r="J4165" t="s">
        <v>34255</v>
      </c>
      <c r="K4165" t="s">
        <v>40670</v>
      </c>
      <c r="M4165" t="s">
        <v>42423</v>
      </c>
      <c r="N4165" t="s">
        <v>44905</v>
      </c>
      <c r="O4165" t="s">
        <v>44906</v>
      </c>
      <c r="P4165">
        <v>0</v>
      </c>
      <c r="Q4165">
        <v>3</v>
      </c>
      <c r="R4165" t="s">
        <v>44908</v>
      </c>
      <c r="S4165" t="s">
        <v>45042</v>
      </c>
      <c r="T4165" t="s">
        <v>46559</v>
      </c>
      <c r="U4165" t="s">
        <v>50352</v>
      </c>
      <c r="W4165" t="s">
        <v>42423</v>
      </c>
      <c r="X4165" t="s">
        <v>44909</v>
      </c>
    </row>
    <row r="4166" spans="1:24">
      <c r="A4166">
        <f>HYPERLINK("https://www.philgeps.gov.ph/GEPSNONPILOT/Tender/SplashBidNoticeAbstractUI.aspx?menuIndex=3&amp;refID=7080866&amp;Result=3","7080866")</f>
        <v>0</v>
      </c>
      <c r="B4166" t="s">
        <v>325</v>
      </c>
      <c r="C4166" t="s">
        <v>7503</v>
      </c>
      <c r="E4166" t="s">
        <v>21925</v>
      </c>
      <c r="F4166" t="s">
        <v>31362</v>
      </c>
      <c r="G4166" t="s">
        <v>31368</v>
      </c>
      <c r="H4166" t="s">
        <v>15799</v>
      </c>
      <c r="I4166" t="s">
        <v>31430</v>
      </c>
      <c r="J4166" t="s">
        <v>34256</v>
      </c>
      <c r="K4166" t="s">
        <v>40662</v>
      </c>
      <c r="M4166" t="s">
        <v>41271</v>
      </c>
      <c r="N4166" t="s">
        <v>44905</v>
      </c>
      <c r="O4166" t="s">
        <v>44906</v>
      </c>
      <c r="P4166">
        <v>0</v>
      </c>
      <c r="Q4166">
        <v>1</v>
      </c>
      <c r="R4166" t="s">
        <v>44908</v>
      </c>
      <c r="S4166" t="s">
        <v>45042</v>
      </c>
      <c r="T4166" t="s">
        <v>46394</v>
      </c>
      <c r="U4166" t="s">
        <v>50353</v>
      </c>
      <c r="W4166" t="s">
        <v>41271</v>
      </c>
      <c r="X4166" t="s">
        <v>44909</v>
      </c>
    </row>
    <row r="4167" spans="1:24">
      <c r="A4167">
        <f>HYPERLINK("https://www.philgeps.gov.ph/GEPSNONPILOT/Tender/SplashBidNoticeAbstractUI.aspx?menuIndex=3&amp;refID=7080880&amp;Result=3","7080880")</f>
        <v>0</v>
      </c>
      <c r="B4167" t="s">
        <v>672</v>
      </c>
      <c r="C4167" t="s">
        <v>7504</v>
      </c>
      <c r="D4167" t="s">
        <v>18103</v>
      </c>
      <c r="E4167" t="s">
        <v>21926</v>
      </c>
      <c r="F4167" t="s">
        <v>31362</v>
      </c>
      <c r="G4167" t="s">
        <v>31369</v>
      </c>
      <c r="H4167" t="s">
        <v>31378</v>
      </c>
      <c r="I4167" t="s">
        <v>31386</v>
      </c>
      <c r="J4167" t="s">
        <v>32187</v>
      </c>
      <c r="K4167" t="s">
        <v>40683</v>
      </c>
      <c r="M4167" t="s">
        <v>41634</v>
      </c>
      <c r="N4167" t="s">
        <v>44905</v>
      </c>
      <c r="O4167" t="s">
        <v>44906</v>
      </c>
      <c r="P4167">
        <v>0</v>
      </c>
      <c r="Q4167">
        <v>1</v>
      </c>
      <c r="R4167" t="s">
        <v>44908</v>
      </c>
      <c r="S4167" t="s">
        <v>45042</v>
      </c>
      <c r="T4167" t="s">
        <v>46429</v>
      </c>
      <c r="U4167" t="s">
        <v>50090</v>
      </c>
      <c r="W4167" t="s">
        <v>60863</v>
      </c>
      <c r="X4167" t="s">
        <v>44909</v>
      </c>
    </row>
    <row r="4168" spans="1:24">
      <c r="A4168">
        <f>HYPERLINK("https://www.philgeps.gov.ph/GEPSNONPILOT/Tender/SplashBidNoticeAbstractUI.aspx?menuIndex=3&amp;refID=7080865&amp;Result=3","7080865")</f>
        <v>0</v>
      </c>
      <c r="B4168" t="s">
        <v>1472</v>
      </c>
      <c r="C4168" t="s">
        <v>7505</v>
      </c>
      <c r="D4168" t="s">
        <v>18119</v>
      </c>
      <c r="E4168" t="s">
        <v>21927</v>
      </c>
      <c r="F4168" t="s">
        <v>31362</v>
      </c>
      <c r="G4168" t="s">
        <v>31369</v>
      </c>
      <c r="H4168" t="s">
        <v>15799</v>
      </c>
      <c r="I4168" t="s">
        <v>31387</v>
      </c>
      <c r="J4168" t="s">
        <v>34257</v>
      </c>
      <c r="K4168" t="s">
        <v>40662</v>
      </c>
      <c r="M4168" t="s">
        <v>42506</v>
      </c>
      <c r="N4168" t="s">
        <v>44905</v>
      </c>
      <c r="O4168" t="s">
        <v>44906</v>
      </c>
      <c r="P4168">
        <v>0</v>
      </c>
      <c r="Q4168">
        <v>1</v>
      </c>
      <c r="R4168" t="s">
        <v>44908</v>
      </c>
      <c r="S4168" t="s">
        <v>45042</v>
      </c>
      <c r="T4168" t="s">
        <v>46449</v>
      </c>
      <c r="U4168" t="s">
        <v>50354</v>
      </c>
      <c r="W4168" t="s">
        <v>42506</v>
      </c>
      <c r="X4168" t="s">
        <v>44909</v>
      </c>
    </row>
    <row r="4169" spans="1:24">
      <c r="A4169">
        <f>HYPERLINK("https://www.philgeps.gov.ph/GEPSNONPILOT/Tender/SplashBidNoticeAbstractUI.aspx?menuIndex=3&amp;refID=7080864&amp;Result=3","7080864")</f>
        <v>0</v>
      </c>
      <c r="B4169" t="s">
        <v>440</v>
      </c>
      <c r="C4169" t="s">
        <v>7506</v>
      </c>
      <c r="D4169" t="s">
        <v>18154</v>
      </c>
      <c r="E4169" t="s">
        <v>21928</v>
      </c>
      <c r="F4169" t="s">
        <v>31362</v>
      </c>
      <c r="G4169" t="s">
        <v>31368</v>
      </c>
      <c r="H4169" t="s">
        <v>15799</v>
      </c>
      <c r="I4169" t="s">
        <v>31380</v>
      </c>
      <c r="J4169" t="s">
        <v>34258</v>
      </c>
      <c r="K4169" t="s">
        <v>40662</v>
      </c>
      <c r="M4169" t="s">
        <v>41604</v>
      </c>
      <c r="N4169" t="s">
        <v>44905</v>
      </c>
      <c r="O4169" t="s">
        <v>44906</v>
      </c>
      <c r="P4169">
        <v>0</v>
      </c>
      <c r="Q4169">
        <v>1</v>
      </c>
      <c r="R4169" t="s">
        <v>44908</v>
      </c>
      <c r="S4169" t="s">
        <v>45042</v>
      </c>
      <c r="T4169" t="s">
        <v>46447</v>
      </c>
      <c r="U4169" t="s">
        <v>50355</v>
      </c>
      <c r="W4169" t="s">
        <v>41604</v>
      </c>
      <c r="X4169" t="s">
        <v>44909</v>
      </c>
    </row>
    <row r="4170" spans="1:24">
      <c r="A4170">
        <f>HYPERLINK("https://www.philgeps.gov.ph/GEPSNONPILOT/Tender/SplashBidNoticeAbstractUI.aspx?menuIndex=3&amp;refID=7080863&amp;Result=3","7080863")</f>
        <v>0</v>
      </c>
      <c r="B4170" t="s">
        <v>130</v>
      </c>
      <c r="C4170" t="s">
        <v>7507</v>
      </c>
      <c r="D4170" t="s">
        <v>18109</v>
      </c>
      <c r="E4170" t="s">
        <v>7507</v>
      </c>
      <c r="F4170" t="s">
        <v>31362</v>
      </c>
      <c r="G4170" t="s">
        <v>31368</v>
      </c>
      <c r="H4170" t="s">
        <v>15799</v>
      </c>
      <c r="I4170" t="s">
        <v>31415</v>
      </c>
      <c r="J4170" t="s">
        <v>34259</v>
      </c>
      <c r="K4170" t="s">
        <v>40662</v>
      </c>
      <c r="M4170" t="s">
        <v>41067</v>
      </c>
      <c r="N4170" t="s">
        <v>44905</v>
      </c>
      <c r="O4170" t="s">
        <v>44906</v>
      </c>
      <c r="P4170">
        <v>0</v>
      </c>
      <c r="Q4170">
        <v>1</v>
      </c>
      <c r="R4170" t="s">
        <v>44908</v>
      </c>
      <c r="S4170" t="s">
        <v>45042</v>
      </c>
      <c r="T4170" t="s">
        <v>46394</v>
      </c>
      <c r="U4170" t="s">
        <v>50356</v>
      </c>
      <c r="W4170" t="s">
        <v>41067</v>
      </c>
      <c r="X4170" t="s">
        <v>44909</v>
      </c>
    </row>
    <row r="4171" spans="1:24">
      <c r="A4171">
        <f>HYPERLINK("https://www.philgeps.gov.ph/GEPSNONPILOT/Tender/SplashBidNoticeAbstractUI.aspx?menuIndex=3&amp;refID=7080872&amp;Result=3","7080872")</f>
        <v>0</v>
      </c>
      <c r="B4171" t="s">
        <v>1434</v>
      </c>
      <c r="C4171" t="s">
        <v>7508</v>
      </c>
      <c r="D4171" t="s">
        <v>18168</v>
      </c>
      <c r="E4171" t="s">
        <v>21929</v>
      </c>
      <c r="F4171" t="s">
        <v>31362</v>
      </c>
      <c r="G4171" t="s">
        <v>31371</v>
      </c>
      <c r="H4171" t="s">
        <v>15799</v>
      </c>
      <c r="I4171" t="s">
        <v>31385</v>
      </c>
      <c r="J4171" t="s">
        <v>33425</v>
      </c>
      <c r="K4171" t="s">
        <v>40661</v>
      </c>
      <c r="M4171" t="s">
        <v>42462</v>
      </c>
      <c r="N4171" t="s">
        <v>44905</v>
      </c>
      <c r="O4171" t="s">
        <v>44906</v>
      </c>
      <c r="P4171">
        <v>0</v>
      </c>
      <c r="Q4171">
        <v>0</v>
      </c>
      <c r="R4171" t="s">
        <v>44908</v>
      </c>
      <c r="S4171" t="s">
        <v>45042</v>
      </c>
      <c r="T4171" t="s">
        <v>46427</v>
      </c>
      <c r="U4171" t="s">
        <v>50357</v>
      </c>
      <c r="W4171" t="s">
        <v>42462</v>
      </c>
      <c r="X4171" t="s">
        <v>44909</v>
      </c>
    </row>
    <row r="4172" spans="1:24">
      <c r="A4172">
        <f>HYPERLINK("https://www.philgeps.gov.ph/GEPSNONPILOT/Tender/SplashBidNoticeAbstractUI.aspx?menuIndex=3&amp;refID=7080870&amp;Result=3","7080870")</f>
        <v>0</v>
      </c>
      <c r="B4172" t="s">
        <v>1473</v>
      </c>
      <c r="C4172" t="s">
        <v>7509</v>
      </c>
      <c r="D4172" t="s">
        <v>18106</v>
      </c>
      <c r="E4172" t="s">
        <v>7509</v>
      </c>
      <c r="F4172" t="s">
        <v>31362</v>
      </c>
      <c r="G4172" t="s">
        <v>31368</v>
      </c>
      <c r="H4172" t="s">
        <v>15799</v>
      </c>
      <c r="I4172" t="s">
        <v>31404</v>
      </c>
      <c r="J4172" t="s">
        <v>32549</v>
      </c>
      <c r="K4172" t="s">
        <v>40670</v>
      </c>
      <c r="M4172" t="s">
        <v>42507</v>
      </c>
      <c r="N4172" t="s">
        <v>44905</v>
      </c>
      <c r="O4172" t="s">
        <v>44906</v>
      </c>
      <c r="P4172">
        <v>0</v>
      </c>
      <c r="Q4172">
        <v>0</v>
      </c>
      <c r="R4172" t="s">
        <v>44908</v>
      </c>
      <c r="S4172" t="s">
        <v>45042</v>
      </c>
      <c r="T4172" t="s">
        <v>46429</v>
      </c>
      <c r="U4172" t="s">
        <v>50358</v>
      </c>
      <c r="W4172" t="s">
        <v>42507</v>
      </c>
      <c r="X4172" t="s">
        <v>44909</v>
      </c>
    </row>
    <row r="4173" spans="1:24">
      <c r="A4173">
        <f>HYPERLINK("https://www.philgeps.gov.ph/GEPSNONPILOT/Tender/SplashBidNoticeAbstractUI.aspx?menuIndex=3&amp;refID=7080847&amp;Result=3","7080847")</f>
        <v>0</v>
      </c>
      <c r="B4173" t="s">
        <v>672</v>
      </c>
      <c r="C4173" t="s">
        <v>7510</v>
      </c>
      <c r="D4173" t="s">
        <v>18103</v>
      </c>
      <c r="E4173" t="s">
        <v>21930</v>
      </c>
      <c r="F4173" t="s">
        <v>31362</v>
      </c>
      <c r="G4173" t="s">
        <v>31369</v>
      </c>
      <c r="H4173" t="s">
        <v>31378</v>
      </c>
      <c r="I4173" t="s">
        <v>31386</v>
      </c>
      <c r="J4173" t="s">
        <v>34260</v>
      </c>
      <c r="K4173" t="s">
        <v>40686</v>
      </c>
      <c r="M4173" t="s">
        <v>41634</v>
      </c>
      <c r="N4173" t="s">
        <v>44905</v>
      </c>
      <c r="O4173" t="s">
        <v>44906</v>
      </c>
      <c r="P4173">
        <v>0</v>
      </c>
      <c r="Q4173">
        <v>3</v>
      </c>
      <c r="R4173" t="s">
        <v>44908</v>
      </c>
      <c r="S4173" t="s">
        <v>45042</v>
      </c>
      <c r="T4173" t="s">
        <v>46429</v>
      </c>
      <c r="U4173" t="s">
        <v>50090</v>
      </c>
      <c r="W4173" t="s">
        <v>60863</v>
      </c>
      <c r="X4173" t="s">
        <v>44909</v>
      </c>
    </row>
    <row r="4174" spans="1:24">
      <c r="A4174">
        <f>HYPERLINK("https://www.philgeps.gov.ph/GEPSNONPILOT/Tender/SplashBidNoticeAbstractUI.aspx?menuIndex=3&amp;refID=7080839&amp;Result=3","7080839")</f>
        <v>0</v>
      </c>
      <c r="B4174" t="s">
        <v>94</v>
      </c>
      <c r="C4174" t="s">
        <v>7511</v>
      </c>
      <c r="D4174" t="s">
        <v>18116</v>
      </c>
      <c r="E4174" t="s">
        <v>21931</v>
      </c>
      <c r="F4174" t="s">
        <v>31362</v>
      </c>
      <c r="G4174" t="s">
        <v>31368</v>
      </c>
      <c r="H4174" t="s">
        <v>15799</v>
      </c>
      <c r="I4174" t="s">
        <v>7719</v>
      </c>
      <c r="J4174" t="s">
        <v>32069</v>
      </c>
      <c r="K4174" t="s">
        <v>40682</v>
      </c>
      <c r="M4174" t="s">
        <v>41031</v>
      </c>
      <c r="N4174" t="s">
        <v>44905</v>
      </c>
      <c r="O4174" t="s">
        <v>44906</v>
      </c>
      <c r="P4174">
        <v>0</v>
      </c>
      <c r="Q4174">
        <v>6</v>
      </c>
      <c r="R4174" t="s">
        <v>44908</v>
      </c>
      <c r="S4174" t="s">
        <v>45042</v>
      </c>
      <c r="T4174" t="s">
        <v>46454</v>
      </c>
      <c r="U4174" t="s">
        <v>50359</v>
      </c>
      <c r="W4174" t="s">
        <v>41031</v>
      </c>
      <c r="X4174" t="s">
        <v>44909</v>
      </c>
    </row>
    <row r="4175" spans="1:24">
      <c r="A4175">
        <f>HYPERLINK("https://www.philgeps.gov.ph/GEPSNONPILOT/Tender/SplashBidNoticeAbstractUI.aspx?menuIndex=3&amp;refID=7080841&amp;Result=3","7080841")</f>
        <v>0</v>
      </c>
      <c r="B4175" t="s">
        <v>1217</v>
      </c>
      <c r="C4175" t="s">
        <v>7461</v>
      </c>
      <c r="D4175" t="s">
        <v>18106</v>
      </c>
      <c r="E4175" t="s">
        <v>21932</v>
      </c>
      <c r="F4175" t="s">
        <v>31362</v>
      </c>
      <c r="G4175" t="s">
        <v>31370</v>
      </c>
      <c r="H4175" t="s">
        <v>15799</v>
      </c>
      <c r="I4175" t="s">
        <v>7090</v>
      </c>
      <c r="J4175" t="s">
        <v>34261</v>
      </c>
      <c r="K4175" t="s">
        <v>40665</v>
      </c>
      <c r="M4175" t="s">
        <v>42230</v>
      </c>
      <c r="N4175" t="s">
        <v>44905</v>
      </c>
      <c r="O4175" t="s">
        <v>44906</v>
      </c>
      <c r="P4175">
        <v>0</v>
      </c>
      <c r="Q4175">
        <v>1</v>
      </c>
      <c r="R4175" t="s">
        <v>44908</v>
      </c>
      <c r="S4175" t="s">
        <v>45042</v>
      </c>
      <c r="T4175" t="s">
        <v>46447</v>
      </c>
      <c r="U4175" t="s">
        <v>49589</v>
      </c>
      <c r="V4175" t="s">
        <v>59395</v>
      </c>
      <c r="W4175" t="s">
        <v>42230</v>
      </c>
      <c r="X4175" t="s">
        <v>44909</v>
      </c>
    </row>
    <row r="4176" spans="1:24">
      <c r="A4176">
        <f>HYPERLINK("https://www.philgeps.gov.ph/GEPSNONPILOT/Tender/SplashBidNoticeAbstractUI.aspx?menuIndex=3&amp;refID=7080862&amp;Result=3","7080862")</f>
        <v>0</v>
      </c>
      <c r="B4176" t="s">
        <v>1474</v>
      </c>
      <c r="C4176" t="s">
        <v>7512</v>
      </c>
      <c r="D4176" t="s">
        <v>18117</v>
      </c>
      <c r="E4176" t="s">
        <v>21933</v>
      </c>
      <c r="F4176" t="s">
        <v>31362</v>
      </c>
      <c r="G4176" t="s">
        <v>31369</v>
      </c>
      <c r="H4176" t="s">
        <v>31378</v>
      </c>
      <c r="I4176" t="s">
        <v>31386</v>
      </c>
      <c r="J4176" t="s">
        <v>31606</v>
      </c>
      <c r="K4176" t="s">
        <v>40675</v>
      </c>
      <c r="M4176" t="s">
        <v>42508</v>
      </c>
      <c r="N4176" t="s">
        <v>44905</v>
      </c>
      <c r="O4176" t="s">
        <v>44906</v>
      </c>
      <c r="P4176">
        <v>0</v>
      </c>
      <c r="Q4176">
        <v>2</v>
      </c>
      <c r="R4176" t="s">
        <v>44908</v>
      </c>
      <c r="S4176" t="s">
        <v>45042</v>
      </c>
      <c r="T4176" t="s">
        <v>46573</v>
      </c>
      <c r="U4176" t="s">
        <v>50360</v>
      </c>
      <c r="W4176" t="s">
        <v>60896</v>
      </c>
      <c r="X4176" t="s">
        <v>44909</v>
      </c>
    </row>
    <row r="4177" spans="1:24">
      <c r="A4177">
        <f>HYPERLINK("https://www.philgeps.gov.ph/GEPSNONPILOT/Tender/SplashBidNoticeAbstractUI.aspx?menuIndex=3&amp;refID=7080821&amp;Result=3","7080821")</f>
        <v>0</v>
      </c>
      <c r="B4177" t="s">
        <v>335</v>
      </c>
      <c r="C4177" t="s">
        <v>7513</v>
      </c>
      <c r="D4177" t="s">
        <v>18108</v>
      </c>
      <c r="E4177" t="s">
        <v>21934</v>
      </c>
      <c r="F4177" t="s">
        <v>31362</v>
      </c>
      <c r="G4177" t="s">
        <v>31368</v>
      </c>
      <c r="H4177" t="s">
        <v>15799</v>
      </c>
      <c r="I4177" t="s">
        <v>31430</v>
      </c>
      <c r="J4177" t="s">
        <v>34262</v>
      </c>
      <c r="K4177" t="s">
        <v>40661</v>
      </c>
      <c r="M4177" t="s">
        <v>42389</v>
      </c>
      <c r="N4177" t="s">
        <v>44905</v>
      </c>
      <c r="O4177" t="s">
        <v>44906</v>
      </c>
      <c r="P4177">
        <v>0</v>
      </c>
      <c r="Q4177">
        <v>0</v>
      </c>
      <c r="R4177" t="s">
        <v>44908</v>
      </c>
      <c r="S4177" t="s">
        <v>45042</v>
      </c>
      <c r="T4177" t="s">
        <v>46447</v>
      </c>
      <c r="U4177" t="s">
        <v>47522</v>
      </c>
      <c r="W4177" t="s">
        <v>42389</v>
      </c>
      <c r="X4177" t="s">
        <v>44909</v>
      </c>
    </row>
    <row r="4178" spans="1:24">
      <c r="A4178">
        <f>HYPERLINK("https://www.philgeps.gov.ph/GEPSNONPILOT/Tender/SplashBidNoticeAbstractUI.aspx?menuIndex=3&amp;refID=7080818&amp;Result=3","7080818")</f>
        <v>0</v>
      </c>
      <c r="B4178" t="s">
        <v>232</v>
      </c>
      <c r="C4178" t="s">
        <v>7514</v>
      </c>
      <c r="D4178" t="s">
        <v>18101</v>
      </c>
      <c r="E4178" t="s">
        <v>21935</v>
      </c>
      <c r="F4178" t="s">
        <v>31362</v>
      </c>
      <c r="G4178" t="s">
        <v>31369</v>
      </c>
      <c r="H4178" t="s">
        <v>31378</v>
      </c>
      <c r="I4178" t="s">
        <v>31386</v>
      </c>
      <c r="J4178" t="s">
        <v>34233</v>
      </c>
      <c r="K4178" t="s">
        <v>40666</v>
      </c>
      <c r="M4178" t="s">
        <v>41171</v>
      </c>
      <c r="N4178" t="s">
        <v>44905</v>
      </c>
      <c r="O4178" t="s">
        <v>44906</v>
      </c>
      <c r="P4178">
        <v>0</v>
      </c>
      <c r="Q4178">
        <v>0</v>
      </c>
      <c r="R4178" t="s">
        <v>44908</v>
      </c>
      <c r="S4178" t="s">
        <v>45042</v>
      </c>
      <c r="T4178" t="s">
        <v>46396</v>
      </c>
      <c r="U4178" t="s">
        <v>50324</v>
      </c>
      <c r="V4178" t="s">
        <v>59456</v>
      </c>
      <c r="W4178" t="s">
        <v>41171</v>
      </c>
      <c r="X4178" t="s">
        <v>44909</v>
      </c>
    </row>
    <row r="4179" spans="1:24">
      <c r="A4179">
        <f>HYPERLINK("https://www.philgeps.gov.ph/GEPSNONPILOT/Tender/SplashBidNoticeAbstractUI.aspx?menuIndex=3&amp;refID=7080842&amp;Result=3","7080842")</f>
        <v>0</v>
      </c>
      <c r="B4179" t="s">
        <v>232</v>
      </c>
      <c r="C4179" t="s">
        <v>7515</v>
      </c>
      <c r="D4179" t="s">
        <v>18101</v>
      </c>
      <c r="E4179" t="s">
        <v>21936</v>
      </c>
      <c r="F4179" t="s">
        <v>31362</v>
      </c>
      <c r="G4179" t="s">
        <v>31369</v>
      </c>
      <c r="H4179" t="s">
        <v>31378</v>
      </c>
      <c r="I4179" t="s">
        <v>31386</v>
      </c>
      <c r="J4179" t="s">
        <v>34233</v>
      </c>
      <c r="K4179" t="s">
        <v>40666</v>
      </c>
      <c r="M4179" t="s">
        <v>41171</v>
      </c>
      <c r="N4179" t="s">
        <v>44905</v>
      </c>
      <c r="O4179" t="s">
        <v>44906</v>
      </c>
      <c r="P4179">
        <v>0</v>
      </c>
      <c r="Q4179">
        <v>0</v>
      </c>
      <c r="R4179" t="s">
        <v>44908</v>
      </c>
      <c r="S4179" t="s">
        <v>45042</v>
      </c>
      <c r="T4179" t="s">
        <v>46396</v>
      </c>
      <c r="U4179" t="s">
        <v>50324</v>
      </c>
      <c r="V4179" t="s">
        <v>59456</v>
      </c>
      <c r="W4179" t="s">
        <v>41171</v>
      </c>
      <c r="X4179" t="s">
        <v>44909</v>
      </c>
    </row>
    <row r="4180" spans="1:24">
      <c r="A4180">
        <f>HYPERLINK("https://www.philgeps.gov.ph/GEPSNONPILOT/Tender/SplashBidNoticeAbstractUI.aspx?menuIndex=3&amp;refID=7080817&amp;Result=3","7080817")</f>
        <v>0</v>
      </c>
      <c r="B4180" t="s">
        <v>123</v>
      </c>
      <c r="C4180" t="s">
        <v>7516</v>
      </c>
      <c r="D4180" t="s">
        <v>18127</v>
      </c>
      <c r="E4180" t="s">
        <v>21937</v>
      </c>
      <c r="F4180" t="s">
        <v>31362</v>
      </c>
      <c r="G4180" t="s">
        <v>31368</v>
      </c>
      <c r="H4180" t="s">
        <v>31379</v>
      </c>
      <c r="I4180" t="s">
        <v>6240</v>
      </c>
      <c r="J4180" t="s">
        <v>31575</v>
      </c>
      <c r="K4180" t="s">
        <v>40666</v>
      </c>
      <c r="M4180" t="s">
        <v>41346</v>
      </c>
      <c r="N4180" t="s">
        <v>44905</v>
      </c>
      <c r="O4180" t="s">
        <v>44906</v>
      </c>
      <c r="P4180">
        <v>0</v>
      </c>
      <c r="Q4180">
        <v>0</v>
      </c>
      <c r="R4180" t="s">
        <v>44908</v>
      </c>
      <c r="S4180" t="s">
        <v>45042</v>
      </c>
      <c r="T4180" t="s">
        <v>46467</v>
      </c>
      <c r="U4180" t="s">
        <v>50361</v>
      </c>
      <c r="V4180" t="s">
        <v>47665</v>
      </c>
      <c r="W4180" t="s">
        <v>41346</v>
      </c>
      <c r="X4180" t="s">
        <v>44909</v>
      </c>
    </row>
    <row r="4181" spans="1:24">
      <c r="A4181">
        <f>HYPERLINK("https://www.philgeps.gov.ph/GEPSNONPILOT/Tender/SplashBidNoticeAbstractUI.aspx?menuIndex=3&amp;refID=7080814&amp;Result=3","7080814")</f>
        <v>0</v>
      </c>
      <c r="B4181" t="s">
        <v>237</v>
      </c>
      <c r="C4181" t="s">
        <v>7517</v>
      </c>
      <c r="D4181" t="s">
        <v>18108</v>
      </c>
      <c r="E4181" t="s">
        <v>21938</v>
      </c>
      <c r="F4181" t="s">
        <v>31362</v>
      </c>
      <c r="G4181" t="s">
        <v>31370</v>
      </c>
      <c r="H4181" t="s">
        <v>15799</v>
      </c>
      <c r="I4181" t="s">
        <v>31380</v>
      </c>
      <c r="J4181" t="s">
        <v>34263</v>
      </c>
      <c r="K4181" t="s">
        <v>40670</v>
      </c>
      <c r="M4181" t="s">
        <v>41330</v>
      </c>
      <c r="N4181" t="s">
        <v>44905</v>
      </c>
      <c r="O4181" t="s">
        <v>44906</v>
      </c>
      <c r="P4181">
        <v>0</v>
      </c>
      <c r="Q4181">
        <v>1</v>
      </c>
      <c r="R4181" t="s">
        <v>44908</v>
      </c>
      <c r="S4181" t="s">
        <v>45042</v>
      </c>
      <c r="T4181" t="s">
        <v>46454</v>
      </c>
      <c r="U4181" t="s">
        <v>50362</v>
      </c>
      <c r="W4181" t="s">
        <v>41330</v>
      </c>
      <c r="X4181" t="s">
        <v>44909</v>
      </c>
    </row>
    <row r="4182" spans="1:24">
      <c r="A4182">
        <f>HYPERLINK("https://www.philgeps.gov.ph/GEPSNONPILOT/Tender/SplashBidNoticeAbstractUI.aspx?menuIndex=3&amp;refID=7080813&amp;Result=3","7080813")</f>
        <v>0</v>
      </c>
      <c r="B4182" t="s">
        <v>1475</v>
      </c>
      <c r="C4182" t="s">
        <v>7518</v>
      </c>
      <c r="D4182" t="s">
        <v>18168</v>
      </c>
      <c r="E4182" t="s">
        <v>21939</v>
      </c>
      <c r="F4182" t="s">
        <v>31362</v>
      </c>
      <c r="G4182" t="s">
        <v>31369</v>
      </c>
      <c r="H4182" t="s">
        <v>15799</v>
      </c>
      <c r="I4182" t="s">
        <v>31414</v>
      </c>
      <c r="J4182" t="s">
        <v>31637</v>
      </c>
      <c r="K4182" t="s">
        <v>40675</v>
      </c>
      <c r="M4182" t="s">
        <v>42509</v>
      </c>
      <c r="N4182" t="s">
        <v>44905</v>
      </c>
      <c r="O4182" t="s">
        <v>44906</v>
      </c>
      <c r="P4182">
        <v>0</v>
      </c>
      <c r="Q4182">
        <v>5</v>
      </c>
      <c r="R4182" t="s">
        <v>44908</v>
      </c>
      <c r="S4182" t="s">
        <v>45042</v>
      </c>
      <c r="T4182" t="s">
        <v>46579</v>
      </c>
      <c r="U4182" t="s">
        <v>50363</v>
      </c>
      <c r="W4182" t="s">
        <v>42509</v>
      </c>
      <c r="X4182" t="s">
        <v>44909</v>
      </c>
    </row>
    <row r="4183" spans="1:24">
      <c r="A4183">
        <f>HYPERLINK("https://www.philgeps.gov.ph/GEPSNONPILOT/Tender/SplashBidNoticeAbstractUI.aspx?menuIndex=3&amp;refID=7080812&amp;Result=3","7080812")</f>
        <v>0</v>
      </c>
      <c r="B4183" t="s">
        <v>1357</v>
      </c>
      <c r="C4183" t="s">
        <v>7519</v>
      </c>
      <c r="D4183" t="s">
        <v>18139</v>
      </c>
      <c r="E4183" t="s">
        <v>21940</v>
      </c>
      <c r="F4183" t="s">
        <v>31362</v>
      </c>
      <c r="G4183" t="s">
        <v>31369</v>
      </c>
      <c r="H4183" t="s">
        <v>15799</v>
      </c>
      <c r="I4183" t="s">
        <v>31409</v>
      </c>
      <c r="J4183" t="s">
        <v>32127</v>
      </c>
      <c r="K4183" t="s">
        <v>40662</v>
      </c>
      <c r="M4183" t="s">
        <v>42378</v>
      </c>
      <c r="N4183" t="s">
        <v>44905</v>
      </c>
      <c r="O4183" t="s">
        <v>44906</v>
      </c>
      <c r="P4183">
        <v>0</v>
      </c>
      <c r="Q4183">
        <v>0</v>
      </c>
      <c r="R4183" t="s">
        <v>44908</v>
      </c>
      <c r="S4183" t="s">
        <v>45042</v>
      </c>
      <c r="T4183" t="s">
        <v>46420</v>
      </c>
      <c r="U4183" t="s">
        <v>50364</v>
      </c>
      <c r="W4183" t="s">
        <v>42378</v>
      </c>
      <c r="X4183" t="s">
        <v>44909</v>
      </c>
    </row>
    <row r="4184" spans="1:24">
      <c r="A4184">
        <f>HYPERLINK("https://www.philgeps.gov.ph/GEPSNONPILOT/Tender/SplashBidNoticeAbstractUI.aspx?menuIndex=3&amp;refID=7080809&amp;Result=3","7080809")</f>
        <v>0</v>
      </c>
      <c r="B4184" t="s">
        <v>642</v>
      </c>
      <c r="C4184" t="s">
        <v>7520</v>
      </c>
      <c r="D4184" t="s">
        <v>18164</v>
      </c>
      <c r="E4184" t="s">
        <v>21900</v>
      </c>
      <c r="F4184" t="s">
        <v>31362</v>
      </c>
      <c r="G4184" t="s">
        <v>31370</v>
      </c>
      <c r="H4184" t="s">
        <v>15799</v>
      </c>
      <c r="I4184" t="s">
        <v>31397</v>
      </c>
      <c r="J4184" t="s">
        <v>31655</v>
      </c>
      <c r="K4184" t="s">
        <v>40670</v>
      </c>
      <c r="M4184" t="s">
        <v>41602</v>
      </c>
      <c r="N4184" t="s">
        <v>44905</v>
      </c>
      <c r="O4184" t="s">
        <v>44906</v>
      </c>
      <c r="P4184">
        <v>0</v>
      </c>
      <c r="Q4184">
        <v>1</v>
      </c>
      <c r="R4184" t="s">
        <v>44908</v>
      </c>
      <c r="S4184" t="s">
        <v>45042</v>
      </c>
      <c r="T4184" t="s">
        <v>46454</v>
      </c>
      <c r="U4184" t="s">
        <v>50365</v>
      </c>
      <c r="V4184" t="s">
        <v>59462</v>
      </c>
      <c r="W4184" t="s">
        <v>41602</v>
      </c>
      <c r="X4184" t="s">
        <v>44909</v>
      </c>
    </row>
    <row r="4185" spans="1:24">
      <c r="A4185">
        <f>HYPERLINK("https://www.philgeps.gov.ph/GEPSNONPILOT/Tender/SplashBidNoticeAbstractUI.aspx?menuIndex=3&amp;refID=7080806&amp;Result=3","7080806")</f>
        <v>0</v>
      </c>
      <c r="B4185" t="s">
        <v>1431</v>
      </c>
      <c r="C4185" t="s">
        <v>7521</v>
      </c>
      <c r="D4185" t="s">
        <v>18101</v>
      </c>
      <c r="E4185" t="s">
        <v>21941</v>
      </c>
      <c r="F4185" t="s">
        <v>31362</v>
      </c>
      <c r="G4185" t="s">
        <v>31371</v>
      </c>
      <c r="H4185" t="s">
        <v>15799</v>
      </c>
      <c r="I4185" t="s">
        <v>6373</v>
      </c>
      <c r="J4185" t="s">
        <v>34264</v>
      </c>
      <c r="K4185" t="s">
        <v>40662</v>
      </c>
      <c r="M4185" t="s">
        <v>42459</v>
      </c>
      <c r="N4185" t="s">
        <v>44905</v>
      </c>
      <c r="O4185" t="s">
        <v>44906</v>
      </c>
      <c r="P4185">
        <v>0</v>
      </c>
      <c r="Q4185">
        <v>2</v>
      </c>
      <c r="R4185" t="s">
        <v>44908</v>
      </c>
      <c r="S4185" t="s">
        <v>45042</v>
      </c>
      <c r="T4185" t="s">
        <v>46438</v>
      </c>
      <c r="U4185" t="s">
        <v>50366</v>
      </c>
      <c r="V4185" t="s">
        <v>59450</v>
      </c>
      <c r="W4185" t="s">
        <v>42459</v>
      </c>
      <c r="X4185" t="s">
        <v>44909</v>
      </c>
    </row>
    <row r="4186" spans="1:24">
      <c r="A4186">
        <f>HYPERLINK("https://www.philgeps.gov.ph/GEPSNONPILOT/Tender/SplashBidNoticeAbstractUI.aspx?menuIndex=3&amp;refID=7080837&amp;Result=3","7080837")</f>
        <v>0</v>
      </c>
      <c r="B4186" t="s">
        <v>307</v>
      </c>
      <c r="C4186" t="s">
        <v>7522</v>
      </c>
      <c r="D4186" t="s">
        <v>18114</v>
      </c>
      <c r="E4186" t="s">
        <v>21942</v>
      </c>
      <c r="F4186" t="s">
        <v>31362</v>
      </c>
      <c r="G4186" t="s">
        <v>31369</v>
      </c>
      <c r="H4186" t="s">
        <v>15799</v>
      </c>
      <c r="I4186" t="s">
        <v>6155</v>
      </c>
      <c r="J4186" t="s">
        <v>31906</v>
      </c>
      <c r="K4186" t="s">
        <v>40670</v>
      </c>
      <c r="M4186" t="s">
        <v>42500</v>
      </c>
      <c r="N4186" t="s">
        <v>44905</v>
      </c>
      <c r="O4186" t="s">
        <v>44906</v>
      </c>
      <c r="P4186">
        <v>0</v>
      </c>
      <c r="Q4186">
        <v>11</v>
      </c>
      <c r="R4186" t="s">
        <v>44908</v>
      </c>
      <c r="S4186" t="s">
        <v>45042</v>
      </c>
      <c r="T4186" t="s">
        <v>46528</v>
      </c>
      <c r="U4186" t="s">
        <v>50367</v>
      </c>
      <c r="W4186" t="s">
        <v>42500</v>
      </c>
      <c r="X4186" t="s">
        <v>44909</v>
      </c>
    </row>
    <row r="4187" spans="1:24">
      <c r="A4187">
        <f>HYPERLINK("https://www.philgeps.gov.ph/GEPSNONPILOT/Tender/SplashBidNoticeAbstractUI.aspx?menuIndex=3&amp;refID=7080783&amp;Result=3","7080783")</f>
        <v>0</v>
      </c>
      <c r="B4187" t="s">
        <v>1451</v>
      </c>
      <c r="C4187" t="s">
        <v>7523</v>
      </c>
      <c r="D4187" t="s">
        <v>18138</v>
      </c>
      <c r="E4187" t="s">
        <v>21943</v>
      </c>
      <c r="F4187" t="s">
        <v>31362</v>
      </c>
      <c r="G4187" t="s">
        <v>31368</v>
      </c>
      <c r="H4187" t="s">
        <v>15799</v>
      </c>
      <c r="I4187" t="s">
        <v>31393</v>
      </c>
      <c r="J4187" t="s">
        <v>34265</v>
      </c>
      <c r="K4187" t="s">
        <v>40661</v>
      </c>
      <c r="M4187" t="s">
        <v>42481</v>
      </c>
      <c r="N4187" t="s">
        <v>44905</v>
      </c>
      <c r="O4187" t="s">
        <v>44906</v>
      </c>
      <c r="P4187">
        <v>0</v>
      </c>
      <c r="Q4187">
        <v>5</v>
      </c>
      <c r="R4187" t="s">
        <v>44908</v>
      </c>
      <c r="S4187" t="s">
        <v>45042</v>
      </c>
      <c r="T4187" t="s">
        <v>46498</v>
      </c>
      <c r="U4187" t="s">
        <v>50268</v>
      </c>
      <c r="W4187" t="s">
        <v>42481</v>
      </c>
      <c r="X4187" t="s">
        <v>44909</v>
      </c>
    </row>
    <row r="4188" spans="1:24">
      <c r="A4188">
        <f>HYPERLINK("https://www.philgeps.gov.ph/GEPSNONPILOT/Tender/SplashBidNoticeAbstractUI.aspx?menuIndex=3&amp;refID=7080782&amp;Result=3","7080782")</f>
        <v>0</v>
      </c>
      <c r="B4188" t="s">
        <v>720</v>
      </c>
      <c r="C4188" t="s">
        <v>7524</v>
      </c>
      <c r="D4188" t="s">
        <v>18151</v>
      </c>
      <c r="E4188" t="s">
        <v>21944</v>
      </c>
      <c r="F4188" t="s">
        <v>31362</v>
      </c>
      <c r="G4188" t="s">
        <v>31370</v>
      </c>
      <c r="H4188" t="s">
        <v>15799</v>
      </c>
      <c r="I4188" t="s">
        <v>6240</v>
      </c>
      <c r="J4188" t="s">
        <v>34266</v>
      </c>
      <c r="K4188" t="s">
        <v>40670</v>
      </c>
      <c r="M4188" t="s">
        <v>41685</v>
      </c>
      <c r="N4188" t="s">
        <v>44905</v>
      </c>
      <c r="O4188" t="s">
        <v>44906</v>
      </c>
      <c r="P4188">
        <v>0</v>
      </c>
      <c r="Q4188">
        <v>0</v>
      </c>
      <c r="R4188" t="s">
        <v>44908</v>
      </c>
      <c r="S4188" t="s">
        <v>45042</v>
      </c>
      <c r="T4188" t="s">
        <v>46467</v>
      </c>
      <c r="U4188" t="s">
        <v>50368</v>
      </c>
      <c r="W4188" t="s">
        <v>41685</v>
      </c>
      <c r="X4188" t="s">
        <v>44909</v>
      </c>
    </row>
    <row r="4189" spans="1:24">
      <c r="A4189">
        <f>HYPERLINK("https://www.philgeps.gov.ph/GEPSNONPILOT/Tender/SplashBidNoticeAbstractUI.aspx?menuIndex=3&amp;refID=7080751&amp;Result=3","7080751")</f>
        <v>0</v>
      </c>
      <c r="B4189" t="s">
        <v>436</v>
      </c>
      <c r="C4189" t="s">
        <v>7525</v>
      </c>
      <c r="D4189" t="s">
        <v>18158</v>
      </c>
      <c r="E4189" t="s">
        <v>21945</v>
      </c>
      <c r="F4189" t="s">
        <v>31362</v>
      </c>
      <c r="G4189" t="s">
        <v>31371</v>
      </c>
      <c r="H4189" t="s">
        <v>15799</v>
      </c>
      <c r="I4189" t="s">
        <v>31385</v>
      </c>
      <c r="J4189" t="s">
        <v>34267</v>
      </c>
      <c r="K4189" t="s">
        <v>40680</v>
      </c>
      <c r="L4189" t="s">
        <v>436</v>
      </c>
      <c r="M4189" t="s">
        <v>41388</v>
      </c>
      <c r="N4189" t="s">
        <v>44905</v>
      </c>
      <c r="O4189" t="s">
        <v>44906</v>
      </c>
      <c r="P4189">
        <v>0</v>
      </c>
      <c r="Q4189">
        <v>1</v>
      </c>
      <c r="R4189" t="s">
        <v>44908</v>
      </c>
      <c r="S4189" t="s">
        <v>45042</v>
      </c>
      <c r="T4189" t="s">
        <v>46434</v>
      </c>
      <c r="U4189" t="s">
        <v>50369</v>
      </c>
      <c r="V4189" t="s">
        <v>59463</v>
      </c>
      <c r="W4189" t="s">
        <v>41388</v>
      </c>
      <c r="X4189" t="s">
        <v>44909</v>
      </c>
    </row>
    <row r="4190" spans="1:24">
      <c r="A4190">
        <f>HYPERLINK("https://www.philgeps.gov.ph/GEPSNONPILOT/Tender/SplashBidNoticeAbstractUI.aspx?menuIndex=3&amp;refID=7080779&amp;Result=3","7080779")</f>
        <v>0</v>
      </c>
      <c r="B4190" t="s">
        <v>1416</v>
      </c>
      <c r="C4190" t="s">
        <v>7526</v>
      </c>
      <c r="D4190" t="s">
        <v>18127</v>
      </c>
      <c r="E4190" t="s">
        <v>21946</v>
      </c>
      <c r="F4190" t="s">
        <v>31362</v>
      </c>
      <c r="G4190" t="s">
        <v>31369</v>
      </c>
      <c r="H4190" t="s">
        <v>31378</v>
      </c>
      <c r="I4190" t="s">
        <v>31386</v>
      </c>
      <c r="J4190" t="s">
        <v>32207</v>
      </c>
      <c r="K4190" t="s">
        <v>40665</v>
      </c>
      <c r="M4190" t="s">
        <v>42442</v>
      </c>
      <c r="N4190" t="s">
        <v>44905</v>
      </c>
      <c r="O4190" t="s">
        <v>44906</v>
      </c>
      <c r="P4190">
        <v>0</v>
      </c>
      <c r="Q4190">
        <v>0</v>
      </c>
      <c r="R4190" t="s">
        <v>44908</v>
      </c>
      <c r="S4190" t="s">
        <v>45042</v>
      </c>
      <c r="T4190" t="s">
        <v>46668</v>
      </c>
      <c r="U4190" t="s">
        <v>50370</v>
      </c>
      <c r="V4190" t="s">
        <v>59464</v>
      </c>
      <c r="W4190" t="s">
        <v>42442</v>
      </c>
      <c r="X4190" t="s">
        <v>44909</v>
      </c>
    </row>
    <row r="4191" spans="1:24">
      <c r="A4191">
        <f>HYPERLINK("https://www.philgeps.gov.ph/GEPSNONPILOT/Tender/SplashBidNoticeAbstractUI.aspx?menuIndex=3&amp;refID=7080840&amp;Result=3","7080840")</f>
        <v>0</v>
      </c>
      <c r="B4191" t="s">
        <v>130</v>
      </c>
      <c r="C4191" t="s">
        <v>7527</v>
      </c>
      <c r="D4191" t="s">
        <v>18109</v>
      </c>
      <c r="E4191" t="s">
        <v>21947</v>
      </c>
      <c r="F4191" t="s">
        <v>31362</v>
      </c>
      <c r="G4191" t="s">
        <v>31368</v>
      </c>
      <c r="H4191" t="s">
        <v>15799</v>
      </c>
      <c r="I4191" t="s">
        <v>31380</v>
      </c>
      <c r="J4191" t="s">
        <v>33789</v>
      </c>
      <c r="K4191" t="s">
        <v>40662</v>
      </c>
      <c r="M4191" t="s">
        <v>41067</v>
      </c>
      <c r="N4191" t="s">
        <v>44905</v>
      </c>
      <c r="O4191" t="s">
        <v>44906</v>
      </c>
      <c r="P4191">
        <v>0</v>
      </c>
      <c r="Q4191">
        <v>6</v>
      </c>
      <c r="R4191" t="s">
        <v>44908</v>
      </c>
      <c r="S4191" t="s">
        <v>45042</v>
      </c>
      <c r="T4191" t="s">
        <v>46394</v>
      </c>
      <c r="U4191" t="s">
        <v>50371</v>
      </c>
      <c r="W4191" t="s">
        <v>41067</v>
      </c>
      <c r="X4191" t="s">
        <v>44909</v>
      </c>
    </row>
    <row r="4192" spans="1:24">
      <c r="A4192">
        <f>HYPERLINK("https://www.philgeps.gov.ph/GEPSNONPILOT/Tender/SplashBidNoticeAbstractUI.aspx?menuIndex=3&amp;refID=7080427&amp;Result=3","7080427")</f>
        <v>0</v>
      </c>
      <c r="B4192" t="s">
        <v>223</v>
      </c>
      <c r="C4192" t="s">
        <v>7528</v>
      </c>
      <c r="D4192" t="s">
        <v>18153</v>
      </c>
      <c r="E4192" t="s">
        <v>21948</v>
      </c>
      <c r="F4192" t="s">
        <v>31362</v>
      </c>
      <c r="G4192" t="s">
        <v>31368</v>
      </c>
      <c r="H4192" t="s">
        <v>15799</v>
      </c>
      <c r="I4192" t="s">
        <v>31387</v>
      </c>
      <c r="J4192" t="s">
        <v>34268</v>
      </c>
      <c r="K4192" t="s">
        <v>40666</v>
      </c>
      <c r="M4192" t="s">
        <v>41162</v>
      </c>
      <c r="N4192" t="s">
        <v>44905</v>
      </c>
      <c r="O4192" t="s">
        <v>44906</v>
      </c>
      <c r="P4192">
        <v>0</v>
      </c>
      <c r="Q4192">
        <v>1</v>
      </c>
      <c r="R4192" t="s">
        <v>44908</v>
      </c>
      <c r="S4192" t="s">
        <v>45042</v>
      </c>
      <c r="T4192" t="s">
        <v>46435</v>
      </c>
      <c r="U4192" t="s">
        <v>50372</v>
      </c>
      <c r="W4192" t="s">
        <v>41162</v>
      </c>
      <c r="X4192" t="s">
        <v>44909</v>
      </c>
    </row>
    <row r="4193" spans="1:24">
      <c r="A4193">
        <f>HYPERLINK("https://www.philgeps.gov.ph/GEPSNONPILOT/Tender/SplashBidNoticeAbstractUI.aspx?menuIndex=3&amp;refID=7080425&amp;Result=3","7080425")</f>
        <v>0</v>
      </c>
      <c r="B4193" t="s">
        <v>401</v>
      </c>
      <c r="C4193" t="s">
        <v>7529</v>
      </c>
      <c r="D4193" t="s">
        <v>18132</v>
      </c>
      <c r="E4193" t="s">
        <v>21949</v>
      </c>
      <c r="F4193" t="s">
        <v>31362</v>
      </c>
      <c r="G4193" t="s">
        <v>31369</v>
      </c>
      <c r="H4193" t="s">
        <v>15799</v>
      </c>
      <c r="I4193" t="s">
        <v>31452</v>
      </c>
      <c r="J4193" t="s">
        <v>31591</v>
      </c>
      <c r="K4193" t="s">
        <v>40666</v>
      </c>
      <c r="M4193" t="s">
        <v>41351</v>
      </c>
      <c r="N4193" t="s">
        <v>44905</v>
      </c>
      <c r="O4193" t="s">
        <v>44906</v>
      </c>
      <c r="P4193">
        <v>0</v>
      </c>
      <c r="Q4193">
        <v>0</v>
      </c>
      <c r="R4193" t="s">
        <v>44908</v>
      </c>
      <c r="S4193" t="s">
        <v>45042</v>
      </c>
      <c r="T4193" t="s">
        <v>46463</v>
      </c>
      <c r="U4193" t="s">
        <v>50373</v>
      </c>
      <c r="W4193" t="s">
        <v>41351</v>
      </c>
      <c r="X4193" t="s">
        <v>44909</v>
      </c>
    </row>
    <row r="4194" spans="1:24">
      <c r="A4194">
        <f>HYPERLINK("https://www.philgeps.gov.ph/GEPSNONPILOT/Tender/SplashBidNoticeAbstractUI.aspx?menuIndex=3&amp;refID=7080787&amp;Result=3","7080787")</f>
        <v>0</v>
      </c>
      <c r="B4194" t="s">
        <v>1476</v>
      </c>
      <c r="C4194" t="s">
        <v>7530</v>
      </c>
      <c r="D4194" t="s">
        <v>18112</v>
      </c>
      <c r="E4194" t="s">
        <v>21701</v>
      </c>
      <c r="F4194" t="s">
        <v>31362</v>
      </c>
      <c r="G4194" t="s">
        <v>31371</v>
      </c>
      <c r="H4194" t="s">
        <v>15799</v>
      </c>
      <c r="I4194" t="s">
        <v>31385</v>
      </c>
      <c r="J4194" t="s">
        <v>34269</v>
      </c>
      <c r="K4194" t="s">
        <v>40670</v>
      </c>
      <c r="M4194" t="s">
        <v>42510</v>
      </c>
      <c r="N4194" t="s">
        <v>44905</v>
      </c>
      <c r="O4194" t="s">
        <v>44906</v>
      </c>
      <c r="P4194">
        <v>0</v>
      </c>
      <c r="Q4194">
        <v>1</v>
      </c>
      <c r="R4194" t="s">
        <v>44908</v>
      </c>
      <c r="S4194" t="s">
        <v>45042</v>
      </c>
      <c r="T4194" t="s">
        <v>46412</v>
      </c>
      <c r="U4194" t="s">
        <v>49349</v>
      </c>
      <c r="W4194" t="s">
        <v>42510</v>
      </c>
      <c r="X4194" t="s">
        <v>44909</v>
      </c>
    </row>
    <row r="4195" spans="1:24">
      <c r="A4195">
        <f>HYPERLINK("https://www.philgeps.gov.ph/GEPSNONPILOT/Tender/SplashBidNoticeAbstractUI.aspx?menuIndex=3&amp;refID=7080816&amp;Result=3","7080816")</f>
        <v>0</v>
      </c>
      <c r="B4195" t="s">
        <v>313</v>
      </c>
      <c r="C4195" t="s">
        <v>7531</v>
      </c>
      <c r="D4195" t="s">
        <v>18111</v>
      </c>
      <c r="E4195" t="s">
        <v>21950</v>
      </c>
      <c r="F4195" t="s">
        <v>31362</v>
      </c>
      <c r="G4195" t="s">
        <v>31369</v>
      </c>
      <c r="H4195" t="s">
        <v>15799</v>
      </c>
      <c r="I4195" t="s">
        <v>7090</v>
      </c>
      <c r="J4195" t="s">
        <v>34270</v>
      </c>
      <c r="K4195" t="s">
        <v>40666</v>
      </c>
      <c r="M4195" t="s">
        <v>41258</v>
      </c>
      <c r="N4195" t="s">
        <v>44905</v>
      </c>
      <c r="O4195" t="s">
        <v>44906</v>
      </c>
      <c r="P4195">
        <v>0</v>
      </c>
      <c r="Q4195">
        <v>8</v>
      </c>
      <c r="R4195" t="s">
        <v>44908</v>
      </c>
      <c r="S4195" t="s">
        <v>45042</v>
      </c>
      <c r="T4195" t="s">
        <v>46458</v>
      </c>
      <c r="U4195" t="s">
        <v>50374</v>
      </c>
      <c r="W4195" t="s">
        <v>41258</v>
      </c>
      <c r="X4195" t="s">
        <v>44909</v>
      </c>
    </row>
    <row r="4196" spans="1:24">
      <c r="A4196">
        <f>HYPERLINK("https://www.philgeps.gov.ph/GEPSNONPILOT/Tender/SplashBidNoticeAbstractUI.aspx?menuIndex=3&amp;refID=7080410&amp;Result=3","7080410")</f>
        <v>0</v>
      </c>
      <c r="B4196" t="s">
        <v>301</v>
      </c>
      <c r="C4196" t="s">
        <v>7532</v>
      </c>
      <c r="D4196" t="s">
        <v>18164</v>
      </c>
      <c r="E4196" t="s">
        <v>21951</v>
      </c>
      <c r="F4196" t="s">
        <v>31362</v>
      </c>
      <c r="G4196" t="s">
        <v>31370</v>
      </c>
      <c r="H4196" t="s">
        <v>15799</v>
      </c>
      <c r="I4196" t="s">
        <v>31380</v>
      </c>
      <c r="J4196" t="s">
        <v>34271</v>
      </c>
      <c r="K4196" t="s">
        <v>40670</v>
      </c>
      <c r="M4196" t="s">
        <v>41244</v>
      </c>
      <c r="N4196" t="s">
        <v>44905</v>
      </c>
      <c r="O4196" t="s">
        <v>44906</v>
      </c>
      <c r="P4196">
        <v>0</v>
      </c>
      <c r="Q4196">
        <v>4</v>
      </c>
      <c r="R4196" t="s">
        <v>44908</v>
      </c>
      <c r="S4196" t="s">
        <v>45042</v>
      </c>
      <c r="T4196" t="s">
        <v>46409</v>
      </c>
      <c r="U4196" t="s">
        <v>50375</v>
      </c>
      <c r="W4196" t="s">
        <v>41244</v>
      </c>
      <c r="X4196" t="s">
        <v>44909</v>
      </c>
    </row>
    <row r="4197" spans="1:24">
      <c r="A4197">
        <f>HYPERLINK("https://www.philgeps.gov.ph/GEPSNONPILOT/Tender/SplashBidNoticeAbstractUI.aspx?menuIndex=3&amp;refID=7080409&amp;Result=3","7080409")</f>
        <v>0</v>
      </c>
      <c r="B4197" t="s">
        <v>1426</v>
      </c>
      <c r="C4197" t="s">
        <v>7533</v>
      </c>
      <c r="D4197" t="s">
        <v>18131</v>
      </c>
      <c r="E4197" t="s">
        <v>21952</v>
      </c>
      <c r="F4197" t="s">
        <v>31362</v>
      </c>
      <c r="G4197" t="s">
        <v>31368</v>
      </c>
      <c r="H4197" t="s">
        <v>15799</v>
      </c>
      <c r="I4197" t="s">
        <v>31387</v>
      </c>
      <c r="J4197" t="s">
        <v>34272</v>
      </c>
      <c r="K4197" t="s">
        <v>40661</v>
      </c>
      <c r="M4197" t="s">
        <v>42453</v>
      </c>
      <c r="N4197" t="s">
        <v>44905</v>
      </c>
      <c r="O4197" t="s">
        <v>44906</v>
      </c>
      <c r="P4197">
        <v>0</v>
      </c>
      <c r="Q4197">
        <v>2</v>
      </c>
      <c r="R4197" t="s">
        <v>44908</v>
      </c>
      <c r="S4197" t="s">
        <v>45042</v>
      </c>
      <c r="T4197" t="s">
        <v>46674</v>
      </c>
      <c r="U4197" t="s">
        <v>50376</v>
      </c>
      <c r="W4197" t="s">
        <v>42453</v>
      </c>
      <c r="X4197" t="s">
        <v>44909</v>
      </c>
    </row>
    <row r="4198" spans="1:24">
      <c r="A4198">
        <f>HYPERLINK("https://www.philgeps.gov.ph/GEPSNONPILOT/Tender/SplashBidNoticeAbstractUI.aspx?menuIndex=3&amp;refID=7080778&amp;Result=3","7080778")</f>
        <v>0</v>
      </c>
      <c r="B4198" t="s">
        <v>1446</v>
      </c>
      <c r="C4198" t="s">
        <v>7534</v>
      </c>
      <c r="D4198" t="s">
        <v>18108</v>
      </c>
      <c r="E4198" t="s">
        <v>21953</v>
      </c>
      <c r="F4198" t="s">
        <v>31362</v>
      </c>
      <c r="G4198" t="s">
        <v>31368</v>
      </c>
      <c r="H4198" t="s">
        <v>15799</v>
      </c>
      <c r="I4198" t="s">
        <v>31430</v>
      </c>
      <c r="J4198" t="s">
        <v>31897</v>
      </c>
      <c r="K4198" t="s">
        <v>40662</v>
      </c>
      <c r="M4198" t="s">
        <v>42475</v>
      </c>
      <c r="N4198" t="s">
        <v>44905</v>
      </c>
      <c r="O4198" t="s">
        <v>44906</v>
      </c>
      <c r="P4198">
        <v>0</v>
      </c>
      <c r="Q4198">
        <v>3</v>
      </c>
      <c r="R4198" t="s">
        <v>44908</v>
      </c>
      <c r="S4198" t="s">
        <v>45042</v>
      </c>
      <c r="T4198" t="s">
        <v>46394</v>
      </c>
      <c r="U4198" t="s">
        <v>50377</v>
      </c>
      <c r="W4198" t="s">
        <v>42475</v>
      </c>
      <c r="X4198" t="s">
        <v>44909</v>
      </c>
    </row>
    <row r="4199" spans="1:24">
      <c r="A4199">
        <f>HYPERLINK("https://www.philgeps.gov.ph/GEPSNONPILOT/Tender/SplashBidNoticeAbstractUI.aspx?menuIndex=3&amp;refID=7080426&amp;Result=3","7080426")</f>
        <v>0</v>
      </c>
      <c r="B4199" t="s">
        <v>580</v>
      </c>
      <c r="C4199" t="s">
        <v>7535</v>
      </c>
      <c r="D4199" t="s">
        <v>18106</v>
      </c>
      <c r="E4199" t="s">
        <v>21954</v>
      </c>
      <c r="F4199" t="s">
        <v>31362</v>
      </c>
      <c r="G4199" t="s">
        <v>31369</v>
      </c>
      <c r="H4199" t="s">
        <v>31378</v>
      </c>
      <c r="I4199" t="s">
        <v>31386</v>
      </c>
      <c r="J4199" t="s">
        <v>34273</v>
      </c>
      <c r="K4199" t="s">
        <v>40679</v>
      </c>
      <c r="M4199" t="s">
        <v>41537</v>
      </c>
      <c r="N4199" t="s">
        <v>44905</v>
      </c>
      <c r="O4199" t="s">
        <v>44906</v>
      </c>
      <c r="P4199">
        <v>0</v>
      </c>
      <c r="Q4199">
        <v>0</v>
      </c>
      <c r="R4199" t="s">
        <v>44908</v>
      </c>
      <c r="S4199" t="s">
        <v>45042</v>
      </c>
      <c r="T4199" t="s">
        <v>46404</v>
      </c>
      <c r="U4199" t="s">
        <v>49008</v>
      </c>
      <c r="V4199" t="s">
        <v>59438</v>
      </c>
      <c r="W4199" t="s">
        <v>41537</v>
      </c>
      <c r="X4199" t="s">
        <v>44909</v>
      </c>
    </row>
    <row r="4200" spans="1:24">
      <c r="A4200">
        <f>HYPERLINK("https://www.philgeps.gov.ph/GEPSNONPILOT/Tender/SplashBidNoticeAbstractUI.aspx?menuIndex=3&amp;refID=7080407&amp;Result=3","7080407")</f>
        <v>0</v>
      </c>
      <c r="B4200" t="s">
        <v>1414</v>
      </c>
      <c r="C4200" t="s">
        <v>7536</v>
      </c>
      <c r="D4200" t="s">
        <v>18106</v>
      </c>
      <c r="E4200" t="s">
        <v>21955</v>
      </c>
      <c r="F4200" t="s">
        <v>31362</v>
      </c>
      <c r="G4200" t="s">
        <v>31369</v>
      </c>
      <c r="H4200" t="s">
        <v>31378</v>
      </c>
      <c r="I4200" t="s">
        <v>31386</v>
      </c>
      <c r="J4200" t="s">
        <v>31531</v>
      </c>
      <c r="K4200" t="s">
        <v>40665</v>
      </c>
      <c r="M4200" t="s">
        <v>42439</v>
      </c>
      <c r="N4200" t="s">
        <v>44905</v>
      </c>
      <c r="O4200" t="s">
        <v>44906</v>
      </c>
      <c r="P4200">
        <v>0</v>
      </c>
      <c r="Q4200">
        <v>1</v>
      </c>
      <c r="R4200" t="s">
        <v>44908</v>
      </c>
      <c r="S4200" t="s">
        <v>45042</v>
      </c>
      <c r="T4200" t="s">
        <v>46450</v>
      </c>
      <c r="U4200" t="s">
        <v>50378</v>
      </c>
      <c r="W4200" t="s">
        <v>42439</v>
      </c>
      <c r="X4200" t="s">
        <v>44909</v>
      </c>
    </row>
    <row r="4201" spans="1:24">
      <c r="A4201">
        <f>HYPERLINK("https://www.philgeps.gov.ph/GEPSNONPILOT/Tender/SplashBidNoticeAbstractUI.aspx?menuIndex=3&amp;refID=7080404&amp;Result=3","7080404")</f>
        <v>0</v>
      </c>
      <c r="B4201" t="s">
        <v>1373</v>
      </c>
      <c r="C4201" t="s">
        <v>7537</v>
      </c>
      <c r="D4201" t="s">
        <v>18109</v>
      </c>
      <c r="E4201" t="s">
        <v>21956</v>
      </c>
      <c r="F4201" t="s">
        <v>31362</v>
      </c>
      <c r="G4201" t="s">
        <v>31370</v>
      </c>
      <c r="H4201" t="s">
        <v>15799</v>
      </c>
      <c r="I4201" t="s">
        <v>31427</v>
      </c>
      <c r="J4201" t="s">
        <v>34274</v>
      </c>
      <c r="K4201" t="s">
        <v>40665</v>
      </c>
      <c r="M4201" t="s">
        <v>42396</v>
      </c>
      <c r="N4201" t="s">
        <v>44905</v>
      </c>
      <c r="O4201" t="s">
        <v>44906</v>
      </c>
      <c r="P4201">
        <v>0</v>
      </c>
      <c r="Q4201">
        <v>3</v>
      </c>
      <c r="R4201" t="s">
        <v>44908</v>
      </c>
      <c r="S4201" t="s">
        <v>45042</v>
      </c>
      <c r="T4201" t="s">
        <v>46454</v>
      </c>
      <c r="U4201" t="s">
        <v>49998</v>
      </c>
      <c r="W4201" t="s">
        <v>42396</v>
      </c>
      <c r="X4201" t="s">
        <v>44909</v>
      </c>
    </row>
    <row r="4202" spans="1:24">
      <c r="A4202">
        <f>HYPERLINK("https://www.philgeps.gov.ph/GEPSNONPILOT/Tender/SplashBidNoticeAbstractUI.aspx?menuIndex=3&amp;refID=7080405&amp;Result=3","7080405")</f>
        <v>0</v>
      </c>
      <c r="B4202" t="s">
        <v>1439</v>
      </c>
      <c r="C4202" t="s">
        <v>7538</v>
      </c>
      <c r="D4202" t="s">
        <v>18124</v>
      </c>
      <c r="E4202" t="s">
        <v>21957</v>
      </c>
      <c r="F4202" t="s">
        <v>31362</v>
      </c>
      <c r="G4202" t="s">
        <v>31368</v>
      </c>
      <c r="H4202" t="s">
        <v>15799</v>
      </c>
      <c r="I4202" t="s">
        <v>3815</v>
      </c>
      <c r="J4202" t="s">
        <v>34275</v>
      </c>
      <c r="K4202" t="s">
        <v>40666</v>
      </c>
      <c r="M4202" t="s">
        <v>42468</v>
      </c>
      <c r="N4202" t="s">
        <v>44905</v>
      </c>
      <c r="O4202" t="s">
        <v>44906</v>
      </c>
      <c r="P4202">
        <v>0</v>
      </c>
      <c r="Q4202">
        <v>0</v>
      </c>
      <c r="R4202" t="s">
        <v>44908</v>
      </c>
      <c r="S4202" t="s">
        <v>45042</v>
      </c>
      <c r="T4202" t="s">
        <v>46426</v>
      </c>
      <c r="U4202" t="s">
        <v>50379</v>
      </c>
      <c r="W4202" t="s">
        <v>42468</v>
      </c>
      <c r="X4202" t="s">
        <v>44909</v>
      </c>
    </row>
    <row r="4203" spans="1:24">
      <c r="A4203">
        <f>HYPERLINK("https://www.philgeps.gov.ph/GEPSNONPILOT/Tender/SplashBidNoticeAbstractUI.aspx?menuIndex=3&amp;refID=7080388&amp;Result=3","7080388")</f>
        <v>0</v>
      </c>
      <c r="B4203" t="s">
        <v>169</v>
      </c>
      <c r="C4203" t="s">
        <v>7539</v>
      </c>
      <c r="D4203" t="s">
        <v>18108</v>
      </c>
      <c r="E4203" t="s">
        <v>21958</v>
      </c>
      <c r="F4203" t="s">
        <v>31362</v>
      </c>
      <c r="G4203" t="s">
        <v>31368</v>
      </c>
      <c r="H4203" t="s">
        <v>15799</v>
      </c>
      <c r="I4203" t="s">
        <v>31380</v>
      </c>
      <c r="J4203" t="s">
        <v>34276</v>
      </c>
      <c r="K4203" t="s">
        <v>40665</v>
      </c>
      <c r="M4203" t="s">
        <v>42511</v>
      </c>
      <c r="N4203" t="s">
        <v>44905</v>
      </c>
      <c r="O4203" t="s">
        <v>44906</v>
      </c>
      <c r="P4203">
        <v>0</v>
      </c>
      <c r="Q4203">
        <v>2</v>
      </c>
      <c r="R4203" t="s">
        <v>44908</v>
      </c>
      <c r="S4203" t="s">
        <v>45042</v>
      </c>
      <c r="T4203" t="s">
        <v>46411</v>
      </c>
      <c r="U4203" t="s">
        <v>50380</v>
      </c>
      <c r="W4203" t="s">
        <v>42511</v>
      </c>
      <c r="X4203" t="s">
        <v>44909</v>
      </c>
    </row>
    <row r="4204" spans="1:24">
      <c r="A4204">
        <f>HYPERLINK("https://www.philgeps.gov.ph/GEPSNONPILOT/Tender/SplashBidNoticeAbstractUI.aspx?menuIndex=3&amp;refID=7080411&amp;Result=3","7080411")</f>
        <v>0</v>
      </c>
      <c r="B4204" t="s">
        <v>1263</v>
      </c>
      <c r="C4204" t="s">
        <v>7540</v>
      </c>
      <c r="D4204" t="s">
        <v>18106</v>
      </c>
      <c r="E4204" t="s">
        <v>21229</v>
      </c>
      <c r="F4204" t="s">
        <v>31362</v>
      </c>
      <c r="G4204" t="s">
        <v>31370</v>
      </c>
      <c r="H4204" t="s">
        <v>15799</v>
      </c>
      <c r="I4204" t="s">
        <v>31384</v>
      </c>
      <c r="J4204" t="s">
        <v>31723</v>
      </c>
      <c r="K4204" t="s">
        <v>40661</v>
      </c>
      <c r="M4204" t="s">
        <v>42280</v>
      </c>
      <c r="N4204" t="s">
        <v>44905</v>
      </c>
      <c r="O4204" t="s">
        <v>44906</v>
      </c>
      <c r="P4204">
        <v>0</v>
      </c>
      <c r="Q4204">
        <v>2</v>
      </c>
      <c r="R4204" t="s">
        <v>44908</v>
      </c>
      <c r="S4204" t="s">
        <v>45042</v>
      </c>
      <c r="T4204" t="s">
        <v>46454</v>
      </c>
      <c r="U4204" t="s">
        <v>50381</v>
      </c>
      <c r="W4204" t="s">
        <v>42280</v>
      </c>
      <c r="X4204" t="s">
        <v>44909</v>
      </c>
    </row>
    <row r="4205" spans="1:24">
      <c r="A4205">
        <f>HYPERLINK("https://www.philgeps.gov.ph/GEPSNONPILOT/Tender/SplashBidNoticeAbstractUI.aspx?menuIndex=3&amp;refID=7080781&amp;Result=3","7080781")</f>
        <v>0</v>
      </c>
      <c r="B4205" t="s">
        <v>534</v>
      </c>
      <c r="C4205" t="s">
        <v>4113</v>
      </c>
      <c r="D4205" t="s">
        <v>18131</v>
      </c>
      <c r="E4205" t="s">
        <v>21959</v>
      </c>
      <c r="F4205" t="s">
        <v>31362</v>
      </c>
      <c r="G4205" t="s">
        <v>31368</v>
      </c>
      <c r="H4205" t="s">
        <v>15799</v>
      </c>
      <c r="I4205" t="s">
        <v>7188</v>
      </c>
      <c r="J4205" t="s">
        <v>34277</v>
      </c>
      <c r="K4205" t="s">
        <v>40670</v>
      </c>
      <c r="M4205" t="s">
        <v>41490</v>
      </c>
      <c r="N4205" t="s">
        <v>44905</v>
      </c>
      <c r="O4205" t="s">
        <v>44906</v>
      </c>
      <c r="P4205">
        <v>0</v>
      </c>
      <c r="Q4205">
        <v>1</v>
      </c>
      <c r="R4205" t="s">
        <v>44908</v>
      </c>
      <c r="S4205" t="s">
        <v>45042</v>
      </c>
      <c r="T4205" t="s">
        <v>46435</v>
      </c>
      <c r="U4205" t="s">
        <v>50382</v>
      </c>
      <c r="W4205" t="s">
        <v>41490</v>
      </c>
      <c r="X4205" t="s">
        <v>44909</v>
      </c>
    </row>
    <row r="4206" spans="1:24">
      <c r="A4206">
        <f>HYPERLINK("https://www.philgeps.gov.ph/GEPSNONPILOT/Tender/SplashBidNoticeAbstractUI.aspx?menuIndex=3&amp;refID=7080387&amp;Result=3","7080387")</f>
        <v>0</v>
      </c>
      <c r="B4206" t="s">
        <v>776</v>
      </c>
      <c r="C4206" t="s">
        <v>7541</v>
      </c>
      <c r="D4206" t="s">
        <v>18108</v>
      </c>
      <c r="E4206" t="s">
        <v>21960</v>
      </c>
      <c r="F4206" t="s">
        <v>31362</v>
      </c>
      <c r="G4206" t="s">
        <v>31369</v>
      </c>
      <c r="H4206" t="s">
        <v>15799</v>
      </c>
      <c r="I4206" t="s">
        <v>31388</v>
      </c>
      <c r="J4206" t="s">
        <v>34278</v>
      </c>
      <c r="K4206" t="s">
        <v>40662</v>
      </c>
      <c r="M4206" t="s">
        <v>42401</v>
      </c>
      <c r="N4206" t="s">
        <v>44905</v>
      </c>
      <c r="O4206" t="s">
        <v>44906</v>
      </c>
      <c r="P4206">
        <v>0</v>
      </c>
      <c r="Q4206">
        <v>9</v>
      </c>
      <c r="R4206" t="s">
        <v>44908</v>
      </c>
      <c r="S4206" t="s">
        <v>45042</v>
      </c>
      <c r="T4206" t="s">
        <v>46471</v>
      </c>
      <c r="U4206" t="s">
        <v>50383</v>
      </c>
      <c r="W4206" t="s">
        <v>42401</v>
      </c>
      <c r="X4206" t="s">
        <v>44909</v>
      </c>
    </row>
    <row r="4207" spans="1:24">
      <c r="A4207">
        <f>HYPERLINK("https://www.philgeps.gov.ph/GEPSNONPILOT/Tender/SplashBidNoticeAbstractUI.aspx?menuIndex=3&amp;refID=7080386&amp;Result=3","7080386")</f>
        <v>0</v>
      </c>
      <c r="B4207" t="s">
        <v>1385</v>
      </c>
      <c r="C4207" t="s">
        <v>7542</v>
      </c>
      <c r="D4207" t="s">
        <v>18116</v>
      </c>
      <c r="E4207" t="s">
        <v>21235</v>
      </c>
      <c r="F4207" t="s">
        <v>31362</v>
      </c>
      <c r="G4207" t="s">
        <v>31369</v>
      </c>
      <c r="H4207" t="s">
        <v>31378</v>
      </c>
      <c r="I4207" t="s">
        <v>31386</v>
      </c>
      <c r="J4207" t="s">
        <v>34279</v>
      </c>
      <c r="K4207" t="s">
        <v>40670</v>
      </c>
      <c r="M4207" t="s">
        <v>42409</v>
      </c>
      <c r="N4207" t="s">
        <v>44905</v>
      </c>
      <c r="O4207" t="s">
        <v>44906</v>
      </c>
      <c r="P4207">
        <v>0</v>
      </c>
      <c r="Q4207">
        <v>0</v>
      </c>
      <c r="R4207" t="s">
        <v>44908</v>
      </c>
      <c r="S4207" t="s">
        <v>45042</v>
      </c>
      <c r="T4207" t="s">
        <v>46506</v>
      </c>
      <c r="U4207" t="s">
        <v>50384</v>
      </c>
      <c r="W4207" t="s">
        <v>42409</v>
      </c>
      <c r="X4207" t="s">
        <v>44909</v>
      </c>
    </row>
    <row r="4208" spans="1:24">
      <c r="A4208">
        <f>HYPERLINK("https://www.philgeps.gov.ph/GEPSNONPILOT/Tender/SplashBidNoticeAbstractUI.aspx?menuIndex=3&amp;refID=7080363&amp;Result=3","7080363")</f>
        <v>0</v>
      </c>
      <c r="B4208" t="s">
        <v>267</v>
      </c>
      <c r="C4208" t="s">
        <v>7543</v>
      </c>
      <c r="D4208" t="s">
        <v>18154</v>
      </c>
      <c r="E4208" t="s">
        <v>21961</v>
      </c>
      <c r="F4208" t="s">
        <v>31362</v>
      </c>
      <c r="G4208" t="s">
        <v>31369</v>
      </c>
      <c r="H4208" t="s">
        <v>15799</v>
      </c>
      <c r="I4208" t="s">
        <v>31433</v>
      </c>
      <c r="J4208" t="s">
        <v>32028</v>
      </c>
      <c r="K4208" t="s">
        <v>40670</v>
      </c>
      <c r="M4208" t="s">
        <v>41208</v>
      </c>
      <c r="N4208" t="s">
        <v>44905</v>
      </c>
      <c r="O4208" t="s">
        <v>44906</v>
      </c>
      <c r="P4208">
        <v>0</v>
      </c>
      <c r="Q4208">
        <v>0</v>
      </c>
      <c r="R4208" t="s">
        <v>44908</v>
      </c>
      <c r="S4208" t="s">
        <v>45042</v>
      </c>
      <c r="T4208" t="s">
        <v>46470</v>
      </c>
      <c r="U4208" t="s">
        <v>50241</v>
      </c>
      <c r="W4208" t="s">
        <v>41208</v>
      </c>
      <c r="X4208" t="s">
        <v>44909</v>
      </c>
    </row>
    <row r="4209" spans="1:24">
      <c r="A4209">
        <f>HYPERLINK("https://www.philgeps.gov.ph/GEPSNONPILOT/Tender/SplashBidNoticeAbstractUI.aspx?menuIndex=3&amp;refID=7080222&amp;Result=3","7080222")</f>
        <v>0</v>
      </c>
      <c r="B4209" t="s">
        <v>1376</v>
      </c>
      <c r="C4209" t="s">
        <v>7544</v>
      </c>
      <c r="D4209" t="s">
        <v>18112</v>
      </c>
      <c r="E4209" t="s">
        <v>21962</v>
      </c>
      <c r="F4209" t="s">
        <v>31362</v>
      </c>
      <c r="G4209" t="s">
        <v>31368</v>
      </c>
      <c r="H4209" t="s">
        <v>15799</v>
      </c>
      <c r="I4209" t="s">
        <v>13635</v>
      </c>
      <c r="J4209" t="s">
        <v>34280</v>
      </c>
      <c r="K4209" t="s">
        <v>40672</v>
      </c>
      <c r="M4209" t="s">
        <v>42399</v>
      </c>
      <c r="N4209" t="s">
        <v>44905</v>
      </c>
      <c r="O4209" t="s">
        <v>44906</v>
      </c>
      <c r="P4209">
        <v>0</v>
      </c>
      <c r="Q4209">
        <v>1</v>
      </c>
      <c r="R4209" t="s">
        <v>44908</v>
      </c>
      <c r="S4209" t="s">
        <v>45042</v>
      </c>
      <c r="T4209" t="s">
        <v>46434</v>
      </c>
      <c r="U4209" t="s">
        <v>50010</v>
      </c>
      <c r="W4209" t="s">
        <v>42399</v>
      </c>
      <c r="X4209" t="s">
        <v>44909</v>
      </c>
    </row>
    <row r="4210" spans="1:24">
      <c r="A4210">
        <f>HYPERLINK("https://www.philgeps.gov.ph/GEPSNONPILOT/Tender/SplashBidNoticeAbstractUI.aspx?menuIndex=3&amp;refID=7080221&amp;Result=3","7080221")</f>
        <v>0</v>
      </c>
      <c r="B4210" t="s">
        <v>335</v>
      </c>
      <c r="C4210" t="s">
        <v>7545</v>
      </c>
      <c r="D4210" t="s">
        <v>18108</v>
      </c>
      <c r="E4210" t="s">
        <v>21963</v>
      </c>
      <c r="F4210" t="s">
        <v>31362</v>
      </c>
      <c r="G4210" t="s">
        <v>31368</v>
      </c>
      <c r="H4210" t="s">
        <v>15799</v>
      </c>
      <c r="I4210" t="s">
        <v>31430</v>
      </c>
      <c r="J4210" t="s">
        <v>34281</v>
      </c>
      <c r="K4210" t="s">
        <v>40661</v>
      </c>
      <c r="M4210" t="s">
        <v>42389</v>
      </c>
      <c r="N4210" t="s">
        <v>44905</v>
      </c>
      <c r="O4210" t="s">
        <v>44906</v>
      </c>
      <c r="P4210">
        <v>0</v>
      </c>
      <c r="Q4210">
        <v>0</v>
      </c>
      <c r="R4210" t="s">
        <v>44908</v>
      </c>
      <c r="S4210" t="s">
        <v>45042</v>
      </c>
      <c r="T4210" t="s">
        <v>46447</v>
      </c>
      <c r="U4210" t="s">
        <v>50385</v>
      </c>
      <c r="W4210" t="s">
        <v>42389</v>
      </c>
      <c r="X4210" t="s">
        <v>44909</v>
      </c>
    </row>
    <row r="4211" spans="1:24">
      <c r="A4211">
        <f>HYPERLINK("https://www.philgeps.gov.ph/GEPSNONPILOT/Tender/SplashBidNoticeAbstractUI.aspx?menuIndex=3&amp;refID=7080220&amp;Result=3","7080220")</f>
        <v>0</v>
      </c>
      <c r="B4211" t="s">
        <v>1477</v>
      </c>
      <c r="C4211" t="s">
        <v>7546</v>
      </c>
      <c r="D4211" t="s">
        <v>18143</v>
      </c>
      <c r="E4211" t="s">
        <v>21964</v>
      </c>
      <c r="F4211" t="s">
        <v>31362</v>
      </c>
      <c r="G4211" t="s">
        <v>31368</v>
      </c>
      <c r="H4211" t="s">
        <v>15799</v>
      </c>
      <c r="I4211" t="s">
        <v>7090</v>
      </c>
      <c r="J4211" t="s">
        <v>32062</v>
      </c>
      <c r="K4211" t="s">
        <v>40665</v>
      </c>
      <c r="M4211" t="s">
        <v>42512</v>
      </c>
      <c r="N4211" t="s">
        <v>44905</v>
      </c>
      <c r="O4211" t="s">
        <v>44906</v>
      </c>
      <c r="P4211">
        <v>0</v>
      </c>
      <c r="Q4211">
        <v>1</v>
      </c>
      <c r="R4211" t="s">
        <v>44908</v>
      </c>
      <c r="S4211" t="s">
        <v>45042</v>
      </c>
      <c r="T4211" t="s">
        <v>46409</v>
      </c>
      <c r="U4211" t="s">
        <v>50386</v>
      </c>
      <c r="V4211" t="s">
        <v>59465</v>
      </c>
      <c r="W4211" t="s">
        <v>42512</v>
      </c>
      <c r="X4211" t="s">
        <v>44909</v>
      </c>
    </row>
    <row r="4212" spans="1:24">
      <c r="A4212">
        <f>HYPERLINK("https://www.philgeps.gov.ph/GEPSNONPILOT/Tender/SplashBidNoticeAbstractUI.aspx?menuIndex=3&amp;refID=7080408&amp;Result=3","7080408")</f>
        <v>0</v>
      </c>
      <c r="B4212" t="s">
        <v>1374</v>
      </c>
      <c r="C4212" t="s">
        <v>7151</v>
      </c>
      <c r="D4212" t="s">
        <v>18178</v>
      </c>
      <c r="E4212" t="s">
        <v>21965</v>
      </c>
      <c r="F4212" t="s">
        <v>31362</v>
      </c>
      <c r="G4212" t="s">
        <v>31369</v>
      </c>
      <c r="H4212" t="s">
        <v>31378</v>
      </c>
      <c r="I4212" t="s">
        <v>31386</v>
      </c>
      <c r="J4212" t="s">
        <v>34282</v>
      </c>
      <c r="K4212" t="s">
        <v>40776</v>
      </c>
      <c r="M4212" t="s">
        <v>42397</v>
      </c>
      <c r="N4212" t="s">
        <v>44905</v>
      </c>
      <c r="O4212" t="s">
        <v>44906</v>
      </c>
      <c r="P4212">
        <v>0</v>
      </c>
      <c r="Q4212">
        <v>0</v>
      </c>
      <c r="R4212" t="s">
        <v>44908</v>
      </c>
      <c r="S4212" t="s">
        <v>45042</v>
      </c>
      <c r="T4212" t="s">
        <v>46404</v>
      </c>
      <c r="U4212" t="s">
        <v>50387</v>
      </c>
      <c r="W4212" t="s">
        <v>42397</v>
      </c>
      <c r="X4212" t="s">
        <v>44909</v>
      </c>
    </row>
    <row r="4213" spans="1:24">
      <c r="A4213">
        <f>HYPERLINK("https://www.philgeps.gov.ph/GEPSNONPILOT/Tender/SplashBidNoticeAbstractUI.aspx?menuIndex=3&amp;refID=7080385&amp;Result=3","7080385")</f>
        <v>0</v>
      </c>
      <c r="B4213" t="s">
        <v>1442</v>
      </c>
      <c r="C4213" t="s">
        <v>7547</v>
      </c>
      <c r="D4213" t="s">
        <v>18108</v>
      </c>
      <c r="E4213" t="s">
        <v>21966</v>
      </c>
      <c r="F4213" t="s">
        <v>31362</v>
      </c>
      <c r="G4213" t="s">
        <v>31368</v>
      </c>
      <c r="H4213" t="s">
        <v>15799</v>
      </c>
      <c r="I4213" t="s">
        <v>31388</v>
      </c>
      <c r="J4213" t="s">
        <v>31738</v>
      </c>
      <c r="K4213" t="s">
        <v>40662</v>
      </c>
      <c r="M4213" t="s">
        <v>42471</v>
      </c>
      <c r="N4213" t="s">
        <v>44905</v>
      </c>
      <c r="O4213" t="s">
        <v>44906</v>
      </c>
      <c r="P4213">
        <v>0</v>
      </c>
      <c r="Q4213">
        <v>3</v>
      </c>
      <c r="R4213" t="s">
        <v>44908</v>
      </c>
      <c r="S4213" t="s">
        <v>45042</v>
      </c>
      <c r="T4213" t="s">
        <v>46454</v>
      </c>
      <c r="U4213" t="s">
        <v>50388</v>
      </c>
      <c r="W4213" t="s">
        <v>42471</v>
      </c>
      <c r="X4213" t="s">
        <v>44909</v>
      </c>
    </row>
    <row r="4214" spans="1:24">
      <c r="A4214">
        <f>HYPERLINK("https://www.philgeps.gov.ph/GEPSNONPILOT/Tender/SplashBidNoticeAbstractUI.aspx?menuIndex=3&amp;refID=7080223&amp;Result=3","7080223")</f>
        <v>0</v>
      </c>
      <c r="B4214" t="s">
        <v>1033</v>
      </c>
      <c r="C4214" t="s">
        <v>7548</v>
      </c>
      <c r="D4214" t="s">
        <v>18162</v>
      </c>
      <c r="E4214" t="s">
        <v>21967</v>
      </c>
      <c r="F4214" t="s">
        <v>31362</v>
      </c>
      <c r="G4214" t="s">
        <v>31369</v>
      </c>
      <c r="H4214" t="s">
        <v>15799</v>
      </c>
      <c r="I4214" t="s">
        <v>3815</v>
      </c>
      <c r="J4214" t="s">
        <v>34283</v>
      </c>
      <c r="K4214" t="s">
        <v>40670</v>
      </c>
      <c r="M4214" t="s">
        <v>42032</v>
      </c>
      <c r="N4214" t="s">
        <v>44905</v>
      </c>
      <c r="O4214" t="s">
        <v>44906</v>
      </c>
      <c r="P4214">
        <v>0</v>
      </c>
      <c r="Q4214">
        <v>0</v>
      </c>
      <c r="R4214" t="s">
        <v>44908</v>
      </c>
      <c r="S4214" t="s">
        <v>45042</v>
      </c>
      <c r="T4214" t="s">
        <v>46430</v>
      </c>
      <c r="U4214" t="s">
        <v>50389</v>
      </c>
      <c r="W4214" t="s">
        <v>42032</v>
      </c>
      <c r="X4214" t="s">
        <v>44909</v>
      </c>
    </row>
    <row r="4215" spans="1:24">
      <c r="A4215">
        <f>HYPERLINK("https://www.philgeps.gov.ph/GEPSNONPILOT/Tender/SplashBidNoticeAbstractUI.aspx?menuIndex=3&amp;refID=7079876&amp;Result=3","7079876")</f>
        <v>0</v>
      </c>
      <c r="B4215" t="s">
        <v>1478</v>
      </c>
      <c r="C4215" t="s">
        <v>6762</v>
      </c>
      <c r="D4215" t="s">
        <v>18118</v>
      </c>
      <c r="E4215" t="s">
        <v>21968</v>
      </c>
      <c r="F4215" t="s">
        <v>31362</v>
      </c>
      <c r="G4215" t="s">
        <v>31368</v>
      </c>
      <c r="H4215" t="s">
        <v>15799</v>
      </c>
      <c r="I4215" t="s">
        <v>7090</v>
      </c>
      <c r="J4215" t="s">
        <v>31768</v>
      </c>
      <c r="K4215" t="s">
        <v>40697</v>
      </c>
      <c r="M4215" t="s">
        <v>42513</v>
      </c>
      <c r="N4215" t="s">
        <v>44905</v>
      </c>
      <c r="O4215" t="s">
        <v>44906</v>
      </c>
      <c r="P4215">
        <v>0</v>
      </c>
      <c r="Q4215">
        <v>0</v>
      </c>
      <c r="R4215" t="s">
        <v>44908</v>
      </c>
      <c r="S4215" t="s">
        <v>45042</v>
      </c>
      <c r="T4215" t="s">
        <v>46409</v>
      </c>
      <c r="U4215" t="s">
        <v>49716</v>
      </c>
      <c r="W4215" t="s">
        <v>42513</v>
      </c>
      <c r="X4215" t="s">
        <v>44909</v>
      </c>
    </row>
    <row r="4216" spans="1:24">
      <c r="A4216">
        <f>HYPERLINK("https://www.philgeps.gov.ph/GEPSNONPILOT/Tender/SplashBidNoticeAbstractUI.aspx?menuIndex=3&amp;refID=7079875&amp;Result=3","7079875")</f>
        <v>0</v>
      </c>
      <c r="B4216" t="s">
        <v>1270</v>
      </c>
      <c r="C4216" t="s">
        <v>7549</v>
      </c>
      <c r="D4216" t="s">
        <v>18157</v>
      </c>
      <c r="E4216" t="s">
        <v>21969</v>
      </c>
      <c r="F4216" t="s">
        <v>31362</v>
      </c>
      <c r="G4216" t="s">
        <v>31368</v>
      </c>
      <c r="H4216" t="s">
        <v>15799</v>
      </c>
      <c r="I4216" t="s">
        <v>4057</v>
      </c>
      <c r="J4216" t="s">
        <v>34284</v>
      </c>
      <c r="K4216" t="s">
        <v>40698</v>
      </c>
      <c r="M4216" t="s">
        <v>42287</v>
      </c>
      <c r="N4216" t="s">
        <v>44905</v>
      </c>
      <c r="O4216" t="s">
        <v>44906</v>
      </c>
      <c r="P4216">
        <v>0</v>
      </c>
      <c r="Q4216">
        <v>0</v>
      </c>
      <c r="R4216" t="s">
        <v>44908</v>
      </c>
      <c r="S4216" t="s">
        <v>45042</v>
      </c>
      <c r="T4216" t="s">
        <v>46404</v>
      </c>
      <c r="U4216" t="s">
        <v>49706</v>
      </c>
      <c r="W4216" t="s">
        <v>42287</v>
      </c>
      <c r="X4216" t="s">
        <v>44909</v>
      </c>
    </row>
    <row r="4217" spans="1:24">
      <c r="A4217">
        <f>HYPERLINK("https://www.philgeps.gov.ph/GEPSNONPILOT/Tender/SplashBidNoticeAbstractUI.aspx?menuIndex=3&amp;refID=7079874&amp;Result=3","7079874")</f>
        <v>0</v>
      </c>
      <c r="B4217" t="s">
        <v>270</v>
      </c>
      <c r="C4217" t="s">
        <v>7550</v>
      </c>
      <c r="D4217" t="s">
        <v>18166</v>
      </c>
      <c r="E4217" t="s">
        <v>21970</v>
      </c>
      <c r="F4217" t="s">
        <v>31362</v>
      </c>
      <c r="G4217" t="s">
        <v>31368</v>
      </c>
      <c r="H4217" t="s">
        <v>15799</v>
      </c>
      <c r="I4217" t="s">
        <v>31404</v>
      </c>
      <c r="J4217" t="s">
        <v>34285</v>
      </c>
      <c r="K4217" t="s">
        <v>40661</v>
      </c>
      <c r="M4217" t="s">
        <v>41953</v>
      </c>
      <c r="N4217" t="s">
        <v>44905</v>
      </c>
      <c r="O4217" t="s">
        <v>44906</v>
      </c>
      <c r="P4217">
        <v>0</v>
      </c>
      <c r="Q4217">
        <v>0</v>
      </c>
      <c r="R4217" t="s">
        <v>44908</v>
      </c>
      <c r="S4217" t="s">
        <v>45042</v>
      </c>
      <c r="T4217" t="s">
        <v>46393</v>
      </c>
      <c r="U4217" t="s">
        <v>50390</v>
      </c>
      <c r="W4217" t="s">
        <v>41953</v>
      </c>
      <c r="X4217" t="s">
        <v>44909</v>
      </c>
    </row>
    <row r="4218" spans="1:24">
      <c r="A4218">
        <f>HYPERLINK("https://www.philgeps.gov.ph/GEPSNONPILOT/Tender/SplashBidNoticeAbstractUI.aspx?menuIndex=3&amp;refID=7079872&amp;Result=3","7079872")</f>
        <v>0</v>
      </c>
      <c r="B4218" t="s">
        <v>1454</v>
      </c>
      <c r="C4218" t="s">
        <v>7551</v>
      </c>
      <c r="D4218" t="s">
        <v>18146</v>
      </c>
      <c r="E4218" t="s">
        <v>21971</v>
      </c>
      <c r="F4218" t="s">
        <v>31362</v>
      </c>
      <c r="G4218" t="s">
        <v>31370</v>
      </c>
      <c r="H4218" t="s">
        <v>15799</v>
      </c>
      <c r="I4218" t="s">
        <v>31400</v>
      </c>
      <c r="J4218" t="s">
        <v>31688</v>
      </c>
      <c r="K4218" t="s">
        <v>40661</v>
      </c>
      <c r="M4218" t="s">
        <v>42485</v>
      </c>
      <c r="N4218" t="s">
        <v>44905</v>
      </c>
      <c r="O4218" t="s">
        <v>44906</v>
      </c>
      <c r="P4218">
        <v>0</v>
      </c>
      <c r="Q4218">
        <v>0</v>
      </c>
      <c r="R4218" t="s">
        <v>44908</v>
      </c>
      <c r="S4218" t="s">
        <v>45042</v>
      </c>
      <c r="T4218" t="s">
        <v>46409</v>
      </c>
      <c r="U4218" t="s">
        <v>50391</v>
      </c>
      <c r="V4218" t="s">
        <v>59466</v>
      </c>
      <c r="W4218" t="s">
        <v>42485</v>
      </c>
      <c r="X4218" t="s">
        <v>44909</v>
      </c>
    </row>
    <row r="4219" spans="1:24">
      <c r="A4219">
        <f>HYPERLINK("https://www.philgeps.gov.ph/GEPSNONPILOT/Tender/SplashBidNoticeAbstractUI.aspx?menuIndex=3&amp;refID=7080219&amp;Result=3","7080219")</f>
        <v>0</v>
      </c>
      <c r="B4219" t="s">
        <v>1213</v>
      </c>
      <c r="C4219" t="s">
        <v>7552</v>
      </c>
      <c r="D4219" t="s">
        <v>18158</v>
      </c>
      <c r="E4219" t="s">
        <v>21972</v>
      </c>
      <c r="F4219" t="s">
        <v>31362</v>
      </c>
      <c r="G4219" t="s">
        <v>31368</v>
      </c>
      <c r="H4219" t="s">
        <v>15799</v>
      </c>
      <c r="I4219" t="s">
        <v>7188</v>
      </c>
      <c r="J4219" t="s">
        <v>34286</v>
      </c>
      <c r="K4219" t="s">
        <v>40665</v>
      </c>
      <c r="M4219" t="s">
        <v>42226</v>
      </c>
      <c r="N4219" t="s">
        <v>44905</v>
      </c>
      <c r="O4219" t="s">
        <v>44906</v>
      </c>
      <c r="P4219">
        <v>0</v>
      </c>
      <c r="Q4219">
        <v>2</v>
      </c>
      <c r="R4219" t="s">
        <v>44908</v>
      </c>
      <c r="S4219" t="s">
        <v>45042</v>
      </c>
      <c r="T4219" t="s">
        <v>46534</v>
      </c>
      <c r="U4219" t="s">
        <v>50392</v>
      </c>
      <c r="W4219" t="s">
        <v>42226</v>
      </c>
      <c r="X4219" t="s">
        <v>44909</v>
      </c>
    </row>
    <row r="4220" spans="1:24">
      <c r="A4220">
        <f>HYPERLINK("https://www.philgeps.gov.ph/GEPSNONPILOT/Tender/SplashBidNoticeAbstractUI.aspx?menuIndex=3&amp;refID=7080905&amp;Result=3","7080905")</f>
        <v>0</v>
      </c>
      <c r="B4220" t="s">
        <v>548</v>
      </c>
      <c r="C4220" t="s">
        <v>7553</v>
      </c>
      <c r="D4220" t="s">
        <v>18154</v>
      </c>
      <c r="E4220" t="s">
        <v>21973</v>
      </c>
      <c r="F4220" t="s">
        <v>31362</v>
      </c>
      <c r="G4220" t="s">
        <v>31368</v>
      </c>
      <c r="H4220" t="s">
        <v>15799</v>
      </c>
      <c r="I4220" t="s">
        <v>31381</v>
      </c>
      <c r="J4220" t="s">
        <v>34287</v>
      </c>
      <c r="K4220" t="s">
        <v>40666</v>
      </c>
      <c r="M4220" t="s">
        <v>42514</v>
      </c>
      <c r="N4220" t="s">
        <v>44905</v>
      </c>
      <c r="O4220" t="s">
        <v>44906</v>
      </c>
      <c r="P4220">
        <v>0</v>
      </c>
      <c r="Q4220">
        <v>3</v>
      </c>
      <c r="R4220" t="s">
        <v>44908</v>
      </c>
      <c r="S4220" t="s">
        <v>45042</v>
      </c>
      <c r="T4220" t="s">
        <v>46404</v>
      </c>
      <c r="U4220" t="s">
        <v>50393</v>
      </c>
      <c r="W4220" t="s">
        <v>42514</v>
      </c>
      <c r="X4220" t="s">
        <v>44909</v>
      </c>
    </row>
    <row r="4221" spans="1:24">
      <c r="A4221">
        <f>HYPERLINK("https://www.philgeps.gov.ph/GEPSNONPILOT/Tender/SplashBidNoticeAbstractUI.aspx?menuIndex=3&amp;refID=7080911&amp;Result=3","7080911")</f>
        <v>0</v>
      </c>
      <c r="B4221" t="s">
        <v>1479</v>
      </c>
      <c r="C4221" t="s">
        <v>7554</v>
      </c>
      <c r="D4221" t="s">
        <v>18122</v>
      </c>
      <c r="E4221" t="s">
        <v>21974</v>
      </c>
      <c r="F4221" t="s">
        <v>31362</v>
      </c>
      <c r="G4221" t="s">
        <v>31369</v>
      </c>
      <c r="H4221" t="s">
        <v>15799</v>
      </c>
      <c r="I4221" t="s">
        <v>31422</v>
      </c>
      <c r="J4221" t="s">
        <v>34288</v>
      </c>
      <c r="K4221" t="s">
        <v>40665</v>
      </c>
      <c r="M4221" t="s">
        <v>42515</v>
      </c>
      <c r="N4221" t="s">
        <v>44905</v>
      </c>
      <c r="O4221" t="s">
        <v>44906</v>
      </c>
      <c r="P4221">
        <v>0</v>
      </c>
      <c r="Q4221">
        <v>3</v>
      </c>
      <c r="R4221" t="s">
        <v>44908</v>
      </c>
      <c r="S4221" t="s">
        <v>45042</v>
      </c>
      <c r="T4221" t="s">
        <v>46511</v>
      </c>
      <c r="U4221" t="s">
        <v>50394</v>
      </c>
      <c r="W4221" t="s">
        <v>60897</v>
      </c>
      <c r="X4221" t="s">
        <v>44909</v>
      </c>
    </row>
    <row r="4222" spans="1:24">
      <c r="A4222">
        <f>HYPERLINK("https://www.philgeps.gov.ph/GEPSNONPILOT/Tender/SplashBidNoticeAbstractUI.aspx?menuIndex=3&amp;refID=7079873&amp;Result=3","7079873")</f>
        <v>0</v>
      </c>
      <c r="B4222" t="s">
        <v>1033</v>
      </c>
      <c r="C4222" t="s">
        <v>7555</v>
      </c>
      <c r="D4222" t="s">
        <v>18162</v>
      </c>
      <c r="E4222" t="s">
        <v>21975</v>
      </c>
      <c r="F4222" t="s">
        <v>31362</v>
      </c>
      <c r="G4222" t="s">
        <v>31369</v>
      </c>
      <c r="H4222" t="s">
        <v>15799</v>
      </c>
      <c r="I4222" t="s">
        <v>31385</v>
      </c>
      <c r="J4222" t="s">
        <v>34289</v>
      </c>
      <c r="K4222" t="s">
        <v>40670</v>
      </c>
      <c r="M4222" t="s">
        <v>42032</v>
      </c>
      <c r="N4222" t="s">
        <v>44905</v>
      </c>
      <c r="O4222" t="s">
        <v>44906</v>
      </c>
      <c r="P4222">
        <v>0</v>
      </c>
      <c r="Q4222">
        <v>0</v>
      </c>
      <c r="R4222" t="s">
        <v>44908</v>
      </c>
      <c r="S4222" t="s">
        <v>45042</v>
      </c>
      <c r="T4222" t="s">
        <v>46430</v>
      </c>
      <c r="U4222" t="s">
        <v>50395</v>
      </c>
      <c r="W4222" t="s">
        <v>42032</v>
      </c>
      <c r="X4222" t="s">
        <v>44909</v>
      </c>
    </row>
    <row r="4223" spans="1:24">
      <c r="A4223">
        <f>HYPERLINK("https://www.philgeps.gov.ph/GEPSNONPILOT/Tender/SplashBidNoticeAbstractUI.aspx?menuIndex=3&amp;refID=7080909&amp;Result=3","7080909")</f>
        <v>0</v>
      </c>
      <c r="B4223" t="s">
        <v>1480</v>
      </c>
      <c r="C4223" t="s">
        <v>7556</v>
      </c>
      <c r="D4223" t="s">
        <v>18149</v>
      </c>
      <c r="E4223" t="s">
        <v>21976</v>
      </c>
      <c r="F4223" t="s">
        <v>31362</v>
      </c>
      <c r="G4223" t="s">
        <v>31368</v>
      </c>
      <c r="H4223" t="s">
        <v>15799</v>
      </c>
      <c r="I4223" t="s">
        <v>31427</v>
      </c>
      <c r="J4223" t="s">
        <v>34290</v>
      </c>
      <c r="K4223" t="s">
        <v>40666</v>
      </c>
      <c r="M4223" t="s">
        <v>42516</v>
      </c>
      <c r="N4223" t="s">
        <v>44905</v>
      </c>
      <c r="O4223" t="s">
        <v>44906</v>
      </c>
      <c r="P4223">
        <v>0</v>
      </c>
      <c r="Q4223">
        <v>1</v>
      </c>
      <c r="R4223" t="s">
        <v>44908</v>
      </c>
      <c r="S4223" t="s">
        <v>45042</v>
      </c>
      <c r="T4223" t="s">
        <v>46675</v>
      </c>
      <c r="U4223" t="s">
        <v>50396</v>
      </c>
      <c r="W4223" t="s">
        <v>42516</v>
      </c>
      <c r="X4223" t="s">
        <v>44909</v>
      </c>
    </row>
    <row r="4224" spans="1:24">
      <c r="A4224">
        <f>HYPERLINK("https://www.philgeps.gov.ph/GEPSNONPILOT/Tender/SplashBidNoticeAbstractUI.aspx?menuIndex=3&amp;refID=7080218&amp;Result=3","7080218")</f>
        <v>0</v>
      </c>
      <c r="B4224" t="s">
        <v>1362</v>
      </c>
      <c r="C4224" t="s">
        <v>7557</v>
      </c>
      <c r="D4224" t="s">
        <v>18160</v>
      </c>
      <c r="E4224" t="s">
        <v>21977</v>
      </c>
      <c r="F4224" t="s">
        <v>31362</v>
      </c>
      <c r="G4224" t="s">
        <v>31368</v>
      </c>
      <c r="H4224" t="s">
        <v>15799</v>
      </c>
      <c r="I4224" t="s">
        <v>6240</v>
      </c>
      <c r="J4224" t="s">
        <v>34291</v>
      </c>
      <c r="K4224" t="s">
        <v>40665</v>
      </c>
      <c r="M4224" t="s">
        <v>42383</v>
      </c>
      <c r="N4224" t="s">
        <v>44905</v>
      </c>
      <c r="O4224" t="s">
        <v>44906</v>
      </c>
      <c r="P4224">
        <v>0</v>
      </c>
      <c r="Q4224">
        <v>1</v>
      </c>
      <c r="R4224" t="s">
        <v>44908</v>
      </c>
      <c r="S4224" t="s">
        <v>45042</v>
      </c>
      <c r="T4224" t="s">
        <v>46394</v>
      </c>
      <c r="U4224" t="s">
        <v>50397</v>
      </c>
      <c r="W4224" t="s">
        <v>42383</v>
      </c>
      <c r="X4224" t="s">
        <v>44909</v>
      </c>
    </row>
    <row r="4225" spans="1:24">
      <c r="A4225">
        <f>HYPERLINK("https://www.philgeps.gov.ph/GEPSNONPILOT/Tender/SplashBidNoticeAbstractUI.aspx?menuIndex=3&amp;refID=7080908&amp;Result=3","7080908")</f>
        <v>0</v>
      </c>
      <c r="B4225" t="s">
        <v>276</v>
      </c>
      <c r="C4225" t="s">
        <v>7558</v>
      </c>
      <c r="D4225" t="s">
        <v>18106</v>
      </c>
      <c r="E4225" t="s">
        <v>21978</v>
      </c>
      <c r="F4225" t="s">
        <v>31362</v>
      </c>
      <c r="G4225" t="s">
        <v>31368</v>
      </c>
      <c r="H4225" t="s">
        <v>15799</v>
      </c>
      <c r="I4225" t="s">
        <v>6240</v>
      </c>
      <c r="J4225" t="s">
        <v>34292</v>
      </c>
      <c r="K4225" t="s">
        <v>40661</v>
      </c>
      <c r="M4225" t="s">
        <v>41218</v>
      </c>
      <c r="N4225" t="s">
        <v>44905</v>
      </c>
      <c r="O4225" t="s">
        <v>44906</v>
      </c>
      <c r="P4225">
        <v>0</v>
      </c>
      <c r="Q4225">
        <v>0</v>
      </c>
      <c r="R4225" t="s">
        <v>44908</v>
      </c>
      <c r="S4225" t="s">
        <v>45042</v>
      </c>
      <c r="T4225" t="s">
        <v>46438</v>
      </c>
      <c r="U4225" t="s">
        <v>50398</v>
      </c>
      <c r="W4225" t="s">
        <v>41218</v>
      </c>
      <c r="X4225" t="s">
        <v>44909</v>
      </c>
    </row>
    <row r="4226" spans="1:24">
      <c r="A4226">
        <f>HYPERLINK("https://www.philgeps.gov.ph/GEPSNONPILOT/Tender/SplashBidNoticeAbstractUI.aspx?menuIndex=3&amp;refID=7079877&amp;Result=3","7079877")</f>
        <v>0</v>
      </c>
      <c r="B4226" t="s">
        <v>1274</v>
      </c>
      <c r="C4226" t="s">
        <v>7559</v>
      </c>
      <c r="D4226" t="s">
        <v>18134</v>
      </c>
      <c r="E4226" t="s">
        <v>21979</v>
      </c>
      <c r="F4226" t="s">
        <v>31362</v>
      </c>
      <c r="G4226" t="s">
        <v>31370</v>
      </c>
      <c r="H4226" t="s">
        <v>15799</v>
      </c>
      <c r="I4226" t="s">
        <v>6373</v>
      </c>
      <c r="J4226" t="s">
        <v>33915</v>
      </c>
      <c r="K4226" t="s">
        <v>40697</v>
      </c>
      <c r="M4226" t="s">
        <v>42291</v>
      </c>
      <c r="N4226" t="s">
        <v>44905</v>
      </c>
      <c r="O4226" t="s">
        <v>44906</v>
      </c>
      <c r="P4226">
        <v>0</v>
      </c>
      <c r="Q4226">
        <v>1</v>
      </c>
      <c r="R4226" t="s">
        <v>44908</v>
      </c>
      <c r="S4226" t="s">
        <v>45042</v>
      </c>
      <c r="T4226" t="s">
        <v>46414</v>
      </c>
      <c r="U4226" t="s">
        <v>49711</v>
      </c>
      <c r="W4226" t="s">
        <v>42291</v>
      </c>
      <c r="X4226" t="s">
        <v>44909</v>
      </c>
    </row>
    <row r="4227" spans="1:24">
      <c r="A4227">
        <f>HYPERLINK("https://www.philgeps.gov.ph/GEPSNONPILOT/Tender/SplashBidNoticeAbstractUI.aspx?menuIndex=3&amp;refID=7080906&amp;Result=3","7080906")</f>
        <v>0</v>
      </c>
      <c r="B4227" t="s">
        <v>335</v>
      </c>
      <c r="C4227" t="s">
        <v>7560</v>
      </c>
      <c r="D4227" t="s">
        <v>18108</v>
      </c>
      <c r="E4227" t="s">
        <v>21980</v>
      </c>
      <c r="F4227" t="s">
        <v>31362</v>
      </c>
      <c r="G4227" t="s">
        <v>31368</v>
      </c>
      <c r="H4227" t="s">
        <v>15799</v>
      </c>
      <c r="I4227" t="s">
        <v>4942</v>
      </c>
      <c r="J4227" t="s">
        <v>32091</v>
      </c>
      <c r="K4227" t="s">
        <v>40661</v>
      </c>
      <c r="M4227" t="s">
        <v>42389</v>
      </c>
      <c r="N4227" t="s">
        <v>44905</v>
      </c>
      <c r="O4227" t="s">
        <v>44906</v>
      </c>
      <c r="P4227">
        <v>0</v>
      </c>
      <c r="Q4227">
        <v>0</v>
      </c>
      <c r="R4227" t="s">
        <v>44908</v>
      </c>
      <c r="S4227" t="s">
        <v>45042</v>
      </c>
      <c r="T4227" t="s">
        <v>46447</v>
      </c>
      <c r="U4227" t="s">
        <v>50399</v>
      </c>
      <c r="W4227" t="s">
        <v>42389</v>
      </c>
      <c r="X4227" t="s">
        <v>44909</v>
      </c>
    </row>
    <row r="4228" spans="1:24">
      <c r="A4228">
        <f>HYPERLINK("https://www.philgeps.gov.ph/GEPSNONPILOT/Tender/SplashBidNoticeAbstractUI.aspx?menuIndex=3&amp;refID=7080903&amp;Result=3","7080903")</f>
        <v>0</v>
      </c>
      <c r="B4228" t="s">
        <v>1060</v>
      </c>
      <c r="C4228" t="s">
        <v>7561</v>
      </c>
      <c r="D4228" t="s">
        <v>18117</v>
      </c>
      <c r="E4228" t="s">
        <v>21981</v>
      </c>
      <c r="F4228" t="s">
        <v>31362</v>
      </c>
      <c r="G4228" t="s">
        <v>31368</v>
      </c>
      <c r="H4228" t="s">
        <v>15799</v>
      </c>
      <c r="I4228" t="s">
        <v>7719</v>
      </c>
      <c r="J4228" t="s">
        <v>31577</v>
      </c>
      <c r="K4228" t="s">
        <v>40665</v>
      </c>
      <c r="M4228" t="s">
        <v>42062</v>
      </c>
      <c r="N4228" t="s">
        <v>44905</v>
      </c>
      <c r="O4228" t="s">
        <v>44906</v>
      </c>
      <c r="P4228">
        <v>0</v>
      </c>
      <c r="Q4228">
        <v>4</v>
      </c>
      <c r="R4228" t="s">
        <v>44908</v>
      </c>
      <c r="S4228" t="s">
        <v>45042</v>
      </c>
      <c r="T4228" t="s">
        <v>46478</v>
      </c>
      <c r="U4228" t="s">
        <v>50400</v>
      </c>
      <c r="W4228" t="s">
        <v>42062</v>
      </c>
      <c r="X4228" t="s">
        <v>44909</v>
      </c>
    </row>
    <row r="4229" spans="1:24">
      <c r="A4229">
        <f>HYPERLINK("https://www.philgeps.gov.ph/GEPSNONPILOT/Tender/SplashBidNoticeAbstractUI.aspx?menuIndex=3&amp;refID=7080902&amp;Result=3","7080902")</f>
        <v>0</v>
      </c>
      <c r="B4229" t="s">
        <v>192</v>
      </c>
      <c r="C4229" t="s">
        <v>7562</v>
      </c>
      <c r="D4229" t="s">
        <v>18122</v>
      </c>
      <c r="E4229" t="s">
        <v>21982</v>
      </c>
      <c r="F4229" t="s">
        <v>31362</v>
      </c>
      <c r="G4229" t="s">
        <v>31369</v>
      </c>
      <c r="H4229" t="s">
        <v>15799</v>
      </c>
      <c r="I4229" t="s">
        <v>31396</v>
      </c>
      <c r="J4229" t="s">
        <v>34293</v>
      </c>
      <c r="K4229" t="s">
        <v>40662</v>
      </c>
      <c r="M4229" t="s">
        <v>41130</v>
      </c>
      <c r="N4229" t="s">
        <v>44905</v>
      </c>
      <c r="O4229" t="s">
        <v>44906</v>
      </c>
      <c r="P4229">
        <v>0</v>
      </c>
      <c r="Q4229">
        <v>11</v>
      </c>
      <c r="R4229" t="s">
        <v>44908</v>
      </c>
      <c r="S4229" t="s">
        <v>45042</v>
      </c>
      <c r="T4229" t="s">
        <v>46450</v>
      </c>
      <c r="U4229" t="s">
        <v>50401</v>
      </c>
      <c r="V4229" t="s">
        <v>59467</v>
      </c>
      <c r="W4229" t="s">
        <v>41130</v>
      </c>
      <c r="X4229" t="s">
        <v>44909</v>
      </c>
    </row>
    <row r="4230" spans="1:24">
      <c r="A4230">
        <f>HYPERLINK("https://www.philgeps.gov.ph/GEPSNONPILOT/Tender/SplashBidNoticeAbstractUI.aspx?menuIndex=3&amp;refID=7080900&amp;Result=3","7080900")</f>
        <v>0</v>
      </c>
      <c r="B4230" t="s">
        <v>130</v>
      </c>
      <c r="C4230" t="s">
        <v>7563</v>
      </c>
      <c r="D4230" t="s">
        <v>18109</v>
      </c>
      <c r="E4230" t="s">
        <v>21983</v>
      </c>
      <c r="F4230" t="s">
        <v>31362</v>
      </c>
      <c r="G4230" t="s">
        <v>31368</v>
      </c>
      <c r="H4230" t="s">
        <v>15799</v>
      </c>
      <c r="I4230" t="s">
        <v>31431</v>
      </c>
      <c r="J4230" t="s">
        <v>34294</v>
      </c>
      <c r="K4230" t="s">
        <v>40662</v>
      </c>
      <c r="M4230" t="s">
        <v>41067</v>
      </c>
      <c r="N4230" t="s">
        <v>44905</v>
      </c>
      <c r="O4230" t="s">
        <v>44906</v>
      </c>
      <c r="P4230">
        <v>0</v>
      </c>
      <c r="Q4230">
        <v>3</v>
      </c>
      <c r="R4230" t="s">
        <v>44908</v>
      </c>
      <c r="S4230" t="s">
        <v>45042</v>
      </c>
      <c r="T4230" t="s">
        <v>46394</v>
      </c>
      <c r="U4230" t="s">
        <v>50402</v>
      </c>
      <c r="W4230" t="s">
        <v>41067</v>
      </c>
      <c r="X4230" t="s">
        <v>44909</v>
      </c>
    </row>
    <row r="4231" spans="1:24">
      <c r="A4231">
        <f>HYPERLINK("https://www.philgeps.gov.ph/GEPSNONPILOT/Tender/SplashBidNoticeAbstractUI.aspx?menuIndex=3&amp;refID=7080383&amp;Result=3","7080383")</f>
        <v>0</v>
      </c>
      <c r="B4231" t="s">
        <v>791</v>
      </c>
      <c r="C4231" t="s">
        <v>7564</v>
      </c>
      <c r="D4231" t="s">
        <v>18175</v>
      </c>
      <c r="E4231" t="s">
        <v>21984</v>
      </c>
      <c r="F4231" t="s">
        <v>31362</v>
      </c>
      <c r="G4231" t="s">
        <v>31368</v>
      </c>
      <c r="H4231" t="s">
        <v>15799</v>
      </c>
      <c r="I4231" t="s">
        <v>31455</v>
      </c>
      <c r="J4231" t="s">
        <v>31536</v>
      </c>
      <c r="K4231" t="s">
        <v>40662</v>
      </c>
      <c r="M4231" t="s">
        <v>41761</v>
      </c>
      <c r="N4231" t="s">
        <v>44905</v>
      </c>
      <c r="O4231" t="s">
        <v>44906</v>
      </c>
      <c r="P4231">
        <v>0</v>
      </c>
      <c r="Q4231">
        <v>0</v>
      </c>
      <c r="R4231" t="s">
        <v>44908</v>
      </c>
      <c r="S4231" t="s">
        <v>45042</v>
      </c>
      <c r="T4231" t="s">
        <v>46399</v>
      </c>
      <c r="U4231" t="s">
        <v>50403</v>
      </c>
      <c r="V4231" t="s">
        <v>59151</v>
      </c>
      <c r="W4231" t="s">
        <v>41761</v>
      </c>
      <c r="X4231" t="s">
        <v>44909</v>
      </c>
    </row>
    <row r="4232" spans="1:24">
      <c r="A4232">
        <f>HYPERLINK("https://www.philgeps.gov.ph/GEPSNONPILOT/Tender/SplashBidNoticeAbstractUI.aspx?menuIndex=3&amp;refID=7080406&amp;Result=3","7080406")</f>
        <v>0</v>
      </c>
      <c r="B4232" t="s">
        <v>1381</v>
      </c>
      <c r="C4232" t="s">
        <v>7565</v>
      </c>
      <c r="D4232" t="s">
        <v>18123</v>
      </c>
      <c r="E4232" t="s">
        <v>21985</v>
      </c>
      <c r="F4232" t="s">
        <v>31362</v>
      </c>
      <c r="G4232" t="s">
        <v>31369</v>
      </c>
      <c r="H4232" t="s">
        <v>15799</v>
      </c>
      <c r="I4232" t="s">
        <v>31468</v>
      </c>
      <c r="J4232" t="s">
        <v>32261</v>
      </c>
      <c r="K4232" t="s">
        <v>40665</v>
      </c>
      <c r="M4232" t="s">
        <v>42405</v>
      </c>
      <c r="N4232" t="s">
        <v>44905</v>
      </c>
      <c r="O4232" t="s">
        <v>44906</v>
      </c>
      <c r="P4232">
        <v>0</v>
      </c>
      <c r="Q4232">
        <v>1</v>
      </c>
      <c r="R4232" t="s">
        <v>44908</v>
      </c>
      <c r="S4232" t="s">
        <v>45042</v>
      </c>
      <c r="T4232" t="s">
        <v>46676</v>
      </c>
      <c r="U4232" t="s">
        <v>50030</v>
      </c>
      <c r="V4232" t="s">
        <v>59437</v>
      </c>
      <c r="W4232" t="s">
        <v>42405</v>
      </c>
      <c r="X4232" t="s">
        <v>44909</v>
      </c>
    </row>
    <row r="4233" spans="1:24">
      <c r="A4233">
        <f>HYPERLINK("https://www.philgeps.gov.ph/GEPSNONPILOT/Tender/SplashBidNoticeAbstractUI.aspx?menuIndex=3&amp;refID=7080897&amp;Result=3","7080897")</f>
        <v>0</v>
      </c>
      <c r="B4233" t="s">
        <v>466</v>
      </c>
      <c r="C4233" t="s">
        <v>7566</v>
      </c>
      <c r="D4233" t="s">
        <v>18155</v>
      </c>
      <c r="E4233" t="s">
        <v>21986</v>
      </c>
      <c r="F4233" t="s">
        <v>31362</v>
      </c>
      <c r="G4233" t="s">
        <v>31368</v>
      </c>
      <c r="H4233" t="s">
        <v>15799</v>
      </c>
      <c r="I4233" t="s">
        <v>31393</v>
      </c>
      <c r="J4233" t="s">
        <v>34295</v>
      </c>
      <c r="K4233" t="s">
        <v>40665</v>
      </c>
      <c r="M4233" t="s">
        <v>42517</v>
      </c>
      <c r="N4233" t="s">
        <v>44905</v>
      </c>
      <c r="O4233" t="s">
        <v>44906</v>
      </c>
      <c r="P4233">
        <v>0</v>
      </c>
      <c r="Q4233">
        <v>2</v>
      </c>
      <c r="R4233" t="s">
        <v>44908</v>
      </c>
      <c r="S4233" t="s">
        <v>45042</v>
      </c>
      <c r="T4233" t="s">
        <v>46446</v>
      </c>
      <c r="U4233" t="s">
        <v>50404</v>
      </c>
      <c r="W4233" t="s">
        <v>42517</v>
      </c>
      <c r="X4233" t="s">
        <v>44909</v>
      </c>
    </row>
    <row r="4234" spans="1:24">
      <c r="A4234">
        <f>HYPERLINK("https://www.philgeps.gov.ph/GEPSNONPILOT/Tender/SplashBidNoticeAbstractUI.aspx?menuIndex=3&amp;refID=7080907&amp;Result=3","7080907")</f>
        <v>0</v>
      </c>
      <c r="B4234" t="s">
        <v>345</v>
      </c>
      <c r="C4234" t="s">
        <v>7567</v>
      </c>
      <c r="D4234" t="s">
        <v>18149</v>
      </c>
      <c r="E4234" t="s">
        <v>21987</v>
      </c>
      <c r="F4234" t="s">
        <v>31362</v>
      </c>
      <c r="G4234" t="s">
        <v>31368</v>
      </c>
      <c r="H4234" t="s">
        <v>15799</v>
      </c>
      <c r="I4234" t="s">
        <v>31385</v>
      </c>
      <c r="J4234" t="s">
        <v>34296</v>
      </c>
      <c r="K4234" t="s">
        <v>40693</v>
      </c>
      <c r="M4234" t="s">
        <v>41291</v>
      </c>
      <c r="N4234" t="s">
        <v>44905</v>
      </c>
      <c r="O4234" t="s">
        <v>44906</v>
      </c>
      <c r="P4234">
        <v>0</v>
      </c>
      <c r="Q4234">
        <v>0</v>
      </c>
      <c r="R4234" t="s">
        <v>44908</v>
      </c>
      <c r="S4234" t="s">
        <v>45042</v>
      </c>
      <c r="T4234" t="s">
        <v>46580</v>
      </c>
      <c r="U4234" t="s">
        <v>50405</v>
      </c>
      <c r="W4234" t="s">
        <v>41291</v>
      </c>
      <c r="X4234" t="s">
        <v>44909</v>
      </c>
    </row>
    <row r="4235" spans="1:24">
      <c r="A4235">
        <f>HYPERLINK("https://www.philgeps.gov.ph/GEPSNONPILOT/Tender/SplashBidNoticeAbstractUI.aspx?menuIndex=3&amp;refID=7080896&amp;Result=3","7080896")</f>
        <v>0</v>
      </c>
      <c r="B4235" t="s">
        <v>666</v>
      </c>
      <c r="C4235" t="s">
        <v>7568</v>
      </c>
      <c r="D4235" t="s">
        <v>18108</v>
      </c>
      <c r="E4235" t="s">
        <v>21988</v>
      </c>
      <c r="F4235" t="s">
        <v>31362</v>
      </c>
      <c r="G4235" t="s">
        <v>31368</v>
      </c>
      <c r="H4235" t="s">
        <v>15799</v>
      </c>
      <c r="I4235" t="s">
        <v>31399</v>
      </c>
      <c r="J4235" t="s">
        <v>34297</v>
      </c>
      <c r="K4235" t="s">
        <v>40661</v>
      </c>
      <c r="M4235" t="s">
        <v>41628</v>
      </c>
      <c r="N4235" t="s">
        <v>44905</v>
      </c>
      <c r="O4235" t="s">
        <v>44906</v>
      </c>
      <c r="P4235">
        <v>0</v>
      </c>
      <c r="Q4235">
        <v>6</v>
      </c>
      <c r="R4235" t="s">
        <v>44908</v>
      </c>
      <c r="S4235" t="s">
        <v>45042</v>
      </c>
      <c r="T4235" t="s">
        <v>46488</v>
      </c>
      <c r="U4235" t="s">
        <v>48220</v>
      </c>
      <c r="W4235" t="s">
        <v>41628</v>
      </c>
      <c r="X4235" t="s">
        <v>44909</v>
      </c>
    </row>
    <row r="4236" spans="1:24">
      <c r="A4236">
        <f>HYPERLINK("https://www.philgeps.gov.ph/GEPSNONPILOT/Tender/SplashBidNoticeAbstractUI.aspx?menuIndex=3&amp;refID=7080893&amp;Result=3","7080893")</f>
        <v>0</v>
      </c>
      <c r="B4236" t="s">
        <v>1380</v>
      </c>
      <c r="C4236" t="s">
        <v>7569</v>
      </c>
      <c r="D4236" t="s">
        <v>18127</v>
      </c>
      <c r="E4236" t="s">
        <v>21989</v>
      </c>
      <c r="F4236" t="s">
        <v>31362</v>
      </c>
      <c r="G4236" t="s">
        <v>31369</v>
      </c>
      <c r="H4236" t="s">
        <v>31378</v>
      </c>
      <c r="I4236" t="s">
        <v>31386</v>
      </c>
      <c r="J4236" t="s">
        <v>31536</v>
      </c>
      <c r="K4236" t="s">
        <v>40682</v>
      </c>
      <c r="M4236" t="s">
        <v>42404</v>
      </c>
      <c r="N4236" t="s">
        <v>44905</v>
      </c>
      <c r="O4236" t="s">
        <v>44906</v>
      </c>
      <c r="P4236">
        <v>0</v>
      </c>
      <c r="Q4236">
        <v>0</v>
      </c>
      <c r="R4236" t="s">
        <v>44908</v>
      </c>
      <c r="S4236" t="s">
        <v>45042</v>
      </c>
      <c r="T4236" t="s">
        <v>46470</v>
      </c>
      <c r="U4236" t="s">
        <v>50406</v>
      </c>
      <c r="W4236" t="s">
        <v>42404</v>
      </c>
      <c r="X4236" t="s">
        <v>44909</v>
      </c>
    </row>
    <row r="4237" spans="1:24">
      <c r="A4237">
        <f>HYPERLINK("https://www.philgeps.gov.ph/GEPSNONPILOT/Tender/SplashBidNoticeAbstractUI.aspx?menuIndex=3&amp;refID=7080904&amp;Result=3","7080904")</f>
        <v>0</v>
      </c>
      <c r="B4237" t="s">
        <v>238</v>
      </c>
      <c r="C4237" t="s">
        <v>7570</v>
      </c>
      <c r="D4237" t="s">
        <v>18163</v>
      </c>
      <c r="E4237" t="s">
        <v>21990</v>
      </c>
      <c r="F4237" t="s">
        <v>31362</v>
      </c>
      <c r="G4237" t="s">
        <v>31368</v>
      </c>
      <c r="H4237" t="s">
        <v>15799</v>
      </c>
      <c r="I4237" t="s">
        <v>31427</v>
      </c>
      <c r="J4237" t="s">
        <v>31577</v>
      </c>
      <c r="K4237" t="s">
        <v>40666</v>
      </c>
      <c r="M4237" t="s">
        <v>41177</v>
      </c>
      <c r="N4237" t="s">
        <v>44905</v>
      </c>
      <c r="O4237" t="s">
        <v>44906</v>
      </c>
      <c r="P4237">
        <v>0</v>
      </c>
      <c r="Q4237">
        <v>1</v>
      </c>
      <c r="R4237" t="s">
        <v>44908</v>
      </c>
      <c r="S4237" t="s">
        <v>45042</v>
      </c>
      <c r="T4237" t="s">
        <v>46409</v>
      </c>
      <c r="U4237" t="s">
        <v>50407</v>
      </c>
      <c r="W4237" t="s">
        <v>41177</v>
      </c>
      <c r="X4237" t="s">
        <v>44909</v>
      </c>
    </row>
    <row r="4238" spans="1:24">
      <c r="A4238">
        <f>HYPERLINK("https://www.philgeps.gov.ph/GEPSNONPILOT/Tender/SplashBidNoticeAbstractUI.aspx?menuIndex=3&amp;refID=7080891&amp;Result=3","7080891")</f>
        <v>0</v>
      </c>
      <c r="B4238" t="s">
        <v>672</v>
      </c>
      <c r="C4238" t="s">
        <v>7571</v>
      </c>
      <c r="D4238" t="s">
        <v>18103</v>
      </c>
      <c r="E4238" t="s">
        <v>21991</v>
      </c>
      <c r="F4238" t="s">
        <v>31362</v>
      </c>
      <c r="G4238" t="s">
        <v>31369</v>
      </c>
      <c r="H4238" t="s">
        <v>31378</v>
      </c>
      <c r="I4238" t="s">
        <v>31386</v>
      </c>
      <c r="J4238" t="s">
        <v>32187</v>
      </c>
      <c r="K4238" t="s">
        <v>40777</v>
      </c>
      <c r="M4238" t="s">
        <v>41634</v>
      </c>
      <c r="N4238" t="s">
        <v>44905</v>
      </c>
      <c r="O4238" t="s">
        <v>44906</v>
      </c>
      <c r="P4238">
        <v>0</v>
      </c>
      <c r="Q4238">
        <v>1</v>
      </c>
      <c r="R4238" t="s">
        <v>44908</v>
      </c>
      <c r="S4238" t="s">
        <v>45042</v>
      </c>
      <c r="T4238" t="s">
        <v>46429</v>
      </c>
      <c r="U4238" t="s">
        <v>50090</v>
      </c>
      <c r="W4238" t="s">
        <v>60863</v>
      </c>
      <c r="X4238" t="s">
        <v>44909</v>
      </c>
    </row>
    <row r="4239" spans="1:24">
      <c r="A4239">
        <f>HYPERLINK("https://www.philgeps.gov.ph/GEPSNONPILOT/Tender/SplashBidNoticeAbstractUI.aspx?menuIndex=3&amp;refID=7080889&amp;Result=3","7080889")</f>
        <v>0</v>
      </c>
      <c r="B4239" t="s">
        <v>1481</v>
      </c>
      <c r="C4239" t="s">
        <v>7572</v>
      </c>
      <c r="D4239" t="s">
        <v>18160</v>
      </c>
      <c r="E4239" t="s">
        <v>18410</v>
      </c>
      <c r="F4239" t="s">
        <v>31362</v>
      </c>
      <c r="G4239" t="s">
        <v>31369</v>
      </c>
      <c r="H4239" t="s">
        <v>15799</v>
      </c>
      <c r="I4239" t="s">
        <v>31468</v>
      </c>
      <c r="J4239" t="s">
        <v>32087</v>
      </c>
      <c r="K4239" t="s">
        <v>40665</v>
      </c>
      <c r="M4239" t="s">
        <v>42518</v>
      </c>
      <c r="N4239" t="s">
        <v>44905</v>
      </c>
      <c r="O4239" t="s">
        <v>44906</v>
      </c>
      <c r="P4239">
        <v>0</v>
      </c>
      <c r="Q4239">
        <v>2</v>
      </c>
      <c r="R4239" t="s">
        <v>44908</v>
      </c>
      <c r="S4239" t="s">
        <v>45042</v>
      </c>
      <c r="T4239" t="s">
        <v>46470</v>
      </c>
      <c r="U4239" t="s">
        <v>50408</v>
      </c>
      <c r="W4239" t="s">
        <v>42518</v>
      </c>
      <c r="X4239" t="s">
        <v>44909</v>
      </c>
    </row>
    <row r="4240" spans="1:24">
      <c r="A4240">
        <f>HYPERLINK("https://www.philgeps.gov.ph/GEPSNONPILOT/Tender/SplashBidNoticeAbstractUI.aspx?menuIndex=3&amp;refID=7080888&amp;Result=3","7080888")</f>
        <v>0</v>
      </c>
      <c r="B4240" t="s">
        <v>1482</v>
      </c>
      <c r="C4240" t="s">
        <v>7573</v>
      </c>
      <c r="D4240" t="s">
        <v>18117</v>
      </c>
      <c r="E4240" t="s">
        <v>21992</v>
      </c>
      <c r="F4240" t="s">
        <v>31362</v>
      </c>
      <c r="G4240" t="s">
        <v>31369</v>
      </c>
      <c r="H4240" t="s">
        <v>15799</v>
      </c>
      <c r="I4240" t="s">
        <v>3815</v>
      </c>
      <c r="J4240" t="s">
        <v>34298</v>
      </c>
      <c r="K4240" t="s">
        <v>40665</v>
      </c>
      <c r="M4240" t="s">
        <v>42519</v>
      </c>
      <c r="N4240" t="s">
        <v>44905</v>
      </c>
      <c r="O4240" t="s">
        <v>44906</v>
      </c>
      <c r="P4240">
        <v>0</v>
      </c>
      <c r="Q4240">
        <v>0</v>
      </c>
      <c r="R4240" t="s">
        <v>44908</v>
      </c>
      <c r="S4240" t="s">
        <v>45042</v>
      </c>
      <c r="T4240" t="s">
        <v>46404</v>
      </c>
      <c r="U4240" t="s">
        <v>50409</v>
      </c>
      <c r="W4240" t="s">
        <v>42519</v>
      </c>
      <c r="X4240" t="s">
        <v>44909</v>
      </c>
    </row>
    <row r="4241" spans="1:24">
      <c r="A4241">
        <f>HYPERLINK("https://www.philgeps.gov.ph/GEPSNONPILOT/Tender/SplashBidNoticeAbstractUI.aspx?menuIndex=3&amp;refID=7080898&amp;Result=3","7080898")</f>
        <v>0</v>
      </c>
      <c r="B4241" t="s">
        <v>1483</v>
      </c>
      <c r="C4241" t="s">
        <v>7574</v>
      </c>
      <c r="D4241" t="s">
        <v>18131</v>
      </c>
      <c r="E4241" t="s">
        <v>21993</v>
      </c>
      <c r="F4241" t="s">
        <v>31362</v>
      </c>
      <c r="G4241" t="s">
        <v>31369</v>
      </c>
      <c r="H4241" t="s">
        <v>15799</v>
      </c>
      <c r="I4241" t="s">
        <v>31420</v>
      </c>
      <c r="J4241" t="s">
        <v>34299</v>
      </c>
      <c r="K4241" t="s">
        <v>40665</v>
      </c>
      <c r="M4241" t="s">
        <v>42520</v>
      </c>
      <c r="N4241" t="s">
        <v>44905</v>
      </c>
      <c r="O4241" t="s">
        <v>44906</v>
      </c>
      <c r="P4241">
        <v>0</v>
      </c>
      <c r="Q4241">
        <v>8</v>
      </c>
      <c r="R4241" t="s">
        <v>44908</v>
      </c>
      <c r="S4241" t="s">
        <v>45042</v>
      </c>
      <c r="T4241" t="s">
        <v>46449</v>
      </c>
      <c r="U4241" t="s">
        <v>50410</v>
      </c>
      <c r="V4241" t="s">
        <v>59468</v>
      </c>
      <c r="W4241" t="s">
        <v>42520</v>
      </c>
      <c r="X4241" t="s">
        <v>44909</v>
      </c>
    </row>
    <row r="4242" spans="1:24">
      <c r="A4242">
        <f>HYPERLINK("https://www.philgeps.gov.ph/GEPSNONPILOT/Tender/SplashBidNoticeAbstractUI.aspx?menuIndex=3&amp;refID=7079858&amp;Result=3","7079858")</f>
        <v>0</v>
      </c>
      <c r="B4242" t="s">
        <v>1260</v>
      </c>
      <c r="C4242" t="s">
        <v>7575</v>
      </c>
      <c r="D4242" t="s">
        <v>18142</v>
      </c>
      <c r="E4242" t="s">
        <v>21994</v>
      </c>
      <c r="F4242" t="s">
        <v>31362</v>
      </c>
      <c r="G4242" t="s">
        <v>31369</v>
      </c>
      <c r="H4242" t="s">
        <v>15799</v>
      </c>
      <c r="I4242" t="s">
        <v>31409</v>
      </c>
      <c r="J4242" t="s">
        <v>32165</v>
      </c>
      <c r="K4242" t="s">
        <v>40677</v>
      </c>
      <c r="M4242" t="s">
        <v>42276</v>
      </c>
      <c r="N4242" t="s">
        <v>44905</v>
      </c>
      <c r="O4242" t="s">
        <v>44906</v>
      </c>
      <c r="P4242">
        <v>0</v>
      </c>
      <c r="Q4242">
        <v>0</v>
      </c>
      <c r="R4242" t="s">
        <v>44908</v>
      </c>
      <c r="S4242" t="s">
        <v>45042</v>
      </c>
      <c r="T4242" t="s">
        <v>46426</v>
      </c>
      <c r="U4242" t="s">
        <v>49683</v>
      </c>
      <c r="W4242" t="s">
        <v>42276</v>
      </c>
      <c r="X4242" t="s">
        <v>44909</v>
      </c>
    </row>
    <row r="4243" spans="1:24">
      <c r="A4243">
        <f>HYPERLINK("https://www.philgeps.gov.ph/GEPSNONPILOT/Tender/SplashBidNoticeAbstractUI.aspx?menuIndex=3&amp;refID=7079856&amp;Result=3","7079856")</f>
        <v>0</v>
      </c>
      <c r="B4243" t="s">
        <v>1484</v>
      </c>
      <c r="C4243" t="s">
        <v>7576</v>
      </c>
      <c r="D4243" t="s">
        <v>18108</v>
      </c>
      <c r="E4243" t="s">
        <v>21995</v>
      </c>
      <c r="F4243" t="s">
        <v>31362</v>
      </c>
      <c r="G4243" t="s">
        <v>31368</v>
      </c>
      <c r="H4243" t="s">
        <v>15799</v>
      </c>
      <c r="I4243" t="s">
        <v>6155</v>
      </c>
      <c r="J4243" t="s">
        <v>34300</v>
      </c>
      <c r="K4243" t="s">
        <v>40661</v>
      </c>
      <c r="M4243" t="s">
        <v>42521</v>
      </c>
      <c r="N4243" t="s">
        <v>44905</v>
      </c>
      <c r="O4243" t="s">
        <v>44906</v>
      </c>
      <c r="P4243">
        <v>0</v>
      </c>
      <c r="Q4243">
        <v>8</v>
      </c>
      <c r="R4243" t="s">
        <v>44908</v>
      </c>
      <c r="S4243" t="s">
        <v>45042</v>
      </c>
      <c r="T4243" t="s">
        <v>46414</v>
      </c>
      <c r="U4243" t="s">
        <v>50411</v>
      </c>
      <c r="W4243" t="s">
        <v>42521</v>
      </c>
      <c r="X4243" t="s">
        <v>44909</v>
      </c>
    </row>
    <row r="4244" spans="1:24">
      <c r="A4244">
        <f>HYPERLINK("https://www.philgeps.gov.ph/GEPSNONPILOT/Tender/SplashBidNoticeAbstractUI.aspx?menuIndex=3&amp;refID=7079855&amp;Result=3","7079855")</f>
        <v>0</v>
      </c>
      <c r="B4244" t="s">
        <v>1267</v>
      </c>
      <c r="C4244" t="s">
        <v>7577</v>
      </c>
      <c r="D4244" t="s">
        <v>18111</v>
      </c>
      <c r="E4244" t="s">
        <v>18475</v>
      </c>
      <c r="F4244" t="s">
        <v>31362</v>
      </c>
      <c r="G4244" t="s">
        <v>31369</v>
      </c>
      <c r="H4244" t="s">
        <v>15799</v>
      </c>
      <c r="I4244" t="s">
        <v>7188</v>
      </c>
      <c r="J4244" t="s">
        <v>31806</v>
      </c>
      <c r="K4244" t="s">
        <v>40670</v>
      </c>
      <c r="M4244" t="s">
        <v>42284</v>
      </c>
      <c r="N4244" t="s">
        <v>44905</v>
      </c>
      <c r="O4244" t="s">
        <v>44906</v>
      </c>
      <c r="P4244">
        <v>0</v>
      </c>
      <c r="Q4244">
        <v>6</v>
      </c>
      <c r="R4244" t="s">
        <v>44908</v>
      </c>
      <c r="S4244" t="s">
        <v>45042</v>
      </c>
      <c r="T4244" t="s">
        <v>46559</v>
      </c>
      <c r="U4244" t="s">
        <v>50412</v>
      </c>
      <c r="W4244" t="s">
        <v>42284</v>
      </c>
      <c r="X4244" t="s">
        <v>44909</v>
      </c>
    </row>
    <row r="4245" spans="1:24">
      <c r="A4245">
        <f>HYPERLINK("https://www.philgeps.gov.ph/GEPSNONPILOT/Tender/SplashBidNoticeAbstractUI.aspx?menuIndex=3&amp;refID=7079854&amp;Result=3","7079854")</f>
        <v>0</v>
      </c>
      <c r="B4245" t="s">
        <v>1270</v>
      </c>
      <c r="C4245" t="s">
        <v>7578</v>
      </c>
      <c r="D4245" t="s">
        <v>18157</v>
      </c>
      <c r="E4245" t="s">
        <v>21996</v>
      </c>
      <c r="F4245" t="s">
        <v>31362</v>
      </c>
      <c r="G4245" t="s">
        <v>31368</v>
      </c>
      <c r="H4245" t="s">
        <v>15799</v>
      </c>
      <c r="I4245" t="s">
        <v>4057</v>
      </c>
      <c r="J4245" t="s">
        <v>33859</v>
      </c>
      <c r="K4245" t="s">
        <v>40698</v>
      </c>
      <c r="M4245" t="s">
        <v>42287</v>
      </c>
      <c r="N4245" t="s">
        <v>44905</v>
      </c>
      <c r="O4245" t="s">
        <v>44906</v>
      </c>
      <c r="P4245">
        <v>0</v>
      </c>
      <c r="Q4245">
        <v>0</v>
      </c>
      <c r="R4245" t="s">
        <v>44908</v>
      </c>
      <c r="S4245" t="s">
        <v>45042</v>
      </c>
      <c r="T4245" t="s">
        <v>46404</v>
      </c>
      <c r="U4245" t="s">
        <v>49706</v>
      </c>
      <c r="W4245" t="s">
        <v>42287</v>
      </c>
      <c r="X4245" t="s">
        <v>44909</v>
      </c>
    </row>
    <row r="4246" spans="1:24">
      <c r="A4246">
        <f>HYPERLINK("https://www.philgeps.gov.ph/GEPSNONPILOT/Tender/SplashBidNoticeAbstractUI.aspx?menuIndex=3&amp;refID=7079853&amp;Result=3","7079853")</f>
        <v>0</v>
      </c>
      <c r="B4246" t="s">
        <v>1485</v>
      </c>
      <c r="C4246" t="s">
        <v>7579</v>
      </c>
      <c r="E4246" t="s">
        <v>18203</v>
      </c>
      <c r="F4246" t="s">
        <v>31362</v>
      </c>
      <c r="G4246" t="s">
        <v>31369</v>
      </c>
      <c r="H4246" t="s">
        <v>15799</v>
      </c>
      <c r="I4246" t="s">
        <v>3815</v>
      </c>
      <c r="J4246" t="s">
        <v>34301</v>
      </c>
      <c r="K4246" t="s">
        <v>40662</v>
      </c>
      <c r="M4246" t="s">
        <v>42522</v>
      </c>
      <c r="N4246" t="s">
        <v>44905</v>
      </c>
      <c r="O4246" t="s">
        <v>44906</v>
      </c>
      <c r="P4246">
        <v>0</v>
      </c>
      <c r="Q4246">
        <v>0</v>
      </c>
      <c r="R4246" t="s">
        <v>44908</v>
      </c>
      <c r="S4246" t="s">
        <v>45042</v>
      </c>
      <c r="T4246" t="s">
        <v>46506</v>
      </c>
      <c r="U4246" t="s">
        <v>50413</v>
      </c>
      <c r="W4246" t="s">
        <v>42522</v>
      </c>
      <c r="X4246" t="s">
        <v>44909</v>
      </c>
    </row>
    <row r="4247" spans="1:24">
      <c r="A4247">
        <f>HYPERLINK("https://www.philgeps.gov.ph/GEPSNONPILOT/Tender/SplashBidNoticeAbstractUI.aspx?menuIndex=3&amp;refID=7079852&amp;Result=3","7079852")</f>
        <v>0</v>
      </c>
      <c r="B4247" t="s">
        <v>1260</v>
      </c>
      <c r="C4247" t="s">
        <v>7580</v>
      </c>
      <c r="D4247" t="s">
        <v>18142</v>
      </c>
      <c r="E4247" t="s">
        <v>21997</v>
      </c>
      <c r="F4247" t="s">
        <v>31362</v>
      </c>
      <c r="G4247" t="s">
        <v>31369</v>
      </c>
      <c r="H4247" t="s">
        <v>15799</v>
      </c>
      <c r="I4247" t="s">
        <v>31393</v>
      </c>
      <c r="J4247" t="s">
        <v>34302</v>
      </c>
      <c r="K4247" t="s">
        <v>40677</v>
      </c>
      <c r="M4247" t="s">
        <v>42276</v>
      </c>
      <c r="N4247" t="s">
        <v>44905</v>
      </c>
      <c r="O4247" t="s">
        <v>44906</v>
      </c>
      <c r="P4247">
        <v>0</v>
      </c>
      <c r="Q4247">
        <v>6</v>
      </c>
      <c r="R4247" t="s">
        <v>44908</v>
      </c>
      <c r="S4247" t="s">
        <v>45042</v>
      </c>
      <c r="T4247" t="s">
        <v>46426</v>
      </c>
      <c r="U4247" t="s">
        <v>49683</v>
      </c>
      <c r="W4247" t="s">
        <v>42276</v>
      </c>
      <c r="X4247" t="s">
        <v>44909</v>
      </c>
    </row>
    <row r="4248" spans="1:24">
      <c r="A4248">
        <f>HYPERLINK("https://www.philgeps.gov.ph/GEPSNONPILOT/Tender/SplashBidNoticeAbstractUI.aspx?menuIndex=3&amp;refID=7080899&amp;Result=3","7080899")</f>
        <v>0</v>
      </c>
      <c r="B4248" t="s">
        <v>125</v>
      </c>
      <c r="C4248" t="s">
        <v>7581</v>
      </c>
      <c r="D4248" t="s">
        <v>18104</v>
      </c>
      <c r="E4248" t="s">
        <v>21998</v>
      </c>
      <c r="F4248" t="s">
        <v>31362</v>
      </c>
      <c r="G4248" t="s">
        <v>31369</v>
      </c>
      <c r="H4248" t="s">
        <v>15799</v>
      </c>
      <c r="I4248" t="s">
        <v>4942</v>
      </c>
      <c r="J4248" t="s">
        <v>34124</v>
      </c>
      <c r="K4248" t="s">
        <v>40675</v>
      </c>
      <c r="M4248" t="s">
        <v>41062</v>
      </c>
      <c r="N4248" t="s">
        <v>44905</v>
      </c>
      <c r="O4248" t="s">
        <v>44906</v>
      </c>
      <c r="P4248">
        <v>0</v>
      </c>
      <c r="Q4248">
        <v>0</v>
      </c>
      <c r="R4248" t="s">
        <v>44908</v>
      </c>
      <c r="S4248" t="s">
        <v>45042</v>
      </c>
      <c r="T4248" t="s">
        <v>46541</v>
      </c>
      <c r="U4248" t="s">
        <v>50414</v>
      </c>
      <c r="W4248" t="s">
        <v>41062</v>
      </c>
      <c r="X4248" t="s">
        <v>44909</v>
      </c>
    </row>
    <row r="4249" spans="1:24">
      <c r="A4249">
        <f>HYPERLINK("https://www.philgeps.gov.ph/GEPSNONPILOT/Tender/SplashBidNoticeAbstractUI.aspx?menuIndex=3&amp;refID=7079851&amp;Result=3","7079851")</f>
        <v>0</v>
      </c>
      <c r="B4249" t="s">
        <v>1267</v>
      </c>
      <c r="C4249" t="s">
        <v>7582</v>
      </c>
      <c r="D4249" t="s">
        <v>18111</v>
      </c>
      <c r="E4249" t="s">
        <v>18476</v>
      </c>
      <c r="F4249" t="s">
        <v>31362</v>
      </c>
      <c r="G4249" t="s">
        <v>31369</v>
      </c>
      <c r="H4249" t="s">
        <v>15799</v>
      </c>
      <c r="I4249" t="s">
        <v>7188</v>
      </c>
      <c r="J4249" t="s">
        <v>31578</v>
      </c>
      <c r="K4249" t="s">
        <v>40670</v>
      </c>
      <c r="M4249" t="s">
        <v>42284</v>
      </c>
      <c r="N4249" t="s">
        <v>44905</v>
      </c>
      <c r="O4249" t="s">
        <v>44906</v>
      </c>
      <c r="P4249">
        <v>0</v>
      </c>
      <c r="Q4249">
        <v>5</v>
      </c>
      <c r="R4249" t="s">
        <v>44908</v>
      </c>
      <c r="S4249" t="s">
        <v>45042</v>
      </c>
      <c r="T4249" t="s">
        <v>46559</v>
      </c>
      <c r="U4249" t="s">
        <v>50415</v>
      </c>
      <c r="W4249" t="s">
        <v>42284</v>
      </c>
      <c r="X4249" t="s">
        <v>44909</v>
      </c>
    </row>
    <row r="4250" spans="1:24">
      <c r="A4250">
        <f>HYPERLINK("https://www.philgeps.gov.ph/GEPSNONPILOT/Tender/SplashBidNoticeAbstractUI.aspx?menuIndex=3&amp;refID=7079871&amp;Result=3","7079871")</f>
        <v>0</v>
      </c>
      <c r="B4250" t="s">
        <v>1235</v>
      </c>
      <c r="C4250" t="s">
        <v>7583</v>
      </c>
      <c r="E4250" t="s">
        <v>21999</v>
      </c>
      <c r="F4250" t="s">
        <v>31362</v>
      </c>
      <c r="G4250" t="s">
        <v>31369</v>
      </c>
      <c r="H4250" t="s">
        <v>15799</v>
      </c>
      <c r="I4250" t="s">
        <v>31473</v>
      </c>
      <c r="J4250" t="s">
        <v>32390</v>
      </c>
      <c r="K4250" t="s">
        <v>40662</v>
      </c>
      <c r="M4250" t="s">
        <v>42249</v>
      </c>
      <c r="N4250" t="s">
        <v>44905</v>
      </c>
      <c r="O4250" t="s">
        <v>44906</v>
      </c>
      <c r="P4250">
        <v>0</v>
      </c>
      <c r="Q4250">
        <v>5</v>
      </c>
      <c r="R4250" t="s">
        <v>44908</v>
      </c>
      <c r="S4250" t="s">
        <v>45042</v>
      </c>
      <c r="T4250" t="s">
        <v>46449</v>
      </c>
      <c r="U4250" t="s">
        <v>50416</v>
      </c>
      <c r="W4250" t="s">
        <v>42249</v>
      </c>
      <c r="X4250" t="s">
        <v>44909</v>
      </c>
    </row>
    <row r="4251" spans="1:24">
      <c r="A4251">
        <f>HYPERLINK("https://www.philgeps.gov.ph/GEPSNONPILOT/Tender/SplashBidNoticeAbstractUI.aspx?menuIndex=3&amp;refID=7079850&amp;Result=3","7079850")</f>
        <v>0</v>
      </c>
      <c r="B4251" t="s">
        <v>1063</v>
      </c>
      <c r="C4251" t="s">
        <v>7584</v>
      </c>
      <c r="D4251" t="s">
        <v>18177</v>
      </c>
      <c r="E4251" t="s">
        <v>19039</v>
      </c>
      <c r="F4251" t="s">
        <v>31362</v>
      </c>
      <c r="G4251" t="s">
        <v>31370</v>
      </c>
      <c r="H4251" t="s">
        <v>15799</v>
      </c>
      <c r="I4251" t="s">
        <v>3815</v>
      </c>
      <c r="J4251" t="s">
        <v>34303</v>
      </c>
      <c r="K4251" t="s">
        <v>40693</v>
      </c>
      <c r="M4251" t="s">
        <v>42065</v>
      </c>
      <c r="N4251" t="s">
        <v>44905</v>
      </c>
      <c r="O4251" t="s">
        <v>44906</v>
      </c>
      <c r="P4251">
        <v>0</v>
      </c>
      <c r="Q4251">
        <v>0</v>
      </c>
      <c r="R4251" t="s">
        <v>44908</v>
      </c>
      <c r="S4251" t="s">
        <v>45042</v>
      </c>
      <c r="T4251" t="s">
        <v>46414</v>
      </c>
      <c r="U4251" t="s">
        <v>50417</v>
      </c>
      <c r="W4251" t="s">
        <v>42065</v>
      </c>
      <c r="X4251" t="s">
        <v>44909</v>
      </c>
    </row>
    <row r="4252" spans="1:24">
      <c r="A4252">
        <f>HYPERLINK("https://www.philgeps.gov.ph/GEPSNONPILOT/Tender/SplashBidNoticeAbstractUI.aspx?menuIndex=3&amp;refID=7080915&amp;Result=3","7080915")</f>
        <v>0</v>
      </c>
      <c r="B4252" t="s">
        <v>1316</v>
      </c>
      <c r="C4252" t="s">
        <v>7585</v>
      </c>
      <c r="D4252" t="s">
        <v>18163</v>
      </c>
      <c r="E4252" t="s">
        <v>20604</v>
      </c>
      <c r="F4252" t="s">
        <v>31362</v>
      </c>
      <c r="G4252" t="s">
        <v>31368</v>
      </c>
      <c r="H4252" t="s">
        <v>15799</v>
      </c>
      <c r="I4252" t="s">
        <v>31408</v>
      </c>
      <c r="J4252" t="s">
        <v>34304</v>
      </c>
      <c r="K4252" t="s">
        <v>40666</v>
      </c>
      <c r="M4252" t="s">
        <v>42334</v>
      </c>
      <c r="N4252" t="s">
        <v>44905</v>
      </c>
      <c r="O4252" t="s">
        <v>44906</v>
      </c>
      <c r="P4252">
        <v>0</v>
      </c>
      <c r="Q4252">
        <v>0</v>
      </c>
      <c r="R4252" t="s">
        <v>44908</v>
      </c>
      <c r="S4252" t="s">
        <v>45042</v>
      </c>
      <c r="T4252" t="s">
        <v>46447</v>
      </c>
      <c r="U4252" t="s">
        <v>50418</v>
      </c>
      <c r="V4252" t="s">
        <v>59418</v>
      </c>
      <c r="W4252" t="s">
        <v>42334</v>
      </c>
      <c r="X4252" t="s">
        <v>44909</v>
      </c>
    </row>
    <row r="4253" spans="1:24">
      <c r="A4253">
        <f>HYPERLINK("https://www.philgeps.gov.ph/GEPSNONPILOT/Tender/SplashBidNoticeAbstractUI.aspx?menuIndex=3&amp;refID=7079857&amp;Result=3","7079857")</f>
        <v>0</v>
      </c>
      <c r="B4253" t="s">
        <v>1051</v>
      </c>
      <c r="C4253" t="s">
        <v>7586</v>
      </c>
      <c r="D4253" t="s">
        <v>18116</v>
      </c>
      <c r="E4253" t="s">
        <v>22000</v>
      </c>
      <c r="F4253" t="s">
        <v>31362</v>
      </c>
      <c r="G4253" t="s">
        <v>31368</v>
      </c>
      <c r="H4253" t="s">
        <v>15799</v>
      </c>
      <c r="I4253" t="s">
        <v>7719</v>
      </c>
      <c r="J4253" t="s">
        <v>31686</v>
      </c>
      <c r="K4253" t="s">
        <v>40662</v>
      </c>
      <c r="M4253" t="s">
        <v>42052</v>
      </c>
      <c r="N4253" t="s">
        <v>44905</v>
      </c>
      <c r="O4253" t="s">
        <v>44906</v>
      </c>
      <c r="P4253">
        <v>0</v>
      </c>
      <c r="Q4253">
        <v>21</v>
      </c>
      <c r="R4253" t="s">
        <v>44908</v>
      </c>
      <c r="S4253" t="s">
        <v>45042</v>
      </c>
      <c r="T4253" t="s">
        <v>46498</v>
      </c>
      <c r="U4253" t="s">
        <v>50419</v>
      </c>
      <c r="W4253" t="s">
        <v>42052</v>
      </c>
      <c r="X4253" t="s">
        <v>44909</v>
      </c>
    </row>
    <row r="4254" spans="1:24">
      <c r="A4254">
        <f>HYPERLINK("https://www.philgeps.gov.ph/GEPSNONPILOT/Tender/SplashBidNoticeAbstractUI.aspx?menuIndex=3&amp;refID=7080943&amp;Result=3","7080943")</f>
        <v>0</v>
      </c>
      <c r="B4254" t="s">
        <v>1416</v>
      </c>
      <c r="C4254" t="s">
        <v>7587</v>
      </c>
      <c r="D4254" t="s">
        <v>18127</v>
      </c>
      <c r="E4254" t="s">
        <v>18232</v>
      </c>
      <c r="F4254" t="s">
        <v>31362</v>
      </c>
      <c r="G4254" t="s">
        <v>31369</v>
      </c>
      <c r="H4254" t="s">
        <v>31378</v>
      </c>
      <c r="I4254" t="s">
        <v>31386</v>
      </c>
      <c r="J4254" t="s">
        <v>32026</v>
      </c>
      <c r="K4254" t="s">
        <v>40665</v>
      </c>
      <c r="M4254" t="s">
        <v>42442</v>
      </c>
      <c r="N4254" t="s">
        <v>44905</v>
      </c>
      <c r="O4254" t="s">
        <v>44906</v>
      </c>
      <c r="P4254">
        <v>0</v>
      </c>
      <c r="Q4254">
        <v>0</v>
      </c>
      <c r="R4254" t="s">
        <v>44908</v>
      </c>
      <c r="S4254" t="s">
        <v>45042</v>
      </c>
      <c r="T4254" t="s">
        <v>46668</v>
      </c>
      <c r="U4254" t="s">
        <v>50420</v>
      </c>
      <c r="V4254" t="s">
        <v>50420</v>
      </c>
      <c r="W4254" t="s">
        <v>42442</v>
      </c>
      <c r="X4254" t="s">
        <v>44909</v>
      </c>
    </row>
    <row r="4255" spans="1:24">
      <c r="A4255">
        <f>HYPERLINK("https://www.philgeps.gov.ph/GEPSNONPILOT/Tender/SplashBidNoticeAbstractUI.aspx?menuIndex=3&amp;refID=7080940&amp;Result=3","7080940")</f>
        <v>0</v>
      </c>
      <c r="B4255" t="s">
        <v>1184</v>
      </c>
      <c r="C4255" t="s">
        <v>7588</v>
      </c>
      <c r="D4255" t="s">
        <v>18119</v>
      </c>
      <c r="E4255" t="s">
        <v>22001</v>
      </c>
      <c r="F4255" t="s">
        <v>31362</v>
      </c>
      <c r="G4255" t="s">
        <v>31368</v>
      </c>
      <c r="H4255" t="s">
        <v>15799</v>
      </c>
      <c r="I4255" t="s">
        <v>31480</v>
      </c>
      <c r="J4255" t="s">
        <v>31788</v>
      </c>
      <c r="K4255" t="s">
        <v>40745</v>
      </c>
      <c r="M4255" t="s">
        <v>42196</v>
      </c>
      <c r="N4255" t="s">
        <v>44905</v>
      </c>
      <c r="O4255" t="s">
        <v>44906</v>
      </c>
      <c r="P4255">
        <v>0</v>
      </c>
      <c r="Q4255">
        <v>0</v>
      </c>
      <c r="R4255" t="s">
        <v>44908</v>
      </c>
      <c r="S4255" t="s">
        <v>45042</v>
      </c>
      <c r="T4255" t="s">
        <v>46447</v>
      </c>
      <c r="U4255" t="s">
        <v>50421</v>
      </c>
      <c r="W4255" t="s">
        <v>42196</v>
      </c>
      <c r="X4255" t="s">
        <v>44909</v>
      </c>
    </row>
    <row r="4256" spans="1:24">
      <c r="A4256">
        <f>HYPERLINK("https://www.philgeps.gov.ph/GEPSNONPILOT/Tender/SplashBidNoticeAbstractUI.aspx?menuIndex=3&amp;refID=7080939&amp;Result=3","7080939")</f>
        <v>0</v>
      </c>
      <c r="B4256" t="s">
        <v>1217</v>
      </c>
      <c r="C4256" t="s">
        <v>7589</v>
      </c>
      <c r="D4256" t="s">
        <v>18106</v>
      </c>
      <c r="E4256" t="s">
        <v>22002</v>
      </c>
      <c r="F4256" t="s">
        <v>31362</v>
      </c>
      <c r="G4256" t="s">
        <v>31368</v>
      </c>
      <c r="H4256" t="s">
        <v>15799</v>
      </c>
      <c r="I4256" t="s">
        <v>31409</v>
      </c>
      <c r="J4256" t="s">
        <v>34305</v>
      </c>
      <c r="K4256" t="s">
        <v>40665</v>
      </c>
      <c r="M4256" t="s">
        <v>42230</v>
      </c>
      <c r="N4256" t="s">
        <v>44905</v>
      </c>
      <c r="O4256" t="s">
        <v>44906</v>
      </c>
      <c r="P4256">
        <v>0</v>
      </c>
      <c r="Q4256">
        <v>1</v>
      </c>
      <c r="R4256" t="s">
        <v>44908</v>
      </c>
      <c r="S4256" t="s">
        <v>45042</v>
      </c>
      <c r="T4256" t="s">
        <v>46447</v>
      </c>
      <c r="U4256" t="s">
        <v>49589</v>
      </c>
      <c r="V4256" t="s">
        <v>59395</v>
      </c>
      <c r="W4256" t="s">
        <v>42230</v>
      </c>
      <c r="X4256" t="s">
        <v>44909</v>
      </c>
    </row>
    <row r="4257" spans="1:24">
      <c r="A4257">
        <f>HYPERLINK("https://www.philgeps.gov.ph/GEPSNONPILOT/Tender/SplashBidNoticeAbstractUI.aspx?menuIndex=3&amp;refID=7079835&amp;Result=3","7079835")</f>
        <v>0</v>
      </c>
      <c r="B4257" t="s">
        <v>35</v>
      </c>
      <c r="C4257" t="s">
        <v>7590</v>
      </c>
      <c r="D4257" t="s">
        <v>18108</v>
      </c>
      <c r="E4257" t="s">
        <v>22003</v>
      </c>
      <c r="F4257" t="s">
        <v>31362</v>
      </c>
      <c r="G4257" t="s">
        <v>31368</v>
      </c>
      <c r="H4257" t="s">
        <v>15799</v>
      </c>
      <c r="I4257" t="s">
        <v>7090</v>
      </c>
      <c r="J4257" t="s">
        <v>34306</v>
      </c>
      <c r="K4257" t="s">
        <v>40662</v>
      </c>
      <c r="M4257" t="s">
        <v>42365</v>
      </c>
      <c r="N4257" t="s">
        <v>44905</v>
      </c>
      <c r="O4257" t="s">
        <v>44906</v>
      </c>
      <c r="P4257">
        <v>0</v>
      </c>
      <c r="Q4257">
        <v>6</v>
      </c>
      <c r="R4257" t="s">
        <v>44908</v>
      </c>
      <c r="S4257" t="s">
        <v>45042</v>
      </c>
      <c r="T4257" t="s">
        <v>46534</v>
      </c>
      <c r="U4257" t="s">
        <v>49906</v>
      </c>
      <c r="V4257" t="s">
        <v>59424</v>
      </c>
      <c r="W4257" t="s">
        <v>42365</v>
      </c>
      <c r="X4257" t="s">
        <v>44909</v>
      </c>
    </row>
    <row r="4258" spans="1:24">
      <c r="A4258">
        <f>HYPERLINK("https://www.philgeps.gov.ph/GEPSNONPILOT/Tender/SplashBidNoticeAbstractUI.aspx?menuIndex=3&amp;refID=7080938&amp;Result=3","7080938")</f>
        <v>0</v>
      </c>
      <c r="B4258" t="s">
        <v>417</v>
      </c>
      <c r="C4258" t="s">
        <v>7591</v>
      </c>
      <c r="D4258" t="s">
        <v>18166</v>
      </c>
      <c r="E4258" t="s">
        <v>22004</v>
      </c>
      <c r="F4258" t="s">
        <v>31362</v>
      </c>
      <c r="G4258" t="s">
        <v>31369</v>
      </c>
      <c r="H4258" t="s">
        <v>15799</v>
      </c>
      <c r="I4258" t="s">
        <v>3815</v>
      </c>
      <c r="J4258" t="s">
        <v>34307</v>
      </c>
      <c r="K4258" t="s">
        <v>40670</v>
      </c>
      <c r="M4258" t="s">
        <v>41367</v>
      </c>
      <c r="N4258" t="s">
        <v>44905</v>
      </c>
      <c r="O4258" t="s">
        <v>44906</v>
      </c>
      <c r="P4258">
        <v>0</v>
      </c>
      <c r="Q4258">
        <v>0</v>
      </c>
      <c r="R4258" t="s">
        <v>44908</v>
      </c>
      <c r="S4258" t="s">
        <v>45042</v>
      </c>
      <c r="T4258" t="s">
        <v>46415</v>
      </c>
      <c r="U4258" t="s">
        <v>50422</v>
      </c>
      <c r="W4258" t="s">
        <v>41367</v>
      </c>
      <c r="X4258" t="s">
        <v>44909</v>
      </c>
    </row>
    <row r="4259" spans="1:24">
      <c r="A4259">
        <f>HYPERLINK("https://www.philgeps.gov.ph/GEPSNONPILOT/Tender/SplashBidNoticeAbstractUI.aspx?menuIndex=3&amp;refID=7080941&amp;Result=3","7080941")</f>
        <v>0</v>
      </c>
      <c r="B4259" t="s">
        <v>546</v>
      </c>
      <c r="C4259" t="s">
        <v>7592</v>
      </c>
      <c r="D4259" t="s">
        <v>18133</v>
      </c>
      <c r="E4259" t="s">
        <v>22005</v>
      </c>
      <c r="F4259" t="s">
        <v>31362</v>
      </c>
      <c r="G4259" t="s">
        <v>31370</v>
      </c>
      <c r="H4259" t="s">
        <v>15799</v>
      </c>
      <c r="I4259" t="s">
        <v>6373</v>
      </c>
      <c r="J4259" t="s">
        <v>34308</v>
      </c>
      <c r="K4259" t="s">
        <v>40662</v>
      </c>
      <c r="L4259" t="s">
        <v>546</v>
      </c>
      <c r="M4259" t="s">
        <v>41502</v>
      </c>
      <c r="N4259" t="s">
        <v>44905</v>
      </c>
      <c r="O4259" t="s">
        <v>44906</v>
      </c>
      <c r="P4259">
        <v>0</v>
      </c>
      <c r="Q4259">
        <v>6</v>
      </c>
      <c r="R4259" t="s">
        <v>44908</v>
      </c>
      <c r="S4259" t="s">
        <v>45042</v>
      </c>
      <c r="T4259" t="s">
        <v>46425</v>
      </c>
      <c r="U4259" t="s">
        <v>47974</v>
      </c>
      <c r="W4259" t="s">
        <v>41502</v>
      </c>
      <c r="X4259" t="s">
        <v>44909</v>
      </c>
    </row>
    <row r="4260" spans="1:24">
      <c r="A4260">
        <f>HYPERLINK("https://www.philgeps.gov.ph/GEPSNONPILOT/Tender/SplashBidNoticeAbstractUI.aspx?menuIndex=3&amp;refID=7080935&amp;Result=3","7080935")</f>
        <v>0</v>
      </c>
      <c r="B4260" t="s">
        <v>1486</v>
      </c>
      <c r="C4260" t="s">
        <v>7593</v>
      </c>
      <c r="D4260" t="s">
        <v>18114</v>
      </c>
      <c r="E4260" t="s">
        <v>22006</v>
      </c>
      <c r="F4260" t="s">
        <v>31362</v>
      </c>
      <c r="G4260" t="s">
        <v>31370</v>
      </c>
      <c r="H4260" t="s">
        <v>15799</v>
      </c>
      <c r="I4260" t="s">
        <v>6373</v>
      </c>
      <c r="J4260" t="s">
        <v>34309</v>
      </c>
      <c r="K4260" t="s">
        <v>40661</v>
      </c>
      <c r="M4260" t="s">
        <v>42523</v>
      </c>
      <c r="N4260" t="s">
        <v>44905</v>
      </c>
      <c r="O4260" t="s">
        <v>44906</v>
      </c>
      <c r="P4260">
        <v>0</v>
      </c>
      <c r="Q4260">
        <v>7</v>
      </c>
      <c r="R4260" t="s">
        <v>44908</v>
      </c>
      <c r="S4260" t="s">
        <v>45042</v>
      </c>
      <c r="T4260" t="s">
        <v>46454</v>
      </c>
      <c r="U4260" t="s">
        <v>50423</v>
      </c>
      <c r="W4260" t="s">
        <v>42523</v>
      </c>
      <c r="X4260" t="s">
        <v>44909</v>
      </c>
    </row>
    <row r="4261" spans="1:24">
      <c r="A4261">
        <f>HYPERLINK("https://www.philgeps.gov.ph/GEPSNONPILOT/Tender/SplashBidNoticeAbstractUI.aspx?menuIndex=3&amp;refID=7080933&amp;Result=3","7080933")</f>
        <v>0</v>
      </c>
      <c r="B4261" t="s">
        <v>1467</v>
      </c>
      <c r="C4261" t="s">
        <v>7594</v>
      </c>
      <c r="D4261" t="s">
        <v>18147</v>
      </c>
      <c r="E4261" t="s">
        <v>22007</v>
      </c>
      <c r="F4261" t="s">
        <v>31362</v>
      </c>
      <c r="G4261" t="s">
        <v>31369</v>
      </c>
      <c r="H4261" t="s">
        <v>15799</v>
      </c>
      <c r="I4261" t="s">
        <v>31397</v>
      </c>
      <c r="J4261" t="s">
        <v>32204</v>
      </c>
      <c r="K4261" t="s">
        <v>40670</v>
      </c>
      <c r="M4261" t="s">
        <v>42499</v>
      </c>
      <c r="N4261" t="s">
        <v>44905</v>
      </c>
      <c r="O4261" t="s">
        <v>44906</v>
      </c>
      <c r="P4261">
        <v>0</v>
      </c>
      <c r="Q4261">
        <v>2</v>
      </c>
      <c r="R4261" t="s">
        <v>44908</v>
      </c>
      <c r="S4261" t="s">
        <v>45042</v>
      </c>
      <c r="T4261" t="s">
        <v>46483</v>
      </c>
      <c r="U4261" t="s">
        <v>50424</v>
      </c>
      <c r="V4261" t="s">
        <v>59469</v>
      </c>
      <c r="W4261" t="s">
        <v>42499</v>
      </c>
      <c r="X4261" t="s">
        <v>44909</v>
      </c>
    </row>
    <row r="4262" spans="1:24">
      <c r="A4262">
        <f>HYPERLINK("https://www.philgeps.gov.ph/GEPSNONPILOT/Tender/SplashBidNoticeAbstractUI.aspx?menuIndex=3&amp;refID=7080928&amp;Result=3","7080928")</f>
        <v>0</v>
      </c>
      <c r="B4262" t="s">
        <v>1487</v>
      </c>
      <c r="C4262" t="s">
        <v>7595</v>
      </c>
      <c r="D4262" t="s">
        <v>18180</v>
      </c>
      <c r="E4262" t="s">
        <v>22008</v>
      </c>
      <c r="F4262" t="s">
        <v>31362</v>
      </c>
      <c r="G4262" t="s">
        <v>31371</v>
      </c>
      <c r="H4262" t="s">
        <v>15799</v>
      </c>
      <c r="I4262" t="s">
        <v>3815</v>
      </c>
      <c r="J4262" t="s">
        <v>34310</v>
      </c>
      <c r="K4262" t="s">
        <v>40662</v>
      </c>
      <c r="M4262" t="s">
        <v>42524</v>
      </c>
      <c r="N4262" t="s">
        <v>44905</v>
      </c>
      <c r="O4262" t="s">
        <v>44906</v>
      </c>
      <c r="P4262">
        <v>0</v>
      </c>
      <c r="Q4262">
        <v>0</v>
      </c>
      <c r="R4262" t="s">
        <v>44908</v>
      </c>
      <c r="S4262" t="s">
        <v>45042</v>
      </c>
      <c r="T4262" t="s">
        <v>46414</v>
      </c>
      <c r="U4262" t="s">
        <v>50425</v>
      </c>
      <c r="W4262" t="s">
        <v>42524</v>
      </c>
      <c r="X4262" t="s">
        <v>44909</v>
      </c>
    </row>
    <row r="4263" spans="1:24">
      <c r="A4263">
        <f>HYPERLINK("https://www.philgeps.gov.ph/GEPSNONPILOT/Tender/SplashBidNoticeAbstractUI.aspx?menuIndex=3&amp;refID=7079834&amp;Result=3","7079834")</f>
        <v>0</v>
      </c>
      <c r="B4263" t="s">
        <v>1280</v>
      </c>
      <c r="C4263" t="s">
        <v>7596</v>
      </c>
      <c r="D4263" t="s">
        <v>18152</v>
      </c>
      <c r="E4263" t="s">
        <v>22009</v>
      </c>
      <c r="F4263" t="s">
        <v>31362</v>
      </c>
      <c r="G4263" t="s">
        <v>31368</v>
      </c>
      <c r="H4263" t="s">
        <v>15799</v>
      </c>
      <c r="I4263" t="s">
        <v>31423</v>
      </c>
      <c r="J4263" t="s">
        <v>31659</v>
      </c>
      <c r="K4263" t="s">
        <v>40662</v>
      </c>
      <c r="M4263" t="s">
        <v>42297</v>
      </c>
      <c r="N4263" t="s">
        <v>44905</v>
      </c>
      <c r="O4263" t="s">
        <v>44906</v>
      </c>
      <c r="P4263">
        <v>0</v>
      </c>
      <c r="Q4263">
        <v>0</v>
      </c>
      <c r="R4263" t="s">
        <v>44908</v>
      </c>
      <c r="S4263" t="s">
        <v>45042</v>
      </c>
      <c r="T4263" t="s">
        <v>46507</v>
      </c>
      <c r="U4263" t="s">
        <v>49728</v>
      </c>
      <c r="W4263" t="s">
        <v>42297</v>
      </c>
      <c r="X4263" t="s">
        <v>44909</v>
      </c>
    </row>
    <row r="4264" spans="1:24">
      <c r="A4264">
        <f>HYPERLINK("https://www.philgeps.gov.ph/GEPSNONPILOT/Tender/SplashBidNoticeAbstractUI.aspx?menuIndex=3&amp;refID=7080892&amp;Result=3","7080892")</f>
        <v>0</v>
      </c>
      <c r="B4264" t="s">
        <v>976</v>
      </c>
      <c r="C4264" t="s">
        <v>7597</v>
      </c>
      <c r="D4264" t="s">
        <v>18158</v>
      </c>
      <c r="E4264" t="s">
        <v>22010</v>
      </c>
      <c r="F4264" t="s">
        <v>31363</v>
      </c>
      <c r="G4264" t="s">
        <v>31370</v>
      </c>
      <c r="H4264" t="s">
        <v>15799</v>
      </c>
      <c r="I4264" t="s">
        <v>6240</v>
      </c>
      <c r="J4264" t="s">
        <v>34311</v>
      </c>
      <c r="K4264" t="s">
        <v>40670</v>
      </c>
      <c r="M4264" t="s">
        <v>41966</v>
      </c>
      <c r="N4264" t="s">
        <v>44905</v>
      </c>
      <c r="O4264" t="s">
        <v>44906</v>
      </c>
      <c r="P4264">
        <v>0</v>
      </c>
      <c r="Q4264">
        <v>0</v>
      </c>
      <c r="R4264" t="s">
        <v>44908</v>
      </c>
      <c r="S4264" t="s">
        <v>45042</v>
      </c>
      <c r="T4264" t="s">
        <v>46479</v>
      </c>
      <c r="U4264" t="s">
        <v>50426</v>
      </c>
      <c r="W4264" t="s">
        <v>41966</v>
      </c>
      <c r="X4264" t="s">
        <v>44909</v>
      </c>
    </row>
    <row r="4265" spans="1:24">
      <c r="A4265">
        <f>HYPERLINK("https://www.philgeps.gov.ph/GEPSNONPILOT/Tender/SplashBidNoticeAbstractUI.aspx?menuIndex=3&amp;refID=7080925&amp;Result=3","7080925")</f>
        <v>0</v>
      </c>
      <c r="B4265" t="s">
        <v>672</v>
      </c>
      <c r="C4265" t="s">
        <v>7598</v>
      </c>
      <c r="D4265" t="s">
        <v>18103</v>
      </c>
      <c r="E4265" t="s">
        <v>22011</v>
      </c>
      <c r="F4265" t="s">
        <v>31362</v>
      </c>
      <c r="G4265" t="s">
        <v>31369</v>
      </c>
      <c r="H4265" t="s">
        <v>31378</v>
      </c>
      <c r="I4265" t="s">
        <v>31386</v>
      </c>
      <c r="J4265" t="s">
        <v>34312</v>
      </c>
      <c r="K4265" t="s">
        <v>40663</v>
      </c>
      <c r="M4265" t="s">
        <v>41634</v>
      </c>
      <c r="N4265" t="s">
        <v>44905</v>
      </c>
      <c r="O4265" t="s">
        <v>44906</v>
      </c>
      <c r="P4265">
        <v>0</v>
      </c>
      <c r="Q4265">
        <v>4</v>
      </c>
      <c r="R4265" t="s">
        <v>44908</v>
      </c>
      <c r="S4265" t="s">
        <v>45042</v>
      </c>
      <c r="T4265" t="s">
        <v>46429</v>
      </c>
      <c r="U4265" t="s">
        <v>50090</v>
      </c>
      <c r="W4265" t="s">
        <v>60863</v>
      </c>
      <c r="X4265" t="s">
        <v>44909</v>
      </c>
    </row>
    <row r="4266" spans="1:24">
      <c r="A4266">
        <f>HYPERLINK("https://www.philgeps.gov.ph/GEPSNONPILOT/Tender/SplashBidNoticeAbstractUI.aspx?menuIndex=3&amp;refID=7080923&amp;Result=3","7080923")</f>
        <v>0</v>
      </c>
      <c r="B4266" t="s">
        <v>130</v>
      </c>
      <c r="C4266" t="s">
        <v>7599</v>
      </c>
      <c r="D4266" t="s">
        <v>18109</v>
      </c>
      <c r="E4266" t="s">
        <v>22012</v>
      </c>
      <c r="F4266" t="s">
        <v>31362</v>
      </c>
      <c r="G4266" t="s">
        <v>31368</v>
      </c>
      <c r="H4266" t="s">
        <v>15799</v>
      </c>
      <c r="I4266" t="s">
        <v>31431</v>
      </c>
      <c r="J4266" t="s">
        <v>34313</v>
      </c>
      <c r="K4266" t="s">
        <v>40662</v>
      </c>
      <c r="M4266" t="s">
        <v>41067</v>
      </c>
      <c r="N4266" t="s">
        <v>44905</v>
      </c>
      <c r="O4266" t="s">
        <v>44906</v>
      </c>
      <c r="P4266">
        <v>0</v>
      </c>
      <c r="Q4266">
        <v>3</v>
      </c>
      <c r="R4266" t="s">
        <v>44908</v>
      </c>
      <c r="S4266" t="s">
        <v>45042</v>
      </c>
      <c r="T4266" t="s">
        <v>46394</v>
      </c>
      <c r="U4266" t="s">
        <v>50427</v>
      </c>
      <c r="W4266" t="s">
        <v>41067</v>
      </c>
      <c r="X4266" t="s">
        <v>44909</v>
      </c>
    </row>
    <row r="4267" spans="1:24">
      <c r="A4267">
        <f>HYPERLINK("https://www.philgeps.gov.ph/GEPSNONPILOT/Tender/SplashBidNoticeAbstractUI.aspx?menuIndex=3&amp;refID=7080922&amp;Result=3","7080922")</f>
        <v>0</v>
      </c>
      <c r="B4267" t="s">
        <v>1343</v>
      </c>
      <c r="C4267" t="s">
        <v>7600</v>
      </c>
      <c r="D4267" t="s">
        <v>18136</v>
      </c>
      <c r="E4267" t="s">
        <v>22013</v>
      </c>
      <c r="F4267" t="s">
        <v>31362</v>
      </c>
      <c r="G4267" t="s">
        <v>31368</v>
      </c>
      <c r="H4267" t="s">
        <v>15799</v>
      </c>
      <c r="I4267" t="s">
        <v>7090</v>
      </c>
      <c r="J4267" t="s">
        <v>34314</v>
      </c>
      <c r="K4267" t="s">
        <v>40665</v>
      </c>
      <c r="M4267" t="s">
        <v>42362</v>
      </c>
      <c r="N4267" t="s">
        <v>44905</v>
      </c>
      <c r="O4267" t="s">
        <v>44906</v>
      </c>
      <c r="P4267">
        <v>0</v>
      </c>
      <c r="Q4267">
        <v>1</v>
      </c>
      <c r="R4267" t="s">
        <v>44908</v>
      </c>
      <c r="S4267" t="s">
        <v>45042</v>
      </c>
      <c r="T4267" t="s">
        <v>46432</v>
      </c>
      <c r="U4267" t="s">
        <v>50428</v>
      </c>
      <c r="W4267" t="s">
        <v>42362</v>
      </c>
      <c r="X4267" t="s">
        <v>44909</v>
      </c>
    </row>
    <row r="4268" spans="1:24">
      <c r="A4268">
        <f>HYPERLINK("https://www.philgeps.gov.ph/GEPSNONPILOT/Tender/SplashBidNoticeAbstractUI.aspx?menuIndex=3&amp;refID=7080930&amp;Result=3","7080930")</f>
        <v>0</v>
      </c>
      <c r="B4268" t="s">
        <v>604</v>
      </c>
      <c r="C4268" t="s">
        <v>7601</v>
      </c>
      <c r="D4268" t="s">
        <v>18122</v>
      </c>
      <c r="E4268" t="s">
        <v>22014</v>
      </c>
      <c r="F4268" t="s">
        <v>31362</v>
      </c>
      <c r="G4268" t="s">
        <v>31373</v>
      </c>
      <c r="H4268" t="s">
        <v>31378</v>
      </c>
      <c r="I4268" t="s">
        <v>31386</v>
      </c>
      <c r="J4268" t="s">
        <v>34315</v>
      </c>
      <c r="K4268" t="s">
        <v>40725</v>
      </c>
      <c r="M4268" t="s">
        <v>41562</v>
      </c>
      <c r="N4268" t="s">
        <v>44905</v>
      </c>
      <c r="O4268" t="s">
        <v>44906</v>
      </c>
      <c r="P4268">
        <v>0</v>
      </c>
      <c r="Q4268">
        <v>3</v>
      </c>
      <c r="R4268" t="s">
        <v>44908</v>
      </c>
      <c r="S4268" t="s">
        <v>45042</v>
      </c>
      <c r="T4268" t="s">
        <v>46449</v>
      </c>
      <c r="U4268" t="s">
        <v>50429</v>
      </c>
      <c r="V4268" t="s">
        <v>59212</v>
      </c>
      <c r="W4268" t="s">
        <v>41562</v>
      </c>
      <c r="X4268" t="s">
        <v>44909</v>
      </c>
    </row>
    <row r="4269" spans="1:24">
      <c r="A4269">
        <f>HYPERLINK("https://www.philgeps.gov.ph/GEPSNONPILOT/Tender/SplashBidNoticeAbstractUI.aspx?menuIndex=3&amp;refID=7080919&amp;Result=3","7080919")</f>
        <v>0</v>
      </c>
      <c r="B4269" t="s">
        <v>1445</v>
      </c>
      <c r="C4269" t="s">
        <v>7602</v>
      </c>
      <c r="D4269" t="s">
        <v>18107</v>
      </c>
      <c r="E4269" t="s">
        <v>22015</v>
      </c>
      <c r="F4269" t="s">
        <v>31362</v>
      </c>
      <c r="G4269" t="s">
        <v>31369</v>
      </c>
      <c r="H4269" t="s">
        <v>15799</v>
      </c>
      <c r="I4269" t="s">
        <v>3815</v>
      </c>
      <c r="J4269" t="s">
        <v>34316</v>
      </c>
      <c r="K4269" t="s">
        <v>40665</v>
      </c>
      <c r="M4269" t="s">
        <v>42474</v>
      </c>
      <c r="N4269" t="s">
        <v>44905</v>
      </c>
      <c r="O4269" t="s">
        <v>44906</v>
      </c>
      <c r="P4269">
        <v>0</v>
      </c>
      <c r="Q4269">
        <v>0</v>
      </c>
      <c r="R4269" t="s">
        <v>44908</v>
      </c>
      <c r="S4269" t="s">
        <v>45042</v>
      </c>
      <c r="T4269" t="s">
        <v>46511</v>
      </c>
      <c r="U4269" t="s">
        <v>50430</v>
      </c>
      <c r="W4269" t="s">
        <v>42474</v>
      </c>
      <c r="X4269" t="s">
        <v>44909</v>
      </c>
    </row>
    <row r="4270" spans="1:24">
      <c r="A4270">
        <f>HYPERLINK("https://www.philgeps.gov.ph/GEPSNONPILOT/Tender/SplashBidNoticeAbstractUI.aspx?menuIndex=3&amp;refID=7080916&amp;Result=3","7080916")</f>
        <v>0</v>
      </c>
      <c r="B4270" t="s">
        <v>237</v>
      </c>
      <c r="C4270" t="s">
        <v>7603</v>
      </c>
      <c r="D4270" t="s">
        <v>18108</v>
      </c>
      <c r="E4270" t="s">
        <v>22016</v>
      </c>
      <c r="F4270" t="s">
        <v>31362</v>
      </c>
      <c r="G4270" t="s">
        <v>31370</v>
      </c>
      <c r="H4270" t="s">
        <v>15799</v>
      </c>
      <c r="I4270" t="s">
        <v>31380</v>
      </c>
      <c r="J4270" t="s">
        <v>34317</v>
      </c>
      <c r="K4270" t="s">
        <v>40670</v>
      </c>
      <c r="M4270" t="s">
        <v>41330</v>
      </c>
      <c r="N4270" t="s">
        <v>44905</v>
      </c>
      <c r="O4270" t="s">
        <v>44906</v>
      </c>
      <c r="P4270">
        <v>0</v>
      </c>
      <c r="Q4270">
        <v>1</v>
      </c>
      <c r="R4270" t="s">
        <v>44908</v>
      </c>
      <c r="S4270" t="s">
        <v>45042</v>
      </c>
      <c r="T4270" t="s">
        <v>46454</v>
      </c>
      <c r="U4270" t="s">
        <v>50431</v>
      </c>
      <c r="W4270" t="s">
        <v>41330</v>
      </c>
      <c r="X4270" t="s">
        <v>44909</v>
      </c>
    </row>
    <row r="4271" spans="1:24">
      <c r="A4271">
        <f>HYPERLINK("https://www.philgeps.gov.ph/GEPSNONPILOT/Tender/SplashBidNoticeAbstractUI.aspx?menuIndex=3&amp;refID=7080914&amp;Result=3","7080914")</f>
        <v>0</v>
      </c>
      <c r="B4271" t="s">
        <v>672</v>
      </c>
      <c r="C4271" t="s">
        <v>7604</v>
      </c>
      <c r="D4271" t="s">
        <v>18103</v>
      </c>
      <c r="E4271" t="s">
        <v>22017</v>
      </c>
      <c r="F4271" t="s">
        <v>31362</v>
      </c>
      <c r="G4271" t="s">
        <v>31369</v>
      </c>
      <c r="H4271" t="s">
        <v>31378</v>
      </c>
      <c r="I4271" t="s">
        <v>31386</v>
      </c>
      <c r="J4271" t="s">
        <v>34318</v>
      </c>
      <c r="K4271" t="s">
        <v>40679</v>
      </c>
      <c r="M4271" t="s">
        <v>41634</v>
      </c>
      <c r="N4271" t="s">
        <v>44905</v>
      </c>
      <c r="O4271" t="s">
        <v>44906</v>
      </c>
      <c r="P4271">
        <v>0</v>
      </c>
      <c r="Q4271">
        <v>4</v>
      </c>
      <c r="R4271" t="s">
        <v>44908</v>
      </c>
      <c r="S4271" t="s">
        <v>45042</v>
      </c>
      <c r="T4271" t="s">
        <v>46429</v>
      </c>
      <c r="U4271" t="s">
        <v>50090</v>
      </c>
      <c r="W4271" t="s">
        <v>60863</v>
      </c>
      <c r="X4271" t="s">
        <v>44909</v>
      </c>
    </row>
    <row r="4272" spans="1:24">
      <c r="A4272">
        <f>HYPERLINK("https://www.philgeps.gov.ph/GEPSNONPILOT/Tender/SplashBidNoticeAbstractUI.aspx?menuIndex=3&amp;refID=7079831&amp;Result=3","7079831")</f>
        <v>0</v>
      </c>
      <c r="B4272" t="s">
        <v>1260</v>
      </c>
      <c r="C4272" t="s">
        <v>7605</v>
      </c>
      <c r="D4272" t="s">
        <v>18142</v>
      </c>
      <c r="E4272" t="s">
        <v>22018</v>
      </c>
      <c r="F4272" t="s">
        <v>31362</v>
      </c>
      <c r="G4272" t="s">
        <v>31369</v>
      </c>
      <c r="H4272" t="s">
        <v>15799</v>
      </c>
      <c r="I4272" t="s">
        <v>31409</v>
      </c>
      <c r="J4272" t="s">
        <v>31530</v>
      </c>
      <c r="K4272" t="s">
        <v>40677</v>
      </c>
      <c r="M4272" t="s">
        <v>42276</v>
      </c>
      <c r="N4272" t="s">
        <v>44905</v>
      </c>
      <c r="O4272" t="s">
        <v>44906</v>
      </c>
      <c r="P4272">
        <v>0</v>
      </c>
      <c r="Q4272">
        <v>0</v>
      </c>
      <c r="R4272" t="s">
        <v>44908</v>
      </c>
      <c r="S4272" t="s">
        <v>45042</v>
      </c>
      <c r="T4272" t="s">
        <v>46426</v>
      </c>
      <c r="U4272" t="s">
        <v>49683</v>
      </c>
      <c r="W4272" t="s">
        <v>42276</v>
      </c>
      <c r="X4272" t="s">
        <v>44909</v>
      </c>
    </row>
    <row r="4273" spans="1:24">
      <c r="A4273">
        <f>HYPERLINK("https://www.philgeps.gov.ph/GEPSNONPILOT/Tender/SplashBidNoticeAbstractUI.aspx?menuIndex=3&amp;refID=7080924&amp;Result=3","7080924")</f>
        <v>0</v>
      </c>
      <c r="B4273" t="s">
        <v>1488</v>
      </c>
      <c r="C4273" t="s">
        <v>7606</v>
      </c>
      <c r="D4273" t="s">
        <v>18138</v>
      </c>
      <c r="E4273" t="s">
        <v>22019</v>
      </c>
      <c r="F4273" t="s">
        <v>31362</v>
      </c>
      <c r="G4273" t="s">
        <v>31369</v>
      </c>
      <c r="H4273" t="s">
        <v>15799</v>
      </c>
      <c r="I4273" t="s">
        <v>31385</v>
      </c>
      <c r="J4273" t="s">
        <v>34319</v>
      </c>
      <c r="K4273" t="s">
        <v>40665</v>
      </c>
      <c r="M4273" t="s">
        <v>42525</v>
      </c>
      <c r="N4273" t="s">
        <v>44905</v>
      </c>
      <c r="O4273" t="s">
        <v>44906</v>
      </c>
      <c r="P4273">
        <v>0</v>
      </c>
      <c r="Q4273">
        <v>5</v>
      </c>
      <c r="R4273" t="s">
        <v>44908</v>
      </c>
      <c r="S4273" t="s">
        <v>45042</v>
      </c>
      <c r="T4273" t="s">
        <v>46677</v>
      </c>
      <c r="U4273" t="s">
        <v>50432</v>
      </c>
      <c r="W4273" t="s">
        <v>42525</v>
      </c>
      <c r="X4273" t="s">
        <v>44909</v>
      </c>
    </row>
    <row r="4274" spans="1:24">
      <c r="A4274">
        <f>HYPERLINK("https://www.philgeps.gov.ph/GEPSNONPILOT/Tender/SplashBidNoticeAbstractUI.aspx?menuIndex=3&amp;refID=7079829&amp;Result=3","7079829")</f>
        <v>0</v>
      </c>
      <c r="B4274" t="s">
        <v>1260</v>
      </c>
      <c r="C4274" t="s">
        <v>7607</v>
      </c>
      <c r="D4274" t="s">
        <v>18142</v>
      </c>
      <c r="E4274" t="s">
        <v>22020</v>
      </c>
      <c r="F4274" t="s">
        <v>31362</v>
      </c>
      <c r="G4274" t="s">
        <v>31369</v>
      </c>
      <c r="H4274" t="s">
        <v>15799</v>
      </c>
      <c r="I4274" t="s">
        <v>7188</v>
      </c>
      <c r="J4274" t="s">
        <v>34320</v>
      </c>
      <c r="K4274" t="s">
        <v>40677</v>
      </c>
      <c r="M4274" t="s">
        <v>42276</v>
      </c>
      <c r="N4274" t="s">
        <v>44905</v>
      </c>
      <c r="O4274" t="s">
        <v>44906</v>
      </c>
      <c r="P4274">
        <v>0</v>
      </c>
      <c r="Q4274">
        <v>5</v>
      </c>
      <c r="R4274" t="s">
        <v>44908</v>
      </c>
      <c r="S4274" t="s">
        <v>45042</v>
      </c>
      <c r="T4274" t="s">
        <v>46426</v>
      </c>
      <c r="U4274" t="s">
        <v>49683</v>
      </c>
      <c r="W4274" t="s">
        <v>42276</v>
      </c>
      <c r="X4274" t="s">
        <v>44909</v>
      </c>
    </row>
    <row r="4275" spans="1:24">
      <c r="A4275">
        <f>HYPERLINK("https://www.philgeps.gov.ph/GEPSNONPILOT/Tender/SplashBidNoticeAbstractUI.aspx?menuIndex=3&amp;refID=7079825&amp;Result=3","7079825")</f>
        <v>0</v>
      </c>
      <c r="B4275" t="s">
        <v>1262</v>
      </c>
      <c r="C4275" t="s">
        <v>7608</v>
      </c>
      <c r="D4275" t="s">
        <v>18102</v>
      </c>
      <c r="E4275" t="s">
        <v>22021</v>
      </c>
      <c r="F4275" t="s">
        <v>31362</v>
      </c>
      <c r="G4275" t="s">
        <v>31369</v>
      </c>
      <c r="H4275" t="s">
        <v>31378</v>
      </c>
      <c r="I4275" t="s">
        <v>31386</v>
      </c>
      <c r="J4275" t="s">
        <v>31531</v>
      </c>
      <c r="K4275" t="s">
        <v>40662</v>
      </c>
      <c r="M4275" t="s">
        <v>42278</v>
      </c>
      <c r="N4275" t="s">
        <v>44905</v>
      </c>
      <c r="O4275" t="s">
        <v>44906</v>
      </c>
      <c r="P4275">
        <v>0</v>
      </c>
      <c r="Q4275">
        <v>0</v>
      </c>
      <c r="R4275" t="s">
        <v>44908</v>
      </c>
      <c r="S4275" t="s">
        <v>45042</v>
      </c>
      <c r="T4275" t="s">
        <v>46415</v>
      </c>
      <c r="U4275" t="s">
        <v>50433</v>
      </c>
      <c r="W4275" t="s">
        <v>42278</v>
      </c>
      <c r="X4275" t="s">
        <v>44909</v>
      </c>
    </row>
    <row r="4276" spans="1:24">
      <c r="A4276">
        <f>HYPERLINK("https://www.philgeps.gov.ph/GEPSNONPILOT/Tender/SplashBidNoticeAbstractUI.aspx?menuIndex=3&amp;refID=7079824&amp;Result=3","7079824")</f>
        <v>0</v>
      </c>
      <c r="B4276" t="s">
        <v>1260</v>
      </c>
      <c r="C4276" t="s">
        <v>7609</v>
      </c>
      <c r="D4276" t="s">
        <v>18142</v>
      </c>
      <c r="E4276" t="s">
        <v>22022</v>
      </c>
      <c r="F4276" t="s">
        <v>31362</v>
      </c>
      <c r="G4276" t="s">
        <v>31369</v>
      </c>
      <c r="H4276" t="s">
        <v>15799</v>
      </c>
      <c r="I4276" t="s">
        <v>31384</v>
      </c>
      <c r="J4276" t="s">
        <v>31536</v>
      </c>
      <c r="K4276" t="s">
        <v>40677</v>
      </c>
      <c r="M4276" t="s">
        <v>42276</v>
      </c>
      <c r="N4276" t="s">
        <v>44905</v>
      </c>
      <c r="O4276" t="s">
        <v>44906</v>
      </c>
      <c r="P4276">
        <v>0</v>
      </c>
      <c r="Q4276">
        <v>2</v>
      </c>
      <c r="R4276" t="s">
        <v>44908</v>
      </c>
      <c r="S4276" t="s">
        <v>45042</v>
      </c>
      <c r="T4276" t="s">
        <v>46426</v>
      </c>
      <c r="U4276" t="s">
        <v>49683</v>
      </c>
      <c r="W4276" t="s">
        <v>42276</v>
      </c>
      <c r="X4276" t="s">
        <v>44909</v>
      </c>
    </row>
    <row r="4277" spans="1:24">
      <c r="A4277">
        <f>HYPERLINK("https://www.philgeps.gov.ph/GEPSNONPILOT/Tender/SplashBidNoticeAbstractUI.aspx?menuIndex=3&amp;refID=7079797&amp;Result=3","7079797")</f>
        <v>0</v>
      </c>
      <c r="B4277" t="s">
        <v>1260</v>
      </c>
      <c r="C4277" t="s">
        <v>7610</v>
      </c>
      <c r="D4277" t="s">
        <v>18142</v>
      </c>
      <c r="E4277" t="s">
        <v>22023</v>
      </c>
      <c r="F4277" t="s">
        <v>31362</v>
      </c>
      <c r="G4277" t="s">
        <v>31369</v>
      </c>
      <c r="H4277" t="s">
        <v>15799</v>
      </c>
      <c r="I4277" t="s">
        <v>31393</v>
      </c>
      <c r="J4277" t="s">
        <v>31536</v>
      </c>
      <c r="K4277" t="s">
        <v>40677</v>
      </c>
      <c r="M4277" t="s">
        <v>42276</v>
      </c>
      <c r="N4277" t="s">
        <v>44905</v>
      </c>
      <c r="O4277" t="s">
        <v>44906</v>
      </c>
      <c r="P4277">
        <v>0</v>
      </c>
      <c r="Q4277">
        <v>6</v>
      </c>
      <c r="R4277" t="s">
        <v>44908</v>
      </c>
      <c r="S4277" t="s">
        <v>45042</v>
      </c>
      <c r="T4277" t="s">
        <v>46426</v>
      </c>
      <c r="U4277" t="s">
        <v>49683</v>
      </c>
      <c r="W4277" t="s">
        <v>42276</v>
      </c>
      <c r="X4277" t="s">
        <v>44909</v>
      </c>
    </row>
    <row r="4278" spans="1:24">
      <c r="A4278">
        <f>HYPERLINK("https://www.philgeps.gov.ph/GEPSNONPILOT/Tender/SplashBidNoticeAbstractUI.aspx?menuIndex=3&amp;refID=7079833&amp;Result=3","7079833")</f>
        <v>0</v>
      </c>
      <c r="B4278" t="s">
        <v>1260</v>
      </c>
      <c r="C4278" t="s">
        <v>7611</v>
      </c>
      <c r="D4278" t="s">
        <v>18142</v>
      </c>
      <c r="E4278" t="s">
        <v>22024</v>
      </c>
      <c r="F4278" t="s">
        <v>31362</v>
      </c>
      <c r="G4278" t="s">
        <v>31369</v>
      </c>
      <c r="H4278" t="s">
        <v>15799</v>
      </c>
      <c r="I4278" t="s">
        <v>31393</v>
      </c>
      <c r="J4278" t="s">
        <v>31843</v>
      </c>
      <c r="K4278" t="s">
        <v>40677</v>
      </c>
      <c r="M4278" t="s">
        <v>42276</v>
      </c>
      <c r="N4278" t="s">
        <v>44905</v>
      </c>
      <c r="O4278" t="s">
        <v>44906</v>
      </c>
      <c r="P4278">
        <v>0</v>
      </c>
      <c r="Q4278">
        <v>5</v>
      </c>
      <c r="R4278" t="s">
        <v>44908</v>
      </c>
      <c r="S4278" t="s">
        <v>45042</v>
      </c>
      <c r="T4278" t="s">
        <v>46426</v>
      </c>
      <c r="U4278" t="s">
        <v>49683</v>
      </c>
      <c r="W4278" t="s">
        <v>42276</v>
      </c>
      <c r="X4278" t="s">
        <v>44909</v>
      </c>
    </row>
    <row r="4279" spans="1:24">
      <c r="A4279">
        <f>HYPERLINK("https://www.philgeps.gov.ph/GEPSNONPILOT/Tender/SplashBidNoticeAbstractUI.aspx?menuIndex=3&amp;refID=7080944&amp;Result=3","7080944")</f>
        <v>0</v>
      </c>
      <c r="B4279" t="s">
        <v>1489</v>
      </c>
      <c r="C4279" t="s">
        <v>7612</v>
      </c>
      <c r="D4279" t="s">
        <v>18104</v>
      </c>
      <c r="E4279" t="s">
        <v>22025</v>
      </c>
      <c r="F4279" t="s">
        <v>31362</v>
      </c>
      <c r="G4279" t="s">
        <v>31370</v>
      </c>
      <c r="H4279" t="s">
        <v>15799</v>
      </c>
      <c r="I4279" t="s">
        <v>31430</v>
      </c>
      <c r="J4279" t="s">
        <v>34321</v>
      </c>
      <c r="K4279" t="s">
        <v>40682</v>
      </c>
      <c r="M4279" t="s">
        <v>42526</v>
      </c>
      <c r="N4279" t="s">
        <v>44905</v>
      </c>
      <c r="O4279" t="s">
        <v>44906</v>
      </c>
      <c r="P4279">
        <v>0</v>
      </c>
      <c r="Q4279">
        <v>0</v>
      </c>
      <c r="R4279" t="s">
        <v>44908</v>
      </c>
      <c r="S4279" t="s">
        <v>45042</v>
      </c>
      <c r="T4279" t="s">
        <v>46470</v>
      </c>
      <c r="U4279" t="s">
        <v>50434</v>
      </c>
      <c r="W4279" t="s">
        <v>42526</v>
      </c>
      <c r="X4279" t="s">
        <v>44909</v>
      </c>
    </row>
    <row r="4280" spans="1:24">
      <c r="A4280">
        <f>HYPERLINK("https://www.philgeps.gov.ph/GEPSNONPILOT/Tender/SplashBidNoticeAbstractUI.aspx?menuIndex=3&amp;refID=7080967&amp;Result=3","7080967")</f>
        <v>0</v>
      </c>
      <c r="B4280" t="s">
        <v>333</v>
      </c>
      <c r="C4280" t="s">
        <v>7613</v>
      </c>
      <c r="D4280" t="s">
        <v>18108</v>
      </c>
      <c r="E4280" t="s">
        <v>22026</v>
      </c>
      <c r="F4280" t="s">
        <v>31362</v>
      </c>
      <c r="G4280" t="s">
        <v>31371</v>
      </c>
      <c r="H4280" t="s">
        <v>15799</v>
      </c>
      <c r="I4280" t="s">
        <v>31383</v>
      </c>
      <c r="J4280" t="s">
        <v>34322</v>
      </c>
      <c r="K4280" t="s">
        <v>40661</v>
      </c>
      <c r="M4280" t="s">
        <v>41279</v>
      </c>
      <c r="N4280" t="s">
        <v>44905</v>
      </c>
      <c r="O4280" t="s">
        <v>44906</v>
      </c>
      <c r="P4280">
        <v>0</v>
      </c>
      <c r="Q4280">
        <v>1</v>
      </c>
      <c r="R4280" t="s">
        <v>44908</v>
      </c>
      <c r="S4280" t="s">
        <v>45042</v>
      </c>
      <c r="T4280" t="s">
        <v>46549</v>
      </c>
      <c r="U4280" t="s">
        <v>50435</v>
      </c>
      <c r="W4280" t="s">
        <v>60847</v>
      </c>
      <c r="X4280" t="s">
        <v>44909</v>
      </c>
    </row>
    <row r="4281" spans="1:24">
      <c r="A4281">
        <f>HYPERLINK("https://www.philgeps.gov.ph/GEPSNONPILOT/Tender/SplashBidNoticeAbstractUI.aspx?menuIndex=3&amp;refID=7080966&amp;Result=3","7080966")</f>
        <v>0</v>
      </c>
      <c r="B4281" t="s">
        <v>215</v>
      </c>
      <c r="C4281" t="s">
        <v>7614</v>
      </c>
      <c r="D4281" t="s">
        <v>18108</v>
      </c>
      <c r="E4281" t="s">
        <v>22027</v>
      </c>
      <c r="F4281" t="s">
        <v>31362</v>
      </c>
      <c r="G4281" t="s">
        <v>31371</v>
      </c>
      <c r="H4281" t="s">
        <v>15799</v>
      </c>
      <c r="I4281" t="s">
        <v>13635</v>
      </c>
      <c r="J4281" t="s">
        <v>34323</v>
      </c>
      <c r="K4281" t="s">
        <v>40661</v>
      </c>
      <c r="M4281" t="s">
        <v>42310</v>
      </c>
      <c r="N4281" t="s">
        <v>44905</v>
      </c>
      <c r="O4281" t="s">
        <v>44906</v>
      </c>
      <c r="P4281">
        <v>0</v>
      </c>
      <c r="Q4281">
        <v>1</v>
      </c>
      <c r="R4281" t="s">
        <v>44908</v>
      </c>
      <c r="S4281" t="s">
        <v>45042</v>
      </c>
      <c r="T4281" t="s">
        <v>46549</v>
      </c>
      <c r="U4281" t="s">
        <v>50436</v>
      </c>
      <c r="V4281" t="s">
        <v>59411</v>
      </c>
      <c r="W4281" t="s">
        <v>42310</v>
      </c>
      <c r="X4281" t="s">
        <v>44909</v>
      </c>
    </row>
    <row r="4282" spans="1:24">
      <c r="A4282">
        <f>HYPERLINK("https://www.philgeps.gov.ph/GEPSNONPILOT/Tender/SplashBidNoticeAbstractUI.aspx?menuIndex=3&amp;refID=7080936&amp;Result=3","7080936")</f>
        <v>0</v>
      </c>
      <c r="B4282" t="s">
        <v>349</v>
      </c>
      <c r="C4282" t="s">
        <v>7615</v>
      </c>
      <c r="D4282" t="s">
        <v>18160</v>
      </c>
      <c r="E4282" t="s">
        <v>22028</v>
      </c>
      <c r="F4282" t="s">
        <v>31362</v>
      </c>
      <c r="G4282" t="s">
        <v>31368</v>
      </c>
      <c r="H4282" t="s">
        <v>31378</v>
      </c>
      <c r="I4282" t="s">
        <v>31386</v>
      </c>
      <c r="J4282" t="s">
        <v>31578</v>
      </c>
      <c r="K4282" t="s">
        <v>40665</v>
      </c>
      <c r="M4282" t="s">
        <v>41295</v>
      </c>
      <c r="N4282" t="s">
        <v>44905</v>
      </c>
      <c r="O4282" t="s">
        <v>44906</v>
      </c>
      <c r="P4282">
        <v>0</v>
      </c>
      <c r="Q4282">
        <v>0</v>
      </c>
      <c r="R4282" t="s">
        <v>44908</v>
      </c>
      <c r="S4282" t="s">
        <v>45042</v>
      </c>
      <c r="T4282" t="s">
        <v>46432</v>
      </c>
      <c r="U4282" t="s">
        <v>50437</v>
      </c>
      <c r="W4282" t="s">
        <v>41295</v>
      </c>
      <c r="X4282" t="s">
        <v>44909</v>
      </c>
    </row>
    <row r="4283" spans="1:24">
      <c r="A4283">
        <f>HYPERLINK("https://www.philgeps.gov.ph/GEPSNONPILOT/Tender/SplashBidNoticeAbstractUI.aspx?menuIndex=3&amp;refID=7080965&amp;Result=3","7080965")</f>
        <v>0</v>
      </c>
      <c r="B4283" t="s">
        <v>1490</v>
      </c>
      <c r="C4283" t="s">
        <v>7616</v>
      </c>
      <c r="D4283" t="s">
        <v>18108</v>
      </c>
      <c r="E4283" t="s">
        <v>7616</v>
      </c>
      <c r="F4283" t="s">
        <v>31362</v>
      </c>
      <c r="G4283" t="s">
        <v>31368</v>
      </c>
      <c r="H4283" t="s">
        <v>15799</v>
      </c>
      <c r="I4283" t="s">
        <v>3815</v>
      </c>
      <c r="J4283" t="s">
        <v>34324</v>
      </c>
      <c r="K4283" t="s">
        <v>40662</v>
      </c>
      <c r="M4283" t="s">
        <v>42527</v>
      </c>
      <c r="N4283" t="s">
        <v>44905</v>
      </c>
      <c r="O4283" t="s">
        <v>44906</v>
      </c>
      <c r="P4283">
        <v>0</v>
      </c>
      <c r="Q4283">
        <v>3</v>
      </c>
      <c r="R4283" t="s">
        <v>44908</v>
      </c>
      <c r="S4283" t="s">
        <v>45042</v>
      </c>
      <c r="T4283" t="s">
        <v>46454</v>
      </c>
      <c r="U4283" t="s">
        <v>49713</v>
      </c>
      <c r="W4283" t="s">
        <v>42527</v>
      </c>
      <c r="X4283" t="s">
        <v>44909</v>
      </c>
    </row>
    <row r="4284" spans="1:24">
      <c r="A4284">
        <f>HYPERLINK("https://www.philgeps.gov.ph/GEPSNONPILOT/Tender/SplashBidNoticeAbstractUI.aspx?menuIndex=3&amp;refID=7080843&amp;Result=3","7080843")</f>
        <v>0</v>
      </c>
      <c r="B4284" t="s">
        <v>335</v>
      </c>
      <c r="C4284" t="s">
        <v>7617</v>
      </c>
      <c r="D4284" t="s">
        <v>18108</v>
      </c>
      <c r="E4284" t="s">
        <v>22029</v>
      </c>
      <c r="F4284" t="s">
        <v>31362</v>
      </c>
      <c r="G4284" t="s">
        <v>31368</v>
      </c>
      <c r="H4284" t="s">
        <v>15799</v>
      </c>
      <c r="I4284" t="s">
        <v>31456</v>
      </c>
      <c r="J4284" t="s">
        <v>34325</v>
      </c>
      <c r="K4284" t="s">
        <v>40661</v>
      </c>
      <c r="M4284" t="s">
        <v>42389</v>
      </c>
      <c r="N4284" t="s">
        <v>44905</v>
      </c>
      <c r="O4284" t="s">
        <v>44906</v>
      </c>
      <c r="P4284">
        <v>0</v>
      </c>
      <c r="Q4284">
        <v>0</v>
      </c>
      <c r="R4284" t="s">
        <v>44908</v>
      </c>
      <c r="S4284" t="s">
        <v>45042</v>
      </c>
      <c r="T4284" t="s">
        <v>46447</v>
      </c>
      <c r="U4284" t="s">
        <v>50438</v>
      </c>
      <c r="W4284" t="s">
        <v>42389</v>
      </c>
      <c r="X4284" t="s">
        <v>44909</v>
      </c>
    </row>
    <row r="4285" spans="1:24">
      <c r="A4285">
        <f>HYPERLINK("https://www.philgeps.gov.ph/GEPSNONPILOT/Tender/SplashBidNoticeAbstractUI.aspx?menuIndex=3&amp;refID=7080890&amp;Result=3","7080890")</f>
        <v>0</v>
      </c>
      <c r="B4285" t="s">
        <v>1217</v>
      </c>
      <c r="C4285" t="s">
        <v>7461</v>
      </c>
      <c r="D4285" t="s">
        <v>18106</v>
      </c>
      <c r="E4285" t="s">
        <v>22030</v>
      </c>
      <c r="F4285" t="s">
        <v>31362</v>
      </c>
      <c r="G4285" t="s">
        <v>31370</v>
      </c>
      <c r="H4285" t="s">
        <v>15799</v>
      </c>
      <c r="I4285" t="s">
        <v>7090</v>
      </c>
      <c r="J4285" t="s">
        <v>34326</v>
      </c>
      <c r="K4285" t="s">
        <v>40665</v>
      </c>
      <c r="M4285" t="s">
        <v>42230</v>
      </c>
      <c r="N4285" t="s">
        <v>44905</v>
      </c>
      <c r="O4285" t="s">
        <v>44906</v>
      </c>
      <c r="P4285">
        <v>0</v>
      </c>
      <c r="Q4285">
        <v>1</v>
      </c>
      <c r="R4285" t="s">
        <v>44908</v>
      </c>
      <c r="S4285" t="s">
        <v>45042</v>
      </c>
      <c r="T4285" t="s">
        <v>46447</v>
      </c>
      <c r="U4285" t="s">
        <v>49589</v>
      </c>
      <c r="V4285" t="s">
        <v>59395</v>
      </c>
      <c r="W4285" t="s">
        <v>42230</v>
      </c>
      <c r="X4285" t="s">
        <v>44909</v>
      </c>
    </row>
    <row r="4286" spans="1:24">
      <c r="A4286">
        <f>HYPERLINK("https://www.philgeps.gov.ph/GEPSNONPILOT/Tender/SplashBidNoticeAbstractUI.aspx?menuIndex=3&amp;refID=7080964&amp;Result=3","7080964")</f>
        <v>0</v>
      </c>
      <c r="B4286" t="s">
        <v>809</v>
      </c>
      <c r="C4286" t="s">
        <v>7618</v>
      </c>
      <c r="D4286" t="s">
        <v>18116</v>
      </c>
      <c r="E4286" t="s">
        <v>22031</v>
      </c>
      <c r="F4286" t="s">
        <v>31362</v>
      </c>
      <c r="G4286" t="s">
        <v>31370</v>
      </c>
      <c r="H4286" t="s">
        <v>15799</v>
      </c>
      <c r="I4286" t="s">
        <v>31385</v>
      </c>
      <c r="J4286" t="s">
        <v>33732</v>
      </c>
      <c r="K4286" t="s">
        <v>40662</v>
      </c>
      <c r="M4286" t="s">
        <v>41780</v>
      </c>
      <c r="N4286" t="s">
        <v>44905</v>
      </c>
      <c r="O4286" t="s">
        <v>44906</v>
      </c>
      <c r="P4286">
        <v>0</v>
      </c>
      <c r="Q4286">
        <v>0</v>
      </c>
      <c r="R4286" t="s">
        <v>44908</v>
      </c>
      <c r="S4286" t="s">
        <v>45042</v>
      </c>
      <c r="T4286" t="s">
        <v>46409</v>
      </c>
      <c r="U4286" t="s">
        <v>50439</v>
      </c>
      <c r="W4286" t="s">
        <v>41780</v>
      </c>
      <c r="X4286" t="s">
        <v>44909</v>
      </c>
    </row>
    <row r="4287" spans="1:24">
      <c r="A4287">
        <f>HYPERLINK("https://www.philgeps.gov.ph/GEPSNONPILOT/Tender/SplashBidNoticeAbstractUI.aspx?menuIndex=3&amp;refID=7080962&amp;Result=3","7080962")</f>
        <v>0</v>
      </c>
      <c r="B4287" t="s">
        <v>585</v>
      </c>
      <c r="C4287" t="s">
        <v>7619</v>
      </c>
      <c r="D4287" t="s">
        <v>18100</v>
      </c>
      <c r="E4287" t="s">
        <v>22032</v>
      </c>
      <c r="F4287" t="s">
        <v>31362</v>
      </c>
      <c r="G4287" t="s">
        <v>31368</v>
      </c>
      <c r="H4287" t="s">
        <v>15799</v>
      </c>
      <c r="I4287" t="s">
        <v>31404</v>
      </c>
      <c r="J4287" t="s">
        <v>34327</v>
      </c>
      <c r="K4287" t="s">
        <v>40662</v>
      </c>
      <c r="M4287" t="s">
        <v>41542</v>
      </c>
      <c r="N4287" t="s">
        <v>44905</v>
      </c>
      <c r="O4287" t="s">
        <v>44906</v>
      </c>
      <c r="P4287">
        <v>0</v>
      </c>
      <c r="Q4287">
        <v>0</v>
      </c>
      <c r="R4287" t="s">
        <v>44908</v>
      </c>
      <c r="S4287" t="s">
        <v>45042</v>
      </c>
      <c r="T4287" t="s">
        <v>46483</v>
      </c>
      <c r="U4287" t="s">
        <v>49538</v>
      </c>
      <c r="W4287" t="s">
        <v>41542</v>
      </c>
      <c r="X4287" t="s">
        <v>44909</v>
      </c>
    </row>
    <row r="4288" spans="1:24">
      <c r="A4288">
        <f>HYPERLINK("https://www.philgeps.gov.ph/GEPSNONPILOT/Tender/SplashBidNoticeAbstractUI.aspx?menuIndex=3&amp;refID=7080960&amp;Result=3","7080960")</f>
        <v>0</v>
      </c>
      <c r="B4288" t="s">
        <v>617</v>
      </c>
      <c r="C4288" t="s">
        <v>7620</v>
      </c>
      <c r="D4288" t="s">
        <v>18108</v>
      </c>
      <c r="E4288" t="s">
        <v>22033</v>
      </c>
      <c r="F4288" t="s">
        <v>31362</v>
      </c>
      <c r="G4288" t="s">
        <v>31370</v>
      </c>
      <c r="H4288" t="s">
        <v>15799</v>
      </c>
      <c r="I4288" t="s">
        <v>6373</v>
      </c>
      <c r="J4288" t="s">
        <v>31890</v>
      </c>
      <c r="K4288" t="s">
        <v>40661</v>
      </c>
      <c r="M4288" t="s">
        <v>41575</v>
      </c>
      <c r="N4288" t="s">
        <v>44905</v>
      </c>
      <c r="O4288" t="s">
        <v>44906</v>
      </c>
      <c r="P4288">
        <v>0</v>
      </c>
      <c r="Q4288">
        <v>5</v>
      </c>
      <c r="R4288" t="s">
        <v>44908</v>
      </c>
      <c r="S4288" t="s">
        <v>45042</v>
      </c>
      <c r="T4288" t="s">
        <v>46409</v>
      </c>
      <c r="U4288" t="s">
        <v>48102</v>
      </c>
      <c r="W4288" t="s">
        <v>41575</v>
      </c>
      <c r="X4288" t="s">
        <v>44909</v>
      </c>
    </row>
    <row r="4289" spans="1:24">
      <c r="A4289">
        <f>HYPERLINK("https://www.philgeps.gov.ph/GEPSNONPILOT/Tender/SplashBidNoticeAbstractUI.aspx?menuIndex=3&amp;refID=7080957&amp;Result=3","7080957")</f>
        <v>0</v>
      </c>
      <c r="B4289" t="s">
        <v>118</v>
      </c>
      <c r="C4289" t="s">
        <v>7621</v>
      </c>
      <c r="D4289" t="s">
        <v>18142</v>
      </c>
      <c r="E4289" t="s">
        <v>22034</v>
      </c>
      <c r="F4289" t="s">
        <v>31362</v>
      </c>
      <c r="G4289" t="s">
        <v>31369</v>
      </c>
      <c r="H4289" t="s">
        <v>31378</v>
      </c>
      <c r="I4289" t="s">
        <v>31386</v>
      </c>
      <c r="J4289" t="s">
        <v>31591</v>
      </c>
      <c r="K4289" t="s">
        <v>40682</v>
      </c>
      <c r="M4289" t="s">
        <v>41055</v>
      </c>
      <c r="N4289" t="s">
        <v>44905</v>
      </c>
      <c r="O4289" t="s">
        <v>44906</v>
      </c>
      <c r="P4289">
        <v>0</v>
      </c>
      <c r="Q4289">
        <v>0</v>
      </c>
      <c r="R4289" t="s">
        <v>44908</v>
      </c>
      <c r="S4289" t="s">
        <v>45042</v>
      </c>
      <c r="T4289" t="s">
        <v>46493</v>
      </c>
      <c r="U4289" t="s">
        <v>50440</v>
      </c>
      <c r="W4289" t="s">
        <v>41055</v>
      </c>
      <c r="X4289" t="s">
        <v>44909</v>
      </c>
    </row>
    <row r="4290" spans="1:24">
      <c r="A4290">
        <f>HYPERLINK("https://www.philgeps.gov.ph/GEPSNONPILOT/Tender/SplashBidNoticeAbstractUI.aspx?menuIndex=3&amp;refID=7080956&amp;Result=3","7080956")</f>
        <v>0</v>
      </c>
      <c r="B4290" t="s">
        <v>604</v>
      </c>
      <c r="C4290" t="s">
        <v>7622</v>
      </c>
      <c r="D4290" t="s">
        <v>18122</v>
      </c>
      <c r="E4290" t="s">
        <v>22035</v>
      </c>
      <c r="F4290" t="s">
        <v>31362</v>
      </c>
      <c r="G4290" t="s">
        <v>31373</v>
      </c>
      <c r="H4290" t="s">
        <v>31378</v>
      </c>
      <c r="I4290" t="s">
        <v>31386</v>
      </c>
      <c r="J4290" t="s">
        <v>32528</v>
      </c>
      <c r="K4290" t="s">
        <v>40725</v>
      </c>
      <c r="M4290" t="s">
        <v>41562</v>
      </c>
      <c r="N4290" t="s">
        <v>44905</v>
      </c>
      <c r="O4290" t="s">
        <v>44906</v>
      </c>
      <c r="P4290">
        <v>0</v>
      </c>
      <c r="Q4290">
        <v>4</v>
      </c>
      <c r="R4290" t="s">
        <v>44908</v>
      </c>
      <c r="S4290" t="s">
        <v>45042</v>
      </c>
      <c r="T4290" t="s">
        <v>46449</v>
      </c>
      <c r="U4290" t="s">
        <v>50441</v>
      </c>
      <c r="V4290" t="s">
        <v>59212</v>
      </c>
      <c r="W4290" t="s">
        <v>41562</v>
      </c>
      <c r="X4290" t="s">
        <v>44909</v>
      </c>
    </row>
    <row r="4291" spans="1:24">
      <c r="A4291">
        <f>HYPERLINK("https://www.philgeps.gov.ph/GEPSNONPILOT/Tender/SplashBidNoticeAbstractUI.aspx?menuIndex=3&amp;refID=7080954&amp;Result=3","7080954")</f>
        <v>0</v>
      </c>
      <c r="B4291" t="s">
        <v>1458</v>
      </c>
      <c r="C4291" t="s">
        <v>7623</v>
      </c>
      <c r="D4291" t="s">
        <v>18108</v>
      </c>
      <c r="E4291" t="s">
        <v>18625</v>
      </c>
      <c r="F4291" t="s">
        <v>31362</v>
      </c>
      <c r="G4291" t="s">
        <v>31369</v>
      </c>
      <c r="H4291" t="s">
        <v>15799</v>
      </c>
      <c r="I4291" t="s">
        <v>31409</v>
      </c>
      <c r="J4291" t="s">
        <v>34328</v>
      </c>
      <c r="K4291" t="s">
        <v>40686</v>
      </c>
      <c r="M4291" t="s">
        <v>42489</v>
      </c>
      <c r="N4291" t="s">
        <v>44905</v>
      </c>
      <c r="O4291" t="s">
        <v>44906</v>
      </c>
      <c r="P4291">
        <v>0</v>
      </c>
      <c r="Q4291">
        <v>4</v>
      </c>
      <c r="R4291" t="s">
        <v>44908</v>
      </c>
      <c r="S4291" t="s">
        <v>45042</v>
      </c>
      <c r="T4291" t="s">
        <v>46525</v>
      </c>
      <c r="U4291" t="s">
        <v>50442</v>
      </c>
      <c r="W4291" t="s">
        <v>42489</v>
      </c>
      <c r="X4291" t="s">
        <v>44909</v>
      </c>
    </row>
    <row r="4292" spans="1:24">
      <c r="A4292">
        <f>HYPERLINK("https://www.philgeps.gov.ph/GEPSNONPILOT/Tender/SplashBidNoticeAbstractUI.aspx?menuIndex=3&amp;refID=7080953&amp;Result=3","7080953")</f>
        <v>0</v>
      </c>
      <c r="B4292" t="s">
        <v>666</v>
      </c>
      <c r="C4292" t="s">
        <v>7624</v>
      </c>
      <c r="D4292" t="s">
        <v>18108</v>
      </c>
      <c r="E4292" t="s">
        <v>22036</v>
      </c>
      <c r="F4292" t="s">
        <v>31362</v>
      </c>
      <c r="G4292" t="s">
        <v>31368</v>
      </c>
      <c r="H4292" t="s">
        <v>15799</v>
      </c>
      <c r="I4292" t="s">
        <v>7188</v>
      </c>
      <c r="J4292" t="s">
        <v>32108</v>
      </c>
      <c r="K4292" t="s">
        <v>40661</v>
      </c>
      <c r="M4292" t="s">
        <v>41628</v>
      </c>
      <c r="N4292" t="s">
        <v>44905</v>
      </c>
      <c r="O4292" t="s">
        <v>44906</v>
      </c>
      <c r="P4292">
        <v>0</v>
      </c>
      <c r="Q4292">
        <v>11</v>
      </c>
      <c r="R4292" t="s">
        <v>44908</v>
      </c>
      <c r="S4292" t="s">
        <v>45042</v>
      </c>
      <c r="T4292" t="s">
        <v>46488</v>
      </c>
      <c r="U4292" t="s">
        <v>50117</v>
      </c>
      <c r="W4292" t="s">
        <v>41628</v>
      </c>
      <c r="X4292" t="s">
        <v>44909</v>
      </c>
    </row>
    <row r="4293" spans="1:24">
      <c r="A4293">
        <f>HYPERLINK("https://www.philgeps.gov.ph/GEPSNONPILOT/Tender/SplashBidNoticeAbstractUI.aspx?menuIndex=3&amp;refID=7080951&amp;Result=3","7080951")</f>
        <v>0</v>
      </c>
      <c r="B4293" t="s">
        <v>1343</v>
      </c>
      <c r="C4293" t="s">
        <v>7625</v>
      </c>
      <c r="D4293" t="s">
        <v>18136</v>
      </c>
      <c r="E4293" t="s">
        <v>22037</v>
      </c>
      <c r="F4293" t="s">
        <v>31362</v>
      </c>
      <c r="G4293" t="s">
        <v>31368</v>
      </c>
      <c r="H4293" t="s">
        <v>15799</v>
      </c>
      <c r="I4293" t="s">
        <v>7090</v>
      </c>
      <c r="J4293" t="s">
        <v>34329</v>
      </c>
      <c r="K4293" t="s">
        <v>40665</v>
      </c>
      <c r="M4293" t="s">
        <v>42362</v>
      </c>
      <c r="N4293" t="s">
        <v>44905</v>
      </c>
      <c r="O4293" t="s">
        <v>44906</v>
      </c>
      <c r="P4293">
        <v>0</v>
      </c>
      <c r="Q4293">
        <v>0</v>
      </c>
      <c r="R4293" t="s">
        <v>44908</v>
      </c>
      <c r="S4293" t="s">
        <v>45042</v>
      </c>
      <c r="T4293" t="s">
        <v>46432</v>
      </c>
      <c r="U4293" t="s">
        <v>50443</v>
      </c>
      <c r="W4293" t="s">
        <v>42362</v>
      </c>
      <c r="X4293" t="s">
        <v>44909</v>
      </c>
    </row>
    <row r="4294" spans="1:24">
      <c r="A4294">
        <f>HYPERLINK("https://www.philgeps.gov.ph/GEPSNONPILOT/Tender/SplashBidNoticeAbstractUI.aspx?menuIndex=3&amp;refID=7080950&amp;Result=3","7080950")</f>
        <v>0</v>
      </c>
      <c r="B4294" t="s">
        <v>207</v>
      </c>
      <c r="C4294" t="s">
        <v>7626</v>
      </c>
      <c r="D4294" t="s">
        <v>18127</v>
      </c>
      <c r="E4294" t="s">
        <v>21071</v>
      </c>
      <c r="F4294" t="s">
        <v>31362</v>
      </c>
      <c r="G4294" t="s">
        <v>31371</v>
      </c>
      <c r="H4294" t="s">
        <v>15799</v>
      </c>
      <c r="I4294" t="s">
        <v>31406</v>
      </c>
      <c r="J4294" t="s">
        <v>34330</v>
      </c>
      <c r="K4294" t="s">
        <v>40662</v>
      </c>
      <c r="M4294" t="s">
        <v>41146</v>
      </c>
      <c r="N4294" t="s">
        <v>44905</v>
      </c>
      <c r="O4294" t="s">
        <v>44906</v>
      </c>
      <c r="P4294">
        <v>0</v>
      </c>
      <c r="Q4294">
        <v>5</v>
      </c>
      <c r="R4294" t="s">
        <v>44908</v>
      </c>
      <c r="S4294" t="s">
        <v>45042</v>
      </c>
      <c r="T4294" t="s">
        <v>46404</v>
      </c>
      <c r="U4294" t="s">
        <v>50444</v>
      </c>
      <c r="W4294" t="s">
        <v>41146</v>
      </c>
      <c r="X4294" t="s">
        <v>44909</v>
      </c>
    </row>
    <row r="4295" spans="1:24">
      <c r="A4295">
        <f>HYPERLINK("https://www.philgeps.gov.ph/GEPSNONPILOT/Tender/SplashBidNoticeAbstractUI.aspx?menuIndex=3&amp;refID=7080961&amp;Result=3","7080961")</f>
        <v>0</v>
      </c>
      <c r="B4295" t="s">
        <v>1226</v>
      </c>
      <c r="C4295" t="s">
        <v>7627</v>
      </c>
      <c r="D4295" t="s">
        <v>18112</v>
      </c>
      <c r="E4295" t="s">
        <v>20783</v>
      </c>
      <c r="F4295" t="s">
        <v>31362</v>
      </c>
      <c r="G4295" t="s">
        <v>31370</v>
      </c>
      <c r="H4295" t="s">
        <v>15799</v>
      </c>
      <c r="I4295" t="s">
        <v>31395</v>
      </c>
      <c r="J4295" t="s">
        <v>34331</v>
      </c>
      <c r="K4295" t="s">
        <v>40672</v>
      </c>
      <c r="M4295" t="s">
        <v>42240</v>
      </c>
      <c r="N4295" t="s">
        <v>44905</v>
      </c>
      <c r="O4295" t="s">
        <v>44906</v>
      </c>
      <c r="P4295">
        <v>0</v>
      </c>
      <c r="Q4295">
        <v>1</v>
      </c>
      <c r="R4295" t="s">
        <v>44908</v>
      </c>
      <c r="S4295" t="s">
        <v>45042</v>
      </c>
      <c r="T4295" t="s">
        <v>46534</v>
      </c>
      <c r="U4295" t="s">
        <v>50445</v>
      </c>
      <c r="W4295" t="s">
        <v>42240</v>
      </c>
      <c r="X4295" t="s">
        <v>44909</v>
      </c>
    </row>
    <row r="4296" spans="1:24">
      <c r="A4296">
        <f>HYPERLINK("https://www.philgeps.gov.ph/GEPSNONPILOT/Tender/SplashBidNoticeAbstractUI.aspx?menuIndex=3&amp;refID=7080948&amp;Result=3","7080948")</f>
        <v>0</v>
      </c>
      <c r="B4296" t="s">
        <v>1491</v>
      </c>
      <c r="C4296" t="s">
        <v>7628</v>
      </c>
      <c r="D4296" t="s">
        <v>18139</v>
      </c>
      <c r="E4296" t="s">
        <v>22038</v>
      </c>
      <c r="F4296" t="s">
        <v>31362</v>
      </c>
      <c r="G4296" t="s">
        <v>31371</v>
      </c>
      <c r="H4296" t="s">
        <v>15799</v>
      </c>
      <c r="I4296" t="s">
        <v>3815</v>
      </c>
      <c r="J4296" t="s">
        <v>34332</v>
      </c>
      <c r="K4296" t="s">
        <v>40665</v>
      </c>
      <c r="M4296" t="s">
        <v>42528</v>
      </c>
      <c r="N4296" t="s">
        <v>44905</v>
      </c>
      <c r="O4296" t="s">
        <v>44906</v>
      </c>
      <c r="P4296">
        <v>0</v>
      </c>
      <c r="Q4296">
        <v>0</v>
      </c>
      <c r="R4296" t="s">
        <v>44908</v>
      </c>
      <c r="S4296" t="s">
        <v>45042</v>
      </c>
      <c r="T4296" t="s">
        <v>46454</v>
      </c>
      <c r="U4296" t="s">
        <v>50446</v>
      </c>
      <c r="W4296" t="s">
        <v>42528</v>
      </c>
      <c r="X4296" t="s">
        <v>44909</v>
      </c>
    </row>
    <row r="4297" spans="1:24">
      <c r="A4297">
        <f>HYPERLINK("https://www.philgeps.gov.ph/GEPSNONPILOT/Tender/SplashBidNoticeAbstractUI.aspx?menuIndex=3&amp;refID=7080959&amp;Result=3","7080959")</f>
        <v>0</v>
      </c>
      <c r="B4297" t="s">
        <v>411</v>
      </c>
      <c r="C4297" t="s">
        <v>7629</v>
      </c>
      <c r="D4297" t="s">
        <v>18148</v>
      </c>
      <c r="E4297" t="s">
        <v>22039</v>
      </c>
      <c r="F4297" t="s">
        <v>31362</v>
      </c>
      <c r="G4297" t="s">
        <v>31370</v>
      </c>
      <c r="H4297" t="s">
        <v>15799</v>
      </c>
      <c r="I4297" t="s">
        <v>4942</v>
      </c>
      <c r="J4297" t="s">
        <v>31597</v>
      </c>
      <c r="K4297" t="s">
        <v>40662</v>
      </c>
      <c r="M4297" t="s">
        <v>41361</v>
      </c>
      <c r="N4297" t="s">
        <v>44905</v>
      </c>
      <c r="O4297" t="s">
        <v>44906</v>
      </c>
      <c r="P4297">
        <v>0</v>
      </c>
      <c r="Q4297">
        <v>0</v>
      </c>
      <c r="R4297" t="s">
        <v>44908</v>
      </c>
      <c r="S4297" t="s">
        <v>45042</v>
      </c>
      <c r="T4297" t="s">
        <v>46409</v>
      </c>
      <c r="U4297" t="s">
        <v>50447</v>
      </c>
      <c r="W4297" t="s">
        <v>41361</v>
      </c>
      <c r="X4297" t="s">
        <v>44909</v>
      </c>
    </row>
    <row r="4298" spans="1:24">
      <c r="A4298">
        <f>HYPERLINK("https://www.philgeps.gov.ph/GEPSNONPILOT/Tender/SplashBidNoticeAbstractUI.aspx?menuIndex=3&amp;refID=7080947&amp;Result=3","7080947")</f>
        <v>0</v>
      </c>
      <c r="B4298" t="s">
        <v>663</v>
      </c>
      <c r="C4298" t="s">
        <v>7630</v>
      </c>
      <c r="D4298" t="s">
        <v>18103</v>
      </c>
      <c r="E4298" t="s">
        <v>22040</v>
      </c>
      <c r="F4298" t="s">
        <v>31362</v>
      </c>
      <c r="G4298" t="s">
        <v>31370</v>
      </c>
      <c r="H4298" t="s">
        <v>15799</v>
      </c>
      <c r="I4298" t="s">
        <v>31437</v>
      </c>
      <c r="J4298" t="s">
        <v>34333</v>
      </c>
      <c r="K4298" t="s">
        <v>40661</v>
      </c>
      <c r="M4298" t="s">
        <v>41625</v>
      </c>
      <c r="N4298" t="s">
        <v>44905</v>
      </c>
      <c r="O4298" t="s">
        <v>44906</v>
      </c>
      <c r="P4298">
        <v>0</v>
      </c>
      <c r="Q4298">
        <v>0</v>
      </c>
      <c r="R4298" t="s">
        <v>44908</v>
      </c>
      <c r="S4298" t="s">
        <v>45042</v>
      </c>
      <c r="T4298" t="s">
        <v>46560</v>
      </c>
      <c r="U4298" t="s">
        <v>50448</v>
      </c>
      <c r="W4298" t="s">
        <v>41625</v>
      </c>
      <c r="X4298" t="s">
        <v>44909</v>
      </c>
    </row>
    <row r="4299" spans="1:24">
      <c r="A4299">
        <f>HYPERLINK("https://www.philgeps.gov.ph/GEPSNONPILOT/Tender/SplashBidNoticeAbstractUI.aspx?menuIndex=3&amp;refID=7080945&amp;Result=3","7080945")</f>
        <v>0</v>
      </c>
      <c r="B4299" t="s">
        <v>791</v>
      </c>
      <c r="C4299" t="s">
        <v>7631</v>
      </c>
      <c r="D4299" t="s">
        <v>18108</v>
      </c>
      <c r="E4299" t="s">
        <v>22041</v>
      </c>
      <c r="F4299" t="s">
        <v>31362</v>
      </c>
      <c r="G4299" t="s">
        <v>31368</v>
      </c>
      <c r="H4299" t="s">
        <v>15799</v>
      </c>
      <c r="I4299" t="s">
        <v>7719</v>
      </c>
      <c r="J4299" t="s">
        <v>34334</v>
      </c>
      <c r="K4299" t="s">
        <v>40662</v>
      </c>
      <c r="M4299" t="s">
        <v>42138</v>
      </c>
      <c r="N4299" t="s">
        <v>44905</v>
      </c>
      <c r="O4299" t="s">
        <v>44906</v>
      </c>
      <c r="P4299">
        <v>0</v>
      </c>
      <c r="Q4299">
        <v>9</v>
      </c>
      <c r="R4299" t="s">
        <v>44908</v>
      </c>
      <c r="S4299" t="s">
        <v>45042</v>
      </c>
      <c r="T4299" t="s">
        <v>46580</v>
      </c>
      <c r="U4299" t="s">
        <v>50449</v>
      </c>
      <c r="V4299" t="s">
        <v>59435</v>
      </c>
      <c r="W4299" t="s">
        <v>42138</v>
      </c>
      <c r="X4299" t="s">
        <v>44909</v>
      </c>
    </row>
    <row r="4300" spans="1:24">
      <c r="A4300">
        <f>HYPERLINK("https://www.philgeps.gov.ph/GEPSNONPILOT/Tender/SplashBidNoticeAbstractUI.aspx?menuIndex=3&amp;refID=7079795&amp;Result=3","7079795")</f>
        <v>0</v>
      </c>
      <c r="B4300" t="s">
        <v>1250</v>
      </c>
      <c r="C4300" t="s">
        <v>7632</v>
      </c>
      <c r="D4300" t="s">
        <v>18158</v>
      </c>
      <c r="E4300" t="s">
        <v>21206</v>
      </c>
      <c r="F4300" t="s">
        <v>31362</v>
      </c>
      <c r="G4300" t="s">
        <v>31368</v>
      </c>
      <c r="H4300" t="s">
        <v>15799</v>
      </c>
      <c r="I4300" t="s">
        <v>31397</v>
      </c>
      <c r="J4300" t="s">
        <v>32235</v>
      </c>
      <c r="K4300" t="s">
        <v>40697</v>
      </c>
      <c r="M4300" t="s">
        <v>42266</v>
      </c>
      <c r="N4300" t="s">
        <v>44905</v>
      </c>
      <c r="O4300" t="s">
        <v>44906</v>
      </c>
      <c r="P4300">
        <v>0</v>
      </c>
      <c r="Q4300">
        <v>0</v>
      </c>
      <c r="R4300" t="s">
        <v>44908</v>
      </c>
      <c r="S4300" t="s">
        <v>45042</v>
      </c>
      <c r="T4300" t="s">
        <v>46409</v>
      </c>
      <c r="U4300" t="s">
        <v>50450</v>
      </c>
      <c r="W4300" t="s">
        <v>42266</v>
      </c>
      <c r="X4300" t="s">
        <v>44909</v>
      </c>
    </row>
    <row r="4301" spans="1:24">
      <c r="A4301">
        <f>HYPERLINK("https://www.philgeps.gov.ph/GEPSNONPILOT/Tender/SplashBidNoticeAbstractUI.aspx?menuIndex=3&amp;refID=7079794&amp;Result=3","7079794")</f>
        <v>0</v>
      </c>
      <c r="B4301" t="s">
        <v>1262</v>
      </c>
      <c r="C4301" t="s">
        <v>6742</v>
      </c>
      <c r="D4301" t="s">
        <v>18102</v>
      </c>
      <c r="E4301" t="s">
        <v>22042</v>
      </c>
      <c r="F4301" t="s">
        <v>31362</v>
      </c>
      <c r="G4301" t="s">
        <v>31369</v>
      </c>
      <c r="H4301" t="s">
        <v>31378</v>
      </c>
      <c r="I4301" t="s">
        <v>31386</v>
      </c>
      <c r="J4301" t="s">
        <v>31591</v>
      </c>
      <c r="K4301" t="s">
        <v>40662</v>
      </c>
      <c r="M4301" t="s">
        <v>42278</v>
      </c>
      <c r="N4301" t="s">
        <v>44905</v>
      </c>
      <c r="O4301" t="s">
        <v>44906</v>
      </c>
      <c r="P4301">
        <v>0</v>
      </c>
      <c r="Q4301">
        <v>0</v>
      </c>
      <c r="R4301" t="s">
        <v>44908</v>
      </c>
      <c r="S4301" t="s">
        <v>45042</v>
      </c>
      <c r="T4301" t="s">
        <v>46415</v>
      </c>
      <c r="U4301" t="s">
        <v>50451</v>
      </c>
      <c r="W4301" t="s">
        <v>42278</v>
      </c>
      <c r="X4301" t="s">
        <v>44909</v>
      </c>
    </row>
    <row r="4302" spans="1:24">
      <c r="A4302">
        <f>HYPERLINK("https://www.philgeps.gov.ph/GEPSNONPILOT/Tender/SplashBidNoticeAbstractUI.aspx?menuIndex=3&amp;refID=7079793&amp;Result=3","7079793")</f>
        <v>0</v>
      </c>
      <c r="B4302" t="s">
        <v>1492</v>
      </c>
      <c r="C4302" t="s">
        <v>7633</v>
      </c>
      <c r="D4302" t="s">
        <v>18132</v>
      </c>
      <c r="E4302" t="s">
        <v>22043</v>
      </c>
      <c r="F4302" t="s">
        <v>31362</v>
      </c>
      <c r="G4302" t="s">
        <v>31368</v>
      </c>
      <c r="H4302" t="s">
        <v>15799</v>
      </c>
      <c r="I4302" t="s">
        <v>31410</v>
      </c>
      <c r="J4302" t="s">
        <v>31886</v>
      </c>
      <c r="K4302" t="s">
        <v>40697</v>
      </c>
      <c r="M4302" t="s">
        <v>42529</v>
      </c>
      <c r="N4302" t="s">
        <v>44905</v>
      </c>
      <c r="O4302" t="s">
        <v>44906</v>
      </c>
      <c r="P4302">
        <v>0</v>
      </c>
      <c r="Q4302">
        <v>0</v>
      </c>
      <c r="R4302" t="s">
        <v>44908</v>
      </c>
      <c r="S4302" t="s">
        <v>45042</v>
      </c>
      <c r="T4302" t="s">
        <v>46394</v>
      </c>
      <c r="U4302" t="s">
        <v>50452</v>
      </c>
      <c r="W4302" t="s">
        <v>42529</v>
      </c>
      <c r="X4302" t="s">
        <v>44909</v>
      </c>
    </row>
    <row r="4303" spans="1:24">
      <c r="A4303">
        <f>HYPERLINK("https://www.philgeps.gov.ph/GEPSNONPILOT/Tender/SplashBidNoticeAbstractUI.aspx?menuIndex=3&amp;refID=7079792&amp;Result=3","7079792")</f>
        <v>0</v>
      </c>
      <c r="B4303" t="s">
        <v>1493</v>
      </c>
      <c r="C4303" t="s">
        <v>7634</v>
      </c>
      <c r="D4303" t="s">
        <v>18102</v>
      </c>
      <c r="E4303" t="s">
        <v>22044</v>
      </c>
      <c r="F4303" t="s">
        <v>31362</v>
      </c>
      <c r="G4303" t="s">
        <v>31370</v>
      </c>
      <c r="H4303" t="s">
        <v>15799</v>
      </c>
      <c r="I4303" t="s">
        <v>31427</v>
      </c>
      <c r="J4303" t="s">
        <v>31724</v>
      </c>
      <c r="K4303" t="s">
        <v>40666</v>
      </c>
      <c r="M4303" t="s">
        <v>42530</v>
      </c>
      <c r="N4303" t="s">
        <v>44905</v>
      </c>
      <c r="O4303" t="s">
        <v>44906</v>
      </c>
      <c r="P4303">
        <v>0</v>
      </c>
      <c r="Q4303">
        <v>13</v>
      </c>
      <c r="R4303" t="s">
        <v>44908</v>
      </c>
      <c r="S4303" t="s">
        <v>45042</v>
      </c>
      <c r="T4303" t="s">
        <v>46411</v>
      </c>
      <c r="U4303" t="s">
        <v>50453</v>
      </c>
      <c r="W4303" t="s">
        <v>42530</v>
      </c>
      <c r="X4303" t="s">
        <v>44909</v>
      </c>
    </row>
    <row r="4304" spans="1:24">
      <c r="A4304">
        <f>HYPERLINK("https://www.philgeps.gov.ph/GEPSNONPILOT/Tender/SplashBidNoticeAbstractUI.aspx?menuIndex=3&amp;refID=7079737&amp;Result=3","7079737")</f>
        <v>0</v>
      </c>
      <c r="B4304" t="s">
        <v>722</v>
      </c>
      <c r="C4304" t="s">
        <v>7635</v>
      </c>
      <c r="E4304" t="s">
        <v>22045</v>
      </c>
      <c r="F4304" t="s">
        <v>31362</v>
      </c>
      <c r="G4304" t="s">
        <v>31369</v>
      </c>
      <c r="H4304" t="s">
        <v>15799</v>
      </c>
      <c r="I4304" t="s">
        <v>31385</v>
      </c>
      <c r="J4304" t="s">
        <v>34335</v>
      </c>
      <c r="K4304" t="s">
        <v>40662</v>
      </c>
      <c r="M4304" t="s">
        <v>41687</v>
      </c>
      <c r="N4304" t="s">
        <v>44905</v>
      </c>
      <c r="O4304" t="s">
        <v>44906</v>
      </c>
      <c r="P4304">
        <v>0</v>
      </c>
      <c r="Q4304">
        <v>2</v>
      </c>
      <c r="R4304" t="s">
        <v>44908</v>
      </c>
      <c r="S4304" t="s">
        <v>45042</v>
      </c>
      <c r="T4304" t="s">
        <v>46577</v>
      </c>
      <c r="U4304" t="s">
        <v>49660</v>
      </c>
      <c r="V4304" t="s">
        <v>59231</v>
      </c>
      <c r="W4304" t="s">
        <v>41687</v>
      </c>
      <c r="X4304" t="s">
        <v>44909</v>
      </c>
    </row>
    <row r="4305" spans="1:24">
      <c r="A4305">
        <f>HYPERLINK("https://www.philgeps.gov.ph/GEPSNONPILOT/Tender/SplashBidNoticeAbstractUI.aspx?menuIndex=3&amp;refID=7079736&amp;Result=3","7079736")</f>
        <v>0</v>
      </c>
      <c r="B4305" t="s">
        <v>1494</v>
      </c>
      <c r="C4305" t="s">
        <v>7636</v>
      </c>
      <c r="D4305" t="s">
        <v>18108</v>
      </c>
      <c r="E4305" t="s">
        <v>22046</v>
      </c>
      <c r="F4305" t="s">
        <v>31362</v>
      </c>
      <c r="G4305" t="s">
        <v>31369</v>
      </c>
      <c r="H4305" t="s">
        <v>15799</v>
      </c>
      <c r="I4305" t="s">
        <v>6240</v>
      </c>
      <c r="J4305" t="s">
        <v>33327</v>
      </c>
      <c r="K4305" t="s">
        <v>40665</v>
      </c>
      <c r="M4305" t="s">
        <v>42531</v>
      </c>
      <c r="N4305" t="s">
        <v>44905</v>
      </c>
      <c r="O4305" t="s">
        <v>44906</v>
      </c>
      <c r="P4305">
        <v>0</v>
      </c>
      <c r="Q4305">
        <v>0</v>
      </c>
      <c r="R4305" t="s">
        <v>44908</v>
      </c>
      <c r="S4305" t="s">
        <v>45042</v>
      </c>
      <c r="T4305" t="s">
        <v>46427</v>
      </c>
      <c r="U4305" t="s">
        <v>50454</v>
      </c>
      <c r="W4305" t="s">
        <v>42531</v>
      </c>
      <c r="X4305" t="s">
        <v>44909</v>
      </c>
    </row>
    <row r="4306" spans="1:24">
      <c r="A4306">
        <f>HYPERLINK("https://www.philgeps.gov.ph/GEPSNONPILOT/Tender/SplashBidNoticeAbstractUI.aspx?menuIndex=3&amp;refID=7080946&amp;Result=3","7080946")</f>
        <v>0</v>
      </c>
      <c r="B4306" t="s">
        <v>1495</v>
      </c>
      <c r="C4306" t="s">
        <v>7637</v>
      </c>
      <c r="D4306" t="s">
        <v>18133</v>
      </c>
      <c r="E4306" t="s">
        <v>22047</v>
      </c>
      <c r="F4306" t="s">
        <v>31362</v>
      </c>
      <c r="G4306" t="s">
        <v>31368</v>
      </c>
      <c r="H4306" t="s">
        <v>15799</v>
      </c>
      <c r="I4306" t="s">
        <v>31393</v>
      </c>
      <c r="J4306" t="s">
        <v>34336</v>
      </c>
      <c r="K4306" t="s">
        <v>40661</v>
      </c>
      <c r="M4306" t="s">
        <v>42532</v>
      </c>
      <c r="N4306" t="s">
        <v>44905</v>
      </c>
      <c r="O4306" t="s">
        <v>44906</v>
      </c>
      <c r="P4306">
        <v>0</v>
      </c>
      <c r="Q4306">
        <v>4</v>
      </c>
      <c r="R4306" t="s">
        <v>44908</v>
      </c>
      <c r="S4306" t="s">
        <v>45042</v>
      </c>
      <c r="T4306" t="s">
        <v>46678</v>
      </c>
      <c r="U4306" t="s">
        <v>46940</v>
      </c>
      <c r="W4306" t="s">
        <v>42532</v>
      </c>
      <c r="X4306" t="s">
        <v>44909</v>
      </c>
    </row>
    <row r="4307" spans="1:24">
      <c r="A4307">
        <f>HYPERLINK("https://www.philgeps.gov.ph/GEPSNONPILOT/Tender/SplashBidNoticeAbstractUI.aspx?menuIndex=3&amp;refID=7079733&amp;Result=3","7079733")</f>
        <v>0</v>
      </c>
      <c r="B4307" t="s">
        <v>1262</v>
      </c>
      <c r="C4307" t="s">
        <v>7638</v>
      </c>
      <c r="D4307" t="s">
        <v>18102</v>
      </c>
      <c r="E4307" t="s">
        <v>22048</v>
      </c>
      <c r="F4307" t="s">
        <v>31362</v>
      </c>
      <c r="G4307" t="s">
        <v>31369</v>
      </c>
      <c r="H4307" t="s">
        <v>31378</v>
      </c>
      <c r="I4307" t="s">
        <v>31386</v>
      </c>
      <c r="J4307" t="s">
        <v>31578</v>
      </c>
      <c r="K4307" t="s">
        <v>40671</v>
      </c>
      <c r="M4307" t="s">
        <v>42278</v>
      </c>
      <c r="N4307" t="s">
        <v>44905</v>
      </c>
      <c r="O4307" t="s">
        <v>44906</v>
      </c>
      <c r="P4307">
        <v>0</v>
      </c>
      <c r="Q4307">
        <v>0</v>
      </c>
      <c r="R4307" t="s">
        <v>44908</v>
      </c>
      <c r="S4307" t="s">
        <v>45042</v>
      </c>
      <c r="T4307" t="s">
        <v>46415</v>
      </c>
      <c r="U4307" t="s">
        <v>50455</v>
      </c>
      <c r="W4307" t="s">
        <v>42278</v>
      </c>
      <c r="X4307" t="s">
        <v>44909</v>
      </c>
    </row>
    <row r="4308" spans="1:24">
      <c r="A4308">
        <f>HYPERLINK("https://www.philgeps.gov.ph/GEPSNONPILOT/Tender/SplashBidNoticeAbstractUI.aspx?menuIndex=3&amp;refID=7079713&amp;Result=3","7079713")</f>
        <v>0</v>
      </c>
      <c r="B4308" t="s">
        <v>1496</v>
      </c>
      <c r="C4308" t="s">
        <v>6762</v>
      </c>
      <c r="D4308" t="s">
        <v>18118</v>
      </c>
      <c r="E4308" t="s">
        <v>22049</v>
      </c>
      <c r="F4308" t="s">
        <v>31362</v>
      </c>
      <c r="G4308" t="s">
        <v>31368</v>
      </c>
      <c r="H4308" t="s">
        <v>15799</v>
      </c>
      <c r="I4308" t="s">
        <v>7090</v>
      </c>
      <c r="J4308" t="s">
        <v>31768</v>
      </c>
      <c r="K4308" t="s">
        <v>40697</v>
      </c>
      <c r="M4308" t="s">
        <v>42533</v>
      </c>
      <c r="N4308" t="s">
        <v>44905</v>
      </c>
      <c r="O4308" t="s">
        <v>44906</v>
      </c>
      <c r="P4308">
        <v>0</v>
      </c>
      <c r="Q4308">
        <v>0</v>
      </c>
      <c r="R4308" t="s">
        <v>44908</v>
      </c>
      <c r="S4308" t="s">
        <v>45042</v>
      </c>
      <c r="T4308" t="s">
        <v>46409</v>
      </c>
      <c r="U4308" t="s">
        <v>50456</v>
      </c>
      <c r="W4308" t="s">
        <v>42533</v>
      </c>
      <c r="X4308" t="s">
        <v>44909</v>
      </c>
    </row>
    <row r="4309" spans="1:24">
      <c r="A4309">
        <f>HYPERLINK("https://www.philgeps.gov.ph/GEPSNONPILOT/Tender/SplashBidNoticeAbstractUI.aspx?menuIndex=3&amp;refID=7079712&amp;Result=3","7079712")</f>
        <v>0</v>
      </c>
      <c r="B4309" t="s">
        <v>1497</v>
      </c>
      <c r="C4309" t="s">
        <v>7639</v>
      </c>
      <c r="D4309" t="s">
        <v>18117</v>
      </c>
      <c r="E4309" t="s">
        <v>22050</v>
      </c>
      <c r="F4309" t="s">
        <v>31362</v>
      </c>
      <c r="G4309" t="s">
        <v>31368</v>
      </c>
      <c r="H4309" t="s">
        <v>15799</v>
      </c>
      <c r="I4309" t="s">
        <v>4283</v>
      </c>
      <c r="J4309" t="s">
        <v>34337</v>
      </c>
      <c r="K4309" t="s">
        <v>40670</v>
      </c>
      <c r="M4309" t="s">
        <v>42534</v>
      </c>
      <c r="N4309" t="s">
        <v>44905</v>
      </c>
      <c r="O4309" t="s">
        <v>44906</v>
      </c>
      <c r="P4309">
        <v>0</v>
      </c>
      <c r="Q4309">
        <v>2</v>
      </c>
      <c r="R4309" t="s">
        <v>44908</v>
      </c>
      <c r="S4309" t="s">
        <v>45042</v>
      </c>
      <c r="T4309" t="s">
        <v>46509</v>
      </c>
      <c r="U4309" t="s">
        <v>50457</v>
      </c>
      <c r="V4309" t="s">
        <v>59470</v>
      </c>
      <c r="W4309" t="s">
        <v>42534</v>
      </c>
      <c r="X4309" t="s">
        <v>44909</v>
      </c>
    </row>
    <row r="4310" spans="1:24">
      <c r="A4310">
        <f>HYPERLINK("https://www.philgeps.gov.ph/GEPSNONPILOT/Tender/SplashBidNoticeAbstractUI.aspx?menuIndex=3&amp;refID=7079791&amp;Result=3","7079791")</f>
        <v>0</v>
      </c>
      <c r="B4310" t="s">
        <v>1452</v>
      </c>
      <c r="C4310" t="s">
        <v>7640</v>
      </c>
      <c r="D4310" t="s">
        <v>18113</v>
      </c>
      <c r="E4310" t="s">
        <v>22051</v>
      </c>
      <c r="F4310" t="s">
        <v>31362</v>
      </c>
      <c r="G4310" t="s">
        <v>31368</v>
      </c>
      <c r="H4310" t="s">
        <v>15799</v>
      </c>
      <c r="I4310" t="s">
        <v>6240</v>
      </c>
      <c r="J4310" t="s">
        <v>31806</v>
      </c>
      <c r="K4310" t="s">
        <v>40682</v>
      </c>
      <c r="M4310" t="s">
        <v>42482</v>
      </c>
      <c r="N4310" t="s">
        <v>44905</v>
      </c>
      <c r="O4310" t="s">
        <v>44906</v>
      </c>
      <c r="P4310">
        <v>0</v>
      </c>
      <c r="Q4310">
        <v>0</v>
      </c>
      <c r="R4310" t="s">
        <v>44908</v>
      </c>
      <c r="S4310" t="s">
        <v>45042</v>
      </c>
      <c r="T4310" t="s">
        <v>46411</v>
      </c>
      <c r="U4310" t="s">
        <v>50458</v>
      </c>
      <c r="W4310" t="s">
        <v>60895</v>
      </c>
      <c r="X4310" t="s">
        <v>44909</v>
      </c>
    </row>
    <row r="4311" spans="1:24">
      <c r="A4311">
        <f>HYPERLINK("https://www.philgeps.gov.ph/GEPSNONPILOT/Tender/SplashBidNoticeAbstractUI.aspx?menuIndex=3&amp;refID=7079710&amp;Result=3","7079710")</f>
        <v>0</v>
      </c>
      <c r="B4311" t="s">
        <v>1227</v>
      </c>
      <c r="C4311" t="s">
        <v>7641</v>
      </c>
      <c r="D4311" t="s">
        <v>18158</v>
      </c>
      <c r="E4311" t="s">
        <v>22052</v>
      </c>
      <c r="F4311" t="s">
        <v>31362</v>
      </c>
      <c r="G4311" t="s">
        <v>31369</v>
      </c>
      <c r="H4311" t="s">
        <v>15799</v>
      </c>
      <c r="I4311" t="s">
        <v>31380</v>
      </c>
      <c r="J4311" t="s">
        <v>31531</v>
      </c>
      <c r="K4311" t="s">
        <v>40677</v>
      </c>
      <c r="M4311" t="s">
        <v>42241</v>
      </c>
      <c r="N4311" t="s">
        <v>44905</v>
      </c>
      <c r="O4311" t="s">
        <v>44906</v>
      </c>
      <c r="P4311">
        <v>0</v>
      </c>
      <c r="Q4311">
        <v>3</v>
      </c>
      <c r="R4311" t="s">
        <v>44908</v>
      </c>
      <c r="S4311" t="s">
        <v>45042</v>
      </c>
      <c r="T4311" t="s">
        <v>46426</v>
      </c>
      <c r="U4311" t="s">
        <v>49613</v>
      </c>
      <c r="W4311" t="s">
        <v>42241</v>
      </c>
      <c r="X4311" t="s">
        <v>44909</v>
      </c>
    </row>
    <row r="4312" spans="1:24">
      <c r="A4312">
        <f>HYPERLINK("https://www.philgeps.gov.ph/GEPSNONPILOT/Tender/SplashBidNoticeAbstractUI.aspx?menuIndex=3&amp;refID=7080987&amp;Result=3","7080987")</f>
        <v>0</v>
      </c>
      <c r="B4312" t="s">
        <v>1491</v>
      </c>
      <c r="C4312" t="s">
        <v>7642</v>
      </c>
      <c r="D4312" t="s">
        <v>18139</v>
      </c>
      <c r="E4312" t="s">
        <v>22053</v>
      </c>
      <c r="F4312" t="s">
        <v>31362</v>
      </c>
      <c r="G4312" t="s">
        <v>31368</v>
      </c>
      <c r="H4312" t="s">
        <v>15799</v>
      </c>
      <c r="I4312" t="s">
        <v>31414</v>
      </c>
      <c r="J4312" t="s">
        <v>34338</v>
      </c>
      <c r="K4312" t="s">
        <v>40665</v>
      </c>
      <c r="M4312" t="s">
        <v>42528</v>
      </c>
      <c r="N4312" t="s">
        <v>44905</v>
      </c>
      <c r="O4312" t="s">
        <v>44906</v>
      </c>
      <c r="P4312">
        <v>0</v>
      </c>
      <c r="Q4312">
        <v>2</v>
      </c>
      <c r="R4312" t="s">
        <v>44908</v>
      </c>
      <c r="S4312" t="s">
        <v>45042</v>
      </c>
      <c r="T4312" t="s">
        <v>46534</v>
      </c>
      <c r="U4312" t="s">
        <v>50446</v>
      </c>
      <c r="W4312" t="s">
        <v>42528</v>
      </c>
      <c r="X4312" t="s">
        <v>44909</v>
      </c>
    </row>
    <row r="4313" spans="1:24">
      <c r="A4313">
        <f>HYPERLINK("https://www.philgeps.gov.ph/GEPSNONPILOT/Tender/SplashBidNoticeAbstractUI.aspx?menuIndex=3&amp;refID=7079714&amp;Result=3","7079714")</f>
        <v>0</v>
      </c>
      <c r="B4313" t="s">
        <v>1231</v>
      </c>
      <c r="C4313" t="s">
        <v>7643</v>
      </c>
      <c r="D4313" t="s">
        <v>18143</v>
      </c>
      <c r="E4313" t="s">
        <v>22054</v>
      </c>
      <c r="F4313" t="s">
        <v>31362</v>
      </c>
      <c r="G4313" t="s">
        <v>31370</v>
      </c>
      <c r="H4313" t="s">
        <v>15799</v>
      </c>
      <c r="I4313" t="s">
        <v>7188</v>
      </c>
      <c r="J4313" t="s">
        <v>32739</v>
      </c>
      <c r="K4313" t="s">
        <v>40670</v>
      </c>
      <c r="M4313" t="s">
        <v>42245</v>
      </c>
      <c r="N4313" t="s">
        <v>44905</v>
      </c>
      <c r="O4313" t="s">
        <v>44906</v>
      </c>
      <c r="P4313">
        <v>0</v>
      </c>
      <c r="Q4313">
        <v>1</v>
      </c>
      <c r="R4313" t="s">
        <v>44908</v>
      </c>
      <c r="S4313" t="s">
        <v>45042</v>
      </c>
      <c r="T4313" t="s">
        <v>46435</v>
      </c>
      <c r="U4313" t="s">
        <v>50459</v>
      </c>
      <c r="W4313" t="s">
        <v>42245</v>
      </c>
      <c r="X4313" t="s">
        <v>44909</v>
      </c>
    </row>
    <row r="4314" spans="1:24">
      <c r="A4314">
        <f>HYPERLINK("https://www.philgeps.gov.ph/GEPSNONPILOT/Tender/SplashBidNoticeAbstractUI.aspx?menuIndex=3&amp;refID=7080995&amp;Result=3","7080995")</f>
        <v>0</v>
      </c>
      <c r="B4314" t="s">
        <v>237</v>
      </c>
      <c r="C4314" t="s">
        <v>7644</v>
      </c>
      <c r="D4314" t="s">
        <v>18108</v>
      </c>
      <c r="E4314" t="s">
        <v>22055</v>
      </c>
      <c r="F4314" t="s">
        <v>31362</v>
      </c>
      <c r="G4314" t="s">
        <v>31370</v>
      </c>
      <c r="H4314" t="s">
        <v>15799</v>
      </c>
      <c r="I4314" t="s">
        <v>7719</v>
      </c>
      <c r="J4314" t="s">
        <v>34339</v>
      </c>
      <c r="K4314" t="s">
        <v>40670</v>
      </c>
      <c r="M4314" t="s">
        <v>41781</v>
      </c>
      <c r="N4314" t="s">
        <v>44905</v>
      </c>
      <c r="O4314" t="s">
        <v>44906</v>
      </c>
      <c r="P4314">
        <v>0</v>
      </c>
      <c r="Q4314">
        <v>4</v>
      </c>
      <c r="R4314" t="s">
        <v>44908</v>
      </c>
      <c r="S4314" t="s">
        <v>45042</v>
      </c>
      <c r="T4314" t="s">
        <v>46518</v>
      </c>
      <c r="U4314" t="s">
        <v>50460</v>
      </c>
      <c r="V4314" t="s">
        <v>59255</v>
      </c>
      <c r="W4314" t="s">
        <v>41781</v>
      </c>
      <c r="X4314" t="s">
        <v>44909</v>
      </c>
    </row>
    <row r="4315" spans="1:24">
      <c r="A4315">
        <f>HYPERLINK("https://www.philgeps.gov.ph/GEPSNONPILOT/Tender/SplashBidNoticeAbstractUI.aspx?menuIndex=3&amp;refID=7080949&amp;Result=3","7080949")</f>
        <v>0</v>
      </c>
      <c r="B4315" t="s">
        <v>128</v>
      </c>
      <c r="C4315" t="s">
        <v>7645</v>
      </c>
      <c r="D4315" t="s">
        <v>18106</v>
      </c>
      <c r="E4315" t="s">
        <v>22056</v>
      </c>
      <c r="F4315" t="s">
        <v>31362</v>
      </c>
      <c r="G4315" t="s">
        <v>31368</v>
      </c>
      <c r="H4315" t="s">
        <v>15799</v>
      </c>
      <c r="I4315" t="s">
        <v>31411</v>
      </c>
      <c r="J4315" t="s">
        <v>34340</v>
      </c>
      <c r="K4315" t="s">
        <v>40662</v>
      </c>
      <c r="M4315" t="s">
        <v>41065</v>
      </c>
      <c r="N4315" t="s">
        <v>44905</v>
      </c>
      <c r="O4315" t="s">
        <v>44906</v>
      </c>
      <c r="P4315">
        <v>0</v>
      </c>
      <c r="Q4315">
        <v>0</v>
      </c>
      <c r="R4315" t="s">
        <v>44908</v>
      </c>
      <c r="S4315" t="s">
        <v>45042</v>
      </c>
      <c r="T4315" t="s">
        <v>46460</v>
      </c>
      <c r="U4315" t="s">
        <v>50461</v>
      </c>
      <c r="W4315" t="s">
        <v>41065</v>
      </c>
      <c r="X4315" t="s">
        <v>44909</v>
      </c>
    </row>
    <row r="4316" spans="1:24">
      <c r="A4316">
        <f>HYPERLINK("https://www.philgeps.gov.ph/GEPSNONPILOT/Tender/SplashBidNoticeAbstractUI.aspx?menuIndex=3&amp;refID=7080994&amp;Result=3","7080994")</f>
        <v>0</v>
      </c>
      <c r="B4316" t="s">
        <v>1498</v>
      </c>
      <c r="C4316" t="s">
        <v>7646</v>
      </c>
      <c r="D4316" t="s">
        <v>18160</v>
      </c>
      <c r="E4316" t="s">
        <v>19162</v>
      </c>
      <c r="F4316" t="s">
        <v>31362</v>
      </c>
      <c r="G4316" t="s">
        <v>31369</v>
      </c>
      <c r="H4316" t="s">
        <v>31378</v>
      </c>
      <c r="I4316" t="s">
        <v>31386</v>
      </c>
      <c r="J4316" t="s">
        <v>33058</v>
      </c>
      <c r="K4316" t="s">
        <v>40778</v>
      </c>
      <c r="M4316" t="s">
        <v>42535</v>
      </c>
      <c r="N4316" t="s">
        <v>44905</v>
      </c>
      <c r="O4316" t="s">
        <v>44906</v>
      </c>
      <c r="P4316">
        <v>0</v>
      </c>
      <c r="Q4316">
        <v>0</v>
      </c>
      <c r="R4316" t="s">
        <v>44908</v>
      </c>
      <c r="S4316" t="s">
        <v>45042</v>
      </c>
      <c r="T4316" t="s">
        <v>46408</v>
      </c>
      <c r="U4316" t="s">
        <v>50462</v>
      </c>
      <c r="V4316" t="s">
        <v>59471</v>
      </c>
      <c r="W4316" t="s">
        <v>42535</v>
      </c>
      <c r="X4316" t="s">
        <v>44909</v>
      </c>
    </row>
    <row r="4317" spans="1:24">
      <c r="A4317">
        <f>HYPERLINK("https://www.philgeps.gov.ph/GEPSNONPILOT/Tender/SplashBidNoticeAbstractUI.aspx?menuIndex=3&amp;refID=7079709&amp;Result=3","7079709")</f>
        <v>0</v>
      </c>
      <c r="B4317" t="s">
        <v>349</v>
      </c>
      <c r="C4317" t="s">
        <v>7647</v>
      </c>
      <c r="D4317" t="s">
        <v>18160</v>
      </c>
      <c r="E4317" t="s">
        <v>22057</v>
      </c>
      <c r="F4317" t="s">
        <v>31362</v>
      </c>
      <c r="G4317" t="s">
        <v>31368</v>
      </c>
      <c r="H4317" t="s">
        <v>15799</v>
      </c>
      <c r="I4317" t="s">
        <v>31484</v>
      </c>
      <c r="J4317" t="s">
        <v>31578</v>
      </c>
      <c r="K4317" t="s">
        <v>40661</v>
      </c>
      <c r="M4317" t="s">
        <v>41295</v>
      </c>
      <c r="N4317" t="s">
        <v>44905</v>
      </c>
      <c r="O4317" t="s">
        <v>44906</v>
      </c>
      <c r="P4317">
        <v>0</v>
      </c>
      <c r="Q4317">
        <v>5</v>
      </c>
      <c r="R4317" t="s">
        <v>44908</v>
      </c>
      <c r="S4317" t="s">
        <v>45042</v>
      </c>
      <c r="T4317" t="s">
        <v>46393</v>
      </c>
      <c r="U4317" t="s">
        <v>50463</v>
      </c>
      <c r="W4317" t="s">
        <v>41295</v>
      </c>
      <c r="X4317" t="s">
        <v>44909</v>
      </c>
    </row>
    <row r="4318" spans="1:24">
      <c r="A4318">
        <f>HYPERLINK("https://www.philgeps.gov.ph/GEPSNONPILOT/Tender/SplashBidNoticeAbstractUI.aspx?menuIndex=3&amp;refID=7080992&amp;Result=3","7080992")</f>
        <v>0</v>
      </c>
      <c r="B4318" t="s">
        <v>546</v>
      </c>
      <c r="C4318" t="s">
        <v>7648</v>
      </c>
      <c r="D4318" t="s">
        <v>18133</v>
      </c>
      <c r="E4318" t="s">
        <v>22058</v>
      </c>
      <c r="F4318" t="s">
        <v>31362</v>
      </c>
      <c r="G4318" t="s">
        <v>31370</v>
      </c>
      <c r="H4318" t="s">
        <v>15799</v>
      </c>
      <c r="I4318" t="s">
        <v>6373</v>
      </c>
      <c r="J4318" t="s">
        <v>34341</v>
      </c>
      <c r="K4318" t="s">
        <v>40662</v>
      </c>
      <c r="L4318" t="s">
        <v>546</v>
      </c>
      <c r="M4318" t="s">
        <v>41502</v>
      </c>
      <c r="N4318" t="s">
        <v>44905</v>
      </c>
      <c r="O4318" t="s">
        <v>44906</v>
      </c>
      <c r="P4318">
        <v>0</v>
      </c>
      <c r="Q4318">
        <v>6</v>
      </c>
      <c r="R4318" t="s">
        <v>44908</v>
      </c>
      <c r="S4318" t="s">
        <v>45042</v>
      </c>
      <c r="T4318" t="s">
        <v>46425</v>
      </c>
      <c r="U4318" t="s">
        <v>47974</v>
      </c>
      <c r="W4318" t="s">
        <v>41502</v>
      </c>
      <c r="X4318" t="s">
        <v>44909</v>
      </c>
    </row>
    <row r="4319" spans="1:24">
      <c r="A4319">
        <f>HYPERLINK("https://www.philgeps.gov.ph/GEPSNONPILOT/Tender/SplashBidNoticeAbstractUI.aspx?menuIndex=3&amp;refID=7079735&amp;Result=3","7079735")</f>
        <v>0</v>
      </c>
      <c r="B4319" t="s">
        <v>1208</v>
      </c>
      <c r="C4319" t="s">
        <v>7649</v>
      </c>
      <c r="D4319" t="s">
        <v>18100</v>
      </c>
      <c r="E4319" t="s">
        <v>19737</v>
      </c>
      <c r="F4319" t="s">
        <v>31362</v>
      </c>
      <c r="G4319" t="s">
        <v>31368</v>
      </c>
      <c r="H4319" t="s">
        <v>15799</v>
      </c>
      <c r="I4319" t="s">
        <v>31387</v>
      </c>
      <c r="J4319" t="s">
        <v>34342</v>
      </c>
      <c r="K4319" t="s">
        <v>40670</v>
      </c>
      <c r="M4319" t="s">
        <v>42221</v>
      </c>
      <c r="N4319" t="s">
        <v>44905</v>
      </c>
      <c r="O4319" t="s">
        <v>44906</v>
      </c>
      <c r="P4319">
        <v>0</v>
      </c>
      <c r="Q4319">
        <v>1</v>
      </c>
      <c r="R4319" t="s">
        <v>44908</v>
      </c>
      <c r="S4319" t="s">
        <v>45042</v>
      </c>
      <c r="T4319" t="s">
        <v>46645</v>
      </c>
      <c r="U4319" t="s">
        <v>49568</v>
      </c>
      <c r="V4319" t="s">
        <v>59392</v>
      </c>
      <c r="W4319" t="s">
        <v>42221</v>
      </c>
      <c r="X4319" t="s">
        <v>44909</v>
      </c>
    </row>
    <row r="4320" spans="1:24">
      <c r="A4320">
        <f>HYPERLINK("https://www.philgeps.gov.ph/GEPSNONPILOT/Tender/SplashBidNoticeAbstractUI.aspx?menuIndex=3&amp;refID=7080990&amp;Result=3","7080990")</f>
        <v>0</v>
      </c>
      <c r="B4320" t="s">
        <v>809</v>
      </c>
      <c r="C4320" t="s">
        <v>7650</v>
      </c>
      <c r="D4320" t="s">
        <v>18116</v>
      </c>
      <c r="E4320" t="s">
        <v>22059</v>
      </c>
      <c r="F4320" t="s">
        <v>31362</v>
      </c>
      <c r="G4320" t="s">
        <v>31370</v>
      </c>
      <c r="H4320" t="s">
        <v>15799</v>
      </c>
      <c r="I4320" t="s">
        <v>31394</v>
      </c>
      <c r="J4320" t="s">
        <v>32143</v>
      </c>
      <c r="K4320" t="s">
        <v>40662</v>
      </c>
      <c r="M4320" t="s">
        <v>41780</v>
      </c>
      <c r="N4320" t="s">
        <v>44905</v>
      </c>
      <c r="O4320" t="s">
        <v>44906</v>
      </c>
      <c r="P4320">
        <v>0</v>
      </c>
      <c r="Q4320">
        <v>3</v>
      </c>
      <c r="R4320" t="s">
        <v>44908</v>
      </c>
      <c r="S4320" t="s">
        <v>45042</v>
      </c>
      <c r="T4320" t="s">
        <v>46409</v>
      </c>
      <c r="U4320" t="s">
        <v>50464</v>
      </c>
      <c r="W4320" t="s">
        <v>41780</v>
      </c>
      <c r="X4320" t="s">
        <v>44909</v>
      </c>
    </row>
    <row r="4321" spans="1:24">
      <c r="A4321">
        <f>HYPERLINK("https://www.philgeps.gov.ph/GEPSNONPILOT/Tender/SplashBidNoticeAbstractUI.aspx?menuIndex=3&amp;refID=7080984&amp;Result=3","7080984")</f>
        <v>0</v>
      </c>
      <c r="B4321" t="s">
        <v>1458</v>
      </c>
      <c r="C4321" t="s">
        <v>7651</v>
      </c>
      <c r="D4321" t="s">
        <v>18108</v>
      </c>
      <c r="E4321" t="s">
        <v>19039</v>
      </c>
      <c r="F4321" t="s">
        <v>31362</v>
      </c>
      <c r="G4321" t="s">
        <v>31369</v>
      </c>
      <c r="H4321" t="s">
        <v>15799</v>
      </c>
      <c r="I4321" t="s">
        <v>7188</v>
      </c>
      <c r="J4321" t="s">
        <v>31784</v>
      </c>
      <c r="K4321" t="s">
        <v>40679</v>
      </c>
      <c r="M4321" t="s">
        <v>42489</v>
      </c>
      <c r="N4321" t="s">
        <v>44905</v>
      </c>
      <c r="O4321" t="s">
        <v>44906</v>
      </c>
      <c r="P4321">
        <v>0</v>
      </c>
      <c r="Q4321">
        <v>3</v>
      </c>
      <c r="R4321" t="s">
        <v>44908</v>
      </c>
      <c r="S4321" t="s">
        <v>45042</v>
      </c>
      <c r="T4321" t="s">
        <v>46418</v>
      </c>
      <c r="U4321" t="s">
        <v>50442</v>
      </c>
      <c r="W4321" t="s">
        <v>42489</v>
      </c>
      <c r="X4321" t="s">
        <v>44909</v>
      </c>
    </row>
    <row r="4322" spans="1:24">
      <c r="A4322">
        <f>HYPERLINK("https://www.philgeps.gov.ph/GEPSNONPILOT/Tender/SplashBidNoticeAbstractUI.aspx?menuIndex=3&amp;refID=7079828&amp;Result=3","7079828")</f>
        <v>0</v>
      </c>
      <c r="B4322" t="s">
        <v>1260</v>
      </c>
      <c r="C4322" t="s">
        <v>7652</v>
      </c>
      <c r="D4322" t="s">
        <v>18142</v>
      </c>
      <c r="E4322" t="s">
        <v>22060</v>
      </c>
      <c r="F4322" t="s">
        <v>31362</v>
      </c>
      <c r="G4322" t="s">
        <v>31369</v>
      </c>
      <c r="H4322" t="s">
        <v>15799</v>
      </c>
      <c r="I4322" t="s">
        <v>7188</v>
      </c>
      <c r="J4322" t="s">
        <v>31577</v>
      </c>
      <c r="K4322" t="s">
        <v>40677</v>
      </c>
      <c r="M4322" t="s">
        <v>42276</v>
      </c>
      <c r="N4322" t="s">
        <v>44905</v>
      </c>
      <c r="O4322" t="s">
        <v>44906</v>
      </c>
      <c r="P4322">
        <v>0</v>
      </c>
      <c r="Q4322">
        <v>4</v>
      </c>
      <c r="R4322" t="s">
        <v>44908</v>
      </c>
      <c r="S4322" t="s">
        <v>45042</v>
      </c>
      <c r="T4322" t="s">
        <v>46426</v>
      </c>
      <c r="U4322" t="s">
        <v>49683</v>
      </c>
      <c r="W4322" t="s">
        <v>42276</v>
      </c>
      <c r="X4322" t="s">
        <v>44909</v>
      </c>
    </row>
    <row r="4323" spans="1:24">
      <c r="A4323">
        <f>HYPERLINK("https://www.philgeps.gov.ph/GEPSNONPILOT/Tender/SplashBidNoticeAbstractUI.aspx?menuIndex=3&amp;refID=7080983&amp;Result=3","7080983")</f>
        <v>0</v>
      </c>
      <c r="B4323" t="s">
        <v>591</v>
      </c>
      <c r="C4323" t="s">
        <v>7653</v>
      </c>
      <c r="D4323" t="s">
        <v>18109</v>
      </c>
      <c r="E4323" t="s">
        <v>7653</v>
      </c>
      <c r="F4323" t="s">
        <v>31362</v>
      </c>
      <c r="G4323" t="s">
        <v>31368</v>
      </c>
      <c r="H4323" t="s">
        <v>15799</v>
      </c>
      <c r="I4323" t="s">
        <v>4942</v>
      </c>
      <c r="J4323" t="s">
        <v>34343</v>
      </c>
      <c r="K4323" t="s">
        <v>40666</v>
      </c>
      <c r="M4323" t="s">
        <v>41548</v>
      </c>
      <c r="N4323" t="s">
        <v>44905</v>
      </c>
      <c r="O4323" t="s">
        <v>44906</v>
      </c>
      <c r="P4323">
        <v>0</v>
      </c>
      <c r="Q4323">
        <v>0</v>
      </c>
      <c r="R4323" t="s">
        <v>44908</v>
      </c>
      <c r="S4323" t="s">
        <v>45042</v>
      </c>
      <c r="T4323" t="s">
        <v>46432</v>
      </c>
      <c r="U4323" t="s">
        <v>48056</v>
      </c>
      <c r="W4323" t="s">
        <v>41548</v>
      </c>
      <c r="X4323" t="s">
        <v>44909</v>
      </c>
    </row>
    <row r="4324" spans="1:24">
      <c r="A4324">
        <f>HYPERLINK("https://www.philgeps.gov.ph/GEPSNONPILOT/Tender/SplashBidNoticeAbstractUI.aspx?menuIndex=3&amp;refID=7080993&amp;Result=3","7080993")</f>
        <v>0</v>
      </c>
      <c r="B4324" t="s">
        <v>1499</v>
      </c>
      <c r="C4324" t="s">
        <v>7654</v>
      </c>
      <c r="D4324" t="s">
        <v>18106</v>
      </c>
      <c r="E4324" t="s">
        <v>22061</v>
      </c>
      <c r="F4324" t="s">
        <v>31362</v>
      </c>
      <c r="G4324" t="s">
        <v>31368</v>
      </c>
      <c r="H4324" t="s">
        <v>15799</v>
      </c>
      <c r="I4324" t="s">
        <v>4942</v>
      </c>
      <c r="J4324" t="s">
        <v>32268</v>
      </c>
      <c r="K4324" t="s">
        <v>40687</v>
      </c>
      <c r="M4324" t="s">
        <v>42536</v>
      </c>
      <c r="N4324" t="s">
        <v>44905</v>
      </c>
      <c r="O4324" t="s">
        <v>44906</v>
      </c>
      <c r="P4324">
        <v>0</v>
      </c>
      <c r="Q4324">
        <v>0</v>
      </c>
      <c r="R4324" t="s">
        <v>44908</v>
      </c>
      <c r="S4324" t="s">
        <v>45042</v>
      </c>
      <c r="T4324" t="s">
        <v>46414</v>
      </c>
      <c r="U4324" t="s">
        <v>50465</v>
      </c>
      <c r="W4324" t="s">
        <v>42536</v>
      </c>
      <c r="X4324" t="s">
        <v>44909</v>
      </c>
    </row>
    <row r="4325" spans="1:24">
      <c r="A4325">
        <f>HYPERLINK("https://www.philgeps.gov.ph/GEPSNONPILOT/Tender/SplashBidNoticeAbstractUI.aspx?menuIndex=3&amp;refID=7080980&amp;Result=3","7080980")</f>
        <v>0</v>
      </c>
      <c r="B4325" t="s">
        <v>1238</v>
      </c>
      <c r="C4325" t="s">
        <v>7655</v>
      </c>
      <c r="E4325" t="s">
        <v>22062</v>
      </c>
      <c r="F4325" t="s">
        <v>31362</v>
      </c>
      <c r="G4325" t="s">
        <v>31368</v>
      </c>
      <c r="H4325" t="s">
        <v>31377</v>
      </c>
      <c r="I4325" t="s">
        <v>31377</v>
      </c>
      <c r="J4325" t="s">
        <v>31734</v>
      </c>
      <c r="K4325" t="s">
        <v>40679</v>
      </c>
      <c r="M4325" t="s">
        <v>42252</v>
      </c>
      <c r="N4325" t="s">
        <v>44905</v>
      </c>
      <c r="O4325" t="s">
        <v>44906</v>
      </c>
      <c r="P4325">
        <v>0</v>
      </c>
      <c r="Q4325">
        <v>1</v>
      </c>
      <c r="R4325" t="s">
        <v>44908</v>
      </c>
      <c r="S4325" t="s">
        <v>45042</v>
      </c>
      <c r="T4325" t="s">
        <v>46416</v>
      </c>
      <c r="U4325" t="s">
        <v>50466</v>
      </c>
      <c r="W4325" t="s">
        <v>42252</v>
      </c>
      <c r="X4325" t="s">
        <v>44909</v>
      </c>
    </row>
    <row r="4326" spans="1:24">
      <c r="A4326">
        <f>HYPERLINK("https://www.philgeps.gov.ph/GEPSNONPILOT/Tender/SplashBidNoticeAbstractUI.aspx?menuIndex=3&amp;refID=7080977&amp;Result=3","7080977")</f>
        <v>0</v>
      </c>
      <c r="B4326" t="s">
        <v>1500</v>
      </c>
      <c r="C4326" t="s">
        <v>7656</v>
      </c>
      <c r="D4326" t="s">
        <v>18162</v>
      </c>
      <c r="E4326" t="s">
        <v>22063</v>
      </c>
      <c r="F4326" t="s">
        <v>31362</v>
      </c>
      <c r="G4326" t="s">
        <v>31368</v>
      </c>
      <c r="H4326" t="s">
        <v>15799</v>
      </c>
      <c r="I4326" t="s">
        <v>31396</v>
      </c>
      <c r="J4326" t="s">
        <v>31545</v>
      </c>
      <c r="K4326" t="s">
        <v>40697</v>
      </c>
      <c r="M4326" t="s">
        <v>42537</v>
      </c>
      <c r="N4326" t="s">
        <v>44905</v>
      </c>
      <c r="O4326" t="s">
        <v>44906</v>
      </c>
      <c r="P4326">
        <v>0</v>
      </c>
      <c r="Q4326">
        <v>1</v>
      </c>
      <c r="R4326" t="s">
        <v>44908</v>
      </c>
      <c r="S4326" t="s">
        <v>45042</v>
      </c>
      <c r="T4326" t="s">
        <v>46409</v>
      </c>
      <c r="U4326" t="s">
        <v>50467</v>
      </c>
      <c r="W4326" t="s">
        <v>42537</v>
      </c>
      <c r="X4326" t="s">
        <v>44909</v>
      </c>
    </row>
    <row r="4327" spans="1:24">
      <c r="A4327">
        <f>HYPERLINK("https://www.philgeps.gov.ph/GEPSNONPILOT/Tender/SplashBidNoticeAbstractUI.aspx?menuIndex=3&amp;refID=7080988&amp;Result=3","7080988")</f>
        <v>0</v>
      </c>
      <c r="B4327" t="s">
        <v>443</v>
      </c>
      <c r="C4327" t="s">
        <v>7657</v>
      </c>
      <c r="D4327" t="s">
        <v>18131</v>
      </c>
      <c r="E4327" t="s">
        <v>22064</v>
      </c>
      <c r="F4327" t="s">
        <v>31362</v>
      </c>
      <c r="G4327" t="s">
        <v>31368</v>
      </c>
      <c r="H4327" t="s">
        <v>15799</v>
      </c>
      <c r="I4327" t="s">
        <v>31395</v>
      </c>
      <c r="J4327" t="s">
        <v>31530</v>
      </c>
      <c r="K4327" t="s">
        <v>40662</v>
      </c>
      <c r="L4327" t="s">
        <v>443</v>
      </c>
      <c r="M4327" t="s">
        <v>42538</v>
      </c>
      <c r="N4327" t="s">
        <v>44905</v>
      </c>
      <c r="O4327" t="s">
        <v>44906</v>
      </c>
      <c r="P4327">
        <v>0</v>
      </c>
      <c r="Q4327">
        <v>2</v>
      </c>
      <c r="R4327" t="s">
        <v>44908</v>
      </c>
      <c r="S4327" t="s">
        <v>45042</v>
      </c>
      <c r="T4327" t="s">
        <v>46454</v>
      </c>
      <c r="U4327" t="s">
        <v>47726</v>
      </c>
      <c r="W4327" t="s">
        <v>42538</v>
      </c>
      <c r="X4327" t="s">
        <v>44909</v>
      </c>
    </row>
    <row r="4328" spans="1:24">
      <c r="A4328">
        <f>HYPERLINK("https://www.philgeps.gov.ph/GEPSNONPILOT/Tender/SplashBidNoticeAbstractUI.aspx?menuIndex=3&amp;refID=7080998&amp;Result=3","7080998")</f>
        <v>0</v>
      </c>
      <c r="B4328" t="s">
        <v>991</v>
      </c>
      <c r="C4328" t="s">
        <v>7658</v>
      </c>
      <c r="D4328" t="s">
        <v>18132</v>
      </c>
      <c r="E4328" t="s">
        <v>22065</v>
      </c>
      <c r="F4328" t="s">
        <v>31362</v>
      </c>
      <c r="G4328" t="s">
        <v>31368</v>
      </c>
      <c r="H4328" t="s">
        <v>15799</v>
      </c>
      <c r="I4328" t="s">
        <v>31380</v>
      </c>
      <c r="J4328" t="s">
        <v>34344</v>
      </c>
      <c r="K4328" t="s">
        <v>40672</v>
      </c>
      <c r="M4328" t="s">
        <v>41985</v>
      </c>
      <c r="N4328" t="s">
        <v>44905</v>
      </c>
      <c r="O4328" t="s">
        <v>44906</v>
      </c>
      <c r="P4328">
        <v>0</v>
      </c>
      <c r="Q4328">
        <v>0</v>
      </c>
      <c r="R4328" t="s">
        <v>44908</v>
      </c>
      <c r="S4328" t="s">
        <v>45042</v>
      </c>
      <c r="T4328" t="s">
        <v>46443</v>
      </c>
      <c r="U4328" t="s">
        <v>50468</v>
      </c>
      <c r="W4328" t="s">
        <v>41985</v>
      </c>
      <c r="X4328" t="s">
        <v>44909</v>
      </c>
    </row>
    <row r="4329" spans="1:24">
      <c r="A4329">
        <f>HYPERLINK("https://www.philgeps.gov.ph/GEPSNONPILOT/Tender/SplashBidNoticeAbstractUI.aspx?menuIndex=3&amp;refID=7080920&amp;Result=3","7080920")</f>
        <v>0</v>
      </c>
      <c r="B4329" t="s">
        <v>81</v>
      </c>
      <c r="C4329" t="s">
        <v>7659</v>
      </c>
      <c r="E4329" t="s">
        <v>22066</v>
      </c>
      <c r="F4329" t="s">
        <v>31362</v>
      </c>
      <c r="G4329" t="s">
        <v>31368</v>
      </c>
      <c r="H4329" t="s">
        <v>15799</v>
      </c>
      <c r="I4329" t="s">
        <v>4057</v>
      </c>
      <c r="J4329" t="s">
        <v>31987</v>
      </c>
      <c r="K4329" t="s">
        <v>40662</v>
      </c>
      <c r="M4329" t="s">
        <v>41999</v>
      </c>
      <c r="N4329" t="s">
        <v>44905</v>
      </c>
      <c r="O4329" t="s">
        <v>44906</v>
      </c>
      <c r="P4329">
        <v>0</v>
      </c>
      <c r="Q4329">
        <v>1</v>
      </c>
      <c r="R4329" t="s">
        <v>44908</v>
      </c>
      <c r="S4329" t="s">
        <v>45042</v>
      </c>
      <c r="T4329" t="s">
        <v>46432</v>
      </c>
      <c r="U4329" t="s">
        <v>50469</v>
      </c>
      <c r="V4329" t="s">
        <v>59472</v>
      </c>
      <c r="W4329" t="s">
        <v>41999</v>
      </c>
      <c r="X4329" t="s">
        <v>44909</v>
      </c>
    </row>
    <row r="4330" spans="1:24">
      <c r="A4330">
        <f>HYPERLINK("https://www.philgeps.gov.ph/GEPSNONPILOT/Tender/SplashBidNoticeAbstractUI.aspx?menuIndex=3&amp;refID=7081018&amp;Result=3","7081018")</f>
        <v>0</v>
      </c>
      <c r="B4330" t="s">
        <v>1144</v>
      </c>
      <c r="C4330" t="s">
        <v>7660</v>
      </c>
      <c r="D4330" t="s">
        <v>18154</v>
      </c>
      <c r="E4330" t="s">
        <v>22067</v>
      </c>
      <c r="F4330" t="s">
        <v>31362</v>
      </c>
      <c r="G4330" t="s">
        <v>31368</v>
      </c>
      <c r="H4330" t="s">
        <v>15799</v>
      </c>
      <c r="I4330" t="s">
        <v>31410</v>
      </c>
      <c r="J4330" t="s">
        <v>34345</v>
      </c>
      <c r="K4330" t="s">
        <v>40697</v>
      </c>
      <c r="M4330" t="s">
        <v>42539</v>
      </c>
      <c r="N4330" t="s">
        <v>44905</v>
      </c>
      <c r="O4330" t="s">
        <v>44906</v>
      </c>
      <c r="P4330">
        <v>0</v>
      </c>
      <c r="Q4330">
        <v>0</v>
      </c>
      <c r="R4330" t="s">
        <v>44908</v>
      </c>
      <c r="S4330" t="s">
        <v>45042</v>
      </c>
      <c r="T4330" t="s">
        <v>46416</v>
      </c>
      <c r="U4330" t="s">
        <v>50470</v>
      </c>
      <c r="W4330" t="s">
        <v>42539</v>
      </c>
      <c r="X4330" t="s">
        <v>44909</v>
      </c>
    </row>
    <row r="4331" spans="1:24">
      <c r="A4331">
        <f>HYPERLINK("https://www.philgeps.gov.ph/GEPSNONPILOT/Tender/SplashBidNoticeAbstractUI.aspx?menuIndex=3&amp;refID=7080981&amp;Result=3","7080981")</f>
        <v>0</v>
      </c>
      <c r="B4331" t="s">
        <v>237</v>
      </c>
      <c r="C4331" t="s">
        <v>7661</v>
      </c>
      <c r="D4331" t="s">
        <v>18108</v>
      </c>
      <c r="E4331" t="s">
        <v>22068</v>
      </c>
      <c r="F4331" t="s">
        <v>31362</v>
      </c>
      <c r="G4331" t="s">
        <v>31370</v>
      </c>
      <c r="H4331" t="s">
        <v>15799</v>
      </c>
      <c r="I4331" t="s">
        <v>31380</v>
      </c>
      <c r="J4331" t="s">
        <v>34346</v>
      </c>
      <c r="K4331" t="s">
        <v>40670</v>
      </c>
      <c r="M4331" t="s">
        <v>41330</v>
      </c>
      <c r="N4331" t="s">
        <v>44905</v>
      </c>
      <c r="O4331" t="s">
        <v>44906</v>
      </c>
      <c r="P4331">
        <v>0</v>
      </c>
      <c r="Q4331">
        <v>1</v>
      </c>
      <c r="R4331" t="s">
        <v>44908</v>
      </c>
      <c r="S4331" t="s">
        <v>45042</v>
      </c>
      <c r="T4331" t="s">
        <v>46454</v>
      </c>
      <c r="U4331" t="s">
        <v>50471</v>
      </c>
      <c r="W4331" t="s">
        <v>41330</v>
      </c>
      <c r="X4331" t="s">
        <v>44909</v>
      </c>
    </row>
    <row r="4332" spans="1:24">
      <c r="A4332">
        <f>HYPERLINK("https://www.philgeps.gov.ph/GEPSNONPILOT/Tender/SplashBidNoticeAbstractUI.aspx?menuIndex=3&amp;refID=7080979&amp;Result=3","7080979")</f>
        <v>0</v>
      </c>
      <c r="B4332" t="s">
        <v>199</v>
      </c>
      <c r="C4332" t="s">
        <v>7662</v>
      </c>
      <c r="D4332" t="s">
        <v>18139</v>
      </c>
      <c r="E4332" t="s">
        <v>22069</v>
      </c>
      <c r="F4332" t="s">
        <v>31362</v>
      </c>
      <c r="G4332" t="s">
        <v>31368</v>
      </c>
      <c r="H4332" t="s">
        <v>31378</v>
      </c>
      <c r="I4332" t="s">
        <v>3582</v>
      </c>
      <c r="J4332" t="s">
        <v>34347</v>
      </c>
      <c r="K4332" t="s">
        <v>40665</v>
      </c>
      <c r="M4332" t="s">
        <v>42540</v>
      </c>
      <c r="N4332" t="s">
        <v>44905</v>
      </c>
      <c r="O4332" t="s">
        <v>44906</v>
      </c>
      <c r="P4332">
        <v>0</v>
      </c>
      <c r="Q4332">
        <v>2</v>
      </c>
      <c r="R4332" t="s">
        <v>44908</v>
      </c>
      <c r="S4332" t="s">
        <v>45042</v>
      </c>
      <c r="T4332" t="s">
        <v>46417</v>
      </c>
      <c r="U4332" t="s">
        <v>50472</v>
      </c>
      <c r="W4332" t="s">
        <v>42540</v>
      </c>
      <c r="X4332" t="s">
        <v>44909</v>
      </c>
    </row>
    <row r="4333" spans="1:24">
      <c r="A4333">
        <f>HYPERLINK("https://www.philgeps.gov.ph/GEPSNONPILOT/Tender/SplashBidNoticeAbstractUI.aspx?menuIndex=3&amp;refID=7080986&amp;Result=3","7080986")</f>
        <v>0</v>
      </c>
      <c r="B4333" t="s">
        <v>1501</v>
      </c>
      <c r="C4333" t="s">
        <v>7663</v>
      </c>
      <c r="D4333" t="s">
        <v>18113</v>
      </c>
      <c r="E4333" t="s">
        <v>22070</v>
      </c>
      <c r="F4333" t="s">
        <v>31362</v>
      </c>
      <c r="G4333" t="s">
        <v>31370</v>
      </c>
      <c r="H4333" t="s">
        <v>15799</v>
      </c>
      <c r="I4333" t="s">
        <v>7188</v>
      </c>
      <c r="J4333" t="s">
        <v>31843</v>
      </c>
      <c r="K4333" t="s">
        <v>40665</v>
      </c>
      <c r="M4333" t="s">
        <v>42541</v>
      </c>
      <c r="N4333" t="s">
        <v>44905</v>
      </c>
      <c r="O4333" t="s">
        <v>44906</v>
      </c>
      <c r="P4333">
        <v>0</v>
      </c>
      <c r="Q4333">
        <v>2</v>
      </c>
      <c r="R4333" t="s">
        <v>44908</v>
      </c>
      <c r="S4333" t="s">
        <v>45042</v>
      </c>
      <c r="T4333" t="s">
        <v>46414</v>
      </c>
      <c r="U4333" t="s">
        <v>50473</v>
      </c>
      <c r="W4333" t="s">
        <v>42541</v>
      </c>
      <c r="X4333" t="s">
        <v>44909</v>
      </c>
    </row>
    <row r="4334" spans="1:24">
      <c r="A4334">
        <f>HYPERLINK("https://www.philgeps.gov.ph/GEPSNONPILOT/Tender/SplashBidNoticeAbstractUI.aspx?menuIndex=3&amp;refID=7081015&amp;Result=3","7081015")</f>
        <v>0</v>
      </c>
      <c r="B4334" t="s">
        <v>1502</v>
      </c>
      <c r="C4334" t="s">
        <v>7664</v>
      </c>
      <c r="D4334" t="s">
        <v>18108</v>
      </c>
      <c r="E4334" t="s">
        <v>21391</v>
      </c>
      <c r="F4334" t="s">
        <v>31362</v>
      </c>
      <c r="G4334" t="s">
        <v>31370</v>
      </c>
      <c r="H4334" t="s">
        <v>15799</v>
      </c>
      <c r="I4334" t="s">
        <v>31393</v>
      </c>
      <c r="J4334" t="s">
        <v>31713</v>
      </c>
      <c r="K4334" t="s">
        <v>40662</v>
      </c>
      <c r="M4334" t="s">
        <v>42542</v>
      </c>
      <c r="N4334" t="s">
        <v>44905</v>
      </c>
      <c r="O4334" t="s">
        <v>44906</v>
      </c>
      <c r="P4334">
        <v>0</v>
      </c>
      <c r="Q4334">
        <v>2</v>
      </c>
      <c r="R4334" t="s">
        <v>44908</v>
      </c>
      <c r="S4334" t="s">
        <v>45042</v>
      </c>
      <c r="T4334" t="s">
        <v>46400</v>
      </c>
      <c r="U4334" t="s">
        <v>50474</v>
      </c>
      <c r="W4334" t="s">
        <v>42542</v>
      </c>
      <c r="X4334" t="s">
        <v>44909</v>
      </c>
    </row>
    <row r="4335" spans="1:24">
      <c r="A4335">
        <f>HYPERLINK("https://www.philgeps.gov.ph/GEPSNONPILOT/Tender/SplashBidNoticeAbstractUI.aspx?menuIndex=3&amp;refID=7080921&amp;Result=3","7080921")</f>
        <v>0</v>
      </c>
      <c r="B4335" t="s">
        <v>1226</v>
      </c>
      <c r="C4335" t="s">
        <v>7665</v>
      </c>
      <c r="D4335" t="s">
        <v>18112</v>
      </c>
      <c r="E4335" t="s">
        <v>20783</v>
      </c>
      <c r="F4335" t="s">
        <v>31362</v>
      </c>
      <c r="G4335" t="s">
        <v>31370</v>
      </c>
      <c r="H4335" t="s">
        <v>15799</v>
      </c>
      <c r="I4335" t="s">
        <v>6373</v>
      </c>
      <c r="J4335" t="s">
        <v>34348</v>
      </c>
      <c r="K4335" t="s">
        <v>40672</v>
      </c>
      <c r="M4335" t="s">
        <v>42240</v>
      </c>
      <c r="N4335" t="s">
        <v>44905</v>
      </c>
      <c r="O4335" t="s">
        <v>44906</v>
      </c>
      <c r="P4335">
        <v>0</v>
      </c>
      <c r="Q4335">
        <v>0</v>
      </c>
      <c r="R4335" t="s">
        <v>44908</v>
      </c>
      <c r="S4335" t="s">
        <v>45042</v>
      </c>
      <c r="T4335" t="s">
        <v>46534</v>
      </c>
      <c r="U4335" t="s">
        <v>50475</v>
      </c>
      <c r="W4335" t="s">
        <v>42240</v>
      </c>
      <c r="X4335" t="s">
        <v>44909</v>
      </c>
    </row>
    <row r="4336" spans="1:24">
      <c r="A4336">
        <f>HYPERLINK("https://www.philgeps.gov.ph/GEPSNONPILOT/Tender/SplashBidNoticeAbstractUI.aspx?menuIndex=3&amp;refID=7081014&amp;Result=3","7081014")</f>
        <v>0</v>
      </c>
      <c r="B4336" t="s">
        <v>417</v>
      </c>
      <c r="C4336" t="s">
        <v>7666</v>
      </c>
      <c r="D4336" t="s">
        <v>18166</v>
      </c>
      <c r="E4336" t="s">
        <v>22071</v>
      </c>
      <c r="F4336" t="s">
        <v>31362</v>
      </c>
      <c r="G4336" t="s">
        <v>31369</v>
      </c>
      <c r="H4336" t="s">
        <v>15799</v>
      </c>
      <c r="I4336" t="s">
        <v>31427</v>
      </c>
      <c r="J4336" t="s">
        <v>34349</v>
      </c>
      <c r="K4336" t="s">
        <v>40670</v>
      </c>
      <c r="M4336" t="s">
        <v>41367</v>
      </c>
      <c r="N4336" t="s">
        <v>44905</v>
      </c>
      <c r="O4336" t="s">
        <v>44906</v>
      </c>
      <c r="P4336">
        <v>0</v>
      </c>
      <c r="Q4336">
        <v>1</v>
      </c>
      <c r="R4336" t="s">
        <v>44908</v>
      </c>
      <c r="S4336" t="s">
        <v>45042</v>
      </c>
      <c r="T4336" t="s">
        <v>46417</v>
      </c>
      <c r="U4336" t="s">
        <v>50476</v>
      </c>
      <c r="W4336" t="s">
        <v>41367</v>
      </c>
      <c r="X4336" t="s">
        <v>44909</v>
      </c>
    </row>
    <row r="4337" spans="1:24">
      <c r="A4337">
        <f>HYPERLINK("https://www.philgeps.gov.ph/GEPSNONPILOT/Tender/SplashBidNoticeAbstractUI.aspx?menuIndex=3&amp;refID=7081012&amp;Result=3","7081012")</f>
        <v>0</v>
      </c>
      <c r="B4337" t="s">
        <v>237</v>
      </c>
      <c r="C4337" t="s">
        <v>7667</v>
      </c>
      <c r="D4337" t="s">
        <v>18108</v>
      </c>
      <c r="E4337" t="s">
        <v>22072</v>
      </c>
      <c r="F4337" t="s">
        <v>31362</v>
      </c>
      <c r="G4337" t="s">
        <v>31370</v>
      </c>
      <c r="H4337" t="s">
        <v>15799</v>
      </c>
      <c r="I4337" t="s">
        <v>31380</v>
      </c>
      <c r="J4337" t="s">
        <v>34350</v>
      </c>
      <c r="K4337" t="s">
        <v>40670</v>
      </c>
      <c r="M4337" t="s">
        <v>41330</v>
      </c>
      <c r="N4337" t="s">
        <v>44905</v>
      </c>
      <c r="O4337" t="s">
        <v>44906</v>
      </c>
      <c r="P4337">
        <v>0</v>
      </c>
      <c r="Q4337">
        <v>1</v>
      </c>
      <c r="R4337" t="s">
        <v>44908</v>
      </c>
      <c r="S4337" t="s">
        <v>45042</v>
      </c>
      <c r="T4337" t="s">
        <v>46454</v>
      </c>
      <c r="U4337" t="s">
        <v>50477</v>
      </c>
      <c r="W4337" t="s">
        <v>41330</v>
      </c>
      <c r="X4337" t="s">
        <v>44909</v>
      </c>
    </row>
    <row r="4338" spans="1:24">
      <c r="A4338">
        <f>HYPERLINK("https://www.philgeps.gov.ph/GEPSNONPILOT/Tender/SplashBidNoticeAbstractUI.aspx?menuIndex=3&amp;refID=7081010&amp;Result=3","7081010")</f>
        <v>0</v>
      </c>
      <c r="B4338" t="s">
        <v>1503</v>
      </c>
      <c r="C4338" t="s">
        <v>7668</v>
      </c>
      <c r="E4338" t="s">
        <v>22073</v>
      </c>
      <c r="F4338" t="s">
        <v>31362</v>
      </c>
      <c r="G4338" t="s">
        <v>31369</v>
      </c>
      <c r="H4338" t="s">
        <v>15799</v>
      </c>
      <c r="I4338" t="s">
        <v>7188</v>
      </c>
      <c r="J4338" t="s">
        <v>32023</v>
      </c>
      <c r="K4338" t="s">
        <v>40665</v>
      </c>
      <c r="M4338" t="s">
        <v>42543</v>
      </c>
      <c r="N4338" t="s">
        <v>44905</v>
      </c>
      <c r="O4338" t="s">
        <v>44906</v>
      </c>
      <c r="P4338">
        <v>0</v>
      </c>
      <c r="Q4338">
        <v>5</v>
      </c>
      <c r="R4338" t="s">
        <v>44908</v>
      </c>
      <c r="S4338" t="s">
        <v>45042</v>
      </c>
      <c r="T4338" t="s">
        <v>46472</v>
      </c>
      <c r="U4338" t="s">
        <v>50478</v>
      </c>
      <c r="W4338" t="s">
        <v>42543</v>
      </c>
      <c r="X4338" t="s">
        <v>44909</v>
      </c>
    </row>
    <row r="4339" spans="1:24">
      <c r="A4339">
        <f>HYPERLINK("https://www.philgeps.gov.ph/GEPSNONPILOT/Tender/SplashBidNoticeAbstractUI.aspx?menuIndex=3&amp;refID=7081009&amp;Result=3","7081009")</f>
        <v>0</v>
      </c>
      <c r="B4339" t="s">
        <v>167</v>
      </c>
      <c r="C4339" t="s">
        <v>7669</v>
      </c>
      <c r="D4339" t="s">
        <v>18152</v>
      </c>
      <c r="E4339" t="s">
        <v>22074</v>
      </c>
      <c r="F4339" t="s">
        <v>31362</v>
      </c>
      <c r="G4339" t="s">
        <v>31369</v>
      </c>
      <c r="H4339" t="s">
        <v>15799</v>
      </c>
      <c r="I4339" t="s">
        <v>3815</v>
      </c>
      <c r="J4339" t="s">
        <v>34351</v>
      </c>
      <c r="K4339" t="s">
        <v>40670</v>
      </c>
      <c r="M4339" t="s">
        <v>41105</v>
      </c>
      <c r="N4339" t="s">
        <v>44905</v>
      </c>
      <c r="O4339" t="s">
        <v>44906</v>
      </c>
      <c r="P4339">
        <v>0</v>
      </c>
      <c r="Q4339">
        <v>0</v>
      </c>
      <c r="R4339" t="s">
        <v>44908</v>
      </c>
      <c r="S4339" t="s">
        <v>45042</v>
      </c>
      <c r="T4339" t="s">
        <v>46462</v>
      </c>
      <c r="U4339" t="s">
        <v>50479</v>
      </c>
      <c r="V4339" t="s">
        <v>59088</v>
      </c>
      <c r="W4339" t="s">
        <v>41105</v>
      </c>
      <c r="X4339" t="s">
        <v>44909</v>
      </c>
    </row>
    <row r="4340" spans="1:24">
      <c r="A4340">
        <f>HYPERLINK("https://www.philgeps.gov.ph/GEPSNONPILOT/Tender/SplashBidNoticeAbstractUI.aspx?menuIndex=3&amp;refID=7081016&amp;Result=3","7081016")</f>
        <v>0</v>
      </c>
      <c r="B4340" t="s">
        <v>123</v>
      </c>
      <c r="C4340" t="s">
        <v>7670</v>
      </c>
      <c r="D4340" t="s">
        <v>18127</v>
      </c>
      <c r="E4340" t="s">
        <v>22075</v>
      </c>
      <c r="F4340" t="s">
        <v>31362</v>
      </c>
      <c r="G4340" t="s">
        <v>31368</v>
      </c>
      <c r="H4340" t="s">
        <v>31379</v>
      </c>
      <c r="I4340" t="s">
        <v>6240</v>
      </c>
      <c r="J4340" t="s">
        <v>31575</v>
      </c>
      <c r="K4340" t="s">
        <v>40666</v>
      </c>
      <c r="M4340" t="s">
        <v>41346</v>
      </c>
      <c r="N4340" t="s">
        <v>44905</v>
      </c>
      <c r="O4340" t="s">
        <v>44906</v>
      </c>
      <c r="P4340">
        <v>0</v>
      </c>
      <c r="Q4340">
        <v>0</v>
      </c>
      <c r="R4340" t="s">
        <v>44908</v>
      </c>
      <c r="S4340" t="s">
        <v>45042</v>
      </c>
      <c r="T4340" t="s">
        <v>46503</v>
      </c>
      <c r="U4340" t="s">
        <v>50480</v>
      </c>
      <c r="V4340" t="s">
        <v>47665</v>
      </c>
      <c r="W4340" t="s">
        <v>41346</v>
      </c>
      <c r="X4340" t="s">
        <v>44909</v>
      </c>
    </row>
    <row r="4341" spans="1:24">
      <c r="A4341">
        <f>HYPERLINK("https://www.philgeps.gov.ph/GEPSNONPILOT/Tender/SplashBidNoticeAbstractUI.aspx?menuIndex=3&amp;refID=7081006&amp;Result=3","7081006")</f>
        <v>0</v>
      </c>
      <c r="B4341" t="s">
        <v>1482</v>
      </c>
      <c r="C4341" t="s">
        <v>7671</v>
      </c>
      <c r="D4341" t="s">
        <v>18117</v>
      </c>
      <c r="E4341" t="s">
        <v>22076</v>
      </c>
      <c r="F4341" t="s">
        <v>31362</v>
      </c>
      <c r="G4341" t="s">
        <v>31369</v>
      </c>
      <c r="H4341" t="s">
        <v>15799</v>
      </c>
      <c r="I4341" t="s">
        <v>3815</v>
      </c>
      <c r="J4341" t="s">
        <v>34352</v>
      </c>
      <c r="K4341" t="s">
        <v>40665</v>
      </c>
      <c r="M4341" t="s">
        <v>42519</v>
      </c>
      <c r="N4341" t="s">
        <v>44905</v>
      </c>
      <c r="O4341" t="s">
        <v>44906</v>
      </c>
      <c r="P4341">
        <v>0</v>
      </c>
      <c r="Q4341">
        <v>0</v>
      </c>
      <c r="R4341" t="s">
        <v>44908</v>
      </c>
      <c r="S4341" t="s">
        <v>45042</v>
      </c>
      <c r="T4341" t="s">
        <v>46404</v>
      </c>
      <c r="U4341" t="s">
        <v>50481</v>
      </c>
      <c r="W4341" t="s">
        <v>42519</v>
      </c>
      <c r="X4341" t="s">
        <v>44909</v>
      </c>
    </row>
    <row r="4342" spans="1:24">
      <c r="A4342">
        <f>HYPERLINK("https://www.philgeps.gov.ph/GEPSNONPILOT/Tender/SplashBidNoticeAbstractUI.aspx?menuIndex=3&amp;refID=7080989&amp;Result=3","7080989")</f>
        <v>0</v>
      </c>
      <c r="B4342" t="s">
        <v>238</v>
      </c>
      <c r="C4342" t="s">
        <v>7672</v>
      </c>
      <c r="D4342" t="s">
        <v>18163</v>
      </c>
      <c r="E4342" t="s">
        <v>22077</v>
      </c>
      <c r="F4342" t="s">
        <v>31362</v>
      </c>
      <c r="G4342" t="s">
        <v>31368</v>
      </c>
      <c r="H4342" t="s">
        <v>15799</v>
      </c>
      <c r="I4342" t="s">
        <v>31419</v>
      </c>
      <c r="J4342" t="s">
        <v>34353</v>
      </c>
      <c r="K4342" t="s">
        <v>40666</v>
      </c>
      <c r="M4342" t="s">
        <v>41177</v>
      </c>
      <c r="N4342" t="s">
        <v>44905</v>
      </c>
      <c r="O4342" t="s">
        <v>44906</v>
      </c>
      <c r="P4342">
        <v>0</v>
      </c>
      <c r="Q4342">
        <v>0</v>
      </c>
      <c r="R4342" t="s">
        <v>44908</v>
      </c>
      <c r="S4342" t="s">
        <v>45042</v>
      </c>
      <c r="T4342" t="s">
        <v>46409</v>
      </c>
      <c r="U4342" t="s">
        <v>50482</v>
      </c>
      <c r="W4342" t="s">
        <v>41177</v>
      </c>
      <c r="X4342" t="s">
        <v>44909</v>
      </c>
    </row>
    <row r="4343" spans="1:24">
      <c r="A4343">
        <f>HYPERLINK("https://www.philgeps.gov.ph/GEPSNONPILOT/Tender/SplashBidNoticeAbstractUI.aspx?menuIndex=3&amp;refID=7081005&amp;Result=3","7081005")</f>
        <v>0</v>
      </c>
      <c r="B4343" t="s">
        <v>1217</v>
      </c>
      <c r="C4343" t="s">
        <v>7673</v>
      </c>
      <c r="D4343" t="s">
        <v>18106</v>
      </c>
      <c r="E4343" t="s">
        <v>22078</v>
      </c>
      <c r="F4343" t="s">
        <v>31362</v>
      </c>
      <c r="G4343" t="s">
        <v>31368</v>
      </c>
      <c r="H4343" t="s">
        <v>15799</v>
      </c>
      <c r="I4343" t="s">
        <v>31421</v>
      </c>
      <c r="J4343" t="s">
        <v>34354</v>
      </c>
      <c r="K4343" t="s">
        <v>40665</v>
      </c>
      <c r="M4343" t="s">
        <v>42230</v>
      </c>
      <c r="N4343" t="s">
        <v>44905</v>
      </c>
      <c r="O4343" t="s">
        <v>44906</v>
      </c>
      <c r="P4343">
        <v>0</v>
      </c>
      <c r="Q4343">
        <v>1</v>
      </c>
      <c r="R4343" t="s">
        <v>44908</v>
      </c>
      <c r="S4343" t="s">
        <v>45042</v>
      </c>
      <c r="T4343" t="s">
        <v>46447</v>
      </c>
      <c r="U4343" t="s">
        <v>49589</v>
      </c>
      <c r="V4343" t="s">
        <v>59395</v>
      </c>
      <c r="W4343" t="s">
        <v>42230</v>
      </c>
      <c r="X4343" t="s">
        <v>44909</v>
      </c>
    </row>
    <row r="4344" spans="1:24">
      <c r="A4344">
        <f>HYPERLINK("https://www.philgeps.gov.ph/GEPSNONPILOT/Tender/SplashBidNoticeAbstractUI.aspx?menuIndex=3&amp;refID=7081013&amp;Result=3","7081013")</f>
        <v>0</v>
      </c>
      <c r="B4344" t="s">
        <v>125</v>
      </c>
      <c r="C4344" t="s">
        <v>7674</v>
      </c>
      <c r="D4344" t="s">
        <v>18104</v>
      </c>
      <c r="E4344" t="s">
        <v>22079</v>
      </c>
      <c r="F4344" t="s">
        <v>31362</v>
      </c>
      <c r="G4344" t="s">
        <v>31369</v>
      </c>
      <c r="H4344" t="s">
        <v>15799</v>
      </c>
      <c r="I4344" t="s">
        <v>31429</v>
      </c>
      <c r="J4344" t="s">
        <v>34355</v>
      </c>
      <c r="K4344" t="s">
        <v>40675</v>
      </c>
      <c r="M4344" t="s">
        <v>41062</v>
      </c>
      <c r="N4344" t="s">
        <v>44905</v>
      </c>
      <c r="O4344" t="s">
        <v>44906</v>
      </c>
      <c r="P4344">
        <v>0</v>
      </c>
      <c r="Q4344">
        <v>2</v>
      </c>
      <c r="R4344" t="s">
        <v>44908</v>
      </c>
      <c r="S4344" t="s">
        <v>45042</v>
      </c>
      <c r="T4344" t="s">
        <v>46541</v>
      </c>
      <c r="U4344" t="s">
        <v>50483</v>
      </c>
      <c r="W4344" t="s">
        <v>41062</v>
      </c>
      <c r="X4344" t="s">
        <v>44909</v>
      </c>
    </row>
    <row r="4345" spans="1:24">
      <c r="A4345">
        <f>HYPERLINK("https://www.philgeps.gov.ph/GEPSNONPILOT/Tender/SplashBidNoticeAbstractUI.aspx?menuIndex=3&amp;refID=7081011&amp;Result=3","7081011")</f>
        <v>0</v>
      </c>
      <c r="B4345" t="s">
        <v>1504</v>
      </c>
      <c r="C4345" t="s">
        <v>7675</v>
      </c>
      <c r="D4345" t="s">
        <v>18142</v>
      </c>
      <c r="E4345" t="s">
        <v>22080</v>
      </c>
      <c r="F4345" t="s">
        <v>31362</v>
      </c>
      <c r="G4345" t="s">
        <v>31370</v>
      </c>
      <c r="H4345" t="s">
        <v>15799</v>
      </c>
      <c r="I4345" t="s">
        <v>31421</v>
      </c>
      <c r="J4345" t="s">
        <v>34356</v>
      </c>
      <c r="K4345" t="s">
        <v>40661</v>
      </c>
      <c r="M4345" t="s">
        <v>42544</v>
      </c>
      <c r="N4345" t="s">
        <v>44905</v>
      </c>
      <c r="O4345" t="s">
        <v>44906</v>
      </c>
      <c r="P4345">
        <v>0</v>
      </c>
      <c r="Q4345">
        <v>1</v>
      </c>
      <c r="R4345" t="s">
        <v>44908</v>
      </c>
      <c r="S4345" t="s">
        <v>45042</v>
      </c>
      <c r="T4345" t="s">
        <v>46432</v>
      </c>
      <c r="U4345" t="s">
        <v>50484</v>
      </c>
      <c r="W4345" t="s">
        <v>42544</v>
      </c>
      <c r="X4345" t="s">
        <v>44909</v>
      </c>
    </row>
    <row r="4346" spans="1:24">
      <c r="A4346">
        <f>HYPERLINK("https://www.philgeps.gov.ph/GEPSNONPILOT/Tender/SplashBidNoticeAbstractUI.aspx?menuIndex=3&amp;refID=7081001&amp;Result=3","7081001")</f>
        <v>0</v>
      </c>
      <c r="B4346" t="s">
        <v>604</v>
      </c>
      <c r="C4346" t="s">
        <v>7676</v>
      </c>
      <c r="D4346" t="s">
        <v>18122</v>
      </c>
      <c r="E4346" t="s">
        <v>22081</v>
      </c>
      <c r="F4346" t="s">
        <v>31362</v>
      </c>
      <c r="G4346" t="s">
        <v>31373</v>
      </c>
      <c r="H4346" t="s">
        <v>31378</v>
      </c>
      <c r="I4346" t="s">
        <v>31386</v>
      </c>
      <c r="J4346" t="s">
        <v>34357</v>
      </c>
      <c r="K4346" t="s">
        <v>40725</v>
      </c>
      <c r="M4346" t="s">
        <v>41562</v>
      </c>
      <c r="N4346" t="s">
        <v>44905</v>
      </c>
      <c r="O4346" t="s">
        <v>44906</v>
      </c>
      <c r="P4346">
        <v>0</v>
      </c>
      <c r="Q4346">
        <v>3</v>
      </c>
      <c r="R4346" t="s">
        <v>44908</v>
      </c>
      <c r="S4346" t="s">
        <v>45042</v>
      </c>
      <c r="T4346" t="s">
        <v>46449</v>
      </c>
      <c r="U4346" t="s">
        <v>50485</v>
      </c>
      <c r="V4346" t="s">
        <v>59212</v>
      </c>
      <c r="W4346" t="s">
        <v>41562</v>
      </c>
      <c r="X4346" t="s">
        <v>44909</v>
      </c>
    </row>
    <row r="4347" spans="1:24">
      <c r="A4347">
        <f>HYPERLINK("https://www.philgeps.gov.ph/GEPSNONPILOT/Tender/SplashBidNoticeAbstractUI.aspx?menuIndex=3&amp;refID=7081019&amp;Result=3","7081019")</f>
        <v>0</v>
      </c>
      <c r="B4347" t="s">
        <v>967</v>
      </c>
      <c r="C4347" t="s">
        <v>7677</v>
      </c>
      <c r="D4347" t="s">
        <v>18139</v>
      </c>
      <c r="E4347" t="s">
        <v>21536</v>
      </c>
      <c r="F4347" t="s">
        <v>31362</v>
      </c>
      <c r="G4347" t="s">
        <v>31368</v>
      </c>
      <c r="H4347" t="s">
        <v>15799</v>
      </c>
      <c r="I4347" t="s">
        <v>6155</v>
      </c>
      <c r="J4347" t="s">
        <v>34358</v>
      </c>
      <c r="K4347" t="s">
        <v>40666</v>
      </c>
      <c r="M4347" t="s">
        <v>41957</v>
      </c>
      <c r="N4347" t="s">
        <v>44905</v>
      </c>
      <c r="O4347" t="s">
        <v>44906</v>
      </c>
      <c r="P4347">
        <v>0</v>
      </c>
      <c r="Q4347">
        <v>1</v>
      </c>
      <c r="R4347" t="s">
        <v>44908</v>
      </c>
      <c r="S4347" t="s">
        <v>45042</v>
      </c>
      <c r="T4347" t="s">
        <v>46414</v>
      </c>
      <c r="U4347" t="s">
        <v>48987</v>
      </c>
      <c r="W4347" t="s">
        <v>60878</v>
      </c>
      <c r="X4347" t="s">
        <v>44909</v>
      </c>
    </row>
    <row r="4348" spans="1:24">
      <c r="A4348">
        <f>HYPERLINK("https://www.philgeps.gov.ph/GEPSNONPILOT/Tender/SplashBidNoticeAbstractUI.aspx?menuIndex=3&amp;refID=7081007&amp;Result=3","7081007")</f>
        <v>0</v>
      </c>
      <c r="B4348" t="s">
        <v>1505</v>
      </c>
      <c r="C4348" t="s">
        <v>7678</v>
      </c>
      <c r="D4348" t="s">
        <v>18160</v>
      </c>
      <c r="E4348" t="s">
        <v>18952</v>
      </c>
      <c r="F4348" t="s">
        <v>31362</v>
      </c>
      <c r="G4348" t="s">
        <v>31369</v>
      </c>
      <c r="H4348" t="s">
        <v>31378</v>
      </c>
      <c r="I4348" t="s">
        <v>31386</v>
      </c>
      <c r="J4348" t="s">
        <v>31806</v>
      </c>
      <c r="K4348" t="s">
        <v>40670</v>
      </c>
      <c r="M4348" t="s">
        <v>42545</v>
      </c>
      <c r="N4348" t="s">
        <v>44905</v>
      </c>
      <c r="O4348" t="s">
        <v>44906</v>
      </c>
      <c r="P4348">
        <v>0</v>
      </c>
      <c r="Q4348">
        <v>0</v>
      </c>
      <c r="R4348" t="s">
        <v>44908</v>
      </c>
      <c r="S4348" t="s">
        <v>45042</v>
      </c>
      <c r="T4348" t="s">
        <v>46638</v>
      </c>
      <c r="U4348" t="s">
        <v>50486</v>
      </c>
      <c r="W4348" t="s">
        <v>42545</v>
      </c>
      <c r="X4348" t="s">
        <v>44909</v>
      </c>
    </row>
    <row r="4349" spans="1:24">
      <c r="A4349">
        <f>HYPERLINK("https://www.philgeps.gov.ph/GEPSNONPILOT/Tender/SplashBidNoticeAbstractUI.aspx?menuIndex=3&amp;refID=7081043&amp;Result=3","7081043")</f>
        <v>0</v>
      </c>
      <c r="B4349" t="s">
        <v>546</v>
      </c>
      <c r="C4349" t="s">
        <v>7679</v>
      </c>
      <c r="D4349" t="s">
        <v>18133</v>
      </c>
      <c r="E4349" t="s">
        <v>22082</v>
      </c>
      <c r="F4349" t="s">
        <v>31362</v>
      </c>
      <c r="G4349" t="s">
        <v>31368</v>
      </c>
      <c r="H4349" t="s">
        <v>15799</v>
      </c>
      <c r="I4349" t="s">
        <v>31395</v>
      </c>
      <c r="J4349" t="s">
        <v>34359</v>
      </c>
      <c r="K4349" t="s">
        <v>40662</v>
      </c>
      <c r="L4349" t="s">
        <v>546</v>
      </c>
      <c r="M4349" t="s">
        <v>41502</v>
      </c>
      <c r="N4349" t="s">
        <v>44905</v>
      </c>
      <c r="O4349" t="s">
        <v>44906</v>
      </c>
      <c r="P4349">
        <v>0</v>
      </c>
      <c r="Q4349">
        <v>5</v>
      </c>
      <c r="R4349" t="s">
        <v>44908</v>
      </c>
      <c r="S4349" t="s">
        <v>45042</v>
      </c>
      <c r="T4349" t="s">
        <v>46425</v>
      </c>
      <c r="U4349" t="s">
        <v>47974</v>
      </c>
      <c r="W4349" t="s">
        <v>41502</v>
      </c>
      <c r="X4349" t="s">
        <v>44909</v>
      </c>
    </row>
    <row r="4350" spans="1:24">
      <c r="A4350">
        <f>HYPERLINK("https://www.philgeps.gov.ph/GEPSNONPILOT/Tender/SplashBidNoticeAbstractUI.aspx?menuIndex=3&amp;refID=7081017&amp;Result=3","7081017")</f>
        <v>0</v>
      </c>
      <c r="B4350" t="s">
        <v>197</v>
      </c>
      <c r="C4350" t="s">
        <v>7680</v>
      </c>
      <c r="D4350" t="s">
        <v>18134</v>
      </c>
      <c r="E4350" t="s">
        <v>22083</v>
      </c>
      <c r="F4350" t="s">
        <v>31362</v>
      </c>
      <c r="G4350" t="s">
        <v>31368</v>
      </c>
      <c r="H4350" t="s">
        <v>15799</v>
      </c>
      <c r="I4350" t="s">
        <v>31397</v>
      </c>
      <c r="J4350" t="s">
        <v>33736</v>
      </c>
      <c r="K4350" t="s">
        <v>40666</v>
      </c>
      <c r="M4350" t="s">
        <v>41136</v>
      </c>
      <c r="N4350" t="s">
        <v>44905</v>
      </c>
      <c r="O4350" t="s">
        <v>44906</v>
      </c>
      <c r="P4350">
        <v>0</v>
      </c>
      <c r="Q4350">
        <v>1</v>
      </c>
      <c r="R4350" t="s">
        <v>44908</v>
      </c>
      <c r="S4350" t="s">
        <v>45042</v>
      </c>
      <c r="T4350" t="s">
        <v>46425</v>
      </c>
      <c r="U4350" t="s">
        <v>50487</v>
      </c>
      <c r="W4350" t="s">
        <v>41136</v>
      </c>
      <c r="X4350" t="s">
        <v>44909</v>
      </c>
    </row>
    <row r="4351" spans="1:24">
      <c r="A4351">
        <f>HYPERLINK("https://www.philgeps.gov.ph/GEPSNONPILOT/Tender/SplashBidNoticeAbstractUI.aspx?menuIndex=3&amp;refID=7081042&amp;Result=3","7081042")</f>
        <v>0</v>
      </c>
      <c r="B4351" t="s">
        <v>1506</v>
      </c>
      <c r="C4351" t="s">
        <v>7681</v>
      </c>
      <c r="D4351" t="s">
        <v>18110</v>
      </c>
      <c r="E4351" t="s">
        <v>22084</v>
      </c>
      <c r="F4351" t="s">
        <v>31362</v>
      </c>
      <c r="G4351" t="s">
        <v>31368</v>
      </c>
      <c r="H4351" t="s">
        <v>31378</v>
      </c>
      <c r="I4351" t="s">
        <v>31386</v>
      </c>
      <c r="J4351" t="s">
        <v>34360</v>
      </c>
      <c r="K4351" t="s">
        <v>40681</v>
      </c>
      <c r="M4351" t="s">
        <v>42546</v>
      </c>
      <c r="N4351" t="s">
        <v>44905</v>
      </c>
      <c r="O4351" t="s">
        <v>44906</v>
      </c>
      <c r="P4351">
        <v>0</v>
      </c>
      <c r="Q4351">
        <v>0</v>
      </c>
      <c r="R4351" t="s">
        <v>44908</v>
      </c>
      <c r="S4351" t="s">
        <v>45042</v>
      </c>
      <c r="T4351" t="s">
        <v>46454</v>
      </c>
      <c r="U4351" t="s">
        <v>50488</v>
      </c>
      <c r="W4351" t="s">
        <v>42546</v>
      </c>
      <c r="X4351" t="s">
        <v>44909</v>
      </c>
    </row>
    <row r="4352" spans="1:24">
      <c r="A4352">
        <f>HYPERLINK("https://www.philgeps.gov.ph/GEPSNONPILOT/Tender/SplashBidNoticeAbstractUI.aspx?menuIndex=3&amp;refID=7081040&amp;Result=3","7081040")</f>
        <v>0</v>
      </c>
      <c r="B4352" t="s">
        <v>237</v>
      </c>
      <c r="C4352" t="s">
        <v>7682</v>
      </c>
      <c r="D4352" t="s">
        <v>18108</v>
      </c>
      <c r="E4352" t="s">
        <v>22085</v>
      </c>
      <c r="F4352" t="s">
        <v>31362</v>
      </c>
      <c r="G4352" t="s">
        <v>31370</v>
      </c>
      <c r="H4352" t="s">
        <v>15799</v>
      </c>
      <c r="I4352" t="s">
        <v>31380</v>
      </c>
      <c r="J4352" t="s">
        <v>34361</v>
      </c>
      <c r="K4352" t="s">
        <v>40670</v>
      </c>
      <c r="M4352" t="s">
        <v>41330</v>
      </c>
      <c r="N4352" t="s">
        <v>44905</v>
      </c>
      <c r="O4352" t="s">
        <v>44906</v>
      </c>
      <c r="P4352">
        <v>0</v>
      </c>
      <c r="Q4352">
        <v>1</v>
      </c>
      <c r="R4352" t="s">
        <v>44908</v>
      </c>
      <c r="S4352" t="s">
        <v>45042</v>
      </c>
      <c r="T4352" t="s">
        <v>46454</v>
      </c>
      <c r="U4352" t="s">
        <v>50489</v>
      </c>
      <c r="W4352" t="s">
        <v>41330</v>
      </c>
      <c r="X4352" t="s">
        <v>44909</v>
      </c>
    </row>
    <row r="4353" spans="1:24">
      <c r="A4353">
        <f>HYPERLINK("https://www.philgeps.gov.ph/GEPSNONPILOT/Tender/SplashBidNoticeAbstractUI.aspx?menuIndex=3&amp;refID=7081004&amp;Result=3","7081004")</f>
        <v>0</v>
      </c>
      <c r="B4353" t="s">
        <v>585</v>
      </c>
      <c r="C4353" t="s">
        <v>7619</v>
      </c>
      <c r="D4353" t="s">
        <v>18100</v>
      </c>
      <c r="E4353" t="s">
        <v>22086</v>
      </c>
      <c r="F4353" t="s">
        <v>31362</v>
      </c>
      <c r="G4353" t="s">
        <v>31374</v>
      </c>
      <c r="H4353" t="s">
        <v>15799</v>
      </c>
      <c r="I4353" t="s">
        <v>31404</v>
      </c>
      <c r="J4353" t="s">
        <v>34362</v>
      </c>
      <c r="K4353" t="s">
        <v>40662</v>
      </c>
      <c r="M4353" t="s">
        <v>41542</v>
      </c>
      <c r="N4353" t="s">
        <v>44905</v>
      </c>
      <c r="O4353" t="s">
        <v>44906</v>
      </c>
      <c r="P4353">
        <v>0</v>
      </c>
      <c r="Q4353">
        <v>0</v>
      </c>
      <c r="R4353" t="s">
        <v>44908</v>
      </c>
      <c r="S4353" t="s">
        <v>45042</v>
      </c>
      <c r="T4353" t="s">
        <v>46453</v>
      </c>
      <c r="U4353" t="s">
        <v>49538</v>
      </c>
      <c r="W4353" t="s">
        <v>41542</v>
      </c>
      <c r="X4353" t="s">
        <v>44909</v>
      </c>
    </row>
    <row r="4354" spans="1:24">
      <c r="A4354">
        <f>HYPERLINK("https://www.philgeps.gov.ph/GEPSNONPILOT/Tender/SplashBidNoticeAbstractUI.aspx?menuIndex=3&amp;refID=7081039&amp;Result=3","7081039")</f>
        <v>0</v>
      </c>
      <c r="B4354" t="s">
        <v>1217</v>
      </c>
      <c r="C4354" t="s">
        <v>7683</v>
      </c>
      <c r="D4354" t="s">
        <v>18106</v>
      </c>
      <c r="E4354" t="s">
        <v>22087</v>
      </c>
      <c r="F4354" t="s">
        <v>31362</v>
      </c>
      <c r="G4354" t="s">
        <v>31368</v>
      </c>
      <c r="H4354" t="s">
        <v>15799</v>
      </c>
      <c r="I4354" t="s">
        <v>31384</v>
      </c>
      <c r="J4354" t="s">
        <v>34363</v>
      </c>
      <c r="K4354" t="s">
        <v>40665</v>
      </c>
      <c r="M4354" t="s">
        <v>42230</v>
      </c>
      <c r="N4354" t="s">
        <v>44905</v>
      </c>
      <c r="O4354" t="s">
        <v>44906</v>
      </c>
      <c r="P4354">
        <v>0</v>
      </c>
      <c r="Q4354">
        <v>5</v>
      </c>
      <c r="R4354" t="s">
        <v>44908</v>
      </c>
      <c r="S4354" t="s">
        <v>45042</v>
      </c>
      <c r="T4354" t="s">
        <v>46447</v>
      </c>
      <c r="U4354" t="s">
        <v>49589</v>
      </c>
      <c r="V4354" t="s">
        <v>59395</v>
      </c>
      <c r="W4354" t="s">
        <v>42230</v>
      </c>
      <c r="X4354" t="s">
        <v>44909</v>
      </c>
    </row>
    <row r="4355" spans="1:24">
      <c r="A4355">
        <f>HYPERLINK("https://www.philgeps.gov.ph/GEPSNONPILOT/Tender/SplashBidNoticeAbstractUI.aspx?menuIndex=3&amp;refID=7081002&amp;Result=3","7081002")</f>
        <v>0</v>
      </c>
      <c r="B4355" t="s">
        <v>1507</v>
      </c>
      <c r="C4355" t="s">
        <v>7684</v>
      </c>
      <c r="D4355" t="s">
        <v>18113</v>
      </c>
      <c r="E4355" t="s">
        <v>22088</v>
      </c>
      <c r="F4355" t="s">
        <v>31362</v>
      </c>
      <c r="G4355" t="s">
        <v>31369</v>
      </c>
      <c r="H4355" t="s">
        <v>31378</v>
      </c>
      <c r="I4355" t="s">
        <v>31386</v>
      </c>
      <c r="J4355" t="s">
        <v>34364</v>
      </c>
      <c r="K4355" t="s">
        <v>40686</v>
      </c>
      <c r="M4355" t="s">
        <v>42547</v>
      </c>
      <c r="N4355" t="s">
        <v>44905</v>
      </c>
      <c r="O4355" t="s">
        <v>44906</v>
      </c>
      <c r="P4355">
        <v>0</v>
      </c>
      <c r="Q4355">
        <v>0</v>
      </c>
      <c r="R4355" t="s">
        <v>44908</v>
      </c>
      <c r="S4355" t="s">
        <v>45042</v>
      </c>
      <c r="T4355" t="s">
        <v>46607</v>
      </c>
      <c r="U4355" t="s">
        <v>50490</v>
      </c>
      <c r="V4355" t="s">
        <v>59473</v>
      </c>
      <c r="W4355" t="s">
        <v>42547</v>
      </c>
      <c r="X4355" t="s">
        <v>44909</v>
      </c>
    </row>
    <row r="4356" spans="1:24">
      <c r="A4356">
        <f>HYPERLINK("https://www.philgeps.gov.ph/GEPSNONPILOT/Tender/SplashBidNoticeAbstractUI.aspx?menuIndex=3&amp;refID=7081033&amp;Result=3","7081033")</f>
        <v>0</v>
      </c>
      <c r="B4356" t="s">
        <v>1491</v>
      </c>
      <c r="C4356" t="s">
        <v>7685</v>
      </c>
      <c r="D4356" t="s">
        <v>18139</v>
      </c>
      <c r="E4356" t="s">
        <v>22089</v>
      </c>
      <c r="F4356" t="s">
        <v>31362</v>
      </c>
      <c r="G4356" t="s">
        <v>31368</v>
      </c>
      <c r="H4356" t="s">
        <v>15799</v>
      </c>
      <c r="I4356" t="s">
        <v>31395</v>
      </c>
      <c r="J4356" t="s">
        <v>34365</v>
      </c>
      <c r="K4356" t="s">
        <v>40665</v>
      </c>
      <c r="M4356" t="s">
        <v>42528</v>
      </c>
      <c r="N4356" t="s">
        <v>44905</v>
      </c>
      <c r="O4356" t="s">
        <v>44906</v>
      </c>
      <c r="P4356">
        <v>0</v>
      </c>
      <c r="Q4356">
        <v>4</v>
      </c>
      <c r="R4356" t="s">
        <v>44908</v>
      </c>
      <c r="S4356" t="s">
        <v>45042</v>
      </c>
      <c r="T4356" t="s">
        <v>46454</v>
      </c>
      <c r="U4356" t="s">
        <v>50446</v>
      </c>
      <c r="W4356" t="s">
        <v>42528</v>
      </c>
      <c r="X4356" t="s">
        <v>44909</v>
      </c>
    </row>
    <row r="4357" spans="1:24">
      <c r="A4357">
        <f>HYPERLINK("https://www.philgeps.gov.ph/GEPSNONPILOT/Tender/SplashBidNoticeAbstractUI.aspx?menuIndex=3&amp;refID=7081031&amp;Result=3","7081031")</f>
        <v>0</v>
      </c>
      <c r="B4357" t="s">
        <v>1508</v>
      </c>
      <c r="C4357" t="s">
        <v>7686</v>
      </c>
      <c r="D4357" t="s">
        <v>18153</v>
      </c>
      <c r="E4357" t="s">
        <v>22090</v>
      </c>
      <c r="F4357" t="s">
        <v>31362</v>
      </c>
      <c r="G4357" t="s">
        <v>31369</v>
      </c>
      <c r="H4357" t="s">
        <v>31378</v>
      </c>
      <c r="I4357" t="s">
        <v>31386</v>
      </c>
      <c r="J4357" t="s">
        <v>34366</v>
      </c>
      <c r="K4357" t="s">
        <v>40779</v>
      </c>
      <c r="M4357" t="s">
        <v>42548</v>
      </c>
      <c r="N4357" t="s">
        <v>44905</v>
      </c>
      <c r="O4357" t="s">
        <v>44906</v>
      </c>
      <c r="P4357">
        <v>0</v>
      </c>
      <c r="Q4357">
        <v>2</v>
      </c>
      <c r="R4357" t="s">
        <v>44908</v>
      </c>
      <c r="S4357" t="s">
        <v>45042</v>
      </c>
      <c r="T4357" t="s">
        <v>46433</v>
      </c>
      <c r="U4357" t="s">
        <v>50491</v>
      </c>
      <c r="V4357" t="s">
        <v>59474</v>
      </c>
      <c r="W4357" t="s">
        <v>42548</v>
      </c>
      <c r="X4357" t="s">
        <v>44909</v>
      </c>
    </row>
    <row r="4358" spans="1:24">
      <c r="A4358">
        <f>HYPERLINK("https://www.philgeps.gov.ph/GEPSNONPILOT/Tender/SplashBidNoticeAbstractUI.aspx?menuIndex=3&amp;refID=7081030&amp;Result=3","7081030")</f>
        <v>0</v>
      </c>
      <c r="B4358" t="s">
        <v>118</v>
      </c>
      <c r="C4358" t="s">
        <v>7687</v>
      </c>
      <c r="D4358" t="s">
        <v>18142</v>
      </c>
      <c r="E4358" t="s">
        <v>22091</v>
      </c>
      <c r="F4358" t="s">
        <v>31362</v>
      </c>
      <c r="G4358" t="s">
        <v>31369</v>
      </c>
      <c r="H4358" t="s">
        <v>31378</v>
      </c>
      <c r="I4358" t="s">
        <v>31386</v>
      </c>
      <c r="J4358" t="s">
        <v>32239</v>
      </c>
      <c r="K4358" t="s">
        <v>40682</v>
      </c>
      <c r="M4358" t="s">
        <v>41055</v>
      </c>
      <c r="N4358" t="s">
        <v>44905</v>
      </c>
      <c r="O4358" t="s">
        <v>44906</v>
      </c>
      <c r="P4358">
        <v>0</v>
      </c>
      <c r="Q4358">
        <v>0</v>
      </c>
      <c r="R4358" t="s">
        <v>44908</v>
      </c>
      <c r="S4358" t="s">
        <v>45042</v>
      </c>
      <c r="T4358" t="s">
        <v>46493</v>
      </c>
      <c r="U4358" t="s">
        <v>50492</v>
      </c>
      <c r="W4358" t="s">
        <v>41055</v>
      </c>
      <c r="X4358" t="s">
        <v>44909</v>
      </c>
    </row>
    <row r="4359" spans="1:24">
      <c r="A4359">
        <f>HYPERLINK("https://www.philgeps.gov.ph/GEPSNONPILOT/Tender/SplashBidNoticeAbstractUI.aspx?menuIndex=3&amp;refID=7081029&amp;Result=3","7081029")</f>
        <v>0</v>
      </c>
      <c r="B4359" t="s">
        <v>1509</v>
      </c>
      <c r="C4359" t="s">
        <v>7688</v>
      </c>
      <c r="D4359" t="s">
        <v>18143</v>
      </c>
      <c r="E4359" t="s">
        <v>22092</v>
      </c>
      <c r="F4359" t="s">
        <v>31362</v>
      </c>
      <c r="G4359" t="s">
        <v>31369</v>
      </c>
      <c r="H4359" t="s">
        <v>31378</v>
      </c>
      <c r="I4359" t="s">
        <v>31386</v>
      </c>
      <c r="J4359" t="s">
        <v>34367</v>
      </c>
      <c r="K4359" t="s">
        <v>40728</v>
      </c>
      <c r="M4359" t="s">
        <v>42549</v>
      </c>
      <c r="N4359" t="s">
        <v>44905</v>
      </c>
      <c r="O4359" t="s">
        <v>44906</v>
      </c>
      <c r="P4359">
        <v>0</v>
      </c>
      <c r="Q4359">
        <v>0</v>
      </c>
      <c r="R4359" t="s">
        <v>44908</v>
      </c>
      <c r="S4359" t="s">
        <v>45042</v>
      </c>
      <c r="T4359" t="s">
        <v>46433</v>
      </c>
      <c r="U4359" t="s">
        <v>50493</v>
      </c>
      <c r="W4359" t="s">
        <v>42549</v>
      </c>
      <c r="X4359" t="s">
        <v>44909</v>
      </c>
    </row>
    <row r="4360" spans="1:24">
      <c r="A4360">
        <f>HYPERLINK("https://www.philgeps.gov.ph/GEPSNONPILOT/Tender/SplashBidNoticeAbstractUI.aspx?menuIndex=3&amp;refID=7081034&amp;Result=3","7081034")</f>
        <v>0</v>
      </c>
      <c r="B4360" t="s">
        <v>523</v>
      </c>
      <c r="C4360" t="s">
        <v>7689</v>
      </c>
      <c r="D4360" t="s">
        <v>18108</v>
      </c>
      <c r="E4360" t="s">
        <v>22093</v>
      </c>
      <c r="F4360" t="s">
        <v>31362</v>
      </c>
      <c r="G4360" t="s">
        <v>31368</v>
      </c>
      <c r="H4360" t="s">
        <v>15799</v>
      </c>
      <c r="I4360" t="s">
        <v>31380</v>
      </c>
      <c r="J4360" t="s">
        <v>31724</v>
      </c>
      <c r="K4360" t="s">
        <v>40662</v>
      </c>
      <c r="M4360" t="s">
        <v>41479</v>
      </c>
      <c r="N4360" t="s">
        <v>44905</v>
      </c>
      <c r="O4360" t="s">
        <v>44906</v>
      </c>
      <c r="P4360">
        <v>0</v>
      </c>
      <c r="Q4360">
        <v>9</v>
      </c>
      <c r="R4360" t="s">
        <v>44908</v>
      </c>
      <c r="S4360" t="s">
        <v>45042</v>
      </c>
      <c r="T4360" t="s">
        <v>46467</v>
      </c>
      <c r="U4360" t="s">
        <v>47939</v>
      </c>
      <c r="W4360" t="s">
        <v>41479</v>
      </c>
      <c r="X4360" t="s">
        <v>44909</v>
      </c>
    </row>
    <row r="4361" spans="1:24">
      <c r="A4361">
        <f>HYPERLINK("https://www.philgeps.gov.ph/GEPSNONPILOT/Tender/SplashBidNoticeAbstractUI.aspx?menuIndex=3&amp;refID=7081041&amp;Result=3","7081041")</f>
        <v>0</v>
      </c>
      <c r="B4361" t="s">
        <v>440</v>
      </c>
      <c r="C4361" t="s">
        <v>7690</v>
      </c>
      <c r="D4361" t="s">
        <v>18154</v>
      </c>
      <c r="E4361" t="s">
        <v>22094</v>
      </c>
      <c r="F4361" t="s">
        <v>31362</v>
      </c>
      <c r="G4361" t="s">
        <v>31368</v>
      </c>
      <c r="H4361" t="s">
        <v>15799</v>
      </c>
      <c r="I4361" t="s">
        <v>31393</v>
      </c>
      <c r="J4361" t="s">
        <v>31543</v>
      </c>
      <c r="K4361" t="s">
        <v>40662</v>
      </c>
      <c r="M4361" t="s">
        <v>41604</v>
      </c>
      <c r="N4361" t="s">
        <v>44905</v>
      </c>
      <c r="O4361" t="s">
        <v>44906</v>
      </c>
      <c r="P4361">
        <v>0</v>
      </c>
      <c r="Q4361">
        <v>2</v>
      </c>
      <c r="R4361" t="s">
        <v>44908</v>
      </c>
      <c r="S4361" t="s">
        <v>45042</v>
      </c>
      <c r="T4361" t="s">
        <v>46447</v>
      </c>
      <c r="U4361" t="s">
        <v>50494</v>
      </c>
      <c r="W4361" t="s">
        <v>41604</v>
      </c>
      <c r="X4361" t="s">
        <v>44909</v>
      </c>
    </row>
    <row r="4362" spans="1:24">
      <c r="A4362">
        <f>HYPERLINK("https://www.philgeps.gov.ph/GEPSNONPILOT/Tender/SplashBidNoticeAbstractUI.aspx?menuIndex=3&amp;refID=7081024&amp;Result=3","7081024")</f>
        <v>0</v>
      </c>
      <c r="B4362" t="s">
        <v>335</v>
      </c>
      <c r="C4362" t="s">
        <v>7691</v>
      </c>
      <c r="D4362" t="s">
        <v>18108</v>
      </c>
      <c r="E4362" t="s">
        <v>22095</v>
      </c>
      <c r="F4362" t="s">
        <v>31362</v>
      </c>
      <c r="G4362" t="s">
        <v>31371</v>
      </c>
      <c r="H4362" t="s">
        <v>15799</v>
      </c>
      <c r="I4362" t="s">
        <v>31385</v>
      </c>
      <c r="J4362" t="s">
        <v>34368</v>
      </c>
      <c r="K4362" t="s">
        <v>40661</v>
      </c>
      <c r="M4362" t="s">
        <v>42389</v>
      </c>
      <c r="N4362" t="s">
        <v>44905</v>
      </c>
      <c r="O4362" t="s">
        <v>44906</v>
      </c>
      <c r="P4362">
        <v>0</v>
      </c>
      <c r="Q4362">
        <v>1</v>
      </c>
      <c r="R4362" t="s">
        <v>44908</v>
      </c>
      <c r="S4362" t="s">
        <v>45042</v>
      </c>
      <c r="T4362" t="s">
        <v>46447</v>
      </c>
      <c r="U4362" t="s">
        <v>50495</v>
      </c>
      <c r="W4362" t="s">
        <v>42389</v>
      </c>
      <c r="X4362" t="s">
        <v>44909</v>
      </c>
    </row>
    <row r="4363" spans="1:24">
      <c r="A4363">
        <f>HYPERLINK("https://www.philgeps.gov.ph/GEPSNONPILOT/Tender/SplashBidNoticeAbstractUI.aspx?menuIndex=3&amp;refID=7081023&amp;Result=3","7081023")</f>
        <v>0</v>
      </c>
      <c r="B4363" t="s">
        <v>1458</v>
      </c>
      <c r="C4363" t="s">
        <v>7692</v>
      </c>
      <c r="D4363" t="s">
        <v>18108</v>
      </c>
      <c r="E4363" t="s">
        <v>18777</v>
      </c>
      <c r="F4363" t="s">
        <v>31362</v>
      </c>
      <c r="G4363" t="s">
        <v>31369</v>
      </c>
      <c r="H4363" t="s">
        <v>15799</v>
      </c>
      <c r="I4363" t="s">
        <v>31399</v>
      </c>
      <c r="J4363" t="s">
        <v>31634</v>
      </c>
      <c r="K4363" t="s">
        <v>40686</v>
      </c>
      <c r="M4363" t="s">
        <v>42489</v>
      </c>
      <c r="N4363" t="s">
        <v>44905</v>
      </c>
      <c r="O4363" t="s">
        <v>44906</v>
      </c>
      <c r="P4363">
        <v>0</v>
      </c>
      <c r="Q4363">
        <v>4</v>
      </c>
      <c r="R4363" t="s">
        <v>44908</v>
      </c>
      <c r="S4363" t="s">
        <v>45042</v>
      </c>
      <c r="T4363" t="s">
        <v>46679</v>
      </c>
      <c r="U4363" t="s">
        <v>50442</v>
      </c>
      <c r="W4363" t="s">
        <v>42489</v>
      </c>
      <c r="X4363" t="s">
        <v>44909</v>
      </c>
    </row>
    <row r="4364" spans="1:24">
      <c r="A4364">
        <f>HYPERLINK("https://www.philgeps.gov.ph/GEPSNONPILOT/Tender/SplashBidNoticeAbstractUI.aspx?menuIndex=3&amp;refID=7081022&amp;Result=3","7081022")</f>
        <v>0</v>
      </c>
      <c r="B4364" t="s">
        <v>130</v>
      </c>
      <c r="C4364" t="s">
        <v>7693</v>
      </c>
      <c r="D4364" t="s">
        <v>18109</v>
      </c>
      <c r="E4364" t="s">
        <v>22096</v>
      </c>
      <c r="F4364" t="s">
        <v>31362</v>
      </c>
      <c r="G4364" t="s">
        <v>31368</v>
      </c>
      <c r="H4364" t="s">
        <v>15799</v>
      </c>
      <c r="I4364" t="s">
        <v>31384</v>
      </c>
      <c r="J4364" t="s">
        <v>34369</v>
      </c>
      <c r="K4364" t="s">
        <v>40662</v>
      </c>
      <c r="M4364" t="s">
        <v>41067</v>
      </c>
      <c r="N4364" t="s">
        <v>44905</v>
      </c>
      <c r="O4364" t="s">
        <v>44906</v>
      </c>
      <c r="P4364">
        <v>0</v>
      </c>
      <c r="Q4364">
        <v>7</v>
      </c>
      <c r="R4364" t="s">
        <v>44908</v>
      </c>
      <c r="S4364" t="s">
        <v>45042</v>
      </c>
      <c r="T4364" t="s">
        <v>46394</v>
      </c>
      <c r="U4364" t="s">
        <v>50496</v>
      </c>
      <c r="W4364" t="s">
        <v>41067</v>
      </c>
      <c r="X4364" t="s">
        <v>44909</v>
      </c>
    </row>
    <row r="4365" spans="1:24">
      <c r="A4365">
        <f>HYPERLINK("https://www.philgeps.gov.ph/GEPSNONPILOT/Tender/SplashBidNoticeAbstractUI.aspx?menuIndex=3&amp;refID=7081021&amp;Result=3","7081021")</f>
        <v>0</v>
      </c>
      <c r="B4365" t="s">
        <v>809</v>
      </c>
      <c r="C4365" t="s">
        <v>7694</v>
      </c>
      <c r="D4365" t="s">
        <v>18116</v>
      </c>
      <c r="E4365" t="s">
        <v>22097</v>
      </c>
      <c r="F4365" t="s">
        <v>31362</v>
      </c>
      <c r="G4365" t="s">
        <v>31370</v>
      </c>
      <c r="H4365" t="s">
        <v>15799</v>
      </c>
      <c r="I4365" t="s">
        <v>31385</v>
      </c>
      <c r="J4365" t="s">
        <v>31921</v>
      </c>
      <c r="K4365" t="s">
        <v>40662</v>
      </c>
      <c r="M4365" t="s">
        <v>41780</v>
      </c>
      <c r="N4365" t="s">
        <v>44905</v>
      </c>
      <c r="O4365" t="s">
        <v>44906</v>
      </c>
      <c r="P4365">
        <v>0</v>
      </c>
      <c r="Q4365">
        <v>0</v>
      </c>
      <c r="R4365" t="s">
        <v>44908</v>
      </c>
      <c r="S4365" t="s">
        <v>45042</v>
      </c>
      <c r="T4365" t="s">
        <v>46409</v>
      </c>
      <c r="U4365" t="s">
        <v>50497</v>
      </c>
      <c r="W4365" t="s">
        <v>41780</v>
      </c>
      <c r="X4365" t="s">
        <v>44909</v>
      </c>
    </row>
    <row r="4366" spans="1:24">
      <c r="A4366">
        <f>HYPERLINK("https://www.philgeps.gov.ph/GEPSNONPILOT/Tender/SplashBidNoticeAbstractUI.aspx?menuIndex=3&amp;refID=7081020&amp;Result=3","7081020")</f>
        <v>0</v>
      </c>
      <c r="B4366" t="s">
        <v>1495</v>
      </c>
      <c r="C4366" t="s">
        <v>7695</v>
      </c>
      <c r="D4366" t="s">
        <v>18133</v>
      </c>
      <c r="E4366" t="s">
        <v>22098</v>
      </c>
      <c r="F4366" t="s">
        <v>31362</v>
      </c>
      <c r="G4366" t="s">
        <v>31368</v>
      </c>
      <c r="H4366" t="s">
        <v>15799</v>
      </c>
      <c r="I4366" t="s">
        <v>7188</v>
      </c>
      <c r="J4366" t="s">
        <v>33467</v>
      </c>
      <c r="K4366" t="s">
        <v>40661</v>
      </c>
      <c r="M4366" t="s">
        <v>42532</v>
      </c>
      <c r="N4366" t="s">
        <v>44905</v>
      </c>
      <c r="O4366" t="s">
        <v>44906</v>
      </c>
      <c r="P4366">
        <v>0</v>
      </c>
      <c r="Q4366">
        <v>4</v>
      </c>
      <c r="R4366" t="s">
        <v>44908</v>
      </c>
      <c r="S4366" t="s">
        <v>45042</v>
      </c>
      <c r="T4366" t="s">
        <v>46678</v>
      </c>
      <c r="U4366" t="s">
        <v>46940</v>
      </c>
      <c r="W4366" t="s">
        <v>42532</v>
      </c>
      <c r="X4366" t="s">
        <v>44909</v>
      </c>
    </row>
    <row r="4367" spans="1:24">
      <c r="A4367">
        <f>HYPERLINK("https://www.philgeps.gov.ph/GEPSNONPILOT/Tender/SplashBidNoticeAbstractUI.aspx?menuIndex=3&amp;refID=7081000&amp;Result=3","7081000")</f>
        <v>0</v>
      </c>
      <c r="B4367" t="s">
        <v>1445</v>
      </c>
      <c r="C4367" t="s">
        <v>7696</v>
      </c>
      <c r="D4367" t="s">
        <v>18107</v>
      </c>
      <c r="E4367" t="s">
        <v>22099</v>
      </c>
      <c r="F4367" t="s">
        <v>31362</v>
      </c>
      <c r="G4367" t="s">
        <v>31368</v>
      </c>
      <c r="H4367" t="s">
        <v>15799</v>
      </c>
      <c r="I4367" t="s">
        <v>7090</v>
      </c>
      <c r="J4367" t="s">
        <v>31536</v>
      </c>
      <c r="K4367" t="s">
        <v>40666</v>
      </c>
      <c r="M4367" t="s">
        <v>42474</v>
      </c>
      <c r="N4367" t="s">
        <v>44905</v>
      </c>
      <c r="O4367" t="s">
        <v>44906</v>
      </c>
      <c r="P4367">
        <v>0</v>
      </c>
      <c r="Q4367">
        <v>0</v>
      </c>
      <c r="R4367" t="s">
        <v>44908</v>
      </c>
      <c r="S4367" t="s">
        <v>45042</v>
      </c>
      <c r="T4367" t="s">
        <v>46432</v>
      </c>
      <c r="U4367" t="s">
        <v>50498</v>
      </c>
      <c r="W4367" t="s">
        <v>42474</v>
      </c>
      <c r="X4367" t="s">
        <v>44909</v>
      </c>
    </row>
    <row r="4368" spans="1:24">
      <c r="A4368">
        <f>HYPERLINK("https://www.philgeps.gov.ph/GEPSNONPILOT/Tender/SplashBidNoticeAbstractUI.aspx?menuIndex=3&amp;refID=7081028&amp;Result=3","7081028")</f>
        <v>0</v>
      </c>
      <c r="B4368" t="s">
        <v>1161</v>
      </c>
      <c r="C4368" t="s">
        <v>7697</v>
      </c>
      <c r="E4368" t="s">
        <v>22100</v>
      </c>
      <c r="F4368" t="s">
        <v>31362</v>
      </c>
      <c r="G4368" t="s">
        <v>31368</v>
      </c>
      <c r="H4368" t="s">
        <v>15799</v>
      </c>
      <c r="I4368" t="s">
        <v>3582</v>
      </c>
      <c r="J4368" t="s">
        <v>34370</v>
      </c>
      <c r="K4368" t="s">
        <v>40662</v>
      </c>
      <c r="M4368" t="s">
        <v>42550</v>
      </c>
      <c r="N4368" t="s">
        <v>44905</v>
      </c>
      <c r="O4368" t="s">
        <v>44906</v>
      </c>
      <c r="P4368">
        <v>0</v>
      </c>
      <c r="Q4368">
        <v>1</v>
      </c>
      <c r="R4368" t="s">
        <v>44908</v>
      </c>
      <c r="S4368" t="s">
        <v>45042</v>
      </c>
      <c r="T4368" t="s">
        <v>46509</v>
      </c>
      <c r="U4368" t="s">
        <v>50499</v>
      </c>
      <c r="W4368" t="s">
        <v>42550</v>
      </c>
      <c r="X4368" t="s">
        <v>44909</v>
      </c>
    </row>
    <row r="4369" spans="1:24">
      <c r="A4369">
        <f>HYPERLINK("https://www.philgeps.gov.ph/GEPSNONPILOT/Tender/SplashBidNoticeAbstractUI.aspx?menuIndex=3&amp;refID=7080976&amp;Result=3","7080976")</f>
        <v>0</v>
      </c>
      <c r="B4369" t="s">
        <v>313</v>
      </c>
      <c r="C4369" t="s">
        <v>7698</v>
      </c>
      <c r="D4369" t="s">
        <v>18111</v>
      </c>
      <c r="E4369" t="s">
        <v>22101</v>
      </c>
      <c r="F4369" t="s">
        <v>31362</v>
      </c>
      <c r="G4369" t="s">
        <v>31369</v>
      </c>
      <c r="H4369" t="s">
        <v>15799</v>
      </c>
      <c r="I4369" t="s">
        <v>7090</v>
      </c>
      <c r="J4369" t="s">
        <v>34371</v>
      </c>
      <c r="K4369" t="s">
        <v>40670</v>
      </c>
      <c r="M4369" t="s">
        <v>41258</v>
      </c>
      <c r="N4369" t="s">
        <v>44905</v>
      </c>
      <c r="O4369" t="s">
        <v>44906</v>
      </c>
      <c r="P4369">
        <v>0</v>
      </c>
      <c r="Q4369">
        <v>6</v>
      </c>
      <c r="R4369" t="s">
        <v>44908</v>
      </c>
      <c r="S4369" t="s">
        <v>45042</v>
      </c>
      <c r="T4369" t="s">
        <v>46458</v>
      </c>
      <c r="U4369" t="s">
        <v>50500</v>
      </c>
      <c r="W4369" t="s">
        <v>41258</v>
      </c>
      <c r="X4369" t="s">
        <v>44909</v>
      </c>
    </row>
    <row r="4370" spans="1:24">
      <c r="A4370">
        <f>HYPERLINK("https://www.philgeps.gov.ph/GEPSNONPILOT/Tender/SplashBidNoticeAbstractUI.aspx?menuIndex=3&amp;refID=7080997&amp;Result=3","7080997")</f>
        <v>0</v>
      </c>
      <c r="B4370" t="s">
        <v>1495</v>
      </c>
      <c r="C4370" t="s">
        <v>7699</v>
      </c>
      <c r="D4370" t="s">
        <v>18133</v>
      </c>
      <c r="E4370" t="s">
        <v>22102</v>
      </c>
      <c r="F4370" t="s">
        <v>31362</v>
      </c>
      <c r="G4370" t="s">
        <v>31368</v>
      </c>
      <c r="H4370" t="s">
        <v>15799</v>
      </c>
      <c r="I4370" t="s">
        <v>7090</v>
      </c>
      <c r="J4370" t="s">
        <v>31897</v>
      </c>
      <c r="K4370" t="s">
        <v>40661</v>
      </c>
      <c r="M4370" t="s">
        <v>42532</v>
      </c>
      <c r="N4370" t="s">
        <v>44905</v>
      </c>
      <c r="O4370" t="s">
        <v>44906</v>
      </c>
      <c r="P4370">
        <v>0</v>
      </c>
      <c r="Q4370">
        <v>0</v>
      </c>
      <c r="R4370" t="s">
        <v>44908</v>
      </c>
      <c r="S4370" t="s">
        <v>45042</v>
      </c>
      <c r="T4370" t="s">
        <v>46678</v>
      </c>
      <c r="U4370" t="s">
        <v>46940</v>
      </c>
      <c r="W4370" t="s">
        <v>42532</v>
      </c>
      <c r="X4370" t="s">
        <v>44909</v>
      </c>
    </row>
    <row r="4371" spans="1:24">
      <c r="A4371">
        <f>HYPERLINK("https://www.philgeps.gov.ph/GEPSNONPILOT/Tender/SplashBidNoticeAbstractUI.aspx?menuIndex=3&amp;refID=7080975&amp;Result=3","7080975")</f>
        <v>0</v>
      </c>
      <c r="B4371" t="s">
        <v>663</v>
      </c>
      <c r="C4371" t="s">
        <v>7700</v>
      </c>
      <c r="D4371" t="s">
        <v>18103</v>
      </c>
      <c r="E4371" t="s">
        <v>22103</v>
      </c>
      <c r="F4371" t="s">
        <v>31362</v>
      </c>
      <c r="G4371" t="s">
        <v>31370</v>
      </c>
      <c r="H4371" t="s">
        <v>31378</v>
      </c>
      <c r="I4371" t="s">
        <v>31409</v>
      </c>
      <c r="J4371" t="s">
        <v>34358</v>
      </c>
      <c r="K4371" t="s">
        <v>40661</v>
      </c>
      <c r="M4371" t="s">
        <v>41625</v>
      </c>
      <c r="N4371" t="s">
        <v>44905</v>
      </c>
      <c r="O4371" t="s">
        <v>44906</v>
      </c>
      <c r="P4371">
        <v>0</v>
      </c>
      <c r="Q4371">
        <v>0</v>
      </c>
      <c r="R4371" t="s">
        <v>44908</v>
      </c>
      <c r="S4371" t="s">
        <v>45042</v>
      </c>
      <c r="T4371" t="s">
        <v>46560</v>
      </c>
      <c r="U4371" t="s">
        <v>50501</v>
      </c>
      <c r="W4371" t="s">
        <v>41625</v>
      </c>
      <c r="X4371" t="s">
        <v>44909</v>
      </c>
    </row>
    <row r="4372" spans="1:24">
      <c r="A4372">
        <f>HYPERLINK("https://www.philgeps.gov.ph/GEPSNONPILOT/Tender/SplashBidNoticeAbstractUI.aspx?menuIndex=3&amp;refID=7081027&amp;Result=3","7081027")</f>
        <v>0</v>
      </c>
      <c r="B4372" t="s">
        <v>604</v>
      </c>
      <c r="C4372" t="s">
        <v>7701</v>
      </c>
      <c r="D4372" t="s">
        <v>18122</v>
      </c>
      <c r="E4372" t="s">
        <v>22104</v>
      </c>
      <c r="F4372" t="s">
        <v>31362</v>
      </c>
      <c r="G4372" t="s">
        <v>31373</v>
      </c>
      <c r="H4372" t="s">
        <v>31378</v>
      </c>
      <c r="I4372" t="s">
        <v>31386</v>
      </c>
      <c r="J4372" t="s">
        <v>34372</v>
      </c>
      <c r="K4372" t="s">
        <v>40725</v>
      </c>
      <c r="M4372" t="s">
        <v>41562</v>
      </c>
      <c r="N4372" t="s">
        <v>44905</v>
      </c>
      <c r="O4372" t="s">
        <v>44906</v>
      </c>
      <c r="P4372">
        <v>0</v>
      </c>
      <c r="Q4372">
        <v>3</v>
      </c>
      <c r="R4372" t="s">
        <v>44908</v>
      </c>
      <c r="S4372" t="s">
        <v>45042</v>
      </c>
      <c r="T4372" t="s">
        <v>46449</v>
      </c>
      <c r="U4372" t="s">
        <v>50502</v>
      </c>
      <c r="V4372" t="s">
        <v>59212</v>
      </c>
      <c r="W4372" t="s">
        <v>41562</v>
      </c>
      <c r="X4372" t="s">
        <v>44909</v>
      </c>
    </row>
    <row r="4373" spans="1:24">
      <c r="A4373">
        <f>HYPERLINK("https://www.philgeps.gov.ph/GEPSNONPILOT/Tender/SplashBidNoticeAbstractUI.aspx?menuIndex=3&amp;refID=7080970&amp;Result=3","7080970")</f>
        <v>0</v>
      </c>
      <c r="B4373" t="s">
        <v>125</v>
      </c>
      <c r="C4373" t="s">
        <v>7702</v>
      </c>
      <c r="D4373" t="s">
        <v>18104</v>
      </c>
      <c r="E4373" t="s">
        <v>22105</v>
      </c>
      <c r="F4373" t="s">
        <v>31362</v>
      </c>
      <c r="G4373" t="s">
        <v>31369</v>
      </c>
      <c r="H4373" t="s">
        <v>15799</v>
      </c>
      <c r="I4373" t="s">
        <v>4942</v>
      </c>
      <c r="J4373" t="s">
        <v>34373</v>
      </c>
      <c r="K4373" t="s">
        <v>40675</v>
      </c>
      <c r="M4373" t="s">
        <v>41062</v>
      </c>
      <c r="N4373" t="s">
        <v>44905</v>
      </c>
      <c r="O4373" t="s">
        <v>44906</v>
      </c>
      <c r="P4373">
        <v>0</v>
      </c>
      <c r="Q4373">
        <v>0</v>
      </c>
      <c r="R4373" t="s">
        <v>44908</v>
      </c>
      <c r="S4373" t="s">
        <v>45042</v>
      </c>
      <c r="T4373" t="s">
        <v>46541</v>
      </c>
      <c r="U4373" t="s">
        <v>50503</v>
      </c>
      <c r="W4373" t="s">
        <v>41062</v>
      </c>
      <c r="X4373" t="s">
        <v>44909</v>
      </c>
    </row>
    <row r="4374" spans="1:24">
      <c r="A4374">
        <f>HYPERLINK("https://www.philgeps.gov.ph/GEPSNONPILOT/Tender/SplashBidNoticeAbstractUI.aspx?menuIndex=3&amp;refID=7079708&amp;Result=3","7079708")</f>
        <v>0</v>
      </c>
      <c r="B4374" t="s">
        <v>1510</v>
      </c>
      <c r="C4374" t="s">
        <v>7703</v>
      </c>
      <c r="D4374" t="s">
        <v>18140</v>
      </c>
      <c r="E4374" t="s">
        <v>22106</v>
      </c>
      <c r="F4374" t="s">
        <v>31362</v>
      </c>
      <c r="G4374" t="s">
        <v>31368</v>
      </c>
      <c r="H4374" t="s">
        <v>15799</v>
      </c>
      <c r="I4374" t="s">
        <v>31387</v>
      </c>
      <c r="J4374" t="s">
        <v>34374</v>
      </c>
      <c r="K4374" t="s">
        <v>40666</v>
      </c>
      <c r="M4374" t="s">
        <v>42551</v>
      </c>
      <c r="N4374" t="s">
        <v>44905</v>
      </c>
      <c r="O4374" t="s">
        <v>44906</v>
      </c>
      <c r="P4374">
        <v>0</v>
      </c>
      <c r="Q4374">
        <v>0</v>
      </c>
      <c r="R4374" t="s">
        <v>44908</v>
      </c>
      <c r="S4374" t="s">
        <v>45042</v>
      </c>
      <c r="T4374" t="s">
        <v>46432</v>
      </c>
      <c r="U4374" t="s">
        <v>50504</v>
      </c>
      <c r="V4374" t="s">
        <v>59475</v>
      </c>
      <c r="W4374" t="s">
        <v>42551</v>
      </c>
      <c r="X4374" t="s">
        <v>44909</v>
      </c>
    </row>
    <row r="4375" spans="1:24">
      <c r="A4375">
        <f>HYPERLINK("https://www.philgeps.gov.ph/GEPSNONPILOT/Tender/SplashBidNoticeAbstractUI.aspx?menuIndex=3&amp;refID=7081036&amp;Result=3","7081036")</f>
        <v>0</v>
      </c>
      <c r="B4375" t="s">
        <v>1202</v>
      </c>
      <c r="C4375" t="s">
        <v>7704</v>
      </c>
      <c r="D4375" t="s">
        <v>18164</v>
      </c>
      <c r="E4375" t="s">
        <v>22107</v>
      </c>
      <c r="F4375" t="s">
        <v>31362</v>
      </c>
      <c r="G4375" t="s">
        <v>31369</v>
      </c>
      <c r="H4375" t="s">
        <v>15799</v>
      </c>
      <c r="I4375" t="s">
        <v>3815</v>
      </c>
      <c r="J4375" t="s">
        <v>34375</v>
      </c>
      <c r="K4375" t="s">
        <v>40672</v>
      </c>
      <c r="L4375" t="s">
        <v>1202</v>
      </c>
      <c r="M4375" t="s">
        <v>42214</v>
      </c>
      <c r="N4375" t="s">
        <v>44905</v>
      </c>
      <c r="O4375" t="s">
        <v>44906</v>
      </c>
      <c r="P4375">
        <v>0</v>
      </c>
      <c r="Q4375">
        <v>0</v>
      </c>
      <c r="R4375" t="s">
        <v>44908</v>
      </c>
      <c r="S4375" t="s">
        <v>45042</v>
      </c>
      <c r="T4375" t="s">
        <v>46426</v>
      </c>
      <c r="U4375" t="s">
        <v>50505</v>
      </c>
      <c r="W4375" t="s">
        <v>42214</v>
      </c>
      <c r="X4375" t="s">
        <v>44909</v>
      </c>
    </row>
    <row r="4376" spans="1:24">
      <c r="A4376">
        <f>HYPERLINK("https://www.philgeps.gov.ph/GEPSNONPILOT/Tender/SplashBidNoticeAbstractUI.aspx?menuIndex=3&amp;refID=7079678&amp;Result=3","7079678")</f>
        <v>0</v>
      </c>
      <c r="B4376" t="s">
        <v>1511</v>
      </c>
      <c r="C4376" t="s">
        <v>7705</v>
      </c>
      <c r="D4376" t="s">
        <v>18145</v>
      </c>
      <c r="E4376" t="s">
        <v>22108</v>
      </c>
      <c r="F4376" t="s">
        <v>31362</v>
      </c>
      <c r="G4376" t="s">
        <v>31369</v>
      </c>
      <c r="H4376" t="s">
        <v>15799</v>
      </c>
      <c r="I4376" t="s">
        <v>31399</v>
      </c>
      <c r="J4376" t="s">
        <v>34376</v>
      </c>
      <c r="K4376" t="s">
        <v>40677</v>
      </c>
      <c r="M4376" t="s">
        <v>42552</v>
      </c>
      <c r="N4376" t="s">
        <v>44905</v>
      </c>
      <c r="O4376" t="s">
        <v>44906</v>
      </c>
      <c r="P4376">
        <v>0</v>
      </c>
      <c r="Q4376">
        <v>0</v>
      </c>
      <c r="R4376" t="s">
        <v>44908</v>
      </c>
      <c r="S4376" t="s">
        <v>45042</v>
      </c>
      <c r="T4376" t="s">
        <v>46427</v>
      </c>
      <c r="U4376" t="s">
        <v>50506</v>
      </c>
      <c r="W4376" t="s">
        <v>42552</v>
      </c>
      <c r="X4376" t="s">
        <v>44909</v>
      </c>
    </row>
    <row r="4377" spans="1:24">
      <c r="A4377">
        <f>HYPERLINK("https://www.philgeps.gov.ph/GEPSNONPILOT/Tender/SplashBidNoticeAbstractUI.aspx?menuIndex=3&amp;refID=7079677&amp;Result=3","7079677")</f>
        <v>0</v>
      </c>
      <c r="B4377" t="s">
        <v>1217</v>
      </c>
      <c r="C4377" t="s">
        <v>7706</v>
      </c>
      <c r="D4377" t="s">
        <v>18106</v>
      </c>
      <c r="E4377" t="s">
        <v>22109</v>
      </c>
      <c r="F4377" t="s">
        <v>31362</v>
      </c>
      <c r="G4377" t="s">
        <v>31368</v>
      </c>
      <c r="H4377" t="s">
        <v>15799</v>
      </c>
      <c r="I4377" t="s">
        <v>7090</v>
      </c>
      <c r="J4377" t="s">
        <v>34377</v>
      </c>
      <c r="K4377" t="s">
        <v>40665</v>
      </c>
      <c r="M4377" t="s">
        <v>42230</v>
      </c>
      <c r="N4377" t="s">
        <v>44905</v>
      </c>
      <c r="O4377" t="s">
        <v>44906</v>
      </c>
      <c r="P4377">
        <v>0</v>
      </c>
      <c r="Q4377">
        <v>2</v>
      </c>
      <c r="R4377" t="s">
        <v>44908</v>
      </c>
      <c r="S4377" t="s">
        <v>45042</v>
      </c>
      <c r="T4377" t="s">
        <v>46447</v>
      </c>
      <c r="U4377" t="s">
        <v>49589</v>
      </c>
      <c r="V4377" t="s">
        <v>59395</v>
      </c>
      <c r="W4377" t="s">
        <v>42230</v>
      </c>
      <c r="X4377" t="s">
        <v>44909</v>
      </c>
    </row>
    <row r="4378" spans="1:24">
      <c r="A4378">
        <f>HYPERLINK("https://www.philgeps.gov.ph/GEPSNONPILOT/Tender/SplashBidNoticeAbstractUI.aspx?menuIndex=3&amp;refID=7080972&amp;Result=3","7080972")</f>
        <v>0</v>
      </c>
      <c r="B4378" t="s">
        <v>546</v>
      </c>
      <c r="C4378" t="s">
        <v>7707</v>
      </c>
      <c r="D4378" t="s">
        <v>18133</v>
      </c>
      <c r="E4378" t="s">
        <v>22110</v>
      </c>
      <c r="F4378" t="s">
        <v>31362</v>
      </c>
      <c r="G4378" t="s">
        <v>31370</v>
      </c>
      <c r="H4378" t="s">
        <v>15799</v>
      </c>
      <c r="I4378" t="s">
        <v>7090</v>
      </c>
      <c r="J4378" t="s">
        <v>34378</v>
      </c>
      <c r="K4378" t="s">
        <v>40662</v>
      </c>
      <c r="L4378" t="s">
        <v>546</v>
      </c>
      <c r="M4378" t="s">
        <v>41502</v>
      </c>
      <c r="N4378" t="s">
        <v>44905</v>
      </c>
      <c r="O4378" t="s">
        <v>44906</v>
      </c>
      <c r="P4378">
        <v>0</v>
      </c>
      <c r="Q4378">
        <v>3</v>
      </c>
      <c r="R4378" t="s">
        <v>44908</v>
      </c>
      <c r="S4378" t="s">
        <v>45042</v>
      </c>
      <c r="T4378" t="s">
        <v>46425</v>
      </c>
      <c r="U4378" t="s">
        <v>47974</v>
      </c>
      <c r="W4378" t="s">
        <v>41502</v>
      </c>
      <c r="X4378" t="s">
        <v>44909</v>
      </c>
    </row>
    <row r="4379" spans="1:24">
      <c r="A4379">
        <f>HYPERLINK("https://www.philgeps.gov.ph/GEPSNONPILOT/Tender/SplashBidNoticeAbstractUI.aspx?menuIndex=3&amp;refID=7081058&amp;Result=3","7081058")</f>
        <v>0</v>
      </c>
      <c r="B4379" t="s">
        <v>1263</v>
      </c>
      <c r="C4379" t="s">
        <v>7708</v>
      </c>
      <c r="D4379" t="s">
        <v>18106</v>
      </c>
      <c r="E4379" t="s">
        <v>21229</v>
      </c>
      <c r="F4379" t="s">
        <v>31362</v>
      </c>
      <c r="G4379" t="s">
        <v>31368</v>
      </c>
      <c r="H4379" t="s">
        <v>15799</v>
      </c>
      <c r="I4379" t="s">
        <v>31467</v>
      </c>
      <c r="J4379" t="s">
        <v>32268</v>
      </c>
      <c r="K4379" t="s">
        <v>40661</v>
      </c>
      <c r="M4379" t="s">
        <v>42280</v>
      </c>
      <c r="N4379" t="s">
        <v>44905</v>
      </c>
      <c r="O4379" t="s">
        <v>44906</v>
      </c>
      <c r="P4379">
        <v>0</v>
      </c>
      <c r="Q4379">
        <v>2</v>
      </c>
      <c r="R4379" t="s">
        <v>44908</v>
      </c>
      <c r="S4379" t="s">
        <v>45042</v>
      </c>
      <c r="T4379" t="s">
        <v>46412</v>
      </c>
      <c r="U4379" t="s">
        <v>50507</v>
      </c>
      <c r="W4379" t="s">
        <v>42280</v>
      </c>
      <c r="X4379" t="s">
        <v>44909</v>
      </c>
    </row>
    <row r="4380" spans="1:24">
      <c r="A4380">
        <f>HYPERLINK("https://www.philgeps.gov.ph/GEPSNONPILOT/Tender/SplashBidNoticeAbstractUI.aspx?menuIndex=3&amp;refID=7081045&amp;Result=3","7081045")</f>
        <v>0</v>
      </c>
      <c r="B4380" t="s">
        <v>1498</v>
      </c>
      <c r="C4380" t="s">
        <v>7709</v>
      </c>
      <c r="D4380" t="s">
        <v>18160</v>
      </c>
      <c r="E4380" t="s">
        <v>19186</v>
      </c>
      <c r="F4380" t="s">
        <v>31362</v>
      </c>
      <c r="G4380" t="s">
        <v>31369</v>
      </c>
      <c r="H4380" t="s">
        <v>31378</v>
      </c>
      <c r="I4380" t="s">
        <v>31386</v>
      </c>
      <c r="J4380" t="s">
        <v>31542</v>
      </c>
      <c r="K4380" t="s">
        <v>40711</v>
      </c>
      <c r="M4380" t="s">
        <v>42535</v>
      </c>
      <c r="N4380" t="s">
        <v>44905</v>
      </c>
      <c r="O4380" t="s">
        <v>44906</v>
      </c>
      <c r="P4380">
        <v>0</v>
      </c>
      <c r="Q4380">
        <v>0</v>
      </c>
      <c r="R4380" t="s">
        <v>44908</v>
      </c>
      <c r="S4380" t="s">
        <v>45042</v>
      </c>
      <c r="T4380" t="s">
        <v>46680</v>
      </c>
      <c r="U4380" t="s">
        <v>50462</v>
      </c>
      <c r="V4380" t="s">
        <v>59476</v>
      </c>
      <c r="W4380" t="s">
        <v>42535</v>
      </c>
      <c r="X4380" t="s">
        <v>44909</v>
      </c>
    </row>
    <row r="4381" spans="1:24">
      <c r="A4381">
        <f>HYPERLINK("https://www.philgeps.gov.ph/GEPSNONPILOT/Tender/SplashBidNoticeAbstractUI.aspx?menuIndex=3&amp;refID=7081057&amp;Result=3","7081057")</f>
        <v>0</v>
      </c>
      <c r="B4381" t="s">
        <v>1512</v>
      </c>
      <c r="C4381" t="s">
        <v>7710</v>
      </c>
      <c r="D4381" t="s">
        <v>18143</v>
      </c>
      <c r="E4381" t="s">
        <v>18548</v>
      </c>
      <c r="F4381" t="s">
        <v>31362</v>
      </c>
      <c r="G4381" t="s">
        <v>31369</v>
      </c>
      <c r="H4381" t="s">
        <v>15799</v>
      </c>
      <c r="I4381" t="s">
        <v>3815</v>
      </c>
      <c r="J4381" t="s">
        <v>34379</v>
      </c>
      <c r="K4381" t="s">
        <v>40661</v>
      </c>
      <c r="M4381" t="s">
        <v>42553</v>
      </c>
      <c r="N4381" t="s">
        <v>44905</v>
      </c>
      <c r="O4381" t="s">
        <v>44906</v>
      </c>
      <c r="P4381">
        <v>0</v>
      </c>
      <c r="Q4381">
        <v>0</v>
      </c>
      <c r="R4381" t="s">
        <v>44908</v>
      </c>
      <c r="S4381" t="s">
        <v>45042</v>
      </c>
      <c r="T4381" t="s">
        <v>46483</v>
      </c>
      <c r="U4381" t="s">
        <v>50508</v>
      </c>
      <c r="W4381" t="s">
        <v>42553</v>
      </c>
      <c r="X4381" t="s">
        <v>44909</v>
      </c>
    </row>
    <row r="4382" spans="1:24">
      <c r="A4382">
        <f>HYPERLINK("https://www.philgeps.gov.ph/GEPSNONPILOT/Tender/SplashBidNoticeAbstractUI.aspx?menuIndex=3&amp;refID=7081055&amp;Result=3","7081055")</f>
        <v>0</v>
      </c>
      <c r="B4382" t="s">
        <v>1077</v>
      </c>
      <c r="C4382" t="s">
        <v>7711</v>
      </c>
      <c r="D4382" t="s">
        <v>18149</v>
      </c>
      <c r="E4382" t="s">
        <v>22111</v>
      </c>
      <c r="F4382" t="s">
        <v>31362</v>
      </c>
      <c r="G4382" t="s">
        <v>31368</v>
      </c>
      <c r="H4382" t="s">
        <v>15799</v>
      </c>
      <c r="I4382" t="s">
        <v>31404</v>
      </c>
      <c r="J4382" t="s">
        <v>34380</v>
      </c>
      <c r="K4382" t="s">
        <v>40662</v>
      </c>
      <c r="M4382" t="s">
        <v>42079</v>
      </c>
      <c r="N4382" t="s">
        <v>44905</v>
      </c>
      <c r="O4382" t="s">
        <v>44906</v>
      </c>
      <c r="P4382">
        <v>0</v>
      </c>
      <c r="Q4382">
        <v>0</v>
      </c>
      <c r="R4382" t="s">
        <v>44908</v>
      </c>
      <c r="S4382" t="s">
        <v>45042</v>
      </c>
      <c r="T4382" t="s">
        <v>46443</v>
      </c>
      <c r="U4382" t="s">
        <v>50509</v>
      </c>
      <c r="W4382" t="s">
        <v>42079</v>
      </c>
      <c r="X4382" t="s">
        <v>44909</v>
      </c>
    </row>
    <row r="4383" spans="1:24">
      <c r="A4383">
        <f>HYPERLINK("https://www.philgeps.gov.ph/GEPSNONPILOT/Tender/SplashBidNoticeAbstractUI.aspx?menuIndex=3&amp;refID=7080973&amp;Result=3","7080973")</f>
        <v>0</v>
      </c>
      <c r="B4383" t="s">
        <v>1217</v>
      </c>
      <c r="C4383" t="s">
        <v>7712</v>
      </c>
      <c r="D4383" t="s">
        <v>18106</v>
      </c>
      <c r="E4383" t="s">
        <v>22112</v>
      </c>
      <c r="F4383" t="s">
        <v>31362</v>
      </c>
      <c r="G4383" t="s">
        <v>31368</v>
      </c>
      <c r="H4383" t="s">
        <v>15799</v>
      </c>
      <c r="I4383" t="s">
        <v>7090</v>
      </c>
      <c r="J4383" t="s">
        <v>34381</v>
      </c>
      <c r="K4383" t="s">
        <v>40665</v>
      </c>
      <c r="M4383" t="s">
        <v>42230</v>
      </c>
      <c r="N4383" t="s">
        <v>44905</v>
      </c>
      <c r="O4383" t="s">
        <v>44906</v>
      </c>
      <c r="P4383">
        <v>0</v>
      </c>
      <c r="Q4383">
        <v>0</v>
      </c>
      <c r="R4383" t="s">
        <v>44908</v>
      </c>
      <c r="S4383" t="s">
        <v>45042</v>
      </c>
      <c r="T4383" t="s">
        <v>46447</v>
      </c>
      <c r="U4383" t="s">
        <v>49589</v>
      </c>
      <c r="V4383" t="s">
        <v>59395</v>
      </c>
      <c r="W4383" t="s">
        <v>42230</v>
      </c>
      <c r="X4383" t="s">
        <v>44909</v>
      </c>
    </row>
    <row r="4384" spans="1:24">
      <c r="A4384">
        <f>HYPERLINK("https://www.philgeps.gov.ph/GEPSNONPILOT/Tender/SplashBidNoticeAbstractUI.aspx?menuIndex=3&amp;refID=7081054&amp;Result=3","7081054")</f>
        <v>0</v>
      </c>
      <c r="B4384" t="s">
        <v>1416</v>
      </c>
      <c r="C4384" t="s">
        <v>7713</v>
      </c>
      <c r="D4384" t="s">
        <v>18127</v>
      </c>
      <c r="E4384" t="s">
        <v>22113</v>
      </c>
      <c r="F4384" t="s">
        <v>31362</v>
      </c>
      <c r="G4384" t="s">
        <v>31369</v>
      </c>
      <c r="H4384" t="s">
        <v>31378</v>
      </c>
      <c r="I4384" t="s">
        <v>31386</v>
      </c>
      <c r="J4384" t="s">
        <v>31564</v>
      </c>
      <c r="K4384" t="s">
        <v>40665</v>
      </c>
      <c r="M4384" t="s">
        <v>42442</v>
      </c>
      <c r="N4384" t="s">
        <v>44905</v>
      </c>
      <c r="O4384" t="s">
        <v>44906</v>
      </c>
      <c r="P4384">
        <v>0</v>
      </c>
      <c r="Q4384">
        <v>0</v>
      </c>
      <c r="R4384" t="s">
        <v>44908</v>
      </c>
      <c r="S4384" t="s">
        <v>45042</v>
      </c>
      <c r="T4384" t="s">
        <v>46668</v>
      </c>
      <c r="U4384" t="s">
        <v>50510</v>
      </c>
      <c r="V4384" t="s">
        <v>50510</v>
      </c>
      <c r="W4384" t="s">
        <v>42442</v>
      </c>
      <c r="X4384" t="s">
        <v>44909</v>
      </c>
    </row>
    <row r="4385" spans="1:24">
      <c r="A4385">
        <f>HYPERLINK("https://www.philgeps.gov.ph/GEPSNONPILOT/Tender/SplashBidNoticeAbstractUI.aspx?menuIndex=3&amp;refID=7081053&amp;Result=3","7081053")</f>
        <v>0</v>
      </c>
      <c r="B4385" t="s">
        <v>443</v>
      </c>
      <c r="C4385" t="s">
        <v>7714</v>
      </c>
      <c r="D4385" t="s">
        <v>18131</v>
      </c>
      <c r="E4385" t="s">
        <v>22114</v>
      </c>
      <c r="F4385" t="s">
        <v>31362</v>
      </c>
      <c r="G4385" t="s">
        <v>31368</v>
      </c>
      <c r="H4385" t="s">
        <v>15799</v>
      </c>
      <c r="I4385" t="s">
        <v>31404</v>
      </c>
      <c r="J4385" t="s">
        <v>33559</v>
      </c>
      <c r="K4385" t="s">
        <v>40662</v>
      </c>
      <c r="L4385" t="s">
        <v>443</v>
      </c>
      <c r="M4385" t="s">
        <v>42538</v>
      </c>
      <c r="N4385" t="s">
        <v>44905</v>
      </c>
      <c r="O4385" t="s">
        <v>44906</v>
      </c>
      <c r="P4385">
        <v>0</v>
      </c>
      <c r="Q4385">
        <v>0</v>
      </c>
      <c r="R4385" t="s">
        <v>44908</v>
      </c>
      <c r="S4385" t="s">
        <v>45042</v>
      </c>
      <c r="T4385" t="s">
        <v>46454</v>
      </c>
      <c r="U4385" t="s">
        <v>47726</v>
      </c>
      <c r="W4385" t="s">
        <v>42538</v>
      </c>
      <c r="X4385" t="s">
        <v>44909</v>
      </c>
    </row>
    <row r="4386" spans="1:24">
      <c r="A4386">
        <f>HYPERLINK("https://www.philgeps.gov.ph/GEPSNONPILOT/Tender/SplashBidNoticeAbstractUI.aspx?menuIndex=3&amp;refID=7081046&amp;Result=3","7081046")</f>
        <v>0</v>
      </c>
      <c r="B4386" t="s">
        <v>1504</v>
      </c>
      <c r="C4386" t="s">
        <v>7715</v>
      </c>
      <c r="D4386" t="s">
        <v>18142</v>
      </c>
      <c r="E4386" t="s">
        <v>22115</v>
      </c>
      <c r="F4386" t="s">
        <v>31362</v>
      </c>
      <c r="G4386" t="s">
        <v>31370</v>
      </c>
      <c r="H4386" t="s">
        <v>15799</v>
      </c>
      <c r="I4386" t="s">
        <v>4057</v>
      </c>
      <c r="J4386" t="s">
        <v>34382</v>
      </c>
      <c r="K4386" t="s">
        <v>40693</v>
      </c>
      <c r="M4386" t="s">
        <v>42544</v>
      </c>
      <c r="N4386" t="s">
        <v>44905</v>
      </c>
      <c r="O4386" t="s">
        <v>44906</v>
      </c>
      <c r="P4386">
        <v>0</v>
      </c>
      <c r="Q4386">
        <v>0</v>
      </c>
      <c r="R4386" t="s">
        <v>44908</v>
      </c>
      <c r="S4386" t="s">
        <v>45042</v>
      </c>
      <c r="T4386" t="s">
        <v>46432</v>
      </c>
      <c r="U4386" t="s">
        <v>50511</v>
      </c>
      <c r="W4386" t="s">
        <v>42544</v>
      </c>
      <c r="X4386" t="s">
        <v>44909</v>
      </c>
    </row>
    <row r="4387" spans="1:24">
      <c r="A4387">
        <f>HYPERLINK("https://www.philgeps.gov.ph/GEPSNONPILOT/Tender/SplashBidNoticeAbstractUI.aspx?menuIndex=3&amp;refID=7081060&amp;Result=3","7081060")</f>
        <v>0</v>
      </c>
      <c r="B4387" t="s">
        <v>262</v>
      </c>
      <c r="C4387" t="s">
        <v>7716</v>
      </c>
      <c r="D4387" t="s">
        <v>18127</v>
      </c>
      <c r="E4387" t="s">
        <v>22116</v>
      </c>
      <c r="F4387" t="s">
        <v>31362</v>
      </c>
      <c r="G4387" t="s">
        <v>31368</v>
      </c>
      <c r="H4387" t="s">
        <v>15799</v>
      </c>
      <c r="I4387" t="s">
        <v>31404</v>
      </c>
      <c r="J4387" t="s">
        <v>31937</v>
      </c>
      <c r="K4387" t="s">
        <v>40662</v>
      </c>
      <c r="M4387" t="s">
        <v>42051</v>
      </c>
      <c r="N4387" t="s">
        <v>44905</v>
      </c>
      <c r="O4387" t="s">
        <v>44906</v>
      </c>
      <c r="P4387">
        <v>0</v>
      </c>
      <c r="Q4387">
        <v>0</v>
      </c>
      <c r="R4387" t="s">
        <v>44908</v>
      </c>
      <c r="S4387" t="s">
        <v>45042</v>
      </c>
      <c r="T4387" t="s">
        <v>46681</v>
      </c>
      <c r="U4387" t="s">
        <v>49689</v>
      </c>
      <c r="W4387" t="s">
        <v>42051</v>
      </c>
      <c r="X4387" t="s">
        <v>44909</v>
      </c>
    </row>
    <row r="4388" spans="1:24">
      <c r="A4388">
        <f>HYPERLINK("https://www.philgeps.gov.ph/GEPSNONPILOT/Tender/SplashBidNoticeAbstractUI.aspx?menuIndex=3&amp;refID=7081056&amp;Result=3","7081056")</f>
        <v>0</v>
      </c>
      <c r="B4388" t="s">
        <v>167</v>
      </c>
      <c r="C4388" t="s">
        <v>3858</v>
      </c>
      <c r="D4388" t="s">
        <v>18152</v>
      </c>
      <c r="E4388" t="s">
        <v>22117</v>
      </c>
      <c r="F4388" t="s">
        <v>31362</v>
      </c>
      <c r="G4388" t="s">
        <v>31369</v>
      </c>
      <c r="H4388" t="s">
        <v>15799</v>
      </c>
      <c r="I4388" t="s">
        <v>3815</v>
      </c>
      <c r="J4388" t="s">
        <v>34383</v>
      </c>
      <c r="K4388" t="s">
        <v>40670</v>
      </c>
      <c r="M4388" t="s">
        <v>41105</v>
      </c>
      <c r="N4388" t="s">
        <v>44905</v>
      </c>
      <c r="O4388" t="s">
        <v>44906</v>
      </c>
      <c r="P4388">
        <v>0</v>
      </c>
      <c r="Q4388">
        <v>0</v>
      </c>
      <c r="R4388" t="s">
        <v>44908</v>
      </c>
      <c r="S4388" t="s">
        <v>45042</v>
      </c>
      <c r="T4388" t="s">
        <v>46462</v>
      </c>
      <c r="U4388" t="s">
        <v>50512</v>
      </c>
      <c r="V4388" t="s">
        <v>59088</v>
      </c>
      <c r="W4388" t="s">
        <v>41105</v>
      </c>
      <c r="X4388" t="s">
        <v>44909</v>
      </c>
    </row>
    <row r="4389" spans="1:24">
      <c r="A4389">
        <f>HYPERLINK("https://www.philgeps.gov.ph/GEPSNONPILOT/Tender/SplashBidNoticeAbstractUI.aspx?menuIndex=3&amp;refID=7081067&amp;Result=3","7081067")</f>
        <v>0</v>
      </c>
      <c r="B4389" t="s">
        <v>1491</v>
      </c>
      <c r="C4389" t="s">
        <v>7717</v>
      </c>
      <c r="D4389" t="s">
        <v>18139</v>
      </c>
      <c r="E4389" t="s">
        <v>22118</v>
      </c>
      <c r="F4389" t="s">
        <v>31362</v>
      </c>
      <c r="G4389" t="s">
        <v>31368</v>
      </c>
      <c r="H4389" t="s">
        <v>15799</v>
      </c>
      <c r="I4389" t="s">
        <v>31414</v>
      </c>
      <c r="J4389" t="s">
        <v>33052</v>
      </c>
      <c r="K4389" t="s">
        <v>40665</v>
      </c>
      <c r="M4389" t="s">
        <v>42554</v>
      </c>
      <c r="N4389" t="s">
        <v>44905</v>
      </c>
      <c r="O4389" t="s">
        <v>44906</v>
      </c>
      <c r="P4389">
        <v>0</v>
      </c>
      <c r="Q4389">
        <v>2</v>
      </c>
      <c r="R4389" t="s">
        <v>44908</v>
      </c>
      <c r="S4389" t="s">
        <v>45042</v>
      </c>
      <c r="T4389" t="s">
        <v>46454</v>
      </c>
      <c r="U4389" t="s">
        <v>50446</v>
      </c>
      <c r="W4389" t="s">
        <v>42528</v>
      </c>
      <c r="X4389" t="s">
        <v>44909</v>
      </c>
    </row>
    <row r="4390" spans="1:24">
      <c r="A4390">
        <f>HYPERLINK("https://www.philgeps.gov.ph/GEPSNONPILOT/Tender/SplashBidNoticeAbstractUI.aspx?menuIndex=3&amp;refID=7081032&amp;Result=3","7081032")</f>
        <v>0</v>
      </c>
      <c r="B4390" t="s">
        <v>104</v>
      </c>
      <c r="C4390" t="s">
        <v>7718</v>
      </c>
      <c r="D4390" t="s">
        <v>18127</v>
      </c>
      <c r="E4390" t="s">
        <v>21595</v>
      </c>
      <c r="F4390" t="s">
        <v>31362</v>
      </c>
      <c r="G4390" t="s">
        <v>31369</v>
      </c>
      <c r="H4390" t="s">
        <v>15799</v>
      </c>
      <c r="I4390" t="s">
        <v>7090</v>
      </c>
      <c r="J4390" t="s">
        <v>34384</v>
      </c>
      <c r="K4390" t="s">
        <v>40666</v>
      </c>
      <c r="M4390" t="s">
        <v>41041</v>
      </c>
      <c r="N4390" t="s">
        <v>44905</v>
      </c>
      <c r="O4390" t="s">
        <v>44906</v>
      </c>
      <c r="P4390">
        <v>0</v>
      </c>
      <c r="Q4390">
        <v>1</v>
      </c>
      <c r="R4390" t="s">
        <v>44908</v>
      </c>
      <c r="S4390" t="s">
        <v>45042</v>
      </c>
      <c r="T4390" t="s">
        <v>46444</v>
      </c>
      <c r="U4390" t="s">
        <v>50513</v>
      </c>
      <c r="W4390" t="s">
        <v>41041</v>
      </c>
      <c r="X4390" t="s">
        <v>44909</v>
      </c>
    </row>
    <row r="4391" spans="1:24">
      <c r="A4391">
        <f>HYPERLINK("https://www.philgeps.gov.ph/GEPSNONPILOT/Tender/SplashBidNoticeAbstractUI.aspx?menuIndex=3&amp;refID=7081066&amp;Result=3","7081066")</f>
        <v>0</v>
      </c>
      <c r="B4391" t="s">
        <v>791</v>
      </c>
      <c r="C4391" t="s">
        <v>7719</v>
      </c>
      <c r="D4391" t="s">
        <v>18108</v>
      </c>
      <c r="E4391" t="s">
        <v>22119</v>
      </c>
      <c r="F4391" t="s">
        <v>31362</v>
      </c>
      <c r="G4391" t="s">
        <v>31368</v>
      </c>
      <c r="H4391" t="s">
        <v>15799</v>
      </c>
      <c r="I4391" t="s">
        <v>7719</v>
      </c>
      <c r="J4391" t="s">
        <v>34385</v>
      </c>
      <c r="K4391" t="s">
        <v>40662</v>
      </c>
      <c r="M4391" t="s">
        <v>41761</v>
      </c>
      <c r="N4391" t="s">
        <v>44905</v>
      </c>
      <c r="O4391" t="s">
        <v>44906</v>
      </c>
      <c r="P4391">
        <v>0</v>
      </c>
      <c r="Q4391">
        <v>7</v>
      </c>
      <c r="R4391" t="s">
        <v>44908</v>
      </c>
      <c r="S4391" t="s">
        <v>45042</v>
      </c>
      <c r="T4391" t="s">
        <v>46399</v>
      </c>
      <c r="U4391" t="s">
        <v>50514</v>
      </c>
      <c r="V4391" t="s">
        <v>59151</v>
      </c>
      <c r="W4391" t="s">
        <v>41761</v>
      </c>
      <c r="X4391" t="s">
        <v>44909</v>
      </c>
    </row>
    <row r="4392" spans="1:24">
      <c r="A4392">
        <f>HYPERLINK("https://www.philgeps.gov.ph/GEPSNONPILOT/Tender/SplashBidNoticeAbstractUI.aspx?menuIndex=3&amp;refID=7081063&amp;Result=3","7081063")</f>
        <v>0</v>
      </c>
      <c r="B4392" t="s">
        <v>333</v>
      </c>
      <c r="C4392" t="s">
        <v>7720</v>
      </c>
      <c r="D4392" t="s">
        <v>18108</v>
      </c>
      <c r="E4392" t="s">
        <v>22120</v>
      </c>
      <c r="F4392" t="s">
        <v>31362</v>
      </c>
      <c r="G4392" t="s">
        <v>31371</v>
      </c>
      <c r="H4392" t="s">
        <v>15799</v>
      </c>
      <c r="I4392" t="s">
        <v>31430</v>
      </c>
      <c r="J4392" t="s">
        <v>31806</v>
      </c>
      <c r="K4392" t="s">
        <v>40666</v>
      </c>
      <c r="M4392" t="s">
        <v>41279</v>
      </c>
      <c r="N4392" t="s">
        <v>44905</v>
      </c>
      <c r="O4392" t="s">
        <v>44906</v>
      </c>
      <c r="P4392">
        <v>0</v>
      </c>
      <c r="Q4392">
        <v>2</v>
      </c>
      <c r="R4392" t="s">
        <v>44908</v>
      </c>
      <c r="S4392" t="s">
        <v>45042</v>
      </c>
      <c r="T4392" t="s">
        <v>46549</v>
      </c>
      <c r="U4392" t="s">
        <v>50515</v>
      </c>
      <c r="W4392" t="s">
        <v>60847</v>
      </c>
      <c r="X4392" t="s">
        <v>44909</v>
      </c>
    </row>
    <row r="4393" spans="1:24">
      <c r="A4393">
        <f>HYPERLINK("https://www.philgeps.gov.ph/GEPSNONPILOT/Tender/SplashBidNoticeAbstractUI.aspx?menuIndex=3&amp;refID=7081052&amp;Result=3","7081052")</f>
        <v>0</v>
      </c>
      <c r="B4393" t="s">
        <v>1184</v>
      </c>
      <c r="C4393" t="s">
        <v>7721</v>
      </c>
      <c r="D4393" t="s">
        <v>18119</v>
      </c>
      <c r="E4393" t="s">
        <v>22121</v>
      </c>
      <c r="F4393" t="s">
        <v>31362</v>
      </c>
      <c r="G4393" t="s">
        <v>31369</v>
      </c>
      <c r="H4393" t="s">
        <v>15799</v>
      </c>
      <c r="I4393" t="s">
        <v>7090</v>
      </c>
      <c r="J4393" t="s">
        <v>34386</v>
      </c>
      <c r="K4393" t="s">
        <v>40666</v>
      </c>
      <c r="M4393" t="s">
        <v>42555</v>
      </c>
      <c r="N4393" t="s">
        <v>44905</v>
      </c>
      <c r="O4393" t="s">
        <v>44906</v>
      </c>
      <c r="P4393">
        <v>0</v>
      </c>
      <c r="Q4393">
        <v>0</v>
      </c>
      <c r="R4393" t="s">
        <v>44908</v>
      </c>
      <c r="S4393" t="s">
        <v>45042</v>
      </c>
      <c r="T4393" t="s">
        <v>46395</v>
      </c>
      <c r="U4393" t="s">
        <v>50516</v>
      </c>
      <c r="W4393" t="s">
        <v>42555</v>
      </c>
      <c r="X4393" t="s">
        <v>44909</v>
      </c>
    </row>
    <row r="4394" spans="1:24">
      <c r="A4394">
        <f>HYPERLINK("https://www.philgeps.gov.ph/GEPSNONPILOT/Tender/SplashBidNoticeAbstractUI.aspx?menuIndex=3&amp;refID=7081061&amp;Result=3","7081061")</f>
        <v>0</v>
      </c>
      <c r="B4394" t="s">
        <v>1421</v>
      </c>
      <c r="C4394" t="s">
        <v>7722</v>
      </c>
      <c r="D4394" t="s">
        <v>18155</v>
      </c>
      <c r="E4394" t="s">
        <v>22122</v>
      </c>
      <c r="F4394" t="s">
        <v>31362</v>
      </c>
      <c r="G4394" t="s">
        <v>31368</v>
      </c>
      <c r="H4394" t="s">
        <v>15799</v>
      </c>
      <c r="I4394" t="s">
        <v>4283</v>
      </c>
      <c r="J4394" t="s">
        <v>34387</v>
      </c>
      <c r="K4394" t="s">
        <v>40665</v>
      </c>
      <c r="M4394" t="s">
        <v>42448</v>
      </c>
      <c r="N4394" t="s">
        <v>44905</v>
      </c>
      <c r="O4394" t="s">
        <v>44906</v>
      </c>
      <c r="P4394">
        <v>0</v>
      </c>
      <c r="Q4394">
        <v>7</v>
      </c>
      <c r="R4394" t="s">
        <v>44908</v>
      </c>
      <c r="S4394" t="s">
        <v>45042</v>
      </c>
      <c r="T4394" t="s">
        <v>46438</v>
      </c>
      <c r="U4394" t="s">
        <v>50517</v>
      </c>
      <c r="W4394" t="s">
        <v>42448</v>
      </c>
      <c r="X4394" t="s">
        <v>44909</v>
      </c>
    </row>
    <row r="4395" spans="1:24">
      <c r="A4395">
        <f>HYPERLINK("https://www.philgeps.gov.ph/GEPSNONPILOT/Tender/SplashBidNoticeAbstractUI.aspx?menuIndex=3&amp;refID=7081051&amp;Result=3","7081051")</f>
        <v>0</v>
      </c>
      <c r="B4395" t="s">
        <v>809</v>
      </c>
      <c r="C4395" t="s">
        <v>7723</v>
      </c>
      <c r="D4395" t="s">
        <v>18116</v>
      </c>
      <c r="E4395" t="s">
        <v>20014</v>
      </c>
      <c r="F4395" t="s">
        <v>31362</v>
      </c>
      <c r="G4395" t="s">
        <v>31370</v>
      </c>
      <c r="H4395" t="s">
        <v>15799</v>
      </c>
      <c r="I4395" t="s">
        <v>31380</v>
      </c>
      <c r="J4395" t="s">
        <v>31890</v>
      </c>
      <c r="K4395" t="s">
        <v>40662</v>
      </c>
      <c r="M4395" t="s">
        <v>41780</v>
      </c>
      <c r="N4395" t="s">
        <v>44905</v>
      </c>
      <c r="O4395" t="s">
        <v>44906</v>
      </c>
      <c r="P4395">
        <v>0</v>
      </c>
      <c r="Q4395">
        <v>0</v>
      </c>
      <c r="R4395" t="s">
        <v>44908</v>
      </c>
      <c r="S4395" t="s">
        <v>45042</v>
      </c>
      <c r="T4395" t="s">
        <v>46409</v>
      </c>
      <c r="U4395" t="s">
        <v>50518</v>
      </c>
      <c r="W4395" t="s">
        <v>41780</v>
      </c>
      <c r="X4395" t="s">
        <v>44909</v>
      </c>
    </row>
    <row r="4396" spans="1:24">
      <c r="A4396">
        <f>HYPERLINK("https://www.philgeps.gov.ph/GEPSNONPILOT/Tender/SplashBidNoticeAbstractUI.aspx?menuIndex=3&amp;refID=7081062&amp;Result=3","7081062")</f>
        <v>0</v>
      </c>
      <c r="B4396" t="s">
        <v>1513</v>
      </c>
      <c r="C4396" t="s">
        <v>7724</v>
      </c>
      <c r="D4396" t="s">
        <v>18143</v>
      </c>
      <c r="E4396" t="s">
        <v>22123</v>
      </c>
      <c r="F4396" t="s">
        <v>31362</v>
      </c>
      <c r="G4396" t="s">
        <v>31369</v>
      </c>
      <c r="H4396" t="s">
        <v>31378</v>
      </c>
      <c r="I4396" t="s">
        <v>31386</v>
      </c>
      <c r="J4396" t="s">
        <v>34388</v>
      </c>
      <c r="K4396" t="s">
        <v>40780</v>
      </c>
      <c r="L4396" t="s">
        <v>1513</v>
      </c>
      <c r="M4396" t="s">
        <v>42556</v>
      </c>
      <c r="N4396" t="s">
        <v>44905</v>
      </c>
      <c r="O4396" t="s">
        <v>44906</v>
      </c>
      <c r="P4396">
        <v>0</v>
      </c>
      <c r="Q4396">
        <v>0</v>
      </c>
      <c r="R4396" t="s">
        <v>44908</v>
      </c>
      <c r="S4396" t="s">
        <v>45042</v>
      </c>
      <c r="T4396" t="s">
        <v>46433</v>
      </c>
      <c r="U4396" t="s">
        <v>50519</v>
      </c>
      <c r="V4396" t="s">
        <v>59477</v>
      </c>
      <c r="W4396" t="s">
        <v>42556</v>
      </c>
      <c r="X4396" t="s">
        <v>44909</v>
      </c>
    </row>
    <row r="4397" spans="1:24">
      <c r="A4397">
        <f>HYPERLINK("https://www.philgeps.gov.ph/GEPSNONPILOT/Tender/SplashBidNoticeAbstractUI.aspx?menuIndex=3&amp;refID=7081050&amp;Result=3","7081050")</f>
        <v>0</v>
      </c>
      <c r="B4397" t="s">
        <v>1495</v>
      </c>
      <c r="C4397" t="s">
        <v>7725</v>
      </c>
      <c r="D4397" t="s">
        <v>18133</v>
      </c>
      <c r="E4397" t="s">
        <v>22124</v>
      </c>
      <c r="F4397" t="s">
        <v>31362</v>
      </c>
      <c r="G4397" t="s">
        <v>31368</v>
      </c>
      <c r="H4397" t="s">
        <v>15799</v>
      </c>
      <c r="I4397" t="s">
        <v>4057</v>
      </c>
      <c r="J4397" t="s">
        <v>31969</v>
      </c>
      <c r="K4397" t="s">
        <v>40661</v>
      </c>
      <c r="M4397" t="s">
        <v>42532</v>
      </c>
      <c r="N4397" t="s">
        <v>44905</v>
      </c>
      <c r="O4397" t="s">
        <v>44906</v>
      </c>
      <c r="P4397">
        <v>0</v>
      </c>
      <c r="Q4397">
        <v>1</v>
      </c>
      <c r="R4397" t="s">
        <v>44908</v>
      </c>
      <c r="S4397" t="s">
        <v>45042</v>
      </c>
      <c r="T4397" t="s">
        <v>46678</v>
      </c>
      <c r="U4397" t="s">
        <v>46940</v>
      </c>
      <c r="W4397" t="s">
        <v>42532</v>
      </c>
      <c r="X4397" t="s">
        <v>44909</v>
      </c>
    </row>
    <row r="4398" spans="1:24">
      <c r="A4398">
        <f>HYPERLINK("https://www.philgeps.gov.ph/GEPSNONPILOT/Tender/SplashBidNoticeAbstractUI.aspx?menuIndex=3&amp;refID=7081064&amp;Result=3","7081064")</f>
        <v>0</v>
      </c>
      <c r="B4398" t="s">
        <v>1514</v>
      </c>
      <c r="C4398" t="s">
        <v>7726</v>
      </c>
      <c r="D4398" t="s">
        <v>18138</v>
      </c>
      <c r="E4398" t="s">
        <v>22125</v>
      </c>
      <c r="F4398" t="s">
        <v>31362</v>
      </c>
      <c r="G4398" t="s">
        <v>31368</v>
      </c>
      <c r="H4398" t="s">
        <v>15799</v>
      </c>
      <c r="I4398" t="s">
        <v>31380</v>
      </c>
      <c r="J4398" t="s">
        <v>34389</v>
      </c>
      <c r="K4398" t="s">
        <v>40697</v>
      </c>
      <c r="M4398" t="s">
        <v>42557</v>
      </c>
      <c r="N4398" t="s">
        <v>44905</v>
      </c>
      <c r="O4398" t="s">
        <v>44906</v>
      </c>
      <c r="P4398">
        <v>0</v>
      </c>
      <c r="Q4398">
        <v>2</v>
      </c>
      <c r="R4398" t="s">
        <v>44908</v>
      </c>
      <c r="S4398" t="s">
        <v>45042</v>
      </c>
      <c r="T4398" t="s">
        <v>46409</v>
      </c>
      <c r="U4398" t="s">
        <v>50520</v>
      </c>
      <c r="W4398" t="s">
        <v>42557</v>
      </c>
      <c r="X4398" t="s">
        <v>44909</v>
      </c>
    </row>
    <row r="4399" spans="1:24">
      <c r="A4399">
        <f>HYPERLINK("https://www.philgeps.gov.ph/GEPSNONPILOT/Tender/SplashBidNoticeAbstractUI.aspx?menuIndex=3&amp;refID=7081048&amp;Result=3","7081048")</f>
        <v>0</v>
      </c>
      <c r="B4399" t="s">
        <v>238</v>
      </c>
      <c r="C4399" t="s">
        <v>7727</v>
      </c>
      <c r="D4399" t="s">
        <v>18163</v>
      </c>
      <c r="E4399" t="s">
        <v>22126</v>
      </c>
      <c r="F4399" t="s">
        <v>31362</v>
      </c>
      <c r="G4399" t="s">
        <v>31368</v>
      </c>
      <c r="H4399" t="s">
        <v>15799</v>
      </c>
      <c r="I4399" t="s">
        <v>6865</v>
      </c>
      <c r="J4399" t="s">
        <v>31577</v>
      </c>
      <c r="K4399" t="s">
        <v>40666</v>
      </c>
      <c r="M4399" t="s">
        <v>41177</v>
      </c>
      <c r="N4399" t="s">
        <v>44905</v>
      </c>
      <c r="O4399" t="s">
        <v>44906</v>
      </c>
      <c r="P4399">
        <v>0</v>
      </c>
      <c r="Q4399">
        <v>1</v>
      </c>
      <c r="R4399" t="s">
        <v>44908</v>
      </c>
      <c r="S4399" t="s">
        <v>45042</v>
      </c>
      <c r="T4399" t="s">
        <v>46409</v>
      </c>
      <c r="U4399" t="s">
        <v>50521</v>
      </c>
      <c r="W4399" t="s">
        <v>41177</v>
      </c>
      <c r="X4399" t="s">
        <v>44909</v>
      </c>
    </row>
    <row r="4400" spans="1:24">
      <c r="A4400">
        <f>HYPERLINK("https://www.philgeps.gov.ph/GEPSNONPILOT/Tender/SplashBidNoticeAbstractUI.aspx?menuIndex=3&amp;refID=7081081&amp;Result=3","7081081")</f>
        <v>0</v>
      </c>
      <c r="B4400" t="s">
        <v>1495</v>
      </c>
      <c r="C4400" t="s">
        <v>7728</v>
      </c>
      <c r="D4400" t="s">
        <v>18133</v>
      </c>
      <c r="E4400" t="s">
        <v>22127</v>
      </c>
      <c r="F4400" t="s">
        <v>31362</v>
      </c>
      <c r="G4400" t="s">
        <v>31368</v>
      </c>
      <c r="H4400" t="s">
        <v>15799</v>
      </c>
      <c r="I4400" t="s">
        <v>3815</v>
      </c>
      <c r="J4400" t="s">
        <v>34390</v>
      </c>
      <c r="K4400" t="s">
        <v>40661</v>
      </c>
      <c r="M4400" t="s">
        <v>42532</v>
      </c>
      <c r="N4400" t="s">
        <v>44905</v>
      </c>
      <c r="O4400" t="s">
        <v>44906</v>
      </c>
      <c r="P4400">
        <v>0</v>
      </c>
      <c r="Q4400">
        <v>0</v>
      </c>
      <c r="R4400" t="s">
        <v>44908</v>
      </c>
      <c r="S4400" t="s">
        <v>45042</v>
      </c>
      <c r="T4400" t="s">
        <v>46678</v>
      </c>
      <c r="U4400" t="s">
        <v>46940</v>
      </c>
      <c r="W4400" t="s">
        <v>42532</v>
      </c>
      <c r="X4400" t="s">
        <v>44909</v>
      </c>
    </row>
    <row r="4401" spans="1:24">
      <c r="A4401">
        <f>HYPERLINK("https://www.philgeps.gov.ph/GEPSNONPILOT/Tender/SplashBidNoticeAbstractUI.aspx?menuIndex=3&amp;refID=7081069&amp;Result=3","7081069")</f>
        <v>0</v>
      </c>
      <c r="B4401" t="s">
        <v>456</v>
      </c>
      <c r="C4401" t="s">
        <v>7729</v>
      </c>
      <c r="E4401" t="s">
        <v>22128</v>
      </c>
      <c r="F4401" t="s">
        <v>31362</v>
      </c>
      <c r="G4401" t="s">
        <v>31368</v>
      </c>
      <c r="H4401" t="s">
        <v>15799</v>
      </c>
      <c r="I4401" t="s">
        <v>31430</v>
      </c>
      <c r="J4401" t="s">
        <v>31793</v>
      </c>
      <c r="K4401" t="s">
        <v>40662</v>
      </c>
      <c r="M4401" t="s">
        <v>41410</v>
      </c>
      <c r="N4401" t="s">
        <v>44905</v>
      </c>
      <c r="O4401" t="s">
        <v>44906</v>
      </c>
      <c r="P4401">
        <v>0</v>
      </c>
      <c r="Q4401">
        <v>2</v>
      </c>
      <c r="R4401" t="s">
        <v>44908</v>
      </c>
      <c r="S4401" t="s">
        <v>45042</v>
      </c>
      <c r="T4401" t="s">
        <v>46446</v>
      </c>
      <c r="U4401" t="s">
        <v>50522</v>
      </c>
      <c r="W4401" t="s">
        <v>41410</v>
      </c>
      <c r="X4401" t="s">
        <v>44909</v>
      </c>
    </row>
    <row r="4402" spans="1:24">
      <c r="A4402">
        <f>HYPERLINK("https://www.philgeps.gov.ph/GEPSNONPILOT/Tender/SplashBidNoticeAbstractUI.aspx?menuIndex=3&amp;refID=7081080&amp;Result=3","7081080")</f>
        <v>0</v>
      </c>
      <c r="B4402" t="s">
        <v>1515</v>
      </c>
      <c r="C4402" t="s">
        <v>7730</v>
      </c>
      <c r="D4402" t="s">
        <v>18131</v>
      </c>
      <c r="E4402" t="s">
        <v>22129</v>
      </c>
      <c r="F4402" t="s">
        <v>31362</v>
      </c>
      <c r="G4402" t="s">
        <v>31369</v>
      </c>
      <c r="H4402" t="s">
        <v>31378</v>
      </c>
      <c r="I4402" t="s">
        <v>31386</v>
      </c>
      <c r="J4402" t="s">
        <v>34391</v>
      </c>
      <c r="K4402" t="s">
        <v>40677</v>
      </c>
      <c r="M4402" t="s">
        <v>42558</v>
      </c>
      <c r="N4402" t="s">
        <v>44905</v>
      </c>
      <c r="O4402" t="s">
        <v>44906</v>
      </c>
      <c r="P4402">
        <v>0</v>
      </c>
      <c r="Q4402">
        <v>3</v>
      </c>
      <c r="R4402" t="s">
        <v>44908</v>
      </c>
      <c r="S4402" t="s">
        <v>45042</v>
      </c>
      <c r="T4402" t="s">
        <v>46427</v>
      </c>
      <c r="U4402" t="s">
        <v>50523</v>
      </c>
      <c r="W4402" t="s">
        <v>42558</v>
      </c>
      <c r="X4402" t="s">
        <v>44909</v>
      </c>
    </row>
    <row r="4403" spans="1:24">
      <c r="A4403">
        <f>HYPERLINK("https://www.philgeps.gov.ph/GEPSNONPILOT/Tender/SplashBidNoticeAbstractUI.aspx?menuIndex=3&amp;refID=7081078&amp;Result=3","7081078")</f>
        <v>0</v>
      </c>
      <c r="B4403" t="s">
        <v>548</v>
      </c>
      <c r="C4403" t="s">
        <v>7731</v>
      </c>
      <c r="D4403" t="s">
        <v>18154</v>
      </c>
      <c r="E4403" t="s">
        <v>22130</v>
      </c>
      <c r="F4403" t="s">
        <v>31362</v>
      </c>
      <c r="G4403" t="s">
        <v>31368</v>
      </c>
      <c r="H4403" t="s">
        <v>15799</v>
      </c>
      <c r="I4403" t="s">
        <v>4057</v>
      </c>
      <c r="J4403" t="s">
        <v>34392</v>
      </c>
      <c r="K4403" t="s">
        <v>40666</v>
      </c>
      <c r="M4403" t="s">
        <v>42559</v>
      </c>
      <c r="N4403" t="s">
        <v>44905</v>
      </c>
      <c r="O4403" t="s">
        <v>44906</v>
      </c>
      <c r="P4403">
        <v>0</v>
      </c>
      <c r="Q4403">
        <v>0</v>
      </c>
      <c r="R4403" t="s">
        <v>44908</v>
      </c>
      <c r="S4403" t="s">
        <v>45042</v>
      </c>
      <c r="T4403" t="s">
        <v>46404</v>
      </c>
      <c r="U4403" t="s">
        <v>50524</v>
      </c>
      <c r="W4403" t="s">
        <v>42559</v>
      </c>
      <c r="X4403" t="s">
        <v>44909</v>
      </c>
    </row>
    <row r="4404" spans="1:24">
      <c r="A4404">
        <f>HYPERLINK("https://www.philgeps.gov.ph/GEPSNONPILOT/Tender/SplashBidNoticeAbstractUI.aspx?menuIndex=3&amp;refID=7081075&amp;Result=3","7081075")</f>
        <v>0</v>
      </c>
      <c r="B4404" t="s">
        <v>118</v>
      </c>
      <c r="C4404" t="s">
        <v>7732</v>
      </c>
      <c r="D4404" t="s">
        <v>18142</v>
      </c>
      <c r="E4404" t="s">
        <v>22131</v>
      </c>
      <c r="F4404" t="s">
        <v>31362</v>
      </c>
      <c r="G4404" t="s">
        <v>31369</v>
      </c>
      <c r="H4404" t="s">
        <v>31378</v>
      </c>
      <c r="I4404" t="s">
        <v>31386</v>
      </c>
      <c r="J4404" t="s">
        <v>31738</v>
      </c>
      <c r="K4404" t="s">
        <v>40704</v>
      </c>
      <c r="M4404" t="s">
        <v>41055</v>
      </c>
      <c r="N4404" t="s">
        <v>44905</v>
      </c>
      <c r="O4404" t="s">
        <v>44906</v>
      </c>
      <c r="P4404">
        <v>0</v>
      </c>
      <c r="Q4404">
        <v>0</v>
      </c>
      <c r="R4404" t="s">
        <v>44908</v>
      </c>
      <c r="S4404" t="s">
        <v>45042</v>
      </c>
      <c r="T4404" t="s">
        <v>46493</v>
      </c>
      <c r="U4404" t="s">
        <v>50525</v>
      </c>
      <c r="W4404" t="s">
        <v>41055</v>
      </c>
      <c r="X4404" t="s">
        <v>44909</v>
      </c>
    </row>
    <row r="4405" spans="1:24">
      <c r="A4405">
        <f>HYPERLINK("https://www.philgeps.gov.ph/GEPSNONPILOT/Tender/SplashBidNoticeAbstractUI.aspx?menuIndex=3&amp;refID=7080999&amp;Result=3","7080999")</f>
        <v>0</v>
      </c>
      <c r="B4405" t="s">
        <v>285</v>
      </c>
      <c r="C4405" t="s">
        <v>7733</v>
      </c>
      <c r="D4405" t="s">
        <v>18134</v>
      </c>
      <c r="E4405" t="s">
        <v>18648</v>
      </c>
      <c r="F4405" t="s">
        <v>31362</v>
      </c>
      <c r="G4405" t="s">
        <v>31369</v>
      </c>
      <c r="H4405" t="s">
        <v>31378</v>
      </c>
      <c r="I4405" t="s">
        <v>31386</v>
      </c>
      <c r="J4405" t="s">
        <v>31709</v>
      </c>
      <c r="K4405" t="s">
        <v>40679</v>
      </c>
      <c r="M4405" t="s">
        <v>41228</v>
      </c>
      <c r="N4405" t="s">
        <v>44905</v>
      </c>
      <c r="O4405" t="s">
        <v>44906</v>
      </c>
      <c r="P4405">
        <v>0</v>
      </c>
      <c r="Q4405">
        <v>0</v>
      </c>
      <c r="R4405" t="s">
        <v>44908</v>
      </c>
      <c r="S4405" t="s">
        <v>45042</v>
      </c>
      <c r="T4405" t="s">
        <v>46511</v>
      </c>
      <c r="U4405" t="s">
        <v>50526</v>
      </c>
      <c r="W4405" t="s">
        <v>41228</v>
      </c>
      <c r="X4405" t="s">
        <v>44909</v>
      </c>
    </row>
    <row r="4406" spans="1:24">
      <c r="A4406">
        <f>HYPERLINK("https://www.philgeps.gov.ph/GEPSNONPILOT/Tender/SplashBidNoticeAbstractUI.aspx?menuIndex=3&amp;refID=7081073&amp;Result=3","7081073")</f>
        <v>0</v>
      </c>
      <c r="B4406" t="s">
        <v>440</v>
      </c>
      <c r="C4406" t="s">
        <v>7734</v>
      </c>
      <c r="D4406" t="s">
        <v>18154</v>
      </c>
      <c r="E4406" t="s">
        <v>22132</v>
      </c>
      <c r="F4406" t="s">
        <v>31362</v>
      </c>
      <c r="G4406" t="s">
        <v>31370</v>
      </c>
      <c r="H4406" t="s">
        <v>15799</v>
      </c>
      <c r="I4406" t="s">
        <v>31380</v>
      </c>
      <c r="J4406" t="s">
        <v>34393</v>
      </c>
      <c r="K4406" t="s">
        <v>40662</v>
      </c>
      <c r="M4406" t="s">
        <v>41604</v>
      </c>
      <c r="N4406" t="s">
        <v>44905</v>
      </c>
      <c r="O4406" t="s">
        <v>44906</v>
      </c>
      <c r="P4406">
        <v>0</v>
      </c>
      <c r="Q4406">
        <v>2</v>
      </c>
      <c r="R4406" t="s">
        <v>44908</v>
      </c>
      <c r="S4406" t="s">
        <v>45042</v>
      </c>
      <c r="T4406" t="s">
        <v>46447</v>
      </c>
      <c r="U4406" t="s">
        <v>50527</v>
      </c>
      <c r="W4406" t="s">
        <v>41604</v>
      </c>
      <c r="X4406" t="s">
        <v>44909</v>
      </c>
    </row>
    <row r="4407" spans="1:24">
      <c r="A4407">
        <f>HYPERLINK("https://www.philgeps.gov.ph/GEPSNONPILOT/Tender/SplashBidNoticeAbstractUI.aspx?menuIndex=3&amp;refID=7081049&amp;Result=3","7081049")</f>
        <v>0</v>
      </c>
      <c r="B4407" t="s">
        <v>1238</v>
      </c>
      <c r="C4407" t="s">
        <v>7735</v>
      </c>
      <c r="E4407" t="s">
        <v>22133</v>
      </c>
      <c r="F4407" t="s">
        <v>31362</v>
      </c>
      <c r="G4407" t="s">
        <v>31368</v>
      </c>
      <c r="H4407" t="s">
        <v>31377</v>
      </c>
      <c r="I4407" t="s">
        <v>31377</v>
      </c>
      <c r="J4407" t="s">
        <v>31734</v>
      </c>
      <c r="K4407" t="s">
        <v>40679</v>
      </c>
      <c r="M4407" t="s">
        <v>42252</v>
      </c>
      <c r="N4407" t="s">
        <v>44905</v>
      </c>
      <c r="O4407" t="s">
        <v>44906</v>
      </c>
      <c r="P4407">
        <v>0</v>
      </c>
      <c r="Q4407">
        <v>2</v>
      </c>
      <c r="R4407" t="s">
        <v>44908</v>
      </c>
      <c r="S4407" t="s">
        <v>45042</v>
      </c>
      <c r="T4407" t="s">
        <v>46416</v>
      </c>
      <c r="U4407" t="s">
        <v>50528</v>
      </c>
      <c r="W4407" t="s">
        <v>42252</v>
      </c>
      <c r="X4407" t="s">
        <v>44909</v>
      </c>
    </row>
    <row r="4408" spans="1:24">
      <c r="A4408">
        <f>HYPERLINK("https://www.philgeps.gov.ph/GEPSNONPILOT/Tender/SplashBidNoticeAbstractUI.aspx?menuIndex=3&amp;refID=7081072&amp;Result=3","7081072")</f>
        <v>0</v>
      </c>
      <c r="B4408" t="s">
        <v>656</v>
      </c>
      <c r="C4408" t="s">
        <v>7736</v>
      </c>
      <c r="D4408" t="s">
        <v>18123</v>
      </c>
      <c r="E4408" t="s">
        <v>22134</v>
      </c>
      <c r="F4408" t="s">
        <v>31362</v>
      </c>
      <c r="G4408" t="s">
        <v>31368</v>
      </c>
      <c r="H4408" t="s">
        <v>31378</v>
      </c>
      <c r="I4408" t="s">
        <v>31441</v>
      </c>
      <c r="J4408" t="s">
        <v>31687</v>
      </c>
      <c r="K4408" t="s">
        <v>40666</v>
      </c>
      <c r="M4408" t="s">
        <v>41618</v>
      </c>
      <c r="N4408" t="s">
        <v>44905</v>
      </c>
      <c r="O4408" t="s">
        <v>44906</v>
      </c>
      <c r="P4408">
        <v>0</v>
      </c>
      <c r="Q4408">
        <v>1</v>
      </c>
      <c r="R4408" t="s">
        <v>44908</v>
      </c>
      <c r="S4408" t="s">
        <v>45042</v>
      </c>
      <c r="T4408" t="s">
        <v>46409</v>
      </c>
      <c r="U4408" t="s">
        <v>48199</v>
      </c>
      <c r="W4408" t="s">
        <v>41618</v>
      </c>
      <c r="X4408" t="s">
        <v>44909</v>
      </c>
    </row>
    <row r="4409" spans="1:24">
      <c r="A4409">
        <f>HYPERLINK("https://www.philgeps.gov.ph/GEPSNONPILOT/Tender/SplashBidNoticeAbstractUI.aspx?menuIndex=3&amp;refID=7081071&amp;Result=3","7081071")</f>
        <v>0</v>
      </c>
      <c r="B4409" t="s">
        <v>130</v>
      </c>
      <c r="C4409" t="s">
        <v>7737</v>
      </c>
      <c r="D4409" t="s">
        <v>18109</v>
      </c>
      <c r="E4409" t="s">
        <v>22135</v>
      </c>
      <c r="F4409" t="s">
        <v>31362</v>
      </c>
      <c r="G4409" t="s">
        <v>31368</v>
      </c>
      <c r="H4409" t="s">
        <v>15799</v>
      </c>
      <c r="I4409" t="s">
        <v>31430</v>
      </c>
      <c r="J4409" t="s">
        <v>34394</v>
      </c>
      <c r="K4409" t="s">
        <v>40662</v>
      </c>
      <c r="M4409" t="s">
        <v>41067</v>
      </c>
      <c r="N4409" t="s">
        <v>44905</v>
      </c>
      <c r="O4409" t="s">
        <v>44906</v>
      </c>
      <c r="P4409">
        <v>0</v>
      </c>
      <c r="Q4409">
        <v>2</v>
      </c>
      <c r="R4409" t="s">
        <v>44908</v>
      </c>
      <c r="S4409" t="s">
        <v>45042</v>
      </c>
      <c r="T4409" t="s">
        <v>46394</v>
      </c>
      <c r="U4409" t="s">
        <v>50529</v>
      </c>
      <c r="W4409" t="s">
        <v>41067</v>
      </c>
      <c r="X4409" t="s">
        <v>44909</v>
      </c>
    </row>
    <row r="4410" spans="1:24">
      <c r="A4410">
        <f>HYPERLINK("https://www.philgeps.gov.ph/GEPSNONPILOT/Tender/SplashBidNoticeAbstractUI.aspx?menuIndex=3&amp;refID=7081084&amp;Result=3","7081084")</f>
        <v>0</v>
      </c>
      <c r="B4410" t="s">
        <v>130</v>
      </c>
      <c r="C4410" t="s">
        <v>7738</v>
      </c>
      <c r="D4410" t="s">
        <v>18109</v>
      </c>
      <c r="E4410" t="s">
        <v>22136</v>
      </c>
      <c r="F4410" t="s">
        <v>31362</v>
      </c>
      <c r="G4410" t="s">
        <v>31368</v>
      </c>
      <c r="H4410" t="s">
        <v>15799</v>
      </c>
      <c r="I4410" t="s">
        <v>31430</v>
      </c>
      <c r="J4410" t="s">
        <v>31998</v>
      </c>
      <c r="K4410" t="s">
        <v>40662</v>
      </c>
      <c r="M4410" t="s">
        <v>41067</v>
      </c>
      <c r="N4410" t="s">
        <v>44905</v>
      </c>
      <c r="O4410" t="s">
        <v>44906</v>
      </c>
      <c r="P4410">
        <v>0</v>
      </c>
      <c r="Q4410">
        <v>2</v>
      </c>
      <c r="R4410" t="s">
        <v>44908</v>
      </c>
      <c r="S4410" t="s">
        <v>45042</v>
      </c>
      <c r="T4410" t="s">
        <v>46394</v>
      </c>
      <c r="U4410" t="s">
        <v>50530</v>
      </c>
      <c r="W4410" t="s">
        <v>41067</v>
      </c>
      <c r="X4410" t="s">
        <v>44909</v>
      </c>
    </row>
    <row r="4411" spans="1:24">
      <c r="A4411">
        <f>HYPERLINK("https://www.philgeps.gov.ph/GEPSNONPILOT/Tender/SplashBidNoticeAbstractUI.aspx?menuIndex=3&amp;refID=7081092&amp;Result=3","7081092")</f>
        <v>0</v>
      </c>
      <c r="B4411" t="s">
        <v>934</v>
      </c>
      <c r="C4411" t="s">
        <v>7739</v>
      </c>
      <c r="D4411" t="s">
        <v>18172</v>
      </c>
      <c r="E4411" t="s">
        <v>22137</v>
      </c>
      <c r="F4411" t="s">
        <v>31362</v>
      </c>
      <c r="G4411" t="s">
        <v>31368</v>
      </c>
      <c r="H4411" t="s">
        <v>15799</v>
      </c>
      <c r="I4411" t="s">
        <v>31473</v>
      </c>
      <c r="J4411" t="s">
        <v>31806</v>
      </c>
      <c r="K4411" t="s">
        <v>40666</v>
      </c>
      <c r="L4411" t="s">
        <v>934</v>
      </c>
      <c r="M4411" t="s">
        <v>41921</v>
      </c>
      <c r="N4411" t="s">
        <v>44905</v>
      </c>
      <c r="O4411" t="s">
        <v>44906</v>
      </c>
      <c r="P4411">
        <v>0</v>
      </c>
      <c r="Q4411">
        <v>0</v>
      </c>
      <c r="R4411" t="s">
        <v>44908</v>
      </c>
      <c r="S4411" t="s">
        <v>45042</v>
      </c>
      <c r="T4411" t="s">
        <v>46670</v>
      </c>
      <c r="U4411" t="s">
        <v>50531</v>
      </c>
      <c r="W4411" t="s">
        <v>41921</v>
      </c>
      <c r="X4411" t="s">
        <v>44909</v>
      </c>
    </row>
    <row r="4412" spans="1:24">
      <c r="A4412">
        <f>HYPERLINK("https://www.philgeps.gov.ph/GEPSNONPILOT/Tender/SplashBidNoticeAbstractUI.aspx?menuIndex=3&amp;refID=7081090&amp;Result=3","7081090")</f>
        <v>0</v>
      </c>
      <c r="B4412" t="s">
        <v>1077</v>
      </c>
      <c r="C4412" t="s">
        <v>7740</v>
      </c>
      <c r="D4412" t="s">
        <v>18149</v>
      </c>
      <c r="E4412" t="s">
        <v>22138</v>
      </c>
      <c r="F4412" t="s">
        <v>31362</v>
      </c>
      <c r="G4412" t="s">
        <v>31368</v>
      </c>
      <c r="H4412" t="s">
        <v>15799</v>
      </c>
      <c r="I4412" t="s">
        <v>3815</v>
      </c>
      <c r="J4412" t="s">
        <v>34395</v>
      </c>
      <c r="K4412" t="s">
        <v>40662</v>
      </c>
      <c r="M4412" t="s">
        <v>42079</v>
      </c>
      <c r="N4412" t="s">
        <v>44905</v>
      </c>
      <c r="O4412" t="s">
        <v>44906</v>
      </c>
      <c r="P4412">
        <v>0</v>
      </c>
      <c r="Q4412">
        <v>0</v>
      </c>
      <c r="R4412" t="s">
        <v>44908</v>
      </c>
      <c r="S4412" t="s">
        <v>45042</v>
      </c>
      <c r="T4412" t="s">
        <v>46443</v>
      </c>
      <c r="U4412" t="s">
        <v>50532</v>
      </c>
      <c r="W4412" t="s">
        <v>42079</v>
      </c>
      <c r="X4412" t="s">
        <v>44909</v>
      </c>
    </row>
    <row r="4413" spans="1:24">
      <c r="A4413">
        <f>HYPERLINK("https://www.philgeps.gov.ph/GEPSNONPILOT/Tender/SplashBidNoticeAbstractUI.aspx?menuIndex=3&amp;refID=7081086&amp;Result=3","7081086")</f>
        <v>0</v>
      </c>
      <c r="B4413" t="s">
        <v>809</v>
      </c>
      <c r="C4413" t="s">
        <v>7741</v>
      </c>
      <c r="D4413" t="s">
        <v>18116</v>
      </c>
      <c r="E4413" t="s">
        <v>20026</v>
      </c>
      <c r="F4413" t="s">
        <v>31362</v>
      </c>
      <c r="G4413" t="s">
        <v>31370</v>
      </c>
      <c r="H4413" t="s">
        <v>15799</v>
      </c>
      <c r="I4413" t="s">
        <v>31385</v>
      </c>
      <c r="J4413" t="s">
        <v>31921</v>
      </c>
      <c r="K4413" t="s">
        <v>40662</v>
      </c>
      <c r="M4413" t="s">
        <v>41780</v>
      </c>
      <c r="N4413" t="s">
        <v>44905</v>
      </c>
      <c r="O4413" t="s">
        <v>44906</v>
      </c>
      <c r="P4413">
        <v>0</v>
      </c>
      <c r="Q4413">
        <v>0</v>
      </c>
      <c r="R4413" t="s">
        <v>44908</v>
      </c>
      <c r="S4413" t="s">
        <v>45042</v>
      </c>
      <c r="T4413" t="s">
        <v>46409</v>
      </c>
      <c r="U4413" t="s">
        <v>50533</v>
      </c>
      <c r="W4413" t="s">
        <v>41780</v>
      </c>
      <c r="X4413" t="s">
        <v>44909</v>
      </c>
    </row>
    <row r="4414" spans="1:24">
      <c r="A4414">
        <f>HYPERLINK("https://www.philgeps.gov.ph/GEPSNONPILOT/Tender/SplashBidNoticeAbstractUI.aspx?menuIndex=3&amp;refID=7081085&amp;Result=3","7081085")</f>
        <v>0</v>
      </c>
      <c r="B4414" t="s">
        <v>1508</v>
      </c>
      <c r="C4414" t="s">
        <v>7742</v>
      </c>
      <c r="D4414" t="s">
        <v>18153</v>
      </c>
      <c r="E4414" t="s">
        <v>22139</v>
      </c>
      <c r="F4414" t="s">
        <v>31362</v>
      </c>
      <c r="G4414" t="s">
        <v>31369</v>
      </c>
      <c r="H4414" t="s">
        <v>31378</v>
      </c>
      <c r="I4414" t="s">
        <v>31386</v>
      </c>
      <c r="J4414" t="s">
        <v>34396</v>
      </c>
      <c r="K4414" t="s">
        <v>40779</v>
      </c>
      <c r="M4414" t="s">
        <v>42548</v>
      </c>
      <c r="N4414" t="s">
        <v>44905</v>
      </c>
      <c r="O4414" t="s">
        <v>44906</v>
      </c>
      <c r="P4414">
        <v>0</v>
      </c>
      <c r="Q4414">
        <v>0</v>
      </c>
      <c r="R4414" t="s">
        <v>44908</v>
      </c>
      <c r="S4414" t="s">
        <v>45042</v>
      </c>
      <c r="T4414" t="s">
        <v>46433</v>
      </c>
      <c r="U4414" t="s">
        <v>50491</v>
      </c>
      <c r="V4414" t="s">
        <v>59478</v>
      </c>
      <c r="W4414" t="s">
        <v>42548</v>
      </c>
      <c r="X4414" t="s">
        <v>44909</v>
      </c>
    </row>
    <row r="4415" spans="1:24">
      <c r="A4415">
        <f>HYPERLINK("https://www.philgeps.gov.ph/GEPSNONPILOT/Tender/SplashBidNoticeAbstractUI.aspx?menuIndex=3&amp;refID=7081070&amp;Result=3","7081070")</f>
        <v>0</v>
      </c>
      <c r="B4415" t="s">
        <v>335</v>
      </c>
      <c r="C4415" t="s">
        <v>7743</v>
      </c>
      <c r="D4415" t="s">
        <v>18108</v>
      </c>
      <c r="E4415" t="s">
        <v>22140</v>
      </c>
      <c r="F4415" t="s">
        <v>31362</v>
      </c>
      <c r="G4415" t="s">
        <v>31368</v>
      </c>
      <c r="H4415" t="s">
        <v>15799</v>
      </c>
      <c r="I4415" t="s">
        <v>31422</v>
      </c>
      <c r="J4415" t="s">
        <v>31536</v>
      </c>
      <c r="K4415" t="s">
        <v>40661</v>
      </c>
      <c r="M4415" t="s">
        <v>42389</v>
      </c>
      <c r="N4415" t="s">
        <v>44905</v>
      </c>
      <c r="O4415" t="s">
        <v>44906</v>
      </c>
      <c r="P4415">
        <v>0</v>
      </c>
      <c r="Q4415">
        <v>1</v>
      </c>
      <c r="R4415" t="s">
        <v>44908</v>
      </c>
      <c r="S4415" t="s">
        <v>45042</v>
      </c>
      <c r="T4415" t="s">
        <v>46447</v>
      </c>
      <c r="U4415" t="s">
        <v>50534</v>
      </c>
      <c r="W4415" t="s">
        <v>42389</v>
      </c>
      <c r="X4415" t="s">
        <v>44909</v>
      </c>
    </row>
    <row r="4416" spans="1:24">
      <c r="A4416">
        <f>HYPERLINK("https://www.philgeps.gov.ph/GEPSNONPILOT/Tender/SplashBidNoticeAbstractUI.aspx?menuIndex=3&amp;refID=7081083&amp;Result=3","7081083")</f>
        <v>0</v>
      </c>
      <c r="B4416" t="s">
        <v>1202</v>
      </c>
      <c r="C4416" t="s">
        <v>7744</v>
      </c>
      <c r="D4416" t="s">
        <v>18164</v>
      </c>
      <c r="E4416" t="s">
        <v>22141</v>
      </c>
      <c r="F4416" t="s">
        <v>31362</v>
      </c>
      <c r="G4416" t="s">
        <v>31370</v>
      </c>
      <c r="H4416" t="s">
        <v>15799</v>
      </c>
      <c r="I4416" t="s">
        <v>31400</v>
      </c>
      <c r="J4416" t="s">
        <v>31843</v>
      </c>
      <c r="K4416" t="s">
        <v>40693</v>
      </c>
      <c r="L4416" t="s">
        <v>1202</v>
      </c>
      <c r="M4416" t="s">
        <v>42214</v>
      </c>
      <c r="N4416" t="s">
        <v>44905</v>
      </c>
      <c r="O4416" t="s">
        <v>44906</v>
      </c>
      <c r="P4416">
        <v>0</v>
      </c>
      <c r="Q4416">
        <v>0</v>
      </c>
      <c r="R4416" t="s">
        <v>44908</v>
      </c>
      <c r="S4416" t="s">
        <v>45042</v>
      </c>
      <c r="T4416" t="s">
        <v>46409</v>
      </c>
      <c r="U4416" t="s">
        <v>50535</v>
      </c>
      <c r="W4416" t="s">
        <v>42214</v>
      </c>
      <c r="X4416" t="s">
        <v>44909</v>
      </c>
    </row>
    <row r="4417" spans="1:24">
      <c r="A4417">
        <f>HYPERLINK("https://www.philgeps.gov.ph/GEPSNONPILOT/Tender/SplashBidNoticeAbstractUI.aspx?menuIndex=3&amp;refID=7081098&amp;Result=3","7081098")</f>
        <v>0</v>
      </c>
      <c r="B4417" t="s">
        <v>1217</v>
      </c>
      <c r="C4417" t="s">
        <v>7745</v>
      </c>
      <c r="D4417" t="s">
        <v>18106</v>
      </c>
      <c r="E4417" t="s">
        <v>22142</v>
      </c>
      <c r="F4417" t="s">
        <v>31362</v>
      </c>
      <c r="G4417" t="s">
        <v>31368</v>
      </c>
      <c r="H4417" t="s">
        <v>15799</v>
      </c>
      <c r="I4417" t="s">
        <v>31439</v>
      </c>
      <c r="J4417" t="s">
        <v>34397</v>
      </c>
      <c r="K4417" t="s">
        <v>40665</v>
      </c>
      <c r="M4417" t="s">
        <v>42230</v>
      </c>
      <c r="N4417" t="s">
        <v>44905</v>
      </c>
      <c r="O4417" t="s">
        <v>44906</v>
      </c>
      <c r="P4417">
        <v>0</v>
      </c>
      <c r="Q4417">
        <v>1</v>
      </c>
      <c r="R4417" t="s">
        <v>44908</v>
      </c>
      <c r="S4417" t="s">
        <v>45042</v>
      </c>
      <c r="T4417" t="s">
        <v>46447</v>
      </c>
      <c r="U4417" t="s">
        <v>49589</v>
      </c>
      <c r="V4417" t="s">
        <v>59395</v>
      </c>
      <c r="W4417" t="s">
        <v>42230</v>
      </c>
      <c r="X4417" t="s">
        <v>44909</v>
      </c>
    </row>
    <row r="4418" spans="1:24">
      <c r="A4418">
        <f>HYPERLINK("https://www.philgeps.gov.ph/GEPSNONPILOT/Tender/SplashBidNoticeAbstractUI.aspx?menuIndex=3&amp;refID=7081094&amp;Result=3","7081094")</f>
        <v>0</v>
      </c>
      <c r="B4418" t="s">
        <v>591</v>
      </c>
      <c r="C4418" t="s">
        <v>7746</v>
      </c>
      <c r="D4418" t="s">
        <v>18109</v>
      </c>
      <c r="E4418" t="s">
        <v>7746</v>
      </c>
      <c r="F4418" t="s">
        <v>31362</v>
      </c>
      <c r="G4418" t="s">
        <v>31368</v>
      </c>
      <c r="H4418" t="s">
        <v>15799</v>
      </c>
      <c r="I4418" t="s">
        <v>31431</v>
      </c>
      <c r="J4418" t="s">
        <v>34398</v>
      </c>
      <c r="K4418" t="s">
        <v>40666</v>
      </c>
      <c r="M4418" t="s">
        <v>41548</v>
      </c>
      <c r="N4418" t="s">
        <v>44905</v>
      </c>
      <c r="O4418" t="s">
        <v>44906</v>
      </c>
      <c r="P4418">
        <v>0</v>
      </c>
      <c r="Q4418">
        <v>0</v>
      </c>
      <c r="R4418" t="s">
        <v>44908</v>
      </c>
      <c r="S4418" t="s">
        <v>45042</v>
      </c>
      <c r="T4418" t="s">
        <v>46432</v>
      </c>
      <c r="U4418" t="s">
        <v>48056</v>
      </c>
      <c r="W4418" t="s">
        <v>41548</v>
      </c>
      <c r="X4418" t="s">
        <v>44909</v>
      </c>
    </row>
    <row r="4419" spans="1:24">
      <c r="A4419">
        <f>HYPERLINK("https://www.philgeps.gov.ph/GEPSNONPILOT/Tender/SplashBidNoticeAbstractUI.aspx?menuIndex=3&amp;refID=7081113&amp;Result=3","7081113")</f>
        <v>0</v>
      </c>
      <c r="B4419" t="s">
        <v>1467</v>
      </c>
      <c r="C4419" t="s">
        <v>7747</v>
      </c>
      <c r="D4419" t="s">
        <v>18147</v>
      </c>
      <c r="E4419" t="s">
        <v>22143</v>
      </c>
      <c r="F4419" t="s">
        <v>31362</v>
      </c>
      <c r="G4419" t="s">
        <v>31369</v>
      </c>
      <c r="H4419" t="s">
        <v>31378</v>
      </c>
      <c r="I4419" t="s">
        <v>31386</v>
      </c>
      <c r="J4419" t="s">
        <v>34399</v>
      </c>
      <c r="K4419" t="s">
        <v>40761</v>
      </c>
      <c r="M4419" t="s">
        <v>42499</v>
      </c>
      <c r="N4419" t="s">
        <v>44905</v>
      </c>
      <c r="O4419" t="s">
        <v>44906</v>
      </c>
      <c r="P4419">
        <v>0</v>
      </c>
      <c r="Q4419">
        <v>0</v>
      </c>
      <c r="R4419" t="s">
        <v>44908</v>
      </c>
      <c r="S4419" t="s">
        <v>45042</v>
      </c>
      <c r="T4419" t="s">
        <v>46453</v>
      </c>
      <c r="U4419" t="s">
        <v>50424</v>
      </c>
      <c r="W4419" t="s">
        <v>42499</v>
      </c>
      <c r="X4419" t="s">
        <v>44909</v>
      </c>
    </row>
    <row r="4420" spans="1:24">
      <c r="A4420">
        <f>HYPERLINK("https://www.philgeps.gov.ph/GEPSNONPILOT/Tender/SplashBidNoticeAbstractUI.aspx?menuIndex=3&amp;refID=7081077&amp;Result=3","7081077")</f>
        <v>0</v>
      </c>
      <c r="B4420" t="s">
        <v>1516</v>
      </c>
      <c r="C4420" t="s">
        <v>7748</v>
      </c>
      <c r="D4420" t="s">
        <v>18107</v>
      </c>
      <c r="E4420" t="s">
        <v>22144</v>
      </c>
      <c r="F4420" t="s">
        <v>31362</v>
      </c>
      <c r="G4420" t="s">
        <v>31368</v>
      </c>
      <c r="H4420" t="s">
        <v>15799</v>
      </c>
      <c r="I4420" t="s">
        <v>31393</v>
      </c>
      <c r="J4420" t="s">
        <v>31570</v>
      </c>
      <c r="K4420" t="s">
        <v>40661</v>
      </c>
      <c r="M4420" t="s">
        <v>42560</v>
      </c>
      <c r="N4420" t="s">
        <v>44905</v>
      </c>
      <c r="O4420" t="s">
        <v>44906</v>
      </c>
      <c r="P4420">
        <v>0</v>
      </c>
      <c r="Q4420">
        <v>1</v>
      </c>
      <c r="R4420" t="s">
        <v>44908</v>
      </c>
      <c r="S4420" t="s">
        <v>45042</v>
      </c>
      <c r="T4420" t="s">
        <v>46670</v>
      </c>
      <c r="U4420" t="s">
        <v>50536</v>
      </c>
      <c r="W4420" t="s">
        <v>42560</v>
      </c>
      <c r="X4420" t="s">
        <v>44909</v>
      </c>
    </row>
    <row r="4421" spans="1:24">
      <c r="A4421">
        <f>HYPERLINK("https://www.philgeps.gov.ph/GEPSNONPILOT/Tender/SplashBidNoticeAbstractUI.aspx?menuIndex=3&amp;refID=7081112&amp;Result=3","7081112")</f>
        <v>0</v>
      </c>
      <c r="B4421" t="s">
        <v>575</v>
      </c>
      <c r="C4421" t="s">
        <v>7749</v>
      </c>
      <c r="D4421" t="s">
        <v>18108</v>
      </c>
      <c r="E4421" t="s">
        <v>22145</v>
      </c>
      <c r="F4421" t="s">
        <v>31362</v>
      </c>
      <c r="G4421" t="s">
        <v>31368</v>
      </c>
      <c r="H4421" t="s">
        <v>15799</v>
      </c>
      <c r="I4421" t="s">
        <v>3815</v>
      </c>
      <c r="J4421" t="s">
        <v>32553</v>
      </c>
      <c r="K4421" t="s">
        <v>40672</v>
      </c>
      <c r="M4421" t="s">
        <v>41531</v>
      </c>
      <c r="N4421" t="s">
        <v>44905</v>
      </c>
      <c r="O4421" t="s">
        <v>44906</v>
      </c>
      <c r="P4421">
        <v>0</v>
      </c>
      <c r="Q4421">
        <v>0</v>
      </c>
      <c r="R4421" t="s">
        <v>44908</v>
      </c>
      <c r="S4421" t="s">
        <v>45042</v>
      </c>
      <c r="T4421" t="s">
        <v>46409</v>
      </c>
      <c r="U4421" t="s">
        <v>50537</v>
      </c>
      <c r="W4421" t="s">
        <v>41531</v>
      </c>
      <c r="X4421" t="s">
        <v>44909</v>
      </c>
    </row>
    <row r="4422" spans="1:24">
      <c r="A4422">
        <f>HYPERLINK("https://www.philgeps.gov.ph/GEPSNONPILOT/Tender/SplashBidNoticeAbstractUI.aspx?menuIndex=3&amp;refID=7081068&amp;Result=3","7081068")</f>
        <v>0</v>
      </c>
      <c r="B4422" t="s">
        <v>79</v>
      </c>
      <c r="C4422" t="s">
        <v>7750</v>
      </c>
      <c r="D4422" t="s">
        <v>18114</v>
      </c>
      <c r="E4422" t="s">
        <v>22146</v>
      </c>
      <c r="F4422" t="s">
        <v>31362</v>
      </c>
      <c r="G4422" t="s">
        <v>31368</v>
      </c>
      <c r="H4422" t="s">
        <v>15799</v>
      </c>
      <c r="I4422" t="s">
        <v>31430</v>
      </c>
      <c r="J4422" t="s">
        <v>34400</v>
      </c>
      <c r="K4422" t="s">
        <v>40665</v>
      </c>
      <c r="M4422" t="s">
        <v>41015</v>
      </c>
      <c r="N4422" t="s">
        <v>44905</v>
      </c>
      <c r="O4422" t="s">
        <v>44906</v>
      </c>
      <c r="P4422">
        <v>0</v>
      </c>
      <c r="Q4422">
        <v>0</v>
      </c>
      <c r="R4422" t="s">
        <v>44908</v>
      </c>
      <c r="S4422" t="s">
        <v>45042</v>
      </c>
      <c r="T4422" t="s">
        <v>46434</v>
      </c>
      <c r="U4422" t="s">
        <v>50538</v>
      </c>
      <c r="W4422" t="s">
        <v>41015</v>
      </c>
      <c r="X4422" t="s">
        <v>44909</v>
      </c>
    </row>
    <row r="4423" spans="1:24">
      <c r="A4423">
        <f>HYPERLINK("https://www.philgeps.gov.ph/GEPSNONPILOT/Tender/SplashBidNoticeAbstractUI.aspx?menuIndex=3&amp;refID=7081108&amp;Result=3","7081108")</f>
        <v>0</v>
      </c>
      <c r="B4423" t="s">
        <v>1491</v>
      </c>
      <c r="C4423" t="s">
        <v>7751</v>
      </c>
      <c r="D4423" t="s">
        <v>18139</v>
      </c>
      <c r="E4423" t="s">
        <v>22147</v>
      </c>
      <c r="F4423" t="s">
        <v>31362</v>
      </c>
      <c r="G4423" t="s">
        <v>31368</v>
      </c>
      <c r="H4423" t="s">
        <v>15799</v>
      </c>
      <c r="I4423" t="s">
        <v>31414</v>
      </c>
      <c r="J4423" t="s">
        <v>34401</v>
      </c>
      <c r="K4423" t="s">
        <v>40665</v>
      </c>
      <c r="M4423" t="s">
        <v>42528</v>
      </c>
      <c r="N4423" t="s">
        <v>44905</v>
      </c>
      <c r="O4423" t="s">
        <v>44906</v>
      </c>
      <c r="P4423">
        <v>0</v>
      </c>
      <c r="Q4423">
        <v>3</v>
      </c>
      <c r="R4423" t="s">
        <v>44908</v>
      </c>
      <c r="S4423" t="s">
        <v>45042</v>
      </c>
      <c r="T4423" t="s">
        <v>46454</v>
      </c>
      <c r="U4423" t="s">
        <v>50446</v>
      </c>
      <c r="W4423" t="s">
        <v>42528</v>
      </c>
      <c r="X4423" t="s">
        <v>44909</v>
      </c>
    </row>
    <row r="4424" spans="1:24">
      <c r="A4424">
        <f>HYPERLINK("https://www.philgeps.gov.ph/GEPSNONPILOT/Tender/SplashBidNoticeAbstractUI.aspx?menuIndex=3&amp;refID=7081096&amp;Result=3","7081096")</f>
        <v>0</v>
      </c>
      <c r="B4424" t="s">
        <v>1449</v>
      </c>
      <c r="C4424" t="s">
        <v>7752</v>
      </c>
      <c r="E4424" t="s">
        <v>22148</v>
      </c>
      <c r="F4424" t="s">
        <v>31362</v>
      </c>
      <c r="G4424" t="s">
        <v>31368</v>
      </c>
      <c r="H4424" t="s">
        <v>15799</v>
      </c>
      <c r="I4424" t="s">
        <v>31392</v>
      </c>
      <c r="J4424" t="s">
        <v>34402</v>
      </c>
      <c r="K4424" t="s">
        <v>40662</v>
      </c>
      <c r="M4424" t="s">
        <v>42479</v>
      </c>
      <c r="N4424" t="s">
        <v>44905</v>
      </c>
      <c r="O4424" t="s">
        <v>44906</v>
      </c>
      <c r="P4424">
        <v>0</v>
      </c>
      <c r="Q4424">
        <v>13</v>
      </c>
      <c r="R4424" t="s">
        <v>44908</v>
      </c>
      <c r="S4424" t="s">
        <v>45042</v>
      </c>
      <c r="T4424" t="s">
        <v>46411</v>
      </c>
      <c r="U4424" t="s">
        <v>50261</v>
      </c>
      <c r="W4424" t="s">
        <v>42479</v>
      </c>
      <c r="X4424" t="s">
        <v>44909</v>
      </c>
    </row>
    <row r="4425" spans="1:24">
      <c r="A4425">
        <f>HYPERLINK("https://www.philgeps.gov.ph/GEPSNONPILOT/Tender/SplashBidNoticeAbstractUI.aspx?menuIndex=3&amp;refID=7081106&amp;Result=3","7081106")</f>
        <v>0</v>
      </c>
      <c r="B4425" t="s">
        <v>1517</v>
      </c>
      <c r="C4425" t="s">
        <v>7753</v>
      </c>
      <c r="D4425" t="s">
        <v>18131</v>
      </c>
      <c r="E4425" t="s">
        <v>22149</v>
      </c>
      <c r="F4425" t="s">
        <v>31362</v>
      </c>
      <c r="G4425" t="s">
        <v>31369</v>
      </c>
      <c r="H4425" t="s">
        <v>31378</v>
      </c>
      <c r="I4425" t="s">
        <v>31386</v>
      </c>
      <c r="J4425" t="s">
        <v>34403</v>
      </c>
      <c r="K4425" t="s">
        <v>40665</v>
      </c>
      <c r="M4425" t="s">
        <v>42561</v>
      </c>
      <c r="N4425" t="s">
        <v>44905</v>
      </c>
      <c r="O4425" t="s">
        <v>44906</v>
      </c>
      <c r="P4425">
        <v>0</v>
      </c>
      <c r="Q4425">
        <v>3</v>
      </c>
      <c r="R4425" t="s">
        <v>44908</v>
      </c>
      <c r="S4425" t="s">
        <v>45042</v>
      </c>
      <c r="T4425" t="s">
        <v>46427</v>
      </c>
      <c r="U4425" t="s">
        <v>50539</v>
      </c>
      <c r="W4425" t="s">
        <v>42561</v>
      </c>
      <c r="X4425" t="s">
        <v>44909</v>
      </c>
    </row>
    <row r="4426" spans="1:24">
      <c r="A4426">
        <f>HYPERLINK("https://www.philgeps.gov.ph/GEPSNONPILOT/Tender/SplashBidNoticeAbstractUI.aspx?menuIndex=3&amp;refID=7081110&amp;Result=3","7081110")</f>
        <v>0</v>
      </c>
      <c r="B4426" t="s">
        <v>1238</v>
      </c>
      <c r="C4426" t="s">
        <v>7754</v>
      </c>
      <c r="E4426" t="s">
        <v>22150</v>
      </c>
      <c r="F4426" t="s">
        <v>31362</v>
      </c>
      <c r="G4426" t="s">
        <v>31368</v>
      </c>
      <c r="H4426" t="s">
        <v>15799</v>
      </c>
      <c r="I4426" t="s">
        <v>31377</v>
      </c>
      <c r="J4426" t="s">
        <v>31734</v>
      </c>
      <c r="K4426" t="s">
        <v>40679</v>
      </c>
      <c r="M4426" t="s">
        <v>42252</v>
      </c>
      <c r="N4426" t="s">
        <v>44905</v>
      </c>
      <c r="O4426" t="s">
        <v>44906</v>
      </c>
      <c r="P4426">
        <v>0</v>
      </c>
      <c r="Q4426">
        <v>0</v>
      </c>
      <c r="R4426" t="s">
        <v>44908</v>
      </c>
      <c r="S4426" t="s">
        <v>45042</v>
      </c>
      <c r="T4426" t="s">
        <v>46416</v>
      </c>
      <c r="U4426" t="s">
        <v>50540</v>
      </c>
      <c r="W4426" t="s">
        <v>42252</v>
      </c>
      <c r="X4426" t="s">
        <v>44909</v>
      </c>
    </row>
    <row r="4427" spans="1:24">
      <c r="A4427">
        <f>HYPERLINK("https://www.philgeps.gov.ph/GEPSNONPILOT/Tender/SplashBidNoticeAbstractUI.aspx?menuIndex=3&amp;refID=7081120&amp;Result=3","7081120")</f>
        <v>0</v>
      </c>
      <c r="B4427" t="s">
        <v>1518</v>
      </c>
      <c r="C4427" t="s">
        <v>7755</v>
      </c>
      <c r="D4427" t="s">
        <v>18108</v>
      </c>
      <c r="E4427" t="s">
        <v>18648</v>
      </c>
      <c r="F4427" t="s">
        <v>31362</v>
      </c>
      <c r="G4427" t="s">
        <v>31368</v>
      </c>
      <c r="H4427" t="s">
        <v>15799</v>
      </c>
      <c r="I4427" t="s">
        <v>7719</v>
      </c>
      <c r="J4427" t="s">
        <v>34404</v>
      </c>
      <c r="K4427" t="s">
        <v>40682</v>
      </c>
      <c r="M4427" t="s">
        <v>42562</v>
      </c>
      <c r="N4427" t="s">
        <v>44905</v>
      </c>
      <c r="O4427" t="s">
        <v>44906</v>
      </c>
      <c r="P4427">
        <v>0</v>
      </c>
      <c r="Q4427">
        <v>21</v>
      </c>
      <c r="R4427" t="s">
        <v>44908</v>
      </c>
      <c r="S4427" t="s">
        <v>45042</v>
      </c>
      <c r="T4427" t="s">
        <v>46422</v>
      </c>
      <c r="U4427" t="s">
        <v>50541</v>
      </c>
      <c r="W4427" t="s">
        <v>42562</v>
      </c>
      <c r="X4427" t="s">
        <v>44909</v>
      </c>
    </row>
    <row r="4428" spans="1:24">
      <c r="A4428">
        <f>HYPERLINK("https://www.philgeps.gov.ph/GEPSNONPILOT/Tender/SplashBidNoticeAbstractUI.aspx?menuIndex=3&amp;refID=7081087&amp;Result=3","7081087")</f>
        <v>0</v>
      </c>
      <c r="B4428" t="s">
        <v>440</v>
      </c>
      <c r="C4428" t="s">
        <v>7756</v>
      </c>
      <c r="D4428" t="s">
        <v>18154</v>
      </c>
      <c r="E4428" t="s">
        <v>22151</v>
      </c>
      <c r="F4428" t="s">
        <v>31362</v>
      </c>
      <c r="G4428" t="s">
        <v>31368</v>
      </c>
      <c r="H4428" t="s">
        <v>15799</v>
      </c>
      <c r="I4428" t="s">
        <v>31388</v>
      </c>
      <c r="J4428" t="s">
        <v>34405</v>
      </c>
      <c r="K4428" t="s">
        <v>40662</v>
      </c>
      <c r="M4428" t="s">
        <v>41604</v>
      </c>
      <c r="N4428" t="s">
        <v>44905</v>
      </c>
      <c r="O4428" t="s">
        <v>44906</v>
      </c>
      <c r="P4428">
        <v>0</v>
      </c>
      <c r="Q4428">
        <v>0</v>
      </c>
      <c r="R4428" t="s">
        <v>44908</v>
      </c>
      <c r="S4428" t="s">
        <v>45042</v>
      </c>
      <c r="T4428" t="s">
        <v>46447</v>
      </c>
      <c r="U4428" t="s">
        <v>50542</v>
      </c>
      <c r="W4428" t="s">
        <v>41604</v>
      </c>
      <c r="X4428" t="s">
        <v>44909</v>
      </c>
    </row>
    <row r="4429" spans="1:24">
      <c r="A4429">
        <f>HYPERLINK("https://www.philgeps.gov.ph/GEPSNONPILOT/Tender/SplashBidNoticeAbstractUI.aspx?menuIndex=3&amp;refID=7081115&amp;Result=3","7081115")</f>
        <v>0</v>
      </c>
      <c r="B4429" t="s">
        <v>118</v>
      </c>
      <c r="C4429" t="s">
        <v>7757</v>
      </c>
      <c r="D4429" t="s">
        <v>18142</v>
      </c>
      <c r="E4429" t="s">
        <v>22152</v>
      </c>
      <c r="F4429" t="s">
        <v>31362</v>
      </c>
      <c r="G4429" t="s">
        <v>31369</v>
      </c>
      <c r="H4429" t="s">
        <v>31378</v>
      </c>
      <c r="I4429" t="s">
        <v>31386</v>
      </c>
      <c r="J4429" t="s">
        <v>31734</v>
      </c>
      <c r="K4429" t="s">
        <v>40665</v>
      </c>
      <c r="M4429" t="s">
        <v>41055</v>
      </c>
      <c r="N4429" t="s">
        <v>44905</v>
      </c>
      <c r="O4429" t="s">
        <v>44906</v>
      </c>
      <c r="P4429">
        <v>0</v>
      </c>
      <c r="Q4429">
        <v>0</v>
      </c>
      <c r="R4429" t="s">
        <v>44908</v>
      </c>
      <c r="S4429" t="s">
        <v>45042</v>
      </c>
      <c r="T4429" t="s">
        <v>46493</v>
      </c>
      <c r="U4429" t="s">
        <v>50543</v>
      </c>
      <c r="W4429" t="s">
        <v>41055</v>
      </c>
      <c r="X4429" t="s">
        <v>44909</v>
      </c>
    </row>
    <row r="4430" spans="1:24">
      <c r="A4430">
        <f>HYPERLINK("https://www.philgeps.gov.ph/GEPSNONPILOT/Tender/SplashBidNoticeAbstractUI.aspx?menuIndex=3&amp;refID=7081111&amp;Result=3","7081111")</f>
        <v>0</v>
      </c>
      <c r="B4430" t="s">
        <v>1389</v>
      </c>
      <c r="C4430" t="s">
        <v>7758</v>
      </c>
      <c r="D4430" t="s">
        <v>18127</v>
      </c>
      <c r="E4430" t="s">
        <v>22153</v>
      </c>
      <c r="F4430" t="s">
        <v>31362</v>
      </c>
      <c r="G4430" t="s">
        <v>31368</v>
      </c>
      <c r="H4430" t="s">
        <v>15799</v>
      </c>
      <c r="I4430" t="s">
        <v>6240</v>
      </c>
      <c r="J4430" t="s">
        <v>34406</v>
      </c>
      <c r="K4430" t="s">
        <v>40662</v>
      </c>
      <c r="M4430" t="s">
        <v>42414</v>
      </c>
      <c r="N4430" t="s">
        <v>44905</v>
      </c>
      <c r="O4430" t="s">
        <v>44906</v>
      </c>
      <c r="P4430">
        <v>0</v>
      </c>
      <c r="Q4430">
        <v>0</v>
      </c>
      <c r="R4430" t="s">
        <v>44908</v>
      </c>
      <c r="S4430" t="s">
        <v>45042</v>
      </c>
      <c r="T4430" t="s">
        <v>46393</v>
      </c>
      <c r="U4430" t="s">
        <v>50544</v>
      </c>
      <c r="W4430" t="s">
        <v>42414</v>
      </c>
      <c r="X4430" t="s">
        <v>44909</v>
      </c>
    </row>
    <row r="4431" spans="1:24">
      <c r="A4431">
        <f>HYPERLINK("https://www.philgeps.gov.ph/GEPSNONPILOT/Tender/SplashBidNoticeAbstractUI.aspx?menuIndex=3&amp;refID=7081114&amp;Result=3","7081114")</f>
        <v>0</v>
      </c>
      <c r="B4431" t="s">
        <v>333</v>
      </c>
      <c r="C4431" t="s">
        <v>7759</v>
      </c>
      <c r="D4431" t="s">
        <v>18108</v>
      </c>
      <c r="E4431" t="s">
        <v>22154</v>
      </c>
      <c r="F4431" t="s">
        <v>31362</v>
      </c>
      <c r="G4431" t="s">
        <v>31371</v>
      </c>
      <c r="H4431" t="s">
        <v>15799</v>
      </c>
      <c r="I4431" t="s">
        <v>31430</v>
      </c>
      <c r="J4431" t="s">
        <v>33024</v>
      </c>
      <c r="K4431" t="s">
        <v>40666</v>
      </c>
      <c r="M4431" t="s">
        <v>41279</v>
      </c>
      <c r="N4431" t="s">
        <v>44905</v>
      </c>
      <c r="O4431" t="s">
        <v>44906</v>
      </c>
      <c r="P4431">
        <v>0</v>
      </c>
      <c r="Q4431">
        <v>4</v>
      </c>
      <c r="R4431" t="s">
        <v>44908</v>
      </c>
      <c r="S4431" t="s">
        <v>45042</v>
      </c>
      <c r="T4431" t="s">
        <v>46549</v>
      </c>
      <c r="U4431" t="s">
        <v>50545</v>
      </c>
      <c r="W4431" t="s">
        <v>60847</v>
      </c>
      <c r="X4431" t="s">
        <v>44909</v>
      </c>
    </row>
    <row r="4432" spans="1:24">
      <c r="A4432">
        <f>HYPERLINK("https://www.philgeps.gov.ph/GEPSNONPILOT/Tender/SplashBidNoticeAbstractUI.aspx?menuIndex=3&amp;refID=7081102&amp;Result=3","7081102")</f>
        <v>0</v>
      </c>
      <c r="B4432" t="s">
        <v>1223</v>
      </c>
      <c r="C4432" t="s">
        <v>7760</v>
      </c>
      <c r="D4432" t="s">
        <v>18126</v>
      </c>
      <c r="E4432" t="s">
        <v>22155</v>
      </c>
      <c r="F4432" t="s">
        <v>31362</v>
      </c>
      <c r="G4432" t="s">
        <v>31370</v>
      </c>
      <c r="H4432" t="s">
        <v>15799</v>
      </c>
      <c r="I4432" t="s">
        <v>31387</v>
      </c>
      <c r="J4432" t="s">
        <v>34407</v>
      </c>
      <c r="K4432" t="s">
        <v>40693</v>
      </c>
      <c r="M4432" t="s">
        <v>42237</v>
      </c>
      <c r="N4432" t="s">
        <v>44905</v>
      </c>
      <c r="O4432" t="s">
        <v>44906</v>
      </c>
      <c r="P4432">
        <v>0</v>
      </c>
      <c r="Q4432">
        <v>0</v>
      </c>
      <c r="R4432" t="s">
        <v>44908</v>
      </c>
      <c r="S4432" t="s">
        <v>45042</v>
      </c>
      <c r="T4432" t="s">
        <v>46409</v>
      </c>
      <c r="U4432" t="s">
        <v>50546</v>
      </c>
      <c r="W4432" t="s">
        <v>42237</v>
      </c>
      <c r="X4432" t="s">
        <v>44909</v>
      </c>
    </row>
    <row r="4433" spans="1:24">
      <c r="A4433">
        <f>HYPERLINK("https://www.philgeps.gov.ph/GEPSNONPILOT/Tender/SplashBidNoticeAbstractUI.aspx?menuIndex=3&amp;refID=7081088&amp;Result=3","7081088")</f>
        <v>0</v>
      </c>
      <c r="B4433" t="s">
        <v>1238</v>
      </c>
      <c r="C4433" t="s">
        <v>7761</v>
      </c>
      <c r="E4433" t="s">
        <v>22156</v>
      </c>
      <c r="F4433" t="s">
        <v>31362</v>
      </c>
      <c r="G4433" t="s">
        <v>31368</v>
      </c>
      <c r="H4433" t="s">
        <v>31377</v>
      </c>
      <c r="I4433" t="s">
        <v>31377</v>
      </c>
      <c r="J4433" t="s">
        <v>31734</v>
      </c>
      <c r="K4433" t="s">
        <v>40679</v>
      </c>
      <c r="M4433" t="s">
        <v>42252</v>
      </c>
      <c r="N4433" t="s">
        <v>44905</v>
      </c>
      <c r="O4433" t="s">
        <v>44906</v>
      </c>
      <c r="P4433">
        <v>0</v>
      </c>
      <c r="Q4433">
        <v>1</v>
      </c>
      <c r="R4433" t="s">
        <v>44908</v>
      </c>
      <c r="S4433" t="s">
        <v>45042</v>
      </c>
      <c r="T4433" t="s">
        <v>46416</v>
      </c>
      <c r="U4433" t="s">
        <v>50547</v>
      </c>
      <c r="W4433" t="s">
        <v>42252</v>
      </c>
      <c r="X4433" t="s">
        <v>44909</v>
      </c>
    </row>
    <row r="4434" spans="1:24">
      <c r="A4434">
        <f>HYPERLINK("https://www.philgeps.gov.ph/GEPSNONPILOT/Tender/SplashBidNoticeAbstractUI.aspx?menuIndex=3&amp;refID=7081107&amp;Result=3","7081107")</f>
        <v>0</v>
      </c>
      <c r="B4434" t="s">
        <v>1519</v>
      </c>
      <c r="C4434" t="s">
        <v>7762</v>
      </c>
      <c r="D4434" t="s">
        <v>18108</v>
      </c>
      <c r="E4434" t="s">
        <v>22157</v>
      </c>
      <c r="F4434" t="s">
        <v>31362</v>
      </c>
      <c r="G4434" t="s">
        <v>31368</v>
      </c>
      <c r="H4434" t="s">
        <v>31377</v>
      </c>
      <c r="I4434" t="s">
        <v>31377</v>
      </c>
      <c r="J4434" t="s">
        <v>34408</v>
      </c>
      <c r="K4434" t="s">
        <v>40665</v>
      </c>
      <c r="M4434" t="s">
        <v>42563</v>
      </c>
      <c r="N4434" t="s">
        <v>44905</v>
      </c>
      <c r="O4434" t="s">
        <v>44906</v>
      </c>
      <c r="P4434">
        <v>0</v>
      </c>
      <c r="Q4434">
        <v>2</v>
      </c>
      <c r="R4434" t="s">
        <v>44908</v>
      </c>
      <c r="S4434" t="s">
        <v>45042</v>
      </c>
      <c r="T4434" t="s">
        <v>46435</v>
      </c>
      <c r="U4434" t="s">
        <v>50548</v>
      </c>
      <c r="W4434" t="s">
        <v>42563</v>
      </c>
      <c r="X4434" t="s">
        <v>44909</v>
      </c>
    </row>
    <row r="4435" spans="1:24">
      <c r="A4435">
        <f>HYPERLINK("https://www.philgeps.gov.ph/GEPSNONPILOT/Tender/SplashBidNoticeAbstractUI.aspx?menuIndex=3&amp;refID=7081101&amp;Result=3","7081101")</f>
        <v>0</v>
      </c>
      <c r="B4435" t="s">
        <v>79</v>
      </c>
      <c r="C4435" t="s">
        <v>7763</v>
      </c>
      <c r="D4435" t="s">
        <v>18114</v>
      </c>
      <c r="E4435" t="s">
        <v>22158</v>
      </c>
      <c r="F4435" t="s">
        <v>31362</v>
      </c>
      <c r="G4435" t="s">
        <v>31368</v>
      </c>
      <c r="H4435" t="s">
        <v>15799</v>
      </c>
      <c r="I4435" t="s">
        <v>3815</v>
      </c>
      <c r="J4435" t="s">
        <v>34409</v>
      </c>
      <c r="K4435" t="s">
        <v>40665</v>
      </c>
      <c r="M4435" t="s">
        <v>41015</v>
      </c>
      <c r="N4435" t="s">
        <v>44905</v>
      </c>
      <c r="O4435" t="s">
        <v>44906</v>
      </c>
      <c r="P4435">
        <v>0</v>
      </c>
      <c r="Q4435">
        <v>0</v>
      </c>
      <c r="R4435" t="s">
        <v>44908</v>
      </c>
      <c r="S4435" t="s">
        <v>45042</v>
      </c>
      <c r="T4435" t="s">
        <v>46434</v>
      </c>
      <c r="U4435" t="s">
        <v>50549</v>
      </c>
      <c r="W4435" t="s">
        <v>41015</v>
      </c>
      <c r="X4435" t="s">
        <v>44909</v>
      </c>
    </row>
    <row r="4436" spans="1:24">
      <c r="A4436">
        <f>HYPERLINK("https://www.philgeps.gov.ph/GEPSNONPILOT/Tender/SplashBidNoticeAbstractUI.aspx?menuIndex=3&amp;refID=7081099&amp;Result=3","7081099")</f>
        <v>0</v>
      </c>
      <c r="B4436" t="s">
        <v>443</v>
      </c>
      <c r="C4436" t="s">
        <v>7764</v>
      </c>
      <c r="D4436" t="s">
        <v>18131</v>
      </c>
      <c r="E4436" t="s">
        <v>22159</v>
      </c>
      <c r="F4436" t="s">
        <v>31362</v>
      </c>
      <c r="G4436" t="s">
        <v>31368</v>
      </c>
      <c r="H4436" t="s">
        <v>15799</v>
      </c>
      <c r="I4436" t="s">
        <v>31404</v>
      </c>
      <c r="J4436" t="s">
        <v>34410</v>
      </c>
      <c r="K4436" t="s">
        <v>40662</v>
      </c>
      <c r="L4436" t="s">
        <v>443</v>
      </c>
      <c r="M4436" t="s">
        <v>42538</v>
      </c>
      <c r="N4436" t="s">
        <v>44905</v>
      </c>
      <c r="O4436" t="s">
        <v>44906</v>
      </c>
      <c r="P4436">
        <v>0</v>
      </c>
      <c r="Q4436">
        <v>0</v>
      </c>
      <c r="R4436" t="s">
        <v>44908</v>
      </c>
      <c r="S4436" t="s">
        <v>45042</v>
      </c>
      <c r="T4436" t="s">
        <v>46454</v>
      </c>
      <c r="U4436" t="s">
        <v>47726</v>
      </c>
      <c r="W4436" t="s">
        <v>42538</v>
      </c>
      <c r="X4436" t="s">
        <v>44909</v>
      </c>
    </row>
    <row r="4437" spans="1:24">
      <c r="A4437">
        <f>HYPERLINK("https://www.philgeps.gov.ph/GEPSNONPILOT/Tender/SplashBidNoticeAbstractUI.aspx?menuIndex=3&amp;refID=7081119&amp;Result=3","7081119")</f>
        <v>0</v>
      </c>
      <c r="B4437" t="s">
        <v>1473</v>
      </c>
      <c r="C4437" t="s">
        <v>7765</v>
      </c>
      <c r="D4437" t="s">
        <v>18106</v>
      </c>
      <c r="E4437" t="s">
        <v>7765</v>
      </c>
      <c r="F4437" t="s">
        <v>31362</v>
      </c>
      <c r="G4437" t="s">
        <v>31368</v>
      </c>
      <c r="H4437" t="s">
        <v>15799</v>
      </c>
      <c r="I4437" t="s">
        <v>31404</v>
      </c>
      <c r="J4437" t="s">
        <v>31711</v>
      </c>
      <c r="K4437" t="s">
        <v>40670</v>
      </c>
      <c r="M4437" t="s">
        <v>42507</v>
      </c>
      <c r="N4437" t="s">
        <v>44905</v>
      </c>
      <c r="O4437" t="s">
        <v>44906</v>
      </c>
      <c r="P4437">
        <v>0</v>
      </c>
      <c r="Q4437">
        <v>0</v>
      </c>
      <c r="R4437" t="s">
        <v>44908</v>
      </c>
      <c r="S4437" t="s">
        <v>45042</v>
      </c>
      <c r="T4437" t="s">
        <v>46429</v>
      </c>
      <c r="U4437" t="s">
        <v>50358</v>
      </c>
      <c r="W4437" t="s">
        <v>42507</v>
      </c>
      <c r="X4437" t="s">
        <v>44909</v>
      </c>
    </row>
    <row r="4438" spans="1:24">
      <c r="A4438">
        <f>HYPERLINK("https://www.philgeps.gov.ph/GEPSNONPILOT/Tender/SplashBidNoticeAbstractUI.aspx?menuIndex=3&amp;refID=7081116&amp;Result=3","7081116")</f>
        <v>0</v>
      </c>
      <c r="B4438" t="s">
        <v>1508</v>
      </c>
      <c r="C4438" t="s">
        <v>7766</v>
      </c>
      <c r="D4438" t="s">
        <v>18153</v>
      </c>
      <c r="E4438" t="s">
        <v>22160</v>
      </c>
      <c r="F4438" t="s">
        <v>31362</v>
      </c>
      <c r="G4438" t="s">
        <v>31369</v>
      </c>
      <c r="H4438" t="s">
        <v>31378</v>
      </c>
      <c r="I4438" t="s">
        <v>31386</v>
      </c>
      <c r="J4438" t="s">
        <v>34411</v>
      </c>
      <c r="K4438" t="s">
        <v>40779</v>
      </c>
      <c r="M4438" t="s">
        <v>42548</v>
      </c>
      <c r="N4438" t="s">
        <v>44905</v>
      </c>
      <c r="O4438" t="s">
        <v>44906</v>
      </c>
      <c r="P4438">
        <v>0</v>
      </c>
      <c r="Q4438">
        <v>1</v>
      </c>
      <c r="R4438" t="s">
        <v>44908</v>
      </c>
      <c r="S4438" t="s">
        <v>45042</v>
      </c>
      <c r="T4438" t="s">
        <v>46433</v>
      </c>
      <c r="U4438" t="s">
        <v>50491</v>
      </c>
      <c r="V4438" t="s">
        <v>59479</v>
      </c>
      <c r="W4438" t="s">
        <v>42548</v>
      </c>
      <c r="X4438" t="s">
        <v>44909</v>
      </c>
    </row>
    <row r="4439" spans="1:24">
      <c r="A4439">
        <f>HYPERLINK("https://www.philgeps.gov.ph/GEPSNONPILOT/Tender/SplashBidNoticeAbstractUI.aspx?menuIndex=3&amp;refID=7081103&amp;Result=3","7081103")</f>
        <v>0</v>
      </c>
      <c r="B4439" t="s">
        <v>1499</v>
      </c>
      <c r="C4439" t="s">
        <v>7767</v>
      </c>
      <c r="D4439" t="s">
        <v>18106</v>
      </c>
      <c r="E4439" t="s">
        <v>22161</v>
      </c>
      <c r="F4439" t="s">
        <v>31362</v>
      </c>
      <c r="G4439" t="s">
        <v>31368</v>
      </c>
      <c r="H4439" t="s">
        <v>15799</v>
      </c>
      <c r="I4439" t="s">
        <v>6240</v>
      </c>
      <c r="J4439" t="s">
        <v>34412</v>
      </c>
      <c r="K4439" t="s">
        <v>40661</v>
      </c>
      <c r="M4439" t="s">
        <v>42536</v>
      </c>
      <c r="N4439" t="s">
        <v>44905</v>
      </c>
      <c r="O4439" t="s">
        <v>44906</v>
      </c>
      <c r="P4439">
        <v>0</v>
      </c>
      <c r="Q4439">
        <v>0</v>
      </c>
      <c r="R4439" t="s">
        <v>44908</v>
      </c>
      <c r="S4439" t="s">
        <v>45042</v>
      </c>
      <c r="T4439" t="s">
        <v>46414</v>
      </c>
      <c r="U4439" t="s">
        <v>50465</v>
      </c>
      <c r="W4439" t="s">
        <v>42536</v>
      </c>
      <c r="X4439" t="s">
        <v>44909</v>
      </c>
    </row>
    <row r="4440" spans="1:24">
      <c r="A4440">
        <f>HYPERLINK("https://www.philgeps.gov.ph/GEPSNONPILOT/Tender/SplashBidNoticeAbstractUI.aspx?menuIndex=3&amp;refID=7081076&amp;Result=3","7081076")</f>
        <v>0</v>
      </c>
      <c r="B4440" t="s">
        <v>1520</v>
      </c>
      <c r="C4440" t="s">
        <v>7768</v>
      </c>
      <c r="D4440" t="s">
        <v>18133</v>
      </c>
      <c r="E4440" t="s">
        <v>22162</v>
      </c>
      <c r="F4440" t="s">
        <v>31362</v>
      </c>
      <c r="G4440" t="s">
        <v>31369</v>
      </c>
      <c r="H4440" t="s">
        <v>31378</v>
      </c>
      <c r="I4440" t="s">
        <v>31386</v>
      </c>
      <c r="J4440" t="s">
        <v>34413</v>
      </c>
      <c r="K4440" t="s">
        <v>40665</v>
      </c>
      <c r="M4440" t="s">
        <v>42564</v>
      </c>
      <c r="N4440" t="s">
        <v>44905</v>
      </c>
      <c r="O4440" t="s">
        <v>44906</v>
      </c>
      <c r="P4440">
        <v>0</v>
      </c>
      <c r="Q4440">
        <v>0</v>
      </c>
      <c r="R4440" t="s">
        <v>44908</v>
      </c>
      <c r="S4440" t="s">
        <v>45042</v>
      </c>
      <c r="T4440" t="s">
        <v>46671</v>
      </c>
      <c r="U4440" t="s">
        <v>50550</v>
      </c>
      <c r="W4440" t="s">
        <v>42564</v>
      </c>
      <c r="X4440" t="s">
        <v>44909</v>
      </c>
    </row>
    <row r="4441" spans="1:24">
      <c r="A4441">
        <f>HYPERLINK("https://www.philgeps.gov.ph/GEPSNONPILOT/Tender/SplashBidNoticeAbstractUI.aspx?menuIndex=3&amp;refID=7081121&amp;Result=3","7081121")</f>
        <v>0</v>
      </c>
      <c r="B4441" t="s">
        <v>1521</v>
      </c>
      <c r="C4441" t="s">
        <v>7769</v>
      </c>
      <c r="D4441" t="s">
        <v>18107</v>
      </c>
      <c r="E4441" t="s">
        <v>20009</v>
      </c>
      <c r="F4441" t="s">
        <v>31362</v>
      </c>
      <c r="G4441" t="s">
        <v>31369</v>
      </c>
      <c r="H4441" t="s">
        <v>15799</v>
      </c>
      <c r="I4441" t="s">
        <v>31442</v>
      </c>
      <c r="J4441" t="s">
        <v>34414</v>
      </c>
      <c r="K4441" t="s">
        <v>40665</v>
      </c>
      <c r="M4441" t="s">
        <v>42565</v>
      </c>
      <c r="N4441" t="s">
        <v>44905</v>
      </c>
      <c r="O4441" t="s">
        <v>44906</v>
      </c>
      <c r="P4441">
        <v>0</v>
      </c>
      <c r="Q4441">
        <v>1</v>
      </c>
      <c r="R4441" t="s">
        <v>44908</v>
      </c>
      <c r="S4441" t="s">
        <v>45042</v>
      </c>
      <c r="T4441" t="s">
        <v>46431</v>
      </c>
      <c r="U4441" t="s">
        <v>50551</v>
      </c>
      <c r="W4441" t="s">
        <v>42565</v>
      </c>
      <c r="X4441" t="s">
        <v>44909</v>
      </c>
    </row>
    <row r="4442" spans="1:24">
      <c r="A4442">
        <f>HYPERLINK("https://www.philgeps.gov.ph/GEPSNONPILOT/Tender/SplashBidNoticeAbstractUI.aspx?menuIndex=3&amp;refID=7081135&amp;Result=3","7081135")</f>
        <v>0</v>
      </c>
      <c r="B4442" t="s">
        <v>1458</v>
      </c>
      <c r="C4442" t="s">
        <v>7770</v>
      </c>
      <c r="D4442" t="s">
        <v>18108</v>
      </c>
      <c r="E4442" t="s">
        <v>18744</v>
      </c>
      <c r="F4442" t="s">
        <v>31362</v>
      </c>
      <c r="G4442" t="s">
        <v>31369</v>
      </c>
      <c r="H4442" t="s">
        <v>15799</v>
      </c>
      <c r="I4442" t="s">
        <v>31478</v>
      </c>
      <c r="J4442" t="s">
        <v>34415</v>
      </c>
      <c r="K4442" t="s">
        <v>40686</v>
      </c>
      <c r="M4442" t="s">
        <v>42489</v>
      </c>
      <c r="N4442" t="s">
        <v>44905</v>
      </c>
      <c r="O4442" t="s">
        <v>44906</v>
      </c>
      <c r="P4442">
        <v>0</v>
      </c>
      <c r="Q4442">
        <v>0</v>
      </c>
      <c r="R4442" t="s">
        <v>44908</v>
      </c>
      <c r="S4442" t="s">
        <v>45042</v>
      </c>
      <c r="T4442" t="s">
        <v>46566</v>
      </c>
      <c r="U4442" t="s">
        <v>50442</v>
      </c>
      <c r="W4442" t="s">
        <v>42489</v>
      </c>
      <c r="X4442" t="s">
        <v>44909</v>
      </c>
    </row>
    <row r="4443" spans="1:24">
      <c r="A4443">
        <f>HYPERLINK("https://www.philgeps.gov.ph/GEPSNONPILOT/Tender/SplashBidNoticeAbstractUI.aspx?menuIndex=3&amp;refID=7081100&amp;Result=3","7081100")</f>
        <v>0</v>
      </c>
      <c r="B4443" t="s">
        <v>1507</v>
      </c>
      <c r="C4443" t="s">
        <v>7771</v>
      </c>
      <c r="D4443" t="s">
        <v>18113</v>
      </c>
      <c r="E4443" t="s">
        <v>22163</v>
      </c>
      <c r="F4443" t="s">
        <v>31362</v>
      </c>
      <c r="G4443" t="s">
        <v>31369</v>
      </c>
      <c r="H4443" t="s">
        <v>31378</v>
      </c>
      <c r="I4443" t="s">
        <v>31386</v>
      </c>
      <c r="J4443" t="s">
        <v>34416</v>
      </c>
      <c r="K4443" t="s">
        <v>40781</v>
      </c>
      <c r="M4443" t="s">
        <v>42547</v>
      </c>
      <c r="N4443" t="s">
        <v>44905</v>
      </c>
      <c r="O4443" t="s">
        <v>44906</v>
      </c>
      <c r="P4443">
        <v>0</v>
      </c>
      <c r="Q4443">
        <v>0</v>
      </c>
      <c r="R4443" t="s">
        <v>44908</v>
      </c>
      <c r="S4443" t="s">
        <v>45042</v>
      </c>
      <c r="T4443" t="s">
        <v>46648</v>
      </c>
      <c r="U4443" t="s">
        <v>50552</v>
      </c>
      <c r="W4443" t="s">
        <v>42547</v>
      </c>
      <c r="X4443" t="s">
        <v>44909</v>
      </c>
    </row>
    <row r="4444" spans="1:24">
      <c r="A4444">
        <f>HYPERLINK("https://www.philgeps.gov.ph/GEPSNONPILOT/Tender/SplashBidNoticeAbstractUI.aspx?menuIndex=3&amp;refID=7081131&amp;Result=3","7081131")</f>
        <v>0</v>
      </c>
      <c r="B4444" t="s">
        <v>1522</v>
      </c>
      <c r="C4444" t="s">
        <v>7772</v>
      </c>
      <c r="D4444" t="s">
        <v>18148</v>
      </c>
      <c r="E4444" t="s">
        <v>18548</v>
      </c>
      <c r="F4444" t="s">
        <v>31362</v>
      </c>
      <c r="G4444" t="s">
        <v>31369</v>
      </c>
      <c r="H4444" t="s">
        <v>31379</v>
      </c>
      <c r="I4444" t="s">
        <v>31386</v>
      </c>
      <c r="J4444" t="s">
        <v>34417</v>
      </c>
      <c r="K4444" t="s">
        <v>40681</v>
      </c>
      <c r="L4444" t="s">
        <v>1522</v>
      </c>
      <c r="M4444" t="s">
        <v>42566</v>
      </c>
      <c r="N4444" t="s">
        <v>44905</v>
      </c>
      <c r="O4444" t="s">
        <v>44906</v>
      </c>
      <c r="P4444">
        <v>0</v>
      </c>
      <c r="Q4444">
        <v>1</v>
      </c>
      <c r="R4444" t="s">
        <v>44908</v>
      </c>
      <c r="S4444" t="s">
        <v>45042</v>
      </c>
      <c r="T4444" t="s">
        <v>46506</v>
      </c>
      <c r="U4444" t="s">
        <v>50553</v>
      </c>
      <c r="W4444" t="s">
        <v>42566</v>
      </c>
      <c r="X4444" t="s">
        <v>44909</v>
      </c>
    </row>
    <row r="4445" spans="1:24">
      <c r="A4445">
        <f>HYPERLINK("https://www.philgeps.gov.ph/GEPSNONPILOT/Tender/SplashBidNoticeAbstractUI.aspx?menuIndex=3&amp;refID=7081130&amp;Result=3","7081130")</f>
        <v>0</v>
      </c>
      <c r="B4445" t="s">
        <v>1491</v>
      </c>
      <c r="C4445" t="s">
        <v>7773</v>
      </c>
      <c r="D4445" t="s">
        <v>18139</v>
      </c>
      <c r="E4445" t="s">
        <v>22164</v>
      </c>
      <c r="F4445" t="s">
        <v>31362</v>
      </c>
      <c r="G4445" t="s">
        <v>31368</v>
      </c>
      <c r="H4445" t="s">
        <v>15799</v>
      </c>
      <c r="I4445" t="s">
        <v>31414</v>
      </c>
      <c r="J4445" t="s">
        <v>31897</v>
      </c>
      <c r="K4445" t="s">
        <v>40665</v>
      </c>
      <c r="M4445" t="s">
        <v>42554</v>
      </c>
      <c r="N4445" t="s">
        <v>44905</v>
      </c>
      <c r="O4445" t="s">
        <v>44906</v>
      </c>
      <c r="P4445">
        <v>0</v>
      </c>
      <c r="Q4445">
        <v>2</v>
      </c>
      <c r="R4445" t="s">
        <v>44908</v>
      </c>
      <c r="S4445" t="s">
        <v>45042</v>
      </c>
      <c r="T4445" t="s">
        <v>46454</v>
      </c>
      <c r="U4445" t="s">
        <v>50446</v>
      </c>
      <c r="W4445" t="s">
        <v>42528</v>
      </c>
      <c r="X4445" t="s">
        <v>44909</v>
      </c>
    </row>
    <row r="4446" spans="1:24">
      <c r="A4446">
        <f>HYPERLINK("https://www.philgeps.gov.ph/GEPSNONPILOT/Tender/SplashBidNoticeAbstractUI.aspx?menuIndex=3&amp;refID=7081128&amp;Result=3","7081128")</f>
        <v>0</v>
      </c>
      <c r="B4446" t="s">
        <v>1523</v>
      </c>
      <c r="C4446" t="s">
        <v>7774</v>
      </c>
      <c r="D4446" t="s">
        <v>18140</v>
      </c>
      <c r="E4446" t="s">
        <v>22165</v>
      </c>
      <c r="F4446" t="s">
        <v>31362</v>
      </c>
      <c r="G4446" t="s">
        <v>31369</v>
      </c>
      <c r="H4446" t="s">
        <v>15799</v>
      </c>
      <c r="I4446" t="s">
        <v>7090</v>
      </c>
      <c r="J4446" t="s">
        <v>31586</v>
      </c>
      <c r="K4446" t="s">
        <v>40666</v>
      </c>
      <c r="M4446" t="s">
        <v>42567</v>
      </c>
      <c r="N4446" t="s">
        <v>44905</v>
      </c>
      <c r="O4446" t="s">
        <v>44906</v>
      </c>
      <c r="P4446">
        <v>0</v>
      </c>
      <c r="Q4446">
        <v>2</v>
      </c>
      <c r="R4446" t="s">
        <v>44908</v>
      </c>
      <c r="S4446" t="s">
        <v>45042</v>
      </c>
      <c r="T4446" t="s">
        <v>46470</v>
      </c>
      <c r="U4446" t="s">
        <v>50554</v>
      </c>
      <c r="W4446" t="s">
        <v>42567</v>
      </c>
      <c r="X4446" t="s">
        <v>44909</v>
      </c>
    </row>
    <row r="4447" spans="1:24">
      <c r="A4447">
        <f>HYPERLINK("https://www.philgeps.gov.ph/GEPSNONPILOT/Tender/SplashBidNoticeAbstractUI.aspx?menuIndex=3&amp;refID=7081127&amp;Result=3","7081127")</f>
        <v>0</v>
      </c>
      <c r="B4447" t="s">
        <v>1524</v>
      </c>
      <c r="C4447" t="s">
        <v>7775</v>
      </c>
      <c r="D4447" t="s">
        <v>18108</v>
      </c>
      <c r="E4447" t="s">
        <v>22166</v>
      </c>
      <c r="F4447" t="s">
        <v>31362</v>
      </c>
      <c r="G4447" t="s">
        <v>31369</v>
      </c>
      <c r="H4447" t="s">
        <v>15799</v>
      </c>
      <c r="I4447" t="s">
        <v>31393</v>
      </c>
      <c r="J4447" t="s">
        <v>34418</v>
      </c>
      <c r="K4447" t="s">
        <v>40686</v>
      </c>
      <c r="M4447" t="s">
        <v>42568</v>
      </c>
      <c r="N4447" t="s">
        <v>44905</v>
      </c>
      <c r="O4447" t="s">
        <v>44906</v>
      </c>
      <c r="P4447">
        <v>0</v>
      </c>
      <c r="Q4447">
        <v>10</v>
      </c>
      <c r="R4447" t="s">
        <v>44908</v>
      </c>
      <c r="S4447" t="s">
        <v>45042</v>
      </c>
      <c r="T4447" t="s">
        <v>46429</v>
      </c>
      <c r="U4447" t="s">
        <v>50555</v>
      </c>
      <c r="W4447" t="s">
        <v>42568</v>
      </c>
      <c r="X4447" t="s">
        <v>44909</v>
      </c>
    </row>
    <row r="4448" spans="1:24">
      <c r="A4448">
        <f>HYPERLINK("https://www.philgeps.gov.ph/GEPSNONPILOT/Tender/SplashBidNoticeAbstractUI.aspx?menuIndex=3&amp;refID=7081126&amp;Result=3","7081126")</f>
        <v>0</v>
      </c>
      <c r="B4448" t="s">
        <v>1217</v>
      </c>
      <c r="C4448" t="s">
        <v>7776</v>
      </c>
      <c r="D4448" t="s">
        <v>18106</v>
      </c>
      <c r="E4448" t="s">
        <v>22167</v>
      </c>
      <c r="F4448" t="s">
        <v>31362</v>
      </c>
      <c r="G4448" t="s">
        <v>31368</v>
      </c>
      <c r="H4448" t="s">
        <v>15799</v>
      </c>
      <c r="I4448" t="s">
        <v>31380</v>
      </c>
      <c r="J4448" t="s">
        <v>34419</v>
      </c>
      <c r="K4448" t="s">
        <v>40665</v>
      </c>
      <c r="M4448" t="s">
        <v>42230</v>
      </c>
      <c r="N4448" t="s">
        <v>44905</v>
      </c>
      <c r="O4448" t="s">
        <v>44906</v>
      </c>
      <c r="P4448">
        <v>0</v>
      </c>
      <c r="Q4448">
        <v>3</v>
      </c>
      <c r="R4448" t="s">
        <v>44908</v>
      </c>
      <c r="S4448" t="s">
        <v>45042</v>
      </c>
      <c r="T4448" t="s">
        <v>46447</v>
      </c>
      <c r="U4448" t="s">
        <v>49589</v>
      </c>
      <c r="V4448" t="s">
        <v>59395</v>
      </c>
      <c r="W4448" t="s">
        <v>42230</v>
      </c>
      <c r="X4448" t="s">
        <v>44909</v>
      </c>
    </row>
    <row r="4449" spans="1:24">
      <c r="A4449">
        <f>HYPERLINK("https://www.philgeps.gov.ph/GEPSNONPILOT/Tender/SplashBidNoticeAbstractUI.aspx?menuIndex=3&amp;refID=7081129&amp;Result=3","7081129")</f>
        <v>0</v>
      </c>
      <c r="B4449" t="s">
        <v>1525</v>
      </c>
      <c r="C4449" t="s">
        <v>7777</v>
      </c>
      <c r="E4449" t="s">
        <v>22168</v>
      </c>
      <c r="F4449" t="s">
        <v>31362</v>
      </c>
      <c r="G4449" t="s">
        <v>31368</v>
      </c>
      <c r="H4449" t="s">
        <v>15799</v>
      </c>
      <c r="I4449" t="s">
        <v>4942</v>
      </c>
      <c r="J4449" t="s">
        <v>34420</v>
      </c>
      <c r="K4449" t="s">
        <v>40720</v>
      </c>
      <c r="M4449" t="s">
        <v>42569</v>
      </c>
      <c r="N4449" t="s">
        <v>44905</v>
      </c>
      <c r="O4449" t="s">
        <v>44906</v>
      </c>
      <c r="P4449">
        <v>0</v>
      </c>
      <c r="Q4449">
        <v>0</v>
      </c>
      <c r="R4449" t="s">
        <v>44908</v>
      </c>
      <c r="S4449" t="s">
        <v>45042</v>
      </c>
      <c r="T4449" t="s">
        <v>46682</v>
      </c>
      <c r="U4449" t="s">
        <v>50556</v>
      </c>
      <c r="W4449" t="s">
        <v>42569</v>
      </c>
      <c r="X4449" t="s">
        <v>44909</v>
      </c>
    </row>
    <row r="4450" spans="1:24">
      <c r="A4450">
        <f>HYPERLINK("https://www.philgeps.gov.ph/GEPSNONPILOT/Tender/SplashBidNoticeAbstractUI.aspx?menuIndex=3&amp;refID=7081142&amp;Result=3","7081142")</f>
        <v>0</v>
      </c>
      <c r="B4450" t="s">
        <v>437</v>
      </c>
      <c r="C4450" t="s">
        <v>7778</v>
      </c>
      <c r="D4450" t="s">
        <v>18108</v>
      </c>
      <c r="E4450" t="s">
        <v>22169</v>
      </c>
      <c r="F4450" t="s">
        <v>31362</v>
      </c>
      <c r="G4450" t="s">
        <v>31371</v>
      </c>
      <c r="H4450" t="s">
        <v>15799</v>
      </c>
      <c r="I4450" t="s">
        <v>31385</v>
      </c>
      <c r="J4450" t="s">
        <v>34421</v>
      </c>
      <c r="K4450" t="s">
        <v>40666</v>
      </c>
      <c r="M4450" t="s">
        <v>41389</v>
      </c>
      <c r="N4450" t="s">
        <v>44905</v>
      </c>
      <c r="O4450" t="s">
        <v>44906</v>
      </c>
      <c r="P4450">
        <v>0</v>
      </c>
      <c r="Q4450">
        <v>0</v>
      </c>
      <c r="R4450" t="s">
        <v>44908</v>
      </c>
      <c r="S4450" t="s">
        <v>45042</v>
      </c>
      <c r="T4450" t="s">
        <v>46411</v>
      </c>
      <c r="U4450" t="s">
        <v>50557</v>
      </c>
      <c r="V4450" t="s">
        <v>59170</v>
      </c>
      <c r="W4450" t="s">
        <v>41389</v>
      </c>
      <c r="X4450" t="s">
        <v>44909</v>
      </c>
    </row>
    <row r="4451" spans="1:24">
      <c r="A4451">
        <f>HYPERLINK("https://www.philgeps.gov.ph/GEPSNONPILOT/Tender/SplashBidNoticeAbstractUI.aspx?menuIndex=3&amp;refID=7081124&amp;Result=3","7081124")</f>
        <v>0</v>
      </c>
      <c r="B4451" t="s">
        <v>421</v>
      </c>
      <c r="C4451" t="s">
        <v>7779</v>
      </c>
      <c r="D4451" t="s">
        <v>18133</v>
      </c>
      <c r="E4451" t="s">
        <v>22170</v>
      </c>
      <c r="F4451" t="s">
        <v>31362</v>
      </c>
      <c r="G4451" t="s">
        <v>31368</v>
      </c>
      <c r="H4451" t="s">
        <v>31378</v>
      </c>
      <c r="I4451" t="s">
        <v>31386</v>
      </c>
      <c r="J4451" t="s">
        <v>31625</v>
      </c>
      <c r="K4451" t="s">
        <v>40757</v>
      </c>
      <c r="M4451" t="s">
        <v>41372</v>
      </c>
      <c r="N4451" t="s">
        <v>44905</v>
      </c>
      <c r="O4451" t="s">
        <v>44906</v>
      </c>
      <c r="P4451">
        <v>0</v>
      </c>
      <c r="Q4451">
        <v>0</v>
      </c>
      <c r="R4451" t="s">
        <v>44908</v>
      </c>
      <c r="S4451" t="s">
        <v>45042</v>
      </c>
      <c r="T4451" t="s">
        <v>46414</v>
      </c>
      <c r="U4451" t="s">
        <v>50558</v>
      </c>
      <c r="W4451" t="s">
        <v>41372</v>
      </c>
      <c r="X4451" t="s">
        <v>44909</v>
      </c>
    </row>
    <row r="4452" spans="1:24">
      <c r="A4452">
        <f>HYPERLINK("https://www.philgeps.gov.ph/GEPSNONPILOT/Tender/SplashBidNoticeAbstractUI.aspx?menuIndex=3&amp;refID=7081141&amp;Result=3","7081141")</f>
        <v>0</v>
      </c>
      <c r="B4452" t="s">
        <v>1223</v>
      </c>
      <c r="C4452" t="s">
        <v>7780</v>
      </c>
      <c r="D4452" t="s">
        <v>18126</v>
      </c>
      <c r="E4452" t="s">
        <v>22171</v>
      </c>
      <c r="F4452" t="s">
        <v>31362</v>
      </c>
      <c r="G4452" t="s">
        <v>31370</v>
      </c>
      <c r="H4452" t="s">
        <v>15799</v>
      </c>
      <c r="I4452" t="s">
        <v>31427</v>
      </c>
      <c r="J4452" t="s">
        <v>34422</v>
      </c>
      <c r="K4452" t="s">
        <v>40693</v>
      </c>
      <c r="M4452" t="s">
        <v>42237</v>
      </c>
      <c r="N4452" t="s">
        <v>44905</v>
      </c>
      <c r="O4452" t="s">
        <v>44906</v>
      </c>
      <c r="P4452">
        <v>0</v>
      </c>
      <c r="Q4452">
        <v>0</v>
      </c>
      <c r="R4452" t="s">
        <v>44908</v>
      </c>
      <c r="S4452" t="s">
        <v>45042</v>
      </c>
      <c r="T4452" t="s">
        <v>46409</v>
      </c>
      <c r="U4452" t="s">
        <v>50559</v>
      </c>
      <c r="W4452" t="s">
        <v>42237</v>
      </c>
      <c r="X4452" t="s">
        <v>44909</v>
      </c>
    </row>
    <row r="4453" spans="1:24">
      <c r="A4453">
        <f>HYPERLINK("https://www.philgeps.gov.ph/GEPSNONPILOT/Tender/SplashBidNoticeAbstractUI.aspx?menuIndex=3&amp;refID=7081132&amp;Result=3","7081132")</f>
        <v>0</v>
      </c>
      <c r="B4453" t="s">
        <v>124</v>
      </c>
      <c r="C4453" t="s">
        <v>7781</v>
      </c>
      <c r="D4453" t="s">
        <v>18146</v>
      </c>
      <c r="E4453" t="s">
        <v>22172</v>
      </c>
      <c r="F4453" t="s">
        <v>31362</v>
      </c>
      <c r="G4453" t="s">
        <v>31368</v>
      </c>
      <c r="H4453" t="s">
        <v>15799</v>
      </c>
      <c r="I4453" t="s">
        <v>31380</v>
      </c>
      <c r="J4453" t="s">
        <v>31530</v>
      </c>
      <c r="K4453" t="s">
        <v>40670</v>
      </c>
      <c r="M4453" t="s">
        <v>42570</v>
      </c>
      <c r="N4453" t="s">
        <v>44905</v>
      </c>
      <c r="O4453" t="s">
        <v>44906</v>
      </c>
      <c r="P4453">
        <v>0</v>
      </c>
      <c r="Q4453">
        <v>2</v>
      </c>
      <c r="R4453" t="s">
        <v>44908</v>
      </c>
      <c r="S4453" t="s">
        <v>45042</v>
      </c>
      <c r="T4453" t="s">
        <v>46409</v>
      </c>
      <c r="U4453" t="s">
        <v>48141</v>
      </c>
      <c r="V4453" t="s">
        <v>59220</v>
      </c>
      <c r="W4453" t="s">
        <v>42570</v>
      </c>
      <c r="X4453" t="s">
        <v>44909</v>
      </c>
    </row>
    <row r="4454" spans="1:24">
      <c r="A4454">
        <f>HYPERLINK("https://www.philgeps.gov.ph/GEPSNONPILOT/Tender/SplashBidNoticeAbstractUI.aspx?menuIndex=3&amp;refID=7081140&amp;Result=3","7081140")</f>
        <v>0</v>
      </c>
      <c r="B4454" t="s">
        <v>678</v>
      </c>
      <c r="C4454" t="s">
        <v>7782</v>
      </c>
      <c r="D4454" t="s">
        <v>18116</v>
      </c>
      <c r="E4454" t="s">
        <v>22173</v>
      </c>
      <c r="F4454" t="s">
        <v>31362</v>
      </c>
      <c r="G4454" t="s">
        <v>31369</v>
      </c>
      <c r="H4454" t="s">
        <v>15799</v>
      </c>
      <c r="I4454" t="s">
        <v>31393</v>
      </c>
      <c r="J4454" t="s">
        <v>34423</v>
      </c>
      <c r="K4454" t="s">
        <v>40665</v>
      </c>
      <c r="M4454" t="s">
        <v>41640</v>
      </c>
      <c r="N4454" t="s">
        <v>44905</v>
      </c>
      <c r="O4454" t="s">
        <v>44906</v>
      </c>
      <c r="P4454">
        <v>0</v>
      </c>
      <c r="Q4454">
        <v>3</v>
      </c>
      <c r="R4454" t="s">
        <v>44908</v>
      </c>
      <c r="S4454" t="s">
        <v>45042</v>
      </c>
      <c r="T4454" t="s">
        <v>46392</v>
      </c>
      <c r="U4454" t="s">
        <v>50560</v>
      </c>
      <c r="W4454" t="s">
        <v>41640</v>
      </c>
      <c r="X4454" t="s">
        <v>44909</v>
      </c>
    </row>
    <row r="4455" spans="1:24">
      <c r="A4455">
        <f>HYPERLINK("https://www.philgeps.gov.ph/GEPSNONPILOT/Tender/SplashBidNoticeAbstractUI.aspx?menuIndex=3&amp;refID=7081123&amp;Result=3","7081123")</f>
        <v>0</v>
      </c>
      <c r="B4455" t="s">
        <v>1337</v>
      </c>
      <c r="C4455" t="s">
        <v>7783</v>
      </c>
      <c r="D4455" t="s">
        <v>18155</v>
      </c>
      <c r="E4455" t="s">
        <v>22174</v>
      </c>
      <c r="F4455" t="s">
        <v>31362</v>
      </c>
      <c r="G4455" t="s">
        <v>31369</v>
      </c>
      <c r="H4455" t="s">
        <v>31378</v>
      </c>
      <c r="I4455" t="s">
        <v>31386</v>
      </c>
      <c r="J4455" t="s">
        <v>34424</v>
      </c>
      <c r="K4455" t="s">
        <v>40695</v>
      </c>
      <c r="M4455" t="s">
        <v>42356</v>
      </c>
      <c r="N4455" t="s">
        <v>44905</v>
      </c>
      <c r="O4455" t="s">
        <v>44906</v>
      </c>
      <c r="P4455">
        <v>0</v>
      </c>
      <c r="Q4455">
        <v>0</v>
      </c>
      <c r="R4455" t="s">
        <v>44908</v>
      </c>
      <c r="S4455" t="s">
        <v>45042</v>
      </c>
      <c r="T4455" t="s">
        <v>46683</v>
      </c>
      <c r="U4455" t="s">
        <v>50561</v>
      </c>
      <c r="W4455" t="s">
        <v>42356</v>
      </c>
      <c r="X4455" t="s">
        <v>44909</v>
      </c>
    </row>
    <row r="4456" spans="1:24">
      <c r="A4456">
        <f>HYPERLINK("https://www.philgeps.gov.ph/GEPSNONPILOT/Tender/SplashBidNoticeAbstractUI.aspx?menuIndex=3&amp;refID=7081143&amp;Result=3","7081143")</f>
        <v>0</v>
      </c>
      <c r="B4456" t="s">
        <v>425</v>
      </c>
      <c r="C4456" t="s">
        <v>7784</v>
      </c>
      <c r="D4456" t="s">
        <v>18139</v>
      </c>
      <c r="E4456" t="s">
        <v>22175</v>
      </c>
      <c r="F4456" t="s">
        <v>31362</v>
      </c>
      <c r="G4456" t="s">
        <v>31368</v>
      </c>
      <c r="H4456" t="s">
        <v>15799</v>
      </c>
      <c r="I4456" t="s">
        <v>3815</v>
      </c>
      <c r="J4456" t="s">
        <v>31987</v>
      </c>
      <c r="K4456" t="s">
        <v>40666</v>
      </c>
      <c r="M4456" t="s">
        <v>41376</v>
      </c>
      <c r="N4456" t="s">
        <v>44905</v>
      </c>
      <c r="O4456" t="s">
        <v>44906</v>
      </c>
      <c r="P4456">
        <v>0</v>
      </c>
      <c r="Q4456">
        <v>0</v>
      </c>
      <c r="R4456" t="s">
        <v>44908</v>
      </c>
      <c r="S4456" t="s">
        <v>45042</v>
      </c>
      <c r="T4456" t="s">
        <v>46414</v>
      </c>
      <c r="U4456" t="s">
        <v>50562</v>
      </c>
      <c r="W4456" t="s">
        <v>41376</v>
      </c>
      <c r="X4456" t="s">
        <v>44909</v>
      </c>
    </row>
    <row r="4457" spans="1:24">
      <c r="A4457">
        <f>HYPERLINK("https://www.philgeps.gov.ph/GEPSNONPILOT/Tender/SplashBidNoticeAbstractUI.aspx?menuIndex=3&amp;refID=7081158&amp;Result=3","7081158")</f>
        <v>0</v>
      </c>
      <c r="B4457" t="s">
        <v>908</v>
      </c>
      <c r="C4457" t="s">
        <v>7785</v>
      </c>
      <c r="D4457" t="s">
        <v>18144</v>
      </c>
      <c r="E4457" t="s">
        <v>22176</v>
      </c>
      <c r="F4457" t="s">
        <v>31362</v>
      </c>
      <c r="G4457" t="s">
        <v>31368</v>
      </c>
      <c r="H4457" t="s">
        <v>15799</v>
      </c>
      <c r="I4457" t="s">
        <v>31424</v>
      </c>
      <c r="J4457" t="s">
        <v>34425</v>
      </c>
      <c r="K4457" t="s">
        <v>40666</v>
      </c>
      <c r="M4457" t="s">
        <v>41979</v>
      </c>
      <c r="N4457" t="s">
        <v>44905</v>
      </c>
      <c r="O4457" t="s">
        <v>44906</v>
      </c>
      <c r="P4457">
        <v>0</v>
      </c>
      <c r="Q4457">
        <v>1</v>
      </c>
      <c r="R4457" t="s">
        <v>44908</v>
      </c>
      <c r="S4457" t="s">
        <v>45042</v>
      </c>
      <c r="T4457" t="s">
        <v>46506</v>
      </c>
      <c r="U4457" t="s">
        <v>50563</v>
      </c>
      <c r="W4457" t="s">
        <v>41979</v>
      </c>
      <c r="X4457" t="s">
        <v>44909</v>
      </c>
    </row>
    <row r="4458" spans="1:24">
      <c r="A4458">
        <f>HYPERLINK("https://www.philgeps.gov.ph/GEPSNONPILOT/Tender/SplashBidNoticeAbstractUI.aspx?menuIndex=3&amp;refID=7081155&amp;Result=3","7081155")</f>
        <v>0</v>
      </c>
      <c r="B4458" t="s">
        <v>1270</v>
      </c>
      <c r="C4458" t="s">
        <v>7786</v>
      </c>
      <c r="D4458" t="s">
        <v>18151</v>
      </c>
      <c r="E4458" t="s">
        <v>22177</v>
      </c>
      <c r="F4458" t="s">
        <v>31362</v>
      </c>
      <c r="G4458" t="s">
        <v>31368</v>
      </c>
      <c r="H4458" t="s">
        <v>15799</v>
      </c>
      <c r="I4458" t="s">
        <v>4057</v>
      </c>
      <c r="J4458" t="s">
        <v>34426</v>
      </c>
      <c r="K4458" t="s">
        <v>40698</v>
      </c>
      <c r="M4458" t="s">
        <v>42287</v>
      </c>
      <c r="N4458" t="s">
        <v>44905</v>
      </c>
      <c r="O4458" t="s">
        <v>44906</v>
      </c>
      <c r="P4458">
        <v>0</v>
      </c>
      <c r="Q4458">
        <v>0</v>
      </c>
      <c r="R4458" t="s">
        <v>44908</v>
      </c>
      <c r="S4458" t="s">
        <v>45042</v>
      </c>
      <c r="T4458" t="s">
        <v>46404</v>
      </c>
      <c r="U4458" t="s">
        <v>49706</v>
      </c>
      <c r="W4458" t="s">
        <v>42287</v>
      </c>
      <c r="X4458" t="s">
        <v>44909</v>
      </c>
    </row>
    <row r="4459" spans="1:24">
      <c r="A4459">
        <f>HYPERLINK("https://www.philgeps.gov.ph/GEPSNONPILOT/Tender/SplashBidNoticeAbstractUI.aspx?menuIndex=3&amp;refID=7081154&amp;Result=3","7081154")</f>
        <v>0</v>
      </c>
      <c r="B4459" t="s">
        <v>1526</v>
      </c>
      <c r="C4459" t="s">
        <v>7787</v>
      </c>
      <c r="D4459" t="s">
        <v>18131</v>
      </c>
      <c r="E4459" t="s">
        <v>22178</v>
      </c>
      <c r="F4459" t="s">
        <v>31362</v>
      </c>
      <c r="G4459" t="s">
        <v>31368</v>
      </c>
      <c r="H4459" t="s">
        <v>15799</v>
      </c>
      <c r="I4459" t="s">
        <v>7090</v>
      </c>
      <c r="J4459" t="s">
        <v>32391</v>
      </c>
      <c r="K4459" t="s">
        <v>40670</v>
      </c>
      <c r="M4459" t="s">
        <v>42571</v>
      </c>
      <c r="N4459" t="s">
        <v>44905</v>
      </c>
      <c r="O4459" t="s">
        <v>44906</v>
      </c>
      <c r="P4459">
        <v>0</v>
      </c>
      <c r="Q4459">
        <v>0</v>
      </c>
      <c r="R4459" t="s">
        <v>44908</v>
      </c>
      <c r="S4459" t="s">
        <v>45042</v>
      </c>
      <c r="T4459" t="s">
        <v>46414</v>
      </c>
      <c r="U4459" t="s">
        <v>50564</v>
      </c>
      <c r="W4459" t="s">
        <v>42571</v>
      </c>
      <c r="X4459" t="s">
        <v>44909</v>
      </c>
    </row>
    <row r="4460" spans="1:24">
      <c r="A4460">
        <f>HYPERLINK("https://www.philgeps.gov.ph/GEPSNONPILOT/Tender/SplashBidNoticeAbstractUI.aspx?menuIndex=3&amp;refID=7081139&amp;Result=3","7081139")</f>
        <v>0</v>
      </c>
      <c r="B4460" t="s">
        <v>237</v>
      </c>
      <c r="C4460" t="s">
        <v>7788</v>
      </c>
      <c r="D4460" t="s">
        <v>18108</v>
      </c>
      <c r="E4460" t="s">
        <v>22179</v>
      </c>
      <c r="F4460" t="s">
        <v>31362</v>
      </c>
      <c r="G4460" t="s">
        <v>31370</v>
      </c>
      <c r="H4460" t="s">
        <v>15799</v>
      </c>
      <c r="I4460" t="s">
        <v>31380</v>
      </c>
      <c r="J4460" t="s">
        <v>34427</v>
      </c>
      <c r="K4460" t="s">
        <v>40670</v>
      </c>
      <c r="M4460" t="s">
        <v>41330</v>
      </c>
      <c r="N4460" t="s">
        <v>44905</v>
      </c>
      <c r="O4460" t="s">
        <v>44906</v>
      </c>
      <c r="P4460">
        <v>0</v>
      </c>
      <c r="Q4460">
        <v>1</v>
      </c>
      <c r="R4460" t="s">
        <v>44908</v>
      </c>
      <c r="S4460" t="s">
        <v>45042</v>
      </c>
      <c r="T4460" t="s">
        <v>46454</v>
      </c>
      <c r="U4460" t="s">
        <v>50565</v>
      </c>
      <c r="W4460" t="s">
        <v>41330</v>
      </c>
      <c r="X4460" t="s">
        <v>44909</v>
      </c>
    </row>
    <row r="4461" spans="1:24">
      <c r="A4461">
        <f>HYPERLINK("https://www.philgeps.gov.ph/GEPSNONPILOT/Tender/SplashBidNoticeAbstractUI.aspx?menuIndex=3&amp;refID=7081152&amp;Result=3","7081152")</f>
        <v>0</v>
      </c>
      <c r="B4461" t="s">
        <v>1518</v>
      </c>
      <c r="C4461" t="s">
        <v>7789</v>
      </c>
      <c r="D4461" t="s">
        <v>18108</v>
      </c>
      <c r="E4461" t="s">
        <v>18680</v>
      </c>
      <c r="F4461" t="s">
        <v>31362</v>
      </c>
      <c r="G4461" t="s">
        <v>31368</v>
      </c>
      <c r="H4461" t="s">
        <v>15799</v>
      </c>
      <c r="I4461" t="s">
        <v>7719</v>
      </c>
      <c r="J4461" t="s">
        <v>31843</v>
      </c>
      <c r="K4461" t="s">
        <v>40682</v>
      </c>
      <c r="M4461" t="s">
        <v>42562</v>
      </c>
      <c r="N4461" t="s">
        <v>44905</v>
      </c>
      <c r="O4461" t="s">
        <v>44906</v>
      </c>
      <c r="P4461">
        <v>0</v>
      </c>
      <c r="Q4461">
        <v>4</v>
      </c>
      <c r="R4461" t="s">
        <v>44908</v>
      </c>
      <c r="S4461" t="s">
        <v>45042</v>
      </c>
      <c r="T4461" t="s">
        <v>46422</v>
      </c>
      <c r="U4461" t="s">
        <v>50566</v>
      </c>
      <c r="W4461" t="s">
        <v>42562</v>
      </c>
      <c r="X4461" t="s">
        <v>44909</v>
      </c>
    </row>
    <row r="4462" spans="1:24">
      <c r="A4462">
        <f>HYPERLINK("https://www.philgeps.gov.ph/GEPSNONPILOT/Tender/SplashBidNoticeAbstractUI.aspx?menuIndex=3&amp;refID=7081157&amp;Result=3","7081157")</f>
        <v>0</v>
      </c>
      <c r="B4462" t="s">
        <v>1514</v>
      </c>
      <c r="C4462" t="s">
        <v>7790</v>
      </c>
      <c r="D4462" t="s">
        <v>18138</v>
      </c>
      <c r="E4462" t="s">
        <v>22180</v>
      </c>
      <c r="F4462" t="s">
        <v>31362</v>
      </c>
      <c r="G4462" t="s">
        <v>31368</v>
      </c>
      <c r="H4462" t="s">
        <v>15799</v>
      </c>
      <c r="I4462" t="s">
        <v>31380</v>
      </c>
      <c r="J4462" t="s">
        <v>34428</v>
      </c>
      <c r="K4462" t="s">
        <v>40697</v>
      </c>
      <c r="M4462" t="s">
        <v>42557</v>
      </c>
      <c r="N4462" t="s">
        <v>44905</v>
      </c>
      <c r="O4462" t="s">
        <v>44906</v>
      </c>
      <c r="P4462">
        <v>0</v>
      </c>
      <c r="Q4462">
        <v>1</v>
      </c>
      <c r="R4462" t="s">
        <v>44908</v>
      </c>
      <c r="S4462" t="s">
        <v>45042</v>
      </c>
      <c r="T4462" t="s">
        <v>46409</v>
      </c>
      <c r="U4462" t="s">
        <v>50567</v>
      </c>
      <c r="W4462" t="s">
        <v>42557</v>
      </c>
      <c r="X4462" t="s">
        <v>44909</v>
      </c>
    </row>
    <row r="4463" spans="1:24">
      <c r="A4463">
        <f>HYPERLINK("https://www.philgeps.gov.ph/GEPSNONPILOT/Tender/SplashBidNoticeAbstractUI.aspx?menuIndex=3&amp;refID=7081122&amp;Result=3","7081122")</f>
        <v>0</v>
      </c>
      <c r="B4463" t="s">
        <v>1527</v>
      </c>
      <c r="C4463" t="s">
        <v>7791</v>
      </c>
      <c r="D4463" t="s">
        <v>18148</v>
      </c>
      <c r="E4463" t="s">
        <v>22181</v>
      </c>
      <c r="F4463" t="s">
        <v>31362</v>
      </c>
      <c r="G4463" t="s">
        <v>31370</v>
      </c>
      <c r="H4463" t="s">
        <v>15799</v>
      </c>
      <c r="I4463" t="s">
        <v>31385</v>
      </c>
      <c r="J4463" t="s">
        <v>34429</v>
      </c>
      <c r="K4463" t="s">
        <v>40697</v>
      </c>
      <c r="M4463" t="s">
        <v>42572</v>
      </c>
      <c r="N4463" t="s">
        <v>44905</v>
      </c>
      <c r="O4463" t="s">
        <v>44906</v>
      </c>
      <c r="P4463">
        <v>0</v>
      </c>
      <c r="Q4463">
        <v>2</v>
      </c>
      <c r="R4463" t="s">
        <v>44908</v>
      </c>
      <c r="S4463" t="s">
        <v>45042</v>
      </c>
      <c r="T4463" t="s">
        <v>46549</v>
      </c>
      <c r="U4463" t="s">
        <v>50568</v>
      </c>
      <c r="V4463" t="s">
        <v>59480</v>
      </c>
      <c r="W4463" t="s">
        <v>42572</v>
      </c>
      <c r="X4463" t="s">
        <v>44909</v>
      </c>
    </row>
    <row r="4464" spans="1:24">
      <c r="A4464">
        <f>HYPERLINK("https://www.philgeps.gov.ph/GEPSNONPILOT/Tender/SplashBidNoticeAbstractUI.aspx?menuIndex=3&amp;refID=7081149&amp;Result=3","7081149")</f>
        <v>0</v>
      </c>
      <c r="B4464" t="s">
        <v>670</v>
      </c>
      <c r="C4464" t="s">
        <v>7792</v>
      </c>
      <c r="D4464" t="s">
        <v>18152</v>
      </c>
      <c r="E4464" t="s">
        <v>22182</v>
      </c>
      <c r="F4464" t="s">
        <v>31362</v>
      </c>
      <c r="G4464" t="s">
        <v>31368</v>
      </c>
      <c r="H4464" t="s">
        <v>15799</v>
      </c>
      <c r="I4464" t="s">
        <v>31380</v>
      </c>
      <c r="J4464" t="s">
        <v>34430</v>
      </c>
      <c r="K4464" t="s">
        <v>40697</v>
      </c>
      <c r="M4464" t="s">
        <v>41632</v>
      </c>
      <c r="N4464" t="s">
        <v>44905</v>
      </c>
      <c r="O4464" t="s">
        <v>44906</v>
      </c>
      <c r="P4464">
        <v>0</v>
      </c>
      <c r="Q4464">
        <v>2</v>
      </c>
      <c r="R4464" t="s">
        <v>44908</v>
      </c>
      <c r="S4464" t="s">
        <v>45042</v>
      </c>
      <c r="T4464" t="s">
        <v>46409</v>
      </c>
      <c r="U4464" t="s">
        <v>50569</v>
      </c>
      <c r="W4464" t="s">
        <v>41632</v>
      </c>
      <c r="X4464" t="s">
        <v>44909</v>
      </c>
    </row>
    <row r="4465" spans="1:24">
      <c r="A4465">
        <f>HYPERLINK("https://www.philgeps.gov.ph/GEPSNONPILOT/Tender/SplashBidNoticeAbstractUI.aspx?menuIndex=3&amp;refID=7081133&amp;Result=3","7081133")</f>
        <v>0</v>
      </c>
      <c r="B4465" t="s">
        <v>110</v>
      </c>
      <c r="C4465" t="s">
        <v>7793</v>
      </c>
      <c r="D4465" t="s">
        <v>18119</v>
      </c>
      <c r="E4465" t="s">
        <v>22183</v>
      </c>
      <c r="F4465" t="s">
        <v>31362</v>
      </c>
      <c r="G4465" t="s">
        <v>31368</v>
      </c>
      <c r="H4465" t="s">
        <v>15799</v>
      </c>
      <c r="I4465" t="s">
        <v>4942</v>
      </c>
      <c r="J4465" t="s">
        <v>34431</v>
      </c>
      <c r="K4465" t="s">
        <v>40670</v>
      </c>
      <c r="M4465" t="s">
        <v>41047</v>
      </c>
      <c r="N4465" t="s">
        <v>44905</v>
      </c>
      <c r="O4465" t="s">
        <v>44906</v>
      </c>
      <c r="P4465">
        <v>0</v>
      </c>
      <c r="Q4465">
        <v>0</v>
      </c>
      <c r="R4465" t="s">
        <v>44908</v>
      </c>
      <c r="S4465" t="s">
        <v>45042</v>
      </c>
      <c r="T4465" t="s">
        <v>46409</v>
      </c>
      <c r="U4465" t="s">
        <v>50570</v>
      </c>
      <c r="W4465" t="s">
        <v>41047</v>
      </c>
      <c r="X4465" t="s">
        <v>44909</v>
      </c>
    </row>
    <row r="4466" spans="1:24">
      <c r="A4466">
        <f>HYPERLINK("https://www.philgeps.gov.ph/GEPSNONPILOT/Tender/SplashBidNoticeAbstractUI.aspx?menuIndex=3&amp;refID=7081165&amp;Result=3","7081165")</f>
        <v>0</v>
      </c>
      <c r="B4466" t="s">
        <v>1506</v>
      </c>
      <c r="C4466" t="s">
        <v>7794</v>
      </c>
      <c r="D4466" t="s">
        <v>18110</v>
      </c>
      <c r="E4466" t="s">
        <v>22184</v>
      </c>
      <c r="F4466" t="s">
        <v>31362</v>
      </c>
      <c r="G4466" t="s">
        <v>31369</v>
      </c>
      <c r="H4466" t="s">
        <v>31378</v>
      </c>
      <c r="I4466" t="s">
        <v>31386</v>
      </c>
      <c r="J4466" t="s">
        <v>34432</v>
      </c>
      <c r="K4466" t="s">
        <v>40686</v>
      </c>
      <c r="M4466" t="s">
        <v>42546</v>
      </c>
      <c r="N4466" t="s">
        <v>44905</v>
      </c>
      <c r="O4466" t="s">
        <v>44906</v>
      </c>
      <c r="P4466">
        <v>0</v>
      </c>
      <c r="Q4466">
        <v>0</v>
      </c>
      <c r="R4466" t="s">
        <v>44908</v>
      </c>
      <c r="S4466" t="s">
        <v>45042</v>
      </c>
      <c r="T4466" t="s">
        <v>46427</v>
      </c>
      <c r="U4466" t="s">
        <v>50571</v>
      </c>
      <c r="W4466" t="s">
        <v>42546</v>
      </c>
      <c r="X4466" t="s">
        <v>44909</v>
      </c>
    </row>
    <row r="4467" spans="1:24">
      <c r="A4467">
        <f>HYPERLINK("https://www.philgeps.gov.ph/GEPSNONPILOT/Tender/SplashBidNoticeAbstractUI.aspx?menuIndex=3&amp;refID=7081138&amp;Result=3","7081138")</f>
        <v>0</v>
      </c>
      <c r="B4467" t="s">
        <v>443</v>
      </c>
      <c r="C4467" t="s">
        <v>7795</v>
      </c>
      <c r="D4467" t="s">
        <v>18131</v>
      </c>
      <c r="E4467" t="s">
        <v>22185</v>
      </c>
      <c r="F4467" t="s">
        <v>31362</v>
      </c>
      <c r="G4467" t="s">
        <v>31368</v>
      </c>
      <c r="H4467" t="s">
        <v>15799</v>
      </c>
      <c r="I4467" t="s">
        <v>31404</v>
      </c>
      <c r="J4467" t="s">
        <v>34433</v>
      </c>
      <c r="K4467" t="s">
        <v>40662</v>
      </c>
      <c r="L4467" t="s">
        <v>443</v>
      </c>
      <c r="M4467" t="s">
        <v>42538</v>
      </c>
      <c r="N4467" t="s">
        <v>44905</v>
      </c>
      <c r="O4467" t="s">
        <v>44906</v>
      </c>
      <c r="P4467">
        <v>0</v>
      </c>
      <c r="Q4467">
        <v>0</v>
      </c>
      <c r="R4467" t="s">
        <v>44908</v>
      </c>
      <c r="S4467" t="s">
        <v>45042</v>
      </c>
      <c r="T4467" t="s">
        <v>46454</v>
      </c>
      <c r="U4467" t="s">
        <v>47726</v>
      </c>
      <c r="W4467" t="s">
        <v>42538</v>
      </c>
      <c r="X4467" t="s">
        <v>44909</v>
      </c>
    </row>
    <row r="4468" spans="1:24">
      <c r="A4468">
        <f>HYPERLINK("https://www.philgeps.gov.ph/GEPSNONPILOT/Tender/SplashBidNoticeAbstractUI.aspx?menuIndex=3&amp;refID=7081164&amp;Result=3","7081164")</f>
        <v>0</v>
      </c>
      <c r="B4468" t="s">
        <v>1528</v>
      </c>
      <c r="C4468" t="s">
        <v>7796</v>
      </c>
      <c r="D4468" t="s">
        <v>18103</v>
      </c>
      <c r="E4468" t="s">
        <v>22186</v>
      </c>
      <c r="F4468" t="s">
        <v>31362</v>
      </c>
      <c r="G4468" t="s">
        <v>31368</v>
      </c>
      <c r="H4468" t="s">
        <v>31377</v>
      </c>
      <c r="I4468" t="s">
        <v>31377</v>
      </c>
      <c r="J4468" t="s">
        <v>31531</v>
      </c>
      <c r="K4468" t="s">
        <v>40675</v>
      </c>
      <c r="M4468" t="s">
        <v>42573</v>
      </c>
      <c r="N4468" t="s">
        <v>44905</v>
      </c>
      <c r="O4468" t="s">
        <v>44906</v>
      </c>
      <c r="Q4468">
        <v>3</v>
      </c>
      <c r="R4468" t="s">
        <v>44908</v>
      </c>
      <c r="S4468" t="s">
        <v>45054</v>
      </c>
      <c r="T4468" t="s">
        <v>46435</v>
      </c>
      <c r="U4468" t="s">
        <v>50572</v>
      </c>
      <c r="W4468" t="s">
        <v>42573</v>
      </c>
      <c r="X4468" t="s">
        <v>44909</v>
      </c>
    </row>
    <row r="4469" spans="1:24">
      <c r="A4469">
        <f>HYPERLINK("https://www.philgeps.gov.ph/GEPSNONPILOT/Tender/SplashBidNoticeAbstractUI.aspx?menuIndex=3&amp;refID=7081160&amp;Result=3","7081160")</f>
        <v>0</v>
      </c>
      <c r="B4469" t="s">
        <v>1529</v>
      </c>
      <c r="C4469" t="s">
        <v>7797</v>
      </c>
      <c r="D4469" t="s">
        <v>18134</v>
      </c>
      <c r="E4469" t="s">
        <v>22187</v>
      </c>
      <c r="F4469" t="s">
        <v>31362</v>
      </c>
      <c r="G4469" t="s">
        <v>31368</v>
      </c>
      <c r="H4469" t="s">
        <v>15799</v>
      </c>
      <c r="I4469" t="s">
        <v>31422</v>
      </c>
      <c r="J4469" t="s">
        <v>34071</v>
      </c>
      <c r="K4469" t="s">
        <v>40697</v>
      </c>
      <c r="M4469" t="s">
        <v>42574</v>
      </c>
      <c r="N4469" t="s">
        <v>44905</v>
      </c>
      <c r="O4469" t="s">
        <v>44906</v>
      </c>
      <c r="P4469">
        <v>0</v>
      </c>
      <c r="Q4469">
        <v>0</v>
      </c>
      <c r="R4469" t="s">
        <v>44908</v>
      </c>
      <c r="S4469" t="s">
        <v>45042</v>
      </c>
      <c r="T4469" t="s">
        <v>46438</v>
      </c>
      <c r="U4469" t="s">
        <v>50573</v>
      </c>
      <c r="W4469" t="s">
        <v>42574</v>
      </c>
      <c r="X4469" t="s">
        <v>44909</v>
      </c>
    </row>
    <row r="4470" spans="1:24">
      <c r="A4470">
        <f>HYPERLINK("https://www.philgeps.gov.ph/GEPSNONPILOT/Tender/SplashBidNoticeAbstractUI.aspx?menuIndex=3&amp;refID=7081150&amp;Result=3","7081150")</f>
        <v>0</v>
      </c>
      <c r="B4470" t="s">
        <v>1522</v>
      </c>
      <c r="C4470" t="s">
        <v>7798</v>
      </c>
      <c r="D4470" t="s">
        <v>18148</v>
      </c>
      <c r="E4470" t="s">
        <v>18476</v>
      </c>
      <c r="F4470" t="s">
        <v>31362</v>
      </c>
      <c r="G4470" t="s">
        <v>31369</v>
      </c>
      <c r="H4470" t="s">
        <v>31379</v>
      </c>
      <c r="I4470" t="s">
        <v>31386</v>
      </c>
      <c r="J4470" t="s">
        <v>34434</v>
      </c>
      <c r="K4470" t="s">
        <v>40665</v>
      </c>
      <c r="L4470" t="s">
        <v>1522</v>
      </c>
      <c r="M4470" t="s">
        <v>42566</v>
      </c>
      <c r="N4470" t="s">
        <v>44905</v>
      </c>
      <c r="O4470" t="s">
        <v>44906</v>
      </c>
      <c r="P4470">
        <v>0</v>
      </c>
      <c r="Q4470">
        <v>1</v>
      </c>
      <c r="R4470" t="s">
        <v>44908</v>
      </c>
      <c r="S4470" t="s">
        <v>45042</v>
      </c>
      <c r="T4470" t="s">
        <v>46453</v>
      </c>
      <c r="U4470" t="s">
        <v>50574</v>
      </c>
      <c r="W4470" t="s">
        <v>42566</v>
      </c>
      <c r="X4470" t="s">
        <v>44909</v>
      </c>
    </row>
    <row r="4471" spans="1:24">
      <c r="A4471">
        <f>HYPERLINK("https://www.philgeps.gov.ph/GEPSNONPILOT/Tender/SplashBidNoticeAbstractUI.aspx?menuIndex=3&amp;refID=7081136&amp;Result=3","7081136")</f>
        <v>0</v>
      </c>
      <c r="B4471" t="s">
        <v>1147</v>
      </c>
      <c r="C4471" t="s">
        <v>7799</v>
      </c>
      <c r="D4471" t="s">
        <v>18119</v>
      </c>
      <c r="E4471" t="s">
        <v>22188</v>
      </c>
      <c r="F4471" t="s">
        <v>31362</v>
      </c>
      <c r="G4471" t="s">
        <v>31368</v>
      </c>
      <c r="H4471" t="s">
        <v>15799</v>
      </c>
      <c r="I4471" t="s">
        <v>31430</v>
      </c>
      <c r="J4471" t="s">
        <v>31586</v>
      </c>
      <c r="K4471" t="s">
        <v>40666</v>
      </c>
      <c r="M4471" t="s">
        <v>42156</v>
      </c>
      <c r="N4471" t="s">
        <v>44905</v>
      </c>
      <c r="O4471" t="s">
        <v>44906</v>
      </c>
      <c r="P4471">
        <v>0</v>
      </c>
      <c r="Q4471">
        <v>0</v>
      </c>
      <c r="R4471" t="s">
        <v>44908</v>
      </c>
      <c r="S4471" t="s">
        <v>45042</v>
      </c>
      <c r="T4471" t="s">
        <v>46428</v>
      </c>
      <c r="U4471" t="s">
        <v>50575</v>
      </c>
      <c r="V4471" t="s">
        <v>59383</v>
      </c>
      <c r="W4471" t="s">
        <v>42156</v>
      </c>
      <c r="X4471" t="s">
        <v>44909</v>
      </c>
    </row>
    <row r="4472" spans="1:24">
      <c r="A4472">
        <f>HYPERLINK("https://www.philgeps.gov.ph/GEPSNONPILOT/Tender/SplashBidNoticeAbstractUI.aspx?menuIndex=3&amp;refID=7081151&amp;Result=3","7081151")</f>
        <v>0</v>
      </c>
      <c r="B4472" t="s">
        <v>1519</v>
      </c>
      <c r="C4472" t="s">
        <v>7800</v>
      </c>
      <c r="D4472" t="s">
        <v>18108</v>
      </c>
      <c r="E4472" t="s">
        <v>22189</v>
      </c>
      <c r="F4472" t="s">
        <v>31362</v>
      </c>
      <c r="G4472" t="s">
        <v>31369</v>
      </c>
      <c r="H4472" t="s">
        <v>31377</v>
      </c>
      <c r="I4472" t="s">
        <v>31377</v>
      </c>
      <c r="J4472" t="s">
        <v>34435</v>
      </c>
      <c r="K4472" t="s">
        <v>40665</v>
      </c>
      <c r="M4472" t="s">
        <v>42563</v>
      </c>
      <c r="N4472" t="s">
        <v>44905</v>
      </c>
      <c r="O4472" t="s">
        <v>44906</v>
      </c>
      <c r="P4472">
        <v>0</v>
      </c>
      <c r="Q4472">
        <v>3</v>
      </c>
      <c r="R4472" t="s">
        <v>44908</v>
      </c>
      <c r="S4472" t="s">
        <v>45042</v>
      </c>
      <c r="T4472" t="s">
        <v>46449</v>
      </c>
      <c r="U4472" t="s">
        <v>50576</v>
      </c>
      <c r="W4472" t="s">
        <v>42563</v>
      </c>
      <c r="X4472" t="s">
        <v>44909</v>
      </c>
    </row>
    <row r="4473" spans="1:24">
      <c r="A4473">
        <f>HYPERLINK("https://www.philgeps.gov.ph/GEPSNONPILOT/Tender/SplashBidNoticeAbstractUI.aspx?menuIndex=3&amp;refID=7081148&amp;Result=3","7081148")</f>
        <v>0</v>
      </c>
      <c r="B4473" t="s">
        <v>1055</v>
      </c>
      <c r="C4473" t="s">
        <v>7801</v>
      </c>
      <c r="D4473" t="s">
        <v>18153</v>
      </c>
      <c r="E4473" t="s">
        <v>22190</v>
      </c>
      <c r="F4473" t="s">
        <v>31362</v>
      </c>
      <c r="G4473" t="s">
        <v>31369</v>
      </c>
      <c r="H4473" t="s">
        <v>15799</v>
      </c>
      <c r="I4473" t="s">
        <v>31404</v>
      </c>
      <c r="J4473" t="s">
        <v>34436</v>
      </c>
      <c r="K4473" t="s">
        <v>40662</v>
      </c>
      <c r="L4473" t="s">
        <v>1055</v>
      </c>
      <c r="M4473" t="s">
        <v>42056</v>
      </c>
      <c r="N4473" t="s">
        <v>44905</v>
      </c>
      <c r="O4473" t="s">
        <v>44906</v>
      </c>
      <c r="P4473">
        <v>0</v>
      </c>
      <c r="Q4473">
        <v>0</v>
      </c>
      <c r="R4473" t="s">
        <v>44908</v>
      </c>
      <c r="S4473" t="s">
        <v>45042</v>
      </c>
      <c r="T4473" t="s">
        <v>46404</v>
      </c>
      <c r="U4473" t="s">
        <v>50577</v>
      </c>
      <c r="W4473" t="s">
        <v>42056</v>
      </c>
      <c r="X4473" t="s">
        <v>44909</v>
      </c>
    </row>
    <row r="4474" spans="1:24">
      <c r="A4474">
        <f>HYPERLINK("https://www.philgeps.gov.ph/GEPSNONPILOT/Tender/SplashBidNoticeAbstractUI.aspx?menuIndex=3&amp;refID=7081146&amp;Result=3","7081146")</f>
        <v>0</v>
      </c>
      <c r="B4474" t="s">
        <v>1529</v>
      </c>
      <c r="C4474" t="s">
        <v>7802</v>
      </c>
      <c r="D4474" t="s">
        <v>18134</v>
      </c>
      <c r="E4474" t="s">
        <v>22191</v>
      </c>
      <c r="F4474" t="s">
        <v>31362</v>
      </c>
      <c r="G4474" t="s">
        <v>31368</v>
      </c>
      <c r="H4474" t="s">
        <v>15799</v>
      </c>
      <c r="I4474" t="s">
        <v>31387</v>
      </c>
      <c r="J4474" t="s">
        <v>34265</v>
      </c>
      <c r="K4474" t="s">
        <v>40697</v>
      </c>
      <c r="M4474" t="s">
        <v>42574</v>
      </c>
      <c r="N4474" t="s">
        <v>44905</v>
      </c>
      <c r="O4474" t="s">
        <v>44906</v>
      </c>
      <c r="P4474">
        <v>0</v>
      </c>
      <c r="Q4474">
        <v>1</v>
      </c>
      <c r="R4474" t="s">
        <v>44908</v>
      </c>
      <c r="S4474" t="s">
        <v>45042</v>
      </c>
      <c r="T4474" t="s">
        <v>46416</v>
      </c>
      <c r="U4474" t="s">
        <v>50578</v>
      </c>
      <c r="W4474" t="s">
        <v>42574</v>
      </c>
      <c r="X4474" t="s">
        <v>44909</v>
      </c>
    </row>
    <row r="4475" spans="1:24">
      <c r="A4475">
        <f>HYPERLINK("https://www.philgeps.gov.ph/GEPSNONPILOT/Tender/SplashBidNoticeAbstractUI.aspx?menuIndex=3&amp;refID=7081145&amp;Result=3","7081145")</f>
        <v>0</v>
      </c>
      <c r="B4475" t="s">
        <v>1508</v>
      </c>
      <c r="C4475" t="s">
        <v>7803</v>
      </c>
      <c r="D4475" t="s">
        <v>18153</v>
      </c>
      <c r="E4475" t="s">
        <v>22192</v>
      </c>
      <c r="F4475" t="s">
        <v>31362</v>
      </c>
      <c r="G4475" t="s">
        <v>31369</v>
      </c>
      <c r="H4475" t="s">
        <v>31378</v>
      </c>
      <c r="I4475" t="s">
        <v>31386</v>
      </c>
      <c r="J4475" t="s">
        <v>34437</v>
      </c>
      <c r="K4475" t="s">
        <v>40679</v>
      </c>
      <c r="M4475" t="s">
        <v>42548</v>
      </c>
      <c r="N4475" t="s">
        <v>44905</v>
      </c>
      <c r="O4475" t="s">
        <v>44906</v>
      </c>
      <c r="P4475">
        <v>0</v>
      </c>
      <c r="Q4475">
        <v>0</v>
      </c>
      <c r="R4475" t="s">
        <v>44908</v>
      </c>
      <c r="S4475" t="s">
        <v>45042</v>
      </c>
      <c r="T4475" t="s">
        <v>46433</v>
      </c>
      <c r="U4475" t="s">
        <v>50491</v>
      </c>
      <c r="V4475" t="s">
        <v>59481</v>
      </c>
      <c r="W4475" t="s">
        <v>42548</v>
      </c>
      <c r="X4475" t="s">
        <v>44909</v>
      </c>
    </row>
    <row r="4476" spans="1:24">
      <c r="A4476">
        <f>HYPERLINK("https://www.philgeps.gov.ph/GEPSNONPILOT/Tender/SplashBidNoticeAbstractUI.aspx?menuIndex=3&amp;refID=7081166&amp;Result=3","7081166")</f>
        <v>0</v>
      </c>
      <c r="B4476" t="s">
        <v>776</v>
      </c>
      <c r="C4476" t="s">
        <v>7135</v>
      </c>
      <c r="E4476" t="s">
        <v>22193</v>
      </c>
      <c r="F4476" t="s">
        <v>31362</v>
      </c>
      <c r="G4476" t="s">
        <v>31368</v>
      </c>
      <c r="H4476" t="s">
        <v>15799</v>
      </c>
      <c r="I4476" t="s">
        <v>31393</v>
      </c>
      <c r="J4476" t="s">
        <v>34438</v>
      </c>
      <c r="K4476" t="s">
        <v>40662</v>
      </c>
      <c r="M4476" t="s">
        <v>41744</v>
      </c>
      <c r="N4476" t="s">
        <v>44905</v>
      </c>
      <c r="O4476" t="s">
        <v>44906</v>
      </c>
      <c r="P4476">
        <v>0</v>
      </c>
      <c r="Q4476">
        <v>6</v>
      </c>
      <c r="R4476" t="s">
        <v>44908</v>
      </c>
      <c r="S4476" t="s">
        <v>45042</v>
      </c>
      <c r="T4476" t="s">
        <v>46400</v>
      </c>
      <c r="U4476" t="s">
        <v>50579</v>
      </c>
      <c r="W4476" t="s">
        <v>41744</v>
      </c>
      <c r="X4476" t="s">
        <v>44909</v>
      </c>
    </row>
    <row r="4477" spans="1:24">
      <c r="A4477">
        <f>HYPERLINK("https://www.philgeps.gov.ph/GEPSNONPILOT/Tender/SplashBidNoticeAbstractUI.aspx?menuIndex=3&amp;refID=7081179&amp;Result=3","7081179")</f>
        <v>0</v>
      </c>
      <c r="B4477" t="s">
        <v>1507</v>
      </c>
      <c r="C4477" t="s">
        <v>7804</v>
      </c>
      <c r="D4477" t="s">
        <v>18113</v>
      </c>
      <c r="E4477" t="s">
        <v>22194</v>
      </c>
      <c r="F4477" t="s">
        <v>31362</v>
      </c>
      <c r="G4477" t="s">
        <v>31369</v>
      </c>
      <c r="H4477" t="s">
        <v>15799</v>
      </c>
      <c r="I4477" t="s">
        <v>31387</v>
      </c>
      <c r="J4477" t="s">
        <v>34439</v>
      </c>
      <c r="K4477" t="s">
        <v>40682</v>
      </c>
      <c r="M4477" t="s">
        <v>42547</v>
      </c>
      <c r="N4477" t="s">
        <v>44905</v>
      </c>
      <c r="O4477" t="s">
        <v>44906</v>
      </c>
      <c r="P4477">
        <v>0</v>
      </c>
      <c r="Q4477">
        <v>0</v>
      </c>
      <c r="R4477" t="s">
        <v>44908</v>
      </c>
      <c r="S4477" t="s">
        <v>45042</v>
      </c>
      <c r="T4477" t="s">
        <v>46648</v>
      </c>
      <c r="U4477" t="s">
        <v>50580</v>
      </c>
      <c r="V4477" t="s">
        <v>59473</v>
      </c>
      <c r="W4477" t="s">
        <v>42547</v>
      </c>
      <c r="X4477" t="s">
        <v>44909</v>
      </c>
    </row>
    <row r="4478" spans="1:24">
      <c r="A4478">
        <f>HYPERLINK("https://www.philgeps.gov.ph/GEPSNONPILOT/Tender/SplashBidNoticeAbstractUI.aspx?menuIndex=3&amp;refID=7081178&amp;Result=3","7081178")</f>
        <v>0</v>
      </c>
      <c r="B4478" t="s">
        <v>303</v>
      </c>
      <c r="C4478" t="s">
        <v>7805</v>
      </c>
      <c r="D4478" t="s">
        <v>18121</v>
      </c>
      <c r="E4478" t="s">
        <v>22195</v>
      </c>
      <c r="F4478" t="s">
        <v>31362</v>
      </c>
      <c r="G4478" t="s">
        <v>31371</v>
      </c>
      <c r="H4478" t="s">
        <v>15799</v>
      </c>
      <c r="I4478" t="s">
        <v>31380</v>
      </c>
      <c r="J4478" t="s">
        <v>34440</v>
      </c>
      <c r="K4478" t="s">
        <v>40665</v>
      </c>
      <c r="M4478" t="s">
        <v>41247</v>
      </c>
      <c r="N4478" t="s">
        <v>44905</v>
      </c>
      <c r="O4478" t="s">
        <v>44906</v>
      </c>
      <c r="P4478">
        <v>0</v>
      </c>
      <c r="Q4478">
        <v>7</v>
      </c>
      <c r="R4478" t="s">
        <v>44908</v>
      </c>
      <c r="S4478" t="s">
        <v>45042</v>
      </c>
      <c r="T4478" t="s">
        <v>46409</v>
      </c>
      <c r="U4478" t="s">
        <v>50581</v>
      </c>
      <c r="W4478" t="s">
        <v>41247</v>
      </c>
      <c r="X4478" t="s">
        <v>44909</v>
      </c>
    </row>
    <row r="4479" spans="1:24">
      <c r="A4479">
        <f>HYPERLINK("https://www.philgeps.gov.ph/GEPSNONPILOT/Tender/SplashBidNoticeAbstractUI.aspx?menuIndex=3&amp;refID=7081137&amp;Result=3","7081137")</f>
        <v>0</v>
      </c>
      <c r="B4479" t="s">
        <v>1518</v>
      </c>
      <c r="C4479" t="s">
        <v>7806</v>
      </c>
      <c r="D4479" t="s">
        <v>18108</v>
      </c>
      <c r="E4479" t="s">
        <v>18874</v>
      </c>
      <c r="F4479" t="s">
        <v>31362</v>
      </c>
      <c r="G4479" t="s">
        <v>31368</v>
      </c>
      <c r="H4479" t="s">
        <v>15799</v>
      </c>
      <c r="I4479" t="s">
        <v>7719</v>
      </c>
      <c r="J4479" t="s">
        <v>31536</v>
      </c>
      <c r="K4479" t="s">
        <v>40682</v>
      </c>
      <c r="M4479" t="s">
        <v>42562</v>
      </c>
      <c r="N4479" t="s">
        <v>44905</v>
      </c>
      <c r="O4479" t="s">
        <v>44906</v>
      </c>
      <c r="P4479">
        <v>0</v>
      </c>
      <c r="Q4479">
        <v>10</v>
      </c>
      <c r="R4479" t="s">
        <v>44908</v>
      </c>
      <c r="S4479" t="s">
        <v>45042</v>
      </c>
      <c r="T4479" t="s">
        <v>46422</v>
      </c>
      <c r="U4479" t="s">
        <v>50582</v>
      </c>
      <c r="W4479" t="s">
        <v>42562</v>
      </c>
      <c r="X4479" t="s">
        <v>44909</v>
      </c>
    </row>
    <row r="4480" spans="1:24">
      <c r="A4480">
        <f>HYPERLINK("https://www.philgeps.gov.ph/GEPSNONPILOT/Tender/SplashBidNoticeAbstractUI.aspx?menuIndex=3&amp;refID=7081187&amp;Result=3","7081187")</f>
        <v>0</v>
      </c>
      <c r="B4480" t="s">
        <v>1270</v>
      </c>
      <c r="C4480" t="s">
        <v>7807</v>
      </c>
      <c r="D4480" t="s">
        <v>18151</v>
      </c>
      <c r="E4480" t="s">
        <v>22196</v>
      </c>
      <c r="F4480" t="s">
        <v>31362</v>
      </c>
      <c r="G4480" t="s">
        <v>31368</v>
      </c>
      <c r="H4480" t="s">
        <v>15799</v>
      </c>
      <c r="I4480" t="s">
        <v>4057</v>
      </c>
      <c r="J4480" t="s">
        <v>32777</v>
      </c>
      <c r="K4480" t="s">
        <v>40698</v>
      </c>
      <c r="M4480" t="s">
        <v>42287</v>
      </c>
      <c r="N4480" t="s">
        <v>44905</v>
      </c>
      <c r="O4480" t="s">
        <v>44906</v>
      </c>
      <c r="P4480">
        <v>0</v>
      </c>
      <c r="Q4480">
        <v>0</v>
      </c>
      <c r="R4480" t="s">
        <v>44908</v>
      </c>
      <c r="S4480" t="s">
        <v>45042</v>
      </c>
      <c r="T4480" t="s">
        <v>46404</v>
      </c>
      <c r="U4480" t="s">
        <v>49706</v>
      </c>
      <c r="W4480" t="s">
        <v>42287</v>
      </c>
      <c r="X4480" t="s">
        <v>44909</v>
      </c>
    </row>
    <row r="4481" spans="1:24">
      <c r="A4481">
        <f>HYPERLINK("https://www.philgeps.gov.ph/GEPSNONPILOT/Tender/SplashBidNoticeAbstractUI.aspx?menuIndex=3&amp;refID=7081159&amp;Result=3","7081159")</f>
        <v>0</v>
      </c>
      <c r="B4481" t="s">
        <v>546</v>
      </c>
      <c r="C4481" t="s">
        <v>7808</v>
      </c>
      <c r="D4481" t="s">
        <v>18133</v>
      </c>
      <c r="E4481" t="s">
        <v>22197</v>
      </c>
      <c r="F4481" t="s">
        <v>31362</v>
      </c>
      <c r="G4481" t="s">
        <v>31368</v>
      </c>
      <c r="H4481" t="s">
        <v>15799</v>
      </c>
      <c r="I4481" t="s">
        <v>31461</v>
      </c>
      <c r="J4481" t="s">
        <v>34441</v>
      </c>
      <c r="K4481" t="s">
        <v>40662</v>
      </c>
      <c r="L4481" t="s">
        <v>546</v>
      </c>
      <c r="M4481" t="s">
        <v>41502</v>
      </c>
      <c r="N4481" t="s">
        <v>44905</v>
      </c>
      <c r="O4481" t="s">
        <v>44906</v>
      </c>
      <c r="P4481">
        <v>0</v>
      </c>
      <c r="Q4481">
        <v>3</v>
      </c>
      <c r="R4481" t="s">
        <v>44908</v>
      </c>
      <c r="S4481" t="s">
        <v>45042</v>
      </c>
      <c r="T4481" t="s">
        <v>46425</v>
      </c>
      <c r="U4481" t="s">
        <v>47974</v>
      </c>
      <c r="W4481" t="s">
        <v>41502</v>
      </c>
      <c r="X4481" t="s">
        <v>44909</v>
      </c>
    </row>
    <row r="4482" spans="1:24">
      <c r="A4482">
        <f>HYPERLINK("https://www.philgeps.gov.ph/GEPSNONPILOT/Tender/SplashBidNoticeAbstractUI.aspx?menuIndex=3&amp;refID=7081186&amp;Result=3","7081186")</f>
        <v>0</v>
      </c>
      <c r="B4482" t="s">
        <v>592</v>
      </c>
      <c r="C4482" t="s">
        <v>7809</v>
      </c>
      <c r="D4482" t="s">
        <v>18100</v>
      </c>
      <c r="E4482" t="s">
        <v>22198</v>
      </c>
      <c r="F4482" t="s">
        <v>31362</v>
      </c>
      <c r="G4482" t="s">
        <v>31368</v>
      </c>
      <c r="H4482" t="s">
        <v>31379</v>
      </c>
      <c r="I4482" t="s">
        <v>31440</v>
      </c>
      <c r="J4482" t="s">
        <v>31626</v>
      </c>
      <c r="K4482" t="s">
        <v>40661</v>
      </c>
      <c r="M4482" t="s">
        <v>41549</v>
      </c>
      <c r="N4482" t="s">
        <v>44905</v>
      </c>
      <c r="O4482" t="s">
        <v>44906</v>
      </c>
      <c r="P4482">
        <v>0</v>
      </c>
      <c r="Q4482">
        <v>0</v>
      </c>
      <c r="R4482" t="s">
        <v>44908</v>
      </c>
      <c r="S4482" t="s">
        <v>45042</v>
      </c>
      <c r="T4482" t="s">
        <v>46414</v>
      </c>
      <c r="U4482" t="s">
        <v>50583</v>
      </c>
      <c r="W4482" t="s">
        <v>41549</v>
      </c>
      <c r="X4482" t="s">
        <v>44909</v>
      </c>
    </row>
    <row r="4483" spans="1:24">
      <c r="A4483">
        <f>HYPERLINK("https://www.philgeps.gov.ph/GEPSNONPILOT/Tender/SplashBidNoticeAbstractUI.aspx?menuIndex=3&amp;refID=7081185&amp;Result=3","7081185")</f>
        <v>0</v>
      </c>
      <c r="B4483" t="s">
        <v>333</v>
      </c>
      <c r="C4483" t="s">
        <v>7810</v>
      </c>
      <c r="D4483" t="s">
        <v>18108</v>
      </c>
      <c r="E4483" t="s">
        <v>22199</v>
      </c>
      <c r="F4483" t="s">
        <v>31362</v>
      </c>
      <c r="G4483" t="s">
        <v>31371</v>
      </c>
      <c r="H4483" t="s">
        <v>15799</v>
      </c>
      <c r="I4483" t="s">
        <v>31430</v>
      </c>
      <c r="J4483" t="s">
        <v>32300</v>
      </c>
      <c r="K4483" t="s">
        <v>40661</v>
      </c>
      <c r="M4483" t="s">
        <v>41279</v>
      </c>
      <c r="N4483" t="s">
        <v>44905</v>
      </c>
      <c r="O4483" t="s">
        <v>44906</v>
      </c>
      <c r="P4483">
        <v>0</v>
      </c>
      <c r="Q4483">
        <v>3</v>
      </c>
      <c r="R4483" t="s">
        <v>44908</v>
      </c>
      <c r="S4483" t="s">
        <v>45042</v>
      </c>
      <c r="T4483" t="s">
        <v>46411</v>
      </c>
      <c r="U4483" t="s">
        <v>50584</v>
      </c>
      <c r="W4483" t="s">
        <v>60847</v>
      </c>
      <c r="X4483" t="s">
        <v>44909</v>
      </c>
    </row>
    <row r="4484" spans="1:24">
      <c r="A4484">
        <f>HYPERLINK("https://www.philgeps.gov.ph/GEPSNONPILOT/Tender/SplashBidNoticeAbstractUI.aspx?menuIndex=3&amp;refID=7081183&amp;Result=3","7081183")</f>
        <v>0</v>
      </c>
      <c r="B4484" t="s">
        <v>118</v>
      </c>
      <c r="C4484" t="s">
        <v>7811</v>
      </c>
      <c r="D4484" t="s">
        <v>18142</v>
      </c>
      <c r="E4484" t="s">
        <v>22200</v>
      </c>
      <c r="F4484" t="s">
        <v>31362</v>
      </c>
      <c r="G4484" t="s">
        <v>31369</v>
      </c>
      <c r="H4484" t="s">
        <v>31378</v>
      </c>
      <c r="I4484" t="s">
        <v>31386</v>
      </c>
      <c r="J4484" t="s">
        <v>31531</v>
      </c>
      <c r="K4484" t="s">
        <v>40682</v>
      </c>
      <c r="M4484" t="s">
        <v>41055</v>
      </c>
      <c r="N4484" t="s">
        <v>44905</v>
      </c>
      <c r="O4484" t="s">
        <v>44906</v>
      </c>
      <c r="P4484">
        <v>0</v>
      </c>
      <c r="Q4484">
        <v>0</v>
      </c>
      <c r="R4484" t="s">
        <v>44908</v>
      </c>
      <c r="S4484" t="s">
        <v>45042</v>
      </c>
      <c r="T4484" t="s">
        <v>46493</v>
      </c>
      <c r="U4484" t="s">
        <v>50585</v>
      </c>
      <c r="W4484" t="s">
        <v>41055</v>
      </c>
      <c r="X4484" t="s">
        <v>44909</v>
      </c>
    </row>
    <row r="4485" spans="1:24">
      <c r="A4485">
        <f>HYPERLINK("https://www.philgeps.gov.ph/GEPSNONPILOT/Tender/SplashBidNoticeAbstractUI.aspx?menuIndex=3&amp;refID=7081144&amp;Result=3","7081144")</f>
        <v>0</v>
      </c>
      <c r="B4485" t="s">
        <v>1530</v>
      </c>
      <c r="C4485" t="s">
        <v>7812</v>
      </c>
      <c r="D4485" t="s">
        <v>18117</v>
      </c>
      <c r="E4485" t="s">
        <v>22201</v>
      </c>
      <c r="F4485" t="s">
        <v>31362</v>
      </c>
      <c r="G4485" t="s">
        <v>31369</v>
      </c>
      <c r="H4485" t="s">
        <v>31378</v>
      </c>
      <c r="I4485" t="s">
        <v>31386</v>
      </c>
      <c r="J4485" t="s">
        <v>34442</v>
      </c>
      <c r="K4485" t="s">
        <v>40665</v>
      </c>
      <c r="M4485" t="s">
        <v>42575</v>
      </c>
      <c r="N4485" t="s">
        <v>44905</v>
      </c>
      <c r="O4485" t="s">
        <v>44906</v>
      </c>
      <c r="P4485">
        <v>0</v>
      </c>
      <c r="Q4485">
        <v>0</v>
      </c>
      <c r="R4485" t="s">
        <v>44908</v>
      </c>
      <c r="S4485" t="s">
        <v>45042</v>
      </c>
      <c r="T4485" t="s">
        <v>46504</v>
      </c>
      <c r="U4485" t="s">
        <v>50586</v>
      </c>
      <c r="W4485" t="s">
        <v>42575</v>
      </c>
      <c r="X4485" t="s">
        <v>44909</v>
      </c>
    </row>
    <row r="4486" spans="1:24">
      <c r="A4486">
        <f>HYPERLINK("https://www.philgeps.gov.ph/GEPSNONPILOT/Tender/SplashBidNoticeAbstractUI.aspx?menuIndex=3&amp;refID=7081180&amp;Result=3","7081180")</f>
        <v>0</v>
      </c>
      <c r="B4486" t="s">
        <v>307</v>
      </c>
      <c r="C4486" t="s">
        <v>7813</v>
      </c>
      <c r="D4486" t="s">
        <v>18114</v>
      </c>
      <c r="E4486" t="s">
        <v>22202</v>
      </c>
      <c r="F4486" t="s">
        <v>31362</v>
      </c>
      <c r="G4486" t="s">
        <v>31369</v>
      </c>
      <c r="H4486" t="s">
        <v>15799</v>
      </c>
      <c r="I4486" t="s">
        <v>6155</v>
      </c>
      <c r="J4486" t="s">
        <v>31530</v>
      </c>
      <c r="K4486" t="s">
        <v>40665</v>
      </c>
      <c r="M4486" t="s">
        <v>41251</v>
      </c>
      <c r="N4486" t="s">
        <v>44905</v>
      </c>
      <c r="O4486" t="s">
        <v>44906</v>
      </c>
      <c r="P4486">
        <v>0</v>
      </c>
      <c r="Q4486">
        <v>8</v>
      </c>
      <c r="R4486" t="s">
        <v>44908</v>
      </c>
      <c r="S4486" t="s">
        <v>45042</v>
      </c>
      <c r="T4486" t="s">
        <v>46452</v>
      </c>
      <c r="U4486" t="s">
        <v>50587</v>
      </c>
      <c r="W4486" t="s">
        <v>41251</v>
      </c>
      <c r="X4486" t="s">
        <v>44909</v>
      </c>
    </row>
    <row r="4487" spans="1:24">
      <c r="A4487">
        <f>HYPERLINK("https://www.philgeps.gov.ph/GEPSNONPILOT/Tender/SplashBidNoticeAbstractUI.aspx?menuIndex=3&amp;refID=7081177&amp;Result=3","7081177")</f>
        <v>0</v>
      </c>
      <c r="B4487" t="s">
        <v>33</v>
      </c>
      <c r="C4487" t="s">
        <v>7814</v>
      </c>
      <c r="D4487" t="s">
        <v>18106</v>
      </c>
      <c r="E4487" t="s">
        <v>22203</v>
      </c>
      <c r="F4487" t="s">
        <v>31362</v>
      </c>
      <c r="G4487" t="s">
        <v>31368</v>
      </c>
      <c r="H4487" t="s">
        <v>15799</v>
      </c>
      <c r="I4487" t="s">
        <v>6373</v>
      </c>
      <c r="J4487" t="s">
        <v>34443</v>
      </c>
      <c r="K4487" t="s">
        <v>40661</v>
      </c>
      <c r="M4487" t="s">
        <v>40967</v>
      </c>
      <c r="N4487" t="s">
        <v>44905</v>
      </c>
      <c r="O4487" t="s">
        <v>44906</v>
      </c>
      <c r="P4487">
        <v>0</v>
      </c>
      <c r="Q4487">
        <v>3</v>
      </c>
      <c r="R4487" t="s">
        <v>44908</v>
      </c>
      <c r="S4487" t="s">
        <v>45042</v>
      </c>
      <c r="T4487" t="s">
        <v>46506</v>
      </c>
      <c r="U4487" t="s">
        <v>47898</v>
      </c>
      <c r="W4487" t="s">
        <v>40967</v>
      </c>
      <c r="X4487" t="s">
        <v>44909</v>
      </c>
    </row>
    <row r="4488" spans="1:24">
      <c r="A4488">
        <f>HYPERLINK("https://www.philgeps.gov.ph/GEPSNONPILOT/Tender/SplashBidNoticeAbstractUI.aspx?menuIndex=3&amp;refID=7081176&amp;Result=3","7081176")</f>
        <v>0</v>
      </c>
      <c r="B4488" t="s">
        <v>275</v>
      </c>
      <c r="C4488" t="s">
        <v>7815</v>
      </c>
      <c r="D4488" t="s">
        <v>18140</v>
      </c>
      <c r="E4488" t="s">
        <v>22204</v>
      </c>
      <c r="F4488" t="s">
        <v>31362</v>
      </c>
      <c r="G4488" t="s">
        <v>31369</v>
      </c>
      <c r="H4488" t="s">
        <v>15799</v>
      </c>
      <c r="I4488" t="s">
        <v>31418</v>
      </c>
      <c r="J4488" t="s">
        <v>34444</v>
      </c>
      <c r="K4488" t="s">
        <v>40665</v>
      </c>
      <c r="M4488" t="s">
        <v>41217</v>
      </c>
      <c r="N4488" t="s">
        <v>44905</v>
      </c>
      <c r="O4488" t="s">
        <v>44906</v>
      </c>
      <c r="P4488">
        <v>0</v>
      </c>
      <c r="Q4488">
        <v>0</v>
      </c>
      <c r="R4488" t="s">
        <v>44908</v>
      </c>
      <c r="S4488" t="s">
        <v>45042</v>
      </c>
      <c r="T4488" t="s">
        <v>46395</v>
      </c>
      <c r="U4488" t="s">
        <v>50588</v>
      </c>
      <c r="W4488" t="s">
        <v>41217</v>
      </c>
      <c r="X4488" t="s">
        <v>44909</v>
      </c>
    </row>
    <row r="4489" spans="1:24">
      <c r="A4489">
        <f>HYPERLINK("https://www.philgeps.gov.ph/GEPSNONPILOT/Tender/SplashBidNoticeAbstractUI.aspx?menuIndex=3&amp;refID=7081174&amp;Result=3","7081174")</f>
        <v>0</v>
      </c>
      <c r="B4489" t="s">
        <v>1531</v>
      </c>
      <c r="C4489" t="s">
        <v>7816</v>
      </c>
      <c r="D4489" t="s">
        <v>18177</v>
      </c>
      <c r="E4489" t="s">
        <v>18203</v>
      </c>
      <c r="F4489" t="s">
        <v>31362</v>
      </c>
      <c r="G4489" t="s">
        <v>31369</v>
      </c>
      <c r="H4489" t="s">
        <v>15799</v>
      </c>
      <c r="I4489" t="s">
        <v>3815</v>
      </c>
      <c r="J4489" t="s">
        <v>31645</v>
      </c>
      <c r="K4489" t="s">
        <v>40665</v>
      </c>
      <c r="M4489" t="s">
        <v>42576</v>
      </c>
      <c r="N4489" t="s">
        <v>44905</v>
      </c>
      <c r="O4489" t="s">
        <v>44906</v>
      </c>
      <c r="P4489">
        <v>0</v>
      </c>
      <c r="Q4489">
        <v>0</v>
      </c>
      <c r="R4489" t="s">
        <v>44908</v>
      </c>
      <c r="S4489" t="s">
        <v>45042</v>
      </c>
      <c r="T4489" t="s">
        <v>46408</v>
      </c>
      <c r="U4489" t="s">
        <v>50589</v>
      </c>
      <c r="W4489" t="s">
        <v>42576</v>
      </c>
      <c r="X4489" t="s">
        <v>44909</v>
      </c>
    </row>
    <row r="4490" spans="1:24">
      <c r="A4490">
        <f>HYPERLINK("https://www.philgeps.gov.ph/GEPSNONPILOT/Tender/SplashBidNoticeAbstractUI.aspx?menuIndex=3&amp;refID=7081184&amp;Result=3","7081184")</f>
        <v>0</v>
      </c>
      <c r="B4490" t="s">
        <v>1389</v>
      </c>
      <c r="C4490" t="s">
        <v>7817</v>
      </c>
      <c r="D4490" t="s">
        <v>18127</v>
      </c>
      <c r="E4490" t="s">
        <v>22205</v>
      </c>
      <c r="F4490" t="s">
        <v>31362</v>
      </c>
      <c r="G4490" t="s">
        <v>31368</v>
      </c>
      <c r="H4490" t="s">
        <v>15799</v>
      </c>
      <c r="I4490" t="s">
        <v>3815</v>
      </c>
      <c r="J4490" t="s">
        <v>34445</v>
      </c>
      <c r="K4490" t="s">
        <v>40662</v>
      </c>
      <c r="M4490" t="s">
        <v>42414</v>
      </c>
      <c r="N4490" t="s">
        <v>44905</v>
      </c>
      <c r="O4490" t="s">
        <v>44906</v>
      </c>
      <c r="P4490">
        <v>0</v>
      </c>
      <c r="Q4490">
        <v>0</v>
      </c>
      <c r="R4490" t="s">
        <v>44908</v>
      </c>
      <c r="S4490" t="s">
        <v>45042</v>
      </c>
      <c r="T4490" t="s">
        <v>46393</v>
      </c>
      <c r="U4490" t="s">
        <v>50590</v>
      </c>
      <c r="W4490" t="s">
        <v>42414</v>
      </c>
      <c r="X4490" t="s">
        <v>44909</v>
      </c>
    </row>
    <row r="4491" spans="1:24">
      <c r="A4491">
        <f>HYPERLINK("https://www.philgeps.gov.ph/GEPSNONPILOT/Tender/SplashBidNoticeAbstractUI.aspx?menuIndex=3&amp;refID=7081147&amp;Result=3","7081147")</f>
        <v>0</v>
      </c>
      <c r="B4491" t="s">
        <v>1333</v>
      </c>
      <c r="C4491" t="s">
        <v>7818</v>
      </c>
      <c r="D4491" t="s">
        <v>18139</v>
      </c>
      <c r="E4491" t="s">
        <v>22206</v>
      </c>
      <c r="F4491" t="s">
        <v>31362</v>
      </c>
      <c r="G4491" t="s">
        <v>31368</v>
      </c>
      <c r="H4491" t="s">
        <v>15799</v>
      </c>
      <c r="I4491" t="s">
        <v>31406</v>
      </c>
      <c r="J4491" t="s">
        <v>31711</v>
      </c>
      <c r="K4491" t="s">
        <v>40666</v>
      </c>
      <c r="M4491" t="s">
        <v>42351</v>
      </c>
      <c r="N4491" t="s">
        <v>44905</v>
      </c>
      <c r="O4491" t="s">
        <v>44906</v>
      </c>
      <c r="P4491">
        <v>0</v>
      </c>
      <c r="Q4491">
        <v>2</v>
      </c>
      <c r="R4491" t="s">
        <v>44908</v>
      </c>
      <c r="S4491" t="s">
        <v>45042</v>
      </c>
      <c r="T4491" t="s">
        <v>46549</v>
      </c>
      <c r="U4491" t="s">
        <v>49870</v>
      </c>
      <c r="W4491" t="s">
        <v>42351</v>
      </c>
      <c r="X4491" t="s">
        <v>44909</v>
      </c>
    </row>
    <row r="4492" spans="1:24">
      <c r="A4492">
        <f>HYPERLINK("https://www.philgeps.gov.ph/GEPSNONPILOT/Tender/SplashBidNoticeAbstractUI.aspx?menuIndex=3&amp;refID=7081171&amp;Result=3","7081171")</f>
        <v>0</v>
      </c>
      <c r="B4492" t="s">
        <v>1501</v>
      </c>
      <c r="C4492" t="s">
        <v>7819</v>
      </c>
      <c r="D4492" t="s">
        <v>18113</v>
      </c>
      <c r="E4492" t="s">
        <v>22207</v>
      </c>
      <c r="F4492" t="s">
        <v>31362</v>
      </c>
      <c r="G4492" t="s">
        <v>31370</v>
      </c>
      <c r="H4492" t="s">
        <v>15799</v>
      </c>
      <c r="I4492" t="s">
        <v>31422</v>
      </c>
      <c r="J4492" t="s">
        <v>34446</v>
      </c>
      <c r="K4492" t="s">
        <v>40665</v>
      </c>
      <c r="M4492" t="s">
        <v>42541</v>
      </c>
      <c r="N4492" t="s">
        <v>44905</v>
      </c>
      <c r="O4492" t="s">
        <v>44906</v>
      </c>
      <c r="P4492">
        <v>0</v>
      </c>
      <c r="Q4492">
        <v>3</v>
      </c>
      <c r="R4492" t="s">
        <v>44908</v>
      </c>
      <c r="S4492" t="s">
        <v>45042</v>
      </c>
      <c r="T4492" t="s">
        <v>46414</v>
      </c>
      <c r="U4492" t="s">
        <v>50591</v>
      </c>
      <c r="W4492" t="s">
        <v>42541</v>
      </c>
      <c r="X4492" t="s">
        <v>44909</v>
      </c>
    </row>
    <row r="4493" spans="1:24">
      <c r="A4493">
        <f>HYPERLINK("https://www.philgeps.gov.ph/GEPSNONPILOT/Tender/SplashBidNoticeAbstractUI.aspx?menuIndex=3&amp;refID=7081182&amp;Result=3","7081182")</f>
        <v>0</v>
      </c>
      <c r="B4493" t="s">
        <v>1263</v>
      </c>
      <c r="C4493" t="s">
        <v>7820</v>
      </c>
      <c r="D4493" t="s">
        <v>18106</v>
      </c>
      <c r="E4493" t="s">
        <v>21229</v>
      </c>
      <c r="F4493" t="s">
        <v>31362</v>
      </c>
      <c r="G4493" t="s">
        <v>31368</v>
      </c>
      <c r="H4493" t="s">
        <v>15799</v>
      </c>
      <c r="I4493" t="s">
        <v>31424</v>
      </c>
      <c r="J4493" t="s">
        <v>31722</v>
      </c>
      <c r="K4493" t="s">
        <v>40661</v>
      </c>
      <c r="M4493" t="s">
        <v>42280</v>
      </c>
      <c r="N4493" t="s">
        <v>44905</v>
      </c>
      <c r="O4493" t="s">
        <v>44906</v>
      </c>
      <c r="P4493">
        <v>0</v>
      </c>
      <c r="Q4493">
        <v>1</v>
      </c>
      <c r="R4493" t="s">
        <v>44908</v>
      </c>
      <c r="S4493" t="s">
        <v>45042</v>
      </c>
      <c r="T4493" t="s">
        <v>46412</v>
      </c>
      <c r="U4493" t="s">
        <v>50592</v>
      </c>
      <c r="W4493" t="s">
        <v>42280</v>
      </c>
      <c r="X4493" t="s">
        <v>44909</v>
      </c>
    </row>
    <row r="4494" spans="1:24">
      <c r="A4494">
        <f>HYPERLINK("https://www.philgeps.gov.ph/GEPSNONPILOT/Tender/SplashBidNoticeAbstractUI.aspx?menuIndex=3&amp;refID=7081170&amp;Result=3","7081170")</f>
        <v>0</v>
      </c>
      <c r="B4494" t="s">
        <v>285</v>
      </c>
      <c r="C4494" t="s">
        <v>7821</v>
      </c>
      <c r="D4494" t="s">
        <v>18134</v>
      </c>
      <c r="E4494" t="s">
        <v>18874</v>
      </c>
      <c r="F4494" t="s">
        <v>31362</v>
      </c>
      <c r="G4494" t="s">
        <v>31369</v>
      </c>
      <c r="H4494" t="s">
        <v>31378</v>
      </c>
      <c r="I4494" t="s">
        <v>31386</v>
      </c>
      <c r="J4494" t="s">
        <v>34447</v>
      </c>
      <c r="K4494" t="s">
        <v>40679</v>
      </c>
      <c r="M4494" t="s">
        <v>41228</v>
      </c>
      <c r="N4494" t="s">
        <v>44905</v>
      </c>
      <c r="O4494" t="s">
        <v>44906</v>
      </c>
      <c r="P4494">
        <v>0</v>
      </c>
      <c r="Q4494">
        <v>0</v>
      </c>
      <c r="R4494" t="s">
        <v>44908</v>
      </c>
      <c r="S4494" t="s">
        <v>45042</v>
      </c>
      <c r="T4494" t="s">
        <v>46511</v>
      </c>
      <c r="U4494" t="s">
        <v>50593</v>
      </c>
      <c r="W4494" t="s">
        <v>41228</v>
      </c>
      <c r="X4494" t="s">
        <v>44909</v>
      </c>
    </row>
    <row r="4495" spans="1:24">
      <c r="A4495">
        <f>HYPERLINK("https://www.philgeps.gov.ph/GEPSNONPILOT/Tender/SplashBidNoticeAbstractUI.aspx?menuIndex=3&amp;refID=7081175&amp;Result=3","7081175")</f>
        <v>0</v>
      </c>
      <c r="B4495" t="s">
        <v>1529</v>
      </c>
      <c r="C4495" t="s">
        <v>7822</v>
      </c>
      <c r="D4495" t="s">
        <v>18134</v>
      </c>
      <c r="E4495" t="s">
        <v>22208</v>
      </c>
      <c r="F4495" t="s">
        <v>31362</v>
      </c>
      <c r="G4495" t="s">
        <v>31368</v>
      </c>
      <c r="H4495" t="s">
        <v>15799</v>
      </c>
      <c r="I4495" t="s">
        <v>31422</v>
      </c>
      <c r="J4495" t="s">
        <v>31869</v>
      </c>
      <c r="K4495" t="s">
        <v>40697</v>
      </c>
      <c r="M4495" t="s">
        <v>42574</v>
      </c>
      <c r="N4495" t="s">
        <v>44905</v>
      </c>
      <c r="O4495" t="s">
        <v>44906</v>
      </c>
      <c r="P4495">
        <v>0</v>
      </c>
      <c r="Q4495">
        <v>0</v>
      </c>
      <c r="R4495" t="s">
        <v>44908</v>
      </c>
      <c r="S4495" t="s">
        <v>45042</v>
      </c>
      <c r="T4495" t="s">
        <v>46438</v>
      </c>
      <c r="U4495" t="s">
        <v>50594</v>
      </c>
      <c r="W4495" t="s">
        <v>42574</v>
      </c>
      <c r="X4495" t="s">
        <v>44909</v>
      </c>
    </row>
    <row r="4496" spans="1:24">
      <c r="A4496">
        <f>HYPERLINK("https://www.philgeps.gov.ph/GEPSNONPILOT/Tender/SplashBidNoticeAbstractUI.aspx?menuIndex=3&amp;refID=7081168&amp;Result=3","7081168")</f>
        <v>0</v>
      </c>
      <c r="B4496" t="s">
        <v>130</v>
      </c>
      <c r="C4496" t="s">
        <v>7823</v>
      </c>
      <c r="D4496" t="s">
        <v>18109</v>
      </c>
      <c r="E4496" t="s">
        <v>22209</v>
      </c>
      <c r="F4496" t="s">
        <v>31362</v>
      </c>
      <c r="G4496" t="s">
        <v>31368</v>
      </c>
      <c r="H4496" t="s">
        <v>15799</v>
      </c>
      <c r="I4496" t="s">
        <v>31430</v>
      </c>
      <c r="J4496" t="s">
        <v>34448</v>
      </c>
      <c r="K4496" t="s">
        <v>40662</v>
      </c>
      <c r="M4496" t="s">
        <v>41067</v>
      </c>
      <c r="N4496" t="s">
        <v>44905</v>
      </c>
      <c r="O4496" t="s">
        <v>44906</v>
      </c>
      <c r="P4496">
        <v>0</v>
      </c>
      <c r="Q4496">
        <v>1</v>
      </c>
      <c r="R4496" t="s">
        <v>44908</v>
      </c>
      <c r="S4496" t="s">
        <v>45042</v>
      </c>
      <c r="T4496" t="s">
        <v>46394</v>
      </c>
      <c r="U4496" t="s">
        <v>50595</v>
      </c>
      <c r="W4496" t="s">
        <v>41067</v>
      </c>
      <c r="X4496" t="s">
        <v>44909</v>
      </c>
    </row>
    <row r="4497" spans="1:24">
      <c r="A4497">
        <f>HYPERLINK("https://www.philgeps.gov.ph/GEPSNONPILOT/Tender/SplashBidNoticeAbstractUI.aspx?menuIndex=3&amp;refID=7081189&amp;Result=3","7081189")</f>
        <v>0</v>
      </c>
      <c r="B4497" t="s">
        <v>130</v>
      </c>
      <c r="C4497" t="s">
        <v>7824</v>
      </c>
      <c r="D4497" t="s">
        <v>18109</v>
      </c>
      <c r="E4497" t="s">
        <v>22210</v>
      </c>
      <c r="F4497" t="s">
        <v>31362</v>
      </c>
      <c r="G4497" t="s">
        <v>31368</v>
      </c>
      <c r="H4497" t="s">
        <v>15799</v>
      </c>
      <c r="I4497" t="s">
        <v>6155</v>
      </c>
      <c r="J4497" t="s">
        <v>34449</v>
      </c>
      <c r="K4497" t="s">
        <v>40662</v>
      </c>
      <c r="M4497" t="s">
        <v>41067</v>
      </c>
      <c r="N4497" t="s">
        <v>44905</v>
      </c>
      <c r="O4497" t="s">
        <v>44906</v>
      </c>
      <c r="P4497">
        <v>0</v>
      </c>
      <c r="Q4497">
        <v>4</v>
      </c>
      <c r="R4497" t="s">
        <v>44908</v>
      </c>
      <c r="S4497" t="s">
        <v>45042</v>
      </c>
      <c r="T4497" t="s">
        <v>46394</v>
      </c>
      <c r="U4497" t="s">
        <v>50596</v>
      </c>
      <c r="W4497" t="s">
        <v>41067</v>
      </c>
      <c r="X4497" t="s">
        <v>44909</v>
      </c>
    </row>
    <row r="4498" spans="1:24">
      <c r="A4498">
        <f>HYPERLINK("https://www.philgeps.gov.ph/GEPSNONPILOT/Tender/SplashBidNoticeAbstractUI.aspx?menuIndex=3&amp;refID=7081210&amp;Result=3","7081210")</f>
        <v>0</v>
      </c>
      <c r="B4498" t="s">
        <v>1058</v>
      </c>
      <c r="C4498" t="s">
        <v>7825</v>
      </c>
      <c r="D4498" t="s">
        <v>18104</v>
      </c>
      <c r="E4498" t="s">
        <v>22211</v>
      </c>
      <c r="F4498" t="s">
        <v>31362</v>
      </c>
      <c r="G4498" t="s">
        <v>31370</v>
      </c>
      <c r="H4498" t="s">
        <v>15799</v>
      </c>
      <c r="I4498" t="s">
        <v>31430</v>
      </c>
      <c r="J4498" t="s">
        <v>31724</v>
      </c>
      <c r="K4498" t="s">
        <v>40670</v>
      </c>
      <c r="M4498" t="s">
        <v>42059</v>
      </c>
      <c r="N4498" t="s">
        <v>44905</v>
      </c>
      <c r="O4498" t="s">
        <v>44906</v>
      </c>
      <c r="P4498">
        <v>0</v>
      </c>
      <c r="Q4498">
        <v>0</v>
      </c>
      <c r="R4498" t="s">
        <v>44908</v>
      </c>
      <c r="S4498" t="s">
        <v>45042</v>
      </c>
      <c r="T4498" t="s">
        <v>46447</v>
      </c>
      <c r="U4498" t="s">
        <v>50597</v>
      </c>
      <c r="W4498" t="s">
        <v>42059</v>
      </c>
      <c r="X4498" t="s">
        <v>44909</v>
      </c>
    </row>
    <row r="4499" spans="1:24">
      <c r="A4499">
        <f>HYPERLINK("https://www.philgeps.gov.ph/GEPSNONPILOT/Tender/SplashBidNoticeAbstractUI.aspx?menuIndex=3&amp;refID=7081209&amp;Result=3","7081209")</f>
        <v>0</v>
      </c>
      <c r="B4499" t="s">
        <v>307</v>
      </c>
      <c r="C4499" t="s">
        <v>7826</v>
      </c>
      <c r="D4499" t="s">
        <v>18114</v>
      </c>
      <c r="E4499" t="s">
        <v>22212</v>
      </c>
      <c r="F4499" t="s">
        <v>31362</v>
      </c>
      <c r="G4499" t="s">
        <v>31369</v>
      </c>
      <c r="H4499" t="s">
        <v>15799</v>
      </c>
      <c r="I4499" t="s">
        <v>31406</v>
      </c>
      <c r="J4499" t="s">
        <v>31578</v>
      </c>
      <c r="K4499" t="s">
        <v>40665</v>
      </c>
      <c r="M4499" t="s">
        <v>41251</v>
      </c>
      <c r="N4499" t="s">
        <v>44905</v>
      </c>
      <c r="O4499" t="s">
        <v>44906</v>
      </c>
      <c r="P4499">
        <v>0</v>
      </c>
      <c r="Q4499">
        <v>6</v>
      </c>
      <c r="R4499" t="s">
        <v>44908</v>
      </c>
      <c r="S4499" t="s">
        <v>45042</v>
      </c>
      <c r="T4499" t="s">
        <v>46452</v>
      </c>
      <c r="U4499" t="s">
        <v>50598</v>
      </c>
      <c r="W4499" t="s">
        <v>41251</v>
      </c>
      <c r="X4499" t="s">
        <v>44909</v>
      </c>
    </row>
    <row r="4500" spans="1:24">
      <c r="A4500">
        <f>HYPERLINK("https://www.philgeps.gov.ph/GEPSNONPILOT/Tender/SplashBidNoticeAbstractUI.aspx?menuIndex=3&amp;refID=7081173&amp;Result=3","7081173")</f>
        <v>0</v>
      </c>
      <c r="B4500" t="s">
        <v>1337</v>
      </c>
      <c r="C4500" t="s">
        <v>7827</v>
      </c>
      <c r="D4500" t="s">
        <v>18155</v>
      </c>
      <c r="E4500" t="s">
        <v>22213</v>
      </c>
      <c r="F4500" t="s">
        <v>31362</v>
      </c>
      <c r="G4500" t="s">
        <v>31369</v>
      </c>
      <c r="H4500" t="s">
        <v>31378</v>
      </c>
      <c r="I4500" t="s">
        <v>31386</v>
      </c>
      <c r="J4500" t="s">
        <v>34450</v>
      </c>
      <c r="K4500" t="s">
        <v>40681</v>
      </c>
      <c r="M4500" t="s">
        <v>42356</v>
      </c>
      <c r="N4500" t="s">
        <v>44905</v>
      </c>
      <c r="O4500" t="s">
        <v>44906</v>
      </c>
      <c r="P4500">
        <v>0</v>
      </c>
      <c r="Q4500">
        <v>0</v>
      </c>
      <c r="R4500" t="s">
        <v>44908</v>
      </c>
      <c r="S4500" t="s">
        <v>45042</v>
      </c>
      <c r="T4500" t="s">
        <v>46683</v>
      </c>
      <c r="U4500" t="s">
        <v>50599</v>
      </c>
      <c r="W4500" t="s">
        <v>42356</v>
      </c>
      <c r="X4500" t="s">
        <v>44909</v>
      </c>
    </row>
    <row r="4501" spans="1:24">
      <c r="A4501">
        <f>HYPERLINK("https://www.philgeps.gov.ph/GEPSNONPILOT/Tender/SplashBidNoticeAbstractUI.aspx?menuIndex=3&amp;refID=7081208&amp;Result=3","7081208")</f>
        <v>0</v>
      </c>
      <c r="B4501" t="s">
        <v>1270</v>
      </c>
      <c r="C4501" t="s">
        <v>7828</v>
      </c>
      <c r="D4501" t="s">
        <v>18151</v>
      </c>
      <c r="E4501" t="s">
        <v>22214</v>
      </c>
      <c r="F4501" t="s">
        <v>31362</v>
      </c>
      <c r="G4501" t="s">
        <v>31368</v>
      </c>
      <c r="H4501" t="s">
        <v>15799</v>
      </c>
      <c r="I4501" t="s">
        <v>4057</v>
      </c>
      <c r="J4501" t="s">
        <v>33531</v>
      </c>
      <c r="K4501" t="s">
        <v>40698</v>
      </c>
      <c r="M4501" t="s">
        <v>42287</v>
      </c>
      <c r="N4501" t="s">
        <v>44905</v>
      </c>
      <c r="O4501" t="s">
        <v>44906</v>
      </c>
      <c r="P4501">
        <v>0</v>
      </c>
      <c r="Q4501">
        <v>0</v>
      </c>
      <c r="R4501" t="s">
        <v>44908</v>
      </c>
      <c r="S4501" t="s">
        <v>45042</v>
      </c>
      <c r="T4501" t="s">
        <v>46404</v>
      </c>
      <c r="U4501" t="s">
        <v>49706</v>
      </c>
      <c r="W4501" t="s">
        <v>42287</v>
      </c>
      <c r="X4501" t="s">
        <v>44909</v>
      </c>
    </row>
    <row r="4502" spans="1:24">
      <c r="A4502">
        <f>HYPERLINK("https://www.philgeps.gov.ph/GEPSNONPILOT/Tender/SplashBidNoticeAbstractUI.aspx?menuIndex=3&amp;refID=7081205&amp;Result=3","7081205")</f>
        <v>0</v>
      </c>
      <c r="B4502" t="s">
        <v>130</v>
      </c>
      <c r="C4502" t="s">
        <v>7829</v>
      </c>
      <c r="D4502" t="s">
        <v>18109</v>
      </c>
      <c r="E4502" t="s">
        <v>22215</v>
      </c>
      <c r="F4502" t="s">
        <v>31362</v>
      </c>
      <c r="G4502" t="s">
        <v>31368</v>
      </c>
      <c r="H4502" t="s">
        <v>15799</v>
      </c>
      <c r="I4502" t="s">
        <v>6373</v>
      </c>
      <c r="J4502" t="s">
        <v>34451</v>
      </c>
      <c r="K4502" t="s">
        <v>40662</v>
      </c>
      <c r="M4502" t="s">
        <v>41067</v>
      </c>
      <c r="N4502" t="s">
        <v>44905</v>
      </c>
      <c r="O4502" t="s">
        <v>44906</v>
      </c>
      <c r="P4502">
        <v>0</v>
      </c>
      <c r="Q4502">
        <v>7</v>
      </c>
      <c r="R4502" t="s">
        <v>44908</v>
      </c>
      <c r="S4502" t="s">
        <v>45042</v>
      </c>
      <c r="T4502" t="s">
        <v>46394</v>
      </c>
      <c r="U4502" t="s">
        <v>50600</v>
      </c>
      <c r="W4502" t="s">
        <v>41067</v>
      </c>
      <c r="X4502" t="s">
        <v>44909</v>
      </c>
    </row>
    <row r="4503" spans="1:24">
      <c r="A4503">
        <f>HYPERLINK("https://www.philgeps.gov.ph/GEPSNONPILOT/Tender/SplashBidNoticeAbstractUI.aspx?menuIndex=3&amp;refID=7081203&amp;Result=3","7081203")</f>
        <v>0</v>
      </c>
      <c r="B4503" t="s">
        <v>1464</v>
      </c>
      <c r="C4503" t="s">
        <v>7830</v>
      </c>
      <c r="D4503" t="s">
        <v>18116</v>
      </c>
      <c r="E4503" t="s">
        <v>22216</v>
      </c>
      <c r="F4503" t="s">
        <v>31362</v>
      </c>
      <c r="G4503" t="s">
        <v>31370</v>
      </c>
      <c r="H4503" t="s">
        <v>15799</v>
      </c>
      <c r="I4503" t="s">
        <v>31384</v>
      </c>
      <c r="J4503" t="s">
        <v>31890</v>
      </c>
      <c r="K4503" t="s">
        <v>40661</v>
      </c>
      <c r="M4503" t="s">
        <v>42495</v>
      </c>
      <c r="N4503" t="s">
        <v>44905</v>
      </c>
      <c r="O4503" t="s">
        <v>44906</v>
      </c>
      <c r="P4503">
        <v>0</v>
      </c>
      <c r="Q4503">
        <v>1</v>
      </c>
      <c r="R4503" t="s">
        <v>44908</v>
      </c>
      <c r="S4503" t="s">
        <v>45042</v>
      </c>
      <c r="T4503" t="s">
        <v>46467</v>
      </c>
      <c r="U4503" t="s">
        <v>50601</v>
      </c>
      <c r="W4503" t="s">
        <v>42495</v>
      </c>
      <c r="X4503" t="s">
        <v>44909</v>
      </c>
    </row>
    <row r="4504" spans="1:24">
      <c r="A4504">
        <f>HYPERLINK("https://www.philgeps.gov.ph/GEPSNONPILOT/Tender/SplashBidNoticeAbstractUI.aspx?menuIndex=3&amp;refID=7081162&amp;Result=3","7081162")</f>
        <v>0</v>
      </c>
      <c r="B4504" t="s">
        <v>234</v>
      </c>
      <c r="C4504" t="s">
        <v>7831</v>
      </c>
      <c r="D4504" t="s">
        <v>18108</v>
      </c>
      <c r="E4504" t="s">
        <v>22217</v>
      </c>
      <c r="F4504" t="s">
        <v>31362</v>
      </c>
      <c r="G4504" t="s">
        <v>31368</v>
      </c>
      <c r="H4504" t="s">
        <v>15799</v>
      </c>
      <c r="I4504" t="s">
        <v>31395</v>
      </c>
      <c r="J4504" t="s">
        <v>34452</v>
      </c>
      <c r="K4504" t="s">
        <v>40665</v>
      </c>
      <c r="M4504" t="s">
        <v>41173</v>
      </c>
      <c r="N4504" t="s">
        <v>44905</v>
      </c>
      <c r="O4504" t="s">
        <v>44906</v>
      </c>
      <c r="P4504">
        <v>0</v>
      </c>
      <c r="Q4504">
        <v>4</v>
      </c>
      <c r="R4504" t="s">
        <v>44908</v>
      </c>
      <c r="S4504" t="s">
        <v>45042</v>
      </c>
      <c r="T4504" t="s">
        <v>46480</v>
      </c>
      <c r="U4504" t="s">
        <v>50602</v>
      </c>
      <c r="W4504" t="s">
        <v>41173</v>
      </c>
      <c r="X4504" t="s">
        <v>44909</v>
      </c>
    </row>
    <row r="4505" spans="1:24">
      <c r="A4505">
        <f>HYPERLINK("https://www.philgeps.gov.ph/GEPSNONPILOT/Tender/SplashBidNoticeAbstractUI.aspx?menuIndex=3&amp;refID=7081167&amp;Result=3","7081167")</f>
        <v>0</v>
      </c>
      <c r="B4505" t="s">
        <v>1491</v>
      </c>
      <c r="C4505" t="s">
        <v>7832</v>
      </c>
      <c r="D4505" t="s">
        <v>18139</v>
      </c>
      <c r="E4505" t="s">
        <v>22218</v>
      </c>
      <c r="F4505" t="s">
        <v>31362</v>
      </c>
      <c r="G4505" t="s">
        <v>31368</v>
      </c>
      <c r="H4505" t="s">
        <v>15799</v>
      </c>
      <c r="I4505" t="s">
        <v>31423</v>
      </c>
      <c r="J4505" t="s">
        <v>33865</v>
      </c>
      <c r="K4505" t="s">
        <v>40665</v>
      </c>
      <c r="M4505" t="s">
        <v>42554</v>
      </c>
      <c r="N4505" t="s">
        <v>44905</v>
      </c>
      <c r="O4505" t="s">
        <v>44906</v>
      </c>
      <c r="P4505">
        <v>0</v>
      </c>
      <c r="Q4505">
        <v>1</v>
      </c>
      <c r="R4505" t="s">
        <v>44908</v>
      </c>
      <c r="S4505" t="s">
        <v>45042</v>
      </c>
      <c r="T4505" t="s">
        <v>46454</v>
      </c>
      <c r="U4505" t="s">
        <v>50446</v>
      </c>
      <c r="W4505" t="s">
        <v>42528</v>
      </c>
      <c r="X4505" t="s">
        <v>44909</v>
      </c>
    </row>
    <row r="4506" spans="1:24">
      <c r="A4506">
        <f>HYPERLINK("https://www.philgeps.gov.ph/GEPSNONPILOT/Tender/SplashBidNoticeAbstractUI.aspx?menuIndex=3&amp;refID=7081202&amp;Result=3","7081202")</f>
        <v>0</v>
      </c>
      <c r="B4506" t="s">
        <v>1529</v>
      </c>
      <c r="C4506" t="s">
        <v>7822</v>
      </c>
      <c r="D4506" t="s">
        <v>18134</v>
      </c>
      <c r="E4506" t="s">
        <v>22219</v>
      </c>
      <c r="F4506" t="s">
        <v>31362</v>
      </c>
      <c r="G4506" t="s">
        <v>31368</v>
      </c>
      <c r="H4506" t="s">
        <v>15799</v>
      </c>
      <c r="I4506" t="s">
        <v>31422</v>
      </c>
      <c r="J4506" t="s">
        <v>34453</v>
      </c>
      <c r="K4506" t="s">
        <v>40697</v>
      </c>
      <c r="M4506" t="s">
        <v>42574</v>
      </c>
      <c r="N4506" t="s">
        <v>44905</v>
      </c>
      <c r="O4506" t="s">
        <v>44906</v>
      </c>
      <c r="P4506">
        <v>0</v>
      </c>
      <c r="Q4506">
        <v>2</v>
      </c>
      <c r="R4506" t="s">
        <v>44908</v>
      </c>
      <c r="S4506" t="s">
        <v>45042</v>
      </c>
      <c r="T4506" t="s">
        <v>46438</v>
      </c>
      <c r="U4506" t="s">
        <v>50603</v>
      </c>
      <c r="W4506" t="s">
        <v>42574</v>
      </c>
      <c r="X4506" t="s">
        <v>44909</v>
      </c>
    </row>
    <row r="4507" spans="1:24">
      <c r="A4507">
        <f>HYPERLINK("https://www.philgeps.gov.ph/GEPSNONPILOT/Tender/SplashBidNoticeAbstractUI.aspx?menuIndex=3&amp;refID=7081201&amp;Result=3","7081201")</f>
        <v>0</v>
      </c>
      <c r="B4507" t="s">
        <v>443</v>
      </c>
      <c r="C4507" t="s">
        <v>7833</v>
      </c>
      <c r="D4507" t="s">
        <v>18131</v>
      </c>
      <c r="E4507" t="s">
        <v>22220</v>
      </c>
      <c r="F4507" t="s">
        <v>31362</v>
      </c>
      <c r="G4507" t="s">
        <v>31368</v>
      </c>
      <c r="H4507" t="s">
        <v>15799</v>
      </c>
      <c r="I4507" t="s">
        <v>31404</v>
      </c>
      <c r="J4507" t="s">
        <v>31724</v>
      </c>
      <c r="K4507" t="s">
        <v>40662</v>
      </c>
      <c r="L4507" t="s">
        <v>443</v>
      </c>
      <c r="M4507" t="s">
        <v>42538</v>
      </c>
      <c r="N4507" t="s">
        <v>44905</v>
      </c>
      <c r="O4507" t="s">
        <v>44906</v>
      </c>
      <c r="P4507">
        <v>0</v>
      </c>
      <c r="Q4507">
        <v>0</v>
      </c>
      <c r="R4507" t="s">
        <v>44908</v>
      </c>
      <c r="S4507" t="s">
        <v>45042</v>
      </c>
      <c r="T4507" t="s">
        <v>46454</v>
      </c>
      <c r="U4507" t="s">
        <v>47726</v>
      </c>
      <c r="W4507" t="s">
        <v>42538</v>
      </c>
      <c r="X4507" t="s">
        <v>44909</v>
      </c>
    </row>
    <row r="4508" spans="1:24">
      <c r="A4508">
        <f>HYPERLINK("https://www.philgeps.gov.ph/GEPSNONPILOT/Tender/SplashBidNoticeAbstractUI.aspx?menuIndex=3&amp;refID=7081172&amp;Result=3","7081172")</f>
        <v>0</v>
      </c>
      <c r="B4508" t="s">
        <v>443</v>
      </c>
      <c r="C4508" t="s">
        <v>7834</v>
      </c>
      <c r="D4508" t="s">
        <v>18131</v>
      </c>
      <c r="E4508" t="s">
        <v>22221</v>
      </c>
      <c r="F4508" t="s">
        <v>31362</v>
      </c>
      <c r="G4508" t="s">
        <v>31368</v>
      </c>
      <c r="H4508" t="s">
        <v>15799</v>
      </c>
      <c r="I4508" t="s">
        <v>31404</v>
      </c>
      <c r="J4508" t="s">
        <v>34454</v>
      </c>
      <c r="K4508" t="s">
        <v>40662</v>
      </c>
      <c r="L4508" t="s">
        <v>443</v>
      </c>
      <c r="M4508" t="s">
        <v>42538</v>
      </c>
      <c r="N4508" t="s">
        <v>44905</v>
      </c>
      <c r="O4508" t="s">
        <v>44906</v>
      </c>
      <c r="P4508">
        <v>0</v>
      </c>
      <c r="Q4508">
        <v>0</v>
      </c>
      <c r="R4508" t="s">
        <v>44908</v>
      </c>
      <c r="S4508" t="s">
        <v>45042</v>
      </c>
      <c r="T4508" t="s">
        <v>46454</v>
      </c>
      <c r="U4508" t="s">
        <v>47726</v>
      </c>
      <c r="W4508" t="s">
        <v>42538</v>
      </c>
      <c r="X4508" t="s">
        <v>44909</v>
      </c>
    </row>
    <row r="4509" spans="1:24">
      <c r="A4509">
        <f>HYPERLINK("https://www.philgeps.gov.ph/GEPSNONPILOT/Tender/SplashBidNoticeAbstractUI.aspx?menuIndex=3&amp;refID=7081200&amp;Result=3","7081200")</f>
        <v>0</v>
      </c>
      <c r="B4509" t="s">
        <v>670</v>
      </c>
      <c r="C4509" t="s">
        <v>7835</v>
      </c>
      <c r="D4509" t="s">
        <v>18152</v>
      </c>
      <c r="E4509" t="s">
        <v>22222</v>
      </c>
      <c r="F4509" t="s">
        <v>31362</v>
      </c>
      <c r="G4509" t="s">
        <v>31368</v>
      </c>
      <c r="H4509" t="s">
        <v>15799</v>
      </c>
      <c r="I4509" t="s">
        <v>31438</v>
      </c>
      <c r="J4509" t="s">
        <v>31576</v>
      </c>
      <c r="K4509" t="s">
        <v>40697</v>
      </c>
      <c r="M4509" t="s">
        <v>41632</v>
      </c>
      <c r="N4509" t="s">
        <v>44905</v>
      </c>
      <c r="O4509" t="s">
        <v>44906</v>
      </c>
      <c r="P4509">
        <v>0</v>
      </c>
      <c r="Q4509">
        <v>1</v>
      </c>
      <c r="R4509" t="s">
        <v>44908</v>
      </c>
      <c r="S4509" t="s">
        <v>45042</v>
      </c>
      <c r="T4509" t="s">
        <v>46409</v>
      </c>
      <c r="U4509" t="s">
        <v>50604</v>
      </c>
      <c r="W4509" t="s">
        <v>41632</v>
      </c>
      <c r="X4509" t="s">
        <v>44909</v>
      </c>
    </row>
    <row r="4510" spans="1:24">
      <c r="A4510">
        <f>HYPERLINK("https://www.philgeps.gov.ph/GEPSNONPILOT/Tender/SplashBidNoticeAbstractUI.aspx?menuIndex=3&amp;refID=7081197&amp;Result=3","7081197")</f>
        <v>0</v>
      </c>
      <c r="B4510" t="s">
        <v>523</v>
      </c>
      <c r="C4510" t="s">
        <v>7836</v>
      </c>
      <c r="D4510" t="s">
        <v>18108</v>
      </c>
      <c r="E4510" t="s">
        <v>7836</v>
      </c>
      <c r="F4510" t="s">
        <v>31362</v>
      </c>
      <c r="G4510" t="s">
        <v>31368</v>
      </c>
      <c r="H4510" t="s">
        <v>15799</v>
      </c>
      <c r="I4510" t="s">
        <v>31382</v>
      </c>
      <c r="J4510" t="s">
        <v>32026</v>
      </c>
      <c r="K4510" t="s">
        <v>40662</v>
      </c>
      <c r="M4510" t="s">
        <v>42577</v>
      </c>
      <c r="N4510" t="s">
        <v>44905</v>
      </c>
      <c r="O4510" t="s">
        <v>44906</v>
      </c>
      <c r="P4510">
        <v>0</v>
      </c>
      <c r="Q4510">
        <v>5</v>
      </c>
      <c r="R4510" t="s">
        <v>44908</v>
      </c>
      <c r="S4510" t="s">
        <v>45042</v>
      </c>
      <c r="T4510" t="s">
        <v>46467</v>
      </c>
      <c r="U4510" t="s">
        <v>47939</v>
      </c>
      <c r="W4510" t="s">
        <v>42577</v>
      </c>
      <c r="X4510" t="s">
        <v>44909</v>
      </c>
    </row>
    <row r="4511" spans="1:24">
      <c r="A4511">
        <f>HYPERLINK("https://www.philgeps.gov.ph/GEPSNONPILOT/Tender/SplashBidNoticeAbstractUI.aspx?menuIndex=3&amp;refID=7081207&amp;Result=3","7081207")</f>
        <v>0</v>
      </c>
      <c r="B4511" t="s">
        <v>1041</v>
      </c>
      <c r="C4511" t="s">
        <v>7837</v>
      </c>
      <c r="D4511" t="s">
        <v>18108</v>
      </c>
      <c r="E4511" t="s">
        <v>22223</v>
      </c>
      <c r="F4511" t="s">
        <v>31362</v>
      </c>
      <c r="G4511" t="s">
        <v>31368</v>
      </c>
      <c r="H4511" t="s">
        <v>15799</v>
      </c>
      <c r="I4511" t="s">
        <v>4283</v>
      </c>
      <c r="J4511" t="s">
        <v>32302</v>
      </c>
      <c r="K4511" t="s">
        <v>40729</v>
      </c>
      <c r="M4511" t="s">
        <v>42040</v>
      </c>
      <c r="N4511" t="s">
        <v>44905</v>
      </c>
      <c r="O4511" t="s">
        <v>44906</v>
      </c>
      <c r="P4511">
        <v>0</v>
      </c>
      <c r="Q4511">
        <v>6</v>
      </c>
      <c r="R4511" t="s">
        <v>44908</v>
      </c>
      <c r="S4511" t="s">
        <v>45042</v>
      </c>
      <c r="T4511" t="s">
        <v>46454</v>
      </c>
      <c r="U4511" t="s">
        <v>50605</v>
      </c>
      <c r="V4511" t="s">
        <v>59353</v>
      </c>
      <c r="W4511" t="s">
        <v>42040</v>
      </c>
      <c r="X4511" t="s">
        <v>44909</v>
      </c>
    </row>
    <row r="4512" spans="1:24">
      <c r="A4512">
        <f>HYPERLINK("https://www.philgeps.gov.ph/GEPSNONPILOT/Tender/SplashBidNoticeAbstractUI.aspx?menuIndex=3&amp;refID=7081195&amp;Result=3","7081195")</f>
        <v>0</v>
      </c>
      <c r="B4512" t="s">
        <v>1337</v>
      </c>
      <c r="C4512" t="s">
        <v>7838</v>
      </c>
      <c r="D4512" t="s">
        <v>18155</v>
      </c>
      <c r="E4512" t="s">
        <v>22224</v>
      </c>
      <c r="F4512" t="s">
        <v>31362</v>
      </c>
      <c r="G4512" t="s">
        <v>31369</v>
      </c>
      <c r="H4512" t="s">
        <v>31378</v>
      </c>
      <c r="I4512" t="s">
        <v>31386</v>
      </c>
      <c r="J4512" t="s">
        <v>34455</v>
      </c>
      <c r="K4512" t="s">
        <v>40708</v>
      </c>
      <c r="M4512" t="s">
        <v>42356</v>
      </c>
      <c r="N4512" t="s">
        <v>44905</v>
      </c>
      <c r="O4512" t="s">
        <v>44906</v>
      </c>
      <c r="P4512">
        <v>0</v>
      </c>
      <c r="Q4512">
        <v>0</v>
      </c>
      <c r="R4512" t="s">
        <v>44908</v>
      </c>
      <c r="S4512" t="s">
        <v>45042</v>
      </c>
      <c r="T4512" t="s">
        <v>46683</v>
      </c>
      <c r="U4512" t="s">
        <v>50606</v>
      </c>
      <c r="W4512" t="s">
        <v>42356</v>
      </c>
      <c r="X4512" t="s">
        <v>44909</v>
      </c>
    </row>
    <row r="4513" spans="1:24">
      <c r="A4513">
        <f>HYPERLINK("https://www.philgeps.gov.ph/GEPSNONPILOT/Tender/SplashBidNoticeAbstractUI.aspx?menuIndex=3&amp;refID=7081194&amp;Result=3","7081194")</f>
        <v>0</v>
      </c>
      <c r="B4513" t="s">
        <v>110</v>
      </c>
      <c r="C4513" t="s">
        <v>7839</v>
      </c>
      <c r="D4513" t="s">
        <v>18119</v>
      </c>
      <c r="E4513" t="s">
        <v>22225</v>
      </c>
      <c r="F4513" t="s">
        <v>31362</v>
      </c>
      <c r="G4513" t="s">
        <v>31368</v>
      </c>
      <c r="H4513" t="s">
        <v>15799</v>
      </c>
      <c r="I4513" t="s">
        <v>3582</v>
      </c>
      <c r="J4513" t="s">
        <v>34456</v>
      </c>
      <c r="K4513" t="s">
        <v>40670</v>
      </c>
      <c r="M4513" t="s">
        <v>41047</v>
      </c>
      <c r="N4513" t="s">
        <v>44905</v>
      </c>
      <c r="O4513" t="s">
        <v>44906</v>
      </c>
      <c r="P4513">
        <v>0</v>
      </c>
      <c r="Q4513">
        <v>0</v>
      </c>
      <c r="R4513" t="s">
        <v>44908</v>
      </c>
      <c r="S4513" t="s">
        <v>45042</v>
      </c>
      <c r="T4513" t="s">
        <v>46409</v>
      </c>
      <c r="U4513" t="s">
        <v>50607</v>
      </c>
      <c r="W4513" t="s">
        <v>41047</v>
      </c>
      <c r="X4513" t="s">
        <v>44909</v>
      </c>
    </row>
    <row r="4514" spans="1:24">
      <c r="A4514">
        <f>HYPERLINK("https://www.philgeps.gov.ph/GEPSNONPILOT/Tender/SplashBidNoticeAbstractUI.aspx?menuIndex=3&amp;refID=7081190&amp;Result=3","7081190")</f>
        <v>0</v>
      </c>
      <c r="B4514" t="s">
        <v>1532</v>
      </c>
      <c r="C4514" t="s">
        <v>7840</v>
      </c>
      <c r="D4514" t="s">
        <v>18148</v>
      </c>
      <c r="E4514" t="s">
        <v>22226</v>
      </c>
      <c r="F4514" t="s">
        <v>31362</v>
      </c>
      <c r="G4514" t="s">
        <v>31371</v>
      </c>
      <c r="H4514" t="s">
        <v>15799</v>
      </c>
      <c r="I4514" t="s">
        <v>31380</v>
      </c>
      <c r="J4514" t="s">
        <v>31537</v>
      </c>
      <c r="K4514" t="s">
        <v>40661</v>
      </c>
      <c r="M4514" t="s">
        <v>42578</v>
      </c>
      <c r="N4514" t="s">
        <v>44905</v>
      </c>
      <c r="O4514" t="s">
        <v>44906</v>
      </c>
      <c r="P4514">
        <v>0</v>
      </c>
      <c r="Q4514">
        <v>4</v>
      </c>
      <c r="R4514" t="s">
        <v>44908</v>
      </c>
      <c r="S4514" t="s">
        <v>45042</v>
      </c>
      <c r="T4514" t="s">
        <v>46416</v>
      </c>
      <c r="U4514" t="s">
        <v>50608</v>
      </c>
      <c r="V4514" t="s">
        <v>59482</v>
      </c>
      <c r="W4514" t="s">
        <v>42578</v>
      </c>
      <c r="X4514" t="s">
        <v>44909</v>
      </c>
    </row>
    <row r="4515" spans="1:24">
      <c r="A4515">
        <f>HYPERLINK("https://www.philgeps.gov.ph/GEPSNONPILOT/Tender/SplashBidNoticeAbstractUI.aspx?menuIndex=3&amp;refID=7081199&amp;Result=3","7081199")</f>
        <v>0</v>
      </c>
      <c r="B4515" t="s">
        <v>1533</v>
      </c>
      <c r="C4515" t="s">
        <v>7841</v>
      </c>
      <c r="D4515" t="s">
        <v>18104</v>
      </c>
      <c r="E4515" t="s">
        <v>22227</v>
      </c>
      <c r="F4515" t="s">
        <v>31362</v>
      </c>
      <c r="G4515" t="s">
        <v>31368</v>
      </c>
      <c r="H4515" t="s">
        <v>15799</v>
      </c>
      <c r="I4515" t="s">
        <v>31422</v>
      </c>
      <c r="J4515" t="s">
        <v>31645</v>
      </c>
      <c r="K4515" t="s">
        <v>40665</v>
      </c>
      <c r="M4515" t="s">
        <v>42579</v>
      </c>
      <c r="N4515" t="s">
        <v>44905</v>
      </c>
      <c r="O4515" t="s">
        <v>44906</v>
      </c>
      <c r="P4515">
        <v>0</v>
      </c>
      <c r="Q4515">
        <v>1</v>
      </c>
      <c r="R4515" t="s">
        <v>44908</v>
      </c>
      <c r="S4515" t="s">
        <v>45042</v>
      </c>
      <c r="T4515" t="s">
        <v>46440</v>
      </c>
      <c r="U4515" t="s">
        <v>50609</v>
      </c>
      <c r="W4515" t="s">
        <v>42579</v>
      </c>
      <c r="X4515" t="s">
        <v>44909</v>
      </c>
    </row>
    <row r="4516" spans="1:24">
      <c r="A4516">
        <f>HYPERLINK("https://www.philgeps.gov.ph/GEPSNONPILOT/Tender/SplashBidNoticeAbstractUI.aspx?menuIndex=3&amp;refID=7081188&amp;Result=3","7081188")</f>
        <v>0</v>
      </c>
      <c r="B4516" t="s">
        <v>1534</v>
      </c>
      <c r="C4516" t="s">
        <v>7842</v>
      </c>
      <c r="D4516" t="s">
        <v>18180</v>
      </c>
      <c r="E4516" t="s">
        <v>22228</v>
      </c>
      <c r="F4516" t="s">
        <v>31362</v>
      </c>
      <c r="G4516" t="s">
        <v>31369</v>
      </c>
      <c r="H4516" t="s">
        <v>15799</v>
      </c>
      <c r="I4516" t="s">
        <v>6373</v>
      </c>
      <c r="J4516" t="s">
        <v>34457</v>
      </c>
      <c r="K4516" t="s">
        <v>40665</v>
      </c>
      <c r="M4516" t="s">
        <v>42580</v>
      </c>
      <c r="N4516" t="s">
        <v>44905</v>
      </c>
      <c r="O4516" t="s">
        <v>44906</v>
      </c>
      <c r="P4516">
        <v>0</v>
      </c>
      <c r="Q4516">
        <v>4</v>
      </c>
      <c r="R4516" t="s">
        <v>44908</v>
      </c>
      <c r="S4516" t="s">
        <v>45042</v>
      </c>
      <c r="T4516" t="s">
        <v>46449</v>
      </c>
      <c r="U4516" t="s">
        <v>50610</v>
      </c>
      <c r="W4516" t="s">
        <v>42580</v>
      </c>
      <c r="X4516" t="s">
        <v>44909</v>
      </c>
    </row>
    <row r="4517" spans="1:24">
      <c r="A4517">
        <f>HYPERLINK("https://www.philgeps.gov.ph/GEPSNONPILOT/Tender/SplashBidNoticeAbstractUI.aspx?menuIndex=3&amp;refID=7081198&amp;Result=3","7081198")</f>
        <v>0</v>
      </c>
      <c r="B4517" t="s">
        <v>523</v>
      </c>
      <c r="C4517" t="s">
        <v>7843</v>
      </c>
      <c r="D4517" t="s">
        <v>18108</v>
      </c>
      <c r="E4517" t="s">
        <v>22229</v>
      </c>
      <c r="F4517" t="s">
        <v>31362</v>
      </c>
      <c r="G4517" t="s">
        <v>31368</v>
      </c>
      <c r="H4517" t="s">
        <v>15799</v>
      </c>
      <c r="I4517" t="s">
        <v>31380</v>
      </c>
      <c r="J4517" t="s">
        <v>31734</v>
      </c>
      <c r="K4517" t="s">
        <v>40662</v>
      </c>
      <c r="M4517" t="s">
        <v>41479</v>
      </c>
      <c r="N4517" t="s">
        <v>44905</v>
      </c>
      <c r="O4517" t="s">
        <v>44906</v>
      </c>
      <c r="P4517">
        <v>0</v>
      </c>
      <c r="Q4517">
        <v>4</v>
      </c>
      <c r="R4517" t="s">
        <v>44908</v>
      </c>
      <c r="S4517" t="s">
        <v>45042</v>
      </c>
      <c r="T4517" t="s">
        <v>46467</v>
      </c>
      <c r="U4517" t="s">
        <v>47939</v>
      </c>
      <c r="W4517" t="s">
        <v>41479</v>
      </c>
      <c r="X4517" t="s">
        <v>44909</v>
      </c>
    </row>
    <row r="4518" spans="1:24">
      <c r="A4518">
        <f>HYPERLINK("https://www.philgeps.gov.ph/GEPSNONPILOT/Tender/SplashBidNoticeAbstractUI.aspx?menuIndex=3&amp;refID=7081211&amp;Result=3","7081211")</f>
        <v>0</v>
      </c>
      <c r="B4518" t="s">
        <v>249</v>
      </c>
      <c r="C4518" t="s">
        <v>7844</v>
      </c>
      <c r="D4518" t="s">
        <v>18110</v>
      </c>
      <c r="E4518" t="s">
        <v>22230</v>
      </c>
      <c r="F4518" t="s">
        <v>31362</v>
      </c>
      <c r="G4518" t="s">
        <v>31369</v>
      </c>
      <c r="H4518" t="s">
        <v>15799</v>
      </c>
      <c r="I4518" t="s">
        <v>31476</v>
      </c>
      <c r="J4518" t="s">
        <v>34458</v>
      </c>
      <c r="K4518" t="s">
        <v>40662</v>
      </c>
      <c r="M4518" t="s">
        <v>42581</v>
      </c>
      <c r="N4518" t="s">
        <v>44905</v>
      </c>
      <c r="O4518" t="s">
        <v>44906</v>
      </c>
      <c r="P4518">
        <v>0</v>
      </c>
      <c r="Q4518">
        <v>14</v>
      </c>
      <c r="R4518" t="s">
        <v>44908</v>
      </c>
      <c r="S4518" t="s">
        <v>45042</v>
      </c>
      <c r="T4518" t="s">
        <v>46684</v>
      </c>
      <c r="U4518" t="s">
        <v>50611</v>
      </c>
      <c r="V4518" t="s">
        <v>59483</v>
      </c>
      <c r="W4518" t="s">
        <v>42581</v>
      </c>
      <c r="X4518" t="s">
        <v>44909</v>
      </c>
    </row>
    <row r="4519" spans="1:24">
      <c r="A4519">
        <f>HYPERLINK("https://www.philgeps.gov.ph/GEPSNONPILOT/Tender/SplashBidNoticeAbstractUI.aspx?menuIndex=3&amp;refID=7081204&amp;Result=3","7081204")</f>
        <v>0</v>
      </c>
      <c r="B4519" t="s">
        <v>237</v>
      </c>
      <c r="C4519" t="s">
        <v>7845</v>
      </c>
      <c r="D4519" t="s">
        <v>18108</v>
      </c>
      <c r="E4519" t="s">
        <v>22231</v>
      </c>
      <c r="F4519" t="s">
        <v>31362</v>
      </c>
      <c r="G4519" t="s">
        <v>31370</v>
      </c>
      <c r="H4519" t="s">
        <v>15799</v>
      </c>
      <c r="I4519" t="s">
        <v>31380</v>
      </c>
      <c r="J4519" t="s">
        <v>34459</v>
      </c>
      <c r="K4519" t="s">
        <v>40670</v>
      </c>
      <c r="M4519" t="s">
        <v>41330</v>
      </c>
      <c r="N4519" t="s">
        <v>44905</v>
      </c>
      <c r="O4519" t="s">
        <v>44906</v>
      </c>
      <c r="P4519">
        <v>0</v>
      </c>
      <c r="Q4519">
        <v>1</v>
      </c>
      <c r="R4519" t="s">
        <v>44908</v>
      </c>
      <c r="S4519" t="s">
        <v>45042</v>
      </c>
      <c r="T4519" t="s">
        <v>46454</v>
      </c>
      <c r="U4519" t="s">
        <v>50612</v>
      </c>
      <c r="W4519" t="s">
        <v>41330</v>
      </c>
      <c r="X4519" t="s">
        <v>44909</v>
      </c>
    </row>
    <row r="4520" spans="1:24">
      <c r="A4520">
        <f>HYPERLINK("https://www.philgeps.gov.ph/GEPSNONPILOT/Tender/SplashBidNoticeAbstractUI.aspx?menuIndex=3&amp;refID=7081231&amp;Result=3","7081231")</f>
        <v>0</v>
      </c>
      <c r="B4520" t="s">
        <v>1270</v>
      </c>
      <c r="C4520" t="s">
        <v>7846</v>
      </c>
      <c r="D4520" t="s">
        <v>18151</v>
      </c>
      <c r="E4520" t="s">
        <v>22232</v>
      </c>
      <c r="F4520" t="s">
        <v>31362</v>
      </c>
      <c r="G4520" t="s">
        <v>31368</v>
      </c>
      <c r="H4520" t="s">
        <v>15799</v>
      </c>
      <c r="I4520" t="s">
        <v>4057</v>
      </c>
      <c r="J4520" t="s">
        <v>33832</v>
      </c>
      <c r="K4520" t="s">
        <v>40698</v>
      </c>
      <c r="M4520" t="s">
        <v>42287</v>
      </c>
      <c r="N4520" t="s">
        <v>44905</v>
      </c>
      <c r="O4520" t="s">
        <v>44906</v>
      </c>
      <c r="P4520">
        <v>0</v>
      </c>
      <c r="Q4520">
        <v>0</v>
      </c>
      <c r="R4520" t="s">
        <v>44908</v>
      </c>
      <c r="S4520" t="s">
        <v>45042</v>
      </c>
      <c r="T4520" t="s">
        <v>46404</v>
      </c>
      <c r="U4520" t="s">
        <v>49706</v>
      </c>
      <c r="W4520" t="s">
        <v>42287</v>
      </c>
      <c r="X4520" t="s">
        <v>44909</v>
      </c>
    </row>
    <row r="4521" spans="1:24">
      <c r="A4521">
        <f>HYPERLINK("https://www.philgeps.gov.ph/GEPSNONPILOT/Tender/SplashBidNoticeAbstractUI.aspx?menuIndex=3&amp;refID=7081230&amp;Result=3","7081230")</f>
        <v>0</v>
      </c>
      <c r="B4521" t="s">
        <v>647</v>
      </c>
      <c r="C4521" t="s">
        <v>7847</v>
      </c>
      <c r="D4521" t="s">
        <v>18100</v>
      </c>
      <c r="E4521" t="s">
        <v>18467</v>
      </c>
      <c r="F4521" t="s">
        <v>31362</v>
      </c>
      <c r="G4521" t="s">
        <v>31368</v>
      </c>
      <c r="H4521" t="s">
        <v>15799</v>
      </c>
      <c r="I4521" t="s">
        <v>31427</v>
      </c>
      <c r="J4521" t="s">
        <v>34460</v>
      </c>
      <c r="K4521" t="s">
        <v>40670</v>
      </c>
      <c r="M4521" t="s">
        <v>41608</v>
      </c>
      <c r="N4521" t="s">
        <v>44905</v>
      </c>
      <c r="O4521" t="s">
        <v>44906</v>
      </c>
      <c r="P4521">
        <v>0</v>
      </c>
      <c r="Q4521">
        <v>0</v>
      </c>
      <c r="R4521" t="s">
        <v>44908</v>
      </c>
      <c r="S4521" t="s">
        <v>45042</v>
      </c>
      <c r="T4521" t="s">
        <v>46393</v>
      </c>
      <c r="U4521" t="s">
        <v>50613</v>
      </c>
      <c r="W4521" t="s">
        <v>60862</v>
      </c>
      <c r="X4521" t="s">
        <v>44909</v>
      </c>
    </row>
    <row r="4522" spans="1:24">
      <c r="A4522">
        <f>HYPERLINK("https://www.philgeps.gov.ph/GEPSNONPILOT/Tender/SplashBidNoticeAbstractUI.aspx?menuIndex=3&amp;refID=7081227&amp;Result=3","7081227")</f>
        <v>0</v>
      </c>
      <c r="B4522" t="s">
        <v>130</v>
      </c>
      <c r="C4522" t="s">
        <v>7848</v>
      </c>
      <c r="D4522" t="s">
        <v>18109</v>
      </c>
      <c r="E4522" t="s">
        <v>22233</v>
      </c>
      <c r="F4522" t="s">
        <v>31362</v>
      </c>
      <c r="G4522" t="s">
        <v>31368</v>
      </c>
      <c r="H4522" t="s">
        <v>15799</v>
      </c>
      <c r="I4522" t="s">
        <v>31430</v>
      </c>
      <c r="J4522" t="s">
        <v>34461</v>
      </c>
      <c r="K4522" t="s">
        <v>40662</v>
      </c>
      <c r="M4522" t="s">
        <v>41067</v>
      </c>
      <c r="N4522" t="s">
        <v>44905</v>
      </c>
      <c r="O4522" t="s">
        <v>44906</v>
      </c>
      <c r="P4522">
        <v>0</v>
      </c>
      <c r="Q4522">
        <v>4</v>
      </c>
      <c r="R4522" t="s">
        <v>44908</v>
      </c>
      <c r="S4522" t="s">
        <v>45042</v>
      </c>
      <c r="T4522" t="s">
        <v>46394</v>
      </c>
      <c r="U4522" t="s">
        <v>50614</v>
      </c>
      <c r="W4522" t="s">
        <v>41067</v>
      </c>
      <c r="X4522" t="s">
        <v>44909</v>
      </c>
    </row>
    <row r="4523" spans="1:24">
      <c r="A4523">
        <f>HYPERLINK("https://www.philgeps.gov.ph/GEPSNONPILOT/Tender/SplashBidNoticeAbstractUI.aspx?menuIndex=3&amp;refID=7081213&amp;Result=3","7081213")</f>
        <v>0</v>
      </c>
      <c r="B4523" t="s">
        <v>1473</v>
      </c>
      <c r="C4523" t="s">
        <v>7849</v>
      </c>
      <c r="D4523" t="s">
        <v>18106</v>
      </c>
      <c r="E4523" t="s">
        <v>7849</v>
      </c>
      <c r="F4523" t="s">
        <v>31362</v>
      </c>
      <c r="G4523" t="s">
        <v>31368</v>
      </c>
      <c r="H4523" t="s">
        <v>15799</v>
      </c>
      <c r="I4523" t="s">
        <v>31404</v>
      </c>
      <c r="J4523" t="s">
        <v>34462</v>
      </c>
      <c r="K4523" t="s">
        <v>40670</v>
      </c>
      <c r="M4523" t="s">
        <v>42507</v>
      </c>
      <c r="N4523" t="s">
        <v>44905</v>
      </c>
      <c r="O4523" t="s">
        <v>44906</v>
      </c>
      <c r="P4523">
        <v>0</v>
      </c>
      <c r="Q4523">
        <v>0</v>
      </c>
      <c r="R4523" t="s">
        <v>44908</v>
      </c>
      <c r="S4523" t="s">
        <v>45042</v>
      </c>
      <c r="T4523" t="s">
        <v>46429</v>
      </c>
      <c r="U4523" t="s">
        <v>50358</v>
      </c>
      <c r="W4523" t="s">
        <v>42507</v>
      </c>
      <c r="X4523" t="s">
        <v>44909</v>
      </c>
    </row>
    <row r="4524" spans="1:24">
      <c r="A4524">
        <f>HYPERLINK("https://www.philgeps.gov.ph/GEPSNONPILOT/Tender/SplashBidNoticeAbstractUI.aspx?menuIndex=3&amp;refID=7081237&amp;Result=3","7081237")</f>
        <v>0</v>
      </c>
      <c r="B4524" t="s">
        <v>199</v>
      </c>
      <c r="C4524" t="s">
        <v>7850</v>
      </c>
      <c r="D4524" t="s">
        <v>18139</v>
      </c>
      <c r="E4524" t="s">
        <v>22234</v>
      </c>
      <c r="F4524" t="s">
        <v>31362</v>
      </c>
      <c r="G4524" t="s">
        <v>31368</v>
      </c>
      <c r="H4524" t="s">
        <v>15799</v>
      </c>
      <c r="I4524" t="s">
        <v>31413</v>
      </c>
      <c r="J4524" t="s">
        <v>33984</v>
      </c>
      <c r="K4524" t="s">
        <v>40666</v>
      </c>
      <c r="M4524" t="s">
        <v>41227</v>
      </c>
      <c r="N4524" t="s">
        <v>44905</v>
      </c>
      <c r="O4524" t="s">
        <v>44906</v>
      </c>
      <c r="P4524">
        <v>0</v>
      </c>
      <c r="Q4524">
        <v>2</v>
      </c>
      <c r="R4524" t="s">
        <v>44908</v>
      </c>
      <c r="S4524" t="s">
        <v>45042</v>
      </c>
      <c r="T4524" t="s">
        <v>46681</v>
      </c>
      <c r="U4524" t="s">
        <v>50615</v>
      </c>
      <c r="V4524" t="s">
        <v>59175</v>
      </c>
      <c r="W4524" t="s">
        <v>41227</v>
      </c>
      <c r="X4524" t="s">
        <v>44909</v>
      </c>
    </row>
    <row r="4525" spans="1:24">
      <c r="A4525">
        <f>HYPERLINK("https://www.philgeps.gov.ph/GEPSNONPILOT/Tender/SplashBidNoticeAbstractUI.aspx?menuIndex=3&amp;refID=7081161&amp;Result=3","7081161")</f>
        <v>0</v>
      </c>
      <c r="B4525" t="s">
        <v>1535</v>
      </c>
      <c r="C4525" t="s">
        <v>7851</v>
      </c>
      <c r="D4525" t="s">
        <v>18178</v>
      </c>
      <c r="E4525" t="s">
        <v>22235</v>
      </c>
      <c r="F4525" t="s">
        <v>31362</v>
      </c>
      <c r="G4525" t="s">
        <v>31370</v>
      </c>
      <c r="H4525" t="s">
        <v>15799</v>
      </c>
      <c r="I4525" t="s">
        <v>6373</v>
      </c>
      <c r="J4525" t="s">
        <v>34463</v>
      </c>
      <c r="K4525" t="s">
        <v>40673</v>
      </c>
      <c r="M4525" t="s">
        <v>42582</v>
      </c>
      <c r="N4525" t="s">
        <v>44905</v>
      </c>
      <c r="O4525" t="s">
        <v>44906</v>
      </c>
      <c r="P4525">
        <v>0</v>
      </c>
      <c r="Q4525">
        <v>1</v>
      </c>
      <c r="R4525" t="s">
        <v>44908</v>
      </c>
      <c r="S4525" t="s">
        <v>45042</v>
      </c>
      <c r="T4525" t="s">
        <v>46664</v>
      </c>
      <c r="U4525" t="s">
        <v>50616</v>
      </c>
      <c r="W4525" t="s">
        <v>42582</v>
      </c>
      <c r="X4525" t="s">
        <v>44909</v>
      </c>
    </row>
    <row r="4526" spans="1:24">
      <c r="A4526">
        <f>HYPERLINK("https://www.philgeps.gov.ph/GEPSNONPILOT/Tender/SplashBidNoticeAbstractUI.aspx?menuIndex=3&amp;refID=7081234&amp;Result=3","7081234")</f>
        <v>0</v>
      </c>
      <c r="B4526" t="s">
        <v>74</v>
      </c>
      <c r="C4526" t="s">
        <v>7852</v>
      </c>
      <c r="D4526" t="s">
        <v>18108</v>
      </c>
      <c r="E4526" t="s">
        <v>22236</v>
      </c>
      <c r="F4526" t="s">
        <v>31362</v>
      </c>
      <c r="G4526" t="s">
        <v>31368</v>
      </c>
      <c r="H4526" t="s">
        <v>15799</v>
      </c>
      <c r="I4526" t="s">
        <v>31411</v>
      </c>
      <c r="J4526" t="s">
        <v>34277</v>
      </c>
      <c r="K4526" t="s">
        <v>40661</v>
      </c>
      <c r="M4526" t="s">
        <v>41010</v>
      </c>
      <c r="N4526" t="s">
        <v>44905</v>
      </c>
      <c r="O4526" t="s">
        <v>44906</v>
      </c>
      <c r="P4526">
        <v>0</v>
      </c>
      <c r="Q4526">
        <v>8</v>
      </c>
      <c r="R4526" t="s">
        <v>44908</v>
      </c>
      <c r="S4526" t="s">
        <v>45042</v>
      </c>
      <c r="T4526" t="s">
        <v>46404</v>
      </c>
      <c r="U4526" t="s">
        <v>50617</v>
      </c>
      <c r="W4526" t="s">
        <v>41010</v>
      </c>
      <c r="X4526" t="s">
        <v>44909</v>
      </c>
    </row>
    <row r="4527" spans="1:24">
      <c r="A4527">
        <f>HYPERLINK("https://www.philgeps.gov.ph/GEPSNONPILOT/Tender/SplashBidNoticeAbstractUI.aspx?menuIndex=3&amp;refID=7081228&amp;Result=3","7081228")</f>
        <v>0</v>
      </c>
      <c r="B4527" t="s">
        <v>1536</v>
      </c>
      <c r="C4527" t="s">
        <v>7853</v>
      </c>
      <c r="D4527" t="s">
        <v>18148</v>
      </c>
      <c r="E4527" t="s">
        <v>22237</v>
      </c>
      <c r="F4527" t="s">
        <v>31362</v>
      </c>
      <c r="G4527" t="s">
        <v>31368</v>
      </c>
      <c r="H4527" t="s">
        <v>15799</v>
      </c>
      <c r="I4527" t="s">
        <v>4283</v>
      </c>
      <c r="J4527" t="s">
        <v>34464</v>
      </c>
      <c r="K4527" t="s">
        <v>40661</v>
      </c>
      <c r="M4527" t="s">
        <v>42583</v>
      </c>
      <c r="N4527" t="s">
        <v>44905</v>
      </c>
      <c r="O4527" t="s">
        <v>44906</v>
      </c>
      <c r="P4527">
        <v>0</v>
      </c>
      <c r="Q4527">
        <v>2</v>
      </c>
      <c r="R4527" t="s">
        <v>44908</v>
      </c>
      <c r="S4527" t="s">
        <v>45042</v>
      </c>
      <c r="T4527" t="s">
        <v>46443</v>
      </c>
      <c r="U4527" t="s">
        <v>50618</v>
      </c>
      <c r="W4527" t="s">
        <v>42583</v>
      </c>
      <c r="X4527" t="s">
        <v>44909</v>
      </c>
    </row>
    <row r="4528" spans="1:24">
      <c r="A4528">
        <f>HYPERLINK("https://www.philgeps.gov.ph/GEPSNONPILOT/Tender/SplashBidNoticeAbstractUI.aspx?menuIndex=3&amp;refID=7081232&amp;Result=3","7081232")</f>
        <v>0</v>
      </c>
      <c r="B4528" t="s">
        <v>307</v>
      </c>
      <c r="C4528" t="s">
        <v>7854</v>
      </c>
      <c r="D4528" t="s">
        <v>18114</v>
      </c>
      <c r="E4528" t="s">
        <v>22238</v>
      </c>
      <c r="F4528" t="s">
        <v>31362</v>
      </c>
      <c r="G4528" t="s">
        <v>31369</v>
      </c>
      <c r="H4528" t="s">
        <v>15799</v>
      </c>
      <c r="I4528" t="s">
        <v>31406</v>
      </c>
      <c r="J4528" t="s">
        <v>31855</v>
      </c>
      <c r="K4528" t="s">
        <v>40665</v>
      </c>
      <c r="M4528" t="s">
        <v>41251</v>
      </c>
      <c r="N4528" t="s">
        <v>44905</v>
      </c>
      <c r="O4528" t="s">
        <v>44906</v>
      </c>
      <c r="P4528">
        <v>0</v>
      </c>
      <c r="Q4528">
        <v>6</v>
      </c>
      <c r="R4528" t="s">
        <v>44908</v>
      </c>
      <c r="S4528" t="s">
        <v>45042</v>
      </c>
      <c r="T4528" t="s">
        <v>46452</v>
      </c>
      <c r="U4528" t="s">
        <v>50619</v>
      </c>
      <c r="W4528" t="s">
        <v>41251</v>
      </c>
      <c r="X4528" t="s">
        <v>44909</v>
      </c>
    </row>
    <row r="4529" spans="1:24">
      <c r="A4529">
        <f>HYPERLINK("https://www.philgeps.gov.ph/GEPSNONPILOT/Tender/SplashBidNoticeAbstractUI.aspx?menuIndex=3&amp;refID=7081224&amp;Result=3","7081224")</f>
        <v>0</v>
      </c>
      <c r="B4529" t="s">
        <v>1464</v>
      </c>
      <c r="C4529" t="s">
        <v>7855</v>
      </c>
      <c r="D4529" t="s">
        <v>18116</v>
      </c>
      <c r="E4529" t="s">
        <v>22239</v>
      </c>
      <c r="F4529" t="s">
        <v>31362</v>
      </c>
      <c r="G4529" t="s">
        <v>31370</v>
      </c>
      <c r="H4529" t="s">
        <v>15799</v>
      </c>
      <c r="I4529" t="s">
        <v>31382</v>
      </c>
      <c r="J4529" t="s">
        <v>31921</v>
      </c>
      <c r="K4529" t="s">
        <v>40661</v>
      </c>
      <c r="M4529" t="s">
        <v>42495</v>
      </c>
      <c r="N4529" t="s">
        <v>44905</v>
      </c>
      <c r="O4529" t="s">
        <v>44906</v>
      </c>
      <c r="P4529">
        <v>0</v>
      </c>
      <c r="Q4529">
        <v>2</v>
      </c>
      <c r="R4529" t="s">
        <v>44908</v>
      </c>
      <c r="S4529" t="s">
        <v>45042</v>
      </c>
      <c r="T4529" t="s">
        <v>46467</v>
      </c>
      <c r="U4529" t="s">
        <v>50620</v>
      </c>
      <c r="W4529" t="s">
        <v>42495</v>
      </c>
      <c r="X4529" t="s">
        <v>44909</v>
      </c>
    </row>
    <row r="4530" spans="1:24">
      <c r="A4530">
        <f>HYPERLINK("https://www.philgeps.gov.ph/GEPSNONPILOT/Tender/SplashBidNoticeAbstractUI.aspx?menuIndex=3&amp;refID=7081223&amp;Result=3","7081223")</f>
        <v>0</v>
      </c>
      <c r="B4530" t="s">
        <v>621</v>
      </c>
      <c r="C4530" t="s">
        <v>7856</v>
      </c>
      <c r="D4530" t="s">
        <v>18115</v>
      </c>
      <c r="E4530" t="s">
        <v>18985</v>
      </c>
      <c r="F4530" t="s">
        <v>31362</v>
      </c>
      <c r="G4530" t="s">
        <v>31369</v>
      </c>
      <c r="H4530" t="s">
        <v>15799</v>
      </c>
      <c r="I4530" t="s">
        <v>3815</v>
      </c>
      <c r="J4530" t="s">
        <v>34465</v>
      </c>
      <c r="K4530" t="s">
        <v>40678</v>
      </c>
      <c r="M4530" t="s">
        <v>41579</v>
      </c>
      <c r="N4530" t="s">
        <v>44905</v>
      </c>
      <c r="O4530" t="s">
        <v>44906</v>
      </c>
      <c r="P4530">
        <v>0</v>
      </c>
      <c r="Q4530">
        <v>6</v>
      </c>
      <c r="R4530" t="s">
        <v>44908</v>
      </c>
      <c r="S4530" t="s">
        <v>45042</v>
      </c>
      <c r="T4530" t="s">
        <v>46639</v>
      </c>
      <c r="U4530" t="s">
        <v>50621</v>
      </c>
      <c r="W4530" t="s">
        <v>41579</v>
      </c>
      <c r="X4530" t="s">
        <v>44909</v>
      </c>
    </row>
    <row r="4531" spans="1:24">
      <c r="A4531">
        <f>HYPERLINK("https://www.philgeps.gov.ph/GEPSNONPILOT/Tender/SplashBidNoticeAbstractUI.aspx?menuIndex=3&amp;refID=7081221&amp;Result=3","7081221")</f>
        <v>0</v>
      </c>
      <c r="B4531" t="s">
        <v>1356</v>
      </c>
      <c r="C4531" t="s">
        <v>7857</v>
      </c>
      <c r="D4531" t="s">
        <v>18108</v>
      </c>
      <c r="E4531" t="s">
        <v>19044</v>
      </c>
      <c r="F4531" t="s">
        <v>31362</v>
      </c>
      <c r="G4531" t="s">
        <v>31368</v>
      </c>
      <c r="H4531" t="s">
        <v>15799</v>
      </c>
      <c r="I4531" t="s">
        <v>31471</v>
      </c>
      <c r="J4531" t="s">
        <v>34466</v>
      </c>
      <c r="K4531" t="s">
        <v>40672</v>
      </c>
      <c r="M4531" t="s">
        <v>42377</v>
      </c>
      <c r="N4531" t="s">
        <v>44905</v>
      </c>
      <c r="O4531" t="s">
        <v>44906</v>
      </c>
      <c r="P4531">
        <v>0</v>
      </c>
      <c r="Q4531">
        <v>2</v>
      </c>
      <c r="R4531" t="s">
        <v>44908</v>
      </c>
      <c r="S4531" t="s">
        <v>45042</v>
      </c>
      <c r="T4531" t="s">
        <v>46394</v>
      </c>
      <c r="U4531" t="s">
        <v>50622</v>
      </c>
      <c r="W4531" t="s">
        <v>42377</v>
      </c>
      <c r="X4531" t="s">
        <v>44909</v>
      </c>
    </row>
    <row r="4532" spans="1:24">
      <c r="A4532">
        <f>HYPERLINK("https://www.philgeps.gov.ph/GEPSNONPILOT/Tender/SplashBidNoticeAbstractUI.aspx?menuIndex=3&amp;refID=7081191&amp;Result=3","7081191")</f>
        <v>0</v>
      </c>
      <c r="B4532" t="s">
        <v>1529</v>
      </c>
      <c r="C4532" t="s">
        <v>7822</v>
      </c>
      <c r="D4532" t="s">
        <v>18134</v>
      </c>
      <c r="E4532" t="s">
        <v>22240</v>
      </c>
      <c r="F4532" t="s">
        <v>31362</v>
      </c>
      <c r="G4532" t="s">
        <v>31368</v>
      </c>
      <c r="H4532" t="s">
        <v>15799</v>
      </c>
      <c r="I4532" t="s">
        <v>31422</v>
      </c>
      <c r="J4532" t="s">
        <v>34467</v>
      </c>
      <c r="K4532" t="s">
        <v>40697</v>
      </c>
      <c r="M4532" t="s">
        <v>42574</v>
      </c>
      <c r="N4532" t="s">
        <v>44905</v>
      </c>
      <c r="O4532" t="s">
        <v>44906</v>
      </c>
      <c r="P4532">
        <v>0</v>
      </c>
      <c r="Q4532">
        <v>2</v>
      </c>
      <c r="R4532" t="s">
        <v>44908</v>
      </c>
      <c r="S4532" t="s">
        <v>45042</v>
      </c>
      <c r="T4532" t="s">
        <v>46438</v>
      </c>
      <c r="U4532" t="s">
        <v>50623</v>
      </c>
      <c r="W4532" t="s">
        <v>42574</v>
      </c>
      <c r="X4532" t="s">
        <v>44909</v>
      </c>
    </row>
    <row r="4533" spans="1:24">
      <c r="A4533">
        <f>HYPERLINK("https://www.philgeps.gov.ph/GEPSNONPILOT/Tender/SplashBidNoticeAbstractUI.aspx?menuIndex=3&amp;refID=7081220&amp;Result=3","7081220")</f>
        <v>0</v>
      </c>
      <c r="B4533" t="s">
        <v>1537</v>
      </c>
      <c r="C4533" t="s">
        <v>7858</v>
      </c>
      <c r="D4533" t="s">
        <v>18134</v>
      </c>
      <c r="E4533" t="s">
        <v>22241</v>
      </c>
      <c r="F4533" t="s">
        <v>31362</v>
      </c>
      <c r="G4533" t="s">
        <v>31369</v>
      </c>
      <c r="H4533" t="s">
        <v>31378</v>
      </c>
      <c r="I4533" t="s">
        <v>31386</v>
      </c>
      <c r="J4533" t="s">
        <v>34468</v>
      </c>
      <c r="K4533" t="s">
        <v>40681</v>
      </c>
      <c r="M4533" t="s">
        <v>42584</v>
      </c>
      <c r="N4533" t="s">
        <v>44905</v>
      </c>
      <c r="O4533" t="s">
        <v>44906</v>
      </c>
      <c r="P4533">
        <v>0</v>
      </c>
      <c r="Q4533">
        <v>0</v>
      </c>
      <c r="R4533" t="s">
        <v>44908</v>
      </c>
      <c r="S4533" t="s">
        <v>45042</v>
      </c>
      <c r="T4533" t="s">
        <v>46479</v>
      </c>
      <c r="U4533" t="s">
        <v>50624</v>
      </c>
      <c r="W4533" t="s">
        <v>42584</v>
      </c>
      <c r="X4533" t="s">
        <v>44909</v>
      </c>
    </row>
    <row r="4534" spans="1:24">
      <c r="A4534">
        <f>HYPERLINK("https://www.philgeps.gov.ph/GEPSNONPILOT/Tender/SplashBidNoticeAbstractUI.aspx?menuIndex=3&amp;refID=7081219&amp;Result=3","7081219")</f>
        <v>0</v>
      </c>
      <c r="B4534" t="s">
        <v>1213</v>
      </c>
      <c r="C4534" t="s">
        <v>7859</v>
      </c>
      <c r="D4534" t="s">
        <v>18158</v>
      </c>
      <c r="E4534" t="s">
        <v>22242</v>
      </c>
      <c r="F4534" t="s">
        <v>31362</v>
      </c>
      <c r="G4534" t="s">
        <v>31368</v>
      </c>
      <c r="H4534" t="s">
        <v>15799</v>
      </c>
      <c r="I4534" t="s">
        <v>31383</v>
      </c>
      <c r="J4534" t="s">
        <v>31564</v>
      </c>
      <c r="K4534" t="s">
        <v>40665</v>
      </c>
      <c r="M4534" t="s">
        <v>42226</v>
      </c>
      <c r="N4534" t="s">
        <v>44905</v>
      </c>
      <c r="O4534" t="s">
        <v>44906</v>
      </c>
      <c r="P4534">
        <v>0</v>
      </c>
      <c r="Q4534">
        <v>0</v>
      </c>
      <c r="R4534" t="s">
        <v>44908</v>
      </c>
      <c r="S4534" t="s">
        <v>45042</v>
      </c>
      <c r="T4534" t="s">
        <v>46534</v>
      </c>
      <c r="U4534" t="s">
        <v>50625</v>
      </c>
      <c r="W4534" t="s">
        <v>42226</v>
      </c>
      <c r="X4534" t="s">
        <v>44909</v>
      </c>
    </row>
    <row r="4535" spans="1:24">
      <c r="A4535">
        <f>HYPERLINK("https://www.philgeps.gov.ph/GEPSNONPILOT/Tender/SplashBidNoticeAbstractUI.aspx?menuIndex=3&amp;refID=7081217&amp;Result=3","7081217")</f>
        <v>0</v>
      </c>
      <c r="B4535" t="s">
        <v>1538</v>
      </c>
      <c r="C4535" t="s">
        <v>7860</v>
      </c>
      <c r="D4535" t="s">
        <v>18125</v>
      </c>
      <c r="E4535" t="s">
        <v>22243</v>
      </c>
      <c r="F4535" t="s">
        <v>31362</v>
      </c>
      <c r="G4535" t="s">
        <v>31370</v>
      </c>
      <c r="H4535" t="s">
        <v>15799</v>
      </c>
      <c r="I4535" t="s">
        <v>31430</v>
      </c>
      <c r="J4535" t="s">
        <v>31577</v>
      </c>
      <c r="K4535" t="s">
        <v>40666</v>
      </c>
      <c r="M4535" t="s">
        <v>42585</v>
      </c>
      <c r="N4535" t="s">
        <v>44905</v>
      </c>
      <c r="O4535" t="s">
        <v>44906</v>
      </c>
      <c r="P4535">
        <v>0</v>
      </c>
      <c r="Q4535">
        <v>2</v>
      </c>
      <c r="R4535" t="s">
        <v>44908</v>
      </c>
      <c r="S4535" t="s">
        <v>45042</v>
      </c>
      <c r="T4535" t="s">
        <v>46415</v>
      </c>
      <c r="U4535" t="s">
        <v>50626</v>
      </c>
      <c r="W4535" t="s">
        <v>42585</v>
      </c>
      <c r="X4535" t="s">
        <v>44909</v>
      </c>
    </row>
    <row r="4536" spans="1:24">
      <c r="A4536">
        <f>HYPERLINK("https://www.philgeps.gov.ph/GEPSNONPILOT/Tender/SplashBidNoticeAbstractUI.aspx?menuIndex=3&amp;refID=7081241&amp;Result=3","7081241")</f>
        <v>0</v>
      </c>
      <c r="B4536" t="s">
        <v>1131</v>
      </c>
      <c r="C4536" t="s">
        <v>7861</v>
      </c>
      <c r="D4536" t="s">
        <v>18104</v>
      </c>
      <c r="E4536" t="s">
        <v>22244</v>
      </c>
      <c r="F4536" t="s">
        <v>31362</v>
      </c>
      <c r="G4536" t="s">
        <v>31368</v>
      </c>
      <c r="H4536" t="s">
        <v>15799</v>
      </c>
      <c r="I4536" t="s">
        <v>6240</v>
      </c>
      <c r="J4536" t="s">
        <v>31541</v>
      </c>
      <c r="K4536" t="s">
        <v>40675</v>
      </c>
      <c r="M4536" t="s">
        <v>42139</v>
      </c>
      <c r="N4536" t="s">
        <v>44905</v>
      </c>
      <c r="O4536" t="s">
        <v>44906</v>
      </c>
      <c r="P4536">
        <v>0</v>
      </c>
      <c r="Q4536">
        <v>0</v>
      </c>
      <c r="R4536" t="s">
        <v>44908</v>
      </c>
      <c r="S4536" t="s">
        <v>45042</v>
      </c>
      <c r="T4536" t="s">
        <v>46432</v>
      </c>
      <c r="U4536" t="s">
        <v>50627</v>
      </c>
      <c r="W4536" t="s">
        <v>42139</v>
      </c>
      <c r="X4536" t="s">
        <v>44909</v>
      </c>
    </row>
    <row r="4537" spans="1:24">
      <c r="A4537">
        <f>HYPERLINK("https://www.philgeps.gov.ph/GEPSNONPILOT/Tender/SplashBidNoticeAbstractUI.aspx?menuIndex=3&amp;refID=7081212&amp;Result=3","7081212")</f>
        <v>0</v>
      </c>
      <c r="B4537" t="s">
        <v>1539</v>
      </c>
      <c r="C4537" t="s">
        <v>7862</v>
      </c>
      <c r="D4537" t="s">
        <v>18153</v>
      </c>
      <c r="E4537" t="s">
        <v>22245</v>
      </c>
      <c r="F4537" t="s">
        <v>31362</v>
      </c>
      <c r="G4537" t="s">
        <v>31368</v>
      </c>
      <c r="H4537" t="s">
        <v>15799</v>
      </c>
      <c r="I4537" t="s">
        <v>31390</v>
      </c>
      <c r="J4537" t="s">
        <v>31727</v>
      </c>
      <c r="K4537" t="s">
        <v>40665</v>
      </c>
      <c r="M4537" t="s">
        <v>42586</v>
      </c>
      <c r="N4537" t="s">
        <v>44905</v>
      </c>
      <c r="O4537" t="s">
        <v>44906</v>
      </c>
      <c r="P4537">
        <v>0</v>
      </c>
      <c r="Q4537">
        <v>0</v>
      </c>
      <c r="R4537" t="s">
        <v>44908</v>
      </c>
      <c r="S4537" t="s">
        <v>45042</v>
      </c>
      <c r="T4537" t="s">
        <v>46447</v>
      </c>
      <c r="U4537" t="s">
        <v>50628</v>
      </c>
      <c r="W4537" t="s">
        <v>42586</v>
      </c>
      <c r="X4537" t="s">
        <v>44909</v>
      </c>
    </row>
    <row r="4538" spans="1:24">
      <c r="A4538">
        <f>HYPERLINK("https://www.philgeps.gov.ph/GEPSNONPILOT/Tender/SplashBidNoticeAbstractUI.aspx?menuIndex=3&amp;refID=7081240&amp;Result=3","7081240")</f>
        <v>0</v>
      </c>
      <c r="B4538" t="s">
        <v>1213</v>
      </c>
      <c r="C4538" t="s">
        <v>7863</v>
      </c>
      <c r="D4538" t="s">
        <v>18158</v>
      </c>
      <c r="E4538" t="s">
        <v>22246</v>
      </c>
      <c r="F4538" t="s">
        <v>31362</v>
      </c>
      <c r="G4538" t="s">
        <v>31368</v>
      </c>
      <c r="H4538" t="s">
        <v>15799</v>
      </c>
      <c r="I4538" t="s">
        <v>31393</v>
      </c>
      <c r="J4538" t="s">
        <v>31723</v>
      </c>
      <c r="K4538" t="s">
        <v>40665</v>
      </c>
      <c r="M4538" t="s">
        <v>42226</v>
      </c>
      <c r="N4538" t="s">
        <v>44905</v>
      </c>
      <c r="O4538" t="s">
        <v>44906</v>
      </c>
      <c r="P4538">
        <v>0</v>
      </c>
      <c r="Q4538">
        <v>0</v>
      </c>
      <c r="R4538" t="s">
        <v>44908</v>
      </c>
      <c r="S4538" t="s">
        <v>45042</v>
      </c>
      <c r="T4538" t="s">
        <v>46534</v>
      </c>
      <c r="U4538" t="s">
        <v>50629</v>
      </c>
      <c r="W4538" t="s">
        <v>42226</v>
      </c>
      <c r="X4538" t="s">
        <v>44909</v>
      </c>
    </row>
    <row r="4539" spans="1:24">
      <c r="A4539">
        <f>HYPERLINK("https://www.philgeps.gov.ph/GEPSNONPILOT/Tender/SplashBidNoticeAbstractUI.aspx?menuIndex=3&amp;refID=7081256&amp;Result=3","7081256")</f>
        <v>0</v>
      </c>
      <c r="B4539" t="s">
        <v>1184</v>
      </c>
      <c r="C4539" t="s">
        <v>7864</v>
      </c>
      <c r="D4539" t="s">
        <v>18119</v>
      </c>
      <c r="E4539" t="s">
        <v>22247</v>
      </c>
      <c r="F4539" t="s">
        <v>31362</v>
      </c>
      <c r="G4539" t="s">
        <v>31368</v>
      </c>
      <c r="H4539" t="s">
        <v>15799</v>
      </c>
      <c r="I4539" t="s">
        <v>7090</v>
      </c>
      <c r="J4539" t="s">
        <v>31625</v>
      </c>
      <c r="K4539" t="s">
        <v>40670</v>
      </c>
      <c r="M4539" t="s">
        <v>42196</v>
      </c>
      <c r="N4539" t="s">
        <v>44905</v>
      </c>
      <c r="O4539" t="s">
        <v>44906</v>
      </c>
      <c r="P4539">
        <v>0</v>
      </c>
      <c r="Q4539">
        <v>0</v>
      </c>
      <c r="R4539" t="s">
        <v>44908</v>
      </c>
      <c r="S4539" t="s">
        <v>45042</v>
      </c>
      <c r="T4539" t="s">
        <v>46447</v>
      </c>
      <c r="U4539" t="s">
        <v>50630</v>
      </c>
      <c r="W4539" t="s">
        <v>42196</v>
      </c>
      <c r="X4539" t="s">
        <v>44909</v>
      </c>
    </row>
    <row r="4540" spans="1:24">
      <c r="A4540">
        <f>HYPERLINK("https://www.philgeps.gov.ph/GEPSNONPILOT/Tender/SplashBidNoticeAbstractUI.aspx?menuIndex=3&amp;refID=7081258&amp;Result=3","7081258")</f>
        <v>0</v>
      </c>
      <c r="B4540" t="s">
        <v>1446</v>
      </c>
      <c r="C4540" t="s">
        <v>7865</v>
      </c>
      <c r="D4540" t="s">
        <v>18108</v>
      </c>
      <c r="E4540" t="s">
        <v>22248</v>
      </c>
      <c r="F4540" t="s">
        <v>31362</v>
      </c>
      <c r="G4540" t="s">
        <v>31370</v>
      </c>
      <c r="H4540" t="s">
        <v>15799</v>
      </c>
      <c r="I4540" t="s">
        <v>31422</v>
      </c>
      <c r="J4540" t="s">
        <v>32189</v>
      </c>
      <c r="K4540" t="s">
        <v>40662</v>
      </c>
      <c r="M4540" t="s">
        <v>42475</v>
      </c>
      <c r="N4540" t="s">
        <v>44905</v>
      </c>
      <c r="O4540" t="s">
        <v>44906</v>
      </c>
      <c r="P4540">
        <v>0</v>
      </c>
      <c r="Q4540">
        <v>12</v>
      </c>
      <c r="R4540" t="s">
        <v>44908</v>
      </c>
      <c r="S4540" t="s">
        <v>45042</v>
      </c>
      <c r="T4540" t="s">
        <v>46498</v>
      </c>
      <c r="U4540" t="s">
        <v>50631</v>
      </c>
      <c r="W4540" t="s">
        <v>42475</v>
      </c>
      <c r="X4540" t="s">
        <v>44909</v>
      </c>
    </row>
    <row r="4541" spans="1:24">
      <c r="A4541">
        <f>HYPERLINK("https://www.philgeps.gov.ph/GEPSNONPILOT/Tender/SplashBidNoticeAbstractUI.aspx?menuIndex=3&amp;refID=7081257&amp;Result=3","7081257")</f>
        <v>0</v>
      </c>
      <c r="B4541" t="s">
        <v>285</v>
      </c>
      <c r="C4541" t="s">
        <v>7866</v>
      </c>
      <c r="D4541" t="s">
        <v>18134</v>
      </c>
      <c r="E4541" t="s">
        <v>18680</v>
      </c>
      <c r="F4541" t="s">
        <v>31362</v>
      </c>
      <c r="G4541" t="s">
        <v>31369</v>
      </c>
      <c r="H4541" t="s">
        <v>31378</v>
      </c>
      <c r="I4541" t="s">
        <v>31386</v>
      </c>
      <c r="J4541" t="s">
        <v>31625</v>
      </c>
      <c r="K4541" t="s">
        <v>40694</v>
      </c>
      <c r="M4541" t="s">
        <v>41228</v>
      </c>
      <c r="N4541" t="s">
        <v>44905</v>
      </c>
      <c r="O4541" t="s">
        <v>44906</v>
      </c>
      <c r="P4541">
        <v>0</v>
      </c>
      <c r="Q4541">
        <v>0</v>
      </c>
      <c r="R4541" t="s">
        <v>44908</v>
      </c>
      <c r="S4541" t="s">
        <v>45042</v>
      </c>
      <c r="T4541" t="s">
        <v>46511</v>
      </c>
      <c r="U4541" t="s">
        <v>50632</v>
      </c>
      <c r="W4541" t="s">
        <v>41228</v>
      </c>
      <c r="X4541" t="s">
        <v>44909</v>
      </c>
    </row>
    <row r="4542" spans="1:24">
      <c r="A4542">
        <f>HYPERLINK("https://www.philgeps.gov.ph/GEPSNONPILOT/Tender/SplashBidNoticeAbstractUI.aspx?menuIndex=3&amp;refID=7081193&amp;Result=3","7081193")</f>
        <v>0</v>
      </c>
      <c r="B4542" t="s">
        <v>404</v>
      </c>
      <c r="C4542" t="s">
        <v>7867</v>
      </c>
      <c r="D4542" t="s">
        <v>18108</v>
      </c>
      <c r="E4542" t="s">
        <v>22249</v>
      </c>
      <c r="F4542" t="s">
        <v>31362</v>
      </c>
      <c r="G4542" t="s">
        <v>31371</v>
      </c>
      <c r="H4542" t="s">
        <v>15799</v>
      </c>
      <c r="I4542" t="s">
        <v>31393</v>
      </c>
      <c r="J4542" t="s">
        <v>33255</v>
      </c>
      <c r="K4542" t="s">
        <v>40666</v>
      </c>
      <c r="M4542" t="s">
        <v>41718</v>
      </c>
      <c r="N4542" t="s">
        <v>44905</v>
      </c>
      <c r="O4542" t="s">
        <v>44906</v>
      </c>
      <c r="P4542">
        <v>0</v>
      </c>
      <c r="Q4542">
        <v>13</v>
      </c>
      <c r="R4542" t="s">
        <v>44908</v>
      </c>
      <c r="S4542" t="s">
        <v>45042</v>
      </c>
      <c r="T4542" t="s">
        <v>46447</v>
      </c>
      <c r="U4542" t="s">
        <v>50633</v>
      </c>
      <c r="V4542" t="s">
        <v>59484</v>
      </c>
      <c r="W4542" t="s">
        <v>41718</v>
      </c>
      <c r="X4542" t="s">
        <v>44909</v>
      </c>
    </row>
    <row r="4543" spans="1:24">
      <c r="A4543">
        <f>HYPERLINK("https://www.philgeps.gov.ph/GEPSNONPILOT/Tender/SplashBidNoticeAbstractUI.aspx?menuIndex=3&amp;refID=7081255&amp;Result=3","7081255")</f>
        <v>0</v>
      </c>
      <c r="B4543" t="s">
        <v>307</v>
      </c>
      <c r="C4543" t="s">
        <v>7868</v>
      </c>
      <c r="D4543" t="s">
        <v>18114</v>
      </c>
      <c r="E4543" t="s">
        <v>22250</v>
      </c>
      <c r="F4543" t="s">
        <v>31362</v>
      </c>
      <c r="G4543" t="s">
        <v>31369</v>
      </c>
      <c r="H4543" t="s">
        <v>15799</v>
      </c>
      <c r="I4543" t="s">
        <v>7188</v>
      </c>
      <c r="J4543" t="s">
        <v>31536</v>
      </c>
      <c r="K4543" t="s">
        <v>40665</v>
      </c>
      <c r="M4543" t="s">
        <v>41251</v>
      </c>
      <c r="N4543" t="s">
        <v>44905</v>
      </c>
      <c r="O4543" t="s">
        <v>44906</v>
      </c>
      <c r="P4543">
        <v>0</v>
      </c>
      <c r="Q4543">
        <v>2</v>
      </c>
      <c r="R4543" t="s">
        <v>44908</v>
      </c>
      <c r="S4543" t="s">
        <v>45042</v>
      </c>
      <c r="T4543" t="s">
        <v>46452</v>
      </c>
      <c r="U4543" t="s">
        <v>50634</v>
      </c>
      <c r="W4543" t="s">
        <v>41251</v>
      </c>
      <c r="X4543" t="s">
        <v>44909</v>
      </c>
    </row>
    <row r="4544" spans="1:24">
      <c r="A4544">
        <f>HYPERLINK("https://www.philgeps.gov.ph/GEPSNONPILOT/Tender/SplashBidNoticeAbstractUI.aspx?menuIndex=3&amp;refID=7081254&amp;Result=3","7081254")</f>
        <v>0</v>
      </c>
      <c r="B4544" t="s">
        <v>954</v>
      </c>
      <c r="C4544" t="s">
        <v>7869</v>
      </c>
      <c r="D4544" t="s">
        <v>18136</v>
      </c>
      <c r="E4544" t="s">
        <v>22251</v>
      </c>
      <c r="F4544" t="s">
        <v>31362</v>
      </c>
      <c r="G4544" t="s">
        <v>31368</v>
      </c>
      <c r="H4544" t="s">
        <v>15799</v>
      </c>
      <c r="I4544" t="s">
        <v>31380</v>
      </c>
      <c r="J4544" t="s">
        <v>34469</v>
      </c>
      <c r="K4544" t="s">
        <v>40677</v>
      </c>
      <c r="M4544" t="s">
        <v>41942</v>
      </c>
      <c r="N4544" t="s">
        <v>44905</v>
      </c>
      <c r="O4544" t="s">
        <v>44906</v>
      </c>
      <c r="P4544">
        <v>0</v>
      </c>
      <c r="Q4544">
        <v>6</v>
      </c>
      <c r="R4544" t="s">
        <v>44908</v>
      </c>
      <c r="S4544" t="s">
        <v>45042</v>
      </c>
      <c r="T4544" t="s">
        <v>46497</v>
      </c>
      <c r="U4544" t="s">
        <v>48763</v>
      </c>
      <c r="W4544" t="s">
        <v>41942</v>
      </c>
      <c r="X4544" t="s">
        <v>44909</v>
      </c>
    </row>
    <row r="4545" spans="1:24">
      <c r="A4545">
        <f>HYPERLINK("https://www.philgeps.gov.ph/GEPSNONPILOT/Tender/SplashBidNoticeAbstractUI.aspx?menuIndex=3&amp;refID=7081253&amp;Result=3","7081253")</f>
        <v>0</v>
      </c>
      <c r="B4545" t="s">
        <v>1270</v>
      </c>
      <c r="C4545" t="s">
        <v>7870</v>
      </c>
      <c r="D4545" t="s">
        <v>18151</v>
      </c>
      <c r="E4545" t="s">
        <v>22252</v>
      </c>
      <c r="F4545" t="s">
        <v>31362</v>
      </c>
      <c r="G4545" t="s">
        <v>31368</v>
      </c>
      <c r="H4545" t="s">
        <v>15799</v>
      </c>
      <c r="I4545" t="s">
        <v>4057</v>
      </c>
      <c r="J4545" t="s">
        <v>34470</v>
      </c>
      <c r="K4545" t="s">
        <v>40698</v>
      </c>
      <c r="M4545" t="s">
        <v>42287</v>
      </c>
      <c r="N4545" t="s">
        <v>44905</v>
      </c>
      <c r="O4545" t="s">
        <v>44906</v>
      </c>
      <c r="P4545">
        <v>0</v>
      </c>
      <c r="Q4545">
        <v>0</v>
      </c>
      <c r="R4545" t="s">
        <v>44908</v>
      </c>
      <c r="S4545" t="s">
        <v>45042</v>
      </c>
      <c r="T4545" t="s">
        <v>46404</v>
      </c>
      <c r="U4545" t="s">
        <v>49706</v>
      </c>
      <c r="W4545" t="s">
        <v>42287</v>
      </c>
      <c r="X4545" t="s">
        <v>44909</v>
      </c>
    </row>
    <row r="4546" spans="1:24">
      <c r="A4546">
        <f>HYPERLINK("https://www.philgeps.gov.ph/GEPSNONPILOT/Tender/SplashBidNoticeAbstractUI.aspx?menuIndex=3&amp;refID=7081214&amp;Result=3","7081214")</f>
        <v>0</v>
      </c>
      <c r="B4546" t="s">
        <v>1491</v>
      </c>
      <c r="C4546" t="s">
        <v>7871</v>
      </c>
      <c r="D4546" t="s">
        <v>18139</v>
      </c>
      <c r="E4546" t="s">
        <v>22253</v>
      </c>
      <c r="F4546" t="s">
        <v>31362</v>
      </c>
      <c r="G4546" t="s">
        <v>31371</v>
      </c>
      <c r="H4546" t="s">
        <v>15799</v>
      </c>
      <c r="I4546" t="s">
        <v>31444</v>
      </c>
      <c r="J4546" t="s">
        <v>34471</v>
      </c>
      <c r="K4546" t="s">
        <v>40665</v>
      </c>
      <c r="M4546" t="s">
        <v>42554</v>
      </c>
      <c r="N4546" t="s">
        <v>44905</v>
      </c>
      <c r="O4546" t="s">
        <v>44906</v>
      </c>
      <c r="P4546">
        <v>0</v>
      </c>
      <c r="Q4546">
        <v>11</v>
      </c>
      <c r="R4546" t="s">
        <v>44908</v>
      </c>
      <c r="S4546" t="s">
        <v>45042</v>
      </c>
      <c r="T4546" t="s">
        <v>46454</v>
      </c>
      <c r="U4546" t="s">
        <v>50446</v>
      </c>
      <c r="W4546" t="s">
        <v>42528</v>
      </c>
      <c r="X4546" t="s">
        <v>44909</v>
      </c>
    </row>
    <row r="4547" spans="1:24">
      <c r="A4547">
        <f>HYPERLINK("https://www.philgeps.gov.ph/GEPSNONPILOT/Tender/SplashBidNoticeAbstractUI.aspx?menuIndex=3&amp;refID=7081250&amp;Result=3","7081250")</f>
        <v>0</v>
      </c>
      <c r="B4547" t="s">
        <v>1540</v>
      </c>
      <c r="C4547" t="s">
        <v>7872</v>
      </c>
      <c r="D4547" t="s">
        <v>18164</v>
      </c>
      <c r="E4547" t="s">
        <v>22254</v>
      </c>
      <c r="F4547" t="s">
        <v>31362</v>
      </c>
      <c r="G4547" t="s">
        <v>31370</v>
      </c>
      <c r="H4547" t="s">
        <v>15799</v>
      </c>
      <c r="I4547" t="s">
        <v>7188</v>
      </c>
      <c r="J4547" t="s">
        <v>34472</v>
      </c>
      <c r="K4547" t="s">
        <v>40670</v>
      </c>
      <c r="M4547" t="s">
        <v>42587</v>
      </c>
      <c r="N4547" t="s">
        <v>44905</v>
      </c>
      <c r="O4547" t="s">
        <v>44906</v>
      </c>
      <c r="P4547">
        <v>0</v>
      </c>
      <c r="Q4547">
        <v>5</v>
      </c>
      <c r="R4547" t="s">
        <v>44908</v>
      </c>
      <c r="S4547" t="s">
        <v>45042</v>
      </c>
      <c r="T4547" t="s">
        <v>46414</v>
      </c>
      <c r="U4547" t="s">
        <v>50635</v>
      </c>
      <c r="W4547" t="s">
        <v>42587</v>
      </c>
      <c r="X4547" t="s">
        <v>44909</v>
      </c>
    </row>
    <row r="4548" spans="1:24">
      <c r="A4548">
        <f>HYPERLINK("https://www.philgeps.gov.ph/GEPSNONPILOT/Tender/SplashBidNoticeAbstractUI.aspx?menuIndex=3&amp;refID=7081248&amp;Result=3","7081248")</f>
        <v>0</v>
      </c>
      <c r="B4548" t="s">
        <v>647</v>
      </c>
      <c r="C4548" t="s">
        <v>7873</v>
      </c>
      <c r="D4548" t="s">
        <v>18100</v>
      </c>
      <c r="E4548" t="s">
        <v>22227</v>
      </c>
      <c r="F4548" t="s">
        <v>31362</v>
      </c>
      <c r="G4548" t="s">
        <v>31368</v>
      </c>
      <c r="H4548" t="s">
        <v>15799</v>
      </c>
      <c r="I4548" t="s">
        <v>4942</v>
      </c>
      <c r="J4548" t="s">
        <v>34473</v>
      </c>
      <c r="K4548" t="s">
        <v>40670</v>
      </c>
      <c r="M4548" t="s">
        <v>41608</v>
      </c>
      <c r="N4548" t="s">
        <v>44905</v>
      </c>
      <c r="O4548" t="s">
        <v>44906</v>
      </c>
      <c r="P4548">
        <v>0</v>
      </c>
      <c r="Q4548">
        <v>0</v>
      </c>
      <c r="R4548" t="s">
        <v>44908</v>
      </c>
      <c r="S4548" t="s">
        <v>45042</v>
      </c>
      <c r="T4548" t="s">
        <v>46393</v>
      </c>
      <c r="U4548" t="s">
        <v>50636</v>
      </c>
      <c r="W4548" t="s">
        <v>60862</v>
      </c>
      <c r="X4548" t="s">
        <v>44909</v>
      </c>
    </row>
    <row r="4549" spans="1:24">
      <c r="A4549">
        <f>HYPERLINK("https://www.philgeps.gov.ph/GEPSNONPILOT/Tender/SplashBidNoticeAbstractUI.aspx?menuIndex=3&amp;refID=7081226&amp;Result=3","7081226")</f>
        <v>0</v>
      </c>
      <c r="B4549" t="s">
        <v>345</v>
      </c>
      <c r="C4549" t="s">
        <v>7874</v>
      </c>
      <c r="D4549" t="s">
        <v>18149</v>
      </c>
      <c r="E4549" t="s">
        <v>19255</v>
      </c>
      <c r="F4549" t="s">
        <v>31362</v>
      </c>
      <c r="G4549" t="s">
        <v>31368</v>
      </c>
      <c r="H4549" t="s">
        <v>15799</v>
      </c>
      <c r="I4549" t="s">
        <v>31385</v>
      </c>
      <c r="J4549" t="s">
        <v>34474</v>
      </c>
      <c r="K4549" t="s">
        <v>40693</v>
      </c>
      <c r="M4549" t="s">
        <v>41291</v>
      </c>
      <c r="N4549" t="s">
        <v>44905</v>
      </c>
      <c r="O4549" t="s">
        <v>44906</v>
      </c>
      <c r="P4549">
        <v>0</v>
      </c>
      <c r="Q4549">
        <v>1</v>
      </c>
      <c r="R4549" t="s">
        <v>44908</v>
      </c>
      <c r="S4549" t="s">
        <v>45042</v>
      </c>
      <c r="T4549" t="s">
        <v>46580</v>
      </c>
      <c r="U4549" t="s">
        <v>50405</v>
      </c>
      <c r="W4549" t="s">
        <v>41291</v>
      </c>
      <c r="X4549" t="s">
        <v>44909</v>
      </c>
    </row>
    <row r="4550" spans="1:24">
      <c r="A4550">
        <f>HYPERLINK("https://www.philgeps.gov.ph/GEPSNONPILOT/Tender/SplashBidNoticeAbstractUI.aspx?menuIndex=3&amp;refID=7081246&amp;Result=3","7081246")</f>
        <v>0</v>
      </c>
      <c r="B4550" t="s">
        <v>670</v>
      </c>
      <c r="C4550" t="s">
        <v>7875</v>
      </c>
      <c r="D4550" t="s">
        <v>18152</v>
      </c>
      <c r="E4550" t="s">
        <v>21402</v>
      </c>
      <c r="F4550" t="s">
        <v>31362</v>
      </c>
      <c r="G4550" t="s">
        <v>31368</v>
      </c>
      <c r="H4550" t="s">
        <v>15799</v>
      </c>
      <c r="I4550" t="s">
        <v>4057</v>
      </c>
      <c r="J4550" t="s">
        <v>34475</v>
      </c>
      <c r="K4550" t="s">
        <v>40697</v>
      </c>
      <c r="M4550" t="s">
        <v>41632</v>
      </c>
      <c r="N4550" t="s">
        <v>44905</v>
      </c>
      <c r="O4550" t="s">
        <v>44906</v>
      </c>
      <c r="P4550">
        <v>0</v>
      </c>
      <c r="Q4550">
        <v>0</v>
      </c>
      <c r="R4550" t="s">
        <v>44908</v>
      </c>
      <c r="S4550" t="s">
        <v>45042</v>
      </c>
      <c r="T4550" t="s">
        <v>46409</v>
      </c>
      <c r="U4550" t="s">
        <v>50637</v>
      </c>
      <c r="W4550" t="s">
        <v>41632</v>
      </c>
      <c r="X4550" t="s">
        <v>44909</v>
      </c>
    </row>
    <row r="4551" spans="1:24">
      <c r="A4551">
        <f>HYPERLINK("https://www.philgeps.gov.ph/GEPSNONPILOT/Tender/SplashBidNoticeAbstractUI.aspx?menuIndex=3&amp;refID=7081244&amp;Result=3","7081244")</f>
        <v>0</v>
      </c>
      <c r="B4551" t="s">
        <v>1541</v>
      </c>
      <c r="C4551" t="s">
        <v>7876</v>
      </c>
      <c r="D4551" t="s">
        <v>18127</v>
      </c>
      <c r="E4551" t="s">
        <v>22255</v>
      </c>
      <c r="F4551" t="s">
        <v>31362</v>
      </c>
      <c r="G4551" t="s">
        <v>31371</v>
      </c>
      <c r="H4551" t="s">
        <v>15799</v>
      </c>
      <c r="I4551" t="s">
        <v>31381</v>
      </c>
      <c r="J4551" t="s">
        <v>34476</v>
      </c>
      <c r="K4551" t="s">
        <v>40666</v>
      </c>
      <c r="L4551" t="s">
        <v>1541</v>
      </c>
      <c r="M4551" t="s">
        <v>42588</v>
      </c>
      <c r="N4551" t="s">
        <v>44905</v>
      </c>
      <c r="O4551" t="s">
        <v>44906</v>
      </c>
      <c r="P4551">
        <v>0</v>
      </c>
      <c r="Q4551">
        <v>3</v>
      </c>
      <c r="R4551" t="s">
        <v>44908</v>
      </c>
      <c r="S4551" t="s">
        <v>45042</v>
      </c>
      <c r="T4551" t="s">
        <v>46443</v>
      </c>
      <c r="U4551" t="s">
        <v>50638</v>
      </c>
      <c r="W4551" t="s">
        <v>42588</v>
      </c>
      <c r="X4551" t="s">
        <v>44909</v>
      </c>
    </row>
    <row r="4552" spans="1:24">
      <c r="A4552">
        <f>HYPERLINK("https://www.philgeps.gov.ph/GEPSNONPILOT/Tender/SplashBidNoticeAbstractUI.aspx?menuIndex=3&amp;refID=7081251&amp;Result=3","7081251")</f>
        <v>0</v>
      </c>
      <c r="B4552" t="s">
        <v>404</v>
      </c>
      <c r="C4552" t="s">
        <v>7877</v>
      </c>
      <c r="D4552" t="s">
        <v>18108</v>
      </c>
      <c r="E4552" t="s">
        <v>22256</v>
      </c>
      <c r="F4552" t="s">
        <v>31362</v>
      </c>
      <c r="G4552" t="s">
        <v>31371</v>
      </c>
      <c r="H4552" t="s">
        <v>15799</v>
      </c>
      <c r="I4552" t="s">
        <v>31385</v>
      </c>
      <c r="J4552" t="s">
        <v>34477</v>
      </c>
      <c r="K4552" t="s">
        <v>40666</v>
      </c>
      <c r="M4552" t="s">
        <v>41718</v>
      </c>
      <c r="N4552" t="s">
        <v>44905</v>
      </c>
      <c r="O4552" t="s">
        <v>44906</v>
      </c>
      <c r="P4552">
        <v>0</v>
      </c>
      <c r="Q4552">
        <v>6</v>
      </c>
      <c r="R4552" t="s">
        <v>44908</v>
      </c>
      <c r="S4552" t="s">
        <v>45042</v>
      </c>
      <c r="T4552" t="s">
        <v>46447</v>
      </c>
      <c r="U4552" t="s">
        <v>50639</v>
      </c>
      <c r="V4552" t="s">
        <v>59485</v>
      </c>
      <c r="W4552" t="s">
        <v>41718</v>
      </c>
      <c r="X4552" t="s">
        <v>44909</v>
      </c>
    </row>
    <row r="4553" spans="1:24">
      <c r="A4553">
        <f>HYPERLINK("https://www.philgeps.gov.ph/GEPSNONPILOT/Tender/SplashBidNoticeAbstractUI.aspx?menuIndex=3&amp;refID=7081242&amp;Result=3","7081242")</f>
        <v>0</v>
      </c>
      <c r="B4553" t="s">
        <v>1542</v>
      </c>
      <c r="C4553" t="s">
        <v>7878</v>
      </c>
      <c r="D4553" t="s">
        <v>18109</v>
      </c>
      <c r="E4553" t="s">
        <v>22257</v>
      </c>
      <c r="F4553" t="s">
        <v>31362</v>
      </c>
      <c r="G4553" t="s">
        <v>31368</v>
      </c>
      <c r="H4553" t="s">
        <v>31379</v>
      </c>
      <c r="I4553" t="s">
        <v>6240</v>
      </c>
      <c r="J4553" t="s">
        <v>32268</v>
      </c>
      <c r="K4553" t="s">
        <v>40673</v>
      </c>
      <c r="M4553" t="s">
        <v>42589</v>
      </c>
      <c r="N4553" t="s">
        <v>44905</v>
      </c>
      <c r="O4553" t="s">
        <v>44906</v>
      </c>
      <c r="P4553">
        <v>0</v>
      </c>
      <c r="Q4553">
        <v>0</v>
      </c>
      <c r="R4553" t="s">
        <v>44908</v>
      </c>
      <c r="S4553" t="s">
        <v>45042</v>
      </c>
      <c r="T4553" t="s">
        <v>46593</v>
      </c>
      <c r="U4553" t="s">
        <v>50640</v>
      </c>
      <c r="V4553" t="s">
        <v>59486</v>
      </c>
      <c r="W4553" t="s">
        <v>42589</v>
      </c>
      <c r="X4553" t="s">
        <v>44909</v>
      </c>
    </row>
    <row r="4554" spans="1:24">
      <c r="A4554">
        <f>HYPERLINK("https://www.philgeps.gov.ph/GEPSNONPILOT/Tender/SplashBidNoticeAbstractUI.aspx?menuIndex=3&amp;refID=7081239&amp;Result=3","7081239")</f>
        <v>0</v>
      </c>
      <c r="B4554" t="s">
        <v>1532</v>
      </c>
      <c r="C4554" t="s">
        <v>7879</v>
      </c>
      <c r="D4554" t="s">
        <v>18148</v>
      </c>
      <c r="E4554" t="s">
        <v>22258</v>
      </c>
      <c r="F4554" t="s">
        <v>31362</v>
      </c>
      <c r="G4554" t="s">
        <v>31371</v>
      </c>
      <c r="H4554" t="s">
        <v>15799</v>
      </c>
      <c r="I4554" t="s">
        <v>31380</v>
      </c>
      <c r="J4554" t="s">
        <v>33310</v>
      </c>
      <c r="K4554" t="s">
        <v>40661</v>
      </c>
      <c r="M4554" t="s">
        <v>42578</v>
      </c>
      <c r="N4554" t="s">
        <v>44905</v>
      </c>
      <c r="O4554" t="s">
        <v>44906</v>
      </c>
      <c r="P4554">
        <v>0</v>
      </c>
      <c r="Q4554">
        <v>4</v>
      </c>
      <c r="R4554" t="s">
        <v>44908</v>
      </c>
      <c r="S4554" t="s">
        <v>45042</v>
      </c>
      <c r="T4554" t="s">
        <v>46416</v>
      </c>
      <c r="U4554" t="s">
        <v>50608</v>
      </c>
      <c r="V4554" t="s">
        <v>59482</v>
      </c>
      <c r="W4554" t="s">
        <v>42578</v>
      </c>
      <c r="X4554" t="s">
        <v>44909</v>
      </c>
    </row>
    <row r="4555" spans="1:24">
      <c r="A4555">
        <f>HYPERLINK("https://www.philgeps.gov.ph/GEPSNONPILOT/Tender/SplashBidNoticeAbstractUI.aspx?menuIndex=3&amp;refID=7081238&amp;Result=3","7081238")</f>
        <v>0</v>
      </c>
      <c r="B4555" t="s">
        <v>753</v>
      </c>
      <c r="C4555" t="s">
        <v>7880</v>
      </c>
      <c r="D4555" t="s">
        <v>18175</v>
      </c>
      <c r="E4555" t="s">
        <v>22259</v>
      </c>
      <c r="F4555" t="s">
        <v>31362</v>
      </c>
      <c r="G4555" t="s">
        <v>31368</v>
      </c>
      <c r="H4555" t="s">
        <v>15799</v>
      </c>
      <c r="I4555" t="s">
        <v>31429</v>
      </c>
      <c r="J4555" t="s">
        <v>31889</v>
      </c>
      <c r="K4555" t="s">
        <v>40661</v>
      </c>
      <c r="M4555" t="s">
        <v>41721</v>
      </c>
      <c r="N4555" t="s">
        <v>44905</v>
      </c>
      <c r="O4555" t="s">
        <v>44906</v>
      </c>
      <c r="P4555">
        <v>0</v>
      </c>
      <c r="Q4555">
        <v>2</v>
      </c>
      <c r="R4555" t="s">
        <v>44908</v>
      </c>
      <c r="S4555" t="s">
        <v>45042</v>
      </c>
      <c r="T4555" t="s">
        <v>46396</v>
      </c>
      <c r="U4555" t="s">
        <v>50641</v>
      </c>
      <c r="V4555" t="s">
        <v>59487</v>
      </c>
      <c r="W4555" t="s">
        <v>41721</v>
      </c>
      <c r="X4555" t="s">
        <v>44909</v>
      </c>
    </row>
    <row r="4556" spans="1:24">
      <c r="A4556">
        <f>HYPERLINK("https://www.philgeps.gov.ph/GEPSNONPILOT/Tender/SplashBidNoticeAbstractUI.aspx?menuIndex=3&amp;refID=7081260&amp;Result=3","7081260")</f>
        <v>0</v>
      </c>
      <c r="B4556" t="s">
        <v>1395</v>
      </c>
      <c r="C4556" t="s">
        <v>7881</v>
      </c>
      <c r="D4556" t="s">
        <v>18116</v>
      </c>
      <c r="E4556" t="s">
        <v>22260</v>
      </c>
      <c r="F4556" t="s">
        <v>31362</v>
      </c>
      <c r="G4556" t="s">
        <v>31369</v>
      </c>
      <c r="H4556" t="s">
        <v>31378</v>
      </c>
      <c r="I4556" t="s">
        <v>31386</v>
      </c>
      <c r="J4556" t="s">
        <v>31606</v>
      </c>
      <c r="K4556" t="s">
        <v>40679</v>
      </c>
      <c r="M4556" t="s">
        <v>42420</v>
      </c>
      <c r="N4556" t="s">
        <v>44905</v>
      </c>
      <c r="O4556" t="s">
        <v>44906</v>
      </c>
      <c r="P4556">
        <v>0</v>
      </c>
      <c r="Q4556">
        <v>0</v>
      </c>
      <c r="R4556" t="s">
        <v>44908</v>
      </c>
      <c r="S4556" t="s">
        <v>45042</v>
      </c>
      <c r="T4556" t="s">
        <v>46429</v>
      </c>
      <c r="U4556" t="s">
        <v>50642</v>
      </c>
      <c r="W4556" t="s">
        <v>42420</v>
      </c>
      <c r="X4556" t="s">
        <v>44909</v>
      </c>
    </row>
    <row r="4557" spans="1:24">
      <c r="A4557">
        <f>HYPERLINK("https://www.philgeps.gov.ph/GEPSNONPILOT/Tender/SplashBidNoticeAbstractUI.aspx?menuIndex=3&amp;refID=7081235&amp;Result=3","7081235")</f>
        <v>0</v>
      </c>
      <c r="B4557" t="s">
        <v>647</v>
      </c>
      <c r="C4557" t="s">
        <v>7882</v>
      </c>
      <c r="D4557" t="s">
        <v>18100</v>
      </c>
      <c r="E4557" t="s">
        <v>19689</v>
      </c>
      <c r="F4557" t="s">
        <v>31362</v>
      </c>
      <c r="G4557" t="s">
        <v>31368</v>
      </c>
      <c r="H4557" t="s">
        <v>15799</v>
      </c>
      <c r="I4557" t="s">
        <v>13635</v>
      </c>
      <c r="J4557" t="s">
        <v>34478</v>
      </c>
      <c r="K4557" t="s">
        <v>40670</v>
      </c>
      <c r="M4557" t="s">
        <v>41608</v>
      </c>
      <c r="N4557" t="s">
        <v>44905</v>
      </c>
      <c r="O4557" t="s">
        <v>44906</v>
      </c>
      <c r="P4557">
        <v>0</v>
      </c>
      <c r="Q4557">
        <v>0</v>
      </c>
      <c r="R4557" t="s">
        <v>44908</v>
      </c>
      <c r="S4557" t="s">
        <v>45042</v>
      </c>
      <c r="T4557" t="s">
        <v>46393</v>
      </c>
      <c r="U4557" t="s">
        <v>50643</v>
      </c>
      <c r="W4557" t="s">
        <v>60862</v>
      </c>
      <c r="X4557" t="s">
        <v>44909</v>
      </c>
    </row>
    <row r="4558" spans="1:24">
      <c r="A4558">
        <f>HYPERLINK("https://www.philgeps.gov.ph/GEPSNONPILOT/Tender/SplashBidNoticeAbstractUI.aspx?menuIndex=3&amp;refID=7081243&amp;Result=3","7081243")</f>
        <v>0</v>
      </c>
      <c r="B4558" t="s">
        <v>421</v>
      </c>
      <c r="C4558" t="s">
        <v>7883</v>
      </c>
      <c r="D4558" t="s">
        <v>18133</v>
      </c>
      <c r="E4558" t="s">
        <v>22261</v>
      </c>
      <c r="F4558" t="s">
        <v>31362</v>
      </c>
      <c r="G4558" t="s">
        <v>31369</v>
      </c>
      <c r="H4558" t="s">
        <v>31378</v>
      </c>
      <c r="I4558" t="s">
        <v>31386</v>
      </c>
      <c r="J4558" t="s">
        <v>34023</v>
      </c>
      <c r="K4558" t="s">
        <v>40782</v>
      </c>
      <c r="M4558" t="s">
        <v>41372</v>
      </c>
      <c r="N4558" t="s">
        <v>44905</v>
      </c>
      <c r="O4558" t="s">
        <v>44906</v>
      </c>
      <c r="P4558">
        <v>0</v>
      </c>
      <c r="Q4558">
        <v>0</v>
      </c>
      <c r="R4558" t="s">
        <v>44908</v>
      </c>
      <c r="S4558" t="s">
        <v>45042</v>
      </c>
      <c r="T4558" t="s">
        <v>46535</v>
      </c>
      <c r="U4558" t="s">
        <v>50644</v>
      </c>
      <c r="W4558" t="s">
        <v>41372</v>
      </c>
      <c r="X4558" t="s">
        <v>44909</v>
      </c>
    </row>
    <row r="4559" spans="1:24">
      <c r="A4559">
        <f>HYPERLINK("https://www.philgeps.gov.ph/GEPSNONPILOT/Tender/SplashBidNoticeAbstractUI.aspx?menuIndex=3&amp;refID=7081276&amp;Result=3","7081276")</f>
        <v>0</v>
      </c>
      <c r="B4559" t="s">
        <v>404</v>
      </c>
      <c r="C4559" t="s">
        <v>7884</v>
      </c>
      <c r="D4559" t="s">
        <v>18108</v>
      </c>
      <c r="E4559" t="s">
        <v>22262</v>
      </c>
      <c r="F4559" t="s">
        <v>31362</v>
      </c>
      <c r="G4559" t="s">
        <v>31371</v>
      </c>
      <c r="H4559" t="s">
        <v>15799</v>
      </c>
      <c r="I4559" t="s">
        <v>7188</v>
      </c>
      <c r="J4559" t="s">
        <v>34479</v>
      </c>
      <c r="K4559" t="s">
        <v>40666</v>
      </c>
      <c r="M4559" t="s">
        <v>41718</v>
      </c>
      <c r="N4559" t="s">
        <v>44905</v>
      </c>
      <c r="O4559" t="s">
        <v>44906</v>
      </c>
      <c r="P4559">
        <v>0</v>
      </c>
      <c r="Q4559">
        <v>13</v>
      </c>
      <c r="R4559" t="s">
        <v>44908</v>
      </c>
      <c r="S4559" t="s">
        <v>45042</v>
      </c>
      <c r="T4559" t="s">
        <v>46447</v>
      </c>
      <c r="U4559" t="s">
        <v>50645</v>
      </c>
      <c r="V4559" t="s">
        <v>59237</v>
      </c>
      <c r="W4559" t="s">
        <v>41718</v>
      </c>
      <c r="X4559" t="s">
        <v>44909</v>
      </c>
    </row>
    <row r="4560" spans="1:24">
      <c r="A4560">
        <f>HYPERLINK("https://www.philgeps.gov.ph/GEPSNONPILOT/Tender/SplashBidNoticeAbstractUI.aspx?menuIndex=3&amp;refID=7081247&amp;Result=3","7081247")</f>
        <v>0</v>
      </c>
      <c r="B4560" t="s">
        <v>1543</v>
      </c>
      <c r="C4560" t="s">
        <v>7885</v>
      </c>
      <c r="D4560" t="s">
        <v>18117</v>
      </c>
      <c r="E4560" t="s">
        <v>22263</v>
      </c>
      <c r="F4560" t="s">
        <v>31362</v>
      </c>
      <c r="G4560" t="s">
        <v>31369</v>
      </c>
      <c r="H4560" t="s">
        <v>31378</v>
      </c>
      <c r="I4560" t="s">
        <v>31386</v>
      </c>
      <c r="J4560" t="s">
        <v>34480</v>
      </c>
      <c r="K4560" t="s">
        <v>40783</v>
      </c>
      <c r="M4560" t="s">
        <v>42590</v>
      </c>
      <c r="N4560" t="s">
        <v>44905</v>
      </c>
      <c r="O4560" t="s">
        <v>44906</v>
      </c>
      <c r="P4560">
        <v>0</v>
      </c>
      <c r="Q4560">
        <v>1</v>
      </c>
      <c r="R4560" t="s">
        <v>44908</v>
      </c>
      <c r="S4560" t="s">
        <v>45042</v>
      </c>
      <c r="T4560" t="s">
        <v>46511</v>
      </c>
      <c r="U4560" t="s">
        <v>50646</v>
      </c>
      <c r="W4560" t="s">
        <v>42590</v>
      </c>
      <c r="X4560" t="s">
        <v>44909</v>
      </c>
    </row>
    <row r="4561" spans="1:24">
      <c r="A4561">
        <f>HYPERLINK("https://www.philgeps.gov.ph/GEPSNONPILOT/Tender/SplashBidNoticeAbstractUI.aspx?menuIndex=3&amp;refID=7081275&amp;Result=3","7081275")</f>
        <v>0</v>
      </c>
      <c r="B4561" t="s">
        <v>1544</v>
      </c>
      <c r="C4561" t="s">
        <v>7886</v>
      </c>
      <c r="D4561" t="s">
        <v>18172</v>
      </c>
      <c r="E4561" t="s">
        <v>22264</v>
      </c>
      <c r="F4561" t="s">
        <v>31362</v>
      </c>
      <c r="G4561" t="s">
        <v>31368</v>
      </c>
      <c r="H4561" t="s">
        <v>15799</v>
      </c>
      <c r="I4561" t="s">
        <v>31390</v>
      </c>
      <c r="J4561" t="s">
        <v>31591</v>
      </c>
      <c r="K4561" t="s">
        <v>40666</v>
      </c>
      <c r="M4561" t="s">
        <v>42591</v>
      </c>
      <c r="N4561" t="s">
        <v>44905</v>
      </c>
      <c r="O4561" t="s">
        <v>44906</v>
      </c>
      <c r="P4561">
        <v>0</v>
      </c>
      <c r="Q4561">
        <v>1</v>
      </c>
      <c r="R4561" t="s">
        <v>44908</v>
      </c>
      <c r="S4561" t="s">
        <v>45042</v>
      </c>
      <c r="T4561" t="s">
        <v>46409</v>
      </c>
      <c r="U4561" t="s">
        <v>50647</v>
      </c>
      <c r="W4561" t="s">
        <v>42591</v>
      </c>
      <c r="X4561" t="s">
        <v>44909</v>
      </c>
    </row>
    <row r="4562" spans="1:24">
      <c r="A4562">
        <f>HYPERLINK("https://www.philgeps.gov.ph/GEPSNONPILOT/Tender/SplashBidNoticeAbstractUI.aspx?menuIndex=3&amp;refID=7081262&amp;Result=3","7081262")</f>
        <v>0</v>
      </c>
      <c r="B4562" t="s">
        <v>28</v>
      </c>
      <c r="C4562" t="s">
        <v>7887</v>
      </c>
      <c r="D4562" t="s">
        <v>18102</v>
      </c>
      <c r="E4562" t="s">
        <v>22265</v>
      </c>
      <c r="F4562" t="s">
        <v>31362</v>
      </c>
      <c r="G4562" t="s">
        <v>31368</v>
      </c>
      <c r="H4562" t="s">
        <v>15799</v>
      </c>
      <c r="I4562" t="s">
        <v>31385</v>
      </c>
      <c r="J4562" t="s">
        <v>31724</v>
      </c>
      <c r="K4562" t="s">
        <v>40661</v>
      </c>
      <c r="M4562" t="s">
        <v>40962</v>
      </c>
      <c r="N4562" t="s">
        <v>44905</v>
      </c>
      <c r="O4562" t="s">
        <v>44906</v>
      </c>
      <c r="P4562">
        <v>0</v>
      </c>
      <c r="Q4562">
        <v>7</v>
      </c>
      <c r="R4562" t="s">
        <v>44908</v>
      </c>
      <c r="S4562" t="s">
        <v>45042</v>
      </c>
      <c r="T4562" t="s">
        <v>46447</v>
      </c>
      <c r="U4562" t="s">
        <v>50648</v>
      </c>
      <c r="W4562" t="s">
        <v>40962</v>
      </c>
      <c r="X4562" t="s">
        <v>44909</v>
      </c>
    </row>
    <row r="4563" spans="1:24">
      <c r="A4563">
        <f>HYPERLINK("https://www.philgeps.gov.ph/GEPSNONPILOT/Tender/SplashBidNoticeAbstractUI.aspx?menuIndex=3&amp;refID=7081245&amp;Result=3","7081245")</f>
        <v>0</v>
      </c>
      <c r="B4563" t="s">
        <v>1507</v>
      </c>
      <c r="C4563" t="s">
        <v>7888</v>
      </c>
      <c r="D4563" t="s">
        <v>18113</v>
      </c>
      <c r="E4563" t="s">
        <v>22266</v>
      </c>
      <c r="F4563" t="s">
        <v>31362</v>
      </c>
      <c r="G4563" t="s">
        <v>31369</v>
      </c>
      <c r="H4563" t="s">
        <v>15799</v>
      </c>
      <c r="I4563" t="s">
        <v>31409</v>
      </c>
      <c r="J4563" t="s">
        <v>31625</v>
      </c>
      <c r="K4563" t="s">
        <v>40675</v>
      </c>
      <c r="M4563" t="s">
        <v>42547</v>
      </c>
      <c r="N4563" t="s">
        <v>44905</v>
      </c>
      <c r="O4563" t="s">
        <v>44906</v>
      </c>
      <c r="P4563">
        <v>0</v>
      </c>
      <c r="Q4563">
        <v>1</v>
      </c>
      <c r="R4563" t="s">
        <v>44908</v>
      </c>
      <c r="S4563" t="s">
        <v>45042</v>
      </c>
      <c r="T4563" t="s">
        <v>46648</v>
      </c>
      <c r="U4563" t="s">
        <v>50649</v>
      </c>
      <c r="V4563" t="s">
        <v>59473</v>
      </c>
      <c r="W4563" t="s">
        <v>42547</v>
      </c>
      <c r="X4563" t="s">
        <v>44909</v>
      </c>
    </row>
    <row r="4564" spans="1:24">
      <c r="A4564">
        <f>HYPERLINK("https://www.philgeps.gov.ph/GEPSNONPILOT/Tender/SplashBidNoticeAbstractUI.aspx?menuIndex=3&amp;refID=7081274&amp;Result=3","7081274")</f>
        <v>0</v>
      </c>
      <c r="B4564" t="s">
        <v>523</v>
      </c>
      <c r="C4564" t="s">
        <v>7889</v>
      </c>
      <c r="D4564" t="s">
        <v>18108</v>
      </c>
      <c r="E4564" t="s">
        <v>22267</v>
      </c>
      <c r="F4564" t="s">
        <v>31362</v>
      </c>
      <c r="G4564" t="s">
        <v>31368</v>
      </c>
      <c r="H4564" t="s">
        <v>15799</v>
      </c>
      <c r="I4564" t="s">
        <v>31380</v>
      </c>
      <c r="J4564" t="s">
        <v>34481</v>
      </c>
      <c r="K4564" t="s">
        <v>40662</v>
      </c>
      <c r="M4564" t="s">
        <v>41479</v>
      </c>
      <c r="N4564" t="s">
        <v>44905</v>
      </c>
      <c r="O4564" t="s">
        <v>44906</v>
      </c>
      <c r="P4564">
        <v>0</v>
      </c>
      <c r="Q4564">
        <v>1</v>
      </c>
      <c r="R4564" t="s">
        <v>44908</v>
      </c>
      <c r="S4564" t="s">
        <v>45042</v>
      </c>
      <c r="T4564" t="s">
        <v>46467</v>
      </c>
      <c r="U4564" t="s">
        <v>47939</v>
      </c>
      <c r="W4564" t="s">
        <v>41479</v>
      </c>
      <c r="X4564" t="s">
        <v>44909</v>
      </c>
    </row>
    <row r="4565" spans="1:24">
      <c r="A4565">
        <f>HYPERLINK("https://www.philgeps.gov.ph/GEPSNONPILOT/Tender/SplashBidNoticeAbstractUI.aspx?menuIndex=3&amp;refID=7081273&amp;Result=3","7081273")</f>
        <v>0</v>
      </c>
      <c r="B4565" t="s">
        <v>286</v>
      </c>
      <c r="C4565" t="s">
        <v>7890</v>
      </c>
      <c r="E4565" t="s">
        <v>22268</v>
      </c>
      <c r="F4565" t="s">
        <v>31362</v>
      </c>
      <c r="G4565" t="s">
        <v>31368</v>
      </c>
      <c r="H4565" t="s">
        <v>15799</v>
      </c>
      <c r="I4565" t="s">
        <v>4057</v>
      </c>
      <c r="J4565" t="s">
        <v>31969</v>
      </c>
      <c r="K4565" t="s">
        <v>40672</v>
      </c>
      <c r="M4565" t="s">
        <v>41229</v>
      </c>
      <c r="N4565" t="s">
        <v>44905</v>
      </c>
      <c r="O4565" t="s">
        <v>44906</v>
      </c>
      <c r="P4565">
        <v>0</v>
      </c>
      <c r="Q4565">
        <v>1</v>
      </c>
      <c r="R4565" t="s">
        <v>44908</v>
      </c>
      <c r="S4565" t="s">
        <v>45042</v>
      </c>
      <c r="T4565" t="s">
        <v>46432</v>
      </c>
      <c r="U4565" t="s">
        <v>50650</v>
      </c>
      <c r="W4565" t="s">
        <v>41229</v>
      </c>
      <c r="X4565" t="s">
        <v>44909</v>
      </c>
    </row>
    <row r="4566" spans="1:24">
      <c r="A4566">
        <f>HYPERLINK("https://www.philgeps.gov.ph/GEPSNONPILOT/Tender/SplashBidNoticeAbstractUI.aspx?menuIndex=3&amp;refID=7081280&amp;Result=3","7081280")</f>
        <v>0</v>
      </c>
      <c r="B4566" t="s">
        <v>953</v>
      </c>
      <c r="C4566" t="s">
        <v>7891</v>
      </c>
      <c r="D4566" t="s">
        <v>18110</v>
      </c>
      <c r="E4566" t="s">
        <v>22269</v>
      </c>
      <c r="F4566" t="s">
        <v>31362</v>
      </c>
      <c r="G4566" t="s">
        <v>31370</v>
      </c>
      <c r="H4566" t="s">
        <v>15799</v>
      </c>
      <c r="I4566" t="s">
        <v>7188</v>
      </c>
      <c r="J4566" t="s">
        <v>34482</v>
      </c>
      <c r="K4566" t="s">
        <v>40666</v>
      </c>
      <c r="M4566" t="s">
        <v>41941</v>
      </c>
      <c r="N4566" t="s">
        <v>44905</v>
      </c>
      <c r="O4566" t="s">
        <v>44906</v>
      </c>
      <c r="P4566">
        <v>0</v>
      </c>
      <c r="Q4566">
        <v>3</v>
      </c>
      <c r="R4566" t="s">
        <v>44908</v>
      </c>
      <c r="S4566" t="s">
        <v>45042</v>
      </c>
      <c r="T4566" t="s">
        <v>46409</v>
      </c>
      <c r="U4566" t="s">
        <v>50651</v>
      </c>
      <c r="W4566" t="s">
        <v>60898</v>
      </c>
      <c r="X4566" t="s">
        <v>44909</v>
      </c>
    </row>
    <row r="4567" spans="1:24">
      <c r="A4567">
        <f>HYPERLINK("https://www.philgeps.gov.ph/GEPSNONPILOT/Tender/SplashBidNoticeAbstractUI.aspx?menuIndex=3&amp;refID=7081279&amp;Result=3","7081279")</f>
        <v>0</v>
      </c>
      <c r="B4567" t="s">
        <v>1545</v>
      </c>
      <c r="C4567" t="s">
        <v>7892</v>
      </c>
      <c r="D4567" t="s">
        <v>18106</v>
      </c>
      <c r="E4567" t="s">
        <v>22270</v>
      </c>
      <c r="F4567" t="s">
        <v>31362</v>
      </c>
      <c r="G4567" t="s">
        <v>31372</v>
      </c>
      <c r="H4567" t="s">
        <v>31378</v>
      </c>
      <c r="I4567" t="s">
        <v>31386</v>
      </c>
      <c r="J4567" t="s">
        <v>32239</v>
      </c>
      <c r="K4567" t="s">
        <v>40682</v>
      </c>
      <c r="M4567" t="s">
        <v>42592</v>
      </c>
      <c r="N4567" t="s">
        <v>44905</v>
      </c>
      <c r="O4567" t="s">
        <v>44906</v>
      </c>
      <c r="P4567">
        <v>0</v>
      </c>
      <c r="Q4567">
        <v>0</v>
      </c>
      <c r="R4567" t="s">
        <v>44908</v>
      </c>
      <c r="S4567" t="s">
        <v>45042</v>
      </c>
      <c r="T4567" t="s">
        <v>46506</v>
      </c>
      <c r="U4567" t="s">
        <v>50652</v>
      </c>
      <c r="W4567" t="s">
        <v>42592</v>
      </c>
      <c r="X4567" t="s">
        <v>44909</v>
      </c>
    </row>
    <row r="4568" spans="1:24">
      <c r="A4568">
        <f>HYPERLINK("https://www.philgeps.gov.ph/GEPSNONPILOT/Tender/SplashBidNoticeAbstractUI.aspx?menuIndex=3&amp;refID=7081278&amp;Result=3","7081278")</f>
        <v>0</v>
      </c>
      <c r="B4568" t="s">
        <v>591</v>
      </c>
      <c r="C4568" t="s">
        <v>7893</v>
      </c>
      <c r="D4568" t="s">
        <v>18109</v>
      </c>
      <c r="E4568" t="s">
        <v>22271</v>
      </c>
      <c r="F4568" t="s">
        <v>31362</v>
      </c>
      <c r="G4568" t="s">
        <v>31368</v>
      </c>
      <c r="H4568" t="s">
        <v>15799</v>
      </c>
      <c r="I4568" t="s">
        <v>31430</v>
      </c>
      <c r="J4568" t="s">
        <v>34483</v>
      </c>
      <c r="K4568" t="s">
        <v>40666</v>
      </c>
      <c r="M4568" t="s">
        <v>41548</v>
      </c>
      <c r="N4568" t="s">
        <v>44905</v>
      </c>
      <c r="O4568" t="s">
        <v>44906</v>
      </c>
      <c r="P4568">
        <v>0</v>
      </c>
      <c r="Q4568">
        <v>0</v>
      </c>
      <c r="R4568" t="s">
        <v>44908</v>
      </c>
      <c r="S4568" t="s">
        <v>45042</v>
      </c>
      <c r="T4568" t="s">
        <v>46432</v>
      </c>
      <c r="U4568" t="s">
        <v>48056</v>
      </c>
      <c r="W4568" t="s">
        <v>41548</v>
      </c>
      <c r="X4568" t="s">
        <v>44909</v>
      </c>
    </row>
    <row r="4569" spans="1:24">
      <c r="A4569">
        <f>HYPERLINK("https://www.philgeps.gov.ph/GEPSNONPILOT/Tender/SplashBidNoticeAbstractUI.aspx?menuIndex=3&amp;refID=7081272&amp;Result=3","7081272")</f>
        <v>0</v>
      </c>
      <c r="B4569" t="s">
        <v>1546</v>
      </c>
      <c r="C4569" t="s">
        <v>7894</v>
      </c>
      <c r="D4569" t="s">
        <v>18106</v>
      </c>
      <c r="E4569" t="s">
        <v>22272</v>
      </c>
      <c r="F4569" t="s">
        <v>31362</v>
      </c>
      <c r="G4569" t="s">
        <v>31368</v>
      </c>
      <c r="H4569" t="s">
        <v>15799</v>
      </c>
      <c r="I4569" t="s">
        <v>31431</v>
      </c>
      <c r="J4569" t="s">
        <v>34484</v>
      </c>
      <c r="K4569" t="s">
        <v>40661</v>
      </c>
      <c r="M4569" t="s">
        <v>42593</v>
      </c>
      <c r="N4569" t="s">
        <v>44905</v>
      </c>
      <c r="O4569" t="s">
        <v>44906</v>
      </c>
      <c r="P4569">
        <v>0</v>
      </c>
      <c r="Q4569">
        <v>2</v>
      </c>
      <c r="R4569" t="s">
        <v>44908</v>
      </c>
      <c r="S4569" t="s">
        <v>45042</v>
      </c>
      <c r="T4569" t="s">
        <v>46435</v>
      </c>
      <c r="U4569" t="s">
        <v>50653</v>
      </c>
      <c r="W4569" t="s">
        <v>42593</v>
      </c>
      <c r="X4569" t="s">
        <v>44909</v>
      </c>
    </row>
    <row r="4570" spans="1:24">
      <c r="A4570">
        <f>HYPERLINK("https://www.philgeps.gov.ph/GEPSNONPILOT/Tender/SplashBidNoticeAbstractUI.aspx?menuIndex=3&amp;refID=7081271&amp;Result=3","7081271")</f>
        <v>0</v>
      </c>
      <c r="B4570" t="s">
        <v>307</v>
      </c>
      <c r="C4570" t="s">
        <v>7895</v>
      </c>
      <c r="D4570" t="s">
        <v>18114</v>
      </c>
      <c r="E4570" t="s">
        <v>22273</v>
      </c>
      <c r="F4570" t="s">
        <v>31362</v>
      </c>
      <c r="G4570" t="s">
        <v>31369</v>
      </c>
      <c r="H4570" t="s">
        <v>15799</v>
      </c>
      <c r="I4570" t="s">
        <v>6240</v>
      </c>
      <c r="J4570" t="s">
        <v>34485</v>
      </c>
      <c r="K4570" t="s">
        <v>40665</v>
      </c>
      <c r="M4570" t="s">
        <v>41251</v>
      </c>
      <c r="N4570" t="s">
        <v>44905</v>
      </c>
      <c r="O4570" t="s">
        <v>44906</v>
      </c>
      <c r="P4570">
        <v>0</v>
      </c>
      <c r="Q4570">
        <v>1</v>
      </c>
      <c r="R4570" t="s">
        <v>44908</v>
      </c>
      <c r="S4570" t="s">
        <v>45042</v>
      </c>
      <c r="T4570" t="s">
        <v>46452</v>
      </c>
      <c r="U4570" t="s">
        <v>50654</v>
      </c>
      <c r="W4570" t="s">
        <v>41251</v>
      </c>
      <c r="X4570" t="s">
        <v>44909</v>
      </c>
    </row>
    <row r="4571" spans="1:24">
      <c r="A4571">
        <f>HYPERLINK("https://www.philgeps.gov.ph/GEPSNONPILOT/Tender/SplashBidNoticeAbstractUI.aspx?menuIndex=3&amp;refID=7081270&amp;Result=3","7081270")</f>
        <v>0</v>
      </c>
      <c r="B4571" t="s">
        <v>1270</v>
      </c>
      <c r="C4571" t="s">
        <v>7896</v>
      </c>
      <c r="D4571" t="s">
        <v>18151</v>
      </c>
      <c r="E4571" t="s">
        <v>22274</v>
      </c>
      <c r="F4571" t="s">
        <v>31362</v>
      </c>
      <c r="G4571" t="s">
        <v>31368</v>
      </c>
      <c r="H4571" t="s">
        <v>15799</v>
      </c>
      <c r="I4571" t="s">
        <v>4057</v>
      </c>
      <c r="J4571" t="s">
        <v>34486</v>
      </c>
      <c r="K4571" t="s">
        <v>40698</v>
      </c>
      <c r="M4571" t="s">
        <v>42287</v>
      </c>
      <c r="N4571" t="s">
        <v>44905</v>
      </c>
      <c r="O4571" t="s">
        <v>44906</v>
      </c>
      <c r="P4571">
        <v>0</v>
      </c>
      <c r="Q4571">
        <v>0</v>
      </c>
      <c r="R4571" t="s">
        <v>44908</v>
      </c>
      <c r="S4571" t="s">
        <v>45042</v>
      </c>
      <c r="T4571" t="s">
        <v>46404</v>
      </c>
      <c r="U4571" t="s">
        <v>49706</v>
      </c>
      <c r="W4571" t="s">
        <v>42287</v>
      </c>
      <c r="X4571" t="s">
        <v>44909</v>
      </c>
    </row>
    <row r="4572" spans="1:24">
      <c r="A4572">
        <f>HYPERLINK("https://www.philgeps.gov.ph/GEPSNONPILOT/Tender/SplashBidNoticeAbstractUI.aspx?menuIndex=3&amp;refID=7081269&amp;Result=3","7081269")</f>
        <v>0</v>
      </c>
      <c r="B4572" t="s">
        <v>908</v>
      </c>
      <c r="C4572" t="s">
        <v>7897</v>
      </c>
      <c r="D4572" t="s">
        <v>18155</v>
      </c>
      <c r="E4572" t="s">
        <v>22275</v>
      </c>
      <c r="F4572" t="s">
        <v>31362</v>
      </c>
      <c r="G4572" t="s">
        <v>31368</v>
      </c>
      <c r="H4572" t="s">
        <v>31378</v>
      </c>
      <c r="I4572" t="s">
        <v>31386</v>
      </c>
      <c r="J4572" t="s">
        <v>34487</v>
      </c>
      <c r="K4572" t="s">
        <v>40695</v>
      </c>
      <c r="M4572" t="s">
        <v>42594</v>
      </c>
      <c r="N4572" t="s">
        <v>44905</v>
      </c>
      <c r="O4572" t="s">
        <v>44906</v>
      </c>
      <c r="P4572">
        <v>0</v>
      </c>
      <c r="Q4572">
        <v>1</v>
      </c>
      <c r="R4572" t="s">
        <v>44908</v>
      </c>
      <c r="S4572" t="s">
        <v>45042</v>
      </c>
      <c r="T4572" t="s">
        <v>46404</v>
      </c>
      <c r="U4572" t="s">
        <v>50655</v>
      </c>
      <c r="W4572" t="s">
        <v>42594</v>
      </c>
      <c r="X4572" t="s">
        <v>44909</v>
      </c>
    </row>
    <row r="4573" spans="1:24">
      <c r="A4573">
        <f>HYPERLINK("https://www.philgeps.gov.ph/GEPSNONPILOT/Tender/SplashBidNoticeAbstractUI.aspx?menuIndex=3&amp;refID=7081268&amp;Result=3","7081268")</f>
        <v>0</v>
      </c>
      <c r="B4573" t="s">
        <v>124</v>
      </c>
      <c r="C4573" t="s">
        <v>7898</v>
      </c>
      <c r="D4573" t="s">
        <v>18146</v>
      </c>
      <c r="E4573" t="s">
        <v>22276</v>
      </c>
      <c r="F4573" t="s">
        <v>31362</v>
      </c>
      <c r="G4573" t="s">
        <v>31368</v>
      </c>
      <c r="H4573" t="s">
        <v>15799</v>
      </c>
      <c r="I4573" t="s">
        <v>31393</v>
      </c>
      <c r="J4573" t="s">
        <v>31668</v>
      </c>
      <c r="K4573" t="s">
        <v>40723</v>
      </c>
      <c r="M4573" t="s">
        <v>42570</v>
      </c>
      <c r="N4573" t="s">
        <v>44905</v>
      </c>
      <c r="O4573" t="s">
        <v>44906</v>
      </c>
      <c r="P4573">
        <v>0</v>
      </c>
      <c r="Q4573">
        <v>1</v>
      </c>
      <c r="R4573" t="s">
        <v>44908</v>
      </c>
      <c r="S4573" t="s">
        <v>45042</v>
      </c>
      <c r="T4573" t="s">
        <v>46409</v>
      </c>
      <c r="U4573" t="s">
        <v>50656</v>
      </c>
      <c r="V4573" t="s">
        <v>59220</v>
      </c>
      <c r="W4573" t="s">
        <v>42570</v>
      </c>
      <c r="X4573" t="s">
        <v>44909</v>
      </c>
    </row>
    <row r="4574" spans="1:24">
      <c r="A4574">
        <f>HYPERLINK("https://www.philgeps.gov.ph/GEPSNONPILOT/Tender/SplashBidNoticeAbstractUI.aspx?menuIndex=3&amp;refID=7081266&amp;Result=3","7081266")</f>
        <v>0</v>
      </c>
      <c r="B4574" t="s">
        <v>1041</v>
      </c>
      <c r="C4574" t="s">
        <v>7899</v>
      </c>
      <c r="D4574" t="s">
        <v>18108</v>
      </c>
      <c r="E4574" t="s">
        <v>22277</v>
      </c>
      <c r="F4574" t="s">
        <v>31362</v>
      </c>
      <c r="G4574" t="s">
        <v>31368</v>
      </c>
      <c r="H4574" t="s">
        <v>15799</v>
      </c>
      <c r="I4574" t="s">
        <v>6155</v>
      </c>
      <c r="J4574" t="s">
        <v>31586</v>
      </c>
      <c r="K4574" t="s">
        <v>40666</v>
      </c>
      <c r="M4574" t="s">
        <v>42040</v>
      </c>
      <c r="N4574" t="s">
        <v>44905</v>
      </c>
      <c r="O4574" t="s">
        <v>44906</v>
      </c>
      <c r="P4574">
        <v>0</v>
      </c>
      <c r="Q4574">
        <v>16</v>
      </c>
      <c r="R4574" t="s">
        <v>44908</v>
      </c>
      <c r="S4574" t="s">
        <v>45042</v>
      </c>
      <c r="T4574" t="s">
        <v>46438</v>
      </c>
      <c r="U4574" t="s">
        <v>50657</v>
      </c>
      <c r="V4574" t="s">
        <v>59353</v>
      </c>
      <c r="W4574" t="s">
        <v>42040</v>
      </c>
      <c r="X4574" t="s">
        <v>44909</v>
      </c>
    </row>
    <row r="4575" spans="1:24">
      <c r="A4575">
        <f>HYPERLINK("https://www.philgeps.gov.ph/GEPSNONPILOT/Tender/SplashBidNoticeAbstractUI.aspx?menuIndex=3&amp;refID=7081265&amp;Result=3","7081265")</f>
        <v>0</v>
      </c>
      <c r="B4575" t="s">
        <v>1213</v>
      </c>
      <c r="C4575" t="s">
        <v>7900</v>
      </c>
      <c r="D4575" t="s">
        <v>18158</v>
      </c>
      <c r="E4575" t="s">
        <v>22278</v>
      </c>
      <c r="F4575" t="s">
        <v>31362</v>
      </c>
      <c r="G4575" t="s">
        <v>31368</v>
      </c>
      <c r="H4575" t="s">
        <v>15799</v>
      </c>
      <c r="I4575" t="s">
        <v>31392</v>
      </c>
      <c r="J4575" t="s">
        <v>32026</v>
      </c>
      <c r="K4575" t="s">
        <v>40665</v>
      </c>
      <c r="M4575" t="s">
        <v>42226</v>
      </c>
      <c r="N4575" t="s">
        <v>44905</v>
      </c>
      <c r="O4575" t="s">
        <v>44906</v>
      </c>
      <c r="P4575">
        <v>0</v>
      </c>
      <c r="Q4575">
        <v>0</v>
      </c>
      <c r="R4575" t="s">
        <v>44908</v>
      </c>
      <c r="S4575" t="s">
        <v>45042</v>
      </c>
      <c r="T4575" t="s">
        <v>46534</v>
      </c>
      <c r="U4575" t="s">
        <v>50658</v>
      </c>
      <c r="W4575" t="s">
        <v>42226</v>
      </c>
      <c r="X4575" t="s">
        <v>44909</v>
      </c>
    </row>
    <row r="4576" spans="1:24">
      <c r="A4576">
        <f>HYPERLINK("https://www.philgeps.gov.ph/GEPSNONPILOT/Tender/SplashBidNoticeAbstractUI.aspx?menuIndex=3&amp;refID=7081264&amp;Result=3","7081264")</f>
        <v>0</v>
      </c>
      <c r="B4576" t="s">
        <v>739</v>
      </c>
      <c r="C4576" t="s">
        <v>7901</v>
      </c>
      <c r="D4576" t="s">
        <v>18117</v>
      </c>
      <c r="E4576" t="s">
        <v>22279</v>
      </c>
      <c r="F4576" t="s">
        <v>31362</v>
      </c>
      <c r="G4576" t="s">
        <v>31369</v>
      </c>
      <c r="H4576" t="s">
        <v>31378</v>
      </c>
      <c r="I4576" t="s">
        <v>31386</v>
      </c>
      <c r="J4576" t="s">
        <v>34488</v>
      </c>
      <c r="K4576" t="s">
        <v>40735</v>
      </c>
      <c r="M4576" t="s">
        <v>41706</v>
      </c>
      <c r="N4576" t="s">
        <v>44905</v>
      </c>
      <c r="O4576" t="s">
        <v>44906</v>
      </c>
      <c r="P4576">
        <v>0</v>
      </c>
      <c r="Q4576">
        <v>1</v>
      </c>
      <c r="R4576" t="s">
        <v>44908</v>
      </c>
      <c r="S4576" t="s">
        <v>45042</v>
      </c>
      <c r="T4576" t="s">
        <v>46397</v>
      </c>
      <c r="U4576" t="s">
        <v>50659</v>
      </c>
      <c r="W4576" t="s">
        <v>41706</v>
      </c>
      <c r="X4576" t="s">
        <v>44909</v>
      </c>
    </row>
    <row r="4577" spans="1:24">
      <c r="A4577">
        <f>HYPERLINK("https://www.philgeps.gov.ph/GEPSNONPILOT/Tender/SplashBidNoticeAbstractUI.aspx?menuIndex=3&amp;refID=7081259&amp;Result=3","7081259")</f>
        <v>0</v>
      </c>
      <c r="B4577" t="s">
        <v>1414</v>
      </c>
      <c r="C4577" t="s">
        <v>7902</v>
      </c>
      <c r="D4577" t="s">
        <v>18106</v>
      </c>
      <c r="E4577" t="s">
        <v>22280</v>
      </c>
      <c r="F4577" t="s">
        <v>31362</v>
      </c>
      <c r="G4577" t="s">
        <v>31368</v>
      </c>
      <c r="H4577" t="s">
        <v>31378</v>
      </c>
      <c r="I4577" t="s">
        <v>31386</v>
      </c>
      <c r="J4577" t="s">
        <v>31530</v>
      </c>
      <c r="K4577" t="s">
        <v>40666</v>
      </c>
      <c r="M4577" t="s">
        <v>42439</v>
      </c>
      <c r="N4577" t="s">
        <v>44905</v>
      </c>
      <c r="O4577" t="s">
        <v>44906</v>
      </c>
      <c r="P4577">
        <v>0</v>
      </c>
      <c r="Q4577">
        <v>0</v>
      </c>
      <c r="R4577" t="s">
        <v>44908</v>
      </c>
      <c r="S4577" t="s">
        <v>45042</v>
      </c>
      <c r="T4577" t="s">
        <v>46454</v>
      </c>
      <c r="U4577" t="s">
        <v>50660</v>
      </c>
      <c r="W4577" t="s">
        <v>42439</v>
      </c>
      <c r="X4577" t="s">
        <v>44909</v>
      </c>
    </row>
    <row r="4578" spans="1:24">
      <c r="A4578">
        <f>HYPERLINK("https://www.philgeps.gov.ph/GEPSNONPILOT/Tender/SplashBidNoticeAbstractUI.aspx?menuIndex=3&amp;refID=7081282&amp;Result=3","7081282")</f>
        <v>0</v>
      </c>
      <c r="B4578" t="s">
        <v>1547</v>
      </c>
      <c r="C4578" t="s">
        <v>7903</v>
      </c>
      <c r="E4578" t="s">
        <v>22281</v>
      </c>
      <c r="F4578" t="s">
        <v>31362</v>
      </c>
      <c r="G4578" t="s">
        <v>31369</v>
      </c>
      <c r="H4578" t="s">
        <v>31377</v>
      </c>
      <c r="I4578" t="s">
        <v>31377</v>
      </c>
      <c r="J4578" t="s">
        <v>34489</v>
      </c>
      <c r="K4578" t="s">
        <v>40692</v>
      </c>
      <c r="M4578" t="s">
        <v>42595</v>
      </c>
      <c r="N4578" t="s">
        <v>44905</v>
      </c>
      <c r="O4578" t="s">
        <v>44906</v>
      </c>
      <c r="P4578">
        <v>0</v>
      </c>
      <c r="Q4578">
        <v>2</v>
      </c>
      <c r="R4578" t="s">
        <v>44908</v>
      </c>
      <c r="S4578" t="s">
        <v>45042</v>
      </c>
      <c r="T4578" t="s">
        <v>46396</v>
      </c>
      <c r="U4578" t="s">
        <v>50661</v>
      </c>
      <c r="W4578" t="s">
        <v>42595</v>
      </c>
      <c r="X4578" t="s">
        <v>44909</v>
      </c>
    </row>
    <row r="4579" spans="1:24">
      <c r="A4579">
        <f>HYPERLINK("https://www.philgeps.gov.ph/GEPSNONPILOT/Tender/SplashBidNoticeAbstractUI.aspx?menuIndex=3&amp;refID=7081252&amp;Result=3","7081252")</f>
        <v>0</v>
      </c>
      <c r="B4579" t="s">
        <v>1545</v>
      </c>
      <c r="C4579" t="s">
        <v>7904</v>
      </c>
      <c r="D4579" t="s">
        <v>18106</v>
      </c>
      <c r="E4579" t="s">
        <v>22282</v>
      </c>
      <c r="F4579" t="s">
        <v>31362</v>
      </c>
      <c r="G4579" t="s">
        <v>31372</v>
      </c>
      <c r="H4579" t="s">
        <v>15799</v>
      </c>
      <c r="I4579" t="s">
        <v>4283</v>
      </c>
      <c r="J4579" t="s">
        <v>31693</v>
      </c>
      <c r="K4579" t="s">
        <v>40665</v>
      </c>
      <c r="M4579" t="s">
        <v>42592</v>
      </c>
      <c r="N4579" t="s">
        <v>44905</v>
      </c>
      <c r="O4579" t="s">
        <v>44906</v>
      </c>
      <c r="P4579">
        <v>0</v>
      </c>
      <c r="Q4579">
        <v>4</v>
      </c>
      <c r="R4579" t="s">
        <v>44908</v>
      </c>
      <c r="S4579" t="s">
        <v>45042</v>
      </c>
      <c r="T4579" t="s">
        <v>46506</v>
      </c>
      <c r="U4579" t="s">
        <v>50662</v>
      </c>
      <c r="W4579" t="s">
        <v>42592</v>
      </c>
      <c r="X4579" t="s">
        <v>44909</v>
      </c>
    </row>
    <row r="4580" spans="1:24">
      <c r="A4580">
        <f>HYPERLINK("https://www.philgeps.gov.ph/GEPSNONPILOT/Tender/SplashBidNoticeAbstractUI.aspx?menuIndex=3&amp;refID=7081299&amp;Result=3","7081299")</f>
        <v>0</v>
      </c>
      <c r="B4580" t="s">
        <v>262</v>
      </c>
      <c r="C4580" t="s">
        <v>7905</v>
      </c>
      <c r="D4580" t="s">
        <v>18127</v>
      </c>
      <c r="E4580" t="s">
        <v>22116</v>
      </c>
      <c r="F4580" t="s">
        <v>31362</v>
      </c>
      <c r="G4580" t="s">
        <v>31368</v>
      </c>
      <c r="H4580" t="s">
        <v>15799</v>
      </c>
      <c r="I4580" t="s">
        <v>7090</v>
      </c>
      <c r="J4580" t="s">
        <v>34490</v>
      </c>
      <c r="K4580" t="s">
        <v>40661</v>
      </c>
      <c r="M4580" t="s">
        <v>42051</v>
      </c>
      <c r="N4580" t="s">
        <v>44905</v>
      </c>
      <c r="O4580" t="s">
        <v>44906</v>
      </c>
      <c r="P4580">
        <v>0</v>
      </c>
      <c r="Q4580">
        <v>0</v>
      </c>
      <c r="R4580" t="s">
        <v>44908</v>
      </c>
      <c r="S4580" t="s">
        <v>45042</v>
      </c>
      <c r="T4580" t="s">
        <v>46454</v>
      </c>
      <c r="U4580" t="s">
        <v>49689</v>
      </c>
      <c r="W4580" t="s">
        <v>42051</v>
      </c>
      <c r="X4580" t="s">
        <v>44909</v>
      </c>
    </row>
    <row r="4581" spans="1:24">
      <c r="A4581">
        <f>HYPERLINK("https://www.philgeps.gov.ph/GEPSNONPILOT/Tender/SplashBidNoticeAbstractUI.aspx?menuIndex=3&amp;refID=7081263&amp;Result=3","7081263")</f>
        <v>0</v>
      </c>
      <c r="B4581" t="s">
        <v>1548</v>
      </c>
      <c r="C4581" t="s">
        <v>7906</v>
      </c>
      <c r="D4581" t="s">
        <v>18113</v>
      </c>
      <c r="E4581" t="s">
        <v>22283</v>
      </c>
      <c r="F4581" t="s">
        <v>31362</v>
      </c>
      <c r="G4581" t="s">
        <v>31369</v>
      </c>
      <c r="H4581" t="s">
        <v>15799</v>
      </c>
      <c r="I4581" t="s">
        <v>3815</v>
      </c>
      <c r="J4581" t="s">
        <v>34491</v>
      </c>
      <c r="K4581" t="s">
        <v>40677</v>
      </c>
      <c r="L4581" t="s">
        <v>1548</v>
      </c>
      <c r="M4581" t="s">
        <v>42596</v>
      </c>
      <c r="N4581" t="s">
        <v>44905</v>
      </c>
      <c r="O4581" t="s">
        <v>44906</v>
      </c>
      <c r="P4581">
        <v>0</v>
      </c>
      <c r="Q4581">
        <v>0</v>
      </c>
      <c r="R4581" t="s">
        <v>44908</v>
      </c>
      <c r="S4581" t="s">
        <v>45042</v>
      </c>
      <c r="T4581" t="s">
        <v>46493</v>
      </c>
      <c r="U4581" t="s">
        <v>50663</v>
      </c>
      <c r="W4581" t="s">
        <v>42596</v>
      </c>
      <c r="X4581" t="s">
        <v>44909</v>
      </c>
    </row>
    <row r="4582" spans="1:24">
      <c r="A4582">
        <f>HYPERLINK("https://www.philgeps.gov.ph/GEPSNONPILOT/Tender/SplashBidNoticeAbstractUI.aspx?menuIndex=3&amp;refID=7081297&amp;Result=3","7081297")</f>
        <v>0</v>
      </c>
      <c r="B4582" t="s">
        <v>1281</v>
      </c>
      <c r="C4582" t="s">
        <v>7907</v>
      </c>
      <c r="D4582" t="s">
        <v>18156</v>
      </c>
      <c r="E4582" t="s">
        <v>22284</v>
      </c>
      <c r="F4582" t="s">
        <v>31362</v>
      </c>
      <c r="G4582" t="s">
        <v>31369</v>
      </c>
      <c r="H4582" t="s">
        <v>15799</v>
      </c>
      <c r="I4582" t="s">
        <v>7090</v>
      </c>
      <c r="J4582" t="s">
        <v>34492</v>
      </c>
      <c r="K4582" t="s">
        <v>40666</v>
      </c>
      <c r="M4582" t="s">
        <v>42298</v>
      </c>
      <c r="N4582" t="s">
        <v>44905</v>
      </c>
      <c r="O4582" t="s">
        <v>44906</v>
      </c>
      <c r="P4582">
        <v>0</v>
      </c>
      <c r="Q4582">
        <v>3</v>
      </c>
      <c r="R4582" t="s">
        <v>44908</v>
      </c>
      <c r="S4582" t="s">
        <v>45042</v>
      </c>
      <c r="T4582" t="s">
        <v>46395</v>
      </c>
      <c r="U4582" t="s">
        <v>49731</v>
      </c>
      <c r="W4582" t="s">
        <v>42298</v>
      </c>
      <c r="X4582" t="s">
        <v>44909</v>
      </c>
    </row>
    <row r="4583" spans="1:24">
      <c r="A4583">
        <f>HYPERLINK("https://www.philgeps.gov.ph/GEPSNONPILOT/Tender/SplashBidNoticeAbstractUI.aspx?menuIndex=3&amp;refID=7081296&amp;Result=3","7081296")</f>
        <v>0</v>
      </c>
      <c r="B4583" t="s">
        <v>1544</v>
      </c>
      <c r="C4583" t="s">
        <v>7908</v>
      </c>
      <c r="D4583" t="s">
        <v>18172</v>
      </c>
      <c r="E4583" t="s">
        <v>22285</v>
      </c>
      <c r="F4583" t="s">
        <v>31362</v>
      </c>
      <c r="G4583" t="s">
        <v>31368</v>
      </c>
      <c r="H4583" t="s">
        <v>15799</v>
      </c>
      <c r="I4583" t="s">
        <v>31387</v>
      </c>
      <c r="J4583" t="s">
        <v>33352</v>
      </c>
      <c r="K4583" t="s">
        <v>40666</v>
      </c>
      <c r="M4583" t="s">
        <v>42591</v>
      </c>
      <c r="N4583" t="s">
        <v>44905</v>
      </c>
      <c r="O4583" t="s">
        <v>44906</v>
      </c>
      <c r="P4583">
        <v>0</v>
      </c>
      <c r="Q4583">
        <v>0</v>
      </c>
      <c r="R4583" t="s">
        <v>44908</v>
      </c>
      <c r="S4583" t="s">
        <v>45042</v>
      </c>
      <c r="T4583" t="s">
        <v>46409</v>
      </c>
      <c r="U4583" t="s">
        <v>50664</v>
      </c>
      <c r="W4583" t="s">
        <v>42591</v>
      </c>
      <c r="X4583" t="s">
        <v>44909</v>
      </c>
    </row>
    <row r="4584" spans="1:24">
      <c r="A4584">
        <f>HYPERLINK("https://www.philgeps.gov.ph/GEPSNONPILOT/Tender/SplashBidNoticeAbstractUI.aspx?menuIndex=3&amp;refID=7081295&amp;Result=3","7081295")</f>
        <v>0</v>
      </c>
      <c r="B4584" t="s">
        <v>1549</v>
      </c>
      <c r="C4584" t="s">
        <v>7909</v>
      </c>
      <c r="D4584" t="s">
        <v>18113</v>
      </c>
      <c r="E4584" t="s">
        <v>22286</v>
      </c>
      <c r="F4584" t="s">
        <v>31362</v>
      </c>
      <c r="G4584" t="s">
        <v>31368</v>
      </c>
      <c r="H4584" t="s">
        <v>15799</v>
      </c>
      <c r="I4584" t="s">
        <v>31431</v>
      </c>
      <c r="J4584" t="s">
        <v>31806</v>
      </c>
      <c r="K4584" t="s">
        <v>40670</v>
      </c>
      <c r="L4584" t="s">
        <v>1549</v>
      </c>
      <c r="M4584" t="s">
        <v>42597</v>
      </c>
      <c r="N4584" t="s">
        <v>44905</v>
      </c>
      <c r="O4584" t="s">
        <v>44906</v>
      </c>
      <c r="P4584">
        <v>0</v>
      </c>
      <c r="Q4584">
        <v>0</v>
      </c>
      <c r="R4584" t="s">
        <v>44908</v>
      </c>
      <c r="S4584" t="s">
        <v>45042</v>
      </c>
      <c r="T4584" t="s">
        <v>46498</v>
      </c>
      <c r="U4584" t="s">
        <v>50665</v>
      </c>
      <c r="W4584" t="s">
        <v>42597</v>
      </c>
      <c r="X4584" t="s">
        <v>44909</v>
      </c>
    </row>
    <row r="4585" spans="1:24">
      <c r="A4585">
        <f>HYPERLINK("https://www.philgeps.gov.ph/GEPSNONPILOT/Tender/SplashBidNoticeAbstractUI.aspx?menuIndex=3&amp;refID=7081294&amp;Result=3","7081294")</f>
        <v>0</v>
      </c>
      <c r="B4585" t="s">
        <v>333</v>
      </c>
      <c r="C4585" t="s">
        <v>7910</v>
      </c>
      <c r="D4585" t="s">
        <v>18108</v>
      </c>
      <c r="E4585" t="s">
        <v>22287</v>
      </c>
      <c r="F4585" t="s">
        <v>31362</v>
      </c>
      <c r="G4585" t="s">
        <v>31371</v>
      </c>
      <c r="H4585" t="s">
        <v>15799</v>
      </c>
      <c r="I4585" t="s">
        <v>31395</v>
      </c>
      <c r="J4585" t="s">
        <v>34493</v>
      </c>
      <c r="K4585" t="s">
        <v>40661</v>
      </c>
      <c r="M4585" t="s">
        <v>41279</v>
      </c>
      <c r="N4585" t="s">
        <v>44905</v>
      </c>
      <c r="O4585" t="s">
        <v>44906</v>
      </c>
      <c r="P4585">
        <v>0</v>
      </c>
      <c r="Q4585">
        <v>1</v>
      </c>
      <c r="R4585" t="s">
        <v>44908</v>
      </c>
      <c r="S4585" t="s">
        <v>45042</v>
      </c>
      <c r="T4585" t="s">
        <v>46411</v>
      </c>
      <c r="U4585" t="s">
        <v>50666</v>
      </c>
      <c r="W4585" t="s">
        <v>60847</v>
      </c>
      <c r="X4585" t="s">
        <v>44909</v>
      </c>
    </row>
    <row r="4586" spans="1:24">
      <c r="A4586">
        <f>HYPERLINK("https://www.philgeps.gov.ph/GEPSNONPILOT/Tender/SplashBidNoticeAbstractUI.aspx?menuIndex=3&amp;refID=7081293&amp;Result=3","7081293")</f>
        <v>0</v>
      </c>
      <c r="B4586" t="s">
        <v>1550</v>
      </c>
      <c r="C4586" t="s">
        <v>7911</v>
      </c>
      <c r="D4586" t="s">
        <v>18134</v>
      </c>
      <c r="E4586" t="s">
        <v>22288</v>
      </c>
      <c r="F4586" t="s">
        <v>31362</v>
      </c>
      <c r="G4586" t="s">
        <v>31368</v>
      </c>
      <c r="H4586" t="s">
        <v>15799</v>
      </c>
      <c r="I4586" t="s">
        <v>4283</v>
      </c>
      <c r="J4586" t="s">
        <v>31564</v>
      </c>
      <c r="K4586" t="s">
        <v>40693</v>
      </c>
      <c r="M4586" t="s">
        <v>42598</v>
      </c>
      <c r="N4586" t="s">
        <v>44905</v>
      </c>
      <c r="O4586" t="s">
        <v>44906</v>
      </c>
      <c r="P4586">
        <v>0</v>
      </c>
      <c r="Q4586">
        <v>0</v>
      </c>
      <c r="R4586" t="s">
        <v>44908</v>
      </c>
      <c r="S4586" t="s">
        <v>45042</v>
      </c>
      <c r="T4586" t="s">
        <v>46400</v>
      </c>
      <c r="U4586" t="s">
        <v>50667</v>
      </c>
      <c r="W4586" t="s">
        <v>42598</v>
      </c>
      <c r="X4586" t="s">
        <v>44909</v>
      </c>
    </row>
    <row r="4587" spans="1:24">
      <c r="A4587">
        <f>HYPERLINK("https://www.philgeps.gov.ph/GEPSNONPILOT/Tender/SplashBidNoticeAbstractUI.aspx?menuIndex=3&amp;refID=7081292&amp;Result=3","7081292")</f>
        <v>0</v>
      </c>
      <c r="B4587" t="s">
        <v>1551</v>
      </c>
      <c r="C4587" t="s">
        <v>7912</v>
      </c>
      <c r="D4587" t="s">
        <v>18127</v>
      </c>
      <c r="E4587" t="s">
        <v>22289</v>
      </c>
      <c r="F4587" t="s">
        <v>31362</v>
      </c>
      <c r="G4587" t="s">
        <v>31369</v>
      </c>
      <c r="H4587" t="s">
        <v>15799</v>
      </c>
      <c r="I4587" t="s">
        <v>7188</v>
      </c>
      <c r="J4587" t="s">
        <v>34494</v>
      </c>
      <c r="K4587" t="s">
        <v>40682</v>
      </c>
      <c r="M4587" t="s">
        <v>42599</v>
      </c>
      <c r="N4587" t="s">
        <v>44905</v>
      </c>
      <c r="O4587" t="s">
        <v>44906</v>
      </c>
      <c r="P4587">
        <v>0</v>
      </c>
      <c r="Q4587">
        <v>3</v>
      </c>
      <c r="R4587" t="s">
        <v>44908</v>
      </c>
      <c r="S4587" t="s">
        <v>45042</v>
      </c>
      <c r="T4587" t="s">
        <v>46685</v>
      </c>
      <c r="U4587" t="s">
        <v>50668</v>
      </c>
      <c r="W4587" t="s">
        <v>42599</v>
      </c>
      <c r="X4587" t="s">
        <v>44909</v>
      </c>
    </row>
    <row r="4588" spans="1:24">
      <c r="A4588">
        <f>HYPERLINK("https://www.philgeps.gov.ph/GEPSNONPILOT/Tender/SplashBidNoticeAbstractUI.aspx?menuIndex=3&amp;refID=7081290&amp;Result=3","7081290")</f>
        <v>0</v>
      </c>
      <c r="B4588" t="s">
        <v>1066</v>
      </c>
      <c r="C4588" t="s">
        <v>7913</v>
      </c>
      <c r="D4588" t="s">
        <v>18125</v>
      </c>
      <c r="E4588" t="s">
        <v>22290</v>
      </c>
      <c r="F4588" t="s">
        <v>31362</v>
      </c>
      <c r="G4588" t="s">
        <v>31368</v>
      </c>
      <c r="H4588" t="s">
        <v>15799</v>
      </c>
      <c r="I4588" t="s">
        <v>4942</v>
      </c>
      <c r="J4588" t="s">
        <v>34495</v>
      </c>
      <c r="K4588" t="s">
        <v>40670</v>
      </c>
      <c r="M4588" t="s">
        <v>42068</v>
      </c>
      <c r="N4588" t="s">
        <v>44905</v>
      </c>
      <c r="O4588" t="s">
        <v>44906</v>
      </c>
      <c r="P4588">
        <v>0</v>
      </c>
      <c r="Q4588">
        <v>0</v>
      </c>
      <c r="R4588" t="s">
        <v>44908</v>
      </c>
      <c r="S4588" t="s">
        <v>45042</v>
      </c>
      <c r="T4588" t="s">
        <v>46432</v>
      </c>
      <c r="U4588" t="s">
        <v>50669</v>
      </c>
      <c r="W4588" t="s">
        <v>42068</v>
      </c>
      <c r="X4588" t="s">
        <v>44909</v>
      </c>
    </row>
    <row r="4589" spans="1:24">
      <c r="A4589">
        <f>HYPERLINK("https://www.philgeps.gov.ph/GEPSNONPILOT/Tender/SplashBidNoticeAbstractUI.aspx?menuIndex=3&amp;refID=7081285&amp;Result=3","7081285")</f>
        <v>0</v>
      </c>
      <c r="B4589" t="s">
        <v>307</v>
      </c>
      <c r="C4589" t="s">
        <v>7914</v>
      </c>
      <c r="D4589" t="s">
        <v>18114</v>
      </c>
      <c r="E4589" t="s">
        <v>22291</v>
      </c>
      <c r="F4589" t="s">
        <v>31362</v>
      </c>
      <c r="G4589" t="s">
        <v>31369</v>
      </c>
      <c r="H4589" t="s">
        <v>15799</v>
      </c>
      <c r="I4589" t="s">
        <v>6240</v>
      </c>
      <c r="J4589" t="s">
        <v>34496</v>
      </c>
      <c r="K4589" t="s">
        <v>40665</v>
      </c>
      <c r="M4589" t="s">
        <v>41251</v>
      </c>
      <c r="N4589" t="s">
        <v>44905</v>
      </c>
      <c r="O4589" t="s">
        <v>44906</v>
      </c>
      <c r="P4589">
        <v>0</v>
      </c>
      <c r="Q4589">
        <v>1</v>
      </c>
      <c r="R4589" t="s">
        <v>44908</v>
      </c>
      <c r="S4589" t="s">
        <v>45042</v>
      </c>
      <c r="T4589" t="s">
        <v>46452</v>
      </c>
      <c r="U4589" t="s">
        <v>50670</v>
      </c>
      <c r="W4589" t="s">
        <v>41251</v>
      </c>
      <c r="X4589" t="s">
        <v>44909</v>
      </c>
    </row>
    <row r="4590" spans="1:24">
      <c r="A4590">
        <f>HYPERLINK("https://www.philgeps.gov.ph/GEPSNONPILOT/Tender/SplashBidNoticeAbstractUI.aspx?menuIndex=3&amp;refID=7081301&amp;Result=3","7081301")</f>
        <v>0</v>
      </c>
      <c r="B4590" t="s">
        <v>1507</v>
      </c>
      <c r="C4590" t="s">
        <v>7915</v>
      </c>
      <c r="D4590" t="s">
        <v>18113</v>
      </c>
      <c r="E4590" t="s">
        <v>22292</v>
      </c>
      <c r="F4590" t="s">
        <v>31362</v>
      </c>
      <c r="G4590" t="s">
        <v>31372</v>
      </c>
      <c r="H4590" t="s">
        <v>15799</v>
      </c>
      <c r="I4590" t="s">
        <v>31409</v>
      </c>
      <c r="J4590" t="s">
        <v>34497</v>
      </c>
      <c r="K4590" t="s">
        <v>40675</v>
      </c>
      <c r="M4590" t="s">
        <v>42547</v>
      </c>
      <c r="N4590" t="s">
        <v>44905</v>
      </c>
      <c r="O4590" t="s">
        <v>44906</v>
      </c>
      <c r="P4590">
        <v>0</v>
      </c>
      <c r="Q4590">
        <v>6</v>
      </c>
      <c r="R4590" t="s">
        <v>44908</v>
      </c>
      <c r="S4590" t="s">
        <v>45042</v>
      </c>
      <c r="T4590" t="s">
        <v>46648</v>
      </c>
      <c r="U4590" t="s">
        <v>50671</v>
      </c>
      <c r="V4590" t="s">
        <v>59473</v>
      </c>
      <c r="W4590" t="s">
        <v>42547</v>
      </c>
      <c r="X4590" t="s">
        <v>44909</v>
      </c>
    </row>
    <row r="4591" spans="1:24">
      <c r="A4591">
        <f>HYPERLINK("https://www.philgeps.gov.ph/GEPSNONPILOT/Tender/SplashBidNoticeAbstractUI.aspx?menuIndex=3&amp;refID=7081305&amp;Result=3","7081305")</f>
        <v>0</v>
      </c>
      <c r="B4591" t="s">
        <v>1549</v>
      </c>
      <c r="C4591" t="s">
        <v>7916</v>
      </c>
      <c r="D4591" t="s">
        <v>18113</v>
      </c>
      <c r="E4591" t="s">
        <v>22293</v>
      </c>
      <c r="F4591" t="s">
        <v>31362</v>
      </c>
      <c r="G4591" t="s">
        <v>31368</v>
      </c>
      <c r="H4591" t="s">
        <v>15799</v>
      </c>
      <c r="I4591" t="s">
        <v>31403</v>
      </c>
      <c r="J4591" t="s">
        <v>34498</v>
      </c>
      <c r="K4591" t="s">
        <v>40670</v>
      </c>
      <c r="L4591" t="s">
        <v>1549</v>
      </c>
      <c r="M4591" t="s">
        <v>42597</v>
      </c>
      <c r="N4591" t="s">
        <v>44905</v>
      </c>
      <c r="O4591" t="s">
        <v>44906</v>
      </c>
      <c r="P4591">
        <v>0</v>
      </c>
      <c r="Q4591">
        <v>0</v>
      </c>
      <c r="R4591" t="s">
        <v>44908</v>
      </c>
      <c r="S4591" t="s">
        <v>45042</v>
      </c>
      <c r="T4591" t="s">
        <v>46498</v>
      </c>
      <c r="U4591" t="s">
        <v>50665</v>
      </c>
      <c r="W4591" t="s">
        <v>42597</v>
      </c>
      <c r="X4591" t="s">
        <v>44909</v>
      </c>
    </row>
    <row r="4592" spans="1:24">
      <c r="A4592">
        <f>HYPERLINK("https://www.philgeps.gov.ph/GEPSNONPILOT/Tender/SplashBidNoticeAbstractUI.aspx?menuIndex=3&amp;refID=7081303&amp;Result=3","7081303")</f>
        <v>0</v>
      </c>
      <c r="B4592" t="s">
        <v>1545</v>
      </c>
      <c r="C4592" t="s">
        <v>7917</v>
      </c>
      <c r="D4592" t="s">
        <v>18106</v>
      </c>
      <c r="E4592" t="s">
        <v>22294</v>
      </c>
      <c r="F4592" t="s">
        <v>31362</v>
      </c>
      <c r="G4592" t="s">
        <v>31372</v>
      </c>
      <c r="H4592" t="s">
        <v>31378</v>
      </c>
      <c r="I4592" t="s">
        <v>31386</v>
      </c>
      <c r="J4592" t="s">
        <v>31625</v>
      </c>
      <c r="K4592" t="s">
        <v>40665</v>
      </c>
      <c r="M4592" t="s">
        <v>42592</v>
      </c>
      <c r="N4592" t="s">
        <v>44905</v>
      </c>
      <c r="O4592" t="s">
        <v>44906</v>
      </c>
      <c r="P4592">
        <v>0</v>
      </c>
      <c r="Q4592">
        <v>0</v>
      </c>
      <c r="R4592" t="s">
        <v>44908</v>
      </c>
      <c r="S4592" t="s">
        <v>45042</v>
      </c>
      <c r="T4592" t="s">
        <v>46506</v>
      </c>
      <c r="U4592" t="s">
        <v>50672</v>
      </c>
      <c r="W4592" t="s">
        <v>42592</v>
      </c>
      <c r="X4592" t="s">
        <v>44909</v>
      </c>
    </row>
    <row r="4593" spans="1:24">
      <c r="A4593">
        <f>HYPERLINK("https://www.philgeps.gov.ph/GEPSNONPILOT/Tender/SplashBidNoticeAbstractUI.aspx?menuIndex=3&amp;refID=7081215&amp;Result=3","7081215")</f>
        <v>0</v>
      </c>
      <c r="B4593" t="s">
        <v>1337</v>
      </c>
      <c r="C4593" t="s">
        <v>7918</v>
      </c>
      <c r="D4593" t="s">
        <v>18155</v>
      </c>
      <c r="E4593" t="s">
        <v>22295</v>
      </c>
      <c r="F4593" t="s">
        <v>31362</v>
      </c>
      <c r="G4593" t="s">
        <v>31369</v>
      </c>
      <c r="H4593" t="s">
        <v>31378</v>
      </c>
      <c r="I4593" t="s">
        <v>31386</v>
      </c>
      <c r="J4593" t="s">
        <v>34499</v>
      </c>
      <c r="K4593" t="s">
        <v>40709</v>
      </c>
      <c r="M4593" t="s">
        <v>42356</v>
      </c>
      <c r="N4593" t="s">
        <v>44905</v>
      </c>
      <c r="O4593" t="s">
        <v>44906</v>
      </c>
      <c r="P4593">
        <v>0</v>
      </c>
      <c r="Q4593">
        <v>0</v>
      </c>
      <c r="R4593" t="s">
        <v>44908</v>
      </c>
      <c r="S4593" t="s">
        <v>45042</v>
      </c>
      <c r="T4593" t="s">
        <v>46683</v>
      </c>
      <c r="U4593" t="s">
        <v>50673</v>
      </c>
      <c r="W4593" t="s">
        <v>42356</v>
      </c>
      <c r="X4593" t="s">
        <v>44909</v>
      </c>
    </row>
    <row r="4594" spans="1:24">
      <c r="A4594">
        <f>HYPERLINK("https://www.philgeps.gov.ph/GEPSNONPILOT/Tender/SplashBidNoticeAbstractUI.aspx?menuIndex=3&amp;refID=7081284&amp;Result=3","7081284")</f>
        <v>0</v>
      </c>
      <c r="B4594" t="s">
        <v>1552</v>
      </c>
      <c r="C4594" t="s">
        <v>7919</v>
      </c>
      <c r="D4594" t="s">
        <v>18109</v>
      </c>
      <c r="E4594" t="s">
        <v>18203</v>
      </c>
      <c r="F4594" t="s">
        <v>31362</v>
      </c>
      <c r="G4594" t="s">
        <v>31370</v>
      </c>
      <c r="H4594" t="s">
        <v>15799</v>
      </c>
      <c r="I4594" t="s">
        <v>31385</v>
      </c>
      <c r="J4594" t="s">
        <v>34500</v>
      </c>
      <c r="K4594" t="s">
        <v>40672</v>
      </c>
      <c r="M4594" t="s">
        <v>42600</v>
      </c>
      <c r="N4594" t="s">
        <v>44905</v>
      </c>
      <c r="O4594" t="s">
        <v>44906</v>
      </c>
      <c r="P4594">
        <v>0</v>
      </c>
      <c r="Q4594">
        <v>1</v>
      </c>
      <c r="R4594" t="s">
        <v>44908</v>
      </c>
      <c r="S4594" t="s">
        <v>45042</v>
      </c>
      <c r="T4594" t="s">
        <v>46600</v>
      </c>
      <c r="U4594" t="s">
        <v>50674</v>
      </c>
      <c r="W4594" t="s">
        <v>42600</v>
      </c>
      <c r="X4594" t="s">
        <v>44909</v>
      </c>
    </row>
    <row r="4595" spans="1:24">
      <c r="A4595">
        <f>HYPERLINK("https://www.philgeps.gov.ph/GEPSNONPILOT/Tender/SplashBidNoticeAbstractUI.aspx?menuIndex=3&amp;refID=7081291&amp;Result=3","7081291")</f>
        <v>0</v>
      </c>
      <c r="B4595" t="s">
        <v>670</v>
      </c>
      <c r="C4595" t="s">
        <v>7920</v>
      </c>
      <c r="D4595" t="s">
        <v>18152</v>
      </c>
      <c r="E4595" t="s">
        <v>21652</v>
      </c>
      <c r="F4595" t="s">
        <v>31362</v>
      </c>
      <c r="G4595" t="s">
        <v>31368</v>
      </c>
      <c r="H4595" t="s">
        <v>15799</v>
      </c>
      <c r="I4595" t="s">
        <v>6240</v>
      </c>
      <c r="J4595" t="s">
        <v>34501</v>
      </c>
      <c r="K4595" t="s">
        <v>40697</v>
      </c>
      <c r="M4595" t="s">
        <v>41632</v>
      </c>
      <c r="N4595" t="s">
        <v>44905</v>
      </c>
      <c r="O4595" t="s">
        <v>44906</v>
      </c>
      <c r="P4595">
        <v>0</v>
      </c>
      <c r="Q4595">
        <v>0</v>
      </c>
      <c r="R4595" t="s">
        <v>44908</v>
      </c>
      <c r="S4595" t="s">
        <v>45042</v>
      </c>
      <c r="T4595" t="s">
        <v>46409</v>
      </c>
      <c r="U4595" t="s">
        <v>50675</v>
      </c>
      <c r="W4595" t="s">
        <v>41632</v>
      </c>
      <c r="X4595" t="s">
        <v>44909</v>
      </c>
    </row>
    <row r="4596" spans="1:24">
      <c r="A4596">
        <f>HYPERLINK("https://www.philgeps.gov.ph/GEPSNONPILOT/Tender/SplashBidNoticeAbstractUI.aspx?menuIndex=3&amp;refID=7081307&amp;Result=3","7081307")</f>
        <v>0</v>
      </c>
      <c r="B4596" t="s">
        <v>1118</v>
      </c>
      <c r="C4596" t="s">
        <v>7921</v>
      </c>
      <c r="D4596" t="s">
        <v>18106</v>
      </c>
      <c r="E4596" t="s">
        <v>19457</v>
      </c>
      <c r="F4596" t="s">
        <v>31362</v>
      </c>
      <c r="G4596" t="s">
        <v>31368</v>
      </c>
      <c r="H4596" t="s">
        <v>15799</v>
      </c>
      <c r="I4596" t="s">
        <v>31406</v>
      </c>
      <c r="J4596" t="s">
        <v>33707</v>
      </c>
      <c r="K4596" t="s">
        <v>40673</v>
      </c>
      <c r="M4596" t="s">
        <v>42124</v>
      </c>
      <c r="N4596" t="s">
        <v>44905</v>
      </c>
      <c r="O4596" t="s">
        <v>44906</v>
      </c>
      <c r="P4596">
        <v>0</v>
      </c>
      <c r="Q4596">
        <v>1</v>
      </c>
      <c r="R4596" t="s">
        <v>44908</v>
      </c>
      <c r="S4596" t="s">
        <v>45042</v>
      </c>
      <c r="T4596" t="s">
        <v>46447</v>
      </c>
      <c r="U4596" t="s">
        <v>50676</v>
      </c>
      <c r="W4596" t="s">
        <v>42124</v>
      </c>
      <c r="X4596" t="s">
        <v>44909</v>
      </c>
    </row>
    <row r="4597" spans="1:24">
      <c r="A4597">
        <f>HYPERLINK("https://www.philgeps.gov.ph/GEPSNONPILOT/Tender/SplashBidNoticeAbstractUI.aspx?menuIndex=3&amp;refID=7081304&amp;Result=3","7081304")</f>
        <v>0</v>
      </c>
      <c r="B4597" t="s">
        <v>218</v>
      </c>
      <c r="C4597" t="s">
        <v>7922</v>
      </c>
      <c r="E4597" t="s">
        <v>22296</v>
      </c>
      <c r="F4597" t="s">
        <v>31362</v>
      </c>
      <c r="G4597" t="s">
        <v>31370</v>
      </c>
      <c r="H4597" t="s">
        <v>15799</v>
      </c>
      <c r="I4597" t="s">
        <v>31393</v>
      </c>
      <c r="J4597" t="s">
        <v>32505</v>
      </c>
      <c r="K4597" t="s">
        <v>40665</v>
      </c>
      <c r="M4597" t="s">
        <v>42601</v>
      </c>
      <c r="N4597" t="s">
        <v>44905</v>
      </c>
      <c r="O4597" t="s">
        <v>44906</v>
      </c>
      <c r="P4597">
        <v>0</v>
      </c>
      <c r="Q4597">
        <v>5</v>
      </c>
      <c r="R4597" t="s">
        <v>44908</v>
      </c>
      <c r="S4597" t="s">
        <v>45042</v>
      </c>
      <c r="T4597" t="s">
        <v>46410</v>
      </c>
      <c r="U4597" t="s">
        <v>48481</v>
      </c>
      <c r="W4597" t="s">
        <v>42601</v>
      </c>
      <c r="X4597" t="s">
        <v>44909</v>
      </c>
    </row>
    <row r="4598" spans="1:24">
      <c r="A4598">
        <f>HYPERLINK("https://www.philgeps.gov.ph/GEPSNONPILOT/Tender/SplashBidNoticeAbstractUI.aspx?menuIndex=3&amp;refID=7081322&amp;Result=3","7081322")</f>
        <v>0</v>
      </c>
      <c r="B4598" t="s">
        <v>1004</v>
      </c>
      <c r="C4598" t="s">
        <v>7923</v>
      </c>
      <c r="D4598" t="s">
        <v>18101</v>
      </c>
      <c r="E4598" t="s">
        <v>19861</v>
      </c>
      <c r="F4598" t="s">
        <v>31362</v>
      </c>
      <c r="G4598" t="s">
        <v>31370</v>
      </c>
      <c r="H4598" t="s">
        <v>15799</v>
      </c>
      <c r="I4598" t="s">
        <v>3815</v>
      </c>
      <c r="J4598" t="s">
        <v>34502</v>
      </c>
      <c r="K4598" t="s">
        <v>40661</v>
      </c>
      <c r="M4598" t="s">
        <v>42001</v>
      </c>
      <c r="N4598" t="s">
        <v>44905</v>
      </c>
      <c r="O4598" t="s">
        <v>44906</v>
      </c>
      <c r="P4598">
        <v>0</v>
      </c>
      <c r="Q4598">
        <v>0</v>
      </c>
      <c r="R4598" t="s">
        <v>44908</v>
      </c>
      <c r="S4598" t="s">
        <v>45042</v>
      </c>
      <c r="T4598" t="s">
        <v>46427</v>
      </c>
      <c r="U4598" t="s">
        <v>50677</v>
      </c>
      <c r="W4598" t="s">
        <v>42001</v>
      </c>
      <c r="X4598" t="s">
        <v>44909</v>
      </c>
    </row>
    <row r="4599" spans="1:24">
      <c r="A4599">
        <f>HYPERLINK("https://www.philgeps.gov.ph/GEPSNONPILOT/Tender/SplashBidNoticeAbstractUI.aspx?menuIndex=3&amp;refID=7081321&amp;Result=3","7081321")</f>
        <v>0</v>
      </c>
      <c r="B4599" t="s">
        <v>1426</v>
      </c>
      <c r="C4599" t="s">
        <v>7924</v>
      </c>
      <c r="D4599" t="s">
        <v>18131</v>
      </c>
      <c r="E4599" t="s">
        <v>22297</v>
      </c>
      <c r="F4599" t="s">
        <v>31362</v>
      </c>
      <c r="G4599" t="s">
        <v>31368</v>
      </c>
      <c r="H4599" t="s">
        <v>15799</v>
      </c>
      <c r="I4599" t="s">
        <v>31383</v>
      </c>
      <c r="J4599" t="s">
        <v>32754</v>
      </c>
      <c r="K4599" t="s">
        <v>40680</v>
      </c>
      <c r="M4599" t="s">
        <v>42602</v>
      </c>
      <c r="N4599" t="s">
        <v>44905</v>
      </c>
      <c r="O4599" t="s">
        <v>44906</v>
      </c>
      <c r="P4599">
        <v>0</v>
      </c>
      <c r="Q4599">
        <v>1</v>
      </c>
      <c r="R4599" t="s">
        <v>44908</v>
      </c>
      <c r="S4599" t="s">
        <v>45042</v>
      </c>
      <c r="T4599" t="s">
        <v>46434</v>
      </c>
      <c r="U4599" t="s">
        <v>50678</v>
      </c>
      <c r="W4599" t="s">
        <v>42602</v>
      </c>
      <c r="X4599" t="s">
        <v>44909</v>
      </c>
    </row>
    <row r="4600" spans="1:24">
      <c r="A4600">
        <f>HYPERLINK("https://www.philgeps.gov.ph/GEPSNONPILOT/Tender/SplashBidNoticeAbstractUI.aspx?menuIndex=3&amp;refID=7081320&amp;Result=3","7081320")</f>
        <v>0</v>
      </c>
      <c r="B4600" t="s">
        <v>977</v>
      </c>
      <c r="C4600" t="s">
        <v>7925</v>
      </c>
      <c r="D4600" t="s">
        <v>18127</v>
      </c>
      <c r="E4600" t="s">
        <v>22298</v>
      </c>
      <c r="F4600" t="s">
        <v>31362</v>
      </c>
      <c r="G4600" t="s">
        <v>31371</v>
      </c>
      <c r="H4600" t="s">
        <v>15799</v>
      </c>
      <c r="I4600" t="s">
        <v>7188</v>
      </c>
      <c r="J4600" t="s">
        <v>34209</v>
      </c>
      <c r="K4600" t="s">
        <v>40662</v>
      </c>
      <c r="M4600" t="s">
        <v>41968</v>
      </c>
      <c r="N4600" t="s">
        <v>44905</v>
      </c>
      <c r="O4600" t="s">
        <v>44906</v>
      </c>
      <c r="P4600">
        <v>0</v>
      </c>
      <c r="Q4600">
        <v>5</v>
      </c>
      <c r="R4600" t="s">
        <v>44908</v>
      </c>
      <c r="S4600" t="s">
        <v>45042</v>
      </c>
      <c r="T4600" t="s">
        <v>46435</v>
      </c>
      <c r="U4600" t="s">
        <v>50679</v>
      </c>
      <c r="W4600" t="s">
        <v>41968</v>
      </c>
      <c r="X4600" t="s">
        <v>44909</v>
      </c>
    </row>
    <row r="4601" spans="1:24">
      <c r="A4601">
        <f>HYPERLINK("https://www.philgeps.gov.ph/GEPSNONPILOT/Tender/SplashBidNoticeAbstractUI.aspx?menuIndex=3&amp;refID=7081319&amp;Result=3","7081319")</f>
        <v>0</v>
      </c>
      <c r="B4601" t="s">
        <v>1446</v>
      </c>
      <c r="C4601" t="s">
        <v>7926</v>
      </c>
      <c r="D4601" t="s">
        <v>18108</v>
      </c>
      <c r="E4601" t="s">
        <v>22299</v>
      </c>
      <c r="F4601" t="s">
        <v>31362</v>
      </c>
      <c r="G4601" t="s">
        <v>31368</v>
      </c>
      <c r="H4601" t="s">
        <v>15799</v>
      </c>
      <c r="I4601" t="s">
        <v>31393</v>
      </c>
      <c r="J4601" t="s">
        <v>31578</v>
      </c>
      <c r="K4601" t="s">
        <v>40662</v>
      </c>
      <c r="M4601" t="s">
        <v>42475</v>
      </c>
      <c r="N4601" t="s">
        <v>44905</v>
      </c>
      <c r="O4601" t="s">
        <v>44906</v>
      </c>
      <c r="P4601">
        <v>0</v>
      </c>
      <c r="Q4601">
        <v>11</v>
      </c>
      <c r="R4601" t="s">
        <v>44908</v>
      </c>
      <c r="S4601" t="s">
        <v>45042</v>
      </c>
      <c r="T4601" t="s">
        <v>46498</v>
      </c>
      <c r="U4601" t="s">
        <v>50680</v>
      </c>
      <c r="W4601" t="s">
        <v>42475</v>
      </c>
      <c r="X4601" t="s">
        <v>44909</v>
      </c>
    </row>
    <row r="4602" spans="1:24">
      <c r="A4602">
        <f>HYPERLINK("https://www.philgeps.gov.ph/GEPSNONPILOT/Tender/SplashBidNoticeAbstractUI.aspx?menuIndex=3&amp;refID=7081286&amp;Result=3","7081286")</f>
        <v>0</v>
      </c>
      <c r="B4602" t="s">
        <v>1270</v>
      </c>
      <c r="C4602" t="s">
        <v>7927</v>
      </c>
      <c r="D4602" t="s">
        <v>18151</v>
      </c>
      <c r="E4602" t="s">
        <v>22300</v>
      </c>
      <c r="F4602" t="s">
        <v>31362</v>
      </c>
      <c r="G4602" t="s">
        <v>31368</v>
      </c>
      <c r="H4602" t="s">
        <v>15799</v>
      </c>
      <c r="I4602" t="s">
        <v>4057</v>
      </c>
      <c r="J4602" t="s">
        <v>34503</v>
      </c>
      <c r="K4602" t="s">
        <v>40698</v>
      </c>
      <c r="M4602" t="s">
        <v>42287</v>
      </c>
      <c r="N4602" t="s">
        <v>44905</v>
      </c>
      <c r="O4602" t="s">
        <v>44906</v>
      </c>
      <c r="P4602">
        <v>0</v>
      </c>
      <c r="Q4602">
        <v>0</v>
      </c>
      <c r="R4602" t="s">
        <v>44908</v>
      </c>
      <c r="S4602" t="s">
        <v>45042</v>
      </c>
      <c r="T4602" t="s">
        <v>46404</v>
      </c>
      <c r="U4602" t="s">
        <v>49706</v>
      </c>
      <c r="W4602" t="s">
        <v>42287</v>
      </c>
      <c r="X4602" t="s">
        <v>44909</v>
      </c>
    </row>
    <row r="4603" spans="1:24">
      <c r="A4603">
        <f>HYPERLINK("https://www.philgeps.gov.ph/GEPSNONPILOT/Tender/SplashBidNoticeAbstractUI.aspx?menuIndex=3&amp;refID=7081318&amp;Result=3","7081318")</f>
        <v>0</v>
      </c>
      <c r="B4603" t="s">
        <v>1270</v>
      </c>
      <c r="C4603" t="s">
        <v>7928</v>
      </c>
      <c r="D4603" t="s">
        <v>18151</v>
      </c>
      <c r="E4603" t="s">
        <v>22301</v>
      </c>
      <c r="F4603" t="s">
        <v>31362</v>
      </c>
      <c r="G4603" t="s">
        <v>31368</v>
      </c>
      <c r="H4603" t="s">
        <v>15799</v>
      </c>
      <c r="I4603" t="s">
        <v>4057</v>
      </c>
      <c r="J4603" t="s">
        <v>34504</v>
      </c>
      <c r="K4603" t="s">
        <v>40698</v>
      </c>
      <c r="M4603" t="s">
        <v>42287</v>
      </c>
      <c r="N4603" t="s">
        <v>44905</v>
      </c>
      <c r="O4603" t="s">
        <v>44906</v>
      </c>
      <c r="P4603">
        <v>0</v>
      </c>
      <c r="Q4603">
        <v>0</v>
      </c>
      <c r="R4603" t="s">
        <v>44908</v>
      </c>
      <c r="S4603" t="s">
        <v>45042</v>
      </c>
      <c r="T4603" t="s">
        <v>46404</v>
      </c>
      <c r="U4603" t="s">
        <v>49706</v>
      </c>
      <c r="W4603" t="s">
        <v>42287</v>
      </c>
      <c r="X4603" t="s">
        <v>44909</v>
      </c>
    </row>
    <row r="4604" spans="1:24">
      <c r="A4604">
        <f>HYPERLINK("https://www.philgeps.gov.ph/GEPSNONPILOT/Tender/SplashBidNoticeAbstractUI.aspx?menuIndex=3&amp;refID=7081306&amp;Result=3","7081306")</f>
        <v>0</v>
      </c>
      <c r="B4604" t="s">
        <v>1389</v>
      </c>
      <c r="C4604" t="s">
        <v>7929</v>
      </c>
      <c r="D4604" t="s">
        <v>18127</v>
      </c>
      <c r="E4604" t="s">
        <v>22302</v>
      </c>
      <c r="F4604" t="s">
        <v>31362</v>
      </c>
      <c r="G4604" t="s">
        <v>31368</v>
      </c>
      <c r="H4604" t="s">
        <v>15799</v>
      </c>
      <c r="I4604" t="s">
        <v>3815</v>
      </c>
      <c r="J4604" t="s">
        <v>34505</v>
      </c>
      <c r="K4604" t="s">
        <v>40662</v>
      </c>
      <c r="M4604" t="s">
        <v>42414</v>
      </c>
      <c r="N4604" t="s">
        <v>44905</v>
      </c>
      <c r="O4604" t="s">
        <v>44906</v>
      </c>
      <c r="P4604">
        <v>0</v>
      </c>
      <c r="Q4604">
        <v>0</v>
      </c>
      <c r="R4604" t="s">
        <v>44908</v>
      </c>
      <c r="S4604" t="s">
        <v>45042</v>
      </c>
      <c r="T4604" t="s">
        <v>46393</v>
      </c>
      <c r="U4604" t="s">
        <v>50681</v>
      </c>
      <c r="W4604" t="s">
        <v>42414</v>
      </c>
      <c r="X4604" t="s">
        <v>44909</v>
      </c>
    </row>
    <row r="4605" spans="1:24">
      <c r="A4605">
        <f>HYPERLINK("https://www.philgeps.gov.ph/GEPSNONPILOT/Tender/SplashBidNoticeAbstractUI.aspx?menuIndex=3&amp;refID=7081329&amp;Result=3","7081329")</f>
        <v>0</v>
      </c>
      <c r="B4605" t="s">
        <v>1553</v>
      </c>
      <c r="C4605" t="s">
        <v>7930</v>
      </c>
      <c r="D4605" t="s">
        <v>18101</v>
      </c>
      <c r="E4605" t="s">
        <v>22303</v>
      </c>
      <c r="F4605" t="s">
        <v>31362</v>
      </c>
      <c r="G4605" t="s">
        <v>31369</v>
      </c>
      <c r="H4605" t="s">
        <v>31378</v>
      </c>
      <c r="I4605" t="s">
        <v>31386</v>
      </c>
      <c r="J4605" t="s">
        <v>34506</v>
      </c>
      <c r="K4605" t="s">
        <v>40662</v>
      </c>
      <c r="M4605" t="s">
        <v>42603</v>
      </c>
      <c r="N4605" t="s">
        <v>44905</v>
      </c>
      <c r="O4605" t="s">
        <v>44906</v>
      </c>
      <c r="P4605">
        <v>0</v>
      </c>
      <c r="Q4605">
        <v>0</v>
      </c>
      <c r="R4605" t="s">
        <v>44908</v>
      </c>
      <c r="S4605" t="s">
        <v>45042</v>
      </c>
      <c r="T4605" t="s">
        <v>46511</v>
      </c>
      <c r="U4605" t="s">
        <v>50682</v>
      </c>
      <c r="W4605" t="s">
        <v>42603</v>
      </c>
      <c r="X4605" t="s">
        <v>44909</v>
      </c>
    </row>
    <row r="4606" spans="1:24">
      <c r="A4606">
        <f>HYPERLINK("https://www.philgeps.gov.ph/GEPSNONPILOT/Tender/SplashBidNoticeAbstractUI.aspx?menuIndex=3&amp;refID=7081328&amp;Result=3","7081328")</f>
        <v>0</v>
      </c>
      <c r="B4606" t="s">
        <v>951</v>
      </c>
      <c r="C4606" t="s">
        <v>7931</v>
      </c>
      <c r="D4606" t="s">
        <v>18149</v>
      </c>
      <c r="E4606" t="s">
        <v>22304</v>
      </c>
      <c r="F4606" t="s">
        <v>31362</v>
      </c>
      <c r="G4606" t="s">
        <v>31368</v>
      </c>
      <c r="H4606" t="s">
        <v>15799</v>
      </c>
      <c r="I4606" t="s">
        <v>31410</v>
      </c>
      <c r="J4606" t="s">
        <v>34507</v>
      </c>
      <c r="K4606" t="s">
        <v>40680</v>
      </c>
      <c r="M4606" t="s">
        <v>41939</v>
      </c>
      <c r="N4606" t="s">
        <v>44905</v>
      </c>
      <c r="O4606" t="s">
        <v>44906</v>
      </c>
      <c r="P4606">
        <v>0</v>
      </c>
      <c r="Q4606">
        <v>0</v>
      </c>
      <c r="R4606" t="s">
        <v>44908</v>
      </c>
      <c r="S4606" t="s">
        <v>45042</v>
      </c>
      <c r="T4606" t="s">
        <v>46409</v>
      </c>
      <c r="U4606" t="s">
        <v>50683</v>
      </c>
      <c r="W4606" t="s">
        <v>41939</v>
      </c>
      <c r="X4606" t="s">
        <v>44909</v>
      </c>
    </row>
    <row r="4607" spans="1:24">
      <c r="A4607">
        <f>HYPERLINK("https://www.philgeps.gov.ph/GEPSNONPILOT/Tender/SplashBidNoticeAbstractUI.aspx?menuIndex=3&amp;refID=7081302&amp;Result=3","7081302")</f>
        <v>0</v>
      </c>
      <c r="B4607" t="s">
        <v>1270</v>
      </c>
      <c r="C4607" t="s">
        <v>7932</v>
      </c>
      <c r="D4607" t="s">
        <v>18151</v>
      </c>
      <c r="E4607" t="s">
        <v>22305</v>
      </c>
      <c r="F4607" t="s">
        <v>31362</v>
      </c>
      <c r="G4607" t="s">
        <v>31368</v>
      </c>
      <c r="H4607" t="s">
        <v>15799</v>
      </c>
      <c r="I4607" t="s">
        <v>4057</v>
      </c>
      <c r="J4607" t="s">
        <v>34483</v>
      </c>
      <c r="K4607" t="s">
        <v>40698</v>
      </c>
      <c r="M4607" t="s">
        <v>42287</v>
      </c>
      <c r="N4607" t="s">
        <v>44905</v>
      </c>
      <c r="O4607" t="s">
        <v>44906</v>
      </c>
      <c r="P4607">
        <v>0</v>
      </c>
      <c r="Q4607">
        <v>0</v>
      </c>
      <c r="R4607" t="s">
        <v>44908</v>
      </c>
      <c r="S4607" t="s">
        <v>45042</v>
      </c>
      <c r="T4607" t="s">
        <v>46404</v>
      </c>
      <c r="U4607" t="s">
        <v>49706</v>
      </c>
      <c r="W4607" t="s">
        <v>42287</v>
      </c>
      <c r="X4607" t="s">
        <v>44909</v>
      </c>
    </row>
    <row r="4608" spans="1:24">
      <c r="A4608">
        <f>HYPERLINK("https://www.philgeps.gov.ph/GEPSNONPILOT/Tender/SplashBidNoticeAbstractUI.aspx?menuIndex=3&amp;refID=7081326&amp;Result=3","7081326")</f>
        <v>0</v>
      </c>
      <c r="B4608" t="s">
        <v>1514</v>
      </c>
      <c r="C4608" t="s">
        <v>7933</v>
      </c>
      <c r="D4608" t="s">
        <v>18138</v>
      </c>
      <c r="E4608" t="s">
        <v>22306</v>
      </c>
      <c r="F4608" t="s">
        <v>31362</v>
      </c>
      <c r="G4608" t="s">
        <v>31368</v>
      </c>
      <c r="H4608" t="s">
        <v>15799</v>
      </c>
      <c r="I4608" t="s">
        <v>31488</v>
      </c>
      <c r="J4608" t="s">
        <v>31849</v>
      </c>
      <c r="K4608" t="s">
        <v>40697</v>
      </c>
      <c r="M4608" t="s">
        <v>42557</v>
      </c>
      <c r="N4608" t="s">
        <v>44905</v>
      </c>
      <c r="O4608" t="s">
        <v>44906</v>
      </c>
      <c r="P4608">
        <v>0</v>
      </c>
      <c r="Q4608">
        <v>4</v>
      </c>
      <c r="R4608" t="s">
        <v>44908</v>
      </c>
      <c r="S4608" t="s">
        <v>45042</v>
      </c>
      <c r="T4608" t="s">
        <v>46409</v>
      </c>
      <c r="U4608" t="s">
        <v>50684</v>
      </c>
      <c r="W4608" t="s">
        <v>42557</v>
      </c>
      <c r="X4608" t="s">
        <v>44909</v>
      </c>
    </row>
    <row r="4609" spans="1:24">
      <c r="A4609">
        <f>HYPERLINK("https://www.philgeps.gov.ph/GEPSNONPILOT/Tender/SplashBidNoticeAbstractUI.aspx?menuIndex=3&amp;refID=7081325&amp;Result=3","7081325")</f>
        <v>0</v>
      </c>
      <c r="B4609" t="s">
        <v>833</v>
      </c>
      <c r="C4609" t="s">
        <v>7934</v>
      </c>
      <c r="D4609" t="s">
        <v>18171</v>
      </c>
      <c r="E4609" t="s">
        <v>22307</v>
      </c>
      <c r="F4609" t="s">
        <v>31362</v>
      </c>
      <c r="G4609" t="s">
        <v>31369</v>
      </c>
      <c r="H4609" t="s">
        <v>31378</v>
      </c>
      <c r="I4609" t="s">
        <v>31386</v>
      </c>
      <c r="J4609" t="s">
        <v>32964</v>
      </c>
      <c r="K4609" t="s">
        <v>40746</v>
      </c>
      <c r="M4609" t="s">
        <v>41807</v>
      </c>
      <c r="N4609" t="s">
        <v>44905</v>
      </c>
      <c r="O4609" t="s">
        <v>44906</v>
      </c>
      <c r="P4609">
        <v>0</v>
      </c>
      <c r="Q4609">
        <v>0</v>
      </c>
      <c r="R4609" t="s">
        <v>44908</v>
      </c>
      <c r="S4609" t="s">
        <v>45042</v>
      </c>
      <c r="T4609" t="s">
        <v>46449</v>
      </c>
      <c r="U4609" t="s">
        <v>50685</v>
      </c>
      <c r="V4609" t="s">
        <v>59488</v>
      </c>
      <c r="W4609" t="s">
        <v>41807</v>
      </c>
      <c r="X4609" t="s">
        <v>44909</v>
      </c>
    </row>
    <row r="4610" spans="1:24">
      <c r="A4610">
        <f>HYPERLINK("https://www.philgeps.gov.ph/GEPSNONPILOT/Tender/SplashBidNoticeAbstractUI.aspx?menuIndex=3&amp;refID=7081317&amp;Result=3","7081317")</f>
        <v>0</v>
      </c>
      <c r="B4610" t="s">
        <v>1546</v>
      </c>
      <c r="C4610" t="s">
        <v>7935</v>
      </c>
      <c r="D4610" t="s">
        <v>18106</v>
      </c>
      <c r="E4610" t="s">
        <v>22308</v>
      </c>
      <c r="F4610" t="s">
        <v>31362</v>
      </c>
      <c r="G4610" t="s">
        <v>31368</v>
      </c>
      <c r="H4610" t="s">
        <v>15799</v>
      </c>
      <c r="I4610" t="s">
        <v>7090</v>
      </c>
      <c r="J4610" t="s">
        <v>34508</v>
      </c>
      <c r="K4610" t="s">
        <v>40661</v>
      </c>
      <c r="M4610" t="s">
        <v>42593</v>
      </c>
      <c r="N4610" t="s">
        <v>44905</v>
      </c>
      <c r="O4610" t="s">
        <v>44906</v>
      </c>
      <c r="P4610">
        <v>0</v>
      </c>
      <c r="Q4610">
        <v>1</v>
      </c>
      <c r="R4610" t="s">
        <v>44908</v>
      </c>
      <c r="S4610" t="s">
        <v>45042</v>
      </c>
      <c r="T4610" t="s">
        <v>46435</v>
      </c>
      <c r="U4610" t="s">
        <v>50686</v>
      </c>
      <c r="W4610" t="s">
        <v>42593</v>
      </c>
      <c r="X4610" t="s">
        <v>44909</v>
      </c>
    </row>
    <row r="4611" spans="1:24">
      <c r="A4611">
        <f>HYPERLINK("https://www.philgeps.gov.ph/GEPSNONPILOT/Tender/SplashBidNoticeAbstractUI.aspx?menuIndex=3&amp;refID=7081323&amp;Result=3","7081323")</f>
        <v>0</v>
      </c>
      <c r="B4611" t="s">
        <v>1549</v>
      </c>
      <c r="C4611" t="s">
        <v>7936</v>
      </c>
      <c r="D4611" t="s">
        <v>18113</v>
      </c>
      <c r="E4611" t="s">
        <v>22309</v>
      </c>
      <c r="F4611" t="s">
        <v>31362</v>
      </c>
      <c r="G4611" t="s">
        <v>31368</v>
      </c>
      <c r="H4611" t="s">
        <v>15799</v>
      </c>
      <c r="I4611" t="s">
        <v>31396</v>
      </c>
      <c r="J4611" t="s">
        <v>32669</v>
      </c>
      <c r="K4611" t="s">
        <v>40670</v>
      </c>
      <c r="L4611" t="s">
        <v>1549</v>
      </c>
      <c r="M4611" t="s">
        <v>42597</v>
      </c>
      <c r="N4611" t="s">
        <v>44905</v>
      </c>
      <c r="O4611" t="s">
        <v>44906</v>
      </c>
      <c r="P4611">
        <v>0</v>
      </c>
      <c r="Q4611">
        <v>5</v>
      </c>
      <c r="R4611" t="s">
        <v>44908</v>
      </c>
      <c r="S4611" t="s">
        <v>45042</v>
      </c>
      <c r="T4611" t="s">
        <v>46498</v>
      </c>
      <c r="U4611" t="s">
        <v>50665</v>
      </c>
      <c r="W4611" t="s">
        <v>42597</v>
      </c>
      <c r="X4611" t="s">
        <v>44909</v>
      </c>
    </row>
    <row r="4612" spans="1:24">
      <c r="A4612">
        <f>HYPERLINK("https://www.philgeps.gov.ph/GEPSNONPILOT/Tender/SplashBidNoticeAbstractUI.aspx?menuIndex=3&amp;refID=7081313&amp;Result=3","7081313")</f>
        <v>0</v>
      </c>
      <c r="B4612" t="s">
        <v>1554</v>
      </c>
      <c r="C4612" t="s">
        <v>7937</v>
      </c>
      <c r="D4612" t="s">
        <v>18108</v>
      </c>
      <c r="E4612" t="s">
        <v>18467</v>
      </c>
      <c r="F4612" t="s">
        <v>31362</v>
      </c>
      <c r="G4612" t="s">
        <v>31368</v>
      </c>
      <c r="H4612" t="s">
        <v>15799</v>
      </c>
      <c r="I4612" t="s">
        <v>31387</v>
      </c>
      <c r="J4612" t="s">
        <v>34509</v>
      </c>
      <c r="K4612" t="s">
        <v>40672</v>
      </c>
      <c r="L4612" t="s">
        <v>1554</v>
      </c>
      <c r="M4612" t="s">
        <v>42604</v>
      </c>
      <c r="N4612" t="s">
        <v>44905</v>
      </c>
      <c r="O4612" t="s">
        <v>44906</v>
      </c>
      <c r="P4612">
        <v>0</v>
      </c>
      <c r="Q4612">
        <v>6</v>
      </c>
      <c r="R4612" t="s">
        <v>44908</v>
      </c>
      <c r="S4612" t="s">
        <v>45042</v>
      </c>
      <c r="T4612" t="s">
        <v>46454</v>
      </c>
      <c r="U4612" t="s">
        <v>50687</v>
      </c>
      <c r="W4612" t="s">
        <v>42604</v>
      </c>
      <c r="X4612" t="s">
        <v>44909</v>
      </c>
    </row>
    <row r="4613" spans="1:24">
      <c r="A4613">
        <f>HYPERLINK("https://www.philgeps.gov.ph/GEPSNONPILOT/Tender/SplashBidNoticeAbstractUI.aspx?menuIndex=3&amp;refID=7081315&amp;Result=3","7081315")</f>
        <v>0</v>
      </c>
      <c r="B4613" t="s">
        <v>1499</v>
      </c>
      <c r="C4613" t="s">
        <v>7938</v>
      </c>
      <c r="D4613" t="s">
        <v>18106</v>
      </c>
      <c r="E4613" t="s">
        <v>22310</v>
      </c>
      <c r="F4613" t="s">
        <v>31362</v>
      </c>
      <c r="G4613" t="s">
        <v>31369</v>
      </c>
      <c r="H4613" t="s">
        <v>31378</v>
      </c>
      <c r="I4613" t="s">
        <v>31386</v>
      </c>
      <c r="J4613" t="s">
        <v>34510</v>
      </c>
      <c r="K4613" t="s">
        <v>40784</v>
      </c>
      <c r="M4613" t="s">
        <v>42536</v>
      </c>
      <c r="N4613" t="s">
        <v>44905</v>
      </c>
      <c r="O4613" t="s">
        <v>44906</v>
      </c>
      <c r="P4613">
        <v>0</v>
      </c>
      <c r="Q4613">
        <v>0</v>
      </c>
      <c r="R4613" t="s">
        <v>44908</v>
      </c>
      <c r="S4613" t="s">
        <v>45042</v>
      </c>
      <c r="T4613" t="s">
        <v>46530</v>
      </c>
      <c r="U4613" t="s">
        <v>50688</v>
      </c>
      <c r="W4613" t="s">
        <v>42536</v>
      </c>
      <c r="X4613" t="s">
        <v>44909</v>
      </c>
    </row>
    <row r="4614" spans="1:24">
      <c r="A4614">
        <f>HYPERLINK("https://www.philgeps.gov.ph/GEPSNONPILOT/Tender/SplashBidNoticeAbstractUI.aspx?menuIndex=3&amp;refID=7081311&amp;Result=3","7081311")</f>
        <v>0</v>
      </c>
      <c r="B4614" t="s">
        <v>1555</v>
      </c>
      <c r="C4614" t="s">
        <v>7939</v>
      </c>
      <c r="D4614" t="s">
        <v>18110</v>
      </c>
      <c r="E4614" t="s">
        <v>22311</v>
      </c>
      <c r="F4614" t="s">
        <v>31362</v>
      </c>
      <c r="G4614" t="s">
        <v>31369</v>
      </c>
      <c r="H4614" t="s">
        <v>31378</v>
      </c>
      <c r="I4614" t="s">
        <v>31386</v>
      </c>
      <c r="J4614" t="s">
        <v>34511</v>
      </c>
      <c r="K4614" t="s">
        <v>40691</v>
      </c>
      <c r="M4614" t="s">
        <v>42605</v>
      </c>
      <c r="N4614" t="s">
        <v>44905</v>
      </c>
      <c r="O4614" t="s">
        <v>44906</v>
      </c>
      <c r="P4614">
        <v>0</v>
      </c>
      <c r="Q4614">
        <v>0</v>
      </c>
      <c r="R4614" t="s">
        <v>44908</v>
      </c>
      <c r="S4614" t="s">
        <v>45042</v>
      </c>
      <c r="T4614" t="s">
        <v>46464</v>
      </c>
      <c r="U4614" t="s">
        <v>50689</v>
      </c>
      <c r="W4614" t="s">
        <v>42605</v>
      </c>
      <c r="X4614" t="s">
        <v>44909</v>
      </c>
    </row>
    <row r="4615" spans="1:24">
      <c r="A4615">
        <f>HYPERLINK("https://www.philgeps.gov.ph/GEPSNONPILOT/Tender/SplashBidNoticeAbstractUI.aspx?menuIndex=3&amp;refID=7081309&amp;Result=3","7081309")</f>
        <v>0</v>
      </c>
      <c r="B4615" t="s">
        <v>1547</v>
      </c>
      <c r="C4615" t="s">
        <v>7940</v>
      </c>
      <c r="E4615" t="s">
        <v>22312</v>
      </c>
      <c r="F4615" t="s">
        <v>31362</v>
      </c>
      <c r="G4615" t="s">
        <v>31369</v>
      </c>
      <c r="H4615" t="s">
        <v>31377</v>
      </c>
      <c r="I4615" t="s">
        <v>31377</v>
      </c>
      <c r="J4615" t="s">
        <v>34512</v>
      </c>
      <c r="K4615" t="s">
        <v>40749</v>
      </c>
      <c r="M4615" t="s">
        <v>42595</v>
      </c>
      <c r="N4615" t="s">
        <v>44905</v>
      </c>
      <c r="O4615" t="s">
        <v>44906</v>
      </c>
      <c r="P4615">
        <v>0</v>
      </c>
      <c r="Q4615">
        <v>2</v>
      </c>
      <c r="R4615" t="s">
        <v>44908</v>
      </c>
      <c r="S4615" t="s">
        <v>45042</v>
      </c>
      <c r="T4615" t="s">
        <v>46396</v>
      </c>
      <c r="U4615" t="s">
        <v>50690</v>
      </c>
      <c r="W4615" t="s">
        <v>42595</v>
      </c>
      <c r="X4615" t="s">
        <v>44909</v>
      </c>
    </row>
    <row r="4616" spans="1:24">
      <c r="A4616">
        <f>HYPERLINK("https://www.philgeps.gov.ph/GEPSNONPILOT/Tender/SplashBidNoticeAbstractUI.aspx?menuIndex=3&amp;refID=7081308&amp;Result=3","7081308")</f>
        <v>0</v>
      </c>
      <c r="B4616" t="s">
        <v>1556</v>
      </c>
      <c r="C4616" t="s">
        <v>7941</v>
      </c>
      <c r="E4616" t="s">
        <v>22313</v>
      </c>
      <c r="F4616" t="s">
        <v>31362</v>
      </c>
      <c r="G4616" t="s">
        <v>31368</v>
      </c>
      <c r="H4616" t="s">
        <v>15799</v>
      </c>
      <c r="I4616" t="s">
        <v>31422</v>
      </c>
      <c r="J4616" t="s">
        <v>34513</v>
      </c>
      <c r="K4616" t="s">
        <v>40666</v>
      </c>
      <c r="M4616" t="s">
        <v>42606</v>
      </c>
      <c r="N4616" t="s">
        <v>44905</v>
      </c>
      <c r="O4616" t="s">
        <v>44906</v>
      </c>
      <c r="P4616">
        <v>0</v>
      </c>
      <c r="Q4616">
        <v>0</v>
      </c>
      <c r="R4616" t="s">
        <v>44908</v>
      </c>
      <c r="S4616" t="s">
        <v>45042</v>
      </c>
      <c r="T4616" t="s">
        <v>46414</v>
      </c>
      <c r="U4616" t="s">
        <v>50691</v>
      </c>
      <c r="W4616" t="s">
        <v>42606</v>
      </c>
      <c r="X4616" t="s">
        <v>44909</v>
      </c>
    </row>
    <row r="4617" spans="1:24">
      <c r="A4617">
        <f>HYPERLINK("https://www.philgeps.gov.ph/GEPSNONPILOT/Tender/SplashBidNoticeAbstractUI.aspx?menuIndex=3&amp;refID=7081283&amp;Result=3","7081283")</f>
        <v>0</v>
      </c>
      <c r="B4617" t="s">
        <v>345</v>
      </c>
      <c r="C4617" t="s">
        <v>7942</v>
      </c>
      <c r="D4617" t="s">
        <v>18149</v>
      </c>
      <c r="E4617" t="s">
        <v>22314</v>
      </c>
      <c r="F4617" t="s">
        <v>31362</v>
      </c>
      <c r="G4617" t="s">
        <v>31368</v>
      </c>
      <c r="H4617" t="s">
        <v>15799</v>
      </c>
      <c r="I4617" t="s">
        <v>31385</v>
      </c>
      <c r="J4617" t="s">
        <v>34514</v>
      </c>
      <c r="K4617" t="s">
        <v>40693</v>
      </c>
      <c r="M4617" t="s">
        <v>41291</v>
      </c>
      <c r="N4617" t="s">
        <v>44905</v>
      </c>
      <c r="O4617" t="s">
        <v>44906</v>
      </c>
      <c r="P4617">
        <v>0</v>
      </c>
      <c r="Q4617">
        <v>0</v>
      </c>
      <c r="R4617" t="s">
        <v>44908</v>
      </c>
      <c r="S4617" t="s">
        <v>45042</v>
      </c>
      <c r="T4617" t="s">
        <v>46580</v>
      </c>
      <c r="U4617" t="s">
        <v>50405</v>
      </c>
      <c r="W4617" t="s">
        <v>41291</v>
      </c>
      <c r="X4617" t="s">
        <v>44909</v>
      </c>
    </row>
    <row r="4618" spans="1:24">
      <c r="A4618">
        <f>HYPERLINK("https://www.philgeps.gov.ph/GEPSNONPILOT/Tender/SplashBidNoticeAbstractUI.aspx?menuIndex=3&amp;refID=7081324&amp;Result=3","7081324")</f>
        <v>0</v>
      </c>
      <c r="B4618" t="s">
        <v>293</v>
      </c>
      <c r="C4618" t="s">
        <v>7943</v>
      </c>
      <c r="D4618" t="s">
        <v>18108</v>
      </c>
      <c r="E4618" t="s">
        <v>22315</v>
      </c>
      <c r="F4618" t="s">
        <v>31362</v>
      </c>
      <c r="G4618" t="s">
        <v>31368</v>
      </c>
      <c r="H4618" t="s">
        <v>31379</v>
      </c>
      <c r="I4618" t="s">
        <v>31485</v>
      </c>
      <c r="J4618" t="s">
        <v>31910</v>
      </c>
      <c r="K4618" t="s">
        <v>40712</v>
      </c>
      <c r="M4618" t="s">
        <v>42607</v>
      </c>
      <c r="N4618" t="s">
        <v>44905</v>
      </c>
      <c r="O4618" t="s">
        <v>44906</v>
      </c>
      <c r="P4618">
        <v>0</v>
      </c>
      <c r="Q4618">
        <v>0</v>
      </c>
      <c r="R4618" t="s">
        <v>44908</v>
      </c>
      <c r="S4618" t="s">
        <v>45042</v>
      </c>
      <c r="T4618" t="s">
        <v>46434</v>
      </c>
      <c r="U4618" t="s">
        <v>50692</v>
      </c>
      <c r="W4618" t="s">
        <v>42607</v>
      </c>
      <c r="X4618" t="s">
        <v>44909</v>
      </c>
    </row>
    <row r="4619" spans="1:24">
      <c r="A4619">
        <f>HYPERLINK("https://www.philgeps.gov.ph/GEPSNONPILOT/Tender/SplashBidNoticeAbstractUI.aspx?menuIndex=3&amp;refID=7081310&amp;Result=3","7081310")</f>
        <v>0</v>
      </c>
      <c r="B4619" t="s">
        <v>285</v>
      </c>
      <c r="C4619" t="s">
        <v>7866</v>
      </c>
      <c r="D4619" t="s">
        <v>18134</v>
      </c>
      <c r="E4619" t="s">
        <v>18717</v>
      </c>
      <c r="F4619" t="s">
        <v>31362</v>
      </c>
      <c r="G4619" t="s">
        <v>31369</v>
      </c>
      <c r="H4619" t="s">
        <v>31378</v>
      </c>
      <c r="I4619" t="s">
        <v>31386</v>
      </c>
      <c r="J4619" t="s">
        <v>31625</v>
      </c>
      <c r="K4619" t="s">
        <v>40694</v>
      </c>
      <c r="M4619" t="s">
        <v>41228</v>
      </c>
      <c r="N4619" t="s">
        <v>44905</v>
      </c>
      <c r="O4619" t="s">
        <v>44906</v>
      </c>
      <c r="P4619">
        <v>0</v>
      </c>
      <c r="Q4619">
        <v>0</v>
      </c>
      <c r="R4619" t="s">
        <v>44908</v>
      </c>
      <c r="S4619" t="s">
        <v>45042</v>
      </c>
      <c r="T4619" t="s">
        <v>46511</v>
      </c>
      <c r="U4619" t="s">
        <v>50693</v>
      </c>
      <c r="W4619" t="s">
        <v>41228</v>
      </c>
      <c r="X4619" t="s">
        <v>44909</v>
      </c>
    </row>
    <row r="4620" spans="1:24">
      <c r="A4620">
        <f>HYPERLINK("https://www.philgeps.gov.ph/GEPSNONPILOT/Tender/SplashBidNoticeAbstractUI.aspx?menuIndex=3&amp;refID=7081287&amp;Result=3","7081287")</f>
        <v>0</v>
      </c>
      <c r="B4620" t="s">
        <v>908</v>
      </c>
      <c r="C4620" t="s">
        <v>7944</v>
      </c>
      <c r="D4620" t="s">
        <v>18144</v>
      </c>
      <c r="E4620" t="s">
        <v>22176</v>
      </c>
      <c r="F4620" t="s">
        <v>31362</v>
      </c>
      <c r="G4620" t="s">
        <v>31368</v>
      </c>
      <c r="H4620" t="s">
        <v>15799</v>
      </c>
      <c r="I4620" t="s">
        <v>31424</v>
      </c>
      <c r="J4620" t="s">
        <v>34425</v>
      </c>
      <c r="K4620" t="s">
        <v>40666</v>
      </c>
      <c r="M4620" t="s">
        <v>41979</v>
      </c>
      <c r="N4620" t="s">
        <v>44905</v>
      </c>
      <c r="O4620" t="s">
        <v>44906</v>
      </c>
      <c r="P4620">
        <v>0</v>
      </c>
      <c r="Q4620">
        <v>1</v>
      </c>
      <c r="R4620" t="s">
        <v>44908</v>
      </c>
      <c r="S4620" t="s">
        <v>45042</v>
      </c>
      <c r="T4620" t="s">
        <v>46506</v>
      </c>
      <c r="U4620" t="s">
        <v>50694</v>
      </c>
      <c r="W4620" t="s">
        <v>41979</v>
      </c>
      <c r="X4620" t="s">
        <v>44909</v>
      </c>
    </row>
    <row r="4621" spans="1:24">
      <c r="A4621">
        <f>HYPERLINK("https://www.philgeps.gov.ph/GEPSNONPILOT/Tender/SplashBidNoticeAbstractUI.aspx?menuIndex=3&amp;refID=7081330&amp;Result=3","7081330")</f>
        <v>0</v>
      </c>
      <c r="B4621" t="s">
        <v>591</v>
      </c>
      <c r="C4621" t="s">
        <v>7945</v>
      </c>
      <c r="D4621" t="s">
        <v>18109</v>
      </c>
      <c r="E4621" t="s">
        <v>22316</v>
      </c>
      <c r="F4621" t="s">
        <v>31362</v>
      </c>
      <c r="G4621" t="s">
        <v>31368</v>
      </c>
      <c r="H4621" t="s">
        <v>15799</v>
      </c>
      <c r="I4621" t="s">
        <v>31430</v>
      </c>
      <c r="J4621" t="s">
        <v>34515</v>
      </c>
      <c r="K4621" t="s">
        <v>40666</v>
      </c>
      <c r="M4621" t="s">
        <v>41548</v>
      </c>
      <c r="N4621" t="s">
        <v>44905</v>
      </c>
      <c r="O4621" t="s">
        <v>44906</v>
      </c>
      <c r="P4621">
        <v>0</v>
      </c>
      <c r="Q4621">
        <v>0</v>
      </c>
      <c r="R4621" t="s">
        <v>44908</v>
      </c>
      <c r="S4621" t="s">
        <v>45042</v>
      </c>
      <c r="T4621" t="s">
        <v>46432</v>
      </c>
      <c r="U4621" t="s">
        <v>48056</v>
      </c>
      <c r="W4621" t="s">
        <v>41548</v>
      </c>
      <c r="X4621" t="s">
        <v>44909</v>
      </c>
    </row>
    <row r="4622" spans="1:24">
      <c r="A4622">
        <f>HYPERLINK("https://www.philgeps.gov.ph/GEPSNONPILOT/Tender/SplashBidNoticeAbstractUI.aspx?menuIndex=3&amp;refID=7081353&amp;Result=3","7081353")</f>
        <v>0</v>
      </c>
      <c r="B4622" t="s">
        <v>416</v>
      </c>
      <c r="C4622" t="s">
        <v>7946</v>
      </c>
      <c r="D4622" t="s">
        <v>18169</v>
      </c>
      <c r="E4622" t="s">
        <v>22317</v>
      </c>
      <c r="F4622" t="s">
        <v>31362</v>
      </c>
      <c r="G4622" t="s">
        <v>31369</v>
      </c>
      <c r="H4622" t="s">
        <v>31378</v>
      </c>
      <c r="I4622" t="s">
        <v>31386</v>
      </c>
      <c r="J4622" t="s">
        <v>34516</v>
      </c>
      <c r="K4622" t="s">
        <v>40746</v>
      </c>
      <c r="M4622" t="s">
        <v>41366</v>
      </c>
      <c r="N4622" t="s">
        <v>44905</v>
      </c>
      <c r="O4622" t="s">
        <v>44906</v>
      </c>
      <c r="P4622">
        <v>0</v>
      </c>
      <c r="Q4622">
        <v>0</v>
      </c>
      <c r="R4622" t="s">
        <v>44908</v>
      </c>
      <c r="S4622" t="s">
        <v>45042</v>
      </c>
      <c r="T4622" t="s">
        <v>46570</v>
      </c>
      <c r="U4622" t="s">
        <v>50695</v>
      </c>
      <c r="V4622" t="s">
        <v>59423</v>
      </c>
      <c r="W4622" t="s">
        <v>41366</v>
      </c>
      <c r="X4622" t="s">
        <v>44909</v>
      </c>
    </row>
    <row r="4623" spans="1:24">
      <c r="A4623">
        <f>HYPERLINK("https://www.philgeps.gov.ph/GEPSNONPILOT/Tender/SplashBidNoticeAbstractUI.aspx?menuIndex=3&amp;refID=7081298&amp;Result=3","7081298")</f>
        <v>0</v>
      </c>
      <c r="B4623" t="s">
        <v>1395</v>
      </c>
      <c r="C4623" t="s">
        <v>7947</v>
      </c>
      <c r="D4623" t="s">
        <v>18116</v>
      </c>
      <c r="E4623" t="s">
        <v>22318</v>
      </c>
      <c r="F4623" t="s">
        <v>31362</v>
      </c>
      <c r="G4623" t="s">
        <v>31369</v>
      </c>
      <c r="H4623" t="s">
        <v>31378</v>
      </c>
      <c r="I4623" t="s">
        <v>31386</v>
      </c>
      <c r="J4623" t="s">
        <v>31542</v>
      </c>
      <c r="K4623" t="s">
        <v>40686</v>
      </c>
      <c r="M4623" t="s">
        <v>42420</v>
      </c>
      <c r="N4623" t="s">
        <v>44905</v>
      </c>
      <c r="O4623" t="s">
        <v>44906</v>
      </c>
      <c r="P4623">
        <v>0</v>
      </c>
      <c r="Q4623">
        <v>0</v>
      </c>
      <c r="R4623" t="s">
        <v>44908</v>
      </c>
      <c r="S4623" t="s">
        <v>45042</v>
      </c>
      <c r="T4623" t="s">
        <v>46429</v>
      </c>
      <c r="U4623" t="s">
        <v>50696</v>
      </c>
      <c r="W4623" t="s">
        <v>42420</v>
      </c>
      <c r="X4623" t="s">
        <v>44909</v>
      </c>
    </row>
    <row r="4624" spans="1:24">
      <c r="A4624">
        <f>HYPERLINK("https://www.philgeps.gov.ph/GEPSNONPILOT/Tender/SplashBidNoticeAbstractUI.aspx?menuIndex=3&amp;refID=7081349&amp;Result=3","7081349")</f>
        <v>0</v>
      </c>
      <c r="B4624" t="s">
        <v>1550</v>
      </c>
      <c r="C4624" t="s">
        <v>7948</v>
      </c>
      <c r="D4624" t="s">
        <v>18134</v>
      </c>
      <c r="E4624" t="s">
        <v>22319</v>
      </c>
      <c r="F4624" t="s">
        <v>31362</v>
      </c>
      <c r="G4624" t="s">
        <v>31368</v>
      </c>
      <c r="H4624" t="s">
        <v>15799</v>
      </c>
      <c r="I4624" t="s">
        <v>4942</v>
      </c>
      <c r="J4624" t="s">
        <v>34517</v>
      </c>
      <c r="K4624" t="s">
        <v>40697</v>
      </c>
      <c r="M4624" t="s">
        <v>42598</v>
      </c>
      <c r="N4624" t="s">
        <v>44905</v>
      </c>
      <c r="O4624" t="s">
        <v>44906</v>
      </c>
      <c r="P4624">
        <v>0</v>
      </c>
      <c r="Q4624">
        <v>0</v>
      </c>
      <c r="R4624" t="s">
        <v>44908</v>
      </c>
      <c r="S4624" t="s">
        <v>45042</v>
      </c>
      <c r="T4624" t="s">
        <v>46425</v>
      </c>
      <c r="U4624" t="s">
        <v>50697</v>
      </c>
      <c r="W4624" t="s">
        <v>42598</v>
      </c>
      <c r="X4624" t="s">
        <v>44909</v>
      </c>
    </row>
    <row r="4625" spans="1:24">
      <c r="A4625">
        <f>HYPERLINK("https://www.philgeps.gov.ph/GEPSNONPILOT/Tender/SplashBidNoticeAbstractUI.aspx?menuIndex=3&amp;refID=7081346&amp;Result=3","7081346")</f>
        <v>0</v>
      </c>
      <c r="B4625" t="s">
        <v>1544</v>
      </c>
      <c r="C4625" t="s">
        <v>7949</v>
      </c>
      <c r="D4625" t="s">
        <v>18172</v>
      </c>
      <c r="E4625" t="s">
        <v>22320</v>
      </c>
      <c r="F4625" t="s">
        <v>31362</v>
      </c>
      <c r="G4625" t="s">
        <v>31368</v>
      </c>
      <c r="H4625" t="s">
        <v>15799</v>
      </c>
      <c r="I4625" t="s">
        <v>31380</v>
      </c>
      <c r="J4625" t="s">
        <v>34518</v>
      </c>
      <c r="K4625" t="s">
        <v>40666</v>
      </c>
      <c r="M4625" t="s">
        <v>42591</v>
      </c>
      <c r="N4625" t="s">
        <v>44905</v>
      </c>
      <c r="O4625" t="s">
        <v>44906</v>
      </c>
      <c r="P4625">
        <v>0</v>
      </c>
      <c r="Q4625">
        <v>0</v>
      </c>
      <c r="R4625" t="s">
        <v>44908</v>
      </c>
      <c r="S4625" t="s">
        <v>45042</v>
      </c>
      <c r="T4625" t="s">
        <v>46409</v>
      </c>
      <c r="U4625" t="s">
        <v>50698</v>
      </c>
      <c r="W4625" t="s">
        <v>42591</v>
      </c>
      <c r="X4625" t="s">
        <v>44909</v>
      </c>
    </row>
    <row r="4626" spans="1:24">
      <c r="A4626">
        <f>HYPERLINK("https://www.philgeps.gov.ph/GEPSNONPILOT/Tender/SplashBidNoticeAbstractUI.aspx?menuIndex=3&amp;refID=7081345&amp;Result=3","7081345")</f>
        <v>0</v>
      </c>
      <c r="B4626" t="s">
        <v>1557</v>
      </c>
      <c r="C4626" t="s">
        <v>7950</v>
      </c>
      <c r="D4626" t="s">
        <v>18108</v>
      </c>
      <c r="E4626" t="s">
        <v>22321</v>
      </c>
      <c r="F4626" t="s">
        <v>31362</v>
      </c>
      <c r="G4626" t="s">
        <v>31370</v>
      </c>
      <c r="H4626" t="s">
        <v>15799</v>
      </c>
      <c r="I4626" t="s">
        <v>31387</v>
      </c>
      <c r="J4626" t="s">
        <v>31536</v>
      </c>
      <c r="K4626" t="s">
        <v>40672</v>
      </c>
      <c r="M4626" t="s">
        <v>42608</v>
      </c>
      <c r="N4626" t="s">
        <v>44905</v>
      </c>
      <c r="O4626" t="s">
        <v>44906</v>
      </c>
      <c r="P4626">
        <v>0</v>
      </c>
      <c r="Q4626">
        <v>0</v>
      </c>
      <c r="R4626" t="s">
        <v>44908</v>
      </c>
      <c r="S4626" t="s">
        <v>45042</v>
      </c>
      <c r="T4626" t="s">
        <v>46414</v>
      </c>
      <c r="U4626" t="s">
        <v>50699</v>
      </c>
      <c r="W4626" t="s">
        <v>42608</v>
      </c>
      <c r="X4626" t="s">
        <v>44909</v>
      </c>
    </row>
    <row r="4627" spans="1:24">
      <c r="A4627">
        <f>HYPERLINK("https://www.philgeps.gov.ph/GEPSNONPILOT/Tender/SplashBidNoticeAbstractUI.aspx?menuIndex=3&amp;refID=7081352&amp;Result=3","7081352")</f>
        <v>0</v>
      </c>
      <c r="B4627" t="s">
        <v>1558</v>
      </c>
      <c r="C4627" t="s">
        <v>7951</v>
      </c>
      <c r="D4627" t="s">
        <v>18173</v>
      </c>
      <c r="E4627" t="s">
        <v>22322</v>
      </c>
      <c r="F4627" t="s">
        <v>31362</v>
      </c>
      <c r="G4627" t="s">
        <v>31369</v>
      </c>
      <c r="H4627" t="s">
        <v>15799</v>
      </c>
      <c r="I4627" t="s">
        <v>3815</v>
      </c>
      <c r="J4627" t="s">
        <v>34519</v>
      </c>
      <c r="K4627" t="s">
        <v>40666</v>
      </c>
      <c r="M4627" t="s">
        <v>42609</v>
      </c>
      <c r="N4627" t="s">
        <v>44905</v>
      </c>
      <c r="O4627" t="s">
        <v>44906</v>
      </c>
      <c r="P4627">
        <v>0</v>
      </c>
      <c r="Q4627">
        <v>0</v>
      </c>
      <c r="R4627" t="s">
        <v>44908</v>
      </c>
      <c r="S4627" t="s">
        <v>45042</v>
      </c>
      <c r="T4627" t="s">
        <v>46401</v>
      </c>
      <c r="U4627" t="s">
        <v>50700</v>
      </c>
      <c r="W4627" t="s">
        <v>42609</v>
      </c>
      <c r="X4627" t="s">
        <v>44909</v>
      </c>
    </row>
    <row r="4628" spans="1:24">
      <c r="A4628">
        <f>HYPERLINK("https://www.philgeps.gov.ph/GEPSNONPILOT/Tender/SplashBidNoticeAbstractUI.aspx?menuIndex=3&amp;refID=7081344&amp;Result=3","7081344")</f>
        <v>0</v>
      </c>
      <c r="B4628" t="s">
        <v>1559</v>
      </c>
      <c r="C4628" t="s">
        <v>7952</v>
      </c>
      <c r="D4628" t="s">
        <v>18108</v>
      </c>
      <c r="E4628" t="s">
        <v>22323</v>
      </c>
      <c r="F4628" t="s">
        <v>31362</v>
      </c>
      <c r="G4628" t="s">
        <v>31369</v>
      </c>
      <c r="H4628" t="s">
        <v>15799</v>
      </c>
      <c r="I4628" t="s">
        <v>4283</v>
      </c>
      <c r="J4628" t="s">
        <v>31637</v>
      </c>
      <c r="K4628" t="s">
        <v>40666</v>
      </c>
      <c r="M4628" t="s">
        <v>42610</v>
      </c>
      <c r="N4628" t="s">
        <v>44905</v>
      </c>
      <c r="O4628" t="s">
        <v>44906</v>
      </c>
      <c r="P4628">
        <v>0</v>
      </c>
      <c r="Q4628">
        <v>5</v>
      </c>
      <c r="R4628" t="s">
        <v>44908</v>
      </c>
      <c r="S4628" t="s">
        <v>45042</v>
      </c>
      <c r="T4628" t="s">
        <v>46431</v>
      </c>
      <c r="U4628" t="s">
        <v>50701</v>
      </c>
      <c r="W4628" t="s">
        <v>42610</v>
      </c>
      <c r="X4628" t="s">
        <v>44909</v>
      </c>
    </row>
    <row r="4629" spans="1:24">
      <c r="A4629">
        <f>HYPERLINK("https://www.philgeps.gov.ph/GEPSNONPILOT/Tender/SplashBidNoticeAbstractUI.aspx?menuIndex=3&amp;refID=7081350&amp;Result=3","7081350")</f>
        <v>0</v>
      </c>
      <c r="B4629" t="s">
        <v>285</v>
      </c>
      <c r="C4629" t="s">
        <v>7866</v>
      </c>
      <c r="D4629" t="s">
        <v>18134</v>
      </c>
      <c r="E4629" t="s">
        <v>18712</v>
      </c>
      <c r="F4629" t="s">
        <v>31362</v>
      </c>
      <c r="G4629" t="s">
        <v>31369</v>
      </c>
      <c r="H4629" t="s">
        <v>31378</v>
      </c>
      <c r="I4629" t="s">
        <v>31386</v>
      </c>
      <c r="J4629" t="s">
        <v>31625</v>
      </c>
      <c r="K4629" t="s">
        <v>40694</v>
      </c>
      <c r="M4629" t="s">
        <v>41228</v>
      </c>
      <c r="N4629" t="s">
        <v>44905</v>
      </c>
      <c r="O4629" t="s">
        <v>44906</v>
      </c>
      <c r="P4629">
        <v>0</v>
      </c>
      <c r="Q4629">
        <v>0</v>
      </c>
      <c r="R4629" t="s">
        <v>44908</v>
      </c>
      <c r="S4629" t="s">
        <v>45042</v>
      </c>
      <c r="T4629" t="s">
        <v>46511</v>
      </c>
      <c r="U4629" t="s">
        <v>50702</v>
      </c>
      <c r="W4629" t="s">
        <v>41228</v>
      </c>
      <c r="X4629" t="s">
        <v>44909</v>
      </c>
    </row>
    <row r="4630" spans="1:24">
      <c r="A4630">
        <f>HYPERLINK("https://www.philgeps.gov.ph/GEPSNONPILOT/Tender/SplashBidNoticeAbstractUI.aspx?menuIndex=3&amp;refID=7081351&amp;Result=3","7081351")</f>
        <v>0</v>
      </c>
      <c r="B4630" t="s">
        <v>1549</v>
      </c>
      <c r="C4630" t="s">
        <v>7953</v>
      </c>
      <c r="D4630" t="s">
        <v>18113</v>
      </c>
      <c r="E4630" t="s">
        <v>22324</v>
      </c>
      <c r="F4630" t="s">
        <v>31362</v>
      </c>
      <c r="G4630" t="s">
        <v>31368</v>
      </c>
      <c r="H4630" t="s">
        <v>15799</v>
      </c>
      <c r="I4630" t="s">
        <v>31400</v>
      </c>
      <c r="J4630" t="s">
        <v>34520</v>
      </c>
      <c r="K4630" t="s">
        <v>40670</v>
      </c>
      <c r="L4630" t="s">
        <v>1549</v>
      </c>
      <c r="M4630" t="s">
        <v>42597</v>
      </c>
      <c r="N4630" t="s">
        <v>44905</v>
      </c>
      <c r="O4630" t="s">
        <v>44906</v>
      </c>
      <c r="P4630">
        <v>0</v>
      </c>
      <c r="Q4630">
        <v>1</v>
      </c>
      <c r="R4630" t="s">
        <v>44908</v>
      </c>
      <c r="S4630" t="s">
        <v>45042</v>
      </c>
      <c r="T4630" t="s">
        <v>46498</v>
      </c>
      <c r="U4630" t="s">
        <v>50665</v>
      </c>
      <c r="W4630" t="s">
        <v>42597</v>
      </c>
      <c r="X4630" t="s">
        <v>44909</v>
      </c>
    </row>
    <row r="4631" spans="1:24">
      <c r="A4631">
        <f>HYPERLINK("https://www.philgeps.gov.ph/GEPSNONPILOT/Tender/SplashBidNoticeAbstractUI.aspx?menuIndex=3&amp;refID=7081348&amp;Result=3","7081348")</f>
        <v>0</v>
      </c>
      <c r="B4631" t="s">
        <v>62</v>
      </c>
      <c r="C4631" t="s">
        <v>7954</v>
      </c>
      <c r="D4631" t="s">
        <v>18125</v>
      </c>
      <c r="E4631" t="s">
        <v>18300</v>
      </c>
      <c r="F4631" t="s">
        <v>31362</v>
      </c>
      <c r="G4631" t="s">
        <v>31370</v>
      </c>
      <c r="H4631" t="s">
        <v>15799</v>
      </c>
      <c r="I4631" t="s">
        <v>31459</v>
      </c>
      <c r="J4631" t="s">
        <v>34521</v>
      </c>
      <c r="K4631" t="s">
        <v>40670</v>
      </c>
      <c r="M4631" t="s">
        <v>40998</v>
      </c>
      <c r="N4631" t="s">
        <v>44905</v>
      </c>
      <c r="O4631" t="s">
        <v>44906</v>
      </c>
      <c r="P4631">
        <v>0</v>
      </c>
      <c r="Q4631">
        <v>0</v>
      </c>
      <c r="R4631" t="s">
        <v>44908</v>
      </c>
      <c r="S4631" t="s">
        <v>45042</v>
      </c>
      <c r="T4631" t="s">
        <v>46409</v>
      </c>
      <c r="U4631" t="s">
        <v>50703</v>
      </c>
      <c r="V4631" t="s">
        <v>59489</v>
      </c>
      <c r="W4631" t="s">
        <v>40998</v>
      </c>
      <c r="X4631" t="s">
        <v>44909</v>
      </c>
    </row>
    <row r="4632" spans="1:24">
      <c r="A4632">
        <f>HYPERLINK("https://www.philgeps.gov.ph/GEPSNONPILOT/Tender/SplashBidNoticeAbstractUI.aspx?menuIndex=3&amp;refID=7081331&amp;Result=3","7081331")</f>
        <v>0</v>
      </c>
      <c r="B4632" t="s">
        <v>367</v>
      </c>
      <c r="C4632" t="s">
        <v>7955</v>
      </c>
      <c r="D4632" t="s">
        <v>18134</v>
      </c>
      <c r="E4632" t="s">
        <v>22325</v>
      </c>
      <c r="F4632" t="s">
        <v>31362</v>
      </c>
      <c r="G4632" t="s">
        <v>31368</v>
      </c>
      <c r="H4632" t="s">
        <v>31379</v>
      </c>
      <c r="I4632" t="s">
        <v>4057</v>
      </c>
      <c r="J4632" t="s">
        <v>33255</v>
      </c>
      <c r="K4632" t="s">
        <v>40670</v>
      </c>
      <c r="M4632" t="s">
        <v>41314</v>
      </c>
      <c r="N4632" t="s">
        <v>44905</v>
      </c>
      <c r="O4632" t="s">
        <v>44906</v>
      </c>
      <c r="P4632">
        <v>0</v>
      </c>
      <c r="Q4632">
        <v>1</v>
      </c>
      <c r="R4632" t="s">
        <v>44908</v>
      </c>
      <c r="S4632" t="s">
        <v>45042</v>
      </c>
      <c r="T4632" t="s">
        <v>46409</v>
      </c>
      <c r="U4632" t="s">
        <v>50704</v>
      </c>
      <c r="W4632" t="s">
        <v>41314</v>
      </c>
      <c r="X4632" t="s">
        <v>44909</v>
      </c>
    </row>
    <row r="4633" spans="1:24">
      <c r="A4633">
        <f>HYPERLINK("https://www.philgeps.gov.ph/GEPSNONPILOT/Tender/SplashBidNoticeAbstractUI.aspx?menuIndex=3&amp;refID=7081357&amp;Result=3","7081357")</f>
        <v>0</v>
      </c>
      <c r="B4633" t="s">
        <v>1560</v>
      </c>
      <c r="C4633" t="s">
        <v>7956</v>
      </c>
      <c r="D4633" t="s">
        <v>18108</v>
      </c>
      <c r="E4633" t="s">
        <v>22326</v>
      </c>
      <c r="F4633" t="s">
        <v>31362</v>
      </c>
      <c r="G4633" t="s">
        <v>31368</v>
      </c>
      <c r="H4633" t="s">
        <v>15799</v>
      </c>
      <c r="I4633" t="s">
        <v>7188</v>
      </c>
      <c r="J4633" t="s">
        <v>31724</v>
      </c>
      <c r="K4633" t="s">
        <v>40665</v>
      </c>
      <c r="M4633" t="s">
        <v>42611</v>
      </c>
      <c r="N4633" t="s">
        <v>44905</v>
      </c>
      <c r="O4633" t="s">
        <v>44906</v>
      </c>
      <c r="P4633">
        <v>0</v>
      </c>
      <c r="Q4633">
        <v>10</v>
      </c>
      <c r="R4633" t="s">
        <v>44908</v>
      </c>
      <c r="S4633" t="s">
        <v>45042</v>
      </c>
      <c r="T4633" t="s">
        <v>46438</v>
      </c>
      <c r="U4633" t="s">
        <v>50705</v>
      </c>
      <c r="W4633" t="s">
        <v>42611</v>
      </c>
      <c r="X4633" t="s">
        <v>44909</v>
      </c>
    </row>
    <row r="4634" spans="1:24">
      <c r="A4634">
        <f>HYPERLINK("https://www.philgeps.gov.ph/GEPSNONPILOT/Tender/SplashBidNoticeAbstractUI.aspx?menuIndex=3&amp;refID=7081342&amp;Result=3","7081342")</f>
        <v>0</v>
      </c>
      <c r="B4634" t="s">
        <v>1549</v>
      </c>
      <c r="C4634" t="s">
        <v>7957</v>
      </c>
      <c r="D4634" t="s">
        <v>18113</v>
      </c>
      <c r="E4634" t="s">
        <v>22327</v>
      </c>
      <c r="F4634" t="s">
        <v>31362</v>
      </c>
      <c r="G4634" t="s">
        <v>31368</v>
      </c>
      <c r="H4634" t="s">
        <v>15799</v>
      </c>
      <c r="I4634" t="s">
        <v>31414</v>
      </c>
      <c r="J4634" t="s">
        <v>34522</v>
      </c>
      <c r="K4634" t="s">
        <v>40666</v>
      </c>
      <c r="L4634" t="s">
        <v>1549</v>
      </c>
      <c r="M4634" t="s">
        <v>42597</v>
      </c>
      <c r="N4634" t="s">
        <v>44905</v>
      </c>
      <c r="O4634" t="s">
        <v>44906</v>
      </c>
      <c r="P4634">
        <v>0</v>
      </c>
      <c r="Q4634">
        <v>6</v>
      </c>
      <c r="R4634" t="s">
        <v>44908</v>
      </c>
      <c r="S4634" t="s">
        <v>45042</v>
      </c>
      <c r="T4634" t="s">
        <v>46498</v>
      </c>
      <c r="U4634" t="s">
        <v>50665</v>
      </c>
      <c r="W4634" t="s">
        <v>42597</v>
      </c>
      <c r="X4634" t="s">
        <v>44909</v>
      </c>
    </row>
    <row r="4635" spans="1:24">
      <c r="A4635">
        <f>HYPERLINK("https://www.philgeps.gov.ph/GEPSNONPILOT/Tender/SplashBidNoticeAbstractUI.aspx?menuIndex=3&amp;refID=7081356&amp;Result=3","7081356")</f>
        <v>0</v>
      </c>
      <c r="B4635" t="s">
        <v>1549</v>
      </c>
      <c r="C4635" t="s">
        <v>7958</v>
      </c>
      <c r="D4635" t="s">
        <v>18113</v>
      </c>
      <c r="E4635" t="s">
        <v>22328</v>
      </c>
      <c r="F4635" t="s">
        <v>31362</v>
      </c>
      <c r="G4635" t="s">
        <v>31368</v>
      </c>
      <c r="H4635" t="s">
        <v>15799</v>
      </c>
      <c r="I4635" t="s">
        <v>7188</v>
      </c>
      <c r="J4635" t="s">
        <v>32249</v>
      </c>
      <c r="K4635" t="s">
        <v>40677</v>
      </c>
      <c r="L4635" t="s">
        <v>1549</v>
      </c>
      <c r="M4635" t="s">
        <v>42597</v>
      </c>
      <c r="N4635" t="s">
        <v>44905</v>
      </c>
      <c r="O4635" t="s">
        <v>44906</v>
      </c>
      <c r="P4635">
        <v>0</v>
      </c>
      <c r="Q4635">
        <v>8</v>
      </c>
      <c r="R4635" t="s">
        <v>44908</v>
      </c>
      <c r="S4635" t="s">
        <v>45042</v>
      </c>
      <c r="T4635" t="s">
        <v>46498</v>
      </c>
      <c r="U4635" t="s">
        <v>50665</v>
      </c>
      <c r="W4635" t="s">
        <v>42597</v>
      </c>
      <c r="X4635" t="s">
        <v>44909</v>
      </c>
    </row>
    <row r="4636" spans="1:24">
      <c r="A4636">
        <f>HYPERLINK("https://www.philgeps.gov.ph/GEPSNONPILOT/Tender/SplashBidNoticeAbstractUI.aspx?menuIndex=3&amp;refID=7081339&amp;Result=3","7081339")</f>
        <v>0</v>
      </c>
      <c r="B4636" t="s">
        <v>1507</v>
      </c>
      <c r="C4636" t="s">
        <v>7959</v>
      </c>
      <c r="D4636" t="s">
        <v>18113</v>
      </c>
      <c r="E4636" t="s">
        <v>22329</v>
      </c>
      <c r="F4636" t="s">
        <v>31362</v>
      </c>
      <c r="G4636" t="s">
        <v>31369</v>
      </c>
      <c r="H4636" t="s">
        <v>15799</v>
      </c>
      <c r="I4636" t="s">
        <v>31390</v>
      </c>
      <c r="J4636" t="s">
        <v>34523</v>
      </c>
      <c r="K4636" t="s">
        <v>40680</v>
      </c>
      <c r="M4636" t="s">
        <v>42547</v>
      </c>
      <c r="N4636" t="s">
        <v>44905</v>
      </c>
      <c r="O4636" t="s">
        <v>44906</v>
      </c>
      <c r="P4636">
        <v>0</v>
      </c>
      <c r="Q4636">
        <v>0</v>
      </c>
      <c r="R4636" t="s">
        <v>44908</v>
      </c>
      <c r="S4636" t="s">
        <v>45042</v>
      </c>
      <c r="T4636" t="s">
        <v>46493</v>
      </c>
      <c r="U4636" t="s">
        <v>50706</v>
      </c>
      <c r="V4636" t="s">
        <v>59473</v>
      </c>
      <c r="W4636" t="s">
        <v>42547</v>
      </c>
      <c r="X4636" t="s">
        <v>44909</v>
      </c>
    </row>
    <row r="4637" spans="1:24">
      <c r="A4637">
        <f>HYPERLINK("https://www.philgeps.gov.ph/GEPSNONPILOT/Tender/SplashBidNoticeAbstractUI.aspx?menuIndex=3&amp;refID=7081335&amp;Result=3","7081335")</f>
        <v>0</v>
      </c>
      <c r="B4637" t="s">
        <v>1270</v>
      </c>
      <c r="C4637" t="s">
        <v>7960</v>
      </c>
      <c r="D4637" t="s">
        <v>18151</v>
      </c>
      <c r="E4637" t="s">
        <v>22330</v>
      </c>
      <c r="F4637" t="s">
        <v>31362</v>
      </c>
      <c r="G4637" t="s">
        <v>31368</v>
      </c>
      <c r="H4637" t="s">
        <v>15799</v>
      </c>
      <c r="I4637" t="s">
        <v>4057</v>
      </c>
      <c r="J4637" t="s">
        <v>32729</v>
      </c>
      <c r="K4637" t="s">
        <v>40698</v>
      </c>
      <c r="M4637" t="s">
        <v>42287</v>
      </c>
      <c r="N4637" t="s">
        <v>44905</v>
      </c>
      <c r="O4637" t="s">
        <v>44906</v>
      </c>
      <c r="P4637">
        <v>0</v>
      </c>
      <c r="Q4637">
        <v>0</v>
      </c>
      <c r="R4637" t="s">
        <v>44908</v>
      </c>
      <c r="S4637" t="s">
        <v>45042</v>
      </c>
      <c r="T4637" t="s">
        <v>46686</v>
      </c>
      <c r="U4637" t="s">
        <v>49706</v>
      </c>
      <c r="W4637" t="s">
        <v>42287</v>
      </c>
      <c r="X4637" t="s">
        <v>44909</v>
      </c>
    </row>
    <row r="4638" spans="1:24">
      <c r="A4638">
        <f>HYPERLINK("https://www.philgeps.gov.ph/GEPSNONPILOT/Tender/SplashBidNoticeAbstractUI.aspx?menuIndex=3&amp;refID=7081359&amp;Result=3","7081359")</f>
        <v>0</v>
      </c>
      <c r="B4638" t="s">
        <v>1507</v>
      </c>
      <c r="C4638" t="s">
        <v>7961</v>
      </c>
      <c r="D4638" t="s">
        <v>18113</v>
      </c>
      <c r="E4638" t="s">
        <v>22331</v>
      </c>
      <c r="F4638" t="s">
        <v>31362</v>
      </c>
      <c r="G4638" t="s">
        <v>31369</v>
      </c>
      <c r="H4638" t="s">
        <v>15799</v>
      </c>
      <c r="I4638" t="s">
        <v>31390</v>
      </c>
      <c r="J4638" t="s">
        <v>34524</v>
      </c>
      <c r="K4638" t="s">
        <v>40680</v>
      </c>
      <c r="M4638" t="s">
        <v>42547</v>
      </c>
      <c r="N4638" t="s">
        <v>44905</v>
      </c>
      <c r="O4638" t="s">
        <v>44906</v>
      </c>
      <c r="P4638">
        <v>0</v>
      </c>
      <c r="Q4638">
        <v>0</v>
      </c>
      <c r="R4638" t="s">
        <v>44908</v>
      </c>
      <c r="S4638" t="s">
        <v>45042</v>
      </c>
      <c r="T4638" t="s">
        <v>46493</v>
      </c>
      <c r="U4638" t="s">
        <v>50707</v>
      </c>
      <c r="V4638" t="s">
        <v>59473</v>
      </c>
      <c r="W4638" t="s">
        <v>42547</v>
      </c>
      <c r="X4638" t="s">
        <v>44909</v>
      </c>
    </row>
    <row r="4639" spans="1:24">
      <c r="A4639">
        <f>HYPERLINK("https://www.philgeps.gov.ph/GEPSNONPILOT/Tender/SplashBidNoticeAbstractUI.aspx?menuIndex=3&amp;refID=7081371&amp;Result=3","7081371")</f>
        <v>0</v>
      </c>
      <c r="B4639" t="s">
        <v>218</v>
      </c>
      <c r="C4639" t="s">
        <v>7962</v>
      </c>
      <c r="D4639" t="s">
        <v>18110</v>
      </c>
      <c r="E4639" t="s">
        <v>22332</v>
      </c>
      <c r="F4639" t="s">
        <v>31362</v>
      </c>
      <c r="G4639" t="s">
        <v>31370</v>
      </c>
      <c r="H4639" t="s">
        <v>15799</v>
      </c>
      <c r="I4639" t="s">
        <v>31393</v>
      </c>
      <c r="J4639" t="s">
        <v>31575</v>
      </c>
      <c r="K4639" t="s">
        <v>40665</v>
      </c>
      <c r="M4639" t="s">
        <v>42601</v>
      </c>
      <c r="N4639" t="s">
        <v>44905</v>
      </c>
      <c r="O4639" t="s">
        <v>44906</v>
      </c>
      <c r="P4639">
        <v>0</v>
      </c>
      <c r="Q4639">
        <v>6</v>
      </c>
      <c r="R4639" t="s">
        <v>44908</v>
      </c>
      <c r="S4639" t="s">
        <v>45042</v>
      </c>
      <c r="T4639" t="s">
        <v>46410</v>
      </c>
      <c r="U4639" t="s">
        <v>48481</v>
      </c>
      <c r="W4639" t="s">
        <v>42601</v>
      </c>
      <c r="X4639" t="s">
        <v>44909</v>
      </c>
    </row>
    <row r="4640" spans="1:24">
      <c r="A4640">
        <f>HYPERLINK("https://www.philgeps.gov.ph/GEPSNONPILOT/Tender/SplashBidNoticeAbstractUI.aspx?menuIndex=3&amp;refID=7081374&amp;Result=3","7081374")</f>
        <v>0</v>
      </c>
      <c r="B4640" t="s">
        <v>1549</v>
      </c>
      <c r="C4640" t="s">
        <v>7963</v>
      </c>
      <c r="D4640" t="s">
        <v>18113</v>
      </c>
      <c r="E4640" t="s">
        <v>22333</v>
      </c>
      <c r="F4640" t="s">
        <v>31362</v>
      </c>
      <c r="G4640" t="s">
        <v>31368</v>
      </c>
      <c r="H4640" t="s">
        <v>15799</v>
      </c>
      <c r="I4640" t="s">
        <v>6240</v>
      </c>
      <c r="J4640" t="s">
        <v>34525</v>
      </c>
      <c r="K4640" t="s">
        <v>40665</v>
      </c>
      <c r="L4640" t="s">
        <v>1549</v>
      </c>
      <c r="M4640" t="s">
        <v>42597</v>
      </c>
      <c r="N4640" t="s">
        <v>44905</v>
      </c>
      <c r="O4640" t="s">
        <v>44906</v>
      </c>
      <c r="P4640">
        <v>0</v>
      </c>
      <c r="Q4640">
        <v>0</v>
      </c>
      <c r="R4640" t="s">
        <v>44908</v>
      </c>
      <c r="S4640" t="s">
        <v>45042</v>
      </c>
      <c r="T4640" t="s">
        <v>46498</v>
      </c>
      <c r="U4640" t="s">
        <v>50665</v>
      </c>
      <c r="W4640" t="s">
        <v>42597</v>
      </c>
      <c r="X4640" t="s">
        <v>44909</v>
      </c>
    </row>
    <row r="4641" spans="1:24">
      <c r="A4641">
        <f>HYPERLINK("https://www.philgeps.gov.ph/GEPSNONPILOT/Tender/SplashBidNoticeAbstractUI.aspx?menuIndex=3&amp;refID=7081367&amp;Result=3","7081367")</f>
        <v>0</v>
      </c>
      <c r="B4641" t="s">
        <v>1561</v>
      </c>
      <c r="C4641" t="s">
        <v>7964</v>
      </c>
      <c r="D4641" t="s">
        <v>18117</v>
      </c>
      <c r="E4641" t="s">
        <v>22334</v>
      </c>
      <c r="F4641" t="s">
        <v>31362</v>
      </c>
      <c r="G4641" t="s">
        <v>31369</v>
      </c>
      <c r="H4641" t="s">
        <v>15799</v>
      </c>
      <c r="I4641" t="s">
        <v>3815</v>
      </c>
      <c r="J4641" t="s">
        <v>34526</v>
      </c>
      <c r="K4641" t="s">
        <v>40675</v>
      </c>
      <c r="M4641" t="s">
        <v>42612</v>
      </c>
      <c r="N4641" t="s">
        <v>44905</v>
      </c>
      <c r="O4641" t="s">
        <v>44906</v>
      </c>
      <c r="P4641">
        <v>0</v>
      </c>
      <c r="Q4641">
        <v>3</v>
      </c>
      <c r="R4641" t="s">
        <v>44908</v>
      </c>
      <c r="S4641" t="s">
        <v>45042</v>
      </c>
      <c r="T4641" t="s">
        <v>46449</v>
      </c>
      <c r="U4641" t="s">
        <v>50708</v>
      </c>
      <c r="V4641" t="s">
        <v>59490</v>
      </c>
      <c r="W4641" t="s">
        <v>42612</v>
      </c>
      <c r="X4641" t="s">
        <v>44909</v>
      </c>
    </row>
    <row r="4642" spans="1:24">
      <c r="A4642">
        <f>HYPERLINK("https://www.philgeps.gov.ph/GEPSNONPILOT/Tender/SplashBidNoticeAbstractUI.aspx?menuIndex=3&amp;refID=7081366&amp;Result=3","7081366")</f>
        <v>0</v>
      </c>
      <c r="B4642" t="s">
        <v>908</v>
      </c>
      <c r="C4642" t="s">
        <v>7965</v>
      </c>
      <c r="D4642" t="s">
        <v>18155</v>
      </c>
      <c r="E4642" t="s">
        <v>22335</v>
      </c>
      <c r="F4642" t="s">
        <v>31362</v>
      </c>
      <c r="G4642" t="s">
        <v>31368</v>
      </c>
      <c r="H4642" t="s">
        <v>15799</v>
      </c>
      <c r="I4642" t="s">
        <v>7188</v>
      </c>
      <c r="J4642" t="s">
        <v>34527</v>
      </c>
      <c r="K4642" t="s">
        <v>40666</v>
      </c>
      <c r="M4642" t="s">
        <v>41979</v>
      </c>
      <c r="N4642" t="s">
        <v>44905</v>
      </c>
      <c r="O4642" t="s">
        <v>44906</v>
      </c>
      <c r="P4642">
        <v>0</v>
      </c>
      <c r="Q4642">
        <v>3</v>
      </c>
      <c r="R4642" t="s">
        <v>44908</v>
      </c>
      <c r="S4642" t="s">
        <v>45042</v>
      </c>
      <c r="T4642" t="s">
        <v>46506</v>
      </c>
      <c r="U4642" t="s">
        <v>50709</v>
      </c>
      <c r="W4642" t="s">
        <v>41979</v>
      </c>
      <c r="X4642" t="s">
        <v>44909</v>
      </c>
    </row>
    <row r="4643" spans="1:24">
      <c r="A4643">
        <f>HYPERLINK("https://www.philgeps.gov.ph/GEPSNONPILOT/Tender/SplashBidNoticeAbstractUI.aspx?menuIndex=3&amp;refID=7081336&amp;Result=3","7081336")</f>
        <v>0</v>
      </c>
      <c r="B4643" t="s">
        <v>575</v>
      </c>
      <c r="C4643" t="s">
        <v>7966</v>
      </c>
      <c r="D4643" t="s">
        <v>18108</v>
      </c>
      <c r="E4643" t="s">
        <v>22336</v>
      </c>
      <c r="F4643" t="s">
        <v>31362</v>
      </c>
      <c r="G4643" t="s">
        <v>31368</v>
      </c>
      <c r="H4643" t="s">
        <v>15799</v>
      </c>
      <c r="I4643" t="s">
        <v>3815</v>
      </c>
      <c r="J4643" t="s">
        <v>34528</v>
      </c>
      <c r="K4643" t="s">
        <v>40672</v>
      </c>
      <c r="M4643" t="s">
        <v>41531</v>
      </c>
      <c r="N4643" t="s">
        <v>44905</v>
      </c>
      <c r="O4643" t="s">
        <v>44906</v>
      </c>
      <c r="P4643">
        <v>0</v>
      </c>
      <c r="Q4643">
        <v>0</v>
      </c>
      <c r="R4643" t="s">
        <v>44908</v>
      </c>
      <c r="S4643" t="s">
        <v>45042</v>
      </c>
      <c r="T4643" t="s">
        <v>46409</v>
      </c>
      <c r="U4643" t="s">
        <v>50710</v>
      </c>
      <c r="W4643" t="s">
        <v>41531</v>
      </c>
      <c r="X4643" t="s">
        <v>44909</v>
      </c>
    </row>
    <row r="4644" spans="1:24">
      <c r="A4644">
        <f>HYPERLINK("https://www.philgeps.gov.ph/GEPSNONPILOT/Tender/SplashBidNoticeAbstractUI.aspx?menuIndex=3&amp;refID=7081365&amp;Result=3","7081365")</f>
        <v>0</v>
      </c>
      <c r="B4644" t="s">
        <v>1549</v>
      </c>
      <c r="C4644" t="s">
        <v>7967</v>
      </c>
      <c r="D4644" t="s">
        <v>18113</v>
      </c>
      <c r="E4644" t="s">
        <v>22337</v>
      </c>
      <c r="F4644" t="s">
        <v>31362</v>
      </c>
      <c r="G4644" t="s">
        <v>31368</v>
      </c>
      <c r="H4644" t="s">
        <v>15799</v>
      </c>
      <c r="I4644" t="s">
        <v>31431</v>
      </c>
      <c r="J4644" t="s">
        <v>34529</v>
      </c>
      <c r="K4644" t="s">
        <v>40670</v>
      </c>
      <c r="L4644" t="s">
        <v>1549</v>
      </c>
      <c r="M4644" t="s">
        <v>42597</v>
      </c>
      <c r="N4644" t="s">
        <v>44905</v>
      </c>
      <c r="O4644" t="s">
        <v>44906</v>
      </c>
      <c r="P4644">
        <v>0</v>
      </c>
      <c r="Q4644">
        <v>0</v>
      </c>
      <c r="R4644" t="s">
        <v>44908</v>
      </c>
      <c r="S4644" t="s">
        <v>45042</v>
      </c>
      <c r="T4644" t="s">
        <v>46498</v>
      </c>
      <c r="U4644" t="s">
        <v>50665</v>
      </c>
      <c r="W4644" t="s">
        <v>42597</v>
      </c>
      <c r="X4644" t="s">
        <v>44909</v>
      </c>
    </row>
    <row r="4645" spans="1:24">
      <c r="A4645">
        <f>HYPERLINK("https://www.philgeps.gov.ph/GEPSNONPILOT/Tender/SplashBidNoticeAbstractUI.aspx?menuIndex=3&amp;refID=7081363&amp;Result=3","7081363")</f>
        <v>0</v>
      </c>
      <c r="B4645" t="s">
        <v>335</v>
      </c>
      <c r="C4645" t="s">
        <v>7968</v>
      </c>
      <c r="D4645" t="s">
        <v>18108</v>
      </c>
      <c r="E4645" t="s">
        <v>22338</v>
      </c>
      <c r="F4645" t="s">
        <v>31362</v>
      </c>
      <c r="G4645" t="s">
        <v>31368</v>
      </c>
      <c r="H4645" t="s">
        <v>15799</v>
      </c>
      <c r="I4645" t="s">
        <v>7090</v>
      </c>
      <c r="J4645" t="s">
        <v>34530</v>
      </c>
      <c r="K4645" t="s">
        <v>40661</v>
      </c>
      <c r="M4645" t="s">
        <v>42613</v>
      </c>
      <c r="N4645" t="s">
        <v>44905</v>
      </c>
      <c r="O4645" t="s">
        <v>44906</v>
      </c>
      <c r="P4645">
        <v>0</v>
      </c>
      <c r="Q4645">
        <v>0</v>
      </c>
      <c r="R4645" t="s">
        <v>44908</v>
      </c>
      <c r="S4645" t="s">
        <v>45042</v>
      </c>
      <c r="T4645" t="s">
        <v>46447</v>
      </c>
      <c r="U4645" t="s">
        <v>47496</v>
      </c>
      <c r="W4645" t="s">
        <v>42613</v>
      </c>
      <c r="X4645" t="s">
        <v>44909</v>
      </c>
    </row>
    <row r="4646" spans="1:24">
      <c r="A4646">
        <f>HYPERLINK("https://www.philgeps.gov.ph/GEPSNONPILOT/Tender/SplashBidNoticeAbstractUI.aspx?menuIndex=3&amp;refID=7081372&amp;Result=3","7081372")</f>
        <v>0</v>
      </c>
      <c r="B4646" t="s">
        <v>1446</v>
      </c>
      <c r="C4646" t="s">
        <v>7969</v>
      </c>
      <c r="D4646" t="s">
        <v>18108</v>
      </c>
      <c r="E4646" t="s">
        <v>22339</v>
      </c>
      <c r="F4646" t="s">
        <v>31362</v>
      </c>
      <c r="G4646" t="s">
        <v>31368</v>
      </c>
      <c r="H4646" t="s">
        <v>15799</v>
      </c>
      <c r="I4646" t="s">
        <v>31402</v>
      </c>
      <c r="J4646" t="s">
        <v>32249</v>
      </c>
      <c r="K4646" t="s">
        <v>40662</v>
      </c>
      <c r="M4646" t="s">
        <v>42475</v>
      </c>
      <c r="N4646" t="s">
        <v>44905</v>
      </c>
      <c r="O4646" t="s">
        <v>44906</v>
      </c>
      <c r="Q4646">
        <v>7</v>
      </c>
      <c r="R4646" t="s">
        <v>44908</v>
      </c>
      <c r="S4646" t="s">
        <v>45055</v>
      </c>
      <c r="T4646" t="s">
        <v>46498</v>
      </c>
      <c r="U4646" t="s">
        <v>50711</v>
      </c>
      <c r="W4646" t="s">
        <v>42475</v>
      </c>
      <c r="X4646" t="s">
        <v>44909</v>
      </c>
    </row>
    <row r="4647" spans="1:24">
      <c r="A4647">
        <f>HYPERLINK("https://www.philgeps.gov.ph/GEPSNONPILOT/Tender/SplashBidNoticeAbstractUI.aspx?menuIndex=3&amp;refID=7081382&amp;Result=3","7081382")</f>
        <v>0</v>
      </c>
      <c r="B4647" t="s">
        <v>1549</v>
      </c>
      <c r="C4647" t="s">
        <v>7970</v>
      </c>
      <c r="D4647" t="s">
        <v>18113</v>
      </c>
      <c r="E4647" t="s">
        <v>22340</v>
      </c>
      <c r="F4647" t="s">
        <v>31362</v>
      </c>
      <c r="G4647" t="s">
        <v>31368</v>
      </c>
      <c r="H4647" t="s">
        <v>15799</v>
      </c>
      <c r="I4647" t="s">
        <v>4942</v>
      </c>
      <c r="J4647" t="s">
        <v>34531</v>
      </c>
      <c r="K4647" t="s">
        <v>40666</v>
      </c>
      <c r="L4647" t="s">
        <v>1549</v>
      </c>
      <c r="M4647" t="s">
        <v>42597</v>
      </c>
      <c r="N4647" t="s">
        <v>44905</v>
      </c>
      <c r="O4647" t="s">
        <v>44906</v>
      </c>
      <c r="P4647">
        <v>0</v>
      </c>
      <c r="Q4647">
        <v>0</v>
      </c>
      <c r="R4647" t="s">
        <v>44908</v>
      </c>
      <c r="S4647" t="s">
        <v>45042</v>
      </c>
      <c r="T4647" t="s">
        <v>46498</v>
      </c>
      <c r="U4647" t="s">
        <v>50665</v>
      </c>
      <c r="W4647" t="s">
        <v>42597</v>
      </c>
      <c r="X4647" t="s">
        <v>44909</v>
      </c>
    </row>
    <row r="4648" spans="1:24">
      <c r="A4648">
        <f>HYPERLINK("https://www.philgeps.gov.ph/GEPSNONPILOT/Tender/SplashBidNoticeAbstractUI.aspx?menuIndex=3&amp;refID=7081368&amp;Result=3","7081368")</f>
        <v>0</v>
      </c>
      <c r="B4648" t="s">
        <v>1559</v>
      </c>
      <c r="C4648" t="s">
        <v>7971</v>
      </c>
      <c r="D4648" t="s">
        <v>18108</v>
      </c>
      <c r="E4648" t="s">
        <v>22341</v>
      </c>
      <c r="F4648" t="s">
        <v>31362</v>
      </c>
      <c r="G4648" t="s">
        <v>31369</v>
      </c>
      <c r="H4648" t="s">
        <v>15799</v>
      </c>
      <c r="I4648" t="s">
        <v>31380</v>
      </c>
      <c r="J4648" t="s">
        <v>34532</v>
      </c>
      <c r="K4648" t="s">
        <v>40666</v>
      </c>
      <c r="M4648" t="s">
        <v>42610</v>
      </c>
      <c r="N4648" t="s">
        <v>44905</v>
      </c>
      <c r="O4648" t="s">
        <v>44906</v>
      </c>
      <c r="P4648">
        <v>0</v>
      </c>
      <c r="Q4648">
        <v>8</v>
      </c>
      <c r="R4648" t="s">
        <v>44908</v>
      </c>
      <c r="S4648" t="s">
        <v>45042</v>
      </c>
      <c r="T4648" t="s">
        <v>46431</v>
      </c>
      <c r="U4648" t="s">
        <v>50712</v>
      </c>
      <c r="W4648" t="s">
        <v>42610</v>
      </c>
      <c r="X4648" t="s">
        <v>44909</v>
      </c>
    </row>
    <row r="4649" spans="1:24">
      <c r="A4649">
        <f>HYPERLINK("https://www.philgeps.gov.ph/GEPSNONPILOT/Tender/SplashBidNoticeAbstractUI.aspx?menuIndex=3&amp;refID=7081381&amp;Result=3","7081381")</f>
        <v>0</v>
      </c>
      <c r="B4649" t="s">
        <v>1352</v>
      </c>
      <c r="C4649" t="s">
        <v>7972</v>
      </c>
      <c r="D4649" t="s">
        <v>18108</v>
      </c>
      <c r="E4649" t="s">
        <v>22342</v>
      </c>
      <c r="F4649" t="s">
        <v>31362</v>
      </c>
      <c r="G4649" t="s">
        <v>31368</v>
      </c>
      <c r="H4649" t="s">
        <v>15799</v>
      </c>
      <c r="I4649" t="s">
        <v>3815</v>
      </c>
      <c r="J4649" t="s">
        <v>34017</v>
      </c>
      <c r="K4649" t="s">
        <v>40661</v>
      </c>
      <c r="M4649" t="s">
        <v>42373</v>
      </c>
      <c r="N4649" t="s">
        <v>44905</v>
      </c>
      <c r="O4649" t="s">
        <v>44906</v>
      </c>
      <c r="Q4649">
        <v>2</v>
      </c>
      <c r="R4649" t="s">
        <v>44908</v>
      </c>
      <c r="S4649" t="s">
        <v>45056</v>
      </c>
      <c r="T4649" t="s">
        <v>46446</v>
      </c>
      <c r="U4649" t="s">
        <v>49923</v>
      </c>
      <c r="W4649" t="s">
        <v>42373</v>
      </c>
      <c r="X4649" t="s">
        <v>44909</v>
      </c>
    </row>
    <row r="4650" spans="1:24">
      <c r="A4650">
        <f>HYPERLINK("https://www.philgeps.gov.ph/GEPSNONPILOT/Tender/SplashBidNoticeAbstractUI.aspx?menuIndex=3&amp;refID=7081379&amp;Result=3","7081379")</f>
        <v>0</v>
      </c>
      <c r="B4650" t="s">
        <v>833</v>
      </c>
      <c r="C4650" t="s">
        <v>7973</v>
      </c>
      <c r="D4650" t="s">
        <v>18171</v>
      </c>
      <c r="E4650" t="s">
        <v>22343</v>
      </c>
      <c r="F4650" t="s">
        <v>31362</v>
      </c>
      <c r="G4650" t="s">
        <v>31369</v>
      </c>
      <c r="H4650" t="s">
        <v>31378</v>
      </c>
      <c r="I4650" t="s">
        <v>31386</v>
      </c>
      <c r="J4650" t="s">
        <v>32964</v>
      </c>
      <c r="K4650" t="s">
        <v>40675</v>
      </c>
      <c r="M4650" t="s">
        <v>41807</v>
      </c>
      <c r="N4650" t="s">
        <v>44905</v>
      </c>
      <c r="O4650" t="s">
        <v>44906</v>
      </c>
      <c r="P4650">
        <v>0</v>
      </c>
      <c r="Q4650">
        <v>0</v>
      </c>
      <c r="R4650" t="s">
        <v>44908</v>
      </c>
      <c r="S4650" t="s">
        <v>45042</v>
      </c>
      <c r="T4650" t="s">
        <v>46449</v>
      </c>
      <c r="U4650" t="s">
        <v>50713</v>
      </c>
      <c r="V4650" t="s">
        <v>59491</v>
      </c>
      <c r="W4650" t="s">
        <v>41807</v>
      </c>
      <c r="X4650" t="s">
        <v>44909</v>
      </c>
    </row>
    <row r="4651" spans="1:24">
      <c r="A4651">
        <f>HYPERLINK("https://www.philgeps.gov.ph/GEPSNONPILOT/Tender/SplashBidNoticeAbstractUI.aspx?menuIndex=3&amp;refID=7081364&amp;Result=3","7081364")</f>
        <v>0</v>
      </c>
      <c r="B4651" t="s">
        <v>155</v>
      </c>
      <c r="C4651" t="s">
        <v>7974</v>
      </c>
      <c r="D4651" t="s">
        <v>18108</v>
      </c>
      <c r="E4651" t="s">
        <v>22344</v>
      </c>
      <c r="F4651" t="s">
        <v>31362</v>
      </c>
      <c r="G4651" t="s">
        <v>31368</v>
      </c>
      <c r="H4651" t="s">
        <v>15799</v>
      </c>
      <c r="I4651" t="s">
        <v>7719</v>
      </c>
      <c r="J4651" t="s">
        <v>34533</v>
      </c>
      <c r="K4651" t="s">
        <v>40662</v>
      </c>
      <c r="M4651" t="s">
        <v>41093</v>
      </c>
      <c r="N4651" t="s">
        <v>44905</v>
      </c>
      <c r="O4651" t="s">
        <v>44906</v>
      </c>
      <c r="P4651">
        <v>0</v>
      </c>
      <c r="Q4651">
        <v>9</v>
      </c>
      <c r="R4651" t="s">
        <v>44908</v>
      </c>
      <c r="S4651" t="s">
        <v>45042</v>
      </c>
      <c r="T4651" t="s">
        <v>46443</v>
      </c>
      <c r="U4651" t="s">
        <v>50714</v>
      </c>
      <c r="W4651" t="s">
        <v>41093</v>
      </c>
      <c r="X4651" t="s">
        <v>44909</v>
      </c>
    </row>
    <row r="4652" spans="1:24">
      <c r="A4652">
        <f>HYPERLINK("https://www.philgeps.gov.ph/GEPSNONPILOT/Tender/SplashBidNoticeAbstractUI.aspx?menuIndex=3&amp;refID=7081376&amp;Result=3","7081376")</f>
        <v>0</v>
      </c>
      <c r="B4652" t="s">
        <v>1562</v>
      </c>
      <c r="C4652" t="s">
        <v>7975</v>
      </c>
      <c r="D4652" t="s">
        <v>18140</v>
      </c>
      <c r="E4652" t="s">
        <v>22345</v>
      </c>
      <c r="F4652" t="s">
        <v>31362</v>
      </c>
      <c r="G4652" t="s">
        <v>31369</v>
      </c>
      <c r="H4652" t="s">
        <v>31378</v>
      </c>
      <c r="I4652" t="s">
        <v>31386</v>
      </c>
      <c r="J4652" t="s">
        <v>34534</v>
      </c>
      <c r="K4652" t="s">
        <v>40716</v>
      </c>
      <c r="M4652" t="s">
        <v>42614</v>
      </c>
      <c r="N4652" t="s">
        <v>44905</v>
      </c>
      <c r="O4652" t="s">
        <v>44906</v>
      </c>
      <c r="P4652">
        <v>0</v>
      </c>
      <c r="Q4652">
        <v>1</v>
      </c>
      <c r="R4652" t="s">
        <v>44908</v>
      </c>
      <c r="S4652" t="s">
        <v>45042</v>
      </c>
      <c r="T4652" t="s">
        <v>46449</v>
      </c>
      <c r="U4652" t="s">
        <v>50715</v>
      </c>
      <c r="V4652" t="s">
        <v>59492</v>
      </c>
      <c r="W4652" t="s">
        <v>42614</v>
      </c>
      <c r="X4652" t="s">
        <v>44909</v>
      </c>
    </row>
    <row r="4653" spans="1:24">
      <c r="A4653">
        <f>HYPERLINK("https://www.philgeps.gov.ph/GEPSNONPILOT/Tender/SplashBidNoticeAbstractUI.aspx?menuIndex=3&amp;refID=7081361&amp;Result=3","7081361")</f>
        <v>0</v>
      </c>
      <c r="B4653" t="s">
        <v>1563</v>
      </c>
      <c r="C4653" t="s">
        <v>7976</v>
      </c>
      <c r="D4653" t="s">
        <v>18138</v>
      </c>
      <c r="E4653" t="s">
        <v>22346</v>
      </c>
      <c r="F4653" t="s">
        <v>31362</v>
      </c>
      <c r="G4653" t="s">
        <v>31368</v>
      </c>
      <c r="H4653" t="s">
        <v>15799</v>
      </c>
      <c r="I4653" t="s">
        <v>31384</v>
      </c>
      <c r="J4653" t="s">
        <v>32519</v>
      </c>
      <c r="K4653" t="s">
        <v>40667</v>
      </c>
      <c r="M4653" t="s">
        <v>42615</v>
      </c>
      <c r="N4653" t="s">
        <v>44905</v>
      </c>
      <c r="O4653" t="s">
        <v>44906</v>
      </c>
      <c r="P4653">
        <v>0</v>
      </c>
      <c r="Q4653">
        <v>1</v>
      </c>
      <c r="R4653" t="s">
        <v>44908</v>
      </c>
      <c r="S4653" t="s">
        <v>45042</v>
      </c>
      <c r="T4653" t="s">
        <v>46394</v>
      </c>
      <c r="U4653" t="s">
        <v>50716</v>
      </c>
      <c r="W4653" t="s">
        <v>42615</v>
      </c>
      <c r="X4653" t="s">
        <v>44909</v>
      </c>
    </row>
    <row r="4654" spans="1:24">
      <c r="A4654">
        <f>HYPERLINK("https://www.philgeps.gov.ph/GEPSNONPILOT/Tender/SplashBidNoticeAbstractUI.aspx?menuIndex=3&amp;refID=7081380&amp;Result=3","7081380")</f>
        <v>0</v>
      </c>
      <c r="B4654" t="s">
        <v>1547</v>
      </c>
      <c r="C4654" t="s">
        <v>7977</v>
      </c>
      <c r="E4654" t="s">
        <v>22347</v>
      </c>
      <c r="F4654" t="s">
        <v>31362</v>
      </c>
      <c r="G4654" t="s">
        <v>31369</v>
      </c>
      <c r="H4654" t="s">
        <v>15799</v>
      </c>
      <c r="I4654" t="s">
        <v>3582</v>
      </c>
      <c r="J4654" t="s">
        <v>34535</v>
      </c>
      <c r="K4654" t="s">
        <v>40686</v>
      </c>
      <c r="M4654" t="s">
        <v>42595</v>
      </c>
      <c r="N4654" t="s">
        <v>44905</v>
      </c>
      <c r="O4654" t="s">
        <v>44906</v>
      </c>
      <c r="P4654">
        <v>0</v>
      </c>
      <c r="Q4654">
        <v>0</v>
      </c>
      <c r="R4654" t="s">
        <v>44908</v>
      </c>
      <c r="S4654" t="s">
        <v>45042</v>
      </c>
      <c r="T4654" t="s">
        <v>46449</v>
      </c>
      <c r="U4654" t="s">
        <v>50717</v>
      </c>
      <c r="W4654" t="s">
        <v>42595</v>
      </c>
      <c r="X4654" t="s">
        <v>44909</v>
      </c>
    </row>
    <row r="4655" spans="1:24">
      <c r="A4655">
        <f>HYPERLINK("https://www.philgeps.gov.ph/GEPSNONPILOT/Tender/SplashBidNoticeAbstractUI.aspx?menuIndex=3&amp;refID=7081332&amp;Result=3","7081332")</f>
        <v>0</v>
      </c>
      <c r="B4655" t="s">
        <v>1547</v>
      </c>
      <c r="C4655" t="s">
        <v>7978</v>
      </c>
      <c r="E4655" t="s">
        <v>22348</v>
      </c>
      <c r="F4655" t="s">
        <v>31362</v>
      </c>
      <c r="G4655" t="s">
        <v>31369</v>
      </c>
      <c r="H4655" t="s">
        <v>31377</v>
      </c>
      <c r="I4655" t="s">
        <v>31377</v>
      </c>
      <c r="J4655" t="s">
        <v>34536</v>
      </c>
      <c r="K4655" t="s">
        <v>40749</v>
      </c>
      <c r="M4655" t="s">
        <v>42595</v>
      </c>
      <c r="N4655" t="s">
        <v>44905</v>
      </c>
      <c r="O4655" t="s">
        <v>44906</v>
      </c>
      <c r="P4655">
        <v>0</v>
      </c>
      <c r="Q4655">
        <v>2</v>
      </c>
      <c r="R4655" t="s">
        <v>44908</v>
      </c>
      <c r="S4655" t="s">
        <v>45042</v>
      </c>
      <c r="T4655" t="s">
        <v>46396</v>
      </c>
      <c r="U4655" t="s">
        <v>50718</v>
      </c>
      <c r="W4655" t="s">
        <v>42595</v>
      </c>
      <c r="X4655" t="s">
        <v>44909</v>
      </c>
    </row>
    <row r="4656" spans="1:24">
      <c r="A4656">
        <f>HYPERLINK("https://www.philgeps.gov.ph/GEPSNONPILOT/Tender/SplashBidNoticeAbstractUI.aspx?menuIndex=3&amp;refID=7081378&amp;Result=3","7081378")</f>
        <v>0</v>
      </c>
      <c r="B4656" t="s">
        <v>1549</v>
      </c>
      <c r="C4656" t="s">
        <v>7979</v>
      </c>
      <c r="D4656" t="s">
        <v>18113</v>
      </c>
      <c r="E4656" t="s">
        <v>22349</v>
      </c>
      <c r="F4656" t="s">
        <v>31362</v>
      </c>
      <c r="G4656" t="s">
        <v>31368</v>
      </c>
      <c r="H4656" t="s">
        <v>15799</v>
      </c>
      <c r="I4656" t="s">
        <v>31430</v>
      </c>
      <c r="J4656" t="s">
        <v>31897</v>
      </c>
      <c r="K4656" t="s">
        <v>40670</v>
      </c>
      <c r="L4656" t="s">
        <v>1549</v>
      </c>
      <c r="M4656" t="s">
        <v>42597</v>
      </c>
      <c r="N4656" t="s">
        <v>44905</v>
      </c>
      <c r="O4656" t="s">
        <v>44906</v>
      </c>
      <c r="P4656">
        <v>0</v>
      </c>
      <c r="Q4656">
        <v>1</v>
      </c>
      <c r="R4656" t="s">
        <v>44908</v>
      </c>
      <c r="S4656" t="s">
        <v>45042</v>
      </c>
      <c r="T4656" t="s">
        <v>46498</v>
      </c>
      <c r="U4656" t="s">
        <v>50665</v>
      </c>
      <c r="W4656" t="s">
        <v>42597</v>
      </c>
      <c r="X4656" t="s">
        <v>44909</v>
      </c>
    </row>
    <row r="4657" spans="1:24">
      <c r="A4657">
        <f>HYPERLINK("https://www.philgeps.gov.ph/GEPSNONPILOT/Tender/SplashBidNoticeAbstractUI.aspx?menuIndex=3&amp;refID=7081383&amp;Result=3","7081383")</f>
        <v>0</v>
      </c>
      <c r="B4657" t="s">
        <v>1564</v>
      </c>
      <c r="C4657" t="s">
        <v>7980</v>
      </c>
      <c r="D4657" t="s">
        <v>18127</v>
      </c>
      <c r="E4657" t="s">
        <v>22350</v>
      </c>
      <c r="F4657" t="s">
        <v>31362</v>
      </c>
      <c r="G4657" t="s">
        <v>31368</v>
      </c>
      <c r="H4657" t="s">
        <v>31379</v>
      </c>
      <c r="I4657" t="s">
        <v>6240</v>
      </c>
      <c r="J4657" t="s">
        <v>31645</v>
      </c>
      <c r="K4657" t="s">
        <v>40665</v>
      </c>
      <c r="M4657" t="s">
        <v>42616</v>
      </c>
      <c r="N4657" t="s">
        <v>44905</v>
      </c>
      <c r="O4657" t="s">
        <v>44906</v>
      </c>
      <c r="P4657">
        <v>0</v>
      </c>
      <c r="Q4657">
        <v>0</v>
      </c>
      <c r="R4657" t="s">
        <v>44908</v>
      </c>
      <c r="S4657" t="s">
        <v>45042</v>
      </c>
      <c r="T4657" t="s">
        <v>46432</v>
      </c>
      <c r="U4657" t="s">
        <v>50719</v>
      </c>
      <c r="V4657" t="s">
        <v>59493</v>
      </c>
      <c r="W4657" t="s">
        <v>42616</v>
      </c>
      <c r="X4657" t="s">
        <v>44909</v>
      </c>
    </row>
    <row r="4658" spans="1:24">
      <c r="A4658">
        <f>HYPERLINK("https://www.philgeps.gov.ph/GEPSNONPILOT/Tender/SplashBidNoticeAbstractUI.aspx?menuIndex=3&amp;refID=7081362&amp;Result=3","7081362")</f>
        <v>0</v>
      </c>
      <c r="B4658" t="s">
        <v>1562</v>
      </c>
      <c r="C4658" t="s">
        <v>7981</v>
      </c>
      <c r="D4658" t="s">
        <v>18140</v>
      </c>
      <c r="E4658" t="s">
        <v>22351</v>
      </c>
      <c r="F4658" t="s">
        <v>31362</v>
      </c>
      <c r="G4658" t="s">
        <v>31369</v>
      </c>
      <c r="H4658" t="s">
        <v>31378</v>
      </c>
      <c r="I4658" t="s">
        <v>31386</v>
      </c>
      <c r="J4658" t="s">
        <v>34537</v>
      </c>
      <c r="K4658" t="s">
        <v>40716</v>
      </c>
      <c r="M4658" t="s">
        <v>42614</v>
      </c>
      <c r="N4658" t="s">
        <v>44905</v>
      </c>
      <c r="O4658" t="s">
        <v>44906</v>
      </c>
      <c r="P4658">
        <v>0</v>
      </c>
      <c r="Q4658">
        <v>1</v>
      </c>
      <c r="R4658" t="s">
        <v>44908</v>
      </c>
      <c r="S4658" t="s">
        <v>45042</v>
      </c>
      <c r="T4658" t="s">
        <v>46449</v>
      </c>
      <c r="U4658" t="s">
        <v>50720</v>
      </c>
      <c r="V4658" t="s">
        <v>59494</v>
      </c>
      <c r="W4658" t="s">
        <v>42614</v>
      </c>
      <c r="X4658" t="s">
        <v>44909</v>
      </c>
    </row>
    <row r="4659" spans="1:24">
      <c r="A4659">
        <f>HYPERLINK("https://www.philgeps.gov.ph/GEPSNONPILOT/Tender/SplashBidNoticeAbstractUI.aspx?menuIndex=3&amp;refID=7081400&amp;Result=3","7081400")</f>
        <v>0</v>
      </c>
      <c r="B4659" t="s">
        <v>1316</v>
      </c>
      <c r="C4659" t="s">
        <v>7982</v>
      </c>
      <c r="D4659" t="s">
        <v>18123</v>
      </c>
      <c r="E4659" t="s">
        <v>22352</v>
      </c>
      <c r="F4659" t="s">
        <v>31362</v>
      </c>
      <c r="G4659" t="s">
        <v>31368</v>
      </c>
      <c r="H4659" t="s">
        <v>15799</v>
      </c>
      <c r="I4659" t="s">
        <v>31430</v>
      </c>
      <c r="J4659" t="s">
        <v>34538</v>
      </c>
      <c r="K4659" t="s">
        <v>40666</v>
      </c>
      <c r="M4659" t="s">
        <v>42334</v>
      </c>
      <c r="N4659" t="s">
        <v>44905</v>
      </c>
      <c r="O4659" t="s">
        <v>44906</v>
      </c>
      <c r="P4659">
        <v>0</v>
      </c>
      <c r="Q4659">
        <v>0</v>
      </c>
      <c r="R4659" t="s">
        <v>44908</v>
      </c>
      <c r="S4659" t="s">
        <v>45042</v>
      </c>
      <c r="T4659" t="s">
        <v>46447</v>
      </c>
      <c r="U4659" t="s">
        <v>50721</v>
      </c>
      <c r="V4659" t="s">
        <v>59495</v>
      </c>
      <c r="W4659" t="s">
        <v>42334</v>
      </c>
      <c r="X4659" t="s">
        <v>44909</v>
      </c>
    </row>
    <row r="4660" spans="1:24">
      <c r="A4660">
        <f>HYPERLINK("https://www.philgeps.gov.ph/GEPSNONPILOT/Tender/SplashBidNoticeAbstractUI.aspx?menuIndex=3&amp;refID=7081373&amp;Result=3","7081373")</f>
        <v>0</v>
      </c>
      <c r="B4660" t="s">
        <v>807</v>
      </c>
      <c r="C4660" t="s">
        <v>7983</v>
      </c>
      <c r="D4660" t="s">
        <v>18143</v>
      </c>
      <c r="E4660" t="s">
        <v>22353</v>
      </c>
      <c r="F4660" t="s">
        <v>31362</v>
      </c>
      <c r="G4660" t="s">
        <v>31370</v>
      </c>
      <c r="H4660" t="s">
        <v>15799</v>
      </c>
      <c r="I4660" t="s">
        <v>3815</v>
      </c>
      <c r="J4660" t="s">
        <v>31580</v>
      </c>
      <c r="K4660" t="s">
        <v>40665</v>
      </c>
      <c r="L4660" t="s">
        <v>807</v>
      </c>
      <c r="M4660" t="s">
        <v>41778</v>
      </c>
      <c r="N4660" t="s">
        <v>44905</v>
      </c>
      <c r="O4660" t="s">
        <v>44906</v>
      </c>
      <c r="P4660">
        <v>0</v>
      </c>
      <c r="Q4660">
        <v>0</v>
      </c>
      <c r="R4660" t="s">
        <v>44908</v>
      </c>
      <c r="S4660" t="s">
        <v>45042</v>
      </c>
      <c r="T4660" t="s">
        <v>46478</v>
      </c>
      <c r="U4660" t="s">
        <v>50722</v>
      </c>
      <c r="V4660" t="s">
        <v>59254</v>
      </c>
      <c r="W4660" t="s">
        <v>41778</v>
      </c>
      <c r="X4660" t="s">
        <v>44909</v>
      </c>
    </row>
    <row r="4661" spans="1:24">
      <c r="A4661">
        <f>HYPERLINK("https://www.philgeps.gov.ph/GEPSNONPILOT/Tender/SplashBidNoticeAbstractUI.aspx?menuIndex=3&amp;refID=7081393&amp;Result=3","7081393")</f>
        <v>0</v>
      </c>
      <c r="B4661" t="s">
        <v>575</v>
      </c>
      <c r="C4661" t="s">
        <v>7984</v>
      </c>
      <c r="D4661" t="s">
        <v>18108</v>
      </c>
      <c r="E4661" t="s">
        <v>22354</v>
      </c>
      <c r="F4661" t="s">
        <v>31362</v>
      </c>
      <c r="G4661" t="s">
        <v>31368</v>
      </c>
      <c r="H4661" t="s">
        <v>15799</v>
      </c>
      <c r="I4661" t="s">
        <v>3815</v>
      </c>
      <c r="J4661" t="s">
        <v>34539</v>
      </c>
      <c r="K4661" t="s">
        <v>40672</v>
      </c>
      <c r="M4661" t="s">
        <v>41531</v>
      </c>
      <c r="N4661" t="s">
        <v>44905</v>
      </c>
      <c r="O4661" t="s">
        <v>44906</v>
      </c>
      <c r="P4661">
        <v>0</v>
      </c>
      <c r="Q4661">
        <v>0</v>
      </c>
      <c r="R4661" t="s">
        <v>44908</v>
      </c>
      <c r="S4661" t="s">
        <v>45042</v>
      </c>
      <c r="T4661" t="s">
        <v>46409</v>
      </c>
      <c r="U4661" t="s">
        <v>50723</v>
      </c>
      <c r="W4661" t="s">
        <v>41531</v>
      </c>
      <c r="X4661" t="s">
        <v>44909</v>
      </c>
    </row>
    <row r="4662" spans="1:24">
      <c r="A4662">
        <f>HYPERLINK("https://www.philgeps.gov.ph/GEPSNONPILOT/Tender/SplashBidNoticeAbstractUI.aspx?menuIndex=3&amp;refID=7081334&amp;Result=3","7081334")</f>
        <v>0</v>
      </c>
      <c r="B4662" t="s">
        <v>337</v>
      </c>
      <c r="C4662" t="s">
        <v>7985</v>
      </c>
      <c r="D4662" t="s">
        <v>18148</v>
      </c>
      <c r="E4662" t="s">
        <v>22355</v>
      </c>
      <c r="F4662" t="s">
        <v>31362</v>
      </c>
      <c r="G4662" t="s">
        <v>31368</v>
      </c>
      <c r="H4662" t="s">
        <v>15799</v>
      </c>
      <c r="I4662" t="s">
        <v>31385</v>
      </c>
      <c r="J4662" t="s">
        <v>31688</v>
      </c>
      <c r="K4662" t="s">
        <v>40662</v>
      </c>
      <c r="M4662" t="s">
        <v>41283</v>
      </c>
      <c r="N4662" t="s">
        <v>44905</v>
      </c>
      <c r="O4662" t="s">
        <v>44906</v>
      </c>
      <c r="P4662">
        <v>0</v>
      </c>
      <c r="Q4662">
        <v>0</v>
      </c>
      <c r="R4662" t="s">
        <v>44908</v>
      </c>
      <c r="S4662" t="s">
        <v>45042</v>
      </c>
      <c r="T4662" t="s">
        <v>46414</v>
      </c>
      <c r="U4662" t="s">
        <v>47501</v>
      </c>
      <c r="W4662" t="s">
        <v>41283</v>
      </c>
      <c r="X4662" t="s">
        <v>44909</v>
      </c>
    </row>
    <row r="4663" spans="1:24">
      <c r="A4663">
        <f>HYPERLINK("https://www.philgeps.gov.ph/GEPSNONPILOT/Tender/SplashBidNoticeAbstractUI.aspx?menuIndex=3&amp;refID=7081385&amp;Result=3","7081385")</f>
        <v>0</v>
      </c>
      <c r="B4663" t="s">
        <v>591</v>
      </c>
      <c r="C4663" t="s">
        <v>7986</v>
      </c>
      <c r="D4663" t="s">
        <v>18109</v>
      </c>
      <c r="E4663" t="s">
        <v>22356</v>
      </c>
      <c r="F4663" t="s">
        <v>31362</v>
      </c>
      <c r="G4663" t="s">
        <v>31368</v>
      </c>
      <c r="H4663" t="s">
        <v>15799</v>
      </c>
      <c r="I4663" t="s">
        <v>3815</v>
      </c>
      <c r="J4663" t="s">
        <v>32016</v>
      </c>
      <c r="K4663" t="s">
        <v>40666</v>
      </c>
      <c r="M4663" t="s">
        <v>41548</v>
      </c>
      <c r="N4663" t="s">
        <v>44905</v>
      </c>
      <c r="O4663" t="s">
        <v>44906</v>
      </c>
      <c r="P4663">
        <v>0</v>
      </c>
      <c r="Q4663">
        <v>0</v>
      </c>
      <c r="R4663" t="s">
        <v>44908</v>
      </c>
      <c r="S4663" t="s">
        <v>45042</v>
      </c>
      <c r="T4663" t="s">
        <v>46432</v>
      </c>
      <c r="U4663" t="s">
        <v>48056</v>
      </c>
      <c r="W4663" t="s">
        <v>41548</v>
      </c>
      <c r="X4663" t="s">
        <v>44909</v>
      </c>
    </row>
    <row r="4664" spans="1:24">
      <c r="A4664">
        <f>HYPERLINK("https://www.philgeps.gov.ph/GEPSNONPILOT/Tender/SplashBidNoticeAbstractUI.aspx?menuIndex=3&amp;refID=7081408&amp;Result=3","7081408")</f>
        <v>0</v>
      </c>
      <c r="B4664" t="s">
        <v>1547</v>
      </c>
      <c r="C4664" t="s">
        <v>7987</v>
      </c>
      <c r="E4664" t="s">
        <v>22357</v>
      </c>
      <c r="F4664" t="s">
        <v>31362</v>
      </c>
      <c r="G4664" t="s">
        <v>31369</v>
      </c>
      <c r="H4664" t="s">
        <v>15799</v>
      </c>
      <c r="I4664" t="s">
        <v>31405</v>
      </c>
      <c r="J4664" t="s">
        <v>34540</v>
      </c>
      <c r="K4664" t="s">
        <v>40686</v>
      </c>
      <c r="M4664" t="s">
        <v>42595</v>
      </c>
      <c r="N4664" t="s">
        <v>44905</v>
      </c>
      <c r="O4664" t="s">
        <v>44906</v>
      </c>
      <c r="P4664">
        <v>0</v>
      </c>
      <c r="Q4664">
        <v>1</v>
      </c>
      <c r="R4664" t="s">
        <v>44908</v>
      </c>
      <c r="S4664" t="s">
        <v>45042</v>
      </c>
      <c r="T4664" t="s">
        <v>46449</v>
      </c>
      <c r="U4664" t="s">
        <v>50724</v>
      </c>
      <c r="W4664" t="s">
        <v>42595</v>
      </c>
      <c r="X4664" t="s">
        <v>44909</v>
      </c>
    </row>
    <row r="4665" spans="1:24">
      <c r="A4665">
        <f>HYPERLINK("https://www.philgeps.gov.ph/GEPSNONPILOT/Tender/SplashBidNoticeAbstractUI.aspx?menuIndex=3&amp;refID=7081407&amp;Result=3","7081407")</f>
        <v>0</v>
      </c>
      <c r="B4665" t="s">
        <v>1565</v>
      </c>
      <c r="C4665" t="s">
        <v>7988</v>
      </c>
      <c r="D4665" t="s">
        <v>18142</v>
      </c>
      <c r="E4665" t="s">
        <v>22358</v>
      </c>
      <c r="F4665" t="s">
        <v>31362</v>
      </c>
      <c r="G4665" t="s">
        <v>31369</v>
      </c>
      <c r="H4665" t="s">
        <v>31378</v>
      </c>
      <c r="I4665" t="s">
        <v>31386</v>
      </c>
      <c r="J4665" t="s">
        <v>34541</v>
      </c>
      <c r="K4665" t="s">
        <v>40785</v>
      </c>
      <c r="M4665" t="s">
        <v>42617</v>
      </c>
      <c r="N4665" t="s">
        <v>44905</v>
      </c>
      <c r="O4665" t="s">
        <v>44906</v>
      </c>
      <c r="P4665">
        <v>0</v>
      </c>
      <c r="Q4665">
        <v>1</v>
      </c>
      <c r="R4665" t="s">
        <v>44908</v>
      </c>
      <c r="S4665" t="s">
        <v>45042</v>
      </c>
      <c r="T4665" t="s">
        <v>46449</v>
      </c>
      <c r="U4665" t="s">
        <v>50725</v>
      </c>
      <c r="V4665" t="s">
        <v>59496</v>
      </c>
      <c r="W4665" t="s">
        <v>42617</v>
      </c>
      <c r="X4665" t="s">
        <v>44909</v>
      </c>
    </row>
    <row r="4666" spans="1:24">
      <c r="A4666">
        <f>HYPERLINK("https://www.philgeps.gov.ph/GEPSNONPILOT/Tender/SplashBidNoticeAbstractUI.aspx?menuIndex=3&amp;refID=7081405&amp;Result=3","7081405")</f>
        <v>0</v>
      </c>
      <c r="B4666" t="s">
        <v>1562</v>
      </c>
      <c r="C4666" t="s">
        <v>7989</v>
      </c>
      <c r="D4666" t="s">
        <v>18140</v>
      </c>
      <c r="E4666" t="s">
        <v>22359</v>
      </c>
      <c r="F4666" t="s">
        <v>31362</v>
      </c>
      <c r="G4666" t="s">
        <v>31369</v>
      </c>
      <c r="H4666" t="s">
        <v>31378</v>
      </c>
      <c r="I4666" t="s">
        <v>31386</v>
      </c>
      <c r="J4666" t="s">
        <v>34542</v>
      </c>
      <c r="K4666" t="s">
        <v>40716</v>
      </c>
      <c r="M4666" t="s">
        <v>42614</v>
      </c>
      <c r="N4666" t="s">
        <v>44905</v>
      </c>
      <c r="O4666" t="s">
        <v>44906</v>
      </c>
      <c r="P4666">
        <v>0</v>
      </c>
      <c r="Q4666">
        <v>1</v>
      </c>
      <c r="R4666" t="s">
        <v>44908</v>
      </c>
      <c r="S4666" t="s">
        <v>45042</v>
      </c>
      <c r="T4666" t="s">
        <v>46449</v>
      </c>
      <c r="U4666" t="s">
        <v>50726</v>
      </c>
      <c r="V4666" t="s">
        <v>59497</v>
      </c>
      <c r="W4666" t="s">
        <v>42614</v>
      </c>
      <c r="X4666" t="s">
        <v>44909</v>
      </c>
    </row>
    <row r="4667" spans="1:24">
      <c r="A4667">
        <f>HYPERLINK("https://www.philgeps.gov.ph/GEPSNONPILOT/Tender/SplashBidNoticeAbstractUI.aspx?menuIndex=3&amp;refID=7081403&amp;Result=3","7081403")</f>
        <v>0</v>
      </c>
      <c r="B4667" t="s">
        <v>1549</v>
      </c>
      <c r="C4667" t="s">
        <v>7990</v>
      </c>
      <c r="D4667" t="s">
        <v>18113</v>
      </c>
      <c r="E4667" t="s">
        <v>22360</v>
      </c>
      <c r="F4667" t="s">
        <v>31362</v>
      </c>
      <c r="G4667" t="s">
        <v>31368</v>
      </c>
      <c r="H4667" t="s">
        <v>15799</v>
      </c>
      <c r="I4667" t="s">
        <v>7719</v>
      </c>
      <c r="J4667" t="s">
        <v>34543</v>
      </c>
      <c r="K4667" t="s">
        <v>40666</v>
      </c>
      <c r="L4667" t="s">
        <v>1549</v>
      </c>
      <c r="M4667" t="s">
        <v>42597</v>
      </c>
      <c r="N4667" t="s">
        <v>44905</v>
      </c>
      <c r="O4667" t="s">
        <v>44906</v>
      </c>
      <c r="P4667">
        <v>0</v>
      </c>
      <c r="Q4667">
        <v>2</v>
      </c>
      <c r="R4667" t="s">
        <v>44908</v>
      </c>
      <c r="S4667" t="s">
        <v>45042</v>
      </c>
      <c r="T4667" t="s">
        <v>46498</v>
      </c>
      <c r="U4667" t="s">
        <v>50665</v>
      </c>
      <c r="W4667" t="s">
        <v>42597</v>
      </c>
      <c r="X4667" t="s">
        <v>44909</v>
      </c>
    </row>
    <row r="4668" spans="1:24">
      <c r="A4668">
        <f>HYPERLINK("https://www.philgeps.gov.ph/GEPSNONPILOT/Tender/SplashBidNoticeAbstractUI.aspx?menuIndex=3&amp;refID=7081392&amp;Result=3","7081392")</f>
        <v>0</v>
      </c>
      <c r="B4668" t="s">
        <v>1566</v>
      </c>
      <c r="C4668" t="s">
        <v>7991</v>
      </c>
      <c r="D4668" t="s">
        <v>18108</v>
      </c>
      <c r="E4668" t="s">
        <v>22361</v>
      </c>
      <c r="F4668" t="s">
        <v>31362</v>
      </c>
      <c r="G4668" t="s">
        <v>31368</v>
      </c>
      <c r="H4668" t="s">
        <v>15799</v>
      </c>
      <c r="I4668" t="s">
        <v>31413</v>
      </c>
      <c r="J4668" t="s">
        <v>34544</v>
      </c>
      <c r="K4668" t="s">
        <v>40662</v>
      </c>
      <c r="M4668" t="s">
        <v>42618</v>
      </c>
      <c r="N4668" t="s">
        <v>44905</v>
      </c>
      <c r="O4668" t="s">
        <v>44906</v>
      </c>
      <c r="P4668">
        <v>0</v>
      </c>
      <c r="Q4668">
        <v>0</v>
      </c>
      <c r="R4668" t="s">
        <v>44908</v>
      </c>
      <c r="S4668" t="s">
        <v>45042</v>
      </c>
      <c r="T4668" t="s">
        <v>46454</v>
      </c>
      <c r="U4668" t="s">
        <v>50727</v>
      </c>
      <c r="W4668" t="s">
        <v>42618</v>
      </c>
      <c r="X4668" t="s">
        <v>44909</v>
      </c>
    </row>
    <row r="4669" spans="1:24">
      <c r="A4669">
        <f>HYPERLINK("https://www.philgeps.gov.ph/GEPSNONPILOT/Tender/SplashBidNoticeAbstractUI.aspx?menuIndex=3&amp;refID=7081406&amp;Result=3","7081406")</f>
        <v>0</v>
      </c>
      <c r="B4669" t="s">
        <v>833</v>
      </c>
      <c r="C4669" t="s">
        <v>7992</v>
      </c>
      <c r="D4669" t="s">
        <v>18171</v>
      </c>
      <c r="E4669" t="s">
        <v>22362</v>
      </c>
      <c r="F4669" t="s">
        <v>31362</v>
      </c>
      <c r="G4669" t="s">
        <v>31369</v>
      </c>
      <c r="H4669" t="s">
        <v>31378</v>
      </c>
      <c r="I4669" t="s">
        <v>31386</v>
      </c>
      <c r="J4669" t="s">
        <v>31951</v>
      </c>
      <c r="K4669" t="s">
        <v>40718</v>
      </c>
      <c r="M4669" t="s">
        <v>41807</v>
      </c>
      <c r="N4669" t="s">
        <v>44905</v>
      </c>
      <c r="O4669" t="s">
        <v>44906</v>
      </c>
      <c r="P4669">
        <v>0</v>
      </c>
      <c r="Q4669">
        <v>0</v>
      </c>
      <c r="R4669" t="s">
        <v>44908</v>
      </c>
      <c r="S4669" t="s">
        <v>45042</v>
      </c>
      <c r="T4669" t="s">
        <v>46449</v>
      </c>
      <c r="U4669" t="s">
        <v>50728</v>
      </c>
      <c r="V4669" t="s">
        <v>59498</v>
      </c>
      <c r="W4669" t="s">
        <v>41807</v>
      </c>
      <c r="X4669" t="s">
        <v>44909</v>
      </c>
    </row>
    <row r="4670" spans="1:24">
      <c r="A4670">
        <f>HYPERLINK("https://www.philgeps.gov.ph/GEPSNONPILOT/Tender/SplashBidNoticeAbstractUI.aspx?menuIndex=3&amp;refID=7081402&amp;Result=3","7081402")</f>
        <v>0</v>
      </c>
      <c r="B4670" t="s">
        <v>1567</v>
      </c>
      <c r="C4670" t="s">
        <v>7993</v>
      </c>
      <c r="D4670" t="s">
        <v>18134</v>
      </c>
      <c r="E4670" t="s">
        <v>22363</v>
      </c>
      <c r="F4670" t="s">
        <v>31362</v>
      </c>
      <c r="G4670" t="s">
        <v>31368</v>
      </c>
      <c r="H4670" t="s">
        <v>15799</v>
      </c>
      <c r="I4670" t="s">
        <v>31387</v>
      </c>
      <c r="J4670" t="s">
        <v>34545</v>
      </c>
      <c r="K4670" t="s">
        <v>40670</v>
      </c>
      <c r="M4670" t="s">
        <v>42619</v>
      </c>
      <c r="N4670" t="s">
        <v>44905</v>
      </c>
      <c r="O4670" t="s">
        <v>44906</v>
      </c>
      <c r="P4670">
        <v>0</v>
      </c>
      <c r="Q4670">
        <v>0</v>
      </c>
      <c r="R4670" t="s">
        <v>44908</v>
      </c>
      <c r="S4670" t="s">
        <v>45042</v>
      </c>
      <c r="T4670" t="s">
        <v>46411</v>
      </c>
      <c r="U4670" t="s">
        <v>50729</v>
      </c>
      <c r="W4670" t="s">
        <v>42619</v>
      </c>
      <c r="X4670" t="s">
        <v>44909</v>
      </c>
    </row>
    <row r="4671" spans="1:24">
      <c r="A4671">
        <f>HYPERLINK("https://www.philgeps.gov.ph/GEPSNONPILOT/Tender/SplashBidNoticeAbstractUI.aspx?menuIndex=3&amp;refID=7081395&amp;Result=3","7081395")</f>
        <v>0</v>
      </c>
      <c r="B4671" t="s">
        <v>1568</v>
      </c>
      <c r="C4671" t="s">
        <v>7994</v>
      </c>
      <c r="D4671" t="s">
        <v>18127</v>
      </c>
      <c r="E4671" t="s">
        <v>22364</v>
      </c>
      <c r="F4671" t="s">
        <v>31362</v>
      </c>
      <c r="G4671" t="s">
        <v>31368</v>
      </c>
      <c r="H4671" t="s">
        <v>15799</v>
      </c>
      <c r="I4671" t="s">
        <v>31385</v>
      </c>
      <c r="J4671" t="s">
        <v>31942</v>
      </c>
      <c r="K4671" t="s">
        <v>40666</v>
      </c>
      <c r="M4671" t="s">
        <v>42620</v>
      </c>
      <c r="N4671" t="s">
        <v>44905</v>
      </c>
      <c r="O4671" t="s">
        <v>44906</v>
      </c>
      <c r="P4671">
        <v>0</v>
      </c>
      <c r="Q4671">
        <v>0</v>
      </c>
      <c r="R4671" t="s">
        <v>44908</v>
      </c>
      <c r="S4671" t="s">
        <v>45042</v>
      </c>
      <c r="T4671" t="s">
        <v>46408</v>
      </c>
      <c r="U4671" t="s">
        <v>50730</v>
      </c>
      <c r="W4671" t="s">
        <v>60899</v>
      </c>
      <c r="X4671" t="s">
        <v>44909</v>
      </c>
    </row>
    <row r="4672" spans="1:24">
      <c r="A4672">
        <f>HYPERLINK("https://www.philgeps.gov.ph/GEPSNONPILOT/Tender/SplashBidNoticeAbstractUI.aspx?menuIndex=3&amp;refID=7081390&amp;Result=3","7081390")</f>
        <v>0</v>
      </c>
      <c r="B4672" t="s">
        <v>1562</v>
      </c>
      <c r="C4672" t="s">
        <v>7995</v>
      </c>
      <c r="D4672" t="s">
        <v>18140</v>
      </c>
      <c r="E4672" t="s">
        <v>22365</v>
      </c>
      <c r="F4672" t="s">
        <v>31362</v>
      </c>
      <c r="G4672" t="s">
        <v>31369</v>
      </c>
      <c r="H4672" t="s">
        <v>31378</v>
      </c>
      <c r="I4672" t="s">
        <v>31386</v>
      </c>
      <c r="J4672" t="s">
        <v>34546</v>
      </c>
      <c r="K4672" t="s">
        <v>40716</v>
      </c>
      <c r="M4672" t="s">
        <v>42614</v>
      </c>
      <c r="N4672" t="s">
        <v>44905</v>
      </c>
      <c r="O4672" t="s">
        <v>44906</v>
      </c>
      <c r="P4672">
        <v>0</v>
      </c>
      <c r="Q4672">
        <v>1</v>
      </c>
      <c r="R4672" t="s">
        <v>44908</v>
      </c>
      <c r="S4672" t="s">
        <v>45042</v>
      </c>
      <c r="T4672" t="s">
        <v>46449</v>
      </c>
      <c r="U4672" t="s">
        <v>50731</v>
      </c>
      <c r="V4672" t="s">
        <v>59499</v>
      </c>
      <c r="W4672" t="s">
        <v>42614</v>
      </c>
      <c r="X4672" t="s">
        <v>44909</v>
      </c>
    </row>
    <row r="4673" spans="1:24">
      <c r="A4673">
        <f>HYPERLINK("https://www.philgeps.gov.ph/GEPSNONPILOT/Tender/SplashBidNoticeAbstractUI.aspx?menuIndex=3&amp;refID=7081389&amp;Result=3","7081389")</f>
        <v>0</v>
      </c>
      <c r="B4673" t="s">
        <v>1569</v>
      </c>
      <c r="C4673" t="s">
        <v>7996</v>
      </c>
      <c r="D4673" t="s">
        <v>18118</v>
      </c>
      <c r="E4673" t="s">
        <v>22366</v>
      </c>
      <c r="F4673" t="s">
        <v>31362</v>
      </c>
      <c r="G4673" t="s">
        <v>31368</v>
      </c>
      <c r="H4673" t="s">
        <v>15799</v>
      </c>
      <c r="I4673" t="s">
        <v>31380</v>
      </c>
      <c r="J4673" t="s">
        <v>34547</v>
      </c>
      <c r="K4673" t="s">
        <v>40662</v>
      </c>
      <c r="M4673" t="s">
        <v>42621</v>
      </c>
      <c r="N4673" t="s">
        <v>44905</v>
      </c>
      <c r="O4673" t="s">
        <v>44906</v>
      </c>
      <c r="P4673">
        <v>0</v>
      </c>
      <c r="Q4673">
        <v>4</v>
      </c>
      <c r="R4673" t="s">
        <v>44908</v>
      </c>
      <c r="S4673" t="s">
        <v>45042</v>
      </c>
      <c r="T4673" t="s">
        <v>46409</v>
      </c>
      <c r="U4673" t="s">
        <v>49824</v>
      </c>
      <c r="W4673" t="s">
        <v>42621</v>
      </c>
      <c r="X4673" t="s">
        <v>44909</v>
      </c>
    </row>
    <row r="4674" spans="1:24">
      <c r="A4674">
        <f>HYPERLINK("https://www.philgeps.gov.ph/GEPSNONPILOT/Tender/SplashBidNoticeAbstractUI.aspx?menuIndex=3&amp;refID=7081388&amp;Result=3","7081388")</f>
        <v>0</v>
      </c>
      <c r="B4674" t="s">
        <v>335</v>
      </c>
      <c r="C4674" t="s">
        <v>7997</v>
      </c>
      <c r="D4674" t="s">
        <v>18108</v>
      </c>
      <c r="E4674" t="s">
        <v>22367</v>
      </c>
      <c r="F4674" t="s">
        <v>31362</v>
      </c>
      <c r="G4674" t="s">
        <v>31368</v>
      </c>
      <c r="H4674" t="s">
        <v>15799</v>
      </c>
      <c r="I4674" t="s">
        <v>4942</v>
      </c>
      <c r="J4674" t="s">
        <v>34548</v>
      </c>
      <c r="K4674" t="s">
        <v>40661</v>
      </c>
      <c r="M4674" t="s">
        <v>42613</v>
      </c>
      <c r="N4674" t="s">
        <v>44905</v>
      </c>
      <c r="O4674" t="s">
        <v>44906</v>
      </c>
      <c r="P4674">
        <v>0</v>
      </c>
      <c r="Q4674">
        <v>0</v>
      </c>
      <c r="R4674" t="s">
        <v>44908</v>
      </c>
      <c r="S4674" t="s">
        <v>45042</v>
      </c>
      <c r="T4674" t="s">
        <v>46447</v>
      </c>
      <c r="U4674" t="s">
        <v>50732</v>
      </c>
      <c r="W4674" t="s">
        <v>42613</v>
      </c>
      <c r="X4674" t="s">
        <v>44909</v>
      </c>
    </row>
    <row r="4675" spans="1:24">
      <c r="A4675">
        <f>HYPERLINK("https://www.philgeps.gov.ph/GEPSNONPILOT/Tender/SplashBidNoticeAbstractUI.aspx?menuIndex=3&amp;refID=7081386&amp;Result=3","7081386")</f>
        <v>0</v>
      </c>
      <c r="B4675" t="s">
        <v>1570</v>
      </c>
      <c r="C4675" t="s">
        <v>6219</v>
      </c>
      <c r="D4675" t="s">
        <v>18122</v>
      </c>
      <c r="E4675" t="s">
        <v>22368</v>
      </c>
      <c r="F4675" t="s">
        <v>31362</v>
      </c>
      <c r="G4675" t="s">
        <v>31369</v>
      </c>
      <c r="H4675" t="s">
        <v>31378</v>
      </c>
      <c r="I4675" t="s">
        <v>31386</v>
      </c>
      <c r="J4675" t="s">
        <v>31536</v>
      </c>
      <c r="K4675" t="s">
        <v>40665</v>
      </c>
      <c r="M4675" t="s">
        <v>42622</v>
      </c>
      <c r="N4675" t="s">
        <v>44905</v>
      </c>
      <c r="O4675" t="s">
        <v>44906</v>
      </c>
      <c r="P4675">
        <v>0</v>
      </c>
      <c r="Q4675">
        <v>0</v>
      </c>
      <c r="R4675" t="s">
        <v>44908</v>
      </c>
      <c r="S4675" t="s">
        <v>45042</v>
      </c>
      <c r="T4675" t="s">
        <v>46427</v>
      </c>
      <c r="U4675" t="s">
        <v>50733</v>
      </c>
      <c r="V4675" t="s">
        <v>59500</v>
      </c>
      <c r="W4675" t="s">
        <v>42622</v>
      </c>
      <c r="X4675" t="s">
        <v>44909</v>
      </c>
    </row>
    <row r="4676" spans="1:24">
      <c r="A4676">
        <f>HYPERLINK("https://www.philgeps.gov.ph/GEPSNONPILOT/Tender/SplashBidNoticeAbstractUI.aspx?menuIndex=3&amp;refID=7081413&amp;Result=3","7081413")</f>
        <v>0</v>
      </c>
      <c r="B4676" t="s">
        <v>1553</v>
      </c>
      <c r="C4676" t="s">
        <v>7998</v>
      </c>
      <c r="D4676" t="s">
        <v>18101</v>
      </c>
      <c r="E4676" t="s">
        <v>22369</v>
      </c>
      <c r="F4676" t="s">
        <v>31362</v>
      </c>
      <c r="G4676" t="s">
        <v>31369</v>
      </c>
      <c r="H4676" t="s">
        <v>31378</v>
      </c>
      <c r="I4676" t="s">
        <v>31386</v>
      </c>
      <c r="J4676" t="s">
        <v>34549</v>
      </c>
      <c r="K4676" t="s">
        <v>40662</v>
      </c>
      <c r="M4676" t="s">
        <v>42603</v>
      </c>
      <c r="N4676" t="s">
        <v>44905</v>
      </c>
      <c r="O4676" t="s">
        <v>44906</v>
      </c>
      <c r="P4676">
        <v>0</v>
      </c>
      <c r="Q4676">
        <v>0</v>
      </c>
      <c r="R4676" t="s">
        <v>44908</v>
      </c>
      <c r="S4676" t="s">
        <v>45042</v>
      </c>
      <c r="T4676" t="s">
        <v>46511</v>
      </c>
      <c r="U4676" t="s">
        <v>50734</v>
      </c>
      <c r="W4676" t="s">
        <v>42603</v>
      </c>
      <c r="X4676" t="s">
        <v>44909</v>
      </c>
    </row>
    <row r="4677" spans="1:24">
      <c r="A4677">
        <f>HYPERLINK("https://www.philgeps.gov.ph/GEPSNONPILOT/Tender/SplashBidNoticeAbstractUI.aspx?menuIndex=3&amp;refID=7081409&amp;Result=3","7081409")</f>
        <v>0</v>
      </c>
      <c r="B4677" t="s">
        <v>1270</v>
      </c>
      <c r="C4677" t="s">
        <v>7999</v>
      </c>
      <c r="D4677" t="s">
        <v>18151</v>
      </c>
      <c r="E4677" t="s">
        <v>22370</v>
      </c>
      <c r="F4677" t="s">
        <v>31362</v>
      </c>
      <c r="G4677" t="s">
        <v>31368</v>
      </c>
      <c r="H4677" t="s">
        <v>15799</v>
      </c>
      <c r="I4677" t="s">
        <v>4057</v>
      </c>
      <c r="J4677" t="s">
        <v>34550</v>
      </c>
      <c r="K4677" t="s">
        <v>40698</v>
      </c>
      <c r="M4677" t="s">
        <v>42287</v>
      </c>
      <c r="N4677" t="s">
        <v>44905</v>
      </c>
      <c r="O4677" t="s">
        <v>44906</v>
      </c>
      <c r="P4677">
        <v>0</v>
      </c>
      <c r="Q4677">
        <v>0</v>
      </c>
      <c r="R4677" t="s">
        <v>44908</v>
      </c>
      <c r="S4677" t="s">
        <v>45042</v>
      </c>
      <c r="T4677" t="s">
        <v>46404</v>
      </c>
      <c r="U4677" t="s">
        <v>49706</v>
      </c>
      <c r="W4677" t="s">
        <v>42287</v>
      </c>
      <c r="X4677" t="s">
        <v>44909</v>
      </c>
    </row>
    <row r="4678" spans="1:24">
      <c r="A4678">
        <f>HYPERLINK("https://www.philgeps.gov.ph/GEPSNONPILOT/Tender/SplashBidNoticeAbstractUI.aspx?menuIndex=3&amp;refID=7081435&amp;Result=3","7081435")</f>
        <v>0</v>
      </c>
      <c r="B4678" t="s">
        <v>1570</v>
      </c>
      <c r="C4678" t="s">
        <v>8000</v>
      </c>
      <c r="D4678" t="s">
        <v>18122</v>
      </c>
      <c r="E4678" t="s">
        <v>22371</v>
      </c>
      <c r="F4678" t="s">
        <v>31362</v>
      </c>
      <c r="G4678" t="s">
        <v>31369</v>
      </c>
      <c r="H4678" t="s">
        <v>31378</v>
      </c>
      <c r="I4678" t="s">
        <v>31386</v>
      </c>
      <c r="J4678" t="s">
        <v>31806</v>
      </c>
      <c r="K4678" t="s">
        <v>40665</v>
      </c>
      <c r="M4678" t="s">
        <v>42622</v>
      </c>
      <c r="N4678" t="s">
        <v>44905</v>
      </c>
      <c r="O4678" t="s">
        <v>44906</v>
      </c>
      <c r="P4678">
        <v>0</v>
      </c>
      <c r="Q4678">
        <v>0</v>
      </c>
      <c r="R4678" t="s">
        <v>44908</v>
      </c>
      <c r="S4678" t="s">
        <v>45042</v>
      </c>
      <c r="T4678" t="s">
        <v>46427</v>
      </c>
      <c r="U4678" t="s">
        <v>50735</v>
      </c>
      <c r="V4678" t="s">
        <v>59500</v>
      </c>
      <c r="W4678" t="s">
        <v>42622</v>
      </c>
      <c r="X4678" t="s">
        <v>44909</v>
      </c>
    </row>
    <row r="4679" spans="1:24">
      <c r="A4679">
        <f>HYPERLINK("https://www.philgeps.gov.ph/GEPSNONPILOT/Tender/SplashBidNoticeAbstractUI.aspx?menuIndex=3&amp;refID=7081360&amp;Result=3","7081360")</f>
        <v>0</v>
      </c>
      <c r="B4679" t="s">
        <v>971</v>
      </c>
      <c r="C4679" t="s">
        <v>8001</v>
      </c>
      <c r="D4679" t="s">
        <v>18166</v>
      </c>
      <c r="E4679" t="s">
        <v>22078</v>
      </c>
      <c r="F4679" t="s">
        <v>31362</v>
      </c>
      <c r="G4679" t="s">
        <v>31369</v>
      </c>
      <c r="H4679" t="s">
        <v>15799</v>
      </c>
      <c r="I4679" t="s">
        <v>31427</v>
      </c>
      <c r="J4679" t="s">
        <v>31591</v>
      </c>
      <c r="K4679" t="s">
        <v>40665</v>
      </c>
      <c r="M4679" t="s">
        <v>41961</v>
      </c>
      <c r="N4679" t="s">
        <v>44905</v>
      </c>
      <c r="O4679" t="s">
        <v>44906</v>
      </c>
      <c r="P4679">
        <v>0</v>
      </c>
      <c r="Q4679">
        <v>0</v>
      </c>
      <c r="R4679" t="s">
        <v>44908</v>
      </c>
      <c r="S4679" t="s">
        <v>45042</v>
      </c>
      <c r="T4679" t="s">
        <v>46431</v>
      </c>
      <c r="U4679" t="s">
        <v>50736</v>
      </c>
      <c r="W4679" t="s">
        <v>41961</v>
      </c>
      <c r="X4679" t="s">
        <v>44909</v>
      </c>
    </row>
    <row r="4680" spans="1:24">
      <c r="A4680">
        <f>HYPERLINK("https://www.philgeps.gov.ph/GEPSNONPILOT/Tender/SplashBidNoticeAbstractUI.aspx?menuIndex=3&amp;refID=7081387&amp;Result=3","7081387")</f>
        <v>0</v>
      </c>
      <c r="B4680" t="s">
        <v>1545</v>
      </c>
      <c r="C4680" t="s">
        <v>8002</v>
      </c>
      <c r="D4680" t="s">
        <v>18106</v>
      </c>
      <c r="E4680" t="s">
        <v>22372</v>
      </c>
      <c r="F4680" t="s">
        <v>31362</v>
      </c>
      <c r="G4680" t="s">
        <v>31369</v>
      </c>
      <c r="H4680" t="s">
        <v>31378</v>
      </c>
      <c r="I4680" t="s">
        <v>31386</v>
      </c>
      <c r="J4680" t="s">
        <v>34551</v>
      </c>
      <c r="K4680" t="s">
        <v>40682</v>
      </c>
      <c r="M4680" t="s">
        <v>42592</v>
      </c>
      <c r="N4680" t="s">
        <v>44905</v>
      </c>
      <c r="O4680" t="s">
        <v>44906</v>
      </c>
      <c r="P4680">
        <v>0</v>
      </c>
      <c r="Q4680">
        <v>1</v>
      </c>
      <c r="R4680" t="s">
        <v>44908</v>
      </c>
      <c r="S4680" t="s">
        <v>45042</v>
      </c>
      <c r="T4680" t="s">
        <v>46585</v>
      </c>
      <c r="U4680" t="s">
        <v>50737</v>
      </c>
      <c r="W4680" t="s">
        <v>42592</v>
      </c>
      <c r="X4680" t="s">
        <v>44909</v>
      </c>
    </row>
    <row r="4681" spans="1:24">
      <c r="A4681">
        <f>HYPERLINK("https://www.philgeps.gov.ph/GEPSNONPILOT/Tender/SplashBidNoticeAbstractUI.aspx?menuIndex=3&amp;refID=7081391&amp;Result=3","7081391")</f>
        <v>0</v>
      </c>
      <c r="B4681" t="s">
        <v>1270</v>
      </c>
      <c r="C4681" t="s">
        <v>8003</v>
      </c>
      <c r="D4681" t="s">
        <v>18151</v>
      </c>
      <c r="E4681" t="s">
        <v>22373</v>
      </c>
      <c r="F4681" t="s">
        <v>31362</v>
      </c>
      <c r="G4681" t="s">
        <v>31368</v>
      </c>
      <c r="H4681" t="s">
        <v>15799</v>
      </c>
      <c r="I4681" t="s">
        <v>4057</v>
      </c>
      <c r="J4681" t="s">
        <v>32082</v>
      </c>
      <c r="K4681" t="s">
        <v>40698</v>
      </c>
      <c r="M4681" t="s">
        <v>42287</v>
      </c>
      <c r="N4681" t="s">
        <v>44905</v>
      </c>
      <c r="O4681" t="s">
        <v>44906</v>
      </c>
      <c r="P4681">
        <v>0</v>
      </c>
      <c r="Q4681">
        <v>0</v>
      </c>
      <c r="R4681" t="s">
        <v>44908</v>
      </c>
      <c r="S4681" t="s">
        <v>45042</v>
      </c>
      <c r="T4681" t="s">
        <v>46404</v>
      </c>
      <c r="U4681" t="s">
        <v>49706</v>
      </c>
      <c r="W4681" t="s">
        <v>42287</v>
      </c>
      <c r="X4681" t="s">
        <v>44909</v>
      </c>
    </row>
    <row r="4682" spans="1:24">
      <c r="A4682">
        <f>HYPERLINK("https://www.philgeps.gov.ph/GEPSNONPILOT/Tender/SplashBidNoticeAbstractUI.aspx?menuIndex=3&amp;refID=7081398&amp;Result=3","7081398")</f>
        <v>0</v>
      </c>
      <c r="B4682" t="s">
        <v>218</v>
      </c>
      <c r="C4682" t="s">
        <v>8004</v>
      </c>
      <c r="D4682" t="s">
        <v>18110</v>
      </c>
      <c r="E4682" t="s">
        <v>22374</v>
      </c>
      <c r="F4682" t="s">
        <v>31362</v>
      </c>
      <c r="G4682" t="s">
        <v>31370</v>
      </c>
      <c r="H4682" t="s">
        <v>15799</v>
      </c>
      <c r="I4682" t="s">
        <v>31399</v>
      </c>
      <c r="J4682" t="s">
        <v>31530</v>
      </c>
      <c r="K4682" t="s">
        <v>40665</v>
      </c>
      <c r="M4682" t="s">
        <v>42601</v>
      </c>
      <c r="N4682" t="s">
        <v>44905</v>
      </c>
      <c r="O4682" t="s">
        <v>44906</v>
      </c>
      <c r="P4682">
        <v>0</v>
      </c>
      <c r="Q4682">
        <v>2</v>
      </c>
      <c r="R4682" t="s">
        <v>44908</v>
      </c>
      <c r="S4682" t="s">
        <v>45042</v>
      </c>
      <c r="T4682" t="s">
        <v>46410</v>
      </c>
      <c r="U4682" t="s">
        <v>48481</v>
      </c>
      <c r="W4682" t="s">
        <v>42601</v>
      </c>
      <c r="X4682" t="s">
        <v>44909</v>
      </c>
    </row>
    <row r="4683" spans="1:24">
      <c r="A4683">
        <f>HYPERLINK("https://www.philgeps.gov.ph/GEPSNONPILOT/Tender/SplashBidNoticeAbstractUI.aspx?menuIndex=3&amp;refID=7081430&amp;Result=3","7081430")</f>
        <v>0</v>
      </c>
      <c r="B4683" t="s">
        <v>1553</v>
      </c>
      <c r="C4683" t="s">
        <v>8005</v>
      </c>
      <c r="D4683" t="s">
        <v>18101</v>
      </c>
      <c r="E4683" t="s">
        <v>22375</v>
      </c>
      <c r="F4683" t="s">
        <v>31362</v>
      </c>
      <c r="G4683" t="s">
        <v>31369</v>
      </c>
      <c r="H4683" t="s">
        <v>15799</v>
      </c>
      <c r="I4683" t="s">
        <v>7188</v>
      </c>
      <c r="J4683" t="s">
        <v>31734</v>
      </c>
      <c r="K4683" t="s">
        <v>40662</v>
      </c>
      <c r="M4683" t="s">
        <v>42603</v>
      </c>
      <c r="N4683" t="s">
        <v>44905</v>
      </c>
      <c r="O4683" t="s">
        <v>44906</v>
      </c>
      <c r="P4683">
        <v>0</v>
      </c>
      <c r="Q4683">
        <v>1</v>
      </c>
      <c r="R4683" t="s">
        <v>44908</v>
      </c>
      <c r="S4683" t="s">
        <v>45042</v>
      </c>
      <c r="T4683" t="s">
        <v>46511</v>
      </c>
      <c r="U4683" t="s">
        <v>50738</v>
      </c>
      <c r="W4683" t="s">
        <v>42603</v>
      </c>
      <c r="X4683" t="s">
        <v>44909</v>
      </c>
    </row>
    <row r="4684" spans="1:24">
      <c r="A4684">
        <f>HYPERLINK("https://www.philgeps.gov.ph/GEPSNONPILOT/Tender/SplashBidNoticeAbstractUI.aspx?menuIndex=3&amp;refID=7081429&amp;Result=3","7081429")</f>
        <v>0</v>
      </c>
      <c r="B4684" t="s">
        <v>688</v>
      </c>
      <c r="C4684" t="s">
        <v>8006</v>
      </c>
      <c r="D4684" t="s">
        <v>18108</v>
      </c>
      <c r="E4684" t="s">
        <v>22376</v>
      </c>
      <c r="F4684" t="s">
        <v>31362</v>
      </c>
      <c r="G4684" t="s">
        <v>31370</v>
      </c>
      <c r="H4684" t="s">
        <v>15799</v>
      </c>
      <c r="I4684" t="s">
        <v>31393</v>
      </c>
      <c r="J4684" t="s">
        <v>31520</v>
      </c>
      <c r="K4684" t="s">
        <v>40680</v>
      </c>
      <c r="L4684" t="s">
        <v>688</v>
      </c>
      <c r="M4684" t="s">
        <v>41651</v>
      </c>
      <c r="N4684" t="s">
        <v>44905</v>
      </c>
      <c r="O4684" t="s">
        <v>44906</v>
      </c>
      <c r="P4684">
        <v>0</v>
      </c>
      <c r="Q4684">
        <v>7</v>
      </c>
      <c r="R4684" t="s">
        <v>44908</v>
      </c>
      <c r="S4684" t="s">
        <v>45042</v>
      </c>
      <c r="T4684" t="s">
        <v>46444</v>
      </c>
      <c r="U4684" t="s">
        <v>50739</v>
      </c>
      <c r="W4684" t="s">
        <v>41651</v>
      </c>
      <c r="X4684" t="s">
        <v>44909</v>
      </c>
    </row>
    <row r="4685" spans="1:24">
      <c r="A4685">
        <f>HYPERLINK("https://www.philgeps.gov.ph/GEPSNONPILOT/Tender/SplashBidNoticeAbstractUI.aspx?menuIndex=3&amp;refID=7081432&amp;Result=3","7081432")</f>
        <v>0</v>
      </c>
      <c r="B4685" t="s">
        <v>1571</v>
      </c>
      <c r="C4685" t="s">
        <v>8007</v>
      </c>
      <c r="D4685" t="s">
        <v>18153</v>
      </c>
      <c r="E4685" t="s">
        <v>22377</v>
      </c>
      <c r="F4685" t="s">
        <v>31362</v>
      </c>
      <c r="G4685" t="s">
        <v>31370</v>
      </c>
      <c r="H4685" t="s">
        <v>15799</v>
      </c>
      <c r="I4685" t="s">
        <v>7090</v>
      </c>
      <c r="J4685" t="s">
        <v>32312</v>
      </c>
      <c r="K4685" t="s">
        <v>40661</v>
      </c>
      <c r="M4685" t="s">
        <v>42623</v>
      </c>
      <c r="N4685" t="s">
        <v>44905</v>
      </c>
      <c r="O4685" t="s">
        <v>44906</v>
      </c>
      <c r="P4685">
        <v>0</v>
      </c>
      <c r="Q4685">
        <v>1</v>
      </c>
      <c r="R4685" t="s">
        <v>44908</v>
      </c>
      <c r="S4685" t="s">
        <v>45042</v>
      </c>
      <c r="T4685" t="s">
        <v>46393</v>
      </c>
      <c r="U4685" t="s">
        <v>50740</v>
      </c>
      <c r="V4685" t="s">
        <v>59501</v>
      </c>
      <c r="W4685" t="s">
        <v>42623</v>
      </c>
      <c r="X4685" t="s">
        <v>44909</v>
      </c>
    </row>
    <row r="4686" spans="1:24">
      <c r="A4686">
        <f>HYPERLINK("https://www.philgeps.gov.ph/GEPSNONPILOT/Tender/SplashBidNoticeAbstractUI.aspx?menuIndex=3&amp;refID=7081358&amp;Result=3","7081358")</f>
        <v>0</v>
      </c>
      <c r="B4686" t="s">
        <v>1270</v>
      </c>
      <c r="C4686" t="s">
        <v>8008</v>
      </c>
      <c r="D4686" t="s">
        <v>18151</v>
      </c>
      <c r="E4686" t="s">
        <v>22378</v>
      </c>
      <c r="F4686" t="s">
        <v>31362</v>
      </c>
      <c r="G4686" t="s">
        <v>31368</v>
      </c>
      <c r="H4686" t="s">
        <v>15799</v>
      </c>
      <c r="I4686" t="s">
        <v>4057</v>
      </c>
      <c r="J4686" t="s">
        <v>34470</v>
      </c>
      <c r="K4686" t="s">
        <v>40698</v>
      </c>
      <c r="M4686" t="s">
        <v>42287</v>
      </c>
      <c r="N4686" t="s">
        <v>44905</v>
      </c>
      <c r="O4686" t="s">
        <v>44906</v>
      </c>
      <c r="P4686">
        <v>0</v>
      </c>
      <c r="Q4686">
        <v>0</v>
      </c>
      <c r="R4686" t="s">
        <v>44908</v>
      </c>
      <c r="S4686" t="s">
        <v>45042</v>
      </c>
      <c r="T4686" t="s">
        <v>46404</v>
      </c>
      <c r="U4686" t="s">
        <v>49706</v>
      </c>
      <c r="W4686" t="s">
        <v>42287</v>
      </c>
      <c r="X4686" t="s">
        <v>44909</v>
      </c>
    </row>
    <row r="4687" spans="1:24">
      <c r="A4687">
        <f>HYPERLINK("https://www.philgeps.gov.ph/GEPSNONPILOT/Tender/SplashBidNoticeAbstractUI.aspx?menuIndex=3&amp;refID=7081425&amp;Result=3","7081425")</f>
        <v>0</v>
      </c>
      <c r="B4687" t="s">
        <v>1560</v>
      </c>
      <c r="C4687" t="s">
        <v>8009</v>
      </c>
      <c r="D4687" t="s">
        <v>18108</v>
      </c>
      <c r="E4687" t="s">
        <v>22379</v>
      </c>
      <c r="F4687" t="s">
        <v>31362</v>
      </c>
      <c r="G4687" t="s">
        <v>31368</v>
      </c>
      <c r="H4687" t="s">
        <v>15799</v>
      </c>
      <c r="I4687" t="s">
        <v>31418</v>
      </c>
      <c r="J4687" t="s">
        <v>34071</v>
      </c>
      <c r="K4687" t="s">
        <v>40665</v>
      </c>
      <c r="M4687" t="s">
        <v>42624</v>
      </c>
      <c r="N4687" t="s">
        <v>44905</v>
      </c>
      <c r="O4687" t="s">
        <v>44906</v>
      </c>
      <c r="P4687">
        <v>0</v>
      </c>
      <c r="Q4687">
        <v>1</v>
      </c>
      <c r="R4687" t="s">
        <v>44908</v>
      </c>
      <c r="S4687" t="s">
        <v>45042</v>
      </c>
      <c r="T4687" t="s">
        <v>46438</v>
      </c>
      <c r="U4687" t="s">
        <v>50741</v>
      </c>
      <c r="W4687" t="s">
        <v>42624</v>
      </c>
      <c r="X4687" t="s">
        <v>44909</v>
      </c>
    </row>
    <row r="4688" spans="1:24">
      <c r="A4688">
        <f>HYPERLINK("https://www.philgeps.gov.ph/GEPSNONPILOT/Tender/SplashBidNoticeAbstractUI.aspx?menuIndex=3&amp;refID=7081427&amp;Result=3","7081427")</f>
        <v>0</v>
      </c>
      <c r="B4688" t="s">
        <v>1572</v>
      </c>
      <c r="C4688" t="s">
        <v>8010</v>
      </c>
      <c r="D4688" t="s">
        <v>18110</v>
      </c>
      <c r="E4688" t="s">
        <v>22380</v>
      </c>
      <c r="F4688" t="s">
        <v>31362</v>
      </c>
      <c r="G4688" t="s">
        <v>31368</v>
      </c>
      <c r="H4688" t="s">
        <v>15799</v>
      </c>
      <c r="I4688" t="s">
        <v>31385</v>
      </c>
      <c r="J4688" t="s">
        <v>32065</v>
      </c>
      <c r="K4688" t="s">
        <v>40661</v>
      </c>
      <c r="M4688" t="s">
        <v>42625</v>
      </c>
      <c r="N4688" t="s">
        <v>44905</v>
      </c>
      <c r="O4688" t="s">
        <v>44906</v>
      </c>
      <c r="P4688">
        <v>0</v>
      </c>
      <c r="Q4688">
        <v>1</v>
      </c>
      <c r="R4688" t="s">
        <v>44908</v>
      </c>
      <c r="S4688" t="s">
        <v>45042</v>
      </c>
      <c r="T4688" t="s">
        <v>46443</v>
      </c>
      <c r="U4688" t="s">
        <v>50742</v>
      </c>
      <c r="W4688" t="s">
        <v>60900</v>
      </c>
      <c r="X4688" t="s">
        <v>44909</v>
      </c>
    </row>
    <row r="4689" spans="1:24">
      <c r="A4689">
        <f>HYPERLINK("https://www.philgeps.gov.ph/GEPSNONPILOT/Tender/SplashBidNoticeAbstractUI.aspx?menuIndex=3&amp;refID=7081426&amp;Result=3","7081426")</f>
        <v>0</v>
      </c>
      <c r="B4689" t="s">
        <v>575</v>
      </c>
      <c r="C4689" t="s">
        <v>8011</v>
      </c>
      <c r="D4689" t="s">
        <v>18108</v>
      </c>
      <c r="E4689" t="s">
        <v>22381</v>
      </c>
      <c r="F4689" t="s">
        <v>31362</v>
      </c>
      <c r="G4689" t="s">
        <v>31368</v>
      </c>
      <c r="H4689" t="s">
        <v>15799</v>
      </c>
      <c r="I4689" t="s">
        <v>3815</v>
      </c>
      <c r="J4689" t="s">
        <v>34552</v>
      </c>
      <c r="K4689" t="s">
        <v>40672</v>
      </c>
      <c r="M4689" t="s">
        <v>41531</v>
      </c>
      <c r="N4689" t="s">
        <v>44905</v>
      </c>
      <c r="O4689" t="s">
        <v>44906</v>
      </c>
      <c r="P4689">
        <v>0</v>
      </c>
      <c r="Q4689">
        <v>0</v>
      </c>
      <c r="R4689" t="s">
        <v>44908</v>
      </c>
      <c r="S4689" t="s">
        <v>45042</v>
      </c>
      <c r="T4689" t="s">
        <v>46409</v>
      </c>
      <c r="U4689" t="s">
        <v>50743</v>
      </c>
      <c r="W4689" t="s">
        <v>41531</v>
      </c>
      <c r="X4689" t="s">
        <v>44909</v>
      </c>
    </row>
    <row r="4690" spans="1:24">
      <c r="A4690">
        <f>HYPERLINK("https://www.philgeps.gov.ph/GEPSNONPILOT/Tender/SplashBidNoticeAbstractUI.aspx?menuIndex=3&amp;refID=7081422&amp;Result=3","7081422")</f>
        <v>0</v>
      </c>
      <c r="B4690" t="s">
        <v>155</v>
      </c>
      <c r="C4690" t="s">
        <v>8012</v>
      </c>
      <c r="D4690" t="s">
        <v>18108</v>
      </c>
      <c r="E4690" t="s">
        <v>22382</v>
      </c>
      <c r="F4690" t="s">
        <v>31362</v>
      </c>
      <c r="G4690" t="s">
        <v>31371</v>
      </c>
      <c r="H4690" t="s">
        <v>15799</v>
      </c>
      <c r="I4690" t="s">
        <v>31385</v>
      </c>
      <c r="J4690" t="s">
        <v>34553</v>
      </c>
      <c r="K4690" t="s">
        <v>40662</v>
      </c>
      <c r="M4690" t="s">
        <v>41093</v>
      </c>
      <c r="N4690" t="s">
        <v>44905</v>
      </c>
      <c r="O4690" t="s">
        <v>44906</v>
      </c>
      <c r="P4690">
        <v>0</v>
      </c>
      <c r="Q4690">
        <v>7</v>
      </c>
      <c r="R4690" t="s">
        <v>44908</v>
      </c>
      <c r="S4690" t="s">
        <v>45042</v>
      </c>
      <c r="T4690" t="s">
        <v>46443</v>
      </c>
      <c r="U4690" t="s">
        <v>50744</v>
      </c>
      <c r="W4690" t="s">
        <v>41093</v>
      </c>
      <c r="X4690" t="s">
        <v>44909</v>
      </c>
    </row>
    <row r="4691" spans="1:24">
      <c r="A4691">
        <f>HYPERLINK("https://www.philgeps.gov.ph/GEPSNONPILOT/Tender/SplashBidNoticeAbstractUI.aspx?menuIndex=3&amp;refID=7081420&amp;Result=3","7081420")</f>
        <v>0</v>
      </c>
      <c r="B4691" t="s">
        <v>367</v>
      </c>
      <c r="C4691" t="s">
        <v>8013</v>
      </c>
      <c r="D4691" t="s">
        <v>18134</v>
      </c>
      <c r="E4691" t="s">
        <v>22383</v>
      </c>
      <c r="F4691" t="s">
        <v>31362</v>
      </c>
      <c r="G4691" t="s">
        <v>31368</v>
      </c>
      <c r="H4691" t="s">
        <v>15799</v>
      </c>
      <c r="I4691" t="s">
        <v>31430</v>
      </c>
      <c r="J4691" t="s">
        <v>34554</v>
      </c>
      <c r="K4691" t="s">
        <v>40677</v>
      </c>
      <c r="M4691" t="s">
        <v>41314</v>
      </c>
      <c r="N4691" t="s">
        <v>44905</v>
      </c>
      <c r="O4691" t="s">
        <v>44906</v>
      </c>
      <c r="P4691">
        <v>0</v>
      </c>
      <c r="Q4691">
        <v>2</v>
      </c>
      <c r="R4691" t="s">
        <v>44908</v>
      </c>
      <c r="S4691" t="s">
        <v>45042</v>
      </c>
      <c r="T4691" t="s">
        <v>46447</v>
      </c>
      <c r="U4691" t="s">
        <v>50745</v>
      </c>
      <c r="W4691" t="s">
        <v>41314</v>
      </c>
      <c r="X4691" t="s">
        <v>44909</v>
      </c>
    </row>
    <row r="4692" spans="1:24">
      <c r="A4692">
        <f>HYPERLINK("https://www.philgeps.gov.ph/GEPSNONPILOT/Tender/SplashBidNoticeAbstractUI.aspx?menuIndex=3&amp;refID=7081419&amp;Result=3","7081419")</f>
        <v>0</v>
      </c>
      <c r="B4692" t="s">
        <v>1572</v>
      </c>
      <c r="C4692" t="s">
        <v>8014</v>
      </c>
      <c r="D4692" t="s">
        <v>18110</v>
      </c>
      <c r="E4692" t="s">
        <v>22384</v>
      </c>
      <c r="F4692" t="s">
        <v>31362</v>
      </c>
      <c r="G4692" t="s">
        <v>31368</v>
      </c>
      <c r="H4692" t="s">
        <v>15799</v>
      </c>
      <c r="I4692" t="s">
        <v>31385</v>
      </c>
      <c r="J4692" t="s">
        <v>33095</v>
      </c>
      <c r="K4692" t="s">
        <v>40697</v>
      </c>
      <c r="M4692" t="s">
        <v>42625</v>
      </c>
      <c r="N4692" t="s">
        <v>44905</v>
      </c>
      <c r="O4692" t="s">
        <v>44906</v>
      </c>
      <c r="P4692">
        <v>0</v>
      </c>
      <c r="Q4692">
        <v>1</v>
      </c>
      <c r="R4692" t="s">
        <v>44908</v>
      </c>
      <c r="S4692" t="s">
        <v>45042</v>
      </c>
      <c r="T4692" t="s">
        <v>46443</v>
      </c>
      <c r="U4692" t="s">
        <v>50746</v>
      </c>
      <c r="W4692" t="s">
        <v>60900</v>
      </c>
      <c r="X4692" t="s">
        <v>44909</v>
      </c>
    </row>
    <row r="4693" spans="1:24">
      <c r="A4693">
        <f>HYPERLINK("https://www.philgeps.gov.ph/GEPSNONPILOT/Tender/SplashBidNoticeAbstractUI.aspx?menuIndex=3&amp;refID=7081418&amp;Result=3","7081418")</f>
        <v>0</v>
      </c>
      <c r="B4693" t="s">
        <v>249</v>
      </c>
      <c r="C4693" t="s">
        <v>8015</v>
      </c>
      <c r="D4693" t="s">
        <v>18110</v>
      </c>
      <c r="E4693" t="s">
        <v>22385</v>
      </c>
      <c r="F4693" t="s">
        <v>31362</v>
      </c>
      <c r="G4693" t="s">
        <v>31369</v>
      </c>
      <c r="H4693" t="s">
        <v>15799</v>
      </c>
      <c r="I4693" t="s">
        <v>31430</v>
      </c>
      <c r="J4693" t="s">
        <v>34555</v>
      </c>
      <c r="K4693" t="s">
        <v>40662</v>
      </c>
      <c r="M4693" t="s">
        <v>42581</v>
      </c>
      <c r="N4693" t="s">
        <v>44905</v>
      </c>
      <c r="O4693" t="s">
        <v>44906</v>
      </c>
      <c r="P4693">
        <v>0</v>
      </c>
      <c r="Q4693">
        <v>5</v>
      </c>
      <c r="R4693" t="s">
        <v>44908</v>
      </c>
      <c r="S4693" t="s">
        <v>45042</v>
      </c>
      <c r="T4693" t="s">
        <v>46684</v>
      </c>
      <c r="U4693" t="s">
        <v>50747</v>
      </c>
      <c r="V4693" t="s">
        <v>59502</v>
      </c>
      <c r="W4693" t="s">
        <v>42581</v>
      </c>
      <c r="X4693" t="s">
        <v>44909</v>
      </c>
    </row>
    <row r="4694" spans="1:24">
      <c r="A4694">
        <f>HYPERLINK("https://www.philgeps.gov.ph/GEPSNONPILOT/Tender/SplashBidNoticeAbstractUI.aspx?menuIndex=3&amp;refID=7081428&amp;Result=3","7081428")</f>
        <v>0</v>
      </c>
      <c r="B4694" t="s">
        <v>1569</v>
      </c>
      <c r="C4694" t="s">
        <v>8016</v>
      </c>
      <c r="D4694" t="s">
        <v>18118</v>
      </c>
      <c r="E4694" t="s">
        <v>22386</v>
      </c>
      <c r="F4694" t="s">
        <v>31362</v>
      </c>
      <c r="G4694" t="s">
        <v>31368</v>
      </c>
      <c r="H4694" t="s">
        <v>15799</v>
      </c>
      <c r="I4694" t="s">
        <v>31404</v>
      </c>
      <c r="J4694" t="s">
        <v>34556</v>
      </c>
      <c r="K4694" t="s">
        <v>40662</v>
      </c>
      <c r="M4694" t="s">
        <v>42621</v>
      </c>
      <c r="N4694" t="s">
        <v>44905</v>
      </c>
      <c r="O4694" t="s">
        <v>44906</v>
      </c>
      <c r="P4694">
        <v>0</v>
      </c>
      <c r="Q4694">
        <v>0</v>
      </c>
      <c r="R4694" t="s">
        <v>44908</v>
      </c>
      <c r="S4694" t="s">
        <v>45042</v>
      </c>
      <c r="T4694" t="s">
        <v>46409</v>
      </c>
      <c r="U4694" t="s">
        <v>49824</v>
      </c>
      <c r="W4694" t="s">
        <v>42621</v>
      </c>
      <c r="X4694" t="s">
        <v>44909</v>
      </c>
    </row>
    <row r="4695" spans="1:24">
      <c r="A4695">
        <f>HYPERLINK("https://www.philgeps.gov.ph/GEPSNONPILOT/Tender/SplashBidNoticeAbstractUI.aspx?menuIndex=3&amp;refID=7081417&amp;Result=3","7081417")</f>
        <v>0</v>
      </c>
      <c r="B4695" t="s">
        <v>1547</v>
      </c>
      <c r="C4695" t="s">
        <v>8017</v>
      </c>
      <c r="E4695" t="s">
        <v>22387</v>
      </c>
      <c r="F4695" t="s">
        <v>31362</v>
      </c>
      <c r="G4695" t="s">
        <v>31369</v>
      </c>
      <c r="H4695" t="s">
        <v>15799</v>
      </c>
      <c r="I4695" t="s">
        <v>31437</v>
      </c>
      <c r="J4695" t="s">
        <v>34557</v>
      </c>
      <c r="K4695" t="s">
        <v>40686</v>
      </c>
      <c r="M4695" t="s">
        <v>42595</v>
      </c>
      <c r="N4695" t="s">
        <v>44905</v>
      </c>
      <c r="O4695" t="s">
        <v>44906</v>
      </c>
      <c r="P4695">
        <v>0</v>
      </c>
      <c r="Q4695">
        <v>3</v>
      </c>
      <c r="R4695" t="s">
        <v>44908</v>
      </c>
      <c r="S4695" t="s">
        <v>45042</v>
      </c>
      <c r="T4695" t="s">
        <v>46449</v>
      </c>
      <c r="U4695" t="s">
        <v>50748</v>
      </c>
      <c r="W4695" t="s">
        <v>42595</v>
      </c>
      <c r="X4695" t="s">
        <v>44909</v>
      </c>
    </row>
    <row r="4696" spans="1:24">
      <c r="A4696">
        <f>HYPERLINK("https://www.philgeps.gov.ph/GEPSNONPILOT/Tender/SplashBidNoticeAbstractUI.aspx?menuIndex=3&amp;refID=7081424&amp;Result=3","7081424")</f>
        <v>0</v>
      </c>
      <c r="B4696" t="s">
        <v>1270</v>
      </c>
      <c r="C4696" t="s">
        <v>8018</v>
      </c>
      <c r="D4696" t="s">
        <v>18151</v>
      </c>
      <c r="E4696" t="s">
        <v>22388</v>
      </c>
      <c r="F4696" t="s">
        <v>31362</v>
      </c>
      <c r="G4696" t="s">
        <v>31368</v>
      </c>
      <c r="H4696" t="s">
        <v>15799</v>
      </c>
      <c r="I4696" t="s">
        <v>4057</v>
      </c>
      <c r="J4696" t="s">
        <v>34558</v>
      </c>
      <c r="K4696" t="s">
        <v>40698</v>
      </c>
      <c r="M4696" t="s">
        <v>42287</v>
      </c>
      <c r="N4696" t="s">
        <v>44905</v>
      </c>
      <c r="O4696" t="s">
        <v>44906</v>
      </c>
      <c r="P4696">
        <v>0</v>
      </c>
      <c r="Q4696">
        <v>0</v>
      </c>
      <c r="R4696" t="s">
        <v>44908</v>
      </c>
      <c r="S4696" t="s">
        <v>45042</v>
      </c>
      <c r="T4696" t="s">
        <v>46404</v>
      </c>
      <c r="U4696" t="s">
        <v>49706</v>
      </c>
      <c r="W4696" t="s">
        <v>42287</v>
      </c>
      <c r="X4696" t="s">
        <v>44909</v>
      </c>
    </row>
    <row r="4697" spans="1:24">
      <c r="A4697">
        <f>HYPERLINK("https://www.philgeps.gov.ph/GEPSNONPILOT/Tender/SplashBidNoticeAbstractUI.aspx?menuIndex=3&amp;refID=7081414&amp;Result=3","7081414")</f>
        <v>0</v>
      </c>
      <c r="B4697" t="s">
        <v>1570</v>
      </c>
      <c r="C4697" t="s">
        <v>8019</v>
      </c>
      <c r="D4697" t="s">
        <v>18122</v>
      </c>
      <c r="E4697" t="s">
        <v>20279</v>
      </c>
      <c r="F4697" t="s">
        <v>31362</v>
      </c>
      <c r="G4697" t="s">
        <v>31369</v>
      </c>
      <c r="H4697" t="s">
        <v>31378</v>
      </c>
      <c r="I4697" t="s">
        <v>31386</v>
      </c>
      <c r="J4697" t="s">
        <v>31578</v>
      </c>
      <c r="K4697" t="s">
        <v>40665</v>
      </c>
      <c r="M4697" t="s">
        <v>42622</v>
      </c>
      <c r="N4697" t="s">
        <v>44905</v>
      </c>
      <c r="O4697" t="s">
        <v>44906</v>
      </c>
      <c r="P4697">
        <v>0</v>
      </c>
      <c r="Q4697">
        <v>0</v>
      </c>
      <c r="R4697" t="s">
        <v>44908</v>
      </c>
      <c r="S4697" t="s">
        <v>45042</v>
      </c>
      <c r="T4697" t="s">
        <v>46427</v>
      </c>
      <c r="U4697" t="s">
        <v>50749</v>
      </c>
      <c r="V4697" t="s">
        <v>59500</v>
      </c>
      <c r="W4697" t="s">
        <v>42622</v>
      </c>
      <c r="X4697" t="s">
        <v>44909</v>
      </c>
    </row>
    <row r="4698" spans="1:24">
      <c r="A4698">
        <f>HYPERLINK("https://www.philgeps.gov.ph/GEPSNONPILOT/Tender/SplashBidNoticeAbstractUI.aspx?menuIndex=3&amp;refID=7081437&amp;Result=3","7081437")</f>
        <v>0</v>
      </c>
      <c r="B4698" t="s">
        <v>1549</v>
      </c>
      <c r="C4698" t="s">
        <v>8020</v>
      </c>
      <c r="D4698" t="s">
        <v>18113</v>
      </c>
      <c r="E4698" t="s">
        <v>22389</v>
      </c>
      <c r="F4698" t="s">
        <v>31362</v>
      </c>
      <c r="G4698" t="s">
        <v>31368</v>
      </c>
      <c r="H4698" t="s">
        <v>15799</v>
      </c>
      <c r="I4698" t="s">
        <v>31385</v>
      </c>
      <c r="J4698" t="s">
        <v>31530</v>
      </c>
      <c r="K4698" t="s">
        <v>40662</v>
      </c>
      <c r="L4698" t="s">
        <v>1549</v>
      </c>
      <c r="M4698" t="s">
        <v>42597</v>
      </c>
      <c r="N4698" t="s">
        <v>44905</v>
      </c>
      <c r="O4698" t="s">
        <v>44906</v>
      </c>
      <c r="P4698">
        <v>0</v>
      </c>
      <c r="Q4698">
        <v>0</v>
      </c>
      <c r="R4698" t="s">
        <v>44908</v>
      </c>
      <c r="S4698" t="s">
        <v>45042</v>
      </c>
      <c r="T4698" t="s">
        <v>46498</v>
      </c>
      <c r="U4698" t="s">
        <v>50665</v>
      </c>
      <c r="W4698" t="s">
        <v>42597</v>
      </c>
      <c r="X4698" t="s">
        <v>44909</v>
      </c>
    </row>
    <row r="4699" spans="1:24">
      <c r="A4699">
        <f>HYPERLINK("https://www.philgeps.gov.ph/GEPSNONPILOT/Tender/SplashBidNoticeAbstractUI.aspx?menuIndex=3&amp;refID=7081436&amp;Result=3","7081436")</f>
        <v>0</v>
      </c>
      <c r="B4699" t="s">
        <v>1215</v>
      </c>
      <c r="C4699" t="s">
        <v>8021</v>
      </c>
      <c r="D4699" t="s">
        <v>18108</v>
      </c>
      <c r="E4699" t="s">
        <v>22390</v>
      </c>
      <c r="F4699" t="s">
        <v>31362</v>
      </c>
      <c r="G4699" t="s">
        <v>31368</v>
      </c>
      <c r="H4699" t="s">
        <v>15799</v>
      </c>
      <c r="I4699" t="s">
        <v>7188</v>
      </c>
      <c r="J4699" t="s">
        <v>33864</v>
      </c>
      <c r="K4699" t="s">
        <v>40665</v>
      </c>
      <c r="M4699" t="s">
        <v>42228</v>
      </c>
      <c r="N4699" t="s">
        <v>44905</v>
      </c>
      <c r="O4699" t="s">
        <v>44906</v>
      </c>
      <c r="P4699">
        <v>0</v>
      </c>
      <c r="Q4699">
        <v>5</v>
      </c>
      <c r="R4699" t="s">
        <v>44908</v>
      </c>
      <c r="S4699" t="s">
        <v>45042</v>
      </c>
      <c r="T4699" t="s">
        <v>46425</v>
      </c>
      <c r="U4699" t="s">
        <v>50750</v>
      </c>
      <c r="W4699" t="s">
        <v>42228</v>
      </c>
      <c r="X4699" t="s">
        <v>44909</v>
      </c>
    </row>
    <row r="4700" spans="1:24">
      <c r="A4700">
        <f>HYPERLINK("https://www.philgeps.gov.ph/GEPSNONPILOT/Tender/SplashBidNoticeAbstractUI.aspx?menuIndex=3&amp;refID=7081451&amp;Result=3","7081451")</f>
        <v>0</v>
      </c>
      <c r="B4700" t="s">
        <v>1573</v>
      </c>
      <c r="C4700" t="s">
        <v>8022</v>
      </c>
      <c r="D4700" t="s">
        <v>18148</v>
      </c>
      <c r="E4700" t="s">
        <v>22391</v>
      </c>
      <c r="F4700" t="s">
        <v>31362</v>
      </c>
      <c r="G4700" t="s">
        <v>31369</v>
      </c>
      <c r="H4700" t="s">
        <v>31378</v>
      </c>
      <c r="I4700" t="s">
        <v>31386</v>
      </c>
      <c r="J4700" t="s">
        <v>31591</v>
      </c>
      <c r="K4700" t="s">
        <v>40665</v>
      </c>
      <c r="M4700" t="s">
        <v>42626</v>
      </c>
      <c r="N4700" t="s">
        <v>44905</v>
      </c>
      <c r="O4700" t="s">
        <v>44906</v>
      </c>
      <c r="P4700">
        <v>0</v>
      </c>
      <c r="Q4700">
        <v>1</v>
      </c>
      <c r="R4700" t="s">
        <v>44908</v>
      </c>
      <c r="S4700" t="s">
        <v>45042</v>
      </c>
      <c r="T4700" t="s">
        <v>46470</v>
      </c>
      <c r="U4700" t="s">
        <v>50751</v>
      </c>
      <c r="W4700" t="s">
        <v>42626</v>
      </c>
      <c r="X4700" t="s">
        <v>44909</v>
      </c>
    </row>
    <row r="4701" spans="1:24">
      <c r="A4701">
        <f>HYPERLINK("https://www.philgeps.gov.ph/GEPSNONPILOT/Tender/SplashBidNoticeAbstractUI.aspx?menuIndex=3&amp;refID=7081448&amp;Result=3","7081448")</f>
        <v>0</v>
      </c>
      <c r="B4701" t="s">
        <v>233</v>
      </c>
      <c r="C4701" t="s">
        <v>8023</v>
      </c>
      <c r="D4701" t="s">
        <v>18108</v>
      </c>
      <c r="E4701" t="s">
        <v>22392</v>
      </c>
      <c r="F4701" t="s">
        <v>31362</v>
      </c>
      <c r="G4701" t="s">
        <v>31369</v>
      </c>
      <c r="H4701" t="s">
        <v>31379</v>
      </c>
      <c r="I4701" t="s">
        <v>31388</v>
      </c>
      <c r="J4701" t="s">
        <v>34559</v>
      </c>
      <c r="K4701" t="s">
        <v>40679</v>
      </c>
      <c r="M4701" t="s">
        <v>42627</v>
      </c>
      <c r="N4701" t="s">
        <v>44905</v>
      </c>
      <c r="O4701" t="s">
        <v>44906</v>
      </c>
      <c r="Q4701">
        <v>3</v>
      </c>
      <c r="R4701" t="s">
        <v>44908</v>
      </c>
      <c r="S4701" t="s">
        <v>45057</v>
      </c>
      <c r="T4701" t="s">
        <v>46608</v>
      </c>
      <c r="U4701" t="s">
        <v>50752</v>
      </c>
      <c r="W4701" t="s">
        <v>42627</v>
      </c>
      <c r="X4701" t="s">
        <v>44909</v>
      </c>
    </row>
    <row r="4702" spans="1:24">
      <c r="A4702">
        <f>HYPERLINK("https://www.philgeps.gov.ph/GEPSNONPILOT/Tender/SplashBidNoticeAbstractUI.aspx?menuIndex=3&amp;refID=7081416&amp;Result=3","7081416")</f>
        <v>0</v>
      </c>
      <c r="B4702" t="s">
        <v>1270</v>
      </c>
      <c r="C4702" t="s">
        <v>8024</v>
      </c>
      <c r="D4702" t="s">
        <v>18151</v>
      </c>
      <c r="E4702" t="s">
        <v>22393</v>
      </c>
      <c r="F4702" t="s">
        <v>31362</v>
      </c>
      <c r="G4702" t="s">
        <v>31368</v>
      </c>
      <c r="H4702" t="s">
        <v>15799</v>
      </c>
      <c r="I4702" t="s">
        <v>4057</v>
      </c>
      <c r="J4702" t="s">
        <v>34560</v>
      </c>
      <c r="K4702" t="s">
        <v>40698</v>
      </c>
      <c r="M4702" t="s">
        <v>42287</v>
      </c>
      <c r="N4702" t="s">
        <v>44905</v>
      </c>
      <c r="O4702" t="s">
        <v>44906</v>
      </c>
      <c r="P4702">
        <v>0</v>
      </c>
      <c r="Q4702">
        <v>0</v>
      </c>
      <c r="R4702" t="s">
        <v>44908</v>
      </c>
      <c r="S4702" t="s">
        <v>45042</v>
      </c>
      <c r="T4702" t="s">
        <v>46427</v>
      </c>
      <c r="U4702" t="s">
        <v>49706</v>
      </c>
      <c r="W4702" t="s">
        <v>42287</v>
      </c>
      <c r="X4702" t="s">
        <v>44909</v>
      </c>
    </row>
    <row r="4703" spans="1:24">
      <c r="A4703">
        <f>HYPERLINK("https://www.philgeps.gov.ph/GEPSNONPILOT/Tender/SplashBidNoticeAbstractUI.aspx?menuIndex=3&amp;refID=7081433&amp;Result=3","7081433")</f>
        <v>0</v>
      </c>
      <c r="B4703" t="s">
        <v>1270</v>
      </c>
      <c r="C4703" t="s">
        <v>8025</v>
      </c>
      <c r="D4703" t="s">
        <v>18151</v>
      </c>
      <c r="E4703" t="s">
        <v>22394</v>
      </c>
      <c r="F4703" t="s">
        <v>31362</v>
      </c>
      <c r="G4703" t="s">
        <v>31368</v>
      </c>
      <c r="H4703" t="s">
        <v>15799</v>
      </c>
      <c r="I4703" t="s">
        <v>4057</v>
      </c>
      <c r="J4703" t="s">
        <v>34504</v>
      </c>
      <c r="K4703" t="s">
        <v>40698</v>
      </c>
      <c r="M4703" t="s">
        <v>42287</v>
      </c>
      <c r="N4703" t="s">
        <v>44905</v>
      </c>
      <c r="O4703" t="s">
        <v>44906</v>
      </c>
      <c r="P4703">
        <v>0</v>
      </c>
      <c r="Q4703">
        <v>0</v>
      </c>
      <c r="R4703" t="s">
        <v>44908</v>
      </c>
      <c r="S4703" t="s">
        <v>45042</v>
      </c>
      <c r="T4703" t="s">
        <v>46404</v>
      </c>
      <c r="U4703" t="s">
        <v>49706</v>
      </c>
      <c r="W4703" t="s">
        <v>42287</v>
      </c>
      <c r="X4703" t="s">
        <v>44909</v>
      </c>
    </row>
    <row r="4704" spans="1:24">
      <c r="A4704">
        <f>HYPERLINK("https://www.philgeps.gov.ph/GEPSNONPILOT/Tender/SplashBidNoticeAbstractUI.aspx?menuIndex=3&amp;refID=7081453&amp;Result=3","7081453")</f>
        <v>0</v>
      </c>
      <c r="B4704" t="s">
        <v>155</v>
      </c>
      <c r="C4704" t="s">
        <v>7974</v>
      </c>
      <c r="D4704" t="s">
        <v>18108</v>
      </c>
      <c r="E4704" t="s">
        <v>22395</v>
      </c>
      <c r="F4704" t="s">
        <v>31362</v>
      </c>
      <c r="G4704" t="s">
        <v>31368</v>
      </c>
      <c r="H4704" t="s">
        <v>15799</v>
      </c>
      <c r="I4704" t="s">
        <v>7719</v>
      </c>
      <c r="J4704" t="s">
        <v>31546</v>
      </c>
      <c r="K4704" t="s">
        <v>40662</v>
      </c>
      <c r="M4704" t="s">
        <v>41093</v>
      </c>
      <c r="N4704" t="s">
        <v>44905</v>
      </c>
      <c r="O4704" t="s">
        <v>44906</v>
      </c>
      <c r="P4704">
        <v>0</v>
      </c>
      <c r="Q4704">
        <v>8</v>
      </c>
      <c r="R4704" t="s">
        <v>44908</v>
      </c>
      <c r="S4704" t="s">
        <v>45042</v>
      </c>
      <c r="T4704" t="s">
        <v>46443</v>
      </c>
      <c r="U4704" t="s">
        <v>50753</v>
      </c>
      <c r="W4704" t="s">
        <v>41093</v>
      </c>
      <c r="X4704" t="s">
        <v>44909</v>
      </c>
    </row>
    <row r="4705" spans="1:24">
      <c r="A4705">
        <f>HYPERLINK("https://www.philgeps.gov.ph/GEPSNONPILOT/Tender/SplashBidNoticeAbstractUI.aspx?menuIndex=3&amp;refID=7081450&amp;Result=3","7081450")</f>
        <v>0</v>
      </c>
      <c r="B4705" t="s">
        <v>688</v>
      </c>
      <c r="C4705" t="s">
        <v>8026</v>
      </c>
      <c r="D4705" t="s">
        <v>18108</v>
      </c>
      <c r="E4705" t="s">
        <v>22396</v>
      </c>
      <c r="F4705" t="s">
        <v>31362</v>
      </c>
      <c r="G4705" t="s">
        <v>31370</v>
      </c>
      <c r="H4705" t="s">
        <v>15799</v>
      </c>
      <c r="I4705" t="s">
        <v>31393</v>
      </c>
      <c r="J4705" t="s">
        <v>34561</v>
      </c>
      <c r="K4705" t="s">
        <v>40666</v>
      </c>
      <c r="L4705" t="s">
        <v>688</v>
      </c>
      <c r="M4705" t="s">
        <v>41651</v>
      </c>
      <c r="N4705" t="s">
        <v>44905</v>
      </c>
      <c r="O4705" t="s">
        <v>44906</v>
      </c>
      <c r="P4705">
        <v>0</v>
      </c>
      <c r="Q4705">
        <v>10</v>
      </c>
      <c r="R4705" t="s">
        <v>44908</v>
      </c>
      <c r="S4705" t="s">
        <v>45042</v>
      </c>
      <c r="T4705" t="s">
        <v>46444</v>
      </c>
      <c r="U4705" t="s">
        <v>50754</v>
      </c>
      <c r="W4705" t="s">
        <v>41651</v>
      </c>
      <c r="X4705" t="s">
        <v>44909</v>
      </c>
    </row>
    <row r="4706" spans="1:24">
      <c r="A4706">
        <f>HYPERLINK("https://www.philgeps.gov.ph/GEPSNONPILOT/Tender/SplashBidNoticeAbstractUI.aspx?menuIndex=3&amp;refID=7081459&amp;Result=3","7081459")</f>
        <v>0</v>
      </c>
      <c r="B4706" t="s">
        <v>92</v>
      </c>
      <c r="C4706" t="s">
        <v>8027</v>
      </c>
      <c r="D4706" t="s">
        <v>18100</v>
      </c>
      <c r="E4706" t="s">
        <v>22397</v>
      </c>
      <c r="F4706" t="s">
        <v>31362</v>
      </c>
      <c r="G4706" t="s">
        <v>31369</v>
      </c>
      <c r="H4706" t="s">
        <v>15799</v>
      </c>
      <c r="I4706" t="s">
        <v>6373</v>
      </c>
      <c r="J4706" t="s">
        <v>34562</v>
      </c>
      <c r="K4706" t="s">
        <v>40677</v>
      </c>
      <c r="M4706" t="s">
        <v>41029</v>
      </c>
      <c r="N4706" t="s">
        <v>44905</v>
      </c>
      <c r="O4706" t="s">
        <v>44906</v>
      </c>
      <c r="P4706">
        <v>0</v>
      </c>
      <c r="Q4706">
        <v>4</v>
      </c>
      <c r="R4706" t="s">
        <v>44908</v>
      </c>
      <c r="S4706" t="s">
        <v>45042</v>
      </c>
      <c r="T4706" t="s">
        <v>46440</v>
      </c>
      <c r="U4706" t="s">
        <v>47621</v>
      </c>
      <c r="W4706" t="s">
        <v>60834</v>
      </c>
      <c r="X4706" t="s">
        <v>44909</v>
      </c>
    </row>
    <row r="4707" spans="1:24">
      <c r="A4707">
        <f>HYPERLINK("https://www.philgeps.gov.ph/GEPSNONPILOT/Tender/SplashBidNoticeAbstractUI.aspx?menuIndex=3&amp;refID=7081458&amp;Result=3","7081458")</f>
        <v>0</v>
      </c>
      <c r="B4707" t="s">
        <v>1573</v>
      </c>
      <c r="C4707" t="s">
        <v>8028</v>
      </c>
      <c r="D4707" t="s">
        <v>18148</v>
      </c>
      <c r="E4707" t="s">
        <v>22398</v>
      </c>
      <c r="F4707" t="s">
        <v>31362</v>
      </c>
      <c r="G4707" t="s">
        <v>31369</v>
      </c>
      <c r="H4707" t="s">
        <v>31378</v>
      </c>
      <c r="I4707" t="s">
        <v>31386</v>
      </c>
      <c r="J4707" t="s">
        <v>31686</v>
      </c>
      <c r="K4707" t="s">
        <v>40675</v>
      </c>
      <c r="M4707" t="s">
        <v>42626</v>
      </c>
      <c r="N4707" t="s">
        <v>44905</v>
      </c>
      <c r="O4707" t="s">
        <v>44906</v>
      </c>
      <c r="P4707">
        <v>0</v>
      </c>
      <c r="Q4707">
        <v>0</v>
      </c>
      <c r="R4707" t="s">
        <v>44908</v>
      </c>
      <c r="S4707" t="s">
        <v>45042</v>
      </c>
      <c r="T4707" t="s">
        <v>46470</v>
      </c>
      <c r="U4707" t="s">
        <v>50755</v>
      </c>
      <c r="W4707" t="s">
        <v>42626</v>
      </c>
      <c r="X4707" t="s">
        <v>44909</v>
      </c>
    </row>
    <row r="4708" spans="1:24">
      <c r="A4708">
        <f>HYPERLINK("https://www.philgeps.gov.ph/GEPSNONPILOT/Tender/SplashBidNoticeAbstractUI.aspx?menuIndex=3&amp;refID=7081456&amp;Result=3","7081456")</f>
        <v>0</v>
      </c>
      <c r="B4708" t="s">
        <v>688</v>
      </c>
      <c r="C4708" t="s">
        <v>8029</v>
      </c>
      <c r="D4708" t="s">
        <v>18108</v>
      </c>
      <c r="E4708" t="s">
        <v>22399</v>
      </c>
      <c r="F4708" t="s">
        <v>31362</v>
      </c>
      <c r="G4708" t="s">
        <v>31370</v>
      </c>
      <c r="H4708" t="s">
        <v>15799</v>
      </c>
      <c r="I4708" t="s">
        <v>31383</v>
      </c>
      <c r="J4708" t="s">
        <v>31586</v>
      </c>
      <c r="K4708" t="s">
        <v>40661</v>
      </c>
      <c r="L4708" t="s">
        <v>688</v>
      </c>
      <c r="M4708" t="s">
        <v>41651</v>
      </c>
      <c r="N4708" t="s">
        <v>44905</v>
      </c>
      <c r="O4708" t="s">
        <v>44906</v>
      </c>
      <c r="P4708">
        <v>0</v>
      </c>
      <c r="Q4708">
        <v>9</v>
      </c>
      <c r="R4708" t="s">
        <v>44908</v>
      </c>
      <c r="S4708" t="s">
        <v>45042</v>
      </c>
      <c r="T4708" t="s">
        <v>46444</v>
      </c>
      <c r="U4708" t="s">
        <v>50756</v>
      </c>
      <c r="W4708" t="s">
        <v>41651</v>
      </c>
      <c r="X4708" t="s">
        <v>44909</v>
      </c>
    </row>
    <row r="4709" spans="1:24">
      <c r="A4709">
        <f>HYPERLINK("https://www.philgeps.gov.ph/GEPSNONPILOT/Tender/SplashBidNoticeAbstractUI.aspx?menuIndex=3&amp;refID=7081446&amp;Result=3","7081446")</f>
        <v>0</v>
      </c>
      <c r="B4709" t="s">
        <v>1574</v>
      </c>
      <c r="C4709" t="s">
        <v>8030</v>
      </c>
      <c r="D4709" t="s">
        <v>18122</v>
      </c>
      <c r="E4709" t="s">
        <v>22400</v>
      </c>
      <c r="F4709" t="s">
        <v>31362</v>
      </c>
      <c r="G4709" t="s">
        <v>31370</v>
      </c>
      <c r="H4709" t="s">
        <v>15799</v>
      </c>
      <c r="I4709" t="s">
        <v>31427</v>
      </c>
      <c r="J4709" t="s">
        <v>34563</v>
      </c>
      <c r="K4709" t="s">
        <v>40661</v>
      </c>
      <c r="M4709" t="s">
        <v>42628</v>
      </c>
      <c r="N4709" t="s">
        <v>44905</v>
      </c>
      <c r="O4709" t="s">
        <v>44906</v>
      </c>
      <c r="P4709">
        <v>0</v>
      </c>
      <c r="Q4709">
        <v>8</v>
      </c>
      <c r="R4709" t="s">
        <v>44908</v>
      </c>
      <c r="S4709" t="s">
        <v>45042</v>
      </c>
      <c r="T4709" t="s">
        <v>46432</v>
      </c>
      <c r="U4709" t="s">
        <v>50757</v>
      </c>
      <c r="V4709" t="s">
        <v>59503</v>
      </c>
      <c r="W4709" t="s">
        <v>42628</v>
      </c>
      <c r="X4709" t="s">
        <v>44909</v>
      </c>
    </row>
    <row r="4710" spans="1:24">
      <c r="A4710">
        <f>HYPERLINK("https://www.philgeps.gov.ph/GEPSNONPILOT/Tender/SplashBidNoticeAbstractUI.aspx?menuIndex=3&amp;refID=7081445&amp;Result=3","7081445")</f>
        <v>0</v>
      </c>
      <c r="B4710" t="s">
        <v>1553</v>
      </c>
      <c r="C4710" t="s">
        <v>8031</v>
      </c>
      <c r="D4710" t="s">
        <v>18101</v>
      </c>
      <c r="E4710" t="s">
        <v>22401</v>
      </c>
      <c r="F4710" t="s">
        <v>31362</v>
      </c>
      <c r="G4710" t="s">
        <v>31369</v>
      </c>
      <c r="H4710" t="s">
        <v>15799</v>
      </c>
      <c r="I4710" t="s">
        <v>31409</v>
      </c>
      <c r="J4710" t="s">
        <v>31531</v>
      </c>
      <c r="K4710" t="s">
        <v>40662</v>
      </c>
      <c r="M4710" t="s">
        <v>42603</v>
      </c>
      <c r="N4710" t="s">
        <v>44905</v>
      </c>
      <c r="O4710" t="s">
        <v>44906</v>
      </c>
      <c r="P4710">
        <v>0</v>
      </c>
      <c r="Q4710">
        <v>0</v>
      </c>
      <c r="R4710" t="s">
        <v>44908</v>
      </c>
      <c r="S4710" t="s">
        <v>45042</v>
      </c>
      <c r="T4710" t="s">
        <v>46511</v>
      </c>
      <c r="U4710" t="s">
        <v>50758</v>
      </c>
      <c r="W4710" t="s">
        <v>42603</v>
      </c>
      <c r="X4710" t="s">
        <v>44909</v>
      </c>
    </row>
    <row r="4711" spans="1:24">
      <c r="A4711">
        <f>HYPERLINK("https://www.philgeps.gov.ph/GEPSNONPILOT/Tender/SplashBidNoticeAbstractUI.aspx?menuIndex=3&amp;refID=7081444&amp;Result=3","7081444")</f>
        <v>0</v>
      </c>
      <c r="B4711" t="s">
        <v>1575</v>
      </c>
      <c r="C4711" t="s">
        <v>8032</v>
      </c>
      <c r="D4711" t="s">
        <v>18107</v>
      </c>
      <c r="E4711" t="s">
        <v>22402</v>
      </c>
      <c r="F4711" t="s">
        <v>31362</v>
      </c>
      <c r="G4711" t="s">
        <v>31371</v>
      </c>
      <c r="H4711" t="s">
        <v>15799</v>
      </c>
      <c r="I4711" t="s">
        <v>6373</v>
      </c>
      <c r="J4711" t="s">
        <v>34564</v>
      </c>
      <c r="K4711" t="s">
        <v>40670</v>
      </c>
      <c r="M4711" t="s">
        <v>42629</v>
      </c>
      <c r="N4711" t="s">
        <v>44905</v>
      </c>
      <c r="O4711" t="s">
        <v>44906</v>
      </c>
      <c r="P4711">
        <v>0</v>
      </c>
      <c r="Q4711">
        <v>1</v>
      </c>
      <c r="R4711" t="s">
        <v>44908</v>
      </c>
      <c r="S4711" t="s">
        <v>45042</v>
      </c>
      <c r="T4711" t="s">
        <v>46471</v>
      </c>
      <c r="U4711" t="s">
        <v>50759</v>
      </c>
      <c r="W4711" t="s">
        <v>42629</v>
      </c>
      <c r="X4711" t="s">
        <v>44909</v>
      </c>
    </row>
    <row r="4712" spans="1:24">
      <c r="A4712">
        <f>HYPERLINK("https://www.philgeps.gov.ph/GEPSNONPILOT/Tender/SplashBidNoticeAbstractUI.aspx?menuIndex=3&amp;refID=7081442&amp;Result=3","7081442")</f>
        <v>0</v>
      </c>
      <c r="B4712" t="s">
        <v>1572</v>
      </c>
      <c r="C4712" t="s">
        <v>8033</v>
      </c>
      <c r="D4712" t="s">
        <v>18110</v>
      </c>
      <c r="E4712" t="s">
        <v>19078</v>
      </c>
      <c r="F4712" t="s">
        <v>31362</v>
      </c>
      <c r="G4712" t="s">
        <v>31368</v>
      </c>
      <c r="H4712" t="s">
        <v>15799</v>
      </c>
      <c r="I4712" t="s">
        <v>7188</v>
      </c>
      <c r="J4712" t="s">
        <v>34565</v>
      </c>
      <c r="K4712" t="s">
        <v>40697</v>
      </c>
      <c r="M4712" t="s">
        <v>42625</v>
      </c>
      <c r="N4712" t="s">
        <v>44905</v>
      </c>
      <c r="O4712" t="s">
        <v>44906</v>
      </c>
      <c r="P4712">
        <v>0</v>
      </c>
      <c r="Q4712">
        <v>0</v>
      </c>
      <c r="R4712" t="s">
        <v>44908</v>
      </c>
      <c r="S4712" t="s">
        <v>45042</v>
      </c>
      <c r="T4712" t="s">
        <v>46443</v>
      </c>
      <c r="U4712" t="s">
        <v>50760</v>
      </c>
      <c r="W4712" t="s">
        <v>60900</v>
      </c>
      <c r="X4712" t="s">
        <v>44909</v>
      </c>
    </row>
    <row r="4713" spans="1:24">
      <c r="A4713">
        <f>HYPERLINK("https://www.philgeps.gov.ph/GEPSNONPILOT/Tender/SplashBidNoticeAbstractUI.aspx?menuIndex=3&amp;refID=7081454&amp;Result=3","7081454")</f>
        <v>0</v>
      </c>
      <c r="B4713" t="s">
        <v>1573</v>
      </c>
      <c r="C4713" t="s">
        <v>8034</v>
      </c>
      <c r="D4713" t="s">
        <v>18148</v>
      </c>
      <c r="E4713" t="s">
        <v>22403</v>
      </c>
      <c r="F4713" t="s">
        <v>31362</v>
      </c>
      <c r="G4713" t="s">
        <v>31369</v>
      </c>
      <c r="H4713" t="s">
        <v>15799</v>
      </c>
      <c r="I4713" t="s">
        <v>31386</v>
      </c>
      <c r="J4713" t="s">
        <v>31817</v>
      </c>
      <c r="K4713" t="s">
        <v>40675</v>
      </c>
      <c r="M4713" t="s">
        <v>42626</v>
      </c>
      <c r="N4713" t="s">
        <v>44905</v>
      </c>
      <c r="O4713" t="s">
        <v>44906</v>
      </c>
      <c r="P4713">
        <v>0</v>
      </c>
      <c r="Q4713">
        <v>0</v>
      </c>
      <c r="R4713" t="s">
        <v>44908</v>
      </c>
      <c r="S4713" t="s">
        <v>45042</v>
      </c>
      <c r="T4713" t="s">
        <v>46470</v>
      </c>
      <c r="U4713" t="s">
        <v>50761</v>
      </c>
      <c r="W4713" t="s">
        <v>42626</v>
      </c>
      <c r="X4713" t="s">
        <v>44909</v>
      </c>
    </row>
    <row r="4714" spans="1:24">
      <c r="A4714">
        <f>HYPERLINK("https://www.philgeps.gov.ph/GEPSNONPILOT/Tender/SplashBidNoticeAbstractUI.aspx?menuIndex=3&amp;refID=7081460&amp;Result=3","7081460")</f>
        <v>0</v>
      </c>
      <c r="B4714" t="s">
        <v>886</v>
      </c>
      <c r="C4714" t="s">
        <v>8035</v>
      </c>
      <c r="E4714" t="s">
        <v>22404</v>
      </c>
      <c r="F4714" t="s">
        <v>31362</v>
      </c>
      <c r="G4714" t="s">
        <v>31368</v>
      </c>
      <c r="H4714" t="s">
        <v>15799</v>
      </c>
      <c r="I4714" t="s">
        <v>31470</v>
      </c>
      <c r="J4714" t="s">
        <v>34566</v>
      </c>
      <c r="K4714" t="s">
        <v>40662</v>
      </c>
      <c r="M4714" t="s">
        <v>41970</v>
      </c>
      <c r="N4714" t="s">
        <v>44905</v>
      </c>
      <c r="O4714" t="s">
        <v>44906</v>
      </c>
      <c r="P4714">
        <v>0</v>
      </c>
      <c r="Q4714">
        <v>7</v>
      </c>
      <c r="R4714" t="s">
        <v>44908</v>
      </c>
      <c r="S4714" t="s">
        <v>45042</v>
      </c>
      <c r="T4714" t="s">
        <v>46498</v>
      </c>
      <c r="U4714" t="s">
        <v>48012</v>
      </c>
      <c r="W4714" t="s">
        <v>41970</v>
      </c>
      <c r="X4714" t="s">
        <v>44909</v>
      </c>
    </row>
    <row r="4715" spans="1:24">
      <c r="A4715">
        <f>HYPERLINK("https://www.philgeps.gov.ph/GEPSNONPILOT/Tender/SplashBidNoticeAbstractUI.aspx?menuIndex=3&amp;refID=7081440&amp;Result=3","7081440")</f>
        <v>0</v>
      </c>
      <c r="B4715" t="s">
        <v>1506</v>
      </c>
      <c r="C4715" t="s">
        <v>8036</v>
      </c>
      <c r="D4715" t="s">
        <v>18110</v>
      </c>
      <c r="E4715" t="s">
        <v>22405</v>
      </c>
      <c r="F4715" t="s">
        <v>31362</v>
      </c>
      <c r="G4715" t="s">
        <v>31368</v>
      </c>
      <c r="H4715" t="s">
        <v>31378</v>
      </c>
      <c r="I4715" t="s">
        <v>31386</v>
      </c>
      <c r="J4715" t="s">
        <v>34567</v>
      </c>
      <c r="K4715" t="s">
        <v>40681</v>
      </c>
      <c r="M4715" t="s">
        <v>42546</v>
      </c>
      <c r="N4715" t="s">
        <v>44905</v>
      </c>
      <c r="O4715" t="s">
        <v>44906</v>
      </c>
      <c r="P4715">
        <v>0</v>
      </c>
      <c r="Q4715">
        <v>0</v>
      </c>
      <c r="R4715" t="s">
        <v>44908</v>
      </c>
      <c r="S4715" t="s">
        <v>45042</v>
      </c>
      <c r="T4715" t="s">
        <v>46454</v>
      </c>
      <c r="U4715" t="s">
        <v>50762</v>
      </c>
      <c r="W4715" t="s">
        <v>42546</v>
      </c>
      <c r="X4715" t="s">
        <v>44909</v>
      </c>
    </row>
    <row r="4716" spans="1:24">
      <c r="A4716">
        <f>HYPERLINK("https://www.philgeps.gov.ph/GEPSNONPILOT/Tender/SplashBidNoticeAbstractUI.aspx?menuIndex=3&amp;refID=7081439&amp;Result=3","7081439")</f>
        <v>0</v>
      </c>
      <c r="B4716" t="s">
        <v>1571</v>
      </c>
      <c r="C4716" t="s">
        <v>8037</v>
      </c>
      <c r="D4716" t="s">
        <v>18153</v>
      </c>
      <c r="E4716" t="s">
        <v>22406</v>
      </c>
      <c r="F4716" t="s">
        <v>31362</v>
      </c>
      <c r="G4716" t="s">
        <v>31370</v>
      </c>
      <c r="H4716" t="s">
        <v>15799</v>
      </c>
      <c r="I4716" t="s">
        <v>31404</v>
      </c>
      <c r="J4716" t="s">
        <v>31577</v>
      </c>
      <c r="K4716" t="s">
        <v>40661</v>
      </c>
      <c r="M4716" t="s">
        <v>42623</v>
      </c>
      <c r="N4716" t="s">
        <v>44905</v>
      </c>
      <c r="O4716" t="s">
        <v>44906</v>
      </c>
      <c r="P4716">
        <v>0</v>
      </c>
      <c r="Q4716">
        <v>0</v>
      </c>
      <c r="R4716" t="s">
        <v>44908</v>
      </c>
      <c r="S4716" t="s">
        <v>45042</v>
      </c>
      <c r="T4716" t="s">
        <v>46393</v>
      </c>
      <c r="U4716" t="s">
        <v>50763</v>
      </c>
      <c r="V4716" t="s">
        <v>59501</v>
      </c>
      <c r="W4716" t="s">
        <v>42623</v>
      </c>
      <c r="X4716" t="s">
        <v>44909</v>
      </c>
    </row>
    <row r="4717" spans="1:24">
      <c r="A4717">
        <f>HYPERLINK("https://www.philgeps.gov.ph/GEPSNONPILOT/Tender/SplashBidNoticeAbstractUI.aspx?menuIndex=3&amp;refID=7081462&amp;Result=3","7081462")</f>
        <v>0</v>
      </c>
      <c r="B4717" t="s">
        <v>1576</v>
      </c>
      <c r="C4717" t="s">
        <v>8038</v>
      </c>
      <c r="D4717" t="s">
        <v>18111</v>
      </c>
      <c r="E4717" t="s">
        <v>22407</v>
      </c>
      <c r="F4717" t="s">
        <v>31362</v>
      </c>
      <c r="G4717" t="s">
        <v>31368</v>
      </c>
      <c r="H4717" t="s">
        <v>15799</v>
      </c>
      <c r="I4717" t="s">
        <v>31420</v>
      </c>
      <c r="J4717" t="s">
        <v>31910</v>
      </c>
      <c r="K4717" t="s">
        <v>40675</v>
      </c>
      <c r="M4717" t="s">
        <v>42630</v>
      </c>
      <c r="N4717" t="s">
        <v>44905</v>
      </c>
      <c r="O4717" t="s">
        <v>44906</v>
      </c>
      <c r="P4717">
        <v>0</v>
      </c>
      <c r="Q4717">
        <v>3</v>
      </c>
      <c r="R4717" t="s">
        <v>44908</v>
      </c>
      <c r="S4717" t="s">
        <v>45042</v>
      </c>
      <c r="T4717" t="s">
        <v>46409</v>
      </c>
      <c r="U4717" t="s">
        <v>50764</v>
      </c>
      <c r="W4717" t="s">
        <v>42630</v>
      </c>
      <c r="X4717" t="s">
        <v>44909</v>
      </c>
    </row>
    <row r="4718" spans="1:24">
      <c r="A4718">
        <f>HYPERLINK("https://www.philgeps.gov.ph/GEPSNONPILOT/Tender/SplashBidNoticeAbstractUI.aspx?menuIndex=3&amp;refID=7081476&amp;Result=3","7081476")</f>
        <v>0</v>
      </c>
      <c r="B4718" t="s">
        <v>1577</v>
      </c>
      <c r="C4718" t="s">
        <v>8039</v>
      </c>
      <c r="D4718" t="s">
        <v>18131</v>
      </c>
      <c r="E4718" t="s">
        <v>8039</v>
      </c>
      <c r="F4718" t="s">
        <v>31362</v>
      </c>
      <c r="G4718" t="s">
        <v>31369</v>
      </c>
      <c r="H4718" t="s">
        <v>31379</v>
      </c>
      <c r="I4718" t="s">
        <v>31480</v>
      </c>
      <c r="J4718" t="s">
        <v>34568</v>
      </c>
      <c r="K4718" t="s">
        <v>40670</v>
      </c>
      <c r="M4718" t="s">
        <v>42631</v>
      </c>
      <c r="N4718" t="s">
        <v>44905</v>
      </c>
      <c r="O4718" t="s">
        <v>44906</v>
      </c>
      <c r="P4718">
        <v>0</v>
      </c>
      <c r="Q4718">
        <v>1</v>
      </c>
      <c r="R4718" t="s">
        <v>44908</v>
      </c>
      <c r="S4718" t="s">
        <v>45042</v>
      </c>
      <c r="T4718" t="s">
        <v>46472</v>
      </c>
      <c r="U4718" t="s">
        <v>50765</v>
      </c>
      <c r="W4718" t="s">
        <v>42631</v>
      </c>
      <c r="X4718" t="s">
        <v>44909</v>
      </c>
    </row>
    <row r="4719" spans="1:24">
      <c r="A4719">
        <f>HYPERLINK("https://www.philgeps.gov.ph/GEPSNONPILOT/Tender/SplashBidNoticeAbstractUI.aspx?menuIndex=3&amp;refID=7081482&amp;Result=3","7081482")</f>
        <v>0</v>
      </c>
      <c r="B4719" t="s">
        <v>1577</v>
      </c>
      <c r="C4719" t="s">
        <v>8040</v>
      </c>
      <c r="D4719" t="s">
        <v>18131</v>
      </c>
      <c r="E4719" t="s">
        <v>8040</v>
      </c>
      <c r="F4719" t="s">
        <v>31362</v>
      </c>
      <c r="G4719" t="s">
        <v>31369</v>
      </c>
      <c r="H4719" t="s">
        <v>15799</v>
      </c>
      <c r="I4719" t="s">
        <v>3815</v>
      </c>
      <c r="J4719" t="s">
        <v>34569</v>
      </c>
      <c r="K4719" t="s">
        <v>40670</v>
      </c>
      <c r="M4719" t="s">
        <v>42631</v>
      </c>
      <c r="N4719" t="s">
        <v>44905</v>
      </c>
      <c r="O4719" t="s">
        <v>44906</v>
      </c>
      <c r="P4719">
        <v>0</v>
      </c>
      <c r="Q4719">
        <v>1</v>
      </c>
      <c r="R4719" t="s">
        <v>44908</v>
      </c>
      <c r="S4719" t="s">
        <v>45042</v>
      </c>
      <c r="T4719" t="s">
        <v>46472</v>
      </c>
      <c r="U4719" t="s">
        <v>50765</v>
      </c>
      <c r="W4719" t="s">
        <v>42631</v>
      </c>
      <c r="X4719" t="s">
        <v>44909</v>
      </c>
    </row>
    <row r="4720" spans="1:24">
      <c r="A4720">
        <f>HYPERLINK("https://www.philgeps.gov.ph/GEPSNONPILOT/Tender/SplashBidNoticeAbstractUI.aspx?menuIndex=3&amp;refID=7081443&amp;Result=3","7081443")</f>
        <v>0</v>
      </c>
      <c r="B4720" t="s">
        <v>367</v>
      </c>
      <c r="C4720" t="s">
        <v>8041</v>
      </c>
      <c r="D4720" t="s">
        <v>18134</v>
      </c>
      <c r="E4720" t="s">
        <v>22408</v>
      </c>
      <c r="F4720" t="s">
        <v>31362</v>
      </c>
      <c r="G4720" t="s">
        <v>31368</v>
      </c>
      <c r="H4720" t="s">
        <v>15799</v>
      </c>
      <c r="I4720" t="s">
        <v>3815</v>
      </c>
      <c r="J4720" t="s">
        <v>34570</v>
      </c>
      <c r="K4720" t="s">
        <v>40677</v>
      </c>
      <c r="M4720" t="s">
        <v>41314</v>
      </c>
      <c r="N4720" t="s">
        <v>44905</v>
      </c>
      <c r="O4720" t="s">
        <v>44906</v>
      </c>
      <c r="P4720">
        <v>0</v>
      </c>
      <c r="Q4720">
        <v>0</v>
      </c>
      <c r="R4720" t="s">
        <v>44908</v>
      </c>
      <c r="S4720" t="s">
        <v>45042</v>
      </c>
      <c r="T4720" t="s">
        <v>46447</v>
      </c>
      <c r="U4720" t="s">
        <v>50766</v>
      </c>
      <c r="W4720" t="s">
        <v>41314</v>
      </c>
      <c r="X4720" t="s">
        <v>44909</v>
      </c>
    </row>
    <row r="4721" spans="1:24">
      <c r="A4721">
        <f>HYPERLINK("https://www.philgeps.gov.ph/GEPSNONPILOT/Tender/SplashBidNoticeAbstractUI.aspx?menuIndex=3&amp;refID=7081481&amp;Result=3","7081481")</f>
        <v>0</v>
      </c>
      <c r="B4721" t="s">
        <v>1578</v>
      </c>
      <c r="C4721" t="s">
        <v>8042</v>
      </c>
      <c r="D4721" t="s">
        <v>18108</v>
      </c>
      <c r="E4721" t="s">
        <v>22409</v>
      </c>
      <c r="F4721" t="s">
        <v>31362</v>
      </c>
      <c r="G4721" t="s">
        <v>31369</v>
      </c>
      <c r="H4721" t="s">
        <v>31379</v>
      </c>
      <c r="I4721" t="s">
        <v>31388</v>
      </c>
      <c r="J4721" t="s">
        <v>34571</v>
      </c>
      <c r="K4721" t="s">
        <v>40741</v>
      </c>
      <c r="M4721" t="s">
        <v>42632</v>
      </c>
      <c r="N4721" t="s">
        <v>44905</v>
      </c>
      <c r="O4721" t="s">
        <v>44906</v>
      </c>
      <c r="P4721">
        <v>0</v>
      </c>
      <c r="Q4721">
        <v>2</v>
      </c>
      <c r="R4721" t="s">
        <v>44908</v>
      </c>
      <c r="S4721" t="s">
        <v>45042</v>
      </c>
      <c r="T4721" t="s">
        <v>46402</v>
      </c>
      <c r="U4721" t="s">
        <v>50767</v>
      </c>
      <c r="V4721" t="s">
        <v>59504</v>
      </c>
      <c r="W4721" t="s">
        <v>42632</v>
      </c>
      <c r="X4721" t="s">
        <v>44909</v>
      </c>
    </row>
    <row r="4722" spans="1:24">
      <c r="A4722">
        <f>HYPERLINK("https://www.philgeps.gov.ph/GEPSNONPILOT/Tender/SplashBidNoticeAbstractUI.aspx?menuIndex=3&amp;refID=7081479&amp;Result=3","7081479")</f>
        <v>0</v>
      </c>
      <c r="B4722" t="s">
        <v>1579</v>
      </c>
      <c r="C4722" t="s">
        <v>8043</v>
      </c>
      <c r="D4722" t="s">
        <v>18117</v>
      </c>
      <c r="E4722" t="s">
        <v>22410</v>
      </c>
      <c r="F4722" t="s">
        <v>31362</v>
      </c>
      <c r="G4722" t="s">
        <v>31368</v>
      </c>
      <c r="H4722" t="s">
        <v>15799</v>
      </c>
      <c r="I4722" t="s">
        <v>31422</v>
      </c>
      <c r="J4722" t="s">
        <v>31579</v>
      </c>
      <c r="K4722" t="s">
        <v>40666</v>
      </c>
      <c r="M4722" t="s">
        <v>42633</v>
      </c>
      <c r="N4722" t="s">
        <v>44905</v>
      </c>
      <c r="O4722" t="s">
        <v>44906</v>
      </c>
      <c r="P4722">
        <v>0</v>
      </c>
      <c r="Q4722">
        <v>0</v>
      </c>
      <c r="R4722" t="s">
        <v>44908</v>
      </c>
      <c r="S4722" t="s">
        <v>45042</v>
      </c>
      <c r="T4722" t="s">
        <v>46493</v>
      </c>
      <c r="U4722" t="s">
        <v>50768</v>
      </c>
      <c r="W4722" t="s">
        <v>42633</v>
      </c>
      <c r="X4722" t="s">
        <v>44909</v>
      </c>
    </row>
    <row r="4723" spans="1:24">
      <c r="A4723">
        <f>HYPERLINK("https://www.philgeps.gov.ph/GEPSNONPILOT/Tender/SplashBidNoticeAbstractUI.aspx?menuIndex=3&amp;refID=7081480&amp;Result=3","7081480")</f>
        <v>0</v>
      </c>
      <c r="B4723" t="s">
        <v>92</v>
      </c>
      <c r="C4723" t="s">
        <v>8044</v>
      </c>
      <c r="D4723" t="s">
        <v>18100</v>
      </c>
      <c r="E4723" t="s">
        <v>22411</v>
      </c>
      <c r="F4723" t="s">
        <v>31362</v>
      </c>
      <c r="G4723" t="s">
        <v>31369</v>
      </c>
      <c r="H4723" t="s">
        <v>15799</v>
      </c>
      <c r="I4723" t="s">
        <v>6240</v>
      </c>
      <c r="J4723" t="s">
        <v>34572</v>
      </c>
      <c r="K4723" t="s">
        <v>40677</v>
      </c>
      <c r="M4723" t="s">
        <v>41029</v>
      </c>
      <c r="N4723" t="s">
        <v>44905</v>
      </c>
      <c r="O4723" t="s">
        <v>44906</v>
      </c>
      <c r="P4723">
        <v>0</v>
      </c>
      <c r="Q4723">
        <v>0</v>
      </c>
      <c r="R4723" t="s">
        <v>44908</v>
      </c>
      <c r="S4723" t="s">
        <v>45042</v>
      </c>
      <c r="T4723" t="s">
        <v>46440</v>
      </c>
      <c r="U4723" t="s">
        <v>47621</v>
      </c>
      <c r="W4723" t="s">
        <v>60834</v>
      </c>
      <c r="X4723" t="s">
        <v>44909</v>
      </c>
    </row>
    <row r="4724" spans="1:24">
      <c r="A4724">
        <f>HYPERLINK("https://www.philgeps.gov.ph/GEPSNONPILOT/Tender/SplashBidNoticeAbstractUI.aspx?menuIndex=3&amp;refID=7081461&amp;Result=3","7081461")</f>
        <v>0</v>
      </c>
      <c r="B4724" t="s">
        <v>1580</v>
      </c>
      <c r="C4724" t="s">
        <v>8045</v>
      </c>
      <c r="D4724" t="s">
        <v>18134</v>
      </c>
      <c r="E4724" t="s">
        <v>22412</v>
      </c>
      <c r="F4724" t="s">
        <v>31362</v>
      </c>
      <c r="G4724" t="s">
        <v>31369</v>
      </c>
      <c r="H4724" t="s">
        <v>15799</v>
      </c>
      <c r="I4724" t="s">
        <v>31428</v>
      </c>
      <c r="J4724" t="s">
        <v>34573</v>
      </c>
      <c r="K4724" t="s">
        <v>40665</v>
      </c>
      <c r="M4724" t="s">
        <v>42634</v>
      </c>
      <c r="N4724" t="s">
        <v>44905</v>
      </c>
      <c r="O4724" t="s">
        <v>44906</v>
      </c>
      <c r="P4724">
        <v>0</v>
      </c>
      <c r="Q4724">
        <v>1</v>
      </c>
      <c r="R4724" t="s">
        <v>44908</v>
      </c>
      <c r="S4724" t="s">
        <v>45042</v>
      </c>
      <c r="T4724" t="s">
        <v>46415</v>
      </c>
      <c r="U4724" t="s">
        <v>50769</v>
      </c>
      <c r="W4724" t="s">
        <v>42634</v>
      </c>
      <c r="X4724" t="s">
        <v>44909</v>
      </c>
    </row>
    <row r="4725" spans="1:24">
      <c r="A4725">
        <f>HYPERLINK("https://www.philgeps.gov.ph/GEPSNONPILOT/Tender/SplashBidNoticeAbstractUI.aspx?menuIndex=3&amp;refID=7081477&amp;Result=3","7081477")</f>
        <v>0</v>
      </c>
      <c r="B4725" t="s">
        <v>831</v>
      </c>
      <c r="C4725" t="s">
        <v>8046</v>
      </c>
      <c r="D4725" t="s">
        <v>18108</v>
      </c>
      <c r="E4725" t="s">
        <v>22413</v>
      </c>
      <c r="F4725" t="s">
        <v>31362</v>
      </c>
      <c r="G4725" t="s">
        <v>31369</v>
      </c>
      <c r="H4725" t="s">
        <v>15799</v>
      </c>
      <c r="I4725" t="s">
        <v>31385</v>
      </c>
      <c r="J4725" t="s">
        <v>34574</v>
      </c>
      <c r="K4725" t="s">
        <v>40666</v>
      </c>
      <c r="M4725" t="s">
        <v>42635</v>
      </c>
      <c r="N4725" t="s">
        <v>44905</v>
      </c>
      <c r="O4725" t="s">
        <v>44906</v>
      </c>
      <c r="P4725">
        <v>0</v>
      </c>
      <c r="Q4725">
        <v>0</v>
      </c>
      <c r="R4725" t="s">
        <v>44908</v>
      </c>
      <c r="S4725" t="s">
        <v>45042</v>
      </c>
      <c r="T4725" t="s">
        <v>46511</v>
      </c>
      <c r="U4725" t="s">
        <v>47749</v>
      </c>
      <c r="W4725" t="s">
        <v>42635</v>
      </c>
      <c r="X4725" t="s">
        <v>44909</v>
      </c>
    </row>
    <row r="4726" spans="1:24">
      <c r="A4726">
        <f>HYPERLINK("https://www.philgeps.gov.ph/GEPSNONPILOT/Tender/SplashBidNoticeAbstractUI.aspx?menuIndex=3&amp;refID=7081475&amp;Result=3","7081475")</f>
        <v>0</v>
      </c>
      <c r="B4726" t="s">
        <v>1581</v>
      </c>
      <c r="C4726" t="s">
        <v>8047</v>
      </c>
      <c r="D4726" t="s">
        <v>18181</v>
      </c>
      <c r="E4726" t="s">
        <v>22414</v>
      </c>
      <c r="F4726" t="s">
        <v>31362</v>
      </c>
      <c r="G4726" t="s">
        <v>31369</v>
      </c>
      <c r="H4726" t="s">
        <v>15799</v>
      </c>
      <c r="I4726" t="s">
        <v>3815</v>
      </c>
      <c r="J4726" t="s">
        <v>31591</v>
      </c>
      <c r="K4726" t="s">
        <v>40662</v>
      </c>
      <c r="M4726" t="s">
        <v>42636</v>
      </c>
      <c r="N4726" t="s">
        <v>44905</v>
      </c>
      <c r="O4726" t="s">
        <v>44906</v>
      </c>
      <c r="P4726">
        <v>0</v>
      </c>
      <c r="Q4726">
        <v>0</v>
      </c>
      <c r="R4726" t="s">
        <v>44908</v>
      </c>
      <c r="S4726" t="s">
        <v>45042</v>
      </c>
      <c r="T4726" t="s">
        <v>46427</v>
      </c>
      <c r="U4726" t="s">
        <v>50770</v>
      </c>
      <c r="W4726" t="s">
        <v>42636</v>
      </c>
      <c r="X4726" t="s">
        <v>44909</v>
      </c>
    </row>
    <row r="4727" spans="1:24">
      <c r="A4727">
        <f>HYPERLINK("https://www.philgeps.gov.ph/GEPSNONPILOT/Tender/SplashBidNoticeAbstractUI.aspx?menuIndex=3&amp;refID=7081457&amp;Result=3","7081457")</f>
        <v>0</v>
      </c>
      <c r="B4727" t="s">
        <v>414</v>
      </c>
      <c r="C4727" t="s">
        <v>8048</v>
      </c>
      <c r="E4727" t="s">
        <v>22415</v>
      </c>
      <c r="F4727" t="s">
        <v>31362</v>
      </c>
      <c r="G4727" t="s">
        <v>31369</v>
      </c>
      <c r="H4727" t="s">
        <v>15799</v>
      </c>
      <c r="I4727" t="s">
        <v>31414</v>
      </c>
      <c r="J4727" t="s">
        <v>34575</v>
      </c>
      <c r="K4727" t="s">
        <v>40679</v>
      </c>
      <c r="M4727" t="s">
        <v>41364</v>
      </c>
      <c r="N4727" t="s">
        <v>44905</v>
      </c>
      <c r="O4727" t="s">
        <v>44906</v>
      </c>
      <c r="P4727">
        <v>0</v>
      </c>
      <c r="Q4727">
        <v>12</v>
      </c>
      <c r="R4727" t="s">
        <v>44908</v>
      </c>
      <c r="S4727" t="s">
        <v>45042</v>
      </c>
      <c r="T4727" t="s">
        <v>46687</v>
      </c>
      <c r="U4727" t="s">
        <v>50771</v>
      </c>
      <c r="W4727" t="s">
        <v>41364</v>
      </c>
      <c r="X4727" t="s">
        <v>44909</v>
      </c>
    </row>
    <row r="4728" spans="1:24">
      <c r="A4728">
        <f>HYPERLINK("https://www.philgeps.gov.ph/GEPSNONPILOT/Tender/SplashBidNoticeAbstractUI.aspx?menuIndex=3&amp;refID=7081473&amp;Result=3","7081473")</f>
        <v>0</v>
      </c>
      <c r="B4728" t="s">
        <v>1579</v>
      </c>
      <c r="C4728" t="s">
        <v>8049</v>
      </c>
      <c r="D4728" t="s">
        <v>18117</v>
      </c>
      <c r="E4728" t="s">
        <v>22416</v>
      </c>
      <c r="F4728" t="s">
        <v>31362</v>
      </c>
      <c r="G4728" t="s">
        <v>31368</v>
      </c>
      <c r="H4728" t="s">
        <v>15799</v>
      </c>
      <c r="I4728" t="s">
        <v>31459</v>
      </c>
      <c r="J4728" t="s">
        <v>34576</v>
      </c>
      <c r="K4728" t="s">
        <v>40682</v>
      </c>
      <c r="M4728" t="s">
        <v>42633</v>
      </c>
      <c r="N4728" t="s">
        <v>44905</v>
      </c>
      <c r="O4728" t="s">
        <v>44906</v>
      </c>
      <c r="P4728">
        <v>0</v>
      </c>
      <c r="Q4728">
        <v>1</v>
      </c>
      <c r="R4728" t="s">
        <v>44908</v>
      </c>
      <c r="S4728" t="s">
        <v>45042</v>
      </c>
      <c r="T4728" t="s">
        <v>46493</v>
      </c>
      <c r="U4728" t="s">
        <v>50772</v>
      </c>
      <c r="W4728" t="s">
        <v>42633</v>
      </c>
      <c r="X4728" t="s">
        <v>44909</v>
      </c>
    </row>
    <row r="4729" spans="1:24">
      <c r="A4729">
        <f>HYPERLINK("https://www.philgeps.gov.ph/GEPSNONPILOT/Tender/SplashBidNoticeAbstractUI.aspx?menuIndex=3&amp;refID=7081469&amp;Result=3","7081469")</f>
        <v>0</v>
      </c>
      <c r="B4729" t="s">
        <v>815</v>
      </c>
      <c r="C4729" t="s">
        <v>8050</v>
      </c>
      <c r="E4729" t="s">
        <v>22417</v>
      </c>
      <c r="F4729" t="s">
        <v>31362</v>
      </c>
      <c r="G4729" t="s">
        <v>31368</v>
      </c>
      <c r="H4729" t="s">
        <v>15799</v>
      </c>
      <c r="I4729" t="s">
        <v>31384</v>
      </c>
      <c r="J4729" t="s">
        <v>32519</v>
      </c>
      <c r="K4729" t="s">
        <v>40697</v>
      </c>
      <c r="M4729" t="s">
        <v>41788</v>
      </c>
      <c r="N4729" t="s">
        <v>44905</v>
      </c>
      <c r="O4729" t="s">
        <v>44906</v>
      </c>
      <c r="P4729">
        <v>0</v>
      </c>
      <c r="Q4729">
        <v>9</v>
      </c>
      <c r="R4729" t="s">
        <v>44908</v>
      </c>
      <c r="S4729" t="s">
        <v>45042</v>
      </c>
      <c r="T4729" t="s">
        <v>46394</v>
      </c>
      <c r="U4729" t="s">
        <v>50773</v>
      </c>
      <c r="W4729" t="s">
        <v>41788</v>
      </c>
      <c r="X4729" t="s">
        <v>44909</v>
      </c>
    </row>
    <row r="4730" spans="1:24">
      <c r="A4730">
        <f>HYPERLINK("https://www.philgeps.gov.ph/GEPSNONPILOT/Tender/SplashBidNoticeAbstractUI.aspx?menuIndex=3&amp;refID=7081478&amp;Result=3","7081478")</f>
        <v>0</v>
      </c>
      <c r="B4730" t="s">
        <v>1582</v>
      </c>
      <c r="C4730" t="s">
        <v>8051</v>
      </c>
      <c r="D4730" t="s">
        <v>18158</v>
      </c>
      <c r="E4730" t="s">
        <v>22418</v>
      </c>
      <c r="F4730" t="s">
        <v>31362</v>
      </c>
      <c r="G4730" t="s">
        <v>31369</v>
      </c>
      <c r="H4730" t="s">
        <v>31378</v>
      </c>
      <c r="I4730" t="s">
        <v>31386</v>
      </c>
      <c r="J4730" t="s">
        <v>32902</v>
      </c>
      <c r="K4730" t="s">
        <v>40686</v>
      </c>
      <c r="M4730" t="s">
        <v>42637</v>
      </c>
      <c r="N4730" t="s">
        <v>44905</v>
      </c>
      <c r="O4730" t="s">
        <v>44906</v>
      </c>
      <c r="P4730">
        <v>0</v>
      </c>
      <c r="Q4730">
        <v>0</v>
      </c>
      <c r="R4730" t="s">
        <v>44908</v>
      </c>
      <c r="S4730" t="s">
        <v>45042</v>
      </c>
      <c r="T4730" t="s">
        <v>46429</v>
      </c>
      <c r="U4730" t="s">
        <v>50774</v>
      </c>
      <c r="V4730" t="s">
        <v>59505</v>
      </c>
      <c r="W4730" t="s">
        <v>42637</v>
      </c>
      <c r="X4730" t="s">
        <v>44909</v>
      </c>
    </row>
    <row r="4731" spans="1:24">
      <c r="A4731">
        <f>HYPERLINK("https://www.philgeps.gov.ph/GEPSNONPILOT/Tender/SplashBidNoticeAbstractUI.aspx?menuIndex=3&amp;refID=7081438&amp;Result=3","7081438")</f>
        <v>0</v>
      </c>
      <c r="B4731" t="s">
        <v>838</v>
      </c>
      <c r="C4731" t="s">
        <v>8052</v>
      </c>
      <c r="D4731" t="s">
        <v>18162</v>
      </c>
      <c r="E4731" t="s">
        <v>22419</v>
      </c>
      <c r="F4731" t="s">
        <v>31362</v>
      </c>
      <c r="G4731" t="s">
        <v>31368</v>
      </c>
      <c r="H4731" t="s">
        <v>15799</v>
      </c>
      <c r="I4731" t="s">
        <v>6240</v>
      </c>
      <c r="J4731" t="s">
        <v>34577</v>
      </c>
      <c r="K4731" t="s">
        <v>40662</v>
      </c>
      <c r="M4731" t="s">
        <v>41813</v>
      </c>
      <c r="N4731" t="s">
        <v>44905</v>
      </c>
      <c r="O4731" t="s">
        <v>44906</v>
      </c>
      <c r="P4731">
        <v>0</v>
      </c>
      <c r="Q4731">
        <v>0</v>
      </c>
      <c r="R4731" t="s">
        <v>44908</v>
      </c>
      <c r="S4731" t="s">
        <v>45042</v>
      </c>
      <c r="T4731" t="s">
        <v>46425</v>
      </c>
      <c r="U4731" t="s">
        <v>50775</v>
      </c>
      <c r="W4731" t="s">
        <v>41813</v>
      </c>
      <c r="X4731" t="s">
        <v>44909</v>
      </c>
    </row>
    <row r="4732" spans="1:24">
      <c r="A4732">
        <f>HYPERLINK("https://www.philgeps.gov.ph/GEPSNONPILOT/Tender/SplashBidNoticeAbstractUI.aspx?menuIndex=3&amp;refID=7081468&amp;Result=3","7081468")</f>
        <v>0</v>
      </c>
      <c r="B4732" t="s">
        <v>575</v>
      </c>
      <c r="C4732" t="s">
        <v>8053</v>
      </c>
      <c r="D4732" t="s">
        <v>18108</v>
      </c>
      <c r="E4732" t="s">
        <v>22420</v>
      </c>
      <c r="F4732" t="s">
        <v>31362</v>
      </c>
      <c r="G4732" t="s">
        <v>31368</v>
      </c>
      <c r="H4732" t="s">
        <v>15799</v>
      </c>
      <c r="I4732" t="s">
        <v>3815</v>
      </c>
      <c r="J4732" t="s">
        <v>34578</v>
      </c>
      <c r="K4732" t="s">
        <v>40672</v>
      </c>
      <c r="M4732" t="s">
        <v>41531</v>
      </c>
      <c r="N4732" t="s">
        <v>44905</v>
      </c>
      <c r="O4732" t="s">
        <v>44906</v>
      </c>
      <c r="P4732">
        <v>0</v>
      </c>
      <c r="Q4732">
        <v>0</v>
      </c>
      <c r="R4732" t="s">
        <v>44908</v>
      </c>
      <c r="S4732" t="s">
        <v>45042</v>
      </c>
      <c r="T4732" t="s">
        <v>46409</v>
      </c>
      <c r="U4732" t="s">
        <v>50776</v>
      </c>
      <c r="W4732" t="s">
        <v>41531</v>
      </c>
      <c r="X4732" t="s">
        <v>44909</v>
      </c>
    </row>
    <row r="4733" spans="1:24">
      <c r="A4733">
        <f>HYPERLINK("https://www.philgeps.gov.ph/GEPSNONPILOT/Tender/SplashBidNoticeAbstractUI.aspx?menuIndex=3&amp;refID=7081486&amp;Result=3","7081486")</f>
        <v>0</v>
      </c>
      <c r="B4733" t="s">
        <v>155</v>
      </c>
      <c r="C4733" t="s">
        <v>8054</v>
      </c>
      <c r="D4733" t="s">
        <v>18108</v>
      </c>
      <c r="E4733" t="s">
        <v>22421</v>
      </c>
      <c r="F4733" t="s">
        <v>31362</v>
      </c>
      <c r="G4733" t="s">
        <v>31368</v>
      </c>
      <c r="H4733" t="s">
        <v>15799</v>
      </c>
      <c r="I4733" t="s">
        <v>7090</v>
      </c>
      <c r="J4733" t="s">
        <v>31643</v>
      </c>
      <c r="K4733" t="s">
        <v>40662</v>
      </c>
      <c r="M4733" t="s">
        <v>41093</v>
      </c>
      <c r="N4733" t="s">
        <v>44905</v>
      </c>
      <c r="O4733" t="s">
        <v>44906</v>
      </c>
      <c r="P4733">
        <v>0</v>
      </c>
      <c r="Q4733">
        <v>1</v>
      </c>
      <c r="R4733" t="s">
        <v>44908</v>
      </c>
      <c r="S4733" t="s">
        <v>45042</v>
      </c>
      <c r="T4733" t="s">
        <v>46443</v>
      </c>
      <c r="U4733" t="s">
        <v>50777</v>
      </c>
      <c r="W4733" t="s">
        <v>41093</v>
      </c>
      <c r="X4733" t="s">
        <v>44909</v>
      </c>
    </row>
    <row r="4734" spans="1:24">
      <c r="A4734">
        <f>HYPERLINK("https://www.philgeps.gov.ph/GEPSNONPILOT/Tender/SplashBidNoticeAbstractUI.aspx?menuIndex=3&amp;refID=7081474&amp;Result=3","7081474")</f>
        <v>0</v>
      </c>
      <c r="B4734" t="s">
        <v>414</v>
      </c>
      <c r="C4734" t="s">
        <v>8055</v>
      </c>
      <c r="E4734" t="s">
        <v>22422</v>
      </c>
      <c r="F4734" t="s">
        <v>31362</v>
      </c>
      <c r="G4734" t="s">
        <v>31369</v>
      </c>
      <c r="H4734" t="s">
        <v>15799</v>
      </c>
      <c r="I4734" t="s">
        <v>31414</v>
      </c>
      <c r="J4734" t="s">
        <v>34579</v>
      </c>
      <c r="K4734" t="s">
        <v>40679</v>
      </c>
      <c r="M4734" t="s">
        <v>41364</v>
      </c>
      <c r="N4734" t="s">
        <v>44905</v>
      </c>
      <c r="O4734" t="s">
        <v>44906</v>
      </c>
      <c r="P4734">
        <v>0</v>
      </c>
      <c r="Q4734">
        <v>7</v>
      </c>
      <c r="R4734" t="s">
        <v>44908</v>
      </c>
      <c r="S4734" t="s">
        <v>45042</v>
      </c>
      <c r="T4734" t="s">
        <v>46579</v>
      </c>
      <c r="U4734" t="s">
        <v>50778</v>
      </c>
      <c r="W4734" t="s">
        <v>41364</v>
      </c>
      <c r="X4734" t="s">
        <v>44909</v>
      </c>
    </row>
    <row r="4735" spans="1:24">
      <c r="A4735">
        <f>HYPERLINK("https://www.philgeps.gov.ph/GEPSNONPILOT/Tender/SplashBidNoticeAbstractUI.aspx?menuIndex=3&amp;refID=7081511&amp;Result=3","7081511")</f>
        <v>0</v>
      </c>
      <c r="B4735" t="s">
        <v>1576</v>
      </c>
      <c r="C4735" t="s">
        <v>8056</v>
      </c>
      <c r="D4735" t="s">
        <v>18111</v>
      </c>
      <c r="E4735" t="s">
        <v>22423</v>
      </c>
      <c r="F4735" t="s">
        <v>31362</v>
      </c>
      <c r="G4735" t="s">
        <v>31370</v>
      </c>
      <c r="H4735" t="s">
        <v>15799</v>
      </c>
      <c r="I4735" t="s">
        <v>31389</v>
      </c>
      <c r="J4735" t="s">
        <v>34580</v>
      </c>
      <c r="K4735" t="s">
        <v>40675</v>
      </c>
      <c r="M4735" t="s">
        <v>42630</v>
      </c>
      <c r="N4735" t="s">
        <v>44905</v>
      </c>
      <c r="O4735" t="s">
        <v>44906</v>
      </c>
      <c r="P4735">
        <v>0</v>
      </c>
      <c r="Q4735">
        <v>4</v>
      </c>
      <c r="R4735" t="s">
        <v>44908</v>
      </c>
      <c r="S4735" t="s">
        <v>45042</v>
      </c>
      <c r="T4735" t="s">
        <v>46414</v>
      </c>
      <c r="U4735" t="s">
        <v>50764</v>
      </c>
      <c r="W4735" t="s">
        <v>42630</v>
      </c>
      <c r="X4735" t="s">
        <v>44909</v>
      </c>
    </row>
    <row r="4736" spans="1:24">
      <c r="A4736">
        <f>HYPERLINK("https://www.philgeps.gov.ph/GEPSNONPILOT/Tender/SplashBidNoticeAbstractUI.aspx?menuIndex=3&amp;refID=7081471&amp;Result=3","7081471")</f>
        <v>0</v>
      </c>
      <c r="B4736" t="s">
        <v>1583</v>
      </c>
      <c r="C4736" t="s">
        <v>8057</v>
      </c>
      <c r="E4736" t="s">
        <v>22424</v>
      </c>
      <c r="F4736" t="s">
        <v>31362</v>
      </c>
      <c r="G4736" t="s">
        <v>31369</v>
      </c>
      <c r="H4736" t="s">
        <v>15799</v>
      </c>
      <c r="I4736" t="s">
        <v>31404</v>
      </c>
      <c r="J4736" t="s">
        <v>34581</v>
      </c>
      <c r="K4736" t="s">
        <v>40669</v>
      </c>
      <c r="M4736" t="s">
        <v>42638</v>
      </c>
      <c r="N4736" t="s">
        <v>44905</v>
      </c>
      <c r="O4736" t="s">
        <v>44906</v>
      </c>
      <c r="P4736">
        <v>0</v>
      </c>
      <c r="Q4736">
        <v>1</v>
      </c>
      <c r="R4736" t="s">
        <v>44908</v>
      </c>
      <c r="S4736" t="s">
        <v>45042</v>
      </c>
      <c r="T4736" t="s">
        <v>46429</v>
      </c>
      <c r="U4736" t="s">
        <v>50779</v>
      </c>
      <c r="W4736" t="s">
        <v>42638</v>
      </c>
      <c r="X4736" t="s">
        <v>44909</v>
      </c>
    </row>
    <row r="4737" spans="1:24">
      <c r="A4737">
        <f>HYPERLINK("https://www.philgeps.gov.ph/GEPSNONPILOT/Tender/SplashBidNoticeAbstractUI.aspx?menuIndex=3&amp;refID=7081510&amp;Result=3","7081510")</f>
        <v>0</v>
      </c>
      <c r="B4737" t="s">
        <v>133</v>
      </c>
      <c r="C4737" t="s">
        <v>3777</v>
      </c>
      <c r="D4737" t="s">
        <v>18148</v>
      </c>
      <c r="E4737" t="s">
        <v>22425</v>
      </c>
      <c r="F4737" t="s">
        <v>31362</v>
      </c>
      <c r="G4737" t="s">
        <v>31371</v>
      </c>
      <c r="H4737" t="s">
        <v>15799</v>
      </c>
      <c r="I4737" t="s">
        <v>31382</v>
      </c>
      <c r="J4737" t="s">
        <v>33736</v>
      </c>
      <c r="K4737" t="s">
        <v>40672</v>
      </c>
      <c r="M4737" t="s">
        <v>41071</v>
      </c>
      <c r="N4737" t="s">
        <v>44905</v>
      </c>
      <c r="O4737" t="s">
        <v>44906</v>
      </c>
      <c r="P4737">
        <v>0</v>
      </c>
      <c r="Q4737">
        <v>3</v>
      </c>
      <c r="R4737" t="s">
        <v>44908</v>
      </c>
      <c r="S4737" t="s">
        <v>45042</v>
      </c>
      <c r="T4737" t="s">
        <v>46414</v>
      </c>
      <c r="U4737" t="s">
        <v>50780</v>
      </c>
      <c r="W4737" t="s">
        <v>41071</v>
      </c>
      <c r="X4737" t="s">
        <v>44909</v>
      </c>
    </row>
    <row r="4738" spans="1:24">
      <c r="A4738">
        <f>HYPERLINK("https://www.philgeps.gov.ph/GEPSNONPILOT/Tender/SplashBidNoticeAbstractUI.aspx?menuIndex=3&amp;refID=7081508&amp;Result=3","7081508")</f>
        <v>0</v>
      </c>
      <c r="B4738" t="s">
        <v>1584</v>
      </c>
      <c r="C4738" t="s">
        <v>8058</v>
      </c>
      <c r="D4738" t="s">
        <v>18141</v>
      </c>
      <c r="E4738" t="s">
        <v>22426</v>
      </c>
      <c r="F4738" t="s">
        <v>31362</v>
      </c>
      <c r="G4738" t="s">
        <v>31368</v>
      </c>
      <c r="H4738" t="s">
        <v>15799</v>
      </c>
      <c r="I4738" t="s">
        <v>4057</v>
      </c>
      <c r="J4738" t="s">
        <v>31546</v>
      </c>
      <c r="K4738" t="s">
        <v>40731</v>
      </c>
      <c r="M4738" t="s">
        <v>42639</v>
      </c>
      <c r="N4738" t="s">
        <v>44905</v>
      </c>
      <c r="O4738" t="s">
        <v>44906</v>
      </c>
      <c r="P4738">
        <v>0</v>
      </c>
      <c r="Q4738">
        <v>1</v>
      </c>
      <c r="R4738" t="s">
        <v>44908</v>
      </c>
      <c r="S4738" t="s">
        <v>45042</v>
      </c>
      <c r="T4738" t="s">
        <v>46534</v>
      </c>
      <c r="U4738" t="s">
        <v>50781</v>
      </c>
      <c r="V4738" t="s">
        <v>59506</v>
      </c>
      <c r="W4738" t="s">
        <v>42639</v>
      </c>
      <c r="X4738" t="s">
        <v>44909</v>
      </c>
    </row>
    <row r="4739" spans="1:24">
      <c r="A4739">
        <f>HYPERLINK("https://www.philgeps.gov.ph/GEPSNONPILOT/Tender/SplashBidNoticeAbstractUI.aspx?menuIndex=3&amp;refID=7081470&amp;Result=3","7081470")</f>
        <v>0</v>
      </c>
      <c r="B4739" t="s">
        <v>155</v>
      </c>
      <c r="C4739" t="s">
        <v>3839</v>
      </c>
      <c r="D4739" t="s">
        <v>18108</v>
      </c>
      <c r="E4739" t="s">
        <v>22427</v>
      </c>
      <c r="F4739" t="s">
        <v>31362</v>
      </c>
      <c r="G4739" t="s">
        <v>31368</v>
      </c>
      <c r="H4739" t="s">
        <v>15799</v>
      </c>
      <c r="I4739" t="s">
        <v>31385</v>
      </c>
      <c r="J4739" t="s">
        <v>34582</v>
      </c>
      <c r="K4739" t="s">
        <v>40662</v>
      </c>
      <c r="M4739" t="s">
        <v>41093</v>
      </c>
      <c r="N4739" t="s">
        <v>44905</v>
      </c>
      <c r="O4739" t="s">
        <v>44906</v>
      </c>
      <c r="P4739">
        <v>0</v>
      </c>
      <c r="Q4739">
        <v>7</v>
      </c>
      <c r="R4739" t="s">
        <v>44908</v>
      </c>
      <c r="S4739" t="s">
        <v>45042</v>
      </c>
      <c r="T4739" t="s">
        <v>46443</v>
      </c>
      <c r="U4739" t="s">
        <v>50782</v>
      </c>
      <c r="W4739" t="s">
        <v>41093</v>
      </c>
      <c r="X4739" t="s">
        <v>44909</v>
      </c>
    </row>
    <row r="4740" spans="1:24">
      <c r="A4740">
        <f>HYPERLINK("https://www.philgeps.gov.ph/GEPSNONPILOT/Tender/SplashBidNoticeAbstractUI.aspx?menuIndex=3&amp;refID=7081507&amp;Result=3","7081507")</f>
        <v>0</v>
      </c>
      <c r="B4740" t="s">
        <v>92</v>
      </c>
      <c r="C4740" t="s">
        <v>8059</v>
      </c>
      <c r="D4740" t="s">
        <v>18100</v>
      </c>
      <c r="E4740" t="s">
        <v>22428</v>
      </c>
      <c r="F4740" t="s">
        <v>31362</v>
      </c>
      <c r="G4740" t="s">
        <v>31369</v>
      </c>
      <c r="H4740" t="s">
        <v>15799</v>
      </c>
      <c r="I4740" t="s">
        <v>31393</v>
      </c>
      <c r="J4740" t="s">
        <v>32694</v>
      </c>
      <c r="K4740" t="s">
        <v>40677</v>
      </c>
      <c r="M4740" t="s">
        <v>41029</v>
      </c>
      <c r="N4740" t="s">
        <v>44905</v>
      </c>
      <c r="O4740" t="s">
        <v>44906</v>
      </c>
      <c r="P4740">
        <v>0</v>
      </c>
      <c r="Q4740">
        <v>5</v>
      </c>
      <c r="R4740" t="s">
        <v>44908</v>
      </c>
      <c r="S4740" t="s">
        <v>45042</v>
      </c>
      <c r="T4740" t="s">
        <v>46440</v>
      </c>
      <c r="U4740" t="s">
        <v>47621</v>
      </c>
      <c r="W4740" t="s">
        <v>60834</v>
      </c>
      <c r="X4740" t="s">
        <v>44909</v>
      </c>
    </row>
    <row r="4741" spans="1:24">
      <c r="A4741">
        <f>HYPERLINK("https://www.philgeps.gov.ph/GEPSNONPILOT/Tender/SplashBidNoticeAbstractUI.aspx?menuIndex=3&amp;refID=7081504&amp;Result=3","7081504")</f>
        <v>0</v>
      </c>
      <c r="B4741" t="s">
        <v>1585</v>
      </c>
      <c r="C4741" t="s">
        <v>8060</v>
      </c>
      <c r="D4741" t="s">
        <v>18116</v>
      </c>
      <c r="E4741" t="s">
        <v>22429</v>
      </c>
      <c r="F4741" t="s">
        <v>31362</v>
      </c>
      <c r="G4741" t="s">
        <v>31370</v>
      </c>
      <c r="H4741" t="s">
        <v>15799</v>
      </c>
      <c r="I4741" t="s">
        <v>31408</v>
      </c>
      <c r="J4741" t="s">
        <v>34080</v>
      </c>
      <c r="K4741" t="s">
        <v>40662</v>
      </c>
      <c r="M4741" t="s">
        <v>42640</v>
      </c>
      <c r="N4741" t="s">
        <v>44905</v>
      </c>
      <c r="O4741" t="s">
        <v>44906</v>
      </c>
      <c r="P4741">
        <v>0</v>
      </c>
      <c r="Q4741">
        <v>3</v>
      </c>
      <c r="R4741" t="s">
        <v>44908</v>
      </c>
      <c r="S4741" t="s">
        <v>45042</v>
      </c>
      <c r="T4741" t="s">
        <v>46447</v>
      </c>
      <c r="U4741" t="s">
        <v>50783</v>
      </c>
      <c r="W4741" t="s">
        <v>42640</v>
      </c>
      <c r="X4741" t="s">
        <v>44909</v>
      </c>
    </row>
    <row r="4742" spans="1:24">
      <c r="A4742">
        <f>HYPERLINK("https://www.philgeps.gov.ph/GEPSNONPILOT/Tender/SplashBidNoticeAbstractUI.aspx?menuIndex=3&amp;refID=7081500&amp;Result=3","7081500")</f>
        <v>0</v>
      </c>
      <c r="B4742" t="s">
        <v>831</v>
      </c>
      <c r="C4742" t="s">
        <v>8061</v>
      </c>
      <c r="D4742" t="s">
        <v>18108</v>
      </c>
      <c r="E4742" t="s">
        <v>22430</v>
      </c>
      <c r="F4742" t="s">
        <v>31362</v>
      </c>
      <c r="G4742" t="s">
        <v>31369</v>
      </c>
      <c r="H4742" t="s">
        <v>15799</v>
      </c>
      <c r="I4742" t="s">
        <v>7090</v>
      </c>
      <c r="J4742" t="s">
        <v>34583</v>
      </c>
      <c r="K4742" t="s">
        <v>40666</v>
      </c>
      <c r="M4742" t="s">
        <v>42635</v>
      </c>
      <c r="N4742" t="s">
        <v>44905</v>
      </c>
      <c r="O4742" t="s">
        <v>44906</v>
      </c>
      <c r="P4742">
        <v>0</v>
      </c>
      <c r="Q4742">
        <v>0</v>
      </c>
      <c r="R4742" t="s">
        <v>44908</v>
      </c>
      <c r="S4742" t="s">
        <v>45042</v>
      </c>
      <c r="T4742" t="s">
        <v>46511</v>
      </c>
      <c r="U4742" t="s">
        <v>48635</v>
      </c>
      <c r="W4742" t="s">
        <v>42635</v>
      </c>
      <c r="X4742" t="s">
        <v>44909</v>
      </c>
    </row>
    <row r="4743" spans="1:24">
      <c r="A4743">
        <f>HYPERLINK("https://www.philgeps.gov.ph/GEPSNONPILOT/Tender/SplashBidNoticeAbstractUI.aspx?menuIndex=3&amp;refID=7081423&amp;Result=3","7081423")</f>
        <v>0</v>
      </c>
      <c r="B4743" t="s">
        <v>1571</v>
      </c>
      <c r="C4743" t="s">
        <v>8062</v>
      </c>
      <c r="D4743" t="s">
        <v>18153</v>
      </c>
      <c r="E4743" t="s">
        <v>22431</v>
      </c>
      <c r="F4743" t="s">
        <v>31362</v>
      </c>
      <c r="G4743" t="s">
        <v>31370</v>
      </c>
      <c r="H4743" t="s">
        <v>15799</v>
      </c>
      <c r="I4743" t="s">
        <v>31393</v>
      </c>
      <c r="J4743" t="s">
        <v>31843</v>
      </c>
      <c r="K4743" t="s">
        <v>40661</v>
      </c>
      <c r="M4743" t="s">
        <v>42623</v>
      </c>
      <c r="N4743" t="s">
        <v>44905</v>
      </c>
      <c r="O4743" t="s">
        <v>44906</v>
      </c>
      <c r="P4743">
        <v>0</v>
      </c>
      <c r="Q4743">
        <v>3</v>
      </c>
      <c r="R4743" t="s">
        <v>44908</v>
      </c>
      <c r="S4743" t="s">
        <v>45042</v>
      </c>
      <c r="T4743" t="s">
        <v>46393</v>
      </c>
      <c r="U4743" t="s">
        <v>50784</v>
      </c>
      <c r="V4743" t="s">
        <v>59501</v>
      </c>
      <c r="W4743" t="s">
        <v>42623</v>
      </c>
      <c r="X4743" t="s">
        <v>44909</v>
      </c>
    </row>
    <row r="4744" spans="1:24">
      <c r="A4744">
        <f>HYPERLINK("https://www.philgeps.gov.ph/GEPSNONPILOT/Tender/SplashBidNoticeAbstractUI.aspx?menuIndex=3&amp;refID=7081499&amp;Result=3","7081499")</f>
        <v>0</v>
      </c>
      <c r="B4744" t="s">
        <v>1584</v>
      </c>
      <c r="C4744" t="s">
        <v>8063</v>
      </c>
      <c r="D4744" t="s">
        <v>18141</v>
      </c>
      <c r="E4744" t="s">
        <v>22426</v>
      </c>
      <c r="F4744" t="s">
        <v>31362</v>
      </c>
      <c r="G4744" t="s">
        <v>31368</v>
      </c>
      <c r="H4744" t="s">
        <v>15799</v>
      </c>
      <c r="I4744" t="s">
        <v>4057</v>
      </c>
      <c r="J4744" t="s">
        <v>31546</v>
      </c>
      <c r="K4744" t="s">
        <v>40731</v>
      </c>
      <c r="M4744" t="s">
        <v>42639</v>
      </c>
      <c r="N4744" t="s">
        <v>44905</v>
      </c>
      <c r="O4744" t="s">
        <v>44906</v>
      </c>
      <c r="P4744">
        <v>0</v>
      </c>
      <c r="Q4744">
        <v>0</v>
      </c>
      <c r="R4744" t="s">
        <v>44908</v>
      </c>
      <c r="S4744" t="s">
        <v>45042</v>
      </c>
      <c r="T4744" t="s">
        <v>46534</v>
      </c>
      <c r="U4744" t="s">
        <v>50785</v>
      </c>
      <c r="V4744" t="s">
        <v>59506</v>
      </c>
      <c r="W4744" t="s">
        <v>42639</v>
      </c>
      <c r="X4744" t="s">
        <v>44909</v>
      </c>
    </row>
    <row r="4745" spans="1:24">
      <c r="A4745">
        <f>HYPERLINK("https://www.philgeps.gov.ph/GEPSNONPILOT/Tender/SplashBidNoticeAbstractUI.aspx?menuIndex=3&amp;refID=7081497&amp;Result=3","7081497")</f>
        <v>0</v>
      </c>
      <c r="B4745" t="s">
        <v>92</v>
      </c>
      <c r="C4745" t="s">
        <v>8064</v>
      </c>
      <c r="D4745" t="s">
        <v>18100</v>
      </c>
      <c r="E4745" t="s">
        <v>22432</v>
      </c>
      <c r="F4745" t="s">
        <v>31362</v>
      </c>
      <c r="G4745" t="s">
        <v>31369</v>
      </c>
      <c r="H4745" t="s">
        <v>15799</v>
      </c>
      <c r="I4745" t="s">
        <v>6240</v>
      </c>
      <c r="J4745" t="s">
        <v>34584</v>
      </c>
      <c r="K4745" t="s">
        <v>40677</v>
      </c>
      <c r="M4745" t="s">
        <v>41029</v>
      </c>
      <c r="N4745" t="s">
        <v>44905</v>
      </c>
      <c r="O4745" t="s">
        <v>44906</v>
      </c>
      <c r="P4745">
        <v>0</v>
      </c>
      <c r="Q4745">
        <v>0</v>
      </c>
      <c r="R4745" t="s">
        <v>44908</v>
      </c>
      <c r="S4745" t="s">
        <v>45042</v>
      </c>
      <c r="T4745" t="s">
        <v>46440</v>
      </c>
      <c r="U4745" t="s">
        <v>47621</v>
      </c>
      <c r="W4745" t="s">
        <v>60834</v>
      </c>
      <c r="X4745" t="s">
        <v>44909</v>
      </c>
    </row>
    <row r="4746" spans="1:24">
      <c r="A4746">
        <f>HYPERLINK("https://www.philgeps.gov.ph/GEPSNONPILOT/Tender/SplashBidNoticeAbstractUI.aspx?menuIndex=3&amp;refID=7081496&amp;Result=3","7081496")</f>
        <v>0</v>
      </c>
      <c r="B4746" t="s">
        <v>831</v>
      </c>
      <c r="C4746" t="s">
        <v>8065</v>
      </c>
      <c r="D4746" t="s">
        <v>18108</v>
      </c>
      <c r="E4746" t="s">
        <v>22433</v>
      </c>
      <c r="F4746" t="s">
        <v>31362</v>
      </c>
      <c r="G4746" t="s">
        <v>31369</v>
      </c>
      <c r="H4746" t="s">
        <v>15799</v>
      </c>
      <c r="I4746" t="s">
        <v>7090</v>
      </c>
      <c r="J4746" t="s">
        <v>34585</v>
      </c>
      <c r="K4746" t="s">
        <v>40666</v>
      </c>
      <c r="M4746" t="s">
        <v>42635</v>
      </c>
      <c r="N4746" t="s">
        <v>44905</v>
      </c>
      <c r="O4746" t="s">
        <v>44906</v>
      </c>
      <c r="P4746">
        <v>0</v>
      </c>
      <c r="Q4746">
        <v>0</v>
      </c>
      <c r="R4746" t="s">
        <v>44908</v>
      </c>
      <c r="S4746" t="s">
        <v>45042</v>
      </c>
      <c r="T4746" t="s">
        <v>46511</v>
      </c>
      <c r="U4746" t="s">
        <v>48635</v>
      </c>
      <c r="W4746" t="s">
        <v>42635</v>
      </c>
      <c r="X4746" t="s">
        <v>44909</v>
      </c>
    </row>
    <row r="4747" spans="1:24">
      <c r="A4747">
        <f>HYPERLINK("https://www.philgeps.gov.ph/GEPSNONPILOT/Tender/SplashBidNoticeAbstractUI.aspx?menuIndex=3&amp;refID=7081494&amp;Result=3","7081494")</f>
        <v>0</v>
      </c>
      <c r="B4747" t="s">
        <v>831</v>
      </c>
      <c r="C4747" t="s">
        <v>8066</v>
      </c>
      <c r="D4747" t="s">
        <v>18108</v>
      </c>
      <c r="E4747" t="s">
        <v>22434</v>
      </c>
      <c r="F4747" t="s">
        <v>31362</v>
      </c>
      <c r="G4747" t="s">
        <v>31369</v>
      </c>
      <c r="H4747" t="s">
        <v>15799</v>
      </c>
      <c r="I4747" t="s">
        <v>4942</v>
      </c>
      <c r="J4747" t="s">
        <v>34586</v>
      </c>
      <c r="K4747" t="s">
        <v>40666</v>
      </c>
      <c r="M4747" t="s">
        <v>42635</v>
      </c>
      <c r="N4747" t="s">
        <v>44905</v>
      </c>
      <c r="O4747" t="s">
        <v>44906</v>
      </c>
      <c r="P4747">
        <v>0</v>
      </c>
      <c r="Q4747">
        <v>0</v>
      </c>
      <c r="R4747" t="s">
        <v>44908</v>
      </c>
      <c r="S4747" t="s">
        <v>45042</v>
      </c>
      <c r="T4747" t="s">
        <v>46511</v>
      </c>
      <c r="U4747" t="s">
        <v>48668</v>
      </c>
      <c r="W4747" t="s">
        <v>42635</v>
      </c>
      <c r="X4747" t="s">
        <v>44909</v>
      </c>
    </row>
    <row r="4748" spans="1:24">
      <c r="A4748">
        <f>HYPERLINK("https://www.philgeps.gov.ph/GEPSNONPILOT/Tender/SplashBidNoticeAbstractUI.aspx?menuIndex=3&amp;refID=7081489&amp;Result=3","7081489")</f>
        <v>0</v>
      </c>
      <c r="B4748" t="s">
        <v>700</v>
      </c>
      <c r="C4748" t="s">
        <v>8067</v>
      </c>
      <c r="E4748" t="s">
        <v>22435</v>
      </c>
      <c r="F4748" t="s">
        <v>31362</v>
      </c>
      <c r="G4748" t="s">
        <v>31368</v>
      </c>
      <c r="H4748" t="s">
        <v>15799</v>
      </c>
      <c r="I4748" t="s">
        <v>31400</v>
      </c>
      <c r="J4748" t="s">
        <v>34587</v>
      </c>
      <c r="K4748" t="s">
        <v>40662</v>
      </c>
      <c r="M4748" t="s">
        <v>42641</v>
      </c>
      <c r="N4748" t="s">
        <v>44905</v>
      </c>
      <c r="O4748" t="s">
        <v>44906</v>
      </c>
      <c r="P4748">
        <v>0</v>
      </c>
      <c r="Q4748">
        <v>8</v>
      </c>
      <c r="R4748" t="s">
        <v>44908</v>
      </c>
      <c r="S4748" t="s">
        <v>45042</v>
      </c>
      <c r="T4748" t="s">
        <v>46688</v>
      </c>
      <c r="U4748" t="s">
        <v>50786</v>
      </c>
      <c r="V4748" t="s">
        <v>59507</v>
      </c>
      <c r="W4748" t="s">
        <v>41665</v>
      </c>
      <c r="X4748" t="s">
        <v>44909</v>
      </c>
    </row>
    <row r="4749" spans="1:24">
      <c r="A4749">
        <f>HYPERLINK("https://www.philgeps.gov.ph/GEPSNONPILOT/Tender/SplashBidNoticeAbstractUI.aspx?menuIndex=3&amp;refID=7081488&amp;Result=3","7081488")</f>
        <v>0</v>
      </c>
      <c r="B4749" t="s">
        <v>831</v>
      </c>
      <c r="C4749" t="s">
        <v>8068</v>
      </c>
      <c r="D4749" t="s">
        <v>18108</v>
      </c>
      <c r="E4749" t="s">
        <v>22436</v>
      </c>
      <c r="F4749" t="s">
        <v>31362</v>
      </c>
      <c r="G4749" t="s">
        <v>31369</v>
      </c>
      <c r="H4749" t="s">
        <v>15799</v>
      </c>
      <c r="I4749" t="s">
        <v>31385</v>
      </c>
      <c r="J4749" t="s">
        <v>34588</v>
      </c>
      <c r="K4749" t="s">
        <v>40666</v>
      </c>
      <c r="M4749" t="s">
        <v>42635</v>
      </c>
      <c r="N4749" t="s">
        <v>44905</v>
      </c>
      <c r="O4749" t="s">
        <v>44906</v>
      </c>
      <c r="P4749">
        <v>0</v>
      </c>
      <c r="Q4749">
        <v>1</v>
      </c>
      <c r="R4749" t="s">
        <v>44908</v>
      </c>
      <c r="S4749" t="s">
        <v>45042</v>
      </c>
      <c r="T4749" t="s">
        <v>46511</v>
      </c>
      <c r="U4749" t="s">
        <v>47749</v>
      </c>
      <c r="W4749" t="s">
        <v>42635</v>
      </c>
      <c r="X4749" t="s">
        <v>44909</v>
      </c>
    </row>
    <row r="4750" spans="1:24">
      <c r="A4750">
        <f>HYPERLINK("https://www.philgeps.gov.ph/GEPSNONPILOT/Tender/SplashBidNoticeAbstractUI.aspx?menuIndex=3&amp;refID=7081487&amp;Result=3","7081487")</f>
        <v>0</v>
      </c>
      <c r="B4750" t="s">
        <v>1446</v>
      </c>
      <c r="C4750" t="s">
        <v>8069</v>
      </c>
      <c r="D4750" t="s">
        <v>18108</v>
      </c>
      <c r="E4750" t="s">
        <v>22437</v>
      </c>
      <c r="F4750" t="s">
        <v>31362</v>
      </c>
      <c r="G4750" t="s">
        <v>31368</v>
      </c>
      <c r="H4750" t="s">
        <v>15799</v>
      </c>
      <c r="I4750" t="s">
        <v>31440</v>
      </c>
      <c r="J4750" t="s">
        <v>34589</v>
      </c>
      <c r="K4750" t="s">
        <v>40662</v>
      </c>
      <c r="M4750" t="s">
        <v>42475</v>
      </c>
      <c r="N4750" t="s">
        <v>44905</v>
      </c>
      <c r="O4750" t="s">
        <v>44906</v>
      </c>
      <c r="P4750">
        <v>0</v>
      </c>
      <c r="Q4750">
        <v>1</v>
      </c>
      <c r="R4750" t="s">
        <v>44908</v>
      </c>
      <c r="S4750" t="s">
        <v>45042</v>
      </c>
      <c r="T4750" t="s">
        <v>46394</v>
      </c>
      <c r="U4750" t="s">
        <v>50787</v>
      </c>
      <c r="W4750" t="s">
        <v>42475</v>
      </c>
      <c r="X4750" t="s">
        <v>44909</v>
      </c>
    </row>
    <row r="4751" spans="1:24">
      <c r="A4751">
        <f>HYPERLINK("https://www.philgeps.gov.ph/GEPSNONPILOT/Tender/SplashBidNoticeAbstractUI.aspx?menuIndex=3&amp;refID=7081484&amp;Result=3","7081484")</f>
        <v>0</v>
      </c>
      <c r="B4751" t="s">
        <v>575</v>
      </c>
      <c r="C4751" t="s">
        <v>8070</v>
      </c>
      <c r="D4751" t="s">
        <v>18108</v>
      </c>
      <c r="E4751" t="s">
        <v>22438</v>
      </c>
      <c r="F4751" t="s">
        <v>31362</v>
      </c>
      <c r="G4751" t="s">
        <v>31368</v>
      </c>
      <c r="H4751" t="s">
        <v>15799</v>
      </c>
      <c r="I4751" t="s">
        <v>3815</v>
      </c>
      <c r="J4751" t="s">
        <v>34590</v>
      </c>
      <c r="K4751" t="s">
        <v>40672</v>
      </c>
      <c r="M4751" t="s">
        <v>41531</v>
      </c>
      <c r="N4751" t="s">
        <v>44905</v>
      </c>
      <c r="O4751" t="s">
        <v>44906</v>
      </c>
      <c r="P4751">
        <v>0</v>
      </c>
      <c r="Q4751">
        <v>0</v>
      </c>
      <c r="R4751" t="s">
        <v>44908</v>
      </c>
      <c r="S4751" t="s">
        <v>45042</v>
      </c>
      <c r="T4751" t="s">
        <v>46409</v>
      </c>
      <c r="U4751" t="s">
        <v>50788</v>
      </c>
      <c r="W4751" t="s">
        <v>41531</v>
      </c>
      <c r="X4751" t="s">
        <v>44909</v>
      </c>
    </row>
    <row r="4752" spans="1:24">
      <c r="A4752">
        <f>HYPERLINK("https://www.philgeps.gov.ph/GEPSNONPILOT/Tender/SplashBidNoticeAbstractUI.aspx?menuIndex=3&amp;refID=7081502&amp;Result=3","7081502")</f>
        <v>0</v>
      </c>
      <c r="B4752" t="s">
        <v>931</v>
      </c>
      <c r="C4752" t="s">
        <v>8071</v>
      </c>
      <c r="D4752" t="s">
        <v>18108</v>
      </c>
      <c r="E4752" t="s">
        <v>22439</v>
      </c>
      <c r="F4752" t="s">
        <v>31363</v>
      </c>
      <c r="G4752" t="s">
        <v>31370</v>
      </c>
      <c r="H4752" t="s">
        <v>15799</v>
      </c>
      <c r="I4752" t="s">
        <v>6155</v>
      </c>
      <c r="J4752" t="s">
        <v>31785</v>
      </c>
      <c r="K4752" t="s">
        <v>40666</v>
      </c>
      <c r="M4752" t="s">
        <v>41918</v>
      </c>
      <c r="N4752" t="s">
        <v>44905</v>
      </c>
      <c r="O4752" t="s">
        <v>44906</v>
      </c>
      <c r="P4752">
        <v>0</v>
      </c>
      <c r="Q4752">
        <v>5</v>
      </c>
      <c r="R4752" t="s">
        <v>44908</v>
      </c>
      <c r="S4752" t="s">
        <v>45042</v>
      </c>
      <c r="T4752" t="s">
        <v>46427</v>
      </c>
      <c r="U4752" t="s">
        <v>50789</v>
      </c>
      <c r="V4752" t="s">
        <v>59508</v>
      </c>
      <c r="W4752" t="s">
        <v>41918</v>
      </c>
      <c r="X4752" t="s">
        <v>44909</v>
      </c>
    </row>
    <row r="4753" spans="1:24">
      <c r="A4753">
        <f>HYPERLINK("https://www.philgeps.gov.ph/GEPSNONPILOT/Tender/SplashBidNoticeAbstractUI.aspx?menuIndex=3&amp;refID=7081467&amp;Result=3","7081467")</f>
        <v>0</v>
      </c>
      <c r="B4753" t="s">
        <v>92</v>
      </c>
      <c r="C4753" t="s">
        <v>8072</v>
      </c>
      <c r="D4753" t="s">
        <v>18100</v>
      </c>
      <c r="E4753" t="s">
        <v>22440</v>
      </c>
      <c r="F4753" t="s">
        <v>31362</v>
      </c>
      <c r="G4753" t="s">
        <v>31369</v>
      </c>
      <c r="H4753" t="s">
        <v>15799</v>
      </c>
      <c r="I4753" t="s">
        <v>6240</v>
      </c>
      <c r="J4753" t="s">
        <v>34591</v>
      </c>
      <c r="K4753" t="s">
        <v>40677</v>
      </c>
      <c r="M4753" t="s">
        <v>41029</v>
      </c>
      <c r="N4753" t="s">
        <v>44905</v>
      </c>
      <c r="O4753" t="s">
        <v>44906</v>
      </c>
      <c r="P4753">
        <v>0</v>
      </c>
      <c r="Q4753">
        <v>0</v>
      </c>
      <c r="R4753" t="s">
        <v>44908</v>
      </c>
      <c r="S4753" t="s">
        <v>45042</v>
      </c>
      <c r="T4753" t="s">
        <v>46440</v>
      </c>
      <c r="U4753" t="s">
        <v>47621</v>
      </c>
      <c r="W4753" t="s">
        <v>60834</v>
      </c>
      <c r="X4753" t="s">
        <v>44909</v>
      </c>
    </row>
    <row r="4754" spans="1:24">
      <c r="A4754">
        <f>HYPERLINK("https://www.philgeps.gov.ph/GEPSNONPILOT/Tender/SplashBidNoticeAbstractUI.aspx?menuIndex=3&amp;refID=7081466&amp;Result=3","7081466")</f>
        <v>0</v>
      </c>
      <c r="B4754" t="s">
        <v>1577</v>
      </c>
      <c r="C4754" t="s">
        <v>8073</v>
      </c>
      <c r="D4754" t="s">
        <v>18131</v>
      </c>
      <c r="E4754" t="s">
        <v>8073</v>
      </c>
      <c r="F4754" t="s">
        <v>31362</v>
      </c>
      <c r="G4754" t="s">
        <v>31369</v>
      </c>
      <c r="H4754" t="s">
        <v>15799</v>
      </c>
      <c r="I4754" t="s">
        <v>3815</v>
      </c>
      <c r="J4754" t="s">
        <v>34592</v>
      </c>
      <c r="K4754" t="s">
        <v>40670</v>
      </c>
      <c r="M4754" t="s">
        <v>42631</v>
      </c>
      <c r="N4754" t="s">
        <v>44905</v>
      </c>
      <c r="O4754" t="s">
        <v>44906</v>
      </c>
      <c r="P4754">
        <v>0</v>
      </c>
      <c r="Q4754">
        <v>2</v>
      </c>
      <c r="R4754" t="s">
        <v>44908</v>
      </c>
      <c r="S4754" t="s">
        <v>45042</v>
      </c>
      <c r="T4754" t="s">
        <v>46472</v>
      </c>
      <c r="U4754" t="s">
        <v>50765</v>
      </c>
      <c r="W4754" t="s">
        <v>42631</v>
      </c>
      <c r="X4754" t="s">
        <v>44909</v>
      </c>
    </row>
    <row r="4755" spans="1:24">
      <c r="A4755">
        <f>HYPERLINK("https://www.philgeps.gov.ph/GEPSNONPILOT/Tender/SplashBidNoticeAbstractUI.aspx?menuIndex=3&amp;refID=7081512&amp;Result=3","7081512")</f>
        <v>0</v>
      </c>
      <c r="B4755" t="s">
        <v>92</v>
      </c>
      <c r="C4755" t="s">
        <v>8074</v>
      </c>
      <c r="D4755" t="s">
        <v>18100</v>
      </c>
      <c r="E4755" t="s">
        <v>22441</v>
      </c>
      <c r="F4755" t="s">
        <v>31362</v>
      </c>
      <c r="G4755" t="s">
        <v>31369</v>
      </c>
      <c r="H4755" t="s">
        <v>15799</v>
      </c>
      <c r="I4755" t="s">
        <v>31384</v>
      </c>
      <c r="J4755" t="s">
        <v>34593</v>
      </c>
      <c r="K4755" t="s">
        <v>40677</v>
      </c>
      <c r="M4755" t="s">
        <v>41029</v>
      </c>
      <c r="N4755" t="s">
        <v>44905</v>
      </c>
      <c r="O4755" t="s">
        <v>44906</v>
      </c>
      <c r="P4755">
        <v>0</v>
      </c>
      <c r="Q4755">
        <v>2</v>
      </c>
      <c r="R4755" t="s">
        <v>44908</v>
      </c>
      <c r="S4755" t="s">
        <v>45042</v>
      </c>
      <c r="T4755" t="s">
        <v>46440</v>
      </c>
      <c r="U4755" t="s">
        <v>47621</v>
      </c>
      <c r="W4755" t="s">
        <v>60834</v>
      </c>
      <c r="X4755" t="s">
        <v>44909</v>
      </c>
    </row>
    <row r="4756" spans="1:24">
      <c r="A4756">
        <f>HYPERLINK("https://www.philgeps.gov.ph/GEPSNONPILOT/Tender/SplashBidNoticeAbstractUI.aspx?menuIndex=3&amp;refID=7081530&amp;Result=3","7081530")</f>
        <v>0</v>
      </c>
      <c r="B4756" t="s">
        <v>92</v>
      </c>
      <c r="C4756" t="s">
        <v>8075</v>
      </c>
      <c r="D4756" t="s">
        <v>18100</v>
      </c>
      <c r="E4756" t="s">
        <v>22442</v>
      </c>
      <c r="F4756" t="s">
        <v>31362</v>
      </c>
      <c r="G4756" t="s">
        <v>31369</v>
      </c>
      <c r="H4756" t="s">
        <v>15799</v>
      </c>
      <c r="I4756" t="s">
        <v>31392</v>
      </c>
      <c r="J4756" t="s">
        <v>31687</v>
      </c>
      <c r="K4756" t="s">
        <v>40677</v>
      </c>
      <c r="M4756" t="s">
        <v>41029</v>
      </c>
      <c r="N4756" t="s">
        <v>44905</v>
      </c>
      <c r="O4756" t="s">
        <v>44906</v>
      </c>
      <c r="P4756">
        <v>0</v>
      </c>
      <c r="Q4756">
        <v>0</v>
      </c>
      <c r="R4756" t="s">
        <v>44908</v>
      </c>
      <c r="S4756" t="s">
        <v>45042</v>
      </c>
      <c r="T4756" t="s">
        <v>46440</v>
      </c>
      <c r="U4756" t="s">
        <v>50790</v>
      </c>
      <c r="W4756" t="s">
        <v>60834</v>
      </c>
      <c r="X4756" t="s">
        <v>44909</v>
      </c>
    </row>
    <row r="4757" spans="1:24">
      <c r="A4757">
        <f>HYPERLINK("https://www.philgeps.gov.ph/GEPSNONPILOT/Tender/SplashBidNoticeAbstractUI.aspx?menuIndex=3&amp;refID=7081503&amp;Result=3","7081503")</f>
        <v>0</v>
      </c>
      <c r="B4757" t="s">
        <v>1586</v>
      </c>
      <c r="C4757" t="s">
        <v>8076</v>
      </c>
      <c r="D4757" t="s">
        <v>18112</v>
      </c>
      <c r="E4757" t="s">
        <v>22443</v>
      </c>
      <c r="F4757" t="s">
        <v>31362</v>
      </c>
      <c r="G4757" t="s">
        <v>31368</v>
      </c>
      <c r="H4757" t="s">
        <v>15799</v>
      </c>
      <c r="I4757" t="s">
        <v>31380</v>
      </c>
      <c r="J4757" t="s">
        <v>34594</v>
      </c>
      <c r="K4757" t="s">
        <v>40666</v>
      </c>
      <c r="M4757" t="s">
        <v>42642</v>
      </c>
      <c r="N4757" t="s">
        <v>44905</v>
      </c>
      <c r="O4757" t="s">
        <v>44906</v>
      </c>
      <c r="P4757">
        <v>0</v>
      </c>
      <c r="Q4757">
        <v>3</v>
      </c>
      <c r="R4757" t="s">
        <v>44908</v>
      </c>
      <c r="S4757" t="s">
        <v>45042</v>
      </c>
      <c r="T4757" t="s">
        <v>46506</v>
      </c>
      <c r="U4757" t="s">
        <v>50791</v>
      </c>
      <c r="V4757" t="s">
        <v>59509</v>
      </c>
      <c r="W4757" t="s">
        <v>42642</v>
      </c>
      <c r="X4757" t="s">
        <v>44909</v>
      </c>
    </row>
    <row r="4758" spans="1:24">
      <c r="A4758">
        <f>HYPERLINK("https://www.philgeps.gov.ph/GEPSNONPILOT/Tender/SplashBidNoticeAbstractUI.aspx?menuIndex=3&amp;refID=7081463&amp;Result=3","7081463")</f>
        <v>0</v>
      </c>
      <c r="B4758" t="s">
        <v>1561</v>
      </c>
      <c r="C4758" t="s">
        <v>8077</v>
      </c>
      <c r="D4758" t="s">
        <v>18117</v>
      </c>
      <c r="E4758" t="s">
        <v>22444</v>
      </c>
      <c r="F4758" t="s">
        <v>31362</v>
      </c>
      <c r="G4758" t="s">
        <v>31369</v>
      </c>
      <c r="H4758" t="s">
        <v>31378</v>
      </c>
      <c r="I4758" t="s">
        <v>31386</v>
      </c>
      <c r="J4758" t="s">
        <v>34595</v>
      </c>
      <c r="K4758" t="s">
        <v>40786</v>
      </c>
      <c r="M4758" t="s">
        <v>42612</v>
      </c>
      <c r="N4758" t="s">
        <v>44905</v>
      </c>
      <c r="O4758" t="s">
        <v>44906</v>
      </c>
      <c r="P4758">
        <v>0</v>
      </c>
      <c r="Q4758">
        <v>0</v>
      </c>
      <c r="R4758" t="s">
        <v>44908</v>
      </c>
      <c r="S4758" t="s">
        <v>45042</v>
      </c>
      <c r="T4758" t="s">
        <v>46433</v>
      </c>
      <c r="U4758" t="s">
        <v>50792</v>
      </c>
      <c r="V4758" t="s">
        <v>59510</v>
      </c>
      <c r="W4758" t="s">
        <v>42612</v>
      </c>
      <c r="X4758" t="s">
        <v>44909</v>
      </c>
    </row>
    <row r="4759" spans="1:24">
      <c r="A4759">
        <f>HYPERLINK("https://www.philgeps.gov.ph/GEPSNONPILOT/Tender/SplashBidNoticeAbstractUI.aspx?menuIndex=3&amp;refID=7081528&amp;Result=3","7081528")</f>
        <v>0</v>
      </c>
      <c r="B4759" t="s">
        <v>293</v>
      </c>
      <c r="C4759" t="s">
        <v>8078</v>
      </c>
      <c r="D4759" t="s">
        <v>18108</v>
      </c>
      <c r="E4759" t="s">
        <v>22445</v>
      </c>
      <c r="F4759" t="s">
        <v>31362</v>
      </c>
      <c r="G4759" t="s">
        <v>31371</v>
      </c>
      <c r="H4759" t="s">
        <v>15799</v>
      </c>
      <c r="I4759" t="s">
        <v>6373</v>
      </c>
      <c r="J4759" t="s">
        <v>34596</v>
      </c>
      <c r="K4759" t="s">
        <v>40661</v>
      </c>
      <c r="M4759" t="s">
        <v>41236</v>
      </c>
      <c r="N4759" t="s">
        <v>44905</v>
      </c>
      <c r="O4759" t="s">
        <v>44906</v>
      </c>
      <c r="P4759">
        <v>0</v>
      </c>
      <c r="Q4759">
        <v>4</v>
      </c>
      <c r="R4759" t="s">
        <v>44908</v>
      </c>
      <c r="S4759" t="s">
        <v>45042</v>
      </c>
      <c r="T4759" t="s">
        <v>46454</v>
      </c>
      <c r="U4759" t="s">
        <v>50793</v>
      </c>
      <c r="W4759" t="s">
        <v>41236</v>
      </c>
      <c r="X4759" t="s">
        <v>44909</v>
      </c>
    </row>
    <row r="4760" spans="1:24">
      <c r="A4760">
        <f>HYPERLINK("https://www.philgeps.gov.ph/GEPSNONPILOT/Tender/SplashBidNoticeAbstractUI.aspx?menuIndex=3&amp;refID=7081526&amp;Result=3","7081526")</f>
        <v>0</v>
      </c>
      <c r="B4760" t="s">
        <v>1587</v>
      </c>
      <c r="C4760" t="s">
        <v>8079</v>
      </c>
      <c r="D4760" t="s">
        <v>18151</v>
      </c>
      <c r="E4760" t="s">
        <v>22446</v>
      </c>
      <c r="F4760" t="s">
        <v>31362</v>
      </c>
      <c r="G4760" t="s">
        <v>31368</v>
      </c>
      <c r="H4760" t="s">
        <v>15799</v>
      </c>
      <c r="I4760" t="s">
        <v>4057</v>
      </c>
      <c r="J4760" t="s">
        <v>33841</v>
      </c>
      <c r="K4760" t="s">
        <v>40671</v>
      </c>
      <c r="M4760" t="s">
        <v>42643</v>
      </c>
      <c r="N4760" t="s">
        <v>44905</v>
      </c>
      <c r="O4760" t="s">
        <v>44906</v>
      </c>
      <c r="P4760">
        <v>0</v>
      </c>
      <c r="Q4760">
        <v>0</v>
      </c>
      <c r="R4760" t="s">
        <v>44908</v>
      </c>
      <c r="S4760" t="s">
        <v>45042</v>
      </c>
      <c r="T4760" t="s">
        <v>46438</v>
      </c>
      <c r="U4760" t="s">
        <v>50794</v>
      </c>
      <c r="V4760" t="s">
        <v>59511</v>
      </c>
      <c r="W4760" t="s">
        <v>42643</v>
      </c>
      <c r="X4760" t="s">
        <v>44909</v>
      </c>
    </row>
    <row r="4761" spans="1:24">
      <c r="A4761">
        <f>HYPERLINK("https://www.philgeps.gov.ph/GEPSNONPILOT/Tender/SplashBidNoticeAbstractUI.aspx?menuIndex=3&amp;refID=7081485&amp;Result=3","7081485")</f>
        <v>0</v>
      </c>
      <c r="B4761" t="s">
        <v>1186</v>
      </c>
      <c r="C4761" t="s">
        <v>8080</v>
      </c>
      <c r="D4761" t="s">
        <v>18134</v>
      </c>
      <c r="E4761" t="s">
        <v>22447</v>
      </c>
      <c r="F4761" t="s">
        <v>31362</v>
      </c>
      <c r="G4761" t="s">
        <v>31369</v>
      </c>
      <c r="H4761" t="s">
        <v>31378</v>
      </c>
      <c r="I4761" t="s">
        <v>31386</v>
      </c>
      <c r="J4761" t="s">
        <v>34597</v>
      </c>
      <c r="K4761" t="s">
        <v>40675</v>
      </c>
      <c r="M4761" t="s">
        <v>42198</v>
      </c>
      <c r="N4761" t="s">
        <v>44905</v>
      </c>
      <c r="O4761" t="s">
        <v>44906</v>
      </c>
      <c r="P4761">
        <v>0</v>
      </c>
      <c r="Q4761">
        <v>0</v>
      </c>
      <c r="R4761" t="s">
        <v>44908</v>
      </c>
      <c r="S4761" t="s">
        <v>45042</v>
      </c>
      <c r="T4761" t="s">
        <v>46466</v>
      </c>
      <c r="U4761" t="s">
        <v>50795</v>
      </c>
      <c r="V4761" t="s">
        <v>59389</v>
      </c>
      <c r="W4761" t="s">
        <v>42198</v>
      </c>
      <c r="X4761" t="s">
        <v>44909</v>
      </c>
    </row>
    <row r="4762" spans="1:24">
      <c r="A4762">
        <f>HYPERLINK("https://www.philgeps.gov.ph/GEPSNONPILOT/Tender/SplashBidNoticeAbstractUI.aspx?menuIndex=3&amp;refID=7081464&amp;Result=3","7081464")</f>
        <v>0</v>
      </c>
      <c r="B4762" t="s">
        <v>823</v>
      </c>
      <c r="C4762" t="s">
        <v>8081</v>
      </c>
      <c r="D4762" t="s">
        <v>18108</v>
      </c>
      <c r="E4762" t="s">
        <v>22448</v>
      </c>
      <c r="F4762" t="s">
        <v>31362</v>
      </c>
      <c r="G4762" t="s">
        <v>31368</v>
      </c>
      <c r="H4762" t="s">
        <v>15799</v>
      </c>
      <c r="I4762" t="s">
        <v>31463</v>
      </c>
      <c r="J4762" t="s">
        <v>34598</v>
      </c>
      <c r="K4762" t="s">
        <v>40693</v>
      </c>
      <c r="M4762" t="s">
        <v>41796</v>
      </c>
      <c r="N4762" t="s">
        <v>44905</v>
      </c>
      <c r="O4762" t="s">
        <v>44906</v>
      </c>
      <c r="P4762">
        <v>0</v>
      </c>
      <c r="Q4762">
        <v>5</v>
      </c>
      <c r="R4762" t="s">
        <v>44908</v>
      </c>
      <c r="S4762" t="s">
        <v>45042</v>
      </c>
      <c r="T4762" t="s">
        <v>46434</v>
      </c>
      <c r="U4762" t="s">
        <v>48596</v>
      </c>
      <c r="V4762" t="s">
        <v>59512</v>
      </c>
      <c r="W4762" t="s">
        <v>41796</v>
      </c>
      <c r="X4762" t="s">
        <v>44909</v>
      </c>
    </row>
    <row r="4763" spans="1:24">
      <c r="A4763">
        <f>HYPERLINK("https://www.philgeps.gov.ph/GEPSNONPILOT/Tender/SplashBidNoticeAbstractUI.aspx?menuIndex=3&amp;refID=7081401&amp;Result=3","7081401")</f>
        <v>0</v>
      </c>
      <c r="B4763" t="s">
        <v>337</v>
      </c>
      <c r="C4763" t="s">
        <v>8082</v>
      </c>
      <c r="D4763" t="s">
        <v>18148</v>
      </c>
      <c r="E4763" t="s">
        <v>22449</v>
      </c>
      <c r="F4763" t="s">
        <v>31362</v>
      </c>
      <c r="G4763" t="s">
        <v>31368</v>
      </c>
      <c r="H4763" t="s">
        <v>15799</v>
      </c>
      <c r="I4763" t="s">
        <v>31384</v>
      </c>
      <c r="J4763" t="s">
        <v>34599</v>
      </c>
      <c r="K4763" t="s">
        <v>40662</v>
      </c>
      <c r="M4763" t="s">
        <v>41283</v>
      </c>
      <c r="N4763" t="s">
        <v>44905</v>
      </c>
      <c r="O4763" t="s">
        <v>44906</v>
      </c>
      <c r="P4763">
        <v>0</v>
      </c>
      <c r="Q4763">
        <v>2</v>
      </c>
      <c r="R4763" t="s">
        <v>44908</v>
      </c>
      <c r="S4763" t="s">
        <v>45042</v>
      </c>
      <c r="T4763" t="s">
        <v>46414</v>
      </c>
      <c r="U4763" t="s">
        <v>47501</v>
      </c>
      <c r="W4763" t="s">
        <v>41283</v>
      </c>
      <c r="X4763" t="s">
        <v>44909</v>
      </c>
    </row>
    <row r="4764" spans="1:24">
      <c r="A4764">
        <f>HYPERLINK("https://www.philgeps.gov.ph/GEPSNONPILOT/Tender/SplashBidNoticeAbstractUI.aspx?menuIndex=3&amp;refID=7081537&amp;Result=3","7081537")</f>
        <v>0</v>
      </c>
      <c r="B4764" t="s">
        <v>700</v>
      </c>
      <c r="C4764" t="s">
        <v>8083</v>
      </c>
      <c r="E4764" t="s">
        <v>22450</v>
      </c>
      <c r="F4764" t="s">
        <v>31362</v>
      </c>
      <c r="G4764" t="s">
        <v>31368</v>
      </c>
      <c r="H4764" t="s">
        <v>15799</v>
      </c>
      <c r="I4764" t="s">
        <v>7188</v>
      </c>
      <c r="J4764" t="s">
        <v>34600</v>
      </c>
      <c r="K4764" t="s">
        <v>40662</v>
      </c>
      <c r="M4764" t="s">
        <v>41665</v>
      </c>
      <c r="N4764" t="s">
        <v>44905</v>
      </c>
      <c r="O4764" t="s">
        <v>44906</v>
      </c>
      <c r="P4764">
        <v>0</v>
      </c>
      <c r="Q4764">
        <v>9</v>
      </c>
      <c r="R4764" t="s">
        <v>44908</v>
      </c>
      <c r="S4764" t="s">
        <v>45042</v>
      </c>
      <c r="T4764" t="s">
        <v>46593</v>
      </c>
      <c r="U4764" t="s">
        <v>50796</v>
      </c>
      <c r="V4764" t="s">
        <v>59513</v>
      </c>
      <c r="W4764" t="s">
        <v>41665</v>
      </c>
      <c r="X4764" t="s">
        <v>44909</v>
      </c>
    </row>
    <row r="4765" spans="1:24">
      <c r="A4765">
        <f>HYPERLINK("https://www.philgeps.gov.ph/GEPSNONPILOT/Tender/SplashBidNoticeAbstractUI.aspx?menuIndex=3&amp;refID=7081529&amp;Result=3","7081529")</f>
        <v>0</v>
      </c>
      <c r="B4765" t="s">
        <v>1588</v>
      </c>
      <c r="C4765" t="s">
        <v>8084</v>
      </c>
      <c r="D4765" t="s">
        <v>18117</v>
      </c>
      <c r="E4765" t="s">
        <v>22451</v>
      </c>
      <c r="F4765" t="s">
        <v>31362</v>
      </c>
      <c r="G4765" t="s">
        <v>31371</v>
      </c>
      <c r="H4765" t="s">
        <v>15799</v>
      </c>
      <c r="I4765" t="s">
        <v>31385</v>
      </c>
      <c r="J4765" t="s">
        <v>34601</v>
      </c>
      <c r="K4765" t="s">
        <v>40670</v>
      </c>
      <c r="M4765" t="s">
        <v>42644</v>
      </c>
      <c r="N4765" t="s">
        <v>44905</v>
      </c>
      <c r="O4765" t="s">
        <v>44906</v>
      </c>
      <c r="P4765">
        <v>0</v>
      </c>
      <c r="Q4765">
        <v>4</v>
      </c>
      <c r="R4765" t="s">
        <v>44908</v>
      </c>
      <c r="S4765" t="s">
        <v>45042</v>
      </c>
      <c r="T4765" t="s">
        <v>46414</v>
      </c>
      <c r="U4765" t="s">
        <v>50797</v>
      </c>
      <c r="W4765" t="s">
        <v>42644</v>
      </c>
      <c r="X4765" t="s">
        <v>44909</v>
      </c>
    </row>
    <row r="4766" spans="1:24">
      <c r="A4766">
        <f>HYPERLINK("https://www.philgeps.gov.ph/GEPSNONPILOT/Tender/SplashBidNoticeAbstractUI.aspx?menuIndex=3&amp;refID=7081536&amp;Result=3","7081536")</f>
        <v>0</v>
      </c>
      <c r="B4766" t="s">
        <v>1203</v>
      </c>
      <c r="C4766" t="s">
        <v>8085</v>
      </c>
      <c r="D4766" t="s">
        <v>18126</v>
      </c>
      <c r="E4766" t="s">
        <v>22452</v>
      </c>
      <c r="F4766" t="s">
        <v>31362</v>
      </c>
      <c r="G4766" t="s">
        <v>31369</v>
      </c>
      <c r="H4766" t="s">
        <v>31378</v>
      </c>
      <c r="I4766" t="s">
        <v>31386</v>
      </c>
      <c r="J4766" t="s">
        <v>34602</v>
      </c>
      <c r="K4766" t="s">
        <v>40694</v>
      </c>
      <c r="M4766" t="s">
        <v>42477</v>
      </c>
      <c r="N4766" t="s">
        <v>44905</v>
      </c>
      <c r="O4766" t="s">
        <v>44906</v>
      </c>
      <c r="P4766">
        <v>0</v>
      </c>
      <c r="Q4766">
        <v>0</v>
      </c>
      <c r="R4766" t="s">
        <v>44908</v>
      </c>
      <c r="S4766" t="s">
        <v>45042</v>
      </c>
      <c r="T4766" t="s">
        <v>46648</v>
      </c>
      <c r="U4766" t="s">
        <v>50798</v>
      </c>
      <c r="W4766" t="s">
        <v>42477</v>
      </c>
      <c r="X4766" t="s">
        <v>44909</v>
      </c>
    </row>
    <row r="4767" spans="1:24">
      <c r="A4767">
        <f>HYPERLINK("https://www.philgeps.gov.ph/GEPSNONPILOT/Tender/SplashBidNoticeAbstractUI.aspx?menuIndex=3&amp;refID=7081525&amp;Result=3","7081525")</f>
        <v>0</v>
      </c>
      <c r="B4767" t="s">
        <v>92</v>
      </c>
      <c r="C4767" t="s">
        <v>8086</v>
      </c>
      <c r="D4767" t="s">
        <v>18100</v>
      </c>
      <c r="E4767" t="s">
        <v>22453</v>
      </c>
      <c r="F4767" t="s">
        <v>31362</v>
      </c>
      <c r="G4767" t="s">
        <v>31369</v>
      </c>
      <c r="H4767" t="s">
        <v>15799</v>
      </c>
      <c r="I4767" t="s">
        <v>31391</v>
      </c>
      <c r="J4767" t="s">
        <v>34603</v>
      </c>
      <c r="K4767" t="s">
        <v>40677</v>
      </c>
      <c r="M4767" t="s">
        <v>41029</v>
      </c>
      <c r="N4767" t="s">
        <v>44905</v>
      </c>
      <c r="O4767" t="s">
        <v>44906</v>
      </c>
      <c r="P4767">
        <v>0</v>
      </c>
      <c r="Q4767">
        <v>2</v>
      </c>
      <c r="R4767" t="s">
        <v>44908</v>
      </c>
      <c r="S4767" t="s">
        <v>45042</v>
      </c>
      <c r="T4767" t="s">
        <v>46440</v>
      </c>
      <c r="U4767" t="s">
        <v>50790</v>
      </c>
      <c r="W4767" t="s">
        <v>60834</v>
      </c>
      <c r="X4767" t="s">
        <v>44909</v>
      </c>
    </row>
    <row r="4768" spans="1:24">
      <c r="A4768">
        <f>HYPERLINK("https://www.philgeps.gov.ph/GEPSNONPILOT/Tender/SplashBidNoticeAbstractUI.aspx?menuIndex=3&amp;refID=7081535&amp;Result=3","7081535")</f>
        <v>0</v>
      </c>
      <c r="B4768" t="s">
        <v>63</v>
      </c>
      <c r="C4768" t="s">
        <v>8087</v>
      </c>
      <c r="D4768" t="s">
        <v>18108</v>
      </c>
      <c r="E4768" t="s">
        <v>22454</v>
      </c>
      <c r="F4768" t="s">
        <v>31362</v>
      </c>
      <c r="G4768" t="s">
        <v>31368</v>
      </c>
      <c r="H4768" t="s">
        <v>15799</v>
      </c>
      <c r="I4768" t="s">
        <v>7090</v>
      </c>
      <c r="J4768" t="s">
        <v>34604</v>
      </c>
      <c r="K4768" t="s">
        <v>40661</v>
      </c>
      <c r="M4768" t="s">
        <v>40999</v>
      </c>
      <c r="N4768" t="s">
        <v>44905</v>
      </c>
      <c r="O4768" t="s">
        <v>44906</v>
      </c>
      <c r="P4768">
        <v>0</v>
      </c>
      <c r="Q4768">
        <v>6</v>
      </c>
      <c r="R4768" t="s">
        <v>44908</v>
      </c>
      <c r="S4768" t="s">
        <v>45042</v>
      </c>
      <c r="T4768" t="s">
        <v>46454</v>
      </c>
      <c r="U4768" t="s">
        <v>50799</v>
      </c>
      <c r="W4768" t="s">
        <v>40999</v>
      </c>
      <c r="X4768" t="s">
        <v>44909</v>
      </c>
    </row>
    <row r="4769" spans="1:24">
      <c r="A4769">
        <f>HYPERLINK("https://www.philgeps.gov.ph/GEPSNONPILOT/Tender/SplashBidNoticeAbstractUI.aspx?menuIndex=3&amp;refID=7081522&amp;Result=3","7081522")</f>
        <v>0</v>
      </c>
      <c r="B4769" t="s">
        <v>92</v>
      </c>
      <c r="C4769" t="s">
        <v>8088</v>
      </c>
      <c r="D4769" t="s">
        <v>18100</v>
      </c>
      <c r="E4769" t="s">
        <v>22455</v>
      </c>
      <c r="F4769" t="s">
        <v>31362</v>
      </c>
      <c r="G4769" t="s">
        <v>31369</v>
      </c>
      <c r="H4769" t="s">
        <v>15799</v>
      </c>
      <c r="I4769" t="s">
        <v>7188</v>
      </c>
      <c r="J4769" t="s">
        <v>31734</v>
      </c>
      <c r="K4769" t="s">
        <v>40677</v>
      </c>
      <c r="M4769" t="s">
        <v>41029</v>
      </c>
      <c r="N4769" t="s">
        <v>44905</v>
      </c>
      <c r="O4769" t="s">
        <v>44906</v>
      </c>
      <c r="P4769">
        <v>0</v>
      </c>
      <c r="Q4769">
        <v>7</v>
      </c>
      <c r="R4769" t="s">
        <v>44908</v>
      </c>
      <c r="S4769" t="s">
        <v>45042</v>
      </c>
      <c r="T4769" t="s">
        <v>46440</v>
      </c>
      <c r="U4769" t="s">
        <v>47621</v>
      </c>
      <c r="W4769" t="s">
        <v>60834</v>
      </c>
      <c r="X4769" t="s">
        <v>44909</v>
      </c>
    </row>
    <row r="4770" spans="1:24">
      <c r="A4770">
        <f>HYPERLINK("https://www.philgeps.gov.ph/GEPSNONPILOT/Tender/SplashBidNoticeAbstractUI.aspx?menuIndex=3&amp;refID=7081527&amp;Result=3","7081527")</f>
        <v>0</v>
      </c>
      <c r="B4770" t="s">
        <v>1203</v>
      </c>
      <c r="C4770" t="s">
        <v>8089</v>
      </c>
      <c r="D4770" t="s">
        <v>18126</v>
      </c>
      <c r="E4770" t="s">
        <v>22456</v>
      </c>
      <c r="F4770" t="s">
        <v>31362</v>
      </c>
      <c r="G4770" t="s">
        <v>31369</v>
      </c>
      <c r="H4770" t="s">
        <v>31378</v>
      </c>
      <c r="I4770" t="s">
        <v>31386</v>
      </c>
      <c r="J4770" t="s">
        <v>34605</v>
      </c>
      <c r="K4770" t="s">
        <v>40665</v>
      </c>
      <c r="M4770" t="s">
        <v>42477</v>
      </c>
      <c r="N4770" t="s">
        <v>44905</v>
      </c>
      <c r="O4770" t="s">
        <v>44906</v>
      </c>
      <c r="P4770">
        <v>0</v>
      </c>
      <c r="Q4770">
        <v>0</v>
      </c>
      <c r="R4770" t="s">
        <v>44908</v>
      </c>
      <c r="S4770" t="s">
        <v>45042</v>
      </c>
      <c r="T4770" t="s">
        <v>46648</v>
      </c>
      <c r="U4770" t="s">
        <v>50800</v>
      </c>
      <c r="W4770" t="s">
        <v>42477</v>
      </c>
      <c r="X4770" t="s">
        <v>44909</v>
      </c>
    </row>
    <row r="4771" spans="1:24">
      <c r="A4771">
        <f>HYPERLINK("https://www.philgeps.gov.ph/GEPSNONPILOT/Tender/SplashBidNoticeAbstractUI.aspx?menuIndex=3&amp;refID=7081538&amp;Result=3","7081538")</f>
        <v>0</v>
      </c>
      <c r="B4771" t="s">
        <v>92</v>
      </c>
      <c r="C4771" t="s">
        <v>8090</v>
      </c>
      <c r="D4771" t="s">
        <v>18100</v>
      </c>
      <c r="E4771" t="s">
        <v>22457</v>
      </c>
      <c r="F4771" t="s">
        <v>31362</v>
      </c>
      <c r="G4771" t="s">
        <v>31369</v>
      </c>
      <c r="H4771" t="s">
        <v>15799</v>
      </c>
      <c r="I4771" t="s">
        <v>31393</v>
      </c>
      <c r="J4771" t="s">
        <v>34606</v>
      </c>
      <c r="K4771" t="s">
        <v>40677</v>
      </c>
      <c r="M4771" t="s">
        <v>41029</v>
      </c>
      <c r="N4771" t="s">
        <v>44905</v>
      </c>
      <c r="O4771" t="s">
        <v>44906</v>
      </c>
      <c r="P4771">
        <v>0</v>
      </c>
      <c r="Q4771">
        <v>5</v>
      </c>
      <c r="R4771" t="s">
        <v>44908</v>
      </c>
      <c r="S4771" t="s">
        <v>45042</v>
      </c>
      <c r="T4771" t="s">
        <v>46440</v>
      </c>
      <c r="U4771" t="s">
        <v>47621</v>
      </c>
      <c r="W4771" t="s">
        <v>60834</v>
      </c>
      <c r="X4771" t="s">
        <v>44909</v>
      </c>
    </row>
    <row r="4772" spans="1:24">
      <c r="A4772">
        <f>HYPERLINK("https://www.philgeps.gov.ph/GEPSNONPILOT/Tender/SplashBidNoticeAbstractUI.aspx?menuIndex=3&amp;refID=7081521&amp;Result=3","7081521")</f>
        <v>0</v>
      </c>
      <c r="B4772" t="s">
        <v>1203</v>
      </c>
      <c r="C4772" t="s">
        <v>8091</v>
      </c>
      <c r="D4772" t="s">
        <v>18126</v>
      </c>
      <c r="E4772" t="s">
        <v>22458</v>
      </c>
      <c r="F4772" t="s">
        <v>31362</v>
      </c>
      <c r="G4772" t="s">
        <v>31369</v>
      </c>
      <c r="H4772" t="s">
        <v>31378</v>
      </c>
      <c r="I4772" t="s">
        <v>31386</v>
      </c>
      <c r="J4772" t="s">
        <v>34607</v>
      </c>
      <c r="K4772" t="s">
        <v>40682</v>
      </c>
      <c r="M4772" t="s">
        <v>42477</v>
      </c>
      <c r="N4772" t="s">
        <v>44905</v>
      </c>
      <c r="O4772" t="s">
        <v>44906</v>
      </c>
      <c r="P4772">
        <v>0</v>
      </c>
      <c r="Q4772">
        <v>0</v>
      </c>
      <c r="R4772" t="s">
        <v>44908</v>
      </c>
      <c r="S4772" t="s">
        <v>45042</v>
      </c>
      <c r="T4772" t="s">
        <v>46648</v>
      </c>
      <c r="U4772" t="s">
        <v>50801</v>
      </c>
      <c r="W4772" t="s">
        <v>42477</v>
      </c>
      <c r="X4772" t="s">
        <v>44909</v>
      </c>
    </row>
    <row r="4773" spans="1:24">
      <c r="A4773">
        <f>HYPERLINK("https://www.philgeps.gov.ph/GEPSNONPILOT/Tender/SplashBidNoticeAbstractUI.aspx?menuIndex=3&amp;refID=7081519&amp;Result=3","7081519")</f>
        <v>0</v>
      </c>
      <c r="B4773" t="s">
        <v>92</v>
      </c>
      <c r="C4773" t="s">
        <v>8092</v>
      </c>
      <c r="D4773" t="s">
        <v>18100</v>
      </c>
      <c r="E4773" t="s">
        <v>22459</v>
      </c>
      <c r="F4773" t="s">
        <v>31362</v>
      </c>
      <c r="G4773" t="s">
        <v>31369</v>
      </c>
      <c r="H4773" t="s">
        <v>15799</v>
      </c>
      <c r="I4773" t="s">
        <v>31393</v>
      </c>
      <c r="J4773" t="s">
        <v>34608</v>
      </c>
      <c r="K4773" t="s">
        <v>40677</v>
      </c>
      <c r="M4773" t="s">
        <v>41029</v>
      </c>
      <c r="N4773" t="s">
        <v>44905</v>
      </c>
      <c r="O4773" t="s">
        <v>44906</v>
      </c>
      <c r="P4773">
        <v>0</v>
      </c>
      <c r="Q4773">
        <v>6</v>
      </c>
      <c r="R4773" t="s">
        <v>44908</v>
      </c>
      <c r="S4773" t="s">
        <v>45042</v>
      </c>
      <c r="T4773" t="s">
        <v>46440</v>
      </c>
      <c r="U4773" t="s">
        <v>47621</v>
      </c>
      <c r="W4773" t="s">
        <v>60834</v>
      </c>
      <c r="X4773" t="s">
        <v>44909</v>
      </c>
    </row>
    <row r="4774" spans="1:24">
      <c r="A4774">
        <f>HYPERLINK("https://www.philgeps.gov.ph/GEPSNONPILOT/Tender/SplashBidNoticeAbstractUI.aspx?menuIndex=3&amp;refID=7081517&amp;Result=3","7081517")</f>
        <v>0</v>
      </c>
      <c r="B4774" t="s">
        <v>1203</v>
      </c>
      <c r="C4774" t="s">
        <v>8093</v>
      </c>
      <c r="D4774" t="s">
        <v>18126</v>
      </c>
      <c r="E4774" t="s">
        <v>22460</v>
      </c>
      <c r="F4774" t="s">
        <v>31362</v>
      </c>
      <c r="G4774" t="s">
        <v>31369</v>
      </c>
      <c r="H4774" t="s">
        <v>31378</v>
      </c>
      <c r="I4774" t="s">
        <v>31386</v>
      </c>
      <c r="J4774" t="s">
        <v>34607</v>
      </c>
      <c r="K4774" t="s">
        <v>40682</v>
      </c>
      <c r="M4774" t="s">
        <v>42477</v>
      </c>
      <c r="N4774" t="s">
        <v>44905</v>
      </c>
      <c r="O4774" t="s">
        <v>44906</v>
      </c>
      <c r="P4774">
        <v>0</v>
      </c>
      <c r="Q4774">
        <v>0</v>
      </c>
      <c r="R4774" t="s">
        <v>44908</v>
      </c>
      <c r="S4774" t="s">
        <v>45042</v>
      </c>
      <c r="T4774" t="s">
        <v>46648</v>
      </c>
      <c r="U4774" t="s">
        <v>50802</v>
      </c>
      <c r="W4774" t="s">
        <v>42477</v>
      </c>
      <c r="X4774" t="s">
        <v>44909</v>
      </c>
    </row>
    <row r="4775" spans="1:24">
      <c r="A4775">
        <f>HYPERLINK("https://www.philgeps.gov.ph/GEPSNONPILOT/Tender/SplashBidNoticeAbstractUI.aspx?menuIndex=3&amp;refID=7081540&amp;Result=3","7081540")</f>
        <v>0</v>
      </c>
      <c r="B4775" t="s">
        <v>1580</v>
      </c>
      <c r="C4775" t="s">
        <v>8094</v>
      </c>
      <c r="D4775" t="s">
        <v>18134</v>
      </c>
      <c r="E4775" t="s">
        <v>22461</v>
      </c>
      <c r="F4775" t="s">
        <v>31362</v>
      </c>
      <c r="G4775" t="s">
        <v>31368</v>
      </c>
      <c r="H4775" t="s">
        <v>15799</v>
      </c>
      <c r="I4775" t="s">
        <v>13635</v>
      </c>
      <c r="J4775" t="s">
        <v>34609</v>
      </c>
      <c r="K4775" t="s">
        <v>40661</v>
      </c>
      <c r="M4775" t="s">
        <v>42634</v>
      </c>
      <c r="N4775" t="s">
        <v>44905</v>
      </c>
      <c r="O4775" t="s">
        <v>44906</v>
      </c>
      <c r="P4775">
        <v>0</v>
      </c>
      <c r="Q4775">
        <v>2</v>
      </c>
      <c r="R4775" t="s">
        <v>44908</v>
      </c>
      <c r="S4775" t="s">
        <v>45042</v>
      </c>
      <c r="T4775" t="s">
        <v>46415</v>
      </c>
      <c r="U4775" t="s">
        <v>50803</v>
      </c>
      <c r="W4775" t="s">
        <v>42634</v>
      </c>
      <c r="X4775" t="s">
        <v>44909</v>
      </c>
    </row>
    <row r="4776" spans="1:24">
      <c r="A4776">
        <f>HYPERLINK("https://www.philgeps.gov.ph/GEPSNONPILOT/Tender/SplashBidNoticeAbstractUI.aspx?menuIndex=3&amp;refID=7081492&amp;Result=3","7081492")</f>
        <v>0</v>
      </c>
      <c r="B4776" t="s">
        <v>831</v>
      </c>
      <c r="C4776" t="s">
        <v>8095</v>
      </c>
      <c r="D4776" t="s">
        <v>18108</v>
      </c>
      <c r="E4776" t="s">
        <v>22462</v>
      </c>
      <c r="F4776" t="s">
        <v>31362</v>
      </c>
      <c r="G4776" t="s">
        <v>31369</v>
      </c>
      <c r="H4776" t="s">
        <v>15799</v>
      </c>
      <c r="I4776" t="s">
        <v>4942</v>
      </c>
      <c r="J4776" t="s">
        <v>31615</v>
      </c>
      <c r="K4776" t="s">
        <v>40666</v>
      </c>
      <c r="M4776" t="s">
        <v>42635</v>
      </c>
      <c r="N4776" t="s">
        <v>44905</v>
      </c>
      <c r="O4776" t="s">
        <v>44906</v>
      </c>
      <c r="P4776">
        <v>0</v>
      </c>
      <c r="Q4776">
        <v>0</v>
      </c>
      <c r="R4776" t="s">
        <v>44908</v>
      </c>
      <c r="S4776" t="s">
        <v>45042</v>
      </c>
      <c r="T4776" t="s">
        <v>46511</v>
      </c>
      <c r="U4776" t="s">
        <v>48668</v>
      </c>
      <c r="W4776" t="s">
        <v>42635</v>
      </c>
      <c r="X4776" t="s">
        <v>44909</v>
      </c>
    </row>
    <row r="4777" spans="1:24">
      <c r="A4777">
        <f>HYPERLINK("https://www.philgeps.gov.ph/GEPSNONPILOT/Tender/SplashBidNoticeAbstractUI.aspx?menuIndex=3&amp;refID=7081560&amp;Result=3","7081560")</f>
        <v>0</v>
      </c>
      <c r="B4777" t="s">
        <v>1583</v>
      </c>
      <c r="C4777" t="s">
        <v>8096</v>
      </c>
      <c r="E4777" t="s">
        <v>22424</v>
      </c>
      <c r="F4777" t="s">
        <v>31362</v>
      </c>
      <c r="G4777" t="s">
        <v>31369</v>
      </c>
      <c r="H4777" t="s">
        <v>15799</v>
      </c>
      <c r="I4777" t="s">
        <v>31404</v>
      </c>
      <c r="J4777" t="s">
        <v>34610</v>
      </c>
      <c r="K4777" t="s">
        <v>40669</v>
      </c>
      <c r="M4777" t="s">
        <v>42638</v>
      </c>
      <c r="N4777" t="s">
        <v>44905</v>
      </c>
      <c r="O4777" t="s">
        <v>44906</v>
      </c>
      <c r="P4777">
        <v>0</v>
      </c>
      <c r="Q4777">
        <v>1</v>
      </c>
      <c r="R4777" t="s">
        <v>44908</v>
      </c>
      <c r="S4777" t="s">
        <v>45042</v>
      </c>
      <c r="T4777" t="s">
        <v>46429</v>
      </c>
      <c r="U4777" t="s">
        <v>50804</v>
      </c>
      <c r="W4777" t="s">
        <v>42638</v>
      </c>
      <c r="X4777" t="s">
        <v>44909</v>
      </c>
    </row>
    <row r="4778" spans="1:24">
      <c r="A4778">
        <f>HYPERLINK("https://www.philgeps.gov.ph/GEPSNONPILOT/Tender/SplashBidNoticeAbstractUI.aspx?menuIndex=3&amp;refID=7081534&amp;Result=3","7081534")</f>
        <v>0</v>
      </c>
      <c r="B4778" t="s">
        <v>1584</v>
      </c>
      <c r="C4778" t="s">
        <v>8097</v>
      </c>
      <c r="D4778" t="s">
        <v>18141</v>
      </c>
      <c r="E4778" t="s">
        <v>22426</v>
      </c>
      <c r="F4778" t="s">
        <v>31362</v>
      </c>
      <c r="G4778" t="s">
        <v>31368</v>
      </c>
      <c r="H4778" t="s">
        <v>15799</v>
      </c>
      <c r="I4778" t="s">
        <v>4057</v>
      </c>
      <c r="J4778" t="s">
        <v>31793</v>
      </c>
      <c r="K4778" t="s">
        <v>40731</v>
      </c>
      <c r="M4778" t="s">
        <v>42639</v>
      </c>
      <c r="N4778" t="s">
        <v>44905</v>
      </c>
      <c r="O4778" t="s">
        <v>44906</v>
      </c>
      <c r="P4778">
        <v>0</v>
      </c>
      <c r="Q4778">
        <v>0</v>
      </c>
      <c r="R4778" t="s">
        <v>44908</v>
      </c>
      <c r="S4778" t="s">
        <v>45042</v>
      </c>
      <c r="T4778" t="s">
        <v>46534</v>
      </c>
      <c r="U4778" t="s">
        <v>50805</v>
      </c>
      <c r="V4778" t="s">
        <v>59506</v>
      </c>
      <c r="W4778" t="s">
        <v>42639</v>
      </c>
      <c r="X4778" t="s">
        <v>44909</v>
      </c>
    </row>
    <row r="4779" spans="1:24">
      <c r="A4779">
        <f>HYPERLINK("https://www.philgeps.gov.ph/GEPSNONPILOT/Tender/SplashBidNoticeAbstractUI.aspx?menuIndex=3&amp;refID=7081559&amp;Result=3","7081559")</f>
        <v>0</v>
      </c>
      <c r="B4779" t="s">
        <v>1203</v>
      </c>
      <c r="C4779" t="s">
        <v>8098</v>
      </c>
      <c r="D4779" t="s">
        <v>18126</v>
      </c>
      <c r="E4779" t="s">
        <v>22463</v>
      </c>
      <c r="F4779" t="s">
        <v>31362</v>
      </c>
      <c r="G4779" t="s">
        <v>31369</v>
      </c>
      <c r="H4779" t="s">
        <v>31378</v>
      </c>
      <c r="I4779" t="s">
        <v>31386</v>
      </c>
      <c r="J4779" t="s">
        <v>34611</v>
      </c>
      <c r="K4779" t="s">
        <v>40682</v>
      </c>
      <c r="M4779" t="s">
        <v>42477</v>
      </c>
      <c r="N4779" t="s">
        <v>44905</v>
      </c>
      <c r="O4779" t="s">
        <v>44906</v>
      </c>
      <c r="P4779">
        <v>0</v>
      </c>
      <c r="Q4779">
        <v>0</v>
      </c>
      <c r="R4779" t="s">
        <v>44908</v>
      </c>
      <c r="S4779" t="s">
        <v>45042</v>
      </c>
      <c r="T4779" t="s">
        <v>46648</v>
      </c>
      <c r="U4779" t="s">
        <v>50806</v>
      </c>
      <c r="W4779" t="s">
        <v>42477</v>
      </c>
      <c r="X4779" t="s">
        <v>44909</v>
      </c>
    </row>
    <row r="4780" spans="1:24">
      <c r="A4780">
        <f>HYPERLINK("https://www.philgeps.gov.ph/GEPSNONPILOT/Tender/SplashBidNoticeAbstractUI.aspx?menuIndex=3&amp;refID=7081557&amp;Result=3","7081557")</f>
        <v>0</v>
      </c>
      <c r="B4780" t="s">
        <v>1584</v>
      </c>
      <c r="C4780" t="s">
        <v>8099</v>
      </c>
      <c r="D4780" t="s">
        <v>18141</v>
      </c>
      <c r="E4780" t="s">
        <v>22426</v>
      </c>
      <c r="F4780" t="s">
        <v>31362</v>
      </c>
      <c r="G4780" t="s">
        <v>31368</v>
      </c>
      <c r="H4780" t="s">
        <v>15799</v>
      </c>
      <c r="I4780" t="s">
        <v>4057</v>
      </c>
      <c r="J4780" t="s">
        <v>31793</v>
      </c>
      <c r="K4780" t="s">
        <v>40731</v>
      </c>
      <c r="M4780" t="s">
        <v>42639</v>
      </c>
      <c r="N4780" t="s">
        <v>44905</v>
      </c>
      <c r="O4780" t="s">
        <v>44906</v>
      </c>
      <c r="P4780">
        <v>0</v>
      </c>
      <c r="Q4780">
        <v>0</v>
      </c>
      <c r="R4780" t="s">
        <v>44908</v>
      </c>
      <c r="S4780" t="s">
        <v>45042</v>
      </c>
      <c r="T4780" t="s">
        <v>46534</v>
      </c>
      <c r="U4780" t="s">
        <v>50807</v>
      </c>
      <c r="V4780" t="s">
        <v>59506</v>
      </c>
      <c r="W4780" t="s">
        <v>42639</v>
      </c>
      <c r="X4780" t="s">
        <v>44909</v>
      </c>
    </row>
    <row r="4781" spans="1:24">
      <c r="A4781">
        <f>HYPERLINK("https://www.philgeps.gov.ph/GEPSNONPILOT/Tender/SplashBidNoticeAbstractUI.aspx?menuIndex=3&amp;refID=7081556&amp;Result=3","7081556")</f>
        <v>0</v>
      </c>
      <c r="B4781" t="s">
        <v>1570</v>
      </c>
      <c r="C4781" t="s">
        <v>8100</v>
      </c>
      <c r="D4781" t="s">
        <v>18122</v>
      </c>
      <c r="E4781" t="s">
        <v>22464</v>
      </c>
      <c r="F4781" t="s">
        <v>31362</v>
      </c>
      <c r="G4781" t="s">
        <v>31369</v>
      </c>
      <c r="H4781" t="s">
        <v>15799</v>
      </c>
      <c r="I4781" t="s">
        <v>31393</v>
      </c>
      <c r="J4781" t="s">
        <v>31546</v>
      </c>
      <c r="K4781" t="s">
        <v>40661</v>
      </c>
      <c r="M4781" t="s">
        <v>42622</v>
      </c>
      <c r="N4781" t="s">
        <v>44905</v>
      </c>
      <c r="O4781" t="s">
        <v>44906</v>
      </c>
      <c r="P4781">
        <v>0</v>
      </c>
      <c r="Q4781">
        <v>0</v>
      </c>
      <c r="R4781" t="s">
        <v>44908</v>
      </c>
      <c r="S4781" t="s">
        <v>45042</v>
      </c>
      <c r="T4781" t="s">
        <v>46427</v>
      </c>
      <c r="U4781" t="s">
        <v>50808</v>
      </c>
      <c r="V4781" t="s">
        <v>59500</v>
      </c>
      <c r="W4781" t="s">
        <v>42622</v>
      </c>
      <c r="X4781" t="s">
        <v>44909</v>
      </c>
    </row>
    <row r="4782" spans="1:24">
      <c r="A4782">
        <f>HYPERLINK("https://www.philgeps.gov.ph/GEPSNONPILOT/Tender/SplashBidNoticeAbstractUI.aspx?menuIndex=3&amp;refID=7081563&amp;Result=3","7081563")</f>
        <v>0</v>
      </c>
      <c r="B4782" t="s">
        <v>293</v>
      </c>
      <c r="C4782" t="s">
        <v>8101</v>
      </c>
      <c r="D4782" t="s">
        <v>18108</v>
      </c>
      <c r="E4782" t="s">
        <v>22465</v>
      </c>
      <c r="F4782" t="s">
        <v>31362</v>
      </c>
      <c r="G4782" t="s">
        <v>31371</v>
      </c>
      <c r="H4782" t="s">
        <v>15799</v>
      </c>
      <c r="I4782" t="s">
        <v>6373</v>
      </c>
      <c r="J4782" t="s">
        <v>34612</v>
      </c>
      <c r="K4782" t="s">
        <v>40661</v>
      </c>
      <c r="M4782" t="s">
        <v>41236</v>
      </c>
      <c r="N4782" t="s">
        <v>44905</v>
      </c>
      <c r="O4782" t="s">
        <v>44906</v>
      </c>
      <c r="P4782">
        <v>0</v>
      </c>
      <c r="Q4782">
        <v>2</v>
      </c>
      <c r="R4782" t="s">
        <v>44908</v>
      </c>
      <c r="S4782" t="s">
        <v>45042</v>
      </c>
      <c r="T4782" t="s">
        <v>46454</v>
      </c>
      <c r="U4782" t="s">
        <v>50809</v>
      </c>
      <c r="W4782" t="s">
        <v>41236</v>
      </c>
      <c r="X4782" t="s">
        <v>44909</v>
      </c>
    </row>
    <row r="4783" spans="1:24">
      <c r="A4783">
        <f>HYPERLINK("https://www.philgeps.gov.ph/GEPSNONPILOT/Tender/SplashBidNoticeAbstractUI.aspx?menuIndex=3&amp;refID=7081553&amp;Result=3","7081553")</f>
        <v>0</v>
      </c>
      <c r="B4783" t="s">
        <v>1589</v>
      </c>
      <c r="C4783" t="s">
        <v>8102</v>
      </c>
      <c r="D4783" t="s">
        <v>18117</v>
      </c>
      <c r="E4783" t="s">
        <v>22466</v>
      </c>
      <c r="F4783" t="s">
        <v>31362</v>
      </c>
      <c r="G4783" t="s">
        <v>31369</v>
      </c>
      <c r="H4783" t="s">
        <v>15799</v>
      </c>
      <c r="I4783" t="s">
        <v>31395</v>
      </c>
      <c r="J4783" t="s">
        <v>34613</v>
      </c>
      <c r="K4783" t="s">
        <v>40677</v>
      </c>
      <c r="M4783" t="s">
        <v>42645</v>
      </c>
      <c r="N4783" t="s">
        <v>44905</v>
      </c>
      <c r="O4783" t="s">
        <v>44906</v>
      </c>
      <c r="P4783">
        <v>0</v>
      </c>
      <c r="Q4783">
        <v>1</v>
      </c>
      <c r="R4783" t="s">
        <v>44908</v>
      </c>
      <c r="S4783" t="s">
        <v>45042</v>
      </c>
      <c r="T4783" t="s">
        <v>46504</v>
      </c>
      <c r="U4783" t="s">
        <v>50810</v>
      </c>
      <c r="V4783" t="s">
        <v>59514</v>
      </c>
      <c r="W4783" t="s">
        <v>42645</v>
      </c>
      <c r="X4783" t="s">
        <v>44909</v>
      </c>
    </row>
    <row r="4784" spans="1:24">
      <c r="A4784">
        <f>HYPERLINK("https://www.philgeps.gov.ph/GEPSNONPILOT/Tender/SplashBidNoticeAbstractUI.aspx?menuIndex=3&amp;refID=7081550&amp;Result=3","7081550")</f>
        <v>0</v>
      </c>
      <c r="B4784" t="s">
        <v>700</v>
      </c>
      <c r="C4784" t="s">
        <v>8103</v>
      </c>
      <c r="E4784" t="s">
        <v>22467</v>
      </c>
      <c r="F4784" t="s">
        <v>31362</v>
      </c>
      <c r="G4784" t="s">
        <v>31368</v>
      </c>
      <c r="H4784" t="s">
        <v>15799</v>
      </c>
      <c r="I4784" t="s">
        <v>31411</v>
      </c>
      <c r="J4784" t="s">
        <v>34614</v>
      </c>
      <c r="K4784" t="s">
        <v>40662</v>
      </c>
      <c r="M4784" t="s">
        <v>41782</v>
      </c>
      <c r="N4784" t="s">
        <v>44905</v>
      </c>
      <c r="O4784" t="s">
        <v>44906</v>
      </c>
      <c r="P4784">
        <v>0</v>
      </c>
      <c r="Q4784">
        <v>10</v>
      </c>
      <c r="R4784" t="s">
        <v>44908</v>
      </c>
      <c r="S4784" t="s">
        <v>45042</v>
      </c>
      <c r="T4784" t="s">
        <v>46593</v>
      </c>
      <c r="U4784" t="s">
        <v>50811</v>
      </c>
      <c r="V4784" t="s">
        <v>59513</v>
      </c>
      <c r="W4784" t="s">
        <v>41665</v>
      </c>
      <c r="X4784" t="s">
        <v>44909</v>
      </c>
    </row>
    <row r="4785" spans="1:24">
      <c r="A4785">
        <f>HYPERLINK("https://www.philgeps.gov.ph/GEPSNONPILOT/Tender/SplashBidNoticeAbstractUI.aspx?menuIndex=3&amp;refID=7081523&amp;Result=3","7081523")</f>
        <v>0</v>
      </c>
      <c r="B4785" t="s">
        <v>1587</v>
      </c>
      <c r="C4785" t="s">
        <v>8104</v>
      </c>
      <c r="D4785" t="s">
        <v>18151</v>
      </c>
      <c r="E4785" t="s">
        <v>22468</v>
      </c>
      <c r="F4785" t="s">
        <v>31362</v>
      </c>
      <c r="G4785" t="s">
        <v>31368</v>
      </c>
      <c r="H4785" t="s">
        <v>15799</v>
      </c>
      <c r="I4785" t="s">
        <v>4057</v>
      </c>
      <c r="J4785" t="s">
        <v>34615</v>
      </c>
      <c r="K4785" t="s">
        <v>40698</v>
      </c>
      <c r="M4785" t="s">
        <v>42643</v>
      </c>
      <c r="N4785" t="s">
        <v>44905</v>
      </c>
      <c r="O4785" t="s">
        <v>44906</v>
      </c>
      <c r="P4785">
        <v>0</v>
      </c>
      <c r="Q4785">
        <v>0</v>
      </c>
      <c r="R4785" t="s">
        <v>44908</v>
      </c>
      <c r="S4785" t="s">
        <v>45042</v>
      </c>
      <c r="T4785" t="s">
        <v>46438</v>
      </c>
      <c r="U4785" t="s">
        <v>50812</v>
      </c>
      <c r="V4785" t="s">
        <v>59515</v>
      </c>
      <c r="W4785" t="s">
        <v>42643</v>
      </c>
      <c r="X4785" t="s">
        <v>44909</v>
      </c>
    </row>
    <row r="4786" spans="1:24">
      <c r="A4786">
        <f>HYPERLINK("https://www.philgeps.gov.ph/GEPSNONPILOT/Tender/SplashBidNoticeAbstractUI.aspx?menuIndex=3&amp;refID=7081547&amp;Result=3","7081547")</f>
        <v>0</v>
      </c>
      <c r="B4786" t="s">
        <v>831</v>
      </c>
      <c r="C4786" t="s">
        <v>8105</v>
      </c>
      <c r="D4786" t="s">
        <v>18108</v>
      </c>
      <c r="E4786" t="s">
        <v>22469</v>
      </c>
      <c r="F4786" t="s">
        <v>31362</v>
      </c>
      <c r="G4786" t="s">
        <v>31369</v>
      </c>
      <c r="H4786" t="s">
        <v>15799</v>
      </c>
      <c r="I4786" t="s">
        <v>7090</v>
      </c>
      <c r="J4786" t="s">
        <v>34616</v>
      </c>
      <c r="K4786" t="s">
        <v>40666</v>
      </c>
      <c r="M4786" t="s">
        <v>42635</v>
      </c>
      <c r="N4786" t="s">
        <v>44905</v>
      </c>
      <c r="O4786" t="s">
        <v>44906</v>
      </c>
      <c r="P4786">
        <v>0</v>
      </c>
      <c r="Q4786">
        <v>0</v>
      </c>
      <c r="R4786" t="s">
        <v>44908</v>
      </c>
      <c r="S4786" t="s">
        <v>45042</v>
      </c>
      <c r="T4786" t="s">
        <v>46511</v>
      </c>
      <c r="U4786" t="s">
        <v>48635</v>
      </c>
      <c r="W4786" t="s">
        <v>42635</v>
      </c>
      <c r="X4786" t="s">
        <v>44909</v>
      </c>
    </row>
    <row r="4787" spans="1:24">
      <c r="A4787">
        <f>HYPERLINK("https://www.philgeps.gov.ph/GEPSNONPILOT/Tender/SplashBidNoticeAbstractUI.aspx?menuIndex=3&amp;refID=7081558&amp;Result=3","7081558")</f>
        <v>0</v>
      </c>
      <c r="B4787" t="s">
        <v>92</v>
      </c>
      <c r="C4787" t="s">
        <v>8106</v>
      </c>
      <c r="D4787" t="s">
        <v>18100</v>
      </c>
      <c r="E4787" t="s">
        <v>22470</v>
      </c>
      <c r="F4787" t="s">
        <v>31362</v>
      </c>
      <c r="G4787" t="s">
        <v>31369</v>
      </c>
      <c r="H4787" t="s">
        <v>15799</v>
      </c>
      <c r="I4787" t="s">
        <v>31455</v>
      </c>
      <c r="J4787" t="s">
        <v>33190</v>
      </c>
      <c r="K4787" t="s">
        <v>40677</v>
      </c>
      <c r="M4787" t="s">
        <v>41029</v>
      </c>
      <c r="N4787" t="s">
        <v>44905</v>
      </c>
      <c r="O4787" t="s">
        <v>44906</v>
      </c>
      <c r="P4787">
        <v>0</v>
      </c>
      <c r="Q4787">
        <v>0</v>
      </c>
      <c r="R4787" t="s">
        <v>44908</v>
      </c>
      <c r="S4787" t="s">
        <v>45042</v>
      </c>
      <c r="T4787" t="s">
        <v>46440</v>
      </c>
      <c r="U4787" t="s">
        <v>47621</v>
      </c>
      <c r="W4787" t="s">
        <v>60834</v>
      </c>
      <c r="X4787" t="s">
        <v>44909</v>
      </c>
    </row>
    <row r="4788" spans="1:24">
      <c r="A4788">
        <f>HYPERLINK("https://www.philgeps.gov.ph/GEPSNONPILOT/Tender/SplashBidNoticeAbstractUI.aspx?menuIndex=3&amp;refID=7081545&amp;Result=3","7081545")</f>
        <v>0</v>
      </c>
      <c r="B4788" t="s">
        <v>1203</v>
      </c>
      <c r="C4788" t="s">
        <v>8107</v>
      </c>
      <c r="D4788" t="s">
        <v>18126</v>
      </c>
      <c r="E4788" t="s">
        <v>22471</v>
      </c>
      <c r="F4788" t="s">
        <v>31362</v>
      </c>
      <c r="G4788" t="s">
        <v>31369</v>
      </c>
      <c r="H4788" t="s">
        <v>31378</v>
      </c>
      <c r="I4788" t="s">
        <v>31386</v>
      </c>
      <c r="J4788" t="s">
        <v>34617</v>
      </c>
      <c r="K4788" t="s">
        <v>40675</v>
      </c>
      <c r="M4788" t="s">
        <v>42477</v>
      </c>
      <c r="N4788" t="s">
        <v>44905</v>
      </c>
      <c r="O4788" t="s">
        <v>44906</v>
      </c>
      <c r="P4788">
        <v>0</v>
      </c>
      <c r="Q4788">
        <v>0</v>
      </c>
      <c r="R4788" t="s">
        <v>44908</v>
      </c>
      <c r="S4788" t="s">
        <v>45042</v>
      </c>
      <c r="T4788" t="s">
        <v>46648</v>
      </c>
      <c r="U4788" t="s">
        <v>50813</v>
      </c>
      <c r="W4788" t="s">
        <v>42477</v>
      </c>
      <c r="X4788" t="s">
        <v>44909</v>
      </c>
    </row>
    <row r="4789" spans="1:24">
      <c r="A4789">
        <f>HYPERLINK("https://www.philgeps.gov.ph/GEPSNONPILOT/Tender/SplashBidNoticeAbstractUI.aspx?menuIndex=3&amp;refID=7081544&amp;Result=3","7081544")</f>
        <v>0</v>
      </c>
      <c r="B4789" t="s">
        <v>293</v>
      </c>
      <c r="C4789" t="s">
        <v>8108</v>
      </c>
      <c r="D4789" t="s">
        <v>18108</v>
      </c>
      <c r="E4789" t="s">
        <v>22472</v>
      </c>
      <c r="F4789" t="s">
        <v>31362</v>
      </c>
      <c r="G4789" t="s">
        <v>31371</v>
      </c>
      <c r="H4789" t="s">
        <v>15799</v>
      </c>
      <c r="I4789" t="s">
        <v>6373</v>
      </c>
      <c r="J4789" t="s">
        <v>34618</v>
      </c>
      <c r="K4789" t="s">
        <v>40787</v>
      </c>
      <c r="M4789" t="s">
        <v>41236</v>
      </c>
      <c r="N4789" t="s">
        <v>44905</v>
      </c>
      <c r="O4789" t="s">
        <v>44906</v>
      </c>
      <c r="P4789">
        <v>0</v>
      </c>
      <c r="Q4789">
        <v>8</v>
      </c>
      <c r="R4789" t="s">
        <v>44908</v>
      </c>
      <c r="S4789" t="s">
        <v>45042</v>
      </c>
      <c r="T4789" t="s">
        <v>46454</v>
      </c>
      <c r="U4789" t="s">
        <v>50814</v>
      </c>
      <c r="W4789" t="s">
        <v>41236</v>
      </c>
      <c r="X4789" t="s">
        <v>44909</v>
      </c>
    </row>
    <row r="4790" spans="1:24">
      <c r="A4790">
        <f>HYPERLINK("https://www.philgeps.gov.ph/GEPSNONPILOT/Tender/SplashBidNoticeAbstractUI.aspx?menuIndex=3&amp;refID=7081548&amp;Result=3","7081548")</f>
        <v>0</v>
      </c>
      <c r="B4790" t="s">
        <v>1590</v>
      </c>
      <c r="C4790" t="s">
        <v>8109</v>
      </c>
      <c r="D4790" t="s">
        <v>18153</v>
      </c>
      <c r="E4790" t="s">
        <v>18217</v>
      </c>
      <c r="F4790" t="s">
        <v>31363</v>
      </c>
      <c r="G4790" t="s">
        <v>31369</v>
      </c>
      <c r="H4790" t="s">
        <v>15799</v>
      </c>
      <c r="I4790" t="s">
        <v>3815</v>
      </c>
      <c r="J4790" t="s">
        <v>34619</v>
      </c>
      <c r="K4790" t="s">
        <v>40686</v>
      </c>
      <c r="M4790" t="s">
        <v>42646</v>
      </c>
      <c r="N4790" t="s">
        <v>44905</v>
      </c>
      <c r="O4790" t="s">
        <v>44906</v>
      </c>
      <c r="P4790">
        <v>0</v>
      </c>
      <c r="Q4790">
        <v>2</v>
      </c>
      <c r="R4790" t="s">
        <v>44908</v>
      </c>
      <c r="S4790" t="s">
        <v>45042</v>
      </c>
      <c r="T4790" t="s">
        <v>46395</v>
      </c>
      <c r="U4790" t="s">
        <v>50815</v>
      </c>
      <c r="W4790" t="s">
        <v>42646</v>
      </c>
      <c r="X4790" t="s">
        <v>44909</v>
      </c>
    </row>
    <row r="4791" spans="1:24">
      <c r="A4791">
        <f>HYPERLINK("https://www.philgeps.gov.ph/GEPSNONPILOT/Tender/SplashBidNoticeAbstractUI.aspx?menuIndex=3&amp;refID=7081554&amp;Result=3","7081554")</f>
        <v>0</v>
      </c>
      <c r="B4791" t="s">
        <v>1203</v>
      </c>
      <c r="C4791" t="s">
        <v>8110</v>
      </c>
      <c r="D4791" t="s">
        <v>18126</v>
      </c>
      <c r="E4791" t="s">
        <v>22473</v>
      </c>
      <c r="F4791" t="s">
        <v>31362</v>
      </c>
      <c r="G4791" t="s">
        <v>31369</v>
      </c>
      <c r="H4791" t="s">
        <v>31378</v>
      </c>
      <c r="I4791" t="s">
        <v>31386</v>
      </c>
      <c r="J4791" t="s">
        <v>34177</v>
      </c>
      <c r="K4791" t="s">
        <v>40694</v>
      </c>
      <c r="M4791" t="s">
        <v>42477</v>
      </c>
      <c r="N4791" t="s">
        <v>44905</v>
      </c>
      <c r="O4791" t="s">
        <v>44906</v>
      </c>
      <c r="P4791">
        <v>0</v>
      </c>
      <c r="Q4791">
        <v>0</v>
      </c>
      <c r="R4791" t="s">
        <v>44908</v>
      </c>
      <c r="S4791" t="s">
        <v>45042</v>
      </c>
      <c r="T4791" t="s">
        <v>46648</v>
      </c>
      <c r="U4791" t="s">
        <v>50816</v>
      </c>
      <c r="W4791" t="s">
        <v>42477</v>
      </c>
      <c r="X4791" t="s">
        <v>44909</v>
      </c>
    </row>
    <row r="4792" spans="1:24">
      <c r="A4792">
        <f>HYPERLINK("https://www.philgeps.gov.ph/GEPSNONPILOT/Tender/SplashBidNoticeAbstractUI.aspx?menuIndex=3&amp;refID=7081585&amp;Result=3","7081585")</f>
        <v>0</v>
      </c>
      <c r="B4792" t="s">
        <v>1591</v>
      </c>
      <c r="C4792" t="s">
        <v>8111</v>
      </c>
      <c r="D4792" t="s">
        <v>18116</v>
      </c>
      <c r="E4792" t="s">
        <v>22474</v>
      </c>
      <c r="F4792" t="s">
        <v>31362</v>
      </c>
      <c r="G4792" t="s">
        <v>31369</v>
      </c>
      <c r="H4792" t="s">
        <v>15799</v>
      </c>
      <c r="I4792" t="s">
        <v>31380</v>
      </c>
      <c r="J4792" t="s">
        <v>31578</v>
      </c>
      <c r="K4792" t="s">
        <v>40670</v>
      </c>
      <c r="M4792" t="s">
        <v>42647</v>
      </c>
      <c r="N4792" t="s">
        <v>44905</v>
      </c>
      <c r="O4792" t="s">
        <v>44906</v>
      </c>
      <c r="P4792">
        <v>0</v>
      </c>
      <c r="Q4792">
        <v>1</v>
      </c>
      <c r="R4792" t="s">
        <v>44908</v>
      </c>
      <c r="S4792" t="s">
        <v>45042</v>
      </c>
      <c r="T4792" t="s">
        <v>46483</v>
      </c>
      <c r="U4792" t="s">
        <v>50817</v>
      </c>
      <c r="W4792" t="s">
        <v>42647</v>
      </c>
      <c r="X4792" t="s">
        <v>44909</v>
      </c>
    </row>
    <row r="4793" spans="1:24">
      <c r="A4793">
        <f>HYPERLINK("https://www.philgeps.gov.ph/GEPSNONPILOT/Tender/SplashBidNoticeAbstractUI.aspx?menuIndex=3&amp;refID=7081583&amp;Result=3","7081583")</f>
        <v>0</v>
      </c>
      <c r="B4793" t="s">
        <v>831</v>
      </c>
      <c r="C4793" t="s">
        <v>8112</v>
      </c>
      <c r="D4793" t="s">
        <v>18108</v>
      </c>
      <c r="E4793" t="s">
        <v>22475</v>
      </c>
      <c r="F4793" t="s">
        <v>31362</v>
      </c>
      <c r="G4793" t="s">
        <v>31369</v>
      </c>
      <c r="H4793" t="s">
        <v>15799</v>
      </c>
      <c r="I4793" t="s">
        <v>7090</v>
      </c>
      <c r="J4793" t="s">
        <v>34620</v>
      </c>
      <c r="K4793" t="s">
        <v>40666</v>
      </c>
      <c r="M4793" t="s">
        <v>42635</v>
      </c>
      <c r="N4793" t="s">
        <v>44905</v>
      </c>
      <c r="O4793" t="s">
        <v>44906</v>
      </c>
      <c r="P4793">
        <v>0</v>
      </c>
      <c r="Q4793">
        <v>0</v>
      </c>
      <c r="R4793" t="s">
        <v>44908</v>
      </c>
      <c r="S4793" t="s">
        <v>45042</v>
      </c>
      <c r="T4793" t="s">
        <v>46511</v>
      </c>
      <c r="U4793" t="s">
        <v>48635</v>
      </c>
      <c r="W4793" t="s">
        <v>42635</v>
      </c>
      <c r="X4793" t="s">
        <v>44909</v>
      </c>
    </row>
    <row r="4794" spans="1:24">
      <c r="A4794">
        <f>HYPERLINK("https://www.philgeps.gov.ph/GEPSNONPILOT/Tender/SplashBidNoticeAbstractUI.aspx?menuIndex=3&amp;refID=7081493&amp;Result=3","7081493")</f>
        <v>0</v>
      </c>
      <c r="B4794" t="s">
        <v>1580</v>
      </c>
      <c r="C4794" t="s">
        <v>8113</v>
      </c>
      <c r="D4794" t="s">
        <v>18134</v>
      </c>
      <c r="E4794" t="s">
        <v>22476</v>
      </c>
      <c r="F4794" t="s">
        <v>31362</v>
      </c>
      <c r="G4794" t="s">
        <v>31368</v>
      </c>
      <c r="H4794" t="s">
        <v>15799</v>
      </c>
      <c r="I4794" t="s">
        <v>31431</v>
      </c>
      <c r="J4794" t="s">
        <v>31688</v>
      </c>
      <c r="K4794" t="s">
        <v>40661</v>
      </c>
      <c r="M4794" t="s">
        <v>42634</v>
      </c>
      <c r="N4794" t="s">
        <v>44905</v>
      </c>
      <c r="O4794" t="s">
        <v>44906</v>
      </c>
      <c r="P4794">
        <v>0</v>
      </c>
      <c r="Q4794">
        <v>0</v>
      </c>
      <c r="R4794" t="s">
        <v>44908</v>
      </c>
      <c r="S4794" t="s">
        <v>45042</v>
      </c>
      <c r="T4794" t="s">
        <v>46415</v>
      </c>
      <c r="U4794" t="s">
        <v>50818</v>
      </c>
      <c r="W4794" t="s">
        <v>42634</v>
      </c>
      <c r="X4794" t="s">
        <v>44909</v>
      </c>
    </row>
    <row r="4795" spans="1:24">
      <c r="A4795">
        <f>HYPERLINK("https://www.philgeps.gov.ph/GEPSNONPILOT/Tender/SplashBidNoticeAbstractUI.aspx?menuIndex=3&amp;refID=7081584&amp;Result=3","7081584")</f>
        <v>0</v>
      </c>
      <c r="B4795" t="s">
        <v>1592</v>
      </c>
      <c r="C4795" t="s">
        <v>8114</v>
      </c>
      <c r="D4795" t="s">
        <v>18123</v>
      </c>
      <c r="E4795" t="s">
        <v>22477</v>
      </c>
      <c r="F4795" t="s">
        <v>31363</v>
      </c>
      <c r="G4795" t="s">
        <v>31370</v>
      </c>
      <c r="H4795" t="s">
        <v>15799</v>
      </c>
      <c r="I4795" t="s">
        <v>4057</v>
      </c>
      <c r="J4795" t="s">
        <v>31890</v>
      </c>
      <c r="K4795" t="s">
        <v>40662</v>
      </c>
      <c r="M4795" t="s">
        <v>42648</v>
      </c>
      <c r="N4795" t="s">
        <v>44905</v>
      </c>
      <c r="O4795" t="s">
        <v>44906</v>
      </c>
      <c r="P4795">
        <v>0</v>
      </c>
      <c r="Q4795">
        <v>0</v>
      </c>
      <c r="R4795" t="s">
        <v>44908</v>
      </c>
      <c r="S4795" t="s">
        <v>45042</v>
      </c>
      <c r="T4795" t="s">
        <v>46443</v>
      </c>
      <c r="U4795" t="s">
        <v>50819</v>
      </c>
      <c r="W4795" t="s">
        <v>42648</v>
      </c>
      <c r="X4795" t="s">
        <v>44909</v>
      </c>
    </row>
    <row r="4796" spans="1:24">
      <c r="A4796">
        <f>HYPERLINK("https://www.philgeps.gov.ph/GEPSNONPILOT/Tender/SplashBidNoticeAbstractUI.aspx?menuIndex=3&amp;refID=7081546&amp;Result=3","7081546")</f>
        <v>0</v>
      </c>
      <c r="B4796" t="s">
        <v>92</v>
      </c>
      <c r="C4796" t="s">
        <v>8115</v>
      </c>
      <c r="D4796" t="s">
        <v>18100</v>
      </c>
      <c r="E4796" t="s">
        <v>22478</v>
      </c>
      <c r="F4796" t="s">
        <v>31362</v>
      </c>
      <c r="G4796" t="s">
        <v>31369</v>
      </c>
      <c r="H4796" t="s">
        <v>15799</v>
      </c>
      <c r="I4796" t="s">
        <v>31452</v>
      </c>
      <c r="J4796" t="s">
        <v>32586</v>
      </c>
      <c r="K4796" t="s">
        <v>40677</v>
      </c>
      <c r="M4796" t="s">
        <v>41029</v>
      </c>
      <c r="N4796" t="s">
        <v>44905</v>
      </c>
      <c r="O4796" t="s">
        <v>44906</v>
      </c>
      <c r="P4796">
        <v>0</v>
      </c>
      <c r="Q4796">
        <v>1</v>
      </c>
      <c r="R4796" t="s">
        <v>44908</v>
      </c>
      <c r="S4796" t="s">
        <v>45042</v>
      </c>
      <c r="T4796" t="s">
        <v>46440</v>
      </c>
      <c r="U4796" t="s">
        <v>47621</v>
      </c>
      <c r="W4796" t="s">
        <v>60834</v>
      </c>
      <c r="X4796" t="s">
        <v>44909</v>
      </c>
    </row>
    <row r="4797" spans="1:24">
      <c r="A4797">
        <f>HYPERLINK("https://www.philgeps.gov.ph/GEPSNONPILOT/Tender/SplashBidNoticeAbstractUI.aspx?menuIndex=3&amp;refID=7081582&amp;Result=3","7081582")</f>
        <v>0</v>
      </c>
      <c r="B4797" t="s">
        <v>1593</v>
      </c>
      <c r="C4797" t="s">
        <v>8116</v>
      </c>
      <c r="D4797" t="s">
        <v>18168</v>
      </c>
      <c r="E4797" t="s">
        <v>22479</v>
      </c>
      <c r="F4797" t="s">
        <v>31362</v>
      </c>
      <c r="G4797" t="s">
        <v>31369</v>
      </c>
      <c r="H4797" t="s">
        <v>31378</v>
      </c>
      <c r="I4797" t="s">
        <v>31386</v>
      </c>
      <c r="J4797" t="s">
        <v>31625</v>
      </c>
      <c r="K4797" t="s">
        <v>40788</v>
      </c>
      <c r="M4797" t="s">
        <v>42649</v>
      </c>
      <c r="N4797" t="s">
        <v>44905</v>
      </c>
      <c r="O4797" t="s">
        <v>44906</v>
      </c>
      <c r="P4797">
        <v>0</v>
      </c>
      <c r="Q4797">
        <v>2</v>
      </c>
      <c r="R4797" t="s">
        <v>44908</v>
      </c>
      <c r="S4797" t="s">
        <v>45042</v>
      </c>
      <c r="T4797" t="s">
        <v>46608</v>
      </c>
      <c r="U4797" t="s">
        <v>50820</v>
      </c>
      <c r="V4797" t="s">
        <v>59516</v>
      </c>
      <c r="W4797" t="s">
        <v>42649</v>
      </c>
      <c r="X4797" t="s">
        <v>44909</v>
      </c>
    </row>
    <row r="4798" spans="1:24">
      <c r="A4798">
        <f>HYPERLINK("https://www.philgeps.gov.ph/GEPSNONPILOT/Tender/SplashBidNoticeAbstractUI.aspx?menuIndex=3&amp;refID=7081578&amp;Result=3","7081578")</f>
        <v>0</v>
      </c>
      <c r="B4798" t="s">
        <v>1589</v>
      </c>
      <c r="C4798" t="s">
        <v>8117</v>
      </c>
      <c r="D4798" t="s">
        <v>18117</v>
      </c>
      <c r="E4798" t="s">
        <v>22480</v>
      </c>
      <c r="F4798" t="s">
        <v>31362</v>
      </c>
      <c r="G4798" t="s">
        <v>31369</v>
      </c>
      <c r="H4798" t="s">
        <v>15799</v>
      </c>
      <c r="I4798" t="s">
        <v>6373</v>
      </c>
      <c r="J4798" t="s">
        <v>34621</v>
      </c>
      <c r="K4798" t="s">
        <v>40670</v>
      </c>
      <c r="M4798" t="s">
        <v>42645</v>
      </c>
      <c r="N4798" t="s">
        <v>44905</v>
      </c>
      <c r="O4798" t="s">
        <v>44906</v>
      </c>
      <c r="P4798">
        <v>0</v>
      </c>
      <c r="Q4798">
        <v>3</v>
      </c>
      <c r="R4798" t="s">
        <v>44908</v>
      </c>
      <c r="S4798" t="s">
        <v>45042</v>
      </c>
      <c r="T4798" t="s">
        <v>46470</v>
      </c>
      <c r="U4798" t="s">
        <v>50821</v>
      </c>
      <c r="V4798" t="s">
        <v>59517</v>
      </c>
      <c r="W4798" t="s">
        <v>42645</v>
      </c>
      <c r="X4798" t="s">
        <v>44909</v>
      </c>
    </row>
    <row r="4799" spans="1:24">
      <c r="A4799">
        <f>HYPERLINK("https://www.philgeps.gov.ph/GEPSNONPILOT/Tender/SplashBidNoticeAbstractUI.aspx?menuIndex=3&amp;refID=7081581&amp;Result=3","7081581")</f>
        <v>0</v>
      </c>
      <c r="B4799" t="s">
        <v>671</v>
      </c>
      <c r="C4799" t="s">
        <v>8118</v>
      </c>
      <c r="D4799" t="s">
        <v>18108</v>
      </c>
      <c r="E4799" t="s">
        <v>22481</v>
      </c>
      <c r="F4799" t="s">
        <v>31362</v>
      </c>
      <c r="G4799" t="s">
        <v>31371</v>
      </c>
      <c r="H4799" t="s">
        <v>15799</v>
      </c>
      <c r="I4799" t="s">
        <v>6373</v>
      </c>
      <c r="J4799" t="s">
        <v>34622</v>
      </c>
      <c r="K4799" t="s">
        <v>40670</v>
      </c>
      <c r="M4799" t="s">
        <v>42650</v>
      </c>
      <c r="N4799" t="s">
        <v>44905</v>
      </c>
      <c r="O4799" t="s">
        <v>44906</v>
      </c>
      <c r="P4799">
        <v>0</v>
      </c>
      <c r="Q4799">
        <v>4</v>
      </c>
      <c r="R4799" t="s">
        <v>44908</v>
      </c>
      <c r="S4799" t="s">
        <v>45042</v>
      </c>
      <c r="T4799" t="s">
        <v>46483</v>
      </c>
      <c r="U4799" t="s">
        <v>50822</v>
      </c>
      <c r="W4799" t="s">
        <v>42650</v>
      </c>
      <c r="X4799" t="s">
        <v>44909</v>
      </c>
    </row>
    <row r="4800" spans="1:24">
      <c r="A4800">
        <f>HYPERLINK("https://www.philgeps.gov.ph/GEPSNONPILOT/Tender/SplashBidNoticeAbstractUI.aspx?menuIndex=3&amp;refID=7081577&amp;Result=3","7081577")</f>
        <v>0</v>
      </c>
      <c r="B4800" t="s">
        <v>1593</v>
      </c>
      <c r="C4800" t="s">
        <v>8119</v>
      </c>
      <c r="D4800" t="s">
        <v>18168</v>
      </c>
      <c r="E4800" t="s">
        <v>22482</v>
      </c>
      <c r="F4800" t="s">
        <v>31362</v>
      </c>
      <c r="G4800" t="s">
        <v>31369</v>
      </c>
      <c r="H4800" t="s">
        <v>31378</v>
      </c>
      <c r="I4800" t="s">
        <v>31386</v>
      </c>
      <c r="J4800" t="s">
        <v>31625</v>
      </c>
      <c r="K4800" t="s">
        <v>40757</v>
      </c>
      <c r="M4800" t="s">
        <v>42649</v>
      </c>
      <c r="N4800" t="s">
        <v>44905</v>
      </c>
      <c r="O4800" t="s">
        <v>44906</v>
      </c>
      <c r="P4800">
        <v>0</v>
      </c>
      <c r="Q4800">
        <v>1</v>
      </c>
      <c r="R4800" t="s">
        <v>44908</v>
      </c>
      <c r="S4800" t="s">
        <v>45042</v>
      </c>
      <c r="T4800" t="s">
        <v>46608</v>
      </c>
      <c r="U4800" t="s">
        <v>50823</v>
      </c>
      <c r="V4800" t="s">
        <v>59516</v>
      </c>
      <c r="W4800" t="s">
        <v>42649</v>
      </c>
      <c r="X4800" t="s">
        <v>44909</v>
      </c>
    </row>
    <row r="4801" spans="1:24">
      <c r="A4801">
        <f>HYPERLINK("https://www.philgeps.gov.ph/GEPSNONPILOT/Tender/SplashBidNoticeAbstractUI.aspx?menuIndex=3&amp;refID=7081576&amp;Result=3","7081576")</f>
        <v>0</v>
      </c>
      <c r="B4801" t="s">
        <v>831</v>
      </c>
      <c r="C4801" t="s">
        <v>8120</v>
      </c>
      <c r="D4801" t="s">
        <v>18108</v>
      </c>
      <c r="E4801" t="s">
        <v>22483</v>
      </c>
      <c r="F4801" t="s">
        <v>31362</v>
      </c>
      <c r="G4801" t="s">
        <v>31369</v>
      </c>
      <c r="H4801" t="s">
        <v>15799</v>
      </c>
      <c r="I4801" t="s">
        <v>31385</v>
      </c>
      <c r="J4801" t="s">
        <v>34623</v>
      </c>
      <c r="K4801" t="s">
        <v>40666</v>
      </c>
      <c r="M4801" t="s">
        <v>42635</v>
      </c>
      <c r="N4801" t="s">
        <v>44905</v>
      </c>
      <c r="O4801" t="s">
        <v>44906</v>
      </c>
      <c r="P4801">
        <v>0</v>
      </c>
      <c r="Q4801">
        <v>1</v>
      </c>
      <c r="R4801" t="s">
        <v>44908</v>
      </c>
      <c r="S4801" t="s">
        <v>45042</v>
      </c>
      <c r="T4801" t="s">
        <v>46511</v>
      </c>
      <c r="U4801" t="s">
        <v>47749</v>
      </c>
      <c r="W4801" t="s">
        <v>42635</v>
      </c>
      <c r="X4801" t="s">
        <v>44909</v>
      </c>
    </row>
    <row r="4802" spans="1:24">
      <c r="A4802">
        <f>HYPERLINK("https://www.philgeps.gov.ph/GEPSNONPILOT/Tender/SplashBidNoticeAbstractUI.aspx?menuIndex=3&amp;refID=7081555&amp;Result=3","7081555")</f>
        <v>0</v>
      </c>
      <c r="B4802" t="s">
        <v>92</v>
      </c>
      <c r="C4802" t="s">
        <v>8121</v>
      </c>
      <c r="D4802" t="s">
        <v>18100</v>
      </c>
      <c r="E4802" t="s">
        <v>22484</v>
      </c>
      <c r="F4802" t="s">
        <v>31362</v>
      </c>
      <c r="G4802" t="s">
        <v>31369</v>
      </c>
      <c r="H4802" t="s">
        <v>15799</v>
      </c>
      <c r="I4802" t="s">
        <v>31396</v>
      </c>
      <c r="J4802" t="s">
        <v>31940</v>
      </c>
      <c r="K4802" t="s">
        <v>40677</v>
      </c>
      <c r="M4802" t="s">
        <v>41029</v>
      </c>
      <c r="N4802" t="s">
        <v>44905</v>
      </c>
      <c r="O4802" t="s">
        <v>44906</v>
      </c>
      <c r="P4802">
        <v>0</v>
      </c>
      <c r="Q4802">
        <v>3</v>
      </c>
      <c r="R4802" t="s">
        <v>44908</v>
      </c>
      <c r="S4802" t="s">
        <v>45042</v>
      </c>
      <c r="T4802" t="s">
        <v>46440</v>
      </c>
      <c r="U4802" t="s">
        <v>47621</v>
      </c>
      <c r="W4802" t="s">
        <v>60834</v>
      </c>
      <c r="X4802" t="s">
        <v>44909</v>
      </c>
    </row>
    <row r="4803" spans="1:24">
      <c r="A4803">
        <f>HYPERLINK("https://www.philgeps.gov.ph/GEPSNONPILOT/Tender/SplashBidNoticeAbstractUI.aspx?menuIndex=3&amp;refID=7081575&amp;Result=3","7081575")</f>
        <v>0</v>
      </c>
      <c r="B4803" t="s">
        <v>92</v>
      </c>
      <c r="C4803" t="s">
        <v>8122</v>
      </c>
      <c r="D4803" t="s">
        <v>18100</v>
      </c>
      <c r="E4803" t="s">
        <v>22485</v>
      </c>
      <c r="F4803" t="s">
        <v>31362</v>
      </c>
      <c r="G4803" t="s">
        <v>31369</v>
      </c>
      <c r="H4803" t="s">
        <v>15799</v>
      </c>
      <c r="I4803" t="s">
        <v>31459</v>
      </c>
      <c r="J4803" t="s">
        <v>31591</v>
      </c>
      <c r="K4803" t="s">
        <v>40677</v>
      </c>
      <c r="M4803" t="s">
        <v>41029</v>
      </c>
      <c r="N4803" t="s">
        <v>44905</v>
      </c>
      <c r="O4803" t="s">
        <v>44906</v>
      </c>
      <c r="P4803">
        <v>0</v>
      </c>
      <c r="Q4803">
        <v>1</v>
      </c>
      <c r="R4803" t="s">
        <v>44908</v>
      </c>
      <c r="S4803" t="s">
        <v>45042</v>
      </c>
      <c r="T4803" t="s">
        <v>46440</v>
      </c>
      <c r="U4803" t="s">
        <v>47621</v>
      </c>
      <c r="W4803" t="s">
        <v>60834</v>
      </c>
      <c r="X4803" t="s">
        <v>44909</v>
      </c>
    </row>
    <row r="4804" spans="1:24">
      <c r="A4804">
        <f>HYPERLINK("https://www.philgeps.gov.ph/GEPSNONPILOT/Tender/SplashBidNoticeAbstractUI.aspx?menuIndex=3&amp;refID=7081580&amp;Result=3","7081580")</f>
        <v>0</v>
      </c>
      <c r="B4804" t="s">
        <v>1591</v>
      </c>
      <c r="C4804" t="s">
        <v>8123</v>
      </c>
      <c r="D4804" t="s">
        <v>18116</v>
      </c>
      <c r="E4804" t="s">
        <v>22486</v>
      </c>
      <c r="F4804" t="s">
        <v>31362</v>
      </c>
      <c r="G4804" t="s">
        <v>31369</v>
      </c>
      <c r="H4804" t="s">
        <v>15799</v>
      </c>
      <c r="I4804" t="s">
        <v>4283</v>
      </c>
      <c r="J4804" t="s">
        <v>31531</v>
      </c>
      <c r="K4804" t="s">
        <v>40670</v>
      </c>
      <c r="M4804" t="s">
        <v>42647</v>
      </c>
      <c r="N4804" t="s">
        <v>44905</v>
      </c>
      <c r="O4804" t="s">
        <v>44906</v>
      </c>
      <c r="P4804">
        <v>0</v>
      </c>
      <c r="Q4804">
        <v>1</v>
      </c>
      <c r="R4804" t="s">
        <v>44908</v>
      </c>
      <c r="S4804" t="s">
        <v>45042</v>
      </c>
      <c r="T4804" t="s">
        <v>46506</v>
      </c>
      <c r="U4804" t="s">
        <v>50824</v>
      </c>
      <c r="W4804" t="s">
        <v>42647</v>
      </c>
      <c r="X4804" t="s">
        <v>44909</v>
      </c>
    </row>
    <row r="4805" spans="1:24">
      <c r="A4805">
        <f>HYPERLINK("https://www.philgeps.gov.ph/GEPSNONPILOT/Tender/SplashBidNoticeAbstractUI.aspx?menuIndex=3&amp;refID=7081549&amp;Result=3","7081549")</f>
        <v>0</v>
      </c>
      <c r="B4805" t="s">
        <v>92</v>
      </c>
      <c r="C4805" t="s">
        <v>8124</v>
      </c>
      <c r="D4805" t="s">
        <v>18100</v>
      </c>
      <c r="E4805" t="s">
        <v>22487</v>
      </c>
      <c r="F4805" t="s">
        <v>31362</v>
      </c>
      <c r="G4805" t="s">
        <v>31369</v>
      </c>
      <c r="H4805" t="s">
        <v>15799</v>
      </c>
      <c r="I4805" t="s">
        <v>31393</v>
      </c>
      <c r="J4805" t="s">
        <v>34624</v>
      </c>
      <c r="K4805" t="s">
        <v>40677</v>
      </c>
      <c r="M4805" t="s">
        <v>41029</v>
      </c>
      <c r="N4805" t="s">
        <v>44905</v>
      </c>
      <c r="O4805" t="s">
        <v>44906</v>
      </c>
      <c r="P4805">
        <v>0</v>
      </c>
      <c r="Q4805">
        <v>4</v>
      </c>
      <c r="R4805" t="s">
        <v>44908</v>
      </c>
      <c r="S4805" t="s">
        <v>45042</v>
      </c>
      <c r="T4805" t="s">
        <v>46440</v>
      </c>
      <c r="U4805" t="s">
        <v>47621</v>
      </c>
      <c r="W4805" t="s">
        <v>60834</v>
      </c>
      <c r="X4805" t="s">
        <v>44909</v>
      </c>
    </row>
    <row r="4806" spans="1:24">
      <c r="A4806">
        <f>HYPERLINK("https://www.philgeps.gov.ph/GEPSNONPILOT/Tender/SplashBidNoticeAbstractUI.aspx?menuIndex=3&amp;refID=7081606&amp;Result=3","7081606")</f>
        <v>0</v>
      </c>
      <c r="B4806" t="s">
        <v>1594</v>
      </c>
      <c r="C4806" t="s">
        <v>8125</v>
      </c>
      <c r="D4806" t="s">
        <v>18104</v>
      </c>
      <c r="E4806" t="s">
        <v>18203</v>
      </c>
      <c r="F4806" t="s">
        <v>31362</v>
      </c>
      <c r="G4806" t="s">
        <v>31370</v>
      </c>
      <c r="H4806" t="s">
        <v>15799</v>
      </c>
      <c r="I4806" t="s">
        <v>31390</v>
      </c>
      <c r="J4806" t="s">
        <v>31811</v>
      </c>
      <c r="K4806" t="s">
        <v>40697</v>
      </c>
      <c r="M4806" t="s">
        <v>42651</v>
      </c>
      <c r="N4806" t="s">
        <v>44905</v>
      </c>
      <c r="O4806" t="s">
        <v>44906</v>
      </c>
      <c r="P4806">
        <v>0</v>
      </c>
      <c r="Q4806">
        <v>0</v>
      </c>
      <c r="R4806" t="s">
        <v>44908</v>
      </c>
      <c r="S4806" t="s">
        <v>45042</v>
      </c>
      <c r="T4806" t="s">
        <v>46443</v>
      </c>
      <c r="U4806" t="s">
        <v>50825</v>
      </c>
      <c r="V4806" t="s">
        <v>59518</v>
      </c>
      <c r="W4806" t="s">
        <v>42651</v>
      </c>
      <c r="X4806" t="s">
        <v>44909</v>
      </c>
    </row>
    <row r="4807" spans="1:24">
      <c r="A4807">
        <f>HYPERLINK("https://www.philgeps.gov.ph/GEPSNONPILOT/Tender/SplashBidNoticeAbstractUI.aspx?menuIndex=3&amp;refID=7081605&amp;Result=3","7081605")</f>
        <v>0</v>
      </c>
      <c r="B4807" t="s">
        <v>1595</v>
      </c>
      <c r="C4807" t="s">
        <v>8126</v>
      </c>
      <c r="D4807" t="s">
        <v>18123</v>
      </c>
      <c r="E4807" t="s">
        <v>22488</v>
      </c>
      <c r="F4807" t="s">
        <v>31362</v>
      </c>
      <c r="G4807" t="s">
        <v>31370</v>
      </c>
      <c r="H4807" t="s">
        <v>31378</v>
      </c>
      <c r="I4807" t="s">
        <v>3815</v>
      </c>
      <c r="J4807" t="s">
        <v>34625</v>
      </c>
      <c r="K4807" t="s">
        <v>40662</v>
      </c>
      <c r="M4807" t="s">
        <v>42652</v>
      </c>
      <c r="N4807" t="s">
        <v>44905</v>
      </c>
      <c r="O4807" t="s">
        <v>44906</v>
      </c>
      <c r="P4807">
        <v>0</v>
      </c>
      <c r="Q4807">
        <v>0</v>
      </c>
      <c r="R4807" t="s">
        <v>44908</v>
      </c>
      <c r="S4807" t="s">
        <v>45042</v>
      </c>
      <c r="T4807" t="s">
        <v>46443</v>
      </c>
      <c r="U4807" t="s">
        <v>50826</v>
      </c>
      <c r="W4807" t="s">
        <v>42652</v>
      </c>
      <c r="X4807" t="s">
        <v>44909</v>
      </c>
    </row>
    <row r="4808" spans="1:24">
      <c r="A4808">
        <f>HYPERLINK("https://www.philgeps.gov.ph/GEPSNONPILOT/Tender/SplashBidNoticeAbstractUI.aspx?menuIndex=3&amp;refID=7081574&amp;Result=3","7081574")</f>
        <v>0</v>
      </c>
      <c r="B4808" t="s">
        <v>1592</v>
      </c>
      <c r="C4808" t="s">
        <v>8127</v>
      </c>
      <c r="D4808" t="s">
        <v>18123</v>
      </c>
      <c r="E4808" t="s">
        <v>22489</v>
      </c>
      <c r="F4808" t="s">
        <v>31362</v>
      </c>
      <c r="G4808" t="s">
        <v>31370</v>
      </c>
      <c r="H4808" t="s">
        <v>15799</v>
      </c>
      <c r="I4808" t="s">
        <v>4057</v>
      </c>
      <c r="J4808" t="s">
        <v>31890</v>
      </c>
      <c r="K4808" t="s">
        <v>40662</v>
      </c>
      <c r="M4808" t="s">
        <v>42648</v>
      </c>
      <c r="N4808" t="s">
        <v>44905</v>
      </c>
      <c r="O4808" t="s">
        <v>44906</v>
      </c>
      <c r="P4808">
        <v>0</v>
      </c>
      <c r="Q4808">
        <v>0</v>
      </c>
      <c r="R4808" t="s">
        <v>44908</v>
      </c>
      <c r="S4808" t="s">
        <v>45042</v>
      </c>
      <c r="T4808" t="s">
        <v>46443</v>
      </c>
      <c r="U4808" t="s">
        <v>50827</v>
      </c>
      <c r="W4808" t="s">
        <v>42648</v>
      </c>
      <c r="X4808" t="s">
        <v>44909</v>
      </c>
    </row>
    <row r="4809" spans="1:24">
      <c r="A4809">
        <f>HYPERLINK("https://www.philgeps.gov.ph/GEPSNONPILOT/Tender/SplashBidNoticeAbstractUI.aspx?menuIndex=3&amp;refID=7081601&amp;Result=3","7081601")</f>
        <v>0</v>
      </c>
      <c r="B4809" t="s">
        <v>1596</v>
      </c>
      <c r="C4809" t="s">
        <v>8128</v>
      </c>
      <c r="D4809" t="s">
        <v>18170</v>
      </c>
      <c r="E4809" t="s">
        <v>22490</v>
      </c>
      <c r="F4809" t="s">
        <v>31362</v>
      </c>
      <c r="G4809" t="s">
        <v>31368</v>
      </c>
      <c r="H4809" t="s">
        <v>15799</v>
      </c>
      <c r="I4809" t="s">
        <v>31404</v>
      </c>
      <c r="J4809" t="s">
        <v>34626</v>
      </c>
      <c r="K4809" t="s">
        <v>40670</v>
      </c>
      <c r="L4809" t="s">
        <v>1596</v>
      </c>
      <c r="M4809" t="s">
        <v>42653</v>
      </c>
      <c r="N4809" t="s">
        <v>44905</v>
      </c>
      <c r="O4809" t="s">
        <v>44906</v>
      </c>
      <c r="P4809">
        <v>0</v>
      </c>
      <c r="Q4809">
        <v>0</v>
      </c>
      <c r="R4809" t="s">
        <v>44908</v>
      </c>
      <c r="S4809" t="s">
        <v>45042</v>
      </c>
      <c r="T4809" t="s">
        <v>46409</v>
      </c>
      <c r="U4809" t="s">
        <v>50828</v>
      </c>
      <c r="W4809" t="s">
        <v>42653</v>
      </c>
      <c r="X4809" t="s">
        <v>44909</v>
      </c>
    </row>
    <row r="4810" spans="1:24">
      <c r="A4810">
        <f>HYPERLINK("https://www.philgeps.gov.ph/GEPSNONPILOT/Tender/SplashBidNoticeAbstractUI.aspx?menuIndex=3&amp;refID=7081608&amp;Result=3","7081608")</f>
        <v>0</v>
      </c>
      <c r="B4810" t="s">
        <v>1010</v>
      </c>
      <c r="C4810" t="s">
        <v>8129</v>
      </c>
      <c r="D4810" t="s">
        <v>18147</v>
      </c>
      <c r="E4810" t="s">
        <v>22491</v>
      </c>
      <c r="F4810" t="s">
        <v>31362</v>
      </c>
      <c r="G4810" t="s">
        <v>31368</v>
      </c>
      <c r="H4810" t="s">
        <v>15799</v>
      </c>
      <c r="I4810" t="s">
        <v>31380</v>
      </c>
      <c r="J4810" t="s">
        <v>33049</v>
      </c>
      <c r="K4810" t="s">
        <v>40697</v>
      </c>
      <c r="L4810" t="s">
        <v>1010</v>
      </c>
      <c r="M4810" t="s">
        <v>42007</v>
      </c>
      <c r="N4810" t="s">
        <v>44905</v>
      </c>
      <c r="O4810" t="s">
        <v>44906</v>
      </c>
      <c r="P4810">
        <v>0</v>
      </c>
      <c r="Q4810">
        <v>3</v>
      </c>
      <c r="R4810" t="s">
        <v>44908</v>
      </c>
      <c r="S4810" t="s">
        <v>45042</v>
      </c>
      <c r="T4810" t="s">
        <v>46409</v>
      </c>
      <c r="U4810" t="s">
        <v>50829</v>
      </c>
      <c r="W4810" t="s">
        <v>42007</v>
      </c>
      <c r="X4810" t="s">
        <v>44909</v>
      </c>
    </row>
    <row r="4811" spans="1:24">
      <c r="A4811">
        <f>HYPERLINK("https://www.philgeps.gov.ph/GEPSNONPILOT/Tender/SplashBidNoticeAbstractUI.aspx?menuIndex=3&amp;refID=7081598&amp;Result=3","7081598")</f>
        <v>0</v>
      </c>
      <c r="B4811" t="s">
        <v>1595</v>
      </c>
      <c r="C4811" t="s">
        <v>8130</v>
      </c>
      <c r="D4811" t="s">
        <v>18123</v>
      </c>
      <c r="E4811" t="s">
        <v>22492</v>
      </c>
      <c r="F4811" t="s">
        <v>31362</v>
      </c>
      <c r="G4811" t="s">
        <v>31370</v>
      </c>
      <c r="H4811" t="s">
        <v>15799</v>
      </c>
      <c r="I4811" t="s">
        <v>31385</v>
      </c>
      <c r="J4811" t="s">
        <v>31921</v>
      </c>
      <c r="K4811" t="s">
        <v>40662</v>
      </c>
      <c r="M4811" t="s">
        <v>42652</v>
      </c>
      <c r="N4811" t="s">
        <v>44905</v>
      </c>
      <c r="O4811" t="s">
        <v>44906</v>
      </c>
      <c r="P4811">
        <v>0</v>
      </c>
      <c r="Q4811">
        <v>0</v>
      </c>
      <c r="R4811" t="s">
        <v>44908</v>
      </c>
      <c r="S4811" t="s">
        <v>45042</v>
      </c>
      <c r="T4811" t="s">
        <v>46443</v>
      </c>
      <c r="U4811" t="s">
        <v>50830</v>
      </c>
      <c r="W4811" t="s">
        <v>42652</v>
      </c>
      <c r="X4811" t="s">
        <v>44909</v>
      </c>
    </row>
    <row r="4812" spans="1:24">
      <c r="A4812">
        <f>HYPERLINK("https://www.philgeps.gov.ph/GEPSNONPILOT/Tender/SplashBidNoticeAbstractUI.aspx?menuIndex=3&amp;refID=7081579&amp;Result=3","7081579")</f>
        <v>0</v>
      </c>
      <c r="B4812" t="s">
        <v>831</v>
      </c>
      <c r="C4812" t="s">
        <v>8131</v>
      </c>
      <c r="D4812" t="s">
        <v>18108</v>
      </c>
      <c r="E4812" t="s">
        <v>22493</v>
      </c>
      <c r="F4812" t="s">
        <v>31362</v>
      </c>
      <c r="G4812" t="s">
        <v>31369</v>
      </c>
      <c r="H4812" t="s">
        <v>15799</v>
      </c>
      <c r="I4812" t="s">
        <v>31385</v>
      </c>
      <c r="J4812" t="s">
        <v>34627</v>
      </c>
      <c r="K4812" t="s">
        <v>40666</v>
      </c>
      <c r="M4812" t="s">
        <v>42635</v>
      </c>
      <c r="N4812" t="s">
        <v>44905</v>
      </c>
      <c r="O4812" t="s">
        <v>44906</v>
      </c>
      <c r="P4812">
        <v>0</v>
      </c>
      <c r="Q4812">
        <v>1</v>
      </c>
      <c r="R4812" t="s">
        <v>44908</v>
      </c>
      <c r="S4812" t="s">
        <v>45042</v>
      </c>
      <c r="T4812" t="s">
        <v>46511</v>
      </c>
      <c r="U4812" t="s">
        <v>47749</v>
      </c>
      <c r="W4812" t="s">
        <v>42635</v>
      </c>
      <c r="X4812" t="s">
        <v>44909</v>
      </c>
    </row>
    <row r="4813" spans="1:24">
      <c r="A4813">
        <f>HYPERLINK("https://www.philgeps.gov.ph/GEPSNONPILOT/Tender/SplashBidNoticeAbstractUI.aspx?menuIndex=3&amp;refID=7081603&amp;Result=3","7081603")</f>
        <v>0</v>
      </c>
      <c r="B4813" t="s">
        <v>1595</v>
      </c>
      <c r="C4813" t="s">
        <v>8132</v>
      </c>
      <c r="D4813" t="s">
        <v>18123</v>
      </c>
      <c r="E4813" t="s">
        <v>22494</v>
      </c>
      <c r="F4813" t="s">
        <v>31362</v>
      </c>
      <c r="G4813" t="s">
        <v>31370</v>
      </c>
      <c r="H4813" t="s">
        <v>31378</v>
      </c>
      <c r="I4813" t="s">
        <v>3815</v>
      </c>
      <c r="J4813" t="s">
        <v>32143</v>
      </c>
      <c r="K4813" t="s">
        <v>40662</v>
      </c>
      <c r="M4813" t="s">
        <v>42652</v>
      </c>
      <c r="N4813" t="s">
        <v>44905</v>
      </c>
      <c r="O4813" t="s">
        <v>44906</v>
      </c>
      <c r="P4813">
        <v>0</v>
      </c>
      <c r="Q4813">
        <v>0</v>
      </c>
      <c r="R4813" t="s">
        <v>44908</v>
      </c>
      <c r="S4813" t="s">
        <v>45042</v>
      </c>
      <c r="T4813" t="s">
        <v>46443</v>
      </c>
      <c r="U4813" t="s">
        <v>50831</v>
      </c>
      <c r="W4813" t="s">
        <v>42652</v>
      </c>
      <c r="X4813" t="s">
        <v>44909</v>
      </c>
    </row>
    <row r="4814" spans="1:24">
      <c r="A4814">
        <f>HYPERLINK("https://www.philgeps.gov.ph/GEPSNONPILOT/Tender/SplashBidNoticeAbstractUI.aspx?menuIndex=3&amp;refID=7081533&amp;Result=3","7081533")</f>
        <v>0</v>
      </c>
      <c r="B4814" t="s">
        <v>700</v>
      </c>
      <c r="C4814" t="s">
        <v>8133</v>
      </c>
      <c r="E4814" t="s">
        <v>22495</v>
      </c>
      <c r="F4814" t="s">
        <v>31362</v>
      </c>
      <c r="G4814" t="s">
        <v>31368</v>
      </c>
      <c r="H4814" t="s">
        <v>15799</v>
      </c>
      <c r="I4814" t="s">
        <v>31385</v>
      </c>
      <c r="J4814" t="s">
        <v>34080</v>
      </c>
      <c r="K4814" t="s">
        <v>40662</v>
      </c>
      <c r="M4814" t="s">
        <v>41665</v>
      </c>
      <c r="N4814" t="s">
        <v>44905</v>
      </c>
      <c r="O4814" t="s">
        <v>44906</v>
      </c>
      <c r="P4814">
        <v>0</v>
      </c>
      <c r="Q4814">
        <v>6</v>
      </c>
      <c r="R4814" t="s">
        <v>44908</v>
      </c>
      <c r="S4814" t="s">
        <v>45042</v>
      </c>
      <c r="T4814" t="s">
        <v>46593</v>
      </c>
      <c r="U4814" t="s">
        <v>50832</v>
      </c>
      <c r="W4814" t="s">
        <v>41665</v>
      </c>
      <c r="X4814" t="s">
        <v>44909</v>
      </c>
    </row>
    <row r="4815" spans="1:24">
      <c r="A4815">
        <f>HYPERLINK("https://www.philgeps.gov.ph/GEPSNONPILOT/Tender/SplashBidNoticeAbstractUI.aspx?menuIndex=3&amp;refID=7081607&amp;Result=3","7081607")</f>
        <v>0</v>
      </c>
      <c r="B4815" t="s">
        <v>1595</v>
      </c>
      <c r="C4815" t="s">
        <v>8134</v>
      </c>
      <c r="D4815" t="s">
        <v>18123</v>
      </c>
      <c r="E4815" t="s">
        <v>22496</v>
      </c>
      <c r="F4815" t="s">
        <v>31362</v>
      </c>
      <c r="G4815" t="s">
        <v>31370</v>
      </c>
      <c r="H4815" t="s">
        <v>31378</v>
      </c>
      <c r="I4815" t="s">
        <v>3815</v>
      </c>
      <c r="J4815" t="s">
        <v>34628</v>
      </c>
      <c r="K4815" t="s">
        <v>40662</v>
      </c>
      <c r="M4815" t="s">
        <v>42652</v>
      </c>
      <c r="N4815" t="s">
        <v>44905</v>
      </c>
      <c r="O4815" t="s">
        <v>44906</v>
      </c>
      <c r="P4815">
        <v>0</v>
      </c>
      <c r="Q4815">
        <v>0</v>
      </c>
      <c r="R4815" t="s">
        <v>44908</v>
      </c>
      <c r="S4815" t="s">
        <v>45042</v>
      </c>
      <c r="T4815" t="s">
        <v>46443</v>
      </c>
      <c r="U4815" t="s">
        <v>50833</v>
      </c>
      <c r="W4815" t="s">
        <v>42652</v>
      </c>
      <c r="X4815" t="s">
        <v>44909</v>
      </c>
    </row>
    <row r="4816" spans="1:24">
      <c r="A4816">
        <f>HYPERLINK("https://www.philgeps.gov.ph/GEPSNONPILOT/Tender/SplashBidNoticeAbstractUI.aspx?menuIndex=3&amp;refID=7081593&amp;Result=3","7081593")</f>
        <v>0</v>
      </c>
      <c r="B4816" t="s">
        <v>169</v>
      </c>
      <c r="C4816" t="s">
        <v>8135</v>
      </c>
      <c r="D4816" t="s">
        <v>18108</v>
      </c>
      <c r="E4816" t="s">
        <v>22497</v>
      </c>
      <c r="F4816" t="s">
        <v>31362</v>
      </c>
      <c r="G4816" t="s">
        <v>31368</v>
      </c>
      <c r="H4816" t="s">
        <v>15799</v>
      </c>
      <c r="I4816" t="s">
        <v>31387</v>
      </c>
      <c r="J4816" t="s">
        <v>34629</v>
      </c>
      <c r="K4816" t="s">
        <v>40665</v>
      </c>
      <c r="M4816" t="s">
        <v>42654</v>
      </c>
      <c r="N4816" t="s">
        <v>44905</v>
      </c>
      <c r="O4816" t="s">
        <v>44906</v>
      </c>
      <c r="P4816">
        <v>0</v>
      </c>
      <c r="Q4816">
        <v>2</v>
      </c>
      <c r="R4816" t="s">
        <v>44908</v>
      </c>
      <c r="S4816" t="s">
        <v>45042</v>
      </c>
      <c r="T4816" t="s">
        <v>46411</v>
      </c>
      <c r="U4816" t="s">
        <v>50834</v>
      </c>
      <c r="W4816" t="s">
        <v>42654</v>
      </c>
      <c r="X4816" t="s">
        <v>44909</v>
      </c>
    </row>
    <row r="4817" spans="1:24">
      <c r="A4817">
        <f>HYPERLINK("https://www.philgeps.gov.ph/GEPSNONPILOT/Tender/SplashBidNoticeAbstractUI.aspx?menuIndex=3&amp;refID=7081599&amp;Result=3","7081599")</f>
        <v>0</v>
      </c>
      <c r="B4817" t="s">
        <v>1596</v>
      </c>
      <c r="C4817" t="s">
        <v>8136</v>
      </c>
      <c r="D4817" t="s">
        <v>18170</v>
      </c>
      <c r="E4817" t="s">
        <v>22498</v>
      </c>
      <c r="F4817" t="s">
        <v>31362</v>
      </c>
      <c r="G4817" t="s">
        <v>31368</v>
      </c>
      <c r="H4817" t="s">
        <v>15799</v>
      </c>
      <c r="I4817" t="s">
        <v>3815</v>
      </c>
      <c r="J4817" t="s">
        <v>32778</v>
      </c>
      <c r="K4817" t="s">
        <v>40670</v>
      </c>
      <c r="L4817" t="s">
        <v>1596</v>
      </c>
      <c r="M4817" t="s">
        <v>42653</v>
      </c>
      <c r="N4817" t="s">
        <v>44905</v>
      </c>
      <c r="O4817" t="s">
        <v>44906</v>
      </c>
      <c r="P4817">
        <v>0</v>
      </c>
      <c r="Q4817">
        <v>0</v>
      </c>
      <c r="R4817" t="s">
        <v>44908</v>
      </c>
      <c r="S4817" t="s">
        <v>45042</v>
      </c>
      <c r="T4817" t="s">
        <v>46409</v>
      </c>
      <c r="U4817" t="s">
        <v>49861</v>
      </c>
      <c r="W4817" t="s">
        <v>42653</v>
      </c>
      <c r="X4817" t="s">
        <v>44909</v>
      </c>
    </row>
    <row r="4818" spans="1:24">
      <c r="A4818">
        <f>HYPERLINK("https://www.philgeps.gov.ph/GEPSNONPILOT/Tender/SplashBidNoticeAbstractUI.aspx?menuIndex=3&amp;refID=7081597&amp;Result=3","7081597")</f>
        <v>0</v>
      </c>
      <c r="B4818" t="s">
        <v>1597</v>
      </c>
      <c r="C4818" t="s">
        <v>8137</v>
      </c>
      <c r="D4818" t="s">
        <v>18111</v>
      </c>
      <c r="E4818" t="s">
        <v>18648</v>
      </c>
      <c r="F4818" t="s">
        <v>31362</v>
      </c>
      <c r="G4818" t="s">
        <v>31369</v>
      </c>
      <c r="H4818" t="s">
        <v>15799</v>
      </c>
      <c r="I4818" t="s">
        <v>31444</v>
      </c>
      <c r="J4818" t="s">
        <v>34630</v>
      </c>
      <c r="K4818" t="s">
        <v>40693</v>
      </c>
      <c r="M4818" t="s">
        <v>42655</v>
      </c>
      <c r="N4818" t="s">
        <v>44905</v>
      </c>
      <c r="O4818" t="s">
        <v>44906</v>
      </c>
      <c r="P4818">
        <v>0</v>
      </c>
      <c r="Q4818">
        <v>1</v>
      </c>
      <c r="R4818" t="s">
        <v>44908</v>
      </c>
      <c r="S4818" t="s">
        <v>45042</v>
      </c>
      <c r="T4818" t="s">
        <v>46463</v>
      </c>
      <c r="U4818" t="s">
        <v>50835</v>
      </c>
      <c r="W4818" t="s">
        <v>42655</v>
      </c>
      <c r="X4818" t="s">
        <v>44909</v>
      </c>
    </row>
    <row r="4819" spans="1:24">
      <c r="A4819">
        <f>HYPERLINK("https://www.philgeps.gov.ph/GEPSNONPILOT/Tender/SplashBidNoticeAbstractUI.aspx?menuIndex=3&amp;refID=7081594&amp;Result=3","7081594")</f>
        <v>0</v>
      </c>
      <c r="B4819" t="s">
        <v>831</v>
      </c>
      <c r="C4819" t="s">
        <v>8138</v>
      </c>
      <c r="D4819" t="s">
        <v>18108</v>
      </c>
      <c r="E4819" t="s">
        <v>22499</v>
      </c>
      <c r="F4819" t="s">
        <v>31362</v>
      </c>
      <c r="G4819" t="s">
        <v>31369</v>
      </c>
      <c r="H4819" t="s">
        <v>15799</v>
      </c>
      <c r="I4819" t="s">
        <v>31389</v>
      </c>
      <c r="J4819" t="s">
        <v>31625</v>
      </c>
      <c r="K4819" t="s">
        <v>40666</v>
      </c>
      <c r="M4819" t="s">
        <v>42635</v>
      </c>
      <c r="N4819" t="s">
        <v>44905</v>
      </c>
      <c r="O4819" t="s">
        <v>44906</v>
      </c>
      <c r="P4819">
        <v>0</v>
      </c>
      <c r="Q4819">
        <v>5</v>
      </c>
      <c r="R4819" t="s">
        <v>44908</v>
      </c>
      <c r="S4819" t="s">
        <v>45042</v>
      </c>
      <c r="T4819" t="s">
        <v>46511</v>
      </c>
      <c r="U4819" t="s">
        <v>50836</v>
      </c>
      <c r="W4819" t="s">
        <v>42635</v>
      </c>
      <c r="X4819" t="s">
        <v>44909</v>
      </c>
    </row>
    <row r="4820" spans="1:24">
      <c r="A4820">
        <f>HYPERLINK("https://www.philgeps.gov.ph/GEPSNONPILOT/Tender/SplashBidNoticeAbstractUI.aspx?menuIndex=3&amp;refID=7081633&amp;Result=3","7081633")</f>
        <v>0</v>
      </c>
      <c r="B4820" t="s">
        <v>1519</v>
      </c>
      <c r="C4820" t="s">
        <v>8139</v>
      </c>
      <c r="D4820" t="s">
        <v>18108</v>
      </c>
      <c r="E4820" t="s">
        <v>22500</v>
      </c>
      <c r="F4820" t="s">
        <v>31362</v>
      </c>
      <c r="G4820" t="s">
        <v>31369</v>
      </c>
      <c r="H4820" t="s">
        <v>31378</v>
      </c>
      <c r="I4820" t="s">
        <v>31386</v>
      </c>
      <c r="J4820" t="s">
        <v>34631</v>
      </c>
      <c r="K4820" t="s">
        <v>40678</v>
      </c>
      <c r="M4820" t="s">
        <v>42656</v>
      </c>
      <c r="N4820" t="s">
        <v>44905</v>
      </c>
      <c r="O4820" t="s">
        <v>44906</v>
      </c>
      <c r="P4820">
        <v>0</v>
      </c>
      <c r="Q4820">
        <v>4</v>
      </c>
      <c r="R4820" t="s">
        <v>44908</v>
      </c>
      <c r="S4820" t="s">
        <v>45042</v>
      </c>
      <c r="T4820" t="s">
        <v>46433</v>
      </c>
      <c r="U4820" t="s">
        <v>50837</v>
      </c>
      <c r="W4820" t="s">
        <v>42656</v>
      </c>
      <c r="X4820" t="s">
        <v>44909</v>
      </c>
    </row>
    <row r="4821" spans="1:24">
      <c r="A4821">
        <f>HYPERLINK("https://www.philgeps.gov.ph/GEPSNONPILOT/Tender/SplashBidNoticeAbstractUI.aspx?menuIndex=3&amp;refID=7081632&amp;Result=3","7081632")</f>
        <v>0</v>
      </c>
      <c r="B4821" t="s">
        <v>1045</v>
      </c>
      <c r="C4821" t="s">
        <v>8140</v>
      </c>
      <c r="D4821" t="s">
        <v>18129</v>
      </c>
      <c r="E4821" t="s">
        <v>22501</v>
      </c>
      <c r="F4821" t="s">
        <v>31362</v>
      </c>
      <c r="G4821" t="s">
        <v>31368</v>
      </c>
      <c r="H4821" t="s">
        <v>15799</v>
      </c>
      <c r="I4821" t="s">
        <v>31422</v>
      </c>
      <c r="J4821" t="s">
        <v>31546</v>
      </c>
      <c r="K4821" t="s">
        <v>40672</v>
      </c>
      <c r="M4821" t="s">
        <v>42044</v>
      </c>
      <c r="N4821" t="s">
        <v>44905</v>
      </c>
      <c r="O4821" t="s">
        <v>44906</v>
      </c>
      <c r="P4821">
        <v>0</v>
      </c>
      <c r="Q4821">
        <v>1</v>
      </c>
      <c r="R4821" t="s">
        <v>44908</v>
      </c>
      <c r="S4821" t="s">
        <v>45042</v>
      </c>
      <c r="T4821" t="s">
        <v>46393</v>
      </c>
      <c r="U4821" t="s">
        <v>50838</v>
      </c>
      <c r="W4821" t="s">
        <v>42044</v>
      </c>
      <c r="X4821" t="s">
        <v>44909</v>
      </c>
    </row>
    <row r="4822" spans="1:24">
      <c r="A4822">
        <f>HYPERLINK("https://www.philgeps.gov.ph/GEPSNONPILOT/Tender/SplashBidNoticeAbstractUI.aspx?menuIndex=3&amp;refID=7081591&amp;Result=3","7081591")</f>
        <v>0</v>
      </c>
      <c r="B4822" t="s">
        <v>831</v>
      </c>
      <c r="C4822" t="s">
        <v>8141</v>
      </c>
      <c r="D4822" t="s">
        <v>18108</v>
      </c>
      <c r="E4822" t="s">
        <v>22502</v>
      </c>
      <c r="F4822" t="s">
        <v>31362</v>
      </c>
      <c r="G4822" t="s">
        <v>31369</v>
      </c>
      <c r="H4822" t="s">
        <v>15799</v>
      </c>
      <c r="I4822" t="s">
        <v>7090</v>
      </c>
      <c r="J4822" t="s">
        <v>34632</v>
      </c>
      <c r="K4822" t="s">
        <v>40666</v>
      </c>
      <c r="M4822" t="s">
        <v>42635</v>
      </c>
      <c r="N4822" t="s">
        <v>44905</v>
      </c>
      <c r="O4822" t="s">
        <v>44906</v>
      </c>
      <c r="P4822">
        <v>0</v>
      </c>
      <c r="Q4822">
        <v>0</v>
      </c>
      <c r="R4822" t="s">
        <v>44908</v>
      </c>
      <c r="S4822" t="s">
        <v>45042</v>
      </c>
      <c r="T4822" t="s">
        <v>46511</v>
      </c>
      <c r="U4822" t="s">
        <v>48635</v>
      </c>
      <c r="W4822" t="s">
        <v>42635</v>
      </c>
      <c r="X4822" t="s">
        <v>44909</v>
      </c>
    </row>
    <row r="4823" spans="1:24">
      <c r="A4823">
        <f>HYPERLINK("https://www.philgeps.gov.ph/GEPSNONPILOT/Tender/SplashBidNoticeAbstractUI.aspx?menuIndex=3&amp;refID=7081595&amp;Result=3","7081595")</f>
        <v>0</v>
      </c>
      <c r="B4823" t="s">
        <v>293</v>
      </c>
      <c r="C4823" t="s">
        <v>8142</v>
      </c>
      <c r="D4823" t="s">
        <v>18108</v>
      </c>
      <c r="E4823" t="s">
        <v>22503</v>
      </c>
      <c r="F4823" t="s">
        <v>31362</v>
      </c>
      <c r="G4823" t="s">
        <v>31368</v>
      </c>
      <c r="H4823" t="s">
        <v>15799</v>
      </c>
      <c r="I4823" t="s">
        <v>31466</v>
      </c>
      <c r="J4823" t="s">
        <v>33890</v>
      </c>
      <c r="K4823" t="s">
        <v>40661</v>
      </c>
      <c r="M4823" t="s">
        <v>41236</v>
      </c>
      <c r="N4823" t="s">
        <v>44905</v>
      </c>
      <c r="O4823" t="s">
        <v>44906</v>
      </c>
      <c r="P4823">
        <v>0</v>
      </c>
      <c r="Q4823">
        <v>4</v>
      </c>
      <c r="R4823" t="s">
        <v>44908</v>
      </c>
      <c r="S4823" t="s">
        <v>45042</v>
      </c>
      <c r="T4823" t="s">
        <v>46454</v>
      </c>
      <c r="U4823" t="s">
        <v>50839</v>
      </c>
      <c r="W4823" t="s">
        <v>41236</v>
      </c>
      <c r="X4823" t="s">
        <v>44909</v>
      </c>
    </row>
    <row r="4824" spans="1:24">
      <c r="A4824">
        <f>HYPERLINK("https://www.philgeps.gov.ph/GEPSNONPILOT/Tender/SplashBidNoticeAbstractUI.aspx?menuIndex=3&amp;refID=7081604&amp;Result=3","7081604")</f>
        <v>0</v>
      </c>
      <c r="B4824" t="s">
        <v>1598</v>
      </c>
      <c r="C4824" t="s">
        <v>8143</v>
      </c>
      <c r="D4824" t="s">
        <v>18104</v>
      </c>
      <c r="E4824" t="s">
        <v>22504</v>
      </c>
      <c r="F4824" t="s">
        <v>31362</v>
      </c>
      <c r="G4824" t="s">
        <v>31370</v>
      </c>
      <c r="H4824" t="s">
        <v>15799</v>
      </c>
      <c r="I4824" t="s">
        <v>31390</v>
      </c>
      <c r="J4824" t="s">
        <v>34633</v>
      </c>
      <c r="K4824" t="s">
        <v>40672</v>
      </c>
      <c r="M4824" t="s">
        <v>42657</v>
      </c>
      <c r="N4824" t="s">
        <v>44905</v>
      </c>
      <c r="O4824" t="s">
        <v>44906</v>
      </c>
      <c r="P4824">
        <v>0</v>
      </c>
      <c r="Q4824">
        <v>0</v>
      </c>
      <c r="R4824" t="s">
        <v>44908</v>
      </c>
      <c r="S4824" t="s">
        <v>45042</v>
      </c>
      <c r="T4824" t="s">
        <v>46409</v>
      </c>
      <c r="U4824" t="s">
        <v>50840</v>
      </c>
      <c r="V4824" t="s">
        <v>59519</v>
      </c>
      <c r="W4824" t="s">
        <v>42657</v>
      </c>
      <c r="X4824" t="s">
        <v>44909</v>
      </c>
    </row>
    <row r="4825" spans="1:24">
      <c r="A4825">
        <f>HYPERLINK("https://www.philgeps.gov.ph/GEPSNONPILOT/Tender/SplashBidNoticeAbstractUI.aspx?menuIndex=3&amp;refID=7081628&amp;Result=3","7081628")</f>
        <v>0</v>
      </c>
      <c r="B4825" t="s">
        <v>1599</v>
      </c>
      <c r="C4825" t="s">
        <v>8144</v>
      </c>
      <c r="D4825" t="s">
        <v>18139</v>
      </c>
      <c r="E4825" t="s">
        <v>22505</v>
      </c>
      <c r="F4825" t="s">
        <v>31362</v>
      </c>
      <c r="G4825" t="s">
        <v>31370</v>
      </c>
      <c r="H4825" t="s">
        <v>15799</v>
      </c>
      <c r="I4825" t="s">
        <v>4057</v>
      </c>
      <c r="J4825" t="s">
        <v>32026</v>
      </c>
      <c r="K4825" t="s">
        <v>40672</v>
      </c>
      <c r="M4825" t="s">
        <v>42658</v>
      </c>
      <c r="N4825" t="s">
        <v>44905</v>
      </c>
      <c r="O4825" t="s">
        <v>44906</v>
      </c>
      <c r="P4825">
        <v>0</v>
      </c>
      <c r="Q4825">
        <v>3</v>
      </c>
      <c r="R4825" t="s">
        <v>44908</v>
      </c>
      <c r="S4825" t="s">
        <v>45042</v>
      </c>
      <c r="T4825" t="s">
        <v>46434</v>
      </c>
      <c r="U4825" t="s">
        <v>50841</v>
      </c>
      <c r="V4825" t="s">
        <v>59520</v>
      </c>
      <c r="W4825" t="s">
        <v>42658</v>
      </c>
      <c r="X4825" t="s">
        <v>44909</v>
      </c>
    </row>
    <row r="4826" spans="1:24">
      <c r="A4826">
        <f>HYPERLINK("https://www.philgeps.gov.ph/GEPSNONPILOT/Tender/SplashBidNoticeAbstractUI.aspx?menuIndex=3&amp;refID=7081636&amp;Result=3","7081636")</f>
        <v>0</v>
      </c>
      <c r="B4826" t="s">
        <v>1242</v>
      </c>
      <c r="C4826" t="s">
        <v>8145</v>
      </c>
      <c r="D4826" t="s">
        <v>18159</v>
      </c>
      <c r="E4826" t="s">
        <v>22506</v>
      </c>
      <c r="F4826" t="s">
        <v>31362</v>
      </c>
      <c r="G4826" t="s">
        <v>31368</v>
      </c>
      <c r="H4826" t="s">
        <v>15799</v>
      </c>
      <c r="I4826" t="s">
        <v>31385</v>
      </c>
      <c r="J4826" t="s">
        <v>34634</v>
      </c>
      <c r="K4826" t="s">
        <v>40670</v>
      </c>
      <c r="M4826" t="s">
        <v>42464</v>
      </c>
      <c r="N4826" t="s">
        <v>44905</v>
      </c>
      <c r="O4826" t="s">
        <v>44906</v>
      </c>
      <c r="P4826">
        <v>0</v>
      </c>
      <c r="Q4826">
        <v>1</v>
      </c>
      <c r="R4826" t="s">
        <v>44908</v>
      </c>
      <c r="S4826" t="s">
        <v>45042</v>
      </c>
      <c r="T4826" t="s">
        <v>46432</v>
      </c>
      <c r="U4826" t="s">
        <v>50842</v>
      </c>
      <c r="V4826" t="s">
        <v>59521</v>
      </c>
      <c r="W4826" t="s">
        <v>42464</v>
      </c>
      <c r="X4826" t="s">
        <v>44909</v>
      </c>
    </row>
    <row r="4827" spans="1:24">
      <c r="A4827">
        <f>HYPERLINK("https://www.philgeps.gov.ph/GEPSNONPILOT/Tender/SplashBidNoticeAbstractUI.aspx?menuIndex=3&amp;refID=7081621&amp;Result=3","7081621")</f>
        <v>0</v>
      </c>
      <c r="B4827" t="s">
        <v>1600</v>
      </c>
      <c r="C4827" t="s">
        <v>8146</v>
      </c>
      <c r="D4827" t="s">
        <v>18108</v>
      </c>
      <c r="E4827" t="s">
        <v>22507</v>
      </c>
      <c r="F4827" t="s">
        <v>31362</v>
      </c>
      <c r="G4827" t="s">
        <v>31368</v>
      </c>
      <c r="H4827" t="s">
        <v>15799</v>
      </c>
      <c r="I4827" t="s">
        <v>31464</v>
      </c>
      <c r="J4827" t="s">
        <v>31738</v>
      </c>
      <c r="K4827" t="s">
        <v>40672</v>
      </c>
      <c r="M4827" t="s">
        <v>42659</v>
      </c>
      <c r="N4827" t="s">
        <v>44905</v>
      </c>
      <c r="O4827" t="s">
        <v>44906</v>
      </c>
      <c r="P4827">
        <v>0</v>
      </c>
      <c r="Q4827">
        <v>2</v>
      </c>
      <c r="R4827" t="s">
        <v>44908</v>
      </c>
      <c r="S4827" t="s">
        <v>45042</v>
      </c>
      <c r="T4827" t="s">
        <v>46438</v>
      </c>
      <c r="U4827" t="s">
        <v>50843</v>
      </c>
      <c r="W4827" t="s">
        <v>42659</v>
      </c>
      <c r="X4827" t="s">
        <v>44909</v>
      </c>
    </row>
    <row r="4828" spans="1:24">
      <c r="A4828">
        <f>HYPERLINK("https://www.philgeps.gov.ph/GEPSNONPILOT/Tender/SplashBidNoticeAbstractUI.aspx?menuIndex=3&amp;refID=7081635&amp;Result=3","7081635")</f>
        <v>0</v>
      </c>
      <c r="B4828" t="s">
        <v>1601</v>
      </c>
      <c r="C4828" t="s">
        <v>8147</v>
      </c>
      <c r="D4828" t="s">
        <v>18100</v>
      </c>
      <c r="E4828" t="s">
        <v>22508</v>
      </c>
      <c r="F4828" t="s">
        <v>31362</v>
      </c>
      <c r="G4828" t="s">
        <v>31369</v>
      </c>
      <c r="H4828" t="s">
        <v>31378</v>
      </c>
      <c r="I4828" t="s">
        <v>3815</v>
      </c>
      <c r="J4828" t="s">
        <v>34635</v>
      </c>
      <c r="K4828" t="s">
        <v>40693</v>
      </c>
      <c r="M4828" t="s">
        <v>42660</v>
      </c>
      <c r="N4828" t="s">
        <v>44905</v>
      </c>
      <c r="O4828" t="s">
        <v>44906</v>
      </c>
      <c r="P4828">
        <v>0</v>
      </c>
      <c r="Q4828">
        <v>0</v>
      </c>
      <c r="R4828" t="s">
        <v>44908</v>
      </c>
      <c r="S4828" t="s">
        <v>45042</v>
      </c>
      <c r="T4828" t="s">
        <v>46403</v>
      </c>
      <c r="U4828" t="s">
        <v>50844</v>
      </c>
      <c r="W4828" t="s">
        <v>42660</v>
      </c>
      <c r="X4828" t="s">
        <v>44909</v>
      </c>
    </row>
    <row r="4829" spans="1:24">
      <c r="A4829">
        <f>HYPERLINK("https://www.philgeps.gov.ph/GEPSNONPILOT/Tender/SplashBidNoticeAbstractUI.aspx?menuIndex=3&amp;refID=7081619&amp;Result=3","7081619")</f>
        <v>0</v>
      </c>
      <c r="B4829" t="s">
        <v>1602</v>
      </c>
      <c r="C4829" t="s">
        <v>8148</v>
      </c>
      <c r="D4829" t="s">
        <v>18123</v>
      </c>
      <c r="E4829" t="s">
        <v>22509</v>
      </c>
      <c r="F4829" t="s">
        <v>31362</v>
      </c>
      <c r="G4829" t="s">
        <v>31370</v>
      </c>
      <c r="H4829" t="s">
        <v>31378</v>
      </c>
      <c r="I4829" t="s">
        <v>3815</v>
      </c>
      <c r="J4829" t="s">
        <v>34636</v>
      </c>
      <c r="K4829" t="s">
        <v>40662</v>
      </c>
      <c r="M4829" t="s">
        <v>42661</v>
      </c>
      <c r="N4829" t="s">
        <v>44905</v>
      </c>
      <c r="O4829" t="s">
        <v>44906</v>
      </c>
      <c r="P4829">
        <v>0</v>
      </c>
      <c r="Q4829">
        <v>0</v>
      </c>
      <c r="R4829" t="s">
        <v>44908</v>
      </c>
      <c r="S4829" t="s">
        <v>45042</v>
      </c>
      <c r="T4829" t="s">
        <v>46443</v>
      </c>
      <c r="U4829" t="s">
        <v>50845</v>
      </c>
      <c r="W4829" t="s">
        <v>42661</v>
      </c>
      <c r="X4829" t="s">
        <v>44909</v>
      </c>
    </row>
    <row r="4830" spans="1:24">
      <c r="A4830">
        <f>HYPERLINK("https://www.philgeps.gov.ph/GEPSNONPILOT/Tender/SplashBidNoticeAbstractUI.aspx?menuIndex=3&amp;refID=7081637&amp;Result=3","7081637")</f>
        <v>0</v>
      </c>
      <c r="B4830" t="s">
        <v>1603</v>
      </c>
      <c r="C4830" t="s">
        <v>8149</v>
      </c>
      <c r="D4830" t="s">
        <v>18111</v>
      </c>
      <c r="E4830" t="s">
        <v>22510</v>
      </c>
      <c r="F4830" t="s">
        <v>31362</v>
      </c>
      <c r="G4830" t="s">
        <v>31370</v>
      </c>
      <c r="H4830" t="s">
        <v>15799</v>
      </c>
      <c r="I4830" t="s">
        <v>3815</v>
      </c>
      <c r="J4830" t="s">
        <v>34637</v>
      </c>
      <c r="K4830" t="s">
        <v>40693</v>
      </c>
      <c r="M4830" t="s">
        <v>42662</v>
      </c>
      <c r="N4830" t="s">
        <v>44905</v>
      </c>
      <c r="O4830" t="s">
        <v>44906</v>
      </c>
      <c r="P4830">
        <v>0</v>
      </c>
      <c r="Q4830">
        <v>1</v>
      </c>
      <c r="R4830" t="s">
        <v>44908</v>
      </c>
      <c r="S4830" t="s">
        <v>45042</v>
      </c>
      <c r="T4830" t="s">
        <v>46408</v>
      </c>
      <c r="U4830" t="s">
        <v>50846</v>
      </c>
      <c r="W4830" t="s">
        <v>42662</v>
      </c>
      <c r="X4830" t="s">
        <v>44909</v>
      </c>
    </row>
    <row r="4831" spans="1:24">
      <c r="A4831">
        <f>HYPERLINK("https://www.philgeps.gov.ph/GEPSNONPILOT/Tender/SplashBidNoticeAbstractUI.aspx?menuIndex=3&amp;refID=7081660&amp;Result=3","7081660")</f>
        <v>0</v>
      </c>
      <c r="B4831" t="s">
        <v>1604</v>
      </c>
      <c r="C4831" t="s">
        <v>8150</v>
      </c>
      <c r="D4831" t="s">
        <v>18123</v>
      </c>
      <c r="E4831" t="s">
        <v>22511</v>
      </c>
      <c r="F4831" t="s">
        <v>31362</v>
      </c>
      <c r="G4831" t="s">
        <v>31369</v>
      </c>
      <c r="H4831" t="s">
        <v>31378</v>
      </c>
      <c r="I4831" t="s">
        <v>3815</v>
      </c>
      <c r="J4831" t="s">
        <v>34638</v>
      </c>
      <c r="K4831" t="s">
        <v>40662</v>
      </c>
      <c r="M4831" t="s">
        <v>42663</v>
      </c>
      <c r="N4831" t="s">
        <v>44905</v>
      </c>
      <c r="O4831" t="s">
        <v>44906</v>
      </c>
      <c r="P4831">
        <v>0</v>
      </c>
      <c r="Q4831">
        <v>0</v>
      </c>
      <c r="R4831" t="s">
        <v>44908</v>
      </c>
      <c r="S4831" t="s">
        <v>45042</v>
      </c>
      <c r="T4831" t="s">
        <v>46463</v>
      </c>
      <c r="U4831" t="s">
        <v>50847</v>
      </c>
      <c r="W4831" t="s">
        <v>42663</v>
      </c>
      <c r="X4831" t="s">
        <v>44909</v>
      </c>
    </row>
    <row r="4832" spans="1:24">
      <c r="A4832">
        <f>HYPERLINK("https://www.philgeps.gov.ph/GEPSNONPILOT/Tender/SplashBidNoticeAbstractUI.aspx?menuIndex=3&amp;refID=7081627&amp;Result=3","7081627")</f>
        <v>0</v>
      </c>
      <c r="B4832" t="s">
        <v>1600</v>
      </c>
      <c r="C4832" t="s">
        <v>8151</v>
      </c>
      <c r="D4832" t="s">
        <v>18108</v>
      </c>
      <c r="E4832" t="s">
        <v>22512</v>
      </c>
      <c r="F4832" t="s">
        <v>31362</v>
      </c>
      <c r="G4832" t="s">
        <v>31368</v>
      </c>
      <c r="H4832" t="s">
        <v>15799</v>
      </c>
      <c r="I4832" t="s">
        <v>6155</v>
      </c>
      <c r="J4832" t="s">
        <v>31724</v>
      </c>
      <c r="K4832" t="s">
        <v>40666</v>
      </c>
      <c r="M4832" t="s">
        <v>42659</v>
      </c>
      <c r="N4832" t="s">
        <v>44905</v>
      </c>
      <c r="O4832" t="s">
        <v>44906</v>
      </c>
      <c r="P4832">
        <v>0</v>
      </c>
      <c r="Q4832">
        <v>12</v>
      </c>
      <c r="R4832" t="s">
        <v>44908</v>
      </c>
      <c r="S4832" t="s">
        <v>45042</v>
      </c>
      <c r="T4832" t="s">
        <v>46438</v>
      </c>
      <c r="U4832" t="s">
        <v>50848</v>
      </c>
      <c r="W4832" t="s">
        <v>42659</v>
      </c>
      <c r="X4832" t="s">
        <v>44909</v>
      </c>
    </row>
    <row r="4833" spans="1:24">
      <c r="A4833">
        <f>HYPERLINK("https://www.philgeps.gov.ph/GEPSNONPILOT/Tender/SplashBidNoticeAbstractUI.aspx?menuIndex=3&amp;refID=7081658&amp;Result=3","7081658")</f>
        <v>0</v>
      </c>
      <c r="B4833" t="s">
        <v>1605</v>
      </c>
      <c r="C4833" t="s">
        <v>8152</v>
      </c>
      <c r="D4833" t="s">
        <v>18135</v>
      </c>
      <c r="E4833" t="s">
        <v>18479</v>
      </c>
      <c r="F4833" t="s">
        <v>31362</v>
      </c>
      <c r="G4833" t="s">
        <v>31368</v>
      </c>
      <c r="H4833" t="s">
        <v>15799</v>
      </c>
      <c r="I4833" t="s">
        <v>3815</v>
      </c>
      <c r="J4833" t="s">
        <v>31921</v>
      </c>
      <c r="K4833" t="s">
        <v>40670</v>
      </c>
      <c r="M4833" t="s">
        <v>42664</v>
      </c>
      <c r="N4833" t="s">
        <v>44905</v>
      </c>
      <c r="O4833" t="s">
        <v>44906</v>
      </c>
      <c r="P4833">
        <v>0</v>
      </c>
      <c r="Q4833">
        <v>0</v>
      </c>
      <c r="R4833" t="s">
        <v>44908</v>
      </c>
      <c r="S4833" t="s">
        <v>45042</v>
      </c>
      <c r="T4833" t="s">
        <v>46443</v>
      </c>
      <c r="U4833" t="s">
        <v>50849</v>
      </c>
      <c r="W4833" t="s">
        <v>42664</v>
      </c>
      <c r="X4833" t="s">
        <v>44909</v>
      </c>
    </row>
    <row r="4834" spans="1:24">
      <c r="A4834">
        <f>HYPERLINK("https://www.philgeps.gov.ph/GEPSNONPILOT/Tender/SplashBidNoticeAbstractUI.aspx?menuIndex=3&amp;refID=7081655&amp;Result=3","7081655")</f>
        <v>0</v>
      </c>
      <c r="B4834" t="s">
        <v>939</v>
      </c>
      <c r="C4834" t="s">
        <v>8153</v>
      </c>
      <c r="D4834" t="s">
        <v>18106</v>
      </c>
      <c r="E4834" t="s">
        <v>19255</v>
      </c>
      <c r="F4834" t="s">
        <v>31362</v>
      </c>
      <c r="G4834" t="s">
        <v>31369</v>
      </c>
      <c r="H4834" t="s">
        <v>31378</v>
      </c>
      <c r="I4834" t="s">
        <v>31386</v>
      </c>
      <c r="J4834" t="s">
        <v>34639</v>
      </c>
      <c r="K4834" t="s">
        <v>40677</v>
      </c>
      <c r="M4834" t="s">
        <v>41926</v>
      </c>
      <c r="N4834" t="s">
        <v>44905</v>
      </c>
      <c r="O4834" t="s">
        <v>44906</v>
      </c>
      <c r="P4834">
        <v>0</v>
      </c>
      <c r="Q4834">
        <v>0</v>
      </c>
      <c r="R4834" t="s">
        <v>44908</v>
      </c>
      <c r="S4834" t="s">
        <v>45042</v>
      </c>
      <c r="T4834" t="s">
        <v>46471</v>
      </c>
      <c r="U4834" t="s">
        <v>50850</v>
      </c>
      <c r="V4834" t="s">
        <v>59522</v>
      </c>
      <c r="W4834" t="s">
        <v>41926</v>
      </c>
      <c r="X4834" t="s">
        <v>44909</v>
      </c>
    </row>
    <row r="4835" spans="1:24">
      <c r="A4835">
        <f>HYPERLINK("https://www.philgeps.gov.ph/GEPSNONPILOT/Tender/SplashBidNoticeAbstractUI.aspx?menuIndex=3&amp;refID=7081654&amp;Result=3","7081654")</f>
        <v>0</v>
      </c>
      <c r="B4835" t="s">
        <v>121</v>
      </c>
      <c r="C4835" t="s">
        <v>8154</v>
      </c>
      <c r="D4835" t="s">
        <v>18144</v>
      </c>
      <c r="E4835" t="s">
        <v>22513</v>
      </c>
      <c r="F4835" t="s">
        <v>31362</v>
      </c>
      <c r="G4835" t="s">
        <v>31369</v>
      </c>
      <c r="H4835" t="s">
        <v>31378</v>
      </c>
      <c r="I4835" t="s">
        <v>31386</v>
      </c>
      <c r="J4835" t="s">
        <v>34640</v>
      </c>
      <c r="K4835" t="s">
        <v>40756</v>
      </c>
      <c r="M4835" t="s">
        <v>41058</v>
      </c>
      <c r="N4835" t="s">
        <v>44905</v>
      </c>
      <c r="O4835" t="s">
        <v>44906</v>
      </c>
      <c r="P4835">
        <v>0</v>
      </c>
      <c r="Q4835">
        <v>0</v>
      </c>
      <c r="R4835" t="s">
        <v>44908</v>
      </c>
      <c r="S4835" t="s">
        <v>45042</v>
      </c>
      <c r="T4835" t="s">
        <v>46433</v>
      </c>
      <c r="U4835" t="s">
        <v>50851</v>
      </c>
      <c r="W4835" t="s">
        <v>41058</v>
      </c>
      <c r="X4835" t="s">
        <v>44909</v>
      </c>
    </row>
    <row r="4836" spans="1:24">
      <c r="A4836">
        <f>HYPERLINK("https://www.philgeps.gov.ph/GEPSNONPILOT/Tender/SplashBidNoticeAbstractUI.aspx?menuIndex=3&amp;refID=7081653&amp;Result=3","7081653")</f>
        <v>0</v>
      </c>
      <c r="B4836" t="s">
        <v>1519</v>
      </c>
      <c r="C4836" t="s">
        <v>8155</v>
      </c>
      <c r="D4836" t="s">
        <v>18108</v>
      </c>
      <c r="E4836" t="s">
        <v>22514</v>
      </c>
      <c r="F4836" t="s">
        <v>31362</v>
      </c>
      <c r="G4836" t="s">
        <v>31369</v>
      </c>
      <c r="H4836" t="s">
        <v>31378</v>
      </c>
      <c r="I4836" t="s">
        <v>31386</v>
      </c>
      <c r="J4836" t="s">
        <v>34641</v>
      </c>
      <c r="K4836" t="s">
        <v>40682</v>
      </c>
      <c r="M4836" t="s">
        <v>42656</v>
      </c>
      <c r="N4836" t="s">
        <v>44905</v>
      </c>
      <c r="O4836" t="s">
        <v>44906</v>
      </c>
      <c r="P4836">
        <v>0</v>
      </c>
      <c r="Q4836">
        <v>3</v>
      </c>
      <c r="R4836" t="s">
        <v>44908</v>
      </c>
      <c r="S4836" t="s">
        <v>45042</v>
      </c>
      <c r="T4836" t="s">
        <v>46433</v>
      </c>
      <c r="U4836" t="s">
        <v>50837</v>
      </c>
      <c r="W4836" t="s">
        <v>42656</v>
      </c>
      <c r="X4836" t="s">
        <v>44909</v>
      </c>
    </row>
    <row r="4837" spans="1:24">
      <c r="A4837">
        <f>HYPERLINK("https://www.philgeps.gov.ph/GEPSNONPILOT/Tender/SplashBidNoticeAbstractUI.aspx?menuIndex=3&amp;refID=7081630&amp;Result=3","7081630")</f>
        <v>0</v>
      </c>
      <c r="B4837" t="s">
        <v>1606</v>
      </c>
      <c r="C4837" t="s">
        <v>8156</v>
      </c>
      <c r="D4837" t="s">
        <v>18100</v>
      </c>
      <c r="E4837" t="s">
        <v>22515</v>
      </c>
      <c r="F4837" t="s">
        <v>31362</v>
      </c>
      <c r="G4837" t="s">
        <v>31368</v>
      </c>
      <c r="H4837" t="s">
        <v>15799</v>
      </c>
      <c r="I4837" t="s">
        <v>31383</v>
      </c>
      <c r="J4837" t="s">
        <v>32143</v>
      </c>
      <c r="K4837" t="s">
        <v>40693</v>
      </c>
      <c r="M4837" t="s">
        <v>42665</v>
      </c>
      <c r="N4837" t="s">
        <v>44905</v>
      </c>
      <c r="O4837" t="s">
        <v>44906</v>
      </c>
      <c r="P4837">
        <v>0</v>
      </c>
      <c r="Q4837">
        <v>0</v>
      </c>
      <c r="R4837" t="s">
        <v>44908</v>
      </c>
      <c r="S4837" t="s">
        <v>45042</v>
      </c>
      <c r="T4837" t="s">
        <v>46432</v>
      </c>
      <c r="U4837" t="s">
        <v>50852</v>
      </c>
      <c r="V4837" t="s">
        <v>59523</v>
      </c>
      <c r="W4837" t="s">
        <v>42665</v>
      </c>
      <c r="X4837" t="s">
        <v>44909</v>
      </c>
    </row>
    <row r="4838" spans="1:24">
      <c r="A4838">
        <f>HYPERLINK("https://www.philgeps.gov.ph/GEPSNONPILOT/Tender/SplashBidNoticeAbstractUI.aspx?menuIndex=3&amp;refID=7081652&amp;Result=3","7081652")</f>
        <v>0</v>
      </c>
      <c r="B4838" t="s">
        <v>1603</v>
      </c>
      <c r="C4838" t="s">
        <v>6613</v>
      </c>
      <c r="D4838" t="s">
        <v>18111</v>
      </c>
      <c r="E4838" t="s">
        <v>22516</v>
      </c>
      <c r="F4838" t="s">
        <v>31362</v>
      </c>
      <c r="G4838" t="s">
        <v>31370</v>
      </c>
      <c r="H4838" t="s">
        <v>15799</v>
      </c>
      <c r="I4838" t="s">
        <v>6373</v>
      </c>
      <c r="J4838" t="s">
        <v>34642</v>
      </c>
      <c r="K4838" t="s">
        <v>40693</v>
      </c>
      <c r="M4838" t="s">
        <v>42662</v>
      </c>
      <c r="N4838" t="s">
        <v>44905</v>
      </c>
      <c r="O4838" t="s">
        <v>44906</v>
      </c>
      <c r="P4838">
        <v>0</v>
      </c>
      <c r="Q4838">
        <v>1</v>
      </c>
      <c r="R4838" t="s">
        <v>44908</v>
      </c>
      <c r="S4838" t="s">
        <v>45042</v>
      </c>
      <c r="T4838" t="s">
        <v>46408</v>
      </c>
      <c r="U4838" t="s">
        <v>50853</v>
      </c>
      <c r="W4838" t="s">
        <v>42662</v>
      </c>
      <c r="X4838" t="s">
        <v>44909</v>
      </c>
    </row>
    <row r="4839" spans="1:24">
      <c r="A4839">
        <f>HYPERLINK("https://www.philgeps.gov.ph/GEPSNONPILOT/Tender/SplashBidNoticeAbstractUI.aspx?menuIndex=3&amp;refID=7081651&amp;Result=3","7081651")</f>
        <v>0</v>
      </c>
      <c r="B4839" t="s">
        <v>1607</v>
      </c>
      <c r="C4839" t="s">
        <v>8157</v>
      </c>
      <c r="D4839" t="s">
        <v>18123</v>
      </c>
      <c r="E4839" t="s">
        <v>22517</v>
      </c>
      <c r="F4839" t="s">
        <v>31362</v>
      </c>
      <c r="G4839" t="s">
        <v>31369</v>
      </c>
      <c r="H4839" t="s">
        <v>31378</v>
      </c>
      <c r="I4839" t="s">
        <v>31440</v>
      </c>
      <c r="J4839" t="s">
        <v>32105</v>
      </c>
      <c r="K4839" t="s">
        <v>40662</v>
      </c>
      <c r="M4839" t="s">
        <v>42666</v>
      </c>
      <c r="N4839" t="s">
        <v>44905</v>
      </c>
      <c r="O4839" t="s">
        <v>44906</v>
      </c>
      <c r="P4839">
        <v>0</v>
      </c>
      <c r="Q4839">
        <v>0</v>
      </c>
      <c r="R4839" t="s">
        <v>44908</v>
      </c>
      <c r="S4839" t="s">
        <v>45042</v>
      </c>
      <c r="T4839" t="s">
        <v>46463</v>
      </c>
      <c r="U4839" t="s">
        <v>50854</v>
      </c>
      <c r="W4839" t="s">
        <v>42666</v>
      </c>
      <c r="X4839" t="s">
        <v>44909</v>
      </c>
    </row>
    <row r="4840" spans="1:24">
      <c r="A4840">
        <f>HYPERLINK("https://www.philgeps.gov.ph/GEPSNONPILOT/Tender/SplashBidNoticeAbstractUI.aspx?menuIndex=3&amp;refID=7081659&amp;Result=3","7081659")</f>
        <v>0</v>
      </c>
      <c r="B4840" t="s">
        <v>974</v>
      </c>
      <c r="C4840" t="s">
        <v>8158</v>
      </c>
      <c r="D4840" t="s">
        <v>18134</v>
      </c>
      <c r="E4840" t="s">
        <v>22518</v>
      </c>
      <c r="F4840" t="s">
        <v>31362</v>
      </c>
      <c r="G4840" t="s">
        <v>31369</v>
      </c>
      <c r="H4840" t="s">
        <v>15799</v>
      </c>
      <c r="I4840" t="s">
        <v>4283</v>
      </c>
      <c r="J4840" t="s">
        <v>34643</v>
      </c>
      <c r="K4840" t="s">
        <v>40666</v>
      </c>
      <c r="M4840" t="s">
        <v>41964</v>
      </c>
      <c r="N4840" t="s">
        <v>44905</v>
      </c>
      <c r="O4840" t="s">
        <v>44906</v>
      </c>
      <c r="P4840">
        <v>0</v>
      </c>
      <c r="Q4840">
        <v>2</v>
      </c>
      <c r="R4840" t="s">
        <v>44908</v>
      </c>
      <c r="S4840" t="s">
        <v>45042</v>
      </c>
      <c r="T4840" t="s">
        <v>46562</v>
      </c>
      <c r="U4840" t="s">
        <v>50855</v>
      </c>
      <c r="W4840" t="s">
        <v>41964</v>
      </c>
      <c r="X4840" t="s">
        <v>44909</v>
      </c>
    </row>
    <row r="4841" spans="1:24">
      <c r="A4841">
        <f>HYPERLINK("https://www.philgeps.gov.ph/GEPSNONPILOT/Tender/SplashBidNoticeAbstractUI.aspx?menuIndex=3&amp;refID=7081648&amp;Result=3","7081648")</f>
        <v>0</v>
      </c>
      <c r="B4841" t="s">
        <v>1603</v>
      </c>
      <c r="C4841" t="s">
        <v>6613</v>
      </c>
      <c r="D4841" t="s">
        <v>18111</v>
      </c>
      <c r="E4841" t="s">
        <v>22519</v>
      </c>
      <c r="F4841" t="s">
        <v>31362</v>
      </c>
      <c r="G4841" t="s">
        <v>31370</v>
      </c>
      <c r="H4841" t="s">
        <v>15799</v>
      </c>
      <c r="I4841" t="s">
        <v>6373</v>
      </c>
      <c r="J4841" t="s">
        <v>34644</v>
      </c>
      <c r="K4841" t="s">
        <v>40693</v>
      </c>
      <c r="M4841" t="s">
        <v>42662</v>
      </c>
      <c r="N4841" t="s">
        <v>44905</v>
      </c>
      <c r="O4841" t="s">
        <v>44906</v>
      </c>
      <c r="P4841">
        <v>0</v>
      </c>
      <c r="Q4841">
        <v>1</v>
      </c>
      <c r="R4841" t="s">
        <v>44908</v>
      </c>
      <c r="S4841" t="s">
        <v>45042</v>
      </c>
      <c r="T4841" t="s">
        <v>46408</v>
      </c>
      <c r="U4841" t="s">
        <v>50856</v>
      </c>
      <c r="W4841" t="s">
        <v>42662</v>
      </c>
      <c r="X4841" t="s">
        <v>44909</v>
      </c>
    </row>
    <row r="4842" spans="1:24">
      <c r="A4842">
        <f>HYPERLINK("https://www.philgeps.gov.ph/GEPSNONPILOT/Tender/SplashBidNoticeAbstractUI.aspx?menuIndex=3&amp;refID=7081647&amp;Result=3","7081647")</f>
        <v>0</v>
      </c>
      <c r="B4842" t="s">
        <v>1608</v>
      </c>
      <c r="C4842" t="s">
        <v>8159</v>
      </c>
      <c r="D4842" t="s">
        <v>18104</v>
      </c>
      <c r="E4842" t="s">
        <v>18203</v>
      </c>
      <c r="F4842" t="s">
        <v>31362</v>
      </c>
      <c r="G4842" t="s">
        <v>31370</v>
      </c>
      <c r="H4842" t="s">
        <v>15799</v>
      </c>
      <c r="I4842" t="s">
        <v>31390</v>
      </c>
      <c r="J4842" t="s">
        <v>34645</v>
      </c>
      <c r="K4842" t="s">
        <v>40697</v>
      </c>
      <c r="M4842" t="s">
        <v>42667</v>
      </c>
      <c r="N4842" t="s">
        <v>44905</v>
      </c>
      <c r="O4842" t="s">
        <v>44906</v>
      </c>
      <c r="P4842">
        <v>0</v>
      </c>
      <c r="Q4842">
        <v>0</v>
      </c>
      <c r="R4842" t="s">
        <v>44908</v>
      </c>
      <c r="S4842" t="s">
        <v>45042</v>
      </c>
      <c r="T4842" t="s">
        <v>46443</v>
      </c>
      <c r="U4842" t="s">
        <v>50857</v>
      </c>
      <c r="V4842" t="s">
        <v>59524</v>
      </c>
      <c r="W4842" t="s">
        <v>42667</v>
      </c>
      <c r="X4842" t="s">
        <v>44909</v>
      </c>
    </row>
    <row r="4843" spans="1:24">
      <c r="A4843">
        <f>HYPERLINK("https://www.philgeps.gov.ph/GEPSNONPILOT/Tender/SplashBidNoticeAbstractUI.aspx?menuIndex=3&amp;refID=7081678&amp;Result=3","7081678")</f>
        <v>0</v>
      </c>
      <c r="B4843" t="s">
        <v>1150</v>
      </c>
      <c r="C4843" t="s">
        <v>8160</v>
      </c>
      <c r="E4843" t="s">
        <v>22520</v>
      </c>
      <c r="F4843" t="s">
        <v>31362</v>
      </c>
      <c r="G4843" t="s">
        <v>31369</v>
      </c>
      <c r="H4843" t="s">
        <v>31378</v>
      </c>
      <c r="I4843" t="s">
        <v>31386</v>
      </c>
      <c r="J4843" t="s">
        <v>34646</v>
      </c>
      <c r="K4843" t="s">
        <v>40662</v>
      </c>
      <c r="M4843" t="s">
        <v>42159</v>
      </c>
      <c r="N4843" t="s">
        <v>44905</v>
      </c>
      <c r="O4843" t="s">
        <v>44906</v>
      </c>
      <c r="P4843">
        <v>0</v>
      </c>
      <c r="Q4843">
        <v>0</v>
      </c>
      <c r="R4843" t="s">
        <v>44908</v>
      </c>
      <c r="S4843" t="s">
        <v>45042</v>
      </c>
      <c r="T4843" t="s">
        <v>46436</v>
      </c>
      <c r="U4843" t="s">
        <v>50858</v>
      </c>
      <c r="W4843" t="s">
        <v>42159</v>
      </c>
      <c r="X4843" t="s">
        <v>44909</v>
      </c>
    </row>
    <row r="4844" spans="1:24">
      <c r="A4844">
        <f>HYPERLINK("https://www.philgeps.gov.ph/GEPSNONPILOT/Tender/SplashBidNoticeAbstractUI.aspx?menuIndex=3&amp;refID=7081631&amp;Result=3","7081631")</f>
        <v>0</v>
      </c>
      <c r="B4844" t="s">
        <v>1609</v>
      </c>
      <c r="C4844" t="s">
        <v>8161</v>
      </c>
      <c r="D4844" t="s">
        <v>18101</v>
      </c>
      <c r="E4844" t="s">
        <v>18466</v>
      </c>
      <c r="F4844" t="s">
        <v>31362</v>
      </c>
      <c r="G4844" t="s">
        <v>31368</v>
      </c>
      <c r="H4844" t="s">
        <v>15799</v>
      </c>
      <c r="I4844" t="s">
        <v>4942</v>
      </c>
      <c r="J4844" t="s">
        <v>34647</v>
      </c>
      <c r="K4844" t="s">
        <v>40672</v>
      </c>
      <c r="M4844" t="s">
        <v>42668</v>
      </c>
      <c r="N4844" t="s">
        <v>44905</v>
      </c>
      <c r="O4844" t="s">
        <v>44906</v>
      </c>
      <c r="P4844">
        <v>0</v>
      </c>
      <c r="Q4844">
        <v>0</v>
      </c>
      <c r="R4844" t="s">
        <v>44908</v>
      </c>
      <c r="S4844" t="s">
        <v>45042</v>
      </c>
      <c r="T4844" t="s">
        <v>46514</v>
      </c>
      <c r="U4844" t="s">
        <v>50859</v>
      </c>
      <c r="W4844" t="s">
        <v>42668</v>
      </c>
      <c r="X4844" t="s">
        <v>44909</v>
      </c>
    </row>
    <row r="4845" spans="1:24">
      <c r="A4845">
        <f>HYPERLINK("https://www.philgeps.gov.ph/GEPSNONPILOT/Tender/SplashBidNoticeAbstractUI.aspx?menuIndex=3&amp;refID=7081684&amp;Result=3","7081684")</f>
        <v>0</v>
      </c>
      <c r="B4845" t="s">
        <v>1610</v>
      </c>
      <c r="C4845" t="s">
        <v>8162</v>
      </c>
      <c r="D4845" t="s">
        <v>18133</v>
      </c>
      <c r="E4845" t="s">
        <v>22521</v>
      </c>
      <c r="F4845" t="s">
        <v>31362</v>
      </c>
      <c r="G4845" t="s">
        <v>31369</v>
      </c>
      <c r="H4845" t="s">
        <v>31378</v>
      </c>
      <c r="I4845" t="s">
        <v>31392</v>
      </c>
      <c r="J4845" t="s">
        <v>34648</v>
      </c>
      <c r="K4845" t="s">
        <v>40701</v>
      </c>
      <c r="L4845" t="s">
        <v>1610</v>
      </c>
      <c r="M4845" t="s">
        <v>42669</v>
      </c>
      <c r="N4845" t="s">
        <v>44905</v>
      </c>
      <c r="O4845" t="s">
        <v>44906</v>
      </c>
      <c r="P4845">
        <v>0</v>
      </c>
      <c r="Q4845">
        <v>1</v>
      </c>
      <c r="R4845" t="s">
        <v>44908</v>
      </c>
      <c r="S4845" t="s">
        <v>45042</v>
      </c>
      <c r="T4845" t="s">
        <v>46652</v>
      </c>
      <c r="U4845" t="s">
        <v>50860</v>
      </c>
      <c r="W4845" t="s">
        <v>42669</v>
      </c>
      <c r="X4845" t="s">
        <v>44909</v>
      </c>
    </row>
    <row r="4846" spans="1:24">
      <c r="A4846">
        <f>HYPERLINK("https://www.philgeps.gov.ph/GEPSNONPILOT/Tender/SplashBidNoticeAbstractUI.aspx?menuIndex=3&amp;refID=7081683&amp;Result=3","7081683")</f>
        <v>0</v>
      </c>
      <c r="B4846" t="s">
        <v>1611</v>
      </c>
      <c r="C4846" t="s">
        <v>8163</v>
      </c>
      <c r="D4846" t="s">
        <v>18108</v>
      </c>
      <c r="E4846" t="s">
        <v>22522</v>
      </c>
      <c r="F4846" t="s">
        <v>31362</v>
      </c>
      <c r="G4846" t="s">
        <v>31368</v>
      </c>
      <c r="H4846" t="s">
        <v>31378</v>
      </c>
      <c r="I4846" t="s">
        <v>31386</v>
      </c>
      <c r="J4846" t="s">
        <v>31604</v>
      </c>
      <c r="K4846" t="s">
        <v>40666</v>
      </c>
      <c r="M4846" t="s">
        <v>42670</v>
      </c>
      <c r="N4846" t="s">
        <v>44905</v>
      </c>
      <c r="O4846" t="s">
        <v>44906</v>
      </c>
      <c r="P4846">
        <v>0</v>
      </c>
      <c r="Q4846">
        <v>1</v>
      </c>
      <c r="R4846" t="s">
        <v>44908</v>
      </c>
      <c r="S4846" t="s">
        <v>45042</v>
      </c>
      <c r="T4846" t="s">
        <v>46435</v>
      </c>
      <c r="U4846" t="s">
        <v>50861</v>
      </c>
      <c r="W4846" t="s">
        <v>42670</v>
      </c>
      <c r="X4846" t="s">
        <v>44909</v>
      </c>
    </row>
    <row r="4847" spans="1:24">
      <c r="A4847">
        <f>HYPERLINK("https://www.philgeps.gov.ph/GEPSNONPILOT/Tender/SplashBidNoticeAbstractUI.aspx?menuIndex=3&amp;refID=7081682&amp;Result=3","7081682")</f>
        <v>0</v>
      </c>
      <c r="B4847" t="s">
        <v>1612</v>
      </c>
      <c r="C4847" t="s">
        <v>8164</v>
      </c>
      <c r="D4847" t="s">
        <v>18111</v>
      </c>
      <c r="E4847" t="s">
        <v>11036</v>
      </c>
      <c r="F4847" t="s">
        <v>31362</v>
      </c>
      <c r="G4847" t="s">
        <v>31371</v>
      </c>
      <c r="H4847" t="s">
        <v>15799</v>
      </c>
      <c r="I4847" t="s">
        <v>6373</v>
      </c>
      <c r="J4847" t="s">
        <v>32436</v>
      </c>
      <c r="K4847" t="s">
        <v>40670</v>
      </c>
      <c r="M4847" t="s">
        <v>42671</v>
      </c>
      <c r="N4847" t="s">
        <v>44905</v>
      </c>
      <c r="O4847" t="s">
        <v>44906</v>
      </c>
      <c r="P4847">
        <v>0</v>
      </c>
      <c r="Q4847">
        <v>2</v>
      </c>
      <c r="R4847" t="s">
        <v>44908</v>
      </c>
      <c r="S4847" t="s">
        <v>45042</v>
      </c>
      <c r="T4847" t="s">
        <v>46506</v>
      </c>
      <c r="U4847" t="s">
        <v>50862</v>
      </c>
      <c r="W4847" t="s">
        <v>42671</v>
      </c>
      <c r="X4847" t="s">
        <v>44909</v>
      </c>
    </row>
    <row r="4848" spans="1:24">
      <c r="A4848">
        <f>HYPERLINK("https://www.philgeps.gov.ph/GEPSNONPILOT/Tender/SplashBidNoticeAbstractUI.aspx?menuIndex=3&amp;refID=7081680&amp;Result=3","7081680")</f>
        <v>0</v>
      </c>
      <c r="B4848" t="s">
        <v>1601</v>
      </c>
      <c r="C4848" t="s">
        <v>8165</v>
      </c>
      <c r="D4848" t="s">
        <v>18100</v>
      </c>
      <c r="E4848" t="s">
        <v>22523</v>
      </c>
      <c r="F4848" t="s">
        <v>31362</v>
      </c>
      <c r="G4848" t="s">
        <v>31369</v>
      </c>
      <c r="H4848" t="s">
        <v>31378</v>
      </c>
      <c r="I4848" t="s">
        <v>3815</v>
      </c>
      <c r="J4848" t="s">
        <v>31561</v>
      </c>
      <c r="K4848" t="s">
        <v>40693</v>
      </c>
      <c r="M4848" t="s">
        <v>42660</v>
      </c>
      <c r="N4848" t="s">
        <v>44905</v>
      </c>
      <c r="O4848" t="s">
        <v>44906</v>
      </c>
      <c r="P4848">
        <v>0</v>
      </c>
      <c r="Q4848">
        <v>0</v>
      </c>
      <c r="R4848" t="s">
        <v>44908</v>
      </c>
      <c r="S4848" t="s">
        <v>45042</v>
      </c>
      <c r="T4848" t="s">
        <v>46403</v>
      </c>
      <c r="U4848" t="s">
        <v>50863</v>
      </c>
      <c r="W4848" t="s">
        <v>42660</v>
      </c>
      <c r="X4848" t="s">
        <v>44909</v>
      </c>
    </row>
    <row r="4849" spans="1:24">
      <c r="A4849">
        <f>HYPERLINK("https://www.philgeps.gov.ph/GEPSNONPILOT/Tender/SplashBidNoticeAbstractUI.aspx?menuIndex=3&amp;refID=7081650&amp;Result=3","7081650")</f>
        <v>0</v>
      </c>
      <c r="B4849" t="s">
        <v>1519</v>
      </c>
      <c r="C4849" t="s">
        <v>8166</v>
      </c>
      <c r="D4849" t="s">
        <v>18108</v>
      </c>
      <c r="E4849" t="s">
        <v>22524</v>
      </c>
      <c r="F4849" t="s">
        <v>31362</v>
      </c>
      <c r="G4849" t="s">
        <v>31369</v>
      </c>
      <c r="H4849" t="s">
        <v>31378</v>
      </c>
      <c r="I4849" t="s">
        <v>31386</v>
      </c>
      <c r="J4849" t="s">
        <v>34649</v>
      </c>
      <c r="K4849" t="s">
        <v>40683</v>
      </c>
      <c r="M4849" t="s">
        <v>42656</v>
      </c>
      <c r="N4849" t="s">
        <v>44905</v>
      </c>
      <c r="O4849" t="s">
        <v>44906</v>
      </c>
      <c r="P4849">
        <v>0</v>
      </c>
      <c r="Q4849">
        <v>3</v>
      </c>
      <c r="R4849" t="s">
        <v>44908</v>
      </c>
      <c r="S4849" t="s">
        <v>45042</v>
      </c>
      <c r="T4849" t="s">
        <v>46433</v>
      </c>
      <c r="U4849" t="s">
        <v>50837</v>
      </c>
      <c r="W4849" t="s">
        <v>42656</v>
      </c>
      <c r="X4849" t="s">
        <v>44909</v>
      </c>
    </row>
    <row r="4850" spans="1:24">
      <c r="A4850">
        <f>HYPERLINK("https://www.philgeps.gov.ph/GEPSNONPILOT/Tender/SplashBidNoticeAbstractUI.aspx?menuIndex=3&amp;refID=7081625&amp;Result=3","7081625")</f>
        <v>0</v>
      </c>
      <c r="B4850" t="s">
        <v>1010</v>
      </c>
      <c r="C4850" t="s">
        <v>8167</v>
      </c>
      <c r="D4850" t="s">
        <v>18147</v>
      </c>
      <c r="E4850" t="s">
        <v>22525</v>
      </c>
      <c r="F4850" t="s">
        <v>31362</v>
      </c>
      <c r="G4850" t="s">
        <v>31369</v>
      </c>
      <c r="H4850" t="s">
        <v>15799</v>
      </c>
      <c r="I4850" t="s">
        <v>31429</v>
      </c>
      <c r="J4850" t="s">
        <v>34650</v>
      </c>
      <c r="K4850" t="s">
        <v>40665</v>
      </c>
      <c r="L4850" t="s">
        <v>1010</v>
      </c>
      <c r="M4850" t="s">
        <v>42007</v>
      </c>
      <c r="N4850" t="s">
        <v>44905</v>
      </c>
      <c r="O4850" t="s">
        <v>44906</v>
      </c>
      <c r="P4850">
        <v>0</v>
      </c>
      <c r="Q4850">
        <v>4</v>
      </c>
      <c r="R4850" t="s">
        <v>44908</v>
      </c>
      <c r="S4850" t="s">
        <v>45042</v>
      </c>
      <c r="T4850" t="s">
        <v>46433</v>
      </c>
      <c r="U4850" t="s">
        <v>50864</v>
      </c>
      <c r="W4850" t="s">
        <v>42007</v>
      </c>
      <c r="X4850" t="s">
        <v>44909</v>
      </c>
    </row>
    <row r="4851" spans="1:24">
      <c r="A4851">
        <f>HYPERLINK("https://www.philgeps.gov.ph/GEPSNONPILOT/Tender/SplashBidNoticeAbstractUI.aspx?menuIndex=3&amp;refID=7081646&amp;Result=3","7081646")</f>
        <v>0</v>
      </c>
      <c r="B4851" t="s">
        <v>1045</v>
      </c>
      <c r="C4851" t="s">
        <v>8168</v>
      </c>
      <c r="D4851" t="s">
        <v>18134</v>
      </c>
      <c r="E4851" t="s">
        <v>22526</v>
      </c>
      <c r="F4851" t="s">
        <v>31362</v>
      </c>
      <c r="G4851" t="s">
        <v>31368</v>
      </c>
      <c r="H4851" t="s">
        <v>15799</v>
      </c>
      <c r="I4851" t="s">
        <v>3582</v>
      </c>
      <c r="J4851" t="s">
        <v>31577</v>
      </c>
      <c r="K4851" t="s">
        <v>40672</v>
      </c>
      <c r="M4851" t="s">
        <v>42044</v>
      </c>
      <c r="N4851" t="s">
        <v>44905</v>
      </c>
      <c r="O4851" t="s">
        <v>44906</v>
      </c>
      <c r="P4851">
        <v>0</v>
      </c>
      <c r="Q4851">
        <v>0</v>
      </c>
      <c r="R4851" t="s">
        <v>44908</v>
      </c>
      <c r="S4851" t="s">
        <v>45042</v>
      </c>
      <c r="T4851" t="s">
        <v>46393</v>
      </c>
      <c r="U4851" t="s">
        <v>50865</v>
      </c>
      <c r="W4851" t="s">
        <v>42044</v>
      </c>
      <c r="X4851" t="s">
        <v>44909</v>
      </c>
    </row>
    <row r="4852" spans="1:24">
      <c r="A4852">
        <f>HYPERLINK("https://www.philgeps.gov.ph/GEPSNONPILOT/Tender/SplashBidNoticeAbstractUI.aspx?menuIndex=3&amp;refID=7081676&amp;Result=3","7081676")</f>
        <v>0</v>
      </c>
      <c r="B4852" t="s">
        <v>1613</v>
      </c>
      <c r="C4852" t="s">
        <v>8169</v>
      </c>
      <c r="D4852" t="s">
        <v>18111</v>
      </c>
      <c r="E4852" t="s">
        <v>22527</v>
      </c>
      <c r="F4852" t="s">
        <v>31362</v>
      </c>
      <c r="G4852" t="s">
        <v>31371</v>
      </c>
      <c r="H4852" t="s">
        <v>15799</v>
      </c>
      <c r="I4852" t="s">
        <v>31406</v>
      </c>
      <c r="J4852" t="s">
        <v>34651</v>
      </c>
      <c r="K4852" t="s">
        <v>40697</v>
      </c>
      <c r="M4852" t="s">
        <v>42672</v>
      </c>
      <c r="N4852" t="s">
        <v>44905</v>
      </c>
      <c r="O4852" t="s">
        <v>44906</v>
      </c>
      <c r="P4852">
        <v>0</v>
      </c>
      <c r="Q4852">
        <v>2</v>
      </c>
      <c r="R4852" t="s">
        <v>44908</v>
      </c>
      <c r="S4852" t="s">
        <v>45042</v>
      </c>
      <c r="T4852" t="s">
        <v>46443</v>
      </c>
      <c r="U4852" t="s">
        <v>50862</v>
      </c>
      <c r="W4852" t="s">
        <v>42672</v>
      </c>
      <c r="X4852" t="s">
        <v>44909</v>
      </c>
    </row>
    <row r="4853" spans="1:24">
      <c r="A4853">
        <f>HYPERLINK("https://www.philgeps.gov.ph/GEPSNONPILOT/Tender/SplashBidNoticeAbstractUI.aspx?menuIndex=3&amp;refID=7081675&amp;Result=3","7081675")</f>
        <v>0</v>
      </c>
      <c r="B4853" t="s">
        <v>1610</v>
      </c>
      <c r="C4853" t="s">
        <v>8170</v>
      </c>
      <c r="D4853" t="s">
        <v>18133</v>
      </c>
      <c r="E4853" t="s">
        <v>22528</v>
      </c>
      <c r="F4853" t="s">
        <v>31362</v>
      </c>
      <c r="G4853" t="s">
        <v>31369</v>
      </c>
      <c r="H4853" t="s">
        <v>15799</v>
      </c>
      <c r="I4853" t="s">
        <v>31444</v>
      </c>
      <c r="J4853" t="s">
        <v>34652</v>
      </c>
      <c r="K4853" t="s">
        <v>40661</v>
      </c>
      <c r="L4853" t="s">
        <v>1610</v>
      </c>
      <c r="M4853" t="s">
        <v>42669</v>
      </c>
      <c r="N4853" t="s">
        <v>44905</v>
      </c>
      <c r="O4853" t="s">
        <v>44906</v>
      </c>
      <c r="P4853">
        <v>0</v>
      </c>
      <c r="Q4853">
        <v>2</v>
      </c>
      <c r="R4853" t="s">
        <v>44908</v>
      </c>
      <c r="S4853" t="s">
        <v>45042</v>
      </c>
      <c r="T4853" t="s">
        <v>46652</v>
      </c>
      <c r="U4853" t="s">
        <v>50866</v>
      </c>
      <c r="W4853" t="s">
        <v>42669</v>
      </c>
      <c r="X4853" t="s">
        <v>44909</v>
      </c>
    </row>
    <row r="4854" spans="1:24">
      <c r="A4854">
        <f>HYPERLINK("https://www.philgeps.gov.ph/GEPSNONPILOT/Tender/SplashBidNoticeAbstractUI.aspx?menuIndex=3&amp;refID=7081681&amp;Result=3","7081681")</f>
        <v>0</v>
      </c>
      <c r="B4854" t="s">
        <v>1150</v>
      </c>
      <c r="C4854" t="s">
        <v>8171</v>
      </c>
      <c r="E4854" t="s">
        <v>22529</v>
      </c>
      <c r="F4854" t="s">
        <v>31362</v>
      </c>
      <c r="G4854" t="s">
        <v>31369</v>
      </c>
      <c r="H4854" t="s">
        <v>31378</v>
      </c>
      <c r="I4854" t="s">
        <v>31386</v>
      </c>
      <c r="J4854" t="s">
        <v>31625</v>
      </c>
      <c r="K4854" t="s">
        <v>40662</v>
      </c>
      <c r="M4854" t="s">
        <v>42159</v>
      </c>
      <c r="N4854" t="s">
        <v>44905</v>
      </c>
      <c r="O4854" t="s">
        <v>44906</v>
      </c>
      <c r="P4854">
        <v>0</v>
      </c>
      <c r="Q4854">
        <v>0</v>
      </c>
      <c r="R4854" t="s">
        <v>44908</v>
      </c>
      <c r="S4854" t="s">
        <v>45042</v>
      </c>
      <c r="T4854" t="s">
        <v>46436</v>
      </c>
      <c r="U4854" t="s">
        <v>50858</v>
      </c>
      <c r="W4854" t="s">
        <v>42159</v>
      </c>
      <c r="X4854" t="s">
        <v>44909</v>
      </c>
    </row>
    <row r="4855" spans="1:24">
      <c r="A4855">
        <f>HYPERLINK("https://www.philgeps.gov.ph/GEPSNONPILOT/Tender/SplashBidNoticeAbstractUI.aspx?menuIndex=3&amp;refID=7081672&amp;Result=3","7081672")</f>
        <v>0</v>
      </c>
      <c r="B4855" t="s">
        <v>1614</v>
      </c>
      <c r="C4855" t="s">
        <v>8172</v>
      </c>
      <c r="D4855" t="s">
        <v>18110</v>
      </c>
      <c r="E4855" t="s">
        <v>22530</v>
      </c>
      <c r="F4855" t="s">
        <v>31362</v>
      </c>
      <c r="G4855" t="s">
        <v>31368</v>
      </c>
      <c r="H4855" t="s">
        <v>15799</v>
      </c>
      <c r="I4855" t="s">
        <v>31459</v>
      </c>
      <c r="J4855" t="s">
        <v>34653</v>
      </c>
      <c r="K4855" t="s">
        <v>40666</v>
      </c>
      <c r="M4855" t="s">
        <v>42673</v>
      </c>
      <c r="N4855" t="s">
        <v>44905</v>
      </c>
      <c r="O4855" t="s">
        <v>44906</v>
      </c>
      <c r="P4855">
        <v>0</v>
      </c>
      <c r="Q4855">
        <v>0</v>
      </c>
      <c r="R4855" t="s">
        <v>44908</v>
      </c>
      <c r="S4855" t="s">
        <v>45042</v>
      </c>
      <c r="T4855" t="s">
        <v>46400</v>
      </c>
      <c r="U4855" t="s">
        <v>50867</v>
      </c>
      <c r="W4855" t="s">
        <v>42673</v>
      </c>
      <c r="X4855" t="s">
        <v>44909</v>
      </c>
    </row>
    <row r="4856" spans="1:24">
      <c r="A4856">
        <f>HYPERLINK("https://www.philgeps.gov.ph/GEPSNONPILOT/Tender/SplashBidNoticeAbstractUI.aspx?menuIndex=3&amp;refID=7081622&amp;Result=3","7081622")</f>
        <v>0</v>
      </c>
      <c r="B4856" t="s">
        <v>853</v>
      </c>
      <c r="C4856" t="s">
        <v>8173</v>
      </c>
      <c r="D4856" t="s">
        <v>18108</v>
      </c>
      <c r="E4856" t="s">
        <v>22531</v>
      </c>
      <c r="F4856" t="s">
        <v>31362</v>
      </c>
      <c r="G4856" t="s">
        <v>31368</v>
      </c>
      <c r="H4856" t="s">
        <v>15799</v>
      </c>
      <c r="I4856" t="s">
        <v>7188</v>
      </c>
      <c r="J4856" t="s">
        <v>34654</v>
      </c>
      <c r="K4856" t="s">
        <v>40662</v>
      </c>
      <c r="M4856" t="s">
        <v>41829</v>
      </c>
      <c r="N4856" t="s">
        <v>44905</v>
      </c>
      <c r="O4856" t="s">
        <v>44906</v>
      </c>
      <c r="P4856">
        <v>0</v>
      </c>
      <c r="Q4856">
        <v>5</v>
      </c>
      <c r="R4856" t="s">
        <v>44908</v>
      </c>
      <c r="S4856" t="s">
        <v>45042</v>
      </c>
      <c r="T4856" t="s">
        <v>46447</v>
      </c>
      <c r="U4856" t="s">
        <v>50868</v>
      </c>
      <c r="W4856" t="s">
        <v>41829</v>
      </c>
      <c r="X4856" t="s">
        <v>44909</v>
      </c>
    </row>
    <row r="4857" spans="1:24">
      <c r="A4857">
        <f>HYPERLINK("https://www.philgeps.gov.ph/GEPSNONPILOT/Tender/SplashBidNoticeAbstractUI.aspx?menuIndex=3&amp;refID=7081671&amp;Result=3","7081671")</f>
        <v>0</v>
      </c>
      <c r="B4857" t="s">
        <v>960</v>
      </c>
      <c r="C4857" t="s">
        <v>8174</v>
      </c>
      <c r="D4857" t="s">
        <v>18123</v>
      </c>
      <c r="E4857" t="s">
        <v>22532</v>
      </c>
      <c r="F4857" t="s">
        <v>31362</v>
      </c>
      <c r="G4857" t="s">
        <v>31368</v>
      </c>
      <c r="H4857" t="s">
        <v>31378</v>
      </c>
      <c r="I4857" t="s">
        <v>31496</v>
      </c>
      <c r="J4857" t="s">
        <v>32249</v>
      </c>
      <c r="K4857" t="s">
        <v>40665</v>
      </c>
      <c r="M4857" t="s">
        <v>41948</v>
      </c>
      <c r="N4857" t="s">
        <v>44905</v>
      </c>
      <c r="O4857" t="s">
        <v>44906</v>
      </c>
      <c r="P4857">
        <v>0</v>
      </c>
      <c r="Q4857">
        <v>3</v>
      </c>
      <c r="R4857" t="s">
        <v>44908</v>
      </c>
      <c r="S4857" t="s">
        <v>45042</v>
      </c>
      <c r="T4857" t="s">
        <v>46412</v>
      </c>
      <c r="U4857" t="s">
        <v>50869</v>
      </c>
      <c r="W4857" t="s">
        <v>41948</v>
      </c>
      <c r="X4857" t="s">
        <v>44909</v>
      </c>
    </row>
    <row r="4858" spans="1:24">
      <c r="A4858">
        <f>HYPERLINK("https://www.philgeps.gov.ph/GEPSNONPILOT/Tender/SplashBidNoticeAbstractUI.aspx?menuIndex=3&amp;refID=7081666&amp;Result=3","7081666")</f>
        <v>0</v>
      </c>
      <c r="B4858" t="s">
        <v>1615</v>
      </c>
      <c r="C4858" t="s">
        <v>8175</v>
      </c>
      <c r="D4858" t="s">
        <v>18110</v>
      </c>
      <c r="E4858" t="s">
        <v>22533</v>
      </c>
      <c r="F4858" t="s">
        <v>31362</v>
      </c>
      <c r="G4858" t="s">
        <v>31370</v>
      </c>
      <c r="H4858" t="s">
        <v>31378</v>
      </c>
      <c r="I4858" t="s">
        <v>3815</v>
      </c>
      <c r="J4858" t="s">
        <v>32694</v>
      </c>
      <c r="K4858" t="s">
        <v>40697</v>
      </c>
      <c r="M4858" t="s">
        <v>42674</v>
      </c>
      <c r="N4858" t="s">
        <v>44905</v>
      </c>
      <c r="O4858" t="s">
        <v>44906</v>
      </c>
      <c r="P4858">
        <v>0</v>
      </c>
      <c r="Q4858">
        <v>0</v>
      </c>
      <c r="R4858" t="s">
        <v>44908</v>
      </c>
      <c r="S4858" t="s">
        <v>45042</v>
      </c>
      <c r="T4858" t="s">
        <v>46414</v>
      </c>
      <c r="U4858" t="s">
        <v>50870</v>
      </c>
      <c r="W4858" t="s">
        <v>42674</v>
      </c>
      <c r="X4858" t="s">
        <v>44909</v>
      </c>
    </row>
    <row r="4859" spans="1:24">
      <c r="A4859">
        <f>HYPERLINK("https://www.philgeps.gov.ph/GEPSNONPILOT/Tender/SplashBidNoticeAbstractUI.aspx?menuIndex=3&amp;refID=7081673&amp;Result=3","7081673")</f>
        <v>0</v>
      </c>
      <c r="B4859" t="s">
        <v>1612</v>
      </c>
      <c r="C4859" t="s">
        <v>3609</v>
      </c>
      <c r="D4859" t="s">
        <v>18111</v>
      </c>
      <c r="E4859" t="s">
        <v>10823</v>
      </c>
      <c r="F4859" t="s">
        <v>31362</v>
      </c>
      <c r="G4859" t="s">
        <v>31371</v>
      </c>
      <c r="H4859" t="s">
        <v>15799</v>
      </c>
      <c r="I4859" t="s">
        <v>31406</v>
      </c>
      <c r="J4859" t="s">
        <v>32109</v>
      </c>
      <c r="K4859" t="s">
        <v>40670</v>
      </c>
      <c r="M4859" t="s">
        <v>42671</v>
      </c>
      <c r="N4859" t="s">
        <v>44905</v>
      </c>
      <c r="O4859" t="s">
        <v>44906</v>
      </c>
      <c r="P4859">
        <v>0</v>
      </c>
      <c r="Q4859">
        <v>4</v>
      </c>
      <c r="R4859" t="s">
        <v>44908</v>
      </c>
      <c r="S4859" t="s">
        <v>45042</v>
      </c>
      <c r="T4859" t="s">
        <v>46506</v>
      </c>
      <c r="U4859" t="s">
        <v>50862</v>
      </c>
      <c r="W4859" t="s">
        <v>42671</v>
      </c>
      <c r="X4859" t="s">
        <v>44909</v>
      </c>
    </row>
    <row r="4860" spans="1:24">
      <c r="A4860">
        <f>HYPERLINK("https://www.philgeps.gov.ph/GEPSNONPILOT/Tender/SplashBidNoticeAbstractUI.aspx?menuIndex=3&amp;refID=7081670&amp;Result=3","7081670")</f>
        <v>0</v>
      </c>
      <c r="B4860" t="s">
        <v>1616</v>
      </c>
      <c r="C4860" t="s">
        <v>8176</v>
      </c>
      <c r="D4860" t="s">
        <v>18121</v>
      </c>
      <c r="E4860" t="s">
        <v>22534</v>
      </c>
      <c r="F4860" t="s">
        <v>31362</v>
      </c>
      <c r="G4860" t="s">
        <v>31369</v>
      </c>
      <c r="H4860" t="s">
        <v>15799</v>
      </c>
      <c r="I4860" t="s">
        <v>3815</v>
      </c>
      <c r="J4860" t="s">
        <v>34655</v>
      </c>
      <c r="K4860" t="s">
        <v>40666</v>
      </c>
      <c r="M4860" t="s">
        <v>42675</v>
      </c>
      <c r="N4860" t="s">
        <v>44905</v>
      </c>
      <c r="O4860" t="s">
        <v>44906</v>
      </c>
      <c r="P4860">
        <v>0</v>
      </c>
      <c r="Q4860">
        <v>1</v>
      </c>
      <c r="R4860" t="s">
        <v>44908</v>
      </c>
      <c r="S4860" t="s">
        <v>45042</v>
      </c>
      <c r="T4860" t="s">
        <v>46559</v>
      </c>
      <c r="U4860" t="s">
        <v>50871</v>
      </c>
      <c r="W4860" t="s">
        <v>42675</v>
      </c>
      <c r="X4860" t="s">
        <v>44909</v>
      </c>
    </row>
    <row r="4861" spans="1:24">
      <c r="A4861">
        <f>HYPERLINK("https://www.philgeps.gov.ph/GEPSNONPILOT/Tender/SplashBidNoticeAbstractUI.aspx?menuIndex=3&amp;refID=7081677&amp;Result=3","7081677")</f>
        <v>0</v>
      </c>
      <c r="B4861" t="s">
        <v>121</v>
      </c>
      <c r="C4861" t="s">
        <v>8177</v>
      </c>
      <c r="D4861" t="s">
        <v>18144</v>
      </c>
      <c r="E4861" t="s">
        <v>22535</v>
      </c>
      <c r="F4861" t="s">
        <v>31362</v>
      </c>
      <c r="G4861" t="s">
        <v>31369</v>
      </c>
      <c r="H4861" t="s">
        <v>31378</v>
      </c>
      <c r="I4861" t="s">
        <v>31386</v>
      </c>
      <c r="J4861" t="s">
        <v>34656</v>
      </c>
      <c r="K4861" t="s">
        <v>40730</v>
      </c>
      <c r="M4861" t="s">
        <v>41058</v>
      </c>
      <c r="N4861" t="s">
        <v>44905</v>
      </c>
      <c r="O4861" t="s">
        <v>44906</v>
      </c>
      <c r="P4861">
        <v>0</v>
      </c>
      <c r="Q4861">
        <v>0</v>
      </c>
      <c r="R4861" t="s">
        <v>44908</v>
      </c>
      <c r="S4861" t="s">
        <v>45042</v>
      </c>
      <c r="T4861" t="s">
        <v>46433</v>
      </c>
      <c r="U4861" t="s">
        <v>50872</v>
      </c>
      <c r="W4861" t="s">
        <v>41058</v>
      </c>
      <c r="X4861" t="s">
        <v>44909</v>
      </c>
    </row>
    <row r="4862" spans="1:24">
      <c r="A4862">
        <f>HYPERLINK("https://www.philgeps.gov.ph/GEPSNONPILOT/Tender/SplashBidNoticeAbstractUI.aspx?menuIndex=3&amp;refID=7081661&amp;Result=3","7081661")</f>
        <v>0</v>
      </c>
      <c r="B4862" t="s">
        <v>1601</v>
      </c>
      <c r="C4862" t="s">
        <v>4871</v>
      </c>
      <c r="D4862" t="s">
        <v>18100</v>
      </c>
      <c r="E4862" t="s">
        <v>22536</v>
      </c>
      <c r="F4862" t="s">
        <v>31362</v>
      </c>
      <c r="G4862" t="s">
        <v>31369</v>
      </c>
      <c r="H4862" t="s">
        <v>31378</v>
      </c>
      <c r="I4862" t="s">
        <v>13635</v>
      </c>
      <c r="J4862" t="s">
        <v>32544</v>
      </c>
      <c r="K4862" t="s">
        <v>40693</v>
      </c>
      <c r="M4862" t="s">
        <v>42660</v>
      </c>
      <c r="N4862" t="s">
        <v>44905</v>
      </c>
      <c r="O4862" t="s">
        <v>44906</v>
      </c>
      <c r="P4862">
        <v>0</v>
      </c>
      <c r="Q4862">
        <v>0</v>
      </c>
      <c r="R4862" t="s">
        <v>44908</v>
      </c>
      <c r="S4862" t="s">
        <v>45042</v>
      </c>
      <c r="T4862" t="s">
        <v>46403</v>
      </c>
      <c r="U4862" t="s">
        <v>50873</v>
      </c>
      <c r="W4862" t="s">
        <v>42660</v>
      </c>
      <c r="X4862" t="s">
        <v>44909</v>
      </c>
    </row>
    <row r="4863" spans="1:24">
      <c r="A4863">
        <f>HYPERLINK("https://www.philgeps.gov.ph/GEPSNONPILOT/Tender/SplashBidNoticeAbstractUI.aspx?menuIndex=3&amp;refID=7081663&amp;Result=3","7081663")</f>
        <v>0</v>
      </c>
      <c r="B4863" t="s">
        <v>1615</v>
      </c>
      <c r="C4863" t="s">
        <v>8178</v>
      </c>
      <c r="D4863" t="s">
        <v>18110</v>
      </c>
      <c r="E4863" t="s">
        <v>22537</v>
      </c>
      <c r="F4863" t="s">
        <v>31362</v>
      </c>
      <c r="G4863" t="s">
        <v>31370</v>
      </c>
      <c r="H4863" t="s">
        <v>15799</v>
      </c>
      <c r="I4863" t="s">
        <v>31385</v>
      </c>
      <c r="J4863" t="s">
        <v>32935</v>
      </c>
      <c r="K4863" t="s">
        <v>40697</v>
      </c>
      <c r="M4863" t="s">
        <v>42674</v>
      </c>
      <c r="N4863" t="s">
        <v>44905</v>
      </c>
      <c r="O4863" t="s">
        <v>44906</v>
      </c>
      <c r="P4863">
        <v>0</v>
      </c>
      <c r="Q4863">
        <v>1</v>
      </c>
      <c r="R4863" t="s">
        <v>44908</v>
      </c>
      <c r="S4863" t="s">
        <v>45042</v>
      </c>
      <c r="T4863" t="s">
        <v>46414</v>
      </c>
      <c r="U4863" t="s">
        <v>50874</v>
      </c>
      <c r="W4863" t="s">
        <v>42674</v>
      </c>
      <c r="X4863" t="s">
        <v>44909</v>
      </c>
    </row>
    <row r="4864" spans="1:24">
      <c r="A4864">
        <f>HYPERLINK("https://www.philgeps.gov.ph/GEPSNONPILOT/Tender/SplashBidNoticeAbstractUI.aspx?menuIndex=3&amp;refID=7081644&amp;Result=3","7081644")</f>
        <v>0</v>
      </c>
      <c r="B4864" t="s">
        <v>121</v>
      </c>
      <c r="C4864" t="s">
        <v>8179</v>
      </c>
      <c r="D4864" t="s">
        <v>18144</v>
      </c>
      <c r="E4864" t="s">
        <v>22538</v>
      </c>
      <c r="F4864" t="s">
        <v>31362</v>
      </c>
      <c r="G4864" t="s">
        <v>31369</v>
      </c>
      <c r="H4864" t="s">
        <v>31378</v>
      </c>
      <c r="I4864" t="s">
        <v>31386</v>
      </c>
      <c r="J4864" t="s">
        <v>34657</v>
      </c>
      <c r="K4864" t="s">
        <v>40789</v>
      </c>
      <c r="M4864" t="s">
        <v>41058</v>
      </c>
      <c r="N4864" t="s">
        <v>44905</v>
      </c>
      <c r="O4864" t="s">
        <v>44906</v>
      </c>
      <c r="P4864">
        <v>0</v>
      </c>
      <c r="Q4864">
        <v>0</v>
      </c>
      <c r="R4864" t="s">
        <v>44908</v>
      </c>
      <c r="S4864" t="s">
        <v>45042</v>
      </c>
      <c r="T4864" t="s">
        <v>46433</v>
      </c>
      <c r="U4864" t="s">
        <v>50875</v>
      </c>
      <c r="W4864" t="s">
        <v>41058</v>
      </c>
      <c r="X4864" t="s">
        <v>44909</v>
      </c>
    </row>
    <row r="4865" spans="1:24">
      <c r="A4865">
        <f>HYPERLINK("https://www.philgeps.gov.ph/GEPSNONPILOT/Tender/SplashBidNoticeAbstractUI.aspx?menuIndex=3&amp;refID=7081643&amp;Result=3","7081643")</f>
        <v>0</v>
      </c>
      <c r="B4865" t="s">
        <v>1617</v>
      </c>
      <c r="C4865" t="s">
        <v>8180</v>
      </c>
      <c r="E4865" t="s">
        <v>22539</v>
      </c>
      <c r="F4865" t="s">
        <v>31362</v>
      </c>
      <c r="G4865" t="s">
        <v>31370</v>
      </c>
      <c r="H4865" t="s">
        <v>31378</v>
      </c>
      <c r="I4865" t="s">
        <v>3815</v>
      </c>
      <c r="J4865" t="s">
        <v>31843</v>
      </c>
      <c r="K4865" t="s">
        <v>40672</v>
      </c>
      <c r="M4865" t="s">
        <v>42676</v>
      </c>
      <c r="N4865" t="s">
        <v>44905</v>
      </c>
      <c r="O4865" t="s">
        <v>44906</v>
      </c>
      <c r="P4865">
        <v>0</v>
      </c>
      <c r="Q4865">
        <v>0</v>
      </c>
      <c r="R4865" t="s">
        <v>44908</v>
      </c>
      <c r="S4865" t="s">
        <v>45042</v>
      </c>
      <c r="T4865" t="s">
        <v>46434</v>
      </c>
      <c r="U4865" t="s">
        <v>50876</v>
      </c>
      <c r="W4865" t="s">
        <v>42676</v>
      </c>
      <c r="X4865" t="s">
        <v>44909</v>
      </c>
    </row>
    <row r="4866" spans="1:24">
      <c r="A4866">
        <f>HYPERLINK("https://www.philgeps.gov.ph/GEPSNONPILOT/Tender/SplashBidNoticeAbstractUI.aspx?menuIndex=3&amp;refID=7081645&amp;Result=3","7081645")</f>
        <v>0</v>
      </c>
      <c r="B4866" t="s">
        <v>1519</v>
      </c>
      <c r="C4866" t="s">
        <v>8181</v>
      </c>
      <c r="D4866" t="s">
        <v>18108</v>
      </c>
      <c r="E4866" t="s">
        <v>22540</v>
      </c>
      <c r="F4866" t="s">
        <v>31362</v>
      </c>
      <c r="G4866" t="s">
        <v>31369</v>
      </c>
      <c r="H4866" t="s">
        <v>31378</v>
      </c>
      <c r="I4866" t="s">
        <v>31386</v>
      </c>
      <c r="J4866" t="s">
        <v>34658</v>
      </c>
      <c r="K4866" t="s">
        <v>40683</v>
      </c>
      <c r="M4866" t="s">
        <v>42656</v>
      </c>
      <c r="N4866" t="s">
        <v>44905</v>
      </c>
      <c r="O4866" t="s">
        <v>44906</v>
      </c>
      <c r="P4866">
        <v>0</v>
      </c>
      <c r="Q4866">
        <v>4</v>
      </c>
      <c r="R4866" t="s">
        <v>44908</v>
      </c>
      <c r="S4866" t="s">
        <v>45042</v>
      </c>
      <c r="T4866" t="s">
        <v>46433</v>
      </c>
      <c r="U4866" t="s">
        <v>50837</v>
      </c>
      <c r="W4866" t="s">
        <v>42656</v>
      </c>
      <c r="X4866" t="s">
        <v>44909</v>
      </c>
    </row>
    <row r="4867" spans="1:24">
      <c r="A4867">
        <f>HYPERLINK("https://www.philgeps.gov.ph/GEPSNONPILOT/Tender/SplashBidNoticeAbstractUI.aspx?menuIndex=3&amp;refID=7081642&amp;Result=3","7081642")</f>
        <v>0</v>
      </c>
      <c r="B4867" t="s">
        <v>1603</v>
      </c>
      <c r="C4867" t="s">
        <v>8182</v>
      </c>
      <c r="D4867" t="s">
        <v>18111</v>
      </c>
      <c r="E4867" t="s">
        <v>22541</v>
      </c>
      <c r="F4867" t="s">
        <v>31362</v>
      </c>
      <c r="G4867" t="s">
        <v>31370</v>
      </c>
      <c r="H4867" t="s">
        <v>15799</v>
      </c>
      <c r="I4867" t="s">
        <v>3815</v>
      </c>
      <c r="J4867" t="s">
        <v>34659</v>
      </c>
      <c r="K4867" t="s">
        <v>40693</v>
      </c>
      <c r="M4867" t="s">
        <v>42662</v>
      </c>
      <c r="N4867" t="s">
        <v>44905</v>
      </c>
      <c r="O4867" t="s">
        <v>44906</v>
      </c>
      <c r="P4867">
        <v>0</v>
      </c>
      <c r="Q4867">
        <v>1</v>
      </c>
      <c r="R4867" t="s">
        <v>44908</v>
      </c>
      <c r="S4867" t="s">
        <v>45042</v>
      </c>
      <c r="T4867" t="s">
        <v>46408</v>
      </c>
      <c r="U4867" t="s">
        <v>50877</v>
      </c>
      <c r="W4867" t="s">
        <v>42662</v>
      </c>
      <c r="X4867" t="s">
        <v>44909</v>
      </c>
    </row>
    <row r="4868" spans="1:24">
      <c r="A4868">
        <f>HYPERLINK("https://www.philgeps.gov.ph/GEPSNONPILOT/Tender/SplashBidNoticeAbstractUI.aspx?menuIndex=3&amp;refID=7081679&amp;Result=3","7081679")</f>
        <v>0</v>
      </c>
      <c r="B4868" t="s">
        <v>1412</v>
      </c>
      <c r="C4868" t="s">
        <v>8183</v>
      </c>
      <c r="D4868" t="s">
        <v>18156</v>
      </c>
      <c r="E4868" t="s">
        <v>22542</v>
      </c>
      <c r="F4868" t="s">
        <v>31362</v>
      </c>
      <c r="G4868" t="s">
        <v>31369</v>
      </c>
      <c r="H4868" t="s">
        <v>15799</v>
      </c>
      <c r="I4868" t="s">
        <v>31404</v>
      </c>
      <c r="J4868" t="s">
        <v>34660</v>
      </c>
      <c r="K4868" t="s">
        <v>40723</v>
      </c>
      <c r="M4868" t="s">
        <v>42437</v>
      </c>
      <c r="N4868" t="s">
        <v>44905</v>
      </c>
      <c r="O4868" t="s">
        <v>44906</v>
      </c>
      <c r="P4868">
        <v>0</v>
      </c>
      <c r="Q4868">
        <v>0</v>
      </c>
      <c r="R4868" t="s">
        <v>44908</v>
      </c>
      <c r="S4868" t="s">
        <v>45042</v>
      </c>
      <c r="T4868" t="s">
        <v>46474</v>
      </c>
      <c r="U4868" t="s">
        <v>50878</v>
      </c>
      <c r="W4868" t="s">
        <v>42437</v>
      </c>
      <c r="X4868" t="s">
        <v>44909</v>
      </c>
    </row>
    <row r="4869" spans="1:24">
      <c r="A4869">
        <f>HYPERLINK("https://www.philgeps.gov.ph/GEPSNONPILOT/Tender/SplashBidNoticeAbstractUI.aspx?menuIndex=3&amp;refID=7081705&amp;Result=3","7081705")</f>
        <v>0</v>
      </c>
      <c r="B4869" t="s">
        <v>1215</v>
      </c>
      <c r="C4869" t="s">
        <v>8184</v>
      </c>
      <c r="D4869" t="s">
        <v>18108</v>
      </c>
      <c r="E4869" t="s">
        <v>22543</v>
      </c>
      <c r="F4869" t="s">
        <v>31362</v>
      </c>
      <c r="G4869" t="s">
        <v>31368</v>
      </c>
      <c r="H4869" t="s">
        <v>15799</v>
      </c>
      <c r="I4869" t="s">
        <v>31389</v>
      </c>
      <c r="J4869" t="s">
        <v>34661</v>
      </c>
      <c r="K4869" t="s">
        <v>40665</v>
      </c>
      <c r="M4869" t="s">
        <v>42228</v>
      </c>
      <c r="N4869" t="s">
        <v>44905</v>
      </c>
      <c r="O4869" t="s">
        <v>44906</v>
      </c>
      <c r="P4869">
        <v>0</v>
      </c>
      <c r="Q4869">
        <v>14</v>
      </c>
      <c r="R4869" t="s">
        <v>44908</v>
      </c>
      <c r="S4869" t="s">
        <v>45042</v>
      </c>
      <c r="T4869" t="s">
        <v>46425</v>
      </c>
      <c r="U4869" t="s">
        <v>50879</v>
      </c>
      <c r="W4869" t="s">
        <v>42228</v>
      </c>
      <c r="X4869" t="s">
        <v>44909</v>
      </c>
    </row>
    <row r="4870" spans="1:24">
      <c r="A4870">
        <f>HYPERLINK("https://www.philgeps.gov.ph/GEPSNONPILOT/Tender/SplashBidNoticeAbstractUI.aspx?menuIndex=3&amp;refID=7081706&amp;Result=3","7081706")</f>
        <v>0</v>
      </c>
      <c r="B4870" t="s">
        <v>1150</v>
      </c>
      <c r="C4870" t="s">
        <v>8185</v>
      </c>
      <c r="E4870" t="s">
        <v>22544</v>
      </c>
      <c r="F4870" t="s">
        <v>31362</v>
      </c>
      <c r="G4870" t="s">
        <v>31369</v>
      </c>
      <c r="H4870" t="s">
        <v>31378</v>
      </c>
      <c r="I4870" t="s">
        <v>31386</v>
      </c>
      <c r="J4870" t="s">
        <v>31602</v>
      </c>
      <c r="K4870" t="s">
        <v>40662</v>
      </c>
      <c r="M4870" t="s">
        <v>42159</v>
      </c>
      <c r="N4870" t="s">
        <v>44905</v>
      </c>
      <c r="O4870" t="s">
        <v>44906</v>
      </c>
      <c r="P4870">
        <v>0</v>
      </c>
      <c r="Q4870">
        <v>0</v>
      </c>
      <c r="R4870" t="s">
        <v>44908</v>
      </c>
      <c r="S4870" t="s">
        <v>45042</v>
      </c>
      <c r="T4870" t="s">
        <v>46436</v>
      </c>
      <c r="U4870" t="s">
        <v>50858</v>
      </c>
      <c r="W4870" t="s">
        <v>42159</v>
      </c>
      <c r="X4870" t="s">
        <v>44909</v>
      </c>
    </row>
    <row r="4871" spans="1:24">
      <c r="A4871">
        <f>HYPERLINK("https://www.philgeps.gov.ph/GEPSNONPILOT/Tender/SplashBidNoticeAbstractUI.aspx?menuIndex=3&amp;refID=7081704&amp;Result=3","7081704")</f>
        <v>0</v>
      </c>
      <c r="B4871" t="s">
        <v>1618</v>
      </c>
      <c r="C4871" t="s">
        <v>8186</v>
      </c>
      <c r="D4871" t="s">
        <v>18103</v>
      </c>
      <c r="E4871" t="s">
        <v>22545</v>
      </c>
      <c r="F4871" t="s">
        <v>31362</v>
      </c>
      <c r="G4871" t="s">
        <v>31370</v>
      </c>
      <c r="H4871" t="s">
        <v>15799</v>
      </c>
      <c r="I4871" t="s">
        <v>31431</v>
      </c>
      <c r="J4871" t="s">
        <v>31575</v>
      </c>
      <c r="K4871" t="s">
        <v>40666</v>
      </c>
      <c r="M4871" t="s">
        <v>42677</v>
      </c>
      <c r="N4871" t="s">
        <v>44905</v>
      </c>
      <c r="O4871" t="s">
        <v>44906</v>
      </c>
      <c r="P4871">
        <v>0</v>
      </c>
      <c r="Q4871">
        <v>2</v>
      </c>
      <c r="R4871" t="s">
        <v>44908</v>
      </c>
      <c r="S4871" t="s">
        <v>45042</v>
      </c>
      <c r="T4871" t="s">
        <v>46434</v>
      </c>
      <c r="U4871" t="s">
        <v>50880</v>
      </c>
      <c r="W4871" t="s">
        <v>42677</v>
      </c>
      <c r="X4871" t="s">
        <v>44909</v>
      </c>
    </row>
    <row r="4872" spans="1:24">
      <c r="A4872">
        <f>HYPERLINK("https://www.philgeps.gov.ph/GEPSNONPILOT/Tender/SplashBidNoticeAbstractUI.aspx?menuIndex=3&amp;refID=7081662&amp;Result=3","7081662")</f>
        <v>0</v>
      </c>
      <c r="B4872" t="s">
        <v>121</v>
      </c>
      <c r="C4872" t="s">
        <v>8187</v>
      </c>
      <c r="D4872" t="s">
        <v>18144</v>
      </c>
      <c r="E4872" t="s">
        <v>22546</v>
      </c>
      <c r="F4872" t="s">
        <v>31362</v>
      </c>
      <c r="G4872" t="s">
        <v>31369</v>
      </c>
      <c r="H4872" t="s">
        <v>31378</v>
      </c>
      <c r="I4872" t="s">
        <v>31386</v>
      </c>
      <c r="J4872" t="s">
        <v>34662</v>
      </c>
      <c r="K4872" t="s">
        <v>40704</v>
      </c>
      <c r="M4872" t="s">
        <v>41058</v>
      </c>
      <c r="N4872" t="s">
        <v>44905</v>
      </c>
      <c r="O4872" t="s">
        <v>44906</v>
      </c>
      <c r="P4872">
        <v>0</v>
      </c>
      <c r="Q4872">
        <v>0</v>
      </c>
      <c r="R4872" t="s">
        <v>44908</v>
      </c>
      <c r="S4872" t="s">
        <v>45042</v>
      </c>
      <c r="T4872" t="s">
        <v>46433</v>
      </c>
      <c r="U4872" t="s">
        <v>50881</v>
      </c>
      <c r="W4872" t="s">
        <v>41058</v>
      </c>
      <c r="X4872" t="s">
        <v>44909</v>
      </c>
    </row>
    <row r="4873" spans="1:24">
      <c r="A4873">
        <f>HYPERLINK("https://www.philgeps.gov.ph/GEPSNONPILOT/Tender/SplashBidNoticeAbstractUI.aspx?menuIndex=3&amp;refID=7081701&amp;Result=3","7081701")</f>
        <v>0</v>
      </c>
      <c r="B4873" t="s">
        <v>54</v>
      </c>
      <c r="C4873" t="s">
        <v>8188</v>
      </c>
      <c r="E4873" t="s">
        <v>22547</v>
      </c>
      <c r="F4873" t="s">
        <v>31362</v>
      </c>
      <c r="G4873" t="s">
        <v>31369</v>
      </c>
      <c r="H4873" t="s">
        <v>15799</v>
      </c>
      <c r="I4873" t="s">
        <v>31409</v>
      </c>
      <c r="J4873" t="s">
        <v>31542</v>
      </c>
      <c r="K4873" t="s">
        <v>40662</v>
      </c>
      <c r="M4873" t="s">
        <v>41869</v>
      </c>
      <c r="N4873" t="s">
        <v>44905</v>
      </c>
      <c r="O4873" t="s">
        <v>44906</v>
      </c>
      <c r="P4873">
        <v>0</v>
      </c>
      <c r="Q4873">
        <v>2</v>
      </c>
      <c r="R4873" t="s">
        <v>44908</v>
      </c>
      <c r="S4873" t="s">
        <v>45042</v>
      </c>
      <c r="T4873" t="s">
        <v>46398</v>
      </c>
      <c r="U4873" t="s">
        <v>50882</v>
      </c>
      <c r="V4873" t="s">
        <v>59287</v>
      </c>
      <c r="W4873" t="s">
        <v>41869</v>
      </c>
      <c r="X4873" t="s">
        <v>44909</v>
      </c>
    </row>
    <row r="4874" spans="1:24">
      <c r="A4874">
        <f>HYPERLINK("https://www.philgeps.gov.ph/GEPSNONPILOT/Tender/SplashBidNoticeAbstractUI.aspx?menuIndex=3&amp;refID=7081708&amp;Result=3","7081708")</f>
        <v>0</v>
      </c>
      <c r="B4874" t="s">
        <v>1612</v>
      </c>
      <c r="C4874" t="s">
        <v>8164</v>
      </c>
      <c r="D4874" t="s">
        <v>18111</v>
      </c>
      <c r="E4874" t="s">
        <v>18648</v>
      </c>
      <c r="F4874" t="s">
        <v>31362</v>
      </c>
      <c r="G4874" t="s">
        <v>31371</v>
      </c>
      <c r="H4874" t="s">
        <v>15799</v>
      </c>
      <c r="I4874" t="s">
        <v>6373</v>
      </c>
      <c r="J4874" t="s">
        <v>34663</v>
      </c>
      <c r="K4874" t="s">
        <v>40670</v>
      </c>
      <c r="M4874" t="s">
        <v>42671</v>
      </c>
      <c r="N4874" t="s">
        <v>44905</v>
      </c>
      <c r="O4874" t="s">
        <v>44906</v>
      </c>
      <c r="P4874">
        <v>0</v>
      </c>
      <c r="Q4874">
        <v>4</v>
      </c>
      <c r="R4874" t="s">
        <v>44908</v>
      </c>
      <c r="S4874" t="s">
        <v>45042</v>
      </c>
      <c r="T4874" t="s">
        <v>46506</v>
      </c>
      <c r="U4874" t="s">
        <v>50862</v>
      </c>
      <c r="W4874" t="s">
        <v>42671</v>
      </c>
      <c r="X4874" t="s">
        <v>44909</v>
      </c>
    </row>
    <row r="4875" spans="1:24">
      <c r="A4875">
        <f>HYPERLINK("https://www.philgeps.gov.ph/GEPSNONPILOT/Tender/SplashBidNoticeAbstractUI.aspx?menuIndex=3&amp;refID=7081700&amp;Result=3","7081700")</f>
        <v>0</v>
      </c>
      <c r="B4875" t="s">
        <v>1150</v>
      </c>
      <c r="C4875" t="s">
        <v>8189</v>
      </c>
      <c r="E4875" t="s">
        <v>22548</v>
      </c>
      <c r="F4875" t="s">
        <v>31362</v>
      </c>
      <c r="G4875" t="s">
        <v>31369</v>
      </c>
      <c r="H4875" t="s">
        <v>31378</v>
      </c>
      <c r="I4875" t="s">
        <v>31386</v>
      </c>
      <c r="J4875" t="s">
        <v>34664</v>
      </c>
      <c r="K4875" t="s">
        <v>40662</v>
      </c>
      <c r="M4875" t="s">
        <v>42159</v>
      </c>
      <c r="N4875" t="s">
        <v>44905</v>
      </c>
      <c r="O4875" t="s">
        <v>44906</v>
      </c>
      <c r="P4875">
        <v>0</v>
      </c>
      <c r="Q4875">
        <v>0</v>
      </c>
      <c r="R4875" t="s">
        <v>44908</v>
      </c>
      <c r="S4875" t="s">
        <v>45042</v>
      </c>
      <c r="T4875" t="s">
        <v>46436</v>
      </c>
      <c r="U4875" t="s">
        <v>50858</v>
      </c>
      <c r="W4875" t="s">
        <v>42159</v>
      </c>
      <c r="X4875" t="s">
        <v>44909</v>
      </c>
    </row>
    <row r="4876" spans="1:24">
      <c r="A4876">
        <f>HYPERLINK("https://www.philgeps.gov.ph/GEPSNONPILOT/Tender/SplashBidNoticeAbstractUI.aspx?menuIndex=3&amp;refID=7081697&amp;Result=3","7081697")</f>
        <v>0</v>
      </c>
      <c r="B4876" t="s">
        <v>1381</v>
      </c>
      <c r="C4876" t="s">
        <v>8190</v>
      </c>
      <c r="D4876" t="s">
        <v>18123</v>
      </c>
      <c r="E4876" t="s">
        <v>22549</v>
      </c>
      <c r="F4876" t="s">
        <v>31362</v>
      </c>
      <c r="G4876" t="s">
        <v>31368</v>
      </c>
      <c r="H4876" t="s">
        <v>15799</v>
      </c>
      <c r="I4876" t="s">
        <v>31395</v>
      </c>
      <c r="J4876" t="s">
        <v>34665</v>
      </c>
      <c r="K4876" t="s">
        <v>40666</v>
      </c>
      <c r="M4876" t="s">
        <v>42405</v>
      </c>
      <c r="N4876" t="s">
        <v>44905</v>
      </c>
      <c r="O4876" t="s">
        <v>44906</v>
      </c>
      <c r="P4876">
        <v>0</v>
      </c>
      <c r="Q4876">
        <v>1</v>
      </c>
      <c r="R4876" t="s">
        <v>44908</v>
      </c>
      <c r="S4876" t="s">
        <v>45042</v>
      </c>
      <c r="T4876" t="s">
        <v>46443</v>
      </c>
      <c r="U4876" t="s">
        <v>50883</v>
      </c>
      <c r="W4876" t="s">
        <v>42405</v>
      </c>
      <c r="X4876" t="s">
        <v>44909</v>
      </c>
    </row>
    <row r="4877" spans="1:24">
      <c r="A4877">
        <f>HYPERLINK("https://www.philgeps.gov.ph/GEPSNONPILOT/Tender/SplashBidNoticeAbstractUI.aspx?menuIndex=3&amp;refID=7081703&amp;Result=3","7081703")</f>
        <v>0</v>
      </c>
      <c r="B4877" t="s">
        <v>1613</v>
      </c>
      <c r="C4877" t="s">
        <v>8191</v>
      </c>
      <c r="D4877" t="s">
        <v>18111</v>
      </c>
      <c r="E4877" t="s">
        <v>22550</v>
      </c>
      <c r="F4877" t="s">
        <v>31362</v>
      </c>
      <c r="G4877" t="s">
        <v>31371</v>
      </c>
      <c r="H4877" t="s">
        <v>15799</v>
      </c>
      <c r="I4877" t="s">
        <v>6373</v>
      </c>
      <c r="J4877" t="s">
        <v>34666</v>
      </c>
      <c r="K4877" t="s">
        <v>40697</v>
      </c>
      <c r="M4877" t="s">
        <v>42672</v>
      </c>
      <c r="N4877" t="s">
        <v>44905</v>
      </c>
      <c r="O4877" t="s">
        <v>44906</v>
      </c>
      <c r="P4877">
        <v>0</v>
      </c>
      <c r="Q4877">
        <v>2</v>
      </c>
      <c r="R4877" t="s">
        <v>44908</v>
      </c>
      <c r="S4877" t="s">
        <v>45042</v>
      </c>
      <c r="T4877" t="s">
        <v>46443</v>
      </c>
      <c r="U4877" t="s">
        <v>50862</v>
      </c>
      <c r="W4877" t="s">
        <v>42672</v>
      </c>
      <c r="X4877" t="s">
        <v>44909</v>
      </c>
    </row>
    <row r="4878" spans="1:24">
      <c r="A4878">
        <f>HYPERLINK("https://www.philgeps.gov.ph/GEPSNONPILOT/Tender/SplashBidNoticeAbstractUI.aspx?menuIndex=3&amp;refID=7081668&amp;Result=3","7081668")</f>
        <v>0</v>
      </c>
      <c r="B4878" t="s">
        <v>974</v>
      </c>
      <c r="C4878" t="s">
        <v>8192</v>
      </c>
      <c r="D4878" t="s">
        <v>18134</v>
      </c>
      <c r="E4878" t="s">
        <v>22551</v>
      </c>
      <c r="F4878" t="s">
        <v>31362</v>
      </c>
      <c r="G4878" t="s">
        <v>31369</v>
      </c>
      <c r="H4878" t="s">
        <v>15799</v>
      </c>
      <c r="I4878" t="s">
        <v>31409</v>
      </c>
      <c r="J4878" t="s">
        <v>34667</v>
      </c>
      <c r="K4878" t="s">
        <v>40666</v>
      </c>
      <c r="M4878" t="s">
        <v>41964</v>
      </c>
      <c r="N4878" t="s">
        <v>44905</v>
      </c>
      <c r="O4878" t="s">
        <v>44906</v>
      </c>
      <c r="P4878">
        <v>0</v>
      </c>
      <c r="Q4878">
        <v>0</v>
      </c>
      <c r="R4878" t="s">
        <v>44908</v>
      </c>
      <c r="S4878" t="s">
        <v>45042</v>
      </c>
      <c r="T4878" t="s">
        <v>46562</v>
      </c>
      <c r="U4878" t="s">
        <v>50884</v>
      </c>
      <c r="W4878" t="s">
        <v>41964</v>
      </c>
      <c r="X4878" t="s">
        <v>44909</v>
      </c>
    </row>
    <row r="4879" spans="1:24">
      <c r="A4879">
        <f>HYPERLINK("https://www.philgeps.gov.ph/GEPSNONPILOT/Tender/SplashBidNoticeAbstractUI.aspx?menuIndex=3&amp;refID=7081694&amp;Result=3","7081694")</f>
        <v>0</v>
      </c>
      <c r="B4879" t="s">
        <v>1150</v>
      </c>
      <c r="C4879" t="s">
        <v>8193</v>
      </c>
      <c r="E4879" t="s">
        <v>22552</v>
      </c>
      <c r="F4879" t="s">
        <v>31362</v>
      </c>
      <c r="G4879" t="s">
        <v>31369</v>
      </c>
      <c r="H4879" t="s">
        <v>31378</v>
      </c>
      <c r="I4879" t="s">
        <v>31386</v>
      </c>
      <c r="J4879" t="s">
        <v>34668</v>
      </c>
      <c r="K4879" t="s">
        <v>40662</v>
      </c>
      <c r="M4879" t="s">
        <v>42159</v>
      </c>
      <c r="N4879" t="s">
        <v>44905</v>
      </c>
      <c r="O4879" t="s">
        <v>44906</v>
      </c>
      <c r="P4879">
        <v>0</v>
      </c>
      <c r="Q4879">
        <v>0</v>
      </c>
      <c r="R4879" t="s">
        <v>44908</v>
      </c>
      <c r="S4879" t="s">
        <v>45042</v>
      </c>
      <c r="T4879" t="s">
        <v>46436</v>
      </c>
      <c r="U4879" t="s">
        <v>50858</v>
      </c>
      <c r="W4879" t="s">
        <v>42159</v>
      </c>
      <c r="X4879" t="s">
        <v>44909</v>
      </c>
    </row>
    <row r="4880" spans="1:24">
      <c r="A4880">
        <f>HYPERLINK("https://www.philgeps.gov.ph/GEPSNONPILOT/Tender/SplashBidNoticeAbstractUI.aspx?menuIndex=3&amp;refID=7081692&amp;Result=3","7081692")</f>
        <v>0</v>
      </c>
      <c r="B4880" t="s">
        <v>1610</v>
      </c>
      <c r="C4880" t="s">
        <v>8194</v>
      </c>
      <c r="D4880" t="s">
        <v>18133</v>
      </c>
      <c r="E4880" t="s">
        <v>22553</v>
      </c>
      <c r="F4880" t="s">
        <v>31362</v>
      </c>
      <c r="G4880" t="s">
        <v>31369</v>
      </c>
      <c r="H4880" t="s">
        <v>31378</v>
      </c>
      <c r="I4880" t="s">
        <v>31386</v>
      </c>
      <c r="J4880" t="s">
        <v>34669</v>
      </c>
      <c r="K4880" t="s">
        <v>40762</v>
      </c>
      <c r="L4880" t="s">
        <v>1610</v>
      </c>
      <c r="M4880" t="s">
        <v>42669</v>
      </c>
      <c r="N4880" t="s">
        <v>44905</v>
      </c>
      <c r="O4880" t="s">
        <v>44906</v>
      </c>
      <c r="P4880">
        <v>0</v>
      </c>
      <c r="Q4880">
        <v>0</v>
      </c>
      <c r="R4880" t="s">
        <v>44908</v>
      </c>
      <c r="S4880" t="s">
        <v>45042</v>
      </c>
      <c r="T4880" t="s">
        <v>46652</v>
      </c>
      <c r="U4880" t="s">
        <v>50885</v>
      </c>
      <c r="W4880" t="s">
        <v>42669</v>
      </c>
      <c r="X4880" t="s">
        <v>44909</v>
      </c>
    </row>
    <row r="4881" spans="1:24">
      <c r="A4881">
        <f>HYPERLINK("https://www.philgeps.gov.ph/GEPSNONPILOT/Tender/SplashBidNoticeAbstractUI.aspx?menuIndex=3&amp;refID=7081690&amp;Result=3","7081690")</f>
        <v>0</v>
      </c>
      <c r="B4881" t="s">
        <v>1010</v>
      </c>
      <c r="C4881" t="s">
        <v>8195</v>
      </c>
      <c r="D4881" t="s">
        <v>18147</v>
      </c>
      <c r="E4881" t="s">
        <v>22554</v>
      </c>
      <c r="F4881" t="s">
        <v>31362</v>
      </c>
      <c r="G4881" t="s">
        <v>31369</v>
      </c>
      <c r="H4881" t="s">
        <v>15799</v>
      </c>
      <c r="I4881" t="s">
        <v>31430</v>
      </c>
      <c r="J4881" t="s">
        <v>33868</v>
      </c>
      <c r="K4881" t="s">
        <v>40665</v>
      </c>
      <c r="L4881" t="s">
        <v>1010</v>
      </c>
      <c r="M4881" t="s">
        <v>42007</v>
      </c>
      <c r="N4881" t="s">
        <v>44905</v>
      </c>
      <c r="O4881" t="s">
        <v>44906</v>
      </c>
      <c r="P4881">
        <v>0</v>
      </c>
      <c r="Q4881">
        <v>1</v>
      </c>
      <c r="R4881" t="s">
        <v>44908</v>
      </c>
      <c r="S4881" t="s">
        <v>45042</v>
      </c>
      <c r="T4881" t="s">
        <v>46433</v>
      </c>
      <c r="U4881" t="s">
        <v>50886</v>
      </c>
      <c r="W4881" t="s">
        <v>42007</v>
      </c>
      <c r="X4881" t="s">
        <v>44909</v>
      </c>
    </row>
    <row r="4882" spans="1:24">
      <c r="A4882">
        <f>HYPERLINK("https://www.philgeps.gov.ph/GEPSNONPILOT/Tender/SplashBidNoticeAbstractUI.aspx?menuIndex=3&amp;refID=7081689&amp;Result=3","7081689")</f>
        <v>0</v>
      </c>
      <c r="B4882" t="s">
        <v>1619</v>
      </c>
      <c r="C4882" t="s">
        <v>6742</v>
      </c>
      <c r="D4882" t="s">
        <v>18134</v>
      </c>
      <c r="E4882" t="s">
        <v>22555</v>
      </c>
      <c r="F4882" t="s">
        <v>31362</v>
      </c>
      <c r="G4882" t="s">
        <v>31369</v>
      </c>
      <c r="H4882" t="s">
        <v>31378</v>
      </c>
      <c r="I4882" t="s">
        <v>31386</v>
      </c>
      <c r="J4882" t="s">
        <v>31578</v>
      </c>
      <c r="K4882" t="s">
        <v>40677</v>
      </c>
      <c r="M4882" t="s">
        <v>42678</v>
      </c>
      <c r="N4882" t="s">
        <v>44905</v>
      </c>
      <c r="O4882" t="s">
        <v>44906</v>
      </c>
      <c r="P4882">
        <v>0</v>
      </c>
      <c r="Q4882">
        <v>0</v>
      </c>
      <c r="R4882" t="s">
        <v>44908</v>
      </c>
      <c r="S4882" t="s">
        <v>45042</v>
      </c>
      <c r="T4882" t="s">
        <v>46570</v>
      </c>
      <c r="U4882" t="s">
        <v>50887</v>
      </c>
      <c r="W4882" t="s">
        <v>42678</v>
      </c>
      <c r="X4882" t="s">
        <v>44909</v>
      </c>
    </row>
    <row r="4883" spans="1:24">
      <c r="A4883">
        <f>HYPERLINK("https://www.philgeps.gov.ph/GEPSNONPILOT/Tender/SplashBidNoticeAbstractUI.aspx?menuIndex=3&amp;refID=7081688&amp;Result=3","7081688")</f>
        <v>0</v>
      </c>
      <c r="B4883" t="s">
        <v>1150</v>
      </c>
      <c r="C4883" t="s">
        <v>8196</v>
      </c>
      <c r="E4883" t="s">
        <v>22556</v>
      </c>
      <c r="F4883" t="s">
        <v>31362</v>
      </c>
      <c r="G4883" t="s">
        <v>31369</v>
      </c>
      <c r="H4883" t="s">
        <v>31378</v>
      </c>
      <c r="I4883" t="s">
        <v>31386</v>
      </c>
      <c r="J4883" t="s">
        <v>34670</v>
      </c>
      <c r="K4883" t="s">
        <v>40662</v>
      </c>
      <c r="M4883" t="s">
        <v>42159</v>
      </c>
      <c r="N4883" t="s">
        <v>44905</v>
      </c>
      <c r="O4883" t="s">
        <v>44906</v>
      </c>
      <c r="P4883">
        <v>0</v>
      </c>
      <c r="Q4883">
        <v>0</v>
      </c>
      <c r="R4883" t="s">
        <v>44908</v>
      </c>
      <c r="S4883" t="s">
        <v>45042</v>
      </c>
      <c r="T4883" t="s">
        <v>46436</v>
      </c>
      <c r="U4883" t="s">
        <v>50858</v>
      </c>
      <c r="W4883" t="s">
        <v>42159</v>
      </c>
      <c r="X4883" t="s">
        <v>44909</v>
      </c>
    </row>
    <row r="4884" spans="1:24">
      <c r="A4884">
        <f>HYPERLINK("https://www.philgeps.gov.ph/GEPSNONPILOT/Tender/SplashBidNoticeAbstractUI.aspx?menuIndex=3&amp;refID=7081698&amp;Result=3","7081698")</f>
        <v>0</v>
      </c>
      <c r="B4884" t="s">
        <v>1620</v>
      </c>
      <c r="C4884" t="s">
        <v>8197</v>
      </c>
      <c r="D4884" t="s">
        <v>18108</v>
      </c>
      <c r="E4884" t="s">
        <v>22557</v>
      </c>
      <c r="F4884" t="s">
        <v>31362</v>
      </c>
      <c r="G4884" t="s">
        <v>31368</v>
      </c>
      <c r="H4884" t="s">
        <v>15799</v>
      </c>
      <c r="I4884" t="s">
        <v>31390</v>
      </c>
      <c r="J4884" t="s">
        <v>32165</v>
      </c>
      <c r="K4884" t="s">
        <v>40665</v>
      </c>
      <c r="M4884" t="s">
        <v>42679</v>
      </c>
      <c r="N4884" t="s">
        <v>44905</v>
      </c>
      <c r="O4884" t="s">
        <v>44906</v>
      </c>
      <c r="P4884">
        <v>0</v>
      </c>
      <c r="Q4884">
        <v>2</v>
      </c>
      <c r="R4884" t="s">
        <v>44908</v>
      </c>
      <c r="S4884" t="s">
        <v>45042</v>
      </c>
      <c r="T4884" t="s">
        <v>46432</v>
      </c>
      <c r="U4884" t="s">
        <v>50888</v>
      </c>
      <c r="W4884" t="s">
        <v>60901</v>
      </c>
      <c r="X4884" t="s">
        <v>44909</v>
      </c>
    </row>
    <row r="4885" spans="1:24">
      <c r="A4885">
        <f>HYPERLINK("https://www.philgeps.gov.ph/GEPSNONPILOT/Tender/SplashBidNoticeAbstractUI.aspx?menuIndex=3&amp;refID=7081687&amp;Result=3","7081687")</f>
        <v>0</v>
      </c>
      <c r="B4885" t="s">
        <v>1613</v>
      </c>
      <c r="C4885" t="s">
        <v>8198</v>
      </c>
      <c r="D4885" t="s">
        <v>18111</v>
      </c>
      <c r="E4885" t="s">
        <v>22558</v>
      </c>
      <c r="F4885" t="s">
        <v>31362</v>
      </c>
      <c r="G4885" t="s">
        <v>31371</v>
      </c>
      <c r="H4885" t="s">
        <v>15799</v>
      </c>
      <c r="I4885" t="s">
        <v>31387</v>
      </c>
      <c r="J4885" t="s">
        <v>34671</v>
      </c>
      <c r="K4885" t="s">
        <v>40697</v>
      </c>
      <c r="M4885" t="s">
        <v>42672</v>
      </c>
      <c r="N4885" t="s">
        <v>44905</v>
      </c>
      <c r="O4885" t="s">
        <v>44906</v>
      </c>
      <c r="P4885">
        <v>0</v>
      </c>
      <c r="Q4885">
        <v>0</v>
      </c>
      <c r="R4885" t="s">
        <v>44908</v>
      </c>
      <c r="S4885" t="s">
        <v>45042</v>
      </c>
      <c r="T4885" t="s">
        <v>46443</v>
      </c>
      <c r="U4885" t="s">
        <v>50862</v>
      </c>
      <c r="W4885" t="s">
        <v>42672</v>
      </c>
      <c r="X4885" t="s">
        <v>44909</v>
      </c>
    </row>
    <row r="4886" spans="1:24">
      <c r="A4886">
        <f>HYPERLINK("https://www.philgeps.gov.ph/GEPSNONPILOT/Tender/SplashBidNoticeAbstractUI.aspx?menuIndex=3&amp;refID=7081691&amp;Result=3","7081691")</f>
        <v>0</v>
      </c>
      <c r="B4886" t="s">
        <v>974</v>
      </c>
      <c r="C4886" t="s">
        <v>8199</v>
      </c>
      <c r="D4886" t="s">
        <v>18134</v>
      </c>
      <c r="E4886" t="s">
        <v>22559</v>
      </c>
      <c r="F4886" t="s">
        <v>31362</v>
      </c>
      <c r="G4886" t="s">
        <v>31369</v>
      </c>
      <c r="H4886" t="s">
        <v>15799</v>
      </c>
      <c r="I4886" t="s">
        <v>31393</v>
      </c>
      <c r="J4886" t="s">
        <v>34672</v>
      </c>
      <c r="K4886" t="s">
        <v>40666</v>
      </c>
      <c r="M4886" t="s">
        <v>41964</v>
      </c>
      <c r="N4886" t="s">
        <v>44905</v>
      </c>
      <c r="O4886" t="s">
        <v>44906</v>
      </c>
      <c r="P4886">
        <v>0</v>
      </c>
      <c r="Q4886">
        <v>6</v>
      </c>
      <c r="R4886" t="s">
        <v>44908</v>
      </c>
      <c r="S4886" t="s">
        <v>45042</v>
      </c>
      <c r="T4886" t="s">
        <v>46562</v>
      </c>
      <c r="U4886" t="s">
        <v>50889</v>
      </c>
      <c r="W4886" t="s">
        <v>41964</v>
      </c>
      <c r="X4886" t="s">
        <v>44909</v>
      </c>
    </row>
    <row r="4887" spans="1:24">
      <c r="A4887">
        <f>HYPERLINK("https://www.philgeps.gov.ph/GEPSNONPILOT/Tender/SplashBidNoticeAbstractUI.aspx?menuIndex=3&amp;refID=7081686&amp;Result=3","7081686")</f>
        <v>0</v>
      </c>
      <c r="B4887" t="s">
        <v>54</v>
      </c>
      <c r="C4887" t="s">
        <v>8200</v>
      </c>
      <c r="E4887" t="s">
        <v>22560</v>
      </c>
      <c r="F4887" t="s">
        <v>31362</v>
      </c>
      <c r="G4887" t="s">
        <v>31369</v>
      </c>
      <c r="H4887" t="s">
        <v>15799</v>
      </c>
      <c r="I4887" t="s">
        <v>31409</v>
      </c>
      <c r="J4887" t="s">
        <v>31637</v>
      </c>
      <c r="K4887" t="s">
        <v>40662</v>
      </c>
      <c r="M4887" t="s">
        <v>41869</v>
      </c>
      <c r="N4887" t="s">
        <v>44905</v>
      </c>
      <c r="O4887" t="s">
        <v>44906</v>
      </c>
      <c r="P4887">
        <v>0</v>
      </c>
      <c r="Q4887">
        <v>3</v>
      </c>
      <c r="R4887" t="s">
        <v>44908</v>
      </c>
      <c r="S4887" t="s">
        <v>45042</v>
      </c>
      <c r="T4887" t="s">
        <v>46398</v>
      </c>
      <c r="U4887" t="s">
        <v>50890</v>
      </c>
      <c r="V4887" t="s">
        <v>59287</v>
      </c>
      <c r="W4887" t="s">
        <v>41869</v>
      </c>
      <c r="X4887" t="s">
        <v>44909</v>
      </c>
    </row>
    <row r="4888" spans="1:24">
      <c r="A4888">
        <f>HYPERLINK("https://www.philgeps.gov.ph/GEPSNONPILOT/Tender/SplashBidNoticeAbstractUI.aspx?menuIndex=3&amp;refID=7081734&amp;Result=3","7081734")</f>
        <v>0</v>
      </c>
      <c r="B4888" t="s">
        <v>1519</v>
      </c>
      <c r="C4888" t="s">
        <v>8201</v>
      </c>
      <c r="D4888" t="s">
        <v>18108</v>
      </c>
      <c r="E4888" t="s">
        <v>22561</v>
      </c>
      <c r="F4888" t="s">
        <v>31362</v>
      </c>
      <c r="G4888" t="s">
        <v>31369</v>
      </c>
      <c r="H4888" t="s">
        <v>31378</v>
      </c>
      <c r="I4888" t="s">
        <v>31386</v>
      </c>
      <c r="J4888" t="s">
        <v>34673</v>
      </c>
      <c r="K4888" t="s">
        <v>40684</v>
      </c>
      <c r="M4888" t="s">
        <v>42656</v>
      </c>
      <c r="N4888" t="s">
        <v>44905</v>
      </c>
      <c r="O4888" t="s">
        <v>44906</v>
      </c>
      <c r="P4888">
        <v>0</v>
      </c>
      <c r="Q4888">
        <v>4</v>
      </c>
      <c r="R4888" t="s">
        <v>44908</v>
      </c>
      <c r="S4888" t="s">
        <v>45042</v>
      </c>
      <c r="T4888" t="s">
        <v>46433</v>
      </c>
      <c r="U4888" t="s">
        <v>50837</v>
      </c>
      <c r="W4888" t="s">
        <v>42656</v>
      </c>
      <c r="X4888" t="s">
        <v>44909</v>
      </c>
    </row>
    <row r="4889" spans="1:24">
      <c r="A4889">
        <f>HYPERLINK("https://www.philgeps.gov.ph/GEPSNONPILOT/Tender/SplashBidNoticeAbstractUI.aspx?menuIndex=3&amp;refID=7081693&amp;Result=3","7081693")</f>
        <v>0</v>
      </c>
      <c r="B4889" t="s">
        <v>1621</v>
      </c>
      <c r="C4889" t="s">
        <v>8202</v>
      </c>
      <c r="E4889" t="s">
        <v>22562</v>
      </c>
      <c r="F4889" t="s">
        <v>31362</v>
      </c>
      <c r="G4889" t="s">
        <v>31368</v>
      </c>
      <c r="H4889" t="s">
        <v>15799</v>
      </c>
      <c r="I4889" t="s">
        <v>31393</v>
      </c>
      <c r="J4889" t="s">
        <v>32066</v>
      </c>
      <c r="K4889" t="s">
        <v>40662</v>
      </c>
      <c r="M4889" t="s">
        <v>42680</v>
      </c>
      <c r="N4889" t="s">
        <v>44905</v>
      </c>
      <c r="O4889" t="s">
        <v>44906</v>
      </c>
      <c r="P4889">
        <v>0</v>
      </c>
      <c r="Q4889">
        <v>1</v>
      </c>
      <c r="R4889" t="s">
        <v>44908</v>
      </c>
      <c r="S4889" t="s">
        <v>45042</v>
      </c>
      <c r="T4889" t="s">
        <v>46411</v>
      </c>
      <c r="U4889" t="s">
        <v>50891</v>
      </c>
      <c r="W4889" t="s">
        <v>42680</v>
      </c>
      <c r="X4889" t="s">
        <v>44909</v>
      </c>
    </row>
    <row r="4890" spans="1:24">
      <c r="A4890">
        <f>HYPERLINK("https://www.philgeps.gov.ph/GEPSNONPILOT/Tender/SplashBidNoticeAbstractUI.aspx?menuIndex=3&amp;refID=7081699&amp;Result=3","7081699")</f>
        <v>0</v>
      </c>
      <c r="B4890" t="s">
        <v>1622</v>
      </c>
      <c r="C4890" t="s">
        <v>8203</v>
      </c>
      <c r="D4890" t="s">
        <v>18108</v>
      </c>
      <c r="E4890" t="s">
        <v>22563</v>
      </c>
      <c r="F4890" t="s">
        <v>31362</v>
      </c>
      <c r="G4890" t="s">
        <v>31369</v>
      </c>
      <c r="H4890" t="s">
        <v>15799</v>
      </c>
      <c r="I4890" t="s">
        <v>4942</v>
      </c>
      <c r="J4890" t="s">
        <v>34674</v>
      </c>
      <c r="K4890" t="s">
        <v>40673</v>
      </c>
      <c r="M4890" t="s">
        <v>42681</v>
      </c>
      <c r="N4890" t="s">
        <v>44905</v>
      </c>
      <c r="O4890" t="s">
        <v>44906</v>
      </c>
      <c r="P4890">
        <v>0</v>
      </c>
      <c r="Q4890">
        <v>2</v>
      </c>
      <c r="R4890" t="s">
        <v>44908</v>
      </c>
      <c r="S4890" t="s">
        <v>45042</v>
      </c>
      <c r="T4890" t="s">
        <v>46427</v>
      </c>
      <c r="U4890" t="s">
        <v>50892</v>
      </c>
      <c r="W4890" t="s">
        <v>42681</v>
      </c>
      <c r="X4890" t="s">
        <v>44909</v>
      </c>
    </row>
    <row r="4891" spans="1:24">
      <c r="A4891">
        <f>HYPERLINK("https://www.philgeps.gov.ph/GEPSNONPILOT/Tender/SplashBidNoticeAbstractUI.aspx?menuIndex=3&amp;refID=7081731&amp;Result=3","7081731")</f>
        <v>0</v>
      </c>
      <c r="B4891" t="s">
        <v>1623</v>
      </c>
      <c r="C4891" t="s">
        <v>8204</v>
      </c>
      <c r="D4891" t="s">
        <v>18142</v>
      </c>
      <c r="E4891" t="s">
        <v>22564</v>
      </c>
      <c r="F4891" t="s">
        <v>31362</v>
      </c>
      <c r="G4891" t="s">
        <v>31369</v>
      </c>
      <c r="H4891" t="s">
        <v>31378</v>
      </c>
      <c r="I4891" t="s">
        <v>31386</v>
      </c>
      <c r="J4891" t="s">
        <v>34675</v>
      </c>
      <c r="K4891" t="s">
        <v>40676</v>
      </c>
      <c r="M4891" t="s">
        <v>42682</v>
      </c>
      <c r="N4891" t="s">
        <v>44905</v>
      </c>
      <c r="O4891" t="s">
        <v>44906</v>
      </c>
      <c r="P4891">
        <v>0</v>
      </c>
      <c r="Q4891">
        <v>0</v>
      </c>
      <c r="R4891" t="s">
        <v>44908</v>
      </c>
      <c r="S4891" t="s">
        <v>45042</v>
      </c>
      <c r="T4891" t="s">
        <v>46426</v>
      </c>
      <c r="U4891" t="s">
        <v>50893</v>
      </c>
      <c r="W4891" t="s">
        <v>42682</v>
      </c>
      <c r="X4891" t="s">
        <v>44909</v>
      </c>
    </row>
    <row r="4892" spans="1:24">
      <c r="A4892">
        <f>HYPERLINK("https://www.philgeps.gov.ph/GEPSNONPILOT/Tender/SplashBidNoticeAbstractUI.aspx?menuIndex=3&amp;refID=7081730&amp;Result=3","7081730")</f>
        <v>0</v>
      </c>
      <c r="B4892" t="s">
        <v>1519</v>
      </c>
      <c r="C4892" t="s">
        <v>8205</v>
      </c>
      <c r="D4892" t="s">
        <v>18108</v>
      </c>
      <c r="E4892" t="s">
        <v>22565</v>
      </c>
      <c r="F4892" t="s">
        <v>31362</v>
      </c>
      <c r="G4892" t="s">
        <v>31369</v>
      </c>
      <c r="H4892" t="s">
        <v>31378</v>
      </c>
      <c r="I4892" t="s">
        <v>31386</v>
      </c>
      <c r="J4892" t="s">
        <v>34676</v>
      </c>
      <c r="K4892" t="s">
        <v>40663</v>
      </c>
      <c r="M4892" t="s">
        <v>42656</v>
      </c>
      <c r="N4892" t="s">
        <v>44905</v>
      </c>
      <c r="O4892" t="s">
        <v>44906</v>
      </c>
      <c r="P4892">
        <v>0</v>
      </c>
      <c r="Q4892">
        <v>5</v>
      </c>
      <c r="R4892" t="s">
        <v>44908</v>
      </c>
      <c r="S4892" t="s">
        <v>45042</v>
      </c>
      <c r="T4892" t="s">
        <v>46433</v>
      </c>
      <c r="U4892" t="s">
        <v>50837</v>
      </c>
      <c r="W4892" t="s">
        <v>42656</v>
      </c>
      <c r="X4892" t="s">
        <v>44909</v>
      </c>
    </row>
    <row r="4893" spans="1:24">
      <c r="A4893">
        <f>HYPERLINK("https://www.philgeps.gov.ph/GEPSNONPILOT/Tender/SplashBidNoticeAbstractUI.aspx?menuIndex=3&amp;refID=7081729&amp;Result=3","7081729")</f>
        <v>0</v>
      </c>
      <c r="B4893" t="s">
        <v>1150</v>
      </c>
      <c r="C4893" t="s">
        <v>8206</v>
      </c>
      <c r="E4893" t="s">
        <v>22566</v>
      </c>
      <c r="F4893" t="s">
        <v>31362</v>
      </c>
      <c r="G4893" t="s">
        <v>31369</v>
      </c>
      <c r="H4893" t="s">
        <v>31378</v>
      </c>
      <c r="I4893" t="s">
        <v>31386</v>
      </c>
      <c r="J4893" t="s">
        <v>34677</v>
      </c>
      <c r="K4893" t="s">
        <v>40662</v>
      </c>
      <c r="M4893" t="s">
        <v>42159</v>
      </c>
      <c r="N4893" t="s">
        <v>44905</v>
      </c>
      <c r="O4893" t="s">
        <v>44906</v>
      </c>
      <c r="P4893">
        <v>0</v>
      </c>
      <c r="Q4893">
        <v>0</v>
      </c>
      <c r="R4893" t="s">
        <v>44908</v>
      </c>
      <c r="S4893" t="s">
        <v>45042</v>
      </c>
      <c r="T4893" t="s">
        <v>46436</v>
      </c>
      <c r="U4893" t="s">
        <v>50858</v>
      </c>
      <c r="W4893" t="s">
        <v>42159</v>
      </c>
      <c r="X4893" t="s">
        <v>44909</v>
      </c>
    </row>
    <row r="4894" spans="1:24">
      <c r="A4894">
        <f>HYPERLINK("https://www.philgeps.gov.ph/GEPSNONPILOT/Tender/SplashBidNoticeAbstractUI.aspx?menuIndex=3&amp;refID=7081728&amp;Result=3","7081728")</f>
        <v>0</v>
      </c>
      <c r="B4894" t="s">
        <v>145</v>
      </c>
      <c r="C4894" t="s">
        <v>8207</v>
      </c>
      <c r="D4894" t="s">
        <v>18116</v>
      </c>
      <c r="E4894" t="s">
        <v>22567</v>
      </c>
      <c r="F4894" t="s">
        <v>31362</v>
      </c>
      <c r="G4894" t="s">
        <v>31369</v>
      </c>
      <c r="H4894" t="s">
        <v>31378</v>
      </c>
      <c r="I4894" t="s">
        <v>31386</v>
      </c>
      <c r="J4894" t="s">
        <v>34678</v>
      </c>
      <c r="K4894" t="s">
        <v>40677</v>
      </c>
      <c r="M4894" t="s">
        <v>41083</v>
      </c>
      <c r="N4894" t="s">
        <v>44905</v>
      </c>
      <c r="O4894" t="s">
        <v>44906</v>
      </c>
      <c r="P4894">
        <v>0</v>
      </c>
      <c r="Q4894">
        <v>0</v>
      </c>
      <c r="R4894" t="s">
        <v>44908</v>
      </c>
      <c r="S4894" t="s">
        <v>45042</v>
      </c>
      <c r="T4894" t="s">
        <v>46469</v>
      </c>
      <c r="U4894" t="s">
        <v>47168</v>
      </c>
      <c r="W4894" t="s">
        <v>41083</v>
      </c>
      <c r="X4894" t="s">
        <v>44909</v>
      </c>
    </row>
    <row r="4895" spans="1:24">
      <c r="A4895">
        <f>HYPERLINK("https://www.philgeps.gov.ph/GEPSNONPILOT/Tender/SplashBidNoticeAbstractUI.aspx?menuIndex=3&amp;refID=7081641&amp;Result=3","7081641")</f>
        <v>0</v>
      </c>
      <c r="B4895" t="s">
        <v>1519</v>
      </c>
      <c r="C4895" t="s">
        <v>8208</v>
      </c>
      <c r="D4895" t="s">
        <v>18108</v>
      </c>
      <c r="E4895" t="s">
        <v>22568</v>
      </c>
      <c r="F4895" t="s">
        <v>31362</v>
      </c>
      <c r="G4895" t="s">
        <v>31369</v>
      </c>
      <c r="H4895" t="s">
        <v>31378</v>
      </c>
      <c r="I4895" t="s">
        <v>31386</v>
      </c>
      <c r="J4895" t="s">
        <v>34679</v>
      </c>
      <c r="K4895" t="s">
        <v>40684</v>
      </c>
      <c r="M4895" t="s">
        <v>42656</v>
      </c>
      <c r="N4895" t="s">
        <v>44905</v>
      </c>
      <c r="O4895" t="s">
        <v>44906</v>
      </c>
      <c r="P4895">
        <v>0</v>
      </c>
      <c r="Q4895">
        <v>4</v>
      </c>
      <c r="R4895" t="s">
        <v>44908</v>
      </c>
      <c r="S4895" t="s">
        <v>45042</v>
      </c>
      <c r="T4895" t="s">
        <v>46433</v>
      </c>
      <c r="U4895" t="s">
        <v>50837</v>
      </c>
      <c r="W4895" t="s">
        <v>42656</v>
      </c>
      <c r="X4895" t="s">
        <v>44909</v>
      </c>
    </row>
    <row r="4896" spans="1:24">
      <c r="A4896">
        <f>HYPERLINK("https://www.philgeps.gov.ph/GEPSNONPILOT/Tender/SplashBidNoticeAbstractUI.aspx?menuIndex=3&amp;refID=7081726&amp;Result=3","7081726")</f>
        <v>0</v>
      </c>
      <c r="B4896" t="s">
        <v>1623</v>
      </c>
      <c r="C4896" t="s">
        <v>8209</v>
      </c>
      <c r="D4896" t="s">
        <v>18142</v>
      </c>
      <c r="E4896" t="s">
        <v>22569</v>
      </c>
      <c r="F4896" t="s">
        <v>31362</v>
      </c>
      <c r="G4896" t="s">
        <v>31369</v>
      </c>
      <c r="H4896" t="s">
        <v>31378</v>
      </c>
      <c r="I4896" t="s">
        <v>31386</v>
      </c>
      <c r="J4896" t="s">
        <v>34680</v>
      </c>
      <c r="K4896" t="s">
        <v>40694</v>
      </c>
      <c r="M4896" t="s">
        <v>42682</v>
      </c>
      <c r="N4896" t="s">
        <v>44905</v>
      </c>
      <c r="O4896" t="s">
        <v>44906</v>
      </c>
      <c r="P4896">
        <v>0</v>
      </c>
      <c r="Q4896">
        <v>0</v>
      </c>
      <c r="R4896" t="s">
        <v>44908</v>
      </c>
      <c r="S4896" t="s">
        <v>45042</v>
      </c>
      <c r="T4896" t="s">
        <v>46486</v>
      </c>
      <c r="U4896" t="s">
        <v>50894</v>
      </c>
      <c r="W4896" t="s">
        <v>42682</v>
      </c>
      <c r="X4896" t="s">
        <v>44909</v>
      </c>
    </row>
    <row r="4897" spans="1:24">
      <c r="A4897">
        <f>HYPERLINK("https://www.philgeps.gov.ph/GEPSNONPILOT/Tender/SplashBidNoticeAbstractUI.aspx?menuIndex=3&amp;refID=7081725&amp;Result=3","7081725")</f>
        <v>0</v>
      </c>
      <c r="B4897" t="s">
        <v>121</v>
      </c>
      <c r="C4897" t="s">
        <v>8210</v>
      </c>
      <c r="D4897" t="s">
        <v>18144</v>
      </c>
      <c r="E4897" t="s">
        <v>22570</v>
      </c>
      <c r="F4897" t="s">
        <v>31362</v>
      </c>
      <c r="G4897" t="s">
        <v>31369</v>
      </c>
      <c r="H4897" t="s">
        <v>15799</v>
      </c>
      <c r="I4897" t="s">
        <v>4942</v>
      </c>
      <c r="J4897" t="s">
        <v>34681</v>
      </c>
      <c r="K4897" t="s">
        <v>40661</v>
      </c>
      <c r="M4897" t="s">
        <v>41058</v>
      </c>
      <c r="N4897" t="s">
        <v>44905</v>
      </c>
      <c r="O4897" t="s">
        <v>44906</v>
      </c>
      <c r="P4897">
        <v>0</v>
      </c>
      <c r="Q4897">
        <v>0</v>
      </c>
      <c r="R4897" t="s">
        <v>44908</v>
      </c>
      <c r="S4897" t="s">
        <v>45042</v>
      </c>
      <c r="T4897" t="s">
        <v>46392</v>
      </c>
      <c r="U4897" t="s">
        <v>50895</v>
      </c>
      <c r="W4897" t="s">
        <v>41058</v>
      </c>
      <c r="X4897" t="s">
        <v>44909</v>
      </c>
    </row>
    <row r="4898" spans="1:24">
      <c r="A4898">
        <f>HYPERLINK("https://www.philgeps.gov.ph/GEPSNONPILOT/Tender/SplashBidNoticeAbstractUI.aspx?menuIndex=3&amp;refID=7081723&amp;Result=3","7081723")</f>
        <v>0</v>
      </c>
      <c r="B4898" t="s">
        <v>1624</v>
      </c>
      <c r="C4898" t="s">
        <v>8211</v>
      </c>
      <c r="D4898" t="s">
        <v>18123</v>
      </c>
      <c r="E4898" t="s">
        <v>18547</v>
      </c>
      <c r="F4898" t="s">
        <v>31363</v>
      </c>
      <c r="G4898" t="s">
        <v>31369</v>
      </c>
      <c r="H4898" t="s">
        <v>15799</v>
      </c>
      <c r="I4898" t="s">
        <v>31393</v>
      </c>
      <c r="J4898" t="s">
        <v>34682</v>
      </c>
      <c r="K4898" t="s">
        <v>40682</v>
      </c>
      <c r="M4898" t="s">
        <v>42683</v>
      </c>
      <c r="N4898" t="s">
        <v>44905</v>
      </c>
      <c r="O4898" t="s">
        <v>44906</v>
      </c>
      <c r="P4898">
        <v>0</v>
      </c>
      <c r="Q4898">
        <v>1</v>
      </c>
      <c r="R4898" t="s">
        <v>44908</v>
      </c>
      <c r="S4898" t="s">
        <v>45042</v>
      </c>
      <c r="T4898" t="s">
        <v>46608</v>
      </c>
      <c r="U4898" t="s">
        <v>50896</v>
      </c>
      <c r="W4898" t="s">
        <v>42683</v>
      </c>
      <c r="X4898" t="s">
        <v>44909</v>
      </c>
    </row>
    <row r="4899" spans="1:24">
      <c r="A4899">
        <f>HYPERLINK("https://www.philgeps.gov.ph/GEPSNONPILOT/Tender/SplashBidNoticeAbstractUI.aspx?menuIndex=3&amp;refID=7081720&amp;Result=3","7081720")</f>
        <v>0</v>
      </c>
      <c r="B4899" t="s">
        <v>1625</v>
      </c>
      <c r="C4899" t="s">
        <v>8212</v>
      </c>
      <c r="E4899" t="s">
        <v>22571</v>
      </c>
      <c r="F4899" t="s">
        <v>31362</v>
      </c>
      <c r="G4899" t="s">
        <v>31368</v>
      </c>
      <c r="H4899" t="s">
        <v>15799</v>
      </c>
      <c r="I4899" t="s">
        <v>31497</v>
      </c>
      <c r="J4899" t="s">
        <v>31625</v>
      </c>
      <c r="K4899" t="s">
        <v>40662</v>
      </c>
      <c r="M4899" t="s">
        <v>42684</v>
      </c>
      <c r="N4899" t="s">
        <v>44905</v>
      </c>
      <c r="O4899" t="s">
        <v>44906</v>
      </c>
      <c r="P4899">
        <v>0</v>
      </c>
      <c r="Q4899">
        <v>1</v>
      </c>
      <c r="R4899" t="s">
        <v>44908</v>
      </c>
      <c r="S4899" t="s">
        <v>45042</v>
      </c>
      <c r="T4899" t="s">
        <v>46438</v>
      </c>
      <c r="U4899" t="s">
        <v>50897</v>
      </c>
      <c r="V4899" t="s">
        <v>59525</v>
      </c>
      <c r="W4899" t="s">
        <v>42684</v>
      </c>
      <c r="X4899" t="s">
        <v>44909</v>
      </c>
    </row>
    <row r="4900" spans="1:24">
      <c r="A4900">
        <f>HYPERLINK("https://www.philgeps.gov.ph/GEPSNONPILOT/Tender/SplashBidNoticeAbstractUI.aspx?menuIndex=3&amp;refID=7081718&amp;Result=3","7081718")</f>
        <v>0</v>
      </c>
      <c r="B4900" t="s">
        <v>1150</v>
      </c>
      <c r="C4900" t="s">
        <v>8213</v>
      </c>
      <c r="E4900" t="s">
        <v>22572</v>
      </c>
      <c r="F4900" t="s">
        <v>31362</v>
      </c>
      <c r="G4900" t="s">
        <v>31369</v>
      </c>
      <c r="H4900" t="s">
        <v>31378</v>
      </c>
      <c r="I4900" t="s">
        <v>31386</v>
      </c>
      <c r="J4900" t="s">
        <v>34683</v>
      </c>
      <c r="K4900" t="s">
        <v>40662</v>
      </c>
      <c r="M4900" t="s">
        <v>42159</v>
      </c>
      <c r="N4900" t="s">
        <v>44905</v>
      </c>
      <c r="O4900" t="s">
        <v>44906</v>
      </c>
      <c r="P4900">
        <v>0</v>
      </c>
      <c r="Q4900">
        <v>0</v>
      </c>
      <c r="R4900" t="s">
        <v>44908</v>
      </c>
      <c r="S4900" t="s">
        <v>45042</v>
      </c>
      <c r="T4900" t="s">
        <v>46436</v>
      </c>
      <c r="U4900" t="s">
        <v>50858</v>
      </c>
      <c r="W4900" t="s">
        <v>42159</v>
      </c>
      <c r="X4900" t="s">
        <v>44909</v>
      </c>
    </row>
    <row r="4901" spans="1:24">
      <c r="A4901">
        <f>HYPERLINK("https://www.philgeps.gov.ph/GEPSNONPILOT/Tender/SplashBidNoticeAbstractUI.aspx?menuIndex=3&amp;refID=7081727&amp;Result=3","7081727")</f>
        <v>0</v>
      </c>
      <c r="B4901" t="s">
        <v>298</v>
      </c>
      <c r="C4901" t="s">
        <v>8214</v>
      </c>
      <c r="D4901" t="s">
        <v>18168</v>
      </c>
      <c r="E4901" t="s">
        <v>22573</v>
      </c>
      <c r="F4901" t="s">
        <v>31362</v>
      </c>
      <c r="G4901" t="s">
        <v>31368</v>
      </c>
      <c r="H4901" t="s">
        <v>15799</v>
      </c>
      <c r="I4901" t="s">
        <v>31380</v>
      </c>
      <c r="J4901" t="s">
        <v>34684</v>
      </c>
      <c r="K4901" t="s">
        <v>40670</v>
      </c>
      <c r="M4901" t="s">
        <v>42685</v>
      </c>
      <c r="N4901" t="s">
        <v>44905</v>
      </c>
      <c r="O4901" t="s">
        <v>44906</v>
      </c>
      <c r="P4901">
        <v>0</v>
      </c>
      <c r="Q4901">
        <v>1</v>
      </c>
      <c r="R4901" t="s">
        <v>44908</v>
      </c>
      <c r="S4901" t="s">
        <v>45042</v>
      </c>
      <c r="T4901" t="s">
        <v>46416</v>
      </c>
      <c r="U4901" t="s">
        <v>50898</v>
      </c>
      <c r="W4901" t="s">
        <v>42685</v>
      </c>
      <c r="X4901" t="s">
        <v>44909</v>
      </c>
    </row>
    <row r="4902" spans="1:24">
      <c r="A4902">
        <f>HYPERLINK("https://www.philgeps.gov.ph/GEPSNONPILOT/Tender/SplashBidNoticeAbstractUI.aspx?menuIndex=3&amp;refID=7081716&amp;Result=3","7081716")</f>
        <v>0</v>
      </c>
      <c r="B4902" t="s">
        <v>233</v>
      </c>
      <c r="C4902" t="s">
        <v>8215</v>
      </c>
      <c r="D4902" t="s">
        <v>18108</v>
      </c>
      <c r="E4902" t="s">
        <v>22574</v>
      </c>
      <c r="F4902" t="s">
        <v>31362</v>
      </c>
      <c r="G4902" t="s">
        <v>31368</v>
      </c>
      <c r="H4902" t="s">
        <v>15799</v>
      </c>
      <c r="I4902" t="s">
        <v>31388</v>
      </c>
      <c r="J4902" t="s">
        <v>34685</v>
      </c>
      <c r="K4902" t="s">
        <v>40662</v>
      </c>
      <c r="M4902" t="s">
        <v>42686</v>
      </c>
      <c r="N4902" t="s">
        <v>44905</v>
      </c>
      <c r="O4902" t="s">
        <v>44906</v>
      </c>
      <c r="P4902">
        <v>0</v>
      </c>
      <c r="Q4902">
        <v>3</v>
      </c>
      <c r="R4902" t="s">
        <v>44908</v>
      </c>
      <c r="S4902" t="s">
        <v>45042</v>
      </c>
      <c r="T4902" t="s">
        <v>46498</v>
      </c>
      <c r="U4902" t="s">
        <v>50899</v>
      </c>
      <c r="W4902" t="s">
        <v>42686</v>
      </c>
      <c r="X4902" t="s">
        <v>44909</v>
      </c>
    </row>
    <row r="4903" spans="1:24">
      <c r="A4903">
        <f>HYPERLINK("https://www.philgeps.gov.ph/GEPSNONPILOT/Tender/SplashBidNoticeAbstractUI.aspx?menuIndex=3&amp;refID=7081722&amp;Result=3","7081722")</f>
        <v>0</v>
      </c>
      <c r="B4903" t="s">
        <v>1626</v>
      </c>
      <c r="C4903" t="s">
        <v>8216</v>
      </c>
      <c r="D4903" t="s">
        <v>18148</v>
      </c>
      <c r="E4903" t="s">
        <v>22575</v>
      </c>
      <c r="F4903" t="s">
        <v>31362</v>
      </c>
      <c r="G4903" t="s">
        <v>31368</v>
      </c>
      <c r="H4903" t="s">
        <v>15799</v>
      </c>
      <c r="I4903" t="s">
        <v>31434</v>
      </c>
      <c r="J4903" t="s">
        <v>31806</v>
      </c>
      <c r="K4903" t="s">
        <v>40662</v>
      </c>
      <c r="M4903" t="s">
        <v>42687</v>
      </c>
      <c r="N4903" t="s">
        <v>44905</v>
      </c>
      <c r="O4903" t="s">
        <v>44906</v>
      </c>
      <c r="P4903">
        <v>0</v>
      </c>
      <c r="Q4903">
        <v>0</v>
      </c>
      <c r="R4903" t="s">
        <v>44908</v>
      </c>
      <c r="S4903" t="s">
        <v>45042</v>
      </c>
      <c r="T4903" t="s">
        <v>46443</v>
      </c>
      <c r="U4903" t="s">
        <v>50900</v>
      </c>
      <c r="W4903" t="s">
        <v>42687</v>
      </c>
      <c r="X4903" t="s">
        <v>44909</v>
      </c>
    </row>
    <row r="4904" spans="1:24">
      <c r="A4904">
        <f>HYPERLINK("https://www.philgeps.gov.ph/GEPSNONPILOT/Tender/SplashBidNoticeAbstractUI.aspx?menuIndex=3&amp;refID=7081714&amp;Result=3","7081714")</f>
        <v>0</v>
      </c>
      <c r="B4904" t="s">
        <v>1150</v>
      </c>
      <c r="C4904" t="s">
        <v>8217</v>
      </c>
      <c r="E4904" t="s">
        <v>22576</v>
      </c>
      <c r="F4904" t="s">
        <v>31362</v>
      </c>
      <c r="G4904" t="s">
        <v>31369</v>
      </c>
      <c r="H4904" t="s">
        <v>31378</v>
      </c>
      <c r="I4904" t="s">
        <v>31386</v>
      </c>
      <c r="J4904" t="s">
        <v>33789</v>
      </c>
      <c r="K4904" t="s">
        <v>40662</v>
      </c>
      <c r="M4904" t="s">
        <v>42159</v>
      </c>
      <c r="N4904" t="s">
        <v>44905</v>
      </c>
      <c r="O4904" t="s">
        <v>44906</v>
      </c>
      <c r="P4904">
        <v>0</v>
      </c>
      <c r="Q4904">
        <v>0</v>
      </c>
      <c r="R4904" t="s">
        <v>44908</v>
      </c>
      <c r="S4904" t="s">
        <v>45042</v>
      </c>
      <c r="T4904" t="s">
        <v>46436</v>
      </c>
      <c r="U4904" t="s">
        <v>50858</v>
      </c>
      <c r="W4904" t="s">
        <v>42159</v>
      </c>
      <c r="X4904" t="s">
        <v>44909</v>
      </c>
    </row>
    <row r="4905" spans="1:24">
      <c r="A4905">
        <f>HYPERLINK("https://www.philgeps.gov.ph/GEPSNONPILOT/Tender/SplashBidNoticeAbstractUI.aspx?menuIndex=3&amp;refID=7081712&amp;Result=3","7081712")</f>
        <v>0</v>
      </c>
      <c r="B4905" t="s">
        <v>1412</v>
      </c>
      <c r="C4905" t="s">
        <v>8218</v>
      </c>
      <c r="D4905" t="s">
        <v>18156</v>
      </c>
      <c r="E4905" t="s">
        <v>22577</v>
      </c>
      <c r="F4905" t="s">
        <v>31362</v>
      </c>
      <c r="G4905" t="s">
        <v>31369</v>
      </c>
      <c r="H4905" t="s">
        <v>15799</v>
      </c>
      <c r="I4905" t="s">
        <v>31404</v>
      </c>
      <c r="J4905" t="s">
        <v>34686</v>
      </c>
      <c r="K4905" t="s">
        <v>40723</v>
      </c>
      <c r="M4905" t="s">
        <v>42437</v>
      </c>
      <c r="N4905" t="s">
        <v>44905</v>
      </c>
      <c r="O4905" t="s">
        <v>44906</v>
      </c>
      <c r="P4905">
        <v>0</v>
      </c>
      <c r="Q4905">
        <v>0</v>
      </c>
      <c r="R4905" t="s">
        <v>44908</v>
      </c>
      <c r="S4905" t="s">
        <v>45042</v>
      </c>
      <c r="T4905" t="s">
        <v>46556</v>
      </c>
      <c r="U4905" t="s">
        <v>50901</v>
      </c>
      <c r="W4905" t="s">
        <v>42437</v>
      </c>
      <c r="X4905" t="s">
        <v>44909</v>
      </c>
    </row>
    <row r="4906" spans="1:24">
      <c r="A4906">
        <f>HYPERLINK("https://www.philgeps.gov.ph/GEPSNONPILOT/Tender/SplashBidNoticeAbstractUI.aspx?menuIndex=3&amp;refID=7081696&amp;Result=3","7081696")</f>
        <v>0</v>
      </c>
      <c r="B4906" t="s">
        <v>1613</v>
      </c>
      <c r="C4906" t="s">
        <v>8191</v>
      </c>
      <c r="D4906" t="s">
        <v>18111</v>
      </c>
      <c r="E4906" t="s">
        <v>22578</v>
      </c>
      <c r="F4906" t="s">
        <v>31362</v>
      </c>
      <c r="G4906" t="s">
        <v>31371</v>
      </c>
      <c r="H4906" t="s">
        <v>15799</v>
      </c>
      <c r="I4906" t="s">
        <v>6373</v>
      </c>
      <c r="J4906" t="s">
        <v>34687</v>
      </c>
      <c r="K4906" t="s">
        <v>40697</v>
      </c>
      <c r="M4906" t="s">
        <v>42672</v>
      </c>
      <c r="N4906" t="s">
        <v>44905</v>
      </c>
      <c r="O4906" t="s">
        <v>44906</v>
      </c>
      <c r="P4906">
        <v>0</v>
      </c>
      <c r="Q4906">
        <v>1</v>
      </c>
      <c r="R4906" t="s">
        <v>44908</v>
      </c>
      <c r="S4906" t="s">
        <v>45042</v>
      </c>
      <c r="T4906" t="s">
        <v>46443</v>
      </c>
      <c r="U4906" t="s">
        <v>50862</v>
      </c>
      <c r="W4906" t="s">
        <v>42672</v>
      </c>
      <c r="X4906" t="s">
        <v>44909</v>
      </c>
    </row>
    <row r="4907" spans="1:24">
      <c r="A4907">
        <f>HYPERLINK("https://www.philgeps.gov.ph/GEPSNONPILOT/Tender/SplashBidNoticeAbstractUI.aspx?menuIndex=3&amp;refID=7081709&amp;Result=3","7081709")</f>
        <v>0</v>
      </c>
      <c r="B4907" t="s">
        <v>1613</v>
      </c>
      <c r="C4907" t="s">
        <v>8191</v>
      </c>
      <c r="D4907" t="s">
        <v>18111</v>
      </c>
      <c r="E4907" t="s">
        <v>22579</v>
      </c>
      <c r="F4907" t="s">
        <v>31362</v>
      </c>
      <c r="G4907" t="s">
        <v>31371</v>
      </c>
      <c r="H4907" t="s">
        <v>15799</v>
      </c>
      <c r="I4907" t="s">
        <v>6373</v>
      </c>
      <c r="J4907" t="s">
        <v>34688</v>
      </c>
      <c r="K4907" t="s">
        <v>40697</v>
      </c>
      <c r="M4907" t="s">
        <v>42672</v>
      </c>
      <c r="N4907" t="s">
        <v>44905</v>
      </c>
      <c r="O4907" t="s">
        <v>44906</v>
      </c>
      <c r="P4907">
        <v>0</v>
      </c>
      <c r="Q4907">
        <v>0</v>
      </c>
      <c r="R4907" t="s">
        <v>44908</v>
      </c>
      <c r="S4907" t="s">
        <v>45042</v>
      </c>
      <c r="T4907" t="s">
        <v>46443</v>
      </c>
      <c r="U4907" t="s">
        <v>50862</v>
      </c>
      <c r="W4907" t="s">
        <v>42672</v>
      </c>
      <c r="X4907" t="s">
        <v>44909</v>
      </c>
    </row>
    <row r="4908" spans="1:24">
      <c r="A4908">
        <f>HYPERLINK("https://www.philgeps.gov.ph/GEPSNONPILOT/Tender/SplashBidNoticeAbstractUI.aspx?menuIndex=3&amp;refID=7081715&amp;Result=3","7081715")</f>
        <v>0</v>
      </c>
      <c r="B4908" t="s">
        <v>298</v>
      </c>
      <c r="C4908" t="s">
        <v>8219</v>
      </c>
      <c r="D4908" t="s">
        <v>18168</v>
      </c>
      <c r="E4908" t="s">
        <v>22580</v>
      </c>
      <c r="F4908" t="s">
        <v>31362</v>
      </c>
      <c r="G4908" t="s">
        <v>31368</v>
      </c>
      <c r="H4908" t="s">
        <v>15799</v>
      </c>
      <c r="I4908" t="s">
        <v>13635</v>
      </c>
      <c r="J4908" t="s">
        <v>34689</v>
      </c>
      <c r="K4908" t="s">
        <v>40670</v>
      </c>
      <c r="M4908" t="s">
        <v>42685</v>
      </c>
      <c r="N4908" t="s">
        <v>44905</v>
      </c>
      <c r="O4908" t="s">
        <v>44906</v>
      </c>
      <c r="P4908">
        <v>0</v>
      </c>
      <c r="Q4908">
        <v>0</v>
      </c>
      <c r="R4908" t="s">
        <v>44908</v>
      </c>
      <c r="S4908" t="s">
        <v>45042</v>
      </c>
      <c r="T4908" t="s">
        <v>46467</v>
      </c>
      <c r="U4908" t="s">
        <v>50902</v>
      </c>
      <c r="W4908" t="s">
        <v>42685</v>
      </c>
      <c r="X4908" t="s">
        <v>44909</v>
      </c>
    </row>
    <row r="4909" spans="1:24">
      <c r="A4909">
        <f>HYPERLINK("https://www.philgeps.gov.ph/GEPSNONPILOT/Tender/SplashBidNoticeAbstractUI.aspx?menuIndex=3&amp;refID=7081710&amp;Result=3","7081710")</f>
        <v>0</v>
      </c>
      <c r="B4909" t="s">
        <v>1627</v>
      </c>
      <c r="C4909" t="s">
        <v>8220</v>
      </c>
      <c r="D4909" t="s">
        <v>18148</v>
      </c>
      <c r="E4909" t="s">
        <v>22581</v>
      </c>
      <c r="F4909" t="s">
        <v>31362</v>
      </c>
      <c r="G4909" t="s">
        <v>31369</v>
      </c>
      <c r="H4909" t="s">
        <v>15799</v>
      </c>
      <c r="I4909" t="s">
        <v>31483</v>
      </c>
      <c r="J4909" t="s">
        <v>33097</v>
      </c>
      <c r="K4909" t="s">
        <v>40680</v>
      </c>
      <c r="M4909" t="s">
        <v>42688</v>
      </c>
      <c r="N4909" t="s">
        <v>44905</v>
      </c>
      <c r="O4909" t="s">
        <v>44906</v>
      </c>
      <c r="P4909">
        <v>0</v>
      </c>
      <c r="Q4909">
        <v>3</v>
      </c>
      <c r="R4909" t="s">
        <v>44908</v>
      </c>
      <c r="S4909" t="s">
        <v>45042</v>
      </c>
      <c r="T4909" t="s">
        <v>46420</v>
      </c>
      <c r="U4909" t="s">
        <v>50903</v>
      </c>
      <c r="V4909" t="s">
        <v>59526</v>
      </c>
      <c r="W4909" t="s">
        <v>42688</v>
      </c>
      <c r="X4909" t="s">
        <v>44909</v>
      </c>
    </row>
    <row r="4910" spans="1:24">
      <c r="A4910">
        <f>HYPERLINK("https://www.philgeps.gov.ph/GEPSNONPILOT/Tender/SplashBidNoticeAbstractUI.aspx?menuIndex=3&amp;refID=7081762&amp;Result=3","7081762")</f>
        <v>0</v>
      </c>
      <c r="B4910" t="s">
        <v>1628</v>
      </c>
      <c r="C4910" t="s">
        <v>8221</v>
      </c>
      <c r="D4910" t="s">
        <v>18109</v>
      </c>
      <c r="E4910" t="s">
        <v>22582</v>
      </c>
      <c r="F4910" t="s">
        <v>31362</v>
      </c>
      <c r="G4910" t="s">
        <v>31369</v>
      </c>
      <c r="H4910" t="s">
        <v>31378</v>
      </c>
      <c r="I4910" t="s">
        <v>31386</v>
      </c>
      <c r="J4910" t="s">
        <v>34690</v>
      </c>
      <c r="K4910" t="s">
        <v>40679</v>
      </c>
      <c r="M4910" t="s">
        <v>42689</v>
      </c>
      <c r="N4910" t="s">
        <v>44905</v>
      </c>
      <c r="O4910" t="s">
        <v>44906</v>
      </c>
      <c r="P4910">
        <v>0</v>
      </c>
      <c r="Q4910">
        <v>0</v>
      </c>
      <c r="R4910" t="s">
        <v>44908</v>
      </c>
      <c r="S4910" t="s">
        <v>45042</v>
      </c>
      <c r="T4910" t="s">
        <v>46429</v>
      </c>
      <c r="U4910" t="s">
        <v>50904</v>
      </c>
      <c r="W4910" t="s">
        <v>42689</v>
      </c>
      <c r="X4910" t="s">
        <v>44909</v>
      </c>
    </row>
    <row r="4911" spans="1:24">
      <c r="A4911">
        <f>HYPERLINK("https://www.philgeps.gov.ph/GEPSNONPILOT/Tender/SplashBidNoticeAbstractUI.aspx?menuIndex=3&amp;refID=7081669&amp;Result=3","7081669")</f>
        <v>0</v>
      </c>
      <c r="B4911" t="s">
        <v>1629</v>
      </c>
      <c r="C4911" t="s">
        <v>8222</v>
      </c>
      <c r="D4911" t="s">
        <v>18108</v>
      </c>
      <c r="E4911" t="s">
        <v>22583</v>
      </c>
      <c r="F4911" t="s">
        <v>31362</v>
      </c>
      <c r="G4911" t="s">
        <v>31369</v>
      </c>
      <c r="H4911" t="s">
        <v>15799</v>
      </c>
      <c r="I4911" t="s">
        <v>31433</v>
      </c>
      <c r="J4911" t="s">
        <v>34540</v>
      </c>
      <c r="K4911" t="s">
        <v>40682</v>
      </c>
      <c r="M4911" t="s">
        <v>42690</v>
      </c>
      <c r="N4911" t="s">
        <v>44905</v>
      </c>
      <c r="O4911" t="s">
        <v>44906</v>
      </c>
      <c r="P4911">
        <v>0</v>
      </c>
      <c r="Q4911">
        <v>6</v>
      </c>
      <c r="R4911" t="s">
        <v>44908</v>
      </c>
      <c r="S4911" t="s">
        <v>45042</v>
      </c>
      <c r="T4911" t="s">
        <v>46401</v>
      </c>
      <c r="U4911" t="s">
        <v>50905</v>
      </c>
      <c r="W4911" t="s">
        <v>42690</v>
      </c>
      <c r="X4911" t="s">
        <v>44909</v>
      </c>
    </row>
    <row r="4912" spans="1:24">
      <c r="A4912">
        <f>HYPERLINK("https://www.philgeps.gov.ph/GEPSNONPILOT/Tender/SplashBidNoticeAbstractUI.aspx?menuIndex=3&amp;refID=7081724&amp;Result=3","7081724")</f>
        <v>0</v>
      </c>
      <c r="B4912" t="s">
        <v>1612</v>
      </c>
      <c r="C4912" t="s">
        <v>8223</v>
      </c>
      <c r="D4912" t="s">
        <v>18111</v>
      </c>
      <c r="E4912" t="s">
        <v>18874</v>
      </c>
      <c r="F4912" t="s">
        <v>31362</v>
      </c>
      <c r="G4912" t="s">
        <v>31371</v>
      </c>
      <c r="H4912" t="s">
        <v>15799</v>
      </c>
      <c r="I4912" t="s">
        <v>31422</v>
      </c>
      <c r="J4912" t="s">
        <v>34691</v>
      </c>
      <c r="K4912" t="s">
        <v>40670</v>
      </c>
      <c r="M4912" t="s">
        <v>42671</v>
      </c>
      <c r="N4912" t="s">
        <v>44905</v>
      </c>
      <c r="O4912" t="s">
        <v>44906</v>
      </c>
      <c r="P4912">
        <v>0</v>
      </c>
      <c r="Q4912">
        <v>1</v>
      </c>
      <c r="R4912" t="s">
        <v>44908</v>
      </c>
      <c r="S4912" t="s">
        <v>45042</v>
      </c>
      <c r="T4912" t="s">
        <v>46506</v>
      </c>
      <c r="U4912" t="s">
        <v>50862</v>
      </c>
      <c r="W4912" t="s">
        <v>42671</v>
      </c>
      <c r="X4912" t="s">
        <v>44909</v>
      </c>
    </row>
    <row r="4913" spans="1:24">
      <c r="A4913">
        <f>HYPERLINK("https://www.philgeps.gov.ph/GEPSNONPILOT/Tender/SplashBidNoticeAbstractUI.aspx?menuIndex=3&amp;refID=7081760&amp;Result=3","7081760")</f>
        <v>0</v>
      </c>
      <c r="B4913" t="s">
        <v>1628</v>
      </c>
      <c r="C4913" t="s">
        <v>8224</v>
      </c>
      <c r="D4913" t="s">
        <v>18109</v>
      </c>
      <c r="E4913" t="s">
        <v>22584</v>
      </c>
      <c r="F4913" t="s">
        <v>31362</v>
      </c>
      <c r="G4913" t="s">
        <v>31369</v>
      </c>
      <c r="H4913" t="s">
        <v>31378</v>
      </c>
      <c r="I4913" t="s">
        <v>31386</v>
      </c>
      <c r="J4913" t="s">
        <v>34690</v>
      </c>
      <c r="K4913" t="s">
        <v>40679</v>
      </c>
      <c r="M4913" t="s">
        <v>42689</v>
      </c>
      <c r="N4913" t="s">
        <v>44905</v>
      </c>
      <c r="O4913" t="s">
        <v>44906</v>
      </c>
      <c r="P4913">
        <v>0</v>
      </c>
      <c r="Q4913">
        <v>1</v>
      </c>
      <c r="R4913" t="s">
        <v>44908</v>
      </c>
      <c r="S4913" t="s">
        <v>45042</v>
      </c>
      <c r="T4913" t="s">
        <v>46429</v>
      </c>
      <c r="U4913" t="s">
        <v>50904</v>
      </c>
      <c r="W4913" t="s">
        <v>42689</v>
      </c>
      <c r="X4913" t="s">
        <v>44909</v>
      </c>
    </row>
    <row r="4914" spans="1:24">
      <c r="A4914">
        <f>HYPERLINK("https://www.philgeps.gov.ph/GEPSNONPILOT/Tender/SplashBidNoticeAbstractUI.aspx?menuIndex=3&amp;refID=7081640&amp;Result=3","7081640")</f>
        <v>0</v>
      </c>
      <c r="B4914" t="s">
        <v>1630</v>
      </c>
      <c r="C4914" t="s">
        <v>8225</v>
      </c>
      <c r="D4914" t="s">
        <v>18123</v>
      </c>
      <c r="E4914" t="s">
        <v>22585</v>
      </c>
      <c r="F4914" t="s">
        <v>31362</v>
      </c>
      <c r="G4914" t="s">
        <v>31370</v>
      </c>
      <c r="H4914" t="s">
        <v>31378</v>
      </c>
      <c r="I4914" t="s">
        <v>3815</v>
      </c>
      <c r="J4914" t="s">
        <v>34692</v>
      </c>
      <c r="K4914" t="s">
        <v>40662</v>
      </c>
      <c r="M4914" t="s">
        <v>42691</v>
      </c>
      <c r="N4914" t="s">
        <v>44905</v>
      </c>
      <c r="O4914" t="s">
        <v>44906</v>
      </c>
      <c r="P4914">
        <v>0</v>
      </c>
      <c r="Q4914">
        <v>0</v>
      </c>
      <c r="R4914" t="s">
        <v>44908</v>
      </c>
      <c r="S4914" t="s">
        <v>45042</v>
      </c>
      <c r="T4914" t="s">
        <v>46443</v>
      </c>
      <c r="U4914" t="s">
        <v>50906</v>
      </c>
      <c r="W4914" t="s">
        <v>42691</v>
      </c>
      <c r="X4914" t="s">
        <v>44909</v>
      </c>
    </row>
    <row r="4915" spans="1:24">
      <c r="A4915">
        <f>HYPERLINK("https://www.philgeps.gov.ph/GEPSNONPILOT/Tender/SplashBidNoticeAbstractUI.aspx?menuIndex=3&amp;refID=7081759&amp;Result=3","7081759")</f>
        <v>0</v>
      </c>
      <c r="B4915" t="s">
        <v>911</v>
      </c>
      <c r="C4915" t="s">
        <v>8226</v>
      </c>
      <c r="D4915" t="s">
        <v>18106</v>
      </c>
      <c r="E4915" t="s">
        <v>22586</v>
      </c>
      <c r="F4915" t="s">
        <v>31362</v>
      </c>
      <c r="G4915" t="s">
        <v>31368</v>
      </c>
      <c r="H4915" t="s">
        <v>15799</v>
      </c>
      <c r="I4915" t="s">
        <v>7090</v>
      </c>
      <c r="J4915" t="s">
        <v>31597</v>
      </c>
      <c r="K4915" t="s">
        <v>40662</v>
      </c>
      <c r="M4915" t="s">
        <v>41893</v>
      </c>
      <c r="N4915" t="s">
        <v>44905</v>
      </c>
      <c r="O4915" t="s">
        <v>44906</v>
      </c>
      <c r="P4915">
        <v>0</v>
      </c>
      <c r="Q4915">
        <v>1</v>
      </c>
      <c r="R4915" t="s">
        <v>44908</v>
      </c>
      <c r="S4915" t="s">
        <v>45042</v>
      </c>
      <c r="T4915" t="s">
        <v>46416</v>
      </c>
      <c r="U4915" t="s">
        <v>50907</v>
      </c>
      <c r="W4915" t="s">
        <v>41893</v>
      </c>
      <c r="X4915" t="s">
        <v>44909</v>
      </c>
    </row>
    <row r="4916" spans="1:24">
      <c r="A4916">
        <f>HYPERLINK("https://www.philgeps.gov.ph/GEPSNONPILOT/Tender/SplashBidNoticeAbstractUI.aspx?menuIndex=3&amp;refID=7081758&amp;Result=3","7081758")</f>
        <v>0</v>
      </c>
      <c r="B4916" t="s">
        <v>1215</v>
      </c>
      <c r="C4916" t="s">
        <v>8227</v>
      </c>
      <c r="D4916" t="s">
        <v>18108</v>
      </c>
      <c r="E4916" t="s">
        <v>22587</v>
      </c>
      <c r="F4916" t="s">
        <v>31362</v>
      </c>
      <c r="G4916" t="s">
        <v>31368</v>
      </c>
      <c r="H4916" t="s">
        <v>15799</v>
      </c>
      <c r="I4916" t="s">
        <v>31430</v>
      </c>
      <c r="J4916" t="s">
        <v>32097</v>
      </c>
      <c r="K4916" t="s">
        <v>40665</v>
      </c>
      <c r="M4916" t="s">
        <v>42228</v>
      </c>
      <c r="N4916" t="s">
        <v>44905</v>
      </c>
      <c r="O4916" t="s">
        <v>44906</v>
      </c>
      <c r="P4916">
        <v>0</v>
      </c>
      <c r="Q4916">
        <v>0</v>
      </c>
      <c r="R4916" t="s">
        <v>44908</v>
      </c>
      <c r="S4916" t="s">
        <v>45042</v>
      </c>
      <c r="T4916" t="s">
        <v>46425</v>
      </c>
      <c r="U4916" t="s">
        <v>50908</v>
      </c>
      <c r="W4916" t="s">
        <v>42228</v>
      </c>
      <c r="X4916" t="s">
        <v>44909</v>
      </c>
    </row>
    <row r="4917" spans="1:24">
      <c r="A4917">
        <f>HYPERLINK("https://www.philgeps.gov.ph/GEPSNONPILOT/Tender/SplashBidNoticeAbstractUI.aspx?menuIndex=3&amp;refID=7081719&amp;Result=3","7081719")</f>
        <v>0</v>
      </c>
      <c r="B4917" t="s">
        <v>1623</v>
      </c>
      <c r="C4917" t="s">
        <v>8228</v>
      </c>
      <c r="D4917" t="s">
        <v>18142</v>
      </c>
      <c r="E4917" t="s">
        <v>22588</v>
      </c>
      <c r="F4917" t="s">
        <v>31362</v>
      </c>
      <c r="G4917" t="s">
        <v>31369</v>
      </c>
      <c r="H4917" t="s">
        <v>31378</v>
      </c>
      <c r="I4917" t="s">
        <v>31386</v>
      </c>
      <c r="J4917" t="s">
        <v>34693</v>
      </c>
      <c r="K4917" t="s">
        <v>40683</v>
      </c>
      <c r="M4917" t="s">
        <v>42682</v>
      </c>
      <c r="N4917" t="s">
        <v>44905</v>
      </c>
      <c r="O4917" t="s">
        <v>44906</v>
      </c>
      <c r="P4917">
        <v>0</v>
      </c>
      <c r="Q4917">
        <v>0</v>
      </c>
      <c r="R4917" t="s">
        <v>44908</v>
      </c>
      <c r="S4917" t="s">
        <v>45042</v>
      </c>
      <c r="T4917" t="s">
        <v>46486</v>
      </c>
      <c r="U4917" t="s">
        <v>50909</v>
      </c>
      <c r="W4917" t="s">
        <v>42682</v>
      </c>
      <c r="X4917" t="s">
        <v>44909</v>
      </c>
    </row>
    <row r="4918" spans="1:24">
      <c r="A4918">
        <f>HYPERLINK("https://www.philgeps.gov.ph/GEPSNONPILOT/Tender/SplashBidNoticeAbstractUI.aspx?menuIndex=3&amp;refID=7081754&amp;Result=3","7081754")</f>
        <v>0</v>
      </c>
      <c r="B4918" t="s">
        <v>233</v>
      </c>
      <c r="C4918" t="s">
        <v>8229</v>
      </c>
      <c r="D4918" t="s">
        <v>18108</v>
      </c>
      <c r="E4918" t="s">
        <v>22589</v>
      </c>
      <c r="F4918" t="s">
        <v>31362</v>
      </c>
      <c r="G4918" t="s">
        <v>31368</v>
      </c>
      <c r="H4918" t="s">
        <v>15799</v>
      </c>
      <c r="I4918" t="s">
        <v>31472</v>
      </c>
      <c r="J4918" t="s">
        <v>33701</v>
      </c>
      <c r="K4918" t="s">
        <v>40662</v>
      </c>
      <c r="M4918" t="s">
        <v>42686</v>
      </c>
      <c r="N4918" t="s">
        <v>44905</v>
      </c>
      <c r="O4918" t="s">
        <v>44906</v>
      </c>
      <c r="P4918">
        <v>0</v>
      </c>
      <c r="Q4918">
        <v>3</v>
      </c>
      <c r="R4918" t="s">
        <v>44908</v>
      </c>
      <c r="S4918" t="s">
        <v>45042</v>
      </c>
      <c r="T4918" t="s">
        <v>46498</v>
      </c>
      <c r="U4918" t="s">
        <v>50910</v>
      </c>
      <c r="W4918" t="s">
        <v>42686</v>
      </c>
      <c r="X4918" t="s">
        <v>44909</v>
      </c>
    </row>
    <row r="4919" spans="1:24">
      <c r="A4919">
        <f>HYPERLINK("https://www.philgeps.gov.ph/GEPSNONPILOT/Tender/SplashBidNoticeAbstractUI.aspx?menuIndex=3&amp;refID=7081602&amp;Result=3","7081602")</f>
        <v>0</v>
      </c>
      <c r="B4919" t="s">
        <v>1631</v>
      </c>
      <c r="C4919" t="s">
        <v>8230</v>
      </c>
      <c r="D4919" t="s">
        <v>18104</v>
      </c>
      <c r="E4919" t="s">
        <v>22590</v>
      </c>
      <c r="F4919" t="s">
        <v>31362</v>
      </c>
      <c r="G4919" t="s">
        <v>31369</v>
      </c>
      <c r="H4919" t="s">
        <v>31378</v>
      </c>
      <c r="I4919" t="s">
        <v>31386</v>
      </c>
      <c r="J4919" t="s">
        <v>34694</v>
      </c>
      <c r="K4919" t="s">
        <v>40671</v>
      </c>
      <c r="M4919" t="s">
        <v>42692</v>
      </c>
      <c r="N4919" t="s">
        <v>44905</v>
      </c>
      <c r="O4919" t="s">
        <v>44906</v>
      </c>
      <c r="P4919">
        <v>0</v>
      </c>
      <c r="Q4919">
        <v>0</v>
      </c>
      <c r="R4919" t="s">
        <v>44908</v>
      </c>
      <c r="S4919" t="s">
        <v>45042</v>
      </c>
      <c r="T4919" t="s">
        <v>46470</v>
      </c>
      <c r="U4919" t="s">
        <v>50911</v>
      </c>
      <c r="W4919" t="s">
        <v>42692</v>
      </c>
      <c r="X4919" t="s">
        <v>44909</v>
      </c>
    </row>
    <row r="4920" spans="1:24">
      <c r="A4920">
        <f>HYPERLINK("https://www.philgeps.gov.ph/GEPSNONPILOT/Tender/SplashBidNoticeAbstractUI.aspx?menuIndex=3&amp;refID=7081752&amp;Result=3","7081752")</f>
        <v>0</v>
      </c>
      <c r="B4920" t="s">
        <v>1632</v>
      </c>
      <c r="C4920" t="s">
        <v>8231</v>
      </c>
      <c r="D4920" t="s">
        <v>18108</v>
      </c>
      <c r="E4920" t="s">
        <v>22591</v>
      </c>
      <c r="F4920" t="s">
        <v>31362</v>
      </c>
      <c r="G4920" t="s">
        <v>31368</v>
      </c>
      <c r="H4920" t="s">
        <v>15799</v>
      </c>
      <c r="I4920" t="s">
        <v>31393</v>
      </c>
      <c r="J4920" t="s">
        <v>32082</v>
      </c>
      <c r="K4920" t="s">
        <v>40661</v>
      </c>
      <c r="M4920" t="s">
        <v>42693</v>
      </c>
      <c r="N4920" t="s">
        <v>44905</v>
      </c>
      <c r="O4920" t="s">
        <v>44906</v>
      </c>
      <c r="P4920">
        <v>0</v>
      </c>
      <c r="Q4920">
        <v>14</v>
      </c>
      <c r="R4920" t="s">
        <v>44908</v>
      </c>
      <c r="S4920" t="s">
        <v>45042</v>
      </c>
      <c r="T4920" t="s">
        <v>46409</v>
      </c>
      <c r="U4920" t="s">
        <v>50912</v>
      </c>
      <c r="V4920" t="s">
        <v>59527</v>
      </c>
      <c r="W4920" t="s">
        <v>42693</v>
      </c>
      <c r="X4920" t="s">
        <v>44909</v>
      </c>
    </row>
    <row r="4921" spans="1:24">
      <c r="A4921">
        <f>HYPERLINK("https://www.philgeps.gov.ph/GEPSNONPILOT/Tender/SplashBidNoticeAbstractUI.aspx?menuIndex=3&amp;refID=7081751&amp;Result=3","7081751")</f>
        <v>0</v>
      </c>
      <c r="B4921" t="s">
        <v>1215</v>
      </c>
      <c r="C4921" t="s">
        <v>8232</v>
      </c>
      <c r="D4921" t="s">
        <v>18108</v>
      </c>
      <c r="E4921" t="s">
        <v>22592</v>
      </c>
      <c r="F4921" t="s">
        <v>31362</v>
      </c>
      <c r="G4921" t="s">
        <v>31368</v>
      </c>
      <c r="H4921" t="s">
        <v>15799</v>
      </c>
      <c r="I4921" t="s">
        <v>31430</v>
      </c>
      <c r="J4921" t="s">
        <v>34354</v>
      </c>
      <c r="K4921" t="s">
        <v>40665</v>
      </c>
      <c r="M4921" t="s">
        <v>42228</v>
      </c>
      <c r="N4921" t="s">
        <v>44905</v>
      </c>
      <c r="O4921" t="s">
        <v>44906</v>
      </c>
      <c r="P4921">
        <v>0</v>
      </c>
      <c r="Q4921">
        <v>1</v>
      </c>
      <c r="R4921" t="s">
        <v>44908</v>
      </c>
      <c r="S4921" t="s">
        <v>45042</v>
      </c>
      <c r="T4921" t="s">
        <v>46425</v>
      </c>
      <c r="U4921" t="s">
        <v>50913</v>
      </c>
      <c r="W4921" t="s">
        <v>42228</v>
      </c>
      <c r="X4921" t="s">
        <v>44909</v>
      </c>
    </row>
    <row r="4922" spans="1:24">
      <c r="A4922">
        <f>HYPERLINK("https://www.philgeps.gov.ph/GEPSNONPILOT/Tender/SplashBidNoticeAbstractUI.aspx?menuIndex=3&amp;refID=7081749&amp;Result=3","7081749")</f>
        <v>0</v>
      </c>
      <c r="B4922" t="s">
        <v>298</v>
      </c>
      <c r="C4922" t="s">
        <v>8233</v>
      </c>
      <c r="D4922" t="s">
        <v>18168</v>
      </c>
      <c r="E4922" t="s">
        <v>22593</v>
      </c>
      <c r="F4922" t="s">
        <v>31362</v>
      </c>
      <c r="G4922" t="s">
        <v>31368</v>
      </c>
      <c r="H4922" t="s">
        <v>15799</v>
      </c>
      <c r="I4922" t="s">
        <v>31380</v>
      </c>
      <c r="J4922" t="s">
        <v>34695</v>
      </c>
      <c r="K4922" t="s">
        <v>40670</v>
      </c>
      <c r="M4922" t="s">
        <v>42685</v>
      </c>
      <c r="N4922" t="s">
        <v>44905</v>
      </c>
      <c r="O4922" t="s">
        <v>44906</v>
      </c>
      <c r="P4922">
        <v>0</v>
      </c>
      <c r="Q4922">
        <v>0</v>
      </c>
      <c r="R4922" t="s">
        <v>44908</v>
      </c>
      <c r="S4922" t="s">
        <v>45042</v>
      </c>
      <c r="T4922" t="s">
        <v>46467</v>
      </c>
      <c r="U4922" t="s">
        <v>50914</v>
      </c>
      <c r="W4922" t="s">
        <v>42685</v>
      </c>
      <c r="X4922" t="s">
        <v>44909</v>
      </c>
    </row>
    <row r="4923" spans="1:24">
      <c r="A4923">
        <f>HYPERLINK("https://www.philgeps.gov.ph/GEPSNONPILOT/Tender/SplashBidNoticeAbstractUI.aspx?menuIndex=3&amp;refID=7081747&amp;Result=3","7081747")</f>
        <v>0</v>
      </c>
      <c r="B4923" t="s">
        <v>1633</v>
      </c>
      <c r="C4923" t="s">
        <v>7733</v>
      </c>
      <c r="D4923" t="s">
        <v>18105</v>
      </c>
      <c r="E4923" t="s">
        <v>21864</v>
      </c>
      <c r="F4923" t="s">
        <v>31362</v>
      </c>
      <c r="G4923" t="s">
        <v>31369</v>
      </c>
      <c r="H4923" t="s">
        <v>31378</v>
      </c>
      <c r="I4923" t="s">
        <v>31386</v>
      </c>
      <c r="J4923" t="s">
        <v>34696</v>
      </c>
      <c r="K4923" t="s">
        <v>40694</v>
      </c>
      <c r="M4923" t="s">
        <v>42694</v>
      </c>
      <c r="N4923" t="s">
        <v>44905</v>
      </c>
      <c r="O4923" t="s">
        <v>44906</v>
      </c>
      <c r="P4923">
        <v>0</v>
      </c>
      <c r="Q4923">
        <v>0</v>
      </c>
      <c r="R4923" t="s">
        <v>44908</v>
      </c>
      <c r="S4923" t="s">
        <v>45042</v>
      </c>
      <c r="T4923" t="s">
        <v>46470</v>
      </c>
      <c r="U4923" t="s">
        <v>50915</v>
      </c>
      <c r="W4923" t="s">
        <v>42694</v>
      </c>
      <c r="X4923" t="s">
        <v>44909</v>
      </c>
    </row>
    <row r="4924" spans="1:24">
      <c r="A4924">
        <f>HYPERLINK("https://www.philgeps.gov.ph/GEPSNONPILOT/Tender/SplashBidNoticeAbstractUI.aspx?menuIndex=3&amp;refID=7081761&amp;Result=3","7081761")</f>
        <v>0</v>
      </c>
      <c r="B4924" t="s">
        <v>1632</v>
      </c>
      <c r="C4924" t="s">
        <v>8234</v>
      </c>
      <c r="D4924" t="s">
        <v>18108</v>
      </c>
      <c r="E4924" t="s">
        <v>22594</v>
      </c>
      <c r="F4924" t="s">
        <v>31362</v>
      </c>
      <c r="G4924" t="s">
        <v>31368</v>
      </c>
      <c r="H4924" t="s">
        <v>15799</v>
      </c>
      <c r="I4924" t="s">
        <v>31418</v>
      </c>
      <c r="J4924" t="s">
        <v>31819</v>
      </c>
      <c r="K4924" t="s">
        <v>40666</v>
      </c>
      <c r="M4924" t="s">
        <v>42693</v>
      </c>
      <c r="N4924" t="s">
        <v>44905</v>
      </c>
      <c r="O4924" t="s">
        <v>44906</v>
      </c>
      <c r="P4924">
        <v>0</v>
      </c>
      <c r="Q4924">
        <v>0</v>
      </c>
      <c r="R4924" t="s">
        <v>44908</v>
      </c>
      <c r="S4924" t="s">
        <v>45042</v>
      </c>
      <c r="T4924" t="s">
        <v>46409</v>
      </c>
      <c r="U4924" t="s">
        <v>50916</v>
      </c>
      <c r="V4924" t="s">
        <v>59527</v>
      </c>
      <c r="W4924" t="s">
        <v>42693</v>
      </c>
      <c r="X4924" t="s">
        <v>44909</v>
      </c>
    </row>
    <row r="4925" spans="1:24">
      <c r="A4925">
        <f>HYPERLINK("https://www.philgeps.gov.ph/GEPSNONPILOT/Tender/SplashBidNoticeAbstractUI.aspx?menuIndex=3&amp;refID=7081746&amp;Result=3","7081746")</f>
        <v>0</v>
      </c>
      <c r="B4925" t="s">
        <v>1634</v>
      </c>
      <c r="C4925" t="s">
        <v>8235</v>
      </c>
      <c r="D4925" t="s">
        <v>18108</v>
      </c>
      <c r="E4925" t="s">
        <v>22595</v>
      </c>
      <c r="F4925" t="s">
        <v>31362</v>
      </c>
      <c r="G4925" t="s">
        <v>31368</v>
      </c>
      <c r="H4925" t="s">
        <v>31379</v>
      </c>
      <c r="I4925" t="s">
        <v>31400</v>
      </c>
      <c r="J4925" t="s">
        <v>32146</v>
      </c>
      <c r="K4925" t="s">
        <v>40666</v>
      </c>
      <c r="M4925" t="s">
        <v>42695</v>
      </c>
      <c r="N4925" t="s">
        <v>44905</v>
      </c>
      <c r="O4925" t="s">
        <v>44906</v>
      </c>
      <c r="P4925">
        <v>0</v>
      </c>
      <c r="Q4925">
        <v>0</v>
      </c>
      <c r="R4925" t="s">
        <v>44908</v>
      </c>
      <c r="S4925" t="s">
        <v>45042</v>
      </c>
      <c r="T4925" t="s">
        <v>46411</v>
      </c>
      <c r="U4925" t="s">
        <v>50917</v>
      </c>
      <c r="W4925" t="s">
        <v>60902</v>
      </c>
      <c r="X4925" t="s">
        <v>44909</v>
      </c>
    </row>
    <row r="4926" spans="1:24">
      <c r="A4926">
        <f>HYPERLINK("https://www.philgeps.gov.ph/GEPSNONPILOT/Tender/SplashBidNoticeAbstractUI.aspx?menuIndex=3&amp;refID=7081793&amp;Result=3","7081793")</f>
        <v>0</v>
      </c>
      <c r="B4926" t="s">
        <v>1635</v>
      </c>
      <c r="C4926" t="s">
        <v>8236</v>
      </c>
      <c r="D4926" t="s">
        <v>18136</v>
      </c>
      <c r="E4926" t="s">
        <v>22596</v>
      </c>
      <c r="F4926" t="s">
        <v>31362</v>
      </c>
      <c r="G4926" t="s">
        <v>31369</v>
      </c>
      <c r="H4926" t="s">
        <v>31378</v>
      </c>
      <c r="I4926" t="s">
        <v>31386</v>
      </c>
      <c r="J4926" t="s">
        <v>34697</v>
      </c>
      <c r="K4926" t="s">
        <v>40669</v>
      </c>
      <c r="M4926" t="s">
        <v>42696</v>
      </c>
      <c r="N4926" t="s">
        <v>44905</v>
      </c>
      <c r="O4926" t="s">
        <v>44906</v>
      </c>
      <c r="P4926">
        <v>0</v>
      </c>
      <c r="Q4926">
        <v>0</v>
      </c>
      <c r="R4926" t="s">
        <v>44908</v>
      </c>
      <c r="S4926" t="s">
        <v>45042</v>
      </c>
      <c r="T4926" t="s">
        <v>46570</v>
      </c>
      <c r="U4926" t="s">
        <v>50918</v>
      </c>
      <c r="W4926" t="s">
        <v>44354</v>
      </c>
      <c r="X4926" t="s">
        <v>44909</v>
      </c>
    </row>
    <row r="4927" spans="1:24">
      <c r="A4927">
        <f>HYPERLINK("https://www.philgeps.gov.ph/GEPSNONPILOT/Tender/SplashBidNoticeAbstractUI.aspx?menuIndex=3&amp;refID=7081791&amp;Result=3","7081791")</f>
        <v>0</v>
      </c>
      <c r="B4927" t="s">
        <v>1628</v>
      </c>
      <c r="C4927" t="s">
        <v>8237</v>
      </c>
      <c r="D4927" t="s">
        <v>18109</v>
      </c>
      <c r="E4927" t="s">
        <v>22597</v>
      </c>
      <c r="F4927" t="s">
        <v>31362</v>
      </c>
      <c r="G4927" t="s">
        <v>31369</v>
      </c>
      <c r="H4927" t="s">
        <v>31378</v>
      </c>
      <c r="I4927" t="s">
        <v>31386</v>
      </c>
      <c r="J4927" t="s">
        <v>34690</v>
      </c>
      <c r="K4927" t="s">
        <v>40679</v>
      </c>
      <c r="M4927" t="s">
        <v>42689</v>
      </c>
      <c r="N4927" t="s">
        <v>44905</v>
      </c>
      <c r="O4927" t="s">
        <v>44906</v>
      </c>
      <c r="P4927">
        <v>0</v>
      </c>
      <c r="Q4927">
        <v>0</v>
      </c>
      <c r="R4927" t="s">
        <v>44908</v>
      </c>
      <c r="S4927" t="s">
        <v>45042</v>
      </c>
      <c r="T4927" t="s">
        <v>46429</v>
      </c>
      <c r="U4927" t="s">
        <v>50904</v>
      </c>
      <c r="W4927" t="s">
        <v>42689</v>
      </c>
      <c r="X4927" t="s">
        <v>44909</v>
      </c>
    </row>
    <row r="4928" spans="1:24">
      <c r="A4928">
        <f>HYPERLINK("https://www.philgeps.gov.ph/GEPSNONPILOT/Tender/SplashBidNoticeAbstractUI.aspx?menuIndex=3&amp;refID=7081755&amp;Result=3","7081755")</f>
        <v>0</v>
      </c>
      <c r="B4928" t="s">
        <v>1636</v>
      </c>
      <c r="C4928" t="s">
        <v>8238</v>
      </c>
      <c r="D4928" t="s">
        <v>18112</v>
      </c>
      <c r="E4928" t="s">
        <v>20729</v>
      </c>
      <c r="F4928" t="s">
        <v>31362</v>
      </c>
      <c r="G4928" t="s">
        <v>31368</v>
      </c>
      <c r="H4928" t="s">
        <v>15799</v>
      </c>
      <c r="I4928" t="s">
        <v>31385</v>
      </c>
      <c r="J4928" t="s">
        <v>34698</v>
      </c>
      <c r="K4928" t="s">
        <v>40693</v>
      </c>
      <c r="M4928" t="s">
        <v>42697</v>
      </c>
      <c r="N4928" t="s">
        <v>44905</v>
      </c>
      <c r="O4928" t="s">
        <v>44906</v>
      </c>
      <c r="P4928">
        <v>0</v>
      </c>
      <c r="Q4928">
        <v>0</v>
      </c>
      <c r="R4928" t="s">
        <v>44908</v>
      </c>
      <c r="S4928" t="s">
        <v>45042</v>
      </c>
      <c r="T4928" t="s">
        <v>46569</v>
      </c>
      <c r="U4928" t="s">
        <v>50919</v>
      </c>
      <c r="W4928" t="s">
        <v>42697</v>
      </c>
      <c r="X4928" t="s">
        <v>44909</v>
      </c>
    </row>
    <row r="4929" spans="1:24">
      <c r="A4929">
        <f>HYPERLINK("https://www.philgeps.gov.ph/GEPSNONPILOT/Tender/SplashBidNoticeAbstractUI.aspx?menuIndex=3&amp;refID=7081789&amp;Result=3","7081789")</f>
        <v>0</v>
      </c>
      <c r="B4929" t="s">
        <v>1628</v>
      </c>
      <c r="C4929" t="s">
        <v>8239</v>
      </c>
      <c r="D4929" t="s">
        <v>18109</v>
      </c>
      <c r="E4929" t="s">
        <v>22598</v>
      </c>
      <c r="F4929" t="s">
        <v>31362</v>
      </c>
      <c r="G4929" t="s">
        <v>31369</v>
      </c>
      <c r="H4929" t="s">
        <v>31378</v>
      </c>
      <c r="I4929" t="s">
        <v>31386</v>
      </c>
      <c r="J4929" t="s">
        <v>34690</v>
      </c>
      <c r="K4929" t="s">
        <v>40679</v>
      </c>
      <c r="M4929" t="s">
        <v>42689</v>
      </c>
      <c r="N4929" t="s">
        <v>44905</v>
      </c>
      <c r="O4929" t="s">
        <v>44906</v>
      </c>
      <c r="P4929">
        <v>0</v>
      </c>
      <c r="Q4929">
        <v>0</v>
      </c>
      <c r="R4929" t="s">
        <v>44908</v>
      </c>
      <c r="S4929" t="s">
        <v>45042</v>
      </c>
      <c r="T4929" t="s">
        <v>46429</v>
      </c>
      <c r="U4929" t="s">
        <v>50904</v>
      </c>
      <c r="W4929" t="s">
        <v>42689</v>
      </c>
      <c r="X4929" t="s">
        <v>44909</v>
      </c>
    </row>
    <row r="4930" spans="1:24">
      <c r="A4930">
        <f>HYPERLINK("https://www.philgeps.gov.ph/GEPSNONPILOT/Tender/SplashBidNoticeAbstractUI.aspx?menuIndex=3&amp;refID=7081787&amp;Result=3","7081787")</f>
        <v>0</v>
      </c>
      <c r="B4930" t="s">
        <v>1628</v>
      </c>
      <c r="C4930" t="s">
        <v>8240</v>
      </c>
      <c r="D4930" t="s">
        <v>18109</v>
      </c>
      <c r="E4930" t="s">
        <v>22599</v>
      </c>
      <c r="F4930" t="s">
        <v>31362</v>
      </c>
      <c r="G4930" t="s">
        <v>31369</v>
      </c>
      <c r="H4930" t="s">
        <v>31378</v>
      </c>
      <c r="I4930" t="s">
        <v>31386</v>
      </c>
      <c r="J4930" t="s">
        <v>34690</v>
      </c>
      <c r="K4930" t="s">
        <v>40679</v>
      </c>
      <c r="M4930" t="s">
        <v>42689</v>
      </c>
      <c r="N4930" t="s">
        <v>44905</v>
      </c>
      <c r="O4930" t="s">
        <v>44906</v>
      </c>
      <c r="P4930">
        <v>0</v>
      </c>
      <c r="Q4930">
        <v>0</v>
      </c>
      <c r="R4930" t="s">
        <v>44908</v>
      </c>
      <c r="S4930" t="s">
        <v>45042</v>
      </c>
      <c r="T4930" t="s">
        <v>46429</v>
      </c>
      <c r="U4930" t="s">
        <v>50904</v>
      </c>
      <c r="W4930" t="s">
        <v>42689</v>
      </c>
      <c r="X4930" t="s">
        <v>44909</v>
      </c>
    </row>
    <row r="4931" spans="1:24">
      <c r="A4931">
        <f>HYPERLINK("https://www.philgeps.gov.ph/GEPSNONPILOT/Tender/SplashBidNoticeAbstractUI.aspx?menuIndex=3&amp;refID=7081786&amp;Result=3","7081786")</f>
        <v>0</v>
      </c>
      <c r="B4931" t="s">
        <v>138</v>
      </c>
      <c r="C4931" t="s">
        <v>8241</v>
      </c>
      <c r="D4931" t="s">
        <v>18108</v>
      </c>
      <c r="E4931" t="s">
        <v>22600</v>
      </c>
      <c r="F4931" t="s">
        <v>31362</v>
      </c>
      <c r="G4931" t="s">
        <v>31368</v>
      </c>
      <c r="H4931" t="s">
        <v>31377</v>
      </c>
      <c r="I4931" t="s">
        <v>31377</v>
      </c>
      <c r="J4931" t="s">
        <v>31578</v>
      </c>
      <c r="K4931" t="s">
        <v>40662</v>
      </c>
      <c r="M4931" t="s">
        <v>41076</v>
      </c>
      <c r="N4931" t="s">
        <v>44905</v>
      </c>
      <c r="O4931" t="s">
        <v>44906</v>
      </c>
      <c r="Q4931">
        <v>1</v>
      </c>
      <c r="R4931" t="s">
        <v>44908</v>
      </c>
      <c r="S4931" t="s">
        <v>45058</v>
      </c>
      <c r="T4931" t="s">
        <v>46463</v>
      </c>
      <c r="U4931" t="s">
        <v>50920</v>
      </c>
      <c r="W4931" t="s">
        <v>41076</v>
      </c>
      <c r="X4931" t="s">
        <v>44909</v>
      </c>
    </row>
    <row r="4932" spans="1:24">
      <c r="A4932">
        <f>HYPERLINK("https://www.philgeps.gov.ph/GEPSNONPILOT/Tender/SplashBidNoticeAbstractUI.aspx?menuIndex=3&amp;refID=7081783&amp;Result=3","7081783")</f>
        <v>0</v>
      </c>
      <c r="B4932" t="s">
        <v>1628</v>
      </c>
      <c r="C4932" t="s">
        <v>8242</v>
      </c>
      <c r="D4932" t="s">
        <v>18109</v>
      </c>
      <c r="E4932" t="s">
        <v>22601</v>
      </c>
      <c r="F4932" t="s">
        <v>31362</v>
      </c>
      <c r="G4932" t="s">
        <v>31369</v>
      </c>
      <c r="H4932" t="s">
        <v>31378</v>
      </c>
      <c r="I4932" t="s">
        <v>31386</v>
      </c>
      <c r="J4932" t="s">
        <v>34690</v>
      </c>
      <c r="K4932" t="s">
        <v>40679</v>
      </c>
      <c r="M4932" t="s">
        <v>42689</v>
      </c>
      <c r="N4932" t="s">
        <v>44905</v>
      </c>
      <c r="O4932" t="s">
        <v>44906</v>
      </c>
      <c r="P4932">
        <v>0</v>
      </c>
      <c r="Q4932">
        <v>0</v>
      </c>
      <c r="R4932" t="s">
        <v>44908</v>
      </c>
      <c r="S4932" t="s">
        <v>45042</v>
      </c>
      <c r="T4932" t="s">
        <v>46429</v>
      </c>
      <c r="U4932" t="s">
        <v>50904</v>
      </c>
      <c r="W4932" t="s">
        <v>42689</v>
      </c>
      <c r="X4932" t="s">
        <v>44909</v>
      </c>
    </row>
    <row r="4933" spans="1:24">
      <c r="A4933">
        <f>HYPERLINK("https://www.philgeps.gov.ph/GEPSNONPILOT/Tender/SplashBidNoticeAbstractUI.aspx?menuIndex=3&amp;refID=7081638&amp;Result=3","7081638")</f>
        <v>0</v>
      </c>
      <c r="B4933" t="s">
        <v>1519</v>
      </c>
      <c r="C4933" t="s">
        <v>8243</v>
      </c>
      <c r="D4933" t="s">
        <v>18108</v>
      </c>
      <c r="E4933" t="s">
        <v>22602</v>
      </c>
      <c r="F4933" t="s">
        <v>31362</v>
      </c>
      <c r="G4933" t="s">
        <v>31369</v>
      </c>
      <c r="H4933" t="s">
        <v>31378</v>
      </c>
      <c r="I4933" t="s">
        <v>31386</v>
      </c>
      <c r="J4933" t="s">
        <v>34699</v>
      </c>
      <c r="K4933" t="s">
        <v>40684</v>
      </c>
      <c r="M4933" t="s">
        <v>42656</v>
      </c>
      <c r="N4933" t="s">
        <v>44905</v>
      </c>
      <c r="O4933" t="s">
        <v>44906</v>
      </c>
      <c r="P4933">
        <v>0</v>
      </c>
      <c r="Q4933">
        <v>6</v>
      </c>
      <c r="R4933" t="s">
        <v>44908</v>
      </c>
      <c r="S4933" t="s">
        <v>45042</v>
      </c>
      <c r="T4933" t="s">
        <v>46433</v>
      </c>
      <c r="U4933" t="s">
        <v>50837</v>
      </c>
      <c r="W4933" t="s">
        <v>42656</v>
      </c>
      <c r="X4933" t="s">
        <v>44909</v>
      </c>
    </row>
    <row r="4934" spans="1:24">
      <c r="A4934">
        <f>HYPERLINK("https://www.philgeps.gov.ph/GEPSNONPILOT/Tender/SplashBidNoticeAbstractUI.aspx?menuIndex=3&amp;refID=7081782&amp;Result=3","7081782")</f>
        <v>0</v>
      </c>
      <c r="B4934" t="s">
        <v>1637</v>
      </c>
      <c r="C4934" t="s">
        <v>8244</v>
      </c>
      <c r="D4934" t="s">
        <v>18108</v>
      </c>
      <c r="E4934" t="s">
        <v>22603</v>
      </c>
      <c r="F4934" t="s">
        <v>31362</v>
      </c>
      <c r="G4934" t="s">
        <v>31369</v>
      </c>
      <c r="H4934" t="s">
        <v>15799</v>
      </c>
      <c r="I4934" t="s">
        <v>6240</v>
      </c>
      <c r="J4934" t="s">
        <v>32090</v>
      </c>
      <c r="K4934" t="s">
        <v>40666</v>
      </c>
      <c r="M4934" t="s">
        <v>42698</v>
      </c>
      <c r="N4934" t="s">
        <v>44905</v>
      </c>
      <c r="O4934" t="s">
        <v>44906</v>
      </c>
      <c r="P4934">
        <v>0</v>
      </c>
      <c r="Q4934">
        <v>0</v>
      </c>
      <c r="R4934" t="s">
        <v>44908</v>
      </c>
      <c r="S4934" t="s">
        <v>45042</v>
      </c>
      <c r="T4934" t="s">
        <v>46453</v>
      </c>
      <c r="U4934" t="s">
        <v>50921</v>
      </c>
      <c r="W4934" t="s">
        <v>60903</v>
      </c>
      <c r="X4934" t="s">
        <v>44909</v>
      </c>
    </row>
    <row r="4935" spans="1:24">
      <c r="A4935">
        <f>HYPERLINK("https://www.philgeps.gov.ph/GEPSNONPILOT/Tender/SplashBidNoticeAbstractUI.aspx?menuIndex=3&amp;refID=7081780&amp;Result=3","7081780")</f>
        <v>0</v>
      </c>
      <c r="B4935" t="s">
        <v>121</v>
      </c>
      <c r="C4935" t="s">
        <v>8245</v>
      </c>
      <c r="D4935" t="s">
        <v>18144</v>
      </c>
      <c r="E4935" t="s">
        <v>22604</v>
      </c>
      <c r="F4935" t="s">
        <v>31362</v>
      </c>
      <c r="G4935" t="s">
        <v>31369</v>
      </c>
      <c r="H4935" t="s">
        <v>15799</v>
      </c>
      <c r="I4935" t="s">
        <v>6865</v>
      </c>
      <c r="J4935" t="s">
        <v>31897</v>
      </c>
      <c r="K4935" t="s">
        <v>40666</v>
      </c>
      <c r="M4935" t="s">
        <v>41058</v>
      </c>
      <c r="N4935" t="s">
        <v>44905</v>
      </c>
      <c r="O4935" t="s">
        <v>44906</v>
      </c>
      <c r="P4935">
        <v>0</v>
      </c>
      <c r="Q4935">
        <v>1</v>
      </c>
      <c r="R4935" t="s">
        <v>44908</v>
      </c>
      <c r="S4935" t="s">
        <v>45042</v>
      </c>
      <c r="T4935" t="s">
        <v>46433</v>
      </c>
      <c r="U4935" t="s">
        <v>50922</v>
      </c>
      <c r="W4935" t="s">
        <v>41058</v>
      </c>
      <c r="X4935" t="s">
        <v>44909</v>
      </c>
    </row>
    <row r="4936" spans="1:24">
      <c r="A4936">
        <f>HYPERLINK("https://www.philgeps.gov.ph/GEPSNONPILOT/Tender/SplashBidNoticeAbstractUI.aspx?menuIndex=3&amp;refID=7081756&amp;Result=3","7081756")</f>
        <v>0</v>
      </c>
      <c r="B4936" t="s">
        <v>97</v>
      </c>
      <c r="C4936" t="s">
        <v>8246</v>
      </c>
      <c r="E4936" t="s">
        <v>22605</v>
      </c>
      <c r="F4936" t="s">
        <v>31363</v>
      </c>
      <c r="G4936" t="s">
        <v>31375</v>
      </c>
      <c r="H4936" t="s">
        <v>31377</v>
      </c>
      <c r="I4936" t="s">
        <v>31377</v>
      </c>
      <c r="J4936" t="s">
        <v>31785</v>
      </c>
      <c r="K4936" t="s">
        <v>40790</v>
      </c>
      <c r="M4936" t="s">
        <v>42699</v>
      </c>
      <c r="N4936" t="s">
        <v>44905</v>
      </c>
      <c r="O4936" t="s">
        <v>44906</v>
      </c>
      <c r="P4936">
        <v>0</v>
      </c>
      <c r="Q4936">
        <v>0</v>
      </c>
      <c r="R4936" t="s">
        <v>44908</v>
      </c>
      <c r="S4936" t="s">
        <v>45042</v>
      </c>
      <c r="T4936" t="s">
        <v>46689</v>
      </c>
      <c r="U4936" t="s">
        <v>50923</v>
      </c>
      <c r="V4936" t="s">
        <v>59528</v>
      </c>
      <c r="W4936" t="s">
        <v>42699</v>
      </c>
      <c r="X4936" t="s">
        <v>44909</v>
      </c>
    </row>
    <row r="4937" spans="1:24">
      <c r="A4937">
        <f>HYPERLINK("https://www.philgeps.gov.ph/GEPSNONPILOT/Tender/SplashBidNoticeAbstractUI.aspx?menuIndex=3&amp;refID=7081774&amp;Result=3","7081774")</f>
        <v>0</v>
      </c>
      <c r="B4937" t="s">
        <v>1628</v>
      </c>
      <c r="C4937" t="s">
        <v>8247</v>
      </c>
      <c r="D4937" t="s">
        <v>18109</v>
      </c>
      <c r="E4937" t="s">
        <v>22606</v>
      </c>
      <c r="F4937" t="s">
        <v>31362</v>
      </c>
      <c r="G4937" t="s">
        <v>31369</v>
      </c>
      <c r="H4937" t="s">
        <v>31378</v>
      </c>
      <c r="I4937" t="s">
        <v>31377</v>
      </c>
      <c r="J4937" t="s">
        <v>34690</v>
      </c>
      <c r="K4937" t="s">
        <v>40679</v>
      </c>
      <c r="M4937" t="s">
        <v>42689</v>
      </c>
      <c r="N4937" t="s">
        <v>44905</v>
      </c>
      <c r="O4937" t="s">
        <v>44906</v>
      </c>
      <c r="P4937">
        <v>0</v>
      </c>
      <c r="Q4937">
        <v>0</v>
      </c>
      <c r="R4937" t="s">
        <v>44908</v>
      </c>
      <c r="S4937" t="s">
        <v>45042</v>
      </c>
      <c r="T4937" t="s">
        <v>46429</v>
      </c>
      <c r="U4937" t="s">
        <v>50904</v>
      </c>
      <c r="W4937" t="s">
        <v>42689</v>
      </c>
      <c r="X4937" t="s">
        <v>44909</v>
      </c>
    </row>
    <row r="4938" spans="1:24">
      <c r="A4938">
        <f>HYPERLINK("https://www.philgeps.gov.ph/GEPSNONPILOT/Tender/SplashBidNoticeAbstractUI.aspx?menuIndex=3&amp;refID=7081773&amp;Result=3","7081773")</f>
        <v>0</v>
      </c>
      <c r="B4938" t="s">
        <v>121</v>
      </c>
      <c r="C4938" t="s">
        <v>8248</v>
      </c>
      <c r="D4938" t="s">
        <v>18144</v>
      </c>
      <c r="E4938" t="s">
        <v>22607</v>
      </c>
      <c r="F4938" t="s">
        <v>31362</v>
      </c>
      <c r="G4938" t="s">
        <v>31369</v>
      </c>
      <c r="H4938" t="s">
        <v>15799</v>
      </c>
      <c r="I4938" t="s">
        <v>31430</v>
      </c>
      <c r="J4938" t="s">
        <v>31531</v>
      </c>
      <c r="K4938" t="s">
        <v>40666</v>
      </c>
      <c r="M4938" t="s">
        <v>41058</v>
      </c>
      <c r="N4938" t="s">
        <v>44905</v>
      </c>
      <c r="O4938" t="s">
        <v>44906</v>
      </c>
      <c r="P4938">
        <v>0</v>
      </c>
      <c r="Q4938">
        <v>0</v>
      </c>
      <c r="R4938" t="s">
        <v>44908</v>
      </c>
      <c r="S4938" t="s">
        <v>45042</v>
      </c>
      <c r="T4938" t="s">
        <v>46433</v>
      </c>
      <c r="U4938" t="s">
        <v>50924</v>
      </c>
      <c r="W4938" t="s">
        <v>41058</v>
      </c>
      <c r="X4938" t="s">
        <v>44909</v>
      </c>
    </row>
    <row r="4939" spans="1:24">
      <c r="A4939">
        <f>HYPERLINK("https://www.philgeps.gov.ph/GEPSNONPILOT/Tender/SplashBidNoticeAbstractUI.aspx?menuIndex=3&amp;refID=7081784&amp;Result=3","7081784")</f>
        <v>0</v>
      </c>
      <c r="B4939" t="s">
        <v>899</v>
      </c>
      <c r="C4939" t="s">
        <v>8249</v>
      </c>
      <c r="E4939" t="s">
        <v>22608</v>
      </c>
      <c r="F4939" t="s">
        <v>31362</v>
      </c>
      <c r="G4939" t="s">
        <v>31368</v>
      </c>
      <c r="H4939" t="s">
        <v>15799</v>
      </c>
      <c r="I4939" t="s">
        <v>31393</v>
      </c>
      <c r="J4939" t="s">
        <v>34700</v>
      </c>
      <c r="K4939" t="s">
        <v>40662</v>
      </c>
      <c r="M4939" t="s">
        <v>41879</v>
      </c>
      <c r="N4939" t="s">
        <v>44905</v>
      </c>
      <c r="O4939" t="s">
        <v>44906</v>
      </c>
      <c r="P4939">
        <v>0</v>
      </c>
      <c r="Q4939">
        <v>15</v>
      </c>
      <c r="R4939" t="s">
        <v>44908</v>
      </c>
      <c r="S4939" t="s">
        <v>45042</v>
      </c>
      <c r="T4939" t="s">
        <v>46498</v>
      </c>
      <c r="U4939" t="s">
        <v>48012</v>
      </c>
      <c r="W4939" t="s">
        <v>41879</v>
      </c>
      <c r="X4939" t="s">
        <v>44909</v>
      </c>
    </row>
    <row r="4940" spans="1:24">
      <c r="A4940">
        <f>HYPERLINK("https://www.philgeps.gov.ph/GEPSNONPILOT/Tender/SplashBidNoticeAbstractUI.aspx?menuIndex=3&amp;refID=7081769&amp;Result=3","7081769")</f>
        <v>0</v>
      </c>
      <c r="B4940" t="s">
        <v>911</v>
      </c>
      <c r="C4940" t="s">
        <v>8250</v>
      </c>
      <c r="D4940" t="s">
        <v>18106</v>
      </c>
      <c r="E4940" t="s">
        <v>22609</v>
      </c>
      <c r="F4940" t="s">
        <v>31362</v>
      </c>
      <c r="G4940" t="s">
        <v>31368</v>
      </c>
      <c r="H4940" t="s">
        <v>15799</v>
      </c>
      <c r="I4940" t="s">
        <v>7090</v>
      </c>
      <c r="J4940" t="s">
        <v>31724</v>
      </c>
      <c r="K4940" t="s">
        <v>40662</v>
      </c>
      <c r="M4940" t="s">
        <v>41893</v>
      </c>
      <c r="N4940" t="s">
        <v>44905</v>
      </c>
      <c r="O4940" t="s">
        <v>44906</v>
      </c>
      <c r="P4940">
        <v>0</v>
      </c>
      <c r="Q4940">
        <v>3</v>
      </c>
      <c r="R4940" t="s">
        <v>44908</v>
      </c>
      <c r="S4940" t="s">
        <v>45042</v>
      </c>
      <c r="T4940" t="s">
        <v>46416</v>
      </c>
      <c r="U4940" t="s">
        <v>50925</v>
      </c>
      <c r="W4940" t="s">
        <v>41893</v>
      </c>
      <c r="X4940" t="s">
        <v>44909</v>
      </c>
    </row>
    <row r="4941" spans="1:24">
      <c r="A4941">
        <f>HYPERLINK("https://www.philgeps.gov.ph/GEPSNONPILOT/Tender/SplashBidNoticeAbstractUI.aspx?menuIndex=3&amp;refID=7081750&amp;Result=3","7081750")</f>
        <v>0</v>
      </c>
      <c r="B4941" t="s">
        <v>1638</v>
      </c>
      <c r="C4941" t="s">
        <v>8251</v>
      </c>
      <c r="D4941" t="s">
        <v>18108</v>
      </c>
      <c r="E4941" t="s">
        <v>22610</v>
      </c>
      <c r="F4941" t="s">
        <v>31362</v>
      </c>
      <c r="G4941" t="s">
        <v>31369</v>
      </c>
      <c r="H4941" t="s">
        <v>15799</v>
      </c>
      <c r="I4941" t="s">
        <v>31393</v>
      </c>
      <c r="J4941" t="s">
        <v>34701</v>
      </c>
      <c r="K4941" t="s">
        <v>40665</v>
      </c>
      <c r="M4941" t="s">
        <v>42700</v>
      </c>
      <c r="N4941" t="s">
        <v>44905</v>
      </c>
      <c r="O4941" t="s">
        <v>44906</v>
      </c>
      <c r="P4941">
        <v>0</v>
      </c>
      <c r="Q4941">
        <v>12</v>
      </c>
      <c r="R4941" t="s">
        <v>44908</v>
      </c>
      <c r="S4941" t="s">
        <v>45042</v>
      </c>
      <c r="T4941" t="s">
        <v>46624</v>
      </c>
      <c r="U4941" t="s">
        <v>50926</v>
      </c>
      <c r="W4941" t="s">
        <v>42700</v>
      </c>
      <c r="X4941" t="s">
        <v>44909</v>
      </c>
    </row>
    <row r="4942" spans="1:24">
      <c r="A4942">
        <f>HYPERLINK("https://www.philgeps.gov.ph/GEPSNONPILOT/Tender/SplashBidNoticeAbstractUI.aspx?menuIndex=3&amp;refID=7081775&amp;Result=3","7081775")</f>
        <v>0</v>
      </c>
      <c r="B4942" t="s">
        <v>1628</v>
      </c>
      <c r="C4942" t="s">
        <v>8252</v>
      </c>
      <c r="D4942" t="s">
        <v>18109</v>
      </c>
      <c r="E4942" t="s">
        <v>22611</v>
      </c>
      <c r="F4942" t="s">
        <v>31362</v>
      </c>
      <c r="G4942" t="s">
        <v>31369</v>
      </c>
      <c r="H4942" t="s">
        <v>31378</v>
      </c>
      <c r="I4942" t="s">
        <v>31386</v>
      </c>
      <c r="J4942" t="s">
        <v>34702</v>
      </c>
      <c r="K4942" t="s">
        <v>40682</v>
      </c>
      <c r="M4942" t="s">
        <v>42689</v>
      </c>
      <c r="N4942" t="s">
        <v>44905</v>
      </c>
      <c r="O4942" t="s">
        <v>44906</v>
      </c>
      <c r="P4942">
        <v>0</v>
      </c>
      <c r="Q4942">
        <v>0</v>
      </c>
      <c r="R4942" t="s">
        <v>44908</v>
      </c>
      <c r="S4942" t="s">
        <v>45042</v>
      </c>
      <c r="T4942" t="s">
        <v>46429</v>
      </c>
      <c r="U4942" t="s">
        <v>50927</v>
      </c>
      <c r="W4942" t="s">
        <v>42689</v>
      </c>
      <c r="X4942" t="s">
        <v>44909</v>
      </c>
    </row>
    <row r="4943" spans="1:24">
      <c r="A4943">
        <f>HYPERLINK("https://www.philgeps.gov.ph/GEPSNONPILOT/Tender/SplashBidNoticeAbstractUI.aspx?menuIndex=3&amp;refID=7081764&amp;Result=3","7081764")</f>
        <v>0</v>
      </c>
      <c r="B4943" t="s">
        <v>1628</v>
      </c>
      <c r="C4943" t="s">
        <v>8253</v>
      </c>
      <c r="D4943" t="s">
        <v>18109</v>
      </c>
      <c r="E4943" t="s">
        <v>22612</v>
      </c>
      <c r="F4943" t="s">
        <v>31362</v>
      </c>
      <c r="G4943" t="s">
        <v>31369</v>
      </c>
      <c r="H4943" t="s">
        <v>31378</v>
      </c>
      <c r="I4943" t="s">
        <v>31386</v>
      </c>
      <c r="J4943" t="s">
        <v>34702</v>
      </c>
      <c r="K4943" t="s">
        <v>40682</v>
      </c>
      <c r="M4943" t="s">
        <v>42689</v>
      </c>
      <c r="N4943" t="s">
        <v>44905</v>
      </c>
      <c r="O4943" t="s">
        <v>44906</v>
      </c>
      <c r="P4943">
        <v>0</v>
      </c>
      <c r="Q4943">
        <v>0</v>
      </c>
      <c r="R4943" t="s">
        <v>44908</v>
      </c>
      <c r="S4943" t="s">
        <v>45042</v>
      </c>
      <c r="T4943" t="s">
        <v>46429</v>
      </c>
      <c r="U4943" t="s">
        <v>50927</v>
      </c>
      <c r="W4943" t="s">
        <v>42689</v>
      </c>
      <c r="X4943" t="s">
        <v>44909</v>
      </c>
    </row>
    <row r="4944" spans="1:24">
      <c r="A4944">
        <f>HYPERLINK("https://www.philgeps.gov.ph/GEPSNONPILOT/Tender/SplashBidNoticeAbstractUI.aspx?menuIndex=3&amp;refID=7081745&amp;Result=3","7081745")</f>
        <v>0</v>
      </c>
      <c r="B4944" t="s">
        <v>249</v>
      </c>
      <c r="C4944" t="s">
        <v>8254</v>
      </c>
      <c r="D4944" t="s">
        <v>18110</v>
      </c>
      <c r="E4944" t="s">
        <v>22613</v>
      </c>
      <c r="F4944" t="s">
        <v>31362</v>
      </c>
      <c r="G4944" t="s">
        <v>31369</v>
      </c>
      <c r="H4944" t="s">
        <v>15799</v>
      </c>
      <c r="I4944" t="s">
        <v>31426</v>
      </c>
      <c r="J4944" t="s">
        <v>31542</v>
      </c>
      <c r="K4944" t="s">
        <v>40665</v>
      </c>
      <c r="M4944" t="s">
        <v>42701</v>
      </c>
      <c r="N4944" t="s">
        <v>44905</v>
      </c>
      <c r="O4944" t="s">
        <v>44906</v>
      </c>
      <c r="P4944">
        <v>0</v>
      </c>
      <c r="Q4944">
        <v>7</v>
      </c>
      <c r="R4944" t="s">
        <v>44908</v>
      </c>
      <c r="S4944" t="s">
        <v>45042</v>
      </c>
      <c r="T4944" t="s">
        <v>46557</v>
      </c>
      <c r="U4944" t="s">
        <v>50928</v>
      </c>
      <c r="W4944" t="s">
        <v>42701</v>
      </c>
      <c r="X4944" t="s">
        <v>44909</v>
      </c>
    </row>
    <row r="4945" spans="1:24">
      <c r="A4945">
        <f>HYPERLINK("https://www.philgeps.gov.ph/GEPSNONPILOT/Tender/SplashBidNoticeAbstractUI.aspx?menuIndex=3&amp;refID=7081763&amp;Result=3","7081763")</f>
        <v>0</v>
      </c>
      <c r="B4945" t="s">
        <v>145</v>
      </c>
      <c r="C4945" t="s">
        <v>8255</v>
      </c>
      <c r="D4945" t="s">
        <v>18116</v>
      </c>
      <c r="E4945" t="s">
        <v>22614</v>
      </c>
      <c r="F4945" t="s">
        <v>31362</v>
      </c>
      <c r="G4945" t="s">
        <v>31369</v>
      </c>
      <c r="H4945" t="s">
        <v>31378</v>
      </c>
      <c r="I4945" t="s">
        <v>31386</v>
      </c>
      <c r="J4945" t="s">
        <v>34678</v>
      </c>
      <c r="K4945" t="s">
        <v>40677</v>
      </c>
      <c r="M4945" t="s">
        <v>41083</v>
      </c>
      <c r="N4945" t="s">
        <v>44905</v>
      </c>
      <c r="O4945" t="s">
        <v>44906</v>
      </c>
      <c r="P4945">
        <v>0</v>
      </c>
      <c r="Q4945">
        <v>0</v>
      </c>
      <c r="R4945" t="s">
        <v>44908</v>
      </c>
      <c r="S4945" t="s">
        <v>45042</v>
      </c>
      <c r="T4945" t="s">
        <v>46469</v>
      </c>
      <c r="U4945" t="s">
        <v>47168</v>
      </c>
      <c r="W4945" t="s">
        <v>41083</v>
      </c>
      <c r="X4945" t="s">
        <v>44909</v>
      </c>
    </row>
    <row r="4946" spans="1:24">
      <c r="A4946">
        <f>HYPERLINK("https://www.philgeps.gov.ph/GEPSNONPILOT/Tender/SplashBidNoticeAbstractUI.aspx?menuIndex=3&amp;refID=7081770&amp;Result=3","7081770")</f>
        <v>0</v>
      </c>
      <c r="B4946" t="s">
        <v>1628</v>
      </c>
      <c r="C4946" t="s">
        <v>8256</v>
      </c>
      <c r="D4946" t="s">
        <v>18109</v>
      </c>
      <c r="E4946" t="s">
        <v>22615</v>
      </c>
      <c r="F4946" t="s">
        <v>31362</v>
      </c>
      <c r="G4946" t="s">
        <v>31369</v>
      </c>
      <c r="H4946" t="s">
        <v>31378</v>
      </c>
      <c r="I4946" t="s">
        <v>31386</v>
      </c>
      <c r="J4946" t="s">
        <v>34702</v>
      </c>
      <c r="K4946" t="s">
        <v>40682</v>
      </c>
      <c r="M4946" t="s">
        <v>42689</v>
      </c>
      <c r="N4946" t="s">
        <v>44905</v>
      </c>
      <c r="O4946" t="s">
        <v>44906</v>
      </c>
      <c r="P4946">
        <v>0</v>
      </c>
      <c r="Q4946">
        <v>0</v>
      </c>
      <c r="R4946" t="s">
        <v>44908</v>
      </c>
      <c r="S4946" t="s">
        <v>45042</v>
      </c>
      <c r="T4946" t="s">
        <v>46429</v>
      </c>
      <c r="U4946" t="s">
        <v>50927</v>
      </c>
      <c r="W4946" t="s">
        <v>42689</v>
      </c>
      <c r="X4946" t="s">
        <v>44909</v>
      </c>
    </row>
    <row r="4947" spans="1:24">
      <c r="A4947">
        <f>HYPERLINK("https://www.philgeps.gov.ph/GEPSNONPILOT/Tender/SplashBidNoticeAbstractUI.aspx?menuIndex=3&amp;refID=7081739&amp;Result=3","7081739")</f>
        <v>0</v>
      </c>
      <c r="B4947" t="s">
        <v>1639</v>
      </c>
      <c r="C4947" t="s">
        <v>8257</v>
      </c>
      <c r="D4947" t="s">
        <v>18108</v>
      </c>
      <c r="E4947" t="s">
        <v>22616</v>
      </c>
      <c r="F4947" t="s">
        <v>31362</v>
      </c>
      <c r="G4947" t="s">
        <v>31369</v>
      </c>
      <c r="H4947" t="s">
        <v>31378</v>
      </c>
      <c r="I4947" t="s">
        <v>31386</v>
      </c>
      <c r="J4947" t="s">
        <v>34703</v>
      </c>
      <c r="K4947" t="s">
        <v>40791</v>
      </c>
      <c r="M4947" t="s">
        <v>42702</v>
      </c>
      <c r="N4947" t="s">
        <v>44905</v>
      </c>
      <c r="O4947" t="s">
        <v>44906</v>
      </c>
      <c r="P4947">
        <v>0</v>
      </c>
      <c r="Q4947">
        <v>2</v>
      </c>
      <c r="R4947" t="s">
        <v>44908</v>
      </c>
      <c r="S4947" t="s">
        <v>45042</v>
      </c>
      <c r="T4947" t="s">
        <v>46401</v>
      </c>
      <c r="U4947" t="s">
        <v>50929</v>
      </c>
      <c r="W4947" t="s">
        <v>42702</v>
      </c>
      <c r="X4947" t="s">
        <v>44909</v>
      </c>
    </row>
    <row r="4948" spans="1:24">
      <c r="A4948">
        <f>HYPERLINK("https://www.philgeps.gov.ph/GEPSNONPILOT/Tender/SplashBidNoticeAbstractUI.aspx?menuIndex=3&amp;refID=7081768&amp;Result=3","7081768")</f>
        <v>0</v>
      </c>
      <c r="B4948" t="s">
        <v>138</v>
      </c>
      <c r="C4948" t="s">
        <v>8258</v>
      </c>
      <c r="D4948" t="s">
        <v>18108</v>
      </c>
      <c r="E4948" t="s">
        <v>22617</v>
      </c>
      <c r="F4948" t="s">
        <v>31362</v>
      </c>
      <c r="G4948" t="s">
        <v>31368</v>
      </c>
      <c r="H4948" t="s">
        <v>31377</v>
      </c>
      <c r="I4948" t="s">
        <v>31377</v>
      </c>
      <c r="J4948" t="s">
        <v>31578</v>
      </c>
      <c r="K4948" t="s">
        <v>40662</v>
      </c>
      <c r="M4948" t="s">
        <v>41076</v>
      </c>
      <c r="N4948" t="s">
        <v>44905</v>
      </c>
      <c r="O4948" t="s">
        <v>44906</v>
      </c>
      <c r="Q4948">
        <v>1</v>
      </c>
      <c r="R4948" t="s">
        <v>44908</v>
      </c>
      <c r="S4948" t="s">
        <v>45059</v>
      </c>
      <c r="T4948" t="s">
        <v>46463</v>
      </c>
      <c r="U4948" t="s">
        <v>50930</v>
      </c>
      <c r="W4948" t="s">
        <v>41076</v>
      </c>
      <c r="X4948" t="s">
        <v>44909</v>
      </c>
    </row>
    <row r="4949" spans="1:24">
      <c r="A4949">
        <f>HYPERLINK("https://www.philgeps.gov.ph/GEPSNONPILOT/Tender/SplashBidNoticeAbstractUI.aspx?menuIndex=3&amp;refID=7081737&amp;Result=3","7081737")</f>
        <v>0</v>
      </c>
      <c r="B4949" t="s">
        <v>1640</v>
      </c>
      <c r="C4949" t="s">
        <v>8259</v>
      </c>
      <c r="D4949" t="s">
        <v>18100</v>
      </c>
      <c r="E4949" t="s">
        <v>22618</v>
      </c>
      <c r="F4949" t="s">
        <v>31362</v>
      </c>
      <c r="G4949" t="s">
        <v>31369</v>
      </c>
      <c r="H4949" t="s">
        <v>15799</v>
      </c>
      <c r="I4949" t="s">
        <v>31466</v>
      </c>
      <c r="J4949" t="s">
        <v>31890</v>
      </c>
      <c r="K4949" t="s">
        <v>40693</v>
      </c>
      <c r="M4949" t="s">
        <v>42703</v>
      </c>
      <c r="N4949" t="s">
        <v>44905</v>
      </c>
      <c r="O4949" t="s">
        <v>44906</v>
      </c>
      <c r="P4949">
        <v>0</v>
      </c>
      <c r="Q4949">
        <v>1</v>
      </c>
      <c r="R4949" t="s">
        <v>44908</v>
      </c>
      <c r="S4949" t="s">
        <v>45042</v>
      </c>
      <c r="T4949" t="s">
        <v>46690</v>
      </c>
      <c r="U4949" t="s">
        <v>50931</v>
      </c>
      <c r="W4949" t="s">
        <v>42703</v>
      </c>
      <c r="X4949" t="s">
        <v>44909</v>
      </c>
    </row>
    <row r="4950" spans="1:24">
      <c r="A4950">
        <f>HYPERLINK("https://www.philgeps.gov.ph/GEPSNONPILOT/Tender/SplashBidNoticeAbstractUI.aspx?menuIndex=3&amp;refID=7081765&amp;Result=3","7081765")</f>
        <v>0</v>
      </c>
      <c r="B4950" t="s">
        <v>300</v>
      </c>
      <c r="C4950" t="s">
        <v>8260</v>
      </c>
      <c r="D4950" t="s">
        <v>18122</v>
      </c>
      <c r="E4950" t="s">
        <v>22619</v>
      </c>
      <c r="F4950" t="s">
        <v>31362</v>
      </c>
      <c r="G4950" t="s">
        <v>31369</v>
      </c>
      <c r="H4950" t="s">
        <v>15799</v>
      </c>
      <c r="I4950" t="s">
        <v>6373</v>
      </c>
      <c r="J4950" t="s">
        <v>34704</v>
      </c>
      <c r="K4950" t="s">
        <v>40675</v>
      </c>
      <c r="M4950" t="s">
        <v>42704</v>
      </c>
      <c r="N4950" t="s">
        <v>44905</v>
      </c>
      <c r="O4950" t="s">
        <v>44906</v>
      </c>
      <c r="P4950">
        <v>0</v>
      </c>
      <c r="Q4950">
        <v>2</v>
      </c>
      <c r="R4950" t="s">
        <v>44908</v>
      </c>
      <c r="S4950" t="s">
        <v>45042</v>
      </c>
      <c r="T4950" t="s">
        <v>46652</v>
      </c>
      <c r="U4950" t="s">
        <v>50932</v>
      </c>
      <c r="W4950" t="s">
        <v>42704</v>
      </c>
      <c r="X4950" t="s">
        <v>44909</v>
      </c>
    </row>
    <row r="4951" spans="1:24">
      <c r="A4951">
        <f>HYPERLINK("https://www.philgeps.gov.ph/GEPSNONPILOT/Tender/SplashBidNoticeAbstractUI.aspx?menuIndex=3&amp;refID=7059625&amp;Result=3","7059625")</f>
        <v>0</v>
      </c>
      <c r="B4951" t="s">
        <v>648</v>
      </c>
      <c r="C4951" t="s">
        <v>8261</v>
      </c>
      <c r="D4951" t="s">
        <v>18185</v>
      </c>
      <c r="E4951" t="s">
        <v>22620</v>
      </c>
      <c r="F4951" t="s">
        <v>31362</v>
      </c>
      <c r="G4951" t="s">
        <v>31369</v>
      </c>
      <c r="H4951" t="s">
        <v>15799</v>
      </c>
      <c r="I4951" t="s">
        <v>31439</v>
      </c>
      <c r="J4951" t="s">
        <v>31625</v>
      </c>
      <c r="K4951" t="s">
        <v>40694</v>
      </c>
      <c r="M4951" t="s">
        <v>41609</v>
      </c>
      <c r="N4951" t="s">
        <v>44905</v>
      </c>
      <c r="O4951" t="s">
        <v>44906</v>
      </c>
      <c r="P4951">
        <v>0</v>
      </c>
      <c r="Q4951">
        <v>0</v>
      </c>
      <c r="R4951" t="s">
        <v>44909</v>
      </c>
      <c r="S4951" t="s">
        <v>45060</v>
      </c>
      <c r="T4951" t="s">
        <v>46524</v>
      </c>
      <c r="U4951" t="s">
        <v>50933</v>
      </c>
      <c r="W4951" t="s">
        <v>41609</v>
      </c>
      <c r="X4951" t="s">
        <v>44918</v>
      </c>
    </row>
    <row r="4952" spans="1:24">
      <c r="A4952">
        <f>HYPERLINK("https://www.philgeps.gov.ph/GEPSNONPILOT/Tender/SplashBidNoticeAbstractUI.aspx?menuIndex=3&amp;refID=7081771&amp;Result=3","7081771")</f>
        <v>0</v>
      </c>
      <c r="B4952" t="s">
        <v>1628</v>
      </c>
      <c r="C4952" t="s">
        <v>8262</v>
      </c>
      <c r="D4952" t="s">
        <v>18109</v>
      </c>
      <c r="E4952" t="s">
        <v>22621</v>
      </c>
      <c r="F4952" t="s">
        <v>31362</v>
      </c>
      <c r="G4952" t="s">
        <v>31369</v>
      </c>
      <c r="H4952" t="s">
        <v>31378</v>
      </c>
      <c r="I4952" t="s">
        <v>31386</v>
      </c>
      <c r="J4952" t="s">
        <v>34690</v>
      </c>
      <c r="K4952" t="s">
        <v>40679</v>
      </c>
      <c r="M4952" t="s">
        <v>42689</v>
      </c>
      <c r="N4952" t="s">
        <v>44905</v>
      </c>
      <c r="O4952" t="s">
        <v>44906</v>
      </c>
      <c r="P4952">
        <v>0</v>
      </c>
      <c r="Q4952">
        <v>0</v>
      </c>
      <c r="R4952" t="s">
        <v>44908</v>
      </c>
      <c r="S4952" t="s">
        <v>45042</v>
      </c>
      <c r="T4952" t="s">
        <v>46429</v>
      </c>
      <c r="U4952" t="s">
        <v>50904</v>
      </c>
      <c r="W4952" t="s">
        <v>42689</v>
      </c>
      <c r="X4952" t="s">
        <v>44909</v>
      </c>
    </row>
    <row r="4953" spans="1:24">
      <c r="A4953">
        <f>HYPERLINK("https://www.philgeps.gov.ph/GEPSNONPILOT/Tender/SplashBidNoticeAbstractUI.aspx?menuIndex=3&amp;refID=7059432&amp;Result=3","7059432")</f>
        <v>0</v>
      </c>
      <c r="B4953" t="s">
        <v>648</v>
      </c>
      <c r="C4953" t="s">
        <v>8263</v>
      </c>
      <c r="D4953" t="s">
        <v>18185</v>
      </c>
      <c r="E4953" t="s">
        <v>22622</v>
      </c>
      <c r="F4953" t="s">
        <v>31362</v>
      </c>
      <c r="G4953" t="s">
        <v>31369</v>
      </c>
      <c r="H4953" t="s">
        <v>15799</v>
      </c>
      <c r="I4953" t="s">
        <v>31409</v>
      </c>
      <c r="J4953" t="s">
        <v>34705</v>
      </c>
      <c r="K4953" t="s">
        <v>40679</v>
      </c>
      <c r="M4953" t="s">
        <v>41609</v>
      </c>
      <c r="N4953" t="s">
        <v>44905</v>
      </c>
      <c r="O4953" t="s">
        <v>44906</v>
      </c>
      <c r="P4953">
        <v>0</v>
      </c>
      <c r="Q4953">
        <v>4</v>
      </c>
      <c r="R4953" t="s">
        <v>44909</v>
      </c>
      <c r="S4953" t="s">
        <v>45060</v>
      </c>
      <c r="T4953" t="s">
        <v>46524</v>
      </c>
      <c r="U4953" t="s">
        <v>50934</v>
      </c>
      <c r="W4953" t="s">
        <v>41609</v>
      </c>
      <c r="X4953" t="s">
        <v>44918</v>
      </c>
    </row>
    <row r="4954" spans="1:24">
      <c r="A4954">
        <f>HYPERLINK("https://www.philgeps.gov.ph/GEPSNONPILOT/Tender/SplashBidNoticeAbstractUI.aspx?menuIndex=3&amp;refID=7058713&amp;Result=3","7058713")</f>
        <v>0</v>
      </c>
      <c r="B4954" t="s">
        <v>1641</v>
      </c>
      <c r="C4954" t="s">
        <v>8264</v>
      </c>
      <c r="E4954" t="s">
        <v>22623</v>
      </c>
      <c r="F4954" t="s">
        <v>31362</v>
      </c>
      <c r="G4954" t="s">
        <v>31369</v>
      </c>
      <c r="H4954" t="s">
        <v>31378</v>
      </c>
      <c r="I4954" t="s">
        <v>31386</v>
      </c>
      <c r="J4954" t="s">
        <v>31536</v>
      </c>
      <c r="K4954" t="s">
        <v>40665</v>
      </c>
      <c r="M4954" t="s">
        <v>42705</v>
      </c>
      <c r="N4954" t="s">
        <v>44905</v>
      </c>
      <c r="O4954" t="s">
        <v>44906</v>
      </c>
      <c r="P4954">
        <v>0</v>
      </c>
      <c r="Q4954">
        <v>1</v>
      </c>
      <c r="R4954" t="s">
        <v>44909</v>
      </c>
      <c r="S4954" t="s">
        <v>45060</v>
      </c>
      <c r="T4954" t="s">
        <v>46463</v>
      </c>
      <c r="U4954" t="s">
        <v>50935</v>
      </c>
      <c r="W4954" t="s">
        <v>42705</v>
      </c>
      <c r="X4954" t="s">
        <v>44919</v>
      </c>
    </row>
    <row r="4955" spans="1:24">
      <c r="A4955">
        <f>HYPERLINK("https://www.philgeps.gov.ph/GEPSNONPILOT/Tender/SplashBidNoticeAbstractUI.aspx?menuIndex=3&amp;refID=7081781&amp;Result=3","7081781")</f>
        <v>0</v>
      </c>
      <c r="B4955" t="s">
        <v>1628</v>
      </c>
      <c r="C4955" t="s">
        <v>8265</v>
      </c>
      <c r="D4955" t="s">
        <v>18109</v>
      </c>
      <c r="E4955" t="s">
        <v>22624</v>
      </c>
      <c r="F4955" t="s">
        <v>31362</v>
      </c>
      <c r="G4955" t="s">
        <v>31369</v>
      </c>
      <c r="H4955" t="s">
        <v>31378</v>
      </c>
      <c r="I4955" t="s">
        <v>31386</v>
      </c>
      <c r="J4955" t="s">
        <v>34702</v>
      </c>
      <c r="K4955" t="s">
        <v>40682</v>
      </c>
      <c r="M4955" t="s">
        <v>42689</v>
      </c>
      <c r="N4955" t="s">
        <v>44905</v>
      </c>
      <c r="O4955" t="s">
        <v>44906</v>
      </c>
      <c r="P4955">
        <v>0</v>
      </c>
      <c r="Q4955">
        <v>0</v>
      </c>
      <c r="R4955" t="s">
        <v>44908</v>
      </c>
      <c r="S4955" t="s">
        <v>45042</v>
      </c>
      <c r="T4955" t="s">
        <v>46429</v>
      </c>
      <c r="U4955" t="s">
        <v>50927</v>
      </c>
      <c r="W4955" t="s">
        <v>42689</v>
      </c>
      <c r="X4955" t="s">
        <v>44909</v>
      </c>
    </row>
    <row r="4956" spans="1:24">
      <c r="A4956">
        <f>HYPERLINK("https://www.philgeps.gov.ph/GEPSNONPILOT/Tender/SplashBidNoticeAbstractUI.aspx?menuIndex=3&amp;refID=7053810&amp;Result=3","7053810")</f>
        <v>0</v>
      </c>
      <c r="B4956" t="s">
        <v>1642</v>
      </c>
      <c r="C4956" t="s">
        <v>8266</v>
      </c>
      <c r="D4956" t="s">
        <v>18127</v>
      </c>
      <c r="E4956" t="s">
        <v>20783</v>
      </c>
      <c r="F4956" t="s">
        <v>31362</v>
      </c>
      <c r="G4956" t="s">
        <v>31369</v>
      </c>
      <c r="H4956" t="s">
        <v>31378</v>
      </c>
      <c r="I4956" t="s">
        <v>31386</v>
      </c>
      <c r="J4956" t="s">
        <v>34706</v>
      </c>
      <c r="K4956" t="s">
        <v>40675</v>
      </c>
      <c r="M4956" t="s">
        <v>42706</v>
      </c>
      <c r="N4956" t="s">
        <v>44905</v>
      </c>
      <c r="O4956" t="s">
        <v>44906</v>
      </c>
      <c r="P4956">
        <v>0</v>
      </c>
      <c r="Q4956">
        <v>0</v>
      </c>
      <c r="R4956" t="s">
        <v>44909</v>
      </c>
      <c r="S4956" t="s">
        <v>45060</v>
      </c>
      <c r="T4956" t="s">
        <v>46505</v>
      </c>
      <c r="U4956" t="s">
        <v>50936</v>
      </c>
      <c r="V4956" t="s">
        <v>59529</v>
      </c>
      <c r="W4956" t="s">
        <v>42706</v>
      </c>
      <c r="X4956" t="s">
        <v>44922</v>
      </c>
    </row>
    <row r="4957" spans="1:24">
      <c r="A4957">
        <f>HYPERLINK("https://www.philgeps.gov.ph/GEPSNONPILOT/Tender/SplashBidNoticeAbstractUI.aspx?menuIndex=3&amp;refID=7049312&amp;Result=3","7049312")</f>
        <v>0</v>
      </c>
      <c r="B4957" t="s">
        <v>678</v>
      </c>
      <c r="C4957" t="s">
        <v>8267</v>
      </c>
      <c r="D4957" t="s">
        <v>18116</v>
      </c>
      <c r="E4957" t="s">
        <v>22625</v>
      </c>
      <c r="F4957" t="s">
        <v>31362</v>
      </c>
      <c r="G4957" t="s">
        <v>31368</v>
      </c>
      <c r="H4957" t="s">
        <v>15799</v>
      </c>
      <c r="I4957" t="s">
        <v>3815</v>
      </c>
      <c r="J4957" t="s">
        <v>34707</v>
      </c>
      <c r="K4957" t="s">
        <v>40665</v>
      </c>
      <c r="M4957" t="s">
        <v>41640</v>
      </c>
      <c r="N4957" t="s">
        <v>44905</v>
      </c>
      <c r="O4957" t="s">
        <v>44906</v>
      </c>
      <c r="P4957">
        <v>0</v>
      </c>
      <c r="Q4957">
        <v>0</v>
      </c>
      <c r="R4957" t="s">
        <v>44909</v>
      </c>
      <c r="S4957" t="s">
        <v>45060</v>
      </c>
      <c r="T4957" t="s">
        <v>46409</v>
      </c>
      <c r="U4957" t="s">
        <v>50937</v>
      </c>
      <c r="W4957" t="s">
        <v>41640</v>
      </c>
      <c r="X4957" t="s">
        <v>44924</v>
      </c>
    </row>
    <row r="4958" spans="1:24">
      <c r="A4958">
        <f>HYPERLINK("https://www.philgeps.gov.ph/GEPSNONPILOT/Tender/SplashBidNoticeAbstractUI.aspx?menuIndex=3&amp;refID=7048500&amp;Result=3","7048500")</f>
        <v>0</v>
      </c>
      <c r="B4958" t="s">
        <v>930</v>
      </c>
      <c r="C4958" t="s">
        <v>8268</v>
      </c>
      <c r="D4958" t="s">
        <v>18140</v>
      </c>
      <c r="E4958" t="s">
        <v>22626</v>
      </c>
      <c r="F4958" t="s">
        <v>31362</v>
      </c>
      <c r="G4958" t="s">
        <v>31368</v>
      </c>
      <c r="H4958" t="s">
        <v>15799</v>
      </c>
      <c r="I4958" t="s">
        <v>31393</v>
      </c>
      <c r="J4958" t="s">
        <v>32883</v>
      </c>
      <c r="K4958" t="s">
        <v>40661</v>
      </c>
      <c r="M4958" t="s">
        <v>41917</v>
      </c>
      <c r="N4958" t="s">
        <v>44905</v>
      </c>
      <c r="O4958" t="s">
        <v>44906</v>
      </c>
      <c r="P4958">
        <v>0</v>
      </c>
      <c r="Q4958">
        <v>1</v>
      </c>
      <c r="R4958" t="s">
        <v>44909</v>
      </c>
      <c r="S4958" t="s">
        <v>45060</v>
      </c>
      <c r="T4958" t="s">
        <v>46435</v>
      </c>
      <c r="U4958" t="s">
        <v>50938</v>
      </c>
      <c r="W4958" t="s">
        <v>41917</v>
      </c>
      <c r="X4958" t="s">
        <v>44924</v>
      </c>
    </row>
    <row r="4959" spans="1:24">
      <c r="A4959">
        <f>HYPERLINK("https://www.philgeps.gov.ph/GEPSNONPILOT/Tender/SplashBidNoticeAbstractUI.aspx?menuIndex=3&amp;refID=7040955&amp;Result=3","7040955")</f>
        <v>0</v>
      </c>
      <c r="B4959" t="s">
        <v>1643</v>
      </c>
      <c r="C4959" t="s">
        <v>8269</v>
      </c>
      <c r="D4959" t="s">
        <v>18108</v>
      </c>
      <c r="E4959" t="s">
        <v>19255</v>
      </c>
      <c r="F4959" t="s">
        <v>31362</v>
      </c>
      <c r="G4959" t="s">
        <v>31369</v>
      </c>
      <c r="H4959" t="s">
        <v>31379</v>
      </c>
      <c r="I4959" t="s">
        <v>7188</v>
      </c>
      <c r="J4959" t="s">
        <v>31730</v>
      </c>
      <c r="K4959" t="s">
        <v>40666</v>
      </c>
      <c r="M4959" t="s">
        <v>42707</v>
      </c>
      <c r="N4959" t="s">
        <v>44905</v>
      </c>
      <c r="O4959" t="s">
        <v>44906</v>
      </c>
      <c r="P4959">
        <v>0</v>
      </c>
      <c r="Q4959">
        <v>0</v>
      </c>
      <c r="R4959" t="s">
        <v>44909</v>
      </c>
      <c r="S4959" t="s">
        <v>45060</v>
      </c>
      <c r="T4959" t="s">
        <v>46425</v>
      </c>
      <c r="U4959" t="s">
        <v>50939</v>
      </c>
      <c r="W4959" t="s">
        <v>42707</v>
      </c>
      <c r="X4959" t="s">
        <v>44930</v>
      </c>
    </row>
    <row r="4960" spans="1:24">
      <c r="A4960">
        <f>HYPERLINK("https://www.philgeps.gov.ph/GEPSNONPILOT/Tender/SplashBidNoticeAbstractUI.aspx?menuIndex=3&amp;refID=7040951&amp;Result=3","7040951")</f>
        <v>0</v>
      </c>
      <c r="B4960" t="s">
        <v>1643</v>
      </c>
      <c r="C4960" t="s">
        <v>8270</v>
      </c>
      <c r="D4960" t="s">
        <v>18108</v>
      </c>
      <c r="E4960" t="s">
        <v>18514</v>
      </c>
      <c r="F4960" t="s">
        <v>31362</v>
      </c>
      <c r="G4960" t="s">
        <v>31369</v>
      </c>
      <c r="H4960" t="s">
        <v>31379</v>
      </c>
      <c r="I4960" t="s">
        <v>31409</v>
      </c>
      <c r="J4960" t="s">
        <v>33446</v>
      </c>
      <c r="K4960" t="s">
        <v>40666</v>
      </c>
      <c r="M4960" t="s">
        <v>42707</v>
      </c>
      <c r="N4960" t="s">
        <v>44905</v>
      </c>
      <c r="O4960" t="s">
        <v>44906</v>
      </c>
      <c r="P4960">
        <v>0</v>
      </c>
      <c r="Q4960">
        <v>3</v>
      </c>
      <c r="R4960" t="s">
        <v>44909</v>
      </c>
      <c r="S4960" t="s">
        <v>45060</v>
      </c>
      <c r="T4960" t="s">
        <v>46499</v>
      </c>
      <c r="U4960" t="s">
        <v>50940</v>
      </c>
      <c r="W4960" t="s">
        <v>42707</v>
      </c>
      <c r="X4960" t="s">
        <v>44930</v>
      </c>
    </row>
    <row r="4961" spans="1:24">
      <c r="A4961">
        <f>HYPERLINK("https://www.philgeps.gov.ph/GEPSNONPILOT/Tender/SplashBidNoticeAbstractUI.aspx?menuIndex=3&amp;refID=7040943&amp;Result=3","7040943")</f>
        <v>0</v>
      </c>
      <c r="B4961" t="s">
        <v>1643</v>
      </c>
      <c r="C4961" t="s">
        <v>8271</v>
      </c>
      <c r="D4961" t="s">
        <v>18108</v>
      </c>
      <c r="E4961" t="s">
        <v>20762</v>
      </c>
      <c r="F4961" t="s">
        <v>31362</v>
      </c>
      <c r="G4961" t="s">
        <v>31369</v>
      </c>
      <c r="H4961" t="s">
        <v>31379</v>
      </c>
      <c r="I4961" t="s">
        <v>6373</v>
      </c>
      <c r="J4961" t="s">
        <v>32229</v>
      </c>
      <c r="K4961" t="s">
        <v>40666</v>
      </c>
      <c r="M4961" t="s">
        <v>42707</v>
      </c>
      <c r="N4961" t="s">
        <v>44905</v>
      </c>
      <c r="O4961" t="s">
        <v>44906</v>
      </c>
      <c r="P4961">
        <v>0</v>
      </c>
      <c r="Q4961">
        <v>0</v>
      </c>
      <c r="R4961" t="s">
        <v>44909</v>
      </c>
      <c r="S4961" t="s">
        <v>45060</v>
      </c>
      <c r="T4961" t="s">
        <v>46486</v>
      </c>
      <c r="U4961" t="s">
        <v>50941</v>
      </c>
      <c r="W4961" t="s">
        <v>42707</v>
      </c>
      <c r="X4961" t="s">
        <v>44930</v>
      </c>
    </row>
    <row r="4962" spans="1:24">
      <c r="A4962">
        <f>HYPERLINK("https://www.philgeps.gov.ph/GEPSNONPILOT/Tender/SplashBidNoticeAbstractUI.aspx?menuIndex=3&amp;refID=7058721&amp;Result=3","7058721")</f>
        <v>0</v>
      </c>
      <c r="B4962" t="s">
        <v>1641</v>
      </c>
      <c r="C4962" t="s">
        <v>8272</v>
      </c>
      <c r="D4962" t="s">
        <v>18122</v>
      </c>
      <c r="E4962" t="s">
        <v>22627</v>
      </c>
      <c r="F4962" t="s">
        <v>31362</v>
      </c>
      <c r="G4962" t="s">
        <v>31369</v>
      </c>
      <c r="H4962" t="s">
        <v>31378</v>
      </c>
      <c r="I4962" t="s">
        <v>31386</v>
      </c>
      <c r="J4962" t="s">
        <v>31806</v>
      </c>
      <c r="K4962" t="s">
        <v>40665</v>
      </c>
      <c r="M4962" t="s">
        <v>42705</v>
      </c>
      <c r="N4962" t="s">
        <v>44905</v>
      </c>
      <c r="O4962" t="s">
        <v>44906</v>
      </c>
      <c r="P4962">
        <v>0</v>
      </c>
      <c r="Q4962">
        <v>0</v>
      </c>
      <c r="R4962" t="s">
        <v>44909</v>
      </c>
      <c r="S4962" t="s">
        <v>45060</v>
      </c>
      <c r="T4962" t="s">
        <v>46463</v>
      </c>
      <c r="U4962" t="s">
        <v>50942</v>
      </c>
      <c r="W4962" t="s">
        <v>42705</v>
      </c>
      <c r="X4962" t="s">
        <v>44919</v>
      </c>
    </row>
    <row r="4963" spans="1:24">
      <c r="A4963">
        <f>HYPERLINK("https://www.philgeps.gov.ph/GEPSNONPILOT/Tender/SplashBidNoticeAbstractUI.aspx?menuIndex=3&amp;refID=7031382-2&amp;Result=3","7031382-2")</f>
        <v>0</v>
      </c>
      <c r="B4963" t="s">
        <v>328</v>
      </c>
      <c r="C4963" t="s">
        <v>8273</v>
      </c>
      <c r="D4963" t="s">
        <v>18175</v>
      </c>
      <c r="E4963" t="s">
        <v>22628</v>
      </c>
      <c r="F4963" t="s">
        <v>31362</v>
      </c>
      <c r="G4963" t="s">
        <v>31369</v>
      </c>
      <c r="H4963" t="s">
        <v>31377</v>
      </c>
      <c r="I4963" t="s">
        <v>31377</v>
      </c>
      <c r="J4963" t="s">
        <v>34708</v>
      </c>
      <c r="K4963" t="s">
        <v>40661</v>
      </c>
      <c r="M4963" t="s">
        <v>41274</v>
      </c>
      <c r="N4963" t="s">
        <v>44905</v>
      </c>
      <c r="O4963" t="s">
        <v>44906</v>
      </c>
      <c r="P4963">
        <v>0</v>
      </c>
      <c r="Q4963">
        <v>1</v>
      </c>
      <c r="R4963" t="s">
        <v>44909</v>
      </c>
      <c r="S4963" t="s">
        <v>45060</v>
      </c>
      <c r="T4963" t="s">
        <v>46449</v>
      </c>
      <c r="U4963" t="s">
        <v>50943</v>
      </c>
      <c r="W4963" t="s">
        <v>41274</v>
      </c>
      <c r="X4963" t="s">
        <v>44910</v>
      </c>
    </row>
    <row r="4964" spans="1:24">
      <c r="A4964">
        <f>HYPERLINK("https://www.philgeps.gov.ph/GEPSNONPILOT/Tender/SplashBidNoticeAbstractUI.aspx?menuIndex=3&amp;refID=7031348-2&amp;Result=3","7031348-2")</f>
        <v>0</v>
      </c>
      <c r="B4964" t="s">
        <v>328</v>
      </c>
      <c r="C4964" t="s">
        <v>8274</v>
      </c>
      <c r="D4964" t="s">
        <v>18175</v>
      </c>
      <c r="E4964" t="s">
        <v>22629</v>
      </c>
      <c r="F4964" t="s">
        <v>31362</v>
      </c>
      <c r="G4964" t="s">
        <v>31369</v>
      </c>
      <c r="H4964" t="s">
        <v>31377</v>
      </c>
      <c r="I4964" t="s">
        <v>31377</v>
      </c>
      <c r="J4964" t="s">
        <v>34709</v>
      </c>
      <c r="K4964" t="s">
        <v>40676</v>
      </c>
      <c r="M4964" t="s">
        <v>41274</v>
      </c>
      <c r="N4964" t="s">
        <v>44905</v>
      </c>
      <c r="O4964" t="s">
        <v>44906</v>
      </c>
      <c r="P4964">
        <v>0</v>
      </c>
      <c r="Q4964">
        <v>1</v>
      </c>
      <c r="R4964" t="s">
        <v>44909</v>
      </c>
      <c r="S4964" t="s">
        <v>45060</v>
      </c>
      <c r="T4964" t="s">
        <v>46449</v>
      </c>
      <c r="U4964" t="s">
        <v>50943</v>
      </c>
      <c r="W4964" t="s">
        <v>41274</v>
      </c>
      <c r="X4964" t="s">
        <v>44910</v>
      </c>
    </row>
    <row r="4965" spans="1:24">
      <c r="A4965">
        <f>HYPERLINK("https://www.philgeps.gov.ph/GEPSNONPILOT/Tender/SplashBidNoticeAbstractUI.aspx?menuIndex=3&amp;refID=7058708&amp;Result=3","7058708")</f>
        <v>0</v>
      </c>
      <c r="B4965" t="s">
        <v>1641</v>
      </c>
      <c r="C4965" t="s">
        <v>8275</v>
      </c>
      <c r="D4965" t="s">
        <v>18122</v>
      </c>
      <c r="E4965" t="s">
        <v>22630</v>
      </c>
      <c r="F4965" t="s">
        <v>31362</v>
      </c>
      <c r="G4965" t="s">
        <v>31369</v>
      </c>
      <c r="H4965" t="s">
        <v>31378</v>
      </c>
      <c r="I4965" t="s">
        <v>31386</v>
      </c>
      <c r="J4965" t="s">
        <v>31546</v>
      </c>
      <c r="K4965" t="s">
        <v>40665</v>
      </c>
      <c r="M4965" t="s">
        <v>42705</v>
      </c>
      <c r="N4965" t="s">
        <v>44905</v>
      </c>
      <c r="O4965" t="s">
        <v>44906</v>
      </c>
      <c r="P4965">
        <v>0</v>
      </c>
      <c r="Q4965">
        <v>1</v>
      </c>
      <c r="R4965" t="s">
        <v>44909</v>
      </c>
      <c r="S4965" t="s">
        <v>45060</v>
      </c>
      <c r="T4965" t="s">
        <v>46463</v>
      </c>
      <c r="U4965" t="s">
        <v>50944</v>
      </c>
      <c r="W4965" t="s">
        <v>42705</v>
      </c>
      <c r="X4965" t="s">
        <v>44919</v>
      </c>
    </row>
    <row r="4966" spans="1:24">
      <c r="A4966">
        <f>HYPERLINK("https://www.philgeps.gov.ph/GEPSNONPILOT/Tender/SplashBidNoticeAbstractUI.aspx?menuIndex=3&amp;refID=6637649&amp;Result=3","6637649")</f>
        <v>0</v>
      </c>
      <c r="B4966" t="s">
        <v>1644</v>
      </c>
      <c r="C4966" t="s">
        <v>8276</v>
      </c>
      <c r="D4966" t="s">
        <v>18115</v>
      </c>
      <c r="E4966" t="s">
        <v>18227</v>
      </c>
      <c r="F4966" t="s">
        <v>31362</v>
      </c>
      <c r="G4966" t="s">
        <v>31369</v>
      </c>
      <c r="H4966" t="s">
        <v>15799</v>
      </c>
      <c r="I4966" t="s">
        <v>3815</v>
      </c>
      <c r="J4966" t="s">
        <v>34710</v>
      </c>
      <c r="K4966" t="s">
        <v>40661</v>
      </c>
      <c r="M4966" t="s">
        <v>42708</v>
      </c>
      <c r="N4966" t="s">
        <v>44905</v>
      </c>
      <c r="O4966" t="s">
        <v>44906</v>
      </c>
      <c r="P4966">
        <v>0</v>
      </c>
      <c r="Q4966">
        <v>2</v>
      </c>
      <c r="R4966" t="s">
        <v>44909</v>
      </c>
      <c r="S4966" t="s">
        <v>45060</v>
      </c>
      <c r="T4966" t="s">
        <v>46533</v>
      </c>
      <c r="U4966" t="s">
        <v>50945</v>
      </c>
      <c r="W4966" t="s">
        <v>42708</v>
      </c>
      <c r="X4966" t="s">
        <v>60982</v>
      </c>
    </row>
    <row r="4967" spans="1:24">
      <c r="A4967">
        <f>HYPERLINK("https://www.philgeps.gov.ph/GEPSNONPILOT/Tender/SplashBidNoticeAbstractUI.aspx?menuIndex=3&amp;refID=7065623&amp;Result=3","7065623")</f>
        <v>0</v>
      </c>
      <c r="B4967" t="s">
        <v>1398</v>
      </c>
      <c r="C4967" t="s">
        <v>8277</v>
      </c>
      <c r="D4967" t="s">
        <v>18152</v>
      </c>
      <c r="E4967" t="s">
        <v>22631</v>
      </c>
      <c r="F4967" t="s">
        <v>31362</v>
      </c>
      <c r="G4967" t="s">
        <v>31369</v>
      </c>
      <c r="H4967" t="s">
        <v>31378</v>
      </c>
      <c r="I4967" t="s">
        <v>31386</v>
      </c>
      <c r="J4967" t="s">
        <v>31637</v>
      </c>
      <c r="K4967" t="s">
        <v>40768</v>
      </c>
      <c r="M4967" t="s">
        <v>42423</v>
      </c>
      <c r="N4967" t="s">
        <v>44905</v>
      </c>
      <c r="O4967" t="s">
        <v>44906</v>
      </c>
      <c r="P4967">
        <v>0</v>
      </c>
      <c r="Q4967">
        <v>3</v>
      </c>
      <c r="R4967" t="s">
        <v>44909</v>
      </c>
      <c r="S4967" t="s">
        <v>45060</v>
      </c>
      <c r="T4967" t="s">
        <v>46559</v>
      </c>
      <c r="U4967" t="s">
        <v>50946</v>
      </c>
      <c r="W4967" t="s">
        <v>42423</v>
      </c>
      <c r="X4967" t="s">
        <v>44916</v>
      </c>
    </row>
    <row r="4968" spans="1:24">
      <c r="A4968">
        <f>HYPERLINK("https://www.philgeps.gov.ph/GEPSNONPILOT/Tender/SplashBidNoticeAbstractUI.aspx?menuIndex=3&amp;refID=7081738&amp;Result=3","7081738")</f>
        <v>0</v>
      </c>
      <c r="B4968" t="s">
        <v>54</v>
      </c>
      <c r="C4968" t="s">
        <v>8278</v>
      </c>
      <c r="D4968" t="s">
        <v>18103</v>
      </c>
      <c r="E4968" t="s">
        <v>22632</v>
      </c>
      <c r="F4968" t="s">
        <v>31362</v>
      </c>
      <c r="G4968" t="s">
        <v>31368</v>
      </c>
      <c r="H4968" t="s">
        <v>15799</v>
      </c>
      <c r="I4968" t="s">
        <v>31385</v>
      </c>
      <c r="J4968" t="s">
        <v>34711</v>
      </c>
      <c r="K4968" t="s">
        <v>40666</v>
      </c>
      <c r="M4968" t="s">
        <v>42709</v>
      </c>
      <c r="N4968" t="s">
        <v>44905</v>
      </c>
      <c r="O4968" t="s">
        <v>44906</v>
      </c>
      <c r="P4968">
        <v>0</v>
      </c>
      <c r="Q4968">
        <v>4</v>
      </c>
      <c r="R4968" t="s">
        <v>44908</v>
      </c>
      <c r="S4968" t="s">
        <v>45042</v>
      </c>
      <c r="T4968" t="s">
        <v>46438</v>
      </c>
      <c r="U4968" t="s">
        <v>50947</v>
      </c>
      <c r="V4968" t="s">
        <v>59066</v>
      </c>
      <c r="W4968" t="s">
        <v>42709</v>
      </c>
      <c r="X4968" t="s">
        <v>44909</v>
      </c>
    </row>
    <row r="4969" spans="1:24">
      <c r="A4969">
        <f>HYPERLINK("https://www.philgeps.gov.ph/GEPSNONPILOT/Tender/SplashBidNoticeAbstractUI.aspx?menuIndex=3&amp;refID=7067929&amp;Result=3","7067929")</f>
        <v>0</v>
      </c>
      <c r="B4969" t="s">
        <v>48</v>
      </c>
      <c r="C4969" t="s">
        <v>8279</v>
      </c>
      <c r="D4969" t="s">
        <v>18117</v>
      </c>
      <c r="E4969" t="s">
        <v>22633</v>
      </c>
      <c r="F4969" t="s">
        <v>31362</v>
      </c>
      <c r="G4969" t="s">
        <v>31369</v>
      </c>
      <c r="H4969" t="s">
        <v>15799</v>
      </c>
      <c r="I4969" t="s">
        <v>31431</v>
      </c>
      <c r="J4969" t="s">
        <v>34712</v>
      </c>
      <c r="K4969" t="s">
        <v>40680</v>
      </c>
      <c r="M4969" t="s">
        <v>40982</v>
      </c>
      <c r="N4969" t="s">
        <v>44905</v>
      </c>
      <c r="O4969" t="s">
        <v>44906</v>
      </c>
      <c r="P4969">
        <v>0</v>
      </c>
      <c r="Q4969">
        <v>0</v>
      </c>
      <c r="R4969" t="s">
        <v>44909</v>
      </c>
      <c r="S4969" t="s">
        <v>45060</v>
      </c>
      <c r="T4969" t="s">
        <v>46425</v>
      </c>
      <c r="U4969" t="s">
        <v>50948</v>
      </c>
      <c r="V4969" t="s">
        <v>59231</v>
      </c>
      <c r="W4969" t="s">
        <v>40982</v>
      </c>
      <c r="X4969" t="s">
        <v>44915</v>
      </c>
    </row>
    <row r="4970" spans="1:24">
      <c r="A4970">
        <f>HYPERLINK("https://www.philgeps.gov.ph/GEPSNONPILOT/Tender/SplashBidNoticeAbstractUI.aspx?menuIndex=3&amp;refID=7066251&amp;Result=3","7066251")</f>
        <v>0</v>
      </c>
      <c r="B4970" t="s">
        <v>1645</v>
      </c>
      <c r="C4970" t="s">
        <v>8280</v>
      </c>
      <c r="D4970" t="s">
        <v>18114</v>
      </c>
      <c r="E4970" t="s">
        <v>22634</v>
      </c>
      <c r="F4970" t="s">
        <v>31362</v>
      </c>
      <c r="G4970" t="s">
        <v>31369</v>
      </c>
      <c r="H4970" t="s">
        <v>15799</v>
      </c>
      <c r="I4970" t="s">
        <v>31394</v>
      </c>
      <c r="J4970" t="s">
        <v>34713</v>
      </c>
      <c r="K4970" t="s">
        <v>40662</v>
      </c>
      <c r="M4970" t="s">
        <v>42710</v>
      </c>
      <c r="N4970" t="s">
        <v>44905</v>
      </c>
      <c r="O4970" t="s">
        <v>44906</v>
      </c>
      <c r="P4970">
        <v>0</v>
      </c>
      <c r="Q4970">
        <v>4</v>
      </c>
      <c r="R4970" t="s">
        <v>44909</v>
      </c>
      <c r="S4970" t="s">
        <v>45060</v>
      </c>
      <c r="T4970" t="s">
        <v>46483</v>
      </c>
      <c r="U4970" t="s">
        <v>50949</v>
      </c>
      <c r="W4970" t="s">
        <v>42710</v>
      </c>
      <c r="X4970" t="s">
        <v>44916</v>
      </c>
    </row>
    <row r="4971" spans="1:24">
      <c r="A4971">
        <f>HYPERLINK("https://www.philgeps.gov.ph/GEPSNONPILOT/Tender/SplashBidNoticeAbstractUI.aspx?menuIndex=3&amp;refID=7081742&amp;Result=3","7081742")</f>
        <v>0</v>
      </c>
      <c r="B4971" t="s">
        <v>1640</v>
      </c>
      <c r="C4971" t="s">
        <v>8281</v>
      </c>
      <c r="D4971" t="s">
        <v>18100</v>
      </c>
      <c r="E4971" t="s">
        <v>22635</v>
      </c>
      <c r="F4971" t="s">
        <v>31362</v>
      </c>
      <c r="G4971" t="s">
        <v>31369</v>
      </c>
      <c r="H4971" t="s">
        <v>15799</v>
      </c>
      <c r="I4971" t="s">
        <v>31390</v>
      </c>
      <c r="J4971" t="s">
        <v>34714</v>
      </c>
      <c r="K4971" t="s">
        <v>40693</v>
      </c>
      <c r="M4971" t="s">
        <v>42703</v>
      </c>
      <c r="N4971" t="s">
        <v>44905</v>
      </c>
      <c r="O4971" t="s">
        <v>44906</v>
      </c>
      <c r="P4971">
        <v>0</v>
      </c>
      <c r="Q4971">
        <v>0</v>
      </c>
      <c r="R4971" t="s">
        <v>44908</v>
      </c>
      <c r="S4971" t="s">
        <v>45042</v>
      </c>
      <c r="T4971" t="s">
        <v>46690</v>
      </c>
      <c r="U4971" t="s">
        <v>50950</v>
      </c>
      <c r="W4971" t="s">
        <v>42703</v>
      </c>
      <c r="X4971" t="s">
        <v>44909</v>
      </c>
    </row>
    <row r="4972" spans="1:24">
      <c r="A4972">
        <f>HYPERLINK("https://www.philgeps.gov.ph/GEPSNONPILOT/Tender/SplashBidNoticeAbstractUI.aspx?menuIndex=3&amp;refID=7065708&amp;Result=3","7065708")</f>
        <v>0</v>
      </c>
      <c r="B4972" t="s">
        <v>1398</v>
      </c>
      <c r="C4972" t="s">
        <v>8282</v>
      </c>
      <c r="D4972" t="s">
        <v>18152</v>
      </c>
      <c r="E4972" t="s">
        <v>22636</v>
      </c>
      <c r="F4972" t="s">
        <v>31362</v>
      </c>
      <c r="G4972" t="s">
        <v>31369</v>
      </c>
      <c r="H4972" t="s">
        <v>31378</v>
      </c>
      <c r="I4972" t="s">
        <v>31386</v>
      </c>
      <c r="J4972" t="s">
        <v>31687</v>
      </c>
      <c r="K4972" t="s">
        <v>40665</v>
      </c>
      <c r="M4972" t="s">
        <v>42423</v>
      </c>
      <c r="N4972" t="s">
        <v>44905</v>
      </c>
      <c r="O4972" t="s">
        <v>44906</v>
      </c>
      <c r="P4972">
        <v>0</v>
      </c>
      <c r="Q4972">
        <v>1</v>
      </c>
      <c r="R4972" t="s">
        <v>44909</v>
      </c>
      <c r="S4972" t="s">
        <v>45060</v>
      </c>
      <c r="T4972" t="s">
        <v>46559</v>
      </c>
      <c r="U4972" t="s">
        <v>50951</v>
      </c>
      <c r="W4972" t="s">
        <v>42423</v>
      </c>
      <c r="X4972" t="s">
        <v>44916</v>
      </c>
    </row>
    <row r="4973" spans="1:24">
      <c r="A4973">
        <f>HYPERLINK("https://www.philgeps.gov.ph/GEPSNONPILOT/Tender/SplashBidNoticeAbstractUI.aspx?menuIndex=3&amp;refID=7065667&amp;Result=3","7065667")</f>
        <v>0</v>
      </c>
      <c r="B4973" t="s">
        <v>1398</v>
      </c>
      <c r="C4973" t="s">
        <v>8283</v>
      </c>
      <c r="D4973" t="s">
        <v>18152</v>
      </c>
      <c r="E4973" t="s">
        <v>22637</v>
      </c>
      <c r="F4973" t="s">
        <v>31362</v>
      </c>
      <c r="G4973" t="s">
        <v>31369</v>
      </c>
      <c r="H4973" t="s">
        <v>31378</v>
      </c>
      <c r="I4973" t="s">
        <v>31386</v>
      </c>
      <c r="J4973" t="s">
        <v>32894</v>
      </c>
      <c r="K4973" t="s">
        <v>40679</v>
      </c>
      <c r="M4973" t="s">
        <v>42423</v>
      </c>
      <c r="N4973" t="s">
        <v>44905</v>
      </c>
      <c r="O4973" t="s">
        <v>44906</v>
      </c>
      <c r="P4973">
        <v>0</v>
      </c>
      <c r="Q4973">
        <v>3</v>
      </c>
      <c r="R4973" t="s">
        <v>44909</v>
      </c>
      <c r="S4973" t="s">
        <v>45060</v>
      </c>
      <c r="T4973" t="s">
        <v>46559</v>
      </c>
      <c r="U4973" t="s">
        <v>50952</v>
      </c>
      <c r="W4973" t="s">
        <v>42423</v>
      </c>
      <c r="X4973" t="s">
        <v>44916</v>
      </c>
    </row>
    <row r="4974" spans="1:24">
      <c r="A4974">
        <f>HYPERLINK("https://www.philgeps.gov.ph/GEPSNONPILOT/Tender/SplashBidNoticeAbstractUI.aspx?menuIndex=3&amp;refID=7027990&amp;Result=3","7027990")</f>
        <v>0</v>
      </c>
      <c r="B4974" t="s">
        <v>1010</v>
      </c>
      <c r="C4974" t="s">
        <v>8284</v>
      </c>
      <c r="D4974" t="s">
        <v>18147</v>
      </c>
      <c r="E4974" t="s">
        <v>22638</v>
      </c>
      <c r="F4974" t="s">
        <v>31362</v>
      </c>
      <c r="G4974" t="s">
        <v>31368</v>
      </c>
      <c r="H4974" t="s">
        <v>15799</v>
      </c>
      <c r="I4974" t="s">
        <v>31380</v>
      </c>
      <c r="J4974" t="s">
        <v>31592</v>
      </c>
      <c r="K4974" t="s">
        <v>40697</v>
      </c>
      <c r="L4974" t="s">
        <v>1010</v>
      </c>
      <c r="M4974" t="s">
        <v>42007</v>
      </c>
      <c r="N4974" t="s">
        <v>44905</v>
      </c>
      <c r="O4974" t="s">
        <v>44906</v>
      </c>
      <c r="P4974">
        <v>0</v>
      </c>
      <c r="Q4974">
        <v>0</v>
      </c>
      <c r="R4974" t="s">
        <v>44909</v>
      </c>
      <c r="S4974" t="s">
        <v>45060</v>
      </c>
      <c r="T4974" t="s">
        <v>46509</v>
      </c>
      <c r="U4974" t="s">
        <v>50953</v>
      </c>
      <c r="W4974" t="s">
        <v>42007</v>
      </c>
      <c r="X4974" t="s">
        <v>44936</v>
      </c>
    </row>
    <row r="4975" spans="1:24">
      <c r="A4975">
        <f>HYPERLINK("https://www.philgeps.gov.ph/GEPSNONPILOT/Tender/SplashBidNoticeAbstractUI.aspx?menuIndex=3&amp;refID=7065485&amp;Result=3","7065485")</f>
        <v>0</v>
      </c>
      <c r="B4975" t="s">
        <v>1186</v>
      </c>
      <c r="C4975" t="s">
        <v>8285</v>
      </c>
      <c r="D4975" t="s">
        <v>18134</v>
      </c>
      <c r="E4975" t="s">
        <v>22639</v>
      </c>
      <c r="F4975" t="s">
        <v>31362</v>
      </c>
      <c r="G4975" t="s">
        <v>31368</v>
      </c>
      <c r="H4975" t="s">
        <v>15799</v>
      </c>
      <c r="I4975" t="s">
        <v>13635</v>
      </c>
      <c r="J4975" t="s">
        <v>34715</v>
      </c>
      <c r="K4975" t="s">
        <v>40697</v>
      </c>
      <c r="M4975" t="s">
        <v>42198</v>
      </c>
      <c r="N4975" t="s">
        <v>44905</v>
      </c>
      <c r="O4975" t="s">
        <v>44906</v>
      </c>
      <c r="P4975">
        <v>0</v>
      </c>
      <c r="Q4975">
        <v>2</v>
      </c>
      <c r="R4975" t="s">
        <v>44909</v>
      </c>
      <c r="S4975" t="s">
        <v>45060</v>
      </c>
      <c r="T4975" t="s">
        <v>46454</v>
      </c>
      <c r="U4975" t="s">
        <v>50954</v>
      </c>
      <c r="V4975" t="s">
        <v>59530</v>
      </c>
      <c r="W4975" t="s">
        <v>42198</v>
      </c>
      <c r="X4975" t="s">
        <v>44916</v>
      </c>
    </row>
    <row r="4976" spans="1:24">
      <c r="A4976">
        <f>HYPERLINK("https://www.philgeps.gov.ph/GEPSNONPILOT/Tender/SplashBidNoticeAbstractUI.aspx?menuIndex=3&amp;refID=7047380&amp;Result=3","7047380")</f>
        <v>0</v>
      </c>
      <c r="B4976" t="s">
        <v>913</v>
      </c>
      <c r="C4976" t="s">
        <v>8286</v>
      </c>
      <c r="D4976" t="s">
        <v>18176</v>
      </c>
      <c r="E4976" t="s">
        <v>22640</v>
      </c>
      <c r="F4976" t="s">
        <v>31362</v>
      </c>
      <c r="G4976" t="s">
        <v>31369</v>
      </c>
      <c r="H4976" t="s">
        <v>15799</v>
      </c>
      <c r="I4976" t="s">
        <v>7188</v>
      </c>
      <c r="J4976" t="s">
        <v>31578</v>
      </c>
      <c r="K4976" t="s">
        <v>40670</v>
      </c>
      <c r="M4976" t="s">
        <v>41896</v>
      </c>
      <c r="N4976" t="s">
        <v>44905</v>
      </c>
      <c r="O4976" t="s">
        <v>44906</v>
      </c>
      <c r="P4976">
        <v>0</v>
      </c>
      <c r="Q4976">
        <v>6</v>
      </c>
      <c r="R4976" t="s">
        <v>44909</v>
      </c>
      <c r="S4976" t="s">
        <v>45060</v>
      </c>
      <c r="T4976" t="s">
        <v>46426</v>
      </c>
      <c r="U4976" t="s">
        <v>50955</v>
      </c>
      <c r="W4976" t="s">
        <v>41896</v>
      </c>
      <c r="X4976" t="s">
        <v>44924</v>
      </c>
    </row>
    <row r="4977" spans="1:24">
      <c r="A4977">
        <f>HYPERLINK("https://www.philgeps.gov.ph/GEPSNONPILOT/Tender/SplashBidNoticeAbstractUI.aspx?menuIndex=3&amp;refID=7063147&amp;Result=3","7063147")</f>
        <v>0</v>
      </c>
      <c r="B4977" t="s">
        <v>1646</v>
      </c>
      <c r="C4977" t="s">
        <v>8287</v>
      </c>
      <c r="E4977" t="s">
        <v>22641</v>
      </c>
      <c r="F4977" t="s">
        <v>31362</v>
      </c>
      <c r="G4977" t="s">
        <v>31369</v>
      </c>
      <c r="H4977" t="s">
        <v>31378</v>
      </c>
      <c r="I4977" t="s">
        <v>31386</v>
      </c>
      <c r="J4977" t="s">
        <v>34716</v>
      </c>
      <c r="K4977" t="s">
        <v>40662</v>
      </c>
      <c r="M4977" t="s">
        <v>42711</v>
      </c>
      <c r="N4977" t="s">
        <v>44905</v>
      </c>
      <c r="O4977" t="s">
        <v>44906</v>
      </c>
      <c r="P4977">
        <v>0</v>
      </c>
      <c r="Q4977">
        <v>0</v>
      </c>
      <c r="R4977" t="s">
        <v>44909</v>
      </c>
      <c r="S4977" t="s">
        <v>45060</v>
      </c>
      <c r="T4977" t="s">
        <v>46417</v>
      </c>
      <c r="U4977" t="s">
        <v>50956</v>
      </c>
      <c r="W4977" t="s">
        <v>42711</v>
      </c>
      <c r="X4977" t="s">
        <v>44917</v>
      </c>
    </row>
    <row r="4978" spans="1:24">
      <c r="A4978">
        <f>HYPERLINK("https://www.philgeps.gov.ph/GEPSNONPILOT/Tender/SplashBidNoticeAbstractUI.aspx?menuIndex=3&amp;refID=7063122&amp;Result=3","7063122")</f>
        <v>0</v>
      </c>
      <c r="B4978" t="s">
        <v>1646</v>
      </c>
      <c r="C4978" t="s">
        <v>8288</v>
      </c>
      <c r="E4978" t="s">
        <v>22642</v>
      </c>
      <c r="F4978" t="s">
        <v>31362</v>
      </c>
      <c r="G4978" t="s">
        <v>31369</v>
      </c>
      <c r="H4978" t="s">
        <v>31378</v>
      </c>
      <c r="I4978" t="s">
        <v>31386</v>
      </c>
      <c r="J4978" t="s">
        <v>32549</v>
      </c>
      <c r="K4978" t="s">
        <v>40662</v>
      </c>
      <c r="M4978" t="s">
        <v>42711</v>
      </c>
      <c r="N4978" t="s">
        <v>44905</v>
      </c>
      <c r="O4978" t="s">
        <v>44906</v>
      </c>
      <c r="P4978">
        <v>0</v>
      </c>
      <c r="Q4978">
        <v>0</v>
      </c>
      <c r="R4978" t="s">
        <v>44909</v>
      </c>
      <c r="S4978" t="s">
        <v>45060</v>
      </c>
      <c r="T4978" t="s">
        <v>46417</v>
      </c>
      <c r="U4978" t="s">
        <v>50957</v>
      </c>
      <c r="W4978" t="s">
        <v>42711</v>
      </c>
      <c r="X4978" t="s">
        <v>44917</v>
      </c>
    </row>
    <row r="4979" spans="1:24">
      <c r="A4979">
        <f>HYPERLINK("https://www.philgeps.gov.ph/GEPSNONPILOT/Tender/SplashBidNoticeAbstractUI.aspx?menuIndex=3&amp;refID=7061967&amp;Result=3","7061967")</f>
        <v>0</v>
      </c>
      <c r="B4979" t="s">
        <v>735</v>
      </c>
      <c r="C4979" t="s">
        <v>8289</v>
      </c>
      <c r="D4979" t="s">
        <v>18127</v>
      </c>
      <c r="E4979" t="s">
        <v>20194</v>
      </c>
      <c r="F4979" t="s">
        <v>31362</v>
      </c>
      <c r="G4979" t="s">
        <v>31368</v>
      </c>
      <c r="H4979" t="s">
        <v>15799</v>
      </c>
      <c r="I4979" t="s">
        <v>31431</v>
      </c>
      <c r="J4979" t="s">
        <v>34717</v>
      </c>
      <c r="K4979" t="s">
        <v>40680</v>
      </c>
      <c r="M4979" t="s">
        <v>41702</v>
      </c>
      <c r="N4979" t="s">
        <v>44905</v>
      </c>
      <c r="O4979" t="s">
        <v>44906</v>
      </c>
      <c r="P4979">
        <v>0</v>
      </c>
      <c r="Q4979">
        <v>2</v>
      </c>
      <c r="R4979" t="s">
        <v>44909</v>
      </c>
      <c r="S4979" t="s">
        <v>45060</v>
      </c>
      <c r="T4979" t="s">
        <v>46409</v>
      </c>
      <c r="U4979" t="s">
        <v>48384</v>
      </c>
      <c r="V4979" t="s">
        <v>59531</v>
      </c>
      <c r="W4979" t="s">
        <v>41702</v>
      </c>
      <c r="X4979" t="s">
        <v>44917</v>
      </c>
    </row>
    <row r="4980" spans="1:24">
      <c r="A4980">
        <f>HYPERLINK("https://www.philgeps.gov.ph/GEPSNONPILOT/Tender/SplashBidNoticeAbstractUI.aspx?menuIndex=3&amp;refID=7081757&amp;Result=3","7081757")</f>
        <v>0</v>
      </c>
      <c r="B4980" t="s">
        <v>300</v>
      </c>
      <c r="C4980" t="s">
        <v>8290</v>
      </c>
      <c r="D4980" t="s">
        <v>18122</v>
      </c>
      <c r="E4980" t="s">
        <v>22643</v>
      </c>
      <c r="F4980" t="s">
        <v>31362</v>
      </c>
      <c r="G4980" t="s">
        <v>31369</v>
      </c>
      <c r="H4980" t="s">
        <v>15799</v>
      </c>
      <c r="I4980" t="s">
        <v>31393</v>
      </c>
      <c r="J4980" t="s">
        <v>34718</v>
      </c>
      <c r="K4980" t="s">
        <v>40679</v>
      </c>
      <c r="M4980" t="s">
        <v>42704</v>
      </c>
      <c r="N4980" t="s">
        <v>44905</v>
      </c>
      <c r="O4980" t="s">
        <v>44906</v>
      </c>
      <c r="P4980">
        <v>0</v>
      </c>
      <c r="Q4980">
        <v>7</v>
      </c>
      <c r="R4980" t="s">
        <v>44908</v>
      </c>
      <c r="S4980" t="s">
        <v>45042</v>
      </c>
      <c r="T4980" t="s">
        <v>46401</v>
      </c>
      <c r="U4980" t="s">
        <v>50958</v>
      </c>
      <c r="W4980" t="s">
        <v>42704</v>
      </c>
      <c r="X4980" t="s">
        <v>44909</v>
      </c>
    </row>
    <row r="4981" spans="1:24">
      <c r="A4981">
        <f>HYPERLINK("https://www.philgeps.gov.ph/GEPSNONPILOT/Tender/SplashBidNoticeAbstractUI.aspx?menuIndex=3&amp;refID=7065582&amp;Result=3","7065582")</f>
        <v>0</v>
      </c>
      <c r="B4981" t="s">
        <v>1398</v>
      </c>
      <c r="C4981" t="s">
        <v>8291</v>
      </c>
      <c r="D4981" t="s">
        <v>18152</v>
      </c>
      <c r="E4981" t="s">
        <v>22644</v>
      </c>
      <c r="F4981" t="s">
        <v>31362</v>
      </c>
      <c r="G4981" t="s">
        <v>31369</v>
      </c>
      <c r="H4981" t="s">
        <v>31378</v>
      </c>
      <c r="I4981" t="s">
        <v>31386</v>
      </c>
      <c r="J4981" t="s">
        <v>33868</v>
      </c>
      <c r="K4981" t="s">
        <v>40664</v>
      </c>
      <c r="M4981" t="s">
        <v>42423</v>
      </c>
      <c r="N4981" t="s">
        <v>44905</v>
      </c>
      <c r="O4981" t="s">
        <v>44906</v>
      </c>
      <c r="P4981">
        <v>0</v>
      </c>
      <c r="Q4981">
        <v>6</v>
      </c>
      <c r="R4981" t="s">
        <v>44909</v>
      </c>
      <c r="S4981" t="s">
        <v>45060</v>
      </c>
      <c r="T4981" t="s">
        <v>46559</v>
      </c>
      <c r="U4981" t="s">
        <v>50959</v>
      </c>
      <c r="W4981" t="s">
        <v>42423</v>
      </c>
      <c r="X4981" t="s">
        <v>44916</v>
      </c>
    </row>
    <row r="4982" spans="1:24">
      <c r="A4982">
        <f>HYPERLINK("https://www.philgeps.gov.ph/GEPSNONPILOT/Tender/SplashBidNoticeAbstractUI.aspx?menuIndex=3&amp;refID=7061738&amp;Result=3","7061738")</f>
        <v>0</v>
      </c>
      <c r="B4982" t="s">
        <v>48</v>
      </c>
      <c r="C4982" t="s">
        <v>8292</v>
      </c>
      <c r="D4982" t="s">
        <v>18117</v>
      </c>
      <c r="E4982" t="s">
        <v>8292</v>
      </c>
      <c r="F4982" t="s">
        <v>31362</v>
      </c>
      <c r="G4982" t="s">
        <v>31369</v>
      </c>
      <c r="H4982" t="s">
        <v>15799</v>
      </c>
      <c r="I4982" t="s">
        <v>7188</v>
      </c>
      <c r="J4982" t="s">
        <v>31732</v>
      </c>
      <c r="K4982" t="s">
        <v>40661</v>
      </c>
      <c r="M4982" t="s">
        <v>40982</v>
      </c>
      <c r="N4982" t="s">
        <v>44905</v>
      </c>
      <c r="O4982" t="s">
        <v>44906</v>
      </c>
      <c r="P4982">
        <v>0</v>
      </c>
      <c r="Q4982">
        <v>2</v>
      </c>
      <c r="R4982" t="s">
        <v>44909</v>
      </c>
      <c r="S4982" t="s">
        <v>45060</v>
      </c>
      <c r="T4982" t="s">
        <v>46401</v>
      </c>
      <c r="U4982" t="s">
        <v>50960</v>
      </c>
      <c r="V4982" t="s">
        <v>59085</v>
      </c>
      <c r="W4982" t="s">
        <v>40982</v>
      </c>
      <c r="X4982" t="s">
        <v>44917</v>
      </c>
    </row>
    <row r="4983" spans="1:24">
      <c r="A4983">
        <f>HYPERLINK("https://www.philgeps.gov.ph/GEPSNONPILOT/Tender/SplashBidNoticeAbstractUI.aspx?menuIndex=3&amp;refID=7060460&amp;Result=3","7060460")</f>
        <v>0</v>
      </c>
      <c r="B4983" t="s">
        <v>64</v>
      </c>
      <c r="C4983" t="s">
        <v>8293</v>
      </c>
      <c r="E4983" t="s">
        <v>22645</v>
      </c>
      <c r="F4983" t="s">
        <v>31362</v>
      </c>
      <c r="G4983" t="s">
        <v>31369</v>
      </c>
      <c r="H4983" t="s">
        <v>31378</v>
      </c>
      <c r="I4983" t="s">
        <v>31386</v>
      </c>
      <c r="J4983" t="s">
        <v>34719</v>
      </c>
      <c r="K4983" t="s">
        <v>40683</v>
      </c>
      <c r="M4983" t="s">
        <v>41000</v>
      </c>
      <c r="N4983" t="s">
        <v>44905</v>
      </c>
      <c r="O4983" t="s">
        <v>44906</v>
      </c>
      <c r="P4983">
        <v>0</v>
      </c>
      <c r="Q4983">
        <v>7</v>
      </c>
      <c r="R4983" t="s">
        <v>44909</v>
      </c>
      <c r="S4983" t="s">
        <v>45060</v>
      </c>
      <c r="T4983" t="s">
        <v>46685</v>
      </c>
      <c r="U4983" t="s">
        <v>50961</v>
      </c>
      <c r="W4983" t="s">
        <v>41000</v>
      </c>
      <c r="X4983" t="s">
        <v>44918</v>
      </c>
    </row>
    <row r="4984" spans="1:24">
      <c r="A4984">
        <f>HYPERLINK("https://www.philgeps.gov.ph/GEPSNONPILOT/Tender/SplashBidNoticeAbstractUI.aspx?menuIndex=3&amp;refID=7060417&amp;Result=3","7060417")</f>
        <v>0</v>
      </c>
      <c r="B4984" t="s">
        <v>64</v>
      </c>
      <c r="C4984" t="s">
        <v>8294</v>
      </c>
      <c r="E4984" t="s">
        <v>22646</v>
      </c>
      <c r="F4984" t="s">
        <v>31362</v>
      </c>
      <c r="G4984" t="s">
        <v>31369</v>
      </c>
      <c r="H4984" t="s">
        <v>31378</v>
      </c>
      <c r="I4984" t="s">
        <v>31386</v>
      </c>
      <c r="J4984" t="s">
        <v>34720</v>
      </c>
      <c r="K4984" t="s">
        <v>40686</v>
      </c>
      <c r="M4984" t="s">
        <v>41000</v>
      </c>
      <c r="N4984" t="s">
        <v>44905</v>
      </c>
      <c r="O4984" t="s">
        <v>44906</v>
      </c>
      <c r="P4984">
        <v>0</v>
      </c>
      <c r="Q4984">
        <v>7</v>
      </c>
      <c r="R4984" t="s">
        <v>44909</v>
      </c>
      <c r="S4984" t="s">
        <v>45060</v>
      </c>
      <c r="T4984" t="s">
        <v>46685</v>
      </c>
      <c r="U4984" t="s">
        <v>50962</v>
      </c>
      <c r="W4984" t="s">
        <v>41000</v>
      </c>
      <c r="X4984" t="s">
        <v>44918</v>
      </c>
    </row>
    <row r="4985" spans="1:24">
      <c r="A4985">
        <f>HYPERLINK("https://www.philgeps.gov.ph/GEPSNONPILOT/Tender/SplashBidNoticeAbstractUI.aspx?menuIndex=3&amp;refID=7065286&amp;Result=3","7065286")</f>
        <v>0</v>
      </c>
      <c r="B4985" t="s">
        <v>1196</v>
      </c>
      <c r="C4985" t="s">
        <v>8295</v>
      </c>
      <c r="D4985" t="s">
        <v>18117</v>
      </c>
      <c r="E4985" t="s">
        <v>22647</v>
      </c>
      <c r="F4985" t="s">
        <v>31362</v>
      </c>
      <c r="G4985" t="s">
        <v>31369</v>
      </c>
      <c r="H4985" t="s">
        <v>15799</v>
      </c>
      <c r="I4985" t="s">
        <v>7188</v>
      </c>
      <c r="J4985" t="s">
        <v>34355</v>
      </c>
      <c r="K4985" t="s">
        <v>40661</v>
      </c>
      <c r="M4985" t="s">
        <v>42208</v>
      </c>
      <c r="N4985" t="s">
        <v>44905</v>
      </c>
      <c r="O4985" t="s">
        <v>44906</v>
      </c>
      <c r="P4985">
        <v>0</v>
      </c>
      <c r="Q4985">
        <v>1</v>
      </c>
      <c r="R4985" t="s">
        <v>44909</v>
      </c>
      <c r="S4985" t="s">
        <v>45060</v>
      </c>
      <c r="T4985" t="s">
        <v>46624</v>
      </c>
      <c r="U4985" t="s">
        <v>50963</v>
      </c>
      <c r="V4985" t="s">
        <v>59532</v>
      </c>
      <c r="W4985" t="s">
        <v>42208</v>
      </c>
      <c r="X4985" t="s">
        <v>44916</v>
      </c>
    </row>
    <row r="4986" spans="1:24">
      <c r="A4986">
        <f>HYPERLINK("https://www.philgeps.gov.ph/GEPSNONPILOT/Tender/SplashBidNoticeAbstractUI.aspx?menuIndex=3&amp;refID=7060376&amp;Result=3","7060376")</f>
        <v>0</v>
      </c>
      <c r="B4986" t="s">
        <v>64</v>
      </c>
      <c r="C4986" t="s">
        <v>8296</v>
      </c>
      <c r="D4986" t="s">
        <v>18178</v>
      </c>
      <c r="E4986" t="s">
        <v>22648</v>
      </c>
      <c r="F4986" t="s">
        <v>31362</v>
      </c>
      <c r="G4986" t="s">
        <v>31369</v>
      </c>
      <c r="H4986" t="s">
        <v>31378</v>
      </c>
      <c r="I4986" t="s">
        <v>31386</v>
      </c>
      <c r="J4986" t="s">
        <v>34721</v>
      </c>
      <c r="K4986" t="s">
        <v>40683</v>
      </c>
      <c r="M4986" t="s">
        <v>41000</v>
      </c>
      <c r="N4986" t="s">
        <v>44905</v>
      </c>
      <c r="O4986" t="s">
        <v>44906</v>
      </c>
      <c r="P4986">
        <v>0</v>
      </c>
      <c r="Q4986">
        <v>3</v>
      </c>
      <c r="R4986" t="s">
        <v>44909</v>
      </c>
      <c r="S4986" t="s">
        <v>45060</v>
      </c>
      <c r="T4986" t="s">
        <v>46691</v>
      </c>
      <c r="U4986" t="s">
        <v>50964</v>
      </c>
      <c r="W4986" t="s">
        <v>41000</v>
      </c>
      <c r="X4986" t="s">
        <v>44918</v>
      </c>
    </row>
    <row r="4987" spans="1:24">
      <c r="A4987">
        <f>HYPERLINK("https://www.philgeps.gov.ph/GEPSNONPILOT/Tender/SplashBidNoticeAbstractUI.aspx?menuIndex=3&amp;refID=7060328&amp;Result=3","7060328")</f>
        <v>0</v>
      </c>
      <c r="B4987" t="s">
        <v>64</v>
      </c>
      <c r="C4987" t="s">
        <v>8297</v>
      </c>
      <c r="E4987" t="s">
        <v>22649</v>
      </c>
      <c r="F4987" t="s">
        <v>31362</v>
      </c>
      <c r="G4987" t="s">
        <v>31369</v>
      </c>
      <c r="H4987" t="s">
        <v>31378</v>
      </c>
      <c r="I4987" t="s">
        <v>31386</v>
      </c>
      <c r="J4987" t="s">
        <v>34722</v>
      </c>
      <c r="K4987" t="s">
        <v>40678</v>
      </c>
      <c r="M4987" t="s">
        <v>41000</v>
      </c>
      <c r="N4987" t="s">
        <v>44905</v>
      </c>
      <c r="O4987" t="s">
        <v>44906</v>
      </c>
      <c r="P4987">
        <v>0</v>
      </c>
      <c r="Q4987">
        <v>7</v>
      </c>
      <c r="R4987" t="s">
        <v>44909</v>
      </c>
      <c r="S4987" t="s">
        <v>45060</v>
      </c>
      <c r="T4987" t="s">
        <v>46685</v>
      </c>
      <c r="U4987" t="s">
        <v>50965</v>
      </c>
      <c r="W4987" t="s">
        <v>41000</v>
      </c>
      <c r="X4987" t="s">
        <v>44918</v>
      </c>
    </row>
    <row r="4988" spans="1:24">
      <c r="A4988">
        <f>HYPERLINK("https://www.philgeps.gov.ph/GEPSNONPILOT/Tender/SplashBidNoticeAbstractUI.aspx?menuIndex=3&amp;refID=7066213&amp;Result=3","7066213")</f>
        <v>0</v>
      </c>
      <c r="B4988" t="s">
        <v>1645</v>
      </c>
      <c r="C4988" t="s">
        <v>8298</v>
      </c>
      <c r="D4988" t="s">
        <v>18114</v>
      </c>
      <c r="E4988" t="s">
        <v>22650</v>
      </c>
      <c r="F4988" t="s">
        <v>31362</v>
      </c>
      <c r="G4988" t="s">
        <v>31369</v>
      </c>
      <c r="H4988" t="s">
        <v>15799</v>
      </c>
      <c r="I4988" t="s">
        <v>4283</v>
      </c>
      <c r="J4988" t="s">
        <v>34723</v>
      </c>
      <c r="K4988" t="s">
        <v>40662</v>
      </c>
      <c r="M4988" t="s">
        <v>42710</v>
      </c>
      <c r="N4988" t="s">
        <v>44905</v>
      </c>
      <c r="O4988" t="s">
        <v>44906</v>
      </c>
      <c r="P4988">
        <v>0</v>
      </c>
      <c r="Q4988">
        <v>9</v>
      </c>
      <c r="R4988" t="s">
        <v>44909</v>
      </c>
      <c r="S4988" t="s">
        <v>45060</v>
      </c>
      <c r="T4988" t="s">
        <v>46559</v>
      </c>
      <c r="U4988" t="s">
        <v>50966</v>
      </c>
      <c r="W4988" t="s">
        <v>42710</v>
      </c>
      <c r="X4988" t="s">
        <v>44916</v>
      </c>
    </row>
    <row r="4989" spans="1:24">
      <c r="A4989">
        <f>HYPERLINK("https://www.philgeps.gov.ph/GEPSNONPILOT/Tender/SplashBidNoticeAbstractUI.aspx?menuIndex=3&amp;refID=7081797&amp;Result=3","7081797")</f>
        <v>0</v>
      </c>
      <c r="B4989" t="s">
        <v>1635</v>
      </c>
      <c r="C4989" t="s">
        <v>8299</v>
      </c>
      <c r="D4989" t="s">
        <v>18136</v>
      </c>
      <c r="E4989" t="s">
        <v>22651</v>
      </c>
      <c r="F4989" t="s">
        <v>31362</v>
      </c>
      <c r="G4989" t="s">
        <v>31369</v>
      </c>
      <c r="H4989" t="s">
        <v>31378</v>
      </c>
      <c r="I4989" t="s">
        <v>31386</v>
      </c>
      <c r="J4989" t="s">
        <v>34724</v>
      </c>
      <c r="K4989" t="s">
        <v>40728</v>
      </c>
      <c r="M4989" t="s">
        <v>42696</v>
      </c>
      <c r="N4989" t="s">
        <v>44905</v>
      </c>
      <c r="O4989" t="s">
        <v>44906</v>
      </c>
      <c r="P4989">
        <v>0</v>
      </c>
      <c r="Q4989">
        <v>0</v>
      </c>
      <c r="R4989" t="s">
        <v>44908</v>
      </c>
      <c r="S4989" t="s">
        <v>45042</v>
      </c>
      <c r="T4989" t="s">
        <v>46570</v>
      </c>
      <c r="U4989" t="s">
        <v>50918</v>
      </c>
      <c r="W4989" t="s">
        <v>44354</v>
      </c>
      <c r="X4989" t="s">
        <v>44909</v>
      </c>
    </row>
    <row r="4990" spans="1:24">
      <c r="A4990">
        <f>HYPERLINK("https://www.philgeps.gov.ph/GEPSNONPILOT/Tender/SplashBidNoticeAbstractUI.aspx?menuIndex=3&amp;refID=7062192&amp;Result=3","7062192")</f>
        <v>0</v>
      </c>
      <c r="B4990" t="s">
        <v>735</v>
      </c>
      <c r="C4990" t="s">
        <v>8300</v>
      </c>
      <c r="D4990" t="s">
        <v>18127</v>
      </c>
      <c r="E4990" t="s">
        <v>22652</v>
      </c>
      <c r="F4990" t="s">
        <v>31362</v>
      </c>
      <c r="G4990" t="s">
        <v>31368</v>
      </c>
      <c r="H4990" t="s">
        <v>15799</v>
      </c>
      <c r="I4990" t="s">
        <v>31385</v>
      </c>
      <c r="J4990" t="s">
        <v>34725</v>
      </c>
      <c r="K4990" t="s">
        <v>40680</v>
      </c>
      <c r="M4990" t="s">
        <v>41702</v>
      </c>
      <c r="N4990" t="s">
        <v>44905</v>
      </c>
      <c r="O4990" t="s">
        <v>44906</v>
      </c>
      <c r="P4990">
        <v>0</v>
      </c>
      <c r="Q4990">
        <v>3</v>
      </c>
      <c r="R4990" t="s">
        <v>44909</v>
      </c>
      <c r="S4990" t="s">
        <v>45060</v>
      </c>
      <c r="T4990" t="s">
        <v>46428</v>
      </c>
      <c r="U4990" t="s">
        <v>48384</v>
      </c>
      <c r="V4990" t="s">
        <v>59533</v>
      </c>
      <c r="W4990" t="s">
        <v>41702</v>
      </c>
      <c r="X4990" t="s">
        <v>44917</v>
      </c>
    </row>
    <row r="4991" spans="1:24">
      <c r="A4991">
        <f>HYPERLINK("https://www.philgeps.gov.ph/GEPSNONPILOT/Tender/SplashBidNoticeAbstractUI.aspx?menuIndex=3&amp;refID=6963762&amp;Result=3","6963762")</f>
        <v>0</v>
      </c>
      <c r="B4991" t="s">
        <v>117</v>
      </c>
      <c r="C4991" t="s">
        <v>8301</v>
      </c>
      <c r="D4991" t="s">
        <v>18104</v>
      </c>
      <c r="E4991" t="s">
        <v>22653</v>
      </c>
      <c r="F4991" t="s">
        <v>31362</v>
      </c>
      <c r="G4991" t="s">
        <v>31370</v>
      </c>
      <c r="H4991" t="s">
        <v>15799</v>
      </c>
      <c r="I4991" t="s">
        <v>6373</v>
      </c>
      <c r="J4991" t="s">
        <v>34726</v>
      </c>
      <c r="K4991" t="s">
        <v>40662</v>
      </c>
      <c r="M4991" t="s">
        <v>42279</v>
      </c>
      <c r="N4991" t="s">
        <v>44905</v>
      </c>
      <c r="O4991" t="s">
        <v>44906</v>
      </c>
      <c r="P4991">
        <v>0</v>
      </c>
      <c r="Q4991">
        <v>0</v>
      </c>
      <c r="R4991" t="s">
        <v>44909</v>
      </c>
      <c r="S4991" t="s">
        <v>45060</v>
      </c>
      <c r="T4991" t="s">
        <v>46408</v>
      </c>
      <c r="U4991" t="s">
        <v>50967</v>
      </c>
      <c r="W4991" t="s">
        <v>42279</v>
      </c>
      <c r="X4991" t="s">
        <v>60983</v>
      </c>
    </row>
    <row r="4992" spans="1:24">
      <c r="A4992">
        <f>HYPERLINK("https://www.philgeps.gov.ph/GEPSNONPILOT/Tender/SplashBidNoticeAbstractUI.aspx?menuIndex=3&amp;refID=7070396&amp;Result=3","7070396")</f>
        <v>0</v>
      </c>
      <c r="B4992" t="s">
        <v>1647</v>
      </c>
      <c r="C4992" t="s">
        <v>8302</v>
      </c>
      <c r="D4992" t="s">
        <v>18123</v>
      </c>
      <c r="E4992" t="s">
        <v>22654</v>
      </c>
      <c r="F4992" t="s">
        <v>31362</v>
      </c>
      <c r="G4992" t="s">
        <v>31369</v>
      </c>
      <c r="H4992" t="s">
        <v>31378</v>
      </c>
      <c r="I4992" t="s">
        <v>31386</v>
      </c>
      <c r="J4992" t="s">
        <v>34727</v>
      </c>
      <c r="K4992" t="s">
        <v>40694</v>
      </c>
      <c r="M4992" t="s">
        <v>42712</v>
      </c>
      <c r="N4992" t="s">
        <v>44905</v>
      </c>
      <c r="O4992" t="s">
        <v>44906</v>
      </c>
      <c r="P4992">
        <v>0</v>
      </c>
      <c r="Q4992">
        <v>0</v>
      </c>
      <c r="R4992" t="s">
        <v>44909</v>
      </c>
      <c r="S4992" t="s">
        <v>45060</v>
      </c>
      <c r="T4992" t="s">
        <v>46555</v>
      </c>
      <c r="U4992" t="s">
        <v>50968</v>
      </c>
      <c r="V4992" t="s">
        <v>59534</v>
      </c>
      <c r="W4992" t="s">
        <v>42712</v>
      </c>
      <c r="X4992" t="s">
        <v>44914</v>
      </c>
    </row>
    <row r="4993" spans="1:24">
      <c r="A4993">
        <f>HYPERLINK("https://www.philgeps.gov.ph/GEPSNONPILOT/Tender/SplashBidNoticeAbstractUI.aspx?menuIndex=3&amp;refID=7060506&amp;Result=3","7060506")</f>
        <v>0</v>
      </c>
      <c r="B4993" t="s">
        <v>64</v>
      </c>
      <c r="C4993" t="s">
        <v>8303</v>
      </c>
      <c r="E4993" t="s">
        <v>22655</v>
      </c>
      <c r="F4993" t="s">
        <v>31362</v>
      </c>
      <c r="G4993" t="s">
        <v>31369</v>
      </c>
      <c r="H4993" t="s">
        <v>31378</v>
      </c>
      <c r="I4993" t="s">
        <v>31386</v>
      </c>
      <c r="J4993" t="s">
        <v>34728</v>
      </c>
      <c r="K4993" t="s">
        <v>40684</v>
      </c>
      <c r="M4993" t="s">
        <v>41000</v>
      </c>
      <c r="N4993" t="s">
        <v>44905</v>
      </c>
      <c r="O4993" t="s">
        <v>44906</v>
      </c>
      <c r="P4993">
        <v>0</v>
      </c>
      <c r="Q4993">
        <v>9</v>
      </c>
      <c r="R4993" t="s">
        <v>44909</v>
      </c>
      <c r="S4993" t="s">
        <v>45060</v>
      </c>
      <c r="T4993" t="s">
        <v>46685</v>
      </c>
      <c r="U4993" t="s">
        <v>50969</v>
      </c>
      <c r="W4993" t="s">
        <v>41000</v>
      </c>
      <c r="X4993" t="s">
        <v>44918</v>
      </c>
    </row>
    <row r="4994" spans="1:24">
      <c r="A4994">
        <f>HYPERLINK("https://www.philgeps.gov.ph/GEPSNONPILOT/Tender/SplashBidNoticeAbstractUI.aspx?menuIndex=3&amp;refID=7069963&amp;Result=3","7069963")</f>
        <v>0</v>
      </c>
      <c r="B4994" t="s">
        <v>1648</v>
      </c>
      <c r="C4994" t="s">
        <v>8304</v>
      </c>
      <c r="D4994" t="s">
        <v>18104</v>
      </c>
      <c r="E4994" t="s">
        <v>22656</v>
      </c>
      <c r="F4994" t="s">
        <v>31362</v>
      </c>
      <c r="G4994" t="s">
        <v>31369</v>
      </c>
      <c r="H4994" t="s">
        <v>31378</v>
      </c>
      <c r="I4994" t="s">
        <v>31386</v>
      </c>
      <c r="J4994" t="s">
        <v>34729</v>
      </c>
      <c r="K4994" t="s">
        <v>40682</v>
      </c>
      <c r="M4994" t="s">
        <v>42713</v>
      </c>
      <c r="N4994" t="s">
        <v>44905</v>
      </c>
      <c r="O4994" t="s">
        <v>44906</v>
      </c>
      <c r="P4994">
        <v>0</v>
      </c>
      <c r="Q4994">
        <v>0</v>
      </c>
      <c r="R4994" t="s">
        <v>44909</v>
      </c>
      <c r="S4994" t="s">
        <v>45060</v>
      </c>
      <c r="T4994" t="s">
        <v>46412</v>
      </c>
      <c r="U4994" t="s">
        <v>50970</v>
      </c>
      <c r="W4994" t="s">
        <v>42713</v>
      </c>
      <c r="X4994" t="s">
        <v>44915</v>
      </c>
    </row>
    <row r="4995" spans="1:24">
      <c r="A4995">
        <f>HYPERLINK("https://www.philgeps.gov.ph/GEPSNONPILOT/Tender/SplashBidNoticeAbstractUI.aspx?menuIndex=3&amp;refID=7069817&amp;Result=3","7069817")</f>
        <v>0</v>
      </c>
      <c r="B4995" t="s">
        <v>1649</v>
      </c>
      <c r="C4995" t="s">
        <v>8305</v>
      </c>
      <c r="D4995" t="s">
        <v>18165</v>
      </c>
      <c r="E4995" t="s">
        <v>22657</v>
      </c>
      <c r="F4995" t="s">
        <v>31362</v>
      </c>
      <c r="G4995" t="s">
        <v>31369</v>
      </c>
      <c r="H4995" t="s">
        <v>31378</v>
      </c>
      <c r="I4995" t="s">
        <v>31386</v>
      </c>
      <c r="J4995" t="s">
        <v>34730</v>
      </c>
      <c r="K4995" t="s">
        <v>40717</v>
      </c>
      <c r="M4995" t="s">
        <v>42714</v>
      </c>
      <c r="N4995" t="s">
        <v>44905</v>
      </c>
      <c r="O4995" t="s">
        <v>44906</v>
      </c>
      <c r="P4995">
        <v>0</v>
      </c>
      <c r="Q4995">
        <v>0</v>
      </c>
      <c r="R4995" t="s">
        <v>44909</v>
      </c>
      <c r="S4995" t="s">
        <v>45060</v>
      </c>
      <c r="T4995" t="s">
        <v>46408</v>
      </c>
      <c r="U4995" t="s">
        <v>50971</v>
      </c>
      <c r="W4995" t="s">
        <v>42714</v>
      </c>
      <c r="X4995" t="s">
        <v>44915</v>
      </c>
    </row>
    <row r="4996" spans="1:24">
      <c r="A4996">
        <f>HYPERLINK("https://www.philgeps.gov.ph/GEPSNONPILOT/Tender/SplashBidNoticeAbstractUI.aspx?menuIndex=3&amp;refID=7069586&amp;Result=3","7069586")</f>
        <v>0</v>
      </c>
      <c r="B4996" t="s">
        <v>1650</v>
      </c>
      <c r="C4996" t="s">
        <v>8306</v>
      </c>
      <c r="D4996" t="s">
        <v>18146</v>
      </c>
      <c r="E4996" t="s">
        <v>22658</v>
      </c>
      <c r="F4996" t="s">
        <v>31362</v>
      </c>
      <c r="G4996" t="s">
        <v>31369</v>
      </c>
      <c r="H4996" t="s">
        <v>31378</v>
      </c>
      <c r="I4996" t="s">
        <v>31386</v>
      </c>
      <c r="J4996" t="s">
        <v>31575</v>
      </c>
      <c r="K4996" t="s">
        <v>40666</v>
      </c>
      <c r="M4996" t="s">
        <v>42715</v>
      </c>
      <c r="N4996" t="s">
        <v>44905</v>
      </c>
      <c r="O4996" t="s">
        <v>44906</v>
      </c>
      <c r="P4996">
        <v>0</v>
      </c>
      <c r="Q4996">
        <v>0</v>
      </c>
      <c r="R4996" t="s">
        <v>44909</v>
      </c>
      <c r="S4996" t="s">
        <v>45060</v>
      </c>
      <c r="T4996" t="s">
        <v>46657</v>
      </c>
      <c r="U4996" t="s">
        <v>50972</v>
      </c>
      <c r="W4996" t="s">
        <v>42715</v>
      </c>
      <c r="X4996" t="s">
        <v>44915</v>
      </c>
    </row>
    <row r="4997" spans="1:24">
      <c r="A4997">
        <f>HYPERLINK("https://www.philgeps.gov.ph/GEPSNONPILOT/Tender/SplashBidNoticeAbstractUI.aspx?menuIndex=3&amp;refID=7081799&amp;Result=3","7081799")</f>
        <v>0</v>
      </c>
      <c r="B4997" t="s">
        <v>1635</v>
      </c>
      <c r="C4997" t="s">
        <v>8307</v>
      </c>
      <c r="D4997" t="s">
        <v>18136</v>
      </c>
      <c r="E4997" t="s">
        <v>22659</v>
      </c>
      <c r="F4997" t="s">
        <v>31362</v>
      </c>
      <c r="G4997" t="s">
        <v>31369</v>
      </c>
      <c r="H4997" t="s">
        <v>31378</v>
      </c>
      <c r="I4997" t="s">
        <v>31386</v>
      </c>
      <c r="J4997" t="s">
        <v>34731</v>
      </c>
      <c r="K4997" t="s">
        <v>40684</v>
      </c>
      <c r="M4997" t="s">
        <v>42696</v>
      </c>
      <c r="N4997" t="s">
        <v>44905</v>
      </c>
      <c r="O4997" t="s">
        <v>44906</v>
      </c>
      <c r="P4997">
        <v>0</v>
      </c>
      <c r="Q4997">
        <v>0</v>
      </c>
      <c r="R4997" t="s">
        <v>44908</v>
      </c>
      <c r="S4997" t="s">
        <v>45042</v>
      </c>
      <c r="T4997" t="s">
        <v>46570</v>
      </c>
      <c r="U4997" t="s">
        <v>50918</v>
      </c>
      <c r="W4997" t="s">
        <v>44354</v>
      </c>
      <c r="X4997" t="s">
        <v>44909</v>
      </c>
    </row>
    <row r="4998" spans="1:24">
      <c r="A4998">
        <f>HYPERLINK("https://www.philgeps.gov.ph/GEPSNONPILOT/Tender/SplashBidNoticeAbstractUI.aspx?menuIndex=3&amp;refID=7069533&amp;Result=3","7069533")</f>
        <v>0</v>
      </c>
      <c r="B4998" t="s">
        <v>1649</v>
      </c>
      <c r="C4998" t="s">
        <v>8308</v>
      </c>
      <c r="D4998" t="s">
        <v>18165</v>
      </c>
      <c r="E4998" t="s">
        <v>22660</v>
      </c>
      <c r="F4998" t="s">
        <v>31362</v>
      </c>
      <c r="G4998" t="s">
        <v>31369</v>
      </c>
      <c r="H4998" t="s">
        <v>31378</v>
      </c>
      <c r="I4998" t="s">
        <v>31386</v>
      </c>
      <c r="J4998" t="s">
        <v>34732</v>
      </c>
      <c r="K4998" t="s">
        <v>40760</v>
      </c>
      <c r="M4998" t="s">
        <v>42714</v>
      </c>
      <c r="N4998" t="s">
        <v>44905</v>
      </c>
      <c r="O4998" t="s">
        <v>44906</v>
      </c>
      <c r="P4998">
        <v>0</v>
      </c>
      <c r="Q4998">
        <v>0</v>
      </c>
      <c r="R4998" t="s">
        <v>44909</v>
      </c>
      <c r="S4998" t="s">
        <v>45060</v>
      </c>
      <c r="T4998" t="s">
        <v>46408</v>
      </c>
      <c r="U4998" t="s">
        <v>50973</v>
      </c>
      <c r="W4998" t="s">
        <v>42714</v>
      </c>
      <c r="X4998" t="s">
        <v>44915</v>
      </c>
    </row>
    <row r="4999" spans="1:24">
      <c r="A4999">
        <f>HYPERLINK("https://www.philgeps.gov.ph/GEPSNONPILOT/Tender/SplashBidNoticeAbstractUI.aspx?menuIndex=3&amp;refID=7069367&amp;Result=3","7069367")</f>
        <v>0</v>
      </c>
      <c r="B4999" t="s">
        <v>1651</v>
      </c>
      <c r="C4999" t="s">
        <v>8309</v>
      </c>
      <c r="D4999" t="s">
        <v>18100</v>
      </c>
      <c r="E4999" t="s">
        <v>22661</v>
      </c>
      <c r="F4999" t="s">
        <v>31362</v>
      </c>
      <c r="G4999" t="s">
        <v>31368</v>
      </c>
      <c r="H4999" t="s">
        <v>31379</v>
      </c>
      <c r="I4999" t="s">
        <v>31427</v>
      </c>
      <c r="J4999" t="s">
        <v>32320</v>
      </c>
      <c r="K4999" t="s">
        <v>40665</v>
      </c>
      <c r="M4999" t="s">
        <v>42716</v>
      </c>
      <c r="N4999" t="s">
        <v>44905</v>
      </c>
      <c r="O4999" t="s">
        <v>44906</v>
      </c>
      <c r="P4999">
        <v>0</v>
      </c>
      <c r="Q4999">
        <v>1</v>
      </c>
      <c r="R4999" t="s">
        <v>44909</v>
      </c>
      <c r="S4999" t="s">
        <v>45060</v>
      </c>
      <c r="T4999" t="s">
        <v>46400</v>
      </c>
      <c r="U4999" t="s">
        <v>50974</v>
      </c>
      <c r="W4999" t="s">
        <v>42716</v>
      </c>
      <c r="X4999" t="s">
        <v>44915</v>
      </c>
    </row>
    <row r="5000" spans="1:24">
      <c r="A5000">
        <f>HYPERLINK("https://www.philgeps.gov.ph/GEPSNONPILOT/Tender/SplashBidNoticeAbstractUI.aspx?menuIndex=3&amp;refID=7069342&amp;Result=3","7069342")</f>
        <v>0</v>
      </c>
      <c r="B5000" t="s">
        <v>1649</v>
      </c>
      <c r="C5000" t="s">
        <v>8310</v>
      </c>
      <c r="D5000" t="s">
        <v>18165</v>
      </c>
      <c r="E5000" t="s">
        <v>22662</v>
      </c>
      <c r="F5000" t="s">
        <v>31362</v>
      </c>
      <c r="G5000" t="s">
        <v>31369</v>
      </c>
      <c r="H5000" t="s">
        <v>31378</v>
      </c>
      <c r="I5000" t="s">
        <v>31386</v>
      </c>
      <c r="J5000" t="s">
        <v>34733</v>
      </c>
      <c r="K5000" t="s">
        <v>40792</v>
      </c>
      <c r="M5000" t="s">
        <v>42714</v>
      </c>
      <c r="N5000" t="s">
        <v>44905</v>
      </c>
      <c r="O5000" t="s">
        <v>44906</v>
      </c>
      <c r="P5000">
        <v>0</v>
      </c>
      <c r="Q5000">
        <v>0</v>
      </c>
      <c r="R5000" t="s">
        <v>44909</v>
      </c>
      <c r="S5000" t="s">
        <v>45060</v>
      </c>
      <c r="T5000" t="s">
        <v>46408</v>
      </c>
      <c r="U5000" t="s">
        <v>50975</v>
      </c>
      <c r="W5000" t="s">
        <v>42714</v>
      </c>
      <c r="X5000" t="s">
        <v>44915</v>
      </c>
    </row>
    <row r="5001" spans="1:24">
      <c r="A5001">
        <f>HYPERLINK("https://www.philgeps.gov.ph/GEPSNONPILOT/Tender/SplashBidNoticeAbstractUI.aspx?menuIndex=3&amp;refID=7069283&amp;Result=3","7069283")</f>
        <v>0</v>
      </c>
      <c r="B5001" t="s">
        <v>913</v>
      </c>
      <c r="C5001" t="s">
        <v>6054</v>
      </c>
      <c r="D5001" t="s">
        <v>18176</v>
      </c>
      <c r="E5001" t="s">
        <v>22663</v>
      </c>
      <c r="F5001" t="s">
        <v>31362</v>
      </c>
      <c r="G5001" t="s">
        <v>31369</v>
      </c>
      <c r="H5001" t="s">
        <v>15799</v>
      </c>
      <c r="I5001" t="s">
        <v>7719</v>
      </c>
      <c r="J5001" t="s">
        <v>34734</v>
      </c>
      <c r="K5001" t="s">
        <v>40670</v>
      </c>
      <c r="M5001" t="s">
        <v>41896</v>
      </c>
      <c r="N5001" t="s">
        <v>44905</v>
      </c>
      <c r="O5001" t="s">
        <v>44906</v>
      </c>
      <c r="P5001">
        <v>0</v>
      </c>
      <c r="Q5001">
        <v>15</v>
      </c>
      <c r="R5001" t="s">
        <v>44909</v>
      </c>
      <c r="S5001" t="s">
        <v>45060</v>
      </c>
      <c r="T5001" t="s">
        <v>46426</v>
      </c>
      <c r="U5001" t="s">
        <v>50976</v>
      </c>
      <c r="W5001" t="s">
        <v>41896</v>
      </c>
      <c r="X5001" t="s">
        <v>44915</v>
      </c>
    </row>
    <row r="5002" spans="1:24">
      <c r="A5002">
        <f>HYPERLINK("https://www.philgeps.gov.ph/GEPSNONPILOT/Tender/SplashBidNoticeAbstractUI.aspx?menuIndex=3&amp;refID=7070297&amp;Result=3","7070297")</f>
        <v>0</v>
      </c>
      <c r="B5002" t="s">
        <v>1652</v>
      </c>
      <c r="C5002" t="s">
        <v>8311</v>
      </c>
      <c r="D5002" t="s">
        <v>18143</v>
      </c>
      <c r="E5002" t="s">
        <v>22664</v>
      </c>
      <c r="F5002" t="s">
        <v>31362</v>
      </c>
      <c r="G5002" t="s">
        <v>31368</v>
      </c>
      <c r="H5002" t="s">
        <v>15799</v>
      </c>
      <c r="I5002" t="s">
        <v>7090</v>
      </c>
      <c r="J5002" t="s">
        <v>34735</v>
      </c>
      <c r="K5002" t="s">
        <v>40665</v>
      </c>
      <c r="M5002" t="s">
        <v>42717</v>
      </c>
      <c r="N5002" t="s">
        <v>44905</v>
      </c>
      <c r="O5002" t="s">
        <v>44906</v>
      </c>
      <c r="P5002">
        <v>0</v>
      </c>
      <c r="Q5002">
        <v>6</v>
      </c>
      <c r="R5002" t="s">
        <v>44909</v>
      </c>
      <c r="S5002" t="s">
        <v>45060</v>
      </c>
      <c r="T5002" t="s">
        <v>46467</v>
      </c>
      <c r="U5002" t="s">
        <v>50977</v>
      </c>
      <c r="W5002" t="s">
        <v>60904</v>
      </c>
      <c r="X5002" t="s">
        <v>44914</v>
      </c>
    </row>
    <row r="5003" spans="1:24">
      <c r="A5003">
        <f>HYPERLINK("https://www.philgeps.gov.ph/GEPSNONPILOT/Tender/SplashBidNoticeAbstractUI.aspx?menuIndex=3&amp;refID=7069232&amp;Result=3","7069232")</f>
        <v>0</v>
      </c>
      <c r="B5003" t="s">
        <v>1653</v>
      </c>
      <c r="C5003" t="s">
        <v>8312</v>
      </c>
      <c r="D5003" t="s">
        <v>18117</v>
      </c>
      <c r="E5003" t="s">
        <v>22665</v>
      </c>
      <c r="F5003" t="s">
        <v>31362</v>
      </c>
      <c r="G5003" t="s">
        <v>31369</v>
      </c>
      <c r="H5003" t="s">
        <v>31378</v>
      </c>
      <c r="I5003" t="s">
        <v>31386</v>
      </c>
      <c r="J5003" t="s">
        <v>31536</v>
      </c>
      <c r="K5003" t="s">
        <v>40665</v>
      </c>
      <c r="M5003" t="s">
        <v>42718</v>
      </c>
      <c r="N5003" t="s">
        <v>44905</v>
      </c>
      <c r="O5003" t="s">
        <v>44906</v>
      </c>
      <c r="P5003">
        <v>0</v>
      </c>
      <c r="Q5003">
        <v>0</v>
      </c>
      <c r="R5003" t="s">
        <v>44909</v>
      </c>
      <c r="S5003" t="s">
        <v>45060</v>
      </c>
      <c r="T5003" t="s">
        <v>46685</v>
      </c>
      <c r="U5003" t="s">
        <v>50978</v>
      </c>
      <c r="W5003" t="s">
        <v>42718</v>
      </c>
      <c r="X5003" t="s">
        <v>44915</v>
      </c>
    </row>
    <row r="5004" spans="1:24">
      <c r="A5004">
        <f>HYPERLINK("https://www.philgeps.gov.ph/GEPSNONPILOT/Tender/SplashBidNoticeAbstractUI.aspx?menuIndex=3&amp;refID=7069181&amp;Result=3","7069181")</f>
        <v>0</v>
      </c>
      <c r="B5004" t="s">
        <v>913</v>
      </c>
      <c r="C5004" t="s">
        <v>8313</v>
      </c>
      <c r="D5004" t="s">
        <v>18176</v>
      </c>
      <c r="E5004" t="s">
        <v>22666</v>
      </c>
      <c r="F5004" t="s">
        <v>31362</v>
      </c>
      <c r="G5004" t="s">
        <v>31369</v>
      </c>
      <c r="H5004" t="s">
        <v>15799</v>
      </c>
      <c r="I5004" t="s">
        <v>31430</v>
      </c>
      <c r="J5004" t="s">
        <v>34736</v>
      </c>
      <c r="K5004" t="s">
        <v>40665</v>
      </c>
      <c r="M5004" t="s">
        <v>41896</v>
      </c>
      <c r="N5004" t="s">
        <v>44905</v>
      </c>
      <c r="O5004" t="s">
        <v>44906</v>
      </c>
      <c r="P5004">
        <v>0</v>
      </c>
      <c r="Q5004">
        <v>0</v>
      </c>
      <c r="R5004" t="s">
        <v>44909</v>
      </c>
      <c r="S5004" t="s">
        <v>45060</v>
      </c>
      <c r="T5004" t="s">
        <v>46426</v>
      </c>
      <c r="U5004" t="s">
        <v>50979</v>
      </c>
      <c r="W5004" t="s">
        <v>41896</v>
      </c>
      <c r="X5004" t="s">
        <v>44915</v>
      </c>
    </row>
    <row r="5005" spans="1:24">
      <c r="A5005">
        <f>HYPERLINK("https://www.philgeps.gov.ph/GEPSNONPILOT/Tender/SplashBidNoticeAbstractUI.aspx?menuIndex=3&amp;refID=7069087&amp;Result=3","7069087")</f>
        <v>0</v>
      </c>
      <c r="B5005" t="s">
        <v>1649</v>
      </c>
      <c r="C5005" t="s">
        <v>8314</v>
      </c>
      <c r="D5005" t="s">
        <v>18165</v>
      </c>
      <c r="E5005" t="s">
        <v>22667</v>
      </c>
      <c r="F5005" t="s">
        <v>31362</v>
      </c>
      <c r="G5005" t="s">
        <v>31369</v>
      </c>
      <c r="H5005" t="s">
        <v>31378</v>
      </c>
      <c r="I5005" t="s">
        <v>31386</v>
      </c>
      <c r="J5005" t="s">
        <v>34737</v>
      </c>
      <c r="K5005" t="s">
        <v>40756</v>
      </c>
      <c r="M5005" t="s">
        <v>42714</v>
      </c>
      <c r="N5005" t="s">
        <v>44905</v>
      </c>
      <c r="O5005" t="s">
        <v>44906</v>
      </c>
      <c r="P5005">
        <v>0</v>
      </c>
      <c r="Q5005">
        <v>0</v>
      </c>
      <c r="R5005" t="s">
        <v>44909</v>
      </c>
      <c r="S5005" t="s">
        <v>45060</v>
      </c>
      <c r="T5005" t="s">
        <v>46408</v>
      </c>
      <c r="U5005" t="s">
        <v>50980</v>
      </c>
      <c r="W5005" t="s">
        <v>42714</v>
      </c>
      <c r="X5005" t="s">
        <v>44915</v>
      </c>
    </row>
    <row r="5006" spans="1:24">
      <c r="A5006">
        <f>HYPERLINK("https://www.philgeps.gov.ph/GEPSNONPILOT/Tender/SplashBidNoticeAbstractUI.aspx?menuIndex=3&amp;refID=7061783&amp;Result=3","7061783")</f>
        <v>0</v>
      </c>
      <c r="B5006" t="s">
        <v>48</v>
      </c>
      <c r="C5006" t="s">
        <v>8315</v>
      </c>
      <c r="E5006" t="s">
        <v>22668</v>
      </c>
      <c r="F5006" t="s">
        <v>31362</v>
      </c>
      <c r="G5006" t="s">
        <v>31369</v>
      </c>
      <c r="H5006" t="s">
        <v>15799</v>
      </c>
      <c r="I5006" t="s">
        <v>4942</v>
      </c>
      <c r="J5006" t="s">
        <v>34738</v>
      </c>
      <c r="K5006" t="s">
        <v>40680</v>
      </c>
      <c r="M5006" t="s">
        <v>41068</v>
      </c>
      <c r="N5006" t="s">
        <v>44905</v>
      </c>
      <c r="O5006" t="s">
        <v>44906</v>
      </c>
      <c r="P5006">
        <v>0</v>
      </c>
      <c r="Q5006">
        <v>2</v>
      </c>
      <c r="R5006" t="s">
        <v>44909</v>
      </c>
      <c r="S5006" t="s">
        <v>45060</v>
      </c>
      <c r="T5006" t="s">
        <v>46403</v>
      </c>
      <c r="U5006" t="s">
        <v>50981</v>
      </c>
      <c r="W5006" t="s">
        <v>41068</v>
      </c>
      <c r="X5006" t="s">
        <v>44917</v>
      </c>
    </row>
    <row r="5007" spans="1:24">
      <c r="A5007">
        <f>HYPERLINK("https://www.philgeps.gov.ph/GEPSNONPILOT/Tender/SplashBidNoticeAbstractUI.aspx?menuIndex=3&amp;refID=7070361&amp;Result=3","7070361")</f>
        <v>0</v>
      </c>
      <c r="B5007" t="s">
        <v>1654</v>
      </c>
      <c r="C5007" t="s">
        <v>8316</v>
      </c>
      <c r="D5007" t="s">
        <v>18135</v>
      </c>
      <c r="E5007" t="s">
        <v>18952</v>
      </c>
      <c r="F5007" t="s">
        <v>31362</v>
      </c>
      <c r="G5007" t="s">
        <v>31369</v>
      </c>
      <c r="H5007" t="s">
        <v>15799</v>
      </c>
      <c r="I5007" t="s">
        <v>31387</v>
      </c>
      <c r="J5007" t="s">
        <v>34739</v>
      </c>
      <c r="K5007" t="s">
        <v>40675</v>
      </c>
      <c r="M5007" t="s">
        <v>42719</v>
      </c>
      <c r="N5007" t="s">
        <v>44905</v>
      </c>
      <c r="O5007" t="s">
        <v>44906</v>
      </c>
      <c r="P5007">
        <v>0</v>
      </c>
      <c r="Q5007">
        <v>0</v>
      </c>
      <c r="R5007" t="s">
        <v>44909</v>
      </c>
      <c r="S5007" t="s">
        <v>45060</v>
      </c>
      <c r="T5007" t="s">
        <v>46431</v>
      </c>
      <c r="U5007" t="s">
        <v>50982</v>
      </c>
      <c r="W5007" t="s">
        <v>42719</v>
      </c>
      <c r="X5007" t="s">
        <v>44914</v>
      </c>
    </row>
    <row r="5008" spans="1:24">
      <c r="A5008">
        <f>HYPERLINK("https://www.philgeps.gov.ph/GEPSNONPILOT/Tender/SplashBidNoticeAbstractUI.aspx?menuIndex=3&amp;refID=7071474&amp;Result=3","7071474")</f>
        <v>0</v>
      </c>
      <c r="B5008" t="s">
        <v>1655</v>
      </c>
      <c r="C5008" t="s">
        <v>8317</v>
      </c>
      <c r="D5008" t="s">
        <v>18136</v>
      </c>
      <c r="E5008" t="s">
        <v>22669</v>
      </c>
      <c r="F5008" t="s">
        <v>31362</v>
      </c>
      <c r="G5008" t="s">
        <v>31369</v>
      </c>
      <c r="H5008" t="s">
        <v>15799</v>
      </c>
      <c r="I5008" t="s">
        <v>31380</v>
      </c>
      <c r="J5008" t="s">
        <v>34740</v>
      </c>
      <c r="K5008" t="s">
        <v>40661</v>
      </c>
      <c r="M5008" t="s">
        <v>42720</v>
      </c>
      <c r="N5008" t="s">
        <v>44905</v>
      </c>
      <c r="O5008" t="s">
        <v>44906</v>
      </c>
      <c r="P5008">
        <v>0</v>
      </c>
      <c r="Q5008">
        <v>2</v>
      </c>
      <c r="R5008" t="s">
        <v>44909</v>
      </c>
      <c r="S5008" t="s">
        <v>45060</v>
      </c>
      <c r="T5008" t="s">
        <v>46692</v>
      </c>
      <c r="U5008" t="s">
        <v>50983</v>
      </c>
      <c r="V5008" t="s">
        <v>59535</v>
      </c>
      <c r="W5008" t="s">
        <v>42720</v>
      </c>
      <c r="X5008" t="s">
        <v>44914</v>
      </c>
    </row>
    <row r="5009" spans="1:24">
      <c r="A5009">
        <f>HYPERLINK("https://www.philgeps.gov.ph/GEPSNONPILOT/Tender/SplashBidNoticeAbstractUI.aspx?menuIndex=3&amp;refID=7069319&amp;Result=3","7069319")</f>
        <v>0</v>
      </c>
      <c r="B5009" t="s">
        <v>1651</v>
      </c>
      <c r="C5009" t="s">
        <v>8318</v>
      </c>
      <c r="D5009" t="s">
        <v>18100</v>
      </c>
      <c r="E5009" t="s">
        <v>22670</v>
      </c>
      <c r="F5009" t="s">
        <v>31362</v>
      </c>
      <c r="G5009" t="s">
        <v>31368</v>
      </c>
      <c r="H5009" t="s">
        <v>31379</v>
      </c>
      <c r="I5009" t="s">
        <v>31392</v>
      </c>
      <c r="J5009" t="s">
        <v>34741</v>
      </c>
      <c r="K5009" t="s">
        <v>40666</v>
      </c>
      <c r="M5009" t="s">
        <v>42716</v>
      </c>
      <c r="N5009" t="s">
        <v>44905</v>
      </c>
      <c r="O5009" t="s">
        <v>44906</v>
      </c>
      <c r="P5009">
        <v>0</v>
      </c>
      <c r="Q5009">
        <v>1</v>
      </c>
      <c r="R5009" t="s">
        <v>44909</v>
      </c>
      <c r="S5009" t="s">
        <v>45060</v>
      </c>
      <c r="T5009" t="s">
        <v>46400</v>
      </c>
      <c r="U5009" t="s">
        <v>50984</v>
      </c>
      <c r="W5009" t="s">
        <v>42716</v>
      </c>
      <c r="X5009" t="s">
        <v>44915</v>
      </c>
    </row>
    <row r="5010" spans="1:24">
      <c r="A5010">
        <f>HYPERLINK("https://www.philgeps.gov.ph/GEPSNONPILOT/Tender/SplashBidNoticeAbstractUI.aspx?menuIndex=3&amp;refID=7071439&amp;Result=3","7071439")</f>
        <v>0</v>
      </c>
      <c r="B5010" t="s">
        <v>697</v>
      </c>
      <c r="C5010" t="s">
        <v>8319</v>
      </c>
      <c r="D5010" t="s">
        <v>18146</v>
      </c>
      <c r="E5010" t="s">
        <v>22671</v>
      </c>
      <c r="F5010" t="s">
        <v>31364</v>
      </c>
      <c r="G5010" t="s">
        <v>31369</v>
      </c>
      <c r="H5010" t="s">
        <v>31378</v>
      </c>
      <c r="I5010" t="s">
        <v>31386</v>
      </c>
      <c r="J5010" t="s">
        <v>34742</v>
      </c>
      <c r="K5010" t="s">
        <v>40675</v>
      </c>
      <c r="M5010" t="s">
        <v>41662</v>
      </c>
      <c r="N5010" t="s">
        <v>44905</v>
      </c>
      <c r="O5010" t="s">
        <v>44906</v>
      </c>
      <c r="P5010">
        <v>0</v>
      </c>
      <c r="Q5010">
        <v>0</v>
      </c>
      <c r="R5010" t="s">
        <v>44909</v>
      </c>
      <c r="S5010" t="s">
        <v>45060</v>
      </c>
      <c r="T5010" t="s">
        <v>46693</v>
      </c>
      <c r="U5010" t="s">
        <v>50985</v>
      </c>
      <c r="W5010" t="s">
        <v>41662</v>
      </c>
      <c r="X5010" t="s">
        <v>44914</v>
      </c>
    </row>
    <row r="5011" spans="1:24">
      <c r="A5011">
        <f>HYPERLINK("https://www.philgeps.gov.ph/GEPSNONPILOT/Tender/SplashBidNoticeAbstractUI.aspx?menuIndex=3&amp;refID=7071385&amp;Result=3","7071385")</f>
        <v>0</v>
      </c>
      <c r="B5011" t="s">
        <v>260</v>
      </c>
      <c r="C5011" t="s">
        <v>8320</v>
      </c>
      <c r="D5011" t="s">
        <v>18138</v>
      </c>
      <c r="E5011" t="s">
        <v>22672</v>
      </c>
      <c r="F5011" t="s">
        <v>31362</v>
      </c>
      <c r="G5011" t="s">
        <v>31368</v>
      </c>
      <c r="H5011" t="s">
        <v>15799</v>
      </c>
      <c r="I5011" t="s">
        <v>31410</v>
      </c>
      <c r="J5011" t="s">
        <v>34743</v>
      </c>
      <c r="K5011" t="s">
        <v>40662</v>
      </c>
      <c r="M5011" t="s">
        <v>41201</v>
      </c>
      <c r="N5011" t="s">
        <v>44905</v>
      </c>
      <c r="O5011" t="s">
        <v>44906</v>
      </c>
      <c r="P5011">
        <v>0</v>
      </c>
      <c r="Q5011">
        <v>0</v>
      </c>
      <c r="R5011" t="s">
        <v>44909</v>
      </c>
      <c r="S5011" t="s">
        <v>45060</v>
      </c>
      <c r="T5011" t="s">
        <v>46414</v>
      </c>
      <c r="U5011" t="s">
        <v>50986</v>
      </c>
      <c r="W5011" t="s">
        <v>41201</v>
      </c>
      <c r="X5011" t="s">
        <v>44914</v>
      </c>
    </row>
    <row r="5012" spans="1:24">
      <c r="A5012">
        <f>HYPERLINK("https://www.philgeps.gov.ph/GEPSNONPILOT/Tender/SplashBidNoticeAbstractUI.aspx?menuIndex=3&amp;refID=7071342&amp;Result=3","7071342")</f>
        <v>0</v>
      </c>
      <c r="B5012" t="s">
        <v>913</v>
      </c>
      <c r="C5012" t="s">
        <v>7801</v>
      </c>
      <c r="D5012" t="s">
        <v>18176</v>
      </c>
      <c r="E5012" t="s">
        <v>22673</v>
      </c>
      <c r="F5012" t="s">
        <v>31362</v>
      </c>
      <c r="G5012" t="s">
        <v>31369</v>
      </c>
      <c r="H5012" t="s">
        <v>15799</v>
      </c>
      <c r="I5012" t="s">
        <v>31404</v>
      </c>
      <c r="J5012" t="s">
        <v>34744</v>
      </c>
      <c r="K5012" t="s">
        <v>40662</v>
      </c>
      <c r="M5012" t="s">
        <v>41896</v>
      </c>
      <c r="N5012" t="s">
        <v>44905</v>
      </c>
      <c r="O5012" t="s">
        <v>44906</v>
      </c>
      <c r="P5012">
        <v>0</v>
      </c>
      <c r="Q5012">
        <v>0</v>
      </c>
      <c r="R5012" t="s">
        <v>44909</v>
      </c>
      <c r="S5012" t="s">
        <v>45060</v>
      </c>
      <c r="T5012" t="s">
        <v>46426</v>
      </c>
      <c r="U5012" t="s">
        <v>50987</v>
      </c>
      <c r="W5012" t="s">
        <v>41896</v>
      </c>
      <c r="X5012" t="s">
        <v>44914</v>
      </c>
    </row>
    <row r="5013" spans="1:24">
      <c r="A5013">
        <f>HYPERLINK("https://www.philgeps.gov.ph/GEPSNONPILOT/Tender/SplashBidNoticeAbstractUI.aspx?menuIndex=3&amp;refID=7071298&amp;Result=3","7071298")</f>
        <v>0</v>
      </c>
      <c r="B5013" t="s">
        <v>1656</v>
      </c>
      <c r="C5013" t="s">
        <v>8321</v>
      </c>
      <c r="D5013" t="s">
        <v>18148</v>
      </c>
      <c r="E5013" t="s">
        <v>22674</v>
      </c>
      <c r="F5013" t="s">
        <v>31362</v>
      </c>
      <c r="G5013" t="s">
        <v>31369</v>
      </c>
      <c r="H5013" t="s">
        <v>15799</v>
      </c>
      <c r="I5013" t="s">
        <v>3815</v>
      </c>
      <c r="J5013" t="s">
        <v>34745</v>
      </c>
      <c r="K5013" t="s">
        <v>40662</v>
      </c>
      <c r="M5013" t="s">
        <v>42721</v>
      </c>
      <c r="N5013" t="s">
        <v>44905</v>
      </c>
      <c r="O5013" t="s">
        <v>44906</v>
      </c>
      <c r="P5013">
        <v>0</v>
      </c>
      <c r="Q5013">
        <v>1</v>
      </c>
      <c r="R5013" t="s">
        <v>44909</v>
      </c>
      <c r="S5013" t="s">
        <v>45060</v>
      </c>
      <c r="T5013" t="s">
        <v>46431</v>
      </c>
      <c r="U5013" t="s">
        <v>50988</v>
      </c>
      <c r="W5013" t="s">
        <v>60905</v>
      </c>
      <c r="X5013" t="s">
        <v>44914</v>
      </c>
    </row>
    <row r="5014" spans="1:24">
      <c r="A5014">
        <f>HYPERLINK("https://www.philgeps.gov.ph/GEPSNONPILOT/Tender/SplashBidNoticeAbstractUI.aspx?menuIndex=3&amp;refID=7070489&amp;Result=3","7070489")</f>
        <v>0</v>
      </c>
      <c r="B5014" t="s">
        <v>913</v>
      </c>
      <c r="C5014" t="s">
        <v>8322</v>
      </c>
      <c r="D5014" t="s">
        <v>18176</v>
      </c>
      <c r="E5014" t="s">
        <v>22675</v>
      </c>
      <c r="F5014" t="s">
        <v>31362</v>
      </c>
      <c r="G5014" t="s">
        <v>31369</v>
      </c>
      <c r="H5014" t="s">
        <v>15799</v>
      </c>
      <c r="I5014" t="s">
        <v>4283</v>
      </c>
      <c r="J5014" t="s">
        <v>34746</v>
      </c>
      <c r="K5014" t="s">
        <v>40670</v>
      </c>
      <c r="M5014" t="s">
        <v>41896</v>
      </c>
      <c r="N5014" t="s">
        <v>44905</v>
      </c>
      <c r="O5014" t="s">
        <v>44906</v>
      </c>
      <c r="P5014">
        <v>0</v>
      </c>
      <c r="Q5014">
        <v>5</v>
      </c>
      <c r="R5014" t="s">
        <v>44909</v>
      </c>
      <c r="S5014" t="s">
        <v>45060</v>
      </c>
      <c r="T5014" t="s">
        <v>46426</v>
      </c>
      <c r="U5014" t="s">
        <v>50989</v>
      </c>
      <c r="W5014" t="s">
        <v>41896</v>
      </c>
      <c r="X5014" t="s">
        <v>44914</v>
      </c>
    </row>
    <row r="5015" spans="1:24">
      <c r="A5015">
        <f>HYPERLINK("https://www.philgeps.gov.ph/GEPSNONPILOT/Tender/SplashBidNoticeAbstractUI.aspx?menuIndex=3&amp;refID=7081796&amp;Result=3","7081796")</f>
        <v>0</v>
      </c>
      <c r="B5015" t="s">
        <v>1635</v>
      </c>
      <c r="C5015" t="s">
        <v>8323</v>
      </c>
      <c r="D5015" t="s">
        <v>18136</v>
      </c>
      <c r="E5015" t="s">
        <v>22676</v>
      </c>
      <c r="F5015" t="s">
        <v>31362</v>
      </c>
      <c r="G5015" t="s">
        <v>31369</v>
      </c>
      <c r="H5015" t="s">
        <v>31378</v>
      </c>
      <c r="I5015" t="s">
        <v>31386</v>
      </c>
      <c r="J5015" t="s">
        <v>34697</v>
      </c>
      <c r="K5015" t="s">
        <v>40669</v>
      </c>
      <c r="M5015" t="s">
        <v>42696</v>
      </c>
      <c r="N5015" t="s">
        <v>44905</v>
      </c>
      <c r="O5015" t="s">
        <v>44906</v>
      </c>
      <c r="P5015">
        <v>0</v>
      </c>
      <c r="Q5015">
        <v>0</v>
      </c>
      <c r="R5015" t="s">
        <v>44908</v>
      </c>
      <c r="S5015" t="s">
        <v>45042</v>
      </c>
      <c r="T5015" t="s">
        <v>46570</v>
      </c>
      <c r="U5015" t="s">
        <v>50918</v>
      </c>
      <c r="W5015" t="s">
        <v>44354</v>
      </c>
      <c r="X5015" t="s">
        <v>44909</v>
      </c>
    </row>
    <row r="5016" spans="1:24">
      <c r="A5016">
        <f>HYPERLINK("https://www.philgeps.gov.ph/GEPSNONPILOT/Tender/SplashBidNoticeAbstractUI.aspx?menuIndex=3&amp;refID=7071241&amp;Result=3","7071241")</f>
        <v>0</v>
      </c>
      <c r="B5016" t="s">
        <v>1656</v>
      </c>
      <c r="C5016" t="s">
        <v>8324</v>
      </c>
      <c r="D5016" t="s">
        <v>18148</v>
      </c>
      <c r="E5016" t="s">
        <v>22677</v>
      </c>
      <c r="F5016" t="s">
        <v>31362</v>
      </c>
      <c r="G5016" t="s">
        <v>31369</v>
      </c>
      <c r="H5016" t="s">
        <v>15799</v>
      </c>
      <c r="I5016" t="s">
        <v>3815</v>
      </c>
      <c r="J5016" t="s">
        <v>34747</v>
      </c>
      <c r="K5016" t="s">
        <v>40662</v>
      </c>
      <c r="M5016" t="s">
        <v>42721</v>
      </c>
      <c r="N5016" t="s">
        <v>44905</v>
      </c>
      <c r="O5016" t="s">
        <v>44906</v>
      </c>
      <c r="P5016">
        <v>0</v>
      </c>
      <c r="Q5016">
        <v>1</v>
      </c>
      <c r="R5016" t="s">
        <v>44909</v>
      </c>
      <c r="S5016" t="s">
        <v>45060</v>
      </c>
      <c r="T5016" t="s">
        <v>46431</v>
      </c>
      <c r="U5016" t="s">
        <v>50988</v>
      </c>
      <c r="W5016" t="s">
        <v>60905</v>
      </c>
      <c r="X5016" t="s">
        <v>44914</v>
      </c>
    </row>
    <row r="5017" spans="1:24">
      <c r="A5017">
        <f>HYPERLINK("https://www.philgeps.gov.ph/GEPSNONPILOT/Tender/SplashBidNoticeAbstractUI.aspx?menuIndex=3&amp;refID=7071224&amp;Result=3","7071224")</f>
        <v>0</v>
      </c>
      <c r="B5017" t="s">
        <v>1656</v>
      </c>
      <c r="C5017" t="s">
        <v>8325</v>
      </c>
      <c r="D5017" t="s">
        <v>18148</v>
      </c>
      <c r="E5017" t="s">
        <v>22678</v>
      </c>
      <c r="F5017" t="s">
        <v>31362</v>
      </c>
      <c r="G5017" t="s">
        <v>31369</v>
      </c>
      <c r="H5017" t="s">
        <v>15799</v>
      </c>
      <c r="I5017" t="s">
        <v>31392</v>
      </c>
      <c r="J5017" t="s">
        <v>34748</v>
      </c>
      <c r="K5017" t="s">
        <v>40662</v>
      </c>
      <c r="M5017" t="s">
        <v>42721</v>
      </c>
      <c r="N5017" t="s">
        <v>44905</v>
      </c>
      <c r="O5017" t="s">
        <v>44906</v>
      </c>
      <c r="P5017">
        <v>0</v>
      </c>
      <c r="Q5017">
        <v>2</v>
      </c>
      <c r="R5017" t="s">
        <v>44909</v>
      </c>
      <c r="S5017" t="s">
        <v>45060</v>
      </c>
      <c r="T5017" t="s">
        <v>46431</v>
      </c>
      <c r="U5017" t="s">
        <v>50988</v>
      </c>
      <c r="W5017" t="s">
        <v>60905</v>
      </c>
      <c r="X5017" t="s">
        <v>44914</v>
      </c>
    </row>
    <row r="5018" spans="1:24">
      <c r="A5018">
        <f>HYPERLINK("https://www.philgeps.gov.ph/GEPSNONPILOT/Tender/SplashBidNoticeAbstractUI.aspx?menuIndex=3&amp;refID=7071174&amp;Result=3","7071174")</f>
        <v>0</v>
      </c>
      <c r="B5018" t="s">
        <v>1657</v>
      </c>
      <c r="C5018" t="s">
        <v>8326</v>
      </c>
      <c r="D5018" t="s">
        <v>18123</v>
      </c>
      <c r="E5018" t="s">
        <v>19313</v>
      </c>
      <c r="F5018" t="s">
        <v>31363</v>
      </c>
      <c r="G5018" t="s">
        <v>31369</v>
      </c>
      <c r="H5018" t="s">
        <v>15799</v>
      </c>
      <c r="I5018" t="s">
        <v>31404</v>
      </c>
      <c r="J5018" t="s">
        <v>31578</v>
      </c>
      <c r="K5018" t="s">
        <v>40662</v>
      </c>
      <c r="M5018" t="s">
        <v>42722</v>
      </c>
      <c r="N5018" t="s">
        <v>44905</v>
      </c>
      <c r="O5018" t="s">
        <v>44906</v>
      </c>
      <c r="P5018">
        <v>0</v>
      </c>
      <c r="Q5018">
        <v>1</v>
      </c>
      <c r="R5018" t="s">
        <v>44909</v>
      </c>
      <c r="S5018" t="s">
        <v>45060</v>
      </c>
      <c r="T5018" t="s">
        <v>46694</v>
      </c>
      <c r="U5018" t="s">
        <v>50990</v>
      </c>
      <c r="V5018" t="s">
        <v>59536</v>
      </c>
      <c r="W5018" t="s">
        <v>42722</v>
      </c>
      <c r="X5018" t="s">
        <v>44914</v>
      </c>
    </row>
    <row r="5019" spans="1:24">
      <c r="A5019">
        <f>HYPERLINK("https://www.philgeps.gov.ph/GEPSNONPILOT/Tender/SplashBidNoticeAbstractUI.aspx?menuIndex=3&amp;refID=7069970&amp;Result=3","7069970")</f>
        <v>0</v>
      </c>
      <c r="B5019" t="s">
        <v>828</v>
      </c>
      <c r="C5019" t="s">
        <v>8327</v>
      </c>
      <c r="D5019" t="s">
        <v>18148</v>
      </c>
      <c r="E5019" t="s">
        <v>22679</v>
      </c>
      <c r="F5019" t="s">
        <v>31362</v>
      </c>
      <c r="G5019" t="s">
        <v>31369</v>
      </c>
      <c r="H5019" t="s">
        <v>15799</v>
      </c>
      <c r="I5019" t="s">
        <v>3815</v>
      </c>
      <c r="J5019" t="s">
        <v>32192</v>
      </c>
      <c r="K5019" t="s">
        <v>40662</v>
      </c>
      <c r="M5019" t="s">
        <v>41802</v>
      </c>
      <c r="N5019" t="s">
        <v>44905</v>
      </c>
      <c r="O5019" t="s">
        <v>44906</v>
      </c>
      <c r="P5019">
        <v>0</v>
      </c>
      <c r="Q5019">
        <v>0</v>
      </c>
      <c r="R5019" t="s">
        <v>44909</v>
      </c>
      <c r="S5019" t="s">
        <v>45060</v>
      </c>
      <c r="T5019" t="s">
        <v>46417</v>
      </c>
      <c r="U5019" t="s">
        <v>50991</v>
      </c>
      <c r="W5019" t="s">
        <v>41802</v>
      </c>
      <c r="X5019" t="s">
        <v>44915</v>
      </c>
    </row>
    <row r="5020" spans="1:24">
      <c r="A5020">
        <f>HYPERLINK("https://www.philgeps.gov.ph/GEPSNONPILOT/Tender/SplashBidNoticeAbstractUI.aspx?menuIndex=3&amp;refID=7071097&amp;Result=3","7071097")</f>
        <v>0</v>
      </c>
      <c r="B5020" t="s">
        <v>1658</v>
      </c>
      <c r="C5020" t="s">
        <v>8328</v>
      </c>
      <c r="D5020" t="s">
        <v>18122</v>
      </c>
      <c r="E5020" t="s">
        <v>22680</v>
      </c>
      <c r="F5020" t="s">
        <v>31362</v>
      </c>
      <c r="G5020" t="s">
        <v>31370</v>
      </c>
      <c r="H5020" t="s">
        <v>15799</v>
      </c>
      <c r="I5020" t="s">
        <v>31431</v>
      </c>
      <c r="J5020" t="s">
        <v>34749</v>
      </c>
      <c r="K5020" t="s">
        <v>40665</v>
      </c>
      <c r="M5020" t="s">
        <v>42723</v>
      </c>
      <c r="N5020" t="s">
        <v>44905</v>
      </c>
      <c r="O5020" t="s">
        <v>44906</v>
      </c>
      <c r="P5020">
        <v>0</v>
      </c>
      <c r="Q5020">
        <v>2</v>
      </c>
      <c r="R5020" t="s">
        <v>44909</v>
      </c>
      <c r="S5020" t="s">
        <v>45060</v>
      </c>
      <c r="T5020" t="s">
        <v>46414</v>
      </c>
      <c r="U5020" t="s">
        <v>50992</v>
      </c>
      <c r="W5020" t="s">
        <v>42723</v>
      </c>
      <c r="X5020" t="s">
        <v>44914</v>
      </c>
    </row>
    <row r="5021" spans="1:24">
      <c r="A5021">
        <f>HYPERLINK("https://www.philgeps.gov.ph/GEPSNONPILOT/Tender/SplashBidNoticeAbstractUI.aspx?menuIndex=3&amp;refID=7071074&amp;Result=3","7071074")</f>
        <v>0</v>
      </c>
      <c r="B5021" t="s">
        <v>1656</v>
      </c>
      <c r="C5021" t="s">
        <v>8329</v>
      </c>
      <c r="D5021" t="s">
        <v>18148</v>
      </c>
      <c r="E5021" t="s">
        <v>22681</v>
      </c>
      <c r="F5021" t="s">
        <v>31362</v>
      </c>
      <c r="G5021" t="s">
        <v>31369</v>
      </c>
      <c r="H5021" t="s">
        <v>15799</v>
      </c>
      <c r="I5021" t="s">
        <v>31466</v>
      </c>
      <c r="J5021" t="s">
        <v>34750</v>
      </c>
      <c r="K5021" t="s">
        <v>40662</v>
      </c>
      <c r="M5021" t="s">
        <v>42721</v>
      </c>
      <c r="N5021" t="s">
        <v>44905</v>
      </c>
      <c r="O5021" t="s">
        <v>44906</v>
      </c>
      <c r="P5021">
        <v>0</v>
      </c>
      <c r="Q5021">
        <v>5</v>
      </c>
      <c r="R5021" t="s">
        <v>44909</v>
      </c>
      <c r="S5021" t="s">
        <v>45060</v>
      </c>
      <c r="T5021" t="s">
        <v>46431</v>
      </c>
      <c r="U5021" t="s">
        <v>50988</v>
      </c>
      <c r="W5021" t="s">
        <v>60905</v>
      </c>
      <c r="X5021" t="s">
        <v>44914</v>
      </c>
    </row>
    <row r="5022" spans="1:24">
      <c r="A5022">
        <f>HYPERLINK("https://www.philgeps.gov.ph/GEPSNONPILOT/Tender/SplashBidNoticeAbstractUI.aspx?menuIndex=3&amp;refID=7071020&amp;Result=3","7071020")</f>
        <v>0</v>
      </c>
      <c r="B5022" t="s">
        <v>1656</v>
      </c>
      <c r="C5022" t="s">
        <v>8330</v>
      </c>
      <c r="D5022" t="s">
        <v>18148</v>
      </c>
      <c r="E5022" t="s">
        <v>22682</v>
      </c>
      <c r="F5022" t="s">
        <v>31362</v>
      </c>
      <c r="G5022" t="s">
        <v>31369</v>
      </c>
      <c r="H5022" t="s">
        <v>15799</v>
      </c>
      <c r="I5022" t="s">
        <v>31409</v>
      </c>
      <c r="J5022" t="s">
        <v>31734</v>
      </c>
      <c r="K5022" t="s">
        <v>40662</v>
      </c>
      <c r="M5022" t="s">
        <v>42721</v>
      </c>
      <c r="N5022" t="s">
        <v>44905</v>
      </c>
      <c r="O5022" t="s">
        <v>44906</v>
      </c>
      <c r="P5022">
        <v>0</v>
      </c>
      <c r="Q5022">
        <v>1</v>
      </c>
      <c r="R5022" t="s">
        <v>44909</v>
      </c>
      <c r="S5022" t="s">
        <v>45060</v>
      </c>
      <c r="T5022" t="s">
        <v>46431</v>
      </c>
      <c r="U5022" t="s">
        <v>50988</v>
      </c>
      <c r="W5022" t="s">
        <v>60905</v>
      </c>
      <c r="X5022" t="s">
        <v>44914</v>
      </c>
    </row>
    <row r="5023" spans="1:24">
      <c r="A5023">
        <f>HYPERLINK("https://www.philgeps.gov.ph/GEPSNONPILOT/Tender/SplashBidNoticeAbstractUI.aspx?menuIndex=3&amp;refID=7070556&amp;Result=3","7070556")</f>
        <v>0</v>
      </c>
      <c r="B5023" t="s">
        <v>913</v>
      </c>
      <c r="C5023" t="s">
        <v>8331</v>
      </c>
      <c r="D5023" t="s">
        <v>18176</v>
      </c>
      <c r="E5023" t="s">
        <v>22683</v>
      </c>
      <c r="F5023" t="s">
        <v>31362</v>
      </c>
      <c r="G5023" t="s">
        <v>31369</v>
      </c>
      <c r="H5023" t="s">
        <v>15799</v>
      </c>
      <c r="I5023" t="s">
        <v>31382</v>
      </c>
      <c r="J5023" t="s">
        <v>33049</v>
      </c>
      <c r="K5023" t="s">
        <v>40670</v>
      </c>
      <c r="M5023" t="s">
        <v>41896</v>
      </c>
      <c r="N5023" t="s">
        <v>44905</v>
      </c>
      <c r="O5023" t="s">
        <v>44906</v>
      </c>
      <c r="P5023">
        <v>0</v>
      </c>
      <c r="Q5023">
        <v>2</v>
      </c>
      <c r="R5023" t="s">
        <v>44909</v>
      </c>
      <c r="S5023" t="s">
        <v>45060</v>
      </c>
      <c r="T5023" t="s">
        <v>46426</v>
      </c>
      <c r="U5023" t="s">
        <v>50993</v>
      </c>
      <c r="W5023" t="s">
        <v>41896</v>
      </c>
      <c r="X5023" t="s">
        <v>44914</v>
      </c>
    </row>
    <row r="5024" spans="1:24">
      <c r="A5024">
        <f>HYPERLINK("https://www.philgeps.gov.ph/GEPSNONPILOT/Tender/SplashBidNoticeAbstractUI.aspx?menuIndex=3&amp;refID=7071259&amp;Result=3","7071259")</f>
        <v>0</v>
      </c>
      <c r="B5024" t="s">
        <v>1656</v>
      </c>
      <c r="C5024" t="s">
        <v>8332</v>
      </c>
      <c r="D5024" t="s">
        <v>18148</v>
      </c>
      <c r="E5024" t="s">
        <v>22684</v>
      </c>
      <c r="F5024" t="s">
        <v>31362</v>
      </c>
      <c r="G5024" t="s">
        <v>31369</v>
      </c>
      <c r="H5024" t="s">
        <v>15799</v>
      </c>
      <c r="I5024" t="s">
        <v>3815</v>
      </c>
      <c r="J5024" t="s">
        <v>34751</v>
      </c>
      <c r="K5024" t="s">
        <v>40662</v>
      </c>
      <c r="M5024" t="s">
        <v>42721</v>
      </c>
      <c r="N5024" t="s">
        <v>44905</v>
      </c>
      <c r="O5024" t="s">
        <v>44906</v>
      </c>
      <c r="P5024">
        <v>0</v>
      </c>
      <c r="Q5024">
        <v>1</v>
      </c>
      <c r="R5024" t="s">
        <v>44909</v>
      </c>
      <c r="S5024" t="s">
        <v>45060</v>
      </c>
      <c r="T5024" t="s">
        <v>46431</v>
      </c>
      <c r="U5024" t="s">
        <v>50988</v>
      </c>
      <c r="W5024" t="s">
        <v>60905</v>
      </c>
      <c r="X5024" t="s">
        <v>44914</v>
      </c>
    </row>
    <row r="5025" spans="1:24">
      <c r="A5025">
        <f>HYPERLINK("https://www.philgeps.gov.ph/GEPSNONPILOT/Tender/SplashBidNoticeAbstractUI.aspx?menuIndex=3&amp;refID=7070403&amp;Result=3","7070403")</f>
        <v>0</v>
      </c>
      <c r="B5025" t="s">
        <v>1659</v>
      </c>
      <c r="C5025" t="s">
        <v>8333</v>
      </c>
      <c r="D5025" t="s">
        <v>18107</v>
      </c>
      <c r="E5025" t="s">
        <v>22685</v>
      </c>
      <c r="F5025" t="s">
        <v>31362</v>
      </c>
      <c r="G5025" t="s">
        <v>31368</v>
      </c>
      <c r="H5025" t="s">
        <v>31378</v>
      </c>
      <c r="I5025" t="s">
        <v>31386</v>
      </c>
      <c r="J5025" t="s">
        <v>34752</v>
      </c>
      <c r="K5025" t="s">
        <v>40665</v>
      </c>
      <c r="M5025" t="s">
        <v>42724</v>
      </c>
      <c r="N5025" t="s">
        <v>44905</v>
      </c>
      <c r="O5025" t="s">
        <v>44906</v>
      </c>
      <c r="Q5025">
        <v>0</v>
      </c>
      <c r="R5025" t="s">
        <v>44909</v>
      </c>
      <c r="S5025" t="s">
        <v>45061</v>
      </c>
      <c r="T5025" t="s">
        <v>46447</v>
      </c>
      <c r="U5025" t="s">
        <v>50994</v>
      </c>
      <c r="W5025" t="s">
        <v>42724</v>
      </c>
      <c r="X5025" t="s">
        <v>44914</v>
      </c>
    </row>
    <row r="5026" spans="1:24">
      <c r="A5026">
        <f>HYPERLINK("https://www.philgeps.gov.ph/GEPSNONPILOT/Tender/SplashBidNoticeAbstractUI.aspx?menuIndex=3&amp;refID=7071208&amp;Result=3","7071208")</f>
        <v>0</v>
      </c>
      <c r="B5026" t="s">
        <v>1656</v>
      </c>
      <c r="C5026" t="s">
        <v>8334</v>
      </c>
      <c r="D5026" t="s">
        <v>18148</v>
      </c>
      <c r="E5026" t="s">
        <v>22686</v>
      </c>
      <c r="F5026" t="s">
        <v>31362</v>
      </c>
      <c r="G5026" t="s">
        <v>31369</v>
      </c>
      <c r="H5026" t="s">
        <v>15799</v>
      </c>
      <c r="I5026" t="s">
        <v>3815</v>
      </c>
      <c r="J5026" t="s">
        <v>34753</v>
      </c>
      <c r="K5026" t="s">
        <v>40662</v>
      </c>
      <c r="M5026" t="s">
        <v>42721</v>
      </c>
      <c r="N5026" t="s">
        <v>44905</v>
      </c>
      <c r="O5026" t="s">
        <v>44906</v>
      </c>
      <c r="P5026">
        <v>0</v>
      </c>
      <c r="Q5026">
        <v>2</v>
      </c>
      <c r="R5026" t="s">
        <v>44909</v>
      </c>
      <c r="S5026" t="s">
        <v>45060</v>
      </c>
      <c r="T5026" t="s">
        <v>46431</v>
      </c>
      <c r="U5026" t="s">
        <v>50988</v>
      </c>
      <c r="W5026" t="s">
        <v>60905</v>
      </c>
      <c r="X5026" t="s">
        <v>44914</v>
      </c>
    </row>
    <row r="5027" spans="1:24">
      <c r="A5027">
        <f>HYPERLINK("https://www.philgeps.gov.ph/GEPSNONPILOT/Tender/SplashBidNoticeAbstractUI.aspx?menuIndex=3&amp;refID=7068722&amp;Result=3","7068722")</f>
        <v>0</v>
      </c>
      <c r="B5027" t="s">
        <v>238</v>
      </c>
      <c r="C5027" t="s">
        <v>8335</v>
      </c>
      <c r="D5027" t="s">
        <v>18163</v>
      </c>
      <c r="E5027" t="s">
        <v>22687</v>
      </c>
      <c r="F5027" t="s">
        <v>31362</v>
      </c>
      <c r="G5027" t="s">
        <v>31369</v>
      </c>
      <c r="H5027" t="s">
        <v>15799</v>
      </c>
      <c r="I5027" t="s">
        <v>6240</v>
      </c>
      <c r="J5027" t="s">
        <v>34754</v>
      </c>
      <c r="K5027" t="s">
        <v>40665</v>
      </c>
      <c r="M5027" t="s">
        <v>41177</v>
      </c>
      <c r="N5027" t="s">
        <v>44905</v>
      </c>
      <c r="O5027" t="s">
        <v>44906</v>
      </c>
      <c r="P5027">
        <v>0</v>
      </c>
      <c r="Q5027">
        <v>0</v>
      </c>
      <c r="R5027" t="s">
        <v>44909</v>
      </c>
      <c r="S5027" t="s">
        <v>45060</v>
      </c>
      <c r="T5027" t="s">
        <v>46511</v>
      </c>
      <c r="U5027" t="s">
        <v>50995</v>
      </c>
      <c r="V5027" t="s">
        <v>59537</v>
      </c>
      <c r="W5027" t="s">
        <v>41177</v>
      </c>
      <c r="X5027" t="s">
        <v>44915</v>
      </c>
    </row>
    <row r="5028" spans="1:24">
      <c r="A5028">
        <f>HYPERLINK("https://www.philgeps.gov.ph/GEPSNONPILOT/Tender/SplashBidNoticeAbstractUI.aspx?menuIndex=3&amp;refID=7068455&amp;Result=3","7068455")</f>
        <v>0</v>
      </c>
      <c r="B5028" t="s">
        <v>1651</v>
      </c>
      <c r="C5028" t="s">
        <v>8336</v>
      </c>
      <c r="D5028" t="s">
        <v>18100</v>
      </c>
      <c r="E5028" t="s">
        <v>22688</v>
      </c>
      <c r="F5028" t="s">
        <v>31362</v>
      </c>
      <c r="G5028" t="s">
        <v>31368</v>
      </c>
      <c r="H5028" t="s">
        <v>15799</v>
      </c>
      <c r="I5028" t="s">
        <v>7188</v>
      </c>
      <c r="J5028" t="s">
        <v>31987</v>
      </c>
      <c r="K5028" t="s">
        <v>40665</v>
      </c>
      <c r="M5028" t="s">
        <v>42716</v>
      </c>
      <c r="N5028" t="s">
        <v>44905</v>
      </c>
      <c r="O5028" t="s">
        <v>44906</v>
      </c>
      <c r="P5028">
        <v>0</v>
      </c>
      <c r="Q5028">
        <v>4</v>
      </c>
      <c r="R5028" t="s">
        <v>44909</v>
      </c>
      <c r="S5028" t="s">
        <v>45060</v>
      </c>
      <c r="T5028" t="s">
        <v>46400</v>
      </c>
      <c r="U5028" t="s">
        <v>50996</v>
      </c>
      <c r="W5028" t="s">
        <v>42716</v>
      </c>
      <c r="X5028" t="s">
        <v>44915</v>
      </c>
    </row>
    <row r="5029" spans="1:24">
      <c r="A5029">
        <f>HYPERLINK("https://www.philgeps.gov.ph/GEPSNONPILOT/Tender/SplashBidNoticeAbstractUI.aspx?menuIndex=3&amp;refID=7071341&amp;Result=3","7071341")</f>
        <v>0</v>
      </c>
      <c r="B5029" t="s">
        <v>1656</v>
      </c>
      <c r="C5029" t="s">
        <v>8337</v>
      </c>
      <c r="D5029" t="s">
        <v>18148</v>
      </c>
      <c r="E5029" t="s">
        <v>22689</v>
      </c>
      <c r="F5029" t="s">
        <v>31362</v>
      </c>
      <c r="G5029" t="s">
        <v>31369</v>
      </c>
      <c r="H5029" t="s">
        <v>15799</v>
      </c>
      <c r="I5029" t="s">
        <v>7188</v>
      </c>
      <c r="J5029" t="s">
        <v>34755</v>
      </c>
      <c r="K5029" t="s">
        <v>40662</v>
      </c>
      <c r="M5029" t="s">
        <v>42721</v>
      </c>
      <c r="N5029" t="s">
        <v>44905</v>
      </c>
      <c r="O5029" t="s">
        <v>44906</v>
      </c>
      <c r="P5029">
        <v>0</v>
      </c>
      <c r="Q5029">
        <v>1</v>
      </c>
      <c r="R5029" t="s">
        <v>44909</v>
      </c>
      <c r="S5029" t="s">
        <v>45060</v>
      </c>
      <c r="T5029" t="s">
        <v>46431</v>
      </c>
      <c r="U5029" t="s">
        <v>50988</v>
      </c>
      <c r="W5029" t="s">
        <v>60905</v>
      </c>
      <c r="X5029" t="s">
        <v>44914</v>
      </c>
    </row>
    <row r="5030" spans="1:24">
      <c r="A5030">
        <f>HYPERLINK("https://www.philgeps.gov.ph/GEPSNONPILOT/Tender/SplashBidNoticeAbstractUI.aspx?menuIndex=3&amp;refID=7070698&amp;Result=3","7070698")</f>
        <v>0</v>
      </c>
      <c r="B5030" t="s">
        <v>1660</v>
      </c>
      <c r="C5030" t="s">
        <v>8338</v>
      </c>
      <c r="D5030" t="s">
        <v>18106</v>
      </c>
      <c r="E5030" t="s">
        <v>22690</v>
      </c>
      <c r="F5030" t="s">
        <v>31362</v>
      </c>
      <c r="G5030" t="s">
        <v>31368</v>
      </c>
      <c r="H5030" t="s">
        <v>15799</v>
      </c>
      <c r="I5030" t="s">
        <v>7090</v>
      </c>
      <c r="J5030" t="s">
        <v>34756</v>
      </c>
      <c r="K5030" t="s">
        <v>40715</v>
      </c>
      <c r="M5030" t="s">
        <v>42725</v>
      </c>
      <c r="N5030" t="s">
        <v>44905</v>
      </c>
      <c r="O5030" t="s">
        <v>44906</v>
      </c>
      <c r="P5030">
        <v>0</v>
      </c>
      <c r="Q5030">
        <v>3</v>
      </c>
      <c r="R5030" t="s">
        <v>44909</v>
      </c>
      <c r="S5030" t="s">
        <v>45060</v>
      </c>
      <c r="T5030" t="s">
        <v>46414</v>
      </c>
      <c r="U5030" t="s">
        <v>50997</v>
      </c>
      <c r="W5030" t="s">
        <v>42725</v>
      </c>
      <c r="X5030" t="s">
        <v>44914</v>
      </c>
    </row>
    <row r="5031" spans="1:24">
      <c r="A5031">
        <f>HYPERLINK("https://www.philgeps.gov.ph/GEPSNONPILOT/Tender/SplashBidNoticeAbstractUI.aspx?menuIndex=3&amp;refID=7068126&amp;Result=3","7068126")</f>
        <v>0</v>
      </c>
      <c r="B5031" t="s">
        <v>1661</v>
      </c>
      <c r="C5031" t="s">
        <v>8339</v>
      </c>
      <c r="D5031" t="s">
        <v>18112</v>
      </c>
      <c r="E5031" t="s">
        <v>22691</v>
      </c>
      <c r="F5031" t="s">
        <v>31362</v>
      </c>
      <c r="G5031" t="s">
        <v>31368</v>
      </c>
      <c r="H5031" t="s">
        <v>15799</v>
      </c>
      <c r="I5031" t="s">
        <v>4942</v>
      </c>
      <c r="J5031" t="s">
        <v>34757</v>
      </c>
      <c r="K5031" t="s">
        <v>40670</v>
      </c>
      <c r="M5031" t="s">
        <v>42726</v>
      </c>
      <c r="N5031" t="s">
        <v>44905</v>
      </c>
      <c r="O5031" t="s">
        <v>44906</v>
      </c>
      <c r="P5031">
        <v>0</v>
      </c>
      <c r="Q5031">
        <v>0</v>
      </c>
      <c r="R5031" t="s">
        <v>44909</v>
      </c>
      <c r="S5031" t="s">
        <v>45060</v>
      </c>
      <c r="T5031" t="s">
        <v>46460</v>
      </c>
      <c r="U5031" t="s">
        <v>50998</v>
      </c>
      <c r="V5031" t="s">
        <v>59538</v>
      </c>
      <c r="W5031" t="s">
        <v>42726</v>
      </c>
      <c r="X5031" t="s">
        <v>44915</v>
      </c>
    </row>
    <row r="5032" spans="1:24">
      <c r="A5032">
        <f>HYPERLINK("https://www.philgeps.gov.ph/GEPSNONPILOT/Tender/SplashBidNoticeAbstractUI.aspx?menuIndex=3&amp;refID=7081618&amp;Result=3","7081618")</f>
        <v>0</v>
      </c>
      <c r="B5032" t="s">
        <v>853</v>
      </c>
      <c r="C5032" t="s">
        <v>8340</v>
      </c>
      <c r="D5032" t="s">
        <v>18108</v>
      </c>
      <c r="E5032" t="s">
        <v>22692</v>
      </c>
      <c r="F5032" t="s">
        <v>31362</v>
      </c>
      <c r="G5032" t="s">
        <v>31368</v>
      </c>
      <c r="H5032" t="s">
        <v>15799</v>
      </c>
      <c r="I5032" t="s">
        <v>7719</v>
      </c>
      <c r="J5032" t="s">
        <v>34758</v>
      </c>
      <c r="K5032" t="s">
        <v>40662</v>
      </c>
      <c r="M5032" t="s">
        <v>41829</v>
      </c>
      <c r="N5032" t="s">
        <v>44905</v>
      </c>
      <c r="O5032" t="s">
        <v>44906</v>
      </c>
      <c r="P5032">
        <v>0</v>
      </c>
      <c r="Q5032">
        <v>11</v>
      </c>
      <c r="R5032" t="s">
        <v>44908</v>
      </c>
      <c r="S5032" t="s">
        <v>45042</v>
      </c>
      <c r="T5032" t="s">
        <v>46447</v>
      </c>
      <c r="U5032" t="s">
        <v>50868</v>
      </c>
      <c r="W5032" t="s">
        <v>41829</v>
      </c>
      <c r="X5032" t="s">
        <v>44909</v>
      </c>
    </row>
    <row r="5033" spans="1:24">
      <c r="A5033">
        <f>HYPERLINK("https://www.philgeps.gov.ph/GEPSNONPILOT/Tender/SplashBidNoticeAbstractUI.aspx?menuIndex=3&amp;refID=7081616&amp;Result=3","7081616")</f>
        <v>0</v>
      </c>
      <c r="B5033" t="s">
        <v>1662</v>
      </c>
      <c r="C5033" t="s">
        <v>8341</v>
      </c>
      <c r="D5033" t="s">
        <v>18175</v>
      </c>
      <c r="E5033" t="s">
        <v>22693</v>
      </c>
      <c r="F5033" t="s">
        <v>31362</v>
      </c>
      <c r="G5033" t="s">
        <v>31373</v>
      </c>
      <c r="H5033" t="s">
        <v>31378</v>
      </c>
      <c r="I5033" t="s">
        <v>31386</v>
      </c>
      <c r="J5033" t="s">
        <v>34759</v>
      </c>
      <c r="K5033" t="s">
        <v>40686</v>
      </c>
      <c r="M5033" t="s">
        <v>42727</v>
      </c>
      <c r="N5033" t="s">
        <v>44905</v>
      </c>
      <c r="O5033" t="s">
        <v>44906</v>
      </c>
      <c r="P5033">
        <v>0</v>
      </c>
      <c r="Q5033">
        <v>0</v>
      </c>
      <c r="R5033" t="s">
        <v>44908</v>
      </c>
      <c r="S5033" t="s">
        <v>45042</v>
      </c>
      <c r="T5033" t="s">
        <v>46429</v>
      </c>
      <c r="U5033" t="s">
        <v>50999</v>
      </c>
      <c r="W5033" t="s">
        <v>42727</v>
      </c>
      <c r="X5033" t="s">
        <v>44909</v>
      </c>
    </row>
    <row r="5034" spans="1:24">
      <c r="A5034">
        <f>HYPERLINK("https://www.philgeps.gov.ph/GEPSNONPILOT/Tender/SplashBidNoticeAbstractUI.aspx?menuIndex=3&amp;refID=7081614&amp;Result=3","7081614")</f>
        <v>0</v>
      </c>
      <c r="B5034" t="s">
        <v>1596</v>
      </c>
      <c r="C5034" t="s">
        <v>8342</v>
      </c>
      <c r="D5034" t="s">
        <v>18170</v>
      </c>
      <c r="E5034" t="s">
        <v>22694</v>
      </c>
      <c r="F5034" t="s">
        <v>31362</v>
      </c>
      <c r="G5034" t="s">
        <v>31368</v>
      </c>
      <c r="H5034" t="s">
        <v>15799</v>
      </c>
      <c r="I5034" t="s">
        <v>31433</v>
      </c>
      <c r="J5034" t="s">
        <v>31536</v>
      </c>
      <c r="K5034" t="s">
        <v>40670</v>
      </c>
      <c r="M5034" t="s">
        <v>42653</v>
      </c>
      <c r="N5034" t="s">
        <v>44905</v>
      </c>
      <c r="O5034" t="s">
        <v>44906</v>
      </c>
      <c r="P5034">
        <v>0</v>
      </c>
      <c r="Q5034">
        <v>0</v>
      </c>
      <c r="R5034" t="s">
        <v>44908</v>
      </c>
      <c r="S5034" t="s">
        <v>45042</v>
      </c>
      <c r="T5034" t="s">
        <v>46409</v>
      </c>
      <c r="U5034" t="s">
        <v>49861</v>
      </c>
      <c r="W5034" t="s">
        <v>42653</v>
      </c>
      <c r="X5034" t="s">
        <v>44909</v>
      </c>
    </row>
    <row r="5035" spans="1:24">
      <c r="A5035">
        <f>HYPERLINK("https://www.philgeps.gov.ph/GEPSNONPILOT/Tender/SplashBidNoticeAbstractUI.aspx?menuIndex=3&amp;refID=7081613&amp;Result=3","7081613")</f>
        <v>0</v>
      </c>
      <c r="B5035" t="s">
        <v>1662</v>
      </c>
      <c r="C5035" t="s">
        <v>8343</v>
      </c>
      <c r="D5035" t="s">
        <v>18175</v>
      </c>
      <c r="E5035" t="s">
        <v>22695</v>
      </c>
      <c r="F5035" t="s">
        <v>31362</v>
      </c>
      <c r="G5035" t="s">
        <v>31373</v>
      </c>
      <c r="H5035" t="s">
        <v>31378</v>
      </c>
      <c r="I5035" t="s">
        <v>31386</v>
      </c>
      <c r="J5035" t="s">
        <v>34760</v>
      </c>
      <c r="K5035" t="s">
        <v>40686</v>
      </c>
      <c r="M5035" t="s">
        <v>42727</v>
      </c>
      <c r="N5035" t="s">
        <v>44905</v>
      </c>
      <c r="O5035" t="s">
        <v>44906</v>
      </c>
      <c r="P5035">
        <v>0</v>
      </c>
      <c r="Q5035">
        <v>0</v>
      </c>
      <c r="R5035" t="s">
        <v>44908</v>
      </c>
      <c r="S5035" t="s">
        <v>45042</v>
      </c>
      <c r="T5035" t="s">
        <v>46429</v>
      </c>
      <c r="U5035" t="s">
        <v>51000</v>
      </c>
      <c r="W5035" t="s">
        <v>42727</v>
      </c>
      <c r="X5035" t="s">
        <v>44909</v>
      </c>
    </row>
    <row r="5036" spans="1:24">
      <c r="A5036">
        <f>HYPERLINK("https://www.philgeps.gov.ph/GEPSNONPILOT/Tender/SplashBidNoticeAbstractUI.aspx?menuIndex=3&amp;refID=7069056&amp;Result=3","7069056")</f>
        <v>0</v>
      </c>
      <c r="B5036" t="s">
        <v>913</v>
      </c>
      <c r="C5036" t="s">
        <v>8344</v>
      </c>
      <c r="D5036" t="s">
        <v>18176</v>
      </c>
      <c r="E5036" t="s">
        <v>22696</v>
      </c>
      <c r="F5036" t="s">
        <v>31362</v>
      </c>
      <c r="G5036" t="s">
        <v>31369</v>
      </c>
      <c r="H5036" t="s">
        <v>15799</v>
      </c>
      <c r="I5036" t="s">
        <v>31380</v>
      </c>
      <c r="J5036" t="s">
        <v>34761</v>
      </c>
      <c r="K5036" t="s">
        <v>40670</v>
      </c>
      <c r="M5036" t="s">
        <v>41896</v>
      </c>
      <c r="N5036" t="s">
        <v>44905</v>
      </c>
      <c r="O5036" t="s">
        <v>44906</v>
      </c>
      <c r="P5036">
        <v>0</v>
      </c>
      <c r="Q5036">
        <v>9</v>
      </c>
      <c r="R5036" t="s">
        <v>44909</v>
      </c>
      <c r="S5036" t="s">
        <v>45060</v>
      </c>
      <c r="T5036" t="s">
        <v>46426</v>
      </c>
      <c r="U5036" t="s">
        <v>51001</v>
      </c>
      <c r="W5036" t="s">
        <v>41896</v>
      </c>
      <c r="X5036" t="s">
        <v>44915</v>
      </c>
    </row>
    <row r="5037" spans="1:24">
      <c r="A5037">
        <f>HYPERLINK("https://www.philgeps.gov.ph/GEPSNONPILOT/Tender/SplashBidNoticeAbstractUI.aspx?menuIndex=3&amp;refID=7081615&amp;Result=3","7081615")</f>
        <v>0</v>
      </c>
      <c r="B5037" t="s">
        <v>1045</v>
      </c>
      <c r="C5037" t="s">
        <v>8345</v>
      </c>
      <c r="D5037" t="s">
        <v>18134</v>
      </c>
      <c r="E5037" t="s">
        <v>22697</v>
      </c>
      <c r="F5037" t="s">
        <v>31362</v>
      </c>
      <c r="G5037" t="s">
        <v>31368</v>
      </c>
      <c r="H5037" t="s">
        <v>15799</v>
      </c>
      <c r="I5037" t="s">
        <v>7090</v>
      </c>
      <c r="J5037" t="s">
        <v>31578</v>
      </c>
      <c r="K5037" t="s">
        <v>40672</v>
      </c>
      <c r="M5037" t="s">
        <v>42044</v>
      </c>
      <c r="N5037" t="s">
        <v>44905</v>
      </c>
      <c r="O5037" t="s">
        <v>44906</v>
      </c>
      <c r="P5037">
        <v>0</v>
      </c>
      <c r="Q5037">
        <v>0</v>
      </c>
      <c r="R5037" t="s">
        <v>44908</v>
      </c>
      <c r="S5037" t="s">
        <v>45042</v>
      </c>
      <c r="T5037" t="s">
        <v>46393</v>
      </c>
      <c r="U5037" t="s">
        <v>51002</v>
      </c>
      <c r="W5037" t="s">
        <v>42044</v>
      </c>
      <c r="X5037" t="s">
        <v>44909</v>
      </c>
    </row>
    <row r="5038" spans="1:24">
      <c r="A5038">
        <f>HYPERLINK("https://www.philgeps.gov.ph/GEPSNONPILOT/Tender/SplashBidNoticeAbstractUI.aspx?menuIndex=3&amp;refID=7070430&amp;Result=3","7070430")</f>
        <v>0</v>
      </c>
      <c r="B5038" t="s">
        <v>913</v>
      </c>
      <c r="C5038" t="s">
        <v>8346</v>
      </c>
      <c r="D5038" t="s">
        <v>18176</v>
      </c>
      <c r="E5038" t="s">
        <v>22698</v>
      </c>
      <c r="F5038" t="s">
        <v>31362</v>
      </c>
      <c r="G5038" t="s">
        <v>31369</v>
      </c>
      <c r="H5038" t="s">
        <v>15799</v>
      </c>
      <c r="I5038" t="s">
        <v>7719</v>
      </c>
      <c r="J5038" t="s">
        <v>32016</v>
      </c>
      <c r="K5038" t="s">
        <v>40670</v>
      </c>
      <c r="M5038" t="s">
        <v>41896</v>
      </c>
      <c r="N5038" t="s">
        <v>44905</v>
      </c>
      <c r="O5038" t="s">
        <v>44906</v>
      </c>
      <c r="P5038">
        <v>0</v>
      </c>
      <c r="Q5038">
        <v>11</v>
      </c>
      <c r="R5038" t="s">
        <v>44909</v>
      </c>
      <c r="S5038" t="s">
        <v>45060</v>
      </c>
      <c r="T5038" t="s">
        <v>46426</v>
      </c>
      <c r="U5038" t="s">
        <v>51003</v>
      </c>
      <c r="W5038" t="s">
        <v>41896</v>
      </c>
      <c r="X5038" t="s">
        <v>44914</v>
      </c>
    </row>
    <row r="5039" spans="1:24">
      <c r="A5039">
        <f>HYPERLINK("https://www.philgeps.gov.ph/GEPSNONPILOT/Tender/SplashBidNoticeAbstractUI.aspx?menuIndex=3&amp;refID=7081589&amp;Result=3","7081589")</f>
        <v>0</v>
      </c>
      <c r="B5039" t="s">
        <v>831</v>
      </c>
      <c r="C5039" t="s">
        <v>8347</v>
      </c>
      <c r="D5039" t="s">
        <v>18108</v>
      </c>
      <c r="E5039" t="s">
        <v>22699</v>
      </c>
      <c r="F5039" t="s">
        <v>31362</v>
      </c>
      <c r="G5039" t="s">
        <v>31369</v>
      </c>
      <c r="H5039" t="s">
        <v>15799</v>
      </c>
      <c r="I5039" t="s">
        <v>7090</v>
      </c>
      <c r="J5039" t="s">
        <v>34762</v>
      </c>
      <c r="K5039" t="s">
        <v>40666</v>
      </c>
      <c r="M5039" t="s">
        <v>42635</v>
      </c>
      <c r="N5039" t="s">
        <v>44905</v>
      </c>
      <c r="O5039" t="s">
        <v>44906</v>
      </c>
      <c r="P5039">
        <v>0</v>
      </c>
      <c r="Q5039">
        <v>0</v>
      </c>
      <c r="R5039" t="s">
        <v>44908</v>
      </c>
      <c r="S5039" t="s">
        <v>45042</v>
      </c>
      <c r="T5039" t="s">
        <v>46511</v>
      </c>
      <c r="U5039" t="s">
        <v>48635</v>
      </c>
      <c r="W5039" t="s">
        <v>42635</v>
      </c>
      <c r="X5039" t="s">
        <v>44909</v>
      </c>
    </row>
    <row r="5040" spans="1:24">
      <c r="A5040">
        <f>HYPERLINK("https://www.philgeps.gov.ph/GEPSNONPILOT/Tender/SplashBidNoticeAbstractUI.aspx?menuIndex=3&amp;refID=7081611&amp;Result=3","7081611")</f>
        <v>0</v>
      </c>
      <c r="B5040" t="s">
        <v>853</v>
      </c>
      <c r="C5040" t="s">
        <v>8348</v>
      </c>
      <c r="D5040" t="s">
        <v>18108</v>
      </c>
      <c r="E5040" t="s">
        <v>22700</v>
      </c>
      <c r="F5040" t="s">
        <v>31362</v>
      </c>
      <c r="G5040" t="s">
        <v>31368</v>
      </c>
      <c r="H5040" t="s">
        <v>31379</v>
      </c>
      <c r="I5040" t="s">
        <v>4057</v>
      </c>
      <c r="J5040" t="s">
        <v>31586</v>
      </c>
      <c r="K5040" t="s">
        <v>40698</v>
      </c>
      <c r="M5040" t="s">
        <v>41829</v>
      </c>
      <c r="N5040" t="s">
        <v>44905</v>
      </c>
      <c r="O5040" t="s">
        <v>44906</v>
      </c>
      <c r="P5040">
        <v>0</v>
      </c>
      <c r="Q5040">
        <v>1</v>
      </c>
      <c r="R5040" t="s">
        <v>44908</v>
      </c>
      <c r="S5040" t="s">
        <v>45042</v>
      </c>
      <c r="T5040" t="s">
        <v>46447</v>
      </c>
      <c r="U5040" t="s">
        <v>50868</v>
      </c>
      <c r="W5040" t="s">
        <v>41829</v>
      </c>
      <c r="X5040" t="s">
        <v>44909</v>
      </c>
    </row>
    <row r="5041" spans="1:24">
      <c r="A5041">
        <f>HYPERLINK("https://www.philgeps.gov.ph/GEPSNONPILOT/Tender/SplashBidNoticeAbstractUI.aspx?menuIndex=3&amp;refID=7081610&amp;Result=3","7081610")</f>
        <v>0</v>
      </c>
      <c r="B5041" t="s">
        <v>1662</v>
      </c>
      <c r="C5041" t="s">
        <v>8349</v>
      </c>
      <c r="D5041" t="s">
        <v>18175</v>
      </c>
      <c r="E5041" t="s">
        <v>22701</v>
      </c>
      <c r="F5041" t="s">
        <v>31362</v>
      </c>
      <c r="G5041" t="s">
        <v>31373</v>
      </c>
      <c r="H5041" t="s">
        <v>31378</v>
      </c>
      <c r="I5041" t="s">
        <v>31386</v>
      </c>
      <c r="J5041" t="s">
        <v>34759</v>
      </c>
      <c r="K5041" t="s">
        <v>40686</v>
      </c>
      <c r="M5041" t="s">
        <v>42727</v>
      </c>
      <c r="N5041" t="s">
        <v>44905</v>
      </c>
      <c r="O5041" t="s">
        <v>44906</v>
      </c>
      <c r="P5041">
        <v>0</v>
      </c>
      <c r="Q5041">
        <v>1</v>
      </c>
      <c r="R5041" t="s">
        <v>44908</v>
      </c>
      <c r="S5041" t="s">
        <v>45042</v>
      </c>
      <c r="T5041" t="s">
        <v>46429</v>
      </c>
      <c r="U5041" t="s">
        <v>51004</v>
      </c>
      <c r="W5041" t="s">
        <v>42727</v>
      </c>
      <c r="X5041" t="s">
        <v>44909</v>
      </c>
    </row>
    <row r="5042" spans="1:24">
      <c r="A5042">
        <f>HYPERLINK("https://www.philgeps.gov.ph/GEPSNONPILOT/Tender/SplashBidNoticeAbstractUI.aspx?menuIndex=3&amp;refID=7081588&amp;Result=3","7081588")</f>
        <v>0</v>
      </c>
      <c r="B5042" t="s">
        <v>1593</v>
      </c>
      <c r="C5042" t="s">
        <v>8350</v>
      </c>
      <c r="D5042" t="s">
        <v>18168</v>
      </c>
      <c r="E5042" t="s">
        <v>22702</v>
      </c>
      <c r="F5042" t="s">
        <v>31362</v>
      </c>
      <c r="G5042" t="s">
        <v>31369</v>
      </c>
      <c r="H5042" t="s">
        <v>31378</v>
      </c>
      <c r="I5042" t="s">
        <v>31386</v>
      </c>
      <c r="J5042" t="s">
        <v>31542</v>
      </c>
      <c r="K5042" t="s">
        <v>40676</v>
      </c>
      <c r="M5042" t="s">
        <v>42649</v>
      </c>
      <c r="N5042" t="s">
        <v>44905</v>
      </c>
      <c r="O5042" t="s">
        <v>44906</v>
      </c>
      <c r="P5042">
        <v>0</v>
      </c>
      <c r="Q5042">
        <v>2</v>
      </c>
      <c r="R5042" t="s">
        <v>44908</v>
      </c>
      <c r="S5042" t="s">
        <v>45042</v>
      </c>
      <c r="T5042" t="s">
        <v>46608</v>
      </c>
      <c r="U5042" t="s">
        <v>51005</v>
      </c>
      <c r="V5042" t="s">
        <v>59516</v>
      </c>
      <c r="W5042" t="s">
        <v>42649</v>
      </c>
      <c r="X5042" t="s">
        <v>44909</v>
      </c>
    </row>
    <row r="5043" spans="1:24">
      <c r="A5043">
        <f>HYPERLINK("https://www.philgeps.gov.ph/GEPSNONPILOT/Tender/SplashBidNoticeAbstractUI.aspx?menuIndex=3&amp;refID=7081586&amp;Result=3","7081586")</f>
        <v>0</v>
      </c>
      <c r="B5043" t="s">
        <v>831</v>
      </c>
      <c r="C5043" t="s">
        <v>8351</v>
      </c>
      <c r="D5043" t="s">
        <v>18108</v>
      </c>
      <c r="E5043" t="s">
        <v>22703</v>
      </c>
      <c r="F5043" t="s">
        <v>31362</v>
      </c>
      <c r="G5043" t="s">
        <v>31369</v>
      </c>
      <c r="H5043" t="s">
        <v>15799</v>
      </c>
      <c r="I5043" t="s">
        <v>7090</v>
      </c>
      <c r="J5043" t="s">
        <v>34763</v>
      </c>
      <c r="K5043" t="s">
        <v>40666</v>
      </c>
      <c r="M5043" t="s">
        <v>42635</v>
      </c>
      <c r="N5043" t="s">
        <v>44905</v>
      </c>
      <c r="O5043" t="s">
        <v>44906</v>
      </c>
      <c r="P5043">
        <v>0</v>
      </c>
      <c r="Q5043">
        <v>0</v>
      </c>
      <c r="R5043" t="s">
        <v>44908</v>
      </c>
      <c r="S5043" t="s">
        <v>45042</v>
      </c>
      <c r="T5043" t="s">
        <v>46511</v>
      </c>
      <c r="U5043" t="s">
        <v>48635</v>
      </c>
      <c r="W5043" t="s">
        <v>42635</v>
      </c>
      <c r="X5043" t="s">
        <v>44909</v>
      </c>
    </row>
    <row r="5044" spans="1:24">
      <c r="A5044">
        <f>HYPERLINK("https://www.philgeps.gov.ph/GEPSNONPILOT/Tender/SplashBidNoticeAbstractUI.aspx?menuIndex=3&amp;refID=7081587&amp;Result=3","7081587")</f>
        <v>0</v>
      </c>
      <c r="B5044" t="s">
        <v>1663</v>
      </c>
      <c r="C5044" t="s">
        <v>8352</v>
      </c>
      <c r="D5044" t="s">
        <v>18123</v>
      </c>
      <c r="E5044" t="s">
        <v>22704</v>
      </c>
      <c r="F5044" t="s">
        <v>31362</v>
      </c>
      <c r="G5044" t="s">
        <v>31368</v>
      </c>
      <c r="H5044" t="s">
        <v>15799</v>
      </c>
      <c r="I5044" t="s">
        <v>31480</v>
      </c>
      <c r="J5044" t="s">
        <v>31531</v>
      </c>
      <c r="K5044" t="s">
        <v>40715</v>
      </c>
      <c r="M5044" t="s">
        <v>42728</v>
      </c>
      <c r="N5044" t="s">
        <v>44905</v>
      </c>
      <c r="O5044" t="s">
        <v>44906</v>
      </c>
      <c r="P5044">
        <v>0</v>
      </c>
      <c r="Q5044">
        <v>0</v>
      </c>
      <c r="R5044" t="s">
        <v>44908</v>
      </c>
      <c r="S5044" t="s">
        <v>45042</v>
      </c>
      <c r="T5044" t="s">
        <v>46409</v>
      </c>
      <c r="U5044" t="s">
        <v>51006</v>
      </c>
      <c r="W5044" t="s">
        <v>42728</v>
      </c>
      <c r="X5044" t="s">
        <v>44909</v>
      </c>
    </row>
    <row r="5045" spans="1:24">
      <c r="A5045">
        <f>HYPERLINK("https://www.philgeps.gov.ph/GEPSNONPILOT/Tender/SplashBidNoticeAbstractUI.aspx?menuIndex=3&amp;refID=7081572&amp;Result=3","7081572")</f>
        <v>0</v>
      </c>
      <c r="B5045" t="s">
        <v>1664</v>
      </c>
      <c r="C5045" t="s">
        <v>8353</v>
      </c>
      <c r="D5045" t="s">
        <v>18111</v>
      </c>
      <c r="E5045" t="s">
        <v>22705</v>
      </c>
      <c r="F5045" t="s">
        <v>31362</v>
      </c>
      <c r="G5045" t="s">
        <v>31371</v>
      </c>
      <c r="H5045" t="s">
        <v>15799</v>
      </c>
      <c r="I5045" t="s">
        <v>31430</v>
      </c>
      <c r="J5045" t="s">
        <v>34764</v>
      </c>
      <c r="K5045" t="s">
        <v>40661</v>
      </c>
      <c r="M5045" t="s">
        <v>42729</v>
      </c>
      <c r="N5045" t="s">
        <v>44905</v>
      </c>
      <c r="O5045" t="s">
        <v>44906</v>
      </c>
      <c r="P5045">
        <v>0</v>
      </c>
      <c r="Q5045">
        <v>0</v>
      </c>
      <c r="R5045" t="s">
        <v>44908</v>
      </c>
      <c r="S5045" t="s">
        <v>45042</v>
      </c>
      <c r="T5045" t="s">
        <v>46463</v>
      </c>
      <c r="U5045" t="s">
        <v>51007</v>
      </c>
      <c r="W5045" t="s">
        <v>42729</v>
      </c>
      <c r="X5045" t="s">
        <v>44909</v>
      </c>
    </row>
    <row r="5046" spans="1:24">
      <c r="A5046">
        <f>HYPERLINK("https://www.philgeps.gov.ph/GEPSNONPILOT/Tender/SplashBidNoticeAbstractUI.aspx?menuIndex=3&amp;refID=7081609&amp;Result=3","7081609")</f>
        <v>0</v>
      </c>
      <c r="B5046" t="s">
        <v>1595</v>
      </c>
      <c r="C5046" t="s">
        <v>8354</v>
      </c>
      <c r="D5046" t="s">
        <v>18123</v>
      </c>
      <c r="E5046" t="s">
        <v>22706</v>
      </c>
      <c r="F5046" t="s">
        <v>31362</v>
      </c>
      <c r="G5046" t="s">
        <v>31370</v>
      </c>
      <c r="H5046" t="s">
        <v>31378</v>
      </c>
      <c r="I5046" t="s">
        <v>3815</v>
      </c>
      <c r="J5046" t="s">
        <v>31720</v>
      </c>
      <c r="K5046" t="s">
        <v>40662</v>
      </c>
      <c r="M5046" t="s">
        <v>42652</v>
      </c>
      <c r="N5046" t="s">
        <v>44905</v>
      </c>
      <c r="O5046" t="s">
        <v>44906</v>
      </c>
      <c r="P5046">
        <v>0</v>
      </c>
      <c r="Q5046">
        <v>0</v>
      </c>
      <c r="R5046" t="s">
        <v>44908</v>
      </c>
      <c r="S5046" t="s">
        <v>45042</v>
      </c>
      <c r="T5046" t="s">
        <v>46443</v>
      </c>
      <c r="U5046" t="s">
        <v>51008</v>
      </c>
      <c r="W5046" t="s">
        <v>42652</v>
      </c>
      <c r="X5046" t="s">
        <v>44909</v>
      </c>
    </row>
    <row r="5047" spans="1:24">
      <c r="A5047">
        <f>HYPERLINK("https://www.philgeps.gov.ph/GEPSNONPILOT/Tender/SplashBidNoticeAbstractUI.aspx?menuIndex=3&amp;refID=7081590&amp;Result=3","7081590")</f>
        <v>0</v>
      </c>
      <c r="B5047" t="s">
        <v>175</v>
      </c>
      <c r="C5047" t="s">
        <v>8355</v>
      </c>
      <c r="D5047" t="s">
        <v>18153</v>
      </c>
      <c r="E5047" t="s">
        <v>22707</v>
      </c>
      <c r="F5047" t="s">
        <v>31362</v>
      </c>
      <c r="G5047" t="s">
        <v>31372</v>
      </c>
      <c r="H5047" t="s">
        <v>15799</v>
      </c>
      <c r="I5047" t="s">
        <v>31409</v>
      </c>
      <c r="J5047" t="s">
        <v>34763</v>
      </c>
      <c r="K5047" t="s">
        <v>40682</v>
      </c>
      <c r="L5047" t="s">
        <v>175</v>
      </c>
      <c r="M5047" t="s">
        <v>41113</v>
      </c>
      <c r="N5047" t="s">
        <v>44905</v>
      </c>
      <c r="O5047" t="s">
        <v>44906</v>
      </c>
      <c r="P5047">
        <v>0</v>
      </c>
      <c r="Q5047">
        <v>2</v>
      </c>
      <c r="R5047" t="s">
        <v>44908</v>
      </c>
      <c r="S5047" t="s">
        <v>45042</v>
      </c>
      <c r="T5047" t="s">
        <v>46695</v>
      </c>
      <c r="U5047" t="s">
        <v>51009</v>
      </c>
      <c r="V5047" t="s">
        <v>59090</v>
      </c>
      <c r="W5047" t="s">
        <v>41113</v>
      </c>
      <c r="X5047" t="s">
        <v>44909</v>
      </c>
    </row>
    <row r="5048" spans="1:24">
      <c r="A5048">
        <f>HYPERLINK("https://www.philgeps.gov.ph/GEPSNONPILOT/Tender/SplashBidNoticeAbstractUI.aspx?menuIndex=3&amp;refID=7081570&amp;Result=3","7081570")</f>
        <v>0</v>
      </c>
      <c r="B5048" t="s">
        <v>671</v>
      </c>
      <c r="C5048" t="s">
        <v>8356</v>
      </c>
      <c r="D5048" t="s">
        <v>18108</v>
      </c>
      <c r="E5048" t="s">
        <v>22708</v>
      </c>
      <c r="F5048" t="s">
        <v>31362</v>
      </c>
      <c r="G5048" t="s">
        <v>31371</v>
      </c>
      <c r="H5048" t="s">
        <v>15799</v>
      </c>
      <c r="I5048" t="s">
        <v>6373</v>
      </c>
      <c r="J5048" t="s">
        <v>34765</v>
      </c>
      <c r="K5048" t="s">
        <v>40670</v>
      </c>
      <c r="M5048" t="s">
        <v>42650</v>
      </c>
      <c r="N5048" t="s">
        <v>44905</v>
      </c>
      <c r="O5048" t="s">
        <v>44906</v>
      </c>
      <c r="P5048">
        <v>0</v>
      </c>
      <c r="Q5048">
        <v>7</v>
      </c>
      <c r="R5048" t="s">
        <v>44908</v>
      </c>
      <c r="S5048" t="s">
        <v>45042</v>
      </c>
      <c r="T5048" t="s">
        <v>46483</v>
      </c>
      <c r="U5048" t="s">
        <v>51010</v>
      </c>
      <c r="W5048" t="s">
        <v>42650</v>
      </c>
      <c r="X5048" t="s">
        <v>44909</v>
      </c>
    </row>
    <row r="5049" spans="1:24">
      <c r="A5049">
        <f>HYPERLINK("https://www.philgeps.gov.ph/GEPSNONPILOT/Tender/SplashBidNoticeAbstractUI.aspx?menuIndex=3&amp;refID=7081568&amp;Result=3","7081568")</f>
        <v>0</v>
      </c>
      <c r="B5049" t="s">
        <v>175</v>
      </c>
      <c r="C5049" t="s">
        <v>8357</v>
      </c>
      <c r="D5049" t="s">
        <v>18153</v>
      </c>
      <c r="E5049" t="s">
        <v>22709</v>
      </c>
      <c r="F5049" t="s">
        <v>31362</v>
      </c>
      <c r="G5049" t="s">
        <v>31370</v>
      </c>
      <c r="H5049" t="s">
        <v>15799</v>
      </c>
      <c r="I5049" t="s">
        <v>31409</v>
      </c>
      <c r="J5049" t="s">
        <v>31724</v>
      </c>
      <c r="K5049" t="s">
        <v>40661</v>
      </c>
      <c r="L5049" t="s">
        <v>175</v>
      </c>
      <c r="M5049" t="s">
        <v>41113</v>
      </c>
      <c r="N5049" t="s">
        <v>44905</v>
      </c>
      <c r="O5049" t="s">
        <v>44906</v>
      </c>
      <c r="P5049">
        <v>0</v>
      </c>
      <c r="Q5049">
        <v>0</v>
      </c>
      <c r="R5049" t="s">
        <v>44908</v>
      </c>
      <c r="S5049" t="s">
        <v>45042</v>
      </c>
      <c r="T5049" t="s">
        <v>46428</v>
      </c>
      <c r="U5049" t="s">
        <v>51011</v>
      </c>
      <c r="V5049" t="s">
        <v>59090</v>
      </c>
      <c r="W5049" t="s">
        <v>41113</v>
      </c>
      <c r="X5049" t="s">
        <v>44909</v>
      </c>
    </row>
    <row r="5050" spans="1:24">
      <c r="A5050">
        <f>HYPERLINK("https://www.philgeps.gov.ph/GEPSNONPILOT/Tender/SplashBidNoticeAbstractUI.aspx?menuIndex=3&amp;refID=7081566&amp;Result=3","7081566")</f>
        <v>0</v>
      </c>
      <c r="B5050" t="s">
        <v>1467</v>
      </c>
      <c r="C5050" t="s">
        <v>8358</v>
      </c>
      <c r="D5050" t="s">
        <v>18147</v>
      </c>
      <c r="E5050" t="s">
        <v>22710</v>
      </c>
      <c r="F5050" t="s">
        <v>31362</v>
      </c>
      <c r="G5050" t="s">
        <v>31370</v>
      </c>
      <c r="H5050" t="s">
        <v>31378</v>
      </c>
      <c r="I5050" t="s">
        <v>31386</v>
      </c>
      <c r="J5050" t="s">
        <v>34766</v>
      </c>
      <c r="K5050" t="s">
        <v>40661</v>
      </c>
      <c r="M5050" t="s">
        <v>42499</v>
      </c>
      <c r="N5050" t="s">
        <v>44905</v>
      </c>
      <c r="O5050" t="s">
        <v>44906</v>
      </c>
      <c r="P5050">
        <v>0</v>
      </c>
      <c r="Q5050">
        <v>0</v>
      </c>
      <c r="R5050" t="s">
        <v>44908</v>
      </c>
      <c r="S5050" t="s">
        <v>45042</v>
      </c>
      <c r="T5050" t="s">
        <v>46463</v>
      </c>
      <c r="U5050" t="s">
        <v>51012</v>
      </c>
      <c r="V5050" t="s">
        <v>59539</v>
      </c>
      <c r="W5050" t="s">
        <v>42499</v>
      </c>
      <c r="X5050" t="s">
        <v>44909</v>
      </c>
    </row>
    <row r="5051" spans="1:24">
      <c r="A5051">
        <f>HYPERLINK("https://www.philgeps.gov.ph/GEPSNONPILOT/Tender/SplashBidNoticeAbstractUI.aspx?menuIndex=3&amp;refID=7081573&amp;Result=3","7081573")</f>
        <v>0</v>
      </c>
      <c r="B5051" t="s">
        <v>1665</v>
      </c>
      <c r="C5051" t="s">
        <v>8359</v>
      </c>
      <c r="D5051" t="s">
        <v>18149</v>
      </c>
      <c r="E5051" t="s">
        <v>22711</v>
      </c>
      <c r="F5051" t="s">
        <v>31362</v>
      </c>
      <c r="G5051" t="s">
        <v>31368</v>
      </c>
      <c r="H5051" t="s">
        <v>31378</v>
      </c>
      <c r="I5051" t="s">
        <v>31386</v>
      </c>
      <c r="J5051" t="s">
        <v>34767</v>
      </c>
      <c r="K5051" t="s">
        <v>40679</v>
      </c>
      <c r="M5051" t="s">
        <v>42730</v>
      </c>
      <c r="N5051" t="s">
        <v>44905</v>
      </c>
      <c r="O5051" t="s">
        <v>44906</v>
      </c>
      <c r="P5051">
        <v>0</v>
      </c>
      <c r="Q5051">
        <v>0</v>
      </c>
      <c r="R5051" t="s">
        <v>44908</v>
      </c>
      <c r="S5051" t="s">
        <v>45042</v>
      </c>
      <c r="T5051" t="s">
        <v>46432</v>
      </c>
      <c r="U5051" t="s">
        <v>51013</v>
      </c>
      <c r="W5051" t="s">
        <v>42730</v>
      </c>
      <c r="X5051" t="s">
        <v>44909</v>
      </c>
    </row>
    <row r="5052" spans="1:24">
      <c r="A5052">
        <f>HYPERLINK("https://www.philgeps.gov.ph/GEPSNONPILOT/Tender/SplashBidNoticeAbstractUI.aspx?menuIndex=3&amp;refID=7081542&amp;Result=3","7081542")</f>
        <v>0</v>
      </c>
      <c r="B5052" t="s">
        <v>1583</v>
      </c>
      <c r="C5052" t="s">
        <v>8360</v>
      </c>
      <c r="E5052" t="s">
        <v>22424</v>
      </c>
      <c r="F5052" t="s">
        <v>31362</v>
      </c>
      <c r="G5052" t="s">
        <v>31369</v>
      </c>
      <c r="H5052" t="s">
        <v>15799</v>
      </c>
      <c r="I5052" t="s">
        <v>31404</v>
      </c>
      <c r="J5052" t="s">
        <v>34768</v>
      </c>
      <c r="K5052" t="s">
        <v>40669</v>
      </c>
      <c r="M5052" t="s">
        <v>42638</v>
      </c>
      <c r="N5052" t="s">
        <v>44905</v>
      </c>
      <c r="O5052" t="s">
        <v>44906</v>
      </c>
      <c r="P5052">
        <v>0</v>
      </c>
      <c r="Q5052">
        <v>1</v>
      </c>
      <c r="R5052" t="s">
        <v>44908</v>
      </c>
      <c r="S5052" t="s">
        <v>45042</v>
      </c>
      <c r="T5052" t="s">
        <v>46429</v>
      </c>
      <c r="U5052" t="s">
        <v>51014</v>
      </c>
      <c r="W5052" t="s">
        <v>42638</v>
      </c>
      <c r="X5052" t="s">
        <v>44909</v>
      </c>
    </row>
    <row r="5053" spans="1:24">
      <c r="A5053">
        <f>HYPERLINK("https://www.philgeps.gov.ph/GEPSNONPILOT/Tender/SplashBidNoticeAbstractUI.aspx?menuIndex=3&amp;refID=7081571&amp;Result=3","7081571")</f>
        <v>0</v>
      </c>
      <c r="B5053" t="s">
        <v>831</v>
      </c>
      <c r="C5053" t="s">
        <v>8361</v>
      </c>
      <c r="D5053" t="s">
        <v>18108</v>
      </c>
      <c r="E5053" t="s">
        <v>22712</v>
      </c>
      <c r="F5053" t="s">
        <v>31362</v>
      </c>
      <c r="G5053" t="s">
        <v>31369</v>
      </c>
      <c r="H5053" t="s">
        <v>15799</v>
      </c>
      <c r="I5053" t="s">
        <v>31385</v>
      </c>
      <c r="J5053" t="s">
        <v>34769</v>
      </c>
      <c r="K5053" t="s">
        <v>40666</v>
      </c>
      <c r="M5053" t="s">
        <v>42635</v>
      </c>
      <c r="N5053" t="s">
        <v>44905</v>
      </c>
      <c r="O5053" t="s">
        <v>44906</v>
      </c>
      <c r="P5053">
        <v>0</v>
      </c>
      <c r="Q5053">
        <v>0</v>
      </c>
      <c r="R5053" t="s">
        <v>44908</v>
      </c>
      <c r="S5053" t="s">
        <v>45042</v>
      </c>
      <c r="T5053" t="s">
        <v>46511</v>
      </c>
      <c r="U5053" t="s">
        <v>47749</v>
      </c>
      <c r="W5053" t="s">
        <v>42635</v>
      </c>
      <c r="X5053" t="s">
        <v>44909</v>
      </c>
    </row>
    <row r="5054" spans="1:24">
      <c r="A5054">
        <f>HYPERLINK("https://www.philgeps.gov.ph/GEPSNONPILOT/Tender/SplashBidNoticeAbstractUI.aspx?menuIndex=3&amp;refID=7081539&amp;Result=3","7081539")</f>
        <v>0</v>
      </c>
      <c r="B5054" t="s">
        <v>1555</v>
      </c>
      <c r="C5054" t="s">
        <v>8362</v>
      </c>
      <c r="D5054" t="s">
        <v>18110</v>
      </c>
      <c r="E5054" t="s">
        <v>22713</v>
      </c>
      <c r="F5054" t="s">
        <v>31362</v>
      </c>
      <c r="G5054" t="s">
        <v>31369</v>
      </c>
      <c r="H5054" t="s">
        <v>15799</v>
      </c>
      <c r="I5054" t="s">
        <v>31414</v>
      </c>
      <c r="J5054" t="s">
        <v>34770</v>
      </c>
      <c r="K5054" t="s">
        <v>40682</v>
      </c>
      <c r="M5054" t="s">
        <v>42605</v>
      </c>
      <c r="N5054" t="s">
        <v>44905</v>
      </c>
      <c r="O5054" t="s">
        <v>44906</v>
      </c>
      <c r="P5054">
        <v>0</v>
      </c>
      <c r="Q5054">
        <v>6</v>
      </c>
      <c r="R5054" t="s">
        <v>44908</v>
      </c>
      <c r="S5054" t="s">
        <v>45042</v>
      </c>
      <c r="T5054" t="s">
        <v>46419</v>
      </c>
      <c r="U5054" t="s">
        <v>51015</v>
      </c>
      <c r="W5054" t="s">
        <v>42605</v>
      </c>
      <c r="X5054" t="s">
        <v>44909</v>
      </c>
    </row>
    <row r="5055" spans="1:24">
      <c r="A5055">
        <f>HYPERLINK("https://www.philgeps.gov.ph/GEPSNONPILOT/Tender/SplashBidNoticeAbstractUI.aspx?menuIndex=3&amp;refID=7081515&amp;Result=3","7081515")</f>
        <v>0</v>
      </c>
      <c r="B5055" t="s">
        <v>700</v>
      </c>
      <c r="C5055" t="s">
        <v>8363</v>
      </c>
      <c r="E5055" t="s">
        <v>22714</v>
      </c>
      <c r="F5055" t="s">
        <v>31362</v>
      </c>
      <c r="G5055" t="s">
        <v>31368</v>
      </c>
      <c r="H5055" t="s">
        <v>15799</v>
      </c>
      <c r="I5055" t="s">
        <v>6373</v>
      </c>
      <c r="J5055" t="s">
        <v>34771</v>
      </c>
      <c r="K5055" t="s">
        <v>40662</v>
      </c>
      <c r="M5055" t="s">
        <v>41665</v>
      </c>
      <c r="N5055" t="s">
        <v>44905</v>
      </c>
      <c r="O5055" t="s">
        <v>44906</v>
      </c>
      <c r="P5055">
        <v>0</v>
      </c>
      <c r="Q5055">
        <v>6</v>
      </c>
      <c r="R5055" t="s">
        <v>44908</v>
      </c>
      <c r="S5055" t="s">
        <v>45042</v>
      </c>
      <c r="T5055" t="s">
        <v>46593</v>
      </c>
      <c r="U5055" t="s">
        <v>51016</v>
      </c>
      <c r="V5055" t="s">
        <v>59513</v>
      </c>
      <c r="W5055" t="s">
        <v>41665</v>
      </c>
      <c r="X5055" t="s">
        <v>44909</v>
      </c>
    </row>
    <row r="5056" spans="1:24">
      <c r="A5056">
        <f>HYPERLINK("https://www.philgeps.gov.ph/GEPSNONPILOT/Tender/SplashBidNoticeAbstractUI.aspx?menuIndex=3&amp;refID=7081569&amp;Result=3","7081569")</f>
        <v>0</v>
      </c>
      <c r="B5056" t="s">
        <v>1203</v>
      </c>
      <c r="C5056" t="s">
        <v>8364</v>
      </c>
      <c r="D5056" t="s">
        <v>18126</v>
      </c>
      <c r="E5056" t="s">
        <v>22715</v>
      </c>
      <c r="F5056" t="s">
        <v>31362</v>
      </c>
      <c r="G5056" t="s">
        <v>31369</v>
      </c>
      <c r="H5056" t="s">
        <v>31378</v>
      </c>
      <c r="I5056" t="s">
        <v>31386</v>
      </c>
      <c r="J5056" t="s">
        <v>34772</v>
      </c>
      <c r="K5056" t="s">
        <v>40682</v>
      </c>
      <c r="M5056" t="s">
        <v>42477</v>
      </c>
      <c r="N5056" t="s">
        <v>44905</v>
      </c>
      <c r="O5056" t="s">
        <v>44906</v>
      </c>
      <c r="P5056">
        <v>0</v>
      </c>
      <c r="Q5056">
        <v>0</v>
      </c>
      <c r="R5056" t="s">
        <v>44908</v>
      </c>
      <c r="S5056" t="s">
        <v>45042</v>
      </c>
      <c r="T5056" t="s">
        <v>46648</v>
      </c>
      <c r="U5056" t="s">
        <v>51017</v>
      </c>
      <c r="W5056" t="s">
        <v>42477</v>
      </c>
      <c r="X5056" t="s">
        <v>44909</v>
      </c>
    </row>
    <row r="5057" spans="1:24">
      <c r="A5057">
        <f>HYPERLINK("https://www.philgeps.gov.ph/GEPSNONPILOT/Tender/SplashBidNoticeAbstractUI.aspx?menuIndex=3&amp;refID=7068709&amp;Result=3","7068709")</f>
        <v>0</v>
      </c>
      <c r="B5057" t="s">
        <v>48</v>
      </c>
      <c r="C5057" t="s">
        <v>4097</v>
      </c>
      <c r="D5057" t="s">
        <v>18117</v>
      </c>
      <c r="E5057" t="s">
        <v>22716</v>
      </c>
      <c r="F5057" t="s">
        <v>31362</v>
      </c>
      <c r="G5057" t="s">
        <v>31369</v>
      </c>
      <c r="H5057" t="s">
        <v>15799</v>
      </c>
      <c r="I5057" t="s">
        <v>31385</v>
      </c>
      <c r="J5057" t="s">
        <v>34773</v>
      </c>
      <c r="K5057" t="s">
        <v>40680</v>
      </c>
      <c r="M5057" t="s">
        <v>40982</v>
      </c>
      <c r="N5057" t="s">
        <v>44905</v>
      </c>
      <c r="O5057" t="s">
        <v>44906</v>
      </c>
      <c r="P5057">
        <v>0</v>
      </c>
      <c r="Q5057">
        <v>1</v>
      </c>
      <c r="R5057" t="s">
        <v>44909</v>
      </c>
      <c r="S5057" t="s">
        <v>45060</v>
      </c>
      <c r="T5057" t="s">
        <v>46425</v>
      </c>
      <c r="U5057" t="s">
        <v>51018</v>
      </c>
      <c r="V5057" t="s">
        <v>59231</v>
      </c>
      <c r="W5057" t="s">
        <v>40982</v>
      </c>
      <c r="X5057" t="s">
        <v>44915</v>
      </c>
    </row>
    <row r="5058" spans="1:24">
      <c r="A5058">
        <f>HYPERLINK("https://www.philgeps.gov.ph/GEPSNONPILOT/Tender/SplashBidNoticeAbstractUI.aspx?menuIndex=3&amp;refID=7072724&amp;Result=3","7072724")</f>
        <v>0</v>
      </c>
      <c r="B5058" t="s">
        <v>1666</v>
      </c>
      <c r="C5058" t="s">
        <v>8365</v>
      </c>
      <c r="D5058" t="s">
        <v>18152</v>
      </c>
      <c r="E5058" t="s">
        <v>22717</v>
      </c>
      <c r="F5058" t="s">
        <v>31362</v>
      </c>
      <c r="G5058" t="s">
        <v>31369</v>
      </c>
      <c r="H5058" t="s">
        <v>31378</v>
      </c>
      <c r="I5058" t="s">
        <v>3815</v>
      </c>
      <c r="J5058" t="s">
        <v>34774</v>
      </c>
      <c r="K5058" t="s">
        <v>40670</v>
      </c>
      <c r="M5058" t="s">
        <v>42731</v>
      </c>
      <c r="N5058" t="s">
        <v>44905</v>
      </c>
      <c r="O5058" t="s">
        <v>44906</v>
      </c>
      <c r="P5058">
        <v>0</v>
      </c>
      <c r="Q5058">
        <v>0</v>
      </c>
      <c r="R5058" t="s">
        <v>44909</v>
      </c>
      <c r="S5058" t="s">
        <v>45060</v>
      </c>
      <c r="T5058" t="s">
        <v>46696</v>
      </c>
      <c r="U5058" t="s">
        <v>51019</v>
      </c>
      <c r="W5058" t="s">
        <v>42731</v>
      </c>
      <c r="X5058" t="s">
        <v>44913</v>
      </c>
    </row>
    <row r="5059" spans="1:24">
      <c r="A5059">
        <f>HYPERLINK("https://www.philgeps.gov.ph/GEPSNONPILOT/Tender/SplashBidNoticeAbstractUI.aspx?menuIndex=3&amp;refID=7081567&amp;Result=3","7081567")</f>
        <v>0</v>
      </c>
      <c r="B5059" t="s">
        <v>831</v>
      </c>
      <c r="C5059" t="s">
        <v>8366</v>
      </c>
      <c r="D5059" t="s">
        <v>18108</v>
      </c>
      <c r="E5059" t="s">
        <v>22718</v>
      </c>
      <c r="F5059" t="s">
        <v>31362</v>
      </c>
      <c r="G5059" t="s">
        <v>31369</v>
      </c>
      <c r="H5059" t="s">
        <v>15799</v>
      </c>
      <c r="I5059" t="s">
        <v>7090</v>
      </c>
      <c r="J5059" t="s">
        <v>34775</v>
      </c>
      <c r="K5059" t="s">
        <v>40666</v>
      </c>
      <c r="M5059" t="s">
        <v>42635</v>
      </c>
      <c r="N5059" t="s">
        <v>44905</v>
      </c>
      <c r="O5059" t="s">
        <v>44906</v>
      </c>
      <c r="P5059">
        <v>0</v>
      </c>
      <c r="Q5059">
        <v>0</v>
      </c>
      <c r="R5059" t="s">
        <v>44908</v>
      </c>
      <c r="S5059" t="s">
        <v>45042</v>
      </c>
      <c r="T5059" t="s">
        <v>46511</v>
      </c>
      <c r="U5059" t="s">
        <v>48635</v>
      </c>
      <c r="W5059" t="s">
        <v>42635</v>
      </c>
      <c r="X5059" t="s">
        <v>44909</v>
      </c>
    </row>
    <row r="5060" spans="1:24">
      <c r="A5060">
        <f>HYPERLINK("https://www.philgeps.gov.ph/GEPSNONPILOT/Tender/SplashBidNoticeAbstractUI.aspx?menuIndex=3&amp;refID=7070852&amp;Result=3","7070852")</f>
        <v>0</v>
      </c>
      <c r="B5060" t="s">
        <v>260</v>
      </c>
      <c r="C5060" t="s">
        <v>8367</v>
      </c>
      <c r="D5060" t="s">
        <v>18138</v>
      </c>
      <c r="E5060" t="s">
        <v>22719</v>
      </c>
      <c r="F5060" t="s">
        <v>31362</v>
      </c>
      <c r="G5060" t="s">
        <v>31368</v>
      </c>
      <c r="H5060" t="s">
        <v>15799</v>
      </c>
      <c r="I5060" t="s">
        <v>31438</v>
      </c>
      <c r="J5060" t="s">
        <v>31530</v>
      </c>
      <c r="K5060" t="s">
        <v>40662</v>
      </c>
      <c r="M5060" t="s">
        <v>41201</v>
      </c>
      <c r="N5060" t="s">
        <v>44905</v>
      </c>
      <c r="O5060" t="s">
        <v>44906</v>
      </c>
      <c r="P5060">
        <v>0</v>
      </c>
      <c r="Q5060">
        <v>1</v>
      </c>
      <c r="R5060" t="s">
        <v>44909</v>
      </c>
      <c r="S5060" t="s">
        <v>45060</v>
      </c>
      <c r="T5060" t="s">
        <v>46414</v>
      </c>
      <c r="U5060" t="s">
        <v>51020</v>
      </c>
      <c r="W5060" t="s">
        <v>41201</v>
      </c>
      <c r="X5060" t="s">
        <v>44914</v>
      </c>
    </row>
    <row r="5061" spans="1:24">
      <c r="A5061">
        <f>HYPERLINK("https://www.philgeps.gov.ph/GEPSNONPILOT/Tender/SplashBidNoticeAbstractUI.aspx?menuIndex=3&amp;refID=7071546&amp;Result=3","7071546")</f>
        <v>0</v>
      </c>
      <c r="B5061" t="s">
        <v>1655</v>
      </c>
      <c r="C5061" t="s">
        <v>7722</v>
      </c>
      <c r="D5061" t="s">
        <v>18136</v>
      </c>
      <c r="E5061" t="s">
        <v>22720</v>
      </c>
      <c r="F5061" t="s">
        <v>31362</v>
      </c>
      <c r="G5061" t="s">
        <v>31369</v>
      </c>
      <c r="H5061" t="s">
        <v>15799</v>
      </c>
      <c r="I5061" t="s">
        <v>4283</v>
      </c>
      <c r="J5061" t="s">
        <v>34776</v>
      </c>
      <c r="K5061" t="s">
        <v>40661</v>
      </c>
      <c r="M5061" t="s">
        <v>42720</v>
      </c>
      <c r="N5061" t="s">
        <v>44905</v>
      </c>
      <c r="O5061" t="s">
        <v>44906</v>
      </c>
      <c r="P5061">
        <v>0</v>
      </c>
      <c r="Q5061">
        <v>1</v>
      </c>
      <c r="R5061" t="s">
        <v>44909</v>
      </c>
      <c r="S5061" t="s">
        <v>45060</v>
      </c>
      <c r="T5061" t="s">
        <v>46692</v>
      </c>
      <c r="U5061" t="s">
        <v>51021</v>
      </c>
      <c r="V5061" t="s">
        <v>59540</v>
      </c>
      <c r="W5061" t="s">
        <v>42720</v>
      </c>
      <c r="X5061" t="s">
        <v>44914</v>
      </c>
    </row>
    <row r="5062" spans="1:24">
      <c r="A5062">
        <f>HYPERLINK("https://www.philgeps.gov.ph/GEPSNONPILOT/Tender/SplashBidNoticeAbstractUI.aspx?menuIndex=3&amp;refID=7072841&amp;Result=3","7072841")</f>
        <v>0</v>
      </c>
      <c r="B5062" t="s">
        <v>1641</v>
      </c>
      <c r="C5062" t="s">
        <v>8368</v>
      </c>
      <c r="D5062" t="s">
        <v>18122</v>
      </c>
      <c r="E5062" t="s">
        <v>22721</v>
      </c>
      <c r="F5062" t="s">
        <v>31362</v>
      </c>
      <c r="G5062" t="s">
        <v>31369</v>
      </c>
      <c r="H5062" t="s">
        <v>31379</v>
      </c>
      <c r="I5062" t="s">
        <v>31409</v>
      </c>
      <c r="J5062" t="s">
        <v>31530</v>
      </c>
      <c r="K5062" t="s">
        <v>40665</v>
      </c>
      <c r="M5062" t="s">
        <v>42705</v>
      </c>
      <c r="N5062" t="s">
        <v>44905</v>
      </c>
      <c r="O5062" t="s">
        <v>44906</v>
      </c>
      <c r="P5062">
        <v>0</v>
      </c>
      <c r="Q5062">
        <v>1</v>
      </c>
      <c r="R5062" t="s">
        <v>44909</v>
      </c>
      <c r="S5062" t="s">
        <v>45060</v>
      </c>
      <c r="T5062" t="s">
        <v>46463</v>
      </c>
      <c r="U5062" t="s">
        <v>51022</v>
      </c>
      <c r="W5062" t="s">
        <v>42705</v>
      </c>
      <c r="X5062" t="s">
        <v>44912</v>
      </c>
    </row>
    <row r="5063" spans="1:24">
      <c r="A5063">
        <f>HYPERLINK("https://www.philgeps.gov.ph/GEPSNONPILOT/Tender/SplashBidNoticeAbstractUI.aspx?menuIndex=3&amp;refID=7072759&amp;Result=3","7072759")</f>
        <v>0</v>
      </c>
      <c r="B5063" t="s">
        <v>238</v>
      </c>
      <c r="C5063" t="s">
        <v>8369</v>
      </c>
      <c r="D5063" t="s">
        <v>18163</v>
      </c>
      <c r="E5063" t="s">
        <v>22722</v>
      </c>
      <c r="F5063" t="s">
        <v>31362</v>
      </c>
      <c r="G5063" t="s">
        <v>31369</v>
      </c>
      <c r="H5063" t="s">
        <v>31378</v>
      </c>
      <c r="I5063" t="s">
        <v>31386</v>
      </c>
      <c r="J5063" t="s">
        <v>31709</v>
      </c>
      <c r="K5063" t="s">
        <v>40662</v>
      </c>
      <c r="M5063" t="s">
        <v>41177</v>
      </c>
      <c r="N5063" t="s">
        <v>44905</v>
      </c>
      <c r="O5063" t="s">
        <v>44906</v>
      </c>
      <c r="P5063">
        <v>0</v>
      </c>
      <c r="Q5063">
        <v>0</v>
      </c>
      <c r="R5063" t="s">
        <v>44909</v>
      </c>
      <c r="S5063" t="s">
        <v>45060</v>
      </c>
      <c r="T5063" t="s">
        <v>46511</v>
      </c>
      <c r="U5063" t="s">
        <v>51023</v>
      </c>
      <c r="V5063" t="s">
        <v>59541</v>
      </c>
      <c r="W5063" t="s">
        <v>41177</v>
      </c>
      <c r="X5063" t="s">
        <v>44913</v>
      </c>
    </row>
    <row r="5064" spans="1:24">
      <c r="A5064">
        <f>HYPERLINK("https://www.philgeps.gov.ph/GEPSNONPILOT/Tender/SplashBidNoticeAbstractUI.aspx?menuIndex=3&amp;refID=7072771&amp;Result=3","7072771")</f>
        <v>0</v>
      </c>
      <c r="B5064" t="s">
        <v>238</v>
      </c>
      <c r="C5064" t="s">
        <v>8370</v>
      </c>
      <c r="D5064" t="s">
        <v>18163</v>
      </c>
      <c r="E5064" t="s">
        <v>22723</v>
      </c>
      <c r="F5064" t="s">
        <v>31362</v>
      </c>
      <c r="G5064" t="s">
        <v>31369</v>
      </c>
      <c r="H5064" t="s">
        <v>15799</v>
      </c>
      <c r="I5064" t="s">
        <v>31427</v>
      </c>
      <c r="J5064" t="s">
        <v>34777</v>
      </c>
      <c r="K5064" t="s">
        <v>40662</v>
      </c>
      <c r="M5064" t="s">
        <v>41177</v>
      </c>
      <c r="N5064" t="s">
        <v>44905</v>
      </c>
      <c r="O5064" t="s">
        <v>44906</v>
      </c>
      <c r="P5064">
        <v>0</v>
      </c>
      <c r="Q5064">
        <v>0</v>
      </c>
      <c r="R5064" t="s">
        <v>44909</v>
      </c>
      <c r="S5064" t="s">
        <v>45060</v>
      </c>
      <c r="T5064" t="s">
        <v>46511</v>
      </c>
      <c r="U5064" t="s">
        <v>51024</v>
      </c>
      <c r="V5064" t="s">
        <v>59537</v>
      </c>
      <c r="W5064" t="s">
        <v>41177</v>
      </c>
      <c r="X5064" t="s">
        <v>44913</v>
      </c>
    </row>
    <row r="5065" spans="1:24">
      <c r="A5065">
        <f>HYPERLINK("https://www.philgeps.gov.ph/GEPSNONPILOT/Tender/SplashBidNoticeAbstractUI.aspx?menuIndex=3&amp;refID=7072731&amp;Result=3","7072731")</f>
        <v>0</v>
      </c>
      <c r="B5065" t="s">
        <v>238</v>
      </c>
      <c r="C5065" t="s">
        <v>8371</v>
      </c>
      <c r="D5065" t="s">
        <v>18163</v>
      </c>
      <c r="E5065" t="s">
        <v>22724</v>
      </c>
      <c r="F5065" t="s">
        <v>31362</v>
      </c>
      <c r="G5065" t="s">
        <v>31369</v>
      </c>
      <c r="H5065" t="s">
        <v>31378</v>
      </c>
      <c r="I5065" t="s">
        <v>31386</v>
      </c>
      <c r="J5065" t="s">
        <v>31709</v>
      </c>
      <c r="K5065" t="s">
        <v>40662</v>
      </c>
      <c r="M5065" t="s">
        <v>41177</v>
      </c>
      <c r="N5065" t="s">
        <v>44905</v>
      </c>
      <c r="O5065" t="s">
        <v>44906</v>
      </c>
      <c r="P5065">
        <v>0</v>
      </c>
      <c r="Q5065">
        <v>0</v>
      </c>
      <c r="R5065" t="s">
        <v>44909</v>
      </c>
      <c r="S5065" t="s">
        <v>45060</v>
      </c>
      <c r="T5065" t="s">
        <v>46511</v>
      </c>
      <c r="U5065" t="s">
        <v>51025</v>
      </c>
      <c r="V5065" t="s">
        <v>59537</v>
      </c>
      <c r="W5065" t="s">
        <v>41177</v>
      </c>
      <c r="X5065" t="s">
        <v>44913</v>
      </c>
    </row>
    <row r="5066" spans="1:24">
      <c r="A5066">
        <f>HYPERLINK("https://www.philgeps.gov.ph/GEPSNONPILOT/Tender/SplashBidNoticeAbstractUI.aspx?menuIndex=3&amp;refID=7072059&amp;Result=3","7072059")</f>
        <v>0</v>
      </c>
      <c r="B5066" t="s">
        <v>260</v>
      </c>
      <c r="C5066" t="s">
        <v>8320</v>
      </c>
      <c r="D5066" t="s">
        <v>18138</v>
      </c>
      <c r="E5066" t="s">
        <v>22725</v>
      </c>
      <c r="F5066" t="s">
        <v>31362</v>
      </c>
      <c r="G5066" t="s">
        <v>31368</v>
      </c>
      <c r="H5066" t="s">
        <v>15799</v>
      </c>
      <c r="I5066" t="s">
        <v>31410</v>
      </c>
      <c r="J5066" t="s">
        <v>34778</v>
      </c>
      <c r="K5066" t="s">
        <v>40662</v>
      </c>
      <c r="M5066" t="s">
        <v>41201</v>
      </c>
      <c r="N5066" t="s">
        <v>44905</v>
      </c>
      <c r="O5066" t="s">
        <v>44906</v>
      </c>
      <c r="P5066">
        <v>0</v>
      </c>
      <c r="Q5066">
        <v>0</v>
      </c>
      <c r="R5066" t="s">
        <v>44909</v>
      </c>
      <c r="S5066" t="s">
        <v>45060</v>
      </c>
      <c r="T5066" t="s">
        <v>46414</v>
      </c>
      <c r="U5066" t="s">
        <v>51026</v>
      </c>
      <c r="W5066" t="s">
        <v>41201</v>
      </c>
      <c r="X5066" t="s">
        <v>44914</v>
      </c>
    </row>
    <row r="5067" spans="1:24">
      <c r="A5067">
        <f>HYPERLINK("https://www.philgeps.gov.ph/GEPSNONPILOT/Tender/SplashBidNoticeAbstractUI.aspx?menuIndex=3&amp;refID=7072034&amp;Result=3","7072034")</f>
        <v>0</v>
      </c>
      <c r="B5067" t="s">
        <v>260</v>
      </c>
      <c r="C5067" t="s">
        <v>8320</v>
      </c>
      <c r="D5067" t="s">
        <v>18112</v>
      </c>
      <c r="E5067" t="s">
        <v>22726</v>
      </c>
      <c r="F5067" t="s">
        <v>31362</v>
      </c>
      <c r="G5067" t="s">
        <v>31368</v>
      </c>
      <c r="H5067" t="s">
        <v>15799</v>
      </c>
      <c r="I5067" t="s">
        <v>31410</v>
      </c>
      <c r="J5067" t="s">
        <v>34779</v>
      </c>
      <c r="K5067" t="s">
        <v>40662</v>
      </c>
      <c r="M5067" t="s">
        <v>41201</v>
      </c>
      <c r="N5067" t="s">
        <v>44905</v>
      </c>
      <c r="O5067" t="s">
        <v>44906</v>
      </c>
      <c r="P5067">
        <v>0</v>
      </c>
      <c r="Q5067">
        <v>0</v>
      </c>
      <c r="R5067" t="s">
        <v>44909</v>
      </c>
      <c r="S5067" t="s">
        <v>45060</v>
      </c>
      <c r="T5067" t="s">
        <v>46414</v>
      </c>
      <c r="U5067" t="s">
        <v>51027</v>
      </c>
      <c r="W5067" t="s">
        <v>41201</v>
      </c>
      <c r="X5067" t="s">
        <v>44914</v>
      </c>
    </row>
    <row r="5068" spans="1:24">
      <c r="A5068">
        <f>HYPERLINK("https://www.philgeps.gov.ph/GEPSNONPILOT/Tender/SplashBidNoticeAbstractUI.aspx?menuIndex=3&amp;refID=7071969&amp;Result=3","7071969")</f>
        <v>0</v>
      </c>
      <c r="B5068" t="s">
        <v>260</v>
      </c>
      <c r="C5068" t="s">
        <v>8320</v>
      </c>
      <c r="D5068" t="s">
        <v>18164</v>
      </c>
      <c r="E5068" t="s">
        <v>22727</v>
      </c>
      <c r="F5068" t="s">
        <v>31362</v>
      </c>
      <c r="G5068" t="s">
        <v>31368</v>
      </c>
      <c r="H5068" t="s">
        <v>15799</v>
      </c>
      <c r="I5068" t="s">
        <v>31410</v>
      </c>
      <c r="J5068" t="s">
        <v>34779</v>
      </c>
      <c r="K5068" t="s">
        <v>40662</v>
      </c>
      <c r="M5068" t="s">
        <v>41201</v>
      </c>
      <c r="N5068" t="s">
        <v>44905</v>
      </c>
      <c r="O5068" t="s">
        <v>44906</v>
      </c>
      <c r="P5068">
        <v>0</v>
      </c>
      <c r="Q5068">
        <v>0</v>
      </c>
      <c r="R5068" t="s">
        <v>44909</v>
      </c>
      <c r="S5068" t="s">
        <v>45060</v>
      </c>
      <c r="T5068" t="s">
        <v>46414</v>
      </c>
      <c r="U5068" t="s">
        <v>51027</v>
      </c>
      <c r="W5068" t="s">
        <v>41201</v>
      </c>
      <c r="X5068" t="s">
        <v>44914</v>
      </c>
    </row>
    <row r="5069" spans="1:24">
      <c r="A5069">
        <f>HYPERLINK("https://www.philgeps.gov.ph/GEPSNONPILOT/Tender/SplashBidNoticeAbstractUI.aspx?menuIndex=3&amp;refID=7081516&amp;Result=3","7081516")</f>
        <v>0</v>
      </c>
      <c r="B5069" t="s">
        <v>1280</v>
      </c>
      <c r="C5069" t="s">
        <v>8372</v>
      </c>
      <c r="D5069" t="s">
        <v>18152</v>
      </c>
      <c r="E5069" t="s">
        <v>22728</v>
      </c>
      <c r="F5069" t="s">
        <v>31362</v>
      </c>
      <c r="G5069" t="s">
        <v>31368</v>
      </c>
      <c r="H5069" t="s">
        <v>15799</v>
      </c>
      <c r="I5069" t="s">
        <v>13635</v>
      </c>
      <c r="J5069" t="s">
        <v>34780</v>
      </c>
      <c r="K5069" t="s">
        <v>40662</v>
      </c>
      <c r="M5069" t="s">
        <v>42297</v>
      </c>
      <c r="N5069" t="s">
        <v>44905</v>
      </c>
      <c r="O5069" t="s">
        <v>44906</v>
      </c>
      <c r="P5069">
        <v>0</v>
      </c>
      <c r="Q5069">
        <v>1</v>
      </c>
      <c r="R5069" t="s">
        <v>44908</v>
      </c>
      <c r="S5069" t="s">
        <v>45042</v>
      </c>
      <c r="T5069" t="s">
        <v>46507</v>
      </c>
      <c r="U5069" t="s">
        <v>50013</v>
      </c>
      <c r="W5069" t="s">
        <v>42297</v>
      </c>
      <c r="X5069" t="s">
        <v>44909</v>
      </c>
    </row>
    <row r="5070" spans="1:24">
      <c r="A5070">
        <f>HYPERLINK("https://www.philgeps.gov.ph/GEPSNONPILOT/Tender/SplashBidNoticeAbstractUI.aspx?menuIndex=3&amp;refID=7071958&amp;Result=3","7071958")</f>
        <v>0</v>
      </c>
      <c r="B5070" t="s">
        <v>1667</v>
      </c>
      <c r="C5070" t="s">
        <v>8373</v>
      </c>
      <c r="D5070" t="s">
        <v>18106</v>
      </c>
      <c r="E5070" t="s">
        <v>22729</v>
      </c>
      <c r="F5070" t="s">
        <v>31362</v>
      </c>
      <c r="G5070" t="s">
        <v>31368</v>
      </c>
      <c r="H5070" t="s">
        <v>15799</v>
      </c>
      <c r="I5070" t="s">
        <v>7188</v>
      </c>
      <c r="J5070" t="s">
        <v>33890</v>
      </c>
      <c r="K5070" t="s">
        <v>40666</v>
      </c>
      <c r="M5070" t="s">
        <v>42732</v>
      </c>
      <c r="N5070" t="s">
        <v>44905</v>
      </c>
      <c r="O5070" t="s">
        <v>44906</v>
      </c>
      <c r="P5070">
        <v>0</v>
      </c>
      <c r="Q5070">
        <v>1</v>
      </c>
      <c r="R5070" t="s">
        <v>44909</v>
      </c>
      <c r="S5070" t="s">
        <v>45060</v>
      </c>
      <c r="T5070" t="s">
        <v>46443</v>
      </c>
      <c r="U5070" t="s">
        <v>51028</v>
      </c>
      <c r="W5070" t="s">
        <v>42732</v>
      </c>
      <c r="X5070" t="s">
        <v>44914</v>
      </c>
    </row>
    <row r="5071" spans="1:24">
      <c r="A5071">
        <f>HYPERLINK("https://www.philgeps.gov.ph/GEPSNONPILOT/Tender/SplashBidNoticeAbstractUI.aspx?menuIndex=3&amp;refID=7071913&amp;Result=3","7071913")</f>
        <v>0</v>
      </c>
      <c r="B5071" t="s">
        <v>260</v>
      </c>
      <c r="C5071" t="s">
        <v>8320</v>
      </c>
      <c r="D5071" t="s">
        <v>18138</v>
      </c>
      <c r="E5071" t="s">
        <v>22730</v>
      </c>
      <c r="F5071" t="s">
        <v>31362</v>
      </c>
      <c r="G5071" t="s">
        <v>31368</v>
      </c>
      <c r="H5071" t="s">
        <v>15799</v>
      </c>
      <c r="I5071" t="s">
        <v>31410</v>
      </c>
      <c r="J5071" t="s">
        <v>34779</v>
      </c>
      <c r="K5071" t="s">
        <v>40662</v>
      </c>
      <c r="M5071" t="s">
        <v>41201</v>
      </c>
      <c r="N5071" t="s">
        <v>44905</v>
      </c>
      <c r="O5071" t="s">
        <v>44906</v>
      </c>
      <c r="P5071">
        <v>0</v>
      </c>
      <c r="Q5071">
        <v>0</v>
      </c>
      <c r="R5071" t="s">
        <v>44909</v>
      </c>
      <c r="S5071" t="s">
        <v>45060</v>
      </c>
      <c r="T5071" t="s">
        <v>46414</v>
      </c>
      <c r="U5071" t="s">
        <v>51027</v>
      </c>
      <c r="W5071" t="s">
        <v>41201</v>
      </c>
      <c r="X5071" t="s">
        <v>44914</v>
      </c>
    </row>
    <row r="5072" spans="1:24">
      <c r="A5072">
        <f>HYPERLINK("https://www.philgeps.gov.ph/GEPSNONPILOT/Tender/SplashBidNoticeAbstractUI.aspx?menuIndex=3&amp;refID=7071698&amp;Result=3","7071698")</f>
        <v>0</v>
      </c>
      <c r="B5072" t="s">
        <v>913</v>
      </c>
      <c r="C5072" t="s">
        <v>8374</v>
      </c>
      <c r="D5072" t="s">
        <v>18176</v>
      </c>
      <c r="E5072" t="s">
        <v>22731</v>
      </c>
      <c r="F5072" t="s">
        <v>31362</v>
      </c>
      <c r="G5072" t="s">
        <v>31369</v>
      </c>
      <c r="H5072" t="s">
        <v>15799</v>
      </c>
      <c r="I5072" t="s">
        <v>31404</v>
      </c>
      <c r="J5072" t="s">
        <v>34781</v>
      </c>
      <c r="K5072" t="s">
        <v>40670</v>
      </c>
      <c r="M5072" t="s">
        <v>41896</v>
      </c>
      <c r="N5072" t="s">
        <v>44905</v>
      </c>
      <c r="O5072" t="s">
        <v>44906</v>
      </c>
      <c r="P5072">
        <v>0</v>
      </c>
      <c r="Q5072">
        <v>0</v>
      </c>
      <c r="R5072" t="s">
        <v>44909</v>
      </c>
      <c r="S5072" t="s">
        <v>45060</v>
      </c>
      <c r="T5072" t="s">
        <v>46426</v>
      </c>
      <c r="U5072" t="s">
        <v>51029</v>
      </c>
      <c r="W5072" t="s">
        <v>41896</v>
      </c>
      <c r="X5072" t="s">
        <v>44914</v>
      </c>
    </row>
    <row r="5073" spans="1:24">
      <c r="A5073">
        <f>HYPERLINK("https://www.philgeps.gov.ph/GEPSNONPILOT/Tender/SplashBidNoticeAbstractUI.aspx?menuIndex=3&amp;refID=7071492&amp;Result=3","7071492")</f>
        <v>0</v>
      </c>
      <c r="B5073" t="s">
        <v>697</v>
      </c>
      <c r="C5073" t="s">
        <v>8375</v>
      </c>
      <c r="D5073" t="s">
        <v>18146</v>
      </c>
      <c r="E5073" t="s">
        <v>22732</v>
      </c>
      <c r="F5073" t="s">
        <v>31364</v>
      </c>
      <c r="G5073" t="s">
        <v>31369</v>
      </c>
      <c r="H5073" t="s">
        <v>31378</v>
      </c>
      <c r="I5073" t="s">
        <v>31386</v>
      </c>
      <c r="J5073" t="s">
        <v>34782</v>
      </c>
      <c r="K5073" t="s">
        <v>40665</v>
      </c>
      <c r="M5073" t="s">
        <v>41662</v>
      </c>
      <c r="N5073" t="s">
        <v>44905</v>
      </c>
      <c r="O5073" t="s">
        <v>44906</v>
      </c>
      <c r="P5073">
        <v>0</v>
      </c>
      <c r="Q5073">
        <v>0</v>
      </c>
      <c r="R5073" t="s">
        <v>44909</v>
      </c>
      <c r="S5073" t="s">
        <v>45060</v>
      </c>
      <c r="T5073" t="s">
        <v>46433</v>
      </c>
      <c r="U5073" t="s">
        <v>51030</v>
      </c>
      <c r="W5073" t="s">
        <v>41662</v>
      </c>
      <c r="X5073" t="s">
        <v>44914</v>
      </c>
    </row>
    <row r="5074" spans="1:24">
      <c r="A5074">
        <f>HYPERLINK("https://www.philgeps.gov.ph/GEPSNONPILOT/Tender/SplashBidNoticeAbstractUI.aspx?menuIndex=3&amp;refID=7072719&amp;Result=3","7072719")</f>
        <v>0</v>
      </c>
      <c r="B5074" t="s">
        <v>1666</v>
      </c>
      <c r="C5074" t="s">
        <v>8376</v>
      </c>
      <c r="D5074" t="s">
        <v>18152</v>
      </c>
      <c r="E5074" t="s">
        <v>22733</v>
      </c>
      <c r="F5074" t="s">
        <v>31362</v>
      </c>
      <c r="G5074" t="s">
        <v>31369</v>
      </c>
      <c r="H5074" t="s">
        <v>15799</v>
      </c>
      <c r="I5074" t="s">
        <v>3815</v>
      </c>
      <c r="J5074" t="s">
        <v>34783</v>
      </c>
      <c r="K5074" t="s">
        <v>40670</v>
      </c>
      <c r="M5074" t="s">
        <v>42731</v>
      </c>
      <c r="N5074" t="s">
        <v>44905</v>
      </c>
      <c r="O5074" t="s">
        <v>44906</v>
      </c>
      <c r="P5074">
        <v>0</v>
      </c>
      <c r="Q5074">
        <v>0</v>
      </c>
      <c r="R5074" t="s">
        <v>44909</v>
      </c>
      <c r="S5074" t="s">
        <v>45060</v>
      </c>
      <c r="T5074" t="s">
        <v>46696</v>
      </c>
      <c r="U5074" t="s">
        <v>51031</v>
      </c>
      <c r="W5074" t="s">
        <v>42731</v>
      </c>
      <c r="X5074" t="s">
        <v>44913</v>
      </c>
    </row>
    <row r="5075" spans="1:24">
      <c r="A5075">
        <f>HYPERLINK("https://www.philgeps.gov.ph/GEPSNONPILOT/Tender/SplashBidNoticeAbstractUI.aspx?menuIndex=3&amp;refID=7073847&amp;Result=3","7073847")</f>
        <v>0</v>
      </c>
      <c r="B5075" t="s">
        <v>1668</v>
      </c>
      <c r="C5075" t="s">
        <v>8377</v>
      </c>
      <c r="D5075" t="s">
        <v>18169</v>
      </c>
      <c r="E5075" t="s">
        <v>22734</v>
      </c>
      <c r="F5075" t="s">
        <v>31362</v>
      </c>
      <c r="G5075" t="s">
        <v>31369</v>
      </c>
      <c r="H5075" t="s">
        <v>31378</v>
      </c>
      <c r="I5075" t="s">
        <v>31386</v>
      </c>
      <c r="J5075" t="s">
        <v>31607</v>
      </c>
      <c r="K5075" t="s">
        <v>40679</v>
      </c>
      <c r="M5075" t="s">
        <v>42733</v>
      </c>
      <c r="N5075" t="s">
        <v>44905</v>
      </c>
      <c r="O5075" t="s">
        <v>44906</v>
      </c>
      <c r="P5075">
        <v>0</v>
      </c>
      <c r="Q5075">
        <v>0</v>
      </c>
      <c r="R5075" t="s">
        <v>44909</v>
      </c>
      <c r="S5075" t="s">
        <v>45060</v>
      </c>
      <c r="T5075" t="s">
        <v>46433</v>
      </c>
      <c r="U5075" t="s">
        <v>51032</v>
      </c>
      <c r="V5075" t="s">
        <v>59542</v>
      </c>
      <c r="W5075" t="s">
        <v>60906</v>
      </c>
      <c r="X5075" t="s">
        <v>44911</v>
      </c>
    </row>
    <row r="5076" spans="1:24">
      <c r="A5076">
        <f>HYPERLINK("https://www.philgeps.gov.ph/GEPSNONPILOT/Tender/SplashBidNoticeAbstractUI.aspx?menuIndex=3&amp;refID=7072004&amp;Result=3","7072004")</f>
        <v>0</v>
      </c>
      <c r="B5076" t="s">
        <v>260</v>
      </c>
      <c r="C5076" t="s">
        <v>8320</v>
      </c>
      <c r="D5076" t="s">
        <v>18168</v>
      </c>
      <c r="E5076" t="s">
        <v>22735</v>
      </c>
      <c r="F5076" t="s">
        <v>31362</v>
      </c>
      <c r="G5076" t="s">
        <v>31368</v>
      </c>
      <c r="H5076" t="s">
        <v>15799</v>
      </c>
      <c r="I5076" t="s">
        <v>31410</v>
      </c>
      <c r="J5076" t="s">
        <v>34779</v>
      </c>
      <c r="K5076" t="s">
        <v>40662</v>
      </c>
      <c r="M5076" t="s">
        <v>41201</v>
      </c>
      <c r="N5076" t="s">
        <v>44905</v>
      </c>
      <c r="O5076" t="s">
        <v>44906</v>
      </c>
      <c r="P5076">
        <v>0</v>
      </c>
      <c r="Q5076">
        <v>0</v>
      </c>
      <c r="R5076" t="s">
        <v>44909</v>
      </c>
      <c r="S5076" t="s">
        <v>45060</v>
      </c>
      <c r="T5076" t="s">
        <v>46414</v>
      </c>
      <c r="U5076" t="s">
        <v>51027</v>
      </c>
      <c r="W5076" t="s">
        <v>41201</v>
      </c>
      <c r="X5076" t="s">
        <v>44914</v>
      </c>
    </row>
    <row r="5077" spans="1:24">
      <c r="A5077">
        <f>HYPERLINK("https://www.philgeps.gov.ph/GEPSNONPILOT/Tender/SplashBidNoticeAbstractUI.aspx?menuIndex=3&amp;refID=7072941&amp;Result=3","7072941")</f>
        <v>0</v>
      </c>
      <c r="B5077" t="s">
        <v>1649</v>
      </c>
      <c r="C5077" t="s">
        <v>8378</v>
      </c>
      <c r="D5077" t="s">
        <v>18165</v>
      </c>
      <c r="E5077" t="s">
        <v>22736</v>
      </c>
      <c r="F5077" t="s">
        <v>31362</v>
      </c>
      <c r="G5077" t="s">
        <v>31369</v>
      </c>
      <c r="H5077" t="s">
        <v>31378</v>
      </c>
      <c r="I5077" t="s">
        <v>31386</v>
      </c>
      <c r="J5077" t="s">
        <v>31687</v>
      </c>
      <c r="K5077" t="s">
        <v>40793</v>
      </c>
      <c r="M5077" t="s">
        <v>42714</v>
      </c>
      <c r="N5077" t="s">
        <v>44905</v>
      </c>
      <c r="O5077" t="s">
        <v>44906</v>
      </c>
      <c r="P5077">
        <v>0</v>
      </c>
      <c r="Q5077">
        <v>0</v>
      </c>
      <c r="R5077" t="s">
        <v>44909</v>
      </c>
      <c r="S5077" t="s">
        <v>45060</v>
      </c>
      <c r="T5077" t="s">
        <v>46408</v>
      </c>
      <c r="U5077" t="s">
        <v>51033</v>
      </c>
      <c r="W5077" t="s">
        <v>42714</v>
      </c>
      <c r="X5077" t="s">
        <v>44912</v>
      </c>
    </row>
    <row r="5078" spans="1:24">
      <c r="A5078">
        <f>HYPERLINK("https://www.philgeps.gov.ph/GEPSNONPILOT/Tender/SplashBidNoticeAbstractUI.aspx?menuIndex=3&amp;refID=7073815&amp;Result=3","7073815")</f>
        <v>0</v>
      </c>
      <c r="B5078" t="s">
        <v>745</v>
      </c>
      <c r="C5078" t="s">
        <v>8379</v>
      </c>
      <c r="D5078" t="s">
        <v>18134</v>
      </c>
      <c r="E5078" t="s">
        <v>22737</v>
      </c>
      <c r="F5078" t="s">
        <v>31362</v>
      </c>
      <c r="G5078" t="s">
        <v>31368</v>
      </c>
      <c r="H5078" t="s">
        <v>15799</v>
      </c>
      <c r="I5078" t="s">
        <v>31380</v>
      </c>
      <c r="J5078" t="s">
        <v>31536</v>
      </c>
      <c r="K5078" t="s">
        <v>40665</v>
      </c>
      <c r="M5078" t="s">
        <v>41712</v>
      </c>
      <c r="N5078" t="s">
        <v>44905</v>
      </c>
      <c r="O5078" t="s">
        <v>44906</v>
      </c>
      <c r="P5078">
        <v>0</v>
      </c>
      <c r="Q5078">
        <v>9</v>
      </c>
      <c r="R5078" t="s">
        <v>44909</v>
      </c>
      <c r="S5078" t="s">
        <v>45060</v>
      </c>
      <c r="T5078" t="s">
        <v>46447</v>
      </c>
      <c r="U5078" t="s">
        <v>51034</v>
      </c>
      <c r="W5078" t="s">
        <v>41712</v>
      </c>
      <c r="X5078" t="s">
        <v>44911</v>
      </c>
    </row>
    <row r="5079" spans="1:24">
      <c r="A5079">
        <f>HYPERLINK("https://www.philgeps.gov.ph/GEPSNONPILOT/Tender/SplashBidNoticeAbstractUI.aspx?menuIndex=3&amp;refID=7071806&amp;Result=3","7071806")</f>
        <v>0</v>
      </c>
      <c r="B5079" t="s">
        <v>260</v>
      </c>
      <c r="C5079" t="s">
        <v>8320</v>
      </c>
      <c r="D5079" t="s">
        <v>18138</v>
      </c>
      <c r="E5079" t="s">
        <v>22738</v>
      </c>
      <c r="F5079" t="s">
        <v>31362</v>
      </c>
      <c r="G5079" t="s">
        <v>31368</v>
      </c>
      <c r="H5079" t="s">
        <v>15799</v>
      </c>
      <c r="I5079" t="s">
        <v>31410</v>
      </c>
      <c r="J5079" t="s">
        <v>34779</v>
      </c>
      <c r="K5079" t="s">
        <v>40662</v>
      </c>
      <c r="M5079" t="s">
        <v>41201</v>
      </c>
      <c r="N5079" t="s">
        <v>44905</v>
      </c>
      <c r="O5079" t="s">
        <v>44906</v>
      </c>
      <c r="P5079">
        <v>0</v>
      </c>
      <c r="Q5079">
        <v>0</v>
      </c>
      <c r="R5079" t="s">
        <v>44909</v>
      </c>
      <c r="S5079" t="s">
        <v>45060</v>
      </c>
      <c r="T5079" t="s">
        <v>46414</v>
      </c>
      <c r="U5079" t="s">
        <v>51027</v>
      </c>
      <c r="W5079" t="s">
        <v>41201</v>
      </c>
      <c r="X5079" t="s">
        <v>44914</v>
      </c>
    </row>
    <row r="5080" spans="1:24">
      <c r="A5080">
        <f>HYPERLINK("https://www.philgeps.gov.ph/GEPSNONPILOT/Tender/SplashBidNoticeAbstractUI.aspx?menuIndex=3&amp;refID=7073632&amp;Result=3","7073632")</f>
        <v>0</v>
      </c>
      <c r="B5080" t="s">
        <v>92</v>
      </c>
      <c r="C5080" t="s">
        <v>8380</v>
      </c>
      <c r="D5080" t="s">
        <v>18100</v>
      </c>
      <c r="E5080" t="s">
        <v>22739</v>
      </c>
      <c r="F5080" t="s">
        <v>31362</v>
      </c>
      <c r="G5080" t="s">
        <v>31371</v>
      </c>
      <c r="H5080" t="s">
        <v>15799</v>
      </c>
      <c r="I5080" t="s">
        <v>31400</v>
      </c>
      <c r="J5080" t="s">
        <v>31564</v>
      </c>
      <c r="K5080" t="s">
        <v>40677</v>
      </c>
      <c r="M5080" t="s">
        <v>41029</v>
      </c>
      <c r="N5080" t="s">
        <v>44905</v>
      </c>
      <c r="O5080" t="s">
        <v>44906</v>
      </c>
      <c r="P5080">
        <v>0</v>
      </c>
      <c r="Q5080">
        <v>0</v>
      </c>
      <c r="R5080" t="s">
        <v>44909</v>
      </c>
      <c r="S5080" t="s">
        <v>45060</v>
      </c>
      <c r="T5080" t="s">
        <v>46440</v>
      </c>
      <c r="U5080" t="s">
        <v>47062</v>
      </c>
      <c r="W5080" t="s">
        <v>60834</v>
      </c>
      <c r="X5080" t="s">
        <v>44911</v>
      </c>
    </row>
    <row r="5081" spans="1:24">
      <c r="A5081">
        <f>HYPERLINK("https://www.philgeps.gov.ph/GEPSNONPILOT/Tender/SplashBidNoticeAbstractUI.aspx?menuIndex=3&amp;refID=7081543&amp;Result=3","7081543")</f>
        <v>0</v>
      </c>
      <c r="B5081" t="s">
        <v>519</v>
      </c>
      <c r="C5081" t="s">
        <v>8381</v>
      </c>
      <c r="D5081" t="s">
        <v>18152</v>
      </c>
      <c r="E5081" t="s">
        <v>22740</v>
      </c>
      <c r="F5081" t="s">
        <v>31362</v>
      </c>
      <c r="G5081" t="s">
        <v>31368</v>
      </c>
      <c r="H5081" t="s">
        <v>15799</v>
      </c>
      <c r="I5081" t="s">
        <v>31410</v>
      </c>
      <c r="J5081" t="s">
        <v>34784</v>
      </c>
      <c r="K5081" t="s">
        <v>40662</v>
      </c>
      <c r="M5081" t="s">
        <v>41475</v>
      </c>
      <c r="N5081" t="s">
        <v>44905</v>
      </c>
      <c r="O5081" t="s">
        <v>44906</v>
      </c>
      <c r="P5081">
        <v>0</v>
      </c>
      <c r="Q5081">
        <v>1</v>
      </c>
      <c r="R5081" t="s">
        <v>44908</v>
      </c>
      <c r="S5081" t="s">
        <v>45042</v>
      </c>
      <c r="T5081" t="s">
        <v>46434</v>
      </c>
      <c r="U5081" t="s">
        <v>51035</v>
      </c>
      <c r="W5081" t="s">
        <v>41475</v>
      </c>
      <c r="X5081" t="s">
        <v>44909</v>
      </c>
    </row>
    <row r="5082" spans="1:24">
      <c r="A5082">
        <f>HYPERLINK("https://www.philgeps.gov.ph/GEPSNONPILOT/Tender/SplashBidNoticeAbstractUI.aspx?menuIndex=3&amp;refID=7072943&amp;Result=3","7072943")</f>
        <v>0</v>
      </c>
      <c r="B5082" t="s">
        <v>1649</v>
      </c>
      <c r="C5082" t="s">
        <v>8382</v>
      </c>
      <c r="D5082" t="s">
        <v>18165</v>
      </c>
      <c r="E5082" t="s">
        <v>22741</v>
      </c>
      <c r="F5082" t="s">
        <v>31362</v>
      </c>
      <c r="G5082" t="s">
        <v>31369</v>
      </c>
      <c r="H5082" t="s">
        <v>31378</v>
      </c>
      <c r="I5082" t="s">
        <v>31386</v>
      </c>
      <c r="J5082" t="s">
        <v>31734</v>
      </c>
      <c r="K5082" t="s">
        <v>40718</v>
      </c>
      <c r="M5082" t="s">
        <v>42714</v>
      </c>
      <c r="N5082" t="s">
        <v>44905</v>
      </c>
      <c r="O5082" t="s">
        <v>44906</v>
      </c>
      <c r="P5082">
        <v>0</v>
      </c>
      <c r="Q5082">
        <v>0</v>
      </c>
      <c r="R5082" t="s">
        <v>44909</v>
      </c>
      <c r="S5082" t="s">
        <v>45060</v>
      </c>
      <c r="T5082" t="s">
        <v>46408</v>
      </c>
      <c r="U5082" t="s">
        <v>51036</v>
      </c>
      <c r="W5082" t="s">
        <v>42714</v>
      </c>
      <c r="X5082" t="s">
        <v>44912</v>
      </c>
    </row>
    <row r="5083" spans="1:24">
      <c r="A5083">
        <f>HYPERLINK("https://www.philgeps.gov.ph/GEPSNONPILOT/Tender/SplashBidNoticeAbstractUI.aspx?menuIndex=3&amp;refID=7073816&amp;Result=3","7073816")</f>
        <v>0</v>
      </c>
      <c r="B5083" t="s">
        <v>1669</v>
      </c>
      <c r="C5083" t="s">
        <v>8383</v>
      </c>
      <c r="D5083" t="s">
        <v>18108</v>
      </c>
      <c r="E5083" t="s">
        <v>22742</v>
      </c>
      <c r="F5083" t="s">
        <v>31362</v>
      </c>
      <c r="G5083" t="s">
        <v>31369</v>
      </c>
      <c r="H5083" t="s">
        <v>15799</v>
      </c>
      <c r="I5083" t="s">
        <v>6373</v>
      </c>
      <c r="J5083" t="s">
        <v>32127</v>
      </c>
      <c r="K5083" t="s">
        <v>40665</v>
      </c>
      <c r="M5083" t="s">
        <v>42734</v>
      </c>
      <c r="N5083" t="s">
        <v>44905</v>
      </c>
      <c r="O5083" t="s">
        <v>44906</v>
      </c>
      <c r="P5083">
        <v>0</v>
      </c>
      <c r="Q5083">
        <v>2</v>
      </c>
      <c r="R5083" t="s">
        <v>44909</v>
      </c>
      <c r="S5083" t="s">
        <v>45060</v>
      </c>
      <c r="T5083" t="s">
        <v>46403</v>
      </c>
      <c r="U5083" t="s">
        <v>51037</v>
      </c>
      <c r="W5083" t="s">
        <v>42734</v>
      </c>
      <c r="X5083" t="s">
        <v>44911</v>
      </c>
    </row>
    <row r="5084" spans="1:24">
      <c r="A5084">
        <f>HYPERLINK("https://www.philgeps.gov.ph/GEPSNONPILOT/Tender/SplashBidNoticeAbstractUI.aspx?menuIndex=3&amp;refID=7073544&amp;Result=3","7073544")</f>
        <v>0</v>
      </c>
      <c r="B5084" t="s">
        <v>92</v>
      </c>
      <c r="C5084" t="s">
        <v>8384</v>
      </c>
      <c r="D5084" t="s">
        <v>18100</v>
      </c>
      <c r="E5084" t="s">
        <v>22743</v>
      </c>
      <c r="F5084" t="s">
        <v>31362</v>
      </c>
      <c r="G5084" t="s">
        <v>31368</v>
      </c>
      <c r="H5084" t="s">
        <v>15799</v>
      </c>
      <c r="I5084" t="s">
        <v>6240</v>
      </c>
      <c r="J5084" t="s">
        <v>34785</v>
      </c>
      <c r="K5084" t="s">
        <v>40677</v>
      </c>
      <c r="M5084" t="s">
        <v>41029</v>
      </c>
      <c r="N5084" t="s">
        <v>44905</v>
      </c>
      <c r="O5084" t="s">
        <v>44906</v>
      </c>
      <c r="P5084">
        <v>0</v>
      </c>
      <c r="Q5084">
        <v>0</v>
      </c>
      <c r="R5084" t="s">
        <v>44909</v>
      </c>
      <c r="S5084" t="s">
        <v>45060</v>
      </c>
      <c r="T5084" t="s">
        <v>46440</v>
      </c>
      <c r="U5084" t="s">
        <v>47062</v>
      </c>
      <c r="W5084" t="s">
        <v>60834</v>
      </c>
      <c r="X5084" t="s">
        <v>44911</v>
      </c>
    </row>
    <row r="5085" spans="1:24">
      <c r="A5085">
        <f>HYPERLINK("https://www.philgeps.gov.ph/GEPSNONPILOT/Tender/SplashBidNoticeAbstractUI.aspx?menuIndex=3&amp;refID=7073459&amp;Result=3","7073459")</f>
        <v>0</v>
      </c>
      <c r="B5085" t="s">
        <v>913</v>
      </c>
      <c r="C5085" t="s">
        <v>8385</v>
      </c>
      <c r="D5085" t="s">
        <v>18176</v>
      </c>
      <c r="E5085" t="s">
        <v>22744</v>
      </c>
      <c r="F5085" t="s">
        <v>31362</v>
      </c>
      <c r="G5085" t="s">
        <v>31369</v>
      </c>
      <c r="H5085" t="s">
        <v>15799</v>
      </c>
      <c r="I5085" t="s">
        <v>31410</v>
      </c>
      <c r="J5085" t="s">
        <v>34786</v>
      </c>
      <c r="K5085" t="s">
        <v>40670</v>
      </c>
      <c r="M5085" t="s">
        <v>41896</v>
      </c>
      <c r="N5085" t="s">
        <v>44905</v>
      </c>
      <c r="O5085" t="s">
        <v>44906</v>
      </c>
      <c r="P5085">
        <v>0</v>
      </c>
      <c r="Q5085">
        <v>0</v>
      </c>
      <c r="R5085" t="s">
        <v>44909</v>
      </c>
      <c r="S5085" t="s">
        <v>45060</v>
      </c>
      <c r="T5085" t="s">
        <v>46426</v>
      </c>
      <c r="U5085" t="s">
        <v>51038</v>
      </c>
      <c r="W5085" t="s">
        <v>41896</v>
      </c>
      <c r="X5085" t="s">
        <v>44911</v>
      </c>
    </row>
    <row r="5086" spans="1:24">
      <c r="A5086">
        <f>HYPERLINK("https://www.philgeps.gov.ph/GEPSNONPILOT/Tender/SplashBidNoticeAbstractUI.aspx?menuIndex=3&amp;refID=7073720&amp;Result=3","7073720")</f>
        <v>0</v>
      </c>
      <c r="B5086" t="s">
        <v>1294</v>
      </c>
      <c r="C5086" t="s">
        <v>8386</v>
      </c>
      <c r="D5086" t="s">
        <v>18110</v>
      </c>
      <c r="E5086" t="s">
        <v>22745</v>
      </c>
      <c r="F5086" t="s">
        <v>31362</v>
      </c>
      <c r="G5086" t="s">
        <v>31369</v>
      </c>
      <c r="H5086" t="s">
        <v>15799</v>
      </c>
      <c r="I5086" t="s">
        <v>6373</v>
      </c>
      <c r="J5086" t="s">
        <v>34787</v>
      </c>
      <c r="K5086" t="s">
        <v>40661</v>
      </c>
      <c r="M5086" t="s">
        <v>42312</v>
      </c>
      <c r="N5086" t="s">
        <v>44905</v>
      </c>
      <c r="O5086" t="s">
        <v>44906</v>
      </c>
      <c r="P5086">
        <v>0</v>
      </c>
      <c r="Q5086">
        <v>0</v>
      </c>
      <c r="R5086" t="s">
        <v>44909</v>
      </c>
      <c r="S5086" t="s">
        <v>45060</v>
      </c>
      <c r="T5086" t="s">
        <v>46435</v>
      </c>
      <c r="U5086" t="s">
        <v>51039</v>
      </c>
      <c r="V5086" t="s">
        <v>59543</v>
      </c>
      <c r="W5086" t="s">
        <v>42312</v>
      </c>
      <c r="X5086" t="s">
        <v>44911</v>
      </c>
    </row>
    <row r="5087" spans="1:24">
      <c r="A5087">
        <f>HYPERLINK("https://www.philgeps.gov.ph/GEPSNONPILOT/Tender/SplashBidNoticeAbstractUI.aspx?menuIndex=3&amp;refID=7073868&amp;Result=3","7073868")</f>
        <v>0</v>
      </c>
      <c r="B5087" t="s">
        <v>745</v>
      </c>
      <c r="C5087" t="s">
        <v>8387</v>
      </c>
      <c r="D5087" t="s">
        <v>18134</v>
      </c>
      <c r="E5087" t="s">
        <v>22746</v>
      </c>
      <c r="F5087" t="s">
        <v>31362</v>
      </c>
      <c r="G5087" t="s">
        <v>31368</v>
      </c>
      <c r="H5087" t="s">
        <v>15799</v>
      </c>
      <c r="I5087" t="s">
        <v>31380</v>
      </c>
      <c r="J5087" t="s">
        <v>31806</v>
      </c>
      <c r="K5087" t="s">
        <v>40665</v>
      </c>
      <c r="M5087" t="s">
        <v>41712</v>
      </c>
      <c r="N5087" t="s">
        <v>44905</v>
      </c>
      <c r="O5087" t="s">
        <v>44906</v>
      </c>
      <c r="P5087">
        <v>0</v>
      </c>
      <c r="Q5087">
        <v>3</v>
      </c>
      <c r="R5087" t="s">
        <v>44909</v>
      </c>
      <c r="S5087" t="s">
        <v>45060</v>
      </c>
      <c r="T5087" t="s">
        <v>46447</v>
      </c>
      <c r="U5087" t="s">
        <v>51040</v>
      </c>
      <c r="W5087" t="s">
        <v>41712</v>
      </c>
      <c r="X5087" t="s">
        <v>44911</v>
      </c>
    </row>
    <row r="5088" spans="1:24">
      <c r="A5088">
        <f>HYPERLINK("https://www.philgeps.gov.ph/GEPSNONPILOT/Tender/SplashBidNoticeAbstractUI.aspx?menuIndex=3&amp;refID=7073280&amp;Result=3","7073280")</f>
        <v>0</v>
      </c>
      <c r="B5088" t="s">
        <v>648</v>
      </c>
      <c r="C5088" t="s">
        <v>8388</v>
      </c>
      <c r="D5088" t="s">
        <v>18185</v>
      </c>
      <c r="E5088" t="s">
        <v>22747</v>
      </c>
      <c r="F5088" t="s">
        <v>31362</v>
      </c>
      <c r="G5088" t="s">
        <v>31369</v>
      </c>
      <c r="H5088" t="s">
        <v>15799</v>
      </c>
      <c r="I5088" t="s">
        <v>3815</v>
      </c>
      <c r="J5088" t="s">
        <v>34788</v>
      </c>
      <c r="K5088" t="s">
        <v>40675</v>
      </c>
      <c r="M5088" t="s">
        <v>41609</v>
      </c>
      <c r="N5088" t="s">
        <v>44905</v>
      </c>
      <c r="O5088" t="s">
        <v>44906</v>
      </c>
      <c r="P5088">
        <v>0</v>
      </c>
      <c r="Q5088">
        <v>0</v>
      </c>
      <c r="R5088" t="s">
        <v>44909</v>
      </c>
      <c r="S5088" t="s">
        <v>45060</v>
      </c>
      <c r="T5088" t="s">
        <v>46549</v>
      </c>
      <c r="U5088" t="s">
        <v>51041</v>
      </c>
      <c r="W5088" t="s">
        <v>41609</v>
      </c>
      <c r="X5088" t="s">
        <v>44911</v>
      </c>
    </row>
    <row r="5089" spans="1:24">
      <c r="A5089">
        <f>HYPERLINK("https://www.philgeps.gov.ph/GEPSNONPILOT/Tender/SplashBidNoticeAbstractUI.aspx?menuIndex=3&amp;refID=7073591&amp;Result=3","7073591")</f>
        <v>0</v>
      </c>
      <c r="B5089" t="s">
        <v>1649</v>
      </c>
      <c r="C5089" t="s">
        <v>8389</v>
      </c>
      <c r="D5089" t="s">
        <v>18165</v>
      </c>
      <c r="E5089" t="s">
        <v>22748</v>
      </c>
      <c r="F5089" t="s">
        <v>31362</v>
      </c>
      <c r="G5089" t="s">
        <v>31369</v>
      </c>
      <c r="H5089" t="s">
        <v>31378</v>
      </c>
      <c r="I5089" t="s">
        <v>31386</v>
      </c>
      <c r="J5089" t="s">
        <v>34789</v>
      </c>
      <c r="K5089" t="s">
        <v>40764</v>
      </c>
      <c r="M5089" t="s">
        <v>42714</v>
      </c>
      <c r="N5089" t="s">
        <v>44905</v>
      </c>
      <c r="O5089" t="s">
        <v>44906</v>
      </c>
      <c r="P5089">
        <v>0</v>
      </c>
      <c r="Q5089">
        <v>0</v>
      </c>
      <c r="R5089" t="s">
        <v>44909</v>
      </c>
      <c r="S5089" t="s">
        <v>45060</v>
      </c>
      <c r="T5089" t="s">
        <v>46408</v>
      </c>
      <c r="U5089" t="s">
        <v>51042</v>
      </c>
      <c r="W5089" t="s">
        <v>42714</v>
      </c>
      <c r="X5089" t="s">
        <v>44911</v>
      </c>
    </row>
    <row r="5090" spans="1:24">
      <c r="A5090">
        <f>HYPERLINK("https://www.philgeps.gov.ph/GEPSNONPILOT/Tender/SplashBidNoticeAbstractUI.aspx?menuIndex=3&amp;refID=7073778&amp;Result=3","7073778")</f>
        <v>0</v>
      </c>
      <c r="B5090" t="s">
        <v>1670</v>
      </c>
      <c r="C5090" t="s">
        <v>8390</v>
      </c>
      <c r="D5090" t="s">
        <v>18157</v>
      </c>
      <c r="E5090" t="s">
        <v>22749</v>
      </c>
      <c r="F5090" t="s">
        <v>31362</v>
      </c>
      <c r="G5090" t="s">
        <v>31369</v>
      </c>
      <c r="H5090" t="s">
        <v>15799</v>
      </c>
      <c r="I5090" t="s">
        <v>3815</v>
      </c>
      <c r="J5090" t="s">
        <v>31536</v>
      </c>
      <c r="K5090" t="s">
        <v>40662</v>
      </c>
      <c r="M5090" t="s">
        <v>42735</v>
      </c>
      <c r="N5090" t="s">
        <v>44905</v>
      </c>
      <c r="O5090" t="s">
        <v>44906</v>
      </c>
      <c r="P5090">
        <v>0</v>
      </c>
      <c r="Q5090">
        <v>0</v>
      </c>
      <c r="R5090" t="s">
        <v>44909</v>
      </c>
      <c r="S5090" t="s">
        <v>45060</v>
      </c>
      <c r="T5090" t="s">
        <v>46435</v>
      </c>
      <c r="U5090" t="s">
        <v>51043</v>
      </c>
      <c r="W5090" t="s">
        <v>42735</v>
      </c>
      <c r="X5090" t="s">
        <v>44911</v>
      </c>
    </row>
    <row r="5091" spans="1:24">
      <c r="A5091">
        <f>HYPERLINK("https://www.philgeps.gov.ph/GEPSNONPILOT/Tender/SplashBidNoticeAbstractUI.aspx?menuIndex=3&amp;refID=7072944&amp;Result=3","7072944")</f>
        <v>0</v>
      </c>
      <c r="B5091" t="s">
        <v>1649</v>
      </c>
      <c r="C5091" t="s">
        <v>8391</v>
      </c>
      <c r="D5091" t="s">
        <v>18165</v>
      </c>
      <c r="E5091" t="s">
        <v>22750</v>
      </c>
      <c r="F5091" t="s">
        <v>31362</v>
      </c>
      <c r="G5091" t="s">
        <v>31369</v>
      </c>
      <c r="H5091" t="s">
        <v>31378</v>
      </c>
      <c r="I5091" t="s">
        <v>31386</v>
      </c>
      <c r="J5091" t="s">
        <v>31531</v>
      </c>
      <c r="K5091" t="s">
        <v>40794</v>
      </c>
      <c r="M5091" t="s">
        <v>42714</v>
      </c>
      <c r="N5091" t="s">
        <v>44905</v>
      </c>
      <c r="O5091" t="s">
        <v>44906</v>
      </c>
      <c r="P5091">
        <v>0</v>
      </c>
      <c r="Q5091">
        <v>0</v>
      </c>
      <c r="R5091" t="s">
        <v>44909</v>
      </c>
      <c r="S5091" t="s">
        <v>45060</v>
      </c>
      <c r="T5091" t="s">
        <v>46408</v>
      </c>
      <c r="U5091" t="s">
        <v>51044</v>
      </c>
      <c r="W5091" t="s">
        <v>42714</v>
      </c>
      <c r="X5091" t="s">
        <v>44912</v>
      </c>
    </row>
    <row r="5092" spans="1:24">
      <c r="A5092">
        <f>HYPERLINK("https://www.philgeps.gov.ph/GEPSNONPILOT/Tender/SplashBidNoticeAbstractUI.aspx?menuIndex=3&amp;refID=7073533&amp;Result=3","7073533")</f>
        <v>0</v>
      </c>
      <c r="B5092" t="s">
        <v>360</v>
      </c>
      <c r="C5092" t="s">
        <v>8392</v>
      </c>
      <c r="D5092" t="s">
        <v>18161</v>
      </c>
      <c r="E5092" t="s">
        <v>22751</v>
      </c>
      <c r="F5092" t="s">
        <v>31362</v>
      </c>
      <c r="G5092" t="s">
        <v>31368</v>
      </c>
      <c r="H5092" t="s">
        <v>15799</v>
      </c>
      <c r="I5092" t="s">
        <v>31430</v>
      </c>
      <c r="J5092" t="s">
        <v>33531</v>
      </c>
      <c r="K5092" t="s">
        <v>40662</v>
      </c>
      <c r="M5092" t="s">
        <v>41307</v>
      </c>
      <c r="N5092" t="s">
        <v>44905</v>
      </c>
      <c r="O5092" t="s">
        <v>44906</v>
      </c>
      <c r="P5092">
        <v>0</v>
      </c>
      <c r="Q5092">
        <v>2</v>
      </c>
      <c r="R5092" t="s">
        <v>44909</v>
      </c>
      <c r="S5092" t="s">
        <v>45060</v>
      </c>
      <c r="T5092" t="s">
        <v>46394</v>
      </c>
      <c r="U5092" t="s">
        <v>47535</v>
      </c>
      <c r="W5092" t="s">
        <v>41307</v>
      </c>
      <c r="X5092" t="s">
        <v>44911</v>
      </c>
    </row>
    <row r="5093" spans="1:24">
      <c r="A5093">
        <f>HYPERLINK("https://www.philgeps.gov.ph/GEPSNONPILOT/Tender/SplashBidNoticeAbstractUI.aspx?menuIndex=3&amp;refID=7072942&amp;Result=3","7072942")</f>
        <v>0</v>
      </c>
      <c r="B5093" t="s">
        <v>1649</v>
      </c>
      <c r="C5093" t="s">
        <v>8393</v>
      </c>
      <c r="D5093" t="s">
        <v>18165</v>
      </c>
      <c r="E5093" t="s">
        <v>22752</v>
      </c>
      <c r="F5093" t="s">
        <v>31362</v>
      </c>
      <c r="G5093" t="s">
        <v>31369</v>
      </c>
      <c r="H5093" t="s">
        <v>31378</v>
      </c>
      <c r="I5093" t="s">
        <v>31386</v>
      </c>
      <c r="J5093" t="s">
        <v>31531</v>
      </c>
      <c r="K5093" t="s">
        <v>40795</v>
      </c>
      <c r="M5093" t="s">
        <v>42714</v>
      </c>
      <c r="N5093" t="s">
        <v>44905</v>
      </c>
      <c r="O5093" t="s">
        <v>44906</v>
      </c>
      <c r="P5093">
        <v>0</v>
      </c>
      <c r="Q5093">
        <v>0</v>
      </c>
      <c r="R5093" t="s">
        <v>44909</v>
      </c>
      <c r="S5093" t="s">
        <v>45060</v>
      </c>
      <c r="T5093" t="s">
        <v>46408</v>
      </c>
      <c r="U5093" t="s">
        <v>51045</v>
      </c>
      <c r="W5093" t="s">
        <v>42714</v>
      </c>
      <c r="X5093" t="s">
        <v>44912</v>
      </c>
    </row>
    <row r="5094" spans="1:24">
      <c r="A5094">
        <f>HYPERLINK("https://www.philgeps.gov.ph/GEPSNONPILOT/Tender/SplashBidNoticeAbstractUI.aspx?menuIndex=3&amp;refID=7073600&amp;Result=3","7073600")</f>
        <v>0</v>
      </c>
      <c r="B5094" t="s">
        <v>92</v>
      </c>
      <c r="C5094" t="s">
        <v>8394</v>
      </c>
      <c r="D5094" t="s">
        <v>18100</v>
      </c>
      <c r="E5094" t="s">
        <v>22753</v>
      </c>
      <c r="F5094" t="s">
        <v>31362</v>
      </c>
      <c r="G5094" t="s">
        <v>31368</v>
      </c>
      <c r="H5094" t="s">
        <v>15799</v>
      </c>
      <c r="I5094" t="s">
        <v>6240</v>
      </c>
      <c r="J5094" t="s">
        <v>33090</v>
      </c>
      <c r="K5094" t="s">
        <v>40677</v>
      </c>
      <c r="M5094" t="s">
        <v>41029</v>
      </c>
      <c r="N5094" t="s">
        <v>44905</v>
      </c>
      <c r="O5094" t="s">
        <v>44906</v>
      </c>
      <c r="P5094">
        <v>0</v>
      </c>
      <c r="Q5094">
        <v>0</v>
      </c>
      <c r="R5094" t="s">
        <v>44909</v>
      </c>
      <c r="S5094" t="s">
        <v>45060</v>
      </c>
      <c r="T5094" t="s">
        <v>46440</v>
      </c>
      <c r="U5094" t="s">
        <v>47062</v>
      </c>
      <c r="W5094" t="s">
        <v>60834</v>
      </c>
      <c r="X5094" t="s">
        <v>44911</v>
      </c>
    </row>
    <row r="5095" spans="1:24">
      <c r="A5095">
        <f>HYPERLINK("https://www.philgeps.gov.ph/GEPSNONPILOT/Tender/SplashBidNoticeAbstractUI.aspx?menuIndex=3&amp;refID=7073371&amp;Result=3","7073371")</f>
        <v>0</v>
      </c>
      <c r="B5095" t="s">
        <v>69</v>
      </c>
      <c r="C5095" t="s">
        <v>8395</v>
      </c>
      <c r="D5095" t="s">
        <v>18114</v>
      </c>
      <c r="E5095" t="s">
        <v>22754</v>
      </c>
      <c r="F5095" t="s">
        <v>31362</v>
      </c>
      <c r="G5095" t="s">
        <v>31369</v>
      </c>
      <c r="H5095" t="s">
        <v>31378</v>
      </c>
      <c r="I5095" t="s">
        <v>31386</v>
      </c>
      <c r="J5095" t="s">
        <v>34790</v>
      </c>
      <c r="K5095" t="s">
        <v>40796</v>
      </c>
      <c r="M5095" t="s">
        <v>41005</v>
      </c>
      <c r="N5095" t="s">
        <v>44905</v>
      </c>
      <c r="O5095" t="s">
        <v>44906</v>
      </c>
      <c r="P5095">
        <v>0</v>
      </c>
      <c r="Q5095">
        <v>1</v>
      </c>
      <c r="R5095" t="s">
        <v>44909</v>
      </c>
      <c r="S5095" t="s">
        <v>45060</v>
      </c>
      <c r="T5095" t="s">
        <v>46412</v>
      </c>
      <c r="U5095" t="s">
        <v>51046</v>
      </c>
      <c r="W5095" t="s">
        <v>41005</v>
      </c>
      <c r="X5095" t="s">
        <v>44911</v>
      </c>
    </row>
    <row r="5096" spans="1:24">
      <c r="A5096">
        <f>HYPERLINK("https://www.philgeps.gov.ph/GEPSNONPILOT/Tender/SplashBidNoticeAbstractUI.aspx?menuIndex=3&amp;refID=7074327&amp;Result=3","7074327")</f>
        <v>0</v>
      </c>
      <c r="B5096" t="s">
        <v>1671</v>
      </c>
      <c r="C5096" t="s">
        <v>8396</v>
      </c>
      <c r="D5096" t="s">
        <v>18119</v>
      </c>
      <c r="E5096" t="s">
        <v>22755</v>
      </c>
      <c r="F5096" t="s">
        <v>31362</v>
      </c>
      <c r="G5096" t="s">
        <v>31369</v>
      </c>
      <c r="H5096" t="s">
        <v>31378</v>
      </c>
      <c r="I5096" t="s">
        <v>31386</v>
      </c>
      <c r="J5096" t="s">
        <v>34791</v>
      </c>
      <c r="K5096" t="s">
        <v>40686</v>
      </c>
      <c r="M5096" t="s">
        <v>42736</v>
      </c>
      <c r="N5096" t="s">
        <v>44905</v>
      </c>
      <c r="O5096" t="s">
        <v>44906</v>
      </c>
      <c r="P5096">
        <v>0</v>
      </c>
      <c r="Q5096">
        <v>0</v>
      </c>
      <c r="R5096" t="s">
        <v>44909</v>
      </c>
      <c r="S5096" t="s">
        <v>45060</v>
      </c>
      <c r="T5096" t="s">
        <v>46396</v>
      </c>
      <c r="U5096" t="s">
        <v>51047</v>
      </c>
      <c r="V5096" t="s">
        <v>59544</v>
      </c>
      <c r="W5096" t="s">
        <v>42736</v>
      </c>
      <c r="X5096" t="s">
        <v>44911</v>
      </c>
    </row>
    <row r="5097" spans="1:24">
      <c r="A5097">
        <f>HYPERLINK("https://www.philgeps.gov.ph/GEPSNONPILOT/Tender/SplashBidNoticeAbstractUI.aspx?menuIndex=3&amp;refID=7074308&amp;Result=3","7074308")</f>
        <v>0</v>
      </c>
      <c r="B5097" t="s">
        <v>1671</v>
      </c>
      <c r="C5097" t="s">
        <v>8397</v>
      </c>
      <c r="D5097" t="s">
        <v>18119</v>
      </c>
      <c r="E5097" t="s">
        <v>22756</v>
      </c>
      <c r="F5097" t="s">
        <v>31362</v>
      </c>
      <c r="G5097" t="s">
        <v>31369</v>
      </c>
      <c r="H5097" t="s">
        <v>31378</v>
      </c>
      <c r="I5097" t="s">
        <v>31386</v>
      </c>
      <c r="J5097" t="s">
        <v>34792</v>
      </c>
      <c r="K5097" t="s">
        <v>40682</v>
      </c>
      <c r="M5097" t="s">
        <v>42736</v>
      </c>
      <c r="N5097" t="s">
        <v>44905</v>
      </c>
      <c r="O5097" t="s">
        <v>44906</v>
      </c>
      <c r="P5097">
        <v>0</v>
      </c>
      <c r="Q5097">
        <v>1</v>
      </c>
      <c r="R5097" t="s">
        <v>44909</v>
      </c>
      <c r="S5097" t="s">
        <v>45060</v>
      </c>
      <c r="T5097" t="s">
        <v>46396</v>
      </c>
      <c r="U5097" t="s">
        <v>51048</v>
      </c>
      <c r="V5097" t="s">
        <v>59544</v>
      </c>
      <c r="W5097" t="s">
        <v>42736</v>
      </c>
      <c r="X5097" t="s">
        <v>44911</v>
      </c>
    </row>
    <row r="5098" spans="1:24">
      <c r="A5098">
        <f>HYPERLINK("https://www.philgeps.gov.ph/GEPSNONPILOT/Tender/SplashBidNoticeAbstractUI.aspx?menuIndex=3&amp;refID=7074285&amp;Result=3","7074285")</f>
        <v>0</v>
      </c>
      <c r="B5098" t="s">
        <v>1671</v>
      </c>
      <c r="C5098" t="s">
        <v>8398</v>
      </c>
      <c r="D5098" t="s">
        <v>18119</v>
      </c>
      <c r="E5098" t="s">
        <v>22757</v>
      </c>
      <c r="F5098" t="s">
        <v>31362</v>
      </c>
      <c r="G5098" t="s">
        <v>31369</v>
      </c>
      <c r="H5098" t="s">
        <v>31378</v>
      </c>
      <c r="I5098" t="s">
        <v>31386</v>
      </c>
      <c r="J5098" t="s">
        <v>34793</v>
      </c>
      <c r="K5098" t="s">
        <v>40682</v>
      </c>
      <c r="M5098" t="s">
        <v>42736</v>
      </c>
      <c r="N5098" t="s">
        <v>44905</v>
      </c>
      <c r="O5098" t="s">
        <v>44906</v>
      </c>
      <c r="P5098">
        <v>0</v>
      </c>
      <c r="Q5098">
        <v>0</v>
      </c>
      <c r="R5098" t="s">
        <v>44909</v>
      </c>
      <c r="S5098" t="s">
        <v>45060</v>
      </c>
      <c r="T5098" t="s">
        <v>46396</v>
      </c>
      <c r="U5098" t="s">
        <v>51049</v>
      </c>
      <c r="V5098" t="s">
        <v>59545</v>
      </c>
      <c r="W5098" t="s">
        <v>42736</v>
      </c>
      <c r="X5098" t="s">
        <v>44911</v>
      </c>
    </row>
    <row r="5099" spans="1:24">
      <c r="A5099">
        <f>HYPERLINK("https://www.philgeps.gov.ph/GEPSNONPILOT/Tender/SplashBidNoticeAbstractUI.aspx?menuIndex=3&amp;refID=7074273&amp;Result=3","7074273")</f>
        <v>0</v>
      </c>
      <c r="B5099" t="s">
        <v>1672</v>
      </c>
      <c r="C5099" t="s">
        <v>8399</v>
      </c>
      <c r="D5099" t="s">
        <v>18123</v>
      </c>
      <c r="E5099" t="s">
        <v>22758</v>
      </c>
      <c r="F5099" t="s">
        <v>31362</v>
      </c>
      <c r="G5099" t="s">
        <v>31369</v>
      </c>
      <c r="H5099" t="s">
        <v>15799</v>
      </c>
      <c r="I5099" t="s">
        <v>31427</v>
      </c>
      <c r="J5099" t="s">
        <v>34794</v>
      </c>
      <c r="K5099" t="s">
        <v>40665</v>
      </c>
      <c r="M5099" t="s">
        <v>42737</v>
      </c>
      <c r="N5099" t="s">
        <v>44905</v>
      </c>
      <c r="O5099" t="s">
        <v>44906</v>
      </c>
      <c r="P5099">
        <v>0</v>
      </c>
      <c r="Q5099">
        <v>8</v>
      </c>
      <c r="R5099" t="s">
        <v>44909</v>
      </c>
      <c r="S5099" t="s">
        <v>45060</v>
      </c>
      <c r="T5099" t="s">
        <v>46511</v>
      </c>
      <c r="U5099" t="s">
        <v>51050</v>
      </c>
      <c r="W5099" t="s">
        <v>42737</v>
      </c>
      <c r="X5099" t="s">
        <v>44911</v>
      </c>
    </row>
    <row r="5100" spans="1:24">
      <c r="A5100">
        <f>HYPERLINK("https://www.philgeps.gov.ph/GEPSNONPILOT/Tender/SplashBidNoticeAbstractUI.aspx?menuIndex=3&amp;refID=7074249&amp;Result=3","7074249")</f>
        <v>0</v>
      </c>
      <c r="B5100" t="s">
        <v>1671</v>
      </c>
      <c r="C5100" t="s">
        <v>8400</v>
      </c>
      <c r="D5100" t="s">
        <v>18119</v>
      </c>
      <c r="E5100" t="s">
        <v>22759</v>
      </c>
      <c r="F5100" t="s">
        <v>31362</v>
      </c>
      <c r="G5100" t="s">
        <v>31369</v>
      </c>
      <c r="H5100" t="s">
        <v>31378</v>
      </c>
      <c r="I5100" t="s">
        <v>31386</v>
      </c>
      <c r="J5100" t="s">
        <v>34795</v>
      </c>
      <c r="K5100" t="s">
        <v>40682</v>
      </c>
      <c r="M5100" t="s">
        <v>42736</v>
      </c>
      <c r="N5100" t="s">
        <v>44905</v>
      </c>
      <c r="O5100" t="s">
        <v>44906</v>
      </c>
      <c r="P5100">
        <v>0</v>
      </c>
      <c r="Q5100">
        <v>0</v>
      </c>
      <c r="R5100" t="s">
        <v>44909</v>
      </c>
      <c r="S5100" t="s">
        <v>45060</v>
      </c>
      <c r="T5100" t="s">
        <v>46396</v>
      </c>
      <c r="U5100" t="s">
        <v>51051</v>
      </c>
      <c r="V5100" t="s">
        <v>59545</v>
      </c>
      <c r="W5100" t="s">
        <v>42736</v>
      </c>
      <c r="X5100" t="s">
        <v>44911</v>
      </c>
    </row>
    <row r="5101" spans="1:24">
      <c r="A5101">
        <f>HYPERLINK("https://www.philgeps.gov.ph/GEPSNONPILOT/Tender/SplashBidNoticeAbstractUI.aspx?menuIndex=3&amp;refID=7074233&amp;Result=3","7074233")</f>
        <v>0</v>
      </c>
      <c r="B5101" t="s">
        <v>1673</v>
      </c>
      <c r="C5101" t="s">
        <v>8401</v>
      </c>
      <c r="D5101" t="s">
        <v>18171</v>
      </c>
      <c r="E5101" t="s">
        <v>22760</v>
      </c>
      <c r="F5101" t="s">
        <v>31362</v>
      </c>
      <c r="G5101" t="s">
        <v>31369</v>
      </c>
      <c r="H5101" t="s">
        <v>31378</v>
      </c>
      <c r="I5101" t="s">
        <v>31435</v>
      </c>
      <c r="J5101" t="s">
        <v>31586</v>
      </c>
      <c r="K5101" t="s">
        <v>40696</v>
      </c>
      <c r="M5101" t="s">
        <v>42738</v>
      </c>
      <c r="N5101" t="s">
        <v>44905</v>
      </c>
      <c r="O5101" t="s">
        <v>44906</v>
      </c>
      <c r="P5101">
        <v>0</v>
      </c>
      <c r="Q5101">
        <v>4</v>
      </c>
      <c r="R5101" t="s">
        <v>44909</v>
      </c>
      <c r="S5101" t="s">
        <v>45060</v>
      </c>
      <c r="T5101" t="s">
        <v>46585</v>
      </c>
      <c r="U5101" t="s">
        <v>51052</v>
      </c>
      <c r="W5101" t="s">
        <v>42738</v>
      </c>
      <c r="X5101" t="s">
        <v>44911</v>
      </c>
    </row>
    <row r="5102" spans="1:24">
      <c r="A5102">
        <f>HYPERLINK("https://www.philgeps.gov.ph/GEPSNONPILOT/Tender/SplashBidNoticeAbstractUI.aspx?menuIndex=3&amp;refID=7074262&amp;Result=3","7074262")</f>
        <v>0</v>
      </c>
      <c r="B5102" t="s">
        <v>1671</v>
      </c>
      <c r="C5102" t="s">
        <v>8402</v>
      </c>
      <c r="D5102" t="s">
        <v>18119</v>
      </c>
      <c r="E5102" t="s">
        <v>22761</v>
      </c>
      <c r="F5102" t="s">
        <v>31362</v>
      </c>
      <c r="G5102" t="s">
        <v>31369</v>
      </c>
      <c r="H5102" t="s">
        <v>31378</v>
      </c>
      <c r="I5102" t="s">
        <v>31386</v>
      </c>
      <c r="J5102" t="s">
        <v>34796</v>
      </c>
      <c r="K5102" t="s">
        <v>40682</v>
      </c>
      <c r="M5102" t="s">
        <v>42736</v>
      </c>
      <c r="N5102" t="s">
        <v>44905</v>
      </c>
      <c r="O5102" t="s">
        <v>44906</v>
      </c>
      <c r="P5102">
        <v>0</v>
      </c>
      <c r="Q5102">
        <v>0</v>
      </c>
      <c r="R5102" t="s">
        <v>44909</v>
      </c>
      <c r="S5102" t="s">
        <v>45060</v>
      </c>
      <c r="T5102" t="s">
        <v>46396</v>
      </c>
      <c r="U5102" t="s">
        <v>51053</v>
      </c>
      <c r="V5102" t="s">
        <v>59544</v>
      </c>
      <c r="W5102" t="s">
        <v>42736</v>
      </c>
      <c r="X5102" t="s">
        <v>44911</v>
      </c>
    </row>
    <row r="5103" spans="1:24">
      <c r="A5103">
        <f>HYPERLINK("https://www.philgeps.gov.ph/GEPSNONPILOT/Tender/SplashBidNoticeAbstractUI.aspx?menuIndex=3&amp;refID=7073547&amp;Result=3","7073547")</f>
        <v>0</v>
      </c>
      <c r="B5103" t="s">
        <v>1674</v>
      </c>
      <c r="C5103" t="s">
        <v>8403</v>
      </c>
      <c r="D5103" t="s">
        <v>18155</v>
      </c>
      <c r="E5103" t="s">
        <v>22762</v>
      </c>
      <c r="F5103" t="s">
        <v>31362</v>
      </c>
      <c r="G5103" t="s">
        <v>31369</v>
      </c>
      <c r="H5103" t="s">
        <v>15799</v>
      </c>
      <c r="I5103" t="s">
        <v>31411</v>
      </c>
      <c r="J5103" t="s">
        <v>34797</v>
      </c>
      <c r="K5103" t="s">
        <v>40682</v>
      </c>
      <c r="M5103" t="s">
        <v>42739</v>
      </c>
      <c r="N5103" t="s">
        <v>44905</v>
      </c>
      <c r="O5103" t="s">
        <v>44906</v>
      </c>
      <c r="P5103">
        <v>0</v>
      </c>
      <c r="Q5103">
        <v>9</v>
      </c>
      <c r="R5103" t="s">
        <v>44909</v>
      </c>
      <c r="S5103" t="s">
        <v>45060</v>
      </c>
      <c r="T5103" t="s">
        <v>46433</v>
      </c>
      <c r="U5103" t="s">
        <v>51054</v>
      </c>
      <c r="W5103" t="s">
        <v>42739</v>
      </c>
      <c r="X5103" t="s">
        <v>44911</v>
      </c>
    </row>
    <row r="5104" spans="1:24">
      <c r="A5104">
        <f>HYPERLINK("https://www.philgeps.gov.ph/GEPSNONPILOT/Tender/SplashBidNoticeAbstractUI.aspx?menuIndex=3&amp;refID=7074176&amp;Result=3","7074176")</f>
        <v>0</v>
      </c>
      <c r="B5104" t="s">
        <v>1675</v>
      </c>
      <c r="C5104" t="s">
        <v>8404</v>
      </c>
      <c r="D5104" t="s">
        <v>18138</v>
      </c>
      <c r="E5104" t="s">
        <v>22763</v>
      </c>
      <c r="F5104" t="s">
        <v>31362</v>
      </c>
      <c r="G5104" t="s">
        <v>31368</v>
      </c>
      <c r="H5104" t="s">
        <v>15799</v>
      </c>
      <c r="I5104" t="s">
        <v>7188</v>
      </c>
      <c r="J5104" t="s">
        <v>31577</v>
      </c>
      <c r="K5104" t="s">
        <v>40665</v>
      </c>
      <c r="M5104" t="s">
        <v>42740</v>
      </c>
      <c r="N5104" t="s">
        <v>44905</v>
      </c>
      <c r="O5104" t="s">
        <v>44906</v>
      </c>
      <c r="P5104">
        <v>0</v>
      </c>
      <c r="Q5104">
        <v>5</v>
      </c>
      <c r="R5104" t="s">
        <v>44909</v>
      </c>
      <c r="S5104" t="s">
        <v>45060</v>
      </c>
      <c r="T5104" t="s">
        <v>46575</v>
      </c>
      <c r="U5104" t="s">
        <v>51055</v>
      </c>
      <c r="W5104" t="s">
        <v>42740</v>
      </c>
      <c r="X5104" t="s">
        <v>44911</v>
      </c>
    </row>
    <row r="5105" spans="1:24">
      <c r="A5105">
        <f>HYPERLINK("https://www.philgeps.gov.ph/GEPSNONPILOT/Tender/SplashBidNoticeAbstractUI.aspx?menuIndex=3&amp;refID=7072949&amp;Result=3","7072949")</f>
        <v>0</v>
      </c>
      <c r="B5105" t="s">
        <v>1649</v>
      </c>
      <c r="C5105" t="s">
        <v>8405</v>
      </c>
      <c r="D5105" t="s">
        <v>18165</v>
      </c>
      <c r="E5105" t="s">
        <v>22764</v>
      </c>
      <c r="F5105" t="s">
        <v>31362</v>
      </c>
      <c r="G5105" t="s">
        <v>31369</v>
      </c>
      <c r="H5105" t="s">
        <v>15799</v>
      </c>
      <c r="I5105" t="s">
        <v>3815</v>
      </c>
      <c r="J5105" t="s">
        <v>34798</v>
      </c>
      <c r="K5105" t="s">
        <v>40665</v>
      </c>
      <c r="M5105" t="s">
        <v>42714</v>
      </c>
      <c r="N5105" t="s">
        <v>44905</v>
      </c>
      <c r="O5105" t="s">
        <v>44906</v>
      </c>
      <c r="P5105">
        <v>0</v>
      </c>
      <c r="Q5105">
        <v>0</v>
      </c>
      <c r="R5105" t="s">
        <v>44909</v>
      </c>
      <c r="S5105" t="s">
        <v>45060</v>
      </c>
      <c r="T5105" t="s">
        <v>46408</v>
      </c>
      <c r="U5105" t="s">
        <v>51056</v>
      </c>
      <c r="W5105" t="s">
        <v>42714</v>
      </c>
      <c r="X5105" t="s">
        <v>44912</v>
      </c>
    </row>
    <row r="5106" spans="1:24">
      <c r="A5106">
        <f>HYPERLINK("https://www.philgeps.gov.ph/GEPSNONPILOT/Tender/SplashBidNoticeAbstractUI.aspx?menuIndex=3&amp;refID=7074169&amp;Result=3","7074169")</f>
        <v>0</v>
      </c>
      <c r="B5106" t="s">
        <v>1671</v>
      </c>
      <c r="C5106" t="s">
        <v>8406</v>
      </c>
      <c r="D5106" t="s">
        <v>18119</v>
      </c>
      <c r="E5106" t="s">
        <v>22765</v>
      </c>
      <c r="F5106" t="s">
        <v>31362</v>
      </c>
      <c r="G5106" t="s">
        <v>31369</v>
      </c>
      <c r="H5106" t="s">
        <v>31378</v>
      </c>
      <c r="I5106" t="s">
        <v>31386</v>
      </c>
      <c r="J5106" t="s">
        <v>34799</v>
      </c>
      <c r="K5106" t="s">
        <v>40682</v>
      </c>
      <c r="M5106" t="s">
        <v>42736</v>
      </c>
      <c r="N5106" t="s">
        <v>44905</v>
      </c>
      <c r="O5106" t="s">
        <v>44906</v>
      </c>
      <c r="P5106">
        <v>0</v>
      </c>
      <c r="Q5106">
        <v>0</v>
      </c>
      <c r="R5106" t="s">
        <v>44909</v>
      </c>
      <c r="S5106" t="s">
        <v>45060</v>
      </c>
      <c r="T5106" t="s">
        <v>46396</v>
      </c>
      <c r="U5106" t="s">
        <v>51057</v>
      </c>
      <c r="V5106" t="s">
        <v>59545</v>
      </c>
      <c r="W5106" t="s">
        <v>42736</v>
      </c>
      <c r="X5106" t="s">
        <v>44911</v>
      </c>
    </row>
    <row r="5107" spans="1:24">
      <c r="A5107">
        <f>HYPERLINK("https://www.philgeps.gov.ph/GEPSNONPILOT/Tender/SplashBidNoticeAbstractUI.aspx?menuIndex=3&amp;refID=7074140&amp;Result=3","7074140")</f>
        <v>0</v>
      </c>
      <c r="B5107" t="s">
        <v>1671</v>
      </c>
      <c r="C5107" t="s">
        <v>8407</v>
      </c>
      <c r="D5107" t="s">
        <v>18119</v>
      </c>
      <c r="E5107" t="s">
        <v>22766</v>
      </c>
      <c r="F5107" t="s">
        <v>31362</v>
      </c>
      <c r="G5107" t="s">
        <v>31369</v>
      </c>
      <c r="H5107" t="s">
        <v>31378</v>
      </c>
      <c r="I5107" t="s">
        <v>31386</v>
      </c>
      <c r="J5107" t="s">
        <v>34800</v>
      </c>
      <c r="K5107" t="s">
        <v>40682</v>
      </c>
      <c r="M5107" t="s">
        <v>42736</v>
      </c>
      <c r="N5107" t="s">
        <v>44905</v>
      </c>
      <c r="O5107" t="s">
        <v>44906</v>
      </c>
      <c r="P5107">
        <v>0</v>
      </c>
      <c r="Q5107">
        <v>0</v>
      </c>
      <c r="R5107" t="s">
        <v>44909</v>
      </c>
      <c r="S5107" t="s">
        <v>45060</v>
      </c>
      <c r="T5107" t="s">
        <v>46396</v>
      </c>
      <c r="U5107" t="s">
        <v>51058</v>
      </c>
      <c r="V5107" t="s">
        <v>59546</v>
      </c>
      <c r="W5107" t="s">
        <v>42736</v>
      </c>
      <c r="X5107" t="s">
        <v>44911</v>
      </c>
    </row>
    <row r="5108" spans="1:24">
      <c r="A5108">
        <f>HYPERLINK("https://www.philgeps.gov.ph/GEPSNONPILOT/Tender/SplashBidNoticeAbstractUI.aspx?menuIndex=3&amp;refID=7074110&amp;Result=3","7074110")</f>
        <v>0</v>
      </c>
      <c r="B5108" t="s">
        <v>1671</v>
      </c>
      <c r="C5108" t="s">
        <v>8408</v>
      </c>
      <c r="D5108" t="s">
        <v>18119</v>
      </c>
      <c r="E5108" t="s">
        <v>22767</v>
      </c>
      <c r="F5108" t="s">
        <v>31362</v>
      </c>
      <c r="G5108" t="s">
        <v>31369</v>
      </c>
      <c r="H5108" t="s">
        <v>31378</v>
      </c>
      <c r="I5108" t="s">
        <v>31386</v>
      </c>
      <c r="J5108" t="s">
        <v>34801</v>
      </c>
      <c r="K5108" t="s">
        <v>40682</v>
      </c>
      <c r="M5108" t="s">
        <v>42736</v>
      </c>
      <c r="N5108" t="s">
        <v>44905</v>
      </c>
      <c r="O5108" t="s">
        <v>44906</v>
      </c>
      <c r="P5108">
        <v>0</v>
      </c>
      <c r="Q5108">
        <v>0</v>
      </c>
      <c r="R5108" t="s">
        <v>44909</v>
      </c>
      <c r="S5108" t="s">
        <v>45060</v>
      </c>
      <c r="T5108" t="s">
        <v>46396</v>
      </c>
      <c r="U5108" t="s">
        <v>51059</v>
      </c>
      <c r="V5108" t="s">
        <v>59545</v>
      </c>
      <c r="W5108" t="s">
        <v>42736</v>
      </c>
      <c r="X5108" t="s">
        <v>44911</v>
      </c>
    </row>
    <row r="5109" spans="1:24">
      <c r="A5109">
        <f>HYPERLINK("https://www.philgeps.gov.ph/GEPSNONPILOT/Tender/SplashBidNoticeAbstractUI.aspx?menuIndex=3&amp;refID=7071640&amp;Result=3","7071640")</f>
        <v>0</v>
      </c>
      <c r="B5109" t="s">
        <v>913</v>
      </c>
      <c r="C5109" t="s">
        <v>7801</v>
      </c>
      <c r="D5109" t="s">
        <v>18176</v>
      </c>
      <c r="E5109" t="s">
        <v>22768</v>
      </c>
      <c r="F5109" t="s">
        <v>31362</v>
      </c>
      <c r="G5109" t="s">
        <v>31369</v>
      </c>
      <c r="H5109" t="s">
        <v>15799</v>
      </c>
      <c r="I5109" t="s">
        <v>31404</v>
      </c>
      <c r="J5109" t="s">
        <v>34130</v>
      </c>
      <c r="K5109" t="s">
        <v>40670</v>
      </c>
      <c r="M5109" t="s">
        <v>41896</v>
      </c>
      <c r="N5109" t="s">
        <v>44905</v>
      </c>
      <c r="O5109" t="s">
        <v>44906</v>
      </c>
      <c r="P5109">
        <v>0</v>
      </c>
      <c r="Q5109">
        <v>0</v>
      </c>
      <c r="R5109" t="s">
        <v>44909</v>
      </c>
      <c r="S5109" t="s">
        <v>45060</v>
      </c>
      <c r="T5109" t="s">
        <v>46426</v>
      </c>
      <c r="U5109" t="s">
        <v>51060</v>
      </c>
      <c r="W5109" t="s">
        <v>41896</v>
      </c>
      <c r="X5109" t="s">
        <v>44914</v>
      </c>
    </row>
    <row r="5110" spans="1:24">
      <c r="A5110">
        <f>HYPERLINK("https://www.philgeps.gov.ph/GEPSNONPILOT/Tender/SplashBidNoticeAbstractUI.aspx?menuIndex=3&amp;refID=7074235&amp;Result=3","7074235")</f>
        <v>0</v>
      </c>
      <c r="B5110" t="s">
        <v>1643</v>
      </c>
      <c r="C5110" t="s">
        <v>8409</v>
      </c>
      <c r="D5110" t="s">
        <v>18108</v>
      </c>
      <c r="E5110" t="s">
        <v>19064</v>
      </c>
      <c r="F5110" t="s">
        <v>31362</v>
      </c>
      <c r="G5110" t="s">
        <v>31369</v>
      </c>
      <c r="H5110" t="s">
        <v>31379</v>
      </c>
      <c r="I5110" t="s">
        <v>7090</v>
      </c>
      <c r="J5110" t="s">
        <v>33307</v>
      </c>
      <c r="K5110" t="s">
        <v>40666</v>
      </c>
      <c r="M5110" t="s">
        <v>42707</v>
      </c>
      <c r="N5110" t="s">
        <v>44905</v>
      </c>
      <c r="O5110" t="s">
        <v>44906</v>
      </c>
      <c r="P5110">
        <v>0</v>
      </c>
      <c r="Q5110">
        <v>0</v>
      </c>
      <c r="R5110" t="s">
        <v>44909</v>
      </c>
      <c r="S5110" t="s">
        <v>45060</v>
      </c>
      <c r="T5110" t="s">
        <v>46486</v>
      </c>
      <c r="U5110" t="s">
        <v>51061</v>
      </c>
      <c r="W5110" t="s">
        <v>42707</v>
      </c>
      <c r="X5110" t="s">
        <v>44911</v>
      </c>
    </row>
    <row r="5111" spans="1:24">
      <c r="A5111">
        <f>HYPERLINK("https://www.philgeps.gov.ph/GEPSNONPILOT/Tender/SplashBidNoticeAbstractUI.aspx?menuIndex=3&amp;refID=7074020&amp;Result=3","7074020")</f>
        <v>0</v>
      </c>
      <c r="B5111" t="s">
        <v>1671</v>
      </c>
      <c r="C5111" t="s">
        <v>8410</v>
      </c>
      <c r="D5111" t="s">
        <v>18119</v>
      </c>
      <c r="E5111" t="s">
        <v>22769</v>
      </c>
      <c r="F5111" t="s">
        <v>31362</v>
      </c>
      <c r="G5111" t="s">
        <v>31369</v>
      </c>
      <c r="H5111" t="s">
        <v>31378</v>
      </c>
      <c r="I5111" t="s">
        <v>31386</v>
      </c>
      <c r="J5111" t="s">
        <v>34799</v>
      </c>
      <c r="K5111" t="s">
        <v>40682</v>
      </c>
      <c r="M5111" t="s">
        <v>42736</v>
      </c>
      <c r="N5111" t="s">
        <v>44905</v>
      </c>
      <c r="O5111" t="s">
        <v>44906</v>
      </c>
      <c r="P5111">
        <v>0</v>
      </c>
      <c r="Q5111">
        <v>0</v>
      </c>
      <c r="R5111" t="s">
        <v>44909</v>
      </c>
      <c r="S5111" t="s">
        <v>45060</v>
      </c>
      <c r="T5111" t="s">
        <v>46396</v>
      </c>
      <c r="U5111" t="s">
        <v>51062</v>
      </c>
      <c r="V5111" t="s">
        <v>59545</v>
      </c>
      <c r="W5111" t="s">
        <v>42736</v>
      </c>
      <c r="X5111" t="s">
        <v>44911</v>
      </c>
    </row>
    <row r="5112" spans="1:24">
      <c r="A5112">
        <f>HYPERLINK("https://www.philgeps.gov.ph/GEPSNONPILOT/Tender/SplashBidNoticeAbstractUI.aspx?menuIndex=3&amp;refID=7073960&amp;Result=3","7073960")</f>
        <v>0</v>
      </c>
      <c r="B5112" t="s">
        <v>1676</v>
      </c>
      <c r="C5112" t="s">
        <v>8411</v>
      </c>
      <c r="D5112" t="s">
        <v>18139</v>
      </c>
      <c r="E5112" t="s">
        <v>22770</v>
      </c>
      <c r="F5112" t="s">
        <v>31362</v>
      </c>
      <c r="G5112" t="s">
        <v>31369</v>
      </c>
      <c r="H5112" t="s">
        <v>15799</v>
      </c>
      <c r="I5112" t="s">
        <v>31436</v>
      </c>
      <c r="J5112" t="s">
        <v>34802</v>
      </c>
      <c r="K5112" t="s">
        <v>40769</v>
      </c>
      <c r="M5112" t="s">
        <v>42741</v>
      </c>
      <c r="N5112" t="s">
        <v>44905</v>
      </c>
      <c r="O5112" t="s">
        <v>44906</v>
      </c>
      <c r="P5112">
        <v>0</v>
      </c>
      <c r="Q5112">
        <v>4</v>
      </c>
      <c r="R5112" t="s">
        <v>44909</v>
      </c>
      <c r="S5112" t="s">
        <v>45060</v>
      </c>
      <c r="T5112" t="s">
        <v>46433</v>
      </c>
      <c r="U5112" t="s">
        <v>51063</v>
      </c>
      <c r="W5112" t="s">
        <v>60907</v>
      </c>
      <c r="X5112" t="s">
        <v>44911</v>
      </c>
    </row>
    <row r="5113" spans="1:24">
      <c r="A5113">
        <f>HYPERLINK("https://www.philgeps.gov.ph/GEPSNONPILOT/Tender/SplashBidNoticeAbstractUI.aspx?menuIndex=3&amp;refID=7073884&amp;Result=3","7073884")</f>
        <v>0</v>
      </c>
      <c r="B5113" t="s">
        <v>913</v>
      </c>
      <c r="C5113" t="s">
        <v>8412</v>
      </c>
      <c r="D5113" t="s">
        <v>18176</v>
      </c>
      <c r="E5113" t="s">
        <v>22771</v>
      </c>
      <c r="F5113" t="s">
        <v>31362</v>
      </c>
      <c r="G5113" t="s">
        <v>31369</v>
      </c>
      <c r="H5113" t="s">
        <v>15799</v>
      </c>
      <c r="I5113" t="s">
        <v>7188</v>
      </c>
      <c r="J5113" t="s">
        <v>34803</v>
      </c>
      <c r="K5113" t="s">
        <v>40670</v>
      </c>
      <c r="M5113" t="s">
        <v>41896</v>
      </c>
      <c r="N5113" t="s">
        <v>44905</v>
      </c>
      <c r="O5113" t="s">
        <v>44906</v>
      </c>
      <c r="P5113">
        <v>0</v>
      </c>
      <c r="Q5113">
        <v>1</v>
      </c>
      <c r="R5113" t="s">
        <v>44909</v>
      </c>
      <c r="S5113" t="s">
        <v>45060</v>
      </c>
      <c r="T5113" t="s">
        <v>46426</v>
      </c>
      <c r="U5113" t="s">
        <v>51064</v>
      </c>
      <c r="W5113" t="s">
        <v>41896</v>
      </c>
      <c r="X5113" t="s">
        <v>44911</v>
      </c>
    </row>
    <row r="5114" spans="1:24">
      <c r="A5114">
        <f>HYPERLINK("https://www.philgeps.gov.ph/GEPSNONPILOT/Tender/SplashBidNoticeAbstractUI.aspx?menuIndex=3&amp;refID=7071565&amp;Result=3","7071565")</f>
        <v>0</v>
      </c>
      <c r="B5114" t="s">
        <v>1655</v>
      </c>
      <c r="C5114" t="s">
        <v>8413</v>
      </c>
      <c r="D5114" t="s">
        <v>18136</v>
      </c>
      <c r="E5114" t="s">
        <v>22772</v>
      </c>
      <c r="F5114" t="s">
        <v>31362</v>
      </c>
      <c r="G5114" t="s">
        <v>31372</v>
      </c>
      <c r="H5114" t="s">
        <v>15799</v>
      </c>
      <c r="I5114" t="s">
        <v>31409</v>
      </c>
      <c r="J5114" t="s">
        <v>33060</v>
      </c>
      <c r="K5114" t="s">
        <v>40665</v>
      </c>
      <c r="M5114" t="s">
        <v>42720</v>
      </c>
      <c r="N5114" t="s">
        <v>44905</v>
      </c>
      <c r="O5114" t="s">
        <v>44906</v>
      </c>
      <c r="P5114">
        <v>0</v>
      </c>
      <c r="Q5114">
        <v>2</v>
      </c>
      <c r="R5114" t="s">
        <v>44909</v>
      </c>
      <c r="S5114" t="s">
        <v>45060</v>
      </c>
      <c r="T5114" t="s">
        <v>46692</v>
      </c>
      <c r="U5114" t="s">
        <v>51065</v>
      </c>
      <c r="W5114" t="s">
        <v>42720</v>
      </c>
      <c r="X5114" t="s">
        <v>44914</v>
      </c>
    </row>
    <row r="5115" spans="1:24">
      <c r="A5115">
        <f>HYPERLINK("https://www.philgeps.gov.ph/GEPSNONPILOT/Tender/SplashBidNoticeAbstractUI.aspx?menuIndex=3&amp;refID=7071557&amp;Result=3","7071557")</f>
        <v>0</v>
      </c>
      <c r="B5115" t="s">
        <v>913</v>
      </c>
      <c r="C5115" t="s">
        <v>8414</v>
      </c>
      <c r="D5115" t="s">
        <v>18176</v>
      </c>
      <c r="E5115" t="s">
        <v>22773</v>
      </c>
      <c r="F5115" t="s">
        <v>31362</v>
      </c>
      <c r="G5115" t="s">
        <v>31369</v>
      </c>
      <c r="H5115" t="s">
        <v>15799</v>
      </c>
      <c r="I5115" t="s">
        <v>31404</v>
      </c>
      <c r="J5115" t="s">
        <v>34804</v>
      </c>
      <c r="K5115" t="s">
        <v>40670</v>
      </c>
      <c r="M5115" t="s">
        <v>41896</v>
      </c>
      <c r="N5115" t="s">
        <v>44905</v>
      </c>
      <c r="O5115" t="s">
        <v>44906</v>
      </c>
      <c r="P5115">
        <v>0</v>
      </c>
      <c r="Q5115">
        <v>0</v>
      </c>
      <c r="R5115" t="s">
        <v>44909</v>
      </c>
      <c r="S5115" t="s">
        <v>45060</v>
      </c>
      <c r="T5115" t="s">
        <v>46426</v>
      </c>
      <c r="U5115" t="s">
        <v>51066</v>
      </c>
      <c r="W5115" t="s">
        <v>41896</v>
      </c>
      <c r="X5115" t="s">
        <v>44914</v>
      </c>
    </row>
    <row r="5116" spans="1:24">
      <c r="A5116">
        <f>HYPERLINK("https://www.philgeps.gov.ph/GEPSNONPILOT/Tender/SplashBidNoticeAbstractUI.aspx?menuIndex=3&amp;refID=7072965&amp;Result=3","7072965")</f>
        <v>0</v>
      </c>
      <c r="B5116" t="s">
        <v>1649</v>
      </c>
      <c r="C5116" t="s">
        <v>8415</v>
      </c>
      <c r="D5116" t="s">
        <v>18165</v>
      </c>
      <c r="E5116" t="s">
        <v>22774</v>
      </c>
      <c r="F5116" t="s">
        <v>31362</v>
      </c>
      <c r="G5116" t="s">
        <v>31369</v>
      </c>
      <c r="H5116" t="s">
        <v>15799</v>
      </c>
      <c r="I5116" t="s">
        <v>3815</v>
      </c>
      <c r="J5116" t="s">
        <v>34805</v>
      </c>
      <c r="K5116" t="s">
        <v>40665</v>
      </c>
      <c r="M5116" t="s">
        <v>42714</v>
      </c>
      <c r="N5116" t="s">
        <v>44905</v>
      </c>
      <c r="O5116" t="s">
        <v>44906</v>
      </c>
      <c r="P5116">
        <v>0</v>
      </c>
      <c r="Q5116">
        <v>0</v>
      </c>
      <c r="R5116" t="s">
        <v>44909</v>
      </c>
      <c r="S5116" t="s">
        <v>45060</v>
      </c>
      <c r="T5116" t="s">
        <v>46408</v>
      </c>
      <c r="U5116" t="s">
        <v>51067</v>
      </c>
      <c r="W5116" t="s">
        <v>42714</v>
      </c>
      <c r="X5116" t="s">
        <v>44912</v>
      </c>
    </row>
    <row r="5117" spans="1:24">
      <c r="A5117">
        <f>HYPERLINK("https://www.philgeps.gov.ph/GEPSNONPILOT/Tender/SplashBidNoticeAbstractUI.aspx?menuIndex=3&amp;refID=7074355&amp;Result=3","7074355")</f>
        <v>0</v>
      </c>
      <c r="B5117" t="s">
        <v>1671</v>
      </c>
      <c r="C5117" t="s">
        <v>8416</v>
      </c>
      <c r="D5117" t="s">
        <v>18119</v>
      </c>
      <c r="E5117" t="s">
        <v>22775</v>
      </c>
      <c r="F5117" t="s">
        <v>31362</v>
      </c>
      <c r="G5117" t="s">
        <v>31369</v>
      </c>
      <c r="H5117" t="s">
        <v>31378</v>
      </c>
      <c r="I5117" t="s">
        <v>31386</v>
      </c>
      <c r="J5117" t="s">
        <v>34792</v>
      </c>
      <c r="K5117" t="s">
        <v>40682</v>
      </c>
      <c r="M5117" t="s">
        <v>42736</v>
      </c>
      <c r="N5117" t="s">
        <v>44905</v>
      </c>
      <c r="O5117" t="s">
        <v>44906</v>
      </c>
      <c r="P5117">
        <v>0</v>
      </c>
      <c r="Q5117">
        <v>0</v>
      </c>
      <c r="R5117" t="s">
        <v>44909</v>
      </c>
      <c r="S5117" t="s">
        <v>45060</v>
      </c>
      <c r="T5117" t="s">
        <v>46396</v>
      </c>
      <c r="U5117" t="s">
        <v>51068</v>
      </c>
      <c r="V5117" t="s">
        <v>59544</v>
      </c>
      <c r="W5117" t="s">
        <v>42736</v>
      </c>
      <c r="X5117" t="s">
        <v>44911</v>
      </c>
    </row>
    <row r="5118" spans="1:24">
      <c r="A5118">
        <f>HYPERLINK("https://www.philgeps.gov.ph/GEPSNONPILOT/Tender/SplashBidNoticeAbstractUI.aspx?menuIndex=3&amp;refID=7074772&amp;Result=3","7074772")</f>
        <v>0</v>
      </c>
      <c r="B5118" t="s">
        <v>325</v>
      </c>
      <c r="C5118" t="s">
        <v>3795</v>
      </c>
      <c r="E5118" t="s">
        <v>22776</v>
      </c>
      <c r="F5118" t="s">
        <v>31362</v>
      </c>
      <c r="G5118" t="s">
        <v>31368</v>
      </c>
      <c r="H5118" t="s">
        <v>15799</v>
      </c>
      <c r="I5118" t="s">
        <v>31385</v>
      </c>
      <c r="J5118" t="s">
        <v>34806</v>
      </c>
      <c r="K5118" t="s">
        <v>40662</v>
      </c>
      <c r="M5118" t="s">
        <v>41271</v>
      </c>
      <c r="N5118" t="s">
        <v>44905</v>
      </c>
      <c r="O5118" t="s">
        <v>44906</v>
      </c>
      <c r="P5118">
        <v>0</v>
      </c>
      <c r="Q5118">
        <v>2</v>
      </c>
      <c r="R5118" t="s">
        <v>44909</v>
      </c>
      <c r="S5118" t="s">
        <v>45060</v>
      </c>
      <c r="T5118" t="s">
        <v>46394</v>
      </c>
      <c r="U5118" t="s">
        <v>51069</v>
      </c>
      <c r="W5118" t="s">
        <v>41271</v>
      </c>
      <c r="X5118" t="s">
        <v>44911</v>
      </c>
    </row>
    <row r="5119" spans="1:24">
      <c r="A5119">
        <f>HYPERLINK("https://www.philgeps.gov.ph/GEPSNONPILOT/Tender/SplashBidNoticeAbstractUI.aspx?menuIndex=3&amp;refID=7074833&amp;Result=3","7074833")</f>
        <v>0</v>
      </c>
      <c r="B5119" t="s">
        <v>1677</v>
      </c>
      <c r="C5119" t="s">
        <v>8417</v>
      </c>
      <c r="D5119" t="s">
        <v>18154</v>
      </c>
      <c r="E5119" t="s">
        <v>22777</v>
      </c>
      <c r="F5119" t="s">
        <v>31362</v>
      </c>
      <c r="G5119" t="s">
        <v>31369</v>
      </c>
      <c r="H5119" t="s">
        <v>31377</v>
      </c>
      <c r="I5119" t="s">
        <v>31412</v>
      </c>
      <c r="J5119" t="s">
        <v>34807</v>
      </c>
      <c r="K5119" t="s">
        <v>40665</v>
      </c>
      <c r="M5119" t="s">
        <v>42742</v>
      </c>
      <c r="N5119" t="s">
        <v>44905</v>
      </c>
      <c r="O5119" t="s">
        <v>44906</v>
      </c>
      <c r="P5119">
        <v>0</v>
      </c>
      <c r="Q5119">
        <v>6</v>
      </c>
      <c r="R5119" t="s">
        <v>44909</v>
      </c>
      <c r="S5119" t="s">
        <v>45060</v>
      </c>
      <c r="T5119" t="s">
        <v>46429</v>
      </c>
      <c r="U5119" t="s">
        <v>51070</v>
      </c>
      <c r="V5119" t="s">
        <v>59547</v>
      </c>
      <c r="W5119" t="s">
        <v>42742</v>
      </c>
      <c r="X5119" t="s">
        <v>44911</v>
      </c>
    </row>
    <row r="5120" spans="1:24">
      <c r="A5120">
        <f>HYPERLINK("https://www.philgeps.gov.ph/GEPSNONPILOT/Tender/SplashBidNoticeAbstractUI.aspx?menuIndex=3&amp;refID=7074819&amp;Result=3","7074819")</f>
        <v>0</v>
      </c>
      <c r="B5120" t="s">
        <v>1203</v>
      </c>
      <c r="C5120" t="s">
        <v>8418</v>
      </c>
      <c r="D5120" t="s">
        <v>18126</v>
      </c>
      <c r="E5120" t="s">
        <v>22778</v>
      </c>
      <c r="F5120" t="s">
        <v>31362</v>
      </c>
      <c r="G5120" t="s">
        <v>31368</v>
      </c>
      <c r="H5120" t="s">
        <v>31378</v>
      </c>
      <c r="I5120" t="s">
        <v>31386</v>
      </c>
      <c r="J5120" t="s">
        <v>34808</v>
      </c>
      <c r="K5120" t="s">
        <v>40772</v>
      </c>
      <c r="M5120" t="s">
        <v>42215</v>
      </c>
      <c r="N5120" t="s">
        <v>44905</v>
      </c>
      <c r="O5120" t="s">
        <v>44906</v>
      </c>
      <c r="P5120">
        <v>0</v>
      </c>
      <c r="Q5120">
        <v>0</v>
      </c>
      <c r="R5120" t="s">
        <v>44909</v>
      </c>
      <c r="S5120" t="s">
        <v>45060</v>
      </c>
      <c r="T5120" t="s">
        <v>46454</v>
      </c>
      <c r="U5120" t="s">
        <v>51071</v>
      </c>
      <c r="W5120" t="s">
        <v>42215</v>
      </c>
      <c r="X5120" t="s">
        <v>44911</v>
      </c>
    </row>
    <row r="5121" spans="1:24">
      <c r="A5121">
        <f>HYPERLINK("https://www.philgeps.gov.ph/GEPSNONPILOT/Tender/SplashBidNoticeAbstractUI.aspx?menuIndex=3&amp;refID=7074055&amp;Result=3","7074055")</f>
        <v>0</v>
      </c>
      <c r="B5121" t="s">
        <v>1678</v>
      </c>
      <c r="C5121" t="s">
        <v>8419</v>
      </c>
      <c r="D5121" t="s">
        <v>18109</v>
      </c>
      <c r="E5121" t="s">
        <v>19255</v>
      </c>
      <c r="F5121" t="s">
        <v>31362</v>
      </c>
      <c r="G5121" t="s">
        <v>31369</v>
      </c>
      <c r="H5121" t="s">
        <v>15799</v>
      </c>
      <c r="I5121" t="s">
        <v>31409</v>
      </c>
      <c r="J5121" t="s">
        <v>34809</v>
      </c>
      <c r="K5121" t="s">
        <v>40679</v>
      </c>
      <c r="M5121" t="s">
        <v>42743</v>
      </c>
      <c r="N5121" t="s">
        <v>44905</v>
      </c>
      <c r="O5121" t="s">
        <v>44906</v>
      </c>
      <c r="P5121">
        <v>0</v>
      </c>
      <c r="Q5121">
        <v>6</v>
      </c>
      <c r="R5121" t="s">
        <v>44909</v>
      </c>
      <c r="S5121" t="s">
        <v>45060</v>
      </c>
      <c r="T5121" t="s">
        <v>46524</v>
      </c>
      <c r="U5121" t="s">
        <v>51072</v>
      </c>
      <c r="W5121" t="s">
        <v>42743</v>
      </c>
      <c r="X5121" t="s">
        <v>44911</v>
      </c>
    </row>
    <row r="5122" spans="1:24">
      <c r="A5122">
        <f>HYPERLINK("https://www.philgeps.gov.ph/GEPSNONPILOT/Tender/SplashBidNoticeAbstractUI.aspx?menuIndex=3&amp;refID=7073900&amp;Result=3","7073900")</f>
        <v>0</v>
      </c>
      <c r="B5122" t="s">
        <v>1679</v>
      </c>
      <c r="C5122" t="s">
        <v>8420</v>
      </c>
      <c r="E5122" t="s">
        <v>22779</v>
      </c>
      <c r="F5122" t="s">
        <v>31362</v>
      </c>
      <c r="G5122" t="s">
        <v>31368</v>
      </c>
      <c r="H5122" t="s">
        <v>31378</v>
      </c>
      <c r="I5122" t="s">
        <v>31386</v>
      </c>
      <c r="J5122" t="s">
        <v>34810</v>
      </c>
      <c r="K5122" t="s">
        <v>40662</v>
      </c>
      <c r="M5122" t="s">
        <v>42744</v>
      </c>
      <c r="N5122" t="s">
        <v>44905</v>
      </c>
      <c r="O5122" t="s">
        <v>44906</v>
      </c>
      <c r="P5122">
        <v>0</v>
      </c>
      <c r="Q5122">
        <v>2</v>
      </c>
      <c r="R5122" t="s">
        <v>44909</v>
      </c>
      <c r="S5122" t="s">
        <v>45060</v>
      </c>
      <c r="T5122" t="s">
        <v>46391</v>
      </c>
      <c r="U5122" t="s">
        <v>51073</v>
      </c>
      <c r="W5122" t="s">
        <v>42744</v>
      </c>
      <c r="X5122" t="s">
        <v>44911</v>
      </c>
    </row>
    <row r="5123" spans="1:24">
      <c r="A5123">
        <f>HYPERLINK("https://www.philgeps.gov.ph/GEPSNONPILOT/Tender/SplashBidNoticeAbstractUI.aspx?menuIndex=3&amp;refID=7074810&amp;Result=3","7074810")</f>
        <v>0</v>
      </c>
      <c r="B5123" t="s">
        <v>1680</v>
      </c>
      <c r="C5123" t="s">
        <v>8421</v>
      </c>
      <c r="D5123" t="s">
        <v>18144</v>
      </c>
      <c r="E5123" t="s">
        <v>22780</v>
      </c>
      <c r="F5123" t="s">
        <v>31362</v>
      </c>
      <c r="G5123" t="s">
        <v>31370</v>
      </c>
      <c r="H5123" t="s">
        <v>15799</v>
      </c>
      <c r="I5123" t="s">
        <v>4283</v>
      </c>
      <c r="J5123" t="s">
        <v>34811</v>
      </c>
      <c r="K5123" t="s">
        <v>40662</v>
      </c>
      <c r="M5123" t="s">
        <v>42745</v>
      </c>
      <c r="N5123" t="s">
        <v>44905</v>
      </c>
      <c r="O5123" t="s">
        <v>44906</v>
      </c>
      <c r="P5123">
        <v>0</v>
      </c>
      <c r="Q5123">
        <v>1</v>
      </c>
      <c r="R5123" t="s">
        <v>44909</v>
      </c>
      <c r="S5123" t="s">
        <v>45060</v>
      </c>
      <c r="T5123" t="s">
        <v>46534</v>
      </c>
      <c r="U5123" t="s">
        <v>51074</v>
      </c>
      <c r="V5123" t="s">
        <v>59548</v>
      </c>
      <c r="W5123" t="s">
        <v>42745</v>
      </c>
      <c r="X5123" t="s">
        <v>44911</v>
      </c>
    </row>
    <row r="5124" spans="1:24">
      <c r="A5124">
        <f>HYPERLINK("https://www.philgeps.gov.ph/GEPSNONPILOT/Tender/SplashBidNoticeAbstractUI.aspx?menuIndex=3&amp;refID=7074777&amp;Result=3","7074777")</f>
        <v>0</v>
      </c>
      <c r="B5124" t="s">
        <v>1671</v>
      </c>
      <c r="C5124" t="s">
        <v>8422</v>
      </c>
      <c r="D5124" t="s">
        <v>18119</v>
      </c>
      <c r="E5124" t="s">
        <v>22781</v>
      </c>
      <c r="F5124" t="s">
        <v>31362</v>
      </c>
      <c r="G5124" t="s">
        <v>31369</v>
      </c>
      <c r="H5124" t="s">
        <v>31378</v>
      </c>
      <c r="I5124" t="s">
        <v>31386</v>
      </c>
      <c r="J5124" t="s">
        <v>34795</v>
      </c>
      <c r="K5124" t="s">
        <v>40682</v>
      </c>
      <c r="M5124" t="s">
        <v>42736</v>
      </c>
      <c r="N5124" t="s">
        <v>44905</v>
      </c>
      <c r="O5124" t="s">
        <v>44906</v>
      </c>
      <c r="P5124">
        <v>0</v>
      </c>
      <c r="Q5124">
        <v>0</v>
      </c>
      <c r="R5124" t="s">
        <v>44909</v>
      </c>
      <c r="S5124" t="s">
        <v>45060</v>
      </c>
      <c r="T5124" t="s">
        <v>46396</v>
      </c>
      <c r="U5124" t="s">
        <v>51051</v>
      </c>
      <c r="V5124" t="s">
        <v>59545</v>
      </c>
      <c r="W5124" t="s">
        <v>42736</v>
      </c>
      <c r="X5124" t="s">
        <v>44911</v>
      </c>
    </row>
    <row r="5125" spans="1:24">
      <c r="A5125">
        <f>HYPERLINK("https://www.philgeps.gov.ph/GEPSNONPILOT/Tender/SplashBidNoticeAbstractUI.aspx?menuIndex=3&amp;refID=7074730&amp;Result=3","7074730")</f>
        <v>0</v>
      </c>
      <c r="B5125" t="s">
        <v>410</v>
      </c>
      <c r="C5125" t="s">
        <v>8423</v>
      </c>
      <c r="D5125" t="s">
        <v>18179</v>
      </c>
      <c r="E5125" t="s">
        <v>22782</v>
      </c>
      <c r="F5125" t="s">
        <v>31362</v>
      </c>
      <c r="G5125" t="s">
        <v>31371</v>
      </c>
      <c r="H5125" t="s">
        <v>15799</v>
      </c>
      <c r="I5125" t="s">
        <v>6373</v>
      </c>
      <c r="J5125" t="s">
        <v>31535</v>
      </c>
      <c r="K5125" t="s">
        <v>40662</v>
      </c>
      <c r="M5125" t="s">
        <v>41360</v>
      </c>
      <c r="N5125" t="s">
        <v>44905</v>
      </c>
      <c r="O5125" t="s">
        <v>44906</v>
      </c>
      <c r="P5125">
        <v>0</v>
      </c>
      <c r="Q5125">
        <v>3</v>
      </c>
      <c r="R5125" t="s">
        <v>44909</v>
      </c>
      <c r="S5125" t="s">
        <v>45060</v>
      </c>
      <c r="T5125" t="s">
        <v>46409</v>
      </c>
      <c r="U5125" t="s">
        <v>47654</v>
      </c>
      <c r="W5125" t="s">
        <v>41360</v>
      </c>
      <c r="X5125" t="s">
        <v>44911</v>
      </c>
    </row>
    <row r="5126" spans="1:24">
      <c r="A5126">
        <f>HYPERLINK("https://www.philgeps.gov.ph/GEPSNONPILOT/Tender/SplashBidNoticeAbstractUI.aspx?menuIndex=3&amp;refID=7074813&amp;Result=3","7074813")</f>
        <v>0</v>
      </c>
      <c r="B5126" t="s">
        <v>1681</v>
      </c>
      <c r="C5126" t="s">
        <v>8424</v>
      </c>
      <c r="D5126" t="s">
        <v>18124</v>
      </c>
      <c r="E5126" t="s">
        <v>22783</v>
      </c>
      <c r="F5126" t="s">
        <v>31362</v>
      </c>
      <c r="G5126" t="s">
        <v>31368</v>
      </c>
      <c r="H5126" t="s">
        <v>15799</v>
      </c>
      <c r="I5126" t="s">
        <v>3815</v>
      </c>
      <c r="J5126" t="s">
        <v>31564</v>
      </c>
      <c r="K5126" t="s">
        <v>40662</v>
      </c>
      <c r="M5126" t="s">
        <v>42746</v>
      </c>
      <c r="N5126" t="s">
        <v>44905</v>
      </c>
      <c r="O5126" t="s">
        <v>44906</v>
      </c>
      <c r="P5126">
        <v>0</v>
      </c>
      <c r="Q5126">
        <v>0</v>
      </c>
      <c r="R5126" t="s">
        <v>44909</v>
      </c>
      <c r="S5126" t="s">
        <v>45060</v>
      </c>
      <c r="T5126" t="s">
        <v>46393</v>
      </c>
      <c r="U5126" t="s">
        <v>51075</v>
      </c>
      <c r="W5126" t="s">
        <v>42746</v>
      </c>
      <c r="X5126" t="s">
        <v>44911</v>
      </c>
    </row>
    <row r="5127" spans="1:24">
      <c r="A5127">
        <f>HYPERLINK("https://www.philgeps.gov.ph/GEPSNONPILOT/Tender/SplashBidNoticeAbstractUI.aspx?menuIndex=3&amp;refID=7074680&amp;Result=3","7074680")</f>
        <v>0</v>
      </c>
      <c r="B5127" t="s">
        <v>1671</v>
      </c>
      <c r="C5127" t="s">
        <v>8425</v>
      </c>
      <c r="D5127" t="s">
        <v>18119</v>
      </c>
      <c r="E5127" t="s">
        <v>22784</v>
      </c>
      <c r="F5127" t="s">
        <v>31362</v>
      </c>
      <c r="G5127" t="s">
        <v>31369</v>
      </c>
      <c r="H5127" t="s">
        <v>31378</v>
      </c>
      <c r="I5127" t="s">
        <v>31386</v>
      </c>
      <c r="J5127" t="s">
        <v>31606</v>
      </c>
      <c r="K5127" t="s">
        <v>40686</v>
      </c>
      <c r="M5127" t="s">
        <v>42736</v>
      </c>
      <c r="N5127" t="s">
        <v>44905</v>
      </c>
      <c r="O5127" t="s">
        <v>44906</v>
      </c>
      <c r="P5127">
        <v>0</v>
      </c>
      <c r="Q5127">
        <v>0</v>
      </c>
      <c r="R5127" t="s">
        <v>44909</v>
      </c>
      <c r="S5127" t="s">
        <v>45060</v>
      </c>
      <c r="T5127" t="s">
        <v>46396</v>
      </c>
      <c r="U5127" t="s">
        <v>51076</v>
      </c>
      <c r="V5127" t="s">
        <v>59546</v>
      </c>
      <c r="W5127" t="s">
        <v>42736</v>
      </c>
      <c r="X5127" t="s">
        <v>44911</v>
      </c>
    </row>
    <row r="5128" spans="1:24">
      <c r="A5128">
        <f>HYPERLINK("https://www.philgeps.gov.ph/GEPSNONPILOT/Tender/SplashBidNoticeAbstractUI.aspx?menuIndex=3&amp;refID=7074806&amp;Result=3","7074806")</f>
        <v>0</v>
      </c>
      <c r="B5128" t="s">
        <v>1203</v>
      </c>
      <c r="C5128" t="s">
        <v>8426</v>
      </c>
      <c r="D5128" t="s">
        <v>18126</v>
      </c>
      <c r="E5128" t="s">
        <v>22785</v>
      </c>
      <c r="F5128" t="s">
        <v>31362</v>
      </c>
      <c r="G5128" t="s">
        <v>31368</v>
      </c>
      <c r="H5128" t="s">
        <v>31378</v>
      </c>
      <c r="I5128" t="s">
        <v>31386</v>
      </c>
      <c r="J5128" t="s">
        <v>34812</v>
      </c>
      <c r="K5128" t="s">
        <v>40681</v>
      </c>
      <c r="M5128" t="s">
        <v>42215</v>
      </c>
      <c r="N5128" t="s">
        <v>44905</v>
      </c>
      <c r="O5128" t="s">
        <v>44906</v>
      </c>
      <c r="P5128">
        <v>0</v>
      </c>
      <c r="Q5128">
        <v>0</v>
      </c>
      <c r="R5128" t="s">
        <v>44909</v>
      </c>
      <c r="S5128" t="s">
        <v>45060</v>
      </c>
      <c r="T5128" t="s">
        <v>46454</v>
      </c>
      <c r="U5128" t="s">
        <v>51071</v>
      </c>
      <c r="W5128" t="s">
        <v>42215</v>
      </c>
      <c r="X5128" t="s">
        <v>44911</v>
      </c>
    </row>
    <row r="5129" spans="1:24">
      <c r="A5129">
        <f>HYPERLINK("https://www.philgeps.gov.ph/GEPSNONPILOT/Tender/SplashBidNoticeAbstractUI.aspx?menuIndex=3&amp;refID=7074670&amp;Result=3","7074670")</f>
        <v>0</v>
      </c>
      <c r="B5129" t="s">
        <v>913</v>
      </c>
      <c r="C5129" t="s">
        <v>8427</v>
      </c>
      <c r="D5129" t="s">
        <v>18176</v>
      </c>
      <c r="E5129" t="s">
        <v>22786</v>
      </c>
      <c r="F5129" t="s">
        <v>31362</v>
      </c>
      <c r="G5129" t="s">
        <v>31369</v>
      </c>
      <c r="H5129" t="s">
        <v>15799</v>
      </c>
      <c r="I5129" t="s">
        <v>31430</v>
      </c>
      <c r="J5129" t="s">
        <v>34813</v>
      </c>
      <c r="K5129" t="s">
        <v>40670</v>
      </c>
      <c r="M5129" t="s">
        <v>41896</v>
      </c>
      <c r="N5129" t="s">
        <v>44905</v>
      </c>
      <c r="O5129" t="s">
        <v>44906</v>
      </c>
      <c r="P5129">
        <v>0</v>
      </c>
      <c r="Q5129">
        <v>1</v>
      </c>
      <c r="R5129" t="s">
        <v>44909</v>
      </c>
      <c r="S5129" t="s">
        <v>45060</v>
      </c>
      <c r="T5129" t="s">
        <v>46426</v>
      </c>
      <c r="U5129" t="s">
        <v>51077</v>
      </c>
      <c r="W5129" t="s">
        <v>41896</v>
      </c>
      <c r="X5129" t="s">
        <v>44911</v>
      </c>
    </row>
    <row r="5130" spans="1:24">
      <c r="A5130">
        <f>HYPERLINK("https://www.philgeps.gov.ph/GEPSNONPILOT/Tender/SplashBidNoticeAbstractUI.aspx?menuIndex=3&amp;refID=7074617&amp;Result=3","7074617")</f>
        <v>0</v>
      </c>
      <c r="B5130" t="s">
        <v>1671</v>
      </c>
      <c r="C5130" t="s">
        <v>8428</v>
      </c>
      <c r="D5130" t="s">
        <v>18119</v>
      </c>
      <c r="E5130" t="s">
        <v>22787</v>
      </c>
      <c r="F5130" t="s">
        <v>31362</v>
      </c>
      <c r="G5130" t="s">
        <v>31369</v>
      </c>
      <c r="H5130" t="s">
        <v>31378</v>
      </c>
      <c r="I5130" t="s">
        <v>31386</v>
      </c>
      <c r="J5130" t="s">
        <v>34814</v>
      </c>
      <c r="K5130" t="s">
        <v>40682</v>
      </c>
      <c r="M5130" t="s">
        <v>42736</v>
      </c>
      <c r="N5130" t="s">
        <v>44905</v>
      </c>
      <c r="O5130" t="s">
        <v>44906</v>
      </c>
      <c r="P5130">
        <v>0</v>
      </c>
      <c r="Q5130">
        <v>0</v>
      </c>
      <c r="R5130" t="s">
        <v>44909</v>
      </c>
      <c r="S5130" t="s">
        <v>45060</v>
      </c>
      <c r="T5130" t="s">
        <v>46396</v>
      </c>
      <c r="U5130" t="s">
        <v>51078</v>
      </c>
      <c r="V5130" t="s">
        <v>59544</v>
      </c>
      <c r="W5130" t="s">
        <v>42736</v>
      </c>
      <c r="X5130" t="s">
        <v>44911</v>
      </c>
    </row>
    <row r="5131" spans="1:24">
      <c r="A5131">
        <f>HYPERLINK("https://www.philgeps.gov.ph/GEPSNONPILOT/Tender/SplashBidNoticeAbstractUI.aspx?menuIndex=3&amp;refID=7074748&amp;Result=3","7074748")</f>
        <v>0</v>
      </c>
      <c r="B5131" t="s">
        <v>1682</v>
      </c>
      <c r="C5131" t="s">
        <v>8429</v>
      </c>
      <c r="D5131" t="s">
        <v>18152</v>
      </c>
      <c r="E5131" t="s">
        <v>18548</v>
      </c>
      <c r="F5131" t="s">
        <v>31362</v>
      </c>
      <c r="G5131" t="s">
        <v>31369</v>
      </c>
      <c r="H5131" t="s">
        <v>15799</v>
      </c>
      <c r="I5131" t="s">
        <v>31392</v>
      </c>
      <c r="J5131" t="s">
        <v>34815</v>
      </c>
      <c r="K5131" t="s">
        <v>40665</v>
      </c>
      <c r="M5131" t="s">
        <v>42747</v>
      </c>
      <c r="N5131" t="s">
        <v>44905</v>
      </c>
      <c r="O5131" t="s">
        <v>44906</v>
      </c>
      <c r="P5131">
        <v>0</v>
      </c>
      <c r="Q5131">
        <v>0</v>
      </c>
      <c r="R5131" t="s">
        <v>44909</v>
      </c>
      <c r="S5131" t="s">
        <v>45060</v>
      </c>
      <c r="T5131" t="s">
        <v>46433</v>
      </c>
      <c r="U5131" t="s">
        <v>51079</v>
      </c>
      <c r="V5131" t="s">
        <v>59549</v>
      </c>
      <c r="W5131" t="s">
        <v>42747</v>
      </c>
      <c r="X5131" t="s">
        <v>44911</v>
      </c>
    </row>
    <row r="5132" spans="1:24">
      <c r="A5132">
        <f>HYPERLINK("https://www.philgeps.gov.ph/GEPSNONPILOT/Tender/SplashBidNoticeAbstractUI.aspx?menuIndex=3&amp;refID=7074681&amp;Result=3","7074681")</f>
        <v>0</v>
      </c>
      <c r="B5132" t="s">
        <v>1683</v>
      </c>
      <c r="C5132" t="s">
        <v>8430</v>
      </c>
      <c r="D5132" t="s">
        <v>18169</v>
      </c>
      <c r="E5132" t="s">
        <v>22788</v>
      </c>
      <c r="F5132" t="s">
        <v>31362</v>
      </c>
      <c r="G5132" t="s">
        <v>31369</v>
      </c>
      <c r="H5132" t="s">
        <v>15799</v>
      </c>
      <c r="I5132" t="s">
        <v>7719</v>
      </c>
      <c r="J5132" t="s">
        <v>34816</v>
      </c>
      <c r="K5132" t="s">
        <v>40666</v>
      </c>
      <c r="M5132" t="s">
        <v>42748</v>
      </c>
      <c r="N5132" t="s">
        <v>44905</v>
      </c>
      <c r="O5132" t="s">
        <v>44906</v>
      </c>
      <c r="P5132">
        <v>0</v>
      </c>
      <c r="Q5132">
        <v>13</v>
      </c>
      <c r="R5132" t="s">
        <v>44909</v>
      </c>
      <c r="S5132" t="s">
        <v>45060</v>
      </c>
      <c r="T5132" t="s">
        <v>46697</v>
      </c>
      <c r="U5132" t="s">
        <v>51080</v>
      </c>
      <c r="W5132" t="s">
        <v>42748</v>
      </c>
      <c r="X5132" t="s">
        <v>44911</v>
      </c>
    </row>
    <row r="5133" spans="1:24">
      <c r="A5133">
        <f>HYPERLINK("https://www.philgeps.gov.ph/GEPSNONPILOT/Tender/SplashBidNoticeAbstractUI.aspx?menuIndex=3&amp;refID=7073997&amp;Result=3","7073997")</f>
        <v>0</v>
      </c>
      <c r="B5133" t="s">
        <v>913</v>
      </c>
      <c r="C5133" t="s">
        <v>6072</v>
      </c>
      <c r="D5133" t="s">
        <v>18176</v>
      </c>
      <c r="E5133" t="s">
        <v>22789</v>
      </c>
      <c r="F5133" t="s">
        <v>31362</v>
      </c>
      <c r="G5133" t="s">
        <v>31369</v>
      </c>
      <c r="H5133" t="s">
        <v>15799</v>
      </c>
      <c r="I5133" t="s">
        <v>4283</v>
      </c>
      <c r="J5133" t="s">
        <v>34817</v>
      </c>
      <c r="K5133" t="s">
        <v>40670</v>
      </c>
      <c r="M5133" t="s">
        <v>41896</v>
      </c>
      <c r="N5133" t="s">
        <v>44905</v>
      </c>
      <c r="O5133" t="s">
        <v>44906</v>
      </c>
      <c r="P5133">
        <v>0</v>
      </c>
      <c r="Q5133">
        <v>3</v>
      </c>
      <c r="R5133" t="s">
        <v>44909</v>
      </c>
      <c r="S5133" t="s">
        <v>45060</v>
      </c>
      <c r="T5133" t="s">
        <v>46426</v>
      </c>
      <c r="U5133" t="s">
        <v>51081</v>
      </c>
      <c r="W5133" t="s">
        <v>41896</v>
      </c>
      <c r="X5133" t="s">
        <v>44911</v>
      </c>
    </row>
    <row r="5134" spans="1:24">
      <c r="A5134">
        <f>HYPERLINK("https://www.philgeps.gov.ph/GEPSNONPILOT/Tender/SplashBidNoticeAbstractUI.aspx?menuIndex=3&amp;refID=7075667&amp;Result=3","7075667")</f>
        <v>0</v>
      </c>
      <c r="B5134" t="s">
        <v>1684</v>
      </c>
      <c r="C5134" t="s">
        <v>8431</v>
      </c>
      <c r="D5134" t="s">
        <v>18175</v>
      </c>
      <c r="E5134" t="s">
        <v>22790</v>
      </c>
      <c r="F5134" t="s">
        <v>31362</v>
      </c>
      <c r="G5134" t="s">
        <v>31369</v>
      </c>
      <c r="H5134" t="s">
        <v>15799</v>
      </c>
      <c r="I5134" t="s">
        <v>31409</v>
      </c>
      <c r="J5134" t="s">
        <v>31607</v>
      </c>
      <c r="K5134" t="s">
        <v>40665</v>
      </c>
      <c r="M5134" t="s">
        <v>42749</v>
      </c>
      <c r="N5134" t="s">
        <v>44905</v>
      </c>
      <c r="O5134" t="s">
        <v>44906</v>
      </c>
      <c r="P5134">
        <v>0</v>
      </c>
      <c r="Q5134">
        <v>6</v>
      </c>
      <c r="R5134" t="s">
        <v>44909</v>
      </c>
      <c r="S5134" t="s">
        <v>45060</v>
      </c>
      <c r="T5134" t="s">
        <v>46419</v>
      </c>
      <c r="U5134" t="s">
        <v>51082</v>
      </c>
      <c r="W5134" t="s">
        <v>42749</v>
      </c>
      <c r="X5134" t="s">
        <v>44911</v>
      </c>
    </row>
    <row r="5135" spans="1:24">
      <c r="A5135">
        <f>HYPERLINK("https://www.philgeps.gov.ph/GEPSNONPILOT/Tender/SplashBidNoticeAbstractUI.aspx?menuIndex=3&amp;refID=7074637&amp;Result=3","7074637")</f>
        <v>0</v>
      </c>
      <c r="B5135" t="s">
        <v>1681</v>
      </c>
      <c r="C5135" t="s">
        <v>8432</v>
      </c>
      <c r="D5135" t="s">
        <v>18124</v>
      </c>
      <c r="E5135" t="s">
        <v>22791</v>
      </c>
      <c r="F5135" t="s">
        <v>31362</v>
      </c>
      <c r="G5135" t="s">
        <v>31368</v>
      </c>
      <c r="H5135" t="s">
        <v>15799</v>
      </c>
      <c r="I5135" t="s">
        <v>31386</v>
      </c>
      <c r="J5135" t="s">
        <v>34818</v>
      </c>
      <c r="K5135" t="s">
        <v>40662</v>
      </c>
      <c r="M5135" t="s">
        <v>42746</v>
      </c>
      <c r="N5135" t="s">
        <v>44905</v>
      </c>
      <c r="O5135" t="s">
        <v>44906</v>
      </c>
      <c r="P5135">
        <v>0</v>
      </c>
      <c r="Q5135">
        <v>0</v>
      </c>
      <c r="R5135" t="s">
        <v>44909</v>
      </c>
      <c r="S5135" t="s">
        <v>45060</v>
      </c>
      <c r="T5135" t="s">
        <v>46393</v>
      </c>
      <c r="U5135" t="s">
        <v>51083</v>
      </c>
      <c r="W5135" t="s">
        <v>42746</v>
      </c>
      <c r="X5135" t="s">
        <v>44911</v>
      </c>
    </row>
    <row r="5136" spans="1:24">
      <c r="A5136">
        <f>HYPERLINK("https://www.philgeps.gov.ph/GEPSNONPILOT/Tender/SplashBidNoticeAbstractUI.aspx?menuIndex=3&amp;refID=7074178&amp;Result=3","7074178")</f>
        <v>0</v>
      </c>
      <c r="B5136" t="s">
        <v>1671</v>
      </c>
      <c r="C5136" t="s">
        <v>8433</v>
      </c>
      <c r="D5136" t="s">
        <v>18119</v>
      </c>
      <c r="E5136" t="s">
        <v>22792</v>
      </c>
      <c r="F5136" t="s">
        <v>31362</v>
      </c>
      <c r="G5136" t="s">
        <v>31369</v>
      </c>
      <c r="H5136" t="s">
        <v>31378</v>
      </c>
      <c r="I5136" t="s">
        <v>31386</v>
      </c>
      <c r="J5136" t="s">
        <v>34791</v>
      </c>
      <c r="K5136" t="s">
        <v>40686</v>
      </c>
      <c r="M5136" t="s">
        <v>42736</v>
      </c>
      <c r="N5136" t="s">
        <v>44905</v>
      </c>
      <c r="O5136" t="s">
        <v>44906</v>
      </c>
      <c r="P5136">
        <v>0</v>
      </c>
      <c r="Q5136">
        <v>0</v>
      </c>
      <c r="R5136" t="s">
        <v>44909</v>
      </c>
      <c r="S5136" t="s">
        <v>45060</v>
      </c>
      <c r="T5136" t="s">
        <v>46396</v>
      </c>
      <c r="U5136" t="s">
        <v>51084</v>
      </c>
      <c r="V5136" t="s">
        <v>59544</v>
      </c>
      <c r="W5136" t="s">
        <v>42736</v>
      </c>
      <c r="X5136" t="s">
        <v>44911</v>
      </c>
    </row>
    <row r="5137" spans="1:24">
      <c r="A5137">
        <f>HYPERLINK("https://www.philgeps.gov.ph/GEPSNONPILOT/Tender/SplashBidNoticeAbstractUI.aspx?menuIndex=3&amp;refID=7074611&amp;Result=3","7074611")</f>
        <v>0</v>
      </c>
      <c r="B5137" t="s">
        <v>1685</v>
      </c>
      <c r="C5137" t="s">
        <v>8434</v>
      </c>
      <c r="D5137" t="s">
        <v>18108</v>
      </c>
      <c r="E5137" t="s">
        <v>22793</v>
      </c>
      <c r="F5137" t="s">
        <v>31362</v>
      </c>
      <c r="G5137" t="s">
        <v>31369</v>
      </c>
      <c r="H5137" t="s">
        <v>15799</v>
      </c>
      <c r="I5137" t="s">
        <v>31498</v>
      </c>
      <c r="J5137" t="s">
        <v>34819</v>
      </c>
      <c r="K5137" t="s">
        <v>40665</v>
      </c>
      <c r="M5137" t="s">
        <v>42750</v>
      </c>
      <c r="N5137" t="s">
        <v>44905</v>
      </c>
      <c r="O5137" t="s">
        <v>44906</v>
      </c>
      <c r="P5137">
        <v>0</v>
      </c>
      <c r="Q5137">
        <v>0</v>
      </c>
      <c r="R5137" t="s">
        <v>44909</v>
      </c>
      <c r="S5137" t="s">
        <v>45060</v>
      </c>
      <c r="T5137" t="s">
        <v>46427</v>
      </c>
      <c r="U5137" t="s">
        <v>51085</v>
      </c>
      <c r="W5137" t="s">
        <v>42750</v>
      </c>
      <c r="X5137" t="s">
        <v>44911</v>
      </c>
    </row>
    <row r="5138" spans="1:24">
      <c r="A5138">
        <f>HYPERLINK("https://www.philgeps.gov.ph/GEPSNONPILOT/Tender/SplashBidNoticeAbstractUI.aspx?menuIndex=3&amp;refID=7075583&amp;Result=3","7075583")</f>
        <v>0</v>
      </c>
      <c r="B5138" t="s">
        <v>761</v>
      </c>
      <c r="C5138" t="s">
        <v>8435</v>
      </c>
      <c r="D5138" t="s">
        <v>18135</v>
      </c>
      <c r="E5138" t="s">
        <v>22794</v>
      </c>
      <c r="F5138" t="s">
        <v>31362</v>
      </c>
      <c r="G5138" t="s">
        <v>31369</v>
      </c>
      <c r="H5138" t="s">
        <v>15799</v>
      </c>
      <c r="I5138" t="s">
        <v>31386</v>
      </c>
      <c r="J5138" t="s">
        <v>33124</v>
      </c>
      <c r="K5138" t="s">
        <v>40735</v>
      </c>
      <c r="M5138" t="s">
        <v>41729</v>
      </c>
      <c r="N5138" t="s">
        <v>44905</v>
      </c>
      <c r="O5138" t="s">
        <v>44906</v>
      </c>
      <c r="P5138">
        <v>0</v>
      </c>
      <c r="Q5138">
        <v>4</v>
      </c>
      <c r="R5138" t="s">
        <v>44909</v>
      </c>
      <c r="S5138" t="s">
        <v>45060</v>
      </c>
      <c r="T5138" t="s">
        <v>46616</v>
      </c>
      <c r="U5138" t="s">
        <v>51086</v>
      </c>
      <c r="W5138" t="s">
        <v>41729</v>
      </c>
      <c r="X5138" t="s">
        <v>44911</v>
      </c>
    </row>
    <row r="5139" spans="1:24">
      <c r="A5139">
        <f>HYPERLINK("https://www.philgeps.gov.ph/GEPSNONPILOT/Tender/SplashBidNoticeAbstractUI.aspx?menuIndex=3&amp;refID=7075793&amp;Result=3","7075793")</f>
        <v>0</v>
      </c>
      <c r="B5139" t="s">
        <v>1686</v>
      </c>
      <c r="C5139" t="s">
        <v>8436</v>
      </c>
      <c r="D5139" t="s">
        <v>18122</v>
      </c>
      <c r="E5139" t="s">
        <v>22795</v>
      </c>
      <c r="F5139" t="s">
        <v>31362</v>
      </c>
      <c r="G5139" t="s">
        <v>31369</v>
      </c>
      <c r="H5139" t="s">
        <v>15799</v>
      </c>
      <c r="I5139" t="s">
        <v>3815</v>
      </c>
      <c r="J5139" t="s">
        <v>34820</v>
      </c>
      <c r="K5139" t="s">
        <v>40665</v>
      </c>
      <c r="M5139" t="s">
        <v>42751</v>
      </c>
      <c r="N5139" t="s">
        <v>44905</v>
      </c>
      <c r="O5139" t="s">
        <v>44906</v>
      </c>
      <c r="P5139">
        <v>0</v>
      </c>
      <c r="Q5139">
        <v>0</v>
      </c>
      <c r="R5139" t="s">
        <v>44909</v>
      </c>
      <c r="S5139" t="s">
        <v>45060</v>
      </c>
      <c r="T5139" t="s">
        <v>46698</v>
      </c>
      <c r="U5139" t="s">
        <v>51087</v>
      </c>
      <c r="W5139" t="s">
        <v>42751</v>
      </c>
      <c r="X5139" t="s">
        <v>44911</v>
      </c>
    </row>
    <row r="5140" spans="1:24">
      <c r="A5140">
        <f>HYPERLINK("https://www.philgeps.gov.ph/GEPSNONPILOT/Tender/SplashBidNoticeAbstractUI.aspx?menuIndex=3&amp;refID=7075397&amp;Result=3","7075397")</f>
        <v>0</v>
      </c>
      <c r="B5140" t="s">
        <v>1687</v>
      </c>
      <c r="C5140" t="s">
        <v>8437</v>
      </c>
      <c r="D5140" t="s">
        <v>18123</v>
      </c>
      <c r="E5140" t="s">
        <v>22796</v>
      </c>
      <c r="F5140" t="s">
        <v>31362</v>
      </c>
      <c r="G5140" t="s">
        <v>31368</v>
      </c>
      <c r="H5140" t="s">
        <v>15799</v>
      </c>
      <c r="I5140" t="s">
        <v>31404</v>
      </c>
      <c r="J5140" t="s">
        <v>34821</v>
      </c>
      <c r="K5140" t="s">
        <v>40679</v>
      </c>
      <c r="M5140" t="s">
        <v>42752</v>
      </c>
      <c r="N5140" t="s">
        <v>44905</v>
      </c>
      <c r="O5140" t="s">
        <v>44906</v>
      </c>
      <c r="P5140">
        <v>0</v>
      </c>
      <c r="Q5140">
        <v>0</v>
      </c>
      <c r="R5140" t="s">
        <v>44909</v>
      </c>
      <c r="S5140" t="s">
        <v>45060</v>
      </c>
      <c r="T5140" t="s">
        <v>46406</v>
      </c>
      <c r="U5140" t="s">
        <v>51088</v>
      </c>
      <c r="V5140" t="s">
        <v>59550</v>
      </c>
      <c r="W5140" t="s">
        <v>42752</v>
      </c>
      <c r="X5140" t="s">
        <v>44911</v>
      </c>
    </row>
    <row r="5141" spans="1:24">
      <c r="A5141">
        <f>HYPERLINK("https://www.philgeps.gov.ph/GEPSNONPILOT/Tender/SplashBidNoticeAbstractUI.aspx?menuIndex=3&amp;refID=7075390&amp;Result=3","7075390")</f>
        <v>0</v>
      </c>
      <c r="B5141" t="s">
        <v>1480</v>
      </c>
      <c r="C5141" t="s">
        <v>8438</v>
      </c>
      <c r="D5141" t="s">
        <v>18149</v>
      </c>
      <c r="E5141" t="s">
        <v>22797</v>
      </c>
      <c r="F5141" t="s">
        <v>31362</v>
      </c>
      <c r="G5141" t="s">
        <v>31368</v>
      </c>
      <c r="H5141" t="s">
        <v>15799</v>
      </c>
      <c r="I5141" t="s">
        <v>31426</v>
      </c>
      <c r="J5141" t="s">
        <v>33551</v>
      </c>
      <c r="K5141" t="s">
        <v>40665</v>
      </c>
      <c r="M5141" t="s">
        <v>42516</v>
      </c>
      <c r="N5141" t="s">
        <v>44905</v>
      </c>
      <c r="O5141" t="s">
        <v>44906</v>
      </c>
      <c r="P5141">
        <v>0</v>
      </c>
      <c r="Q5141">
        <v>6</v>
      </c>
      <c r="R5141" t="s">
        <v>44909</v>
      </c>
      <c r="S5141" t="s">
        <v>45060</v>
      </c>
      <c r="T5141" t="s">
        <v>46497</v>
      </c>
      <c r="U5141" t="s">
        <v>51089</v>
      </c>
      <c r="W5141" t="s">
        <v>42516</v>
      </c>
      <c r="X5141" t="s">
        <v>44911</v>
      </c>
    </row>
    <row r="5142" spans="1:24">
      <c r="A5142">
        <f>HYPERLINK("https://www.philgeps.gov.ph/GEPSNONPILOT/Tender/SplashBidNoticeAbstractUI.aspx?menuIndex=3&amp;refID=7075345&amp;Result=3","7075345")</f>
        <v>0</v>
      </c>
      <c r="B5142" t="s">
        <v>1687</v>
      </c>
      <c r="C5142" t="s">
        <v>8439</v>
      </c>
      <c r="D5142" t="s">
        <v>18123</v>
      </c>
      <c r="E5142" t="s">
        <v>22798</v>
      </c>
      <c r="F5142" t="s">
        <v>31362</v>
      </c>
      <c r="G5142" t="s">
        <v>31368</v>
      </c>
      <c r="H5142" t="s">
        <v>15799</v>
      </c>
      <c r="I5142" t="s">
        <v>3815</v>
      </c>
      <c r="J5142" t="s">
        <v>34822</v>
      </c>
      <c r="K5142" t="s">
        <v>40666</v>
      </c>
      <c r="M5142" t="s">
        <v>42752</v>
      </c>
      <c r="N5142" t="s">
        <v>44905</v>
      </c>
      <c r="O5142" t="s">
        <v>44906</v>
      </c>
      <c r="P5142">
        <v>0</v>
      </c>
      <c r="Q5142">
        <v>0</v>
      </c>
      <c r="R5142" t="s">
        <v>44909</v>
      </c>
      <c r="S5142" t="s">
        <v>45060</v>
      </c>
      <c r="T5142" t="s">
        <v>46435</v>
      </c>
      <c r="U5142" t="s">
        <v>51090</v>
      </c>
      <c r="V5142" t="s">
        <v>59550</v>
      </c>
      <c r="W5142" t="s">
        <v>42752</v>
      </c>
      <c r="X5142" t="s">
        <v>44911</v>
      </c>
    </row>
    <row r="5143" spans="1:24">
      <c r="A5143">
        <f>HYPERLINK("https://www.philgeps.gov.ph/GEPSNONPILOT/Tender/SplashBidNoticeAbstractUI.aspx?menuIndex=3&amp;refID=7075489&amp;Result=3","7075489")</f>
        <v>0</v>
      </c>
      <c r="B5143" t="s">
        <v>71</v>
      </c>
      <c r="C5143" t="s">
        <v>8440</v>
      </c>
      <c r="D5143" t="s">
        <v>18129</v>
      </c>
      <c r="E5143" t="s">
        <v>22799</v>
      </c>
      <c r="F5143" t="s">
        <v>31362</v>
      </c>
      <c r="G5143" t="s">
        <v>31368</v>
      </c>
      <c r="H5143" t="s">
        <v>15799</v>
      </c>
      <c r="I5143" t="s">
        <v>7090</v>
      </c>
      <c r="J5143" t="s">
        <v>31648</v>
      </c>
      <c r="K5143" t="s">
        <v>40666</v>
      </c>
      <c r="L5143" t="s">
        <v>71</v>
      </c>
      <c r="M5143" t="s">
        <v>41007</v>
      </c>
      <c r="N5143" t="s">
        <v>44905</v>
      </c>
      <c r="O5143" t="s">
        <v>44906</v>
      </c>
      <c r="P5143">
        <v>0</v>
      </c>
      <c r="Q5143">
        <v>0</v>
      </c>
      <c r="R5143" t="s">
        <v>44909</v>
      </c>
      <c r="S5143" t="s">
        <v>45060</v>
      </c>
      <c r="T5143" t="s">
        <v>46414</v>
      </c>
      <c r="U5143" t="s">
        <v>51091</v>
      </c>
      <c r="W5143" t="s">
        <v>41007</v>
      </c>
      <c r="X5143" t="s">
        <v>44911</v>
      </c>
    </row>
    <row r="5144" spans="1:24">
      <c r="A5144">
        <f>HYPERLINK("https://www.philgeps.gov.ph/GEPSNONPILOT/Tender/SplashBidNoticeAbstractUI.aspx?menuIndex=3&amp;refID=7075312&amp;Result=3","7075312")</f>
        <v>0</v>
      </c>
      <c r="B5144" t="s">
        <v>1687</v>
      </c>
      <c r="C5144" t="s">
        <v>8441</v>
      </c>
      <c r="D5144" t="s">
        <v>18123</v>
      </c>
      <c r="E5144" t="s">
        <v>22800</v>
      </c>
      <c r="F5144" t="s">
        <v>31362</v>
      </c>
      <c r="G5144" t="s">
        <v>31368</v>
      </c>
      <c r="H5144" t="s">
        <v>15799</v>
      </c>
      <c r="I5144" t="s">
        <v>3815</v>
      </c>
      <c r="J5144" t="s">
        <v>34823</v>
      </c>
      <c r="K5144" t="s">
        <v>40666</v>
      </c>
      <c r="M5144" t="s">
        <v>42752</v>
      </c>
      <c r="N5144" t="s">
        <v>44905</v>
      </c>
      <c r="O5144" t="s">
        <v>44906</v>
      </c>
      <c r="P5144">
        <v>0</v>
      </c>
      <c r="Q5144">
        <v>0</v>
      </c>
      <c r="R5144" t="s">
        <v>44909</v>
      </c>
      <c r="S5144" t="s">
        <v>45060</v>
      </c>
      <c r="T5144" t="s">
        <v>46406</v>
      </c>
      <c r="U5144" t="s">
        <v>51092</v>
      </c>
      <c r="V5144" t="s">
        <v>59551</v>
      </c>
      <c r="W5144" t="s">
        <v>42752</v>
      </c>
      <c r="X5144" t="s">
        <v>44911</v>
      </c>
    </row>
    <row r="5145" spans="1:24">
      <c r="A5145">
        <f>HYPERLINK("https://www.philgeps.gov.ph/GEPSNONPILOT/Tender/SplashBidNoticeAbstractUI.aspx?menuIndex=3&amp;refID=7074641&amp;Result=3","7074641")</f>
        <v>0</v>
      </c>
      <c r="B5145" t="s">
        <v>1671</v>
      </c>
      <c r="C5145" t="s">
        <v>8442</v>
      </c>
      <c r="D5145" t="s">
        <v>18119</v>
      </c>
      <c r="E5145" t="s">
        <v>22801</v>
      </c>
      <c r="F5145" t="s">
        <v>31362</v>
      </c>
      <c r="G5145" t="s">
        <v>31369</v>
      </c>
      <c r="H5145" t="s">
        <v>31378</v>
      </c>
      <c r="I5145" t="s">
        <v>31386</v>
      </c>
      <c r="J5145" t="s">
        <v>34824</v>
      </c>
      <c r="K5145" t="s">
        <v>40682</v>
      </c>
      <c r="M5145" t="s">
        <v>42736</v>
      </c>
      <c r="N5145" t="s">
        <v>44905</v>
      </c>
      <c r="O5145" t="s">
        <v>44906</v>
      </c>
      <c r="P5145">
        <v>0</v>
      </c>
      <c r="Q5145">
        <v>0</v>
      </c>
      <c r="R5145" t="s">
        <v>44909</v>
      </c>
      <c r="S5145" t="s">
        <v>45060</v>
      </c>
      <c r="T5145" t="s">
        <v>46396</v>
      </c>
      <c r="U5145" t="s">
        <v>51093</v>
      </c>
      <c r="V5145" t="s">
        <v>59546</v>
      </c>
      <c r="W5145" t="s">
        <v>42736</v>
      </c>
      <c r="X5145" t="s">
        <v>44911</v>
      </c>
    </row>
    <row r="5146" spans="1:24">
      <c r="A5146">
        <f>HYPERLINK("https://www.philgeps.gov.ph/GEPSNONPILOT/Tender/SplashBidNoticeAbstractUI.aspx?menuIndex=3&amp;refID=7076098&amp;Result=3","7076098")</f>
        <v>0</v>
      </c>
      <c r="B5146" t="s">
        <v>1623</v>
      </c>
      <c r="C5146" t="s">
        <v>8443</v>
      </c>
      <c r="D5146" t="s">
        <v>18142</v>
      </c>
      <c r="E5146" t="s">
        <v>22802</v>
      </c>
      <c r="F5146" t="s">
        <v>31362</v>
      </c>
      <c r="G5146" t="s">
        <v>31369</v>
      </c>
      <c r="H5146" t="s">
        <v>31378</v>
      </c>
      <c r="I5146" t="s">
        <v>31386</v>
      </c>
      <c r="J5146" t="s">
        <v>34825</v>
      </c>
      <c r="K5146" t="s">
        <v>40676</v>
      </c>
      <c r="M5146" t="s">
        <v>42753</v>
      </c>
      <c r="N5146" t="s">
        <v>44905</v>
      </c>
      <c r="O5146" t="s">
        <v>44906</v>
      </c>
      <c r="P5146">
        <v>0</v>
      </c>
      <c r="Q5146">
        <v>0</v>
      </c>
      <c r="R5146" t="s">
        <v>44909</v>
      </c>
      <c r="S5146" t="s">
        <v>45060</v>
      </c>
      <c r="T5146" t="s">
        <v>46435</v>
      </c>
      <c r="U5146" t="s">
        <v>51094</v>
      </c>
      <c r="W5146" t="s">
        <v>42753</v>
      </c>
      <c r="X5146" t="s">
        <v>44910</v>
      </c>
    </row>
    <row r="5147" spans="1:24">
      <c r="A5147">
        <f>HYPERLINK("https://www.philgeps.gov.ph/GEPSNONPILOT/Tender/SplashBidNoticeAbstractUI.aspx?menuIndex=3&amp;refID=7076095&amp;Result=3","7076095")</f>
        <v>0</v>
      </c>
      <c r="B5147" t="s">
        <v>233</v>
      </c>
      <c r="C5147" t="s">
        <v>8444</v>
      </c>
      <c r="D5147" t="s">
        <v>18108</v>
      </c>
      <c r="E5147" t="s">
        <v>22803</v>
      </c>
      <c r="F5147" t="s">
        <v>31362</v>
      </c>
      <c r="G5147" t="s">
        <v>31368</v>
      </c>
      <c r="H5147" t="s">
        <v>15799</v>
      </c>
      <c r="I5147" t="s">
        <v>31394</v>
      </c>
      <c r="J5147" t="s">
        <v>34826</v>
      </c>
      <c r="K5147" t="s">
        <v>40682</v>
      </c>
      <c r="M5147" t="s">
        <v>42754</v>
      </c>
      <c r="N5147" t="s">
        <v>44905</v>
      </c>
      <c r="O5147" t="s">
        <v>44906</v>
      </c>
      <c r="P5147">
        <v>0</v>
      </c>
      <c r="Q5147">
        <v>12</v>
      </c>
      <c r="R5147" t="s">
        <v>44909</v>
      </c>
      <c r="S5147" t="s">
        <v>45060</v>
      </c>
      <c r="T5147" t="s">
        <v>46394</v>
      </c>
      <c r="U5147" t="s">
        <v>51095</v>
      </c>
      <c r="W5147" t="s">
        <v>42754</v>
      </c>
      <c r="X5147" t="s">
        <v>44910</v>
      </c>
    </row>
    <row r="5148" spans="1:24">
      <c r="A5148">
        <f>HYPERLINK("https://www.philgeps.gov.ph/GEPSNONPILOT/Tender/SplashBidNoticeAbstractUI.aspx?menuIndex=3&amp;refID=7076094&amp;Result=3","7076094")</f>
        <v>0</v>
      </c>
      <c r="B5148" t="s">
        <v>1688</v>
      </c>
      <c r="C5148" t="s">
        <v>8445</v>
      </c>
      <c r="D5148" t="s">
        <v>18172</v>
      </c>
      <c r="E5148" t="s">
        <v>19709</v>
      </c>
      <c r="F5148" t="s">
        <v>31362</v>
      </c>
      <c r="G5148" t="s">
        <v>31369</v>
      </c>
      <c r="H5148" t="s">
        <v>15799</v>
      </c>
      <c r="I5148" t="s">
        <v>31411</v>
      </c>
      <c r="J5148" t="s">
        <v>34827</v>
      </c>
      <c r="K5148" t="s">
        <v>40665</v>
      </c>
      <c r="M5148" t="s">
        <v>42755</v>
      </c>
      <c r="N5148" t="s">
        <v>44905</v>
      </c>
      <c r="O5148" t="s">
        <v>44906</v>
      </c>
      <c r="P5148">
        <v>0</v>
      </c>
      <c r="Q5148">
        <v>2</v>
      </c>
      <c r="R5148" t="s">
        <v>44909</v>
      </c>
      <c r="S5148" t="s">
        <v>45060</v>
      </c>
      <c r="T5148" t="s">
        <v>46549</v>
      </c>
      <c r="U5148" t="s">
        <v>51096</v>
      </c>
      <c r="V5148" t="s">
        <v>59552</v>
      </c>
      <c r="W5148" t="s">
        <v>42755</v>
      </c>
      <c r="X5148" t="s">
        <v>44910</v>
      </c>
    </row>
    <row r="5149" spans="1:24">
      <c r="A5149">
        <f>HYPERLINK("https://www.philgeps.gov.ph/GEPSNONPILOT/Tender/SplashBidNoticeAbstractUI.aspx?menuIndex=3&amp;refID=7076092&amp;Result=3","7076092")</f>
        <v>0</v>
      </c>
      <c r="B5149" t="s">
        <v>1689</v>
      </c>
      <c r="C5149" t="s">
        <v>8446</v>
      </c>
      <c r="D5149" t="s">
        <v>18136</v>
      </c>
      <c r="E5149" t="s">
        <v>22804</v>
      </c>
      <c r="F5149" t="s">
        <v>31362</v>
      </c>
      <c r="G5149" t="s">
        <v>31369</v>
      </c>
      <c r="H5149" t="s">
        <v>15799</v>
      </c>
      <c r="I5149" t="s">
        <v>3815</v>
      </c>
      <c r="J5149" t="s">
        <v>34828</v>
      </c>
      <c r="K5149" t="s">
        <v>40665</v>
      </c>
      <c r="M5149" t="s">
        <v>42756</v>
      </c>
      <c r="N5149" t="s">
        <v>44905</v>
      </c>
      <c r="O5149" t="s">
        <v>44906</v>
      </c>
      <c r="P5149">
        <v>0</v>
      </c>
      <c r="Q5149">
        <v>1</v>
      </c>
      <c r="R5149" t="s">
        <v>44909</v>
      </c>
      <c r="S5149" t="s">
        <v>45060</v>
      </c>
      <c r="T5149" t="s">
        <v>46419</v>
      </c>
      <c r="U5149" t="s">
        <v>51097</v>
      </c>
      <c r="V5149" t="s">
        <v>59231</v>
      </c>
      <c r="W5149" t="s">
        <v>42756</v>
      </c>
      <c r="X5149" t="s">
        <v>44910</v>
      </c>
    </row>
    <row r="5150" spans="1:24">
      <c r="A5150">
        <f>HYPERLINK("https://www.philgeps.gov.ph/GEPSNONPILOT/Tender/SplashBidNoticeAbstractUI.aspx?menuIndex=3&amp;refID=7075372&amp;Result=3","7075372")</f>
        <v>0</v>
      </c>
      <c r="B5150" t="s">
        <v>1687</v>
      </c>
      <c r="C5150" t="s">
        <v>8447</v>
      </c>
      <c r="D5150" t="s">
        <v>18123</v>
      </c>
      <c r="E5150" t="s">
        <v>22805</v>
      </c>
      <c r="F5150" t="s">
        <v>31362</v>
      </c>
      <c r="G5150" t="s">
        <v>31368</v>
      </c>
      <c r="H5150" t="s">
        <v>15799</v>
      </c>
      <c r="I5150" t="s">
        <v>3815</v>
      </c>
      <c r="J5150" t="s">
        <v>34829</v>
      </c>
      <c r="K5150" t="s">
        <v>40666</v>
      </c>
      <c r="M5150" t="s">
        <v>42752</v>
      </c>
      <c r="N5150" t="s">
        <v>44905</v>
      </c>
      <c r="O5150" t="s">
        <v>44906</v>
      </c>
      <c r="P5150">
        <v>0</v>
      </c>
      <c r="Q5150">
        <v>0</v>
      </c>
      <c r="R5150" t="s">
        <v>44909</v>
      </c>
      <c r="S5150" t="s">
        <v>45060</v>
      </c>
      <c r="T5150" t="s">
        <v>46435</v>
      </c>
      <c r="U5150" t="s">
        <v>51098</v>
      </c>
      <c r="V5150" t="s">
        <v>59550</v>
      </c>
      <c r="W5150" t="s">
        <v>42752</v>
      </c>
      <c r="X5150" t="s">
        <v>44911</v>
      </c>
    </row>
    <row r="5151" spans="1:24">
      <c r="A5151">
        <f>HYPERLINK("https://www.philgeps.gov.ph/GEPSNONPILOT/Tender/SplashBidNoticeAbstractUI.aspx?menuIndex=3&amp;refID=7076090&amp;Result=3","7076090")</f>
        <v>0</v>
      </c>
      <c r="B5151" t="s">
        <v>1690</v>
      </c>
      <c r="C5151" t="s">
        <v>8448</v>
      </c>
      <c r="D5151" t="s">
        <v>18108</v>
      </c>
      <c r="E5151" t="s">
        <v>18476</v>
      </c>
      <c r="F5151" t="s">
        <v>31362</v>
      </c>
      <c r="G5151" t="s">
        <v>31369</v>
      </c>
      <c r="H5151" t="s">
        <v>31379</v>
      </c>
      <c r="I5151" t="s">
        <v>31409</v>
      </c>
      <c r="J5151" t="s">
        <v>34830</v>
      </c>
      <c r="K5151" t="s">
        <v>40670</v>
      </c>
      <c r="M5151" t="s">
        <v>42757</v>
      </c>
      <c r="N5151" t="s">
        <v>44905</v>
      </c>
      <c r="O5151" t="s">
        <v>44906</v>
      </c>
      <c r="P5151">
        <v>0</v>
      </c>
      <c r="Q5151">
        <v>5</v>
      </c>
      <c r="R5151" t="s">
        <v>44909</v>
      </c>
      <c r="S5151" t="s">
        <v>45060</v>
      </c>
      <c r="T5151" t="s">
        <v>46569</v>
      </c>
      <c r="U5151" t="s">
        <v>51099</v>
      </c>
      <c r="W5151" t="s">
        <v>42757</v>
      </c>
      <c r="X5151" t="s">
        <v>44910</v>
      </c>
    </row>
    <row r="5152" spans="1:24">
      <c r="A5152">
        <f>HYPERLINK("https://www.philgeps.gov.ph/GEPSNONPILOT/Tender/SplashBidNoticeAbstractUI.aspx?menuIndex=3&amp;refID=7076089&amp;Result=3","7076089")</f>
        <v>0</v>
      </c>
      <c r="B5152" t="s">
        <v>1691</v>
      </c>
      <c r="C5152" t="s">
        <v>8449</v>
      </c>
      <c r="D5152" t="s">
        <v>18134</v>
      </c>
      <c r="E5152" t="s">
        <v>22806</v>
      </c>
      <c r="F5152" t="s">
        <v>31362</v>
      </c>
      <c r="G5152" t="s">
        <v>31369</v>
      </c>
      <c r="H5152" t="s">
        <v>31378</v>
      </c>
      <c r="I5152" t="s">
        <v>31386</v>
      </c>
      <c r="J5152" t="s">
        <v>34831</v>
      </c>
      <c r="K5152" t="s">
        <v>40681</v>
      </c>
      <c r="M5152" t="s">
        <v>42758</v>
      </c>
      <c r="N5152" t="s">
        <v>44905</v>
      </c>
      <c r="O5152" t="s">
        <v>44906</v>
      </c>
      <c r="P5152">
        <v>0</v>
      </c>
      <c r="Q5152">
        <v>0</v>
      </c>
      <c r="R5152" t="s">
        <v>44909</v>
      </c>
      <c r="S5152" t="s">
        <v>45060</v>
      </c>
      <c r="T5152" t="s">
        <v>46403</v>
      </c>
      <c r="U5152" t="s">
        <v>51100</v>
      </c>
      <c r="W5152" t="s">
        <v>42758</v>
      </c>
      <c r="X5152" t="s">
        <v>44910</v>
      </c>
    </row>
    <row r="5153" spans="1:24">
      <c r="A5153">
        <f>HYPERLINK("https://www.philgeps.gov.ph/GEPSNONPILOT/Tender/SplashBidNoticeAbstractUI.aspx?menuIndex=3&amp;refID=7076088&amp;Result=3","7076088")</f>
        <v>0</v>
      </c>
      <c r="B5153" t="s">
        <v>1692</v>
      </c>
      <c r="C5153" t="s">
        <v>8450</v>
      </c>
      <c r="D5153" t="s">
        <v>18182</v>
      </c>
      <c r="E5153" t="s">
        <v>19064</v>
      </c>
      <c r="F5153" t="s">
        <v>31362</v>
      </c>
      <c r="G5153" t="s">
        <v>31369</v>
      </c>
      <c r="H5153" t="s">
        <v>31378</v>
      </c>
      <c r="I5153" t="s">
        <v>31386</v>
      </c>
      <c r="J5153" t="s">
        <v>34832</v>
      </c>
      <c r="K5153" t="s">
        <v>40686</v>
      </c>
      <c r="M5153" t="s">
        <v>42759</v>
      </c>
      <c r="N5153" t="s">
        <v>44905</v>
      </c>
      <c r="O5153" t="s">
        <v>44906</v>
      </c>
      <c r="P5153">
        <v>0</v>
      </c>
      <c r="Q5153">
        <v>0</v>
      </c>
      <c r="R5153" t="s">
        <v>44909</v>
      </c>
      <c r="S5153" t="s">
        <v>45060</v>
      </c>
      <c r="T5153" t="s">
        <v>46608</v>
      </c>
      <c r="U5153" t="s">
        <v>51101</v>
      </c>
      <c r="W5153" t="s">
        <v>42759</v>
      </c>
      <c r="X5153" t="s">
        <v>44910</v>
      </c>
    </row>
    <row r="5154" spans="1:24">
      <c r="A5154">
        <f>HYPERLINK("https://www.philgeps.gov.ph/GEPSNONPILOT/Tender/SplashBidNoticeAbstractUI.aspx?menuIndex=3&amp;refID=7075321&amp;Result=3","7075321")</f>
        <v>0</v>
      </c>
      <c r="B5154" t="s">
        <v>199</v>
      </c>
      <c r="C5154" t="s">
        <v>8451</v>
      </c>
      <c r="D5154" t="s">
        <v>18139</v>
      </c>
      <c r="E5154" t="s">
        <v>22807</v>
      </c>
      <c r="F5154" t="s">
        <v>31362</v>
      </c>
      <c r="G5154" t="s">
        <v>31368</v>
      </c>
      <c r="H5154" t="s">
        <v>15799</v>
      </c>
      <c r="I5154" t="s">
        <v>31414</v>
      </c>
      <c r="J5154" t="s">
        <v>34833</v>
      </c>
      <c r="K5154" t="s">
        <v>40666</v>
      </c>
      <c r="M5154" t="s">
        <v>41227</v>
      </c>
      <c r="N5154" t="s">
        <v>44905</v>
      </c>
      <c r="O5154" t="s">
        <v>44906</v>
      </c>
      <c r="P5154">
        <v>0</v>
      </c>
      <c r="Q5154">
        <v>4</v>
      </c>
      <c r="R5154" t="s">
        <v>44909</v>
      </c>
      <c r="S5154" t="s">
        <v>45060</v>
      </c>
      <c r="T5154" t="s">
        <v>46414</v>
      </c>
      <c r="U5154" t="s">
        <v>51102</v>
      </c>
      <c r="V5154" t="s">
        <v>59175</v>
      </c>
      <c r="W5154" t="s">
        <v>41227</v>
      </c>
      <c r="X5154" t="s">
        <v>44911</v>
      </c>
    </row>
    <row r="5155" spans="1:24">
      <c r="A5155">
        <f>HYPERLINK("https://www.philgeps.gov.ph/GEPSNONPILOT/Tender/SplashBidNoticeAbstractUI.aspx?menuIndex=3&amp;refID=7076087&amp;Result=3","7076087")</f>
        <v>0</v>
      </c>
      <c r="B5155" t="s">
        <v>1689</v>
      </c>
      <c r="C5155" t="s">
        <v>8452</v>
      </c>
      <c r="D5155" t="s">
        <v>18136</v>
      </c>
      <c r="E5155" t="s">
        <v>22808</v>
      </c>
      <c r="F5155" t="s">
        <v>31362</v>
      </c>
      <c r="G5155" t="s">
        <v>31368</v>
      </c>
      <c r="H5155" t="s">
        <v>15799</v>
      </c>
      <c r="I5155" t="s">
        <v>31430</v>
      </c>
      <c r="J5155" t="s">
        <v>34834</v>
      </c>
      <c r="K5155" t="s">
        <v>40665</v>
      </c>
      <c r="M5155" t="s">
        <v>42756</v>
      </c>
      <c r="N5155" t="s">
        <v>44905</v>
      </c>
      <c r="O5155" t="s">
        <v>44906</v>
      </c>
      <c r="P5155">
        <v>0</v>
      </c>
      <c r="Q5155">
        <v>2</v>
      </c>
      <c r="R5155" t="s">
        <v>44909</v>
      </c>
      <c r="S5155" t="s">
        <v>45060</v>
      </c>
      <c r="T5155" t="s">
        <v>46447</v>
      </c>
      <c r="U5155" t="s">
        <v>51103</v>
      </c>
      <c r="V5155" t="s">
        <v>59553</v>
      </c>
      <c r="W5155" t="s">
        <v>42756</v>
      </c>
      <c r="X5155" t="s">
        <v>44910</v>
      </c>
    </row>
    <row r="5156" spans="1:24">
      <c r="A5156">
        <f>HYPERLINK("https://www.philgeps.gov.ph/GEPSNONPILOT/Tender/SplashBidNoticeAbstractUI.aspx?menuIndex=3&amp;refID=7076084&amp;Result=3","7076084")</f>
        <v>0</v>
      </c>
      <c r="B5156" t="s">
        <v>1689</v>
      </c>
      <c r="C5156" t="s">
        <v>8453</v>
      </c>
      <c r="D5156" t="s">
        <v>18136</v>
      </c>
      <c r="E5156" t="s">
        <v>22809</v>
      </c>
      <c r="F5156" t="s">
        <v>31362</v>
      </c>
      <c r="G5156" t="s">
        <v>31368</v>
      </c>
      <c r="H5156" t="s">
        <v>15799</v>
      </c>
      <c r="I5156" t="s">
        <v>3815</v>
      </c>
      <c r="J5156" t="s">
        <v>34835</v>
      </c>
      <c r="K5156" t="s">
        <v>40665</v>
      </c>
      <c r="M5156" t="s">
        <v>42756</v>
      </c>
      <c r="N5156" t="s">
        <v>44905</v>
      </c>
      <c r="O5156" t="s">
        <v>44906</v>
      </c>
      <c r="P5156">
        <v>0</v>
      </c>
      <c r="Q5156">
        <v>1</v>
      </c>
      <c r="R5156" t="s">
        <v>44909</v>
      </c>
      <c r="S5156" t="s">
        <v>45060</v>
      </c>
      <c r="T5156" t="s">
        <v>46447</v>
      </c>
      <c r="U5156" t="s">
        <v>51104</v>
      </c>
      <c r="V5156" t="s">
        <v>59553</v>
      </c>
      <c r="W5156" t="s">
        <v>42756</v>
      </c>
      <c r="X5156" t="s">
        <v>44911</v>
      </c>
    </row>
    <row r="5157" spans="1:24">
      <c r="A5157">
        <f>HYPERLINK("https://www.philgeps.gov.ph/GEPSNONPILOT/Tender/SplashBidNoticeAbstractUI.aspx?menuIndex=3&amp;refID=7076091&amp;Result=3","7076091")</f>
        <v>0</v>
      </c>
      <c r="B5157" t="s">
        <v>1265</v>
      </c>
      <c r="C5157" t="s">
        <v>8454</v>
      </c>
      <c r="D5157" t="s">
        <v>18131</v>
      </c>
      <c r="E5157" t="s">
        <v>22810</v>
      </c>
      <c r="F5157" t="s">
        <v>31362</v>
      </c>
      <c r="G5157" t="s">
        <v>31369</v>
      </c>
      <c r="H5157" t="s">
        <v>31378</v>
      </c>
      <c r="I5157" t="s">
        <v>31386</v>
      </c>
      <c r="J5157" t="s">
        <v>34836</v>
      </c>
      <c r="K5157" t="s">
        <v>40797</v>
      </c>
      <c r="M5157" t="s">
        <v>42282</v>
      </c>
      <c r="N5157" t="s">
        <v>44905</v>
      </c>
      <c r="O5157" t="s">
        <v>44906</v>
      </c>
      <c r="P5157">
        <v>0</v>
      </c>
      <c r="Q5157">
        <v>9</v>
      </c>
      <c r="R5157" t="s">
        <v>44909</v>
      </c>
      <c r="S5157" t="s">
        <v>45060</v>
      </c>
      <c r="T5157" t="s">
        <v>46433</v>
      </c>
      <c r="U5157" t="s">
        <v>51105</v>
      </c>
      <c r="V5157" t="s">
        <v>59409</v>
      </c>
      <c r="W5157" t="s">
        <v>42282</v>
      </c>
      <c r="X5157" t="s">
        <v>44910</v>
      </c>
    </row>
    <row r="5158" spans="1:24">
      <c r="A5158">
        <f>HYPERLINK("https://www.philgeps.gov.ph/GEPSNONPILOT/Tender/SplashBidNoticeAbstractUI.aspx?menuIndex=3&amp;refID=7076076&amp;Result=3","7076076")</f>
        <v>0</v>
      </c>
      <c r="B5158" t="s">
        <v>1689</v>
      </c>
      <c r="C5158" t="s">
        <v>8455</v>
      </c>
      <c r="D5158" t="s">
        <v>18136</v>
      </c>
      <c r="E5158" t="s">
        <v>22811</v>
      </c>
      <c r="F5158" t="s">
        <v>31362</v>
      </c>
      <c r="G5158" t="s">
        <v>31368</v>
      </c>
      <c r="H5158" t="s">
        <v>15799</v>
      </c>
      <c r="I5158" t="s">
        <v>31404</v>
      </c>
      <c r="J5158" t="s">
        <v>34837</v>
      </c>
      <c r="K5158" t="s">
        <v>40665</v>
      </c>
      <c r="M5158" t="s">
        <v>42756</v>
      </c>
      <c r="N5158" t="s">
        <v>44905</v>
      </c>
      <c r="O5158" t="s">
        <v>44906</v>
      </c>
      <c r="P5158">
        <v>0</v>
      </c>
      <c r="Q5158">
        <v>2</v>
      </c>
      <c r="R5158" t="s">
        <v>44909</v>
      </c>
      <c r="S5158" t="s">
        <v>45060</v>
      </c>
      <c r="T5158" t="s">
        <v>46447</v>
      </c>
      <c r="U5158" t="s">
        <v>51106</v>
      </c>
      <c r="V5158" t="s">
        <v>59231</v>
      </c>
      <c r="W5158" t="s">
        <v>42756</v>
      </c>
      <c r="X5158" t="s">
        <v>44911</v>
      </c>
    </row>
    <row r="5159" spans="1:24">
      <c r="A5159">
        <f>HYPERLINK("https://www.philgeps.gov.ph/GEPSNONPILOT/Tender/SplashBidNoticeAbstractUI.aspx?menuIndex=3&amp;refID=7076075&amp;Result=3","7076075")</f>
        <v>0</v>
      </c>
      <c r="B5159" t="s">
        <v>1600</v>
      </c>
      <c r="C5159" t="s">
        <v>8456</v>
      </c>
      <c r="D5159" t="s">
        <v>18108</v>
      </c>
      <c r="E5159" t="s">
        <v>22512</v>
      </c>
      <c r="F5159" t="s">
        <v>31362</v>
      </c>
      <c r="G5159" t="s">
        <v>31368</v>
      </c>
      <c r="H5159" t="s">
        <v>15799</v>
      </c>
      <c r="I5159" t="s">
        <v>31406</v>
      </c>
      <c r="J5159" t="s">
        <v>34838</v>
      </c>
      <c r="K5159" t="s">
        <v>40712</v>
      </c>
      <c r="M5159" t="s">
        <v>42659</v>
      </c>
      <c r="N5159" t="s">
        <v>44905</v>
      </c>
      <c r="O5159" t="s">
        <v>44906</v>
      </c>
      <c r="P5159">
        <v>0</v>
      </c>
      <c r="Q5159">
        <v>12</v>
      </c>
      <c r="R5159" t="s">
        <v>44909</v>
      </c>
      <c r="S5159" t="s">
        <v>45060</v>
      </c>
      <c r="T5159" t="s">
        <v>46454</v>
      </c>
      <c r="U5159" t="s">
        <v>51107</v>
      </c>
      <c r="W5159" t="s">
        <v>42659</v>
      </c>
      <c r="X5159" t="s">
        <v>44911</v>
      </c>
    </row>
    <row r="5160" spans="1:24">
      <c r="A5160">
        <f>HYPERLINK("https://www.philgeps.gov.ph/GEPSNONPILOT/Tender/SplashBidNoticeAbstractUI.aspx?menuIndex=3&amp;refID=7076127&amp;Result=3","7076127")</f>
        <v>0</v>
      </c>
      <c r="B5160" t="s">
        <v>190</v>
      </c>
      <c r="C5160" t="s">
        <v>3889</v>
      </c>
      <c r="D5160" t="s">
        <v>18104</v>
      </c>
      <c r="E5160" t="s">
        <v>22812</v>
      </c>
      <c r="F5160" t="s">
        <v>31362</v>
      </c>
      <c r="G5160" t="s">
        <v>31368</v>
      </c>
      <c r="H5160" t="s">
        <v>15799</v>
      </c>
      <c r="I5160" t="s">
        <v>4942</v>
      </c>
      <c r="J5160" t="s">
        <v>31577</v>
      </c>
      <c r="K5160" t="s">
        <v>40666</v>
      </c>
      <c r="M5160" t="s">
        <v>41128</v>
      </c>
      <c r="N5160" t="s">
        <v>44905</v>
      </c>
      <c r="O5160" t="s">
        <v>44906</v>
      </c>
      <c r="P5160">
        <v>0</v>
      </c>
      <c r="Q5160">
        <v>0</v>
      </c>
      <c r="R5160" t="s">
        <v>44909</v>
      </c>
      <c r="S5160" t="s">
        <v>45060</v>
      </c>
      <c r="T5160" t="s">
        <v>46409</v>
      </c>
      <c r="U5160" t="s">
        <v>51108</v>
      </c>
      <c r="V5160" t="s">
        <v>59554</v>
      </c>
      <c r="W5160" t="s">
        <v>41128</v>
      </c>
      <c r="X5160" t="s">
        <v>44910</v>
      </c>
    </row>
    <row r="5161" spans="1:24">
      <c r="A5161">
        <f>HYPERLINK("https://www.philgeps.gov.ph/GEPSNONPILOT/Tender/SplashBidNoticeAbstractUI.aspx?menuIndex=3&amp;refID=7076086&amp;Result=3","7076086")</f>
        <v>0</v>
      </c>
      <c r="B5161" t="s">
        <v>1689</v>
      </c>
      <c r="C5161" t="s">
        <v>8457</v>
      </c>
      <c r="D5161" t="s">
        <v>18136</v>
      </c>
      <c r="E5161" t="s">
        <v>22813</v>
      </c>
      <c r="F5161" t="s">
        <v>31362</v>
      </c>
      <c r="G5161" t="s">
        <v>31368</v>
      </c>
      <c r="H5161" t="s">
        <v>15799</v>
      </c>
      <c r="I5161" t="s">
        <v>3815</v>
      </c>
      <c r="J5161" t="s">
        <v>34839</v>
      </c>
      <c r="K5161" t="s">
        <v>40665</v>
      </c>
      <c r="M5161" t="s">
        <v>42756</v>
      </c>
      <c r="N5161" t="s">
        <v>44905</v>
      </c>
      <c r="O5161" t="s">
        <v>44906</v>
      </c>
      <c r="P5161">
        <v>0</v>
      </c>
      <c r="Q5161">
        <v>1</v>
      </c>
      <c r="R5161" t="s">
        <v>44909</v>
      </c>
      <c r="S5161" t="s">
        <v>45060</v>
      </c>
      <c r="T5161" t="s">
        <v>46447</v>
      </c>
      <c r="U5161" t="s">
        <v>51109</v>
      </c>
      <c r="V5161" t="s">
        <v>59553</v>
      </c>
      <c r="W5161" t="s">
        <v>42756</v>
      </c>
      <c r="X5161" t="s">
        <v>44911</v>
      </c>
    </row>
    <row r="5162" spans="1:24">
      <c r="A5162">
        <f>HYPERLINK("https://www.philgeps.gov.ph/GEPSNONPILOT/Tender/SplashBidNoticeAbstractUI.aspx?menuIndex=3&amp;refID=7076125&amp;Result=3","7076125")</f>
        <v>0</v>
      </c>
      <c r="B5162" t="s">
        <v>1693</v>
      </c>
      <c r="C5162" t="s">
        <v>8458</v>
      </c>
      <c r="D5162" t="s">
        <v>18105</v>
      </c>
      <c r="E5162" t="s">
        <v>22814</v>
      </c>
      <c r="F5162" t="s">
        <v>31362</v>
      </c>
      <c r="G5162" t="s">
        <v>31369</v>
      </c>
      <c r="H5162" t="s">
        <v>15799</v>
      </c>
      <c r="I5162" t="s">
        <v>31433</v>
      </c>
      <c r="J5162" t="s">
        <v>33482</v>
      </c>
      <c r="K5162" t="s">
        <v>40665</v>
      </c>
      <c r="M5162" t="s">
        <v>42760</v>
      </c>
      <c r="N5162" t="s">
        <v>44905</v>
      </c>
      <c r="O5162" t="s">
        <v>44906</v>
      </c>
      <c r="P5162">
        <v>0</v>
      </c>
      <c r="Q5162">
        <v>0</v>
      </c>
      <c r="R5162" t="s">
        <v>44909</v>
      </c>
      <c r="S5162" t="s">
        <v>45060</v>
      </c>
      <c r="T5162" t="s">
        <v>46429</v>
      </c>
      <c r="U5162" t="s">
        <v>51110</v>
      </c>
      <c r="W5162" t="s">
        <v>42760</v>
      </c>
      <c r="X5162" t="s">
        <v>44910</v>
      </c>
    </row>
    <row r="5163" spans="1:24">
      <c r="A5163">
        <f>HYPERLINK("https://www.philgeps.gov.ph/GEPSNONPILOT/Tender/SplashBidNoticeAbstractUI.aspx?menuIndex=3&amp;refID=7076124&amp;Result=3","7076124")</f>
        <v>0</v>
      </c>
      <c r="B5163" t="s">
        <v>190</v>
      </c>
      <c r="C5163" t="s">
        <v>3889</v>
      </c>
      <c r="D5163" t="s">
        <v>18101</v>
      </c>
      <c r="E5163" t="s">
        <v>22815</v>
      </c>
      <c r="F5163" t="s">
        <v>31362</v>
      </c>
      <c r="G5163" t="s">
        <v>31368</v>
      </c>
      <c r="H5163" t="s">
        <v>15799</v>
      </c>
      <c r="I5163" t="s">
        <v>4942</v>
      </c>
      <c r="J5163" t="s">
        <v>31577</v>
      </c>
      <c r="K5163" t="s">
        <v>40666</v>
      </c>
      <c r="M5163" t="s">
        <v>41128</v>
      </c>
      <c r="N5163" t="s">
        <v>44905</v>
      </c>
      <c r="O5163" t="s">
        <v>44906</v>
      </c>
      <c r="P5163">
        <v>0</v>
      </c>
      <c r="Q5163">
        <v>0</v>
      </c>
      <c r="R5163" t="s">
        <v>44909</v>
      </c>
      <c r="S5163" t="s">
        <v>45060</v>
      </c>
      <c r="T5163" t="s">
        <v>46409</v>
      </c>
      <c r="U5163" t="s">
        <v>51111</v>
      </c>
      <c r="V5163" t="s">
        <v>59555</v>
      </c>
      <c r="W5163" t="s">
        <v>41128</v>
      </c>
      <c r="X5163" t="s">
        <v>44910</v>
      </c>
    </row>
    <row r="5164" spans="1:24">
      <c r="A5164">
        <f>HYPERLINK("https://www.philgeps.gov.ph/GEPSNONPILOT/Tender/SplashBidNoticeAbstractUI.aspx?menuIndex=3&amp;refID=7076122&amp;Result=3","7076122")</f>
        <v>0</v>
      </c>
      <c r="B5164" t="s">
        <v>237</v>
      </c>
      <c r="C5164" t="s">
        <v>8459</v>
      </c>
      <c r="D5164" t="s">
        <v>18108</v>
      </c>
      <c r="E5164" t="s">
        <v>22816</v>
      </c>
      <c r="F5164" t="s">
        <v>31362</v>
      </c>
      <c r="G5164" t="s">
        <v>31368</v>
      </c>
      <c r="H5164" t="s">
        <v>15799</v>
      </c>
      <c r="I5164" t="s">
        <v>31383</v>
      </c>
      <c r="J5164" t="s">
        <v>34840</v>
      </c>
      <c r="K5164" t="s">
        <v>40670</v>
      </c>
      <c r="M5164" t="s">
        <v>42234</v>
      </c>
      <c r="N5164" t="s">
        <v>44905</v>
      </c>
      <c r="O5164" t="s">
        <v>44906</v>
      </c>
      <c r="P5164">
        <v>0</v>
      </c>
      <c r="Q5164">
        <v>3</v>
      </c>
      <c r="R5164" t="s">
        <v>44909</v>
      </c>
      <c r="S5164" t="s">
        <v>45060</v>
      </c>
      <c r="T5164" t="s">
        <v>46518</v>
      </c>
      <c r="U5164" t="s">
        <v>51112</v>
      </c>
      <c r="V5164" t="s">
        <v>59397</v>
      </c>
      <c r="W5164" t="s">
        <v>42234</v>
      </c>
      <c r="X5164" t="s">
        <v>44910</v>
      </c>
    </row>
    <row r="5165" spans="1:24">
      <c r="A5165">
        <f>HYPERLINK("https://www.philgeps.gov.ph/GEPSNONPILOT/Tender/SplashBidNoticeAbstractUI.aspx?menuIndex=3&amp;refID=7076120&amp;Result=3","7076120")</f>
        <v>0</v>
      </c>
      <c r="B5165" t="s">
        <v>1694</v>
      </c>
      <c r="C5165" t="s">
        <v>8460</v>
      </c>
      <c r="D5165" t="s">
        <v>18116</v>
      </c>
      <c r="E5165" t="s">
        <v>22817</v>
      </c>
      <c r="F5165" t="s">
        <v>31362</v>
      </c>
      <c r="G5165" t="s">
        <v>31369</v>
      </c>
      <c r="H5165" t="s">
        <v>31379</v>
      </c>
      <c r="I5165" t="s">
        <v>6240</v>
      </c>
      <c r="J5165" t="s">
        <v>31577</v>
      </c>
      <c r="K5165" t="s">
        <v>40666</v>
      </c>
      <c r="M5165" t="s">
        <v>42761</v>
      </c>
      <c r="N5165" t="s">
        <v>44905</v>
      </c>
      <c r="O5165" t="s">
        <v>44906</v>
      </c>
      <c r="P5165">
        <v>0</v>
      </c>
      <c r="Q5165">
        <v>0</v>
      </c>
      <c r="R5165" t="s">
        <v>44909</v>
      </c>
      <c r="S5165" t="s">
        <v>45060</v>
      </c>
      <c r="T5165" t="s">
        <v>46400</v>
      </c>
      <c r="U5165" t="s">
        <v>46933</v>
      </c>
      <c r="W5165" t="s">
        <v>42761</v>
      </c>
      <c r="X5165" t="s">
        <v>44910</v>
      </c>
    </row>
    <row r="5166" spans="1:24">
      <c r="A5166">
        <f>HYPERLINK("https://www.philgeps.gov.ph/GEPSNONPILOT/Tender/SplashBidNoticeAbstractUI.aspx?menuIndex=3&amp;refID=7076118&amp;Result=3","7076118")</f>
        <v>0</v>
      </c>
      <c r="B5166" t="s">
        <v>1695</v>
      </c>
      <c r="C5166" t="s">
        <v>8461</v>
      </c>
      <c r="D5166" t="s">
        <v>18116</v>
      </c>
      <c r="E5166" t="s">
        <v>22818</v>
      </c>
      <c r="F5166" t="s">
        <v>31362</v>
      </c>
      <c r="G5166" t="s">
        <v>31369</v>
      </c>
      <c r="H5166" t="s">
        <v>31378</v>
      </c>
      <c r="I5166" t="s">
        <v>31386</v>
      </c>
      <c r="J5166" t="s">
        <v>32127</v>
      </c>
      <c r="K5166" t="s">
        <v>40682</v>
      </c>
      <c r="M5166" t="s">
        <v>42762</v>
      </c>
      <c r="N5166" t="s">
        <v>44905</v>
      </c>
      <c r="O5166" t="s">
        <v>44906</v>
      </c>
      <c r="P5166">
        <v>0</v>
      </c>
      <c r="Q5166">
        <v>0</v>
      </c>
      <c r="R5166" t="s">
        <v>44909</v>
      </c>
      <c r="S5166" t="s">
        <v>45060</v>
      </c>
      <c r="T5166" t="s">
        <v>46503</v>
      </c>
      <c r="U5166" t="s">
        <v>51113</v>
      </c>
      <c r="W5166" t="s">
        <v>42762</v>
      </c>
      <c r="X5166" t="s">
        <v>44910</v>
      </c>
    </row>
    <row r="5167" spans="1:24">
      <c r="A5167">
        <f>HYPERLINK("https://www.philgeps.gov.ph/GEPSNONPILOT/Tender/SplashBidNoticeAbstractUI.aspx?menuIndex=3&amp;refID=7076117&amp;Result=3","7076117")</f>
        <v>0</v>
      </c>
      <c r="B5167" t="s">
        <v>1695</v>
      </c>
      <c r="C5167" t="s">
        <v>8462</v>
      </c>
      <c r="D5167" t="s">
        <v>18116</v>
      </c>
      <c r="E5167" t="s">
        <v>22819</v>
      </c>
      <c r="F5167" t="s">
        <v>31362</v>
      </c>
      <c r="G5167" t="s">
        <v>31369</v>
      </c>
      <c r="H5167" t="s">
        <v>31378</v>
      </c>
      <c r="I5167" t="s">
        <v>31386</v>
      </c>
      <c r="J5167" t="s">
        <v>33680</v>
      </c>
      <c r="K5167" t="s">
        <v>40682</v>
      </c>
      <c r="M5167" t="s">
        <v>42762</v>
      </c>
      <c r="N5167" t="s">
        <v>44905</v>
      </c>
      <c r="O5167" t="s">
        <v>44906</v>
      </c>
      <c r="P5167">
        <v>0</v>
      </c>
      <c r="Q5167">
        <v>0</v>
      </c>
      <c r="R5167" t="s">
        <v>44909</v>
      </c>
      <c r="S5167" t="s">
        <v>45060</v>
      </c>
      <c r="T5167" t="s">
        <v>46503</v>
      </c>
      <c r="U5167" t="s">
        <v>51113</v>
      </c>
      <c r="W5167" t="s">
        <v>42762</v>
      </c>
      <c r="X5167" t="s">
        <v>44910</v>
      </c>
    </row>
    <row r="5168" spans="1:24">
      <c r="A5168">
        <f>HYPERLINK("https://www.philgeps.gov.ph/GEPSNONPILOT/Tender/SplashBidNoticeAbstractUI.aspx?menuIndex=3&amp;refID=7076116&amp;Result=3","7076116")</f>
        <v>0</v>
      </c>
      <c r="B5168" t="s">
        <v>237</v>
      </c>
      <c r="C5168" t="s">
        <v>8463</v>
      </c>
      <c r="D5168" t="s">
        <v>18108</v>
      </c>
      <c r="E5168" t="s">
        <v>22820</v>
      </c>
      <c r="F5168" t="s">
        <v>31362</v>
      </c>
      <c r="G5168" t="s">
        <v>31368</v>
      </c>
      <c r="H5168" t="s">
        <v>15799</v>
      </c>
      <c r="I5168" t="s">
        <v>7188</v>
      </c>
      <c r="J5168" t="s">
        <v>31933</v>
      </c>
      <c r="K5168" t="s">
        <v>40670</v>
      </c>
      <c r="M5168" t="s">
        <v>42234</v>
      </c>
      <c r="N5168" t="s">
        <v>44905</v>
      </c>
      <c r="O5168" t="s">
        <v>44906</v>
      </c>
      <c r="P5168">
        <v>0</v>
      </c>
      <c r="Q5168">
        <v>10</v>
      </c>
      <c r="R5168" t="s">
        <v>44909</v>
      </c>
      <c r="S5168" t="s">
        <v>45060</v>
      </c>
      <c r="T5168" t="s">
        <v>46518</v>
      </c>
      <c r="U5168" t="s">
        <v>51114</v>
      </c>
      <c r="V5168" t="s">
        <v>59397</v>
      </c>
      <c r="W5168" t="s">
        <v>42234</v>
      </c>
      <c r="X5168" t="s">
        <v>44910</v>
      </c>
    </row>
    <row r="5169" spans="1:24">
      <c r="A5169">
        <f>HYPERLINK("https://www.philgeps.gov.ph/GEPSNONPILOT/Tender/SplashBidNoticeAbstractUI.aspx?menuIndex=3&amp;refID=7076115&amp;Result=3","7076115")</f>
        <v>0</v>
      </c>
      <c r="B5169" t="s">
        <v>1696</v>
      </c>
      <c r="C5169" t="s">
        <v>8460</v>
      </c>
      <c r="D5169" t="s">
        <v>18116</v>
      </c>
      <c r="E5169" t="s">
        <v>22817</v>
      </c>
      <c r="F5169" t="s">
        <v>31362</v>
      </c>
      <c r="G5169" t="s">
        <v>31369</v>
      </c>
      <c r="H5169" t="s">
        <v>31379</v>
      </c>
      <c r="I5169" t="s">
        <v>6240</v>
      </c>
      <c r="J5169" t="s">
        <v>31536</v>
      </c>
      <c r="K5169" t="s">
        <v>40666</v>
      </c>
      <c r="M5169" t="s">
        <v>42763</v>
      </c>
      <c r="N5169" t="s">
        <v>44905</v>
      </c>
      <c r="O5169" t="s">
        <v>44906</v>
      </c>
      <c r="P5169">
        <v>0</v>
      </c>
      <c r="Q5169">
        <v>0</v>
      </c>
      <c r="R5169" t="s">
        <v>44909</v>
      </c>
      <c r="S5169" t="s">
        <v>45060</v>
      </c>
      <c r="T5169" t="s">
        <v>46400</v>
      </c>
      <c r="U5169" t="s">
        <v>46933</v>
      </c>
      <c r="W5169" t="s">
        <v>42763</v>
      </c>
      <c r="X5169" t="s">
        <v>44910</v>
      </c>
    </row>
    <row r="5170" spans="1:24">
      <c r="A5170">
        <f>HYPERLINK("https://www.philgeps.gov.ph/GEPSNONPILOT/Tender/SplashBidNoticeAbstractUI.aspx?menuIndex=3&amp;refID=7076114&amp;Result=3","7076114")</f>
        <v>0</v>
      </c>
      <c r="B5170" t="s">
        <v>237</v>
      </c>
      <c r="C5170" t="s">
        <v>8464</v>
      </c>
      <c r="D5170" t="s">
        <v>18108</v>
      </c>
      <c r="E5170" t="s">
        <v>22821</v>
      </c>
      <c r="F5170" t="s">
        <v>31362</v>
      </c>
      <c r="G5170" t="s">
        <v>31368</v>
      </c>
      <c r="H5170" t="s">
        <v>15799</v>
      </c>
      <c r="I5170" t="s">
        <v>31423</v>
      </c>
      <c r="J5170" t="s">
        <v>34841</v>
      </c>
      <c r="K5170" t="s">
        <v>40670</v>
      </c>
      <c r="M5170" t="s">
        <v>42234</v>
      </c>
      <c r="N5170" t="s">
        <v>44905</v>
      </c>
      <c r="O5170" t="s">
        <v>44906</v>
      </c>
      <c r="P5170">
        <v>0</v>
      </c>
      <c r="Q5170">
        <v>3</v>
      </c>
      <c r="R5170" t="s">
        <v>44909</v>
      </c>
      <c r="S5170" t="s">
        <v>45060</v>
      </c>
      <c r="T5170" t="s">
        <v>46518</v>
      </c>
      <c r="U5170" t="s">
        <v>51115</v>
      </c>
      <c r="V5170" t="s">
        <v>59397</v>
      </c>
      <c r="W5170" t="s">
        <v>42234</v>
      </c>
      <c r="X5170" t="s">
        <v>44910</v>
      </c>
    </row>
    <row r="5171" spans="1:24">
      <c r="A5171">
        <f>HYPERLINK("https://www.philgeps.gov.ph/GEPSNONPILOT/Tender/SplashBidNoticeAbstractUI.aspx?menuIndex=3&amp;refID=7075660&amp;Result=3","7075660")</f>
        <v>0</v>
      </c>
      <c r="B5171" t="s">
        <v>371</v>
      </c>
      <c r="C5171" t="s">
        <v>8465</v>
      </c>
      <c r="D5171" t="s">
        <v>18157</v>
      </c>
      <c r="E5171" t="s">
        <v>22822</v>
      </c>
      <c r="F5171" t="s">
        <v>31362</v>
      </c>
      <c r="G5171" t="s">
        <v>31368</v>
      </c>
      <c r="H5171" t="s">
        <v>15799</v>
      </c>
      <c r="I5171" t="s">
        <v>3815</v>
      </c>
      <c r="J5171" t="s">
        <v>34842</v>
      </c>
      <c r="K5171" t="s">
        <v>40666</v>
      </c>
      <c r="M5171" t="s">
        <v>41318</v>
      </c>
      <c r="N5171" t="s">
        <v>44905</v>
      </c>
      <c r="O5171" t="s">
        <v>44906</v>
      </c>
      <c r="P5171">
        <v>0</v>
      </c>
      <c r="Q5171">
        <v>1</v>
      </c>
      <c r="R5171" t="s">
        <v>44909</v>
      </c>
      <c r="S5171" t="s">
        <v>45060</v>
      </c>
      <c r="T5171" t="s">
        <v>46394</v>
      </c>
      <c r="U5171" t="s">
        <v>51116</v>
      </c>
      <c r="W5171" t="s">
        <v>41318</v>
      </c>
      <c r="X5171" t="s">
        <v>44911</v>
      </c>
    </row>
    <row r="5172" spans="1:24">
      <c r="A5172">
        <f>HYPERLINK("https://www.philgeps.gov.ph/GEPSNONPILOT/Tender/SplashBidNoticeAbstractUI.aspx?menuIndex=3&amp;refID=7076121&amp;Result=3","7076121")</f>
        <v>0</v>
      </c>
      <c r="B5172" t="s">
        <v>237</v>
      </c>
      <c r="C5172" t="s">
        <v>8466</v>
      </c>
      <c r="D5172" t="s">
        <v>18108</v>
      </c>
      <c r="E5172" t="s">
        <v>22823</v>
      </c>
      <c r="F5172" t="s">
        <v>31362</v>
      </c>
      <c r="G5172" t="s">
        <v>31368</v>
      </c>
      <c r="H5172" t="s">
        <v>15799</v>
      </c>
      <c r="I5172" t="s">
        <v>31396</v>
      </c>
      <c r="J5172" t="s">
        <v>34843</v>
      </c>
      <c r="K5172" t="s">
        <v>40670</v>
      </c>
      <c r="M5172" t="s">
        <v>42234</v>
      </c>
      <c r="N5172" t="s">
        <v>44905</v>
      </c>
      <c r="O5172" t="s">
        <v>44906</v>
      </c>
      <c r="P5172">
        <v>0</v>
      </c>
      <c r="Q5172">
        <v>2</v>
      </c>
      <c r="R5172" t="s">
        <v>44909</v>
      </c>
      <c r="S5172" t="s">
        <v>45060</v>
      </c>
      <c r="T5172" t="s">
        <v>46518</v>
      </c>
      <c r="U5172" t="s">
        <v>51117</v>
      </c>
      <c r="V5172" t="s">
        <v>59397</v>
      </c>
      <c r="W5172" t="s">
        <v>42234</v>
      </c>
      <c r="X5172" t="s">
        <v>44910</v>
      </c>
    </row>
    <row r="5173" spans="1:24">
      <c r="A5173">
        <f>HYPERLINK("https://www.philgeps.gov.ph/GEPSNONPILOT/Tender/SplashBidNoticeAbstractUI.aspx?menuIndex=3&amp;refID=7076106&amp;Result=3","7076106")</f>
        <v>0</v>
      </c>
      <c r="B5173" t="s">
        <v>1697</v>
      </c>
      <c r="C5173" t="s">
        <v>8467</v>
      </c>
      <c r="D5173" t="s">
        <v>18146</v>
      </c>
      <c r="E5173" t="s">
        <v>22824</v>
      </c>
      <c r="F5173" t="s">
        <v>31362</v>
      </c>
      <c r="G5173" t="s">
        <v>31369</v>
      </c>
      <c r="H5173" t="s">
        <v>15799</v>
      </c>
      <c r="I5173" t="s">
        <v>31421</v>
      </c>
      <c r="J5173" t="s">
        <v>34844</v>
      </c>
      <c r="K5173" t="s">
        <v>40681</v>
      </c>
      <c r="M5173" t="s">
        <v>42764</v>
      </c>
      <c r="N5173" t="s">
        <v>44905</v>
      </c>
      <c r="O5173" t="s">
        <v>44906</v>
      </c>
      <c r="P5173">
        <v>0</v>
      </c>
      <c r="Q5173">
        <v>2</v>
      </c>
      <c r="R5173" t="s">
        <v>44909</v>
      </c>
      <c r="S5173" t="s">
        <v>45060</v>
      </c>
      <c r="T5173" t="s">
        <v>46435</v>
      </c>
      <c r="U5173" t="s">
        <v>51118</v>
      </c>
      <c r="W5173" t="s">
        <v>42764</v>
      </c>
      <c r="X5173" t="s">
        <v>44910</v>
      </c>
    </row>
    <row r="5174" spans="1:24">
      <c r="A5174">
        <f>HYPERLINK("https://www.philgeps.gov.ph/GEPSNONPILOT/Tender/SplashBidNoticeAbstractUI.aspx?menuIndex=3&amp;refID=7076105&amp;Result=3","7076105")</f>
        <v>0</v>
      </c>
      <c r="B5174" t="s">
        <v>1698</v>
      </c>
      <c r="C5174" t="s">
        <v>8468</v>
      </c>
      <c r="D5174" t="s">
        <v>18134</v>
      </c>
      <c r="E5174" t="s">
        <v>22825</v>
      </c>
      <c r="F5174" t="s">
        <v>31362</v>
      </c>
      <c r="G5174" t="s">
        <v>31374</v>
      </c>
      <c r="H5174" t="s">
        <v>15799</v>
      </c>
      <c r="I5174" t="s">
        <v>31384</v>
      </c>
      <c r="J5174" t="s">
        <v>34691</v>
      </c>
      <c r="K5174" t="s">
        <v>40670</v>
      </c>
      <c r="M5174" t="s">
        <v>42765</v>
      </c>
      <c r="N5174" t="s">
        <v>44905</v>
      </c>
      <c r="O5174" t="s">
        <v>44906</v>
      </c>
      <c r="P5174">
        <v>0</v>
      </c>
      <c r="Q5174">
        <v>1</v>
      </c>
      <c r="R5174" t="s">
        <v>44909</v>
      </c>
      <c r="S5174" t="s">
        <v>45060</v>
      </c>
      <c r="T5174" t="s">
        <v>46467</v>
      </c>
      <c r="U5174" t="s">
        <v>51119</v>
      </c>
      <c r="W5174" t="s">
        <v>42765</v>
      </c>
      <c r="X5174" t="s">
        <v>44910</v>
      </c>
    </row>
    <row r="5175" spans="1:24">
      <c r="A5175">
        <f>HYPERLINK("https://www.philgeps.gov.ph/GEPSNONPILOT/Tender/SplashBidNoticeAbstractUI.aspx?menuIndex=3&amp;refID=7075635&amp;Result=3","7075635")</f>
        <v>0</v>
      </c>
      <c r="B5175" t="s">
        <v>224</v>
      </c>
      <c r="C5175" t="s">
        <v>8469</v>
      </c>
      <c r="D5175" t="s">
        <v>18149</v>
      </c>
      <c r="E5175" t="s">
        <v>20469</v>
      </c>
      <c r="F5175" t="s">
        <v>31362</v>
      </c>
      <c r="G5175" t="s">
        <v>31368</v>
      </c>
      <c r="H5175" t="s">
        <v>15799</v>
      </c>
      <c r="I5175" t="s">
        <v>31427</v>
      </c>
      <c r="J5175" t="s">
        <v>34845</v>
      </c>
      <c r="K5175" t="s">
        <v>40666</v>
      </c>
      <c r="M5175" t="s">
        <v>41163</v>
      </c>
      <c r="N5175" t="s">
        <v>44905</v>
      </c>
      <c r="O5175" t="s">
        <v>44906</v>
      </c>
      <c r="P5175">
        <v>0</v>
      </c>
      <c r="Q5175">
        <v>2</v>
      </c>
      <c r="R5175" t="s">
        <v>44909</v>
      </c>
      <c r="S5175" t="s">
        <v>45060</v>
      </c>
      <c r="T5175" t="s">
        <v>46432</v>
      </c>
      <c r="U5175" t="s">
        <v>51120</v>
      </c>
      <c r="W5175" t="s">
        <v>41163</v>
      </c>
      <c r="X5175" t="s">
        <v>44911</v>
      </c>
    </row>
    <row r="5176" spans="1:24">
      <c r="A5176">
        <f>HYPERLINK("https://www.philgeps.gov.ph/GEPSNONPILOT/Tender/SplashBidNoticeAbstractUI.aspx?menuIndex=3&amp;refID=7076079&amp;Result=3","7076079")</f>
        <v>0</v>
      </c>
      <c r="B5176" t="s">
        <v>1689</v>
      </c>
      <c r="C5176" t="s">
        <v>8470</v>
      </c>
      <c r="D5176" t="s">
        <v>18136</v>
      </c>
      <c r="E5176" t="s">
        <v>22826</v>
      </c>
      <c r="F5176" t="s">
        <v>31362</v>
      </c>
      <c r="G5176" t="s">
        <v>31368</v>
      </c>
      <c r="H5176" t="s">
        <v>15799</v>
      </c>
      <c r="I5176" t="s">
        <v>31433</v>
      </c>
      <c r="J5176" t="s">
        <v>34846</v>
      </c>
      <c r="K5176" t="s">
        <v>40665</v>
      </c>
      <c r="M5176" t="s">
        <v>42756</v>
      </c>
      <c r="N5176" t="s">
        <v>44905</v>
      </c>
      <c r="O5176" t="s">
        <v>44906</v>
      </c>
      <c r="P5176">
        <v>0</v>
      </c>
      <c r="Q5176">
        <v>1</v>
      </c>
      <c r="R5176" t="s">
        <v>44909</v>
      </c>
      <c r="S5176" t="s">
        <v>45060</v>
      </c>
      <c r="T5176" t="s">
        <v>46447</v>
      </c>
      <c r="U5176" t="s">
        <v>51121</v>
      </c>
      <c r="V5176" t="s">
        <v>59231</v>
      </c>
      <c r="W5176" t="s">
        <v>42756</v>
      </c>
      <c r="X5176" t="s">
        <v>44911</v>
      </c>
    </row>
    <row r="5177" spans="1:24">
      <c r="A5177">
        <f>HYPERLINK("https://www.philgeps.gov.ph/GEPSNONPILOT/Tender/SplashBidNoticeAbstractUI.aspx?menuIndex=3&amp;refID=7076107&amp;Result=3","7076107")</f>
        <v>0</v>
      </c>
      <c r="B5177" t="s">
        <v>1698</v>
      </c>
      <c r="C5177" t="s">
        <v>8471</v>
      </c>
      <c r="D5177" t="s">
        <v>18134</v>
      </c>
      <c r="E5177" t="s">
        <v>22827</v>
      </c>
      <c r="F5177" t="s">
        <v>31362</v>
      </c>
      <c r="G5177" t="s">
        <v>31374</v>
      </c>
      <c r="H5177" t="s">
        <v>15799</v>
      </c>
      <c r="I5177" t="s">
        <v>7188</v>
      </c>
      <c r="J5177" t="s">
        <v>31921</v>
      </c>
      <c r="K5177" t="s">
        <v>40670</v>
      </c>
      <c r="M5177" t="s">
        <v>42765</v>
      </c>
      <c r="N5177" t="s">
        <v>44905</v>
      </c>
      <c r="O5177" t="s">
        <v>44906</v>
      </c>
      <c r="P5177">
        <v>0</v>
      </c>
      <c r="Q5177">
        <v>0</v>
      </c>
      <c r="R5177" t="s">
        <v>44909</v>
      </c>
      <c r="S5177" t="s">
        <v>45060</v>
      </c>
      <c r="T5177" t="s">
        <v>46467</v>
      </c>
      <c r="U5177" t="s">
        <v>51119</v>
      </c>
      <c r="W5177" t="s">
        <v>42765</v>
      </c>
      <c r="X5177" t="s">
        <v>44910</v>
      </c>
    </row>
    <row r="5178" spans="1:24">
      <c r="A5178">
        <f>HYPERLINK("https://www.philgeps.gov.ph/GEPSNONPILOT/Tender/SplashBidNoticeAbstractUI.aspx?menuIndex=3&amp;refID=7076150&amp;Result=3","7076150")</f>
        <v>0</v>
      </c>
      <c r="B5178" t="s">
        <v>293</v>
      </c>
      <c r="C5178" t="s">
        <v>8472</v>
      </c>
      <c r="D5178" t="s">
        <v>18108</v>
      </c>
      <c r="E5178" t="s">
        <v>22828</v>
      </c>
      <c r="F5178" t="s">
        <v>31362</v>
      </c>
      <c r="G5178" t="s">
        <v>31368</v>
      </c>
      <c r="H5178" t="s">
        <v>15799</v>
      </c>
      <c r="I5178" t="s">
        <v>31444</v>
      </c>
      <c r="J5178" t="s">
        <v>33310</v>
      </c>
      <c r="K5178" t="s">
        <v>40661</v>
      </c>
      <c r="M5178" t="s">
        <v>41811</v>
      </c>
      <c r="N5178" t="s">
        <v>44905</v>
      </c>
      <c r="O5178" t="s">
        <v>44906</v>
      </c>
      <c r="P5178">
        <v>0</v>
      </c>
      <c r="Q5178">
        <v>5</v>
      </c>
      <c r="R5178" t="s">
        <v>44909</v>
      </c>
      <c r="S5178" t="s">
        <v>45060</v>
      </c>
      <c r="T5178" t="s">
        <v>46414</v>
      </c>
      <c r="U5178" t="s">
        <v>51122</v>
      </c>
      <c r="W5178" t="s">
        <v>41811</v>
      </c>
      <c r="X5178" t="s">
        <v>44910</v>
      </c>
    </row>
    <row r="5179" spans="1:24">
      <c r="A5179">
        <f>HYPERLINK("https://www.philgeps.gov.ph/GEPSNONPILOT/Tender/SplashBidNoticeAbstractUI.aspx?menuIndex=3&amp;refID=7076159&amp;Result=3","7076159")</f>
        <v>0</v>
      </c>
      <c r="B5179" t="s">
        <v>71</v>
      </c>
      <c r="C5179" t="s">
        <v>8473</v>
      </c>
      <c r="D5179" t="s">
        <v>18129</v>
      </c>
      <c r="E5179" t="s">
        <v>8473</v>
      </c>
      <c r="F5179" t="s">
        <v>31362</v>
      </c>
      <c r="G5179" t="s">
        <v>31368</v>
      </c>
      <c r="H5179" t="s">
        <v>15799</v>
      </c>
      <c r="I5179" t="s">
        <v>31415</v>
      </c>
      <c r="J5179" t="s">
        <v>32308</v>
      </c>
      <c r="K5179" t="s">
        <v>40666</v>
      </c>
      <c r="L5179" t="s">
        <v>71</v>
      </c>
      <c r="M5179" t="s">
        <v>41007</v>
      </c>
      <c r="N5179" t="s">
        <v>44905</v>
      </c>
      <c r="O5179" t="s">
        <v>44906</v>
      </c>
      <c r="P5179">
        <v>0</v>
      </c>
      <c r="Q5179">
        <v>0</v>
      </c>
      <c r="R5179" t="s">
        <v>44909</v>
      </c>
      <c r="S5179" t="s">
        <v>45060</v>
      </c>
      <c r="T5179" t="s">
        <v>46414</v>
      </c>
      <c r="U5179" t="s">
        <v>51123</v>
      </c>
      <c r="W5179" t="s">
        <v>41007</v>
      </c>
      <c r="X5179" t="s">
        <v>44910</v>
      </c>
    </row>
    <row r="5180" spans="1:24">
      <c r="A5180">
        <f>HYPERLINK("https://www.philgeps.gov.ph/GEPSNONPILOT/Tender/SplashBidNoticeAbstractUI.aspx?menuIndex=3&amp;refID=7076153&amp;Result=3","7076153")</f>
        <v>0</v>
      </c>
      <c r="B5180" t="s">
        <v>1699</v>
      </c>
      <c r="C5180" t="s">
        <v>8474</v>
      </c>
      <c r="D5180" t="s">
        <v>18155</v>
      </c>
      <c r="E5180" t="s">
        <v>22829</v>
      </c>
      <c r="F5180" t="s">
        <v>31362</v>
      </c>
      <c r="G5180" t="s">
        <v>31369</v>
      </c>
      <c r="H5180" t="s">
        <v>31378</v>
      </c>
      <c r="I5180" t="s">
        <v>31386</v>
      </c>
      <c r="J5180" t="s">
        <v>31578</v>
      </c>
      <c r="K5180" t="s">
        <v>40675</v>
      </c>
      <c r="M5180" t="s">
        <v>42766</v>
      </c>
      <c r="N5180" t="s">
        <v>44905</v>
      </c>
      <c r="O5180" t="s">
        <v>44906</v>
      </c>
      <c r="P5180">
        <v>0</v>
      </c>
      <c r="Q5180">
        <v>0</v>
      </c>
      <c r="R5180" t="s">
        <v>44909</v>
      </c>
      <c r="S5180" t="s">
        <v>45060</v>
      </c>
      <c r="T5180" t="s">
        <v>46435</v>
      </c>
      <c r="U5180" t="s">
        <v>51124</v>
      </c>
      <c r="W5180" t="s">
        <v>42766</v>
      </c>
      <c r="X5180" t="s">
        <v>44910</v>
      </c>
    </row>
    <row r="5181" spans="1:24">
      <c r="A5181">
        <f>HYPERLINK("https://www.philgeps.gov.ph/GEPSNONPILOT/Tender/SplashBidNoticeAbstractUI.aspx?menuIndex=3&amp;refID=7076152&amp;Result=3","7076152")</f>
        <v>0</v>
      </c>
      <c r="B5181" t="s">
        <v>1264</v>
      </c>
      <c r="C5181" t="s">
        <v>8475</v>
      </c>
      <c r="D5181" t="s">
        <v>18108</v>
      </c>
      <c r="E5181" t="s">
        <v>18553</v>
      </c>
      <c r="F5181" t="s">
        <v>31362</v>
      </c>
      <c r="G5181" t="s">
        <v>31368</v>
      </c>
      <c r="H5181" t="s">
        <v>15799</v>
      </c>
      <c r="I5181" t="s">
        <v>31380</v>
      </c>
      <c r="J5181" t="s">
        <v>34847</v>
      </c>
      <c r="K5181" t="s">
        <v>40665</v>
      </c>
      <c r="M5181" t="s">
        <v>42281</v>
      </c>
      <c r="N5181" t="s">
        <v>44905</v>
      </c>
      <c r="O5181" t="s">
        <v>44906</v>
      </c>
      <c r="P5181">
        <v>0</v>
      </c>
      <c r="Q5181">
        <v>2</v>
      </c>
      <c r="R5181" t="s">
        <v>44909</v>
      </c>
      <c r="S5181" t="s">
        <v>45060</v>
      </c>
      <c r="T5181" t="s">
        <v>46414</v>
      </c>
      <c r="U5181" t="s">
        <v>51125</v>
      </c>
      <c r="W5181" t="s">
        <v>42281</v>
      </c>
      <c r="X5181" t="s">
        <v>44910</v>
      </c>
    </row>
    <row r="5182" spans="1:24">
      <c r="A5182">
        <f>HYPERLINK("https://www.philgeps.gov.ph/GEPSNONPILOT/Tender/SplashBidNoticeAbstractUI.aspx?menuIndex=3&amp;refID=7076149&amp;Result=3","7076149")</f>
        <v>0</v>
      </c>
      <c r="B5182" t="s">
        <v>1700</v>
      </c>
      <c r="C5182" t="s">
        <v>8476</v>
      </c>
      <c r="D5182" t="s">
        <v>18140</v>
      </c>
      <c r="E5182" t="s">
        <v>22830</v>
      </c>
      <c r="F5182" t="s">
        <v>31362</v>
      </c>
      <c r="G5182" t="s">
        <v>31368</v>
      </c>
      <c r="H5182" t="s">
        <v>15799</v>
      </c>
      <c r="I5182" t="s">
        <v>6373</v>
      </c>
      <c r="J5182" t="s">
        <v>34848</v>
      </c>
      <c r="K5182" t="s">
        <v>40665</v>
      </c>
      <c r="M5182" t="s">
        <v>42767</v>
      </c>
      <c r="N5182" t="s">
        <v>44905</v>
      </c>
      <c r="O5182" t="s">
        <v>44906</v>
      </c>
      <c r="P5182">
        <v>0</v>
      </c>
      <c r="Q5182">
        <v>5</v>
      </c>
      <c r="R5182" t="s">
        <v>44909</v>
      </c>
      <c r="S5182" t="s">
        <v>45060</v>
      </c>
      <c r="T5182" t="s">
        <v>46399</v>
      </c>
      <c r="U5182" t="s">
        <v>51126</v>
      </c>
      <c r="W5182" t="s">
        <v>42767</v>
      </c>
      <c r="X5182" t="s">
        <v>44910</v>
      </c>
    </row>
    <row r="5183" spans="1:24">
      <c r="A5183">
        <f>HYPERLINK("https://www.philgeps.gov.ph/GEPSNONPILOT/Tender/SplashBidNoticeAbstractUI.aspx?menuIndex=3&amp;refID=7076147&amp;Result=3","7076147")</f>
        <v>0</v>
      </c>
      <c r="B5183" t="s">
        <v>303</v>
      </c>
      <c r="C5183" t="s">
        <v>8477</v>
      </c>
      <c r="D5183" t="s">
        <v>18121</v>
      </c>
      <c r="E5183" t="s">
        <v>22831</v>
      </c>
      <c r="F5183" t="s">
        <v>31362</v>
      </c>
      <c r="G5183" t="s">
        <v>31371</v>
      </c>
      <c r="H5183" t="s">
        <v>15799</v>
      </c>
      <c r="I5183" t="s">
        <v>7719</v>
      </c>
      <c r="J5183" t="s">
        <v>34849</v>
      </c>
      <c r="K5183" t="s">
        <v>40665</v>
      </c>
      <c r="M5183" t="s">
        <v>41247</v>
      </c>
      <c r="N5183" t="s">
        <v>44905</v>
      </c>
      <c r="O5183" t="s">
        <v>44906</v>
      </c>
      <c r="P5183">
        <v>0</v>
      </c>
      <c r="Q5183">
        <v>2</v>
      </c>
      <c r="R5183" t="s">
        <v>44909</v>
      </c>
      <c r="S5183" t="s">
        <v>45060</v>
      </c>
      <c r="T5183" t="s">
        <v>46409</v>
      </c>
      <c r="U5183" t="s">
        <v>51127</v>
      </c>
      <c r="W5183" t="s">
        <v>41247</v>
      </c>
      <c r="X5183" t="s">
        <v>44910</v>
      </c>
    </row>
    <row r="5184" spans="1:24">
      <c r="A5184">
        <f>HYPERLINK("https://www.philgeps.gov.ph/GEPSNONPILOT/Tender/SplashBidNoticeAbstractUI.aspx?menuIndex=3&amp;refID=7076145&amp;Result=3","7076145")</f>
        <v>0</v>
      </c>
      <c r="B5184" t="s">
        <v>1700</v>
      </c>
      <c r="C5184" t="s">
        <v>8478</v>
      </c>
      <c r="D5184" t="s">
        <v>18140</v>
      </c>
      <c r="E5184" t="s">
        <v>22832</v>
      </c>
      <c r="F5184" t="s">
        <v>31362</v>
      </c>
      <c r="G5184" t="s">
        <v>31368</v>
      </c>
      <c r="H5184" t="s">
        <v>15799</v>
      </c>
      <c r="I5184" t="s">
        <v>6240</v>
      </c>
      <c r="J5184" t="s">
        <v>34850</v>
      </c>
      <c r="K5184" t="s">
        <v>40665</v>
      </c>
      <c r="M5184" t="s">
        <v>42767</v>
      </c>
      <c r="N5184" t="s">
        <v>44905</v>
      </c>
      <c r="O5184" t="s">
        <v>44906</v>
      </c>
      <c r="P5184">
        <v>0</v>
      </c>
      <c r="Q5184">
        <v>0</v>
      </c>
      <c r="R5184" t="s">
        <v>44909</v>
      </c>
      <c r="S5184" t="s">
        <v>45060</v>
      </c>
      <c r="T5184" t="s">
        <v>46399</v>
      </c>
      <c r="U5184" t="s">
        <v>51126</v>
      </c>
      <c r="W5184" t="s">
        <v>42767</v>
      </c>
      <c r="X5184" t="s">
        <v>44910</v>
      </c>
    </row>
    <row r="5185" spans="1:24">
      <c r="A5185">
        <f>HYPERLINK("https://www.philgeps.gov.ph/GEPSNONPILOT/Tender/SplashBidNoticeAbstractUI.aspx?menuIndex=3&amp;refID=7076112&amp;Result=3","7076112")</f>
        <v>0</v>
      </c>
      <c r="B5185" t="s">
        <v>237</v>
      </c>
      <c r="C5185" t="s">
        <v>8479</v>
      </c>
      <c r="D5185" t="s">
        <v>18108</v>
      </c>
      <c r="E5185" t="s">
        <v>22833</v>
      </c>
      <c r="F5185" t="s">
        <v>31362</v>
      </c>
      <c r="G5185" t="s">
        <v>31368</v>
      </c>
      <c r="H5185" t="s">
        <v>15799</v>
      </c>
      <c r="I5185" t="s">
        <v>31384</v>
      </c>
      <c r="J5185" t="s">
        <v>31543</v>
      </c>
      <c r="K5185" t="s">
        <v>40670</v>
      </c>
      <c r="M5185" t="s">
        <v>42234</v>
      </c>
      <c r="N5185" t="s">
        <v>44905</v>
      </c>
      <c r="O5185" t="s">
        <v>44906</v>
      </c>
      <c r="P5185">
        <v>0</v>
      </c>
      <c r="Q5185">
        <v>17</v>
      </c>
      <c r="R5185" t="s">
        <v>44909</v>
      </c>
      <c r="S5185" t="s">
        <v>45060</v>
      </c>
      <c r="T5185" t="s">
        <v>46518</v>
      </c>
      <c r="U5185" t="s">
        <v>51128</v>
      </c>
      <c r="V5185" t="s">
        <v>59397</v>
      </c>
      <c r="W5185" t="s">
        <v>42234</v>
      </c>
      <c r="X5185" t="s">
        <v>44910</v>
      </c>
    </row>
    <row r="5186" spans="1:24">
      <c r="A5186">
        <f>HYPERLINK("https://www.philgeps.gov.ph/GEPSNONPILOT/Tender/SplashBidNoticeAbstractUI.aspx?menuIndex=3&amp;refID=7076144&amp;Result=3","7076144")</f>
        <v>0</v>
      </c>
      <c r="B5186" t="s">
        <v>1264</v>
      </c>
      <c r="C5186" t="s">
        <v>8480</v>
      </c>
      <c r="D5186" t="s">
        <v>18108</v>
      </c>
      <c r="E5186" t="s">
        <v>20783</v>
      </c>
      <c r="F5186" t="s">
        <v>31362</v>
      </c>
      <c r="G5186" t="s">
        <v>31368</v>
      </c>
      <c r="H5186" t="s">
        <v>15799</v>
      </c>
      <c r="I5186" t="s">
        <v>31393</v>
      </c>
      <c r="J5186" t="s">
        <v>32207</v>
      </c>
      <c r="K5186" t="s">
        <v>40665</v>
      </c>
      <c r="M5186" t="s">
        <v>42281</v>
      </c>
      <c r="N5186" t="s">
        <v>44905</v>
      </c>
      <c r="O5186" t="s">
        <v>44906</v>
      </c>
      <c r="P5186">
        <v>0</v>
      </c>
      <c r="Q5186">
        <v>17</v>
      </c>
      <c r="R5186" t="s">
        <v>44909</v>
      </c>
      <c r="S5186" t="s">
        <v>45060</v>
      </c>
      <c r="T5186" t="s">
        <v>46454</v>
      </c>
      <c r="U5186" t="s">
        <v>51129</v>
      </c>
      <c r="W5186" t="s">
        <v>42281</v>
      </c>
      <c r="X5186" t="s">
        <v>44910</v>
      </c>
    </row>
    <row r="5187" spans="1:24">
      <c r="A5187">
        <f>HYPERLINK("https://www.philgeps.gov.ph/GEPSNONPILOT/Tender/SplashBidNoticeAbstractUI.aspx?menuIndex=3&amp;refID=7076143&amp;Result=3","7076143")</f>
        <v>0</v>
      </c>
      <c r="B5187" t="s">
        <v>1701</v>
      </c>
      <c r="C5187" t="s">
        <v>8481</v>
      </c>
      <c r="D5187" t="s">
        <v>18110</v>
      </c>
      <c r="E5187" t="s">
        <v>22834</v>
      </c>
      <c r="F5187" t="s">
        <v>31362</v>
      </c>
      <c r="G5187" t="s">
        <v>31369</v>
      </c>
      <c r="H5187" t="s">
        <v>15799</v>
      </c>
      <c r="I5187" t="s">
        <v>31409</v>
      </c>
      <c r="J5187" t="s">
        <v>34851</v>
      </c>
      <c r="K5187" t="s">
        <v>40661</v>
      </c>
      <c r="M5187" t="s">
        <v>42768</v>
      </c>
      <c r="N5187" t="s">
        <v>44905</v>
      </c>
      <c r="O5187" t="s">
        <v>44906</v>
      </c>
      <c r="Q5187">
        <v>4</v>
      </c>
      <c r="R5187" t="s">
        <v>44909</v>
      </c>
      <c r="S5187" t="s">
        <v>45062</v>
      </c>
      <c r="T5187" t="s">
        <v>46473</v>
      </c>
      <c r="U5187" t="s">
        <v>51130</v>
      </c>
      <c r="W5187" t="s">
        <v>42768</v>
      </c>
      <c r="X5187" t="s">
        <v>44910</v>
      </c>
    </row>
    <row r="5188" spans="1:24">
      <c r="A5188">
        <f>HYPERLINK("https://www.philgeps.gov.ph/GEPSNONPILOT/Tender/SplashBidNoticeAbstractUI.aspx?menuIndex=3&amp;refID=7076140&amp;Result=3","7076140")</f>
        <v>0</v>
      </c>
      <c r="B5188" t="s">
        <v>49</v>
      </c>
      <c r="C5188" t="s">
        <v>8482</v>
      </c>
      <c r="D5188" t="s">
        <v>18108</v>
      </c>
      <c r="E5188" t="s">
        <v>18242</v>
      </c>
      <c r="F5188" t="s">
        <v>31362</v>
      </c>
      <c r="G5188" t="s">
        <v>31368</v>
      </c>
      <c r="H5188" t="s">
        <v>15799</v>
      </c>
      <c r="I5188" t="s">
        <v>31384</v>
      </c>
      <c r="J5188" t="s">
        <v>34852</v>
      </c>
      <c r="K5188" t="s">
        <v>40662</v>
      </c>
      <c r="M5188" t="s">
        <v>40983</v>
      </c>
      <c r="N5188" t="s">
        <v>44905</v>
      </c>
      <c r="O5188" t="s">
        <v>44906</v>
      </c>
      <c r="P5188">
        <v>0</v>
      </c>
      <c r="Q5188">
        <v>13</v>
      </c>
      <c r="R5188" t="s">
        <v>44909</v>
      </c>
      <c r="S5188" t="s">
        <v>45060</v>
      </c>
      <c r="T5188" t="s">
        <v>46454</v>
      </c>
      <c r="U5188" t="s">
        <v>51131</v>
      </c>
      <c r="W5188" t="s">
        <v>40983</v>
      </c>
      <c r="X5188" t="s">
        <v>44910</v>
      </c>
    </row>
    <row r="5189" spans="1:24">
      <c r="A5189">
        <f>HYPERLINK("https://www.philgeps.gov.ph/GEPSNONPILOT/Tender/SplashBidNoticeAbstractUI.aspx?menuIndex=3&amp;refID=7076138&amp;Result=3","7076138")</f>
        <v>0</v>
      </c>
      <c r="B5189" t="s">
        <v>1699</v>
      </c>
      <c r="C5189" t="s">
        <v>8483</v>
      </c>
      <c r="D5189" t="s">
        <v>18155</v>
      </c>
      <c r="E5189" t="s">
        <v>22835</v>
      </c>
      <c r="F5189" t="s">
        <v>31362</v>
      </c>
      <c r="G5189" t="s">
        <v>31369</v>
      </c>
      <c r="H5189" t="s">
        <v>31378</v>
      </c>
      <c r="I5189" t="s">
        <v>31386</v>
      </c>
      <c r="J5189" t="s">
        <v>31591</v>
      </c>
      <c r="K5189" t="s">
        <v>40798</v>
      </c>
      <c r="M5189" t="s">
        <v>42766</v>
      </c>
      <c r="N5189" t="s">
        <v>44905</v>
      </c>
      <c r="O5189" t="s">
        <v>44906</v>
      </c>
      <c r="P5189">
        <v>0</v>
      </c>
      <c r="Q5189">
        <v>0</v>
      </c>
      <c r="R5189" t="s">
        <v>44909</v>
      </c>
      <c r="S5189" t="s">
        <v>45060</v>
      </c>
      <c r="T5189" t="s">
        <v>46435</v>
      </c>
      <c r="U5189" t="s">
        <v>51132</v>
      </c>
      <c r="W5189" t="s">
        <v>42766</v>
      </c>
      <c r="X5189" t="s">
        <v>44910</v>
      </c>
    </row>
    <row r="5190" spans="1:24">
      <c r="A5190">
        <f>HYPERLINK("https://www.philgeps.gov.ph/GEPSNONPILOT/Tender/SplashBidNoticeAbstractUI.aspx?menuIndex=3&amp;refID=7076137&amp;Result=3","7076137")</f>
        <v>0</v>
      </c>
      <c r="B5190" t="s">
        <v>49</v>
      </c>
      <c r="C5190" t="s">
        <v>8484</v>
      </c>
      <c r="D5190" t="s">
        <v>18108</v>
      </c>
      <c r="E5190" t="s">
        <v>18269</v>
      </c>
      <c r="F5190" t="s">
        <v>31362</v>
      </c>
      <c r="G5190" t="s">
        <v>31368</v>
      </c>
      <c r="H5190" t="s">
        <v>15799</v>
      </c>
      <c r="I5190" t="s">
        <v>31462</v>
      </c>
      <c r="J5190" t="s">
        <v>34853</v>
      </c>
      <c r="K5190" t="s">
        <v>40662</v>
      </c>
      <c r="M5190" t="s">
        <v>40983</v>
      </c>
      <c r="N5190" t="s">
        <v>44905</v>
      </c>
      <c r="O5190" t="s">
        <v>44906</v>
      </c>
      <c r="P5190">
        <v>0</v>
      </c>
      <c r="Q5190">
        <v>13</v>
      </c>
      <c r="R5190" t="s">
        <v>44909</v>
      </c>
      <c r="S5190" t="s">
        <v>45060</v>
      </c>
      <c r="T5190" t="s">
        <v>46454</v>
      </c>
      <c r="U5190" t="s">
        <v>51133</v>
      </c>
      <c r="W5190" t="s">
        <v>40983</v>
      </c>
      <c r="X5190" t="s">
        <v>44910</v>
      </c>
    </row>
    <row r="5191" spans="1:24">
      <c r="A5191">
        <f>HYPERLINK("https://www.philgeps.gov.ph/GEPSNONPILOT/Tender/SplashBidNoticeAbstractUI.aspx?menuIndex=3&amp;refID=7076136&amp;Result=3","7076136")</f>
        <v>0</v>
      </c>
      <c r="B5191" t="s">
        <v>1702</v>
      </c>
      <c r="C5191" t="s">
        <v>8485</v>
      </c>
      <c r="D5191" t="s">
        <v>18116</v>
      </c>
      <c r="E5191" t="s">
        <v>22836</v>
      </c>
      <c r="F5191" t="s">
        <v>31362</v>
      </c>
      <c r="G5191" t="s">
        <v>31369</v>
      </c>
      <c r="H5191" t="s">
        <v>31378</v>
      </c>
      <c r="I5191" t="s">
        <v>31386</v>
      </c>
      <c r="J5191" t="s">
        <v>34854</v>
      </c>
      <c r="K5191" t="s">
        <v>40694</v>
      </c>
      <c r="M5191" t="s">
        <v>42769</v>
      </c>
      <c r="N5191" t="s">
        <v>44905</v>
      </c>
      <c r="O5191" t="s">
        <v>44906</v>
      </c>
      <c r="P5191">
        <v>0</v>
      </c>
      <c r="Q5191">
        <v>1</v>
      </c>
      <c r="R5191" t="s">
        <v>44909</v>
      </c>
      <c r="S5191" t="s">
        <v>45060</v>
      </c>
      <c r="T5191" t="s">
        <v>46406</v>
      </c>
      <c r="U5191" t="s">
        <v>51134</v>
      </c>
      <c r="V5191" t="s">
        <v>59556</v>
      </c>
      <c r="W5191" t="s">
        <v>42769</v>
      </c>
      <c r="X5191" t="s">
        <v>44910</v>
      </c>
    </row>
    <row r="5192" spans="1:24">
      <c r="A5192">
        <f>HYPERLINK("https://www.philgeps.gov.ph/GEPSNONPILOT/Tender/SplashBidNoticeAbstractUI.aspx?menuIndex=3&amp;refID=7074217&amp;Result=3","7074217")</f>
        <v>0</v>
      </c>
      <c r="B5192" t="s">
        <v>1550</v>
      </c>
      <c r="C5192" t="s">
        <v>8486</v>
      </c>
      <c r="D5192" t="s">
        <v>18134</v>
      </c>
      <c r="E5192" t="s">
        <v>22837</v>
      </c>
      <c r="F5192" t="s">
        <v>31362</v>
      </c>
      <c r="G5192" t="s">
        <v>31368</v>
      </c>
      <c r="H5192" t="s">
        <v>15799</v>
      </c>
      <c r="I5192" t="s">
        <v>3815</v>
      </c>
      <c r="J5192" t="s">
        <v>34855</v>
      </c>
      <c r="K5192" t="s">
        <v>40697</v>
      </c>
      <c r="M5192" t="s">
        <v>42598</v>
      </c>
      <c r="N5192" t="s">
        <v>44905</v>
      </c>
      <c r="O5192" t="s">
        <v>44906</v>
      </c>
      <c r="P5192">
        <v>0</v>
      </c>
      <c r="Q5192">
        <v>0</v>
      </c>
      <c r="R5192" t="s">
        <v>44909</v>
      </c>
      <c r="S5192" t="s">
        <v>45060</v>
      </c>
      <c r="T5192" t="s">
        <v>46406</v>
      </c>
      <c r="U5192" t="s">
        <v>51135</v>
      </c>
      <c r="W5192" t="s">
        <v>42598</v>
      </c>
      <c r="X5192" t="s">
        <v>44911</v>
      </c>
    </row>
    <row r="5193" spans="1:24">
      <c r="A5193">
        <f>HYPERLINK("https://www.philgeps.gov.ph/GEPSNONPILOT/Tender/SplashBidNoticeAbstractUI.aspx?menuIndex=3&amp;refID=7076133&amp;Result=3","7076133")</f>
        <v>0</v>
      </c>
      <c r="B5193" t="s">
        <v>79</v>
      </c>
      <c r="C5193" t="s">
        <v>8487</v>
      </c>
      <c r="D5193" t="s">
        <v>18114</v>
      </c>
      <c r="E5193" t="s">
        <v>22838</v>
      </c>
      <c r="F5193" t="s">
        <v>31362</v>
      </c>
      <c r="G5193" t="s">
        <v>31368</v>
      </c>
      <c r="H5193" t="s">
        <v>15799</v>
      </c>
      <c r="I5193" t="s">
        <v>31421</v>
      </c>
      <c r="J5193" t="s">
        <v>33058</v>
      </c>
      <c r="K5193" t="s">
        <v>40665</v>
      </c>
      <c r="M5193" t="s">
        <v>41015</v>
      </c>
      <c r="N5193" t="s">
        <v>44905</v>
      </c>
      <c r="O5193" t="s">
        <v>44906</v>
      </c>
      <c r="P5193">
        <v>0</v>
      </c>
      <c r="Q5193">
        <v>0</v>
      </c>
      <c r="R5193" t="s">
        <v>44909</v>
      </c>
      <c r="S5193" t="s">
        <v>45060</v>
      </c>
      <c r="T5193" t="s">
        <v>46434</v>
      </c>
      <c r="U5193" t="s">
        <v>51136</v>
      </c>
      <c r="W5193" t="s">
        <v>41015</v>
      </c>
      <c r="X5193" t="s">
        <v>44910</v>
      </c>
    </row>
    <row r="5194" spans="1:24">
      <c r="A5194">
        <f>HYPERLINK("https://www.philgeps.gov.ph/GEPSNONPILOT/Tender/SplashBidNoticeAbstractUI.aspx?menuIndex=3&amp;refID=7076155&amp;Result=3","7076155")</f>
        <v>0</v>
      </c>
      <c r="B5194" t="s">
        <v>179</v>
      </c>
      <c r="C5194" t="s">
        <v>8488</v>
      </c>
      <c r="E5194" t="s">
        <v>22839</v>
      </c>
      <c r="F5194" t="s">
        <v>31362</v>
      </c>
      <c r="G5194" t="s">
        <v>31372</v>
      </c>
      <c r="H5194" t="s">
        <v>15799</v>
      </c>
      <c r="I5194" t="s">
        <v>31409</v>
      </c>
      <c r="J5194" t="s">
        <v>33028</v>
      </c>
      <c r="K5194" t="s">
        <v>40675</v>
      </c>
      <c r="M5194" t="s">
        <v>41117</v>
      </c>
      <c r="N5194" t="s">
        <v>44905</v>
      </c>
      <c r="O5194" t="s">
        <v>44906</v>
      </c>
      <c r="P5194">
        <v>0</v>
      </c>
      <c r="Q5194">
        <v>3</v>
      </c>
      <c r="R5194" t="s">
        <v>44909</v>
      </c>
      <c r="S5194" t="s">
        <v>45060</v>
      </c>
      <c r="T5194" t="s">
        <v>46591</v>
      </c>
      <c r="U5194" t="s">
        <v>51137</v>
      </c>
      <c r="W5194" t="s">
        <v>41209</v>
      </c>
      <c r="X5194" t="s">
        <v>44910</v>
      </c>
    </row>
    <row r="5195" spans="1:24">
      <c r="A5195">
        <f>HYPERLINK("https://www.philgeps.gov.ph/GEPSNONPILOT/Tender/SplashBidNoticeAbstractUI.aspx?menuIndex=3&amp;refID=7076132&amp;Result=3","7076132")</f>
        <v>0</v>
      </c>
      <c r="B5195" t="s">
        <v>79</v>
      </c>
      <c r="C5195" t="s">
        <v>8489</v>
      </c>
      <c r="D5195" t="s">
        <v>18114</v>
      </c>
      <c r="E5195" t="s">
        <v>22840</v>
      </c>
      <c r="F5195" t="s">
        <v>31362</v>
      </c>
      <c r="G5195" t="s">
        <v>31368</v>
      </c>
      <c r="H5195" t="s">
        <v>15799</v>
      </c>
      <c r="I5195" t="s">
        <v>31421</v>
      </c>
      <c r="J5195" t="s">
        <v>33058</v>
      </c>
      <c r="K5195" t="s">
        <v>40665</v>
      </c>
      <c r="M5195" t="s">
        <v>41015</v>
      </c>
      <c r="N5195" t="s">
        <v>44905</v>
      </c>
      <c r="O5195" t="s">
        <v>44906</v>
      </c>
      <c r="P5195">
        <v>0</v>
      </c>
      <c r="Q5195">
        <v>1</v>
      </c>
      <c r="R5195" t="s">
        <v>44909</v>
      </c>
      <c r="S5195" t="s">
        <v>45060</v>
      </c>
      <c r="T5195" t="s">
        <v>46434</v>
      </c>
      <c r="U5195" t="s">
        <v>51138</v>
      </c>
      <c r="W5195" t="s">
        <v>41015</v>
      </c>
      <c r="X5195" t="s">
        <v>44910</v>
      </c>
    </row>
    <row r="5196" spans="1:24">
      <c r="A5196">
        <f>HYPERLINK("https://www.philgeps.gov.ph/GEPSNONPILOT/Tender/SplashBidNoticeAbstractUI.aspx?menuIndex=3&amp;refID=7076104&amp;Result=3","7076104")</f>
        <v>0</v>
      </c>
      <c r="B5196" t="s">
        <v>1703</v>
      </c>
      <c r="C5196" t="s">
        <v>8490</v>
      </c>
      <c r="D5196" t="s">
        <v>18102</v>
      </c>
      <c r="E5196" t="s">
        <v>22841</v>
      </c>
      <c r="F5196" t="s">
        <v>31362</v>
      </c>
      <c r="G5196" t="s">
        <v>31369</v>
      </c>
      <c r="H5196" t="s">
        <v>31378</v>
      </c>
      <c r="I5196" t="s">
        <v>31386</v>
      </c>
      <c r="J5196" t="s">
        <v>34856</v>
      </c>
      <c r="K5196" t="s">
        <v>40662</v>
      </c>
      <c r="M5196" t="s">
        <v>42770</v>
      </c>
      <c r="N5196" t="s">
        <v>44905</v>
      </c>
      <c r="O5196" t="s">
        <v>44906</v>
      </c>
      <c r="P5196">
        <v>0</v>
      </c>
      <c r="Q5196">
        <v>0</v>
      </c>
      <c r="R5196" t="s">
        <v>44909</v>
      </c>
      <c r="S5196" t="s">
        <v>45060</v>
      </c>
      <c r="T5196" t="s">
        <v>46503</v>
      </c>
      <c r="U5196" t="s">
        <v>51139</v>
      </c>
      <c r="W5196" t="s">
        <v>42770</v>
      </c>
      <c r="X5196" t="s">
        <v>44910</v>
      </c>
    </row>
    <row r="5197" spans="1:24">
      <c r="A5197">
        <f>HYPERLINK("https://www.philgeps.gov.ph/GEPSNONPILOT/Tender/SplashBidNoticeAbstractUI.aspx?menuIndex=3&amp;refID=7076103&amp;Result=3","7076103")</f>
        <v>0</v>
      </c>
      <c r="B5197" t="s">
        <v>1704</v>
      </c>
      <c r="C5197" t="s">
        <v>8491</v>
      </c>
      <c r="D5197" t="s">
        <v>18109</v>
      </c>
      <c r="E5197" t="s">
        <v>18203</v>
      </c>
      <c r="F5197" t="s">
        <v>31362</v>
      </c>
      <c r="G5197" t="s">
        <v>31370</v>
      </c>
      <c r="H5197" t="s">
        <v>15799</v>
      </c>
      <c r="I5197" t="s">
        <v>31390</v>
      </c>
      <c r="J5197" t="s">
        <v>34857</v>
      </c>
      <c r="K5197" t="s">
        <v>40661</v>
      </c>
      <c r="M5197" t="s">
        <v>42771</v>
      </c>
      <c r="N5197" t="s">
        <v>44905</v>
      </c>
      <c r="O5197" t="s">
        <v>44906</v>
      </c>
      <c r="P5197">
        <v>0</v>
      </c>
      <c r="Q5197">
        <v>0</v>
      </c>
      <c r="R5197" t="s">
        <v>44909</v>
      </c>
      <c r="S5197" t="s">
        <v>45060</v>
      </c>
      <c r="T5197" t="s">
        <v>46400</v>
      </c>
      <c r="U5197" t="s">
        <v>49920</v>
      </c>
      <c r="W5197" t="s">
        <v>42771</v>
      </c>
      <c r="X5197" t="s">
        <v>44910</v>
      </c>
    </row>
    <row r="5198" spans="1:24">
      <c r="A5198">
        <f>HYPERLINK("https://www.philgeps.gov.ph/GEPSNONPILOT/Tender/SplashBidNoticeAbstractUI.aspx?menuIndex=3&amp;refID=7076157&amp;Result=3","7076157")</f>
        <v>0</v>
      </c>
      <c r="B5198" t="s">
        <v>1705</v>
      </c>
      <c r="C5198" t="s">
        <v>8492</v>
      </c>
      <c r="D5198" t="s">
        <v>18170</v>
      </c>
      <c r="E5198" t="s">
        <v>22842</v>
      </c>
      <c r="F5198" t="s">
        <v>31362</v>
      </c>
      <c r="G5198" t="s">
        <v>31369</v>
      </c>
      <c r="H5198" t="s">
        <v>15799</v>
      </c>
      <c r="I5198" t="s">
        <v>31427</v>
      </c>
      <c r="J5198" t="s">
        <v>32739</v>
      </c>
      <c r="K5198" t="s">
        <v>40670</v>
      </c>
      <c r="L5198" t="s">
        <v>1705</v>
      </c>
      <c r="M5198" t="s">
        <v>42772</v>
      </c>
      <c r="N5198" t="s">
        <v>44905</v>
      </c>
      <c r="O5198" t="s">
        <v>44906</v>
      </c>
      <c r="P5198">
        <v>0</v>
      </c>
      <c r="Q5198">
        <v>0</v>
      </c>
      <c r="R5198" t="s">
        <v>44909</v>
      </c>
      <c r="S5198" t="s">
        <v>45060</v>
      </c>
      <c r="T5198" t="s">
        <v>46449</v>
      </c>
      <c r="U5198" t="s">
        <v>51140</v>
      </c>
      <c r="W5198" t="s">
        <v>42772</v>
      </c>
      <c r="X5198" t="s">
        <v>44910</v>
      </c>
    </row>
    <row r="5199" spans="1:24">
      <c r="A5199">
        <f>HYPERLINK("https://www.philgeps.gov.ph/GEPSNONPILOT/Tender/SplashBidNoticeAbstractUI.aspx?menuIndex=3&amp;refID=7076102&amp;Result=3","7076102")</f>
        <v>0</v>
      </c>
      <c r="B5199" t="s">
        <v>876</v>
      </c>
      <c r="C5199" t="s">
        <v>4048</v>
      </c>
      <c r="E5199" t="s">
        <v>22843</v>
      </c>
      <c r="F5199" t="s">
        <v>31362</v>
      </c>
      <c r="G5199" t="s">
        <v>31374</v>
      </c>
      <c r="H5199" t="s">
        <v>15799</v>
      </c>
      <c r="I5199" t="s">
        <v>31385</v>
      </c>
      <c r="J5199" t="s">
        <v>31943</v>
      </c>
      <c r="K5199" t="s">
        <v>40670</v>
      </c>
      <c r="M5199" t="s">
        <v>41852</v>
      </c>
      <c r="N5199" t="s">
        <v>44905</v>
      </c>
      <c r="O5199" t="s">
        <v>44906</v>
      </c>
      <c r="P5199">
        <v>0</v>
      </c>
      <c r="Q5199">
        <v>0</v>
      </c>
      <c r="R5199" t="s">
        <v>44909</v>
      </c>
      <c r="S5199" t="s">
        <v>45060</v>
      </c>
      <c r="T5199" t="s">
        <v>46416</v>
      </c>
      <c r="U5199" t="s">
        <v>51141</v>
      </c>
      <c r="W5199" t="s">
        <v>41852</v>
      </c>
      <c r="X5199" t="s">
        <v>44910</v>
      </c>
    </row>
    <row r="5200" spans="1:24">
      <c r="A5200">
        <f>HYPERLINK("https://www.philgeps.gov.ph/GEPSNONPILOT/Tender/SplashBidNoticeAbstractUI.aspx?menuIndex=3&amp;refID=7076099&amp;Result=3","7076099")</f>
        <v>0</v>
      </c>
      <c r="B5200" t="s">
        <v>1623</v>
      </c>
      <c r="C5200" t="s">
        <v>8493</v>
      </c>
      <c r="D5200" t="s">
        <v>18142</v>
      </c>
      <c r="E5200" t="s">
        <v>22844</v>
      </c>
      <c r="F5200" t="s">
        <v>31362</v>
      </c>
      <c r="G5200" t="s">
        <v>31370</v>
      </c>
      <c r="H5200" t="s">
        <v>15799</v>
      </c>
      <c r="I5200" t="s">
        <v>31422</v>
      </c>
      <c r="J5200" t="s">
        <v>32430</v>
      </c>
      <c r="K5200" t="s">
        <v>40661</v>
      </c>
      <c r="M5200" t="s">
        <v>42753</v>
      </c>
      <c r="N5200" t="s">
        <v>44905</v>
      </c>
      <c r="O5200" t="s">
        <v>44906</v>
      </c>
      <c r="P5200">
        <v>0</v>
      </c>
      <c r="Q5200">
        <v>5</v>
      </c>
      <c r="R5200" t="s">
        <v>44909</v>
      </c>
      <c r="S5200" t="s">
        <v>45060</v>
      </c>
      <c r="T5200" t="s">
        <v>46425</v>
      </c>
      <c r="U5200" t="s">
        <v>51142</v>
      </c>
      <c r="W5200" t="s">
        <v>42753</v>
      </c>
      <c r="X5200" t="s">
        <v>44910</v>
      </c>
    </row>
    <row r="5201" spans="1:24">
      <c r="A5201">
        <f>HYPERLINK("https://www.philgeps.gov.ph/GEPSNONPILOT/Tender/SplashBidNoticeAbstractUI.aspx?menuIndex=3&amp;refID=7076135&amp;Result=3","7076135")</f>
        <v>0</v>
      </c>
      <c r="B5201" t="s">
        <v>79</v>
      </c>
      <c r="C5201" t="s">
        <v>8494</v>
      </c>
      <c r="D5201" t="s">
        <v>18114</v>
      </c>
      <c r="E5201" t="s">
        <v>22845</v>
      </c>
      <c r="F5201" t="s">
        <v>31362</v>
      </c>
      <c r="G5201" t="s">
        <v>31368</v>
      </c>
      <c r="H5201" t="s">
        <v>15799</v>
      </c>
      <c r="I5201" t="s">
        <v>7090</v>
      </c>
      <c r="J5201" t="s">
        <v>31688</v>
      </c>
      <c r="K5201" t="s">
        <v>40665</v>
      </c>
      <c r="M5201" t="s">
        <v>41015</v>
      </c>
      <c r="N5201" t="s">
        <v>44905</v>
      </c>
      <c r="O5201" t="s">
        <v>44906</v>
      </c>
      <c r="P5201">
        <v>0</v>
      </c>
      <c r="Q5201">
        <v>0</v>
      </c>
      <c r="R5201" t="s">
        <v>44909</v>
      </c>
      <c r="S5201" t="s">
        <v>45060</v>
      </c>
      <c r="T5201" t="s">
        <v>46434</v>
      </c>
      <c r="U5201" t="s">
        <v>51143</v>
      </c>
      <c r="W5201" t="s">
        <v>41015</v>
      </c>
      <c r="X5201" t="s">
        <v>44910</v>
      </c>
    </row>
    <row r="5202" spans="1:24">
      <c r="A5202">
        <f>HYPERLINK("https://www.philgeps.gov.ph/GEPSNONPILOT/Tender/SplashBidNoticeAbstractUI.aspx?menuIndex=3&amp;refID=7076029&amp;Result=3","7076029")</f>
        <v>0</v>
      </c>
      <c r="B5202" t="s">
        <v>1706</v>
      </c>
      <c r="C5202" t="s">
        <v>8495</v>
      </c>
      <c r="D5202" t="s">
        <v>18112</v>
      </c>
      <c r="E5202" t="s">
        <v>22846</v>
      </c>
      <c r="F5202" t="s">
        <v>31362</v>
      </c>
      <c r="G5202" t="s">
        <v>31369</v>
      </c>
      <c r="H5202" t="s">
        <v>15799</v>
      </c>
      <c r="I5202" t="s">
        <v>7188</v>
      </c>
      <c r="J5202" t="s">
        <v>34858</v>
      </c>
      <c r="K5202" t="s">
        <v>40665</v>
      </c>
      <c r="M5202" t="s">
        <v>42773</v>
      </c>
      <c r="N5202" t="s">
        <v>44905</v>
      </c>
      <c r="O5202" t="s">
        <v>44906</v>
      </c>
      <c r="P5202">
        <v>0</v>
      </c>
      <c r="Q5202">
        <v>1</v>
      </c>
      <c r="R5202" t="s">
        <v>44909</v>
      </c>
      <c r="S5202" t="s">
        <v>45060</v>
      </c>
      <c r="T5202" t="s">
        <v>46588</v>
      </c>
      <c r="U5202" t="s">
        <v>51144</v>
      </c>
      <c r="V5202" t="s">
        <v>59557</v>
      </c>
      <c r="W5202" t="s">
        <v>42773</v>
      </c>
      <c r="X5202" t="s">
        <v>44911</v>
      </c>
    </row>
    <row r="5203" spans="1:24">
      <c r="A5203">
        <f>HYPERLINK("https://www.philgeps.gov.ph/GEPSNONPILOT/Tender/SplashBidNoticeAbstractUI.aspx?menuIndex=3&amp;refID=7075607&amp;Result=3","7075607")</f>
        <v>0</v>
      </c>
      <c r="B5203" t="s">
        <v>1388</v>
      </c>
      <c r="C5203" t="s">
        <v>8496</v>
      </c>
      <c r="E5203" t="s">
        <v>21613</v>
      </c>
      <c r="F5203" t="s">
        <v>31362</v>
      </c>
      <c r="G5203" t="s">
        <v>31369</v>
      </c>
      <c r="H5203" t="s">
        <v>15799</v>
      </c>
      <c r="I5203" t="s">
        <v>31404</v>
      </c>
      <c r="J5203" t="s">
        <v>31578</v>
      </c>
      <c r="K5203" t="s">
        <v>40662</v>
      </c>
      <c r="M5203" t="s">
        <v>42413</v>
      </c>
      <c r="N5203" t="s">
        <v>44905</v>
      </c>
      <c r="O5203" t="s">
        <v>44906</v>
      </c>
      <c r="P5203">
        <v>0</v>
      </c>
      <c r="Q5203">
        <v>0</v>
      </c>
      <c r="R5203" t="s">
        <v>44909</v>
      </c>
      <c r="S5203" t="s">
        <v>45060</v>
      </c>
      <c r="T5203" t="s">
        <v>46538</v>
      </c>
      <c r="U5203" t="s">
        <v>51145</v>
      </c>
      <c r="W5203" t="s">
        <v>42413</v>
      </c>
      <c r="X5203" t="s">
        <v>44911</v>
      </c>
    </row>
    <row r="5204" spans="1:24">
      <c r="A5204">
        <f>HYPERLINK("https://www.philgeps.gov.ph/GEPSNONPILOT/Tender/SplashBidNoticeAbstractUI.aspx?menuIndex=3&amp;refID=7075958&amp;Result=3","7075958")</f>
        <v>0</v>
      </c>
      <c r="B5204" t="s">
        <v>1707</v>
      </c>
      <c r="C5204" t="s">
        <v>8497</v>
      </c>
      <c r="D5204" t="s">
        <v>18111</v>
      </c>
      <c r="E5204" t="s">
        <v>22847</v>
      </c>
      <c r="F5204" t="s">
        <v>31362</v>
      </c>
      <c r="G5204" t="s">
        <v>31371</v>
      </c>
      <c r="H5204" t="s">
        <v>15799</v>
      </c>
      <c r="I5204" t="s">
        <v>6373</v>
      </c>
      <c r="J5204" t="s">
        <v>34859</v>
      </c>
      <c r="K5204" t="s">
        <v>40670</v>
      </c>
      <c r="M5204" t="s">
        <v>42774</v>
      </c>
      <c r="N5204" t="s">
        <v>44905</v>
      </c>
      <c r="O5204" t="s">
        <v>44906</v>
      </c>
      <c r="P5204">
        <v>0</v>
      </c>
      <c r="Q5204">
        <v>3</v>
      </c>
      <c r="R5204" t="s">
        <v>44909</v>
      </c>
      <c r="S5204" t="s">
        <v>45060</v>
      </c>
      <c r="T5204" t="s">
        <v>46432</v>
      </c>
      <c r="U5204" t="s">
        <v>51146</v>
      </c>
      <c r="W5204" t="s">
        <v>42774</v>
      </c>
      <c r="X5204" t="s">
        <v>44911</v>
      </c>
    </row>
    <row r="5205" spans="1:24">
      <c r="A5205">
        <f>HYPERLINK("https://www.philgeps.gov.ph/GEPSNONPILOT/Tender/SplashBidNoticeAbstractUI.aspx?menuIndex=3&amp;refID=7075803&amp;Result=3","7075803")</f>
        <v>0</v>
      </c>
      <c r="B5205" t="s">
        <v>1686</v>
      </c>
      <c r="C5205" t="s">
        <v>8498</v>
      </c>
      <c r="D5205" t="s">
        <v>18122</v>
      </c>
      <c r="E5205" t="s">
        <v>22848</v>
      </c>
      <c r="F5205" t="s">
        <v>31362</v>
      </c>
      <c r="G5205" t="s">
        <v>31369</v>
      </c>
      <c r="H5205" t="s">
        <v>15799</v>
      </c>
      <c r="I5205" t="s">
        <v>3815</v>
      </c>
      <c r="J5205" t="s">
        <v>34860</v>
      </c>
      <c r="K5205" t="s">
        <v>40665</v>
      </c>
      <c r="M5205" t="s">
        <v>42751</v>
      </c>
      <c r="N5205" t="s">
        <v>44905</v>
      </c>
      <c r="O5205" t="s">
        <v>44906</v>
      </c>
      <c r="P5205">
        <v>0</v>
      </c>
      <c r="Q5205">
        <v>0</v>
      </c>
      <c r="R5205" t="s">
        <v>44909</v>
      </c>
      <c r="S5205" t="s">
        <v>45060</v>
      </c>
      <c r="T5205" t="s">
        <v>46412</v>
      </c>
      <c r="U5205" t="s">
        <v>51147</v>
      </c>
      <c r="W5205" t="s">
        <v>42751</v>
      </c>
      <c r="X5205" t="s">
        <v>44911</v>
      </c>
    </row>
    <row r="5206" spans="1:24">
      <c r="A5206">
        <f>HYPERLINK("https://www.philgeps.gov.ph/GEPSNONPILOT/Tender/SplashBidNoticeAbstractUI.aspx?menuIndex=3&amp;refID=7075237&amp;Result=3","7075237")</f>
        <v>0</v>
      </c>
      <c r="B5206" t="s">
        <v>1687</v>
      </c>
      <c r="C5206" t="s">
        <v>8499</v>
      </c>
      <c r="D5206" t="s">
        <v>18123</v>
      </c>
      <c r="E5206" t="s">
        <v>22849</v>
      </c>
      <c r="F5206" t="s">
        <v>31362</v>
      </c>
      <c r="G5206" t="s">
        <v>31368</v>
      </c>
      <c r="H5206" t="s">
        <v>15799</v>
      </c>
      <c r="I5206" t="s">
        <v>31404</v>
      </c>
      <c r="J5206" t="s">
        <v>31734</v>
      </c>
      <c r="K5206" t="s">
        <v>40665</v>
      </c>
      <c r="M5206" t="s">
        <v>42752</v>
      </c>
      <c r="N5206" t="s">
        <v>44905</v>
      </c>
      <c r="O5206" t="s">
        <v>44906</v>
      </c>
      <c r="P5206">
        <v>0</v>
      </c>
      <c r="Q5206">
        <v>0</v>
      </c>
      <c r="R5206" t="s">
        <v>44909</v>
      </c>
      <c r="S5206" t="s">
        <v>45060</v>
      </c>
      <c r="T5206" t="s">
        <v>46435</v>
      </c>
      <c r="U5206" t="s">
        <v>51148</v>
      </c>
      <c r="V5206" t="s">
        <v>59550</v>
      </c>
      <c r="W5206" t="s">
        <v>42752</v>
      </c>
      <c r="X5206" t="s">
        <v>44911</v>
      </c>
    </row>
    <row r="5207" spans="1:24">
      <c r="A5207">
        <f>HYPERLINK("https://www.philgeps.gov.ph/GEPSNONPILOT/Tender/SplashBidNoticeAbstractUI.aspx?menuIndex=3&amp;refID=7075173&amp;Result=3","7075173")</f>
        <v>0</v>
      </c>
      <c r="B5207" t="s">
        <v>982</v>
      </c>
      <c r="C5207" t="s">
        <v>8500</v>
      </c>
      <c r="D5207" t="s">
        <v>18106</v>
      </c>
      <c r="E5207" t="s">
        <v>22850</v>
      </c>
      <c r="F5207" t="s">
        <v>31362</v>
      </c>
      <c r="G5207" t="s">
        <v>31369</v>
      </c>
      <c r="H5207" t="s">
        <v>15799</v>
      </c>
      <c r="I5207" t="s">
        <v>31422</v>
      </c>
      <c r="J5207" t="s">
        <v>34861</v>
      </c>
      <c r="K5207" t="s">
        <v>40665</v>
      </c>
      <c r="M5207" t="s">
        <v>41974</v>
      </c>
      <c r="N5207" t="s">
        <v>44905</v>
      </c>
      <c r="O5207" t="s">
        <v>44906</v>
      </c>
      <c r="P5207">
        <v>0</v>
      </c>
      <c r="Q5207">
        <v>2</v>
      </c>
      <c r="R5207" t="s">
        <v>44909</v>
      </c>
      <c r="S5207" t="s">
        <v>45060</v>
      </c>
      <c r="T5207" t="s">
        <v>46616</v>
      </c>
      <c r="U5207" t="s">
        <v>51149</v>
      </c>
      <c r="W5207" t="s">
        <v>41974</v>
      </c>
      <c r="X5207" t="s">
        <v>44911</v>
      </c>
    </row>
    <row r="5208" spans="1:24">
      <c r="A5208">
        <f>HYPERLINK("https://www.philgeps.gov.ph/GEPSNONPILOT/Tender/SplashBidNoticeAbstractUI.aspx?menuIndex=3&amp;refID=7076101&amp;Result=3","7076101")</f>
        <v>0</v>
      </c>
      <c r="B5208" t="s">
        <v>1623</v>
      </c>
      <c r="C5208" t="s">
        <v>8501</v>
      </c>
      <c r="D5208" t="s">
        <v>18142</v>
      </c>
      <c r="E5208" t="s">
        <v>22851</v>
      </c>
      <c r="F5208" t="s">
        <v>31362</v>
      </c>
      <c r="G5208" t="s">
        <v>31369</v>
      </c>
      <c r="H5208" t="s">
        <v>31378</v>
      </c>
      <c r="I5208" t="s">
        <v>31386</v>
      </c>
      <c r="J5208" t="s">
        <v>31591</v>
      </c>
      <c r="K5208" t="s">
        <v>40665</v>
      </c>
      <c r="M5208" t="s">
        <v>42753</v>
      </c>
      <c r="N5208" t="s">
        <v>44905</v>
      </c>
      <c r="O5208" t="s">
        <v>44906</v>
      </c>
      <c r="P5208">
        <v>0</v>
      </c>
      <c r="Q5208">
        <v>0</v>
      </c>
      <c r="R5208" t="s">
        <v>44909</v>
      </c>
      <c r="S5208" t="s">
        <v>45060</v>
      </c>
      <c r="T5208" t="s">
        <v>46392</v>
      </c>
      <c r="U5208" t="s">
        <v>51150</v>
      </c>
      <c r="W5208" t="s">
        <v>42753</v>
      </c>
      <c r="X5208" t="s">
        <v>44910</v>
      </c>
    </row>
    <row r="5209" spans="1:24">
      <c r="A5209">
        <f>HYPERLINK("https://www.philgeps.gov.ph/GEPSNONPILOT/Tender/SplashBidNoticeAbstractUI.aspx?menuIndex=3&amp;refID=7075088&amp;Result=3","7075088")</f>
        <v>0</v>
      </c>
      <c r="B5209" t="s">
        <v>233</v>
      </c>
      <c r="C5209" t="s">
        <v>8502</v>
      </c>
      <c r="D5209" t="s">
        <v>18108</v>
      </c>
      <c r="E5209" t="s">
        <v>22852</v>
      </c>
      <c r="F5209" t="s">
        <v>31362</v>
      </c>
      <c r="G5209" t="s">
        <v>31369</v>
      </c>
      <c r="H5209" t="s">
        <v>15799</v>
      </c>
      <c r="I5209" t="s">
        <v>31393</v>
      </c>
      <c r="J5209" t="s">
        <v>34862</v>
      </c>
      <c r="K5209" t="s">
        <v>40741</v>
      </c>
      <c r="M5209" t="s">
        <v>42775</v>
      </c>
      <c r="N5209" t="s">
        <v>44905</v>
      </c>
      <c r="O5209" t="s">
        <v>44906</v>
      </c>
      <c r="P5209">
        <v>0</v>
      </c>
      <c r="Q5209">
        <v>7</v>
      </c>
      <c r="R5209" t="s">
        <v>44909</v>
      </c>
      <c r="S5209" t="s">
        <v>45060</v>
      </c>
      <c r="T5209" t="s">
        <v>46696</v>
      </c>
      <c r="U5209" t="s">
        <v>51151</v>
      </c>
      <c r="V5209" t="s">
        <v>59558</v>
      </c>
      <c r="W5209" t="s">
        <v>42775</v>
      </c>
      <c r="X5209" t="s">
        <v>44911</v>
      </c>
    </row>
    <row r="5210" spans="1:24">
      <c r="A5210">
        <f>HYPERLINK("https://www.philgeps.gov.ph/GEPSNONPILOT/Tender/SplashBidNoticeAbstractUI.aspx?menuIndex=3&amp;refID=7074999&amp;Result=3","7074999")</f>
        <v>0</v>
      </c>
      <c r="B5210" t="s">
        <v>1677</v>
      </c>
      <c r="C5210" t="s">
        <v>8503</v>
      </c>
      <c r="D5210" t="s">
        <v>18154</v>
      </c>
      <c r="E5210" t="s">
        <v>22853</v>
      </c>
      <c r="F5210" t="s">
        <v>31362</v>
      </c>
      <c r="G5210" t="s">
        <v>31369</v>
      </c>
      <c r="H5210" t="s">
        <v>31377</v>
      </c>
      <c r="I5210" t="s">
        <v>31377</v>
      </c>
      <c r="J5210" t="s">
        <v>34863</v>
      </c>
      <c r="K5210" t="s">
        <v>40665</v>
      </c>
      <c r="M5210" t="s">
        <v>42742</v>
      </c>
      <c r="N5210" t="s">
        <v>44905</v>
      </c>
      <c r="O5210" t="s">
        <v>44906</v>
      </c>
      <c r="P5210">
        <v>0</v>
      </c>
      <c r="Q5210">
        <v>4</v>
      </c>
      <c r="R5210" t="s">
        <v>44909</v>
      </c>
      <c r="S5210" t="s">
        <v>45060</v>
      </c>
      <c r="T5210" t="s">
        <v>46429</v>
      </c>
      <c r="U5210" t="s">
        <v>51152</v>
      </c>
      <c r="V5210" t="s">
        <v>59559</v>
      </c>
      <c r="W5210" t="s">
        <v>42742</v>
      </c>
      <c r="X5210" t="s">
        <v>44911</v>
      </c>
    </row>
    <row r="5211" spans="1:24">
      <c r="A5211">
        <f>HYPERLINK("https://www.philgeps.gov.ph/GEPSNONPILOT/Tender/SplashBidNoticeAbstractUI.aspx?menuIndex=3&amp;refID=7075932&amp;Result=3","7075932")</f>
        <v>0</v>
      </c>
      <c r="B5211" t="s">
        <v>1708</v>
      </c>
      <c r="C5211" t="s">
        <v>8504</v>
      </c>
      <c r="D5211" t="s">
        <v>18112</v>
      </c>
      <c r="E5211" t="s">
        <v>22854</v>
      </c>
      <c r="F5211" t="s">
        <v>31362</v>
      </c>
      <c r="G5211" t="s">
        <v>31370</v>
      </c>
      <c r="H5211" t="s">
        <v>15799</v>
      </c>
      <c r="I5211" t="s">
        <v>31390</v>
      </c>
      <c r="J5211" t="s">
        <v>34864</v>
      </c>
      <c r="K5211" t="s">
        <v>40693</v>
      </c>
      <c r="M5211" t="s">
        <v>42776</v>
      </c>
      <c r="N5211" t="s">
        <v>44905</v>
      </c>
      <c r="O5211" t="s">
        <v>44906</v>
      </c>
      <c r="P5211">
        <v>0</v>
      </c>
      <c r="Q5211">
        <v>0</v>
      </c>
      <c r="R5211" t="s">
        <v>44909</v>
      </c>
      <c r="S5211" t="s">
        <v>45060</v>
      </c>
      <c r="T5211" t="s">
        <v>46699</v>
      </c>
      <c r="U5211" t="s">
        <v>51153</v>
      </c>
      <c r="W5211" t="s">
        <v>42776</v>
      </c>
      <c r="X5211" t="s">
        <v>44911</v>
      </c>
    </row>
    <row r="5212" spans="1:24">
      <c r="A5212">
        <f>HYPERLINK("https://www.philgeps.gov.ph/GEPSNONPILOT/Tender/SplashBidNoticeAbstractUI.aspx?menuIndex=3&amp;refID=7076188&amp;Result=3","7076188")</f>
        <v>0</v>
      </c>
      <c r="B5212" t="s">
        <v>1709</v>
      </c>
      <c r="C5212" t="s">
        <v>8505</v>
      </c>
      <c r="D5212" t="s">
        <v>18136</v>
      </c>
      <c r="E5212" t="s">
        <v>22855</v>
      </c>
      <c r="F5212" t="s">
        <v>31362</v>
      </c>
      <c r="G5212" t="s">
        <v>31368</v>
      </c>
      <c r="H5212" t="s">
        <v>15799</v>
      </c>
      <c r="I5212" t="s">
        <v>31404</v>
      </c>
      <c r="J5212" t="s">
        <v>31578</v>
      </c>
      <c r="K5212" t="s">
        <v>40678</v>
      </c>
      <c r="M5212" t="s">
        <v>42777</v>
      </c>
      <c r="N5212" t="s">
        <v>44905</v>
      </c>
      <c r="O5212" t="s">
        <v>44906</v>
      </c>
      <c r="P5212">
        <v>0</v>
      </c>
      <c r="Q5212">
        <v>0</v>
      </c>
      <c r="R5212" t="s">
        <v>44909</v>
      </c>
      <c r="S5212" t="s">
        <v>45060</v>
      </c>
      <c r="T5212" t="s">
        <v>46549</v>
      </c>
      <c r="U5212" t="s">
        <v>51154</v>
      </c>
      <c r="W5212" t="s">
        <v>42777</v>
      </c>
      <c r="X5212" t="s">
        <v>44910</v>
      </c>
    </row>
    <row r="5213" spans="1:24">
      <c r="A5213">
        <f>HYPERLINK("https://www.philgeps.gov.ph/GEPSNONPILOT/Tender/SplashBidNoticeAbstractUI.aspx?menuIndex=3&amp;refID=7076139&amp;Result=3","7076139")</f>
        <v>0</v>
      </c>
      <c r="B5213" t="s">
        <v>1702</v>
      </c>
      <c r="C5213" t="s">
        <v>8506</v>
      </c>
      <c r="D5213" t="s">
        <v>18116</v>
      </c>
      <c r="E5213" t="s">
        <v>22856</v>
      </c>
      <c r="F5213" t="s">
        <v>31362</v>
      </c>
      <c r="G5213" t="s">
        <v>31369</v>
      </c>
      <c r="H5213" t="s">
        <v>31378</v>
      </c>
      <c r="I5213" t="s">
        <v>31386</v>
      </c>
      <c r="J5213" t="s">
        <v>33028</v>
      </c>
      <c r="K5213" t="s">
        <v>40694</v>
      </c>
      <c r="M5213" t="s">
        <v>42769</v>
      </c>
      <c r="N5213" t="s">
        <v>44905</v>
      </c>
      <c r="O5213" t="s">
        <v>44906</v>
      </c>
      <c r="P5213">
        <v>0</v>
      </c>
      <c r="Q5213">
        <v>1</v>
      </c>
      <c r="R5213" t="s">
        <v>44909</v>
      </c>
      <c r="S5213" t="s">
        <v>45060</v>
      </c>
      <c r="T5213" t="s">
        <v>46406</v>
      </c>
      <c r="U5213" t="s">
        <v>51155</v>
      </c>
      <c r="V5213" t="s">
        <v>59560</v>
      </c>
      <c r="W5213" t="s">
        <v>42769</v>
      </c>
      <c r="X5213" t="s">
        <v>44910</v>
      </c>
    </row>
    <row r="5214" spans="1:24">
      <c r="A5214">
        <f>HYPERLINK("https://www.philgeps.gov.ph/GEPSNONPILOT/Tender/SplashBidNoticeAbstractUI.aspx?menuIndex=3&amp;refID=7076187&amp;Result=3","7076187")</f>
        <v>0</v>
      </c>
      <c r="B5214" t="s">
        <v>1710</v>
      </c>
      <c r="C5214" t="s">
        <v>8507</v>
      </c>
      <c r="D5214" t="s">
        <v>18119</v>
      </c>
      <c r="E5214" t="s">
        <v>22857</v>
      </c>
      <c r="F5214" t="s">
        <v>31362</v>
      </c>
      <c r="G5214" t="s">
        <v>31368</v>
      </c>
      <c r="H5214" t="s">
        <v>15799</v>
      </c>
      <c r="I5214" t="s">
        <v>31397</v>
      </c>
      <c r="J5214" t="s">
        <v>34865</v>
      </c>
      <c r="K5214" t="s">
        <v>40665</v>
      </c>
      <c r="M5214" t="s">
        <v>42778</v>
      </c>
      <c r="N5214" t="s">
        <v>44905</v>
      </c>
      <c r="O5214" t="s">
        <v>44906</v>
      </c>
      <c r="P5214">
        <v>0</v>
      </c>
      <c r="Q5214">
        <v>4</v>
      </c>
      <c r="R5214" t="s">
        <v>44909</v>
      </c>
      <c r="S5214" t="s">
        <v>45060</v>
      </c>
      <c r="T5214" t="s">
        <v>46412</v>
      </c>
      <c r="U5214" t="s">
        <v>51156</v>
      </c>
      <c r="W5214" t="s">
        <v>42778</v>
      </c>
      <c r="X5214" t="s">
        <v>44910</v>
      </c>
    </row>
    <row r="5215" spans="1:24">
      <c r="A5215">
        <f>HYPERLINK("https://www.philgeps.gov.ph/GEPSNONPILOT/Tender/SplashBidNoticeAbstractUI.aspx?menuIndex=3&amp;refID=7076186&amp;Result=3","7076186")</f>
        <v>0</v>
      </c>
      <c r="B5215" t="s">
        <v>1711</v>
      </c>
      <c r="C5215" t="s">
        <v>8508</v>
      </c>
      <c r="D5215" t="s">
        <v>18152</v>
      </c>
      <c r="E5215" t="s">
        <v>22858</v>
      </c>
      <c r="F5215" t="s">
        <v>31362</v>
      </c>
      <c r="G5215" t="s">
        <v>31368</v>
      </c>
      <c r="H5215" t="s">
        <v>15799</v>
      </c>
      <c r="I5215" t="s">
        <v>31393</v>
      </c>
      <c r="J5215" t="s">
        <v>31793</v>
      </c>
      <c r="K5215" t="s">
        <v>40665</v>
      </c>
      <c r="L5215" t="s">
        <v>1711</v>
      </c>
      <c r="M5215" t="s">
        <v>42779</v>
      </c>
      <c r="N5215" t="s">
        <v>44905</v>
      </c>
      <c r="O5215" t="s">
        <v>44906</v>
      </c>
      <c r="P5215">
        <v>0</v>
      </c>
      <c r="Q5215">
        <v>0</v>
      </c>
      <c r="R5215" t="s">
        <v>44909</v>
      </c>
      <c r="S5215" t="s">
        <v>45060</v>
      </c>
      <c r="T5215" t="s">
        <v>46399</v>
      </c>
      <c r="U5215" t="s">
        <v>51157</v>
      </c>
      <c r="V5215" t="s">
        <v>59561</v>
      </c>
      <c r="W5215" t="s">
        <v>42779</v>
      </c>
      <c r="X5215" t="s">
        <v>44910</v>
      </c>
    </row>
    <row r="5216" spans="1:24">
      <c r="A5216">
        <f>HYPERLINK("https://www.philgeps.gov.ph/GEPSNONPILOT/Tender/SplashBidNoticeAbstractUI.aspx?menuIndex=3&amp;refID=7076182&amp;Result=3","7076182")</f>
        <v>0</v>
      </c>
      <c r="B5216" t="s">
        <v>71</v>
      </c>
      <c r="C5216" t="s">
        <v>8509</v>
      </c>
      <c r="D5216" t="s">
        <v>18129</v>
      </c>
      <c r="E5216" t="s">
        <v>8509</v>
      </c>
      <c r="F5216" t="s">
        <v>31362</v>
      </c>
      <c r="G5216" t="s">
        <v>31368</v>
      </c>
      <c r="H5216" t="s">
        <v>15799</v>
      </c>
      <c r="I5216" t="s">
        <v>31380</v>
      </c>
      <c r="J5216" t="s">
        <v>34866</v>
      </c>
      <c r="K5216" t="s">
        <v>40666</v>
      </c>
      <c r="L5216" t="s">
        <v>71</v>
      </c>
      <c r="M5216" t="s">
        <v>41007</v>
      </c>
      <c r="N5216" t="s">
        <v>44905</v>
      </c>
      <c r="O5216" t="s">
        <v>44906</v>
      </c>
      <c r="P5216">
        <v>0</v>
      </c>
      <c r="Q5216">
        <v>2</v>
      </c>
      <c r="R5216" t="s">
        <v>44909</v>
      </c>
      <c r="S5216" t="s">
        <v>45060</v>
      </c>
      <c r="T5216" t="s">
        <v>46414</v>
      </c>
      <c r="U5216" t="s">
        <v>51158</v>
      </c>
      <c r="W5216" t="s">
        <v>41007</v>
      </c>
      <c r="X5216" t="s">
        <v>44910</v>
      </c>
    </row>
    <row r="5217" spans="1:24">
      <c r="A5217">
        <f>HYPERLINK("https://www.philgeps.gov.ph/GEPSNONPILOT/Tender/SplashBidNoticeAbstractUI.aspx?menuIndex=3&amp;refID=7076181&amp;Result=3","7076181")</f>
        <v>0</v>
      </c>
      <c r="B5217" t="s">
        <v>518</v>
      </c>
      <c r="C5217" t="s">
        <v>8510</v>
      </c>
      <c r="D5217" t="s">
        <v>18131</v>
      </c>
      <c r="E5217" t="s">
        <v>22859</v>
      </c>
      <c r="F5217" t="s">
        <v>31362</v>
      </c>
      <c r="G5217" t="s">
        <v>31368</v>
      </c>
      <c r="H5217" t="s">
        <v>15799</v>
      </c>
      <c r="I5217" t="s">
        <v>31380</v>
      </c>
      <c r="J5217" t="s">
        <v>34867</v>
      </c>
      <c r="K5217" t="s">
        <v>40662</v>
      </c>
      <c r="M5217" t="s">
        <v>41474</v>
      </c>
      <c r="N5217" t="s">
        <v>44905</v>
      </c>
      <c r="O5217" t="s">
        <v>44906</v>
      </c>
      <c r="P5217">
        <v>0</v>
      </c>
      <c r="Q5217">
        <v>5</v>
      </c>
      <c r="R5217" t="s">
        <v>44909</v>
      </c>
      <c r="S5217" t="s">
        <v>45060</v>
      </c>
      <c r="T5217" t="s">
        <v>46409</v>
      </c>
      <c r="U5217" t="s">
        <v>51159</v>
      </c>
      <c r="W5217" t="s">
        <v>41474</v>
      </c>
      <c r="X5217" t="s">
        <v>44910</v>
      </c>
    </row>
    <row r="5218" spans="1:24">
      <c r="A5218">
        <f>HYPERLINK("https://www.philgeps.gov.ph/GEPSNONPILOT/Tender/SplashBidNoticeAbstractUI.aspx?menuIndex=3&amp;refID=7076180&amp;Result=3","7076180")</f>
        <v>0</v>
      </c>
      <c r="B5218" t="s">
        <v>1712</v>
      </c>
      <c r="C5218" t="s">
        <v>8511</v>
      </c>
      <c r="D5218" t="s">
        <v>18117</v>
      </c>
      <c r="E5218" t="s">
        <v>22860</v>
      </c>
      <c r="F5218" t="s">
        <v>31362</v>
      </c>
      <c r="G5218" t="s">
        <v>31369</v>
      </c>
      <c r="H5218" t="s">
        <v>31378</v>
      </c>
      <c r="I5218" t="s">
        <v>31435</v>
      </c>
      <c r="J5218" t="s">
        <v>34868</v>
      </c>
      <c r="K5218" t="s">
        <v>40679</v>
      </c>
      <c r="M5218" t="s">
        <v>42780</v>
      </c>
      <c r="N5218" t="s">
        <v>44905</v>
      </c>
      <c r="O5218" t="s">
        <v>44906</v>
      </c>
      <c r="P5218">
        <v>0</v>
      </c>
      <c r="Q5218">
        <v>0</v>
      </c>
      <c r="R5218" t="s">
        <v>44909</v>
      </c>
      <c r="S5218" t="s">
        <v>45060</v>
      </c>
      <c r="T5218" t="s">
        <v>46481</v>
      </c>
      <c r="U5218" t="s">
        <v>51160</v>
      </c>
      <c r="W5218" t="s">
        <v>42780</v>
      </c>
      <c r="X5218" t="s">
        <v>44910</v>
      </c>
    </row>
    <row r="5219" spans="1:24">
      <c r="A5219">
        <f>HYPERLINK("https://www.philgeps.gov.ph/GEPSNONPILOT/Tender/SplashBidNoticeAbstractUI.aspx?menuIndex=3&amp;refID=7076179&amp;Result=3","7076179")</f>
        <v>0</v>
      </c>
      <c r="B5219" t="s">
        <v>1713</v>
      </c>
      <c r="C5219" t="s">
        <v>8460</v>
      </c>
      <c r="D5219" t="s">
        <v>18116</v>
      </c>
      <c r="E5219" t="s">
        <v>22861</v>
      </c>
      <c r="F5219" t="s">
        <v>31362</v>
      </c>
      <c r="G5219" t="s">
        <v>31368</v>
      </c>
      <c r="H5219" t="s">
        <v>31379</v>
      </c>
      <c r="I5219" t="s">
        <v>6240</v>
      </c>
      <c r="J5219" t="s">
        <v>31564</v>
      </c>
      <c r="K5219" t="s">
        <v>40666</v>
      </c>
      <c r="M5219" t="s">
        <v>42781</v>
      </c>
      <c r="N5219" t="s">
        <v>44905</v>
      </c>
      <c r="O5219" t="s">
        <v>44906</v>
      </c>
      <c r="P5219">
        <v>0</v>
      </c>
      <c r="Q5219">
        <v>0</v>
      </c>
      <c r="R5219" t="s">
        <v>44909</v>
      </c>
      <c r="S5219" t="s">
        <v>45060</v>
      </c>
      <c r="T5219" t="s">
        <v>46400</v>
      </c>
      <c r="U5219" t="s">
        <v>46933</v>
      </c>
      <c r="W5219" t="s">
        <v>42781</v>
      </c>
      <c r="X5219" t="s">
        <v>44910</v>
      </c>
    </row>
    <row r="5220" spans="1:24">
      <c r="A5220">
        <f>HYPERLINK("https://www.philgeps.gov.ph/GEPSNONPILOT/Tender/SplashBidNoticeAbstractUI.aspx?menuIndex=3&amp;refID=7076178&amp;Result=3","7076178")</f>
        <v>0</v>
      </c>
      <c r="B5220" t="s">
        <v>1714</v>
      </c>
      <c r="C5220" t="s">
        <v>8512</v>
      </c>
      <c r="E5220" t="s">
        <v>22862</v>
      </c>
      <c r="F5220" t="s">
        <v>31362</v>
      </c>
      <c r="G5220" t="s">
        <v>31369</v>
      </c>
      <c r="H5220" t="s">
        <v>31378</v>
      </c>
      <c r="I5220" t="s">
        <v>31386</v>
      </c>
      <c r="J5220" t="s">
        <v>33868</v>
      </c>
      <c r="K5220" t="s">
        <v>40719</v>
      </c>
      <c r="M5220" t="s">
        <v>42782</v>
      </c>
      <c r="N5220" t="s">
        <v>44905</v>
      </c>
      <c r="O5220" t="s">
        <v>44906</v>
      </c>
      <c r="P5220">
        <v>0</v>
      </c>
      <c r="Q5220">
        <v>0</v>
      </c>
      <c r="R5220" t="s">
        <v>44909</v>
      </c>
      <c r="S5220" t="s">
        <v>45060</v>
      </c>
      <c r="T5220" t="s">
        <v>46627</v>
      </c>
      <c r="U5220" t="s">
        <v>51161</v>
      </c>
      <c r="W5220" t="s">
        <v>42782</v>
      </c>
      <c r="X5220" t="s">
        <v>44910</v>
      </c>
    </row>
    <row r="5221" spans="1:24">
      <c r="A5221">
        <f>HYPERLINK("https://www.philgeps.gov.ph/GEPSNONPILOT/Tender/SplashBidNoticeAbstractUI.aspx?menuIndex=3&amp;refID=7076176&amp;Result=3","7076176")</f>
        <v>0</v>
      </c>
      <c r="B5221" t="s">
        <v>682</v>
      </c>
      <c r="C5221" t="s">
        <v>8513</v>
      </c>
      <c r="E5221" t="s">
        <v>22863</v>
      </c>
      <c r="F5221" t="s">
        <v>31362</v>
      </c>
      <c r="G5221" t="s">
        <v>31368</v>
      </c>
      <c r="H5221" t="s">
        <v>31378</v>
      </c>
      <c r="I5221" t="s">
        <v>31386</v>
      </c>
      <c r="J5221" t="s">
        <v>34869</v>
      </c>
      <c r="K5221" t="s">
        <v>40661</v>
      </c>
      <c r="M5221" t="s">
        <v>41644</v>
      </c>
      <c r="N5221" t="s">
        <v>44905</v>
      </c>
      <c r="O5221" t="s">
        <v>44906</v>
      </c>
      <c r="P5221">
        <v>0</v>
      </c>
      <c r="Q5221">
        <v>0</v>
      </c>
      <c r="R5221" t="s">
        <v>44909</v>
      </c>
      <c r="S5221" t="s">
        <v>45060</v>
      </c>
      <c r="T5221" t="s">
        <v>46541</v>
      </c>
      <c r="U5221" t="s">
        <v>51162</v>
      </c>
      <c r="V5221" t="s">
        <v>59224</v>
      </c>
      <c r="W5221" t="s">
        <v>41644</v>
      </c>
      <c r="X5221" t="s">
        <v>44910</v>
      </c>
    </row>
    <row r="5222" spans="1:24">
      <c r="A5222">
        <f>HYPERLINK("https://www.philgeps.gov.ph/GEPSNONPILOT/Tender/SplashBidNoticeAbstractUI.aspx?menuIndex=3&amp;refID=7076174&amp;Result=3","7076174")</f>
        <v>0</v>
      </c>
      <c r="B5222" t="s">
        <v>518</v>
      </c>
      <c r="C5222" t="s">
        <v>8514</v>
      </c>
      <c r="D5222" t="s">
        <v>18131</v>
      </c>
      <c r="E5222" t="s">
        <v>22864</v>
      </c>
      <c r="F5222" t="s">
        <v>31362</v>
      </c>
      <c r="G5222" t="s">
        <v>31368</v>
      </c>
      <c r="H5222" t="s">
        <v>15799</v>
      </c>
      <c r="I5222" t="s">
        <v>31394</v>
      </c>
      <c r="J5222" t="s">
        <v>34870</v>
      </c>
      <c r="K5222" t="s">
        <v>40662</v>
      </c>
      <c r="M5222" t="s">
        <v>41474</v>
      </c>
      <c r="N5222" t="s">
        <v>44905</v>
      </c>
      <c r="O5222" t="s">
        <v>44906</v>
      </c>
      <c r="P5222">
        <v>0</v>
      </c>
      <c r="Q5222">
        <v>4</v>
      </c>
      <c r="R5222" t="s">
        <v>44909</v>
      </c>
      <c r="S5222" t="s">
        <v>45060</v>
      </c>
      <c r="T5222" t="s">
        <v>46409</v>
      </c>
      <c r="U5222" t="s">
        <v>51163</v>
      </c>
      <c r="W5222" t="s">
        <v>41474</v>
      </c>
      <c r="X5222" t="s">
        <v>44910</v>
      </c>
    </row>
    <row r="5223" spans="1:24">
      <c r="A5223">
        <f>HYPERLINK("https://www.philgeps.gov.ph/GEPSNONPILOT/Tender/SplashBidNoticeAbstractUI.aspx?menuIndex=3&amp;refID=7076173&amp;Result=3","7076173")</f>
        <v>0</v>
      </c>
      <c r="B5223" t="s">
        <v>1445</v>
      </c>
      <c r="C5223" t="s">
        <v>8515</v>
      </c>
      <c r="D5223" t="s">
        <v>18107</v>
      </c>
      <c r="E5223" t="s">
        <v>22865</v>
      </c>
      <c r="F5223" t="s">
        <v>31362</v>
      </c>
      <c r="G5223" t="s">
        <v>31369</v>
      </c>
      <c r="H5223" t="s">
        <v>15799</v>
      </c>
      <c r="I5223" t="s">
        <v>3815</v>
      </c>
      <c r="J5223" t="s">
        <v>34871</v>
      </c>
      <c r="K5223" t="s">
        <v>40666</v>
      </c>
      <c r="M5223" t="s">
        <v>42474</v>
      </c>
      <c r="N5223" t="s">
        <v>44905</v>
      </c>
      <c r="O5223" t="s">
        <v>44906</v>
      </c>
      <c r="P5223">
        <v>0</v>
      </c>
      <c r="Q5223">
        <v>0</v>
      </c>
      <c r="R5223" t="s">
        <v>44909</v>
      </c>
      <c r="S5223" t="s">
        <v>45060</v>
      </c>
      <c r="T5223" t="s">
        <v>46511</v>
      </c>
      <c r="U5223" t="s">
        <v>51164</v>
      </c>
      <c r="W5223" t="s">
        <v>42474</v>
      </c>
      <c r="X5223" t="s">
        <v>44910</v>
      </c>
    </row>
    <row r="5224" spans="1:24">
      <c r="A5224">
        <f>HYPERLINK("https://www.philgeps.gov.ph/GEPSNONPILOT/Tender/SplashBidNoticeAbstractUI.aspx?menuIndex=3&amp;refID=7076171&amp;Result=3","7076171")</f>
        <v>0</v>
      </c>
      <c r="B5224" t="s">
        <v>1715</v>
      </c>
      <c r="C5224" t="s">
        <v>8516</v>
      </c>
      <c r="D5224" t="s">
        <v>18140</v>
      </c>
      <c r="E5224" t="s">
        <v>22165</v>
      </c>
      <c r="F5224" t="s">
        <v>31362</v>
      </c>
      <c r="G5224" t="s">
        <v>31369</v>
      </c>
      <c r="H5224" t="s">
        <v>15799</v>
      </c>
      <c r="I5224" t="s">
        <v>3815</v>
      </c>
      <c r="J5224" t="s">
        <v>34872</v>
      </c>
      <c r="K5224" t="s">
        <v>40666</v>
      </c>
      <c r="M5224" t="s">
        <v>42783</v>
      </c>
      <c r="N5224" t="s">
        <v>44905</v>
      </c>
      <c r="O5224" t="s">
        <v>44906</v>
      </c>
      <c r="P5224">
        <v>0</v>
      </c>
      <c r="Q5224">
        <v>0</v>
      </c>
      <c r="R5224" t="s">
        <v>44909</v>
      </c>
      <c r="S5224" t="s">
        <v>45060</v>
      </c>
      <c r="T5224" t="s">
        <v>46435</v>
      </c>
      <c r="U5224" t="s">
        <v>48618</v>
      </c>
      <c r="W5224" t="s">
        <v>42783</v>
      </c>
      <c r="X5224" t="s">
        <v>44910</v>
      </c>
    </row>
    <row r="5225" spans="1:24">
      <c r="A5225">
        <f>HYPERLINK("https://www.philgeps.gov.ph/GEPSNONPILOT/Tender/SplashBidNoticeAbstractUI.aspx?menuIndex=3&amp;refID=7076169&amp;Result=3","7076169")</f>
        <v>0</v>
      </c>
      <c r="B5225" t="s">
        <v>1702</v>
      </c>
      <c r="C5225" t="s">
        <v>8517</v>
      </c>
      <c r="D5225" t="s">
        <v>18116</v>
      </c>
      <c r="E5225" t="s">
        <v>22866</v>
      </c>
      <c r="F5225" t="s">
        <v>31362</v>
      </c>
      <c r="G5225" t="s">
        <v>31370</v>
      </c>
      <c r="H5225" t="s">
        <v>31378</v>
      </c>
      <c r="I5225" t="s">
        <v>31386</v>
      </c>
      <c r="J5225" t="s">
        <v>34873</v>
      </c>
      <c r="K5225" t="s">
        <v>40665</v>
      </c>
      <c r="M5225" t="s">
        <v>42769</v>
      </c>
      <c r="N5225" t="s">
        <v>44905</v>
      </c>
      <c r="O5225" t="s">
        <v>44906</v>
      </c>
      <c r="P5225">
        <v>0</v>
      </c>
      <c r="Q5225">
        <v>1</v>
      </c>
      <c r="R5225" t="s">
        <v>44909</v>
      </c>
      <c r="S5225" t="s">
        <v>45060</v>
      </c>
      <c r="T5225" t="s">
        <v>46443</v>
      </c>
      <c r="U5225" t="s">
        <v>51165</v>
      </c>
      <c r="V5225" t="s">
        <v>59562</v>
      </c>
      <c r="W5225" t="s">
        <v>42769</v>
      </c>
      <c r="X5225" t="s">
        <v>44910</v>
      </c>
    </row>
    <row r="5226" spans="1:24">
      <c r="A5226">
        <f>HYPERLINK("https://www.philgeps.gov.ph/GEPSNONPILOT/Tender/SplashBidNoticeAbstractUI.aspx?menuIndex=3&amp;refID=7076184&amp;Result=3","7076184")</f>
        <v>0</v>
      </c>
      <c r="B5226" t="s">
        <v>682</v>
      </c>
      <c r="C5226" t="s">
        <v>8518</v>
      </c>
      <c r="D5226" t="s">
        <v>18120</v>
      </c>
      <c r="E5226" t="s">
        <v>22867</v>
      </c>
      <c r="F5226" t="s">
        <v>31362</v>
      </c>
      <c r="G5226" t="s">
        <v>31368</v>
      </c>
      <c r="H5226" t="s">
        <v>31378</v>
      </c>
      <c r="I5226" t="s">
        <v>31386</v>
      </c>
      <c r="J5226" t="s">
        <v>34874</v>
      </c>
      <c r="K5226" t="s">
        <v>40665</v>
      </c>
      <c r="M5226" t="s">
        <v>41644</v>
      </c>
      <c r="N5226" t="s">
        <v>44905</v>
      </c>
      <c r="O5226" t="s">
        <v>44906</v>
      </c>
      <c r="P5226">
        <v>0</v>
      </c>
      <c r="Q5226">
        <v>0</v>
      </c>
      <c r="R5226" t="s">
        <v>44909</v>
      </c>
      <c r="S5226" t="s">
        <v>45060</v>
      </c>
      <c r="T5226" t="s">
        <v>46541</v>
      </c>
      <c r="U5226" t="s">
        <v>51166</v>
      </c>
      <c r="V5226" t="s">
        <v>59224</v>
      </c>
      <c r="W5226" t="s">
        <v>41644</v>
      </c>
      <c r="X5226" t="s">
        <v>44910</v>
      </c>
    </row>
    <row r="5227" spans="1:24">
      <c r="A5227">
        <f>HYPERLINK("https://www.philgeps.gov.ph/GEPSNONPILOT/Tender/SplashBidNoticeAbstractUI.aspx?menuIndex=3&amp;refID=7075050&amp;Result=3","7075050")</f>
        <v>0</v>
      </c>
      <c r="B5227" t="s">
        <v>1643</v>
      </c>
      <c r="C5227" t="s">
        <v>8519</v>
      </c>
      <c r="D5227" t="s">
        <v>18108</v>
      </c>
      <c r="E5227" t="s">
        <v>18440</v>
      </c>
      <c r="F5227" t="s">
        <v>31362</v>
      </c>
      <c r="G5227" t="s">
        <v>31369</v>
      </c>
      <c r="H5227" t="s">
        <v>31379</v>
      </c>
      <c r="I5227" t="s">
        <v>7090</v>
      </c>
      <c r="J5227" t="s">
        <v>34875</v>
      </c>
      <c r="K5227" t="s">
        <v>40666</v>
      </c>
      <c r="M5227" t="s">
        <v>42707</v>
      </c>
      <c r="N5227" t="s">
        <v>44905</v>
      </c>
      <c r="O5227" t="s">
        <v>44906</v>
      </c>
      <c r="P5227">
        <v>0</v>
      </c>
      <c r="Q5227">
        <v>1</v>
      </c>
      <c r="R5227" t="s">
        <v>44909</v>
      </c>
      <c r="S5227" t="s">
        <v>45060</v>
      </c>
      <c r="T5227" t="s">
        <v>46406</v>
      </c>
      <c r="U5227" t="s">
        <v>51167</v>
      </c>
      <c r="W5227" t="s">
        <v>42707</v>
      </c>
      <c r="X5227" t="s">
        <v>44911</v>
      </c>
    </row>
    <row r="5228" spans="1:24">
      <c r="A5228">
        <f>HYPERLINK("https://www.philgeps.gov.ph/GEPSNONPILOT/Tender/SplashBidNoticeAbstractUI.aspx?menuIndex=3&amp;refID=7076192&amp;Result=3","7076192")</f>
        <v>0</v>
      </c>
      <c r="B5228" t="s">
        <v>461</v>
      </c>
      <c r="C5228" t="s">
        <v>8520</v>
      </c>
      <c r="D5228" t="s">
        <v>18112</v>
      </c>
      <c r="E5228" t="s">
        <v>22868</v>
      </c>
      <c r="F5228" t="s">
        <v>31362</v>
      </c>
      <c r="G5228" t="s">
        <v>31368</v>
      </c>
      <c r="H5228" t="s">
        <v>15799</v>
      </c>
      <c r="I5228" t="s">
        <v>4057</v>
      </c>
      <c r="J5228" t="s">
        <v>32275</v>
      </c>
      <c r="K5228" t="s">
        <v>40670</v>
      </c>
      <c r="M5228" t="s">
        <v>41415</v>
      </c>
      <c r="N5228" t="s">
        <v>44905</v>
      </c>
      <c r="O5228" t="s">
        <v>44906</v>
      </c>
      <c r="P5228">
        <v>0</v>
      </c>
      <c r="Q5228">
        <v>0</v>
      </c>
      <c r="R5228" t="s">
        <v>44909</v>
      </c>
      <c r="S5228" t="s">
        <v>45060</v>
      </c>
      <c r="T5228" t="s">
        <v>46443</v>
      </c>
      <c r="U5228" t="s">
        <v>51168</v>
      </c>
      <c r="V5228" t="s">
        <v>59176</v>
      </c>
      <c r="W5228" t="s">
        <v>41415</v>
      </c>
      <c r="X5228" t="s">
        <v>44910</v>
      </c>
    </row>
    <row r="5229" spans="1:24">
      <c r="A5229">
        <f>HYPERLINK("https://www.philgeps.gov.ph/GEPSNONPILOT/Tender/SplashBidNoticeAbstractUI.aspx?menuIndex=3&amp;refID=7076221&amp;Result=3","7076221")</f>
        <v>0</v>
      </c>
      <c r="B5229" t="s">
        <v>216</v>
      </c>
      <c r="C5229" t="s">
        <v>8521</v>
      </c>
      <c r="D5229" t="s">
        <v>18113</v>
      </c>
      <c r="E5229" t="s">
        <v>22869</v>
      </c>
      <c r="F5229" t="s">
        <v>31362</v>
      </c>
      <c r="G5229" t="s">
        <v>31368</v>
      </c>
      <c r="H5229" t="s">
        <v>15799</v>
      </c>
      <c r="I5229" t="s">
        <v>3815</v>
      </c>
      <c r="J5229" t="s">
        <v>34876</v>
      </c>
      <c r="K5229" t="s">
        <v>40662</v>
      </c>
      <c r="M5229" t="s">
        <v>41155</v>
      </c>
      <c r="N5229" t="s">
        <v>44905</v>
      </c>
      <c r="O5229" t="s">
        <v>44906</v>
      </c>
      <c r="P5229">
        <v>0</v>
      </c>
      <c r="Q5229">
        <v>0</v>
      </c>
      <c r="R5229" t="s">
        <v>44909</v>
      </c>
      <c r="S5229" t="s">
        <v>45060</v>
      </c>
      <c r="T5229" t="s">
        <v>46432</v>
      </c>
      <c r="U5229" t="s">
        <v>51169</v>
      </c>
      <c r="V5229" t="s">
        <v>59107</v>
      </c>
      <c r="W5229" t="s">
        <v>41155</v>
      </c>
      <c r="X5229" t="s">
        <v>44910</v>
      </c>
    </row>
    <row r="5230" spans="1:24">
      <c r="A5230">
        <f>HYPERLINK("https://www.philgeps.gov.ph/GEPSNONPILOT/Tender/SplashBidNoticeAbstractUI.aspx?menuIndex=3&amp;refID=7076219&amp;Result=3","7076219")</f>
        <v>0</v>
      </c>
      <c r="B5230" t="s">
        <v>1711</v>
      </c>
      <c r="C5230" t="s">
        <v>8508</v>
      </c>
      <c r="D5230" t="s">
        <v>18152</v>
      </c>
      <c r="E5230" t="s">
        <v>22870</v>
      </c>
      <c r="F5230" t="s">
        <v>31362</v>
      </c>
      <c r="G5230" t="s">
        <v>31368</v>
      </c>
      <c r="H5230" t="s">
        <v>15799</v>
      </c>
      <c r="I5230" t="s">
        <v>31393</v>
      </c>
      <c r="J5230" t="s">
        <v>31723</v>
      </c>
      <c r="K5230" t="s">
        <v>40665</v>
      </c>
      <c r="L5230" t="s">
        <v>1711</v>
      </c>
      <c r="M5230" t="s">
        <v>42779</v>
      </c>
      <c r="N5230" t="s">
        <v>44905</v>
      </c>
      <c r="O5230" t="s">
        <v>44906</v>
      </c>
      <c r="P5230">
        <v>0</v>
      </c>
      <c r="Q5230">
        <v>0</v>
      </c>
      <c r="R5230" t="s">
        <v>44909</v>
      </c>
      <c r="S5230" t="s">
        <v>45060</v>
      </c>
      <c r="T5230" t="s">
        <v>46399</v>
      </c>
      <c r="U5230" t="s">
        <v>51157</v>
      </c>
      <c r="V5230" t="s">
        <v>59563</v>
      </c>
      <c r="W5230" t="s">
        <v>42779</v>
      </c>
      <c r="X5230" t="s">
        <v>44910</v>
      </c>
    </row>
    <row r="5231" spans="1:24">
      <c r="A5231">
        <f>HYPERLINK("https://www.philgeps.gov.ph/GEPSNONPILOT/Tender/SplashBidNoticeAbstractUI.aspx?menuIndex=3&amp;refID=7076218&amp;Result=3","7076218")</f>
        <v>0</v>
      </c>
      <c r="B5231" t="s">
        <v>49</v>
      </c>
      <c r="C5231" t="s">
        <v>8522</v>
      </c>
      <c r="D5231" t="s">
        <v>18108</v>
      </c>
      <c r="E5231" t="s">
        <v>22871</v>
      </c>
      <c r="F5231" t="s">
        <v>31362</v>
      </c>
      <c r="G5231" t="s">
        <v>31368</v>
      </c>
      <c r="H5231" t="s">
        <v>15799</v>
      </c>
      <c r="I5231" t="s">
        <v>31385</v>
      </c>
      <c r="J5231" t="s">
        <v>34877</v>
      </c>
      <c r="K5231" t="s">
        <v>40662</v>
      </c>
      <c r="M5231" t="s">
        <v>40983</v>
      </c>
      <c r="N5231" t="s">
        <v>44905</v>
      </c>
      <c r="O5231" t="s">
        <v>44906</v>
      </c>
      <c r="P5231">
        <v>0</v>
      </c>
      <c r="Q5231">
        <v>3</v>
      </c>
      <c r="R5231" t="s">
        <v>44909</v>
      </c>
      <c r="S5231" t="s">
        <v>45060</v>
      </c>
      <c r="T5231" t="s">
        <v>46454</v>
      </c>
      <c r="U5231" t="s">
        <v>51170</v>
      </c>
      <c r="W5231" t="s">
        <v>40983</v>
      </c>
      <c r="X5231" t="s">
        <v>44910</v>
      </c>
    </row>
    <row r="5232" spans="1:24">
      <c r="A5232">
        <f>HYPERLINK("https://www.philgeps.gov.ph/GEPSNONPILOT/Tender/SplashBidNoticeAbstractUI.aspx?menuIndex=3&amp;refID=7076131&amp;Result=3","7076131")</f>
        <v>0</v>
      </c>
      <c r="B5232" t="s">
        <v>1693</v>
      </c>
      <c r="C5232" t="s">
        <v>8523</v>
      </c>
      <c r="D5232" t="s">
        <v>18105</v>
      </c>
      <c r="E5232" t="s">
        <v>22872</v>
      </c>
      <c r="F5232" t="s">
        <v>31362</v>
      </c>
      <c r="G5232" t="s">
        <v>31369</v>
      </c>
      <c r="H5232" t="s">
        <v>15799</v>
      </c>
      <c r="I5232" t="s">
        <v>31433</v>
      </c>
      <c r="J5232" t="s">
        <v>31615</v>
      </c>
      <c r="K5232" t="s">
        <v>40665</v>
      </c>
      <c r="M5232" t="s">
        <v>42760</v>
      </c>
      <c r="N5232" t="s">
        <v>44905</v>
      </c>
      <c r="O5232" t="s">
        <v>44906</v>
      </c>
      <c r="P5232">
        <v>0</v>
      </c>
      <c r="Q5232">
        <v>3</v>
      </c>
      <c r="R5232" t="s">
        <v>44909</v>
      </c>
      <c r="S5232" t="s">
        <v>45060</v>
      </c>
      <c r="T5232" t="s">
        <v>46429</v>
      </c>
      <c r="U5232" t="s">
        <v>51171</v>
      </c>
      <c r="W5232" t="s">
        <v>42760</v>
      </c>
      <c r="X5232" t="s">
        <v>44910</v>
      </c>
    </row>
    <row r="5233" spans="1:24">
      <c r="A5233">
        <f>HYPERLINK("https://www.philgeps.gov.ph/GEPSNONPILOT/Tender/SplashBidNoticeAbstractUI.aspx?menuIndex=3&amp;refID=7076216&amp;Result=3","7076216")</f>
        <v>0</v>
      </c>
      <c r="B5233" t="s">
        <v>228</v>
      </c>
      <c r="C5233" t="s">
        <v>8524</v>
      </c>
      <c r="D5233" t="s">
        <v>18108</v>
      </c>
      <c r="E5233" t="s">
        <v>22873</v>
      </c>
      <c r="F5233" t="s">
        <v>31362</v>
      </c>
      <c r="G5233" t="s">
        <v>31368</v>
      </c>
      <c r="H5233" t="s">
        <v>15799</v>
      </c>
      <c r="I5233" t="s">
        <v>31380</v>
      </c>
      <c r="J5233" t="s">
        <v>34878</v>
      </c>
      <c r="K5233" t="s">
        <v>40662</v>
      </c>
      <c r="M5233" t="s">
        <v>41167</v>
      </c>
      <c r="N5233" t="s">
        <v>44905</v>
      </c>
      <c r="O5233" t="s">
        <v>44906</v>
      </c>
      <c r="P5233">
        <v>0</v>
      </c>
      <c r="Q5233">
        <v>1</v>
      </c>
      <c r="R5233" t="s">
        <v>44909</v>
      </c>
      <c r="S5233" t="s">
        <v>45060</v>
      </c>
      <c r="T5233" t="s">
        <v>46454</v>
      </c>
      <c r="U5233" t="s">
        <v>51172</v>
      </c>
      <c r="V5233" t="s">
        <v>59111</v>
      </c>
      <c r="W5233" t="s">
        <v>41167</v>
      </c>
      <c r="X5233" t="s">
        <v>44910</v>
      </c>
    </row>
    <row r="5234" spans="1:24">
      <c r="A5234">
        <f>HYPERLINK("https://www.philgeps.gov.ph/GEPSNONPILOT/Tender/SplashBidNoticeAbstractUI.aspx?menuIndex=3&amp;refID=7076215&amp;Result=3","7076215")</f>
        <v>0</v>
      </c>
      <c r="B5234" t="s">
        <v>190</v>
      </c>
      <c r="C5234" t="s">
        <v>3889</v>
      </c>
      <c r="D5234" t="s">
        <v>18110</v>
      </c>
      <c r="E5234" t="s">
        <v>22874</v>
      </c>
      <c r="F5234" t="s">
        <v>31362</v>
      </c>
      <c r="G5234" t="s">
        <v>31368</v>
      </c>
      <c r="H5234" t="s">
        <v>15799</v>
      </c>
      <c r="I5234" t="s">
        <v>4942</v>
      </c>
      <c r="J5234" t="s">
        <v>31806</v>
      </c>
      <c r="K5234" t="s">
        <v>40666</v>
      </c>
      <c r="M5234" t="s">
        <v>41128</v>
      </c>
      <c r="N5234" t="s">
        <v>44905</v>
      </c>
      <c r="O5234" t="s">
        <v>44906</v>
      </c>
      <c r="P5234">
        <v>0</v>
      </c>
      <c r="Q5234">
        <v>0</v>
      </c>
      <c r="R5234" t="s">
        <v>44909</v>
      </c>
      <c r="S5234" t="s">
        <v>45060</v>
      </c>
      <c r="T5234" t="s">
        <v>46409</v>
      </c>
      <c r="U5234" t="s">
        <v>51173</v>
      </c>
      <c r="V5234" t="s">
        <v>59564</v>
      </c>
      <c r="W5234" t="s">
        <v>41128</v>
      </c>
      <c r="X5234" t="s">
        <v>44910</v>
      </c>
    </row>
    <row r="5235" spans="1:24">
      <c r="A5235">
        <f>HYPERLINK("https://www.philgeps.gov.ph/GEPSNONPILOT/Tender/SplashBidNoticeAbstractUI.aspx?menuIndex=3&amp;refID=7076213&amp;Result=3","7076213")</f>
        <v>0</v>
      </c>
      <c r="B5235" t="s">
        <v>1716</v>
      </c>
      <c r="C5235" t="s">
        <v>8525</v>
      </c>
      <c r="D5235" t="s">
        <v>18101</v>
      </c>
      <c r="E5235" t="s">
        <v>22875</v>
      </c>
      <c r="F5235" t="s">
        <v>31362</v>
      </c>
      <c r="G5235" t="s">
        <v>31369</v>
      </c>
      <c r="H5235" t="s">
        <v>15799</v>
      </c>
      <c r="I5235" t="s">
        <v>7188</v>
      </c>
      <c r="J5235" t="s">
        <v>33864</v>
      </c>
      <c r="K5235" t="s">
        <v>40662</v>
      </c>
      <c r="M5235" t="s">
        <v>42784</v>
      </c>
      <c r="N5235" t="s">
        <v>44905</v>
      </c>
      <c r="O5235" t="s">
        <v>44906</v>
      </c>
      <c r="P5235">
        <v>0</v>
      </c>
      <c r="Q5235">
        <v>0</v>
      </c>
      <c r="R5235" t="s">
        <v>44909</v>
      </c>
      <c r="S5235" t="s">
        <v>45060</v>
      </c>
      <c r="T5235" t="s">
        <v>46426</v>
      </c>
      <c r="U5235" t="s">
        <v>51174</v>
      </c>
      <c r="V5235" t="s">
        <v>59231</v>
      </c>
      <c r="W5235" t="s">
        <v>42784</v>
      </c>
      <c r="X5235" t="s">
        <v>44910</v>
      </c>
    </row>
    <row r="5236" spans="1:24">
      <c r="A5236">
        <f>HYPERLINK("https://www.philgeps.gov.ph/GEPSNONPILOT/Tender/SplashBidNoticeAbstractUI.aspx?menuIndex=3&amp;refID=7076217&amp;Result=3","7076217")</f>
        <v>0</v>
      </c>
      <c r="B5236" t="s">
        <v>1717</v>
      </c>
      <c r="C5236" t="s">
        <v>8526</v>
      </c>
      <c r="D5236" t="s">
        <v>18141</v>
      </c>
      <c r="E5236" t="s">
        <v>20213</v>
      </c>
      <c r="F5236" t="s">
        <v>31362</v>
      </c>
      <c r="G5236" t="s">
        <v>31369</v>
      </c>
      <c r="H5236" t="s">
        <v>31378</v>
      </c>
      <c r="I5236" t="s">
        <v>31386</v>
      </c>
      <c r="J5236" t="s">
        <v>33868</v>
      </c>
      <c r="K5236" t="s">
        <v>40686</v>
      </c>
      <c r="M5236" t="s">
        <v>42785</v>
      </c>
      <c r="N5236" t="s">
        <v>44905</v>
      </c>
      <c r="O5236" t="s">
        <v>44906</v>
      </c>
      <c r="P5236">
        <v>0</v>
      </c>
      <c r="Q5236">
        <v>0</v>
      </c>
      <c r="R5236" t="s">
        <v>44909</v>
      </c>
      <c r="S5236" t="s">
        <v>45060</v>
      </c>
      <c r="T5236" t="s">
        <v>46700</v>
      </c>
      <c r="U5236" t="s">
        <v>51175</v>
      </c>
      <c r="W5236" t="s">
        <v>42785</v>
      </c>
      <c r="X5236" t="s">
        <v>44910</v>
      </c>
    </row>
    <row r="5237" spans="1:24">
      <c r="A5237">
        <f>HYPERLINK("https://www.philgeps.gov.ph/GEPSNONPILOT/Tender/SplashBidNoticeAbstractUI.aspx?menuIndex=3&amp;refID=7076208&amp;Result=3","7076208")</f>
        <v>0</v>
      </c>
      <c r="B5237" t="s">
        <v>1718</v>
      </c>
      <c r="C5237" t="s">
        <v>8527</v>
      </c>
      <c r="D5237" t="s">
        <v>18160</v>
      </c>
      <c r="E5237" t="s">
        <v>22876</v>
      </c>
      <c r="F5237" t="s">
        <v>31362</v>
      </c>
      <c r="G5237" t="s">
        <v>31368</v>
      </c>
      <c r="H5237" t="s">
        <v>31378</v>
      </c>
      <c r="I5237" t="s">
        <v>31435</v>
      </c>
      <c r="J5237" t="s">
        <v>34879</v>
      </c>
      <c r="K5237" t="s">
        <v>40715</v>
      </c>
      <c r="M5237" t="s">
        <v>42786</v>
      </c>
      <c r="N5237" t="s">
        <v>44905</v>
      </c>
      <c r="O5237" t="s">
        <v>44906</v>
      </c>
      <c r="P5237">
        <v>0</v>
      </c>
      <c r="Q5237">
        <v>0</v>
      </c>
      <c r="R5237" t="s">
        <v>44909</v>
      </c>
      <c r="S5237" t="s">
        <v>45060</v>
      </c>
      <c r="T5237" t="s">
        <v>46701</v>
      </c>
      <c r="U5237" t="s">
        <v>51176</v>
      </c>
      <c r="W5237" t="s">
        <v>42786</v>
      </c>
      <c r="X5237" t="s">
        <v>44910</v>
      </c>
    </row>
    <row r="5238" spans="1:24">
      <c r="A5238">
        <f>HYPERLINK("https://www.philgeps.gov.ph/GEPSNONPILOT/Tender/SplashBidNoticeAbstractUI.aspx?menuIndex=3&amp;refID=7076069&amp;Result=3","7076069")</f>
        <v>0</v>
      </c>
      <c r="B5238" t="s">
        <v>1689</v>
      </c>
      <c r="C5238" t="s">
        <v>8528</v>
      </c>
      <c r="D5238" t="s">
        <v>18136</v>
      </c>
      <c r="E5238" t="s">
        <v>22877</v>
      </c>
      <c r="F5238" t="s">
        <v>31362</v>
      </c>
      <c r="G5238" t="s">
        <v>31368</v>
      </c>
      <c r="H5238" t="s">
        <v>15799</v>
      </c>
      <c r="I5238" t="s">
        <v>31385</v>
      </c>
      <c r="J5238" t="s">
        <v>34880</v>
      </c>
      <c r="K5238" t="s">
        <v>40665</v>
      </c>
      <c r="M5238" t="s">
        <v>42756</v>
      </c>
      <c r="N5238" t="s">
        <v>44905</v>
      </c>
      <c r="O5238" t="s">
        <v>44906</v>
      </c>
      <c r="P5238">
        <v>0</v>
      </c>
      <c r="Q5238">
        <v>1</v>
      </c>
      <c r="R5238" t="s">
        <v>44909</v>
      </c>
      <c r="S5238" t="s">
        <v>45060</v>
      </c>
      <c r="T5238" t="s">
        <v>46447</v>
      </c>
      <c r="U5238" t="s">
        <v>51177</v>
      </c>
      <c r="V5238" t="s">
        <v>59231</v>
      </c>
      <c r="W5238" t="s">
        <v>42756</v>
      </c>
      <c r="X5238" t="s">
        <v>44911</v>
      </c>
    </row>
    <row r="5239" spans="1:24">
      <c r="A5239">
        <f>HYPERLINK("https://www.philgeps.gov.ph/GEPSNONPILOT/Tender/SplashBidNoticeAbstractUI.aspx?menuIndex=3&amp;refID=7076209&amp;Result=3","7076209")</f>
        <v>0</v>
      </c>
      <c r="B5239" t="s">
        <v>228</v>
      </c>
      <c r="C5239" t="s">
        <v>8529</v>
      </c>
      <c r="D5239" t="s">
        <v>18108</v>
      </c>
      <c r="E5239" t="s">
        <v>22878</v>
      </c>
      <c r="F5239" t="s">
        <v>31362</v>
      </c>
      <c r="G5239" t="s">
        <v>31368</v>
      </c>
      <c r="H5239" t="s">
        <v>15799</v>
      </c>
      <c r="I5239" t="s">
        <v>31380</v>
      </c>
      <c r="J5239" t="s">
        <v>34881</v>
      </c>
      <c r="K5239" t="s">
        <v>40662</v>
      </c>
      <c r="M5239" t="s">
        <v>41167</v>
      </c>
      <c r="N5239" t="s">
        <v>44905</v>
      </c>
      <c r="O5239" t="s">
        <v>44906</v>
      </c>
      <c r="P5239">
        <v>0</v>
      </c>
      <c r="Q5239">
        <v>2</v>
      </c>
      <c r="R5239" t="s">
        <v>44909</v>
      </c>
      <c r="S5239" t="s">
        <v>45060</v>
      </c>
      <c r="T5239" t="s">
        <v>46454</v>
      </c>
      <c r="U5239" t="s">
        <v>51172</v>
      </c>
      <c r="V5239" t="s">
        <v>59111</v>
      </c>
      <c r="W5239" t="s">
        <v>41167</v>
      </c>
      <c r="X5239" t="s">
        <v>44910</v>
      </c>
    </row>
    <row r="5240" spans="1:24">
      <c r="A5240">
        <f>HYPERLINK("https://www.philgeps.gov.ph/GEPSNONPILOT/Tender/SplashBidNoticeAbstractUI.aspx?menuIndex=3&amp;refID=7076200&amp;Result=3","7076200")</f>
        <v>0</v>
      </c>
      <c r="B5240" t="s">
        <v>1719</v>
      </c>
      <c r="C5240" t="s">
        <v>8530</v>
      </c>
      <c r="E5240" t="s">
        <v>22879</v>
      </c>
      <c r="F5240" t="s">
        <v>31362</v>
      </c>
      <c r="G5240" t="s">
        <v>31370</v>
      </c>
      <c r="H5240" t="s">
        <v>15799</v>
      </c>
      <c r="I5240" t="s">
        <v>6373</v>
      </c>
      <c r="J5240" t="s">
        <v>34882</v>
      </c>
      <c r="K5240" t="s">
        <v>40662</v>
      </c>
      <c r="M5240" t="s">
        <v>42787</v>
      </c>
      <c r="N5240" t="s">
        <v>44905</v>
      </c>
      <c r="O5240" t="s">
        <v>44906</v>
      </c>
      <c r="P5240">
        <v>0</v>
      </c>
      <c r="Q5240">
        <v>21</v>
      </c>
      <c r="R5240" t="s">
        <v>44909</v>
      </c>
      <c r="S5240" t="s">
        <v>45060</v>
      </c>
      <c r="T5240" t="s">
        <v>46434</v>
      </c>
      <c r="U5240" t="s">
        <v>51178</v>
      </c>
      <c r="W5240" t="s">
        <v>42787</v>
      </c>
      <c r="X5240" t="s">
        <v>44910</v>
      </c>
    </row>
    <row r="5241" spans="1:24">
      <c r="A5241">
        <f>HYPERLINK("https://www.philgeps.gov.ph/GEPSNONPILOT/Tender/SplashBidNoticeAbstractUI.aspx?menuIndex=3&amp;refID=7076199&amp;Result=3","7076199")</f>
        <v>0</v>
      </c>
      <c r="B5241" t="s">
        <v>272</v>
      </c>
      <c r="C5241" t="s">
        <v>8531</v>
      </c>
      <c r="D5241" t="s">
        <v>18110</v>
      </c>
      <c r="E5241" t="s">
        <v>22880</v>
      </c>
      <c r="F5241" t="s">
        <v>31362</v>
      </c>
      <c r="G5241" t="s">
        <v>31368</v>
      </c>
      <c r="H5241" t="s">
        <v>15799</v>
      </c>
      <c r="I5241" t="s">
        <v>7090</v>
      </c>
      <c r="J5241" t="s">
        <v>31793</v>
      </c>
      <c r="K5241" t="s">
        <v>40682</v>
      </c>
      <c r="M5241" t="s">
        <v>41214</v>
      </c>
      <c r="N5241" t="s">
        <v>44905</v>
      </c>
      <c r="O5241" t="s">
        <v>44906</v>
      </c>
      <c r="P5241">
        <v>0</v>
      </c>
      <c r="Q5241">
        <v>0</v>
      </c>
      <c r="R5241" t="s">
        <v>44909</v>
      </c>
      <c r="S5241" t="s">
        <v>45060</v>
      </c>
      <c r="T5241" t="s">
        <v>46454</v>
      </c>
      <c r="U5241" t="s">
        <v>51179</v>
      </c>
      <c r="W5241" t="s">
        <v>60843</v>
      </c>
      <c r="X5241" t="s">
        <v>44910</v>
      </c>
    </row>
    <row r="5242" spans="1:24">
      <c r="A5242">
        <f>HYPERLINK("https://www.philgeps.gov.ph/GEPSNONPILOT/Tender/SplashBidNoticeAbstractUI.aspx?menuIndex=3&amp;refID=7076170&amp;Result=3","7076170")</f>
        <v>0</v>
      </c>
      <c r="B5242" t="s">
        <v>1699</v>
      </c>
      <c r="C5242" t="s">
        <v>8532</v>
      </c>
      <c r="D5242" t="s">
        <v>18155</v>
      </c>
      <c r="E5242" t="s">
        <v>22881</v>
      </c>
      <c r="F5242" t="s">
        <v>31362</v>
      </c>
      <c r="G5242" t="s">
        <v>31369</v>
      </c>
      <c r="H5242" t="s">
        <v>31378</v>
      </c>
      <c r="I5242" t="s">
        <v>31386</v>
      </c>
      <c r="J5242" t="s">
        <v>31591</v>
      </c>
      <c r="K5242" t="s">
        <v>40675</v>
      </c>
      <c r="M5242" t="s">
        <v>42766</v>
      </c>
      <c r="N5242" t="s">
        <v>44905</v>
      </c>
      <c r="O5242" t="s">
        <v>44906</v>
      </c>
      <c r="P5242">
        <v>0</v>
      </c>
      <c r="Q5242">
        <v>0</v>
      </c>
      <c r="R5242" t="s">
        <v>44909</v>
      </c>
      <c r="S5242" t="s">
        <v>45060</v>
      </c>
      <c r="T5242" t="s">
        <v>46435</v>
      </c>
      <c r="U5242" t="s">
        <v>51180</v>
      </c>
      <c r="W5242" t="s">
        <v>42766</v>
      </c>
      <c r="X5242" t="s">
        <v>44910</v>
      </c>
    </row>
    <row r="5243" spans="1:24">
      <c r="A5243">
        <f>HYPERLINK("https://www.philgeps.gov.ph/GEPSNONPILOT/Tender/SplashBidNoticeAbstractUI.aspx?menuIndex=3&amp;refID=7076194&amp;Result=3","7076194")</f>
        <v>0</v>
      </c>
      <c r="B5243" t="s">
        <v>190</v>
      </c>
      <c r="C5243" t="s">
        <v>3889</v>
      </c>
      <c r="D5243" t="s">
        <v>18101</v>
      </c>
      <c r="E5243" t="s">
        <v>22882</v>
      </c>
      <c r="F5243" t="s">
        <v>31362</v>
      </c>
      <c r="G5243" t="s">
        <v>31368</v>
      </c>
      <c r="H5243" t="s">
        <v>15799</v>
      </c>
      <c r="I5243" t="s">
        <v>4942</v>
      </c>
      <c r="J5243" t="s">
        <v>31806</v>
      </c>
      <c r="K5243" t="s">
        <v>40666</v>
      </c>
      <c r="M5243" t="s">
        <v>41128</v>
      </c>
      <c r="N5243" t="s">
        <v>44905</v>
      </c>
      <c r="O5243" t="s">
        <v>44906</v>
      </c>
      <c r="P5243">
        <v>0</v>
      </c>
      <c r="Q5243">
        <v>0</v>
      </c>
      <c r="R5243" t="s">
        <v>44909</v>
      </c>
      <c r="S5243" t="s">
        <v>45060</v>
      </c>
      <c r="T5243" t="s">
        <v>46409</v>
      </c>
      <c r="U5243" t="s">
        <v>51181</v>
      </c>
      <c r="V5243" t="s">
        <v>59565</v>
      </c>
      <c r="W5243" t="s">
        <v>41128</v>
      </c>
      <c r="X5243" t="s">
        <v>44910</v>
      </c>
    </row>
    <row r="5244" spans="1:24">
      <c r="A5244">
        <f>HYPERLINK("https://www.philgeps.gov.ph/GEPSNONPILOT/Tender/SplashBidNoticeAbstractUI.aspx?menuIndex=3&amp;refID=7076030&amp;Result=3","7076030")</f>
        <v>0</v>
      </c>
      <c r="B5244" t="s">
        <v>1720</v>
      </c>
      <c r="C5244" t="s">
        <v>8533</v>
      </c>
      <c r="D5244" t="s">
        <v>18101</v>
      </c>
      <c r="E5244" t="s">
        <v>20634</v>
      </c>
      <c r="F5244" t="s">
        <v>31362</v>
      </c>
      <c r="G5244" t="s">
        <v>31369</v>
      </c>
      <c r="H5244" t="s">
        <v>31378</v>
      </c>
      <c r="I5244" t="s">
        <v>31386</v>
      </c>
      <c r="J5244" t="s">
        <v>34883</v>
      </c>
      <c r="K5244" t="s">
        <v>40709</v>
      </c>
      <c r="M5244" t="s">
        <v>42788</v>
      </c>
      <c r="N5244" t="s">
        <v>44905</v>
      </c>
      <c r="O5244" t="s">
        <v>44906</v>
      </c>
      <c r="P5244">
        <v>0</v>
      </c>
      <c r="Q5244">
        <v>2</v>
      </c>
      <c r="R5244" t="s">
        <v>44909</v>
      </c>
      <c r="S5244" t="s">
        <v>45060</v>
      </c>
      <c r="T5244" t="s">
        <v>46464</v>
      </c>
      <c r="U5244" t="s">
        <v>49253</v>
      </c>
      <c r="W5244" t="s">
        <v>42788</v>
      </c>
      <c r="X5244" t="s">
        <v>44911</v>
      </c>
    </row>
    <row r="5245" spans="1:24">
      <c r="A5245">
        <f>HYPERLINK("https://www.philgeps.gov.ph/GEPSNONPILOT/Tender/SplashBidNoticeAbstractUI.aspx?menuIndex=3&amp;refID=7076191&amp;Result=3","7076191")</f>
        <v>0</v>
      </c>
      <c r="B5245" t="s">
        <v>1721</v>
      </c>
      <c r="C5245" t="s">
        <v>8534</v>
      </c>
      <c r="D5245" t="s">
        <v>18131</v>
      </c>
      <c r="E5245" t="s">
        <v>22883</v>
      </c>
      <c r="F5245" t="s">
        <v>31362</v>
      </c>
      <c r="G5245" t="s">
        <v>31368</v>
      </c>
      <c r="H5245" t="s">
        <v>15799</v>
      </c>
      <c r="I5245" t="s">
        <v>7188</v>
      </c>
      <c r="J5245" t="s">
        <v>34884</v>
      </c>
      <c r="K5245" t="s">
        <v>40662</v>
      </c>
      <c r="M5245" t="s">
        <v>42789</v>
      </c>
      <c r="N5245" t="s">
        <v>44905</v>
      </c>
      <c r="O5245" t="s">
        <v>44906</v>
      </c>
      <c r="P5245">
        <v>0</v>
      </c>
      <c r="Q5245">
        <v>2</v>
      </c>
      <c r="R5245" t="s">
        <v>44909</v>
      </c>
      <c r="S5245" t="s">
        <v>45060</v>
      </c>
      <c r="T5245" t="s">
        <v>46416</v>
      </c>
      <c r="U5245" t="s">
        <v>51182</v>
      </c>
      <c r="W5245" t="s">
        <v>42789</v>
      </c>
      <c r="X5245" t="s">
        <v>44910</v>
      </c>
    </row>
    <row r="5246" spans="1:24">
      <c r="A5246">
        <f>HYPERLINK("https://www.philgeps.gov.ph/GEPSNONPILOT/Tender/SplashBidNoticeAbstractUI.aspx?menuIndex=3&amp;refID=7076189&amp;Result=3","7076189")</f>
        <v>0</v>
      </c>
      <c r="B5246" t="s">
        <v>682</v>
      </c>
      <c r="C5246" t="s">
        <v>8535</v>
      </c>
      <c r="D5246" t="s">
        <v>18120</v>
      </c>
      <c r="E5246" t="s">
        <v>22884</v>
      </c>
      <c r="F5246" t="s">
        <v>31362</v>
      </c>
      <c r="G5246" t="s">
        <v>31368</v>
      </c>
      <c r="H5246" t="s">
        <v>31378</v>
      </c>
      <c r="I5246" t="s">
        <v>31386</v>
      </c>
      <c r="J5246" t="s">
        <v>34885</v>
      </c>
      <c r="K5246" t="s">
        <v>40675</v>
      </c>
      <c r="M5246" t="s">
        <v>41644</v>
      </c>
      <c r="N5246" t="s">
        <v>44905</v>
      </c>
      <c r="O5246" t="s">
        <v>44906</v>
      </c>
      <c r="P5246">
        <v>0</v>
      </c>
      <c r="Q5246">
        <v>0</v>
      </c>
      <c r="R5246" t="s">
        <v>44909</v>
      </c>
      <c r="S5246" t="s">
        <v>45060</v>
      </c>
      <c r="T5246" t="s">
        <v>46541</v>
      </c>
      <c r="U5246" t="s">
        <v>51183</v>
      </c>
      <c r="V5246" t="s">
        <v>59224</v>
      </c>
      <c r="W5246" t="s">
        <v>41644</v>
      </c>
      <c r="X5246" t="s">
        <v>44910</v>
      </c>
    </row>
    <row r="5247" spans="1:24">
      <c r="A5247">
        <f>HYPERLINK("https://www.philgeps.gov.ph/GEPSNONPILOT/Tender/SplashBidNoticeAbstractUI.aspx?menuIndex=3&amp;refID=7076203&amp;Result=3","7076203")</f>
        <v>0</v>
      </c>
      <c r="B5247" t="s">
        <v>345</v>
      </c>
      <c r="C5247" t="s">
        <v>8536</v>
      </c>
      <c r="D5247" t="s">
        <v>18149</v>
      </c>
      <c r="E5247" t="s">
        <v>22885</v>
      </c>
      <c r="F5247" t="s">
        <v>31362</v>
      </c>
      <c r="G5247" t="s">
        <v>31369</v>
      </c>
      <c r="H5247" t="s">
        <v>15799</v>
      </c>
      <c r="I5247" t="s">
        <v>31387</v>
      </c>
      <c r="J5247" t="s">
        <v>32400</v>
      </c>
      <c r="K5247" t="s">
        <v>40696</v>
      </c>
      <c r="M5247" t="s">
        <v>41291</v>
      </c>
      <c r="N5247" t="s">
        <v>44905</v>
      </c>
      <c r="O5247" t="s">
        <v>44906</v>
      </c>
      <c r="P5247">
        <v>0</v>
      </c>
      <c r="Q5247">
        <v>0</v>
      </c>
      <c r="R5247" t="s">
        <v>44909</v>
      </c>
      <c r="S5247" t="s">
        <v>45060</v>
      </c>
      <c r="T5247" t="s">
        <v>46576</v>
      </c>
      <c r="U5247" t="s">
        <v>51184</v>
      </c>
      <c r="W5247" t="s">
        <v>41291</v>
      </c>
      <c r="X5247" t="s">
        <v>44910</v>
      </c>
    </row>
    <row r="5248" spans="1:24">
      <c r="A5248">
        <f>HYPERLINK("https://www.philgeps.gov.ph/GEPSNONPILOT/Tender/SplashBidNoticeAbstractUI.aspx?menuIndex=3&amp;refID=7076166&amp;Result=3","7076166")</f>
        <v>0</v>
      </c>
      <c r="B5248" t="s">
        <v>682</v>
      </c>
      <c r="C5248" t="s">
        <v>8537</v>
      </c>
      <c r="D5248" t="s">
        <v>18120</v>
      </c>
      <c r="E5248" t="s">
        <v>22886</v>
      </c>
      <c r="F5248" t="s">
        <v>31362</v>
      </c>
      <c r="G5248" t="s">
        <v>31368</v>
      </c>
      <c r="H5248" t="s">
        <v>15799</v>
      </c>
      <c r="I5248" t="s">
        <v>31427</v>
      </c>
      <c r="J5248" t="s">
        <v>34886</v>
      </c>
      <c r="K5248" t="s">
        <v>40661</v>
      </c>
      <c r="M5248" t="s">
        <v>41644</v>
      </c>
      <c r="N5248" t="s">
        <v>44905</v>
      </c>
      <c r="O5248" t="s">
        <v>44906</v>
      </c>
      <c r="P5248">
        <v>0</v>
      </c>
      <c r="Q5248">
        <v>2</v>
      </c>
      <c r="R5248" t="s">
        <v>44909</v>
      </c>
      <c r="S5248" t="s">
        <v>45060</v>
      </c>
      <c r="T5248" t="s">
        <v>46541</v>
      </c>
      <c r="U5248" t="s">
        <v>51185</v>
      </c>
      <c r="V5248" t="s">
        <v>59224</v>
      </c>
      <c r="W5248" t="s">
        <v>41644</v>
      </c>
      <c r="X5248" t="s">
        <v>44910</v>
      </c>
    </row>
    <row r="5249" spans="1:24">
      <c r="A5249">
        <f>HYPERLINK("https://www.philgeps.gov.ph/GEPSNONPILOT/Tender/SplashBidNoticeAbstractUI.aspx?menuIndex=3&amp;refID=7076165&amp;Result=3","7076165")</f>
        <v>0</v>
      </c>
      <c r="B5249" t="s">
        <v>1722</v>
      </c>
      <c r="C5249" t="s">
        <v>8538</v>
      </c>
      <c r="D5249" t="s">
        <v>18100</v>
      </c>
      <c r="E5249" t="s">
        <v>22887</v>
      </c>
      <c r="F5249" t="s">
        <v>31362</v>
      </c>
      <c r="G5249" t="s">
        <v>31369</v>
      </c>
      <c r="H5249" t="s">
        <v>15799</v>
      </c>
      <c r="I5249" t="s">
        <v>3815</v>
      </c>
      <c r="J5249" t="s">
        <v>34887</v>
      </c>
      <c r="K5249" t="s">
        <v>40677</v>
      </c>
      <c r="M5249" t="s">
        <v>42790</v>
      </c>
      <c r="N5249" t="s">
        <v>44905</v>
      </c>
      <c r="O5249" t="s">
        <v>44906</v>
      </c>
      <c r="P5249">
        <v>0</v>
      </c>
      <c r="Q5249">
        <v>0</v>
      </c>
      <c r="R5249" t="s">
        <v>44909</v>
      </c>
      <c r="S5249" t="s">
        <v>45060</v>
      </c>
      <c r="T5249" t="s">
        <v>46435</v>
      </c>
      <c r="U5249" t="s">
        <v>51186</v>
      </c>
      <c r="W5249" t="s">
        <v>42790</v>
      </c>
      <c r="X5249" t="s">
        <v>44910</v>
      </c>
    </row>
    <row r="5250" spans="1:24">
      <c r="A5250">
        <f>HYPERLINK("https://www.philgeps.gov.ph/GEPSNONPILOT/Tender/SplashBidNoticeAbstractUI.aspx?menuIndex=3&amp;refID=7076164&amp;Result=3","7076164")</f>
        <v>0</v>
      </c>
      <c r="B5250" t="s">
        <v>1723</v>
      </c>
      <c r="C5250" t="s">
        <v>8539</v>
      </c>
      <c r="D5250" t="s">
        <v>18108</v>
      </c>
      <c r="E5250" t="s">
        <v>22888</v>
      </c>
      <c r="F5250" t="s">
        <v>31362</v>
      </c>
      <c r="G5250" t="s">
        <v>31370</v>
      </c>
      <c r="H5250" t="s">
        <v>15799</v>
      </c>
      <c r="I5250" t="s">
        <v>7188</v>
      </c>
      <c r="J5250" t="s">
        <v>34888</v>
      </c>
      <c r="K5250" t="s">
        <v>40697</v>
      </c>
      <c r="M5250" t="s">
        <v>42791</v>
      </c>
      <c r="N5250" t="s">
        <v>44905</v>
      </c>
      <c r="O5250" t="s">
        <v>44906</v>
      </c>
      <c r="P5250">
        <v>0</v>
      </c>
      <c r="Q5250">
        <v>6</v>
      </c>
      <c r="R5250" t="s">
        <v>44909</v>
      </c>
      <c r="S5250" t="s">
        <v>45060</v>
      </c>
      <c r="T5250" t="s">
        <v>46414</v>
      </c>
      <c r="U5250" t="s">
        <v>51187</v>
      </c>
      <c r="W5250" t="s">
        <v>42791</v>
      </c>
      <c r="X5250" t="s">
        <v>44910</v>
      </c>
    </row>
    <row r="5251" spans="1:24">
      <c r="A5251">
        <f>HYPERLINK("https://www.philgeps.gov.ph/GEPSNONPILOT/Tender/SplashBidNoticeAbstractUI.aspx?menuIndex=3&amp;refID=7076162&amp;Result=3","7076162")</f>
        <v>0</v>
      </c>
      <c r="B5251" t="s">
        <v>1174</v>
      </c>
      <c r="C5251" t="s">
        <v>8540</v>
      </c>
      <c r="D5251" t="s">
        <v>18127</v>
      </c>
      <c r="E5251" t="s">
        <v>22889</v>
      </c>
      <c r="F5251" t="s">
        <v>31362</v>
      </c>
      <c r="G5251" t="s">
        <v>31368</v>
      </c>
      <c r="H5251" t="s">
        <v>15799</v>
      </c>
      <c r="I5251" t="s">
        <v>31385</v>
      </c>
      <c r="J5251" t="s">
        <v>34889</v>
      </c>
      <c r="K5251" t="s">
        <v>40677</v>
      </c>
      <c r="M5251" t="s">
        <v>42185</v>
      </c>
      <c r="N5251" t="s">
        <v>44905</v>
      </c>
      <c r="O5251" t="s">
        <v>44906</v>
      </c>
      <c r="P5251">
        <v>0</v>
      </c>
      <c r="Q5251">
        <v>2</v>
      </c>
      <c r="R5251" t="s">
        <v>44909</v>
      </c>
      <c r="S5251" t="s">
        <v>45060</v>
      </c>
      <c r="T5251" t="s">
        <v>46498</v>
      </c>
      <c r="U5251" t="s">
        <v>51188</v>
      </c>
      <c r="W5251" t="s">
        <v>42185</v>
      </c>
      <c r="X5251" t="s">
        <v>44910</v>
      </c>
    </row>
    <row r="5252" spans="1:24">
      <c r="A5252">
        <f>HYPERLINK("https://www.philgeps.gov.ph/GEPSNONPILOT/Tender/SplashBidNoticeAbstractUI.aspx?menuIndex=3&amp;refID=7074962&amp;Result=3","7074962")</f>
        <v>0</v>
      </c>
      <c r="B5252" t="s">
        <v>1643</v>
      </c>
      <c r="C5252" t="s">
        <v>8541</v>
      </c>
      <c r="D5252" t="s">
        <v>18108</v>
      </c>
      <c r="E5252" t="s">
        <v>19253</v>
      </c>
      <c r="F5252" t="s">
        <v>31362</v>
      </c>
      <c r="G5252" t="s">
        <v>31369</v>
      </c>
      <c r="H5252" t="s">
        <v>31379</v>
      </c>
      <c r="I5252" t="s">
        <v>7090</v>
      </c>
      <c r="J5252" t="s">
        <v>31531</v>
      </c>
      <c r="K5252" t="s">
        <v>40666</v>
      </c>
      <c r="M5252" t="s">
        <v>42707</v>
      </c>
      <c r="N5252" t="s">
        <v>44905</v>
      </c>
      <c r="O5252" t="s">
        <v>44906</v>
      </c>
      <c r="P5252">
        <v>0</v>
      </c>
      <c r="Q5252">
        <v>0</v>
      </c>
      <c r="R5252" t="s">
        <v>44909</v>
      </c>
      <c r="S5252" t="s">
        <v>45060</v>
      </c>
      <c r="T5252" t="s">
        <v>46625</v>
      </c>
      <c r="U5252" t="s">
        <v>51189</v>
      </c>
      <c r="W5252" t="s">
        <v>42707</v>
      </c>
      <c r="X5252" t="s">
        <v>44911</v>
      </c>
    </row>
    <row r="5253" spans="1:24">
      <c r="A5253">
        <f>HYPERLINK("https://www.philgeps.gov.ph/GEPSNONPILOT/Tender/SplashBidNoticeAbstractUI.aspx?menuIndex=3&amp;refID=7074900&amp;Result=3","7074900")</f>
        <v>0</v>
      </c>
      <c r="B5253" t="s">
        <v>805</v>
      </c>
      <c r="C5253" t="s">
        <v>8542</v>
      </c>
      <c r="D5253" t="s">
        <v>18107</v>
      </c>
      <c r="E5253" t="s">
        <v>22890</v>
      </c>
      <c r="F5253" t="s">
        <v>31362</v>
      </c>
      <c r="G5253" t="s">
        <v>31369</v>
      </c>
      <c r="H5253" t="s">
        <v>15799</v>
      </c>
      <c r="I5253" t="s">
        <v>31414</v>
      </c>
      <c r="J5253" t="s">
        <v>31606</v>
      </c>
      <c r="K5253" t="s">
        <v>40682</v>
      </c>
      <c r="M5253" t="s">
        <v>41776</v>
      </c>
      <c r="N5253" t="s">
        <v>44905</v>
      </c>
      <c r="O5253" t="s">
        <v>44906</v>
      </c>
      <c r="P5253">
        <v>0</v>
      </c>
      <c r="Q5253">
        <v>2</v>
      </c>
      <c r="R5253" t="s">
        <v>44909</v>
      </c>
      <c r="S5253" t="s">
        <v>45060</v>
      </c>
      <c r="T5253" t="s">
        <v>46441</v>
      </c>
      <c r="U5253" t="s">
        <v>51190</v>
      </c>
      <c r="W5253" t="s">
        <v>41776</v>
      </c>
      <c r="X5253" t="s">
        <v>44911</v>
      </c>
    </row>
    <row r="5254" spans="1:24">
      <c r="A5254">
        <f>HYPERLINK("https://www.philgeps.gov.ph/GEPSNONPILOT/Tender/SplashBidNoticeAbstractUI.aspx?menuIndex=3&amp;refID=7076196&amp;Result=3","7076196")</f>
        <v>0</v>
      </c>
      <c r="B5254" t="s">
        <v>518</v>
      </c>
      <c r="C5254" t="s">
        <v>8543</v>
      </c>
      <c r="D5254" t="s">
        <v>18131</v>
      </c>
      <c r="E5254" t="s">
        <v>22891</v>
      </c>
      <c r="F5254" t="s">
        <v>31362</v>
      </c>
      <c r="G5254" t="s">
        <v>31368</v>
      </c>
      <c r="H5254" t="s">
        <v>15799</v>
      </c>
      <c r="I5254" t="s">
        <v>31422</v>
      </c>
      <c r="J5254" t="s">
        <v>31577</v>
      </c>
      <c r="K5254" t="s">
        <v>40662</v>
      </c>
      <c r="M5254" t="s">
        <v>41474</v>
      </c>
      <c r="N5254" t="s">
        <v>44905</v>
      </c>
      <c r="O5254" t="s">
        <v>44906</v>
      </c>
      <c r="P5254">
        <v>0</v>
      </c>
      <c r="Q5254">
        <v>1</v>
      </c>
      <c r="R5254" t="s">
        <v>44909</v>
      </c>
      <c r="S5254" t="s">
        <v>45060</v>
      </c>
      <c r="T5254" t="s">
        <v>46409</v>
      </c>
      <c r="U5254" t="s">
        <v>51191</v>
      </c>
      <c r="W5254" t="s">
        <v>41474</v>
      </c>
      <c r="X5254" t="s">
        <v>44910</v>
      </c>
    </row>
    <row r="5255" spans="1:24">
      <c r="A5255">
        <f>HYPERLINK("https://www.philgeps.gov.ph/GEPSNONPILOT/Tender/SplashBidNoticeAbstractUI.aspx?menuIndex=3&amp;refID=7076260&amp;Result=3","7076260")</f>
        <v>0</v>
      </c>
      <c r="B5255" t="s">
        <v>1101</v>
      </c>
      <c r="C5255" t="s">
        <v>8544</v>
      </c>
      <c r="D5255" t="s">
        <v>18138</v>
      </c>
      <c r="E5255" t="s">
        <v>22892</v>
      </c>
      <c r="F5255" t="s">
        <v>31362</v>
      </c>
      <c r="G5255" t="s">
        <v>31369</v>
      </c>
      <c r="H5255" t="s">
        <v>31378</v>
      </c>
      <c r="I5255" t="s">
        <v>31386</v>
      </c>
      <c r="J5255" t="s">
        <v>33482</v>
      </c>
      <c r="K5255" t="s">
        <v>40792</v>
      </c>
      <c r="M5255" t="s">
        <v>42106</v>
      </c>
      <c r="N5255" t="s">
        <v>44905</v>
      </c>
      <c r="O5255" t="s">
        <v>44906</v>
      </c>
      <c r="P5255">
        <v>0</v>
      </c>
      <c r="Q5255">
        <v>1</v>
      </c>
      <c r="R5255" t="s">
        <v>44909</v>
      </c>
      <c r="S5255" t="s">
        <v>45060</v>
      </c>
      <c r="T5255" t="s">
        <v>46511</v>
      </c>
      <c r="U5255" t="s">
        <v>51192</v>
      </c>
      <c r="V5255" t="s">
        <v>59566</v>
      </c>
      <c r="W5255" t="s">
        <v>42106</v>
      </c>
      <c r="X5255" t="s">
        <v>44910</v>
      </c>
    </row>
    <row r="5256" spans="1:24">
      <c r="A5256">
        <f>HYPERLINK("https://www.philgeps.gov.ph/GEPSNONPILOT/Tender/SplashBidNoticeAbstractUI.aspx?menuIndex=3&amp;refID=7076207&amp;Result=3","7076207")</f>
        <v>0</v>
      </c>
      <c r="B5256" t="s">
        <v>518</v>
      </c>
      <c r="C5256" t="s">
        <v>8545</v>
      </c>
      <c r="D5256" t="s">
        <v>18131</v>
      </c>
      <c r="E5256" t="s">
        <v>22893</v>
      </c>
      <c r="F5256" t="s">
        <v>31362</v>
      </c>
      <c r="G5256" t="s">
        <v>31368</v>
      </c>
      <c r="H5256" t="s">
        <v>15799</v>
      </c>
      <c r="I5256" t="s">
        <v>31422</v>
      </c>
      <c r="J5256" t="s">
        <v>34890</v>
      </c>
      <c r="K5256" t="s">
        <v>40662</v>
      </c>
      <c r="M5256" t="s">
        <v>41474</v>
      </c>
      <c r="N5256" t="s">
        <v>44905</v>
      </c>
      <c r="O5256" t="s">
        <v>44906</v>
      </c>
      <c r="P5256">
        <v>0</v>
      </c>
      <c r="Q5256">
        <v>3</v>
      </c>
      <c r="R5256" t="s">
        <v>44909</v>
      </c>
      <c r="S5256" t="s">
        <v>45060</v>
      </c>
      <c r="T5256" t="s">
        <v>46409</v>
      </c>
      <c r="U5256" t="s">
        <v>51193</v>
      </c>
      <c r="W5256" t="s">
        <v>41474</v>
      </c>
      <c r="X5256" t="s">
        <v>44910</v>
      </c>
    </row>
    <row r="5257" spans="1:24">
      <c r="A5257">
        <f>HYPERLINK("https://www.philgeps.gov.ph/GEPSNONPILOT/Tender/SplashBidNoticeAbstractUI.aspx?menuIndex=3&amp;refID=7076167&amp;Result=3","7076167")</f>
        <v>0</v>
      </c>
      <c r="B5257" t="s">
        <v>1265</v>
      </c>
      <c r="C5257" t="s">
        <v>8546</v>
      </c>
      <c r="E5257" t="s">
        <v>22894</v>
      </c>
      <c r="F5257" t="s">
        <v>31362</v>
      </c>
      <c r="G5257" t="s">
        <v>31369</v>
      </c>
      <c r="H5257" t="s">
        <v>15799</v>
      </c>
      <c r="I5257" t="s">
        <v>3815</v>
      </c>
      <c r="J5257" t="s">
        <v>34891</v>
      </c>
      <c r="K5257" t="s">
        <v>40666</v>
      </c>
      <c r="M5257" t="s">
        <v>42792</v>
      </c>
      <c r="N5257" t="s">
        <v>44905</v>
      </c>
      <c r="O5257" t="s">
        <v>44906</v>
      </c>
      <c r="P5257">
        <v>0</v>
      </c>
      <c r="Q5257">
        <v>3</v>
      </c>
      <c r="R5257" t="s">
        <v>44909</v>
      </c>
      <c r="S5257" t="s">
        <v>45060</v>
      </c>
      <c r="T5257" t="s">
        <v>46524</v>
      </c>
      <c r="U5257" t="s">
        <v>51194</v>
      </c>
      <c r="W5257" t="s">
        <v>42792</v>
      </c>
      <c r="X5257" t="s">
        <v>44910</v>
      </c>
    </row>
    <row r="5258" spans="1:24">
      <c r="A5258">
        <f>HYPERLINK("https://www.philgeps.gov.ph/GEPSNONPILOT/Tender/SplashBidNoticeAbstractUI.aspx?menuIndex=3&amp;refID=7076250&amp;Result=3","7076250")</f>
        <v>0</v>
      </c>
      <c r="B5258" t="s">
        <v>1109</v>
      </c>
      <c r="C5258" t="s">
        <v>8547</v>
      </c>
      <c r="D5258" t="s">
        <v>18122</v>
      </c>
      <c r="E5258" t="s">
        <v>22895</v>
      </c>
      <c r="F5258" t="s">
        <v>31362</v>
      </c>
      <c r="G5258" t="s">
        <v>31368</v>
      </c>
      <c r="H5258" t="s">
        <v>15799</v>
      </c>
      <c r="I5258" t="s">
        <v>31427</v>
      </c>
      <c r="J5258" t="s">
        <v>34892</v>
      </c>
      <c r="K5258" t="s">
        <v>40661</v>
      </c>
      <c r="M5258" t="s">
        <v>42114</v>
      </c>
      <c r="N5258" t="s">
        <v>44905</v>
      </c>
      <c r="O5258" t="s">
        <v>44906</v>
      </c>
      <c r="P5258">
        <v>0</v>
      </c>
      <c r="Q5258">
        <v>9</v>
      </c>
      <c r="R5258" t="s">
        <v>44909</v>
      </c>
      <c r="S5258" t="s">
        <v>45060</v>
      </c>
      <c r="T5258" t="s">
        <v>46454</v>
      </c>
      <c r="U5258" t="s">
        <v>49331</v>
      </c>
      <c r="W5258" t="s">
        <v>42114</v>
      </c>
      <c r="X5258" t="s">
        <v>44910</v>
      </c>
    </row>
    <row r="5259" spans="1:24">
      <c r="A5259">
        <f>HYPERLINK("https://www.philgeps.gov.ph/GEPSNONPILOT/Tender/SplashBidNoticeAbstractUI.aspx?menuIndex=3&amp;refID=7076248&amp;Result=3","7076248")</f>
        <v>0</v>
      </c>
      <c r="B5259" t="s">
        <v>303</v>
      </c>
      <c r="C5259" t="s">
        <v>8548</v>
      </c>
      <c r="D5259" t="s">
        <v>18121</v>
      </c>
      <c r="E5259" t="s">
        <v>22896</v>
      </c>
      <c r="F5259" t="s">
        <v>31362</v>
      </c>
      <c r="G5259" t="s">
        <v>31371</v>
      </c>
      <c r="H5259" t="s">
        <v>15799</v>
      </c>
      <c r="I5259" t="s">
        <v>7719</v>
      </c>
      <c r="J5259" t="s">
        <v>32400</v>
      </c>
      <c r="K5259" t="s">
        <v>40665</v>
      </c>
      <c r="M5259" t="s">
        <v>41247</v>
      </c>
      <c r="N5259" t="s">
        <v>44905</v>
      </c>
      <c r="O5259" t="s">
        <v>44906</v>
      </c>
      <c r="P5259">
        <v>0</v>
      </c>
      <c r="Q5259">
        <v>0</v>
      </c>
      <c r="R5259" t="s">
        <v>44909</v>
      </c>
      <c r="S5259" t="s">
        <v>45060</v>
      </c>
      <c r="T5259" t="s">
        <v>46409</v>
      </c>
      <c r="U5259" t="s">
        <v>51195</v>
      </c>
      <c r="W5259" t="s">
        <v>41247</v>
      </c>
      <c r="X5259" t="s">
        <v>44910</v>
      </c>
    </row>
    <row r="5260" spans="1:24">
      <c r="A5260">
        <f>HYPERLINK("https://www.philgeps.gov.ph/GEPSNONPILOT/Tender/SplashBidNoticeAbstractUI.aspx?menuIndex=3&amp;refID=7076247&amp;Result=3","7076247")</f>
        <v>0</v>
      </c>
      <c r="B5260" t="s">
        <v>386</v>
      </c>
      <c r="C5260" t="s">
        <v>8549</v>
      </c>
      <c r="D5260" t="s">
        <v>18136</v>
      </c>
      <c r="E5260" t="s">
        <v>22897</v>
      </c>
      <c r="F5260" t="s">
        <v>31362</v>
      </c>
      <c r="G5260" t="s">
        <v>31368</v>
      </c>
      <c r="H5260" t="s">
        <v>15799</v>
      </c>
      <c r="I5260" t="s">
        <v>31454</v>
      </c>
      <c r="J5260" t="s">
        <v>34893</v>
      </c>
      <c r="K5260" t="s">
        <v>40661</v>
      </c>
      <c r="M5260" t="s">
        <v>41334</v>
      </c>
      <c r="N5260" t="s">
        <v>44905</v>
      </c>
      <c r="O5260" t="s">
        <v>44906</v>
      </c>
      <c r="P5260">
        <v>0</v>
      </c>
      <c r="Q5260">
        <v>0</v>
      </c>
      <c r="R5260" t="s">
        <v>44909</v>
      </c>
      <c r="S5260" t="s">
        <v>45060</v>
      </c>
      <c r="T5260" t="s">
        <v>46454</v>
      </c>
      <c r="U5260" t="s">
        <v>47594</v>
      </c>
      <c r="V5260" t="s">
        <v>59567</v>
      </c>
      <c r="W5260" t="s">
        <v>41334</v>
      </c>
      <c r="X5260" t="s">
        <v>44910</v>
      </c>
    </row>
    <row r="5261" spans="1:24">
      <c r="A5261">
        <f>HYPERLINK("https://www.philgeps.gov.ph/GEPSNONPILOT/Tender/SplashBidNoticeAbstractUI.aspx?menuIndex=3&amp;refID=7076245&amp;Result=3","7076245")</f>
        <v>0</v>
      </c>
      <c r="B5261" t="s">
        <v>1349</v>
      </c>
      <c r="C5261" t="s">
        <v>8550</v>
      </c>
      <c r="D5261" t="s">
        <v>18133</v>
      </c>
      <c r="E5261" t="s">
        <v>22898</v>
      </c>
      <c r="F5261" t="s">
        <v>31362</v>
      </c>
      <c r="G5261" t="s">
        <v>31368</v>
      </c>
      <c r="H5261" t="s">
        <v>15799</v>
      </c>
      <c r="I5261" t="s">
        <v>31388</v>
      </c>
      <c r="J5261" t="s">
        <v>34894</v>
      </c>
      <c r="K5261" t="s">
        <v>40662</v>
      </c>
      <c r="M5261" t="s">
        <v>42370</v>
      </c>
      <c r="N5261" t="s">
        <v>44905</v>
      </c>
      <c r="O5261" t="s">
        <v>44906</v>
      </c>
      <c r="P5261">
        <v>0</v>
      </c>
      <c r="Q5261">
        <v>0</v>
      </c>
      <c r="R5261" t="s">
        <v>44909</v>
      </c>
      <c r="S5261" t="s">
        <v>45060</v>
      </c>
      <c r="T5261" t="s">
        <v>46409</v>
      </c>
      <c r="U5261" t="s">
        <v>49920</v>
      </c>
      <c r="V5261" t="s">
        <v>59426</v>
      </c>
      <c r="W5261" t="s">
        <v>42370</v>
      </c>
      <c r="X5261" t="s">
        <v>44910</v>
      </c>
    </row>
    <row r="5262" spans="1:24">
      <c r="A5262">
        <f>HYPERLINK("https://www.philgeps.gov.ph/GEPSNONPILOT/Tender/SplashBidNoticeAbstractUI.aspx?menuIndex=3&amp;refID=7076251&amp;Result=3","7076251")</f>
        <v>0</v>
      </c>
      <c r="B5262" t="s">
        <v>563</v>
      </c>
      <c r="C5262" t="s">
        <v>8551</v>
      </c>
      <c r="D5262" t="s">
        <v>18124</v>
      </c>
      <c r="E5262" t="s">
        <v>22899</v>
      </c>
      <c r="F5262" t="s">
        <v>31362</v>
      </c>
      <c r="G5262" t="s">
        <v>31369</v>
      </c>
      <c r="H5262" t="s">
        <v>15799</v>
      </c>
      <c r="I5262" t="s">
        <v>31466</v>
      </c>
      <c r="J5262" t="s">
        <v>31765</v>
      </c>
      <c r="K5262" t="s">
        <v>40666</v>
      </c>
      <c r="M5262" t="s">
        <v>41519</v>
      </c>
      <c r="N5262" t="s">
        <v>44905</v>
      </c>
      <c r="O5262" t="s">
        <v>44906</v>
      </c>
      <c r="P5262">
        <v>0</v>
      </c>
      <c r="Q5262">
        <v>1</v>
      </c>
      <c r="R5262" t="s">
        <v>44909</v>
      </c>
      <c r="S5262" t="s">
        <v>45060</v>
      </c>
      <c r="T5262" t="s">
        <v>46433</v>
      </c>
      <c r="U5262" t="s">
        <v>51196</v>
      </c>
      <c r="W5262" t="s">
        <v>41519</v>
      </c>
      <c r="X5262" t="s">
        <v>44910</v>
      </c>
    </row>
    <row r="5263" spans="1:24">
      <c r="A5263">
        <f>HYPERLINK("https://www.philgeps.gov.ph/GEPSNONPILOT/Tender/SplashBidNoticeAbstractUI.aspx?menuIndex=3&amp;refID=7076244&amp;Result=3","7076244")</f>
        <v>0</v>
      </c>
      <c r="B5263" t="s">
        <v>558</v>
      </c>
      <c r="C5263" t="s">
        <v>8552</v>
      </c>
      <c r="D5263" t="s">
        <v>18107</v>
      </c>
      <c r="E5263" t="s">
        <v>19338</v>
      </c>
      <c r="F5263" t="s">
        <v>31362</v>
      </c>
      <c r="G5263" t="s">
        <v>31370</v>
      </c>
      <c r="H5263" t="s">
        <v>15799</v>
      </c>
      <c r="I5263" t="s">
        <v>31380</v>
      </c>
      <c r="J5263" t="s">
        <v>31546</v>
      </c>
      <c r="K5263" t="s">
        <v>40672</v>
      </c>
      <c r="M5263" t="s">
        <v>41514</v>
      </c>
      <c r="N5263" t="s">
        <v>44905</v>
      </c>
      <c r="O5263" t="s">
        <v>44906</v>
      </c>
      <c r="P5263">
        <v>0</v>
      </c>
      <c r="Q5263">
        <v>1</v>
      </c>
      <c r="R5263" t="s">
        <v>44909</v>
      </c>
      <c r="S5263" t="s">
        <v>45060</v>
      </c>
      <c r="T5263" t="s">
        <v>46503</v>
      </c>
      <c r="U5263" t="s">
        <v>51197</v>
      </c>
      <c r="W5263" t="s">
        <v>41514</v>
      </c>
      <c r="X5263" t="s">
        <v>44910</v>
      </c>
    </row>
    <row r="5264" spans="1:24">
      <c r="A5264">
        <f>HYPERLINK("https://www.philgeps.gov.ph/GEPSNONPILOT/Tender/SplashBidNoticeAbstractUI.aspx?menuIndex=3&amp;refID=7076241&amp;Result=3","7076241")</f>
        <v>0</v>
      </c>
      <c r="B5264" t="s">
        <v>1352</v>
      </c>
      <c r="C5264" t="s">
        <v>8553</v>
      </c>
      <c r="D5264" t="s">
        <v>18108</v>
      </c>
      <c r="E5264" t="s">
        <v>22900</v>
      </c>
      <c r="F5264" t="s">
        <v>31362</v>
      </c>
      <c r="G5264" t="s">
        <v>31369</v>
      </c>
      <c r="H5264" t="s">
        <v>15799</v>
      </c>
      <c r="I5264" t="s">
        <v>31445</v>
      </c>
      <c r="J5264" t="s">
        <v>34895</v>
      </c>
      <c r="K5264" t="s">
        <v>40679</v>
      </c>
      <c r="M5264" t="s">
        <v>42793</v>
      </c>
      <c r="N5264" t="s">
        <v>44905</v>
      </c>
      <c r="O5264" t="s">
        <v>44906</v>
      </c>
      <c r="P5264">
        <v>0</v>
      </c>
      <c r="Q5264">
        <v>2</v>
      </c>
      <c r="R5264" t="s">
        <v>44909</v>
      </c>
      <c r="S5264" t="s">
        <v>45060</v>
      </c>
      <c r="T5264" t="s">
        <v>46401</v>
      </c>
      <c r="U5264" t="s">
        <v>51198</v>
      </c>
      <c r="W5264" t="s">
        <v>42793</v>
      </c>
      <c r="X5264" t="s">
        <v>44910</v>
      </c>
    </row>
    <row r="5265" spans="1:24">
      <c r="A5265">
        <f>HYPERLINK("https://www.philgeps.gov.ph/GEPSNONPILOT/Tender/SplashBidNoticeAbstractUI.aspx?menuIndex=3&amp;refID=7076256&amp;Result=3","7076256")</f>
        <v>0</v>
      </c>
      <c r="B5265" t="s">
        <v>1718</v>
      </c>
      <c r="C5265" t="s">
        <v>8554</v>
      </c>
      <c r="D5265" t="s">
        <v>18160</v>
      </c>
      <c r="E5265" t="s">
        <v>22876</v>
      </c>
      <c r="F5265" t="s">
        <v>31362</v>
      </c>
      <c r="G5265" t="s">
        <v>31369</v>
      </c>
      <c r="H5265" t="s">
        <v>31378</v>
      </c>
      <c r="I5265" t="s">
        <v>31435</v>
      </c>
      <c r="J5265" t="s">
        <v>31545</v>
      </c>
      <c r="K5265" t="s">
        <v>40661</v>
      </c>
      <c r="M5265" t="s">
        <v>42786</v>
      </c>
      <c r="N5265" t="s">
        <v>44905</v>
      </c>
      <c r="O5265" t="s">
        <v>44906</v>
      </c>
      <c r="P5265">
        <v>0</v>
      </c>
      <c r="Q5265">
        <v>0</v>
      </c>
      <c r="R5265" t="s">
        <v>44909</v>
      </c>
      <c r="S5265" t="s">
        <v>45060</v>
      </c>
      <c r="T5265" t="s">
        <v>46701</v>
      </c>
      <c r="U5265" t="s">
        <v>51199</v>
      </c>
      <c r="W5265" t="s">
        <v>42786</v>
      </c>
      <c r="X5265" t="s">
        <v>44910</v>
      </c>
    </row>
    <row r="5266" spans="1:24">
      <c r="A5266">
        <f>HYPERLINK("https://www.philgeps.gov.ph/GEPSNONPILOT/Tender/SplashBidNoticeAbstractUI.aspx?menuIndex=3&amp;refID=7076239&amp;Result=3","7076239")</f>
        <v>0</v>
      </c>
      <c r="B5266" t="s">
        <v>1714</v>
      </c>
      <c r="C5266" t="s">
        <v>8555</v>
      </c>
      <c r="E5266" t="s">
        <v>22901</v>
      </c>
      <c r="F5266" t="s">
        <v>31362</v>
      </c>
      <c r="G5266" t="s">
        <v>31369</v>
      </c>
      <c r="H5266" t="s">
        <v>15799</v>
      </c>
      <c r="I5266" t="s">
        <v>31380</v>
      </c>
      <c r="J5266" t="s">
        <v>34896</v>
      </c>
      <c r="K5266" t="s">
        <v>40682</v>
      </c>
      <c r="M5266" t="s">
        <v>42782</v>
      </c>
      <c r="N5266" t="s">
        <v>44905</v>
      </c>
      <c r="O5266" t="s">
        <v>44906</v>
      </c>
      <c r="P5266">
        <v>0</v>
      </c>
      <c r="Q5266">
        <v>7</v>
      </c>
      <c r="R5266" t="s">
        <v>44909</v>
      </c>
      <c r="S5266" t="s">
        <v>45060</v>
      </c>
      <c r="T5266" t="s">
        <v>46433</v>
      </c>
      <c r="U5266" t="s">
        <v>51200</v>
      </c>
      <c r="W5266" t="s">
        <v>42782</v>
      </c>
      <c r="X5266" t="s">
        <v>44910</v>
      </c>
    </row>
    <row r="5267" spans="1:24">
      <c r="A5267">
        <f>HYPERLINK("https://www.philgeps.gov.ph/GEPSNONPILOT/Tender/SplashBidNoticeAbstractUI.aspx?menuIndex=3&amp;refID=7076238&amp;Result=3","7076238")</f>
        <v>0</v>
      </c>
      <c r="B5267" t="s">
        <v>1724</v>
      </c>
      <c r="C5267" t="s">
        <v>8556</v>
      </c>
      <c r="D5267" t="s">
        <v>18148</v>
      </c>
      <c r="E5267" t="s">
        <v>22902</v>
      </c>
      <c r="F5267" t="s">
        <v>31362</v>
      </c>
      <c r="G5267" t="s">
        <v>31368</v>
      </c>
      <c r="H5267" t="s">
        <v>15799</v>
      </c>
      <c r="I5267" t="s">
        <v>7719</v>
      </c>
      <c r="J5267" t="s">
        <v>32016</v>
      </c>
      <c r="K5267" t="s">
        <v>40665</v>
      </c>
      <c r="M5267" t="s">
        <v>42794</v>
      </c>
      <c r="N5267" t="s">
        <v>44905</v>
      </c>
      <c r="O5267" t="s">
        <v>44906</v>
      </c>
      <c r="P5267">
        <v>0</v>
      </c>
      <c r="Q5267">
        <v>16</v>
      </c>
      <c r="R5267" t="s">
        <v>44909</v>
      </c>
      <c r="S5267" t="s">
        <v>45060</v>
      </c>
      <c r="T5267" t="s">
        <v>46434</v>
      </c>
      <c r="U5267" t="s">
        <v>51201</v>
      </c>
      <c r="V5267" t="s">
        <v>59568</v>
      </c>
      <c r="W5267" t="s">
        <v>42794</v>
      </c>
      <c r="X5267" t="s">
        <v>44910</v>
      </c>
    </row>
    <row r="5268" spans="1:24">
      <c r="A5268">
        <f>HYPERLINK("https://www.philgeps.gov.ph/GEPSNONPILOT/Tender/SplashBidNoticeAbstractUI.aspx?menuIndex=3&amp;refID=7076236&amp;Result=3","7076236")</f>
        <v>0</v>
      </c>
      <c r="B5268" t="s">
        <v>1725</v>
      </c>
      <c r="C5268" t="s">
        <v>8557</v>
      </c>
      <c r="E5268" t="s">
        <v>22903</v>
      </c>
      <c r="F5268" t="s">
        <v>31362</v>
      </c>
      <c r="G5268" t="s">
        <v>31368</v>
      </c>
      <c r="H5268" t="s">
        <v>15799</v>
      </c>
      <c r="I5268" t="s">
        <v>4283</v>
      </c>
      <c r="J5268" t="s">
        <v>31530</v>
      </c>
      <c r="K5268" t="s">
        <v>40662</v>
      </c>
      <c r="M5268" t="s">
        <v>42795</v>
      </c>
      <c r="N5268" t="s">
        <v>44905</v>
      </c>
      <c r="O5268" t="s">
        <v>44906</v>
      </c>
      <c r="P5268">
        <v>0</v>
      </c>
      <c r="Q5268">
        <v>5</v>
      </c>
      <c r="R5268" t="s">
        <v>44909</v>
      </c>
      <c r="S5268" t="s">
        <v>45060</v>
      </c>
      <c r="T5268" t="s">
        <v>46443</v>
      </c>
      <c r="U5268" t="s">
        <v>51202</v>
      </c>
      <c r="V5268" t="s">
        <v>59569</v>
      </c>
      <c r="W5268" t="s">
        <v>60908</v>
      </c>
      <c r="X5268" t="s">
        <v>44910</v>
      </c>
    </row>
    <row r="5269" spans="1:24">
      <c r="A5269">
        <f>HYPERLINK("https://www.philgeps.gov.ph/GEPSNONPILOT/Tender/SplashBidNoticeAbstractUI.aspx?menuIndex=3&amp;refID=7076197&amp;Result=3","7076197")</f>
        <v>0</v>
      </c>
      <c r="B5269" t="s">
        <v>303</v>
      </c>
      <c r="C5269" t="s">
        <v>8558</v>
      </c>
      <c r="D5269" t="s">
        <v>18121</v>
      </c>
      <c r="E5269" t="s">
        <v>22904</v>
      </c>
      <c r="F5269" t="s">
        <v>31362</v>
      </c>
      <c r="G5269" t="s">
        <v>31371</v>
      </c>
      <c r="H5269" t="s">
        <v>15799</v>
      </c>
      <c r="I5269" t="s">
        <v>4283</v>
      </c>
      <c r="J5269" t="s">
        <v>31520</v>
      </c>
      <c r="K5269" t="s">
        <v>40665</v>
      </c>
      <c r="M5269" t="s">
        <v>41247</v>
      </c>
      <c r="N5269" t="s">
        <v>44905</v>
      </c>
      <c r="O5269" t="s">
        <v>44906</v>
      </c>
      <c r="P5269">
        <v>0</v>
      </c>
      <c r="Q5269">
        <v>2</v>
      </c>
      <c r="R5269" t="s">
        <v>44909</v>
      </c>
      <c r="S5269" t="s">
        <v>45060</v>
      </c>
      <c r="T5269" t="s">
        <v>46409</v>
      </c>
      <c r="U5269" t="s">
        <v>51203</v>
      </c>
      <c r="W5269" t="s">
        <v>41247</v>
      </c>
      <c r="X5269" t="s">
        <v>44910</v>
      </c>
    </row>
    <row r="5270" spans="1:24">
      <c r="A5270">
        <f>HYPERLINK("https://www.philgeps.gov.ph/GEPSNONPILOT/Tender/SplashBidNoticeAbstractUI.aspx?menuIndex=3&amp;refID=7076291&amp;Result=3","7076291")</f>
        <v>0</v>
      </c>
      <c r="B5270" t="s">
        <v>465</v>
      </c>
      <c r="C5270" t="s">
        <v>8559</v>
      </c>
      <c r="D5270" t="s">
        <v>18107</v>
      </c>
      <c r="E5270" t="s">
        <v>22905</v>
      </c>
      <c r="F5270" t="s">
        <v>31362</v>
      </c>
      <c r="G5270" t="s">
        <v>31368</v>
      </c>
      <c r="H5270" t="s">
        <v>31379</v>
      </c>
      <c r="I5270" t="s">
        <v>31431</v>
      </c>
      <c r="J5270" t="s">
        <v>34897</v>
      </c>
      <c r="K5270" t="s">
        <v>40670</v>
      </c>
      <c r="M5270" t="s">
        <v>41419</v>
      </c>
      <c r="N5270" t="s">
        <v>44905</v>
      </c>
      <c r="O5270" t="s">
        <v>44906</v>
      </c>
      <c r="P5270">
        <v>0</v>
      </c>
      <c r="Q5270">
        <v>1</v>
      </c>
      <c r="R5270" t="s">
        <v>44909</v>
      </c>
      <c r="S5270" t="s">
        <v>45060</v>
      </c>
      <c r="T5270" t="s">
        <v>46412</v>
      </c>
      <c r="U5270" t="s">
        <v>51204</v>
      </c>
      <c r="W5270" t="s">
        <v>41419</v>
      </c>
      <c r="X5270" t="s">
        <v>44910</v>
      </c>
    </row>
    <row r="5271" spans="1:24">
      <c r="A5271">
        <f>HYPERLINK("https://www.philgeps.gov.ph/GEPSNONPILOT/Tender/SplashBidNoticeAbstractUI.aspx?menuIndex=3&amp;refID=7076288&amp;Result=3","7076288")</f>
        <v>0</v>
      </c>
      <c r="B5271" t="s">
        <v>1414</v>
      </c>
      <c r="C5271" t="s">
        <v>8560</v>
      </c>
      <c r="D5271" t="s">
        <v>18106</v>
      </c>
      <c r="E5271" t="s">
        <v>22906</v>
      </c>
      <c r="F5271" t="s">
        <v>31362</v>
      </c>
      <c r="G5271" t="s">
        <v>31368</v>
      </c>
      <c r="H5271" t="s">
        <v>31378</v>
      </c>
      <c r="I5271" t="s">
        <v>31386</v>
      </c>
      <c r="J5271" t="s">
        <v>34898</v>
      </c>
      <c r="K5271" t="s">
        <v>40670</v>
      </c>
      <c r="M5271" t="s">
        <v>42439</v>
      </c>
      <c r="N5271" t="s">
        <v>44905</v>
      </c>
      <c r="O5271" t="s">
        <v>44906</v>
      </c>
      <c r="P5271">
        <v>0</v>
      </c>
      <c r="Q5271">
        <v>0</v>
      </c>
      <c r="R5271" t="s">
        <v>44909</v>
      </c>
      <c r="S5271" t="s">
        <v>45060</v>
      </c>
      <c r="T5271" t="s">
        <v>46454</v>
      </c>
      <c r="U5271" t="s">
        <v>51205</v>
      </c>
      <c r="W5271" t="s">
        <v>42439</v>
      </c>
      <c r="X5271" t="s">
        <v>44910</v>
      </c>
    </row>
    <row r="5272" spans="1:24">
      <c r="A5272">
        <f>HYPERLINK("https://www.philgeps.gov.ph/GEPSNONPILOT/Tender/SplashBidNoticeAbstractUI.aspx?menuIndex=3&amp;refID=7076287&amp;Result=3","7076287")</f>
        <v>0</v>
      </c>
      <c r="B5272" t="s">
        <v>232</v>
      </c>
      <c r="C5272" t="s">
        <v>6240</v>
      </c>
      <c r="D5272" t="s">
        <v>18101</v>
      </c>
      <c r="E5272" t="s">
        <v>22907</v>
      </c>
      <c r="F5272" t="s">
        <v>31362</v>
      </c>
      <c r="G5272" t="s">
        <v>31368</v>
      </c>
      <c r="H5272" t="s">
        <v>15799</v>
      </c>
      <c r="I5272" t="s">
        <v>6240</v>
      </c>
      <c r="J5272" t="s">
        <v>34899</v>
      </c>
      <c r="K5272" t="s">
        <v>40661</v>
      </c>
      <c r="M5272" t="s">
        <v>41171</v>
      </c>
      <c r="N5272" t="s">
        <v>44905</v>
      </c>
      <c r="O5272" t="s">
        <v>44906</v>
      </c>
      <c r="P5272">
        <v>0</v>
      </c>
      <c r="Q5272">
        <v>0</v>
      </c>
      <c r="R5272" t="s">
        <v>44909</v>
      </c>
      <c r="S5272" t="s">
        <v>45060</v>
      </c>
      <c r="T5272" t="s">
        <v>46409</v>
      </c>
      <c r="U5272" t="s">
        <v>51206</v>
      </c>
      <c r="W5272" t="s">
        <v>41171</v>
      </c>
      <c r="X5272" t="s">
        <v>44910</v>
      </c>
    </row>
    <row r="5273" spans="1:24">
      <c r="A5273">
        <f>HYPERLINK("https://www.philgeps.gov.ph/GEPSNONPILOT/Tender/SplashBidNoticeAbstractUI.aspx?menuIndex=3&amp;refID=7076242&amp;Result=3","7076242")</f>
        <v>0</v>
      </c>
      <c r="B5273" t="s">
        <v>1726</v>
      </c>
      <c r="C5273" t="s">
        <v>8561</v>
      </c>
      <c r="D5273" t="s">
        <v>18142</v>
      </c>
      <c r="E5273" t="s">
        <v>22908</v>
      </c>
      <c r="F5273" t="s">
        <v>31362</v>
      </c>
      <c r="G5273" t="s">
        <v>31369</v>
      </c>
      <c r="H5273" t="s">
        <v>31378</v>
      </c>
      <c r="I5273" t="s">
        <v>31386</v>
      </c>
      <c r="J5273" t="s">
        <v>34900</v>
      </c>
      <c r="K5273" t="s">
        <v>40686</v>
      </c>
      <c r="M5273" t="s">
        <v>42796</v>
      </c>
      <c r="N5273" t="s">
        <v>44905</v>
      </c>
      <c r="O5273" t="s">
        <v>44906</v>
      </c>
      <c r="P5273">
        <v>0</v>
      </c>
      <c r="Q5273">
        <v>0</v>
      </c>
      <c r="R5273" t="s">
        <v>44909</v>
      </c>
      <c r="S5273" t="s">
        <v>45060</v>
      </c>
      <c r="T5273" t="s">
        <v>46702</v>
      </c>
      <c r="U5273" t="s">
        <v>51207</v>
      </c>
      <c r="W5273" t="s">
        <v>42796</v>
      </c>
      <c r="X5273" t="s">
        <v>44910</v>
      </c>
    </row>
    <row r="5274" spans="1:24">
      <c r="A5274">
        <f>HYPERLINK("https://www.philgeps.gov.ph/GEPSNONPILOT/Tender/SplashBidNoticeAbstractUI.aspx?menuIndex=3&amp;refID=7076255&amp;Result=3","7076255")</f>
        <v>0</v>
      </c>
      <c r="B5274" t="s">
        <v>1510</v>
      </c>
      <c r="C5274" t="s">
        <v>8562</v>
      </c>
      <c r="D5274" t="s">
        <v>18140</v>
      </c>
      <c r="E5274" t="s">
        <v>22909</v>
      </c>
      <c r="F5274" t="s">
        <v>31362</v>
      </c>
      <c r="G5274" t="s">
        <v>31368</v>
      </c>
      <c r="H5274" t="s">
        <v>15799</v>
      </c>
      <c r="I5274" t="s">
        <v>6155</v>
      </c>
      <c r="J5274" t="s">
        <v>34901</v>
      </c>
      <c r="K5274" t="s">
        <v>40666</v>
      </c>
      <c r="M5274" t="s">
        <v>42551</v>
      </c>
      <c r="N5274" t="s">
        <v>44905</v>
      </c>
      <c r="O5274" t="s">
        <v>44906</v>
      </c>
      <c r="P5274">
        <v>0</v>
      </c>
      <c r="Q5274">
        <v>0</v>
      </c>
      <c r="R5274" t="s">
        <v>44909</v>
      </c>
      <c r="S5274" t="s">
        <v>45060</v>
      </c>
      <c r="T5274" t="s">
        <v>46432</v>
      </c>
      <c r="U5274" t="s">
        <v>51208</v>
      </c>
      <c r="V5274" t="s">
        <v>59570</v>
      </c>
      <c r="W5274" t="s">
        <v>42551</v>
      </c>
      <c r="X5274" t="s">
        <v>44910</v>
      </c>
    </row>
    <row r="5275" spans="1:24">
      <c r="A5275">
        <f>HYPERLINK("https://www.philgeps.gov.ph/GEPSNONPILOT/Tender/SplashBidNoticeAbstractUI.aspx?menuIndex=3&amp;refID=7076283&amp;Result=3","7076283")</f>
        <v>0</v>
      </c>
      <c r="B5275" t="s">
        <v>1719</v>
      </c>
      <c r="C5275" t="s">
        <v>8563</v>
      </c>
      <c r="D5275" t="s">
        <v>18108</v>
      </c>
      <c r="E5275" t="s">
        <v>22910</v>
      </c>
      <c r="F5275" t="s">
        <v>31362</v>
      </c>
      <c r="G5275" t="s">
        <v>31369</v>
      </c>
      <c r="H5275" t="s">
        <v>15799</v>
      </c>
      <c r="I5275" t="s">
        <v>31393</v>
      </c>
      <c r="J5275" t="s">
        <v>34902</v>
      </c>
      <c r="K5275" t="s">
        <v>40662</v>
      </c>
      <c r="M5275" t="s">
        <v>42797</v>
      </c>
      <c r="N5275" t="s">
        <v>44905</v>
      </c>
      <c r="O5275" t="s">
        <v>44906</v>
      </c>
      <c r="P5275">
        <v>0</v>
      </c>
      <c r="Q5275">
        <v>13</v>
      </c>
      <c r="R5275" t="s">
        <v>44909</v>
      </c>
      <c r="S5275" t="s">
        <v>45060</v>
      </c>
      <c r="T5275" t="s">
        <v>46401</v>
      </c>
      <c r="U5275" t="s">
        <v>51209</v>
      </c>
      <c r="V5275" t="s">
        <v>59571</v>
      </c>
      <c r="W5275" t="s">
        <v>42797</v>
      </c>
      <c r="X5275" t="s">
        <v>44910</v>
      </c>
    </row>
    <row r="5276" spans="1:24">
      <c r="A5276">
        <f>HYPERLINK("https://www.philgeps.gov.ph/GEPSNONPILOT/Tender/SplashBidNoticeAbstractUI.aspx?menuIndex=3&amp;refID=7076282&amp;Result=3","7076282")</f>
        <v>0</v>
      </c>
      <c r="B5276" t="s">
        <v>561</v>
      </c>
      <c r="C5276" t="s">
        <v>8564</v>
      </c>
      <c r="D5276" t="s">
        <v>18124</v>
      </c>
      <c r="E5276" t="s">
        <v>22911</v>
      </c>
      <c r="F5276" t="s">
        <v>31362</v>
      </c>
      <c r="G5276" t="s">
        <v>31369</v>
      </c>
      <c r="H5276" t="s">
        <v>15799</v>
      </c>
      <c r="I5276" t="s">
        <v>31482</v>
      </c>
      <c r="J5276" t="s">
        <v>31687</v>
      </c>
      <c r="K5276" t="s">
        <v>40670</v>
      </c>
      <c r="M5276" t="s">
        <v>41517</v>
      </c>
      <c r="N5276" t="s">
        <v>44905</v>
      </c>
      <c r="O5276" t="s">
        <v>44906</v>
      </c>
      <c r="P5276">
        <v>0</v>
      </c>
      <c r="Q5276">
        <v>0</v>
      </c>
      <c r="R5276" t="s">
        <v>44909</v>
      </c>
      <c r="S5276" t="s">
        <v>45060</v>
      </c>
      <c r="T5276" t="s">
        <v>46444</v>
      </c>
      <c r="U5276" t="s">
        <v>51210</v>
      </c>
      <c r="W5276" t="s">
        <v>41517</v>
      </c>
      <c r="X5276" t="s">
        <v>44910</v>
      </c>
    </row>
    <row r="5277" spans="1:24">
      <c r="A5277">
        <f>HYPERLINK("https://www.philgeps.gov.ph/GEPSNONPILOT/Tender/SplashBidNoticeAbstractUI.aspx?menuIndex=3&amp;refID=7076222&amp;Result=3","7076222")</f>
        <v>0</v>
      </c>
      <c r="B5277" t="s">
        <v>803</v>
      </c>
      <c r="C5277" t="s">
        <v>8565</v>
      </c>
      <c r="D5277" t="s">
        <v>18122</v>
      </c>
      <c r="E5277" t="s">
        <v>22912</v>
      </c>
      <c r="F5277" t="s">
        <v>31362</v>
      </c>
      <c r="G5277" t="s">
        <v>31368</v>
      </c>
      <c r="H5277" t="s">
        <v>15799</v>
      </c>
      <c r="I5277" t="s">
        <v>31445</v>
      </c>
      <c r="J5277" t="s">
        <v>32127</v>
      </c>
      <c r="K5277" t="s">
        <v>40666</v>
      </c>
      <c r="M5277" t="s">
        <v>41773</v>
      </c>
      <c r="N5277" t="s">
        <v>44905</v>
      </c>
      <c r="O5277" t="s">
        <v>44906</v>
      </c>
      <c r="P5277">
        <v>0</v>
      </c>
      <c r="Q5277">
        <v>5</v>
      </c>
      <c r="R5277" t="s">
        <v>44909</v>
      </c>
      <c r="S5277" t="s">
        <v>45060</v>
      </c>
      <c r="T5277" t="s">
        <v>46454</v>
      </c>
      <c r="U5277" t="s">
        <v>51211</v>
      </c>
      <c r="W5277" t="s">
        <v>41773</v>
      </c>
      <c r="X5277" t="s">
        <v>44910</v>
      </c>
    </row>
    <row r="5278" spans="1:24">
      <c r="A5278">
        <f>HYPERLINK("https://www.philgeps.gov.ph/GEPSNONPILOT/Tender/SplashBidNoticeAbstractUI.aspx?menuIndex=3&amp;refID=7076290&amp;Result=3","7076290")</f>
        <v>0</v>
      </c>
      <c r="B5278" t="s">
        <v>1727</v>
      </c>
      <c r="C5278" t="s">
        <v>8566</v>
      </c>
      <c r="D5278" t="s">
        <v>18127</v>
      </c>
      <c r="E5278" t="s">
        <v>18201</v>
      </c>
      <c r="F5278" t="s">
        <v>31362</v>
      </c>
      <c r="G5278" t="s">
        <v>31372</v>
      </c>
      <c r="H5278" t="s">
        <v>15799</v>
      </c>
      <c r="I5278" t="s">
        <v>3815</v>
      </c>
      <c r="J5278" t="s">
        <v>34903</v>
      </c>
      <c r="K5278" t="s">
        <v>40665</v>
      </c>
      <c r="M5278" t="s">
        <v>42798</v>
      </c>
      <c r="N5278" t="s">
        <v>44905</v>
      </c>
      <c r="O5278" t="s">
        <v>44906</v>
      </c>
      <c r="P5278">
        <v>0</v>
      </c>
      <c r="Q5278">
        <v>1</v>
      </c>
      <c r="R5278" t="s">
        <v>44909</v>
      </c>
      <c r="S5278" t="s">
        <v>45060</v>
      </c>
      <c r="T5278" t="s">
        <v>46462</v>
      </c>
      <c r="U5278" t="s">
        <v>51212</v>
      </c>
      <c r="W5278" t="s">
        <v>42798</v>
      </c>
      <c r="X5278" t="s">
        <v>44910</v>
      </c>
    </row>
    <row r="5279" spans="1:24">
      <c r="A5279">
        <f>HYPERLINK("https://www.philgeps.gov.ph/GEPSNONPILOT/Tender/SplashBidNoticeAbstractUI.aspx?menuIndex=3&amp;refID=7076276&amp;Result=3","7076276")</f>
        <v>0</v>
      </c>
      <c r="B5279" t="s">
        <v>301</v>
      </c>
      <c r="C5279" t="s">
        <v>8567</v>
      </c>
      <c r="D5279" t="s">
        <v>18164</v>
      </c>
      <c r="E5279" t="s">
        <v>22913</v>
      </c>
      <c r="F5279" t="s">
        <v>31362</v>
      </c>
      <c r="G5279" t="s">
        <v>31370</v>
      </c>
      <c r="H5279" t="s">
        <v>15799</v>
      </c>
      <c r="I5279" t="s">
        <v>31427</v>
      </c>
      <c r="J5279" t="s">
        <v>34904</v>
      </c>
      <c r="K5279" t="s">
        <v>40670</v>
      </c>
      <c r="M5279" t="s">
        <v>41244</v>
      </c>
      <c r="N5279" t="s">
        <v>44905</v>
      </c>
      <c r="O5279" t="s">
        <v>44906</v>
      </c>
      <c r="P5279">
        <v>0</v>
      </c>
      <c r="Q5279">
        <v>3</v>
      </c>
      <c r="R5279" t="s">
        <v>44909</v>
      </c>
      <c r="S5279" t="s">
        <v>45060</v>
      </c>
      <c r="T5279" t="s">
        <v>46409</v>
      </c>
      <c r="U5279" t="s">
        <v>51213</v>
      </c>
      <c r="V5279" t="s">
        <v>59572</v>
      </c>
      <c r="W5279" t="s">
        <v>41244</v>
      </c>
      <c r="X5279" t="s">
        <v>44910</v>
      </c>
    </row>
    <row r="5280" spans="1:24">
      <c r="A5280">
        <f>HYPERLINK("https://www.philgeps.gov.ph/GEPSNONPILOT/Tender/SplashBidNoticeAbstractUI.aspx?menuIndex=3&amp;refID=7076285&amp;Result=3","7076285")</f>
        <v>0</v>
      </c>
      <c r="B5280" t="s">
        <v>1728</v>
      </c>
      <c r="C5280" t="s">
        <v>8568</v>
      </c>
      <c r="D5280" t="s">
        <v>18158</v>
      </c>
      <c r="E5280" t="s">
        <v>22914</v>
      </c>
      <c r="F5280" t="s">
        <v>31362</v>
      </c>
      <c r="G5280" t="s">
        <v>31369</v>
      </c>
      <c r="H5280" t="s">
        <v>15799</v>
      </c>
      <c r="I5280" t="s">
        <v>4283</v>
      </c>
      <c r="J5280" t="s">
        <v>34905</v>
      </c>
      <c r="K5280" t="s">
        <v>40665</v>
      </c>
      <c r="M5280" t="s">
        <v>42799</v>
      </c>
      <c r="N5280" t="s">
        <v>44905</v>
      </c>
      <c r="O5280" t="s">
        <v>44906</v>
      </c>
      <c r="P5280">
        <v>0</v>
      </c>
      <c r="Q5280">
        <v>4</v>
      </c>
      <c r="R5280" t="s">
        <v>44909</v>
      </c>
      <c r="S5280" t="s">
        <v>45060</v>
      </c>
      <c r="T5280" t="s">
        <v>46483</v>
      </c>
      <c r="U5280" t="s">
        <v>51214</v>
      </c>
      <c r="W5280" t="s">
        <v>42799</v>
      </c>
      <c r="X5280" t="s">
        <v>44910</v>
      </c>
    </row>
    <row r="5281" spans="1:24">
      <c r="A5281">
        <f>HYPERLINK("https://www.philgeps.gov.ph/GEPSNONPILOT/Tender/SplashBidNoticeAbstractUI.aspx?menuIndex=3&amp;refID=7076272&amp;Result=3","7076272")</f>
        <v>0</v>
      </c>
      <c r="B5281" t="s">
        <v>1714</v>
      </c>
      <c r="C5281" t="s">
        <v>8569</v>
      </c>
      <c r="E5281" t="s">
        <v>22915</v>
      </c>
      <c r="F5281" t="s">
        <v>31362</v>
      </c>
      <c r="G5281" t="s">
        <v>31369</v>
      </c>
      <c r="H5281" t="s">
        <v>15799</v>
      </c>
      <c r="I5281" t="s">
        <v>31386</v>
      </c>
      <c r="J5281" t="s">
        <v>34906</v>
      </c>
      <c r="K5281" t="s">
        <v>40682</v>
      </c>
      <c r="M5281" t="s">
        <v>42782</v>
      </c>
      <c r="N5281" t="s">
        <v>44905</v>
      </c>
      <c r="O5281" t="s">
        <v>44906</v>
      </c>
      <c r="P5281">
        <v>0</v>
      </c>
      <c r="Q5281">
        <v>0</v>
      </c>
      <c r="R5281" t="s">
        <v>44909</v>
      </c>
      <c r="S5281" t="s">
        <v>45060</v>
      </c>
      <c r="T5281" t="s">
        <v>46433</v>
      </c>
      <c r="U5281" t="s">
        <v>51215</v>
      </c>
      <c r="W5281" t="s">
        <v>42782</v>
      </c>
      <c r="X5281" t="s">
        <v>44910</v>
      </c>
    </row>
    <row r="5282" spans="1:24">
      <c r="A5282">
        <f>HYPERLINK("https://www.philgeps.gov.ph/GEPSNONPILOT/Tender/SplashBidNoticeAbstractUI.aspx?menuIndex=3&amp;refID=7076271&amp;Result=3","7076271")</f>
        <v>0</v>
      </c>
      <c r="B5282" t="s">
        <v>1729</v>
      </c>
      <c r="C5282" t="s">
        <v>8570</v>
      </c>
      <c r="D5282" t="s">
        <v>18128</v>
      </c>
      <c r="E5282" t="s">
        <v>22916</v>
      </c>
      <c r="F5282" t="s">
        <v>31362</v>
      </c>
      <c r="G5282" t="s">
        <v>31368</v>
      </c>
      <c r="H5282" t="s">
        <v>31378</v>
      </c>
      <c r="I5282" t="s">
        <v>31386</v>
      </c>
      <c r="J5282" t="s">
        <v>34907</v>
      </c>
      <c r="K5282" t="s">
        <v>40670</v>
      </c>
      <c r="M5282" t="s">
        <v>42800</v>
      </c>
      <c r="N5282" t="s">
        <v>44905</v>
      </c>
      <c r="O5282" t="s">
        <v>44906</v>
      </c>
      <c r="P5282">
        <v>0</v>
      </c>
      <c r="Q5282">
        <v>0</v>
      </c>
      <c r="R5282" t="s">
        <v>44909</v>
      </c>
      <c r="S5282" t="s">
        <v>45060</v>
      </c>
      <c r="T5282" t="s">
        <v>46434</v>
      </c>
      <c r="U5282" t="s">
        <v>51216</v>
      </c>
      <c r="W5282" t="s">
        <v>42800</v>
      </c>
      <c r="X5282" t="s">
        <v>44910</v>
      </c>
    </row>
    <row r="5283" spans="1:24">
      <c r="A5283">
        <f>HYPERLINK("https://www.philgeps.gov.ph/GEPSNONPILOT/Tender/SplashBidNoticeAbstractUI.aspx?menuIndex=3&amp;refID=7076270&amp;Result=3","7076270")</f>
        <v>0</v>
      </c>
      <c r="B5283" t="s">
        <v>641</v>
      </c>
      <c r="C5283" t="s">
        <v>8571</v>
      </c>
      <c r="D5283" t="s">
        <v>18158</v>
      </c>
      <c r="E5283" t="s">
        <v>22917</v>
      </c>
      <c r="F5283" t="s">
        <v>31362</v>
      </c>
      <c r="G5283" t="s">
        <v>31372</v>
      </c>
      <c r="H5283" t="s">
        <v>15799</v>
      </c>
      <c r="I5283" t="s">
        <v>31393</v>
      </c>
      <c r="J5283" t="s">
        <v>34908</v>
      </c>
      <c r="K5283" t="s">
        <v>40693</v>
      </c>
      <c r="M5283" t="s">
        <v>42801</v>
      </c>
      <c r="N5283" t="s">
        <v>44905</v>
      </c>
      <c r="O5283" t="s">
        <v>44906</v>
      </c>
      <c r="P5283">
        <v>0</v>
      </c>
      <c r="Q5283">
        <v>4</v>
      </c>
      <c r="R5283" t="s">
        <v>44909</v>
      </c>
      <c r="S5283" t="s">
        <v>45060</v>
      </c>
      <c r="T5283" t="s">
        <v>46393</v>
      </c>
      <c r="U5283" t="s">
        <v>51217</v>
      </c>
      <c r="W5283" t="s">
        <v>42801</v>
      </c>
      <c r="X5283" t="s">
        <v>44910</v>
      </c>
    </row>
    <row r="5284" spans="1:24">
      <c r="A5284">
        <f>HYPERLINK("https://www.philgeps.gov.ph/GEPSNONPILOT/Tender/SplashBidNoticeAbstractUI.aspx?menuIndex=3&amp;refID=7076296&amp;Result=3","7076296")</f>
        <v>0</v>
      </c>
      <c r="B5284" t="s">
        <v>1683</v>
      </c>
      <c r="C5284" t="s">
        <v>8572</v>
      </c>
      <c r="D5284" t="s">
        <v>18169</v>
      </c>
      <c r="E5284" t="s">
        <v>22918</v>
      </c>
      <c r="F5284" t="s">
        <v>31362</v>
      </c>
      <c r="G5284" t="s">
        <v>31370</v>
      </c>
      <c r="H5284" t="s">
        <v>15799</v>
      </c>
      <c r="I5284" t="s">
        <v>31380</v>
      </c>
      <c r="J5284" t="s">
        <v>34909</v>
      </c>
      <c r="K5284" t="s">
        <v>40666</v>
      </c>
      <c r="M5284" t="s">
        <v>42748</v>
      </c>
      <c r="N5284" t="s">
        <v>44905</v>
      </c>
      <c r="O5284" t="s">
        <v>44906</v>
      </c>
      <c r="P5284">
        <v>0</v>
      </c>
      <c r="Q5284">
        <v>0</v>
      </c>
      <c r="R5284" t="s">
        <v>44909</v>
      </c>
      <c r="S5284" t="s">
        <v>45060</v>
      </c>
      <c r="T5284" t="s">
        <v>46503</v>
      </c>
      <c r="U5284" t="s">
        <v>51218</v>
      </c>
      <c r="W5284" t="s">
        <v>42748</v>
      </c>
      <c r="X5284" t="s">
        <v>44910</v>
      </c>
    </row>
    <row r="5285" spans="1:24">
      <c r="A5285">
        <f>HYPERLINK("https://www.philgeps.gov.ph/GEPSNONPILOT/Tender/SplashBidNoticeAbstractUI.aspx?menuIndex=3&amp;refID=7076278&amp;Result=3","7076278")</f>
        <v>0</v>
      </c>
      <c r="B5285" t="s">
        <v>1730</v>
      </c>
      <c r="C5285" t="s">
        <v>8573</v>
      </c>
      <c r="D5285" t="s">
        <v>18106</v>
      </c>
      <c r="E5285" t="s">
        <v>22919</v>
      </c>
      <c r="F5285" t="s">
        <v>31362</v>
      </c>
      <c r="G5285" t="s">
        <v>31370</v>
      </c>
      <c r="H5285" t="s">
        <v>15799</v>
      </c>
      <c r="I5285" t="s">
        <v>3815</v>
      </c>
      <c r="J5285" t="s">
        <v>34910</v>
      </c>
      <c r="K5285" t="s">
        <v>40661</v>
      </c>
      <c r="M5285" t="s">
        <v>42802</v>
      </c>
      <c r="N5285" t="s">
        <v>44905</v>
      </c>
      <c r="O5285" t="s">
        <v>44906</v>
      </c>
      <c r="P5285">
        <v>0</v>
      </c>
      <c r="Q5285">
        <v>0</v>
      </c>
      <c r="R5285" t="s">
        <v>44909</v>
      </c>
      <c r="S5285" t="s">
        <v>45060</v>
      </c>
      <c r="T5285" t="s">
        <v>46404</v>
      </c>
      <c r="U5285" t="s">
        <v>51219</v>
      </c>
      <c r="W5285" t="s">
        <v>42802</v>
      </c>
      <c r="X5285" t="s">
        <v>44910</v>
      </c>
    </row>
    <row r="5286" spans="1:24">
      <c r="A5286">
        <f>HYPERLINK("https://www.philgeps.gov.ph/GEPSNONPILOT/Tender/SplashBidNoticeAbstractUI.aspx?menuIndex=3&amp;refID=7076323&amp;Result=3","7076323")</f>
        <v>0</v>
      </c>
      <c r="B5286" t="s">
        <v>216</v>
      </c>
      <c r="C5286" t="s">
        <v>8574</v>
      </c>
      <c r="D5286" t="s">
        <v>18113</v>
      </c>
      <c r="E5286" t="s">
        <v>22920</v>
      </c>
      <c r="F5286" t="s">
        <v>31362</v>
      </c>
      <c r="G5286" t="s">
        <v>31368</v>
      </c>
      <c r="H5286" t="s">
        <v>15799</v>
      </c>
      <c r="I5286" t="s">
        <v>31430</v>
      </c>
      <c r="J5286" t="s">
        <v>31626</v>
      </c>
      <c r="K5286" t="s">
        <v>40662</v>
      </c>
      <c r="M5286" t="s">
        <v>41155</v>
      </c>
      <c r="N5286" t="s">
        <v>44905</v>
      </c>
      <c r="O5286" t="s">
        <v>44906</v>
      </c>
      <c r="P5286">
        <v>0</v>
      </c>
      <c r="Q5286">
        <v>0</v>
      </c>
      <c r="R5286" t="s">
        <v>44909</v>
      </c>
      <c r="S5286" t="s">
        <v>45060</v>
      </c>
      <c r="T5286" t="s">
        <v>46432</v>
      </c>
      <c r="U5286" t="s">
        <v>51220</v>
      </c>
      <c r="V5286" t="s">
        <v>59107</v>
      </c>
      <c r="W5286" t="s">
        <v>41155</v>
      </c>
      <c r="X5286" t="s">
        <v>44910</v>
      </c>
    </row>
    <row r="5287" spans="1:24">
      <c r="A5287">
        <f>HYPERLINK("https://www.philgeps.gov.ph/GEPSNONPILOT/Tender/SplashBidNoticeAbstractUI.aspx?menuIndex=3&amp;refID=7076220&amp;Result=3","7076220")</f>
        <v>0</v>
      </c>
      <c r="B5287" t="s">
        <v>1728</v>
      </c>
      <c r="C5287" t="s">
        <v>8575</v>
      </c>
      <c r="D5287" t="s">
        <v>18158</v>
      </c>
      <c r="E5287" t="s">
        <v>22921</v>
      </c>
      <c r="F5287" t="s">
        <v>31362</v>
      </c>
      <c r="G5287" t="s">
        <v>31369</v>
      </c>
      <c r="H5287" t="s">
        <v>15799</v>
      </c>
      <c r="I5287" t="s">
        <v>31478</v>
      </c>
      <c r="J5287" t="s">
        <v>34911</v>
      </c>
      <c r="K5287" t="s">
        <v>40682</v>
      </c>
      <c r="M5287" t="s">
        <v>42799</v>
      </c>
      <c r="N5287" t="s">
        <v>44905</v>
      </c>
      <c r="O5287" t="s">
        <v>44906</v>
      </c>
      <c r="P5287">
        <v>0</v>
      </c>
      <c r="Q5287">
        <v>1</v>
      </c>
      <c r="R5287" t="s">
        <v>44909</v>
      </c>
      <c r="S5287" t="s">
        <v>45060</v>
      </c>
      <c r="T5287" t="s">
        <v>46395</v>
      </c>
      <c r="U5287" t="s">
        <v>51221</v>
      </c>
      <c r="W5287" t="s">
        <v>42799</v>
      </c>
      <c r="X5287" t="s">
        <v>44910</v>
      </c>
    </row>
    <row r="5288" spans="1:24">
      <c r="A5288">
        <f>HYPERLINK("https://www.philgeps.gov.ph/GEPSNONPILOT/Tender/SplashBidNoticeAbstractUI.aspx?menuIndex=3&amp;refID=7076320&amp;Result=3","7076320")</f>
        <v>0</v>
      </c>
      <c r="B5288" t="s">
        <v>1731</v>
      </c>
      <c r="C5288" t="s">
        <v>8576</v>
      </c>
      <c r="D5288" t="s">
        <v>18127</v>
      </c>
      <c r="E5288" t="s">
        <v>22922</v>
      </c>
      <c r="F5288" t="s">
        <v>31362</v>
      </c>
      <c r="G5288" t="s">
        <v>31370</v>
      </c>
      <c r="H5288" t="s">
        <v>15799</v>
      </c>
      <c r="I5288" t="s">
        <v>31404</v>
      </c>
      <c r="J5288" t="s">
        <v>32263</v>
      </c>
      <c r="K5288" t="s">
        <v>40661</v>
      </c>
      <c r="M5288" t="s">
        <v>42803</v>
      </c>
      <c r="N5288" t="s">
        <v>44905</v>
      </c>
      <c r="O5288" t="s">
        <v>44906</v>
      </c>
      <c r="P5288">
        <v>0</v>
      </c>
      <c r="Q5288">
        <v>0</v>
      </c>
      <c r="R5288" t="s">
        <v>44909</v>
      </c>
      <c r="S5288" t="s">
        <v>45060</v>
      </c>
      <c r="T5288" t="s">
        <v>46416</v>
      </c>
      <c r="U5288" t="s">
        <v>51222</v>
      </c>
      <c r="W5288" t="s">
        <v>42803</v>
      </c>
      <c r="X5288" t="s">
        <v>44910</v>
      </c>
    </row>
    <row r="5289" spans="1:24">
      <c r="A5289">
        <f>HYPERLINK("https://www.philgeps.gov.ph/GEPSNONPILOT/Tender/SplashBidNoticeAbstractUI.aspx?menuIndex=3&amp;refID=7076319&amp;Result=3","7076319")</f>
        <v>0</v>
      </c>
      <c r="B5289" t="s">
        <v>1732</v>
      </c>
      <c r="C5289" t="s">
        <v>8577</v>
      </c>
      <c r="D5289" t="s">
        <v>18136</v>
      </c>
      <c r="E5289" t="s">
        <v>20461</v>
      </c>
      <c r="F5289" t="s">
        <v>31362</v>
      </c>
      <c r="G5289" t="s">
        <v>31369</v>
      </c>
      <c r="H5289" t="s">
        <v>31378</v>
      </c>
      <c r="I5289" t="s">
        <v>31386</v>
      </c>
      <c r="J5289" t="s">
        <v>31591</v>
      </c>
      <c r="K5289" t="s">
        <v>40682</v>
      </c>
      <c r="M5289" t="s">
        <v>42804</v>
      </c>
      <c r="N5289" t="s">
        <v>44905</v>
      </c>
      <c r="O5289" t="s">
        <v>44906</v>
      </c>
      <c r="P5289">
        <v>0</v>
      </c>
      <c r="Q5289">
        <v>0</v>
      </c>
      <c r="R5289" t="s">
        <v>44909</v>
      </c>
      <c r="S5289" t="s">
        <v>45060</v>
      </c>
      <c r="T5289" t="s">
        <v>46425</v>
      </c>
      <c r="U5289" t="s">
        <v>51223</v>
      </c>
      <c r="W5289" t="s">
        <v>42804</v>
      </c>
      <c r="X5289" t="s">
        <v>44910</v>
      </c>
    </row>
    <row r="5290" spans="1:24">
      <c r="A5290">
        <f>HYPERLINK("https://www.philgeps.gov.ph/GEPSNONPILOT/Tender/SplashBidNoticeAbstractUI.aspx?menuIndex=3&amp;refID=7076284&amp;Result=3","7076284")</f>
        <v>0</v>
      </c>
      <c r="B5290" t="s">
        <v>1115</v>
      </c>
      <c r="C5290" t="s">
        <v>8578</v>
      </c>
      <c r="D5290" t="s">
        <v>18104</v>
      </c>
      <c r="E5290" t="s">
        <v>22923</v>
      </c>
      <c r="F5290" t="s">
        <v>31362</v>
      </c>
      <c r="G5290" t="s">
        <v>31369</v>
      </c>
      <c r="H5290" t="s">
        <v>15799</v>
      </c>
      <c r="I5290" t="s">
        <v>31409</v>
      </c>
      <c r="J5290" t="s">
        <v>33028</v>
      </c>
      <c r="K5290" t="s">
        <v>40670</v>
      </c>
      <c r="M5290" t="s">
        <v>42805</v>
      </c>
      <c r="N5290" t="s">
        <v>44905</v>
      </c>
      <c r="O5290" t="s">
        <v>44906</v>
      </c>
      <c r="P5290">
        <v>0</v>
      </c>
      <c r="Q5290">
        <v>4</v>
      </c>
      <c r="R5290" t="s">
        <v>44909</v>
      </c>
      <c r="S5290" t="s">
        <v>45060</v>
      </c>
      <c r="T5290" t="s">
        <v>46433</v>
      </c>
      <c r="U5290" t="s">
        <v>51224</v>
      </c>
      <c r="V5290" t="s">
        <v>59573</v>
      </c>
      <c r="W5290" t="s">
        <v>42805</v>
      </c>
      <c r="X5290" t="s">
        <v>44910</v>
      </c>
    </row>
    <row r="5291" spans="1:24">
      <c r="A5291">
        <f>HYPERLINK("https://www.philgeps.gov.ph/GEPSNONPILOT/Tender/SplashBidNoticeAbstractUI.aspx?menuIndex=3&amp;refID=7076317&amp;Result=3","7076317")</f>
        <v>0</v>
      </c>
      <c r="B5291" t="s">
        <v>1733</v>
      </c>
      <c r="C5291" t="s">
        <v>8579</v>
      </c>
      <c r="D5291" t="s">
        <v>18185</v>
      </c>
      <c r="E5291" t="s">
        <v>22924</v>
      </c>
      <c r="F5291" t="s">
        <v>31362</v>
      </c>
      <c r="G5291" t="s">
        <v>31372</v>
      </c>
      <c r="H5291" t="s">
        <v>15799</v>
      </c>
      <c r="I5291" t="s">
        <v>31392</v>
      </c>
      <c r="J5291" t="s">
        <v>31591</v>
      </c>
      <c r="K5291" t="s">
        <v>40682</v>
      </c>
      <c r="M5291" t="s">
        <v>42806</v>
      </c>
      <c r="N5291" t="s">
        <v>44905</v>
      </c>
      <c r="O5291" t="s">
        <v>44906</v>
      </c>
      <c r="P5291">
        <v>0</v>
      </c>
      <c r="Q5291">
        <v>3</v>
      </c>
      <c r="R5291" t="s">
        <v>44909</v>
      </c>
      <c r="S5291" t="s">
        <v>45060</v>
      </c>
      <c r="T5291" t="s">
        <v>46703</v>
      </c>
      <c r="U5291" t="s">
        <v>51225</v>
      </c>
      <c r="W5291" t="s">
        <v>42806</v>
      </c>
      <c r="X5291" t="s">
        <v>44910</v>
      </c>
    </row>
    <row r="5292" spans="1:24">
      <c r="A5292">
        <f>HYPERLINK("https://www.philgeps.gov.ph/GEPSNONPILOT/Tender/SplashBidNoticeAbstractUI.aspx?menuIndex=3&amp;refID=7076315&amp;Result=3","7076315")</f>
        <v>0</v>
      </c>
      <c r="B5292" t="s">
        <v>1734</v>
      </c>
      <c r="C5292" t="s">
        <v>8580</v>
      </c>
      <c r="D5292" t="s">
        <v>18175</v>
      </c>
      <c r="E5292" t="s">
        <v>18464</v>
      </c>
      <c r="F5292" t="s">
        <v>31362</v>
      </c>
      <c r="G5292" t="s">
        <v>31369</v>
      </c>
      <c r="H5292" t="s">
        <v>31378</v>
      </c>
      <c r="I5292" t="s">
        <v>31386</v>
      </c>
      <c r="J5292" t="s">
        <v>32549</v>
      </c>
      <c r="K5292" t="s">
        <v>40686</v>
      </c>
      <c r="M5292" t="s">
        <v>42807</v>
      </c>
      <c r="N5292" t="s">
        <v>44905</v>
      </c>
      <c r="O5292" t="s">
        <v>44906</v>
      </c>
      <c r="P5292">
        <v>0</v>
      </c>
      <c r="Q5292">
        <v>0</v>
      </c>
      <c r="R5292" t="s">
        <v>44909</v>
      </c>
      <c r="S5292" t="s">
        <v>45060</v>
      </c>
      <c r="T5292" t="s">
        <v>46425</v>
      </c>
      <c r="U5292" t="s">
        <v>51226</v>
      </c>
      <c r="W5292" t="s">
        <v>42807</v>
      </c>
      <c r="X5292" t="s">
        <v>44910</v>
      </c>
    </row>
    <row r="5293" spans="1:24">
      <c r="A5293">
        <f>HYPERLINK("https://www.philgeps.gov.ph/GEPSNONPILOT/Tender/SplashBidNoticeAbstractUI.aspx?menuIndex=3&amp;refID=7076280&amp;Result=3","7076280")</f>
        <v>0</v>
      </c>
      <c r="B5293" t="s">
        <v>1735</v>
      </c>
      <c r="C5293" t="s">
        <v>8581</v>
      </c>
      <c r="D5293" t="s">
        <v>18127</v>
      </c>
      <c r="E5293" t="s">
        <v>22925</v>
      </c>
      <c r="F5293" t="s">
        <v>31362</v>
      </c>
      <c r="G5293" t="s">
        <v>31368</v>
      </c>
      <c r="H5293" t="s">
        <v>15799</v>
      </c>
      <c r="I5293" t="s">
        <v>31393</v>
      </c>
      <c r="J5293" t="s">
        <v>31723</v>
      </c>
      <c r="K5293" t="s">
        <v>40670</v>
      </c>
      <c r="M5293" t="s">
        <v>42808</v>
      </c>
      <c r="N5293" t="s">
        <v>44905</v>
      </c>
      <c r="O5293" t="s">
        <v>44906</v>
      </c>
      <c r="P5293">
        <v>0</v>
      </c>
      <c r="Q5293">
        <v>4</v>
      </c>
      <c r="R5293" t="s">
        <v>44909</v>
      </c>
      <c r="S5293" t="s">
        <v>45060</v>
      </c>
      <c r="T5293" t="s">
        <v>46478</v>
      </c>
      <c r="U5293" t="s">
        <v>51227</v>
      </c>
      <c r="W5293" t="s">
        <v>42808</v>
      </c>
      <c r="X5293" t="s">
        <v>44910</v>
      </c>
    </row>
    <row r="5294" spans="1:24">
      <c r="A5294">
        <f>HYPERLINK("https://www.philgeps.gov.ph/GEPSNONPILOT/Tender/SplashBidNoticeAbstractUI.aspx?menuIndex=3&amp;refID=7076312&amp;Result=3","7076312")</f>
        <v>0</v>
      </c>
      <c r="B5294" t="s">
        <v>175</v>
      </c>
      <c r="C5294" t="s">
        <v>8582</v>
      </c>
      <c r="D5294" t="s">
        <v>18153</v>
      </c>
      <c r="E5294" t="s">
        <v>22926</v>
      </c>
      <c r="F5294" t="s">
        <v>31362</v>
      </c>
      <c r="G5294" t="s">
        <v>31368</v>
      </c>
      <c r="H5294" t="s">
        <v>15799</v>
      </c>
      <c r="I5294" t="s">
        <v>31387</v>
      </c>
      <c r="J5294" t="s">
        <v>34912</v>
      </c>
      <c r="K5294" t="s">
        <v>40661</v>
      </c>
      <c r="L5294" t="s">
        <v>175</v>
      </c>
      <c r="M5294" t="s">
        <v>41113</v>
      </c>
      <c r="N5294" t="s">
        <v>44905</v>
      </c>
      <c r="O5294" t="s">
        <v>44906</v>
      </c>
      <c r="P5294">
        <v>0</v>
      </c>
      <c r="Q5294">
        <v>0</v>
      </c>
      <c r="R5294" t="s">
        <v>44909</v>
      </c>
      <c r="S5294" t="s">
        <v>45060</v>
      </c>
      <c r="T5294" t="s">
        <v>46428</v>
      </c>
      <c r="U5294" t="s">
        <v>51228</v>
      </c>
      <c r="V5294" t="s">
        <v>59090</v>
      </c>
      <c r="W5294" t="s">
        <v>41113</v>
      </c>
      <c r="X5294" t="s">
        <v>44910</v>
      </c>
    </row>
    <row r="5295" spans="1:24">
      <c r="A5295">
        <f>HYPERLINK("https://www.philgeps.gov.ph/GEPSNONPILOT/Tender/SplashBidNoticeAbstractUI.aspx?menuIndex=3&amp;refID=7076275&amp;Result=3","7076275")</f>
        <v>0</v>
      </c>
      <c r="B5295" t="s">
        <v>190</v>
      </c>
      <c r="C5295" t="s">
        <v>3889</v>
      </c>
      <c r="D5295" t="s">
        <v>18110</v>
      </c>
      <c r="E5295" t="s">
        <v>22927</v>
      </c>
      <c r="F5295" t="s">
        <v>31362</v>
      </c>
      <c r="G5295" t="s">
        <v>31368</v>
      </c>
      <c r="H5295" t="s">
        <v>15799</v>
      </c>
      <c r="I5295" t="s">
        <v>4942</v>
      </c>
      <c r="J5295" t="s">
        <v>31806</v>
      </c>
      <c r="K5295" t="s">
        <v>40666</v>
      </c>
      <c r="M5295" t="s">
        <v>41128</v>
      </c>
      <c r="N5295" t="s">
        <v>44905</v>
      </c>
      <c r="O5295" t="s">
        <v>44906</v>
      </c>
      <c r="P5295">
        <v>0</v>
      </c>
      <c r="Q5295">
        <v>0</v>
      </c>
      <c r="R5295" t="s">
        <v>44909</v>
      </c>
      <c r="S5295" t="s">
        <v>45060</v>
      </c>
      <c r="T5295" t="s">
        <v>46409</v>
      </c>
      <c r="U5295" t="s">
        <v>51229</v>
      </c>
      <c r="V5295" t="s">
        <v>59574</v>
      </c>
      <c r="W5295" t="s">
        <v>41128</v>
      </c>
      <c r="X5295" t="s">
        <v>44910</v>
      </c>
    </row>
    <row r="5296" spans="1:24">
      <c r="A5296">
        <f>HYPERLINK("https://www.philgeps.gov.ph/GEPSNONPILOT/Tender/SplashBidNoticeAbstractUI.aspx?menuIndex=3&amp;refID=7076310&amp;Result=3","7076310")</f>
        <v>0</v>
      </c>
      <c r="B5296" t="s">
        <v>232</v>
      </c>
      <c r="C5296" t="s">
        <v>8583</v>
      </c>
      <c r="D5296" t="s">
        <v>18101</v>
      </c>
      <c r="E5296" t="s">
        <v>22928</v>
      </c>
      <c r="F5296" t="s">
        <v>31362</v>
      </c>
      <c r="G5296" t="s">
        <v>31368</v>
      </c>
      <c r="H5296" t="s">
        <v>15799</v>
      </c>
      <c r="I5296" t="s">
        <v>31431</v>
      </c>
      <c r="J5296" t="s">
        <v>34913</v>
      </c>
      <c r="K5296" t="s">
        <v>40661</v>
      </c>
      <c r="M5296" t="s">
        <v>41171</v>
      </c>
      <c r="N5296" t="s">
        <v>44905</v>
      </c>
      <c r="O5296" t="s">
        <v>44906</v>
      </c>
      <c r="P5296">
        <v>0</v>
      </c>
      <c r="Q5296">
        <v>0</v>
      </c>
      <c r="R5296" t="s">
        <v>44909</v>
      </c>
      <c r="S5296" t="s">
        <v>45060</v>
      </c>
      <c r="T5296" t="s">
        <v>46409</v>
      </c>
      <c r="U5296" t="s">
        <v>51230</v>
      </c>
      <c r="W5296" t="s">
        <v>41171</v>
      </c>
      <c r="X5296" t="s">
        <v>44910</v>
      </c>
    </row>
    <row r="5297" spans="1:24">
      <c r="A5297">
        <f>HYPERLINK("https://www.philgeps.gov.ph/GEPSNONPILOT/Tender/SplashBidNoticeAbstractUI.aspx?menuIndex=3&amp;refID=7076262&amp;Result=3","7076262")</f>
        <v>0</v>
      </c>
      <c r="B5297" t="s">
        <v>1736</v>
      </c>
      <c r="C5297" t="s">
        <v>8584</v>
      </c>
      <c r="E5297" t="s">
        <v>20783</v>
      </c>
      <c r="F5297" t="s">
        <v>31363</v>
      </c>
      <c r="G5297" t="s">
        <v>31369</v>
      </c>
      <c r="H5297" t="s">
        <v>31378</v>
      </c>
      <c r="I5297" t="s">
        <v>31386</v>
      </c>
      <c r="J5297" t="s">
        <v>34914</v>
      </c>
      <c r="K5297" t="s">
        <v>40666</v>
      </c>
      <c r="M5297" t="s">
        <v>42809</v>
      </c>
      <c r="N5297" t="s">
        <v>44905</v>
      </c>
      <c r="O5297" t="s">
        <v>44906</v>
      </c>
      <c r="P5297">
        <v>0</v>
      </c>
      <c r="Q5297">
        <v>0</v>
      </c>
      <c r="R5297" t="s">
        <v>44909</v>
      </c>
      <c r="S5297" t="s">
        <v>45060</v>
      </c>
      <c r="T5297" t="s">
        <v>46612</v>
      </c>
      <c r="U5297" t="s">
        <v>51231</v>
      </c>
      <c r="W5297" t="s">
        <v>42809</v>
      </c>
      <c r="X5297" t="s">
        <v>44910</v>
      </c>
    </row>
    <row r="5298" spans="1:24">
      <c r="A5298">
        <f>HYPERLINK("https://www.philgeps.gov.ph/GEPSNONPILOT/Tender/SplashBidNoticeAbstractUI.aspx?menuIndex=3&amp;refID=7076308&amp;Result=3","7076308")</f>
        <v>0</v>
      </c>
      <c r="B5298" t="s">
        <v>717</v>
      </c>
      <c r="C5298" t="s">
        <v>8585</v>
      </c>
      <c r="D5298" t="s">
        <v>18167</v>
      </c>
      <c r="E5298" t="s">
        <v>22929</v>
      </c>
      <c r="F5298" t="s">
        <v>31362</v>
      </c>
      <c r="G5298" t="s">
        <v>31369</v>
      </c>
      <c r="H5298" t="s">
        <v>15799</v>
      </c>
      <c r="I5298" t="s">
        <v>3815</v>
      </c>
      <c r="J5298" t="s">
        <v>34915</v>
      </c>
      <c r="K5298" t="s">
        <v>40665</v>
      </c>
      <c r="M5298" t="s">
        <v>42810</v>
      </c>
      <c r="N5298" t="s">
        <v>44905</v>
      </c>
      <c r="O5298" t="s">
        <v>44906</v>
      </c>
      <c r="P5298">
        <v>0</v>
      </c>
      <c r="Q5298">
        <v>1</v>
      </c>
      <c r="R5298" t="s">
        <v>44909</v>
      </c>
      <c r="S5298" t="s">
        <v>45060</v>
      </c>
      <c r="T5298" t="s">
        <v>46419</v>
      </c>
      <c r="U5298" t="s">
        <v>51232</v>
      </c>
      <c r="W5298" t="s">
        <v>42810</v>
      </c>
      <c r="X5298" t="s">
        <v>44910</v>
      </c>
    </row>
    <row r="5299" spans="1:24">
      <c r="A5299">
        <f>HYPERLINK("https://www.philgeps.gov.ph/GEPSNONPILOT/Tender/SplashBidNoticeAbstractUI.aspx?menuIndex=3&amp;refID=7076350&amp;Result=3","7076350")</f>
        <v>0</v>
      </c>
      <c r="B5299" t="s">
        <v>1662</v>
      </c>
      <c r="C5299" t="s">
        <v>8586</v>
      </c>
      <c r="D5299" t="s">
        <v>18175</v>
      </c>
      <c r="E5299" t="s">
        <v>22930</v>
      </c>
      <c r="F5299" t="s">
        <v>31362</v>
      </c>
      <c r="G5299" t="s">
        <v>31368</v>
      </c>
      <c r="H5299" t="s">
        <v>15799</v>
      </c>
      <c r="I5299" t="s">
        <v>3815</v>
      </c>
      <c r="J5299" t="s">
        <v>34916</v>
      </c>
      <c r="K5299" t="s">
        <v>40675</v>
      </c>
      <c r="M5299" t="s">
        <v>42727</v>
      </c>
      <c r="N5299" t="s">
        <v>44905</v>
      </c>
      <c r="O5299" t="s">
        <v>44906</v>
      </c>
      <c r="P5299">
        <v>0</v>
      </c>
      <c r="Q5299">
        <v>0</v>
      </c>
      <c r="R5299" t="s">
        <v>44909</v>
      </c>
      <c r="S5299" t="s">
        <v>45060</v>
      </c>
      <c r="T5299" t="s">
        <v>46447</v>
      </c>
      <c r="U5299" t="s">
        <v>51233</v>
      </c>
      <c r="W5299" t="s">
        <v>42727</v>
      </c>
      <c r="X5299" t="s">
        <v>44910</v>
      </c>
    </row>
    <row r="5300" spans="1:24">
      <c r="A5300">
        <f>HYPERLINK("https://www.philgeps.gov.ph/GEPSNONPILOT/Tender/SplashBidNoticeAbstractUI.aspx?menuIndex=3&amp;refID=7076356&amp;Result=3","7076356")</f>
        <v>0</v>
      </c>
      <c r="B5300" t="s">
        <v>94</v>
      </c>
      <c r="C5300" t="s">
        <v>8587</v>
      </c>
      <c r="D5300" t="s">
        <v>18116</v>
      </c>
      <c r="E5300" t="s">
        <v>21489</v>
      </c>
      <c r="F5300" t="s">
        <v>31362</v>
      </c>
      <c r="G5300" t="s">
        <v>31368</v>
      </c>
      <c r="H5300" t="s">
        <v>15799</v>
      </c>
      <c r="I5300" t="s">
        <v>7090</v>
      </c>
      <c r="J5300" t="s">
        <v>33850</v>
      </c>
      <c r="K5300" t="s">
        <v>40665</v>
      </c>
      <c r="M5300" t="s">
        <v>41031</v>
      </c>
      <c r="N5300" t="s">
        <v>44905</v>
      </c>
      <c r="O5300" t="s">
        <v>44906</v>
      </c>
      <c r="P5300">
        <v>0</v>
      </c>
      <c r="Q5300">
        <v>1</v>
      </c>
      <c r="R5300" t="s">
        <v>44909</v>
      </c>
      <c r="S5300" t="s">
        <v>45060</v>
      </c>
      <c r="T5300" t="s">
        <v>46454</v>
      </c>
      <c r="U5300" t="s">
        <v>51234</v>
      </c>
      <c r="W5300" t="s">
        <v>41031</v>
      </c>
      <c r="X5300" t="s">
        <v>44910</v>
      </c>
    </row>
    <row r="5301" spans="1:24">
      <c r="A5301">
        <f>HYPERLINK("https://www.philgeps.gov.ph/GEPSNONPILOT/Tender/SplashBidNoticeAbstractUI.aspx?menuIndex=3&amp;refID=7076313&amp;Result=3","7076313")</f>
        <v>0</v>
      </c>
      <c r="B5301" t="s">
        <v>561</v>
      </c>
      <c r="C5301" t="s">
        <v>8588</v>
      </c>
      <c r="D5301" t="s">
        <v>18124</v>
      </c>
      <c r="E5301" t="s">
        <v>19578</v>
      </c>
      <c r="F5301" t="s">
        <v>31362</v>
      </c>
      <c r="G5301" t="s">
        <v>31369</v>
      </c>
      <c r="H5301" t="s">
        <v>15799</v>
      </c>
      <c r="I5301" t="s">
        <v>31422</v>
      </c>
      <c r="J5301" t="s">
        <v>31545</v>
      </c>
      <c r="K5301" t="s">
        <v>40670</v>
      </c>
      <c r="M5301" t="s">
        <v>41517</v>
      </c>
      <c r="N5301" t="s">
        <v>44905</v>
      </c>
      <c r="O5301" t="s">
        <v>44906</v>
      </c>
      <c r="P5301">
        <v>0</v>
      </c>
      <c r="Q5301">
        <v>2</v>
      </c>
      <c r="R5301" t="s">
        <v>44909</v>
      </c>
      <c r="S5301" t="s">
        <v>45060</v>
      </c>
      <c r="T5301" t="s">
        <v>46444</v>
      </c>
      <c r="U5301" t="s">
        <v>48320</v>
      </c>
      <c r="W5301" t="s">
        <v>41517</v>
      </c>
      <c r="X5301" t="s">
        <v>44910</v>
      </c>
    </row>
    <row r="5302" spans="1:24">
      <c r="A5302">
        <f>HYPERLINK("https://www.philgeps.gov.ph/GEPSNONPILOT/Tender/SplashBidNoticeAbstractUI.aspx?menuIndex=3&amp;refID=7076311&amp;Result=3","7076311")</f>
        <v>0</v>
      </c>
      <c r="B5302" t="s">
        <v>1737</v>
      </c>
      <c r="C5302" t="s">
        <v>8589</v>
      </c>
      <c r="D5302" t="s">
        <v>18123</v>
      </c>
      <c r="E5302" t="s">
        <v>22931</v>
      </c>
      <c r="F5302" t="s">
        <v>31362</v>
      </c>
      <c r="G5302" t="s">
        <v>31369</v>
      </c>
      <c r="H5302" t="s">
        <v>31378</v>
      </c>
      <c r="I5302" t="s">
        <v>31386</v>
      </c>
      <c r="J5302" t="s">
        <v>31615</v>
      </c>
      <c r="K5302" t="s">
        <v>40662</v>
      </c>
      <c r="M5302" t="s">
        <v>42811</v>
      </c>
      <c r="N5302" t="s">
        <v>44905</v>
      </c>
      <c r="O5302" t="s">
        <v>44906</v>
      </c>
      <c r="P5302">
        <v>0</v>
      </c>
      <c r="Q5302">
        <v>0</v>
      </c>
      <c r="R5302" t="s">
        <v>44909</v>
      </c>
      <c r="S5302" t="s">
        <v>45060</v>
      </c>
      <c r="T5302" t="s">
        <v>46693</v>
      </c>
      <c r="U5302" t="s">
        <v>51235</v>
      </c>
      <c r="W5302" t="s">
        <v>42811</v>
      </c>
      <c r="X5302" t="s">
        <v>44910</v>
      </c>
    </row>
    <row r="5303" spans="1:24">
      <c r="A5303">
        <f>HYPERLINK("https://www.philgeps.gov.ph/GEPSNONPILOT/Tender/SplashBidNoticeAbstractUI.aspx?menuIndex=3&amp;refID=7076355&amp;Result=3","7076355")</f>
        <v>0</v>
      </c>
      <c r="B5303" t="s">
        <v>1729</v>
      </c>
      <c r="C5303" t="s">
        <v>8590</v>
      </c>
      <c r="D5303" t="s">
        <v>18128</v>
      </c>
      <c r="E5303" t="s">
        <v>22932</v>
      </c>
      <c r="F5303" t="s">
        <v>31362</v>
      </c>
      <c r="G5303" t="s">
        <v>31368</v>
      </c>
      <c r="H5303" t="s">
        <v>31378</v>
      </c>
      <c r="I5303" t="s">
        <v>31386</v>
      </c>
      <c r="J5303" t="s">
        <v>34917</v>
      </c>
      <c r="K5303" t="s">
        <v>40670</v>
      </c>
      <c r="M5303" t="s">
        <v>42800</v>
      </c>
      <c r="N5303" t="s">
        <v>44905</v>
      </c>
      <c r="O5303" t="s">
        <v>44906</v>
      </c>
      <c r="P5303">
        <v>0</v>
      </c>
      <c r="Q5303">
        <v>1</v>
      </c>
      <c r="R5303" t="s">
        <v>44909</v>
      </c>
      <c r="S5303" t="s">
        <v>45060</v>
      </c>
      <c r="T5303" t="s">
        <v>46434</v>
      </c>
      <c r="U5303" t="s">
        <v>51236</v>
      </c>
      <c r="W5303" t="s">
        <v>42800</v>
      </c>
      <c r="X5303" t="s">
        <v>44910</v>
      </c>
    </row>
    <row r="5304" spans="1:24">
      <c r="A5304">
        <f>HYPERLINK("https://www.philgeps.gov.ph/GEPSNONPILOT/Tender/SplashBidNoticeAbstractUI.aspx?menuIndex=3&amp;refID=7076352&amp;Result=3","7076352")</f>
        <v>0</v>
      </c>
      <c r="B5304" t="s">
        <v>1738</v>
      </c>
      <c r="C5304" t="s">
        <v>8591</v>
      </c>
      <c r="D5304" t="s">
        <v>18173</v>
      </c>
      <c r="E5304" t="s">
        <v>22931</v>
      </c>
      <c r="F5304" t="s">
        <v>31362</v>
      </c>
      <c r="G5304" t="s">
        <v>31369</v>
      </c>
      <c r="H5304" t="s">
        <v>31378</v>
      </c>
      <c r="I5304" t="s">
        <v>31386</v>
      </c>
      <c r="J5304" t="s">
        <v>34918</v>
      </c>
      <c r="K5304" t="s">
        <v>40679</v>
      </c>
      <c r="M5304" t="s">
        <v>42812</v>
      </c>
      <c r="N5304" t="s">
        <v>44905</v>
      </c>
      <c r="O5304" t="s">
        <v>44906</v>
      </c>
      <c r="P5304">
        <v>0</v>
      </c>
      <c r="Q5304">
        <v>1</v>
      </c>
      <c r="R5304" t="s">
        <v>44909</v>
      </c>
      <c r="S5304" t="s">
        <v>45060</v>
      </c>
      <c r="T5304" t="s">
        <v>46704</v>
      </c>
      <c r="U5304" t="s">
        <v>51237</v>
      </c>
      <c r="W5304" t="s">
        <v>42812</v>
      </c>
      <c r="X5304" t="s">
        <v>44910</v>
      </c>
    </row>
    <row r="5305" spans="1:24">
      <c r="A5305">
        <f>HYPERLINK("https://www.philgeps.gov.ph/GEPSNONPILOT/Tender/SplashBidNoticeAbstractUI.aspx?menuIndex=3&amp;refID=7076343&amp;Result=3","7076343")</f>
        <v>0</v>
      </c>
      <c r="B5305" t="s">
        <v>125</v>
      </c>
      <c r="C5305" t="s">
        <v>8592</v>
      </c>
      <c r="D5305" t="s">
        <v>18104</v>
      </c>
      <c r="E5305" t="s">
        <v>22933</v>
      </c>
      <c r="F5305" t="s">
        <v>31362</v>
      </c>
      <c r="G5305" t="s">
        <v>31368</v>
      </c>
      <c r="H5305" t="s">
        <v>15799</v>
      </c>
      <c r="I5305" t="s">
        <v>31382</v>
      </c>
      <c r="J5305" t="s">
        <v>31869</v>
      </c>
      <c r="K5305" t="s">
        <v>40675</v>
      </c>
      <c r="M5305" t="s">
        <v>41062</v>
      </c>
      <c r="N5305" t="s">
        <v>44905</v>
      </c>
      <c r="O5305" t="s">
        <v>44906</v>
      </c>
      <c r="P5305">
        <v>0</v>
      </c>
      <c r="Q5305">
        <v>4</v>
      </c>
      <c r="R5305" t="s">
        <v>44909</v>
      </c>
      <c r="S5305" t="s">
        <v>45060</v>
      </c>
      <c r="T5305" t="s">
        <v>46428</v>
      </c>
      <c r="U5305" t="s">
        <v>51238</v>
      </c>
      <c r="W5305" t="s">
        <v>41062</v>
      </c>
      <c r="X5305" t="s">
        <v>44910</v>
      </c>
    </row>
    <row r="5306" spans="1:24">
      <c r="A5306">
        <f>HYPERLINK("https://www.philgeps.gov.ph/GEPSNONPILOT/Tender/SplashBidNoticeAbstractUI.aspx?menuIndex=3&amp;refID=7076342&amp;Result=3","7076342")</f>
        <v>0</v>
      </c>
      <c r="B5306" t="s">
        <v>641</v>
      </c>
      <c r="C5306" t="s">
        <v>8593</v>
      </c>
      <c r="D5306" t="s">
        <v>18158</v>
      </c>
      <c r="E5306" t="s">
        <v>22934</v>
      </c>
      <c r="F5306" t="s">
        <v>31362</v>
      </c>
      <c r="G5306" t="s">
        <v>31372</v>
      </c>
      <c r="H5306" t="s">
        <v>15799</v>
      </c>
      <c r="I5306" t="s">
        <v>31427</v>
      </c>
      <c r="J5306" t="s">
        <v>34919</v>
      </c>
      <c r="K5306" t="s">
        <v>40682</v>
      </c>
      <c r="M5306" t="s">
        <v>42801</v>
      </c>
      <c r="N5306" t="s">
        <v>44905</v>
      </c>
      <c r="O5306" t="s">
        <v>44906</v>
      </c>
      <c r="P5306">
        <v>0</v>
      </c>
      <c r="Q5306">
        <v>1</v>
      </c>
      <c r="R5306" t="s">
        <v>44909</v>
      </c>
      <c r="S5306" t="s">
        <v>45060</v>
      </c>
      <c r="T5306" t="s">
        <v>46393</v>
      </c>
      <c r="U5306" t="s">
        <v>51239</v>
      </c>
      <c r="W5306" t="s">
        <v>42801</v>
      </c>
      <c r="X5306" t="s">
        <v>44910</v>
      </c>
    </row>
    <row r="5307" spans="1:24">
      <c r="A5307">
        <f>HYPERLINK("https://www.philgeps.gov.ph/GEPSNONPILOT/Tender/SplashBidNoticeAbstractUI.aspx?menuIndex=3&amp;refID=7076321&amp;Result=3","7076321")</f>
        <v>0</v>
      </c>
      <c r="B5307" t="s">
        <v>1115</v>
      </c>
      <c r="C5307" t="s">
        <v>8578</v>
      </c>
      <c r="D5307" t="s">
        <v>18104</v>
      </c>
      <c r="E5307" t="s">
        <v>22935</v>
      </c>
      <c r="F5307" t="s">
        <v>31362</v>
      </c>
      <c r="G5307" t="s">
        <v>31369</v>
      </c>
      <c r="H5307" t="s">
        <v>15799</v>
      </c>
      <c r="I5307" t="s">
        <v>31409</v>
      </c>
      <c r="J5307" t="s">
        <v>31542</v>
      </c>
      <c r="K5307" t="s">
        <v>40665</v>
      </c>
      <c r="M5307" t="s">
        <v>42805</v>
      </c>
      <c r="N5307" t="s">
        <v>44905</v>
      </c>
      <c r="O5307" t="s">
        <v>44906</v>
      </c>
      <c r="P5307">
        <v>0</v>
      </c>
      <c r="Q5307">
        <v>4</v>
      </c>
      <c r="R5307" t="s">
        <v>44909</v>
      </c>
      <c r="S5307" t="s">
        <v>45060</v>
      </c>
      <c r="T5307" t="s">
        <v>46433</v>
      </c>
      <c r="U5307" t="s">
        <v>51240</v>
      </c>
      <c r="V5307" t="s">
        <v>59573</v>
      </c>
      <c r="W5307" t="s">
        <v>42805</v>
      </c>
      <c r="X5307" t="s">
        <v>44910</v>
      </c>
    </row>
    <row r="5308" spans="1:24">
      <c r="A5308">
        <f>HYPERLINK("https://www.philgeps.gov.ph/GEPSNONPILOT/Tender/SplashBidNoticeAbstractUI.aspx?menuIndex=3&amp;refID=7076353&amp;Result=3","7076353")</f>
        <v>0</v>
      </c>
      <c r="B5308" t="s">
        <v>1733</v>
      </c>
      <c r="C5308" t="s">
        <v>8594</v>
      </c>
      <c r="D5308" t="s">
        <v>18185</v>
      </c>
      <c r="E5308" t="s">
        <v>22936</v>
      </c>
      <c r="F5308" t="s">
        <v>31362</v>
      </c>
      <c r="G5308" t="s">
        <v>31372</v>
      </c>
      <c r="H5308" t="s">
        <v>15799</v>
      </c>
      <c r="I5308" t="s">
        <v>31385</v>
      </c>
      <c r="J5308" t="s">
        <v>34920</v>
      </c>
      <c r="K5308" t="s">
        <v>40682</v>
      </c>
      <c r="M5308" t="s">
        <v>42806</v>
      </c>
      <c r="N5308" t="s">
        <v>44905</v>
      </c>
      <c r="O5308" t="s">
        <v>44906</v>
      </c>
      <c r="P5308">
        <v>0</v>
      </c>
      <c r="Q5308">
        <v>4</v>
      </c>
      <c r="R5308" t="s">
        <v>44909</v>
      </c>
      <c r="S5308" t="s">
        <v>45060</v>
      </c>
      <c r="T5308" t="s">
        <v>46703</v>
      </c>
      <c r="U5308" t="s">
        <v>51241</v>
      </c>
      <c r="W5308" t="s">
        <v>42806</v>
      </c>
      <c r="X5308" t="s">
        <v>44910</v>
      </c>
    </row>
    <row r="5309" spans="1:24">
      <c r="A5309">
        <f>HYPERLINK("https://www.philgeps.gov.ph/GEPSNONPILOT/Tender/SplashBidNoticeAbstractUI.aspx?menuIndex=3&amp;refID=7076339&amp;Result=3","7076339")</f>
        <v>0</v>
      </c>
      <c r="B5309" t="s">
        <v>1739</v>
      </c>
      <c r="C5309" t="s">
        <v>8595</v>
      </c>
      <c r="D5309" t="s">
        <v>18104</v>
      </c>
      <c r="E5309" t="s">
        <v>22937</v>
      </c>
      <c r="F5309" t="s">
        <v>31362</v>
      </c>
      <c r="G5309" t="s">
        <v>31371</v>
      </c>
      <c r="H5309" t="s">
        <v>15799</v>
      </c>
      <c r="I5309" t="s">
        <v>3815</v>
      </c>
      <c r="J5309" t="s">
        <v>34921</v>
      </c>
      <c r="K5309" t="s">
        <v>40693</v>
      </c>
      <c r="M5309" t="s">
        <v>42813</v>
      </c>
      <c r="N5309" t="s">
        <v>44905</v>
      </c>
      <c r="O5309" t="s">
        <v>44906</v>
      </c>
      <c r="P5309">
        <v>0</v>
      </c>
      <c r="Q5309">
        <v>0</v>
      </c>
      <c r="R5309" t="s">
        <v>44909</v>
      </c>
      <c r="S5309" t="s">
        <v>45060</v>
      </c>
      <c r="T5309" t="s">
        <v>46467</v>
      </c>
      <c r="U5309" t="s">
        <v>51242</v>
      </c>
      <c r="W5309" t="s">
        <v>42813</v>
      </c>
      <c r="X5309" t="s">
        <v>44910</v>
      </c>
    </row>
    <row r="5310" spans="1:24">
      <c r="A5310">
        <f>HYPERLINK("https://www.philgeps.gov.ph/GEPSNONPILOT/Tender/SplashBidNoticeAbstractUI.aspx?menuIndex=3&amp;refID=7076351&amp;Result=3","7076351")</f>
        <v>0</v>
      </c>
      <c r="B5310" t="s">
        <v>1731</v>
      </c>
      <c r="C5310" t="s">
        <v>8596</v>
      </c>
      <c r="D5310" t="s">
        <v>18127</v>
      </c>
      <c r="E5310" t="s">
        <v>22938</v>
      </c>
      <c r="F5310" t="s">
        <v>31362</v>
      </c>
      <c r="G5310" t="s">
        <v>31370</v>
      </c>
      <c r="H5310" t="s">
        <v>15799</v>
      </c>
      <c r="I5310" t="s">
        <v>31404</v>
      </c>
      <c r="J5310" t="s">
        <v>31731</v>
      </c>
      <c r="K5310" t="s">
        <v>40661</v>
      </c>
      <c r="M5310" t="s">
        <v>42803</v>
      </c>
      <c r="N5310" t="s">
        <v>44905</v>
      </c>
      <c r="O5310" t="s">
        <v>44906</v>
      </c>
      <c r="P5310">
        <v>0</v>
      </c>
      <c r="Q5310">
        <v>0</v>
      </c>
      <c r="R5310" t="s">
        <v>44909</v>
      </c>
      <c r="S5310" t="s">
        <v>45060</v>
      </c>
      <c r="T5310" t="s">
        <v>46416</v>
      </c>
      <c r="U5310" t="s">
        <v>51243</v>
      </c>
      <c r="W5310" t="s">
        <v>42803</v>
      </c>
      <c r="X5310" t="s">
        <v>44910</v>
      </c>
    </row>
    <row r="5311" spans="1:24">
      <c r="A5311">
        <f>HYPERLINK("https://www.philgeps.gov.ph/GEPSNONPILOT/Tender/SplashBidNoticeAbstractUI.aspx?menuIndex=3&amp;refID=7076337&amp;Result=3","7076337")</f>
        <v>0</v>
      </c>
      <c r="B5311" t="s">
        <v>1562</v>
      </c>
      <c r="C5311" t="s">
        <v>8597</v>
      </c>
      <c r="D5311" t="s">
        <v>18140</v>
      </c>
      <c r="E5311" t="s">
        <v>22939</v>
      </c>
      <c r="F5311" t="s">
        <v>31362</v>
      </c>
      <c r="G5311" t="s">
        <v>31368</v>
      </c>
      <c r="H5311" t="s">
        <v>15799</v>
      </c>
      <c r="I5311" t="s">
        <v>31404</v>
      </c>
      <c r="J5311" t="s">
        <v>34922</v>
      </c>
      <c r="K5311" t="s">
        <v>40666</v>
      </c>
      <c r="M5311" t="s">
        <v>42614</v>
      </c>
      <c r="N5311" t="s">
        <v>44905</v>
      </c>
      <c r="O5311" t="s">
        <v>44906</v>
      </c>
      <c r="P5311">
        <v>0</v>
      </c>
      <c r="Q5311">
        <v>0</v>
      </c>
      <c r="R5311" t="s">
        <v>44909</v>
      </c>
      <c r="S5311" t="s">
        <v>45060</v>
      </c>
      <c r="T5311" t="s">
        <v>46435</v>
      </c>
      <c r="U5311" t="s">
        <v>51244</v>
      </c>
      <c r="W5311" t="s">
        <v>42614</v>
      </c>
      <c r="X5311" t="s">
        <v>44910</v>
      </c>
    </row>
    <row r="5312" spans="1:24">
      <c r="A5312">
        <f>HYPERLINK("https://www.philgeps.gov.ph/GEPSNONPILOT/Tender/SplashBidNoticeAbstractUI.aspx?menuIndex=3&amp;refID=7076336&amp;Result=3","7076336")</f>
        <v>0</v>
      </c>
      <c r="B5312" t="s">
        <v>1731</v>
      </c>
      <c r="C5312" t="s">
        <v>8598</v>
      </c>
      <c r="D5312" t="s">
        <v>18127</v>
      </c>
      <c r="E5312" t="s">
        <v>22940</v>
      </c>
      <c r="F5312" t="s">
        <v>31362</v>
      </c>
      <c r="G5312" t="s">
        <v>31370</v>
      </c>
      <c r="H5312" t="s">
        <v>15799</v>
      </c>
      <c r="I5312" t="s">
        <v>31430</v>
      </c>
      <c r="J5312" t="s">
        <v>34923</v>
      </c>
      <c r="K5312" t="s">
        <v>40661</v>
      </c>
      <c r="M5312" t="s">
        <v>42803</v>
      </c>
      <c r="N5312" t="s">
        <v>44905</v>
      </c>
      <c r="O5312" t="s">
        <v>44906</v>
      </c>
      <c r="P5312">
        <v>0</v>
      </c>
      <c r="Q5312">
        <v>0</v>
      </c>
      <c r="R5312" t="s">
        <v>44909</v>
      </c>
      <c r="S5312" t="s">
        <v>45060</v>
      </c>
      <c r="T5312" t="s">
        <v>46416</v>
      </c>
      <c r="U5312" t="s">
        <v>51245</v>
      </c>
      <c r="W5312" t="s">
        <v>42803</v>
      </c>
      <c r="X5312" t="s">
        <v>44910</v>
      </c>
    </row>
    <row r="5313" spans="1:24">
      <c r="A5313">
        <f>HYPERLINK("https://www.philgeps.gov.ph/GEPSNONPILOT/Tender/SplashBidNoticeAbstractUI.aspx?menuIndex=3&amp;refID=7076334&amp;Result=3","7076334")</f>
        <v>0</v>
      </c>
      <c r="B5313" t="s">
        <v>466</v>
      </c>
      <c r="C5313" t="s">
        <v>8599</v>
      </c>
      <c r="D5313" t="s">
        <v>18155</v>
      </c>
      <c r="E5313" t="s">
        <v>22941</v>
      </c>
      <c r="F5313" t="s">
        <v>31362</v>
      </c>
      <c r="G5313" t="s">
        <v>31368</v>
      </c>
      <c r="H5313" t="s">
        <v>15799</v>
      </c>
      <c r="I5313" t="s">
        <v>31431</v>
      </c>
      <c r="J5313" t="s">
        <v>34924</v>
      </c>
      <c r="K5313" t="s">
        <v>40665</v>
      </c>
      <c r="M5313" t="s">
        <v>42814</v>
      </c>
      <c r="N5313" t="s">
        <v>44905</v>
      </c>
      <c r="O5313" t="s">
        <v>44906</v>
      </c>
      <c r="P5313">
        <v>0</v>
      </c>
      <c r="Q5313">
        <v>1</v>
      </c>
      <c r="R5313" t="s">
        <v>44909</v>
      </c>
      <c r="S5313" t="s">
        <v>45060</v>
      </c>
      <c r="T5313" t="s">
        <v>46454</v>
      </c>
      <c r="U5313" t="s">
        <v>51246</v>
      </c>
      <c r="W5313" t="s">
        <v>42814</v>
      </c>
      <c r="X5313" t="s">
        <v>44910</v>
      </c>
    </row>
    <row r="5314" spans="1:24">
      <c r="A5314">
        <f>HYPERLINK("https://www.philgeps.gov.ph/GEPSNONPILOT/Tender/SplashBidNoticeAbstractUI.aspx?menuIndex=3&amp;refID=7076322&amp;Result=3","7076322")</f>
        <v>0</v>
      </c>
      <c r="B5314" t="s">
        <v>1718</v>
      </c>
      <c r="C5314" t="s">
        <v>8600</v>
      </c>
      <c r="D5314" t="s">
        <v>18160</v>
      </c>
      <c r="E5314" t="s">
        <v>22876</v>
      </c>
      <c r="F5314" t="s">
        <v>31362</v>
      </c>
      <c r="G5314" t="s">
        <v>31369</v>
      </c>
      <c r="H5314" t="s">
        <v>31378</v>
      </c>
      <c r="I5314" t="s">
        <v>31435</v>
      </c>
      <c r="J5314" t="s">
        <v>31536</v>
      </c>
      <c r="K5314" t="s">
        <v>40695</v>
      </c>
      <c r="M5314" t="s">
        <v>42786</v>
      </c>
      <c r="N5314" t="s">
        <v>44905</v>
      </c>
      <c r="O5314" t="s">
        <v>44906</v>
      </c>
      <c r="P5314">
        <v>0</v>
      </c>
      <c r="Q5314">
        <v>0</v>
      </c>
      <c r="R5314" t="s">
        <v>44909</v>
      </c>
      <c r="S5314" t="s">
        <v>45060</v>
      </c>
      <c r="T5314" t="s">
        <v>46701</v>
      </c>
      <c r="U5314" t="s">
        <v>51247</v>
      </c>
      <c r="W5314" t="s">
        <v>42786</v>
      </c>
      <c r="X5314" t="s">
        <v>44910</v>
      </c>
    </row>
    <row r="5315" spans="1:24">
      <c r="A5315">
        <f>HYPERLINK("https://www.philgeps.gov.ph/GEPSNONPILOT/Tender/SplashBidNoticeAbstractUI.aspx?menuIndex=3&amp;refID=7076332&amp;Result=3","7076332")</f>
        <v>0</v>
      </c>
      <c r="B5315" t="s">
        <v>563</v>
      </c>
      <c r="C5315" t="s">
        <v>8601</v>
      </c>
      <c r="D5315" t="s">
        <v>18124</v>
      </c>
      <c r="E5315" t="s">
        <v>22942</v>
      </c>
      <c r="F5315" t="s">
        <v>31362</v>
      </c>
      <c r="G5315" t="s">
        <v>31369</v>
      </c>
      <c r="H5315" t="s">
        <v>15799</v>
      </c>
      <c r="I5315" t="s">
        <v>7090</v>
      </c>
      <c r="J5315" t="s">
        <v>34925</v>
      </c>
      <c r="K5315" t="s">
        <v>40666</v>
      </c>
      <c r="M5315" t="s">
        <v>41519</v>
      </c>
      <c r="N5315" t="s">
        <v>44905</v>
      </c>
      <c r="O5315" t="s">
        <v>44906</v>
      </c>
      <c r="P5315">
        <v>0</v>
      </c>
      <c r="Q5315">
        <v>1</v>
      </c>
      <c r="R5315" t="s">
        <v>44909</v>
      </c>
      <c r="S5315" t="s">
        <v>45060</v>
      </c>
      <c r="T5315" t="s">
        <v>46433</v>
      </c>
      <c r="U5315" t="s">
        <v>51248</v>
      </c>
      <c r="W5315" t="s">
        <v>41519</v>
      </c>
      <c r="X5315" t="s">
        <v>44910</v>
      </c>
    </row>
    <row r="5316" spans="1:24">
      <c r="A5316">
        <f>HYPERLINK("https://www.philgeps.gov.ph/GEPSNONPILOT/Tender/SplashBidNoticeAbstractUI.aspx?menuIndex=3&amp;refID=7076328&amp;Result=3","7076328")</f>
        <v>0</v>
      </c>
      <c r="B5316" t="s">
        <v>1738</v>
      </c>
      <c r="C5316" t="s">
        <v>8602</v>
      </c>
      <c r="D5316" t="s">
        <v>18173</v>
      </c>
      <c r="E5316" t="s">
        <v>22943</v>
      </c>
      <c r="F5316" t="s">
        <v>31362</v>
      </c>
      <c r="G5316" t="s">
        <v>31369</v>
      </c>
      <c r="H5316" t="s">
        <v>31378</v>
      </c>
      <c r="I5316" t="s">
        <v>31386</v>
      </c>
      <c r="J5316" t="s">
        <v>34926</v>
      </c>
      <c r="K5316" t="s">
        <v>40799</v>
      </c>
      <c r="M5316" t="s">
        <v>42812</v>
      </c>
      <c r="N5316" t="s">
        <v>44905</v>
      </c>
      <c r="O5316" t="s">
        <v>44906</v>
      </c>
      <c r="P5316">
        <v>0</v>
      </c>
      <c r="Q5316">
        <v>0</v>
      </c>
      <c r="R5316" t="s">
        <v>44909</v>
      </c>
      <c r="S5316" t="s">
        <v>45060</v>
      </c>
      <c r="T5316" t="s">
        <v>46704</v>
      </c>
      <c r="U5316" t="s">
        <v>51237</v>
      </c>
      <c r="W5316" t="s">
        <v>42812</v>
      </c>
      <c r="X5316" t="s">
        <v>44910</v>
      </c>
    </row>
    <row r="5317" spans="1:24">
      <c r="A5317">
        <f>HYPERLINK("https://www.philgeps.gov.ph/GEPSNONPILOT/Tender/SplashBidNoticeAbstractUI.aspx?menuIndex=3&amp;refID=7076338&amp;Result=3","7076338")</f>
        <v>0</v>
      </c>
      <c r="B5317" t="s">
        <v>1115</v>
      </c>
      <c r="C5317" t="s">
        <v>8603</v>
      </c>
      <c r="D5317" t="s">
        <v>18104</v>
      </c>
      <c r="E5317" t="s">
        <v>22944</v>
      </c>
      <c r="F5317" t="s">
        <v>31362</v>
      </c>
      <c r="G5317" t="s">
        <v>31369</v>
      </c>
      <c r="H5317" t="s">
        <v>15799</v>
      </c>
      <c r="I5317" t="s">
        <v>31430</v>
      </c>
      <c r="J5317" t="s">
        <v>34927</v>
      </c>
      <c r="K5317" t="s">
        <v>40677</v>
      </c>
      <c r="M5317" t="s">
        <v>42805</v>
      </c>
      <c r="N5317" t="s">
        <v>44905</v>
      </c>
      <c r="O5317" t="s">
        <v>44906</v>
      </c>
      <c r="P5317">
        <v>0</v>
      </c>
      <c r="Q5317">
        <v>3</v>
      </c>
      <c r="R5317" t="s">
        <v>44909</v>
      </c>
      <c r="S5317" t="s">
        <v>45060</v>
      </c>
      <c r="T5317" t="s">
        <v>46433</v>
      </c>
      <c r="U5317" t="s">
        <v>51249</v>
      </c>
      <c r="V5317" t="s">
        <v>59573</v>
      </c>
      <c r="W5317" t="s">
        <v>42805</v>
      </c>
      <c r="X5317" t="s">
        <v>44910</v>
      </c>
    </row>
    <row r="5318" spans="1:24">
      <c r="A5318">
        <f>HYPERLINK("https://www.philgeps.gov.ph/GEPSNONPILOT/Tender/SplashBidNoticeAbstractUI.aspx?menuIndex=3&amp;refID=7076304&amp;Result=3","7076304")</f>
        <v>0</v>
      </c>
      <c r="B5318" t="s">
        <v>1707</v>
      </c>
      <c r="C5318" t="s">
        <v>8604</v>
      </c>
      <c r="D5318" t="s">
        <v>18111</v>
      </c>
      <c r="E5318" t="s">
        <v>22945</v>
      </c>
      <c r="F5318" t="s">
        <v>31362</v>
      </c>
      <c r="G5318" t="s">
        <v>31370</v>
      </c>
      <c r="H5318" t="s">
        <v>15799</v>
      </c>
      <c r="I5318" t="s">
        <v>31387</v>
      </c>
      <c r="J5318" t="s">
        <v>34928</v>
      </c>
      <c r="K5318" t="s">
        <v>40670</v>
      </c>
      <c r="M5318" t="s">
        <v>42774</v>
      </c>
      <c r="N5318" t="s">
        <v>44905</v>
      </c>
      <c r="O5318" t="s">
        <v>44906</v>
      </c>
      <c r="P5318">
        <v>0</v>
      </c>
      <c r="Q5318">
        <v>2</v>
      </c>
      <c r="R5318" t="s">
        <v>44909</v>
      </c>
      <c r="S5318" t="s">
        <v>45060</v>
      </c>
      <c r="T5318" t="s">
        <v>46432</v>
      </c>
      <c r="U5318" t="s">
        <v>51146</v>
      </c>
      <c r="W5318" t="s">
        <v>42774</v>
      </c>
      <c r="X5318" t="s">
        <v>44910</v>
      </c>
    </row>
    <row r="5319" spans="1:24">
      <c r="A5319">
        <f>HYPERLINK("https://www.philgeps.gov.ph/GEPSNONPILOT/Tender/SplashBidNoticeAbstractUI.aspx?menuIndex=3&amp;refID=7076335&amp;Result=3","7076335")</f>
        <v>0</v>
      </c>
      <c r="B5319" t="s">
        <v>561</v>
      </c>
      <c r="C5319" t="s">
        <v>8605</v>
      </c>
      <c r="D5319" t="s">
        <v>18124</v>
      </c>
      <c r="E5319" t="s">
        <v>19745</v>
      </c>
      <c r="F5319" t="s">
        <v>31362</v>
      </c>
      <c r="G5319" t="s">
        <v>31369</v>
      </c>
      <c r="H5319" t="s">
        <v>15799</v>
      </c>
      <c r="I5319" t="s">
        <v>31422</v>
      </c>
      <c r="J5319" t="s">
        <v>33789</v>
      </c>
      <c r="K5319" t="s">
        <v>40670</v>
      </c>
      <c r="M5319" t="s">
        <v>41517</v>
      </c>
      <c r="N5319" t="s">
        <v>44905</v>
      </c>
      <c r="O5319" t="s">
        <v>44906</v>
      </c>
      <c r="P5319">
        <v>0</v>
      </c>
      <c r="Q5319">
        <v>1</v>
      </c>
      <c r="R5319" t="s">
        <v>44909</v>
      </c>
      <c r="S5319" t="s">
        <v>45060</v>
      </c>
      <c r="T5319" t="s">
        <v>46444</v>
      </c>
      <c r="U5319" t="s">
        <v>48320</v>
      </c>
      <c r="W5319" t="s">
        <v>41517</v>
      </c>
      <c r="X5319" t="s">
        <v>44910</v>
      </c>
    </row>
    <row r="5320" spans="1:24">
      <c r="A5320">
        <f>HYPERLINK("https://www.philgeps.gov.ph/GEPSNONPILOT/Tender/SplashBidNoticeAbstractUI.aspx?menuIndex=3&amp;refID=7076303&amp;Result=3","7076303")</f>
        <v>0</v>
      </c>
      <c r="B5320" t="s">
        <v>1740</v>
      </c>
      <c r="C5320" t="s">
        <v>8606</v>
      </c>
      <c r="D5320" t="s">
        <v>18164</v>
      </c>
      <c r="E5320" t="s">
        <v>22946</v>
      </c>
      <c r="F5320" t="s">
        <v>31362</v>
      </c>
      <c r="G5320" t="s">
        <v>31372</v>
      </c>
      <c r="H5320" t="s">
        <v>15799</v>
      </c>
      <c r="I5320" t="s">
        <v>31393</v>
      </c>
      <c r="J5320" t="s">
        <v>34929</v>
      </c>
      <c r="K5320" t="s">
        <v>40665</v>
      </c>
      <c r="M5320" t="s">
        <v>42815</v>
      </c>
      <c r="N5320" t="s">
        <v>44905</v>
      </c>
      <c r="O5320" t="s">
        <v>44906</v>
      </c>
      <c r="P5320">
        <v>0</v>
      </c>
      <c r="Q5320">
        <v>0</v>
      </c>
      <c r="R5320" t="s">
        <v>44909</v>
      </c>
      <c r="S5320" t="s">
        <v>45060</v>
      </c>
      <c r="T5320" t="s">
        <v>46411</v>
      </c>
      <c r="U5320" t="s">
        <v>51250</v>
      </c>
      <c r="W5320" t="s">
        <v>42815</v>
      </c>
      <c r="X5320" t="s">
        <v>44910</v>
      </c>
    </row>
    <row r="5321" spans="1:24">
      <c r="A5321">
        <f>HYPERLINK("https://www.philgeps.gov.ph/GEPSNONPILOT/Tender/SplashBidNoticeAbstractUI.aspx?menuIndex=3&amp;refID=7076302&amp;Result=3","7076302")</f>
        <v>0</v>
      </c>
      <c r="B5321" t="s">
        <v>1731</v>
      </c>
      <c r="C5321" t="s">
        <v>8607</v>
      </c>
      <c r="D5321" t="s">
        <v>18127</v>
      </c>
      <c r="E5321" t="s">
        <v>22947</v>
      </c>
      <c r="F5321" t="s">
        <v>31362</v>
      </c>
      <c r="G5321" t="s">
        <v>31376</v>
      </c>
      <c r="H5321" t="s">
        <v>15799</v>
      </c>
      <c r="I5321" t="s">
        <v>31406</v>
      </c>
      <c r="J5321" t="s">
        <v>34930</v>
      </c>
      <c r="K5321" t="s">
        <v>40661</v>
      </c>
      <c r="M5321" t="s">
        <v>42803</v>
      </c>
      <c r="N5321" t="s">
        <v>44905</v>
      </c>
      <c r="O5321" t="s">
        <v>44906</v>
      </c>
      <c r="P5321">
        <v>0</v>
      </c>
      <c r="Q5321">
        <v>12</v>
      </c>
      <c r="R5321" t="s">
        <v>44909</v>
      </c>
      <c r="S5321" t="s">
        <v>45060</v>
      </c>
      <c r="T5321" t="s">
        <v>46435</v>
      </c>
      <c r="U5321" t="s">
        <v>51251</v>
      </c>
      <c r="W5321" t="s">
        <v>42803</v>
      </c>
      <c r="X5321" t="s">
        <v>44910</v>
      </c>
    </row>
    <row r="5322" spans="1:24">
      <c r="A5322">
        <f>HYPERLINK("https://www.philgeps.gov.ph/GEPSNONPILOT/Tender/SplashBidNoticeAbstractUI.aspx?menuIndex=3&amp;refID=7076340&amp;Result=3","7076340")</f>
        <v>0</v>
      </c>
      <c r="B5322" t="s">
        <v>1711</v>
      </c>
      <c r="C5322" t="s">
        <v>8608</v>
      </c>
      <c r="D5322" t="s">
        <v>18152</v>
      </c>
      <c r="E5322" t="s">
        <v>22948</v>
      </c>
      <c r="F5322" t="s">
        <v>31362</v>
      </c>
      <c r="G5322" t="s">
        <v>31368</v>
      </c>
      <c r="H5322" t="s">
        <v>15799</v>
      </c>
      <c r="I5322" t="s">
        <v>4283</v>
      </c>
      <c r="J5322" t="s">
        <v>31604</v>
      </c>
      <c r="K5322" t="s">
        <v>40666</v>
      </c>
      <c r="L5322" t="s">
        <v>1711</v>
      </c>
      <c r="M5322" t="s">
        <v>42779</v>
      </c>
      <c r="N5322" t="s">
        <v>44905</v>
      </c>
      <c r="O5322" t="s">
        <v>44906</v>
      </c>
      <c r="P5322">
        <v>0</v>
      </c>
      <c r="Q5322">
        <v>2</v>
      </c>
      <c r="R5322" t="s">
        <v>44909</v>
      </c>
      <c r="S5322" t="s">
        <v>45060</v>
      </c>
      <c r="T5322" t="s">
        <v>46399</v>
      </c>
      <c r="U5322" t="s">
        <v>51252</v>
      </c>
      <c r="V5322" t="s">
        <v>59575</v>
      </c>
      <c r="W5322" t="s">
        <v>42779</v>
      </c>
      <c r="X5322" t="s">
        <v>44910</v>
      </c>
    </row>
    <row r="5323" spans="1:24">
      <c r="A5323">
        <f>HYPERLINK("https://www.philgeps.gov.ph/GEPSNONPILOT/Tender/SplashBidNoticeAbstractUI.aspx?menuIndex=3&amp;refID=7076301&amp;Result=3","7076301")</f>
        <v>0</v>
      </c>
      <c r="B5323" t="s">
        <v>1105</v>
      </c>
      <c r="C5323" t="s">
        <v>8609</v>
      </c>
      <c r="E5323" t="s">
        <v>22949</v>
      </c>
      <c r="F5323" t="s">
        <v>31362</v>
      </c>
      <c r="G5323" t="s">
        <v>31368</v>
      </c>
      <c r="H5323" t="s">
        <v>15799</v>
      </c>
      <c r="I5323" t="s">
        <v>31427</v>
      </c>
      <c r="J5323" t="s">
        <v>34931</v>
      </c>
      <c r="K5323" t="s">
        <v>40662</v>
      </c>
      <c r="M5323" t="s">
        <v>42110</v>
      </c>
      <c r="N5323" t="s">
        <v>44905</v>
      </c>
      <c r="O5323" t="s">
        <v>44906</v>
      </c>
      <c r="P5323">
        <v>0</v>
      </c>
      <c r="Q5323">
        <v>3</v>
      </c>
      <c r="R5323" t="s">
        <v>44909</v>
      </c>
      <c r="S5323" t="s">
        <v>45060</v>
      </c>
      <c r="T5323" t="s">
        <v>46432</v>
      </c>
      <c r="U5323" t="s">
        <v>49324</v>
      </c>
      <c r="W5323" t="s">
        <v>42110</v>
      </c>
      <c r="X5323" t="s">
        <v>44910</v>
      </c>
    </row>
    <row r="5324" spans="1:24">
      <c r="A5324">
        <f>HYPERLINK("https://www.philgeps.gov.ph/GEPSNONPILOT/Tender/SplashBidNoticeAbstractUI.aspx?menuIndex=3&amp;refID=7076331&amp;Result=3","7076331")</f>
        <v>0</v>
      </c>
      <c r="B5324" t="s">
        <v>1741</v>
      </c>
      <c r="C5324" t="s">
        <v>8610</v>
      </c>
      <c r="D5324" t="s">
        <v>18123</v>
      </c>
      <c r="E5324" t="s">
        <v>22950</v>
      </c>
      <c r="F5324" t="s">
        <v>31362</v>
      </c>
      <c r="G5324" t="s">
        <v>31368</v>
      </c>
      <c r="H5324" t="s">
        <v>31379</v>
      </c>
      <c r="I5324" t="s">
        <v>31388</v>
      </c>
      <c r="J5324" t="s">
        <v>34932</v>
      </c>
      <c r="K5324" t="s">
        <v>40747</v>
      </c>
      <c r="M5324" t="s">
        <v>42816</v>
      </c>
      <c r="N5324" t="s">
        <v>44905</v>
      </c>
      <c r="O5324" t="s">
        <v>44906</v>
      </c>
      <c r="P5324">
        <v>0</v>
      </c>
      <c r="Q5324">
        <v>1</v>
      </c>
      <c r="R5324" t="s">
        <v>44909</v>
      </c>
      <c r="S5324" t="s">
        <v>45060</v>
      </c>
      <c r="T5324" t="s">
        <v>46409</v>
      </c>
      <c r="U5324" t="s">
        <v>51253</v>
      </c>
      <c r="V5324" t="s">
        <v>59576</v>
      </c>
      <c r="W5324" t="s">
        <v>42816</v>
      </c>
      <c r="X5324" t="s">
        <v>44910</v>
      </c>
    </row>
    <row r="5325" spans="1:24">
      <c r="A5325">
        <f>HYPERLINK("https://www.philgeps.gov.ph/GEPSNONPILOT/Tender/SplashBidNoticeAbstractUI.aspx?menuIndex=3&amp;refID=7076295&amp;Result=3","7076295")</f>
        <v>0</v>
      </c>
      <c r="B5325" t="s">
        <v>1662</v>
      </c>
      <c r="C5325" t="s">
        <v>8611</v>
      </c>
      <c r="D5325" t="s">
        <v>18175</v>
      </c>
      <c r="E5325" t="s">
        <v>22951</v>
      </c>
      <c r="F5325" t="s">
        <v>31362</v>
      </c>
      <c r="G5325" t="s">
        <v>31368</v>
      </c>
      <c r="H5325" t="s">
        <v>15799</v>
      </c>
      <c r="I5325" t="s">
        <v>3815</v>
      </c>
      <c r="J5325" t="s">
        <v>34933</v>
      </c>
      <c r="K5325" t="s">
        <v>40675</v>
      </c>
      <c r="M5325" t="s">
        <v>42727</v>
      </c>
      <c r="N5325" t="s">
        <v>44905</v>
      </c>
      <c r="O5325" t="s">
        <v>44906</v>
      </c>
      <c r="P5325">
        <v>0</v>
      </c>
      <c r="Q5325">
        <v>1</v>
      </c>
      <c r="R5325" t="s">
        <v>44909</v>
      </c>
      <c r="S5325" t="s">
        <v>45060</v>
      </c>
      <c r="T5325" t="s">
        <v>46447</v>
      </c>
      <c r="U5325" t="s">
        <v>51233</v>
      </c>
      <c r="W5325" t="s">
        <v>42727</v>
      </c>
      <c r="X5325" t="s">
        <v>44910</v>
      </c>
    </row>
    <row r="5326" spans="1:24">
      <c r="A5326">
        <f>HYPERLINK("https://www.philgeps.gov.ph/GEPSNONPILOT/Tender/SplashBidNoticeAbstractUI.aspx?menuIndex=3&amp;refID=7076269&amp;Result=3","7076269")</f>
        <v>0</v>
      </c>
      <c r="B5326" t="s">
        <v>1742</v>
      </c>
      <c r="C5326" t="s">
        <v>8612</v>
      </c>
      <c r="D5326" t="s">
        <v>18134</v>
      </c>
      <c r="E5326" t="s">
        <v>22952</v>
      </c>
      <c r="F5326" t="s">
        <v>31362</v>
      </c>
      <c r="G5326" t="s">
        <v>31368</v>
      </c>
      <c r="H5326" t="s">
        <v>15799</v>
      </c>
      <c r="I5326" t="s">
        <v>31389</v>
      </c>
      <c r="J5326" t="s">
        <v>34934</v>
      </c>
      <c r="K5326" t="s">
        <v>40662</v>
      </c>
      <c r="M5326" t="s">
        <v>42817</v>
      </c>
      <c r="N5326" t="s">
        <v>44905</v>
      </c>
      <c r="O5326" t="s">
        <v>44906</v>
      </c>
      <c r="P5326">
        <v>0</v>
      </c>
      <c r="Q5326">
        <v>7</v>
      </c>
      <c r="R5326" t="s">
        <v>44909</v>
      </c>
      <c r="S5326" t="s">
        <v>45060</v>
      </c>
      <c r="T5326" t="s">
        <v>46409</v>
      </c>
      <c r="U5326" t="s">
        <v>51254</v>
      </c>
      <c r="W5326" t="s">
        <v>42817</v>
      </c>
      <c r="X5326" t="s">
        <v>44910</v>
      </c>
    </row>
    <row r="5327" spans="1:24">
      <c r="A5327">
        <f>HYPERLINK("https://www.philgeps.gov.ph/GEPSNONPILOT/Tender/SplashBidNoticeAbstractUI.aspx?menuIndex=3&amp;refID=7076268&amp;Result=3","7076268")</f>
        <v>0</v>
      </c>
      <c r="B5327" t="s">
        <v>1727</v>
      </c>
      <c r="C5327" t="s">
        <v>8613</v>
      </c>
      <c r="D5327" t="s">
        <v>18127</v>
      </c>
      <c r="E5327" t="s">
        <v>18203</v>
      </c>
      <c r="F5327" t="s">
        <v>31362</v>
      </c>
      <c r="G5327" t="s">
        <v>31372</v>
      </c>
      <c r="H5327" t="s">
        <v>15799</v>
      </c>
      <c r="I5327" t="s">
        <v>3815</v>
      </c>
      <c r="J5327" t="s">
        <v>34935</v>
      </c>
      <c r="K5327" t="s">
        <v>40665</v>
      </c>
      <c r="M5327" t="s">
        <v>42798</v>
      </c>
      <c r="N5327" t="s">
        <v>44905</v>
      </c>
      <c r="O5327" t="s">
        <v>44906</v>
      </c>
      <c r="P5327">
        <v>0</v>
      </c>
      <c r="Q5327">
        <v>0</v>
      </c>
      <c r="R5327" t="s">
        <v>44909</v>
      </c>
      <c r="S5327" t="s">
        <v>45060</v>
      </c>
      <c r="T5327" t="s">
        <v>46462</v>
      </c>
      <c r="U5327" t="s">
        <v>51255</v>
      </c>
      <c r="W5327" t="s">
        <v>42798</v>
      </c>
      <c r="X5327" t="s">
        <v>44910</v>
      </c>
    </row>
    <row r="5328" spans="1:24">
      <c r="A5328">
        <f>HYPERLINK("https://www.philgeps.gov.ph/GEPSNONPILOT/Tender/SplashBidNoticeAbstractUI.aspx?menuIndex=3&amp;refID=7076380&amp;Result=3","7076380")</f>
        <v>0</v>
      </c>
      <c r="B5328" t="s">
        <v>179</v>
      </c>
      <c r="C5328" t="s">
        <v>8614</v>
      </c>
      <c r="D5328" t="s">
        <v>18155</v>
      </c>
      <c r="E5328" t="s">
        <v>22953</v>
      </c>
      <c r="F5328" t="s">
        <v>31362</v>
      </c>
      <c r="G5328" t="s">
        <v>31368</v>
      </c>
      <c r="H5328" t="s">
        <v>15799</v>
      </c>
      <c r="I5328" t="s">
        <v>31396</v>
      </c>
      <c r="J5328" t="s">
        <v>31997</v>
      </c>
      <c r="K5328" t="s">
        <v>40665</v>
      </c>
      <c r="M5328" t="s">
        <v>41117</v>
      </c>
      <c r="N5328" t="s">
        <v>44905</v>
      </c>
      <c r="O5328" t="s">
        <v>44906</v>
      </c>
      <c r="P5328">
        <v>0</v>
      </c>
      <c r="Q5328">
        <v>3</v>
      </c>
      <c r="R5328" t="s">
        <v>44909</v>
      </c>
      <c r="S5328" t="s">
        <v>45060</v>
      </c>
      <c r="T5328" t="s">
        <v>46591</v>
      </c>
      <c r="U5328" t="s">
        <v>51256</v>
      </c>
      <c r="V5328" t="s">
        <v>59091</v>
      </c>
      <c r="W5328" t="s">
        <v>60838</v>
      </c>
      <c r="X5328" t="s">
        <v>44910</v>
      </c>
    </row>
    <row r="5329" spans="1:24">
      <c r="A5329">
        <f>HYPERLINK("https://www.philgeps.gov.ph/GEPSNONPILOT/Tender/SplashBidNoticeAbstractUI.aspx?menuIndex=3&amp;refID=7076306&amp;Result=3","7076306")</f>
        <v>0</v>
      </c>
      <c r="B5329" t="s">
        <v>461</v>
      </c>
      <c r="C5329" t="s">
        <v>8615</v>
      </c>
      <c r="D5329" t="s">
        <v>18112</v>
      </c>
      <c r="E5329" t="s">
        <v>22954</v>
      </c>
      <c r="F5329" t="s">
        <v>31362</v>
      </c>
      <c r="G5329" t="s">
        <v>31368</v>
      </c>
      <c r="H5329" t="s">
        <v>15799</v>
      </c>
      <c r="I5329" t="s">
        <v>7188</v>
      </c>
      <c r="J5329" t="s">
        <v>34936</v>
      </c>
      <c r="K5329" t="s">
        <v>40670</v>
      </c>
      <c r="M5329" t="s">
        <v>41415</v>
      </c>
      <c r="N5329" t="s">
        <v>44905</v>
      </c>
      <c r="O5329" t="s">
        <v>44906</v>
      </c>
      <c r="P5329">
        <v>0</v>
      </c>
      <c r="Q5329">
        <v>0</v>
      </c>
      <c r="R5329" t="s">
        <v>44909</v>
      </c>
      <c r="S5329" t="s">
        <v>45060</v>
      </c>
      <c r="T5329" t="s">
        <v>46411</v>
      </c>
      <c r="U5329" t="s">
        <v>51257</v>
      </c>
      <c r="V5329" t="s">
        <v>59176</v>
      </c>
      <c r="W5329" t="s">
        <v>41415</v>
      </c>
      <c r="X5329" t="s">
        <v>44910</v>
      </c>
    </row>
    <row r="5330" spans="1:24">
      <c r="A5330">
        <f>HYPERLINK("https://www.philgeps.gov.ph/GEPSNONPILOT/Tender/SplashBidNoticeAbstractUI.aspx?menuIndex=3&amp;refID=7076383&amp;Result=3","7076383")</f>
        <v>0</v>
      </c>
      <c r="B5330" t="s">
        <v>1743</v>
      </c>
      <c r="C5330" t="s">
        <v>8616</v>
      </c>
      <c r="D5330" t="s">
        <v>18138</v>
      </c>
      <c r="E5330" t="s">
        <v>20213</v>
      </c>
      <c r="F5330" t="s">
        <v>31362</v>
      </c>
      <c r="G5330" t="s">
        <v>31368</v>
      </c>
      <c r="H5330" t="s">
        <v>15799</v>
      </c>
      <c r="I5330" t="s">
        <v>31389</v>
      </c>
      <c r="J5330" t="s">
        <v>34937</v>
      </c>
      <c r="K5330" t="s">
        <v>40697</v>
      </c>
      <c r="M5330" t="s">
        <v>42818</v>
      </c>
      <c r="N5330" t="s">
        <v>44905</v>
      </c>
      <c r="O5330" t="s">
        <v>44906</v>
      </c>
      <c r="P5330">
        <v>0</v>
      </c>
      <c r="Q5330">
        <v>1</v>
      </c>
      <c r="R5330" t="s">
        <v>44909</v>
      </c>
      <c r="S5330" t="s">
        <v>45060</v>
      </c>
      <c r="T5330" t="s">
        <v>46414</v>
      </c>
      <c r="U5330" t="s">
        <v>51258</v>
      </c>
      <c r="V5330" t="s">
        <v>59577</v>
      </c>
      <c r="W5330" t="s">
        <v>42818</v>
      </c>
      <c r="X5330" t="s">
        <v>44910</v>
      </c>
    </row>
    <row r="5331" spans="1:24">
      <c r="A5331">
        <f>HYPERLINK("https://www.philgeps.gov.ph/GEPSNONPILOT/Tender/SplashBidNoticeAbstractUI.aspx?menuIndex=3&amp;refID=7076309&amp;Result=3","7076309")</f>
        <v>0</v>
      </c>
      <c r="B5331" t="s">
        <v>1115</v>
      </c>
      <c r="C5331" t="s">
        <v>8617</v>
      </c>
      <c r="D5331" t="s">
        <v>18104</v>
      </c>
      <c r="E5331" t="s">
        <v>22955</v>
      </c>
      <c r="F5331" t="s">
        <v>31362</v>
      </c>
      <c r="G5331" t="s">
        <v>31369</v>
      </c>
      <c r="H5331" t="s">
        <v>15799</v>
      </c>
      <c r="I5331" t="s">
        <v>31422</v>
      </c>
      <c r="J5331" t="s">
        <v>34938</v>
      </c>
      <c r="K5331" t="s">
        <v>40670</v>
      </c>
      <c r="M5331" t="s">
        <v>42805</v>
      </c>
      <c r="N5331" t="s">
        <v>44905</v>
      </c>
      <c r="O5331" t="s">
        <v>44906</v>
      </c>
      <c r="P5331">
        <v>0</v>
      </c>
      <c r="Q5331">
        <v>3</v>
      </c>
      <c r="R5331" t="s">
        <v>44909</v>
      </c>
      <c r="S5331" t="s">
        <v>45060</v>
      </c>
      <c r="T5331" t="s">
        <v>46433</v>
      </c>
      <c r="U5331" t="s">
        <v>51259</v>
      </c>
      <c r="V5331" t="s">
        <v>59573</v>
      </c>
      <c r="W5331" t="s">
        <v>42805</v>
      </c>
      <c r="X5331" t="s">
        <v>44910</v>
      </c>
    </row>
    <row r="5332" spans="1:24">
      <c r="A5332">
        <f>HYPERLINK("https://www.philgeps.gov.ph/GEPSNONPILOT/Tender/SplashBidNoticeAbstractUI.aspx?menuIndex=3&amp;refID=7076325&amp;Result=3","7076325")</f>
        <v>0</v>
      </c>
      <c r="B5332" t="s">
        <v>641</v>
      </c>
      <c r="C5332" t="s">
        <v>8618</v>
      </c>
      <c r="D5332" t="s">
        <v>18158</v>
      </c>
      <c r="E5332" t="s">
        <v>22956</v>
      </c>
      <c r="F5332" t="s">
        <v>31362</v>
      </c>
      <c r="G5332" t="s">
        <v>31372</v>
      </c>
      <c r="H5332" t="s">
        <v>15799</v>
      </c>
      <c r="I5332" t="s">
        <v>3815</v>
      </c>
      <c r="J5332" t="s">
        <v>33058</v>
      </c>
      <c r="K5332" t="s">
        <v>40662</v>
      </c>
      <c r="M5332" t="s">
        <v>42801</v>
      </c>
      <c r="N5332" t="s">
        <v>44905</v>
      </c>
      <c r="O5332" t="s">
        <v>44906</v>
      </c>
      <c r="P5332">
        <v>0</v>
      </c>
      <c r="Q5332">
        <v>0</v>
      </c>
      <c r="R5332" t="s">
        <v>44909</v>
      </c>
      <c r="S5332" t="s">
        <v>45060</v>
      </c>
      <c r="T5332" t="s">
        <v>46393</v>
      </c>
      <c r="U5332" t="s">
        <v>51260</v>
      </c>
      <c r="W5332" t="s">
        <v>42801</v>
      </c>
      <c r="X5332" t="s">
        <v>44910</v>
      </c>
    </row>
    <row r="5333" spans="1:24">
      <c r="A5333">
        <f>HYPERLINK("https://www.philgeps.gov.ph/GEPSNONPILOT/Tender/SplashBidNoticeAbstractUI.aspx?menuIndex=3&amp;refID=7076381&amp;Result=3","7076381")</f>
        <v>0</v>
      </c>
      <c r="B5333" t="s">
        <v>1744</v>
      </c>
      <c r="C5333" t="s">
        <v>8619</v>
      </c>
      <c r="D5333" t="s">
        <v>18123</v>
      </c>
      <c r="E5333" t="s">
        <v>22957</v>
      </c>
      <c r="F5333" t="s">
        <v>31362</v>
      </c>
      <c r="G5333" t="s">
        <v>31368</v>
      </c>
      <c r="H5333" t="s">
        <v>15799</v>
      </c>
      <c r="I5333" t="s">
        <v>31459</v>
      </c>
      <c r="J5333" t="s">
        <v>34939</v>
      </c>
      <c r="K5333" t="s">
        <v>40661</v>
      </c>
      <c r="M5333" t="s">
        <v>42819</v>
      </c>
      <c r="N5333" t="s">
        <v>44905</v>
      </c>
      <c r="O5333" t="s">
        <v>44906</v>
      </c>
      <c r="Q5333">
        <v>0</v>
      </c>
      <c r="R5333" t="s">
        <v>44909</v>
      </c>
      <c r="S5333" t="s">
        <v>45063</v>
      </c>
      <c r="T5333" t="s">
        <v>46470</v>
      </c>
      <c r="U5333" t="s">
        <v>51261</v>
      </c>
      <c r="W5333" t="s">
        <v>42819</v>
      </c>
      <c r="X5333" t="s">
        <v>44910</v>
      </c>
    </row>
    <row r="5334" spans="1:24">
      <c r="A5334">
        <f>HYPERLINK("https://www.philgeps.gov.ph/GEPSNONPILOT/Tender/SplashBidNoticeAbstractUI.aspx?menuIndex=3&amp;refID=7076376&amp;Result=3","7076376")</f>
        <v>0</v>
      </c>
      <c r="B5334" t="s">
        <v>1745</v>
      </c>
      <c r="C5334" t="s">
        <v>8620</v>
      </c>
      <c r="D5334" t="s">
        <v>18148</v>
      </c>
      <c r="E5334" t="s">
        <v>22958</v>
      </c>
      <c r="F5334" t="s">
        <v>31362</v>
      </c>
      <c r="G5334" t="s">
        <v>31368</v>
      </c>
      <c r="H5334" t="s">
        <v>15799</v>
      </c>
      <c r="I5334" t="s">
        <v>31404</v>
      </c>
      <c r="J5334" t="s">
        <v>34940</v>
      </c>
      <c r="K5334" t="s">
        <v>40693</v>
      </c>
      <c r="M5334" t="s">
        <v>42820</v>
      </c>
      <c r="N5334" t="s">
        <v>44905</v>
      </c>
      <c r="O5334" t="s">
        <v>44906</v>
      </c>
      <c r="P5334">
        <v>0</v>
      </c>
      <c r="Q5334">
        <v>0</v>
      </c>
      <c r="R5334" t="s">
        <v>44909</v>
      </c>
      <c r="S5334" t="s">
        <v>45060</v>
      </c>
      <c r="T5334" t="s">
        <v>46428</v>
      </c>
      <c r="U5334" t="s">
        <v>51262</v>
      </c>
      <c r="W5334" t="s">
        <v>42820</v>
      </c>
      <c r="X5334" t="s">
        <v>44910</v>
      </c>
    </row>
    <row r="5335" spans="1:24">
      <c r="A5335">
        <f>HYPERLINK("https://www.philgeps.gov.ph/GEPSNONPILOT/Tender/SplashBidNoticeAbstractUI.aspx?menuIndex=3&amp;refID=7076324&amp;Result=3","7076324")</f>
        <v>0</v>
      </c>
      <c r="B5335" t="s">
        <v>1662</v>
      </c>
      <c r="C5335" t="s">
        <v>8621</v>
      </c>
      <c r="D5335" t="s">
        <v>18175</v>
      </c>
      <c r="E5335" t="s">
        <v>22959</v>
      </c>
      <c r="F5335" t="s">
        <v>31362</v>
      </c>
      <c r="G5335" t="s">
        <v>31368</v>
      </c>
      <c r="H5335" t="s">
        <v>15799</v>
      </c>
      <c r="I5335" t="s">
        <v>3815</v>
      </c>
      <c r="J5335" t="s">
        <v>34941</v>
      </c>
      <c r="K5335" t="s">
        <v>40675</v>
      </c>
      <c r="M5335" t="s">
        <v>42727</v>
      </c>
      <c r="N5335" t="s">
        <v>44905</v>
      </c>
      <c r="O5335" t="s">
        <v>44906</v>
      </c>
      <c r="P5335">
        <v>0</v>
      </c>
      <c r="Q5335">
        <v>0</v>
      </c>
      <c r="R5335" t="s">
        <v>44909</v>
      </c>
      <c r="S5335" t="s">
        <v>45060</v>
      </c>
      <c r="T5335" t="s">
        <v>46447</v>
      </c>
      <c r="U5335" t="s">
        <v>51233</v>
      </c>
      <c r="W5335" t="s">
        <v>42727</v>
      </c>
      <c r="X5335" t="s">
        <v>44910</v>
      </c>
    </row>
    <row r="5336" spans="1:24">
      <c r="A5336">
        <f>HYPERLINK("https://www.philgeps.gov.ph/GEPSNONPILOT/Tender/SplashBidNoticeAbstractUI.aspx?menuIndex=3&amp;refID=7076388&amp;Result=3","7076388")</f>
        <v>0</v>
      </c>
      <c r="B5336" t="s">
        <v>641</v>
      </c>
      <c r="C5336" t="s">
        <v>8622</v>
      </c>
      <c r="D5336" t="s">
        <v>18158</v>
      </c>
      <c r="E5336" t="s">
        <v>22960</v>
      </c>
      <c r="F5336" t="s">
        <v>31362</v>
      </c>
      <c r="G5336" t="s">
        <v>31372</v>
      </c>
      <c r="H5336" t="s">
        <v>31378</v>
      </c>
      <c r="I5336" t="s">
        <v>31386</v>
      </c>
      <c r="J5336" t="s">
        <v>34942</v>
      </c>
      <c r="K5336" t="s">
        <v>40682</v>
      </c>
      <c r="M5336" t="s">
        <v>42801</v>
      </c>
      <c r="N5336" t="s">
        <v>44905</v>
      </c>
      <c r="O5336" t="s">
        <v>44906</v>
      </c>
      <c r="P5336">
        <v>0</v>
      </c>
      <c r="Q5336">
        <v>0</v>
      </c>
      <c r="R5336" t="s">
        <v>44909</v>
      </c>
      <c r="S5336" t="s">
        <v>45060</v>
      </c>
      <c r="T5336" t="s">
        <v>46393</v>
      </c>
      <c r="U5336" t="s">
        <v>51263</v>
      </c>
      <c r="W5336" t="s">
        <v>42801</v>
      </c>
      <c r="X5336" t="s">
        <v>44910</v>
      </c>
    </row>
    <row r="5337" spans="1:24">
      <c r="A5337">
        <f>HYPERLINK("https://www.philgeps.gov.ph/GEPSNONPILOT/Tender/SplashBidNoticeAbstractUI.aspx?menuIndex=3&amp;refID=7076374&amp;Result=3","7076374")</f>
        <v>0</v>
      </c>
      <c r="B5337" t="s">
        <v>1737</v>
      </c>
      <c r="C5337" t="s">
        <v>8623</v>
      </c>
      <c r="D5337" t="s">
        <v>18123</v>
      </c>
      <c r="E5337" t="s">
        <v>22943</v>
      </c>
      <c r="F5337" t="s">
        <v>31362</v>
      </c>
      <c r="G5337" t="s">
        <v>31372</v>
      </c>
      <c r="H5337" t="s">
        <v>15799</v>
      </c>
      <c r="I5337" t="s">
        <v>31380</v>
      </c>
      <c r="J5337" t="s">
        <v>34943</v>
      </c>
      <c r="K5337" t="s">
        <v>40662</v>
      </c>
      <c r="M5337" t="s">
        <v>42811</v>
      </c>
      <c r="N5337" t="s">
        <v>44905</v>
      </c>
      <c r="O5337" t="s">
        <v>44906</v>
      </c>
      <c r="P5337">
        <v>0</v>
      </c>
      <c r="Q5337">
        <v>3</v>
      </c>
      <c r="R5337" t="s">
        <v>44909</v>
      </c>
      <c r="S5337" t="s">
        <v>45060</v>
      </c>
      <c r="T5337" t="s">
        <v>46443</v>
      </c>
      <c r="U5337" t="s">
        <v>51264</v>
      </c>
      <c r="W5337" t="s">
        <v>42811</v>
      </c>
      <c r="X5337" t="s">
        <v>44910</v>
      </c>
    </row>
    <row r="5338" spans="1:24">
      <c r="A5338">
        <f>HYPERLINK("https://www.philgeps.gov.ph/GEPSNONPILOT/Tender/SplashBidNoticeAbstractUI.aspx?menuIndex=3&amp;refID=7076372&amp;Result=3","7076372")</f>
        <v>0</v>
      </c>
      <c r="B5338" t="s">
        <v>1746</v>
      </c>
      <c r="C5338" t="s">
        <v>8624</v>
      </c>
      <c r="D5338" t="s">
        <v>18125</v>
      </c>
      <c r="E5338" t="s">
        <v>22961</v>
      </c>
      <c r="F5338" t="s">
        <v>31362</v>
      </c>
      <c r="G5338" t="s">
        <v>31369</v>
      </c>
      <c r="H5338" t="s">
        <v>15799</v>
      </c>
      <c r="I5338" t="s">
        <v>31415</v>
      </c>
      <c r="J5338" t="s">
        <v>34944</v>
      </c>
      <c r="K5338" t="s">
        <v>40665</v>
      </c>
      <c r="M5338" t="s">
        <v>42821</v>
      </c>
      <c r="N5338" t="s">
        <v>44905</v>
      </c>
      <c r="O5338" t="s">
        <v>44906</v>
      </c>
      <c r="P5338">
        <v>0</v>
      </c>
      <c r="Q5338">
        <v>1</v>
      </c>
      <c r="R5338" t="s">
        <v>44909</v>
      </c>
      <c r="S5338" t="s">
        <v>45060</v>
      </c>
      <c r="T5338" t="s">
        <v>46426</v>
      </c>
      <c r="U5338" t="s">
        <v>51265</v>
      </c>
      <c r="W5338" t="s">
        <v>42821</v>
      </c>
      <c r="X5338" t="s">
        <v>44910</v>
      </c>
    </row>
    <row r="5339" spans="1:24">
      <c r="A5339">
        <f>HYPERLINK("https://www.philgeps.gov.ph/GEPSNONPILOT/Tender/SplashBidNoticeAbstractUI.aspx?menuIndex=3&amp;refID=7076384&amp;Result=3","7076384")</f>
        <v>0</v>
      </c>
      <c r="B5339" t="s">
        <v>1348</v>
      </c>
      <c r="C5339" t="s">
        <v>8625</v>
      </c>
      <c r="D5339" t="s">
        <v>18129</v>
      </c>
      <c r="E5339" t="s">
        <v>22962</v>
      </c>
      <c r="F5339" t="s">
        <v>31362</v>
      </c>
      <c r="G5339" t="s">
        <v>31368</v>
      </c>
      <c r="H5339" t="s">
        <v>31377</v>
      </c>
      <c r="I5339" t="s">
        <v>31377</v>
      </c>
      <c r="J5339" t="s">
        <v>31625</v>
      </c>
      <c r="K5339" t="s">
        <v>40665</v>
      </c>
      <c r="M5339" t="s">
        <v>42368</v>
      </c>
      <c r="N5339" t="s">
        <v>44905</v>
      </c>
      <c r="O5339" t="s">
        <v>44906</v>
      </c>
      <c r="P5339">
        <v>0</v>
      </c>
      <c r="Q5339">
        <v>5</v>
      </c>
      <c r="R5339" t="s">
        <v>44909</v>
      </c>
      <c r="S5339" t="s">
        <v>45060</v>
      </c>
      <c r="T5339" t="s">
        <v>46394</v>
      </c>
      <c r="U5339" t="s">
        <v>51266</v>
      </c>
      <c r="W5339" t="s">
        <v>42368</v>
      </c>
      <c r="X5339" t="s">
        <v>44910</v>
      </c>
    </row>
    <row r="5340" spans="1:24">
      <c r="A5340">
        <f>HYPERLINK("https://www.philgeps.gov.ph/GEPSNONPILOT/Tender/SplashBidNoticeAbstractUI.aspx?menuIndex=3&amp;refID=7076370&amp;Result=3","7076370")</f>
        <v>0</v>
      </c>
      <c r="B5340" t="s">
        <v>334</v>
      </c>
      <c r="C5340" t="s">
        <v>8626</v>
      </c>
      <c r="D5340" t="s">
        <v>18116</v>
      </c>
      <c r="E5340" t="s">
        <v>22963</v>
      </c>
      <c r="F5340" t="s">
        <v>31362</v>
      </c>
      <c r="G5340" t="s">
        <v>31368</v>
      </c>
      <c r="H5340" t="s">
        <v>15799</v>
      </c>
      <c r="I5340" t="s">
        <v>7090</v>
      </c>
      <c r="J5340" t="s">
        <v>33840</v>
      </c>
      <c r="K5340" t="s">
        <v>40662</v>
      </c>
      <c r="M5340" t="s">
        <v>41280</v>
      </c>
      <c r="N5340" t="s">
        <v>44905</v>
      </c>
      <c r="O5340" t="s">
        <v>44906</v>
      </c>
      <c r="P5340">
        <v>0</v>
      </c>
      <c r="Q5340">
        <v>1</v>
      </c>
      <c r="R5340" t="s">
        <v>44909</v>
      </c>
      <c r="S5340" t="s">
        <v>45060</v>
      </c>
      <c r="T5340" t="s">
        <v>46414</v>
      </c>
      <c r="U5340" t="s">
        <v>51267</v>
      </c>
      <c r="W5340" t="s">
        <v>41280</v>
      </c>
      <c r="X5340" t="s">
        <v>44910</v>
      </c>
    </row>
    <row r="5341" spans="1:24">
      <c r="A5341">
        <f>HYPERLINK("https://www.philgeps.gov.ph/GEPSNONPILOT/Tender/SplashBidNoticeAbstractUI.aspx?menuIndex=3&amp;refID=7076365&amp;Result=3","7076365")</f>
        <v>0</v>
      </c>
      <c r="B5341" t="s">
        <v>1731</v>
      </c>
      <c r="C5341" t="s">
        <v>8596</v>
      </c>
      <c r="D5341" t="s">
        <v>18127</v>
      </c>
      <c r="E5341" t="s">
        <v>22964</v>
      </c>
      <c r="F5341" t="s">
        <v>31362</v>
      </c>
      <c r="G5341" t="s">
        <v>31370</v>
      </c>
      <c r="H5341" t="s">
        <v>15799</v>
      </c>
      <c r="I5341" t="s">
        <v>31404</v>
      </c>
      <c r="J5341" t="s">
        <v>32739</v>
      </c>
      <c r="K5341" t="s">
        <v>40661</v>
      </c>
      <c r="M5341" t="s">
        <v>42803</v>
      </c>
      <c r="N5341" t="s">
        <v>44905</v>
      </c>
      <c r="O5341" t="s">
        <v>44906</v>
      </c>
      <c r="P5341">
        <v>0</v>
      </c>
      <c r="Q5341">
        <v>0</v>
      </c>
      <c r="R5341" t="s">
        <v>44909</v>
      </c>
      <c r="S5341" t="s">
        <v>45060</v>
      </c>
      <c r="T5341" t="s">
        <v>46416</v>
      </c>
      <c r="U5341" t="s">
        <v>51243</v>
      </c>
      <c r="W5341" t="s">
        <v>42803</v>
      </c>
      <c r="X5341" t="s">
        <v>44910</v>
      </c>
    </row>
    <row r="5342" spans="1:24">
      <c r="A5342">
        <f>HYPERLINK("https://www.philgeps.gov.ph/GEPSNONPILOT/Tender/SplashBidNoticeAbstractUI.aspx?menuIndex=3&amp;refID=7076363&amp;Result=3","7076363")</f>
        <v>0</v>
      </c>
      <c r="B5342" t="s">
        <v>641</v>
      </c>
      <c r="C5342" t="s">
        <v>8627</v>
      </c>
      <c r="D5342" t="s">
        <v>18158</v>
      </c>
      <c r="E5342" t="s">
        <v>22965</v>
      </c>
      <c r="F5342" t="s">
        <v>31362</v>
      </c>
      <c r="G5342" t="s">
        <v>31372</v>
      </c>
      <c r="H5342" t="s">
        <v>15799</v>
      </c>
      <c r="I5342" t="s">
        <v>3815</v>
      </c>
      <c r="J5342" t="s">
        <v>31738</v>
      </c>
      <c r="K5342" t="s">
        <v>40662</v>
      </c>
      <c r="M5342" t="s">
        <v>42801</v>
      </c>
      <c r="N5342" t="s">
        <v>44905</v>
      </c>
      <c r="O5342" t="s">
        <v>44906</v>
      </c>
      <c r="P5342">
        <v>0</v>
      </c>
      <c r="Q5342">
        <v>0</v>
      </c>
      <c r="R5342" t="s">
        <v>44909</v>
      </c>
      <c r="S5342" t="s">
        <v>45060</v>
      </c>
      <c r="T5342" t="s">
        <v>46393</v>
      </c>
      <c r="U5342" t="s">
        <v>51268</v>
      </c>
      <c r="W5342" t="s">
        <v>42801</v>
      </c>
      <c r="X5342" t="s">
        <v>44910</v>
      </c>
    </row>
    <row r="5343" spans="1:24">
      <c r="A5343">
        <f>HYPERLINK("https://www.philgeps.gov.ph/GEPSNONPILOT/Tender/SplashBidNoticeAbstractUI.aspx?menuIndex=3&amp;refID=7076379&amp;Result=3","7076379")</f>
        <v>0</v>
      </c>
      <c r="B5343" t="s">
        <v>1662</v>
      </c>
      <c r="C5343" t="s">
        <v>8628</v>
      </c>
      <c r="D5343" t="s">
        <v>18175</v>
      </c>
      <c r="E5343" t="s">
        <v>22966</v>
      </c>
      <c r="F5343" t="s">
        <v>31362</v>
      </c>
      <c r="G5343" t="s">
        <v>31368</v>
      </c>
      <c r="H5343" t="s">
        <v>15799</v>
      </c>
      <c r="I5343" t="s">
        <v>31465</v>
      </c>
      <c r="J5343" t="s">
        <v>34945</v>
      </c>
      <c r="K5343" t="s">
        <v>40665</v>
      </c>
      <c r="M5343" t="s">
        <v>42727</v>
      </c>
      <c r="N5343" t="s">
        <v>44905</v>
      </c>
      <c r="O5343" t="s">
        <v>44906</v>
      </c>
      <c r="P5343">
        <v>0</v>
      </c>
      <c r="Q5343">
        <v>1</v>
      </c>
      <c r="R5343" t="s">
        <v>44909</v>
      </c>
      <c r="S5343" t="s">
        <v>45060</v>
      </c>
      <c r="T5343" t="s">
        <v>46447</v>
      </c>
      <c r="U5343" t="s">
        <v>51233</v>
      </c>
      <c r="W5343" t="s">
        <v>42727</v>
      </c>
      <c r="X5343" t="s">
        <v>44910</v>
      </c>
    </row>
    <row r="5344" spans="1:24">
      <c r="A5344">
        <f>HYPERLINK("https://www.philgeps.gov.ph/GEPSNONPILOT/Tender/SplashBidNoticeAbstractUI.aspx?menuIndex=3&amp;refID=7076378&amp;Result=3","7076378")</f>
        <v>0</v>
      </c>
      <c r="B5344" t="s">
        <v>1105</v>
      </c>
      <c r="C5344" t="s">
        <v>8629</v>
      </c>
      <c r="D5344" t="s">
        <v>18168</v>
      </c>
      <c r="E5344" t="s">
        <v>19354</v>
      </c>
      <c r="F5344" t="s">
        <v>31362</v>
      </c>
      <c r="G5344" t="s">
        <v>31368</v>
      </c>
      <c r="H5344" t="s">
        <v>15799</v>
      </c>
      <c r="I5344" t="s">
        <v>31499</v>
      </c>
      <c r="J5344" t="s">
        <v>32780</v>
      </c>
      <c r="K5344" t="s">
        <v>40662</v>
      </c>
      <c r="M5344" t="s">
        <v>42110</v>
      </c>
      <c r="N5344" t="s">
        <v>44905</v>
      </c>
      <c r="O5344" t="s">
        <v>44906</v>
      </c>
      <c r="P5344">
        <v>0</v>
      </c>
      <c r="Q5344">
        <v>0</v>
      </c>
      <c r="R5344" t="s">
        <v>44909</v>
      </c>
      <c r="S5344" t="s">
        <v>45060</v>
      </c>
      <c r="T5344" t="s">
        <v>46432</v>
      </c>
      <c r="U5344" t="s">
        <v>49324</v>
      </c>
      <c r="W5344" t="s">
        <v>42110</v>
      </c>
      <c r="X5344" t="s">
        <v>44910</v>
      </c>
    </row>
    <row r="5345" spans="1:24">
      <c r="A5345">
        <f>HYPERLINK("https://www.philgeps.gov.ph/GEPSNONPILOT/Tender/SplashBidNoticeAbstractUI.aspx?menuIndex=3&amp;refID=7076361&amp;Result=3","7076361")</f>
        <v>0</v>
      </c>
      <c r="B5345" t="s">
        <v>303</v>
      </c>
      <c r="C5345" t="s">
        <v>8630</v>
      </c>
      <c r="D5345" t="s">
        <v>18121</v>
      </c>
      <c r="E5345" t="s">
        <v>22967</v>
      </c>
      <c r="F5345" t="s">
        <v>31362</v>
      </c>
      <c r="G5345" t="s">
        <v>31371</v>
      </c>
      <c r="H5345" t="s">
        <v>15799</v>
      </c>
      <c r="I5345" t="s">
        <v>7719</v>
      </c>
      <c r="J5345" t="s">
        <v>32546</v>
      </c>
      <c r="K5345" t="s">
        <v>40665</v>
      </c>
      <c r="M5345" t="s">
        <v>41247</v>
      </c>
      <c r="N5345" t="s">
        <v>44905</v>
      </c>
      <c r="O5345" t="s">
        <v>44906</v>
      </c>
      <c r="P5345">
        <v>0</v>
      </c>
      <c r="Q5345">
        <v>1</v>
      </c>
      <c r="R5345" t="s">
        <v>44909</v>
      </c>
      <c r="S5345" t="s">
        <v>45060</v>
      </c>
      <c r="T5345" t="s">
        <v>46409</v>
      </c>
      <c r="U5345" t="s">
        <v>51269</v>
      </c>
      <c r="W5345" t="s">
        <v>41247</v>
      </c>
      <c r="X5345" t="s">
        <v>44910</v>
      </c>
    </row>
    <row r="5346" spans="1:24">
      <c r="A5346">
        <f>HYPERLINK("https://www.philgeps.gov.ph/GEPSNONPILOT/Tender/SplashBidNoticeAbstractUI.aspx?menuIndex=3&amp;refID=7076387&amp;Result=3","7076387")</f>
        <v>0</v>
      </c>
      <c r="B5346" t="s">
        <v>1406</v>
      </c>
      <c r="C5346" t="s">
        <v>8631</v>
      </c>
      <c r="D5346" t="s">
        <v>18108</v>
      </c>
      <c r="E5346" t="s">
        <v>22968</v>
      </c>
      <c r="F5346" t="s">
        <v>31362</v>
      </c>
      <c r="G5346" t="s">
        <v>31368</v>
      </c>
      <c r="H5346" t="s">
        <v>15799</v>
      </c>
      <c r="I5346" t="s">
        <v>31380</v>
      </c>
      <c r="J5346" t="s">
        <v>31545</v>
      </c>
      <c r="K5346" t="s">
        <v>40666</v>
      </c>
      <c r="M5346" t="s">
        <v>42431</v>
      </c>
      <c r="N5346" t="s">
        <v>44905</v>
      </c>
      <c r="O5346" t="s">
        <v>44906</v>
      </c>
      <c r="P5346">
        <v>0</v>
      </c>
      <c r="Q5346">
        <v>9</v>
      </c>
      <c r="R5346" t="s">
        <v>44909</v>
      </c>
      <c r="S5346" t="s">
        <v>45060</v>
      </c>
      <c r="T5346" t="s">
        <v>46447</v>
      </c>
      <c r="U5346" t="s">
        <v>51270</v>
      </c>
      <c r="V5346" t="s">
        <v>59578</v>
      </c>
      <c r="W5346" t="s">
        <v>42431</v>
      </c>
      <c r="X5346" t="s">
        <v>44910</v>
      </c>
    </row>
    <row r="5347" spans="1:24">
      <c r="A5347">
        <f>HYPERLINK("https://www.philgeps.gov.ph/GEPSNONPILOT/Tender/SplashBidNoticeAbstractUI.aspx?menuIndex=3&amp;refID=7076375&amp;Result=3","7076375")</f>
        <v>0</v>
      </c>
      <c r="B5347" t="s">
        <v>1414</v>
      </c>
      <c r="C5347" t="s">
        <v>8632</v>
      </c>
      <c r="D5347" t="s">
        <v>18106</v>
      </c>
      <c r="E5347" t="s">
        <v>22969</v>
      </c>
      <c r="F5347" t="s">
        <v>31362</v>
      </c>
      <c r="G5347" t="s">
        <v>31368</v>
      </c>
      <c r="H5347" t="s">
        <v>31378</v>
      </c>
      <c r="I5347" t="s">
        <v>31386</v>
      </c>
      <c r="J5347" t="s">
        <v>34946</v>
      </c>
      <c r="K5347" t="s">
        <v>40670</v>
      </c>
      <c r="M5347" t="s">
        <v>42439</v>
      </c>
      <c r="N5347" t="s">
        <v>44905</v>
      </c>
      <c r="O5347" t="s">
        <v>44906</v>
      </c>
      <c r="P5347">
        <v>0</v>
      </c>
      <c r="Q5347">
        <v>0</v>
      </c>
      <c r="R5347" t="s">
        <v>44909</v>
      </c>
      <c r="S5347" t="s">
        <v>45060</v>
      </c>
      <c r="T5347" t="s">
        <v>46454</v>
      </c>
      <c r="U5347" t="s">
        <v>51271</v>
      </c>
      <c r="W5347" t="s">
        <v>42439</v>
      </c>
      <c r="X5347" t="s">
        <v>44910</v>
      </c>
    </row>
    <row r="5348" spans="1:24">
      <c r="A5348">
        <f>HYPERLINK("https://www.philgeps.gov.ph/GEPSNONPILOT/Tender/SplashBidNoticeAbstractUI.aspx?menuIndex=3&amp;refID=7076357&amp;Result=3","7076357")</f>
        <v>0</v>
      </c>
      <c r="B5348" t="s">
        <v>59</v>
      </c>
      <c r="C5348" t="s">
        <v>8633</v>
      </c>
      <c r="D5348" t="s">
        <v>18122</v>
      </c>
      <c r="E5348" t="s">
        <v>22970</v>
      </c>
      <c r="F5348" t="s">
        <v>31362</v>
      </c>
      <c r="G5348" t="s">
        <v>31370</v>
      </c>
      <c r="H5348" t="s">
        <v>15799</v>
      </c>
      <c r="I5348" t="s">
        <v>3815</v>
      </c>
      <c r="J5348" t="s">
        <v>34947</v>
      </c>
      <c r="K5348" t="s">
        <v>40665</v>
      </c>
      <c r="M5348" t="s">
        <v>40994</v>
      </c>
      <c r="N5348" t="s">
        <v>44905</v>
      </c>
      <c r="O5348" t="s">
        <v>44906</v>
      </c>
      <c r="P5348">
        <v>0</v>
      </c>
      <c r="Q5348">
        <v>1</v>
      </c>
      <c r="R5348" t="s">
        <v>44909</v>
      </c>
      <c r="S5348" t="s">
        <v>45060</v>
      </c>
      <c r="T5348" t="s">
        <v>46438</v>
      </c>
      <c r="U5348" t="s">
        <v>51272</v>
      </c>
      <c r="W5348" t="s">
        <v>40994</v>
      </c>
      <c r="X5348" t="s">
        <v>44910</v>
      </c>
    </row>
    <row r="5349" spans="1:24">
      <c r="A5349">
        <f>HYPERLINK("https://www.philgeps.gov.ph/GEPSNONPILOT/Tender/SplashBidNoticeAbstractUI.aspx?menuIndex=3&amp;refID=7076261&amp;Result=3","7076261")</f>
        <v>0</v>
      </c>
      <c r="B5349" t="s">
        <v>1115</v>
      </c>
      <c r="C5349" t="s">
        <v>8578</v>
      </c>
      <c r="D5349" t="s">
        <v>18104</v>
      </c>
      <c r="E5349" t="s">
        <v>22971</v>
      </c>
      <c r="F5349" t="s">
        <v>31362</v>
      </c>
      <c r="G5349" t="s">
        <v>31369</v>
      </c>
      <c r="H5349" t="s">
        <v>15799</v>
      </c>
      <c r="I5349" t="s">
        <v>31409</v>
      </c>
      <c r="J5349" t="s">
        <v>33028</v>
      </c>
      <c r="K5349" t="s">
        <v>40665</v>
      </c>
      <c r="M5349" t="s">
        <v>42805</v>
      </c>
      <c r="N5349" t="s">
        <v>44905</v>
      </c>
      <c r="O5349" t="s">
        <v>44906</v>
      </c>
      <c r="P5349">
        <v>0</v>
      </c>
      <c r="Q5349">
        <v>4</v>
      </c>
      <c r="R5349" t="s">
        <v>44909</v>
      </c>
      <c r="S5349" t="s">
        <v>45060</v>
      </c>
      <c r="T5349" t="s">
        <v>46433</v>
      </c>
      <c r="U5349" t="s">
        <v>51224</v>
      </c>
      <c r="V5349" t="s">
        <v>59573</v>
      </c>
      <c r="W5349" t="s">
        <v>42805</v>
      </c>
      <c r="X5349" t="s">
        <v>44910</v>
      </c>
    </row>
    <row r="5350" spans="1:24">
      <c r="A5350">
        <f>HYPERLINK("https://www.philgeps.gov.ph/GEPSNONPILOT/Tender/SplashBidNoticeAbstractUI.aspx?menuIndex=3&amp;refID=7076369&amp;Result=3","7076369")</f>
        <v>0</v>
      </c>
      <c r="B5350" t="s">
        <v>1738</v>
      </c>
      <c r="C5350" t="s">
        <v>8634</v>
      </c>
      <c r="D5350" t="s">
        <v>18173</v>
      </c>
      <c r="E5350" t="s">
        <v>20718</v>
      </c>
      <c r="F5350" t="s">
        <v>31362</v>
      </c>
      <c r="G5350" t="s">
        <v>31369</v>
      </c>
      <c r="H5350" t="s">
        <v>15799</v>
      </c>
      <c r="I5350" t="s">
        <v>3815</v>
      </c>
      <c r="J5350" t="s">
        <v>34948</v>
      </c>
      <c r="K5350" t="s">
        <v>40665</v>
      </c>
      <c r="M5350" t="s">
        <v>42812</v>
      </c>
      <c r="N5350" t="s">
        <v>44905</v>
      </c>
      <c r="O5350" t="s">
        <v>44906</v>
      </c>
      <c r="P5350">
        <v>0</v>
      </c>
      <c r="Q5350">
        <v>0</v>
      </c>
      <c r="R5350" t="s">
        <v>44909</v>
      </c>
      <c r="S5350" t="s">
        <v>45060</v>
      </c>
      <c r="T5350" t="s">
        <v>46704</v>
      </c>
      <c r="U5350" t="s">
        <v>51237</v>
      </c>
      <c r="W5350" t="s">
        <v>42812</v>
      </c>
      <c r="X5350" t="s">
        <v>44910</v>
      </c>
    </row>
    <row r="5351" spans="1:24">
      <c r="A5351">
        <f>HYPERLINK("https://www.philgeps.gov.ph/GEPSNONPILOT/Tender/SplashBidNoticeAbstractUI.aspx?menuIndex=3&amp;refID=7076233&amp;Result=3","7076233")</f>
        <v>0</v>
      </c>
      <c r="B5351" t="s">
        <v>317</v>
      </c>
      <c r="C5351" t="s">
        <v>8635</v>
      </c>
      <c r="D5351" t="s">
        <v>18165</v>
      </c>
      <c r="E5351" t="s">
        <v>22972</v>
      </c>
      <c r="F5351" t="s">
        <v>31362</v>
      </c>
      <c r="G5351" t="s">
        <v>31369</v>
      </c>
      <c r="H5351" t="s">
        <v>15799</v>
      </c>
      <c r="I5351" t="s">
        <v>31409</v>
      </c>
      <c r="J5351" t="s">
        <v>31981</v>
      </c>
      <c r="K5351" t="s">
        <v>40686</v>
      </c>
      <c r="M5351" t="s">
        <v>41262</v>
      </c>
      <c r="N5351" t="s">
        <v>44905</v>
      </c>
      <c r="O5351" t="s">
        <v>44906</v>
      </c>
      <c r="P5351">
        <v>0</v>
      </c>
      <c r="Q5351">
        <v>3</v>
      </c>
      <c r="R5351" t="s">
        <v>44909</v>
      </c>
      <c r="S5351" t="s">
        <v>45060</v>
      </c>
      <c r="T5351" t="s">
        <v>46648</v>
      </c>
      <c r="U5351" t="s">
        <v>51273</v>
      </c>
      <c r="W5351" t="s">
        <v>60846</v>
      </c>
      <c r="X5351" t="s">
        <v>44910</v>
      </c>
    </row>
    <row r="5352" spans="1:24">
      <c r="A5352">
        <f>HYPERLINK("https://www.philgeps.gov.ph/GEPSNONPILOT/Tender/SplashBidNoticeAbstractUI.aspx?menuIndex=3&amp;refID=7076230&amp;Result=3","7076230")</f>
        <v>0</v>
      </c>
      <c r="B5352" t="s">
        <v>1721</v>
      </c>
      <c r="C5352" t="s">
        <v>8534</v>
      </c>
      <c r="D5352" t="s">
        <v>18131</v>
      </c>
      <c r="E5352" t="s">
        <v>22973</v>
      </c>
      <c r="F5352" t="s">
        <v>31362</v>
      </c>
      <c r="G5352" t="s">
        <v>31368</v>
      </c>
      <c r="H5352" t="s">
        <v>15799</v>
      </c>
      <c r="I5352" t="s">
        <v>7188</v>
      </c>
      <c r="J5352" t="s">
        <v>34949</v>
      </c>
      <c r="K5352" t="s">
        <v>40662</v>
      </c>
      <c r="M5352" t="s">
        <v>42789</v>
      </c>
      <c r="N5352" t="s">
        <v>44905</v>
      </c>
      <c r="O5352" t="s">
        <v>44906</v>
      </c>
      <c r="P5352">
        <v>0</v>
      </c>
      <c r="Q5352">
        <v>2</v>
      </c>
      <c r="R5352" t="s">
        <v>44909</v>
      </c>
      <c r="S5352" t="s">
        <v>45060</v>
      </c>
      <c r="T5352" t="s">
        <v>46416</v>
      </c>
      <c r="U5352" t="s">
        <v>51274</v>
      </c>
      <c r="W5352" t="s">
        <v>42789</v>
      </c>
      <c r="X5352" t="s">
        <v>44910</v>
      </c>
    </row>
    <row r="5353" spans="1:24">
      <c r="A5353">
        <f>HYPERLINK("https://www.philgeps.gov.ph/GEPSNONPILOT/Tender/SplashBidNoticeAbstractUI.aspx?menuIndex=3&amp;refID=7076364&amp;Result=3","7076364")</f>
        <v>0</v>
      </c>
      <c r="B5353" t="s">
        <v>1747</v>
      </c>
      <c r="C5353" t="s">
        <v>8636</v>
      </c>
      <c r="D5353" t="s">
        <v>18138</v>
      </c>
      <c r="E5353" t="s">
        <v>20213</v>
      </c>
      <c r="F5353" t="s">
        <v>31362</v>
      </c>
      <c r="G5353" t="s">
        <v>31368</v>
      </c>
      <c r="H5353" t="s">
        <v>15799</v>
      </c>
      <c r="I5353" t="s">
        <v>31380</v>
      </c>
      <c r="J5353" t="s">
        <v>34950</v>
      </c>
      <c r="K5353" t="s">
        <v>40662</v>
      </c>
      <c r="M5353" t="s">
        <v>42822</v>
      </c>
      <c r="N5353" t="s">
        <v>44905</v>
      </c>
      <c r="O5353" t="s">
        <v>44906</v>
      </c>
      <c r="P5353">
        <v>0</v>
      </c>
      <c r="Q5353">
        <v>2</v>
      </c>
      <c r="R5353" t="s">
        <v>44909</v>
      </c>
      <c r="S5353" t="s">
        <v>45060</v>
      </c>
      <c r="T5353" t="s">
        <v>46454</v>
      </c>
      <c r="U5353" t="s">
        <v>51275</v>
      </c>
      <c r="W5353" t="s">
        <v>42822</v>
      </c>
      <c r="X5353" t="s">
        <v>44910</v>
      </c>
    </row>
    <row r="5354" spans="1:24">
      <c r="A5354">
        <f>HYPERLINK("https://www.philgeps.gov.ph/GEPSNONPILOT/Tender/SplashBidNoticeAbstractUI.aspx?menuIndex=3&amp;refID=7076229&amp;Result=3","7076229")</f>
        <v>0</v>
      </c>
      <c r="B5354" t="s">
        <v>1748</v>
      </c>
      <c r="C5354" t="s">
        <v>8637</v>
      </c>
      <c r="D5354" t="s">
        <v>18134</v>
      </c>
      <c r="E5354" t="s">
        <v>22974</v>
      </c>
      <c r="F5354" t="s">
        <v>31362</v>
      </c>
      <c r="G5354" t="s">
        <v>31369</v>
      </c>
      <c r="H5354" t="s">
        <v>31378</v>
      </c>
      <c r="I5354" t="s">
        <v>31386</v>
      </c>
      <c r="J5354" t="s">
        <v>31687</v>
      </c>
      <c r="K5354" t="s">
        <v>40665</v>
      </c>
      <c r="M5354" t="s">
        <v>42823</v>
      </c>
      <c r="N5354" t="s">
        <v>44905</v>
      </c>
      <c r="O5354" t="s">
        <v>44906</v>
      </c>
      <c r="P5354">
        <v>0</v>
      </c>
      <c r="Q5354">
        <v>0</v>
      </c>
      <c r="R5354" t="s">
        <v>44909</v>
      </c>
      <c r="S5354" t="s">
        <v>45060</v>
      </c>
      <c r="T5354" t="s">
        <v>46559</v>
      </c>
      <c r="U5354" t="s">
        <v>51276</v>
      </c>
      <c r="W5354" t="s">
        <v>42823</v>
      </c>
      <c r="X5354" t="s">
        <v>44910</v>
      </c>
    </row>
    <row r="5355" spans="1:24">
      <c r="A5355">
        <f>HYPERLINK("https://www.philgeps.gov.ph/GEPSNONPILOT/Tender/SplashBidNoticeAbstractUI.aspx?menuIndex=3&amp;refID=7076226&amp;Result=3","7076226")</f>
        <v>0</v>
      </c>
      <c r="B5355" t="s">
        <v>558</v>
      </c>
      <c r="C5355" t="s">
        <v>8552</v>
      </c>
      <c r="D5355" t="s">
        <v>18107</v>
      </c>
      <c r="E5355" t="s">
        <v>19326</v>
      </c>
      <c r="F5355" t="s">
        <v>31362</v>
      </c>
      <c r="G5355" t="s">
        <v>31370</v>
      </c>
      <c r="H5355" t="s">
        <v>15799</v>
      </c>
      <c r="I5355" t="s">
        <v>31380</v>
      </c>
      <c r="J5355" t="s">
        <v>34951</v>
      </c>
      <c r="K5355" t="s">
        <v>40672</v>
      </c>
      <c r="M5355" t="s">
        <v>41514</v>
      </c>
      <c r="N5355" t="s">
        <v>44905</v>
      </c>
      <c r="O5355" t="s">
        <v>44906</v>
      </c>
      <c r="P5355">
        <v>0</v>
      </c>
      <c r="Q5355">
        <v>1</v>
      </c>
      <c r="R5355" t="s">
        <v>44909</v>
      </c>
      <c r="S5355" t="s">
        <v>45060</v>
      </c>
      <c r="T5355" t="s">
        <v>46503</v>
      </c>
      <c r="U5355" t="s">
        <v>51197</v>
      </c>
      <c r="W5355" t="s">
        <v>41514</v>
      </c>
      <c r="X5355" t="s">
        <v>44910</v>
      </c>
    </row>
    <row r="5356" spans="1:24">
      <c r="A5356">
        <f>HYPERLINK("https://www.philgeps.gov.ph/GEPSNONPILOT/Tender/SplashBidNoticeAbstractUI.aspx?menuIndex=3&amp;refID=7076360&amp;Result=3","7076360")</f>
        <v>0</v>
      </c>
      <c r="B5356" t="s">
        <v>1732</v>
      </c>
      <c r="C5356" t="s">
        <v>8638</v>
      </c>
      <c r="D5356" t="s">
        <v>18136</v>
      </c>
      <c r="E5356" t="s">
        <v>20286</v>
      </c>
      <c r="F5356" t="s">
        <v>31362</v>
      </c>
      <c r="G5356" t="s">
        <v>31369</v>
      </c>
      <c r="H5356" t="s">
        <v>31378</v>
      </c>
      <c r="I5356" t="s">
        <v>31386</v>
      </c>
      <c r="J5356" t="s">
        <v>31591</v>
      </c>
      <c r="K5356" t="s">
        <v>40679</v>
      </c>
      <c r="M5356" t="s">
        <v>42804</v>
      </c>
      <c r="N5356" t="s">
        <v>44905</v>
      </c>
      <c r="O5356" t="s">
        <v>44906</v>
      </c>
      <c r="P5356">
        <v>0</v>
      </c>
      <c r="Q5356">
        <v>0</v>
      </c>
      <c r="R5356" t="s">
        <v>44909</v>
      </c>
      <c r="S5356" t="s">
        <v>45060</v>
      </c>
      <c r="T5356" t="s">
        <v>46692</v>
      </c>
      <c r="U5356" t="s">
        <v>51277</v>
      </c>
      <c r="W5356" t="s">
        <v>42804</v>
      </c>
      <c r="X5356" t="s">
        <v>44910</v>
      </c>
    </row>
    <row r="5357" spans="1:24">
      <c r="A5357">
        <f>HYPERLINK("https://www.philgeps.gov.ph/GEPSNONPILOT/Tender/SplashBidNoticeAbstractUI.aspx?menuIndex=3&amp;refID=7076265&amp;Result=3","7076265")</f>
        <v>0</v>
      </c>
      <c r="B5357" t="s">
        <v>1740</v>
      </c>
      <c r="C5357" t="s">
        <v>8639</v>
      </c>
      <c r="D5357" t="s">
        <v>18164</v>
      </c>
      <c r="E5357" t="s">
        <v>22975</v>
      </c>
      <c r="F5357" t="s">
        <v>31362</v>
      </c>
      <c r="G5357" t="s">
        <v>31372</v>
      </c>
      <c r="H5357" t="s">
        <v>15799</v>
      </c>
      <c r="I5357" t="s">
        <v>31399</v>
      </c>
      <c r="J5357" t="s">
        <v>34952</v>
      </c>
      <c r="K5357" t="s">
        <v>40665</v>
      </c>
      <c r="M5357" t="s">
        <v>42815</v>
      </c>
      <c r="N5357" t="s">
        <v>44905</v>
      </c>
      <c r="O5357" t="s">
        <v>44906</v>
      </c>
      <c r="P5357">
        <v>0</v>
      </c>
      <c r="Q5357">
        <v>1</v>
      </c>
      <c r="R5357" t="s">
        <v>44909</v>
      </c>
      <c r="S5357" t="s">
        <v>45060</v>
      </c>
      <c r="T5357" t="s">
        <v>46411</v>
      </c>
      <c r="U5357" t="s">
        <v>51278</v>
      </c>
      <c r="W5357" t="s">
        <v>42815</v>
      </c>
      <c r="X5357" t="s">
        <v>44910</v>
      </c>
    </row>
    <row r="5358" spans="1:24">
      <c r="A5358">
        <f>HYPERLINK("https://www.philgeps.gov.ph/GEPSNONPILOT/Tender/SplashBidNoticeAbstractUI.aspx?menuIndex=3&amp;refID=7076231&amp;Result=3","7076231")</f>
        <v>0</v>
      </c>
      <c r="B5358" t="s">
        <v>1749</v>
      </c>
      <c r="C5358" t="s">
        <v>8640</v>
      </c>
      <c r="D5358" t="s">
        <v>18134</v>
      </c>
      <c r="E5358" t="s">
        <v>22976</v>
      </c>
      <c r="F5358" t="s">
        <v>31362</v>
      </c>
      <c r="G5358" t="s">
        <v>31369</v>
      </c>
      <c r="H5358" t="s">
        <v>31378</v>
      </c>
      <c r="I5358" t="s">
        <v>31386</v>
      </c>
      <c r="J5358" t="s">
        <v>31957</v>
      </c>
      <c r="K5358" t="s">
        <v>40679</v>
      </c>
      <c r="L5358" t="s">
        <v>1749</v>
      </c>
      <c r="M5358" t="s">
        <v>42824</v>
      </c>
      <c r="N5358" t="s">
        <v>44905</v>
      </c>
      <c r="O5358" t="s">
        <v>44906</v>
      </c>
      <c r="P5358">
        <v>0</v>
      </c>
      <c r="Q5358">
        <v>7</v>
      </c>
      <c r="R5358" t="s">
        <v>44909</v>
      </c>
      <c r="S5358" t="s">
        <v>45060</v>
      </c>
      <c r="T5358" t="s">
        <v>46608</v>
      </c>
      <c r="U5358" t="s">
        <v>48084</v>
      </c>
      <c r="W5358" t="s">
        <v>42824</v>
      </c>
      <c r="X5358" t="s">
        <v>44910</v>
      </c>
    </row>
    <row r="5359" spans="1:24">
      <c r="A5359">
        <f>HYPERLINK("https://www.philgeps.gov.ph/GEPSNONPILOT/Tender/SplashBidNoticeAbstractUI.aspx?menuIndex=3&amp;refID=7076390&amp;Result=3","7076390")</f>
        <v>0</v>
      </c>
      <c r="B5359" t="s">
        <v>528</v>
      </c>
      <c r="C5359" t="s">
        <v>8641</v>
      </c>
      <c r="D5359" t="s">
        <v>18148</v>
      </c>
      <c r="E5359" t="s">
        <v>22977</v>
      </c>
      <c r="F5359" t="s">
        <v>31362</v>
      </c>
      <c r="G5359" t="s">
        <v>31371</v>
      </c>
      <c r="H5359" t="s">
        <v>15799</v>
      </c>
      <c r="I5359" t="s">
        <v>3815</v>
      </c>
      <c r="J5359" t="s">
        <v>34953</v>
      </c>
      <c r="K5359" t="s">
        <v>40665</v>
      </c>
      <c r="M5359" t="s">
        <v>41484</v>
      </c>
      <c r="N5359" t="s">
        <v>44905</v>
      </c>
      <c r="O5359" t="s">
        <v>44906</v>
      </c>
      <c r="P5359">
        <v>0</v>
      </c>
      <c r="Q5359">
        <v>1</v>
      </c>
      <c r="R5359" t="s">
        <v>44909</v>
      </c>
      <c r="S5359" t="s">
        <v>45060</v>
      </c>
      <c r="T5359" t="s">
        <v>46447</v>
      </c>
      <c r="U5359" t="s">
        <v>47912</v>
      </c>
      <c r="W5359" t="s">
        <v>41484</v>
      </c>
      <c r="X5359" t="s">
        <v>44910</v>
      </c>
    </row>
    <row r="5360" spans="1:24">
      <c r="A5360">
        <f>HYPERLINK("https://www.philgeps.gov.ph/GEPSNONPILOT/Tender/SplashBidNoticeAbstractUI.aspx?menuIndex=3&amp;refID=7076408&amp;Result=3","7076408")</f>
        <v>0</v>
      </c>
      <c r="B5360" t="s">
        <v>1732</v>
      </c>
      <c r="C5360" t="s">
        <v>8642</v>
      </c>
      <c r="D5360" t="s">
        <v>18136</v>
      </c>
      <c r="E5360" t="s">
        <v>22978</v>
      </c>
      <c r="F5360" t="s">
        <v>31362</v>
      </c>
      <c r="G5360" t="s">
        <v>31369</v>
      </c>
      <c r="H5360" t="s">
        <v>31378</v>
      </c>
      <c r="I5360" t="s">
        <v>31386</v>
      </c>
      <c r="J5360" t="s">
        <v>31591</v>
      </c>
      <c r="K5360" t="s">
        <v>40682</v>
      </c>
      <c r="M5360" t="s">
        <v>42804</v>
      </c>
      <c r="N5360" t="s">
        <v>44905</v>
      </c>
      <c r="O5360" t="s">
        <v>44906</v>
      </c>
      <c r="P5360">
        <v>0</v>
      </c>
      <c r="Q5360">
        <v>0</v>
      </c>
      <c r="R5360" t="s">
        <v>44909</v>
      </c>
      <c r="S5360" t="s">
        <v>45060</v>
      </c>
      <c r="T5360" t="s">
        <v>46641</v>
      </c>
      <c r="U5360" t="s">
        <v>51277</v>
      </c>
      <c r="W5360" t="s">
        <v>42804</v>
      </c>
      <c r="X5360" t="s">
        <v>44910</v>
      </c>
    </row>
    <row r="5361" spans="1:24">
      <c r="A5361">
        <f>HYPERLINK("https://www.philgeps.gov.ph/GEPSNONPILOT/Tender/SplashBidNoticeAbstractUI.aspx?menuIndex=3&amp;refID=7076403&amp;Result=3","7076403")</f>
        <v>0</v>
      </c>
      <c r="B5361" t="s">
        <v>1750</v>
      </c>
      <c r="C5361" t="s">
        <v>8643</v>
      </c>
      <c r="D5361" t="s">
        <v>18101</v>
      </c>
      <c r="E5361" t="s">
        <v>22979</v>
      </c>
      <c r="F5361" t="s">
        <v>31362</v>
      </c>
      <c r="G5361" t="s">
        <v>31369</v>
      </c>
      <c r="H5361" t="s">
        <v>15799</v>
      </c>
      <c r="I5361" t="s">
        <v>3815</v>
      </c>
      <c r="J5361" t="s">
        <v>31530</v>
      </c>
      <c r="K5361" t="s">
        <v>40661</v>
      </c>
      <c r="M5361" t="s">
        <v>42825</v>
      </c>
      <c r="N5361" t="s">
        <v>44905</v>
      </c>
      <c r="O5361" t="s">
        <v>44906</v>
      </c>
      <c r="P5361">
        <v>0</v>
      </c>
      <c r="Q5361">
        <v>2</v>
      </c>
      <c r="R5361" t="s">
        <v>44909</v>
      </c>
      <c r="S5361" t="s">
        <v>45060</v>
      </c>
      <c r="T5361" t="s">
        <v>46549</v>
      </c>
      <c r="U5361" t="s">
        <v>51279</v>
      </c>
      <c r="W5361" t="s">
        <v>42825</v>
      </c>
      <c r="X5361" t="s">
        <v>44910</v>
      </c>
    </row>
    <row r="5362" spans="1:24">
      <c r="A5362">
        <f>HYPERLINK("https://www.philgeps.gov.ph/GEPSNONPILOT/Tender/SplashBidNoticeAbstractUI.aspx?menuIndex=3&amp;refID=7076401&amp;Result=3","7076401")</f>
        <v>0</v>
      </c>
      <c r="B5362" t="s">
        <v>487</v>
      </c>
      <c r="C5362" t="s">
        <v>8644</v>
      </c>
      <c r="E5362" t="s">
        <v>22980</v>
      </c>
      <c r="F5362" t="s">
        <v>31362</v>
      </c>
      <c r="G5362" t="s">
        <v>31368</v>
      </c>
      <c r="H5362" t="s">
        <v>15799</v>
      </c>
      <c r="I5362" t="s">
        <v>31410</v>
      </c>
      <c r="J5362" t="s">
        <v>34202</v>
      </c>
      <c r="K5362" t="s">
        <v>40662</v>
      </c>
      <c r="M5362" t="s">
        <v>41442</v>
      </c>
      <c r="N5362" t="s">
        <v>44905</v>
      </c>
      <c r="O5362" t="s">
        <v>44906</v>
      </c>
      <c r="P5362">
        <v>0</v>
      </c>
      <c r="Q5362">
        <v>0</v>
      </c>
      <c r="R5362" t="s">
        <v>44909</v>
      </c>
      <c r="S5362" t="s">
        <v>45060</v>
      </c>
      <c r="T5362" t="s">
        <v>46410</v>
      </c>
      <c r="U5362" t="s">
        <v>51280</v>
      </c>
      <c r="W5362" t="s">
        <v>41442</v>
      </c>
      <c r="X5362" t="s">
        <v>44910</v>
      </c>
    </row>
    <row r="5363" spans="1:24">
      <c r="A5363">
        <f>HYPERLINK("https://www.philgeps.gov.ph/GEPSNONPILOT/Tender/SplashBidNoticeAbstractUI.aspx?menuIndex=3&amp;refID=7076400&amp;Result=3","7076400")</f>
        <v>0</v>
      </c>
      <c r="B5363" t="s">
        <v>1741</v>
      </c>
      <c r="C5363" t="s">
        <v>8645</v>
      </c>
      <c r="D5363" t="s">
        <v>18123</v>
      </c>
      <c r="E5363" t="s">
        <v>22981</v>
      </c>
      <c r="F5363" t="s">
        <v>31362</v>
      </c>
      <c r="G5363" t="s">
        <v>31368</v>
      </c>
      <c r="H5363" t="s">
        <v>31379</v>
      </c>
      <c r="I5363" t="s">
        <v>31388</v>
      </c>
      <c r="J5363" t="s">
        <v>34954</v>
      </c>
      <c r="K5363" t="s">
        <v>40800</v>
      </c>
      <c r="M5363" t="s">
        <v>42816</v>
      </c>
      <c r="N5363" t="s">
        <v>44905</v>
      </c>
      <c r="O5363" t="s">
        <v>44906</v>
      </c>
      <c r="P5363">
        <v>0</v>
      </c>
      <c r="Q5363">
        <v>1</v>
      </c>
      <c r="R5363" t="s">
        <v>44909</v>
      </c>
      <c r="S5363" t="s">
        <v>45060</v>
      </c>
      <c r="T5363" t="s">
        <v>46409</v>
      </c>
      <c r="U5363" t="s">
        <v>51281</v>
      </c>
      <c r="V5363" t="s">
        <v>59576</v>
      </c>
      <c r="W5363" t="s">
        <v>42816</v>
      </c>
      <c r="X5363" t="s">
        <v>44910</v>
      </c>
    </row>
    <row r="5364" spans="1:24">
      <c r="A5364">
        <f>HYPERLINK("https://www.philgeps.gov.ph/GEPSNONPILOT/Tender/SplashBidNoticeAbstractUI.aspx?menuIndex=3&amp;refID=7076397&amp;Result=3","7076397")</f>
        <v>0</v>
      </c>
      <c r="B5364" t="s">
        <v>592</v>
      </c>
      <c r="C5364" t="s">
        <v>8646</v>
      </c>
      <c r="D5364" t="s">
        <v>18100</v>
      </c>
      <c r="E5364" t="s">
        <v>22982</v>
      </c>
      <c r="F5364" t="s">
        <v>31362</v>
      </c>
      <c r="G5364" t="s">
        <v>31368</v>
      </c>
      <c r="H5364" t="s">
        <v>31379</v>
      </c>
      <c r="I5364" t="s">
        <v>6240</v>
      </c>
      <c r="J5364" t="s">
        <v>34955</v>
      </c>
      <c r="K5364" t="s">
        <v>40672</v>
      </c>
      <c r="M5364" t="s">
        <v>41549</v>
      </c>
      <c r="N5364" t="s">
        <v>44905</v>
      </c>
      <c r="O5364" t="s">
        <v>44906</v>
      </c>
      <c r="P5364">
        <v>0</v>
      </c>
      <c r="Q5364">
        <v>0</v>
      </c>
      <c r="R5364" t="s">
        <v>44909</v>
      </c>
      <c r="S5364" t="s">
        <v>45060</v>
      </c>
      <c r="T5364" t="s">
        <v>46414</v>
      </c>
      <c r="U5364" t="s">
        <v>51282</v>
      </c>
      <c r="W5364" t="s">
        <v>41549</v>
      </c>
      <c r="X5364" t="s">
        <v>44910</v>
      </c>
    </row>
    <row r="5365" spans="1:24">
      <c r="A5365">
        <f>HYPERLINK("https://www.philgeps.gov.ph/GEPSNONPILOT/Tender/SplashBidNoticeAbstractUI.aspx?menuIndex=3&amp;refID=7076406&amp;Result=3","7076406")</f>
        <v>0</v>
      </c>
      <c r="B5365" t="s">
        <v>1751</v>
      </c>
      <c r="C5365" t="s">
        <v>8647</v>
      </c>
      <c r="D5365" t="s">
        <v>18158</v>
      </c>
      <c r="E5365" t="s">
        <v>22983</v>
      </c>
      <c r="F5365" t="s">
        <v>31362</v>
      </c>
      <c r="G5365" t="s">
        <v>31368</v>
      </c>
      <c r="H5365" t="s">
        <v>31379</v>
      </c>
      <c r="I5365" t="s">
        <v>3815</v>
      </c>
      <c r="J5365" t="s">
        <v>31530</v>
      </c>
      <c r="K5365" t="s">
        <v>40666</v>
      </c>
      <c r="M5365" t="s">
        <v>42826</v>
      </c>
      <c r="N5365" t="s">
        <v>44905</v>
      </c>
      <c r="O5365" t="s">
        <v>44906</v>
      </c>
      <c r="P5365">
        <v>0</v>
      </c>
      <c r="Q5365">
        <v>0</v>
      </c>
      <c r="R5365" t="s">
        <v>44909</v>
      </c>
      <c r="S5365" t="s">
        <v>45060</v>
      </c>
      <c r="T5365" t="s">
        <v>46411</v>
      </c>
      <c r="U5365" t="s">
        <v>51283</v>
      </c>
      <c r="W5365" t="s">
        <v>42826</v>
      </c>
      <c r="X5365" t="s">
        <v>44910</v>
      </c>
    </row>
    <row r="5366" spans="1:24">
      <c r="A5366">
        <f>HYPERLINK("https://www.philgeps.gov.ph/GEPSNONPILOT/Tender/SplashBidNoticeAbstractUI.aspx?menuIndex=3&amp;refID=7076392&amp;Result=3","7076392")</f>
        <v>0</v>
      </c>
      <c r="B5366" t="s">
        <v>1732</v>
      </c>
      <c r="C5366" t="s">
        <v>8648</v>
      </c>
      <c r="D5366" t="s">
        <v>18136</v>
      </c>
      <c r="E5366" t="s">
        <v>22984</v>
      </c>
      <c r="F5366" t="s">
        <v>31362</v>
      </c>
      <c r="G5366" t="s">
        <v>31369</v>
      </c>
      <c r="H5366" t="s">
        <v>31378</v>
      </c>
      <c r="I5366" t="s">
        <v>31386</v>
      </c>
      <c r="J5366" t="s">
        <v>31591</v>
      </c>
      <c r="K5366" t="s">
        <v>40679</v>
      </c>
      <c r="M5366" t="s">
        <v>42804</v>
      </c>
      <c r="N5366" t="s">
        <v>44905</v>
      </c>
      <c r="O5366" t="s">
        <v>44906</v>
      </c>
      <c r="P5366">
        <v>0</v>
      </c>
      <c r="Q5366">
        <v>0</v>
      </c>
      <c r="R5366" t="s">
        <v>44909</v>
      </c>
      <c r="S5366" t="s">
        <v>45060</v>
      </c>
      <c r="T5366" t="s">
        <v>46435</v>
      </c>
      <c r="U5366" t="s">
        <v>51277</v>
      </c>
      <c r="W5366" t="s">
        <v>42804</v>
      </c>
      <c r="X5366" t="s">
        <v>44910</v>
      </c>
    </row>
    <row r="5367" spans="1:24">
      <c r="A5367">
        <f>HYPERLINK("https://www.philgeps.gov.ph/GEPSNONPILOT/Tender/SplashBidNoticeAbstractUI.aspx?menuIndex=3&amp;refID=7076402&amp;Result=3","7076402")</f>
        <v>0</v>
      </c>
      <c r="B5367" t="s">
        <v>1752</v>
      </c>
      <c r="C5367" t="s">
        <v>8649</v>
      </c>
      <c r="D5367" t="s">
        <v>18116</v>
      </c>
      <c r="E5367" t="s">
        <v>22985</v>
      </c>
      <c r="F5367" t="s">
        <v>31362</v>
      </c>
      <c r="G5367" t="s">
        <v>31369</v>
      </c>
      <c r="H5367" t="s">
        <v>31378</v>
      </c>
      <c r="I5367" t="s">
        <v>31386</v>
      </c>
      <c r="J5367" t="s">
        <v>34956</v>
      </c>
      <c r="K5367" t="s">
        <v>40682</v>
      </c>
      <c r="M5367" t="s">
        <v>42827</v>
      </c>
      <c r="N5367" t="s">
        <v>44905</v>
      </c>
      <c r="O5367" t="s">
        <v>44906</v>
      </c>
      <c r="P5367">
        <v>0</v>
      </c>
      <c r="Q5367">
        <v>1</v>
      </c>
      <c r="R5367" t="s">
        <v>44909</v>
      </c>
      <c r="S5367" t="s">
        <v>45060</v>
      </c>
      <c r="T5367" t="s">
        <v>46499</v>
      </c>
      <c r="U5367" t="s">
        <v>51284</v>
      </c>
      <c r="W5367" t="s">
        <v>42827</v>
      </c>
      <c r="X5367" t="s">
        <v>44910</v>
      </c>
    </row>
    <row r="5368" spans="1:24">
      <c r="A5368">
        <f>HYPERLINK("https://www.philgeps.gov.ph/GEPSNONPILOT/Tender/SplashBidNoticeAbstractUI.aspx?menuIndex=3&amp;refID=7076395&amp;Result=3","7076395")</f>
        <v>0</v>
      </c>
      <c r="B5368" t="s">
        <v>1753</v>
      </c>
      <c r="C5368" t="s">
        <v>8650</v>
      </c>
      <c r="D5368" t="s">
        <v>18125</v>
      </c>
      <c r="E5368" t="s">
        <v>22986</v>
      </c>
      <c r="F5368" t="s">
        <v>31362</v>
      </c>
      <c r="G5368" t="s">
        <v>31368</v>
      </c>
      <c r="H5368" t="s">
        <v>15799</v>
      </c>
      <c r="I5368" t="s">
        <v>31387</v>
      </c>
      <c r="J5368" t="s">
        <v>31564</v>
      </c>
      <c r="K5368" t="s">
        <v>40665</v>
      </c>
      <c r="M5368" t="s">
        <v>42828</v>
      </c>
      <c r="N5368" t="s">
        <v>44905</v>
      </c>
      <c r="O5368" t="s">
        <v>44906</v>
      </c>
      <c r="P5368">
        <v>0</v>
      </c>
      <c r="Q5368">
        <v>0</v>
      </c>
      <c r="R5368" t="s">
        <v>44909</v>
      </c>
      <c r="S5368" t="s">
        <v>45060</v>
      </c>
      <c r="T5368" t="s">
        <v>46406</v>
      </c>
      <c r="U5368" t="s">
        <v>51285</v>
      </c>
      <c r="W5368" t="s">
        <v>42828</v>
      </c>
      <c r="X5368" t="s">
        <v>44910</v>
      </c>
    </row>
    <row r="5369" spans="1:24">
      <c r="A5369">
        <f>HYPERLINK("https://www.philgeps.gov.ph/GEPSNONPILOT/Tender/SplashBidNoticeAbstractUI.aspx?menuIndex=3&amp;refID=7076417&amp;Result=3","7076417")</f>
        <v>0</v>
      </c>
      <c r="B5369" t="s">
        <v>1261</v>
      </c>
      <c r="C5369" t="s">
        <v>8651</v>
      </c>
      <c r="D5369" t="s">
        <v>18113</v>
      </c>
      <c r="E5369" t="s">
        <v>22987</v>
      </c>
      <c r="F5369" t="s">
        <v>31362</v>
      </c>
      <c r="G5369" t="s">
        <v>31369</v>
      </c>
      <c r="H5369" t="s">
        <v>15799</v>
      </c>
      <c r="I5369" t="s">
        <v>31402</v>
      </c>
      <c r="J5369" t="s">
        <v>34957</v>
      </c>
      <c r="K5369" t="s">
        <v>40665</v>
      </c>
      <c r="M5369" t="s">
        <v>42277</v>
      </c>
      <c r="N5369" t="s">
        <v>44905</v>
      </c>
      <c r="O5369" t="s">
        <v>44906</v>
      </c>
      <c r="P5369">
        <v>0</v>
      </c>
      <c r="Q5369">
        <v>0</v>
      </c>
      <c r="R5369" t="s">
        <v>44909</v>
      </c>
      <c r="S5369" t="s">
        <v>45060</v>
      </c>
      <c r="T5369" t="s">
        <v>46493</v>
      </c>
      <c r="U5369" t="s">
        <v>51286</v>
      </c>
      <c r="W5369" t="s">
        <v>42277</v>
      </c>
      <c r="X5369" t="s">
        <v>44910</v>
      </c>
    </row>
    <row r="5370" spans="1:24">
      <c r="A5370">
        <f>HYPERLINK("https://www.philgeps.gov.ph/GEPSNONPILOT/Tender/SplashBidNoticeAbstractUI.aspx?menuIndex=3&amp;refID=7076393&amp;Result=3","7076393")</f>
        <v>0</v>
      </c>
      <c r="B5370" t="s">
        <v>1305</v>
      </c>
      <c r="C5370" t="s">
        <v>8652</v>
      </c>
      <c r="D5370" t="s">
        <v>18117</v>
      </c>
      <c r="E5370" t="s">
        <v>22988</v>
      </c>
      <c r="F5370" t="s">
        <v>31362</v>
      </c>
      <c r="G5370" t="s">
        <v>31368</v>
      </c>
      <c r="H5370" t="s">
        <v>15799</v>
      </c>
      <c r="I5370" t="s">
        <v>31400</v>
      </c>
      <c r="J5370" t="s">
        <v>33837</v>
      </c>
      <c r="K5370" t="s">
        <v>40661</v>
      </c>
      <c r="M5370" t="s">
        <v>42323</v>
      </c>
      <c r="N5370" t="s">
        <v>44905</v>
      </c>
      <c r="O5370" t="s">
        <v>44906</v>
      </c>
      <c r="P5370">
        <v>0</v>
      </c>
      <c r="Q5370">
        <v>0</v>
      </c>
      <c r="R5370" t="s">
        <v>44909</v>
      </c>
      <c r="S5370" t="s">
        <v>45060</v>
      </c>
      <c r="T5370" t="s">
        <v>46412</v>
      </c>
      <c r="U5370" t="s">
        <v>49791</v>
      </c>
      <c r="W5370" t="s">
        <v>42323</v>
      </c>
      <c r="X5370" t="s">
        <v>44910</v>
      </c>
    </row>
    <row r="5371" spans="1:24">
      <c r="A5371">
        <f>HYPERLINK("https://www.philgeps.gov.ph/GEPSNONPILOT/Tender/SplashBidNoticeAbstractUI.aspx?menuIndex=3&amp;refID=7076396&amp;Result=3","7076396")</f>
        <v>0</v>
      </c>
      <c r="B5371" t="s">
        <v>1754</v>
      </c>
      <c r="C5371" t="s">
        <v>8653</v>
      </c>
      <c r="D5371" t="s">
        <v>18157</v>
      </c>
      <c r="E5371" t="s">
        <v>22989</v>
      </c>
      <c r="F5371" t="s">
        <v>31362</v>
      </c>
      <c r="G5371" t="s">
        <v>31369</v>
      </c>
      <c r="H5371" t="s">
        <v>15799</v>
      </c>
      <c r="I5371" t="s">
        <v>3815</v>
      </c>
      <c r="J5371" t="s">
        <v>34958</v>
      </c>
      <c r="K5371" t="s">
        <v>40670</v>
      </c>
      <c r="M5371" t="s">
        <v>42829</v>
      </c>
      <c r="N5371" t="s">
        <v>44905</v>
      </c>
      <c r="O5371" t="s">
        <v>44906</v>
      </c>
      <c r="P5371">
        <v>0</v>
      </c>
      <c r="Q5371">
        <v>0</v>
      </c>
      <c r="R5371" t="s">
        <v>44909</v>
      </c>
      <c r="S5371" t="s">
        <v>45060</v>
      </c>
      <c r="T5371" t="s">
        <v>46519</v>
      </c>
      <c r="U5371" t="s">
        <v>51287</v>
      </c>
      <c r="W5371" t="s">
        <v>42829</v>
      </c>
      <c r="X5371" t="s">
        <v>44910</v>
      </c>
    </row>
    <row r="5372" spans="1:24">
      <c r="A5372">
        <f>HYPERLINK("https://www.philgeps.gov.ph/GEPSNONPILOT/Tender/SplashBidNoticeAbstractUI.aspx?menuIndex=3&amp;refID=7076394&amp;Result=3","7076394")</f>
        <v>0</v>
      </c>
      <c r="B5372" t="s">
        <v>487</v>
      </c>
      <c r="C5372" t="s">
        <v>8654</v>
      </c>
      <c r="E5372" t="s">
        <v>22990</v>
      </c>
      <c r="F5372" t="s">
        <v>31362</v>
      </c>
      <c r="G5372" t="s">
        <v>31368</v>
      </c>
      <c r="H5372" t="s">
        <v>15799</v>
      </c>
      <c r="I5372" t="s">
        <v>3815</v>
      </c>
      <c r="J5372" t="s">
        <v>34959</v>
      </c>
      <c r="K5372" t="s">
        <v>40662</v>
      </c>
      <c r="M5372" t="s">
        <v>41442</v>
      </c>
      <c r="N5372" t="s">
        <v>44905</v>
      </c>
      <c r="O5372" t="s">
        <v>44906</v>
      </c>
      <c r="P5372">
        <v>0</v>
      </c>
      <c r="Q5372">
        <v>0</v>
      </c>
      <c r="R5372" t="s">
        <v>44909</v>
      </c>
      <c r="S5372" t="s">
        <v>45060</v>
      </c>
      <c r="T5372" t="s">
        <v>46410</v>
      </c>
      <c r="U5372" t="s">
        <v>51288</v>
      </c>
      <c r="W5372" t="s">
        <v>41442</v>
      </c>
      <c r="X5372" t="s">
        <v>44910</v>
      </c>
    </row>
    <row r="5373" spans="1:24">
      <c r="A5373">
        <f>HYPERLINK("https://www.philgeps.gov.ph/GEPSNONPILOT/Tender/SplashBidNoticeAbstractUI.aspx?menuIndex=3&amp;refID=7076413&amp;Result=3","7076413")</f>
        <v>0</v>
      </c>
      <c r="B5373" t="s">
        <v>1719</v>
      </c>
      <c r="C5373" t="s">
        <v>8655</v>
      </c>
      <c r="E5373" t="s">
        <v>22991</v>
      </c>
      <c r="F5373" t="s">
        <v>31362</v>
      </c>
      <c r="G5373" t="s">
        <v>31370</v>
      </c>
      <c r="H5373" t="s">
        <v>15799</v>
      </c>
      <c r="I5373" t="s">
        <v>6373</v>
      </c>
      <c r="J5373" t="s">
        <v>32032</v>
      </c>
      <c r="K5373" t="s">
        <v>40662</v>
      </c>
      <c r="M5373" t="s">
        <v>42787</v>
      </c>
      <c r="N5373" t="s">
        <v>44905</v>
      </c>
      <c r="O5373" t="s">
        <v>44906</v>
      </c>
      <c r="P5373">
        <v>0</v>
      </c>
      <c r="Q5373">
        <v>16</v>
      </c>
      <c r="R5373" t="s">
        <v>44909</v>
      </c>
      <c r="S5373" t="s">
        <v>45060</v>
      </c>
      <c r="T5373" t="s">
        <v>46434</v>
      </c>
      <c r="U5373" t="s">
        <v>51178</v>
      </c>
      <c r="W5373" t="s">
        <v>42787</v>
      </c>
      <c r="X5373" t="s">
        <v>44910</v>
      </c>
    </row>
    <row r="5374" spans="1:24">
      <c r="A5374">
        <f>HYPERLINK("https://www.philgeps.gov.ph/GEPSNONPILOT/Tender/SplashBidNoticeAbstractUI.aspx?menuIndex=3&amp;refID=7076415&amp;Result=3","7076415")</f>
        <v>0</v>
      </c>
      <c r="B5374" t="s">
        <v>1284</v>
      </c>
      <c r="C5374" t="s">
        <v>8656</v>
      </c>
      <c r="D5374" t="s">
        <v>18110</v>
      </c>
      <c r="E5374" t="s">
        <v>22992</v>
      </c>
      <c r="F5374" t="s">
        <v>31362</v>
      </c>
      <c r="G5374" t="s">
        <v>31369</v>
      </c>
      <c r="H5374" t="s">
        <v>15799</v>
      </c>
      <c r="I5374" t="s">
        <v>31380</v>
      </c>
      <c r="J5374" t="s">
        <v>34960</v>
      </c>
      <c r="K5374" t="s">
        <v>40662</v>
      </c>
      <c r="M5374" t="s">
        <v>42301</v>
      </c>
      <c r="N5374" t="s">
        <v>44905</v>
      </c>
      <c r="O5374" t="s">
        <v>44906</v>
      </c>
      <c r="P5374">
        <v>0</v>
      </c>
      <c r="Q5374">
        <v>1</v>
      </c>
      <c r="R5374" t="s">
        <v>44909</v>
      </c>
      <c r="S5374" t="s">
        <v>45060</v>
      </c>
      <c r="T5374" t="s">
        <v>46449</v>
      </c>
      <c r="U5374" t="s">
        <v>51289</v>
      </c>
      <c r="W5374" t="s">
        <v>42301</v>
      </c>
      <c r="X5374" t="s">
        <v>44910</v>
      </c>
    </row>
    <row r="5375" spans="1:24">
      <c r="A5375">
        <f>HYPERLINK("https://www.philgeps.gov.ph/GEPSNONPILOT/Tender/SplashBidNoticeAbstractUI.aspx?menuIndex=3&amp;refID=7076414&amp;Result=3","7076414")</f>
        <v>0</v>
      </c>
      <c r="B5375" t="s">
        <v>349</v>
      </c>
      <c r="C5375" t="s">
        <v>8657</v>
      </c>
      <c r="D5375" t="s">
        <v>18160</v>
      </c>
      <c r="E5375" t="s">
        <v>22993</v>
      </c>
      <c r="F5375" t="s">
        <v>31362</v>
      </c>
      <c r="G5375" t="s">
        <v>31368</v>
      </c>
      <c r="H5375" t="s">
        <v>15799</v>
      </c>
      <c r="I5375" t="s">
        <v>31411</v>
      </c>
      <c r="J5375" t="s">
        <v>34961</v>
      </c>
      <c r="K5375" t="s">
        <v>40661</v>
      </c>
      <c r="M5375" t="s">
        <v>41295</v>
      </c>
      <c r="N5375" t="s">
        <v>44905</v>
      </c>
      <c r="O5375" t="s">
        <v>44906</v>
      </c>
      <c r="P5375">
        <v>0</v>
      </c>
      <c r="Q5375">
        <v>5</v>
      </c>
      <c r="R5375" t="s">
        <v>44909</v>
      </c>
      <c r="S5375" t="s">
        <v>45060</v>
      </c>
      <c r="T5375" t="s">
        <v>46432</v>
      </c>
      <c r="U5375" t="s">
        <v>51290</v>
      </c>
      <c r="W5375" t="s">
        <v>41295</v>
      </c>
      <c r="X5375" t="s">
        <v>44910</v>
      </c>
    </row>
    <row r="5376" spans="1:24">
      <c r="A5376">
        <f>HYPERLINK("https://www.philgeps.gov.ph/GEPSNONPILOT/Tender/SplashBidNoticeAbstractUI.aspx?menuIndex=3&amp;refID=7076418&amp;Result=3","7076418")</f>
        <v>0</v>
      </c>
      <c r="B5376" t="s">
        <v>1755</v>
      </c>
      <c r="C5376" t="s">
        <v>8658</v>
      </c>
      <c r="D5376" t="s">
        <v>18151</v>
      </c>
      <c r="E5376" t="s">
        <v>22994</v>
      </c>
      <c r="F5376" t="s">
        <v>31362</v>
      </c>
      <c r="G5376" t="s">
        <v>31369</v>
      </c>
      <c r="H5376" t="s">
        <v>31378</v>
      </c>
      <c r="I5376" t="s">
        <v>3815</v>
      </c>
      <c r="J5376" t="s">
        <v>34962</v>
      </c>
      <c r="K5376" t="s">
        <v>40662</v>
      </c>
      <c r="M5376" t="s">
        <v>42830</v>
      </c>
      <c r="N5376" t="s">
        <v>44905</v>
      </c>
      <c r="O5376" t="s">
        <v>44906</v>
      </c>
      <c r="P5376">
        <v>0</v>
      </c>
      <c r="Q5376">
        <v>0</v>
      </c>
      <c r="R5376" t="s">
        <v>44909</v>
      </c>
      <c r="S5376" t="s">
        <v>45060</v>
      </c>
      <c r="T5376" t="s">
        <v>46408</v>
      </c>
      <c r="U5376" t="s">
        <v>51291</v>
      </c>
      <c r="V5376" t="s">
        <v>59579</v>
      </c>
      <c r="W5376" t="s">
        <v>42830</v>
      </c>
      <c r="X5376" t="s">
        <v>44910</v>
      </c>
    </row>
    <row r="5377" spans="1:24">
      <c r="A5377">
        <f>HYPERLINK("https://www.philgeps.gov.ph/GEPSNONPILOT/Tender/SplashBidNoticeAbstractUI.aspx?menuIndex=3&amp;refID=7076430&amp;Result=3","7076430")</f>
        <v>0</v>
      </c>
      <c r="B5377" t="s">
        <v>487</v>
      </c>
      <c r="C5377" t="s">
        <v>8659</v>
      </c>
      <c r="E5377" t="s">
        <v>22995</v>
      </c>
      <c r="F5377" t="s">
        <v>31362</v>
      </c>
      <c r="G5377" t="s">
        <v>31368</v>
      </c>
      <c r="H5377" t="s">
        <v>15799</v>
      </c>
      <c r="I5377" t="s">
        <v>4942</v>
      </c>
      <c r="J5377" t="s">
        <v>34706</v>
      </c>
      <c r="K5377" t="s">
        <v>40662</v>
      </c>
      <c r="M5377" t="s">
        <v>41442</v>
      </c>
      <c r="N5377" t="s">
        <v>44905</v>
      </c>
      <c r="O5377" t="s">
        <v>44906</v>
      </c>
      <c r="P5377">
        <v>0</v>
      </c>
      <c r="Q5377">
        <v>0</v>
      </c>
      <c r="R5377" t="s">
        <v>44909</v>
      </c>
      <c r="S5377" t="s">
        <v>45060</v>
      </c>
      <c r="T5377" t="s">
        <v>46410</v>
      </c>
      <c r="U5377" t="s">
        <v>51292</v>
      </c>
      <c r="W5377" t="s">
        <v>41442</v>
      </c>
      <c r="X5377" t="s">
        <v>44910</v>
      </c>
    </row>
    <row r="5378" spans="1:24">
      <c r="A5378">
        <f>HYPERLINK("https://www.philgeps.gov.ph/GEPSNONPILOT/Tender/SplashBidNoticeAbstractUI.aspx?menuIndex=3&amp;refID=7076429&amp;Result=3","7076429")</f>
        <v>0</v>
      </c>
      <c r="B5378" t="s">
        <v>1414</v>
      </c>
      <c r="C5378" t="s">
        <v>8660</v>
      </c>
      <c r="D5378" t="s">
        <v>18106</v>
      </c>
      <c r="E5378" t="s">
        <v>22996</v>
      </c>
      <c r="F5378" t="s">
        <v>31362</v>
      </c>
      <c r="G5378" t="s">
        <v>31368</v>
      </c>
      <c r="H5378" t="s">
        <v>31378</v>
      </c>
      <c r="I5378" t="s">
        <v>31386</v>
      </c>
      <c r="J5378" t="s">
        <v>31578</v>
      </c>
      <c r="K5378" t="s">
        <v>40666</v>
      </c>
      <c r="M5378" t="s">
        <v>42439</v>
      </c>
      <c r="N5378" t="s">
        <v>44905</v>
      </c>
      <c r="O5378" t="s">
        <v>44906</v>
      </c>
      <c r="P5378">
        <v>0</v>
      </c>
      <c r="Q5378">
        <v>0</v>
      </c>
      <c r="R5378" t="s">
        <v>44909</v>
      </c>
      <c r="S5378" t="s">
        <v>45060</v>
      </c>
      <c r="T5378" t="s">
        <v>46454</v>
      </c>
      <c r="U5378" t="s">
        <v>51293</v>
      </c>
      <c r="W5378" t="s">
        <v>42439</v>
      </c>
      <c r="X5378" t="s">
        <v>44910</v>
      </c>
    </row>
    <row r="5379" spans="1:24">
      <c r="A5379">
        <f>HYPERLINK("https://www.philgeps.gov.ph/GEPSNONPILOT/Tender/SplashBidNoticeAbstractUI.aspx?menuIndex=3&amp;refID=7076428&amp;Result=3","7076428")</f>
        <v>0</v>
      </c>
      <c r="B5379" t="s">
        <v>407</v>
      </c>
      <c r="C5379" t="s">
        <v>8661</v>
      </c>
      <c r="D5379" t="s">
        <v>18142</v>
      </c>
      <c r="E5379" t="s">
        <v>22997</v>
      </c>
      <c r="F5379" t="s">
        <v>31362</v>
      </c>
      <c r="G5379" t="s">
        <v>31368</v>
      </c>
      <c r="H5379" t="s">
        <v>15799</v>
      </c>
      <c r="I5379" t="s">
        <v>31404</v>
      </c>
      <c r="J5379" t="s">
        <v>32739</v>
      </c>
      <c r="K5379" t="s">
        <v>40670</v>
      </c>
      <c r="M5379" t="s">
        <v>41357</v>
      </c>
      <c r="N5379" t="s">
        <v>44905</v>
      </c>
      <c r="O5379" t="s">
        <v>44906</v>
      </c>
      <c r="P5379">
        <v>0</v>
      </c>
      <c r="Q5379">
        <v>0</v>
      </c>
      <c r="R5379" t="s">
        <v>44909</v>
      </c>
      <c r="S5379" t="s">
        <v>45060</v>
      </c>
      <c r="T5379" t="s">
        <v>46447</v>
      </c>
      <c r="U5379" t="s">
        <v>47646</v>
      </c>
      <c r="W5379" t="s">
        <v>41357</v>
      </c>
      <c r="X5379" t="s">
        <v>44910</v>
      </c>
    </row>
    <row r="5380" spans="1:24">
      <c r="A5380">
        <f>HYPERLINK("https://www.philgeps.gov.ph/GEPSNONPILOT/Tender/SplashBidNoticeAbstractUI.aspx?menuIndex=3&amp;refID=7076427&amp;Result=3","7076427")</f>
        <v>0</v>
      </c>
      <c r="B5380" t="s">
        <v>264</v>
      </c>
      <c r="C5380" t="s">
        <v>4021</v>
      </c>
      <c r="D5380" t="s">
        <v>18144</v>
      </c>
      <c r="E5380" t="s">
        <v>18670</v>
      </c>
      <c r="F5380" t="s">
        <v>31362</v>
      </c>
      <c r="G5380" t="s">
        <v>31369</v>
      </c>
      <c r="H5380" t="s">
        <v>15799</v>
      </c>
      <c r="I5380" t="s">
        <v>31409</v>
      </c>
      <c r="J5380" t="s">
        <v>31606</v>
      </c>
      <c r="K5380" t="s">
        <v>40681</v>
      </c>
      <c r="M5380" t="s">
        <v>41205</v>
      </c>
      <c r="N5380" t="s">
        <v>44905</v>
      </c>
      <c r="O5380" t="s">
        <v>44906</v>
      </c>
      <c r="P5380">
        <v>0</v>
      </c>
      <c r="Q5380">
        <v>6</v>
      </c>
      <c r="R5380" t="s">
        <v>44909</v>
      </c>
      <c r="S5380" t="s">
        <v>45060</v>
      </c>
      <c r="T5380" t="s">
        <v>46549</v>
      </c>
      <c r="U5380" t="s">
        <v>47367</v>
      </c>
      <c r="W5380" t="s">
        <v>41205</v>
      </c>
      <c r="X5380" t="s">
        <v>44910</v>
      </c>
    </row>
    <row r="5381" spans="1:24">
      <c r="A5381">
        <f>HYPERLINK("https://www.philgeps.gov.ph/GEPSNONPILOT/Tender/SplashBidNoticeAbstractUI.aspx?menuIndex=3&amp;refID=7076425&amp;Result=3","7076425")</f>
        <v>0</v>
      </c>
      <c r="B5381" t="s">
        <v>628</v>
      </c>
      <c r="C5381" t="s">
        <v>8662</v>
      </c>
      <c r="D5381" t="s">
        <v>18116</v>
      </c>
      <c r="E5381" t="s">
        <v>22998</v>
      </c>
      <c r="F5381" t="s">
        <v>31362</v>
      </c>
      <c r="G5381" t="s">
        <v>31368</v>
      </c>
      <c r="H5381" t="s">
        <v>15799</v>
      </c>
      <c r="I5381" t="s">
        <v>31387</v>
      </c>
      <c r="J5381" t="s">
        <v>34963</v>
      </c>
      <c r="K5381" t="s">
        <v>40662</v>
      </c>
      <c r="M5381" t="s">
        <v>41588</v>
      </c>
      <c r="N5381" t="s">
        <v>44905</v>
      </c>
      <c r="O5381" t="s">
        <v>44906</v>
      </c>
      <c r="P5381">
        <v>0</v>
      </c>
      <c r="Q5381">
        <v>0</v>
      </c>
      <c r="R5381" t="s">
        <v>44909</v>
      </c>
      <c r="S5381" t="s">
        <v>45060</v>
      </c>
      <c r="T5381" t="s">
        <v>46443</v>
      </c>
      <c r="U5381" t="s">
        <v>51294</v>
      </c>
      <c r="W5381" t="s">
        <v>41588</v>
      </c>
      <c r="X5381" t="s">
        <v>44910</v>
      </c>
    </row>
    <row r="5382" spans="1:24">
      <c r="A5382">
        <f>HYPERLINK("https://www.philgeps.gov.ph/GEPSNONPILOT/Tender/SplashBidNoticeAbstractUI.aspx?menuIndex=3&amp;refID=7076424&amp;Result=3","7076424")</f>
        <v>0</v>
      </c>
      <c r="B5382" t="s">
        <v>560</v>
      </c>
      <c r="C5382" t="s">
        <v>8663</v>
      </c>
      <c r="D5382" t="s">
        <v>18106</v>
      </c>
      <c r="E5382" t="s">
        <v>22999</v>
      </c>
      <c r="F5382" t="s">
        <v>31362</v>
      </c>
      <c r="G5382" t="s">
        <v>31368</v>
      </c>
      <c r="H5382" t="s">
        <v>31378</v>
      </c>
      <c r="I5382" t="s">
        <v>31386</v>
      </c>
      <c r="J5382" t="s">
        <v>34964</v>
      </c>
      <c r="K5382" t="s">
        <v>40681</v>
      </c>
      <c r="M5382" t="s">
        <v>42831</v>
      </c>
      <c r="N5382" t="s">
        <v>44905</v>
      </c>
      <c r="O5382" t="s">
        <v>44906</v>
      </c>
      <c r="P5382">
        <v>0</v>
      </c>
      <c r="Q5382">
        <v>5</v>
      </c>
      <c r="R5382" t="s">
        <v>44909</v>
      </c>
      <c r="S5382" t="s">
        <v>45060</v>
      </c>
      <c r="T5382" t="s">
        <v>46409</v>
      </c>
      <c r="U5382" t="s">
        <v>51295</v>
      </c>
      <c r="W5382" t="s">
        <v>42831</v>
      </c>
      <c r="X5382" t="s">
        <v>44910</v>
      </c>
    </row>
    <row r="5383" spans="1:24">
      <c r="A5383">
        <f>HYPERLINK("https://www.philgeps.gov.ph/GEPSNONPILOT/Tender/SplashBidNoticeAbstractUI.aspx?menuIndex=3&amp;refID=7076409&amp;Result=3","7076409")</f>
        <v>0</v>
      </c>
      <c r="B5383" t="s">
        <v>1414</v>
      </c>
      <c r="C5383" t="s">
        <v>8664</v>
      </c>
      <c r="D5383" t="s">
        <v>18106</v>
      </c>
      <c r="E5383" t="s">
        <v>23000</v>
      </c>
      <c r="F5383" t="s">
        <v>31362</v>
      </c>
      <c r="G5383" t="s">
        <v>31368</v>
      </c>
      <c r="H5383" t="s">
        <v>31378</v>
      </c>
      <c r="I5383" t="s">
        <v>31386</v>
      </c>
      <c r="J5383" t="s">
        <v>31578</v>
      </c>
      <c r="K5383" t="s">
        <v>40666</v>
      </c>
      <c r="M5383" t="s">
        <v>42439</v>
      </c>
      <c r="N5383" t="s">
        <v>44905</v>
      </c>
      <c r="O5383" t="s">
        <v>44906</v>
      </c>
      <c r="P5383">
        <v>0</v>
      </c>
      <c r="Q5383">
        <v>0</v>
      </c>
      <c r="R5383" t="s">
        <v>44909</v>
      </c>
      <c r="S5383" t="s">
        <v>45060</v>
      </c>
      <c r="T5383" t="s">
        <v>46454</v>
      </c>
      <c r="U5383" t="s">
        <v>51296</v>
      </c>
      <c r="W5383" t="s">
        <v>42439</v>
      </c>
      <c r="X5383" t="s">
        <v>44910</v>
      </c>
    </row>
    <row r="5384" spans="1:24">
      <c r="A5384">
        <f>HYPERLINK("https://www.philgeps.gov.ph/GEPSNONPILOT/Tender/SplashBidNoticeAbstractUI.aspx?menuIndex=3&amp;refID=7076422&amp;Result=3","7076422")</f>
        <v>0</v>
      </c>
      <c r="B5384" t="s">
        <v>1756</v>
      </c>
      <c r="C5384" t="s">
        <v>8665</v>
      </c>
      <c r="D5384" t="s">
        <v>18134</v>
      </c>
      <c r="E5384" t="s">
        <v>23001</v>
      </c>
      <c r="F5384" t="s">
        <v>31362</v>
      </c>
      <c r="G5384" t="s">
        <v>31368</v>
      </c>
      <c r="H5384" t="s">
        <v>15799</v>
      </c>
      <c r="I5384" t="s">
        <v>31397</v>
      </c>
      <c r="J5384" t="s">
        <v>34965</v>
      </c>
      <c r="K5384" t="s">
        <v>40661</v>
      </c>
      <c r="M5384" t="s">
        <v>42832</v>
      </c>
      <c r="N5384" t="s">
        <v>44905</v>
      </c>
      <c r="O5384" t="s">
        <v>44906</v>
      </c>
      <c r="P5384">
        <v>0</v>
      </c>
      <c r="Q5384">
        <v>1</v>
      </c>
      <c r="R5384" t="s">
        <v>44909</v>
      </c>
      <c r="S5384" t="s">
        <v>45060</v>
      </c>
      <c r="T5384" t="s">
        <v>46393</v>
      </c>
      <c r="U5384" t="s">
        <v>51297</v>
      </c>
      <c r="W5384" t="s">
        <v>42832</v>
      </c>
      <c r="X5384" t="s">
        <v>44910</v>
      </c>
    </row>
    <row r="5385" spans="1:24">
      <c r="A5385">
        <f>HYPERLINK("https://www.philgeps.gov.ph/GEPSNONPILOT/Tender/SplashBidNoticeAbstractUI.aspx?menuIndex=3&amp;refID=7076411&amp;Result=3","7076411")</f>
        <v>0</v>
      </c>
      <c r="B5385" t="s">
        <v>1757</v>
      </c>
      <c r="C5385" t="s">
        <v>8666</v>
      </c>
      <c r="D5385" t="s">
        <v>18106</v>
      </c>
      <c r="E5385" t="s">
        <v>23002</v>
      </c>
      <c r="F5385" t="s">
        <v>31362</v>
      </c>
      <c r="G5385" t="s">
        <v>31368</v>
      </c>
      <c r="H5385" t="s">
        <v>15799</v>
      </c>
      <c r="I5385" t="s">
        <v>4057</v>
      </c>
      <c r="J5385" t="s">
        <v>32538</v>
      </c>
      <c r="K5385" t="s">
        <v>40661</v>
      </c>
      <c r="M5385" t="s">
        <v>42833</v>
      </c>
      <c r="N5385" t="s">
        <v>44905</v>
      </c>
      <c r="O5385" t="s">
        <v>44906</v>
      </c>
      <c r="P5385">
        <v>0</v>
      </c>
      <c r="Q5385">
        <v>1</v>
      </c>
      <c r="R5385" t="s">
        <v>44909</v>
      </c>
      <c r="S5385" t="s">
        <v>45060</v>
      </c>
      <c r="T5385" t="s">
        <v>46434</v>
      </c>
      <c r="U5385" t="s">
        <v>51298</v>
      </c>
      <c r="W5385" t="s">
        <v>42833</v>
      </c>
      <c r="X5385" t="s">
        <v>44910</v>
      </c>
    </row>
    <row r="5386" spans="1:24">
      <c r="A5386">
        <f>HYPERLINK("https://www.philgeps.gov.ph/GEPSNONPILOT/Tender/SplashBidNoticeAbstractUI.aspx?menuIndex=3&amp;refID=7076440&amp;Result=3","7076440")</f>
        <v>0</v>
      </c>
      <c r="B5386" t="s">
        <v>1758</v>
      </c>
      <c r="C5386" t="s">
        <v>8667</v>
      </c>
      <c r="D5386" t="s">
        <v>18170</v>
      </c>
      <c r="E5386" t="s">
        <v>19844</v>
      </c>
      <c r="F5386" t="s">
        <v>31362</v>
      </c>
      <c r="G5386" t="s">
        <v>31370</v>
      </c>
      <c r="H5386" t="s">
        <v>15799</v>
      </c>
      <c r="I5386" t="s">
        <v>6373</v>
      </c>
      <c r="J5386" t="s">
        <v>32356</v>
      </c>
      <c r="K5386" t="s">
        <v>40672</v>
      </c>
      <c r="M5386" t="s">
        <v>42834</v>
      </c>
      <c r="N5386" t="s">
        <v>44905</v>
      </c>
      <c r="O5386" t="s">
        <v>44906</v>
      </c>
      <c r="P5386">
        <v>0</v>
      </c>
      <c r="Q5386">
        <v>0</v>
      </c>
      <c r="R5386" t="s">
        <v>44909</v>
      </c>
      <c r="S5386" t="s">
        <v>45060</v>
      </c>
      <c r="T5386" t="s">
        <v>46432</v>
      </c>
      <c r="U5386" t="s">
        <v>51299</v>
      </c>
      <c r="W5386" t="s">
        <v>42834</v>
      </c>
      <c r="X5386" t="s">
        <v>44910</v>
      </c>
    </row>
    <row r="5387" spans="1:24">
      <c r="A5387">
        <f>HYPERLINK("https://www.philgeps.gov.ph/GEPSNONPILOT/Tender/SplashBidNoticeAbstractUI.aspx?menuIndex=3&amp;refID=7076410&amp;Result=3","7076410")</f>
        <v>0</v>
      </c>
      <c r="B5387" t="s">
        <v>1115</v>
      </c>
      <c r="C5387" t="s">
        <v>6322</v>
      </c>
      <c r="D5387" t="s">
        <v>18104</v>
      </c>
      <c r="E5387" t="s">
        <v>23003</v>
      </c>
      <c r="F5387" t="s">
        <v>31362</v>
      </c>
      <c r="G5387" t="s">
        <v>31369</v>
      </c>
      <c r="H5387" t="s">
        <v>15799</v>
      </c>
      <c r="I5387" t="s">
        <v>31404</v>
      </c>
      <c r="J5387" t="s">
        <v>33491</v>
      </c>
      <c r="K5387" t="s">
        <v>40712</v>
      </c>
      <c r="M5387" t="s">
        <v>42805</v>
      </c>
      <c r="N5387" t="s">
        <v>44905</v>
      </c>
      <c r="O5387" t="s">
        <v>44906</v>
      </c>
      <c r="P5387">
        <v>0</v>
      </c>
      <c r="Q5387">
        <v>0</v>
      </c>
      <c r="R5387" t="s">
        <v>44909</v>
      </c>
      <c r="S5387" t="s">
        <v>45060</v>
      </c>
      <c r="T5387" t="s">
        <v>46433</v>
      </c>
      <c r="U5387" t="s">
        <v>51300</v>
      </c>
      <c r="V5387" t="s">
        <v>59573</v>
      </c>
      <c r="W5387" t="s">
        <v>42805</v>
      </c>
      <c r="X5387" t="s">
        <v>44910</v>
      </c>
    </row>
    <row r="5388" spans="1:24">
      <c r="A5388">
        <f>HYPERLINK("https://www.philgeps.gov.ph/GEPSNONPILOT/Tender/SplashBidNoticeAbstractUI.aspx?menuIndex=3&amp;refID=7076439&amp;Result=3","7076439")</f>
        <v>0</v>
      </c>
      <c r="B5388" t="s">
        <v>1115</v>
      </c>
      <c r="C5388" t="s">
        <v>8668</v>
      </c>
      <c r="D5388" t="s">
        <v>18104</v>
      </c>
      <c r="E5388" t="s">
        <v>23004</v>
      </c>
      <c r="F5388" t="s">
        <v>31362</v>
      </c>
      <c r="G5388" t="s">
        <v>31369</v>
      </c>
      <c r="H5388" t="s">
        <v>15799</v>
      </c>
      <c r="I5388" t="s">
        <v>31404</v>
      </c>
      <c r="J5388" t="s">
        <v>34966</v>
      </c>
      <c r="K5388" t="s">
        <v>40662</v>
      </c>
      <c r="M5388" t="s">
        <v>42805</v>
      </c>
      <c r="N5388" t="s">
        <v>44905</v>
      </c>
      <c r="O5388" t="s">
        <v>44906</v>
      </c>
      <c r="P5388">
        <v>0</v>
      </c>
      <c r="Q5388">
        <v>0</v>
      </c>
      <c r="R5388" t="s">
        <v>44909</v>
      </c>
      <c r="S5388" t="s">
        <v>45060</v>
      </c>
      <c r="T5388" t="s">
        <v>46433</v>
      </c>
      <c r="U5388" t="s">
        <v>51301</v>
      </c>
      <c r="V5388" t="s">
        <v>59573</v>
      </c>
      <c r="W5388" t="s">
        <v>42805</v>
      </c>
      <c r="X5388" t="s">
        <v>44910</v>
      </c>
    </row>
    <row r="5389" spans="1:24">
      <c r="A5389">
        <f>HYPERLINK("https://www.philgeps.gov.ph/GEPSNONPILOT/Tender/SplashBidNoticeAbstractUI.aspx?menuIndex=3&amp;refID=7076438&amp;Result=3","7076438")</f>
        <v>0</v>
      </c>
      <c r="B5389" t="s">
        <v>491</v>
      </c>
      <c r="C5389" t="s">
        <v>8669</v>
      </c>
      <c r="D5389" t="s">
        <v>18126</v>
      </c>
      <c r="E5389" t="s">
        <v>23005</v>
      </c>
      <c r="F5389" t="s">
        <v>31362</v>
      </c>
      <c r="G5389" t="s">
        <v>31369</v>
      </c>
      <c r="H5389" t="s">
        <v>31378</v>
      </c>
      <c r="I5389" t="s">
        <v>31386</v>
      </c>
      <c r="J5389" t="s">
        <v>34967</v>
      </c>
      <c r="K5389" t="s">
        <v>40686</v>
      </c>
      <c r="M5389" t="s">
        <v>41446</v>
      </c>
      <c r="N5389" t="s">
        <v>44905</v>
      </c>
      <c r="O5389" t="s">
        <v>44906</v>
      </c>
      <c r="P5389">
        <v>0</v>
      </c>
      <c r="Q5389">
        <v>0</v>
      </c>
      <c r="R5389" t="s">
        <v>44909</v>
      </c>
      <c r="S5389" t="s">
        <v>45060</v>
      </c>
      <c r="T5389" t="s">
        <v>46618</v>
      </c>
      <c r="U5389" t="s">
        <v>51302</v>
      </c>
      <c r="W5389" t="s">
        <v>41446</v>
      </c>
      <c r="X5389" t="s">
        <v>44910</v>
      </c>
    </row>
    <row r="5390" spans="1:24">
      <c r="A5390">
        <f>HYPERLINK("https://www.philgeps.gov.ph/GEPSNONPILOT/Tender/SplashBidNoticeAbstractUI.aspx?menuIndex=3&amp;refID=7076434&amp;Result=3","7076434")</f>
        <v>0</v>
      </c>
      <c r="B5390" t="s">
        <v>592</v>
      </c>
      <c r="C5390" t="s">
        <v>8670</v>
      </c>
      <c r="D5390" t="s">
        <v>18100</v>
      </c>
      <c r="E5390" t="s">
        <v>23006</v>
      </c>
      <c r="F5390" t="s">
        <v>31362</v>
      </c>
      <c r="G5390" t="s">
        <v>31368</v>
      </c>
      <c r="H5390" t="s">
        <v>15799</v>
      </c>
      <c r="I5390" t="s">
        <v>31387</v>
      </c>
      <c r="J5390" t="s">
        <v>31855</v>
      </c>
      <c r="K5390" t="s">
        <v>40662</v>
      </c>
      <c r="M5390" t="s">
        <v>41549</v>
      </c>
      <c r="N5390" t="s">
        <v>44905</v>
      </c>
      <c r="O5390" t="s">
        <v>44906</v>
      </c>
      <c r="P5390">
        <v>0</v>
      </c>
      <c r="Q5390">
        <v>1</v>
      </c>
      <c r="R5390" t="s">
        <v>44909</v>
      </c>
      <c r="S5390" t="s">
        <v>45060</v>
      </c>
      <c r="T5390" t="s">
        <v>46414</v>
      </c>
      <c r="U5390" t="s">
        <v>51303</v>
      </c>
      <c r="W5390" t="s">
        <v>41549</v>
      </c>
      <c r="X5390" t="s">
        <v>44910</v>
      </c>
    </row>
    <row r="5391" spans="1:24">
      <c r="A5391">
        <f>HYPERLINK("https://www.philgeps.gov.ph/GEPSNONPILOT/Tender/SplashBidNoticeAbstractUI.aspx?menuIndex=3&amp;refID=7076421&amp;Result=3","7076421")</f>
        <v>0</v>
      </c>
      <c r="B5391" t="s">
        <v>1754</v>
      </c>
      <c r="C5391" t="s">
        <v>8671</v>
      </c>
      <c r="D5391" t="s">
        <v>18157</v>
      </c>
      <c r="E5391" t="s">
        <v>23007</v>
      </c>
      <c r="F5391" t="s">
        <v>31362</v>
      </c>
      <c r="G5391" t="s">
        <v>31369</v>
      </c>
      <c r="H5391" t="s">
        <v>15799</v>
      </c>
      <c r="I5391" t="s">
        <v>3815</v>
      </c>
      <c r="J5391" t="s">
        <v>34968</v>
      </c>
      <c r="K5391" t="s">
        <v>40670</v>
      </c>
      <c r="M5391" t="s">
        <v>42829</v>
      </c>
      <c r="N5391" t="s">
        <v>44905</v>
      </c>
      <c r="O5391" t="s">
        <v>44906</v>
      </c>
      <c r="P5391">
        <v>0</v>
      </c>
      <c r="Q5391">
        <v>1</v>
      </c>
      <c r="R5391" t="s">
        <v>44909</v>
      </c>
      <c r="S5391" t="s">
        <v>45060</v>
      </c>
      <c r="T5391" t="s">
        <v>46519</v>
      </c>
      <c r="U5391" t="s">
        <v>51304</v>
      </c>
      <c r="W5391" t="s">
        <v>42829</v>
      </c>
      <c r="X5391" t="s">
        <v>44910</v>
      </c>
    </row>
    <row r="5392" spans="1:24">
      <c r="A5392">
        <f>HYPERLINK("https://www.philgeps.gov.ph/GEPSNONPILOT/Tender/SplashBidNoticeAbstractUI.aspx?menuIndex=3&amp;refID=7076433&amp;Result=3","7076433")</f>
        <v>0</v>
      </c>
      <c r="B5392" t="s">
        <v>563</v>
      </c>
      <c r="C5392" t="s">
        <v>8672</v>
      </c>
      <c r="D5392" t="s">
        <v>18124</v>
      </c>
      <c r="E5392" t="s">
        <v>23008</v>
      </c>
      <c r="F5392" t="s">
        <v>31362</v>
      </c>
      <c r="G5392" t="s">
        <v>31369</v>
      </c>
      <c r="H5392" t="s">
        <v>15799</v>
      </c>
      <c r="I5392" t="s">
        <v>7188</v>
      </c>
      <c r="J5392" t="s">
        <v>32553</v>
      </c>
      <c r="K5392" t="s">
        <v>40666</v>
      </c>
      <c r="M5392" t="s">
        <v>41519</v>
      </c>
      <c r="N5392" t="s">
        <v>44905</v>
      </c>
      <c r="O5392" t="s">
        <v>44906</v>
      </c>
      <c r="P5392">
        <v>0</v>
      </c>
      <c r="Q5392">
        <v>0</v>
      </c>
      <c r="R5392" t="s">
        <v>44909</v>
      </c>
      <c r="S5392" t="s">
        <v>45060</v>
      </c>
      <c r="T5392" t="s">
        <v>46433</v>
      </c>
      <c r="U5392" t="s">
        <v>51305</v>
      </c>
      <c r="W5392" t="s">
        <v>41519</v>
      </c>
      <c r="X5392" t="s">
        <v>44910</v>
      </c>
    </row>
    <row r="5393" spans="1:24">
      <c r="A5393">
        <f>HYPERLINK("https://www.philgeps.gov.ph/GEPSNONPILOT/Tender/SplashBidNoticeAbstractUI.aspx?menuIndex=3&amp;refID=7076432&amp;Result=3","7076432")</f>
        <v>0</v>
      </c>
      <c r="B5393" t="s">
        <v>214</v>
      </c>
      <c r="C5393" t="s">
        <v>8673</v>
      </c>
      <c r="D5393" t="s">
        <v>18158</v>
      </c>
      <c r="E5393" t="s">
        <v>23009</v>
      </c>
      <c r="F5393" t="s">
        <v>31362</v>
      </c>
      <c r="G5393" t="s">
        <v>31368</v>
      </c>
      <c r="H5393" t="s">
        <v>15799</v>
      </c>
      <c r="I5393" t="s">
        <v>7719</v>
      </c>
      <c r="J5393" t="s">
        <v>31722</v>
      </c>
      <c r="K5393" t="s">
        <v>40670</v>
      </c>
      <c r="M5393" t="s">
        <v>41153</v>
      </c>
      <c r="N5393" t="s">
        <v>44905</v>
      </c>
      <c r="O5393" t="s">
        <v>44906</v>
      </c>
      <c r="P5393">
        <v>0</v>
      </c>
      <c r="Q5393">
        <v>6</v>
      </c>
      <c r="R5393" t="s">
        <v>44909</v>
      </c>
      <c r="S5393" t="s">
        <v>45060</v>
      </c>
      <c r="T5393" t="s">
        <v>46478</v>
      </c>
      <c r="U5393" t="s">
        <v>51306</v>
      </c>
      <c r="W5393" t="s">
        <v>41153</v>
      </c>
      <c r="X5393" t="s">
        <v>44910</v>
      </c>
    </row>
    <row r="5394" spans="1:24">
      <c r="A5394">
        <f>HYPERLINK("https://www.philgeps.gov.ph/GEPSNONPILOT/Tender/SplashBidNoticeAbstractUI.aspx?menuIndex=3&amp;refID=7074388&amp;Result=3","7074388")</f>
        <v>0</v>
      </c>
      <c r="B5394" t="s">
        <v>1672</v>
      </c>
      <c r="C5394" t="s">
        <v>8674</v>
      </c>
      <c r="D5394" t="s">
        <v>18123</v>
      </c>
      <c r="E5394" t="s">
        <v>23010</v>
      </c>
      <c r="F5394" t="s">
        <v>31362</v>
      </c>
      <c r="G5394" t="s">
        <v>31370</v>
      </c>
      <c r="H5394" t="s">
        <v>15799</v>
      </c>
      <c r="I5394" t="s">
        <v>31427</v>
      </c>
      <c r="J5394" t="s">
        <v>32016</v>
      </c>
      <c r="K5394" t="s">
        <v>40665</v>
      </c>
      <c r="M5394" t="s">
        <v>42737</v>
      </c>
      <c r="N5394" t="s">
        <v>44905</v>
      </c>
      <c r="O5394" t="s">
        <v>44906</v>
      </c>
      <c r="P5394">
        <v>0</v>
      </c>
      <c r="Q5394">
        <v>10</v>
      </c>
      <c r="R5394" t="s">
        <v>44909</v>
      </c>
      <c r="S5394" t="s">
        <v>45060</v>
      </c>
      <c r="T5394" t="s">
        <v>46447</v>
      </c>
      <c r="U5394" t="s">
        <v>51307</v>
      </c>
      <c r="W5394" t="s">
        <v>42737</v>
      </c>
      <c r="X5394" t="s">
        <v>44911</v>
      </c>
    </row>
    <row r="5395" spans="1:24">
      <c r="A5395">
        <f>HYPERLINK("https://www.philgeps.gov.ph/GEPSNONPILOT/Tender/SplashBidNoticeAbstractUI.aspx?menuIndex=3&amp;refID=7076431&amp;Result=3","7076431")</f>
        <v>0</v>
      </c>
      <c r="B5395" t="s">
        <v>1759</v>
      </c>
      <c r="C5395" t="s">
        <v>8675</v>
      </c>
      <c r="D5395" t="s">
        <v>18156</v>
      </c>
      <c r="E5395" t="s">
        <v>23011</v>
      </c>
      <c r="F5395" t="s">
        <v>31362</v>
      </c>
      <c r="G5395" t="s">
        <v>31368</v>
      </c>
      <c r="H5395" t="s">
        <v>31379</v>
      </c>
      <c r="I5395" t="s">
        <v>31399</v>
      </c>
      <c r="J5395" t="s">
        <v>34969</v>
      </c>
      <c r="K5395" t="s">
        <v>40665</v>
      </c>
      <c r="M5395" t="s">
        <v>42835</v>
      </c>
      <c r="N5395" t="s">
        <v>44905</v>
      </c>
      <c r="O5395" t="s">
        <v>44906</v>
      </c>
      <c r="P5395">
        <v>0</v>
      </c>
      <c r="Q5395">
        <v>2</v>
      </c>
      <c r="R5395" t="s">
        <v>44909</v>
      </c>
      <c r="S5395" t="s">
        <v>45060</v>
      </c>
      <c r="T5395" t="s">
        <v>46443</v>
      </c>
      <c r="U5395" t="s">
        <v>51308</v>
      </c>
      <c r="W5395" t="s">
        <v>42835</v>
      </c>
      <c r="X5395" t="s">
        <v>44910</v>
      </c>
    </row>
    <row r="5396" spans="1:24">
      <c r="A5396">
        <f>HYPERLINK("https://www.philgeps.gov.ph/GEPSNONPILOT/Tender/SplashBidNoticeAbstractUI.aspx?menuIndex=3&amp;refID=7076419&amp;Result=3","7076419")</f>
        <v>0</v>
      </c>
      <c r="B5396" t="s">
        <v>284</v>
      </c>
      <c r="C5396" t="s">
        <v>8676</v>
      </c>
      <c r="D5396" t="s">
        <v>18122</v>
      </c>
      <c r="E5396" t="s">
        <v>23012</v>
      </c>
      <c r="F5396" t="s">
        <v>31362</v>
      </c>
      <c r="G5396" t="s">
        <v>31368</v>
      </c>
      <c r="H5396" t="s">
        <v>15799</v>
      </c>
      <c r="I5396" t="s">
        <v>31440</v>
      </c>
      <c r="J5396" t="s">
        <v>32831</v>
      </c>
      <c r="K5396" t="s">
        <v>40662</v>
      </c>
      <c r="M5396" t="s">
        <v>42836</v>
      </c>
      <c r="N5396" t="s">
        <v>44905</v>
      </c>
      <c r="O5396" t="s">
        <v>44906</v>
      </c>
      <c r="P5396">
        <v>0</v>
      </c>
      <c r="Q5396">
        <v>0</v>
      </c>
      <c r="R5396" t="s">
        <v>44909</v>
      </c>
      <c r="S5396" t="s">
        <v>45060</v>
      </c>
      <c r="T5396" t="s">
        <v>46432</v>
      </c>
      <c r="U5396" t="s">
        <v>51309</v>
      </c>
      <c r="V5396" t="s">
        <v>59580</v>
      </c>
      <c r="W5396" t="s">
        <v>60909</v>
      </c>
      <c r="X5396" t="s">
        <v>44910</v>
      </c>
    </row>
    <row r="5397" spans="1:24">
      <c r="A5397">
        <f>HYPERLINK("https://www.philgeps.gov.ph/GEPSNONPILOT/Tender/SplashBidNoticeAbstractUI.aspx?menuIndex=3&amp;refID=7076436&amp;Result=3","7076436")</f>
        <v>0</v>
      </c>
      <c r="B5397" t="s">
        <v>1760</v>
      </c>
      <c r="C5397" t="s">
        <v>8677</v>
      </c>
      <c r="E5397" t="s">
        <v>23013</v>
      </c>
      <c r="F5397" t="s">
        <v>31362</v>
      </c>
      <c r="G5397" t="s">
        <v>31370</v>
      </c>
      <c r="H5397" t="s">
        <v>15799</v>
      </c>
      <c r="I5397" t="s">
        <v>6373</v>
      </c>
      <c r="J5397" t="s">
        <v>34970</v>
      </c>
      <c r="K5397" t="s">
        <v>40662</v>
      </c>
      <c r="M5397" t="s">
        <v>42837</v>
      </c>
      <c r="N5397" t="s">
        <v>44905</v>
      </c>
      <c r="O5397" t="s">
        <v>44906</v>
      </c>
      <c r="P5397">
        <v>0</v>
      </c>
      <c r="Q5397">
        <v>2</v>
      </c>
      <c r="R5397" t="s">
        <v>44909</v>
      </c>
      <c r="S5397" t="s">
        <v>45060</v>
      </c>
      <c r="T5397" t="s">
        <v>46583</v>
      </c>
      <c r="U5397" t="s">
        <v>51310</v>
      </c>
      <c r="V5397" t="s">
        <v>59581</v>
      </c>
      <c r="W5397" t="s">
        <v>42837</v>
      </c>
      <c r="X5397" t="s">
        <v>44910</v>
      </c>
    </row>
    <row r="5398" spans="1:24">
      <c r="A5398">
        <f>HYPERLINK("https://www.philgeps.gov.ph/GEPSNONPILOT/Tender/SplashBidNoticeAbstractUI.aspx?menuIndex=3&amp;refID=7076465&amp;Result=3","7076465")</f>
        <v>0</v>
      </c>
      <c r="B5398" t="s">
        <v>1761</v>
      </c>
      <c r="C5398" t="s">
        <v>8678</v>
      </c>
      <c r="D5398" t="s">
        <v>18177</v>
      </c>
      <c r="E5398" t="s">
        <v>22039</v>
      </c>
      <c r="F5398" t="s">
        <v>31362</v>
      </c>
      <c r="G5398" t="s">
        <v>31368</v>
      </c>
      <c r="H5398" t="s">
        <v>15799</v>
      </c>
      <c r="I5398" t="s">
        <v>6240</v>
      </c>
      <c r="J5398" t="s">
        <v>34971</v>
      </c>
      <c r="K5398" t="s">
        <v>40661</v>
      </c>
      <c r="M5398" t="s">
        <v>42838</v>
      </c>
      <c r="N5398" t="s">
        <v>44905</v>
      </c>
      <c r="O5398" t="s">
        <v>44906</v>
      </c>
      <c r="P5398">
        <v>0</v>
      </c>
      <c r="Q5398">
        <v>0</v>
      </c>
      <c r="R5398" t="s">
        <v>44909</v>
      </c>
      <c r="S5398" t="s">
        <v>45060</v>
      </c>
      <c r="T5398" t="s">
        <v>46409</v>
      </c>
      <c r="U5398" t="s">
        <v>51311</v>
      </c>
      <c r="W5398" t="s">
        <v>42838</v>
      </c>
      <c r="X5398" t="s">
        <v>44910</v>
      </c>
    </row>
    <row r="5399" spans="1:24">
      <c r="A5399">
        <f>HYPERLINK("https://www.philgeps.gov.ph/GEPSNONPILOT/Tender/SplashBidNoticeAbstractUI.aspx?menuIndex=3&amp;refID=7076435&amp;Result=3","7076435")</f>
        <v>0</v>
      </c>
      <c r="B5399" t="s">
        <v>561</v>
      </c>
      <c r="C5399" t="s">
        <v>8679</v>
      </c>
      <c r="D5399" t="s">
        <v>18124</v>
      </c>
      <c r="E5399" t="s">
        <v>18475</v>
      </c>
      <c r="F5399" t="s">
        <v>31362</v>
      </c>
      <c r="G5399" t="s">
        <v>31369</v>
      </c>
      <c r="H5399" t="s">
        <v>31378</v>
      </c>
      <c r="I5399" t="s">
        <v>31386</v>
      </c>
      <c r="J5399" t="s">
        <v>31536</v>
      </c>
      <c r="K5399" t="s">
        <v>40682</v>
      </c>
      <c r="M5399" t="s">
        <v>41517</v>
      </c>
      <c r="N5399" t="s">
        <v>44905</v>
      </c>
      <c r="O5399" t="s">
        <v>44906</v>
      </c>
      <c r="P5399">
        <v>0</v>
      </c>
      <c r="Q5399">
        <v>1</v>
      </c>
      <c r="R5399" t="s">
        <v>44909</v>
      </c>
      <c r="S5399" t="s">
        <v>45060</v>
      </c>
      <c r="T5399" t="s">
        <v>46448</v>
      </c>
      <c r="U5399" t="s">
        <v>51312</v>
      </c>
      <c r="W5399" t="s">
        <v>41517</v>
      </c>
      <c r="X5399" t="s">
        <v>44910</v>
      </c>
    </row>
    <row r="5400" spans="1:24">
      <c r="A5400">
        <f>HYPERLINK("https://www.philgeps.gov.ph/GEPSNONPILOT/Tender/SplashBidNoticeAbstractUI.aspx?menuIndex=3&amp;refID=7074598&amp;Result=3","7074598")</f>
        <v>0</v>
      </c>
      <c r="B5400" t="s">
        <v>1671</v>
      </c>
      <c r="C5400" t="s">
        <v>8680</v>
      </c>
      <c r="D5400" t="s">
        <v>18119</v>
      </c>
      <c r="E5400" t="s">
        <v>23014</v>
      </c>
      <c r="F5400" t="s">
        <v>31362</v>
      </c>
      <c r="G5400" t="s">
        <v>31369</v>
      </c>
      <c r="H5400" t="s">
        <v>31378</v>
      </c>
      <c r="I5400" t="s">
        <v>31386</v>
      </c>
      <c r="J5400" t="s">
        <v>34972</v>
      </c>
      <c r="K5400" t="s">
        <v>40682</v>
      </c>
      <c r="M5400" t="s">
        <v>42736</v>
      </c>
      <c r="N5400" t="s">
        <v>44905</v>
      </c>
      <c r="O5400" t="s">
        <v>44906</v>
      </c>
      <c r="P5400">
        <v>0</v>
      </c>
      <c r="Q5400">
        <v>0</v>
      </c>
      <c r="R5400" t="s">
        <v>44909</v>
      </c>
      <c r="S5400" t="s">
        <v>45060</v>
      </c>
      <c r="T5400" t="s">
        <v>46396</v>
      </c>
      <c r="U5400" t="s">
        <v>51313</v>
      </c>
      <c r="V5400" t="s">
        <v>59544</v>
      </c>
      <c r="W5400" t="s">
        <v>42736</v>
      </c>
      <c r="X5400" t="s">
        <v>44911</v>
      </c>
    </row>
    <row r="5401" spans="1:24">
      <c r="A5401">
        <f>HYPERLINK("https://www.philgeps.gov.ph/GEPSNONPILOT/Tender/SplashBidNoticeAbstractUI.aspx?menuIndex=3&amp;refID=7076469&amp;Result=3","7076469")</f>
        <v>0</v>
      </c>
      <c r="B5401" t="s">
        <v>352</v>
      </c>
      <c r="C5401" t="s">
        <v>8681</v>
      </c>
      <c r="D5401" t="s">
        <v>18122</v>
      </c>
      <c r="E5401" t="s">
        <v>23015</v>
      </c>
      <c r="F5401" t="s">
        <v>31362</v>
      </c>
      <c r="G5401" t="s">
        <v>31368</v>
      </c>
      <c r="H5401" t="s">
        <v>15799</v>
      </c>
      <c r="I5401" t="s">
        <v>31414</v>
      </c>
      <c r="J5401" t="s">
        <v>31897</v>
      </c>
      <c r="K5401" t="s">
        <v>40666</v>
      </c>
      <c r="M5401" t="s">
        <v>41299</v>
      </c>
      <c r="N5401" t="s">
        <v>44905</v>
      </c>
      <c r="O5401" t="s">
        <v>44906</v>
      </c>
      <c r="P5401">
        <v>0</v>
      </c>
      <c r="Q5401">
        <v>0</v>
      </c>
      <c r="R5401" t="s">
        <v>44909</v>
      </c>
      <c r="S5401" t="s">
        <v>45060</v>
      </c>
      <c r="T5401" t="s">
        <v>46406</v>
      </c>
      <c r="U5401" t="s">
        <v>51314</v>
      </c>
      <c r="W5401" t="s">
        <v>41299</v>
      </c>
      <c r="X5401" t="s">
        <v>44910</v>
      </c>
    </row>
    <row r="5402" spans="1:24">
      <c r="A5402">
        <f>HYPERLINK("https://www.philgeps.gov.ph/GEPSNONPILOT/Tender/SplashBidNoticeAbstractUI.aspx?menuIndex=3&amp;refID=7076423&amp;Result=3","7076423")</f>
        <v>0</v>
      </c>
      <c r="B5402" t="s">
        <v>528</v>
      </c>
      <c r="C5402" t="s">
        <v>8682</v>
      </c>
      <c r="D5402" t="s">
        <v>18148</v>
      </c>
      <c r="E5402" t="s">
        <v>23016</v>
      </c>
      <c r="F5402" t="s">
        <v>31362</v>
      </c>
      <c r="G5402" t="s">
        <v>31371</v>
      </c>
      <c r="H5402" t="s">
        <v>15799</v>
      </c>
      <c r="I5402" t="s">
        <v>13635</v>
      </c>
      <c r="J5402" t="s">
        <v>34973</v>
      </c>
      <c r="K5402" t="s">
        <v>40665</v>
      </c>
      <c r="M5402" t="s">
        <v>41484</v>
      </c>
      <c r="N5402" t="s">
        <v>44905</v>
      </c>
      <c r="O5402" t="s">
        <v>44906</v>
      </c>
      <c r="P5402">
        <v>0</v>
      </c>
      <c r="Q5402">
        <v>6</v>
      </c>
      <c r="R5402" t="s">
        <v>44909</v>
      </c>
      <c r="S5402" t="s">
        <v>45060</v>
      </c>
      <c r="T5402" t="s">
        <v>46447</v>
      </c>
      <c r="U5402" t="s">
        <v>47912</v>
      </c>
      <c r="W5402" t="s">
        <v>41484</v>
      </c>
      <c r="X5402" t="s">
        <v>44910</v>
      </c>
    </row>
    <row r="5403" spans="1:24">
      <c r="A5403">
        <f>HYPERLINK("https://www.philgeps.gov.ph/GEPSNONPILOT/Tender/SplashBidNoticeAbstractUI.aspx?menuIndex=3&amp;refID=7076442&amp;Result=3","7076442")</f>
        <v>0</v>
      </c>
      <c r="B5403" t="s">
        <v>1735</v>
      </c>
      <c r="C5403" t="s">
        <v>8683</v>
      </c>
      <c r="D5403" t="s">
        <v>18127</v>
      </c>
      <c r="E5403" t="s">
        <v>23017</v>
      </c>
      <c r="F5403" t="s">
        <v>31362</v>
      </c>
      <c r="G5403" t="s">
        <v>31368</v>
      </c>
      <c r="H5403" t="s">
        <v>15799</v>
      </c>
      <c r="I5403" t="s">
        <v>31465</v>
      </c>
      <c r="J5403" t="s">
        <v>31723</v>
      </c>
      <c r="K5403" t="s">
        <v>40666</v>
      </c>
      <c r="M5403" t="s">
        <v>42808</v>
      </c>
      <c r="N5403" t="s">
        <v>44905</v>
      </c>
      <c r="O5403" t="s">
        <v>44906</v>
      </c>
      <c r="P5403">
        <v>0</v>
      </c>
      <c r="Q5403">
        <v>2</v>
      </c>
      <c r="R5403" t="s">
        <v>44909</v>
      </c>
      <c r="S5403" t="s">
        <v>45060</v>
      </c>
      <c r="T5403" t="s">
        <v>46478</v>
      </c>
      <c r="U5403" t="s">
        <v>51315</v>
      </c>
      <c r="W5403" t="s">
        <v>42808</v>
      </c>
      <c r="X5403" t="s">
        <v>44910</v>
      </c>
    </row>
    <row r="5404" spans="1:24">
      <c r="A5404">
        <f>HYPERLINK("https://www.philgeps.gov.ph/GEPSNONPILOT/Tender/SplashBidNoticeAbstractUI.aspx?menuIndex=3&amp;refID=7076471&amp;Result=3","7076471")</f>
        <v>0</v>
      </c>
      <c r="B5404" t="s">
        <v>1414</v>
      </c>
      <c r="C5404" t="s">
        <v>8684</v>
      </c>
      <c r="D5404" t="s">
        <v>18106</v>
      </c>
      <c r="E5404" t="s">
        <v>22996</v>
      </c>
      <c r="F5404" t="s">
        <v>31362</v>
      </c>
      <c r="G5404" t="s">
        <v>31368</v>
      </c>
      <c r="H5404" t="s">
        <v>31378</v>
      </c>
      <c r="I5404" t="s">
        <v>31386</v>
      </c>
      <c r="J5404" t="s">
        <v>31578</v>
      </c>
      <c r="K5404" t="s">
        <v>40666</v>
      </c>
      <c r="M5404" t="s">
        <v>42439</v>
      </c>
      <c r="N5404" t="s">
        <v>44905</v>
      </c>
      <c r="O5404" t="s">
        <v>44906</v>
      </c>
      <c r="P5404">
        <v>0</v>
      </c>
      <c r="Q5404">
        <v>0</v>
      </c>
      <c r="R5404" t="s">
        <v>44909</v>
      </c>
      <c r="S5404" t="s">
        <v>45060</v>
      </c>
      <c r="T5404" t="s">
        <v>46454</v>
      </c>
      <c r="U5404" t="s">
        <v>51316</v>
      </c>
      <c r="W5404" t="s">
        <v>42439</v>
      </c>
      <c r="X5404" t="s">
        <v>44910</v>
      </c>
    </row>
    <row r="5405" spans="1:24">
      <c r="A5405">
        <f>HYPERLINK("https://www.philgeps.gov.ph/GEPSNONPILOT/Tender/SplashBidNoticeAbstractUI.aspx?menuIndex=3&amp;refID=7076464&amp;Result=3","7076464")</f>
        <v>0</v>
      </c>
      <c r="B5405" t="s">
        <v>1760</v>
      </c>
      <c r="C5405" t="s">
        <v>8685</v>
      </c>
      <c r="E5405" t="s">
        <v>23018</v>
      </c>
      <c r="F5405" t="s">
        <v>31362</v>
      </c>
      <c r="G5405" t="s">
        <v>31370</v>
      </c>
      <c r="H5405" t="s">
        <v>15799</v>
      </c>
      <c r="I5405" t="s">
        <v>6373</v>
      </c>
      <c r="J5405" t="s">
        <v>34974</v>
      </c>
      <c r="K5405" t="s">
        <v>40662</v>
      </c>
      <c r="M5405" t="s">
        <v>42837</v>
      </c>
      <c r="N5405" t="s">
        <v>44905</v>
      </c>
      <c r="O5405" t="s">
        <v>44906</v>
      </c>
      <c r="P5405">
        <v>0</v>
      </c>
      <c r="Q5405">
        <v>0</v>
      </c>
      <c r="R5405" t="s">
        <v>44909</v>
      </c>
      <c r="S5405" t="s">
        <v>45060</v>
      </c>
      <c r="T5405" t="s">
        <v>46583</v>
      </c>
      <c r="U5405" t="s">
        <v>51317</v>
      </c>
      <c r="V5405" t="s">
        <v>59581</v>
      </c>
      <c r="W5405" t="s">
        <v>42837</v>
      </c>
      <c r="X5405" t="s">
        <v>44910</v>
      </c>
    </row>
    <row r="5406" spans="1:24">
      <c r="A5406">
        <f>HYPERLINK("https://www.philgeps.gov.ph/GEPSNONPILOT/Tender/SplashBidNoticeAbstractUI.aspx?menuIndex=3&amp;refID=7076466&amp;Result=3","7076466")</f>
        <v>0</v>
      </c>
      <c r="B5406" t="s">
        <v>1762</v>
      </c>
      <c r="C5406" t="s">
        <v>8686</v>
      </c>
      <c r="E5406" t="s">
        <v>18648</v>
      </c>
      <c r="F5406" t="s">
        <v>31362</v>
      </c>
      <c r="G5406" t="s">
        <v>31369</v>
      </c>
      <c r="H5406" t="s">
        <v>15799</v>
      </c>
      <c r="I5406" t="s">
        <v>31386</v>
      </c>
      <c r="J5406" t="s">
        <v>33248</v>
      </c>
      <c r="K5406" t="s">
        <v>40662</v>
      </c>
      <c r="M5406" t="s">
        <v>42839</v>
      </c>
      <c r="N5406" t="s">
        <v>44905</v>
      </c>
      <c r="O5406" t="s">
        <v>44906</v>
      </c>
      <c r="P5406">
        <v>0</v>
      </c>
      <c r="Q5406">
        <v>0</v>
      </c>
      <c r="R5406" t="s">
        <v>44909</v>
      </c>
      <c r="S5406" t="s">
        <v>45060</v>
      </c>
      <c r="T5406" t="s">
        <v>46481</v>
      </c>
      <c r="U5406" t="s">
        <v>51318</v>
      </c>
      <c r="W5406" t="s">
        <v>42839</v>
      </c>
      <c r="X5406" t="s">
        <v>44910</v>
      </c>
    </row>
    <row r="5407" spans="1:24">
      <c r="A5407">
        <f>HYPERLINK("https://www.philgeps.gov.ph/GEPSNONPILOT/Tender/SplashBidNoticeAbstractUI.aspx?menuIndex=3&amp;refID=7074537&amp;Result=3","7074537")</f>
        <v>0</v>
      </c>
      <c r="B5407" t="s">
        <v>1671</v>
      </c>
      <c r="C5407" t="s">
        <v>8687</v>
      </c>
      <c r="D5407" t="s">
        <v>18119</v>
      </c>
      <c r="E5407" t="s">
        <v>23019</v>
      </c>
      <c r="F5407" t="s">
        <v>31362</v>
      </c>
      <c r="G5407" t="s">
        <v>31369</v>
      </c>
      <c r="H5407" t="s">
        <v>31378</v>
      </c>
      <c r="I5407" t="s">
        <v>31386</v>
      </c>
      <c r="J5407" t="s">
        <v>34975</v>
      </c>
      <c r="K5407" t="s">
        <v>40682</v>
      </c>
      <c r="M5407" t="s">
        <v>42736</v>
      </c>
      <c r="N5407" t="s">
        <v>44905</v>
      </c>
      <c r="O5407" t="s">
        <v>44906</v>
      </c>
      <c r="P5407">
        <v>0</v>
      </c>
      <c r="Q5407">
        <v>0</v>
      </c>
      <c r="R5407" t="s">
        <v>44909</v>
      </c>
      <c r="S5407" t="s">
        <v>45060</v>
      </c>
      <c r="T5407" t="s">
        <v>46396</v>
      </c>
      <c r="U5407" t="s">
        <v>51319</v>
      </c>
      <c r="V5407" t="s">
        <v>59546</v>
      </c>
      <c r="W5407" t="s">
        <v>42736</v>
      </c>
      <c r="X5407" t="s">
        <v>44911</v>
      </c>
    </row>
    <row r="5408" spans="1:24">
      <c r="A5408">
        <f>HYPERLINK("https://www.philgeps.gov.ph/GEPSNONPILOT/Tender/SplashBidNoticeAbstractUI.aspx?menuIndex=3&amp;refID=7076460&amp;Result=3","7076460")</f>
        <v>0</v>
      </c>
      <c r="B5408" t="s">
        <v>214</v>
      </c>
      <c r="C5408" t="s">
        <v>8688</v>
      </c>
      <c r="E5408" t="s">
        <v>23020</v>
      </c>
      <c r="F5408" t="s">
        <v>31362</v>
      </c>
      <c r="G5408" t="s">
        <v>31368</v>
      </c>
      <c r="H5408" t="s">
        <v>15799</v>
      </c>
      <c r="I5408" t="s">
        <v>31439</v>
      </c>
      <c r="J5408" t="s">
        <v>34976</v>
      </c>
      <c r="K5408" t="s">
        <v>40665</v>
      </c>
      <c r="M5408" t="s">
        <v>41153</v>
      </c>
      <c r="N5408" t="s">
        <v>44905</v>
      </c>
      <c r="O5408" t="s">
        <v>44906</v>
      </c>
      <c r="P5408">
        <v>0</v>
      </c>
      <c r="Q5408">
        <v>0</v>
      </c>
      <c r="R5408" t="s">
        <v>44909</v>
      </c>
      <c r="S5408" t="s">
        <v>45060</v>
      </c>
      <c r="T5408" t="s">
        <v>46478</v>
      </c>
      <c r="U5408" t="s">
        <v>51320</v>
      </c>
      <c r="W5408" t="s">
        <v>41153</v>
      </c>
      <c r="X5408" t="s">
        <v>44910</v>
      </c>
    </row>
    <row r="5409" spans="1:24">
      <c r="A5409">
        <f>HYPERLINK("https://www.philgeps.gov.ph/GEPSNONPILOT/Tender/SplashBidNoticeAbstractUI.aspx?menuIndex=3&amp;refID=7076459&amp;Result=3","7076459")</f>
        <v>0</v>
      </c>
      <c r="B5409" t="s">
        <v>563</v>
      </c>
      <c r="C5409" t="s">
        <v>8689</v>
      </c>
      <c r="D5409" t="s">
        <v>18124</v>
      </c>
      <c r="E5409" t="s">
        <v>23021</v>
      </c>
      <c r="F5409" t="s">
        <v>31362</v>
      </c>
      <c r="G5409" t="s">
        <v>31369</v>
      </c>
      <c r="H5409" t="s">
        <v>15799</v>
      </c>
      <c r="I5409" t="s">
        <v>31390</v>
      </c>
      <c r="J5409" t="s">
        <v>31531</v>
      </c>
      <c r="K5409" t="s">
        <v>40666</v>
      </c>
      <c r="M5409" t="s">
        <v>41519</v>
      </c>
      <c r="N5409" t="s">
        <v>44905</v>
      </c>
      <c r="O5409" t="s">
        <v>44906</v>
      </c>
      <c r="P5409">
        <v>0</v>
      </c>
      <c r="Q5409">
        <v>0</v>
      </c>
      <c r="R5409" t="s">
        <v>44909</v>
      </c>
      <c r="S5409" t="s">
        <v>45060</v>
      </c>
      <c r="T5409" t="s">
        <v>46433</v>
      </c>
      <c r="U5409" t="s">
        <v>51321</v>
      </c>
      <c r="W5409" t="s">
        <v>41519</v>
      </c>
      <c r="X5409" t="s">
        <v>44910</v>
      </c>
    </row>
    <row r="5410" spans="1:24">
      <c r="A5410">
        <f>HYPERLINK("https://www.philgeps.gov.ph/GEPSNONPILOT/Tender/SplashBidNoticeAbstractUI.aspx?menuIndex=3&amp;refID=7076458&amp;Result=3","7076458")</f>
        <v>0</v>
      </c>
      <c r="B5410" t="s">
        <v>1763</v>
      </c>
      <c r="C5410" t="s">
        <v>8690</v>
      </c>
      <c r="E5410" t="s">
        <v>23022</v>
      </c>
      <c r="F5410" t="s">
        <v>31364</v>
      </c>
      <c r="G5410" t="s">
        <v>31370</v>
      </c>
      <c r="H5410" t="s">
        <v>15799</v>
      </c>
      <c r="I5410" t="s">
        <v>6373</v>
      </c>
      <c r="J5410" t="s">
        <v>34977</v>
      </c>
      <c r="K5410" t="s">
        <v>40662</v>
      </c>
      <c r="M5410" t="s">
        <v>42840</v>
      </c>
      <c r="N5410" t="s">
        <v>44905</v>
      </c>
      <c r="O5410" t="s">
        <v>44906</v>
      </c>
      <c r="P5410">
        <v>0</v>
      </c>
      <c r="Q5410">
        <v>21</v>
      </c>
      <c r="R5410" t="s">
        <v>44909</v>
      </c>
      <c r="S5410" t="s">
        <v>45060</v>
      </c>
      <c r="T5410" t="s">
        <v>46503</v>
      </c>
      <c r="U5410" t="s">
        <v>51322</v>
      </c>
      <c r="W5410" t="s">
        <v>42840</v>
      </c>
      <c r="X5410" t="s">
        <v>44910</v>
      </c>
    </row>
    <row r="5411" spans="1:24">
      <c r="A5411">
        <f>HYPERLINK("https://www.philgeps.gov.ph/GEPSNONPILOT/Tender/SplashBidNoticeAbstractUI.aspx?menuIndex=3&amp;refID=7076450&amp;Result=3","7076450")</f>
        <v>0</v>
      </c>
      <c r="B5411" t="s">
        <v>1764</v>
      </c>
      <c r="C5411" t="s">
        <v>8691</v>
      </c>
      <c r="D5411" t="s">
        <v>18134</v>
      </c>
      <c r="E5411" t="s">
        <v>23023</v>
      </c>
      <c r="F5411" t="s">
        <v>31362</v>
      </c>
      <c r="G5411" t="s">
        <v>31368</v>
      </c>
      <c r="H5411" t="s">
        <v>15799</v>
      </c>
      <c r="I5411" t="s">
        <v>4942</v>
      </c>
      <c r="J5411" t="s">
        <v>31765</v>
      </c>
      <c r="K5411" t="s">
        <v>40697</v>
      </c>
      <c r="M5411" t="s">
        <v>42841</v>
      </c>
      <c r="N5411" t="s">
        <v>44905</v>
      </c>
      <c r="O5411" t="s">
        <v>44906</v>
      </c>
      <c r="P5411">
        <v>0</v>
      </c>
      <c r="Q5411">
        <v>0</v>
      </c>
      <c r="R5411" t="s">
        <v>44909</v>
      </c>
      <c r="S5411" t="s">
        <v>45060</v>
      </c>
      <c r="T5411" t="s">
        <v>46443</v>
      </c>
      <c r="U5411" t="s">
        <v>51323</v>
      </c>
      <c r="W5411" t="s">
        <v>42841</v>
      </c>
      <c r="X5411" t="s">
        <v>44910</v>
      </c>
    </row>
    <row r="5412" spans="1:24">
      <c r="A5412">
        <f>HYPERLINK("https://www.philgeps.gov.ph/GEPSNONPILOT/Tender/SplashBidNoticeAbstractUI.aspx?menuIndex=3&amp;refID=7076449&amp;Result=3","7076449")</f>
        <v>0</v>
      </c>
      <c r="B5412" t="s">
        <v>124</v>
      </c>
      <c r="C5412" t="s">
        <v>8692</v>
      </c>
      <c r="D5412" t="s">
        <v>18146</v>
      </c>
      <c r="E5412" t="s">
        <v>23024</v>
      </c>
      <c r="F5412" t="s">
        <v>31362</v>
      </c>
      <c r="G5412" t="s">
        <v>31368</v>
      </c>
      <c r="H5412" t="s">
        <v>15799</v>
      </c>
      <c r="I5412" t="s">
        <v>31380</v>
      </c>
      <c r="J5412" t="s">
        <v>31530</v>
      </c>
      <c r="K5412" t="s">
        <v>40670</v>
      </c>
      <c r="M5412" t="s">
        <v>42570</v>
      </c>
      <c r="N5412" t="s">
        <v>44905</v>
      </c>
      <c r="O5412" t="s">
        <v>44906</v>
      </c>
      <c r="P5412">
        <v>0</v>
      </c>
      <c r="Q5412">
        <v>4</v>
      </c>
      <c r="R5412" t="s">
        <v>44909</v>
      </c>
      <c r="S5412" t="s">
        <v>45060</v>
      </c>
      <c r="T5412" t="s">
        <v>46409</v>
      </c>
      <c r="U5412" t="s">
        <v>48141</v>
      </c>
      <c r="V5412" t="s">
        <v>59220</v>
      </c>
      <c r="W5412" t="s">
        <v>42570</v>
      </c>
      <c r="X5412" t="s">
        <v>44910</v>
      </c>
    </row>
    <row r="5413" spans="1:24">
      <c r="A5413">
        <f>HYPERLINK("https://www.philgeps.gov.ph/GEPSNONPILOT/Tender/SplashBidNoticeAbstractUI.aspx?menuIndex=3&amp;refID=7076441&amp;Result=3","7076441")</f>
        <v>0</v>
      </c>
      <c r="B5413" t="s">
        <v>472</v>
      </c>
      <c r="C5413" t="s">
        <v>8693</v>
      </c>
      <c r="D5413" t="s">
        <v>18134</v>
      </c>
      <c r="E5413" t="s">
        <v>23025</v>
      </c>
      <c r="F5413" t="s">
        <v>31362</v>
      </c>
      <c r="G5413" t="s">
        <v>31368</v>
      </c>
      <c r="H5413" t="s">
        <v>15799</v>
      </c>
      <c r="I5413" t="s">
        <v>31436</v>
      </c>
      <c r="J5413" t="s">
        <v>34978</v>
      </c>
      <c r="K5413" t="s">
        <v>40665</v>
      </c>
      <c r="M5413" t="s">
        <v>42842</v>
      </c>
      <c r="N5413" t="s">
        <v>44905</v>
      </c>
      <c r="O5413" t="s">
        <v>44906</v>
      </c>
      <c r="P5413">
        <v>0</v>
      </c>
      <c r="Q5413">
        <v>0</v>
      </c>
      <c r="R5413" t="s">
        <v>44909</v>
      </c>
      <c r="S5413" t="s">
        <v>45060</v>
      </c>
      <c r="T5413" t="s">
        <v>46454</v>
      </c>
      <c r="U5413" t="s">
        <v>51324</v>
      </c>
      <c r="W5413" t="s">
        <v>42842</v>
      </c>
      <c r="X5413" t="s">
        <v>44910</v>
      </c>
    </row>
    <row r="5414" spans="1:24">
      <c r="A5414">
        <f>HYPERLINK("https://www.philgeps.gov.ph/GEPSNONPILOT/Tender/SplashBidNoticeAbstractUI.aspx?menuIndex=3&amp;refID=7076467&amp;Result=3","7076467")</f>
        <v>0</v>
      </c>
      <c r="B5414" t="s">
        <v>303</v>
      </c>
      <c r="C5414" t="s">
        <v>8694</v>
      </c>
      <c r="D5414" t="s">
        <v>18121</v>
      </c>
      <c r="E5414" t="s">
        <v>23026</v>
      </c>
      <c r="F5414" t="s">
        <v>31362</v>
      </c>
      <c r="G5414" t="s">
        <v>31371</v>
      </c>
      <c r="H5414" t="s">
        <v>15799</v>
      </c>
      <c r="I5414" t="s">
        <v>7719</v>
      </c>
      <c r="J5414" t="s">
        <v>33890</v>
      </c>
      <c r="K5414" t="s">
        <v>40665</v>
      </c>
      <c r="M5414" t="s">
        <v>41247</v>
      </c>
      <c r="N5414" t="s">
        <v>44905</v>
      </c>
      <c r="O5414" t="s">
        <v>44906</v>
      </c>
      <c r="P5414">
        <v>0</v>
      </c>
      <c r="Q5414">
        <v>1</v>
      </c>
      <c r="R5414" t="s">
        <v>44909</v>
      </c>
      <c r="S5414" t="s">
        <v>45060</v>
      </c>
      <c r="T5414" t="s">
        <v>46409</v>
      </c>
      <c r="U5414" t="s">
        <v>51325</v>
      </c>
      <c r="W5414" t="s">
        <v>41247</v>
      </c>
      <c r="X5414" t="s">
        <v>44910</v>
      </c>
    </row>
    <row r="5415" spans="1:24">
      <c r="A5415">
        <f>HYPERLINK("https://www.philgeps.gov.ph/GEPSNONPILOT/Tender/SplashBidNoticeAbstractUI.aspx?menuIndex=3&amp;refID=7076445&amp;Result=3","7076445")</f>
        <v>0</v>
      </c>
      <c r="B5415" t="s">
        <v>1101</v>
      </c>
      <c r="C5415" t="s">
        <v>8695</v>
      </c>
      <c r="D5415" t="s">
        <v>18138</v>
      </c>
      <c r="E5415" t="s">
        <v>23027</v>
      </c>
      <c r="F5415" t="s">
        <v>31362</v>
      </c>
      <c r="G5415" t="s">
        <v>31369</v>
      </c>
      <c r="H5415" t="s">
        <v>31378</v>
      </c>
      <c r="I5415" t="s">
        <v>31386</v>
      </c>
      <c r="J5415" t="s">
        <v>34979</v>
      </c>
      <c r="K5415" t="s">
        <v>40778</v>
      </c>
      <c r="M5415" t="s">
        <v>42106</v>
      </c>
      <c r="N5415" t="s">
        <v>44905</v>
      </c>
      <c r="O5415" t="s">
        <v>44906</v>
      </c>
      <c r="P5415">
        <v>0</v>
      </c>
      <c r="Q5415">
        <v>0</v>
      </c>
      <c r="R5415" t="s">
        <v>44909</v>
      </c>
      <c r="S5415" t="s">
        <v>45060</v>
      </c>
      <c r="T5415" t="s">
        <v>46511</v>
      </c>
      <c r="U5415" t="s">
        <v>51326</v>
      </c>
      <c r="V5415" t="s">
        <v>59566</v>
      </c>
      <c r="W5415" t="s">
        <v>42106</v>
      </c>
      <c r="X5415" t="s">
        <v>44910</v>
      </c>
    </row>
    <row r="5416" spans="1:24">
      <c r="A5416">
        <f>HYPERLINK("https://www.philgeps.gov.ph/GEPSNONPILOT/Tender/SplashBidNoticeAbstractUI.aspx?menuIndex=3&amp;refID=7076473&amp;Result=3","7076473")</f>
        <v>0</v>
      </c>
      <c r="B5416" t="s">
        <v>28</v>
      </c>
      <c r="C5416" t="s">
        <v>8696</v>
      </c>
      <c r="D5416" t="s">
        <v>18102</v>
      </c>
      <c r="E5416" t="s">
        <v>23028</v>
      </c>
      <c r="F5416" t="s">
        <v>31362</v>
      </c>
      <c r="G5416" t="s">
        <v>31368</v>
      </c>
      <c r="H5416" t="s">
        <v>15799</v>
      </c>
      <c r="I5416" t="s">
        <v>31393</v>
      </c>
      <c r="J5416" t="s">
        <v>31545</v>
      </c>
      <c r="K5416" t="s">
        <v>40661</v>
      </c>
      <c r="M5416" t="s">
        <v>40962</v>
      </c>
      <c r="N5416" t="s">
        <v>44905</v>
      </c>
      <c r="O5416" t="s">
        <v>44906</v>
      </c>
      <c r="P5416">
        <v>0</v>
      </c>
      <c r="Q5416">
        <v>4</v>
      </c>
      <c r="R5416" t="s">
        <v>44909</v>
      </c>
      <c r="S5416" t="s">
        <v>45060</v>
      </c>
      <c r="T5416" t="s">
        <v>46447</v>
      </c>
      <c r="U5416" t="s">
        <v>51327</v>
      </c>
      <c r="W5416" t="s">
        <v>40962</v>
      </c>
      <c r="X5416" t="s">
        <v>44910</v>
      </c>
    </row>
    <row r="5417" spans="1:24">
      <c r="A5417">
        <f>HYPERLINK("https://www.philgeps.gov.ph/GEPSNONPILOT/Tender/SplashBidNoticeAbstractUI.aspx?menuIndex=3&amp;refID=7076472&amp;Result=3","7076472")</f>
        <v>0</v>
      </c>
      <c r="B5417" t="s">
        <v>566</v>
      </c>
      <c r="C5417" t="s">
        <v>8697</v>
      </c>
      <c r="D5417" t="s">
        <v>18108</v>
      </c>
      <c r="E5417" t="s">
        <v>23029</v>
      </c>
      <c r="F5417" t="s">
        <v>31362</v>
      </c>
      <c r="G5417" t="s">
        <v>31368</v>
      </c>
      <c r="H5417" t="s">
        <v>15799</v>
      </c>
      <c r="I5417" t="s">
        <v>31419</v>
      </c>
      <c r="J5417" t="s">
        <v>31541</v>
      </c>
      <c r="K5417" t="s">
        <v>40662</v>
      </c>
      <c r="M5417" t="s">
        <v>42843</v>
      </c>
      <c r="N5417" t="s">
        <v>44905</v>
      </c>
      <c r="O5417" t="s">
        <v>44906</v>
      </c>
      <c r="P5417">
        <v>0</v>
      </c>
      <c r="Q5417">
        <v>15</v>
      </c>
      <c r="R5417" t="s">
        <v>44909</v>
      </c>
      <c r="S5417" t="s">
        <v>45060</v>
      </c>
      <c r="T5417" t="s">
        <v>46409</v>
      </c>
      <c r="U5417" t="s">
        <v>51328</v>
      </c>
      <c r="V5417" t="s">
        <v>59582</v>
      </c>
      <c r="W5417" t="s">
        <v>42843</v>
      </c>
      <c r="X5417" t="s">
        <v>44910</v>
      </c>
    </row>
    <row r="5418" spans="1:24">
      <c r="A5418">
        <f>HYPERLINK("https://www.philgeps.gov.ph/GEPSNONPILOT/Tender/SplashBidNoticeAbstractUI.aspx?menuIndex=3&amp;refID=7076494&amp;Result=3","7076494")</f>
        <v>0</v>
      </c>
      <c r="B5418" t="s">
        <v>1765</v>
      </c>
      <c r="C5418" t="s">
        <v>8698</v>
      </c>
      <c r="D5418" t="s">
        <v>18178</v>
      </c>
      <c r="E5418" t="s">
        <v>19861</v>
      </c>
      <c r="F5418" t="s">
        <v>31362</v>
      </c>
      <c r="G5418" t="s">
        <v>31369</v>
      </c>
      <c r="H5418" t="s">
        <v>31378</v>
      </c>
      <c r="I5418" t="s">
        <v>31386</v>
      </c>
      <c r="J5418" t="s">
        <v>34980</v>
      </c>
      <c r="K5418" t="s">
        <v>40662</v>
      </c>
      <c r="M5418" t="s">
        <v>42844</v>
      </c>
      <c r="N5418" t="s">
        <v>44905</v>
      </c>
      <c r="O5418" t="s">
        <v>44906</v>
      </c>
      <c r="P5418">
        <v>0</v>
      </c>
      <c r="Q5418">
        <v>0</v>
      </c>
      <c r="R5418" t="s">
        <v>44909</v>
      </c>
      <c r="S5418" t="s">
        <v>45060</v>
      </c>
      <c r="T5418" t="s">
        <v>46483</v>
      </c>
      <c r="U5418" t="s">
        <v>51329</v>
      </c>
      <c r="W5418" t="s">
        <v>60910</v>
      </c>
      <c r="X5418" t="s">
        <v>44910</v>
      </c>
    </row>
    <row r="5419" spans="1:24">
      <c r="A5419">
        <f>HYPERLINK("https://www.philgeps.gov.ph/GEPSNONPILOT/Tender/SplashBidNoticeAbstractUI.aspx?menuIndex=3&amp;refID=7076468&amp;Result=3","7076468")</f>
        <v>0</v>
      </c>
      <c r="B5419" t="s">
        <v>520</v>
      </c>
      <c r="C5419" t="s">
        <v>8699</v>
      </c>
      <c r="D5419" t="s">
        <v>18106</v>
      </c>
      <c r="E5419" t="s">
        <v>23030</v>
      </c>
      <c r="F5419" t="s">
        <v>31362</v>
      </c>
      <c r="G5419" t="s">
        <v>31368</v>
      </c>
      <c r="H5419" t="s">
        <v>15799</v>
      </c>
      <c r="I5419" t="s">
        <v>31406</v>
      </c>
      <c r="J5419" t="s">
        <v>31536</v>
      </c>
      <c r="K5419" t="s">
        <v>40672</v>
      </c>
      <c r="M5419" t="s">
        <v>41476</v>
      </c>
      <c r="N5419" t="s">
        <v>44905</v>
      </c>
      <c r="O5419" t="s">
        <v>44906</v>
      </c>
      <c r="P5419">
        <v>0</v>
      </c>
      <c r="Q5419">
        <v>6</v>
      </c>
      <c r="R5419" t="s">
        <v>44909</v>
      </c>
      <c r="S5419" t="s">
        <v>45060</v>
      </c>
      <c r="T5419" t="s">
        <v>46454</v>
      </c>
      <c r="U5419" t="s">
        <v>51330</v>
      </c>
      <c r="W5419" t="s">
        <v>41476</v>
      </c>
      <c r="X5419" t="s">
        <v>44910</v>
      </c>
    </row>
    <row r="5420" spans="1:24">
      <c r="A5420">
        <f>HYPERLINK("https://www.philgeps.gov.ph/GEPSNONPILOT/Tender/SplashBidNoticeAbstractUI.aspx?menuIndex=3&amp;refID=7076490&amp;Result=3","7076490")</f>
        <v>0</v>
      </c>
      <c r="B5420" t="s">
        <v>1127</v>
      </c>
      <c r="C5420" t="s">
        <v>8700</v>
      </c>
      <c r="D5420" t="s">
        <v>18160</v>
      </c>
      <c r="E5420" t="s">
        <v>23031</v>
      </c>
      <c r="F5420" t="s">
        <v>31362</v>
      </c>
      <c r="G5420" t="s">
        <v>31369</v>
      </c>
      <c r="H5420" t="s">
        <v>15799</v>
      </c>
      <c r="I5420" t="s">
        <v>31393</v>
      </c>
      <c r="J5420" t="s">
        <v>34981</v>
      </c>
      <c r="K5420" t="s">
        <v>40696</v>
      </c>
      <c r="M5420" t="s">
        <v>42134</v>
      </c>
      <c r="N5420" t="s">
        <v>44905</v>
      </c>
      <c r="O5420" t="s">
        <v>44906</v>
      </c>
      <c r="P5420">
        <v>0</v>
      </c>
      <c r="Q5420">
        <v>11</v>
      </c>
      <c r="R5420" t="s">
        <v>44909</v>
      </c>
      <c r="S5420" t="s">
        <v>45060</v>
      </c>
      <c r="T5420" t="s">
        <v>46705</v>
      </c>
      <c r="U5420" t="s">
        <v>51331</v>
      </c>
      <c r="W5420" t="s">
        <v>42134</v>
      </c>
      <c r="X5420" t="s">
        <v>44910</v>
      </c>
    </row>
    <row r="5421" spans="1:24">
      <c r="A5421">
        <f>HYPERLINK("https://www.philgeps.gov.ph/GEPSNONPILOT/Tender/SplashBidNoticeAbstractUI.aspx?menuIndex=3&amp;refID=7076489&amp;Result=3","7076489")</f>
        <v>0</v>
      </c>
      <c r="B5421" t="s">
        <v>1470</v>
      </c>
      <c r="C5421" t="s">
        <v>8701</v>
      </c>
      <c r="D5421" t="s">
        <v>18104</v>
      </c>
      <c r="E5421" t="s">
        <v>23032</v>
      </c>
      <c r="F5421" t="s">
        <v>31362</v>
      </c>
      <c r="G5421" t="s">
        <v>31368</v>
      </c>
      <c r="H5421" t="s">
        <v>15799</v>
      </c>
      <c r="I5421" t="s">
        <v>31385</v>
      </c>
      <c r="J5421" t="s">
        <v>31536</v>
      </c>
      <c r="K5421" t="s">
        <v>40661</v>
      </c>
      <c r="M5421" t="s">
        <v>42503</v>
      </c>
      <c r="N5421" t="s">
        <v>44905</v>
      </c>
      <c r="O5421" t="s">
        <v>44906</v>
      </c>
      <c r="P5421">
        <v>0</v>
      </c>
      <c r="Q5421">
        <v>0</v>
      </c>
      <c r="R5421" t="s">
        <v>44909</v>
      </c>
      <c r="S5421" t="s">
        <v>45060</v>
      </c>
      <c r="T5421" t="s">
        <v>46435</v>
      </c>
      <c r="U5421" t="s">
        <v>51332</v>
      </c>
      <c r="W5421" t="s">
        <v>42503</v>
      </c>
      <c r="X5421" t="s">
        <v>44910</v>
      </c>
    </row>
    <row r="5422" spans="1:24">
      <c r="A5422">
        <f>HYPERLINK("https://www.philgeps.gov.ph/GEPSNONPILOT/Tender/SplashBidNoticeAbstractUI.aspx?menuIndex=3&amp;refID=7076487&amp;Result=3","7076487")</f>
        <v>0</v>
      </c>
      <c r="B5422" t="s">
        <v>260</v>
      </c>
      <c r="C5422" t="s">
        <v>8702</v>
      </c>
      <c r="D5422" t="s">
        <v>18138</v>
      </c>
      <c r="E5422" t="s">
        <v>23033</v>
      </c>
      <c r="F5422" t="s">
        <v>31362</v>
      </c>
      <c r="G5422" t="s">
        <v>31368</v>
      </c>
      <c r="H5422" t="s">
        <v>15799</v>
      </c>
      <c r="I5422" t="s">
        <v>4057</v>
      </c>
      <c r="J5422" t="s">
        <v>34982</v>
      </c>
      <c r="K5422" t="s">
        <v>40662</v>
      </c>
      <c r="M5422" t="s">
        <v>41201</v>
      </c>
      <c r="N5422" t="s">
        <v>44905</v>
      </c>
      <c r="O5422" t="s">
        <v>44906</v>
      </c>
      <c r="P5422">
        <v>0</v>
      </c>
      <c r="Q5422">
        <v>1</v>
      </c>
      <c r="R5422" t="s">
        <v>44909</v>
      </c>
      <c r="S5422" t="s">
        <v>45060</v>
      </c>
      <c r="T5422" t="s">
        <v>46414</v>
      </c>
      <c r="U5422" t="s">
        <v>51333</v>
      </c>
      <c r="W5422" t="s">
        <v>41201</v>
      </c>
      <c r="X5422" t="s">
        <v>44910</v>
      </c>
    </row>
    <row r="5423" spans="1:24">
      <c r="A5423">
        <f>HYPERLINK("https://www.philgeps.gov.ph/GEPSNONPILOT/Tender/SplashBidNoticeAbstractUI.aspx?menuIndex=3&amp;refID=7076452&amp;Result=3","7076452")</f>
        <v>0</v>
      </c>
      <c r="B5423" t="s">
        <v>284</v>
      </c>
      <c r="C5423" t="s">
        <v>8703</v>
      </c>
      <c r="D5423" t="s">
        <v>18122</v>
      </c>
      <c r="E5423" t="s">
        <v>23034</v>
      </c>
      <c r="F5423" t="s">
        <v>31362</v>
      </c>
      <c r="G5423" t="s">
        <v>31370</v>
      </c>
      <c r="H5423" t="s">
        <v>15799</v>
      </c>
      <c r="I5423" t="s">
        <v>31380</v>
      </c>
      <c r="J5423" t="s">
        <v>34983</v>
      </c>
      <c r="K5423" t="s">
        <v>40662</v>
      </c>
      <c r="M5423" t="s">
        <v>42836</v>
      </c>
      <c r="N5423" t="s">
        <v>44905</v>
      </c>
      <c r="O5423" t="s">
        <v>44906</v>
      </c>
      <c r="P5423">
        <v>0</v>
      </c>
      <c r="Q5423">
        <v>2</v>
      </c>
      <c r="R5423" t="s">
        <v>44909</v>
      </c>
      <c r="S5423" t="s">
        <v>45060</v>
      </c>
      <c r="T5423" t="s">
        <v>46432</v>
      </c>
      <c r="U5423" t="s">
        <v>51334</v>
      </c>
      <c r="W5423" t="s">
        <v>60909</v>
      </c>
      <c r="X5423" t="s">
        <v>44910</v>
      </c>
    </row>
    <row r="5424" spans="1:24">
      <c r="A5424">
        <f>HYPERLINK("https://www.philgeps.gov.ph/GEPSNONPILOT/Tender/SplashBidNoticeAbstractUI.aspx?menuIndex=3&amp;refID=7076491&amp;Result=3","7076491")</f>
        <v>0</v>
      </c>
      <c r="B5424" t="s">
        <v>1414</v>
      </c>
      <c r="C5424" t="s">
        <v>8704</v>
      </c>
      <c r="D5424" t="s">
        <v>18106</v>
      </c>
      <c r="E5424" t="s">
        <v>23035</v>
      </c>
      <c r="F5424" t="s">
        <v>31362</v>
      </c>
      <c r="G5424" t="s">
        <v>31368</v>
      </c>
      <c r="H5424" t="s">
        <v>31378</v>
      </c>
      <c r="I5424" t="s">
        <v>31386</v>
      </c>
      <c r="J5424" t="s">
        <v>31536</v>
      </c>
      <c r="K5424" t="s">
        <v>40670</v>
      </c>
      <c r="M5424" t="s">
        <v>42439</v>
      </c>
      <c r="N5424" t="s">
        <v>44905</v>
      </c>
      <c r="O5424" t="s">
        <v>44906</v>
      </c>
      <c r="P5424">
        <v>0</v>
      </c>
      <c r="Q5424">
        <v>0</v>
      </c>
      <c r="R5424" t="s">
        <v>44909</v>
      </c>
      <c r="S5424" t="s">
        <v>45060</v>
      </c>
      <c r="T5424" t="s">
        <v>46454</v>
      </c>
      <c r="U5424" t="s">
        <v>51335</v>
      </c>
      <c r="W5424" t="s">
        <v>42439</v>
      </c>
      <c r="X5424" t="s">
        <v>44910</v>
      </c>
    </row>
    <row r="5425" spans="1:24">
      <c r="A5425">
        <f>HYPERLINK("https://www.philgeps.gov.ph/GEPSNONPILOT/Tender/SplashBidNoticeAbstractUI.aspx?menuIndex=3&amp;refID=7076500&amp;Result=3","7076500")</f>
        <v>0</v>
      </c>
      <c r="B5425" t="s">
        <v>1766</v>
      </c>
      <c r="C5425" t="s">
        <v>8705</v>
      </c>
      <c r="D5425" t="s">
        <v>18100</v>
      </c>
      <c r="E5425" t="s">
        <v>23036</v>
      </c>
      <c r="F5425" t="s">
        <v>31362</v>
      </c>
      <c r="G5425" t="s">
        <v>31368</v>
      </c>
      <c r="H5425" t="s">
        <v>15799</v>
      </c>
      <c r="I5425" t="s">
        <v>31385</v>
      </c>
      <c r="J5425" t="s">
        <v>34984</v>
      </c>
      <c r="K5425" t="s">
        <v>40693</v>
      </c>
      <c r="M5425" t="s">
        <v>42845</v>
      </c>
      <c r="N5425" t="s">
        <v>44905</v>
      </c>
      <c r="O5425" t="s">
        <v>44906</v>
      </c>
      <c r="P5425">
        <v>0</v>
      </c>
      <c r="Q5425">
        <v>5</v>
      </c>
      <c r="R5425" t="s">
        <v>44909</v>
      </c>
      <c r="S5425" t="s">
        <v>45060</v>
      </c>
      <c r="T5425" t="s">
        <v>46706</v>
      </c>
      <c r="U5425" t="s">
        <v>51336</v>
      </c>
      <c r="W5425" t="s">
        <v>42845</v>
      </c>
      <c r="X5425" t="s">
        <v>44910</v>
      </c>
    </row>
    <row r="5426" spans="1:24">
      <c r="A5426">
        <f>HYPERLINK("https://www.philgeps.gov.ph/GEPSNONPILOT/Tender/SplashBidNoticeAbstractUI.aspx?menuIndex=3&amp;refID=7076448&amp;Result=3","7076448")</f>
        <v>0</v>
      </c>
      <c r="B5426" t="s">
        <v>1767</v>
      </c>
      <c r="C5426" t="s">
        <v>7974</v>
      </c>
      <c r="D5426" t="s">
        <v>18134</v>
      </c>
      <c r="E5426" t="s">
        <v>23037</v>
      </c>
      <c r="F5426" t="s">
        <v>31362</v>
      </c>
      <c r="G5426" t="s">
        <v>31370</v>
      </c>
      <c r="H5426" t="s">
        <v>15799</v>
      </c>
      <c r="I5426" t="s">
        <v>7719</v>
      </c>
      <c r="J5426" t="s">
        <v>31541</v>
      </c>
      <c r="K5426" t="s">
        <v>40666</v>
      </c>
      <c r="M5426" t="s">
        <v>42846</v>
      </c>
      <c r="N5426" t="s">
        <v>44905</v>
      </c>
      <c r="O5426" t="s">
        <v>44906</v>
      </c>
      <c r="P5426">
        <v>0</v>
      </c>
      <c r="Q5426">
        <v>10</v>
      </c>
      <c r="R5426" t="s">
        <v>44909</v>
      </c>
      <c r="S5426" t="s">
        <v>45060</v>
      </c>
      <c r="T5426" t="s">
        <v>46409</v>
      </c>
      <c r="U5426" t="s">
        <v>51337</v>
      </c>
      <c r="W5426" t="s">
        <v>42846</v>
      </c>
      <c r="X5426" t="s">
        <v>44910</v>
      </c>
    </row>
    <row r="5427" spans="1:24">
      <c r="A5427">
        <f>HYPERLINK("https://www.philgeps.gov.ph/GEPSNONPILOT/Tender/SplashBidNoticeAbstractUI.aspx?menuIndex=3&amp;refID=7076486&amp;Result=3","7076486")</f>
        <v>0</v>
      </c>
      <c r="B5427" t="s">
        <v>641</v>
      </c>
      <c r="C5427" t="s">
        <v>8706</v>
      </c>
      <c r="D5427" t="s">
        <v>18158</v>
      </c>
      <c r="E5427" t="s">
        <v>23038</v>
      </c>
      <c r="F5427" t="s">
        <v>31362</v>
      </c>
      <c r="G5427" t="s">
        <v>31369</v>
      </c>
      <c r="H5427" t="s">
        <v>15799</v>
      </c>
      <c r="I5427" t="s">
        <v>31384</v>
      </c>
      <c r="J5427" t="s">
        <v>34985</v>
      </c>
      <c r="K5427" t="s">
        <v>40682</v>
      </c>
      <c r="M5427" t="s">
        <v>42801</v>
      </c>
      <c r="N5427" t="s">
        <v>44905</v>
      </c>
      <c r="O5427" t="s">
        <v>44906</v>
      </c>
      <c r="P5427">
        <v>0</v>
      </c>
      <c r="Q5427">
        <v>13</v>
      </c>
      <c r="R5427" t="s">
        <v>44909</v>
      </c>
      <c r="S5427" t="s">
        <v>45060</v>
      </c>
      <c r="T5427" t="s">
        <v>46450</v>
      </c>
      <c r="U5427" t="s">
        <v>51338</v>
      </c>
      <c r="W5427" t="s">
        <v>42801</v>
      </c>
      <c r="X5427" t="s">
        <v>44910</v>
      </c>
    </row>
    <row r="5428" spans="1:24">
      <c r="A5428">
        <f>HYPERLINK("https://www.philgeps.gov.ph/GEPSNONPILOT/Tender/SplashBidNoticeAbstractUI.aspx?menuIndex=3&amp;refID=7076497&amp;Result=3","7076497")</f>
        <v>0</v>
      </c>
      <c r="B5428" t="s">
        <v>214</v>
      </c>
      <c r="C5428" t="s">
        <v>8707</v>
      </c>
      <c r="D5428" t="s">
        <v>18158</v>
      </c>
      <c r="E5428" t="s">
        <v>23039</v>
      </c>
      <c r="F5428" t="s">
        <v>31362</v>
      </c>
      <c r="G5428" t="s">
        <v>31371</v>
      </c>
      <c r="H5428" t="s">
        <v>15799</v>
      </c>
      <c r="I5428" t="s">
        <v>31385</v>
      </c>
      <c r="J5428" t="s">
        <v>34986</v>
      </c>
      <c r="K5428" t="s">
        <v>40666</v>
      </c>
      <c r="M5428" t="s">
        <v>41153</v>
      </c>
      <c r="N5428" t="s">
        <v>44905</v>
      </c>
      <c r="O5428" t="s">
        <v>44906</v>
      </c>
      <c r="P5428">
        <v>0</v>
      </c>
      <c r="Q5428">
        <v>0</v>
      </c>
      <c r="R5428" t="s">
        <v>44909</v>
      </c>
      <c r="S5428" t="s">
        <v>45060</v>
      </c>
      <c r="T5428" t="s">
        <v>46478</v>
      </c>
      <c r="U5428" t="s">
        <v>51339</v>
      </c>
      <c r="W5428" t="s">
        <v>41153</v>
      </c>
      <c r="X5428" t="s">
        <v>44910</v>
      </c>
    </row>
    <row r="5429" spans="1:24">
      <c r="A5429">
        <f>HYPERLINK("https://www.philgeps.gov.ph/GEPSNONPILOT/Tender/SplashBidNoticeAbstractUI.aspx?menuIndex=3&amp;refID=7076444&amp;Result=3","7076444")</f>
        <v>0</v>
      </c>
      <c r="B5429" t="s">
        <v>1768</v>
      </c>
      <c r="C5429" t="s">
        <v>8708</v>
      </c>
      <c r="E5429" t="s">
        <v>23040</v>
      </c>
      <c r="F5429" t="s">
        <v>31362</v>
      </c>
      <c r="G5429" t="s">
        <v>31368</v>
      </c>
      <c r="H5429" t="s">
        <v>15799</v>
      </c>
      <c r="I5429" t="s">
        <v>13635</v>
      </c>
      <c r="J5429" t="s">
        <v>31987</v>
      </c>
      <c r="K5429" t="s">
        <v>40662</v>
      </c>
      <c r="N5429" t="s">
        <v>44905</v>
      </c>
      <c r="O5429" t="s">
        <v>44906</v>
      </c>
      <c r="Q5429">
        <v>2</v>
      </c>
      <c r="R5429" t="s">
        <v>44909</v>
      </c>
      <c r="S5429" t="s">
        <v>45064</v>
      </c>
      <c r="T5429" t="s">
        <v>46411</v>
      </c>
      <c r="U5429" t="s">
        <v>51340</v>
      </c>
      <c r="V5429" t="s">
        <v>59583</v>
      </c>
      <c r="W5429" t="s">
        <v>42868</v>
      </c>
      <c r="X5429" t="s">
        <v>44910</v>
      </c>
    </row>
    <row r="5430" spans="1:24">
      <c r="A5430">
        <f>HYPERLINK("https://www.philgeps.gov.ph/GEPSNONPILOT/Tender/SplashBidNoticeAbstractUI.aspx?menuIndex=3&amp;refID=7076485&amp;Result=3","7076485")</f>
        <v>0</v>
      </c>
      <c r="B5430" t="s">
        <v>563</v>
      </c>
      <c r="C5430" t="s">
        <v>8709</v>
      </c>
      <c r="D5430" t="s">
        <v>18124</v>
      </c>
      <c r="E5430" t="s">
        <v>23041</v>
      </c>
      <c r="F5430" t="s">
        <v>31362</v>
      </c>
      <c r="G5430" t="s">
        <v>31369</v>
      </c>
      <c r="H5430" t="s">
        <v>31378</v>
      </c>
      <c r="I5430" t="s">
        <v>31386</v>
      </c>
      <c r="J5430" t="s">
        <v>34987</v>
      </c>
      <c r="K5430" t="s">
        <v>40666</v>
      </c>
      <c r="M5430" t="s">
        <v>41519</v>
      </c>
      <c r="N5430" t="s">
        <v>44905</v>
      </c>
      <c r="O5430" t="s">
        <v>44906</v>
      </c>
      <c r="P5430">
        <v>0</v>
      </c>
      <c r="Q5430">
        <v>6</v>
      </c>
      <c r="R5430" t="s">
        <v>44909</v>
      </c>
      <c r="S5430" t="s">
        <v>45060</v>
      </c>
      <c r="T5430" t="s">
        <v>46433</v>
      </c>
      <c r="U5430" t="s">
        <v>51341</v>
      </c>
      <c r="W5430" t="s">
        <v>41519</v>
      </c>
      <c r="X5430" t="s">
        <v>44910</v>
      </c>
    </row>
    <row r="5431" spans="1:24">
      <c r="A5431">
        <f>HYPERLINK("https://www.philgeps.gov.ph/GEPSNONPILOT/Tender/SplashBidNoticeAbstractUI.aspx?menuIndex=3&amp;refID=7076484&amp;Result=3","7076484")</f>
        <v>0</v>
      </c>
      <c r="B5431" t="s">
        <v>1284</v>
      </c>
      <c r="C5431" t="s">
        <v>8710</v>
      </c>
      <c r="D5431" t="s">
        <v>18110</v>
      </c>
      <c r="E5431" t="s">
        <v>23042</v>
      </c>
      <c r="F5431" t="s">
        <v>31362</v>
      </c>
      <c r="G5431" t="s">
        <v>31369</v>
      </c>
      <c r="H5431" t="s">
        <v>31378</v>
      </c>
      <c r="I5431" t="s">
        <v>31386</v>
      </c>
      <c r="J5431" t="s">
        <v>31625</v>
      </c>
      <c r="K5431" t="s">
        <v>40798</v>
      </c>
      <c r="M5431" t="s">
        <v>42301</v>
      </c>
      <c r="N5431" t="s">
        <v>44905</v>
      </c>
      <c r="O5431" t="s">
        <v>44906</v>
      </c>
      <c r="P5431">
        <v>0</v>
      </c>
      <c r="Q5431">
        <v>1</v>
      </c>
      <c r="R5431" t="s">
        <v>44909</v>
      </c>
      <c r="S5431" t="s">
        <v>45060</v>
      </c>
      <c r="T5431" t="s">
        <v>46608</v>
      </c>
      <c r="U5431" t="s">
        <v>51342</v>
      </c>
      <c r="W5431" t="s">
        <v>42301</v>
      </c>
      <c r="X5431" t="s">
        <v>44910</v>
      </c>
    </row>
    <row r="5432" spans="1:24">
      <c r="A5432">
        <f>HYPERLINK("https://www.philgeps.gov.ph/GEPSNONPILOT/Tender/SplashBidNoticeAbstractUI.aspx?menuIndex=3&amp;refID=7076479&amp;Result=3","7076479")</f>
        <v>0</v>
      </c>
      <c r="B5432" t="s">
        <v>1769</v>
      </c>
      <c r="C5432" t="s">
        <v>8711</v>
      </c>
      <c r="D5432" t="s">
        <v>18107</v>
      </c>
      <c r="E5432" t="s">
        <v>20065</v>
      </c>
      <c r="F5432" t="s">
        <v>31362</v>
      </c>
      <c r="G5432" t="s">
        <v>31368</v>
      </c>
      <c r="H5432" t="s">
        <v>15799</v>
      </c>
      <c r="I5432" t="s">
        <v>31393</v>
      </c>
      <c r="J5432" t="s">
        <v>31811</v>
      </c>
      <c r="K5432" t="s">
        <v>40677</v>
      </c>
      <c r="M5432" t="s">
        <v>42847</v>
      </c>
      <c r="N5432" t="s">
        <v>44905</v>
      </c>
      <c r="O5432" t="s">
        <v>44906</v>
      </c>
      <c r="P5432">
        <v>0</v>
      </c>
      <c r="Q5432">
        <v>3</v>
      </c>
      <c r="R5432" t="s">
        <v>44909</v>
      </c>
      <c r="S5432" t="s">
        <v>45060</v>
      </c>
      <c r="T5432" t="s">
        <v>46446</v>
      </c>
      <c r="U5432" t="s">
        <v>51343</v>
      </c>
      <c r="W5432" t="s">
        <v>42847</v>
      </c>
      <c r="X5432" t="s">
        <v>44910</v>
      </c>
    </row>
    <row r="5433" spans="1:24">
      <c r="A5433">
        <f>HYPERLINK("https://www.philgeps.gov.ph/GEPSNONPILOT/Tender/SplashBidNoticeAbstractUI.aspx?menuIndex=3&amp;refID=7076478&amp;Result=3","7076478")</f>
        <v>0</v>
      </c>
      <c r="B5433" t="s">
        <v>472</v>
      </c>
      <c r="C5433" t="s">
        <v>8712</v>
      </c>
      <c r="D5433" t="s">
        <v>18134</v>
      </c>
      <c r="E5433" t="s">
        <v>23043</v>
      </c>
      <c r="F5433" t="s">
        <v>31362</v>
      </c>
      <c r="G5433" t="s">
        <v>31368</v>
      </c>
      <c r="H5433" t="s">
        <v>15799</v>
      </c>
      <c r="I5433" t="s">
        <v>6240</v>
      </c>
      <c r="J5433" t="s">
        <v>34988</v>
      </c>
      <c r="K5433" t="s">
        <v>40670</v>
      </c>
      <c r="M5433" t="s">
        <v>42842</v>
      </c>
      <c r="N5433" t="s">
        <v>44905</v>
      </c>
      <c r="O5433" t="s">
        <v>44906</v>
      </c>
      <c r="P5433">
        <v>0</v>
      </c>
      <c r="Q5433">
        <v>0</v>
      </c>
      <c r="R5433" t="s">
        <v>44909</v>
      </c>
      <c r="S5433" t="s">
        <v>45060</v>
      </c>
      <c r="T5433" t="s">
        <v>46454</v>
      </c>
      <c r="U5433" t="s">
        <v>51344</v>
      </c>
      <c r="W5433" t="s">
        <v>42842</v>
      </c>
      <c r="X5433" t="s">
        <v>44910</v>
      </c>
    </row>
    <row r="5434" spans="1:24">
      <c r="A5434">
        <f>HYPERLINK("https://www.philgeps.gov.ph/GEPSNONPILOT/Tender/SplashBidNoticeAbstractUI.aspx?menuIndex=3&amp;refID=7076476&amp;Result=3","7076476")</f>
        <v>0</v>
      </c>
      <c r="B5434" t="s">
        <v>362</v>
      </c>
      <c r="C5434" t="s">
        <v>8713</v>
      </c>
      <c r="D5434" t="s">
        <v>18103</v>
      </c>
      <c r="E5434" t="s">
        <v>23044</v>
      </c>
      <c r="F5434" t="s">
        <v>31362</v>
      </c>
      <c r="G5434" t="s">
        <v>31368</v>
      </c>
      <c r="H5434" t="s">
        <v>15799</v>
      </c>
      <c r="I5434" t="s">
        <v>31380</v>
      </c>
      <c r="J5434" t="s">
        <v>34989</v>
      </c>
      <c r="K5434" t="s">
        <v>40665</v>
      </c>
      <c r="M5434" t="s">
        <v>41309</v>
      </c>
      <c r="N5434" t="s">
        <v>44905</v>
      </c>
      <c r="O5434" t="s">
        <v>44906</v>
      </c>
      <c r="P5434">
        <v>0</v>
      </c>
      <c r="Q5434">
        <v>16</v>
      </c>
      <c r="R5434" t="s">
        <v>44909</v>
      </c>
      <c r="S5434" t="s">
        <v>45060</v>
      </c>
      <c r="T5434" t="s">
        <v>46409</v>
      </c>
      <c r="U5434" t="s">
        <v>47543</v>
      </c>
      <c r="V5434" t="s">
        <v>59144</v>
      </c>
      <c r="W5434" t="s">
        <v>60911</v>
      </c>
      <c r="X5434" t="s">
        <v>44910</v>
      </c>
    </row>
    <row r="5435" spans="1:24">
      <c r="A5435">
        <f>HYPERLINK("https://www.philgeps.gov.ph/GEPSNONPILOT/Tender/SplashBidNoticeAbstractUI.aspx?menuIndex=3&amp;refID=7076499&amp;Result=3","7076499")</f>
        <v>0</v>
      </c>
      <c r="B5435" t="s">
        <v>1770</v>
      </c>
      <c r="C5435" t="s">
        <v>8714</v>
      </c>
      <c r="D5435" t="s">
        <v>18116</v>
      </c>
      <c r="E5435" t="s">
        <v>23045</v>
      </c>
      <c r="F5435" t="s">
        <v>31362</v>
      </c>
      <c r="G5435" t="s">
        <v>31368</v>
      </c>
      <c r="H5435" t="s">
        <v>15799</v>
      </c>
      <c r="I5435" t="s">
        <v>31391</v>
      </c>
      <c r="J5435" t="s">
        <v>31940</v>
      </c>
      <c r="K5435" t="s">
        <v>40697</v>
      </c>
      <c r="M5435" t="s">
        <v>42848</v>
      </c>
      <c r="N5435" t="s">
        <v>44905</v>
      </c>
      <c r="O5435" t="s">
        <v>44906</v>
      </c>
      <c r="P5435">
        <v>0</v>
      </c>
      <c r="Q5435">
        <v>2</v>
      </c>
      <c r="R5435" t="s">
        <v>44909</v>
      </c>
      <c r="S5435" t="s">
        <v>45060</v>
      </c>
      <c r="T5435" t="s">
        <v>46707</v>
      </c>
      <c r="U5435" t="s">
        <v>51345</v>
      </c>
      <c r="W5435" t="s">
        <v>42848</v>
      </c>
      <c r="X5435" t="s">
        <v>44910</v>
      </c>
    </row>
    <row r="5436" spans="1:24">
      <c r="A5436">
        <f>HYPERLINK("https://www.philgeps.gov.ph/GEPSNONPILOT/Tender/SplashBidNoticeAbstractUI.aspx?menuIndex=3&amp;refID=7076501&amp;Result=3","7076501")</f>
        <v>0</v>
      </c>
      <c r="B5436" t="s">
        <v>1060</v>
      </c>
      <c r="C5436" t="s">
        <v>8715</v>
      </c>
      <c r="D5436" t="s">
        <v>18117</v>
      </c>
      <c r="E5436" t="s">
        <v>23046</v>
      </c>
      <c r="F5436" t="s">
        <v>31362</v>
      </c>
      <c r="G5436" t="s">
        <v>31368</v>
      </c>
      <c r="H5436" t="s">
        <v>15799</v>
      </c>
      <c r="I5436" t="s">
        <v>7188</v>
      </c>
      <c r="J5436" t="s">
        <v>34990</v>
      </c>
      <c r="K5436" t="s">
        <v>40677</v>
      </c>
      <c r="M5436" t="s">
        <v>42062</v>
      </c>
      <c r="N5436" t="s">
        <v>44905</v>
      </c>
      <c r="O5436" t="s">
        <v>44906</v>
      </c>
      <c r="P5436">
        <v>0</v>
      </c>
      <c r="Q5436">
        <v>1</v>
      </c>
      <c r="R5436" t="s">
        <v>44909</v>
      </c>
      <c r="S5436" t="s">
        <v>45060</v>
      </c>
      <c r="T5436" t="s">
        <v>46478</v>
      </c>
      <c r="U5436" t="s">
        <v>51346</v>
      </c>
      <c r="W5436" t="s">
        <v>42062</v>
      </c>
      <c r="X5436" t="s">
        <v>44910</v>
      </c>
    </row>
    <row r="5437" spans="1:24">
      <c r="A5437">
        <f>HYPERLINK("https://www.philgeps.gov.ph/GEPSNONPILOT/Tender/SplashBidNoticeAbstractUI.aspx?menuIndex=3&amp;refID=7076529&amp;Result=3","7076529")</f>
        <v>0</v>
      </c>
      <c r="B5437" t="s">
        <v>1771</v>
      </c>
      <c r="C5437" t="s">
        <v>8716</v>
      </c>
      <c r="D5437" t="s">
        <v>18119</v>
      </c>
      <c r="E5437" t="s">
        <v>23047</v>
      </c>
      <c r="F5437" t="s">
        <v>31362</v>
      </c>
      <c r="G5437" t="s">
        <v>31369</v>
      </c>
      <c r="H5437" t="s">
        <v>15799</v>
      </c>
      <c r="I5437" t="s">
        <v>31387</v>
      </c>
      <c r="J5437" t="s">
        <v>34991</v>
      </c>
      <c r="K5437" t="s">
        <v>40662</v>
      </c>
      <c r="M5437" t="s">
        <v>42849</v>
      </c>
      <c r="N5437" t="s">
        <v>44905</v>
      </c>
      <c r="O5437" t="s">
        <v>44906</v>
      </c>
      <c r="P5437">
        <v>0</v>
      </c>
      <c r="Q5437">
        <v>1</v>
      </c>
      <c r="R5437" t="s">
        <v>44909</v>
      </c>
      <c r="S5437" t="s">
        <v>45060</v>
      </c>
      <c r="T5437" t="s">
        <v>46433</v>
      </c>
      <c r="U5437" t="s">
        <v>51347</v>
      </c>
      <c r="W5437" t="s">
        <v>42849</v>
      </c>
      <c r="X5437" t="s">
        <v>44910</v>
      </c>
    </row>
    <row r="5438" spans="1:24">
      <c r="A5438">
        <f>HYPERLINK("https://www.philgeps.gov.ph/GEPSNONPILOT/Tender/SplashBidNoticeAbstractUI.aspx?menuIndex=3&amp;refID=7076528&amp;Result=3","7076528")</f>
        <v>0</v>
      </c>
      <c r="B5438" t="s">
        <v>1772</v>
      </c>
      <c r="C5438" t="s">
        <v>8717</v>
      </c>
      <c r="E5438" t="s">
        <v>23048</v>
      </c>
      <c r="F5438" t="s">
        <v>31362</v>
      </c>
      <c r="G5438" t="s">
        <v>31368</v>
      </c>
      <c r="H5438" t="s">
        <v>15799</v>
      </c>
      <c r="I5438" t="s">
        <v>31411</v>
      </c>
      <c r="J5438" t="s">
        <v>34992</v>
      </c>
      <c r="K5438" t="s">
        <v>40662</v>
      </c>
      <c r="M5438" t="s">
        <v>42850</v>
      </c>
      <c r="N5438" t="s">
        <v>44905</v>
      </c>
      <c r="O5438" t="s">
        <v>44906</v>
      </c>
      <c r="P5438">
        <v>0</v>
      </c>
      <c r="Q5438">
        <v>4</v>
      </c>
      <c r="R5438" t="s">
        <v>44909</v>
      </c>
      <c r="S5438" t="s">
        <v>45060</v>
      </c>
      <c r="T5438" t="s">
        <v>46409</v>
      </c>
      <c r="U5438" t="s">
        <v>51348</v>
      </c>
      <c r="W5438" t="s">
        <v>42850</v>
      </c>
      <c r="X5438" t="s">
        <v>44910</v>
      </c>
    </row>
    <row r="5439" spans="1:24">
      <c r="A5439">
        <f>HYPERLINK("https://www.philgeps.gov.ph/GEPSNONPILOT/Tender/SplashBidNoticeAbstractUI.aspx?menuIndex=3&amp;refID=7076454&amp;Result=3","7076454")</f>
        <v>0</v>
      </c>
      <c r="B5439" t="s">
        <v>1773</v>
      </c>
      <c r="C5439" t="s">
        <v>8718</v>
      </c>
      <c r="D5439" t="s">
        <v>18113</v>
      </c>
      <c r="E5439" t="s">
        <v>23049</v>
      </c>
      <c r="F5439" t="s">
        <v>31362</v>
      </c>
      <c r="G5439" t="s">
        <v>31368</v>
      </c>
      <c r="H5439" t="s">
        <v>15799</v>
      </c>
      <c r="I5439" t="s">
        <v>6155</v>
      </c>
      <c r="J5439" t="s">
        <v>31819</v>
      </c>
      <c r="K5439" t="s">
        <v>40665</v>
      </c>
      <c r="M5439" t="s">
        <v>42851</v>
      </c>
      <c r="N5439" t="s">
        <v>44905</v>
      </c>
      <c r="O5439" t="s">
        <v>44906</v>
      </c>
      <c r="P5439">
        <v>0</v>
      </c>
      <c r="Q5439">
        <v>4</v>
      </c>
      <c r="R5439" t="s">
        <v>44909</v>
      </c>
      <c r="S5439" t="s">
        <v>45060</v>
      </c>
      <c r="T5439" t="s">
        <v>46396</v>
      </c>
      <c r="U5439" t="s">
        <v>51349</v>
      </c>
      <c r="W5439" t="s">
        <v>42851</v>
      </c>
      <c r="X5439" t="s">
        <v>44910</v>
      </c>
    </row>
    <row r="5440" spans="1:24">
      <c r="A5440">
        <f>HYPERLINK("https://www.philgeps.gov.ph/GEPSNONPILOT/Tender/SplashBidNoticeAbstractUI.aspx?menuIndex=3&amp;refID=7076483&amp;Result=3","7076483")</f>
        <v>0</v>
      </c>
      <c r="B5440" t="s">
        <v>1774</v>
      </c>
      <c r="C5440" t="s">
        <v>8719</v>
      </c>
      <c r="D5440" t="s">
        <v>18112</v>
      </c>
      <c r="E5440" t="s">
        <v>23050</v>
      </c>
      <c r="F5440" t="s">
        <v>31362</v>
      </c>
      <c r="G5440" t="s">
        <v>31368</v>
      </c>
      <c r="H5440" t="s">
        <v>15799</v>
      </c>
      <c r="I5440" t="s">
        <v>7188</v>
      </c>
      <c r="J5440" t="s">
        <v>31942</v>
      </c>
      <c r="K5440" t="s">
        <v>40662</v>
      </c>
      <c r="M5440" t="s">
        <v>42852</v>
      </c>
      <c r="N5440" t="s">
        <v>44905</v>
      </c>
      <c r="O5440" t="s">
        <v>44906</v>
      </c>
      <c r="P5440">
        <v>0</v>
      </c>
      <c r="Q5440">
        <v>0</v>
      </c>
      <c r="R5440" t="s">
        <v>44909</v>
      </c>
      <c r="S5440" t="s">
        <v>45060</v>
      </c>
      <c r="T5440" t="s">
        <v>46414</v>
      </c>
      <c r="U5440" t="s">
        <v>51350</v>
      </c>
      <c r="V5440" t="s">
        <v>59584</v>
      </c>
      <c r="W5440" t="s">
        <v>42852</v>
      </c>
      <c r="X5440" t="s">
        <v>44910</v>
      </c>
    </row>
    <row r="5441" spans="1:24">
      <c r="A5441">
        <f>HYPERLINK("https://www.philgeps.gov.ph/GEPSNONPILOT/Tender/SplashBidNoticeAbstractUI.aspx?menuIndex=3&amp;refID=7076524&amp;Result=3","7076524")</f>
        <v>0</v>
      </c>
      <c r="B5441" t="s">
        <v>1741</v>
      </c>
      <c r="C5441" t="s">
        <v>8720</v>
      </c>
      <c r="D5441" t="s">
        <v>18123</v>
      </c>
      <c r="E5441" t="s">
        <v>23051</v>
      </c>
      <c r="F5441" t="s">
        <v>31362</v>
      </c>
      <c r="G5441" t="s">
        <v>31370</v>
      </c>
      <c r="H5441" t="s">
        <v>15799</v>
      </c>
      <c r="I5441" t="s">
        <v>6240</v>
      </c>
      <c r="J5441" t="s">
        <v>34993</v>
      </c>
      <c r="K5441" t="s">
        <v>40661</v>
      </c>
      <c r="M5441" t="s">
        <v>42853</v>
      </c>
      <c r="N5441" t="s">
        <v>44905</v>
      </c>
      <c r="O5441" t="s">
        <v>44906</v>
      </c>
      <c r="P5441">
        <v>0</v>
      </c>
      <c r="Q5441">
        <v>0</v>
      </c>
      <c r="R5441" t="s">
        <v>44909</v>
      </c>
      <c r="S5441" t="s">
        <v>45060</v>
      </c>
      <c r="T5441" t="s">
        <v>46409</v>
      </c>
      <c r="U5441" t="s">
        <v>47665</v>
      </c>
      <c r="W5441" t="s">
        <v>60912</v>
      </c>
      <c r="X5441" t="s">
        <v>44910</v>
      </c>
    </row>
    <row r="5442" spans="1:24">
      <c r="A5442">
        <f>HYPERLINK("https://www.philgeps.gov.ph/GEPSNONPILOT/Tender/SplashBidNoticeAbstractUI.aspx?menuIndex=3&amp;refID=7076523&amp;Result=3","7076523")</f>
        <v>0</v>
      </c>
      <c r="B5442" t="s">
        <v>776</v>
      </c>
      <c r="C5442" t="s">
        <v>8721</v>
      </c>
      <c r="E5442" t="s">
        <v>23052</v>
      </c>
      <c r="F5442" t="s">
        <v>31363</v>
      </c>
      <c r="G5442" t="s">
        <v>31368</v>
      </c>
      <c r="H5442" t="s">
        <v>15799</v>
      </c>
      <c r="I5442" t="s">
        <v>7090</v>
      </c>
      <c r="J5442" t="s">
        <v>32127</v>
      </c>
      <c r="K5442" t="s">
        <v>40662</v>
      </c>
      <c r="M5442" t="s">
        <v>42854</v>
      </c>
      <c r="N5442" t="s">
        <v>44905</v>
      </c>
      <c r="O5442" t="s">
        <v>44906</v>
      </c>
      <c r="P5442">
        <v>0</v>
      </c>
      <c r="Q5442">
        <v>1</v>
      </c>
      <c r="R5442" t="s">
        <v>44909</v>
      </c>
      <c r="S5442" t="s">
        <v>45060</v>
      </c>
      <c r="T5442" t="s">
        <v>46400</v>
      </c>
      <c r="U5442" t="s">
        <v>51351</v>
      </c>
      <c r="W5442" t="s">
        <v>42854</v>
      </c>
      <c r="X5442" t="s">
        <v>44910</v>
      </c>
    </row>
    <row r="5443" spans="1:24">
      <c r="A5443">
        <f>HYPERLINK("https://www.philgeps.gov.ph/GEPSNONPILOT/Tender/SplashBidNoticeAbstractUI.aspx?menuIndex=3&amp;refID=7076522&amp;Result=3","7076522")</f>
        <v>0</v>
      </c>
      <c r="B5443" t="s">
        <v>214</v>
      </c>
      <c r="C5443" t="s">
        <v>8722</v>
      </c>
      <c r="D5443" t="s">
        <v>18158</v>
      </c>
      <c r="E5443" t="s">
        <v>23053</v>
      </c>
      <c r="F5443" t="s">
        <v>31362</v>
      </c>
      <c r="G5443" t="s">
        <v>31368</v>
      </c>
      <c r="H5443" t="s">
        <v>15799</v>
      </c>
      <c r="I5443" t="s">
        <v>31380</v>
      </c>
      <c r="J5443" t="s">
        <v>32127</v>
      </c>
      <c r="K5443" t="s">
        <v>40670</v>
      </c>
      <c r="M5443" t="s">
        <v>41153</v>
      </c>
      <c r="N5443" t="s">
        <v>44905</v>
      </c>
      <c r="O5443" t="s">
        <v>44906</v>
      </c>
      <c r="P5443">
        <v>0</v>
      </c>
      <c r="Q5443">
        <v>10</v>
      </c>
      <c r="R5443" t="s">
        <v>44909</v>
      </c>
      <c r="S5443" t="s">
        <v>45060</v>
      </c>
      <c r="T5443" t="s">
        <v>46478</v>
      </c>
      <c r="U5443" t="s">
        <v>51352</v>
      </c>
      <c r="W5443" t="s">
        <v>41153</v>
      </c>
      <c r="X5443" t="s">
        <v>44910</v>
      </c>
    </row>
    <row r="5444" spans="1:24">
      <c r="A5444">
        <f>HYPERLINK("https://www.philgeps.gov.ph/GEPSNONPILOT/Tender/SplashBidNoticeAbstractUI.aspx?menuIndex=3&amp;refID=7076521&amp;Result=3","7076521")</f>
        <v>0</v>
      </c>
      <c r="B5444" t="s">
        <v>1774</v>
      </c>
      <c r="C5444" t="s">
        <v>8723</v>
      </c>
      <c r="D5444" t="s">
        <v>18112</v>
      </c>
      <c r="E5444" t="s">
        <v>23054</v>
      </c>
      <c r="F5444" t="s">
        <v>31362</v>
      </c>
      <c r="G5444" t="s">
        <v>31368</v>
      </c>
      <c r="H5444" t="s">
        <v>15799</v>
      </c>
      <c r="I5444" t="s">
        <v>31404</v>
      </c>
      <c r="J5444" t="s">
        <v>31575</v>
      </c>
      <c r="K5444" t="s">
        <v>40662</v>
      </c>
      <c r="M5444" t="s">
        <v>42852</v>
      </c>
      <c r="N5444" t="s">
        <v>44905</v>
      </c>
      <c r="O5444" t="s">
        <v>44906</v>
      </c>
      <c r="P5444">
        <v>0</v>
      </c>
      <c r="Q5444">
        <v>0</v>
      </c>
      <c r="R5444" t="s">
        <v>44909</v>
      </c>
      <c r="S5444" t="s">
        <v>45060</v>
      </c>
      <c r="T5444" t="s">
        <v>46414</v>
      </c>
      <c r="U5444" t="s">
        <v>51353</v>
      </c>
      <c r="V5444" t="s">
        <v>59584</v>
      </c>
      <c r="W5444" t="s">
        <v>42852</v>
      </c>
      <c r="X5444" t="s">
        <v>44910</v>
      </c>
    </row>
    <row r="5445" spans="1:24">
      <c r="A5445">
        <f>HYPERLINK("https://www.philgeps.gov.ph/GEPSNONPILOT/Tender/SplashBidNoticeAbstractUI.aspx?menuIndex=3&amp;refID=7076475&amp;Result=3","7076475")</f>
        <v>0</v>
      </c>
      <c r="B5445" t="s">
        <v>349</v>
      </c>
      <c r="C5445" t="s">
        <v>8724</v>
      </c>
      <c r="D5445" t="s">
        <v>18160</v>
      </c>
      <c r="E5445" t="s">
        <v>23055</v>
      </c>
      <c r="F5445" t="s">
        <v>31362</v>
      </c>
      <c r="G5445" t="s">
        <v>31368</v>
      </c>
      <c r="H5445" t="s">
        <v>15799</v>
      </c>
      <c r="I5445" t="s">
        <v>31456</v>
      </c>
      <c r="J5445" t="s">
        <v>34994</v>
      </c>
      <c r="K5445" t="s">
        <v>40661</v>
      </c>
      <c r="M5445" t="s">
        <v>41295</v>
      </c>
      <c r="N5445" t="s">
        <v>44905</v>
      </c>
      <c r="O5445" t="s">
        <v>44906</v>
      </c>
      <c r="P5445">
        <v>0</v>
      </c>
      <c r="Q5445">
        <v>3</v>
      </c>
      <c r="R5445" t="s">
        <v>44909</v>
      </c>
      <c r="S5445" t="s">
        <v>45060</v>
      </c>
      <c r="T5445" t="s">
        <v>46432</v>
      </c>
      <c r="U5445" t="s">
        <v>51354</v>
      </c>
      <c r="W5445" t="s">
        <v>41295</v>
      </c>
      <c r="X5445" t="s">
        <v>44910</v>
      </c>
    </row>
    <row r="5446" spans="1:24">
      <c r="A5446">
        <f>HYPERLINK("https://www.philgeps.gov.ph/GEPSNONPILOT/Tender/SplashBidNoticeAbstractUI.aspx?menuIndex=3&amp;refID=7076520&amp;Result=3","7076520")</f>
        <v>0</v>
      </c>
      <c r="B5446" t="s">
        <v>1775</v>
      </c>
      <c r="C5446" t="s">
        <v>8725</v>
      </c>
      <c r="D5446" t="s">
        <v>18126</v>
      </c>
      <c r="E5446" t="s">
        <v>23056</v>
      </c>
      <c r="F5446" t="s">
        <v>31362</v>
      </c>
      <c r="G5446" t="s">
        <v>31370</v>
      </c>
      <c r="H5446" t="s">
        <v>15799</v>
      </c>
      <c r="I5446" t="s">
        <v>31411</v>
      </c>
      <c r="J5446" t="s">
        <v>31575</v>
      </c>
      <c r="K5446" t="s">
        <v>40697</v>
      </c>
      <c r="M5446" t="s">
        <v>42855</v>
      </c>
      <c r="N5446" t="s">
        <v>44905</v>
      </c>
      <c r="O5446" t="s">
        <v>44906</v>
      </c>
      <c r="P5446">
        <v>0</v>
      </c>
      <c r="Q5446">
        <v>2</v>
      </c>
      <c r="R5446" t="s">
        <v>44909</v>
      </c>
      <c r="S5446" t="s">
        <v>45060</v>
      </c>
      <c r="T5446" t="s">
        <v>46435</v>
      </c>
      <c r="U5446" t="s">
        <v>51355</v>
      </c>
      <c r="W5446" t="s">
        <v>42855</v>
      </c>
      <c r="X5446" t="s">
        <v>44910</v>
      </c>
    </row>
    <row r="5447" spans="1:24">
      <c r="A5447">
        <f>HYPERLINK("https://www.philgeps.gov.ph/GEPSNONPILOT/Tender/SplashBidNoticeAbstractUI.aspx?menuIndex=3&amp;refID=7076518&amp;Result=3","7076518")</f>
        <v>0</v>
      </c>
      <c r="B5447" t="s">
        <v>1776</v>
      </c>
      <c r="C5447" t="s">
        <v>8726</v>
      </c>
      <c r="D5447" t="s">
        <v>18108</v>
      </c>
      <c r="E5447" t="s">
        <v>23057</v>
      </c>
      <c r="F5447" t="s">
        <v>31362</v>
      </c>
      <c r="G5447" t="s">
        <v>31368</v>
      </c>
      <c r="H5447" t="s">
        <v>15799</v>
      </c>
      <c r="I5447" t="s">
        <v>31388</v>
      </c>
      <c r="J5447" t="s">
        <v>34995</v>
      </c>
      <c r="K5447" t="s">
        <v>40662</v>
      </c>
      <c r="M5447" t="s">
        <v>42856</v>
      </c>
      <c r="N5447" t="s">
        <v>44905</v>
      </c>
      <c r="O5447" t="s">
        <v>44906</v>
      </c>
      <c r="P5447">
        <v>0</v>
      </c>
      <c r="Q5447">
        <v>0</v>
      </c>
      <c r="R5447" t="s">
        <v>44909</v>
      </c>
      <c r="S5447" t="s">
        <v>45060</v>
      </c>
      <c r="T5447" t="s">
        <v>46399</v>
      </c>
      <c r="U5447" t="s">
        <v>51356</v>
      </c>
      <c r="W5447" t="s">
        <v>42856</v>
      </c>
      <c r="X5447" t="s">
        <v>44910</v>
      </c>
    </row>
    <row r="5448" spans="1:24">
      <c r="A5448">
        <f>HYPERLINK("https://www.philgeps.gov.ph/GEPSNONPILOT/Tender/SplashBidNoticeAbstractUI.aspx?menuIndex=3&amp;refID=7076516&amp;Result=3","7076516")</f>
        <v>0</v>
      </c>
      <c r="B5448" t="s">
        <v>1777</v>
      </c>
      <c r="C5448" t="s">
        <v>8727</v>
      </c>
      <c r="D5448" t="s">
        <v>18109</v>
      </c>
      <c r="E5448" t="s">
        <v>23058</v>
      </c>
      <c r="F5448" t="s">
        <v>31362</v>
      </c>
      <c r="G5448" t="s">
        <v>31369</v>
      </c>
      <c r="H5448" t="s">
        <v>15799</v>
      </c>
      <c r="I5448" t="s">
        <v>31409</v>
      </c>
      <c r="J5448" t="s">
        <v>34996</v>
      </c>
      <c r="K5448" t="s">
        <v>40665</v>
      </c>
      <c r="M5448" t="s">
        <v>42857</v>
      </c>
      <c r="N5448" t="s">
        <v>44905</v>
      </c>
      <c r="O5448" t="s">
        <v>44906</v>
      </c>
      <c r="P5448">
        <v>0</v>
      </c>
      <c r="Q5448">
        <v>0</v>
      </c>
      <c r="R5448" t="s">
        <v>44909</v>
      </c>
      <c r="S5448" t="s">
        <v>45060</v>
      </c>
      <c r="T5448" t="s">
        <v>46549</v>
      </c>
      <c r="U5448" t="s">
        <v>51357</v>
      </c>
      <c r="V5448" t="s">
        <v>59585</v>
      </c>
      <c r="W5448" t="s">
        <v>42857</v>
      </c>
      <c r="X5448" t="s">
        <v>44910</v>
      </c>
    </row>
    <row r="5449" spans="1:24">
      <c r="A5449">
        <f>HYPERLINK("https://www.philgeps.gov.ph/GEPSNONPILOT/Tender/SplashBidNoticeAbstractUI.aspx?menuIndex=3&amp;refID=7076514&amp;Result=3","7076514")</f>
        <v>0</v>
      </c>
      <c r="B5449" t="s">
        <v>1778</v>
      </c>
      <c r="C5449" t="s">
        <v>8728</v>
      </c>
      <c r="E5449" t="s">
        <v>23059</v>
      </c>
      <c r="F5449" t="s">
        <v>31362</v>
      </c>
      <c r="G5449" t="s">
        <v>31369</v>
      </c>
      <c r="H5449" t="s">
        <v>15799</v>
      </c>
      <c r="I5449" t="s">
        <v>7188</v>
      </c>
      <c r="J5449" t="s">
        <v>34997</v>
      </c>
      <c r="K5449" t="s">
        <v>40662</v>
      </c>
      <c r="M5449" t="s">
        <v>42858</v>
      </c>
      <c r="N5449" t="s">
        <v>44905</v>
      </c>
      <c r="O5449" t="s">
        <v>44906</v>
      </c>
      <c r="P5449">
        <v>0</v>
      </c>
      <c r="Q5449">
        <v>0</v>
      </c>
      <c r="R5449" t="s">
        <v>44909</v>
      </c>
      <c r="S5449" t="s">
        <v>45060</v>
      </c>
      <c r="T5449" t="s">
        <v>46470</v>
      </c>
      <c r="U5449" t="s">
        <v>51358</v>
      </c>
      <c r="V5449" t="s">
        <v>59586</v>
      </c>
      <c r="W5449" t="s">
        <v>42858</v>
      </c>
      <c r="X5449" t="s">
        <v>44910</v>
      </c>
    </row>
    <row r="5450" spans="1:24">
      <c r="A5450">
        <f>HYPERLINK("https://www.philgeps.gov.ph/GEPSNONPILOT/Tender/SplashBidNoticeAbstractUI.aspx?menuIndex=3&amp;refID=7076513&amp;Result=3","7076513")</f>
        <v>0</v>
      </c>
      <c r="B5450" t="s">
        <v>1779</v>
      </c>
      <c r="C5450" t="s">
        <v>8691</v>
      </c>
      <c r="D5450" t="s">
        <v>18134</v>
      </c>
      <c r="E5450" t="s">
        <v>23060</v>
      </c>
      <c r="F5450" t="s">
        <v>31362</v>
      </c>
      <c r="G5450" t="s">
        <v>31368</v>
      </c>
      <c r="H5450" t="s">
        <v>15799</v>
      </c>
      <c r="I5450" t="s">
        <v>4942</v>
      </c>
      <c r="J5450" t="s">
        <v>32248</v>
      </c>
      <c r="K5450" t="s">
        <v>40697</v>
      </c>
      <c r="M5450" t="s">
        <v>42859</v>
      </c>
      <c r="N5450" t="s">
        <v>44905</v>
      </c>
      <c r="O5450" t="s">
        <v>44906</v>
      </c>
      <c r="P5450">
        <v>0</v>
      </c>
      <c r="Q5450">
        <v>0</v>
      </c>
      <c r="R5450" t="s">
        <v>44909</v>
      </c>
      <c r="S5450" t="s">
        <v>45060</v>
      </c>
      <c r="T5450" t="s">
        <v>46443</v>
      </c>
      <c r="U5450" t="s">
        <v>51323</v>
      </c>
      <c r="W5450" t="s">
        <v>42859</v>
      </c>
      <c r="X5450" t="s">
        <v>44910</v>
      </c>
    </row>
    <row r="5451" spans="1:24">
      <c r="A5451">
        <f>HYPERLINK("https://www.philgeps.gov.ph/GEPSNONPILOT/Tender/SplashBidNoticeAbstractUI.aspx?menuIndex=3&amp;refID=7076508&amp;Result=3","7076508")</f>
        <v>0</v>
      </c>
      <c r="B5451" t="s">
        <v>561</v>
      </c>
      <c r="C5451" t="s">
        <v>8729</v>
      </c>
      <c r="D5451" t="s">
        <v>18124</v>
      </c>
      <c r="E5451" t="s">
        <v>23061</v>
      </c>
      <c r="F5451" t="s">
        <v>31362</v>
      </c>
      <c r="G5451" t="s">
        <v>31369</v>
      </c>
      <c r="H5451" t="s">
        <v>31378</v>
      </c>
      <c r="I5451" t="s">
        <v>31386</v>
      </c>
      <c r="J5451" t="s">
        <v>31536</v>
      </c>
      <c r="K5451" t="s">
        <v>40682</v>
      </c>
      <c r="M5451" t="s">
        <v>41517</v>
      </c>
      <c r="N5451" t="s">
        <v>44905</v>
      </c>
      <c r="O5451" t="s">
        <v>44906</v>
      </c>
      <c r="P5451">
        <v>0</v>
      </c>
      <c r="Q5451">
        <v>1</v>
      </c>
      <c r="R5451" t="s">
        <v>44909</v>
      </c>
      <c r="S5451" t="s">
        <v>45060</v>
      </c>
      <c r="T5451" t="s">
        <v>46448</v>
      </c>
      <c r="U5451" t="s">
        <v>51359</v>
      </c>
      <c r="W5451" t="s">
        <v>41517</v>
      </c>
      <c r="X5451" t="s">
        <v>44910</v>
      </c>
    </row>
    <row r="5452" spans="1:24">
      <c r="A5452">
        <f>HYPERLINK("https://www.philgeps.gov.ph/GEPSNONPILOT/Tender/SplashBidNoticeAbstractUI.aspx?menuIndex=3&amp;refID=7076507&amp;Result=3","7076507")</f>
        <v>0</v>
      </c>
      <c r="B5452" t="s">
        <v>234</v>
      </c>
      <c r="C5452" t="s">
        <v>8730</v>
      </c>
      <c r="D5452" t="s">
        <v>18108</v>
      </c>
      <c r="E5452" t="s">
        <v>23062</v>
      </c>
      <c r="F5452" t="s">
        <v>31362</v>
      </c>
      <c r="G5452" t="s">
        <v>31368</v>
      </c>
      <c r="H5452" t="s">
        <v>15799</v>
      </c>
      <c r="I5452" t="s">
        <v>31387</v>
      </c>
      <c r="J5452" t="s">
        <v>34998</v>
      </c>
      <c r="K5452" t="s">
        <v>40666</v>
      </c>
      <c r="M5452" t="s">
        <v>41173</v>
      </c>
      <c r="N5452" t="s">
        <v>44905</v>
      </c>
      <c r="O5452" t="s">
        <v>44906</v>
      </c>
      <c r="P5452">
        <v>0</v>
      </c>
      <c r="Q5452">
        <v>7</v>
      </c>
      <c r="R5452" t="s">
        <v>44909</v>
      </c>
      <c r="S5452" t="s">
        <v>45060</v>
      </c>
      <c r="T5452" t="s">
        <v>46498</v>
      </c>
      <c r="U5452" t="s">
        <v>51360</v>
      </c>
      <c r="W5452" t="s">
        <v>41173</v>
      </c>
      <c r="X5452" t="s">
        <v>44910</v>
      </c>
    </row>
    <row r="5453" spans="1:24">
      <c r="A5453">
        <f>HYPERLINK("https://www.philgeps.gov.ph/GEPSNONPILOT/Tender/SplashBidNoticeAbstractUI.aspx?menuIndex=3&amp;refID=7076506&amp;Result=3","7076506")</f>
        <v>0</v>
      </c>
      <c r="B5453" t="s">
        <v>352</v>
      </c>
      <c r="C5453" t="s">
        <v>8731</v>
      </c>
      <c r="D5453" t="s">
        <v>18122</v>
      </c>
      <c r="E5453" t="s">
        <v>23063</v>
      </c>
      <c r="F5453" t="s">
        <v>31362</v>
      </c>
      <c r="G5453" t="s">
        <v>31368</v>
      </c>
      <c r="H5453" t="s">
        <v>15799</v>
      </c>
      <c r="I5453" t="s">
        <v>31414</v>
      </c>
      <c r="J5453" t="s">
        <v>31536</v>
      </c>
      <c r="K5453" t="s">
        <v>40666</v>
      </c>
      <c r="M5453" t="s">
        <v>41299</v>
      </c>
      <c r="N5453" t="s">
        <v>44905</v>
      </c>
      <c r="O5453" t="s">
        <v>44906</v>
      </c>
      <c r="P5453">
        <v>0</v>
      </c>
      <c r="Q5453">
        <v>0</v>
      </c>
      <c r="R5453" t="s">
        <v>44909</v>
      </c>
      <c r="S5453" t="s">
        <v>45060</v>
      </c>
      <c r="T5453" t="s">
        <v>46406</v>
      </c>
      <c r="U5453" t="s">
        <v>51361</v>
      </c>
      <c r="W5453" t="s">
        <v>41299</v>
      </c>
      <c r="X5453" t="s">
        <v>44910</v>
      </c>
    </row>
    <row r="5454" spans="1:24">
      <c r="A5454">
        <f>HYPERLINK("https://www.philgeps.gov.ph/GEPSNONPILOT/Tender/SplashBidNoticeAbstractUI.aspx?menuIndex=3&amp;refID=7076504&amp;Result=3","7076504")</f>
        <v>0</v>
      </c>
      <c r="B5454" t="s">
        <v>117</v>
      </c>
      <c r="C5454" t="s">
        <v>8732</v>
      </c>
      <c r="D5454" t="s">
        <v>18104</v>
      </c>
      <c r="E5454" t="s">
        <v>23064</v>
      </c>
      <c r="F5454" t="s">
        <v>31362</v>
      </c>
      <c r="G5454" t="s">
        <v>31369</v>
      </c>
      <c r="H5454" t="s">
        <v>31378</v>
      </c>
      <c r="I5454" t="s">
        <v>31386</v>
      </c>
      <c r="J5454" t="s">
        <v>34999</v>
      </c>
      <c r="K5454" t="s">
        <v>40662</v>
      </c>
      <c r="M5454" t="s">
        <v>42279</v>
      </c>
      <c r="N5454" t="s">
        <v>44905</v>
      </c>
      <c r="O5454" t="s">
        <v>44906</v>
      </c>
      <c r="P5454">
        <v>0</v>
      </c>
      <c r="Q5454">
        <v>5</v>
      </c>
      <c r="R5454" t="s">
        <v>44909</v>
      </c>
      <c r="S5454" t="s">
        <v>45060</v>
      </c>
      <c r="T5454" t="s">
        <v>46461</v>
      </c>
      <c r="U5454" t="s">
        <v>51362</v>
      </c>
      <c r="W5454" t="s">
        <v>42279</v>
      </c>
      <c r="X5454" t="s">
        <v>44910</v>
      </c>
    </row>
    <row r="5455" spans="1:24">
      <c r="A5455">
        <f>HYPERLINK("https://www.philgeps.gov.ph/GEPSNONPILOT/Tender/SplashBidNoticeAbstractUI.aspx?menuIndex=3&amp;refID=7076455&amp;Result=3","7076455")</f>
        <v>0</v>
      </c>
      <c r="B5455" t="s">
        <v>1780</v>
      </c>
      <c r="C5455" t="s">
        <v>8733</v>
      </c>
      <c r="D5455" t="s">
        <v>18130</v>
      </c>
      <c r="E5455" t="s">
        <v>23065</v>
      </c>
      <c r="F5455" t="s">
        <v>31362</v>
      </c>
      <c r="G5455" t="s">
        <v>31368</v>
      </c>
      <c r="H5455" t="s">
        <v>15799</v>
      </c>
      <c r="I5455" t="s">
        <v>4057</v>
      </c>
      <c r="J5455" t="s">
        <v>31942</v>
      </c>
      <c r="K5455" t="s">
        <v>40670</v>
      </c>
      <c r="M5455" t="s">
        <v>42860</v>
      </c>
      <c r="N5455" t="s">
        <v>44905</v>
      </c>
      <c r="O5455" t="s">
        <v>44906</v>
      </c>
      <c r="P5455">
        <v>0</v>
      </c>
      <c r="Q5455">
        <v>0</v>
      </c>
      <c r="R5455" t="s">
        <v>44909</v>
      </c>
      <c r="S5455" t="s">
        <v>45060</v>
      </c>
      <c r="T5455" t="s">
        <v>46428</v>
      </c>
      <c r="U5455" t="s">
        <v>51363</v>
      </c>
      <c r="W5455" t="s">
        <v>42860</v>
      </c>
      <c r="X5455" t="s">
        <v>44910</v>
      </c>
    </row>
    <row r="5456" spans="1:24">
      <c r="A5456">
        <f>HYPERLINK("https://www.philgeps.gov.ph/GEPSNONPILOT/Tender/SplashBidNoticeAbstractUI.aspx?menuIndex=3&amp;refID=7076531&amp;Result=3","7076531")</f>
        <v>0</v>
      </c>
      <c r="B5456" t="s">
        <v>1766</v>
      </c>
      <c r="C5456" t="s">
        <v>8734</v>
      </c>
      <c r="D5456" t="s">
        <v>18100</v>
      </c>
      <c r="E5456" t="s">
        <v>23066</v>
      </c>
      <c r="F5456" t="s">
        <v>31362</v>
      </c>
      <c r="G5456" t="s">
        <v>31368</v>
      </c>
      <c r="H5456" t="s">
        <v>15799</v>
      </c>
      <c r="I5456" t="s">
        <v>31385</v>
      </c>
      <c r="J5456" t="s">
        <v>35000</v>
      </c>
      <c r="K5456" t="s">
        <v>40693</v>
      </c>
      <c r="M5456" t="s">
        <v>42845</v>
      </c>
      <c r="N5456" t="s">
        <v>44905</v>
      </c>
      <c r="O5456" t="s">
        <v>44906</v>
      </c>
      <c r="P5456">
        <v>0</v>
      </c>
      <c r="Q5456">
        <v>5</v>
      </c>
      <c r="R5456" t="s">
        <v>44909</v>
      </c>
      <c r="S5456" t="s">
        <v>45060</v>
      </c>
      <c r="T5456" t="s">
        <v>46432</v>
      </c>
      <c r="U5456" t="s">
        <v>51364</v>
      </c>
      <c r="W5456" t="s">
        <v>42845</v>
      </c>
      <c r="X5456" t="s">
        <v>44910</v>
      </c>
    </row>
    <row r="5457" spans="1:24">
      <c r="A5457">
        <f>HYPERLINK("https://www.philgeps.gov.ph/GEPSNONPILOT/Tender/SplashBidNoticeAbstractUI.aspx?menuIndex=3&amp;refID=7076526&amp;Result=3","7076526")</f>
        <v>0</v>
      </c>
      <c r="B5457" t="s">
        <v>1781</v>
      </c>
      <c r="C5457" t="s">
        <v>8735</v>
      </c>
      <c r="D5457" t="s">
        <v>18151</v>
      </c>
      <c r="E5457" t="s">
        <v>23067</v>
      </c>
      <c r="F5457" t="s">
        <v>31362</v>
      </c>
      <c r="G5457" t="s">
        <v>31368</v>
      </c>
      <c r="H5457" t="s">
        <v>15799</v>
      </c>
      <c r="I5457" t="s">
        <v>31390</v>
      </c>
      <c r="J5457" t="s">
        <v>35001</v>
      </c>
      <c r="K5457" t="s">
        <v>40661</v>
      </c>
      <c r="M5457" t="s">
        <v>42861</v>
      </c>
      <c r="N5457" t="s">
        <v>44905</v>
      </c>
      <c r="O5457" t="s">
        <v>44906</v>
      </c>
      <c r="P5457">
        <v>0</v>
      </c>
      <c r="Q5457">
        <v>1</v>
      </c>
      <c r="R5457" t="s">
        <v>44909</v>
      </c>
      <c r="S5457" t="s">
        <v>45060</v>
      </c>
      <c r="T5457" t="s">
        <v>46427</v>
      </c>
      <c r="U5457" t="s">
        <v>51365</v>
      </c>
      <c r="V5457" t="s">
        <v>59081</v>
      </c>
      <c r="W5457" t="s">
        <v>42861</v>
      </c>
      <c r="X5457" t="s">
        <v>44910</v>
      </c>
    </row>
    <row r="5458" spans="1:24">
      <c r="A5458">
        <f>HYPERLINK("https://www.philgeps.gov.ph/GEPSNONPILOT/Tender/SplashBidNoticeAbstractUI.aspx?menuIndex=3&amp;refID=7076530&amp;Result=3","7076530")</f>
        <v>0</v>
      </c>
      <c r="B5458" t="s">
        <v>1782</v>
      </c>
      <c r="C5458" t="s">
        <v>8736</v>
      </c>
      <c r="D5458" t="s">
        <v>18149</v>
      </c>
      <c r="E5458" t="s">
        <v>23068</v>
      </c>
      <c r="F5458" t="s">
        <v>31362</v>
      </c>
      <c r="G5458" t="s">
        <v>31369</v>
      </c>
      <c r="H5458" t="s">
        <v>31378</v>
      </c>
      <c r="I5458" t="s">
        <v>31386</v>
      </c>
      <c r="J5458" t="s">
        <v>34944</v>
      </c>
      <c r="K5458" t="s">
        <v>40664</v>
      </c>
      <c r="M5458" t="s">
        <v>42862</v>
      </c>
      <c r="N5458" t="s">
        <v>44905</v>
      </c>
      <c r="O5458" t="s">
        <v>44906</v>
      </c>
      <c r="P5458">
        <v>0</v>
      </c>
      <c r="Q5458">
        <v>1</v>
      </c>
      <c r="R5458" t="s">
        <v>44909</v>
      </c>
      <c r="S5458" t="s">
        <v>45060</v>
      </c>
      <c r="T5458" t="s">
        <v>46433</v>
      </c>
      <c r="U5458" t="s">
        <v>51366</v>
      </c>
      <c r="W5458" t="s">
        <v>42862</v>
      </c>
      <c r="X5458" t="s">
        <v>44910</v>
      </c>
    </row>
    <row r="5459" spans="1:24">
      <c r="A5459">
        <f>HYPERLINK("https://www.philgeps.gov.ph/GEPSNONPILOT/Tender/SplashBidNoticeAbstractUI.aspx?menuIndex=3&amp;refID=7076551&amp;Result=3","7076551")</f>
        <v>0</v>
      </c>
      <c r="B5459" t="s">
        <v>1783</v>
      </c>
      <c r="C5459" t="s">
        <v>8737</v>
      </c>
      <c r="D5459" t="s">
        <v>18154</v>
      </c>
      <c r="E5459" t="s">
        <v>23069</v>
      </c>
      <c r="F5459" t="s">
        <v>31362</v>
      </c>
      <c r="G5459" t="s">
        <v>31369</v>
      </c>
      <c r="H5459" t="s">
        <v>31378</v>
      </c>
      <c r="I5459" t="s">
        <v>31386</v>
      </c>
      <c r="J5459" t="s">
        <v>35002</v>
      </c>
      <c r="K5459" t="s">
        <v>40678</v>
      </c>
      <c r="L5459" t="s">
        <v>1783</v>
      </c>
      <c r="M5459" t="s">
        <v>42863</v>
      </c>
      <c r="N5459" t="s">
        <v>44905</v>
      </c>
      <c r="O5459" t="s">
        <v>44906</v>
      </c>
      <c r="P5459">
        <v>0</v>
      </c>
      <c r="Q5459">
        <v>0</v>
      </c>
      <c r="R5459" t="s">
        <v>44909</v>
      </c>
      <c r="S5459" t="s">
        <v>45060</v>
      </c>
      <c r="T5459" t="s">
        <v>46511</v>
      </c>
      <c r="U5459" t="s">
        <v>51367</v>
      </c>
      <c r="V5459" t="s">
        <v>59587</v>
      </c>
      <c r="W5459" t="s">
        <v>42863</v>
      </c>
      <c r="X5459" t="s">
        <v>44910</v>
      </c>
    </row>
    <row r="5460" spans="1:24">
      <c r="A5460">
        <f>HYPERLINK("https://www.philgeps.gov.ph/GEPSNONPILOT/Tender/SplashBidNoticeAbstractUI.aspx?menuIndex=3&amp;refID=7076548&amp;Result=3","7076548")</f>
        <v>0</v>
      </c>
      <c r="B5460" t="s">
        <v>1784</v>
      </c>
      <c r="C5460" t="s">
        <v>8738</v>
      </c>
      <c r="D5460" t="s">
        <v>18177</v>
      </c>
      <c r="E5460" t="s">
        <v>23070</v>
      </c>
      <c r="F5460" t="s">
        <v>31362</v>
      </c>
      <c r="G5460" t="s">
        <v>31368</v>
      </c>
      <c r="H5460" t="s">
        <v>31378</v>
      </c>
      <c r="I5460" t="s">
        <v>31387</v>
      </c>
      <c r="J5460" t="s">
        <v>35003</v>
      </c>
      <c r="K5460" t="s">
        <v>40661</v>
      </c>
      <c r="M5460" t="s">
        <v>42864</v>
      </c>
      <c r="N5460" t="s">
        <v>44905</v>
      </c>
      <c r="O5460" t="s">
        <v>44906</v>
      </c>
      <c r="P5460">
        <v>0</v>
      </c>
      <c r="Q5460">
        <v>0</v>
      </c>
      <c r="R5460" t="s">
        <v>44909</v>
      </c>
      <c r="S5460" t="s">
        <v>45060</v>
      </c>
      <c r="T5460" t="s">
        <v>46467</v>
      </c>
      <c r="U5460" t="s">
        <v>51368</v>
      </c>
      <c r="W5460" t="s">
        <v>42864</v>
      </c>
      <c r="X5460" t="s">
        <v>44910</v>
      </c>
    </row>
    <row r="5461" spans="1:24">
      <c r="A5461">
        <f>HYPERLINK("https://www.philgeps.gov.ph/GEPSNONPILOT/Tender/SplashBidNoticeAbstractUI.aspx?menuIndex=3&amp;refID=7076547&amp;Result=3","7076547")</f>
        <v>0</v>
      </c>
      <c r="B5461" t="s">
        <v>1731</v>
      </c>
      <c r="C5461" t="s">
        <v>8739</v>
      </c>
      <c r="D5461" t="s">
        <v>18127</v>
      </c>
      <c r="E5461" t="s">
        <v>23071</v>
      </c>
      <c r="F5461" t="s">
        <v>31362</v>
      </c>
      <c r="G5461" t="s">
        <v>31370</v>
      </c>
      <c r="H5461" t="s">
        <v>15799</v>
      </c>
      <c r="I5461" t="s">
        <v>31420</v>
      </c>
      <c r="J5461" t="s">
        <v>31784</v>
      </c>
      <c r="K5461" t="s">
        <v>40661</v>
      </c>
      <c r="M5461" t="s">
        <v>42803</v>
      </c>
      <c r="N5461" t="s">
        <v>44905</v>
      </c>
      <c r="O5461" t="s">
        <v>44906</v>
      </c>
      <c r="P5461">
        <v>0</v>
      </c>
      <c r="Q5461">
        <v>10</v>
      </c>
      <c r="R5461" t="s">
        <v>44909</v>
      </c>
      <c r="S5461" t="s">
        <v>45060</v>
      </c>
      <c r="T5461" t="s">
        <v>46416</v>
      </c>
      <c r="U5461" t="s">
        <v>51369</v>
      </c>
      <c r="W5461" t="s">
        <v>42803</v>
      </c>
      <c r="X5461" t="s">
        <v>44910</v>
      </c>
    </row>
    <row r="5462" spans="1:24">
      <c r="A5462">
        <f>HYPERLINK("https://www.philgeps.gov.ph/GEPSNONPILOT/Tender/SplashBidNoticeAbstractUI.aspx?menuIndex=3&amp;refID=7076546&amp;Result=3","7076546")</f>
        <v>0</v>
      </c>
      <c r="B5462" t="s">
        <v>1785</v>
      </c>
      <c r="C5462" t="s">
        <v>8740</v>
      </c>
      <c r="D5462" t="s">
        <v>18110</v>
      </c>
      <c r="E5462" t="s">
        <v>23072</v>
      </c>
      <c r="F5462" t="s">
        <v>31362</v>
      </c>
      <c r="G5462" t="s">
        <v>31370</v>
      </c>
      <c r="H5462" t="s">
        <v>15799</v>
      </c>
      <c r="I5462" t="s">
        <v>6373</v>
      </c>
      <c r="J5462" t="s">
        <v>35004</v>
      </c>
      <c r="K5462" t="s">
        <v>40665</v>
      </c>
      <c r="M5462" t="s">
        <v>42865</v>
      </c>
      <c r="N5462" t="s">
        <v>44905</v>
      </c>
      <c r="O5462" t="s">
        <v>44906</v>
      </c>
      <c r="P5462">
        <v>0</v>
      </c>
      <c r="Q5462">
        <v>8</v>
      </c>
      <c r="R5462" t="s">
        <v>44909</v>
      </c>
      <c r="S5462" t="s">
        <v>45060</v>
      </c>
      <c r="T5462" t="s">
        <v>46410</v>
      </c>
      <c r="U5462" t="s">
        <v>49636</v>
      </c>
      <c r="W5462" t="s">
        <v>42865</v>
      </c>
      <c r="X5462" t="s">
        <v>44910</v>
      </c>
    </row>
    <row r="5463" spans="1:24">
      <c r="A5463">
        <f>HYPERLINK("https://www.philgeps.gov.ph/GEPSNONPILOT/Tender/SplashBidNoticeAbstractUI.aspx?menuIndex=3&amp;refID=7076559&amp;Result=3","7076559")</f>
        <v>0</v>
      </c>
      <c r="B5463" t="s">
        <v>617</v>
      </c>
      <c r="C5463" t="s">
        <v>8741</v>
      </c>
      <c r="D5463" t="s">
        <v>18108</v>
      </c>
      <c r="E5463" t="s">
        <v>20493</v>
      </c>
      <c r="F5463" t="s">
        <v>31362</v>
      </c>
      <c r="G5463" t="s">
        <v>31368</v>
      </c>
      <c r="H5463" t="s">
        <v>31379</v>
      </c>
      <c r="I5463" t="s">
        <v>3582</v>
      </c>
      <c r="J5463" t="s">
        <v>31921</v>
      </c>
      <c r="K5463" t="s">
        <v>40661</v>
      </c>
      <c r="M5463" t="s">
        <v>42866</v>
      </c>
      <c r="N5463" t="s">
        <v>44905</v>
      </c>
      <c r="O5463" t="s">
        <v>44906</v>
      </c>
      <c r="P5463">
        <v>0</v>
      </c>
      <c r="Q5463">
        <v>0</v>
      </c>
      <c r="R5463" t="s">
        <v>44909</v>
      </c>
      <c r="S5463" t="s">
        <v>45060</v>
      </c>
      <c r="T5463" t="s">
        <v>46409</v>
      </c>
      <c r="U5463" t="s">
        <v>51370</v>
      </c>
      <c r="W5463" t="s">
        <v>42866</v>
      </c>
      <c r="X5463" t="s">
        <v>44910</v>
      </c>
    </row>
    <row r="5464" spans="1:24">
      <c r="A5464">
        <f>HYPERLINK("https://www.philgeps.gov.ph/GEPSNONPILOT/Tender/SplashBidNoticeAbstractUI.aspx?menuIndex=3&amp;refID=7076557&amp;Result=3","7076557")</f>
        <v>0</v>
      </c>
      <c r="B5464" t="s">
        <v>1786</v>
      </c>
      <c r="C5464" t="s">
        <v>8742</v>
      </c>
      <c r="D5464" t="s">
        <v>18133</v>
      </c>
      <c r="E5464" t="s">
        <v>23073</v>
      </c>
      <c r="F5464" t="s">
        <v>31362</v>
      </c>
      <c r="G5464" t="s">
        <v>31369</v>
      </c>
      <c r="H5464" t="s">
        <v>31378</v>
      </c>
      <c r="I5464" t="s">
        <v>31386</v>
      </c>
      <c r="J5464" t="s">
        <v>35005</v>
      </c>
      <c r="K5464" t="s">
        <v>40686</v>
      </c>
      <c r="M5464" t="s">
        <v>42867</v>
      </c>
      <c r="N5464" t="s">
        <v>44905</v>
      </c>
      <c r="O5464" t="s">
        <v>44906</v>
      </c>
      <c r="P5464">
        <v>0</v>
      </c>
      <c r="Q5464">
        <v>1</v>
      </c>
      <c r="R5464" t="s">
        <v>44909</v>
      </c>
      <c r="S5464" t="s">
        <v>45060</v>
      </c>
      <c r="T5464" t="s">
        <v>46538</v>
      </c>
      <c r="U5464" t="s">
        <v>51371</v>
      </c>
      <c r="W5464" t="s">
        <v>42867</v>
      </c>
      <c r="X5464" t="s">
        <v>44910</v>
      </c>
    </row>
    <row r="5465" spans="1:24">
      <c r="A5465">
        <f>HYPERLINK("https://www.philgeps.gov.ph/GEPSNONPILOT/Tender/SplashBidNoticeAbstractUI.aspx?menuIndex=3&amp;refID=7076519&amp;Result=3","7076519")</f>
        <v>0</v>
      </c>
      <c r="B5465" t="s">
        <v>1768</v>
      </c>
      <c r="C5465" t="s">
        <v>8743</v>
      </c>
      <c r="E5465" t="s">
        <v>23040</v>
      </c>
      <c r="F5465" t="s">
        <v>31362</v>
      </c>
      <c r="G5465" t="s">
        <v>31368</v>
      </c>
      <c r="H5465" t="s">
        <v>15799</v>
      </c>
      <c r="I5465" t="s">
        <v>31388</v>
      </c>
      <c r="J5465" t="s">
        <v>31987</v>
      </c>
      <c r="K5465" t="s">
        <v>40662</v>
      </c>
      <c r="M5465" t="s">
        <v>42868</v>
      </c>
      <c r="N5465" t="s">
        <v>44905</v>
      </c>
      <c r="O5465" t="s">
        <v>44906</v>
      </c>
      <c r="P5465">
        <v>0</v>
      </c>
      <c r="Q5465">
        <v>0</v>
      </c>
      <c r="R5465" t="s">
        <v>44909</v>
      </c>
      <c r="S5465" t="s">
        <v>45060</v>
      </c>
      <c r="T5465" t="s">
        <v>46411</v>
      </c>
      <c r="U5465" t="s">
        <v>51372</v>
      </c>
      <c r="V5465" t="s">
        <v>59583</v>
      </c>
      <c r="W5465" t="s">
        <v>42868</v>
      </c>
      <c r="X5465" t="s">
        <v>44910</v>
      </c>
    </row>
    <row r="5466" spans="1:24">
      <c r="A5466">
        <f>HYPERLINK("https://www.philgeps.gov.ph/GEPSNONPILOT/Tender/SplashBidNoticeAbstractUI.aspx?menuIndex=3&amp;refID=7076503&amp;Result=3","7076503")</f>
        <v>0</v>
      </c>
      <c r="B5466" t="s">
        <v>472</v>
      </c>
      <c r="C5466" t="s">
        <v>8744</v>
      </c>
      <c r="D5466" t="s">
        <v>18134</v>
      </c>
      <c r="E5466" t="s">
        <v>23074</v>
      </c>
      <c r="F5466" t="s">
        <v>31362</v>
      </c>
      <c r="G5466" t="s">
        <v>31368</v>
      </c>
      <c r="H5466" t="s">
        <v>15799</v>
      </c>
      <c r="I5466" t="s">
        <v>31387</v>
      </c>
      <c r="J5466" t="s">
        <v>35006</v>
      </c>
      <c r="K5466" t="s">
        <v>40677</v>
      </c>
      <c r="M5466" t="s">
        <v>42842</v>
      </c>
      <c r="N5466" t="s">
        <v>44905</v>
      </c>
      <c r="O5466" t="s">
        <v>44906</v>
      </c>
      <c r="P5466">
        <v>0</v>
      </c>
      <c r="Q5466">
        <v>0</v>
      </c>
      <c r="R5466" t="s">
        <v>44909</v>
      </c>
      <c r="S5466" t="s">
        <v>45060</v>
      </c>
      <c r="T5466" t="s">
        <v>46454</v>
      </c>
      <c r="U5466" t="s">
        <v>51373</v>
      </c>
      <c r="W5466" t="s">
        <v>42842</v>
      </c>
      <c r="X5466" t="s">
        <v>44910</v>
      </c>
    </row>
    <row r="5467" spans="1:24">
      <c r="A5467">
        <f>HYPERLINK("https://www.philgeps.gov.ph/GEPSNONPILOT/Tender/SplashBidNoticeAbstractUI.aspx?menuIndex=3&amp;refID=7076552&amp;Result=3","7076552")</f>
        <v>0</v>
      </c>
      <c r="B5467" t="s">
        <v>1767</v>
      </c>
      <c r="C5467" t="s">
        <v>8745</v>
      </c>
      <c r="D5467" t="s">
        <v>18134</v>
      </c>
      <c r="E5467" t="s">
        <v>23075</v>
      </c>
      <c r="F5467" t="s">
        <v>31362</v>
      </c>
      <c r="G5467" t="s">
        <v>31370</v>
      </c>
      <c r="H5467" t="s">
        <v>31378</v>
      </c>
      <c r="I5467" t="s">
        <v>31433</v>
      </c>
      <c r="J5467" t="s">
        <v>35007</v>
      </c>
      <c r="K5467" t="s">
        <v>40661</v>
      </c>
      <c r="M5467" t="s">
        <v>42846</v>
      </c>
      <c r="N5467" t="s">
        <v>44905</v>
      </c>
      <c r="O5467" t="s">
        <v>44906</v>
      </c>
      <c r="P5467">
        <v>0</v>
      </c>
      <c r="Q5467">
        <v>0</v>
      </c>
      <c r="R5467" t="s">
        <v>44909</v>
      </c>
      <c r="S5467" t="s">
        <v>45060</v>
      </c>
      <c r="T5467" t="s">
        <v>46447</v>
      </c>
      <c r="U5467" t="s">
        <v>51374</v>
      </c>
      <c r="W5467" t="s">
        <v>42846</v>
      </c>
      <c r="X5467" t="s">
        <v>44910</v>
      </c>
    </row>
    <row r="5468" spans="1:24">
      <c r="A5468">
        <f>HYPERLINK("https://www.philgeps.gov.ph/GEPSNONPILOT/Tender/SplashBidNoticeAbstractUI.aspx?menuIndex=3&amp;refID=7076542&amp;Result=3","7076542")</f>
        <v>0</v>
      </c>
      <c r="B5468" t="s">
        <v>563</v>
      </c>
      <c r="C5468" t="s">
        <v>8746</v>
      </c>
      <c r="D5468" t="s">
        <v>18124</v>
      </c>
      <c r="E5468" t="s">
        <v>23076</v>
      </c>
      <c r="F5468" t="s">
        <v>31362</v>
      </c>
      <c r="G5468" t="s">
        <v>31369</v>
      </c>
      <c r="H5468" t="s">
        <v>31378</v>
      </c>
      <c r="I5468" t="s">
        <v>31386</v>
      </c>
      <c r="J5468" t="s">
        <v>31625</v>
      </c>
      <c r="K5468" t="s">
        <v>40666</v>
      </c>
      <c r="M5468" t="s">
        <v>41519</v>
      </c>
      <c r="N5468" t="s">
        <v>44905</v>
      </c>
      <c r="O5468" t="s">
        <v>44906</v>
      </c>
      <c r="P5468">
        <v>0</v>
      </c>
      <c r="Q5468">
        <v>5</v>
      </c>
      <c r="R5468" t="s">
        <v>44909</v>
      </c>
      <c r="S5468" t="s">
        <v>45060</v>
      </c>
      <c r="T5468" t="s">
        <v>46433</v>
      </c>
      <c r="U5468" t="s">
        <v>51375</v>
      </c>
      <c r="W5468" t="s">
        <v>41519</v>
      </c>
      <c r="X5468" t="s">
        <v>44910</v>
      </c>
    </row>
    <row r="5469" spans="1:24">
      <c r="A5469">
        <f>HYPERLINK("https://www.philgeps.gov.ph/GEPSNONPILOT/Tender/SplashBidNoticeAbstractUI.aspx?menuIndex=3&amp;refID=7076510&amp;Result=3","7076510")</f>
        <v>0</v>
      </c>
      <c r="B5469" t="s">
        <v>1115</v>
      </c>
      <c r="C5469" t="s">
        <v>8747</v>
      </c>
      <c r="D5469" t="s">
        <v>18104</v>
      </c>
      <c r="E5469" t="s">
        <v>23077</v>
      </c>
      <c r="F5469" t="s">
        <v>31362</v>
      </c>
      <c r="G5469" t="s">
        <v>31369</v>
      </c>
      <c r="H5469" t="s">
        <v>15799</v>
      </c>
      <c r="I5469" t="s">
        <v>4283</v>
      </c>
      <c r="J5469" t="s">
        <v>35008</v>
      </c>
      <c r="K5469" t="s">
        <v>40677</v>
      </c>
      <c r="M5469" t="s">
        <v>42805</v>
      </c>
      <c r="N5469" t="s">
        <v>44905</v>
      </c>
      <c r="O5469" t="s">
        <v>44906</v>
      </c>
      <c r="P5469">
        <v>0</v>
      </c>
      <c r="Q5469">
        <v>5</v>
      </c>
      <c r="R5469" t="s">
        <v>44909</v>
      </c>
      <c r="S5469" t="s">
        <v>45060</v>
      </c>
      <c r="T5469" t="s">
        <v>46627</v>
      </c>
      <c r="U5469" t="s">
        <v>51376</v>
      </c>
      <c r="V5469" t="s">
        <v>59573</v>
      </c>
      <c r="W5469" t="s">
        <v>42805</v>
      </c>
      <c r="X5469" t="s">
        <v>44910</v>
      </c>
    </row>
    <row r="5470" spans="1:24">
      <c r="A5470">
        <f>HYPERLINK("https://www.philgeps.gov.ph/GEPSNONPILOT/Tender/SplashBidNoticeAbstractUI.aspx?menuIndex=3&amp;refID=7076541&amp;Result=3","7076541")</f>
        <v>0</v>
      </c>
      <c r="B5470" t="s">
        <v>325</v>
      </c>
      <c r="C5470" t="s">
        <v>8748</v>
      </c>
      <c r="E5470" t="s">
        <v>23078</v>
      </c>
      <c r="F5470" t="s">
        <v>31362</v>
      </c>
      <c r="G5470" t="s">
        <v>31368</v>
      </c>
      <c r="H5470" t="s">
        <v>15799</v>
      </c>
      <c r="I5470" t="s">
        <v>31414</v>
      </c>
      <c r="J5470" t="s">
        <v>31969</v>
      </c>
      <c r="K5470" t="s">
        <v>40662</v>
      </c>
      <c r="M5470" t="s">
        <v>41271</v>
      </c>
      <c r="N5470" t="s">
        <v>44905</v>
      </c>
      <c r="O5470" t="s">
        <v>44906</v>
      </c>
      <c r="P5470">
        <v>0</v>
      </c>
      <c r="Q5470">
        <v>3</v>
      </c>
      <c r="R5470" t="s">
        <v>44909</v>
      </c>
      <c r="S5470" t="s">
        <v>45060</v>
      </c>
      <c r="T5470" t="s">
        <v>46394</v>
      </c>
      <c r="U5470" t="s">
        <v>51377</v>
      </c>
      <c r="W5470" t="s">
        <v>41271</v>
      </c>
      <c r="X5470" t="s">
        <v>44910</v>
      </c>
    </row>
    <row r="5471" spans="1:24">
      <c r="A5471">
        <f>HYPERLINK("https://www.philgeps.gov.ph/GEPSNONPILOT/Tender/SplashBidNoticeAbstractUI.aspx?menuIndex=3&amp;refID=7076540&amp;Result=3","7076540")</f>
        <v>0</v>
      </c>
      <c r="B5471" t="s">
        <v>1787</v>
      </c>
      <c r="C5471" t="s">
        <v>8749</v>
      </c>
      <c r="D5471" t="s">
        <v>18126</v>
      </c>
      <c r="E5471" t="s">
        <v>23079</v>
      </c>
      <c r="F5471" t="s">
        <v>31362</v>
      </c>
      <c r="G5471" t="s">
        <v>31368</v>
      </c>
      <c r="H5471" t="s">
        <v>15799</v>
      </c>
      <c r="I5471" t="s">
        <v>31419</v>
      </c>
      <c r="J5471" t="s">
        <v>31575</v>
      </c>
      <c r="K5471" t="s">
        <v>40661</v>
      </c>
      <c r="M5471" t="s">
        <v>42869</v>
      </c>
      <c r="N5471" t="s">
        <v>44905</v>
      </c>
      <c r="O5471" t="s">
        <v>44906</v>
      </c>
      <c r="P5471">
        <v>0</v>
      </c>
      <c r="Q5471">
        <v>4</v>
      </c>
      <c r="R5471" t="s">
        <v>44909</v>
      </c>
      <c r="S5471" t="s">
        <v>45060</v>
      </c>
      <c r="T5471" t="s">
        <v>46443</v>
      </c>
      <c r="U5471" t="s">
        <v>51378</v>
      </c>
      <c r="W5471" t="s">
        <v>42869</v>
      </c>
      <c r="X5471" t="s">
        <v>44910</v>
      </c>
    </row>
    <row r="5472" spans="1:24">
      <c r="A5472">
        <f>HYPERLINK("https://www.philgeps.gov.ph/GEPSNONPILOT/Tender/SplashBidNoticeAbstractUI.aspx?menuIndex=3&amp;refID=7076537&amp;Result=3","7076537")</f>
        <v>0</v>
      </c>
      <c r="B5472" t="s">
        <v>1772</v>
      </c>
      <c r="C5472" t="s">
        <v>8750</v>
      </c>
      <c r="E5472" t="s">
        <v>23080</v>
      </c>
      <c r="F5472" t="s">
        <v>31362</v>
      </c>
      <c r="G5472" t="s">
        <v>31368</v>
      </c>
      <c r="H5472" t="s">
        <v>15799</v>
      </c>
      <c r="I5472" t="s">
        <v>31411</v>
      </c>
      <c r="J5472" t="s">
        <v>32429</v>
      </c>
      <c r="K5472" t="s">
        <v>40662</v>
      </c>
      <c r="M5472" t="s">
        <v>42850</v>
      </c>
      <c r="N5472" t="s">
        <v>44905</v>
      </c>
      <c r="O5472" t="s">
        <v>44906</v>
      </c>
      <c r="P5472">
        <v>0</v>
      </c>
      <c r="Q5472">
        <v>4</v>
      </c>
      <c r="R5472" t="s">
        <v>44909</v>
      </c>
      <c r="S5472" t="s">
        <v>45060</v>
      </c>
      <c r="T5472" t="s">
        <v>46409</v>
      </c>
      <c r="U5472" t="s">
        <v>51348</v>
      </c>
      <c r="W5472" t="s">
        <v>42850</v>
      </c>
      <c r="X5472" t="s">
        <v>44910</v>
      </c>
    </row>
    <row r="5473" spans="1:24">
      <c r="A5473">
        <f>HYPERLINK("https://www.philgeps.gov.ph/GEPSNONPILOT/Tender/SplashBidNoticeAbstractUI.aspx?menuIndex=3&amp;refID=7076536&amp;Result=3","7076536")</f>
        <v>0</v>
      </c>
      <c r="B5473" t="s">
        <v>1788</v>
      </c>
      <c r="C5473" t="s">
        <v>8751</v>
      </c>
      <c r="D5473" t="s">
        <v>18157</v>
      </c>
      <c r="E5473" t="s">
        <v>19956</v>
      </c>
      <c r="F5473" t="s">
        <v>31362</v>
      </c>
      <c r="G5473" t="s">
        <v>31369</v>
      </c>
      <c r="H5473" t="s">
        <v>15799</v>
      </c>
      <c r="I5473" t="s">
        <v>3815</v>
      </c>
      <c r="J5473" t="s">
        <v>35009</v>
      </c>
      <c r="K5473" t="s">
        <v>40665</v>
      </c>
      <c r="M5473" t="s">
        <v>42870</v>
      </c>
      <c r="N5473" t="s">
        <v>44905</v>
      </c>
      <c r="O5473" t="s">
        <v>44906</v>
      </c>
      <c r="P5473">
        <v>0</v>
      </c>
      <c r="Q5473">
        <v>0</v>
      </c>
      <c r="R5473" t="s">
        <v>44909</v>
      </c>
      <c r="S5473" t="s">
        <v>45060</v>
      </c>
      <c r="T5473" t="s">
        <v>46503</v>
      </c>
      <c r="U5473" t="s">
        <v>51379</v>
      </c>
      <c r="V5473" t="s">
        <v>59248</v>
      </c>
      <c r="W5473" t="s">
        <v>42870</v>
      </c>
      <c r="X5473" t="s">
        <v>44910</v>
      </c>
    </row>
    <row r="5474" spans="1:24">
      <c r="A5474">
        <f>HYPERLINK("https://www.philgeps.gov.ph/GEPSNONPILOT/Tender/SplashBidNoticeAbstractUI.aspx?menuIndex=3&amp;refID=7076533&amp;Result=3","7076533")</f>
        <v>0</v>
      </c>
      <c r="B5474" t="s">
        <v>1352</v>
      </c>
      <c r="C5474" t="s">
        <v>8752</v>
      </c>
      <c r="D5474" t="s">
        <v>18108</v>
      </c>
      <c r="E5474" t="s">
        <v>23081</v>
      </c>
      <c r="F5474" t="s">
        <v>31362</v>
      </c>
      <c r="G5474" t="s">
        <v>31369</v>
      </c>
      <c r="H5474" t="s">
        <v>15799</v>
      </c>
      <c r="I5474" t="s">
        <v>31419</v>
      </c>
      <c r="J5474" t="s">
        <v>35010</v>
      </c>
      <c r="K5474" t="s">
        <v>40675</v>
      </c>
      <c r="M5474" t="s">
        <v>42793</v>
      </c>
      <c r="N5474" t="s">
        <v>44905</v>
      </c>
      <c r="O5474" t="s">
        <v>44906</v>
      </c>
      <c r="P5474">
        <v>0</v>
      </c>
      <c r="Q5474">
        <v>8</v>
      </c>
      <c r="R5474" t="s">
        <v>44909</v>
      </c>
      <c r="S5474" t="s">
        <v>45060</v>
      </c>
      <c r="T5474" t="s">
        <v>46401</v>
      </c>
      <c r="U5474" t="s">
        <v>51380</v>
      </c>
      <c r="W5474" t="s">
        <v>42793</v>
      </c>
      <c r="X5474" t="s">
        <v>44910</v>
      </c>
    </row>
    <row r="5475" spans="1:24">
      <c r="A5475">
        <f>HYPERLINK("https://www.philgeps.gov.ph/GEPSNONPILOT/Tender/SplashBidNoticeAbstractUI.aspx?menuIndex=3&amp;refID=7076532&amp;Result=3","7076532")</f>
        <v>0</v>
      </c>
      <c r="B5475" t="s">
        <v>1525</v>
      </c>
      <c r="C5475" t="s">
        <v>8753</v>
      </c>
      <c r="E5475" t="s">
        <v>23082</v>
      </c>
      <c r="F5475" t="s">
        <v>31362</v>
      </c>
      <c r="G5475" t="s">
        <v>31371</v>
      </c>
      <c r="H5475" t="s">
        <v>15799</v>
      </c>
      <c r="I5475" t="s">
        <v>31442</v>
      </c>
      <c r="J5475" t="s">
        <v>35011</v>
      </c>
      <c r="K5475" t="s">
        <v>40670</v>
      </c>
      <c r="M5475" t="s">
        <v>42569</v>
      </c>
      <c r="N5475" t="s">
        <v>44905</v>
      </c>
      <c r="O5475" t="s">
        <v>44906</v>
      </c>
      <c r="P5475">
        <v>0</v>
      </c>
      <c r="Q5475">
        <v>6</v>
      </c>
      <c r="R5475" t="s">
        <v>44909</v>
      </c>
      <c r="S5475" t="s">
        <v>45060</v>
      </c>
      <c r="T5475" t="s">
        <v>46682</v>
      </c>
      <c r="U5475" t="s">
        <v>51381</v>
      </c>
      <c r="W5475" t="s">
        <v>42569</v>
      </c>
      <c r="X5475" t="s">
        <v>44910</v>
      </c>
    </row>
    <row r="5476" spans="1:24">
      <c r="A5476">
        <f>HYPERLINK("https://www.philgeps.gov.ph/GEPSNONPILOT/Tender/SplashBidNoticeAbstractUI.aspx?menuIndex=3&amp;refID=7076544&amp;Result=3","7076544")</f>
        <v>0</v>
      </c>
      <c r="B5476" t="s">
        <v>1789</v>
      </c>
      <c r="C5476" t="s">
        <v>8754</v>
      </c>
      <c r="D5476" t="s">
        <v>18119</v>
      </c>
      <c r="E5476" t="s">
        <v>23083</v>
      </c>
      <c r="F5476" t="s">
        <v>31362</v>
      </c>
      <c r="G5476" t="s">
        <v>31369</v>
      </c>
      <c r="H5476" t="s">
        <v>31377</v>
      </c>
      <c r="I5476" t="s">
        <v>31412</v>
      </c>
      <c r="J5476" t="s">
        <v>35012</v>
      </c>
      <c r="K5476" t="s">
        <v>40679</v>
      </c>
      <c r="M5476" t="s">
        <v>42871</v>
      </c>
      <c r="N5476" t="s">
        <v>44905</v>
      </c>
      <c r="O5476" t="s">
        <v>44906</v>
      </c>
      <c r="P5476">
        <v>0</v>
      </c>
      <c r="Q5476">
        <v>4</v>
      </c>
      <c r="R5476" t="s">
        <v>44909</v>
      </c>
      <c r="S5476" t="s">
        <v>45060</v>
      </c>
      <c r="T5476" t="s">
        <v>46708</v>
      </c>
      <c r="U5476" t="s">
        <v>51382</v>
      </c>
      <c r="W5476" t="s">
        <v>60913</v>
      </c>
      <c r="X5476" t="s">
        <v>44910</v>
      </c>
    </row>
    <row r="5477" spans="1:24">
      <c r="A5477">
        <f>HYPERLINK("https://www.philgeps.gov.ph/GEPSNONPILOT/Tender/SplashBidNoticeAbstractUI.aspx?menuIndex=3&amp;refID=7076560&amp;Result=3","7076560")</f>
        <v>0</v>
      </c>
      <c r="B5477" t="s">
        <v>909</v>
      </c>
      <c r="C5477" t="s">
        <v>8755</v>
      </c>
      <c r="D5477" t="s">
        <v>18104</v>
      </c>
      <c r="E5477" t="s">
        <v>23084</v>
      </c>
      <c r="F5477" t="s">
        <v>31362</v>
      </c>
      <c r="G5477" t="s">
        <v>31369</v>
      </c>
      <c r="H5477" t="s">
        <v>15799</v>
      </c>
      <c r="I5477" t="s">
        <v>31400</v>
      </c>
      <c r="J5477" t="s">
        <v>32837</v>
      </c>
      <c r="K5477" t="s">
        <v>40672</v>
      </c>
      <c r="M5477" t="s">
        <v>41891</v>
      </c>
      <c r="N5477" t="s">
        <v>44905</v>
      </c>
      <c r="O5477" t="s">
        <v>44906</v>
      </c>
      <c r="P5477">
        <v>0</v>
      </c>
      <c r="Q5477">
        <v>1</v>
      </c>
      <c r="R5477" t="s">
        <v>44909</v>
      </c>
      <c r="S5477" t="s">
        <v>45060</v>
      </c>
      <c r="T5477" t="s">
        <v>46470</v>
      </c>
      <c r="U5477" t="s">
        <v>51383</v>
      </c>
      <c r="W5477" t="s">
        <v>41891</v>
      </c>
      <c r="X5477" t="s">
        <v>44910</v>
      </c>
    </row>
    <row r="5478" spans="1:24">
      <c r="A5478">
        <f>HYPERLINK("https://www.philgeps.gov.ph/GEPSNONPILOT/Tender/SplashBidNoticeAbstractUI.aspx?menuIndex=3&amp;refID=7076572&amp;Result=3","7076572")</f>
        <v>0</v>
      </c>
      <c r="B5478" t="s">
        <v>1790</v>
      </c>
      <c r="C5478" t="s">
        <v>8756</v>
      </c>
      <c r="D5478" t="s">
        <v>18158</v>
      </c>
      <c r="E5478" t="s">
        <v>23085</v>
      </c>
      <c r="F5478" t="s">
        <v>31362</v>
      </c>
      <c r="G5478" t="s">
        <v>31369</v>
      </c>
      <c r="H5478" t="s">
        <v>15799</v>
      </c>
      <c r="I5478" t="s">
        <v>31397</v>
      </c>
      <c r="J5478" t="s">
        <v>34248</v>
      </c>
      <c r="K5478" t="s">
        <v>40665</v>
      </c>
      <c r="M5478" t="s">
        <v>42872</v>
      </c>
      <c r="N5478" t="s">
        <v>44905</v>
      </c>
      <c r="O5478" t="s">
        <v>44906</v>
      </c>
      <c r="P5478">
        <v>0</v>
      </c>
      <c r="Q5478">
        <v>1</v>
      </c>
      <c r="R5478" t="s">
        <v>44909</v>
      </c>
      <c r="S5478" t="s">
        <v>45060</v>
      </c>
      <c r="T5478" t="s">
        <v>46549</v>
      </c>
      <c r="U5478" t="s">
        <v>51384</v>
      </c>
      <c r="W5478" t="s">
        <v>42872</v>
      </c>
      <c r="X5478" t="s">
        <v>44910</v>
      </c>
    </row>
    <row r="5479" spans="1:24">
      <c r="A5479">
        <f>HYPERLINK("https://www.philgeps.gov.ph/GEPSNONPILOT/Tender/SplashBidNoticeAbstractUI.aspx?menuIndex=3&amp;refID=7076571&amp;Result=3","7076571")</f>
        <v>0</v>
      </c>
      <c r="B5479" t="s">
        <v>1791</v>
      </c>
      <c r="C5479" t="s">
        <v>8757</v>
      </c>
      <c r="D5479" t="s">
        <v>18107</v>
      </c>
      <c r="E5479" t="s">
        <v>23086</v>
      </c>
      <c r="F5479" t="s">
        <v>31362</v>
      </c>
      <c r="G5479" t="s">
        <v>31369</v>
      </c>
      <c r="H5479" t="s">
        <v>15799</v>
      </c>
      <c r="I5479" t="s">
        <v>31455</v>
      </c>
      <c r="J5479" t="s">
        <v>32130</v>
      </c>
      <c r="K5479" t="s">
        <v>40665</v>
      </c>
      <c r="M5479" t="s">
        <v>42873</v>
      </c>
      <c r="N5479" t="s">
        <v>44905</v>
      </c>
      <c r="O5479" t="s">
        <v>44906</v>
      </c>
      <c r="P5479">
        <v>0</v>
      </c>
      <c r="Q5479">
        <v>0</v>
      </c>
      <c r="R5479" t="s">
        <v>44909</v>
      </c>
      <c r="S5479" t="s">
        <v>45060</v>
      </c>
      <c r="T5479" t="s">
        <v>46465</v>
      </c>
      <c r="U5479" t="s">
        <v>51385</v>
      </c>
      <c r="W5479" t="s">
        <v>42873</v>
      </c>
      <c r="X5479" t="s">
        <v>44910</v>
      </c>
    </row>
    <row r="5480" spans="1:24">
      <c r="A5480">
        <f>HYPERLINK("https://www.philgeps.gov.ph/GEPSNONPILOT/Tender/SplashBidNoticeAbstractUI.aspx?menuIndex=3&amp;refID=7076569&amp;Result=3","7076569")</f>
        <v>0</v>
      </c>
      <c r="B5480" t="s">
        <v>1792</v>
      </c>
      <c r="C5480" t="s">
        <v>3673</v>
      </c>
      <c r="D5480" t="s">
        <v>18135</v>
      </c>
      <c r="E5480" t="s">
        <v>23087</v>
      </c>
      <c r="F5480" t="s">
        <v>31362</v>
      </c>
      <c r="G5480" t="s">
        <v>31368</v>
      </c>
      <c r="H5480" t="s">
        <v>15799</v>
      </c>
      <c r="I5480" t="s">
        <v>31385</v>
      </c>
      <c r="J5480" t="s">
        <v>35013</v>
      </c>
      <c r="K5480" t="s">
        <v>40661</v>
      </c>
      <c r="M5480" t="s">
        <v>42874</v>
      </c>
      <c r="N5480" t="s">
        <v>44905</v>
      </c>
      <c r="O5480" t="s">
        <v>44906</v>
      </c>
      <c r="P5480">
        <v>0</v>
      </c>
      <c r="Q5480">
        <v>2</v>
      </c>
      <c r="R5480" t="s">
        <v>44909</v>
      </c>
      <c r="S5480" t="s">
        <v>45060</v>
      </c>
      <c r="T5480" t="s">
        <v>46503</v>
      </c>
      <c r="U5480" t="s">
        <v>51386</v>
      </c>
      <c r="W5480" t="s">
        <v>42874</v>
      </c>
      <c r="X5480" t="s">
        <v>44910</v>
      </c>
    </row>
    <row r="5481" spans="1:24">
      <c r="A5481">
        <f>HYPERLINK("https://www.philgeps.gov.ph/GEPSNONPILOT/Tender/SplashBidNoticeAbstractUI.aspx?menuIndex=3&amp;refID=7076527&amp;Result=3","7076527")</f>
        <v>0</v>
      </c>
      <c r="B5481" t="s">
        <v>1793</v>
      </c>
      <c r="C5481" t="s">
        <v>8758</v>
      </c>
      <c r="D5481" t="s">
        <v>18107</v>
      </c>
      <c r="E5481" t="s">
        <v>23088</v>
      </c>
      <c r="F5481" t="s">
        <v>31362</v>
      </c>
      <c r="G5481" t="s">
        <v>31369</v>
      </c>
      <c r="H5481" t="s">
        <v>15799</v>
      </c>
      <c r="I5481" t="s">
        <v>7090</v>
      </c>
      <c r="J5481" t="s">
        <v>35014</v>
      </c>
      <c r="K5481" t="s">
        <v>40666</v>
      </c>
      <c r="M5481" t="s">
        <v>42875</v>
      </c>
      <c r="N5481" t="s">
        <v>44905</v>
      </c>
      <c r="O5481" t="s">
        <v>44906</v>
      </c>
      <c r="P5481">
        <v>0</v>
      </c>
      <c r="Q5481">
        <v>1</v>
      </c>
      <c r="R5481" t="s">
        <v>44909</v>
      </c>
      <c r="S5481" t="s">
        <v>45060</v>
      </c>
      <c r="T5481" t="s">
        <v>46433</v>
      </c>
      <c r="U5481" t="s">
        <v>51387</v>
      </c>
      <c r="W5481" t="s">
        <v>42875</v>
      </c>
      <c r="X5481" t="s">
        <v>44910</v>
      </c>
    </row>
    <row r="5482" spans="1:24">
      <c r="A5482">
        <f>HYPERLINK("https://www.philgeps.gov.ph/GEPSNONPILOT/Tender/SplashBidNoticeAbstractUI.aspx?menuIndex=3&amp;refID=7076568&amp;Result=3","7076568")</f>
        <v>0</v>
      </c>
      <c r="B5482" t="s">
        <v>978</v>
      </c>
      <c r="C5482" t="s">
        <v>8759</v>
      </c>
      <c r="D5482" t="s">
        <v>18100</v>
      </c>
      <c r="E5482" t="s">
        <v>23089</v>
      </c>
      <c r="F5482" t="s">
        <v>31362</v>
      </c>
      <c r="G5482" t="s">
        <v>31368</v>
      </c>
      <c r="H5482" t="s">
        <v>15799</v>
      </c>
      <c r="I5482" t="s">
        <v>6373</v>
      </c>
      <c r="J5482" t="s">
        <v>31645</v>
      </c>
      <c r="K5482" t="s">
        <v>40662</v>
      </c>
      <c r="M5482" t="s">
        <v>41969</v>
      </c>
      <c r="N5482" t="s">
        <v>44905</v>
      </c>
      <c r="O5482" t="s">
        <v>44906</v>
      </c>
      <c r="P5482">
        <v>0</v>
      </c>
      <c r="Q5482">
        <v>3</v>
      </c>
      <c r="R5482" t="s">
        <v>44909</v>
      </c>
      <c r="S5482" t="s">
        <v>45060</v>
      </c>
      <c r="T5482" t="s">
        <v>46414</v>
      </c>
      <c r="U5482" t="s">
        <v>51388</v>
      </c>
      <c r="W5482" t="s">
        <v>41969</v>
      </c>
      <c r="X5482" t="s">
        <v>44910</v>
      </c>
    </row>
    <row r="5483" spans="1:24">
      <c r="A5483">
        <f>HYPERLINK("https://www.philgeps.gov.ph/GEPSNONPILOT/Tender/SplashBidNoticeAbstractUI.aspx?menuIndex=3&amp;refID=7076567&amp;Result=3","7076567")</f>
        <v>0</v>
      </c>
      <c r="B5483" t="s">
        <v>325</v>
      </c>
      <c r="C5483" t="s">
        <v>8760</v>
      </c>
      <c r="E5483" t="s">
        <v>23090</v>
      </c>
      <c r="F5483" t="s">
        <v>31362</v>
      </c>
      <c r="G5483" t="s">
        <v>31368</v>
      </c>
      <c r="H5483" t="s">
        <v>15799</v>
      </c>
      <c r="I5483" t="s">
        <v>31414</v>
      </c>
      <c r="J5483" t="s">
        <v>31578</v>
      </c>
      <c r="K5483" t="s">
        <v>40662</v>
      </c>
      <c r="M5483" t="s">
        <v>41271</v>
      </c>
      <c r="N5483" t="s">
        <v>44905</v>
      </c>
      <c r="O5483" t="s">
        <v>44906</v>
      </c>
      <c r="P5483">
        <v>0</v>
      </c>
      <c r="Q5483">
        <v>6</v>
      </c>
      <c r="R5483" t="s">
        <v>44909</v>
      </c>
      <c r="S5483" t="s">
        <v>45060</v>
      </c>
      <c r="T5483" t="s">
        <v>46394</v>
      </c>
      <c r="U5483" t="s">
        <v>51389</v>
      </c>
      <c r="W5483" t="s">
        <v>41271</v>
      </c>
      <c r="X5483" t="s">
        <v>44910</v>
      </c>
    </row>
    <row r="5484" spans="1:24">
      <c r="A5484">
        <f>HYPERLINK("https://www.philgeps.gov.ph/GEPSNONPILOT/Tender/SplashBidNoticeAbstractUI.aspx?menuIndex=3&amp;refID=7076565&amp;Result=3","7076565")</f>
        <v>0</v>
      </c>
      <c r="B5484" t="s">
        <v>1406</v>
      </c>
      <c r="C5484" t="s">
        <v>8761</v>
      </c>
      <c r="D5484" t="s">
        <v>18108</v>
      </c>
      <c r="E5484" t="s">
        <v>23091</v>
      </c>
      <c r="F5484" t="s">
        <v>31362</v>
      </c>
      <c r="G5484" t="s">
        <v>31371</v>
      </c>
      <c r="H5484" t="s">
        <v>15799</v>
      </c>
      <c r="I5484" t="s">
        <v>31385</v>
      </c>
      <c r="J5484" t="s">
        <v>32731</v>
      </c>
      <c r="K5484" t="s">
        <v>40666</v>
      </c>
      <c r="M5484" t="s">
        <v>42431</v>
      </c>
      <c r="N5484" t="s">
        <v>44905</v>
      </c>
      <c r="O5484" t="s">
        <v>44906</v>
      </c>
      <c r="P5484">
        <v>0</v>
      </c>
      <c r="Q5484">
        <v>10</v>
      </c>
      <c r="R5484" t="s">
        <v>44909</v>
      </c>
      <c r="S5484" t="s">
        <v>45060</v>
      </c>
      <c r="T5484" t="s">
        <v>46435</v>
      </c>
      <c r="U5484" t="s">
        <v>51390</v>
      </c>
      <c r="V5484" t="s">
        <v>59588</v>
      </c>
      <c r="W5484" t="s">
        <v>42431</v>
      </c>
      <c r="X5484" t="s">
        <v>44910</v>
      </c>
    </row>
    <row r="5485" spans="1:24">
      <c r="A5485">
        <f>HYPERLINK("https://www.philgeps.gov.ph/GEPSNONPILOT/Tender/SplashBidNoticeAbstractUI.aspx?menuIndex=3&amp;refID=7076564&amp;Result=3","7076564")</f>
        <v>0</v>
      </c>
      <c r="B5485" t="s">
        <v>260</v>
      </c>
      <c r="C5485" t="s">
        <v>8762</v>
      </c>
      <c r="D5485" t="s">
        <v>18138</v>
      </c>
      <c r="E5485" t="s">
        <v>23092</v>
      </c>
      <c r="F5485" t="s">
        <v>31362</v>
      </c>
      <c r="G5485" t="s">
        <v>31368</v>
      </c>
      <c r="H5485" t="s">
        <v>15799</v>
      </c>
      <c r="I5485" t="s">
        <v>4057</v>
      </c>
      <c r="J5485" t="s">
        <v>34982</v>
      </c>
      <c r="K5485" t="s">
        <v>40662</v>
      </c>
      <c r="M5485" t="s">
        <v>41201</v>
      </c>
      <c r="N5485" t="s">
        <v>44905</v>
      </c>
      <c r="O5485" t="s">
        <v>44906</v>
      </c>
      <c r="P5485">
        <v>0</v>
      </c>
      <c r="Q5485">
        <v>1</v>
      </c>
      <c r="R5485" t="s">
        <v>44909</v>
      </c>
      <c r="S5485" t="s">
        <v>45060</v>
      </c>
      <c r="T5485" t="s">
        <v>46414</v>
      </c>
      <c r="U5485" t="s">
        <v>51333</v>
      </c>
      <c r="W5485" t="s">
        <v>41201</v>
      </c>
      <c r="X5485" t="s">
        <v>44910</v>
      </c>
    </row>
    <row r="5486" spans="1:24">
      <c r="A5486">
        <f>HYPERLINK("https://www.philgeps.gov.ph/GEPSNONPILOT/Tender/SplashBidNoticeAbstractUI.aspx?menuIndex=3&amp;refID=7076586&amp;Result=3","7076586")</f>
        <v>0</v>
      </c>
      <c r="B5486" t="s">
        <v>1794</v>
      </c>
      <c r="C5486" t="s">
        <v>8763</v>
      </c>
      <c r="D5486" t="s">
        <v>18148</v>
      </c>
      <c r="E5486" t="s">
        <v>23093</v>
      </c>
      <c r="F5486" t="s">
        <v>31362</v>
      </c>
      <c r="G5486" t="s">
        <v>31369</v>
      </c>
      <c r="H5486" t="s">
        <v>15799</v>
      </c>
      <c r="I5486" t="s">
        <v>3815</v>
      </c>
      <c r="J5486" t="s">
        <v>31919</v>
      </c>
      <c r="K5486" t="s">
        <v>40661</v>
      </c>
      <c r="M5486" t="s">
        <v>42876</v>
      </c>
      <c r="N5486" t="s">
        <v>44905</v>
      </c>
      <c r="O5486" t="s">
        <v>44906</v>
      </c>
      <c r="P5486">
        <v>0</v>
      </c>
      <c r="Q5486">
        <v>0</v>
      </c>
      <c r="R5486" t="s">
        <v>44909</v>
      </c>
      <c r="S5486" t="s">
        <v>45060</v>
      </c>
      <c r="T5486" t="s">
        <v>46412</v>
      </c>
      <c r="U5486" t="s">
        <v>51391</v>
      </c>
      <c r="W5486" t="s">
        <v>42876</v>
      </c>
      <c r="X5486" t="s">
        <v>44910</v>
      </c>
    </row>
    <row r="5487" spans="1:24">
      <c r="A5487">
        <f>HYPERLINK("https://www.philgeps.gov.ph/GEPSNONPILOT/Tender/SplashBidNoticeAbstractUI.aspx?menuIndex=3&amp;refID=7076558&amp;Result=3","7076558")</f>
        <v>0</v>
      </c>
      <c r="B5487" t="s">
        <v>1127</v>
      </c>
      <c r="C5487" t="s">
        <v>8764</v>
      </c>
      <c r="D5487" t="s">
        <v>18160</v>
      </c>
      <c r="E5487" t="s">
        <v>23094</v>
      </c>
      <c r="F5487" t="s">
        <v>31362</v>
      </c>
      <c r="G5487" t="s">
        <v>31369</v>
      </c>
      <c r="H5487" t="s">
        <v>15799</v>
      </c>
      <c r="I5487" t="s">
        <v>31400</v>
      </c>
      <c r="J5487" t="s">
        <v>35015</v>
      </c>
      <c r="K5487" t="s">
        <v>40696</v>
      </c>
      <c r="M5487" t="s">
        <v>42134</v>
      </c>
      <c r="N5487" t="s">
        <v>44905</v>
      </c>
      <c r="O5487" t="s">
        <v>44906</v>
      </c>
      <c r="P5487">
        <v>0</v>
      </c>
      <c r="Q5487">
        <v>3</v>
      </c>
      <c r="R5487" t="s">
        <v>44909</v>
      </c>
      <c r="S5487" t="s">
        <v>45060</v>
      </c>
      <c r="T5487" t="s">
        <v>46417</v>
      </c>
      <c r="U5487" t="s">
        <v>51392</v>
      </c>
      <c r="W5487" t="s">
        <v>42134</v>
      </c>
      <c r="X5487" t="s">
        <v>44910</v>
      </c>
    </row>
    <row r="5488" spans="1:24">
      <c r="A5488">
        <f>HYPERLINK("https://www.philgeps.gov.ph/GEPSNONPILOT/Tender/SplashBidNoticeAbstractUI.aspx?menuIndex=3&amp;refID=7076535&amp;Result=3","7076535")</f>
        <v>0</v>
      </c>
      <c r="B5488" t="s">
        <v>1795</v>
      </c>
      <c r="C5488" t="s">
        <v>8765</v>
      </c>
      <c r="D5488" t="s">
        <v>18147</v>
      </c>
      <c r="E5488" t="s">
        <v>23095</v>
      </c>
      <c r="F5488" t="s">
        <v>31362</v>
      </c>
      <c r="G5488" t="s">
        <v>31369</v>
      </c>
      <c r="H5488" t="s">
        <v>15799</v>
      </c>
      <c r="I5488" t="s">
        <v>6373</v>
      </c>
      <c r="J5488" t="s">
        <v>35016</v>
      </c>
      <c r="K5488" t="s">
        <v>40675</v>
      </c>
      <c r="M5488" t="s">
        <v>42877</v>
      </c>
      <c r="N5488" t="s">
        <v>44905</v>
      </c>
      <c r="O5488" t="s">
        <v>44906</v>
      </c>
      <c r="P5488">
        <v>0</v>
      </c>
      <c r="Q5488">
        <v>8</v>
      </c>
      <c r="R5488" t="s">
        <v>44909</v>
      </c>
      <c r="S5488" t="s">
        <v>45060</v>
      </c>
      <c r="T5488" t="s">
        <v>46431</v>
      </c>
      <c r="U5488" t="s">
        <v>51393</v>
      </c>
      <c r="W5488" t="s">
        <v>42877</v>
      </c>
      <c r="X5488" t="s">
        <v>44910</v>
      </c>
    </row>
    <row r="5489" spans="1:24">
      <c r="A5489">
        <f>HYPERLINK("https://www.philgeps.gov.ph/GEPSNONPILOT/Tender/SplashBidNoticeAbstractUI.aspx?menuIndex=3&amp;refID=7076584&amp;Result=3","7076584")</f>
        <v>0</v>
      </c>
      <c r="B5489" t="s">
        <v>1796</v>
      </c>
      <c r="C5489" t="s">
        <v>8766</v>
      </c>
      <c r="D5489" t="s">
        <v>18108</v>
      </c>
      <c r="E5489" t="s">
        <v>23096</v>
      </c>
      <c r="F5489" t="s">
        <v>31362</v>
      </c>
      <c r="G5489" t="s">
        <v>31368</v>
      </c>
      <c r="H5489" t="s">
        <v>15799</v>
      </c>
      <c r="I5489" t="s">
        <v>31397</v>
      </c>
      <c r="J5489" t="s">
        <v>32178</v>
      </c>
      <c r="K5489" t="s">
        <v>40666</v>
      </c>
      <c r="M5489" t="s">
        <v>42878</v>
      </c>
      <c r="N5489" t="s">
        <v>44905</v>
      </c>
      <c r="O5489" t="s">
        <v>44906</v>
      </c>
      <c r="P5489">
        <v>0</v>
      </c>
      <c r="Q5489">
        <v>3</v>
      </c>
      <c r="R5489" t="s">
        <v>44909</v>
      </c>
      <c r="S5489" t="s">
        <v>45060</v>
      </c>
      <c r="T5489" t="s">
        <v>46480</v>
      </c>
      <c r="U5489" t="s">
        <v>51394</v>
      </c>
      <c r="W5489" t="s">
        <v>42878</v>
      </c>
      <c r="X5489" t="s">
        <v>44910</v>
      </c>
    </row>
    <row r="5490" spans="1:24">
      <c r="A5490">
        <f>HYPERLINK("https://www.philgeps.gov.ph/GEPSNONPILOT/Tender/SplashBidNoticeAbstractUI.aspx?menuIndex=3&amp;refID=7076581&amp;Result=3","7076581")</f>
        <v>0</v>
      </c>
      <c r="B5490" t="s">
        <v>563</v>
      </c>
      <c r="C5490" t="s">
        <v>8767</v>
      </c>
      <c r="D5490" t="s">
        <v>18124</v>
      </c>
      <c r="E5490" t="s">
        <v>23097</v>
      </c>
      <c r="F5490" t="s">
        <v>31362</v>
      </c>
      <c r="G5490" t="s">
        <v>31369</v>
      </c>
      <c r="H5490" t="s">
        <v>31378</v>
      </c>
      <c r="I5490" t="s">
        <v>31386</v>
      </c>
      <c r="J5490" t="s">
        <v>32239</v>
      </c>
      <c r="K5490" t="s">
        <v>40666</v>
      </c>
      <c r="M5490" t="s">
        <v>41519</v>
      </c>
      <c r="N5490" t="s">
        <v>44905</v>
      </c>
      <c r="O5490" t="s">
        <v>44906</v>
      </c>
      <c r="P5490">
        <v>0</v>
      </c>
      <c r="Q5490">
        <v>4</v>
      </c>
      <c r="R5490" t="s">
        <v>44909</v>
      </c>
      <c r="S5490" t="s">
        <v>45060</v>
      </c>
      <c r="T5490" t="s">
        <v>46433</v>
      </c>
      <c r="U5490" t="s">
        <v>51395</v>
      </c>
      <c r="W5490" t="s">
        <v>41519</v>
      </c>
      <c r="X5490" t="s">
        <v>44910</v>
      </c>
    </row>
    <row r="5491" spans="1:24">
      <c r="A5491">
        <f>HYPERLINK("https://www.philgeps.gov.ph/GEPSNONPILOT/Tender/SplashBidNoticeAbstractUI.aspx?menuIndex=3&amp;refID=7076580&amp;Result=3","7076580")</f>
        <v>0</v>
      </c>
      <c r="B5491" t="s">
        <v>795</v>
      </c>
      <c r="C5491" t="s">
        <v>8768</v>
      </c>
      <c r="D5491" t="s">
        <v>18138</v>
      </c>
      <c r="E5491" t="s">
        <v>23098</v>
      </c>
      <c r="F5491" t="s">
        <v>31362</v>
      </c>
      <c r="G5491" t="s">
        <v>31368</v>
      </c>
      <c r="H5491" t="s">
        <v>15799</v>
      </c>
      <c r="I5491" t="s">
        <v>31397</v>
      </c>
      <c r="J5491" t="s">
        <v>35017</v>
      </c>
      <c r="K5491" t="s">
        <v>40666</v>
      </c>
      <c r="M5491" t="s">
        <v>41765</v>
      </c>
      <c r="N5491" t="s">
        <v>44905</v>
      </c>
      <c r="O5491" t="s">
        <v>44906</v>
      </c>
      <c r="P5491">
        <v>0</v>
      </c>
      <c r="Q5491">
        <v>1</v>
      </c>
      <c r="R5491" t="s">
        <v>44909</v>
      </c>
      <c r="S5491" t="s">
        <v>45060</v>
      </c>
      <c r="T5491" t="s">
        <v>46399</v>
      </c>
      <c r="U5491" t="s">
        <v>51396</v>
      </c>
      <c r="W5491" t="s">
        <v>41765</v>
      </c>
      <c r="X5491" t="s">
        <v>44910</v>
      </c>
    </row>
    <row r="5492" spans="1:24">
      <c r="A5492">
        <f>HYPERLINK("https://www.philgeps.gov.ph/GEPSNONPILOT/Tender/SplashBidNoticeAbstractUI.aspx?menuIndex=3&amp;refID=7076563&amp;Result=3","7076563")</f>
        <v>0</v>
      </c>
      <c r="B5492" t="s">
        <v>352</v>
      </c>
      <c r="C5492" t="s">
        <v>8769</v>
      </c>
      <c r="D5492" t="s">
        <v>18122</v>
      </c>
      <c r="E5492" t="s">
        <v>23099</v>
      </c>
      <c r="F5492" t="s">
        <v>31362</v>
      </c>
      <c r="G5492" t="s">
        <v>31368</v>
      </c>
      <c r="H5492" t="s">
        <v>15799</v>
      </c>
      <c r="I5492" t="s">
        <v>31385</v>
      </c>
      <c r="J5492" t="s">
        <v>35018</v>
      </c>
      <c r="K5492" t="s">
        <v>40666</v>
      </c>
      <c r="M5492" t="s">
        <v>41299</v>
      </c>
      <c r="N5492" t="s">
        <v>44905</v>
      </c>
      <c r="O5492" t="s">
        <v>44906</v>
      </c>
      <c r="P5492">
        <v>0</v>
      </c>
      <c r="Q5492">
        <v>0</v>
      </c>
      <c r="R5492" t="s">
        <v>44909</v>
      </c>
      <c r="S5492" t="s">
        <v>45060</v>
      </c>
      <c r="T5492" t="s">
        <v>46400</v>
      </c>
      <c r="U5492" t="s">
        <v>51397</v>
      </c>
      <c r="W5492" t="s">
        <v>41299</v>
      </c>
      <c r="X5492" t="s">
        <v>44910</v>
      </c>
    </row>
    <row r="5493" spans="1:24">
      <c r="A5493">
        <f>HYPERLINK("https://www.philgeps.gov.ph/GEPSNONPILOT/Tender/SplashBidNoticeAbstractUI.aspx?menuIndex=3&amp;refID=7076562&amp;Result=3","7076562")</f>
        <v>0</v>
      </c>
      <c r="B5493" t="s">
        <v>520</v>
      </c>
      <c r="C5493" t="s">
        <v>8770</v>
      </c>
      <c r="D5493" t="s">
        <v>18106</v>
      </c>
      <c r="E5493" t="s">
        <v>23100</v>
      </c>
      <c r="F5493" t="s">
        <v>31362</v>
      </c>
      <c r="G5493" t="s">
        <v>31368</v>
      </c>
      <c r="H5493" t="s">
        <v>15799</v>
      </c>
      <c r="I5493" t="s">
        <v>7090</v>
      </c>
      <c r="J5493" t="s">
        <v>33205</v>
      </c>
      <c r="K5493" t="s">
        <v>40758</v>
      </c>
      <c r="M5493" t="s">
        <v>41476</v>
      </c>
      <c r="N5493" t="s">
        <v>44905</v>
      </c>
      <c r="O5493" t="s">
        <v>44906</v>
      </c>
      <c r="P5493">
        <v>0</v>
      </c>
      <c r="Q5493">
        <v>5</v>
      </c>
      <c r="R5493" t="s">
        <v>44909</v>
      </c>
      <c r="S5493" t="s">
        <v>45060</v>
      </c>
      <c r="T5493" t="s">
        <v>46454</v>
      </c>
      <c r="U5493" t="s">
        <v>51398</v>
      </c>
      <c r="W5493" t="s">
        <v>41476</v>
      </c>
      <c r="X5493" t="s">
        <v>44910</v>
      </c>
    </row>
    <row r="5494" spans="1:24">
      <c r="A5494">
        <f>HYPERLINK("https://www.philgeps.gov.ph/GEPSNONPILOT/Tender/SplashBidNoticeAbstractUI.aspx?menuIndex=3&amp;refID=7076570&amp;Result=3","7076570")</f>
        <v>0</v>
      </c>
      <c r="B5494" t="s">
        <v>1797</v>
      </c>
      <c r="C5494" t="s">
        <v>8771</v>
      </c>
      <c r="E5494" t="s">
        <v>23101</v>
      </c>
      <c r="F5494" t="s">
        <v>31362</v>
      </c>
      <c r="G5494" t="s">
        <v>31369</v>
      </c>
      <c r="H5494" t="s">
        <v>15799</v>
      </c>
      <c r="I5494" t="s">
        <v>3815</v>
      </c>
      <c r="J5494" t="s">
        <v>35019</v>
      </c>
      <c r="K5494" t="s">
        <v>40666</v>
      </c>
      <c r="M5494" t="s">
        <v>42879</v>
      </c>
      <c r="N5494" t="s">
        <v>44905</v>
      </c>
      <c r="O5494" t="s">
        <v>44906</v>
      </c>
      <c r="P5494">
        <v>0</v>
      </c>
      <c r="Q5494">
        <v>1</v>
      </c>
      <c r="R5494" t="s">
        <v>44909</v>
      </c>
      <c r="S5494" t="s">
        <v>45060</v>
      </c>
      <c r="T5494" t="s">
        <v>46559</v>
      </c>
      <c r="U5494" t="s">
        <v>51399</v>
      </c>
      <c r="V5494" t="s">
        <v>59589</v>
      </c>
      <c r="W5494" t="s">
        <v>42879</v>
      </c>
      <c r="X5494" t="s">
        <v>44910</v>
      </c>
    </row>
    <row r="5495" spans="1:24">
      <c r="A5495">
        <f>HYPERLINK("https://www.philgeps.gov.ph/GEPSNONPILOT/Tender/SplashBidNoticeAbstractUI.aspx?menuIndex=3&amp;refID=7076561&amp;Result=3","7076561")</f>
        <v>0</v>
      </c>
      <c r="B5495" t="s">
        <v>1707</v>
      </c>
      <c r="C5495" t="s">
        <v>8772</v>
      </c>
      <c r="D5495" t="s">
        <v>18111</v>
      </c>
      <c r="E5495" t="s">
        <v>23102</v>
      </c>
      <c r="F5495" t="s">
        <v>31362</v>
      </c>
      <c r="G5495" t="s">
        <v>31370</v>
      </c>
      <c r="H5495" t="s">
        <v>15799</v>
      </c>
      <c r="I5495" t="s">
        <v>31431</v>
      </c>
      <c r="J5495" t="s">
        <v>35020</v>
      </c>
      <c r="K5495" t="s">
        <v>40670</v>
      </c>
      <c r="M5495" t="s">
        <v>42774</v>
      </c>
      <c r="N5495" t="s">
        <v>44905</v>
      </c>
      <c r="O5495" t="s">
        <v>44906</v>
      </c>
      <c r="P5495">
        <v>0</v>
      </c>
      <c r="Q5495">
        <v>3</v>
      </c>
      <c r="R5495" t="s">
        <v>44909</v>
      </c>
      <c r="S5495" t="s">
        <v>45060</v>
      </c>
      <c r="T5495" t="s">
        <v>46414</v>
      </c>
      <c r="U5495" t="s">
        <v>51146</v>
      </c>
      <c r="W5495" t="s">
        <v>42774</v>
      </c>
      <c r="X5495" t="s">
        <v>44910</v>
      </c>
    </row>
    <row r="5496" spans="1:24">
      <c r="A5496">
        <f>HYPERLINK("https://www.philgeps.gov.ph/GEPSNONPILOT/Tender/SplashBidNoticeAbstractUI.aspx?menuIndex=3&amp;refID=7076583&amp;Result=3","7076583")</f>
        <v>0</v>
      </c>
      <c r="B5496" t="s">
        <v>1525</v>
      </c>
      <c r="C5496" t="s">
        <v>8773</v>
      </c>
      <c r="E5496" t="s">
        <v>23103</v>
      </c>
      <c r="F5496" t="s">
        <v>31362</v>
      </c>
      <c r="G5496" t="s">
        <v>31368</v>
      </c>
      <c r="H5496" t="s">
        <v>15799</v>
      </c>
      <c r="I5496" t="s">
        <v>7188</v>
      </c>
      <c r="J5496" t="s">
        <v>35021</v>
      </c>
      <c r="K5496" t="s">
        <v>40670</v>
      </c>
      <c r="M5496" t="s">
        <v>42569</v>
      </c>
      <c r="N5496" t="s">
        <v>44905</v>
      </c>
      <c r="O5496" t="s">
        <v>44906</v>
      </c>
      <c r="P5496">
        <v>0</v>
      </c>
      <c r="Q5496">
        <v>11</v>
      </c>
      <c r="R5496" t="s">
        <v>44909</v>
      </c>
      <c r="S5496" t="s">
        <v>45060</v>
      </c>
      <c r="T5496" t="s">
        <v>46682</v>
      </c>
      <c r="U5496" t="s">
        <v>51400</v>
      </c>
      <c r="W5496" t="s">
        <v>42569</v>
      </c>
      <c r="X5496" t="s">
        <v>44910</v>
      </c>
    </row>
    <row r="5497" spans="1:24">
      <c r="A5497">
        <f>HYPERLINK("https://www.philgeps.gov.ph/GEPSNONPILOT/Tender/SplashBidNoticeAbstractUI.aspx?menuIndex=3&amp;refID=7076588&amp;Result=3","7076588")</f>
        <v>0</v>
      </c>
      <c r="B5497" t="s">
        <v>1798</v>
      </c>
      <c r="C5497" t="s">
        <v>8774</v>
      </c>
      <c r="D5497" t="s">
        <v>18131</v>
      </c>
      <c r="E5497" t="s">
        <v>23104</v>
      </c>
      <c r="F5497" t="s">
        <v>31362</v>
      </c>
      <c r="G5497" t="s">
        <v>31369</v>
      </c>
      <c r="H5497" t="s">
        <v>15799</v>
      </c>
      <c r="I5497" t="s">
        <v>3815</v>
      </c>
      <c r="J5497" t="s">
        <v>35022</v>
      </c>
      <c r="K5497" t="s">
        <v>40680</v>
      </c>
      <c r="M5497" t="s">
        <v>42880</v>
      </c>
      <c r="N5497" t="s">
        <v>44905</v>
      </c>
      <c r="O5497" t="s">
        <v>44906</v>
      </c>
      <c r="P5497">
        <v>0</v>
      </c>
      <c r="Q5497">
        <v>3</v>
      </c>
      <c r="R5497" t="s">
        <v>44909</v>
      </c>
      <c r="S5497" t="s">
        <v>45060</v>
      </c>
      <c r="T5497" t="s">
        <v>46400</v>
      </c>
      <c r="U5497" t="s">
        <v>49655</v>
      </c>
      <c r="W5497" t="s">
        <v>42880</v>
      </c>
      <c r="X5497" t="s">
        <v>44910</v>
      </c>
    </row>
    <row r="5498" spans="1:24">
      <c r="A5498">
        <f>HYPERLINK("https://www.philgeps.gov.ph/GEPSNONPILOT/Tender/SplashBidNoticeAbstractUI.aspx?menuIndex=3&amp;refID=7076578&amp;Result=3","7076578")</f>
        <v>0</v>
      </c>
      <c r="B5498" t="s">
        <v>1799</v>
      </c>
      <c r="C5498" t="s">
        <v>8775</v>
      </c>
      <c r="E5498" t="s">
        <v>23105</v>
      </c>
      <c r="F5498" t="s">
        <v>31362</v>
      </c>
      <c r="G5498" t="s">
        <v>31368</v>
      </c>
      <c r="H5498" t="s">
        <v>15799</v>
      </c>
      <c r="I5498" t="s">
        <v>31390</v>
      </c>
      <c r="J5498" t="s">
        <v>35023</v>
      </c>
      <c r="K5498" t="s">
        <v>40662</v>
      </c>
      <c r="M5498" t="s">
        <v>42881</v>
      </c>
      <c r="N5498" t="s">
        <v>44905</v>
      </c>
      <c r="O5498" t="s">
        <v>44906</v>
      </c>
      <c r="P5498">
        <v>0</v>
      </c>
      <c r="Q5498">
        <v>1</v>
      </c>
      <c r="R5498" t="s">
        <v>44909</v>
      </c>
      <c r="S5498" t="s">
        <v>45060</v>
      </c>
      <c r="T5498" t="s">
        <v>46463</v>
      </c>
      <c r="U5498" t="s">
        <v>51401</v>
      </c>
      <c r="W5498" t="s">
        <v>42881</v>
      </c>
      <c r="X5498" t="s">
        <v>44910</v>
      </c>
    </row>
    <row r="5499" spans="1:24">
      <c r="A5499">
        <f>HYPERLINK("https://www.philgeps.gov.ph/GEPSNONPILOT/Tender/SplashBidNoticeAbstractUI.aspx?menuIndex=3&amp;refID=7076601&amp;Result=3","7076601")</f>
        <v>0</v>
      </c>
      <c r="B5499" t="s">
        <v>1800</v>
      </c>
      <c r="C5499" t="s">
        <v>8776</v>
      </c>
      <c r="D5499" t="s">
        <v>18124</v>
      </c>
      <c r="E5499" t="s">
        <v>23106</v>
      </c>
      <c r="F5499" t="s">
        <v>31362</v>
      </c>
      <c r="G5499" t="s">
        <v>31368</v>
      </c>
      <c r="H5499" t="s">
        <v>15799</v>
      </c>
      <c r="I5499" t="s">
        <v>3815</v>
      </c>
      <c r="J5499" t="s">
        <v>35024</v>
      </c>
      <c r="K5499" t="s">
        <v>40677</v>
      </c>
      <c r="M5499" t="s">
        <v>42882</v>
      </c>
      <c r="N5499" t="s">
        <v>44905</v>
      </c>
      <c r="O5499" t="s">
        <v>44906</v>
      </c>
      <c r="P5499">
        <v>0</v>
      </c>
      <c r="Q5499">
        <v>0</v>
      </c>
      <c r="R5499" t="s">
        <v>44909</v>
      </c>
      <c r="S5499" t="s">
        <v>45060</v>
      </c>
      <c r="T5499" t="s">
        <v>46411</v>
      </c>
      <c r="U5499" t="s">
        <v>51402</v>
      </c>
      <c r="W5499" t="s">
        <v>42882</v>
      </c>
      <c r="X5499" t="s">
        <v>44910</v>
      </c>
    </row>
    <row r="5500" spans="1:24">
      <c r="A5500">
        <f>HYPERLINK("https://www.philgeps.gov.ph/GEPSNONPILOT/Tender/SplashBidNoticeAbstractUI.aspx?menuIndex=3&amp;refID=7076599&amp;Result=3","7076599")</f>
        <v>0</v>
      </c>
      <c r="B5500" t="s">
        <v>298</v>
      </c>
      <c r="C5500" t="s">
        <v>4862</v>
      </c>
      <c r="D5500" t="s">
        <v>18168</v>
      </c>
      <c r="E5500" t="s">
        <v>23107</v>
      </c>
      <c r="F5500" t="s">
        <v>31362</v>
      </c>
      <c r="G5500" t="s">
        <v>31368</v>
      </c>
      <c r="H5500" t="s">
        <v>15799</v>
      </c>
      <c r="I5500" t="s">
        <v>31430</v>
      </c>
      <c r="J5500" t="s">
        <v>31604</v>
      </c>
      <c r="K5500" t="s">
        <v>40662</v>
      </c>
      <c r="M5500" t="s">
        <v>41241</v>
      </c>
      <c r="N5500" t="s">
        <v>44905</v>
      </c>
      <c r="O5500" t="s">
        <v>44906</v>
      </c>
      <c r="P5500">
        <v>0</v>
      </c>
      <c r="Q5500">
        <v>0</v>
      </c>
      <c r="R5500" t="s">
        <v>44909</v>
      </c>
      <c r="S5500" t="s">
        <v>45060</v>
      </c>
      <c r="T5500" t="s">
        <v>46467</v>
      </c>
      <c r="U5500" t="s">
        <v>51403</v>
      </c>
      <c r="W5500" t="s">
        <v>41241</v>
      </c>
      <c r="X5500" t="s">
        <v>44910</v>
      </c>
    </row>
    <row r="5501" spans="1:24">
      <c r="A5501">
        <f>HYPERLINK("https://www.philgeps.gov.ph/GEPSNONPILOT/Tender/SplashBidNoticeAbstractUI.aspx?menuIndex=3&amp;refID=7076609&amp;Result=3","7076609")</f>
        <v>0</v>
      </c>
      <c r="B5501" t="s">
        <v>641</v>
      </c>
      <c r="C5501" t="s">
        <v>8777</v>
      </c>
      <c r="D5501" t="s">
        <v>18158</v>
      </c>
      <c r="E5501" t="s">
        <v>23108</v>
      </c>
      <c r="F5501" t="s">
        <v>31362</v>
      </c>
      <c r="G5501" t="s">
        <v>31368</v>
      </c>
      <c r="H5501" t="s">
        <v>15799</v>
      </c>
      <c r="I5501" t="s">
        <v>4057</v>
      </c>
      <c r="J5501" t="s">
        <v>35025</v>
      </c>
      <c r="K5501" t="s">
        <v>40662</v>
      </c>
      <c r="M5501" t="s">
        <v>42801</v>
      </c>
      <c r="N5501" t="s">
        <v>44905</v>
      </c>
      <c r="O5501" t="s">
        <v>44906</v>
      </c>
      <c r="P5501">
        <v>0</v>
      </c>
      <c r="Q5501">
        <v>0</v>
      </c>
      <c r="R5501" t="s">
        <v>44909</v>
      </c>
      <c r="S5501" t="s">
        <v>45060</v>
      </c>
      <c r="T5501" t="s">
        <v>46393</v>
      </c>
      <c r="U5501" t="s">
        <v>51404</v>
      </c>
      <c r="W5501" t="s">
        <v>42801</v>
      </c>
      <c r="X5501" t="s">
        <v>44910</v>
      </c>
    </row>
    <row r="5502" spans="1:24">
      <c r="A5502">
        <f>HYPERLINK("https://www.philgeps.gov.ph/GEPSNONPILOT/Tender/SplashBidNoticeAbstractUI.aspx?menuIndex=3&amp;refID=7076480&amp;Result=3","7076480")</f>
        <v>0</v>
      </c>
      <c r="B5502" t="s">
        <v>1801</v>
      </c>
      <c r="C5502" t="s">
        <v>8778</v>
      </c>
      <c r="D5502" t="s">
        <v>18154</v>
      </c>
      <c r="E5502" t="s">
        <v>22352</v>
      </c>
      <c r="F5502" t="s">
        <v>31362</v>
      </c>
      <c r="G5502" t="s">
        <v>31368</v>
      </c>
      <c r="H5502" t="s">
        <v>15799</v>
      </c>
      <c r="I5502" t="s">
        <v>7188</v>
      </c>
      <c r="J5502" t="s">
        <v>33437</v>
      </c>
      <c r="K5502" t="s">
        <v>40672</v>
      </c>
      <c r="M5502" t="s">
        <v>42883</v>
      </c>
      <c r="N5502" t="s">
        <v>44905</v>
      </c>
      <c r="O5502" t="s">
        <v>44906</v>
      </c>
      <c r="P5502">
        <v>0</v>
      </c>
      <c r="Q5502">
        <v>0</v>
      </c>
      <c r="R5502" t="s">
        <v>44909</v>
      </c>
      <c r="S5502" t="s">
        <v>45060</v>
      </c>
      <c r="T5502" t="s">
        <v>46411</v>
      </c>
      <c r="U5502" t="s">
        <v>51405</v>
      </c>
      <c r="W5502" t="s">
        <v>42883</v>
      </c>
      <c r="X5502" t="s">
        <v>44910</v>
      </c>
    </row>
    <row r="5503" spans="1:24">
      <c r="A5503">
        <f>HYPERLINK("https://www.philgeps.gov.ph/GEPSNONPILOT/Tender/SplashBidNoticeAbstractUI.aspx?menuIndex=3&amp;refID=7076608&amp;Result=3","7076608")</f>
        <v>0</v>
      </c>
      <c r="B5503" t="s">
        <v>679</v>
      </c>
      <c r="C5503" t="s">
        <v>8779</v>
      </c>
      <c r="D5503" t="s">
        <v>18148</v>
      </c>
      <c r="E5503" t="s">
        <v>23109</v>
      </c>
      <c r="F5503" t="s">
        <v>31362</v>
      </c>
      <c r="G5503" t="s">
        <v>31370</v>
      </c>
      <c r="H5503" t="s">
        <v>15799</v>
      </c>
      <c r="I5503" t="s">
        <v>31387</v>
      </c>
      <c r="J5503" t="s">
        <v>35026</v>
      </c>
      <c r="K5503" t="s">
        <v>40662</v>
      </c>
      <c r="M5503" t="s">
        <v>41641</v>
      </c>
      <c r="N5503" t="s">
        <v>44905</v>
      </c>
      <c r="O5503" t="s">
        <v>44906</v>
      </c>
      <c r="P5503">
        <v>0</v>
      </c>
      <c r="Q5503">
        <v>2</v>
      </c>
      <c r="R5503" t="s">
        <v>44909</v>
      </c>
      <c r="S5503" t="s">
        <v>45060</v>
      </c>
      <c r="T5503" t="s">
        <v>46414</v>
      </c>
      <c r="U5503" t="s">
        <v>51406</v>
      </c>
      <c r="W5503" t="s">
        <v>41641</v>
      </c>
      <c r="X5503" t="s">
        <v>44910</v>
      </c>
    </row>
    <row r="5504" spans="1:24">
      <c r="A5504">
        <f>HYPERLINK("https://www.philgeps.gov.ph/GEPSNONPILOT/Tender/SplashBidNoticeAbstractUI.aspx?menuIndex=3&amp;refID=7076605&amp;Result=3","7076605")</f>
        <v>0</v>
      </c>
      <c r="B5504" t="s">
        <v>1802</v>
      </c>
      <c r="C5504" t="s">
        <v>8780</v>
      </c>
      <c r="D5504" t="s">
        <v>18135</v>
      </c>
      <c r="E5504" t="s">
        <v>23110</v>
      </c>
      <c r="F5504" t="s">
        <v>31365</v>
      </c>
      <c r="G5504" t="s">
        <v>31370</v>
      </c>
      <c r="H5504" t="s">
        <v>15799</v>
      </c>
      <c r="I5504" t="s">
        <v>6373</v>
      </c>
      <c r="J5504" t="s">
        <v>35027</v>
      </c>
      <c r="K5504" t="s">
        <v>40661</v>
      </c>
      <c r="M5504" t="s">
        <v>42884</v>
      </c>
      <c r="N5504" t="s">
        <v>44905</v>
      </c>
      <c r="O5504" t="s">
        <v>44906</v>
      </c>
      <c r="P5504">
        <v>0</v>
      </c>
      <c r="Q5504">
        <v>0</v>
      </c>
      <c r="R5504" t="s">
        <v>44909</v>
      </c>
      <c r="S5504" t="s">
        <v>45060</v>
      </c>
      <c r="T5504" t="s">
        <v>46400</v>
      </c>
      <c r="U5504" t="s">
        <v>51407</v>
      </c>
      <c r="W5504" t="s">
        <v>42884</v>
      </c>
      <c r="X5504" t="s">
        <v>44910</v>
      </c>
    </row>
    <row r="5505" spans="1:24">
      <c r="A5505">
        <f>HYPERLINK("https://www.philgeps.gov.ph/GEPSNONPILOT/Tender/SplashBidNoticeAbstractUI.aspx?menuIndex=3&amp;refID=7076587&amp;Result=3","7076587")</f>
        <v>0</v>
      </c>
      <c r="B5505" t="s">
        <v>1803</v>
      </c>
      <c r="C5505" t="s">
        <v>3534</v>
      </c>
      <c r="D5505" t="s">
        <v>18101</v>
      </c>
      <c r="E5505" t="s">
        <v>23111</v>
      </c>
      <c r="F5505" t="s">
        <v>31362</v>
      </c>
      <c r="G5505" t="s">
        <v>31368</v>
      </c>
      <c r="H5505" t="s">
        <v>15799</v>
      </c>
      <c r="I5505" t="s">
        <v>31382</v>
      </c>
      <c r="J5505" t="s">
        <v>31564</v>
      </c>
      <c r="K5505" t="s">
        <v>40666</v>
      </c>
      <c r="M5505" t="s">
        <v>42885</v>
      </c>
      <c r="N5505" t="s">
        <v>44905</v>
      </c>
      <c r="O5505" t="s">
        <v>44906</v>
      </c>
      <c r="P5505">
        <v>0</v>
      </c>
      <c r="Q5505">
        <v>1</v>
      </c>
      <c r="R5505" t="s">
        <v>44909</v>
      </c>
      <c r="S5505" t="s">
        <v>45060</v>
      </c>
      <c r="T5505" t="s">
        <v>46409</v>
      </c>
      <c r="U5505" t="s">
        <v>51408</v>
      </c>
      <c r="W5505" t="s">
        <v>42885</v>
      </c>
      <c r="X5505" t="s">
        <v>44910</v>
      </c>
    </row>
    <row r="5506" spans="1:24">
      <c r="A5506">
        <f>HYPERLINK("https://www.philgeps.gov.ph/GEPSNONPILOT/Tender/SplashBidNoticeAbstractUI.aspx?menuIndex=3&amp;refID=7076602&amp;Result=3","7076602")</f>
        <v>0</v>
      </c>
      <c r="B5506" t="s">
        <v>1804</v>
      </c>
      <c r="C5506" t="s">
        <v>8781</v>
      </c>
      <c r="D5506" t="s">
        <v>18167</v>
      </c>
      <c r="E5506" t="s">
        <v>23112</v>
      </c>
      <c r="F5506" t="s">
        <v>31362</v>
      </c>
      <c r="G5506" t="s">
        <v>31368</v>
      </c>
      <c r="H5506" t="s">
        <v>15799</v>
      </c>
      <c r="I5506" t="s">
        <v>31410</v>
      </c>
      <c r="J5506" t="s">
        <v>35028</v>
      </c>
      <c r="K5506" t="s">
        <v>40661</v>
      </c>
      <c r="M5506" t="s">
        <v>42886</v>
      </c>
      <c r="N5506" t="s">
        <v>44905</v>
      </c>
      <c r="O5506" t="s">
        <v>44906</v>
      </c>
      <c r="P5506">
        <v>0</v>
      </c>
      <c r="Q5506">
        <v>0</v>
      </c>
      <c r="R5506" t="s">
        <v>44909</v>
      </c>
      <c r="S5506" t="s">
        <v>45060</v>
      </c>
      <c r="T5506" t="s">
        <v>46709</v>
      </c>
      <c r="U5506" t="s">
        <v>51409</v>
      </c>
      <c r="W5506" t="s">
        <v>42886</v>
      </c>
      <c r="X5506" t="s">
        <v>44910</v>
      </c>
    </row>
    <row r="5507" spans="1:24">
      <c r="A5507">
        <f>HYPERLINK("https://www.philgeps.gov.ph/GEPSNONPILOT/Tender/SplashBidNoticeAbstractUI.aspx?menuIndex=3&amp;refID=7076600&amp;Result=3","7076600")</f>
        <v>0</v>
      </c>
      <c r="B5507" t="s">
        <v>978</v>
      </c>
      <c r="C5507" t="s">
        <v>8782</v>
      </c>
      <c r="D5507" t="s">
        <v>18100</v>
      </c>
      <c r="E5507" t="s">
        <v>23113</v>
      </c>
      <c r="F5507" t="s">
        <v>31362</v>
      </c>
      <c r="G5507" t="s">
        <v>31368</v>
      </c>
      <c r="H5507" t="s">
        <v>15799</v>
      </c>
      <c r="I5507" t="s">
        <v>7188</v>
      </c>
      <c r="J5507" t="s">
        <v>31806</v>
      </c>
      <c r="K5507" t="s">
        <v>40662</v>
      </c>
      <c r="M5507" t="s">
        <v>41969</v>
      </c>
      <c r="N5507" t="s">
        <v>44905</v>
      </c>
      <c r="O5507" t="s">
        <v>44906</v>
      </c>
      <c r="P5507">
        <v>0</v>
      </c>
      <c r="Q5507">
        <v>1</v>
      </c>
      <c r="R5507" t="s">
        <v>44909</v>
      </c>
      <c r="S5507" t="s">
        <v>45060</v>
      </c>
      <c r="T5507" t="s">
        <v>46414</v>
      </c>
      <c r="U5507" t="s">
        <v>51410</v>
      </c>
      <c r="W5507" t="s">
        <v>41969</v>
      </c>
      <c r="X5507" t="s">
        <v>44910</v>
      </c>
    </row>
    <row r="5508" spans="1:24">
      <c r="A5508">
        <f>HYPERLINK("https://www.philgeps.gov.ph/GEPSNONPILOT/Tender/SplashBidNoticeAbstractUI.aspx?menuIndex=3&amp;refID=7076585&amp;Result=3","7076585")</f>
        <v>0</v>
      </c>
      <c r="B5508" t="s">
        <v>1805</v>
      </c>
      <c r="C5508" t="s">
        <v>8783</v>
      </c>
      <c r="D5508" t="s">
        <v>18107</v>
      </c>
      <c r="E5508" t="s">
        <v>23114</v>
      </c>
      <c r="F5508" t="s">
        <v>31362</v>
      </c>
      <c r="G5508" t="s">
        <v>31370</v>
      </c>
      <c r="H5508" t="s">
        <v>15799</v>
      </c>
      <c r="I5508" t="s">
        <v>7188</v>
      </c>
      <c r="J5508" t="s">
        <v>35029</v>
      </c>
      <c r="K5508" t="s">
        <v>40665</v>
      </c>
      <c r="M5508" t="s">
        <v>42887</v>
      </c>
      <c r="N5508" t="s">
        <v>44905</v>
      </c>
      <c r="O5508" t="s">
        <v>44906</v>
      </c>
      <c r="P5508">
        <v>0</v>
      </c>
      <c r="Q5508">
        <v>2</v>
      </c>
      <c r="R5508" t="s">
        <v>44909</v>
      </c>
      <c r="S5508" t="s">
        <v>45060</v>
      </c>
      <c r="T5508" t="s">
        <v>46435</v>
      </c>
      <c r="U5508" t="s">
        <v>51411</v>
      </c>
      <c r="W5508" t="s">
        <v>42887</v>
      </c>
      <c r="X5508" t="s">
        <v>44910</v>
      </c>
    </row>
    <row r="5509" spans="1:24">
      <c r="A5509">
        <f>HYPERLINK("https://www.philgeps.gov.ph/GEPSNONPILOT/Tender/SplashBidNoticeAbstractUI.aspx?menuIndex=3&amp;refID=7076596&amp;Result=3","7076596")</f>
        <v>0</v>
      </c>
      <c r="B5509" t="s">
        <v>1806</v>
      </c>
      <c r="C5509" t="s">
        <v>8784</v>
      </c>
      <c r="D5509" t="s">
        <v>18131</v>
      </c>
      <c r="E5509" t="s">
        <v>23115</v>
      </c>
      <c r="F5509" t="s">
        <v>31362</v>
      </c>
      <c r="G5509" t="s">
        <v>31369</v>
      </c>
      <c r="H5509" t="s">
        <v>15799</v>
      </c>
      <c r="I5509" t="s">
        <v>3815</v>
      </c>
      <c r="J5509" t="s">
        <v>31536</v>
      </c>
      <c r="K5509" t="s">
        <v>40670</v>
      </c>
      <c r="L5509" t="s">
        <v>1806</v>
      </c>
      <c r="M5509" t="s">
        <v>42888</v>
      </c>
      <c r="N5509" t="s">
        <v>44905</v>
      </c>
      <c r="O5509" t="s">
        <v>44906</v>
      </c>
      <c r="P5509">
        <v>0</v>
      </c>
      <c r="Q5509">
        <v>3</v>
      </c>
      <c r="R5509" t="s">
        <v>44909</v>
      </c>
      <c r="S5509" t="s">
        <v>45060</v>
      </c>
      <c r="T5509" t="s">
        <v>46483</v>
      </c>
      <c r="U5509" t="s">
        <v>51412</v>
      </c>
      <c r="W5509" t="s">
        <v>42888</v>
      </c>
      <c r="X5509" t="s">
        <v>44910</v>
      </c>
    </row>
    <row r="5510" spans="1:24">
      <c r="A5510">
        <f>HYPERLINK("https://www.philgeps.gov.ph/GEPSNONPILOT/Tender/SplashBidNoticeAbstractUI.aspx?menuIndex=3&amp;refID=7076595&amp;Result=3","7076595")</f>
        <v>0</v>
      </c>
      <c r="B5510" t="s">
        <v>1293</v>
      </c>
      <c r="C5510" t="s">
        <v>8785</v>
      </c>
      <c r="D5510" t="s">
        <v>18104</v>
      </c>
      <c r="E5510" t="s">
        <v>23116</v>
      </c>
      <c r="F5510" t="s">
        <v>31362</v>
      </c>
      <c r="G5510" t="s">
        <v>31368</v>
      </c>
      <c r="H5510" t="s">
        <v>15799</v>
      </c>
      <c r="I5510" t="s">
        <v>31397</v>
      </c>
      <c r="J5510" t="s">
        <v>35030</v>
      </c>
      <c r="K5510" t="s">
        <v>40661</v>
      </c>
      <c r="M5510" t="s">
        <v>42311</v>
      </c>
      <c r="N5510" t="s">
        <v>44905</v>
      </c>
      <c r="O5510" t="s">
        <v>44906</v>
      </c>
      <c r="P5510">
        <v>0</v>
      </c>
      <c r="Q5510">
        <v>0</v>
      </c>
      <c r="R5510" t="s">
        <v>44909</v>
      </c>
      <c r="S5510" t="s">
        <v>45060</v>
      </c>
      <c r="T5510" t="s">
        <v>46410</v>
      </c>
      <c r="U5510" t="s">
        <v>51413</v>
      </c>
      <c r="V5510" t="s">
        <v>59590</v>
      </c>
      <c r="W5510" t="s">
        <v>42311</v>
      </c>
      <c r="X5510" t="s">
        <v>44910</v>
      </c>
    </row>
    <row r="5511" spans="1:24">
      <c r="A5511">
        <f>HYPERLINK("https://www.philgeps.gov.ph/GEPSNONPILOT/Tender/SplashBidNoticeAbstractUI.aspx?menuIndex=3&amp;refID=7076593&amp;Result=3","7076593")</f>
        <v>0</v>
      </c>
      <c r="B5511" t="s">
        <v>1115</v>
      </c>
      <c r="C5511" t="s">
        <v>8786</v>
      </c>
      <c r="D5511" t="s">
        <v>18104</v>
      </c>
      <c r="E5511" t="s">
        <v>23117</v>
      </c>
      <c r="F5511" t="s">
        <v>31362</v>
      </c>
      <c r="G5511" t="s">
        <v>31369</v>
      </c>
      <c r="H5511" t="s">
        <v>15799</v>
      </c>
      <c r="I5511" t="s">
        <v>31393</v>
      </c>
      <c r="J5511" t="s">
        <v>35031</v>
      </c>
      <c r="K5511" t="s">
        <v>40677</v>
      </c>
      <c r="M5511" t="s">
        <v>42805</v>
      </c>
      <c r="N5511" t="s">
        <v>44905</v>
      </c>
      <c r="O5511" t="s">
        <v>44906</v>
      </c>
      <c r="P5511">
        <v>0</v>
      </c>
      <c r="Q5511">
        <v>9</v>
      </c>
      <c r="R5511" t="s">
        <v>44909</v>
      </c>
      <c r="S5511" t="s">
        <v>45060</v>
      </c>
      <c r="T5511" t="s">
        <v>46433</v>
      </c>
      <c r="U5511" t="s">
        <v>51414</v>
      </c>
      <c r="V5511" t="s">
        <v>59573</v>
      </c>
      <c r="W5511" t="s">
        <v>42805</v>
      </c>
      <c r="X5511" t="s">
        <v>44910</v>
      </c>
    </row>
    <row r="5512" spans="1:24">
      <c r="A5512">
        <f>HYPERLINK("https://www.philgeps.gov.ph/GEPSNONPILOT/Tender/SplashBidNoticeAbstractUI.aspx?menuIndex=3&amp;refID=7076566&amp;Result=3","7076566")</f>
        <v>0</v>
      </c>
      <c r="B5512" t="s">
        <v>1115</v>
      </c>
      <c r="C5512" t="s">
        <v>8787</v>
      </c>
      <c r="D5512" t="s">
        <v>18104</v>
      </c>
      <c r="E5512" t="s">
        <v>23118</v>
      </c>
      <c r="F5512" t="s">
        <v>31362</v>
      </c>
      <c r="G5512" t="s">
        <v>31369</v>
      </c>
      <c r="H5512" t="s">
        <v>15799</v>
      </c>
      <c r="I5512" t="s">
        <v>31422</v>
      </c>
      <c r="J5512" t="s">
        <v>35032</v>
      </c>
      <c r="K5512" t="s">
        <v>40677</v>
      </c>
      <c r="M5512" t="s">
        <v>42805</v>
      </c>
      <c r="N5512" t="s">
        <v>44905</v>
      </c>
      <c r="O5512" t="s">
        <v>44906</v>
      </c>
      <c r="P5512">
        <v>0</v>
      </c>
      <c r="Q5512">
        <v>3</v>
      </c>
      <c r="R5512" t="s">
        <v>44909</v>
      </c>
      <c r="S5512" t="s">
        <v>45060</v>
      </c>
      <c r="T5512" t="s">
        <v>46433</v>
      </c>
      <c r="U5512" t="s">
        <v>51415</v>
      </c>
      <c r="V5512" t="s">
        <v>59573</v>
      </c>
      <c r="W5512" t="s">
        <v>42805</v>
      </c>
      <c r="X5512" t="s">
        <v>44910</v>
      </c>
    </row>
    <row r="5513" spans="1:24">
      <c r="A5513">
        <f>HYPERLINK("https://www.philgeps.gov.ph/GEPSNONPILOT/Tender/SplashBidNoticeAbstractUI.aspx?menuIndex=3&amp;refID=7076603&amp;Result=3","7076603")</f>
        <v>0</v>
      </c>
      <c r="B5513" t="s">
        <v>1792</v>
      </c>
      <c r="C5513" t="s">
        <v>8788</v>
      </c>
      <c r="D5513" t="s">
        <v>18135</v>
      </c>
      <c r="E5513" t="s">
        <v>23119</v>
      </c>
      <c r="F5513" t="s">
        <v>31362</v>
      </c>
      <c r="G5513" t="s">
        <v>31368</v>
      </c>
      <c r="H5513" t="s">
        <v>15799</v>
      </c>
      <c r="I5513" t="s">
        <v>7188</v>
      </c>
      <c r="J5513" t="s">
        <v>31612</v>
      </c>
      <c r="K5513" t="s">
        <v>40661</v>
      </c>
      <c r="M5513" t="s">
        <v>42874</v>
      </c>
      <c r="N5513" t="s">
        <v>44905</v>
      </c>
      <c r="O5513" t="s">
        <v>44906</v>
      </c>
      <c r="P5513">
        <v>0</v>
      </c>
      <c r="Q5513">
        <v>1</v>
      </c>
      <c r="R5513" t="s">
        <v>44909</v>
      </c>
      <c r="S5513" t="s">
        <v>45060</v>
      </c>
      <c r="T5513" t="s">
        <v>46503</v>
      </c>
      <c r="U5513" t="s">
        <v>51386</v>
      </c>
      <c r="W5513" t="s">
        <v>42874</v>
      </c>
      <c r="X5513" t="s">
        <v>44910</v>
      </c>
    </row>
    <row r="5514" spans="1:24">
      <c r="A5514">
        <f>HYPERLINK("https://www.philgeps.gov.ph/GEPSNONPILOT/Tender/SplashBidNoticeAbstractUI.aspx?menuIndex=3&amp;refID=7076591&amp;Result=3","7076591")</f>
        <v>0</v>
      </c>
      <c r="B5514" t="s">
        <v>1786</v>
      </c>
      <c r="C5514" t="s">
        <v>8789</v>
      </c>
      <c r="D5514" t="s">
        <v>18133</v>
      </c>
      <c r="E5514" t="s">
        <v>23120</v>
      </c>
      <c r="F5514" t="s">
        <v>31362</v>
      </c>
      <c r="G5514" t="s">
        <v>31369</v>
      </c>
      <c r="H5514" t="s">
        <v>31377</v>
      </c>
      <c r="I5514" t="s">
        <v>31386</v>
      </c>
      <c r="J5514" t="s">
        <v>35033</v>
      </c>
      <c r="K5514" t="s">
        <v>40686</v>
      </c>
      <c r="M5514" t="s">
        <v>42867</v>
      </c>
      <c r="N5514" t="s">
        <v>44905</v>
      </c>
      <c r="O5514" t="s">
        <v>44906</v>
      </c>
      <c r="P5514">
        <v>0</v>
      </c>
      <c r="Q5514">
        <v>1</v>
      </c>
      <c r="R5514" t="s">
        <v>44909</v>
      </c>
      <c r="S5514" t="s">
        <v>45060</v>
      </c>
      <c r="T5514" t="s">
        <v>46538</v>
      </c>
      <c r="U5514" t="s">
        <v>51416</v>
      </c>
      <c r="W5514" t="s">
        <v>42867</v>
      </c>
      <c r="X5514" t="s">
        <v>44910</v>
      </c>
    </row>
    <row r="5515" spans="1:24">
      <c r="A5515">
        <f>HYPERLINK("https://www.philgeps.gov.ph/GEPSNONPILOT/Tender/SplashBidNoticeAbstractUI.aspx?menuIndex=3&amp;refID=7076590&amp;Result=3","7076590")</f>
        <v>0</v>
      </c>
      <c r="B5515" t="s">
        <v>335</v>
      </c>
      <c r="C5515" t="s">
        <v>8790</v>
      </c>
      <c r="D5515" t="s">
        <v>18108</v>
      </c>
      <c r="E5515" t="s">
        <v>23121</v>
      </c>
      <c r="F5515" t="s">
        <v>31362</v>
      </c>
      <c r="G5515" t="s">
        <v>31368</v>
      </c>
      <c r="H5515" t="s">
        <v>15799</v>
      </c>
      <c r="I5515" t="s">
        <v>4942</v>
      </c>
      <c r="J5515" t="s">
        <v>31564</v>
      </c>
      <c r="K5515" t="s">
        <v>40661</v>
      </c>
      <c r="M5515" t="s">
        <v>42613</v>
      </c>
      <c r="N5515" t="s">
        <v>44905</v>
      </c>
      <c r="O5515" t="s">
        <v>44906</v>
      </c>
      <c r="P5515">
        <v>0</v>
      </c>
      <c r="Q5515">
        <v>0</v>
      </c>
      <c r="R5515" t="s">
        <v>44909</v>
      </c>
      <c r="S5515" t="s">
        <v>45060</v>
      </c>
      <c r="T5515" t="s">
        <v>46447</v>
      </c>
      <c r="U5515" t="s">
        <v>51417</v>
      </c>
      <c r="W5515" t="s">
        <v>42613</v>
      </c>
      <c r="X5515" t="s">
        <v>44910</v>
      </c>
    </row>
    <row r="5516" spans="1:24">
      <c r="A5516">
        <f>HYPERLINK("https://www.philgeps.gov.ph/GEPSNONPILOT/Tender/SplashBidNoticeAbstractUI.aspx?menuIndex=3&amp;refID=7076637&amp;Result=3","7076637")</f>
        <v>0</v>
      </c>
      <c r="B5516" t="s">
        <v>1741</v>
      </c>
      <c r="C5516" t="s">
        <v>8791</v>
      </c>
      <c r="D5516" t="s">
        <v>18123</v>
      </c>
      <c r="E5516" t="s">
        <v>23122</v>
      </c>
      <c r="F5516" t="s">
        <v>31362</v>
      </c>
      <c r="G5516" t="s">
        <v>31368</v>
      </c>
      <c r="H5516" t="s">
        <v>15799</v>
      </c>
      <c r="I5516" t="s">
        <v>31460</v>
      </c>
      <c r="J5516" t="s">
        <v>32522</v>
      </c>
      <c r="K5516" t="s">
        <v>40666</v>
      </c>
      <c r="M5516" t="s">
        <v>42853</v>
      </c>
      <c r="N5516" t="s">
        <v>44905</v>
      </c>
      <c r="O5516" t="s">
        <v>44906</v>
      </c>
      <c r="P5516">
        <v>0</v>
      </c>
      <c r="Q5516">
        <v>2</v>
      </c>
      <c r="R5516" t="s">
        <v>44909</v>
      </c>
      <c r="S5516" t="s">
        <v>45060</v>
      </c>
      <c r="T5516" t="s">
        <v>46409</v>
      </c>
      <c r="U5516" t="s">
        <v>51418</v>
      </c>
      <c r="W5516" t="s">
        <v>60912</v>
      </c>
      <c r="X5516" t="s">
        <v>44910</v>
      </c>
    </row>
    <row r="5517" spans="1:24">
      <c r="A5517">
        <f>HYPERLINK("https://www.philgeps.gov.ph/GEPSNONPILOT/Tender/SplashBidNoticeAbstractUI.aspx?menuIndex=3&amp;refID=7076543&amp;Result=3","7076543")</f>
        <v>0</v>
      </c>
      <c r="B5517" t="s">
        <v>1115</v>
      </c>
      <c r="C5517" t="s">
        <v>8792</v>
      </c>
      <c r="D5517" t="s">
        <v>18104</v>
      </c>
      <c r="E5517" t="s">
        <v>23123</v>
      </c>
      <c r="F5517" t="s">
        <v>31362</v>
      </c>
      <c r="G5517" t="s">
        <v>31369</v>
      </c>
      <c r="H5517" t="s">
        <v>15799</v>
      </c>
      <c r="I5517" t="s">
        <v>31392</v>
      </c>
      <c r="J5517" t="s">
        <v>35034</v>
      </c>
      <c r="K5517" t="s">
        <v>40670</v>
      </c>
      <c r="M5517" t="s">
        <v>42805</v>
      </c>
      <c r="N5517" t="s">
        <v>44905</v>
      </c>
      <c r="O5517" t="s">
        <v>44906</v>
      </c>
      <c r="P5517">
        <v>0</v>
      </c>
      <c r="Q5517">
        <v>0</v>
      </c>
      <c r="R5517" t="s">
        <v>44909</v>
      </c>
      <c r="S5517" t="s">
        <v>45060</v>
      </c>
      <c r="T5517" t="s">
        <v>46433</v>
      </c>
      <c r="U5517" t="s">
        <v>51419</v>
      </c>
      <c r="V5517" t="s">
        <v>59573</v>
      </c>
      <c r="W5517" t="s">
        <v>42805</v>
      </c>
      <c r="X5517" t="s">
        <v>44910</v>
      </c>
    </row>
    <row r="5518" spans="1:24">
      <c r="A5518">
        <f>HYPERLINK("https://www.philgeps.gov.ph/GEPSNONPILOT/Tender/SplashBidNoticeAbstractUI.aspx?menuIndex=3&amp;refID=7076592&amp;Result=3","7076592")</f>
        <v>0</v>
      </c>
      <c r="B5518" t="s">
        <v>1807</v>
      </c>
      <c r="C5518" t="s">
        <v>4097</v>
      </c>
      <c r="D5518" t="s">
        <v>18134</v>
      </c>
      <c r="E5518" t="s">
        <v>23124</v>
      </c>
      <c r="F5518" t="s">
        <v>31362</v>
      </c>
      <c r="G5518" t="s">
        <v>31371</v>
      </c>
      <c r="H5518" t="s">
        <v>15799</v>
      </c>
      <c r="I5518" t="s">
        <v>31385</v>
      </c>
      <c r="J5518" t="s">
        <v>35035</v>
      </c>
      <c r="K5518" t="s">
        <v>40670</v>
      </c>
      <c r="M5518" t="s">
        <v>42889</v>
      </c>
      <c r="N5518" t="s">
        <v>44905</v>
      </c>
      <c r="O5518" t="s">
        <v>44906</v>
      </c>
      <c r="P5518">
        <v>0</v>
      </c>
      <c r="Q5518">
        <v>3</v>
      </c>
      <c r="R5518" t="s">
        <v>44909</v>
      </c>
      <c r="S5518" t="s">
        <v>45060</v>
      </c>
      <c r="T5518" t="s">
        <v>46409</v>
      </c>
      <c r="U5518" t="s">
        <v>51420</v>
      </c>
      <c r="W5518" t="s">
        <v>42889</v>
      </c>
      <c r="X5518" t="s">
        <v>44910</v>
      </c>
    </row>
    <row r="5519" spans="1:24">
      <c r="A5519">
        <f>HYPERLINK("https://www.philgeps.gov.ph/GEPSNONPILOT/Tender/SplashBidNoticeAbstractUI.aspx?menuIndex=3&amp;refID=7076631&amp;Result=3","7076631")</f>
        <v>0</v>
      </c>
      <c r="B5519" t="s">
        <v>958</v>
      </c>
      <c r="C5519" t="s">
        <v>8793</v>
      </c>
      <c r="D5519" t="s">
        <v>18141</v>
      </c>
      <c r="E5519" t="s">
        <v>23125</v>
      </c>
      <c r="F5519" t="s">
        <v>31362</v>
      </c>
      <c r="G5519" t="s">
        <v>31370</v>
      </c>
      <c r="H5519" t="s">
        <v>15799</v>
      </c>
      <c r="I5519" t="s">
        <v>31380</v>
      </c>
      <c r="J5519" t="s">
        <v>35036</v>
      </c>
      <c r="K5519" t="s">
        <v>40665</v>
      </c>
      <c r="M5519" t="s">
        <v>41946</v>
      </c>
      <c r="N5519" t="s">
        <v>44905</v>
      </c>
      <c r="O5519" t="s">
        <v>44906</v>
      </c>
      <c r="P5519">
        <v>0</v>
      </c>
      <c r="Q5519">
        <v>2</v>
      </c>
      <c r="R5519" t="s">
        <v>44909</v>
      </c>
      <c r="S5519" t="s">
        <v>45060</v>
      </c>
      <c r="T5519" t="s">
        <v>46432</v>
      </c>
      <c r="U5519" t="s">
        <v>51421</v>
      </c>
      <c r="W5519" t="s">
        <v>41946</v>
      </c>
      <c r="X5519" t="s">
        <v>44910</v>
      </c>
    </row>
    <row r="5520" spans="1:24">
      <c r="A5520">
        <f>HYPERLINK("https://www.philgeps.gov.ph/GEPSNONPILOT/Tender/SplashBidNoticeAbstractUI.aspx?menuIndex=3&amp;refID=7076630&amp;Result=3","7076630")</f>
        <v>0</v>
      </c>
      <c r="B5520" t="s">
        <v>1792</v>
      </c>
      <c r="C5520" t="s">
        <v>8794</v>
      </c>
      <c r="D5520" t="s">
        <v>18135</v>
      </c>
      <c r="E5520" t="s">
        <v>23126</v>
      </c>
      <c r="F5520" t="s">
        <v>31362</v>
      </c>
      <c r="G5520" t="s">
        <v>31368</v>
      </c>
      <c r="H5520" t="s">
        <v>15799</v>
      </c>
      <c r="I5520" t="s">
        <v>31388</v>
      </c>
      <c r="J5520" t="s">
        <v>31576</v>
      </c>
      <c r="K5520" t="s">
        <v>40661</v>
      </c>
      <c r="M5520" t="s">
        <v>42874</v>
      </c>
      <c r="N5520" t="s">
        <v>44905</v>
      </c>
      <c r="O5520" t="s">
        <v>44906</v>
      </c>
      <c r="P5520">
        <v>0</v>
      </c>
      <c r="Q5520">
        <v>1</v>
      </c>
      <c r="R5520" t="s">
        <v>44909</v>
      </c>
      <c r="S5520" t="s">
        <v>45060</v>
      </c>
      <c r="T5520" t="s">
        <v>46503</v>
      </c>
      <c r="U5520" t="s">
        <v>51386</v>
      </c>
      <c r="W5520" t="s">
        <v>42874</v>
      </c>
      <c r="X5520" t="s">
        <v>44910</v>
      </c>
    </row>
    <row r="5521" spans="1:24">
      <c r="A5521">
        <f>HYPERLINK("https://www.philgeps.gov.ph/GEPSNONPILOT/Tender/SplashBidNoticeAbstractUI.aspx?menuIndex=3&amp;refID=7076629&amp;Result=3","7076629")</f>
        <v>0</v>
      </c>
      <c r="B5521" t="s">
        <v>1808</v>
      </c>
      <c r="C5521" t="s">
        <v>8795</v>
      </c>
      <c r="D5521" t="s">
        <v>18112</v>
      </c>
      <c r="E5521" t="s">
        <v>19844</v>
      </c>
      <c r="F5521" t="s">
        <v>31362</v>
      </c>
      <c r="G5521" t="s">
        <v>31369</v>
      </c>
      <c r="H5521" t="s">
        <v>15799</v>
      </c>
      <c r="I5521" t="s">
        <v>3815</v>
      </c>
      <c r="J5521" t="s">
        <v>35037</v>
      </c>
      <c r="K5521" t="s">
        <v>40670</v>
      </c>
      <c r="M5521" t="s">
        <v>42890</v>
      </c>
      <c r="N5521" t="s">
        <v>44905</v>
      </c>
      <c r="O5521" t="s">
        <v>44906</v>
      </c>
      <c r="P5521">
        <v>0</v>
      </c>
      <c r="Q5521">
        <v>0</v>
      </c>
      <c r="R5521" t="s">
        <v>44909</v>
      </c>
      <c r="S5521" t="s">
        <v>45060</v>
      </c>
      <c r="T5521" t="s">
        <v>46403</v>
      </c>
      <c r="U5521" t="s">
        <v>51422</v>
      </c>
      <c r="W5521" t="s">
        <v>42890</v>
      </c>
      <c r="X5521" t="s">
        <v>44910</v>
      </c>
    </row>
    <row r="5522" spans="1:24">
      <c r="A5522">
        <f>HYPERLINK("https://www.philgeps.gov.ph/GEPSNONPILOT/Tender/SplashBidNoticeAbstractUI.aspx?menuIndex=3&amp;refID=7076634&amp;Result=3","7076634")</f>
        <v>0</v>
      </c>
      <c r="B5522" t="s">
        <v>1115</v>
      </c>
      <c r="C5522" t="s">
        <v>8796</v>
      </c>
      <c r="D5522" t="s">
        <v>18104</v>
      </c>
      <c r="E5522" t="s">
        <v>23127</v>
      </c>
      <c r="F5522" t="s">
        <v>31362</v>
      </c>
      <c r="G5522" t="s">
        <v>31369</v>
      </c>
      <c r="H5522" t="s">
        <v>15799</v>
      </c>
      <c r="I5522" t="s">
        <v>31382</v>
      </c>
      <c r="J5522" t="s">
        <v>33393</v>
      </c>
      <c r="K5522" t="s">
        <v>40670</v>
      </c>
      <c r="M5522" t="s">
        <v>42805</v>
      </c>
      <c r="N5522" t="s">
        <v>44905</v>
      </c>
      <c r="O5522" t="s">
        <v>44906</v>
      </c>
      <c r="P5522">
        <v>0</v>
      </c>
      <c r="Q5522">
        <v>3</v>
      </c>
      <c r="R5522" t="s">
        <v>44909</v>
      </c>
      <c r="S5522" t="s">
        <v>45060</v>
      </c>
      <c r="T5522" t="s">
        <v>46433</v>
      </c>
      <c r="U5522" t="s">
        <v>51423</v>
      </c>
      <c r="V5522" t="s">
        <v>59573</v>
      </c>
      <c r="W5522" t="s">
        <v>42805</v>
      </c>
      <c r="X5522" t="s">
        <v>44910</v>
      </c>
    </row>
    <row r="5523" spans="1:24">
      <c r="A5523">
        <f>HYPERLINK("https://www.philgeps.gov.ph/GEPSNONPILOT/Tender/SplashBidNoticeAbstractUI.aspx?menuIndex=3&amp;refID=7076625&amp;Result=3","7076625")</f>
        <v>0</v>
      </c>
      <c r="B5523" t="s">
        <v>978</v>
      </c>
      <c r="C5523" t="s">
        <v>8797</v>
      </c>
      <c r="D5523" t="s">
        <v>18100</v>
      </c>
      <c r="E5523" t="s">
        <v>23128</v>
      </c>
      <c r="F5523" t="s">
        <v>31362</v>
      </c>
      <c r="G5523" t="s">
        <v>31368</v>
      </c>
      <c r="H5523" t="s">
        <v>15799</v>
      </c>
      <c r="I5523" t="s">
        <v>4942</v>
      </c>
      <c r="J5523" t="s">
        <v>31739</v>
      </c>
      <c r="K5523" t="s">
        <v>40662</v>
      </c>
      <c r="M5523" t="s">
        <v>41969</v>
      </c>
      <c r="N5523" t="s">
        <v>44905</v>
      </c>
      <c r="O5523" t="s">
        <v>44906</v>
      </c>
      <c r="P5523">
        <v>0</v>
      </c>
      <c r="Q5523">
        <v>0</v>
      </c>
      <c r="R5523" t="s">
        <v>44909</v>
      </c>
      <c r="S5523" t="s">
        <v>45060</v>
      </c>
      <c r="T5523" t="s">
        <v>46414</v>
      </c>
      <c r="U5523" t="s">
        <v>51424</v>
      </c>
      <c r="W5523" t="s">
        <v>41969</v>
      </c>
      <c r="X5523" t="s">
        <v>44910</v>
      </c>
    </row>
    <row r="5524" spans="1:24">
      <c r="A5524">
        <f>HYPERLINK("https://www.philgeps.gov.ph/GEPSNONPILOT/Tender/SplashBidNoticeAbstractUI.aspx?menuIndex=3&amp;refID=7076633&amp;Result=3","7076633")</f>
        <v>0</v>
      </c>
      <c r="B5524" t="s">
        <v>1809</v>
      </c>
      <c r="C5524" t="s">
        <v>8798</v>
      </c>
      <c r="D5524" t="s">
        <v>18151</v>
      </c>
      <c r="E5524" t="s">
        <v>23129</v>
      </c>
      <c r="F5524" t="s">
        <v>31362</v>
      </c>
      <c r="G5524" t="s">
        <v>31368</v>
      </c>
      <c r="H5524" t="s">
        <v>15799</v>
      </c>
      <c r="I5524" t="s">
        <v>3815</v>
      </c>
      <c r="J5524" t="s">
        <v>35038</v>
      </c>
      <c r="K5524" t="s">
        <v>40666</v>
      </c>
      <c r="M5524" t="s">
        <v>42891</v>
      </c>
      <c r="N5524" t="s">
        <v>44905</v>
      </c>
      <c r="O5524" t="s">
        <v>44906</v>
      </c>
      <c r="P5524">
        <v>0</v>
      </c>
      <c r="Q5524">
        <v>0</v>
      </c>
      <c r="R5524" t="s">
        <v>44909</v>
      </c>
      <c r="S5524" t="s">
        <v>45060</v>
      </c>
      <c r="T5524" t="s">
        <v>46400</v>
      </c>
      <c r="U5524" t="s">
        <v>51425</v>
      </c>
      <c r="V5524" t="s">
        <v>59591</v>
      </c>
      <c r="W5524" t="s">
        <v>42891</v>
      </c>
      <c r="X5524" t="s">
        <v>44910</v>
      </c>
    </row>
    <row r="5525" spans="1:24">
      <c r="A5525">
        <f>HYPERLINK("https://www.philgeps.gov.ph/GEPSNONPILOT/Tender/SplashBidNoticeAbstractUI.aspx?menuIndex=3&amp;refID=7076621&amp;Result=3","7076621")</f>
        <v>0</v>
      </c>
      <c r="B5525" t="s">
        <v>1810</v>
      </c>
      <c r="C5525" t="s">
        <v>8799</v>
      </c>
      <c r="D5525" t="s">
        <v>18180</v>
      </c>
      <c r="E5525" t="s">
        <v>18466</v>
      </c>
      <c r="F5525" t="s">
        <v>31362</v>
      </c>
      <c r="G5525" t="s">
        <v>31369</v>
      </c>
      <c r="H5525" t="s">
        <v>15799</v>
      </c>
      <c r="I5525" t="s">
        <v>3815</v>
      </c>
      <c r="J5525" t="s">
        <v>35039</v>
      </c>
      <c r="K5525" t="s">
        <v>40676</v>
      </c>
      <c r="M5525" t="s">
        <v>42892</v>
      </c>
      <c r="N5525" t="s">
        <v>44905</v>
      </c>
      <c r="O5525" t="s">
        <v>44906</v>
      </c>
      <c r="P5525">
        <v>0</v>
      </c>
      <c r="Q5525">
        <v>0</v>
      </c>
      <c r="R5525" t="s">
        <v>44909</v>
      </c>
      <c r="S5525" t="s">
        <v>45060</v>
      </c>
      <c r="T5525" t="s">
        <v>46435</v>
      </c>
      <c r="U5525" t="s">
        <v>51426</v>
      </c>
      <c r="W5525" t="s">
        <v>42892</v>
      </c>
      <c r="X5525" t="s">
        <v>44910</v>
      </c>
    </row>
    <row r="5526" spans="1:24">
      <c r="A5526">
        <f>HYPERLINK("https://www.philgeps.gov.ph/GEPSNONPILOT/Tender/SplashBidNoticeAbstractUI.aspx?menuIndex=3&amp;refID=7076632&amp;Result=3","7076632")</f>
        <v>0</v>
      </c>
      <c r="B5526" t="s">
        <v>196</v>
      </c>
      <c r="C5526" t="s">
        <v>8800</v>
      </c>
      <c r="D5526" t="s">
        <v>18157</v>
      </c>
      <c r="E5526" t="s">
        <v>21701</v>
      </c>
      <c r="F5526" t="s">
        <v>31362</v>
      </c>
      <c r="G5526" t="s">
        <v>31368</v>
      </c>
      <c r="H5526" t="s">
        <v>15799</v>
      </c>
      <c r="I5526" t="s">
        <v>31409</v>
      </c>
      <c r="J5526" t="s">
        <v>31997</v>
      </c>
      <c r="K5526" t="s">
        <v>40665</v>
      </c>
      <c r="M5526" t="s">
        <v>41135</v>
      </c>
      <c r="N5526" t="s">
        <v>44905</v>
      </c>
      <c r="O5526" t="s">
        <v>44906</v>
      </c>
      <c r="P5526">
        <v>0</v>
      </c>
      <c r="Q5526">
        <v>1</v>
      </c>
      <c r="R5526" t="s">
        <v>44909</v>
      </c>
      <c r="S5526" t="s">
        <v>45060</v>
      </c>
      <c r="T5526" t="s">
        <v>46409</v>
      </c>
      <c r="U5526" t="s">
        <v>51427</v>
      </c>
      <c r="W5526" t="s">
        <v>41135</v>
      </c>
      <c r="X5526" t="s">
        <v>44910</v>
      </c>
    </row>
    <row r="5527" spans="1:24">
      <c r="A5527">
        <f>HYPERLINK("https://www.philgeps.gov.ph/GEPSNONPILOT/Tender/SplashBidNoticeAbstractUI.aspx?menuIndex=3&amp;refID=7076606&amp;Result=3","7076606")</f>
        <v>0</v>
      </c>
      <c r="B5527" t="s">
        <v>1127</v>
      </c>
      <c r="C5527" t="s">
        <v>8801</v>
      </c>
      <c r="D5527" t="s">
        <v>18160</v>
      </c>
      <c r="E5527" t="s">
        <v>23130</v>
      </c>
      <c r="F5527" t="s">
        <v>31362</v>
      </c>
      <c r="G5527" t="s">
        <v>31369</v>
      </c>
      <c r="H5527" t="s">
        <v>15799</v>
      </c>
      <c r="I5527" t="s">
        <v>7188</v>
      </c>
      <c r="J5527" t="s">
        <v>31806</v>
      </c>
      <c r="K5527" t="s">
        <v>40696</v>
      </c>
      <c r="M5527" t="s">
        <v>42134</v>
      </c>
      <c r="N5527" t="s">
        <v>44905</v>
      </c>
      <c r="O5527" t="s">
        <v>44906</v>
      </c>
      <c r="P5527">
        <v>0</v>
      </c>
      <c r="Q5527">
        <v>4</v>
      </c>
      <c r="R5527" t="s">
        <v>44909</v>
      </c>
      <c r="S5527" t="s">
        <v>45060</v>
      </c>
      <c r="T5527" t="s">
        <v>46417</v>
      </c>
      <c r="U5527" t="s">
        <v>51428</v>
      </c>
      <c r="W5527" t="s">
        <v>42134</v>
      </c>
      <c r="X5527" t="s">
        <v>44910</v>
      </c>
    </row>
    <row r="5528" spans="1:24">
      <c r="A5528">
        <f>HYPERLINK("https://www.philgeps.gov.ph/GEPSNONPILOT/Tender/SplashBidNoticeAbstractUI.aspx?menuIndex=3&amp;refID=7076597&amp;Result=3","7076597")</f>
        <v>0</v>
      </c>
      <c r="B5528" t="s">
        <v>520</v>
      </c>
      <c r="C5528" t="s">
        <v>8802</v>
      </c>
      <c r="D5528" t="s">
        <v>18106</v>
      </c>
      <c r="E5528" t="s">
        <v>23131</v>
      </c>
      <c r="F5528" t="s">
        <v>31362</v>
      </c>
      <c r="G5528" t="s">
        <v>31368</v>
      </c>
      <c r="H5528" t="s">
        <v>15799</v>
      </c>
      <c r="I5528" t="s">
        <v>31409</v>
      </c>
      <c r="J5528" t="s">
        <v>31604</v>
      </c>
      <c r="K5528" t="s">
        <v>40661</v>
      </c>
      <c r="M5528" t="s">
        <v>41476</v>
      </c>
      <c r="N5528" t="s">
        <v>44905</v>
      </c>
      <c r="O5528" t="s">
        <v>44906</v>
      </c>
      <c r="P5528">
        <v>0</v>
      </c>
      <c r="Q5528">
        <v>4</v>
      </c>
      <c r="R5528" t="s">
        <v>44909</v>
      </c>
      <c r="S5528" t="s">
        <v>45060</v>
      </c>
      <c r="T5528" t="s">
        <v>46454</v>
      </c>
      <c r="U5528" t="s">
        <v>51429</v>
      </c>
      <c r="W5528" t="s">
        <v>41476</v>
      </c>
      <c r="X5528" t="s">
        <v>44910</v>
      </c>
    </row>
    <row r="5529" spans="1:24">
      <c r="A5529">
        <f>HYPERLINK("https://www.philgeps.gov.ph/GEPSNONPILOT/Tender/SplashBidNoticeAbstractUI.aspx?menuIndex=3&amp;refID=7076665&amp;Result=3","7076665")</f>
        <v>0</v>
      </c>
      <c r="B5529" t="s">
        <v>1811</v>
      </c>
      <c r="C5529" t="s">
        <v>8803</v>
      </c>
      <c r="D5529" t="s">
        <v>18109</v>
      </c>
      <c r="E5529" t="s">
        <v>23132</v>
      </c>
      <c r="F5529" t="s">
        <v>31362</v>
      </c>
      <c r="G5529" t="s">
        <v>31368</v>
      </c>
      <c r="H5529" t="s">
        <v>15799</v>
      </c>
      <c r="I5529" t="s">
        <v>6373</v>
      </c>
      <c r="J5529" t="s">
        <v>35025</v>
      </c>
      <c r="K5529" t="s">
        <v>40665</v>
      </c>
      <c r="M5529" t="s">
        <v>42893</v>
      </c>
      <c r="N5529" t="s">
        <v>44905</v>
      </c>
      <c r="O5529" t="s">
        <v>44906</v>
      </c>
      <c r="P5529">
        <v>0</v>
      </c>
      <c r="Q5529">
        <v>5</v>
      </c>
      <c r="R5529" t="s">
        <v>44909</v>
      </c>
      <c r="S5529" t="s">
        <v>45060</v>
      </c>
      <c r="T5529" t="s">
        <v>46414</v>
      </c>
      <c r="U5529" t="s">
        <v>51430</v>
      </c>
      <c r="W5529" t="s">
        <v>42893</v>
      </c>
      <c r="X5529" t="s">
        <v>44910</v>
      </c>
    </row>
    <row r="5530" spans="1:24">
      <c r="A5530">
        <f>HYPERLINK("https://www.philgeps.gov.ph/GEPSNONPILOT/Tender/SplashBidNoticeAbstractUI.aspx?menuIndex=3&amp;refID=7076664&amp;Result=3","7076664")</f>
        <v>0</v>
      </c>
      <c r="B5530" t="s">
        <v>795</v>
      </c>
      <c r="C5530" t="s">
        <v>8804</v>
      </c>
      <c r="D5530" t="s">
        <v>18138</v>
      </c>
      <c r="E5530" t="s">
        <v>23133</v>
      </c>
      <c r="F5530" t="s">
        <v>31362</v>
      </c>
      <c r="G5530" t="s">
        <v>31368</v>
      </c>
      <c r="H5530" t="s">
        <v>15799</v>
      </c>
      <c r="I5530" t="s">
        <v>31429</v>
      </c>
      <c r="J5530" t="s">
        <v>35040</v>
      </c>
      <c r="K5530" t="s">
        <v>40666</v>
      </c>
      <c r="M5530" t="s">
        <v>41765</v>
      </c>
      <c r="N5530" t="s">
        <v>44905</v>
      </c>
      <c r="O5530" t="s">
        <v>44906</v>
      </c>
      <c r="P5530">
        <v>0</v>
      </c>
      <c r="Q5530">
        <v>1</v>
      </c>
      <c r="R5530" t="s">
        <v>44909</v>
      </c>
      <c r="S5530" t="s">
        <v>45060</v>
      </c>
      <c r="T5530" t="s">
        <v>46586</v>
      </c>
      <c r="U5530" t="s">
        <v>51431</v>
      </c>
      <c r="W5530" t="s">
        <v>41765</v>
      </c>
      <c r="X5530" t="s">
        <v>44910</v>
      </c>
    </row>
    <row r="5531" spans="1:24">
      <c r="A5531">
        <f>HYPERLINK("https://www.philgeps.gov.ph/GEPSNONPILOT/Tender/SplashBidNoticeAbstractUI.aspx?menuIndex=3&amp;refID=7076624&amp;Result=3","7076624")</f>
        <v>0</v>
      </c>
      <c r="B5531" t="s">
        <v>119</v>
      </c>
      <c r="C5531" t="s">
        <v>8805</v>
      </c>
      <c r="D5531" t="s">
        <v>18108</v>
      </c>
      <c r="E5531" t="s">
        <v>23134</v>
      </c>
      <c r="F5531" t="s">
        <v>31362</v>
      </c>
      <c r="G5531" t="s">
        <v>31368</v>
      </c>
      <c r="H5531" t="s">
        <v>15799</v>
      </c>
      <c r="I5531" t="s">
        <v>31383</v>
      </c>
      <c r="J5531" t="s">
        <v>32127</v>
      </c>
      <c r="K5531" t="s">
        <v>40661</v>
      </c>
      <c r="M5531" t="s">
        <v>41056</v>
      </c>
      <c r="N5531" t="s">
        <v>44905</v>
      </c>
      <c r="O5531" t="s">
        <v>44906</v>
      </c>
      <c r="P5531">
        <v>0</v>
      </c>
      <c r="Q5531">
        <v>19</v>
      </c>
      <c r="R5531" t="s">
        <v>44909</v>
      </c>
      <c r="S5531" t="s">
        <v>45060</v>
      </c>
      <c r="T5531" t="s">
        <v>46497</v>
      </c>
      <c r="U5531" t="s">
        <v>51432</v>
      </c>
      <c r="W5531" t="s">
        <v>41056</v>
      </c>
      <c r="X5531" t="s">
        <v>44910</v>
      </c>
    </row>
    <row r="5532" spans="1:24">
      <c r="A5532">
        <f>HYPERLINK("https://www.philgeps.gov.ph/GEPSNONPILOT/Tender/SplashBidNoticeAbstractUI.aspx?menuIndex=3&amp;refID=7076661&amp;Result=3","7076661")</f>
        <v>0</v>
      </c>
      <c r="B5532" t="s">
        <v>1260</v>
      </c>
      <c r="C5532" t="s">
        <v>8806</v>
      </c>
      <c r="D5532" t="s">
        <v>18142</v>
      </c>
      <c r="E5532" t="s">
        <v>23135</v>
      </c>
      <c r="F5532" t="s">
        <v>31362</v>
      </c>
      <c r="G5532" t="s">
        <v>31369</v>
      </c>
      <c r="H5532" t="s">
        <v>31378</v>
      </c>
      <c r="I5532" t="s">
        <v>31386</v>
      </c>
      <c r="J5532" t="s">
        <v>31586</v>
      </c>
      <c r="K5532" t="s">
        <v>40675</v>
      </c>
      <c r="M5532" t="s">
        <v>42276</v>
      </c>
      <c r="N5532" t="s">
        <v>44905</v>
      </c>
      <c r="O5532" t="s">
        <v>44906</v>
      </c>
      <c r="P5532">
        <v>0</v>
      </c>
      <c r="Q5532">
        <v>0</v>
      </c>
      <c r="R5532" t="s">
        <v>44909</v>
      </c>
      <c r="S5532" t="s">
        <v>45060</v>
      </c>
      <c r="T5532" t="s">
        <v>46401</v>
      </c>
      <c r="U5532" t="s">
        <v>51433</v>
      </c>
      <c r="W5532" t="s">
        <v>42276</v>
      </c>
      <c r="X5532" t="s">
        <v>44910</v>
      </c>
    </row>
    <row r="5533" spans="1:24">
      <c r="A5533">
        <f>HYPERLINK("https://www.philgeps.gov.ph/GEPSNONPILOT/Tender/SplashBidNoticeAbstractUI.aspx?menuIndex=3&amp;refID=7076657&amp;Result=3","7076657")</f>
        <v>0</v>
      </c>
      <c r="B5533" t="s">
        <v>1774</v>
      </c>
      <c r="C5533" t="s">
        <v>8807</v>
      </c>
      <c r="D5533" t="s">
        <v>18112</v>
      </c>
      <c r="E5533" t="s">
        <v>23136</v>
      </c>
      <c r="F5533" t="s">
        <v>31362</v>
      </c>
      <c r="G5533" t="s">
        <v>31368</v>
      </c>
      <c r="H5533" t="s">
        <v>15799</v>
      </c>
      <c r="I5533" t="s">
        <v>4057</v>
      </c>
      <c r="J5533" t="s">
        <v>35041</v>
      </c>
      <c r="K5533" t="s">
        <v>40662</v>
      </c>
      <c r="M5533" t="s">
        <v>42852</v>
      </c>
      <c r="N5533" t="s">
        <v>44905</v>
      </c>
      <c r="O5533" t="s">
        <v>44906</v>
      </c>
      <c r="P5533">
        <v>0</v>
      </c>
      <c r="Q5533">
        <v>0</v>
      </c>
      <c r="R5533" t="s">
        <v>44909</v>
      </c>
      <c r="S5533" t="s">
        <v>45060</v>
      </c>
      <c r="T5533" t="s">
        <v>46414</v>
      </c>
      <c r="U5533" t="s">
        <v>51434</v>
      </c>
      <c r="V5533" t="s">
        <v>59584</v>
      </c>
      <c r="W5533" t="s">
        <v>42852</v>
      </c>
      <c r="X5533" t="s">
        <v>44910</v>
      </c>
    </row>
    <row r="5534" spans="1:24">
      <c r="A5534">
        <f>HYPERLINK("https://www.philgeps.gov.ph/GEPSNONPILOT/Tender/SplashBidNoticeAbstractUI.aspx?menuIndex=3&amp;refID=7076619&amp;Result=3","7076619")</f>
        <v>0</v>
      </c>
      <c r="B5534" t="s">
        <v>1792</v>
      </c>
      <c r="C5534" t="s">
        <v>8808</v>
      </c>
      <c r="D5534" t="s">
        <v>18135</v>
      </c>
      <c r="E5534" t="s">
        <v>23137</v>
      </c>
      <c r="F5534" t="s">
        <v>31362</v>
      </c>
      <c r="G5534" t="s">
        <v>31368</v>
      </c>
      <c r="H5534" t="s">
        <v>15799</v>
      </c>
      <c r="I5534" t="s">
        <v>7090</v>
      </c>
      <c r="J5534" t="s">
        <v>35042</v>
      </c>
      <c r="K5534" t="s">
        <v>40661</v>
      </c>
      <c r="M5534" t="s">
        <v>42874</v>
      </c>
      <c r="N5534" t="s">
        <v>44905</v>
      </c>
      <c r="O5534" t="s">
        <v>44906</v>
      </c>
      <c r="P5534">
        <v>0</v>
      </c>
      <c r="Q5534">
        <v>0</v>
      </c>
      <c r="R5534" t="s">
        <v>44909</v>
      </c>
      <c r="S5534" t="s">
        <v>45060</v>
      </c>
      <c r="T5534" t="s">
        <v>46503</v>
      </c>
      <c r="U5534" t="s">
        <v>51386</v>
      </c>
      <c r="W5534" t="s">
        <v>42874</v>
      </c>
      <c r="X5534" t="s">
        <v>44910</v>
      </c>
    </row>
    <row r="5535" spans="1:24">
      <c r="A5535">
        <f>HYPERLINK("https://www.philgeps.gov.ph/GEPSNONPILOT/Tender/SplashBidNoticeAbstractUI.aspx?menuIndex=3&amp;refID=7076655&amp;Result=3","7076655")</f>
        <v>0</v>
      </c>
      <c r="B5535" t="s">
        <v>1260</v>
      </c>
      <c r="C5535" t="s">
        <v>8809</v>
      </c>
      <c r="D5535" t="s">
        <v>18142</v>
      </c>
      <c r="E5535" t="s">
        <v>23138</v>
      </c>
      <c r="F5535" t="s">
        <v>31362</v>
      </c>
      <c r="G5535" t="s">
        <v>31369</v>
      </c>
      <c r="H5535" t="s">
        <v>31378</v>
      </c>
      <c r="I5535" t="s">
        <v>31386</v>
      </c>
      <c r="J5535" t="s">
        <v>31578</v>
      </c>
      <c r="K5535" t="s">
        <v>40665</v>
      </c>
      <c r="M5535" t="s">
        <v>42276</v>
      </c>
      <c r="N5535" t="s">
        <v>44905</v>
      </c>
      <c r="O5535" t="s">
        <v>44906</v>
      </c>
      <c r="P5535">
        <v>0</v>
      </c>
      <c r="Q5535">
        <v>0</v>
      </c>
      <c r="R5535" t="s">
        <v>44909</v>
      </c>
      <c r="S5535" t="s">
        <v>45060</v>
      </c>
      <c r="T5535" t="s">
        <v>46401</v>
      </c>
      <c r="U5535" t="s">
        <v>51433</v>
      </c>
      <c r="W5535" t="s">
        <v>42276</v>
      </c>
      <c r="X5535" t="s">
        <v>44910</v>
      </c>
    </row>
    <row r="5536" spans="1:24">
      <c r="A5536">
        <f>HYPERLINK("https://www.philgeps.gov.ph/GEPSNONPILOT/Tender/SplashBidNoticeAbstractUI.aspx?menuIndex=3&amp;refID=7076622&amp;Result=3","7076622")</f>
        <v>0</v>
      </c>
      <c r="B5536" t="s">
        <v>976</v>
      </c>
      <c r="C5536" t="s">
        <v>8810</v>
      </c>
      <c r="D5536" t="s">
        <v>18158</v>
      </c>
      <c r="E5536" t="s">
        <v>23139</v>
      </c>
      <c r="F5536" t="s">
        <v>31363</v>
      </c>
      <c r="G5536" t="s">
        <v>31370</v>
      </c>
      <c r="H5536" t="s">
        <v>15799</v>
      </c>
      <c r="I5536" t="s">
        <v>4942</v>
      </c>
      <c r="J5536" t="s">
        <v>35043</v>
      </c>
      <c r="K5536" t="s">
        <v>40670</v>
      </c>
      <c r="M5536" t="s">
        <v>41966</v>
      </c>
      <c r="N5536" t="s">
        <v>44905</v>
      </c>
      <c r="O5536" t="s">
        <v>44906</v>
      </c>
      <c r="P5536">
        <v>0</v>
      </c>
      <c r="Q5536">
        <v>0</v>
      </c>
      <c r="R5536" t="s">
        <v>44909</v>
      </c>
      <c r="S5536" t="s">
        <v>45060</v>
      </c>
      <c r="T5536" t="s">
        <v>46504</v>
      </c>
      <c r="U5536" t="s">
        <v>51435</v>
      </c>
      <c r="W5536" t="s">
        <v>41966</v>
      </c>
      <c r="X5536" t="s">
        <v>44910</v>
      </c>
    </row>
    <row r="5537" spans="1:24">
      <c r="A5537">
        <f>HYPERLINK("https://www.philgeps.gov.ph/GEPSNONPILOT/Tender/SplashBidNoticeAbstractUI.aspx?menuIndex=3&amp;refID=7076618&amp;Result=3","7076618")</f>
        <v>0</v>
      </c>
      <c r="B5537" t="s">
        <v>57</v>
      </c>
      <c r="C5537" t="s">
        <v>8811</v>
      </c>
      <c r="D5537" t="s">
        <v>18120</v>
      </c>
      <c r="E5537" t="s">
        <v>23140</v>
      </c>
      <c r="F5537" t="s">
        <v>31362</v>
      </c>
      <c r="G5537" t="s">
        <v>31368</v>
      </c>
      <c r="H5537" t="s">
        <v>15799</v>
      </c>
      <c r="I5537" t="s">
        <v>31387</v>
      </c>
      <c r="J5537" t="s">
        <v>35044</v>
      </c>
      <c r="K5537" t="s">
        <v>40661</v>
      </c>
      <c r="M5537" t="s">
        <v>42894</v>
      </c>
      <c r="N5537" t="s">
        <v>44905</v>
      </c>
      <c r="O5537" t="s">
        <v>44906</v>
      </c>
      <c r="P5537">
        <v>0</v>
      </c>
      <c r="Q5537">
        <v>0</v>
      </c>
      <c r="R5537" t="s">
        <v>44909</v>
      </c>
      <c r="S5537" t="s">
        <v>45060</v>
      </c>
      <c r="T5537" t="s">
        <v>46443</v>
      </c>
      <c r="U5537" t="s">
        <v>51436</v>
      </c>
      <c r="W5537" t="s">
        <v>42894</v>
      </c>
      <c r="X5537" t="s">
        <v>44910</v>
      </c>
    </row>
    <row r="5538" spans="1:24">
      <c r="A5538">
        <f>HYPERLINK("https://www.philgeps.gov.ph/GEPSNONPILOT/Tender/SplashBidNoticeAbstractUI.aspx?menuIndex=3&amp;refID=7076650&amp;Result=3","7076650")</f>
        <v>0</v>
      </c>
      <c r="B5538" t="s">
        <v>1800</v>
      </c>
      <c r="C5538" t="s">
        <v>8812</v>
      </c>
      <c r="D5538" t="s">
        <v>18124</v>
      </c>
      <c r="E5538" t="s">
        <v>23141</v>
      </c>
      <c r="F5538" t="s">
        <v>31362</v>
      </c>
      <c r="G5538" t="s">
        <v>31368</v>
      </c>
      <c r="H5538" t="s">
        <v>15799</v>
      </c>
      <c r="I5538" t="s">
        <v>31430</v>
      </c>
      <c r="J5538" t="s">
        <v>35045</v>
      </c>
      <c r="K5538" t="s">
        <v>40677</v>
      </c>
      <c r="M5538" t="s">
        <v>42882</v>
      </c>
      <c r="N5538" t="s">
        <v>44905</v>
      </c>
      <c r="O5538" t="s">
        <v>44906</v>
      </c>
      <c r="P5538">
        <v>0</v>
      </c>
      <c r="Q5538">
        <v>0</v>
      </c>
      <c r="R5538" t="s">
        <v>44909</v>
      </c>
      <c r="S5538" t="s">
        <v>45060</v>
      </c>
      <c r="T5538" t="s">
        <v>46411</v>
      </c>
      <c r="U5538" t="s">
        <v>51437</v>
      </c>
      <c r="W5538" t="s">
        <v>42882</v>
      </c>
      <c r="X5538" t="s">
        <v>44910</v>
      </c>
    </row>
    <row r="5539" spans="1:24">
      <c r="A5539">
        <f>HYPERLINK("https://www.philgeps.gov.ph/GEPSNONPILOT/Tender/SplashBidNoticeAbstractUI.aspx?menuIndex=3&amp;refID=7076594&amp;Result=3","7076594")</f>
        <v>0</v>
      </c>
      <c r="B5539" t="s">
        <v>561</v>
      </c>
      <c r="C5539" t="s">
        <v>8813</v>
      </c>
      <c r="D5539" t="s">
        <v>18124</v>
      </c>
      <c r="E5539" t="s">
        <v>19737</v>
      </c>
      <c r="F5539" t="s">
        <v>31362</v>
      </c>
      <c r="G5539" t="s">
        <v>31369</v>
      </c>
      <c r="H5539" t="s">
        <v>31378</v>
      </c>
      <c r="I5539" t="s">
        <v>31386</v>
      </c>
      <c r="J5539" t="s">
        <v>31536</v>
      </c>
      <c r="K5539" t="s">
        <v>40682</v>
      </c>
      <c r="M5539" t="s">
        <v>41517</v>
      </c>
      <c r="N5539" t="s">
        <v>44905</v>
      </c>
      <c r="O5539" t="s">
        <v>44906</v>
      </c>
      <c r="P5539">
        <v>0</v>
      </c>
      <c r="Q5539">
        <v>1</v>
      </c>
      <c r="R5539" t="s">
        <v>44909</v>
      </c>
      <c r="S5539" t="s">
        <v>45060</v>
      </c>
      <c r="T5539" t="s">
        <v>46448</v>
      </c>
      <c r="U5539" t="s">
        <v>51438</v>
      </c>
      <c r="W5539" t="s">
        <v>41517</v>
      </c>
      <c r="X5539" t="s">
        <v>44910</v>
      </c>
    </row>
    <row r="5540" spans="1:24">
      <c r="A5540">
        <f>HYPERLINK("https://www.philgeps.gov.ph/GEPSNONPILOT/Tender/SplashBidNoticeAbstractUI.aspx?menuIndex=3&amp;refID=7076651&amp;Result=3","7076651")</f>
        <v>0</v>
      </c>
      <c r="B5540" t="s">
        <v>487</v>
      </c>
      <c r="C5540" t="s">
        <v>8814</v>
      </c>
      <c r="E5540" t="s">
        <v>23142</v>
      </c>
      <c r="F5540" t="s">
        <v>31362</v>
      </c>
      <c r="G5540" t="s">
        <v>31369</v>
      </c>
      <c r="H5540" t="s">
        <v>31378</v>
      </c>
      <c r="I5540" t="s">
        <v>31386</v>
      </c>
      <c r="J5540" t="s">
        <v>35046</v>
      </c>
      <c r="K5540" t="s">
        <v>40662</v>
      </c>
      <c r="M5540" t="s">
        <v>41442</v>
      </c>
      <c r="N5540" t="s">
        <v>44905</v>
      </c>
      <c r="O5540" t="s">
        <v>44906</v>
      </c>
      <c r="P5540">
        <v>0</v>
      </c>
      <c r="Q5540">
        <v>0</v>
      </c>
      <c r="R5540" t="s">
        <v>44909</v>
      </c>
      <c r="S5540" t="s">
        <v>45060</v>
      </c>
      <c r="T5540" t="s">
        <v>46559</v>
      </c>
      <c r="U5540" t="s">
        <v>51439</v>
      </c>
      <c r="W5540" t="s">
        <v>41442</v>
      </c>
      <c r="X5540" t="s">
        <v>44910</v>
      </c>
    </row>
    <row r="5541" spans="1:24">
      <c r="A5541">
        <f>HYPERLINK("https://www.philgeps.gov.ph/GEPSNONPILOT/Tender/SplashBidNoticeAbstractUI.aspx?menuIndex=3&amp;refID=7076645&amp;Result=3","7076645")</f>
        <v>0</v>
      </c>
      <c r="B5541" t="s">
        <v>1812</v>
      </c>
      <c r="C5541" t="s">
        <v>8815</v>
      </c>
      <c r="D5541" t="s">
        <v>18152</v>
      </c>
      <c r="E5541" t="s">
        <v>23143</v>
      </c>
      <c r="F5541" t="s">
        <v>31362</v>
      </c>
      <c r="G5541" t="s">
        <v>31368</v>
      </c>
      <c r="H5541" t="s">
        <v>15799</v>
      </c>
      <c r="I5541" t="s">
        <v>7090</v>
      </c>
      <c r="J5541" t="s">
        <v>32195</v>
      </c>
      <c r="K5541" t="s">
        <v>40672</v>
      </c>
      <c r="M5541" t="s">
        <v>42895</v>
      </c>
      <c r="N5541" t="s">
        <v>44905</v>
      </c>
      <c r="O5541" t="s">
        <v>44906</v>
      </c>
      <c r="P5541">
        <v>0</v>
      </c>
      <c r="Q5541">
        <v>4</v>
      </c>
      <c r="R5541" t="s">
        <v>44909</v>
      </c>
      <c r="S5541" t="s">
        <v>45060</v>
      </c>
      <c r="T5541" t="s">
        <v>46434</v>
      </c>
      <c r="U5541" t="s">
        <v>51440</v>
      </c>
      <c r="W5541" t="s">
        <v>42895</v>
      </c>
      <c r="X5541" t="s">
        <v>44910</v>
      </c>
    </row>
    <row r="5542" spans="1:24">
      <c r="A5542">
        <f>HYPERLINK("https://www.philgeps.gov.ph/GEPSNONPILOT/Tender/SplashBidNoticeAbstractUI.aspx?menuIndex=3&amp;refID=7076648&amp;Result=3","7076648")</f>
        <v>0</v>
      </c>
      <c r="B5542" t="s">
        <v>298</v>
      </c>
      <c r="C5542" t="s">
        <v>8816</v>
      </c>
      <c r="D5542" t="s">
        <v>18168</v>
      </c>
      <c r="E5542" t="s">
        <v>23144</v>
      </c>
      <c r="F5542" t="s">
        <v>31362</v>
      </c>
      <c r="G5542" t="s">
        <v>31371</v>
      </c>
      <c r="H5542" t="s">
        <v>15799</v>
      </c>
      <c r="I5542" t="s">
        <v>6373</v>
      </c>
      <c r="J5542" t="s">
        <v>33781</v>
      </c>
      <c r="K5542" t="s">
        <v>40662</v>
      </c>
      <c r="M5542" t="s">
        <v>41241</v>
      </c>
      <c r="N5542" t="s">
        <v>44905</v>
      </c>
      <c r="O5542" t="s">
        <v>44906</v>
      </c>
      <c r="P5542">
        <v>0</v>
      </c>
      <c r="Q5542">
        <v>4</v>
      </c>
      <c r="R5542" t="s">
        <v>44909</v>
      </c>
      <c r="S5542" t="s">
        <v>45060</v>
      </c>
      <c r="T5542" t="s">
        <v>46467</v>
      </c>
      <c r="U5542" t="s">
        <v>51441</v>
      </c>
      <c r="W5542" t="s">
        <v>41241</v>
      </c>
      <c r="X5542" t="s">
        <v>44910</v>
      </c>
    </row>
    <row r="5543" spans="1:24">
      <c r="A5543">
        <f>HYPERLINK("https://www.philgeps.gov.ph/GEPSNONPILOT/Tender/SplashBidNoticeAbstractUI.aspx?menuIndex=3&amp;refID=7076654&amp;Result=3","7076654")</f>
        <v>0</v>
      </c>
      <c r="B5543" t="s">
        <v>1305</v>
      </c>
      <c r="C5543" t="s">
        <v>8817</v>
      </c>
      <c r="D5543" t="s">
        <v>18117</v>
      </c>
      <c r="E5543" t="s">
        <v>23145</v>
      </c>
      <c r="F5543" t="s">
        <v>31362</v>
      </c>
      <c r="G5543" t="s">
        <v>31368</v>
      </c>
      <c r="H5543" t="s">
        <v>15799</v>
      </c>
      <c r="I5543" t="s">
        <v>31393</v>
      </c>
      <c r="J5543" t="s">
        <v>32391</v>
      </c>
      <c r="K5543" t="s">
        <v>40661</v>
      </c>
      <c r="M5543" t="s">
        <v>42323</v>
      </c>
      <c r="N5543" t="s">
        <v>44905</v>
      </c>
      <c r="O5543" t="s">
        <v>44906</v>
      </c>
      <c r="P5543">
        <v>0</v>
      </c>
      <c r="Q5543">
        <v>2</v>
      </c>
      <c r="R5543" t="s">
        <v>44909</v>
      </c>
      <c r="S5543" t="s">
        <v>45060</v>
      </c>
      <c r="T5543" t="s">
        <v>46412</v>
      </c>
      <c r="U5543" t="s">
        <v>49791</v>
      </c>
      <c r="W5543" t="s">
        <v>42323</v>
      </c>
      <c r="X5543" t="s">
        <v>44910</v>
      </c>
    </row>
    <row r="5544" spans="1:24">
      <c r="A5544">
        <f>HYPERLINK("https://www.philgeps.gov.ph/GEPSNONPILOT/Tender/SplashBidNoticeAbstractUI.aspx?menuIndex=3&amp;refID=7076689&amp;Result=3","7076689")</f>
        <v>0</v>
      </c>
      <c r="B5544" t="s">
        <v>679</v>
      </c>
      <c r="C5544" t="s">
        <v>8818</v>
      </c>
      <c r="D5544" t="s">
        <v>18148</v>
      </c>
      <c r="E5544" t="s">
        <v>23146</v>
      </c>
      <c r="F5544" t="s">
        <v>31362</v>
      </c>
      <c r="G5544" t="s">
        <v>31370</v>
      </c>
      <c r="H5544" t="s">
        <v>15799</v>
      </c>
      <c r="I5544" t="s">
        <v>31387</v>
      </c>
      <c r="J5544" t="s">
        <v>31987</v>
      </c>
      <c r="K5544" t="s">
        <v>40662</v>
      </c>
      <c r="M5544" t="s">
        <v>41641</v>
      </c>
      <c r="N5544" t="s">
        <v>44905</v>
      </c>
      <c r="O5544" t="s">
        <v>44906</v>
      </c>
      <c r="P5544">
        <v>0</v>
      </c>
      <c r="Q5544">
        <v>1</v>
      </c>
      <c r="R5544" t="s">
        <v>44909</v>
      </c>
      <c r="S5544" t="s">
        <v>45060</v>
      </c>
      <c r="T5544" t="s">
        <v>46409</v>
      </c>
      <c r="U5544" t="s">
        <v>51442</v>
      </c>
      <c r="W5544" t="s">
        <v>41641</v>
      </c>
      <c r="X5544" t="s">
        <v>44910</v>
      </c>
    </row>
    <row r="5545" spans="1:24">
      <c r="A5545">
        <f>HYPERLINK("https://www.philgeps.gov.ph/GEPSNONPILOT/Tender/SplashBidNoticeAbstractUI.aspx?menuIndex=3&amp;refID=7076694&amp;Result=3","7076694")</f>
        <v>0</v>
      </c>
      <c r="B5545" t="s">
        <v>1813</v>
      </c>
      <c r="C5545" t="s">
        <v>8819</v>
      </c>
      <c r="D5545" t="s">
        <v>18165</v>
      </c>
      <c r="E5545" t="s">
        <v>23147</v>
      </c>
      <c r="F5545" t="s">
        <v>31362</v>
      </c>
      <c r="G5545" t="s">
        <v>31368</v>
      </c>
      <c r="H5545" t="s">
        <v>15799</v>
      </c>
      <c r="I5545" t="s">
        <v>31404</v>
      </c>
      <c r="J5545" t="s">
        <v>35047</v>
      </c>
      <c r="K5545" t="s">
        <v>40666</v>
      </c>
      <c r="M5545" t="s">
        <v>42896</v>
      </c>
      <c r="N5545" t="s">
        <v>44905</v>
      </c>
      <c r="O5545" t="s">
        <v>44906</v>
      </c>
      <c r="P5545">
        <v>0</v>
      </c>
      <c r="Q5545">
        <v>0</v>
      </c>
      <c r="R5545" t="s">
        <v>44909</v>
      </c>
      <c r="S5545" t="s">
        <v>45060</v>
      </c>
      <c r="T5545" t="s">
        <v>46414</v>
      </c>
      <c r="U5545" t="s">
        <v>51443</v>
      </c>
      <c r="W5545" t="s">
        <v>42896</v>
      </c>
      <c r="X5545" t="s">
        <v>44910</v>
      </c>
    </row>
    <row r="5546" spans="1:24">
      <c r="A5546">
        <f>HYPERLINK("https://www.philgeps.gov.ph/GEPSNONPILOT/Tender/SplashBidNoticeAbstractUI.aspx?menuIndex=3&amp;refID=7076691&amp;Result=3","7076691")</f>
        <v>0</v>
      </c>
      <c r="B5546" t="s">
        <v>1562</v>
      </c>
      <c r="C5546" t="s">
        <v>8820</v>
      </c>
      <c r="D5546" t="s">
        <v>18140</v>
      </c>
      <c r="E5546" t="s">
        <v>23148</v>
      </c>
      <c r="F5546" t="s">
        <v>31362</v>
      </c>
      <c r="G5546" t="s">
        <v>31369</v>
      </c>
      <c r="H5546" t="s">
        <v>31377</v>
      </c>
      <c r="I5546" t="s">
        <v>31377</v>
      </c>
      <c r="J5546" t="s">
        <v>35048</v>
      </c>
      <c r="K5546" t="s">
        <v>40746</v>
      </c>
      <c r="M5546" t="s">
        <v>42614</v>
      </c>
      <c r="N5546" t="s">
        <v>44905</v>
      </c>
      <c r="O5546" t="s">
        <v>44906</v>
      </c>
      <c r="P5546">
        <v>0</v>
      </c>
      <c r="Q5546">
        <v>2</v>
      </c>
      <c r="R5546" t="s">
        <v>44909</v>
      </c>
      <c r="S5546" t="s">
        <v>45060</v>
      </c>
      <c r="T5546" t="s">
        <v>46435</v>
      </c>
      <c r="U5546" t="s">
        <v>51444</v>
      </c>
      <c r="W5546" t="s">
        <v>42614</v>
      </c>
      <c r="X5546" t="s">
        <v>44910</v>
      </c>
    </row>
    <row r="5547" spans="1:24">
      <c r="A5547">
        <f>HYPERLINK("https://www.philgeps.gov.ph/GEPSNONPILOT/Tender/SplashBidNoticeAbstractUI.aspx?menuIndex=3&amp;refID=7076690&amp;Result=3","7076690")</f>
        <v>0</v>
      </c>
      <c r="B5547" t="s">
        <v>1260</v>
      </c>
      <c r="C5547" t="s">
        <v>8821</v>
      </c>
      <c r="D5547" t="s">
        <v>18142</v>
      </c>
      <c r="E5547" t="s">
        <v>23149</v>
      </c>
      <c r="F5547" t="s">
        <v>31362</v>
      </c>
      <c r="G5547" t="s">
        <v>31369</v>
      </c>
      <c r="H5547" t="s">
        <v>31378</v>
      </c>
      <c r="I5547" t="s">
        <v>31386</v>
      </c>
      <c r="J5547" t="s">
        <v>31578</v>
      </c>
      <c r="K5547" t="s">
        <v>40665</v>
      </c>
      <c r="M5547" t="s">
        <v>42276</v>
      </c>
      <c r="N5547" t="s">
        <v>44905</v>
      </c>
      <c r="O5547" t="s">
        <v>44906</v>
      </c>
      <c r="P5547">
        <v>0</v>
      </c>
      <c r="Q5547">
        <v>0</v>
      </c>
      <c r="R5547" t="s">
        <v>44909</v>
      </c>
      <c r="S5547" t="s">
        <v>45060</v>
      </c>
      <c r="T5547" t="s">
        <v>46401</v>
      </c>
      <c r="U5547" t="s">
        <v>51433</v>
      </c>
      <c r="W5547" t="s">
        <v>42276</v>
      </c>
      <c r="X5547" t="s">
        <v>44910</v>
      </c>
    </row>
    <row r="5548" spans="1:24">
      <c r="A5548">
        <f>HYPERLINK("https://www.philgeps.gov.ph/GEPSNONPILOT/Tender/SplashBidNoticeAbstractUI.aspx?menuIndex=3&amp;refID=7076688&amp;Result=3","7076688")</f>
        <v>0</v>
      </c>
      <c r="B5548" t="s">
        <v>1814</v>
      </c>
      <c r="C5548" t="s">
        <v>8822</v>
      </c>
      <c r="D5548" t="s">
        <v>18104</v>
      </c>
      <c r="E5548" t="s">
        <v>19309</v>
      </c>
      <c r="F5548" t="s">
        <v>31363</v>
      </c>
      <c r="G5548" t="s">
        <v>31368</v>
      </c>
      <c r="H5548" t="s">
        <v>15799</v>
      </c>
      <c r="I5548" t="s">
        <v>31430</v>
      </c>
      <c r="J5548" t="s">
        <v>35049</v>
      </c>
      <c r="K5548" t="s">
        <v>40665</v>
      </c>
      <c r="M5548" t="s">
        <v>42897</v>
      </c>
      <c r="N5548" t="s">
        <v>44905</v>
      </c>
      <c r="O5548" t="s">
        <v>44906</v>
      </c>
      <c r="P5548">
        <v>0</v>
      </c>
      <c r="Q5548">
        <v>0</v>
      </c>
      <c r="R5548" t="s">
        <v>44909</v>
      </c>
      <c r="S5548" t="s">
        <v>45060</v>
      </c>
      <c r="T5548" t="s">
        <v>46506</v>
      </c>
      <c r="U5548" t="s">
        <v>51445</v>
      </c>
      <c r="W5548" t="s">
        <v>42897</v>
      </c>
      <c r="X5548" t="s">
        <v>44910</v>
      </c>
    </row>
    <row r="5549" spans="1:24">
      <c r="A5549">
        <f>HYPERLINK("https://www.philgeps.gov.ph/GEPSNONPILOT/Tender/SplashBidNoticeAbstractUI.aspx?menuIndex=3&amp;refID=7076693&amp;Result=3","7076693")</f>
        <v>0</v>
      </c>
      <c r="B5549" t="s">
        <v>1260</v>
      </c>
      <c r="C5549" t="s">
        <v>8823</v>
      </c>
      <c r="D5549" t="s">
        <v>18142</v>
      </c>
      <c r="E5549" t="s">
        <v>23150</v>
      </c>
      <c r="F5549" t="s">
        <v>31362</v>
      </c>
      <c r="G5549" t="s">
        <v>31369</v>
      </c>
      <c r="H5549" t="s">
        <v>31378</v>
      </c>
      <c r="I5549" t="s">
        <v>31386</v>
      </c>
      <c r="J5549" t="s">
        <v>31578</v>
      </c>
      <c r="K5549" t="s">
        <v>40665</v>
      </c>
      <c r="M5549" t="s">
        <v>42276</v>
      </c>
      <c r="N5549" t="s">
        <v>44905</v>
      </c>
      <c r="O5549" t="s">
        <v>44906</v>
      </c>
      <c r="P5549">
        <v>0</v>
      </c>
      <c r="Q5549">
        <v>0</v>
      </c>
      <c r="R5549" t="s">
        <v>44909</v>
      </c>
      <c r="S5549" t="s">
        <v>45060</v>
      </c>
      <c r="T5549" t="s">
        <v>46401</v>
      </c>
      <c r="U5549" t="s">
        <v>51433</v>
      </c>
      <c r="W5549" t="s">
        <v>42276</v>
      </c>
      <c r="X5549" t="s">
        <v>44910</v>
      </c>
    </row>
    <row r="5550" spans="1:24">
      <c r="A5550">
        <f>HYPERLINK("https://www.philgeps.gov.ph/GEPSNONPILOT/Tender/SplashBidNoticeAbstractUI.aspx?menuIndex=3&amp;refID=7076686&amp;Result=3","7076686")</f>
        <v>0</v>
      </c>
      <c r="B5550" t="s">
        <v>1815</v>
      </c>
      <c r="C5550" t="s">
        <v>8824</v>
      </c>
      <c r="D5550" t="s">
        <v>18160</v>
      </c>
      <c r="E5550" t="s">
        <v>22876</v>
      </c>
      <c r="F5550" t="s">
        <v>31362</v>
      </c>
      <c r="G5550" t="s">
        <v>31369</v>
      </c>
      <c r="H5550" t="s">
        <v>31378</v>
      </c>
      <c r="I5550" t="s">
        <v>31435</v>
      </c>
      <c r="J5550" t="s">
        <v>35050</v>
      </c>
      <c r="K5550" t="s">
        <v>40665</v>
      </c>
      <c r="M5550" t="s">
        <v>42898</v>
      </c>
      <c r="N5550" t="s">
        <v>44905</v>
      </c>
      <c r="O5550" t="s">
        <v>44906</v>
      </c>
      <c r="P5550">
        <v>0</v>
      </c>
      <c r="Q5550">
        <v>0</v>
      </c>
      <c r="R5550" t="s">
        <v>44909</v>
      </c>
      <c r="S5550" t="s">
        <v>45060</v>
      </c>
      <c r="T5550" t="s">
        <v>46701</v>
      </c>
      <c r="U5550" t="s">
        <v>51446</v>
      </c>
      <c r="W5550" t="s">
        <v>42898</v>
      </c>
      <c r="X5550" t="s">
        <v>44910</v>
      </c>
    </row>
    <row r="5551" spans="1:24">
      <c r="A5551">
        <f>HYPERLINK("https://www.philgeps.gov.ph/GEPSNONPILOT/Tender/SplashBidNoticeAbstractUI.aspx?menuIndex=3&amp;refID=7076692&amp;Result=3","7076692")</f>
        <v>0</v>
      </c>
      <c r="B5551" t="s">
        <v>329</v>
      </c>
      <c r="C5551" t="s">
        <v>8825</v>
      </c>
      <c r="D5551" t="s">
        <v>18160</v>
      </c>
      <c r="E5551" t="s">
        <v>23151</v>
      </c>
      <c r="F5551" t="s">
        <v>31362</v>
      </c>
      <c r="G5551" t="s">
        <v>31371</v>
      </c>
      <c r="H5551" t="s">
        <v>15799</v>
      </c>
      <c r="I5551" t="s">
        <v>7188</v>
      </c>
      <c r="J5551" t="s">
        <v>31843</v>
      </c>
      <c r="K5551" t="s">
        <v>40662</v>
      </c>
      <c r="M5551" t="s">
        <v>41275</v>
      </c>
      <c r="N5551" t="s">
        <v>44905</v>
      </c>
      <c r="O5551" t="s">
        <v>44906</v>
      </c>
      <c r="P5551">
        <v>0</v>
      </c>
      <c r="Q5551">
        <v>4</v>
      </c>
      <c r="R5551" t="s">
        <v>44909</v>
      </c>
      <c r="S5551" t="s">
        <v>45060</v>
      </c>
      <c r="T5551" t="s">
        <v>46432</v>
      </c>
      <c r="U5551" t="s">
        <v>47482</v>
      </c>
      <c r="W5551" t="s">
        <v>41275</v>
      </c>
      <c r="X5551" t="s">
        <v>44910</v>
      </c>
    </row>
    <row r="5552" spans="1:24">
      <c r="A5552">
        <f>HYPERLINK("https://www.philgeps.gov.ph/GEPSNONPILOT/Tender/SplashBidNoticeAbstractUI.aspx?menuIndex=3&amp;refID=7076683&amp;Result=3","7076683")</f>
        <v>0</v>
      </c>
      <c r="B5552" t="s">
        <v>1796</v>
      </c>
      <c r="C5552" t="s">
        <v>8826</v>
      </c>
      <c r="D5552" t="s">
        <v>18108</v>
      </c>
      <c r="E5552" t="s">
        <v>23152</v>
      </c>
      <c r="F5552" t="s">
        <v>31362</v>
      </c>
      <c r="G5552" t="s">
        <v>31368</v>
      </c>
      <c r="H5552" t="s">
        <v>15799</v>
      </c>
      <c r="I5552" t="s">
        <v>31388</v>
      </c>
      <c r="J5552" t="s">
        <v>31545</v>
      </c>
      <c r="K5552" t="s">
        <v>40666</v>
      </c>
      <c r="M5552" t="s">
        <v>42878</v>
      </c>
      <c r="N5552" t="s">
        <v>44905</v>
      </c>
      <c r="O5552" t="s">
        <v>44906</v>
      </c>
      <c r="P5552">
        <v>0</v>
      </c>
      <c r="Q5552">
        <v>1</v>
      </c>
      <c r="R5552" t="s">
        <v>44909</v>
      </c>
      <c r="S5552" t="s">
        <v>45060</v>
      </c>
      <c r="T5552" t="s">
        <v>46480</v>
      </c>
      <c r="U5552" t="s">
        <v>51447</v>
      </c>
      <c r="W5552" t="s">
        <v>42878</v>
      </c>
      <c r="X5552" t="s">
        <v>44910</v>
      </c>
    </row>
    <row r="5553" spans="1:24">
      <c r="A5553">
        <f>HYPERLINK("https://www.philgeps.gov.ph/GEPSNONPILOT/Tender/SplashBidNoticeAbstractUI.aspx?menuIndex=3&amp;refID=7076652&amp;Result=3","7076652")</f>
        <v>0</v>
      </c>
      <c r="B5553" t="s">
        <v>1816</v>
      </c>
      <c r="C5553" t="s">
        <v>8827</v>
      </c>
      <c r="D5553" t="s">
        <v>18141</v>
      </c>
      <c r="E5553" t="s">
        <v>23153</v>
      </c>
      <c r="F5553" t="s">
        <v>31362</v>
      </c>
      <c r="G5553" t="s">
        <v>31371</v>
      </c>
      <c r="H5553" t="s">
        <v>15799</v>
      </c>
      <c r="I5553" t="s">
        <v>7188</v>
      </c>
      <c r="J5553" t="s">
        <v>31545</v>
      </c>
      <c r="K5553" t="s">
        <v>40666</v>
      </c>
      <c r="M5553" t="s">
        <v>42899</v>
      </c>
      <c r="N5553" t="s">
        <v>44905</v>
      </c>
      <c r="O5553" t="s">
        <v>44906</v>
      </c>
      <c r="P5553">
        <v>0</v>
      </c>
      <c r="Q5553">
        <v>9</v>
      </c>
      <c r="R5553" t="s">
        <v>44909</v>
      </c>
      <c r="S5553" t="s">
        <v>45060</v>
      </c>
      <c r="T5553" t="s">
        <v>46411</v>
      </c>
      <c r="U5553" t="s">
        <v>51448</v>
      </c>
      <c r="W5553" t="s">
        <v>42899</v>
      </c>
      <c r="X5553" t="s">
        <v>44910</v>
      </c>
    </row>
    <row r="5554" spans="1:24">
      <c r="A5554">
        <f>HYPERLINK("https://www.philgeps.gov.ph/GEPSNONPILOT/Tender/SplashBidNoticeAbstractUI.aspx?menuIndex=3&amp;refID=7076679&amp;Result=3","7076679")</f>
        <v>0</v>
      </c>
      <c r="B5554" t="s">
        <v>1305</v>
      </c>
      <c r="C5554" t="s">
        <v>8828</v>
      </c>
      <c r="D5554" t="s">
        <v>18117</v>
      </c>
      <c r="E5554" t="s">
        <v>23154</v>
      </c>
      <c r="F5554" t="s">
        <v>31362</v>
      </c>
      <c r="G5554" t="s">
        <v>31368</v>
      </c>
      <c r="H5554" t="s">
        <v>31379</v>
      </c>
      <c r="I5554" t="s">
        <v>31473</v>
      </c>
      <c r="J5554" t="s">
        <v>35051</v>
      </c>
      <c r="K5554" t="s">
        <v>40661</v>
      </c>
      <c r="M5554" t="s">
        <v>42323</v>
      </c>
      <c r="N5554" t="s">
        <v>44905</v>
      </c>
      <c r="O5554" t="s">
        <v>44906</v>
      </c>
      <c r="P5554">
        <v>0</v>
      </c>
      <c r="Q5554">
        <v>0</v>
      </c>
      <c r="R5554" t="s">
        <v>44909</v>
      </c>
      <c r="S5554" t="s">
        <v>45060</v>
      </c>
      <c r="T5554" t="s">
        <v>46412</v>
      </c>
      <c r="U5554" t="s">
        <v>51449</v>
      </c>
      <c r="W5554" t="s">
        <v>42323</v>
      </c>
      <c r="X5554" t="s">
        <v>44910</v>
      </c>
    </row>
    <row r="5555" spans="1:24">
      <c r="A5555">
        <f>HYPERLINK("https://www.philgeps.gov.ph/GEPSNONPILOT/Tender/SplashBidNoticeAbstractUI.aspx?menuIndex=3&amp;refID=7076646&amp;Result=3","7076646")</f>
        <v>0</v>
      </c>
      <c r="B5555" t="s">
        <v>1817</v>
      </c>
      <c r="C5555" t="s">
        <v>6072</v>
      </c>
      <c r="D5555" t="s">
        <v>18181</v>
      </c>
      <c r="E5555" t="s">
        <v>23155</v>
      </c>
      <c r="F5555" t="s">
        <v>31362</v>
      </c>
      <c r="G5555" t="s">
        <v>31368</v>
      </c>
      <c r="H5555" t="s">
        <v>15799</v>
      </c>
      <c r="I5555" t="s">
        <v>31404</v>
      </c>
      <c r="J5555" t="s">
        <v>35052</v>
      </c>
      <c r="K5555" t="s">
        <v>40665</v>
      </c>
      <c r="M5555" t="s">
        <v>42900</v>
      </c>
      <c r="N5555" t="s">
        <v>44905</v>
      </c>
      <c r="O5555" t="s">
        <v>44906</v>
      </c>
      <c r="P5555">
        <v>0</v>
      </c>
      <c r="Q5555">
        <v>0</v>
      </c>
      <c r="R5555" t="s">
        <v>44909</v>
      </c>
      <c r="S5555" t="s">
        <v>45060</v>
      </c>
      <c r="T5555" t="s">
        <v>46411</v>
      </c>
      <c r="U5555" t="s">
        <v>51450</v>
      </c>
      <c r="V5555" t="s">
        <v>59382</v>
      </c>
      <c r="W5555" t="s">
        <v>42900</v>
      </c>
      <c r="X5555" t="s">
        <v>44910</v>
      </c>
    </row>
    <row r="5556" spans="1:24">
      <c r="A5556">
        <f>HYPERLINK("https://www.philgeps.gov.ph/GEPSNONPILOT/Tender/SplashBidNoticeAbstractUI.aspx?menuIndex=3&amp;refID=7076696&amp;Result=3","7076696")</f>
        <v>0</v>
      </c>
      <c r="B5556" t="s">
        <v>325</v>
      </c>
      <c r="C5556" t="s">
        <v>8829</v>
      </c>
      <c r="E5556" t="s">
        <v>23156</v>
      </c>
      <c r="F5556" t="s">
        <v>31362</v>
      </c>
      <c r="G5556" t="s">
        <v>31368</v>
      </c>
      <c r="H5556" t="s">
        <v>15799</v>
      </c>
      <c r="I5556" t="s">
        <v>31414</v>
      </c>
      <c r="J5556" t="s">
        <v>33864</v>
      </c>
      <c r="K5556" t="s">
        <v>40662</v>
      </c>
      <c r="M5556" t="s">
        <v>41271</v>
      </c>
      <c r="N5556" t="s">
        <v>44905</v>
      </c>
      <c r="O5556" t="s">
        <v>44906</v>
      </c>
      <c r="P5556">
        <v>0</v>
      </c>
      <c r="Q5556">
        <v>9</v>
      </c>
      <c r="R5556" t="s">
        <v>44909</v>
      </c>
      <c r="S5556" t="s">
        <v>45060</v>
      </c>
      <c r="T5556" t="s">
        <v>46394</v>
      </c>
      <c r="U5556" t="s">
        <v>51451</v>
      </c>
      <c r="W5556" t="s">
        <v>41271</v>
      </c>
      <c r="X5556" t="s">
        <v>44910</v>
      </c>
    </row>
    <row r="5557" spans="1:24">
      <c r="A5557">
        <f>HYPERLINK("https://www.philgeps.gov.ph/GEPSNONPILOT/Tender/SplashBidNoticeAbstractUI.aspx?menuIndex=3&amp;refID=7076687&amp;Result=3","7076687")</f>
        <v>0</v>
      </c>
      <c r="B5557" t="s">
        <v>1818</v>
      </c>
      <c r="C5557" t="s">
        <v>8830</v>
      </c>
      <c r="D5557" t="s">
        <v>18122</v>
      </c>
      <c r="E5557" t="s">
        <v>23157</v>
      </c>
      <c r="F5557" t="s">
        <v>31362</v>
      </c>
      <c r="G5557" t="s">
        <v>31368</v>
      </c>
      <c r="H5557" t="s">
        <v>15799</v>
      </c>
      <c r="I5557" t="s">
        <v>31421</v>
      </c>
      <c r="J5557" t="s">
        <v>35053</v>
      </c>
      <c r="K5557" t="s">
        <v>40666</v>
      </c>
      <c r="M5557" t="s">
        <v>42901</v>
      </c>
      <c r="N5557" t="s">
        <v>44905</v>
      </c>
      <c r="O5557" t="s">
        <v>44906</v>
      </c>
      <c r="P5557">
        <v>0</v>
      </c>
      <c r="Q5557">
        <v>3</v>
      </c>
      <c r="R5557" t="s">
        <v>44909</v>
      </c>
      <c r="S5557" t="s">
        <v>45060</v>
      </c>
      <c r="T5557" t="s">
        <v>46443</v>
      </c>
      <c r="U5557" t="s">
        <v>51452</v>
      </c>
      <c r="W5557" t="s">
        <v>42901</v>
      </c>
      <c r="X5557" t="s">
        <v>44910</v>
      </c>
    </row>
    <row r="5558" spans="1:24">
      <c r="A5558">
        <f>HYPERLINK("https://www.philgeps.gov.ph/GEPSNONPILOT/Tender/SplashBidNoticeAbstractUI.aspx?menuIndex=3&amp;refID=7076723&amp;Result=3","7076723")</f>
        <v>0</v>
      </c>
      <c r="B5558" t="s">
        <v>1093</v>
      </c>
      <c r="C5558" t="s">
        <v>8831</v>
      </c>
      <c r="D5558" t="s">
        <v>18156</v>
      </c>
      <c r="E5558" t="s">
        <v>23158</v>
      </c>
      <c r="F5558" t="s">
        <v>31362</v>
      </c>
      <c r="G5558" t="s">
        <v>31369</v>
      </c>
      <c r="H5558" t="s">
        <v>15799</v>
      </c>
      <c r="I5558" t="s">
        <v>6373</v>
      </c>
      <c r="J5558" t="s">
        <v>35054</v>
      </c>
      <c r="K5558" t="s">
        <v>40666</v>
      </c>
      <c r="M5558" t="s">
        <v>42098</v>
      </c>
      <c r="N5558" t="s">
        <v>44905</v>
      </c>
      <c r="O5558" t="s">
        <v>44906</v>
      </c>
      <c r="P5558">
        <v>0</v>
      </c>
      <c r="Q5558">
        <v>4</v>
      </c>
      <c r="R5558" t="s">
        <v>44909</v>
      </c>
      <c r="S5558" t="s">
        <v>45060</v>
      </c>
      <c r="T5558" t="s">
        <v>46480</v>
      </c>
      <c r="U5558" t="s">
        <v>51453</v>
      </c>
      <c r="W5558" t="s">
        <v>42098</v>
      </c>
      <c r="X5558" t="s">
        <v>44910</v>
      </c>
    </row>
    <row r="5559" spans="1:24">
      <c r="A5559">
        <f>HYPERLINK("https://www.philgeps.gov.ph/GEPSNONPILOT/Tender/SplashBidNoticeAbstractUI.aspx?menuIndex=3&amp;refID=7076721&amp;Result=3","7076721")</f>
        <v>0</v>
      </c>
      <c r="B5559" t="s">
        <v>1796</v>
      </c>
      <c r="C5559" t="s">
        <v>8766</v>
      </c>
      <c r="D5559" t="s">
        <v>18108</v>
      </c>
      <c r="E5559" t="s">
        <v>23159</v>
      </c>
      <c r="F5559" t="s">
        <v>31362</v>
      </c>
      <c r="G5559" t="s">
        <v>31368</v>
      </c>
      <c r="H5559" t="s">
        <v>15799</v>
      </c>
      <c r="I5559" t="s">
        <v>31397</v>
      </c>
      <c r="J5559" t="s">
        <v>35055</v>
      </c>
      <c r="K5559" t="s">
        <v>40666</v>
      </c>
      <c r="M5559" t="s">
        <v>42878</v>
      </c>
      <c r="N5559" t="s">
        <v>44905</v>
      </c>
      <c r="O5559" t="s">
        <v>44906</v>
      </c>
      <c r="P5559">
        <v>0</v>
      </c>
      <c r="Q5559">
        <v>3</v>
      </c>
      <c r="R5559" t="s">
        <v>44909</v>
      </c>
      <c r="S5559" t="s">
        <v>45060</v>
      </c>
      <c r="T5559" t="s">
        <v>46480</v>
      </c>
      <c r="U5559" t="s">
        <v>51454</v>
      </c>
      <c r="W5559" t="s">
        <v>42878</v>
      </c>
      <c r="X5559" t="s">
        <v>44910</v>
      </c>
    </row>
    <row r="5560" spans="1:24">
      <c r="A5560">
        <f>HYPERLINK("https://www.philgeps.gov.ph/GEPSNONPILOT/Tender/SplashBidNoticeAbstractUI.aspx?menuIndex=3&amp;refID=7076676&amp;Result=3","7076676")</f>
        <v>0</v>
      </c>
      <c r="B5560" t="s">
        <v>1792</v>
      </c>
      <c r="C5560" t="s">
        <v>8832</v>
      </c>
      <c r="D5560" t="s">
        <v>18135</v>
      </c>
      <c r="E5560" t="s">
        <v>23160</v>
      </c>
      <c r="F5560" t="s">
        <v>31362</v>
      </c>
      <c r="G5560" t="s">
        <v>31368</v>
      </c>
      <c r="H5560" t="s">
        <v>15799</v>
      </c>
      <c r="I5560" t="s">
        <v>31402</v>
      </c>
      <c r="J5560" t="s">
        <v>35056</v>
      </c>
      <c r="K5560" t="s">
        <v>40661</v>
      </c>
      <c r="M5560" t="s">
        <v>42874</v>
      </c>
      <c r="N5560" t="s">
        <v>44905</v>
      </c>
      <c r="O5560" t="s">
        <v>44906</v>
      </c>
      <c r="P5560">
        <v>0</v>
      </c>
      <c r="Q5560">
        <v>0</v>
      </c>
      <c r="R5560" t="s">
        <v>44909</v>
      </c>
      <c r="S5560" t="s">
        <v>45060</v>
      </c>
      <c r="T5560" t="s">
        <v>46503</v>
      </c>
      <c r="U5560" t="s">
        <v>51386</v>
      </c>
      <c r="W5560" t="s">
        <v>42874</v>
      </c>
      <c r="X5560" t="s">
        <v>44910</v>
      </c>
    </row>
    <row r="5561" spans="1:24">
      <c r="A5561">
        <f>HYPERLINK("https://www.philgeps.gov.ph/GEPSNONPILOT/Tender/SplashBidNoticeAbstractUI.aspx?menuIndex=3&amp;refID=7076720&amp;Result=3","7076720")</f>
        <v>0</v>
      </c>
      <c r="B5561" t="s">
        <v>1792</v>
      </c>
      <c r="C5561" t="s">
        <v>8833</v>
      </c>
      <c r="D5561" t="s">
        <v>18135</v>
      </c>
      <c r="E5561" t="s">
        <v>23161</v>
      </c>
      <c r="F5561" t="s">
        <v>31362</v>
      </c>
      <c r="G5561" t="s">
        <v>31368</v>
      </c>
      <c r="H5561" t="s">
        <v>15799</v>
      </c>
      <c r="I5561" t="s">
        <v>7090</v>
      </c>
      <c r="J5561" t="s">
        <v>35057</v>
      </c>
      <c r="K5561" t="s">
        <v>40661</v>
      </c>
      <c r="M5561" t="s">
        <v>42874</v>
      </c>
      <c r="N5561" t="s">
        <v>44905</v>
      </c>
      <c r="O5561" t="s">
        <v>44906</v>
      </c>
      <c r="P5561">
        <v>0</v>
      </c>
      <c r="Q5561">
        <v>2</v>
      </c>
      <c r="R5561" t="s">
        <v>44909</v>
      </c>
      <c r="S5561" t="s">
        <v>45060</v>
      </c>
      <c r="T5561" t="s">
        <v>46503</v>
      </c>
      <c r="U5561" t="s">
        <v>51386</v>
      </c>
      <c r="W5561" t="s">
        <v>42874</v>
      </c>
      <c r="X5561" t="s">
        <v>44910</v>
      </c>
    </row>
    <row r="5562" spans="1:24">
      <c r="A5562">
        <f>HYPERLINK("https://www.philgeps.gov.ph/GEPSNONPILOT/Tender/SplashBidNoticeAbstractUI.aspx?menuIndex=3&amp;refID=7076713&amp;Result=3","7076713")</f>
        <v>0</v>
      </c>
      <c r="B5562" t="s">
        <v>1305</v>
      </c>
      <c r="C5562" t="s">
        <v>8834</v>
      </c>
      <c r="D5562" t="s">
        <v>18117</v>
      </c>
      <c r="E5562" t="s">
        <v>23162</v>
      </c>
      <c r="F5562" t="s">
        <v>31362</v>
      </c>
      <c r="G5562" t="s">
        <v>31368</v>
      </c>
      <c r="H5562" t="s">
        <v>15799</v>
      </c>
      <c r="I5562" t="s">
        <v>31393</v>
      </c>
      <c r="J5562" t="s">
        <v>32016</v>
      </c>
      <c r="K5562" t="s">
        <v>40661</v>
      </c>
      <c r="M5562" t="s">
        <v>42323</v>
      </c>
      <c r="N5562" t="s">
        <v>44905</v>
      </c>
      <c r="O5562" t="s">
        <v>44906</v>
      </c>
      <c r="P5562">
        <v>0</v>
      </c>
      <c r="Q5562">
        <v>0</v>
      </c>
      <c r="R5562" t="s">
        <v>44909</v>
      </c>
      <c r="S5562" t="s">
        <v>45060</v>
      </c>
      <c r="T5562" t="s">
        <v>46412</v>
      </c>
      <c r="U5562" t="s">
        <v>49791</v>
      </c>
      <c r="W5562" t="s">
        <v>42323</v>
      </c>
      <c r="X5562" t="s">
        <v>44910</v>
      </c>
    </row>
    <row r="5563" spans="1:24">
      <c r="A5563">
        <f>HYPERLINK("https://www.philgeps.gov.ph/GEPSNONPILOT/Tender/SplashBidNoticeAbstractUI.aspx?menuIndex=3&amp;refID=7076724&amp;Result=3","7076724")</f>
        <v>0</v>
      </c>
      <c r="B5563" t="s">
        <v>1260</v>
      </c>
      <c r="C5563" t="s">
        <v>8835</v>
      </c>
      <c r="D5563" t="s">
        <v>18142</v>
      </c>
      <c r="E5563" t="s">
        <v>23163</v>
      </c>
      <c r="F5563" t="s">
        <v>31362</v>
      </c>
      <c r="G5563" t="s">
        <v>31369</v>
      </c>
      <c r="H5563" t="s">
        <v>31378</v>
      </c>
      <c r="I5563" t="s">
        <v>31386</v>
      </c>
      <c r="J5563" t="s">
        <v>32239</v>
      </c>
      <c r="K5563" t="s">
        <v>40722</v>
      </c>
      <c r="M5563" t="s">
        <v>42276</v>
      </c>
      <c r="N5563" t="s">
        <v>44905</v>
      </c>
      <c r="O5563" t="s">
        <v>44906</v>
      </c>
      <c r="P5563">
        <v>0</v>
      </c>
      <c r="Q5563">
        <v>0</v>
      </c>
      <c r="R5563" t="s">
        <v>44909</v>
      </c>
      <c r="S5563" t="s">
        <v>45060</v>
      </c>
      <c r="T5563" t="s">
        <v>46401</v>
      </c>
      <c r="U5563" t="s">
        <v>51433</v>
      </c>
      <c r="W5563" t="s">
        <v>42276</v>
      </c>
      <c r="X5563" t="s">
        <v>44910</v>
      </c>
    </row>
    <row r="5564" spans="1:24">
      <c r="A5564">
        <f>HYPERLINK("https://www.philgeps.gov.ph/GEPSNONPILOT/Tender/SplashBidNoticeAbstractUI.aspx?menuIndex=3&amp;refID=7076711&amp;Result=3","7076711")</f>
        <v>0</v>
      </c>
      <c r="B5564" t="s">
        <v>1260</v>
      </c>
      <c r="C5564" t="s">
        <v>8836</v>
      </c>
      <c r="D5564" t="s">
        <v>18142</v>
      </c>
      <c r="E5564" t="s">
        <v>23164</v>
      </c>
      <c r="F5564" t="s">
        <v>31362</v>
      </c>
      <c r="G5564" t="s">
        <v>31369</v>
      </c>
      <c r="H5564" t="s">
        <v>31378</v>
      </c>
      <c r="I5564" t="s">
        <v>31386</v>
      </c>
      <c r="J5564" t="s">
        <v>31578</v>
      </c>
      <c r="K5564" t="s">
        <v>40665</v>
      </c>
      <c r="M5564" t="s">
        <v>42276</v>
      </c>
      <c r="N5564" t="s">
        <v>44905</v>
      </c>
      <c r="O5564" t="s">
        <v>44906</v>
      </c>
      <c r="P5564">
        <v>0</v>
      </c>
      <c r="Q5564">
        <v>0</v>
      </c>
      <c r="R5564" t="s">
        <v>44909</v>
      </c>
      <c r="S5564" t="s">
        <v>45060</v>
      </c>
      <c r="T5564" t="s">
        <v>46401</v>
      </c>
      <c r="U5564" t="s">
        <v>51433</v>
      </c>
      <c r="W5564" t="s">
        <v>42276</v>
      </c>
      <c r="X5564" t="s">
        <v>44910</v>
      </c>
    </row>
    <row r="5565" spans="1:24">
      <c r="A5565">
        <f>HYPERLINK("https://www.philgeps.gov.ph/GEPSNONPILOT/Tender/SplashBidNoticeAbstractUI.aspx?menuIndex=3&amp;refID=7076681&amp;Result=3","7076681")</f>
        <v>0</v>
      </c>
      <c r="B5565" t="s">
        <v>1260</v>
      </c>
      <c r="C5565" t="s">
        <v>8837</v>
      </c>
      <c r="D5565" t="s">
        <v>18142</v>
      </c>
      <c r="E5565" t="s">
        <v>23165</v>
      </c>
      <c r="F5565" t="s">
        <v>31362</v>
      </c>
      <c r="G5565" t="s">
        <v>31369</v>
      </c>
      <c r="H5565" t="s">
        <v>31378</v>
      </c>
      <c r="I5565" t="s">
        <v>31386</v>
      </c>
      <c r="J5565" t="s">
        <v>32127</v>
      </c>
      <c r="K5565" t="s">
        <v>40682</v>
      </c>
      <c r="M5565" t="s">
        <v>42276</v>
      </c>
      <c r="N5565" t="s">
        <v>44905</v>
      </c>
      <c r="O5565" t="s">
        <v>44906</v>
      </c>
      <c r="P5565">
        <v>0</v>
      </c>
      <c r="Q5565">
        <v>0</v>
      </c>
      <c r="R5565" t="s">
        <v>44909</v>
      </c>
      <c r="S5565" t="s">
        <v>45060</v>
      </c>
      <c r="T5565" t="s">
        <v>46401</v>
      </c>
      <c r="U5565" t="s">
        <v>51433</v>
      </c>
      <c r="W5565" t="s">
        <v>42276</v>
      </c>
      <c r="X5565" t="s">
        <v>44910</v>
      </c>
    </row>
    <row r="5566" spans="1:24">
      <c r="A5566">
        <f>HYPERLINK("https://www.philgeps.gov.ph/GEPSNONPILOT/Tender/SplashBidNoticeAbstractUI.aspx?menuIndex=3&amp;refID=7076708&amp;Result=3","7076708")</f>
        <v>0</v>
      </c>
      <c r="B5566" t="s">
        <v>958</v>
      </c>
      <c r="C5566" t="s">
        <v>8838</v>
      </c>
      <c r="D5566" t="s">
        <v>18141</v>
      </c>
      <c r="E5566" t="s">
        <v>23166</v>
      </c>
      <c r="F5566" t="s">
        <v>31362</v>
      </c>
      <c r="G5566" t="s">
        <v>31370</v>
      </c>
      <c r="H5566" t="s">
        <v>15799</v>
      </c>
      <c r="I5566" t="s">
        <v>7719</v>
      </c>
      <c r="J5566" t="s">
        <v>31687</v>
      </c>
      <c r="K5566" t="s">
        <v>40665</v>
      </c>
      <c r="M5566" t="s">
        <v>41946</v>
      </c>
      <c r="N5566" t="s">
        <v>44905</v>
      </c>
      <c r="O5566" t="s">
        <v>44906</v>
      </c>
      <c r="P5566">
        <v>0</v>
      </c>
      <c r="Q5566">
        <v>6</v>
      </c>
      <c r="R5566" t="s">
        <v>44909</v>
      </c>
      <c r="S5566" t="s">
        <v>45060</v>
      </c>
      <c r="T5566" t="s">
        <v>46432</v>
      </c>
      <c r="U5566" t="s">
        <v>51455</v>
      </c>
      <c r="W5566" t="s">
        <v>41946</v>
      </c>
      <c r="X5566" t="s">
        <v>44910</v>
      </c>
    </row>
    <row r="5567" spans="1:24">
      <c r="A5567">
        <f>HYPERLINK("https://www.philgeps.gov.ph/GEPSNONPILOT/Tender/SplashBidNoticeAbstractUI.aspx?menuIndex=3&amp;refID=7076707&amp;Result=3","7076707")</f>
        <v>0</v>
      </c>
      <c r="B5567" t="s">
        <v>329</v>
      </c>
      <c r="C5567" t="s">
        <v>8839</v>
      </c>
      <c r="D5567" t="s">
        <v>18160</v>
      </c>
      <c r="E5567" t="s">
        <v>23167</v>
      </c>
      <c r="F5567" t="s">
        <v>31362</v>
      </c>
      <c r="G5567" t="s">
        <v>31371</v>
      </c>
      <c r="H5567" t="s">
        <v>15799</v>
      </c>
      <c r="I5567" t="s">
        <v>31406</v>
      </c>
      <c r="J5567" t="s">
        <v>33607</v>
      </c>
      <c r="K5567" t="s">
        <v>40662</v>
      </c>
      <c r="M5567" t="s">
        <v>41275</v>
      </c>
      <c r="N5567" t="s">
        <v>44905</v>
      </c>
      <c r="O5567" t="s">
        <v>44906</v>
      </c>
      <c r="P5567">
        <v>0</v>
      </c>
      <c r="Q5567">
        <v>5</v>
      </c>
      <c r="R5567" t="s">
        <v>44909</v>
      </c>
      <c r="S5567" t="s">
        <v>45060</v>
      </c>
      <c r="T5567" t="s">
        <v>46432</v>
      </c>
      <c r="U5567" t="s">
        <v>47482</v>
      </c>
      <c r="W5567" t="s">
        <v>41275</v>
      </c>
      <c r="X5567" t="s">
        <v>44910</v>
      </c>
    </row>
    <row r="5568" spans="1:24">
      <c r="A5568">
        <f>HYPERLINK("https://www.philgeps.gov.ph/GEPSNONPILOT/Tender/SplashBidNoticeAbstractUI.aspx?menuIndex=3&amp;refID=7076718&amp;Result=3","7076718")</f>
        <v>0</v>
      </c>
      <c r="B5568" t="s">
        <v>1147</v>
      </c>
      <c r="C5568" t="s">
        <v>8840</v>
      </c>
      <c r="D5568" t="s">
        <v>18119</v>
      </c>
      <c r="E5568" t="s">
        <v>23168</v>
      </c>
      <c r="F5568" t="s">
        <v>31362</v>
      </c>
      <c r="G5568" t="s">
        <v>31368</v>
      </c>
      <c r="H5568" t="s">
        <v>15799</v>
      </c>
      <c r="I5568" t="s">
        <v>31386</v>
      </c>
      <c r="J5568" t="s">
        <v>31951</v>
      </c>
      <c r="K5568" t="s">
        <v>40682</v>
      </c>
      <c r="M5568" t="s">
        <v>42156</v>
      </c>
      <c r="N5568" t="s">
        <v>44905</v>
      </c>
      <c r="O5568" t="s">
        <v>44906</v>
      </c>
      <c r="P5568">
        <v>0</v>
      </c>
      <c r="Q5568">
        <v>0</v>
      </c>
      <c r="R5568" t="s">
        <v>44909</v>
      </c>
      <c r="S5568" t="s">
        <v>45060</v>
      </c>
      <c r="T5568" t="s">
        <v>46409</v>
      </c>
      <c r="U5568" t="s">
        <v>51456</v>
      </c>
      <c r="V5568" t="s">
        <v>59592</v>
      </c>
      <c r="W5568" t="s">
        <v>42156</v>
      </c>
      <c r="X5568" t="s">
        <v>44910</v>
      </c>
    </row>
    <row r="5569" spans="1:24">
      <c r="A5569">
        <f>HYPERLINK("https://www.philgeps.gov.ph/GEPSNONPILOT/Tender/SplashBidNoticeAbstractUI.aspx?menuIndex=3&amp;refID=7076705&amp;Result=3","7076705")</f>
        <v>0</v>
      </c>
      <c r="B5569" t="s">
        <v>333</v>
      </c>
      <c r="C5569" t="s">
        <v>8841</v>
      </c>
      <c r="D5569" t="s">
        <v>18155</v>
      </c>
      <c r="E5569" t="s">
        <v>23169</v>
      </c>
      <c r="F5569" t="s">
        <v>31362</v>
      </c>
      <c r="G5569" t="s">
        <v>31371</v>
      </c>
      <c r="H5569" t="s">
        <v>15799</v>
      </c>
      <c r="I5569" t="s">
        <v>31383</v>
      </c>
      <c r="J5569" t="s">
        <v>35058</v>
      </c>
      <c r="K5569" t="s">
        <v>40661</v>
      </c>
      <c r="M5569" t="s">
        <v>41279</v>
      </c>
      <c r="N5569" t="s">
        <v>44905</v>
      </c>
      <c r="O5569" t="s">
        <v>44906</v>
      </c>
      <c r="P5569">
        <v>0</v>
      </c>
      <c r="Q5569">
        <v>1</v>
      </c>
      <c r="R5569" t="s">
        <v>44909</v>
      </c>
      <c r="S5569" t="s">
        <v>45060</v>
      </c>
      <c r="T5569" t="s">
        <v>46411</v>
      </c>
      <c r="U5569" t="s">
        <v>51457</v>
      </c>
      <c r="W5569" t="s">
        <v>60847</v>
      </c>
      <c r="X5569" t="s">
        <v>44910</v>
      </c>
    </row>
    <row r="5570" spans="1:24">
      <c r="A5570">
        <f>HYPERLINK("https://www.philgeps.gov.ph/GEPSNONPILOT/Tender/SplashBidNoticeAbstractUI.aspx?menuIndex=3&amp;refID=7076725&amp;Result=3","7076725")</f>
        <v>0</v>
      </c>
      <c r="B5570" t="s">
        <v>1816</v>
      </c>
      <c r="C5570" t="s">
        <v>8842</v>
      </c>
      <c r="D5570" t="s">
        <v>18141</v>
      </c>
      <c r="E5570" t="s">
        <v>23170</v>
      </c>
      <c r="F5570" t="s">
        <v>31362</v>
      </c>
      <c r="G5570" t="s">
        <v>31368</v>
      </c>
      <c r="H5570" t="s">
        <v>15799</v>
      </c>
      <c r="I5570" t="s">
        <v>31392</v>
      </c>
      <c r="J5570" t="s">
        <v>32754</v>
      </c>
      <c r="K5570" t="s">
        <v>40666</v>
      </c>
      <c r="M5570" t="s">
        <v>42899</v>
      </c>
      <c r="N5570" t="s">
        <v>44905</v>
      </c>
      <c r="O5570" t="s">
        <v>44906</v>
      </c>
      <c r="P5570">
        <v>0</v>
      </c>
      <c r="Q5570">
        <v>0</v>
      </c>
      <c r="R5570" t="s">
        <v>44909</v>
      </c>
      <c r="S5570" t="s">
        <v>45060</v>
      </c>
      <c r="T5570" t="s">
        <v>46411</v>
      </c>
      <c r="U5570" t="s">
        <v>51458</v>
      </c>
      <c r="W5570" t="s">
        <v>42899</v>
      </c>
      <c r="X5570" t="s">
        <v>44910</v>
      </c>
    </row>
    <row r="5571" spans="1:24">
      <c r="A5571">
        <f>HYPERLINK("https://www.philgeps.gov.ph/GEPSNONPILOT/Tender/SplashBidNoticeAbstractUI.aspx?menuIndex=3&amp;refID=7076716&amp;Result=3","7076716")</f>
        <v>0</v>
      </c>
      <c r="B5571" t="s">
        <v>244</v>
      </c>
      <c r="C5571" t="s">
        <v>8843</v>
      </c>
      <c r="D5571" t="s">
        <v>18106</v>
      </c>
      <c r="E5571" t="s">
        <v>23171</v>
      </c>
      <c r="F5571" t="s">
        <v>31362</v>
      </c>
      <c r="G5571" t="s">
        <v>31368</v>
      </c>
      <c r="H5571" t="s">
        <v>31379</v>
      </c>
      <c r="I5571" t="s">
        <v>6218</v>
      </c>
      <c r="J5571" t="s">
        <v>32165</v>
      </c>
      <c r="K5571" t="s">
        <v>40666</v>
      </c>
      <c r="L5571" t="s">
        <v>244</v>
      </c>
      <c r="M5571" t="s">
        <v>41183</v>
      </c>
      <c r="N5571" t="s">
        <v>44905</v>
      </c>
      <c r="O5571" t="s">
        <v>44906</v>
      </c>
      <c r="P5571">
        <v>0</v>
      </c>
      <c r="Q5571">
        <v>2</v>
      </c>
      <c r="R5571" t="s">
        <v>44909</v>
      </c>
      <c r="S5571" t="s">
        <v>45060</v>
      </c>
      <c r="T5571" t="s">
        <v>46478</v>
      </c>
      <c r="U5571" t="s">
        <v>47337</v>
      </c>
      <c r="W5571" t="s">
        <v>41183</v>
      </c>
      <c r="X5571" t="s">
        <v>44910</v>
      </c>
    </row>
    <row r="5572" spans="1:24">
      <c r="A5572">
        <f>HYPERLINK("https://www.philgeps.gov.ph/GEPSNONPILOT/Tender/SplashBidNoticeAbstractUI.aspx?menuIndex=3&amp;refID=7076751&amp;Result=3","7076751")</f>
        <v>0</v>
      </c>
      <c r="B5572" t="s">
        <v>1132</v>
      </c>
      <c r="C5572" t="s">
        <v>8844</v>
      </c>
      <c r="D5572" t="s">
        <v>18112</v>
      </c>
      <c r="E5572" t="s">
        <v>23172</v>
      </c>
      <c r="F5572" t="s">
        <v>31362</v>
      </c>
      <c r="G5572" t="s">
        <v>31368</v>
      </c>
      <c r="H5572" t="s">
        <v>15799</v>
      </c>
      <c r="I5572" t="s">
        <v>3815</v>
      </c>
      <c r="J5572" t="s">
        <v>33494</v>
      </c>
      <c r="K5572" t="s">
        <v>40670</v>
      </c>
      <c r="M5572" t="s">
        <v>42140</v>
      </c>
      <c r="N5572" t="s">
        <v>44905</v>
      </c>
      <c r="O5572" t="s">
        <v>44906</v>
      </c>
      <c r="P5572">
        <v>0</v>
      </c>
      <c r="Q5572">
        <v>0</v>
      </c>
      <c r="R5572" t="s">
        <v>44909</v>
      </c>
      <c r="S5572" t="s">
        <v>45060</v>
      </c>
      <c r="T5572" t="s">
        <v>46438</v>
      </c>
      <c r="U5572" t="s">
        <v>51459</v>
      </c>
      <c r="W5572" t="s">
        <v>42140</v>
      </c>
      <c r="X5572" t="s">
        <v>44910</v>
      </c>
    </row>
    <row r="5573" spans="1:24">
      <c r="A5573">
        <f>HYPERLINK("https://www.philgeps.gov.ph/GEPSNONPILOT/Tender/SplashBidNoticeAbstractUI.aspx?menuIndex=3&amp;refID=7076709&amp;Result=3","7076709")</f>
        <v>0</v>
      </c>
      <c r="B5573" t="s">
        <v>316</v>
      </c>
      <c r="C5573" t="s">
        <v>8845</v>
      </c>
      <c r="D5573" t="s">
        <v>18149</v>
      </c>
      <c r="E5573" t="s">
        <v>21210</v>
      </c>
      <c r="F5573" t="s">
        <v>31362</v>
      </c>
      <c r="G5573" t="s">
        <v>31368</v>
      </c>
      <c r="H5573" t="s">
        <v>15799</v>
      </c>
      <c r="I5573" t="s">
        <v>31404</v>
      </c>
      <c r="J5573" t="s">
        <v>32553</v>
      </c>
      <c r="K5573" t="s">
        <v>40672</v>
      </c>
      <c r="M5573" t="s">
        <v>42902</v>
      </c>
      <c r="N5573" t="s">
        <v>44905</v>
      </c>
      <c r="O5573" t="s">
        <v>44906</v>
      </c>
      <c r="P5573">
        <v>0</v>
      </c>
      <c r="Q5573">
        <v>0</v>
      </c>
      <c r="R5573" t="s">
        <v>44909</v>
      </c>
      <c r="S5573" t="s">
        <v>45060</v>
      </c>
      <c r="T5573" t="s">
        <v>46432</v>
      </c>
      <c r="U5573" t="s">
        <v>51460</v>
      </c>
      <c r="W5573" t="s">
        <v>42902</v>
      </c>
      <c r="X5573" t="s">
        <v>44910</v>
      </c>
    </row>
    <row r="5574" spans="1:24">
      <c r="A5574">
        <f>HYPERLINK("https://www.philgeps.gov.ph/GEPSNONPILOT/Tender/SplashBidNoticeAbstractUI.aspx?menuIndex=3&amp;refID=7076749&amp;Result=3","7076749")</f>
        <v>0</v>
      </c>
      <c r="B5574" t="s">
        <v>1260</v>
      </c>
      <c r="C5574" t="s">
        <v>8846</v>
      </c>
      <c r="D5574" t="s">
        <v>18142</v>
      </c>
      <c r="E5574" t="s">
        <v>23173</v>
      </c>
      <c r="F5574" t="s">
        <v>31362</v>
      </c>
      <c r="G5574" t="s">
        <v>31369</v>
      </c>
      <c r="H5574" t="s">
        <v>31378</v>
      </c>
      <c r="I5574" t="s">
        <v>31386</v>
      </c>
      <c r="J5574" t="s">
        <v>31578</v>
      </c>
      <c r="K5574" t="s">
        <v>40665</v>
      </c>
      <c r="M5574" t="s">
        <v>42276</v>
      </c>
      <c r="N5574" t="s">
        <v>44905</v>
      </c>
      <c r="O5574" t="s">
        <v>44906</v>
      </c>
      <c r="P5574">
        <v>0</v>
      </c>
      <c r="Q5574">
        <v>0</v>
      </c>
      <c r="R5574" t="s">
        <v>44909</v>
      </c>
      <c r="S5574" t="s">
        <v>45060</v>
      </c>
      <c r="T5574" t="s">
        <v>46401</v>
      </c>
      <c r="U5574" t="s">
        <v>51433</v>
      </c>
      <c r="W5574" t="s">
        <v>42276</v>
      </c>
      <c r="X5574" t="s">
        <v>44910</v>
      </c>
    </row>
    <row r="5575" spans="1:24">
      <c r="A5575">
        <f>HYPERLINK("https://www.philgeps.gov.ph/GEPSNONPILOT/Tender/SplashBidNoticeAbstractUI.aspx?menuIndex=3&amp;refID=7076658&amp;Result=3","7076658")</f>
        <v>0</v>
      </c>
      <c r="B5575" t="s">
        <v>1819</v>
      </c>
      <c r="C5575" t="s">
        <v>8847</v>
      </c>
      <c r="D5575" t="s">
        <v>18101</v>
      </c>
      <c r="E5575" t="s">
        <v>23174</v>
      </c>
      <c r="F5575" t="s">
        <v>31362</v>
      </c>
      <c r="G5575" t="s">
        <v>31369</v>
      </c>
      <c r="H5575" t="s">
        <v>31378</v>
      </c>
      <c r="I5575" t="s">
        <v>31386</v>
      </c>
      <c r="J5575" t="s">
        <v>35059</v>
      </c>
      <c r="K5575" t="s">
        <v>40677</v>
      </c>
      <c r="M5575" t="s">
        <v>42903</v>
      </c>
      <c r="N5575" t="s">
        <v>44905</v>
      </c>
      <c r="O5575" t="s">
        <v>44906</v>
      </c>
      <c r="P5575">
        <v>0</v>
      </c>
      <c r="Q5575">
        <v>0</v>
      </c>
      <c r="R5575" t="s">
        <v>44909</v>
      </c>
      <c r="S5575" t="s">
        <v>45060</v>
      </c>
      <c r="T5575" t="s">
        <v>46440</v>
      </c>
      <c r="U5575" t="s">
        <v>51461</v>
      </c>
      <c r="W5575" t="s">
        <v>42903</v>
      </c>
      <c r="X5575" t="s">
        <v>44910</v>
      </c>
    </row>
    <row r="5576" spans="1:24">
      <c r="A5576">
        <f>HYPERLINK("https://www.philgeps.gov.ph/GEPSNONPILOT/Tender/SplashBidNoticeAbstractUI.aspx?menuIndex=3&amp;refID=7076706&amp;Result=3","7076706")</f>
        <v>0</v>
      </c>
      <c r="B5576" t="s">
        <v>303</v>
      </c>
      <c r="C5576" t="s">
        <v>8848</v>
      </c>
      <c r="D5576" t="s">
        <v>18121</v>
      </c>
      <c r="E5576" t="s">
        <v>23175</v>
      </c>
      <c r="F5576" t="s">
        <v>31362</v>
      </c>
      <c r="G5576" t="s">
        <v>31370</v>
      </c>
      <c r="H5576" t="s">
        <v>15799</v>
      </c>
      <c r="I5576" t="s">
        <v>31380</v>
      </c>
      <c r="J5576" t="s">
        <v>32739</v>
      </c>
      <c r="K5576" t="s">
        <v>40665</v>
      </c>
      <c r="M5576" t="s">
        <v>41247</v>
      </c>
      <c r="N5576" t="s">
        <v>44905</v>
      </c>
      <c r="O5576" t="s">
        <v>44906</v>
      </c>
      <c r="P5576">
        <v>0</v>
      </c>
      <c r="Q5576">
        <v>4</v>
      </c>
      <c r="R5576" t="s">
        <v>44909</v>
      </c>
      <c r="S5576" t="s">
        <v>45060</v>
      </c>
      <c r="T5576" t="s">
        <v>46409</v>
      </c>
      <c r="U5576" t="s">
        <v>51462</v>
      </c>
      <c r="W5576" t="s">
        <v>41247</v>
      </c>
      <c r="X5576" t="s">
        <v>44910</v>
      </c>
    </row>
    <row r="5577" spans="1:24">
      <c r="A5577">
        <f>HYPERLINK("https://www.philgeps.gov.ph/GEPSNONPILOT/Tender/SplashBidNoticeAbstractUI.aspx?menuIndex=3&amp;refID=7076747&amp;Result=3","7076747")</f>
        <v>0</v>
      </c>
      <c r="B5577" t="s">
        <v>1820</v>
      </c>
      <c r="C5577" t="s">
        <v>8849</v>
      </c>
      <c r="D5577" t="s">
        <v>18106</v>
      </c>
      <c r="E5577" t="s">
        <v>23176</v>
      </c>
      <c r="F5577" t="s">
        <v>31362</v>
      </c>
      <c r="G5577" t="s">
        <v>31369</v>
      </c>
      <c r="H5577" t="s">
        <v>31378</v>
      </c>
      <c r="I5577" t="s">
        <v>3815</v>
      </c>
      <c r="J5577" t="s">
        <v>31536</v>
      </c>
      <c r="K5577" t="s">
        <v>40661</v>
      </c>
      <c r="M5577" t="s">
        <v>42904</v>
      </c>
      <c r="N5577" t="s">
        <v>44905</v>
      </c>
      <c r="O5577" t="s">
        <v>44906</v>
      </c>
      <c r="P5577">
        <v>0</v>
      </c>
      <c r="Q5577">
        <v>0</v>
      </c>
      <c r="R5577" t="s">
        <v>44909</v>
      </c>
      <c r="S5577" t="s">
        <v>45060</v>
      </c>
      <c r="T5577" t="s">
        <v>46412</v>
      </c>
      <c r="U5577" t="s">
        <v>51463</v>
      </c>
      <c r="W5577" t="s">
        <v>42904</v>
      </c>
      <c r="X5577" t="s">
        <v>44910</v>
      </c>
    </row>
    <row r="5578" spans="1:24">
      <c r="A5578">
        <f>HYPERLINK("https://www.philgeps.gov.ph/GEPSNONPILOT/Tender/SplashBidNoticeAbstractUI.aspx?menuIndex=3&amp;refID=7076746&amp;Result=3","7076746")</f>
        <v>0</v>
      </c>
      <c r="B5578" t="s">
        <v>679</v>
      </c>
      <c r="C5578" t="s">
        <v>8850</v>
      </c>
      <c r="D5578" t="s">
        <v>18148</v>
      </c>
      <c r="E5578" t="s">
        <v>23177</v>
      </c>
      <c r="F5578" t="s">
        <v>31362</v>
      </c>
      <c r="G5578" t="s">
        <v>31370</v>
      </c>
      <c r="H5578" t="s">
        <v>15799</v>
      </c>
      <c r="I5578" t="s">
        <v>31387</v>
      </c>
      <c r="J5578" t="s">
        <v>34473</v>
      </c>
      <c r="K5578" t="s">
        <v>40662</v>
      </c>
      <c r="M5578" t="s">
        <v>41641</v>
      </c>
      <c r="N5578" t="s">
        <v>44905</v>
      </c>
      <c r="O5578" t="s">
        <v>44906</v>
      </c>
      <c r="P5578">
        <v>0</v>
      </c>
      <c r="Q5578">
        <v>0</v>
      </c>
      <c r="R5578" t="s">
        <v>44909</v>
      </c>
      <c r="S5578" t="s">
        <v>45060</v>
      </c>
      <c r="T5578" t="s">
        <v>46409</v>
      </c>
      <c r="U5578" t="s">
        <v>51464</v>
      </c>
      <c r="W5578" t="s">
        <v>41641</v>
      </c>
      <c r="X5578" t="s">
        <v>44910</v>
      </c>
    </row>
    <row r="5579" spans="1:24">
      <c r="A5579">
        <f>HYPERLINK("https://www.philgeps.gov.ph/GEPSNONPILOT/Tender/SplashBidNoticeAbstractUI.aspx?menuIndex=3&amp;refID=7076738&amp;Result=3","7076738")</f>
        <v>0</v>
      </c>
      <c r="B5579" t="s">
        <v>1792</v>
      </c>
      <c r="C5579" t="s">
        <v>8851</v>
      </c>
      <c r="D5579" t="s">
        <v>18135</v>
      </c>
      <c r="E5579" t="s">
        <v>23178</v>
      </c>
      <c r="F5579" t="s">
        <v>31362</v>
      </c>
      <c r="G5579" t="s">
        <v>31368</v>
      </c>
      <c r="H5579" t="s">
        <v>15799</v>
      </c>
      <c r="I5579" t="s">
        <v>31387</v>
      </c>
      <c r="J5579" t="s">
        <v>35060</v>
      </c>
      <c r="K5579" t="s">
        <v>40661</v>
      </c>
      <c r="M5579" t="s">
        <v>42874</v>
      </c>
      <c r="N5579" t="s">
        <v>44905</v>
      </c>
      <c r="O5579" t="s">
        <v>44906</v>
      </c>
      <c r="P5579">
        <v>0</v>
      </c>
      <c r="Q5579">
        <v>0</v>
      </c>
      <c r="R5579" t="s">
        <v>44909</v>
      </c>
      <c r="S5579" t="s">
        <v>45060</v>
      </c>
      <c r="T5579" t="s">
        <v>46503</v>
      </c>
      <c r="U5579" t="s">
        <v>51386</v>
      </c>
      <c r="W5579" t="s">
        <v>42874</v>
      </c>
      <c r="X5579" t="s">
        <v>44910</v>
      </c>
    </row>
    <row r="5580" spans="1:24">
      <c r="A5580">
        <f>HYPERLINK("https://www.philgeps.gov.ph/GEPSNONPILOT/Tender/SplashBidNoticeAbstractUI.aspx?menuIndex=3&amp;refID=7076744&amp;Result=3","7076744")</f>
        <v>0</v>
      </c>
      <c r="B5580" t="s">
        <v>1562</v>
      </c>
      <c r="C5580" t="s">
        <v>8852</v>
      </c>
      <c r="D5580" t="s">
        <v>18140</v>
      </c>
      <c r="E5580" t="s">
        <v>23179</v>
      </c>
      <c r="F5580" t="s">
        <v>31362</v>
      </c>
      <c r="G5580" t="s">
        <v>31369</v>
      </c>
      <c r="H5580" t="s">
        <v>31377</v>
      </c>
      <c r="I5580" t="s">
        <v>31377</v>
      </c>
      <c r="J5580" t="s">
        <v>35061</v>
      </c>
      <c r="K5580" t="s">
        <v>40711</v>
      </c>
      <c r="M5580" t="s">
        <v>42614</v>
      </c>
      <c r="N5580" t="s">
        <v>44905</v>
      </c>
      <c r="O5580" t="s">
        <v>44906</v>
      </c>
      <c r="P5580">
        <v>0</v>
      </c>
      <c r="Q5580">
        <v>2</v>
      </c>
      <c r="R5580" t="s">
        <v>44909</v>
      </c>
      <c r="S5580" t="s">
        <v>45060</v>
      </c>
      <c r="T5580" t="s">
        <v>46435</v>
      </c>
      <c r="U5580" t="s">
        <v>51465</v>
      </c>
      <c r="W5580" t="s">
        <v>42614</v>
      </c>
      <c r="X5580" t="s">
        <v>44910</v>
      </c>
    </row>
    <row r="5581" spans="1:24">
      <c r="A5581">
        <f>HYPERLINK("https://www.philgeps.gov.ph/GEPSNONPILOT/Tender/SplashBidNoticeAbstractUI.aspx?menuIndex=3&amp;refID=7076659&amp;Result=3","7076659")</f>
        <v>0</v>
      </c>
      <c r="B5581" t="s">
        <v>1741</v>
      </c>
      <c r="C5581" t="s">
        <v>8853</v>
      </c>
      <c r="D5581" t="s">
        <v>18123</v>
      </c>
      <c r="E5581" t="s">
        <v>23180</v>
      </c>
      <c r="F5581" t="s">
        <v>31362</v>
      </c>
      <c r="G5581" t="s">
        <v>31368</v>
      </c>
      <c r="H5581" t="s">
        <v>15799</v>
      </c>
      <c r="I5581" t="s">
        <v>31460</v>
      </c>
      <c r="J5581" t="s">
        <v>35062</v>
      </c>
      <c r="K5581" t="s">
        <v>40666</v>
      </c>
      <c r="M5581" t="s">
        <v>42853</v>
      </c>
      <c r="N5581" t="s">
        <v>44905</v>
      </c>
      <c r="O5581" t="s">
        <v>44906</v>
      </c>
      <c r="P5581">
        <v>0</v>
      </c>
      <c r="Q5581">
        <v>2</v>
      </c>
      <c r="R5581" t="s">
        <v>44909</v>
      </c>
      <c r="S5581" t="s">
        <v>45060</v>
      </c>
      <c r="T5581" t="s">
        <v>46409</v>
      </c>
      <c r="U5581" t="s">
        <v>51466</v>
      </c>
      <c r="W5581" t="s">
        <v>60912</v>
      </c>
      <c r="X5581" t="s">
        <v>44910</v>
      </c>
    </row>
    <row r="5582" spans="1:24">
      <c r="A5582">
        <f>HYPERLINK("https://www.philgeps.gov.ph/GEPSNONPILOT/Tender/SplashBidNoticeAbstractUI.aspx?menuIndex=3&amp;refID=7076735&amp;Result=3","7076735")</f>
        <v>0</v>
      </c>
      <c r="B5582" t="s">
        <v>1648</v>
      </c>
      <c r="C5582" t="s">
        <v>8854</v>
      </c>
      <c r="D5582" t="s">
        <v>18104</v>
      </c>
      <c r="E5582" t="s">
        <v>23181</v>
      </c>
      <c r="F5582" t="s">
        <v>31362</v>
      </c>
      <c r="G5582" t="s">
        <v>31368</v>
      </c>
      <c r="H5582" t="s">
        <v>15799</v>
      </c>
      <c r="I5582" t="s">
        <v>31494</v>
      </c>
      <c r="J5582" t="s">
        <v>31668</v>
      </c>
      <c r="K5582" t="s">
        <v>40662</v>
      </c>
      <c r="M5582" t="s">
        <v>42713</v>
      </c>
      <c r="N5582" t="s">
        <v>44905</v>
      </c>
      <c r="O5582" t="s">
        <v>44906</v>
      </c>
      <c r="P5582">
        <v>0</v>
      </c>
      <c r="Q5582">
        <v>1</v>
      </c>
      <c r="R5582" t="s">
        <v>44909</v>
      </c>
      <c r="S5582" t="s">
        <v>45060</v>
      </c>
      <c r="T5582" t="s">
        <v>46414</v>
      </c>
      <c r="U5582" t="s">
        <v>51467</v>
      </c>
      <c r="W5582" t="s">
        <v>42713</v>
      </c>
      <c r="X5582" t="s">
        <v>44910</v>
      </c>
    </row>
    <row r="5583" spans="1:24">
      <c r="A5583">
        <f>HYPERLINK("https://www.philgeps.gov.ph/GEPSNONPILOT/Tender/SplashBidNoticeAbstractUI.aspx?menuIndex=3&amp;refID=7076733&amp;Result=3","7076733")</f>
        <v>0</v>
      </c>
      <c r="B5583" t="s">
        <v>732</v>
      </c>
      <c r="C5583" t="s">
        <v>8855</v>
      </c>
      <c r="D5583" t="s">
        <v>18125</v>
      </c>
      <c r="E5583" t="s">
        <v>23182</v>
      </c>
      <c r="F5583" t="s">
        <v>31362</v>
      </c>
      <c r="G5583" t="s">
        <v>31368</v>
      </c>
      <c r="H5583" t="s">
        <v>15799</v>
      </c>
      <c r="I5583" t="s">
        <v>31388</v>
      </c>
      <c r="J5583" t="s">
        <v>31536</v>
      </c>
      <c r="K5583" t="s">
        <v>40675</v>
      </c>
      <c r="M5583" t="s">
        <v>41699</v>
      </c>
      <c r="N5583" t="s">
        <v>44905</v>
      </c>
      <c r="O5583" t="s">
        <v>44906</v>
      </c>
      <c r="P5583">
        <v>0</v>
      </c>
      <c r="Q5583">
        <v>2</v>
      </c>
      <c r="R5583" t="s">
        <v>44909</v>
      </c>
      <c r="S5583" t="s">
        <v>45060</v>
      </c>
      <c r="T5583" t="s">
        <v>46561</v>
      </c>
      <c r="U5583" t="s">
        <v>51468</v>
      </c>
      <c r="W5583" t="s">
        <v>41699</v>
      </c>
      <c r="X5583" t="s">
        <v>44910</v>
      </c>
    </row>
    <row r="5584" spans="1:24">
      <c r="A5584">
        <f>HYPERLINK("https://www.philgeps.gov.ph/GEPSNONPILOT/Tender/SplashBidNoticeAbstractUI.aspx?menuIndex=3&amp;refID=7076743&amp;Result=3","7076743")</f>
        <v>0</v>
      </c>
      <c r="B5584" t="s">
        <v>1093</v>
      </c>
      <c r="C5584" t="s">
        <v>8856</v>
      </c>
      <c r="D5584" t="s">
        <v>18156</v>
      </c>
      <c r="E5584" t="s">
        <v>23183</v>
      </c>
      <c r="F5584" t="s">
        <v>31362</v>
      </c>
      <c r="G5584" t="s">
        <v>31369</v>
      </c>
      <c r="H5584" t="s">
        <v>15799</v>
      </c>
      <c r="I5584" t="s">
        <v>31385</v>
      </c>
      <c r="J5584" t="s">
        <v>35063</v>
      </c>
      <c r="K5584" t="s">
        <v>40666</v>
      </c>
      <c r="M5584" t="s">
        <v>42098</v>
      </c>
      <c r="N5584" t="s">
        <v>44905</v>
      </c>
      <c r="O5584" t="s">
        <v>44906</v>
      </c>
      <c r="P5584">
        <v>0</v>
      </c>
      <c r="Q5584">
        <v>2</v>
      </c>
      <c r="R5584" t="s">
        <v>44909</v>
      </c>
      <c r="S5584" t="s">
        <v>45060</v>
      </c>
      <c r="T5584" t="s">
        <v>46480</v>
      </c>
      <c r="U5584" t="s">
        <v>47749</v>
      </c>
      <c r="W5584" t="s">
        <v>42098</v>
      </c>
      <c r="X5584" t="s">
        <v>44910</v>
      </c>
    </row>
    <row r="5585" spans="1:24">
      <c r="A5585">
        <f>HYPERLINK("https://www.philgeps.gov.ph/GEPSNONPILOT/Tender/SplashBidNoticeAbstractUI.aspx?menuIndex=3&amp;refID=7076731&amp;Result=3","7076731")</f>
        <v>0</v>
      </c>
      <c r="B5585" t="s">
        <v>1821</v>
      </c>
      <c r="C5585" t="s">
        <v>8857</v>
      </c>
      <c r="D5585" t="s">
        <v>18107</v>
      </c>
      <c r="E5585" t="s">
        <v>23184</v>
      </c>
      <c r="F5585" t="s">
        <v>31362</v>
      </c>
      <c r="G5585" t="s">
        <v>31370</v>
      </c>
      <c r="H5585" t="s">
        <v>15799</v>
      </c>
      <c r="I5585" t="s">
        <v>7188</v>
      </c>
      <c r="J5585" t="s">
        <v>31530</v>
      </c>
      <c r="K5585" t="s">
        <v>40666</v>
      </c>
      <c r="M5585" t="s">
        <v>42905</v>
      </c>
      <c r="N5585" t="s">
        <v>44905</v>
      </c>
      <c r="O5585" t="s">
        <v>44906</v>
      </c>
      <c r="P5585">
        <v>0</v>
      </c>
      <c r="Q5585">
        <v>0</v>
      </c>
      <c r="R5585" t="s">
        <v>44909</v>
      </c>
      <c r="S5585" t="s">
        <v>45060</v>
      </c>
      <c r="T5585" t="s">
        <v>46425</v>
      </c>
      <c r="U5585" t="s">
        <v>51469</v>
      </c>
      <c r="W5585" t="s">
        <v>42905</v>
      </c>
      <c r="X5585" t="s">
        <v>44910</v>
      </c>
    </row>
    <row r="5586" spans="1:24">
      <c r="A5586">
        <f>HYPERLINK("https://www.philgeps.gov.ph/GEPSNONPILOT/Tender/SplashBidNoticeAbstractUI.aspx?menuIndex=3&amp;refID=7076737&amp;Result=3","7076737")</f>
        <v>0</v>
      </c>
      <c r="B5586" t="s">
        <v>117</v>
      </c>
      <c r="C5586" t="s">
        <v>8858</v>
      </c>
      <c r="D5586" t="s">
        <v>18104</v>
      </c>
      <c r="E5586" t="s">
        <v>23185</v>
      </c>
      <c r="F5586" t="s">
        <v>31362</v>
      </c>
      <c r="G5586" t="s">
        <v>31369</v>
      </c>
      <c r="H5586" t="s">
        <v>31378</v>
      </c>
      <c r="I5586" t="s">
        <v>31386</v>
      </c>
      <c r="J5586" t="s">
        <v>35064</v>
      </c>
      <c r="K5586" t="s">
        <v>40662</v>
      </c>
      <c r="M5586" t="s">
        <v>42279</v>
      </c>
      <c r="N5586" t="s">
        <v>44905</v>
      </c>
      <c r="O5586" t="s">
        <v>44906</v>
      </c>
      <c r="P5586">
        <v>0</v>
      </c>
      <c r="Q5586">
        <v>5</v>
      </c>
      <c r="R5586" t="s">
        <v>44909</v>
      </c>
      <c r="S5586" t="s">
        <v>45060</v>
      </c>
      <c r="T5586" t="s">
        <v>46461</v>
      </c>
      <c r="U5586" t="s">
        <v>51470</v>
      </c>
      <c r="W5586" t="s">
        <v>42279</v>
      </c>
      <c r="X5586" t="s">
        <v>44910</v>
      </c>
    </row>
    <row r="5587" spans="1:24">
      <c r="A5587">
        <f>HYPERLINK("https://www.philgeps.gov.ph/GEPSNONPILOT/Tender/SplashBidNoticeAbstractUI.aspx?menuIndex=3&amp;refID=7076728&amp;Result=3","7076728")</f>
        <v>0</v>
      </c>
      <c r="B5587" t="s">
        <v>1260</v>
      </c>
      <c r="C5587" t="s">
        <v>8859</v>
      </c>
      <c r="D5587" t="s">
        <v>18142</v>
      </c>
      <c r="E5587" t="s">
        <v>23186</v>
      </c>
      <c r="F5587" t="s">
        <v>31362</v>
      </c>
      <c r="G5587" t="s">
        <v>31369</v>
      </c>
      <c r="H5587" t="s">
        <v>31378</v>
      </c>
      <c r="I5587" t="s">
        <v>31386</v>
      </c>
      <c r="J5587" t="s">
        <v>31578</v>
      </c>
      <c r="K5587" t="s">
        <v>40665</v>
      </c>
      <c r="M5587" t="s">
        <v>42276</v>
      </c>
      <c r="N5587" t="s">
        <v>44905</v>
      </c>
      <c r="O5587" t="s">
        <v>44906</v>
      </c>
      <c r="P5587">
        <v>0</v>
      </c>
      <c r="Q5587">
        <v>0</v>
      </c>
      <c r="R5587" t="s">
        <v>44909</v>
      </c>
      <c r="S5587" t="s">
        <v>45060</v>
      </c>
      <c r="T5587" t="s">
        <v>46401</v>
      </c>
      <c r="U5587" t="s">
        <v>51433</v>
      </c>
      <c r="W5587" t="s">
        <v>42276</v>
      </c>
      <c r="X5587" t="s">
        <v>44910</v>
      </c>
    </row>
    <row r="5588" spans="1:24">
      <c r="A5588">
        <f>HYPERLINK("https://www.philgeps.gov.ph/GEPSNONPILOT/Tender/SplashBidNoticeAbstractUI.aspx?menuIndex=3&amp;refID=7076726&amp;Result=3","7076726")</f>
        <v>0</v>
      </c>
      <c r="B5588" t="s">
        <v>119</v>
      </c>
      <c r="C5588" t="s">
        <v>8860</v>
      </c>
      <c r="D5588" t="s">
        <v>18108</v>
      </c>
      <c r="E5588" t="s">
        <v>23187</v>
      </c>
      <c r="F5588" t="s">
        <v>31362</v>
      </c>
      <c r="G5588" t="s">
        <v>31368</v>
      </c>
      <c r="H5588" t="s">
        <v>15799</v>
      </c>
      <c r="I5588" t="s">
        <v>31396</v>
      </c>
      <c r="J5588" t="s">
        <v>33118</v>
      </c>
      <c r="K5588" t="s">
        <v>40661</v>
      </c>
      <c r="M5588" t="s">
        <v>41056</v>
      </c>
      <c r="N5588" t="s">
        <v>44905</v>
      </c>
      <c r="O5588" t="s">
        <v>44906</v>
      </c>
      <c r="P5588">
        <v>0</v>
      </c>
      <c r="Q5588">
        <v>2</v>
      </c>
      <c r="R5588" t="s">
        <v>44909</v>
      </c>
      <c r="S5588" t="s">
        <v>45060</v>
      </c>
      <c r="T5588" t="s">
        <v>46497</v>
      </c>
      <c r="U5588" t="s">
        <v>51471</v>
      </c>
      <c r="W5588" t="s">
        <v>41056</v>
      </c>
      <c r="X5588" t="s">
        <v>44910</v>
      </c>
    </row>
    <row r="5589" spans="1:24">
      <c r="A5589">
        <f>HYPERLINK("https://www.philgeps.gov.ph/GEPSNONPILOT/Tender/SplashBidNoticeAbstractUI.aspx?menuIndex=3&amp;refID=7076704&amp;Result=3","7076704")</f>
        <v>0</v>
      </c>
      <c r="B5589" t="s">
        <v>1822</v>
      </c>
      <c r="C5589" t="s">
        <v>8861</v>
      </c>
      <c r="D5589" t="s">
        <v>18131</v>
      </c>
      <c r="E5589" t="s">
        <v>23188</v>
      </c>
      <c r="F5589" t="s">
        <v>31362</v>
      </c>
      <c r="G5589" t="s">
        <v>31369</v>
      </c>
      <c r="H5589" t="s">
        <v>31377</v>
      </c>
      <c r="I5589" t="s">
        <v>31412</v>
      </c>
      <c r="J5589" t="s">
        <v>35065</v>
      </c>
      <c r="K5589" t="s">
        <v>40679</v>
      </c>
      <c r="M5589" t="s">
        <v>42906</v>
      </c>
      <c r="N5589" t="s">
        <v>44905</v>
      </c>
      <c r="O5589" t="s">
        <v>44906</v>
      </c>
      <c r="P5589">
        <v>0</v>
      </c>
      <c r="Q5589">
        <v>1</v>
      </c>
      <c r="R5589" t="s">
        <v>44909</v>
      </c>
      <c r="S5589" t="s">
        <v>45060</v>
      </c>
      <c r="T5589" t="s">
        <v>46521</v>
      </c>
      <c r="U5589" t="s">
        <v>51472</v>
      </c>
      <c r="V5589" t="s">
        <v>59593</v>
      </c>
      <c r="W5589" t="s">
        <v>42906</v>
      </c>
      <c r="X5589" t="s">
        <v>44910</v>
      </c>
    </row>
    <row r="5590" spans="1:24">
      <c r="A5590">
        <f>HYPERLINK("https://www.philgeps.gov.ph/GEPSNONPILOT/Tender/SplashBidNoticeAbstractUI.aspx?menuIndex=3&amp;refID=7076660&amp;Result=3","7076660")</f>
        <v>0</v>
      </c>
      <c r="B5590" t="s">
        <v>1074</v>
      </c>
      <c r="C5590" t="s">
        <v>8862</v>
      </c>
      <c r="D5590" t="s">
        <v>18178</v>
      </c>
      <c r="E5590" t="s">
        <v>23189</v>
      </c>
      <c r="F5590" t="s">
        <v>31362</v>
      </c>
      <c r="G5590" t="s">
        <v>31376</v>
      </c>
      <c r="H5590" t="s">
        <v>31377</v>
      </c>
      <c r="I5590" t="s">
        <v>31377</v>
      </c>
      <c r="J5590" t="s">
        <v>35066</v>
      </c>
      <c r="K5590" t="s">
        <v>40682</v>
      </c>
      <c r="M5590" t="s">
        <v>42076</v>
      </c>
      <c r="N5590" t="s">
        <v>44905</v>
      </c>
      <c r="O5590" t="s">
        <v>44906</v>
      </c>
      <c r="P5590">
        <v>0</v>
      </c>
      <c r="Q5590">
        <v>5</v>
      </c>
      <c r="R5590" t="s">
        <v>44909</v>
      </c>
      <c r="S5590" t="s">
        <v>45060</v>
      </c>
      <c r="T5590" t="s">
        <v>46435</v>
      </c>
      <c r="U5590" t="s">
        <v>51473</v>
      </c>
      <c r="V5590" t="s">
        <v>59594</v>
      </c>
      <c r="W5590" t="s">
        <v>42076</v>
      </c>
      <c r="X5590" t="s">
        <v>44910</v>
      </c>
    </row>
    <row r="5591" spans="1:24">
      <c r="A5591">
        <f>HYPERLINK("https://www.philgeps.gov.ph/GEPSNONPILOT/Tender/SplashBidNoticeAbstractUI.aspx?menuIndex=3&amp;refID=7076703&amp;Result=3","7076703")</f>
        <v>0</v>
      </c>
      <c r="B5591" t="s">
        <v>1823</v>
      </c>
      <c r="C5591" t="s">
        <v>8863</v>
      </c>
      <c r="D5591" t="s">
        <v>18170</v>
      </c>
      <c r="E5591" t="s">
        <v>21658</v>
      </c>
      <c r="F5591" t="s">
        <v>31362</v>
      </c>
      <c r="G5591" t="s">
        <v>31369</v>
      </c>
      <c r="H5591" t="s">
        <v>15799</v>
      </c>
      <c r="I5591" t="s">
        <v>31409</v>
      </c>
      <c r="J5591" t="s">
        <v>31543</v>
      </c>
      <c r="K5591" t="s">
        <v>40662</v>
      </c>
      <c r="M5591" t="s">
        <v>42907</v>
      </c>
      <c r="N5591" t="s">
        <v>44905</v>
      </c>
      <c r="O5591" t="s">
        <v>44906</v>
      </c>
      <c r="P5591">
        <v>0</v>
      </c>
      <c r="Q5591">
        <v>0</v>
      </c>
      <c r="R5591" t="s">
        <v>44909</v>
      </c>
      <c r="S5591" t="s">
        <v>45060</v>
      </c>
      <c r="T5591" t="s">
        <v>46412</v>
      </c>
      <c r="U5591" t="s">
        <v>51474</v>
      </c>
      <c r="W5591" t="s">
        <v>42907</v>
      </c>
      <c r="X5591" t="s">
        <v>44910</v>
      </c>
    </row>
    <row r="5592" spans="1:24">
      <c r="A5592">
        <f>HYPERLINK("https://www.philgeps.gov.ph/GEPSNONPILOT/Tender/SplashBidNoticeAbstractUI.aspx?menuIndex=3&amp;refID=7076729&amp;Result=3","7076729")</f>
        <v>0</v>
      </c>
      <c r="B5592" t="s">
        <v>1769</v>
      </c>
      <c r="C5592" t="s">
        <v>8864</v>
      </c>
      <c r="D5592" t="s">
        <v>18107</v>
      </c>
      <c r="E5592" t="s">
        <v>20877</v>
      </c>
      <c r="F5592" t="s">
        <v>31362</v>
      </c>
      <c r="G5592" t="s">
        <v>31368</v>
      </c>
      <c r="H5592" t="s">
        <v>15799</v>
      </c>
      <c r="I5592" t="s">
        <v>31422</v>
      </c>
      <c r="J5592" t="s">
        <v>32141</v>
      </c>
      <c r="K5592" t="s">
        <v>40677</v>
      </c>
      <c r="M5592" t="s">
        <v>42847</v>
      </c>
      <c r="N5592" t="s">
        <v>44905</v>
      </c>
      <c r="O5592" t="s">
        <v>44906</v>
      </c>
      <c r="P5592">
        <v>0</v>
      </c>
      <c r="Q5592">
        <v>2</v>
      </c>
      <c r="R5592" t="s">
        <v>44909</v>
      </c>
      <c r="S5592" t="s">
        <v>45060</v>
      </c>
      <c r="T5592" t="s">
        <v>46406</v>
      </c>
      <c r="U5592" t="s">
        <v>51343</v>
      </c>
      <c r="W5592" t="s">
        <v>42847</v>
      </c>
      <c r="X5592" t="s">
        <v>44910</v>
      </c>
    </row>
    <row r="5593" spans="1:24">
      <c r="A5593">
        <f>HYPERLINK("https://www.philgeps.gov.ph/GEPSNONPILOT/Tender/SplashBidNoticeAbstractUI.aspx?menuIndex=3&amp;refID=7076702&amp;Result=3","7076702")</f>
        <v>0</v>
      </c>
      <c r="B5593" t="s">
        <v>1774</v>
      </c>
      <c r="C5593" t="s">
        <v>8865</v>
      </c>
      <c r="D5593" t="s">
        <v>18112</v>
      </c>
      <c r="E5593" t="s">
        <v>23147</v>
      </c>
      <c r="F5593" t="s">
        <v>31362</v>
      </c>
      <c r="G5593" t="s">
        <v>31368</v>
      </c>
      <c r="H5593" t="s">
        <v>15799</v>
      </c>
      <c r="I5593" t="s">
        <v>4942</v>
      </c>
      <c r="J5593" t="s">
        <v>35067</v>
      </c>
      <c r="K5593" t="s">
        <v>40662</v>
      </c>
      <c r="M5593" t="s">
        <v>42852</v>
      </c>
      <c r="N5593" t="s">
        <v>44905</v>
      </c>
      <c r="O5593" t="s">
        <v>44906</v>
      </c>
      <c r="P5593">
        <v>0</v>
      </c>
      <c r="Q5593">
        <v>0</v>
      </c>
      <c r="R5593" t="s">
        <v>44909</v>
      </c>
      <c r="S5593" t="s">
        <v>45060</v>
      </c>
      <c r="T5593" t="s">
        <v>46414</v>
      </c>
      <c r="U5593" t="s">
        <v>51475</v>
      </c>
      <c r="V5593" t="s">
        <v>59595</v>
      </c>
      <c r="W5593" t="s">
        <v>42852</v>
      </c>
      <c r="X5593" t="s">
        <v>44910</v>
      </c>
    </row>
    <row r="5594" spans="1:24">
      <c r="A5594">
        <f>HYPERLINK("https://www.philgeps.gov.ph/GEPSNONPILOT/Tender/SplashBidNoticeAbstractUI.aspx?menuIndex=3&amp;refID=7076727&amp;Result=3","7076727")</f>
        <v>0</v>
      </c>
      <c r="B5594" t="s">
        <v>1824</v>
      </c>
      <c r="C5594" t="s">
        <v>8866</v>
      </c>
      <c r="D5594" t="s">
        <v>18101</v>
      </c>
      <c r="E5594" t="s">
        <v>23190</v>
      </c>
      <c r="F5594" t="s">
        <v>31362</v>
      </c>
      <c r="G5594" t="s">
        <v>31369</v>
      </c>
      <c r="H5594" t="s">
        <v>31378</v>
      </c>
      <c r="I5594" t="s">
        <v>31386</v>
      </c>
      <c r="J5594" t="s">
        <v>34081</v>
      </c>
      <c r="K5594" t="s">
        <v>40679</v>
      </c>
      <c r="M5594" t="s">
        <v>42908</v>
      </c>
      <c r="N5594" t="s">
        <v>44905</v>
      </c>
      <c r="O5594" t="s">
        <v>44906</v>
      </c>
      <c r="P5594">
        <v>0</v>
      </c>
      <c r="Q5594">
        <v>0</v>
      </c>
      <c r="R5594" t="s">
        <v>44909</v>
      </c>
      <c r="S5594" t="s">
        <v>45060</v>
      </c>
      <c r="T5594" t="s">
        <v>46419</v>
      </c>
      <c r="U5594" t="s">
        <v>51476</v>
      </c>
      <c r="W5594" t="s">
        <v>42908</v>
      </c>
      <c r="X5594" t="s">
        <v>44910</v>
      </c>
    </row>
    <row r="5595" spans="1:24">
      <c r="A5595">
        <f>HYPERLINK("https://www.philgeps.gov.ph/GEPSNONPILOT/Tender/SplashBidNoticeAbstractUI.aspx?menuIndex=3&amp;refID=7076765&amp;Result=3","7076765")</f>
        <v>0</v>
      </c>
      <c r="B5595" t="s">
        <v>1792</v>
      </c>
      <c r="C5595" t="s">
        <v>8867</v>
      </c>
      <c r="D5595" t="s">
        <v>18135</v>
      </c>
      <c r="E5595" t="s">
        <v>23191</v>
      </c>
      <c r="F5595" t="s">
        <v>31362</v>
      </c>
      <c r="G5595" t="s">
        <v>31368</v>
      </c>
      <c r="H5595" t="s">
        <v>15799</v>
      </c>
      <c r="I5595" t="s">
        <v>7090</v>
      </c>
      <c r="J5595" t="s">
        <v>32300</v>
      </c>
      <c r="K5595" t="s">
        <v>40661</v>
      </c>
      <c r="M5595" t="s">
        <v>42874</v>
      </c>
      <c r="N5595" t="s">
        <v>44905</v>
      </c>
      <c r="O5595" t="s">
        <v>44906</v>
      </c>
      <c r="P5595">
        <v>0</v>
      </c>
      <c r="Q5595">
        <v>0</v>
      </c>
      <c r="R5595" t="s">
        <v>44909</v>
      </c>
      <c r="S5595" t="s">
        <v>45060</v>
      </c>
      <c r="T5595" t="s">
        <v>46503</v>
      </c>
      <c r="U5595" t="s">
        <v>51386</v>
      </c>
      <c r="W5595" t="s">
        <v>42874</v>
      </c>
      <c r="X5595" t="s">
        <v>44910</v>
      </c>
    </row>
    <row r="5596" spans="1:24">
      <c r="A5596">
        <f>HYPERLINK("https://www.philgeps.gov.ph/GEPSNONPILOT/Tender/SplashBidNoticeAbstractUI.aspx?menuIndex=3&amp;refID=7076774&amp;Result=3","7076774")</f>
        <v>0</v>
      </c>
      <c r="B5596" t="s">
        <v>1260</v>
      </c>
      <c r="C5596" t="s">
        <v>8868</v>
      </c>
      <c r="D5596" t="s">
        <v>18142</v>
      </c>
      <c r="E5596" t="s">
        <v>23192</v>
      </c>
      <c r="F5596" t="s">
        <v>31362</v>
      </c>
      <c r="G5596" t="s">
        <v>31369</v>
      </c>
      <c r="H5596" t="s">
        <v>31378</v>
      </c>
      <c r="I5596" t="s">
        <v>31386</v>
      </c>
      <c r="J5596" t="s">
        <v>31578</v>
      </c>
      <c r="K5596" t="s">
        <v>40665</v>
      </c>
      <c r="M5596" t="s">
        <v>42276</v>
      </c>
      <c r="N5596" t="s">
        <v>44905</v>
      </c>
      <c r="O5596" t="s">
        <v>44906</v>
      </c>
      <c r="P5596">
        <v>0</v>
      </c>
      <c r="Q5596">
        <v>0</v>
      </c>
      <c r="R5596" t="s">
        <v>44909</v>
      </c>
      <c r="S5596" t="s">
        <v>45060</v>
      </c>
      <c r="T5596" t="s">
        <v>46401</v>
      </c>
      <c r="U5596" t="s">
        <v>51433</v>
      </c>
      <c r="W5596" t="s">
        <v>42276</v>
      </c>
      <c r="X5596" t="s">
        <v>44910</v>
      </c>
    </row>
    <row r="5597" spans="1:24">
      <c r="A5597">
        <f>HYPERLINK("https://www.philgeps.gov.ph/GEPSNONPILOT/Tender/SplashBidNoticeAbstractUI.aspx?menuIndex=3&amp;refID=7076734&amp;Result=3","7076734")</f>
        <v>0</v>
      </c>
      <c r="B5597" t="s">
        <v>325</v>
      </c>
      <c r="C5597" t="s">
        <v>4424</v>
      </c>
      <c r="E5597" t="s">
        <v>23193</v>
      </c>
      <c r="F5597" t="s">
        <v>31362</v>
      </c>
      <c r="G5597" t="s">
        <v>31368</v>
      </c>
      <c r="H5597" t="s">
        <v>15799</v>
      </c>
      <c r="I5597" t="s">
        <v>31397</v>
      </c>
      <c r="J5597" t="s">
        <v>31531</v>
      </c>
      <c r="K5597" t="s">
        <v>40662</v>
      </c>
      <c r="M5597" t="s">
        <v>41271</v>
      </c>
      <c r="N5597" t="s">
        <v>44905</v>
      </c>
      <c r="O5597" t="s">
        <v>44906</v>
      </c>
      <c r="P5597">
        <v>0</v>
      </c>
      <c r="Q5597">
        <v>2</v>
      </c>
      <c r="R5597" t="s">
        <v>44909</v>
      </c>
      <c r="S5597" t="s">
        <v>45060</v>
      </c>
      <c r="T5597" t="s">
        <v>46394</v>
      </c>
      <c r="U5597" t="s">
        <v>51477</v>
      </c>
      <c r="W5597" t="s">
        <v>41271</v>
      </c>
      <c r="X5597" t="s">
        <v>44910</v>
      </c>
    </row>
    <row r="5598" spans="1:24">
      <c r="A5598">
        <f>HYPERLINK("https://www.philgeps.gov.ph/GEPSNONPILOT/Tender/SplashBidNoticeAbstractUI.aspx?menuIndex=3&amp;refID=7076773&amp;Result=3","7076773")</f>
        <v>0</v>
      </c>
      <c r="B5598" t="s">
        <v>1825</v>
      </c>
      <c r="C5598" t="s">
        <v>8869</v>
      </c>
      <c r="D5598" t="s">
        <v>18141</v>
      </c>
      <c r="E5598" t="s">
        <v>23194</v>
      </c>
      <c r="F5598" t="s">
        <v>31362</v>
      </c>
      <c r="G5598" t="s">
        <v>31372</v>
      </c>
      <c r="H5598" t="s">
        <v>15799</v>
      </c>
      <c r="I5598" t="s">
        <v>31404</v>
      </c>
      <c r="J5598" t="s">
        <v>35068</v>
      </c>
      <c r="K5598" t="s">
        <v>40672</v>
      </c>
      <c r="M5598" t="s">
        <v>42909</v>
      </c>
      <c r="N5598" t="s">
        <v>44905</v>
      </c>
      <c r="O5598" t="s">
        <v>44906</v>
      </c>
      <c r="P5598">
        <v>0</v>
      </c>
      <c r="Q5598">
        <v>0</v>
      </c>
      <c r="R5598" t="s">
        <v>44909</v>
      </c>
      <c r="S5598" t="s">
        <v>45060</v>
      </c>
      <c r="T5598" t="s">
        <v>46583</v>
      </c>
      <c r="U5598" t="s">
        <v>51478</v>
      </c>
      <c r="W5598" t="s">
        <v>42909</v>
      </c>
      <c r="X5598" t="s">
        <v>44910</v>
      </c>
    </row>
    <row r="5599" spans="1:24">
      <c r="A5599">
        <f>HYPERLINK("https://www.philgeps.gov.ph/GEPSNONPILOT/Tender/SplashBidNoticeAbstractUI.aspx?menuIndex=3&amp;refID=7076770&amp;Result=3","7076770")</f>
        <v>0</v>
      </c>
      <c r="B5599" t="s">
        <v>1826</v>
      </c>
      <c r="C5599" t="s">
        <v>8870</v>
      </c>
      <c r="D5599" t="s">
        <v>18100</v>
      </c>
      <c r="E5599" t="s">
        <v>23195</v>
      </c>
      <c r="F5599" t="s">
        <v>31362</v>
      </c>
      <c r="G5599" t="s">
        <v>31368</v>
      </c>
      <c r="H5599" t="s">
        <v>15799</v>
      </c>
      <c r="I5599" t="s">
        <v>31385</v>
      </c>
      <c r="J5599" t="s">
        <v>35069</v>
      </c>
      <c r="K5599" t="s">
        <v>40697</v>
      </c>
      <c r="M5599" t="s">
        <v>42910</v>
      </c>
      <c r="N5599" t="s">
        <v>44905</v>
      </c>
      <c r="O5599" t="s">
        <v>44906</v>
      </c>
      <c r="P5599">
        <v>0</v>
      </c>
      <c r="Q5599">
        <v>1</v>
      </c>
      <c r="R5599" t="s">
        <v>44909</v>
      </c>
      <c r="S5599" t="s">
        <v>45060</v>
      </c>
      <c r="T5599" t="s">
        <v>46454</v>
      </c>
      <c r="U5599" t="s">
        <v>51479</v>
      </c>
      <c r="W5599" t="s">
        <v>42910</v>
      </c>
      <c r="X5599" t="s">
        <v>44910</v>
      </c>
    </row>
    <row r="5600" spans="1:24">
      <c r="A5600">
        <f>HYPERLINK("https://www.philgeps.gov.ph/GEPSNONPILOT/Tender/SplashBidNoticeAbstractUI.aspx?menuIndex=3&amp;refID=7076750&amp;Result=3","7076750")</f>
        <v>0</v>
      </c>
      <c r="B5600" t="s">
        <v>1827</v>
      </c>
      <c r="C5600" t="s">
        <v>8871</v>
      </c>
      <c r="D5600" t="s">
        <v>18138</v>
      </c>
      <c r="E5600" t="s">
        <v>23196</v>
      </c>
      <c r="F5600" t="s">
        <v>31362</v>
      </c>
      <c r="G5600" t="s">
        <v>31368</v>
      </c>
      <c r="H5600" t="s">
        <v>15799</v>
      </c>
      <c r="I5600" t="s">
        <v>31480</v>
      </c>
      <c r="J5600" t="s">
        <v>31724</v>
      </c>
      <c r="K5600" t="s">
        <v>40670</v>
      </c>
      <c r="M5600" t="s">
        <v>42911</v>
      </c>
      <c r="N5600" t="s">
        <v>44905</v>
      </c>
      <c r="O5600" t="s">
        <v>44906</v>
      </c>
      <c r="P5600">
        <v>0</v>
      </c>
      <c r="Q5600">
        <v>1</v>
      </c>
      <c r="R5600" t="s">
        <v>44909</v>
      </c>
      <c r="S5600" t="s">
        <v>45060</v>
      </c>
      <c r="T5600" t="s">
        <v>46443</v>
      </c>
      <c r="U5600" t="s">
        <v>51480</v>
      </c>
      <c r="V5600" t="s">
        <v>59596</v>
      </c>
      <c r="W5600" t="s">
        <v>42911</v>
      </c>
      <c r="X5600" t="s">
        <v>44910</v>
      </c>
    </row>
    <row r="5601" spans="1:24">
      <c r="A5601">
        <f>HYPERLINK("https://www.philgeps.gov.ph/GEPSNONPILOT/Tender/SplashBidNoticeAbstractUI.aspx?menuIndex=3&amp;refID=7076768&amp;Result=3","7076768")</f>
        <v>0</v>
      </c>
      <c r="B5601" t="s">
        <v>1706</v>
      </c>
      <c r="C5601" t="s">
        <v>8872</v>
      </c>
      <c r="D5601" t="s">
        <v>18112</v>
      </c>
      <c r="E5601" t="s">
        <v>23197</v>
      </c>
      <c r="F5601" t="s">
        <v>31362</v>
      </c>
      <c r="G5601" t="s">
        <v>31369</v>
      </c>
      <c r="H5601" t="s">
        <v>15799</v>
      </c>
      <c r="I5601" t="s">
        <v>31387</v>
      </c>
      <c r="J5601" t="s">
        <v>35070</v>
      </c>
      <c r="K5601" t="s">
        <v>40677</v>
      </c>
      <c r="M5601" t="s">
        <v>42773</v>
      </c>
      <c r="N5601" t="s">
        <v>44905</v>
      </c>
      <c r="O5601" t="s">
        <v>44906</v>
      </c>
      <c r="P5601">
        <v>0</v>
      </c>
      <c r="Q5601">
        <v>0</v>
      </c>
      <c r="R5601" t="s">
        <v>44909</v>
      </c>
      <c r="S5601" t="s">
        <v>45060</v>
      </c>
      <c r="T5601" t="s">
        <v>46588</v>
      </c>
      <c r="U5601" t="s">
        <v>51481</v>
      </c>
      <c r="V5601" t="s">
        <v>59557</v>
      </c>
      <c r="W5601" t="s">
        <v>42773</v>
      </c>
      <c r="X5601" t="s">
        <v>44910</v>
      </c>
    </row>
    <row r="5602" spans="1:24">
      <c r="A5602">
        <f>HYPERLINK("https://www.philgeps.gov.ph/GEPSNONPILOT/Tender/SplashBidNoticeAbstractUI.aspx?menuIndex=3&amp;refID=7076764&amp;Result=3","7076764")</f>
        <v>0</v>
      </c>
      <c r="B5602" t="s">
        <v>1352</v>
      </c>
      <c r="C5602" t="s">
        <v>8873</v>
      </c>
      <c r="E5602" t="s">
        <v>23198</v>
      </c>
      <c r="F5602" t="s">
        <v>31362</v>
      </c>
      <c r="G5602" t="s">
        <v>31368</v>
      </c>
      <c r="H5602" t="s">
        <v>15799</v>
      </c>
      <c r="I5602" t="s">
        <v>7719</v>
      </c>
      <c r="J5602" t="s">
        <v>33797</v>
      </c>
      <c r="K5602" t="s">
        <v>40662</v>
      </c>
      <c r="M5602" t="s">
        <v>42912</v>
      </c>
      <c r="N5602" t="s">
        <v>44905</v>
      </c>
      <c r="O5602" t="s">
        <v>44906</v>
      </c>
      <c r="P5602">
        <v>0</v>
      </c>
      <c r="Q5602">
        <v>7</v>
      </c>
      <c r="R5602" t="s">
        <v>44909</v>
      </c>
      <c r="S5602" t="s">
        <v>45060</v>
      </c>
      <c r="T5602" t="s">
        <v>46438</v>
      </c>
      <c r="U5602" t="s">
        <v>51482</v>
      </c>
      <c r="W5602" t="s">
        <v>42912</v>
      </c>
      <c r="X5602" t="s">
        <v>44910</v>
      </c>
    </row>
    <row r="5603" spans="1:24">
      <c r="A5603">
        <f>HYPERLINK("https://www.philgeps.gov.ph/GEPSNONPILOT/Tender/SplashBidNoticeAbstractUI.aspx?menuIndex=3&amp;refID=7076762&amp;Result=3","7076762")</f>
        <v>0</v>
      </c>
      <c r="B5603" t="s">
        <v>1260</v>
      </c>
      <c r="C5603" t="s">
        <v>8874</v>
      </c>
      <c r="D5603" t="s">
        <v>18142</v>
      </c>
      <c r="E5603" t="s">
        <v>23199</v>
      </c>
      <c r="F5603" t="s">
        <v>31362</v>
      </c>
      <c r="G5603" t="s">
        <v>31369</v>
      </c>
      <c r="H5603" t="s">
        <v>31378</v>
      </c>
      <c r="I5603" t="s">
        <v>31386</v>
      </c>
      <c r="J5603" t="s">
        <v>31531</v>
      </c>
      <c r="K5603" t="s">
        <v>40665</v>
      </c>
      <c r="M5603" t="s">
        <v>42276</v>
      </c>
      <c r="N5603" t="s">
        <v>44905</v>
      </c>
      <c r="O5603" t="s">
        <v>44906</v>
      </c>
      <c r="P5603">
        <v>0</v>
      </c>
      <c r="Q5603">
        <v>0</v>
      </c>
      <c r="R5603" t="s">
        <v>44909</v>
      </c>
      <c r="S5603" t="s">
        <v>45060</v>
      </c>
      <c r="T5603" t="s">
        <v>46401</v>
      </c>
      <c r="U5603" t="s">
        <v>51433</v>
      </c>
      <c r="W5603" t="s">
        <v>42276</v>
      </c>
      <c r="X5603" t="s">
        <v>44910</v>
      </c>
    </row>
    <row r="5604" spans="1:24">
      <c r="A5604">
        <f>HYPERLINK("https://www.philgeps.gov.ph/GEPSNONPILOT/Tender/SplashBidNoticeAbstractUI.aspx?menuIndex=3&amp;refID=7076740&amp;Result=3","7076740")</f>
        <v>0</v>
      </c>
      <c r="B5604" t="s">
        <v>1260</v>
      </c>
      <c r="C5604" t="s">
        <v>8875</v>
      </c>
      <c r="D5604" t="s">
        <v>18142</v>
      </c>
      <c r="E5604" t="s">
        <v>23200</v>
      </c>
      <c r="F5604" t="s">
        <v>31362</v>
      </c>
      <c r="G5604" t="s">
        <v>31369</v>
      </c>
      <c r="H5604" t="s">
        <v>31378</v>
      </c>
      <c r="I5604" t="s">
        <v>31386</v>
      </c>
      <c r="J5604" t="s">
        <v>31586</v>
      </c>
      <c r="K5604" t="s">
        <v>40665</v>
      </c>
      <c r="M5604" t="s">
        <v>42276</v>
      </c>
      <c r="N5604" t="s">
        <v>44905</v>
      </c>
      <c r="O5604" t="s">
        <v>44906</v>
      </c>
      <c r="P5604">
        <v>0</v>
      </c>
      <c r="Q5604">
        <v>0</v>
      </c>
      <c r="R5604" t="s">
        <v>44909</v>
      </c>
      <c r="S5604" t="s">
        <v>45060</v>
      </c>
      <c r="T5604" t="s">
        <v>46401</v>
      </c>
      <c r="U5604" t="s">
        <v>51433</v>
      </c>
      <c r="W5604" t="s">
        <v>42276</v>
      </c>
      <c r="X5604" t="s">
        <v>44910</v>
      </c>
    </row>
    <row r="5605" spans="1:24">
      <c r="A5605">
        <f>HYPERLINK("https://www.philgeps.gov.ph/GEPSNONPILOT/Tender/SplashBidNoticeAbstractUI.aspx?menuIndex=3&amp;refID=7076771&amp;Result=3","7076771")</f>
        <v>0</v>
      </c>
      <c r="B5605" t="s">
        <v>563</v>
      </c>
      <c r="C5605" t="s">
        <v>8876</v>
      </c>
      <c r="D5605" t="s">
        <v>18124</v>
      </c>
      <c r="E5605" t="s">
        <v>23201</v>
      </c>
      <c r="F5605" t="s">
        <v>31362</v>
      </c>
      <c r="G5605" t="s">
        <v>31369</v>
      </c>
      <c r="H5605" t="s">
        <v>31378</v>
      </c>
      <c r="I5605" t="s">
        <v>31386</v>
      </c>
      <c r="J5605" t="s">
        <v>35071</v>
      </c>
      <c r="K5605" t="s">
        <v>40666</v>
      </c>
      <c r="M5605" t="s">
        <v>41519</v>
      </c>
      <c r="N5605" t="s">
        <v>44905</v>
      </c>
      <c r="O5605" t="s">
        <v>44906</v>
      </c>
      <c r="P5605">
        <v>0</v>
      </c>
      <c r="Q5605">
        <v>1</v>
      </c>
      <c r="R5605" t="s">
        <v>44909</v>
      </c>
      <c r="S5605" t="s">
        <v>45060</v>
      </c>
      <c r="T5605" t="s">
        <v>46433</v>
      </c>
      <c r="U5605" t="s">
        <v>51483</v>
      </c>
      <c r="W5605" t="s">
        <v>41519</v>
      </c>
      <c r="X5605" t="s">
        <v>44910</v>
      </c>
    </row>
    <row r="5606" spans="1:24">
      <c r="A5606">
        <f>HYPERLINK("https://www.philgeps.gov.ph/GEPSNONPILOT/Tender/SplashBidNoticeAbstractUI.aspx?menuIndex=3&amp;refID=7076758&amp;Result=3","7076758")</f>
        <v>0</v>
      </c>
      <c r="B5606" t="s">
        <v>635</v>
      </c>
      <c r="C5606" t="s">
        <v>8877</v>
      </c>
      <c r="D5606" t="s">
        <v>18108</v>
      </c>
      <c r="E5606" t="s">
        <v>23202</v>
      </c>
      <c r="F5606" t="s">
        <v>31362</v>
      </c>
      <c r="G5606" t="s">
        <v>31368</v>
      </c>
      <c r="H5606" t="s">
        <v>15799</v>
      </c>
      <c r="I5606" t="s">
        <v>31406</v>
      </c>
      <c r="J5606" t="s">
        <v>31536</v>
      </c>
      <c r="K5606" t="s">
        <v>40666</v>
      </c>
      <c r="M5606" t="s">
        <v>41595</v>
      </c>
      <c r="N5606" t="s">
        <v>44905</v>
      </c>
      <c r="O5606" t="s">
        <v>44906</v>
      </c>
      <c r="P5606">
        <v>0</v>
      </c>
      <c r="Q5606">
        <v>3</v>
      </c>
      <c r="R5606" t="s">
        <v>44909</v>
      </c>
      <c r="S5606" t="s">
        <v>45060</v>
      </c>
      <c r="T5606" t="s">
        <v>46438</v>
      </c>
      <c r="U5606" t="s">
        <v>51484</v>
      </c>
      <c r="W5606" t="s">
        <v>41595</v>
      </c>
      <c r="X5606" t="s">
        <v>44910</v>
      </c>
    </row>
    <row r="5607" spans="1:24">
      <c r="A5607">
        <f>HYPERLINK("https://www.philgeps.gov.ph/GEPSNONPILOT/Tender/SplashBidNoticeAbstractUI.aspx?menuIndex=3&amp;refID=7076767&amp;Result=3","7076767")</f>
        <v>0</v>
      </c>
      <c r="B5607" t="s">
        <v>1828</v>
      </c>
      <c r="C5607" t="s">
        <v>8878</v>
      </c>
      <c r="D5607" t="s">
        <v>18157</v>
      </c>
      <c r="E5607" t="s">
        <v>23203</v>
      </c>
      <c r="F5607" t="s">
        <v>31362</v>
      </c>
      <c r="G5607" t="s">
        <v>31370</v>
      </c>
      <c r="H5607" t="s">
        <v>15799</v>
      </c>
      <c r="I5607" t="s">
        <v>6373</v>
      </c>
      <c r="J5607" t="s">
        <v>32278</v>
      </c>
      <c r="K5607" t="s">
        <v>40697</v>
      </c>
      <c r="M5607" t="s">
        <v>42913</v>
      </c>
      <c r="N5607" t="s">
        <v>44905</v>
      </c>
      <c r="O5607" t="s">
        <v>44906</v>
      </c>
      <c r="P5607">
        <v>0</v>
      </c>
      <c r="Q5607">
        <v>8</v>
      </c>
      <c r="R5607" t="s">
        <v>44909</v>
      </c>
      <c r="S5607" t="s">
        <v>45060</v>
      </c>
      <c r="T5607" t="s">
        <v>46432</v>
      </c>
      <c r="U5607" t="s">
        <v>51485</v>
      </c>
      <c r="W5607" t="s">
        <v>42913</v>
      </c>
      <c r="X5607" t="s">
        <v>44910</v>
      </c>
    </row>
    <row r="5608" spans="1:24">
      <c r="A5608">
        <f>HYPERLINK("https://www.philgeps.gov.ph/GEPSNONPILOT/Tender/SplashBidNoticeAbstractUI.aspx?menuIndex=3&amp;refID=7076763&amp;Result=3","7076763")</f>
        <v>0</v>
      </c>
      <c r="B5608" t="s">
        <v>352</v>
      </c>
      <c r="C5608" t="s">
        <v>8879</v>
      </c>
      <c r="D5608" t="s">
        <v>18122</v>
      </c>
      <c r="E5608" t="s">
        <v>23204</v>
      </c>
      <c r="F5608" t="s">
        <v>31362</v>
      </c>
      <c r="G5608" t="s">
        <v>31368</v>
      </c>
      <c r="H5608" t="s">
        <v>15799</v>
      </c>
      <c r="I5608" t="s">
        <v>3815</v>
      </c>
      <c r="J5608" t="s">
        <v>31564</v>
      </c>
      <c r="K5608" t="s">
        <v>40666</v>
      </c>
      <c r="M5608" t="s">
        <v>41299</v>
      </c>
      <c r="N5608" t="s">
        <v>44905</v>
      </c>
      <c r="O5608" t="s">
        <v>44906</v>
      </c>
      <c r="P5608">
        <v>0</v>
      </c>
      <c r="Q5608">
        <v>0</v>
      </c>
      <c r="R5608" t="s">
        <v>44909</v>
      </c>
      <c r="S5608" t="s">
        <v>45060</v>
      </c>
      <c r="T5608" t="s">
        <v>46406</v>
      </c>
      <c r="U5608" t="s">
        <v>51486</v>
      </c>
      <c r="W5608" t="s">
        <v>41299</v>
      </c>
      <c r="X5608" t="s">
        <v>44910</v>
      </c>
    </row>
    <row r="5609" spans="1:24">
      <c r="A5609">
        <f>HYPERLINK("https://www.philgeps.gov.ph/GEPSNONPILOT/Tender/SplashBidNoticeAbstractUI.aspx?menuIndex=3&amp;refID=7076757&amp;Result=3","7076757")</f>
        <v>0</v>
      </c>
      <c r="B5609" t="s">
        <v>521</v>
      </c>
      <c r="C5609" t="s">
        <v>8880</v>
      </c>
      <c r="D5609" t="s">
        <v>18107</v>
      </c>
      <c r="E5609" t="s">
        <v>23205</v>
      </c>
      <c r="F5609" t="s">
        <v>31362</v>
      </c>
      <c r="G5609" t="s">
        <v>31371</v>
      </c>
      <c r="H5609" t="s">
        <v>15799</v>
      </c>
      <c r="I5609" t="s">
        <v>31385</v>
      </c>
      <c r="J5609" t="s">
        <v>35072</v>
      </c>
      <c r="K5609" t="s">
        <v>40661</v>
      </c>
      <c r="M5609" t="s">
        <v>41477</v>
      </c>
      <c r="N5609" t="s">
        <v>44905</v>
      </c>
      <c r="O5609" t="s">
        <v>44906</v>
      </c>
      <c r="P5609">
        <v>0</v>
      </c>
      <c r="Q5609">
        <v>1</v>
      </c>
      <c r="R5609" t="s">
        <v>44909</v>
      </c>
      <c r="S5609" t="s">
        <v>45060</v>
      </c>
      <c r="T5609" t="s">
        <v>46432</v>
      </c>
      <c r="U5609" t="s">
        <v>51487</v>
      </c>
      <c r="W5609" t="s">
        <v>60857</v>
      </c>
      <c r="X5609" t="s">
        <v>44910</v>
      </c>
    </row>
    <row r="5610" spans="1:24">
      <c r="A5610">
        <f>HYPERLINK("https://www.philgeps.gov.ph/GEPSNONPILOT/Tender/SplashBidNoticeAbstractUI.aspx?menuIndex=3&amp;refID=7076755&amp;Result=3","7076755")</f>
        <v>0</v>
      </c>
      <c r="B5610" t="s">
        <v>178</v>
      </c>
      <c r="C5610" t="s">
        <v>8881</v>
      </c>
      <c r="D5610" t="s">
        <v>18126</v>
      </c>
      <c r="E5610" t="s">
        <v>23206</v>
      </c>
      <c r="F5610" t="s">
        <v>31362</v>
      </c>
      <c r="G5610" t="s">
        <v>31369</v>
      </c>
      <c r="H5610" t="s">
        <v>15799</v>
      </c>
      <c r="I5610" t="s">
        <v>31380</v>
      </c>
      <c r="J5610" t="s">
        <v>35073</v>
      </c>
      <c r="K5610" t="s">
        <v>40670</v>
      </c>
      <c r="M5610" t="s">
        <v>42254</v>
      </c>
      <c r="N5610" t="s">
        <v>44905</v>
      </c>
      <c r="O5610" t="s">
        <v>44906</v>
      </c>
      <c r="P5610">
        <v>0</v>
      </c>
      <c r="Q5610">
        <v>3</v>
      </c>
      <c r="R5610" t="s">
        <v>44909</v>
      </c>
      <c r="S5610" t="s">
        <v>45060</v>
      </c>
      <c r="T5610" t="s">
        <v>46624</v>
      </c>
      <c r="U5610" t="s">
        <v>51488</v>
      </c>
      <c r="W5610" t="s">
        <v>42254</v>
      </c>
      <c r="X5610" t="s">
        <v>44910</v>
      </c>
    </row>
    <row r="5611" spans="1:24">
      <c r="A5611">
        <f>HYPERLINK("https://www.philgeps.gov.ph/GEPSNONPILOT/Tender/SplashBidNoticeAbstractUI.aspx?menuIndex=3&amp;refID=7076736&amp;Result=3","7076736")</f>
        <v>0</v>
      </c>
      <c r="B5611" t="s">
        <v>1829</v>
      </c>
      <c r="C5611" t="s">
        <v>8882</v>
      </c>
      <c r="D5611" t="s">
        <v>18106</v>
      </c>
      <c r="E5611" t="s">
        <v>23207</v>
      </c>
      <c r="F5611" t="s">
        <v>31362</v>
      </c>
      <c r="G5611" t="s">
        <v>31369</v>
      </c>
      <c r="H5611" t="s">
        <v>15799</v>
      </c>
      <c r="I5611" t="s">
        <v>31409</v>
      </c>
      <c r="J5611" t="s">
        <v>31806</v>
      </c>
      <c r="K5611" t="s">
        <v>40661</v>
      </c>
      <c r="M5611" t="s">
        <v>42914</v>
      </c>
      <c r="N5611" t="s">
        <v>44905</v>
      </c>
      <c r="O5611" t="s">
        <v>44906</v>
      </c>
      <c r="P5611">
        <v>0</v>
      </c>
      <c r="Q5611">
        <v>0</v>
      </c>
      <c r="R5611" t="s">
        <v>44909</v>
      </c>
      <c r="S5611" t="s">
        <v>45060</v>
      </c>
      <c r="T5611" t="s">
        <v>46412</v>
      </c>
      <c r="U5611" t="s">
        <v>51489</v>
      </c>
      <c r="W5611" t="s">
        <v>42914</v>
      </c>
      <c r="X5611" t="s">
        <v>44910</v>
      </c>
    </row>
    <row r="5612" spans="1:24">
      <c r="A5612">
        <f>HYPERLINK("https://www.philgeps.gov.ph/GEPSNONPILOT/Tender/SplashBidNoticeAbstractUI.aspx?menuIndex=3&amp;refID=7076769&amp;Result=3","7076769")</f>
        <v>0</v>
      </c>
      <c r="B5612" t="s">
        <v>1173</v>
      </c>
      <c r="C5612" t="s">
        <v>8883</v>
      </c>
      <c r="D5612" t="s">
        <v>18174</v>
      </c>
      <c r="E5612" t="s">
        <v>23208</v>
      </c>
      <c r="F5612" t="s">
        <v>31362</v>
      </c>
      <c r="G5612" t="s">
        <v>31368</v>
      </c>
      <c r="H5612" t="s">
        <v>15799</v>
      </c>
      <c r="I5612" t="s">
        <v>3815</v>
      </c>
      <c r="J5612" t="s">
        <v>35074</v>
      </c>
      <c r="K5612" t="s">
        <v>40661</v>
      </c>
      <c r="M5612" t="s">
        <v>42183</v>
      </c>
      <c r="N5612" t="s">
        <v>44905</v>
      </c>
      <c r="O5612" t="s">
        <v>44906</v>
      </c>
      <c r="P5612">
        <v>0</v>
      </c>
      <c r="Q5612">
        <v>0</v>
      </c>
      <c r="R5612" t="s">
        <v>44909</v>
      </c>
      <c r="S5612" t="s">
        <v>45060</v>
      </c>
      <c r="T5612" t="s">
        <v>46412</v>
      </c>
      <c r="U5612" t="s">
        <v>51490</v>
      </c>
      <c r="W5612" t="s">
        <v>42183</v>
      </c>
      <c r="X5612" t="s">
        <v>44910</v>
      </c>
    </row>
    <row r="5613" spans="1:24">
      <c r="A5613">
        <f>HYPERLINK("https://www.philgeps.gov.ph/GEPSNONPILOT/Tender/SplashBidNoticeAbstractUI.aspx?menuIndex=3&amp;refID=7076766&amp;Result=3","7076766")</f>
        <v>0</v>
      </c>
      <c r="B5613" t="s">
        <v>1830</v>
      </c>
      <c r="C5613" t="s">
        <v>8884</v>
      </c>
      <c r="D5613" t="s">
        <v>18104</v>
      </c>
      <c r="E5613" t="s">
        <v>8884</v>
      </c>
      <c r="F5613" t="s">
        <v>31362</v>
      </c>
      <c r="G5613" t="s">
        <v>31371</v>
      </c>
      <c r="H5613" t="s">
        <v>15799</v>
      </c>
      <c r="I5613" t="s">
        <v>6373</v>
      </c>
      <c r="J5613" t="s">
        <v>31564</v>
      </c>
      <c r="K5613" t="s">
        <v>40693</v>
      </c>
      <c r="M5613" t="s">
        <v>42915</v>
      </c>
      <c r="N5613" t="s">
        <v>44905</v>
      </c>
      <c r="O5613" t="s">
        <v>44906</v>
      </c>
      <c r="P5613">
        <v>0</v>
      </c>
      <c r="Q5613">
        <v>1</v>
      </c>
      <c r="R5613" t="s">
        <v>44909</v>
      </c>
      <c r="S5613" t="s">
        <v>45060</v>
      </c>
      <c r="T5613" t="s">
        <v>46414</v>
      </c>
      <c r="U5613" t="s">
        <v>51491</v>
      </c>
      <c r="W5613" t="s">
        <v>42915</v>
      </c>
      <c r="X5613" t="s">
        <v>44910</v>
      </c>
    </row>
    <row r="5614" spans="1:24">
      <c r="A5614">
        <f>HYPERLINK("https://www.philgeps.gov.ph/GEPSNONPILOT/Tender/SplashBidNoticeAbstractUI.aspx?menuIndex=3&amp;refID=7076805&amp;Result=3","7076805")</f>
        <v>0</v>
      </c>
      <c r="B5614" t="s">
        <v>316</v>
      </c>
      <c r="C5614" t="s">
        <v>8885</v>
      </c>
      <c r="D5614" t="s">
        <v>18149</v>
      </c>
      <c r="E5614" t="s">
        <v>22683</v>
      </c>
      <c r="F5614" t="s">
        <v>31362</v>
      </c>
      <c r="G5614" t="s">
        <v>31368</v>
      </c>
      <c r="H5614" t="s">
        <v>15799</v>
      </c>
      <c r="I5614" t="s">
        <v>7090</v>
      </c>
      <c r="J5614" t="s">
        <v>35075</v>
      </c>
      <c r="K5614" t="s">
        <v>40661</v>
      </c>
      <c r="M5614" t="s">
        <v>41261</v>
      </c>
      <c r="N5614" t="s">
        <v>44905</v>
      </c>
      <c r="O5614" t="s">
        <v>44906</v>
      </c>
      <c r="P5614">
        <v>0</v>
      </c>
      <c r="Q5614">
        <v>0</v>
      </c>
      <c r="R5614" t="s">
        <v>44909</v>
      </c>
      <c r="S5614" t="s">
        <v>45060</v>
      </c>
      <c r="T5614" t="s">
        <v>46393</v>
      </c>
      <c r="U5614" t="s">
        <v>51492</v>
      </c>
      <c r="W5614" t="s">
        <v>41261</v>
      </c>
      <c r="X5614" t="s">
        <v>44910</v>
      </c>
    </row>
    <row r="5615" spans="1:24">
      <c r="A5615">
        <f>HYPERLINK("https://www.philgeps.gov.ph/GEPSNONPILOT/Tender/SplashBidNoticeAbstractUI.aspx?menuIndex=3&amp;refID=7076803&amp;Result=3","7076803")</f>
        <v>0</v>
      </c>
      <c r="B5615" t="s">
        <v>563</v>
      </c>
      <c r="C5615" t="s">
        <v>8886</v>
      </c>
      <c r="D5615" t="s">
        <v>18124</v>
      </c>
      <c r="E5615" t="s">
        <v>23209</v>
      </c>
      <c r="F5615" t="s">
        <v>31362</v>
      </c>
      <c r="G5615" t="s">
        <v>31369</v>
      </c>
      <c r="H5615" t="s">
        <v>15799</v>
      </c>
      <c r="I5615" t="s">
        <v>31419</v>
      </c>
      <c r="J5615" t="s">
        <v>34202</v>
      </c>
      <c r="K5615" t="s">
        <v>40666</v>
      </c>
      <c r="M5615" t="s">
        <v>41519</v>
      </c>
      <c r="N5615" t="s">
        <v>44905</v>
      </c>
      <c r="O5615" t="s">
        <v>44906</v>
      </c>
      <c r="P5615">
        <v>0</v>
      </c>
      <c r="Q5615">
        <v>2</v>
      </c>
      <c r="R5615" t="s">
        <v>44909</v>
      </c>
      <c r="S5615" t="s">
        <v>45060</v>
      </c>
      <c r="T5615" t="s">
        <v>46433</v>
      </c>
      <c r="U5615" t="s">
        <v>51493</v>
      </c>
      <c r="W5615" t="s">
        <v>41519</v>
      </c>
      <c r="X5615" t="s">
        <v>44910</v>
      </c>
    </row>
    <row r="5616" spans="1:24">
      <c r="A5616">
        <f>HYPERLINK("https://www.philgeps.gov.ph/GEPSNONPILOT/Tender/SplashBidNoticeAbstractUI.aspx?menuIndex=3&amp;refID=7076756&amp;Result=3","7076756")</f>
        <v>0</v>
      </c>
      <c r="B5616" t="s">
        <v>1824</v>
      </c>
      <c r="C5616" t="s">
        <v>8887</v>
      </c>
      <c r="D5616" t="s">
        <v>18101</v>
      </c>
      <c r="E5616" t="s">
        <v>23210</v>
      </c>
      <c r="F5616" t="s">
        <v>31362</v>
      </c>
      <c r="G5616" t="s">
        <v>31369</v>
      </c>
      <c r="H5616" t="s">
        <v>31378</v>
      </c>
      <c r="I5616" t="s">
        <v>31386</v>
      </c>
      <c r="J5616" t="s">
        <v>34260</v>
      </c>
      <c r="K5616" t="s">
        <v>40678</v>
      </c>
      <c r="M5616" t="s">
        <v>42908</v>
      </c>
      <c r="N5616" t="s">
        <v>44905</v>
      </c>
      <c r="O5616" t="s">
        <v>44906</v>
      </c>
      <c r="P5616">
        <v>0</v>
      </c>
      <c r="Q5616">
        <v>0</v>
      </c>
      <c r="R5616" t="s">
        <v>44909</v>
      </c>
      <c r="S5616" t="s">
        <v>45060</v>
      </c>
      <c r="T5616" t="s">
        <v>46419</v>
      </c>
      <c r="U5616" t="s">
        <v>51494</v>
      </c>
      <c r="W5616" t="s">
        <v>42908</v>
      </c>
      <c r="X5616" t="s">
        <v>44910</v>
      </c>
    </row>
    <row r="5617" spans="1:24">
      <c r="A5617">
        <f>HYPERLINK("https://www.philgeps.gov.ph/GEPSNONPILOT/Tender/SplashBidNoticeAbstractUI.aspx?menuIndex=3&amp;refID=7076802&amp;Result=3","7076802")</f>
        <v>0</v>
      </c>
      <c r="B5617" t="s">
        <v>497</v>
      </c>
      <c r="C5617" t="s">
        <v>8888</v>
      </c>
      <c r="D5617" t="s">
        <v>18181</v>
      </c>
      <c r="E5617" t="s">
        <v>23211</v>
      </c>
      <c r="F5617" t="s">
        <v>31362</v>
      </c>
      <c r="G5617" t="s">
        <v>31368</v>
      </c>
      <c r="H5617" t="s">
        <v>15799</v>
      </c>
      <c r="I5617" t="s">
        <v>3815</v>
      </c>
      <c r="J5617" t="s">
        <v>35076</v>
      </c>
      <c r="K5617" t="s">
        <v>40661</v>
      </c>
      <c r="M5617" t="s">
        <v>41452</v>
      </c>
      <c r="N5617" t="s">
        <v>44905</v>
      </c>
      <c r="O5617" t="s">
        <v>44906</v>
      </c>
      <c r="P5617">
        <v>0</v>
      </c>
      <c r="Q5617">
        <v>0</v>
      </c>
      <c r="R5617" t="s">
        <v>44909</v>
      </c>
      <c r="S5617" t="s">
        <v>45060</v>
      </c>
      <c r="T5617" t="s">
        <v>46414</v>
      </c>
      <c r="U5617" t="s">
        <v>51495</v>
      </c>
      <c r="W5617" t="s">
        <v>41452</v>
      </c>
      <c r="X5617" t="s">
        <v>44910</v>
      </c>
    </row>
    <row r="5618" spans="1:24">
      <c r="A5618">
        <f>HYPERLINK("https://www.philgeps.gov.ph/GEPSNONPILOT/Tender/SplashBidNoticeAbstractUI.aspx?menuIndex=3&amp;refID=7076753&amp;Result=3","7076753")</f>
        <v>0</v>
      </c>
      <c r="B5618" t="s">
        <v>1800</v>
      </c>
      <c r="C5618" t="s">
        <v>8889</v>
      </c>
      <c r="D5618" t="s">
        <v>18124</v>
      </c>
      <c r="E5618" t="s">
        <v>23212</v>
      </c>
      <c r="F5618" t="s">
        <v>31362</v>
      </c>
      <c r="G5618" t="s">
        <v>31369</v>
      </c>
      <c r="H5618" t="s">
        <v>31378</v>
      </c>
      <c r="I5618" t="s">
        <v>31386</v>
      </c>
      <c r="J5618" t="s">
        <v>35077</v>
      </c>
      <c r="K5618" t="s">
        <v>40683</v>
      </c>
      <c r="M5618" t="s">
        <v>42916</v>
      </c>
      <c r="N5618" t="s">
        <v>44905</v>
      </c>
      <c r="O5618" t="s">
        <v>44906</v>
      </c>
      <c r="P5618">
        <v>0</v>
      </c>
      <c r="Q5618">
        <v>2</v>
      </c>
      <c r="R5618" t="s">
        <v>44909</v>
      </c>
      <c r="S5618" t="s">
        <v>45060</v>
      </c>
      <c r="T5618" t="s">
        <v>46419</v>
      </c>
      <c r="U5618" t="s">
        <v>51496</v>
      </c>
      <c r="W5618" t="s">
        <v>42916</v>
      </c>
      <c r="X5618" t="s">
        <v>44910</v>
      </c>
    </row>
    <row r="5619" spans="1:24">
      <c r="A5619">
        <f>HYPERLINK("https://www.philgeps.gov.ph/GEPSNONPILOT/Tender/SplashBidNoticeAbstractUI.aspx?menuIndex=3&amp;refID=7076799&amp;Result=3","7076799")</f>
        <v>0</v>
      </c>
      <c r="B5619" t="s">
        <v>1260</v>
      </c>
      <c r="C5619" t="s">
        <v>8890</v>
      </c>
      <c r="D5619" t="s">
        <v>18142</v>
      </c>
      <c r="E5619" t="s">
        <v>23213</v>
      </c>
      <c r="F5619" t="s">
        <v>31362</v>
      </c>
      <c r="G5619" t="s">
        <v>31369</v>
      </c>
      <c r="H5619" t="s">
        <v>31378</v>
      </c>
      <c r="I5619" t="s">
        <v>31386</v>
      </c>
      <c r="J5619" t="s">
        <v>31578</v>
      </c>
      <c r="K5619" t="s">
        <v>40665</v>
      </c>
      <c r="M5619" t="s">
        <v>42276</v>
      </c>
      <c r="N5619" t="s">
        <v>44905</v>
      </c>
      <c r="O5619" t="s">
        <v>44906</v>
      </c>
      <c r="P5619">
        <v>0</v>
      </c>
      <c r="Q5619">
        <v>0</v>
      </c>
      <c r="R5619" t="s">
        <v>44909</v>
      </c>
      <c r="S5619" t="s">
        <v>45060</v>
      </c>
      <c r="T5619" t="s">
        <v>46401</v>
      </c>
      <c r="U5619" t="s">
        <v>51433</v>
      </c>
      <c r="W5619" t="s">
        <v>42276</v>
      </c>
      <c r="X5619" t="s">
        <v>44910</v>
      </c>
    </row>
    <row r="5620" spans="1:24">
      <c r="A5620">
        <f>HYPERLINK("https://www.philgeps.gov.ph/GEPSNONPILOT/Tender/SplashBidNoticeAbstractUI.aspx?menuIndex=3&amp;refID=7076806&amp;Result=3","7076806")</f>
        <v>0</v>
      </c>
      <c r="B5620" t="s">
        <v>1260</v>
      </c>
      <c r="C5620" t="s">
        <v>8891</v>
      </c>
      <c r="D5620" t="s">
        <v>18142</v>
      </c>
      <c r="E5620" t="s">
        <v>23214</v>
      </c>
      <c r="F5620" t="s">
        <v>31362</v>
      </c>
      <c r="G5620" t="s">
        <v>31369</v>
      </c>
      <c r="H5620" t="s">
        <v>31378</v>
      </c>
      <c r="I5620" t="s">
        <v>31386</v>
      </c>
      <c r="J5620" t="s">
        <v>31591</v>
      </c>
      <c r="K5620" t="s">
        <v>40665</v>
      </c>
      <c r="M5620" t="s">
        <v>42276</v>
      </c>
      <c r="N5620" t="s">
        <v>44905</v>
      </c>
      <c r="O5620" t="s">
        <v>44906</v>
      </c>
      <c r="P5620">
        <v>0</v>
      </c>
      <c r="Q5620">
        <v>0</v>
      </c>
      <c r="R5620" t="s">
        <v>44909</v>
      </c>
      <c r="S5620" t="s">
        <v>45060</v>
      </c>
      <c r="T5620" t="s">
        <v>46401</v>
      </c>
      <c r="U5620" t="s">
        <v>51433</v>
      </c>
      <c r="W5620" t="s">
        <v>42276</v>
      </c>
      <c r="X5620" t="s">
        <v>44910</v>
      </c>
    </row>
    <row r="5621" spans="1:24">
      <c r="A5621">
        <f>HYPERLINK("https://www.philgeps.gov.ph/GEPSNONPILOT/Tender/SplashBidNoticeAbstractUI.aspx?menuIndex=3&amp;refID=7076792&amp;Result=3","7076792")</f>
        <v>0</v>
      </c>
      <c r="B5621" t="s">
        <v>352</v>
      </c>
      <c r="C5621" t="s">
        <v>8769</v>
      </c>
      <c r="D5621" t="s">
        <v>18122</v>
      </c>
      <c r="E5621" t="s">
        <v>23215</v>
      </c>
      <c r="F5621" t="s">
        <v>31362</v>
      </c>
      <c r="G5621" t="s">
        <v>31368</v>
      </c>
      <c r="H5621" t="s">
        <v>15799</v>
      </c>
      <c r="I5621" t="s">
        <v>31385</v>
      </c>
      <c r="J5621" t="s">
        <v>35078</v>
      </c>
      <c r="K5621" t="s">
        <v>40666</v>
      </c>
      <c r="M5621" t="s">
        <v>41299</v>
      </c>
      <c r="N5621" t="s">
        <v>44905</v>
      </c>
      <c r="O5621" t="s">
        <v>44906</v>
      </c>
      <c r="P5621">
        <v>0</v>
      </c>
      <c r="Q5621">
        <v>0</v>
      </c>
      <c r="R5621" t="s">
        <v>44909</v>
      </c>
      <c r="S5621" t="s">
        <v>45060</v>
      </c>
      <c r="T5621" t="s">
        <v>46400</v>
      </c>
      <c r="U5621" t="s">
        <v>51497</v>
      </c>
      <c r="W5621" t="s">
        <v>41299</v>
      </c>
      <c r="X5621" t="s">
        <v>44910</v>
      </c>
    </row>
    <row r="5622" spans="1:24">
      <c r="A5622">
        <f>HYPERLINK("https://www.philgeps.gov.ph/GEPSNONPILOT/Tender/SplashBidNoticeAbstractUI.aspx?menuIndex=3&amp;refID=7076789&amp;Result=3","7076789")</f>
        <v>0</v>
      </c>
      <c r="B5622" t="s">
        <v>1811</v>
      </c>
      <c r="C5622" t="s">
        <v>8892</v>
      </c>
      <c r="D5622" t="s">
        <v>18109</v>
      </c>
      <c r="E5622" t="s">
        <v>21025</v>
      </c>
      <c r="F5622" t="s">
        <v>31362</v>
      </c>
      <c r="G5622" t="s">
        <v>31368</v>
      </c>
      <c r="H5622" t="s">
        <v>31377</v>
      </c>
      <c r="I5622" t="s">
        <v>31449</v>
      </c>
      <c r="J5622" t="s">
        <v>32127</v>
      </c>
      <c r="K5622" t="s">
        <v>40665</v>
      </c>
      <c r="M5622" t="s">
        <v>42893</v>
      </c>
      <c r="N5622" t="s">
        <v>44905</v>
      </c>
      <c r="O5622" t="s">
        <v>44906</v>
      </c>
      <c r="P5622">
        <v>0</v>
      </c>
      <c r="Q5622">
        <v>1</v>
      </c>
      <c r="R5622" t="s">
        <v>44909</v>
      </c>
      <c r="S5622" t="s">
        <v>45060</v>
      </c>
      <c r="T5622" t="s">
        <v>46414</v>
      </c>
      <c r="U5622" t="s">
        <v>51498</v>
      </c>
      <c r="W5622" t="s">
        <v>42893</v>
      </c>
      <c r="X5622" t="s">
        <v>44910</v>
      </c>
    </row>
    <row r="5623" spans="1:24">
      <c r="A5623">
        <f>HYPERLINK("https://www.philgeps.gov.ph/GEPSNONPILOT/Tender/SplashBidNoticeAbstractUI.aspx?menuIndex=3&amp;refID=7076760&amp;Result=3","7076760")</f>
        <v>0</v>
      </c>
      <c r="B5623" t="s">
        <v>333</v>
      </c>
      <c r="C5623" t="s">
        <v>8893</v>
      </c>
      <c r="D5623" t="s">
        <v>18155</v>
      </c>
      <c r="E5623" t="s">
        <v>23216</v>
      </c>
      <c r="F5623" t="s">
        <v>31362</v>
      </c>
      <c r="G5623" t="s">
        <v>31371</v>
      </c>
      <c r="H5623" t="s">
        <v>15799</v>
      </c>
      <c r="I5623" t="s">
        <v>31383</v>
      </c>
      <c r="J5623" t="s">
        <v>35079</v>
      </c>
      <c r="K5623" t="s">
        <v>40661</v>
      </c>
      <c r="M5623" t="s">
        <v>41279</v>
      </c>
      <c r="N5623" t="s">
        <v>44905</v>
      </c>
      <c r="O5623" t="s">
        <v>44906</v>
      </c>
      <c r="P5623">
        <v>0</v>
      </c>
      <c r="Q5623">
        <v>2</v>
      </c>
      <c r="R5623" t="s">
        <v>44909</v>
      </c>
      <c r="S5623" t="s">
        <v>45060</v>
      </c>
      <c r="T5623" t="s">
        <v>46411</v>
      </c>
      <c r="U5623" t="s">
        <v>51499</v>
      </c>
      <c r="W5623" t="s">
        <v>60847</v>
      </c>
      <c r="X5623" t="s">
        <v>44910</v>
      </c>
    </row>
    <row r="5624" spans="1:24">
      <c r="A5624">
        <f>HYPERLINK("https://www.philgeps.gov.ph/GEPSNONPILOT/Tender/SplashBidNoticeAbstractUI.aspx?menuIndex=3&amp;refID=7076788&amp;Result=3","7076788")</f>
        <v>0</v>
      </c>
      <c r="B5624" t="s">
        <v>1827</v>
      </c>
      <c r="C5624" t="s">
        <v>8894</v>
      </c>
      <c r="D5624" t="s">
        <v>18138</v>
      </c>
      <c r="E5624" t="s">
        <v>23217</v>
      </c>
      <c r="F5624" t="s">
        <v>31362</v>
      </c>
      <c r="G5624" t="s">
        <v>31368</v>
      </c>
      <c r="H5624" t="s">
        <v>15799</v>
      </c>
      <c r="I5624" t="s">
        <v>6865</v>
      </c>
      <c r="J5624" t="s">
        <v>31915</v>
      </c>
      <c r="K5624" t="s">
        <v>40670</v>
      </c>
      <c r="M5624" t="s">
        <v>42911</v>
      </c>
      <c r="N5624" t="s">
        <v>44905</v>
      </c>
      <c r="O5624" t="s">
        <v>44906</v>
      </c>
      <c r="P5624">
        <v>0</v>
      </c>
      <c r="Q5624">
        <v>4</v>
      </c>
      <c r="R5624" t="s">
        <v>44909</v>
      </c>
      <c r="S5624" t="s">
        <v>45060</v>
      </c>
      <c r="T5624" t="s">
        <v>46443</v>
      </c>
      <c r="U5624" t="s">
        <v>51480</v>
      </c>
      <c r="V5624" t="s">
        <v>59596</v>
      </c>
      <c r="W5624" t="s">
        <v>42911</v>
      </c>
      <c r="X5624" t="s">
        <v>44910</v>
      </c>
    </row>
    <row r="5625" spans="1:24">
      <c r="A5625">
        <f>HYPERLINK("https://www.philgeps.gov.ph/GEPSNONPILOT/Tender/SplashBidNoticeAbstractUI.aspx?menuIndex=3&amp;refID=7076785&amp;Result=3","7076785")</f>
        <v>0</v>
      </c>
      <c r="B5625" t="s">
        <v>1260</v>
      </c>
      <c r="C5625" t="s">
        <v>8895</v>
      </c>
      <c r="D5625" t="s">
        <v>18142</v>
      </c>
      <c r="E5625" t="s">
        <v>23218</v>
      </c>
      <c r="F5625" t="s">
        <v>31362</v>
      </c>
      <c r="G5625" t="s">
        <v>31369</v>
      </c>
      <c r="H5625" t="s">
        <v>31378</v>
      </c>
      <c r="I5625" t="s">
        <v>31386</v>
      </c>
      <c r="J5625" t="s">
        <v>31578</v>
      </c>
      <c r="K5625" t="s">
        <v>40665</v>
      </c>
      <c r="M5625" t="s">
        <v>42276</v>
      </c>
      <c r="N5625" t="s">
        <v>44905</v>
      </c>
      <c r="O5625" t="s">
        <v>44906</v>
      </c>
      <c r="P5625">
        <v>0</v>
      </c>
      <c r="Q5625">
        <v>0</v>
      </c>
      <c r="R5625" t="s">
        <v>44909</v>
      </c>
      <c r="S5625" t="s">
        <v>45060</v>
      </c>
      <c r="T5625" t="s">
        <v>46401</v>
      </c>
      <c r="U5625" t="s">
        <v>51433</v>
      </c>
      <c r="W5625" t="s">
        <v>42276</v>
      </c>
      <c r="X5625" t="s">
        <v>44910</v>
      </c>
    </row>
    <row r="5626" spans="1:24">
      <c r="A5626">
        <f>HYPERLINK("https://www.philgeps.gov.ph/GEPSNONPILOT/Tender/SplashBidNoticeAbstractUI.aspx?menuIndex=3&amp;refID=7076784&amp;Result=3","7076784")</f>
        <v>0</v>
      </c>
      <c r="B5626" t="s">
        <v>1831</v>
      </c>
      <c r="C5626" t="s">
        <v>8896</v>
      </c>
      <c r="D5626" t="s">
        <v>18167</v>
      </c>
      <c r="E5626" t="s">
        <v>23219</v>
      </c>
      <c r="F5626" t="s">
        <v>31362</v>
      </c>
      <c r="G5626" t="s">
        <v>31369</v>
      </c>
      <c r="H5626" t="s">
        <v>31378</v>
      </c>
      <c r="I5626" t="s">
        <v>31386</v>
      </c>
      <c r="J5626" t="s">
        <v>35080</v>
      </c>
      <c r="K5626" t="s">
        <v>40682</v>
      </c>
      <c r="M5626" t="s">
        <v>42917</v>
      </c>
      <c r="N5626" t="s">
        <v>44905</v>
      </c>
      <c r="O5626" t="s">
        <v>44906</v>
      </c>
      <c r="P5626">
        <v>0</v>
      </c>
      <c r="Q5626">
        <v>0</v>
      </c>
      <c r="R5626" t="s">
        <v>44909</v>
      </c>
      <c r="S5626" t="s">
        <v>45060</v>
      </c>
      <c r="T5626" t="s">
        <v>46608</v>
      </c>
      <c r="U5626" t="s">
        <v>51500</v>
      </c>
      <c r="W5626" t="s">
        <v>42917</v>
      </c>
      <c r="X5626" t="s">
        <v>44910</v>
      </c>
    </row>
    <row r="5627" spans="1:24">
      <c r="A5627">
        <f>HYPERLINK("https://www.philgeps.gov.ph/GEPSNONPILOT/Tender/SplashBidNoticeAbstractUI.aspx?menuIndex=3&amp;refID=7076797&amp;Result=3","7076797")</f>
        <v>0</v>
      </c>
      <c r="B5627" t="s">
        <v>579</v>
      </c>
      <c r="C5627" t="s">
        <v>8897</v>
      </c>
      <c r="D5627" t="s">
        <v>18112</v>
      </c>
      <c r="E5627" t="s">
        <v>23220</v>
      </c>
      <c r="F5627" t="s">
        <v>31362</v>
      </c>
      <c r="G5627" t="s">
        <v>31369</v>
      </c>
      <c r="H5627" t="s">
        <v>15799</v>
      </c>
      <c r="I5627" t="s">
        <v>31393</v>
      </c>
      <c r="J5627" t="s">
        <v>35081</v>
      </c>
      <c r="K5627" t="s">
        <v>40665</v>
      </c>
      <c r="M5627" t="s">
        <v>42918</v>
      </c>
      <c r="N5627" t="s">
        <v>44905</v>
      </c>
      <c r="O5627" t="s">
        <v>44906</v>
      </c>
      <c r="P5627">
        <v>0</v>
      </c>
      <c r="Q5627">
        <v>9</v>
      </c>
      <c r="R5627" t="s">
        <v>44909</v>
      </c>
      <c r="S5627" t="s">
        <v>45060</v>
      </c>
      <c r="T5627" t="s">
        <v>46433</v>
      </c>
      <c r="U5627" t="s">
        <v>51501</v>
      </c>
      <c r="W5627" t="s">
        <v>42918</v>
      </c>
      <c r="X5627" t="s">
        <v>44910</v>
      </c>
    </row>
    <row r="5628" spans="1:24">
      <c r="A5628">
        <f>HYPERLINK("https://www.philgeps.gov.ph/GEPSNONPILOT/Tender/SplashBidNoticeAbstractUI.aspx?menuIndex=3&amp;refID=7076783&amp;Result=3","7076783")</f>
        <v>0</v>
      </c>
      <c r="B5628" t="s">
        <v>1792</v>
      </c>
      <c r="C5628" t="s">
        <v>8898</v>
      </c>
      <c r="D5628" t="s">
        <v>18135</v>
      </c>
      <c r="E5628" t="s">
        <v>23221</v>
      </c>
      <c r="F5628" t="s">
        <v>31362</v>
      </c>
      <c r="G5628" t="s">
        <v>31368</v>
      </c>
      <c r="H5628" t="s">
        <v>15799</v>
      </c>
      <c r="I5628" t="s">
        <v>31394</v>
      </c>
      <c r="J5628" t="s">
        <v>31537</v>
      </c>
      <c r="K5628" t="s">
        <v>40661</v>
      </c>
      <c r="M5628" t="s">
        <v>42874</v>
      </c>
      <c r="N5628" t="s">
        <v>44905</v>
      </c>
      <c r="O5628" t="s">
        <v>44906</v>
      </c>
      <c r="P5628">
        <v>0</v>
      </c>
      <c r="Q5628">
        <v>1</v>
      </c>
      <c r="R5628" t="s">
        <v>44909</v>
      </c>
      <c r="S5628" t="s">
        <v>45060</v>
      </c>
      <c r="T5628" t="s">
        <v>46503</v>
      </c>
      <c r="U5628" t="s">
        <v>51386</v>
      </c>
      <c r="W5628" t="s">
        <v>42874</v>
      </c>
      <c r="X5628" t="s">
        <v>44910</v>
      </c>
    </row>
    <row r="5629" spans="1:24">
      <c r="A5629">
        <f>HYPERLINK("https://www.philgeps.gov.ph/GEPSNONPILOT/Tender/SplashBidNoticeAbstractUI.aspx?menuIndex=3&amp;refID=7076781&amp;Result=3","7076781")</f>
        <v>0</v>
      </c>
      <c r="B5629" t="s">
        <v>1832</v>
      </c>
      <c r="C5629" t="s">
        <v>8899</v>
      </c>
      <c r="D5629" t="s">
        <v>18163</v>
      </c>
      <c r="E5629" t="s">
        <v>23222</v>
      </c>
      <c r="F5629" t="s">
        <v>31363</v>
      </c>
      <c r="G5629" t="s">
        <v>31371</v>
      </c>
      <c r="H5629" t="s">
        <v>31379</v>
      </c>
      <c r="I5629" t="s">
        <v>31383</v>
      </c>
      <c r="J5629" t="s">
        <v>35082</v>
      </c>
      <c r="K5629" t="s">
        <v>40661</v>
      </c>
      <c r="M5629" t="s">
        <v>42919</v>
      </c>
      <c r="N5629" t="s">
        <v>44905</v>
      </c>
      <c r="O5629" t="s">
        <v>44906</v>
      </c>
      <c r="P5629">
        <v>0</v>
      </c>
      <c r="Q5629">
        <v>1</v>
      </c>
      <c r="R5629" t="s">
        <v>44909</v>
      </c>
      <c r="S5629" t="s">
        <v>45060</v>
      </c>
      <c r="T5629" t="s">
        <v>46400</v>
      </c>
      <c r="U5629" t="s">
        <v>51502</v>
      </c>
      <c r="W5629" t="s">
        <v>42919</v>
      </c>
      <c r="X5629" t="s">
        <v>44910</v>
      </c>
    </row>
    <row r="5630" spans="1:24">
      <c r="A5630">
        <f>HYPERLINK("https://www.philgeps.gov.ph/GEPSNONPILOT/Tender/SplashBidNoticeAbstractUI.aspx?menuIndex=3&amp;refID=7076794&amp;Result=3","7076794")</f>
        <v>0</v>
      </c>
      <c r="B5630" t="s">
        <v>1648</v>
      </c>
      <c r="C5630" t="s">
        <v>8900</v>
      </c>
      <c r="D5630" t="s">
        <v>18104</v>
      </c>
      <c r="E5630" t="s">
        <v>23223</v>
      </c>
      <c r="F5630" t="s">
        <v>31362</v>
      </c>
      <c r="G5630" t="s">
        <v>31368</v>
      </c>
      <c r="H5630" t="s">
        <v>15799</v>
      </c>
      <c r="I5630" t="s">
        <v>31444</v>
      </c>
      <c r="J5630" t="s">
        <v>35083</v>
      </c>
      <c r="K5630" t="s">
        <v>40662</v>
      </c>
      <c r="M5630" t="s">
        <v>42713</v>
      </c>
      <c r="N5630" t="s">
        <v>44905</v>
      </c>
      <c r="O5630" t="s">
        <v>44906</v>
      </c>
      <c r="P5630">
        <v>0</v>
      </c>
      <c r="Q5630">
        <v>3</v>
      </c>
      <c r="R5630" t="s">
        <v>44909</v>
      </c>
      <c r="S5630" t="s">
        <v>45060</v>
      </c>
      <c r="T5630" t="s">
        <v>46414</v>
      </c>
      <c r="U5630" t="s">
        <v>51503</v>
      </c>
      <c r="W5630" t="s">
        <v>42713</v>
      </c>
      <c r="X5630" t="s">
        <v>44910</v>
      </c>
    </row>
    <row r="5631" spans="1:24">
      <c r="A5631">
        <f>HYPERLINK("https://www.philgeps.gov.ph/GEPSNONPILOT/Tender/SplashBidNoticeAbstractUI.aspx?menuIndex=3&amp;refID=7076779&amp;Result=3","7076779")</f>
        <v>0</v>
      </c>
      <c r="B5631" t="s">
        <v>1796</v>
      </c>
      <c r="C5631" t="s">
        <v>8901</v>
      </c>
      <c r="D5631" t="s">
        <v>18108</v>
      </c>
      <c r="E5631" t="s">
        <v>23224</v>
      </c>
      <c r="F5631" t="s">
        <v>31362</v>
      </c>
      <c r="G5631" t="s">
        <v>31368</v>
      </c>
      <c r="H5631" t="s">
        <v>15799</v>
      </c>
      <c r="I5631" t="s">
        <v>31397</v>
      </c>
      <c r="J5631" t="s">
        <v>35084</v>
      </c>
      <c r="K5631" t="s">
        <v>40666</v>
      </c>
      <c r="M5631" t="s">
        <v>42878</v>
      </c>
      <c r="N5631" t="s">
        <v>44905</v>
      </c>
      <c r="O5631" t="s">
        <v>44906</v>
      </c>
      <c r="P5631">
        <v>0</v>
      </c>
      <c r="Q5631">
        <v>4</v>
      </c>
      <c r="R5631" t="s">
        <v>44909</v>
      </c>
      <c r="S5631" t="s">
        <v>45060</v>
      </c>
      <c r="T5631" t="s">
        <v>46480</v>
      </c>
      <c r="U5631" t="s">
        <v>51504</v>
      </c>
      <c r="W5631" t="s">
        <v>42878</v>
      </c>
      <c r="X5631" t="s">
        <v>44910</v>
      </c>
    </row>
    <row r="5632" spans="1:24">
      <c r="A5632">
        <f>HYPERLINK("https://www.philgeps.gov.ph/GEPSNONPILOT/Tender/SplashBidNoticeAbstractUI.aspx?menuIndex=3&amp;refID=7076761&amp;Result=3","7076761")</f>
        <v>0</v>
      </c>
      <c r="B5632" t="s">
        <v>325</v>
      </c>
      <c r="C5632" t="s">
        <v>8902</v>
      </c>
      <c r="E5632" t="s">
        <v>23225</v>
      </c>
      <c r="F5632" t="s">
        <v>31362</v>
      </c>
      <c r="G5632" t="s">
        <v>31368</v>
      </c>
      <c r="H5632" t="s">
        <v>15799</v>
      </c>
      <c r="I5632" t="s">
        <v>31414</v>
      </c>
      <c r="J5632" t="s">
        <v>31564</v>
      </c>
      <c r="K5632" t="s">
        <v>40662</v>
      </c>
      <c r="M5632" t="s">
        <v>41271</v>
      </c>
      <c r="N5632" t="s">
        <v>44905</v>
      </c>
      <c r="O5632" t="s">
        <v>44906</v>
      </c>
      <c r="P5632">
        <v>0</v>
      </c>
      <c r="Q5632">
        <v>1</v>
      </c>
      <c r="R5632" t="s">
        <v>44909</v>
      </c>
      <c r="S5632" t="s">
        <v>45060</v>
      </c>
      <c r="T5632" t="s">
        <v>46394</v>
      </c>
      <c r="U5632" t="s">
        <v>51505</v>
      </c>
      <c r="W5632" t="s">
        <v>41271</v>
      </c>
      <c r="X5632" t="s">
        <v>44910</v>
      </c>
    </row>
    <row r="5633" spans="1:24">
      <c r="A5633">
        <f>HYPERLINK("https://www.philgeps.gov.ph/GEPSNONPILOT/Tender/SplashBidNoticeAbstractUI.aspx?menuIndex=3&amp;refID=7076796&amp;Result=3","7076796")</f>
        <v>0</v>
      </c>
      <c r="B5633" t="s">
        <v>1260</v>
      </c>
      <c r="C5633" t="s">
        <v>8903</v>
      </c>
      <c r="D5633" t="s">
        <v>18142</v>
      </c>
      <c r="E5633" t="s">
        <v>23226</v>
      </c>
      <c r="F5633" t="s">
        <v>31362</v>
      </c>
      <c r="G5633" t="s">
        <v>31369</v>
      </c>
      <c r="H5633" t="s">
        <v>31378</v>
      </c>
      <c r="I5633" t="s">
        <v>31386</v>
      </c>
      <c r="J5633" t="s">
        <v>31591</v>
      </c>
      <c r="K5633" t="s">
        <v>40676</v>
      </c>
      <c r="M5633" t="s">
        <v>42276</v>
      </c>
      <c r="N5633" t="s">
        <v>44905</v>
      </c>
      <c r="O5633" t="s">
        <v>44906</v>
      </c>
      <c r="P5633">
        <v>0</v>
      </c>
      <c r="Q5633">
        <v>0</v>
      </c>
      <c r="R5633" t="s">
        <v>44909</v>
      </c>
      <c r="S5633" t="s">
        <v>45060</v>
      </c>
      <c r="T5633" t="s">
        <v>46401</v>
      </c>
      <c r="U5633" t="s">
        <v>51433</v>
      </c>
      <c r="W5633" t="s">
        <v>42276</v>
      </c>
      <c r="X5633" t="s">
        <v>44910</v>
      </c>
    </row>
    <row r="5634" spans="1:24">
      <c r="A5634">
        <f>HYPERLINK("https://www.philgeps.gov.ph/GEPSNONPILOT/Tender/SplashBidNoticeAbstractUI.aspx?menuIndex=3&amp;refID=7076701&amp;Result=3","7076701")</f>
        <v>0</v>
      </c>
      <c r="B5634" t="s">
        <v>1824</v>
      </c>
      <c r="C5634" t="s">
        <v>8904</v>
      </c>
      <c r="D5634" t="s">
        <v>18101</v>
      </c>
      <c r="E5634" t="s">
        <v>23227</v>
      </c>
      <c r="F5634" t="s">
        <v>31362</v>
      </c>
      <c r="G5634" t="s">
        <v>31369</v>
      </c>
      <c r="H5634" t="s">
        <v>31378</v>
      </c>
      <c r="I5634" t="s">
        <v>31386</v>
      </c>
      <c r="J5634" t="s">
        <v>34081</v>
      </c>
      <c r="K5634" t="s">
        <v>40679</v>
      </c>
      <c r="M5634" t="s">
        <v>42908</v>
      </c>
      <c r="N5634" t="s">
        <v>44905</v>
      </c>
      <c r="O5634" t="s">
        <v>44906</v>
      </c>
      <c r="P5634">
        <v>0</v>
      </c>
      <c r="Q5634">
        <v>0</v>
      </c>
      <c r="R5634" t="s">
        <v>44909</v>
      </c>
      <c r="S5634" t="s">
        <v>45060</v>
      </c>
      <c r="T5634" t="s">
        <v>46419</v>
      </c>
      <c r="U5634" t="s">
        <v>51506</v>
      </c>
      <c r="W5634" t="s">
        <v>42908</v>
      </c>
      <c r="X5634" t="s">
        <v>44910</v>
      </c>
    </row>
    <row r="5635" spans="1:24">
      <c r="A5635">
        <f>HYPERLINK("https://www.philgeps.gov.ph/GEPSNONPILOT/Tender/SplashBidNoticeAbstractUI.aspx?menuIndex=3&amp;refID=7076697&amp;Result=3","7076697")</f>
        <v>0</v>
      </c>
      <c r="B5635" t="s">
        <v>1833</v>
      </c>
      <c r="C5635" t="s">
        <v>8905</v>
      </c>
      <c r="D5635" t="s">
        <v>18170</v>
      </c>
      <c r="E5635" t="s">
        <v>23228</v>
      </c>
      <c r="F5635" t="s">
        <v>31362</v>
      </c>
      <c r="G5635" t="s">
        <v>31369</v>
      </c>
      <c r="H5635" t="s">
        <v>31378</v>
      </c>
      <c r="I5635" t="s">
        <v>31386</v>
      </c>
      <c r="J5635" t="s">
        <v>32739</v>
      </c>
      <c r="K5635" t="s">
        <v>40665</v>
      </c>
      <c r="L5635" t="s">
        <v>1833</v>
      </c>
      <c r="M5635" t="s">
        <v>42920</v>
      </c>
      <c r="N5635" t="s">
        <v>44905</v>
      </c>
      <c r="O5635" t="s">
        <v>44906</v>
      </c>
      <c r="P5635">
        <v>0</v>
      </c>
      <c r="Q5635">
        <v>0</v>
      </c>
      <c r="R5635" t="s">
        <v>44909</v>
      </c>
      <c r="S5635" t="s">
        <v>45060</v>
      </c>
      <c r="T5635" t="s">
        <v>46425</v>
      </c>
      <c r="U5635" t="s">
        <v>51507</v>
      </c>
      <c r="W5635" t="s">
        <v>42920</v>
      </c>
      <c r="X5635" t="s">
        <v>44910</v>
      </c>
    </row>
    <row r="5636" spans="1:24">
      <c r="A5636">
        <f>HYPERLINK("https://www.philgeps.gov.ph/GEPSNONPILOT/Tender/SplashBidNoticeAbstractUI.aspx?menuIndex=3&amp;refID=7076695&amp;Result=3","7076695")</f>
        <v>0</v>
      </c>
      <c r="B5636" t="s">
        <v>1706</v>
      </c>
      <c r="C5636" t="s">
        <v>8906</v>
      </c>
      <c r="D5636" t="s">
        <v>18112</v>
      </c>
      <c r="E5636" t="s">
        <v>23229</v>
      </c>
      <c r="F5636" t="s">
        <v>31362</v>
      </c>
      <c r="G5636" t="s">
        <v>31369</v>
      </c>
      <c r="H5636" t="s">
        <v>15799</v>
      </c>
      <c r="I5636" t="s">
        <v>31409</v>
      </c>
      <c r="J5636" t="s">
        <v>35085</v>
      </c>
      <c r="K5636" t="s">
        <v>40665</v>
      </c>
      <c r="M5636" t="s">
        <v>42773</v>
      </c>
      <c r="N5636" t="s">
        <v>44905</v>
      </c>
      <c r="O5636" t="s">
        <v>44906</v>
      </c>
      <c r="P5636">
        <v>0</v>
      </c>
      <c r="Q5636">
        <v>0</v>
      </c>
      <c r="R5636" t="s">
        <v>44909</v>
      </c>
      <c r="S5636" t="s">
        <v>45060</v>
      </c>
      <c r="T5636" t="s">
        <v>46588</v>
      </c>
      <c r="U5636" t="s">
        <v>51508</v>
      </c>
      <c r="V5636" t="s">
        <v>59557</v>
      </c>
      <c r="W5636" t="s">
        <v>42773</v>
      </c>
      <c r="X5636" t="s">
        <v>44910</v>
      </c>
    </row>
    <row r="5637" spans="1:24">
      <c r="A5637">
        <f>HYPERLINK("https://www.philgeps.gov.ph/GEPSNONPILOT/Tender/SplashBidNoticeAbstractUI.aspx?menuIndex=3&amp;refID=7076673&amp;Result=3","7076673")</f>
        <v>0</v>
      </c>
      <c r="B5637" t="s">
        <v>958</v>
      </c>
      <c r="C5637" t="s">
        <v>8907</v>
      </c>
      <c r="D5637" t="s">
        <v>18141</v>
      </c>
      <c r="E5637" t="s">
        <v>23230</v>
      </c>
      <c r="F5637" t="s">
        <v>31362</v>
      </c>
      <c r="G5637" t="s">
        <v>31370</v>
      </c>
      <c r="H5637" t="s">
        <v>15799</v>
      </c>
      <c r="I5637" t="s">
        <v>7719</v>
      </c>
      <c r="J5637" t="s">
        <v>35086</v>
      </c>
      <c r="K5637" t="s">
        <v>40665</v>
      </c>
      <c r="M5637" t="s">
        <v>41946</v>
      </c>
      <c r="N5637" t="s">
        <v>44905</v>
      </c>
      <c r="O5637" t="s">
        <v>44906</v>
      </c>
      <c r="P5637">
        <v>0</v>
      </c>
      <c r="Q5637">
        <v>7</v>
      </c>
      <c r="R5637" t="s">
        <v>44909</v>
      </c>
      <c r="S5637" t="s">
        <v>45060</v>
      </c>
      <c r="T5637" t="s">
        <v>46432</v>
      </c>
      <c r="U5637" t="s">
        <v>51509</v>
      </c>
      <c r="W5637" t="s">
        <v>41946</v>
      </c>
      <c r="X5637" t="s">
        <v>44910</v>
      </c>
    </row>
    <row r="5638" spans="1:24">
      <c r="A5638">
        <f>HYPERLINK("https://www.philgeps.gov.ph/GEPSNONPILOT/Tender/SplashBidNoticeAbstractUI.aspx?menuIndex=3&amp;refID=7076672&amp;Result=3","7076672")</f>
        <v>0</v>
      </c>
      <c r="B5638" t="s">
        <v>119</v>
      </c>
      <c r="C5638" t="s">
        <v>8908</v>
      </c>
      <c r="D5638" t="s">
        <v>18108</v>
      </c>
      <c r="E5638" t="s">
        <v>23231</v>
      </c>
      <c r="F5638" t="s">
        <v>31362</v>
      </c>
      <c r="G5638" t="s">
        <v>31368</v>
      </c>
      <c r="H5638" t="s">
        <v>15799</v>
      </c>
      <c r="I5638" t="s">
        <v>31396</v>
      </c>
      <c r="J5638" t="s">
        <v>35087</v>
      </c>
      <c r="K5638" t="s">
        <v>40661</v>
      </c>
      <c r="M5638" t="s">
        <v>41056</v>
      </c>
      <c r="N5638" t="s">
        <v>44905</v>
      </c>
      <c r="O5638" t="s">
        <v>44906</v>
      </c>
      <c r="P5638">
        <v>0</v>
      </c>
      <c r="Q5638">
        <v>5</v>
      </c>
      <c r="R5638" t="s">
        <v>44909</v>
      </c>
      <c r="S5638" t="s">
        <v>45060</v>
      </c>
      <c r="T5638" t="s">
        <v>46497</v>
      </c>
      <c r="U5638" t="s">
        <v>51510</v>
      </c>
      <c r="W5638" t="s">
        <v>41056</v>
      </c>
      <c r="X5638" t="s">
        <v>44910</v>
      </c>
    </row>
    <row r="5639" spans="1:24">
      <c r="A5639">
        <f>HYPERLINK("https://www.philgeps.gov.ph/GEPSNONPILOT/Tender/SplashBidNoticeAbstractUI.aspx?menuIndex=3&amp;refID=7076786&amp;Result=3","7076786")</f>
        <v>0</v>
      </c>
      <c r="B5639" t="s">
        <v>472</v>
      </c>
      <c r="C5639" t="s">
        <v>8909</v>
      </c>
      <c r="D5639" t="s">
        <v>18134</v>
      </c>
      <c r="E5639" t="s">
        <v>23232</v>
      </c>
      <c r="F5639" t="s">
        <v>31362</v>
      </c>
      <c r="G5639" t="s">
        <v>31368</v>
      </c>
      <c r="H5639" t="s">
        <v>15799</v>
      </c>
      <c r="I5639" t="s">
        <v>31414</v>
      </c>
      <c r="J5639" t="s">
        <v>33090</v>
      </c>
      <c r="K5639" t="s">
        <v>40718</v>
      </c>
      <c r="M5639" t="s">
        <v>42842</v>
      </c>
      <c r="N5639" t="s">
        <v>44905</v>
      </c>
      <c r="O5639" t="s">
        <v>44906</v>
      </c>
      <c r="P5639">
        <v>0</v>
      </c>
      <c r="Q5639">
        <v>2</v>
      </c>
      <c r="R5639" t="s">
        <v>44909</v>
      </c>
      <c r="S5639" t="s">
        <v>45060</v>
      </c>
      <c r="T5639" t="s">
        <v>46454</v>
      </c>
      <c r="U5639" t="s">
        <v>51511</v>
      </c>
      <c r="W5639" t="s">
        <v>42842</v>
      </c>
      <c r="X5639" t="s">
        <v>44910</v>
      </c>
    </row>
    <row r="5640" spans="1:24">
      <c r="A5640">
        <f>HYPERLINK("https://www.philgeps.gov.ph/GEPSNONPILOT/Tender/SplashBidNoticeAbstractUI.aspx?menuIndex=3&amp;refID=7076780&amp;Result=3","7076780")</f>
        <v>0</v>
      </c>
      <c r="B5640" t="s">
        <v>1260</v>
      </c>
      <c r="C5640" t="s">
        <v>8910</v>
      </c>
      <c r="D5640" t="s">
        <v>18142</v>
      </c>
      <c r="E5640" t="s">
        <v>23233</v>
      </c>
      <c r="F5640" t="s">
        <v>31362</v>
      </c>
      <c r="G5640" t="s">
        <v>31369</v>
      </c>
      <c r="H5640" t="s">
        <v>31378</v>
      </c>
      <c r="I5640" t="s">
        <v>31386</v>
      </c>
      <c r="J5640" t="s">
        <v>31578</v>
      </c>
      <c r="K5640" t="s">
        <v>40665</v>
      </c>
      <c r="M5640" t="s">
        <v>42276</v>
      </c>
      <c r="N5640" t="s">
        <v>44905</v>
      </c>
      <c r="O5640" t="s">
        <v>44906</v>
      </c>
      <c r="P5640">
        <v>0</v>
      </c>
      <c r="Q5640">
        <v>0</v>
      </c>
      <c r="R5640" t="s">
        <v>44909</v>
      </c>
      <c r="S5640" t="s">
        <v>45060</v>
      </c>
      <c r="T5640" t="s">
        <v>46401</v>
      </c>
      <c r="U5640" t="s">
        <v>51433</v>
      </c>
      <c r="W5640" t="s">
        <v>42276</v>
      </c>
      <c r="X5640" t="s">
        <v>44910</v>
      </c>
    </row>
    <row r="5641" spans="1:24">
      <c r="A5641">
        <f>HYPERLINK("https://www.philgeps.gov.ph/GEPSNONPILOT/Tender/SplashBidNoticeAbstractUI.aspx?menuIndex=3&amp;refID=7076669&amp;Result=3","7076669")</f>
        <v>0</v>
      </c>
      <c r="B5641" t="s">
        <v>1834</v>
      </c>
      <c r="C5641" t="s">
        <v>8911</v>
      </c>
      <c r="D5641" t="s">
        <v>18153</v>
      </c>
      <c r="E5641" t="s">
        <v>23234</v>
      </c>
      <c r="F5641" t="s">
        <v>31362</v>
      </c>
      <c r="G5641" t="s">
        <v>31368</v>
      </c>
      <c r="H5641" t="s">
        <v>15799</v>
      </c>
      <c r="I5641" t="s">
        <v>4057</v>
      </c>
      <c r="J5641" t="s">
        <v>31793</v>
      </c>
      <c r="K5641" t="s">
        <v>40672</v>
      </c>
      <c r="M5641" t="s">
        <v>42921</v>
      </c>
      <c r="N5641" t="s">
        <v>44905</v>
      </c>
      <c r="O5641" t="s">
        <v>44906</v>
      </c>
      <c r="P5641">
        <v>0</v>
      </c>
      <c r="Q5641">
        <v>0</v>
      </c>
      <c r="R5641" t="s">
        <v>44909</v>
      </c>
      <c r="S5641" t="s">
        <v>45060</v>
      </c>
      <c r="T5641" t="s">
        <v>46483</v>
      </c>
      <c r="U5641" t="s">
        <v>51512</v>
      </c>
      <c r="W5641" t="s">
        <v>42921</v>
      </c>
      <c r="X5641" t="s">
        <v>44910</v>
      </c>
    </row>
    <row r="5642" spans="1:24">
      <c r="A5642">
        <f>HYPERLINK("https://www.philgeps.gov.ph/GEPSNONPILOT/Tender/SplashBidNoticeAbstractUI.aspx?menuIndex=3&amp;refID=7076674&amp;Result=3","7076674")</f>
        <v>0</v>
      </c>
      <c r="B5642" t="s">
        <v>1260</v>
      </c>
      <c r="C5642" t="s">
        <v>8912</v>
      </c>
      <c r="D5642" t="s">
        <v>18142</v>
      </c>
      <c r="E5642" t="s">
        <v>23235</v>
      </c>
      <c r="F5642" t="s">
        <v>31362</v>
      </c>
      <c r="G5642" t="s">
        <v>31369</v>
      </c>
      <c r="H5642" t="s">
        <v>31378</v>
      </c>
      <c r="I5642" t="s">
        <v>31386</v>
      </c>
      <c r="J5642" t="s">
        <v>31531</v>
      </c>
      <c r="K5642" t="s">
        <v>40665</v>
      </c>
      <c r="M5642" t="s">
        <v>42276</v>
      </c>
      <c r="N5642" t="s">
        <v>44905</v>
      </c>
      <c r="O5642" t="s">
        <v>44906</v>
      </c>
      <c r="P5642">
        <v>0</v>
      </c>
      <c r="Q5642">
        <v>0</v>
      </c>
      <c r="R5642" t="s">
        <v>44909</v>
      </c>
      <c r="S5642" t="s">
        <v>45060</v>
      </c>
      <c r="T5642" t="s">
        <v>46401</v>
      </c>
      <c r="U5642" t="s">
        <v>51433</v>
      </c>
      <c r="W5642" t="s">
        <v>42276</v>
      </c>
      <c r="X5642" t="s">
        <v>44910</v>
      </c>
    </row>
    <row r="5643" spans="1:24">
      <c r="A5643">
        <f>HYPERLINK("https://www.philgeps.gov.ph/GEPSNONPILOT/Tender/SplashBidNoticeAbstractUI.aspx?menuIndex=3&amp;refID=7076666&amp;Result=3","7076666")</f>
        <v>0</v>
      </c>
      <c r="B5643" t="s">
        <v>913</v>
      </c>
      <c r="C5643" t="s">
        <v>5734</v>
      </c>
      <c r="D5643" t="s">
        <v>18176</v>
      </c>
      <c r="E5643" t="s">
        <v>23236</v>
      </c>
      <c r="F5643" t="s">
        <v>31362</v>
      </c>
      <c r="G5643" t="s">
        <v>31369</v>
      </c>
      <c r="H5643" t="s">
        <v>15799</v>
      </c>
      <c r="I5643" t="s">
        <v>7188</v>
      </c>
      <c r="J5643" t="s">
        <v>32725</v>
      </c>
      <c r="K5643" t="s">
        <v>40670</v>
      </c>
      <c r="M5643" t="s">
        <v>41896</v>
      </c>
      <c r="N5643" t="s">
        <v>44905</v>
      </c>
      <c r="O5643" t="s">
        <v>44906</v>
      </c>
      <c r="P5643">
        <v>0</v>
      </c>
      <c r="Q5643">
        <v>2</v>
      </c>
      <c r="R5643" t="s">
        <v>44909</v>
      </c>
      <c r="S5643" t="s">
        <v>45060</v>
      </c>
      <c r="T5643" t="s">
        <v>46426</v>
      </c>
      <c r="U5643" t="s">
        <v>51513</v>
      </c>
      <c r="W5643" t="s">
        <v>41896</v>
      </c>
      <c r="X5643" t="s">
        <v>44910</v>
      </c>
    </row>
    <row r="5644" spans="1:24">
      <c r="A5644">
        <f>HYPERLINK("https://www.philgeps.gov.ph/GEPSNONPILOT/Tender/SplashBidNoticeAbstractUI.aspx?menuIndex=3&amp;refID=7076752&amp;Result=3","7076752")</f>
        <v>0</v>
      </c>
      <c r="B5644" t="s">
        <v>1365</v>
      </c>
      <c r="C5644" t="s">
        <v>8913</v>
      </c>
      <c r="D5644" t="s">
        <v>18115</v>
      </c>
      <c r="E5644" t="s">
        <v>20378</v>
      </c>
      <c r="F5644" t="s">
        <v>31362</v>
      </c>
      <c r="G5644" t="s">
        <v>31368</v>
      </c>
      <c r="H5644" t="s">
        <v>15799</v>
      </c>
      <c r="I5644" t="s">
        <v>3815</v>
      </c>
      <c r="J5644" t="s">
        <v>31545</v>
      </c>
      <c r="K5644" t="s">
        <v>40666</v>
      </c>
      <c r="M5644" t="s">
        <v>42386</v>
      </c>
      <c r="N5644" t="s">
        <v>44905</v>
      </c>
      <c r="O5644" t="s">
        <v>44906</v>
      </c>
      <c r="P5644">
        <v>0</v>
      </c>
      <c r="Q5644">
        <v>1</v>
      </c>
      <c r="R5644" t="s">
        <v>44909</v>
      </c>
      <c r="S5644" t="s">
        <v>45060</v>
      </c>
      <c r="T5644" t="s">
        <v>46425</v>
      </c>
      <c r="U5644" t="s">
        <v>51514</v>
      </c>
      <c r="V5644" t="s">
        <v>59597</v>
      </c>
      <c r="W5644" t="s">
        <v>42386</v>
      </c>
      <c r="X5644" t="s">
        <v>44910</v>
      </c>
    </row>
    <row r="5645" spans="1:24">
      <c r="A5645">
        <f>HYPERLINK("https://www.philgeps.gov.ph/GEPSNONPILOT/Tender/SplashBidNoticeAbstractUI.aspx?menuIndex=3&amp;refID=7076641&amp;Result=3","7076641")</f>
        <v>0</v>
      </c>
      <c r="B5645" t="s">
        <v>1562</v>
      </c>
      <c r="C5645" t="s">
        <v>8914</v>
      </c>
      <c r="D5645" t="s">
        <v>18140</v>
      </c>
      <c r="E5645" t="s">
        <v>23237</v>
      </c>
      <c r="F5645" t="s">
        <v>31362</v>
      </c>
      <c r="G5645" t="s">
        <v>31369</v>
      </c>
      <c r="H5645" t="s">
        <v>31377</v>
      </c>
      <c r="I5645" t="s">
        <v>31377</v>
      </c>
      <c r="J5645" t="s">
        <v>35088</v>
      </c>
      <c r="K5645" t="s">
        <v>40686</v>
      </c>
      <c r="M5645" t="s">
        <v>42614</v>
      </c>
      <c r="N5645" t="s">
        <v>44905</v>
      </c>
      <c r="O5645" t="s">
        <v>44906</v>
      </c>
      <c r="P5645">
        <v>0</v>
      </c>
      <c r="Q5645">
        <v>2</v>
      </c>
      <c r="R5645" t="s">
        <v>44909</v>
      </c>
      <c r="S5645" t="s">
        <v>45060</v>
      </c>
      <c r="T5645" t="s">
        <v>46435</v>
      </c>
      <c r="U5645" t="s">
        <v>51515</v>
      </c>
      <c r="W5645" t="s">
        <v>42614</v>
      </c>
      <c r="X5645" t="s">
        <v>44910</v>
      </c>
    </row>
    <row r="5646" spans="1:24">
      <c r="A5646">
        <f>HYPERLINK("https://www.philgeps.gov.ph/GEPSNONPILOT/Tender/SplashBidNoticeAbstractUI.aspx?menuIndex=3&amp;refID=7076778&amp;Result=3","7076778")</f>
        <v>0</v>
      </c>
      <c r="B5646" t="s">
        <v>345</v>
      </c>
      <c r="C5646" t="s">
        <v>8915</v>
      </c>
      <c r="D5646" t="s">
        <v>18149</v>
      </c>
      <c r="E5646" t="s">
        <v>23238</v>
      </c>
      <c r="F5646" t="s">
        <v>31362</v>
      </c>
      <c r="G5646" t="s">
        <v>31368</v>
      </c>
      <c r="H5646" t="s">
        <v>15799</v>
      </c>
      <c r="I5646" t="s">
        <v>31385</v>
      </c>
      <c r="J5646" t="s">
        <v>35089</v>
      </c>
      <c r="K5646" t="s">
        <v>40693</v>
      </c>
      <c r="M5646" t="s">
        <v>41291</v>
      </c>
      <c r="N5646" t="s">
        <v>44905</v>
      </c>
      <c r="O5646" t="s">
        <v>44906</v>
      </c>
      <c r="P5646">
        <v>0</v>
      </c>
      <c r="Q5646">
        <v>0</v>
      </c>
      <c r="R5646" t="s">
        <v>44909</v>
      </c>
      <c r="S5646" t="s">
        <v>45060</v>
      </c>
      <c r="T5646" t="s">
        <v>46580</v>
      </c>
      <c r="U5646" t="s">
        <v>50405</v>
      </c>
      <c r="W5646" t="s">
        <v>41291</v>
      </c>
      <c r="X5646" t="s">
        <v>44910</v>
      </c>
    </row>
    <row r="5647" spans="1:24">
      <c r="A5647">
        <f>HYPERLINK("https://www.philgeps.gov.ph/GEPSNONPILOT/Tender/SplashBidNoticeAbstractUI.aspx?menuIndex=3&amp;refID=7076639&amp;Result=3","7076639")</f>
        <v>0</v>
      </c>
      <c r="B5647" t="s">
        <v>1600</v>
      </c>
      <c r="C5647" t="s">
        <v>8916</v>
      </c>
      <c r="D5647" t="s">
        <v>18108</v>
      </c>
      <c r="E5647" t="s">
        <v>22512</v>
      </c>
      <c r="F5647" t="s">
        <v>31362</v>
      </c>
      <c r="G5647" t="s">
        <v>31368</v>
      </c>
      <c r="H5647" t="s">
        <v>15799</v>
      </c>
      <c r="I5647" t="s">
        <v>6373</v>
      </c>
      <c r="J5647" t="s">
        <v>35090</v>
      </c>
      <c r="K5647" t="s">
        <v>40661</v>
      </c>
      <c r="M5647" t="s">
        <v>42659</v>
      </c>
      <c r="N5647" t="s">
        <v>44905</v>
      </c>
      <c r="O5647" t="s">
        <v>44906</v>
      </c>
      <c r="P5647">
        <v>0</v>
      </c>
      <c r="Q5647">
        <v>10</v>
      </c>
      <c r="R5647" t="s">
        <v>44909</v>
      </c>
      <c r="S5647" t="s">
        <v>45060</v>
      </c>
      <c r="T5647" t="s">
        <v>46454</v>
      </c>
      <c r="U5647" t="s">
        <v>51516</v>
      </c>
      <c r="W5647" t="s">
        <v>42659</v>
      </c>
      <c r="X5647" t="s">
        <v>44910</v>
      </c>
    </row>
    <row r="5648" spans="1:24">
      <c r="A5648">
        <f>HYPERLINK("https://www.philgeps.gov.ph/GEPSNONPILOT/Tender/SplashBidNoticeAbstractUI.aspx?menuIndex=3&amp;refID=7076667&amp;Result=3","7076667")</f>
        <v>0</v>
      </c>
      <c r="B5648" t="s">
        <v>1260</v>
      </c>
      <c r="C5648" t="s">
        <v>8917</v>
      </c>
      <c r="D5648" t="s">
        <v>18142</v>
      </c>
      <c r="E5648" t="s">
        <v>23239</v>
      </c>
      <c r="F5648" t="s">
        <v>31362</v>
      </c>
      <c r="G5648" t="s">
        <v>31369</v>
      </c>
      <c r="H5648" t="s">
        <v>31378</v>
      </c>
      <c r="I5648" t="s">
        <v>31386</v>
      </c>
      <c r="J5648" t="s">
        <v>31578</v>
      </c>
      <c r="K5648" t="s">
        <v>40665</v>
      </c>
      <c r="M5648" t="s">
        <v>42276</v>
      </c>
      <c r="N5648" t="s">
        <v>44905</v>
      </c>
      <c r="O5648" t="s">
        <v>44906</v>
      </c>
      <c r="P5648">
        <v>0</v>
      </c>
      <c r="Q5648">
        <v>0</v>
      </c>
      <c r="R5648" t="s">
        <v>44909</v>
      </c>
      <c r="S5648" t="s">
        <v>45060</v>
      </c>
      <c r="T5648" t="s">
        <v>46401</v>
      </c>
      <c r="U5648" t="s">
        <v>51433</v>
      </c>
      <c r="W5648" t="s">
        <v>42276</v>
      </c>
      <c r="X5648" t="s">
        <v>44910</v>
      </c>
    </row>
    <row r="5649" spans="1:24">
      <c r="A5649">
        <f>HYPERLINK("https://www.philgeps.gov.ph/GEPSNONPILOT/Tender/SplashBidNoticeAbstractUI.aspx?menuIndex=3&amp;refID=7076644&amp;Result=3","7076644")</f>
        <v>0</v>
      </c>
      <c r="B5649" t="s">
        <v>1811</v>
      </c>
      <c r="C5649" t="s">
        <v>8803</v>
      </c>
      <c r="D5649" t="s">
        <v>18109</v>
      </c>
      <c r="E5649" t="s">
        <v>20179</v>
      </c>
      <c r="F5649" t="s">
        <v>31362</v>
      </c>
      <c r="G5649" t="s">
        <v>31368</v>
      </c>
      <c r="H5649" t="s">
        <v>15799</v>
      </c>
      <c r="I5649" t="s">
        <v>31385</v>
      </c>
      <c r="J5649" t="s">
        <v>33680</v>
      </c>
      <c r="K5649" t="s">
        <v>40665</v>
      </c>
      <c r="M5649" t="s">
        <v>42893</v>
      </c>
      <c r="N5649" t="s">
        <v>44905</v>
      </c>
      <c r="O5649" t="s">
        <v>44906</v>
      </c>
      <c r="P5649">
        <v>0</v>
      </c>
      <c r="Q5649">
        <v>4</v>
      </c>
      <c r="R5649" t="s">
        <v>44909</v>
      </c>
      <c r="S5649" t="s">
        <v>45060</v>
      </c>
      <c r="T5649" t="s">
        <v>46414</v>
      </c>
      <c r="U5649" t="s">
        <v>51430</v>
      </c>
      <c r="W5649" t="s">
        <v>42893</v>
      </c>
      <c r="X5649" t="s">
        <v>44910</v>
      </c>
    </row>
    <row r="5650" spans="1:24">
      <c r="A5650">
        <f>HYPERLINK("https://www.philgeps.gov.ph/GEPSNONPILOT/Tender/SplashBidNoticeAbstractUI.aspx?menuIndex=3&amp;refID=7076617&amp;Result=3","7076617")</f>
        <v>0</v>
      </c>
      <c r="B5650" t="s">
        <v>1707</v>
      </c>
      <c r="C5650" t="s">
        <v>8918</v>
      </c>
      <c r="D5650" t="s">
        <v>18111</v>
      </c>
      <c r="E5650" t="s">
        <v>23240</v>
      </c>
      <c r="F5650" t="s">
        <v>31362</v>
      </c>
      <c r="G5650" t="s">
        <v>31371</v>
      </c>
      <c r="H5650" t="s">
        <v>15799</v>
      </c>
      <c r="I5650" t="s">
        <v>31385</v>
      </c>
      <c r="J5650" t="s">
        <v>31890</v>
      </c>
      <c r="K5650" t="s">
        <v>40670</v>
      </c>
      <c r="M5650" t="s">
        <v>42774</v>
      </c>
      <c r="N5650" t="s">
        <v>44905</v>
      </c>
      <c r="O5650" t="s">
        <v>44906</v>
      </c>
      <c r="P5650">
        <v>0</v>
      </c>
      <c r="Q5650">
        <v>3</v>
      </c>
      <c r="R5650" t="s">
        <v>44909</v>
      </c>
      <c r="S5650" t="s">
        <v>45060</v>
      </c>
      <c r="T5650" t="s">
        <v>46432</v>
      </c>
      <c r="U5650" t="s">
        <v>51146</v>
      </c>
      <c r="W5650" t="s">
        <v>42774</v>
      </c>
      <c r="X5650" t="s">
        <v>44910</v>
      </c>
    </row>
    <row r="5651" spans="1:24">
      <c r="A5651">
        <f>HYPERLINK("https://www.philgeps.gov.ph/GEPSNONPILOT/Tender/SplashBidNoticeAbstractUI.aspx?menuIndex=3&amp;refID=7076642&amp;Result=3","7076642")</f>
        <v>0</v>
      </c>
      <c r="B5651" t="s">
        <v>1796</v>
      </c>
      <c r="C5651" t="s">
        <v>8919</v>
      </c>
      <c r="D5651" t="s">
        <v>18108</v>
      </c>
      <c r="E5651" t="s">
        <v>23241</v>
      </c>
      <c r="F5651" t="s">
        <v>31362</v>
      </c>
      <c r="G5651" t="s">
        <v>31370</v>
      </c>
      <c r="H5651" t="s">
        <v>15799</v>
      </c>
      <c r="I5651" t="s">
        <v>31385</v>
      </c>
      <c r="J5651" t="s">
        <v>31793</v>
      </c>
      <c r="K5651" t="s">
        <v>40666</v>
      </c>
      <c r="M5651" t="s">
        <v>42878</v>
      </c>
      <c r="N5651" t="s">
        <v>44905</v>
      </c>
      <c r="O5651" t="s">
        <v>44906</v>
      </c>
      <c r="P5651">
        <v>0</v>
      </c>
      <c r="Q5651">
        <v>3</v>
      </c>
      <c r="R5651" t="s">
        <v>44909</v>
      </c>
      <c r="S5651" t="s">
        <v>45060</v>
      </c>
      <c r="T5651" t="s">
        <v>46400</v>
      </c>
      <c r="U5651" t="s">
        <v>51517</v>
      </c>
      <c r="W5651" t="s">
        <v>42878</v>
      </c>
      <c r="X5651" t="s">
        <v>44910</v>
      </c>
    </row>
    <row r="5652" spans="1:24">
      <c r="A5652">
        <f>HYPERLINK("https://www.philgeps.gov.ph/GEPSNONPILOT/Tender/SplashBidNoticeAbstractUI.aspx?menuIndex=3&amp;refID=7076613&amp;Result=3","7076613")</f>
        <v>0</v>
      </c>
      <c r="B5652" t="s">
        <v>396</v>
      </c>
      <c r="C5652" t="s">
        <v>8920</v>
      </c>
      <c r="D5652" t="s">
        <v>18155</v>
      </c>
      <c r="E5652" t="s">
        <v>23242</v>
      </c>
      <c r="F5652" t="s">
        <v>31362</v>
      </c>
      <c r="G5652" t="s">
        <v>31368</v>
      </c>
      <c r="H5652" t="s">
        <v>15799</v>
      </c>
      <c r="I5652" t="s">
        <v>31393</v>
      </c>
      <c r="J5652" t="s">
        <v>35091</v>
      </c>
      <c r="K5652" t="s">
        <v>40661</v>
      </c>
      <c r="M5652" t="s">
        <v>42922</v>
      </c>
      <c r="N5652" t="s">
        <v>44905</v>
      </c>
      <c r="O5652" t="s">
        <v>44906</v>
      </c>
      <c r="P5652">
        <v>0</v>
      </c>
      <c r="Q5652">
        <v>5</v>
      </c>
      <c r="R5652" t="s">
        <v>44909</v>
      </c>
      <c r="S5652" t="s">
        <v>45060</v>
      </c>
      <c r="T5652" t="s">
        <v>46411</v>
      </c>
      <c r="U5652" t="s">
        <v>49166</v>
      </c>
      <c r="W5652" t="s">
        <v>42922</v>
      </c>
      <c r="X5652" t="s">
        <v>44910</v>
      </c>
    </row>
    <row r="5653" spans="1:24">
      <c r="A5653">
        <f>HYPERLINK("https://www.philgeps.gov.ph/GEPSNONPILOT/Tender/SplashBidNoticeAbstractUI.aspx?menuIndex=3&amp;refID=7076670&amp;Result=3","7076670")</f>
        <v>0</v>
      </c>
      <c r="B5653" t="s">
        <v>1835</v>
      </c>
      <c r="C5653" t="s">
        <v>8921</v>
      </c>
      <c r="D5653" t="s">
        <v>18127</v>
      </c>
      <c r="E5653" t="s">
        <v>23243</v>
      </c>
      <c r="F5653" t="s">
        <v>31362</v>
      </c>
      <c r="G5653" t="s">
        <v>31368</v>
      </c>
      <c r="H5653" t="s">
        <v>15799</v>
      </c>
      <c r="I5653" t="s">
        <v>7719</v>
      </c>
      <c r="J5653" t="s">
        <v>35092</v>
      </c>
      <c r="K5653" t="s">
        <v>40665</v>
      </c>
      <c r="M5653" t="s">
        <v>42923</v>
      </c>
      <c r="N5653" t="s">
        <v>44905</v>
      </c>
      <c r="O5653" t="s">
        <v>44906</v>
      </c>
      <c r="P5653">
        <v>0</v>
      </c>
      <c r="Q5653">
        <v>10</v>
      </c>
      <c r="R5653" t="s">
        <v>44909</v>
      </c>
      <c r="S5653" t="s">
        <v>45060</v>
      </c>
      <c r="T5653" t="s">
        <v>46432</v>
      </c>
      <c r="U5653" t="s">
        <v>51518</v>
      </c>
      <c r="W5653" t="s">
        <v>42923</v>
      </c>
      <c r="X5653" t="s">
        <v>44910</v>
      </c>
    </row>
    <row r="5654" spans="1:24">
      <c r="A5654">
        <f>HYPERLINK("https://www.philgeps.gov.ph/GEPSNONPILOT/Tender/SplashBidNoticeAbstractUI.aspx?menuIndex=3&amp;refID=7076611&amp;Result=3","7076611")</f>
        <v>0</v>
      </c>
      <c r="B5654" t="s">
        <v>1767</v>
      </c>
      <c r="C5654" t="s">
        <v>8922</v>
      </c>
      <c r="D5654" t="s">
        <v>18134</v>
      </c>
      <c r="E5654" t="s">
        <v>23244</v>
      </c>
      <c r="F5654" t="s">
        <v>31362</v>
      </c>
      <c r="G5654" t="s">
        <v>31370</v>
      </c>
      <c r="H5654" t="s">
        <v>31378</v>
      </c>
      <c r="I5654" t="s">
        <v>3815</v>
      </c>
      <c r="J5654" t="s">
        <v>35093</v>
      </c>
      <c r="K5654" t="s">
        <v>40661</v>
      </c>
      <c r="M5654" t="s">
        <v>42846</v>
      </c>
      <c r="N5654" t="s">
        <v>44905</v>
      </c>
      <c r="O5654" t="s">
        <v>44906</v>
      </c>
      <c r="P5654">
        <v>0</v>
      </c>
      <c r="Q5654">
        <v>0</v>
      </c>
      <c r="R5654" t="s">
        <v>44909</v>
      </c>
      <c r="S5654" t="s">
        <v>45060</v>
      </c>
      <c r="T5654" t="s">
        <v>46467</v>
      </c>
      <c r="U5654" t="s">
        <v>51519</v>
      </c>
      <c r="W5654" t="s">
        <v>42846</v>
      </c>
      <c r="X5654" t="s">
        <v>44910</v>
      </c>
    </row>
    <row r="5655" spans="1:24">
      <c r="A5655">
        <f>HYPERLINK("https://www.philgeps.gov.ph/GEPSNONPILOT/Tender/SplashBidNoticeAbstractUI.aspx?menuIndex=3&amp;refID=7076640&amp;Result=3","7076640")</f>
        <v>0</v>
      </c>
      <c r="B5655" t="s">
        <v>253</v>
      </c>
      <c r="C5655" t="s">
        <v>8923</v>
      </c>
      <c r="D5655" t="s">
        <v>18108</v>
      </c>
      <c r="E5655" t="s">
        <v>23245</v>
      </c>
      <c r="F5655" t="s">
        <v>31362</v>
      </c>
      <c r="G5655" t="s">
        <v>31368</v>
      </c>
      <c r="H5655" t="s">
        <v>15799</v>
      </c>
      <c r="I5655" t="s">
        <v>3582</v>
      </c>
      <c r="J5655" t="s">
        <v>32127</v>
      </c>
      <c r="K5655" t="s">
        <v>40665</v>
      </c>
      <c r="M5655" t="s">
        <v>41193</v>
      </c>
      <c r="N5655" t="s">
        <v>44905</v>
      </c>
      <c r="O5655" t="s">
        <v>44906</v>
      </c>
      <c r="P5655">
        <v>0</v>
      </c>
      <c r="Q5655">
        <v>6</v>
      </c>
      <c r="R5655" t="s">
        <v>44909</v>
      </c>
      <c r="S5655" t="s">
        <v>45060</v>
      </c>
      <c r="T5655" t="s">
        <v>46394</v>
      </c>
      <c r="U5655" t="s">
        <v>51520</v>
      </c>
      <c r="W5655" t="s">
        <v>41193</v>
      </c>
      <c r="X5655" t="s">
        <v>44910</v>
      </c>
    </row>
    <row r="5656" spans="1:24">
      <c r="A5656">
        <f>HYPERLINK("https://www.philgeps.gov.ph/GEPSNONPILOT/Tender/SplashBidNoticeAbstractUI.aspx?menuIndex=3&amp;refID=7076589&amp;Result=3","7076589")</f>
        <v>0</v>
      </c>
      <c r="B5656" t="s">
        <v>1792</v>
      </c>
      <c r="C5656" t="s">
        <v>8924</v>
      </c>
      <c r="D5656" t="s">
        <v>18135</v>
      </c>
      <c r="E5656" t="s">
        <v>23246</v>
      </c>
      <c r="F5656" t="s">
        <v>31362</v>
      </c>
      <c r="G5656" t="s">
        <v>31368</v>
      </c>
      <c r="H5656" t="s">
        <v>15799</v>
      </c>
      <c r="I5656" t="s">
        <v>4057</v>
      </c>
      <c r="J5656" t="s">
        <v>35094</v>
      </c>
      <c r="K5656" t="s">
        <v>40661</v>
      </c>
      <c r="M5656" t="s">
        <v>42874</v>
      </c>
      <c r="N5656" t="s">
        <v>44905</v>
      </c>
      <c r="O5656" t="s">
        <v>44906</v>
      </c>
      <c r="P5656">
        <v>0</v>
      </c>
      <c r="Q5656">
        <v>0</v>
      </c>
      <c r="R5656" t="s">
        <v>44909</v>
      </c>
      <c r="S5656" t="s">
        <v>45060</v>
      </c>
      <c r="T5656" t="s">
        <v>46503</v>
      </c>
      <c r="U5656" t="s">
        <v>51386</v>
      </c>
      <c r="W5656" t="s">
        <v>42874</v>
      </c>
      <c r="X5656" t="s">
        <v>44910</v>
      </c>
    </row>
    <row r="5657" spans="1:24">
      <c r="A5657">
        <f>HYPERLINK("https://www.philgeps.gov.ph/GEPSNONPILOT/Tender/SplashBidNoticeAbstractUI.aspx?menuIndex=3&amp;refID=7076808&amp;Result=3","7076808")</f>
        <v>0</v>
      </c>
      <c r="B5657" t="s">
        <v>241</v>
      </c>
      <c r="C5657" t="s">
        <v>8925</v>
      </c>
      <c r="D5657" t="s">
        <v>18143</v>
      </c>
      <c r="E5657" t="s">
        <v>23247</v>
      </c>
      <c r="F5657" t="s">
        <v>31362</v>
      </c>
      <c r="G5657" t="s">
        <v>31368</v>
      </c>
      <c r="H5657" t="s">
        <v>15799</v>
      </c>
      <c r="I5657" t="s">
        <v>3815</v>
      </c>
      <c r="J5657" t="s">
        <v>35095</v>
      </c>
      <c r="K5657" t="s">
        <v>40665</v>
      </c>
      <c r="M5657" t="s">
        <v>41180</v>
      </c>
      <c r="N5657" t="s">
        <v>44905</v>
      </c>
      <c r="O5657" t="s">
        <v>44906</v>
      </c>
      <c r="P5657">
        <v>0</v>
      </c>
      <c r="Q5657">
        <v>0</v>
      </c>
      <c r="R5657" t="s">
        <v>44909</v>
      </c>
      <c r="S5657" t="s">
        <v>45060</v>
      </c>
      <c r="T5657" t="s">
        <v>46443</v>
      </c>
      <c r="U5657" t="s">
        <v>51521</v>
      </c>
      <c r="W5657" t="s">
        <v>41180</v>
      </c>
      <c r="X5657" t="s">
        <v>44910</v>
      </c>
    </row>
    <row r="5658" spans="1:24">
      <c r="A5658">
        <f>HYPERLINK("https://www.philgeps.gov.ph/GEPSNONPILOT/Tender/SplashBidNoticeAbstractUI.aspx?menuIndex=3&amp;refID=7076807&amp;Result=3","7076807")</f>
        <v>0</v>
      </c>
      <c r="B5658" t="s">
        <v>1024</v>
      </c>
      <c r="C5658" t="s">
        <v>8926</v>
      </c>
      <c r="D5658" t="s">
        <v>18125</v>
      </c>
      <c r="E5658" t="s">
        <v>23248</v>
      </c>
      <c r="F5658" t="s">
        <v>31362</v>
      </c>
      <c r="G5658" t="s">
        <v>31368</v>
      </c>
      <c r="H5658" t="s">
        <v>15799</v>
      </c>
      <c r="I5658" t="s">
        <v>31408</v>
      </c>
      <c r="J5658" t="s">
        <v>31688</v>
      </c>
      <c r="K5658" t="s">
        <v>40662</v>
      </c>
      <c r="M5658" t="s">
        <v>42022</v>
      </c>
      <c r="N5658" t="s">
        <v>44905</v>
      </c>
      <c r="O5658" t="s">
        <v>44906</v>
      </c>
      <c r="P5658">
        <v>0</v>
      </c>
      <c r="Q5658">
        <v>2</v>
      </c>
      <c r="R5658" t="s">
        <v>44909</v>
      </c>
      <c r="S5658" t="s">
        <v>45060</v>
      </c>
      <c r="T5658" t="s">
        <v>46438</v>
      </c>
      <c r="U5658" t="s">
        <v>51522</v>
      </c>
      <c r="W5658" t="s">
        <v>42022</v>
      </c>
      <c r="X5658" t="s">
        <v>44910</v>
      </c>
    </row>
    <row r="5659" spans="1:24">
      <c r="A5659">
        <f>HYPERLINK("https://www.philgeps.gov.ph/GEPSNONPILOT/Tender/SplashBidNoticeAbstractUI.aspx?menuIndex=3&amp;refID=7076616&amp;Result=3","7076616")</f>
        <v>0</v>
      </c>
      <c r="B5659" t="s">
        <v>1836</v>
      </c>
      <c r="C5659" t="s">
        <v>8927</v>
      </c>
      <c r="D5659" t="s">
        <v>18153</v>
      </c>
      <c r="E5659" t="s">
        <v>21584</v>
      </c>
      <c r="F5659" t="s">
        <v>31362</v>
      </c>
      <c r="G5659" t="s">
        <v>31369</v>
      </c>
      <c r="H5659" t="s">
        <v>15799</v>
      </c>
      <c r="I5659" t="s">
        <v>3815</v>
      </c>
      <c r="J5659" t="s">
        <v>32260</v>
      </c>
      <c r="K5659" t="s">
        <v>40666</v>
      </c>
      <c r="M5659" t="s">
        <v>42924</v>
      </c>
      <c r="N5659" t="s">
        <v>44905</v>
      </c>
      <c r="O5659" t="s">
        <v>44906</v>
      </c>
      <c r="P5659">
        <v>0</v>
      </c>
      <c r="Q5659">
        <v>0</v>
      </c>
      <c r="R5659" t="s">
        <v>44909</v>
      </c>
      <c r="S5659" t="s">
        <v>45060</v>
      </c>
      <c r="T5659" t="s">
        <v>46549</v>
      </c>
      <c r="U5659" t="s">
        <v>51523</v>
      </c>
      <c r="W5659" t="s">
        <v>42924</v>
      </c>
      <c r="X5659" t="s">
        <v>44910</v>
      </c>
    </row>
    <row r="5660" spans="1:24">
      <c r="A5660">
        <f>HYPERLINK("https://www.philgeps.gov.ph/GEPSNONPILOT/Tender/SplashBidNoticeAbstractUI.aspx?menuIndex=3&amp;refID=7076835&amp;Result=3","7076835")</f>
        <v>0</v>
      </c>
      <c r="B5660" t="s">
        <v>1827</v>
      </c>
      <c r="C5660" t="s">
        <v>8928</v>
      </c>
      <c r="D5660" t="s">
        <v>18138</v>
      </c>
      <c r="E5660" t="s">
        <v>23249</v>
      </c>
      <c r="F5660" t="s">
        <v>31362</v>
      </c>
      <c r="G5660" t="s">
        <v>31368</v>
      </c>
      <c r="H5660" t="s">
        <v>15799</v>
      </c>
      <c r="I5660" t="s">
        <v>31422</v>
      </c>
      <c r="J5660" t="s">
        <v>31577</v>
      </c>
      <c r="K5660" t="s">
        <v>40670</v>
      </c>
      <c r="M5660" t="s">
        <v>42911</v>
      </c>
      <c r="N5660" t="s">
        <v>44905</v>
      </c>
      <c r="O5660" t="s">
        <v>44906</v>
      </c>
      <c r="P5660">
        <v>0</v>
      </c>
      <c r="Q5660">
        <v>4</v>
      </c>
      <c r="R5660" t="s">
        <v>44909</v>
      </c>
      <c r="S5660" t="s">
        <v>45060</v>
      </c>
      <c r="T5660" t="s">
        <v>46443</v>
      </c>
      <c r="U5660" t="s">
        <v>51480</v>
      </c>
      <c r="V5660" t="s">
        <v>59596</v>
      </c>
      <c r="W5660" t="s">
        <v>42911</v>
      </c>
      <c r="X5660" t="s">
        <v>44910</v>
      </c>
    </row>
    <row r="5661" spans="1:24">
      <c r="A5661">
        <f>HYPERLINK("https://www.philgeps.gov.ph/GEPSNONPILOT/Tender/SplashBidNoticeAbstractUI.aspx?menuIndex=3&amp;refID=7076615&amp;Result=3","7076615")</f>
        <v>0</v>
      </c>
      <c r="B5661" t="s">
        <v>179</v>
      </c>
      <c r="C5661" t="s">
        <v>8929</v>
      </c>
      <c r="D5661" t="s">
        <v>18155</v>
      </c>
      <c r="E5661" t="s">
        <v>23250</v>
      </c>
      <c r="F5661" t="s">
        <v>31362</v>
      </c>
      <c r="G5661" t="s">
        <v>31368</v>
      </c>
      <c r="H5661" t="s">
        <v>15799</v>
      </c>
      <c r="I5661" t="s">
        <v>31430</v>
      </c>
      <c r="J5661" t="s">
        <v>35096</v>
      </c>
      <c r="K5661" t="s">
        <v>40680</v>
      </c>
      <c r="M5661" t="s">
        <v>41117</v>
      </c>
      <c r="N5661" t="s">
        <v>44905</v>
      </c>
      <c r="O5661" t="s">
        <v>44906</v>
      </c>
      <c r="P5661">
        <v>0</v>
      </c>
      <c r="Q5661">
        <v>2</v>
      </c>
      <c r="R5661" t="s">
        <v>44909</v>
      </c>
      <c r="S5661" t="s">
        <v>45060</v>
      </c>
      <c r="T5661" t="s">
        <v>46583</v>
      </c>
      <c r="U5661" t="s">
        <v>51524</v>
      </c>
      <c r="V5661" t="s">
        <v>59091</v>
      </c>
      <c r="W5661" t="s">
        <v>60838</v>
      </c>
      <c r="X5661" t="s">
        <v>44910</v>
      </c>
    </row>
    <row r="5662" spans="1:24">
      <c r="A5662">
        <f>HYPERLINK("https://www.philgeps.gov.ph/GEPSNONPILOT/Tender/SplashBidNoticeAbstractUI.aspx?menuIndex=3&amp;refID=7076834&amp;Result=3","7076834")</f>
        <v>0</v>
      </c>
      <c r="B5662" t="s">
        <v>1796</v>
      </c>
      <c r="C5662" t="s">
        <v>8930</v>
      </c>
      <c r="D5662" t="s">
        <v>18102</v>
      </c>
      <c r="E5662" t="s">
        <v>23251</v>
      </c>
      <c r="F5662" t="s">
        <v>31362</v>
      </c>
      <c r="G5662" t="s">
        <v>31368</v>
      </c>
      <c r="H5662" t="s">
        <v>15799</v>
      </c>
      <c r="I5662" t="s">
        <v>31387</v>
      </c>
      <c r="J5662" t="s">
        <v>35097</v>
      </c>
      <c r="K5662" t="s">
        <v>40666</v>
      </c>
      <c r="M5662" t="s">
        <v>42878</v>
      </c>
      <c r="N5662" t="s">
        <v>44905</v>
      </c>
      <c r="O5662" t="s">
        <v>44906</v>
      </c>
      <c r="P5662">
        <v>0</v>
      </c>
      <c r="Q5662">
        <v>4</v>
      </c>
      <c r="R5662" t="s">
        <v>44909</v>
      </c>
      <c r="S5662" t="s">
        <v>45060</v>
      </c>
      <c r="T5662" t="s">
        <v>46480</v>
      </c>
      <c r="U5662" t="s">
        <v>51525</v>
      </c>
      <c r="W5662" t="s">
        <v>42878</v>
      </c>
      <c r="X5662" t="s">
        <v>44910</v>
      </c>
    </row>
    <row r="5663" spans="1:24">
      <c r="A5663">
        <f>HYPERLINK("https://www.philgeps.gov.ph/GEPSNONPILOT/Tender/SplashBidNoticeAbstractUI.aspx?menuIndex=3&amp;refID=7076830&amp;Result=3","7076830")</f>
        <v>0</v>
      </c>
      <c r="B5663" t="s">
        <v>169</v>
      </c>
      <c r="C5663" t="s">
        <v>8931</v>
      </c>
      <c r="D5663" t="s">
        <v>18108</v>
      </c>
      <c r="E5663" t="s">
        <v>23252</v>
      </c>
      <c r="F5663" t="s">
        <v>31362</v>
      </c>
      <c r="G5663" t="s">
        <v>31368</v>
      </c>
      <c r="H5663" t="s">
        <v>15799</v>
      </c>
      <c r="I5663" t="s">
        <v>31413</v>
      </c>
      <c r="J5663" t="s">
        <v>32899</v>
      </c>
      <c r="K5663" t="s">
        <v>40665</v>
      </c>
      <c r="M5663" t="s">
        <v>41107</v>
      </c>
      <c r="N5663" t="s">
        <v>44905</v>
      </c>
      <c r="O5663" t="s">
        <v>44906</v>
      </c>
      <c r="P5663">
        <v>0</v>
      </c>
      <c r="Q5663">
        <v>1</v>
      </c>
      <c r="R5663" t="s">
        <v>44909</v>
      </c>
      <c r="S5663" t="s">
        <v>45060</v>
      </c>
      <c r="T5663" t="s">
        <v>46411</v>
      </c>
      <c r="U5663" t="s">
        <v>47211</v>
      </c>
      <c r="W5663" t="s">
        <v>41107</v>
      </c>
      <c r="X5663" t="s">
        <v>44910</v>
      </c>
    </row>
    <row r="5664" spans="1:24">
      <c r="A5664">
        <f>HYPERLINK("https://www.philgeps.gov.ph/GEPSNONPILOT/Tender/SplashBidNoticeAbstractUI.aspx?menuIndex=3&amp;refID=7076614&amp;Result=3","7076614")</f>
        <v>0</v>
      </c>
      <c r="B5664" t="s">
        <v>1783</v>
      </c>
      <c r="C5664" t="s">
        <v>8932</v>
      </c>
      <c r="D5664" t="s">
        <v>18154</v>
      </c>
      <c r="E5664" t="s">
        <v>23253</v>
      </c>
      <c r="F5664" t="s">
        <v>31362</v>
      </c>
      <c r="G5664" t="s">
        <v>31369</v>
      </c>
      <c r="H5664" t="s">
        <v>31378</v>
      </c>
      <c r="I5664" t="s">
        <v>31386</v>
      </c>
      <c r="J5664" t="s">
        <v>35098</v>
      </c>
      <c r="K5664" t="s">
        <v>40678</v>
      </c>
      <c r="L5664" t="s">
        <v>1783</v>
      </c>
      <c r="M5664" t="s">
        <v>42863</v>
      </c>
      <c r="N5664" t="s">
        <v>44905</v>
      </c>
      <c r="O5664" t="s">
        <v>44906</v>
      </c>
      <c r="P5664">
        <v>0</v>
      </c>
      <c r="Q5664">
        <v>0</v>
      </c>
      <c r="R5664" t="s">
        <v>44909</v>
      </c>
      <c r="S5664" t="s">
        <v>45060</v>
      </c>
      <c r="T5664" t="s">
        <v>46511</v>
      </c>
      <c r="U5664" t="s">
        <v>51526</v>
      </c>
      <c r="V5664" t="s">
        <v>59598</v>
      </c>
      <c r="W5664" t="s">
        <v>42863</v>
      </c>
      <c r="X5664" t="s">
        <v>44910</v>
      </c>
    </row>
    <row r="5665" spans="1:24">
      <c r="A5665">
        <f>HYPERLINK("https://www.philgeps.gov.ph/GEPSNONPILOT/Tender/SplashBidNoticeAbstractUI.aspx?menuIndex=3&amp;refID=7076829&amp;Result=3","7076829")</f>
        <v>0</v>
      </c>
      <c r="B5665" t="s">
        <v>1837</v>
      </c>
      <c r="C5665" t="s">
        <v>8933</v>
      </c>
      <c r="D5665" t="s">
        <v>18127</v>
      </c>
      <c r="E5665" t="s">
        <v>23254</v>
      </c>
      <c r="F5665" t="s">
        <v>31362</v>
      </c>
      <c r="G5665" t="s">
        <v>31371</v>
      </c>
      <c r="H5665" t="s">
        <v>15799</v>
      </c>
      <c r="I5665" t="s">
        <v>31421</v>
      </c>
      <c r="J5665" t="s">
        <v>35099</v>
      </c>
      <c r="K5665" t="s">
        <v>40662</v>
      </c>
      <c r="M5665" t="s">
        <v>42925</v>
      </c>
      <c r="N5665" t="s">
        <v>44905</v>
      </c>
      <c r="O5665" t="s">
        <v>44906</v>
      </c>
      <c r="P5665">
        <v>0</v>
      </c>
      <c r="Q5665">
        <v>1</v>
      </c>
      <c r="R5665" t="s">
        <v>44909</v>
      </c>
      <c r="S5665" t="s">
        <v>45060</v>
      </c>
      <c r="T5665" t="s">
        <v>46432</v>
      </c>
      <c r="U5665" t="s">
        <v>47641</v>
      </c>
      <c r="W5665" t="s">
        <v>42925</v>
      </c>
      <c r="X5665" t="s">
        <v>44910</v>
      </c>
    </row>
    <row r="5666" spans="1:24">
      <c r="A5666">
        <f>HYPERLINK("https://www.philgeps.gov.ph/GEPSNONPILOT/Tender/SplashBidNoticeAbstractUI.aspx?menuIndex=3&amp;refID=7076825&amp;Result=3","7076825")</f>
        <v>0</v>
      </c>
      <c r="B5666" t="s">
        <v>359</v>
      </c>
      <c r="C5666" t="s">
        <v>7619</v>
      </c>
      <c r="D5666" t="s">
        <v>18123</v>
      </c>
      <c r="E5666" t="s">
        <v>23255</v>
      </c>
      <c r="F5666" t="s">
        <v>31362</v>
      </c>
      <c r="G5666" t="s">
        <v>31368</v>
      </c>
      <c r="H5666" t="s">
        <v>15799</v>
      </c>
      <c r="I5666" t="s">
        <v>31404</v>
      </c>
      <c r="J5666" t="s">
        <v>35100</v>
      </c>
      <c r="K5666" t="s">
        <v>40661</v>
      </c>
      <c r="M5666" t="s">
        <v>41306</v>
      </c>
      <c r="N5666" t="s">
        <v>44905</v>
      </c>
      <c r="O5666" t="s">
        <v>44906</v>
      </c>
      <c r="P5666">
        <v>0</v>
      </c>
      <c r="Q5666">
        <v>0</v>
      </c>
      <c r="R5666" t="s">
        <v>44909</v>
      </c>
      <c r="S5666" t="s">
        <v>45060</v>
      </c>
      <c r="T5666" t="s">
        <v>46432</v>
      </c>
      <c r="U5666" t="s">
        <v>47534</v>
      </c>
      <c r="W5666" t="s">
        <v>60848</v>
      </c>
      <c r="X5666" t="s">
        <v>44910</v>
      </c>
    </row>
    <row r="5667" spans="1:24">
      <c r="A5667">
        <f>HYPERLINK("https://www.philgeps.gov.ph/GEPSNONPILOT/Tender/SplashBidNoticeAbstractUI.aspx?menuIndex=3&amp;refID=7076821&amp;Result=3","7076821")</f>
        <v>0</v>
      </c>
      <c r="B5667" t="s">
        <v>311</v>
      </c>
      <c r="C5667" t="s">
        <v>8934</v>
      </c>
      <c r="D5667" t="s">
        <v>18154</v>
      </c>
      <c r="E5667" t="s">
        <v>23256</v>
      </c>
      <c r="F5667" t="s">
        <v>31362</v>
      </c>
      <c r="G5667" t="s">
        <v>31369</v>
      </c>
      <c r="H5667" t="s">
        <v>15799</v>
      </c>
      <c r="I5667" t="s">
        <v>31385</v>
      </c>
      <c r="J5667" t="s">
        <v>35101</v>
      </c>
      <c r="K5667" t="s">
        <v>40665</v>
      </c>
      <c r="M5667" t="s">
        <v>41256</v>
      </c>
      <c r="N5667" t="s">
        <v>44905</v>
      </c>
      <c r="O5667" t="s">
        <v>44906</v>
      </c>
      <c r="P5667">
        <v>0</v>
      </c>
      <c r="Q5667">
        <v>1</v>
      </c>
      <c r="R5667" t="s">
        <v>44909</v>
      </c>
      <c r="S5667" t="s">
        <v>45060</v>
      </c>
      <c r="T5667" t="s">
        <v>46635</v>
      </c>
      <c r="U5667" t="s">
        <v>51527</v>
      </c>
      <c r="V5667" t="s">
        <v>59599</v>
      </c>
      <c r="W5667" t="s">
        <v>41256</v>
      </c>
      <c r="X5667" t="s">
        <v>44910</v>
      </c>
    </row>
    <row r="5668" spans="1:24">
      <c r="A5668">
        <f>HYPERLINK("https://www.philgeps.gov.ph/GEPSNONPILOT/Tender/SplashBidNoticeAbstractUI.aspx?menuIndex=3&amp;refID=7076820&amp;Result=3","7076820")</f>
        <v>0</v>
      </c>
      <c r="B5668" t="s">
        <v>615</v>
      </c>
      <c r="C5668" t="s">
        <v>8935</v>
      </c>
      <c r="D5668" t="s">
        <v>18113</v>
      </c>
      <c r="E5668" t="s">
        <v>23257</v>
      </c>
      <c r="F5668" t="s">
        <v>31362</v>
      </c>
      <c r="G5668" t="s">
        <v>31369</v>
      </c>
      <c r="H5668" t="s">
        <v>31378</v>
      </c>
      <c r="I5668" t="s">
        <v>31386</v>
      </c>
      <c r="J5668" t="s">
        <v>35102</v>
      </c>
      <c r="K5668" t="s">
        <v>40690</v>
      </c>
      <c r="M5668" t="s">
        <v>41573</v>
      </c>
      <c r="N5668" t="s">
        <v>44905</v>
      </c>
      <c r="O5668" t="s">
        <v>44906</v>
      </c>
      <c r="P5668">
        <v>0</v>
      </c>
      <c r="Q5668">
        <v>0</v>
      </c>
      <c r="R5668" t="s">
        <v>44909</v>
      </c>
      <c r="S5668" t="s">
        <v>45060</v>
      </c>
      <c r="T5668" t="s">
        <v>46433</v>
      </c>
      <c r="U5668" t="s">
        <v>51528</v>
      </c>
      <c r="W5668" t="s">
        <v>41573</v>
      </c>
      <c r="X5668" t="s">
        <v>44910</v>
      </c>
    </row>
    <row r="5669" spans="1:24">
      <c r="A5669">
        <f>HYPERLINK("https://www.philgeps.gov.ph/GEPSNONPILOT/Tender/SplashBidNoticeAbstractUI.aspx?menuIndex=3&amp;refID=7076819&amp;Result=3","7076819")</f>
        <v>0</v>
      </c>
      <c r="B5669" t="s">
        <v>1838</v>
      </c>
      <c r="C5669" t="s">
        <v>8936</v>
      </c>
      <c r="D5669" t="s">
        <v>18115</v>
      </c>
      <c r="E5669" t="s">
        <v>20213</v>
      </c>
      <c r="F5669" t="s">
        <v>31362</v>
      </c>
      <c r="G5669" t="s">
        <v>31369</v>
      </c>
      <c r="H5669" t="s">
        <v>31378</v>
      </c>
      <c r="I5669" t="s">
        <v>31386</v>
      </c>
      <c r="J5669" t="s">
        <v>33617</v>
      </c>
      <c r="K5669" t="s">
        <v>40665</v>
      </c>
      <c r="M5669" t="s">
        <v>42926</v>
      </c>
      <c r="N5669" t="s">
        <v>44905</v>
      </c>
      <c r="O5669" t="s">
        <v>44906</v>
      </c>
      <c r="P5669">
        <v>0</v>
      </c>
      <c r="Q5669">
        <v>2</v>
      </c>
      <c r="R5669" t="s">
        <v>44909</v>
      </c>
      <c r="S5669" t="s">
        <v>45060</v>
      </c>
      <c r="T5669" t="s">
        <v>46392</v>
      </c>
      <c r="U5669" t="s">
        <v>51529</v>
      </c>
      <c r="W5669" t="s">
        <v>42926</v>
      </c>
      <c r="X5669" t="s">
        <v>44910</v>
      </c>
    </row>
    <row r="5670" spans="1:24">
      <c r="A5670">
        <f>HYPERLINK("https://www.philgeps.gov.ph/GEPSNONPILOT/Tender/SplashBidNoticeAbstractUI.aspx?menuIndex=3&amp;refID=7076818&amp;Result=3","7076818")</f>
        <v>0</v>
      </c>
      <c r="B5670" t="s">
        <v>1796</v>
      </c>
      <c r="C5670" t="s">
        <v>8919</v>
      </c>
      <c r="D5670" t="s">
        <v>18108</v>
      </c>
      <c r="E5670" t="s">
        <v>23258</v>
      </c>
      <c r="F5670" t="s">
        <v>31362</v>
      </c>
      <c r="G5670" t="s">
        <v>31370</v>
      </c>
      <c r="H5670" t="s">
        <v>15799</v>
      </c>
      <c r="I5670" t="s">
        <v>31385</v>
      </c>
      <c r="J5670" t="s">
        <v>35103</v>
      </c>
      <c r="K5670" t="s">
        <v>40666</v>
      </c>
      <c r="M5670" t="s">
        <v>42878</v>
      </c>
      <c r="N5670" t="s">
        <v>44905</v>
      </c>
      <c r="O5670" t="s">
        <v>44906</v>
      </c>
      <c r="P5670">
        <v>0</v>
      </c>
      <c r="Q5670">
        <v>2</v>
      </c>
      <c r="R5670" t="s">
        <v>44909</v>
      </c>
      <c r="S5670" t="s">
        <v>45060</v>
      </c>
      <c r="T5670" t="s">
        <v>46480</v>
      </c>
      <c r="U5670" t="s">
        <v>51530</v>
      </c>
      <c r="W5670" t="s">
        <v>42878</v>
      </c>
      <c r="X5670" t="s">
        <v>44910</v>
      </c>
    </row>
    <row r="5671" spans="1:24">
      <c r="A5671">
        <f>HYPERLINK("https://www.philgeps.gov.ph/GEPSNONPILOT/Tender/SplashBidNoticeAbstractUI.aspx?menuIndex=3&amp;refID=7076793&amp;Result=3","7076793")</f>
        <v>0</v>
      </c>
      <c r="B5671" t="s">
        <v>1820</v>
      </c>
      <c r="C5671" t="s">
        <v>8937</v>
      </c>
      <c r="D5671" t="s">
        <v>18106</v>
      </c>
      <c r="E5671" t="s">
        <v>22690</v>
      </c>
      <c r="F5671" t="s">
        <v>31362</v>
      </c>
      <c r="G5671" t="s">
        <v>31369</v>
      </c>
      <c r="H5671" t="s">
        <v>31378</v>
      </c>
      <c r="I5671" t="s">
        <v>3815</v>
      </c>
      <c r="J5671" t="s">
        <v>31919</v>
      </c>
      <c r="K5671" t="s">
        <v>40666</v>
      </c>
      <c r="M5671" t="s">
        <v>42904</v>
      </c>
      <c r="N5671" t="s">
        <v>44905</v>
      </c>
      <c r="O5671" t="s">
        <v>44906</v>
      </c>
      <c r="P5671">
        <v>0</v>
      </c>
      <c r="Q5671">
        <v>0</v>
      </c>
      <c r="R5671" t="s">
        <v>44909</v>
      </c>
      <c r="S5671" t="s">
        <v>45060</v>
      </c>
      <c r="T5671" t="s">
        <v>46412</v>
      </c>
      <c r="U5671" t="s">
        <v>51531</v>
      </c>
      <c r="W5671" t="s">
        <v>42904</v>
      </c>
      <c r="X5671" t="s">
        <v>44910</v>
      </c>
    </row>
    <row r="5672" spans="1:24">
      <c r="A5672">
        <f>HYPERLINK("https://www.philgeps.gov.ph/GEPSNONPILOT/Tender/SplashBidNoticeAbstractUI.aspx?menuIndex=3&amp;refID=7076816&amp;Result=3","7076816")</f>
        <v>0</v>
      </c>
      <c r="B5672" t="s">
        <v>1839</v>
      </c>
      <c r="C5672" t="s">
        <v>8938</v>
      </c>
      <c r="D5672" t="s">
        <v>18112</v>
      </c>
      <c r="E5672" t="s">
        <v>19313</v>
      </c>
      <c r="F5672" t="s">
        <v>31362</v>
      </c>
      <c r="G5672" t="s">
        <v>31371</v>
      </c>
      <c r="H5672" t="s">
        <v>15799</v>
      </c>
      <c r="I5672" t="s">
        <v>31390</v>
      </c>
      <c r="J5672" t="s">
        <v>35104</v>
      </c>
      <c r="K5672" t="s">
        <v>40693</v>
      </c>
      <c r="M5672" t="s">
        <v>42927</v>
      </c>
      <c r="N5672" t="s">
        <v>44905</v>
      </c>
      <c r="O5672" t="s">
        <v>44906</v>
      </c>
      <c r="P5672">
        <v>0</v>
      </c>
      <c r="Q5672">
        <v>0</v>
      </c>
      <c r="R5672" t="s">
        <v>44909</v>
      </c>
      <c r="S5672" t="s">
        <v>45060</v>
      </c>
      <c r="T5672" t="s">
        <v>46427</v>
      </c>
      <c r="U5672" t="s">
        <v>51532</v>
      </c>
      <c r="W5672" t="s">
        <v>42927</v>
      </c>
      <c r="X5672" t="s">
        <v>44910</v>
      </c>
    </row>
    <row r="5673" spans="1:24">
      <c r="A5673">
        <f>HYPERLINK("https://www.philgeps.gov.ph/GEPSNONPILOT/Tender/SplashBidNoticeAbstractUI.aspx?menuIndex=3&amp;refID=7076814&amp;Result=3","7076814")</f>
        <v>0</v>
      </c>
      <c r="B5673" t="s">
        <v>1840</v>
      </c>
      <c r="C5673" t="s">
        <v>8939</v>
      </c>
      <c r="D5673" t="s">
        <v>18132</v>
      </c>
      <c r="E5673" t="s">
        <v>23259</v>
      </c>
      <c r="F5673" t="s">
        <v>31362</v>
      </c>
      <c r="G5673" t="s">
        <v>31369</v>
      </c>
      <c r="H5673" t="s">
        <v>15799</v>
      </c>
      <c r="I5673" t="s">
        <v>7188</v>
      </c>
      <c r="J5673" t="s">
        <v>31910</v>
      </c>
      <c r="K5673" t="s">
        <v>40662</v>
      </c>
      <c r="L5673" t="s">
        <v>1840</v>
      </c>
      <c r="M5673" t="s">
        <v>42928</v>
      </c>
      <c r="N5673" t="s">
        <v>44905</v>
      </c>
      <c r="O5673" t="s">
        <v>44906</v>
      </c>
      <c r="P5673">
        <v>0</v>
      </c>
      <c r="Q5673">
        <v>1</v>
      </c>
      <c r="R5673" t="s">
        <v>44909</v>
      </c>
      <c r="S5673" t="s">
        <v>45060</v>
      </c>
      <c r="T5673" t="s">
        <v>46590</v>
      </c>
      <c r="U5673" t="s">
        <v>51533</v>
      </c>
      <c r="W5673" t="s">
        <v>42928</v>
      </c>
      <c r="X5673" t="s">
        <v>44910</v>
      </c>
    </row>
    <row r="5674" spans="1:24">
      <c r="A5674">
        <f>HYPERLINK("https://www.philgeps.gov.ph/GEPSNONPILOT/Tender/SplashBidNoticeAbstractUI.aspx?menuIndex=3&amp;refID=7076832&amp;Result=3","7076832")</f>
        <v>0</v>
      </c>
      <c r="B5674" t="s">
        <v>1172</v>
      </c>
      <c r="C5674" t="s">
        <v>8940</v>
      </c>
      <c r="D5674" t="s">
        <v>18152</v>
      </c>
      <c r="E5674" t="s">
        <v>23260</v>
      </c>
      <c r="F5674" t="s">
        <v>31362</v>
      </c>
      <c r="G5674" t="s">
        <v>31368</v>
      </c>
      <c r="H5674" t="s">
        <v>15799</v>
      </c>
      <c r="I5674" t="s">
        <v>31410</v>
      </c>
      <c r="J5674" t="s">
        <v>33182</v>
      </c>
      <c r="K5674" t="s">
        <v>40676</v>
      </c>
      <c r="M5674" t="s">
        <v>42182</v>
      </c>
      <c r="N5674" t="s">
        <v>44905</v>
      </c>
      <c r="O5674" t="s">
        <v>44906</v>
      </c>
      <c r="P5674">
        <v>0</v>
      </c>
      <c r="Q5674">
        <v>0</v>
      </c>
      <c r="R5674" t="s">
        <v>44909</v>
      </c>
      <c r="S5674" t="s">
        <v>45060</v>
      </c>
      <c r="T5674" t="s">
        <v>46703</v>
      </c>
      <c r="U5674" t="s">
        <v>51534</v>
      </c>
      <c r="W5674" t="s">
        <v>42182</v>
      </c>
      <c r="X5674" t="s">
        <v>44910</v>
      </c>
    </row>
    <row r="5675" spans="1:24">
      <c r="A5675">
        <f>HYPERLINK("https://www.philgeps.gov.ph/GEPSNONPILOT/Tender/SplashBidNoticeAbstractUI.aspx?menuIndex=3&amp;refID=7076812&amp;Result=3","7076812")</f>
        <v>0</v>
      </c>
      <c r="B5675" t="s">
        <v>1841</v>
      </c>
      <c r="C5675" t="s">
        <v>8941</v>
      </c>
      <c r="D5675" t="s">
        <v>18100</v>
      </c>
      <c r="E5675" t="s">
        <v>23261</v>
      </c>
      <c r="F5675" t="s">
        <v>31362</v>
      </c>
      <c r="G5675" t="s">
        <v>31369</v>
      </c>
      <c r="H5675" t="s">
        <v>31379</v>
      </c>
      <c r="I5675" t="s">
        <v>31409</v>
      </c>
      <c r="J5675" t="s">
        <v>31634</v>
      </c>
      <c r="K5675" t="s">
        <v>40665</v>
      </c>
      <c r="M5675" t="s">
        <v>42929</v>
      </c>
      <c r="N5675" t="s">
        <v>44905</v>
      </c>
      <c r="O5675" t="s">
        <v>44906</v>
      </c>
      <c r="P5675">
        <v>0</v>
      </c>
      <c r="Q5675">
        <v>2</v>
      </c>
      <c r="R5675" t="s">
        <v>44909</v>
      </c>
      <c r="S5675" t="s">
        <v>45060</v>
      </c>
      <c r="T5675" t="s">
        <v>46431</v>
      </c>
      <c r="U5675" t="s">
        <v>51535</v>
      </c>
      <c r="W5675" t="s">
        <v>42929</v>
      </c>
      <c r="X5675" t="s">
        <v>44910</v>
      </c>
    </row>
    <row r="5676" spans="1:24">
      <c r="A5676">
        <f>HYPERLINK("https://www.philgeps.gov.ph/GEPSNONPILOT/Tender/SplashBidNoticeAbstractUI.aspx?menuIndex=3&amp;refID=7076811&amp;Result=3","7076811")</f>
        <v>0</v>
      </c>
      <c r="B5676" t="s">
        <v>1842</v>
      </c>
      <c r="C5676" t="s">
        <v>8942</v>
      </c>
      <c r="D5676" t="s">
        <v>18110</v>
      </c>
      <c r="E5676" t="s">
        <v>23262</v>
      </c>
      <c r="F5676" t="s">
        <v>31362</v>
      </c>
      <c r="G5676" t="s">
        <v>31369</v>
      </c>
      <c r="H5676" t="s">
        <v>31378</v>
      </c>
      <c r="I5676" t="s">
        <v>31386</v>
      </c>
      <c r="J5676" t="s">
        <v>35105</v>
      </c>
      <c r="K5676" t="s">
        <v>40682</v>
      </c>
      <c r="M5676" t="s">
        <v>42930</v>
      </c>
      <c r="N5676" t="s">
        <v>44905</v>
      </c>
      <c r="O5676" t="s">
        <v>44906</v>
      </c>
      <c r="P5676">
        <v>0</v>
      </c>
      <c r="Q5676">
        <v>0</v>
      </c>
      <c r="R5676" t="s">
        <v>44909</v>
      </c>
      <c r="S5676" t="s">
        <v>45060</v>
      </c>
      <c r="T5676" t="s">
        <v>46425</v>
      </c>
      <c r="U5676" t="s">
        <v>51536</v>
      </c>
      <c r="W5676" t="s">
        <v>42930</v>
      </c>
      <c r="X5676" t="s">
        <v>44910</v>
      </c>
    </row>
    <row r="5677" spans="1:24">
      <c r="A5677">
        <f>HYPERLINK("https://www.philgeps.gov.ph/GEPSNONPILOT/Tender/SplashBidNoticeAbstractUI.aspx?menuIndex=3&amp;refID=7076810&amp;Result=3","7076810")</f>
        <v>0</v>
      </c>
      <c r="B5677" t="s">
        <v>1792</v>
      </c>
      <c r="C5677" t="s">
        <v>8943</v>
      </c>
      <c r="D5677" t="s">
        <v>18135</v>
      </c>
      <c r="E5677" t="s">
        <v>23263</v>
      </c>
      <c r="F5677" t="s">
        <v>31362</v>
      </c>
      <c r="G5677" t="s">
        <v>31368</v>
      </c>
      <c r="H5677" t="s">
        <v>15799</v>
      </c>
      <c r="I5677" t="s">
        <v>6155</v>
      </c>
      <c r="J5677" t="s">
        <v>31576</v>
      </c>
      <c r="K5677" t="s">
        <v>40661</v>
      </c>
      <c r="M5677" t="s">
        <v>42874</v>
      </c>
      <c r="N5677" t="s">
        <v>44905</v>
      </c>
      <c r="O5677" t="s">
        <v>44906</v>
      </c>
      <c r="P5677">
        <v>0</v>
      </c>
      <c r="Q5677">
        <v>1</v>
      </c>
      <c r="R5677" t="s">
        <v>44909</v>
      </c>
      <c r="S5677" t="s">
        <v>45060</v>
      </c>
      <c r="T5677" t="s">
        <v>46503</v>
      </c>
      <c r="U5677" t="s">
        <v>51386</v>
      </c>
      <c r="W5677" t="s">
        <v>42874</v>
      </c>
      <c r="X5677" t="s">
        <v>44910</v>
      </c>
    </row>
    <row r="5678" spans="1:24">
      <c r="A5678">
        <f>HYPERLINK("https://www.philgeps.gov.ph/GEPSNONPILOT/Tender/SplashBidNoticeAbstractUI.aspx?menuIndex=3&amp;refID=7076828&amp;Result=3","7076828")</f>
        <v>0</v>
      </c>
      <c r="B5678" t="s">
        <v>615</v>
      </c>
      <c r="C5678" t="s">
        <v>8944</v>
      </c>
      <c r="D5678" t="s">
        <v>18113</v>
      </c>
      <c r="E5678" t="s">
        <v>23264</v>
      </c>
      <c r="F5678" t="s">
        <v>31362</v>
      </c>
      <c r="G5678" t="s">
        <v>31369</v>
      </c>
      <c r="H5678" t="s">
        <v>31378</v>
      </c>
      <c r="I5678" t="s">
        <v>31386</v>
      </c>
      <c r="J5678" t="s">
        <v>35106</v>
      </c>
      <c r="K5678" t="s">
        <v>40725</v>
      </c>
      <c r="M5678" t="s">
        <v>41573</v>
      </c>
      <c r="N5678" t="s">
        <v>44905</v>
      </c>
      <c r="O5678" t="s">
        <v>44906</v>
      </c>
      <c r="P5678">
        <v>0</v>
      </c>
      <c r="Q5678">
        <v>1</v>
      </c>
      <c r="R5678" t="s">
        <v>44909</v>
      </c>
      <c r="S5678" t="s">
        <v>45060</v>
      </c>
      <c r="T5678" t="s">
        <v>46433</v>
      </c>
      <c r="U5678" t="s">
        <v>51537</v>
      </c>
      <c r="W5678" t="s">
        <v>41573</v>
      </c>
      <c r="X5678" t="s">
        <v>44910</v>
      </c>
    </row>
    <row r="5679" spans="1:24">
      <c r="A5679">
        <f>HYPERLINK("https://www.philgeps.gov.ph/GEPSNONPILOT/Tender/SplashBidNoticeAbstractUI.aspx?menuIndex=3&amp;refID=7076817&amp;Result=3","7076817")</f>
        <v>0</v>
      </c>
      <c r="B5679" t="s">
        <v>1843</v>
      </c>
      <c r="C5679" t="s">
        <v>4466</v>
      </c>
      <c r="D5679" t="s">
        <v>18138</v>
      </c>
      <c r="E5679" t="s">
        <v>23265</v>
      </c>
      <c r="F5679" t="s">
        <v>31362</v>
      </c>
      <c r="G5679" t="s">
        <v>31369</v>
      </c>
      <c r="H5679" t="s">
        <v>15799</v>
      </c>
      <c r="I5679" t="s">
        <v>31436</v>
      </c>
      <c r="J5679" t="s">
        <v>31634</v>
      </c>
      <c r="K5679" t="s">
        <v>40662</v>
      </c>
      <c r="M5679" t="s">
        <v>42931</v>
      </c>
      <c r="N5679" t="s">
        <v>44905</v>
      </c>
      <c r="O5679" t="s">
        <v>44906</v>
      </c>
      <c r="P5679">
        <v>0</v>
      </c>
      <c r="Q5679">
        <v>2</v>
      </c>
      <c r="R5679" t="s">
        <v>44909</v>
      </c>
      <c r="S5679" t="s">
        <v>45060</v>
      </c>
      <c r="T5679" t="s">
        <v>46466</v>
      </c>
      <c r="U5679" t="s">
        <v>51538</v>
      </c>
      <c r="V5679" t="s">
        <v>59185</v>
      </c>
      <c r="W5679" t="s">
        <v>42931</v>
      </c>
      <c r="X5679" t="s">
        <v>44910</v>
      </c>
    </row>
    <row r="5680" spans="1:24">
      <c r="A5680">
        <f>HYPERLINK("https://www.philgeps.gov.ph/GEPSNONPILOT/Tender/SplashBidNoticeAbstractUI.aspx?menuIndex=3&amp;refID=7076815&amp;Result=3","7076815")</f>
        <v>0</v>
      </c>
      <c r="B5680" t="s">
        <v>1260</v>
      </c>
      <c r="C5680" t="s">
        <v>8945</v>
      </c>
      <c r="D5680" t="s">
        <v>18142</v>
      </c>
      <c r="E5680" t="s">
        <v>23266</v>
      </c>
      <c r="F5680" t="s">
        <v>31362</v>
      </c>
      <c r="G5680" t="s">
        <v>31369</v>
      </c>
      <c r="H5680" t="s">
        <v>31378</v>
      </c>
      <c r="I5680" t="s">
        <v>31386</v>
      </c>
      <c r="J5680" t="s">
        <v>31591</v>
      </c>
      <c r="K5680" t="s">
        <v>40711</v>
      </c>
      <c r="M5680" t="s">
        <v>42276</v>
      </c>
      <c r="N5680" t="s">
        <v>44905</v>
      </c>
      <c r="O5680" t="s">
        <v>44906</v>
      </c>
      <c r="P5680">
        <v>0</v>
      </c>
      <c r="Q5680">
        <v>0</v>
      </c>
      <c r="R5680" t="s">
        <v>44909</v>
      </c>
      <c r="S5680" t="s">
        <v>45060</v>
      </c>
      <c r="T5680" t="s">
        <v>46401</v>
      </c>
      <c r="U5680" t="s">
        <v>51433</v>
      </c>
      <c r="W5680" t="s">
        <v>42276</v>
      </c>
      <c r="X5680" t="s">
        <v>44910</v>
      </c>
    </row>
    <row r="5681" spans="1:24">
      <c r="A5681">
        <f>HYPERLINK("https://www.philgeps.gov.ph/GEPSNONPILOT/Tender/SplashBidNoticeAbstractUI.aspx?menuIndex=3&amp;refID=7076612&amp;Result=3","7076612")</f>
        <v>0</v>
      </c>
      <c r="B5681" t="s">
        <v>1792</v>
      </c>
      <c r="C5681" t="s">
        <v>8946</v>
      </c>
      <c r="D5681" t="s">
        <v>18135</v>
      </c>
      <c r="E5681" t="s">
        <v>23267</v>
      </c>
      <c r="F5681" t="s">
        <v>31362</v>
      </c>
      <c r="G5681" t="s">
        <v>31368</v>
      </c>
      <c r="H5681" t="s">
        <v>15799</v>
      </c>
      <c r="I5681" t="s">
        <v>31429</v>
      </c>
      <c r="J5681" t="s">
        <v>32235</v>
      </c>
      <c r="K5681" t="s">
        <v>40661</v>
      </c>
      <c r="M5681" t="s">
        <v>42874</v>
      </c>
      <c r="N5681" t="s">
        <v>44905</v>
      </c>
      <c r="O5681" t="s">
        <v>44906</v>
      </c>
      <c r="P5681">
        <v>0</v>
      </c>
      <c r="Q5681">
        <v>0</v>
      </c>
      <c r="R5681" t="s">
        <v>44909</v>
      </c>
      <c r="S5681" t="s">
        <v>45060</v>
      </c>
      <c r="T5681" t="s">
        <v>46503</v>
      </c>
      <c r="U5681" t="s">
        <v>51386</v>
      </c>
      <c r="W5681" t="s">
        <v>42874</v>
      </c>
      <c r="X5681" t="s">
        <v>44910</v>
      </c>
    </row>
    <row r="5682" spans="1:24">
      <c r="A5682">
        <f>HYPERLINK("https://www.philgeps.gov.ph/GEPSNONPILOT/Tender/SplashBidNoticeAbstractUI.aspx?menuIndex=3&amp;refID=7076837&amp;Result=3","7076837")</f>
        <v>0</v>
      </c>
      <c r="B5682" t="s">
        <v>615</v>
      </c>
      <c r="C5682" t="s">
        <v>8947</v>
      </c>
      <c r="D5682" t="s">
        <v>18113</v>
      </c>
      <c r="E5682" t="s">
        <v>23268</v>
      </c>
      <c r="F5682" t="s">
        <v>31362</v>
      </c>
      <c r="G5682" t="s">
        <v>31369</v>
      </c>
      <c r="H5682" t="s">
        <v>31378</v>
      </c>
      <c r="I5682" t="s">
        <v>31386</v>
      </c>
      <c r="J5682" t="s">
        <v>32877</v>
      </c>
      <c r="K5682" t="s">
        <v>40781</v>
      </c>
      <c r="M5682" t="s">
        <v>41573</v>
      </c>
      <c r="N5682" t="s">
        <v>44905</v>
      </c>
      <c r="O5682" t="s">
        <v>44906</v>
      </c>
      <c r="P5682">
        <v>0</v>
      </c>
      <c r="Q5682">
        <v>1</v>
      </c>
      <c r="R5682" t="s">
        <v>44909</v>
      </c>
      <c r="S5682" t="s">
        <v>45060</v>
      </c>
      <c r="T5682" t="s">
        <v>46433</v>
      </c>
      <c r="U5682" t="s">
        <v>51537</v>
      </c>
      <c r="W5682" t="s">
        <v>41573</v>
      </c>
      <c r="X5682" t="s">
        <v>44910</v>
      </c>
    </row>
    <row r="5683" spans="1:24">
      <c r="A5683">
        <f>HYPERLINK("https://www.philgeps.gov.ph/GEPSNONPILOT/Tender/SplashBidNoticeAbstractUI.aspx?menuIndex=3&amp;refID=7076859&amp;Result=3","7076859")</f>
        <v>0</v>
      </c>
      <c r="B5683" t="s">
        <v>1363</v>
      </c>
      <c r="C5683" t="s">
        <v>8948</v>
      </c>
      <c r="D5683" t="s">
        <v>18149</v>
      </c>
      <c r="E5683" t="s">
        <v>23269</v>
      </c>
      <c r="F5683" t="s">
        <v>31362</v>
      </c>
      <c r="G5683" t="s">
        <v>31368</v>
      </c>
      <c r="H5683" t="s">
        <v>15799</v>
      </c>
      <c r="I5683" t="s">
        <v>31410</v>
      </c>
      <c r="J5683" t="s">
        <v>35107</v>
      </c>
      <c r="K5683" t="s">
        <v>40712</v>
      </c>
      <c r="M5683" t="s">
        <v>42384</v>
      </c>
      <c r="N5683" t="s">
        <v>44905</v>
      </c>
      <c r="O5683" t="s">
        <v>44906</v>
      </c>
      <c r="P5683">
        <v>0</v>
      </c>
      <c r="Q5683">
        <v>1</v>
      </c>
      <c r="R5683" t="s">
        <v>44909</v>
      </c>
      <c r="S5683" t="s">
        <v>45060</v>
      </c>
      <c r="T5683" t="s">
        <v>46414</v>
      </c>
      <c r="U5683" t="s">
        <v>51539</v>
      </c>
      <c r="W5683" t="s">
        <v>42384</v>
      </c>
      <c r="X5683" t="s">
        <v>44910</v>
      </c>
    </row>
    <row r="5684" spans="1:24">
      <c r="A5684">
        <f>HYPERLINK("https://www.philgeps.gov.ph/GEPSNONPILOT/Tender/SplashBidNoticeAbstractUI.aspx?menuIndex=3&amp;refID=7076853&amp;Result=3","7076853")</f>
        <v>0</v>
      </c>
      <c r="B5684" t="s">
        <v>1842</v>
      </c>
      <c r="C5684" t="s">
        <v>8949</v>
      </c>
      <c r="D5684" t="s">
        <v>18110</v>
      </c>
      <c r="E5684" t="s">
        <v>23270</v>
      </c>
      <c r="F5684" t="s">
        <v>31362</v>
      </c>
      <c r="G5684" t="s">
        <v>31369</v>
      </c>
      <c r="H5684" t="s">
        <v>15799</v>
      </c>
      <c r="I5684" t="s">
        <v>4942</v>
      </c>
      <c r="J5684" t="s">
        <v>35108</v>
      </c>
      <c r="K5684" t="s">
        <v>40666</v>
      </c>
      <c r="M5684" t="s">
        <v>42930</v>
      </c>
      <c r="N5684" t="s">
        <v>44905</v>
      </c>
      <c r="O5684" t="s">
        <v>44906</v>
      </c>
      <c r="P5684">
        <v>0</v>
      </c>
      <c r="Q5684">
        <v>1</v>
      </c>
      <c r="R5684" t="s">
        <v>44909</v>
      </c>
      <c r="S5684" t="s">
        <v>45060</v>
      </c>
      <c r="T5684" t="s">
        <v>46425</v>
      </c>
      <c r="U5684" t="s">
        <v>49800</v>
      </c>
      <c r="W5684" t="s">
        <v>42930</v>
      </c>
      <c r="X5684" t="s">
        <v>44910</v>
      </c>
    </row>
    <row r="5685" spans="1:24">
      <c r="A5685">
        <f>HYPERLINK("https://www.philgeps.gov.ph/GEPSNONPILOT/Tender/SplashBidNoticeAbstractUI.aspx?menuIndex=3&amp;refID=7076852&amp;Result=3","7076852")</f>
        <v>0</v>
      </c>
      <c r="B5685" t="s">
        <v>751</v>
      </c>
      <c r="C5685" t="s">
        <v>8950</v>
      </c>
      <c r="D5685" t="s">
        <v>18122</v>
      </c>
      <c r="E5685" t="s">
        <v>23271</v>
      </c>
      <c r="F5685" t="s">
        <v>31362</v>
      </c>
      <c r="G5685" t="s">
        <v>31368</v>
      </c>
      <c r="H5685" t="s">
        <v>15799</v>
      </c>
      <c r="I5685" t="s">
        <v>31387</v>
      </c>
      <c r="J5685" t="s">
        <v>35109</v>
      </c>
      <c r="K5685" t="s">
        <v>40662</v>
      </c>
      <c r="M5685" t="s">
        <v>41719</v>
      </c>
      <c r="N5685" t="s">
        <v>44905</v>
      </c>
      <c r="O5685" t="s">
        <v>44906</v>
      </c>
      <c r="P5685">
        <v>0</v>
      </c>
      <c r="Q5685">
        <v>0</v>
      </c>
      <c r="R5685" t="s">
        <v>44909</v>
      </c>
      <c r="S5685" t="s">
        <v>45060</v>
      </c>
      <c r="T5685" t="s">
        <v>46454</v>
      </c>
      <c r="U5685" t="s">
        <v>51540</v>
      </c>
      <c r="W5685" t="s">
        <v>41719</v>
      </c>
      <c r="X5685" t="s">
        <v>44910</v>
      </c>
    </row>
    <row r="5686" spans="1:24">
      <c r="A5686">
        <f>HYPERLINK("https://www.philgeps.gov.ph/GEPSNONPILOT/Tender/SplashBidNoticeAbstractUI.aspx?menuIndex=3&amp;refID=7076847&amp;Result=3","7076847")</f>
        <v>0</v>
      </c>
      <c r="B5686" t="s">
        <v>169</v>
      </c>
      <c r="C5686" t="s">
        <v>8951</v>
      </c>
      <c r="D5686" t="s">
        <v>18108</v>
      </c>
      <c r="E5686" t="s">
        <v>23272</v>
      </c>
      <c r="F5686" t="s">
        <v>31362</v>
      </c>
      <c r="G5686" t="s">
        <v>31368</v>
      </c>
      <c r="H5686" t="s">
        <v>15799</v>
      </c>
      <c r="I5686" t="s">
        <v>31395</v>
      </c>
      <c r="J5686" t="s">
        <v>35110</v>
      </c>
      <c r="K5686" t="s">
        <v>40665</v>
      </c>
      <c r="M5686" t="s">
        <v>41107</v>
      </c>
      <c r="N5686" t="s">
        <v>44905</v>
      </c>
      <c r="O5686" t="s">
        <v>44906</v>
      </c>
      <c r="P5686">
        <v>0</v>
      </c>
      <c r="Q5686">
        <v>2</v>
      </c>
      <c r="R5686" t="s">
        <v>44909</v>
      </c>
      <c r="S5686" t="s">
        <v>45060</v>
      </c>
      <c r="T5686" t="s">
        <v>46411</v>
      </c>
      <c r="U5686" t="s">
        <v>47211</v>
      </c>
      <c r="W5686" t="s">
        <v>41107</v>
      </c>
      <c r="X5686" t="s">
        <v>44910</v>
      </c>
    </row>
    <row r="5687" spans="1:24">
      <c r="A5687">
        <f>HYPERLINK("https://www.philgeps.gov.ph/GEPSNONPILOT/Tender/SplashBidNoticeAbstractUI.aspx?menuIndex=3&amp;refID=7076844&amp;Result=3","7076844")</f>
        <v>0</v>
      </c>
      <c r="B5687" t="s">
        <v>1844</v>
      </c>
      <c r="C5687" t="s">
        <v>8952</v>
      </c>
      <c r="D5687" t="s">
        <v>18131</v>
      </c>
      <c r="E5687" t="s">
        <v>23273</v>
      </c>
      <c r="F5687" t="s">
        <v>31362</v>
      </c>
      <c r="G5687" t="s">
        <v>31369</v>
      </c>
      <c r="H5687" t="s">
        <v>15799</v>
      </c>
      <c r="I5687" t="s">
        <v>31400</v>
      </c>
      <c r="J5687" t="s">
        <v>31969</v>
      </c>
      <c r="K5687" t="s">
        <v>40666</v>
      </c>
      <c r="M5687" t="s">
        <v>42932</v>
      </c>
      <c r="N5687" t="s">
        <v>44905</v>
      </c>
      <c r="O5687" t="s">
        <v>44906</v>
      </c>
      <c r="P5687">
        <v>0</v>
      </c>
      <c r="Q5687">
        <v>0</v>
      </c>
      <c r="R5687" t="s">
        <v>44909</v>
      </c>
      <c r="S5687" t="s">
        <v>45060</v>
      </c>
      <c r="T5687" t="s">
        <v>46580</v>
      </c>
      <c r="U5687" t="s">
        <v>51541</v>
      </c>
      <c r="W5687" t="s">
        <v>42932</v>
      </c>
      <c r="X5687" t="s">
        <v>44910</v>
      </c>
    </row>
    <row r="5688" spans="1:24">
      <c r="A5688">
        <f>HYPERLINK("https://www.philgeps.gov.ph/GEPSNONPILOT/Tender/SplashBidNoticeAbstractUI.aspx?menuIndex=3&amp;refID=7076843&amp;Result=3","7076843")</f>
        <v>0</v>
      </c>
      <c r="B5688" t="s">
        <v>374</v>
      </c>
      <c r="C5688" t="s">
        <v>8953</v>
      </c>
      <c r="D5688" t="s">
        <v>18106</v>
      </c>
      <c r="E5688" t="s">
        <v>23274</v>
      </c>
      <c r="F5688" t="s">
        <v>31362</v>
      </c>
      <c r="G5688" t="s">
        <v>31369</v>
      </c>
      <c r="H5688" t="s">
        <v>31378</v>
      </c>
      <c r="I5688" t="s">
        <v>31386</v>
      </c>
      <c r="J5688" t="s">
        <v>35111</v>
      </c>
      <c r="K5688" t="s">
        <v>40662</v>
      </c>
      <c r="M5688" t="s">
        <v>41321</v>
      </c>
      <c r="N5688" t="s">
        <v>44905</v>
      </c>
      <c r="O5688" t="s">
        <v>44906</v>
      </c>
      <c r="P5688">
        <v>0</v>
      </c>
      <c r="Q5688">
        <v>0</v>
      </c>
      <c r="R5688" t="s">
        <v>44909</v>
      </c>
      <c r="S5688" t="s">
        <v>45060</v>
      </c>
      <c r="T5688" t="s">
        <v>46419</v>
      </c>
      <c r="U5688" t="s">
        <v>51542</v>
      </c>
      <c r="W5688" t="s">
        <v>41321</v>
      </c>
      <c r="X5688" t="s">
        <v>44910</v>
      </c>
    </row>
    <row r="5689" spans="1:24">
      <c r="A5689">
        <f>HYPERLINK("https://www.philgeps.gov.ph/GEPSNONPILOT/Tender/SplashBidNoticeAbstractUI.aspx?menuIndex=3&amp;refID=7076842&amp;Result=3","7076842")</f>
        <v>0</v>
      </c>
      <c r="B5689" t="s">
        <v>1845</v>
      </c>
      <c r="C5689" t="s">
        <v>8954</v>
      </c>
      <c r="D5689" t="s">
        <v>18118</v>
      </c>
      <c r="E5689" t="s">
        <v>18475</v>
      </c>
      <c r="F5689" t="s">
        <v>31362</v>
      </c>
      <c r="G5689" t="s">
        <v>31369</v>
      </c>
      <c r="H5689" t="s">
        <v>15799</v>
      </c>
      <c r="I5689" t="s">
        <v>3815</v>
      </c>
      <c r="J5689" t="s">
        <v>35112</v>
      </c>
      <c r="K5689" t="s">
        <v>40670</v>
      </c>
      <c r="M5689" t="s">
        <v>42933</v>
      </c>
      <c r="N5689" t="s">
        <v>44905</v>
      </c>
      <c r="O5689" t="s">
        <v>44906</v>
      </c>
      <c r="P5689">
        <v>0</v>
      </c>
      <c r="Q5689">
        <v>1</v>
      </c>
      <c r="R5689" t="s">
        <v>44909</v>
      </c>
      <c r="S5689" t="s">
        <v>45060</v>
      </c>
      <c r="T5689" t="s">
        <v>46435</v>
      </c>
      <c r="U5689" t="s">
        <v>51543</v>
      </c>
      <c r="W5689" t="s">
        <v>42933</v>
      </c>
      <c r="X5689" t="s">
        <v>44910</v>
      </c>
    </row>
    <row r="5690" spans="1:24">
      <c r="A5690">
        <f>HYPERLINK("https://www.philgeps.gov.ph/GEPSNONPILOT/Tender/SplashBidNoticeAbstractUI.aspx?menuIndex=3&amp;refID=7076840&amp;Result=3","7076840")</f>
        <v>0</v>
      </c>
      <c r="B5690" t="s">
        <v>1024</v>
      </c>
      <c r="C5690" t="s">
        <v>8955</v>
      </c>
      <c r="D5690" t="s">
        <v>18125</v>
      </c>
      <c r="E5690" t="s">
        <v>23275</v>
      </c>
      <c r="F5690" t="s">
        <v>31362</v>
      </c>
      <c r="G5690" t="s">
        <v>31368</v>
      </c>
      <c r="H5690" t="s">
        <v>15799</v>
      </c>
      <c r="I5690" t="s">
        <v>3815</v>
      </c>
      <c r="J5690" t="s">
        <v>35113</v>
      </c>
      <c r="K5690" t="s">
        <v>40662</v>
      </c>
      <c r="M5690" t="s">
        <v>42022</v>
      </c>
      <c r="N5690" t="s">
        <v>44905</v>
      </c>
      <c r="O5690" t="s">
        <v>44906</v>
      </c>
      <c r="P5690">
        <v>0</v>
      </c>
      <c r="Q5690">
        <v>0</v>
      </c>
      <c r="R5690" t="s">
        <v>44909</v>
      </c>
      <c r="S5690" t="s">
        <v>45060</v>
      </c>
      <c r="T5690" t="s">
        <v>46438</v>
      </c>
      <c r="U5690" t="s">
        <v>51544</v>
      </c>
      <c r="W5690" t="s">
        <v>42022</v>
      </c>
      <c r="X5690" t="s">
        <v>44910</v>
      </c>
    </row>
    <row r="5691" spans="1:24">
      <c r="A5691">
        <f>HYPERLINK("https://www.philgeps.gov.ph/GEPSNONPILOT/Tender/SplashBidNoticeAbstractUI.aspx?menuIndex=3&amp;refID=7076860&amp;Result=3","7076860")</f>
        <v>0</v>
      </c>
      <c r="B5691" t="s">
        <v>1742</v>
      </c>
      <c r="C5691" t="s">
        <v>8956</v>
      </c>
      <c r="D5691" t="s">
        <v>18134</v>
      </c>
      <c r="E5691" t="s">
        <v>23276</v>
      </c>
      <c r="F5691" t="s">
        <v>31362</v>
      </c>
      <c r="G5691" t="s">
        <v>31368</v>
      </c>
      <c r="H5691" t="s">
        <v>15799</v>
      </c>
      <c r="I5691" t="s">
        <v>3815</v>
      </c>
      <c r="J5691" t="s">
        <v>35114</v>
      </c>
      <c r="K5691" t="s">
        <v>40662</v>
      </c>
      <c r="M5691" t="s">
        <v>42817</v>
      </c>
      <c r="N5691" t="s">
        <v>44905</v>
      </c>
      <c r="O5691" t="s">
        <v>44906</v>
      </c>
      <c r="P5691">
        <v>0</v>
      </c>
      <c r="Q5691">
        <v>1</v>
      </c>
      <c r="R5691" t="s">
        <v>44909</v>
      </c>
      <c r="S5691" t="s">
        <v>45060</v>
      </c>
      <c r="T5691" t="s">
        <v>46409</v>
      </c>
      <c r="U5691" t="s">
        <v>51545</v>
      </c>
      <c r="W5691" t="s">
        <v>42817</v>
      </c>
      <c r="X5691" t="s">
        <v>44910</v>
      </c>
    </row>
    <row r="5692" spans="1:24">
      <c r="A5692">
        <f>HYPERLINK("https://www.philgeps.gov.ph/GEPSNONPILOT/Tender/SplashBidNoticeAbstractUI.aspx?menuIndex=3&amp;refID=7076866&amp;Result=3","7076866")</f>
        <v>0</v>
      </c>
      <c r="B5692" t="s">
        <v>579</v>
      </c>
      <c r="C5692" t="s">
        <v>8957</v>
      </c>
      <c r="D5692" t="s">
        <v>18112</v>
      </c>
      <c r="E5692" t="s">
        <v>23277</v>
      </c>
      <c r="F5692" t="s">
        <v>31362</v>
      </c>
      <c r="G5692" t="s">
        <v>31368</v>
      </c>
      <c r="H5692" t="s">
        <v>15799</v>
      </c>
      <c r="I5692" t="s">
        <v>3815</v>
      </c>
      <c r="J5692" t="s">
        <v>35115</v>
      </c>
      <c r="K5692" t="s">
        <v>40661</v>
      </c>
      <c r="M5692" t="s">
        <v>41536</v>
      </c>
      <c r="N5692" t="s">
        <v>44905</v>
      </c>
      <c r="O5692" t="s">
        <v>44906</v>
      </c>
      <c r="P5692">
        <v>0</v>
      </c>
      <c r="Q5692">
        <v>0</v>
      </c>
      <c r="R5692" t="s">
        <v>44909</v>
      </c>
      <c r="S5692" t="s">
        <v>45060</v>
      </c>
      <c r="T5692" t="s">
        <v>46447</v>
      </c>
      <c r="U5692" t="s">
        <v>48037</v>
      </c>
      <c r="W5692" t="s">
        <v>41536</v>
      </c>
      <c r="X5692" t="s">
        <v>44910</v>
      </c>
    </row>
    <row r="5693" spans="1:24">
      <c r="A5693">
        <f>HYPERLINK("https://www.philgeps.gov.ph/GEPSNONPILOT/Tender/SplashBidNoticeAbstractUI.aspx?menuIndex=3&amp;refID=7076838&amp;Result=3","7076838")</f>
        <v>0</v>
      </c>
      <c r="B5693" t="s">
        <v>291</v>
      </c>
      <c r="C5693" t="s">
        <v>8958</v>
      </c>
      <c r="D5693" t="s">
        <v>18158</v>
      </c>
      <c r="E5693" t="s">
        <v>23278</v>
      </c>
      <c r="F5693" t="s">
        <v>31362</v>
      </c>
      <c r="G5693" t="s">
        <v>31368</v>
      </c>
      <c r="H5693" t="s">
        <v>15799</v>
      </c>
      <c r="I5693" t="s">
        <v>7090</v>
      </c>
      <c r="J5693" t="s">
        <v>35116</v>
      </c>
      <c r="K5693" t="s">
        <v>40662</v>
      </c>
      <c r="M5693" t="s">
        <v>41234</v>
      </c>
      <c r="N5693" t="s">
        <v>44905</v>
      </c>
      <c r="O5693" t="s">
        <v>44906</v>
      </c>
      <c r="P5693">
        <v>0</v>
      </c>
      <c r="Q5693">
        <v>0</v>
      </c>
      <c r="R5693" t="s">
        <v>44909</v>
      </c>
      <c r="S5693" t="s">
        <v>45060</v>
      </c>
      <c r="T5693" t="s">
        <v>46409</v>
      </c>
      <c r="U5693" t="s">
        <v>51546</v>
      </c>
      <c r="W5693" t="s">
        <v>41234</v>
      </c>
      <c r="X5693" t="s">
        <v>44910</v>
      </c>
    </row>
    <row r="5694" spans="1:24">
      <c r="A5694">
        <f>HYPERLINK("https://www.philgeps.gov.ph/GEPSNONPILOT/Tender/SplashBidNoticeAbstractUI.aspx?menuIndex=3&amp;refID=7076864&amp;Result=3","7076864")</f>
        <v>0</v>
      </c>
      <c r="B5694" t="s">
        <v>359</v>
      </c>
      <c r="C5694" t="s">
        <v>8959</v>
      </c>
      <c r="D5694" t="s">
        <v>18123</v>
      </c>
      <c r="E5694" t="s">
        <v>23279</v>
      </c>
      <c r="F5694" t="s">
        <v>31362</v>
      </c>
      <c r="G5694" t="s">
        <v>31368</v>
      </c>
      <c r="H5694" t="s">
        <v>15799</v>
      </c>
      <c r="I5694" t="s">
        <v>3815</v>
      </c>
      <c r="J5694" t="s">
        <v>31546</v>
      </c>
      <c r="K5694" t="s">
        <v>40661</v>
      </c>
      <c r="M5694" t="s">
        <v>41306</v>
      </c>
      <c r="N5694" t="s">
        <v>44905</v>
      </c>
      <c r="O5694" t="s">
        <v>44906</v>
      </c>
      <c r="P5694">
        <v>0</v>
      </c>
      <c r="Q5694">
        <v>0</v>
      </c>
      <c r="R5694" t="s">
        <v>44909</v>
      </c>
      <c r="S5694" t="s">
        <v>45060</v>
      </c>
      <c r="T5694" t="s">
        <v>46432</v>
      </c>
      <c r="U5694" t="s">
        <v>47534</v>
      </c>
      <c r="W5694" t="s">
        <v>60848</v>
      </c>
      <c r="X5694" t="s">
        <v>44910</v>
      </c>
    </row>
    <row r="5695" spans="1:24">
      <c r="A5695">
        <f>HYPERLINK("https://www.philgeps.gov.ph/GEPSNONPILOT/Tender/SplashBidNoticeAbstractUI.aspx?menuIndex=3&amp;refID=7076841&amp;Result=3","7076841")</f>
        <v>0</v>
      </c>
      <c r="B5695" t="s">
        <v>1846</v>
      </c>
      <c r="C5695" t="s">
        <v>8960</v>
      </c>
      <c r="D5695" t="s">
        <v>18127</v>
      </c>
      <c r="E5695" t="s">
        <v>23280</v>
      </c>
      <c r="F5695" t="s">
        <v>31362</v>
      </c>
      <c r="G5695" t="s">
        <v>31369</v>
      </c>
      <c r="H5695" t="s">
        <v>31378</v>
      </c>
      <c r="I5695" t="s">
        <v>31386</v>
      </c>
      <c r="J5695" t="s">
        <v>35117</v>
      </c>
      <c r="K5695" t="s">
        <v>40682</v>
      </c>
      <c r="M5695" t="s">
        <v>42934</v>
      </c>
      <c r="N5695" t="s">
        <v>44905</v>
      </c>
      <c r="O5695" t="s">
        <v>44906</v>
      </c>
      <c r="P5695">
        <v>0</v>
      </c>
      <c r="Q5695">
        <v>0</v>
      </c>
      <c r="R5695" t="s">
        <v>44909</v>
      </c>
      <c r="S5695" t="s">
        <v>45060</v>
      </c>
      <c r="T5695" t="s">
        <v>46504</v>
      </c>
      <c r="U5695" t="s">
        <v>51547</v>
      </c>
      <c r="W5695" t="s">
        <v>42934</v>
      </c>
      <c r="X5695" t="s">
        <v>44910</v>
      </c>
    </row>
    <row r="5696" spans="1:24">
      <c r="A5696">
        <f>HYPERLINK("https://www.philgeps.gov.ph/GEPSNONPILOT/Tender/SplashBidNoticeAbstractUI.aspx?menuIndex=3&amp;refID=7076862&amp;Result=3","7076862")</f>
        <v>0</v>
      </c>
      <c r="B5696" t="s">
        <v>1847</v>
      </c>
      <c r="C5696" t="s">
        <v>8961</v>
      </c>
      <c r="D5696" t="s">
        <v>18111</v>
      </c>
      <c r="E5696" t="s">
        <v>23281</v>
      </c>
      <c r="F5696" t="s">
        <v>31362</v>
      </c>
      <c r="G5696" t="s">
        <v>31368</v>
      </c>
      <c r="H5696" t="s">
        <v>31378</v>
      </c>
      <c r="I5696" t="s">
        <v>31386</v>
      </c>
      <c r="J5696" t="s">
        <v>35118</v>
      </c>
      <c r="K5696" t="s">
        <v>40677</v>
      </c>
      <c r="M5696" t="s">
        <v>42935</v>
      </c>
      <c r="N5696" t="s">
        <v>44905</v>
      </c>
      <c r="O5696" t="s">
        <v>44906</v>
      </c>
      <c r="P5696">
        <v>0</v>
      </c>
      <c r="Q5696">
        <v>0</v>
      </c>
      <c r="R5696" t="s">
        <v>44909</v>
      </c>
      <c r="S5696" t="s">
        <v>45060</v>
      </c>
      <c r="T5696" t="s">
        <v>46435</v>
      </c>
      <c r="U5696" t="s">
        <v>51548</v>
      </c>
      <c r="W5696" t="s">
        <v>42935</v>
      </c>
      <c r="X5696" t="s">
        <v>44910</v>
      </c>
    </row>
    <row r="5697" spans="1:24">
      <c r="A5697">
        <f>HYPERLINK("https://www.philgeps.gov.ph/GEPSNONPILOT/Tender/SplashBidNoticeAbstractUI.aspx?menuIndex=3&amp;refID=7076882&amp;Result=3","7076882")</f>
        <v>0</v>
      </c>
      <c r="B5697" t="s">
        <v>929</v>
      </c>
      <c r="C5697" t="s">
        <v>8962</v>
      </c>
      <c r="D5697" t="s">
        <v>18143</v>
      </c>
      <c r="E5697" t="s">
        <v>23282</v>
      </c>
      <c r="F5697" t="s">
        <v>31362</v>
      </c>
      <c r="G5697" t="s">
        <v>31369</v>
      </c>
      <c r="H5697" t="s">
        <v>31378</v>
      </c>
      <c r="I5697" t="s">
        <v>31386</v>
      </c>
      <c r="J5697" t="s">
        <v>35119</v>
      </c>
      <c r="K5697" t="s">
        <v>40801</v>
      </c>
      <c r="M5697" t="s">
        <v>42936</v>
      </c>
      <c r="N5697" t="s">
        <v>44905</v>
      </c>
      <c r="O5697" t="s">
        <v>44906</v>
      </c>
      <c r="P5697">
        <v>0</v>
      </c>
      <c r="Q5697">
        <v>0</v>
      </c>
      <c r="R5697" t="s">
        <v>44909</v>
      </c>
      <c r="S5697" t="s">
        <v>45060</v>
      </c>
      <c r="T5697" t="s">
        <v>46591</v>
      </c>
      <c r="U5697" t="s">
        <v>51549</v>
      </c>
      <c r="W5697" t="s">
        <v>42936</v>
      </c>
      <c r="X5697" t="s">
        <v>44910</v>
      </c>
    </row>
    <row r="5698" spans="1:24">
      <c r="A5698">
        <f>HYPERLINK("https://www.philgeps.gov.ph/GEPSNONPILOT/Tender/SplashBidNoticeAbstractUI.aspx?menuIndex=3&amp;refID=7076865&amp;Result=3","7076865")</f>
        <v>0</v>
      </c>
      <c r="B5698" t="s">
        <v>1024</v>
      </c>
      <c r="C5698" t="s">
        <v>8963</v>
      </c>
      <c r="D5698" t="s">
        <v>18125</v>
      </c>
      <c r="E5698" t="s">
        <v>18964</v>
      </c>
      <c r="F5698" t="s">
        <v>31362</v>
      </c>
      <c r="G5698" t="s">
        <v>31371</v>
      </c>
      <c r="H5698" t="s">
        <v>15799</v>
      </c>
      <c r="I5698" t="s">
        <v>31385</v>
      </c>
      <c r="J5698" t="s">
        <v>35120</v>
      </c>
      <c r="K5698" t="s">
        <v>40662</v>
      </c>
      <c r="M5698" t="s">
        <v>42022</v>
      </c>
      <c r="N5698" t="s">
        <v>44905</v>
      </c>
      <c r="O5698" t="s">
        <v>44906</v>
      </c>
      <c r="P5698">
        <v>0</v>
      </c>
      <c r="Q5698">
        <v>9</v>
      </c>
      <c r="R5698" t="s">
        <v>44909</v>
      </c>
      <c r="S5698" t="s">
        <v>45060</v>
      </c>
      <c r="T5698" t="s">
        <v>46438</v>
      </c>
      <c r="U5698" t="s">
        <v>51550</v>
      </c>
      <c r="W5698" t="s">
        <v>42022</v>
      </c>
      <c r="X5698" t="s">
        <v>44910</v>
      </c>
    </row>
    <row r="5699" spans="1:24">
      <c r="A5699">
        <f>HYPERLINK("https://www.philgeps.gov.ph/GEPSNONPILOT/Tender/SplashBidNoticeAbstractUI.aspx?menuIndex=3&amp;refID=7076879&amp;Result=3","7076879")</f>
        <v>0</v>
      </c>
      <c r="B5699" t="s">
        <v>1840</v>
      </c>
      <c r="C5699" t="s">
        <v>8964</v>
      </c>
      <c r="D5699" t="s">
        <v>18132</v>
      </c>
      <c r="E5699" t="s">
        <v>23283</v>
      </c>
      <c r="F5699" t="s">
        <v>31362</v>
      </c>
      <c r="G5699" t="s">
        <v>31368</v>
      </c>
      <c r="H5699" t="s">
        <v>15799</v>
      </c>
      <c r="I5699" t="s">
        <v>3815</v>
      </c>
      <c r="J5699" t="s">
        <v>35121</v>
      </c>
      <c r="K5699" t="s">
        <v>40662</v>
      </c>
      <c r="L5699" t="s">
        <v>1840</v>
      </c>
      <c r="M5699" t="s">
        <v>42928</v>
      </c>
      <c r="N5699" t="s">
        <v>44905</v>
      </c>
      <c r="O5699" t="s">
        <v>44906</v>
      </c>
      <c r="P5699">
        <v>0</v>
      </c>
      <c r="Q5699">
        <v>0</v>
      </c>
      <c r="R5699" t="s">
        <v>44909</v>
      </c>
      <c r="S5699" t="s">
        <v>45060</v>
      </c>
      <c r="T5699" t="s">
        <v>46583</v>
      </c>
      <c r="U5699" t="s">
        <v>51551</v>
      </c>
      <c r="W5699" t="s">
        <v>42928</v>
      </c>
      <c r="X5699" t="s">
        <v>44910</v>
      </c>
    </row>
    <row r="5700" spans="1:24">
      <c r="A5700">
        <f>HYPERLINK("https://www.philgeps.gov.ph/GEPSNONPILOT/Tender/SplashBidNoticeAbstractUI.aspx?menuIndex=3&amp;refID=7076878&amp;Result=3","7076878")</f>
        <v>0</v>
      </c>
      <c r="B5700" t="s">
        <v>637</v>
      </c>
      <c r="C5700" t="s">
        <v>8965</v>
      </c>
      <c r="D5700" t="s">
        <v>18102</v>
      </c>
      <c r="E5700" t="s">
        <v>23284</v>
      </c>
      <c r="F5700" t="s">
        <v>31362</v>
      </c>
      <c r="G5700" t="s">
        <v>31368</v>
      </c>
      <c r="H5700" t="s">
        <v>15799</v>
      </c>
      <c r="I5700" t="s">
        <v>31380</v>
      </c>
      <c r="J5700" t="s">
        <v>35122</v>
      </c>
      <c r="K5700" t="s">
        <v>40665</v>
      </c>
      <c r="M5700" t="s">
        <v>41597</v>
      </c>
      <c r="N5700" t="s">
        <v>44905</v>
      </c>
      <c r="O5700" t="s">
        <v>44906</v>
      </c>
      <c r="P5700">
        <v>0</v>
      </c>
      <c r="Q5700">
        <v>13</v>
      </c>
      <c r="R5700" t="s">
        <v>44909</v>
      </c>
      <c r="S5700" t="s">
        <v>45060</v>
      </c>
      <c r="T5700" t="s">
        <v>46498</v>
      </c>
      <c r="U5700" t="s">
        <v>51552</v>
      </c>
      <c r="W5700" t="s">
        <v>41597</v>
      </c>
      <c r="X5700" t="s">
        <v>44910</v>
      </c>
    </row>
    <row r="5701" spans="1:24">
      <c r="A5701">
        <f>HYPERLINK("https://www.philgeps.gov.ph/GEPSNONPILOT/Tender/SplashBidNoticeAbstractUI.aspx?menuIndex=3&amp;refID=7076836&amp;Result=3","7076836")</f>
        <v>0</v>
      </c>
      <c r="B5701" t="s">
        <v>1051</v>
      </c>
      <c r="C5701" t="s">
        <v>8966</v>
      </c>
      <c r="D5701" t="s">
        <v>18116</v>
      </c>
      <c r="E5701" t="s">
        <v>23285</v>
      </c>
      <c r="F5701" t="s">
        <v>31362</v>
      </c>
      <c r="G5701" t="s">
        <v>31368</v>
      </c>
      <c r="H5701" t="s">
        <v>15799</v>
      </c>
      <c r="I5701" t="s">
        <v>31407</v>
      </c>
      <c r="J5701" t="s">
        <v>35123</v>
      </c>
      <c r="K5701" t="s">
        <v>40662</v>
      </c>
      <c r="M5701" t="s">
        <v>42052</v>
      </c>
      <c r="N5701" t="s">
        <v>44905</v>
      </c>
      <c r="O5701" t="s">
        <v>44906</v>
      </c>
      <c r="P5701">
        <v>0</v>
      </c>
      <c r="Q5701">
        <v>1</v>
      </c>
      <c r="R5701" t="s">
        <v>44909</v>
      </c>
      <c r="S5701" t="s">
        <v>45060</v>
      </c>
      <c r="T5701" t="s">
        <v>46394</v>
      </c>
      <c r="U5701" t="s">
        <v>51553</v>
      </c>
      <c r="W5701" t="s">
        <v>42052</v>
      </c>
      <c r="X5701" t="s">
        <v>44910</v>
      </c>
    </row>
    <row r="5702" spans="1:24">
      <c r="A5702">
        <f>HYPERLINK("https://www.philgeps.gov.ph/GEPSNONPILOT/Tender/SplashBidNoticeAbstractUI.aspx?menuIndex=3&amp;refID=7076876&amp;Result=3","7076876")</f>
        <v>0</v>
      </c>
      <c r="B5702" t="s">
        <v>1832</v>
      </c>
      <c r="C5702" t="s">
        <v>8967</v>
      </c>
      <c r="D5702" t="s">
        <v>18163</v>
      </c>
      <c r="E5702" t="s">
        <v>23286</v>
      </c>
      <c r="F5702" t="s">
        <v>31363</v>
      </c>
      <c r="G5702" t="s">
        <v>31368</v>
      </c>
      <c r="H5702" t="s">
        <v>31379</v>
      </c>
      <c r="I5702" t="s">
        <v>31393</v>
      </c>
      <c r="J5702" t="s">
        <v>31531</v>
      </c>
      <c r="K5702" t="s">
        <v>40661</v>
      </c>
      <c r="M5702" t="s">
        <v>42919</v>
      </c>
      <c r="N5702" t="s">
        <v>44905</v>
      </c>
      <c r="O5702" t="s">
        <v>44906</v>
      </c>
      <c r="P5702">
        <v>0</v>
      </c>
      <c r="Q5702">
        <v>1</v>
      </c>
      <c r="R5702" t="s">
        <v>44909</v>
      </c>
      <c r="S5702" t="s">
        <v>45060</v>
      </c>
      <c r="T5702" t="s">
        <v>46400</v>
      </c>
      <c r="U5702" t="s">
        <v>51554</v>
      </c>
      <c r="W5702" t="s">
        <v>42919</v>
      </c>
      <c r="X5702" t="s">
        <v>44910</v>
      </c>
    </row>
    <row r="5703" spans="1:24">
      <c r="A5703">
        <f>HYPERLINK("https://www.philgeps.gov.ph/GEPSNONPILOT/Tender/SplashBidNoticeAbstractUI.aspx?menuIndex=3&amp;refID=7076868&amp;Result=3","7076868")</f>
        <v>0</v>
      </c>
      <c r="B5703" t="s">
        <v>291</v>
      </c>
      <c r="C5703" t="s">
        <v>8968</v>
      </c>
      <c r="D5703" t="s">
        <v>18158</v>
      </c>
      <c r="E5703" t="s">
        <v>23287</v>
      </c>
      <c r="F5703" t="s">
        <v>31362</v>
      </c>
      <c r="G5703" t="s">
        <v>31368</v>
      </c>
      <c r="H5703" t="s">
        <v>15799</v>
      </c>
      <c r="I5703" t="s">
        <v>6240</v>
      </c>
      <c r="J5703" t="s">
        <v>35124</v>
      </c>
      <c r="K5703" t="s">
        <v>40662</v>
      </c>
      <c r="M5703" t="s">
        <v>41234</v>
      </c>
      <c r="N5703" t="s">
        <v>44905</v>
      </c>
      <c r="O5703" t="s">
        <v>44906</v>
      </c>
      <c r="P5703">
        <v>0</v>
      </c>
      <c r="Q5703">
        <v>0</v>
      </c>
      <c r="R5703" t="s">
        <v>44909</v>
      </c>
      <c r="S5703" t="s">
        <v>45060</v>
      </c>
      <c r="T5703" t="s">
        <v>46409</v>
      </c>
      <c r="U5703" t="s">
        <v>51555</v>
      </c>
      <c r="W5703" t="s">
        <v>41234</v>
      </c>
      <c r="X5703" t="s">
        <v>44910</v>
      </c>
    </row>
    <row r="5704" spans="1:24">
      <c r="A5704">
        <f>HYPERLINK("https://www.philgeps.gov.ph/GEPSNONPILOT/Tender/SplashBidNoticeAbstractUI.aspx?menuIndex=3&amp;refID=7076875&amp;Result=3","7076875")</f>
        <v>0</v>
      </c>
      <c r="B5704" t="s">
        <v>1827</v>
      </c>
      <c r="C5704" t="s">
        <v>8969</v>
      </c>
      <c r="D5704" t="s">
        <v>18138</v>
      </c>
      <c r="E5704" t="s">
        <v>23288</v>
      </c>
      <c r="F5704" t="s">
        <v>31362</v>
      </c>
      <c r="G5704" t="s">
        <v>31368</v>
      </c>
      <c r="H5704" t="s">
        <v>15799</v>
      </c>
      <c r="I5704" t="s">
        <v>31480</v>
      </c>
      <c r="J5704" t="s">
        <v>32826</v>
      </c>
      <c r="K5704" t="s">
        <v>40670</v>
      </c>
      <c r="M5704" t="s">
        <v>42911</v>
      </c>
      <c r="N5704" t="s">
        <v>44905</v>
      </c>
      <c r="O5704" t="s">
        <v>44906</v>
      </c>
      <c r="P5704">
        <v>0</v>
      </c>
      <c r="Q5704">
        <v>0</v>
      </c>
      <c r="R5704" t="s">
        <v>44909</v>
      </c>
      <c r="S5704" t="s">
        <v>45060</v>
      </c>
      <c r="T5704" t="s">
        <v>46443</v>
      </c>
      <c r="U5704" t="s">
        <v>51480</v>
      </c>
      <c r="V5704" t="s">
        <v>59596</v>
      </c>
      <c r="W5704" t="s">
        <v>42911</v>
      </c>
      <c r="X5704" t="s">
        <v>44910</v>
      </c>
    </row>
    <row r="5705" spans="1:24">
      <c r="A5705">
        <f>HYPERLINK("https://www.philgeps.gov.ph/GEPSNONPILOT/Tender/SplashBidNoticeAbstractUI.aspx?menuIndex=3&amp;refID=7076874&amp;Result=3","7076874")</f>
        <v>0</v>
      </c>
      <c r="B5705" t="s">
        <v>1848</v>
      </c>
      <c r="C5705" t="s">
        <v>8970</v>
      </c>
      <c r="D5705" t="s">
        <v>18103</v>
      </c>
      <c r="E5705" t="s">
        <v>20213</v>
      </c>
      <c r="F5705" t="s">
        <v>31362</v>
      </c>
      <c r="G5705" t="s">
        <v>31368</v>
      </c>
      <c r="H5705" t="s">
        <v>15799</v>
      </c>
      <c r="I5705" t="s">
        <v>3582</v>
      </c>
      <c r="J5705" t="s">
        <v>32207</v>
      </c>
      <c r="K5705" t="s">
        <v>40665</v>
      </c>
      <c r="M5705" t="s">
        <v>42937</v>
      </c>
      <c r="N5705" t="s">
        <v>44905</v>
      </c>
      <c r="O5705" t="s">
        <v>44906</v>
      </c>
      <c r="P5705">
        <v>0</v>
      </c>
      <c r="Q5705">
        <v>0</v>
      </c>
      <c r="R5705" t="s">
        <v>44909</v>
      </c>
      <c r="S5705" t="s">
        <v>45060</v>
      </c>
      <c r="T5705" t="s">
        <v>46503</v>
      </c>
      <c r="U5705" t="s">
        <v>51556</v>
      </c>
      <c r="W5705" t="s">
        <v>42937</v>
      </c>
      <c r="X5705" t="s">
        <v>44910</v>
      </c>
    </row>
    <row r="5706" spans="1:24">
      <c r="A5706">
        <f>HYPERLINK("https://www.philgeps.gov.ph/GEPSNONPILOT/Tender/SplashBidNoticeAbstractUI.aspx?menuIndex=3&amp;refID=7076855&amp;Result=3","7076855")</f>
        <v>0</v>
      </c>
      <c r="B5706" t="s">
        <v>291</v>
      </c>
      <c r="C5706" t="s">
        <v>8971</v>
      </c>
      <c r="D5706" t="s">
        <v>18158</v>
      </c>
      <c r="E5706" t="s">
        <v>23289</v>
      </c>
      <c r="F5706" t="s">
        <v>31362</v>
      </c>
      <c r="G5706" t="s">
        <v>31368</v>
      </c>
      <c r="H5706" t="s">
        <v>15799</v>
      </c>
      <c r="I5706" t="s">
        <v>31414</v>
      </c>
      <c r="J5706" t="s">
        <v>31564</v>
      </c>
      <c r="K5706" t="s">
        <v>40662</v>
      </c>
      <c r="M5706" t="s">
        <v>41234</v>
      </c>
      <c r="N5706" t="s">
        <v>44905</v>
      </c>
      <c r="O5706" t="s">
        <v>44906</v>
      </c>
      <c r="P5706">
        <v>0</v>
      </c>
      <c r="Q5706">
        <v>0</v>
      </c>
      <c r="R5706" t="s">
        <v>44909</v>
      </c>
      <c r="S5706" t="s">
        <v>45060</v>
      </c>
      <c r="T5706" t="s">
        <v>46409</v>
      </c>
      <c r="U5706" t="s">
        <v>51557</v>
      </c>
      <c r="W5706" t="s">
        <v>41234</v>
      </c>
      <c r="X5706" t="s">
        <v>44910</v>
      </c>
    </row>
    <row r="5707" spans="1:24">
      <c r="A5707">
        <f>HYPERLINK("https://www.philgeps.gov.ph/GEPSNONPILOT/Tender/SplashBidNoticeAbstractUI.aspx?menuIndex=3&amp;refID=7076881&amp;Result=3","7076881")</f>
        <v>0</v>
      </c>
      <c r="B5707" t="s">
        <v>1849</v>
      </c>
      <c r="C5707" t="s">
        <v>8972</v>
      </c>
      <c r="D5707" t="s">
        <v>18108</v>
      </c>
      <c r="E5707" t="s">
        <v>23290</v>
      </c>
      <c r="F5707" t="s">
        <v>31362</v>
      </c>
      <c r="G5707" t="s">
        <v>31369</v>
      </c>
      <c r="H5707" t="s">
        <v>15799</v>
      </c>
      <c r="I5707" t="s">
        <v>31466</v>
      </c>
      <c r="J5707" t="s">
        <v>31897</v>
      </c>
      <c r="K5707" t="s">
        <v>40661</v>
      </c>
      <c r="M5707" t="s">
        <v>42938</v>
      </c>
      <c r="N5707" t="s">
        <v>44905</v>
      </c>
      <c r="O5707" t="s">
        <v>44906</v>
      </c>
      <c r="P5707">
        <v>0</v>
      </c>
      <c r="Q5707">
        <v>0</v>
      </c>
      <c r="R5707" t="s">
        <v>44909</v>
      </c>
      <c r="S5707" t="s">
        <v>45060</v>
      </c>
      <c r="T5707" t="s">
        <v>46559</v>
      </c>
      <c r="U5707" t="s">
        <v>51558</v>
      </c>
      <c r="W5707" t="s">
        <v>42938</v>
      </c>
      <c r="X5707" t="s">
        <v>44910</v>
      </c>
    </row>
    <row r="5708" spans="1:24">
      <c r="A5708">
        <f>HYPERLINK("https://www.philgeps.gov.ph/GEPSNONPILOT/Tender/SplashBidNoticeAbstractUI.aspx?menuIndex=3&amp;refID=7076877&amp;Result=3","7076877")</f>
        <v>0</v>
      </c>
      <c r="B5708" t="s">
        <v>1850</v>
      </c>
      <c r="C5708" t="s">
        <v>8973</v>
      </c>
      <c r="E5708" t="s">
        <v>22097</v>
      </c>
      <c r="F5708" t="s">
        <v>31362</v>
      </c>
      <c r="G5708" t="s">
        <v>31369</v>
      </c>
      <c r="H5708" t="s">
        <v>15799</v>
      </c>
      <c r="I5708" t="s">
        <v>31429</v>
      </c>
      <c r="J5708" t="s">
        <v>31575</v>
      </c>
      <c r="K5708" t="s">
        <v>40662</v>
      </c>
      <c r="M5708" t="s">
        <v>42939</v>
      </c>
      <c r="N5708" t="s">
        <v>44905</v>
      </c>
      <c r="O5708" t="s">
        <v>44906</v>
      </c>
      <c r="P5708">
        <v>0</v>
      </c>
      <c r="Q5708">
        <v>1</v>
      </c>
      <c r="R5708" t="s">
        <v>44909</v>
      </c>
      <c r="S5708" t="s">
        <v>45060</v>
      </c>
      <c r="T5708" t="s">
        <v>46435</v>
      </c>
      <c r="U5708" t="s">
        <v>51559</v>
      </c>
      <c r="W5708" t="s">
        <v>42939</v>
      </c>
      <c r="X5708" t="s">
        <v>44910</v>
      </c>
    </row>
    <row r="5709" spans="1:24">
      <c r="A5709">
        <f>HYPERLINK("https://www.philgeps.gov.ph/GEPSNONPILOT/Tender/SplashBidNoticeAbstractUI.aspx?menuIndex=3&amp;refID=7076890&amp;Result=3","7076890")</f>
        <v>0</v>
      </c>
      <c r="B5709" t="s">
        <v>618</v>
      </c>
      <c r="C5709" t="s">
        <v>8974</v>
      </c>
      <c r="D5709" t="s">
        <v>18175</v>
      </c>
      <c r="E5709" t="s">
        <v>23291</v>
      </c>
      <c r="F5709" t="s">
        <v>31362</v>
      </c>
      <c r="G5709" t="s">
        <v>31368</v>
      </c>
      <c r="H5709" t="s">
        <v>15799</v>
      </c>
      <c r="I5709" t="s">
        <v>31422</v>
      </c>
      <c r="J5709" t="s">
        <v>35125</v>
      </c>
      <c r="K5709" t="s">
        <v>40665</v>
      </c>
      <c r="M5709" t="s">
        <v>41576</v>
      </c>
      <c r="N5709" t="s">
        <v>44905</v>
      </c>
      <c r="O5709" t="s">
        <v>44906</v>
      </c>
      <c r="P5709">
        <v>0</v>
      </c>
      <c r="Q5709">
        <v>1</v>
      </c>
      <c r="R5709" t="s">
        <v>44909</v>
      </c>
      <c r="S5709" t="s">
        <v>45060</v>
      </c>
      <c r="T5709" t="s">
        <v>46446</v>
      </c>
      <c r="U5709" t="s">
        <v>48103</v>
      </c>
      <c r="W5709" t="s">
        <v>41576</v>
      </c>
      <c r="X5709" t="s">
        <v>44910</v>
      </c>
    </row>
    <row r="5710" spans="1:24">
      <c r="A5710">
        <f>HYPERLINK("https://www.philgeps.gov.ph/GEPSNONPILOT/Tender/SplashBidNoticeAbstractUI.aspx?menuIndex=3&amp;refID=7076889&amp;Result=3","7076889")</f>
        <v>0</v>
      </c>
      <c r="B5710" t="s">
        <v>928</v>
      </c>
      <c r="C5710" t="s">
        <v>8975</v>
      </c>
      <c r="D5710" t="s">
        <v>18143</v>
      </c>
      <c r="E5710" t="s">
        <v>20379</v>
      </c>
      <c r="F5710" t="s">
        <v>31362</v>
      </c>
      <c r="G5710" t="s">
        <v>31369</v>
      </c>
      <c r="H5710" t="s">
        <v>15799</v>
      </c>
      <c r="I5710" t="s">
        <v>3815</v>
      </c>
      <c r="J5710" t="s">
        <v>31578</v>
      </c>
      <c r="K5710" t="s">
        <v>40666</v>
      </c>
      <c r="M5710" t="s">
        <v>42940</v>
      </c>
      <c r="N5710" t="s">
        <v>44905</v>
      </c>
      <c r="O5710" t="s">
        <v>44906</v>
      </c>
      <c r="P5710">
        <v>0</v>
      </c>
      <c r="Q5710">
        <v>1</v>
      </c>
      <c r="R5710" t="s">
        <v>44909</v>
      </c>
      <c r="S5710" t="s">
        <v>45060</v>
      </c>
      <c r="T5710" t="s">
        <v>46419</v>
      </c>
      <c r="U5710" t="s">
        <v>51560</v>
      </c>
      <c r="V5710" t="s">
        <v>59600</v>
      </c>
      <c r="W5710" t="s">
        <v>60875</v>
      </c>
      <c r="X5710" t="s">
        <v>44910</v>
      </c>
    </row>
    <row r="5711" spans="1:24">
      <c r="A5711">
        <f>HYPERLINK("https://www.philgeps.gov.ph/GEPSNONPILOT/Tender/SplashBidNoticeAbstractUI.aspx?menuIndex=3&amp;refID=7076887&amp;Result=3","7076887")</f>
        <v>0</v>
      </c>
      <c r="B5711" t="s">
        <v>1767</v>
      </c>
      <c r="C5711" t="s">
        <v>8976</v>
      </c>
      <c r="D5711" t="s">
        <v>18134</v>
      </c>
      <c r="E5711" t="s">
        <v>23292</v>
      </c>
      <c r="F5711" t="s">
        <v>31362</v>
      </c>
      <c r="G5711" t="s">
        <v>31370</v>
      </c>
      <c r="H5711" t="s">
        <v>15799</v>
      </c>
      <c r="I5711" t="s">
        <v>31427</v>
      </c>
      <c r="J5711" t="s">
        <v>35126</v>
      </c>
      <c r="K5711" t="s">
        <v>40661</v>
      </c>
      <c r="M5711" t="s">
        <v>42846</v>
      </c>
      <c r="N5711" t="s">
        <v>44905</v>
      </c>
      <c r="O5711" t="s">
        <v>44906</v>
      </c>
      <c r="P5711">
        <v>0</v>
      </c>
      <c r="Q5711">
        <v>0</v>
      </c>
      <c r="R5711" t="s">
        <v>44909</v>
      </c>
      <c r="S5711" t="s">
        <v>45060</v>
      </c>
      <c r="T5711" t="s">
        <v>46435</v>
      </c>
      <c r="U5711" t="s">
        <v>51561</v>
      </c>
      <c r="W5711" t="s">
        <v>42846</v>
      </c>
      <c r="X5711" t="s">
        <v>44910</v>
      </c>
    </row>
    <row r="5712" spans="1:24">
      <c r="A5712">
        <f>HYPERLINK("https://www.philgeps.gov.ph/GEPSNONPILOT/Tender/SplashBidNoticeAbstractUI.aspx?menuIndex=3&amp;refID=7076891&amp;Result=3","7076891")</f>
        <v>0</v>
      </c>
      <c r="B5712" t="s">
        <v>131</v>
      </c>
      <c r="C5712" t="s">
        <v>8977</v>
      </c>
      <c r="D5712" t="s">
        <v>18125</v>
      </c>
      <c r="E5712" t="s">
        <v>23293</v>
      </c>
      <c r="F5712" t="s">
        <v>31362</v>
      </c>
      <c r="G5712" t="s">
        <v>31368</v>
      </c>
      <c r="H5712" t="s">
        <v>15799</v>
      </c>
      <c r="I5712" t="s">
        <v>4283</v>
      </c>
      <c r="J5712" t="s">
        <v>35127</v>
      </c>
      <c r="K5712" t="s">
        <v>40670</v>
      </c>
      <c r="L5712" t="s">
        <v>131</v>
      </c>
      <c r="M5712" t="s">
        <v>41069</v>
      </c>
      <c r="N5712" t="s">
        <v>44905</v>
      </c>
      <c r="O5712" t="s">
        <v>44906</v>
      </c>
      <c r="P5712">
        <v>0</v>
      </c>
      <c r="Q5712">
        <v>1</v>
      </c>
      <c r="R5712" t="s">
        <v>44909</v>
      </c>
      <c r="S5712" t="s">
        <v>45060</v>
      </c>
      <c r="T5712" t="s">
        <v>46443</v>
      </c>
      <c r="U5712" t="s">
        <v>51562</v>
      </c>
      <c r="V5712" t="s">
        <v>59079</v>
      </c>
      <c r="W5712" t="s">
        <v>41069</v>
      </c>
      <c r="X5712" t="s">
        <v>44910</v>
      </c>
    </row>
    <row r="5713" spans="1:24">
      <c r="A5713">
        <f>HYPERLINK("https://www.philgeps.gov.ph/GEPSNONPILOT/Tender/SplashBidNoticeAbstractUI.aspx?menuIndex=3&amp;refID=7076883&amp;Result=3","7076883")</f>
        <v>0</v>
      </c>
      <c r="B5713" t="s">
        <v>561</v>
      </c>
      <c r="C5713" t="s">
        <v>8978</v>
      </c>
      <c r="D5713" t="s">
        <v>18124</v>
      </c>
      <c r="E5713" t="s">
        <v>20328</v>
      </c>
      <c r="F5713" t="s">
        <v>31362</v>
      </c>
      <c r="G5713" t="s">
        <v>31369</v>
      </c>
      <c r="H5713" t="s">
        <v>31378</v>
      </c>
      <c r="I5713" t="s">
        <v>31386</v>
      </c>
      <c r="J5713" t="s">
        <v>31536</v>
      </c>
      <c r="K5713" t="s">
        <v>40670</v>
      </c>
      <c r="M5713" t="s">
        <v>41517</v>
      </c>
      <c r="N5713" t="s">
        <v>44905</v>
      </c>
      <c r="O5713" t="s">
        <v>44906</v>
      </c>
      <c r="P5713">
        <v>0</v>
      </c>
      <c r="Q5713">
        <v>1</v>
      </c>
      <c r="R5713" t="s">
        <v>44909</v>
      </c>
      <c r="S5713" t="s">
        <v>45060</v>
      </c>
      <c r="T5713" t="s">
        <v>46448</v>
      </c>
      <c r="U5713" t="s">
        <v>51563</v>
      </c>
      <c r="W5713" t="s">
        <v>41517</v>
      </c>
      <c r="X5713" t="s">
        <v>44910</v>
      </c>
    </row>
    <row r="5714" spans="1:24">
      <c r="A5714">
        <f>HYPERLINK("https://www.philgeps.gov.ph/GEPSNONPILOT/Tender/SplashBidNoticeAbstractUI.aspx?menuIndex=3&amp;refID=7076873&amp;Result=3","7076873")</f>
        <v>0</v>
      </c>
      <c r="B5714" t="s">
        <v>1851</v>
      </c>
      <c r="C5714" t="s">
        <v>8979</v>
      </c>
      <c r="D5714" t="s">
        <v>18148</v>
      </c>
      <c r="E5714" t="s">
        <v>23294</v>
      </c>
      <c r="F5714" t="s">
        <v>31362</v>
      </c>
      <c r="G5714" t="s">
        <v>31370</v>
      </c>
      <c r="H5714" t="s">
        <v>15799</v>
      </c>
      <c r="I5714" t="s">
        <v>31406</v>
      </c>
      <c r="J5714" t="s">
        <v>32670</v>
      </c>
      <c r="K5714" t="s">
        <v>40661</v>
      </c>
      <c r="M5714" t="s">
        <v>42941</v>
      </c>
      <c r="N5714" t="s">
        <v>44905</v>
      </c>
      <c r="O5714" t="s">
        <v>44906</v>
      </c>
      <c r="P5714">
        <v>0</v>
      </c>
      <c r="Q5714">
        <v>4</v>
      </c>
      <c r="R5714" t="s">
        <v>44909</v>
      </c>
      <c r="S5714" t="s">
        <v>45060</v>
      </c>
      <c r="T5714" t="s">
        <v>46493</v>
      </c>
      <c r="U5714" t="s">
        <v>51564</v>
      </c>
      <c r="W5714" t="s">
        <v>42941</v>
      </c>
      <c r="X5714" t="s">
        <v>44910</v>
      </c>
    </row>
    <row r="5715" spans="1:24">
      <c r="A5715">
        <f>HYPERLINK("https://www.philgeps.gov.ph/GEPSNONPILOT/Tender/SplashBidNoticeAbstractUI.aspx?menuIndex=3&amp;refID=7076870&amp;Result=3","7076870")</f>
        <v>0</v>
      </c>
      <c r="B5715" t="s">
        <v>1852</v>
      </c>
      <c r="C5715" t="s">
        <v>8980</v>
      </c>
      <c r="D5715" t="s">
        <v>18110</v>
      </c>
      <c r="E5715" t="s">
        <v>20370</v>
      </c>
      <c r="F5715" t="s">
        <v>31362</v>
      </c>
      <c r="G5715" t="s">
        <v>31370</v>
      </c>
      <c r="H5715" t="s">
        <v>15799</v>
      </c>
      <c r="I5715" t="s">
        <v>6373</v>
      </c>
      <c r="J5715" t="s">
        <v>35128</v>
      </c>
      <c r="K5715" t="s">
        <v>40698</v>
      </c>
      <c r="M5715" t="s">
        <v>42942</v>
      </c>
      <c r="N5715" t="s">
        <v>44905</v>
      </c>
      <c r="O5715" t="s">
        <v>44906</v>
      </c>
      <c r="P5715">
        <v>0</v>
      </c>
      <c r="Q5715">
        <v>2</v>
      </c>
      <c r="R5715" t="s">
        <v>44909</v>
      </c>
      <c r="S5715" t="s">
        <v>45060</v>
      </c>
      <c r="T5715" t="s">
        <v>46432</v>
      </c>
      <c r="U5715" t="s">
        <v>51565</v>
      </c>
      <c r="W5715" t="s">
        <v>42942</v>
      </c>
      <c r="X5715" t="s">
        <v>44910</v>
      </c>
    </row>
    <row r="5716" spans="1:24">
      <c r="A5716">
        <f>HYPERLINK("https://www.philgeps.gov.ph/GEPSNONPILOT/Tender/SplashBidNoticeAbstractUI.aspx?menuIndex=3&amp;refID=7076857&amp;Result=3","7076857")</f>
        <v>0</v>
      </c>
      <c r="B5716" t="s">
        <v>1850</v>
      </c>
      <c r="C5716" t="s">
        <v>8981</v>
      </c>
      <c r="E5716" t="s">
        <v>11036</v>
      </c>
      <c r="F5716" t="s">
        <v>31362</v>
      </c>
      <c r="G5716" t="s">
        <v>31369</v>
      </c>
      <c r="H5716" t="s">
        <v>31378</v>
      </c>
      <c r="I5716" t="s">
        <v>31449</v>
      </c>
      <c r="J5716" t="s">
        <v>34093</v>
      </c>
      <c r="K5716" t="s">
        <v>40662</v>
      </c>
      <c r="M5716" t="s">
        <v>42939</v>
      </c>
      <c r="N5716" t="s">
        <v>44905</v>
      </c>
      <c r="O5716" t="s">
        <v>44906</v>
      </c>
      <c r="P5716">
        <v>0</v>
      </c>
      <c r="Q5716">
        <v>0</v>
      </c>
      <c r="R5716" t="s">
        <v>44909</v>
      </c>
      <c r="S5716" t="s">
        <v>45060</v>
      </c>
      <c r="T5716" t="s">
        <v>46435</v>
      </c>
      <c r="U5716" t="s">
        <v>51566</v>
      </c>
      <c r="W5716" t="s">
        <v>42939</v>
      </c>
      <c r="X5716" t="s">
        <v>44910</v>
      </c>
    </row>
    <row r="5717" spans="1:24">
      <c r="A5717">
        <f>HYPERLINK("https://www.philgeps.gov.ph/GEPSNONPILOT/Tender/SplashBidNoticeAbstractUI.aspx?menuIndex=3&amp;refID=7076898&amp;Result=3","7076898")</f>
        <v>0</v>
      </c>
      <c r="B5717" t="s">
        <v>1853</v>
      </c>
      <c r="C5717" t="s">
        <v>8982</v>
      </c>
      <c r="D5717" t="s">
        <v>18133</v>
      </c>
      <c r="E5717" t="s">
        <v>23295</v>
      </c>
      <c r="F5717" t="s">
        <v>31362</v>
      </c>
      <c r="G5717" t="s">
        <v>31369</v>
      </c>
      <c r="H5717" t="s">
        <v>31378</v>
      </c>
      <c r="I5717" t="s">
        <v>31386</v>
      </c>
      <c r="J5717" t="s">
        <v>35129</v>
      </c>
      <c r="K5717" t="s">
        <v>40678</v>
      </c>
      <c r="M5717" t="s">
        <v>42943</v>
      </c>
      <c r="N5717" t="s">
        <v>44905</v>
      </c>
      <c r="O5717" t="s">
        <v>44906</v>
      </c>
      <c r="P5717">
        <v>0</v>
      </c>
      <c r="Q5717">
        <v>0</v>
      </c>
      <c r="R5717" t="s">
        <v>44909</v>
      </c>
      <c r="S5717" t="s">
        <v>45060</v>
      </c>
      <c r="T5717" t="s">
        <v>46535</v>
      </c>
      <c r="U5717" t="s">
        <v>51567</v>
      </c>
      <c r="V5717" t="s">
        <v>59601</v>
      </c>
      <c r="W5717" t="s">
        <v>42943</v>
      </c>
      <c r="X5717" t="s">
        <v>44910</v>
      </c>
    </row>
    <row r="5718" spans="1:24">
      <c r="A5718">
        <f>HYPERLINK("https://www.philgeps.gov.ph/GEPSNONPILOT/Tender/SplashBidNoticeAbstractUI.aspx?menuIndex=3&amp;refID=7076888&amp;Result=3","7076888")</f>
        <v>0</v>
      </c>
      <c r="B5718" t="s">
        <v>1172</v>
      </c>
      <c r="C5718" t="s">
        <v>8983</v>
      </c>
      <c r="D5718" t="s">
        <v>18152</v>
      </c>
      <c r="E5718" t="s">
        <v>23296</v>
      </c>
      <c r="F5718" t="s">
        <v>31362</v>
      </c>
      <c r="G5718" t="s">
        <v>31368</v>
      </c>
      <c r="H5718" t="s">
        <v>15799</v>
      </c>
      <c r="I5718" t="s">
        <v>31468</v>
      </c>
      <c r="J5718" t="s">
        <v>35130</v>
      </c>
      <c r="K5718" t="s">
        <v>40676</v>
      </c>
      <c r="M5718" t="s">
        <v>42182</v>
      </c>
      <c r="N5718" t="s">
        <v>44905</v>
      </c>
      <c r="O5718" t="s">
        <v>44906</v>
      </c>
      <c r="P5718">
        <v>0</v>
      </c>
      <c r="Q5718">
        <v>0</v>
      </c>
      <c r="R5718" t="s">
        <v>44909</v>
      </c>
      <c r="S5718" t="s">
        <v>45060</v>
      </c>
      <c r="T5718" t="s">
        <v>46703</v>
      </c>
      <c r="U5718" t="s">
        <v>51568</v>
      </c>
      <c r="W5718" t="s">
        <v>42182</v>
      </c>
      <c r="X5718" t="s">
        <v>44910</v>
      </c>
    </row>
    <row r="5719" spans="1:24">
      <c r="A5719">
        <f>HYPERLINK("https://www.philgeps.gov.ph/GEPSNONPILOT/Tender/SplashBidNoticeAbstractUI.aspx?menuIndex=3&amp;refID=7076886&amp;Result=3","7076886")</f>
        <v>0</v>
      </c>
      <c r="B5719" t="s">
        <v>1854</v>
      </c>
      <c r="C5719" t="s">
        <v>8984</v>
      </c>
      <c r="D5719" t="s">
        <v>18108</v>
      </c>
      <c r="E5719" t="s">
        <v>21404</v>
      </c>
      <c r="F5719" t="s">
        <v>31362</v>
      </c>
      <c r="G5719" t="s">
        <v>31368</v>
      </c>
      <c r="H5719" t="s">
        <v>15799</v>
      </c>
      <c r="I5719" t="s">
        <v>31390</v>
      </c>
      <c r="J5719" t="s">
        <v>35131</v>
      </c>
      <c r="K5719" t="s">
        <v>40666</v>
      </c>
      <c r="M5719" t="s">
        <v>42944</v>
      </c>
      <c r="N5719" t="s">
        <v>44905</v>
      </c>
      <c r="O5719" t="s">
        <v>44906</v>
      </c>
      <c r="P5719">
        <v>0</v>
      </c>
      <c r="Q5719">
        <v>6</v>
      </c>
      <c r="R5719" t="s">
        <v>44909</v>
      </c>
      <c r="S5719" t="s">
        <v>45060</v>
      </c>
      <c r="T5719" t="s">
        <v>46409</v>
      </c>
      <c r="U5719" t="s">
        <v>51569</v>
      </c>
      <c r="W5719" t="s">
        <v>42944</v>
      </c>
      <c r="X5719" t="s">
        <v>44910</v>
      </c>
    </row>
    <row r="5720" spans="1:24">
      <c r="A5720">
        <f>HYPERLINK("https://www.philgeps.gov.ph/GEPSNONPILOT/Tender/SplashBidNoticeAbstractUI.aspx?menuIndex=3&amp;refID=7076912&amp;Result=3","7076912")</f>
        <v>0</v>
      </c>
      <c r="B5720" t="s">
        <v>349</v>
      </c>
      <c r="C5720" t="s">
        <v>8985</v>
      </c>
      <c r="D5720" t="s">
        <v>18160</v>
      </c>
      <c r="E5720" t="s">
        <v>23297</v>
      </c>
      <c r="F5720" t="s">
        <v>31362</v>
      </c>
      <c r="G5720" t="s">
        <v>31368</v>
      </c>
      <c r="H5720" t="s">
        <v>31378</v>
      </c>
      <c r="I5720" t="s">
        <v>31386</v>
      </c>
      <c r="J5720" t="s">
        <v>35132</v>
      </c>
      <c r="K5720" t="s">
        <v>40665</v>
      </c>
      <c r="M5720" t="s">
        <v>41295</v>
      </c>
      <c r="N5720" t="s">
        <v>44905</v>
      </c>
      <c r="O5720" t="s">
        <v>44906</v>
      </c>
      <c r="P5720">
        <v>0</v>
      </c>
      <c r="Q5720">
        <v>1</v>
      </c>
      <c r="R5720" t="s">
        <v>44909</v>
      </c>
      <c r="S5720" t="s">
        <v>45060</v>
      </c>
      <c r="T5720" t="s">
        <v>46699</v>
      </c>
      <c r="U5720" t="s">
        <v>50437</v>
      </c>
      <c r="W5720" t="s">
        <v>41295</v>
      </c>
      <c r="X5720" t="s">
        <v>44910</v>
      </c>
    </row>
    <row r="5721" spans="1:24">
      <c r="A5721">
        <f>HYPERLINK("https://www.philgeps.gov.ph/GEPSNONPILOT/Tender/SplashBidNoticeAbstractUI.aspx?menuIndex=3&amp;refID=7076884&amp;Result=3","7076884")</f>
        <v>0</v>
      </c>
      <c r="B5721" t="s">
        <v>1352</v>
      </c>
      <c r="C5721" t="s">
        <v>8986</v>
      </c>
      <c r="E5721" t="s">
        <v>23298</v>
      </c>
      <c r="F5721" t="s">
        <v>31362</v>
      </c>
      <c r="G5721" t="s">
        <v>31368</v>
      </c>
      <c r="H5721" t="s">
        <v>15799</v>
      </c>
      <c r="I5721" t="s">
        <v>7719</v>
      </c>
      <c r="J5721" t="s">
        <v>35133</v>
      </c>
      <c r="K5721" t="s">
        <v>40662</v>
      </c>
      <c r="M5721" t="s">
        <v>42912</v>
      </c>
      <c r="N5721" t="s">
        <v>44905</v>
      </c>
      <c r="O5721" t="s">
        <v>44906</v>
      </c>
      <c r="P5721">
        <v>0</v>
      </c>
      <c r="Q5721">
        <v>9</v>
      </c>
      <c r="R5721" t="s">
        <v>44909</v>
      </c>
      <c r="S5721" t="s">
        <v>45060</v>
      </c>
      <c r="T5721" t="s">
        <v>46438</v>
      </c>
      <c r="U5721" t="s">
        <v>51482</v>
      </c>
      <c r="W5721" t="s">
        <v>42912</v>
      </c>
      <c r="X5721" t="s">
        <v>44910</v>
      </c>
    </row>
    <row r="5722" spans="1:24">
      <c r="A5722">
        <f>HYPERLINK("https://www.philgeps.gov.ph/GEPSNONPILOT/Tender/SplashBidNoticeAbstractUI.aspx?menuIndex=3&amp;refID=7076894&amp;Result=3","7076894")</f>
        <v>0</v>
      </c>
      <c r="B5722" t="s">
        <v>1855</v>
      </c>
      <c r="C5722" t="s">
        <v>8987</v>
      </c>
      <c r="D5722" t="s">
        <v>18101</v>
      </c>
      <c r="E5722" t="s">
        <v>19313</v>
      </c>
      <c r="F5722" t="s">
        <v>31362</v>
      </c>
      <c r="G5722" t="s">
        <v>31369</v>
      </c>
      <c r="H5722" t="s">
        <v>15799</v>
      </c>
      <c r="I5722" t="s">
        <v>3815</v>
      </c>
      <c r="J5722" t="s">
        <v>35134</v>
      </c>
      <c r="K5722" t="s">
        <v>40666</v>
      </c>
      <c r="M5722" t="s">
        <v>42945</v>
      </c>
      <c r="N5722" t="s">
        <v>44905</v>
      </c>
      <c r="O5722" t="s">
        <v>44906</v>
      </c>
      <c r="P5722">
        <v>0</v>
      </c>
      <c r="Q5722">
        <v>1</v>
      </c>
      <c r="R5722" t="s">
        <v>44909</v>
      </c>
      <c r="S5722" t="s">
        <v>45060</v>
      </c>
      <c r="T5722" t="s">
        <v>46710</v>
      </c>
      <c r="U5722" t="s">
        <v>51570</v>
      </c>
      <c r="W5722" t="s">
        <v>42945</v>
      </c>
      <c r="X5722" t="s">
        <v>44910</v>
      </c>
    </row>
    <row r="5723" spans="1:24">
      <c r="A5723">
        <f>HYPERLINK("https://www.philgeps.gov.ph/GEPSNONPILOT/Tender/SplashBidNoticeAbstractUI.aspx?menuIndex=3&amp;refID=7076918&amp;Result=3","7076918")</f>
        <v>0</v>
      </c>
      <c r="B5723" t="s">
        <v>349</v>
      </c>
      <c r="C5723" t="s">
        <v>8988</v>
      </c>
      <c r="D5723" t="s">
        <v>18160</v>
      </c>
      <c r="E5723" t="s">
        <v>23299</v>
      </c>
      <c r="F5723" t="s">
        <v>31362</v>
      </c>
      <c r="G5723" t="s">
        <v>31368</v>
      </c>
      <c r="H5723" t="s">
        <v>31378</v>
      </c>
      <c r="I5723" t="s">
        <v>31386</v>
      </c>
      <c r="J5723" t="s">
        <v>31591</v>
      </c>
      <c r="K5723" t="s">
        <v>40676</v>
      </c>
      <c r="M5723" t="s">
        <v>41295</v>
      </c>
      <c r="N5723" t="s">
        <v>44905</v>
      </c>
      <c r="O5723" t="s">
        <v>44906</v>
      </c>
      <c r="P5723">
        <v>0</v>
      </c>
      <c r="Q5723">
        <v>1</v>
      </c>
      <c r="R5723" t="s">
        <v>44909</v>
      </c>
      <c r="S5723" t="s">
        <v>45060</v>
      </c>
      <c r="T5723" t="s">
        <v>46432</v>
      </c>
      <c r="U5723" t="s">
        <v>50437</v>
      </c>
      <c r="W5723" t="s">
        <v>41295</v>
      </c>
      <c r="X5723" t="s">
        <v>44910</v>
      </c>
    </row>
    <row r="5724" spans="1:24">
      <c r="A5724">
        <f>HYPERLINK("https://www.philgeps.gov.ph/GEPSNONPILOT/Tender/SplashBidNoticeAbstractUI.aspx?menuIndex=3&amp;refID=7076854&amp;Result=3","7076854")</f>
        <v>0</v>
      </c>
      <c r="B5724" t="s">
        <v>1796</v>
      </c>
      <c r="C5724" t="s">
        <v>8930</v>
      </c>
      <c r="D5724" t="s">
        <v>18102</v>
      </c>
      <c r="E5724" t="s">
        <v>23300</v>
      </c>
      <c r="F5724" t="s">
        <v>31362</v>
      </c>
      <c r="G5724" t="s">
        <v>31368</v>
      </c>
      <c r="H5724" t="s">
        <v>15799</v>
      </c>
      <c r="I5724" t="s">
        <v>31387</v>
      </c>
      <c r="J5724" t="s">
        <v>35135</v>
      </c>
      <c r="K5724" t="s">
        <v>40666</v>
      </c>
      <c r="M5724" t="s">
        <v>42878</v>
      </c>
      <c r="N5724" t="s">
        <v>44905</v>
      </c>
      <c r="O5724" t="s">
        <v>44906</v>
      </c>
      <c r="P5724">
        <v>0</v>
      </c>
      <c r="Q5724">
        <v>2</v>
      </c>
      <c r="R5724" t="s">
        <v>44909</v>
      </c>
      <c r="S5724" t="s">
        <v>45060</v>
      </c>
      <c r="T5724" t="s">
        <v>46480</v>
      </c>
      <c r="U5724" t="s">
        <v>51571</v>
      </c>
      <c r="W5724" t="s">
        <v>42878</v>
      </c>
      <c r="X5724" t="s">
        <v>44910</v>
      </c>
    </row>
    <row r="5725" spans="1:24">
      <c r="A5725">
        <f>HYPERLINK("https://www.philgeps.gov.ph/GEPSNONPILOT/Tender/SplashBidNoticeAbstractUI.aspx?menuIndex=3&amp;refID=7076895&amp;Result=3","7076895")</f>
        <v>0</v>
      </c>
      <c r="B5725" t="s">
        <v>608</v>
      </c>
      <c r="C5725" t="s">
        <v>8989</v>
      </c>
      <c r="D5725" t="s">
        <v>18122</v>
      </c>
      <c r="E5725" t="s">
        <v>23301</v>
      </c>
      <c r="F5725" t="s">
        <v>31362</v>
      </c>
      <c r="G5725" t="s">
        <v>31370</v>
      </c>
      <c r="H5725" t="s">
        <v>15799</v>
      </c>
      <c r="I5725" t="s">
        <v>31385</v>
      </c>
      <c r="J5725" t="s">
        <v>35136</v>
      </c>
      <c r="K5725" t="s">
        <v>40666</v>
      </c>
      <c r="M5725" t="s">
        <v>41566</v>
      </c>
      <c r="N5725" t="s">
        <v>44905</v>
      </c>
      <c r="O5725" t="s">
        <v>44906</v>
      </c>
      <c r="P5725">
        <v>0</v>
      </c>
      <c r="Q5725">
        <v>2</v>
      </c>
      <c r="R5725" t="s">
        <v>44909</v>
      </c>
      <c r="S5725" t="s">
        <v>45060</v>
      </c>
      <c r="T5725" t="s">
        <v>46432</v>
      </c>
      <c r="U5725" t="s">
        <v>51572</v>
      </c>
      <c r="V5725" t="s">
        <v>59602</v>
      </c>
      <c r="W5725" t="s">
        <v>41566</v>
      </c>
      <c r="X5725" t="s">
        <v>44910</v>
      </c>
    </row>
    <row r="5726" spans="1:24">
      <c r="A5726">
        <f>HYPERLINK("https://www.philgeps.gov.ph/GEPSNONPILOT/Tender/SplashBidNoticeAbstractUI.aspx?menuIndex=3&amp;refID=7076914&amp;Result=3","7076914")</f>
        <v>0</v>
      </c>
      <c r="B5726" t="s">
        <v>1464</v>
      </c>
      <c r="C5726" t="s">
        <v>8990</v>
      </c>
      <c r="D5726" t="s">
        <v>18116</v>
      </c>
      <c r="E5726" t="s">
        <v>23302</v>
      </c>
      <c r="F5726" t="s">
        <v>31362</v>
      </c>
      <c r="G5726" t="s">
        <v>31370</v>
      </c>
      <c r="H5726" t="s">
        <v>15799</v>
      </c>
      <c r="I5726" t="s">
        <v>3582</v>
      </c>
      <c r="J5726" t="s">
        <v>31916</v>
      </c>
      <c r="K5726" t="s">
        <v>40661</v>
      </c>
      <c r="M5726" t="s">
        <v>42495</v>
      </c>
      <c r="N5726" t="s">
        <v>44905</v>
      </c>
      <c r="O5726" t="s">
        <v>44906</v>
      </c>
      <c r="P5726">
        <v>0</v>
      </c>
      <c r="Q5726">
        <v>0</v>
      </c>
      <c r="R5726" t="s">
        <v>44909</v>
      </c>
      <c r="S5726" t="s">
        <v>45060</v>
      </c>
      <c r="T5726" t="s">
        <v>46467</v>
      </c>
      <c r="U5726" t="s">
        <v>51573</v>
      </c>
      <c r="W5726" t="s">
        <v>42495</v>
      </c>
      <c r="X5726" t="s">
        <v>44910</v>
      </c>
    </row>
    <row r="5727" spans="1:24">
      <c r="A5727">
        <f>HYPERLINK("https://www.philgeps.gov.ph/GEPSNONPILOT/Tender/SplashBidNoticeAbstractUI.aspx?menuIndex=3&amp;refID=7076910&amp;Result=3","7076910")</f>
        <v>0</v>
      </c>
      <c r="B5727" t="s">
        <v>559</v>
      </c>
      <c r="C5727" t="s">
        <v>8991</v>
      </c>
      <c r="D5727" t="s">
        <v>18139</v>
      </c>
      <c r="E5727" t="s">
        <v>23303</v>
      </c>
      <c r="F5727" t="s">
        <v>31362</v>
      </c>
      <c r="G5727" t="s">
        <v>31369</v>
      </c>
      <c r="H5727" t="s">
        <v>15799</v>
      </c>
      <c r="I5727" t="s">
        <v>3815</v>
      </c>
      <c r="J5727" t="s">
        <v>35137</v>
      </c>
      <c r="K5727" t="s">
        <v>40682</v>
      </c>
      <c r="M5727" t="s">
        <v>41515</v>
      </c>
      <c r="N5727" t="s">
        <v>44905</v>
      </c>
      <c r="O5727" t="s">
        <v>44906</v>
      </c>
      <c r="P5727">
        <v>0</v>
      </c>
      <c r="Q5727">
        <v>1</v>
      </c>
      <c r="R5727" t="s">
        <v>44909</v>
      </c>
      <c r="S5727" t="s">
        <v>45060</v>
      </c>
      <c r="T5727" t="s">
        <v>46419</v>
      </c>
      <c r="U5727" t="s">
        <v>51574</v>
      </c>
      <c r="W5727" t="s">
        <v>41515</v>
      </c>
      <c r="X5727" t="s">
        <v>44910</v>
      </c>
    </row>
    <row r="5728" spans="1:24">
      <c r="A5728">
        <f>HYPERLINK("https://www.philgeps.gov.ph/GEPSNONPILOT/Tender/SplashBidNoticeAbstractUI.aspx?menuIndex=3&amp;refID=7076913&amp;Result=3","7076913")</f>
        <v>0</v>
      </c>
      <c r="B5728" t="s">
        <v>1850</v>
      </c>
      <c r="C5728" t="s">
        <v>8992</v>
      </c>
      <c r="E5728" t="s">
        <v>20014</v>
      </c>
      <c r="F5728" t="s">
        <v>31362</v>
      </c>
      <c r="G5728" t="s">
        <v>31369</v>
      </c>
      <c r="H5728" t="s">
        <v>15799</v>
      </c>
      <c r="I5728" t="s">
        <v>4057</v>
      </c>
      <c r="J5728" t="s">
        <v>35138</v>
      </c>
      <c r="K5728" t="s">
        <v>40662</v>
      </c>
      <c r="M5728" t="s">
        <v>42939</v>
      </c>
      <c r="N5728" t="s">
        <v>44905</v>
      </c>
      <c r="O5728" t="s">
        <v>44906</v>
      </c>
      <c r="P5728">
        <v>0</v>
      </c>
      <c r="Q5728">
        <v>0</v>
      </c>
      <c r="R5728" t="s">
        <v>44909</v>
      </c>
      <c r="S5728" t="s">
        <v>45060</v>
      </c>
      <c r="T5728" t="s">
        <v>46400</v>
      </c>
      <c r="U5728" t="s">
        <v>51559</v>
      </c>
      <c r="W5728" t="s">
        <v>42939</v>
      </c>
      <c r="X5728" t="s">
        <v>44910</v>
      </c>
    </row>
    <row r="5729" spans="1:24">
      <c r="A5729">
        <f>HYPERLINK("https://www.philgeps.gov.ph/GEPSNONPILOT/Tender/SplashBidNoticeAbstractUI.aspx?menuIndex=3&amp;refID=7076908&amp;Result=3","7076908")</f>
        <v>0</v>
      </c>
      <c r="B5729" t="s">
        <v>1856</v>
      </c>
      <c r="C5729" t="s">
        <v>8993</v>
      </c>
      <c r="D5729" t="s">
        <v>18134</v>
      </c>
      <c r="E5729" t="s">
        <v>23304</v>
      </c>
      <c r="F5729" t="s">
        <v>31362</v>
      </c>
      <c r="G5729" t="s">
        <v>31368</v>
      </c>
      <c r="H5729" t="s">
        <v>31378</v>
      </c>
      <c r="I5729" t="s">
        <v>31386</v>
      </c>
      <c r="J5729" t="s">
        <v>31564</v>
      </c>
      <c r="K5729" t="s">
        <v>40680</v>
      </c>
      <c r="M5729" t="s">
        <v>42946</v>
      </c>
      <c r="N5729" t="s">
        <v>44905</v>
      </c>
      <c r="O5729" t="s">
        <v>44906</v>
      </c>
      <c r="P5729">
        <v>0</v>
      </c>
      <c r="Q5729">
        <v>0</v>
      </c>
      <c r="R5729" t="s">
        <v>44909</v>
      </c>
      <c r="S5729" t="s">
        <v>45060</v>
      </c>
      <c r="T5729" t="s">
        <v>46434</v>
      </c>
      <c r="U5729" t="s">
        <v>51575</v>
      </c>
      <c r="W5729" t="s">
        <v>42946</v>
      </c>
      <c r="X5729" t="s">
        <v>44910</v>
      </c>
    </row>
    <row r="5730" spans="1:24">
      <c r="A5730">
        <f>HYPERLINK("https://www.philgeps.gov.ph/GEPSNONPILOT/Tender/SplashBidNoticeAbstractUI.aspx?menuIndex=3&amp;refID=7076907&amp;Result=3","7076907")</f>
        <v>0</v>
      </c>
      <c r="B5730" t="s">
        <v>1857</v>
      </c>
      <c r="C5730" t="s">
        <v>8780</v>
      </c>
      <c r="D5730" t="s">
        <v>18147</v>
      </c>
      <c r="E5730" t="s">
        <v>23305</v>
      </c>
      <c r="F5730" t="s">
        <v>31362</v>
      </c>
      <c r="G5730" t="s">
        <v>31371</v>
      </c>
      <c r="H5730" t="s">
        <v>15799</v>
      </c>
      <c r="I5730" t="s">
        <v>31385</v>
      </c>
      <c r="J5730" t="s">
        <v>35139</v>
      </c>
      <c r="K5730" t="s">
        <v>40666</v>
      </c>
      <c r="M5730" t="s">
        <v>42947</v>
      </c>
      <c r="N5730" t="s">
        <v>44905</v>
      </c>
      <c r="O5730" t="s">
        <v>44906</v>
      </c>
      <c r="P5730">
        <v>0</v>
      </c>
      <c r="Q5730">
        <v>5</v>
      </c>
      <c r="R5730" t="s">
        <v>44909</v>
      </c>
      <c r="S5730" t="s">
        <v>45060</v>
      </c>
      <c r="T5730" t="s">
        <v>46409</v>
      </c>
      <c r="U5730" t="s">
        <v>51576</v>
      </c>
      <c r="W5730" t="s">
        <v>42947</v>
      </c>
      <c r="X5730" t="s">
        <v>44910</v>
      </c>
    </row>
    <row r="5731" spans="1:24">
      <c r="A5731">
        <f>HYPERLINK("https://www.philgeps.gov.ph/GEPSNONPILOT/Tender/SplashBidNoticeAbstractUI.aspx?menuIndex=3&amp;refID=7076905&amp;Result=3","7076905")</f>
        <v>0</v>
      </c>
      <c r="B5731" t="s">
        <v>335</v>
      </c>
      <c r="C5731" t="s">
        <v>8994</v>
      </c>
      <c r="D5731" t="s">
        <v>18108</v>
      </c>
      <c r="E5731" t="s">
        <v>23306</v>
      </c>
      <c r="F5731" t="s">
        <v>31362</v>
      </c>
      <c r="G5731" t="s">
        <v>31368</v>
      </c>
      <c r="H5731" t="s">
        <v>15799</v>
      </c>
      <c r="I5731" t="s">
        <v>31386</v>
      </c>
      <c r="J5731" t="s">
        <v>35140</v>
      </c>
      <c r="K5731" t="s">
        <v>40665</v>
      </c>
      <c r="M5731" t="s">
        <v>42613</v>
      </c>
      <c r="N5731" t="s">
        <v>44905</v>
      </c>
      <c r="O5731" t="s">
        <v>44906</v>
      </c>
      <c r="P5731">
        <v>0</v>
      </c>
      <c r="Q5731">
        <v>0</v>
      </c>
      <c r="R5731" t="s">
        <v>44909</v>
      </c>
      <c r="S5731" t="s">
        <v>45060</v>
      </c>
      <c r="T5731" t="s">
        <v>46447</v>
      </c>
      <c r="U5731" t="s">
        <v>51577</v>
      </c>
      <c r="W5731" t="s">
        <v>42613</v>
      </c>
      <c r="X5731" t="s">
        <v>44910</v>
      </c>
    </row>
    <row r="5732" spans="1:24">
      <c r="A5732">
        <f>HYPERLINK("https://www.philgeps.gov.ph/GEPSNONPILOT/Tender/SplashBidNoticeAbstractUI.aspx?menuIndex=3&amp;refID=7076911&amp;Result=3","7076911")</f>
        <v>0</v>
      </c>
      <c r="B5732" t="s">
        <v>131</v>
      </c>
      <c r="C5732" t="s">
        <v>8995</v>
      </c>
      <c r="D5732" t="s">
        <v>18125</v>
      </c>
      <c r="E5732" t="s">
        <v>23307</v>
      </c>
      <c r="F5732" t="s">
        <v>31362</v>
      </c>
      <c r="G5732" t="s">
        <v>31368</v>
      </c>
      <c r="H5732" t="s">
        <v>15799</v>
      </c>
      <c r="I5732" t="s">
        <v>31386</v>
      </c>
      <c r="J5732" t="s">
        <v>35141</v>
      </c>
      <c r="K5732" t="s">
        <v>40670</v>
      </c>
      <c r="L5732" t="s">
        <v>131</v>
      </c>
      <c r="M5732" t="s">
        <v>41069</v>
      </c>
      <c r="N5732" t="s">
        <v>44905</v>
      </c>
      <c r="O5732" t="s">
        <v>44906</v>
      </c>
      <c r="P5732">
        <v>0</v>
      </c>
      <c r="Q5732">
        <v>0</v>
      </c>
      <c r="R5732" t="s">
        <v>44909</v>
      </c>
      <c r="S5732" t="s">
        <v>45060</v>
      </c>
      <c r="T5732" t="s">
        <v>46443</v>
      </c>
      <c r="U5732" t="s">
        <v>51578</v>
      </c>
      <c r="V5732" t="s">
        <v>59079</v>
      </c>
      <c r="W5732" t="s">
        <v>41069</v>
      </c>
      <c r="X5732" t="s">
        <v>44910</v>
      </c>
    </row>
    <row r="5733" spans="1:24">
      <c r="A5733">
        <f>HYPERLINK("https://www.philgeps.gov.ph/GEPSNONPILOT/Tender/SplashBidNoticeAbstractUI.aspx?menuIndex=3&amp;refID=7076904&amp;Result=3","7076904")</f>
        <v>0</v>
      </c>
      <c r="B5733" t="s">
        <v>751</v>
      </c>
      <c r="C5733" t="s">
        <v>8996</v>
      </c>
      <c r="D5733" t="s">
        <v>18122</v>
      </c>
      <c r="E5733" t="s">
        <v>23308</v>
      </c>
      <c r="F5733" t="s">
        <v>31362</v>
      </c>
      <c r="G5733" t="s">
        <v>31368</v>
      </c>
      <c r="H5733" t="s">
        <v>15799</v>
      </c>
      <c r="I5733" t="s">
        <v>31387</v>
      </c>
      <c r="J5733" t="s">
        <v>35142</v>
      </c>
      <c r="K5733" t="s">
        <v>40662</v>
      </c>
      <c r="M5733" t="s">
        <v>41719</v>
      </c>
      <c r="N5733" t="s">
        <v>44905</v>
      </c>
      <c r="O5733" t="s">
        <v>44906</v>
      </c>
      <c r="P5733">
        <v>0</v>
      </c>
      <c r="Q5733">
        <v>0</v>
      </c>
      <c r="R5733" t="s">
        <v>44909</v>
      </c>
      <c r="S5733" t="s">
        <v>45060</v>
      </c>
      <c r="T5733" t="s">
        <v>46454</v>
      </c>
      <c r="U5733" t="s">
        <v>51579</v>
      </c>
      <c r="W5733" t="s">
        <v>41719</v>
      </c>
      <c r="X5733" t="s">
        <v>44910</v>
      </c>
    </row>
    <row r="5734" spans="1:24">
      <c r="A5734">
        <f>HYPERLINK("https://www.philgeps.gov.ph/GEPSNONPILOT/Tender/SplashBidNoticeAbstractUI.aspx?menuIndex=3&amp;refID=7076916&amp;Result=3","7076916")</f>
        <v>0</v>
      </c>
      <c r="B5734" t="s">
        <v>1842</v>
      </c>
      <c r="C5734" t="s">
        <v>8997</v>
      </c>
      <c r="D5734" t="s">
        <v>18110</v>
      </c>
      <c r="E5734" t="s">
        <v>23309</v>
      </c>
      <c r="F5734" t="s">
        <v>31362</v>
      </c>
      <c r="G5734" t="s">
        <v>31369</v>
      </c>
      <c r="H5734" t="s">
        <v>31378</v>
      </c>
      <c r="I5734" t="s">
        <v>31386</v>
      </c>
      <c r="J5734" t="s">
        <v>31578</v>
      </c>
      <c r="K5734" t="s">
        <v>40665</v>
      </c>
      <c r="M5734" t="s">
        <v>42930</v>
      </c>
      <c r="N5734" t="s">
        <v>44905</v>
      </c>
      <c r="O5734" t="s">
        <v>44906</v>
      </c>
      <c r="P5734">
        <v>0</v>
      </c>
      <c r="Q5734">
        <v>0</v>
      </c>
      <c r="R5734" t="s">
        <v>44909</v>
      </c>
      <c r="S5734" t="s">
        <v>45060</v>
      </c>
      <c r="T5734" t="s">
        <v>46425</v>
      </c>
      <c r="U5734" t="s">
        <v>49800</v>
      </c>
      <c r="W5734" t="s">
        <v>42930</v>
      </c>
      <c r="X5734" t="s">
        <v>44910</v>
      </c>
    </row>
    <row r="5735" spans="1:24">
      <c r="A5735">
        <f>HYPERLINK("https://www.philgeps.gov.ph/GEPSNONPILOT/Tender/SplashBidNoticeAbstractUI.aspx?menuIndex=3&amp;refID=7076901&amp;Result=3","7076901")</f>
        <v>0</v>
      </c>
      <c r="B5735" t="s">
        <v>1826</v>
      </c>
      <c r="C5735" t="s">
        <v>8998</v>
      </c>
      <c r="D5735" t="s">
        <v>18100</v>
      </c>
      <c r="E5735" t="s">
        <v>23310</v>
      </c>
      <c r="F5735" t="s">
        <v>31362</v>
      </c>
      <c r="G5735" t="s">
        <v>31368</v>
      </c>
      <c r="H5735" t="s">
        <v>15799</v>
      </c>
      <c r="I5735" t="s">
        <v>31385</v>
      </c>
      <c r="J5735" t="s">
        <v>35143</v>
      </c>
      <c r="K5735" t="s">
        <v>40697</v>
      </c>
      <c r="M5735" t="s">
        <v>42910</v>
      </c>
      <c r="N5735" t="s">
        <v>44905</v>
      </c>
      <c r="O5735" t="s">
        <v>44906</v>
      </c>
      <c r="P5735">
        <v>0</v>
      </c>
      <c r="Q5735">
        <v>3</v>
      </c>
      <c r="R5735" t="s">
        <v>44909</v>
      </c>
      <c r="S5735" t="s">
        <v>45060</v>
      </c>
      <c r="T5735" t="s">
        <v>46454</v>
      </c>
      <c r="U5735" t="s">
        <v>51479</v>
      </c>
      <c r="W5735" t="s">
        <v>42910</v>
      </c>
      <c r="X5735" t="s">
        <v>44910</v>
      </c>
    </row>
    <row r="5736" spans="1:24">
      <c r="A5736">
        <f>HYPERLINK("https://www.philgeps.gov.ph/GEPSNONPILOT/Tender/SplashBidNoticeAbstractUI.aspx?menuIndex=3&amp;refID=7076915&amp;Result=3","7076915")</f>
        <v>0</v>
      </c>
      <c r="B5736" t="s">
        <v>1858</v>
      </c>
      <c r="C5736" t="s">
        <v>8999</v>
      </c>
      <c r="D5736" t="s">
        <v>18136</v>
      </c>
      <c r="E5736" t="s">
        <v>23311</v>
      </c>
      <c r="F5736" t="s">
        <v>31362</v>
      </c>
      <c r="G5736" t="s">
        <v>31369</v>
      </c>
      <c r="H5736" t="s">
        <v>31378</v>
      </c>
      <c r="I5736" t="s">
        <v>31386</v>
      </c>
      <c r="J5736" t="s">
        <v>31591</v>
      </c>
      <c r="K5736" t="s">
        <v>40677</v>
      </c>
      <c r="M5736" t="s">
        <v>42948</v>
      </c>
      <c r="N5736" t="s">
        <v>44905</v>
      </c>
      <c r="O5736" t="s">
        <v>44906</v>
      </c>
      <c r="P5736">
        <v>0</v>
      </c>
      <c r="Q5736">
        <v>0</v>
      </c>
      <c r="R5736" t="s">
        <v>44909</v>
      </c>
      <c r="S5736" t="s">
        <v>45060</v>
      </c>
      <c r="T5736" t="s">
        <v>46551</v>
      </c>
      <c r="U5736" t="s">
        <v>51580</v>
      </c>
      <c r="V5736" t="s">
        <v>49008</v>
      </c>
      <c r="W5736" t="s">
        <v>42948</v>
      </c>
      <c r="X5736" t="s">
        <v>44910</v>
      </c>
    </row>
    <row r="5737" spans="1:24">
      <c r="A5737">
        <f>HYPERLINK("https://www.philgeps.gov.ph/GEPSNONPILOT/Tender/SplashBidNoticeAbstractUI.aspx?menuIndex=3&amp;refID=7076899&amp;Result=3","7076899")</f>
        <v>0</v>
      </c>
      <c r="B5737" t="s">
        <v>637</v>
      </c>
      <c r="C5737" t="s">
        <v>9000</v>
      </c>
      <c r="D5737" t="s">
        <v>18102</v>
      </c>
      <c r="E5737" t="s">
        <v>23312</v>
      </c>
      <c r="F5737" t="s">
        <v>31362</v>
      </c>
      <c r="G5737" t="s">
        <v>31368</v>
      </c>
      <c r="H5737" t="s">
        <v>15799</v>
      </c>
      <c r="I5737" t="s">
        <v>31406</v>
      </c>
      <c r="J5737" t="s">
        <v>35144</v>
      </c>
      <c r="K5737" t="s">
        <v>40665</v>
      </c>
      <c r="M5737" t="s">
        <v>41597</v>
      </c>
      <c r="N5737" t="s">
        <v>44905</v>
      </c>
      <c r="O5737" t="s">
        <v>44906</v>
      </c>
      <c r="P5737">
        <v>0</v>
      </c>
      <c r="Q5737">
        <v>2</v>
      </c>
      <c r="R5737" t="s">
        <v>44909</v>
      </c>
      <c r="S5737" t="s">
        <v>45060</v>
      </c>
      <c r="T5737" t="s">
        <v>46498</v>
      </c>
      <c r="U5737" t="s">
        <v>51581</v>
      </c>
      <c r="W5737" t="s">
        <v>41597</v>
      </c>
      <c r="X5737" t="s">
        <v>44910</v>
      </c>
    </row>
    <row r="5738" spans="1:24">
      <c r="A5738">
        <f>HYPERLINK("https://www.philgeps.gov.ph/GEPSNONPILOT/Tender/SplashBidNoticeAbstractUI.aspx?menuIndex=3&amp;refID=7076906&amp;Result=3","7076906")</f>
        <v>0</v>
      </c>
      <c r="B5738" t="s">
        <v>1859</v>
      </c>
      <c r="C5738" t="s">
        <v>9001</v>
      </c>
      <c r="D5738" t="s">
        <v>18102</v>
      </c>
      <c r="E5738" t="s">
        <v>23313</v>
      </c>
      <c r="F5738" t="s">
        <v>31362</v>
      </c>
      <c r="G5738" t="s">
        <v>31369</v>
      </c>
      <c r="H5738" t="s">
        <v>15799</v>
      </c>
      <c r="I5738" t="s">
        <v>7188</v>
      </c>
      <c r="J5738" t="s">
        <v>35145</v>
      </c>
      <c r="K5738" t="s">
        <v>40662</v>
      </c>
      <c r="M5738" t="s">
        <v>42949</v>
      </c>
      <c r="N5738" t="s">
        <v>44905</v>
      </c>
      <c r="O5738" t="s">
        <v>44906</v>
      </c>
      <c r="P5738">
        <v>0</v>
      </c>
      <c r="Q5738">
        <v>8</v>
      </c>
      <c r="R5738" t="s">
        <v>44909</v>
      </c>
      <c r="S5738" t="s">
        <v>45060</v>
      </c>
      <c r="T5738" t="s">
        <v>46433</v>
      </c>
      <c r="U5738" t="s">
        <v>51582</v>
      </c>
      <c r="V5738" t="s">
        <v>59603</v>
      </c>
      <c r="W5738" t="s">
        <v>42949</v>
      </c>
      <c r="X5738" t="s">
        <v>44910</v>
      </c>
    </row>
    <row r="5739" spans="1:24">
      <c r="A5739">
        <f>HYPERLINK("https://www.philgeps.gov.ph/GEPSNONPILOT/Tender/SplashBidNoticeAbstractUI.aspx?menuIndex=3&amp;refID=7076902&amp;Result=3","7076902")</f>
        <v>0</v>
      </c>
      <c r="B5739" t="s">
        <v>345</v>
      </c>
      <c r="C5739" t="s">
        <v>9002</v>
      </c>
      <c r="D5739" t="s">
        <v>18149</v>
      </c>
      <c r="E5739" t="s">
        <v>23314</v>
      </c>
      <c r="F5739" t="s">
        <v>31362</v>
      </c>
      <c r="G5739" t="s">
        <v>31368</v>
      </c>
      <c r="H5739" t="s">
        <v>15799</v>
      </c>
      <c r="I5739" t="s">
        <v>31385</v>
      </c>
      <c r="J5739" t="s">
        <v>35146</v>
      </c>
      <c r="K5739" t="s">
        <v>40693</v>
      </c>
      <c r="M5739" t="s">
        <v>41291</v>
      </c>
      <c r="N5739" t="s">
        <v>44905</v>
      </c>
      <c r="O5739" t="s">
        <v>44906</v>
      </c>
      <c r="P5739">
        <v>0</v>
      </c>
      <c r="Q5739">
        <v>2</v>
      </c>
      <c r="R5739" t="s">
        <v>44909</v>
      </c>
      <c r="S5739" t="s">
        <v>45060</v>
      </c>
      <c r="T5739" t="s">
        <v>46580</v>
      </c>
      <c r="U5739" t="s">
        <v>50405</v>
      </c>
      <c r="W5739" t="s">
        <v>41291</v>
      </c>
      <c r="X5739" t="s">
        <v>44910</v>
      </c>
    </row>
    <row r="5740" spans="1:24">
      <c r="A5740">
        <f>HYPERLINK("https://www.philgeps.gov.ph/GEPSNONPILOT/Tender/SplashBidNoticeAbstractUI.aspx?menuIndex=3&amp;refID=7076917&amp;Result=3","7076917")</f>
        <v>0</v>
      </c>
      <c r="B5740" t="s">
        <v>1860</v>
      </c>
      <c r="C5740" t="s">
        <v>9003</v>
      </c>
      <c r="D5740" t="s">
        <v>18113</v>
      </c>
      <c r="E5740" t="s">
        <v>21404</v>
      </c>
      <c r="F5740" t="s">
        <v>31362</v>
      </c>
      <c r="G5740" t="s">
        <v>31369</v>
      </c>
      <c r="H5740" t="s">
        <v>15799</v>
      </c>
      <c r="I5740" t="s">
        <v>3815</v>
      </c>
      <c r="J5740" t="s">
        <v>35147</v>
      </c>
      <c r="K5740" t="s">
        <v>40677</v>
      </c>
      <c r="M5740" t="s">
        <v>42950</v>
      </c>
      <c r="N5740" t="s">
        <v>44905</v>
      </c>
      <c r="O5740" t="s">
        <v>44906</v>
      </c>
      <c r="P5740">
        <v>0</v>
      </c>
      <c r="Q5740">
        <v>0</v>
      </c>
      <c r="R5740" t="s">
        <v>44909</v>
      </c>
      <c r="S5740" t="s">
        <v>45060</v>
      </c>
      <c r="T5740" t="s">
        <v>46604</v>
      </c>
      <c r="U5740" t="s">
        <v>51583</v>
      </c>
      <c r="V5740" t="s">
        <v>59178</v>
      </c>
      <c r="W5740" t="s">
        <v>42950</v>
      </c>
      <c r="X5740" t="s">
        <v>44910</v>
      </c>
    </row>
    <row r="5741" spans="1:24">
      <c r="A5741">
        <f>HYPERLINK("https://www.philgeps.gov.ph/GEPSNONPILOT/Tender/SplashBidNoticeAbstractUI.aspx?menuIndex=3&amp;refID=7076903&amp;Result=3","7076903")</f>
        <v>0</v>
      </c>
      <c r="B5741" t="s">
        <v>241</v>
      </c>
      <c r="C5741" t="s">
        <v>9004</v>
      </c>
      <c r="D5741" t="s">
        <v>18143</v>
      </c>
      <c r="E5741" t="s">
        <v>23315</v>
      </c>
      <c r="F5741" t="s">
        <v>31362</v>
      </c>
      <c r="G5741" t="s">
        <v>31368</v>
      </c>
      <c r="H5741" t="s">
        <v>15799</v>
      </c>
      <c r="I5741" t="s">
        <v>3815</v>
      </c>
      <c r="J5741" t="s">
        <v>35148</v>
      </c>
      <c r="K5741" t="s">
        <v>40665</v>
      </c>
      <c r="M5741" t="s">
        <v>41180</v>
      </c>
      <c r="N5741" t="s">
        <v>44905</v>
      </c>
      <c r="O5741" t="s">
        <v>44906</v>
      </c>
      <c r="P5741">
        <v>0</v>
      </c>
      <c r="Q5741">
        <v>0</v>
      </c>
      <c r="R5741" t="s">
        <v>44909</v>
      </c>
      <c r="S5741" t="s">
        <v>45060</v>
      </c>
      <c r="T5741" t="s">
        <v>46443</v>
      </c>
      <c r="U5741" t="s">
        <v>51584</v>
      </c>
      <c r="W5741" t="s">
        <v>41180</v>
      </c>
      <c r="X5741" t="s">
        <v>44910</v>
      </c>
    </row>
    <row r="5742" spans="1:24">
      <c r="A5742">
        <f>HYPERLINK("https://www.philgeps.gov.ph/GEPSNONPILOT/Tender/SplashBidNoticeAbstractUI.aspx?menuIndex=3&amp;refID=7076920&amp;Result=3","7076920")</f>
        <v>0</v>
      </c>
      <c r="B5742" t="s">
        <v>1861</v>
      </c>
      <c r="C5742" t="s">
        <v>9005</v>
      </c>
      <c r="D5742" t="s">
        <v>18108</v>
      </c>
      <c r="E5742" t="s">
        <v>23316</v>
      </c>
      <c r="F5742" t="s">
        <v>31362</v>
      </c>
      <c r="G5742" t="s">
        <v>31369</v>
      </c>
      <c r="H5742" t="s">
        <v>31379</v>
      </c>
      <c r="I5742" t="s">
        <v>7090</v>
      </c>
      <c r="J5742" t="s">
        <v>35149</v>
      </c>
      <c r="K5742" t="s">
        <v>40672</v>
      </c>
      <c r="M5742" t="s">
        <v>42951</v>
      </c>
      <c r="N5742" t="s">
        <v>44905</v>
      </c>
      <c r="O5742" t="s">
        <v>44906</v>
      </c>
      <c r="P5742">
        <v>0</v>
      </c>
      <c r="Q5742">
        <v>1</v>
      </c>
      <c r="R5742" t="s">
        <v>44909</v>
      </c>
      <c r="S5742" t="s">
        <v>45060</v>
      </c>
      <c r="T5742" t="s">
        <v>46590</v>
      </c>
      <c r="U5742" t="s">
        <v>51585</v>
      </c>
      <c r="W5742" t="s">
        <v>42951</v>
      </c>
      <c r="X5742" t="s">
        <v>44910</v>
      </c>
    </row>
    <row r="5743" spans="1:24">
      <c r="A5743">
        <f>HYPERLINK("https://www.philgeps.gov.ph/GEPSNONPILOT/Tender/SplashBidNoticeAbstractUI.aspx?menuIndex=3&amp;refID=7076930&amp;Result=3","7076930")</f>
        <v>0</v>
      </c>
      <c r="B5743" t="s">
        <v>1862</v>
      </c>
      <c r="C5743" t="s">
        <v>9006</v>
      </c>
      <c r="D5743" t="s">
        <v>18108</v>
      </c>
      <c r="E5743" t="s">
        <v>23317</v>
      </c>
      <c r="F5743" t="s">
        <v>31362</v>
      </c>
      <c r="G5743" t="s">
        <v>31371</v>
      </c>
      <c r="H5743" t="s">
        <v>15799</v>
      </c>
      <c r="I5743" t="s">
        <v>7188</v>
      </c>
      <c r="J5743" t="s">
        <v>31531</v>
      </c>
      <c r="K5743" t="s">
        <v>40661</v>
      </c>
      <c r="M5743" t="s">
        <v>42952</v>
      </c>
      <c r="N5743" t="s">
        <v>44905</v>
      </c>
      <c r="O5743" t="s">
        <v>44906</v>
      </c>
      <c r="P5743">
        <v>0</v>
      </c>
      <c r="Q5743">
        <v>5</v>
      </c>
      <c r="R5743" t="s">
        <v>44909</v>
      </c>
      <c r="S5743" t="s">
        <v>45060</v>
      </c>
      <c r="T5743" t="s">
        <v>46443</v>
      </c>
      <c r="U5743" t="s">
        <v>51586</v>
      </c>
      <c r="W5743" t="s">
        <v>42952</v>
      </c>
      <c r="X5743" t="s">
        <v>44910</v>
      </c>
    </row>
    <row r="5744" spans="1:24">
      <c r="A5744">
        <f>HYPERLINK("https://www.philgeps.gov.ph/GEPSNONPILOT/Tender/SplashBidNoticeAbstractUI.aspx?menuIndex=3&amp;refID=7076936&amp;Result=3","7076936")</f>
        <v>0</v>
      </c>
      <c r="B5744" t="s">
        <v>603</v>
      </c>
      <c r="C5744" t="s">
        <v>9007</v>
      </c>
      <c r="D5744" t="s">
        <v>18155</v>
      </c>
      <c r="E5744" t="s">
        <v>23318</v>
      </c>
      <c r="F5744" t="s">
        <v>31362</v>
      </c>
      <c r="G5744" t="s">
        <v>31370</v>
      </c>
      <c r="H5744" t="s">
        <v>15799</v>
      </c>
      <c r="I5744" t="s">
        <v>3815</v>
      </c>
      <c r="J5744" t="s">
        <v>35150</v>
      </c>
      <c r="K5744" t="s">
        <v>40666</v>
      </c>
      <c r="M5744" t="s">
        <v>41658</v>
      </c>
      <c r="N5744" t="s">
        <v>44905</v>
      </c>
      <c r="O5744" t="s">
        <v>44906</v>
      </c>
      <c r="P5744">
        <v>0</v>
      </c>
      <c r="Q5744">
        <v>0</v>
      </c>
      <c r="R5744" t="s">
        <v>44909</v>
      </c>
      <c r="S5744" t="s">
        <v>45060</v>
      </c>
      <c r="T5744" t="s">
        <v>46454</v>
      </c>
      <c r="U5744" t="s">
        <v>51587</v>
      </c>
      <c r="W5744" t="s">
        <v>60865</v>
      </c>
      <c r="X5744" t="s">
        <v>44910</v>
      </c>
    </row>
    <row r="5745" spans="1:24">
      <c r="A5745">
        <f>HYPERLINK("https://www.philgeps.gov.ph/GEPSNONPILOT/Tender/SplashBidNoticeAbstractUI.aspx?menuIndex=3&amp;refID=7076928&amp;Result=3","7076928")</f>
        <v>0</v>
      </c>
      <c r="B5745" t="s">
        <v>1783</v>
      </c>
      <c r="C5745" t="s">
        <v>9008</v>
      </c>
      <c r="D5745" t="s">
        <v>18158</v>
      </c>
      <c r="E5745" t="s">
        <v>23319</v>
      </c>
      <c r="F5745" t="s">
        <v>31362</v>
      </c>
      <c r="G5745" t="s">
        <v>31369</v>
      </c>
      <c r="H5745" t="s">
        <v>15799</v>
      </c>
      <c r="I5745" t="s">
        <v>3815</v>
      </c>
      <c r="J5745" t="s">
        <v>35151</v>
      </c>
      <c r="K5745" t="s">
        <v>40665</v>
      </c>
      <c r="M5745" t="s">
        <v>42863</v>
      </c>
      <c r="N5745" t="s">
        <v>44905</v>
      </c>
      <c r="O5745" t="s">
        <v>44906</v>
      </c>
      <c r="P5745">
        <v>0</v>
      </c>
      <c r="Q5745">
        <v>2</v>
      </c>
      <c r="R5745" t="s">
        <v>44909</v>
      </c>
      <c r="S5745" t="s">
        <v>45060</v>
      </c>
      <c r="T5745" t="s">
        <v>46559</v>
      </c>
      <c r="U5745" t="s">
        <v>51588</v>
      </c>
      <c r="V5745" t="s">
        <v>59604</v>
      </c>
      <c r="W5745" t="s">
        <v>42863</v>
      </c>
      <c r="X5745" t="s">
        <v>44910</v>
      </c>
    </row>
    <row r="5746" spans="1:24">
      <c r="A5746">
        <f>HYPERLINK("https://www.philgeps.gov.ph/GEPSNONPILOT/Tender/SplashBidNoticeAbstractUI.aspx?menuIndex=3&amp;refID=7076926&amp;Result=3","7076926")</f>
        <v>0</v>
      </c>
      <c r="B5746" t="s">
        <v>1863</v>
      </c>
      <c r="C5746" t="s">
        <v>9009</v>
      </c>
      <c r="D5746" t="s">
        <v>18122</v>
      </c>
      <c r="E5746" t="s">
        <v>23320</v>
      </c>
      <c r="F5746" t="s">
        <v>31362</v>
      </c>
      <c r="G5746" t="s">
        <v>31368</v>
      </c>
      <c r="H5746" t="s">
        <v>15799</v>
      </c>
      <c r="I5746" t="s">
        <v>31466</v>
      </c>
      <c r="J5746" t="s">
        <v>31890</v>
      </c>
      <c r="K5746" t="s">
        <v>40666</v>
      </c>
      <c r="M5746" t="s">
        <v>42953</v>
      </c>
      <c r="N5746" t="s">
        <v>44905</v>
      </c>
      <c r="O5746" t="s">
        <v>44906</v>
      </c>
      <c r="P5746">
        <v>0</v>
      </c>
      <c r="Q5746">
        <v>0</v>
      </c>
      <c r="R5746" t="s">
        <v>44909</v>
      </c>
      <c r="S5746" t="s">
        <v>45060</v>
      </c>
      <c r="T5746" t="s">
        <v>46414</v>
      </c>
      <c r="U5746" t="s">
        <v>51589</v>
      </c>
      <c r="W5746" t="s">
        <v>42953</v>
      </c>
      <c r="X5746" t="s">
        <v>44910</v>
      </c>
    </row>
    <row r="5747" spans="1:24">
      <c r="A5747">
        <f>HYPERLINK("https://www.philgeps.gov.ph/GEPSNONPILOT/Tender/SplashBidNoticeAbstractUI.aspx?menuIndex=3&amp;refID=7076925&amp;Result=3","7076925")</f>
        <v>0</v>
      </c>
      <c r="B5747" t="s">
        <v>335</v>
      </c>
      <c r="C5747" t="s">
        <v>9010</v>
      </c>
      <c r="D5747" t="s">
        <v>18108</v>
      </c>
      <c r="E5747" t="s">
        <v>23321</v>
      </c>
      <c r="F5747" t="s">
        <v>31362</v>
      </c>
      <c r="G5747" t="s">
        <v>31368</v>
      </c>
      <c r="H5747" t="s">
        <v>15799</v>
      </c>
      <c r="I5747" t="s">
        <v>31386</v>
      </c>
      <c r="J5747" t="s">
        <v>35152</v>
      </c>
      <c r="K5747" t="s">
        <v>40665</v>
      </c>
      <c r="M5747" t="s">
        <v>42613</v>
      </c>
      <c r="N5747" t="s">
        <v>44905</v>
      </c>
      <c r="O5747" t="s">
        <v>44906</v>
      </c>
      <c r="P5747">
        <v>0</v>
      </c>
      <c r="Q5747">
        <v>0</v>
      </c>
      <c r="R5747" t="s">
        <v>44909</v>
      </c>
      <c r="S5747" t="s">
        <v>45060</v>
      </c>
      <c r="T5747" t="s">
        <v>46447</v>
      </c>
      <c r="U5747" t="s">
        <v>51577</v>
      </c>
      <c r="W5747" t="s">
        <v>42613</v>
      </c>
      <c r="X5747" t="s">
        <v>44910</v>
      </c>
    </row>
    <row r="5748" spans="1:24">
      <c r="A5748">
        <f>HYPERLINK("https://www.philgeps.gov.ph/GEPSNONPILOT/Tender/SplashBidNoticeAbstractUI.aspx?menuIndex=3&amp;refID=7076919&amp;Result=3","7076919")</f>
        <v>0</v>
      </c>
      <c r="B5748" t="s">
        <v>1864</v>
      </c>
      <c r="C5748" t="s">
        <v>9011</v>
      </c>
      <c r="D5748" t="s">
        <v>18140</v>
      </c>
      <c r="E5748" t="s">
        <v>23322</v>
      </c>
      <c r="F5748" t="s">
        <v>31362</v>
      </c>
      <c r="G5748" t="s">
        <v>31369</v>
      </c>
      <c r="H5748" t="s">
        <v>15799</v>
      </c>
      <c r="I5748" t="s">
        <v>31411</v>
      </c>
      <c r="J5748" t="s">
        <v>32644</v>
      </c>
      <c r="K5748" t="s">
        <v>40677</v>
      </c>
      <c r="M5748" t="s">
        <v>42954</v>
      </c>
      <c r="N5748" t="s">
        <v>44905</v>
      </c>
      <c r="O5748" t="s">
        <v>44906</v>
      </c>
      <c r="P5748">
        <v>0</v>
      </c>
      <c r="Q5748">
        <v>6</v>
      </c>
      <c r="R5748" t="s">
        <v>44909</v>
      </c>
      <c r="S5748" t="s">
        <v>45060</v>
      </c>
      <c r="T5748" t="s">
        <v>46427</v>
      </c>
      <c r="U5748" t="s">
        <v>51590</v>
      </c>
      <c r="W5748" t="s">
        <v>42954</v>
      </c>
      <c r="X5748" t="s">
        <v>44910</v>
      </c>
    </row>
    <row r="5749" spans="1:24">
      <c r="A5749">
        <f>HYPERLINK("https://www.philgeps.gov.ph/GEPSNONPILOT/Tender/SplashBidNoticeAbstractUI.aspx?menuIndex=3&amp;refID=7076946&amp;Result=3","7076946")</f>
        <v>0</v>
      </c>
      <c r="B5749" t="s">
        <v>1865</v>
      </c>
      <c r="C5749" t="s">
        <v>9012</v>
      </c>
      <c r="D5749" t="s">
        <v>18108</v>
      </c>
      <c r="E5749" t="s">
        <v>23323</v>
      </c>
      <c r="F5749" t="s">
        <v>31362</v>
      </c>
      <c r="G5749" t="s">
        <v>31368</v>
      </c>
      <c r="H5749" t="s">
        <v>15799</v>
      </c>
      <c r="I5749" t="s">
        <v>31422</v>
      </c>
      <c r="J5749" t="s">
        <v>35153</v>
      </c>
      <c r="K5749" t="s">
        <v>40661</v>
      </c>
      <c r="M5749" t="s">
        <v>42955</v>
      </c>
      <c r="N5749" t="s">
        <v>44905</v>
      </c>
      <c r="O5749" t="s">
        <v>44906</v>
      </c>
      <c r="P5749">
        <v>0</v>
      </c>
      <c r="Q5749">
        <v>0</v>
      </c>
      <c r="R5749" t="s">
        <v>44909</v>
      </c>
      <c r="S5749" t="s">
        <v>45060</v>
      </c>
      <c r="T5749" t="s">
        <v>46467</v>
      </c>
      <c r="U5749" t="s">
        <v>51591</v>
      </c>
      <c r="V5749" t="s">
        <v>59605</v>
      </c>
      <c r="W5749" t="s">
        <v>60914</v>
      </c>
      <c r="X5749" t="s">
        <v>44910</v>
      </c>
    </row>
    <row r="5750" spans="1:24">
      <c r="A5750">
        <f>HYPERLINK("https://www.philgeps.gov.ph/GEPSNONPILOT/Tender/SplashBidNoticeAbstractUI.aspx?menuIndex=3&amp;refID=7076921&amp;Result=3","7076921")</f>
        <v>0</v>
      </c>
      <c r="B5750" t="s">
        <v>404</v>
      </c>
      <c r="C5750" t="s">
        <v>9013</v>
      </c>
      <c r="D5750" t="s">
        <v>18108</v>
      </c>
      <c r="E5750" t="s">
        <v>23324</v>
      </c>
      <c r="F5750" t="s">
        <v>31362</v>
      </c>
      <c r="G5750" t="s">
        <v>31370</v>
      </c>
      <c r="H5750" t="s">
        <v>15799</v>
      </c>
      <c r="I5750" t="s">
        <v>31408</v>
      </c>
      <c r="J5750" t="s">
        <v>32143</v>
      </c>
      <c r="K5750" t="s">
        <v>40666</v>
      </c>
      <c r="M5750" t="s">
        <v>41718</v>
      </c>
      <c r="N5750" t="s">
        <v>44905</v>
      </c>
      <c r="O5750" t="s">
        <v>44906</v>
      </c>
      <c r="P5750">
        <v>0</v>
      </c>
      <c r="Q5750">
        <v>5</v>
      </c>
      <c r="R5750" t="s">
        <v>44909</v>
      </c>
      <c r="S5750" t="s">
        <v>45060</v>
      </c>
      <c r="T5750" t="s">
        <v>46409</v>
      </c>
      <c r="U5750" t="s">
        <v>51592</v>
      </c>
      <c r="W5750" t="s">
        <v>41718</v>
      </c>
      <c r="X5750" t="s">
        <v>44910</v>
      </c>
    </row>
    <row r="5751" spans="1:24">
      <c r="A5751">
        <f>HYPERLINK("https://www.philgeps.gov.ph/GEPSNONPILOT/Tender/SplashBidNoticeAbstractUI.aspx?menuIndex=3&amp;refID=7076953&amp;Result=3","7076953")</f>
        <v>0</v>
      </c>
      <c r="B5751" t="s">
        <v>1826</v>
      </c>
      <c r="C5751" t="s">
        <v>9014</v>
      </c>
      <c r="D5751" t="s">
        <v>18100</v>
      </c>
      <c r="E5751" t="s">
        <v>23325</v>
      </c>
      <c r="F5751" t="s">
        <v>31362</v>
      </c>
      <c r="G5751" t="s">
        <v>31368</v>
      </c>
      <c r="H5751" t="s">
        <v>15799</v>
      </c>
      <c r="I5751" t="s">
        <v>31431</v>
      </c>
      <c r="J5751" t="s">
        <v>35154</v>
      </c>
      <c r="K5751" t="s">
        <v>40697</v>
      </c>
      <c r="M5751" t="s">
        <v>42910</v>
      </c>
      <c r="N5751" t="s">
        <v>44905</v>
      </c>
      <c r="O5751" t="s">
        <v>44906</v>
      </c>
      <c r="P5751">
        <v>0</v>
      </c>
      <c r="Q5751">
        <v>0</v>
      </c>
      <c r="R5751" t="s">
        <v>44909</v>
      </c>
      <c r="S5751" t="s">
        <v>45060</v>
      </c>
      <c r="T5751" t="s">
        <v>46454</v>
      </c>
      <c r="U5751" t="s">
        <v>51593</v>
      </c>
      <c r="W5751" t="s">
        <v>42910</v>
      </c>
      <c r="X5751" t="s">
        <v>44910</v>
      </c>
    </row>
    <row r="5752" spans="1:24">
      <c r="A5752">
        <f>HYPERLINK("https://www.philgeps.gov.ph/GEPSNONPILOT/Tender/SplashBidNoticeAbstractUI.aspx?menuIndex=3&amp;refID=7076924&amp;Result=3","7076924")</f>
        <v>0</v>
      </c>
      <c r="B5752" t="s">
        <v>561</v>
      </c>
      <c r="C5752" t="s">
        <v>9015</v>
      </c>
      <c r="D5752" t="s">
        <v>18124</v>
      </c>
      <c r="E5752" t="s">
        <v>19224</v>
      </c>
      <c r="F5752" t="s">
        <v>31362</v>
      </c>
      <c r="G5752" t="s">
        <v>31369</v>
      </c>
      <c r="H5752" t="s">
        <v>31378</v>
      </c>
      <c r="I5752" t="s">
        <v>31386</v>
      </c>
      <c r="J5752" t="s">
        <v>31536</v>
      </c>
      <c r="K5752" t="s">
        <v>40670</v>
      </c>
      <c r="M5752" t="s">
        <v>41517</v>
      </c>
      <c r="N5752" t="s">
        <v>44905</v>
      </c>
      <c r="O5752" t="s">
        <v>44906</v>
      </c>
      <c r="P5752">
        <v>0</v>
      </c>
      <c r="Q5752">
        <v>1</v>
      </c>
      <c r="R5752" t="s">
        <v>44909</v>
      </c>
      <c r="S5752" t="s">
        <v>45060</v>
      </c>
      <c r="T5752" t="s">
        <v>46448</v>
      </c>
      <c r="U5752" t="s">
        <v>51594</v>
      </c>
      <c r="W5752" t="s">
        <v>41517</v>
      </c>
      <c r="X5752" t="s">
        <v>44910</v>
      </c>
    </row>
    <row r="5753" spans="1:24">
      <c r="A5753">
        <f>HYPERLINK("https://www.philgeps.gov.ph/GEPSNONPILOT/Tender/SplashBidNoticeAbstractUI.aspx?menuIndex=3&amp;refID=7076950&amp;Result=3","7076950")</f>
        <v>0</v>
      </c>
      <c r="B5753" t="s">
        <v>1579</v>
      </c>
      <c r="C5753" t="s">
        <v>9016</v>
      </c>
      <c r="D5753" t="s">
        <v>18188</v>
      </c>
      <c r="E5753" t="s">
        <v>23326</v>
      </c>
      <c r="F5753" t="s">
        <v>31362</v>
      </c>
      <c r="G5753" t="s">
        <v>31369</v>
      </c>
      <c r="H5753" t="s">
        <v>15799</v>
      </c>
      <c r="I5753" t="s">
        <v>31397</v>
      </c>
      <c r="J5753" t="s">
        <v>35155</v>
      </c>
      <c r="K5753" t="s">
        <v>40682</v>
      </c>
      <c r="M5753" t="s">
        <v>42956</v>
      </c>
      <c r="N5753" t="s">
        <v>44905</v>
      </c>
      <c r="O5753" t="s">
        <v>44906</v>
      </c>
      <c r="P5753">
        <v>0</v>
      </c>
      <c r="Q5753">
        <v>2</v>
      </c>
      <c r="R5753" t="s">
        <v>44909</v>
      </c>
      <c r="S5753" t="s">
        <v>45060</v>
      </c>
      <c r="T5753" t="s">
        <v>46608</v>
      </c>
      <c r="U5753" t="s">
        <v>51595</v>
      </c>
      <c r="W5753" t="s">
        <v>42956</v>
      </c>
      <c r="X5753" t="s">
        <v>44910</v>
      </c>
    </row>
    <row r="5754" spans="1:24">
      <c r="A5754">
        <f>HYPERLINK("https://www.philgeps.gov.ph/GEPSNONPILOT/Tender/SplashBidNoticeAbstractUI.aspx?menuIndex=3&amp;refID=7076938&amp;Result=3","7076938")</f>
        <v>0</v>
      </c>
      <c r="B5754" t="s">
        <v>1866</v>
      </c>
      <c r="C5754" t="s">
        <v>9017</v>
      </c>
      <c r="D5754" t="s">
        <v>18108</v>
      </c>
      <c r="E5754" t="s">
        <v>23327</v>
      </c>
      <c r="F5754" t="s">
        <v>31362</v>
      </c>
      <c r="G5754" t="s">
        <v>31368</v>
      </c>
      <c r="H5754" t="s">
        <v>15799</v>
      </c>
      <c r="I5754" t="s">
        <v>31441</v>
      </c>
      <c r="J5754" t="s">
        <v>35156</v>
      </c>
      <c r="K5754" t="s">
        <v>40661</v>
      </c>
      <c r="M5754" t="s">
        <v>42957</v>
      </c>
      <c r="N5754" t="s">
        <v>44905</v>
      </c>
      <c r="O5754" t="s">
        <v>44906</v>
      </c>
      <c r="P5754">
        <v>0</v>
      </c>
      <c r="Q5754">
        <v>0</v>
      </c>
      <c r="R5754" t="s">
        <v>44909</v>
      </c>
      <c r="S5754" t="s">
        <v>45060</v>
      </c>
      <c r="T5754" t="s">
        <v>46575</v>
      </c>
      <c r="U5754" t="s">
        <v>51596</v>
      </c>
      <c r="W5754" t="s">
        <v>42957</v>
      </c>
      <c r="X5754" t="s">
        <v>44910</v>
      </c>
    </row>
    <row r="5755" spans="1:24">
      <c r="A5755">
        <f>HYPERLINK("https://www.philgeps.gov.ph/GEPSNONPILOT/Tender/SplashBidNoticeAbstractUI.aspx?menuIndex=3&amp;refID=7076948&amp;Result=3","7076948")</f>
        <v>0</v>
      </c>
      <c r="B5755" t="s">
        <v>1862</v>
      </c>
      <c r="C5755" t="s">
        <v>9018</v>
      </c>
      <c r="D5755" t="s">
        <v>18108</v>
      </c>
      <c r="E5755" t="s">
        <v>23328</v>
      </c>
      <c r="F5755" t="s">
        <v>31362</v>
      </c>
      <c r="G5755" t="s">
        <v>31371</v>
      </c>
      <c r="H5755" t="s">
        <v>15799</v>
      </c>
      <c r="I5755" t="s">
        <v>31385</v>
      </c>
      <c r="J5755" t="s">
        <v>31687</v>
      </c>
      <c r="K5755" t="s">
        <v>40661</v>
      </c>
      <c r="M5755" t="s">
        <v>42952</v>
      </c>
      <c r="N5755" t="s">
        <v>44905</v>
      </c>
      <c r="O5755" t="s">
        <v>44906</v>
      </c>
      <c r="P5755">
        <v>0</v>
      </c>
      <c r="Q5755">
        <v>3</v>
      </c>
      <c r="R5755" t="s">
        <v>44909</v>
      </c>
      <c r="S5755" t="s">
        <v>45060</v>
      </c>
      <c r="T5755" t="s">
        <v>46443</v>
      </c>
      <c r="U5755" t="s">
        <v>51597</v>
      </c>
      <c r="W5755" t="s">
        <v>42952</v>
      </c>
      <c r="X5755" t="s">
        <v>44910</v>
      </c>
    </row>
    <row r="5756" spans="1:24">
      <c r="A5756">
        <f>HYPERLINK("https://www.philgeps.gov.ph/GEPSNONPILOT/Tender/SplashBidNoticeAbstractUI.aspx?menuIndex=3&amp;refID=7076952&amp;Result=3","7076952")</f>
        <v>0</v>
      </c>
      <c r="B5756" t="s">
        <v>472</v>
      </c>
      <c r="C5756" t="s">
        <v>9019</v>
      </c>
      <c r="D5756" t="s">
        <v>18134</v>
      </c>
      <c r="E5756" t="s">
        <v>23329</v>
      </c>
      <c r="F5756" t="s">
        <v>31362</v>
      </c>
      <c r="G5756" t="s">
        <v>31371</v>
      </c>
      <c r="H5756" t="s">
        <v>15799</v>
      </c>
      <c r="I5756" t="s">
        <v>31406</v>
      </c>
      <c r="J5756" t="s">
        <v>31536</v>
      </c>
      <c r="K5756" t="s">
        <v>40665</v>
      </c>
      <c r="M5756" t="s">
        <v>42842</v>
      </c>
      <c r="N5756" t="s">
        <v>44905</v>
      </c>
      <c r="O5756" t="s">
        <v>44906</v>
      </c>
      <c r="P5756">
        <v>0</v>
      </c>
      <c r="Q5756">
        <v>1</v>
      </c>
      <c r="R5756" t="s">
        <v>44909</v>
      </c>
      <c r="S5756" t="s">
        <v>45060</v>
      </c>
      <c r="T5756" t="s">
        <v>46454</v>
      </c>
      <c r="U5756" t="s">
        <v>51598</v>
      </c>
      <c r="W5756" t="s">
        <v>42842</v>
      </c>
      <c r="X5756" t="s">
        <v>44910</v>
      </c>
    </row>
    <row r="5757" spans="1:24">
      <c r="A5757">
        <f>HYPERLINK("https://www.philgeps.gov.ph/GEPSNONPILOT/Tender/SplashBidNoticeAbstractUI.aspx?menuIndex=3&amp;refID=7076969&amp;Result=3","7076969")</f>
        <v>0</v>
      </c>
      <c r="B5757" t="s">
        <v>1842</v>
      </c>
      <c r="C5757" t="s">
        <v>9020</v>
      </c>
      <c r="D5757" t="s">
        <v>18110</v>
      </c>
      <c r="E5757" t="s">
        <v>23330</v>
      </c>
      <c r="F5757" t="s">
        <v>31362</v>
      </c>
      <c r="G5757" t="s">
        <v>31369</v>
      </c>
      <c r="H5757" t="s">
        <v>31378</v>
      </c>
      <c r="I5757" t="s">
        <v>31386</v>
      </c>
      <c r="J5757" t="s">
        <v>31625</v>
      </c>
      <c r="K5757" t="s">
        <v>40679</v>
      </c>
      <c r="M5757" t="s">
        <v>42930</v>
      </c>
      <c r="N5757" t="s">
        <v>44905</v>
      </c>
      <c r="O5757" t="s">
        <v>44906</v>
      </c>
      <c r="P5757">
        <v>0</v>
      </c>
      <c r="Q5757">
        <v>0</v>
      </c>
      <c r="R5757" t="s">
        <v>44909</v>
      </c>
      <c r="S5757" t="s">
        <v>45060</v>
      </c>
      <c r="T5757" t="s">
        <v>46401</v>
      </c>
      <c r="U5757" t="s">
        <v>51599</v>
      </c>
      <c r="W5757" t="s">
        <v>42930</v>
      </c>
      <c r="X5757" t="s">
        <v>44910</v>
      </c>
    </row>
    <row r="5758" spans="1:24">
      <c r="A5758">
        <f>HYPERLINK("https://www.philgeps.gov.ph/GEPSNONPILOT/Tender/SplashBidNoticeAbstractUI.aspx?menuIndex=3&amp;refID=7076922&amp;Result=3","7076922")</f>
        <v>0</v>
      </c>
      <c r="B5758" t="s">
        <v>1051</v>
      </c>
      <c r="C5758" t="s">
        <v>9021</v>
      </c>
      <c r="D5758" t="s">
        <v>18116</v>
      </c>
      <c r="E5758" t="s">
        <v>23331</v>
      </c>
      <c r="F5758" t="s">
        <v>31362</v>
      </c>
      <c r="G5758" t="s">
        <v>31368</v>
      </c>
      <c r="H5758" t="s">
        <v>15799</v>
      </c>
      <c r="I5758" t="s">
        <v>31380</v>
      </c>
      <c r="J5758" t="s">
        <v>35157</v>
      </c>
      <c r="K5758" t="s">
        <v>40662</v>
      </c>
      <c r="M5758" t="s">
        <v>42052</v>
      </c>
      <c r="N5758" t="s">
        <v>44905</v>
      </c>
      <c r="O5758" t="s">
        <v>44906</v>
      </c>
      <c r="P5758">
        <v>0</v>
      </c>
      <c r="Q5758">
        <v>0</v>
      </c>
      <c r="R5758" t="s">
        <v>44909</v>
      </c>
      <c r="S5758" t="s">
        <v>45060</v>
      </c>
      <c r="T5758" t="s">
        <v>46394</v>
      </c>
      <c r="U5758" t="s">
        <v>51600</v>
      </c>
      <c r="W5758" t="s">
        <v>42052</v>
      </c>
      <c r="X5758" t="s">
        <v>44910</v>
      </c>
    </row>
    <row r="5759" spans="1:24">
      <c r="A5759">
        <f>HYPERLINK("https://www.philgeps.gov.ph/GEPSNONPILOT/Tender/SplashBidNoticeAbstractUI.aspx?menuIndex=3&amp;refID=7076968&amp;Result=3","7076968")</f>
        <v>0</v>
      </c>
      <c r="B5759" t="s">
        <v>1867</v>
      </c>
      <c r="C5759" t="s">
        <v>9022</v>
      </c>
      <c r="D5759" t="s">
        <v>18115</v>
      </c>
      <c r="E5759" t="s">
        <v>23332</v>
      </c>
      <c r="F5759" t="s">
        <v>31362</v>
      </c>
      <c r="G5759" t="s">
        <v>31368</v>
      </c>
      <c r="H5759" t="s">
        <v>15799</v>
      </c>
      <c r="I5759" t="s">
        <v>4057</v>
      </c>
      <c r="J5759" t="s">
        <v>35158</v>
      </c>
      <c r="K5759" t="s">
        <v>40670</v>
      </c>
      <c r="M5759" t="s">
        <v>42958</v>
      </c>
      <c r="N5759" t="s">
        <v>44905</v>
      </c>
      <c r="O5759" t="s">
        <v>44906</v>
      </c>
      <c r="P5759">
        <v>0</v>
      </c>
      <c r="Q5759">
        <v>0</v>
      </c>
      <c r="R5759" t="s">
        <v>44909</v>
      </c>
      <c r="S5759" t="s">
        <v>45060</v>
      </c>
      <c r="T5759" t="s">
        <v>46443</v>
      </c>
      <c r="U5759" t="s">
        <v>51601</v>
      </c>
      <c r="W5759" t="s">
        <v>42958</v>
      </c>
      <c r="X5759" t="s">
        <v>44910</v>
      </c>
    </row>
    <row r="5760" spans="1:24">
      <c r="A5760">
        <f>HYPERLINK("https://www.philgeps.gov.ph/GEPSNONPILOT/Tender/SplashBidNoticeAbstractUI.aspx?menuIndex=3&amp;refID=7076949&amp;Result=3","7076949")</f>
        <v>0</v>
      </c>
      <c r="B5760" t="s">
        <v>1842</v>
      </c>
      <c r="C5760" t="s">
        <v>9023</v>
      </c>
      <c r="D5760" t="s">
        <v>18110</v>
      </c>
      <c r="E5760" t="s">
        <v>23333</v>
      </c>
      <c r="F5760" t="s">
        <v>31362</v>
      </c>
      <c r="G5760" t="s">
        <v>31369</v>
      </c>
      <c r="H5760" t="s">
        <v>31378</v>
      </c>
      <c r="I5760" t="s">
        <v>31386</v>
      </c>
      <c r="J5760" t="s">
        <v>31625</v>
      </c>
      <c r="K5760" t="s">
        <v>40679</v>
      </c>
      <c r="M5760" t="s">
        <v>42930</v>
      </c>
      <c r="N5760" t="s">
        <v>44905</v>
      </c>
      <c r="O5760" t="s">
        <v>44906</v>
      </c>
      <c r="P5760">
        <v>0</v>
      </c>
      <c r="Q5760">
        <v>0</v>
      </c>
      <c r="R5760" t="s">
        <v>44909</v>
      </c>
      <c r="S5760" t="s">
        <v>45060</v>
      </c>
      <c r="T5760" t="s">
        <v>46401</v>
      </c>
      <c r="U5760" t="s">
        <v>51599</v>
      </c>
      <c r="W5760" t="s">
        <v>42930</v>
      </c>
      <c r="X5760" t="s">
        <v>44910</v>
      </c>
    </row>
    <row r="5761" spans="1:24">
      <c r="A5761">
        <f>HYPERLINK("https://www.philgeps.gov.ph/GEPSNONPILOT/Tender/SplashBidNoticeAbstractUI.aspx?menuIndex=3&amp;refID=7076967&amp;Result=3","7076967")</f>
        <v>0</v>
      </c>
      <c r="B5761" t="s">
        <v>1868</v>
      </c>
      <c r="C5761" t="s">
        <v>3743</v>
      </c>
      <c r="D5761" t="s">
        <v>18110</v>
      </c>
      <c r="E5761" t="s">
        <v>18227</v>
      </c>
      <c r="F5761" t="s">
        <v>31362</v>
      </c>
      <c r="G5761" t="s">
        <v>31369</v>
      </c>
      <c r="H5761" t="s">
        <v>31378</v>
      </c>
      <c r="I5761" t="s">
        <v>31386</v>
      </c>
      <c r="J5761" t="s">
        <v>35159</v>
      </c>
      <c r="K5761" t="s">
        <v>40665</v>
      </c>
      <c r="M5761" t="s">
        <v>42959</v>
      </c>
      <c r="N5761" t="s">
        <v>44905</v>
      </c>
      <c r="O5761" t="s">
        <v>44906</v>
      </c>
      <c r="P5761">
        <v>0</v>
      </c>
      <c r="Q5761">
        <v>1</v>
      </c>
      <c r="R5761" t="s">
        <v>44909</v>
      </c>
      <c r="S5761" t="s">
        <v>45060</v>
      </c>
      <c r="T5761" t="s">
        <v>46711</v>
      </c>
      <c r="U5761" t="s">
        <v>51602</v>
      </c>
      <c r="W5761" t="s">
        <v>42959</v>
      </c>
      <c r="X5761" t="s">
        <v>44910</v>
      </c>
    </row>
    <row r="5762" spans="1:24">
      <c r="A5762">
        <f>HYPERLINK("https://www.philgeps.gov.ph/GEPSNONPILOT/Tender/SplashBidNoticeAbstractUI.aspx?menuIndex=3&amp;refID=7076954&amp;Result=3","7076954")</f>
        <v>0</v>
      </c>
      <c r="B5762" t="s">
        <v>131</v>
      </c>
      <c r="C5762" t="s">
        <v>9024</v>
      </c>
      <c r="D5762" t="s">
        <v>18125</v>
      </c>
      <c r="E5762" t="s">
        <v>23334</v>
      </c>
      <c r="F5762" t="s">
        <v>31362</v>
      </c>
      <c r="G5762" t="s">
        <v>31368</v>
      </c>
      <c r="H5762" t="s">
        <v>15799</v>
      </c>
      <c r="I5762" t="s">
        <v>4942</v>
      </c>
      <c r="J5762" t="s">
        <v>35160</v>
      </c>
      <c r="K5762" t="s">
        <v>40670</v>
      </c>
      <c r="L5762" t="s">
        <v>131</v>
      </c>
      <c r="M5762" t="s">
        <v>41069</v>
      </c>
      <c r="N5762" t="s">
        <v>44905</v>
      </c>
      <c r="O5762" t="s">
        <v>44906</v>
      </c>
      <c r="P5762">
        <v>0</v>
      </c>
      <c r="Q5762">
        <v>0</v>
      </c>
      <c r="R5762" t="s">
        <v>44909</v>
      </c>
      <c r="S5762" t="s">
        <v>45060</v>
      </c>
      <c r="T5762" t="s">
        <v>46443</v>
      </c>
      <c r="U5762" t="s">
        <v>47132</v>
      </c>
      <c r="V5762" t="s">
        <v>59079</v>
      </c>
      <c r="W5762" t="s">
        <v>41069</v>
      </c>
      <c r="X5762" t="s">
        <v>44910</v>
      </c>
    </row>
    <row r="5763" spans="1:24">
      <c r="A5763">
        <f>HYPERLINK("https://www.philgeps.gov.ph/GEPSNONPILOT/Tender/SplashBidNoticeAbstractUI.aspx?menuIndex=3&amp;refID=7076965&amp;Result=3","7076965")</f>
        <v>0</v>
      </c>
      <c r="B5763" t="s">
        <v>131</v>
      </c>
      <c r="C5763" t="s">
        <v>9025</v>
      </c>
      <c r="D5763" t="s">
        <v>18125</v>
      </c>
      <c r="E5763" t="s">
        <v>23335</v>
      </c>
      <c r="F5763" t="s">
        <v>31362</v>
      </c>
      <c r="G5763" t="s">
        <v>31368</v>
      </c>
      <c r="H5763" t="s">
        <v>15799</v>
      </c>
      <c r="I5763" t="s">
        <v>7188</v>
      </c>
      <c r="J5763" t="s">
        <v>35161</v>
      </c>
      <c r="K5763" t="s">
        <v>40670</v>
      </c>
      <c r="L5763" t="s">
        <v>131</v>
      </c>
      <c r="M5763" t="s">
        <v>41069</v>
      </c>
      <c r="N5763" t="s">
        <v>44905</v>
      </c>
      <c r="O5763" t="s">
        <v>44906</v>
      </c>
      <c r="P5763">
        <v>0</v>
      </c>
      <c r="Q5763">
        <v>7</v>
      </c>
      <c r="R5763" t="s">
        <v>44909</v>
      </c>
      <c r="S5763" t="s">
        <v>45060</v>
      </c>
      <c r="T5763" t="s">
        <v>46443</v>
      </c>
      <c r="U5763" t="s">
        <v>51603</v>
      </c>
      <c r="V5763" t="s">
        <v>59079</v>
      </c>
      <c r="W5763" t="s">
        <v>41069</v>
      </c>
      <c r="X5763" t="s">
        <v>44910</v>
      </c>
    </row>
    <row r="5764" spans="1:24">
      <c r="A5764">
        <f>HYPERLINK("https://www.philgeps.gov.ph/GEPSNONPILOT/Tender/SplashBidNoticeAbstractUI.aspx?menuIndex=3&amp;refID=7076970&amp;Result=3","7076970")</f>
        <v>0</v>
      </c>
      <c r="B5764" t="s">
        <v>117</v>
      </c>
      <c r="C5764" t="s">
        <v>9026</v>
      </c>
      <c r="D5764" t="s">
        <v>18152</v>
      </c>
      <c r="E5764" t="s">
        <v>23336</v>
      </c>
      <c r="F5764" t="s">
        <v>31362</v>
      </c>
      <c r="G5764" t="s">
        <v>31368</v>
      </c>
      <c r="H5764" t="s">
        <v>15799</v>
      </c>
      <c r="I5764" t="s">
        <v>31480</v>
      </c>
      <c r="J5764" t="s">
        <v>35162</v>
      </c>
      <c r="K5764" t="s">
        <v>40662</v>
      </c>
      <c r="M5764" t="s">
        <v>42279</v>
      </c>
      <c r="N5764" t="s">
        <v>44905</v>
      </c>
      <c r="O5764" t="s">
        <v>44906</v>
      </c>
      <c r="P5764">
        <v>0</v>
      </c>
      <c r="Q5764">
        <v>0</v>
      </c>
      <c r="R5764" t="s">
        <v>44909</v>
      </c>
      <c r="S5764" t="s">
        <v>45060</v>
      </c>
      <c r="T5764" t="s">
        <v>46467</v>
      </c>
      <c r="U5764" t="s">
        <v>51604</v>
      </c>
      <c r="W5764" t="s">
        <v>42279</v>
      </c>
      <c r="X5764" t="s">
        <v>44910</v>
      </c>
    </row>
    <row r="5765" spans="1:24">
      <c r="A5765">
        <f>HYPERLINK("https://www.philgeps.gov.ph/GEPSNONPILOT/Tender/SplashBidNoticeAbstractUI.aspx?menuIndex=3&amp;refID=7076983&amp;Result=3","7076983")</f>
        <v>0</v>
      </c>
      <c r="B5765" t="s">
        <v>1372</v>
      </c>
      <c r="C5765" t="s">
        <v>9027</v>
      </c>
      <c r="E5765" t="s">
        <v>23337</v>
      </c>
      <c r="F5765" t="s">
        <v>31362</v>
      </c>
      <c r="G5765" t="s">
        <v>31368</v>
      </c>
      <c r="H5765" t="s">
        <v>15799</v>
      </c>
      <c r="I5765" t="s">
        <v>31427</v>
      </c>
      <c r="J5765" t="s">
        <v>35163</v>
      </c>
      <c r="K5765" t="s">
        <v>40671</v>
      </c>
      <c r="M5765" t="s">
        <v>42395</v>
      </c>
      <c r="N5765" t="s">
        <v>44905</v>
      </c>
      <c r="O5765" t="s">
        <v>44906</v>
      </c>
      <c r="P5765">
        <v>0</v>
      </c>
      <c r="Q5765">
        <v>15</v>
      </c>
      <c r="R5765" t="s">
        <v>44909</v>
      </c>
      <c r="S5765" t="s">
        <v>45060</v>
      </c>
      <c r="T5765" t="s">
        <v>46414</v>
      </c>
      <c r="U5765" t="s">
        <v>51605</v>
      </c>
      <c r="W5765" t="s">
        <v>42395</v>
      </c>
      <c r="X5765" t="s">
        <v>44910</v>
      </c>
    </row>
    <row r="5766" spans="1:24">
      <c r="A5766">
        <f>HYPERLINK("https://www.philgeps.gov.ph/GEPSNONPILOT/Tender/SplashBidNoticeAbstractUI.aspx?menuIndex=3&amp;refID=7076980&amp;Result=3","7076980")</f>
        <v>0</v>
      </c>
      <c r="B5766" t="s">
        <v>1826</v>
      </c>
      <c r="C5766" t="s">
        <v>9028</v>
      </c>
      <c r="D5766" t="s">
        <v>18100</v>
      </c>
      <c r="E5766" t="s">
        <v>23338</v>
      </c>
      <c r="F5766" t="s">
        <v>31362</v>
      </c>
      <c r="G5766" t="s">
        <v>31368</v>
      </c>
      <c r="H5766" t="s">
        <v>15799</v>
      </c>
      <c r="I5766" t="s">
        <v>31466</v>
      </c>
      <c r="J5766" t="s">
        <v>35164</v>
      </c>
      <c r="K5766" t="s">
        <v>40697</v>
      </c>
      <c r="M5766" t="s">
        <v>42910</v>
      </c>
      <c r="N5766" t="s">
        <v>44905</v>
      </c>
      <c r="O5766" t="s">
        <v>44906</v>
      </c>
      <c r="P5766">
        <v>0</v>
      </c>
      <c r="Q5766">
        <v>1</v>
      </c>
      <c r="R5766" t="s">
        <v>44909</v>
      </c>
      <c r="S5766" t="s">
        <v>45060</v>
      </c>
      <c r="T5766" t="s">
        <v>46454</v>
      </c>
      <c r="U5766" t="s">
        <v>51606</v>
      </c>
      <c r="W5766" t="s">
        <v>42910</v>
      </c>
      <c r="X5766" t="s">
        <v>44910</v>
      </c>
    </row>
    <row r="5767" spans="1:24">
      <c r="A5767">
        <f>HYPERLINK("https://www.philgeps.gov.ph/GEPSNONPILOT/Tender/SplashBidNoticeAbstractUI.aspx?menuIndex=3&amp;refID=7076979&amp;Result=3","7076979")</f>
        <v>0</v>
      </c>
      <c r="B5767" t="s">
        <v>953</v>
      </c>
      <c r="C5767" t="s">
        <v>9029</v>
      </c>
      <c r="D5767" t="s">
        <v>18110</v>
      </c>
      <c r="E5767" t="s">
        <v>23339</v>
      </c>
      <c r="F5767" t="s">
        <v>31362</v>
      </c>
      <c r="G5767" t="s">
        <v>31368</v>
      </c>
      <c r="H5767" t="s">
        <v>15799</v>
      </c>
      <c r="I5767" t="s">
        <v>31430</v>
      </c>
      <c r="J5767" t="s">
        <v>35165</v>
      </c>
      <c r="K5767" t="s">
        <v>40666</v>
      </c>
      <c r="M5767" t="s">
        <v>41941</v>
      </c>
      <c r="N5767" t="s">
        <v>44905</v>
      </c>
      <c r="O5767" t="s">
        <v>44906</v>
      </c>
      <c r="P5767">
        <v>0</v>
      </c>
      <c r="Q5767">
        <v>0</v>
      </c>
      <c r="R5767" t="s">
        <v>44909</v>
      </c>
      <c r="S5767" t="s">
        <v>45060</v>
      </c>
      <c r="T5767" t="s">
        <v>46409</v>
      </c>
      <c r="U5767" t="s">
        <v>51607</v>
      </c>
      <c r="W5767" t="s">
        <v>60898</v>
      </c>
      <c r="X5767" t="s">
        <v>44910</v>
      </c>
    </row>
    <row r="5768" spans="1:24">
      <c r="A5768">
        <f>HYPERLINK("https://www.philgeps.gov.ph/GEPSNONPILOT/Tender/SplashBidNoticeAbstractUI.aspx?menuIndex=3&amp;refID=7076976&amp;Result=3","7076976")</f>
        <v>0</v>
      </c>
      <c r="B5768" t="s">
        <v>183</v>
      </c>
      <c r="C5768" t="s">
        <v>9030</v>
      </c>
      <c r="D5768" t="s">
        <v>18129</v>
      </c>
      <c r="E5768" t="s">
        <v>23340</v>
      </c>
      <c r="F5768" t="s">
        <v>31362</v>
      </c>
      <c r="G5768" t="s">
        <v>31368</v>
      </c>
      <c r="H5768" t="s">
        <v>15799</v>
      </c>
      <c r="I5768" t="s">
        <v>31404</v>
      </c>
      <c r="J5768" t="s">
        <v>34271</v>
      </c>
      <c r="K5768" t="s">
        <v>40697</v>
      </c>
      <c r="M5768" t="s">
        <v>41121</v>
      </c>
      <c r="N5768" t="s">
        <v>44905</v>
      </c>
      <c r="O5768" t="s">
        <v>44906</v>
      </c>
      <c r="P5768">
        <v>0</v>
      </c>
      <c r="Q5768">
        <v>0</v>
      </c>
      <c r="R5768" t="s">
        <v>44909</v>
      </c>
      <c r="S5768" t="s">
        <v>45060</v>
      </c>
      <c r="T5768" t="s">
        <v>46443</v>
      </c>
      <c r="U5768" t="s">
        <v>51608</v>
      </c>
      <c r="W5768" t="s">
        <v>41121</v>
      </c>
      <c r="X5768" t="s">
        <v>44910</v>
      </c>
    </row>
    <row r="5769" spans="1:24">
      <c r="A5769">
        <f>HYPERLINK("https://www.philgeps.gov.ph/GEPSNONPILOT/Tender/SplashBidNoticeAbstractUI.aspx?menuIndex=3&amp;refID=7076973&amp;Result=3","7076973")</f>
        <v>0</v>
      </c>
      <c r="B5769" t="s">
        <v>1824</v>
      </c>
      <c r="C5769" t="s">
        <v>9031</v>
      </c>
      <c r="D5769" t="s">
        <v>18101</v>
      </c>
      <c r="E5769" t="s">
        <v>23341</v>
      </c>
      <c r="F5769" t="s">
        <v>31362</v>
      </c>
      <c r="G5769" t="s">
        <v>31369</v>
      </c>
      <c r="H5769" t="s">
        <v>31378</v>
      </c>
      <c r="I5769" t="s">
        <v>31386</v>
      </c>
      <c r="J5769" t="s">
        <v>35166</v>
      </c>
      <c r="K5769" t="s">
        <v>40683</v>
      </c>
      <c r="M5769" t="s">
        <v>42908</v>
      </c>
      <c r="N5769" t="s">
        <v>44905</v>
      </c>
      <c r="O5769" t="s">
        <v>44906</v>
      </c>
      <c r="P5769">
        <v>0</v>
      </c>
      <c r="Q5769">
        <v>1</v>
      </c>
      <c r="R5769" t="s">
        <v>44909</v>
      </c>
      <c r="S5769" t="s">
        <v>45060</v>
      </c>
      <c r="T5769" t="s">
        <v>46419</v>
      </c>
      <c r="U5769" t="s">
        <v>51609</v>
      </c>
      <c r="W5769" t="s">
        <v>42908</v>
      </c>
      <c r="X5769" t="s">
        <v>44910</v>
      </c>
    </row>
    <row r="5770" spans="1:24">
      <c r="A5770">
        <f>HYPERLINK("https://www.philgeps.gov.ph/GEPSNONPILOT/Tender/SplashBidNoticeAbstractUI.aspx?menuIndex=3&amp;refID=7076964&amp;Result=3","7076964")</f>
        <v>0</v>
      </c>
      <c r="B5770" t="s">
        <v>472</v>
      </c>
      <c r="C5770" t="s">
        <v>9032</v>
      </c>
      <c r="D5770" t="s">
        <v>18134</v>
      </c>
      <c r="E5770" t="s">
        <v>23342</v>
      </c>
      <c r="F5770" t="s">
        <v>31362</v>
      </c>
      <c r="G5770" t="s">
        <v>31368</v>
      </c>
      <c r="H5770" t="s">
        <v>15799</v>
      </c>
      <c r="I5770" t="s">
        <v>31392</v>
      </c>
      <c r="J5770" t="s">
        <v>31546</v>
      </c>
      <c r="K5770" t="s">
        <v>40666</v>
      </c>
      <c r="M5770" t="s">
        <v>42842</v>
      </c>
      <c r="N5770" t="s">
        <v>44905</v>
      </c>
      <c r="O5770" t="s">
        <v>44906</v>
      </c>
      <c r="P5770">
        <v>0</v>
      </c>
      <c r="Q5770">
        <v>3</v>
      </c>
      <c r="R5770" t="s">
        <v>44909</v>
      </c>
      <c r="S5770" t="s">
        <v>45060</v>
      </c>
      <c r="T5770" t="s">
        <v>46454</v>
      </c>
      <c r="U5770" t="s">
        <v>51610</v>
      </c>
      <c r="W5770" t="s">
        <v>42842</v>
      </c>
      <c r="X5770" t="s">
        <v>44910</v>
      </c>
    </row>
    <row r="5771" spans="1:24">
      <c r="A5771">
        <f>HYPERLINK("https://www.philgeps.gov.ph/GEPSNONPILOT/Tender/SplashBidNoticeAbstractUI.aspx?menuIndex=3&amp;refID=7076959&amp;Result=3","7076959")</f>
        <v>0</v>
      </c>
      <c r="B5771" t="s">
        <v>1869</v>
      </c>
      <c r="C5771" t="s">
        <v>9033</v>
      </c>
      <c r="D5771" t="s">
        <v>18116</v>
      </c>
      <c r="E5771" t="s">
        <v>23343</v>
      </c>
      <c r="F5771" t="s">
        <v>31362</v>
      </c>
      <c r="G5771" t="s">
        <v>31368</v>
      </c>
      <c r="H5771" t="s">
        <v>31378</v>
      </c>
      <c r="I5771" t="s">
        <v>31386</v>
      </c>
      <c r="J5771" t="s">
        <v>35167</v>
      </c>
      <c r="K5771" t="s">
        <v>40675</v>
      </c>
      <c r="M5771" t="s">
        <v>42960</v>
      </c>
      <c r="N5771" t="s">
        <v>44905</v>
      </c>
      <c r="O5771" t="s">
        <v>44906</v>
      </c>
      <c r="P5771">
        <v>0</v>
      </c>
      <c r="Q5771">
        <v>2</v>
      </c>
      <c r="R5771" t="s">
        <v>44909</v>
      </c>
      <c r="S5771" t="s">
        <v>45060</v>
      </c>
      <c r="T5771" t="s">
        <v>46432</v>
      </c>
      <c r="U5771" t="s">
        <v>48279</v>
      </c>
      <c r="W5771" t="s">
        <v>42960</v>
      </c>
      <c r="X5771" t="s">
        <v>44910</v>
      </c>
    </row>
    <row r="5772" spans="1:24">
      <c r="A5772">
        <f>HYPERLINK("https://www.philgeps.gov.ph/GEPSNONPILOT/Tender/SplashBidNoticeAbstractUI.aspx?menuIndex=3&amp;refID=7076941&amp;Result=3","7076941")</f>
        <v>0</v>
      </c>
      <c r="B5772" t="s">
        <v>131</v>
      </c>
      <c r="C5772" t="s">
        <v>9034</v>
      </c>
      <c r="D5772" t="s">
        <v>18125</v>
      </c>
      <c r="E5772" t="s">
        <v>23344</v>
      </c>
      <c r="F5772" t="s">
        <v>31362</v>
      </c>
      <c r="G5772" t="s">
        <v>31368</v>
      </c>
      <c r="H5772" t="s">
        <v>15799</v>
      </c>
      <c r="I5772" t="s">
        <v>31380</v>
      </c>
      <c r="J5772" t="s">
        <v>32079</v>
      </c>
      <c r="K5772" t="s">
        <v>40670</v>
      </c>
      <c r="L5772" t="s">
        <v>131</v>
      </c>
      <c r="M5772" t="s">
        <v>41069</v>
      </c>
      <c r="N5772" t="s">
        <v>44905</v>
      </c>
      <c r="O5772" t="s">
        <v>44906</v>
      </c>
      <c r="P5772">
        <v>0</v>
      </c>
      <c r="Q5772">
        <v>1</v>
      </c>
      <c r="R5772" t="s">
        <v>44909</v>
      </c>
      <c r="S5772" t="s">
        <v>45060</v>
      </c>
      <c r="T5772" t="s">
        <v>46443</v>
      </c>
      <c r="U5772" t="s">
        <v>51611</v>
      </c>
      <c r="V5772" t="s">
        <v>59079</v>
      </c>
      <c r="W5772" t="s">
        <v>41069</v>
      </c>
      <c r="X5772" t="s">
        <v>44910</v>
      </c>
    </row>
    <row r="5773" spans="1:24">
      <c r="A5773">
        <f>HYPERLINK("https://www.philgeps.gov.ph/GEPSNONPILOT/Tender/SplashBidNoticeAbstractUI.aspx?menuIndex=3&amp;refID=7076958&amp;Result=3","7076958")</f>
        <v>0</v>
      </c>
      <c r="B5773" t="s">
        <v>131</v>
      </c>
      <c r="C5773" t="s">
        <v>9035</v>
      </c>
      <c r="D5773" t="s">
        <v>18125</v>
      </c>
      <c r="E5773" t="s">
        <v>23345</v>
      </c>
      <c r="F5773" t="s">
        <v>31362</v>
      </c>
      <c r="G5773" t="s">
        <v>31368</v>
      </c>
      <c r="H5773" t="s">
        <v>15799</v>
      </c>
      <c r="I5773" t="s">
        <v>31410</v>
      </c>
      <c r="J5773" t="s">
        <v>35168</v>
      </c>
      <c r="K5773" t="s">
        <v>40670</v>
      </c>
      <c r="L5773" t="s">
        <v>131</v>
      </c>
      <c r="M5773" t="s">
        <v>41069</v>
      </c>
      <c r="N5773" t="s">
        <v>44905</v>
      </c>
      <c r="O5773" t="s">
        <v>44906</v>
      </c>
      <c r="P5773">
        <v>0</v>
      </c>
      <c r="Q5773">
        <v>1</v>
      </c>
      <c r="R5773" t="s">
        <v>44909</v>
      </c>
      <c r="S5773" t="s">
        <v>45060</v>
      </c>
      <c r="T5773" t="s">
        <v>46443</v>
      </c>
      <c r="U5773" t="s">
        <v>51612</v>
      </c>
      <c r="V5773" t="s">
        <v>59079</v>
      </c>
      <c r="W5773" t="s">
        <v>41069</v>
      </c>
      <c r="X5773" t="s">
        <v>44910</v>
      </c>
    </row>
    <row r="5774" spans="1:24">
      <c r="A5774">
        <f>HYPERLINK("https://www.philgeps.gov.ph/GEPSNONPILOT/Tender/SplashBidNoticeAbstractUI.aspx?menuIndex=3&amp;refID=7076978&amp;Result=3","7076978")</f>
        <v>0</v>
      </c>
      <c r="B5774" t="s">
        <v>472</v>
      </c>
      <c r="C5774" t="s">
        <v>9036</v>
      </c>
      <c r="D5774" t="s">
        <v>18134</v>
      </c>
      <c r="E5774" t="s">
        <v>23346</v>
      </c>
      <c r="F5774" t="s">
        <v>31362</v>
      </c>
      <c r="G5774" t="s">
        <v>31368</v>
      </c>
      <c r="H5774" t="s">
        <v>15799</v>
      </c>
      <c r="I5774" t="s">
        <v>4057</v>
      </c>
      <c r="J5774" t="s">
        <v>35169</v>
      </c>
      <c r="K5774" t="s">
        <v>40666</v>
      </c>
      <c r="M5774" t="s">
        <v>42842</v>
      </c>
      <c r="N5774" t="s">
        <v>44905</v>
      </c>
      <c r="O5774" t="s">
        <v>44906</v>
      </c>
      <c r="P5774">
        <v>0</v>
      </c>
      <c r="Q5774">
        <v>1</v>
      </c>
      <c r="R5774" t="s">
        <v>44909</v>
      </c>
      <c r="S5774" t="s">
        <v>45060</v>
      </c>
      <c r="T5774" t="s">
        <v>46454</v>
      </c>
      <c r="U5774" t="s">
        <v>51613</v>
      </c>
      <c r="W5774" t="s">
        <v>42842</v>
      </c>
      <c r="X5774" t="s">
        <v>44910</v>
      </c>
    </row>
    <row r="5775" spans="1:24">
      <c r="A5775">
        <f>HYPERLINK("https://www.philgeps.gov.ph/GEPSNONPILOT/Tender/SplashBidNoticeAbstractUI.aspx?menuIndex=3&amp;refID=7076955&amp;Result=3","7076955")</f>
        <v>0</v>
      </c>
      <c r="B5775" t="s">
        <v>751</v>
      </c>
      <c r="C5775" t="s">
        <v>9037</v>
      </c>
      <c r="D5775" t="s">
        <v>18122</v>
      </c>
      <c r="E5775" t="s">
        <v>23347</v>
      </c>
      <c r="F5775" t="s">
        <v>31362</v>
      </c>
      <c r="G5775" t="s">
        <v>31368</v>
      </c>
      <c r="H5775" t="s">
        <v>15799</v>
      </c>
      <c r="I5775" t="s">
        <v>31430</v>
      </c>
      <c r="J5775" t="s">
        <v>35170</v>
      </c>
      <c r="K5775" t="s">
        <v>40662</v>
      </c>
      <c r="M5775" t="s">
        <v>41719</v>
      </c>
      <c r="N5775" t="s">
        <v>44905</v>
      </c>
      <c r="O5775" t="s">
        <v>44906</v>
      </c>
      <c r="P5775">
        <v>0</v>
      </c>
      <c r="Q5775">
        <v>0</v>
      </c>
      <c r="R5775" t="s">
        <v>44909</v>
      </c>
      <c r="S5775" t="s">
        <v>45060</v>
      </c>
      <c r="T5775" t="s">
        <v>46454</v>
      </c>
      <c r="U5775" t="s">
        <v>51614</v>
      </c>
      <c r="W5775" t="s">
        <v>41719</v>
      </c>
      <c r="X5775" t="s">
        <v>44910</v>
      </c>
    </row>
    <row r="5776" spans="1:24">
      <c r="A5776">
        <f>HYPERLINK("https://www.philgeps.gov.ph/GEPSNONPILOT/Tender/SplashBidNoticeAbstractUI.aspx?menuIndex=3&amp;refID=7076972&amp;Result=3","7076972")</f>
        <v>0</v>
      </c>
      <c r="B5776" t="s">
        <v>618</v>
      </c>
      <c r="C5776" t="s">
        <v>9038</v>
      </c>
      <c r="E5776" t="s">
        <v>23348</v>
      </c>
      <c r="F5776" t="s">
        <v>31362</v>
      </c>
      <c r="G5776" t="s">
        <v>31368</v>
      </c>
      <c r="H5776" t="s">
        <v>15799</v>
      </c>
      <c r="I5776" t="s">
        <v>31404</v>
      </c>
      <c r="J5776" t="s">
        <v>35171</v>
      </c>
      <c r="K5776" t="s">
        <v>40665</v>
      </c>
      <c r="M5776" t="s">
        <v>41576</v>
      </c>
      <c r="N5776" t="s">
        <v>44905</v>
      </c>
      <c r="O5776" t="s">
        <v>44906</v>
      </c>
      <c r="P5776">
        <v>0</v>
      </c>
      <c r="Q5776">
        <v>0</v>
      </c>
      <c r="R5776" t="s">
        <v>44909</v>
      </c>
      <c r="S5776" t="s">
        <v>45060</v>
      </c>
      <c r="T5776" t="s">
        <v>46446</v>
      </c>
      <c r="U5776" t="s">
        <v>48103</v>
      </c>
      <c r="W5776" t="s">
        <v>41576</v>
      </c>
      <c r="X5776" t="s">
        <v>44910</v>
      </c>
    </row>
    <row r="5777" spans="1:24">
      <c r="A5777">
        <f>HYPERLINK("https://www.philgeps.gov.ph/GEPSNONPILOT/Tender/SplashBidNoticeAbstractUI.aspx?menuIndex=3&amp;refID=7076961&amp;Result=3","7076961")</f>
        <v>0</v>
      </c>
      <c r="B5777" t="s">
        <v>1870</v>
      </c>
      <c r="C5777" t="s">
        <v>9039</v>
      </c>
      <c r="D5777" t="s">
        <v>18160</v>
      </c>
      <c r="E5777" t="s">
        <v>23349</v>
      </c>
      <c r="F5777" t="s">
        <v>31362</v>
      </c>
      <c r="G5777" t="s">
        <v>31368</v>
      </c>
      <c r="H5777" t="s">
        <v>15799</v>
      </c>
      <c r="I5777" t="s">
        <v>31384</v>
      </c>
      <c r="J5777" t="s">
        <v>35172</v>
      </c>
      <c r="K5777" t="s">
        <v>40666</v>
      </c>
      <c r="M5777" t="s">
        <v>42961</v>
      </c>
      <c r="N5777" t="s">
        <v>44905</v>
      </c>
      <c r="O5777" t="s">
        <v>44906</v>
      </c>
      <c r="P5777">
        <v>0</v>
      </c>
      <c r="Q5777">
        <v>7</v>
      </c>
      <c r="R5777" t="s">
        <v>44909</v>
      </c>
      <c r="S5777" t="s">
        <v>45060</v>
      </c>
      <c r="T5777" t="s">
        <v>46443</v>
      </c>
      <c r="U5777" t="s">
        <v>51615</v>
      </c>
      <c r="W5777" t="s">
        <v>42961</v>
      </c>
      <c r="X5777" t="s">
        <v>44910</v>
      </c>
    </row>
    <row r="5778" spans="1:24">
      <c r="A5778">
        <f>HYPERLINK("https://www.philgeps.gov.ph/GEPSNONPILOT/Tender/SplashBidNoticeAbstractUI.aspx?menuIndex=3&amp;refID=7077003&amp;Result=3","7077003")</f>
        <v>0</v>
      </c>
      <c r="B5778" t="s">
        <v>283</v>
      </c>
      <c r="C5778" t="s">
        <v>9040</v>
      </c>
      <c r="D5778" t="s">
        <v>18139</v>
      </c>
      <c r="E5778" t="s">
        <v>23350</v>
      </c>
      <c r="F5778" t="s">
        <v>31362</v>
      </c>
      <c r="G5778" t="s">
        <v>31368</v>
      </c>
      <c r="H5778" t="s">
        <v>15799</v>
      </c>
      <c r="I5778" t="s">
        <v>4057</v>
      </c>
      <c r="J5778" t="s">
        <v>32785</v>
      </c>
      <c r="K5778" t="s">
        <v>40662</v>
      </c>
      <c r="M5778" t="s">
        <v>41225</v>
      </c>
      <c r="N5778" t="s">
        <v>44905</v>
      </c>
      <c r="O5778" t="s">
        <v>44906</v>
      </c>
      <c r="P5778">
        <v>0</v>
      </c>
      <c r="Q5778">
        <v>2</v>
      </c>
      <c r="R5778" t="s">
        <v>44909</v>
      </c>
      <c r="S5778" t="s">
        <v>45060</v>
      </c>
      <c r="T5778" t="s">
        <v>46434</v>
      </c>
      <c r="U5778" t="s">
        <v>51616</v>
      </c>
      <c r="W5778" t="s">
        <v>41225</v>
      </c>
      <c r="X5778" t="s">
        <v>44910</v>
      </c>
    </row>
    <row r="5779" spans="1:24">
      <c r="A5779">
        <f>HYPERLINK("https://www.philgeps.gov.ph/GEPSNONPILOT/Tender/SplashBidNoticeAbstractUI.aspx?menuIndex=3&amp;refID=7076971&amp;Result=3","7076971")</f>
        <v>0</v>
      </c>
      <c r="B5779" t="s">
        <v>1871</v>
      </c>
      <c r="C5779" t="s">
        <v>9041</v>
      </c>
      <c r="E5779" t="s">
        <v>23351</v>
      </c>
      <c r="F5779" t="s">
        <v>31362</v>
      </c>
      <c r="G5779" t="s">
        <v>31368</v>
      </c>
      <c r="H5779" t="s">
        <v>15799</v>
      </c>
      <c r="I5779" t="s">
        <v>4057</v>
      </c>
      <c r="J5779" t="s">
        <v>35173</v>
      </c>
      <c r="K5779" t="s">
        <v>40662</v>
      </c>
      <c r="M5779" t="s">
        <v>42962</v>
      </c>
      <c r="N5779" t="s">
        <v>44905</v>
      </c>
      <c r="O5779" t="s">
        <v>44906</v>
      </c>
      <c r="P5779">
        <v>0</v>
      </c>
      <c r="Q5779">
        <v>0</v>
      </c>
      <c r="R5779" t="s">
        <v>44909</v>
      </c>
      <c r="S5779" t="s">
        <v>45060</v>
      </c>
      <c r="T5779" t="s">
        <v>46414</v>
      </c>
      <c r="U5779" t="s">
        <v>51617</v>
      </c>
      <c r="W5779" t="s">
        <v>42962</v>
      </c>
      <c r="X5779" t="s">
        <v>44910</v>
      </c>
    </row>
    <row r="5780" spans="1:24">
      <c r="A5780">
        <f>HYPERLINK("https://www.philgeps.gov.ph/GEPSNONPILOT/Tender/SplashBidNoticeAbstractUI.aspx?menuIndex=3&amp;refID=7077002&amp;Result=3","7077002")</f>
        <v>0</v>
      </c>
      <c r="B5780" t="s">
        <v>641</v>
      </c>
      <c r="C5780" t="s">
        <v>9042</v>
      </c>
      <c r="D5780" t="s">
        <v>18158</v>
      </c>
      <c r="E5780" t="s">
        <v>23352</v>
      </c>
      <c r="F5780" t="s">
        <v>31362</v>
      </c>
      <c r="G5780" t="s">
        <v>31370</v>
      </c>
      <c r="H5780" t="s">
        <v>15799</v>
      </c>
      <c r="I5780" t="s">
        <v>31380</v>
      </c>
      <c r="J5780" t="s">
        <v>35174</v>
      </c>
      <c r="K5780" t="s">
        <v>40670</v>
      </c>
      <c r="M5780" t="s">
        <v>42801</v>
      </c>
      <c r="N5780" t="s">
        <v>44905</v>
      </c>
      <c r="O5780" t="s">
        <v>44906</v>
      </c>
      <c r="P5780">
        <v>0</v>
      </c>
      <c r="Q5780">
        <v>2</v>
      </c>
      <c r="R5780" t="s">
        <v>44909</v>
      </c>
      <c r="S5780" t="s">
        <v>45060</v>
      </c>
      <c r="T5780" t="s">
        <v>46393</v>
      </c>
      <c r="U5780" t="s">
        <v>51618</v>
      </c>
      <c r="W5780" t="s">
        <v>42801</v>
      </c>
      <c r="X5780" t="s">
        <v>44910</v>
      </c>
    </row>
    <row r="5781" spans="1:24">
      <c r="A5781">
        <f>HYPERLINK("https://www.philgeps.gov.ph/GEPSNONPILOT/Tender/SplashBidNoticeAbstractUI.aspx?menuIndex=3&amp;refID=7077008&amp;Result=3","7077008")</f>
        <v>0</v>
      </c>
      <c r="B5781" t="s">
        <v>641</v>
      </c>
      <c r="C5781" t="s">
        <v>9043</v>
      </c>
      <c r="D5781" t="s">
        <v>18158</v>
      </c>
      <c r="E5781" t="s">
        <v>23353</v>
      </c>
      <c r="F5781" t="s">
        <v>31362</v>
      </c>
      <c r="G5781" t="s">
        <v>31370</v>
      </c>
      <c r="H5781" t="s">
        <v>15799</v>
      </c>
      <c r="I5781" t="s">
        <v>31380</v>
      </c>
      <c r="J5781" t="s">
        <v>31532</v>
      </c>
      <c r="K5781" t="s">
        <v>40670</v>
      </c>
      <c r="M5781" t="s">
        <v>42801</v>
      </c>
      <c r="N5781" t="s">
        <v>44905</v>
      </c>
      <c r="O5781" t="s">
        <v>44906</v>
      </c>
      <c r="P5781">
        <v>0</v>
      </c>
      <c r="Q5781">
        <v>1</v>
      </c>
      <c r="R5781" t="s">
        <v>44909</v>
      </c>
      <c r="S5781" t="s">
        <v>45060</v>
      </c>
      <c r="T5781" t="s">
        <v>46393</v>
      </c>
      <c r="U5781" t="s">
        <v>51619</v>
      </c>
      <c r="W5781" t="s">
        <v>42801</v>
      </c>
      <c r="X5781" t="s">
        <v>44910</v>
      </c>
    </row>
    <row r="5782" spans="1:24">
      <c r="A5782">
        <f>HYPERLINK("https://www.philgeps.gov.ph/GEPSNONPILOT/Tender/SplashBidNoticeAbstractUI.aspx?menuIndex=3&amp;refID=7076956&amp;Result=3","7076956")</f>
        <v>0</v>
      </c>
      <c r="B5782" t="s">
        <v>472</v>
      </c>
      <c r="C5782" t="s">
        <v>9044</v>
      </c>
      <c r="D5782" t="s">
        <v>18134</v>
      </c>
      <c r="E5782" t="s">
        <v>23354</v>
      </c>
      <c r="F5782" t="s">
        <v>31362</v>
      </c>
      <c r="G5782" t="s">
        <v>31368</v>
      </c>
      <c r="H5782" t="s">
        <v>15799</v>
      </c>
      <c r="I5782" t="s">
        <v>4057</v>
      </c>
      <c r="J5782" t="s">
        <v>32263</v>
      </c>
      <c r="K5782" t="s">
        <v>40666</v>
      </c>
      <c r="M5782" t="s">
        <v>42842</v>
      </c>
      <c r="N5782" t="s">
        <v>44905</v>
      </c>
      <c r="O5782" t="s">
        <v>44906</v>
      </c>
      <c r="P5782">
        <v>0</v>
      </c>
      <c r="Q5782">
        <v>1</v>
      </c>
      <c r="R5782" t="s">
        <v>44909</v>
      </c>
      <c r="S5782" t="s">
        <v>45060</v>
      </c>
      <c r="T5782" t="s">
        <v>46454</v>
      </c>
      <c r="U5782" t="s">
        <v>51620</v>
      </c>
      <c r="W5782" t="s">
        <v>42842</v>
      </c>
      <c r="X5782" t="s">
        <v>44910</v>
      </c>
    </row>
    <row r="5783" spans="1:24">
      <c r="A5783">
        <f>HYPERLINK("https://www.philgeps.gov.ph/GEPSNONPILOT/Tender/SplashBidNoticeAbstractUI.aspx?menuIndex=3&amp;refID=7077006&amp;Result=3","7077006")</f>
        <v>0</v>
      </c>
      <c r="B5783" t="s">
        <v>1347</v>
      </c>
      <c r="C5783" t="s">
        <v>9045</v>
      </c>
      <c r="D5783" t="s">
        <v>18117</v>
      </c>
      <c r="E5783" t="s">
        <v>23355</v>
      </c>
      <c r="F5783" t="s">
        <v>31362</v>
      </c>
      <c r="G5783" t="s">
        <v>31369</v>
      </c>
      <c r="H5783" t="s">
        <v>15799</v>
      </c>
      <c r="I5783" t="s">
        <v>31414</v>
      </c>
      <c r="J5783" t="s">
        <v>31531</v>
      </c>
      <c r="K5783" t="s">
        <v>40665</v>
      </c>
      <c r="M5783" t="s">
        <v>42367</v>
      </c>
      <c r="N5783" t="s">
        <v>44905</v>
      </c>
      <c r="O5783" t="s">
        <v>44906</v>
      </c>
      <c r="P5783">
        <v>0</v>
      </c>
      <c r="Q5783">
        <v>4</v>
      </c>
      <c r="R5783" t="s">
        <v>44909</v>
      </c>
      <c r="S5783" t="s">
        <v>45060</v>
      </c>
      <c r="T5783" t="s">
        <v>46549</v>
      </c>
      <c r="U5783" t="s">
        <v>51621</v>
      </c>
      <c r="W5783" t="s">
        <v>42367</v>
      </c>
      <c r="X5783" t="s">
        <v>44910</v>
      </c>
    </row>
    <row r="5784" spans="1:24">
      <c r="A5784">
        <f>HYPERLINK("https://www.philgeps.gov.ph/GEPSNONPILOT/Tender/SplashBidNoticeAbstractUI.aspx?menuIndex=3&amp;refID=7077004&amp;Result=3","7077004")</f>
        <v>0</v>
      </c>
      <c r="B5784" t="s">
        <v>953</v>
      </c>
      <c r="C5784" t="s">
        <v>9046</v>
      </c>
      <c r="D5784" t="s">
        <v>18110</v>
      </c>
      <c r="E5784" t="s">
        <v>23356</v>
      </c>
      <c r="F5784" t="s">
        <v>31362</v>
      </c>
      <c r="G5784" t="s">
        <v>31368</v>
      </c>
      <c r="H5784" t="s">
        <v>15799</v>
      </c>
      <c r="I5784" t="s">
        <v>31430</v>
      </c>
      <c r="J5784" t="s">
        <v>35175</v>
      </c>
      <c r="K5784" t="s">
        <v>40666</v>
      </c>
      <c r="M5784" t="s">
        <v>41941</v>
      </c>
      <c r="N5784" t="s">
        <v>44905</v>
      </c>
      <c r="O5784" t="s">
        <v>44906</v>
      </c>
      <c r="P5784">
        <v>0</v>
      </c>
      <c r="Q5784">
        <v>0</v>
      </c>
      <c r="R5784" t="s">
        <v>44909</v>
      </c>
      <c r="S5784" t="s">
        <v>45060</v>
      </c>
      <c r="T5784" t="s">
        <v>46409</v>
      </c>
      <c r="U5784" t="s">
        <v>51607</v>
      </c>
      <c r="W5784" t="s">
        <v>60898</v>
      </c>
      <c r="X5784" t="s">
        <v>44910</v>
      </c>
    </row>
    <row r="5785" spans="1:24">
      <c r="A5785">
        <f>HYPERLINK("https://www.philgeps.gov.ph/GEPSNONPILOT/Tender/SplashBidNoticeAbstractUI.aspx?menuIndex=3&amp;refID=7076985&amp;Result=3","7076985")</f>
        <v>0</v>
      </c>
      <c r="B5785" t="s">
        <v>1872</v>
      </c>
      <c r="C5785" t="s">
        <v>9047</v>
      </c>
      <c r="E5785" t="s">
        <v>23357</v>
      </c>
      <c r="F5785" t="s">
        <v>31362</v>
      </c>
      <c r="G5785" t="s">
        <v>31369</v>
      </c>
      <c r="H5785" t="s">
        <v>31378</v>
      </c>
      <c r="I5785" t="s">
        <v>31386</v>
      </c>
      <c r="J5785" t="s">
        <v>31536</v>
      </c>
      <c r="K5785" t="s">
        <v>40662</v>
      </c>
      <c r="M5785" t="s">
        <v>42963</v>
      </c>
      <c r="N5785" t="s">
        <v>44905</v>
      </c>
      <c r="O5785" t="s">
        <v>44906</v>
      </c>
      <c r="P5785">
        <v>0</v>
      </c>
      <c r="Q5785">
        <v>0</v>
      </c>
      <c r="R5785" t="s">
        <v>44909</v>
      </c>
      <c r="S5785" t="s">
        <v>45060</v>
      </c>
      <c r="T5785" t="s">
        <v>46621</v>
      </c>
      <c r="U5785" t="s">
        <v>51622</v>
      </c>
      <c r="W5785" t="s">
        <v>42963</v>
      </c>
      <c r="X5785" t="s">
        <v>44910</v>
      </c>
    </row>
    <row r="5786" spans="1:24">
      <c r="A5786">
        <f>HYPERLINK("https://www.philgeps.gov.ph/GEPSNONPILOT/Tender/SplashBidNoticeAbstractUI.aspx?menuIndex=3&amp;refID=7076931&amp;Result=3","7076931")</f>
        <v>0</v>
      </c>
      <c r="B5786" t="s">
        <v>1855</v>
      </c>
      <c r="C5786" t="s">
        <v>9048</v>
      </c>
      <c r="D5786" t="s">
        <v>18101</v>
      </c>
      <c r="E5786" t="s">
        <v>19977</v>
      </c>
      <c r="F5786" t="s">
        <v>31362</v>
      </c>
      <c r="G5786" t="s">
        <v>31369</v>
      </c>
      <c r="H5786" t="s">
        <v>15799</v>
      </c>
      <c r="I5786" t="s">
        <v>3815</v>
      </c>
      <c r="J5786" t="s">
        <v>35176</v>
      </c>
      <c r="K5786" t="s">
        <v>40666</v>
      </c>
      <c r="M5786" t="s">
        <v>42945</v>
      </c>
      <c r="N5786" t="s">
        <v>44905</v>
      </c>
      <c r="O5786" t="s">
        <v>44906</v>
      </c>
      <c r="P5786">
        <v>0</v>
      </c>
      <c r="Q5786">
        <v>1</v>
      </c>
      <c r="R5786" t="s">
        <v>44909</v>
      </c>
      <c r="S5786" t="s">
        <v>45060</v>
      </c>
      <c r="T5786" t="s">
        <v>46710</v>
      </c>
      <c r="U5786" t="s">
        <v>51623</v>
      </c>
      <c r="W5786" t="s">
        <v>42945</v>
      </c>
      <c r="X5786" t="s">
        <v>44910</v>
      </c>
    </row>
    <row r="5787" spans="1:24">
      <c r="A5787">
        <f>HYPERLINK("https://www.philgeps.gov.ph/GEPSNONPILOT/Tender/SplashBidNoticeAbstractUI.aspx?menuIndex=3&amp;refID=7076996&amp;Result=3","7076996")</f>
        <v>0</v>
      </c>
      <c r="B5787" t="s">
        <v>472</v>
      </c>
      <c r="C5787" t="s">
        <v>9049</v>
      </c>
      <c r="D5787" t="s">
        <v>18134</v>
      </c>
      <c r="E5787" t="s">
        <v>23358</v>
      </c>
      <c r="F5787" t="s">
        <v>31362</v>
      </c>
      <c r="G5787" t="s">
        <v>31368</v>
      </c>
      <c r="H5787" t="s">
        <v>15799</v>
      </c>
      <c r="I5787" t="s">
        <v>6155</v>
      </c>
      <c r="J5787" t="s">
        <v>31997</v>
      </c>
      <c r="K5787" t="s">
        <v>40677</v>
      </c>
      <c r="M5787" t="s">
        <v>42842</v>
      </c>
      <c r="N5787" t="s">
        <v>44905</v>
      </c>
      <c r="O5787" t="s">
        <v>44906</v>
      </c>
      <c r="P5787">
        <v>0</v>
      </c>
      <c r="Q5787">
        <v>1</v>
      </c>
      <c r="R5787" t="s">
        <v>44909</v>
      </c>
      <c r="S5787" t="s">
        <v>45060</v>
      </c>
      <c r="T5787" t="s">
        <v>46454</v>
      </c>
      <c r="U5787" t="s">
        <v>51624</v>
      </c>
      <c r="W5787" t="s">
        <v>42842</v>
      </c>
      <c r="X5787" t="s">
        <v>44910</v>
      </c>
    </row>
    <row r="5788" spans="1:24">
      <c r="A5788">
        <f>HYPERLINK("https://www.philgeps.gov.ph/GEPSNONPILOT/Tender/SplashBidNoticeAbstractUI.aspx?menuIndex=3&amp;refID=7076995&amp;Result=3","7076995")</f>
        <v>0</v>
      </c>
      <c r="B5788" t="s">
        <v>953</v>
      </c>
      <c r="C5788" t="s">
        <v>9050</v>
      </c>
      <c r="D5788" t="s">
        <v>18110</v>
      </c>
      <c r="E5788" t="s">
        <v>23359</v>
      </c>
      <c r="F5788" t="s">
        <v>31362</v>
      </c>
      <c r="G5788" t="s">
        <v>31368</v>
      </c>
      <c r="H5788" t="s">
        <v>15799</v>
      </c>
      <c r="I5788" t="s">
        <v>31430</v>
      </c>
      <c r="J5788" t="s">
        <v>35177</v>
      </c>
      <c r="K5788" t="s">
        <v>40666</v>
      </c>
      <c r="M5788" t="s">
        <v>41941</v>
      </c>
      <c r="N5788" t="s">
        <v>44905</v>
      </c>
      <c r="O5788" t="s">
        <v>44906</v>
      </c>
      <c r="P5788">
        <v>0</v>
      </c>
      <c r="Q5788">
        <v>0</v>
      </c>
      <c r="R5788" t="s">
        <v>44909</v>
      </c>
      <c r="S5788" t="s">
        <v>45060</v>
      </c>
      <c r="T5788" t="s">
        <v>46409</v>
      </c>
      <c r="U5788" t="s">
        <v>51607</v>
      </c>
      <c r="W5788" t="s">
        <v>60898</v>
      </c>
      <c r="X5788" t="s">
        <v>44910</v>
      </c>
    </row>
    <row r="5789" spans="1:24">
      <c r="A5789">
        <f>HYPERLINK("https://www.philgeps.gov.ph/GEPSNONPILOT/Tender/SplashBidNoticeAbstractUI.aspx?menuIndex=3&amp;refID=7076994&amp;Result=3","7076994")</f>
        <v>0</v>
      </c>
      <c r="B5789" t="s">
        <v>131</v>
      </c>
      <c r="C5789" t="s">
        <v>9051</v>
      </c>
      <c r="D5789" t="s">
        <v>18125</v>
      </c>
      <c r="E5789" t="s">
        <v>23360</v>
      </c>
      <c r="F5789" t="s">
        <v>31362</v>
      </c>
      <c r="G5789" t="s">
        <v>31368</v>
      </c>
      <c r="H5789" t="s">
        <v>15799</v>
      </c>
      <c r="I5789" t="s">
        <v>31444</v>
      </c>
      <c r="J5789" t="s">
        <v>31734</v>
      </c>
      <c r="K5789" t="s">
        <v>40670</v>
      </c>
      <c r="L5789" t="s">
        <v>131</v>
      </c>
      <c r="M5789" t="s">
        <v>41069</v>
      </c>
      <c r="N5789" t="s">
        <v>44905</v>
      </c>
      <c r="O5789" t="s">
        <v>44906</v>
      </c>
      <c r="P5789">
        <v>0</v>
      </c>
      <c r="Q5789">
        <v>7</v>
      </c>
      <c r="R5789" t="s">
        <v>44909</v>
      </c>
      <c r="S5789" t="s">
        <v>45060</v>
      </c>
      <c r="T5789" t="s">
        <v>46443</v>
      </c>
      <c r="U5789" t="s">
        <v>51603</v>
      </c>
      <c r="V5789" t="s">
        <v>59079</v>
      </c>
      <c r="W5789" t="s">
        <v>41069</v>
      </c>
      <c r="X5789" t="s">
        <v>44910</v>
      </c>
    </row>
    <row r="5790" spans="1:24">
      <c r="A5790">
        <f>HYPERLINK("https://www.philgeps.gov.ph/GEPSNONPILOT/Tender/SplashBidNoticeAbstractUI.aspx?menuIndex=3&amp;refID=7076991&amp;Result=3","7076991")</f>
        <v>0</v>
      </c>
      <c r="B5790" t="s">
        <v>1873</v>
      </c>
      <c r="C5790" t="s">
        <v>9052</v>
      </c>
      <c r="D5790" t="s">
        <v>18162</v>
      </c>
      <c r="E5790" t="s">
        <v>23361</v>
      </c>
      <c r="F5790" t="s">
        <v>31362</v>
      </c>
      <c r="G5790" t="s">
        <v>31369</v>
      </c>
      <c r="H5790" t="s">
        <v>15799</v>
      </c>
      <c r="I5790" t="s">
        <v>31427</v>
      </c>
      <c r="J5790" t="s">
        <v>31546</v>
      </c>
      <c r="K5790" t="s">
        <v>40666</v>
      </c>
      <c r="M5790" t="s">
        <v>42964</v>
      </c>
      <c r="N5790" t="s">
        <v>44905</v>
      </c>
      <c r="O5790" t="s">
        <v>44906</v>
      </c>
      <c r="P5790">
        <v>0</v>
      </c>
      <c r="Q5790">
        <v>2</v>
      </c>
      <c r="R5790" t="s">
        <v>44909</v>
      </c>
      <c r="S5790" t="s">
        <v>45060</v>
      </c>
      <c r="T5790" t="s">
        <v>46549</v>
      </c>
      <c r="U5790" t="s">
        <v>51625</v>
      </c>
      <c r="W5790" t="s">
        <v>42964</v>
      </c>
      <c r="X5790" t="s">
        <v>44910</v>
      </c>
    </row>
    <row r="5791" spans="1:24">
      <c r="A5791">
        <f>HYPERLINK("https://www.philgeps.gov.ph/GEPSNONPILOT/Tender/SplashBidNoticeAbstractUI.aspx?menuIndex=3&amp;refID=7076986&amp;Result=3","7076986")</f>
        <v>0</v>
      </c>
      <c r="B5791" t="s">
        <v>1867</v>
      </c>
      <c r="C5791" t="s">
        <v>9053</v>
      </c>
      <c r="D5791" t="s">
        <v>18115</v>
      </c>
      <c r="E5791" t="s">
        <v>23362</v>
      </c>
      <c r="F5791" t="s">
        <v>31362</v>
      </c>
      <c r="G5791" t="s">
        <v>31368</v>
      </c>
      <c r="H5791" t="s">
        <v>15799</v>
      </c>
      <c r="I5791" t="s">
        <v>4057</v>
      </c>
      <c r="J5791" t="s">
        <v>33049</v>
      </c>
      <c r="K5791" t="s">
        <v>40697</v>
      </c>
      <c r="M5791" t="s">
        <v>42958</v>
      </c>
      <c r="N5791" t="s">
        <v>44905</v>
      </c>
      <c r="O5791" t="s">
        <v>44906</v>
      </c>
      <c r="P5791">
        <v>0</v>
      </c>
      <c r="Q5791">
        <v>0</v>
      </c>
      <c r="R5791" t="s">
        <v>44909</v>
      </c>
      <c r="S5791" t="s">
        <v>45060</v>
      </c>
      <c r="T5791" t="s">
        <v>46443</v>
      </c>
      <c r="U5791" t="s">
        <v>51626</v>
      </c>
      <c r="W5791" t="s">
        <v>42958</v>
      </c>
      <c r="X5791" t="s">
        <v>44910</v>
      </c>
    </row>
    <row r="5792" spans="1:24">
      <c r="A5792">
        <f>HYPERLINK("https://www.philgeps.gov.ph/GEPSNONPILOT/Tender/SplashBidNoticeAbstractUI.aspx?menuIndex=3&amp;refID=7077005&amp;Result=3","7077005")</f>
        <v>0</v>
      </c>
      <c r="B5792" t="s">
        <v>1874</v>
      </c>
      <c r="C5792" t="s">
        <v>9054</v>
      </c>
      <c r="D5792" t="s">
        <v>18124</v>
      </c>
      <c r="E5792" t="s">
        <v>18476</v>
      </c>
      <c r="F5792" t="s">
        <v>31363</v>
      </c>
      <c r="G5792" t="s">
        <v>31369</v>
      </c>
      <c r="H5792" t="s">
        <v>31378</v>
      </c>
      <c r="I5792" t="s">
        <v>3815</v>
      </c>
      <c r="J5792" t="s">
        <v>31530</v>
      </c>
      <c r="K5792" t="s">
        <v>40661</v>
      </c>
      <c r="M5792" t="s">
        <v>42965</v>
      </c>
      <c r="N5792" t="s">
        <v>44905</v>
      </c>
      <c r="O5792" t="s">
        <v>44906</v>
      </c>
      <c r="P5792">
        <v>0</v>
      </c>
      <c r="Q5792">
        <v>1</v>
      </c>
      <c r="R5792" t="s">
        <v>44909</v>
      </c>
      <c r="S5792" t="s">
        <v>45060</v>
      </c>
      <c r="T5792" t="s">
        <v>46696</v>
      </c>
      <c r="U5792" t="s">
        <v>51627</v>
      </c>
      <c r="W5792" t="s">
        <v>42965</v>
      </c>
      <c r="X5792" t="s">
        <v>44910</v>
      </c>
    </row>
    <row r="5793" spans="1:24">
      <c r="A5793">
        <f>HYPERLINK("https://www.philgeps.gov.ph/GEPSNONPILOT/Tender/SplashBidNoticeAbstractUI.aspx?menuIndex=3&amp;refID=7076990&amp;Result=3","7076990")</f>
        <v>0</v>
      </c>
      <c r="B5793" t="s">
        <v>1863</v>
      </c>
      <c r="C5793" t="s">
        <v>4048</v>
      </c>
      <c r="D5793" t="s">
        <v>18122</v>
      </c>
      <c r="E5793" t="s">
        <v>23363</v>
      </c>
      <c r="F5793" t="s">
        <v>31362</v>
      </c>
      <c r="G5793" t="s">
        <v>31368</v>
      </c>
      <c r="H5793" t="s">
        <v>15799</v>
      </c>
      <c r="I5793" t="s">
        <v>31385</v>
      </c>
      <c r="J5793" t="s">
        <v>31983</v>
      </c>
      <c r="K5793" t="s">
        <v>40665</v>
      </c>
      <c r="M5793" t="s">
        <v>42953</v>
      </c>
      <c r="N5793" t="s">
        <v>44905</v>
      </c>
      <c r="O5793" t="s">
        <v>44906</v>
      </c>
      <c r="P5793">
        <v>0</v>
      </c>
      <c r="Q5793">
        <v>0</v>
      </c>
      <c r="R5793" t="s">
        <v>44909</v>
      </c>
      <c r="S5793" t="s">
        <v>45060</v>
      </c>
      <c r="T5793" t="s">
        <v>46414</v>
      </c>
      <c r="U5793" t="s">
        <v>51628</v>
      </c>
      <c r="W5793" t="s">
        <v>42953</v>
      </c>
      <c r="X5793" t="s">
        <v>44910</v>
      </c>
    </row>
    <row r="5794" spans="1:24">
      <c r="A5794">
        <f>HYPERLINK("https://www.philgeps.gov.ph/GEPSNONPILOT/Tender/SplashBidNoticeAbstractUI.aspx?menuIndex=3&amp;refID=7076989&amp;Result=3","7076989")</f>
        <v>0</v>
      </c>
      <c r="B5794" t="s">
        <v>953</v>
      </c>
      <c r="C5794" t="s">
        <v>9055</v>
      </c>
      <c r="D5794" t="s">
        <v>18110</v>
      </c>
      <c r="E5794" t="s">
        <v>23364</v>
      </c>
      <c r="F5794" t="s">
        <v>31362</v>
      </c>
      <c r="G5794" t="s">
        <v>31368</v>
      </c>
      <c r="H5794" t="s">
        <v>15799</v>
      </c>
      <c r="I5794" t="s">
        <v>31430</v>
      </c>
      <c r="J5794" t="s">
        <v>35178</v>
      </c>
      <c r="K5794" t="s">
        <v>40666</v>
      </c>
      <c r="M5794" t="s">
        <v>41941</v>
      </c>
      <c r="N5794" t="s">
        <v>44905</v>
      </c>
      <c r="O5794" t="s">
        <v>44906</v>
      </c>
      <c r="P5794">
        <v>0</v>
      </c>
      <c r="Q5794">
        <v>0</v>
      </c>
      <c r="R5794" t="s">
        <v>44909</v>
      </c>
      <c r="S5794" t="s">
        <v>45060</v>
      </c>
      <c r="T5794" t="s">
        <v>46409</v>
      </c>
      <c r="U5794" t="s">
        <v>51607</v>
      </c>
      <c r="W5794" t="s">
        <v>60898</v>
      </c>
      <c r="X5794" t="s">
        <v>44910</v>
      </c>
    </row>
    <row r="5795" spans="1:24">
      <c r="A5795">
        <f>HYPERLINK("https://www.philgeps.gov.ph/GEPSNONPILOT/Tender/SplashBidNoticeAbstractUI.aspx?menuIndex=3&amp;refID=7076999&amp;Result=3","7076999")</f>
        <v>0</v>
      </c>
      <c r="B5795" t="s">
        <v>1824</v>
      </c>
      <c r="C5795" t="s">
        <v>9056</v>
      </c>
      <c r="D5795" t="s">
        <v>18101</v>
      </c>
      <c r="E5795" t="s">
        <v>23365</v>
      </c>
      <c r="F5795" t="s">
        <v>31362</v>
      </c>
      <c r="G5795" t="s">
        <v>31369</v>
      </c>
      <c r="H5795" t="s">
        <v>31378</v>
      </c>
      <c r="I5795" t="s">
        <v>31386</v>
      </c>
      <c r="J5795" t="s">
        <v>35179</v>
      </c>
      <c r="K5795" t="s">
        <v>40683</v>
      </c>
      <c r="M5795" t="s">
        <v>42908</v>
      </c>
      <c r="N5795" t="s">
        <v>44905</v>
      </c>
      <c r="O5795" t="s">
        <v>44906</v>
      </c>
      <c r="P5795">
        <v>0</v>
      </c>
      <c r="Q5795">
        <v>0</v>
      </c>
      <c r="R5795" t="s">
        <v>44909</v>
      </c>
      <c r="S5795" t="s">
        <v>45060</v>
      </c>
      <c r="T5795" t="s">
        <v>46419</v>
      </c>
      <c r="U5795" t="s">
        <v>51629</v>
      </c>
      <c r="W5795" t="s">
        <v>42908</v>
      </c>
      <c r="X5795" t="s">
        <v>44910</v>
      </c>
    </row>
    <row r="5796" spans="1:24">
      <c r="A5796">
        <f>HYPERLINK("https://www.philgeps.gov.ph/GEPSNONPILOT/Tender/SplashBidNoticeAbstractUI.aspx?menuIndex=3&amp;refID=7077007&amp;Result=3","7077007")</f>
        <v>0</v>
      </c>
      <c r="B5796" t="s">
        <v>953</v>
      </c>
      <c r="C5796" t="s">
        <v>9057</v>
      </c>
      <c r="D5796" t="s">
        <v>18110</v>
      </c>
      <c r="E5796" t="s">
        <v>23366</v>
      </c>
      <c r="F5796" t="s">
        <v>31362</v>
      </c>
      <c r="G5796" t="s">
        <v>31368</v>
      </c>
      <c r="H5796" t="s">
        <v>15799</v>
      </c>
      <c r="I5796" t="s">
        <v>31430</v>
      </c>
      <c r="J5796" t="s">
        <v>35180</v>
      </c>
      <c r="K5796" t="s">
        <v>40666</v>
      </c>
      <c r="M5796" t="s">
        <v>41941</v>
      </c>
      <c r="N5796" t="s">
        <v>44905</v>
      </c>
      <c r="O5796" t="s">
        <v>44906</v>
      </c>
      <c r="P5796">
        <v>0</v>
      </c>
      <c r="Q5796">
        <v>0</v>
      </c>
      <c r="R5796" t="s">
        <v>44909</v>
      </c>
      <c r="S5796" t="s">
        <v>45060</v>
      </c>
      <c r="T5796" t="s">
        <v>46409</v>
      </c>
      <c r="U5796" t="s">
        <v>51607</v>
      </c>
      <c r="W5796" t="s">
        <v>60898</v>
      </c>
      <c r="X5796" t="s">
        <v>44910</v>
      </c>
    </row>
    <row r="5797" spans="1:24">
      <c r="A5797">
        <f>HYPERLINK("https://www.philgeps.gov.ph/GEPSNONPILOT/Tender/SplashBidNoticeAbstractUI.aspx?menuIndex=3&amp;refID=7076992&amp;Result=3","7076992")</f>
        <v>0</v>
      </c>
      <c r="B5797" t="s">
        <v>1875</v>
      </c>
      <c r="C5797" t="s">
        <v>9058</v>
      </c>
      <c r="D5797" t="s">
        <v>18110</v>
      </c>
      <c r="E5797" t="s">
        <v>18688</v>
      </c>
      <c r="F5797" t="s">
        <v>31362</v>
      </c>
      <c r="G5797" t="s">
        <v>31376</v>
      </c>
      <c r="H5797" t="s">
        <v>15799</v>
      </c>
      <c r="I5797" t="s">
        <v>13635</v>
      </c>
      <c r="J5797" t="s">
        <v>35181</v>
      </c>
      <c r="K5797" t="s">
        <v>40693</v>
      </c>
      <c r="M5797" t="s">
        <v>42966</v>
      </c>
      <c r="N5797" t="s">
        <v>44905</v>
      </c>
      <c r="O5797" t="s">
        <v>44906</v>
      </c>
      <c r="P5797">
        <v>0</v>
      </c>
      <c r="Q5797">
        <v>0</v>
      </c>
      <c r="R5797" t="s">
        <v>44909</v>
      </c>
      <c r="S5797" t="s">
        <v>45060</v>
      </c>
      <c r="T5797" t="s">
        <v>46701</v>
      </c>
      <c r="U5797" t="s">
        <v>51630</v>
      </c>
      <c r="W5797" t="s">
        <v>42966</v>
      </c>
      <c r="X5797" t="s">
        <v>44910</v>
      </c>
    </row>
    <row r="5798" spans="1:24">
      <c r="A5798">
        <f>HYPERLINK("https://www.philgeps.gov.ph/GEPSNONPILOT/Tender/SplashBidNoticeAbstractUI.aspx?menuIndex=3&amp;refID=7077033&amp;Result=3","7077033")</f>
        <v>0</v>
      </c>
      <c r="B5798" t="s">
        <v>1158</v>
      </c>
      <c r="C5798" t="s">
        <v>9059</v>
      </c>
      <c r="D5798" t="s">
        <v>18120</v>
      </c>
      <c r="E5798" t="s">
        <v>23367</v>
      </c>
      <c r="F5798" t="s">
        <v>31362</v>
      </c>
      <c r="G5798" t="s">
        <v>31368</v>
      </c>
      <c r="H5798" t="s">
        <v>15799</v>
      </c>
      <c r="I5798" t="s">
        <v>4057</v>
      </c>
      <c r="J5798" t="s">
        <v>35182</v>
      </c>
      <c r="K5798" t="s">
        <v>40662</v>
      </c>
      <c r="M5798" t="s">
        <v>42167</v>
      </c>
      <c r="N5798" t="s">
        <v>44905</v>
      </c>
      <c r="O5798" t="s">
        <v>44906</v>
      </c>
      <c r="P5798">
        <v>0</v>
      </c>
      <c r="Q5798">
        <v>0</v>
      </c>
      <c r="R5798" t="s">
        <v>44909</v>
      </c>
      <c r="S5798" t="s">
        <v>45060</v>
      </c>
      <c r="T5798" t="s">
        <v>46482</v>
      </c>
      <c r="U5798" t="s">
        <v>51631</v>
      </c>
      <c r="W5798" t="s">
        <v>42167</v>
      </c>
      <c r="X5798" t="s">
        <v>44910</v>
      </c>
    </row>
    <row r="5799" spans="1:24">
      <c r="A5799">
        <f>HYPERLINK("https://www.philgeps.gov.ph/GEPSNONPILOT/Tender/SplashBidNoticeAbstractUI.aspx?menuIndex=3&amp;refID=7077001&amp;Result=3","7077001")</f>
        <v>0</v>
      </c>
      <c r="B5799" t="s">
        <v>1876</v>
      </c>
      <c r="C5799" t="s">
        <v>9060</v>
      </c>
      <c r="D5799" t="s">
        <v>18117</v>
      </c>
      <c r="E5799" t="s">
        <v>23368</v>
      </c>
      <c r="F5799" t="s">
        <v>31362</v>
      </c>
      <c r="G5799" t="s">
        <v>31368</v>
      </c>
      <c r="H5799" t="s">
        <v>31378</v>
      </c>
      <c r="I5799" t="s">
        <v>31427</v>
      </c>
      <c r="J5799" t="s">
        <v>31536</v>
      </c>
      <c r="K5799" t="s">
        <v>40665</v>
      </c>
      <c r="M5799" t="s">
        <v>42967</v>
      </c>
      <c r="N5799" t="s">
        <v>44905</v>
      </c>
      <c r="O5799" t="s">
        <v>44906</v>
      </c>
      <c r="P5799">
        <v>0</v>
      </c>
      <c r="Q5799">
        <v>0</v>
      </c>
      <c r="R5799" t="s">
        <v>44909</v>
      </c>
      <c r="S5799" t="s">
        <v>45060</v>
      </c>
      <c r="T5799" t="s">
        <v>46432</v>
      </c>
      <c r="U5799" t="s">
        <v>51632</v>
      </c>
      <c r="W5799" t="s">
        <v>42967</v>
      </c>
      <c r="X5799" t="s">
        <v>44910</v>
      </c>
    </row>
    <row r="5800" spans="1:24">
      <c r="A5800">
        <f>HYPERLINK("https://www.philgeps.gov.ph/GEPSNONPILOT/Tender/SplashBidNoticeAbstractUI.aspx?menuIndex=3&amp;refID=7077030&amp;Result=3","7077030")</f>
        <v>0</v>
      </c>
      <c r="B5800" t="s">
        <v>1877</v>
      </c>
      <c r="C5800" t="s">
        <v>9061</v>
      </c>
      <c r="D5800" t="s">
        <v>18108</v>
      </c>
      <c r="E5800" t="s">
        <v>23369</v>
      </c>
      <c r="F5800" t="s">
        <v>31362</v>
      </c>
      <c r="G5800" t="s">
        <v>31368</v>
      </c>
      <c r="H5800" t="s">
        <v>15799</v>
      </c>
      <c r="I5800" t="s">
        <v>6240</v>
      </c>
      <c r="J5800" t="s">
        <v>35183</v>
      </c>
      <c r="K5800" t="s">
        <v>40666</v>
      </c>
      <c r="M5800" t="s">
        <v>42968</v>
      </c>
      <c r="N5800" t="s">
        <v>44905</v>
      </c>
      <c r="O5800" t="s">
        <v>44906</v>
      </c>
      <c r="P5800">
        <v>0</v>
      </c>
      <c r="Q5800">
        <v>3</v>
      </c>
      <c r="R5800" t="s">
        <v>44909</v>
      </c>
      <c r="S5800" t="s">
        <v>45060</v>
      </c>
      <c r="T5800" t="s">
        <v>46434</v>
      </c>
      <c r="U5800" t="s">
        <v>51633</v>
      </c>
      <c r="V5800" t="s">
        <v>59606</v>
      </c>
      <c r="W5800" t="s">
        <v>42968</v>
      </c>
      <c r="X5800" t="s">
        <v>44910</v>
      </c>
    </row>
    <row r="5801" spans="1:24">
      <c r="A5801">
        <f>HYPERLINK("https://www.philgeps.gov.ph/GEPSNONPILOT/Tender/SplashBidNoticeAbstractUI.aspx?menuIndex=3&amp;refID=7076940&amp;Result=3","7076940")</f>
        <v>0</v>
      </c>
      <c r="B5801" t="s">
        <v>1172</v>
      </c>
      <c r="C5801" t="s">
        <v>9062</v>
      </c>
      <c r="D5801" t="s">
        <v>18152</v>
      </c>
      <c r="E5801" t="s">
        <v>23370</v>
      </c>
      <c r="F5801" t="s">
        <v>31362</v>
      </c>
      <c r="G5801" t="s">
        <v>31368</v>
      </c>
      <c r="H5801" t="s">
        <v>15799</v>
      </c>
      <c r="I5801" t="s">
        <v>7188</v>
      </c>
      <c r="J5801" t="s">
        <v>31897</v>
      </c>
      <c r="K5801" t="s">
        <v>40665</v>
      </c>
      <c r="M5801" t="s">
        <v>42182</v>
      </c>
      <c r="N5801" t="s">
        <v>44905</v>
      </c>
      <c r="O5801" t="s">
        <v>44906</v>
      </c>
      <c r="P5801">
        <v>0</v>
      </c>
      <c r="Q5801">
        <v>1</v>
      </c>
      <c r="R5801" t="s">
        <v>44909</v>
      </c>
      <c r="S5801" t="s">
        <v>45060</v>
      </c>
      <c r="T5801" t="s">
        <v>46703</v>
      </c>
      <c r="U5801" t="s">
        <v>51634</v>
      </c>
      <c r="W5801" t="s">
        <v>42182</v>
      </c>
      <c r="X5801" t="s">
        <v>44910</v>
      </c>
    </row>
    <row r="5802" spans="1:24">
      <c r="A5802">
        <f>HYPERLINK("https://www.philgeps.gov.ph/GEPSNONPILOT/Tender/SplashBidNoticeAbstractUI.aspx?menuIndex=3&amp;refID=7076987&amp;Result=3","7076987")</f>
        <v>0</v>
      </c>
      <c r="B5802" t="s">
        <v>1878</v>
      </c>
      <c r="C5802" t="s">
        <v>9063</v>
      </c>
      <c r="D5802" t="s">
        <v>18111</v>
      </c>
      <c r="E5802" t="s">
        <v>21941</v>
      </c>
      <c r="F5802" t="s">
        <v>31362</v>
      </c>
      <c r="G5802" t="s">
        <v>31371</v>
      </c>
      <c r="H5802" t="s">
        <v>15799</v>
      </c>
      <c r="I5802" t="s">
        <v>3815</v>
      </c>
      <c r="J5802" t="s">
        <v>35184</v>
      </c>
      <c r="K5802" t="s">
        <v>40661</v>
      </c>
      <c r="M5802" t="s">
        <v>42969</v>
      </c>
      <c r="N5802" t="s">
        <v>44905</v>
      </c>
      <c r="O5802" t="s">
        <v>44906</v>
      </c>
      <c r="P5802">
        <v>0</v>
      </c>
      <c r="Q5802">
        <v>3</v>
      </c>
      <c r="R5802" t="s">
        <v>44909</v>
      </c>
      <c r="S5802" t="s">
        <v>45060</v>
      </c>
      <c r="T5802" t="s">
        <v>46446</v>
      </c>
      <c r="U5802" t="s">
        <v>51635</v>
      </c>
      <c r="W5802" t="s">
        <v>42969</v>
      </c>
      <c r="X5802" t="s">
        <v>44910</v>
      </c>
    </row>
    <row r="5803" spans="1:24">
      <c r="A5803">
        <f>HYPERLINK("https://www.philgeps.gov.ph/GEPSNONPILOT/Tender/SplashBidNoticeAbstractUI.aspx?menuIndex=3&amp;refID=7077027&amp;Result=3","7077027")</f>
        <v>0</v>
      </c>
      <c r="B5803" t="s">
        <v>1398</v>
      </c>
      <c r="C5803" t="s">
        <v>9064</v>
      </c>
      <c r="D5803" t="s">
        <v>18152</v>
      </c>
      <c r="E5803" t="s">
        <v>23371</v>
      </c>
      <c r="F5803" t="s">
        <v>31362</v>
      </c>
      <c r="G5803" t="s">
        <v>31369</v>
      </c>
      <c r="H5803" t="s">
        <v>31378</v>
      </c>
      <c r="I5803" t="s">
        <v>31386</v>
      </c>
      <c r="J5803" t="s">
        <v>31531</v>
      </c>
      <c r="K5803" t="s">
        <v>40665</v>
      </c>
      <c r="M5803" t="s">
        <v>42423</v>
      </c>
      <c r="N5803" t="s">
        <v>44905</v>
      </c>
      <c r="O5803" t="s">
        <v>44906</v>
      </c>
      <c r="P5803">
        <v>0</v>
      </c>
      <c r="Q5803">
        <v>1</v>
      </c>
      <c r="R5803" t="s">
        <v>44909</v>
      </c>
      <c r="S5803" t="s">
        <v>45060</v>
      </c>
      <c r="T5803" t="s">
        <v>46559</v>
      </c>
      <c r="U5803" t="s">
        <v>51636</v>
      </c>
      <c r="W5803" t="s">
        <v>42423</v>
      </c>
      <c r="X5803" t="s">
        <v>44910</v>
      </c>
    </row>
    <row r="5804" spans="1:24">
      <c r="A5804">
        <f>HYPERLINK("https://www.philgeps.gov.ph/GEPSNONPILOT/Tender/SplashBidNoticeAbstractUI.aspx?menuIndex=3&amp;refID=7077026&amp;Result=3","7077026")</f>
        <v>0</v>
      </c>
      <c r="B5804" t="s">
        <v>1878</v>
      </c>
      <c r="C5804" t="s">
        <v>9063</v>
      </c>
      <c r="D5804" t="s">
        <v>18111</v>
      </c>
      <c r="E5804" t="s">
        <v>23372</v>
      </c>
      <c r="F5804" t="s">
        <v>31362</v>
      </c>
      <c r="G5804" t="s">
        <v>31371</v>
      </c>
      <c r="H5804" t="s">
        <v>15799</v>
      </c>
      <c r="I5804" t="s">
        <v>6373</v>
      </c>
      <c r="J5804" t="s">
        <v>31768</v>
      </c>
      <c r="K5804" t="s">
        <v>40661</v>
      </c>
      <c r="M5804" t="s">
        <v>42969</v>
      </c>
      <c r="N5804" t="s">
        <v>44905</v>
      </c>
      <c r="O5804" t="s">
        <v>44906</v>
      </c>
      <c r="P5804">
        <v>0</v>
      </c>
      <c r="Q5804">
        <v>3</v>
      </c>
      <c r="R5804" t="s">
        <v>44909</v>
      </c>
      <c r="S5804" t="s">
        <v>45060</v>
      </c>
      <c r="T5804" t="s">
        <v>46416</v>
      </c>
      <c r="U5804" t="s">
        <v>51635</v>
      </c>
      <c r="W5804" t="s">
        <v>42969</v>
      </c>
      <c r="X5804" t="s">
        <v>44910</v>
      </c>
    </row>
    <row r="5805" spans="1:24">
      <c r="A5805">
        <f>HYPERLINK("https://www.philgeps.gov.ph/GEPSNONPILOT/Tender/SplashBidNoticeAbstractUI.aspx?menuIndex=3&amp;refID=7077025&amp;Result=3","7077025")</f>
        <v>0</v>
      </c>
      <c r="B5805" t="s">
        <v>1879</v>
      </c>
      <c r="C5805" t="s">
        <v>9065</v>
      </c>
      <c r="D5805" t="s">
        <v>18177</v>
      </c>
      <c r="E5805" t="s">
        <v>23373</v>
      </c>
      <c r="F5805" t="s">
        <v>31362</v>
      </c>
      <c r="G5805" t="s">
        <v>31369</v>
      </c>
      <c r="H5805" t="s">
        <v>15799</v>
      </c>
      <c r="I5805" t="s">
        <v>3815</v>
      </c>
      <c r="J5805" t="s">
        <v>35185</v>
      </c>
      <c r="K5805" t="s">
        <v>40662</v>
      </c>
      <c r="M5805" t="s">
        <v>42970</v>
      </c>
      <c r="N5805" t="s">
        <v>44905</v>
      </c>
      <c r="O5805" t="s">
        <v>44906</v>
      </c>
      <c r="P5805">
        <v>0</v>
      </c>
      <c r="Q5805">
        <v>0</v>
      </c>
      <c r="R5805" t="s">
        <v>44909</v>
      </c>
      <c r="S5805" t="s">
        <v>45060</v>
      </c>
      <c r="T5805" t="s">
        <v>46469</v>
      </c>
      <c r="U5805" t="s">
        <v>51637</v>
      </c>
      <c r="W5805" t="s">
        <v>42970</v>
      </c>
      <c r="X5805" t="s">
        <v>44910</v>
      </c>
    </row>
    <row r="5806" spans="1:24">
      <c r="A5806">
        <f>HYPERLINK("https://www.philgeps.gov.ph/GEPSNONPILOT/Tender/SplashBidNoticeAbstractUI.aspx?menuIndex=3&amp;refID=7077022&amp;Result=3","7077022")</f>
        <v>0</v>
      </c>
      <c r="B5806" t="s">
        <v>776</v>
      </c>
      <c r="C5806" t="s">
        <v>9066</v>
      </c>
      <c r="D5806" t="s">
        <v>18108</v>
      </c>
      <c r="E5806" t="s">
        <v>23374</v>
      </c>
      <c r="F5806" t="s">
        <v>31362</v>
      </c>
      <c r="G5806" t="s">
        <v>31368</v>
      </c>
      <c r="H5806" t="s">
        <v>15799</v>
      </c>
      <c r="I5806" t="s">
        <v>31493</v>
      </c>
      <c r="J5806" t="s">
        <v>35186</v>
      </c>
      <c r="K5806" t="s">
        <v>40662</v>
      </c>
      <c r="M5806" t="s">
        <v>42971</v>
      </c>
      <c r="N5806" t="s">
        <v>44905</v>
      </c>
      <c r="O5806" t="s">
        <v>44906</v>
      </c>
      <c r="P5806">
        <v>0</v>
      </c>
      <c r="Q5806">
        <v>0</v>
      </c>
      <c r="R5806" t="s">
        <v>44909</v>
      </c>
      <c r="S5806" t="s">
        <v>45060</v>
      </c>
      <c r="T5806" t="s">
        <v>46400</v>
      </c>
      <c r="U5806" t="s">
        <v>51638</v>
      </c>
      <c r="W5806" t="s">
        <v>42971</v>
      </c>
      <c r="X5806" t="s">
        <v>44910</v>
      </c>
    </row>
    <row r="5807" spans="1:24">
      <c r="A5807">
        <f>HYPERLINK("https://www.philgeps.gov.ph/GEPSNONPILOT/Tender/SplashBidNoticeAbstractUI.aspx?menuIndex=3&amp;refID=7077019&amp;Result=3","7077019")</f>
        <v>0</v>
      </c>
      <c r="B5807" t="s">
        <v>641</v>
      </c>
      <c r="C5807" t="s">
        <v>9067</v>
      </c>
      <c r="D5807" t="s">
        <v>18158</v>
      </c>
      <c r="E5807" t="s">
        <v>23375</v>
      </c>
      <c r="F5807" t="s">
        <v>31362</v>
      </c>
      <c r="G5807" t="s">
        <v>31370</v>
      </c>
      <c r="H5807" t="s">
        <v>15799</v>
      </c>
      <c r="I5807" t="s">
        <v>4283</v>
      </c>
      <c r="J5807" t="s">
        <v>35187</v>
      </c>
      <c r="K5807" t="s">
        <v>40670</v>
      </c>
      <c r="M5807" t="s">
        <v>42801</v>
      </c>
      <c r="N5807" t="s">
        <v>44905</v>
      </c>
      <c r="O5807" t="s">
        <v>44906</v>
      </c>
      <c r="P5807">
        <v>0</v>
      </c>
      <c r="Q5807">
        <v>1</v>
      </c>
      <c r="R5807" t="s">
        <v>44909</v>
      </c>
      <c r="S5807" t="s">
        <v>45060</v>
      </c>
      <c r="T5807" t="s">
        <v>46393</v>
      </c>
      <c r="U5807" t="s">
        <v>51639</v>
      </c>
      <c r="W5807" t="s">
        <v>42801</v>
      </c>
      <c r="X5807" t="s">
        <v>44910</v>
      </c>
    </row>
    <row r="5808" spans="1:24">
      <c r="A5808">
        <f>HYPERLINK("https://www.philgeps.gov.ph/GEPSNONPILOT/Tender/SplashBidNoticeAbstractUI.aspx?menuIndex=3&amp;refID=7077018&amp;Result=3","7077018")</f>
        <v>0</v>
      </c>
      <c r="B5808" t="s">
        <v>1876</v>
      </c>
      <c r="C5808" t="s">
        <v>9068</v>
      </c>
      <c r="D5808" t="s">
        <v>18117</v>
      </c>
      <c r="E5808" t="s">
        <v>23376</v>
      </c>
      <c r="F5808" t="s">
        <v>31362</v>
      </c>
      <c r="G5808" t="s">
        <v>31368</v>
      </c>
      <c r="H5808" t="s">
        <v>15799</v>
      </c>
      <c r="I5808" t="s">
        <v>7188</v>
      </c>
      <c r="J5808" t="s">
        <v>31535</v>
      </c>
      <c r="K5808" t="s">
        <v>40666</v>
      </c>
      <c r="M5808" t="s">
        <v>42967</v>
      </c>
      <c r="N5808" t="s">
        <v>44905</v>
      </c>
      <c r="O5808" t="s">
        <v>44906</v>
      </c>
      <c r="P5808">
        <v>0</v>
      </c>
      <c r="Q5808">
        <v>6</v>
      </c>
      <c r="R5808" t="s">
        <v>44909</v>
      </c>
      <c r="S5808" t="s">
        <v>45060</v>
      </c>
      <c r="T5808" t="s">
        <v>46432</v>
      </c>
      <c r="U5808" t="s">
        <v>51640</v>
      </c>
      <c r="W5808" t="s">
        <v>42967</v>
      </c>
      <c r="X5808" t="s">
        <v>44910</v>
      </c>
    </row>
    <row r="5809" spans="1:24">
      <c r="A5809">
        <f>HYPERLINK("https://www.philgeps.gov.ph/GEPSNONPILOT/Tender/SplashBidNoticeAbstractUI.aspx?menuIndex=3&amp;refID=7077016&amp;Result=3","7077016")</f>
        <v>0</v>
      </c>
      <c r="B5809" t="s">
        <v>1880</v>
      </c>
      <c r="C5809" t="s">
        <v>9069</v>
      </c>
      <c r="D5809" t="s">
        <v>18117</v>
      </c>
      <c r="E5809" t="s">
        <v>23377</v>
      </c>
      <c r="F5809" t="s">
        <v>31362</v>
      </c>
      <c r="G5809" t="s">
        <v>31368</v>
      </c>
      <c r="H5809" t="s">
        <v>15799</v>
      </c>
      <c r="I5809" t="s">
        <v>31464</v>
      </c>
      <c r="J5809" t="s">
        <v>31969</v>
      </c>
      <c r="K5809" t="s">
        <v>40665</v>
      </c>
      <c r="M5809" t="s">
        <v>42972</v>
      </c>
      <c r="N5809" t="s">
        <v>44905</v>
      </c>
      <c r="O5809" t="s">
        <v>44906</v>
      </c>
      <c r="P5809">
        <v>0</v>
      </c>
      <c r="Q5809">
        <v>0</v>
      </c>
      <c r="R5809" t="s">
        <v>44909</v>
      </c>
      <c r="S5809" t="s">
        <v>45060</v>
      </c>
      <c r="T5809" t="s">
        <v>46447</v>
      </c>
      <c r="U5809" t="s">
        <v>51641</v>
      </c>
      <c r="W5809" t="s">
        <v>42972</v>
      </c>
      <c r="X5809" t="s">
        <v>44910</v>
      </c>
    </row>
    <row r="5810" spans="1:24">
      <c r="A5810">
        <f>HYPERLINK("https://www.philgeps.gov.ph/GEPSNONPILOT/Tender/SplashBidNoticeAbstractUI.aspx?menuIndex=3&amp;refID=7077031&amp;Result=3","7077031")</f>
        <v>0</v>
      </c>
      <c r="B5810" t="s">
        <v>1045</v>
      </c>
      <c r="C5810" t="s">
        <v>9070</v>
      </c>
      <c r="D5810" t="s">
        <v>18134</v>
      </c>
      <c r="E5810" t="s">
        <v>23378</v>
      </c>
      <c r="F5810" t="s">
        <v>31362</v>
      </c>
      <c r="G5810" t="s">
        <v>31369</v>
      </c>
      <c r="H5810" t="s">
        <v>31378</v>
      </c>
      <c r="I5810" t="s">
        <v>31386</v>
      </c>
      <c r="J5810" t="s">
        <v>32549</v>
      </c>
      <c r="K5810" t="s">
        <v>40802</v>
      </c>
      <c r="M5810" t="s">
        <v>42044</v>
      </c>
      <c r="N5810" t="s">
        <v>44905</v>
      </c>
      <c r="O5810" t="s">
        <v>44906</v>
      </c>
      <c r="P5810">
        <v>0</v>
      </c>
      <c r="Q5810">
        <v>0</v>
      </c>
      <c r="R5810" t="s">
        <v>44909</v>
      </c>
      <c r="S5810" t="s">
        <v>45060</v>
      </c>
      <c r="T5810" t="s">
        <v>46435</v>
      </c>
      <c r="U5810" t="s">
        <v>51642</v>
      </c>
      <c r="W5810" t="s">
        <v>42044</v>
      </c>
      <c r="X5810" t="s">
        <v>44910</v>
      </c>
    </row>
    <row r="5811" spans="1:24">
      <c r="A5811">
        <f>HYPERLINK("https://www.philgeps.gov.ph/GEPSNONPILOT/Tender/SplashBidNoticeAbstractUI.aspx?menuIndex=3&amp;refID=7076988&amp;Result=3","7076988")</f>
        <v>0</v>
      </c>
      <c r="B5811" t="s">
        <v>622</v>
      </c>
      <c r="C5811" t="s">
        <v>9071</v>
      </c>
      <c r="D5811" t="s">
        <v>18108</v>
      </c>
      <c r="E5811" t="s">
        <v>23379</v>
      </c>
      <c r="F5811" t="s">
        <v>31362</v>
      </c>
      <c r="G5811" t="s">
        <v>31372</v>
      </c>
      <c r="H5811" t="s">
        <v>15799</v>
      </c>
      <c r="I5811" t="s">
        <v>31500</v>
      </c>
      <c r="J5811" t="s">
        <v>35188</v>
      </c>
      <c r="K5811" t="s">
        <v>40665</v>
      </c>
      <c r="M5811" t="s">
        <v>42973</v>
      </c>
      <c r="N5811" t="s">
        <v>44905</v>
      </c>
      <c r="O5811" t="s">
        <v>44906</v>
      </c>
      <c r="P5811">
        <v>0</v>
      </c>
      <c r="Q5811">
        <v>14</v>
      </c>
      <c r="R5811" t="s">
        <v>44909</v>
      </c>
      <c r="S5811" t="s">
        <v>45060</v>
      </c>
      <c r="T5811" t="s">
        <v>46412</v>
      </c>
      <c r="U5811" t="s">
        <v>51643</v>
      </c>
      <c r="W5811" t="s">
        <v>42973</v>
      </c>
      <c r="X5811" t="s">
        <v>44910</v>
      </c>
    </row>
    <row r="5812" spans="1:24">
      <c r="A5812">
        <f>HYPERLINK("https://www.philgeps.gov.ph/GEPSNONPILOT/Tender/SplashBidNoticeAbstractUI.aspx?menuIndex=3&amp;refID=7077062&amp;Result=3","7077062")</f>
        <v>0</v>
      </c>
      <c r="B5812" t="s">
        <v>1158</v>
      </c>
      <c r="C5812" t="s">
        <v>9072</v>
      </c>
      <c r="D5812" t="s">
        <v>18120</v>
      </c>
      <c r="E5812" t="s">
        <v>23380</v>
      </c>
      <c r="F5812" t="s">
        <v>31362</v>
      </c>
      <c r="G5812" t="s">
        <v>31368</v>
      </c>
      <c r="H5812" t="s">
        <v>15799</v>
      </c>
      <c r="I5812" t="s">
        <v>4057</v>
      </c>
      <c r="J5812" t="s">
        <v>35189</v>
      </c>
      <c r="K5812" t="s">
        <v>40662</v>
      </c>
      <c r="M5812" t="s">
        <v>42167</v>
      </c>
      <c r="N5812" t="s">
        <v>44905</v>
      </c>
      <c r="O5812" t="s">
        <v>44906</v>
      </c>
      <c r="P5812">
        <v>0</v>
      </c>
      <c r="Q5812">
        <v>0</v>
      </c>
      <c r="R5812" t="s">
        <v>44909</v>
      </c>
      <c r="S5812" t="s">
        <v>45060</v>
      </c>
      <c r="T5812" t="s">
        <v>46482</v>
      </c>
      <c r="U5812" t="s">
        <v>51644</v>
      </c>
      <c r="W5812" t="s">
        <v>42167</v>
      </c>
      <c r="X5812" t="s">
        <v>44910</v>
      </c>
    </row>
    <row r="5813" spans="1:24">
      <c r="A5813">
        <f>HYPERLINK("https://www.philgeps.gov.ph/GEPSNONPILOT/Tender/SplashBidNoticeAbstractUI.aspx?menuIndex=3&amp;refID=7077061&amp;Result=3","7077061")</f>
        <v>0</v>
      </c>
      <c r="B5813" t="s">
        <v>1877</v>
      </c>
      <c r="C5813" t="s">
        <v>9073</v>
      </c>
      <c r="D5813" t="s">
        <v>18108</v>
      </c>
      <c r="E5813" t="s">
        <v>23381</v>
      </c>
      <c r="F5813" t="s">
        <v>31362</v>
      </c>
      <c r="G5813" t="s">
        <v>31368</v>
      </c>
      <c r="H5813" t="s">
        <v>15799</v>
      </c>
      <c r="I5813" t="s">
        <v>6155</v>
      </c>
      <c r="J5813" t="s">
        <v>35190</v>
      </c>
      <c r="K5813" t="s">
        <v>40666</v>
      </c>
      <c r="M5813" t="s">
        <v>42968</v>
      </c>
      <c r="N5813" t="s">
        <v>44905</v>
      </c>
      <c r="O5813" t="s">
        <v>44906</v>
      </c>
      <c r="P5813">
        <v>0</v>
      </c>
      <c r="Q5813">
        <v>3</v>
      </c>
      <c r="R5813" t="s">
        <v>44909</v>
      </c>
      <c r="S5813" t="s">
        <v>45060</v>
      </c>
      <c r="T5813" t="s">
        <v>46434</v>
      </c>
      <c r="U5813" t="s">
        <v>51645</v>
      </c>
      <c r="V5813" t="s">
        <v>59606</v>
      </c>
      <c r="W5813" t="s">
        <v>42968</v>
      </c>
      <c r="X5813" t="s">
        <v>44910</v>
      </c>
    </row>
    <row r="5814" spans="1:24">
      <c r="A5814">
        <f>HYPERLINK("https://www.philgeps.gov.ph/GEPSNONPILOT/Tender/SplashBidNoticeAbstractUI.aspx?menuIndex=3&amp;refID=7077028&amp;Result=3","7077028")</f>
        <v>0</v>
      </c>
      <c r="B5814" t="s">
        <v>820</v>
      </c>
      <c r="C5814" t="s">
        <v>9074</v>
      </c>
      <c r="D5814" t="s">
        <v>18100</v>
      </c>
      <c r="E5814" t="s">
        <v>23382</v>
      </c>
      <c r="F5814" t="s">
        <v>31362</v>
      </c>
      <c r="G5814" t="s">
        <v>31369</v>
      </c>
      <c r="H5814" t="s">
        <v>15799</v>
      </c>
      <c r="I5814" t="s">
        <v>6373</v>
      </c>
      <c r="J5814" t="s">
        <v>35191</v>
      </c>
      <c r="K5814" t="s">
        <v>40666</v>
      </c>
      <c r="M5814" t="s">
        <v>41793</v>
      </c>
      <c r="N5814" t="s">
        <v>44905</v>
      </c>
      <c r="O5814" t="s">
        <v>44906</v>
      </c>
      <c r="P5814">
        <v>0</v>
      </c>
      <c r="Q5814">
        <v>3</v>
      </c>
      <c r="R5814" t="s">
        <v>44909</v>
      </c>
      <c r="S5814" t="s">
        <v>45060</v>
      </c>
      <c r="T5814" t="s">
        <v>46638</v>
      </c>
      <c r="U5814" t="s">
        <v>51646</v>
      </c>
      <c r="W5814" t="s">
        <v>41793</v>
      </c>
      <c r="X5814" t="s">
        <v>44910</v>
      </c>
    </row>
    <row r="5815" spans="1:24">
      <c r="A5815">
        <f>HYPERLINK("https://www.philgeps.gov.ph/GEPSNONPILOT/Tender/SplashBidNoticeAbstractUI.aspx?menuIndex=3&amp;refID=7077034&amp;Result=3","7077034")</f>
        <v>0</v>
      </c>
      <c r="B5815" t="s">
        <v>1881</v>
      </c>
      <c r="C5815" t="s">
        <v>9075</v>
      </c>
      <c r="D5815" t="s">
        <v>18103</v>
      </c>
      <c r="E5815" t="s">
        <v>23383</v>
      </c>
      <c r="F5815" t="s">
        <v>31362</v>
      </c>
      <c r="G5815" t="s">
        <v>31371</v>
      </c>
      <c r="H5815" t="s">
        <v>15799</v>
      </c>
      <c r="I5815" t="s">
        <v>31385</v>
      </c>
      <c r="J5815" t="s">
        <v>35192</v>
      </c>
      <c r="K5815" t="s">
        <v>40662</v>
      </c>
      <c r="M5815" t="s">
        <v>42974</v>
      </c>
      <c r="N5815" t="s">
        <v>44905</v>
      </c>
      <c r="O5815" t="s">
        <v>44906</v>
      </c>
      <c r="P5815">
        <v>0</v>
      </c>
      <c r="Q5815">
        <v>5</v>
      </c>
      <c r="R5815" t="s">
        <v>44909</v>
      </c>
      <c r="S5815" t="s">
        <v>45060</v>
      </c>
      <c r="T5815" t="s">
        <v>46414</v>
      </c>
      <c r="U5815" t="s">
        <v>51647</v>
      </c>
      <c r="W5815" t="s">
        <v>42974</v>
      </c>
      <c r="X5815" t="s">
        <v>44910</v>
      </c>
    </row>
    <row r="5816" spans="1:24">
      <c r="A5816">
        <f>HYPERLINK("https://www.philgeps.gov.ph/GEPSNONPILOT/Tender/SplashBidNoticeAbstractUI.aspx?menuIndex=3&amp;refID=7077059&amp;Result=3","7077059")</f>
        <v>0</v>
      </c>
      <c r="B5816" t="s">
        <v>131</v>
      </c>
      <c r="C5816" t="s">
        <v>9076</v>
      </c>
      <c r="D5816" t="s">
        <v>18125</v>
      </c>
      <c r="E5816" t="s">
        <v>23384</v>
      </c>
      <c r="F5816" t="s">
        <v>31362</v>
      </c>
      <c r="G5816" t="s">
        <v>31368</v>
      </c>
      <c r="H5816" t="s">
        <v>15799</v>
      </c>
      <c r="I5816" t="s">
        <v>31393</v>
      </c>
      <c r="J5816" t="s">
        <v>31723</v>
      </c>
      <c r="K5816" t="s">
        <v>40670</v>
      </c>
      <c r="L5816" t="s">
        <v>131</v>
      </c>
      <c r="M5816" t="s">
        <v>41069</v>
      </c>
      <c r="N5816" t="s">
        <v>44905</v>
      </c>
      <c r="O5816" t="s">
        <v>44906</v>
      </c>
      <c r="P5816">
        <v>0</v>
      </c>
      <c r="Q5816">
        <v>3</v>
      </c>
      <c r="R5816" t="s">
        <v>44909</v>
      </c>
      <c r="S5816" t="s">
        <v>45060</v>
      </c>
      <c r="T5816" t="s">
        <v>46443</v>
      </c>
      <c r="U5816" t="s">
        <v>51648</v>
      </c>
      <c r="V5816" t="s">
        <v>59079</v>
      </c>
      <c r="W5816" t="s">
        <v>41069</v>
      </c>
      <c r="X5816" t="s">
        <v>44910</v>
      </c>
    </row>
    <row r="5817" spans="1:24">
      <c r="A5817">
        <f>HYPERLINK("https://www.philgeps.gov.ph/GEPSNONPILOT/Tender/SplashBidNoticeAbstractUI.aspx?menuIndex=3&amp;refID=7077056&amp;Result=3","7077056")</f>
        <v>0</v>
      </c>
      <c r="B5817" t="s">
        <v>828</v>
      </c>
      <c r="C5817" t="s">
        <v>9077</v>
      </c>
      <c r="D5817" t="s">
        <v>18148</v>
      </c>
      <c r="E5817" t="s">
        <v>23385</v>
      </c>
      <c r="F5817" t="s">
        <v>31362</v>
      </c>
      <c r="G5817" t="s">
        <v>31369</v>
      </c>
      <c r="H5817" t="s">
        <v>15799</v>
      </c>
      <c r="I5817" t="s">
        <v>3815</v>
      </c>
      <c r="J5817" t="s">
        <v>35193</v>
      </c>
      <c r="K5817" t="s">
        <v>40662</v>
      </c>
      <c r="M5817" t="s">
        <v>41802</v>
      </c>
      <c r="N5817" t="s">
        <v>44905</v>
      </c>
      <c r="O5817" t="s">
        <v>44906</v>
      </c>
      <c r="P5817">
        <v>0</v>
      </c>
      <c r="Q5817">
        <v>0</v>
      </c>
      <c r="R5817" t="s">
        <v>44909</v>
      </c>
      <c r="S5817" t="s">
        <v>45060</v>
      </c>
      <c r="T5817" t="s">
        <v>46417</v>
      </c>
      <c r="U5817" t="s">
        <v>51649</v>
      </c>
      <c r="W5817" t="s">
        <v>41802</v>
      </c>
      <c r="X5817" t="s">
        <v>44910</v>
      </c>
    </row>
    <row r="5818" spans="1:24">
      <c r="A5818">
        <f>HYPERLINK("https://www.philgeps.gov.ph/GEPSNONPILOT/Tender/SplashBidNoticeAbstractUI.aspx?menuIndex=3&amp;refID=7077029&amp;Result=3","7077029")</f>
        <v>0</v>
      </c>
      <c r="B5818" t="s">
        <v>641</v>
      </c>
      <c r="C5818" t="s">
        <v>9078</v>
      </c>
      <c r="D5818" t="s">
        <v>18158</v>
      </c>
      <c r="E5818" t="s">
        <v>23386</v>
      </c>
      <c r="F5818" t="s">
        <v>31362</v>
      </c>
      <c r="G5818" t="s">
        <v>31368</v>
      </c>
      <c r="H5818" t="s">
        <v>15799</v>
      </c>
      <c r="I5818" t="s">
        <v>31385</v>
      </c>
      <c r="J5818" t="s">
        <v>35194</v>
      </c>
      <c r="K5818" t="s">
        <v>40672</v>
      </c>
      <c r="M5818" t="s">
        <v>42801</v>
      </c>
      <c r="N5818" t="s">
        <v>44905</v>
      </c>
      <c r="O5818" t="s">
        <v>44906</v>
      </c>
      <c r="P5818">
        <v>0</v>
      </c>
      <c r="Q5818">
        <v>2</v>
      </c>
      <c r="R5818" t="s">
        <v>44909</v>
      </c>
      <c r="S5818" t="s">
        <v>45060</v>
      </c>
      <c r="T5818" t="s">
        <v>46393</v>
      </c>
      <c r="U5818" t="s">
        <v>51650</v>
      </c>
      <c r="W5818" t="s">
        <v>42801</v>
      </c>
      <c r="X5818" t="s">
        <v>44910</v>
      </c>
    </row>
    <row r="5819" spans="1:24">
      <c r="A5819">
        <f>HYPERLINK("https://www.philgeps.gov.ph/GEPSNONPILOT/Tender/SplashBidNoticeAbstractUI.aspx?menuIndex=3&amp;refID=7077050&amp;Result=3","7077050")</f>
        <v>0</v>
      </c>
      <c r="B5819" t="s">
        <v>1882</v>
      </c>
      <c r="C5819" t="s">
        <v>9079</v>
      </c>
      <c r="E5819" t="s">
        <v>23387</v>
      </c>
      <c r="F5819" t="s">
        <v>31362</v>
      </c>
      <c r="G5819" t="s">
        <v>31368</v>
      </c>
      <c r="H5819" t="s">
        <v>15799</v>
      </c>
      <c r="I5819" t="s">
        <v>3815</v>
      </c>
      <c r="J5819" t="s">
        <v>35195</v>
      </c>
      <c r="K5819" t="s">
        <v>40662</v>
      </c>
      <c r="M5819" t="s">
        <v>42975</v>
      </c>
      <c r="N5819" t="s">
        <v>44905</v>
      </c>
      <c r="O5819" t="s">
        <v>44906</v>
      </c>
      <c r="P5819">
        <v>0</v>
      </c>
      <c r="Q5819">
        <v>1</v>
      </c>
      <c r="R5819" t="s">
        <v>44909</v>
      </c>
      <c r="S5819" t="s">
        <v>45060</v>
      </c>
      <c r="T5819" t="s">
        <v>46432</v>
      </c>
      <c r="U5819" t="s">
        <v>51651</v>
      </c>
      <c r="W5819" t="s">
        <v>42975</v>
      </c>
      <c r="X5819" t="s">
        <v>44910</v>
      </c>
    </row>
    <row r="5820" spans="1:24">
      <c r="A5820">
        <f>HYPERLINK("https://www.philgeps.gov.ph/GEPSNONPILOT/Tender/SplashBidNoticeAbstractUI.aspx?menuIndex=3&amp;refID=7077014&amp;Result=3","7077014")</f>
        <v>0</v>
      </c>
      <c r="B5820" t="s">
        <v>1883</v>
      </c>
      <c r="C5820" t="s">
        <v>9080</v>
      </c>
      <c r="D5820" t="s">
        <v>18108</v>
      </c>
      <c r="E5820" t="s">
        <v>23388</v>
      </c>
      <c r="F5820" t="s">
        <v>31362</v>
      </c>
      <c r="G5820" t="s">
        <v>31369</v>
      </c>
      <c r="H5820" t="s">
        <v>31378</v>
      </c>
      <c r="I5820" t="s">
        <v>31386</v>
      </c>
      <c r="J5820" t="s">
        <v>35196</v>
      </c>
      <c r="K5820" t="s">
        <v>40682</v>
      </c>
      <c r="M5820" t="s">
        <v>42976</v>
      </c>
      <c r="N5820" t="s">
        <v>44905</v>
      </c>
      <c r="O5820" t="s">
        <v>44906</v>
      </c>
      <c r="P5820">
        <v>0</v>
      </c>
      <c r="Q5820">
        <v>2</v>
      </c>
      <c r="R5820" t="s">
        <v>44909</v>
      </c>
      <c r="S5820" t="s">
        <v>45060</v>
      </c>
      <c r="T5820" t="s">
        <v>46449</v>
      </c>
      <c r="U5820" t="s">
        <v>51652</v>
      </c>
      <c r="W5820" t="s">
        <v>42976</v>
      </c>
      <c r="X5820" t="s">
        <v>44910</v>
      </c>
    </row>
    <row r="5821" spans="1:24">
      <c r="A5821">
        <f>HYPERLINK("https://www.philgeps.gov.ph/GEPSNONPILOT/Tender/SplashBidNoticeAbstractUI.aspx?menuIndex=3&amp;refID=7077049&amp;Result=3","7077049")</f>
        <v>0</v>
      </c>
      <c r="B5821" t="s">
        <v>1556</v>
      </c>
      <c r="C5821" t="s">
        <v>9081</v>
      </c>
      <c r="E5821" t="s">
        <v>23389</v>
      </c>
      <c r="F5821" t="s">
        <v>31362</v>
      </c>
      <c r="G5821" t="s">
        <v>31368</v>
      </c>
      <c r="H5821" t="s">
        <v>15799</v>
      </c>
      <c r="I5821" t="s">
        <v>31398</v>
      </c>
      <c r="J5821" t="s">
        <v>35197</v>
      </c>
      <c r="K5821" t="s">
        <v>40666</v>
      </c>
      <c r="M5821" t="s">
        <v>42606</v>
      </c>
      <c r="N5821" t="s">
        <v>44905</v>
      </c>
      <c r="O5821" t="s">
        <v>44906</v>
      </c>
      <c r="P5821">
        <v>0</v>
      </c>
      <c r="Q5821">
        <v>2</v>
      </c>
      <c r="R5821" t="s">
        <v>44909</v>
      </c>
      <c r="S5821" t="s">
        <v>45060</v>
      </c>
      <c r="T5821" t="s">
        <v>46414</v>
      </c>
      <c r="U5821" t="s">
        <v>51653</v>
      </c>
      <c r="W5821" t="s">
        <v>42606</v>
      </c>
      <c r="X5821" t="s">
        <v>44910</v>
      </c>
    </row>
    <row r="5822" spans="1:24">
      <c r="A5822">
        <f>HYPERLINK("https://www.philgeps.gov.ph/GEPSNONPILOT/Tender/SplashBidNoticeAbstractUI.aspx?menuIndex=3&amp;refID=7077057&amp;Result=3","7077057")</f>
        <v>0</v>
      </c>
      <c r="B5822" t="s">
        <v>1115</v>
      </c>
      <c r="C5822" t="s">
        <v>9082</v>
      </c>
      <c r="D5822" t="s">
        <v>18104</v>
      </c>
      <c r="E5822" t="s">
        <v>23390</v>
      </c>
      <c r="F5822" t="s">
        <v>31362</v>
      </c>
      <c r="G5822" t="s">
        <v>31369</v>
      </c>
      <c r="H5822" t="s">
        <v>31378</v>
      </c>
      <c r="I5822" t="s">
        <v>31386</v>
      </c>
      <c r="J5822" t="s">
        <v>32390</v>
      </c>
      <c r="K5822" t="s">
        <v>40803</v>
      </c>
      <c r="M5822" t="s">
        <v>42977</v>
      </c>
      <c r="N5822" t="s">
        <v>44905</v>
      </c>
      <c r="O5822" t="s">
        <v>44906</v>
      </c>
      <c r="P5822">
        <v>0</v>
      </c>
      <c r="Q5822">
        <v>1</v>
      </c>
      <c r="R5822" t="s">
        <v>44909</v>
      </c>
      <c r="S5822" t="s">
        <v>45060</v>
      </c>
      <c r="T5822" t="s">
        <v>46433</v>
      </c>
      <c r="U5822" t="s">
        <v>51654</v>
      </c>
      <c r="W5822" t="s">
        <v>42977</v>
      </c>
      <c r="X5822" t="s">
        <v>44910</v>
      </c>
    </row>
    <row r="5823" spans="1:24">
      <c r="A5823">
        <f>HYPERLINK("https://www.philgeps.gov.ph/GEPSNONPILOT/Tender/SplashBidNoticeAbstractUI.aspx?menuIndex=3&amp;refID=7077051&amp;Result=3","7077051")</f>
        <v>0</v>
      </c>
      <c r="B5823" t="s">
        <v>1877</v>
      </c>
      <c r="C5823" t="s">
        <v>9083</v>
      </c>
      <c r="D5823" t="s">
        <v>18108</v>
      </c>
      <c r="E5823" t="s">
        <v>23391</v>
      </c>
      <c r="F5823" t="s">
        <v>31362</v>
      </c>
      <c r="G5823" t="s">
        <v>31368</v>
      </c>
      <c r="H5823" t="s">
        <v>15799</v>
      </c>
      <c r="I5823" t="s">
        <v>31419</v>
      </c>
      <c r="J5823" t="s">
        <v>31543</v>
      </c>
      <c r="K5823" t="s">
        <v>40666</v>
      </c>
      <c r="M5823" t="s">
        <v>42968</v>
      </c>
      <c r="N5823" t="s">
        <v>44905</v>
      </c>
      <c r="O5823" t="s">
        <v>44906</v>
      </c>
      <c r="P5823">
        <v>0</v>
      </c>
      <c r="Q5823">
        <v>7</v>
      </c>
      <c r="R5823" t="s">
        <v>44909</v>
      </c>
      <c r="S5823" t="s">
        <v>45060</v>
      </c>
      <c r="T5823" t="s">
        <v>46434</v>
      </c>
      <c r="U5823" t="s">
        <v>51655</v>
      </c>
      <c r="V5823" t="s">
        <v>59606</v>
      </c>
      <c r="W5823" t="s">
        <v>42968</v>
      </c>
      <c r="X5823" t="s">
        <v>44910</v>
      </c>
    </row>
    <row r="5824" spans="1:24">
      <c r="A5824">
        <f>HYPERLINK("https://www.philgeps.gov.ph/GEPSNONPILOT/Tender/SplashBidNoticeAbstractUI.aspx?menuIndex=3&amp;refID=7077044&amp;Result=3","7077044")</f>
        <v>0</v>
      </c>
      <c r="B5824" t="s">
        <v>117</v>
      </c>
      <c r="C5824" t="s">
        <v>9084</v>
      </c>
      <c r="D5824" t="s">
        <v>18104</v>
      </c>
      <c r="E5824" t="s">
        <v>23392</v>
      </c>
      <c r="F5824" t="s">
        <v>31362</v>
      </c>
      <c r="G5824" t="s">
        <v>31370</v>
      </c>
      <c r="H5824" t="s">
        <v>15799</v>
      </c>
      <c r="I5824" t="s">
        <v>31430</v>
      </c>
      <c r="J5824" t="s">
        <v>32189</v>
      </c>
      <c r="K5824" t="s">
        <v>40662</v>
      </c>
      <c r="M5824" t="s">
        <v>41054</v>
      </c>
      <c r="N5824" t="s">
        <v>44905</v>
      </c>
      <c r="O5824" t="s">
        <v>44906</v>
      </c>
      <c r="P5824">
        <v>0</v>
      </c>
      <c r="Q5824">
        <v>3</v>
      </c>
      <c r="R5824" t="s">
        <v>44909</v>
      </c>
      <c r="S5824" t="s">
        <v>45060</v>
      </c>
      <c r="T5824" t="s">
        <v>46467</v>
      </c>
      <c r="U5824" t="s">
        <v>51656</v>
      </c>
      <c r="W5824" t="s">
        <v>41054</v>
      </c>
      <c r="X5824" t="s">
        <v>44910</v>
      </c>
    </row>
    <row r="5825" spans="1:24">
      <c r="A5825">
        <f>HYPERLINK("https://www.philgeps.gov.ph/GEPSNONPILOT/Tender/SplashBidNoticeAbstractUI.aspx?menuIndex=3&amp;refID=7077043&amp;Result=3","7077043")</f>
        <v>0</v>
      </c>
      <c r="B5825" t="s">
        <v>1878</v>
      </c>
      <c r="C5825" t="s">
        <v>9063</v>
      </c>
      <c r="D5825" t="s">
        <v>18111</v>
      </c>
      <c r="E5825" t="s">
        <v>23372</v>
      </c>
      <c r="F5825" t="s">
        <v>31362</v>
      </c>
      <c r="G5825" t="s">
        <v>31371</v>
      </c>
      <c r="H5825" t="s">
        <v>15799</v>
      </c>
      <c r="I5825" t="s">
        <v>31423</v>
      </c>
      <c r="J5825" t="s">
        <v>33807</v>
      </c>
      <c r="K5825" t="s">
        <v>40661</v>
      </c>
      <c r="M5825" t="s">
        <v>42969</v>
      </c>
      <c r="N5825" t="s">
        <v>44905</v>
      </c>
      <c r="O5825" t="s">
        <v>44906</v>
      </c>
      <c r="P5825">
        <v>0</v>
      </c>
      <c r="Q5825">
        <v>3</v>
      </c>
      <c r="R5825" t="s">
        <v>44909</v>
      </c>
      <c r="S5825" t="s">
        <v>45060</v>
      </c>
      <c r="T5825" t="s">
        <v>46446</v>
      </c>
      <c r="U5825" t="s">
        <v>51657</v>
      </c>
      <c r="W5825" t="s">
        <v>42969</v>
      </c>
      <c r="X5825" t="s">
        <v>44910</v>
      </c>
    </row>
    <row r="5826" spans="1:24">
      <c r="A5826">
        <f>HYPERLINK("https://www.philgeps.gov.ph/GEPSNONPILOT/Tender/SplashBidNoticeAbstractUI.aspx?menuIndex=3&amp;refID=7077060&amp;Result=3","7077060")</f>
        <v>0</v>
      </c>
      <c r="B5826" t="s">
        <v>1884</v>
      </c>
      <c r="C5826" t="s">
        <v>9085</v>
      </c>
      <c r="D5826" t="s">
        <v>18117</v>
      </c>
      <c r="E5826" t="s">
        <v>23393</v>
      </c>
      <c r="F5826" t="s">
        <v>31362</v>
      </c>
      <c r="G5826" t="s">
        <v>31369</v>
      </c>
      <c r="H5826" t="s">
        <v>15799</v>
      </c>
      <c r="I5826" t="s">
        <v>3815</v>
      </c>
      <c r="J5826" t="s">
        <v>35198</v>
      </c>
      <c r="K5826" t="s">
        <v>40670</v>
      </c>
      <c r="M5826" t="s">
        <v>42978</v>
      </c>
      <c r="N5826" t="s">
        <v>44905</v>
      </c>
      <c r="O5826" t="s">
        <v>44906</v>
      </c>
      <c r="P5826">
        <v>0</v>
      </c>
      <c r="Q5826">
        <v>0</v>
      </c>
      <c r="R5826" t="s">
        <v>44909</v>
      </c>
      <c r="S5826" t="s">
        <v>45060</v>
      </c>
      <c r="T5826" t="s">
        <v>46712</v>
      </c>
      <c r="U5826" t="s">
        <v>51658</v>
      </c>
      <c r="W5826" t="s">
        <v>42978</v>
      </c>
      <c r="X5826" t="s">
        <v>44910</v>
      </c>
    </row>
    <row r="5827" spans="1:24">
      <c r="A5827">
        <f>HYPERLINK("https://www.philgeps.gov.ph/GEPSNONPILOT/Tender/SplashBidNoticeAbstractUI.aspx?menuIndex=3&amp;refID=7077042&amp;Result=3","7077042")</f>
        <v>0</v>
      </c>
      <c r="B5827" t="s">
        <v>1091</v>
      </c>
      <c r="C5827" t="s">
        <v>9086</v>
      </c>
      <c r="D5827" t="s">
        <v>18177</v>
      </c>
      <c r="E5827" t="s">
        <v>20213</v>
      </c>
      <c r="F5827" t="s">
        <v>31362</v>
      </c>
      <c r="G5827" t="s">
        <v>31369</v>
      </c>
      <c r="H5827" t="s">
        <v>15799</v>
      </c>
      <c r="I5827" t="s">
        <v>31387</v>
      </c>
      <c r="J5827" t="s">
        <v>34089</v>
      </c>
      <c r="K5827" t="s">
        <v>40666</v>
      </c>
      <c r="M5827" t="s">
        <v>42096</v>
      </c>
      <c r="N5827" t="s">
        <v>44905</v>
      </c>
      <c r="O5827" t="s">
        <v>44906</v>
      </c>
      <c r="P5827">
        <v>0</v>
      </c>
      <c r="Q5827">
        <v>0</v>
      </c>
      <c r="R5827" t="s">
        <v>44909</v>
      </c>
      <c r="S5827" t="s">
        <v>45060</v>
      </c>
      <c r="T5827" t="s">
        <v>46462</v>
      </c>
      <c r="U5827" t="s">
        <v>51659</v>
      </c>
      <c r="W5827" t="s">
        <v>42096</v>
      </c>
      <c r="X5827" t="s">
        <v>44910</v>
      </c>
    </row>
    <row r="5828" spans="1:24">
      <c r="A5828">
        <f>HYPERLINK("https://www.philgeps.gov.ph/GEPSNONPILOT/Tender/SplashBidNoticeAbstractUI.aspx?menuIndex=3&amp;refID=7077046&amp;Result=3","7077046")</f>
        <v>0</v>
      </c>
      <c r="B5828" t="s">
        <v>1877</v>
      </c>
      <c r="C5828" t="s">
        <v>9087</v>
      </c>
      <c r="D5828" t="s">
        <v>18108</v>
      </c>
      <c r="E5828" t="s">
        <v>23394</v>
      </c>
      <c r="F5828" t="s">
        <v>31362</v>
      </c>
      <c r="G5828" t="s">
        <v>31368</v>
      </c>
      <c r="H5828" t="s">
        <v>15799</v>
      </c>
      <c r="I5828" t="s">
        <v>7188</v>
      </c>
      <c r="J5828" t="s">
        <v>34314</v>
      </c>
      <c r="K5828" t="s">
        <v>40666</v>
      </c>
      <c r="M5828" t="s">
        <v>42968</v>
      </c>
      <c r="N5828" t="s">
        <v>44905</v>
      </c>
      <c r="O5828" t="s">
        <v>44906</v>
      </c>
      <c r="P5828">
        <v>0</v>
      </c>
      <c r="Q5828">
        <v>16</v>
      </c>
      <c r="R5828" t="s">
        <v>44909</v>
      </c>
      <c r="S5828" t="s">
        <v>45060</v>
      </c>
      <c r="T5828" t="s">
        <v>46434</v>
      </c>
      <c r="U5828" t="s">
        <v>51660</v>
      </c>
      <c r="V5828" t="s">
        <v>59606</v>
      </c>
      <c r="W5828" t="s">
        <v>42968</v>
      </c>
      <c r="X5828" t="s">
        <v>44910</v>
      </c>
    </row>
    <row r="5829" spans="1:24">
      <c r="A5829">
        <f>HYPERLINK("https://www.philgeps.gov.ph/GEPSNONPILOT/Tender/SplashBidNoticeAbstractUI.aspx?menuIndex=3&amp;refID=7077040&amp;Result=3","7077040")</f>
        <v>0</v>
      </c>
      <c r="B5829" t="s">
        <v>1877</v>
      </c>
      <c r="C5829" t="s">
        <v>9088</v>
      </c>
      <c r="D5829" t="s">
        <v>18108</v>
      </c>
      <c r="E5829" t="s">
        <v>23395</v>
      </c>
      <c r="F5829" t="s">
        <v>31362</v>
      </c>
      <c r="G5829" t="s">
        <v>31368</v>
      </c>
      <c r="H5829" t="s">
        <v>15799</v>
      </c>
      <c r="I5829" t="s">
        <v>31384</v>
      </c>
      <c r="J5829" t="s">
        <v>31577</v>
      </c>
      <c r="K5829" t="s">
        <v>40670</v>
      </c>
      <c r="M5829" t="s">
        <v>42968</v>
      </c>
      <c r="N5829" t="s">
        <v>44905</v>
      </c>
      <c r="O5829" t="s">
        <v>44906</v>
      </c>
      <c r="P5829">
        <v>0</v>
      </c>
      <c r="Q5829">
        <v>6</v>
      </c>
      <c r="R5829" t="s">
        <v>44909</v>
      </c>
      <c r="S5829" t="s">
        <v>45060</v>
      </c>
      <c r="T5829" t="s">
        <v>46434</v>
      </c>
      <c r="U5829" t="s">
        <v>51661</v>
      </c>
      <c r="V5829" t="s">
        <v>59606</v>
      </c>
      <c r="W5829" t="s">
        <v>42968</v>
      </c>
      <c r="X5829" t="s">
        <v>44910</v>
      </c>
    </row>
    <row r="5830" spans="1:24">
      <c r="A5830">
        <f>HYPERLINK("https://www.philgeps.gov.ph/GEPSNONPILOT/Tender/SplashBidNoticeAbstractUI.aspx?menuIndex=3&amp;refID=7077036&amp;Result=3","7077036")</f>
        <v>0</v>
      </c>
      <c r="B5830" t="s">
        <v>1885</v>
      </c>
      <c r="C5830" t="s">
        <v>9089</v>
      </c>
      <c r="D5830" t="s">
        <v>18165</v>
      </c>
      <c r="E5830" t="s">
        <v>23396</v>
      </c>
      <c r="F5830" t="s">
        <v>31362</v>
      </c>
      <c r="G5830" t="s">
        <v>31369</v>
      </c>
      <c r="H5830" t="s">
        <v>31378</v>
      </c>
      <c r="I5830" t="s">
        <v>31386</v>
      </c>
      <c r="J5830" t="s">
        <v>33868</v>
      </c>
      <c r="K5830" t="s">
        <v>40686</v>
      </c>
      <c r="M5830" t="s">
        <v>42979</v>
      </c>
      <c r="N5830" t="s">
        <v>44905</v>
      </c>
      <c r="O5830" t="s">
        <v>44906</v>
      </c>
      <c r="P5830">
        <v>0</v>
      </c>
      <c r="Q5830">
        <v>0</v>
      </c>
      <c r="R5830" t="s">
        <v>44909</v>
      </c>
      <c r="S5830" t="s">
        <v>45060</v>
      </c>
      <c r="T5830" t="s">
        <v>46433</v>
      </c>
      <c r="U5830" t="s">
        <v>51662</v>
      </c>
      <c r="W5830" t="s">
        <v>42979</v>
      </c>
      <c r="X5830" t="s">
        <v>44910</v>
      </c>
    </row>
    <row r="5831" spans="1:24">
      <c r="A5831">
        <f>HYPERLINK("https://www.philgeps.gov.ph/GEPSNONPILOT/Tender/SplashBidNoticeAbstractUI.aspx?menuIndex=3&amp;refID=7077045&amp;Result=3","7077045")</f>
        <v>0</v>
      </c>
      <c r="B5831" t="s">
        <v>1115</v>
      </c>
      <c r="C5831" t="s">
        <v>9090</v>
      </c>
      <c r="D5831" t="s">
        <v>18104</v>
      </c>
      <c r="E5831" t="s">
        <v>23397</v>
      </c>
      <c r="F5831" t="s">
        <v>31362</v>
      </c>
      <c r="G5831" t="s">
        <v>31369</v>
      </c>
      <c r="H5831" t="s">
        <v>31378</v>
      </c>
      <c r="I5831" t="s">
        <v>31386</v>
      </c>
      <c r="J5831" t="s">
        <v>31542</v>
      </c>
      <c r="K5831" t="s">
        <v>40804</v>
      </c>
      <c r="M5831" t="s">
        <v>42977</v>
      </c>
      <c r="N5831" t="s">
        <v>44905</v>
      </c>
      <c r="O5831" t="s">
        <v>44906</v>
      </c>
      <c r="P5831">
        <v>0</v>
      </c>
      <c r="Q5831">
        <v>2</v>
      </c>
      <c r="R5831" t="s">
        <v>44909</v>
      </c>
      <c r="S5831" t="s">
        <v>45060</v>
      </c>
      <c r="T5831" t="s">
        <v>46433</v>
      </c>
      <c r="U5831" t="s">
        <v>51663</v>
      </c>
      <c r="W5831" t="s">
        <v>42977</v>
      </c>
      <c r="X5831" t="s">
        <v>44910</v>
      </c>
    </row>
    <row r="5832" spans="1:24">
      <c r="A5832">
        <f>HYPERLINK("https://www.philgeps.gov.ph/GEPSNONPILOT/Tender/SplashBidNoticeAbstractUI.aspx?menuIndex=3&amp;refID=7077035&amp;Result=3","7077035")</f>
        <v>0</v>
      </c>
      <c r="B5832" t="s">
        <v>1826</v>
      </c>
      <c r="C5832" t="s">
        <v>9091</v>
      </c>
      <c r="D5832" t="s">
        <v>18100</v>
      </c>
      <c r="E5832" t="s">
        <v>23398</v>
      </c>
      <c r="F5832" t="s">
        <v>31362</v>
      </c>
      <c r="G5832" t="s">
        <v>31368</v>
      </c>
      <c r="H5832" t="s">
        <v>15799</v>
      </c>
      <c r="I5832" t="s">
        <v>31388</v>
      </c>
      <c r="J5832" t="s">
        <v>35199</v>
      </c>
      <c r="K5832" t="s">
        <v>40697</v>
      </c>
      <c r="M5832" t="s">
        <v>42910</v>
      </c>
      <c r="N5832" t="s">
        <v>44905</v>
      </c>
      <c r="O5832" t="s">
        <v>44906</v>
      </c>
      <c r="P5832">
        <v>0</v>
      </c>
      <c r="Q5832">
        <v>1</v>
      </c>
      <c r="R5832" t="s">
        <v>44909</v>
      </c>
      <c r="S5832" t="s">
        <v>45060</v>
      </c>
      <c r="T5832" t="s">
        <v>46454</v>
      </c>
      <c r="U5832" t="s">
        <v>51664</v>
      </c>
      <c r="W5832" t="s">
        <v>42910</v>
      </c>
      <c r="X5832" t="s">
        <v>44910</v>
      </c>
    </row>
    <row r="5833" spans="1:24">
      <c r="A5833">
        <f>HYPERLINK("https://www.philgeps.gov.ph/GEPSNONPILOT/Tender/SplashBidNoticeAbstractUI.aspx?menuIndex=3&amp;refID=7077047&amp;Result=3","7077047")</f>
        <v>0</v>
      </c>
      <c r="B5833" t="s">
        <v>1886</v>
      </c>
      <c r="C5833" t="s">
        <v>9092</v>
      </c>
      <c r="D5833" t="s">
        <v>18174</v>
      </c>
      <c r="E5833" t="s">
        <v>23399</v>
      </c>
      <c r="F5833" t="s">
        <v>31362</v>
      </c>
      <c r="G5833" t="s">
        <v>31368</v>
      </c>
      <c r="H5833" t="s">
        <v>15799</v>
      </c>
      <c r="I5833" t="s">
        <v>31422</v>
      </c>
      <c r="J5833" t="s">
        <v>33890</v>
      </c>
      <c r="K5833" t="s">
        <v>40662</v>
      </c>
      <c r="M5833" t="s">
        <v>42980</v>
      </c>
      <c r="N5833" t="s">
        <v>44905</v>
      </c>
      <c r="O5833" t="s">
        <v>44906</v>
      </c>
      <c r="P5833">
        <v>0</v>
      </c>
      <c r="Q5833">
        <v>0</v>
      </c>
      <c r="R5833" t="s">
        <v>44909</v>
      </c>
      <c r="S5833" t="s">
        <v>45060</v>
      </c>
      <c r="T5833" t="s">
        <v>46428</v>
      </c>
      <c r="U5833" t="s">
        <v>51665</v>
      </c>
      <c r="W5833" t="s">
        <v>42980</v>
      </c>
      <c r="X5833" t="s">
        <v>44910</v>
      </c>
    </row>
    <row r="5834" spans="1:24">
      <c r="A5834">
        <f>HYPERLINK("https://www.philgeps.gov.ph/GEPSNONPILOT/Tender/SplashBidNoticeAbstractUI.aspx?menuIndex=3&amp;refID=7077010&amp;Result=3","7077010")</f>
        <v>0</v>
      </c>
      <c r="B5834" t="s">
        <v>1887</v>
      </c>
      <c r="C5834" t="s">
        <v>9093</v>
      </c>
      <c r="D5834" t="s">
        <v>18140</v>
      </c>
      <c r="E5834" t="s">
        <v>23400</v>
      </c>
      <c r="F5834" t="s">
        <v>31362</v>
      </c>
      <c r="G5834" t="s">
        <v>31368</v>
      </c>
      <c r="H5834" t="s">
        <v>15799</v>
      </c>
      <c r="I5834" t="s">
        <v>3815</v>
      </c>
      <c r="J5834" t="s">
        <v>35200</v>
      </c>
      <c r="K5834" t="s">
        <v>40680</v>
      </c>
      <c r="M5834" t="s">
        <v>42981</v>
      </c>
      <c r="N5834" t="s">
        <v>44905</v>
      </c>
      <c r="O5834" t="s">
        <v>44906</v>
      </c>
      <c r="P5834">
        <v>0</v>
      </c>
      <c r="Q5834">
        <v>1</v>
      </c>
      <c r="R5834" t="s">
        <v>44909</v>
      </c>
      <c r="S5834" t="s">
        <v>45060</v>
      </c>
      <c r="T5834" t="s">
        <v>46443</v>
      </c>
      <c r="U5834" t="s">
        <v>51666</v>
      </c>
      <c r="W5834" t="s">
        <v>42981</v>
      </c>
      <c r="X5834" t="s">
        <v>44910</v>
      </c>
    </row>
    <row r="5835" spans="1:24">
      <c r="A5835">
        <f>HYPERLINK("https://www.philgeps.gov.ph/GEPSNONPILOT/Tender/SplashBidNoticeAbstractUI.aspx?menuIndex=3&amp;refID=7077038&amp;Result=3","7077038")</f>
        <v>0</v>
      </c>
      <c r="B5835" t="s">
        <v>658</v>
      </c>
      <c r="C5835" t="s">
        <v>9094</v>
      </c>
      <c r="E5835" t="s">
        <v>23401</v>
      </c>
      <c r="F5835" t="s">
        <v>31362</v>
      </c>
      <c r="G5835" t="s">
        <v>31370</v>
      </c>
      <c r="H5835" t="s">
        <v>15799</v>
      </c>
      <c r="I5835" t="s">
        <v>31385</v>
      </c>
      <c r="J5835" t="s">
        <v>35201</v>
      </c>
      <c r="K5835" t="s">
        <v>40662</v>
      </c>
      <c r="M5835" t="s">
        <v>42982</v>
      </c>
      <c r="N5835" t="s">
        <v>44905</v>
      </c>
      <c r="O5835" t="s">
        <v>44906</v>
      </c>
      <c r="P5835">
        <v>0</v>
      </c>
      <c r="Q5835">
        <v>1</v>
      </c>
      <c r="R5835" t="s">
        <v>44909</v>
      </c>
      <c r="S5835" t="s">
        <v>45060</v>
      </c>
      <c r="T5835" t="s">
        <v>46425</v>
      </c>
      <c r="U5835" t="s">
        <v>51667</v>
      </c>
      <c r="W5835" t="s">
        <v>42982</v>
      </c>
      <c r="X5835" t="s">
        <v>44910</v>
      </c>
    </row>
    <row r="5836" spans="1:24">
      <c r="A5836">
        <f>HYPERLINK("https://www.philgeps.gov.ph/GEPSNONPILOT/Tender/SplashBidNoticeAbstractUI.aspx?menuIndex=3&amp;refID=7077009&amp;Result=3","7077009")</f>
        <v>0</v>
      </c>
      <c r="B5836" t="s">
        <v>1878</v>
      </c>
      <c r="C5836" t="s">
        <v>9063</v>
      </c>
      <c r="D5836" t="s">
        <v>18111</v>
      </c>
      <c r="E5836" t="s">
        <v>21892</v>
      </c>
      <c r="F5836" t="s">
        <v>31362</v>
      </c>
      <c r="G5836" t="s">
        <v>31371</v>
      </c>
      <c r="H5836" t="s">
        <v>15799</v>
      </c>
      <c r="I5836" t="s">
        <v>3815</v>
      </c>
      <c r="J5836" t="s">
        <v>35202</v>
      </c>
      <c r="K5836" t="s">
        <v>40661</v>
      </c>
      <c r="M5836" t="s">
        <v>42969</v>
      </c>
      <c r="N5836" t="s">
        <v>44905</v>
      </c>
      <c r="O5836" t="s">
        <v>44906</v>
      </c>
      <c r="P5836">
        <v>0</v>
      </c>
      <c r="Q5836">
        <v>3</v>
      </c>
      <c r="R5836" t="s">
        <v>44909</v>
      </c>
      <c r="S5836" t="s">
        <v>45060</v>
      </c>
      <c r="T5836" t="s">
        <v>46446</v>
      </c>
      <c r="U5836" t="s">
        <v>51635</v>
      </c>
      <c r="W5836" t="s">
        <v>42969</v>
      </c>
      <c r="X5836" t="s">
        <v>44910</v>
      </c>
    </row>
    <row r="5837" spans="1:24">
      <c r="A5837">
        <f>HYPERLINK("https://www.philgeps.gov.ph/GEPSNONPILOT/Tender/SplashBidNoticeAbstractUI.aspx?menuIndex=3&amp;refID=7077066&amp;Result=3","7077066")</f>
        <v>0</v>
      </c>
      <c r="B5837" t="s">
        <v>1888</v>
      </c>
      <c r="C5837" t="s">
        <v>9095</v>
      </c>
      <c r="D5837" t="s">
        <v>18134</v>
      </c>
      <c r="E5837" t="s">
        <v>23402</v>
      </c>
      <c r="F5837" t="s">
        <v>31365</v>
      </c>
      <c r="G5837" t="s">
        <v>31368</v>
      </c>
      <c r="H5837" t="s">
        <v>15799</v>
      </c>
      <c r="I5837" t="s">
        <v>3815</v>
      </c>
      <c r="J5837" t="s">
        <v>31937</v>
      </c>
      <c r="K5837" t="s">
        <v>40661</v>
      </c>
      <c r="M5837" t="s">
        <v>42983</v>
      </c>
      <c r="N5837" t="s">
        <v>44905</v>
      </c>
      <c r="O5837" t="s">
        <v>44906</v>
      </c>
      <c r="P5837">
        <v>0</v>
      </c>
      <c r="Q5837">
        <v>1</v>
      </c>
      <c r="R5837" t="s">
        <v>44909</v>
      </c>
      <c r="S5837" t="s">
        <v>45060</v>
      </c>
      <c r="T5837" t="s">
        <v>46403</v>
      </c>
      <c r="U5837" t="s">
        <v>51668</v>
      </c>
      <c r="W5837" t="s">
        <v>42983</v>
      </c>
      <c r="X5837" t="s">
        <v>44910</v>
      </c>
    </row>
    <row r="5838" spans="1:24">
      <c r="A5838">
        <f>HYPERLINK("https://www.philgeps.gov.ph/GEPSNONPILOT/Tender/SplashBidNoticeAbstractUI.aspx?menuIndex=3&amp;refID=7077011&amp;Result=3","7077011")</f>
        <v>0</v>
      </c>
      <c r="B5838" t="s">
        <v>1889</v>
      </c>
      <c r="C5838" t="s">
        <v>9096</v>
      </c>
      <c r="D5838" t="s">
        <v>18124</v>
      </c>
      <c r="E5838" t="s">
        <v>23403</v>
      </c>
      <c r="F5838" t="s">
        <v>31362</v>
      </c>
      <c r="G5838" t="s">
        <v>31371</v>
      </c>
      <c r="H5838" t="s">
        <v>15799</v>
      </c>
      <c r="I5838" t="s">
        <v>6373</v>
      </c>
      <c r="J5838" t="s">
        <v>35203</v>
      </c>
      <c r="K5838" t="s">
        <v>40665</v>
      </c>
      <c r="M5838" t="s">
        <v>42984</v>
      </c>
      <c r="N5838" t="s">
        <v>44905</v>
      </c>
      <c r="O5838" t="s">
        <v>44906</v>
      </c>
      <c r="P5838">
        <v>0</v>
      </c>
      <c r="Q5838">
        <v>3</v>
      </c>
      <c r="R5838" t="s">
        <v>44909</v>
      </c>
      <c r="S5838" t="s">
        <v>45060</v>
      </c>
      <c r="T5838" t="s">
        <v>46443</v>
      </c>
      <c r="U5838" t="s">
        <v>51669</v>
      </c>
      <c r="W5838" t="s">
        <v>42984</v>
      </c>
      <c r="X5838" t="s">
        <v>44910</v>
      </c>
    </row>
    <row r="5839" spans="1:24">
      <c r="A5839">
        <f>HYPERLINK("https://www.philgeps.gov.ph/GEPSNONPILOT/Tender/SplashBidNoticeAbstractUI.aspx?menuIndex=3&amp;refID=7077085&amp;Result=3","7077085")</f>
        <v>0</v>
      </c>
      <c r="B5839" t="s">
        <v>1890</v>
      </c>
      <c r="C5839" t="s">
        <v>9097</v>
      </c>
      <c r="D5839" t="s">
        <v>18114</v>
      </c>
      <c r="E5839" t="s">
        <v>23404</v>
      </c>
      <c r="F5839" t="s">
        <v>31362</v>
      </c>
      <c r="G5839" t="s">
        <v>31368</v>
      </c>
      <c r="H5839" t="s">
        <v>31378</v>
      </c>
      <c r="I5839" t="s">
        <v>31386</v>
      </c>
      <c r="J5839" t="s">
        <v>32263</v>
      </c>
      <c r="K5839" t="s">
        <v>40675</v>
      </c>
      <c r="M5839" t="s">
        <v>42985</v>
      </c>
      <c r="N5839" t="s">
        <v>44905</v>
      </c>
      <c r="O5839" t="s">
        <v>44906</v>
      </c>
      <c r="P5839">
        <v>0</v>
      </c>
      <c r="Q5839">
        <v>1</v>
      </c>
      <c r="R5839" t="s">
        <v>44909</v>
      </c>
      <c r="S5839" t="s">
        <v>45060</v>
      </c>
      <c r="T5839" t="s">
        <v>46589</v>
      </c>
      <c r="U5839" t="s">
        <v>51670</v>
      </c>
      <c r="W5839" t="s">
        <v>42985</v>
      </c>
      <c r="X5839" t="s">
        <v>44910</v>
      </c>
    </row>
    <row r="5840" spans="1:24">
      <c r="A5840">
        <f>HYPERLINK("https://www.philgeps.gov.ph/GEPSNONPILOT/Tender/SplashBidNoticeAbstractUI.aspx?menuIndex=3&amp;refID=7077083&amp;Result=3","7077083")</f>
        <v>0</v>
      </c>
      <c r="B5840" t="s">
        <v>1158</v>
      </c>
      <c r="C5840" t="s">
        <v>9098</v>
      </c>
      <c r="D5840" t="s">
        <v>18120</v>
      </c>
      <c r="E5840" t="s">
        <v>23405</v>
      </c>
      <c r="F5840" t="s">
        <v>31362</v>
      </c>
      <c r="G5840" t="s">
        <v>31368</v>
      </c>
      <c r="H5840" t="s">
        <v>15799</v>
      </c>
      <c r="I5840" t="s">
        <v>4057</v>
      </c>
      <c r="J5840" t="s">
        <v>35204</v>
      </c>
      <c r="K5840" t="s">
        <v>40662</v>
      </c>
      <c r="M5840" t="s">
        <v>42167</v>
      </c>
      <c r="N5840" t="s">
        <v>44905</v>
      </c>
      <c r="O5840" t="s">
        <v>44906</v>
      </c>
      <c r="P5840">
        <v>0</v>
      </c>
      <c r="Q5840">
        <v>0</v>
      </c>
      <c r="R5840" t="s">
        <v>44909</v>
      </c>
      <c r="S5840" t="s">
        <v>45060</v>
      </c>
      <c r="T5840" t="s">
        <v>46482</v>
      </c>
      <c r="U5840" t="s">
        <v>51671</v>
      </c>
      <c r="W5840" t="s">
        <v>42167</v>
      </c>
      <c r="X5840" t="s">
        <v>44910</v>
      </c>
    </row>
    <row r="5841" spans="1:24">
      <c r="A5841">
        <f>HYPERLINK("https://www.philgeps.gov.ph/GEPSNONPILOT/Tender/SplashBidNoticeAbstractUI.aspx?menuIndex=3&amp;refID=7077082&amp;Result=3","7077082")</f>
        <v>0</v>
      </c>
      <c r="B5841" t="s">
        <v>1115</v>
      </c>
      <c r="C5841" t="s">
        <v>9099</v>
      </c>
      <c r="D5841" t="s">
        <v>18104</v>
      </c>
      <c r="E5841" t="s">
        <v>23406</v>
      </c>
      <c r="F5841" t="s">
        <v>31362</v>
      </c>
      <c r="G5841" t="s">
        <v>31369</v>
      </c>
      <c r="H5841" t="s">
        <v>31378</v>
      </c>
      <c r="I5841" t="s">
        <v>31386</v>
      </c>
      <c r="J5841" t="s">
        <v>31709</v>
      </c>
      <c r="K5841" t="s">
        <v>40805</v>
      </c>
      <c r="M5841" t="s">
        <v>42977</v>
      </c>
      <c r="N5841" t="s">
        <v>44905</v>
      </c>
      <c r="O5841" t="s">
        <v>44906</v>
      </c>
      <c r="P5841">
        <v>0</v>
      </c>
      <c r="Q5841">
        <v>1</v>
      </c>
      <c r="R5841" t="s">
        <v>44909</v>
      </c>
      <c r="S5841" t="s">
        <v>45060</v>
      </c>
      <c r="T5841" t="s">
        <v>46433</v>
      </c>
      <c r="U5841" t="s">
        <v>51672</v>
      </c>
      <c r="W5841" t="s">
        <v>42977</v>
      </c>
      <c r="X5841" t="s">
        <v>44910</v>
      </c>
    </row>
    <row r="5842" spans="1:24">
      <c r="A5842">
        <f>HYPERLINK("https://www.philgeps.gov.ph/GEPSNONPILOT/Tender/SplashBidNoticeAbstractUI.aspx?menuIndex=3&amp;refID=7077080&amp;Result=3","7077080")</f>
        <v>0</v>
      </c>
      <c r="B5842" t="s">
        <v>131</v>
      </c>
      <c r="C5842" t="s">
        <v>9100</v>
      </c>
      <c r="D5842" t="s">
        <v>18125</v>
      </c>
      <c r="E5842" t="s">
        <v>23407</v>
      </c>
      <c r="F5842" t="s">
        <v>31362</v>
      </c>
      <c r="G5842" t="s">
        <v>31368</v>
      </c>
      <c r="H5842" t="s">
        <v>15799</v>
      </c>
      <c r="I5842" t="s">
        <v>7719</v>
      </c>
      <c r="J5842" t="s">
        <v>32586</v>
      </c>
      <c r="K5842" t="s">
        <v>40670</v>
      </c>
      <c r="L5842" t="s">
        <v>131</v>
      </c>
      <c r="M5842" t="s">
        <v>41069</v>
      </c>
      <c r="N5842" t="s">
        <v>44905</v>
      </c>
      <c r="O5842" t="s">
        <v>44906</v>
      </c>
      <c r="P5842">
        <v>0</v>
      </c>
      <c r="Q5842">
        <v>12</v>
      </c>
      <c r="R5842" t="s">
        <v>44909</v>
      </c>
      <c r="S5842" t="s">
        <v>45060</v>
      </c>
      <c r="T5842" t="s">
        <v>46443</v>
      </c>
      <c r="U5842" t="s">
        <v>51611</v>
      </c>
      <c r="V5842" t="s">
        <v>59079</v>
      </c>
      <c r="W5842" t="s">
        <v>41069</v>
      </c>
      <c r="X5842" t="s">
        <v>44910</v>
      </c>
    </row>
    <row r="5843" spans="1:24">
      <c r="A5843">
        <f>HYPERLINK("https://www.philgeps.gov.ph/GEPSNONPILOT/Tender/SplashBidNoticeAbstractUI.aspx?menuIndex=3&amp;refID=7077077&amp;Result=3","7077077")</f>
        <v>0</v>
      </c>
      <c r="B5843" t="s">
        <v>546</v>
      </c>
      <c r="C5843" t="s">
        <v>9101</v>
      </c>
      <c r="D5843" t="s">
        <v>18133</v>
      </c>
      <c r="E5843" t="s">
        <v>23408</v>
      </c>
      <c r="F5843" t="s">
        <v>31362</v>
      </c>
      <c r="G5843" t="s">
        <v>31368</v>
      </c>
      <c r="H5843" t="s">
        <v>15799</v>
      </c>
      <c r="I5843" t="s">
        <v>7090</v>
      </c>
      <c r="J5843" t="s">
        <v>35205</v>
      </c>
      <c r="K5843" t="s">
        <v>40662</v>
      </c>
      <c r="L5843" t="s">
        <v>546</v>
      </c>
      <c r="M5843" t="s">
        <v>41502</v>
      </c>
      <c r="N5843" t="s">
        <v>44905</v>
      </c>
      <c r="O5843" t="s">
        <v>44906</v>
      </c>
      <c r="P5843">
        <v>0</v>
      </c>
      <c r="Q5843">
        <v>4</v>
      </c>
      <c r="R5843" t="s">
        <v>44909</v>
      </c>
      <c r="S5843" t="s">
        <v>45060</v>
      </c>
      <c r="T5843" t="s">
        <v>46393</v>
      </c>
      <c r="U5843" t="s">
        <v>47974</v>
      </c>
      <c r="W5843" t="s">
        <v>41502</v>
      </c>
      <c r="X5843" t="s">
        <v>44910</v>
      </c>
    </row>
    <row r="5844" spans="1:24">
      <c r="A5844">
        <f>HYPERLINK("https://www.philgeps.gov.ph/GEPSNONPILOT/Tender/SplashBidNoticeAbstractUI.aspx?menuIndex=3&amp;refID=7077076&amp;Result=3","7077076")</f>
        <v>0</v>
      </c>
      <c r="B5844" t="s">
        <v>345</v>
      </c>
      <c r="C5844" t="s">
        <v>9102</v>
      </c>
      <c r="D5844" t="s">
        <v>18149</v>
      </c>
      <c r="E5844" t="s">
        <v>23409</v>
      </c>
      <c r="F5844" t="s">
        <v>31362</v>
      </c>
      <c r="G5844" t="s">
        <v>31368</v>
      </c>
      <c r="H5844" t="s">
        <v>15799</v>
      </c>
      <c r="I5844" t="s">
        <v>31422</v>
      </c>
      <c r="J5844" t="s">
        <v>31564</v>
      </c>
      <c r="K5844" t="s">
        <v>40693</v>
      </c>
      <c r="M5844" t="s">
        <v>41291</v>
      </c>
      <c r="N5844" t="s">
        <v>44905</v>
      </c>
      <c r="O5844" t="s">
        <v>44906</v>
      </c>
      <c r="P5844">
        <v>0</v>
      </c>
      <c r="Q5844">
        <v>1</v>
      </c>
      <c r="R5844" t="s">
        <v>44909</v>
      </c>
      <c r="S5844" t="s">
        <v>45060</v>
      </c>
      <c r="T5844" t="s">
        <v>46580</v>
      </c>
      <c r="U5844" t="s">
        <v>51673</v>
      </c>
      <c r="W5844" t="s">
        <v>41291</v>
      </c>
      <c r="X5844" t="s">
        <v>44910</v>
      </c>
    </row>
    <row r="5845" spans="1:24">
      <c r="A5845">
        <f>HYPERLINK("https://www.philgeps.gov.ph/GEPSNONPILOT/Tender/SplashBidNoticeAbstractUI.aspx?menuIndex=3&amp;refID=7077013&amp;Result=3","7077013")</f>
        <v>0</v>
      </c>
      <c r="B5845" t="s">
        <v>641</v>
      </c>
      <c r="C5845" t="s">
        <v>9103</v>
      </c>
      <c r="D5845" t="s">
        <v>18158</v>
      </c>
      <c r="E5845" t="s">
        <v>23410</v>
      </c>
      <c r="F5845" t="s">
        <v>31362</v>
      </c>
      <c r="G5845" t="s">
        <v>31368</v>
      </c>
      <c r="H5845" t="s">
        <v>15799</v>
      </c>
      <c r="I5845" t="s">
        <v>4283</v>
      </c>
      <c r="J5845" t="s">
        <v>35206</v>
      </c>
      <c r="K5845" t="s">
        <v>40670</v>
      </c>
      <c r="M5845" t="s">
        <v>42801</v>
      </c>
      <c r="N5845" t="s">
        <v>44905</v>
      </c>
      <c r="O5845" t="s">
        <v>44906</v>
      </c>
      <c r="P5845">
        <v>0</v>
      </c>
      <c r="Q5845">
        <v>3</v>
      </c>
      <c r="R5845" t="s">
        <v>44909</v>
      </c>
      <c r="S5845" t="s">
        <v>45060</v>
      </c>
      <c r="T5845" t="s">
        <v>46393</v>
      </c>
      <c r="U5845" t="s">
        <v>51674</v>
      </c>
      <c r="W5845" t="s">
        <v>42801</v>
      </c>
      <c r="X5845" t="s">
        <v>44910</v>
      </c>
    </row>
    <row r="5846" spans="1:24">
      <c r="A5846">
        <f>HYPERLINK("https://www.philgeps.gov.ph/GEPSNONPILOT/Tender/SplashBidNoticeAbstractUI.aspx?menuIndex=3&amp;refID=7077065&amp;Result=3","7077065")</f>
        <v>0</v>
      </c>
      <c r="B5846" t="s">
        <v>1891</v>
      </c>
      <c r="C5846" t="s">
        <v>9104</v>
      </c>
      <c r="D5846" t="s">
        <v>18146</v>
      </c>
      <c r="E5846" t="s">
        <v>23411</v>
      </c>
      <c r="F5846" t="s">
        <v>31362</v>
      </c>
      <c r="G5846" t="s">
        <v>31368</v>
      </c>
      <c r="H5846" t="s">
        <v>15799</v>
      </c>
      <c r="I5846" t="s">
        <v>31396</v>
      </c>
      <c r="J5846" t="s">
        <v>31575</v>
      </c>
      <c r="K5846" t="s">
        <v>40697</v>
      </c>
      <c r="M5846" t="s">
        <v>42986</v>
      </c>
      <c r="N5846" t="s">
        <v>44905</v>
      </c>
      <c r="O5846" t="s">
        <v>44906</v>
      </c>
      <c r="P5846">
        <v>0</v>
      </c>
      <c r="Q5846">
        <v>5</v>
      </c>
      <c r="R5846" t="s">
        <v>44909</v>
      </c>
      <c r="S5846" t="s">
        <v>45060</v>
      </c>
      <c r="T5846" t="s">
        <v>46434</v>
      </c>
      <c r="U5846" t="s">
        <v>51675</v>
      </c>
      <c r="V5846" t="s">
        <v>59607</v>
      </c>
      <c r="W5846" t="s">
        <v>42986</v>
      </c>
      <c r="X5846" t="s">
        <v>44910</v>
      </c>
    </row>
    <row r="5847" spans="1:24">
      <c r="A5847">
        <f>HYPERLINK("https://www.philgeps.gov.ph/GEPSNONPILOT/Tender/SplashBidNoticeAbstractUI.aspx?menuIndex=3&amp;refID=7077074&amp;Result=3","7077074")</f>
        <v>0</v>
      </c>
      <c r="B5847" t="s">
        <v>1892</v>
      </c>
      <c r="C5847" t="s">
        <v>9105</v>
      </c>
      <c r="D5847" t="s">
        <v>18122</v>
      </c>
      <c r="E5847" t="s">
        <v>23412</v>
      </c>
      <c r="F5847" t="s">
        <v>31362</v>
      </c>
      <c r="G5847" t="s">
        <v>31369</v>
      </c>
      <c r="H5847" t="s">
        <v>31377</v>
      </c>
      <c r="I5847" t="s">
        <v>31377</v>
      </c>
      <c r="J5847" t="s">
        <v>31536</v>
      </c>
      <c r="K5847" t="s">
        <v>40666</v>
      </c>
      <c r="M5847" t="s">
        <v>42987</v>
      </c>
      <c r="N5847" t="s">
        <v>44905</v>
      </c>
      <c r="O5847" t="s">
        <v>44906</v>
      </c>
      <c r="P5847">
        <v>0</v>
      </c>
      <c r="Q5847">
        <v>1</v>
      </c>
      <c r="R5847" t="s">
        <v>44909</v>
      </c>
      <c r="S5847" t="s">
        <v>45060</v>
      </c>
      <c r="T5847" t="s">
        <v>46426</v>
      </c>
      <c r="U5847" t="s">
        <v>51676</v>
      </c>
      <c r="W5847" t="s">
        <v>42987</v>
      </c>
      <c r="X5847" t="s">
        <v>44910</v>
      </c>
    </row>
    <row r="5848" spans="1:24">
      <c r="A5848">
        <f>HYPERLINK("https://www.philgeps.gov.ph/GEPSNONPILOT/Tender/SplashBidNoticeAbstractUI.aspx?menuIndex=3&amp;refID=7077089&amp;Result=3","7077089")</f>
        <v>0</v>
      </c>
      <c r="B5848" t="s">
        <v>565</v>
      </c>
      <c r="C5848" t="s">
        <v>9106</v>
      </c>
      <c r="D5848" t="s">
        <v>18124</v>
      </c>
      <c r="E5848" t="s">
        <v>23413</v>
      </c>
      <c r="F5848" t="s">
        <v>31362</v>
      </c>
      <c r="G5848" t="s">
        <v>31369</v>
      </c>
      <c r="H5848" t="s">
        <v>15799</v>
      </c>
      <c r="I5848" t="s">
        <v>31404</v>
      </c>
      <c r="J5848" t="s">
        <v>35207</v>
      </c>
      <c r="K5848" t="s">
        <v>40679</v>
      </c>
      <c r="M5848" t="s">
        <v>41521</v>
      </c>
      <c r="N5848" t="s">
        <v>44905</v>
      </c>
      <c r="O5848" t="s">
        <v>44906</v>
      </c>
      <c r="P5848">
        <v>0</v>
      </c>
      <c r="Q5848">
        <v>0</v>
      </c>
      <c r="R5848" t="s">
        <v>44909</v>
      </c>
      <c r="S5848" t="s">
        <v>45060</v>
      </c>
      <c r="T5848" t="s">
        <v>46435</v>
      </c>
      <c r="U5848" t="s">
        <v>51677</v>
      </c>
      <c r="W5848" t="s">
        <v>41521</v>
      </c>
      <c r="X5848" t="s">
        <v>44910</v>
      </c>
    </row>
    <row r="5849" spans="1:24">
      <c r="A5849">
        <f>HYPERLINK("https://www.philgeps.gov.ph/GEPSNONPILOT/Tender/SplashBidNoticeAbstractUI.aspx?menuIndex=3&amp;refID=7077075&amp;Result=3","7077075")</f>
        <v>0</v>
      </c>
      <c r="B5849" t="s">
        <v>637</v>
      </c>
      <c r="C5849" t="s">
        <v>9107</v>
      </c>
      <c r="D5849" t="s">
        <v>18102</v>
      </c>
      <c r="E5849" t="s">
        <v>23414</v>
      </c>
      <c r="F5849" t="s">
        <v>31362</v>
      </c>
      <c r="G5849" t="s">
        <v>31369</v>
      </c>
      <c r="H5849" t="s">
        <v>15799</v>
      </c>
      <c r="I5849" t="s">
        <v>7090</v>
      </c>
      <c r="J5849" t="s">
        <v>35208</v>
      </c>
      <c r="K5849" t="s">
        <v>40665</v>
      </c>
      <c r="M5849" t="s">
        <v>41597</v>
      </c>
      <c r="N5849" t="s">
        <v>44905</v>
      </c>
      <c r="O5849" t="s">
        <v>44906</v>
      </c>
      <c r="P5849">
        <v>0</v>
      </c>
      <c r="Q5849">
        <v>2</v>
      </c>
      <c r="R5849" t="s">
        <v>44909</v>
      </c>
      <c r="S5849" t="s">
        <v>45060</v>
      </c>
      <c r="T5849" t="s">
        <v>46697</v>
      </c>
      <c r="U5849" t="s">
        <v>51678</v>
      </c>
      <c r="W5849" t="s">
        <v>41597</v>
      </c>
      <c r="X5849" t="s">
        <v>44910</v>
      </c>
    </row>
    <row r="5850" spans="1:24">
      <c r="A5850">
        <f>HYPERLINK("https://www.philgeps.gov.ph/GEPSNONPILOT/Tender/SplashBidNoticeAbstractUI.aspx?menuIndex=3&amp;refID=7077012&amp;Result=3","7077012")</f>
        <v>0</v>
      </c>
      <c r="B5850" t="s">
        <v>953</v>
      </c>
      <c r="C5850" t="s">
        <v>9108</v>
      </c>
      <c r="D5850" t="s">
        <v>18110</v>
      </c>
      <c r="E5850" t="s">
        <v>23415</v>
      </c>
      <c r="F5850" t="s">
        <v>31362</v>
      </c>
      <c r="G5850" t="s">
        <v>31368</v>
      </c>
      <c r="H5850" t="s">
        <v>15799</v>
      </c>
      <c r="I5850" t="s">
        <v>31430</v>
      </c>
      <c r="J5850" t="s">
        <v>35209</v>
      </c>
      <c r="K5850" t="s">
        <v>40666</v>
      </c>
      <c r="M5850" t="s">
        <v>41941</v>
      </c>
      <c r="N5850" t="s">
        <v>44905</v>
      </c>
      <c r="O5850" t="s">
        <v>44906</v>
      </c>
      <c r="P5850">
        <v>0</v>
      </c>
      <c r="Q5850">
        <v>0</v>
      </c>
      <c r="R5850" t="s">
        <v>44909</v>
      </c>
      <c r="S5850" t="s">
        <v>45060</v>
      </c>
      <c r="T5850" t="s">
        <v>46409</v>
      </c>
      <c r="U5850" t="s">
        <v>51607</v>
      </c>
      <c r="W5850" t="s">
        <v>60898</v>
      </c>
      <c r="X5850" t="s">
        <v>44910</v>
      </c>
    </row>
    <row r="5851" spans="1:24">
      <c r="A5851">
        <f>HYPERLINK("https://www.philgeps.gov.ph/GEPSNONPILOT/Tender/SplashBidNoticeAbstractUI.aspx?menuIndex=3&amp;refID=7077086&amp;Result=3","7077086")</f>
        <v>0</v>
      </c>
      <c r="B5851" t="s">
        <v>546</v>
      </c>
      <c r="C5851" t="s">
        <v>9109</v>
      </c>
      <c r="D5851" t="s">
        <v>18133</v>
      </c>
      <c r="E5851" t="s">
        <v>23416</v>
      </c>
      <c r="F5851" t="s">
        <v>31362</v>
      </c>
      <c r="G5851" t="s">
        <v>31368</v>
      </c>
      <c r="H5851" t="s">
        <v>15799</v>
      </c>
      <c r="I5851" t="s">
        <v>6240</v>
      </c>
      <c r="J5851" t="s">
        <v>35210</v>
      </c>
      <c r="K5851" t="s">
        <v>40662</v>
      </c>
      <c r="L5851" t="s">
        <v>546</v>
      </c>
      <c r="M5851" t="s">
        <v>41502</v>
      </c>
      <c r="N5851" t="s">
        <v>44905</v>
      </c>
      <c r="O5851" t="s">
        <v>44906</v>
      </c>
      <c r="P5851">
        <v>0</v>
      </c>
      <c r="Q5851">
        <v>1</v>
      </c>
      <c r="R5851" t="s">
        <v>44909</v>
      </c>
      <c r="S5851" t="s">
        <v>45060</v>
      </c>
      <c r="T5851" t="s">
        <v>46393</v>
      </c>
      <c r="U5851" t="s">
        <v>47974</v>
      </c>
      <c r="W5851" t="s">
        <v>41502</v>
      </c>
      <c r="X5851" t="s">
        <v>44910</v>
      </c>
    </row>
    <row r="5852" spans="1:24">
      <c r="A5852">
        <f>HYPERLINK("https://www.philgeps.gov.ph/GEPSNONPILOT/Tender/SplashBidNoticeAbstractUI.aspx?menuIndex=3&amp;refID=7077073&amp;Result=3","7077073")</f>
        <v>0</v>
      </c>
      <c r="B5852" t="s">
        <v>1879</v>
      </c>
      <c r="C5852" t="s">
        <v>9110</v>
      </c>
      <c r="D5852" t="s">
        <v>18177</v>
      </c>
      <c r="E5852" t="s">
        <v>23417</v>
      </c>
      <c r="F5852" t="s">
        <v>31362</v>
      </c>
      <c r="G5852" t="s">
        <v>31369</v>
      </c>
      <c r="H5852" t="s">
        <v>15799</v>
      </c>
      <c r="I5852" t="s">
        <v>3815</v>
      </c>
      <c r="J5852" t="s">
        <v>35211</v>
      </c>
      <c r="K5852" t="s">
        <v>40662</v>
      </c>
      <c r="M5852" t="s">
        <v>42970</v>
      </c>
      <c r="N5852" t="s">
        <v>44905</v>
      </c>
      <c r="O5852" t="s">
        <v>44906</v>
      </c>
      <c r="P5852">
        <v>0</v>
      </c>
      <c r="Q5852">
        <v>0</v>
      </c>
      <c r="R5852" t="s">
        <v>44909</v>
      </c>
      <c r="S5852" t="s">
        <v>45060</v>
      </c>
      <c r="T5852" t="s">
        <v>46713</v>
      </c>
      <c r="U5852" t="s">
        <v>51679</v>
      </c>
      <c r="W5852" t="s">
        <v>42970</v>
      </c>
      <c r="X5852" t="s">
        <v>44910</v>
      </c>
    </row>
    <row r="5853" spans="1:24">
      <c r="A5853">
        <f>HYPERLINK("https://www.philgeps.gov.ph/GEPSNONPILOT/Tender/SplashBidNoticeAbstractUI.aspx?menuIndex=3&amp;refID=7077071&amp;Result=3","7077071")</f>
        <v>0</v>
      </c>
      <c r="B5853" t="s">
        <v>1115</v>
      </c>
      <c r="C5853" t="s">
        <v>9111</v>
      </c>
      <c r="D5853" t="s">
        <v>18104</v>
      </c>
      <c r="E5853" t="s">
        <v>23418</v>
      </c>
      <c r="F5853" t="s">
        <v>31362</v>
      </c>
      <c r="G5853" t="s">
        <v>31369</v>
      </c>
      <c r="H5853" t="s">
        <v>31378</v>
      </c>
      <c r="I5853" t="s">
        <v>31386</v>
      </c>
      <c r="J5853" t="s">
        <v>35212</v>
      </c>
      <c r="K5853" t="s">
        <v>40806</v>
      </c>
      <c r="M5853" t="s">
        <v>42977</v>
      </c>
      <c r="N5853" t="s">
        <v>44905</v>
      </c>
      <c r="O5853" t="s">
        <v>44906</v>
      </c>
      <c r="P5853">
        <v>0</v>
      </c>
      <c r="Q5853">
        <v>2</v>
      </c>
      <c r="R5853" t="s">
        <v>44909</v>
      </c>
      <c r="S5853" t="s">
        <v>45060</v>
      </c>
      <c r="T5853" t="s">
        <v>46433</v>
      </c>
      <c r="U5853" t="s">
        <v>51680</v>
      </c>
      <c r="W5853" t="s">
        <v>42977</v>
      </c>
      <c r="X5853" t="s">
        <v>44910</v>
      </c>
    </row>
    <row r="5854" spans="1:24">
      <c r="A5854">
        <f>HYPERLINK("https://www.philgeps.gov.ph/GEPSNONPILOT/Tender/SplashBidNoticeAbstractUI.aspx?menuIndex=3&amp;refID=7077091&amp;Result=3","7077091")</f>
        <v>0</v>
      </c>
      <c r="B5854" t="s">
        <v>828</v>
      </c>
      <c r="C5854" t="s">
        <v>9112</v>
      </c>
      <c r="D5854" t="s">
        <v>18148</v>
      </c>
      <c r="E5854" t="s">
        <v>23419</v>
      </c>
      <c r="F5854" t="s">
        <v>31362</v>
      </c>
      <c r="G5854" t="s">
        <v>31369</v>
      </c>
      <c r="H5854" t="s">
        <v>31378</v>
      </c>
      <c r="I5854" t="s">
        <v>31386</v>
      </c>
      <c r="J5854" t="s">
        <v>31530</v>
      </c>
      <c r="K5854" t="s">
        <v>40662</v>
      </c>
      <c r="M5854" t="s">
        <v>41802</v>
      </c>
      <c r="N5854" t="s">
        <v>44905</v>
      </c>
      <c r="O5854" t="s">
        <v>44906</v>
      </c>
      <c r="P5854">
        <v>0</v>
      </c>
      <c r="Q5854">
        <v>0</v>
      </c>
      <c r="R5854" t="s">
        <v>44909</v>
      </c>
      <c r="S5854" t="s">
        <v>45060</v>
      </c>
      <c r="T5854" t="s">
        <v>46391</v>
      </c>
      <c r="U5854" t="s">
        <v>51681</v>
      </c>
      <c r="W5854" t="s">
        <v>41802</v>
      </c>
      <c r="X5854" t="s">
        <v>44910</v>
      </c>
    </row>
    <row r="5855" spans="1:24">
      <c r="A5855">
        <f>HYPERLINK("https://www.philgeps.gov.ph/GEPSNONPILOT/Tender/SplashBidNoticeAbstractUI.aspx?menuIndex=3&amp;refID=7077069&amp;Result=3","7077069")</f>
        <v>0</v>
      </c>
      <c r="B5855" t="s">
        <v>1878</v>
      </c>
      <c r="C5855" t="s">
        <v>9063</v>
      </c>
      <c r="D5855" t="s">
        <v>18111</v>
      </c>
      <c r="E5855" t="s">
        <v>23420</v>
      </c>
      <c r="F5855" t="s">
        <v>31362</v>
      </c>
      <c r="G5855" t="s">
        <v>31371</v>
      </c>
      <c r="H5855" t="s">
        <v>15799</v>
      </c>
      <c r="I5855" t="s">
        <v>6373</v>
      </c>
      <c r="J5855" t="s">
        <v>35213</v>
      </c>
      <c r="K5855" t="s">
        <v>40661</v>
      </c>
      <c r="M5855" t="s">
        <v>42969</v>
      </c>
      <c r="N5855" t="s">
        <v>44905</v>
      </c>
      <c r="O5855" t="s">
        <v>44906</v>
      </c>
      <c r="P5855">
        <v>0</v>
      </c>
      <c r="Q5855">
        <v>3</v>
      </c>
      <c r="R5855" t="s">
        <v>44909</v>
      </c>
      <c r="S5855" t="s">
        <v>45060</v>
      </c>
      <c r="T5855" t="s">
        <v>46446</v>
      </c>
      <c r="U5855" t="s">
        <v>51657</v>
      </c>
      <c r="W5855" t="s">
        <v>42969</v>
      </c>
      <c r="X5855" t="s">
        <v>44910</v>
      </c>
    </row>
    <row r="5856" spans="1:24">
      <c r="A5856">
        <f>HYPERLINK("https://www.philgeps.gov.ph/GEPSNONPILOT/Tender/SplashBidNoticeAbstractUI.aspx?menuIndex=3&amp;refID=7077087&amp;Result=3","7077087")</f>
        <v>0</v>
      </c>
      <c r="B5856" t="s">
        <v>1893</v>
      </c>
      <c r="C5856" t="s">
        <v>9113</v>
      </c>
      <c r="E5856" t="s">
        <v>22690</v>
      </c>
      <c r="F5856" t="s">
        <v>31363</v>
      </c>
      <c r="G5856" t="s">
        <v>31369</v>
      </c>
      <c r="H5856" t="s">
        <v>15799</v>
      </c>
      <c r="I5856" t="s">
        <v>31390</v>
      </c>
      <c r="J5856" t="s">
        <v>35214</v>
      </c>
      <c r="K5856" t="s">
        <v>40693</v>
      </c>
      <c r="M5856" t="s">
        <v>42988</v>
      </c>
      <c r="N5856" t="s">
        <v>44905</v>
      </c>
      <c r="O5856" t="s">
        <v>44906</v>
      </c>
      <c r="P5856">
        <v>0</v>
      </c>
      <c r="Q5856">
        <v>2</v>
      </c>
      <c r="R5856" t="s">
        <v>44909</v>
      </c>
      <c r="S5856" t="s">
        <v>45060</v>
      </c>
      <c r="T5856" t="s">
        <v>46612</v>
      </c>
      <c r="U5856" t="s">
        <v>51682</v>
      </c>
      <c r="W5856" t="s">
        <v>42988</v>
      </c>
      <c r="X5856" t="s">
        <v>44910</v>
      </c>
    </row>
    <row r="5857" spans="1:24">
      <c r="A5857">
        <f>HYPERLINK("https://www.philgeps.gov.ph/GEPSNONPILOT/Tender/SplashBidNoticeAbstractUI.aspx?menuIndex=3&amp;refID=7077067&amp;Result=3","7077067")</f>
        <v>0</v>
      </c>
      <c r="B5857" t="s">
        <v>131</v>
      </c>
      <c r="C5857" t="s">
        <v>9114</v>
      </c>
      <c r="D5857" t="s">
        <v>18125</v>
      </c>
      <c r="E5857" t="s">
        <v>23421</v>
      </c>
      <c r="F5857" t="s">
        <v>31362</v>
      </c>
      <c r="G5857" t="s">
        <v>31368</v>
      </c>
      <c r="H5857" t="s">
        <v>15799</v>
      </c>
      <c r="I5857" t="s">
        <v>31404</v>
      </c>
      <c r="J5857" t="s">
        <v>35215</v>
      </c>
      <c r="K5857" t="s">
        <v>40670</v>
      </c>
      <c r="L5857" t="s">
        <v>131</v>
      </c>
      <c r="M5857" t="s">
        <v>41069</v>
      </c>
      <c r="N5857" t="s">
        <v>44905</v>
      </c>
      <c r="O5857" t="s">
        <v>44906</v>
      </c>
      <c r="P5857">
        <v>0</v>
      </c>
      <c r="Q5857">
        <v>0</v>
      </c>
      <c r="R5857" t="s">
        <v>44909</v>
      </c>
      <c r="S5857" t="s">
        <v>45060</v>
      </c>
      <c r="T5857" t="s">
        <v>46443</v>
      </c>
      <c r="U5857" t="s">
        <v>51683</v>
      </c>
      <c r="V5857" t="s">
        <v>59079</v>
      </c>
      <c r="W5857" t="s">
        <v>41069</v>
      </c>
      <c r="X5857" t="s">
        <v>44910</v>
      </c>
    </row>
    <row r="5858" spans="1:24">
      <c r="A5858">
        <f>HYPERLINK("https://www.philgeps.gov.ph/GEPSNONPILOT/Tender/SplashBidNoticeAbstractUI.aspx?menuIndex=3&amp;refID=7077092&amp;Result=3","7077092")</f>
        <v>0</v>
      </c>
      <c r="B5858" t="s">
        <v>1115</v>
      </c>
      <c r="C5858" t="s">
        <v>9115</v>
      </c>
      <c r="D5858" t="s">
        <v>18104</v>
      </c>
      <c r="E5858" t="s">
        <v>23422</v>
      </c>
      <c r="F5858" t="s">
        <v>31362</v>
      </c>
      <c r="G5858" t="s">
        <v>31369</v>
      </c>
      <c r="H5858" t="s">
        <v>31378</v>
      </c>
      <c r="I5858" t="s">
        <v>31386</v>
      </c>
      <c r="J5858" t="s">
        <v>35216</v>
      </c>
      <c r="K5858" t="s">
        <v>40682</v>
      </c>
      <c r="M5858" t="s">
        <v>42977</v>
      </c>
      <c r="N5858" t="s">
        <v>44905</v>
      </c>
      <c r="O5858" t="s">
        <v>44906</v>
      </c>
      <c r="P5858">
        <v>0</v>
      </c>
      <c r="Q5858">
        <v>1</v>
      </c>
      <c r="R5858" t="s">
        <v>44909</v>
      </c>
      <c r="S5858" t="s">
        <v>45060</v>
      </c>
      <c r="T5858" t="s">
        <v>46433</v>
      </c>
      <c r="U5858" t="s">
        <v>51684</v>
      </c>
      <c r="W5858" t="s">
        <v>42977</v>
      </c>
      <c r="X5858" t="s">
        <v>44910</v>
      </c>
    </row>
    <row r="5859" spans="1:24">
      <c r="A5859">
        <f>HYPERLINK("https://www.philgeps.gov.ph/GEPSNONPILOT/Tender/SplashBidNoticeAbstractUI.aspx?menuIndex=3&amp;refID=7077117&amp;Result=3","7077117")</f>
        <v>0</v>
      </c>
      <c r="B5859" t="s">
        <v>1115</v>
      </c>
      <c r="C5859" t="s">
        <v>9116</v>
      </c>
      <c r="D5859" t="s">
        <v>18104</v>
      </c>
      <c r="E5859" t="s">
        <v>23423</v>
      </c>
      <c r="F5859" t="s">
        <v>31362</v>
      </c>
      <c r="G5859" t="s">
        <v>31369</v>
      </c>
      <c r="H5859" t="s">
        <v>31378</v>
      </c>
      <c r="I5859" t="s">
        <v>31386</v>
      </c>
      <c r="J5859" t="s">
        <v>35217</v>
      </c>
      <c r="K5859" t="s">
        <v>40707</v>
      </c>
      <c r="M5859" t="s">
        <v>42977</v>
      </c>
      <c r="N5859" t="s">
        <v>44905</v>
      </c>
      <c r="O5859" t="s">
        <v>44906</v>
      </c>
      <c r="P5859">
        <v>0</v>
      </c>
      <c r="Q5859">
        <v>2</v>
      </c>
      <c r="R5859" t="s">
        <v>44909</v>
      </c>
      <c r="S5859" t="s">
        <v>45060</v>
      </c>
      <c r="T5859" t="s">
        <v>46433</v>
      </c>
      <c r="U5859" t="s">
        <v>51685</v>
      </c>
      <c r="W5859" t="s">
        <v>42977</v>
      </c>
      <c r="X5859" t="s">
        <v>44910</v>
      </c>
    </row>
    <row r="5860" spans="1:24">
      <c r="A5860">
        <f>HYPERLINK("https://www.philgeps.gov.ph/GEPSNONPILOT/Tender/SplashBidNoticeAbstractUI.aspx?menuIndex=3&amp;refID=7077024&amp;Result=3","7077024")</f>
        <v>0</v>
      </c>
      <c r="B5860" t="s">
        <v>1894</v>
      </c>
      <c r="C5860" t="s">
        <v>9117</v>
      </c>
      <c r="D5860" t="s">
        <v>18108</v>
      </c>
      <c r="E5860" t="s">
        <v>23424</v>
      </c>
      <c r="F5860" t="s">
        <v>31362</v>
      </c>
      <c r="G5860" t="s">
        <v>31368</v>
      </c>
      <c r="H5860" t="s">
        <v>15799</v>
      </c>
      <c r="I5860" t="s">
        <v>31413</v>
      </c>
      <c r="J5860" t="s">
        <v>35218</v>
      </c>
      <c r="K5860" t="s">
        <v>40712</v>
      </c>
      <c r="M5860" t="s">
        <v>42989</v>
      </c>
      <c r="N5860" t="s">
        <v>44905</v>
      </c>
      <c r="O5860" t="s">
        <v>44906</v>
      </c>
      <c r="P5860">
        <v>0</v>
      </c>
      <c r="Q5860">
        <v>0</v>
      </c>
      <c r="R5860" t="s">
        <v>44909</v>
      </c>
      <c r="S5860" t="s">
        <v>45060</v>
      </c>
      <c r="T5860" t="s">
        <v>46454</v>
      </c>
      <c r="U5860" t="s">
        <v>51686</v>
      </c>
      <c r="V5860" t="s">
        <v>59352</v>
      </c>
      <c r="W5860" t="s">
        <v>42989</v>
      </c>
      <c r="X5860" t="s">
        <v>44910</v>
      </c>
    </row>
    <row r="5861" spans="1:24">
      <c r="A5861">
        <f>HYPERLINK("https://www.philgeps.gov.ph/GEPSNONPILOT/Tender/SplashBidNoticeAbstractUI.aspx?menuIndex=3&amp;refID=7077116&amp;Result=3","7077116")</f>
        <v>0</v>
      </c>
      <c r="B5861" t="s">
        <v>378</v>
      </c>
      <c r="C5861" t="s">
        <v>9118</v>
      </c>
      <c r="D5861" t="s">
        <v>18156</v>
      </c>
      <c r="E5861" t="s">
        <v>23425</v>
      </c>
      <c r="F5861" t="s">
        <v>31362</v>
      </c>
      <c r="G5861" t="s">
        <v>31370</v>
      </c>
      <c r="H5861" t="s">
        <v>31379</v>
      </c>
      <c r="I5861" t="s">
        <v>3815</v>
      </c>
      <c r="J5861" t="s">
        <v>35219</v>
      </c>
      <c r="K5861" t="s">
        <v>40661</v>
      </c>
      <c r="M5861" t="s">
        <v>41350</v>
      </c>
      <c r="N5861" t="s">
        <v>44905</v>
      </c>
      <c r="O5861" t="s">
        <v>44906</v>
      </c>
      <c r="P5861">
        <v>0</v>
      </c>
      <c r="Q5861">
        <v>0</v>
      </c>
      <c r="R5861" t="s">
        <v>44909</v>
      </c>
      <c r="S5861" t="s">
        <v>45060</v>
      </c>
      <c r="T5861" t="s">
        <v>46409</v>
      </c>
      <c r="U5861" t="s">
        <v>47631</v>
      </c>
      <c r="W5861" t="s">
        <v>41350</v>
      </c>
      <c r="X5861" t="s">
        <v>44910</v>
      </c>
    </row>
    <row r="5862" spans="1:24">
      <c r="A5862">
        <f>HYPERLINK("https://www.philgeps.gov.ph/GEPSNONPILOT/Tender/SplashBidNoticeAbstractUI.aspx?menuIndex=3&amp;refID=7077111&amp;Result=3","7077111")</f>
        <v>0</v>
      </c>
      <c r="B5862" t="s">
        <v>1895</v>
      </c>
      <c r="C5862" t="s">
        <v>9119</v>
      </c>
      <c r="D5862" t="s">
        <v>18151</v>
      </c>
      <c r="E5862" t="s">
        <v>23426</v>
      </c>
      <c r="F5862" t="s">
        <v>31362</v>
      </c>
      <c r="G5862" t="s">
        <v>31371</v>
      </c>
      <c r="H5862" t="s">
        <v>15799</v>
      </c>
      <c r="I5862" t="s">
        <v>7090</v>
      </c>
      <c r="J5862" t="s">
        <v>31998</v>
      </c>
      <c r="K5862" t="s">
        <v>40665</v>
      </c>
      <c r="M5862" t="s">
        <v>42990</v>
      </c>
      <c r="N5862" t="s">
        <v>44905</v>
      </c>
      <c r="O5862" t="s">
        <v>44906</v>
      </c>
      <c r="P5862">
        <v>0</v>
      </c>
      <c r="Q5862">
        <v>0</v>
      </c>
      <c r="R5862" t="s">
        <v>44909</v>
      </c>
      <c r="S5862" t="s">
        <v>45060</v>
      </c>
      <c r="T5862" t="s">
        <v>46411</v>
      </c>
      <c r="U5862" t="s">
        <v>51687</v>
      </c>
      <c r="W5862" t="s">
        <v>42990</v>
      </c>
      <c r="X5862" t="s">
        <v>44910</v>
      </c>
    </row>
    <row r="5863" spans="1:24">
      <c r="A5863">
        <f>HYPERLINK("https://www.philgeps.gov.ph/GEPSNONPILOT/Tender/SplashBidNoticeAbstractUI.aspx?menuIndex=3&amp;refID=7077097&amp;Result=3","7077097")</f>
        <v>0</v>
      </c>
      <c r="B5863" t="s">
        <v>1759</v>
      </c>
      <c r="C5863" t="s">
        <v>9120</v>
      </c>
      <c r="D5863" t="s">
        <v>18156</v>
      </c>
      <c r="E5863" t="s">
        <v>23427</v>
      </c>
      <c r="F5863" t="s">
        <v>31362</v>
      </c>
      <c r="G5863" t="s">
        <v>31368</v>
      </c>
      <c r="H5863" t="s">
        <v>31379</v>
      </c>
      <c r="I5863" t="s">
        <v>6240</v>
      </c>
      <c r="J5863" t="s">
        <v>35220</v>
      </c>
      <c r="K5863" t="s">
        <v>40665</v>
      </c>
      <c r="M5863" t="s">
        <v>42835</v>
      </c>
      <c r="N5863" t="s">
        <v>44905</v>
      </c>
      <c r="O5863" t="s">
        <v>44906</v>
      </c>
      <c r="P5863">
        <v>0</v>
      </c>
      <c r="Q5863">
        <v>1</v>
      </c>
      <c r="R5863" t="s">
        <v>44909</v>
      </c>
      <c r="S5863" t="s">
        <v>45060</v>
      </c>
      <c r="T5863" t="s">
        <v>46443</v>
      </c>
      <c r="U5863" t="s">
        <v>51688</v>
      </c>
      <c r="W5863" t="s">
        <v>42835</v>
      </c>
      <c r="X5863" t="s">
        <v>44910</v>
      </c>
    </row>
    <row r="5864" spans="1:24">
      <c r="A5864">
        <f>HYPERLINK("https://www.philgeps.gov.ph/GEPSNONPILOT/Tender/SplashBidNoticeAbstractUI.aspx?menuIndex=3&amp;refID=7077119&amp;Result=3","7077119")</f>
        <v>0</v>
      </c>
      <c r="B5864" t="s">
        <v>1525</v>
      </c>
      <c r="C5864" t="s">
        <v>9121</v>
      </c>
      <c r="E5864" t="s">
        <v>23428</v>
      </c>
      <c r="F5864" t="s">
        <v>31362</v>
      </c>
      <c r="G5864" t="s">
        <v>31368</v>
      </c>
      <c r="H5864" t="s">
        <v>15799</v>
      </c>
      <c r="I5864" t="s">
        <v>31384</v>
      </c>
      <c r="J5864" t="s">
        <v>35221</v>
      </c>
      <c r="K5864" t="s">
        <v>40670</v>
      </c>
      <c r="M5864" t="s">
        <v>42569</v>
      </c>
      <c r="N5864" t="s">
        <v>44905</v>
      </c>
      <c r="O5864" t="s">
        <v>44906</v>
      </c>
      <c r="P5864">
        <v>0</v>
      </c>
      <c r="Q5864">
        <v>11</v>
      </c>
      <c r="R5864" t="s">
        <v>44909</v>
      </c>
      <c r="S5864" t="s">
        <v>45060</v>
      </c>
      <c r="T5864" t="s">
        <v>46682</v>
      </c>
      <c r="U5864" t="s">
        <v>51689</v>
      </c>
      <c r="W5864" t="s">
        <v>42569</v>
      </c>
      <c r="X5864" t="s">
        <v>44910</v>
      </c>
    </row>
    <row r="5865" spans="1:24">
      <c r="A5865">
        <f>HYPERLINK("https://www.philgeps.gov.ph/GEPSNONPILOT/Tender/SplashBidNoticeAbstractUI.aspx?menuIndex=3&amp;refID=7077093&amp;Result=3","7077093")</f>
        <v>0</v>
      </c>
      <c r="B5865" t="s">
        <v>1896</v>
      </c>
      <c r="C5865" t="s">
        <v>9122</v>
      </c>
      <c r="E5865" t="s">
        <v>23429</v>
      </c>
      <c r="F5865" t="s">
        <v>31362</v>
      </c>
      <c r="G5865" t="s">
        <v>31368</v>
      </c>
      <c r="H5865" t="s">
        <v>15799</v>
      </c>
      <c r="I5865" t="s">
        <v>31424</v>
      </c>
      <c r="J5865" t="s">
        <v>32913</v>
      </c>
      <c r="K5865" t="s">
        <v>40662</v>
      </c>
      <c r="M5865" t="s">
        <v>42991</v>
      </c>
      <c r="N5865" t="s">
        <v>44905</v>
      </c>
      <c r="O5865" t="s">
        <v>44906</v>
      </c>
      <c r="P5865">
        <v>0</v>
      </c>
      <c r="Q5865">
        <v>0</v>
      </c>
      <c r="R5865" t="s">
        <v>44909</v>
      </c>
      <c r="S5865" t="s">
        <v>45060</v>
      </c>
      <c r="T5865" t="s">
        <v>46478</v>
      </c>
      <c r="U5865" t="s">
        <v>47665</v>
      </c>
      <c r="W5865" t="s">
        <v>42991</v>
      </c>
      <c r="X5865" t="s">
        <v>44910</v>
      </c>
    </row>
    <row r="5866" spans="1:24">
      <c r="A5866">
        <f>HYPERLINK("https://www.philgeps.gov.ph/GEPSNONPILOT/Tender/SplashBidNoticeAbstractUI.aspx?menuIndex=3&amp;refID=7077110&amp;Result=3","7077110")</f>
        <v>0</v>
      </c>
      <c r="B5866" t="s">
        <v>1158</v>
      </c>
      <c r="C5866" t="s">
        <v>9123</v>
      </c>
      <c r="D5866" t="s">
        <v>18120</v>
      </c>
      <c r="E5866" t="s">
        <v>23430</v>
      </c>
      <c r="F5866" t="s">
        <v>31362</v>
      </c>
      <c r="G5866" t="s">
        <v>31368</v>
      </c>
      <c r="H5866" t="s">
        <v>15799</v>
      </c>
      <c r="I5866" t="s">
        <v>4057</v>
      </c>
      <c r="J5866" t="s">
        <v>35222</v>
      </c>
      <c r="K5866" t="s">
        <v>40662</v>
      </c>
      <c r="M5866" t="s">
        <v>42167</v>
      </c>
      <c r="N5866" t="s">
        <v>44905</v>
      </c>
      <c r="O5866" t="s">
        <v>44906</v>
      </c>
      <c r="P5866">
        <v>0</v>
      </c>
      <c r="Q5866">
        <v>0</v>
      </c>
      <c r="R5866" t="s">
        <v>44909</v>
      </c>
      <c r="S5866" t="s">
        <v>45060</v>
      </c>
      <c r="T5866" t="s">
        <v>46482</v>
      </c>
      <c r="U5866" t="s">
        <v>51690</v>
      </c>
      <c r="W5866" t="s">
        <v>42167</v>
      </c>
      <c r="X5866" t="s">
        <v>44910</v>
      </c>
    </row>
    <row r="5867" spans="1:24">
      <c r="A5867">
        <f>HYPERLINK("https://www.philgeps.gov.ph/GEPSNONPILOT/Tender/SplashBidNoticeAbstractUI.aspx?menuIndex=3&amp;refID=7077072&amp;Result=3","7077072")</f>
        <v>0</v>
      </c>
      <c r="B5867" t="s">
        <v>1186</v>
      </c>
      <c r="C5867" t="s">
        <v>9124</v>
      </c>
      <c r="D5867" t="s">
        <v>18134</v>
      </c>
      <c r="E5867" t="s">
        <v>23431</v>
      </c>
      <c r="F5867" t="s">
        <v>31362</v>
      </c>
      <c r="G5867" t="s">
        <v>31369</v>
      </c>
      <c r="H5867" t="s">
        <v>31378</v>
      </c>
      <c r="I5867" t="s">
        <v>31386</v>
      </c>
      <c r="J5867" t="s">
        <v>35223</v>
      </c>
      <c r="K5867" t="s">
        <v>40686</v>
      </c>
      <c r="M5867" t="s">
        <v>42198</v>
      </c>
      <c r="N5867" t="s">
        <v>44905</v>
      </c>
      <c r="O5867" t="s">
        <v>44906</v>
      </c>
      <c r="P5867">
        <v>0</v>
      </c>
      <c r="Q5867">
        <v>7</v>
      </c>
      <c r="R5867" t="s">
        <v>44909</v>
      </c>
      <c r="S5867" t="s">
        <v>45060</v>
      </c>
      <c r="T5867" t="s">
        <v>46419</v>
      </c>
      <c r="U5867" t="s">
        <v>51691</v>
      </c>
      <c r="V5867" t="s">
        <v>59389</v>
      </c>
      <c r="W5867" t="s">
        <v>42198</v>
      </c>
      <c r="X5867" t="s">
        <v>44910</v>
      </c>
    </row>
    <row r="5868" spans="1:24">
      <c r="A5868">
        <f>HYPERLINK("https://www.philgeps.gov.ph/GEPSNONPILOT/Tender/SplashBidNoticeAbstractUI.aspx?menuIndex=3&amp;refID=7077107&amp;Result=3","7077107")</f>
        <v>0</v>
      </c>
      <c r="B5868" t="s">
        <v>1897</v>
      </c>
      <c r="C5868" t="s">
        <v>9125</v>
      </c>
      <c r="E5868" t="s">
        <v>23432</v>
      </c>
      <c r="F5868" t="s">
        <v>31362</v>
      </c>
      <c r="G5868" t="s">
        <v>31369</v>
      </c>
      <c r="H5868" t="s">
        <v>31378</v>
      </c>
      <c r="I5868" t="s">
        <v>31386</v>
      </c>
      <c r="J5868" t="s">
        <v>35224</v>
      </c>
      <c r="K5868" t="s">
        <v>40662</v>
      </c>
      <c r="M5868" t="s">
        <v>42992</v>
      </c>
      <c r="N5868" t="s">
        <v>44905</v>
      </c>
      <c r="O5868" t="s">
        <v>44906</v>
      </c>
      <c r="P5868">
        <v>0</v>
      </c>
      <c r="Q5868">
        <v>5</v>
      </c>
      <c r="R5868" t="s">
        <v>44909</v>
      </c>
      <c r="S5868" t="s">
        <v>45060</v>
      </c>
      <c r="T5868" t="s">
        <v>46693</v>
      </c>
      <c r="U5868" t="s">
        <v>51692</v>
      </c>
      <c r="V5868" t="s">
        <v>59608</v>
      </c>
      <c r="W5868" t="s">
        <v>42992</v>
      </c>
      <c r="X5868" t="s">
        <v>44910</v>
      </c>
    </row>
    <row r="5869" spans="1:24">
      <c r="A5869">
        <f>HYPERLINK("https://www.philgeps.gov.ph/GEPSNONPILOT/Tender/SplashBidNoticeAbstractUI.aspx?menuIndex=3&amp;refID=7077121&amp;Result=3","7077121")</f>
        <v>0</v>
      </c>
      <c r="B5869" t="s">
        <v>637</v>
      </c>
      <c r="C5869" t="s">
        <v>9126</v>
      </c>
      <c r="D5869" t="s">
        <v>18102</v>
      </c>
      <c r="E5869" t="s">
        <v>23433</v>
      </c>
      <c r="F5869" t="s">
        <v>31362</v>
      </c>
      <c r="G5869" t="s">
        <v>31369</v>
      </c>
      <c r="H5869" t="s">
        <v>15799</v>
      </c>
      <c r="I5869" t="s">
        <v>31409</v>
      </c>
      <c r="J5869" t="s">
        <v>33868</v>
      </c>
      <c r="K5869" t="s">
        <v>40665</v>
      </c>
      <c r="M5869" t="s">
        <v>41597</v>
      </c>
      <c r="N5869" t="s">
        <v>44905</v>
      </c>
      <c r="O5869" t="s">
        <v>44906</v>
      </c>
      <c r="P5869">
        <v>0</v>
      </c>
      <c r="Q5869">
        <v>11</v>
      </c>
      <c r="R5869" t="s">
        <v>44909</v>
      </c>
      <c r="S5869" t="s">
        <v>45060</v>
      </c>
      <c r="T5869" t="s">
        <v>46697</v>
      </c>
      <c r="U5869" t="s">
        <v>51693</v>
      </c>
      <c r="W5869" t="s">
        <v>41597</v>
      </c>
      <c r="X5869" t="s">
        <v>44910</v>
      </c>
    </row>
    <row r="5870" spans="1:24">
      <c r="A5870">
        <f>HYPERLINK("https://www.philgeps.gov.ph/GEPSNONPILOT/Tender/SplashBidNoticeAbstractUI.aspx?menuIndex=3&amp;refID=7077048&amp;Result=3","7077048")</f>
        <v>0</v>
      </c>
      <c r="B5870" t="s">
        <v>1898</v>
      </c>
      <c r="C5870" t="s">
        <v>9127</v>
      </c>
      <c r="D5870" t="s">
        <v>18114</v>
      </c>
      <c r="E5870" t="s">
        <v>19313</v>
      </c>
      <c r="F5870" t="s">
        <v>31362</v>
      </c>
      <c r="G5870" t="s">
        <v>31368</v>
      </c>
      <c r="H5870" t="s">
        <v>15799</v>
      </c>
      <c r="I5870" t="s">
        <v>31442</v>
      </c>
      <c r="J5870" t="s">
        <v>31536</v>
      </c>
      <c r="K5870" t="s">
        <v>40665</v>
      </c>
      <c r="M5870" t="s">
        <v>42993</v>
      </c>
      <c r="N5870" t="s">
        <v>44905</v>
      </c>
      <c r="O5870" t="s">
        <v>44906</v>
      </c>
      <c r="P5870">
        <v>0</v>
      </c>
      <c r="Q5870">
        <v>4</v>
      </c>
      <c r="R5870" t="s">
        <v>44909</v>
      </c>
      <c r="S5870" t="s">
        <v>45060</v>
      </c>
      <c r="T5870" t="s">
        <v>46414</v>
      </c>
      <c r="U5870" t="s">
        <v>51694</v>
      </c>
      <c r="W5870" t="s">
        <v>42993</v>
      </c>
      <c r="X5870" t="s">
        <v>44910</v>
      </c>
    </row>
    <row r="5871" spans="1:24">
      <c r="A5871">
        <f>HYPERLINK("https://www.philgeps.gov.ph/GEPSNONPILOT/Tender/SplashBidNoticeAbstractUI.aspx?menuIndex=3&amp;refID=7077106&amp;Result=3","7077106")</f>
        <v>0</v>
      </c>
      <c r="B5871" t="s">
        <v>1115</v>
      </c>
      <c r="C5871" t="s">
        <v>9128</v>
      </c>
      <c r="D5871" t="s">
        <v>18104</v>
      </c>
      <c r="E5871" t="s">
        <v>23434</v>
      </c>
      <c r="F5871" t="s">
        <v>31362</v>
      </c>
      <c r="G5871" t="s">
        <v>31369</v>
      </c>
      <c r="H5871" t="s">
        <v>31378</v>
      </c>
      <c r="I5871" t="s">
        <v>31386</v>
      </c>
      <c r="J5871" t="s">
        <v>31606</v>
      </c>
      <c r="K5871" t="s">
        <v>40757</v>
      </c>
      <c r="M5871" t="s">
        <v>42977</v>
      </c>
      <c r="N5871" t="s">
        <v>44905</v>
      </c>
      <c r="O5871" t="s">
        <v>44906</v>
      </c>
      <c r="P5871">
        <v>0</v>
      </c>
      <c r="Q5871">
        <v>1</v>
      </c>
      <c r="R5871" t="s">
        <v>44909</v>
      </c>
      <c r="S5871" t="s">
        <v>45060</v>
      </c>
      <c r="T5871" t="s">
        <v>46433</v>
      </c>
      <c r="U5871" t="s">
        <v>51695</v>
      </c>
      <c r="W5871" t="s">
        <v>42977</v>
      </c>
      <c r="X5871" t="s">
        <v>44910</v>
      </c>
    </row>
    <row r="5872" spans="1:24">
      <c r="A5872">
        <f>HYPERLINK("https://www.philgeps.gov.ph/GEPSNONPILOT/Tender/SplashBidNoticeAbstractUI.aspx?menuIndex=3&amp;refID=7077122&amp;Result=3","7077122")</f>
        <v>0</v>
      </c>
      <c r="B5872" t="s">
        <v>1853</v>
      </c>
      <c r="C5872" t="s">
        <v>9129</v>
      </c>
      <c r="D5872" t="s">
        <v>18133</v>
      </c>
      <c r="E5872" t="s">
        <v>23435</v>
      </c>
      <c r="F5872" t="s">
        <v>31362</v>
      </c>
      <c r="G5872" t="s">
        <v>31369</v>
      </c>
      <c r="H5872" t="s">
        <v>31378</v>
      </c>
      <c r="I5872" t="s">
        <v>31386</v>
      </c>
      <c r="J5872" t="s">
        <v>31591</v>
      </c>
      <c r="K5872" t="s">
        <v>40665</v>
      </c>
      <c r="M5872" t="s">
        <v>42943</v>
      </c>
      <c r="N5872" t="s">
        <v>44905</v>
      </c>
      <c r="O5872" t="s">
        <v>44906</v>
      </c>
      <c r="P5872">
        <v>0</v>
      </c>
      <c r="Q5872">
        <v>0</v>
      </c>
      <c r="R5872" t="s">
        <v>44909</v>
      </c>
      <c r="S5872" t="s">
        <v>45060</v>
      </c>
      <c r="T5872" t="s">
        <v>46535</v>
      </c>
      <c r="U5872" t="s">
        <v>51696</v>
      </c>
      <c r="V5872" t="s">
        <v>59609</v>
      </c>
      <c r="W5872" t="s">
        <v>42943</v>
      </c>
      <c r="X5872" t="s">
        <v>44910</v>
      </c>
    </row>
    <row r="5873" spans="1:24">
      <c r="A5873">
        <f>HYPERLINK("https://www.philgeps.gov.ph/GEPSNONPILOT/Tender/SplashBidNoticeAbstractUI.aspx?menuIndex=3&amp;refID=7077105&amp;Result=3","7077105")</f>
        <v>0</v>
      </c>
      <c r="B5873" t="s">
        <v>364</v>
      </c>
      <c r="C5873" t="s">
        <v>9130</v>
      </c>
      <c r="D5873" t="s">
        <v>18138</v>
      </c>
      <c r="E5873" t="s">
        <v>23436</v>
      </c>
      <c r="F5873" t="s">
        <v>31362</v>
      </c>
      <c r="G5873" t="s">
        <v>31368</v>
      </c>
      <c r="H5873" t="s">
        <v>15799</v>
      </c>
      <c r="I5873" t="s">
        <v>7188</v>
      </c>
      <c r="J5873" t="s">
        <v>32261</v>
      </c>
      <c r="K5873" t="s">
        <v>40662</v>
      </c>
      <c r="M5873" t="s">
        <v>41311</v>
      </c>
      <c r="N5873" t="s">
        <v>44905</v>
      </c>
      <c r="O5873" t="s">
        <v>44906</v>
      </c>
      <c r="P5873">
        <v>0</v>
      </c>
      <c r="Q5873">
        <v>8</v>
      </c>
      <c r="R5873" t="s">
        <v>44909</v>
      </c>
      <c r="S5873" t="s">
        <v>45060</v>
      </c>
      <c r="T5873" t="s">
        <v>46409</v>
      </c>
      <c r="U5873" t="s">
        <v>51697</v>
      </c>
      <c r="W5873" t="s">
        <v>41311</v>
      </c>
      <c r="X5873" t="s">
        <v>44910</v>
      </c>
    </row>
    <row r="5874" spans="1:24">
      <c r="A5874">
        <f>HYPERLINK("https://www.philgeps.gov.ph/GEPSNONPILOT/Tender/SplashBidNoticeAbstractUI.aspx?menuIndex=3&amp;refID=7077109&amp;Result=3","7077109")</f>
        <v>0</v>
      </c>
      <c r="B5874" t="s">
        <v>1442</v>
      </c>
      <c r="C5874" t="s">
        <v>9131</v>
      </c>
      <c r="D5874" t="s">
        <v>18108</v>
      </c>
      <c r="E5874" t="s">
        <v>23437</v>
      </c>
      <c r="F5874" t="s">
        <v>31362</v>
      </c>
      <c r="G5874" t="s">
        <v>31368</v>
      </c>
      <c r="H5874" t="s">
        <v>15799</v>
      </c>
      <c r="I5874" t="s">
        <v>31388</v>
      </c>
      <c r="J5874" t="s">
        <v>31738</v>
      </c>
      <c r="K5874" t="s">
        <v>40662</v>
      </c>
      <c r="M5874" t="s">
        <v>42471</v>
      </c>
      <c r="N5874" t="s">
        <v>44905</v>
      </c>
      <c r="O5874" t="s">
        <v>44906</v>
      </c>
      <c r="P5874">
        <v>0</v>
      </c>
      <c r="Q5874">
        <v>3</v>
      </c>
      <c r="R5874" t="s">
        <v>44909</v>
      </c>
      <c r="S5874" t="s">
        <v>45060</v>
      </c>
      <c r="T5874" t="s">
        <v>46454</v>
      </c>
      <c r="U5874" t="s">
        <v>50388</v>
      </c>
      <c r="W5874" t="s">
        <v>42471</v>
      </c>
      <c r="X5874" t="s">
        <v>44910</v>
      </c>
    </row>
    <row r="5875" spans="1:24">
      <c r="A5875">
        <f>HYPERLINK("https://www.philgeps.gov.ph/GEPSNONPILOT/Tender/SplashBidNoticeAbstractUI.aspx?menuIndex=3&amp;refID=7077103&amp;Result=3","7077103")</f>
        <v>0</v>
      </c>
      <c r="B5875" t="s">
        <v>1406</v>
      </c>
      <c r="C5875" t="s">
        <v>9132</v>
      </c>
      <c r="D5875" t="s">
        <v>18108</v>
      </c>
      <c r="E5875" t="s">
        <v>23438</v>
      </c>
      <c r="F5875" t="s">
        <v>31362</v>
      </c>
      <c r="G5875" t="s">
        <v>31371</v>
      </c>
      <c r="H5875" t="s">
        <v>15799</v>
      </c>
      <c r="I5875" t="s">
        <v>6373</v>
      </c>
      <c r="J5875" t="s">
        <v>31530</v>
      </c>
      <c r="K5875" t="s">
        <v>40666</v>
      </c>
      <c r="M5875" t="s">
        <v>42431</v>
      </c>
      <c r="N5875" t="s">
        <v>44905</v>
      </c>
      <c r="O5875" t="s">
        <v>44906</v>
      </c>
      <c r="P5875">
        <v>0</v>
      </c>
      <c r="Q5875">
        <v>13</v>
      </c>
      <c r="R5875" t="s">
        <v>44909</v>
      </c>
      <c r="S5875" t="s">
        <v>45060</v>
      </c>
      <c r="T5875" t="s">
        <v>46435</v>
      </c>
      <c r="U5875" t="s">
        <v>51698</v>
      </c>
      <c r="V5875" t="s">
        <v>59610</v>
      </c>
      <c r="W5875" t="s">
        <v>42431</v>
      </c>
      <c r="X5875" t="s">
        <v>44910</v>
      </c>
    </row>
    <row r="5876" spans="1:24">
      <c r="A5876">
        <f>HYPERLINK("https://www.philgeps.gov.ph/GEPSNONPILOT/Tender/SplashBidNoticeAbstractUI.aspx?menuIndex=3&amp;refID=7077125&amp;Result=3","7077125")</f>
        <v>0</v>
      </c>
      <c r="B5876" t="s">
        <v>155</v>
      </c>
      <c r="C5876" t="s">
        <v>9133</v>
      </c>
      <c r="D5876" t="s">
        <v>18108</v>
      </c>
      <c r="E5876" t="s">
        <v>23439</v>
      </c>
      <c r="F5876" t="s">
        <v>31362</v>
      </c>
      <c r="G5876" t="s">
        <v>31368</v>
      </c>
      <c r="H5876" t="s">
        <v>15799</v>
      </c>
      <c r="I5876" t="s">
        <v>31463</v>
      </c>
      <c r="J5876" t="s">
        <v>31806</v>
      </c>
      <c r="K5876" t="s">
        <v>40662</v>
      </c>
      <c r="M5876" t="s">
        <v>41093</v>
      </c>
      <c r="N5876" t="s">
        <v>44905</v>
      </c>
      <c r="O5876" t="s">
        <v>44906</v>
      </c>
      <c r="P5876">
        <v>0</v>
      </c>
      <c r="Q5876">
        <v>8</v>
      </c>
      <c r="R5876" t="s">
        <v>44909</v>
      </c>
      <c r="S5876" t="s">
        <v>45060</v>
      </c>
      <c r="T5876" t="s">
        <v>46409</v>
      </c>
      <c r="U5876" t="s">
        <v>51699</v>
      </c>
      <c r="W5876" t="s">
        <v>41093</v>
      </c>
      <c r="X5876" t="s">
        <v>44910</v>
      </c>
    </row>
    <row r="5877" spans="1:24">
      <c r="A5877">
        <f>HYPERLINK("https://www.philgeps.gov.ph/GEPSNONPILOT/Tender/SplashBidNoticeAbstractUI.aspx?menuIndex=3&amp;refID=7077068&amp;Result=3","7077068")</f>
        <v>0</v>
      </c>
      <c r="B5877" t="s">
        <v>1899</v>
      </c>
      <c r="C5877" t="s">
        <v>9134</v>
      </c>
      <c r="E5877" t="s">
        <v>23440</v>
      </c>
      <c r="F5877" t="s">
        <v>31362</v>
      </c>
      <c r="G5877" t="s">
        <v>31370</v>
      </c>
      <c r="H5877" t="s">
        <v>15799</v>
      </c>
      <c r="I5877" t="s">
        <v>6155</v>
      </c>
      <c r="J5877" t="s">
        <v>35225</v>
      </c>
      <c r="K5877" t="s">
        <v>40662</v>
      </c>
      <c r="M5877" t="s">
        <v>42994</v>
      </c>
      <c r="N5877" t="s">
        <v>44905</v>
      </c>
      <c r="O5877" t="s">
        <v>44906</v>
      </c>
      <c r="P5877">
        <v>0</v>
      </c>
      <c r="Q5877">
        <v>13</v>
      </c>
      <c r="R5877" t="s">
        <v>44909</v>
      </c>
      <c r="S5877" t="s">
        <v>45060</v>
      </c>
      <c r="T5877" t="s">
        <v>46414</v>
      </c>
      <c r="U5877" t="s">
        <v>51700</v>
      </c>
      <c r="W5877" t="s">
        <v>42994</v>
      </c>
      <c r="X5877" t="s">
        <v>44910</v>
      </c>
    </row>
    <row r="5878" spans="1:24">
      <c r="A5878">
        <f>HYPERLINK("https://www.philgeps.gov.ph/GEPSNONPILOT/Tender/SplashBidNoticeAbstractUI.aspx?menuIndex=3&amp;refID=7077108&amp;Result=3","7077108")</f>
        <v>0</v>
      </c>
      <c r="B5878" t="s">
        <v>1879</v>
      </c>
      <c r="C5878" t="s">
        <v>9135</v>
      </c>
      <c r="D5878" t="s">
        <v>18177</v>
      </c>
      <c r="E5878" t="s">
        <v>23441</v>
      </c>
      <c r="F5878" t="s">
        <v>31362</v>
      </c>
      <c r="G5878" t="s">
        <v>31369</v>
      </c>
      <c r="H5878" t="s">
        <v>15799</v>
      </c>
      <c r="I5878" t="s">
        <v>3815</v>
      </c>
      <c r="J5878" t="s">
        <v>35226</v>
      </c>
      <c r="K5878" t="s">
        <v>40662</v>
      </c>
      <c r="M5878" t="s">
        <v>42970</v>
      </c>
      <c r="N5878" t="s">
        <v>44905</v>
      </c>
      <c r="O5878" t="s">
        <v>44906</v>
      </c>
      <c r="P5878">
        <v>0</v>
      </c>
      <c r="Q5878">
        <v>0</v>
      </c>
      <c r="R5878" t="s">
        <v>44909</v>
      </c>
      <c r="S5878" t="s">
        <v>45060</v>
      </c>
      <c r="T5878" t="s">
        <v>46472</v>
      </c>
      <c r="U5878" t="s">
        <v>51701</v>
      </c>
      <c r="W5878" t="s">
        <v>42970</v>
      </c>
      <c r="X5878" t="s">
        <v>44910</v>
      </c>
    </row>
    <row r="5879" spans="1:24">
      <c r="A5879">
        <f>HYPERLINK("https://www.philgeps.gov.ph/GEPSNONPILOT/Tender/SplashBidNoticeAbstractUI.aspx?menuIndex=3&amp;refID=7077152&amp;Result=3","7077152")</f>
        <v>0</v>
      </c>
      <c r="B5879" t="s">
        <v>183</v>
      </c>
      <c r="C5879" t="s">
        <v>9136</v>
      </c>
      <c r="D5879" t="s">
        <v>18129</v>
      </c>
      <c r="E5879" t="s">
        <v>23442</v>
      </c>
      <c r="F5879" t="s">
        <v>31362</v>
      </c>
      <c r="G5879" t="s">
        <v>31369</v>
      </c>
      <c r="H5879" t="s">
        <v>15799</v>
      </c>
      <c r="I5879" t="s">
        <v>31382</v>
      </c>
      <c r="J5879" t="s">
        <v>35227</v>
      </c>
      <c r="K5879" t="s">
        <v>40665</v>
      </c>
      <c r="M5879" t="s">
        <v>41121</v>
      </c>
      <c r="N5879" t="s">
        <v>44905</v>
      </c>
      <c r="O5879" t="s">
        <v>44906</v>
      </c>
      <c r="P5879">
        <v>0</v>
      </c>
      <c r="Q5879">
        <v>10</v>
      </c>
      <c r="R5879" t="s">
        <v>44909</v>
      </c>
      <c r="S5879" t="s">
        <v>45060</v>
      </c>
      <c r="T5879" t="s">
        <v>46627</v>
      </c>
      <c r="U5879" t="s">
        <v>51702</v>
      </c>
      <c r="W5879" t="s">
        <v>41121</v>
      </c>
      <c r="X5879" t="s">
        <v>44910</v>
      </c>
    </row>
    <row r="5880" spans="1:24">
      <c r="A5880">
        <f>HYPERLINK("https://www.philgeps.gov.ph/GEPSNONPILOT/Tender/SplashBidNoticeAbstractUI.aspx?menuIndex=3&amp;refID=7077149&amp;Result=3","7077149")</f>
        <v>0</v>
      </c>
      <c r="B5880" t="s">
        <v>1381</v>
      </c>
      <c r="C5880" t="s">
        <v>9137</v>
      </c>
      <c r="D5880" t="s">
        <v>18123</v>
      </c>
      <c r="E5880" t="s">
        <v>23443</v>
      </c>
      <c r="F5880" t="s">
        <v>31362</v>
      </c>
      <c r="G5880" t="s">
        <v>31368</v>
      </c>
      <c r="H5880" t="s">
        <v>15799</v>
      </c>
      <c r="I5880" t="s">
        <v>3815</v>
      </c>
      <c r="J5880" t="s">
        <v>34275</v>
      </c>
      <c r="K5880" t="s">
        <v>40666</v>
      </c>
      <c r="M5880" t="s">
        <v>42405</v>
      </c>
      <c r="N5880" t="s">
        <v>44905</v>
      </c>
      <c r="O5880" t="s">
        <v>44906</v>
      </c>
      <c r="P5880">
        <v>0</v>
      </c>
      <c r="Q5880">
        <v>0</v>
      </c>
      <c r="R5880" t="s">
        <v>44909</v>
      </c>
      <c r="S5880" t="s">
        <v>45060</v>
      </c>
      <c r="T5880" t="s">
        <v>46443</v>
      </c>
      <c r="U5880" t="s">
        <v>50883</v>
      </c>
      <c r="W5880" t="s">
        <v>42405</v>
      </c>
      <c r="X5880" t="s">
        <v>44910</v>
      </c>
    </row>
    <row r="5881" spans="1:24">
      <c r="A5881">
        <f>HYPERLINK("https://www.philgeps.gov.ph/GEPSNONPILOT/Tender/SplashBidNoticeAbstractUI.aspx?menuIndex=3&amp;refID=7077104&amp;Result=3","7077104")</f>
        <v>0</v>
      </c>
      <c r="B5881" t="s">
        <v>550</v>
      </c>
      <c r="C5881" t="s">
        <v>9138</v>
      </c>
      <c r="D5881" t="s">
        <v>18138</v>
      </c>
      <c r="E5881" t="s">
        <v>23444</v>
      </c>
      <c r="F5881" t="s">
        <v>31362</v>
      </c>
      <c r="G5881" t="s">
        <v>31368</v>
      </c>
      <c r="H5881" t="s">
        <v>15799</v>
      </c>
      <c r="I5881" t="s">
        <v>31384</v>
      </c>
      <c r="J5881" t="s">
        <v>32459</v>
      </c>
      <c r="K5881" t="s">
        <v>40666</v>
      </c>
      <c r="M5881" t="s">
        <v>41506</v>
      </c>
      <c r="N5881" t="s">
        <v>44905</v>
      </c>
      <c r="O5881" t="s">
        <v>44906</v>
      </c>
      <c r="P5881">
        <v>0</v>
      </c>
      <c r="Q5881">
        <v>2</v>
      </c>
      <c r="R5881" t="s">
        <v>44909</v>
      </c>
      <c r="S5881" t="s">
        <v>45060</v>
      </c>
      <c r="T5881" t="s">
        <v>46409</v>
      </c>
      <c r="U5881" t="s">
        <v>51703</v>
      </c>
      <c r="W5881" t="s">
        <v>41506</v>
      </c>
      <c r="X5881" t="s">
        <v>44910</v>
      </c>
    </row>
    <row r="5882" spans="1:24">
      <c r="A5882">
        <f>HYPERLINK("https://www.philgeps.gov.ph/GEPSNONPILOT/Tender/SplashBidNoticeAbstractUI.aspx?menuIndex=3&amp;refID=7077144&amp;Result=3","7077144")</f>
        <v>0</v>
      </c>
      <c r="B5882" t="s">
        <v>378</v>
      </c>
      <c r="C5882" t="s">
        <v>9139</v>
      </c>
      <c r="D5882" t="s">
        <v>18156</v>
      </c>
      <c r="E5882" t="s">
        <v>23445</v>
      </c>
      <c r="F5882" t="s">
        <v>31362</v>
      </c>
      <c r="G5882" t="s">
        <v>31370</v>
      </c>
      <c r="H5882" t="s">
        <v>31379</v>
      </c>
      <c r="I5882" t="s">
        <v>3815</v>
      </c>
      <c r="J5882" t="s">
        <v>35228</v>
      </c>
      <c r="K5882" t="s">
        <v>40661</v>
      </c>
      <c r="M5882" t="s">
        <v>41350</v>
      </c>
      <c r="N5882" t="s">
        <v>44905</v>
      </c>
      <c r="O5882" t="s">
        <v>44906</v>
      </c>
      <c r="P5882">
        <v>0</v>
      </c>
      <c r="Q5882">
        <v>0</v>
      </c>
      <c r="R5882" t="s">
        <v>44909</v>
      </c>
      <c r="S5882" t="s">
        <v>45060</v>
      </c>
      <c r="T5882" t="s">
        <v>46409</v>
      </c>
      <c r="U5882" t="s">
        <v>47631</v>
      </c>
      <c r="W5882" t="s">
        <v>41350</v>
      </c>
      <c r="X5882" t="s">
        <v>44910</v>
      </c>
    </row>
    <row r="5883" spans="1:24">
      <c r="A5883">
        <f>HYPERLINK("https://www.philgeps.gov.ph/GEPSNONPILOT/Tender/SplashBidNoticeAbstractUI.aspx?menuIndex=3&amp;refID=7077102&amp;Result=3","7077102")</f>
        <v>0</v>
      </c>
      <c r="B5883" t="s">
        <v>1878</v>
      </c>
      <c r="C5883" t="s">
        <v>9063</v>
      </c>
      <c r="D5883" t="s">
        <v>18111</v>
      </c>
      <c r="E5883" t="s">
        <v>23420</v>
      </c>
      <c r="F5883" t="s">
        <v>31362</v>
      </c>
      <c r="G5883" t="s">
        <v>31371</v>
      </c>
      <c r="H5883" t="s">
        <v>15799</v>
      </c>
      <c r="I5883" t="s">
        <v>31390</v>
      </c>
      <c r="J5883" t="s">
        <v>35229</v>
      </c>
      <c r="K5883" t="s">
        <v>40661</v>
      </c>
      <c r="M5883" t="s">
        <v>42969</v>
      </c>
      <c r="N5883" t="s">
        <v>44905</v>
      </c>
      <c r="O5883" t="s">
        <v>44906</v>
      </c>
      <c r="P5883">
        <v>0</v>
      </c>
      <c r="Q5883">
        <v>3</v>
      </c>
      <c r="R5883" t="s">
        <v>44909</v>
      </c>
      <c r="S5883" t="s">
        <v>45060</v>
      </c>
      <c r="T5883" t="s">
        <v>46446</v>
      </c>
      <c r="U5883" t="s">
        <v>51657</v>
      </c>
      <c r="W5883" t="s">
        <v>42969</v>
      </c>
      <c r="X5883" t="s">
        <v>44910</v>
      </c>
    </row>
    <row r="5884" spans="1:24">
      <c r="A5884">
        <f>HYPERLINK("https://www.philgeps.gov.ph/GEPSNONPILOT/Tender/SplashBidNoticeAbstractUI.aspx?menuIndex=3&amp;refID=7077143&amp;Result=3","7077143")</f>
        <v>0</v>
      </c>
      <c r="B5884" t="s">
        <v>1131</v>
      </c>
      <c r="C5884" t="s">
        <v>9140</v>
      </c>
      <c r="D5884" t="s">
        <v>18104</v>
      </c>
      <c r="E5884" t="s">
        <v>23446</v>
      </c>
      <c r="F5884" t="s">
        <v>31362</v>
      </c>
      <c r="G5884" t="s">
        <v>31370</v>
      </c>
      <c r="H5884" t="s">
        <v>15799</v>
      </c>
      <c r="I5884" t="s">
        <v>31382</v>
      </c>
      <c r="J5884" t="s">
        <v>35230</v>
      </c>
      <c r="K5884" t="s">
        <v>40665</v>
      </c>
      <c r="M5884" t="s">
        <v>42139</v>
      </c>
      <c r="N5884" t="s">
        <v>44905</v>
      </c>
      <c r="O5884" t="s">
        <v>44906</v>
      </c>
      <c r="P5884">
        <v>0</v>
      </c>
      <c r="Q5884">
        <v>1</v>
      </c>
      <c r="R5884" t="s">
        <v>44909</v>
      </c>
      <c r="S5884" t="s">
        <v>45060</v>
      </c>
      <c r="T5884" t="s">
        <v>46432</v>
      </c>
      <c r="U5884" t="s">
        <v>51704</v>
      </c>
      <c r="W5884" t="s">
        <v>42139</v>
      </c>
      <c r="X5884" t="s">
        <v>44910</v>
      </c>
    </row>
    <row r="5885" spans="1:24">
      <c r="A5885">
        <f>HYPERLINK("https://www.philgeps.gov.ph/GEPSNONPILOT/Tender/SplashBidNoticeAbstractUI.aspx?menuIndex=3&amp;refID=7077142&amp;Result=3","7077142")</f>
        <v>0</v>
      </c>
      <c r="B5885" t="s">
        <v>1900</v>
      </c>
      <c r="C5885" t="s">
        <v>9141</v>
      </c>
      <c r="D5885" t="s">
        <v>18142</v>
      </c>
      <c r="E5885" t="s">
        <v>23447</v>
      </c>
      <c r="F5885" t="s">
        <v>31362</v>
      </c>
      <c r="G5885" t="s">
        <v>31368</v>
      </c>
      <c r="H5885" t="s">
        <v>15799</v>
      </c>
      <c r="I5885" t="s">
        <v>31414</v>
      </c>
      <c r="J5885" t="s">
        <v>31578</v>
      </c>
      <c r="K5885" t="s">
        <v>40693</v>
      </c>
      <c r="M5885" t="s">
        <v>42995</v>
      </c>
      <c r="N5885" t="s">
        <v>44905</v>
      </c>
      <c r="O5885" t="s">
        <v>44906</v>
      </c>
      <c r="P5885">
        <v>0</v>
      </c>
      <c r="Q5885">
        <v>2</v>
      </c>
      <c r="R5885" t="s">
        <v>44909</v>
      </c>
      <c r="S5885" t="s">
        <v>45060</v>
      </c>
      <c r="T5885" t="s">
        <v>46443</v>
      </c>
      <c r="U5885" t="s">
        <v>51705</v>
      </c>
      <c r="V5885" t="s">
        <v>59611</v>
      </c>
      <c r="W5885" t="s">
        <v>42995</v>
      </c>
      <c r="X5885" t="s">
        <v>44910</v>
      </c>
    </row>
    <row r="5886" spans="1:24">
      <c r="A5886">
        <f>HYPERLINK("https://www.philgeps.gov.ph/GEPSNONPILOT/Tender/SplashBidNoticeAbstractUI.aspx?menuIndex=3&amp;refID=7077141&amp;Result=3","7077141")</f>
        <v>0</v>
      </c>
      <c r="B5886" t="s">
        <v>1115</v>
      </c>
      <c r="C5886" t="s">
        <v>9142</v>
      </c>
      <c r="D5886" t="s">
        <v>18104</v>
      </c>
      <c r="E5886" t="s">
        <v>23448</v>
      </c>
      <c r="F5886" t="s">
        <v>31362</v>
      </c>
      <c r="G5886" t="s">
        <v>31369</v>
      </c>
      <c r="H5886" t="s">
        <v>31378</v>
      </c>
      <c r="I5886" t="s">
        <v>31386</v>
      </c>
      <c r="J5886" t="s">
        <v>35231</v>
      </c>
      <c r="K5886" t="s">
        <v>40797</v>
      </c>
      <c r="M5886" t="s">
        <v>42977</v>
      </c>
      <c r="N5886" t="s">
        <v>44905</v>
      </c>
      <c r="O5886" t="s">
        <v>44906</v>
      </c>
      <c r="P5886">
        <v>0</v>
      </c>
      <c r="Q5886">
        <v>2</v>
      </c>
      <c r="R5886" t="s">
        <v>44909</v>
      </c>
      <c r="S5886" t="s">
        <v>45060</v>
      </c>
      <c r="T5886" t="s">
        <v>46433</v>
      </c>
      <c r="U5886" t="s">
        <v>51706</v>
      </c>
      <c r="W5886" t="s">
        <v>42977</v>
      </c>
      <c r="X5886" t="s">
        <v>44910</v>
      </c>
    </row>
    <row r="5887" spans="1:24">
      <c r="A5887">
        <f>HYPERLINK("https://www.philgeps.gov.ph/GEPSNONPILOT/Tender/SplashBidNoticeAbstractUI.aspx?menuIndex=3&amp;refID=7077140&amp;Result=3","7077140")</f>
        <v>0</v>
      </c>
      <c r="B5887" t="s">
        <v>1314</v>
      </c>
      <c r="C5887" t="s">
        <v>9143</v>
      </c>
      <c r="D5887" t="s">
        <v>18134</v>
      </c>
      <c r="E5887" t="s">
        <v>23449</v>
      </c>
      <c r="F5887" t="s">
        <v>31362</v>
      </c>
      <c r="G5887" t="s">
        <v>31369</v>
      </c>
      <c r="H5887" t="s">
        <v>15799</v>
      </c>
      <c r="I5887" t="s">
        <v>31383</v>
      </c>
      <c r="J5887" t="s">
        <v>31886</v>
      </c>
      <c r="K5887" t="s">
        <v>40681</v>
      </c>
      <c r="M5887" t="s">
        <v>42332</v>
      </c>
      <c r="N5887" t="s">
        <v>44905</v>
      </c>
      <c r="O5887" t="s">
        <v>44906</v>
      </c>
      <c r="P5887">
        <v>0</v>
      </c>
      <c r="Q5887">
        <v>2</v>
      </c>
      <c r="R5887" t="s">
        <v>44909</v>
      </c>
      <c r="S5887" t="s">
        <v>45060</v>
      </c>
      <c r="T5887" t="s">
        <v>46559</v>
      </c>
      <c r="U5887" t="s">
        <v>51707</v>
      </c>
      <c r="W5887" t="s">
        <v>42332</v>
      </c>
      <c r="X5887" t="s">
        <v>44910</v>
      </c>
    </row>
    <row r="5888" spans="1:24">
      <c r="A5888">
        <f>HYPERLINK("https://www.philgeps.gov.ph/GEPSNONPILOT/Tender/SplashBidNoticeAbstractUI.aspx?menuIndex=3&amp;refID=7077150&amp;Result=3","7077150")</f>
        <v>0</v>
      </c>
      <c r="B5888" t="s">
        <v>1217</v>
      </c>
      <c r="C5888" t="s">
        <v>9144</v>
      </c>
      <c r="D5888" t="s">
        <v>18106</v>
      </c>
      <c r="E5888" t="s">
        <v>23450</v>
      </c>
      <c r="F5888" t="s">
        <v>31362</v>
      </c>
      <c r="G5888" t="s">
        <v>31369</v>
      </c>
      <c r="H5888" t="s">
        <v>15799</v>
      </c>
      <c r="I5888" t="s">
        <v>31398</v>
      </c>
      <c r="J5888" t="s">
        <v>35232</v>
      </c>
      <c r="K5888" t="s">
        <v>40665</v>
      </c>
      <c r="M5888" t="s">
        <v>42230</v>
      </c>
      <c r="N5888" t="s">
        <v>44905</v>
      </c>
      <c r="O5888" t="s">
        <v>44906</v>
      </c>
      <c r="P5888">
        <v>0</v>
      </c>
      <c r="Q5888">
        <v>4</v>
      </c>
      <c r="R5888" t="s">
        <v>44909</v>
      </c>
      <c r="S5888" t="s">
        <v>45060</v>
      </c>
      <c r="T5888" t="s">
        <v>46511</v>
      </c>
      <c r="U5888" t="s">
        <v>51708</v>
      </c>
      <c r="V5888" t="s">
        <v>59612</v>
      </c>
      <c r="W5888" t="s">
        <v>42230</v>
      </c>
      <c r="X5888" t="s">
        <v>44910</v>
      </c>
    </row>
    <row r="5889" spans="1:24">
      <c r="A5889">
        <f>HYPERLINK("https://www.philgeps.gov.ph/GEPSNONPILOT/Tender/SplashBidNoticeAbstractUI.aspx?menuIndex=3&amp;refID=7077137&amp;Result=3","7077137")</f>
        <v>0</v>
      </c>
      <c r="B5889" t="s">
        <v>1884</v>
      </c>
      <c r="C5889" t="s">
        <v>9145</v>
      </c>
      <c r="D5889" t="s">
        <v>18117</v>
      </c>
      <c r="E5889" t="s">
        <v>23451</v>
      </c>
      <c r="F5889" t="s">
        <v>31362</v>
      </c>
      <c r="G5889" t="s">
        <v>31369</v>
      </c>
      <c r="H5889" t="s">
        <v>15799</v>
      </c>
      <c r="I5889" t="s">
        <v>3815</v>
      </c>
      <c r="J5889" t="s">
        <v>35233</v>
      </c>
      <c r="K5889" t="s">
        <v>40670</v>
      </c>
      <c r="M5889" t="s">
        <v>42978</v>
      </c>
      <c r="N5889" t="s">
        <v>44905</v>
      </c>
      <c r="O5889" t="s">
        <v>44906</v>
      </c>
      <c r="P5889">
        <v>0</v>
      </c>
      <c r="Q5889">
        <v>0</v>
      </c>
      <c r="R5889" t="s">
        <v>44909</v>
      </c>
      <c r="S5889" t="s">
        <v>45060</v>
      </c>
      <c r="T5889" t="s">
        <v>46712</v>
      </c>
      <c r="U5889" t="s">
        <v>51709</v>
      </c>
      <c r="W5889" t="s">
        <v>42978</v>
      </c>
      <c r="X5889" t="s">
        <v>44910</v>
      </c>
    </row>
    <row r="5890" spans="1:24">
      <c r="A5890">
        <f>HYPERLINK("https://www.philgeps.gov.ph/GEPSNONPILOT/Tender/SplashBidNoticeAbstractUI.aspx?menuIndex=3&amp;refID=7077135&amp;Result=3","7077135")</f>
        <v>0</v>
      </c>
      <c r="B5890" t="s">
        <v>298</v>
      </c>
      <c r="C5890" t="s">
        <v>9146</v>
      </c>
      <c r="D5890" t="s">
        <v>18168</v>
      </c>
      <c r="E5890" t="s">
        <v>23452</v>
      </c>
      <c r="F5890" t="s">
        <v>31362</v>
      </c>
      <c r="G5890" t="s">
        <v>31368</v>
      </c>
      <c r="H5890" t="s">
        <v>15799</v>
      </c>
      <c r="I5890" t="s">
        <v>31398</v>
      </c>
      <c r="J5890" t="s">
        <v>31541</v>
      </c>
      <c r="K5890" t="s">
        <v>40670</v>
      </c>
      <c r="M5890" t="s">
        <v>42685</v>
      </c>
      <c r="N5890" t="s">
        <v>44905</v>
      </c>
      <c r="O5890" t="s">
        <v>44906</v>
      </c>
      <c r="P5890">
        <v>0</v>
      </c>
      <c r="Q5890">
        <v>0</v>
      </c>
      <c r="R5890" t="s">
        <v>44909</v>
      </c>
      <c r="S5890" t="s">
        <v>45060</v>
      </c>
      <c r="T5890" t="s">
        <v>46434</v>
      </c>
      <c r="U5890" t="s">
        <v>51710</v>
      </c>
      <c r="W5890" t="s">
        <v>42685</v>
      </c>
      <c r="X5890" t="s">
        <v>44910</v>
      </c>
    </row>
    <row r="5891" spans="1:24">
      <c r="A5891">
        <f>HYPERLINK("https://www.philgeps.gov.ph/GEPSNONPILOT/Tender/SplashBidNoticeAbstractUI.aspx?menuIndex=3&amp;refID=7077147&amp;Result=3","7077147")</f>
        <v>0</v>
      </c>
      <c r="B5891" t="s">
        <v>563</v>
      </c>
      <c r="C5891" t="s">
        <v>9147</v>
      </c>
      <c r="D5891" t="s">
        <v>18124</v>
      </c>
      <c r="E5891" t="s">
        <v>23453</v>
      </c>
      <c r="F5891" t="s">
        <v>31362</v>
      </c>
      <c r="G5891" t="s">
        <v>31369</v>
      </c>
      <c r="H5891" t="s">
        <v>31378</v>
      </c>
      <c r="I5891" t="s">
        <v>31386</v>
      </c>
      <c r="J5891" t="s">
        <v>31687</v>
      </c>
      <c r="K5891" t="s">
        <v>40666</v>
      </c>
      <c r="M5891" t="s">
        <v>41519</v>
      </c>
      <c r="N5891" t="s">
        <v>44905</v>
      </c>
      <c r="O5891" t="s">
        <v>44906</v>
      </c>
      <c r="P5891">
        <v>0</v>
      </c>
      <c r="Q5891">
        <v>3</v>
      </c>
      <c r="R5891" t="s">
        <v>44909</v>
      </c>
      <c r="S5891" t="s">
        <v>45060</v>
      </c>
      <c r="T5891" t="s">
        <v>46433</v>
      </c>
      <c r="U5891" t="s">
        <v>51711</v>
      </c>
      <c r="W5891" t="s">
        <v>41519</v>
      </c>
      <c r="X5891" t="s">
        <v>44910</v>
      </c>
    </row>
    <row r="5892" spans="1:24">
      <c r="A5892">
        <f>HYPERLINK("https://www.philgeps.gov.ph/GEPSNONPILOT/Tender/SplashBidNoticeAbstractUI.aspx?menuIndex=3&amp;refID=7077134&amp;Result=3","7077134")</f>
        <v>0</v>
      </c>
      <c r="B5892" t="s">
        <v>206</v>
      </c>
      <c r="C5892" t="s">
        <v>9148</v>
      </c>
      <c r="D5892" t="s">
        <v>18143</v>
      </c>
      <c r="E5892" t="s">
        <v>23454</v>
      </c>
      <c r="F5892" t="s">
        <v>31362</v>
      </c>
      <c r="G5892" t="s">
        <v>31368</v>
      </c>
      <c r="H5892" t="s">
        <v>15799</v>
      </c>
      <c r="I5892" t="s">
        <v>31422</v>
      </c>
      <c r="J5892" t="s">
        <v>31849</v>
      </c>
      <c r="K5892" t="s">
        <v>40665</v>
      </c>
      <c r="M5892" t="s">
        <v>41145</v>
      </c>
      <c r="N5892" t="s">
        <v>44905</v>
      </c>
      <c r="O5892" t="s">
        <v>44906</v>
      </c>
      <c r="P5892">
        <v>0</v>
      </c>
      <c r="Q5892">
        <v>4</v>
      </c>
      <c r="R5892" t="s">
        <v>44909</v>
      </c>
      <c r="S5892" t="s">
        <v>45060</v>
      </c>
      <c r="T5892" t="s">
        <v>46438</v>
      </c>
      <c r="U5892" t="s">
        <v>51712</v>
      </c>
      <c r="W5892" t="s">
        <v>41145</v>
      </c>
      <c r="X5892" t="s">
        <v>44910</v>
      </c>
    </row>
    <row r="5893" spans="1:24">
      <c r="A5893">
        <f>HYPERLINK("https://www.philgeps.gov.ph/GEPSNONPILOT/Tender/SplashBidNoticeAbstractUI.aspx?menuIndex=3&amp;refID=7077133&amp;Result=3","7077133")</f>
        <v>0</v>
      </c>
      <c r="B5893" t="s">
        <v>1901</v>
      </c>
      <c r="C5893" t="s">
        <v>9149</v>
      </c>
      <c r="E5893" t="s">
        <v>23455</v>
      </c>
      <c r="F5893" t="s">
        <v>31362</v>
      </c>
      <c r="G5893" t="s">
        <v>31368</v>
      </c>
      <c r="H5893" t="s">
        <v>15799</v>
      </c>
      <c r="I5893" t="s">
        <v>31393</v>
      </c>
      <c r="J5893" t="s">
        <v>31546</v>
      </c>
      <c r="K5893" t="s">
        <v>40662</v>
      </c>
      <c r="M5893" t="s">
        <v>42996</v>
      </c>
      <c r="N5893" t="s">
        <v>44905</v>
      </c>
      <c r="O5893" t="s">
        <v>44906</v>
      </c>
      <c r="P5893">
        <v>0</v>
      </c>
      <c r="Q5893">
        <v>9</v>
      </c>
      <c r="R5893" t="s">
        <v>44909</v>
      </c>
      <c r="S5893" t="s">
        <v>45060</v>
      </c>
      <c r="T5893" t="s">
        <v>46409</v>
      </c>
      <c r="U5893" t="s">
        <v>51713</v>
      </c>
      <c r="W5893" t="s">
        <v>42996</v>
      </c>
      <c r="X5893" t="s">
        <v>44910</v>
      </c>
    </row>
    <row r="5894" spans="1:24">
      <c r="A5894">
        <f>HYPERLINK("https://www.philgeps.gov.ph/GEPSNONPILOT/Tender/SplashBidNoticeAbstractUI.aspx?menuIndex=3&amp;refID=7077130&amp;Result=3","7077130")</f>
        <v>0</v>
      </c>
      <c r="B5894" t="s">
        <v>565</v>
      </c>
      <c r="C5894" t="s">
        <v>9150</v>
      </c>
      <c r="D5894" t="s">
        <v>18124</v>
      </c>
      <c r="E5894" t="s">
        <v>23456</v>
      </c>
      <c r="F5894" t="s">
        <v>31362</v>
      </c>
      <c r="G5894" t="s">
        <v>31369</v>
      </c>
      <c r="H5894" t="s">
        <v>15799</v>
      </c>
      <c r="I5894" t="s">
        <v>31404</v>
      </c>
      <c r="J5894" t="s">
        <v>35234</v>
      </c>
      <c r="K5894" t="s">
        <v>40679</v>
      </c>
      <c r="M5894" t="s">
        <v>41521</v>
      </c>
      <c r="N5894" t="s">
        <v>44905</v>
      </c>
      <c r="O5894" t="s">
        <v>44906</v>
      </c>
      <c r="P5894">
        <v>0</v>
      </c>
      <c r="Q5894">
        <v>0</v>
      </c>
      <c r="R5894" t="s">
        <v>44909</v>
      </c>
      <c r="S5894" t="s">
        <v>45060</v>
      </c>
      <c r="T5894" t="s">
        <v>46435</v>
      </c>
      <c r="U5894" t="s">
        <v>51714</v>
      </c>
      <c r="W5894" t="s">
        <v>41521</v>
      </c>
      <c r="X5894" t="s">
        <v>44910</v>
      </c>
    </row>
    <row r="5895" spans="1:24">
      <c r="A5895">
        <f>HYPERLINK("https://www.philgeps.gov.ph/GEPSNONPILOT/Tender/SplashBidNoticeAbstractUI.aspx?menuIndex=3&amp;refID=7077128&amp;Result=3","7077128")</f>
        <v>0</v>
      </c>
      <c r="B5895" t="s">
        <v>1902</v>
      </c>
      <c r="C5895" t="s">
        <v>9151</v>
      </c>
      <c r="D5895" t="s">
        <v>18122</v>
      </c>
      <c r="E5895" t="s">
        <v>23457</v>
      </c>
      <c r="F5895" t="s">
        <v>31362</v>
      </c>
      <c r="G5895" t="s">
        <v>31376</v>
      </c>
      <c r="H5895" t="s">
        <v>31377</v>
      </c>
      <c r="I5895" t="s">
        <v>31377</v>
      </c>
      <c r="J5895" t="s">
        <v>35235</v>
      </c>
      <c r="K5895" t="s">
        <v>40679</v>
      </c>
      <c r="M5895" t="s">
        <v>42997</v>
      </c>
      <c r="N5895" t="s">
        <v>44905</v>
      </c>
      <c r="O5895" t="s">
        <v>44906</v>
      </c>
      <c r="P5895">
        <v>0</v>
      </c>
      <c r="Q5895">
        <v>8</v>
      </c>
      <c r="R5895" t="s">
        <v>44909</v>
      </c>
      <c r="S5895" t="s">
        <v>45060</v>
      </c>
      <c r="T5895" t="s">
        <v>46400</v>
      </c>
      <c r="U5895" t="s">
        <v>51715</v>
      </c>
      <c r="W5895" t="s">
        <v>42997</v>
      </c>
      <c r="X5895" t="s">
        <v>44910</v>
      </c>
    </row>
    <row r="5896" spans="1:24">
      <c r="A5896">
        <f>HYPERLINK("https://www.philgeps.gov.ph/GEPSNONPILOT/Tender/SplashBidNoticeAbstractUI.aspx?menuIndex=3&amp;refID=7077127&amp;Result=3","7077127")</f>
        <v>0</v>
      </c>
      <c r="B5896" t="s">
        <v>1381</v>
      </c>
      <c r="C5896" t="s">
        <v>9152</v>
      </c>
      <c r="D5896" t="s">
        <v>18123</v>
      </c>
      <c r="E5896" t="s">
        <v>23458</v>
      </c>
      <c r="F5896" t="s">
        <v>31362</v>
      </c>
      <c r="G5896" t="s">
        <v>31368</v>
      </c>
      <c r="H5896" t="s">
        <v>15799</v>
      </c>
      <c r="I5896" t="s">
        <v>3815</v>
      </c>
      <c r="J5896" t="s">
        <v>35236</v>
      </c>
      <c r="K5896" t="s">
        <v>40666</v>
      </c>
      <c r="M5896" t="s">
        <v>42405</v>
      </c>
      <c r="N5896" t="s">
        <v>44905</v>
      </c>
      <c r="O5896" t="s">
        <v>44906</v>
      </c>
      <c r="P5896">
        <v>0</v>
      </c>
      <c r="Q5896">
        <v>0</v>
      </c>
      <c r="R5896" t="s">
        <v>44909</v>
      </c>
      <c r="S5896" t="s">
        <v>45060</v>
      </c>
      <c r="T5896" t="s">
        <v>46443</v>
      </c>
      <c r="U5896" t="s">
        <v>50883</v>
      </c>
      <c r="W5896" t="s">
        <v>42405</v>
      </c>
      <c r="X5896" t="s">
        <v>44910</v>
      </c>
    </row>
    <row r="5897" spans="1:24">
      <c r="A5897">
        <f>HYPERLINK("https://www.philgeps.gov.ph/GEPSNONPILOT/Tender/SplashBidNoticeAbstractUI.aspx?menuIndex=3&amp;refID=7077126&amp;Result=3","7077126")</f>
        <v>0</v>
      </c>
      <c r="B5897" t="s">
        <v>592</v>
      </c>
      <c r="C5897" t="s">
        <v>9153</v>
      </c>
      <c r="D5897" t="s">
        <v>18100</v>
      </c>
      <c r="E5897" t="s">
        <v>23459</v>
      </c>
      <c r="F5897" t="s">
        <v>31362</v>
      </c>
      <c r="G5897" t="s">
        <v>31368</v>
      </c>
      <c r="H5897" t="s">
        <v>31379</v>
      </c>
      <c r="I5897" t="s">
        <v>31421</v>
      </c>
      <c r="J5897" t="s">
        <v>31530</v>
      </c>
      <c r="K5897" t="s">
        <v>40665</v>
      </c>
      <c r="M5897" t="s">
        <v>41549</v>
      </c>
      <c r="N5897" t="s">
        <v>44905</v>
      </c>
      <c r="O5897" t="s">
        <v>44906</v>
      </c>
      <c r="P5897">
        <v>0</v>
      </c>
      <c r="Q5897">
        <v>1</v>
      </c>
      <c r="R5897" t="s">
        <v>44909</v>
      </c>
      <c r="S5897" t="s">
        <v>45060</v>
      </c>
      <c r="T5897" t="s">
        <v>46414</v>
      </c>
      <c r="U5897" t="s">
        <v>51716</v>
      </c>
      <c r="W5897" t="s">
        <v>41549</v>
      </c>
      <c r="X5897" t="s">
        <v>44910</v>
      </c>
    </row>
    <row r="5898" spans="1:24">
      <c r="A5898">
        <f>HYPERLINK("https://www.philgeps.gov.ph/GEPSNONPILOT/Tender/SplashBidNoticeAbstractUI.aspx?menuIndex=3&amp;refID=7077118&amp;Result=3","7077118")</f>
        <v>0</v>
      </c>
      <c r="B5898" t="s">
        <v>1903</v>
      </c>
      <c r="C5898" t="s">
        <v>9154</v>
      </c>
      <c r="D5898" t="s">
        <v>18172</v>
      </c>
      <c r="E5898" t="s">
        <v>23460</v>
      </c>
      <c r="F5898" t="s">
        <v>31362</v>
      </c>
      <c r="G5898" t="s">
        <v>31368</v>
      </c>
      <c r="H5898" t="s">
        <v>15799</v>
      </c>
      <c r="I5898" t="s">
        <v>31393</v>
      </c>
      <c r="J5898" t="s">
        <v>35237</v>
      </c>
      <c r="K5898" t="s">
        <v>40666</v>
      </c>
      <c r="M5898" t="s">
        <v>42998</v>
      </c>
      <c r="N5898" t="s">
        <v>44905</v>
      </c>
      <c r="O5898" t="s">
        <v>44906</v>
      </c>
      <c r="P5898">
        <v>0</v>
      </c>
      <c r="Q5898">
        <v>3</v>
      </c>
      <c r="R5898" t="s">
        <v>44909</v>
      </c>
      <c r="S5898" t="s">
        <v>45060</v>
      </c>
      <c r="T5898" t="s">
        <v>46438</v>
      </c>
      <c r="U5898" t="s">
        <v>51717</v>
      </c>
      <c r="W5898" t="s">
        <v>42998</v>
      </c>
      <c r="X5898" t="s">
        <v>44910</v>
      </c>
    </row>
    <row r="5899" spans="1:24">
      <c r="A5899">
        <f>HYPERLINK("https://www.philgeps.gov.ph/GEPSNONPILOT/Tender/SplashBidNoticeAbstractUI.aspx?menuIndex=3&amp;refID=7077146&amp;Result=3","7077146")</f>
        <v>0</v>
      </c>
      <c r="B5899" t="s">
        <v>374</v>
      </c>
      <c r="C5899" t="s">
        <v>4228</v>
      </c>
      <c r="D5899" t="s">
        <v>18106</v>
      </c>
      <c r="E5899" t="s">
        <v>23461</v>
      </c>
      <c r="F5899" t="s">
        <v>31362</v>
      </c>
      <c r="G5899" t="s">
        <v>31368</v>
      </c>
      <c r="H5899" t="s">
        <v>31378</v>
      </c>
      <c r="I5899" t="s">
        <v>31392</v>
      </c>
      <c r="J5899" t="s">
        <v>32081</v>
      </c>
      <c r="K5899" t="s">
        <v>40662</v>
      </c>
      <c r="M5899" t="s">
        <v>41321</v>
      </c>
      <c r="N5899" t="s">
        <v>44905</v>
      </c>
      <c r="O5899" t="s">
        <v>44906</v>
      </c>
      <c r="P5899">
        <v>0</v>
      </c>
      <c r="Q5899">
        <v>2</v>
      </c>
      <c r="R5899" t="s">
        <v>44909</v>
      </c>
      <c r="S5899" t="s">
        <v>45060</v>
      </c>
      <c r="T5899" t="s">
        <v>46419</v>
      </c>
      <c r="U5899" t="s">
        <v>47561</v>
      </c>
      <c r="W5899" t="s">
        <v>41321</v>
      </c>
      <c r="X5899" t="s">
        <v>44910</v>
      </c>
    </row>
    <row r="5900" spans="1:24">
      <c r="A5900">
        <f>HYPERLINK("https://www.philgeps.gov.ph/GEPSNONPILOT/Tender/SplashBidNoticeAbstractUI.aspx?menuIndex=3&amp;refID=7077131&amp;Result=3","7077131")</f>
        <v>0</v>
      </c>
      <c r="B5900" t="s">
        <v>550</v>
      </c>
      <c r="C5900" t="s">
        <v>9155</v>
      </c>
      <c r="D5900" t="s">
        <v>18138</v>
      </c>
      <c r="E5900" t="s">
        <v>23462</v>
      </c>
      <c r="F5900" t="s">
        <v>31362</v>
      </c>
      <c r="G5900" t="s">
        <v>31368</v>
      </c>
      <c r="H5900" t="s">
        <v>15799</v>
      </c>
      <c r="I5900" t="s">
        <v>7188</v>
      </c>
      <c r="J5900" t="s">
        <v>33255</v>
      </c>
      <c r="K5900" t="s">
        <v>40666</v>
      </c>
      <c r="M5900" t="s">
        <v>41506</v>
      </c>
      <c r="N5900" t="s">
        <v>44905</v>
      </c>
      <c r="O5900" t="s">
        <v>44906</v>
      </c>
      <c r="P5900">
        <v>0</v>
      </c>
      <c r="Q5900">
        <v>2</v>
      </c>
      <c r="R5900" t="s">
        <v>44909</v>
      </c>
      <c r="S5900" t="s">
        <v>45060</v>
      </c>
      <c r="T5900" t="s">
        <v>46409</v>
      </c>
      <c r="U5900" t="s">
        <v>51718</v>
      </c>
      <c r="W5900" t="s">
        <v>41506</v>
      </c>
      <c r="X5900" t="s">
        <v>44910</v>
      </c>
    </row>
    <row r="5901" spans="1:24">
      <c r="A5901">
        <f>HYPERLINK("https://www.philgeps.gov.ph/GEPSNONPILOT/Tender/SplashBidNoticeAbstractUI.aspx?menuIndex=3&amp;refID=7077101&amp;Result=3","7077101")</f>
        <v>0</v>
      </c>
      <c r="B5901" t="s">
        <v>1886</v>
      </c>
      <c r="C5901" t="s">
        <v>9156</v>
      </c>
      <c r="D5901" t="s">
        <v>18174</v>
      </c>
      <c r="E5901" t="s">
        <v>23463</v>
      </c>
      <c r="F5901" t="s">
        <v>31362</v>
      </c>
      <c r="G5901" t="s">
        <v>31368</v>
      </c>
      <c r="H5901" t="s">
        <v>15799</v>
      </c>
      <c r="I5901" t="s">
        <v>7188</v>
      </c>
      <c r="J5901" t="s">
        <v>32149</v>
      </c>
      <c r="K5901" t="s">
        <v>40662</v>
      </c>
      <c r="M5901" t="s">
        <v>42980</v>
      </c>
      <c r="N5901" t="s">
        <v>44905</v>
      </c>
      <c r="O5901" t="s">
        <v>44906</v>
      </c>
      <c r="P5901">
        <v>0</v>
      </c>
      <c r="Q5901">
        <v>5</v>
      </c>
      <c r="R5901" t="s">
        <v>44909</v>
      </c>
      <c r="S5901" t="s">
        <v>45060</v>
      </c>
      <c r="T5901" t="s">
        <v>46428</v>
      </c>
      <c r="U5901" t="s">
        <v>51719</v>
      </c>
      <c r="W5901" t="s">
        <v>42980</v>
      </c>
      <c r="X5901" t="s">
        <v>44910</v>
      </c>
    </row>
    <row r="5902" spans="1:24">
      <c r="A5902">
        <f>HYPERLINK("https://www.philgeps.gov.ph/GEPSNONPILOT/Tender/SplashBidNoticeAbstractUI.aspx?menuIndex=3&amp;refID=7077153&amp;Result=3","7077153")</f>
        <v>0</v>
      </c>
      <c r="B5902" t="s">
        <v>1158</v>
      </c>
      <c r="C5902" t="s">
        <v>9157</v>
      </c>
      <c r="D5902" t="s">
        <v>18120</v>
      </c>
      <c r="E5902" t="s">
        <v>23464</v>
      </c>
      <c r="F5902" t="s">
        <v>31362</v>
      </c>
      <c r="G5902" t="s">
        <v>31368</v>
      </c>
      <c r="H5902" t="s">
        <v>15799</v>
      </c>
      <c r="I5902" t="s">
        <v>4057</v>
      </c>
      <c r="J5902" t="s">
        <v>35238</v>
      </c>
      <c r="K5902" t="s">
        <v>40662</v>
      </c>
      <c r="M5902" t="s">
        <v>42167</v>
      </c>
      <c r="N5902" t="s">
        <v>44905</v>
      </c>
      <c r="O5902" t="s">
        <v>44906</v>
      </c>
      <c r="P5902">
        <v>0</v>
      </c>
      <c r="Q5902">
        <v>0</v>
      </c>
      <c r="R5902" t="s">
        <v>44909</v>
      </c>
      <c r="S5902" t="s">
        <v>45060</v>
      </c>
      <c r="T5902" t="s">
        <v>46538</v>
      </c>
      <c r="U5902" t="s">
        <v>51720</v>
      </c>
      <c r="W5902" t="s">
        <v>42167</v>
      </c>
      <c r="X5902" t="s">
        <v>44910</v>
      </c>
    </row>
    <row r="5903" spans="1:24">
      <c r="A5903">
        <f>HYPERLINK("https://www.philgeps.gov.ph/GEPSNONPILOT/Tender/SplashBidNoticeAbstractUI.aspx?menuIndex=3&amp;refID=7077174&amp;Result=3","7077174")</f>
        <v>0</v>
      </c>
      <c r="B5903" t="s">
        <v>1429</v>
      </c>
      <c r="C5903" t="s">
        <v>9158</v>
      </c>
      <c r="D5903" t="s">
        <v>18138</v>
      </c>
      <c r="E5903" t="s">
        <v>23465</v>
      </c>
      <c r="F5903" t="s">
        <v>31362</v>
      </c>
      <c r="G5903" t="s">
        <v>31368</v>
      </c>
      <c r="H5903" t="s">
        <v>15799</v>
      </c>
      <c r="I5903" t="s">
        <v>7188</v>
      </c>
      <c r="J5903" t="s">
        <v>31897</v>
      </c>
      <c r="K5903" t="s">
        <v>40661</v>
      </c>
      <c r="M5903" t="s">
        <v>42457</v>
      </c>
      <c r="N5903" t="s">
        <v>44905</v>
      </c>
      <c r="O5903" t="s">
        <v>44906</v>
      </c>
      <c r="P5903">
        <v>0</v>
      </c>
      <c r="Q5903">
        <v>1</v>
      </c>
      <c r="R5903" t="s">
        <v>44909</v>
      </c>
      <c r="S5903" t="s">
        <v>45060</v>
      </c>
      <c r="T5903" t="s">
        <v>46432</v>
      </c>
      <c r="U5903" t="s">
        <v>51721</v>
      </c>
      <c r="W5903" t="s">
        <v>42457</v>
      </c>
      <c r="X5903" t="s">
        <v>44910</v>
      </c>
    </row>
    <row r="5904" spans="1:24">
      <c r="A5904">
        <f>HYPERLINK("https://www.philgeps.gov.ph/GEPSNONPILOT/Tender/SplashBidNoticeAbstractUI.aspx?menuIndex=3&amp;refID=7077158&amp;Result=3","7077158")</f>
        <v>0</v>
      </c>
      <c r="B5904" t="s">
        <v>546</v>
      </c>
      <c r="C5904" t="s">
        <v>9159</v>
      </c>
      <c r="D5904" t="s">
        <v>18133</v>
      </c>
      <c r="E5904" t="s">
        <v>23466</v>
      </c>
      <c r="F5904" t="s">
        <v>31362</v>
      </c>
      <c r="G5904" t="s">
        <v>31368</v>
      </c>
      <c r="H5904" t="s">
        <v>15799</v>
      </c>
      <c r="I5904" t="s">
        <v>6240</v>
      </c>
      <c r="J5904" t="s">
        <v>35239</v>
      </c>
      <c r="K5904" t="s">
        <v>40662</v>
      </c>
      <c r="L5904" t="s">
        <v>546</v>
      </c>
      <c r="M5904" t="s">
        <v>41502</v>
      </c>
      <c r="N5904" t="s">
        <v>44905</v>
      </c>
      <c r="O5904" t="s">
        <v>44906</v>
      </c>
      <c r="P5904">
        <v>0</v>
      </c>
      <c r="Q5904">
        <v>1</v>
      </c>
      <c r="R5904" t="s">
        <v>44909</v>
      </c>
      <c r="S5904" t="s">
        <v>45060</v>
      </c>
      <c r="T5904" t="s">
        <v>46393</v>
      </c>
      <c r="U5904" t="s">
        <v>47974</v>
      </c>
      <c r="W5904" t="s">
        <v>41502</v>
      </c>
      <c r="X5904" t="s">
        <v>44910</v>
      </c>
    </row>
    <row r="5905" spans="1:24">
      <c r="A5905">
        <f>HYPERLINK("https://www.philgeps.gov.ph/GEPSNONPILOT/Tender/SplashBidNoticeAbstractUI.aspx?menuIndex=3&amp;refID=7077157&amp;Result=3","7077157")</f>
        <v>0</v>
      </c>
      <c r="B5905" t="s">
        <v>1904</v>
      </c>
      <c r="C5905" t="s">
        <v>9160</v>
      </c>
      <c r="D5905" t="s">
        <v>18108</v>
      </c>
      <c r="E5905" t="s">
        <v>23467</v>
      </c>
      <c r="F5905" t="s">
        <v>31362</v>
      </c>
      <c r="G5905" t="s">
        <v>31370</v>
      </c>
      <c r="H5905" t="s">
        <v>15799</v>
      </c>
      <c r="I5905" t="s">
        <v>6240</v>
      </c>
      <c r="J5905" t="s">
        <v>31866</v>
      </c>
      <c r="K5905" t="s">
        <v>40672</v>
      </c>
      <c r="M5905" t="s">
        <v>42999</v>
      </c>
      <c r="N5905" t="s">
        <v>44905</v>
      </c>
      <c r="O5905" t="s">
        <v>44906</v>
      </c>
      <c r="P5905">
        <v>0</v>
      </c>
      <c r="Q5905">
        <v>1</v>
      </c>
      <c r="R5905" t="s">
        <v>44909</v>
      </c>
      <c r="S5905" t="s">
        <v>45060</v>
      </c>
      <c r="T5905" t="s">
        <v>46404</v>
      </c>
      <c r="U5905" t="s">
        <v>51722</v>
      </c>
      <c r="W5905" t="s">
        <v>42999</v>
      </c>
      <c r="X5905" t="s">
        <v>44910</v>
      </c>
    </row>
    <row r="5906" spans="1:24">
      <c r="A5906">
        <f>HYPERLINK("https://www.philgeps.gov.ph/GEPSNONPILOT/Tender/SplashBidNoticeAbstractUI.aspx?menuIndex=3&amp;refID=7077155&amp;Result=3","7077155")</f>
        <v>0</v>
      </c>
      <c r="B5906" t="s">
        <v>1886</v>
      </c>
      <c r="C5906" t="s">
        <v>9161</v>
      </c>
      <c r="D5906" t="s">
        <v>18174</v>
      </c>
      <c r="E5906" t="s">
        <v>23468</v>
      </c>
      <c r="F5906" t="s">
        <v>31362</v>
      </c>
      <c r="G5906" t="s">
        <v>31368</v>
      </c>
      <c r="H5906" t="s">
        <v>15799</v>
      </c>
      <c r="I5906" t="s">
        <v>31431</v>
      </c>
      <c r="J5906" t="s">
        <v>35240</v>
      </c>
      <c r="K5906" t="s">
        <v>40662</v>
      </c>
      <c r="M5906" t="s">
        <v>42980</v>
      </c>
      <c r="N5906" t="s">
        <v>44905</v>
      </c>
      <c r="O5906" t="s">
        <v>44906</v>
      </c>
      <c r="P5906">
        <v>0</v>
      </c>
      <c r="Q5906">
        <v>0</v>
      </c>
      <c r="R5906" t="s">
        <v>44909</v>
      </c>
      <c r="S5906" t="s">
        <v>45060</v>
      </c>
      <c r="T5906" t="s">
        <v>46428</v>
      </c>
      <c r="U5906" t="s">
        <v>51723</v>
      </c>
      <c r="W5906" t="s">
        <v>42980</v>
      </c>
      <c r="X5906" t="s">
        <v>44910</v>
      </c>
    </row>
    <row r="5907" spans="1:24">
      <c r="A5907">
        <f>HYPERLINK("https://www.philgeps.gov.ph/GEPSNONPILOT/Tender/SplashBidNoticeAbstractUI.aspx?menuIndex=3&amp;refID=7077154&amp;Result=3","7077154")</f>
        <v>0</v>
      </c>
      <c r="B5907" t="s">
        <v>1827</v>
      </c>
      <c r="C5907" t="s">
        <v>9162</v>
      </c>
      <c r="D5907" t="s">
        <v>18138</v>
      </c>
      <c r="E5907" t="s">
        <v>23469</v>
      </c>
      <c r="F5907" t="s">
        <v>31362</v>
      </c>
      <c r="G5907" t="s">
        <v>31368</v>
      </c>
      <c r="H5907" t="s">
        <v>15799</v>
      </c>
      <c r="I5907" t="s">
        <v>31485</v>
      </c>
      <c r="J5907" t="s">
        <v>35241</v>
      </c>
      <c r="K5907" t="s">
        <v>40670</v>
      </c>
      <c r="M5907" t="s">
        <v>42911</v>
      </c>
      <c r="N5907" t="s">
        <v>44905</v>
      </c>
      <c r="O5907" t="s">
        <v>44906</v>
      </c>
      <c r="P5907">
        <v>0</v>
      </c>
      <c r="Q5907">
        <v>5</v>
      </c>
      <c r="R5907" t="s">
        <v>44909</v>
      </c>
      <c r="S5907" t="s">
        <v>45060</v>
      </c>
      <c r="T5907" t="s">
        <v>46414</v>
      </c>
      <c r="U5907" t="s">
        <v>51480</v>
      </c>
      <c r="V5907" t="s">
        <v>59596</v>
      </c>
      <c r="W5907" t="s">
        <v>42911</v>
      </c>
      <c r="X5907" t="s">
        <v>44910</v>
      </c>
    </row>
    <row r="5908" spans="1:24">
      <c r="A5908">
        <f>HYPERLINK("https://www.philgeps.gov.ph/GEPSNONPILOT/Tender/SplashBidNoticeAbstractUI.aspx?menuIndex=3&amp;refID=7077192&amp;Result=3","7077192")</f>
        <v>0</v>
      </c>
      <c r="B5908" t="s">
        <v>1791</v>
      </c>
      <c r="C5908" t="s">
        <v>9163</v>
      </c>
      <c r="D5908" t="s">
        <v>18107</v>
      </c>
      <c r="E5908" t="s">
        <v>23470</v>
      </c>
      <c r="F5908" t="s">
        <v>31362</v>
      </c>
      <c r="G5908" t="s">
        <v>31368</v>
      </c>
      <c r="H5908" t="s">
        <v>15799</v>
      </c>
      <c r="I5908" t="s">
        <v>3815</v>
      </c>
      <c r="J5908" t="s">
        <v>35242</v>
      </c>
      <c r="K5908" t="s">
        <v>40665</v>
      </c>
      <c r="M5908" t="s">
        <v>42873</v>
      </c>
      <c r="N5908" t="s">
        <v>44905</v>
      </c>
      <c r="O5908" t="s">
        <v>44906</v>
      </c>
      <c r="P5908">
        <v>0</v>
      </c>
      <c r="Q5908">
        <v>0</v>
      </c>
      <c r="R5908" t="s">
        <v>44909</v>
      </c>
      <c r="S5908" t="s">
        <v>45060</v>
      </c>
      <c r="T5908" t="s">
        <v>46454</v>
      </c>
      <c r="U5908" t="s">
        <v>51724</v>
      </c>
      <c r="W5908" t="s">
        <v>42873</v>
      </c>
      <c r="X5908" t="s">
        <v>44910</v>
      </c>
    </row>
    <row r="5909" spans="1:24">
      <c r="A5909">
        <f>HYPERLINK("https://www.philgeps.gov.ph/GEPSNONPILOT/Tender/SplashBidNoticeAbstractUI.aspx?menuIndex=3&amp;refID=7077190&amp;Result=3","7077190")</f>
        <v>0</v>
      </c>
      <c r="B5909" t="s">
        <v>117</v>
      </c>
      <c r="C5909" t="s">
        <v>9164</v>
      </c>
      <c r="D5909" t="s">
        <v>18104</v>
      </c>
      <c r="E5909" t="s">
        <v>23471</v>
      </c>
      <c r="F5909" t="s">
        <v>31362</v>
      </c>
      <c r="G5909" t="s">
        <v>31369</v>
      </c>
      <c r="H5909" t="s">
        <v>31378</v>
      </c>
      <c r="I5909" t="s">
        <v>31386</v>
      </c>
      <c r="J5909" t="s">
        <v>35243</v>
      </c>
      <c r="K5909" t="s">
        <v>40662</v>
      </c>
      <c r="M5909" t="s">
        <v>42279</v>
      </c>
      <c r="N5909" t="s">
        <v>44905</v>
      </c>
      <c r="O5909" t="s">
        <v>44906</v>
      </c>
      <c r="P5909">
        <v>0</v>
      </c>
      <c r="Q5909">
        <v>5</v>
      </c>
      <c r="R5909" t="s">
        <v>44909</v>
      </c>
      <c r="S5909" t="s">
        <v>45060</v>
      </c>
      <c r="T5909" t="s">
        <v>46461</v>
      </c>
      <c r="U5909" t="s">
        <v>51725</v>
      </c>
      <c r="W5909" t="s">
        <v>42279</v>
      </c>
      <c r="X5909" t="s">
        <v>44910</v>
      </c>
    </row>
    <row r="5910" spans="1:24">
      <c r="A5910">
        <f>HYPERLINK("https://www.philgeps.gov.ph/GEPSNONPILOT/Tender/SplashBidNoticeAbstractUI.aspx?menuIndex=3&amp;refID=7077186&amp;Result=3","7077186")</f>
        <v>0</v>
      </c>
      <c r="B5910" t="s">
        <v>1381</v>
      </c>
      <c r="C5910" t="s">
        <v>9165</v>
      </c>
      <c r="D5910" t="s">
        <v>18123</v>
      </c>
      <c r="E5910" t="s">
        <v>23472</v>
      </c>
      <c r="F5910" t="s">
        <v>31362</v>
      </c>
      <c r="G5910" t="s">
        <v>31371</v>
      </c>
      <c r="H5910" t="s">
        <v>15799</v>
      </c>
      <c r="I5910" t="s">
        <v>31385</v>
      </c>
      <c r="J5910" t="s">
        <v>35244</v>
      </c>
      <c r="K5910" t="s">
        <v>40666</v>
      </c>
      <c r="M5910" t="s">
        <v>42405</v>
      </c>
      <c r="N5910" t="s">
        <v>44905</v>
      </c>
      <c r="O5910" t="s">
        <v>44906</v>
      </c>
      <c r="P5910">
        <v>0</v>
      </c>
      <c r="Q5910">
        <v>2</v>
      </c>
      <c r="R5910" t="s">
        <v>44909</v>
      </c>
      <c r="S5910" t="s">
        <v>45060</v>
      </c>
      <c r="T5910" t="s">
        <v>46443</v>
      </c>
      <c r="U5910" t="s">
        <v>50883</v>
      </c>
      <c r="W5910" t="s">
        <v>42405</v>
      </c>
      <c r="X5910" t="s">
        <v>44910</v>
      </c>
    </row>
    <row r="5911" spans="1:24">
      <c r="A5911">
        <f>HYPERLINK("https://www.philgeps.gov.ph/GEPSNONPILOT/Tender/SplashBidNoticeAbstractUI.aspx?menuIndex=3&amp;refID=7077185&amp;Result=3","7077185")</f>
        <v>0</v>
      </c>
      <c r="B5911" t="s">
        <v>1158</v>
      </c>
      <c r="C5911" t="s">
        <v>9166</v>
      </c>
      <c r="D5911" t="s">
        <v>18120</v>
      </c>
      <c r="E5911" t="s">
        <v>23473</v>
      </c>
      <c r="F5911" t="s">
        <v>31362</v>
      </c>
      <c r="G5911" t="s">
        <v>31368</v>
      </c>
      <c r="H5911" t="s">
        <v>15799</v>
      </c>
      <c r="I5911" t="s">
        <v>4057</v>
      </c>
      <c r="J5911" t="s">
        <v>35245</v>
      </c>
      <c r="K5911" t="s">
        <v>40662</v>
      </c>
      <c r="M5911" t="s">
        <v>42167</v>
      </c>
      <c r="N5911" t="s">
        <v>44905</v>
      </c>
      <c r="O5911" t="s">
        <v>44906</v>
      </c>
      <c r="P5911">
        <v>0</v>
      </c>
      <c r="Q5911">
        <v>0</v>
      </c>
      <c r="R5911" t="s">
        <v>44909</v>
      </c>
      <c r="S5911" t="s">
        <v>45060</v>
      </c>
      <c r="T5911" t="s">
        <v>46482</v>
      </c>
      <c r="U5911" t="s">
        <v>51726</v>
      </c>
      <c r="W5911" t="s">
        <v>42167</v>
      </c>
      <c r="X5911" t="s">
        <v>44910</v>
      </c>
    </row>
    <row r="5912" spans="1:24">
      <c r="A5912">
        <f>HYPERLINK("https://www.philgeps.gov.ph/GEPSNONPILOT/Tender/SplashBidNoticeAbstractUI.aspx?menuIndex=3&amp;refID=7077182&amp;Result=3","7077182")</f>
        <v>0</v>
      </c>
      <c r="B5912" t="s">
        <v>1761</v>
      </c>
      <c r="C5912" t="s">
        <v>9167</v>
      </c>
      <c r="D5912" t="s">
        <v>18177</v>
      </c>
      <c r="E5912" t="s">
        <v>18496</v>
      </c>
      <c r="F5912" t="s">
        <v>31362</v>
      </c>
      <c r="G5912" t="s">
        <v>31368</v>
      </c>
      <c r="H5912" t="s">
        <v>15799</v>
      </c>
      <c r="I5912" t="s">
        <v>31413</v>
      </c>
      <c r="J5912" t="s">
        <v>32165</v>
      </c>
      <c r="K5912" t="s">
        <v>40661</v>
      </c>
      <c r="M5912" t="s">
        <v>42838</v>
      </c>
      <c r="N5912" t="s">
        <v>44905</v>
      </c>
      <c r="O5912" t="s">
        <v>44906</v>
      </c>
      <c r="P5912">
        <v>0</v>
      </c>
      <c r="Q5912">
        <v>1</v>
      </c>
      <c r="R5912" t="s">
        <v>44909</v>
      </c>
      <c r="S5912" t="s">
        <v>45060</v>
      </c>
      <c r="T5912" t="s">
        <v>46409</v>
      </c>
      <c r="U5912" t="s">
        <v>51727</v>
      </c>
      <c r="W5912" t="s">
        <v>42838</v>
      </c>
      <c r="X5912" t="s">
        <v>44910</v>
      </c>
    </row>
    <row r="5913" spans="1:24">
      <c r="A5913">
        <f>HYPERLINK("https://www.philgeps.gov.ph/GEPSNONPILOT/Tender/SplashBidNoticeAbstractUI.aspx?menuIndex=3&amp;refID=7077178&amp;Result=3","7077178")</f>
        <v>0</v>
      </c>
      <c r="B5913" t="s">
        <v>546</v>
      </c>
      <c r="C5913" t="s">
        <v>9168</v>
      </c>
      <c r="D5913" t="s">
        <v>18133</v>
      </c>
      <c r="E5913" t="s">
        <v>23474</v>
      </c>
      <c r="F5913" t="s">
        <v>31362</v>
      </c>
      <c r="G5913" t="s">
        <v>31368</v>
      </c>
      <c r="H5913" t="s">
        <v>15799</v>
      </c>
      <c r="I5913" t="s">
        <v>6240</v>
      </c>
      <c r="J5913" t="s">
        <v>35246</v>
      </c>
      <c r="K5913" t="s">
        <v>40662</v>
      </c>
      <c r="L5913" t="s">
        <v>546</v>
      </c>
      <c r="M5913" t="s">
        <v>41502</v>
      </c>
      <c r="N5913" t="s">
        <v>44905</v>
      </c>
      <c r="O5913" t="s">
        <v>44906</v>
      </c>
      <c r="P5913">
        <v>0</v>
      </c>
      <c r="Q5913">
        <v>1</v>
      </c>
      <c r="R5913" t="s">
        <v>44909</v>
      </c>
      <c r="S5913" t="s">
        <v>45060</v>
      </c>
      <c r="T5913" t="s">
        <v>46393</v>
      </c>
      <c r="U5913" t="s">
        <v>47974</v>
      </c>
      <c r="W5913" t="s">
        <v>41502</v>
      </c>
      <c r="X5913" t="s">
        <v>44910</v>
      </c>
    </row>
    <row r="5914" spans="1:24">
      <c r="A5914">
        <f>HYPERLINK("https://www.philgeps.gov.ph/GEPSNONPILOT/Tender/SplashBidNoticeAbstractUI.aspx?menuIndex=3&amp;refID=7077175&amp;Result=3","7077175")</f>
        <v>0</v>
      </c>
      <c r="B5914" t="s">
        <v>1356</v>
      </c>
      <c r="C5914" t="s">
        <v>9169</v>
      </c>
      <c r="D5914" t="s">
        <v>18108</v>
      </c>
      <c r="E5914" t="s">
        <v>20237</v>
      </c>
      <c r="F5914" t="s">
        <v>31362</v>
      </c>
      <c r="G5914" t="s">
        <v>31368</v>
      </c>
      <c r="H5914" t="s">
        <v>15799</v>
      </c>
      <c r="I5914" t="s">
        <v>31393</v>
      </c>
      <c r="J5914" t="s">
        <v>35247</v>
      </c>
      <c r="K5914" t="s">
        <v>40665</v>
      </c>
      <c r="M5914" t="s">
        <v>42377</v>
      </c>
      <c r="N5914" t="s">
        <v>44905</v>
      </c>
      <c r="O5914" t="s">
        <v>44906</v>
      </c>
      <c r="P5914">
        <v>0</v>
      </c>
      <c r="Q5914">
        <v>3</v>
      </c>
      <c r="R5914" t="s">
        <v>44909</v>
      </c>
      <c r="S5914" t="s">
        <v>45060</v>
      </c>
      <c r="T5914" t="s">
        <v>46394</v>
      </c>
      <c r="U5914" t="s">
        <v>51728</v>
      </c>
      <c r="W5914" t="s">
        <v>42377</v>
      </c>
      <c r="X5914" t="s">
        <v>44910</v>
      </c>
    </row>
    <row r="5915" spans="1:24">
      <c r="A5915">
        <f>HYPERLINK("https://www.philgeps.gov.ph/GEPSNONPILOT/Tender/SplashBidNoticeAbstractUI.aspx?menuIndex=3&amp;refID=7077183&amp;Result=3","7077183")</f>
        <v>0</v>
      </c>
      <c r="B5915" t="s">
        <v>637</v>
      </c>
      <c r="C5915" t="s">
        <v>9170</v>
      </c>
      <c r="D5915" t="s">
        <v>18102</v>
      </c>
      <c r="E5915" t="s">
        <v>23475</v>
      </c>
      <c r="F5915" t="s">
        <v>31362</v>
      </c>
      <c r="G5915" t="s">
        <v>31369</v>
      </c>
      <c r="H5915" t="s">
        <v>15799</v>
      </c>
      <c r="I5915" t="s">
        <v>31380</v>
      </c>
      <c r="J5915" t="s">
        <v>35248</v>
      </c>
      <c r="K5915" t="s">
        <v>40665</v>
      </c>
      <c r="M5915" t="s">
        <v>41597</v>
      </c>
      <c r="N5915" t="s">
        <v>44905</v>
      </c>
      <c r="O5915" t="s">
        <v>44906</v>
      </c>
      <c r="P5915">
        <v>0</v>
      </c>
      <c r="Q5915">
        <v>5</v>
      </c>
      <c r="R5915" t="s">
        <v>44909</v>
      </c>
      <c r="S5915" t="s">
        <v>45060</v>
      </c>
      <c r="T5915" t="s">
        <v>46697</v>
      </c>
      <c r="U5915" t="s">
        <v>51729</v>
      </c>
      <c r="W5915" t="s">
        <v>41597</v>
      </c>
      <c r="X5915" t="s">
        <v>44910</v>
      </c>
    </row>
    <row r="5916" spans="1:24">
      <c r="A5916">
        <f>HYPERLINK("https://www.philgeps.gov.ph/GEPSNONPILOT/Tender/SplashBidNoticeAbstractUI.aspx?menuIndex=3&amp;refID=7077196&amp;Result=3","7077196")</f>
        <v>0</v>
      </c>
      <c r="B5916" t="s">
        <v>199</v>
      </c>
      <c r="C5916" t="s">
        <v>9171</v>
      </c>
      <c r="D5916" t="s">
        <v>18139</v>
      </c>
      <c r="E5916" t="s">
        <v>23476</v>
      </c>
      <c r="F5916" t="s">
        <v>31362</v>
      </c>
      <c r="G5916" t="s">
        <v>31368</v>
      </c>
      <c r="H5916" t="s">
        <v>15799</v>
      </c>
      <c r="I5916" t="s">
        <v>31465</v>
      </c>
      <c r="J5916" t="s">
        <v>31724</v>
      </c>
      <c r="K5916" t="s">
        <v>40665</v>
      </c>
      <c r="M5916" t="s">
        <v>41227</v>
      </c>
      <c r="N5916" t="s">
        <v>44905</v>
      </c>
      <c r="O5916" t="s">
        <v>44906</v>
      </c>
      <c r="P5916">
        <v>0</v>
      </c>
      <c r="Q5916">
        <v>4</v>
      </c>
      <c r="R5916" t="s">
        <v>44909</v>
      </c>
      <c r="S5916" t="s">
        <v>45060</v>
      </c>
      <c r="T5916" t="s">
        <v>46454</v>
      </c>
      <c r="U5916" t="s">
        <v>51730</v>
      </c>
      <c r="V5916" t="s">
        <v>59613</v>
      </c>
      <c r="W5916" t="s">
        <v>41227</v>
      </c>
      <c r="X5916" t="s">
        <v>44910</v>
      </c>
    </row>
    <row r="5917" spans="1:24">
      <c r="A5917">
        <f>HYPERLINK("https://www.philgeps.gov.ph/GEPSNONPILOT/Tender/SplashBidNoticeAbstractUI.aspx?menuIndex=3&amp;refID=7077194&amp;Result=3","7077194")</f>
        <v>0</v>
      </c>
      <c r="B5917" t="s">
        <v>637</v>
      </c>
      <c r="C5917" t="s">
        <v>9172</v>
      </c>
      <c r="D5917" t="s">
        <v>18102</v>
      </c>
      <c r="E5917" t="s">
        <v>23477</v>
      </c>
      <c r="F5917" t="s">
        <v>31362</v>
      </c>
      <c r="G5917" t="s">
        <v>31369</v>
      </c>
      <c r="H5917" t="s">
        <v>15799</v>
      </c>
      <c r="I5917" t="s">
        <v>7090</v>
      </c>
      <c r="J5917" t="s">
        <v>35249</v>
      </c>
      <c r="K5917" t="s">
        <v>40665</v>
      </c>
      <c r="M5917" t="s">
        <v>41597</v>
      </c>
      <c r="N5917" t="s">
        <v>44905</v>
      </c>
      <c r="O5917" t="s">
        <v>44906</v>
      </c>
      <c r="P5917">
        <v>0</v>
      </c>
      <c r="Q5917">
        <v>2</v>
      </c>
      <c r="R5917" t="s">
        <v>44909</v>
      </c>
      <c r="S5917" t="s">
        <v>45060</v>
      </c>
      <c r="T5917" t="s">
        <v>46697</v>
      </c>
      <c r="U5917" t="s">
        <v>51731</v>
      </c>
      <c r="W5917" t="s">
        <v>41597</v>
      </c>
      <c r="X5917" t="s">
        <v>44910</v>
      </c>
    </row>
    <row r="5918" spans="1:24">
      <c r="A5918">
        <f>HYPERLINK("https://www.philgeps.gov.ph/GEPSNONPILOT/Tender/SplashBidNoticeAbstractUI.aspx?menuIndex=3&amp;refID=7077215&amp;Result=3","7077215")</f>
        <v>0</v>
      </c>
      <c r="B5918" t="s">
        <v>1905</v>
      </c>
      <c r="C5918" t="s">
        <v>9173</v>
      </c>
      <c r="D5918" t="s">
        <v>18116</v>
      </c>
      <c r="E5918" t="s">
        <v>23478</v>
      </c>
      <c r="F5918" t="s">
        <v>31362</v>
      </c>
      <c r="G5918" t="s">
        <v>31368</v>
      </c>
      <c r="H5918" t="s">
        <v>15799</v>
      </c>
      <c r="I5918" t="s">
        <v>3815</v>
      </c>
      <c r="J5918" t="s">
        <v>35250</v>
      </c>
      <c r="K5918" t="s">
        <v>40666</v>
      </c>
      <c r="M5918" t="s">
        <v>43000</v>
      </c>
      <c r="N5918" t="s">
        <v>44905</v>
      </c>
      <c r="O5918" t="s">
        <v>44906</v>
      </c>
      <c r="P5918">
        <v>0</v>
      </c>
      <c r="Q5918">
        <v>0</v>
      </c>
      <c r="R5918" t="s">
        <v>44909</v>
      </c>
      <c r="S5918" t="s">
        <v>45060</v>
      </c>
      <c r="T5918" t="s">
        <v>46478</v>
      </c>
      <c r="U5918" t="s">
        <v>51732</v>
      </c>
      <c r="W5918" t="s">
        <v>43000</v>
      </c>
      <c r="X5918" t="s">
        <v>44910</v>
      </c>
    </row>
    <row r="5919" spans="1:24">
      <c r="A5919">
        <f>HYPERLINK("https://www.philgeps.gov.ph/GEPSNONPILOT/Tender/SplashBidNoticeAbstractUI.aspx?menuIndex=3&amp;refID=7077214&amp;Result=3","7077214")</f>
        <v>0</v>
      </c>
      <c r="B5919" t="s">
        <v>1264</v>
      </c>
      <c r="C5919" t="s">
        <v>9174</v>
      </c>
      <c r="D5919" t="s">
        <v>18108</v>
      </c>
      <c r="E5919" t="s">
        <v>21658</v>
      </c>
      <c r="F5919" t="s">
        <v>31362</v>
      </c>
      <c r="G5919" t="s">
        <v>31368</v>
      </c>
      <c r="H5919" t="s">
        <v>15799</v>
      </c>
      <c r="I5919" t="s">
        <v>31380</v>
      </c>
      <c r="J5919" t="s">
        <v>33084</v>
      </c>
      <c r="K5919" t="s">
        <v>40665</v>
      </c>
      <c r="M5919" t="s">
        <v>42281</v>
      </c>
      <c r="N5919" t="s">
        <v>44905</v>
      </c>
      <c r="O5919" t="s">
        <v>44906</v>
      </c>
      <c r="P5919">
        <v>0</v>
      </c>
      <c r="Q5919">
        <v>7</v>
      </c>
      <c r="R5919" t="s">
        <v>44909</v>
      </c>
      <c r="S5919" t="s">
        <v>45060</v>
      </c>
      <c r="T5919" t="s">
        <v>46454</v>
      </c>
      <c r="U5919" t="s">
        <v>51733</v>
      </c>
      <c r="W5919" t="s">
        <v>42281</v>
      </c>
      <c r="X5919" t="s">
        <v>44910</v>
      </c>
    </row>
    <row r="5920" spans="1:24">
      <c r="A5920">
        <f>HYPERLINK("https://www.philgeps.gov.ph/GEPSNONPILOT/Tender/SplashBidNoticeAbstractUI.aspx?menuIndex=3&amp;refID=7077213&amp;Result=3","7077213")</f>
        <v>0</v>
      </c>
      <c r="B5920" t="s">
        <v>295</v>
      </c>
      <c r="C5920" t="s">
        <v>9175</v>
      </c>
      <c r="D5920" t="s">
        <v>18164</v>
      </c>
      <c r="E5920" t="s">
        <v>23479</v>
      </c>
      <c r="F5920" t="s">
        <v>31362</v>
      </c>
      <c r="G5920" t="s">
        <v>31368</v>
      </c>
      <c r="H5920" t="s">
        <v>15799</v>
      </c>
      <c r="I5920" t="s">
        <v>4283</v>
      </c>
      <c r="J5920" t="s">
        <v>31536</v>
      </c>
      <c r="K5920" t="s">
        <v>40675</v>
      </c>
      <c r="M5920" t="s">
        <v>41238</v>
      </c>
      <c r="N5920" t="s">
        <v>44905</v>
      </c>
      <c r="O5920" t="s">
        <v>44906</v>
      </c>
      <c r="P5920">
        <v>0</v>
      </c>
      <c r="Q5920">
        <v>1</v>
      </c>
      <c r="R5920" t="s">
        <v>44909</v>
      </c>
      <c r="S5920" t="s">
        <v>45060</v>
      </c>
      <c r="T5920" t="s">
        <v>46409</v>
      </c>
      <c r="U5920" t="s">
        <v>51734</v>
      </c>
      <c r="W5920" t="s">
        <v>41238</v>
      </c>
      <c r="X5920" t="s">
        <v>44910</v>
      </c>
    </row>
    <row r="5921" spans="1:24">
      <c r="A5921">
        <f>HYPERLINK("https://www.philgeps.gov.ph/GEPSNONPILOT/Tender/SplashBidNoticeAbstractUI.aspx?menuIndex=3&amp;refID=7077210&amp;Result=3","7077210")</f>
        <v>0</v>
      </c>
      <c r="B5921" t="s">
        <v>550</v>
      </c>
      <c r="C5921" t="s">
        <v>9176</v>
      </c>
      <c r="D5921" t="s">
        <v>18138</v>
      </c>
      <c r="E5921" t="s">
        <v>23480</v>
      </c>
      <c r="F5921" t="s">
        <v>31362</v>
      </c>
      <c r="G5921" t="s">
        <v>31368</v>
      </c>
      <c r="H5921" t="s">
        <v>15799</v>
      </c>
      <c r="I5921" t="s">
        <v>31392</v>
      </c>
      <c r="J5921" t="s">
        <v>31578</v>
      </c>
      <c r="K5921" t="s">
        <v>40666</v>
      </c>
      <c r="M5921" t="s">
        <v>41506</v>
      </c>
      <c r="N5921" t="s">
        <v>44905</v>
      </c>
      <c r="O5921" t="s">
        <v>44906</v>
      </c>
      <c r="P5921">
        <v>0</v>
      </c>
      <c r="Q5921">
        <v>1</v>
      </c>
      <c r="R5921" t="s">
        <v>44909</v>
      </c>
      <c r="S5921" t="s">
        <v>45060</v>
      </c>
      <c r="T5921" t="s">
        <v>46409</v>
      </c>
      <c r="U5921" t="s">
        <v>51735</v>
      </c>
      <c r="W5921" t="s">
        <v>41506</v>
      </c>
      <c r="X5921" t="s">
        <v>44910</v>
      </c>
    </row>
    <row r="5922" spans="1:24">
      <c r="A5922">
        <f>HYPERLINK("https://www.philgeps.gov.ph/GEPSNONPILOT/Tender/SplashBidNoticeAbstractUI.aspx?menuIndex=3&amp;refID=7077162&amp;Result=3","7077162")</f>
        <v>0</v>
      </c>
      <c r="B5922" t="s">
        <v>1741</v>
      </c>
      <c r="C5922" t="s">
        <v>9177</v>
      </c>
      <c r="D5922" t="s">
        <v>18123</v>
      </c>
      <c r="E5922" t="s">
        <v>23481</v>
      </c>
      <c r="F5922" t="s">
        <v>31362</v>
      </c>
      <c r="G5922" t="s">
        <v>31369</v>
      </c>
      <c r="H5922" t="s">
        <v>15799</v>
      </c>
      <c r="I5922" t="s">
        <v>31384</v>
      </c>
      <c r="J5922" t="s">
        <v>35251</v>
      </c>
      <c r="K5922" t="s">
        <v>40682</v>
      </c>
      <c r="M5922" t="s">
        <v>43001</v>
      </c>
      <c r="N5922" t="s">
        <v>44905</v>
      </c>
      <c r="O5922" t="s">
        <v>44906</v>
      </c>
      <c r="P5922">
        <v>0</v>
      </c>
      <c r="Q5922">
        <v>13</v>
      </c>
      <c r="R5922" t="s">
        <v>44909</v>
      </c>
      <c r="S5922" t="s">
        <v>45060</v>
      </c>
      <c r="T5922" t="s">
        <v>46696</v>
      </c>
      <c r="U5922" t="s">
        <v>51736</v>
      </c>
      <c r="V5922" t="s">
        <v>59614</v>
      </c>
      <c r="W5922" t="s">
        <v>43001</v>
      </c>
      <c r="X5922" t="s">
        <v>44910</v>
      </c>
    </row>
    <row r="5923" spans="1:24">
      <c r="A5923">
        <f>HYPERLINK("https://www.philgeps.gov.ph/GEPSNONPILOT/Tender/SplashBidNoticeAbstractUI.aspx?menuIndex=3&amp;refID=7077219&amp;Result=3","7077219")</f>
        <v>0</v>
      </c>
      <c r="B5923" t="s">
        <v>1906</v>
      </c>
      <c r="C5923" t="s">
        <v>9178</v>
      </c>
      <c r="D5923" t="s">
        <v>18121</v>
      </c>
      <c r="E5923" t="s">
        <v>23482</v>
      </c>
      <c r="F5923" t="s">
        <v>31362</v>
      </c>
      <c r="G5923" t="s">
        <v>31370</v>
      </c>
      <c r="H5923" t="s">
        <v>15799</v>
      </c>
      <c r="I5923" t="s">
        <v>7188</v>
      </c>
      <c r="J5923" t="s">
        <v>32459</v>
      </c>
      <c r="K5923" t="s">
        <v>40662</v>
      </c>
      <c r="M5923" t="s">
        <v>43002</v>
      </c>
      <c r="N5923" t="s">
        <v>44905</v>
      </c>
      <c r="O5923" t="s">
        <v>44906</v>
      </c>
      <c r="P5923">
        <v>0</v>
      </c>
      <c r="Q5923">
        <v>0</v>
      </c>
      <c r="R5923" t="s">
        <v>44909</v>
      </c>
      <c r="S5923" t="s">
        <v>45060</v>
      </c>
      <c r="T5923" t="s">
        <v>46446</v>
      </c>
      <c r="U5923" t="s">
        <v>51737</v>
      </c>
      <c r="W5923" t="s">
        <v>43002</v>
      </c>
      <c r="X5923" t="s">
        <v>44910</v>
      </c>
    </row>
    <row r="5924" spans="1:24">
      <c r="A5924">
        <f>HYPERLINK("https://www.philgeps.gov.ph/GEPSNONPILOT/Tender/SplashBidNoticeAbstractUI.aspx?menuIndex=3&amp;refID=7077218&amp;Result=3","7077218")</f>
        <v>0</v>
      </c>
      <c r="B5924" t="s">
        <v>637</v>
      </c>
      <c r="C5924" t="s">
        <v>9179</v>
      </c>
      <c r="D5924" t="s">
        <v>18102</v>
      </c>
      <c r="E5924" t="s">
        <v>23483</v>
      </c>
      <c r="F5924" t="s">
        <v>31362</v>
      </c>
      <c r="G5924" t="s">
        <v>31369</v>
      </c>
      <c r="H5924" t="s">
        <v>31378</v>
      </c>
      <c r="I5924" t="s">
        <v>31386</v>
      </c>
      <c r="J5924" t="s">
        <v>31607</v>
      </c>
      <c r="K5924" t="s">
        <v>40807</v>
      </c>
      <c r="M5924" t="s">
        <v>41597</v>
      </c>
      <c r="N5924" t="s">
        <v>44905</v>
      </c>
      <c r="O5924" t="s">
        <v>44906</v>
      </c>
      <c r="P5924">
        <v>0</v>
      </c>
      <c r="Q5924">
        <v>0</v>
      </c>
      <c r="R5924" t="s">
        <v>44909</v>
      </c>
      <c r="S5924" t="s">
        <v>45060</v>
      </c>
      <c r="T5924" t="s">
        <v>46697</v>
      </c>
      <c r="U5924" t="s">
        <v>51738</v>
      </c>
      <c r="W5924" t="s">
        <v>41597</v>
      </c>
      <c r="X5924" t="s">
        <v>44910</v>
      </c>
    </row>
    <row r="5925" spans="1:24">
      <c r="A5925">
        <f>HYPERLINK("https://www.philgeps.gov.ph/GEPSNONPILOT/Tender/SplashBidNoticeAbstractUI.aspx?menuIndex=3&amp;refID=7077217&amp;Result=3","7077217")</f>
        <v>0</v>
      </c>
      <c r="B5925" t="s">
        <v>1907</v>
      </c>
      <c r="C5925" t="s">
        <v>9180</v>
      </c>
      <c r="D5925" t="s">
        <v>18108</v>
      </c>
      <c r="E5925" t="s">
        <v>23484</v>
      </c>
      <c r="F5925" t="s">
        <v>31362</v>
      </c>
      <c r="G5925" t="s">
        <v>31368</v>
      </c>
      <c r="H5925" t="s">
        <v>31379</v>
      </c>
      <c r="I5925" t="s">
        <v>31464</v>
      </c>
      <c r="J5925" t="s">
        <v>31586</v>
      </c>
      <c r="K5925" t="s">
        <v>40723</v>
      </c>
      <c r="M5925" t="s">
        <v>43003</v>
      </c>
      <c r="N5925" t="s">
        <v>44905</v>
      </c>
      <c r="O5925" t="s">
        <v>44906</v>
      </c>
      <c r="P5925">
        <v>0</v>
      </c>
      <c r="Q5925">
        <v>2</v>
      </c>
      <c r="R5925" t="s">
        <v>44909</v>
      </c>
      <c r="S5925" t="s">
        <v>45060</v>
      </c>
      <c r="T5925" t="s">
        <v>46394</v>
      </c>
      <c r="U5925" t="s">
        <v>51739</v>
      </c>
      <c r="W5925" t="s">
        <v>43003</v>
      </c>
      <c r="X5925" t="s">
        <v>44910</v>
      </c>
    </row>
    <row r="5926" spans="1:24">
      <c r="A5926">
        <f>HYPERLINK("https://www.philgeps.gov.ph/GEPSNONPILOT/Tender/SplashBidNoticeAbstractUI.aspx?menuIndex=3&amp;refID=7077207&amp;Result=3","7077207")</f>
        <v>0</v>
      </c>
      <c r="B5926" t="s">
        <v>1158</v>
      </c>
      <c r="C5926" t="s">
        <v>9181</v>
      </c>
      <c r="D5926" t="s">
        <v>18120</v>
      </c>
      <c r="E5926" t="s">
        <v>23485</v>
      </c>
      <c r="F5926" t="s">
        <v>31362</v>
      </c>
      <c r="G5926" t="s">
        <v>31368</v>
      </c>
      <c r="H5926" t="s">
        <v>15799</v>
      </c>
      <c r="I5926" t="s">
        <v>4057</v>
      </c>
      <c r="J5926" t="s">
        <v>31811</v>
      </c>
      <c r="K5926" t="s">
        <v>40662</v>
      </c>
      <c r="M5926" t="s">
        <v>42167</v>
      </c>
      <c r="N5926" t="s">
        <v>44905</v>
      </c>
      <c r="O5926" t="s">
        <v>44906</v>
      </c>
      <c r="P5926">
        <v>0</v>
      </c>
      <c r="Q5926">
        <v>0</v>
      </c>
      <c r="R5926" t="s">
        <v>44909</v>
      </c>
      <c r="S5926" t="s">
        <v>45060</v>
      </c>
      <c r="T5926" t="s">
        <v>46482</v>
      </c>
      <c r="U5926" t="s">
        <v>51740</v>
      </c>
      <c r="W5926" t="s">
        <v>42167</v>
      </c>
      <c r="X5926" t="s">
        <v>44910</v>
      </c>
    </row>
    <row r="5927" spans="1:24">
      <c r="A5927">
        <f>HYPERLINK("https://www.philgeps.gov.ph/GEPSNONPILOT/Tender/SplashBidNoticeAbstractUI.aspx?menuIndex=3&amp;refID=7077171&amp;Result=3","7077171")</f>
        <v>0</v>
      </c>
      <c r="B5927" t="s">
        <v>1908</v>
      </c>
      <c r="C5927" t="s">
        <v>9182</v>
      </c>
      <c r="D5927" t="s">
        <v>18170</v>
      </c>
      <c r="E5927" t="s">
        <v>23486</v>
      </c>
      <c r="F5927" t="s">
        <v>31362</v>
      </c>
      <c r="G5927" t="s">
        <v>31369</v>
      </c>
      <c r="H5927" t="s">
        <v>31378</v>
      </c>
      <c r="I5927" t="s">
        <v>31386</v>
      </c>
      <c r="J5927" t="s">
        <v>31634</v>
      </c>
      <c r="K5927" t="s">
        <v>40759</v>
      </c>
      <c r="M5927" t="s">
        <v>43004</v>
      </c>
      <c r="N5927" t="s">
        <v>44905</v>
      </c>
      <c r="O5927" t="s">
        <v>44906</v>
      </c>
      <c r="P5927">
        <v>0</v>
      </c>
      <c r="Q5927">
        <v>2</v>
      </c>
      <c r="R5927" t="s">
        <v>44909</v>
      </c>
      <c r="S5927" t="s">
        <v>45060</v>
      </c>
      <c r="T5927" t="s">
        <v>46433</v>
      </c>
      <c r="U5927" t="s">
        <v>51741</v>
      </c>
      <c r="V5927" t="s">
        <v>59231</v>
      </c>
      <c r="W5927" t="s">
        <v>43004</v>
      </c>
      <c r="X5927" t="s">
        <v>44910</v>
      </c>
    </row>
    <row r="5928" spans="1:24">
      <c r="A5928">
        <f>HYPERLINK("https://www.philgeps.gov.ph/GEPSNONPILOT/Tender/SplashBidNoticeAbstractUI.aspx?menuIndex=3&amp;refID=7077206&amp;Result=3","7077206")</f>
        <v>0</v>
      </c>
      <c r="B5928" t="s">
        <v>637</v>
      </c>
      <c r="C5928" t="s">
        <v>9183</v>
      </c>
      <c r="D5928" t="s">
        <v>18102</v>
      </c>
      <c r="E5928" t="s">
        <v>23487</v>
      </c>
      <c r="F5928" t="s">
        <v>31362</v>
      </c>
      <c r="G5928" t="s">
        <v>31369</v>
      </c>
      <c r="H5928" t="s">
        <v>31378</v>
      </c>
      <c r="I5928" t="s">
        <v>31386</v>
      </c>
      <c r="J5928" t="s">
        <v>31607</v>
      </c>
      <c r="K5928" t="s">
        <v>40807</v>
      </c>
      <c r="M5928" t="s">
        <v>41597</v>
      </c>
      <c r="N5928" t="s">
        <v>44905</v>
      </c>
      <c r="O5928" t="s">
        <v>44906</v>
      </c>
      <c r="P5928">
        <v>0</v>
      </c>
      <c r="Q5928">
        <v>0</v>
      </c>
      <c r="R5928" t="s">
        <v>44909</v>
      </c>
      <c r="S5928" t="s">
        <v>45060</v>
      </c>
      <c r="T5928" t="s">
        <v>46697</v>
      </c>
      <c r="U5928" t="s">
        <v>51742</v>
      </c>
      <c r="W5928" t="s">
        <v>41597</v>
      </c>
      <c r="X5928" t="s">
        <v>44910</v>
      </c>
    </row>
    <row r="5929" spans="1:24">
      <c r="A5929">
        <f>HYPERLINK("https://www.philgeps.gov.ph/GEPSNONPILOT/Tender/SplashBidNoticeAbstractUI.aspx?menuIndex=3&amp;refID=7077205&amp;Result=3","7077205")</f>
        <v>0</v>
      </c>
      <c r="B5929" t="s">
        <v>1884</v>
      </c>
      <c r="C5929" t="s">
        <v>9184</v>
      </c>
      <c r="D5929" t="s">
        <v>18117</v>
      </c>
      <c r="E5929" t="s">
        <v>23451</v>
      </c>
      <c r="F5929" t="s">
        <v>31362</v>
      </c>
      <c r="G5929" t="s">
        <v>31369</v>
      </c>
      <c r="H5929" t="s">
        <v>15799</v>
      </c>
      <c r="I5929" t="s">
        <v>3815</v>
      </c>
      <c r="J5929" t="s">
        <v>35252</v>
      </c>
      <c r="K5929" t="s">
        <v>40670</v>
      </c>
      <c r="M5929" t="s">
        <v>42978</v>
      </c>
      <c r="N5929" t="s">
        <v>44905</v>
      </c>
      <c r="O5929" t="s">
        <v>44906</v>
      </c>
      <c r="P5929">
        <v>0</v>
      </c>
      <c r="Q5929">
        <v>0</v>
      </c>
      <c r="R5929" t="s">
        <v>44909</v>
      </c>
      <c r="S5929" t="s">
        <v>45060</v>
      </c>
      <c r="T5929" t="s">
        <v>46714</v>
      </c>
      <c r="U5929" t="s">
        <v>51743</v>
      </c>
      <c r="W5929" t="s">
        <v>42978</v>
      </c>
      <c r="X5929" t="s">
        <v>44910</v>
      </c>
    </row>
    <row r="5930" spans="1:24">
      <c r="A5930">
        <f>HYPERLINK("https://www.philgeps.gov.ph/GEPSNONPILOT/Tender/SplashBidNoticeAbstractUI.aspx?menuIndex=3&amp;refID=7077204&amp;Result=3","7077204")</f>
        <v>0</v>
      </c>
      <c r="B5930" t="s">
        <v>1741</v>
      </c>
      <c r="C5930" t="s">
        <v>9185</v>
      </c>
      <c r="D5930" t="s">
        <v>18123</v>
      </c>
      <c r="E5930" t="s">
        <v>23488</v>
      </c>
      <c r="F5930" t="s">
        <v>31362</v>
      </c>
      <c r="G5930" t="s">
        <v>31369</v>
      </c>
      <c r="H5930" t="s">
        <v>15799</v>
      </c>
      <c r="I5930" t="s">
        <v>7719</v>
      </c>
      <c r="J5930" t="s">
        <v>35253</v>
      </c>
      <c r="K5930" t="s">
        <v>40682</v>
      </c>
      <c r="M5930" t="s">
        <v>43001</v>
      </c>
      <c r="N5930" t="s">
        <v>44905</v>
      </c>
      <c r="O5930" t="s">
        <v>44906</v>
      </c>
      <c r="P5930">
        <v>0</v>
      </c>
      <c r="Q5930">
        <v>30</v>
      </c>
      <c r="R5930" t="s">
        <v>44909</v>
      </c>
      <c r="S5930" t="s">
        <v>45060</v>
      </c>
      <c r="T5930" t="s">
        <v>46696</v>
      </c>
      <c r="U5930" t="s">
        <v>51744</v>
      </c>
      <c r="V5930" t="s">
        <v>59615</v>
      </c>
      <c r="W5930" t="s">
        <v>43001</v>
      </c>
      <c r="X5930" t="s">
        <v>44910</v>
      </c>
    </row>
    <row r="5931" spans="1:24">
      <c r="A5931">
        <f>HYPERLINK("https://www.philgeps.gov.ph/GEPSNONPILOT/Tender/SplashBidNoticeAbstractUI.aspx?menuIndex=3&amp;refID=7077203&amp;Result=3","7077203")</f>
        <v>0</v>
      </c>
      <c r="B5931" t="s">
        <v>1888</v>
      </c>
      <c r="C5931" t="s">
        <v>9186</v>
      </c>
      <c r="D5931" t="s">
        <v>18134</v>
      </c>
      <c r="E5931" t="s">
        <v>23489</v>
      </c>
      <c r="F5931" t="s">
        <v>31365</v>
      </c>
      <c r="G5931" t="s">
        <v>31368</v>
      </c>
      <c r="H5931" t="s">
        <v>15799</v>
      </c>
      <c r="I5931" t="s">
        <v>7188</v>
      </c>
      <c r="J5931" t="s">
        <v>35254</v>
      </c>
      <c r="K5931" t="s">
        <v>40661</v>
      </c>
      <c r="M5931" t="s">
        <v>42983</v>
      </c>
      <c r="N5931" t="s">
        <v>44905</v>
      </c>
      <c r="O5931" t="s">
        <v>44906</v>
      </c>
      <c r="P5931">
        <v>0</v>
      </c>
      <c r="Q5931">
        <v>3</v>
      </c>
      <c r="R5931" t="s">
        <v>44909</v>
      </c>
      <c r="S5931" t="s">
        <v>45060</v>
      </c>
      <c r="T5931" t="s">
        <v>46403</v>
      </c>
      <c r="U5931" t="s">
        <v>51745</v>
      </c>
      <c r="W5931" t="s">
        <v>42983</v>
      </c>
      <c r="X5931" t="s">
        <v>44910</v>
      </c>
    </row>
    <row r="5932" spans="1:24">
      <c r="A5932">
        <f>HYPERLINK("https://www.philgeps.gov.ph/GEPSNONPILOT/Tender/SplashBidNoticeAbstractUI.aspx?menuIndex=3&amp;refID=7077202&amp;Result=3","7077202")</f>
        <v>0</v>
      </c>
      <c r="B5932" t="s">
        <v>1909</v>
      </c>
      <c r="C5932" t="s">
        <v>9187</v>
      </c>
      <c r="D5932" t="s">
        <v>18125</v>
      </c>
      <c r="E5932" t="s">
        <v>18548</v>
      </c>
      <c r="F5932" t="s">
        <v>31362</v>
      </c>
      <c r="G5932" t="s">
        <v>31368</v>
      </c>
      <c r="H5932" t="s">
        <v>15799</v>
      </c>
      <c r="I5932" t="s">
        <v>31422</v>
      </c>
      <c r="J5932" t="s">
        <v>35255</v>
      </c>
      <c r="K5932" t="s">
        <v>40672</v>
      </c>
      <c r="M5932" t="s">
        <v>43005</v>
      </c>
      <c r="N5932" t="s">
        <v>44905</v>
      </c>
      <c r="O5932" t="s">
        <v>44906</v>
      </c>
      <c r="P5932">
        <v>0</v>
      </c>
      <c r="Q5932">
        <v>0</v>
      </c>
      <c r="R5932" t="s">
        <v>44909</v>
      </c>
      <c r="S5932" t="s">
        <v>45060</v>
      </c>
      <c r="T5932" t="s">
        <v>46408</v>
      </c>
      <c r="U5932" t="s">
        <v>51746</v>
      </c>
      <c r="W5932" t="s">
        <v>43005</v>
      </c>
      <c r="X5932" t="s">
        <v>44910</v>
      </c>
    </row>
    <row r="5933" spans="1:24">
      <c r="A5933">
        <f>HYPERLINK("https://www.philgeps.gov.ph/GEPSNONPILOT/Tender/SplashBidNoticeAbstractUI.aspx?menuIndex=3&amp;refID=7077216&amp;Result=3","7077216")</f>
        <v>0</v>
      </c>
      <c r="B5933" t="s">
        <v>1910</v>
      </c>
      <c r="C5933" t="s">
        <v>9188</v>
      </c>
      <c r="D5933" t="s">
        <v>18124</v>
      </c>
      <c r="E5933" t="s">
        <v>23490</v>
      </c>
      <c r="F5933" t="s">
        <v>31362</v>
      </c>
      <c r="G5933" t="s">
        <v>31369</v>
      </c>
      <c r="H5933" t="s">
        <v>31378</v>
      </c>
      <c r="I5933" t="s">
        <v>31386</v>
      </c>
      <c r="J5933" t="s">
        <v>31578</v>
      </c>
      <c r="K5933" t="s">
        <v>40675</v>
      </c>
      <c r="L5933" t="s">
        <v>1910</v>
      </c>
      <c r="M5933" t="s">
        <v>43006</v>
      </c>
      <c r="N5933" t="s">
        <v>44905</v>
      </c>
      <c r="O5933" t="s">
        <v>44906</v>
      </c>
      <c r="P5933">
        <v>0</v>
      </c>
      <c r="Q5933">
        <v>1</v>
      </c>
      <c r="R5933" t="s">
        <v>44909</v>
      </c>
      <c r="S5933" t="s">
        <v>45060</v>
      </c>
      <c r="T5933" t="s">
        <v>46400</v>
      </c>
      <c r="U5933" t="s">
        <v>51747</v>
      </c>
      <c r="W5933" t="s">
        <v>43006</v>
      </c>
      <c r="X5933" t="s">
        <v>44910</v>
      </c>
    </row>
    <row r="5934" spans="1:24">
      <c r="A5934">
        <f>HYPERLINK("https://www.philgeps.gov.ph/GEPSNONPILOT/Tender/SplashBidNoticeAbstractUI.aspx?menuIndex=3&amp;refID=7077201&amp;Result=3","7077201")</f>
        <v>0</v>
      </c>
      <c r="B5934" t="s">
        <v>1911</v>
      </c>
      <c r="C5934" t="s">
        <v>9189</v>
      </c>
      <c r="D5934" t="s">
        <v>18176</v>
      </c>
      <c r="E5934" t="s">
        <v>23491</v>
      </c>
      <c r="F5934" t="s">
        <v>31362</v>
      </c>
      <c r="G5934" t="s">
        <v>31370</v>
      </c>
      <c r="H5934" t="s">
        <v>15799</v>
      </c>
      <c r="I5934" t="s">
        <v>31430</v>
      </c>
      <c r="J5934" t="s">
        <v>35256</v>
      </c>
      <c r="K5934" t="s">
        <v>40662</v>
      </c>
      <c r="M5934" t="s">
        <v>43007</v>
      </c>
      <c r="N5934" t="s">
        <v>44905</v>
      </c>
      <c r="O5934" t="s">
        <v>44906</v>
      </c>
      <c r="P5934">
        <v>0</v>
      </c>
      <c r="Q5934">
        <v>0</v>
      </c>
      <c r="R5934" t="s">
        <v>44909</v>
      </c>
      <c r="S5934" t="s">
        <v>45060</v>
      </c>
      <c r="T5934" t="s">
        <v>46409</v>
      </c>
      <c r="U5934" t="s">
        <v>51748</v>
      </c>
      <c r="V5934" t="s">
        <v>59616</v>
      </c>
      <c r="W5934" t="s">
        <v>43007</v>
      </c>
      <c r="X5934" t="s">
        <v>44910</v>
      </c>
    </row>
    <row r="5935" spans="1:24">
      <c r="A5935">
        <f>HYPERLINK("https://www.philgeps.gov.ph/GEPSNONPILOT/Tender/SplashBidNoticeAbstractUI.aspx?menuIndex=3&amp;refID=7077199&amp;Result=3","7077199")</f>
        <v>0</v>
      </c>
      <c r="B5935" t="s">
        <v>1886</v>
      </c>
      <c r="C5935" t="s">
        <v>9190</v>
      </c>
      <c r="D5935" t="s">
        <v>18174</v>
      </c>
      <c r="E5935" t="s">
        <v>23492</v>
      </c>
      <c r="F5935" t="s">
        <v>31362</v>
      </c>
      <c r="G5935" t="s">
        <v>31368</v>
      </c>
      <c r="H5935" t="s">
        <v>15799</v>
      </c>
      <c r="I5935" t="s">
        <v>31427</v>
      </c>
      <c r="J5935" t="s">
        <v>31940</v>
      </c>
      <c r="K5935" t="s">
        <v>40662</v>
      </c>
      <c r="M5935" t="s">
        <v>42980</v>
      </c>
      <c r="N5935" t="s">
        <v>44905</v>
      </c>
      <c r="O5935" t="s">
        <v>44906</v>
      </c>
      <c r="P5935">
        <v>0</v>
      </c>
      <c r="Q5935">
        <v>2</v>
      </c>
      <c r="R5935" t="s">
        <v>44909</v>
      </c>
      <c r="S5935" t="s">
        <v>45060</v>
      </c>
      <c r="T5935" t="s">
        <v>46428</v>
      </c>
      <c r="U5935" t="s">
        <v>51749</v>
      </c>
      <c r="W5935" t="s">
        <v>42980</v>
      </c>
      <c r="X5935" t="s">
        <v>44910</v>
      </c>
    </row>
    <row r="5936" spans="1:24">
      <c r="A5936">
        <f>HYPERLINK("https://www.philgeps.gov.ph/GEPSNONPILOT/Tender/SplashBidNoticeAbstractUI.aspx?menuIndex=3&amp;refID=7077236&amp;Result=3","7077236")</f>
        <v>0</v>
      </c>
      <c r="B5936" t="s">
        <v>218</v>
      </c>
      <c r="C5936" t="s">
        <v>9191</v>
      </c>
      <c r="D5936" t="s">
        <v>18101</v>
      </c>
      <c r="E5936" t="s">
        <v>23493</v>
      </c>
      <c r="F5936" t="s">
        <v>31362</v>
      </c>
      <c r="G5936" t="s">
        <v>31369</v>
      </c>
      <c r="H5936" t="s">
        <v>31378</v>
      </c>
      <c r="I5936" t="s">
        <v>31435</v>
      </c>
      <c r="J5936" t="s">
        <v>35257</v>
      </c>
      <c r="K5936" t="s">
        <v>40663</v>
      </c>
      <c r="M5936" t="s">
        <v>41157</v>
      </c>
      <c r="N5936" t="s">
        <v>44905</v>
      </c>
      <c r="O5936" t="s">
        <v>44906</v>
      </c>
      <c r="Q5936">
        <v>3</v>
      </c>
      <c r="R5936" t="s">
        <v>44909</v>
      </c>
      <c r="S5936" t="s">
        <v>45065</v>
      </c>
      <c r="T5936" t="s">
        <v>46431</v>
      </c>
      <c r="U5936" t="s">
        <v>47291</v>
      </c>
      <c r="V5936" t="s">
        <v>59617</v>
      </c>
      <c r="W5936" t="s">
        <v>41157</v>
      </c>
      <c r="X5936" t="s">
        <v>44910</v>
      </c>
    </row>
    <row r="5937" spans="1:24">
      <c r="A5937">
        <f>HYPERLINK("https://www.philgeps.gov.ph/GEPSNONPILOT/Tender/SplashBidNoticeAbstractUI.aspx?menuIndex=3&amp;refID=7077244&amp;Result=3","7077244")</f>
        <v>0</v>
      </c>
      <c r="B5937" t="s">
        <v>1158</v>
      </c>
      <c r="C5937" t="s">
        <v>9192</v>
      </c>
      <c r="D5937" t="s">
        <v>18120</v>
      </c>
      <c r="E5937" t="s">
        <v>23494</v>
      </c>
      <c r="F5937" t="s">
        <v>31362</v>
      </c>
      <c r="G5937" t="s">
        <v>31368</v>
      </c>
      <c r="H5937" t="s">
        <v>15799</v>
      </c>
      <c r="I5937" t="s">
        <v>4057</v>
      </c>
      <c r="J5937" t="s">
        <v>35258</v>
      </c>
      <c r="K5937" t="s">
        <v>40662</v>
      </c>
      <c r="M5937" t="s">
        <v>42167</v>
      </c>
      <c r="N5937" t="s">
        <v>44905</v>
      </c>
      <c r="O5937" t="s">
        <v>44906</v>
      </c>
      <c r="P5937">
        <v>0</v>
      </c>
      <c r="Q5937">
        <v>0</v>
      </c>
      <c r="R5937" t="s">
        <v>44909</v>
      </c>
      <c r="S5937" t="s">
        <v>45060</v>
      </c>
      <c r="T5937" t="s">
        <v>46482</v>
      </c>
      <c r="U5937" t="s">
        <v>51750</v>
      </c>
      <c r="W5937" t="s">
        <v>42167</v>
      </c>
      <c r="X5937" t="s">
        <v>44910</v>
      </c>
    </row>
    <row r="5938" spans="1:24">
      <c r="A5938">
        <f>HYPERLINK("https://www.philgeps.gov.ph/GEPSNONPILOT/Tender/SplashBidNoticeAbstractUI.aspx?menuIndex=3&amp;refID=7077243&amp;Result=3","7077243")</f>
        <v>0</v>
      </c>
      <c r="B5938" t="s">
        <v>550</v>
      </c>
      <c r="C5938" t="s">
        <v>9193</v>
      </c>
      <c r="D5938" t="s">
        <v>18138</v>
      </c>
      <c r="E5938" t="s">
        <v>23495</v>
      </c>
      <c r="F5938" t="s">
        <v>31362</v>
      </c>
      <c r="G5938" t="s">
        <v>31368</v>
      </c>
      <c r="H5938" t="s">
        <v>15799</v>
      </c>
      <c r="I5938" t="s">
        <v>31392</v>
      </c>
      <c r="J5938" t="s">
        <v>31591</v>
      </c>
      <c r="K5938" t="s">
        <v>40666</v>
      </c>
      <c r="M5938" t="s">
        <v>41506</v>
      </c>
      <c r="N5938" t="s">
        <v>44905</v>
      </c>
      <c r="O5938" t="s">
        <v>44906</v>
      </c>
      <c r="P5938">
        <v>0</v>
      </c>
      <c r="Q5938">
        <v>1</v>
      </c>
      <c r="R5938" t="s">
        <v>44909</v>
      </c>
      <c r="S5938" t="s">
        <v>45060</v>
      </c>
      <c r="T5938" t="s">
        <v>46409</v>
      </c>
      <c r="U5938" t="s">
        <v>51751</v>
      </c>
      <c r="W5938" t="s">
        <v>41506</v>
      </c>
      <c r="X5938" t="s">
        <v>44910</v>
      </c>
    </row>
    <row r="5939" spans="1:24">
      <c r="A5939">
        <f>HYPERLINK("https://www.philgeps.gov.ph/GEPSNONPILOT/Tender/SplashBidNoticeAbstractUI.aspx?menuIndex=3&amp;refID=7077242&amp;Result=3","7077242")</f>
        <v>0</v>
      </c>
      <c r="B5939" t="s">
        <v>1031</v>
      </c>
      <c r="C5939" t="s">
        <v>9194</v>
      </c>
      <c r="D5939" t="s">
        <v>18100</v>
      </c>
      <c r="E5939" t="s">
        <v>23496</v>
      </c>
      <c r="F5939" t="s">
        <v>31362</v>
      </c>
      <c r="G5939" t="s">
        <v>31370</v>
      </c>
      <c r="H5939" t="s">
        <v>15799</v>
      </c>
      <c r="I5939" t="s">
        <v>31385</v>
      </c>
      <c r="J5939" t="s">
        <v>35259</v>
      </c>
      <c r="K5939" t="s">
        <v>40666</v>
      </c>
      <c r="M5939" t="s">
        <v>42030</v>
      </c>
      <c r="N5939" t="s">
        <v>44905</v>
      </c>
      <c r="O5939" t="s">
        <v>44906</v>
      </c>
      <c r="P5939">
        <v>0</v>
      </c>
      <c r="Q5939">
        <v>1</v>
      </c>
      <c r="R5939" t="s">
        <v>44909</v>
      </c>
      <c r="S5939" t="s">
        <v>45060</v>
      </c>
      <c r="T5939" t="s">
        <v>46409</v>
      </c>
      <c r="U5939" t="s">
        <v>51752</v>
      </c>
      <c r="W5939" t="s">
        <v>42030</v>
      </c>
      <c r="X5939" t="s">
        <v>44910</v>
      </c>
    </row>
    <row r="5940" spans="1:24">
      <c r="A5940">
        <f>HYPERLINK("https://www.philgeps.gov.ph/GEPSNONPILOT/Tender/SplashBidNoticeAbstractUI.aspx?menuIndex=3&amp;refID=7077237&amp;Result=3","7077237")</f>
        <v>0</v>
      </c>
      <c r="B5940" t="s">
        <v>1741</v>
      </c>
      <c r="C5940" t="s">
        <v>9195</v>
      </c>
      <c r="D5940" t="s">
        <v>18123</v>
      </c>
      <c r="E5940" t="s">
        <v>23497</v>
      </c>
      <c r="F5940" t="s">
        <v>31362</v>
      </c>
      <c r="G5940" t="s">
        <v>31369</v>
      </c>
      <c r="H5940" t="s">
        <v>31379</v>
      </c>
      <c r="I5940" t="s">
        <v>31384</v>
      </c>
      <c r="J5940" t="s">
        <v>35260</v>
      </c>
      <c r="K5940" t="s">
        <v>40679</v>
      </c>
      <c r="M5940" t="s">
        <v>43001</v>
      </c>
      <c r="N5940" t="s">
        <v>44905</v>
      </c>
      <c r="O5940" t="s">
        <v>44906</v>
      </c>
      <c r="P5940">
        <v>0</v>
      </c>
      <c r="Q5940">
        <v>11</v>
      </c>
      <c r="R5940" t="s">
        <v>44909</v>
      </c>
      <c r="S5940" t="s">
        <v>45060</v>
      </c>
      <c r="T5940" t="s">
        <v>46696</v>
      </c>
      <c r="U5940" t="s">
        <v>51736</v>
      </c>
      <c r="V5940" t="s">
        <v>59618</v>
      </c>
      <c r="W5940" t="s">
        <v>43001</v>
      </c>
      <c r="X5940" t="s">
        <v>44910</v>
      </c>
    </row>
    <row r="5941" spans="1:24">
      <c r="A5941">
        <f>HYPERLINK("https://www.philgeps.gov.ph/GEPSNONPILOT/Tender/SplashBidNoticeAbstractUI.aspx?menuIndex=3&amp;refID=7077235&amp;Result=3","7077235")</f>
        <v>0</v>
      </c>
      <c r="B5941" t="s">
        <v>1230</v>
      </c>
      <c r="C5941" t="s">
        <v>9196</v>
      </c>
      <c r="D5941" t="s">
        <v>18106</v>
      </c>
      <c r="E5941" t="s">
        <v>21151</v>
      </c>
      <c r="F5941" t="s">
        <v>31362</v>
      </c>
      <c r="G5941" t="s">
        <v>31369</v>
      </c>
      <c r="H5941" t="s">
        <v>15799</v>
      </c>
      <c r="I5941" t="s">
        <v>31392</v>
      </c>
      <c r="J5941" t="s">
        <v>33143</v>
      </c>
      <c r="K5941" t="s">
        <v>40665</v>
      </c>
      <c r="M5941" t="s">
        <v>42244</v>
      </c>
      <c r="N5941" t="s">
        <v>44905</v>
      </c>
      <c r="O5941" t="s">
        <v>44906</v>
      </c>
      <c r="P5941">
        <v>0</v>
      </c>
      <c r="Q5941">
        <v>1</v>
      </c>
      <c r="R5941" t="s">
        <v>44909</v>
      </c>
      <c r="S5941" t="s">
        <v>45060</v>
      </c>
      <c r="T5941" t="s">
        <v>46549</v>
      </c>
      <c r="U5941" t="s">
        <v>51753</v>
      </c>
      <c r="W5941" t="s">
        <v>42244</v>
      </c>
      <c r="X5941" t="s">
        <v>44910</v>
      </c>
    </row>
    <row r="5942" spans="1:24">
      <c r="A5942">
        <f>HYPERLINK("https://www.philgeps.gov.ph/GEPSNONPILOT/Tender/SplashBidNoticeAbstractUI.aspx?menuIndex=3&amp;refID=7077239&amp;Result=3","7077239")</f>
        <v>0</v>
      </c>
      <c r="B5942" t="s">
        <v>1912</v>
      </c>
      <c r="C5942" t="s">
        <v>9197</v>
      </c>
      <c r="D5942" t="s">
        <v>18108</v>
      </c>
      <c r="E5942" t="s">
        <v>23498</v>
      </c>
      <c r="F5942" t="s">
        <v>31362</v>
      </c>
      <c r="G5942" t="s">
        <v>31369</v>
      </c>
      <c r="H5942" t="s">
        <v>15799</v>
      </c>
      <c r="I5942" t="s">
        <v>7090</v>
      </c>
      <c r="J5942" t="s">
        <v>32424</v>
      </c>
      <c r="K5942" t="s">
        <v>40661</v>
      </c>
      <c r="M5942" t="s">
        <v>43008</v>
      </c>
      <c r="N5942" t="s">
        <v>44905</v>
      </c>
      <c r="O5942" t="s">
        <v>44906</v>
      </c>
      <c r="P5942">
        <v>0</v>
      </c>
      <c r="Q5942">
        <v>0</v>
      </c>
      <c r="R5942" t="s">
        <v>44909</v>
      </c>
      <c r="S5942" t="s">
        <v>45060</v>
      </c>
      <c r="T5942" t="s">
        <v>46549</v>
      </c>
      <c r="U5942" t="s">
        <v>51754</v>
      </c>
      <c r="W5942" t="s">
        <v>43008</v>
      </c>
      <c r="X5942" t="s">
        <v>44910</v>
      </c>
    </row>
    <row r="5943" spans="1:24">
      <c r="A5943">
        <f>HYPERLINK("https://www.philgeps.gov.ph/GEPSNONPILOT/Tender/SplashBidNoticeAbstractUI.aspx?menuIndex=3&amp;refID=7077233&amp;Result=3","7077233")</f>
        <v>0</v>
      </c>
      <c r="B5943" t="s">
        <v>803</v>
      </c>
      <c r="C5943" t="s">
        <v>9198</v>
      </c>
      <c r="D5943" t="s">
        <v>18122</v>
      </c>
      <c r="E5943" t="s">
        <v>23499</v>
      </c>
      <c r="F5943" t="s">
        <v>31362</v>
      </c>
      <c r="G5943" t="s">
        <v>31368</v>
      </c>
      <c r="H5943" t="s">
        <v>31378</v>
      </c>
      <c r="I5943" t="s">
        <v>31386</v>
      </c>
      <c r="J5943" t="s">
        <v>35261</v>
      </c>
      <c r="K5943" t="s">
        <v>40665</v>
      </c>
      <c r="M5943" t="s">
        <v>41773</v>
      </c>
      <c r="N5943" t="s">
        <v>44905</v>
      </c>
      <c r="O5943" t="s">
        <v>44906</v>
      </c>
      <c r="P5943">
        <v>0</v>
      </c>
      <c r="Q5943">
        <v>0</v>
      </c>
      <c r="R5943" t="s">
        <v>44909</v>
      </c>
      <c r="S5943" t="s">
        <v>45060</v>
      </c>
      <c r="T5943" t="s">
        <v>46454</v>
      </c>
      <c r="U5943" t="s">
        <v>51755</v>
      </c>
      <c r="V5943" t="s">
        <v>59619</v>
      </c>
      <c r="W5943" t="s">
        <v>41773</v>
      </c>
      <c r="X5943" t="s">
        <v>44910</v>
      </c>
    </row>
    <row r="5944" spans="1:24">
      <c r="A5944">
        <f>HYPERLINK("https://www.philgeps.gov.ph/GEPSNONPILOT/Tender/SplashBidNoticeAbstractUI.aspx?menuIndex=3&amp;refID=7077209&amp;Result=3","7077209")</f>
        <v>0</v>
      </c>
      <c r="B5944" t="s">
        <v>820</v>
      </c>
      <c r="C5944" t="s">
        <v>9199</v>
      </c>
      <c r="D5944" t="s">
        <v>18100</v>
      </c>
      <c r="E5944" t="s">
        <v>23500</v>
      </c>
      <c r="F5944" t="s">
        <v>31362</v>
      </c>
      <c r="G5944" t="s">
        <v>31368</v>
      </c>
      <c r="H5944" t="s">
        <v>15799</v>
      </c>
      <c r="I5944" t="s">
        <v>13635</v>
      </c>
      <c r="J5944" t="s">
        <v>35262</v>
      </c>
      <c r="K5944" t="s">
        <v>40677</v>
      </c>
      <c r="M5944" t="s">
        <v>41793</v>
      </c>
      <c r="N5944" t="s">
        <v>44905</v>
      </c>
      <c r="O5944" t="s">
        <v>44906</v>
      </c>
      <c r="P5944">
        <v>0</v>
      </c>
      <c r="Q5944">
        <v>1</v>
      </c>
      <c r="R5944" t="s">
        <v>44909</v>
      </c>
      <c r="S5944" t="s">
        <v>45060</v>
      </c>
      <c r="T5944" t="s">
        <v>46503</v>
      </c>
      <c r="U5944" t="s">
        <v>51756</v>
      </c>
      <c r="W5944" t="s">
        <v>41793</v>
      </c>
      <c r="X5944" t="s">
        <v>44910</v>
      </c>
    </row>
    <row r="5945" spans="1:24">
      <c r="A5945">
        <f>HYPERLINK("https://www.philgeps.gov.ph/GEPSNONPILOT/Tender/SplashBidNoticeAbstractUI.aspx?menuIndex=3&amp;refID=7077231&amp;Result=3","7077231")</f>
        <v>0</v>
      </c>
      <c r="B5945" t="s">
        <v>637</v>
      </c>
      <c r="C5945" t="s">
        <v>9200</v>
      </c>
      <c r="D5945" t="s">
        <v>18102</v>
      </c>
      <c r="E5945" t="s">
        <v>23501</v>
      </c>
      <c r="F5945" t="s">
        <v>31362</v>
      </c>
      <c r="G5945" t="s">
        <v>31369</v>
      </c>
      <c r="H5945" t="s">
        <v>15799</v>
      </c>
      <c r="I5945" t="s">
        <v>31409</v>
      </c>
      <c r="J5945" t="s">
        <v>31615</v>
      </c>
      <c r="K5945" t="s">
        <v>40665</v>
      </c>
      <c r="M5945" t="s">
        <v>41597</v>
      </c>
      <c r="N5945" t="s">
        <v>44905</v>
      </c>
      <c r="O5945" t="s">
        <v>44906</v>
      </c>
      <c r="P5945">
        <v>0</v>
      </c>
      <c r="Q5945">
        <v>7</v>
      </c>
      <c r="R5945" t="s">
        <v>44909</v>
      </c>
      <c r="S5945" t="s">
        <v>45060</v>
      </c>
      <c r="T5945" t="s">
        <v>46697</v>
      </c>
      <c r="U5945" t="s">
        <v>51757</v>
      </c>
      <c r="W5945" t="s">
        <v>41597</v>
      </c>
      <c r="X5945" t="s">
        <v>44910</v>
      </c>
    </row>
    <row r="5946" spans="1:24">
      <c r="A5946">
        <f>HYPERLINK("https://www.philgeps.gov.ph/GEPSNONPILOT/Tender/SplashBidNoticeAbstractUI.aspx?menuIndex=3&amp;refID=7077234&amp;Result=3","7077234")</f>
        <v>0</v>
      </c>
      <c r="B5946" t="s">
        <v>1913</v>
      </c>
      <c r="C5946" t="s">
        <v>9201</v>
      </c>
      <c r="D5946" t="s">
        <v>18106</v>
      </c>
      <c r="E5946" t="s">
        <v>23502</v>
      </c>
      <c r="F5946" t="s">
        <v>31362</v>
      </c>
      <c r="G5946" t="s">
        <v>31369</v>
      </c>
      <c r="H5946" t="s">
        <v>31378</v>
      </c>
      <c r="I5946" t="s">
        <v>31386</v>
      </c>
      <c r="J5946" t="s">
        <v>31738</v>
      </c>
      <c r="K5946" t="s">
        <v>40675</v>
      </c>
      <c r="M5946" t="s">
        <v>43009</v>
      </c>
      <c r="N5946" t="s">
        <v>44905</v>
      </c>
      <c r="O5946" t="s">
        <v>44906</v>
      </c>
      <c r="P5946">
        <v>0</v>
      </c>
      <c r="Q5946">
        <v>1</v>
      </c>
      <c r="R5946" t="s">
        <v>44909</v>
      </c>
      <c r="S5946" t="s">
        <v>45060</v>
      </c>
      <c r="T5946" t="s">
        <v>46462</v>
      </c>
      <c r="U5946" t="s">
        <v>51758</v>
      </c>
      <c r="W5946" t="s">
        <v>43009</v>
      </c>
      <c r="X5946" t="s">
        <v>44910</v>
      </c>
    </row>
    <row r="5947" spans="1:24">
      <c r="A5947">
        <f>HYPERLINK("https://www.philgeps.gov.ph/GEPSNONPILOT/Tender/SplashBidNoticeAbstractUI.aspx?menuIndex=3&amp;refID=7077228&amp;Result=3","7077228")</f>
        <v>0</v>
      </c>
      <c r="B5947" t="s">
        <v>1054</v>
      </c>
      <c r="C5947" t="s">
        <v>9202</v>
      </c>
      <c r="D5947" t="s">
        <v>18148</v>
      </c>
      <c r="E5947" t="s">
        <v>19097</v>
      </c>
      <c r="F5947" t="s">
        <v>31362</v>
      </c>
      <c r="G5947" t="s">
        <v>31369</v>
      </c>
      <c r="H5947" t="s">
        <v>15799</v>
      </c>
      <c r="I5947" t="s">
        <v>31382</v>
      </c>
      <c r="J5947" t="s">
        <v>31933</v>
      </c>
      <c r="K5947" t="s">
        <v>40661</v>
      </c>
      <c r="M5947" t="s">
        <v>42055</v>
      </c>
      <c r="N5947" t="s">
        <v>44905</v>
      </c>
      <c r="O5947" t="s">
        <v>44906</v>
      </c>
      <c r="P5947">
        <v>0</v>
      </c>
      <c r="Q5947">
        <v>3</v>
      </c>
      <c r="R5947" t="s">
        <v>44909</v>
      </c>
      <c r="S5947" t="s">
        <v>45060</v>
      </c>
      <c r="T5947" t="s">
        <v>46412</v>
      </c>
      <c r="U5947" t="s">
        <v>49208</v>
      </c>
      <c r="W5947" t="s">
        <v>42055</v>
      </c>
      <c r="X5947" t="s">
        <v>44910</v>
      </c>
    </row>
    <row r="5948" spans="1:24">
      <c r="A5948">
        <f>HYPERLINK("https://www.philgeps.gov.ph/GEPSNONPILOT/Tender/SplashBidNoticeAbstractUI.aspx?menuIndex=3&amp;refID=7077173&amp;Result=3","7077173")</f>
        <v>0</v>
      </c>
      <c r="B5948" t="s">
        <v>1115</v>
      </c>
      <c r="C5948" t="s">
        <v>9203</v>
      </c>
      <c r="D5948" t="s">
        <v>18104</v>
      </c>
      <c r="E5948" t="s">
        <v>23503</v>
      </c>
      <c r="F5948" t="s">
        <v>31362</v>
      </c>
      <c r="G5948" t="s">
        <v>31368</v>
      </c>
      <c r="H5948" t="s">
        <v>31378</v>
      </c>
      <c r="I5948" t="s">
        <v>31386</v>
      </c>
      <c r="J5948" t="s">
        <v>32023</v>
      </c>
      <c r="K5948" t="s">
        <v>40793</v>
      </c>
      <c r="M5948" t="s">
        <v>42977</v>
      </c>
      <c r="N5948" t="s">
        <v>44905</v>
      </c>
      <c r="O5948" t="s">
        <v>44906</v>
      </c>
      <c r="P5948">
        <v>0</v>
      </c>
      <c r="Q5948">
        <v>0</v>
      </c>
      <c r="R5948" t="s">
        <v>44909</v>
      </c>
      <c r="S5948" t="s">
        <v>45060</v>
      </c>
      <c r="T5948" t="s">
        <v>46470</v>
      </c>
      <c r="U5948" t="s">
        <v>51759</v>
      </c>
      <c r="W5948" t="s">
        <v>42977</v>
      </c>
      <c r="X5948" t="s">
        <v>44910</v>
      </c>
    </row>
    <row r="5949" spans="1:24">
      <c r="A5949">
        <f>HYPERLINK("https://www.philgeps.gov.ph/GEPSNONPILOT/Tender/SplashBidNoticeAbstractUI.aspx?menuIndex=3&amp;refID=7077225&amp;Result=3","7077225")</f>
        <v>0</v>
      </c>
      <c r="B5949" t="s">
        <v>1911</v>
      </c>
      <c r="C5949" t="s">
        <v>9204</v>
      </c>
      <c r="D5949" t="s">
        <v>18176</v>
      </c>
      <c r="E5949" t="s">
        <v>23504</v>
      </c>
      <c r="F5949" t="s">
        <v>31362</v>
      </c>
      <c r="G5949" t="s">
        <v>31370</v>
      </c>
      <c r="H5949" t="s">
        <v>15799</v>
      </c>
      <c r="I5949" t="s">
        <v>31404</v>
      </c>
      <c r="J5949" t="s">
        <v>31921</v>
      </c>
      <c r="K5949" t="s">
        <v>40662</v>
      </c>
      <c r="M5949" t="s">
        <v>43007</v>
      </c>
      <c r="N5949" t="s">
        <v>44905</v>
      </c>
      <c r="O5949" t="s">
        <v>44906</v>
      </c>
      <c r="P5949">
        <v>0</v>
      </c>
      <c r="Q5949">
        <v>0</v>
      </c>
      <c r="R5949" t="s">
        <v>44909</v>
      </c>
      <c r="S5949" t="s">
        <v>45060</v>
      </c>
      <c r="T5949" t="s">
        <v>46409</v>
      </c>
      <c r="U5949" t="s">
        <v>51760</v>
      </c>
      <c r="V5949" t="s">
        <v>59616</v>
      </c>
      <c r="W5949" t="s">
        <v>43007</v>
      </c>
      <c r="X5949" t="s">
        <v>44910</v>
      </c>
    </row>
    <row r="5950" spans="1:24">
      <c r="A5950">
        <f>HYPERLINK("https://www.philgeps.gov.ph/GEPSNONPILOT/Tender/SplashBidNoticeAbstractUI.aspx?menuIndex=3&amp;refID=7077229&amp;Result=3","7077229")</f>
        <v>0</v>
      </c>
      <c r="B5950" t="s">
        <v>592</v>
      </c>
      <c r="C5950" t="s">
        <v>9205</v>
      </c>
      <c r="D5950" t="s">
        <v>18100</v>
      </c>
      <c r="E5950" t="s">
        <v>23505</v>
      </c>
      <c r="F5950" t="s">
        <v>31362</v>
      </c>
      <c r="G5950" t="s">
        <v>31368</v>
      </c>
      <c r="H5950" t="s">
        <v>15799</v>
      </c>
      <c r="I5950" t="s">
        <v>3815</v>
      </c>
      <c r="J5950" t="s">
        <v>35263</v>
      </c>
      <c r="K5950" t="s">
        <v>40662</v>
      </c>
      <c r="M5950" t="s">
        <v>41549</v>
      </c>
      <c r="N5950" t="s">
        <v>44905</v>
      </c>
      <c r="O5950" t="s">
        <v>44906</v>
      </c>
      <c r="P5950">
        <v>0</v>
      </c>
      <c r="Q5950">
        <v>0</v>
      </c>
      <c r="R5950" t="s">
        <v>44909</v>
      </c>
      <c r="S5950" t="s">
        <v>45060</v>
      </c>
      <c r="T5950" t="s">
        <v>46414</v>
      </c>
      <c r="U5950" t="s">
        <v>51761</v>
      </c>
      <c r="W5950" t="s">
        <v>41549</v>
      </c>
      <c r="X5950" t="s">
        <v>44910</v>
      </c>
    </row>
    <row r="5951" spans="1:24">
      <c r="A5951">
        <f>HYPERLINK("https://www.philgeps.gov.ph/GEPSNONPILOT/Tender/SplashBidNoticeAbstractUI.aspx?menuIndex=3&amp;refID=7077223&amp;Result=3","7077223")</f>
        <v>0</v>
      </c>
      <c r="B5951" t="s">
        <v>349</v>
      </c>
      <c r="C5951" t="s">
        <v>8724</v>
      </c>
      <c r="D5951" t="s">
        <v>18160</v>
      </c>
      <c r="E5951" t="s">
        <v>23506</v>
      </c>
      <c r="F5951" t="s">
        <v>31362</v>
      </c>
      <c r="G5951" t="s">
        <v>31368</v>
      </c>
      <c r="H5951" t="s">
        <v>15799</v>
      </c>
      <c r="I5951" t="s">
        <v>31456</v>
      </c>
      <c r="J5951" t="s">
        <v>34444</v>
      </c>
      <c r="K5951" t="s">
        <v>40661</v>
      </c>
      <c r="M5951" t="s">
        <v>41295</v>
      </c>
      <c r="N5951" t="s">
        <v>44905</v>
      </c>
      <c r="O5951" t="s">
        <v>44906</v>
      </c>
      <c r="P5951">
        <v>0</v>
      </c>
      <c r="Q5951">
        <v>2</v>
      </c>
      <c r="R5951" t="s">
        <v>44909</v>
      </c>
      <c r="S5951" t="s">
        <v>45060</v>
      </c>
      <c r="T5951" t="s">
        <v>46432</v>
      </c>
      <c r="U5951" t="s">
        <v>51762</v>
      </c>
      <c r="W5951" t="s">
        <v>41295</v>
      </c>
      <c r="X5951" t="s">
        <v>44910</v>
      </c>
    </row>
    <row r="5952" spans="1:24">
      <c r="A5952">
        <f>HYPERLINK("https://www.philgeps.gov.ph/GEPSNONPILOT/Tender/SplashBidNoticeAbstractUI.aspx?menuIndex=3&amp;refID=7077246&amp;Result=3","7077246")</f>
        <v>0</v>
      </c>
      <c r="B5952" t="s">
        <v>183</v>
      </c>
      <c r="C5952" t="s">
        <v>9206</v>
      </c>
      <c r="D5952" t="s">
        <v>18129</v>
      </c>
      <c r="E5952" t="s">
        <v>23340</v>
      </c>
      <c r="F5952" t="s">
        <v>31362</v>
      </c>
      <c r="G5952" t="s">
        <v>31369</v>
      </c>
      <c r="H5952" t="s">
        <v>15799</v>
      </c>
      <c r="I5952" t="s">
        <v>31382</v>
      </c>
      <c r="J5952" t="s">
        <v>35264</v>
      </c>
      <c r="K5952" t="s">
        <v>40665</v>
      </c>
      <c r="M5952" t="s">
        <v>41121</v>
      </c>
      <c r="N5952" t="s">
        <v>44905</v>
      </c>
      <c r="O5952" t="s">
        <v>44906</v>
      </c>
      <c r="P5952">
        <v>0</v>
      </c>
      <c r="Q5952">
        <v>9</v>
      </c>
      <c r="R5952" t="s">
        <v>44909</v>
      </c>
      <c r="S5952" t="s">
        <v>45060</v>
      </c>
      <c r="T5952" t="s">
        <v>46627</v>
      </c>
      <c r="U5952" t="s">
        <v>51763</v>
      </c>
      <c r="W5952" t="s">
        <v>41121</v>
      </c>
      <c r="X5952" t="s">
        <v>44910</v>
      </c>
    </row>
    <row r="5953" spans="1:24">
      <c r="A5953">
        <f>HYPERLINK("https://www.philgeps.gov.ph/GEPSNONPILOT/Tender/SplashBidNoticeAbstractUI.aspx?menuIndex=3&amp;refID=7077226&amp;Result=3","7077226")</f>
        <v>0</v>
      </c>
      <c r="B5953" t="s">
        <v>1158</v>
      </c>
      <c r="C5953" t="s">
        <v>9207</v>
      </c>
      <c r="D5953" t="s">
        <v>18120</v>
      </c>
      <c r="E5953" t="s">
        <v>23507</v>
      </c>
      <c r="F5953" t="s">
        <v>31362</v>
      </c>
      <c r="G5953" t="s">
        <v>31368</v>
      </c>
      <c r="H5953" t="s">
        <v>15799</v>
      </c>
      <c r="I5953" t="s">
        <v>4057</v>
      </c>
      <c r="J5953" t="s">
        <v>33536</v>
      </c>
      <c r="K5953" t="s">
        <v>40662</v>
      </c>
      <c r="M5953" t="s">
        <v>42167</v>
      </c>
      <c r="N5953" t="s">
        <v>44905</v>
      </c>
      <c r="O5953" t="s">
        <v>44906</v>
      </c>
      <c r="P5953">
        <v>0</v>
      </c>
      <c r="Q5953">
        <v>0</v>
      </c>
      <c r="R5953" t="s">
        <v>44909</v>
      </c>
      <c r="S5953" t="s">
        <v>45060</v>
      </c>
      <c r="T5953" t="s">
        <v>46482</v>
      </c>
      <c r="U5953" t="s">
        <v>51764</v>
      </c>
      <c r="W5953" t="s">
        <v>42167</v>
      </c>
      <c r="X5953" t="s">
        <v>44910</v>
      </c>
    </row>
    <row r="5954" spans="1:24">
      <c r="A5954">
        <f>HYPERLINK("https://www.philgeps.gov.ph/GEPSNONPILOT/Tender/SplashBidNoticeAbstractUI.aspx?menuIndex=3&amp;refID=7077269&amp;Result=3","7077269")</f>
        <v>0</v>
      </c>
      <c r="B5954" t="s">
        <v>169</v>
      </c>
      <c r="C5954" t="s">
        <v>9208</v>
      </c>
      <c r="D5954" t="s">
        <v>18108</v>
      </c>
      <c r="E5954" t="s">
        <v>23508</v>
      </c>
      <c r="F5954" t="s">
        <v>31362</v>
      </c>
      <c r="G5954" t="s">
        <v>31368</v>
      </c>
      <c r="H5954" t="s">
        <v>15799</v>
      </c>
      <c r="I5954" t="s">
        <v>31392</v>
      </c>
      <c r="J5954" t="s">
        <v>35265</v>
      </c>
      <c r="K5954" t="s">
        <v>40665</v>
      </c>
      <c r="M5954" t="s">
        <v>42454</v>
      </c>
      <c r="N5954" t="s">
        <v>44905</v>
      </c>
      <c r="O5954" t="s">
        <v>44906</v>
      </c>
      <c r="P5954">
        <v>0</v>
      </c>
      <c r="Q5954">
        <v>4</v>
      </c>
      <c r="R5954" t="s">
        <v>44909</v>
      </c>
      <c r="S5954" t="s">
        <v>45060</v>
      </c>
      <c r="T5954" t="s">
        <v>46411</v>
      </c>
      <c r="U5954" t="s">
        <v>51765</v>
      </c>
      <c r="W5954" t="s">
        <v>42454</v>
      </c>
      <c r="X5954" t="s">
        <v>44910</v>
      </c>
    </row>
    <row r="5955" spans="1:24">
      <c r="A5955">
        <f>HYPERLINK("https://www.philgeps.gov.ph/GEPSNONPILOT/Tender/SplashBidNoticeAbstractUI.aspx?menuIndex=3&amp;refID=7077222&amp;Result=3","7077222")</f>
        <v>0</v>
      </c>
      <c r="B5955" t="s">
        <v>938</v>
      </c>
      <c r="C5955" t="s">
        <v>9209</v>
      </c>
      <c r="D5955" t="s">
        <v>18108</v>
      </c>
      <c r="E5955" t="s">
        <v>23509</v>
      </c>
      <c r="F5955" t="s">
        <v>31362</v>
      </c>
      <c r="G5955" t="s">
        <v>31368</v>
      </c>
      <c r="H5955" t="s">
        <v>15799</v>
      </c>
      <c r="I5955" t="s">
        <v>7188</v>
      </c>
      <c r="J5955" t="s">
        <v>32316</v>
      </c>
      <c r="K5955" t="s">
        <v>40662</v>
      </c>
      <c r="M5955" t="s">
        <v>43010</v>
      </c>
      <c r="N5955" t="s">
        <v>44905</v>
      </c>
      <c r="O5955" t="s">
        <v>44906</v>
      </c>
      <c r="P5955">
        <v>0</v>
      </c>
      <c r="Q5955">
        <v>9</v>
      </c>
      <c r="R5955" t="s">
        <v>44909</v>
      </c>
      <c r="S5955" t="s">
        <v>45060</v>
      </c>
      <c r="T5955" t="s">
        <v>46454</v>
      </c>
      <c r="U5955" t="s">
        <v>51766</v>
      </c>
      <c r="V5955" t="s">
        <v>59620</v>
      </c>
      <c r="W5955" t="s">
        <v>41925</v>
      </c>
      <c r="X5955" t="s">
        <v>44910</v>
      </c>
    </row>
    <row r="5956" spans="1:24">
      <c r="A5956">
        <f>HYPERLINK("https://www.philgeps.gov.ph/GEPSNONPILOT/Tender/SplashBidNoticeAbstractUI.aspx?menuIndex=3&amp;refID=7077268&amp;Result=3","7077268")</f>
        <v>0</v>
      </c>
      <c r="B5956" t="s">
        <v>1827</v>
      </c>
      <c r="C5956" t="s">
        <v>9210</v>
      </c>
      <c r="D5956" t="s">
        <v>18138</v>
      </c>
      <c r="E5956" t="s">
        <v>23510</v>
      </c>
      <c r="F5956" t="s">
        <v>31362</v>
      </c>
      <c r="G5956" t="s">
        <v>31368</v>
      </c>
      <c r="H5956" t="s">
        <v>15799</v>
      </c>
      <c r="I5956" t="s">
        <v>31421</v>
      </c>
      <c r="J5956" t="s">
        <v>34093</v>
      </c>
      <c r="K5956" t="s">
        <v>40670</v>
      </c>
      <c r="M5956" t="s">
        <v>42911</v>
      </c>
      <c r="N5956" t="s">
        <v>44905</v>
      </c>
      <c r="O5956" t="s">
        <v>44906</v>
      </c>
      <c r="P5956">
        <v>0</v>
      </c>
      <c r="Q5956">
        <v>0</v>
      </c>
      <c r="R5956" t="s">
        <v>44909</v>
      </c>
      <c r="S5956" t="s">
        <v>45060</v>
      </c>
      <c r="T5956" t="s">
        <v>46443</v>
      </c>
      <c r="U5956" t="s">
        <v>51480</v>
      </c>
      <c r="V5956" t="s">
        <v>59596</v>
      </c>
      <c r="W5956" t="s">
        <v>42911</v>
      </c>
      <c r="X5956" t="s">
        <v>44910</v>
      </c>
    </row>
    <row r="5957" spans="1:24">
      <c r="A5957">
        <f>HYPERLINK("https://www.philgeps.gov.ph/GEPSNONPILOT/Tender/SplashBidNoticeAbstractUI.aspx?menuIndex=3&amp;refID=7077267&amp;Result=3","7077267")</f>
        <v>0</v>
      </c>
      <c r="B5957" t="s">
        <v>550</v>
      </c>
      <c r="C5957" t="s">
        <v>9211</v>
      </c>
      <c r="D5957" t="s">
        <v>18138</v>
      </c>
      <c r="E5957" t="s">
        <v>23511</v>
      </c>
      <c r="F5957" t="s">
        <v>31362</v>
      </c>
      <c r="G5957" t="s">
        <v>31368</v>
      </c>
      <c r="H5957" t="s">
        <v>15799</v>
      </c>
      <c r="I5957" t="s">
        <v>31392</v>
      </c>
      <c r="J5957" t="s">
        <v>31591</v>
      </c>
      <c r="K5957" t="s">
        <v>40666</v>
      </c>
      <c r="M5957" t="s">
        <v>41506</v>
      </c>
      <c r="N5957" t="s">
        <v>44905</v>
      </c>
      <c r="O5957" t="s">
        <v>44906</v>
      </c>
      <c r="P5957">
        <v>0</v>
      </c>
      <c r="Q5957">
        <v>2</v>
      </c>
      <c r="R5957" t="s">
        <v>44909</v>
      </c>
      <c r="S5957" t="s">
        <v>45060</v>
      </c>
      <c r="T5957" t="s">
        <v>46409</v>
      </c>
      <c r="U5957" t="s">
        <v>51751</v>
      </c>
      <c r="W5957" t="s">
        <v>41506</v>
      </c>
      <c r="X5957" t="s">
        <v>44910</v>
      </c>
    </row>
    <row r="5958" spans="1:24">
      <c r="A5958">
        <f>HYPERLINK("https://www.philgeps.gov.ph/GEPSNONPILOT/Tender/SplashBidNoticeAbstractUI.aspx?menuIndex=3&amp;refID=7077263&amp;Result=3","7077263")</f>
        <v>0</v>
      </c>
      <c r="B5958" t="s">
        <v>1914</v>
      </c>
      <c r="C5958" t="s">
        <v>9212</v>
      </c>
      <c r="D5958" t="s">
        <v>18108</v>
      </c>
      <c r="E5958" t="s">
        <v>23512</v>
      </c>
      <c r="F5958" t="s">
        <v>31362</v>
      </c>
      <c r="G5958" t="s">
        <v>31370</v>
      </c>
      <c r="H5958" t="s">
        <v>15799</v>
      </c>
      <c r="I5958" t="s">
        <v>31406</v>
      </c>
      <c r="J5958" t="s">
        <v>31898</v>
      </c>
      <c r="K5958" t="s">
        <v>40672</v>
      </c>
      <c r="M5958" t="s">
        <v>43011</v>
      </c>
      <c r="N5958" t="s">
        <v>44905</v>
      </c>
      <c r="O5958" t="s">
        <v>44906</v>
      </c>
      <c r="P5958">
        <v>0</v>
      </c>
      <c r="Q5958">
        <v>3</v>
      </c>
      <c r="R5958" t="s">
        <v>44909</v>
      </c>
      <c r="S5958" t="s">
        <v>45060</v>
      </c>
      <c r="T5958" t="s">
        <v>46434</v>
      </c>
      <c r="U5958" t="s">
        <v>51767</v>
      </c>
      <c r="W5958" t="s">
        <v>43011</v>
      </c>
      <c r="X5958" t="s">
        <v>44910</v>
      </c>
    </row>
    <row r="5959" spans="1:24">
      <c r="A5959">
        <f>HYPERLINK("https://www.philgeps.gov.ph/GEPSNONPILOT/Tender/SplashBidNoticeAbstractUI.aspx?menuIndex=3&amp;refID=7077163&amp;Result=3","7077163")</f>
        <v>0</v>
      </c>
      <c r="B5959" t="s">
        <v>1230</v>
      </c>
      <c r="C5959" t="s">
        <v>9213</v>
      </c>
      <c r="D5959" t="s">
        <v>18106</v>
      </c>
      <c r="E5959" t="s">
        <v>21151</v>
      </c>
      <c r="F5959" t="s">
        <v>31362</v>
      </c>
      <c r="G5959" t="s">
        <v>31369</v>
      </c>
      <c r="H5959" t="s">
        <v>15799</v>
      </c>
      <c r="I5959" t="s">
        <v>7188</v>
      </c>
      <c r="J5959" t="s">
        <v>31937</v>
      </c>
      <c r="K5959" t="s">
        <v>40661</v>
      </c>
      <c r="M5959" t="s">
        <v>42244</v>
      </c>
      <c r="N5959" t="s">
        <v>44905</v>
      </c>
      <c r="O5959" t="s">
        <v>44906</v>
      </c>
      <c r="P5959">
        <v>0</v>
      </c>
      <c r="Q5959">
        <v>1</v>
      </c>
      <c r="R5959" t="s">
        <v>44909</v>
      </c>
      <c r="S5959" t="s">
        <v>45060</v>
      </c>
      <c r="T5959" t="s">
        <v>46425</v>
      </c>
      <c r="U5959" t="s">
        <v>51768</v>
      </c>
      <c r="W5959" t="s">
        <v>42244</v>
      </c>
      <c r="X5959" t="s">
        <v>44910</v>
      </c>
    </row>
    <row r="5960" spans="1:24">
      <c r="A5960">
        <f>HYPERLINK("https://www.philgeps.gov.ph/GEPSNONPILOT/Tender/SplashBidNoticeAbstractUI.aspx?menuIndex=3&amp;refID=7077232&amp;Result=3","7077232")</f>
        <v>0</v>
      </c>
      <c r="B5960" t="s">
        <v>1905</v>
      </c>
      <c r="C5960" t="s">
        <v>9214</v>
      </c>
      <c r="D5960" t="s">
        <v>18116</v>
      </c>
      <c r="E5960" t="s">
        <v>23513</v>
      </c>
      <c r="F5960" t="s">
        <v>31362</v>
      </c>
      <c r="G5960" t="s">
        <v>31368</v>
      </c>
      <c r="H5960" t="s">
        <v>15799</v>
      </c>
      <c r="I5960" t="s">
        <v>3815</v>
      </c>
      <c r="J5960" t="s">
        <v>35266</v>
      </c>
      <c r="K5960" t="s">
        <v>40670</v>
      </c>
      <c r="M5960" t="s">
        <v>43000</v>
      </c>
      <c r="N5960" t="s">
        <v>44905</v>
      </c>
      <c r="O5960" t="s">
        <v>44906</v>
      </c>
      <c r="P5960">
        <v>0</v>
      </c>
      <c r="Q5960">
        <v>1</v>
      </c>
      <c r="R5960" t="s">
        <v>44909</v>
      </c>
      <c r="S5960" t="s">
        <v>45060</v>
      </c>
      <c r="T5960" t="s">
        <v>46478</v>
      </c>
      <c r="U5960" t="s">
        <v>51769</v>
      </c>
      <c r="W5960" t="s">
        <v>43000</v>
      </c>
      <c r="X5960" t="s">
        <v>44910</v>
      </c>
    </row>
    <row r="5961" spans="1:24">
      <c r="A5961">
        <f>HYPERLINK("https://www.philgeps.gov.ph/GEPSNONPILOT/Tender/SplashBidNoticeAbstractUI.aspx?menuIndex=3&amp;refID=7077262&amp;Result=3","7077262")</f>
        <v>0</v>
      </c>
      <c r="B5961" t="s">
        <v>1741</v>
      </c>
      <c r="C5961" t="s">
        <v>9215</v>
      </c>
      <c r="D5961" t="s">
        <v>18123</v>
      </c>
      <c r="E5961" t="s">
        <v>23514</v>
      </c>
      <c r="F5961" t="s">
        <v>31362</v>
      </c>
      <c r="G5961" t="s">
        <v>31369</v>
      </c>
      <c r="H5961" t="s">
        <v>15799</v>
      </c>
      <c r="I5961" t="s">
        <v>31393</v>
      </c>
      <c r="J5961" t="s">
        <v>31637</v>
      </c>
      <c r="K5961" t="s">
        <v>40665</v>
      </c>
      <c r="M5961" t="s">
        <v>43001</v>
      </c>
      <c r="N5961" t="s">
        <v>44905</v>
      </c>
      <c r="O5961" t="s">
        <v>44906</v>
      </c>
      <c r="P5961">
        <v>0</v>
      </c>
      <c r="Q5961">
        <v>7</v>
      </c>
      <c r="R5961" t="s">
        <v>44909</v>
      </c>
      <c r="S5961" t="s">
        <v>45060</v>
      </c>
      <c r="T5961" t="s">
        <v>46696</v>
      </c>
      <c r="U5961" t="s">
        <v>51736</v>
      </c>
      <c r="V5961" t="s">
        <v>59618</v>
      </c>
      <c r="W5961" t="s">
        <v>43001</v>
      </c>
      <c r="X5961" t="s">
        <v>44910</v>
      </c>
    </row>
    <row r="5962" spans="1:24">
      <c r="A5962">
        <f>HYPERLINK("https://www.philgeps.gov.ph/GEPSNONPILOT/Tender/SplashBidNoticeAbstractUI.aspx?menuIndex=3&amp;refID=7077261&amp;Result=3","7077261")</f>
        <v>0</v>
      </c>
      <c r="B5962" t="s">
        <v>1058</v>
      </c>
      <c r="C5962" t="s">
        <v>9216</v>
      </c>
      <c r="D5962" t="s">
        <v>18104</v>
      </c>
      <c r="E5962" t="s">
        <v>23515</v>
      </c>
      <c r="F5962" t="s">
        <v>31362</v>
      </c>
      <c r="G5962" t="s">
        <v>31370</v>
      </c>
      <c r="H5962" t="s">
        <v>15799</v>
      </c>
      <c r="I5962" t="s">
        <v>4942</v>
      </c>
      <c r="J5962" t="s">
        <v>35267</v>
      </c>
      <c r="K5962" t="s">
        <v>40670</v>
      </c>
      <c r="M5962" t="s">
        <v>42059</v>
      </c>
      <c r="N5962" t="s">
        <v>44905</v>
      </c>
      <c r="O5962" t="s">
        <v>44906</v>
      </c>
      <c r="P5962">
        <v>0</v>
      </c>
      <c r="Q5962">
        <v>0</v>
      </c>
      <c r="R5962" t="s">
        <v>44909</v>
      </c>
      <c r="S5962" t="s">
        <v>45060</v>
      </c>
      <c r="T5962" t="s">
        <v>46447</v>
      </c>
      <c r="U5962" t="s">
        <v>51770</v>
      </c>
      <c r="W5962" t="s">
        <v>42059</v>
      </c>
      <c r="X5962" t="s">
        <v>44910</v>
      </c>
    </row>
    <row r="5963" spans="1:24">
      <c r="A5963">
        <f>HYPERLINK("https://www.philgeps.gov.ph/GEPSNONPILOT/Tender/SplashBidNoticeAbstractUI.aspx?menuIndex=3&amp;refID=7077259&amp;Result=3","7077259")</f>
        <v>0</v>
      </c>
      <c r="B5963" t="s">
        <v>1915</v>
      </c>
      <c r="C5963" t="s">
        <v>9217</v>
      </c>
      <c r="D5963" t="s">
        <v>18118</v>
      </c>
      <c r="E5963" t="s">
        <v>23516</v>
      </c>
      <c r="F5963" t="s">
        <v>31362</v>
      </c>
      <c r="G5963" t="s">
        <v>31369</v>
      </c>
      <c r="H5963" t="s">
        <v>15799</v>
      </c>
      <c r="I5963" t="s">
        <v>31444</v>
      </c>
      <c r="J5963" t="s">
        <v>35268</v>
      </c>
      <c r="K5963" t="s">
        <v>40661</v>
      </c>
      <c r="M5963" t="s">
        <v>43012</v>
      </c>
      <c r="N5963" t="s">
        <v>44905</v>
      </c>
      <c r="O5963" t="s">
        <v>44906</v>
      </c>
      <c r="P5963">
        <v>0</v>
      </c>
      <c r="Q5963">
        <v>3</v>
      </c>
      <c r="R5963" t="s">
        <v>44909</v>
      </c>
      <c r="S5963" t="s">
        <v>45060</v>
      </c>
      <c r="T5963" t="s">
        <v>46444</v>
      </c>
      <c r="U5963" t="s">
        <v>51771</v>
      </c>
      <c r="W5963" t="s">
        <v>43012</v>
      </c>
      <c r="X5963" t="s">
        <v>44910</v>
      </c>
    </row>
    <row r="5964" spans="1:24">
      <c r="A5964">
        <f>HYPERLINK("https://www.philgeps.gov.ph/GEPSNONPILOT/Tender/SplashBidNoticeAbstractUI.aspx?menuIndex=3&amp;refID=7077257&amp;Result=3","7077257")</f>
        <v>0</v>
      </c>
      <c r="B5964" t="s">
        <v>1184</v>
      </c>
      <c r="C5964" t="s">
        <v>9218</v>
      </c>
      <c r="D5964" t="s">
        <v>18119</v>
      </c>
      <c r="E5964" t="s">
        <v>23517</v>
      </c>
      <c r="F5964" t="s">
        <v>31362</v>
      </c>
      <c r="G5964" t="s">
        <v>31368</v>
      </c>
      <c r="H5964" t="s">
        <v>31378</v>
      </c>
      <c r="I5964" t="s">
        <v>31386</v>
      </c>
      <c r="J5964" t="s">
        <v>35269</v>
      </c>
      <c r="K5964" t="s">
        <v>40670</v>
      </c>
      <c r="M5964" t="s">
        <v>42196</v>
      </c>
      <c r="N5964" t="s">
        <v>44905</v>
      </c>
      <c r="O5964" t="s">
        <v>44906</v>
      </c>
      <c r="P5964">
        <v>0</v>
      </c>
      <c r="Q5964">
        <v>0</v>
      </c>
      <c r="R5964" t="s">
        <v>44909</v>
      </c>
      <c r="S5964" t="s">
        <v>45060</v>
      </c>
      <c r="T5964" t="s">
        <v>46409</v>
      </c>
      <c r="U5964" t="s">
        <v>51772</v>
      </c>
      <c r="W5964" t="s">
        <v>42196</v>
      </c>
      <c r="X5964" t="s">
        <v>44910</v>
      </c>
    </row>
    <row r="5965" spans="1:24">
      <c r="A5965">
        <f>HYPERLINK("https://www.philgeps.gov.ph/GEPSNONPILOT/Tender/SplashBidNoticeAbstractUI.aspx?menuIndex=3&amp;refID=7077256&amp;Result=3","7077256")</f>
        <v>0</v>
      </c>
      <c r="B5965" t="s">
        <v>472</v>
      </c>
      <c r="C5965" t="s">
        <v>9219</v>
      </c>
      <c r="D5965" t="s">
        <v>18134</v>
      </c>
      <c r="E5965" t="s">
        <v>23518</v>
      </c>
      <c r="F5965" t="s">
        <v>31362</v>
      </c>
      <c r="G5965" t="s">
        <v>31368</v>
      </c>
      <c r="H5965" t="s">
        <v>15799</v>
      </c>
      <c r="I5965" t="s">
        <v>31422</v>
      </c>
      <c r="J5965" t="s">
        <v>35270</v>
      </c>
      <c r="K5965" t="s">
        <v>40675</v>
      </c>
      <c r="M5965" t="s">
        <v>42842</v>
      </c>
      <c r="N5965" t="s">
        <v>44905</v>
      </c>
      <c r="O5965" t="s">
        <v>44906</v>
      </c>
      <c r="P5965">
        <v>0</v>
      </c>
      <c r="Q5965">
        <v>0</v>
      </c>
      <c r="R5965" t="s">
        <v>44909</v>
      </c>
      <c r="S5965" t="s">
        <v>45060</v>
      </c>
      <c r="T5965" t="s">
        <v>46454</v>
      </c>
      <c r="U5965" t="s">
        <v>51773</v>
      </c>
      <c r="W5965" t="s">
        <v>42842</v>
      </c>
      <c r="X5965" t="s">
        <v>44910</v>
      </c>
    </row>
    <row r="5966" spans="1:24">
      <c r="A5966">
        <f>HYPERLINK("https://www.philgeps.gov.ph/GEPSNONPILOT/Tender/SplashBidNoticeAbstractUI.aspx?menuIndex=3&amp;refID=7077161&amp;Result=3","7077161")</f>
        <v>0</v>
      </c>
      <c r="B5966" t="s">
        <v>1911</v>
      </c>
      <c r="C5966" t="s">
        <v>9220</v>
      </c>
      <c r="D5966" t="s">
        <v>18176</v>
      </c>
      <c r="E5966" t="s">
        <v>23519</v>
      </c>
      <c r="F5966" t="s">
        <v>31362</v>
      </c>
      <c r="G5966" t="s">
        <v>31370</v>
      </c>
      <c r="H5966" t="s">
        <v>15799</v>
      </c>
      <c r="I5966" t="s">
        <v>7090</v>
      </c>
      <c r="J5966" t="s">
        <v>35271</v>
      </c>
      <c r="K5966" t="s">
        <v>40662</v>
      </c>
      <c r="M5966" t="s">
        <v>43007</v>
      </c>
      <c r="N5966" t="s">
        <v>44905</v>
      </c>
      <c r="O5966" t="s">
        <v>44906</v>
      </c>
      <c r="P5966">
        <v>0</v>
      </c>
      <c r="Q5966">
        <v>1</v>
      </c>
      <c r="R5966" t="s">
        <v>44909</v>
      </c>
      <c r="S5966" t="s">
        <v>45060</v>
      </c>
      <c r="T5966" t="s">
        <v>46409</v>
      </c>
      <c r="U5966" t="s">
        <v>51748</v>
      </c>
      <c r="V5966" t="s">
        <v>59616</v>
      </c>
      <c r="W5966" t="s">
        <v>43007</v>
      </c>
      <c r="X5966" t="s">
        <v>44910</v>
      </c>
    </row>
    <row r="5967" spans="1:24">
      <c r="A5967">
        <f>HYPERLINK("https://www.philgeps.gov.ph/GEPSNONPILOT/Tender/SplashBidNoticeAbstractUI.aspx?menuIndex=3&amp;refID=7077254&amp;Result=3","7077254")</f>
        <v>0</v>
      </c>
      <c r="B5967" t="s">
        <v>954</v>
      </c>
      <c r="C5967" t="s">
        <v>9221</v>
      </c>
      <c r="D5967" t="s">
        <v>18136</v>
      </c>
      <c r="E5967" t="s">
        <v>23520</v>
      </c>
      <c r="F5967" t="s">
        <v>31362</v>
      </c>
      <c r="G5967" t="s">
        <v>31368</v>
      </c>
      <c r="H5967" t="s">
        <v>15799</v>
      </c>
      <c r="I5967" t="s">
        <v>31393</v>
      </c>
      <c r="J5967" t="s">
        <v>34112</v>
      </c>
      <c r="K5967" t="s">
        <v>40677</v>
      </c>
      <c r="M5967" t="s">
        <v>41942</v>
      </c>
      <c r="N5967" t="s">
        <v>44905</v>
      </c>
      <c r="O5967" t="s">
        <v>44906</v>
      </c>
      <c r="P5967">
        <v>0</v>
      </c>
      <c r="Q5967">
        <v>1</v>
      </c>
      <c r="R5967" t="s">
        <v>44909</v>
      </c>
      <c r="S5967" t="s">
        <v>45060</v>
      </c>
      <c r="T5967" t="s">
        <v>46497</v>
      </c>
      <c r="U5967" t="s">
        <v>48763</v>
      </c>
      <c r="W5967" t="s">
        <v>41942</v>
      </c>
      <c r="X5967" t="s">
        <v>44910</v>
      </c>
    </row>
    <row r="5968" spans="1:24">
      <c r="A5968">
        <f>HYPERLINK("https://www.philgeps.gov.ph/GEPSNONPILOT/Tender/SplashBidNoticeAbstractUI.aspx?menuIndex=3&amp;refID=7077264&amp;Result=3","7077264")</f>
        <v>0</v>
      </c>
      <c r="B5968" t="s">
        <v>1916</v>
      </c>
      <c r="C5968" t="s">
        <v>4032</v>
      </c>
      <c r="D5968" t="s">
        <v>18103</v>
      </c>
      <c r="E5968" t="s">
        <v>23521</v>
      </c>
      <c r="F5968" t="s">
        <v>31362</v>
      </c>
      <c r="G5968" t="s">
        <v>31369</v>
      </c>
      <c r="H5968" t="s">
        <v>15799</v>
      </c>
      <c r="I5968" t="s">
        <v>4283</v>
      </c>
      <c r="J5968" t="s">
        <v>35272</v>
      </c>
      <c r="K5968" t="s">
        <v>40670</v>
      </c>
      <c r="M5968" t="s">
        <v>43013</v>
      </c>
      <c r="N5968" t="s">
        <v>44905</v>
      </c>
      <c r="O5968" t="s">
        <v>44906</v>
      </c>
      <c r="P5968">
        <v>0</v>
      </c>
      <c r="Q5968">
        <v>7</v>
      </c>
      <c r="R5968" t="s">
        <v>44909</v>
      </c>
      <c r="S5968" t="s">
        <v>45060</v>
      </c>
      <c r="T5968" t="s">
        <v>46433</v>
      </c>
      <c r="U5968" t="s">
        <v>51774</v>
      </c>
      <c r="V5968" t="s">
        <v>59621</v>
      </c>
      <c r="W5968" t="s">
        <v>43013</v>
      </c>
      <c r="X5968" t="s">
        <v>44910</v>
      </c>
    </row>
    <row r="5969" spans="1:24">
      <c r="A5969">
        <f>HYPERLINK("https://www.philgeps.gov.ph/GEPSNONPILOT/Tender/SplashBidNoticeAbstractUI.aspx?menuIndex=3&amp;refID=7077297&amp;Result=3","7077297")</f>
        <v>0</v>
      </c>
      <c r="B5969" t="s">
        <v>637</v>
      </c>
      <c r="C5969" t="s">
        <v>9222</v>
      </c>
      <c r="D5969" t="s">
        <v>18102</v>
      </c>
      <c r="E5969" t="s">
        <v>23522</v>
      </c>
      <c r="F5969" t="s">
        <v>31362</v>
      </c>
      <c r="G5969" t="s">
        <v>31369</v>
      </c>
      <c r="H5969" t="s">
        <v>15799</v>
      </c>
      <c r="I5969" t="s">
        <v>4283</v>
      </c>
      <c r="J5969" t="s">
        <v>35273</v>
      </c>
      <c r="K5969" t="s">
        <v>40665</v>
      </c>
      <c r="M5969" t="s">
        <v>41597</v>
      </c>
      <c r="N5969" t="s">
        <v>44905</v>
      </c>
      <c r="O5969" t="s">
        <v>44906</v>
      </c>
      <c r="P5969">
        <v>0</v>
      </c>
      <c r="Q5969">
        <v>7</v>
      </c>
      <c r="R5969" t="s">
        <v>44909</v>
      </c>
      <c r="S5969" t="s">
        <v>45060</v>
      </c>
      <c r="T5969" t="s">
        <v>46697</v>
      </c>
      <c r="U5969" t="s">
        <v>51775</v>
      </c>
      <c r="W5969" t="s">
        <v>41597</v>
      </c>
      <c r="X5969" t="s">
        <v>44910</v>
      </c>
    </row>
    <row r="5970" spans="1:24">
      <c r="A5970">
        <f>HYPERLINK("https://www.philgeps.gov.ph/GEPSNONPILOT/Tender/SplashBidNoticeAbstractUI.aspx?menuIndex=3&amp;refID=7077296&amp;Result=3","7077296")</f>
        <v>0</v>
      </c>
      <c r="B5970" t="s">
        <v>1115</v>
      </c>
      <c r="C5970" t="s">
        <v>9223</v>
      </c>
      <c r="D5970" t="s">
        <v>18104</v>
      </c>
      <c r="E5970" t="s">
        <v>23523</v>
      </c>
      <c r="F5970" t="s">
        <v>31362</v>
      </c>
      <c r="G5970" t="s">
        <v>31368</v>
      </c>
      <c r="H5970" t="s">
        <v>31378</v>
      </c>
      <c r="I5970" t="s">
        <v>31386</v>
      </c>
      <c r="J5970" t="s">
        <v>32981</v>
      </c>
      <c r="K5970" t="s">
        <v>40792</v>
      </c>
      <c r="M5970" t="s">
        <v>42977</v>
      </c>
      <c r="N5970" t="s">
        <v>44905</v>
      </c>
      <c r="O5970" t="s">
        <v>44906</v>
      </c>
      <c r="P5970">
        <v>0</v>
      </c>
      <c r="Q5970">
        <v>0</v>
      </c>
      <c r="R5970" t="s">
        <v>44909</v>
      </c>
      <c r="S5970" t="s">
        <v>45060</v>
      </c>
      <c r="T5970" t="s">
        <v>46470</v>
      </c>
      <c r="U5970" t="s">
        <v>51776</v>
      </c>
      <c r="W5970" t="s">
        <v>42977</v>
      </c>
      <c r="X5970" t="s">
        <v>44910</v>
      </c>
    </row>
    <row r="5971" spans="1:24">
      <c r="A5971">
        <f>HYPERLINK("https://www.philgeps.gov.ph/GEPSNONPILOT/Tender/SplashBidNoticeAbstractUI.aspx?menuIndex=3&amp;refID=7077293&amp;Result=3","7077293")</f>
        <v>0</v>
      </c>
      <c r="B5971" t="s">
        <v>183</v>
      </c>
      <c r="C5971" t="s">
        <v>9224</v>
      </c>
      <c r="D5971" t="s">
        <v>18129</v>
      </c>
      <c r="E5971" t="s">
        <v>23524</v>
      </c>
      <c r="F5971" t="s">
        <v>31362</v>
      </c>
      <c r="G5971" t="s">
        <v>31369</v>
      </c>
      <c r="H5971" t="s">
        <v>15799</v>
      </c>
      <c r="I5971" t="s">
        <v>31382</v>
      </c>
      <c r="J5971" t="s">
        <v>35274</v>
      </c>
      <c r="K5971" t="s">
        <v>40665</v>
      </c>
      <c r="M5971" t="s">
        <v>41121</v>
      </c>
      <c r="N5971" t="s">
        <v>44905</v>
      </c>
      <c r="O5971" t="s">
        <v>44906</v>
      </c>
      <c r="P5971">
        <v>0</v>
      </c>
      <c r="Q5971">
        <v>9</v>
      </c>
      <c r="R5971" t="s">
        <v>44909</v>
      </c>
      <c r="S5971" t="s">
        <v>45060</v>
      </c>
      <c r="T5971" t="s">
        <v>46627</v>
      </c>
      <c r="U5971" t="s">
        <v>51777</v>
      </c>
      <c r="W5971" t="s">
        <v>41121</v>
      </c>
      <c r="X5971" t="s">
        <v>44910</v>
      </c>
    </row>
    <row r="5972" spans="1:24">
      <c r="A5972">
        <f>HYPERLINK("https://www.philgeps.gov.ph/GEPSNONPILOT/Tender/SplashBidNoticeAbstractUI.aspx?menuIndex=3&amp;refID=7077292&amp;Result=3","7077292")</f>
        <v>0</v>
      </c>
      <c r="B5972" t="s">
        <v>1917</v>
      </c>
      <c r="C5972" t="s">
        <v>9225</v>
      </c>
      <c r="D5972" t="s">
        <v>18138</v>
      </c>
      <c r="E5972" t="s">
        <v>23525</v>
      </c>
      <c r="F5972" t="s">
        <v>31362</v>
      </c>
      <c r="G5972" t="s">
        <v>31369</v>
      </c>
      <c r="H5972" t="s">
        <v>31378</v>
      </c>
      <c r="I5972" t="s">
        <v>31386</v>
      </c>
      <c r="J5972" t="s">
        <v>35275</v>
      </c>
      <c r="K5972" t="s">
        <v>40675</v>
      </c>
      <c r="M5972" t="s">
        <v>43014</v>
      </c>
      <c r="N5972" t="s">
        <v>44905</v>
      </c>
      <c r="O5972" t="s">
        <v>44906</v>
      </c>
      <c r="P5972">
        <v>0</v>
      </c>
      <c r="Q5972">
        <v>0</v>
      </c>
      <c r="R5972" t="s">
        <v>44909</v>
      </c>
      <c r="S5972" t="s">
        <v>45060</v>
      </c>
      <c r="T5972" t="s">
        <v>46559</v>
      </c>
      <c r="U5972" t="s">
        <v>51778</v>
      </c>
      <c r="W5972" t="s">
        <v>43014</v>
      </c>
      <c r="X5972" t="s">
        <v>44910</v>
      </c>
    </row>
    <row r="5973" spans="1:24">
      <c r="A5973">
        <f>HYPERLINK("https://www.philgeps.gov.ph/GEPSNONPILOT/Tender/SplashBidNoticeAbstractUI.aspx?menuIndex=3&amp;refID=7077265&amp;Result=3","7077265")</f>
        <v>0</v>
      </c>
      <c r="B5973" t="s">
        <v>637</v>
      </c>
      <c r="C5973" t="s">
        <v>9226</v>
      </c>
      <c r="D5973" t="s">
        <v>18102</v>
      </c>
      <c r="E5973" t="s">
        <v>23526</v>
      </c>
      <c r="F5973" t="s">
        <v>31362</v>
      </c>
      <c r="G5973" t="s">
        <v>31369</v>
      </c>
      <c r="H5973" t="s">
        <v>15799</v>
      </c>
      <c r="I5973" t="s">
        <v>7719</v>
      </c>
      <c r="J5973" t="s">
        <v>35276</v>
      </c>
      <c r="K5973" t="s">
        <v>40665</v>
      </c>
      <c r="M5973" t="s">
        <v>41597</v>
      </c>
      <c r="N5973" t="s">
        <v>44905</v>
      </c>
      <c r="O5973" t="s">
        <v>44906</v>
      </c>
      <c r="P5973">
        <v>0</v>
      </c>
      <c r="Q5973">
        <v>13</v>
      </c>
      <c r="R5973" t="s">
        <v>44909</v>
      </c>
      <c r="S5973" t="s">
        <v>45060</v>
      </c>
      <c r="T5973" t="s">
        <v>46697</v>
      </c>
      <c r="U5973" t="s">
        <v>51779</v>
      </c>
      <c r="W5973" t="s">
        <v>41597</v>
      </c>
      <c r="X5973" t="s">
        <v>44910</v>
      </c>
    </row>
    <row r="5974" spans="1:24">
      <c r="A5974">
        <f>HYPERLINK("https://www.philgeps.gov.ph/GEPSNONPILOT/Tender/SplashBidNoticeAbstractUI.aspx?menuIndex=3&amp;refID=7077289&amp;Result=3","7077289")</f>
        <v>0</v>
      </c>
      <c r="B5974" t="s">
        <v>339</v>
      </c>
      <c r="C5974" t="s">
        <v>9227</v>
      </c>
      <c r="D5974" t="s">
        <v>18106</v>
      </c>
      <c r="E5974" t="s">
        <v>23527</v>
      </c>
      <c r="F5974" t="s">
        <v>31362</v>
      </c>
      <c r="G5974" t="s">
        <v>31368</v>
      </c>
      <c r="H5974" t="s">
        <v>15799</v>
      </c>
      <c r="I5974" t="s">
        <v>31382</v>
      </c>
      <c r="J5974" t="s">
        <v>31915</v>
      </c>
      <c r="K5974" t="s">
        <v>40662</v>
      </c>
      <c r="M5974" t="s">
        <v>41285</v>
      </c>
      <c r="N5974" t="s">
        <v>44905</v>
      </c>
      <c r="O5974" t="s">
        <v>44906</v>
      </c>
      <c r="P5974">
        <v>0</v>
      </c>
      <c r="Q5974">
        <v>13</v>
      </c>
      <c r="R5974" t="s">
        <v>44909</v>
      </c>
      <c r="S5974" t="s">
        <v>45060</v>
      </c>
      <c r="T5974" t="s">
        <v>46435</v>
      </c>
      <c r="U5974" t="s">
        <v>51780</v>
      </c>
      <c r="W5974" t="s">
        <v>41285</v>
      </c>
      <c r="X5974" t="s">
        <v>44910</v>
      </c>
    </row>
    <row r="5975" spans="1:24">
      <c r="A5975">
        <f>HYPERLINK("https://www.philgeps.gov.ph/GEPSNONPILOT/Tender/SplashBidNoticeAbstractUI.aspx?menuIndex=3&amp;refID=7077298&amp;Result=3","7077298")</f>
        <v>0</v>
      </c>
      <c r="B5975" t="s">
        <v>1918</v>
      </c>
      <c r="C5975" t="s">
        <v>9228</v>
      </c>
      <c r="D5975" t="s">
        <v>18160</v>
      </c>
      <c r="E5975" t="s">
        <v>18818</v>
      </c>
      <c r="F5975" t="s">
        <v>31362</v>
      </c>
      <c r="G5975" t="s">
        <v>31368</v>
      </c>
      <c r="H5975" t="s">
        <v>15799</v>
      </c>
      <c r="I5975" t="s">
        <v>31444</v>
      </c>
      <c r="J5975" t="s">
        <v>35277</v>
      </c>
      <c r="K5975" t="s">
        <v>40697</v>
      </c>
      <c r="M5975" t="s">
        <v>43015</v>
      </c>
      <c r="N5975" t="s">
        <v>44905</v>
      </c>
      <c r="O5975" t="s">
        <v>44906</v>
      </c>
      <c r="P5975">
        <v>0</v>
      </c>
      <c r="Q5975">
        <v>0</v>
      </c>
      <c r="R5975" t="s">
        <v>44909</v>
      </c>
      <c r="S5975" t="s">
        <v>45060</v>
      </c>
      <c r="T5975" t="s">
        <v>46416</v>
      </c>
      <c r="U5975" t="s">
        <v>51781</v>
      </c>
      <c r="W5975" t="s">
        <v>43015</v>
      </c>
      <c r="X5975" t="s">
        <v>44910</v>
      </c>
    </row>
    <row r="5976" spans="1:24">
      <c r="A5976">
        <f>HYPERLINK("https://www.philgeps.gov.ph/GEPSNONPILOT/Tender/SplashBidNoticeAbstractUI.aspx?menuIndex=3&amp;refID=7077287&amp;Result=3","7077287")</f>
        <v>0</v>
      </c>
      <c r="B5976" t="s">
        <v>550</v>
      </c>
      <c r="C5976" t="s">
        <v>9229</v>
      </c>
      <c r="D5976" t="s">
        <v>18138</v>
      </c>
      <c r="E5976" t="s">
        <v>23528</v>
      </c>
      <c r="F5976" t="s">
        <v>31362</v>
      </c>
      <c r="G5976" t="s">
        <v>31368</v>
      </c>
      <c r="H5976" t="s">
        <v>15799</v>
      </c>
      <c r="I5976" t="s">
        <v>31392</v>
      </c>
      <c r="J5976" t="s">
        <v>31591</v>
      </c>
      <c r="K5976" t="s">
        <v>40666</v>
      </c>
      <c r="M5976" t="s">
        <v>41506</v>
      </c>
      <c r="N5976" t="s">
        <v>44905</v>
      </c>
      <c r="O5976" t="s">
        <v>44906</v>
      </c>
      <c r="P5976">
        <v>0</v>
      </c>
      <c r="Q5976">
        <v>2</v>
      </c>
      <c r="R5976" t="s">
        <v>44909</v>
      </c>
      <c r="S5976" t="s">
        <v>45060</v>
      </c>
      <c r="T5976" t="s">
        <v>46409</v>
      </c>
      <c r="U5976" t="s">
        <v>51751</v>
      </c>
      <c r="W5976" t="s">
        <v>41506</v>
      </c>
      <c r="X5976" t="s">
        <v>44910</v>
      </c>
    </row>
    <row r="5977" spans="1:24">
      <c r="A5977">
        <f>HYPERLINK("https://www.philgeps.gov.ph/GEPSNONPILOT/Tender/SplashBidNoticeAbstractUI.aspx?menuIndex=3&amp;refID=7077286&amp;Result=3","7077286")</f>
        <v>0</v>
      </c>
      <c r="B5977" t="s">
        <v>472</v>
      </c>
      <c r="C5977" t="s">
        <v>9230</v>
      </c>
      <c r="D5977" t="s">
        <v>18134</v>
      </c>
      <c r="E5977" t="s">
        <v>23529</v>
      </c>
      <c r="F5977" t="s">
        <v>31362</v>
      </c>
      <c r="G5977" t="s">
        <v>31368</v>
      </c>
      <c r="H5977" t="s">
        <v>15799</v>
      </c>
      <c r="I5977" t="s">
        <v>4057</v>
      </c>
      <c r="J5977" t="s">
        <v>35278</v>
      </c>
      <c r="K5977" t="s">
        <v>40666</v>
      </c>
      <c r="M5977" t="s">
        <v>42842</v>
      </c>
      <c r="N5977" t="s">
        <v>44905</v>
      </c>
      <c r="O5977" t="s">
        <v>44906</v>
      </c>
      <c r="P5977">
        <v>0</v>
      </c>
      <c r="Q5977">
        <v>1</v>
      </c>
      <c r="R5977" t="s">
        <v>44909</v>
      </c>
      <c r="S5977" t="s">
        <v>45060</v>
      </c>
      <c r="T5977" t="s">
        <v>46454</v>
      </c>
      <c r="U5977" t="s">
        <v>51782</v>
      </c>
      <c r="W5977" t="s">
        <v>42842</v>
      </c>
      <c r="X5977" t="s">
        <v>44910</v>
      </c>
    </row>
    <row r="5978" spans="1:24">
      <c r="A5978">
        <f>HYPERLINK("https://www.philgeps.gov.ph/GEPSNONPILOT/Tender/SplashBidNoticeAbstractUI.aspx?menuIndex=3&amp;refID=7077164&amp;Result=3","7077164")</f>
        <v>0</v>
      </c>
      <c r="B5978" t="s">
        <v>1914</v>
      </c>
      <c r="C5978" t="s">
        <v>9231</v>
      </c>
      <c r="D5978" t="s">
        <v>18108</v>
      </c>
      <c r="E5978" t="s">
        <v>23530</v>
      </c>
      <c r="F5978" t="s">
        <v>31362</v>
      </c>
      <c r="G5978" t="s">
        <v>31370</v>
      </c>
      <c r="H5978" t="s">
        <v>15799</v>
      </c>
      <c r="I5978" t="s">
        <v>31470</v>
      </c>
      <c r="J5978" t="s">
        <v>35279</v>
      </c>
      <c r="K5978" t="s">
        <v>40661</v>
      </c>
      <c r="M5978" t="s">
        <v>43011</v>
      </c>
      <c r="N5978" t="s">
        <v>44905</v>
      </c>
      <c r="O5978" t="s">
        <v>44906</v>
      </c>
      <c r="P5978">
        <v>0</v>
      </c>
      <c r="Q5978">
        <v>5</v>
      </c>
      <c r="R5978" t="s">
        <v>44909</v>
      </c>
      <c r="S5978" t="s">
        <v>45060</v>
      </c>
      <c r="T5978" t="s">
        <v>46434</v>
      </c>
      <c r="U5978" t="s">
        <v>51783</v>
      </c>
      <c r="W5978" t="s">
        <v>43011</v>
      </c>
      <c r="X5978" t="s">
        <v>44910</v>
      </c>
    </row>
    <row r="5979" spans="1:24">
      <c r="A5979">
        <f>HYPERLINK("https://www.philgeps.gov.ph/GEPSNONPILOT/Tender/SplashBidNoticeAbstractUI.aspx?menuIndex=3&amp;refID=7077255&amp;Result=3","7077255")</f>
        <v>0</v>
      </c>
      <c r="B5979" t="s">
        <v>669</v>
      </c>
      <c r="C5979" t="s">
        <v>9232</v>
      </c>
      <c r="D5979" t="s">
        <v>18143</v>
      </c>
      <c r="E5979" t="s">
        <v>23531</v>
      </c>
      <c r="F5979" t="s">
        <v>31362</v>
      </c>
      <c r="G5979" t="s">
        <v>31368</v>
      </c>
      <c r="H5979" t="s">
        <v>15799</v>
      </c>
      <c r="I5979" t="s">
        <v>31468</v>
      </c>
      <c r="J5979" t="s">
        <v>32729</v>
      </c>
      <c r="K5979" t="s">
        <v>40665</v>
      </c>
      <c r="M5979" t="s">
        <v>41631</v>
      </c>
      <c r="N5979" t="s">
        <v>44905</v>
      </c>
      <c r="O5979" t="s">
        <v>44906</v>
      </c>
      <c r="P5979">
        <v>0</v>
      </c>
      <c r="Q5979">
        <v>1</v>
      </c>
      <c r="R5979" t="s">
        <v>44909</v>
      </c>
      <c r="S5979" t="s">
        <v>45060</v>
      </c>
      <c r="T5979" t="s">
        <v>46414</v>
      </c>
      <c r="U5979" t="s">
        <v>51784</v>
      </c>
      <c r="W5979" t="s">
        <v>41631</v>
      </c>
      <c r="X5979" t="s">
        <v>44910</v>
      </c>
    </row>
    <row r="5980" spans="1:24">
      <c r="A5980">
        <f>HYPERLINK("https://www.philgeps.gov.ph/GEPSNONPILOT/Tender/SplashBidNoticeAbstractUI.aspx?menuIndex=3&amp;refID=7077281&amp;Result=3","7077281")</f>
        <v>0</v>
      </c>
      <c r="B5980" t="s">
        <v>637</v>
      </c>
      <c r="C5980" t="s">
        <v>9233</v>
      </c>
      <c r="D5980" t="s">
        <v>18102</v>
      </c>
      <c r="E5980" t="s">
        <v>23532</v>
      </c>
      <c r="F5980" t="s">
        <v>31362</v>
      </c>
      <c r="G5980" t="s">
        <v>31369</v>
      </c>
      <c r="H5980" t="s">
        <v>15799</v>
      </c>
      <c r="I5980" t="s">
        <v>31380</v>
      </c>
      <c r="J5980" t="s">
        <v>35280</v>
      </c>
      <c r="K5980" t="s">
        <v>40665</v>
      </c>
      <c r="M5980" t="s">
        <v>41597</v>
      </c>
      <c r="N5980" t="s">
        <v>44905</v>
      </c>
      <c r="O5980" t="s">
        <v>44906</v>
      </c>
      <c r="P5980">
        <v>0</v>
      </c>
      <c r="Q5980">
        <v>1</v>
      </c>
      <c r="R5980" t="s">
        <v>44909</v>
      </c>
      <c r="S5980" t="s">
        <v>45060</v>
      </c>
      <c r="T5980" t="s">
        <v>46697</v>
      </c>
      <c r="U5980" t="s">
        <v>51785</v>
      </c>
      <c r="W5980" t="s">
        <v>41597</v>
      </c>
      <c r="X5980" t="s">
        <v>44910</v>
      </c>
    </row>
    <row r="5981" spans="1:24">
      <c r="A5981">
        <f>HYPERLINK("https://www.philgeps.gov.ph/GEPSNONPILOT/Tender/SplashBidNoticeAbstractUI.aspx?menuIndex=3&amp;refID=7077279&amp;Result=3","7077279")</f>
        <v>0</v>
      </c>
      <c r="B5981" t="s">
        <v>1913</v>
      </c>
      <c r="C5981" t="s">
        <v>9234</v>
      </c>
      <c r="D5981" t="s">
        <v>18106</v>
      </c>
      <c r="E5981" t="s">
        <v>23533</v>
      </c>
      <c r="F5981" t="s">
        <v>31362</v>
      </c>
      <c r="G5981" t="s">
        <v>31369</v>
      </c>
      <c r="H5981" t="s">
        <v>15799</v>
      </c>
      <c r="I5981" t="s">
        <v>31386</v>
      </c>
      <c r="J5981" t="s">
        <v>31546</v>
      </c>
      <c r="K5981" t="s">
        <v>40675</v>
      </c>
      <c r="M5981" t="s">
        <v>43009</v>
      </c>
      <c r="N5981" t="s">
        <v>44905</v>
      </c>
      <c r="O5981" t="s">
        <v>44906</v>
      </c>
      <c r="P5981">
        <v>0</v>
      </c>
      <c r="Q5981">
        <v>0</v>
      </c>
      <c r="R5981" t="s">
        <v>44909</v>
      </c>
      <c r="S5981" t="s">
        <v>45060</v>
      </c>
      <c r="T5981" t="s">
        <v>46569</v>
      </c>
      <c r="U5981" t="s">
        <v>51786</v>
      </c>
      <c r="W5981" t="s">
        <v>43009</v>
      </c>
      <c r="X5981" t="s">
        <v>44910</v>
      </c>
    </row>
    <row r="5982" spans="1:24">
      <c r="A5982">
        <f>HYPERLINK("https://www.philgeps.gov.ph/GEPSNONPILOT/Tender/SplashBidNoticeAbstractUI.aspx?menuIndex=3&amp;refID=7077260&amp;Result=3","7077260")</f>
        <v>0</v>
      </c>
      <c r="B5982" t="s">
        <v>1919</v>
      </c>
      <c r="C5982" t="s">
        <v>9235</v>
      </c>
      <c r="D5982" t="s">
        <v>18125</v>
      </c>
      <c r="E5982" t="s">
        <v>23534</v>
      </c>
      <c r="F5982" t="s">
        <v>31362</v>
      </c>
      <c r="G5982" t="s">
        <v>31369</v>
      </c>
      <c r="H5982" t="s">
        <v>15799</v>
      </c>
      <c r="I5982" t="s">
        <v>31404</v>
      </c>
      <c r="J5982" t="s">
        <v>35281</v>
      </c>
      <c r="K5982" t="s">
        <v>40666</v>
      </c>
      <c r="M5982" t="s">
        <v>43016</v>
      </c>
      <c r="N5982" t="s">
        <v>44905</v>
      </c>
      <c r="O5982" t="s">
        <v>44906</v>
      </c>
      <c r="P5982">
        <v>0</v>
      </c>
      <c r="Q5982">
        <v>0</v>
      </c>
      <c r="R5982" t="s">
        <v>44909</v>
      </c>
      <c r="S5982" t="s">
        <v>45060</v>
      </c>
      <c r="T5982" t="s">
        <v>46549</v>
      </c>
      <c r="U5982" t="s">
        <v>51787</v>
      </c>
      <c r="W5982" t="s">
        <v>43016</v>
      </c>
      <c r="X5982" t="s">
        <v>44910</v>
      </c>
    </row>
    <row r="5983" spans="1:24">
      <c r="A5983">
        <f>HYPERLINK("https://www.philgeps.gov.ph/GEPSNONPILOT/Tender/SplashBidNoticeAbstractUI.aspx?menuIndex=3&amp;refID=7077324&amp;Result=3","7077324")</f>
        <v>0</v>
      </c>
      <c r="B5983" t="s">
        <v>353</v>
      </c>
      <c r="C5983" t="s">
        <v>9236</v>
      </c>
      <c r="D5983" t="s">
        <v>18148</v>
      </c>
      <c r="E5983" t="s">
        <v>23535</v>
      </c>
      <c r="F5983" t="s">
        <v>31362</v>
      </c>
      <c r="G5983" t="s">
        <v>31369</v>
      </c>
      <c r="H5983" t="s">
        <v>15799</v>
      </c>
      <c r="I5983" t="s">
        <v>31430</v>
      </c>
      <c r="J5983" t="s">
        <v>35282</v>
      </c>
      <c r="K5983" t="s">
        <v>40665</v>
      </c>
      <c r="M5983" t="s">
        <v>41300</v>
      </c>
      <c r="N5983" t="s">
        <v>44905</v>
      </c>
      <c r="O5983" t="s">
        <v>44906</v>
      </c>
      <c r="P5983">
        <v>0</v>
      </c>
      <c r="Q5983">
        <v>0</v>
      </c>
      <c r="R5983" t="s">
        <v>44909</v>
      </c>
      <c r="S5983" t="s">
        <v>45060</v>
      </c>
      <c r="T5983" t="s">
        <v>46470</v>
      </c>
      <c r="U5983" t="s">
        <v>51788</v>
      </c>
      <c r="V5983" t="s">
        <v>59622</v>
      </c>
      <c r="W5983" t="s">
        <v>41300</v>
      </c>
      <c r="X5983" t="s">
        <v>44910</v>
      </c>
    </row>
    <row r="5984" spans="1:24">
      <c r="A5984">
        <f>HYPERLINK("https://www.philgeps.gov.ph/GEPSNONPILOT/Tender/SplashBidNoticeAbstractUI.aspx?menuIndex=3&amp;refID=7077323&amp;Result=3","7077323")</f>
        <v>0</v>
      </c>
      <c r="B5984" t="s">
        <v>1905</v>
      </c>
      <c r="C5984" t="s">
        <v>9237</v>
      </c>
      <c r="D5984" t="s">
        <v>18116</v>
      </c>
      <c r="E5984" t="s">
        <v>23536</v>
      </c>
      <c r="F5984" t="s">
        <v>31362</v>
      </c>
      <c r="G5984" t="s">
        <v>31371</v>
      </c>
      <c r="H5984" t="s">
        <v>15799</v>
      </c>
      <c r="I5984" t="s">
        <v>31395</v>
      </c>
      <c r="J5984" t="s">
        <v>31648</v>
      </c>
      <c r="K5984" t="s">
        <v>40666</v>
      </c>
      <c r="M5984" t="s">
        <v>43000</v>
      </c>
      <c r="N5984" t="s">
        <v>44905</v>
      </c>
      <c r="O5984" t="s">
        <v>44906</v>
      </c>
      <c r="P5984">
        <v>0</v>
      </c>
      <c r="Q5984">
        <v>9</v>
      </c>
      <c r="R5984" t="s">
        <v>44909</v>
      </c>
      <c r="S5984" t="s">
        <v>45060</v>
      </c>
      <c r="T5984" t="s">
        <v>46478</v>
      </c>
      <c r="U5984" t="s">
        <v>51789</v>
      </c>
      <c r="W5984" t="s">
        <v>43000</v>
      </c>
      <c r="X5984" t="s">
        <v>44910</v>
      </c>
    </row>
    <row r="5985" spans="1:24">
      <c r="A5985">
        <f>HYPERLINK("https://www.philgeps.gov.ph/GEPSNONPILOT/Tender/SplashBidNoticeAbstractUI.aspx?menuIndex=3&amp;refID=7077321&amp;Result=3","7077321")</f>
        <v>0</v>
      </c>
      <c r="B5985" t="s">
        <v>637</v>
      </c>
      <c r="C5985" t="s">
        <v>9238</v>
      </c>
      <c r="D5985" t="s">
        <v>18102</v>
      </c>
      <c r="E5985" t="s">
        <v>23537</v>
      </c>
      <c r="F5985" t="s">
        <v>31362</v>
      </c>
      <c r="G5985" t="s">
        <v>31369</v>
      </c>
      <c r="H5985" t="s">
        <v>15799</v>
      </c>
      <c r="I5985" t="s">
        <v>4283</v>
      </c>
      <c r="J5985" t="s">
        <v>35283</v>
      </c>
      <c r="K5985" t="s">
        <v>40665</v>
      </c>
      <c r="M5985" t="s">
        <v>41597</v>
      </c>
      <c r="N5985" t="s">
        <v>44905</v>
      </c>
      <c r="O5985" t="s">
        <v>44906</v>
      </c>
      <c r="P5985">
        <v>0</v>
      </c>
      <c r="Q5985">
        <v>8</v>
      </c>
      <c r="R5985" t="s">
        <v>44909</v>
      </c>
      <c r="S5985" t="s">
        <v>45060</v>
      </c>
      <c r="T5985" t="s">
        <v>46697</v>
      </c>
      <c r="U5985" t="s">
        <v>51790</v>
      </c>
      <c r="W5985" t="s">
        <v>41597</v>
      </c>
      <c r="X5985" t="s">
        <v>44910</v>
      </c>
    </row>
    <row r="5986" spans="1:24">
      <c r="A5986">
        <f>HYPERLINK("https://www.philgeps.gov.ph/GEPSNONPILOT/Tender/SplashBidNoticeAbstractUI.aspx?menuIndex=3&amp;refID=7077282&amp;Result=3","7077282")</f>
        <v>0</v>
      </c>
      <c r="B5986" t="s">
        <v>1920</v>
      </c>
      <c r="C5986" t="s">
        <v>9239</v>
      </c>
      <c r="D5986" t="s">
        <v>18117</v>
      </c>
      <c r="E5986" t="s">
        <v>23538</v>
      </c>
      <c r="F5986" t="s">
        <v>31362</v>
      </c>
      <c r="G5986" t="s">
        <v>31370</v>
      </c>
      <c r="H5986" t="s">
        <v>15799</v>
      </c>
      <c r="I5986" t="s">
        <v>4283</v>
      </c>
      <c r="J5986" t="s">
        <v>35284</v>
      </c>
      <c r="K5986" t="s">
        <v>40661</v>
      </c>
      <c r="M5986" t="s">
        <v>43017</v>
      </c>
      <c r="N5986" t="s">
        <v>44905</v>
      </c>
      <c r="O5986" t="s">
        <v>44906</v>
      </c>
      <c r="P5986">
        <v>0</v>
      </c>
      <c r="Q5986">
        <v>2</v>
      </c>
      <c r="R5986" t="s">
        <v>44909</v>
      </c>
      <c r="S5986" t="s">
        <v>45060</v>
      </c>
      <c r="T5986" t="s">
        <v>46498</v>
      </c>
      <c r="U5986" t="s">
        <v>51791</v>
      </c>
      <c r="W5986" t="s">
        <v>43017</v>
      </c>
      <c r="X5986" t="s">
        <v>44910</v>
      </c>
    </row>
    <row r="5987" spans="1:24">
      <c r="A5987">
        <f>HYPERLINK("https://www.philgeps.gov.ph/GEPSNONPILOT/Tender/SplashBidNoticeAbstractUI.aspx?menuIndex=3&amp;refID=7077288&amp;Result=3","7077288")</f>
        <v>0</v>
      </c>
      <c r="B5987" t="s">
        <v>1741</v>
      </c>
      <c r="C5987" t="s">
        <v>9240</v>
      </c>
      <c r="D5987" t="s">
        <v>18123</v>
      </c>
      <c r="E5987" t="s">
        <v>23539</v>
      </c>
      <c r="F5987" t="s">
        <v>31362</v>
      </c>
      <c r="G5987" t="s">
        <v>31369</v>
      </c>
      <c r="H5987" t="s">
        <v>15799</v>
      </c>
      <c r="I5987" t="s">
        <v>7188</v>
      </c>
      <c r="J5987" t="s">
        <v>35285</v>
      </c>
      <c r="K5987" t="s">
        <v>40682</v>
      </c>
      <c r="M5987" t="s">
        <v>43001</v>
      </c>
      <c r="N5987" t="s">
        <v>44905</v>
      </c>
      <c r="O5987" t="s">
        <v>44906</v>
      </c>
      <c r="P5987">
        <v>0</v>
      </c>
      <c r="Q5987">
        <v>9</v>
      </c>
      <c r="R5987" t="s">
        <v>44909</v>
      </c>
      <c r="S5987" t="s">
        <v>45060</v>
      </c>
      <c r="T5987" t="s">
        <v>46696</v>
      </c>
      <c r="U5987" t="s">
        <v>51736</v>
      </c>
      <c r="V5987" t="s">
        <v>59615</v>
      </c>
      <c r="W5987" t="s">
        <v>43001</v>
      </c>
      <c r="X5987" t="s">
        <v>44910</v>
      </c>
    </row>
    <row r="5988" spans="1:24">
      <c r="A5988">
        <f>HYPERLINK("https://www.philgeps.gov.ph/GEPSNONPILOT/Tender/SplashBidNoticeAbstractUI.aspx?menuIndex=3&amp;refID=7077318&amp;Result=3","7077318")</f>
        <v>0</v>
      </c>
      <c r="B5988" t="s">
        <v>1921</v>
      </c>
      <c r="C5988" t="s">
        <v>9241</v>
      </c>
      <c r="D5988" t="s">
        <v>18153</v>
      </c>
      <c r="E5988" t="s">
        <v>23540</v>
      </c>
      <c r="F5988" t="s">
        <v>31362</v>
      </c>
      <c r="G5988" t="s">
        <v>31368</v>
      </c>
      <c r="H5988" t="s">
        <v>15799</v>
      </c>
      <c r="I5988" t="s">
        <v>31427</v>
      </c>
      <c r="J5988" t="s">
        <v>35286</v>
      </c>
      <c r="K5988" t="s">
        <v>40666</v>
      </c>
      <c r="M5988" t="s">
        <v>43018</v>
      </c>
      <c r="N5988" t="s">
        <v>44905</v>
      </c>
      <c r="O5988" t="s">
        <v>44906</v>
      </c>
      <c r="P5988">
        <v>0</v>
      </c>
      <c r="Q5988">
        <v>8</v>
      </c>
      <c r="R5988" t="s">
        <v>44909</v>
      </c>
      <c r="S5988" t="s">
        <v>45060</v>
      </c>
      <c r="T5988" t="s">
        <v>46438</v>
      </c>
      <c r="U5988" t="s">
        <v>51792</v>
      </c>
      <c r="V5988" t="s">
        <v>59623</v>
      </c>
      <c r="W5988" t="s">
        <v>43018</v>
      </c>
      <c r="X5988" t="s">
        <v>44910</v>
      </c>
    </row>
    <row r="5989" spans="1:24">
      <c r="A5989">
        <f>HYPERLINK("https://www.philgeps.gov.ph/GEPSNONPILOT/Tender/SplashBidNoticeAbstractUI.aspx?menuIndex=3&amp;refID=7077316&amp;Result=3","7077316")</f>
        <v>0</v>
      </c>
      <c r="B5989" t="s">
        <v>658</v>
      </c>
      <c r="C5989" t="s">
        <v>9242</v>
      </c>
      <c r="D5989" t="s">
        <v>18108</v>
      </c>
      <c r="E5989" t="s">
        <v>23541</v>
      </c>
      <c r="F5989" t="s">
        <v>31362</v>
      </c>
      <c r="G5989" t="s">
        <v>31368</v>
      </c>
      <c r="H5989" t="s">
        <v>15799</v>
      </c>
      <c r="I5989" t="s">
        <v>7188</v>
      </c>
      <c r="J5989" t="s">
        <v>35287</v>
      </c>
      <c r="K5989" t="s">
        <v>40662</v>
      </c>
      <c r="M5989" t="s">
        <v>42982</v>
      </c>
      <c r="N5989" t="s">
        <v>44905</v>
      </c>
      <c r="O5989" t="s">
        <v>44906</v>
      </c>
      <c r="P5989">
        <v>0</v>
      </c>
      <c r="Q5989">
        <v>3</v>
      </c>
      <c r="R5989" t="s">
        <v>44909</v>
      </c>
      <c r="S5989" t="s">
        <v>45060</v>
      </c>
      <c r="T5989" t="s">
        <v>46425</v>
      </c>
      <c r="U5989" t="s">
        <v>51793</v>
      </c>
      <c r="W5989" t="s">
        <v>42982</v>
      </c>
      <c r="X5989" t="s">
        <v>44910</v>
      </c>
    </row>
    <row r="5990" spans="1:24">
      <c r="A5990">
        <f>HYPERLINK("https://www.philgeps.gov.ph/GEPSNONPILOT/Tender/SplashBidNoticeAbstractUI.aspx?menuIndex=3&amp;refID=7077322&amp;Result=3","7077322")</f>
        <v>0</v>
      </c>
      <c r="B5990" t="s">
        <v>169</v>
      </c>
      <c r="C5990" t="s">
        <v>9243</v>
      </c>
      <c r="D5990" t="s">
        <v>18108</v>
      </c>
      <c r="E5990" t="s">
        <v>23542</v>
      </c>
      <c r="F5990" t="s">
        <v>31362</v>
      </c>
      <c r="G5990" t="s">
        <v>31368</v>
      </c>
      <c r="H5990" t="s">
        <v>15799</v>
      </c>
      <c r="I5990" t="s">
        <v>31395</v>
      </c>
      <c r="J5990" t="s">
        <v>31880</v>
      </c>
      <c r="K5990" t="s">
        <v>40661</v>
      </c>
      <c r="M5990" t="s">
        <v>42454</v>
      </c>
      <c r="N5990" t="s">
        <v>44905</v>
      </c>
      <c r="O5990" t="s">
        <v>44906</v>
      </c>
      <c r="P5990">
        <v>0</v>
      </c>
      <c r="Q5990">
        <v>3</v>
      </c>
      <c r="R5990" t="s">
        <v>44909</v>
      </c>
      <c r="S5990" t="s">
        <v>45060</v>
      </c>
      <c r="T5990" t="s">
        <v>46411</v>
      </c>
      <c r="U5990" t="s">
        <v>51794</v>
      </c>
      <c r="W5990" t="s">
        <v>42454</v>
      </c>
      <c r="X5990" t="s">
        <v>44910</v>
      </c>
    </row>
    <row r="5991" spans="1:24">
      <c r="A5991">
        <f>HYPERLINK("https://www.philgeps.gov.ph/GEPSNONPILOT/Tender/SplashBidNoticeAbstractUI.aspx?menuIndex=3&amp;refID=7077314&amp;Result=3","7077314")</f>
        <v>0</v>
      </c>
      <c r="B5991" t="s">
        <v>1776</v>
      </c>
      <c r="C5991" t="s">
        <v>9244</v>
      </c>
      <c r="D5991" t="s">
        <v>18108</v>
      </c>
      <c r="E5991" t="s">
        <v>23543</v>
      </c>
      <c r="F5991" t="s">
        <v>31362</v>
      </c>
      <c r="G5991" t="s">
        <v>31368</v>
      </c>
      <c r="H5991" t="s">
        <v>15799</v>
      </c>
      <c r="I5991" t="s">
        <v>31388</v>
      </c>
      <c r="J5991" t="s">
        <v>31724</v>
      </c>
      <c r="K5991" t="s">
        <v>40662</v>
      </c>
      <c r="M5991" t="s">
        <v>42856</v>
      </c>
      <c r="N5991" t="s">
        <v>44905</v>
      </c>
      <c r="O5991" t="s">
        <v>44906</v>
      </c>
      <c r="P5991">
        <v>0</v>
      </c>
      <c r="Q5991">
        <v>1</v>
      </c>
      <c r="R5991" t="s">
        <v>44909</v>
      </c>
      <c r="S5991" t="s">
        <v>45060</v>
      </c>
      <c r="T5991" t="s">
        <v>46399</v>
      </c>
      <c r="U5991" t="s">
        <v>51795</v>
      </c>
      <c r="W5991" t="s">
        <v>42856</v>
      </c>
      <c r="X5991" t="s">
        <v>44910</v>
      </c>
    </row>
    <row r="5992" spans="1:24">
      <c r="A5992">
        <f>HYPERLINK("https://www.philgeps.gov.ph/GEPSNONPILOT/Tender/SplashBidNoticeAbstractUI.aspx?menuIndex=3&amp;refID=7077312&amp;Result=3","7077312")</f>
        <v>0</v>
      </c>
      <c r="B5992" t="s">
        <v>550</v>
      </c>
      <c r="C5992" t="s">
        <v>9245</v>
      </c>
      <c r="D5992" t="s">
        <v>18138</v>
      </c>
      <c r="E5992" t="s">
        <v>23544</v>
      </c>
      <c r="F5992" t="s">
        <v>31362</v>
      </c>
      <c r="G5992" t="s">
        <v>31368</v>
      </c>
      <c r="H5992" t="s">
        <v>15799</v>
      </c>
      <c r="I5992" t="s">
        <v>31392</v>
      </c>
      <c r="J5992" t="s">
        <v>31591</v>
      </c>
      <c r="K5992" t="s">
        <v>40666</v>
      </c>
      <c r="M5992" t="s">
        <v>41506</v>
      </c>
      <c r="N5992" t="s">
        <v>44905</v>
      </c>
      <c r="O5992" t="s">
        <v>44906</v>
      </c>
      <c r="P5992">
        <v>0</v>
      </c>
      <c r="Q5992">
        <v>3</v>
      </c>
      <c r="R5992" t="s">
        <v>44909</v>
      </c>
      <c r="S5992" t="s">
        <v>45060</v>
      </c>
      <c r="T5992" t="s">
        <v>46409</v>
      </c>
      <c r="U5992" t="s">
        <v>51751</v>
      </c>
      <c r="W5992" t="s">
        <v>41506</v>
      </c>
      <c r="X5992" t="s">
        <v>44910</v>
      </c>
    </row>
    <row r="5993" spans="1:24">
      <c r="A5993">
        <f>HYPERLINK("https://www.philgeps.gov.ph/GEPSNONPILOT/Tender/SplashBidNoticeAbstractUI.aspx?menuIndex=3&amp;refID=7077311&amp;Result=3","7077311")</f>
        <v>0</v>
      </c>
      <c r="B5993" t="s">
        <v>785</v>
      </c>
      <c r="C5993" t="s">
        <v>9246</v>
      </c>
      <c r="D5993" t="s">
        <v>18138</v>
      </c>
      <c r="E5993" t="s">
        <v>23545</v>
      </c>
      <c r="F5993" t="s">
        <v>31362</v>
      </c>
      <c r="G5993" t="s">
        <v>31368</v>
      </c>
      <c r="H5993" t="s">
        <v>15799</v>
      </c>
      <c r="I5993" t="s">
        <v>31427</v>
      </c>
      <c r="J5993" t="s">
        <v>35288</v>
      </c>
      <c r="K5993" t="s">
        <v>40666</v>
      </c>
      <c r="M5993" t="s">
        <v>41755</v>
      </c>
      <c r="N5993" t="s">
        <v>44905</v>
      </c>
      <c r="O5993" t="s">
        <v>44906</v>
      </c>
      <c r="P5993">
        <v>0</v>
      </c>
      <c r="Q5993">
        <v>5</v>
      </c>
      <c r="R5993" t="s">
        <v>44909</v>
      </c>
      <c r="S5993" t="s">
        <v>45060</v>
      </c>
      <c r="T5993" t="s">
        <v>46438</v>
      </c>
      <c r="U5993" t="s">
        <v>51796</v>
      </c>
      <c r="V5993" t="s">
        <v>59245</v>
      </c>
      <c r="W5993" t="s">
        <v>41755</v>
      </c>
      <c r="X5993" t="s">
        <v>44910</v>
      </c>
    </row>
    <row r="5994" spans="1:24">
      <c r="A5994">
        <f>HYPERLINK("https://www.philgeps.gov.ph/GEPSNONPILOT/Tender/SplashBidNoticeAbstractUI.aspx?menuIndex=3&amp;refID=7077285&amp;Result=3","7077285")</f>
        <v>0</v>
      </c>
      <c r="B5994" t="s">
        <v>954</v>
      </c>
      <c r="C5994" t="s">
        <v>9247</v>
      </c>
      <c r="D5994" t="s">
        <v>18136</v>
      </c>
      <c r="E5994" t="s">
        <v>19477</v>
      </c>
      <c r="F5994" t="s">
        <v>31362</v>
      </c>
      <c r="G5994" t="s">
        <v>31368</v>
      </c>
      <c r="H5994" t="s">
        <v>15799</v>
      </c>
      <c r="I5994" t="s">
        <v>31431</v>
      </c>
      <c r="J5994" t="s">
        <v>35289</v>
      </c>
      <c r="K5994" t="s">
        <v>40677</v>
      </c>
      <c r="M5994" t="s">
        <v>41942</v>
      </c>
      <c r="N5994" t="s">
        <v>44905</v>
      </c>
      <c r="O5994" t="s">
        <v>44906</v>
      </c>
      <c r="P5994">
        <v>0</v>
      </c>
      <c r="Q5994">
        <v>1</v>
      </c>
      <c r="R5994" t="s">
        <v>44909</v>
      </c>
      <c r="S5994" t="s">
        <v>45060</v>
      </c>
      <c r="T5994" t="s">
        <v>46497</v>
      </c>
      <c r="U5994" t="s">
        <v>48763</v>
      </c>
      <c r="W5994" t="s">
        <v>41942</v>
      </c>
      <c r="X5994" t="s">
        <v>44910</v>
      </c>
    </row>
    <row r="5995" spans="1:24">
      <c r="A5995">
        <f>HYPERLINK("https://www.philgeps.gov.ph/GEPSNONPILOT/Tender/SplashBidNoticeAbstractUI.aspx?menuIndex=3&amp;refID=7077304&amp;Result=3","7077304")</f>
        <v>0</v>
      </c>
      <c r="B5995" t="s">
        <v>181</v>
      </c>
      <c r="C5995" t="s">
        <v>9248</v>
      </c>
      <c r="D5995" t="s">
        <v>18103</v>
      </c>
      <c r="E5995" t="s">
        <v>23546</v>
      </c>
      <c r="F5995" t="s">
        <v>31362</v>
      </c>
      <c r="G5995" t="s">
        <v>31370</v>
      </c>
      <c r="H5995" t="s">
        <v>15799</v>
      </c>
      <c r="I5995" t="s">
        <v>31422</v>
      </c>
      <c r="J5995" t="s">
        <v>35290</v>
      </c>
      <c r="K5995" t="s">
        <v>40662</v>
      </c>
      <c r="M5995" t="s">
        <v>41119</v>
      </c>
      <c r="N5995" t="s">
        <v>44905</v>
      </c>
      <c r="O5995" t="s">
        <v>44906</v>
      </c>
      <c r="P5995">
        <v>0</v>
      </c>
      <c r="Q5995">
        <v>12</v>
      </c>
      <c r="R5995" t="s">
        <v>44909</v>
      </c>
      <c r="S5995" t="s">
        <v>45060</v>
      </c>
      <c r="T5995" t="s">
        <v>46432</v>
      </c>
      <c r="U5995" t="s">
        <v>51797</v>
      </c>
      <c r="W5995" t="s">
        <v>60839</v>
      </c>
      <c r="X5995" t="s">
        <v>44910</v>
      </c>
    </row>
    <row r="5996" spans="1:24">
      <c r="A5996">
        <f>HYPERLINK("https://www.philgeps.gov.ph/GEPSNONPILOT/Tender/SplashBidNoticeAbstractUI.aspx?menuIndex=3&amp;refID=7077303&amp;Result=3","7077303")</f>
        <v>0</v>
      </c>
      <c r="B5996" t="s">
        <v>365</v>
      </c>
      <c r="C5996" t="s">
        <v>9249</v>
      </c>
      <c r="D5996" t="s">
        <v>18126</v>
      </c>
      <c r="E5996" t="s">
        <v>23547</v>
      </c>
      <c r="F5996" t="s">
        <v>31362</v>
      </c>
      <c r="G5996" t="s">
        <v>31369</v>
      </c>
      <c r="H5996" t="s">
        <v>15799</v>
      </c>
      <c r="I5996" t="s">
        <v>31436</v>
      </c>
      <c r="J5996" t="s">
        <v>35291</v>
      </c>
      <c r="K5996" t="s">
        <v>40745</v>
      </c>
      <c r="M5996" t="s">
        <v>41312</v>
      </c>
      <c r="N5996" t="s">
        <v>44905</v>
      </c>
      <c r="O5996" t="s">
        <v>44906</v>
      </c>
      <c r="P5996">
        <v>0</v>
      </c>
      <c r="Q5996">
        <v>3</v>
      </c>
      <c r="R5996" t="s">
        <v>44909</v>
      </c>
      <c r="S5996" t="s">
        <v>45060</v>
      </c>
      <c r="T5996" t="s">
        <v>46671</v>
      </c>
      <c r="U5996" t="s">
        <v>51798</v>
      </c>
      <c r="V5996" t="s">
        <v>59624</v>
      </c>
      <c r="W5996" t="s">
        <v>41312</v>
      </c>
      <c r="X5996" t="s">
        <v>44910</v>
      </c>
    </row>
    <row r="5997" spans="1:24">
      <c r="A5997">
        <f>HYPERLINK("https://www.philgeps.gov.ph/GEPSNONPILOT/Tender/SplashBidNoticeAbstractUI.aspx?menuIndex=3&amp;refID=7077315&amp;Result=3","7077315")</f>
        <v>0</v>
      </c>
      <c r="B5997" t="s">
        <v>1741</v>
      </c>
      <c r="C5997" t="s">
        <v>9250</v>
      </c>
      <c r="D5997" t="s">
        <v>18123</v>
      </c>
      <c r="E5997" t="s">
        <v>23548</v>
      </c>
      <c r="F5997" t="s">
        <v>31362</v>
      </c>
      <c r="G5997" t="s">
        <v>31369</v>
      </c>
      <c r="H5997" t="s">
        <v>15799</v>
      </c>
      <c r="I5997" t="s">
        <v>7719</v>
      </c>
      <c r="J5997" t="s">
        <v>35292</v>
      </c>
      <c r="K5997" t="s">
        <v>40682</v>
      </c>
      <c r="M5997" t="s">
        <v>43001</v>
      </c>
      <c r="N5997" t="s">
        <v>44905</v>
      </c>
      <c r="O5997" t="s">
        <v>44906</v>
      </c>
      <c r="P5997">
        <v>0</v>
      </c>
      <c r="Q5997">
        <v>30</v>
      </c>
      <c r="R5997" t="s">
        <v>44909</v>
      </c>
      <c r="S5997" t="s">
        <v>45060</v>
      </c>
      <c r="T5997" t="s">
        <v>46696</v>
      </c>
      <c r="U5997" t="s">
        <v>51799</v>
      </c>
      <c r="V5997" t="s">
        <v>59615</v>
      </c>
      <c r="W5997" t="s">
        <v>43001</v>
      </c>
      <c r="X5997" t="s">
        <v>44910</v>
      </c>
    </row>
    <row r="5998" spans="1:24">
      <c r="A5998">
        <f>HYPERLINK("https://www.philgeps.gov.ph/GEPSNONPILOT/Tender/SplashBidNoticeAbstractUI.aspx?menuIndex=3&amp;refID=7077308&amp;Result=3","7077308")</f>
        <v>0</v>
      </c>
      <c r="B5998" t="s">
        <v>1922</v>
      </c>
      <c r="C5998" t="s">
        <v>9251</v>
      </c>
      <c r="D5998" t="s">
        <v>18146</v>
      </c>
      <c r="E5998" t="s">
        <v>19781</v>
      </c>
      <c r="F5998" t="s">
        <v>31362</v>
      </c>
      <c r="G5998" t="s">
        <v>31369</v>
      </c>
      <c r="H5998" t="s">
        <v>15799</v>
      </c>
      <c r="I5998" t="s">
        <v>3815</v>
      </c>
      <c r="J5998" t="s">
        <v>35293</v>
      </c>
      <c r="K5998" t="s">
        <v>40677</v>
      </c>
      <c r="M5998" t="s">
        <v>43019</v>
      </c>
      <c r="N5998" t="s">
        <v>44905</v>
      </c>
      <c r="O5998" t="s">
        <v>44906</v>
      </c>
      <c r="P5998">
        <v>0</v>
      </c>
      <c r="Q5998">
        <v>0</v>
      </c>
      <c r="R5998" t="s">
        <v>44909</v>
      </c>
      <c r="S5998" t="s">
        <v>45060</v>
      </c>
      <c r="T5998" t="s">
        <v>46519</v>
      </c>
      <c r="U5998" t="s">
        <v>51800</v>
      </c>
      <c r="W5998" t="s">
        <v>43019</v>
      </c>
      <c r="X5998" t="s">
        <v>44910</v>
      </c>
    </row>
    <row r="5999" spans="1:24">
      <c r="A5999">
        <f>HYPERLINK("https://www.philgeps.gov.ph/GEPSNONPILOT/Tender/SplashBidNoticeAbstractUI.aspx?menuIndex=3&amp;refID=7077301&amp;Result=3","7077301")</f>
        <v>0</v>
      </c>
      <c r="B5999" t="s">
        <v>1919</v>
      </c>
      <c r="C5999" t="s">
        <v>9252</v>
      </c>
      <c r="D5999" t="s">
        <v>18125</v>
      </c>
      <c r="E5999" t="s">
        <v>23549</v>
      </c>
      <c r="F5999" t="s">
        <v>31362</v>
      </c>
      <c r="G5999" t="s">
        <v>31369</v>
      </c>
      <c r="H5999" t="s">
        <v>15799</v>
      </c>
      <c r="I5999" t="s">
        <v>31397</v>
      </c>
      <c r="J5999" t="s">
        <v>35294</v>
      </c>
      <c r="K5999" t="s">
        <v>40666</v>
      </c>
      <c r="M5999" t="s">
        <v>43016</v>
      </c>
      <c r="N5999" t="s">
        <v>44905</v>
      </c>
      <c r="O5999" t="s">
        <v>44906</v>
      </c>
      <c r="P5999">
        <v>0</v>
      </c>
      <c r="Q5999">
        <v>3</v>
      </c>
      <c r="R5999" t="s">
        <v>44909</v>
      </c>
      <c r="S5999" t="s">
        <v>45060</v>
      </c>
      <c r="T5999" t="s">
        <v>46415</v>
      </c>
      <c r="U5999" t="s">
        <v>51801</v>
      </c>
      <c r="W5999" t="s">
        <v>43016</v>
      </c>
      <c r="X5999" t="s">
        <v>44910</v>
      </c>
    </row>
    <row r="6000" spans="1:24">
      <c r="A6000">
        <f>HYPERLINK("https://www.philgeps.gov.ph/GEPSNONPILOT/Tender/SplashBidNoticeAbstractUI.aspx?menuIndex=3&amp;refID=7077307&amp;Result=3","7077307")</f>
        <v>0</v>
      </c>
      <c r="B6000" t="s">
        <v>744</v>
      </c>
      <c r="C6000" t="s">
        <v>9253</v>
      </c>
      <c r="D6000" t="s">
        <v>18148</v>
      </c>
      <c r="E6000" t="s">
        <v>23550</v>
      </c>
      <c r="F6000" t="s">
        <v>31362</v>
      </c>
      <c r="G6000" t="s">
        <v>31368</v>
      </c>
      <c r="H6000" t="s">
        <v>15799</v>
      </c>
      <c r="I6000" t="s">
        <v>4057</v>
      </c>
      <c r="J6000" t="s">
        <v>32091</v>
      </c>
      <c r="K6000" t="s">
        <v>40672</v>
      </c>
      <c r="M6000" t="s">
        <v>41711</v>
      </c>
      <c r="N6000" t="s">
        <v>44905</v>
      </c>
      <c r="O6000" t="s">
        <v>44906</v>
      </c>
      <c r="P6000">
        <v>0</v>
      </c>
      <c r="Q6000">
        <v>0</v>
      </c>
      <c r="R6000" t="s">
        <v>44909</v>
      </c>
      <c r="S6000" t="s">
        <v>45060</v>
      </c>
      <c r="T6000" t="s">
        <v>46470</v>
      </c>
      <c r="U6000" t="s">
        <v>51802</v>
      </c>
      <c r="W6000" t="s">
        <v>41711</v>
      </c>
      <c r="X6000" t="s">
        <v>44910</v>
      </c>
    </row>
    <row r="6001" spans="1:24">
      <c r="A6001">
        <f>HYPERLINK("https://www.philgeps.gov.ph/GEPSNONPILOT/Tender/SplashBidNoticeAbstractUI.aspx?menuIndex=3&amp;refID=7077300&amp;Result=3","7077300")</f>
        <v>0</v>
      </c>
      <c r="B6001" t="s">
        <v>592</v>
      </c>
      <c r="C6001" t="s">
        <v>9254</v>
      </c>
      <c r="D6001" t="s">
        <v>18100</v>
      </c>
      <c r="E6001" t="s">
        <v>23551</v>
      </c>
      <c r="F6001" t="s">
        <v>31362</v>
      </c>
      <c r="G6001" t="s">
        <v>31368</v>
      </c>
      <c r="H6001" t="s">
        <v>15799</v>
      </c>
      <c r="I6001" t="s">
        <v>31419</v>
      </c>
      <c r="J6001" t="s">
        <v>31855</v>
      </c>
      <c r="K6001" t="s">
        <v>40662</v>
      </c>
      <c r="M6001" t="s">
        <v>41549</v>
      </c>
      <c r="N6001" t="s">
        <v>44905</v>
      </c>
      <c r="O6001" t="s">
        <v>44906</v>
      </c>
      <c r="P6001">
        <v>0</v>
      </c>
      <c r="Q6001">
        <v>1</v>
      </c>
      <c r="R6001" t="s">
        <v>44909</v>
      </c>
      <c r="S6001" t="s">
        <v>45060</v>
      </c>
      <c r="T6001" t="s">
        <v>46414</v>
      </c>
      <c r="U6001" t="s">
        <v>51803</v>
      </c>
      <c r="W6001" t="s">
        <v>41549</v>
      </c>
      <c r="X6001" t="s">
        <v>44910</v>
      </c>
    </row>
    <row r="6002" spans="1:24">
      <c r="A6002">
        <f>HYPERLINK("https://www.philgeps.gov.ph/GEPSNONPILOT/Tender/SplashBidNoticeAbstractUI.aspx?menuIndex=3&amp;refID=7077327&amp;Result=3","7077327")</f>
        <v>0</v>
      </c>
      <c r="B6002" t="s">
        <v>364</v>
      </c>
      <c r="C6002" t="s">
        <v>9255</v>
      </c>
      <c r="D6002" t="s">
        <v>18138</v>
      </c>
      <c r="E6002" t="s">
        <v>23552</v>
      </c>
      <c r="F6002" t="s">
        <v>31362</v>
      </c>
      <c r="G6002" t="s">
        <v>31368</v>
      </c>
      <c r="H6002" t="s">
        <v>15799</v>
      </c>
      <c r="I6002" t="s">
        <v>31380</v>
      </c>
      <c r="J6002" t="s">
        <v>34130</v>
      </c>
      <c r="K6002" t="s">
        <v>40662</v>
      </c>
      <c r="M6002" t="s">
        <v>41311</v>
      </c>
      <c r="N6002" t="s">
        <v>44905</v>
      </c>
      <c r="O6002" t="s">
        <v>44906</v>
      </c>
      <c r="P6002">
        <v>0</v>
      </c>
      <c r="Q6002">
        <v>7</v>
      </c>
      <c r="R6002" t="s">
        <v>44909</v>
      </c>
      <c r="S6002" t="s">
        <v>45060</v>
      </c>
      <c r="T6002" t="s">
        <v>46409</v>
      </c>
      <c r="U6002" t="s">
        <v>47548</v>
      </c>
      <c r="W6002" t="s">
        <v>41311</v>
      </c>
      <c r="X6002" t="s">
        <v>44910</v>
      </c>
    </row>
    <row r="6003" spans="1:24">
      <c r="A6003">
        <f>HYPERLINK("https://www.philgeps.gov.ph/GEPSNONPILOT/Tender/SplashBidNoticeAbstractUI.aspx?menuIndex=3&amp;refID=7077320&amp;Result=3","7077320")</f>
        <v>0</v>
      </c>
      <c r="B6003" t="s">
        <v>1158</v>
      </c>
      <c r="C6003" t="s">
        <v>9256</v>
      </c>
      <c r="D6003" t="s">
        <v>18120</v>
      </c>
      <c r="E6003" t="s">
        <v>23553</v>
      </c>
      <c r="F6003" t="s">
        <v>31362</v>
      </c>
      <c r="G6003" t="s">
        <v>31368</v>
      </c>
      <c r="H6003" t="s">
        <v>15799</v>
      </c>
      <c r="I6003" t="s">
        <v>4057</v>
      </c>
      <c r="J6003" t="s">
        <v>33782</v>
      </c>
      <c r="K6003" t="s">
        <v>40662</v>
      </c>
      <c r="M6003" t="s">
        <v>42167</v>
      </c>
      <c r="N6003" t="s">
        <v>44905</v>
      </c>
      <c r="O6003" t="s">
        <v>44906</v>
      </c>
      <c r="P6003">
        <v>0</v>
      </c>
      <c r="Q6003">
        <v>0</v>
      </c>
      <c r="R6003" t="s">
        <v>44909</v>
      </c>
      <c r="S6003" t="s">
        <v>45060</v>
      </c>
      <c r="T6003" t="s">
        <v>46482</v>
      </c>
      <c r="U6003" t="s">
        <v>51804</v>
      </c>
      <c r="W6003" t="s">
        <v>42167</v>
      </c>
      <c r="X6003" t="s">
        <v>44910</v>
      </c>
    </row>
    <row r="6004" spans="1:24">
      <c r="A6004">
        <f>HYPERLINK("https://www.philgeps.gov.ph/GEPSNONPILOT/Tender/SplashBidNoticeAbstractUI.aspx?menuIndex=3&amp;refID=7077355&amp;Result=3","7077355")</f>
        <v>0</v>
      </c>
      <c r="B6004" t="s">
        <v>1219</v>
      </c>
      <c r="C6004" t="s">
        <v>4955</v>
      </c>
      <c r="E6004" t="s">
        <v>23554</v>
      </c>
      <c r="F6004" t="s">
        <v>31362</v>
      </c>
      <c r="G6004" t="s">
        <v>31369</v>
      </c>
      <c r="H6004" t="s">
        <v>15799</v>
      </c>
      <c r="I6004" t="s">
        <v>31380</v>
      </c>
      <c r="J6004" t="s">
        <v>34691</v>
      </c>
      <c r="K6004" t="s">
        <v>40662</v>
      </c>
      <c r="M6004" t="s">
        <v>42232</v>
      </c>
      <c r="N6004" t="s">
        <v>44905</v>
      </c>
      <c r="O6004" t="s">
        <v>44906</v>
      </c>
      <c r="P6004">
        <v>0</v>
      </c>
      <c r="Q6004">
        <v>1</v>
      </c>
      <c r="R6004" t="s">
        <v>44909</v>
      </c>
      <c r="S6004" t="s">
        <v>45060</v>
      </c>
      <c r="T6004" t="s">
        <v>46715</v>
      </c>
      <c r="U6004" t="s">
        <v>51805</v>
      </c>
      <c r="W6004" t="s">
        <v>42232</v>
      </c>
      <c r="X6004" t="s">
        <v>44910</v>
      </c>
    </row>
    <row r="6005" spans="1:24">
      <c r="A6005">
        <f>HYPERLINK("https://www.philgeps.gov.ph/GEPSNONPILOT/Tender/SplashBidNoticeAbstractUI.aspx?menuIndex=3&amp;refID=7077302&amp;Result=3","7077302")</f>
        <v>0</v>
      </c>
      <c r="B6005" t="s">
        <v>828</v>
      </c>
      <c r="C6005" t="s">
        <v>9257</v>
      </c>
      <c r="D6005" t="s">
        <v>18148</v>
      </c>
      <c r="E6005" t="s">
        <v>23555</v>
      </c>
      <c r="F6005" t="s">
        <v>31362</v>
      </c>
      <c r="G6005" t="s">
        <v>31369</v>
      </c>
      <c r="H6005" t="s">
        <v>31378</v>
      </c>
      <c r="I6005" t="s">
        <v>31386</v>
      </c>
      <c r="J6005" t="s">
        <v>31530</v>
      </c>
      <c r="K6005" t="s">
        <v>40662</v>
      </c>
      <c r="M6005" t="s">
        <v>41802</v>
      </c>
      <c r="N6005" t="s">
        <v>44905</v>
      </c>
      <c r="O6005" t="s">
        <v>44906</v>
      </c>
      <c r="P6005">
        <v>0</v>
      </c>
      <c r="Q6005">
        <v>0</v>
      </c>
      <c r="R6005" t="s">
        <v>44909</v>
      </c>
      <c r="S6005" t="s">
        <v>45060</v>
      </c>
      <c r="T6005" t="s">
        <v>46391</v>
      </c>
      <c r="U6005" t="s">
        <v>51806</v>
      </c>
      <c r="W6005" t="s">
        <v>41802</v>
      </c>
      <c r="X6005" t="s">
        <v>44910</v>
      </c>
    </row>
    <row r="6006" spans="1:24">
      <c r="A6006">
        <f>HYPERLINK("https://www.philgeps.gov.ph/GEPSNONPILOT/Tender/SplashBidNoticeAbstractUI.aspx?menuIndex=3&amp;refID=7077294&amp;Result=3","7077294")</f>
        <v>0</v>
      </c>
      <c r="B6006" t="s">
        <v>1923</v>
      </c>
      <c r="C6006" t="s">
        <v>9258</v>
      </c>
      <c r="D6006" t="s">
        <v>18113</v>
      </c>
      <c r="E6006" t="s">
        <v>9258</v>
      </c>
      <c r="F6006" t="s">
        <v>31362</v>
      </c>
      <c r="G6006" t="s">
        <v>31368</v>
      </c>
      <c r="H6006" t="s">
        <v>15799</v>
      </c>
      <c r="I6006" t="s">
        <v>7719</v>
      </c>
      <c r="J6006" t="s">
        <v>31724</v>
      </c>
      <c r="K6006" t="s">
        <v>40662</v>
      </c>
      <c r="M6006" t="s">
        <v>43020</v>
      </c>
      <c r="N6006" t="s">
        <v>44905</v>
      </c>
      <c r="O6006" t="s">
        <v>44906</v>
      </c>
      <c r="P6006">
        <v>0</v>
      </c>
      <c r="Q6006">
        <v>10</v>
      </c>
      <c r="R6006" t="s">
        <v>44909</v>
      </c>
      <c r="S6006" t="s">
        <v>45060</v>
      </c>
      <c r="T6006" t="s">
        <v>46454</v>
      </c>
      <c r="U6006" t="s">
        <v>51807</v>
      </c>
      <c r="V6006" t="s">
        <v>59625</v>
      </c>
      <c r="W6006" t="s">
        <v>43020</v>
      </c>
      <c r="X6006" t="s">
        <v>44910</v>
      </c>
    </row>
    <row r="6007" spans="1:24">
      <c r="A6007">
        <f>HYPERLINK("https://www.philgeps.gov.ph/GEPSNONPILOT/Tender/SplashBidNoticeAbstractUI.aspx?menuIndex=3&amp;refID=7077347&amp;Result=3","7077347")</f>
        <v>0</v>
      </c>
      <c r="B6007" t="s">
        <v>665</v>
      </c>
      <c r="C6007" t="s">
        <v>9259</v>
      </c>
      <c r="D6007" t="s">
        <v>18139</v>
      </c>
      <c r="E6007" t="s">
        <v>23556</v>
      </c>
      <c r="F6007" t="s">
        <v>31362</v>
      </c>
      <c r="G6007" t="s">
        <v>31368</v>
      </c>
      <c r="H6007" t="s">
        <v>15799</v>
      </c>
      <c r="I6007" t="s">
        <v>31393</v>
      </c>
      <c r="J6007" t="s">
        <v>33607</v>
      </c>
      <c r="K6007" t="s">
        <v>40665</v>
      </c>
      <c r="M6007" t="s">
        <v>43021</v>
      </c>
      <c r="N6007" t="s">
        <v>44905</v>
      </c>
      <c r="O6007" t="s">
        <v>44906</v>
      </c>
      <c r="P6007">
        <v>0</v>
      </c>
      <c r="Q6007">
        <v>2</v>
      </c>
      <c r="R6007" t="s">
        <v>44909</v>
      </c>
      <c r="S6007" t="s">
        <v>45060</v>
      </c>
      <c r="T6007" t="s">
        <v>46434</v>
      </c>
      <c r="U6007" t="s">
        <v>51808</v>
      </c>
      <c r="W6007" t="s">
        <v>43021</v>
      </c>
      <c r="X6007" t="s">
        <v>44910</v>
      </c>
    </row>
    <row r="6008" spans="1:24">
      <c r="A6008">
        <f>HYPERLINK("https://www.philgeps.gov.ph/GEPSNONPILOT/Tender/SplashBidNoticeAbstractUI.aspx?menuIndex=3&amp;refID=7077345&amp;Result=3","7077345")</f>
        <v>0</v>
      </c>
      <c r="B6008" t="s">
        <v>1919</v>
      </c>
      <c r="C6008" t="s">
        <v>9260</v>
      </c>
      <c r="D6008" t="s">
        <v>18125</v>
      </c>
      <c r="E6008" t="s">
        <v>23557</v>
      </c>
      <c r="F6008" t="s">
        <v>31362</v>
      </c>
      <c r="G6008" t="s">
        <v>31369</v>
      </c>
      <c r="H6008" t="s">
        <v>15799</v>
      </c>
      <c r="I6008" t="s">
        <v>31430</v>
      </c>
      <c r="J6008" t="s">
        <v>31535</v>
      </c>
      <c r="K6008" t="s">
        <v>40666</v>
      </c>
      <c r="M6008" t="s">
        <v>43016</v>
      </c>
      <c r="N6008" t="s">
        <v>44905</v>
      </c>
      <c r="O6008" t="s">
        <v>44906</v>
      </c>
      <c r="P6008">
        <v>0</v>
      </c>
      <c r="Q6008">
        <v>0</v>
      </c>
      <c r="R6008" t="s">
        <v>44909</v>
      </c>
      <c r="S6008" t="s">
        <v>45060</v>
      </c>
      <c r="T6008" t="s">
        <v>46415</v>
      </c>
      <c r="U6008" t="s">
        <v>51809</v>
      </c>
      <c r="W6008" t="s">
        <v>43016</v>
      </c>
      <c r="X6008" t="s">
        <v>44910</v>
      </c>
    </row>
    <row r="6009" spans="1:24">
      <c r="A6009">
        <f>HYPERLINK("https://www.philgeps.gov.ph/GEPSNONPILOT/Tender/SplashBidNoticeAbstractUI.aspx?menuIndex=3&amp;refID=7077343&amp;Result=3","7077343")</f>
        <v>0</v>
      </c>
      <c r="B6009" t="s">
        <v>1924</v>
      </c>
      <c r="C6009" t="s">
        <v>9261</v>
      </c>
      <c r="E6009" t="s">
        <v>23558</v>
      </c>
      <c r="F6009" t="s">
        <v>31362</v>
      </c>
      <c r="G6009" t="s">
        <v>31369</v>
      </c>
      <c r="H6009" t="s">
        <v>15799</v>
      </c>
      <c r="I6009" t="s">
        <v>31384</v>
      </c>
      <c r="J6009" t="s">
        <v>31602</v>
      </c>
      <c r="K6009" t="s">
        <v>40662</v>
      </c>
      <c r="M6009" t="s">
        <v>43022</v>
      </c>
      <c r="N6009" t="s">
        <v>44905</v>
      </c>
      <c r="O6009" t="s">
        <v>44906</v>
      </c>
      <c r="P6009">
        <v>0</v>
      </c>
      <c r="Q6009">
        <v>18</v>
      </c>
      <c r="R6009" t="s">
        <v>44909</v>
      </c>
      <c r="S6009" t="s">
        <v>45060</v>
      </c>
      <c r="T6009" t="s">
        <v>46435</v>
      </c>
      <c r="U6009" t="s">
        <v>51810</v>
      </c>
      <c r="V6009" t="s">
        <v>59626</v>
      </c>
      <c r="W6009" t="s">
        <v>43022</v>
      </c>
      <c r="X6009" t="s">
        <v>44910</v>
      </c>
    </row>
    <row r="6010" spans="1:24">
      <c r="A6010">
        <f>HYPERLINK("https://www.philgeps.gov.ph/GEPSNONPILOT/Tender/SplashBidNoticeAbstractUI.aspx?menuIndex=3&amp;refID=7077339&amp;Result=3","7077339")</f>
        <v>0</v>
      </c>
      <c r="B6010" t="s">
        <v>550</v>
      </c>
      <c r="C6010" t="s">
        <v>9262</v>
      </c>
      <c r="D6010" t="s">
        <v>18138</v>
      </c>
      <c r="E6010" t="s">
        <v>23559</v>
      </c>
      <c r="F6010" t="s">
        <v>31362</v>
      </c>
      <c r="G6010" t="s">
        <v>31368</v>
      </c>
      <c r="H6010" t="s">
        <v>15799</v>
      </c>
      <c r="I6010" t="s">
        <v>31392</v>
      </c>
      <c r="J6010" t="s">
        <v>31578</v>
      </c>
      <c r="K6010" t="s">
        <v>40666</v>
      </c>
      <c r="M6010" t="s">
        <v>41506</v>
      </c>
      <c r="N6010" t="s">
        <v>44905</v>
      </c>
      <c r="O6010" t="s">
        <v>44906</v>
      </c>
      <c r="P6010">
        <v>0</v>
      </c>
      <c r="Q6010">
        <v>1</v>
      </c>
      <c r="R6010" t="s">
        <v>44909</v>
      </c>
      <c r="S6010" t="s">
        <v>45060</v>
      </c>
      <c r="T6010" t="s">
        <v>46409</v>
      </c>
      <c r="U6010" t="s">
        <v>51735</v>
      </c>
      <c r="W6010" t="s">
        <v>41506</v>
      </c>
      <c r="X6010" t="s">
        <v>44910</v>
      </c>
    </row>
    <row r="6011" spans="1:24">
      <c r="A6011">
        <f>HYPERLINK("https://www.philgeps.gov.ph/GEPSNONPILOT/Tender/SplashBidNoticeAbstractUI.aspx?menuIndex=3&amp;refID=7077319&amp;Result=3","7077319")</f>
        <v>0</v>
      </c>
      <c r="B6011" t="s">
        <v>650</v>
      </c>
      <c r="C6011" t="s">
        <v>9263</v>
      </c>
      <c r="D6011" t="s">
        <v>18116</v>
      </c>
      <c r="E6011" t="s">
        <v>23560</v>
      </c>
      <c r="F6011" t="s">
        <v>31362</v>
      </c>
      <c r="G6011" t="s">
        <v>31369</v>
      </c>
      <c r="H6011" t="s">
        <v>15799</v>
      </c>
      <c r="I6011" t="s">
        <v>4283</v>
      </c>
      <c r="J6011" t="s">
        <v>31728</v>
      </c>
      <c r="K6011" t="s">
        <v>40670</v>
      </c>
      <c r="M6011" t="s">
        <v>41611</v>
      </c>
      <c r="N6011" t="s">
        <v>44905</v>
      </c>
      <c r="O6011" t="s">
        <v>44906</v>
      </c>
      <c r="P6011">
        <v>0</v>
      </c>
      <c r="Q6011">
        <v>0</v>
      </c>
      <c r="R6011" t="s">
        <v>44909</v>
      </c>
      <c r="S6011" t="s">
        <v>45060</v>
      </c>
      <c r="T6011" t="s">
        <v>46549</v>
      </c>
      <c r="U6011" t="s">
        <v>51811</v>
      </c>
      <c r="W6011" t="s">
        <v>41611</v>
      </c>
      <c r="X6011" t="s">
        <v>44910</v>
      </c>
    </row>
    <row r="6012" spans="1:24">
      <c r="A6012">
        <f>HYPERLINK("https://www.philgeps.gov.ph/GEPSNONPILOT/Tender/SplashBidNoticeAbstractUI.aspx?menuIndex=3&amp;refID=7077338&amp;Result=3","7077338")</f>
        <v>0</v>
      </c>
      <c r="B6012" t="s">
        <v>1925</v>
      </c>
      <c r="C6012" t="s">
        <v>9264</v>
      </c>
      <c r="D6012" t="s">
        <v>18160</v>
      </c>
      <c r="E6012" t="s">
        <v>18818</v>
      </c>
      <c r="F6012" t="s">
        <v>31362</v>
      </c>
      <c r="G6012" t="s">
        <v>31368</v>
      </c>
      <c r="H6012" t="s">
        <v>15799</v>
      </c>
      <c r="I6012" t="s">
        <v>31400</v>
      </c>
      <c r="J6012" t="s">
        <v>32143</v>
      </c>
      <c r="K6012" t="s">
        <v>40715</v>
      </c>
      <c r="M6012" t="s">
        <v>43023</v>
      </c>
      <c r="N6012" t="s">
        <v>44905</v>
      </c>
      <c r="O6012" t="s">
        <v>44906</v>
      </c>
      <c r="P6012">
        <v>0</v>
      </c>
      <c r="Q6012">
        <v>0</v>
      </c>
      <c r="R6012" t="s">
        <v>44909</v>
      </c>
      <c r="S6012" t="s">
        <v>45060</v>
      </c>
      <c r="T6012" t="s">
        <v>46416</v>
      </c>
      <c r="U6012" t="s">
        <v>51812</v>
      </c>
      <c r="W6012" t="s">
        <v>43023</v>
      </c>
      <c r="X6012" t="s">
        <v>44910</v>
      </c>
    </row>
    <row r="6013" spans="1:24">
      <c r="A6013">
        <f>HYPERLINK("https://www.philgeps.gov.ph/GEPSNONPILOT/Tender/SplashBidNoticeAbstractUI.aspx?menuIndex=3&amp;refID=7077349&amp;Result=3","7077349")</f>
        <v>0</v>
      </c>
      <c r="B6013" t="s">
        <v>1158</v>
      </c>
      <c r="C6013" t="s">
        <v>9265</v>
      </c>
      <c r="D6013" t="s">
        <v>18120</v>
      </c>
      <c r="E6013" t="s">
        <v>23553</v>
      </c>
      <c r="F6013" t="s">
        <v>31362</v>
      </c>
      <c r="G6013" t="s">
        <v>31368</v>
      </c>
      <c r="H6013" t="s">
        <v>15799</v>
      </c>
      <c r="I6013" t="s">
        <v>4057</v>
      </c>
      <c r="J6013" t="s">
        <v>35295</v>
      </c>
      <c r="K6013" t="s">
        <v>40662</v>
      </c>
      <c r="M6013" t="s">
        <v>42167</v>
      </c>
      <c r="N6013" t="s">
        <v>44905</v>
      </c>
      <c r="O6013" t="s">
        <v>44906</v>
      </c>
      <c r="P6013">
        <v>0</v>
      </c>
      <c r="Q6013">
        <v>0</v>
      </c>
      <c r="R6013" t="s">
        <v>44909</v>
      </c>
      <c r="S6013" t="s">
        <v>45060</v>
      </c>
      <c r="T6013" t="s">
        <v>46482</v>
      </c>
      <c r="U6013" t="s">
        <v>51813</v>
      </c>
      <c r="W6013" t="s">
        <v>42167</v>
      </c>
      <c r="X6013" t="s">
        <v>44910</v>
      </c>
    </row>
    <row r="6014" spans="1:24">
      <c r="A6014">
        <f>HYPERLINK("https://www.philgeps.gov.ph/GEPSNONPILOT/Tender/SplashBidNoticeAbstractUI.aspx?menuIndex=3&amp;refID=7077337&amp;Result=3","7077337")</f>
        <v>0</v>
      </c>
      <c r="B6014" t="s">
        <v>1115</v>
      </c>
      <c r="C6014" t="s">
        <v>9266</v>
      </c>
      <c r="D6014" t="s">
        <v>18104</v>
      </c>
      <c r="E6014" t="s">
        <v>23561</v>
      </c>
      <c r="F6014" t="s">
        <v>31362</v>
      </c>
      <c r="G6014" t="s">
        <v>31368</v>
      </c>
      <c r="H6014" t="s">
        <v>31378</v>
      </c>
      <c r="I6014" t="s">
        <v>31386</v>
      </c>
      <c r="J6014" t="s">
        <v>31625</v>
      </c>
      <c r="K6014" t="s">
        <v>40771</v>
      </c>
      <c r="M6014" t="s">
        <v>42977</v>
      </c>
      <c r="N6014" t="s">
        <v>44905</v>
      </c>
      <c r="O6014" t="s">
        <v>44906</v>
      </c>
      <c r="P6014">
        <v>0</v>
      </c>
      <c r="Q6014">
        <v>1</v>
      </c>
      <c r="R6014" t="s">
        <v>44909</v>
      </c>
      <c r="S6014" t="s">
        <v>45060</v>
      </c>
      <c r="T6014" t="s">
        <v>46470</v>
      </c>
      <c r="U6014" t="s">
        <v>51814</v>
      </c>
      <c r="W6014" t="s">
        <v>42977</v>
      </c>
      <c r="X6014" t="s">
        <v>44910</v>
      </c>
    </row>
    <row r="6015" spans="1:24">
      <c r="A6015">
        <f>HYPERLINK("https://www.philgeps.gov.ph/GEPSNONPILOT/Tender/SplashBidNoticeAbstractUI.aspx?menuIndex=3&amp;refID=7077333&amp;Result=3","7077333")</f>
        <v>0</v>
      </c>
      <c r="B6015" t="s">
        <v>834</v>
      </c>
      <c r="C6015" t="s">
        <v>9267</v>
      </c>
      <c r="D6015" t="s">
        <v>18108</v>
      </c>
      <c r="E6015" t="s">
        <v>23562</v>
      </c>
      <c r="F6015" t="s">
        <v>31362</v>
      </c>
      <c r="G6015" t="s">
        <v>31368</v>
      </c>
      <c r="H6015" t="s">
        <v>15799</v>
      </c>
      <c r="I6015" t="s">
        <v>31380</v>
      </c>
      <c r="J6015" t="s">
        <v>33025</v>
      </c>
      <c r="K6015" t="s">
        <v>40661</v>
      </c>
      <c r="M6015" t="s">
        <v>42118</v>
      </c>
      <c r="N6015" t="s">
        <v>44905</v>
      </c>
      <c r="O6015" t="s">
        <v>44906</v>
      </c>
      <c r="P6015">
        <v>0</v>
      </c>
      <c r="Q6015">
        <v>1</v>
      </c>
      <c r="R6015" t="s">
        <v>44909</v>
      </c>
      <c r="S6015" t="s">
        <v>45060</v>
      </c>
      <c r="T6015" t="s">
        <v>46416</v>
      </c>
      <c r="U6015" t="s">
        <v>51815</v>
      </c>
      <c r="V6015" t="s">
        <v>59376</v>
      </c>
      <c r="W6015" t="s">
        <v>42118</v>
      </c>
      <c r="X6015" t="s">
        <v>44910</v>
      </c>
    </row>
    <row r="6016" spans="1:24">
      <c r="A6016">
        <f>HYPERLINK("https://www.philgeps.gov.ph/GEPSNONPILOT/Tender/SplashBidNoticeAbstractUI.aspx?menuIndex=3&amp;refID=7077299&amp;Result=3","7077299")</f>
        <v>0</v>
      </c>
      <c r="B6016" t="s">
        <v>1857</v>
      </c>
      <c r="C6016" t="s">
        <v>9268</v>
      </c>
      <c r="D6016" t="s">
        <v>18147</v>
      </c>
      <c r="E6016" t="s">
        <v>23563</v>
      </c>
      <c r="F6016" t="s">
        <v>31362</v>
      </c>
      <c r="G6016" t="s">
        <v>31368</v>
      </c>
      <c r="H6016" t="s">
        <v>15799</v>
      </c>
      <c r="I6016" t="s">
        <v>31404</v>
      </c>
      <c r="J6016" t="s">
        <v>31577</v>
      </c>
      <c r="K6016" t="s">
        <v>40666</v>
      </c>
      <c r="M6016" t="s">
        <v>42947</v>
      </c>
      <c r="N6016" t="s">
        <v>44905</v>
      </c>
      <c r="O6016" t="s">
        <v>44906</v>
      </c>
      <c r="P6016">
        <v>0</v>
      </c>
      <c r="Q6016">
        <v>0</v>
      </c>
      <c r="R6016" t="s">
        <v>44909</v>
      </c>
      <c r="S6016" t="s">
        <v>45060</v>
      </c>
      <c r="T6016" t="s">
        <v>46409</v>
      </c>
      <c r="U6016" t="s">
        <v>51816</v>
      </c>
      <c r="W6016" t="s">
        <v>42947</v>
      </c>
      <c r="X6016" t="s">
        <v>44910</v>
      </c>
    </row>
    <row r="6017" spans="1:24">
      <c r="A6017">
        <f>HYPERLINK("https://www.philgeps.gov.ph/GEPSNONPILOT/Tender/SplashBidNoticeAbstractUI.aspx?menuIndex=3&amp;refID=7077334&amp;Result=3","7077334")</f>
        <v>0</v>
      </c>
      <c r="B6017" t="s">
        <v>1184</v>
      </c>
      <c r="C6017" t="s">
        <v>9269</v>
      </c>
      <c r="D6017" t="s">
        <v>18119</v>
      </c>
      <c r="E6017" t="s">
        <v>23564</v>
      </c>
      <c r="F6017" t="s">
        <v>31362</v>
      </c>
      <c r="G6017" t="s">
        <v>31368</v>
      </c>
      <c r="H6017" t="s">
        <v>15799</v>
      </c>
      <c r="I6017" t="s">
        <v>7090</v>
      </c>
      <c r="J6017" t="s">
        <v>32853</v>
      </c>
      <c r="K6017" t="s">
        <v>40670</v>
      </c>
      <c r="M6017" t="s">
        <v>42196</v>
      </c>
      <c r="N6017" t="s">
        <v>44905</v>
      </c>
      <c r="O6017" t="s">
        <v>44906</v>
      </c>
      <c r="P6017">
        <v>0</v>
      </c>
      <c r="Q6017">
        <v>0</v>
      </c>
      <c r="R6017" t="s">
        <v>44909</v>
      </c>
      <c r="S6017" t="s">
        <v>45060</v>
      </c>
      <c r="T6017" t="s">
        <v>46409</v>
      </c>
      <c r="U6017" t="s">
        <v>51817</v>
      </c>
      <c r="W6017" t="s">
        <v>42196</v>
      </c>
      <c r="X6017" t="s">
        <v>44910</v>
      </c>
    </row>
    <row r="6018" spans="1:24">
      <c r="A6018">
        <f>HYPERLINK("https://www.philgeps.gov.ph/GEPSNONPILOT/Tender/SplashBidNoticeAbstractUI.aspx?menuIndex=3&amp;refID=7077342&amp;Result=3","7077342")</f>
        <v>0</v>
      </c>
      <c r="B6018" t="s">
        <v>1058</v>
      </c>
      <c r="C6018" t="s">
        <v>9270</v>
      </c>
      <c r="D6018" t="s">
        <v>18104</v>
      </c>
      <c r="E6018" t="s">
        <v>23565</v>
      </c>
      <c r="F6018" t="s">
        <v>31362</v>
      </c>
      <c r="G6018" t="s">
        <v>31370</v>
      </c>
      <c r="H6018" t="s">
        <v>15799</v>
      </c>
      <c r="I6018" t="s">
        <v>31393</v>
      </c>
      <c r="J6018" t="s">
        <v>31806</v>
      </c>
      <c r="K6018" t="s">
        <v>40670</v>
      </c>
      <c r="M6018" t="s">
        <v>42059</v>
      </c>
      <c r="N6018" t="s">
        <v>44905</v>
      </c>
      <c r="O6018" t="s">
        <v>44906</v>
      </c>
      <c r="P6018">
        <v>0</v>
      </c>
      <c r="Q6018">
        <v>1</v>
      </c>
      <c r="R6018" t="s">
        <v>44909</v>
      </c>
      <c r="S6018" t="s">
        <v>45060</v>
      </c>
      <c r="T6018" t="s">
        <v>46447</v>
      </c>
      <c r="U6018" t="s">
        <v>51818</v>
      </c>
      <c r="W6018" t="s">
        <v>42059</v>
      </c>
      <c r="X6018" t="s">
        <v>44910</v>
      </c>
    </row>
    <row r="6019" spans="1:24">
      <c r="A6019">
        <f>HYPERLINK("https://www.philgeps.gov.ph/GEPSNONPILOT/Tender/SplashBidNoticeAbstractUI.aspx?menuIndex=3&amp;refID=7077377&amp;Result=3","7077377")</f>
        <v>0</v>
      </c>
      <c r="B6019" t="s">
        <v>1919</v>
      </c>
      <c r="C6019" t="s">
        <v>9271</v>
      </c>
      <c r="D6019" t="s">
        <v>18125</v>
      </c>
      <c r="E6019" t="s">
        <v>23566</v>
      </c>
      <c r="F6019" t="s">
        <v>31362</v>
      </c>
      <c r="G6019" t="s">
        <v>31369</v>
      </c>
      <c r="H6019" t="s">
        <v>15799</v>
      </c>
      <c r="I6019" t="s">
        <v>31422</v>
      </c>
      <c r="J6019" t="s">
        <v>32011</v>
      </c>
      <c r="K6019" t="s">
        <v>40666</v>
      </c>
      <c r="M6019" t="s">
        <v>43016</v>
      </c>
      <c r="N6019" t="s">
        <v>44905</v>
      </c>
      <c r="O6019" t="s">
        <v>44906</v>
      </c>
      <c r="P6019">
        <v>0</v>
      </c>
      <c r="Q6019">
        <v>3</v>
      </c>
      <c r="R6019" t="s">
        <v>44909</v>
      </c>
      <c r="S6019" t="s">
        <v>45060</v>
      </c>
      <c r="T6019" t="s">
        <v>46415</v>
      </c>
      <c r="U6019" t="s">
        <v>51819</v>
      </c>
      <c r="W6019" t="s">
        <v>43016</v>
      </c>
      <c r="X6019" t="s">
        <v>44910</v>
      </c>
    </row>
    <row r="6020" spans="1:24">
      <c r="A6020">
        <f>HYPERLINK("https://www.philgeps.gov.ph/GEPSNONPILOT/Tender/SplashBidNoticeAbstractUI.aspx?menuIndex=3&amp;refID=7077230&amp;Result=3","7077230")</f>
        <v>0</v>
      </c>
      <c r="B6020" t="s">
        <v>72</v>
      </c>
      <c r="C6020" t="s">
        <v>9272</v>
      </c>
      <c r="D6020" t="s">
        <v>18130</v>
      </c>
      <c r="E6020" t="s">
        <v>23567</v>
      </c>
      <c r="F6020" t="s">
        <v>31362</v>
      </c>
      <c r="G6020" t="s">
        <v>31368</v>
      </c>
      <c r="H6020" t="s">
        <v>15799</v>
      </c>
      <c r="I6020" t="s">
        <v>7719</v>
      </c>
      <c r="J6020" t="s">
        <v>32249</v>
      </c>
      <c r="K6020" t="s">
        <v>40670</v>
      </c>
      <c r="M6020" t="s">
        <v>41008</v>
      </c>
      <c r="N6020" t="s">
        <v>44905</v>
      </c>
      <c r="O6020" t="s">
        <v>44906</v>
      </c>
      <c r="P6020">
        <v>0</v>
      </c>
      <c r="Q6020">
        <v>3</v>
      </c>
      <c r="R6020" t="s">
        <v>44909</v>
      </c>
      <c r="S6020" t="s">
        <v>45060</v>
      </c>
      <c r="T6020" t="s">
        <v>46428</v>
      </c>
      <c r="U6020" t="s">
        <v>51820</v>
      </c>
      <c r="W6020" t="s">
        <v>41008</v>
      </c>
      <c r="X6020" t="s">
        <v>44910</v>
      </c>
    </row>
    <row r="6021" spans="1:24">
      <c r="A6021">
        <f>HYPERLINK("https://www.philgeps.gov.ph/GEPSNONPILOT/Tender/SplashBidNoticeAbstractUI.aspx?menuIndex=3&amp;refID=7077354&amp;Result=3","7077354")</f>
        <v>0</v>
      </c>
      <c r="B6021" t="s">
        <v>1857</v>
      </c>
      <c r="C6021" t="s">
        <v>8780</v>
      </c>
      <c r="D6021" t="s">
        <v>18147</v>
      </c>
      <c r="E6021" t="s">
        <v>23568</v>
      </c>
      <c r="F6021" t="s">
        <v>31362</v>
      </c>
      <c r="G6021" t="s">
        <v>31371</v>
      </c>
      <c r="H6021" t="s">
        <v>15799</v>
      </c>
      <c r="I6021" t="s">
        <v>31385</v>
      </c>
      <c r="J6021" t="s">
        <v>35296</v>
      </c>
      <c r="K6021" t="s">
        <v>40666</v>
      </c>
      <c r="M6021" t="s">
        <v>42947</v>
      </c>
      <c r="N6021" t="s">
        <v>44905</v>
      </c>
      <c r="O6021" t="s">
        <v>44906</v>
      </c>
      <c r="P6021">
        <v>0</v>
      </c>
      <c r="Q6021">
        <v>4</v>
      </c>
      <c r="R6021" t="s">
        <v>44909</v>
      </c>
      <c r="S6021" t="s">
        <v>45060</v>
      </c>
      <c r="T6021" t="s">
        <v>46432</v>
      </c>
      <c r="U6021" t="s">
        <v>51821</v>
      </c>
      <c r="W6021" t="s">
        <v>42947</v>
      </c>
      <c r="X6021" t="s">
        <v>44910</v>
      </c>
    </row>
    <row r="6022" spans="1:24">
      <c r="A6022">
        <f>HYPERLINK("https://www.philgeps.gov.ph/GEPSNONPILOT/Tender/SplashBidNoticeAbstractUI.aspx?menuIndex=3&amp;refID=7077335&amp;Result=3","7077335")</f>
        <v>0</v>
      </c>
      <c r="B6022" t="s">
        <v>1926</v>
      </c>
      <c r="C6022" t="s">
        <v>9273</v>
      </c>
      <c r="D6022" t="s">
        <v>18100</v>
      </c>
      <c r="E6022" t="s">
        <v>23569</v>
      </c>
      <c r="F6022" t="s">
        <v>31362</v>
      </c>
      <c r="G6022" t="s">
        <v>31368</v>
      </c>
      <c r="H6022" t="s">
        <v>15799</v>
      </c>
      <c r="I6022" t="s">
        <v>3815</v>
      </c>
      <c r="J6022" t="s">
        <v>35297</v>
      </c>
      <c r="K6022" t="s">
        <v>40661</v>
      </c>
      <c r="M6022" t="s">
        <v>43024</v>
      </c>
      <c r="N6022" t="s">
        <v>44905</v>
      </c>
      <c r="O6022" t="s">
        <v>44906</v>
      </c>
      <c r="P6022">
        <v>0</v>
      </c>
      <c r="Q6022">
        <v>0</v>
      </c>
      <c r="R6022" t="s">
        <v>44909</v>
      </c>
      <c r="S6022" t="s">
        <v>45060</v>
      </c>
      <c r="T6022" t="s">
        <v>46467</v>
      </c>
      <c r="U6022" t="s">
        <v>51822</v>
      </c>
      <c r="W6022" t="s">
        <v>43024</v>
      </c>
      <c r="X6022" t="s">
        <v>44910</v>
      </c>
    </row>
    <row r="6023" spans="1:24">
      <c r="A6023">
        <f>HYPERLINK("https://www.philgeps.gov.ph/GEPSNONPILOT/Tender/SplashBidNoticeAbstractUI.aspx?menuIndex=3&amp;refID=7077381&amp;Result=3","7077381")</f>
        <v>0</v>
      </c>
      <c r="B6023" t="s">
        <v>1927</v>
      </c>
      <c r="C6023" t="s">
        <v>9274</v>
      </c>
      <c r="D6023" t="s">
        <v>18148</v>
      </c>
      <c r="E6023" t="s">
        <v>23570</v>
      </c>
      <c r="F6023" t="s">
        <v>31362</v>
      </c>
      <c r="G6023" t="s">
        <v>31368</v>
      </c>
      <c r="H6023" t="s">
        <v>15799</v>
      </c>
      <c r="I6023" t="s">
        <v>31404</v>
      </c>
      <c r="J6023" t="s">
        <v>35298</v>
      </c>
      <c r="K6023" t="s">
        <v>40670</v>
      </c>
      <c r="M6023" t="s">
        <v>43025</v>
      </c>
      <c r="N6023" t="s">
        <v>44905</v>
      </c>
      <c r="O6023" t="s">
        <v>44906</v>
      </c>
      <c r="P6023">
        <v>0</v>
      </c>
      <c r="Q6023">
        <v>0</v>
      </c>
      <c r="R6023" t="s">
        <v>44909</v>
      </c>
      <c r="S6023" t="s">
        <v>45060</v>
      </c>
      <c r="T6023" t="s">
        <v>46409</v>
      </c>
      <c r="U6023" t="s">
        <v>51823</v>
      </c>
      <c r="V6023" t="s">
        <v>59627</v>
      </c>
      <c r="W6023" t="s">
        <v>43025</v>
      </c>
      <c r="X6023" t="s">
        <v>44910</v>
      </c>
    </row>
    <row r="6024" spans="1:24">
      <c r="A6024">
        <f>HYPERLINK("https://www.philgeps.gov.ph/GEPSNONPILOT/Tender/SplashBidNoticeAbstractUI.aspx?menuIndex=3&amp;refID=7077341&amp;Result=3","7077341")</f>
        <v>0</v>
      </c>
      <c r="B6024" t="s">
        <v>1888</v>
      </c>
      <c r="C6024" t="s">
        <v>9275</v>
      </c>
      <c r="D6024" t="s">
        <v>18134</v>
      </c>
      <c r="E6024" t="s">
        <v>23571</v>
      </c>
      <c r="F6024" t="s">
        <v>31365</v>
      </c>
      <c r="G6024" t="s">
        <v>31368</v>
      </c>
      <c r="H6024" t="s">
        <v>15799</v>
      </c>
      <c r="I6024" t="s">
        <v>31383</v>
      </c>
      <c r="J6024" t="s">
        <v>35299</v>
      </c>
      <c r="K6024" t="s">
        <v>40661</v>
      </c>
      <c r="M6024" t="s">
        <v>42983</v>
      </c>
      <c r="N6024" t="s">
        <v>44905</v>
      </c>
      <c r="O6024" t="s">
        <v>44906</v>
      </c>
      <c r="P6024">
        <v>0</v>
      </c>
      <c r="Q6024">
        <v>0</v>
      </c>
      <c r="R6024" t="s">
        <v>44909</v>
      </c>
      <c r="S6024" t="s">
        <v>45060</v>
      </c>
      <c r="T6024" t="s">
        <v>46403</v>
      </c>
      <c r="U6024" t="s">
        <v>51824</v>
      </c>
      <c r="W6024" t="s">
        <v>42983</v>
      </c>
      <c r="X6024" t="s">
        <v>44910</v>
      </c>
    </row>
    <row r="6025" spans="1:24">
      <c r="A6025">
        <f>HYPERLINK("https://www.philgeps.gov.ph/GEPSNONPILOT/Tender/SplashBidNoticeAbstractUI.aspx?menuIndex=3&amp;refID=7077387&amp;Result=3","7077387")</f>
        <v>0</v>
      </c>
      <c r="B6025" t="s">
        <v>1928</v>
      </c>
      <c r="C6025" t="s">
        <v>7668</v>
      </c>
      <c r="D6025" t="s">
        <v>18117</v>
      </c>
      <c r="E6025" t="s">
        <v>23572</v>
      </c>
      <c r="F6025" t="s">
        <v>31362</v>
      </c>
      <c r="G6025" t="s">
        <v>31368</v>
      </c>
      <c r="H6025" t="s">
        <v>15799</v>
      </c>
      <c r="I6025" t="s">
        <v>7188</v>
      </c>
      <c r="J6025" t="s">
        <v>31765</v>
      </c>
      <c r="K6025" t="s">
        <v>40665</v>
      </c>
      <c r="M6025" t="s">
        <v>43026</v>
      </c>
      <c r="N6025" t="s">
        <v>44905</v>
      </c>
      <c r="O6025" t="s">
        <v>44906</v>
      </c>
      <c r="P6025">
        <v>0</v>
      </c>
      <c r="Q6025">
        <v>5</v>
      </c>
      <c r="R6025" t="s">
        <v>44909</v>
      </c>
      <c r="S6025" t="s">
        <v>45060</v>
      </c>
      <c r="T6025" t="s">
        <v>46716</v>
      </c>
      <c r="U6025" t="s">
        <v>51825</v>
      </c>
      <c r="W6025" t="s">
        <v>43026</v>
      </c>
      <c r="X6025" t="s">
        <v>44910</v>
      </c>
    </row>
    <row r="6026" spans="1:24">
      <c r="A6026">
        <f>HYPERLINK("https://www.philgeps.gov.ph/GEPSNONPILOT/Tender/SplashBidNoticeAbstractUI.aspx?menuIndex=3&amp;refID=7077379&amp;Result=3","7077379")</f>
        <v>0</v>
      </c>
      <c r="B6026" t="s">
        <v>1883</v>
      </c>
      <c r="C6026" t="s">
        <v>9276</v>
      </c>
      <c r="D6026" t="s">
        <v>18108</v>
      </c>
      <c r="E6026" t="s">
        <v>23573</v>
      </c>
      <c r="F6026" t="s">
        <v>31362</v>
      </c>
      <c r="G6026" t="s">
        <v>31368</v>
      </c>
      <c r="H6026" t="s">
        <v>15799</v>
      </c>
      <c r="I6026" t="s">
        <v>3815</v>
      </c>
      <c r="J6026" t="s">
        <v>35300</v>
      </c>
      <c r="K6026" t="s">
        <v>40682</v>
      </c>
      <c r="M6026" t="s">
        <v>42976</v>
      </c>
      <c r="N6026" t="s">
        <v>44905</v>
      </c>
      <c r="O6026" t="s">
        <v>44906</v>
      </c>
      <c r="P6026">
        <v>0</v>
      </c>
      <c r="Q6026">
        <v>0</v>
      </c>
      <c r="R6026" t="s">
        <v>44909</v>
      </c>
      <c r="S6026" t="s">
        <v>45060</v>
      </c>
      <c r="T6026" t="s">
        <v>46435</v>
      </c>
      <c r="U6026" t="s">
        <v>51826</v>
      </c>
      <c r="W6026" t="s">
        <v>42976</v>
      </c>
      <c r="X6026" t="s">
        <v>44910</v>
      </c>
    </row>
    <row r="6027" spans="1:24">
      <c r="A6027">
        <f>HYPERLINK("https://www.philgeps.gov.ph/GEPSNONPILOT/Tender/SplashBidNoticeAbstractUI.aspx?menuIndex=3&amp;refID=7077370&amp;Result=3","7077370")</f>
        <v>0</v>
      </c>
      <c r="B6027" t="s">
        <v>550</v>
      </c>
      <c r="C6027" t="s">
        <v>9277</v>
      </c>
      <c r="D6027" t="s">
        <v>18138</v>
      </c>
      <c r="E6027" t="s">
        <v>23574</v>
      </c>
      <c r="F6027" t="s">
        <v>31362</v>
      </c>
      <c r="G6027" t="s">
        <v>31368</v>
      </c>
      <c r="H6027" t="s">
        <v>15799</v>
      </c>
      <c r="I6027" t="s">
        <v>31392</v>
      </c>
      <c r="J6027" t="s">
        <v>31738</v>
      </c>
      <c r="K6027" t="s">
        <v>40666</v>
      </c>
      <c r="M6027" t="s">
        <v>41506</v>
      </c>
      <c r="N6027" t="s">
        <v>44905</v>
      </c>
      <c r="O6027" t="s">
        <v>44906</v>
      </c>
      <c r="P6027">
        <v>0</v>
      </c>
      <c r="Q6027">
        <v>3</v>
      </c>
      <c r="R6027" t="s">
        <v>44909</v>
      </c>
      <c r="S6027" t="s">
        <v>45060</v>
      </c>
      <c r="T6027" t="s">
        <v>46409</v>
      </c>
      <c r="U6027" t="s">
        <v>51827</v>
      </c>
      <c r="W6027" t="s">
        <v>41506</v>
      </c>
      <c r="X6027" t="s">
        <v>44910</v>
      </c>
    </row>
    <row r="6028" spans="1:24">
      <c r="A6028">
        <f>HYPERLINK("https://www.philgeps.gov.ph/GEPSNONPILOT/Tender/SplashBidNoticeAbstractUI.aspx?menuIndex=3&amp;refID=7077386&amp;Result=3","7077386")</f>
        <v>0</v>
      </c>
      <c r="B6028" t="s">
        <v>1219</v>
      </c>
      <c r="C6028" t="s">
        <v>7188</v>
      </c>
      <c r="E6028" t="s">
        <v>23575</v>
      </c>
      <c r="F6028" t="s">
        <v>31362</v>
      </c>
      <c r="G6028" t="s">
        <v>31369</v>
      </c>
      <c r="H6028" t="s">
        <v>15799</v>
      </c>
      <c r="I6028" t="s">
        <v>7188</v>
      </c>
      <c r="J6028" t="s">
        <v>31537</v>
      </c>
      <c r="K6028" t="s">
        <v>40662</v>
      </c>
      <c r="M6028" t="s">
        <v>42232</v>
      </c>
      <c r="N6028" t="s">
        <v>44905</v>
      </c>
      <c r="O6028" t="s">
        <v>44906</v>
      </c>
      <c r="P6028">
        <v>0</v>
      </c>
      <c r="Q6028">
        <v>0</v>
      </c>
      <c r="R6028" t="s">
        <v>44909</v>
      </c>
      <c r="S6028" t="s">
        <v>45060</v>
      </c>
      <c r="T6028" t="s">
        <v>46715</v>
      </c>
      <c r="U6028" t="s">
        <v>51828</v>
      </c>
      <c r="W6028" t="s">
        <v>42232</v>
      </c>
      <c r="X6028" t="s">
        <v>44910</v>
      </c>
    </row>
    <row r="6029" spans="1:24">
      <c r="A6029">
        <f>HYPERLINK("https://www.philgeps.gov.ph/GEPSNONPILOT/Tender/SplashBidNoticeAbstractUI.aspx?menuIndex=3&amp;refID=7077382&amp;Result=3","7077382")</f>
        <v>0</v>
      </c>
      <c r="B6029" t="s">
        <v>617</v>
      </c>
      <c r="C6029" t="s">
        <v>9278</v>
      </c>
      <c r="D6029" t="s">
        <v>18108</v>
      </c>
      <c r="E6029" t="s">
        <v>20604</v>
      </c>
      <c r="F6029" t="s">
        <v>31362</v>
      </c>
      <c r="G6029" t="s">
        <v>31368</v>
      </c>
      <c r="H6029" t="s">
        <v>31379</v>
      </c>
      <c r="I6029" t="s">
        <v>3582</v>
      </c>
      <c r="J6029" t="s">
        <v>31890</v>
      </c>
      <c r="K6029" t="s">
        <v>40661</v>
      </c>
      <c r="M6029" t="s">
        <v>42866</v>
      </c>
      <c r="N6029" t="s">
        <v>44905</v>
      </c>
      <c r="O6029" t="s">
        <v>44906</v>
      </c>
      <c r="P6029">
        <v>0</v>
      </c>
      <c r="Q6029">
        <v>0</v>
      </c>
      <c r="R6029" t="s">
        <v>44909</v>
      </c>
      <c r="S6029" t="s">
        <v>45060</v>
      </c>
      <c r="T6029" t="s">
        <v>46409</v>
      </c>
      <c r="U6029" t="s">
        <v>51370</v>
      </c>
      <c r="W6029" t="s">
        <v>42866</v>
      </c>
      <c r="X6029" t="s">
        <v>44910</v>
      </c>
    </row>
    <row r="6030" spans="1:24">
      <c r="A6030">
        <f>HYPERLINK("https://www.philgeps.gov.ph/GEPSNONPILOT/Tender/SplashBidNoticeAbstractUI.aspx?menuIndex=3&amp;refID=7077368&amp;Result=3","7077368")</f>
        <v>0</v>
      </c>
      <c r="B6030" t="s">
        <v>1831</v>
      </c>
      <c r="C6030" t="s">
        <v>9279</v>
      </c>
      <c r="D6030" t="s">
        <v>18167</v>
      </c>
      <c r="E6030" t="s">
        <v>23576</v>
      </c>
      <c r="F6030" t="s">
        <v>31362</v>
      </c>
      <c r="G6030" t="s">
        <v>31369</v>
      </c>
      <c r="H6030" t="s">
        <v>31378</v>
      </c>
      <c r="I6030" t="s">
        <v>31386</v>
      </c>
      <c r="J6030" t="s">
        <v>31587</v>
      </c>
      <c r="K6030" t="s">
        <v>40686</v>
      </c>
      <c r="M6030" t="s">
        <v>42917</v>
      </c>
      <c r="N6030" t="s">
        <v>44905</v>
      </c>
      <c r="O6030" t="s">
        <v>44906</v>
      </c>
      <c r="P6030">
        <v>0</v>
      </c>
      <c r="Q6030">
        <v>0</v>
      </c>
      <c r="R6030" t="s">
        <v>44909</v>
      </c>
      <c r="S6030" t="s">
        <v>45060</v>
      </c>
      <c r="T6030" t="s">
        <v>46608</v>
      </c>
      <c r="U6030" t="s">
        <v>51829</v>
      </c>
      <c r="W6030" t="s">
        <v>42917</v>
      </c>
      <c r="X6030" t="s">
        <v>44910</v>
      </c>
    </row>
    <row r="6031" spans="1:24">
      <c r="A6031">
        <f>HYPERLINK("https://www.philgeps.gov.ph/GEPSNONPILOT/Tender/SplashBidNoticeAbstractUI.aspx?menuIndex=3&amp;refID=7077365&amp;Result=3","7077365")</f>
        <v>0</v>
      </c>
      <c r="B6031" t="s">
        <v>637</v>
      </c>
      <c r="C6031" t="s">
        <v>9280</v>
      </c>
      <c r="D6031" t="s">
        <v>18102</v>
      </c>
      <c r="E6031" t="s">
        <v>23577</v>
      </c>
      <c r="F6031" t="s">
        <v>31362</v>
      </c>
      <c r="G6031" t="s">
        <v>31369</v>
      </c>
      <c r="H6031" t="s">
        <v>15799</v>
      </c>
      <c r="I6031" t="s">
        <v>31409</v>
      </c>
      <c r="J6031" t="s">
        <v>35301</v>
      </c>
      <c r="K6031" t="s">
        <v>40665</v>
      </c>
      <c r="M6031" t="s">
        <v>41597</v>
      </c>
      <c r="N6031" t="s">
        <v>44905</v>
      </c>
      <c r="O6031" t="s">
        <v>44906</v>
      </c>
      <c r="P6031">
        <v>0</v>
      </c>
      <c r="Q6031">
        <v>8</v>
      </c>
      <c r="R6031" t="s">
        <v>44909</v>
      </c>
      <c r="S6031" t="s">
        <v>45060</v>
      </c>
      <c r="T6031" t="s">
        <v>46697</v>
      </c>
      <c r="U6031" t="s">
        <v>51830</v>
      </c>
      <c r="W6031" t="s">
        <v>41597</v>
      </c>
      <c r="X6031" t="s">
        <v>44910</v>
      </c>
    </row>
    <row r="6032" spans="1:24">
      <c r="A6032">
        <f>HYPERLINK("https://www.philgeps.gov.ph/GEPSNONPILOT/Tender/SplashBidNoticeAbstractUI.aspx?menuIndex=3&amp;refID=7077380&amp;Result=3","7077380")</f>
        <v>0</v>
      </c>
      <c r="B6032" t="s">
        <v>1929</v>
      </c>
      <c r="C6032" t="s">
        <v>9281</v>
      </c>
      <c r="D6032" t="s">
        <v>18174</v>
      </c>
      <c r="E6032" t="s">
        <v>18561</v>
      </c>
      <c r="F6032" t="s">
        <v>31362</v>
      </c>
      <c r="G6032" t="s">
        <v>31369</v>
      </c>
      <c r="H6032" t="s">
        <v>31378</v>
      </c>
      <c r="I6032" t="s">
        <v>31386</v>
      </c>
      <c r="J6032" t="s">
        <v>31734</v>
      </c>
      <c r="K6032" t="s">
        <v>40735</v>
      </c>
      <c r="M6032" t="s">
        <v>43027</v>
      </c>
      <c r="N6032" t="s">
        <v>44905</v>
      </c>
      <c r="O6032" t="s">
        <v>44906</v>
      </c>
      <c r="P6032">
        <v>0</v>
      </c>
      <c r="Q6032">
        <v>0</v>
      </c>
      <c r="R6032" t="s">
        <v>44909</v>
      </c>
      <c r="S6032" t="s">
        <v>45060</v>
      </c>
      <c r="T6032" t="s">
        <v>46511</v>
      </c>
      <c r="U6032" t="s">
        <v>51831</v>
      </c>
      <c r="W6032" t="s">
        <v>43027</v>
      </c>
      <c r="X6032" t="s">
        <v>44910</v>
      </c>
    </row>
    <row r="6033" spans="1:24">
      <c r="A6033">
        <f>HYPERLINK("https://www.philgeps.gov.ph/GEPSNONPILOT/Tender/SplashBidNoticeAbstractUI.aspx?menuIndex=3&amp;refID=7077409&amp;Result=3","7077409")</f>
        <v>0</v>
      </c>
      <c r="B6033" t="s">
        <v>637</v>
      </c>
      <c r="C6033" t="s">
        <v>9282</v>
      </c>
      <c r="D6033" t="s">
        <v>18102</v>
      </c>
      <c r="E6033" t="s">
        <v>23578</v>
      </c>
      <c r="F6033" t="s">
        <v>31362</v>
      </c>
      <c r="G6033" t="s">
        <v>31369</v>
      </c>
      <c r="H6033" t="s">
        <v>15799</v>
      </c>
      <c r="I6033" t="s">
        <v>7090</v>
      </c>
      <c r="J6033" t="s">
        <v>35302</v>
      </c>
      <c r="K6033" t="s">
        <v>40665</v>
      </c>
      <c r="M6033" t="s">
        <v>41597</v>
      </c>
      <c r="N6033" t="s">
        <v>44905</v>
      </c>
      <c r="O6033" t="s">
        <v>44906</v>
      </c>
      <c r="P6033">
        <v>0</v>
      </c>
      <c r="Q6033">
        <v>0</v>
      </c>
      <c r="R6033" t="s">
        <v>44909</v>
      </c>
      <c r="S6033" t="s">
        <v>45060</v>
      </c>
      <c r="T6033" t="s">
        <v>46697</v>
      </c>
      <c r="U6033" t="s">
        <v>51832</v>
      </c>
      <c r="W6033" t="s">
        <v>41597</v>
      </c>
      <c r="X6033" t="s">
        <v>44910</v>
      </c>
    </row>
    <row r="6034" spans="1:24">
      <c r="A6034">
        <f>HYPERLINK("https://www.philgeps.gov.ph/GEPSNONPILOT/Tender/SplashBidNoticeAbstractUI.aspx?menuIndex=3&amp;refID=7077374&amp;Result=3","7077374")</f>
        <v>0</v>
      </c>
      <c r="B6034" t="s">
        <v>1158</v>
      </c>
      <c r="C6034" t="s">
        <v>9283</v>
      </c>
      <c r="D6034" t="s">
        <v>18120</v>
      </c>
      <c r="E6034" t="s">
        <v>23579</v>
      </c>
      <c r="F6034" t="s">
        <v>31362</v>
      </c>
      <c r="G6034" t="s">
        <v>31368</v>
      </c>
      <c r="H6034" t="s">
        <v>15799</v>
      </c>
      <c r="I6034" t="s">
        <v>4057</v>
      </c>
      <c r="J6034" t="s">
        <v>35303</v>
      </c>
      <c r="K6034" t="s">
        <v>40662</v>
      </c>
      <c r="M6034" t="s">
        <v>42167</v>
      </c>
      <c r="N6034" t="s">
        <v>44905</v>
      </c>
      <c r="O6034" t="s">
        <v>44906</v>
      </c>
      <c r="P6034">
        <v>0</v>
      </c>
      <c r="Q6034">
        <v>0</v>
      </c>
      <c r="R6034" t="s">
        <v>44909</v>
      </c>
      <c r="S6034" t="s">
        <v>45060</v>
      </c>
      <c r="T6034" t="s">
        <v>46482</v>
      </c>
      <c r="U6034" t="s">
        <v>51833</v>
      </c>
      <c r="W6034" t="s">
        <v>42167</v>
      </c>
      <c r="X6034" t="s">
        <v>44910</v>
      </c>
    </row>
    <row r="6035" spans="1:24">
      <c r="A6035">
        <f>HYPERLINK("https://www.philgeps.gov.ph/GEPSNONPILOT/Tender/SplashBidNoticeAbstractUI.aspx?menuIndex=3&amp;refID=7077419&amp;Result=3","7077419")</f>
        <v>0</v>
      </c>
      <c r="B6035" t="s">
        <v>1410</v>
      </c>
      <c r="C6035" t="s">
        <v>9284</v>
      </c>
      <c r="D6035" t="s">
        <v>18108</v>
      </c>
      <c r="E6035" t="s">
        <v>23580</v>
      </c>
      <c r="F6035" t="s">
        <v>31362</v>
      </c>
      <c r="G6035" t="s">
        <v>31368</v>
      </c>
      <c r="H6035" t="s">
        <v>31379</v>
      </c>
      <c r="I6035" t="s">
        <v>31464</v>
      </c>
      <c r="J6035" t="s">
        <v>35304</v>
      </c>
      <c r="K6035" t="s">
        <v>40666</v>
      </c>
      <c r="M6035" t="s">
        <v>42435</v>
      </c>
      <c r="N6035" t="s">
        <v>44905</v>
      </c>
      <c r="O6035" t="s">
        <v>44906</v>
      </c>
      <c r="P6035">
        <v>0</v>
      </c>
      <c r="Q6035">
        <v>2</v>
      </c>
      <c r="R6035" t="s">
        <v>44909</v>
      </c>
      <c r="S6035" t="s">
        <v>45060</v>
      </c>
      <c r="T6035" t="s">
        <v>46414</v>
      </c>
      <c r="U6035" t="s">
        <v>51834</v>
      </c>
      <c r="W6035" t="s">
        <v>42435</v>
      </c>
      <c r="X6035" t="s">
        <v>44910</v>
      </c>
    </row>
    <row r="6036" spans="1:24">
      <c r="A6036">
        <f>HYPERLINK("https://www.philgeps.gov.ph/GEPSNONPILOT/Tender/SplashBidNoticeAbstractUI.aspx?menuIndex=3&amp;refID=7077369&amp;Result=3","7077369")</f>
        <v>0</v>
      </c>
      <c r="B6036" t="s">
        <v>1905</v>
      </c>
      <c r="C6036" t="s">
        <v>9285</v>
      </c>
      <c r="D6036" t="s">
        <v>18116</v>
      </c>
      <c r="E6036" t="s">
        <v>21832</v>
      </c>
      <c r="F6036" t="s">
        <v>31362</v>
      </c>
      <c r="G6036" t="s">
        <v>31368</v>
      </c>
      <c r="H6036" t="s">
        <v>15799</v>
      </c>
      <c r="I6036" t="s">
        <v>31411</v>
      </c>
      <c r="J6036" t="s">
        <v>31564</v>
      </c>
      <c r="K6036" t="s">
        <v>40677</v>
      </c>
      <c r="M6036" t="s">
        <v>43000</v>
      </c>
      <c r="N6036" t="s">
        <v>44905</v>
      </c>
      <c r="O6036" t="s">
        <v>44906</v>
      </c>
      <c r="P6036">
        <v>0</v>
      </c>
      <c r="Q6036">
        <v>4</v>
      </c>
      <c r="R6036" t="s">
        <v>44909</v>
      </c>
      <c r="S6036" t="s">
        <v>45060</v>
      </c>
      <c r="T6036" t="s">
        <v>46478</v>
      </c>
      <c r="U6036" t="s">
        <v>51835</v>
      </c>
      <c r="W6036" t="s">
        <v>43000</v>
      </c>
      <c r="X6036" t="s">
        <v>44910</v>
      </c>
    </row>
    <row r="6037" spans="1:24">
      <c r="A6037">
        <f>HYPERLINK("https://www.philgeps.gov.ph/GEPSNONPILOT/Tender/SplashBidNoticeAbstractUI.aspx?menuIndex=3&amp;refID=7077418&amp;Result=3","7077418")</f>
        <v>0</v>
      </c>
      <c r="B6037" t="s">
        <v>694</v>
      </c>
      <c r="C6037" t="s">
        <v>9286</v>
      </c>
      <c r="D6037" t="s">
        <v>18108</v>
      </c>
      <c r="E6037" t="s">
        <v>23581</v>
      </c>
      <c r="F6037" t="s">
        <v>31362</v>
      </c>
      <c r="G6037" t="s">
        <v>31369</v>
      </c>
      <c r="H6037" t="s">
        <v>15799</v>
      </c>
      <c r="I6037" t="s">
        <v>31393</v>
      </c>
      <c r="J6037" t="s">
        <v>35305</v>
      </c>
      <c r="K6037" t="s">
        <v>40675</v>
      </c>
      <c r="M6037" t="s">
        <v>41657</v>
      </c>
      <c r="N6037" t="s">
        <v>44905</v>
      </c>
      <c r="O6037" t="s">
        <v>44906</v>
      </c>
      <c r="P6037">
        <v>0</v>
      </c>
      <c r="Q6037">
        <v>17</v>
      </c>
      <c r="R6037" t="s">
        <v>44909</v>
      </c>
      <c r="S6037" t="s">
        <v>45060</v>
      </c>
      <c r="T6037" t="s">
        <v>46607</v>
      </c>
      <c r="U6037" t="s">
        <v>48279</v>
      </c>
      <c r="W6037" t="s">
        <v>41657</v>
      </c>
      <c r="X6037" t="s">
        <v>44910</v>
      </c>
    </row>
    <row r="6038" spans="1:24">
      <c r="A6038">
        <f>HYPERLINK("https://www.philgeps.gov.ph/GEPSNONPILOT/Tender/SplashBidNoticeAbstractUI.aspx?menuIndex=3&amp;refID=7077367&amp;Result=3","7077367")</f>
        <v>0</v>
      </c>
      <c r="B6038" t="s">
        <v>1219</v>
      </c>
      <c r="C6038" t="s">
        <v>9287</v>
      </c>
      <c r="E6038" t="s">
        <v>23582</v>
      </c>
      <c r="F6038" t="s">
        <v>31362</v>
      </c>
      <c r="G6038" t="s">
        <v>31369</v>
      </c>
      <c r="H6038" t="s">
        <v>15799</v>
      </c>
      <c r="I6038" t="s">
        <v>7719</v>
      </c>
      <c r="J6038" t="s">
        <v>31667</v>
      </c>
      <c r="K6038" t="s">
        <v>40662</v>
      </c>
      <c r="M6038" t="s">
        <v>42232</v>
      </c>
      <c r="N6038" t="s">
        <v>44905</v>
      </c>
      <c r="O6038" t="s">
        <v>44906</v>
      </c>
      <c r="P6038">
        <v>0</v>
      </c>
      <c r="Q6038">
        <v>6</v>
      </c>
      <c r="R6038" t="s">
        <v>44909</v>
      </c>
      <c r="S6038" t="s">
        <v>45060</v>
      </c>
      <c r="T6038" t="s">
        <v>46715</v>
      </c>
      <c r="U6038" t="s">
        <v>51836</v>
      </c>
      <c r="W6038" t="s">
        <v>42232</v>
      </c>
      <c r="X6038" t="s">
        <v>44910</v>
      </c>
    </row>
    <row r="6039" spans="1:24">
      <c r="A6039">
        <f>HYPERLINK("https://www.philgeps.gov.ph/GEPSNONPILOT/Tender/SplashBidNoticeAbstractUI.aspx?menuIndex=3&amp;refID=7077366&amp;Result=3","7077366")</f>
        <v>0</v>
      </c>
      <c r="B6039" t="s">
        <v>1925</v>
      </c>
      <c r="C6039" t="s">
        <v>9288</v>
      </c>
      <c r="D6039" t="s">
        <v>18160</v>
      </c>
      <c r="E6039" t="s">
        <v>18818</v>
      </c>
      <c r="F6039" t="s">
        <v>31362</v>
      </c>
      <c r="G6039" t="s">
        <v>31368</v>
      </c>
      <c r="H6039" t="s">
        <v>15799</v>
      </c>
      <c r="I6039" t="s">
        <v>7188</v>
      </c>
      <c r="J6039" t="s">
        <v>34565</v>
      </c>
      <c r="K6039" t="s">
        <v>40697</v>
      </c>
      <c r="M6039" t="s">
        <v>43023</v>
      </c>
      <c r="N6039" t="s">
        <v>44905</v>
      </c>
      <c r="O6039" t="s">
        <v>44906</v>
      </c>
      <c r="P6039">
        <v>0</v>
      </c>
      <c r="Q6039">
        <v>1</v>
      </c>
      <c r="R6039" t="s">
        <v>44909</v>
      </c>
      <c r="S6039" t="s">
        <v>45060</v>
      </c>
      <c r="T6039" t="s">
        <v>46416</v>
      </c>
      <c r="U6039" t="s">
        <v>51837</v>
      </c>
      <c r="W6039" t="s">
        <v>43023</v>
      </c>
      <c r="X6039" t="s">
        <v>44910</v>
      </c>
    </row>
    <row r="6040" spans="1:24">
      <c r="A6040">
        <f>HYPERLINK("https://www.philgeps.gov.ph/GEPSNONPILOT/Tender/SplashBidNoticeAbstractUI.aspx?menuIndex=3&amp;refID=7077356&amp;Result=3","7077356")</f>
        <v>0</v>
      </c>
      <c r="B6040" t="s">
        <v>1889</v>
      </c>
      <c r="C6040" t="s">
        <v>9289</v>
      </c>
      <c r="D6040" t="s">
        <v>18124</v>
      </c>
      <c r="E6040" t="s">
        <v>23583</v>
      </c>
      <c r="F6040" t="s">
        <v>31362</v>
      </c>
      <c r="G6040" t="s">
        <v>31371</v>
      </c>
      <c r="H6040" t="s">
        <v>15799</v>
      </c>
      <c r="I6040" t="s">
        <v>6373</v>
      </c>
      <c r="J6040" t="s">
        <v>35306</v>
      </c>
      <c r="K6040" t="s">
        <v>40665</v>
      </c>
      <c r="M6040" t="s">
        <v>42984</v>
      </c>
      <c r="N6040" t="s">
        <v>44905</v>
      </c>
      <c r="O6040" t="s">
        <v>44906</v>
      </c>
      <c r="P6040">
        <v>0</v>
      </c>
      <c r="Q6040">
        <v>2</v>
      </c>
      <c r="R6040" t="s">
        <v>44909</v>
      </c>
      <c r="S6040" t="s">
        <v>45060</v>
      </c>
      <c r="T6040" t="s">
        <v>46443</v>
      </c>
      <c r="U6040" t="s">
        <v>51838</v>
      </c>
      <c r="W6040" t="s">
        <v>42984</v>
      </c>
      <c r="X6040" t="s">
        <v>44910</v>
      </c>
    </row>
    <row r="6041" spans="1:24">
      <c r="A6041">
        <f>HYPERLINK("https://www.philgeps.gov.ph/GEPSNONPILOT/Tender/SplashBidNoticeAbstractUI.aspx?menuIndex=3&amp;refID=7077405&amp;Result=3","7077405")</f>
        <v>0</v>
      </c>
      <c r="B6041" t="s">
        <v>1410</v>
      </c>
      <c r="C6041" t="s">
        <v>9290</v>
      </c>
      <c r="D6041" t="s">
        <v>18108</v>
      </c>
      <c r="E6041" t="s">
        <v>23584</v>
      </c>
      <c r="F6041" t="s">
        <v>31362</v>
      </c>
      <c r="G6041" t="s">
        <v>31368</v>
      </c>
      <c r="H6041" t="s">
        <v>31379</v>
      </c>
      <c r="I6041" t="s">
        <v>31464</v>
      </c>
      <c r="J6041" t="s">
        <v>35304</v>
      </c>
      <c r="K6041" t="s">
        <v>40666</v>
      </c>
      <c r="M6041" t="s">
        <v>42435</v>
      </c>
      <c r="N6041" t="s">
        <v>44905</v>
      </c>
      <c r="O6041" t="s">
        <v>44906</v>
      </c>
      <c r="P6041">
        <v>0</v>
      </c>
      <c r="Q6041">
        <v>2</v>
      </c>
      <c r="R6041" t="s">
        <v>44909</v>
      </c>
      <c r="S6041" t="s">
        <v>45060</v>
      </c>
      <c r="T6041" t="s">
        <v>46414</v>
      </c>
      <c r="U6041" t="s">
        <v>51834</v>
      </c>
      <c r="W6041" t="s">
        <v>42435</v>
      </c>
      <c r="X6041" t="s">
        <v>44910</v>
      </c>
    </row>
    <row r="6042" spans="1:24">
      <c r="A6042">
        <f>HYPERLINK("https://www.philgeps.gov.ph/GEPSNONPILOT/Tender/SplashBidNoticeAbstractUI.aspx?menuIndex=3&amp;refID=7077404&amp;Result=3","7077404")</f>
        <v>0</v>
      </c>
      <c r="B6042" t="s">
        <v>1909</v>
      </c>
      <c r="C6042" t="s">
        <v>9291</v>
      </c>
      <c r="D6042" t="s">
        <v>18125</v>
      </c>
      <c r="E6042" t="s">
        <v>18476</v>
      </c>
      <c r="F6042" t="s">
        <v>31362</v>
      </c>
      <c r="G6042" t="s">
        <v>31368</v>
      </c>
      <c r="H6042" t="s">
        <v>15799</v>
      </c>
      <c r="I6042" t="s">
        <v>31380</v>
      </c>
      <c r="J6042" t="s">
        <v>35307</v>
      </c>
      <c r="K6042" t="s">
        <v>40672</v>
      </c>
      <c r="M6042" t="s">
        <v>43005</v>
      </c>
      <c r="N6042" t="s">
        <v>44905</v>
      </c>
      <c r="O6042" t="s">
        <v>44906</v>
      </c>
      <c r="P6042">
        <v>0</v>
      </c>
      <c r="Q6042">
        <v>2</v>
      </c>
      <c r="R6042" t="s">
        <v>44909</v>
      </c>
      <c r="S6042" t="s">
        <v>45060</v>
      </c>
      <c r="T6042" t="s">
        <v>46408</v>
      </c>
      <c r="U6042" t="s">
        <v>51839</v>
      </c>
      <c r="W6042" t="s">
        <v>43005</v>
      </c>
      <c r="X6042" t="s">
        <v>44910</v>
      </c>
    </row>
    <row r="6043" spans="1:24">
      <c r="A6043">
        <f>HYPERLINK("https://www.philgeps.gov.ph/GEPSNONPILOT/Tender/SplashBidNoticeAbstractUI.aspx?menuIndex=3&amp;refID=7077401&amp;Result=3","7077401")</f>
        <v>0</v>
      </c>
      <c r="B6043" t="s">
        <v>1919</v>
      </c>
      <c r="C6043" t="s">
        <v>9292</v>
      </c>
      <c r="D6043" t="s">
        <v>18125</v>
      </c>
      <c r="E6043" t="s">
        <v>20138</v>
      </c>
      <c r="F6043" t="s">
        <v>31362</v>
      </c>
      <c r="G6043" t="s">
        <v>31369</v>
      </c>
      <c r="H6043" t="s">
        <v>15799</v>
      </c>
      <c r="I6043" t="s">
        <v>31400</v>
      </c>
      <c r="J6043" t="s">
        <v>31522</v>
      </c>
      <c r="K6043" t="s">
        <v>40666</v>
      </c>
      <c r="M6043" t="s">
        <v>43016</v>
      </c>
      <c r="N6043" t="s">
        <v>44905</v>
      </c>
      <c r="O6043" t="s">
        <v>44906</v>
      </c>
      <c r="P6043">
        <v>0</v>
      </c>
      <c r="Q6043">
        <v>1</v>
      </c>
      <c r="R6043" t="s">
        <v>44909</v>
      </c>
      <c r="S6043" t="s">
        <v>45060</v>
      </c>
      <c r="T6043" t="s">
        <v>46415</v>
      </c>
      <c r="U6043" t="s">
        <v>51840</v>
      </c>
      <c r="W6043" t="s">
        <v>43016</v>
      </c>
      <c r="X6043" t="s">
        <v>44910</v>
      </c>
    </row>
    <row r="6044" spans="1:24">
      <c r="A6044">
        <f>HYPERLINK("https://www.philgeps.gov.ph/GEPSNONPILOT/Tender/SplashBidNoticeAbstractUI.aspx?menuIndex=3&amp;refID=7077400&amp;Result=3","7077400")</f>
        <v>0</v>
      </c>
      <c r="B6044" t="s">
        <v>57</v>
      </c>
      <c r="C6044" t="s">
        <v>9293</v>
      </c>
      <c r="D6044" t="s">
        <v>18120</v>
      </c>
      <c r="E6044" t="s">
        <v>23585</v>
      </c>
      <c r="F6044" t="s">
        <v>31362</v>
      </c>
      <c r="G6044" t="s">
        <v>31368</v>
      </c>
      <c r="H6044" t="s">
        <v>15799</v>
      </c>
      <c r="I6044" t="s">
        <v>31414</v>
      </c>
      <c r="J6044" t="s">
        <v>35308</v>
      </c>
      <c r="K6044" t="s">
        <v>40661</v>
      </c>
      <c r="M6044" t="s">
        <v>43028</v>
      </c>
      <c r="N6044" t="s">
        <v>44905</v>
      </c>
      <c r="O6044" t="s">
        <v>44906</v>
      </c>
      <c r="P6044">
        <v>0</v>
      </c>
      <c r="Q6044">
        <v>1</v>
      </c>
      <c r="R6044" t="s">
        <v>44909</v>
      </c>
      <c r="S6044" t="s">
        <v>45060</v>
      </c>
      <c r="T6044" t="s">
        <v>46438</v>
      </c>
      <c r="U6044" t="s">
        <v>51841</v>
      </c>
      <c r="W6044" t="s">
        <v>43028</v>
      </c>
      <c r="X6044" t="s">
        <v>44910</v>
      </c>
    </row>
    <row r="6045" spans="1:24">
      <c r="A6045">
        <f>HYPERLINK("https://www.philgeps.gov.ph/GEPSNONPILOT/Tender/SplashBidNoticeAbstractUI.aspx?menuIndex=3&amp;refID=7077384&amp;Result=3","7077384")</f>
        <v>0</v>
      </c>
      <c r="B6045" t="s">
        <v>1115</v>
      </c>
      <c r="C6045" t="s">
        <v>9294</v>
      </c>
      <c r="D6045" t="s">
        <v>18104</v>
      </c>
      <c r="E6045" t="s">
        <v>23586</v>
      </c>
      <c r="F6045" t="s">
        <v>31362</v>
      </c>
      <c r="G6045" t="s">
        <v>31368</v>
      </c>
      <c r="H6045" t="s">
        <v>31378</v>
      </c>
      <c r="I6045" t="s">
        <v>31386</v>
      </c>
      <c r="J6045" t="s">
        <v>32549</v>
      </c>
      <c r="K6045" t="s">
        <v>40746</v>
      </c>
      <c r="M6045" t="s">
        <v>42977</v>
      </c>
      <c r="N6045" t="s">
        <v>44905</v>
      </c>
      <c r="O6045" t="s">
        <v>44906</v>
      </c>
      <c r="P6045">
        <v>0</v>
      </c>
      <c r="Q6045">
        <v>0</v>
      </c>
      <c r="R6045" t="s">
        <v>44909</v>
      </c>
      <c r="S6045" t="s">
        <v>45060</v>
      </c>
      <c r="T6045" t="s">
        <v>46470</v>
      </c>
      <c r="U6045" t="s">
        <v>51842</v>
      </c>
      <c r="W6045" t="s">
        <v>42977</v>
      </c>
      <c r="X6045" t="s">
        <v>44910</v>
      </c>
    </row>
    <row r="6046" spans="1:24">
      <c r="A6046">
        <f>HYPERLINK("https://www.philgeps.gov.ph/GEPSNONPILOT/Tender/SplashBidNoticeAbstractUI.aspx?menuIndex=3&amp;refID=7077399&amp;Result=3","7077399")</f>
        <v>0</v>
      </c>
      <c r="B6046" t="s">
        <v>687</v>
      </c>
      <c r="C6046" t="s">
        <v>9295</v>
      </c>
      <c r="D6046" t="s">
        <v>18109</v>
      </c>
      <c r="E6046" t="s">
        <v>23587</v>
      </c>
      <c r="F6046" t="s">
        <v>31364</v>
      </c>
      <c r="G6046" t="s">
        <v>31370</v>
      </c>
      <c r="H6046" t="s">
        <v>31377</v>
      </c>
      <c r="I6046" t="s">
        <v>31388</v>
      </c>
      <c r="J6046" t="s">
        <v>32831</v>
      </c>
      <c r="K6046" t="s">
        <v>40712</v>
      </c>
      <c r="M6046" t="s">
        <v>43029</v>
      </c>
      <c r="N6046" t="s">
        <v>44905</v>
      </c>
      <c r="O6046" t="s">
        <v>44906</v>
      </c>
      <c r="P6046">
        <v>0</v>
      </c>
      <c r="Q6046">
        <v>0</v>
      </c>
      <c r="R6046" t="s">
        <v>44909</v>
      </c>
      <c r="S6046" t="s">
        <v>45060</v>
      </c>
      <c r="T6046" t="s">
        <v>46520</v>
      </c>
      <c r="U6046" t="s">
        <v>51843</v>
      </c>
      <c r="W6046" t="s">
        <v>41649</v>
      </c>
      <c r="X6046" t="s">
        <v>44910</v>
      </c>
    </row>
    <row r="6047" spans="1:24">
      <c r="A6047">
        <f>HYPERLINK("https://www.philgeps.gov.ph/GEPSNONPILOT/Tender/SplashBidNoticeAbstractUI.aspx?menuIndex=3&amp;refID=7077398&amp;Result=3","7077398")</f>
        <v>0</v>
      </c>
      <c r="B6047" t="s">
        <v>828</v>
      </c>
      <c r="C6047" t="s">
        <v>9296</v>
      </c>
      <c r="D6047" t="s">
        <v>18148</v>
      </c>
      <c r="E6047" t="s">
        <v>22970</v>
      </c>
      <c r="F6047" t="s">
        <v>31362</v>
      </c>
      <c r="G6047" t="s">
        <v>31369</v>
      </c>
      <c r="H6047" t="s">
        <v>31378</v>
      </c>
      <c r="I6047" t="s">
        <v>31386</v>
      </c>
      <c r="J6047" t="s">
        <v>31530</v>
      </c>
      <c r="K6047" t="s">
        <v>40662</v>
      </c>
      <c r="M6047" t="s">
        <v>41802</v>
      </c>
      <c r="N6047" t="s">
        <v>44905</v>
      </c>
      <c r="O6047" t="s">
        <v>44906</v>
      </c>
      <c r="P6047">
        <v>0</v>
      </c>
      <c r="Q6047">
        <v>0</v>
      </c>
      <c r="R6047" t="s">
        <v>44909</v>
      </c>
      <c r="S6047" t="s">
        <v>45060</v>
      </c>
      <c r="T6047" t="s">
        <v>46391</v>
      </c>
      <c r="U6047" t="s">
        <v>51844</v>
      </c>
      <c r="W6047" t="s">
        <v>41802</v>
      </c>
      <c r="X6047" t="s">
        <v>44910</v>
      </c>
    </row>
    <row r="6048" spans="1:24">
      <c r="A6048">
        <f>HYPERLINK("https://www.philgeps.gov.ph/GEPSNONPILOT/Tender/SplashBidNoticeAbstractUI.aspx?menuIndex=3&amp;refID=7077396&amp;Result=3","7077396")</f>
        <v>0</v>
      </c>
      <c r="B6048" t="s">
        <v>1158</v>
      </c>
      <c r="C6048" t="s">
        <v>9297</v>
      </c>
      <c r="D6048" t="s">
        <v>18120</v>
      </c>
      <c r="E6048" t="s">
        <v>23588</v>
      </c>
      <c r="F6048" t="s">
        <v>31362</v>
      </c>
      <c r="G6048" t="s">
        <v>31368</v>
      </c>
      <c r="H6048" t="s">
        <v>15799</v>
      </c>
      <c r="I6048" t="s">
        <v>4057</v>
      </c>
      <c r="J6048" t="s">
        <v>35303</v>
      </c>
      <c r="K6048" t="s">
        <v>40662</v>
      </c>
      <c r="M6048" t="s">
        <v>42167</v>
      </c>
      <c r="N6048" t="s">
        <v>44905</v>
      </c>
      <c r="O6048" t="s">
        <v>44906</v>
      </c>
      <c r="P6048">
        <v>0</v>
      </c>
      <c r="Q6048">
        <v>0</v>
      </c>
      <c r="R6048" t="s">
        <v>44909</v>
      </c>
      <c r="S6048" t="s">
        <v>45060</v>
      </c>
      <c r="T6048" t="s">
        <v>46482</v>
      </c>
      <c r="U6048" t="s">
        <v>51845</v>
      </c>
      <c r="W6048" t="s">
        <v>42167</v>
      </c>
      <c r="X6048" t="s">
        <v>44910</v>
      </c>
    </row>
    <row r="6049" spans="1:24">
      <c r="A6049">
        <f>HYPERLINK("https://www.philgeps.gov.ph/GEPSNONPILOT/Tender/SplashBidNoticeAbstractUI.aspx?menuIndex=3&amp;refID=7077394&amp;Result=3","7077394")</f>
        <v>0</v>
      </c>
      <c r="B6049" t="s">
        <v>1930</v>
      </c>
      <c r="C6049" t="s">
        <v>9298</v>
      </c>
      <c r="D6049" t="s">
        <v>18154</v>
      </c>
      <c r="E6049" t="s">
        <v>23589</v>
      </c>
      <c r="F6049" t="s">
        <v>31363</v>
      </c>
      <c r="G6049" t="s">
        <v>31369</v>
      </c>
      <c r="H6049" t="s">
        <v>31378</v>
      </c>
      <c r="I6049" t="s">
        <v>31386</v>
      </c>
      <c r="J6049" t="s">
        <v>31625</v>
      </c>
      <c r="K6049" t="s">
        <v>40675</v>
      </c>
      <c r="M6049" t="s">
        <v>43030</v>
      </c>
      <c r="N6049" t="s">
        <v>44905</v>
      </c>
      <c r="O6049" t="s">
        <v>44906</v>
      </c>
      <c r="P6049">
        <v>0</v>
      </c>
      <c r="Q6049">
        <v>0</v>
      </c>
      <c r="R6049" t="s">
        <v>44909</v>
      </c>
      <c r="S6049" t="s">
        <v>45060</v>
      </c>
      <c r="T6049" t="s">
        <v>46519</v>
      </c>
      <c r="U6049" t="s">
        <v>51846</v>
      </c>
      <c r="W6049" t="s">
        <v>43030</v>
      </c>
      <c r="X6049" t="s">
        <v>44910</v>
      </c>
    </row>
    <row r="6050" spans="1:24">
      <c r="A6050">
        <f>HYPERLINK("https://www.philgeps.gov.ph/GEPSNONPILOT/Tender/SplashBidNoticeAbstractUI.aspx?menuIndex=3&amp;refID=7077393&amp;Result=3","7077393")</f>
        <v>0</v>
      </c>
      <c r="B6050" t="s">
        <v>325</v>
      </c>
      <c r="C6050" t="s">
        <v>9299</v>
      </c>
      <c r="E6050" t="s">
        <v>23590</v>
      </c>
      <c r="F6050" t="s">
        <v>31362</v>
      </c>
      <c r="G6050" t="s">
        <v>31368</v>
      </c>
      <c r="H6050" t="s">
        <v>15799</v>
      </c>
      <c r="I6050" t="s">
        <v>31385</v>
      </c>
      <c r="J6050" t="s">
        <v>31545</v>
      </c>
      <c r="K6050" t="s">
        <v>40662</v>
      </c>
      <c r="M6050" t="s">
        <v>41271</v>
      </c>
      <c r="N6050" t="s">
        <v>44905</v>
      </c>
      <c r="O6050" t="s">
        <v>44906</v>
      </c>
      <c r="P6050">
        <v>0</v>
      </c>
      <c r="Q6050">
        <v>5</v>
      </c>
      <c r="R6050" t="s">
        <v>44909</v>
      </c>
      <c r="S6050" t="s">
        <v>45060</v>
      </c>
      <c r="T6050" t="s">
        <v>46394</v>
      </c>
      <c r="U6050" t="s">
        <v>51847</v>
      </c>
      <c r="W6050" t="s">
        <v>41271</v>
      </c>
      <c r="X6050" t="s">
        <v>44910</v>
      </c>
    </row>
    <row r="6051" spans="1:24">
      <c r="A6051">
        <f>HYPERLINK("https://www.philgeps.gov.ph/GEPSNONPILOT/Tender/SplashBidNoticeAbstractUI.aspx?menuIndex=3&amp;refID=7077390&amp;Result=3","7077390")</f>
        <v>0</v>
      </c>
      <c r="B6051" t="s">
        <v>284</v>
      </c>
      <c r="C6051" t="s">
        <v>9300</v>
      </c>
      <c r="D6051" t="s">
        <v>18126</v>
      </c>
      <c r="E6051" t="s">
        <v>23591</v>
      </c>
      <c r="F6051" t="s">
        <v>31362</v>
      </c>
      <c r="G6051" t="s">
        <v>31368</v>
      </c>
      <c r="H6051" t="s">
        <v>15799</v>
      </c>
      <c r="I6051" t="s">
        <v>7090</v>
      </c>
      <c r="J6051" t="s">
        <v>35309</v>
      </c>
      <c r="K6051" t="s">
        <v>40665</v>
      </c>
      <c r="M6051" t="s">
        <v>43031</v>
      </c>
      <c r="N6051" t="s">
        <v>44905</v>
      </c>
      <c r="O6051" t="s">
        <v>44906</v>
      </c>
      <c r="P6051">
        <v>0</v>
      </c>
      <c r="Q6051">
        <v>4</v>
      </c>
      <c r="R6051" t="s">
        <v>44909</v>
      </c>
      <c r="S6051" t="s">
        <v>45060</v>
      </c>
      <c r="T6051" t="s">
        <v>46409</v>
      </c>
      <c r="U6051" t="s">
        <v>51848</v>
      </c>
      <c r="W6051" t="s">
        <v>43031</v>
      </c>
      <c r="X6051" t="s">
        <v>44910</v>
      </c>
    </row>
    <row r="6052" spans="1:24">
      <c r="A6052">
        <f>HYPERLINK("https://www.philgeps.gov.ph/GEPSNONPILOT/Tender/SplashBidNoticeAbstractUI.aspx?menuIndex=3&amp;refID=7077389&amp;Result=3","7077389")</f>
        <v>0</v>
      </c>
      <c r="B6052" t="s">
        <v>1863</v>
      </c>
      <c r="C6052" t="s">
        <v>9301</v>
      </c>
      <c r="D6052" t="s">
        <v>18122</v>
      </c>
      <c r="E6052" t="s">
        <v>23592</v>
      </c>
      <c r="F6052" t="s">
        <v>31362</v>
      </c>
      <c r="G6052" t="s">
        <v>31368</v>
      </c>
      <c r="H6052" t="s">
        <v>15799</v>
      </c>
      <c r="I6052" t="s">
        <v>31466</v>
      </c>
      <c r="J6052" t="s">
        <v>31890</v>
      </c>
      <c r="K6052" t="s">
        <v>40665</v>
      </c>
      <c r="M6052" t="s">
        <v>42953</v>
      </c>
      <c r="N6052" t="s">
        <v>44905</v>
      </c>
      <c r="O6052" t="s">
        <v>44906</v>
      </c>
      <c r="P6052">
        <v>0</v>
      </c>
      <c r="Q6052">
        <v>0</v>
      </c>
      <c r="R6052" t="s">
        <v>44909</v>
      </c>
      <c r="S6052" t="s">
        <v>45060</v>
      </c>
      <c r="T6052" t="s">
        <v>46414</v>
      </c>
      <c r="U6052" t="s">
        <v>51849</v>
      </c>
      <c r="W6052" t="s">
        <v>42953</v>
      </c>
      <c r="X6052" t="s">
        <v>44910</v>
      </c>
    </row>
    <row r="6053" spans="1:24">
      <c r="A6053">
        <f>HYPERLINK("https://www.philgeps.gov.ph/GEPSNONPILOT/Tender/SplashBidNoticeAbstractUI.aspx?menuIndex=3&amp;refID=7077388&amp;Result=3","7077388")</f>
        <v>0</v>
      </c>
      <c r="B6053" t="s">
        <v>1709</v>
      </c>
      <c r="C6053" t="s">
        <v>9302</v>
      </c>
      <c r="D6053" t="s">
        <v>18136</v>
      </c>
      <c r="E6053" t="s">
        <v>23593</v>
      </c>
      <c r="F6053" t="s">
        <v>31362</v>
      </c>
      <c r="G6053" t="s">
        <v>31368</v>
      </c>
      <c r="H6053" t="s">
        <v>15799</v>
      </c>
      <c r="I6053" t="s">
        <v>3815</v>
      </c>
      <c r="J6053" t="s">
        <v>35310</v>
      </c>
      <c r="K6053" t="s">
        <v>40666</v>
      </c>
      <c r="M6053" t="s">
        <v>42777</v>
      </c>
      <c r="N6053" t="s">
        <v>44905</v>
      </c>
      <c r="O6053" t="s">
        <v>44906</v>
      </c>
      <c r="P6053">
        <v>0</v>
      </c>
      <c r="Q6053">
        <v>0</v>
      </c>
      <c r="R6053" t="s">
        <v>44909</v>
      </c>
      <c r="S6053" t="s">
        <v>45060</v>
      </c>
      <c r="T6053" t="s">
        <v>46549</v>
      </c>
      <c r="U6053" t="s">
        <v>51850</v>
      </c>
      <c r="W6053" t="s">
        <v>42777</v>
      </c>
      <c r="X6053" t="s">
        <v>44910</v>
      </c>
    </row>
    <row r="6054" spans="1:24">
      <c r="A6054">
        <f>HYPERLINK("https://www.philgeps.gov.ph/GEPSNONPILOT/Tender/SplashBidNoticeAbstractUI.aspx?menuIndex=3&amp;refID=7077364&amp;Result=3","7077364")</f>
        <v>0</v>
      </c>
      <c r="B6054" t="s">
        <v>828</v>
      </c>
      <c r="C6054" t="s">
        <v>9303</v>
      </c>
      <c r="D6054" t="s">
        <v>18148</v>
      </c>
      <c r="E6054" t="s">
        <v>23594</v>
      </c>
      <c r="F6054" t="s">
        <v>31362</v>
      </c>
      <c r="G6054" t="s">
        <v>31369</v>
      </c>
      <c r="H6054" t="s">
        <v>31378</v>
      </c>
      <c r="I6054" t="s">
        <v>31386</v>
      </c>
      <c r="J6054" t="s">
        <v>31530</v>
      </c>
      <c r="K6054" t="s">
        <v>40662</v>
      </c>
      <c r="M6054" t="s">
        <v>41802</v>
      </c>
      <c r="N6054" t="s">
        <v>44905</v>
      </c>
      <c r="O6054" t="s">
        <v>44906</v>
      </c>
      <c r="P6054">
        <v>0</v>
      </c>
      <c r="Q6054">
        <v>0</v>
      </c>
      <c r="R6054" t="s">
        <v>44909</v>
      </c>
      <c r="S6054" t="s">
        <v>45060</v>
      </c>
      <c r="T6054" t="s">
        <v>46391</v>
      </c>
      <c r="U6054" t="s">
        <v>51851</v>
      </c>
      <c r="W6054" t="s">
        <v>41802</v>
      </c>
      <c r="X6054" t="s">
        <v>44910</v>
      </c>
    </row>
    <row r="6055" spans="1:24">
      <c r="A6055">
        <f>HYPERLINK("https://www.philgeps.gov.ph/GEPSNONPILOT/Tender/SplashBidNoticeAbstractUI.aspx?menuIndex=3&amp;refID=7077362&amp;Result=3","7077362")</f>
        <v>0</v>
      </c>
      <c r="B6055" t="s">
        <v>365</v>
      </c>
      <c r="C6055" t="s">
        <v>9304</v>
      </c>
      <c r="D6055" t="s">
        <v>18126</v>
      </c>
      <c r="E6055" t="s">
        <v>23595</v>
      </c>
      <c r="F6055" t="s">
        <v>31362</v>
      </c>
      <c r="G6055" t="s">
        <v>31369</v>
      </c>
      <c r="H6055" t="s">
        <v>15799</v>
      </c>
      <c r="I6055" t="s">
        <v>31436</v>
      </c>
      <c r="J6055" t="s">
        <v>35311</v>
      </c>
      <c r="K6055" t="s">
        <v>40745</v>
      </c>
      <c r="M6055" t="s">
        <v>41312</v>
      </c>
      <c r="N6055" t="s">
        <v>44905</v>
      </c>
      <c r="O6055" t="s">
        <v>44906</v>
      </c>
      <c r="P6055">
        <v>0</v>
      </c>
      <c r="Q6055">
        <v>3</v>
      </c>
      <c r="R6055" t="s">
        <v>44909</v>
      </c>
      <c r="S6055" t="s">
        <v>45060</v>
      </c>
      <c r="T6055" t="s">
        <v>46671</v>
      </c>
      <c r="U6055" t="s">
        <v>51798</v>
      </c>
      <c r="V6055" t="s">
        <v>59624</v>
      </c>
      <c r="W6055" t="s">
        <v>41312</v>
      </c>
      <c r="X6055" t="s">
        <v>44910</v>
      </c>
    </row>
    <row r="6056" spans="1:24">
      <c r="A6056">
        <f>HYPERLINK("https://www.philgeps.gov.ph/GEPSNONPILOT/Tender/SplashBidNoticeAbstractUI.aspx?menuIndex=3&amp;refID=7077360&amp;Result=3","7077360")</f>
        <v>0</v>
      </c>
      <c r="B6056" t="s">
        <v>1680</v>
      </c>
      <c r="C6056" t="s">
        <v>9305</v>
      </c>
      <c r="D6056" t="s">
        <v>18144</v>
      </c>
      <c r="E6056" t="s">
        <v>22780</v>
      </c>
      <c r="F6056" t="s">
        <v>31362</v>
      </c>
      <c r="G6056" t="s">
        <v>31370</v>
      </c>
      <c r="H6056" t="s">
        <v>15799</v>
      </c>
      <c r="I6056" t="s">
        <v>7188</v>
      </c>
      <c r="J6056" t="s">
        <v>35312</v>
      </c>
      <c r="K6056" t="s">
        <v>40662</v>
      </c>
      <c r="M6056" t="s">
        <v>42745</v>
      </c>
      <c r="N6056" t="s">
        <v>44905</v>
      </c>
      <c r="O6056" t="s">
        <v>44906</v>
      </c>
      <c r="P6056">
        <v>0</v>
      </c>
      <c r="Q6056">
        <v>0</v>
      </c>
      <c r="R6056" t="s">
        <v>44909</v>
      </c>
      <c r="S6056" t="s">
        <v>45060</v>
      </c>
      <c r="T6056" t="s">
        <v>46534</v>
      </c>
      <c r="U6056" t="s">
        <v>51852</v>
      </c>
      <c r="V6056" t="s">
        <v>59628</v>
      </c>
      <c r="W6056" t="s">
        <v>42745</v>
      </c>
      <c r="X6056" t="s">
        <v>44910</v>
      </c>
    </row>
    <row r="6057" spans="1:24">
      <c r="A6057">
        <f>HYPERLINK("https://www.philgeps.gov.ph/GEPSNONPILOT/Tender/SplashBidNoticeAbstractUI.aspx?menuIndex=3&amp;refID=7077358&amp;Result=3","7077358")</f>
        <v>0</v>
      </c>
      <c r="B6057" t="s">
        <v>472</v>
      </c>
      <c r="C6057" t="s">
        <v>9306</v>
      </c>
      <c r="D6057" t="s">
        <v>18134</v>
      </c>
      <c r="E6057" t="s">
        <v>23596</v>
      </c>
      <c r="F6057" t="s">
        <v>31362</v>
      </c>
      <c r="G6057" t="s">
        <v>31368</v>
      </c>
      <c r="H6057" t="s">
        <v>15799</v>
      </c>
      <c r="I6057" t="s">
        <v>31414</v>
      </c>
      <c r="J6057" t="s">
        <v>32340</v>
      </c>
      <c r="K6057" t="s">
        <v>40718</v>
      </c>
      <c r="M6057" t="s">
        <v>42842</v>
      </c>
      <c r="N6057" t="s">
        <v>44905</v>
      </c>
      <c r="O6057" t="s">
        <v>44906</v>
      </c>
      <c r="P6057">
        <v>0</v>
      </c>
      <c r="Q6057">
        <v>4</v>
      </c>
      <c r="R6057" t="s">
        <v>44909</v>
      </c>
      <c r="S6057" t="s">
        <v>45060</v>
      </c>
      <c r="T6057" t="s">
        <v>46454</v>
      </c>
      <c r="U6057" t="s">
        <v>51853</v>
      </c>
      <c r="W6057" t="s">
        <v>42842</v>
      </c>
      <c r="X6057" t="s">
        <v>44910</v>
      </c>
    </row>
    <row r="6058" spans="1:24">
      <c r="A6058">
        <f>HYPERLINK("https://www.philgeps.gov.ph/GEPSNONPILOT/Tender/SplashBidNoticeAbstractUI.aspx?menuIndex=3&amp;refID=7077397&amp;Result=3","7077397")</f>
        <v>0</v>
      </c>
      <c r="B6058" t="s">
        <v>1912</v>
      </c>
      <c r="C6058" t="s">
        <v>9307</v>
      </c>
      <c r="D6058" t="s">
        <v>18108</v>
      </c>
      <c r="E6058" t="s">
        <v>23597</v>
      </c>
      <c r="F6058" t="s">
        <v>31362</v>
      </c>
      <c r="G6058" t="s">
        <v>31369</v>
      </c>
      <c r="H6058" t="s">
        <v>15799</v>
      </c>
      <c r="I6058" t="s">
        <v>31385</v>
      </c>
      <c r="J6058" t="s">
        <v>35313</v>
      </c>
      <c r="K6058" t="s">
        <v>40661</v>
      </c>
      <c r="M6058" t="s">
        <v>43008</v>
      </c>
      <c r="N6058" t="s">
        <v>44905</v>
      </c>
      <c r="O6058" t="s">
        <v>44906</v>
      </c>
      <c r="P6058">
        <v>0</v>
      </c>
      <c r="Q6058">
        <v>4</v>
      </c>
      <c r="R6058" t="s">
        <v>44909</v>
      </c>
      <c r="S6058" t="s">
        <v>45060</v>
      </c>
      <c r="T6058" t="s">
        <v>46717</v>
      </c>
      <c r="U6058" t="s">
        <v>51754</v>
      </c>
      <c r="W6058" t="s">
        <v>43008</v>
      </c>
      <c r="X6058" t="s">
        <v>44910</v>
      </c>
    </row>
    <row r="6059" spans="1:24">
      <c r="A6059">
        <f>HYPERLINK("https://www.philgeps.gov.ph/GEPSNONPILOT/Tender/SplashBidNoticeAbstractUI.aspx?menuIndex=3&amp;refID=7077330&amp;Result=3","7077330")</f>
        <v>0</v>
      </c>
      <c r="B6059" t="s">
        <v>472</v>
      </c>
      <c r="C6059" t="s">
        <v>9308</v>
      </c>
      <c r="D6059" t="s">
        <v>18134</v>
      </c>
      <c r="E6059" t="s">
        <v>23598</v>
      </c>
      <c r="F6059" t="s">
        <v>31362</v>
      </c>
      <c r="G6059" t="s">
        <v>31368</v>
      </c>
      <c r="H6059" t="s">
        <v>15799</v>
      </c>
      <c r="I6059" t="s">
        <v>31404</v>
      </c>
      <c r="J6059" t="s">
        <v>32090</v>
      </c>
      <c r="K6059" t="s">
        <v>40677</v>
      </c>
      <c r="M6059" t="s">
        <v>42842</v>
      </c>
      <c r="N6059" t="s">
        <v>44905</v>
      </c>
      <c r="O6059" t="s">
        <v>44906</v>
      </c>
      <c r="P6059">
        <v>0</v>
      </c>
      <c r="Q6059">
        <v>0</v>
      </c>
      <c r="R6059" t="s">
        <v>44909</v>
      </c>
      <c r="S6059" t="s">
        <v>45060</v>
      </c>
      <c r="T6059" t="s">
        <v>46454</v>
      </c>
      <c r="U6059" t="s">
        <v>51854</v>
      </c>
      <c r="W6059" t="s">
        <v>42842</v>
      </c>
      <c r="X6059" t="s">
        <v>44910</v>
      </c>
    </row>
    <row r="6060" spans="1:24">
      <c r="A6060">
        <f>HYPERLINK("https://www.philgeps.gov.ph/GEPSNONPILOT/Tender/SplashBidNoticeAbstractUI.aspx?menuIndex=3&amp;refID=7077407&amp;Result=3","7077407")</f>
        <v>0</v>
      </c>
      <c r="B6060" t="s">
        <v>1931</v>
      </c>
      <c r="C6060" t="s">
        <v>9309</v>
      </c>
      <c r="D6060" t="s">
        <v>18120</v>
      </c>
      <c r="E6060" t="s">
        <v>23599</v>
      </c>
      <c r="F6060" t="s">
        <v>31362</v>
      </c>
      <c r="G6060" t="s">
        <v>31369</v>
      </c>
      <c r="H6060" t="s">
        <v>15799</v>
      </c>
      <c r="I6060" t="s">
        <v>3815</v>
      </c>
      <c r="J6060" t="s">
        <v>35314</v>
      </c>
      <c r="K6060" t="s">
        <v>40661</v>
      </c>
      <c r="M6060" t="s">
        <v>43032</v>
      </c>
      <c r="N6060" t="s">
        <v>44905</v>
      </c>
      <c r="O6060" t="s">
        <v>44906</v>
      </c>
      <c r="P6060">
        <v>0</v>
      </c>
      <c r="Q6060">
        <v>1</v>
      </c>
      <c r="R6060" t="s">
        <v>44909</v>
      </c>
      <c r="S6060" t="s">
        <v>45060</v>
      </c>
      <c r="T6060" t="s">
        <v>46417</v>
      </c>
      <c r="U6060" t="s">
        <v>51855</v>
      </c>
      <c r="W6060" t="s">
        <v>43032</v>
      </c>
      <c r="X6060" t="s">
        <v>44910</v>
      </c>
    </row>
    <row r="6061" spans="1:24">
      <c r="A6061">
        <f>HYPERLINK("https://www.philgeps.gov.ph/GEPSNONPILOT/Tender/SplashBidNoticeAbstractUI.aspx?menuIndex=3&amp;refID=7077392&amp;Result=3","7077392")</f>
        <v>0</v>
      </c>
      <c r="B6061" t="s">
        <v>1835</v>
      </c>
      <c r="C6061" t="s">
        <v>9310</v>
      </c>
      <c r="D6061" t="s">
        <v>18127</v>
      </c>
      <c r="E6061" t="s">
        <v>23600</v>
      </c>
      <c r="F6061" t="s">
        <v>31362</v>
      </c>
      <c r="G6061" t="s">
        <v>31368</v>
      </c>
      <c r="H6061" t="s">
        <v>15799</v>
      </c>
      <c r="I6061" t="s">
        <v>31393</v>
      </c>
      <c r="J6061" t="s">
        <v>35315</v>
      </c>
      <c r="K6061" t="s">
        <v>40670</v>
      </c>
      <c r="M6061" t="s">
        <v>43033</v>
      </c>
      <c r="N6061" t="s">
        <v>44905</v>
      </c>
      <c r="O6061" t="s">
        <v>44906</v>
      </c>
      <c r="P6061">
        <v>0</v>
      </c>
      <c r="Q6061">
        <v>8</v>
      </c>
      <c r="R6061" t="s">
        <v>44909</v>
      </c>
      <c r="S6061" t="s">
        <v>45060</v>
      </c>
      <c r="T6061" t="s">
        <v>46454</v>
      </c>
      <c r="U6061" t="s">
        <v>51856</v>
      </c>
      <c r="W6061" t="s">
        <v>43033</v>
      </c>
      <c r="X6061" t="s">
        <v>44910</v>
      </c>
    </row>
    <row r="6062" spans="1:24">
      <c r="A6062">
        <f>HYPERLINK("https://www.philgeps.gov.ph/GEPSNONPILOT/Tender/SplashBidNoticeAbstractUI.aspx?menuIndex=3&amp;refID=7077328&amp;Result=3","7077328")</f>
        <v>0</v>
      </c>
      <c r="B6062" t="s">
        <v>1932</v>
      </c>
      <c r="C6062" t="s">
        <v>9311</v>
      </c>
      <c r="E6062" t="s">
        <v>23601</v>
      </c>
      <c r="F6062" t="s">
        <v>31362</v>
      </c>
      <c r="G6062" t="s">
        <v>31370</v>
      </c>
      <c r="H6062" t="s">
        <v>15799</v>
      </c>
      <c r="I6062" t="s">
        <v>31380</v>
      </c>
      <c r="J6062" t="s">
        <v>34071</v>
      </c>
      <c r="K6062" t="s">
        <v>40662</v>
      </c>
      <c r="M6062" t="s">
        <v>43034</v>
      </c>
      <c r="N6062" t="s">
        <v>44905</v>
      </c>
      <c r="O6062" t="s">
        <v>44906</v>
      </c>
      <c r="P6062">
        <v>0</v>
      </c>
      <c r="Q6062">
        <v>8</v>
      </c>
      <c r="R6062" t="s">
        <v>44909</v>
      </c>
      <c r="S6062" t="s">
        <v>45060</v>
      </c>
      <c r="T6062" t="s">
        <v>46446</v>
      </c>
      <c r="U6062" t="s">
        <v>51857</v>
      </c>
      <c r="W6062" t="s">
        <v>43034</v>
      </c>
      <c r="X6062" t="s">
        <v>44910</v>
      </c>
    </row>
    <row r="6063" spans="1:24">
      <c r="A6063">
        <f>HYPERLINK("https://www.philgeps.gov.ph/GEPSNONPILOT/Tender/SplashBidNoticeAbstractUI.aspx?menuIndex=3&amp;refID=7077278&amp;Result=3","7077278")</f>
        <v>0</v>
      </c>
      <c r="B6063" t="s">
        <v>1521</v>
      </c>
      <c r="C6063" t="s">
        <v>9312</v>
      </c>
      <c r="D6063" t="s">
        <v>18107</v>
      </c>
      <c r="E6063" t="s">
        <v>22729</v>
      </c>
      <c r="F6063" t="s">
        <v>31362</v>
      </c>
      <c r="G6063" t="s">
        <v>31369</v>
      </c>
      <c r="H6063" t="s">
        <v>15799</v>
      </c>
      <c r="I6063" t="s">
        <v>31385</v>
      </c>
      <c r="J6063" t="s">
        <v>35316</v>
      </c>
      <c r="K6063" t="s">
        <v>40665</v>
      </c>
      <c r="M6063" t="s">
        <v>42565</v>
      </c>
      <c r="N6063" t="s">
        <v>44905</v>
      </c>
      <c r="O6063" t="s">
        <v>44906</v>
      </c>
      <c r="P6063">
        <v>0</v>
      </c>
      <c r="Q6063">
        <v>2</v>
      </c>
      <c r="R6063" t="s">
        <v>44909</v>
      </c>
      <c r="S6063" t="s">
        <v>45060</v>
      </c>
      <c r="T6063" t="s">
        <v>46549</v>
      </c>
      <c r="U6063" t="s">
        <v>51858</v>
      </c>
      <c r="W6063" t="s">
        <v>42565</v>
      </c>
      <c r="X6063" t="s">
        <v>44910</v>
      </c>
    </row>
    <row r="6064" spans="1:24">
      <c r="A6064">
        <f>HYPERLINK("https://www.philgeps.gov.ph/GEPSNONPILOT/Tender/SplashBidNoticeAbstractUI.aspx?menuIndex=3&amp;refID=7077275&amp;Result=3","7077275")</f>
        <v>0</v>
      </c>
      <c r="B6064" t="s">
        <v>1158</v>
      </c>
      <c r="C6064" t="s">
        <v>9313</v>
      </c>
      <c r="D6064" t="s">
        <v>18120</v>
      </c>
      <c r="E6064" t="s">
        <v>23602</v>
      </c>
      <c r="F6064" t="s">
        <v>31362</v>
      </c>
      <c r="G6064" t="s">
        <v>31368</v>
      </c>
      <c r="H6064" t="s">
        <v>15799</v>
      </c>
      <c r="I6064" t="s">
        <v>4057</v>
      </c>
      <c r="J6064" t="s">
        <v>35317</v>
      </c>
      <c r="K6064" t="s">
        <v>40662</v>
      </c>
      <c r="M6064" t="s">
        <v>42167</v>
      </c>
      <c r="N6064" t="s">
        <v>44905</v>
      </c>
      <c r="O6064" t="s">
        <v>44906</v>
      </c>
      <c r="P6064">
        <v>0</v>
      </c>
      <c r="Q6064">
        <v>0</v>
      </c>
      <c r="R6064" t="s">
        <v>44909</v>
      </c>
      <c r="S6064" t="s">
        <v>45060</v>
      </c>
      <c r="T6064" t="s">
        <v>46482</v>
      </c>
      <c r="U6064" t="s">
        <v>51859</v>
      </c>
      <c r="W6064" t="s">
        <v>42167</v>
      </c>
      <c r="X6064" t="s">
        <v>44910</v>
      </c>
    </row>
    <row r="6065" spans="1:24">
      <c r="A6065">
        <f>HYPERLINK("https://www.philgeps.gov.ph/GEPSNONPILOT/Tender/SplashBidNoticeAbstractUI.aspx?menuIndex=3&amp;refID=7077273&amp;Result=3","7077273")</f>
        <v>0</v>
      </c>
      <c r="B6065" t="s">
        <v>1933</v>
      </c>
      <c r="C6065" t="s">
        <v>9314</v>
      </c>
      <c r="D6065" t="s">
        <v>18109</v>
      </c>
      <c r="E6065" t="s">
        <v>18203</v>
      </c>
      <c r="F6065" t="s">
        <v>31362</v>
      </c>
      <c r="G6065" t="s">
        <v>31370</v>
      </c>
      <c r="H6065" t="s">
        <v>15799</v>
      </c>
      <c r="I6065" t="s">
        <v>31385</v>
      </c>
      <c r="J6065" t="s">
        <v>35318</v>
      </c>
      <c r="K6065" t="s">
        <v>40697</v>
      </c>
      <c r="M6065" t="s">
        <v>43035</v>
      </c>
      <c r="N6065" t="s">
        <v>44905</v>
      </c>
      <c r="O6065" t="s">
        <v>44906</v>
      </c>
      <c r="P6065">
        <v>0</v>
      </c>
      <c r="Q6065">
        <v>0</v>
      </c>
      <c r="R6065" t="s">
        <v>44909</v>
      </c>
      <c r="S6065" t="s">
        <v>45060</v>
      </c>
      <c r="T6065" t="s">
        <v>46503</v>
      </c>
      <c r="U6065" t="s">
        <v>51860</v>
      </c>
      <c r="W6065" t="s">
        <v>43035</v>
      </c>
      <c r="X6065" t="s">
        <v>44910</v>
      </c>
    </row>
    <row r="6066" spans="1:24">
      <c r="A6066">
        <f>HYPERLINK("https://www.philgeps.gov.ph/GEPSNONPILOT/Tender/SplashBidNoticeAbstractUI.aspx?menuIndex=3&amp;refID=7077271&amp;Result=3","7077271")</f>
        <v>0</v>
      </c>
      <c r="B6066" t="s">
        <v>1314</v>
      </c>
      <c r="C6066" t="s">
        <v>9315</v>
      </c>
      <c r="D6066" t="s">
        <v>18134</v>
      </c>
      <c r="E6066" t="s">
        <v>23603</v>
      </c>
      <c r="F6066" t="s">
        <v>31362</v>
      </c>
      <c r="G6066" t="s">
        <v>31369</v>
      </c>
      <c r="H6066" t="s">
        <v>15799</v>
      </c>
      <c r="I6066" t="s">
        <v>7188</v>
      </c>
      <c r="J6066" t="s">
        <v>31921</v>
      </c>
      <c r="K6066" t="s">
        <v>40670</v>
      </c>
      <c r="M6066" t="s">
        <v>42332</v>
      </c>
      <c r="N6066" t="s">
        <v>44905</v>
      </c>
      <c r="O6066" t="s">
        <v>44906</v>
      </c>
      <c r="P6066">
        <v>0</v>
      </c>
      <c r="Q6066">
        <v>1</v>
      </c>
      <c r="R6066" t="s">
        <v>44909</v>
      </c>
      <c r="S6066" t="s">
        <v>45060</v>
      </c>
      <c r="T6066" t="s">
        <v>46559</v>
      </c>
      <c r="U6066" t="s">
        <v>51861</v>
      </c>
      <c r="W6066" t="s">
        <v>42332</v>
      </c>
      <c r="X6066" t="s">
        <v>44910</v>
      </c>
    </row>
    <row r="6067" spans="1:24">
      <c r="A6067">
        <f>HYPERLINK("https://www.philgeps.gov.ph/GEPSNONPILOT/Tender/SplashBidNoticeAbstractUI.aspx?menuIndex=3&amp;refID=7077331&amp;Result=3","7077331")</f>
        <v>0</v>
      </c>
      <c r="B6067" t="s">
        <v>339</v>
      </c>
      <c r="C6067" t="s">
        <v>9316</v>
      </c>
      <c r="D6067" t="s">
        <v>18106</v>
      </c>
      <c r="E6067" t="s">
        <v>23604</v>
      </c>
      <c r="F6067" t="s">
        <v>31362</v>
      </c>
      <c r="G6067" t="s">
        <v>31368</v>
      </c>
      <c r="H6067" t="s">
        <v>15799</v>
      </c>
      <c r="I6067" t="s">
        <v>31414</v>
      </c>
      <c r="J6067" t="s">
        <v>34071</v>
      </c>
      <c r="K6067" t="s">
        <v>40662</v>
      </c>
      <c r="M6067" t="s">
        <v>41285</v>
      </c>
      <c r="N6067" t="s">
        <v>44905</v>
      </c>
      <c r="O6067" t="s">
        <v>44906</v>
      </c>
      <c r="P6067">
        <v>0</v>
      </c>
      <c r="Q6067">
        <v>3</v>
      </c>
      <c r="R6067" t="s">
        <v>44909</v>
      </c>
      <c r="S6067" t="s">
        <v>45060</v>
      </c>
      <c r="T6067" t="s">
        <v>46435</v>
      </c>
      <c r="U6067" t="s">
        <v>51862</v>
      </c>
      <c r="W6067" t="s">
        <v>41285</v>
      </c>
      <c r="X6067" t="s">
        <v>44910</v>
      </c>
    </row>
    <row r="6068" spans="1:24">
      <c r="A6068">
        <f>HYPERLINK("https://www.philgeps.gov.ph/GEPSNONPILOT/Tender/SplashBidNoticeAbstractUI.aspx?menuIndex=3&amp;refID=7077252&amp;Result=3","7077252")</f>
        <v>0</v>
      </c>
      <c r="B6068" t="s">
        <v>637</v>
      </c>
      <c r="C6068" t="s">
        <v>9317</v>
      </c>
      <c r="D6068" t="s">
        <v>18102</v>
      </c>
      <c r="E6068" t="s">
        <v>23605</v>
      </c>
      <c r="F6068" t="s">
        <v>31362</v>
      </c>
      <c r="G6068" t="s">
        <v>31369</v>
      </c>
      <c r="H6068" t="s">
        <v>15799</v>
      </c>
      <c r="I6068" t="s">
        <v>31380</v>
      </c>
      <c r="J6068" t="s">
        <v>34944</v>
      </c>
      <c r="K6068" t="s">
        <v>40665</v>
      </c>
      <c r="M6068" t="s">
        <v>41597</v>
      </c>
      <c r="N6068" t="s">
        <v>44905</v>
      </c>
      <c r="O6068" t="s">
        <v>44906</v>
      </c>
      <c r="P6068">
        <v>0</v>
      </c>
      <c r="Q6068">
        <v>3</v>
      </c>
      <c r="R6068" t="s">
        <v>44909</v>
      </c>
      <c r="S6068" t="s">
        <v>45060</v>
      </c>
      <c r="T6068" t="s">
        <v>46697</v>
      </c>
      <c r="U6068" t="s">
        <v>51863</v>
      </c>
      <c r="W6068" t="s">
        <v>41597</v>
      </c>
      <c r="X6068" t="s">
        <v>44910</v>
      </c>
    </row>
    <row r="6069" spans="1:24">
      <c r="A6069">
        <f>HYPERLINK("https://www.philgeps.gov.ph/GEPSNONPILOT/Tender/SplashBidNoticeAbstractUI.aspx?menuIndex=3&amp;refID=7077326&amp;Result=3","7077326")</f>
        <v>0</v>
      </c>
      <c r="B6069" t="s">
        <v>1934</v>
      </c>
      <c r="C6069" t="s">
        <v>9318</v>
      </c>
      <c r="E6069" t="s">
        <v>23606</v>
      </c>
      <c r="F6069" t="s">
        <v>31362</v>
      </c>
      <c r="G6069" t="s">
        <v>31369</v>
      </c>
      <c r="H6069" t="s">
        <v>31378</v>
      </c>
      <c r="I6069" t="s">
        <v>31386</v>
      </c>
      <c r="J6069" t="s">
        <v>35319</v>
      </c>
      <c r="K6069" t="s">
        <v>40808</v>
      </c>
      <c r="M6069" t="s">
        <v>43036</v>
      </c>
      <c r="N6069" t="s">
        <v>44905</v>
      </c>
      <c r="O6069" t="s">
        <v>44906</v>
      </c>
      <c r="P6069">
        <v>0</v>
      </c>
      <c r="Q6069">
        <v>11</v>
      </c>
      <c r="R6069" t="s">
        <v>44909</v>
      </c>
      <c r="S6069" t="s">
        <v>45060</v>
      </c>
      <c r="T6069" t="s">
        <v>46464</v>
      </c>
      <c r="U6069" t="s">
        <v>51864</v>
      </c>
      <c r="V6069" t="s">
        <v>59629</v>
      </c>
      <c r="W6069" t="s">
        <v>43036</v>
      </c>
      <c r="X6069" t="s">
        <v>44910</v>
      </c>
    </row>
    <row r="6070" spans="1:24">
      <c r="A6070">
        <f>HYPERLINK("https://www.philgeps.gov.ph/GEPSNONPILOT/Tender/SplashBidNoticeAbstractUI.aspx?menuIndex=3&amp;refID=7077274&amp;Result=3","7077274")</f>
        <v>0</v>
      </c>
      <c r="B6070" t="s">
        <v>218</v>
      </c>
      <c r="C6070" t="s">
        <v>9319</v>
      </c>
      <c r="D6070" t="s">
        <v>18101</v>
      </c>
      <c r="E6070" t="s">
        <v>23607</v>
      </c>
      <c r="F6070" t="s">
        <v>31362</v>
      </c>
      <c r="G6070" t="s">
        <v>31369</v>
      </c>
      <c r="H6070" t="s">
        <v>31378</v>
      </c>
      <c r="I6070" t="s">
        <v>31435</v>
      </c>
      <c r="J6070" t="s">
        <v>35320</v>
      </c>
      <c r="K6070" t="s">
        <v>40684</v>
      </c>
      <c r="M6070" t="s">
        <v>41157</v>
      </c>
      <c r="N6070" t="s">
        <v>44905</v>
      </c>
      <c r="O6070" t="s">
        <v>44906</v>
      </c>
      <c r="Q6070">
        <v>5</v>
      </c>
      <c r="R6070" t="s">
        <v>44909</v>
      </c>
      <c r="S6070" t="s">
        <v>45066</v>
      </c>
      <c r="T6070" t="s">
        <v>46718</v>
      </c>
      <c r="U6070" t="s">
        <v>47291</v>
      </c>
      <c r="V6070" t="s">
        <v>59630</v>
      </c>
      <c r="W6070" t="s">
        <v>41157</v>
      </c>
      <c r="X6070" t="s">
        <v>44910</v>
      </c>
    </row>
    <row r="6071" spans="1:24">
      <c r="A6071">
        <f>HYPERLINK("https://www.philgeps.gov.ph/GEPSNONPILOT/Tender/SplashBidNoticeAbstractUI.aspx?menuIndex=3&amp;refID=7077412&amp;Result=3","7077412")</f>
        <v>0</v>
      </c>
      <c r="B6071" t="s">
        <v>1778</v>
      </c>
      <c r="C6071" t="s">
        <v>9320</v>
      </c>
      <c r="E6071" t="s">
        <v>18296</v>
      </c>
      <c r="F6071" t="s">
        <v>31362</v>
      </c>
      <c r="G6071" t="s">
        <v>31369</v>
      </c>
      <c r="H6071" t="s">
        <v>15799</v>
      </c>
      <c r="I6071" t="s">
        <v>7188</v>
      </c>
      <c r="J6071" t="s">
        <v>31738</v>
      </c>
      <c r="K6071" t="s">
        <v>40662</v>
      </c>
      <c r="M6071" t="s">
        <v>42858</v>
      </c>
      <c r="N6071" t="s">
        <v>44905</v>
      </c>
      <c r="O6071" t="s">
        <v>44906</v>
      </c>
      <c r="P6071">
        <v>0</v>
      </c>
      <c r="Q6071">
        <v>3</v>
      </c>
      <c r="R6071" t="s">
        <v>44909</v>
      </c>
      <c r="S6071" t="s">
        <v>45060</v>
      </c>
      <c r="T6071" t="s">
        <v>46396</v>
      </c>
      <c r="U6071" t="s">
        <v>51865</v>
      </c>
      <c r="W6071" t="s">
        <v>42858</v>
      </c>
      <c r="X6071" t="s">
        <v>44910</v>
      </c>
    </row>
    <row r="6072" spans="1:24">
      <c r="A6072">
        <f>HYPERLINK("https://www.philgeps.gov.ph/GEPSNONPILOT/Tender/SplashBidNoticeAbstractUI.aspx?menuIndex=3&amp;refID=7077332&amp;Result=3","7077332")</f>
        <v>0</v>
      </c>
      <c r="B6072" t="s">
        <v>196</v>
      </c>
      <c r="C6072" t="s">
        <v>9321</v>
      </c>
      <c r="D6072" t="s">
        <v>18157</v>
      </c>
      <c r="E6072" t="s">
        <v>23608</v>
      </c>
      <c r="F6072" t="s">
        <v>31362</v>
      </c>
      <c r="G6072" t="s">
        <v>31368</v>
      </c>
      <c r="H6072" t="s">
        <v>15799</v>
      </c>
      <c r="I6072" t="s">
        <v>31394</v>
      </c>
      <c r="J6072" t="s">
        <v>32016</v>
      </c>
      <c r="K6072" t="s">
        <v>40665</v>
      </c>
      <c r="M6072" t="s">
        <v>41135</v>
      </c>
      <c r="N6072" t="s">
        <v>44905</v>
      </c>
      <c r="O6072" t="s">
        <v>44906</v>
      </c>
      <c r="P6072">
        <v>0</v>
      </c>
      <c r="Q6072">
        <v>1</v>
      </c>
      <c r="R6072" t="s">
        <v>44909</v>
      </c>
      <c r="S6072" t="s">
        <v>45060</v>
      </c>
      <c r="T6072" t="s">
        <v>46409</v>
      </c>
      <c r="U6072" t="s">
        <v>51866</v>
      </c>
      <c r="W6072" t="s">
        <v>41135</v>
      </c>
      <c r="X6072" t="s">
        <v>44910</v>
      </c>
    </row>
    <row r="6073" spans="1:24">
      <c r="A6073">
        <f>HYPERLINK("https://www.philgeps.gov.ph/GEPSNONPILOT/Tender/SplashBidNoticeAbstractUI.aspx?menuIndex=3&amp;refID=7077245&amp;Result=3","7077245")</f>
        <v>0</v>
      </c>
      <c r="B6073" t="s">
        <v>1115</v>
      </c>
      <c r="C6073" t="s">
        <v>9322</v>
      </c>
      <c r="D6073" t="s">
        <v>18104</v>
      </c>
      <c r="E6073" t="s">
        <v>23609</v>
      </c>
      <c r="F6073" t="s">
        <v>31362</v>
      </c>
      <c r="G6073" t="s">
        <v>31368</v>
      </c>
      <c r="H6073" t="s">
        <v>31378</v>
      </c>
      <c r="I6073" t="s">
        <v>31386</v>
      </c>
      <c r="J6073" t="s">
        <v>32127</v>
      </c>
      <c r="K6073" t="s">
        <v>40809</v>
      </c>
      <c r="M6073" t="s">
        <v>42977</v>
      </c>
      <c r="N6073" t="s">
        <v>44905</v>
      </c>
      <c r="O6073" t="s">
        <v>44906</v>
      </c>
      <c r="P6073">
        <v>0</v>
      </c>
      <c r="Q6073">
        <v>0</v>
      </c>
      <c r="R6073" t="s">
        <v>44909</v>
      </c>
      <c r="S6073" t="s">
        <v>45060</v>
      </c>
      <c r="T6073" t="s">
        <v>46470</v>
      </c>
      <c r="U6073" t="s">
        <v>51867</v>
      </c>
      <c r="W6073" t="s">
        <v>42977</v>
      </c>
      <c r="X6073" t="s">
        <v>44910</v>
      </c>
    </row>
    <row r="6074" spans="1:24">
      <c r="A6074">
        <f>HYPERLINK("https://www.philgeps.gov.ph/GEPSNONPILOT/Tender/SplashBidNoticeAbstractUI.aspx?menuIndex=3&amp;refID=7077220&amp;Result=3","7077220")</f>
        <v>0</v>
      </c>
      <c r="B6074" t="s">
        <v>1732</v>
      </c>
      <c r="C6074" t="s">
        <v>9323</v>
      </c>
      <c r="D6074" t="s">
        <v>18136</v>
      </c>
      <c r="E6074" t="s">
        <v>22251</v>
      </c>
      <c r="F6074" t="s">
        <v>31362</v>
      </c>
      <c r="G6074" t="s">
        <v>31370</v>
      </c>
      <c r="H6074" t="s">
        <v>15799</v>
      </c>
      <c r="I6074" t="s">
        <v>31393</v>
      </c>
      <c r="J6074" t="s">
        <v>31536</v>
      </c>
      <c r="K6074" t="s">
        <v>40666</v>
      </c>
      <c r="M6074" t="s">
        <v>42804</v>
      </c>
      <c r="N6074" t="s">
        <v>44905</v>
      </c>
      <c r="O6074" t="s">
        <v>44906</v>
      </c>
      <c r="P6074">
        <v>0</v>
      </c>
      <c r="Q6074">
        <v>1</v>
      </c>
      <c r="R6074" t="s">
        <v>44909</v>
      </c>
      <c r="S6074" t="s">
        <v>45060</v>
      </c>
      <c r="T6074" t="s">
        <v>46409</v>
      </c>
      <c r="U6074" t="s">
        <v>51868</v>
      </c>
      <c r="W6074" t="s">
        <v>42804</v>
      </c>
      <c r="X6074" t="s">
        <v>44910</v>
      </c>
    </row>
    <row r="6075" spans="1:24">
      <c r="A6075">
        <f>HYPERLINK("https://www.philgeps.gov.ph/GEPSNONPILOT/Tender/SplashBidNoticeAbstractUI.aspx?menuIndex=3&amp;refID=7077422&amp;Result=3","7077422")</f>
        <v>0</v>
      </c>
      <c r="B6075" t="s">
        <v>776</v>
      </c>
      <c r="C6075" t="s">
        <v>9324</v>
      </c>
      <c r="E6075" t="s">
        <v>23610</v>
      </c>
      <c r="F6075" t="s">
        <v>31362</v>
      </c>
      <c r="G6075" t="s">
        <v>31368</v>
      </c>
      <c r="H6075" t="s">
        <v>15799</v>
      </c>
      <c r="I6075" t="s">
        <v>31388</v>
      </c>
      <c r="J6075" t="s">
        <v>35321</v>
      </c>
      <c r="K6075" t="s">
        <v>40662</v>
      </c>
      <c r="M6075" t="s">
        <v>43037</v>
      </c>
      <c r="N6075" t="s">
        <v>44905</v>
      </c>
      <c r="O6075" t="s">
        <v>44906</v>
      </c>
      <c r="P6075">
        <v>0</v>
      </c>
      <c r="Q6075">
        <v>1</v>
      </c>
      <c r="R6075" t="s">
        <v>44909</v>
      </c>
      <c r="S6075" t="s">
        <v>45060</v>
      </c>
      <c r="T6075" t="s">
        <v>46416</v>
      </c>
      <c r="U6075" t="s">
        <v>51869</v>
      </c>
      <c r="W6075" t="s">
        <v>43037</v>
      </c>
      <c r="X6075" t="s">
        <v>44910</v>
      </c>
    </row>
    <row r="6076" spans="1:24">
      <c r="A6076">
        <f>HYPERLINK("https://www.philgeps.gov.ph/GEPSNONPILOT/Tender/SplashBidNoticeAbstractUI.aspx?menuIndex=3&amp;refID=7077247&amp;Result=3","7077247")</f>
        <v>0</v>
      </c>
      <c r="B6076" t="s">
        <v>1264</v>
      </c>
      <c r="C6076" t="s">
        <v>9325</v>
      </c>
      <c r="D6076" t="s">
        <v>18108</v>
      </c>
      <c r="E6076" t="s">
        <v>21701</v>
      </c>
      <c r="F6076" t="s">
        <v>31362</v>
      </c>
      <c r="G6076" t="s">
        <v>31368</v>
      </c>
      <c r="H6076" t="s">
        <v>15799</v>
      </c>
      <c r="I6076" t="s">
        <v>31415</v>
      </c>
      <c r="J6076" t="s">
        <v>34071</v>
      </c>
      <c r="K6076" t="s">
        <v>40665</v>
      </c>
      <c r="M6076" t="s">
        <v>42281</v>
      </c>
      <c r="N6076" t="s">
        <v>44905</v>
      </c>
      <c r="O6076" t="s">
        <v>44906</v>
      </c>
      <c r="P6076">
        <v>0</v>
      </c>
      <c r="Q6076">
        <v>4</v>
      </c>
      <c r="R6076" t="s">
        <v>44909</v>
      </c>
      <c r="S6076" t="s">
        <v>45060</v>
      </c>
      <c r="T6076" t="s">
        <v>46454</v>
      </c>
      <c r="U6076" t="s">
        <v>51870</v>
      </c>
      <c r="W6076" t="s">
        <v>42281</v>
      </c>
      <c r="X6076" t="s">
        <v>44910</v>
      </c>
    </row>
    <row r="6077" spans="1:24">
      <c r="A6077">
        <f>HYPERLINK("https://www.philgeps.gov.ph/GEPSNONPILOT/Tender/SplashBidNoticeAbstractUI.aspx?menuIndex=3&amp;refID=7077221&amp;Result=3","7077221")</f>
        <v>0</v>
      </c>
      <c r="B6077" t="s">
        <v>1115</v>
      </c>
      <c r="C6077" t="s">
        <v>9326</v>
      </c>
      <c r="D6077" t="s">
        <v>18104</v>
      </c>
      <c r="E6077" t="s">
        <v>23611</v>
      </c>
      <c r="F6077" t="s">
        <v>31362</v>
      </c>
      <c r="G6077" t="s">
        <v>31368</v>
      </c>
      <c r="H6077" t="s">
        <v>31378</v>
      </c>
      <c r="I6077" t="s">
        <v>31386</v>
      </c>
      <c r="J6077" t="s">
        <v>31625</v>
      </c>
      <c r="K6077" t="s">
        <v>40810</v>
      </c>
      <c r="M6077" t="s">
        <v>42977</v>
      </c>
      <c r="N6077" t="s">
        <v>44905</v>
      </c>
      <c r="O6077" t="s">
        <v>44906</v>
      </c>
      <c r="P6077">
        <v>0</v>
      </c>
      <c r="Q6077">
        <v>0</v>
      </c>
      <c r="R6077" t="s">
        <v>44909</v>
      </c>
      <c r="S6077" t="s">
        <v>45060</v>
      </c>
      <c r="T6077" t="s">
        <v>46470</v>
      </c>
      <c r="U6077" t="s">
        <v>51871</v>
      </c>
      <c r="W6077" t="s">
        <v>42977</v>
      </c>
      <c r="X6077" t="s">
        <v>44910</v>
      </c>
    </row>
    <row r="6078" spans="1:24">
      <c r="A6078">
        <f>HYPERLINK("https://www.philgeps.gov.ph/GEPSNONPILOT/Tender/SplashBidNoticeAbstractUI.aspx?menuIndex=3&amp;refID=7077198&amp;Result=3","7077198")</f>
        <v>0</v>
      </c>
      <c r="B6078" t="s">
        <v>1905</v>
      </c>
      <c r="C6078" t="s">
        <v>9327</v>
      </c>
      <c r="D6078" t="s">
        <v>18116</v>
      </c>
      <c r="E6078" t="s">
        <v>21642</v>
      </c>
      <c r="F6078" t="s">
        <v>31362</v>
      </c>
      <c r="G6078" t="s">
        <v>31368</v>
      </c>
      <c r="H6078" t="s">
        <v>15799</v>
      </c>
      <c r="I6078" t="s">
        <v>31383</v>
      </c>
      <c r="J6078" t="s">
        <v>33459</v>
      </c>
      <c r="K6078" t="s">
        <v>40666</v>
      </c>
      <c r="M6078" t="s">
        <v>43000</v>
      </c>
      <c r="N6078" t="s">
        <v>44905</v>
      </c>
      <c r="O6078" t="s">
        <v>44906</v>
      </c>
      <c r="P6078">
        <v>0</v>
      </c>
      <c r="Q6078">
        <v>10</v>
      </c>
      <c r="R6078" t="s">
        <v>44909</v>
      </c>
      <c r="S6078" t="s">
        <v>45060</v>
      </c>
      <c r="T6078" t="s">
        <v>46478</v>
      </c>
      <c r="U6078" t="s">
        <v>51872</v>
      </c>
      <c r="W6078" t="s">
        <v>43000</v>
      </c>
      <c r="X6078" t="s">
        <v>44910</v>
      </c>
    </row>
    <row r="6079" spans="1:24">
      <c r="A6079">
        <f>HYPERLINK("https://www.philgeps.gov.ph/GEPSNONPILOT/Tender/SplashBidNoticeAbstractUI.aspx?menuIndex=3&amp;refID=7077426&amp;Result=3","7077426")</f>
        <v>0</v>
      </c>
      <c r="B6079" t="s">
        <v>348</v>
      </c>
      <c r="C6079" t="s">
        <v>9328</v>
      </c>
      <c r="D6079" t="s">
        <v>18122</v>
      </c>
      <c r="E6079" t="s">
        <v>23612</v>
      </c>
      <c r="F6079" t="s">
        <v>31362</v>
      </c>
      <c r="G6079" t="s">
        <v>31368</v>
      </c>
      <c r="H6079" t="s">
        <v>15799</v>
      </c>
      <c r="I6079" t="s">
        <v>31400</v>
      </c>
      <c r="J6079" t="s">
        <v>31897</v>
      </c>
      <c r="K6079" t="s">
        <v>40661</v>
      </c>
      <c r="M6079" t="s">
        <v>43038</v>
      </c>
      <c r="N6079" t="s">
        <v>44905</v>
      </c>
      <c r="O6079" t="s">
        <v>44906</v>
      </c>
      <c r="P6079">
        <v>0</v>
      </c>
      <c r="Q6079">
        <v>1</v>
      </c>
      <c r="R6079" t="s">
        <v>44909</v>
      </c>
      <c r="S6079" t="s">
        <v>45060</v>
      </c>
      <c r="T6079" t="s">
        <v>46425</v>
      </c>
      <c r="U6079" t="s">
        <v>51873</v>
      </c>
      <c r="W6079" t="s">
        <v>43038</v>
      </c>
      <c r="X6079" t="s">
        <v>44910</v>
      </c>
    </row>
    <row r="6080" spans="1:24">
      <c r="A6080">
        <f>HYPERLINK("https://www.philgeps.gov.ph/GEPSNONPILOT/Tender/SplashBidNoticeAbstractUI.aspx?menuIndex=3&amp;refID=7077251&amp;Result=3","7077251")</f>
        <v>0</v>
      </c>
      <c r="B6080" t="s">
        <v>260</v>
      </c>
      <c r="C6080" t="s">
        <v>8702</v>
      </c>
      <c r="D6080" t="s">
        <v>18112</v>
      </c>
      <c r="E6080" t="s">
        <v>23613</v>
      </c>
      <c r="F6080" t="s">
        <v>31362</v>
      </c>
      <c r="G6080" t="s">
        <v>31368</v>
      </c>
      <c r="H6080" t="s">
        <v>15799</v>
      </c>
      <c r="I6080" t="s">
        <v>4057</v>
      </c>
      <c r="J6080" t="s">
        <v>35322</v>
      </c>
      <c r="K6080" t="s">
        <v>40662</v>
      </c>
      <c r="M6080" t="s">
        <v>41201</v>
      </c>
      <c r="N6080" t="s">
        <v>44905</v>
      </c>
      <c r="O6080" t="s">
        <v>44906</v>
      </c>
      <c r="P6080">
        <v>0</v>
      </c>
      <c r="Q6080">
        <v>0</v>
      </c>
      <c r="R6080" t="s">
        <v>44909</v>
      </c>
      <c r="S6080" t="s">
        <v>45060</v>
      </c>
      <c r="T6080" t="s">
        <v>46414</v>
      </c>
      <c r="U6080" t="s">
        <v>51874</v>
      </c>
      <c r="W6080" t="s">
        <v>41201</v>
      </c>
      <c r="X6080" t="s">
        <v>44910</v>
      </c>
    </row>
    <row r="6081" spans="1:24">
      <c r="A6081">
        <f>HYPERLINK("https://www.philgeps.gov.ph/GEPSNONPILOT/Tender/SplashBidNoticeAbstractUI.aspx?menuIndex=3&amp;refID=7077443&amp;Result=3","7077443")</f>
        <v>0</v>
      </c>
      <c r="B6081" t="s">
        <v>325</v>
      </c>
      <c r="C6081" t="s">
        <v>9329</v>
      </c>
      <c r="E6081" t="s">
        <v>23614</v>
      </c>
      <c r="F6081" t="s">
        <v>31362</v>
      </c>
      <c r="G6081" t="s">
        <v>31368</v>
      </c>
      <c r="H6081" t="s">
        <v>15799</v>
      </c>
      <c r="I6081" t="s">
        <v>31397</v>
      </c>
      <c r="J6081" t="s">
        <v>35323</v>
      </c>
      <c r="K6081" t="s">
        <v>40662</v>
      </c>
      <c r="M6081" t="s">
        <v>41271</v>
      </c>
      <c r="N6081" t="s">
        <v>44905</v>
      </c>
      <c r="O6081" t="s">
        <v>44906</v>
      </c>
      <c r="P6081">
        <v>0</v>
      </c>
      <c r="Q6081">
        <v>1</v>
      </c>
      <c r="R6081" t="s">
        <v>44909</v>
      </c>
      <c r="S6081" t="s">
        <v>45060</v>
      </c>
      <c r="T6081" t="s">
        <v>46394</v>
      </c>
      <c r="U6081" t="s">
        <v>51875</v>
      </c>
      <c r="W6081" t="s">
        <v>41271</v>
      </c>
      <c r="X6081" t="s">
        <v>44910</v>
      </c>
    </row>
    <row r="6082" spans="1:24">
      <c r="A6082">
        <f>HYPERLINK("https://www.philgeps.gov.ph/GEPSNONPILOT/Tender/SplashBidNoticeAbstractUI.aspx?menuIndex=3&amp;refID=7077420&amp;Result=3","7077420")</f>
        <v>0</v>
      </c>
      <c r="B6082" t="s">
        <v>1057</v>
      </c>
      <c r="C6082" t="s">
        <v>9330</v>
      </c>
      <c r="D6082" t="s">
        <v>18163</v>
      </c>
      <c r="E6082" t="s">
        <v>23615</v>
      </c>
      <c r="F6082" t="s">
        <v>31362</v>
      </c>
      <c r="G6082" t="s">
        <v>31369</v>
      </c>
      <c r="H6082" t="s">
        <v>15799</v>
      </c>
      <c r="I6082" t="s">
        <v>31480</v>
      </c>
      <c r="J6082" t="s">
        <v>35324</v>
      </c>
      <c r="K6082" t="s">
        <v>40770</v>
      </c>
      <c r="M6082" t="s">
        <v>42058</v>
      </c>
      <c r="N6082" t="s">
        <v>44905</v>
      </c>
      <c r="O6082" t="s">
        <v>44906</v>
      </c>
      <c r="P6082">
        <v>0</v>
      </c>
      <c r="Q6082">
        <v>0</v>
      </c>
      <c r="R6082" t="s">
        <v>44909</v>
      </c>
      <c r="S6082" t="s">
        <v>45060</v>
      </c>
      <c r="T6082" t="s">
        <v>46435</v>
      </c>
      <c r="U6082" t="s">
        <v>51876</v>
      </c>
      <c r="V6082" t="s">
        <v>59631</v>
      </c>
      <c r="W6082" t="s">
        <v>42058</v>
      </c>
      <c r="X6082" t="s">
        <v>44910</v>
      </c>
    </row>
    <row r="6083" spans="1:24">
      <c r="A6083">
        <f>HYPERLINK("https://www.philgeps.gov.ph/GEPSNONPILOT/Tender/SplashBidNoticeAbstractUI.aspx?menuIndex=3&amp;refID=7077442&amp;Result=3","7077442")</f>
        <v>0</v>
      </c>
      <c r="B6083" t="s">
        <v>418</v>
      </c>
      <c r="C6083" t="s">
        <v>9331</v>
      </c>
      <c r="D6083" t="s">
        <v>18100</v>
      </c>
      <c r="E6083" t="s">
        <v>23616</v>
      </c>
      <c r="F6083" t="s">
        <v>31362</v>
      </c>
      <c r="G6083" t="s">
        <v>31369</v>
      </c>
      <c r="H6083" t="s">
        <v>15799</v>
      </c>
      <c r="I6083" t="s">
        <v>6373</v>
      </c>
      <c r="J6083" t="s">
        <v>35325</v>
      </c>
      <c r="K6083" t="s">
        <v>40665</v>
      </c>
      <c r="M6083" t="s">
        <v>43039</v>
      </c>
      <c r="N6083" t="s">
        <v>44905</v>
      </c>
      <c r="O6083" t="s">
        <v>44906</v>
      </c>
      <c r="P6083">
        <v>0</v>
      </c>
      <c r="Q6083">
        <v>4</v>
      </c>
      <c r="R6083" t="s">
        <v>44909</v>
      </c>
      <c r="S6083" t="s">
        <v>45060</v>
      </c>
      <c r="T6083" t="s">
        <v>46549</v>
      </c>
      <c r="U6083" t="s">
        <v>51877</v>
      </c>
      <c r="W6083" t="s">
        <v>43039</v>
      </c>
      <c r="X6083" t="s">
        <v>44910</v>
      </c>
    </row>
    <row r="6084" spans="1:24">
      <c r="A6084">
        <f>HYPERLINK("https://www.philgeps.gov.ph/GEPSNONPILOT/Tender/SplashBidNoticeAbstractUI.aspx?menuIndex=3&amp;refID=7077437&amp;Result=3","7077437")</f>
        <v>0</v>
      </c>
      <c r="B6084" t="s">
        <v>1935</v>
      </c>
      <c r="C6084" t="s">
        <v>9332</v>
      </c>
      <c r="D6084" t="s">
        <v>18158</v>
      </c>
      <c r="E6084" t="s">
        <v>18561</v>
      </c>
      <c r="F6084" t="s">
        <v>31362</v>
      </c>
      <c r="G6084" t="s">
        <v>31368</v>
      </c>
      <c r="H6084" t="s">
        <v>31378</v>
      </c>
      <c r="I6084" t="s">
        <v>31386</v>
      </c>
      <c r="J6084" t="s">
        <v>31536</v>
      </c>
      <c r="K6084" t="s">
        <v>40677</v>
      </c>
      <c r="M6084" t="s">
        <v>43040</v>
      </c>
      <c r="N6084" t="s">
        <v>44905</v>
      </c>
      <c r="O6084" t="s">
        <v>44906</v>
      </c>
      <c r="P6084">
        <v>0</v>
      </c>
      <c r="Q6084">
        <v>0</v>
      </c>
      <c r="R6084" t="s">
        <v>44909</v>
      </c>
      <c r="S6084" t="s">
        <v>45060</v>
      </c>
      <c r="T6084" t="s">
        <v>46435</v>
      </c>
      <c r="U6084" t="s">
        <v>51878</v>
      </c>
      <c r="W6084" t="s">
        <v>43040</v>
      </c>
      <c r="X6084" t="s">
        <v>44910</v>
      </c>
    </row>
    <row r="6085" spans="1:24">
      <c r="A6085">
        <f>HYPERLINK("https://www.philgeps.gov.ph/GEPSNONPILOT/Tender/SplashBidNoticeAbstractUI.aspx?menuIndex=3&amp;refID=7077436&amp;Result=3","7077436")</f>
        <v>0</v>
      </c>
      <c r="B6085" t="s">
        <v>1827</v>
      </c>
      <c r="C6085" t="s">
        <v>9333</v>
      </c>
      <c r="D6085" t="s">
        <v>18138</v>
      </c>
      <c r="E6085" t="s">
        <v>23617</v>
      </c>
      <c r="F6085" t="s">
        <v>31362</v>
      </c>
      <c r="G6085" t="s">
        <v>31368</v>
      </c>
      <c r="H6085" t="s">
        <v>15799</v>
      </c>
      <c r="I6085" t="s">
        <v>7090</v>
      </c>
      <c r="J6085" t="s">
        <v>31942</v>
      </c>
      <c r="K6085" t="s">
        <v>40670</v>
      </c>
      <c r="M6085" t="s">
        <v>42911</v>
      </c>
      <c r="N6085" t="s">
        <v>44905</v>
      </c>
      <c r="O6085" t="s">
        <v>44906</v>
      </c>
      <c r="P6085">
        <v>0</v>
      </c>
      <c r="Q6085">
        <v>0</v>
      </c>
      <c r="R6085" t="s">
        <v>44909</v>
      </c>
      <c r="S6085" t="s">
        <v>45060</v>
      </c>
      <c r="T6085" t="s">
        <v>46443</v>
      </c>
      <c r="U6085" t="s">
        <v>51480</v>
      </c>
      <c r="V6085" t="s">
        <v>59596</v>
      </c>
      <c r="W6085" t="s">
        <v>42911</v>
      </c>
      <c r="X6085" t="s">
        <v>44910</v>
      </c>
    </row>
    <row r="6086" spans="1:24">
      <c r="A6086">
        <f>HYPERLINK("https://www.philgeps.gov.ph/GEPSNONPILOT/Tender/SplashBidNoticeAbstractUI.aspx?menuIndex=3&amp;refID=7077253&amp;Result=3","7077253")</f>
        <v>0</v>
      </c>
      <c r="B6086" t="s">
        <v>1934</v>
      </c>
      <c r="C6086" t="s">
        <v>9334</v>
      </c>
      <c r="E6086" t="s">
        <v>23618</v>
      </c>
      <c r="F6086" t="s">
        <v>31362</v>
      </c>
      <c r="G6086" t="s">
        <v>31369</v>
      </c>
      <c r="H6086" t="s">
        <v>31378</v>
      </c>
      <c r="I6086" t="s">
        <v>31386</v>
      </c>
      <c r="J6086" t="s">
        <v>35326</v>
      </c>
      <c r="K6086" t="s">
        <v>40808</v>
      </c>
      <c r="M6086" t="s">
        <v>43036</v>
      </c>
      <c r="N6086" t="s">
        <v>44905</v>
      </c>
      <c r="O6086" t="s">
        <v>44906</v>
      </c>
      <c r="P6086">
        <v>0</v>
      </c>
      <c r="Q6086">
        <v>10</v>
      </c>
      <c r="R6086" t="s">
        <v>44909</v>
      </c>
      <c r="S6086" t="s">
        <v>45060</v>
      </c>
      <c r="T6086" t="s">
        <v>46464</v>
      </c>
      <c r="U6086" t="s">
        <v>51864</v>
      </c>
      <c r="V6086" t="s">
        <v>59629</v>
      </c>
      <c r="W6086" t="s">
        <v>43036</v>
      </c>
      <c r="X6086" t="s">
        <v>44910</v>
      </c>
    </row>
    <row r="6087" spans="1:24">
      <c r="A6087">
        <f>HYPERLINK("https://www.philgeps.gov.ph/GEPSNONPILOT/Tender/SplashBidNoticeAbstractUI.aspx?menuIndex=3&amp;refID=7077435&amp;Result=3","7077435")</f>
        <v>0</v>
      </c>
      <c r="B6087" t="s">
        <v>1936</v>
      </c>
      <c r="C6087" t="s">
        <v>9335</v>
      </c>
      <c r="D6087" t="s">
        <v>18134</v>
      </c>
      <c r="E6087" t="s">
        <v>23619</v>
      </c>
      <c r="F6087" t="s">
        <v>31362</v>
      </c>
      <c r="G6087" t="s">
        <v>31368</v>
      </c>
      <c r="H6087" t="s">
        <v>15799</v>
      </c>
      <c r="I6087" t="s">
        <v>7188</v>
      </c>
      <c r="J6087" t="s">
        <v>32391</v>
      </c>
      <c r="K6087" t="s">
        <v>40693</v>
      </c>
      <c r="M6087" t="s">
        <v>43041</v>
      </c>
      <c r="N6087" t="s">
        <v>44905</v>
      </c>
      <c r="O6087" t="s">
        <v>44906</v>
      </c>
      <c r="P6087">
        <v>0</v>
      </c>
      <c r="Q6087">
        <v>2</v>
      </c>
      <c r="R6087" t="s">
        <v>44909</v>
      </c>
      <c r="S6087" t="s">
        <v>45060</v>
      </c>
      <c r="T6087" t="s">
        <v>46443</v>
      </c>
      <c r="U6087" t="s">
        <v>51879</v>
      </c>
      <c r="V6087" t="s">
        <v>59632</v>
      </c>
      <c r="W6087" t="s">
        <v>43041</v>
      </c>
      <c r="X6087" t="s">
        <v>44910</v>
      </c>
    </row>
    <row r="6088" spans="1:24">
      <c r="A6088">
        <f>HYPERLINK("https://www.philgeps.gov.ph/GEPSNONPILOT/Tender/SplashBidNoticeAbstractUI.aspx?menuIndex=3&amp;refID=7077434&amp;Result=3","7077434")</f>
        <v>0</v>
      </c>
      <c r="B6088" t="s">
        <v>1352</v>
      </c>
      <c r="C6088" t="s">
        <v>9336</v>
      </c>
      <c r="D6088" t="s">
        <v>18108</v>
      </c>
      <c r="E6088" t="s">
        <v>23620</v>
      </c>
      <c r="F6088" t="s">
        <v>31362</v>
      </c>
      <c r="G6088" t="s">
        <v>31369</v>
      </c>
      <c r="H6088" t="s">
        <v>15799</v>
      </c>
      <c r="I6088" t="s">
        <v>31476</v>
      </c>
      <c r="J6088" t="s">
        <v>35327</v>
      </c>
      <c r="K6088" t="s">
        <v>40682</v>
      </c>
      <c r="M6088" t="s">
        <v>42793</v>
      </c>
      <c r="N6088" t="s">
        <v>44905</v>
      </c>
      <c r="O6088" t="s">
        <v>44906</v>
      </c>
      <c r="P6088">
        <v>0</v>
      </c>
      <c r="Q6088">
        <v>3</v>
      </c>
      <c r="R6088" t="s">
        <v>44909</v>
      </c>
      <c r="S6088" t="s">
        <v>45060</v>
      </c>
      <c r="T6088" t="s">
        <v>46401</v>
      </c>
      <c r="U6088" t="s">
        <v>51880</v>
      </c>
      <c r="W6088" t="s">
        <v>42793</v>
      </c>
      <c r="X6088" t="s">
        <v>44910</v>
      </c>
    </row>
    <row r="6089" spans="1:24">
      <c r="A6089">
        <f>HYPERLINK("https://www.philgeps.gov.ph/GEPSNONPILOT/Tender/SplashBidNoticeAbstractUI.aspx?menuIndex=3&amp;refID=7077416&amp;Result=3","7077416")</f>
        <v>0</v>
      </c>
      <c r="B6089" t="s">
        <v>365</v>
      </c>
      <c r="C6089" t="s">
        <v>9337</v>
      </c>
      <c r="D6089" t="s">
        <v>18126</v>
      </c>
      <c r="E6089" t="s">
        <v>23621</v>
      </c>
      <c r="F6089" t="s">
        <v>31362</v>
      </c>
      <c r="G6089" t="s">
        <v>31369</v>
      </c>
      <c r="H6089" t="s">
        <v>15799</v>
      </c>
      <c r="I6089" t="s">
        <v>31436</v>
      </c>
      <c r="J6089" t="s">
        <v>35328</v>
      </c>
      <c r="K6089" t="s">
        <v>40745</v>
      </c>
      <c r="M6089" t="s">
        <v>41312</v>
      </c>
      <c r="N6089" t="s">
        <v>44905</v>
      </c>
      <c r="O6089" t="s">
        <v>44906</v>
      </c>
      <c r="P6089">
        <v>0</v>
      </c>
      <c r="Q6089">
        <v>3</v>
      </c>
      <c r="R6089" t="s">
        <v>44909</v>
      </c>
      <c r="S6089" t="s">
        <v>45060</v>
      </c>
      <c r="T6089" t="s">
        <v>46671</v>
      </c>
      <c r="U6089" t="s">
        <v>51798</v>
      </c>
      <c r="V6089" t="s">
        <v>59624</v>
      </c>
      <c r="W6089" t="s">
        <v>41312</v>
      </c>
      <c r="X6089" t="s">
        <v>44910</v>
      </c>
    </row>
    <row r="6090" spans="1:24">
      <c r="A6090">
        <f>HYPERLINK("https://www.philgeps.gov.ph/GEPSNONPILOT/Tender/SplashBidNoticeAbstractUI.aspx?menuIndex=3&amp;refID=7077431&amp;Result=3","7077431")</f>
        <v>0</v>
      </c>
      <c r="B6090" t="s">
        <v>1057</v>
      </c>
      <c r="C6090" t="s">
        <v>9338</v>
      </c>
      <c r="D6090" t="s">
        <v>18163</v>
      </c>
      <c r="E6090" t="s">
        <v>23622</v>
      </c>
      <c r="F6090" t="s">
        <v>31362</v>
      </c>
      <c r="G6090" t="s">
        <v>31369</v>
      </c>
      <c r="H6090" t="s">
        <v>15799</v>
      </c>
      <c r="I6090" t="s">
        <v>31480</v>
      </c>
      <c r="J6090" t="s">
        <v>35329</v>
      </c>
      <c r="K6090" t="s">
        <v>40670</v>
      </c>
      <c r="M6090" t="s">
        <v>42058</v>
      </c>
      <c r="N6090" t="s">
        <v>44905</v>
      </c>
      <c r="O6090" t="s">
        <v>44906</v>
      </c>
      <c r="P6090">
        <v>0</v>
      </c>
      <c r="Q6090">
        <v>0</v>
      </c>
      <c r="R6090" t="s">
        <v>44909</v>
      </c>
      <c r="S6090" t="s">
        <v>45060</v>
      </c>
      <c r="T6090" t="s">
        <v>46435</v>
      </c>
      <c r="U6090" t="s">
        <v>51876</v>
      </c>
      <c r="V6090" t="s">
        <v>59633</v>
      </c>
      <c r="W6090" t="s">
        <v>42058</v>
      </c>
      <c r="X6090" t="s">
        <v>44910</v>
      </c>
    </row>
    <row r="6091" spans="1:24">
      <c r="A6091">
        <f>HYPERLINK("https://www.philgeps.gov.ph/GEPSNONPILOT/Tender/SplashBidNoticeAbstractUI.aspx?menuIndex=3&amp;refID=7077430&amp;Result=3","7077430")</f>
        <v>0</v>
      </c>
      <c r="B6091" t="s">
        <v>1115</v>
      </c>
      <c r="C6091" t="s">
        <v>9339</v>
      </c>
      <c r="D6091" t="s">
        <v>18104</v>
      </c>
      <c r="E6091" t="s">
        <v>23623</v>
      </c>
      <c r="F6091" t="s">
        <v>31362</v>
      </c>
      <c r="G6091" t="s">
        <v>31368</v>
      </c>
      <c r="H6091" t="s">
        <v>31378</v>
      </c>
      <c r="I6091" t="s">
        <v>31386</v>
      </c>
      <c r="J6091" t="s">
        <v>31625</v>
      </c>
      <c r="K6091" t="s">
        <v>40752</v>
      </c>
      <c r="M6091" t="s">
        <v>42977</v>
      </c>
      <c r="N6091" t="s">
        <v>44905</v>
      </c>
      <c r="O6091" t="s">
        <v>44906</v>
      </c>
      <c r="P6091">
        <v>0</v>
      </c>
      <c r="Q6091">
        <v>0</v>
      </c>
      <c r="R6091" t="s">
        <v>44909</v>
      </c>
      <c r="S6091" t="s">
        <v>45060</v>
      </c>
      <c r="T6091" t="s">
        <v>46470</v>
      </c>
      <c r="U6091" t="s">
        <v>51881</v>
      </c>
      <c r="W6091" t="s">
        <v>42977</v>
      </c>
      <c r="X6091" t="s">
        <v>44910</v>
      </c>
    </row>
    <row r="6092" spans="1:24">
      <c r="A6092">
        <f>HYPERLINK("https://www.philgeps.gov.ph/GEPSNONPILOT/Tender/SplashBidNoticeAbstractUI.aspx?menuIndex=3&amp;refID=7077447&amp;Result=3","7077447")</f>
        <v>0</v>
      </c>
      <c r="B6092" t="s">
        <v>1937</v>
      </c>
      <c r="C6092" t="s">
        <v>9340</v>
      </c>
      <c r="D6092" t="s">
        <v>18155</v>
      </c>
      <c r="E6092" t="s">
        <v>23624</v>
      </c>
      <c r="F6092" t="s">
        <v>31362</v>
      </c>
      <c r="G6092" t="s">
        <v>31369</v>
      </c>
      <c r="H6092" t="s">
        <v>15799</v>
      </c>
      <c r="I6092" t="s">
        <v>7090</v>
      </c>
      <c r="J6092" t="s">
        <v>35330</v>
      </c>
      <c r="K6092" t="s">
        <v>40677</v>
      </c>
      <c r="M6092" t="s">
        <v>43042</v>
      </c>
      <c r="N6092" t="s">
        <v>44905</v>
      </c>
      <c r="O6092" t="s">
        <v>44906</v>
      </c>
      <c r="P6092">
        <v>0</v>
      </c>
      <c r="Q6092">
        <v>1</v>
      </c>
      <c r="R6092" t="s">
        <v>44909</v>
      </c>
      <c r="S6092" t="s">
        <v>45060</v>
      </c>
      <c r="T6092" t="s">
        <v>46433</v>
      </c>
      <c r="U6092" t="s">
        <v>51882</v>
      </c>
      <c r="W6092" t="s">
        <v>43042</v>
      </c>
      <c r="X6092" t="s">
        <v>44910</v>
      </c>
    </row>
    <row r="6093" spans="1:24">
      <c r="A6093">
        <f>HYPERLINK("https://www.philgeps.gov.ph/GEPSNONPILOT/Tender/SplashBidNoticeAbstractUI.aspx?menuIndex=3&amp;refID=7077429&amp;Result=3","7077429")</f>
        <v>0</v>
      </c>
      <c r="B6093" t="s">
        <v>617</v>
      </c>
      <c r="C6093" t="s">
        <v>9341</v>
      </c>
      <c r="D6093" t="s">
        <v>18108</v>
      </c>
      <c r="E6093" t="s">
        <v>22352</v>
      </c>
      <c r="F6093" t="s">
        <v>31362</v>
      </c>
      <c r="G6093" t="s">
        <v>31368</v>
      </c>
      <c r="H6093" t="s">
        <v>31379</v>
      </c>
      <c r="I6093" t="s">
        <v>3582</v>
      </c>
      <c r="J6093" t="s">
        <v>34565</v>
      </c>
      <c r="K6093" t="s">
        <v>40661</v>
      </c>
      <c r="M6093" t="s">
        <v>42866</v>
      </c>
      <c r="N6093" t="s">
        <v>44905</v>
      </c>
      <c r="O6093" t="s">
        <v>44906</v>
      </c>
      <c r="P6093">
        <v>0</v>
      </c>
      <c r="Q6093">
        <v>2</v>
      </c>
      <c r="R6093" t="s">
        <v>44909</v>
      </c>
      <c r="S6093" t="s">
        <v>45060</v>
      </c>
      <c r="T6093" t="s">
        <v>46409</v>
      </c>
      <c r="U6093" t="s">
        <v>51370</v>
      </c>
      <c r="W6093" t="s">
        <v>42866</v>
      </c>
      <c r="X6093" t="s">
        <v>44910</v>
      </c>
    </row>
    <row r="6094" spans="1:24">
      <c r="A6094">
        <f>HYPERLINK("https://www.philgeps.gov.ph/GEPSNONPILOT/Tender/SplashBidNoticeAbstractUI.aspx?menuIndex=3&amp;refID=7077440&amp;Result=3","7077440")</f>
        <v>0</v>
      </c>
      <c r="B6094" t="s">
        <v>1938</v>
      </c>
      <c r="C6094" t="s">
        <v>9342</v>
      </c>
      <c r="D6094" t="s">
        <v>18143</v>
      </c>
      <c r="E6094" t="s">
        <v>23625</v>
      </c>
      <c r="F6094" t="s">
        <v>31362</v>
      </c>
      <c r="G6094" t="s">
        <v>31369</v>
      </c>
      <c r="H6094" t="s">
        <v>15799</v>
      </c>
      <c r="I6094" t="s">
        <v>6373</v>
      </c>
      <c r="J6094" t="s">
        <v>35331</v>
      </c>
      <c r="K6094" t="s">
        <v>40661</v>
      </c>
      <c r="M6094" t="s">
        <v>43043</v>
      </c>
      <c r="N6094" t="s">
        <v>44905</v>
      </c>
      <c r="O6094" t="s">
        <v>44906</v>
      </c>
      <c r="P6094">
        <v>0</v>
      </c>
      <c r="Q6094">
        <v>5</v>
      </c>
      <c r="R6094" t="s">
        <v>44909</v>
      </c>
      <c r="S6094" t="s">
        <v>45060</v>
      </c>
      <c r="T6094" t="s">
        <v>46440</v>
      </c>
      <c r="U6094" t="s">
        <v>51883</v>
      </c>
      <c r="W6094" t="s">
        <v>43043</v>
      </c>
      <c r="X6094" t="s">
        <v>44910</v>
      </c>
    </row>
    <row r="6095" spans="1:24">
      <c r="A6095">
        <f>HYPERLINK("https://www.philgeps.gov.ph/GEPSNONPILOT/Tender/SplashBidNoticeAbstractUI.aspx?menuIndex=3&amp;refID=7077424&amp;Result=3","7077424")</f>
        <v>0</v>
      </c>
      <c r="B6095" t="s">
        <v>316</v>
      </c>
      <c r="C6095" t="s">
        <v>4113</v>
      </c>
      <c r="D6095" t="s">
        <v>18149</v>
      </c>
      <c r="E6095" t="s">
        <v>23626</v>
      </c>
      <c r="F6095" t="s">
        <v>31362</v>
      </c>
      <c r="G6095" t="s">
        <v>31368</v>
      </c>
      <c r="H6095" t="s">
        <v>15799</v>
      </c>
      <c r="I6095" t="s">
        <v>7188</v>
      </c>
      <c r="J6095" t="s">
        <v>33387</v>
      </c>
      <c r="K6095" t="s">
        <v>40661</v>
      </c>
      <c r="M6095" t="s">
        <v>41261</v>
      </c>
      <c r="N6095" t="s">
        <v>44905</v>
      </c>
      <c r="O6095" t="s">
        <v>44906</v>
      </c>
      <c r="P6095">
        <v>0</v>
      </c>
      <c r="Q6095">
        <v>0</v>
      </c>
      <c r="R6095" t="s">
        <v>44909</v>
      </c>
      <c r="S6095" t="s">
        <v>45060</v>
      </c>
      <c r="T6095" t="s">
        <v>46393</v>
      </c>
      <c r="U6095" t="s">
        <v>51884</v>
      </c>
      <c r="W6095" t="s">
        <v>41261</v>
      </c>
      <c r="X6095" t="s">
        <v>44910</v>
      </c>
    </row>
    <row r="6096" spans="1:24">
      <c r="A6096">
        <f>HYPERLINK("https://www.philgeps.gov.ph/GEPSNONPILOT/Tender/SplashBidNoticeAbstractUI.aspx?menuIndex=3&amp;refID=7077451&amp;Result=3","7077451")</f>
        <v>0</v>
      </c>
      <c r="B6096" t="s">
        <v>1219</v>
      </c>
      <c r="C6096" t="s">
        <v>9343</v>
      </c>
      <c r="E6096" t="s">
        <v>23627</v>
      </c>
      <c r="F6096" t="s">
        <v>31362</v>
      </c>
      <c r="G6096" t="s">
        <v>31372</v>
      </c>
      <c r="H6096" t="s">
        <v>15799</v>
      </c>
      <c r="I6096" t="s">
        <v>31427</v>
      </c>
      <c r="J6096" t="s">
        <v>35332</v>
      </c>
      <c r="K6096" t="s">
        <v>40662</v>
      </c>
      <c r="M6096" t="s">
        <v>42232</v>
      </c>
      <c r="N6096" t="s">
        <v>44905</v>
      </c>
      <c r="O6096" t="s">
        <v>44906</v>
      </c>
      <c r="P6096">
        <v>0</v>
      </c>
      <c r="Q6096">
        <v>1</v>
      </c>
      <c r="R6096" t="s">
        <v>44909</v>
      </c>
      <c r="S6096" t="s">
        <v>45060</v>
      </c>
      <c r="T6096" t="s">
        <v>46597</v>
      </c>
      <c r="U6096" t="s">
        <v>51885</v>
      </c>
      <c r="W6096" t="s">
        <v>42232</v>
      </c>
      <c r="X6096" t="s">
        <v>44910</v>
      </c>
    </row>
    <row r="6097" spans="1:24">
      <c r="A6097">
        <f>HYPERLINK("https://www.philgeps.gov.ph/GEPSNONPILOT/Tender/SplashBidNoticeAbstractUI.aspx?menuIndex=3&amp;refID=7077270&amp;Result=3","7077270")</f>
        <v>0</v>
      </c>
      <c r="B6097" t="s">
        <v>1939</v>
      </c>
      <c r="C6097" t="s">
        <v>9344</v>
      </c>
      <c r="D6097" t="s">
        <v>18141</v>
      </c>
      <c r="E6097" t="s">
        <v>23628</v>
      </c>
      <c r="F6097" t="s">
        <v>31362</v>
      </c>
      <c r="G6097" t="s">
        <v>31369</v>
      </c>
      <c r="H6097" t="s">
        <v>31378</v>
      </c>
      <c r="I6097" t="s">
        <v>31386</v>
      </c>
      <c r="J6097" t="s">
        <v>32347</v>
      </c>
      <c r="K6097" t="s">
        <v>40724</v>
      </c>
      <c r="M6097" t="s">
        <v>43044</v>
      </c>
      <c r="N6097" t="s">
        <v>44905</v>
      </c>
      <c r="O6097" t="s">
        <v>44906</v>
      </c>
      <c r="P6097">
        <v>0</v>
      </c>
      <c r="Q6097">
        <v>1</v>
      </c>
      <c r="R6097" t="s">
        <v>44909</v>
      </c>
      <c r="S6097" t="s">
        <v>45060</v>
      </c>
      <c r="T6097" t="s">
        <v>46427</v>
      </c>
      <c r="U6097" t="s">
        <v>51886</v>
      </c>
      <c r="V6097" t="s">
        <v>59634</v>
      </c>
      <c r="W6097" t="s">
        <v>43044</v>
      </c>
      <c r="X6097" t="s">
        <v>44910</v>
      </c>
    </row>
    <row r="6098" spans="1:24">
      <c r="A6098">
        <f>HYPERLINK("https://www.philgeps.gov.ph/GEPSNONPILOT/Tender/SplashBidNoticeAbstractUI.aspx?menuIndex=3&amp;refID=7077474&amp;Result=3","7077474")</f>
        <v>0</v>
      </c>
      <c r="B6098" t="s">
        <v>1911</v>
      </c>
      <c r="C6098" t="s">
        <v>9345</v>
      </c>
      <c r="D6098" t="s">
        <v>18176</v>
      </c>
      <c r="E6098" t="s">
        <v>23629</v>
      </c>
      <c r="F6098" t="s">
        <v>31362</v>
      </c>
      <c r="G6098" t="s">
        <v>31370</v>
      </c>
      <c r="H6098" t="s">
        <v>15799</v>
      </c>
      <c r="I6098" t="s">
        <v>31404</v>
      </c>
      <c r="J6098" t="s">
        <v>31921</v>
      </c>
      <c r="K6098" t="s">
        <v>40662</v>
      </c>
      <c r="M6098" t="s">
        <v>43007</v>
      </c>
      <c r="N6098" t="s">
        <v>44905</v>
      </c>
      <c r="O6098" t="s">
        <v>44906</v>
      </c>
      <c r="P6098">
        <v>0</v>
      </c>
      <c r="Q6098">
        <v>0</v>
      </c>
      <c r="R6098" t="s">
        <v>44909</v>
      </c>
      <c r="S6098" t="s">
        <v>45060</v>
      </c>
      <c r="T6098" t="s">
        <v>46409</v>
      </c>
      <c r="U6098" t="s">
        <v>51760</v>
      </c>
      <c r="V6098" t="s">
        <v>59616</v>
      </c>
      <c r="W6098" t="s">
        <v>43007</v>
      </c>
      <c r="X6098" t="s">
        <v>44910</v>
      </c>
    </row>
    <row r="6099" spans="1:24">
      <c r="A6099">
        <f>HYPERLINK("https://www.philgeps.gov.ph/GEPSNONPILOT/Tender/SplashBidNoticeAbstractUI.aspx?menuIndex=3&amp;refID=7077472&amp;Result=3","7077472")</f>
        <v>0</v>
      </c>
      <c r="B6099" t="s">
        <v>1706</v>
      </c>
      <c r="C6099" t="s">
        <v>9346</v>
      </c>
      <c r="D6099" t="s">
        <v>18112</v>
      </c>
      <c r="E6099" t="s">
        <v>23630</v>
      </c>
      <c r="F6099" t="s">
        <v>31362</v>
      </c>
      <c r="G6099" t="s">
        <v>31368</v>
      </c>
      <c r="H6099" t="s">
        <v>15799</v>
      </c>
      <c r="I6099" t="s">
        <v>3815</v>
      </c>
      <c r="J6099" t="s">
        <v>35333</v>
      </c>
      <c r="K6099" t="s">
        <v>40661</v>
      </c>
      <c r="M6099" t="s">
        <v>42773</v>
      </c>
      <c r="N6099" t="s">
        <v>44905</v>
      </c>
      <c r="O6099" t="s">
        <v>44906</v>
      </c>
      <c r="P6099">
        <v>0</v>
      </c>
      <c r="Q6099">
        <v>0</v>
      </c>
      <c r="R6099" t="s">
        <v>44909</v>
      </c>
      <c r="S6099" t="s">
        <v>45060</v>
      </c>
      <c r="T6099" t="s">
        <v>46454</v>
      </c>
      <c r="U6099" t="s">
        <v>51887</v>
      </c>
      <c r="W6099" t="s">
        <v>42773</v>
      </c>
      <c r="X6099" t="s">
        <v>44910</v>
      </c>
    </row>
    <row r="6100" spans="1:24">
      <c r="A6100">
        <f>HYPERLINK("https://www.philgeps.gov.ph/GEPSNONPILOT/Tender/SplashBidNoticeAbstractUI.aspx?menuIndex=3&amp;refID=7077433&amp;Result=3","7077433")</f>
        <v>0</v>
      </c>
      <c r="B6100" t="s">
        <v>1940</v>
      </c>
      <c r="C6100" t="s">
        <v>9347</v>
      </c>
      <c r="D6100" t="s">
        <v>18117</v>
      </c>
      <c r="E6100" t="s">
        <v>23631</v>
      </c>
      <c r="F6100" t="s">
        <v>31362</v>
      </c>
      <c r="G6100" t="s">
        <v>31370</v>
      </c>
      <c r="H6100" t="s">
        <v>15799</v>
      </c>
      <c r="I6100" t="s">
        <v>4057</v>
      </c>
      <c r="J6100" t="s">
        <v>32739</v>
      </c>
      <c r="K6100" t="s">
        <v>40697</v>
      </c>
      <c r="M6100" t="s">
        <v>43045</v>
      </c>
      <c r="N6100" t="s">
        <v>44905</v>
      </c>
      <c r="O6100" t="s">
        <v>44906</v>
      </c>
      <c r="P6100">
        <v>0</v>
      </c>
      <c r="Q6100">
        <v>0</v>
      </c>
      <c r="R6100" t="s">
        <v>44909</v>
      </c>
      <c r="S6100" t="s">
        <v>45060</v>
      </c>
      <c r="T6100" t="s">
        <v>46400</v>
      </c>
      <c r="U6100" t="s">
        <v>51888</v>
      </c>
      <c r="W6100" t="s">
        <v>43045</v>
      </c>
      <c r="X6100" t="s">
        <v>44910</v>
      </c>
    </row>
    <row r="6101" spans="1:24">
      <c r="A6101">
        <f>HYPERLINK("https://www.philgeps.gov.ph/GEPSNONPILOT/Tender/SplashBidNoticeAbstractUI.aspx?menuIndex=3&amp;refID=7077469&amp;Result=3","7077469")</f>
        <v>0</v>
      </c>
      <c r="B6101" t="s">
        <v>1941</v>
      </c>
      <c r="C6101" t="s">
        <v>9348</v>
      </c>
      <c r="D6101" t="s">
        <v>18108</v>
      </c>
      <c r="E6101" t="s">
        <v>23632</v>
      </c>
      <c r="F6101" t="s">
        <v>31362</v>
      </c>
      <c r="G6101" t="s">
        <v>31369</v>
      </c>
      <c r="H6101" t="s">
        <v>15799</v>
      </c>
      <c r="I6101" t="s">
        <v>31422</v>
      </c>
      <c r="J6101" t="s">
        <v>35334</v>
      </c>
      <c r="K6101" t="s">
        <v>40675</v>
      </c>
      <c r="M6101" t="s">
        <v>43046</v>
      </c>
      <c r="N6101" t="s">
        <v>44905</v>
      </c>
      <c r="O6101" t="s">
        <v>44906</v>
      </c>
      <c r="P6101">
        <v>0</v>
      </c>
      <c r="Q6101">
        <v>16</v>
      </c>
      <c r="R6101" t="s">
        <v>44909</v>
      </c>
      <c r="S6101" t="s">
        <v>45060</v>
      </c>
      <c r="T6101" t="s">
        <v>46535</v>
      </c>
      <c r="U6101" t="s">
        <v>51889</v>
      </c>
      <c r="W6101" t="s">
        <v>43046</v>
      </c>
      <c r="X6101" t="s">
        <v>44910</v>
      </c>
    </row>
    <row r="6102" spans="1:24">
      <c r="A6102">
        <f>HYPERLINK("https://www.philgeps.gov.ph/GEPSNONPILOT/Tender/SplashBidNoticeAbstractUI.aspx?menuIndex=3&amp;refID=7077467&amp;Result=3","7077467")</f>
        <v>0</v>
      </c>
      <c r="B6102" t="s">
        <v>913</v>
      </c>
      <c r="C6102" t="s">
        <v>6064</v>
      </c>
      <c r="D6102" t="s">
        <v>18176</v>
      </c>
      <c r="E6102" t="s">
        <v>23633</v>
      </c>
      <c r="F6102" t="s">
        <v>31362</v>
      </c>
      <c r="G6102" t="s">
        <v>31369</v>
      </c>
      <c r="H6102" t="s">
        <v>15799</v>
      </c>
      <c r="I6102" t="s">
        <v>31431</v>
      </c>
      <c r="J6102" t="s">
        <v>35335</v>
      </c>
      <c r="K6102" t="s">
        <v>40670</v>
      </c>
      <c r="M6102" t="s">
        <v>41896</v>
      </c>
      <c r="N6102" t="s">
        <v>44905</v>
      </c>
      <c r="O6102" t="s">
        <v>44906</v>
      </c>
      <c r="P6102">
        <v>0</v>
      </c>
      <c r="Q6102">
        <v>0</v>
      </c>
      <c r="R6102" t="s">
        <v>44909</v>
      </c>
      <c r="S6102" t="s">
        <v>45060</v>
      </c>
      <c r="T6102" t="s">
        <v>46426</v>
      </c>
      <c r="U6102" t="s">
        <v>51890</v>
      </c>
      <c r="W6102" t="s">
        <v>41896</v>
      </c>
      <c r="X6102" t="s">
        <v>44910</v>
      </c>
    </row>
    <row r="6103" spans="1:24">
      <c r="A6103">
        <f>HYPERLINK("https://www.philgeps.gov.ph/GEPSNONPILOT/Tender/SplashBidNoticeAbstractUI.aspx?menuIndex=3&amp;refID=7077427&amp;Result=3","7077427")</f>
        <v>0</v>
      </c>
      <c r="B6103" t="s">
        <v>751</v>
      </c>
      <c r="C6103" t="s">
        <v>9349</v>
      </c>
      <c r="D6103" t="s">
        <v>18122</v>
      </c>
      <c r="E6103" t="s">
        <v>23634</v>
      </c>
      <c r="F6103" t="s">
        <v>31362</v>
      </c>
      <c r="G6103" t="s">
        <v>31371</v>
      </c>
      <c r="H6103" t="s">
        <v>15799</v>
      </c>
      <c r="I6103" t="s">
        <v>31385</v>
      </c>
      <c r="J6103" t="s">
        <v>35336</v>
      </c>
      <c r="K6103" t="s">
        <v>40662</v>
      </c>
      <c r="M6103" t="s">
        <v>41719</v>
      </c>
      <c r="N6103" t="s">
        <v>44905</v>
      </c>
      <c r="O6103" t="s">
        <v>44906</v>
      </c>
      <c r="P6103">
        <v>0</v>
      </c>
      <c r="Q6103">
        <v>0</v>
      </c>
      <c r="R6103" t="s">
        <v>44909</v>
      </c>
      <c r="S6103" t="s">
        <v>45060</v>
      </c>
      <c r="T6103" t="s">
        <v>46454</v>
      </c>
      <c r="U6103" t="s">
        <v>51891</v>
      </c>
      <c r="W6103" t="s">
        <v>41719</v>
      </c>
      <c r="X6103" t="s">
        <v>44910</v>
      </c>
    </row>
    <row r="6104" spans="1:24">
      <c r="A6104">
        <f>HYPERLINK("https://www.philgeps.gov.ph/GEPSNONPILOT/Tender/SplashBidNoticeAbstractUI.aspx?menuIndex=3&amp;refID=7077464&amp;Result=3","7077464")</f>
        <v>0</v>
      </c>
      <c r="B6104" t="s">
        <v>1942</v>
      </c>
      <c r="C6104" t="s">
        <v>9350</v>
      </c>
      <c r="D6104" t="s">
        <v>18104</v>
      </c>
      <c r="E6104" t="s">
        <v>22690</v>
      </c>
      <c r="F6104" t="s">
        <v>31362</v>
      </c>
      <c r="G6104" t="s">
        <v>31371</v>
      </c>
      <c r="H6104" t="s">
        <v>15799</v>
      </c>
      <c r="I6104" t="s">
        <v>31385</v>
      </c>
      <c r="J6104" t="s">
        <v>32445</v>
      </c>
      <c r="K6104" t="s">
        <v>40661</v>
      </c>
      <c r="M6104" t="s">
        <v>43047</v>
      </c>
      <c r="N6104" t="s">
        <v>44905</v>
      </c>
      <c r="O6104" t="s">
        <v>44906</v>
      </c>
      <c r="P6104">
        <v>0</v>
      </c>
      <c r="Q6104">
        <v>3</v>
      </c>
      <c r="R6104" t="s">
        <v>44909</v>
      </c>
      <c r="S6104" t="s">
        <v>45060</v>
      </c>
      <c r="T6104" t="s">
        <v>46400</v>
      </c>
      <c r="U6104" t="s">
        <v>51892</v>
      </c>
      <c r="W6104" t="s">
        <v>43047</v>
      </c>
      <c r="X6104" t="s">
        <v>44910</v>
      </c>
    </row>
    <row r="6105" spans="1:24">
      <c r="A6105">
        <f>HYPERLINK("https://www.philgeps.gov.ph/GEPSNONPILOT/Tender/SplashBidNoticeAbstractUI.aspx?menuIndex=3&amp;refID=7077460&amp;Result=3","7077460")</f>
        <v>0</v>
      </c>
      <c r="B6105" t="s">
        <v>348</v>
      </c>
      <c r="C6105" t="s">
        <v>9351</v>
      </c>
      <c r="D6105" t="s">
        <v>18122</v>
      </c>
      <c r="E6105" t="s">
        <v>23635</v>
      </c>
      <c r="F6105" t="s">
        <v>31362</v>
      </c>
      <c r="G6105" t="s">
        <v>31368</v>
      </c>
      <c r="H6105" t="s">
        <v>15799</v>
      </c>
      <c r="I6105" t="s">
        <v>6155</v>
      </c>
      <c r="J6105" t="s">
        <v>33736</v>
      </c>
      <c r="K6105" t="s">
        <v>40661</v>
      </c>
      <c r="M6105" t="s">
        <v>43038</v>
      </c>
      <c r="N6105" t="s">
        <v>44905</v>
      </c>
      <c r="O6105" t="s">
        <v>44906</v>
      </c>
      <c r="P6105">
        <v>0</v>
      </c>
      <c r="Q6105">
        <v>10</v>
      </c>
      <c r="R6105" t="s">
        <v>44909</v>
      </c>
      <c r="S6105" t="s">
        <v>45060</v>
      </c>
      <c r="T6105" t="s">
        <v>46425</v>
      </c>
      <c r="U6105" t="s">
        <v>51893</v>
      </c>
      <c r="W6105" t="s">
        <v>43038</v>
      </c>
      <c r="X6105" t="s">
        <v>44910</v>
      </c>
    </row>
    <row r="6106" spans="1:24">
      <c r="A6106">
        <f>HYPERLINK("https://www.philgeps.gov.ph/GEPSNONPILOT/Tender/SplashBidNoticeAbstractUI.aspx?menuIndex=3&amp;refID=7077473&amp;Result=3","7077473")</f>
        <v>0</v>
      </c>
      <c r="B6106" t="s">
        <v>1827</v>
      </c>
      <c r="C6106" t="s">
        <v>9352</v>
      </c>
      <c r="D6106" t="s">
        <v>18138</v>
      </c>
      <c r="E6106" t="s">
        <v>23636</v>
      </c>
      <c r="F6106" t="s">
        <v>31362</v>
      </c>
      <c r="G6106" t="s">
        <v>31368</v>
      </c>
      <c r="H6106" t="s">
        <v>15799</v>
      </c>
      <c r="I6106" t="s">
        <v>7090</v>
      </c>
      <c r="J6106" t="s">
        <v>35337</v>
      </c>
      <c r="K6106" t="s">
        <v>40670</v>
      </c>
      <c r="M6106" t="s">
        <v>42911</v>
      </c>
      <c r="N6106" t="s">
        <v>44905</v>
      </c>
      <c r="O6106" t="s">
        <v>44906</v>
      </c>
      <c r="P6106">
        <v>0</v>
      </c>
      <c r="Q6106">
        <v>1</v>
      </c>
      <c r="R6106" t="s">
        <v>44909</v>
      </c>
      <c r="S6106" t="s">
        <v>45060</v>
      </c>
      <c r="T6106" t="s">
        <v>46443</v>
      </c>
      <c r="U6106" t="s">
        <v>51480</v>
      </c>
      <c r="V6106" t="s">
        <v>59596</v>
      </c>
      <c r="W6106" t="s">
        <v>42911</v>
      </c>
      <c r="X6106" t="s">
        <v>44910</v>
      </c>
    </row>
    <row r="6107" spans="1:24">
      <c r="A6107">
        <f>HYPERLINK("https://www.philgeps.gov.ph/GEPSNONPILOT/Tender/SplashBidNoticeAbstractUI.aspx?menuIndex=3&amp;refID=7077445&amp;Result=3","7077445")</f>
        <v>0</v>
      </c>
      <c r="B6107" t="s">
        <v>1943</v>
      </c>
      <c r="C6107" t="s">
        <v>8084</v>
      </c>
      <c r="D6107" t="s">
        <v>18138</v>
      </c>
      <c r="E6107" t="s">
        <v>23637</v>
      </c>
      <c r="F6107" t="s">
        <v>31362</v>
      </c>
      <c r="G6107" t="s">
        <v>31370</v>
      </c>
      <c r="H6107" t="s">
        <v>15799</v>
      </c>
      <c r="I6107" t="s">
        <v>31385</v>
      </c>
      <c r="J6107" t="s">
        <v>31546</v>
      </c>
      <c r="K6107" t="s">
        <v>40672</v>
      </c>
      <c r="M6107" t="s">
        <v>43048</v>
      </c>
      <c r="N6107" t="s">
        <v>44905</v>
      </c>
      <c r="O6107" t="s">
        <v>44906</v>
      </c>
      <c r="P6107">
        <v>0</v>
      </c>
      <c r="Q6107">
        <v>1</v>
      </c>
      <c r="R6107" t="s">
        <v>44909</v>
      </c>
      <c r="S6107" t="s">
        <v>45060</v>
      </c>
      <c r="T6107" t="s">
        <v>46414</v>
      </c>
      <c r="U6107" t="s">
        <v>51894</v>
      </c>
      <c r="W6107" t="s">
        <v>43048</v>
      </c>
      <c r="X6107" t="s">
        <v>44910</v>
      </c>
    </row>
    <row r="6108" spans="1:24">
      <c r="A6108">
        <f>HYPERLINK("https://www.philgeps.gov.ph/GEPSNONPILOT/Tender/SplashBidNoticeAbstractUI.aspx?menuIndex=3&amp;refID=7077459&amp;Result=3","7077459")</f>
        <v>0</v>
      </c>
      <c r="B6108" t="s">
        <v>1599</v>
      </c>
      <c r="C6108" t="s">
        <v>9353</v>
      </c>
      <c r="D6108" t="s">
        <v>18139</v>
      </c>
      <c r="E6108" t="s">
        <v>23638</v>
      </c>
      <c r="F6108" t="s">
        <v>31362</v>
      </c>
      <c r="G6108" t="s">
        <v>31370</v>
      </c>
      <c r="H6108" t="s">
        <v>15799</v>
      </c>
      <c r="I6108" t="s">
        <v>31430</v>
      </c>
      <c r="J6108" t="s">
        <v>35338</v>
      </c>
      <c r="K6108" t="s">
        <v>40661</v>
      </c>
      <c r="M6108" t="s">
        <v>42658</v>
      </c>
      <c r="N6108" t="s">
        <v>44905</v>
      </c>
      <c r="O6108" t="s">
        <v>44906</v>
      </c>
      <c r="P6108">
        <v>0</v>
      </c>
      <c r="Q6108">
        <v>2</v>
      </c>
      <c r="R6108" t="s">
        <v>44909</v>
      </c>
      <c r="S6108" t="s">
        <v>45060</v>
      </c>
      <c r="T6108" t="s">
        <v>46467</v>
      </c>
      <c r="U6108" t="s">
        <v>51895</v>
      </c>
      <c r="V6108" t="s">
        <v>59635</v>
      </c>
      <c r="W6108" t="s">
        <v>42658</v>
      </c>
      <c r="X6108" t="s">
        <v>44910</v>
      </c>
    </row>
    <row r="6109" spans="1:24">
      <c r="A6109">
        <f>HYPERLINK("https://www.philgeps.gov.ph/GEPSNONPILOT/Tender/SplashBidNoticeAbstractUI.aspx?menuIndex=3&amp;refID=7077455&amp;Result=3","7077455")</f>
        <v>0</v>
      </c>
      <c r="B6109" t="s">
        <v>675</v>
      </c>
      <c r="C6109" t="s">
        <v>9354</v>
      </c>
      <c r="D6109" t="s">
        <v>18111</v>
      </c>
      <c r="E6109" t="s">
        <v>23639</v>
      </c>
      <c r="F6109" t="s">
        <v>31362</v>
      </c>
      <c r="G6109" t="s">
        <v>31368</v>
      </c>
      <c r="H6109" t="s">
        <v>15799</v>
      </c>
      <c r="I6109" t="s">
        <v>7188</v>
      </c>
      <c r="J6109" t="s">
        <v>31546</v>
      </c>
      <c r="K6109" t="s">
        <v>40662</v>
      </c>
      <c r="M6109" t="s">
        <v>41637</v>
      </c>
      <c r="N6109" t="s">
        <v>44905</v>
      </c>
      <c r="O6109" t="s">
        <v>44906</v>
      </c>
      <c r="P6109">
        <v>0</v>
      </c>
      <c r="Q6109">
        <v>5</v>
      </c>
      <c r="R6109" t="s">
        <v>44909</v>
      </c>
      <c r="S6109" t="s">
        <v>45060</v>
      </c>
      <c r="T6109" t="s">
        <v>46483</v>
      </c>
      <c r="U6109" t="s">
        <v>49915</v>
      </c>
      <c r="W6109" t="s">
        <v>41637</v>
      </c>
      <c r="X6109" t="s">
        <v>44910</v>
      </c>
    </row>
    <row r="6110" spans="1:24">
      <c r="A6110">
        <f>HYPERLINK("https://www.philgeps.gov.ph/GEPSNONPILOT/Tender/SplashBidNoticeAbstractUI.aspx?menuIndex=3&amp;refID=7077466&amp;Result=3","7077466")</f>
        <v>0</v>
      </c>
      <c r="B6110" t="s">
        <v>855</v>
      </c>
      <c r="C6110" t="s">
        <v>9355</v>
      </c>
      <c r="D6110" t="s">
        <v>18110</v>
      </c>
      <c r="E6110" t="s">
        <v>23640</v>
      </c>
      <c r="F6110" t="s">
        <v>31362</v>
      </c>
      <c r="G6110" t="s">
        <v>31368</v>
      </c>
      <c r="H6110" t="s">
        <v>15799</v>
      </c>
      <c r="I6110" t="s">
        <v>7719</v>
      </c>
      <c r="J6110" t="s">
        <v>32026</v>
      </c>
      <c r="K6110" t="s">
        <v>40682</v>
      </c>
      <c r="M6110" t="s">
        <v>41831</v>
      </c>
      <c r="N6110" t="s">
        <v>44905</v>
      </c>
      <c r="O6110" t="s">
        <v>44906</v>
      </c>
      <c r="P6110">
        <v>0</v>
      </c>
      <c r="Q6110">
        <v>25</v>
      </c>
      <c r="R6110" t="s">
        <v>44909</v>
      </c>
      <c r="S6110" t="s">
        <v>45060</v>
      </c>
      <c r="T6110" t="s">
        <v>46428</v>
      </c>
      <c r="U6110" t="s">
        <v>49044</v>
      </c>
      <c r="W6110" t="s">
        <v>41831</v>
      </c>
      <c r="X6110" t="s">
        <v>44910</v>
      </c>
    </row>
    <row r="6111" spans="1:24">
      <c r="A6111">
        <f>HYPERLINK("https://www.philgeps.gov.ph/GEPSNONPILOT/Tender/SplashBidNoticeAbstractUI.aspx?menuIndex=3&amp;refID=7077425&amp;Result=3","7077425")</f>
        <v>0</v>
      </c>
      <c r="B6111" t="s">
        <v>1944</v>
      </c>
      <c r="C6111" t="s">
        <v>8816</v>
      </c>
      <c r="D6111" t="s">
        <v>18152</v>
      </c>
      <c r="E6111" t="s">
        <v>23641</v>
      </c>
      <c r="F6111" t="s">
        <v>31363</v>
      </c>
      <c r="G6111" t="s">
        <v>31369</v>
      </c>
      <c r="H6111" t="s">
        <v>31379</v>
      </c>
      <c r="I6111" t="s">
        <v>6373</v>
      </c>
      <c r="J6111" t="s">
        <v>35339</v>
      </c>
      <c r="K6111" t="s">
        <v>40666</v>
      </c>
      <c r="M6111" t="s">
        <v>43049</v>
      </c>
      <c r="N6111" t="s">
        <v>44905</v>
      </c>
      <c r="O6111" t="s">
        <v>44906</v>
      </c>
      <c r="P6111">
        <v>0</v>
      </c>
      <c r="Q6111">
        <v>5</v>
      </c>
      <c r="R6111" t="s">
        <v>44909</v>
      </c>
      <c r="S6111" t="s">
        <v>45060</v>
      </c>
      <c r="T6111" t="s">
        <v>46402</v>
      </c>
      <c r="U6111" t="s">
        <v>51896</v>
      </c>
      <c r="V6111" t="s">
        <v>59636</v>
      </c>
      <c r="W6111" t="s">
        <v>43049</v>
      </c>
      <c r="X6111" t="s">
        <v>44910</v>
      </c>
    </row>
    <row r="6112" spans="1:24">
      <c r="A6112">
        <f>HYPERLINK("https://www.philgeps.gov.ph/GEPSNONPILOT/Tender/SplashBidNoticeAbstractUI.aspx?menuIndex=3&amp;refID=7077454&amp;Result=3","7077454")</f>
        <v>0</v>
      </c>
      <c r="B6112" t="s">
        <v>1816</v>
      </c>
      <c r="C6112" t="s">
        <v>9356</v>
      </c>
      <c r="D6112" t="s">
        <v>18141</v>
      </c>
      <c r="E6112" t="s">
        <v>23642</v>
      </c>
      <c r="F6112" t="s">
        <v>31362</v>
      </c>
      <c r="G6112" t="s">
        <v>31369</v>
      </c>
      <c r="H6112" t="s">
        <v>31378</v>
      </c>
      <c r="I6112" t="s">
        <v>31386</v>
      </c>
      <c r="J6112" t="s">
        <v>35340</v>
      </c>
      <c r="K6112" t="s">
        <v>40684</v>
      </c>
      <c r="M6112" t="s">
        <v>42899</v>
      </c>
      <c r="N6112" t="s">
        <v>44905</v>
      </c>
      <c r="O6112" t="s">
        <v>44906</v>
      </c>
      <c r="P6112">
        <v>0</v>
      </c>
      <c r="Q6112">
        <v>0</v>
      </c>
      <c r="R6112" t="s">
        <v>44909</v>
      </c>
      <c r="S6112" t="s">
        <v>45060</v>
      </c>
      <c r="T6112" t="s">
        <v>46671</v>
      </c>
      <c r="U6112" t="s">
        <v>51897</v>
      </c>
      <c r="W6112" t="s">
        <v>42899</v>
      </c>
      <c r="X6112" t="s">
        <v>44910</v>
      </c>
    </row>
    <row r="6113" spans="1:24">
      <c r="A6113">
        <f>HYPERLINK("https://www.philgeps.gov.ph/GEPSNONPILOT/Tender/SplashBidNoticeAbstractUI.aspx?menuIndex=3&amp;refID=7077463&amp;Result=3","7077463")</f>
        <v>0</v>
      </c>
      <c r="B6113" t="s">
        <v>1945</v>
      </c>
      <c r="C6113" t="s">
        <v>9357</v>
      </c>
      <c r="D6113" t="s">
        <v>18110</v>
      </c>
      <c r="E6113" t="s">
        <v>23643</v>
      </c>
      <c r="F6113" t="s">
        <v>31362</v>
      </c>
      <c r="G6113" t="s">
        <v>31369</v>
      </c>
      <c r="H6113" t="s">
        <v>31378</v>
      </c>
      <c r="I6113" t="s">
        <v>3815</v>
      </c>
      <c r="J6113" t="s">
        <v>35341</v>
      </c>
      <c r="K6113" t="s">
        <v>40666</v>
      </c>
      <c r="M6113" t="s">
        <v>43050</v>
      </c>
      <c r="N6113" t="s">
        <v>44905</v>
      </c>
      <c r="O6113" t="s">
        <v>44906</v>
      </c>
      <c r="P6113">
        <v>0</v>
      </c>
      <c r="Q6113">
        <v>1</v>
      </c>
      <c r="R6113" t="s">
        <v>44909</v>
      </c>
      <c r="S6113" t="s">
        <v>45060</v>
      </c>
      <c r="T6113" t="s">
        <v>46549</v>
      </c>
      <c r="U6113" t="s">
        <v>51898</v>
      </c>
      <c r="V6113" t="s">
        <v>59637</v>
      </c>
      <c r="W6113" t="s">
        <v>43050</v>
      </c>
      <c r="X6113" t="s">
        <v>44910</v>
      </c>
    </row>
    <row r="6114" spans="1:24">
      <c r="A6114">
        <f>HYPERLINK("https://www.philgeps.gov.ph/GEPSNONPILOT/Tender/SplashBidNoticeAbstractUI.aspx?menuIndex=3&amp;refID=7077452&amp;Result=3","7077452")</f>
        <v>0</v>
      </c>
      <c r="B6114" t="s">
        <v>1883</v>
      </c>
      <c r="C6114" t="s">
        <v>9358</v>
      </c>
      <c r="D6114" t="s">
        <v>18108</v>
      </c>
      <c r="E6114" t="s">
        <v>23644</v>
      </c>
      <c r="F6114" t="s">
        <v>31362</v>
      </c>
      <c r="G6114" t="s">
        <v>31368</v>
      </c>
      <c r="H6114" t="s">
        <v>15799</v>
      </c>
      <c r="I6114" t="s">
        <v>3815</v>
      </c>
      <c r="J6114" t="s">
        <v>35342</v>
      </c>
      <c r="K6114" t="s">
        <v>40682</v>
      </c>
      <c r="M6114" t="s">
        <v>42976</v>
      </c>
      <c r="N6114" t="s">
        <v>44905</v>
      </c>
      <c r="O6114" t="s">
        <v>44906</v>
      </c>
      <c r="P6114">
        <v>0</v>
      </c>
      <c r="Q6114">
        <v>0</v>
      </c>
      <c r="R6114" t="s">
        <v>44909</v>
      </c>
      <c r="S6114" t="s">
        <v>45060</v>
      </c>
      <c r="T6114" t="s">
        <v>46435</v>
      </c>
      <c r="U6114" t="s">
        <v>51826</v>
      </c>
      <c r="W6114" t="s">
        <v>42976</v>
      </c>
      <c r="X6114" t="s">
        <v>44910</v>
      </c>
    </row>
    <row r="6115" spans="1:24">
      <c r="A6115">
        <f>HYPERLINK("https://www.philgeps.gov.ph/GEPSNONPILOT/Tender/SplashBidNoticeAbstractUI.aspx?menuIndex=3&amp;refID=7077449&amp;Result=3","7077449")</f>
        <v>0</v>
      </c>
      <c r="B6115" t="s">
        <v>1101</v>
      </c>
      <c r="C6115" t="s">
        <v>9359</v>
      </c>
      <c r="D6115" t="s">
        <v>18138</v>
      </c>
      <c r="E6115" t="s">
        <v>23645</v>
      </c>
      <c r="F6115" t="s">
        <v>31362</v>
      </c>
      <c r="G6115" t="s">
        <v>31368</v>
      </c>
      <c r="H6115" t="s">
        <v>15799</v>
      </c>
      <c r="I6115" t="s">
        <v>31385</v>
      </c>
      <c r="J6115" t="s">
        <v>35343</v>
      </c>
      <c r="K6115" t="s">
        <v>40665</v>
      </c>
      <c r="M6115" t="s">
        <v>42106</v>
      </c>
      <c r="N6115" t="s">
        <v>44905</v>
      </c>
      <c r="O6115" t="s">
        <v>44906</v>
      </c>
      <c r="P6115">
        <v>0</v>
      </c>
      <c r="Q6115">
        <v>0</v>
      </c>
      <c r="R6115" t="s">
        <v>44909</v>
      </c>
      <c r="S6115" t="s">
        <v>45060</v>
      </c>
      <c r="T6115" t="s">
        <v>46432</v>
      </c>
      <c r="U6115" t="s">
        <v>51899</v>
      </c>
      <c r="V6115" t="s">
        <v>59375</v>
      </c>
      <c r="W6115" t="s">
        <v>42106</v>
      </c>
      <c r="X6115" t="s">
        <v>44910</v>
      </c>
    </row>
    <row r="6116" spans="1:24">
      <c r="A6116">
        <f>HYPERLINK("https://www.philgeps.gov.ph/GEPSNONPILOT/Tender/SplashBidNoticeAbstractUI.aspx?menuIndex=3&amp;refID=7077423&amp;Result=3","7077423")</f>
        <v>0</v>
      </c>
      <c r="B6116" t="s">
        <v>1946</v>
      </c>
      <c r="C6116" t="s">
        <v>6977</v>
      </c>
      <c r="D6116" t="s">
        <v>18143</v>
      </c>
      <c r="E6116" t="s">
        <v>21440</v>
      </c>
      <c r="F6116" t="s">
        <v>31362</v>
      </c>
      <c r="G6116" t="s">
        <v>31369</v>
      </c>
      <c r="H6116" t="s">
        <v>15799</v>
      </c>
      <c r="I6116" t="s">
        <v>31387</v>
      </c>
      <c r="J6116" t="s">
        <v>35344</v>
      </c>
      <c r="K6116" t="s">
        <v>40665</v>
      </c>
      <c r="M6116" t="s">
        <v>43051</v>
      </c>
      <c r="N6116" t="s">
        <v>44905</v>
      </c>
      <c r="O6116" t="s">
        <v>44906</v>
      </c>
      <c r="P6116">
        <v>0</v>
      </c>
      <c r="Q6116">
        <v>1</v>
      </c>
      <c r="R6116" t="s">
        <v>44909</v>
      </c>
      <c r="S6116" t="s">
        <v>45060</v>
      </c>
      <c r="T6116" t="s">
        <v>46435</v>
      </c>
      <c r="U6116" t="s">
        <v>51900</v>
      </c>
      <c r="W6116" t="s">
        <v>43051</v>
      </c>
      <c r="X6116" t="s">
        <v>44910</v>
      </c>
    </row>
    <row r="6117" spans="1:24">
      <c r="A6117">
        <f>HYPERLINK("https://www.philgeps.gov.ph/GEPSNONPILOT/Tender/SplashBidNoticeAbstractUI.aspx?menuIndex=3&amp;refID=7077480&amp;Result=3","7077480")</f>
        <v>0</v>
      </c>
      <c r="B6117" t="s">
        <v>325</v>
      </c>
      <c r="C6117" t="s">
        <v>9360</v>
      </c>
      <c r="E6117" t="s">
        <v>23646</v>
      </c>
      <c r="F6117" t="s">
        <v>31362</v>
      </c>
      <c r="G6117" t="s">
        <v>31368</v>
      </c>
      <c r="H6117" t="s">
        <v>15799</v>
      </c>
      <c r="I6117" t="s">
        <v>31397</v>
      </c>
      <c r="J6117" t="s">
        <v>35345</v>
      </c>
      <c r="K6117" t="s">
        <v>40662</v>
      </c>
      <c r="M6117" t="s">
        <v>41271</v>
      </c>
      <c r="N6117" t="s">
        <v>44905</v>
      </c>
      <c r="O6117" t="s">
        <v>44906</v>
      </c>
      <c r="P6117">
        <v>0</v>
      </c>
      <c r="Q6117">
        <v>2</v>
      </c>
      <c r="R6117" t="s">
        <v>44909</v>
      </c>
      <c r="S6117" t="s">
        <v>45060</v>
      </c>
      <c r="T6117" t="s">
        <v>46394</v>
      </c>
      <c r="U6117" t="s">
        <v>51901</v>
      </c>
      <c r="W6117" t="s">
        <v>41271</v>
      </c>
      <c r="X6117" t="s">
        <v>44910</v>
      </c>
    </row>
    <row r="6118" spans="1:24">
      <c r="A6118">
        <f>HYPERLINK("https://www.philgeps.gov.ph/GEPSNONPILOT/Tender/SplashBidNoticeAbstractUI.aspx?menuIndex=3&amp;refID=7077477&amp;Result=3","7077477")</f>
        <v>0</v>
      </c>
      <c r="B6118" t="s">
        <v>1947</v>
      </c>
      <c r="C6118" t="s">
        <v>9361</v>
      </c>
      <c r="D6118" t="s">
        <v>18134</v>
      </c>
      <c r="E6118" t="s">
        <v>23647</v>
      </c>
      <c r="F6118" t="s">
        <v>31362</v>
      </c>
      <c r="G6118" t="s">
        <v>31368</v>
      </c>
      <c r="H6118" t="s">
        <v>15799</v>
      </c>
      <c r="I6118" t="s">
        <v>31431</v>
      </c>
      <c r="J6118" t="s">
        <v>35346</v>
      </c>
      <c r="K6118" t="s">
        <v>40693</v>
      </c>
      <c r="M6118" t="s">
        <v>43052</v>
      </c>
      <c r="N6118" t="s">
        <v>44905</v>
      </c>
      <c r="O6118" t="s">
        <v>44906</v>
      </c>
      <c r="P6118">
        <v>0</v>
      </c>
      <c r="Q6118">
        <v>0</v>
      </c>
      <c r="R6118" t="s">
        <v>44909</v>
      </c>
      <c r="S6118" t="s">
        <v>45060</v>
      </c>
      <c r="T6118" t="s">
        <v>46414</v>
      </c>
      <c r="U6118" t="s">
        <v>51902</v>
      </c>
      <c r="W6118" t="s">
        <v>43052</v>
      </c>
      <c r="X6118" t="s">
        <v>44910</v>
      </c>
    </row>
    <row r="6119" spans="1:24">
      <c r="A6119">
        <f>HYPERLINK("https://www.philgeps.gov.ph/GEPSNONPILOT/Tender/SplashBidNoticeAbstractUI.aspx?menuIndex=3&amp;refID=7077457&amp;Result=3","7077457")</f>
        <v>0</v>
      </c>
      <c r="B6119" t="s">
        <v>1115</v>
      </c>
      <c r="C6119" t="s">
        <v>9362</v>
      </c>
      <c r="D6119" t="s">
        <v>18104</v>
      </c>
      <c r="E6119" t="s">
        <v>23648</v>
      </c>
      <c r="F6119" t="s">
        <v>31362</v>
      </c>
      <c r="G6119" t="s">
        <v>31368</v>
      </c>
      <c r="H6119" t="s">
        <v>31378</v>
      </c>
      <c r="I6119" t="s">
        <v>31386</v>
      </c>
      <c r="J6119" t="s">
        <v>31625</v>
      </c>
      <c r="K6119" t="s">
        <v>40686</v>
      </c>
      <c r="M6119" t="s">
        <v>42977</v>
      </c>
      <c r="N6119" t="s">
        <v>44905</v>
      </c>
      <c r="O6119" t="s">
        <v>44906</v>
      </c>
      <c r="P6119">
        <v>0</v>
      </c>
      <c r="Q6119">
        <v>0</v>
      </c>
      <c r="R6119" t="s">
        <v>44909</v>
      </c>
      <c r="S6119" t="s">
        <v>45060</v>
      </c>
      <c r="T6119" t="s">
        <v>46470</v>
      </c>
      <c r="U6119" t="s">
        <v>51903</v>
      </c>
      <c r="W6119" t="s">
        <v>42977</v>
      </c>
      <c r="X6119" t="s">
        <v>44910</v>
      </c>
    </row>
    <row r="6120" spans="1:24">
      <c r="A6120">
        <f>HYPERLINK("https://www.philgeps.gov.ph/GEPSNONPILOT/Tender/SplashBidNoticeAbstractUI.aspx?menuIndex=3&amp;refID=7077458&amp;Result=3","7077458")</f>
        <v>0</v>
      </c>
      <c r="B6120" t="s">
        <v>1389</v>
      </c>
      <c r="C6120" t="s">
        <v>9363</v>
      </c>
      <c r="D6120" t="s">
        <v>18127</v>
      </c>
      <c r="E6120" t="s">
        <v>23649</v>
      </c>
      <c r="F6120" t="s">
        <v>31362</v>
      </c>
      <c r="G6120" t="s">
        <v>31369</v>
      </c>
      <c r="H6120" t="s">
        <v>15799</v>
      </c>
      <c r="I6120" t="s">
        <v>31404</v>
      </c>
      <c r="J6120" t="s">
        <v>35347</v>
      </c>
      <c r="K6120" t="s">
        <v>40662</v>
      </c>
      <c r="M6120" t="s">
        <v>42414</v>
      </c>
      <c r="N6120" t="s">
        <v>44905</v>
      </c>
      <c r="O6120" t="s">
        <v>44906</v>
      </c>
      <c r="P6120">
        <v>0</v>
      </c>
      <c r="Q6120">
        <v>0</v>
      </c>
      <c r="R6120" t="s">
        <v>44909</v>
      </c>
      <c r="S6120" t="s">
        <v>45060</v>
      </c>
      <c r="T6120" t="s">
        <v>46398</v>
      </c>
      <c r="U6120" t="s">
        <v>51904</v>
      </c>
      <c r="W6120" t="s">
        <v>42414</v>
      </c>
      <c r="X6120" t="s">
        <v>44910</v>
      </c>
    </row>
    <row r="6121" spans="1:24">
      <c r="A6121">
        <f>HYPERLINK("https://www.philgeps.gov.ph/GEPSNONPILOT/Tender/SplashBidNoticeAbstractUI.aspx?menuIndex=3&amp;refID=7077501&amp;Result=3","7077501")</f>
        <v>0</v>
      </c>
      <c r="B6121" t="s">
        <v>1883</v>
      </c>
      <c r="C6121" t="s">
        <v>9364</v>
      </c>
      <c r="D6121" t="s">
        <v>18108</v>
      </c>
      <c r="E6121" t="s">
        <v>23650</v>
      </c>
      <c r="F6121" t="s">
        <v>31362</v>
      </c>
      <c r="G6121" t="s">
        <v>31368</v>
      </c>
      <c r="H6121" t="s">
        <v>15799</v>
      </c>
      <c r="I6121" t="s">
        <v>3815</v>
      </c>
      <c r="J6121" t="s">
        <v>35348</v>
      </c>
      <c r="K6121" t="s">
        <v>40682</v>
      </c>
      <c r="M6121" t="s">
        <v>42976</v>
      </c>
      <c r="N6121" t="s">
        <v>44905</v>
      </c>
      <c r="O6121" t="s">
        <v>44906</v>
      </c>
      <c r="P6121">
        <v>0</v>
      </c>
      <c r="Q6121">
        <v>0</v>
      </c>
      <c r="R6121" t="s">
        <v>44909</v>
      </c>
      <c r="S6121" t="s">
        <v>45060</v>
      </c>
      <c r="T6121" t="s">
        <v>46435</v>
      </c>
      <c r="U6121" t="s">
        <v>51826</v>
      </c>
      <c r="W6121" t="s">
        <v>42976</v>
      </c>
      <c r="X6121" t="s">
        <v>44910</v>
      </c>
    </row>
    <row r="6122" spans="1:24">
      <c r="A6122">
        <f>HYPERLINK("https://www.philgeps.gov.ph/GEPSNONPILOT/Tender/SplashBidNoticeAbstractUI.aspx?menuIndex=3&amp;refID=7077448&amp;Result=3","7077448")</f>
        <v>0</v>
      </c>
      <c r="B6122" t="s">
        <v>1073</v>
      </c>
      <c r="C6122" t="s">
        <v>9365</v>
      </c>
      <c r="D6122" t="s">
        <v>18121</v>
      </c>
      <c r="E6122" t="s">
        <v>23651</v>
      </c>
      <c r="F6122" t="s">
        <v>31362</v>
      </c>
      <c r="G6122" t="s">
        <v>31368</v>
      </c>
      <c r="H6122" t="s">
        <v>15799</v>
      </c>
      <c r="I6122" t="s">
        <v>31431</v>
      </c>
      <c r="J6122" t="s">
        <v>31532</v>
      </c>
      <c r="K6122" t="s">
        <v>40662</v>
      </c>
      <c r="M6122" t="s">
        <v>42075</v>
      </c>
      <c r="N6122" t="s">
        <v>44905</v>
      </c>
      <c r="O6122" t="s">
        <v>44906</v>
      </c>
      <c r="P6122">
        <v>0</v>
      </c>
      <c r="Q6122">
        <v>0</v>
      </c>
      <c r="R6122" t="s">
        <v>44909</v>
      </c>
      <c r="S6122" t="s">
        <v>45060</v>
      </c>
      <c r="T6122" t="s">
        <v>46409</v>
      </c>
      <c r="U6122" t="s">
        <v>51905</v>
      </c>
      <c r="W6122" t="s">
        <v>42075</v>
      </c>
      <c r="X6122" t="s">
        <v>44910</v>
      </c>
    </row>
    <row r="6123" spans="1:24">
      <c r="A6123">
        <f>HYPERLINK("https://www.philgeps.gov.ph/GEPSNONPILOT/Tender/SplashBidNoticeAbstractUI.aspx?menuIndex=3&amp;refID=7077453&amp;Result=3","7077453")</f>
        <v>0</v>
      </c>
      <c r="B6123" t="s">
        <v>1057</v>
      </c>
      <c r="C6123" t="s">
        <v>9366</v>
      </c>
      <c r="D6123" t="s">
        <v>18163</v>
      </c>
      <c r="E6123" t="s">
        <v>23652</v>
      </c>
      <c r="F6123" t="s">
        <v>31362</v>
      </c>
      <c r="G6123" t="s">
        <v>31369</v>
      </c>
      <c r="H6123" t="s">
        <v>15799</v>
      </c>
      <c r="I6123" t="s">
        <v>31480</v>
      </c>
      <c r="J6123" t="s">
        <v>35349</v>
      </c>
      <c r="K6123" t="s">
        <v>40667</v>
      </c>
      <c r="M6123" t="s">
        <v>42058</v>
      </c>
      <c r="N6123" t="s">
        <v>44905</v>
      </c>
      <c r="O6123" t="s">
        <v>44906</v>
      </c>
      <c r="P6123">
        <v>0</v>
      </c>
      <c r="Q6123">
        <v>0</v>
      </c>
      <c r="R6123" t="s">
        <v>44909</v>
      </c>
      <c r="S6123" t="s">
        <v>45060</v>
      </c>
      <c r="T6123" t="s">
        <v>46435</v>
      </c>
      <c r="U6123" t="s">
        <v>51876</v>
      </c>
      <c r="V6123" t="s">
        <v>59638</v>
      </c>
      <c r="W6123" t="s">
        <v>42058</v>
      </c>
      <c r="X6123" t="s">
        <v>44910</v>
      </c>
    </row>
    <row r="6124" spans="1:24">
      <c r="A6124">
        <f>HYPERLINK("https://www.philgeps.gov.ph/GEPSNONPILOT/Tender/SplashBidNoticeAbstractUI.aspx?menuIndex=3&amp;refID=7077494&amp;Result=3","7077494")</f>
        <v>0</v>
      </c>
      <c r="B6124" t="s">
        <v>1930</v>
      </c>
      <c r="C6124" t="s">
        <v>9367</v>
      </c>
      <c r="D6124" t="s">
        <v>18154</v>
      </c>
      <c r="E6124" t="s">
        <v>23653</v>
      </c>
      <c r="F6124" t="s">
        <v>31363</v>
      </c>
      <c r="G6124" t="s">
        <v>31369</v>
      </c>
      <c r="H6124" t="s">
        <v>31378</v>
      </c>
      <c r="I6124" t="s">
        <v>31386</v>
      </c>
      <c r="J6124" t="s">
        <v>31591</v>
      </c>
      <c r="K6124" t="s">
        <v>40681</v>
      </c>
      <c r="M6124" t="s">
        <v>43030</v>
      </c>
      <c r="N6124" t="s">
        <v>44905</v>
      </c>
      <c r="O6124" t="s">
        <v>44906</v>
      </c>
      <c r="P6124">
        <v>0</v>
      </c>
      <c r="Q6124">
        <v>0</v>
      </c>
      <c r="R6124" t="s">
        <v>44909</v>
      </c>
      <c r="S6124" t="s">
        <v>45060</v>
      </c>
      <c r="T6124" t="s">
        <v>46504</v>
      </c>
      <c r="U6124" t="s">
        <v>51906</v>
      </c>
      <c r="W6124" t="s">
        <v>43030</v>
      </c>
      <c r="X6124" t="s">
        <v>44910</v>
      </c>
    </row>
    <row r="6125" spans="1:24">
      <c r="A6125">
        <f>HYPERLINK("https://www.philgeps.gov.ph/GEPSNONPILOT/Tender/SplashBidNoticeAbstractUI.aspx?menuIndex=3&amp;refID=7077478&amp;Result=3","7077478")</f>
        <v>0</v>
      </c>
      <c r="B6125" t="s">
        <v>1544</v>
      </c>
      <c r="C6125" t="s">
        <v>9368</v>
      </c>
      <c r="D6125" t="s">
        <v>18172</v>
      </c>
      <c r="E6125" t="s">
        <v>23654</v>
      </c>
      <c r="F6125" t="s">
        <v>31362</v>
      </c>
      <c r="G6125" t="s">
        <v>31368</v>
      </c>
      <c r="H6125" t="s">
        <v>15799</v>
      </c>
      <c r="I6125" t="s">
        <v>31431</v>
      </c>
      <c r="J6125" t="s">
        <v>35350</v>
      </c>
      <c r="K6125" t="s">
        <v>40666</v>
      </c>
      <c r="M6125" t="s">
        <v>42591</v>
      </c>
      <c r="N6125" t="s">
        <v>44905</v>
      </c>
      <c r="O6125" t="s">
        <v>44906</v>
      </c>
      <c r="P6125">
        <v>0</v>
      </c>
      <c r="Q6125">
        <v>0</v>
      </c>
      <c r="R6125" t="s">
        <v>44909</v>
      </c>
      <c r="S6125" t="s">
        <v>45060</v>
      </c>
      <c r="T6125" t="s">
        <v>46409</v>
      </c>
      <c r="U6125" t="s">
        <v>51907</v>
      </c>
      <c r="W6125" t="s">
        <v>42591</v>
      </c>
      <c r="X6125" t="s">
        <v>44910</v>
      </c>
    </row>
    <row r="6126" spans="1:24">
      <c r="A6126">
        <f>HYPERLINK("https://www.philgeps.gov.ph/GEPSNONPILOT/Tender/SplashBidNoticeAbstractUI.aspx?menuIndex=3&amp;refID=7077507&amp;Result=3","7077507")</f>
        <v>0</v>
      </c>
      <c r="B6126" t="s">
        <v>218</v>
      </c>
      <c r="C6126" t="s">
        <v>9369</v>
      </c>
      <c r="D6126" t="s">
        <v>18101</v>
      </c>
      <c r="E6126" t="s">
        <v>23655</v>
      </c>
      <c r="F6126" t="s">
        <v>31362</v>
      </c>
      <c r="G6126" t="s">
        <v>31369</v>
      </c>
      <c r="H6126" t="s">
        <v>31378</v>
      </c>
      <c r="I6126" t="s">
        <v>31435</v>
      </c>
      <c r="J6126" t="s">
        <v>35351</v>
      </c>
      <c r="K6126" t="s">
        <v>40692</v>
      </c>
      <c r="M6126" t="s">
        <v>41157</v>
      </c>
      <c r="N6126" t="s">
        <v>44905</v>
      </c>
      <c r="O6126" t="s">
        <v>44906</v>
      </c>
      <c r="Q6126">
        <v>4</v>
      </c>
      <c r="R6126" t="s">
        <v>44909</v>
      </c>
      <c r="S6126" t="s">
        <v>45067</v>
      </c>
      <c r="T6126" t="s">
        <v>46719</v>
      </c>
      <c r="U6126" t="s">
        <v>47291</v>
      </c>
      <c r="V6126" t="s">
        <v>59630</v>
      </c>
      <c r="W6126" t="s">
        <v>41157</v>
      </c>
      <c r="X6126" t="s">
        <v>44910</v>
      </c>
    </row>
    <row r="6127" spans="1:24">
      <c r="A6127">
        <f>HYPERLINK("https://www.philgeps.gov.ph/GEPSNONPILOT/Tender/SplashBidNoticeAbstractUI.aspx?menuIndex=3&amp;refID=7077499&amp;Result=3","7077499")</f>
        <v>0</v>
      </c>
      <c r="B6127" t="s">
        <v>697</v>
      </c>
      <c r="C6127" t="s">
        <v>9370</v>
      </c>
      <c r="D6127" t="s">
        <v>18146</v>
      </c>
      <c r="E6127" t="s">
        <v>20439</v>
      </c>
      <c r="F6127" t="s">
        <v>31364</v>
      </c>
      <c r="G6127" t="s">
        <v>31368</v>
      </c>
      <c r="H6127" t="s">
        <v>31378</v>
      </c>
      <c r="I6127" t="s">
        <v>31430</v>
      </c>
      <c r="J6127" t="s">
        <v>31545</v>
      </c>
      <c r="K6127" t="s">
        <v>40661</v>
      </c>
      <c r="M6127" t="s">
        <v>41662</v>
      </c>
      <c r="N6127" t="s">
        <v>44905</v>
      </c>
      <c r="O6127" t="s">
        <v>44906</v>
      </c>
      <c r="P6127">
        <v>0</v>
      </c>
      <c r="Q6127">
        <v>1</v>
      </c>
      <c r="R6127" t="s">
        <v>44909</v>
      </c>
      <c r="S6127" t="s">
        <v>45060</v>
      </c>
      <c r="T6127" t="s">
        <v>46549</v>
      </c>
      <c r="U6127" t="s">
        <v>51908</v>
      </c>
      <c r="W6127" t="s">
        <v>41662</v>
      </c>
      <c r="X6127" t="s">
        <v>44910</v>
      </c>
    </row>
    <row r="6128" spans="1:24">
      <c r="A6128">
        <f>HYPERLINK("https://www.philgeps.gov.ph/GEPSNONPILOT/Tender/SplashBidNoticeAbstractUI.aspx?menuIndex=3&amp;refID=7077500&amp;Result=3","7077500")</f>
        <v>0</v>
      </c>
      <c r="B6128" t="s">
        <v>1948</v>
      </c>
      <c r="C6128" t="s">
        <v>9371</v>
      </c>
      <c r="E6128" t="s">
        <v>23656</v>
      </c>
      <c r="F6128" t="s">
        <v>31362</v>
      </c>
      <c r="G6128" t="s">
        <v>31369</v>
      </c>
      <c r="H6128" t="s">
        <v>15799</v>
      </c>
      <c r="I6128" t="s">
        <v>31404</v>
      </c>
      <c r="J6128" t="s">
        <v>31641</v>
      </c>
      <c r="K6128" t="s">
        <v>40665</v>
      </c>
      <c r="M6128" t="s">
        <v>43053</v>
      </c>
      <c r="N6128" t="s">
        <v>44905</v>
      </c>
      <c r="O6128" t="s">
        <v>44906</v>
      </c>
      <c r="Q6128">
        <v>0</v>
      </c>
      <c r="R6128" t="s">
        <v>44909</v>
      </c>
      <c r="S6128" t="s">
        <v>45068</v>
      </c>
      <c r="T6128" t="s">
        <v>46449</v>
      </c>
      <c r="U6128" t="s">
        <v>51909</v>
      </c>
      <c r="W6128" t="s">
        <v>43053</v>
      </c>
      <c r="X6128" t="s">
        <v>44910</v>
      </c>
    </row>
    <row r="6129" spans="1:24">
      <c r="A6129">
        <f>HYPERLINK("https://www.philgeps.gov.ph/GEPSNONPILOT/Tender/SplashBidNoticeAbstractUI.aspx?menuIndex=3&amp;refID=7077502&amp;Result=3","7077502")</f>
        <v>0</v>
      </c>
      <c r="B6129" t="s">
        <v>1406</v>
      </c>
      <c r="C6129" t="s">
        <v>9372</v>
      </c>
      <c r="D6129" t="s">
        <v>18108</v>
      </c>
      <c r="E6129" t="s">
        <v>23657</v>
      </c>
      <c r="F6129" t="s">
        <v>31362</v>
      </c>
      <c r="G6129" t="s">
        <v>31368</v>
      </c>
      <c r="H6129" t="s">
        <v>15799</v>
      </c>
      <c r="I6129" t="s">
        <v>3582</v>
      </c>
      <c r="J6129" t="s">
        <v>35352</v>
      </c>
      <c r="K6129" t="s">
        <v>40666</v>
      </c>
      <c r="M6129" t="s">
        <v>42431</v>
      </c>
      <c r="N6129" t="s">
        <v>44905</v>
      </c>
      <c r="O6129" t="s">
        <v>44906</v>
      </c>
      <c r="P6129">
        <v>0</v>
      </c>
      <c r="Q6129">
        <v>0</v>
      </c>
      <c r="R6129" t="s">
        <v>44909</v>
      </c>
      <c r="S6129" t="s">
        <v>45060</v>
      </c>
      <c r="T6129" t="s">
        <v>46435</v>
      </c>
      <c r="U6129" t="s">
        <v>51910</v>
      </c>
      <c r="V6129" t="s">
        <v>59639</v>
      </c>
      <c r="W6129" t="s">
        <v>42431</v>
      </c>
      <c r="X6129" t="s">
        <v>44910</v>
      </c>
    </row>
    <row r="6130" spans="1:24">
      <c r="A6130">
        <f>HYPERLINK("https://www.philgeps.gov.ph/GEPSNONPILOT/Tender/SplashBidNoticeAbstractUI.aspx?menuIndex=3&amp;refID=7077496&amp;Result=3","7077496")</f>
        <v>0</v>
      </c>
      <c r="B6130" t="s">
        <v>1423</v>
      </c>
      <c r="C6130" t="s">
        <v>9373</v>
      </c>
      <c r="D6130" t="s">
        <v>18108</v>
      </c>
      <c r="E6130" t="s">
        <v>23658</v>
      </c>
      <c r="F6130" t="s">
        <v>31362</v>
      </c>
      <c r="G6130" t="s">
        <v>31368</v>
      </c>
      <c r="H6130" t="s">
        <v>15799</v>
      </c>
      <c r="I6130" t="s">
        <v>7188</v>
      </c>
      <c r="J6130" t="s">
        <v>32459</v>
      </c>
      <c r="K6130" t="s">
        <v>40661</v>
      </c>
      <c r="M6130" t="s">
        <v>42450</v>
      </c>
      <c r="N6130" t="s">
        <v>44905</v>
      </c>
      <c r="O6130" t="s">
        <v>44906</v>
      </c>
      <c r="P6130">
        <v>0</v>
      </c>
      <c r="Q6130">
        <v>5</v>
      </c>
      <c r="R6130" t="s">
        <v>44909</v>
      </c>
      <c r="S6130" t="s">
        <v>45060</v>
      </c>
      <c r="T6130" t="s">
        <v>46432</v>
      </c>
      <c r="U6130" t="s">
        <v>51911</v>
      </c>
      <c r="W6130" t="s">
        <v>42450</v>
      </c>
      <c r="X6130" t="s">
        <v>44910</v>
      </c>
    </row>
    <row r="6131" spans="1:24">
      <c r="A6131">
        <f>HYPERLINK("https://www.philgeps.gov.ph/GEPSNONPILOT/Tender/SplashBidNoticeAbstractUI.aspx?menuIndex=3&amp;refID=7077468&amp;Result=3","7077468")</f>
        <v>0</v>
      </c>
      <c r="B6131" t="s">
        <v>828</v>
      </c>
      <c r="C6131" t="s">
        <v>9374</v>
      </c>
      <c r="D6131" t="s">
        <v>18148</v>
      </c>
      <c r="E6131" t="s">
        <v>23659</v>
      </c>
      <c r="F6131" t="s">
        <v>31362</v>
      </c>
      <c r="G6131" t="s">
        <v>31369</v>
      </c>
      <c r="H6131" t="s">
        <v>31378</v>
      </c>
      <c r="I6131" t="s">
        <v>31386</v>
      </c>
      <c r="J6131" t="s">
        <v>31530</v>
      </c>
      <c r="K6131" t="s">
        <v>40662</v>
      </c>
      <c r="M6131" t="s">
        <v>41802</v>
      </c>
      <c r="N6131" t="s">
        <v>44905</v>
      </c>
      <c r="O6131" t="s">
        <v>44906</v>
      </c>
      <c r="P6131">
        <v>0</v>
      </c>
      <c r="Q6131">
        <v>0</v>
      </c>
      <c r="R6131" t="s">
        <v>44909</v>
      </c>
      <c r="S6131" t="s">
        <v>45060</v>
      </c>
      <c r="T6131" t="s">
        <v>46391</v>
      </c>
      <c r="U6131" t="s">
        <v>51851</v>
      </c>
      <c r="W6131" t="s">
        <v>41802</v>
      </c>
      <c r="X6131" t="s">
        <v>44910</v>
      </c>
    </row>
    <row r="6132" spans="1:24">
      <c r="A6132">
        <f>HYPERLINK("https://www.philgeps.gov.ph/GEPSNONPILOT/Tender/SplashBidNoticeAbstractUI.aspx?menuIndex=3&amp;refID=7077486&amp;Result=3","7077486")</f>
        <v>0</v>
      </c>
      <c r="B6132" t="s">
        <v>1912</v>
      </c>
      <c r="C6132" t="s">
        <v>9375</v>
      </c>
      <c r="D6132" t="s">
        <v>18108</v>
      </c>
      <c r="E6132" t="s">
        <v>23660</v>
      </c>
      <c r="F6132" t="s">
        <v>31362</v>
      </c>
      <c r="G6132" t="s">
        <v>31368</v>
      </c>
      <c r="H6132" t="s">
        <v>15799</v>
      </c>
      <c r="I6132" t="s">
        <v>7090</v>
      </c>
      <c r="J6132" t="s">
        <v>35353</v>
      </c>
      <c r="K6132" t="s">
        <v>40697</v>
      </c>
      <c r="M6132" t="s">
        <v>43008</v>
      </c>
      <c r="N6132" t="s">
        <v>44905</v>
      </c>
      <c r="O6132" t="s">
        <v>44906</v>
      </c>
      <c r="P6132">
        <v>0</v>
      </c>
      <c r="Q6132">
        <v>1</v>
      </c>
      <c r="R6132" t="s">
        <v>44909</v>
      </c>
      <c r="S6132" t="s">
        <v>45060</v>
      </c>
      <c r="T6132" t="s">
        <v>46406</v>
      </c>
      <c r="U6132" t="s">
        <v>51754</v>
      </c>
      <c r="W6132" t="s">
        <v>43008</v>
      </c>
      <c r="X6132" t="s">
        <v>44910</v>
      </c>
    </row>
    <row r="6133" spans="1:24">
      <c r="A6133">
        <f>HYPERLINK("https://www.philgeps.gov.ph/GEPSNONPILOT/Tender/SplashBidNoticeAbstractUI.aspx?menuIndex=3&amp;refID=7077479&amp;Result=3","7077479")</f>
        <v>0</v>
      </c>
      <c r="B6133" t="s">
        <v>1949</v>
      </c>
      <c r="C6133" t="s">
        <v>9376</v>
      </c>
      <c r="D6133" t="s">
        <v>18104</v>
      </c>
      <c r="E6133" t="s">
        <v>23661</v>
      </c>
      <c r="F6133" t="s">
        <v>31363</v>
      </c>
      <c r="G6133" t="s">
        <v>31368</v>
      </c>
      <c r="H6133" t="s">
        <v>15799</v>
      </c>
      <c r="I6133" t="s">
        <v>31422</v>
      </c>
      <c r="J6133" t="s">
        <v>35354</v>
      </c>
      <c r="K6133" t="s">
        <v>40662</v>
      </c>
      <c r="M6133" t="s">
        <v>43054</v>
      </c>
      <c r="N6133" t="s">
        <v>44905</v>
      </c>
      <c r="O6133" t="s">
        <v>44906</v>
      </c>
      <c r="P6133">
        <v>0</v>
      </c>
      <c r="Q6133">
        <v>3</v>
      </c>
      <c r="R6133" t="s">
        <v>44909</v>
      </c>
      <c r="S6133" t="s">
        <v>45060</v>
      </c>
      <c r="T6133" t="s">
        <v>46400</v>
      </c>
      <c r="U6133" t="s">
        <v>51912</v>
      </c>
      <c r="W6133" t="s">
        <v>43054</v>
      </c>
      <c r="X6133" t="s">
        <v>44910</v>
      </c>
    </row>
    <row r="6134" spans="1:24">
      <c r="A6134">
        <f>HYPERLINK("https://www.philgeps.gov.ph/GEPSNONPILOT/Tender/SplashBidNoticeAbstractUI.aspx?menuIndex=3&amp;refID=7077503&amp;Result=3","7077503")</f>
        <v>0</v>
      </c>
      <c r="B6134" t="s">
        <v>1950</v>
      </c>
      <c r="C6134" t="s">
        <v>9377</v>
      </c>
      <c r="D6134" t="s">
        <v>18148</v>
      </c>
      <c r="E6134" t="s">
        <v>19844</v>
      </c>
      <c r="F6134" t="s">
        <v>31362</v>
      </c>
      <c r="G6134" t="s">
        <v>31369</v>
      </c>
      <c r="H6134" t="s">
        <v>15799</v>
      </c>
      <c r="I6134" t="s">
        <v>3815</v>
      </c>
      <c r="J6134" t="s">
        <v>35355</v>
      </c>
      <c r="K6134" t="s">
        <v>40665</v>
      </c>
      <c r="M6134" t="s">
        <v>43055</v>
      </c>
      <c r="N6134" t="s">
        <v>44905</v>
      </c>
      <c r="O6134" t="s">
        <v>44906</v>
      </c>
      <c r="P6134">
        <v>0</v>
      </c>
      <c r="Q6134">
        <v>0</v>
      </c>
      <c r="R6134" t="s">
        <v>44909</v>
      </c>
      <c r="S6134" t="s">
        <v>45060</v>
      </c>
      <c r="T6134" t="s">
        <v>46506</v>
      </c>
      <c r="U6134" t="s">
        <v>51913</v>
      </c>
      <c r="W6134" t="s">
        <v>43055</v>
      </c>
      <c r="X6134" t="s">
        <v>44910</v>
      </c>
    </row>
    <row r="6135" spans="1:24">
      <c r="A6135">
        <f>HYPERLINK("https://www.philgeps.gov.ph/GEPSNONPILOT/Tender/SplashBidNoticeAbstractUI.aspx?menuIndex=3&amp;refID=7077508&amp;Result=3","7077508")</f>
        <v>0</v>
      </c>
      <c r="B6135" t="s">
        <v>1219</v>
      </c>
      <c r="C6135" t="s">
        <v>9343</v>
      </c>
      <c r="E6135" t="s">
        <v>23662</v>
      </c>
      <c r="F6135" t="s">
        <v>31362</v>
      </c>
      <c r="G6135" t="s">
        <v>31372</v>
      </c>
      <c r="H6135" t="s">
        <v>15799</v>
      </c>
      <c r="I6135" t="s">
        <v>31427</v>
      </c>
      <c r="J6135" t="s">
        <v>33888</v>
      </c>
      <c r="K6135" t="s">
        <v>40662</v>
      </c>
      <c r="M6135" t="s">
        <v>42232</v>
      </c>
      <c r="N6135" t="s">
        <v>44905</v>
      </c>
      <c r="O6135" t="s">
        <v>44906</v>
      </c>
      <c r="P6135">
        <v>0</v>
      </c>
      <c r="Q6135">
        <v>0</v>
      </c>
      <c r="R6135" t="s">
        <v>44909</v>
      </c>
      <c r="S6135" t="s">
        <v>45060</v>
      </c>
      <c r="T6135" t="s">
        <v>46597</v>
      </c>
      <c r="U6135" t="s">
        <v>51914</v>
      </c>
      <c r="W6135" t="s">
        <v>42232</v>
      </c>
      <c r="X6135" t="s">
        <v>44910</v>
      </c>
    </row>
    <row r="6136" spans="1:24">
      <c r="A6136">
        <f>HYPERLINK("https://www.philgeps.gov.ph/GEPSNONPILOT/Tender/SplashBidNoticeAbstractUI.aspx?menuIndex=3&amp;refID=7077488&amp;Result=3","7077488")</f>
        <v>0</v>
      </c>
      <c r="B6136" t="s">
        <v>1951</v>
      </c>
      <c r="C6136" t="s">
        <v>9378</v>
      </c>
      <c r="D6136" t="s">
        <v>18108</v>
      </c>
      <c r="E6136" t="s">
        <v>23663</v>
      </c>
      <c r="F6136" t="s">
        <v>31362</v>
      </c>
      <c r="G6136" t="s">
        <v>31368</v>
      </c>
      <c r="H6136" t="s">
        <v>31378</v>
      </c>
      <c r="I6136" t="s">
        <v>31386</v>
      </c>
      <c r="J6136" t="s">
        <v>31910</v>
      </c>
      <c r="K6136" t="s">
        <v>40666</v>
      </c>
      <c r="M6136" t="s">
        <v>43056</v>
      </c>
      <c r="N6136" t="s">
        <v>44905</v>
      </c>
      <c r="O6136" t="s">
        <v>44906</v>
      </c>
      <c r="P6136">
        <v>0</v>
      </c>
      <c r="Q6136">
        <v>0</v>
      </c>
      <c r="R6136" t="s">
        <v>44909</v>
      </c>
      <c r="S6136" t="s">
        <v>45060</v>
      </c>
      <c r="T6136" t="s">
        <v>46447</v>
      </c>
      <c r="U6136" t="s">
        <v>51915</v>
      </c>
      <c r="V6136" t="s">
        <v>59640</v>
      </c>
      <c r="W6136" t="s">
        <v>43056</v>
      </c>
      <c r="X6136" t="s">
        <v>44910</v>
      </c>
    </row>
    <row r="6137" spans="1:24">
      <c r="A6137">
        <f>HYPERLINK("https://www.philgeps.gov.ph/GEPSNONPILOT/Tender/SplashBidNoticeAbstractUI.aspx?menuIndex=3&amp;refID=7077532&amp;Result=3","7077532")</f>
        <v>0</v>
      </c>
      <c r="B6137" t="s">
        <v>1952</v>
      </c>
      <c r="C6137" t="s">
        <v>9379</v>
      </c>
      <c r="D6137" t="s">
        <v>18114</v>
      </c>
      <c r="E6137" t="s">
        <v>23664</v>
      </c>
      <c r="F6137" t="s">
        <v>31362</v>
      </c>
      <c r="G6137" t="s">
        <v>31369</v>
      </c>
      <c r="H6137" t="s">
        <v>31378</v>
      </c>
      <c r="I6137" t="s">
        <v>31386</v>
      </c>
      <c r="J6137" t="s">
        <v>35356</v>
      </c>
      <c r="K6137" t="s">
        <v>40811</v>
      </c>
      <c r="M6137" t="s">
        <v>43057</v>
      </c>
      <c r="N6137" t="s">
        <v>44905</v>
      </c>
      <c r="O6137" t="s">
        <v>44906</v>
      </c>
      <c r="P6137">
        <v>0</v>
      </c>
      <c r="Q6137">
        <v>9</v>
      </c>
      <c r="R6137" t="s">
        <v>44909</v>
      </c>
      <c r="S6137" t="s">
        <v>45060</v>
      </c>
      <c r="T6137" t="s">
        <v>46433</v>
      </c>
      <c r="U6137" t="s">
        <v>51916</v>
      </c>
      <c r="V6137" t="s">
        <v>59409</v>
      </c>
      <c r="W6137" t="s">
        <v>43057</v>
      </c>
      <c r="X6137" t="s">
        <v>44910</v>
      </c>
    </row>
    <row r="6138" spans="1:24">
      <c r="A6138">
        <f>HYPERLINK("https://www.philgeps.gov.ph/GEPSNONPILOT/Tender/SplashBidNoticeAbstractUI.aspx?menuIndex=3&amp;refID=7077528&amp;Result=3","7077528")</f>
        <v>0</v>
      </c>
      <c r="B6138" t="s">
        <v>94</v>
      </c>
      <c r="C6138" t="s">
        <v>9380</v>
      </c>
      <c r="D6138" t="s">
        <v>18116</v>
      </c>
      <c r="E6138" t="s">
        <v>23665</v>
      </c>
      <c r="F6138" t="s">
        <v>31362</v>
      </c>
      <c r="G6138" t="s">
        <v>31368</v>
      </c>
      <c r="H6138" t="s">
        <v>15799</v>
      </c>
      <c r="I6138" t="s">
        <v>31384</v>
      </c>
      <c r="J6138" t="s">
        <v>35357</v>
      </c>
      <c r="K6138" t="s">
        <v>40665</v>
      </c>
      <c r="M6138" t="s">
        <v>41031</v>
      </c>
      <c r="N6138" t="s">
        <v>44905</v>
      </c>
      <c r="O6138" t="s">
        <v>44906</v>
      </c>
      <c r="P6138">
        <v>0</v>
      </c>
      <c r="Q6138">
        <v>11</v>
      </c>
      <c r="R6138" t="s">
        <v>44909</v>
      </c>
      <c r="S6138" t="s">
        <v>45060</v>
      </c>
      <c r="T6138" t="s">
        <v>46454</v>
      </c>
      <c r="U6138" t="s">
        <v>51917</v>
      </c>
      <c r="W6138" t="s">
        <v>41031</v>
      </c>
      <c r="X6138" t="s">
        <v>44910</v>
      </c>
    </row>
    <row r="6139" spans="1:24">
      <c r="A6139">
        <f>HYPERLINK("https://www.philgeps.gov.ph/GEPSNONPILOT/Tender/SplashBidNoticeAbstractUI.aspx?menuIndex=3&amp;refID=7077485&amp;Result=3","7077485")</f>
        <v>0</v>
      </c>
      <c r="B6139" t="s">
        <v>1057</v>
      </c>
      <c r="C6139" t="s">
        <v>9381</v>
      </c>
      <c r="D6139" t="s">
        <v>18163</v>
      </c>
      <c r="E6139" t="s">
        <v>23666</v>
      </c>
      <c r="F6139" t="s">
        <v>31362</v>
      </c>
      <c r="G6139" t="s">
        <v>31369</v>
      </c>
      <c r="H6139" t="s">
        <v>15799</v>
      </c>
      <c r="I6139" t="s">
        <v>31480</v>
      </c>
      <c r="J6139" t="s">
        <v>35324</v>
      </c>
      <c r="K6139" t="s">
        <v>40770</v>
      </c>
      <c r="M6139" t="s">
        <v>42058</v>
      </c>
      <c r="N6139" t="s">
        <v>44905</v>
      </c>
      <c r="O6139" t="s">
        <v>44906</v>
      </c>
      <c r="P6139">
        <v>0</v>
      </c>
      <c r="Q6139">
        <v>0</v>
      </c>
      <c r="R6139" t="s">
        <v>44909</v>
      </c>
      <c r="S6139" t="s">
        <v>45060</v>
      </c>
      <c r="T6139" t="s">
        <v>46435</v>
      </c>
      <c r="U6139" t="s">
        <v>51876</v>
      </c>
      <c r="V6139" t="s">
        <v>59641</v>
      </c>
      <c r="W6139" t="s">
        <v>42058</v>
      </c>
      <c r="X6139" t="s">
        <v>44910</v>
      </c>
    </row>
    <row r="6140" spans="1:24">
      <c r="A6140">
        <f>HYPERLINK("https://www.philgeps.gov.ph/GEPSNONPILOT/Tender/SplashBidNoticeAbstractUI.aspx?menuIndex=3&amp;refID=7077482&amp;Result=3","7077482")</f>
        <v>0</v>
      </c>
      <c r="B6140" t="s">
        <v>1953</v>
      </c>
      <c r="C6140" t="s">
        <v>9382</v>
      </c>
      <c r="D6140" t="s">
        <v>18136</v>
      </c>
      <c r="E6140" t="s">
        <v>23667</v>
      </c>
      <c r="F6140" t="s">
        <v>31362</v>
      </c>
      <c r="G6140" t="s">
        <v>31368</v>
      </c>
      <c r="H6140" t="s">
        <v>15799</v>
      </c>
      <c r="I6140" t="s">
        <v>6155</v>
      </c>
      <c r="J6140" t="s">
        <v>31531</v>
      </c>
      <c r="K6140" t="s">
        <v>40665</v>
      </c>
      <c r="M6140" t="s">
        <v>43058</v>
      </c>
      <c r="N6140" t="s">
        <v>44905</v>
      </c>
      <c r="O6140" t="s">
        <v>44906</v>
      </c>
      <c r="P6140">
        <v>0</v>
      </c>
      <c r="Q6140">
        <v>5</v>
      </c>
      <c r="R6140" t="s">
        <v>44909</v>
      </c>
      <c r="S6140" t="s">
        <v>45060</v>
      </c>
      <c r="T6140" t="s">
        <v>46454</v>
      </c>
      <c r="U6140" t="s">
        <v>51918</v>
      </c>
      <c r="W6140" t="s">
        <v>43058</v>
      </c>
      <c r="X6140" t="s">
        <v>44910</v>
      </c>
    </row>
    <row r="6141" spans="1:24">
      <c r="A6141">
        <f>HYPERLINK("https://www.philgeps.gov.ph/GEPSNONPILOT/Tender/SplashBidNoticeAbstractUI.aspx?menuIndex=3&amp;refID=7077544&amp;Result=3","7077544")</f>
        <v>0</v>
      </c>
      <c r="B6141" t="s">
        <v>1058</v>
      </c>
      <c r="C6141" t="s">
        <v>9383</v>
      </c>
      <c r="D6141" t="s">
        <v>18104</v>
      </c>
      <c r="E6141" t="s">
        <v>23668</v>
      </c>
      <c r="F6141" t="s">
        <v>31362</v>
      </c>
      <c r="G6141" t="s">
        <v>31370</v>
      </c>
      <c r="H6141" t="s">
        <v>15799</v>
      </c>
      <c r="I6141" t="s">
        <v>6373</v>
      </c>
      <c r="J6141" t="s">
        <v>35358</v>
      </c>
      <c r="K6141" t="s">
        <v>40670</v>
      </c>
      <c r="M6141" t="s">
        <v>42059</v>
      </c>
      <c r="N6141" t="s">
        <v>44905</v>
      </c>
      <c r="O6141" t="s">
        <v>44906</v>
      </c>
      <c r="P6141">
        <v>0</v>
      </c>
      <c r="Q6141">
        <v>0</v>
      </c>
      <c r="R6141" t="s">
        <v>44909</v>
      </c>
      <c r="S6141" t="s">
        <v>45060</v>
      </c>
      <c r="T6141" t="s">
        <v>46447</v>
      </c>
      <c r="U6141" t="s">
        <v>51919</v>
      </c>
      <c r="W6141" t="s">
        <v>42059</v>
      </c>
      <c r="X6141" t="s">
        <v>44910</v>
      </c>
    </row>
    <row r="6142" spans="1:24">
      <c r="A6142">
        <f>HYPERLINK("https://www.philgeps.gov.ph/GEPSNONPILOT/Tender/SplashBidNoticeAbstractUI.aspx?menuIndex=3&amp;refID=7077527&amp;Result=3","7077527")</f>
        <v>0</v>
      </c>
      <c r="B6142" t="s">
        <v>1954</v>
      </c>
      <c r="C6142" t="s">
        <v>9384</v>
      </c>
      <c r="D6142" t="s">
        <v>18108</v>
      </c>
      <c r="E6142" t="s">
        <v>21948</v>
      </c>
      <c r="F6142" t="s">
        <v>31362</v>
      </c>
      <c r="G6142" t="s">
        <v>31368</v>
      </c>
      <c r="H6142" t="s">
        <v>15799</v>
      </c>
      <c r="I6142" t="s">
        <v>31432</v>
      </c>
      <c r="J6142" t="s">
        <v>35359</v>
      </c>
      <c r="K6142" t="s">
        <v>40666</v>
      </c>
      <c r="M6142" t="s">
        <v>43059</v>
      </c>
      <c r="N6142" t="s">
        <v>44905</v>
      </c>
      <c r="O6142" t="s">
        <v>44906</v>
      </c>
      <c r="P6142">
        <v>0</v>
      </c>
      <c r="Q6142">
        <v>2</v>
      </c>
      <c r="R6142" t="s">
        <v>44909</v>
      </c>
      <c r="S6142" t="s">
        <v>45060</v>
      </c>
      <c r="T6142" t="s">
        <v>46589</v>
      </c>
      <c r="U6142" t="s">
        <v>51920</v>
      </c>
      <c r="V6142" t="s">
        <v>47665</v>
      </c>
      <c r="W6142" t="s">
        <v>43059</v>
      </c>
      <c r="X6142" t="s">
        <v>44910</v>
      </c>
    </row>
    <row r="6143" spans="1:24">
      <c r="A6143">
        <f>HYPERLINK("https://www.philgeps.gov.ph/GEPSNONPILOT/Tender/SplashBidNoticeAbstractUI.aspx?menuIndex=3&amp;refID=7077531&amp;Result=3","7077531")</f>
        <v>0</v>
      </c>
      <c r="B6143" t="s">
        <v>347</v>
      </c>
      <c r="C6143" t="s">
        <v>9385</v>
      </c>
      <c r="D6143" t="s">
        <v>18120</v>
      </c>
      <c r="E6143" t="s">
        <v>23669</v>
      </c>
      <c r="F6143" t="s">
        <v>31362</v>
      </c>
      <c r="G6143" t="s">
        <v>31370</v>
      </c>
      <c r="H6143" t="s">
        <v>15799</v>
      </c>
      <c r="I6143" t="s">
        <v>7090</v>
      </c>
      <c r="J6143" t="s">
        <v>35360</v>
      </c>
      <c r="K6143" t="s">
        <v>40661</v>
      </c>
      <c r="M6143" t="s">
        <v>41293</v>
      </c>
      <c r="N6143" t="s">
        <v>44905</v>
      </c>
      <c r="O6143" t="s">
        <v>44906</v>
      </c>
      <c r="P6143">
        <v>0</v>
      </c>
      <c r="Q6143">
        <v>0</v>
      </c>
      <c r="R6143" t="s">
        <v>44909</v>
      </c>
      <c r="S6143" t="s">
        <v>45060</v>
      </c>
      <c r="T6143" t="s">
        <v>46409</v>
      </c>
      <c r="U6143" t="s">
        <v>51921</v>
      </c>
      <c r="W6143" t="s">
        <v>41293</v>
      </c>
      <c r="X6143" t="s">
        <v>44910</v>
      </c>
    </row>
    <row r="6144" spans="1:24">
      <c r="A6144">
        <f>HYPERLINK("https://www.philgeps.gov.ph/GEPSNONPILOT/Tender/SplashBidNoticeAbstractUI.aspx?menuIndex=3&amp;refID=7077540&amp;Result=3","7077540")</f>
        <v>0</v>
      </c>
      <c r="B6144" t="s">
        <v>200</v>
      </c>
      <c r="C6144" t="s">
        <v>9386</v>
      </c>
      <c r="D6144" t="s">
        <v>18106</v>
      </c>
      <c r="E6144" t="s">
        <v>23670</v>
      </c>
      <c r="F6144" t="s">
        <v>31362</v>
      </c>
      <c r="G6144" t="s">
        <v>31369</v>
      </c>
      <c r="H6144" t="s">
        <v>31378</v>
      </c>
      <c r="I6144" t="s">
        <v>31386</v>
      </c>
      <c r="J6144" t="s">
        <v>35361</v>
      </c>
      <c r="K6144" t="s">
        <v>40812</v>
      </c>
      <c r="M6144" t="s">
        <v>41139</v>
      </c>
      <c r="N6144" t="s">
        <v>44905</v>
      </c>
      <c r="O6144" t="s">
        <v>44906</v>
      </c>
      <c r="P6144">
        <v>0</v>
      </c>
      <c r="Q6144">
        <v>1</v>
      </c>
      <c r="R6144" t="s">
        <v>44909</v>
      </c>
      <c r="S6144" t="s">
        <v>45060</v>
      </c>
      <c r="T6144" t="s">
        <v>46559</v>
      </c>
      <c r="U6144" t="s">
        <v>51922</v>
      </c>
      <c r="W6144" t="s">
        <v>41139</v>
      </c>
      <c r="X6144" t="s">
        <v>44910</v>
      </c>
    </row>
    <row r="6145" spans="1:24">
      <c r="A6145">
        <f>HYPERLINK("https://www.philgeps.gov.ph/GEPSNONPILOT/Tender/SplashBidNoticeAbstractUI.aspx?menuIndex=3&amp;refID=7077535&amp;Result=3","7077535")</f>
        <v>0</v>
      </c>
      <c r="B6145" t="s">
        <v>1544</v>
      </c>
      <c r="C6145" t="s">
        <v>9387</v>
      </c>
      <c r="D6145" t="s">
        <v>18172</v>
      </c>
      <c r="E6145" t="s">
        <v>23671</v>
      </c>
      <c r="F6145" t="s">
        <v>31362</v>
      </c>
      <c r="G6145" t="s">
        <v>31368</v>
      </c>
      <c r="H6145" t="s">
        <v>15799</v>
      </c>
      <c r="I6145" t="s">
        <v>31414</v>
      </c>
      <c r="J6145" t="s">
        <v>32922</v>
      </c>
      <c r="K6145" t="s">
        <v>40666</v>
      </c>
      <c r="M6145" t="s">
        <v>42591</v>
      </c>
      <c r="N6145" t="s">
        <v>44905</v>
      </c>
      <c r="O6145" t="s">
        <v>44906</v>
      </c>
      <c r="P6145">
        <v>0</v>
      </c>
      <c r="Q6145">
        <v>0</v>
      </c>
      <c r="R6145" t="s">
        <v>44909</v>
      </c>
      <c r="S6145" t="s">
        <v>45060</v>
      </c>
      <c r="T6145" t="s">
        <v>46409</v>
      </c>
      <c r="U6145" t="s">
        <v>51923</v>
      </c>
      <c r="W6145" t="s">
        <v>42591</v>
      </c>
      <c r="X6145" t="s">
        <v>44910</v>
      </c>
    </row>
    <row r="6146" spans="1:24">
      <c r="A6146">
        <f>HYPERLINK("https://www.philgeps.gov.ph/GEPSNONPILOT/Tender/SplashBidNoticeAbstractUI.aspx?menuIndex=3&amp;refID=7077539&amp;Result=3","7077539")</f>
        <v>0</v>
      </c>
      <c r="B6146" t="s">
        <v>1057</v>
      </c>
      <c r="C6146" t="s">
        <v>9388</v>
      </c>
      <c r="D6146" t="s">
        <v>18163</v>
      </c>
      <c r="E6146" t="s">
        <v>23672</v>
      </c>
      <c r="F6146" t="s">
        <v>31362</v>
      </c>
      <c r="G6146" t="s">
        <v>31369</v>
      </c>
      <c r="H6146" t="s">
        <v>15799</v>
      </c>
      <c r="I6146" t="s">
        <v>31480</v>
      </c>
      <c r="J6146" t="s">
        <v>35324</v>
      </c>
      <c r="K6146" t="s">
        <v>40770</v>
      </c>
      <c r="M6146" t="s">
        <v>42058</v>
      </c>
      <c r="N6146" t="s">
        <v>44905</v>
      </c>
      <c r="O6146" t="s">
        <v>44906</v>
      </c>
      <c r="P6146">
        <v>0</v>
      </c>
      <c r="Q6146">
        <v>0</v>
      </c>
      <c r="R6146" t="s">
        <v>44909</v>
      </c>
      <c r="S6146" t="s">
        <v>45060</v>
      </c>
      <c r="T6146" t="s">
        <v>46435</v>
      </c>
      <c r="U6146" t="s">
        <v>51876</v>
      </c>
      <c r="V6146" t="s">
        <v>59642</v>
      </c>
      <c r="W6146" t="s">
        <v>42058</v>
      </c>
      <c r="X6146" t="s">
        <v>44910</v>
      </c>
    </row>
    <row r="6147" spans="1:24">
      <c r="A6147">
        <f>HYPERLINK("https://www.philgeps.gov.ph/GEPSNONPILOT/Tender/SplashBidNoticeAbstractUI.aspx?menuIndex=3&amp;refID=7077533&amp;Result=3","7077533")</f>
        <v>0</v>
      </c>
      <c r="B6147" t="s">
        <v>556</v>
      </c>
      <c r="C6147" t="s">
        <v>4729</v>
      </c>
      <c r="D6147" t="s">
        <v>18122</v>
      </c>
      <c r="E6147" t="s">
        <v>23673</v>
      </c>
      <c r="F6147" t="s">
        <v>31362</v>
      </c>
      <c r="G6147" t="s">
        <v>31368</v>
      </c>
      <c r="H6147" t="s">
        <v>15799</v>
      </c>
      <c r="I6147" t="s">
        <v>31387</v>
      </c>
      <c r="J6147" t="s">
        <v>35362</v>
      </c>
      <c r="K6147" t="s">
        <v>40665</v>
      </c>
      <c r="M6147" t="s">
        <v>41512</v>
      </c>
      <c r="N6147" t="s">
        <v>44905</v>
      </c>
      <c r="O6147" t="s">
        <v>44906</v>
      </c>
      <c r="P6147">
        <v>0</v>
      </c>
      <c r="Q6147">
        <v>1</v>
      </c>
      <c r="R6147" t="s">
        <v>44909</v>
      </c>
      <c r="S6147" t="s">
        <v>45060</v>
      </c>
      <c r="T6147" t="s">
        <v>46478</v>
      </c>
      <c r="U6147" t="s">
        <v>47991</v>
      </c>
      <c r="W6147" t="s">
        <v>60858</v>
      </c>
      <c r="X6147" t="s">
        <v>44910</v>
      </c>
    </row>
    <row r="6148" spans="1:24">
      <c r="A6148">
        <f>HYPERLINK("https://www.philgeps.gov.ph/GEPSNONPILOT/Tender/SplashBidNoticeAbstractUI.aspx?menuIndex=3&amp;refID=7077493&amp;Result=3","7077493")</f>
        <v>0</v>
      </c>
      <c r="B6148" t="s">
        <v>1931</v>
      </c>
      <c r="C6148" t="s">
        <v>9389</v>
      </c>
      <c r="D6148" t="s">
        <v>18120</v>
      </c>
      <c r="E6148" t="s">
        <v>23674</v>
      </c>
      <c r="F6148" t="s">
        <v>31362</v>
      </c>
      <c r="G6148" t="s">
        <v>31369</v>
      </c>
      <c r="H6148" t="s">
        <v>15799</v>
      </c>
      <c r="I6148" t="s">
        <v>3815</v>
      </c>
      <c r="J6148" t="s">
        <v>35363</v>
      </c>
      <c r="K6148" t="s">
        <v>40661</v>
      </c>
      <c r="M6148" t="s">
        <v>43032</v>
      </c>
      <c r="N6148" t="s">
        <v>44905</v>
      </c>
      <c r="O6148" t="s">
        <v>44906</v>
      </c>
      <c r="P6148">
        <v>0</v>
      </c>
      <c r="Q6148">
        <v>0</v>
      </c>
      <c r="R6148" t="s">
        <v>44909</v>
      </c>
      <c r="S6148" t="s">
        <v>45060</v>
      </c>
      <c r="T6148" t="s">
        <v>46417</v>
      </c>
      <c r="U6148" t="s">
        <v>51924</v>
      </c>
      <c r="W6148" t="s">
        <v>43032</v>
      </c>
      <c r="X6148" t="s">
        <v>44910</v>
      </c>
    </row>
    <row r="6149" spans="1:24">
      <c r="A6149">
        <f>HYPERLINK("https://www.philgeps.gov.ph/GEPSNONPILOT/Tender/SplashBidNoticeAbstractUI.aspx?menuIndex=3&amp;refID=7077524&amp;Result=3","7077524")</f>
        <v>0</v>
      </c>
      <c r="B6149" t="s">
        <v>327</v>
      </c>
      <c r="C6149" t="s">
        <v>9390</v>
      </c>
      <c r="D6149" t="s">
        <v>18108</v>
      </c>
      <c r="E6149" t="s">
        <v>9390</v>
      </c>
      <c r="F6149" t="s">
        <v>31362</v>
      </c>
      <c r="G6149" t="s">
        <v>31368</v>
      </c>
      <c r="H6149" t="s">
        <v>15799</v>
      </c>
      <c r="I6149" t="s">
        <v>13635</v>
      </c>
      <c r="J6149" t="s">
        <v>33903</v>
      </c>
      <c r="K6149" t="s">
        <v>40675</v>
      </c>
      <c r="M6149" t="s">
        <v>41273</v>
      </c>
      <c r="N6149" t="s">
        <v>44905</v>
      </c>
      <c r="O6149" t="s">
        <v>44906</v>
      </c>
      <c r="P6149">
        <v>0</v>
      </c>
      <c r="Q6149">
        <v>17</v>
      </c>
      <c r="R6149" t="s">
        <v>44909</v>
      </c>
      <c r="S6149" t="s">
        <v>45060</v>
      </c>
      <c r="T6149" t="s">
        <v>46454</v>
      </c>
      <c r="U6149" t="s">
        <v>51925</v>
      </c>
      <c r="W6149" t="s">
        <v>41273</v>
      </c>
      <c r="X6149" t="s">
        <v>44910</v>
      </c>
    </row>
    <row r="6150" spans="1:24">
      <c r="A6150">
        <f>HYPERLINK("https://www.philgeps.gov.ph/GEPSNONPILOT/Tender/SplashBidNoticeAbstractUI.aspx?menuIndex=3&amp;refID=7077523&amp;Result=3","7077523")</f>
        <v>0</v>
      </c>
      <c r="B6150" t="s">
        <v>1955</v>
      </c>
      <c r="C6150" t="s">
        <v>9391</v>
      </c>
      <c r="D6150" t="s">
        <v>18158</v>
      </c>
      <c r="E6150" t="s">
        <v>23675</v>
      </c>
      <c r="F6150" t="s">
        <v>31362</v>
      </c>
      <c r="G6150" t="s">
        <v>31368</v>
      </c>
      <c r="H6150" t="s">
        <v>15799</v>
      </c>
      <c r="I6150" t="s">
        <v>31462</v>
      </c>
      <c r="J6150" t="s">
        <v>31536</v>
      </c>
      <c r="K6150" t="s">
        <v>40662</v>
      </c>
      <c r="M6150" t="s">
        <v>43060</v>
      </c>
      <c r="N6150" t="s">
        <v>44905</v>
      </c>
      <c r="O6150" t="s">
        <v>44906</v>
      </c>
      <c r="P6150">
        <v>0</v>
      </c>
      <c r="Q6150">
        <v>1</v>
      </c>
      <c r="R6150" t="s">
        <v>44909</v>
      </c>
      <c r="S6150" t="s">
        <v>45060</v>
      </c>
      <c r="T6150" t="s">
        <v>46414</v>
      </c>
      <c r="U6150" t="s">
        <v>51926</v>
      </c>
      <c r="W6150" t="s">
        <v>43060</v>
      </c>
      <c r="X6150" t="s">
        <v>44910</v>
      </c>
    </row>
    <row r="6151" spans="1:24">
      <c r="A6151">
        <f>HYPERLINK("https://www.philgeps.gov.ph/GEPSNONPILOT/Tender/SplashBidNoticeAbstractUI.aspx?menuIndex=3&amp;refID=7077519&amp;Result=3","7077519")</f>
        <v>0</v>
      </c>
      <c r="B6151" t="s">
        <v>1907</v>
      </c>
      <c r="C6151" t="s">
        <v>9392</v>
      </c>
      <c r="D6151" t="s">
        <v>18108</v>
      </c>
      <c r="E6151" t="s">
        <v>23676</v>
      </c>
      <c r="F6151" t="s">
        <v>31362</v>
      </c>
      <c r="G6151" t="s">
        <v>31368</v>
      </c>
      <c r="H6151" t="s">
        <v>15799</v>
      </c>
      <c r="I6151" t="s">
        <v>31434</v>
      </c>
      <c r="J6151" t="s">
        <v>31531</v>
      </c>
      <c r="K6151" t="s">
        <v>40662</v>
      </c>
      <c r="M6151" t="s">
        <v>43003</v>
      </c>
      <c r="N6151" t="s">
        <v>44905</v>
      </c>
      <c r="O6151" t="s">
        <v>44906</v>
      </c>
      <c r="P6151">
        <v>0</v>
      </c>
      <c r="Q6151">
        <v>6</v>
      </c>
      <c r="R6151" t="s">
        <v>44909</v>
      </c>
      <c r="S6151" t="s">
        <v>45060</v>
      </c>
      <c r="T6151" t="s">
        <v>46394</v>
      </c>
      <c r="U6151" t="s">
        <v>51927</v>
      </c>
      <c r="W6151" t="s">
        <v>43003</v>
      </c>
      <c r="X6151" t="s">
        <v>44910</v>
      </c>
    </row>
    <row r="6152" spans="1:24">
      <c r="A6152">
        <f>HYPERLINK("https://www.philgeps.gov.ph/GEPSNONPILOT/Tender/SplashBidNoticeAbstractUI.aspx?menuIndex=3&amp;refID=7077518&amp;Result=3","7077518")</f>
        <v>0</v>
      </c>
      <c r="B6152" t="s">
        <v>1767</v>
      </c>
      <c r="C6152" t="s">
        <v>3839</v>
      </c>
      <c r="D6152" t="s">
        <v>18134</v>
      </c>
      <c r="E6152" t="s">
        <v>23677</v>
      </c>
      <c r="F6152" t="s">
        <v>31362</v>
      </c>
      <c r="G6152" t="s">
        <v>31371</v>
      </c>
      <c r="H6152" t="s">
        <v>15799</v>
      </c>
      <c r="I6152" t="s">
        <v>31385</v>
      </c>
      <c r="J6152" t="s">
        <v>31577</v>
      </c>
      <c r="K6152" t="s">
        <v>40661</v>
      </c>
      <c r="M6152" t="s">
        <v>42846</v>
      </c>
      <c r="N6152" t="s">
        <v>44905</v>
      </c>
      <c r="O6152" t="s">
        <v>44906</v>
      </c>
      <c r="P6152">
        <v>0</v>
      </c>
      <c r="Q6152">
        <v>3</v>
      </c>
      <c r="R6152" t="s">
        <v>44909</v>
      </c>
      <c r="S6152" t="s">
        <v>45060</v>
      </c>
      <c r="T6152" t="s">
        <v>46393</v>
      </c>
      <c r="U6152" t="s">
        <v>51928</v>
      </c>
      <c r="W6152" t="s">
        <v>42846</v>
      </c>
      <c r="X6152" t="s">
        <v>44910</v>
      </c>
    </row>
    <row r="6153" spans="1:24">
      <c r="A6153">
        <f>HYPERLINK("https://www.philgeps.gov.ph/GEPSNONPILOT/Tender/SplashBidNoticeAbstractUI.aspx?menuIndex=3&amp;refID=7077516&amp;Result=3","7077516")</f>
        <v>0</v>
      </c>
      <c r="B6153" t="s">
        <v>325</v>
      </c>
      <c r="C6153" t="s">
        <v>9393</v>
      </c>
      <c r="E6153" t="s">
        <v>23678</v>
      </c>
      <c r="F6153" t="s">
        <v>31362</v>
      </c>
      <c r="G6153" t="s">
        <v>31368</v>
      </c>
      <c r="H6153" t="s">
        <v>15799</v>
      </c>
      <c r="I6153" t="s">
        <v>31393</v>
      </c>
      <c r="J6153" t="s">
        <v>33091</v>
      </c>
      <c r="K6153" t="s">
        <v>40662</v>
      </c>
      <c r="M6153" t="s">
        <v>41271</v>
      </c>
      <c r="N6153" t="s">
        <v>44905</v>
      </c>
      <c r="O6153" t="s">
        <v>44906</v>
      </c>
      <c r="P6153">
        <v>0</v>
      </c>
      <c r="Q6153">
        <v>2</v>
      </c>
      <c r="R6153" t="s">
        <v>44909</v>
      </c>
      <c r="S6153" t="s">
        <v>45060</v>
      </c>
      <c r="T6153" t="s">
        <v>46394</v>
      </c>
      <c r="U6153" t="s">
        <v>51929</v>
      </c>
      <c r="W6153" t="s">
        <v>41271</v>
      </c>
      <c r="X6153" t="s">
        <v>44910</v>
      </c>
    </row>
    <row r="6154" spans="1:24">
      <c r="A6154">
        <f>HYPERLINK("https://www.philgeps.gov.ph/GEPSNONPILOT/Tender/SplashBidNoticeAbstractUI.aspx?menuIndex=3&amp;refID=7077511&amp;Result=3","7077511")</f>
        <v>0</v>
      </c>
      <c r="B6154" t="s">
        <v>379</v>
      </c>
      <c r="C6154" t="s">
        <v>9394</v>
      </c>
      <c r="D6154" t="s">
        <v>18131</v>
      </c>
      <c r="E6154" t="s">
        <v>23679</v>
      </c>
      <c r="F6154" t="s">
        <v>31362</v>
      </c>
      <c r="G6154" t="s">
        <v>31369</v>
      </c>
      <c r="H6154" t="s">
        <v>15799</v>
      </c>
      <c r="I6154" t="s">
        <v>31396</v>
      </c>
      <c r="J6154" t="s">
        <v>35364</v>
      </c>
      <c r="K6154" t="s">
        <v>40665</v>
      </c>
      <c r="M6154" t="s">
        <v>41927</v>
      </c>
      <c r="N6154" t="s">
        <v>44905</v>
      </c>
      <c r="O6154" t="s">
        <v>44906</v>
      </c>
      <c r="P6154">
        <v>0</v>
      </c>
      <c r="Q6154">
        <v>16</v>
      </c>
      <c r="R6154" t="s">
        <v>44909</v>
      </c>
      <c r="S6154" t="s">
        <v>45060</v>
      </c>
      <c r="T6154" t="s">
        <v>46511</v>
      </c>
      <c r="U6154" t="s">
        <v>51930</v>
      </c>
      <c r="W6154" t="s">
        <v>41927</v>
      </c>
      <c r="X6154" t="s">
        <v>44910</v>
      </c>
    </row>
    <row r="6155" spans="1:24">
      <c r="A6155">
        <f>HYPERLINK("https://www.philgeps.gov.ph/GEPSNONPILOT/Tender/SplashBidNoticeAbstractUI.aspx?menuIndex=3&amp;refID=7077509&amp;Result=3","7077509")</f>
        <v>0</v>
      </c>
      <c r="B6155" t="s">
        <v>1525</v>
      </c>
      <c r="C6155" t="s">
        <v>9395</v>
      </c>
      <c r="E6155" t="s">
        <v>23680</v>
      </c>
      <c r="F6155" t="s">
        <v>31362</v>
      </c>
      <c r="G6155" t="s">
        <v>31368</v>
      </c>
      <c r="H6155" t="s">
        <v>15799</v>
      </c>
      <c r="I6155" t="s">
        <v>6155</v>
      </c>
      <c r="J6155" t="s">
        <v>35365</v>
      </c>
      <c r="K6155" t="s">
        <v>40666</v>
      </c>
      <c r="M6155" t="s">
        <v>42569</v>
      </c>
      <c r="N6155" t="s">
        <v>44905</v>
      </c>
      <c r="O6155" t="s">
        <v>44906</v>
      </c>
      <c r="P6155">
        <v>0</v>
      </c>
      <c r="Q6155">
        <v>21</v>
      </c>
      <c r="R6155" t="s">
        <v>44909</v>
      </c>
      <c r="S6155" t="s">
        <v>45060</v>
      </c>
      <c r="T6155" t="s">
        <v>46682</v>
      </c>
      <c r="U6155" t="s">
        <v>51754</v>
      </c>
      <c r="W6155" t="s">
        <v>42569</v>
      </c>
      <c r="X6155" t="s">
        <v>44910</v>
      </c>
    </row>
    <row r="6156" spans="1:24">
      <c r="A6156">
        <f>HYPERLINK("https://www.philgeps.gov.ph/GEPSNONPILOT/Tender/SplashBidNoticeAbstractUI.aspx?menuIndex=3&amp;refID=7077543&amp;Result=3","7077543")</f>
        <v>0</v>
      </c>
      <c r="B6156" t="s">
        <v>1956</v>
      </c>
      <c r="C6156" t="s">
        <v>9396</v>
      </c>
      <c r="D6156" t="s">
        <v>18102</v>
      </c>
      <c r="E6156" t="s">
        <v>23403</v>
      </c>
      <c r="F6156" t="s">
        <v>31363</v>
      </c>
      <c r="G6156" t="s">
        <v>31370</v>
      </c>
      <c r="H6156" t="s">
        <v>15799</v>
      </c>
      <c r="I6156" t="s">
        <v>3582</v>
      </c>
      <c r="J6156" t="s">
        <v>35366</v>
      </c>
      <c r="K6156" t="s">
        <v>40672</v>
      </c>
      <c r="M6156" t="s">
        <v>43061</v>
      </c>
      <c r="N6156" t="s">
        <v>44905</v>
      </c>
      <c r="O6156" t="s">
        <v>44906</v>
      </c>
      <c r="P6156">
        <v>0</v>
      </c>
      <c r="Q6156">
        <v>2</v>
      </c>
      <c r="R6156" t="s">
        <v>44909</v>
      </c>
      <c r="S6156" t="s">
        <v>45060</v>
      </c>
      <c r="T6156" t="s">
        <v>46416</v>
      </c>
      <c r="U6156" t="s">
        <v>51931</v>
      </c>
      <c r="W6156" t="s">
        <v>43061</v>
      </c>
      <c r="X6156" t="s">
        <v>44910</v>
      </c>
    </row>
    <row r="6157" spans="1:24">
      <c r="A6157">
        <f>HYPERLINK("https://www.philgeps.gov.ph/GEPSNONPILOT/Tender/SplashBidNoticeAbstractUI.aspx?menuIndex=3&amp;refID=7077547&amp;Result=3","7077547")</f>
        <v>0</v>
      </c>
      <c r="B6157" t="s">
        <v>694</v>
      </c>
      <c r="C6157" t="s">
        <v>9397</v>
      </c>
      <c r="D6157" t="s">
        <v>18108</v>
      </c>
      <c r="E6157" t="s">
        <v>23681</v>
      </c>
      <c r="F6157" t="s">
        <v>31362</v>
      </c>
      <c r="G6157" t="s">
        <v>31369</v>
      </c>
      <c r="H6157" t="s">
        <v>15799</v>
      </c>
      <c r="I6157" t="s">
        <v>31393</v>
      </c>
      <c r="J6157" t="s">
        <v>35367</v>
      </c>
      <c r="K6157" t="s">
        <v>40675</v>
      </c>
      <c r="M6157" t="s">
        <v>41657</v>
      </c>
      <c r="N6157" t="s">
        <v>44905</v>
      </c>
      <c r="O6157" t="s">
        <v>44906</v>
      </c>
      <c r="P6157">
        <v>0</v>
      </c>
      <c r="Q6157">
        <v>18</v>
      </c>
      <c r="R6157" t="s">
        <v>44909</v>
      </c>
      <c r="S6157" t="s">
        <v>45060</v>
      </c>
      <c r="T6157" t="s">
        <v>46607</v>
      </c>
      <c r="U6157" t="s">
        <v>48279</v>
      </c>
      <c r="W6157" t="s">
        <v>41657</v>
      </c>
      <c r="X6157" t="s">
        <v>44910</v>
      </c>
    </row>
    <row r="6158" spans="1:24">
      <c r="A6158">
        <f>HYPERLINK("https://www.philgeps.gov.ph/GEPSNONPILOT/Tender/SplashBidNoticeAbstractUI.aspx?menuIndex=3&amp;refID=7077546&amp;Result=3","7077546")</f>
        <v>0</v>
      </c>
      <c r="B6158" t="s">
        <v>362</v>
      </c>
      <c r="C6158" t="s">
        <v>9398</v>
      </c>
      <c r="D6158" t="s">
        <v>18103</v>
      </c>
      <c r="E6158" t="s">
        <v>23682</v>
      </c>
      <c r="F6158" t="s">
        <v>31362</v>
      </c>
      <c r="G6158" t="s">
        <v>31368</v>
      </c>
      <c r="H6158" t="s">
        <v>15799</v>
      </c>
      <c r="I6158" t="s">
        <v>31393</v>
      </c>
      <c r="J6158" t="s">
        <v>33895</v>
      </c>
      <c r="K6158" t="s">
        <v>40666</v>
      </c>
      <c r="M6158" t="s">
        <v>43062</v>
      </c>
      <c r="N6158" t="s">
        <v>44905</v>
      </c>
      <c r="O6158" t="s">
        <v>44906</v>
      </c>
      <c r="P6158">
        <v>0</v>
      </c>
      <c r="Q6158">
        <v>4</v>
      </c>
      <c r="R6158" t="s">
        <v>44909</v>
      </c>
      <c r="S6158" t="s">
        <v>45060</v>
      </c>
      <c r="T6158" t="s">
        <v>46409</v>
      </c>
      <c r="U6158" t="s">
        <v>47543</v>
      </c>
      <c r="V6158" t="s">
        <v>59144</v>
      </c>
      <c r="W6158" t="s">
        <v>60886</v>
      </c>
      <c r="X6158" t="s">
        <v>44910</v>
      </c>
    </row>
    <row r="6159" spans="1:24">
      <c r="A6159">
        <f>HYPERLINK("https://www.philgeps.gov.ph/GEPSNONPILOT/Tender/SplashBidNoticeAbstractUI.aspx?menuIndex=3&amp;refID=7077481&amp;Result=3","7077481")</f>
        <v>0</v>
      </c>
      <c r="B6159" t="s">
        <v>1680</v>
      </c>
      <c r="C6159" t="s">
        <v>9399</v>
      </c>
      <c r="D6159" t="s">
        <v>18144</v>
      </c>
      <c r="E6159" t="s">
        <v>22780</v>
      </c>
      <c r="F6159" t="s">
        <v>31362</v>
      </c>
      <c r="G6159" t="s">
        <v>31370</v>
      </c>
      <c r="H6159" t="s">
        <v>15799</v>
      </c>
      <c r="I6159" t="s">
        <v>31385</v>
      </c>
      <c r="J6159" t="s">
        <v>35368</v>
      </c>
      <c r="K6159" t="s">
        <v>40662</v>
      </c>
      <c r="M6159" t="s">
        <v>42745</v>
      </c>
      <c r="N6159" t="s">
        <v>44905</v>
      </c>
      <c r="O6159" t="s">
        <v>44906</v>
      </c>
      <c r="P6159">
        <v>0</v>
      </c>
      <c r="Q6159">
        <v>0</v>
      </c>
      <c r="R6159" t="s">
        <v>44909</v>
      </c>
      <c r="S6159" t="s">
        <v>45060</v>
      </c>
      <c r="T6159" t="s">
        <v>46534</v>
      </c>
      <c r="U6159" t="s">
        <v>51932</v>
      </c>
      <c r="V6159" t="s">
        <v>59643</v>
      </c>
      <c r="W6159" t="s">
        <v>42745</v>
      </c>
      <c r="X6159" t="s">
        <v>44910</v>
      </c>
    </row>
    <row r="6160" spans="1:24">
      <c r="A6160">
        <f>HYPERLINK("https://www.philgeps.gov.ph/GEPSNONPILOT/Tender/SplashBidNoticeAbstractUI.aspx?menuIndex=3&amp;refID=7077565&amp;Result=3","7077565")</f>
        <v>0</v>
      </c>
      <c r="B6160" t="s">
        <v>1057</v>
      </c>
      <c r="C6160" t="s">
        <v>9400</v>
      </c>
      <c r="D6160" t="s">
        <v>18163</v>
      </c>
      <c r="E6160" t="s">
        <v>23683</v>
      </c>
      <c r="F6160" t="s">
        <v>31362</v>
      </c>
      <c r="G6160" t="s">
        <v>31369</v>
      </c>
      <c r="H6160" t="s">
        <v>15799</v>
      </c>
      <c r="I6160" t="s">
        <v>31480</v>
      </c>
      <c r="J6160" t="s">
        <v>35324</v>
      </c>
      <c r="K6160" t="s">
        <v>40770</v>
      </c>
      <c r="M6160" t="s">
        <v>42058</v>
      </c>
      <c r="N6160" t="s">
        <v>44905</v>
      </c>
      <c r="O6160" t="s">
        <v>44906</v>
      </c>
      <c r="P6160">
        <v>0</v>
      </c>
      <c r="Q6160">
        <v>0</v>
      </c>
      <c r="R6160" t="s">
        <v>44909</v>
      </c>
      <c r="S6160" t="s">
        <v>45060</v>
      </c>
      <c r="T6160" t="s">
        <v>46435</v>
      </c>
      <c r="U6160" t="s">
        <v>51876</v>
      </c>
      <c r="V6160" t="s">
        <v>59644</v>
      </c>
      <c r="W6160" t="s">
        <v>42058</v>
      </c>
      <c r="X6160" t="s">
        <v>44910</v>
      </c>
    </row>
    <row r="6161" spans="1:24">
      <c r="A6161">
        <f>HYPERLINK("https://www.philgeps.gov.ph/GEPSNONPILOT/Tender/SplashBidNoticeAbstractUI.aspx?menuIndex=3&amp;refID=7077564&amp;Result=3","7077564")</f>
        <v>0</v>
      </c>
      <c r="B6161" t="s">
        <v>1863</v>
      </c>
      <c r="C6161" t="s">
        <v>9401</v>
      </c>
      <c r="D6161" t="s">
        <v>18122</v>
      </c>
      <c r="E6161" t="s">
        <v>23592</v>
      </c>
      <c r="F6161" t="s">
        <v>31362</v>
      </c>
      <c r="G6161" t="s">
        <v>31368</v>
      </c>
      <c r="H6161" t="s">
        <v>15799</v>
      </c>
      <c r="I6161" t="s">
        <v>31389</v>
      </c>
      <c r="J6161" t="s">
        <v>31983</v>
      </c>
      <c r="K6161" t="s">
        <v>40665</v>
      </c>
      <c r="M6161" t="s">
        <v>42953</v>
      </c>
      <c r="N6161" t="s">
        <v>44905</v>
      </c>
      <c r="O6161" t="s">
        <v>44906</v>
      </c>
      <c r="P6161">
        <v>0</v>
      </c>
      <c r="Q6161">
        <v>1</v>
      </c>
      <c r="R6161" t="s">
        <v>44909</v>
      </c>
      <c r="S6161" t="s">
        <v>45060</v>
      </c>
      <c r="T6161" t="s">
        <v>46414</v>
      </c>
      <c r="U6161" t="s">
        <v>51933</v>
      </c>
      <c r="W6161" t="s">
        <v>42953</v>
      </c>
      <c r="X6161" t="s">
        <v>44910</v>
      </c>
    </row>
    <row r="6162" spans="1:24">
      <c r="A6162">
        <f>HYPERLINK("https://www.philgeps.gov.ph/GEPSNONPILOT/Tender/SplashBidNoticeAbstractUI.aspx?menuIndex=3&amp;refID=7077525&amp;Result=3","7077525")</f>
        <v>0</v>
      </c>
      <c r="B6162" t="s">
        <v>216</v>
      </c>
      <c r="C6162" t="s">
        <v>9402</v>
      </c>
      <c r="D6162" t="s">
        <v>18113</v>
      </c>
      <c r="E6162" t="s">
        <v>20483</v>
      </c>
      <c r="F6162" t="s">
        <v>31362</v>
      </c>
      <c r="G6162" t="s">
        <v>31368</v>
      </c>
      <c r="H6162" t="s">
        <v>15799</v>
      </c>
      <c r="I6162" t="s">
        <v>6240</v>
      </c>
      <c r="J6162" t="s">
        <v>31686</v>
      </c>
      <c r="K6162" t="s">
        <v>40662</v>
      </c>
      <c r="M6162" t="s">
        <v>41155</v>
      </c>
      <c r="N6162" t="s">
        <v>44905</v>
      </c>
      <c r="O6162" t="s">
        <v>44906</v>
      </c>
      <c r="P6162">
        <v>0</v>
      </c>
      <c r="Q6162">
        <v>0</v>
      </c>
      <c r="R6162" t="s">
        <v>44909</v>
      </c>
      <c r="S6162" t="s">
        <v>45060</v>
      </c>
      <c r="T6162" t="s">
        <v>46432</v>
      </c>
      <c r="U6162" t="s">
        <v>51934</v>
      </c>
      <c r="V6162" t="s">
        <v>59107</v>
      </c>
      <c r="W6162" t="s">
        <v>41155</v>
      </c>
      <c r="X6162" t="s">
        <v>44910</v>
      </c>
    </row>
    <row r="6163" spans="1:24">
      <c r="A6163">
        <f>HYPERLINK("https://www.philgeps.gov.ph/GEPSNONPILOT/Tender/SplashBidNoticeAbstractUI.aspx?menuIndex=3&amp;refID=7077572&amp;Result=3","7077572")</f>
        <v>0</v>
      </c>
      <c r="B6163" t="s">
        <v>1957</v>
      </c>
      <c r="C6163" t="s">
        <v>9403</v>
      </c>
      <c r="D6163" t="s">
        <v>18117</v>
      </c>
      <c r="E6163" t="s">
        <v>20439</v>
      </c>
      <c r="F6163" t="s">
        <v>31362</v>
      </c>
      <c r="G6163" t="s">
        <v>31368</v>
      </c>
      <c r="H6163" t="s">
        <v>15799</v>
      </c>
      <c r="I6163" t="s">
        <v>31480</v>
      </c>
      <c r="J6163" t="s">
        <v>35369</v>
      </c>
      <c r="K6163" t="s">
        <v>40662</v>
      </c>
      <c r="M6163" t="s">
        <v>43063</v>
      </c>
      <c r="N6163" t="s">
        <v>44905</v>
      </c>
      <c r="O6163" t="s">
        <v>44906</v>
      </c>
      <c r="P6163">
        <v>0</v>
      </c>
      <c r="Q6163">
        <v>0</v>
      </c>
      <c r="R6163" t="s">
        <v>44909</v>
      </c>
      <c r="S6163" t="s">
        <v>45060</v>
      </c>
      <c r="T6163" t="s">
        <v>46432</v>
      </c>
      <c r="U6163" t="s">
        <v>51935</v>
      </c>
      <c r="V6163" t="s">
        <v>59645</v>
      </c>
      <c r="W6163" t="s">
        <v>43063</v>
      </c>
      <c r="X6163" t="s">
        <v>44910</v>
      </c>
    </row>
    <row r="6164" spans="1:24">
      <c r="A6164">
        <f>HYPERLINK("https://www.philgeps.gov.ph/GEPSNONPILOT/Tender/SplashBidNoticeAbstractUI.aspx?menuIndex=3&amp;refID=7077545&amp;Result=3","7077545")</f>
        <v>0</v>
      </c>
      <c r="B6164" t="s">
        <v>1958</v>
      </c>
      <c r="C6164" t="s">
        <v>9404</v>
      </c>
      <c r="E6164" t="s">
        <v>18397</v>
      </c>
      <c r="F6164" t="s">
        <v>31365</v>
      </c>
      <c r="G6164" t="s">
        <v>31369</v>
      </c>
      <c r="H6164" t="s">
        <v>15799</v>
      </c>
      <c r="I6164" t="s">
        <v>31455</v>
      </c>
      <c r="J6164" t="s">
        <v>31688</v>
      </c>
      <c r="K6164" t="s">
        <v>40662</v>
      </c>
      <c r="M6164" t="s">
        <v>43064</v>
      </c>
      <c r="N6164" t="s">
        <v>44905</v>
      </c>
      <c r="O6164" t="s">
        <v>44906</v>
      </c>
      <c r="P6164">
        <v>0</v>
      </c>
      <c r="Q6164">
        <v>0</v>
      </c>
      <c r="R6164" t="s">
        <v>44909</v>
      </c>
      <c r="S6164" t="s">
        <v>45060</v>
      </c>
      <c r="T6164" t="s">
        <v>46577</v>
      </c>
      <c r="U6164" t="s">
        <v>47088</v>
      </c>
      <c r="W6164" t="s">
        <v>43064</v>
      </c>
      <c r="X6164" t="s">
        <v>44910</v>
      </c>
    </row>
    <row r="6165" spans="1:24">
      <c r="A6165">
        <f>HYPERLINK("https://www.philgeps.gov.ph/GEPSNONPILOT/Tender/SplashBidNoticeAbstractUI.aspx?menuIndex=3&amp;refID=7077567&amp;Result=3","7077567")</f>
        <v>0</v>
      </c>
      <c r="B6165" t="s">
        <v>791</v>
      </c>
      <c r="C6165" t="s">
        <v>9405</v>
      </c>
      <c r="D6165" t="s">
        <v>18108</v>
      </c>
      <c r="E6165" t="s">
        <v>23684</v>
      </c>
      <c r="F6165" t="s">
        <v>31362</v>
      </c>
      <c r="G6165" t="s">
        <v>31369</v>
      </c>
      <c r="H6165" t="s">
        <v>31378</v>
      </c>
      <c r="I6165" t="s">
        <v>31386</v>
      </c>
      <c r="J6165" t="s">
        <v>31602</v>
      </c>
      <c r="K6165" t="s">
        <v>40662</v>
      </c>
      <c r="M6165" t="s">
        <v>42138</v>
      </c>
      <c r="N6165" t="s">
        <v>44905</v>
      </c>
      <c r="O6165" t="s">
        <v>44906</v>
      </c>
      <c r="P6165">
        <v>0</v>
      </c>
      <c r="Q6165">
        <v>1</v>
      </c>
      <c r="R6165" t="s">
        <v>44909</v>
      </c>
      <c r="S6165" t="s">
        <v>45060</v>
      </c>
      <c r="T6165" t="s">
        <v>46464</v>
      </c>
      <c r="U6165" t="s">
        <v>51936</v>
      </c>
      <c r="V6165" t="s">
        <v>59646</v>
      </c>
      <c r="W6165" t="s">
        <v>42138</v>
      </c>
      <c r="X6165" t="s">
        <v>44910</v>
      </c>
    </row>
    <row r="6166" spans="1:24">
      <c r="A6166">
        <f>HYPERLINK("https://www.philgeps.gov.ph/GEPSNONPILOT/Tender/SplashBidNoticeAbstractUI.aspx?menuIndex=3&amp;refID=7077570&amp;Result=3","7077570")</f>
        <v>0</v>
      </c>
      <c r="B6166" t="s">
        <v>1912</v>
      </c>
      <c r="C6166" t="s">
        <v>9406</v>
      </c>
      <c r="D6166" t="s">
        <v>18108</v>
      </c>
      <c r="E6166" t="s">
        <v>23685</v>
      </c>
      <c r="F6166" t="s">
        <v>31362</v>
      </c>
      <c r="G6166" t="s">
        <v>31369</v>
      </c>
      <c r="H6166" t="s">
        <v>15799</v>
      </c>
      <c r="I6166" t="s">
        <v>7188</v>
      </c>
      <c r="J6166" t="s">
        <v>35370</v>
      </c>
      <c r="K6166" t="s">
        <v>40661</v>
      </c>
      <c r="M6166" t="s">
        <v>43008</v>
      </c>
      <c r="N6166" t="s">
        <v>44905</v>
      </c>
      <c r="O6166" t="s">
        <v>44906</v>
      </c>
      <c r="P6166">
        <v>0</v>
      </c>
      <c r="Q6166">
        <v>1</v>
      </c>
      <c r="R6166" t="s">
        <v>44909</v>
      </c>
      <c r="S6166" t="s">
        <v>45060</v>
      </c>
      <c r="T6166" t="s">
        <v>46593</v>
      </c>
      <c r="U6166" t="s">
        <v>51754</v>
      </c>
      <c r="W6166" t="s">
        <v>43008</v>
      </c>
      <c r="X6166" t="s">
        <v>44910</v>
      </c>
    </row>
    <row r="6167" spans="1:24">
      <c r="A6167">
        <f>HYPERLINK("https://www.philgeps.gov.ph/GEPSNONPILOT/Tender/SplashBidNoticeAbstractUI.aspx?menuIndex=3&amp;refID=7077563&amp;Result=3","7077563")</f>
        <v>0</v>
      </c>
      <c r="B6167" t="s">
        <v>913</v>
      </c>
      <c r="C6167" t="s">
        <v>8427</v>
      </c>
      <c r="D6167" t="s">
        <v>18176</v>
      </c>
      <c r="E6167" t="s">
        <v>18759</v>
      </c>
      <c r="F6167" t="s">
        <v>31362</v>
      </c>
      <c r="G6167" t="s">
        <v>31369</v>
      </c>
      <c r="H6167" t="s">
        <v>15799</v>
      </c>
      <c r="I6167" t="s">
        <v>31430</v>
      </c>
      <c r="J6167" t="s">
        <v>35371</v>
      </c>
      <c r="K6167" t="s">
        <v>40670</v>
      </c>
      <c r="M6167" t="s">
        <v>41896</v>
      </c>
      <c r="N6167" t="s">
        <v>44905</v>
      </c>
      <c r="O6167" t="s">
        <v>44906</v>
      </c>
      <c r="P6167">
        <v>0</v>
      </c>
      <c r="Q6167">
        <v>0</v>
      </c>
      <c r="R6167" t="s">
        <v>44909</v>
      </c>
      <c r="S6167" t="s">
        <v>45060</v>
      </c>
      <c r="T6167" t="s">
        <v>46426</v>
      </c>
      <c r="U6167" t="s">
        <v>51937</v>
      </c>
      <c r="W6167" t="s">
        <v>41896</v>
      </c>
      <c r="X6167" t="s">
        <v>44910</v>
      </c>
    </row>
    <row r="6168" spans="1:24">
      <c r="A6168">
        <f>HYPERLINK("https://www.philgeps.gov.ph/GEPSNONPILOT/Tender/SplashBidNoticeAbstractUI.aspx?menuIndex=3&amp;refID=7077559&amp;Result=3","7077559")</f>
        <v>0</v>
      </c>
      <c r="B6168" t="s">
        <v>1959</v>
      </c>
      <c r="C6168" t="s">
        <v>9407</v>
      </c>
      <c r="D6168" t="s">
        <v>18100</v>
      </c>
      <c r="E6168" t="s">
        <v>23686</v>
      </c>
      <c r="F6168" t="s">
        <v>31362</v>
      </c>
      <c r="G6168" t="s">
        <v>31369</v>
      </c>
      <c r="H6168" t="s">
        <v>15799</v>
      </c>
      <c r="I6168" t="s">
        <v>31380</v>
      </c>
      <c r="J6168" t="s">
        <v>35372</v>
      </c>
      <c r="K6168" t="s">
        <v>40724</v>
      </c>
      <c r="M6168" t="s">
        <v>43065</v>
      </c>
      <c r="N6168" t="s">
        <v>44905</v>
      </c>
      <c r="O6168" t="s">
        <v>44906</v>
      </c>
      <c r="P6168">
        <v>0</v>
      </c>
      <c r="Q6168">
        <v>6</v>
      </c>
      <c r="R6168" t="s">
        <v>44909</v>
      </c>
      <c r="S6168" t="s">
        <v>45060</v>
      </c>
      <c r="T6168" t="s">
        <v>46641</v>
      </c>
      <c r="U6168" t="s">
        <v>51938</v>
      </c>
      <c r="W6168" t="s">
        <v>43065</v>
      </c>
      <c r="X6168" t="s">
        <v>44910</v>
      </c>
    </row>
    <row r="6169" spans="1:24">
      <c r="A6169">
        <f>HYPERLINK("https://www.philgeps.gov.ph/GEPSNONPILOT/Tender/SplashBidNoticeAbstractUI.aspx?menuIndex=3&amp;refID=7077558&amp;Result=3","7077558")</f>
        <v>0</v>
      </c>
      <c r="B6169" t="s">
        <v>1960</v>
      </c>
      <c r="C6169" t="s">
        <v>9408</v>
      </c>
      <c r="D6169" t="s">
        <v>18120</v>
      </c>
      <c r="E6169" t="s">
        <v>23687</v>
      </c>
      <c r="F6169" t="s">
        <v>31362</v>
      </c>
      <c r="G6169" t="s">
        <v>31369</v>
      </c>
      <c r="H6169" t="s">
        <v>31378</v>
      </c>
      <c r="I6169" t="s">
        <v>31386</v>
      </c>
      <c r="J6169" t="s">
        <v>31531</v>
      </c>
      <c r="K6169" t="s">
        <v>40682</v>
      </c>
      <c r="M6169" t="s">
        <v>43066</v>
      </c>
      <c r="N6169" t="s">
        <v>44905</v>
      </c>
      <c r="O6169" t="s">
        <v>44906</v>
      </c>
      <c r="P6169">
        <v>0</v>
      </c>
      <c r="Q6169">
        <v>0</v>
      </c>
      <c r="R6169" t="s">
        <v>44909</v>
      </c>
      <c r="S6169" t="s">
        <v>45060</v>
      </c>
      <c r="T6169" t="s">
        <v>46412</v>
      </c>
      <c r="U6169" t="s">
        <v>51939</v>
      </c>
      <c r="W6169" t="s">
        <v>43066</v>
      </c>
      <c r="X6169" t="s">
        <v>44910</v>
      </c>
    </row>
    <row r="6170" spans="1:24">
      <c r="A6170">
        <f>HYPERLINK("https://www.philgeps.gov.ph/GEPSNONPILOT/Tender/SplashBidNoticeAbstractUI.aspx?menuIndex=3&amp;refID=7077557&amp;Result=3","7077557")</f>
        <v>0</v>
      </c>
      <c r="B6170" t="s">
        <v>1219</v>
      </c>
      <c r="C6170" t="s">
        <v>9409</v>
      </c>
      <c r="E6170" t="s">
        <v>23688</v>
      </c>
      <c r="F6170" t="s">
        <v>31362</v>
      </c>
      <c r="G6170" t="s">
        <v>31372</v>
      </c>
      <c r="H6170" t="s">
        <v>15799</v>
      </c>
      <c r="I6170" t="s">
        <v>31430</v>
      </c>
      <c r="J6170" t="s">
        <v>35373</v>
      </c>
      <c r="K6170" t="s">
        <v>40662</v>
      </c>
      <c r="M6170" t="s">
        <v>42232</v>
      </c>
      <c r="N6170" t="s">
        <v>44905</v>
      </c>
      <c r="O6170" t="s">
        <v>44906</v>
      </c>
      <c r="P6170">
        <v>0</v>
      </c>
      <c r="Q6170">
        <v>0</v>
      </c>
      <c r="R6170" t="s">
        <v>44909</v>
      </c>
      <c r="S6170" t="s">
        <v>45060</v>
      </c>
      <c r="T6170" t="s">
        <v>46597</v>
      </c>
      <c r="U6170" t="s">
        <v>51940</v>
      </c>
      <c r="W6170" t="s">
        <v>42232</v>
      </c>
      <c r="X6170" t="s">
        <v>44910</v>
      </c>
    </row>
    <row r="6171" spans="1:24">
      <c r="A6171">
        <f>HYPERLINK("https://www.philgeps.gov.ph/GEPSNONPILOT/Tender/SplashBidNoticeAbstractUI.aspx?menuIndex=3&amp;refID=7077522&amp;Result=3","7077522")</f>
        <v>0</v>
      </c>
      <c r="B6171" t="s">
        <v>1389</v>
      </c>
      <c r="C6171" t="s">
        <v>9410</v>
      </c>
      <c r="D6171" t="s">
        <v>18127</v>
      </c>
      <c r="E6171" t="s">
        <v>23689</v>
      </c>
      <c r="F6171" t="s">
        <v>31362</v>
      </c>
      <c r="G6171" t="s">
        <v>31369</v>
      </c>
      <c r="H6171" t="s">
        <v>15799</v>
      </c>
      <c r="I6171" t="s">
        <v>31380</v>
      </c>
      <c r="J6171" t="s">
        <v>35374</v>
      </c>
      <c r="K6171" t="s">
        <v>40662</v>
      </c>
      <c r="M6171" t="s">
        <v>42414</v>
      </c>
      <c r="N6171" t="s">
        <v>44905</v>
      </c>
      <c r="O6171" t="s">
        <v>44906</v>
      </c>
      <c r="P6171">
        <v>0</v>
      </c>
      <c r="Q6171">
        <v>9</v>
      </c>
      <c r="R6171" t="s">
        <v>44909</v>
      </c>
      <c r="S6171" t="s">
        <v>45060</v>
      </c>
      <c r="T6171" t="s">
        <v>46398</v>
      </c>
      <c r="U6171" t="s">
        <v>51941</v>
      </c>
      <c r="W6171" t="s">
        <v>42414</v>
      </c>
      <c r="X6171" t="s">
        <v>44910</v>
      </c>
    </row>
    <row r="6172" spans="1:24">
      <c r="A6172">
        <f>HYPERLINK("https://www.philgeps.gov.ph/GEPSNONPILOT/Tender/SplashBidNoticeAbstractUI.aspx?menuIndex=3&amp;refID=7077560&amp;Result=3","7077560")</f>
        <v>0</v>
      </c>
      <c r="B6172" t="s">
        <v>1948</v>
      </c>
      <c r="C6172" t="s">
        <v>9411</v>
      </c>
      <c r="E6172" t="s">
        <v>23690</v>
      </c>
      <c r="F6172" t="s">
        <v>31362</v>
      </c>
      <c r="G6172" t="s">
        <v>31369</v>
      </c>
      <c r="H6172" t="s">
        <v>15799</v>
      </c>
      <c r="I6172" t="s">
        <v>31420</v>
      </c>
      <c r="J6172" t="s">
        <v>35375</v>
      </c>
      <c r="K6172" t="s">
        <v>40675</v>
      </c>
      <c r="M6172" t="s">
        <v>43053</v>
      </c>
      <c r="N6172" t="s">
        <v>44905</v>
      </c>
      <c r="O6172" t="s">
        <v>44906</v>
      </c>
      <c r="Q6172">
        <v>8</v>
      </c>
      <c r="R6172" t="s">
        <v>44909</v>
      </c>
      <c r="S6172" t="s">
        <v>45069</v>
      </c>
      <c r="T6172" t="s">
        <v>46449</v>
      </c>
      <c r="U6172" t="s">
        <v>51909</v>
      </c>
      <c r="W6172" t="s">
        <v>43053</v>
      </c>
      <c r="X6172" t="s">
        <v>44910</v>
      </c>
    </row>
    <row r="6173" spans="1:24">
      <c r="A6173">
        <f>HYPERLINK("https://www.philgeps.gov.ph/GEPSNONPILOT/Tender/SplashBidNoticeAbstractUI.aspx?menuIndex=3&amp;refID=7077552&amp;Result=3","7077552")</f>
        <v>0</v>
      </c>
      <c r="B6173" t="s">
        <v>1961</v>
      </c>
      <c r="C6173" t="s">
        <v>9412</v>
      </c>
      <c r="D6173" t="s">
        <v>18122</v>
      </c>
      <c r="E6173" t="s">
        <v>23691</v>
      </c>
      <c r="F6173" t="s">
        <v>31362</v>
      </c>
      <c r="G6173" t="s">
        <v>31368</v>
      </c>
      <c r="H6173" t="s">
        <v>15799</v>
      </c>
      <c r="I6173" t="s">
        <v>31423</v>
      </c>
      <c r="J6173" t="s">
        <v>35376</v>
      </c>
      <c r="K6173" t="s">
        <v>40666</v>
      </c>
      <c r="M6173" t="s">
        <v>43067</v>
      </c>
      <c r="N6173" t="s">
        <v>44905</v>
      </c>
      <c r="O6173" t="s">
        <v>44906</v>
      </c>
      <c r="P6173">
        <v>0</v>
      </c>
      <c r="Q6173">
        <v>3</v>
      </c>
      <c r="R6173" t="s">
        <v>44909</v>
      </c>
      <c r="S6173" t="s">
        <v>45060</v>
      </c>
      <c r="T6173" t="s">
        <v>46443</v>
      </c>
      <c r="U6173" t="s">
        <v>51942</v>
      </c>
      <c r="W6173" t="s">
        <v>43067</v>
      </c>
      <c r="X6173" t="s">
        <v>44910</v>
      </c>
    </row>
    <row r="6174" spans="1:24">
      <c r="A6174">
        <f>HYPERLINK("https://www.philgeps.gov.ph/GEPSNONPILOT/Tender/SplashBidNoticeAbstractUI.aspx?menuIndex=3&amp;refID=7077556&amp;Result=3","7077556")</f>
        <v>0</v>
      </c>
      <c r="B6174" t="s">
        <v>1115</v>
      </c>
      <c r="C6174" t="s">
        <v>9413</v>
      </c>
      <c r="D6174" t="s">
        <v>18104</v>
      </c>
      <c r="E6174" t="s">
        <v>23692</v>
      </c>
      <c r="F6174" t="s">
        <v>31362</v>
      </c>
      <c r="G6174" t="s">
        <v>31368</v>
      </c>
      <c r="H6174" t="s">
        <v>31378</v>
      </c>
      <c r="I6174" t="s">
        <v>31386</v>
      </c>
      <c r="J6174" t="s">
        <v>31625</v>
      </c>
      <c r="K6174" t="s">
        <v>40813</v>
      </c>
      <c r="M6174" t="s">
        <v>42977</v>
      </c>
      <c r="N6174" t="s">
        <v>44905</v>
      </c>
      <c r="O6174" t="s">
        <v>44906</v>
      </c>
      <c r="P6174">
        <v>0</v>
      </c>
      <c r="Q6174">
        <v>0</v>
      </c>
      <c r="R6174" t="s">
        <v>44909</v>
      </c>
      <c r="S6174" t="s">
        <v>45060</v>
      </c>
      <c r="T6174" t="s">
        <v>46470</v>
      </c>
      <c r="U6174" t="s">
        <v>51943</v>
      </c>
      <c r="W6174" t="s">
        <v>42977</v>
      </c>
      <c r="X6174" t="s">
        <v>44910</v>
      </c>
    </row>
    <row r="6175" spans="1:24">
      <c r="A6175">
        <f>HYPERLINK("https://www.philgeps.gov.ph/GEPSNONPILOT/Tender/SplashBidNoticeAbstractUI.aspx?menuIndex=3&amp;refID=7077554&amp;Result=3","7077554")</f>
        <v>0</v>
      </c>
      <c r="B6175" t="s">
        <v>1057</v>
      </c>
      <c r="C6175" t="s">
        <v>9414</v>
      </c>
      <c r="D6175" t="s">
        <v>18163</v>
      </c>
      <c r="E6175" t="s">
        <v>23693</v>
      </c>
      <c r="F6175" t="s">
        <v>31362</v>
      </c>
      <c r="G6175" t="s">
        <v>31369</v>
      </c>
      <c r="H6175" t="s">
        <v>15799</v>
      </c>
      <c r="I6175" t="s">
        <v>31480</v>
      </c>
      <c r="J6175" t="s">
        <v>35324</v>
      </c>
      <c r="K6175" t="s">
        <v>40770</v>
      </c>
      <c r="M6175" t="s">
        <v>42058</v>
      </c>
      <c r="N6175" t="s">
        <v>44905</v>
      </c>
      <c r="O6175" t="s">
        <v>44906</v>
      </c>
      <c r="P6175">
        <v>0</v>
      </c>
      <c r="Q6175">
        <v>0</v>
      </c>
      <c r="R6175" t="s">
        <v>44909</v>
      </c>
      <c r="S6175" t="s">
        <v>45060</v>
      </c>
      <c r="T6175" t="s">
        <v>46435</v>
      </c>
      <c r="U6175" t="s">
        <v>51876</v>
      </c>
      <c r="V6175" t="s">
        <v>59647</v>
      </c>
      <c r="W6175" t="s">
        <v>42058</v>
      </c>
      <c r="X6175" t="s">
        <v>44910</v>
      </c>
    </row>
    <row r="6176" spans="1:24">
      <c r="A6176">
        <f>HYPERLINK("https://www.philgeps.gov.ph/GEPSNONPILOT/Tender/SplashBidNoticeAbstractUI.aspx?menuIndex=3&amp;refID=7077573&amp;Result=3","7077573")</f>
        <v>0</v>
      </c>
      <c r="B6176" t="s">
        <v>1816</v>
      </c>
      <c r="C6176" t="s">
        <v>9415</v>
      </c>
      <c r="D6176" t="s">
        <v>18141</v>
      </c>
      <c r="E6176" t="s">
        <v>23694</v>
      </c>
      <c r="F6176" t="s">
        <v>31362</v>
      </c>
      <c r="G6176" t="s">
        <v>31369</v>
      </c>
      <c r="H6176" t="s">
        <v>31378</v>
      </c>
      <c r="I6176" t="s">
        <v>31386</v>
      </c>
      <c r="J6176" t="s">
        <v>35377</v>
      </c>
      <c r="K6176" t="s">
        <v>40678</v>
      </c>
      <c r="M6176" t="s">
        <v>42899</v>
      </c>
      <c r="N6176" t="s">
        <v>44905</v>
      </c>
      <c r="O6176" t="s">
        <v>44906</v>
      </c>
      <c r="P6176">
        <v>0</v>
      </c>
      <c r="Q6176">
        <v>0</v>
      </c>
      <c r="R6176" t="s">
        <v>44909</v>
      </c>
      <c r="S6176" t="s">
        <v>45060</v>
      </c>
      <c r="T6176" t="s">
        <v>46671</v>
      </c>
      <c r="U6176" t="s">
        <v>51944</v>
      </c>
      <c r="W6176" t="s">
        <v>42899</v>
      </c>
      <c r="X6176" t="s">
        <v>44910</v>
      </c>
    </row>
    <row r="6177" spans="1:24">
      <c r="A6177">
        <f>HYPERLINK("https://www.philgeps.gov.ph/GEPSNONPILOT/Tender/SplashBidNoticeAbstractUI.aspx?menuIndex=3&amp;refID=7077575&amp;Result=3","7077575")</f>
        <v>0</v>
      </c>
      <c r="B6177" t="s">
        <v>1057</v>
      </c>
      <c r="C6177" t="s">
        <v>9416</v>
      </c>
      <c r="D6177" t="s">
        <v>18163</v>
      </c>
      <c r="E6177" t="s">
        <v>23695</v>
      </c>
      <c r="F6177" t="s">
        <v>31362</v>
      </c>
      <c r="G6177" t="s">
        <v>31369</v>
      </c>
      <c r="H6177" t="s">
        <v>15799</v>
      </c>
      <c r="I6177" t="s">
        <v>31480</v>
      </c>
      <c r="J6177" t="s">
        <v>35349</v>
      </c>
      <c r="K6177" t="s">
        <v>40667</v>
      </c>
      <c r="M6177" t="s">
        <v>42058</v>
      </c>
      <c r="N6177" t="s">
        <v>44905</v>
      </c>
      <c r="O6177" t="s">
        <v>44906</v>
      </c>
      <c r="P6177">
        <v>0</v>
      </c>
      <c r="Q6177">
        <v>0</v>
      </c>
      <c r="R6177" t="s">
        <v>44909</v>
      </c>
      <c r="S6177" t="s">
        <v>45060</v>
      </c>
      <c r="T6177" t="s">
        <v>46435</v>
      </c>
      <c r="U6177" t="s">
        <v>51876</v>
      </c>
      <c r="V6177" t="s">
        <v>59648</v>
      </c>
      <c r="W6177" t="s">
        <v>42058</v>
      </c>
      <c r="X6177" t="s">
        <v>44910</v>
      </c>
    </row>
    <row r="6178" spans="1:24">
      <c r="A6178">
        <f>HYPERLINK("https://www.philgeps.gov.ph/GEPSNONPILOT/Tender/SplashBidNoticeAbstractUI.aspx?menuIndex=3&amp;refID=7077553&amp;Result=3","7077553")</f>
        <v>0</v>
      </c>
      <c r="B6178" t="s">
        <v>1934</v>
      </c>
      <c r="C6178" t="s">
        <v>9417</v>
      </c>
      <c r="E6178" t="s">
        <v>23696</v>
      </c>
      <c r="F6178" t="s">
        <v>31362</v>
      </c>
      <c r="G6178" t="s">
        <v>31369</v>
      </c>
      <c r="H6178" t="s">
        <v>31378</v>
      </c>
      <c r="I6178" t="s">
        <v>31386</v>
      </c>
      <c r="J6178" t="s">
        <v>35378</v>
      </c>
      <c r="K6178" t="s">
        <v>40808</v>
      </c>
      <c r="M6178" t="s">
        <v>43036</v>
      </c>
      <c r="N6178" t="s">
        <v>44905</v>
      </c>
      <c r="O6178" t="s">
        <v>44906</v>
      </c>
      <c r="P6178">
        <v>0</v>
      </c>
      <c r="Q6178">
        <v>9</v>
      </c>
      <c r="R6178" t="s">
        <v>44909</v>
      </c>
      <c r="S6178" t="s">
        <v>45060</v>
      </c>
      <c r="T6178" t="s">
        <v>46464</v>
      </c>
      <c r="U6178" t="s">
        <v>51864</v>
      </c>
      <c r="V6178" t="s">
        <v>59629</v>
      </c>
      <c r="W6178" t="s">
        <v>43036</v>
      </c>
      <c r="X6178" t="s">
        <v>44910</v>
      </c>
    </row>
    <row r="6179" spans="1:24">
      <c r="A6179">
        <f>HYPERLINK("https://www.philgeps.gov.ph/GEPSNONPILOT/Tender/SplashBidNoticeAbstractUI.aspx?menuIndex=3&amp;refID=7077593&amp;Result=3","7077593")</f>
        <v>0</v>
      </c>
      <c r="B6179" t="s">
        <v>1873</v>
      </c>
      <c r="C6179" t="s">
        <v>9418</v>
      </c>
      <c r="D6179" t="s">
        <v>18162</v>
      </c>
      <c r="E6179" t="s">
        <v>23697</v>
      </c>
      <c r="F6179" t="s">
        <v>31362</v>
      </c>
      <c r="G6179" t="s">
        <v>31369</v>
      </c>
      <c r="H6179" t="s">
        <v>15799</v>
      </c>
      <c r="I6179" t="s">
        <v>31380</v>
      </c>
      <c r="J6179" t="s">
        <v>31545</v>
      </c>
      <c r="K6179" t="s">
        <v>40666</v>
      </c>
      <c r="M6179" t="s">
        <v>42964</v>
      </c>
      <c r="N6179" t="s">
        <v>44905</v>
      </c>
      <c r="O6179" t="s">
        <v>44906</v>
      </c>
      <c r="P6179">
        <v>0</v>
      </c>
      <c r="Q6179">
        <v>0</v>
      </c>
      <c r="R6179" t="s">
        <v>44909</v>
      </c>
      <c r="S6179" t="s">
        <v>45060</v>
      </c>
      <c r="T6179" t="s">
        <v>46593</v>
      </c>
      <c r="U6179" t="s">
        <v>51945</v>
      </c>
      <c r="W6179" t="s">
        <v>42964</v>
      </c>
      <c r="X6179" t="s">
        <v>44910</v>
      </c>
    </row>
    <row r="6180" spans="1:24">
      <c r="A6180">
        <f>HYPERLINK("https://www.philgeps.gov.ph/GEPSNONPILOT/Tender/SplashBidNoticeAbstractUI.aspx?menuIndex=3&amp;refID=7077549&amp;Result=3","7077549")</f>
        <v>0</v>
      </c>
      <c r="B6180" t="s">
        <v>1724</v>
      </c>
      <c r="C6180" t="s">
        <v>9419</v>
      </c>
      <c r="D6180" t="s">
        <v>18148</v>
      </c>
      <c r="E6180" t="s">
        <v>19278</v>
      </c>
      <c r="F6180" t="s">
        <v>31362</v>
      </c>
      <c r="G6180" t="s">
        <v>31368</v>
      </c>
      <c r="H6180" t="s">
        <v>15799</v>
      </c>
      <c r="I6180" t="s">
        <v>31393</v>
      </c>
      <c r="J6180" t="s">
        <v>31829</v>
      </c>
      <c r="K6180" t="s">
        <v>40666</v>
      </c>
      <c r="M6180" t="s">
        <v>42794</v>
      </c>
      <c r="N6180" t="s">
        <v>44905</v>
      </c>
      <c r="O6180" t="s">
        <v>44906</v>
      </c>
      <c r="P6180">
        <v>0</v>
      </c>
      <c r="Q6180">
        <v>1</v>
      </c>
      <c r="R6180" t="s">
        <v>44909</v>
      </c>
      <c r="S6180" t="s">
        <v>45060</v>
      </c>
      <c r="T6180" t="s">
        <v>46434</v>
      </c>
      <c r="U6180" t="s">
        <v>51201</v>
      </c>
      <c r="V6180" t="s">
        <v>59649</v>
      </c>
      <c r="W6180" t="s">
        <v>42794</v>
      </c>
      <c r="X6180" t="s">
        <v>44910</v>
      </c>
    </row>
    <row r="6181" spans="1:24">
      <c r="A6181">
        <f>HYPERLINK("https://www.philgeps.gov.ph/GEPSNONPILOT/Tender/SplashBidNoticeAbstractUI.aspx?menuIndex=3&amp;refID=7077548&amp;Result=3","7077548")</f>
        <v>0</v>
      </c>
      <c r="B6181" t="s">
        <v>508</v>
      </c>
      <c r="C6181" t="s">
        <v>9420</v>
      </c>
      <c r="D6181" t="s">
        <v>18131</v>
      </c>
      <c r="E6181" t="s">
        <v>23698</v>
      </c>
      <c r="F6181" t="s">
        <v>31362</v>
      </c>
      <c r="G6181" t="s">
        <v>31371</v>
      </c>
      <c r="H6181" t="s">
        <v>15799</v>
      </c>
      <c r="I6181" t="s">
        <v>31385</v>
      </c>
      <c r="J6181" t="s">
        <v>35379</v>
      </c>
      <c r="K6181" t="s">
        <v>40662</v>
      </c>
      <c r="M6181" t="s">
        <v>41463</v>
      </c>
      <c r="N6181" t="s">
        <v>44905</v>
      </c>
      <c r="O6181" t="s">
        <v>44906</v>
      </c>
      <c r="P6181">
        <v>0</v>
      </c>
      <c r="Q6181">
        <v>1</v>
      </c>
      <c r="R6181" t="s">
        <v>44909</v>
      </c>
      <c r="S6181" t="s">
        <v>45060</v>
      </c>
      <c r="T6181" t="s">
        <v>46432</v>
      </c>
      <c r="U6181" t="s">
        <v>51946</v>
      </c>
      <c r="W6181" t="s">
        <v>41463</v>
      </c>
      <c r="X6181" t="s">
        <v>44910</v>
      </c>
    </row>
    <row r="6182" spans="1:24">
      <c r="A6182">
        <f>HYPERLINK("https://www.philgeps.gov.ph/GEPSNONPILOT/Tender/SplashBidNoticeAbstractUI.aspx?menuIndex=3&amp;refID=7077589&amp;Result=3","7077589")</f>
        <v>0</v>
      </c>
      <c r="B6182" t="s">
        <v>1057</v>
      </c>
      <c r="C6182" t="s">
        <v>9421</v>
      </c>
      <c r="D6182" t="s">
        <v>18163</v>
      </c>
      <c r="E6182" t="s">
        <v>23699</v>
      </c>
      <c r="F6182" t="s">
        <v>31362</v>
      </c>
      <c r="G6182" t="s">
        <v>31369</v>
      </c>
      <c r="H6182" t="s">
        <v>15799</v>
      </c>
      <c r="I6182" t="s">
        <v>31480</v>
      </c>
      <c r="J6182" t="s">
        <v>35329</v>
      </c>
      <c r="K6182" t="s">
        <v>40670</v>
      </c>
      <c r="M6182" t="s">
        <v>42058</v>
      </c>
      <c r="N6182" t="s">
        <v>44905</v>
      </c>
      <c r="O6182" t="s">
        <v>44906</v>
      </c>
      <c r="P6182">
        <v>0</v>
      </c>
      <c r="Q6182">
        <v>0</v>
      </c>
      <c r="R6182" t="s">
        <v>44909</v>
      </c>
      <c r="S6182" t="s">
        <v>45060</v>
      </c>
      <c r="T6182" t="s">
        <v>46435</v>
      </c>
      <c r="U6182" t="s">
        <v>51876</v>
      </c>
      <c r="V6182" t="s">
        <v>59650</v>
      </c>
      <c r="W6182" t="s">
        <v>42058</v>
      </c>
      <c r="X6182" t="s">
        <v>44910</v>
      </c>
    </row>
    <row r="6183" spans="1:24">
      <c r="A6183">
        <f>HYPERLINK("https://www.philgeps.gov.ph/GEPSNONPILOT/Tender/SplashBidNoticeAbstractUI.aspx?menuIndex=3&amp;refID=7077588&amp;Result=3","7077588")</f>
        <v>0</v>
      </c>
      <c r="B6183" t="s">
        <v>1962</v>
      </c>
      <c r="C6183" t="s">
        <v>9422</v>
      </c>
      <c r="D6183" t="s">
        <v>18110</v>
      </c>
      <c r="E6183" t="s">
        <v>23700</v>
      </c>
      <c r="F6183" t="s">
        <v>31362</v>
      </c>
      <c r="G6183" t="s">
        <v>31369</v>
      </c>
      <c r="H6183" t="s">
        <v>15799</v>
      </c>
      <c r="I6183" t="s">
        <v>31397</v>
      </c>
      <c r="J6183" t="s">
        <v>31531</v>
      </c>
      <c r="K6183" t="s">
        <v>40661</v>
      </c>
      <c r="M6183" t="s">
        <v>43068</v>
      </c>
      <c r="N6183" t="s">
        <v>44905</v>
      </c>
      <c r="O6183" t="s">
        <v>44906</v>
      </c>
      <c r="P6183">
        <v>0</v>
      </c>
      <c r="Q6183">
        <v>3</v>
      </c>
      <c r="R6183" t="s">
        <v>44909</v>
      </c>
      <c r="S6183" t="s">
        <v>45060</v>
      </c>
      <c r="T6183" t="s">
        <v>46433</v>
      </c>
      <c r="U6183" t="s">
        <v>51947</v>
      </c>
      <c r="W6183" t="s">
        <v>43068</v>
      </c>
      <c r="X6183" t="s">
        <v>44910</v>
      </c>
    </row>
    <row r="6184" spans="1:24">
      <c r="A6184">
        <f>HYPERLINK("https://www.philgeps.gov.ph/GEPSNONPILOT/Tender/SplashBidNoticeAbstractUI.aspx?menuIndex=3&amp;refID=7077601&amp;Result=3","7077601")</f>
        <v>0</v>
      </c>
      <c r="B6184" t="s">
        <v>1963</v>
      </c>
      <c r="C6184" t="s">
        <v>9423</v>
      </c>
      <c r="D6184" t="s">
        <v>18108</v>
      </c>
      <c r="E6184" t="s">
        <v>23701</v>
      </c>
      <c r="F6184" t="s">
        <v>31362</v>
      </c>
      <c r="G6184" t="s">
        <v>31368</v>
      </c>
      <c r="H6184" t="s">
        <v>15799</v>
      </c>
      <c r="I6184" t="s">
        <v>6155</v>
      </c>
      <c r="J6184" t="s">
        <v>32837</v>
      </c>
      <c r="K6184" t="s">
        <v>40698</v>
      </c>
      <c r="M6184" t="s">
        <v>43069</v>
      </c>
      <c r="N6184" t="s">
        <v>44905</v>
      </c>
      <c r="O6184" t="s">
        <v>44906</v>
      </c>
      <c r="P6184">
        <v>0</v>
      </c>
      <c r="Q6184">
        <v>23</v>
      </c>
      <c r="R6184" t="s">
        <v>44909</v>
      </c>
      <c r="S6184" t="s">
        <v>45060</v>
      </c>
      <c r="T6184" t="s">
        <v>46454</v>
      </c>
      <c r="U6184" t="s">
        <v>51948</v>
      </c>
      <c r="V6184" t="s">
        <v>59651</v>
      </c>
      <c r="W6184" t="s">
        <v>43069</v>
      </c>
      <c r="X6184" t="s">
        <v>44910</v>
      </c>
    </row>
    <row r="6185" spans="1:24">
      <c r="A6185">
        <f>HYPERLINK("https://www.philgeps.gov.ph/GEPSNONPILOT/Tender/SplashBidNoticeAbstractUI.aspx?menuIndex=3&amp;refID=7077594&amp;Result=3","7077594")</f>
        <v>0</v>
      </c>
      <c r="B6185" t="s">
        <v>658</v>
      </c>
      <c r="C6185" t="s">
        <v>9424</v>
      </c>
      <c r="D6185" t="s">
        <v>18108</v>
      </c>
      <c r="E6185" t="s">
        <v>18987</v>
      </c>
      <c r="F6185" t="s">
        <v>31362</v>
      </c>
      <c r="G6185" t="s">
        <v>31368</v>
      </c>
      <c r="H6185" t="s">
        <v>15799</v>
      </c>
      <c r="I6185" t="s">
        <v>7188</v>
      </c>
      <c r="J6185" t="s">
        <v>31541</v>
      </c>
      <c r="K6185" t="s">
        <v>40662</v>
      </c>
      <c r="M6185" t="s">
        <v>42982</v>
      </c>
      <c r="N6185" t="s">
        <v>44905</v>
      </c>
      <c r="O6185" t="s">
        <v>44906</v>
      </c>
      <c r="P6185">
        <v>0</v>
      </c>
      <c r="Q6185">
        <v>2</v>
      </c>
      <c r="R6185" t="s">
        <v>44909</v>
      </c>
      <c r="S6185" t="s">
        <v>45060</v>
      </c>
      <c r="T6185" t="s">
        <v>46425</v>
      </c>
      <c r="U6185" t="s">
        <v>51949</v>
      </c>
      <c r="W6185" t="s">
        <v>42982</v>
      </c>
      <c r="X6185" t="s">
        <v>44910</v>
      </c>
    </row>
    <row r="6186" spans="1:24">
      <c r="A6186">
        <f>HYPERLINK("https://www.philgeps.gov.ph/GEPSNONPILOT/Tender/SplashBidNoticeAbstractUI.aspx?menuIndex=3&amp;refID=7077600&amp;Result=3","7077600")</f>
        <v>0</v>
      </c>
      <c r="B6186" t="s">
        <v>740</v>
      </c>
      <c r="C6186" t="s">
        <v>9425</v>
      </c>
      <c r="D6186" t="s">
        <v>18109</v>
      </c>
      <c r="E6186" t="s">
        <v>23702</v>
      </c>
      <c r="F6186" t="s">
        <v>31362</v>
      </c>
      <c r="G6186" t="s">
        <v>31369</v>
      </c>
      <c r="H6186" t="s">
        <v>15799</v>
      </c>
      <c r="I6186" t="s">
        <v>31427</v>
      </c>
      <c r="J6186" t="s">
        <v>31709</v>
      </c>
      <c r="K6186" t="s">
        <v>40675</v>
      </c>
      <c r="M6186" t="s">
        <v>41707</v>
      </c>
      <c r="N6186" t="s">
        <v>44905</v>
      </c>
      <c r="O6186" t="s">
        <v>44906</v>
      </c>
      <c r="P6186">
        <v>0</v>
      </c>
      <c r="Q6186">
        <v>8</v>
      </c>
      <c r="R6186" t="s">
        <v>44909</v>
      </c>
      <c r="S6186" t="s">
        <v>45060</v>
      </c>
      <c r="T6186" t="s">
        <v>46401</v>
      </c>
      <c r="U6186" t="s">
        <v>51950</v>
      </c>
      <c r="W6186" t="s">
        <v>41707</v>
      </c>
      <c r="X6186" t="s">
        <v>44910</v>
      </c>
    </row>
    <row r="6187" spans="1:24">
      <c r="A6187">
        <f>HYPERLINK("https://www.philgeps.gov.ph/GEPSNONPILOT/Tender/SplashBidNoticeAbstractUI.aspx?menuIndex=3&amp;refID=7077504&amp;Result=3","7077504")</f>
        <v>0</v>
      </c>
      <c r="B6187" t="s">
        <v>617</v>
      </c>
      <c r="C6187" t="s">
        <v>9341</v>
      </c>
      <c r="D6187" t="s">
        <v>18108</v>
      </c>
      <c r="E6187" t="s">
        <v>20207</v>
      </c>
      <c r="F6187" t="s">
        <v>31362</v>
      </c>
      <c r="G6187" t="s">
        <v>31368</v>
      </c>
      <c r="H6187" t="s">
        <v>31379</v>
      </c>
      <c r="I6187" t="s">
        <v>3582</v>
      </c>
      <c r="J6187" t="s">
        <v>31890</v>
      </c>
      <c r="K6187" t="s">
        <v>40661</v>
      </c>
      <c r="M6187" t="s">
        <v>42866</v>
      </c>
      <c r="N6187" t="s">
        <v>44905</v>
      </c>
      <c r="O6187" t="s">
        <v>44906</v>
      </c>
      <c r="P6187">
        <v>0</v>
      </c>
      <c r="Q6187">
        <v>1</v>
      </c>
      <c r="R6187" t="s">
        <v>44909</v>
      </c>
      <c r="S6187" t="s">
        <v>45060</v>
      </c>
      <c r="T6187" t="s">
        <v>46409</v>
      </c>
      <c r="U6187" t="s">
        <v>51370</v>
      </c>
      <c r="W6187" t="s">
        <v>42866</v>
      </c>
      <c r="X6187" t="s">
        <v>44910</v>
      </c>
    </row>
    <row r="6188" spans="1:24">
      <c r="A6188">
        <f>HYPERLINK("https://www.philgeps.gov.ph/GEPSNONPILOT/Tender/SplashBidNoticeAbstractUI.aspx?menuIndex=3&amp;refID=7077599&amp;Result=3","7077599")</f>
        <v>0</v>
      </c>
      <c r="B6188" t="s">
        <v>1057</v>
      </c>
      <c r="C6188" t="s">
        <v>9426</v>
      </c>
      <c r="D6188" t="s">
        <v>18163</v>
      </c>
      <c r="E6188" t="s">
        <v>23703</v>
      </c>
      <c r="F6188" t="s">
        <v>31362</v>
      </c>
      <c r="G6188" t="s">
        <v>31369</v>
      </c>
      <c r="H6188" t="s">
        <v>15799</v>
      </c>
      <c r="I6188" t="s">
        <v>31480</v>
      </c>
      <c r="J6188" t="s">
        <v>35329</v>
      </c>
      <c r="K6188" t="s">
        <v>40670</v>
      </c>
      <c r="M6188" t="s">
        <v>42058</v>
      </c>
      <c r="N6188" t="s">
        <v>44905</v>
      </c>
      <c r="O6188" t="s">
        <v>44906</v>
      </c>
      <c r="P6188">
        <v>0</v>
      </c>
      <c r="Q6188">
        <v>0</v>
      </c>
      <c r="R6188" t="s">
        <v>44909</v>
      </c>
      <c r="S6188" t="s">
        <v>45060</v>
      </c>
      <c r="T6188" t="s">
        <v>46435</v>
      </c>
      <c r="U6188" t="s">
        <v>51876</v>
      </c>
      <c r="V6188" t="s">
        <v>59652</v>
      </c>
      <c r="W6188" t="s">
        <v>42058</v>
      </c>
      <c r="X6188" t="s">
        <v>44910</v>
      </c>
    </row>
    <row r="6189" spans="1:24">
      <c r="A6189">
        <f>HYPERLINK("https://www.philgeps.gov.ph/GEPSNONPILOT/Tender/SplashBidNoticeAbstractUI.aspx?menuIndex=3&amp;refID=7077597&amp;Result=3","7077597")</f>
        <v>0</v>
      </c>
      <c r="B6189" t="s">
        <v>1964</v>
      </c>
      <c r="C6189" t="s">
        <v>9427</v>
      </c>
      <c r="D6189" t="s">
        <v>18154</v>
      </c>
      <c r="E6189" t="s">
        <v>23704</v>
      </c>
      <c r="F6189" t="s">
        <v>31362</v>
      </c>
      <c r="G6189" t="s">
        <v>31370</v>
      </c>
      <c r="H6189" t="s">
        <v>15799</v>
      </c>
      <c r="I6189" t="s">
        <v>4942</v>
      </c>
      <c r="J6189" t="s">
        <v>35380</v>
      </c>
      <c r="K6189" t="s">
        <v>40661</v>
      </c>
      <c r="M6189" t="s">
        <v>43070</v>
      </c>
      <c r="N6189" t="s">
        <v>44905</v>
      </c>
      <c r="O6189" t="s">
        <v>44906</v>
      </c>
      <c r="P6189">
        <v>0</v>
      </c>
      <c r="Q6189">
        <v>0</v>
      </c>
      <c r="R6189" t="s">
        <v>44909</v>
      </c>
      <c r="S6189" t="s">
        <v>45060</v>
      </c>
      <c r="T6189" t="s">
        <v>46447</v>
      </c>
      <c r="U6189" t="s">
        <v>51951</v>
      </c>
      <c r="W6189" t="s">
        <v>43070</v>
      </c>
      <c r="X6189" t="s">
        <v>44910</v>
      </c>
    </row>
    <row r="6190" spans="1:24">
      <c r="A6190">
        <f>HYPERLINK("https://www.philgeps.gov.ph/GEPSNONPILOT/Tender/SplashBidNoticeAbstractUI.aspx?menuIndex=3&amp;refID=7077584&amp;Result=3","7077584")</f>
        <v>0</v>
      </c>
      <c r="B6190" t="s">
        <v>1897</v>
      </c>
      <c r="C6190" t="s">
        <v>9428</v>
      </c>
      <c r="E6190" t="s">
        <v>23705</v>
      </c>
      <c r="F6190" t="s">
        <v>31362</v>
      </c>
      <c r="G6190" t="s">
        <v>31369</v>
      </c>
      <c r="H6190" t="s">
        <v>31378</v>
      </c>
      <c r="I6190" t="s">
        <v>31386</v>
      </c>
      <c r="J6190" t="s">
        <v>35381</v>
      </c>
      <c r="K6190" t="s">
        <v>40662</v>
      </c>
      <c r="M6190" t="s">
        <v>42992</v>
      </c>
      <c r="N6190" t="s">
        <v>44905</v>
      </c>
      <c r="O6190" t="s">
        <v>44906</v>
      </c>
      <c r="P6190">
        <v>0</v>
      </c>
      <c r="Q6190">
        <v>6</v>
      </c>
      <c r="R6190" t="s">
        <v>44909</v>
      </c>
      <c r="S6190" t="s">
        <v>45060</v>
      </c>
      <c r="T6190" t="s">
        <v>46693</v>
      </c>
      <c r="U6190" t="s">
        <v>51952</v>
      </c>
      <c r="V6190" t="s">
        <v>59653</v>
      </c>
      <c r="W6190" t="s">
        <v>42992</v>
      </c>
      <c r="X6190" t="s">
        <v>44910</v>
      </c>
    </row>
    <row r="6191" spans="1:24">
      <c r="A6191">
        <f>HYPERLINK("https://www.philgeps.gov.ph/GEPSNONPILOT/Tender/SplashBidNoticeAbstractUI.aspx?menuIndex=3&amp;refID=7077583&amp;Result=3","7077583")</f>
        <v>0</v>
      </c>
      <c r="B6191" t="s">
        <v>675</v>
      </c>
      <c r="C6191" t="s">
        <v>9429</v>
      </c>
      <c r="D6191" t="s">
        <v>18111</v>
      </c>
      <c r="E6191" t="s">
        <v>23706</v>
      </c>
      <c r="F6191" t="s">
        <v>31362</v>
      </c>
      <c r="G6191" t="s">
        <v>31368</v>
      </c>
      <c r="H6191" t="s">
        <v>15799</v>
      </c>
      <c r="I6191" t="s">
        <v>31388</v>
      </c>
      <c r="J6191" t="s">
        <v>31564</v>
      </c>
      <c r="K6191" t="s">
        <v>40662</v>
      </c>
      <c r="M6191" t="s">
        <v>41637</v>
      </c>
      <c r="N6191" t="s">
        <v>44905</v>
      </c>
      <c r="O6191" t="s">
        <v>44906</v>
      </c>
      <c r="P6191">
        <v>0</v>
      </c>
      <c r="Q6191">
        <v>0</v>
      </c>
      <c r="R6191" t="s">
        <v>44909</v>
      </c>
      <c r="S6191" t="s">
        <v>45060</v>
      </c>
      <c r="T6191" t="s">
        <v>46483</v>
      </c>
      <c r="U6191" t="s">
        <v>48808</v>
      </c>
      <c r="W6191" t="s">
        <v>41637</v>
      </c>
      <c r="X6191" t="s">
        <v>44910</v>
      </c>
    </row>
    <row r="6192" spans="1:24">
      <c r="A6192">
        <f>HYPERLINK("https://www.philgeps.gov.ph/GEPSNONPILOT/Tender/SplashBidNoticeAbstractUI.aspx?menuIndex=3&amp;refID=7077582&amp;Result=3","7077582")</f>
        <v>0</v>
      </c>
      <c r="B6192" t="s">
        <v>347</v>
      </c>
      <c r="C6192" t="s">
        <v>9430</v>
      </c>
      <c r="E6192" t="s">
        <v>23707</v>
      </c>
      <c r="F6192" t="s">
        <v>31362</v>
      </c>
      <c r="G6192" t="s">
        <v>31370</v>
      </c>
      <c r="H6192" t="s">
        <v>15799</v>
      </c>
      <c r="I6192" t="s">
        <v>31393</v>
      </c>
      <c r="J6192" t="s">
        <v>31545</v>
      </c>
      <c r="K6192" t="s">
        <v>40661</v>
      </c>
      <c r="M6192" t="s">
        <v>41293</v>
      </c>
      <c r="N6192" t="s">
        <v>44905</v>
      </c>
      <c r="O6192" t="s">
        <v>44906</v>
      </c>
      <c r="P6192">
        <v>0</v>
      </c>
      <c r="Q6192">
        <v>4</v>
      </c>
      <c r="R6192" t="s">
        <v>44909</v>
      </c>
      <c r="S6192" t="s">
        <v>45060</v>
      </c>
      <c r="T6192" t="s">
        <v>46409</v>
      </c>
      <c r="U6192" t="s">
        <v>51953</v>
      </c>
      <c r="W6192" t="s">
        <v>41293</v>
      </c>
      <c r="X6192" t="s">
        <v>44910</v>
      </c>
    </row>
    <row r="6193" spans="1:24">
      <c r="A6193">
        <f>HYPERLINK("https://www.philgeps.gov.ph/GEPSNONPILOT/Tender/SplashBidNoticeAbstractUI.aspx?menuIndex=3&amp;refID=7077581&amp;Result=3","7077581")</f>
        <v>0</v>
      </c>
      <c r="B6193" t="s">
        <v>1965</v>
      </c>
      <c r="C6193" t="s">
        <v>9431</v>
      </c>
      <c r="D6193" t="s">
        <v>18114</v>
      </c>
      <c r="E6193" t="s">
        <v>23708</v>
      </c>
      <c r="F6193" t="s">
        <v>31362</v>
      </c>
      <c r="G6193" t="s">
        <v>31368</v>
      </c>
      <c r="H6193" t="s">
        <v>15799</v>
      </c>
      <c r="I6193" t="s">
        <v>3815</v>
      </c>
      <c r="J6193" t="s">
        <v>35382</v>
      </c>
      <c r="K6193" t="s">
        <v>40715</v>
      </c>
      <c r="M6193" t="s">
        <v>43071</v>
      </c>
      <c r="N6193" t="s">
        <v>44905</v>
      </c>
      <c r="O6193" t="s">
        <v>44906</v>
      </c>
      <c r="P6193">
        <v>0</v>
      </c>
      <c r="Q6193">
        <v>0</v>
      </c>
      <c r="R6193" t="s">
        <v>44909</v>
      </c>
      <c r="S6193" t="s">
        <v>45060</v>
      </c>
      <c r="T6193" t="s">
        <v>46443</v>
      </c>
      <c r="U6193" t="s">
        <v>51954</v>
      </c>
      <c r="W6193" t="s">
        <v>43071</v>
      </c>
      <c r="X6193" t="s">
        <v>44910</v>
      </c>
    </row>
    <row r="6194" spans="1:24">
      <c r="A6194">
        <f>HYPERLINK("https://www.philgeps.gov.ph/GEPSNONPILOT/Tender/SplashBidNoticeAbstractUI.aspx?menuIndex=3&amp;refID=7077484&amp;Result=3","7077484")</f>
        <v>0</v>
      </c>
      <c r="B6194" t="s">
        <v>977</v>
      </c>
      <c r="C6194" t="s">
        <v>9432</v>
      </c>
      <c r="D6194" t="s">
        <v>18127</v>
      </c>
      <c r="E6194" t="s">
        <v>23709</v>
      </c>
      <c r="F6194" t="s">
        <v>31362</v>
      </c>
      <c r="G6194" t="s">
        <v>31368</v>
      </c>
      <c r="H6194" t="s">
        <v>15799</v>
      </c>
      <c r="I6194" t="s">
        <v>7188</v>
      </c>
      <c r="J6194" t="s">
        <v>32108</v>
      </c>
      <c r="K6194" t="s">
        <v>40662</v>
      </c>
      <c r="M6194" t="s">
        <v>41968</v>
      </c>
      <c r="N6194" t="s">
        <v>44905</v>
      </c>
      <c r="O6194" t="s">
        <v>44906</v>
      </c>
      <c r="P6194">
        <v>0</v>
      </c>
      <c r="Q6194">
        <v>2</v>
      </c>
      <c r="R6194" t="s">
        <v>44909</v>
      </c>
      <c r="S6194" t="s">
        <v>45060</v>
      </c>
      <c r="T6194" t="s">
        <v>46503</v>
      </c>
      <c r="U6194" t="s">
        <v>49006</v>
      </c>
      <c r="W6194" t="s">
        <v>41968</v>
      </c>
      <c r="X6194" t="s">
        <v>44910</v>
      </c>
    </row>
    <row r="6195" spans="1:24">
      <c r="A6195">
        <f>HYPERLINK("https://www.philgeps.gov.ph/GEPSNONPILOT/Tender/SplashBidNoticeAbstractUI.aspx?menuIndex=3&amp;refID=7077578&amp;Result=3","7077578")</f>
        <v>0</v>
      </c>
      <c r="B6195" t="s">
        <v>279</v>
      </c>
      <c r="C6195" t="s">
        <v>9433</v>
      </c>
      <c r="D6195" t="s">
        <v>18139</v>
      </c>
      <c r="E6195" t="s">
        <v>23710</v>
      </c>
      <c r="F6195" t="s">
        <v>31362</v>
      </c>
      <c r="G6195" t="s">
        <v>31370</v>
      </c>
      <c r="H6195" t="s">
        <v>15799</v>
      </c>
      <c r="I6195" t="s">
        <v>31387</v>
      </c>
      <c r="J6195" t="s">
        <v>32883</v>
      </c>
      <c r="K6195" t="s">
        <v>40672</v>
      </c>
      <c r="M6195" t="s">
        <v>41221</v>
      </c>
      <c r="N6195" t="s">
        <v>44905</v>
      </c>
      <c r="O6195" t="s">
        <v>44906</v>
      </c>
      <c r="P6195">
        <v>0</v>
      </c>
      <c r="Q6195">
        <v>0</v>
      </c>
      <c r="R6195" t="s">
        <v>44909</v>
      </c>
      <c r="S6195" t="s">
        <v>45060</v>
      </c>
      <c r="T6195" t="s">
        <v>46434</v>
      </c>
      <c r="U6195" t="s">
        <v>51955</v>
      </c>
      <c r="W6195" t="s">
        <v>41221</v>
      </c>
      <c r="X6195" t="s">
        <v>44910</v>
      </c>
    </row>
    <row r="6196" spans="1:24">
      <c r="A6196">
        <f>HYPERLINK("https://www.philgeps.gov.ph/GEPSNONPILOT/Tender/SplashBidNoticeAbstractUI.aspx?menuIndex=3&amp;refID=7077585&amp;Result=3","7077585")</f>
        <v>0</v>
      </c>
      <c r="B6196" t="s">
        <v>1219</v>
      </c>
      <c r="C6196" t="s">
        <v>5251</v>
      </c>
      <c r="E6196" t="s">
        <v>23711</v>
      </c>
      <c r="F6196" t="s">
        <v>31362</v>
      </c>
      <c r="G6196" t="s">
        <v>31372</v>
      </c>
      <c r="H6196" t="s">
        <v>15799</v>
      </c>
      <c r="I6196" t="s">
        <v>3815</v>
      </c>
      <c r="J6196" t="s">
        <v>35383</v>
      </c>
      <c r="K6196" t="s">
        <v>40662</v>
      </c>
      <c r="M6196" t="s">
        <v>42232</v>
      </c>
      <c r="N6196" t="s">
        <v>44905</v>
      </c>
      <c r="O6196" t="s">
        <v>44906</v>
      </c>
      <c r="P6196">
        <v>0</v>
      </c>
      <c r="Q6196">
        <v>0</v>
      </c>
      <c r="R6196" t="s">
        <v>44909</v>
      </c>
      <c r="S6196" t="s">
        <v>45060</v>
      </c>
      <c r="T6196" t="s">
        <v>46597</v>
      </c>
      <c r="U6196" t="s">
        <v>51956</v>
      </c>
      <c r="W6196" t="s">
        <v>42232</v>
      </c>
      <c r="X6196" t="s">
        <v>44910</v>
      </c>
    </row>
    <row r="6197" spans="1:24">
      <c r="A6197">
        <f>HYPERLINK("https://www.philgeps.gov.ph/GEPSNONPILOT/Tender/SplashBidNoticeAbstractUI.aspx?menuIndex=3&amp;refID=7077591&amp;Result=3","7077591")</f>
        <v>0</v>
      </c>
      <c r="B6197" t="s">
        <v>785</v>
      </c>
      <c r="C6197" t="s">
        <v>9434</v>
      </c>
      <c r="D6197" t="s">
        <v>18138</v>
      </c>
      <c r="E6197" t="s">
        <v>23712</v>
      </c>
      <c r="F6197" t="s">
        <v>31362</v>
      </c>
      <c r="G6197" t="s">
        <v>31368</v>
      </c>
      <c r="H6197" t="s">
        <v>15799</v>
      </c>
      <c r="I6197" t="s">
        <v>31440</v>
      </c>
      <c r="J6197" t="s">
        <v>34539</v>
      </c>
      <c r="K6197" t="s">
        <v>40665</v>
      </c>
      <c r="M6197" t="s">
        <v>41755</v>
      </c>
      <c r="N6197" t="s">
        <v>44905</v>
      </c>
      <c r="O6197" t="s">
        <v>44906</v>
      </c>
      <c r="P6197">
        <v>0</v>
      </c>
      <c r="Q6197">
        <v>0</v>
      </c>
      <c r="R6197" t="s">
        <v>44909</v>
      </c>
      <c r="S6197" t="s">
        <v>45060</v>
      </c>
      <c r="T6197" t="s">
        <v>46454</v>
      </c>
      <c r="U6197" t="s">
        <v>51957</v>
      </c>
      <c r="V6197" t="s">
        <v>59245</v>
      </c>
      <c r="W6197" t="s">
        <v>41755</v>
      </c>
      <c r="X6197" t="s">
        <v>44910</v>
      </c>
    </row>
    <row r="6198" spans="1:24">
      <c r="A6198">
        <f>HYPERLINK("https://www.philgeps.gov.ph/GEPSNONPILOT/Tender/SplashBidNoticeAbstractUI.aspx?menuIndex=3&amp;refID=7077602&amp;Result=3","7077602")</f>
        <v>0</v>
      </c>
      <c r="B6198" t="s">
        <v>1219</v>
      </c>
      <c r="C6198" t="s">
        <v>7188</v>
      </c>
      <c r="E6198" t="s">
        <v>23713</v>
      </c>
      <c r="F6198" t="s">
        <v>31362</v>
      </c>
      <c r="G6198" t="s">
        <v>31372</v>
      </c>
      <c r="H6198" t="s">
        <v>15799</v>
      </c>
      <c r="I6198" t="s">
        <v>7188</v>
      </c>
      <c r="J6198" t="s">
        <v>35384</v>
      </c>
      <c r="K6198" t="s">
        <v>40662</v>
      </c>
      <c r="M6198" t="s">
        <v>42232</v>
      </c>
      <c r="N6198" t="s">
        <v>44905</v>
      </c>
      <c r="O6198" t="s">
        <v>44906</v>
      </c>
      <c r="P6198">
        <v>0</v>
      </c>
      <c r="Q6198">
        <v>0</v>
      </c>
      <c r="R6198" t="s">
        <v>44909</v>
      </c>
      <c r="S6198" t="s">
        <v>45060</v>
      </c>
      <c r="T6198" t="s">
        <v>46597</v>
      </c>
      <c r="U6198" t="s">
        <v>51958</v>
      </c>
      <c r="W6198" t="s">
        <v>42232</v>
      </c>
      <c r="X6198" t="s">
        <v>44910</v>
      </c>
    </row>
    <row r="6199" spans="1:24">
      <c r="A6199">
        <f>HYPERLINK("https://www.philgeps.gov.ph/GEPSNONPILOT/Tender/SplashBidNoticeAbstractUI.aspx?menuIndex=3&amp;refID=7077579&amp;Result=3","7077579")</f>
        <v>0</v>
      </c>
      <c r="B6199" t="s">
        <v>252</v>
      </c>
      <c r="C6199" t="s">
        <v>9435</v>
      </c>
      <c r="D6199" t="s">
        <v>18103</v>
      </c>
      <c r="E6199" t="s">
        <v>23714</v>
      </c>
      <c r="F6199" t="s">
        <v>31362</v>
      </c>
      <c r="G6199" t="s">
        <v>31368</v>
      </c>
      <c r="H6199" t="s">
        <v>15799</v>
      </c>
      <c r="I6199" t="s">
        <v>31428</v>
      </c>
      <c r="J6199" t="s">
        <v>35385</v>
      </c>
      <c r="K6199" t="s">
        <v>40665</v>
      </c>
      <c r="M6199" t="s">
        <v>41191</v>
      </c>
      <c r="N6199" t="s">
        <v>44905</v>
      </c>
      <c r="O6199" t="s">
        <v>44906</v>
      </c>
      <c r="P6199">
        <v>0</v>
      </c>
      <c r="Q6199">
        <v>8</v>
      </c>
      <c r="R6199" t="s">
        <v>44909</v>
      </c>
      <c r="S6199" t="s">
        <v>45060</v>
      </c>
      <c r="T6199" t="s">
        <v>46597</v>
      </c>
      <c r="U6199" t="s">
        <v>47838</v>
      </c>
      <c r="W6199" t="s">
        <v>41191</v>
      </c>
      <c r="X6199" t="s">
        <v>44910</v>
      </c>
    </row>
    <row r="6200" spans="1:24">
      <c r="A6200">
        <f>HYPERLINK("https://www.philgeps.gov.ph/GEPSNONPILOT/Tender/SplashBidNoticeAbstractUI.aspx?menuIndex=3&amp;refID=7077619&amp;Result=3","7077619")</f>
        <v>0</v>
      </c>
      <c r="B6200" t="s">
        <v>1966</v>
      </c>
      <c r="C6200" t="s">
        <v>9436</v>
      </c>
      <c r="D6200" t="s">
        <v>18101</v>
      </c>
      <c r="E6200" t="s">
        <v>23715</v>
      </c>
      <c r="F6200" t="s">
        <v>31362</v>
      </c>
      <c r="G6200" t="s">
        <v>31369</v>
      </c>
      <c r="H6200" t="s">
        <v>15799</v>
      </c>
      <c r="I6200" t="s">
        <v>31400</v>
      </c>
      <c r="J6200" t="s">
        <v>31536</v>
      </c>
      <c r="K6200" t="s">
        <v>40661</v>
      </c>
      <c r="M6200" t="s">
        <v>43072</v>
      </c>
      <c r="N6200" t="s">
        <v>44905</v>
      </c>
      <c r="O6200" t="s">
        <v>44906</v>
      </c>
      <c r="P6200">
        <v>0</v>
      </c>
      <c r="Q6200">
        <v>0</v>
      </c>
      <c r="R6200" t="s">
        <v>44909</v>
      </c>
      <c r="S6200" t="s">
        <v>45060</v>
      </c>
      <c r="T6200" t="s">
        <v>46549</v>
      </c>
      <c r="U6200" t="s">
        <v>51959</v>
      </c>
      <c r="W6200" t="s">
        <v>43072</v>
      </c>
      <c r="X6200" t="s">
        <v>44910</v>
      </c>
    </row>
    <row r="6201" spans="1:24">
      <c r="A6201">
        <f>HYPERLINK("https://www.philgeps.gov.ph/GEPSNONPILOT/Tender/SplashBidNoticeAbstractUI.aspx?menuIndex=3&amp;refID=7077590&amp;Result=3","7077590")</f>
        <v>0</v>
      </c>
      <c r="B6201" t="s">
        <v>1936</v>
      </c>
      <c r="C6201" t="s">
        <v>9437</v>
      </c>
      <c r="D6201" t="s">
        <v>18134</v>
      </c>
      <c r="E6201" t="s">
        <v>23716</v>
      </c>
      <c r="F6201" t="s">
        <v>31362</v>
      </c>
      <c r="G6201" t="s">
        <v>31368</v>
      </c>
      <c r="H6201" t="s">
        <v>15799</v>
      </c>
      <c r="I6201" t="s">
        <v>31382</v>
      </c>
      <c r="J6201" t="s">
        <v>32538</v>
      </c>
      <c r="K6201" t="s">
        <v>40697</v>
      </c>
      <c r="M6201" t="s">
        <v>43041</v>
      </c>
      <c r="N6201" t="s">
        <v>44905</v>
      </c>
      <c r="O6201" t="s">
        <v>44906</v>
      </c>
      <c r="P6201">
        <v>0</v>
      </c>
      <c r="Q6201">
        <v>15</v>
      </c>
      <c r="R6201" t="s">
        <v>44909</v>
      </c>
      <c r="S6201" t="s">
        <v>45060</v>
      </c>
      <c r="T6201" t="s">
        <v>46443</v>
      </c>
      <c r="U6201" t="s">
        <v>51960</v>
      </c>
      <c r="V6201" t="s">
        <v>59632</v>
      </c>
      <c r="W6201" t="s">
        <v>43041</v>
      </c>
      <c r="X6201" t="s">
        <v>44910</v>
      </c>
    </row>
    <row r="6202" spans="1:24">
      <c r="A6202">
        <f>HYPERLINK("https://www.philgeps.gov.ph/GEPSNONPILOT/Tender/SplashBidNoticeAbstractUI.aspx?menuIndex=3&amp;refID=7077614&amp;Result=3","7077614")</f>
        <v>0</v>
      </c>
      <c r="B6202" t="s">
        <v>1967</v>
      </c>
      <c r="C6202" t="s">
        <v>9438</v>
      </c>
      <c r="D6202" t="s">
        <v>18108</v>
      </c>
      <c r="E6202" t="s">
        <v>23717</v>
      </c>
      <c r="F6202" t="s">
        <v>31362</v>
      </c>
      <c r="G6202" t="s">
        <v>31369</v>
      </c>
      <c r="H6202" t="s">
        <v>15799</v>
      </c>
      <c r="I6202" t="s">
        <v>4283</v>
      </c>
      <c r="J6202" t="s">
        <v>35386</v>
      </c>
      <c r="K6202" t="s">
        <v>40682</v>
      </c>
      <c r="M6202" t="s">
        <v>43073</v>
      </c>
      <c r="N6202" t="s">
        <v>44905</v>
      </c>
      <c r="O6202" t="s">
        <v>44906</v>
      </c>
      <c r="P6202">
        <v>0</v>
      </c>
      <c r="Q6202">
        <v>11</v>
      </c>
      <c r="R6202" t="s">
        <v>44909</v>
      </c>
      <c r="S6202" t="s">
        <v>45060</v>
      </c>
      <c r="T6202" t="s">
        <v>46616</v>
      </c>
      <c r="U6202" t="s">
        <v>51961</v>
      </c>
      <c r="W6202" t="s">
        <v>43073</v>
      </c>
      <c r="X6202" t="s">
        <v>44910</v>
      </c>
    </row>
    <row r="6203" spans="1:24">
      <c r="A6203">
        <f>HYPERLINK("https://www.philgeps.gov.ph/GEPSNONPILOT/Tender/SplashBidNoticeAbstractUI.aspx?menuIndex=3&amp;refID=7077576&amp;Result=3","7077576")</f>
        <v>0</v>
      </c>
      <c r="B6203" t="s">
        <v>697</v>
      </c>
      <c r="C6203" t="s">
        <v>9439</v>
      </c>
      <c r="D6203" t="s">
        <v>18146</v>
      </c>
      <c r="E6203" t="s">
        <v>20414</v>
      </c>
      <c r="F6203" t="s">
        <v>31364</v>
      </c>
      <c r="G6203" t="s">
        <v>31368</v>
      </c>
      <c r="H6203" t="s">
        <v>15799</v>
      </c>
      <c r="I6203" t="s">
        <v>31452</v>
      </c>
      <c r="J6203" t="s">
        <v>31546</v>
      </c>
      <c r="K6203" t="s">
        <v>40661</v>
      </c>
      <c r="M6203" t="s">
        <v>41662</v>
      </c>
      <c r="N6203" t="s">
        <v>44905</v>
      </c>
      <c r="O6203" t="s">
        <v>44906</v>
      </c>
      <c r="P6203">
        <v>0</v>
      </c>
      <c r="Q6203">
        <v>3</v>
      </c>
      <c r="R6203" t="s">
        <v>44909</v>
      </c>
      <c r="S6203" t="s">
        <v>45060</v>
      </c>
      <c r="T6203" t="s">
        <v>46549</v>
      </c>
      <c r="U6203" t="s">
        <v>51962</v>
      </c>
      <c r="W6203" t="s">
        <v>41662</v>
      </c>
      <c r="X6203" t="s">
        <v>44910</v>
      </c>
    </row>
    <row r="6204" spans="1:24">
      <c r="A6204">
        <f>HYPERLINK("https://www.philgeps.gov.ph/GEPSNONPILOT/Tender/SplashBidNoticeAbstractUI.aspx?menuIndex=3&amp;refID=7077612&amp;Result=3","7077612")</f>
        <v>0</v>
      </c>
      <c r="B6204" t="s">
        <v>1968</v>
      </c>
      <c r="C6204" t="s">
        <v>9440</v>
      </c>
      <c r="D6204" t="s">
        <v>18144</v>
      </c>
      <c r="E6204" t="s">
        <v>23718</v>
      </c>
      <c r="F6204" t="s">
        <v>31362</v>
      </c>
      <c r="G6204" t="s">
        <v>31368</v>
      </c>
      <c r="H6204" t="s">
        <v>15799</v>
      </c>
      <c r="I6204" t="s">
        <v>4283</v>
      </c>
      <c r="J6204" t="s">
        <v>35387</v>
      </c>
      <c r="K6204" t="s">
        <v>40677</v>
      </c>
      <c r="M6204" t="s">
        <v>43074</v>
      </c>
      <c r="N6204" t="s">
        <v>44905</v>
      </c>
      <c r="O6204" t="s">
        <v>44906</v>
      </c>
      <c r="P6204">
        <v>0</v>
      </c>
      <c r="Q6204">
        <v>6</v>
      </c>
      <c r="R6204" t="s">
        <v>44909</v>
      </c>
      <c r="S6204" t="s">
        <v>45060</v>
      </c>
      <c r="T6204" t="s">
        <v>46597</v>
      </c>
      <c r="U6204" t="s">
        <v>51963</v>
      </c>
      <c r="W6204" t="s">
        <v>43074</v>
      </c>
      <c r="X6204" t="s">
        <v>44910</v>
      </c>
    </row>
    <row r="6205" spans="1:24">
      <c r="A6205">
        <f>HYPERLINK("https://www.philgeps.gov.ph/GEPSNONPILOT/Tender/SplashBidNoticeAbstractUI.aspx?menuIndex=3&amp;refID=7077604&amp;Result=3","7077604")</f>
        <v>0</v>
      </c>
      <c r="B6205" t="s">
        <v>1969</v>
      </c>
      <c r="C6205" t="s">
        <v>9441</v>
      </c>
      <c r="E6205" t="s">
        <v>23719</v>
      </c>
      <c r="F6205" t="s">
        <v>31362</v>
      </c>
      <c r="G6205" t="s">
        <v>31370</v>
      </c>
      <c r="H6205" t="s">
        <v>15799</v>
      </c>
      <c r="I6205" t="s">
        <v>31381</v>
      </c>
      <c r="J6205" t="s">
        <v>31564</v>
      </c>
      <c r="K6205" t="s">
        <v>40662</v>
      </c>
      <c r="M6205" t="s">
        <v>43075</v>
      </c>
      <c r="N6205" t="s">
        <v>44905</v>
      </c>
      <c r="O6205" t="s">
        <v>44906</v>
      </c>
      <c r="P6205">
        <v>0</v>
      </c>
      <c r="Q6205">
        <v>1</v>
      </c>
      <c r="R6205" t="s">
        <v>44909</v>
      </c>
      <c r="S6205" t="s">
        <v>45060</v>
      </c>
      <c r="T6205" t="s">
        <v>46400</v>
      </c>
      <c r="U6205" t="s">
        <v>51964</v>
      </c>
      <c r="W6205" t="s">
        <v>43075</v>
      </c>
      <c r="X6205" t="s">
        <v>44910</v>
      </c>
    </row>
    <row r="6206" spans="1:24">
      <c r="A6206">
        <f>HYPERLINK("https://www.philgeps.gov.ph/GEPSNONPILOT/Tender/SplashBidNoticeAbstractUI.aspx?menuIndex=3&amp;refID=7077621&amp;Result=3","7077621")</f>
        <v>0</v>
      </c>
      <c r="B6206" t="s">
        <v>1962</v>
      </c>
      <c r="C6206" t="s">
        <v>9442</v>
      </c>
      <c r="D6206" t="s">
        <v>18110</v>
      </c>
      <c r="E6206" t="s">
        <v>23720</v>
      </c>
      <c r="F6206" t="s">
        <v>31362</v>
      </c>
      <c r="G6206" t="s">
        <v>31369</v>
      </c>
      <c r="H6206" t="s">
        <v>15799</v>
      </c>
      <c r="I6206" t="s">
        <v>31455</v>
      </c>
      <c r="J6206" t="s">
        <v>31738</v>
      </c>
      <c r="K6206" t="s">
        <v>40661</v>
      </c>
      <c r="M6206" t="s">
        <v>43068</v>
      </c>
      <c r="N6206" t="s">
        <v>44905</v>
      </c>
      <c r="O6206" t="s">
        <v>44906</v>
      </c>
      <c r="P6206">
        <v>0</v>
      </c>
      <c r="Q6206">
        <v>1</v>
      </c>
      <c r="R6206" t="s">
        <v>44909</v>
      </c>
      <c r="S6206" t="s">
        <v>45060</v>
      </c>
      <c r="T6206" t="s">
        <v>46433</v>
      </c>
      <c r="U6206" t="s">
        <v>47881</v>
      </c>
      <c r="W6206" t="s">
        <v>43068</v>
      </c>
      <c r="X6206" t="s">
        <v>44910</v>
      </c>
    </row>
    <row r="6207" spans="1:24">
      <c r="A6207">
        <f>HYPERLINK("https://www.philgeps.gov.ph/GEPSNONPILOT/Tender/SplashBidNoticeAbstractUI.aspx?menuIndex=3&amp;refID=7077618&amp;Result=3","7077618")</f>
        <v>0</v>
      </c>
      <c r="B6207" t="s">
        <v>1115</v>
      </c>
      <c r="C6207" t="s">
        <v>9443</v>
      </c>
      <c r="D6207" t="s">
        <v>18104</v>
      </c>
      <c r="E6207" t="s">
        <v>23721</v>
      </c>
      <c r="F6207" t="s">
        <v>31362</v>
      </c>
      <c r="G6207" t="s">
        <v>31368</v>
      </c>
      <c r="H6207" t="s">
        <v>31378</v>
      </c>
      <c r="I6207" t="s">
        <v>31386</v>
      </c>
      <c r="J6207" t="s">
        <v>31625</v>
      </c>
      <c r="K6207" t="s">
        <v>40771</v>
      </c>
      <c r="M6207" t="s">
        <v>42977</v>
      </c>
      <c r="N6207" t="s">
        <v>44905</v>
      </c>
      <c r="O6207" t="s">
        <v>44906</v>
      </c>
      <c r="P6207">
        <v>0</v>
      </c>
      <c r="Q6207">
        <v>0</v>
      </c>
      <c r="R6207" t="s">
        <v>44909</v>
      </c>
      <c r="S6207" t="s">
        <v>45060</v>
      </c>
      <c r="T6207" t="s">
        <v>46470</v>
      </c>
      <c r="U6207" t="s">
        <v>51965</v>
      </c>
      <c r="W6207" t="s">
        <v>42977</v>
      </c>
      <c r="X6207" t="s">
        <v>44910</v>
      </c>
    </row>
    <row r="6208" spans="1:24">
      <c r="A6208">
        <f>HYPERLINK("https://www.philgeps.gov.ph/GEPSNONPILOT/Tender/SplashBidNoticeAbstractUI.aspx?menuIndex=3&amp;refID=7077571&amp;Result=3","7077571")</f>
        <v>0</v>
      </c>
      <c r="B6208" t="s">
        <v>1625</v>
      </c>
      <c r="C6208" t="s">
        <v>9444</v>
      </c>
      <c r="E6208" t="s">
        <v>23722</v>
      </c>
      <c r="F6208" t="s">
        <v>31362</v>
      </c>
      <c r="G6208" t="s">
        <v>31368</v>
      </c>
      <c r="H6208" t="s">
        <v>15799</v>
      </c>
      <c r="I6208" t="s">
        <v>31416</v>
      </c>
      <c r="J6208" t="s">
        <v>32549</v>
      </c>
      <c r="K6208" t="s">
        <v>40662</v>
      </c>
      <c r="M6208" t="s">
        <v>43076</v>
      </c>
      <c r="N6208" t="s">
        <v>44905</v>
      </c>
      <c r="O6208" t="s">
        <v>44906</v>
      </c>
      <c r="P6208">
        <v>0</v>
      </c>
      <c r="Q6208">
        <v>1</v>
      </c>
      <c r="R6208" t="s">
        <v>44909</v>
      </c>
      <c r="S6208" t="s">
        <v>45060</v>
      </c>
      <c r="T6208" t="s">
        <v>46416</v>
      </c>
      <c r="U6208" t="s">
        <v>51966</v>
      </c>
      <c r="V6208" t="s">
        <v>59654</v>
      </c>
      <c r="W6208" t="s">
        <v>43076</v>
      </c>
      <c r="X6208" t="s">
        <v>44910</v>
      </c>
    </row>
    <row r="6209" spans="1:24">
      <c r="A6209">
        <f>HYPERLINK("https://www.philgeps.gov.ph/GEPSNONPILOT/Tender/SplashBidNoticeAbstractUI.aspx?menuIndex=3&amp;refID=7077631&amp;Result=3","7077631")</f>
        <v>0</v>
      </c>
      <c r="B6209" t="s">
        <v>1057</v>
      </c>
      <c r="C6209" t="s">
        <v>9445</v>
      </c>
      <c r="D6209" t="s">
        <v>18163</v>
      </c>
      <c r="E6209" t="s">
        <v>23723</v>
      </c>
      <c r="F6209" t="s">
        <v>31362</v>
      </c>
      <c r="G6209" t="s">
        <v>31370</v>
      </c>
      <c r="H6209" t="s">
        <v>15799</v>
      </c>
      <c r="I6209" t="s">
        <v>31431</v>
      </c>
      <c r="J6209" t="s">
        <v>35388</v>
      </c>
      <c r="K6209" t="s">
        <v>40666</v>
      </c>
      <c r="M6209" t="s">
        <v>42058</v>
      </c>
      <c r="N6209" t="s">
        <v>44905</v>
      </c>
      <c r="O6209" t="s">
        <v>44906</v>
      </c>
      <c r="P6209">
        <v>0</v>
      </c>
      <c r="Q6209">
        <v>1</v>
      </c>
      <c r="R6209" t="s">
        <v>44909</v>
      </c>
      <c r="S6209" t="s">
        <v>45060</v>
      </c>
      <c r="T6209" t="s">
        <v>46435</v>
      </c>
      <c r="U6209" t="s">
        <v>51967</v>
      </c>
      <c r="V6209" t="s">
        <v>59655</v>
      </c>
      <c r="W6209" t="s">
        <v>42058</v>
      </c>
      <c r="X6209" t="s">
        <v>44910</v>
      </c>
    </row>
    <row r="6210" spans="1:24">
      <c r="A6210">
        <f>HYPERLINK("https://www.philgeps.gov.ph/GEPSNONPILOT/Tender/SplashBidNoticeAbstractUI.aspx?menuIndex=3&amp;refID=7077630&amp;Result=3","7077630")</f>
        <v>0</v>
      </c>
      <c r="B6210" t="s">
        <v>1970</v>
      </c>
      <c r="C6210" t="s">
        <v>9446</v>
      </c>
      <c r="D6210" t="s">
        <v>18106</v>
      </c>
      <c r="E6210" t="s">
        <v>23724</v>
      </c>
      <c r="F6210" t="s">
        <v>31362</v>
      </c>
      <c r="G6210" t="s">
        <v>31368</v>
      </c>
      <c r="H6210" t="s">
        <v>31378</v>
      </c>
      <c r="I6210" t="s">
        <v>31386</v>
      </c>
      <c r="J6210" t="s">
        <v>35389</v>
      </c>
      <c r="K6210" t="s">
        <v>40687</v>
      </c>
      <c r="M6210" t="s">
        <v>43077</v>
      </c>
      <c r="N6210" t="s">
        <v>44905</v>
      </c>
      <c r="O6210" t="s">
        <v>44906</v>
      </c>
      <c r="P6210">
        <v>0</v>
      </c>
      <c r="Q6210">
        <v>1</v>
      </c>
      <c r="R6210" t="s">
        <v>44909</v>
      </c>
      <c r="S6210" t="s">
        <v>45060</v>
      </c>
      <c r="T6210" t="s">
        <v>46454</v>
      </c>
      <c r="U6210" t="s">
        <v>51968</v>
      </c>
      <c r="W6210" t="s">
        <v>43077</v>
      </c>
      <c r="X6210" t="s">
        <v>44910</v>
      </c>
    </row>
    <row r="6211" spans="1:24">
      <c r="A6211">
        <f>HYPERLINK("https://www.philgeps.gov.ph/GEPSNONPILOT/Tender/SplashBidNoticeAbstractUI.aspx?menuIndex=3&amp;refID=7077613&amp;Result=3","7077613")</f>
        <v>0</v>
      </c>
      <c r="B6211" t="s">
        <v>1911</v>
      </c>
      <c r="C6211" t="s">
        <v>9447</v>
      </c>
      <c r="D6211" t="s">
        <v>18176</v>
      </c>
      <c r="E6211" t="s">
        <v>23725</v>
      </c>
      <c r="F6211" t="s">
        <v>31362</v>
      </c>
      <c r="G6211" t="s">
        <v>31371</v>
      </c>
      <c r="H6211" t="s">
        <v>15799</v>
      </c>
      <c r="I6211" t="s">
        <v>31385</v>
      </c>
      <c r="J6211" t="s">
        <v>31768</v>
      </c>
      <c r="K6211" t="s">
        <v>40662</v>
      </c>
      <c r="M6211" t="s">
        <v>43007</v>
      </c>
      <c r="N6211" t="s">
        <v>44905</v>
      </c>
      <c r="O6211" t="s">
        <v>44906</v>
      </c>
      <c r="P6211">
        <v>0</v>
      </c>
      <c r="Q6211">
        <v>2</v>
      </c>
      <c r="R6211" t="s">
        <v>44909</v>
      </c>
      <c r="S6211" t="s">
        <v>45060</v>
      </c>
      <c r="T6211" t="s">
        <v>46409</v>
      </c>
      <c r="U6211" t="s">
        <v>47749</v>
      </c>
      <c r="V6211" t="s">
        <v>59616</v>
      </c>
      <c r="W6211" t="s">
        <v>43007</v>
      </c>
      <c r="X6211" t="s">
        <v>44910</v>
      </c>
    </row>
    <row r="6212" spans="1:24">
      <c r="A6212">
        <f>HYPERLINK("https://www.philgeps.gov.ph/GEPSNONPILOT/Tender/SplashBidNoticeAbstractUI.aspx?menuIndex=3&amp;refID=7077610&amp;Result=3","7077610")</f>
        <v>0</v>
      </c>
      <c r="B6212" t="s">
        <v>1057</v>
      </c>
      <c r="C6212" t="s">
        <v>9448</v>
      </c>
      <c r="D6212" t="s">
        <v>18163</v>
      </c>
      <c r="E6212" t="s">
        <v>23726</v>
      </c>
      <c r="F6212" t="s">
        <v>31362</v>
      </c>
      <c r="G6212" t="s">
        <v>31369</v>
      </c>
      <c r="H6212" t="s">
        <v>15799</v>
      </c>
      <c r="I6212" t="s">
        <v>31480</v>
      </c>
      <c r="J6212" t="s">
        <v>35349</v>
      </c>
      <c r="K6212" t="s">
        <v>40667</v>
      </c>
      <c r="M6212" t="s">
        <v>42058</v>
      </c>
      <c r="N6212" t="s">
        <v>44905</v>
      </c>
      <c r="O6212" t="s">
        <v>44906</v>
      </c>
      <c r="P6212">
        <v>0</v>
      </c>
      <c r="Q6212">
        <v>0</v>
      </c>
      <c r="R6212" t="s">
        <v>44909</v>
      </c>
      <c r="S6212" t="s">
        <v>45060</v>
      </c>
      <c r="T6212" t="s">
        <v>46435</v>
      </c>
      <c r="U6212" t="s">
        <v>51876</v>
      </c>
      <c r="V6212" t="s">
        <v>59656</v>
      </c>
      <c r="W6212" t="s">
        <v>42058</v>
      </c>
      <c r="X6212" t="s">
        <v>44910</v>
      </c>
    </row>
    <row r="6213" spans="1:24">
      <c r="A6213">
        <f>HYPERLINK("https://www.philgeps.gov.ph/GEPSNONPILOT/Tender/SplashBidNoticeAbstractUI.aspx?menuIndex=3&amp;refID=7077611&amp;Result=3","7077611")</f>
        <v>0</v>
      </c>
      <c r="B6213" t="s">
        <v>1929</v>
      </c>
      <c r="C6213" t="s">
        <v>9449</v>
      </c>
      <c r="D6213" t="s">
        <v>18174</v>
      </c>
      <c r="E6213" t="s">
        <v>19989</v>
      </c>
      <c r="F6213" t="s">
        <v>31362</v>
      </c>
      <c r="G6213" t="s">
        <v>31369</v>
      </c>
      <c r="H6213" t="s">
        <v>31378</v>
      </c>
      <c r="I6213" t="s">
        <v>31386</v>
      </c>
      <c r="J6213" t="s">
        <v>32239</v>
      </c>
      <c r="K6213" t="s">
        <v>40682</v>
      </c>
      <c r="M6213" t="s">
        <v>43027</v>
      </c>
      <c r="N6213" t="s">
        <v>44905</v>
      </c>
      <c r="O6213" t="s">
        <v>44906</v>
      </c>
      <c r="P6213">
        <v>0</v>
      </c>
      <c r="Q6213">
        <v>1</v>
      </c>
      <c r="R6213" t="s">
        <v>44909</v>
      </c>
      <c r="S6213" t="s">
        <v>45060</v>
      </c>
      <c r="T6213" t="s">
        <v>46433</v>
      </c>
      <c r="U6213" t="s">
        <v>51969</v>
      </c>
      <c r="W6213" t="s">
        <v>43027</v>
      </c>
      <c r="X6213" t="s">
        <v>44910</v>
      </c>
    </row>
    <row r="6214" spans="1:24">
      <c r="A6214">
        <f>HYPERLINK("https://www.philgeps.gov.ph/GEPSNONPILOT/Tender/SplashBidNoticeAbstractUI.aspx?menuIndex=3&amp;refID=7077608&amp;Result=3","7077608")</f>
        <v>0</v>
      </c>
      <c r="B6214" t="s">
        <v>1956</v>
      </c>
      <c r="C6214" t="s">
        <v>9450</v>
      </c>
      <c r="D6214" t="s">
        <v>18102</v>
      </c>
      <c r="E6214" t="s">
        <v>23403</v>
      </c>
      <c r="F6214" t="s">
        <v>31363</v>
      </c>
      <c r="G6214" t="s">
        <v>31370</v>
      </c>
      <c r="H6214" t="s">
        <v>15799</v>
      </c>
      <c r="I6214" t="s">
        <v>3582</v>
      </c>
      <c r="J6214" t="s">
        <v>35390</v>
      </c>
      <c r="K6214" t="s">
        <v>40672</v>
      </c>
      <c r="M6214" t="s">
        <v>43061</v>
      </c>
      <c r="N6214" t="s">
        <v>44905</v>
      </c>
      <c r="O6214" t="s">
        <v>44906</v>
      </c>
      <c r="P6214">
        <v>0</v>
      </c>
      <c r="Q6214">
        <v>3</v>
      </c>
      <c r="R6214" t="s">
        <v>44909</v>
      </c>
      <c r="S6214" t="s">
        <v>45060</v>
      </c>
      <c r="T6214" t="s">
        <v>46416</v>
      </c>
      <c r="U6214" t="s">
        <v>51970</v>
      </c>
      <c r="W6214" t="s">
        <v>43061</v>
      </c>
      <c r="X6214" t="s">
        <v>44910</v>
      </c>
    </row>
    <row r="6215" spans="1:24">
      <c r="A6215">
        <f>HYPERLINK("https://www.philgeps.gov.ph/GEPSNONPILOT/Tender/SplashBidNoticeAbstractUI.aspx?menuIndex=3&amp;refID=7077626&amp;Result=3","7077626")</f>
        <v>0</v>
      </c>
      <c r="B6215" t="s">
        <v>1389</v>
      </c>
      <c r="C6215" t="s">
        <v>9451</v>
      </c>
      <c r="D6215" t="s">
        <v>18127</v>
      </c>
      <c r="E6215" t="s">
        <v>23727</v>
      </c>
      <c r="F6215" t="s">
        <v>31362</v>
      </c>
      <c r="G6215" t="s">
        <v>31369</v>
      </c>
      <c r="H6215" t="s">
        <v>31378</v>
      </c>
      <c r="I6215" t="s">
        <v>31386</v>
      </c>
      <c r="J6215" t="s">
        <v>35391</v>
      </c>
      <c r="K6215" t="s">
        <v>40662</v>
      </c>
      <c r="M6215" t="s">
        <v>42414</v>
      </c>
      <c r="N6215" t="s">
        <v>44905</v>
      </c>
      <c r="O6215" t="s">
        <v>44906</v>
      </c>
      <c r="P6215">
        <v>0</v>
      </c>
      <c r="Q6215">
        <v>0</v>
      </c>
      <c r="R6215" t="s">
        <v>44909</v>
      </c>
      <c r="S6215" t="s">
        <v>45060</v>
      </c>
      <c r="T6215" t="s">
        <v>46398</v>
      </c>
      <c r="U6215" t="s">
        <v>51971</v>
      </c>
      <c r="W6215" t="s">
        <v>42414</v>
      </c>
      <c r="X6215" t="s">
        <v>44910</v>
      </c>
    </row>
    <row r="6216" spans="1:24">
      <c r="A6216">
        <f>HYPERLINK("https://www.philgeps.gov.ph/GEPSNONPILOT/Tender/SplashBidNoticeAbstractUI.aspx?menuIndex=3&amp;refID=7077609&amp;Result=3","7077609")</f>
        <v>0</v>
      </c>
      <c r="B6216" t="s">
        <v>1960</v>
      </c>
      <c r="C6216" t="s">
        <v>9452</v>
      </c>
      <c r="D6216" t="s">
        <v>18120</v>
      </c>
      <c r="E6216" t="s">
        <v>23728</v>
      </c>
      <c r="F6216" t="s">
        <v>31362</v>
      </c>
      <c r="G6216" t="s">
        <v>31369</v>
      </c>
      <c r="H6216" t="s">
        <v>31378</v>
      </c>
      <c r="I6216" t="s">
        <v>31386</v>
      </c>
      <c r="J6216" t="s">
        <v>31536</v>
      </c>
      <c r="K6216" t="s">
        <v>40682</v>
      </c>
      <c r="M6216" t="s">
        <v>43066</v>
      </c>
      <c r="N6216" t="s">
        <v>44905</v>
      </c>
      <c r="O6216" t="s">
        <v>44906</v>
      </c>
      <c r="P6216">
        <v>0</v>
      </c>
      <c r="Q6216">
        <v>0</v>
      </c>
      <c r="R6216" t="s">
        <v>44909</v>
      </c>
      <c r="S6216" t="s">
        <v>45060</v>
      </c>
      <c r="T6216" t="s">
        <v>46412</v>
      </c>
      <c r="U6216" t="s">
        <v>51972</v>
      </c>
      <c r="W6216" t="s">
        <v>43066</v>
      </c>
      <c r="X6216" t="s">
        <v>44910</v>
      </c>
    </row>
    <row r="6217" spans="1:24">
      <c r="A6217">
        <f>HYPERLINK("https://www.philgeps.gov.ph/GEPSNONPILOT/Tender/SplashBidNoticeAbstractUI.aspx?menuIndex=3&amp;refID=7077623&amp;Result=3","7077623")</f>
        <v>0</v>
      </c>
      <c r="B6217" t="s">
        <v>1954</v>
      </c>
      <c r="C6217" t="s">
        <v>9453</v>
      </c>
      <c r="D6217" t="s">
        <v>18108</v>
      </c>
      <c r="E6217" t="s">
        <v>21494</v>
      </c>
      <c r="F6217" t="s">
        <v>31362</v>
      </c>
      <c r="G6217" t="s">
        <v>31368</v>
      </c>
      <c r="H6217" t="s">
        <v>15799</v>
      </c>
      <c r="I6217" t="s">
        <v>4057</v>
      </c>
      <c r="J6217" t="s">
        <v>35392</v>
      </c>
      <c r="K6217" t="s">
        <v>40681</v>
      </c>
      <c r="M6217" t="s">
        <v>43059</v>
      </c>
      <c r="N6217" t="s">
        <v>44905</v>
      </c>
      <c r="O6217" t="s">
        <v>44906</v>
      </c>
      <c r="P6217">
        <v>0</v>
      </c>
      <c r="Q6217">
        <v>3</v>
      </c>
      <c r="R6217" t="s">
        <v>44909</v>
      </c>
      <c r="S6217" t="s">
        <v>45060</v>
      </c>
      <c r="T6217" t="s">
        <v>46498</v>
      </c>
      <c r="U6217" t="s">
        <v>51973</v>
      </c>
      <c r="V6217" t="s">
        <v>47665</v>
      </c>
      <c r="W6217" t="s">
        <v>43059</v>
      </c>
      <c r="X6217" t="s">
        <v>44910</v>
      </c>
    </row>
    <row r="6218" spans="1:24">
      <c r="A6218">
        <f>HYPERLINK("https://www.philgeps.gov.ph/GEPSNONPILOT/Tender/SplashBidNoticeAbstractUI.aspx?menuIndex=3&amp;refID=7077607&amp;Result=3","7077607")</f>
        <v>0</v>
      </c>
      <c r="B6218" t="s">
        <v>1971</v>
      </c>
      <c r="C6218" t="s">
        <v>9454</v>
      </c>
      <c r="D6218" t="s">
        <v>18154</v>
      </c>
      <c r="E6218" t="s">
        <v>23729</v>
      </c>
      <c r="F6218" t="s">
        <v>31362</v>
      </c>
      <c r="G6218" t="s">
        <v>31369</v>
      </c>
      <c r="H6218" t="s">
        <v>15799</v>
      </c>
      <c r="I6218" t="s">
        <v>7719</v>
      </c>
      <c r="J6218" t="s">
        <v>35393</v>
      </c>
      <c r="K6218" t="s">
        <v>40662</v>
      </c>
      <c r="M6218" t="s">
        <v>43078</v>
      </c>
      <c r="N6218" t="s">
        <v>44905</v>
      </c>
      <c r="O6218" t="s">
        <v>44906</v>
      </c>
      <c r="P6218">
        <v>0</v>
      </c>
      <c r="Q6218">
        <v>3</v>
      </c>
      <c r="R6218" t="s">
        <v>44909</v>
      </c>
      <c r="S6218" t="s">
        <v>45060</v>
      </c>
      <c r="T6218" t="s">
        <v>46460</v>
      </c>
      <c r="U6218" t="s">
        <v>51974</v>
      </c>
      <c r="W6218" t="s">
        <v>43078</v>
      </c>
      <c r="X6218" t="s">
        <v>44910</v>
      </c>
    </row>
    <row r="6219" spans="1:24">
      <c r="A6219">
        <f>HYPERLINK("https://www.philgeps.gov.ph/GEPSNONPILOT/Tender/SplashBidNoticeAbstractUI.aspx?menuIndex=3&amp;refID=7077650&amp;Result=3","7077650")</f>
        <v>0</v>
      </c>
      <c r="B6219" t="s">
        <v>1929</v>
      </c>
      <c r="C6219" t="s">
        <v>9455</v>
      </c>
      <c r="D6219" t="s">
        <v>18174</v>
      </c>
      <c r="E6219" t="s">
        <v>18404</v>
      </c>
      <c r="F6219" t="s">
        <v>31362</v>
      </c>
      <c r="G6219" t="s">
        <v>31369</v>
      </c>
      <c r="H6219" t="s">
        <v>15799</v>
      </c>
      <c r="I6219" t="s">
        <v>31380</v>
      </c>
      <c r="J6219" t="s">
        <v>31734</v>
      </c>
      <c r="K6219" t="s">
        <v>40677</v>
      </c>
      <c r="M6219" t="s">
        <v>43027</v>
      </c>
      <c r="N6219" t="s">
        <v>44905</v>
      </c>
      <c r="O6219" t="s">
        <v>44906</v>
      </c>
      <c r="P6219">
        <v>0</v>
      </c>
      <c r="Q6219">
        <v>0</v>
      </c>
      <c r="R6219" t="s">
        <v>44909</v>
      </c>
      <c r="S6219" t="s">
        <v>45060</v>
      </c>
      <c r="T6219" t="s">
        <v>46624</v>
      </c>
      <c r="U6219" t="s">
        <v>51975</v>
      </c>
      <c r="W6219" t="s">
        <v>43027</v>
      </c>
      <c r="X6219" t="s">
        <v>44910</v>
      </c>
    </row>
    <row r="6220" spans="1:24">
      <c r="A6220">
        <f>HYPERLINK("https://www.philgeps.gov.ph/GEPSNONPILOT/Tender/SplashBidNoticeAbstractUI.aspx?menuIndex=3&amp;refID=7077633&amp;Result=3","7077633")</f>
        <v>0</v>
      </c>
      <c r="B6220" t="s">
        <v>138</v>
      </c>
      <c r="C6220" t="s">
        <v>9456</v>
      </c>
      <c r="D6220" t="s">
        <v>18108</v>
      </c>
      <c r="E6220" t="s">
        <v>23730</v>
      </c>
      <c r="F6220" t="s">
        <v>31362</v>
      </c>
      <c r="G6220" t="s">
        <v>31368</v>
      </c>
      <c r="H6220" t="s">
        <v>31377</v>
      </c>
      <c r="I6220" t="s">
        <v>31377</v>
      </c>
      <c r="J6220" t="s">
        <v>35394</v>
      </c>
      <c r="K6220" t="s">
        <v>40662</v>
      </c>
      <c r="M6220" t="s">
        <v>41076</v>
      </c>
      <c r="N6220" t="s">
        <v>44905</v>
      </c>
      <c r="O6220" t="s">
        <v>44906</v>
      </c>
      <c r="P6220">
        <v>0</v>
      </c>
      <c r="Q6220">
        <v>1</v>
      </c>
      <c r="R6220" t="s">
        <v>44909</v>
      </c>
      <c r="S6220" t="s">
        <v>45060</v>
      </c>
      <c r="T6220" t="s">
        <v>46443</v>
      </c>
      <c r="U6220" t="s">
        <v>51976</v>
      </c>
      <c r="W6220" t="s">
        <v>41076</v>
      </c>
      <c r="X6220" t="s">
        <v>44910</v>
      </c>
    </row>
    <row r="6221" spans="1:24">
      <c r="A6221">
        <f>HYPERLINK("https://www.philgeps.gov.ph/GEPSNONPILOT/Tender/SplashBidNoticeAbstractUI.aspx?menuIndex=3&amp;refID=7077606&amp;Result=3","7077606")</f>
        <v>0</v>
      </c>
      <c r="B6221" t="s">
        <v>1941</v>
      </c>
      <c r="C6221" t="s">
        <v>9457</v>
      </c>
      <c r="D6221" t="s">
        <v>18108</v>
      </c>
      <c r="E6221" t="s">
        <v>23731</v>
      </c>
      <c r="F6221" t="s">
        <v>31362</v>
      </c>
      <c r="G6221" t="s">
        <v>31369</v>
      </c>
      <c r="H6221" t="s">
        <v>15799</v>
      </c>
      <c r="I6221" t="s">
        <v>31393</v>
      </c>
      <c r="J6221" t="s">
        <v>31542</v>
      </c>
      <c r="K6221" t="s">
        <v>40665</v>
      </c>
      <c r="M6221" t="s">
        <v>43046</v>
      </c>
      <c r="N6221" t="s">
        <v>44905</v>
      </c>
      <c r="O6221" t="s">
        <v>44906</v>
      </c>
      <c r="P6221">
        <v>0</v>
      </c>
      <c r="Q6221">
        <v>12</v>
      </c>
      <c r="R6221" t="s">
        <v>44909</v>
      </c>
      <c r="S6221" t="s">
        <v>45060</v>
      </c>
      <c r="T6221" t="s">
        <v>46449</v>
      </c>
      <c r="U6221" t="s">
        <v>51977</v>
      </c>
      <c r="W6221" t="s">
        <v>43046</v>
      </c>
      <c r="X6221" t="s">
        <v>44910</v>
      </c>
    </row>
    <row r="6222" spans="1:24">
      <c r="A6222">
        <f>HYPERLINK("https://www.philgeps.gov.ph/GEPSNONPILOT/Tender/SplashBidNoticeAbstractUI.aspx?menuIndex=3&amp;refID=7077648&amp;Result=3","7077648")</f>
        <v>0</v>
      </c>
      <c r="B6222" t="s">
        <v>369</v>
      </c>
      <c r="C6222" t="s">
        <v>9458</v>
      </c>
      <c r="D6222" t="s">
        <v>18152</v>
      </c>
      <c r="E6222" t="s">
        <v>23732</v>
      </c>
      <c r="F6222" t="s">
        <v>31362</v>
      </c>
      <c r="G6222" t="s">
        <v>31369</v>
      </c>
      <c r="H6222" t="s">
        <v>31378</v>
      </c>
      <c r="I6222" t="s">
        <v>31386</v>
      </c>
      <c r="J6222" t="s">
        <v>31625</v>
      </c>
      <c r="K6222" t="s">
        <v>40679</v>
      </c>
      <c r="M6222" t="s">
        <v>41316</v>
      </c>
      <c r="N6222" t="s">
        <v>44905</v>
      </c>
      <c r="O6222" t="s">
        <v>44906</v>
      </c>
      <c r="P6222">
        <v>0</v>
      </c>
      <c r="Q6222">
        <v>0</v>
      </c>
      <c r="R6222" t="s">
        <v>44909</v>
      </c>
      <c r="S6222" t="s">
        <v>45060</v>
      </c>
      <c r="T6222" t="s">
        <v>46524</v>
      </c>
      <c r="U6222" t="s">
        <v>51978</v>
      </c>
      <c r="W6222" t="s">
        <v>41316</v>
      </c>
      <c r="X6222" t="s">
        <v>44910</v>
      </c>
    </row>
    <row r="6223" spans="1:24">
      <c r="A6223">
        <f>HYPERLINK("https://www.philgeps.gov.ph/GEPSNONPILOT/Tender/SplashBidNoticeAbstractUI.aspx?menuIndex=3&amp;refID=7077647&amp;Result=3","7077647")</f>
        <v>0</v>
      </c>
      <c r="B6223" t="s">
        <v>1960</v>
      </c>
      <c r="C6223" t="s">
        <v>9459</v>
      </c>
      <c r="D6223" t="s">
        <v>18120</v>
      </c>
      <c r="E6223" t="s">
        <v>23733</v>
      </c>
      <c r="F6223" t="s">
        <v>31362</v>
      </c>
      <c r="G6223" t="s">
        <v>31369</v>
      </c>
      <c r="H6223" t="s">
        <v>15799</v>
      </c>
      <c r="I6223" t="s">
        <v>3815</v>
      </c>
      <c r="J6223" t="s">
        <v>31910</v>
      </c>
      <c r="K6223" t="s">
        <v>40661</v>
      </c>
      <c r="M6223" t="s">
        <v>43066</v>
      </c>
      <c r="N6223" t="s">
        <v>44905</v>
      </c>
      <c r="O6223" t="s">
        <v>44906</v>
      </c>
      <c r="P6223">
        <v>0</v>
      </c>
      <c r="Q6223">
        <v>1</v>
      </c>
      <c r="R6223" t="s">
        <v>44909</v>
      </c>
      <c r="S6223" t="s">
        <v>45060</v>
      </c>
      <c r="T6223" t="s">
        <v>46412</v>
      </c>
      <c r="U6223" t="s">
        <v>51979</v>
      </c>
      <c r="W6223" t="s">
        <v>43066</v>
      </c>
      <c r="X6223" t="s">
        <v>44910</v>
      </c>
    </row>
    <row r="6224" spans="1:24">
      <c r="A6224">
        <f>HYPERLINK("https://www.philgeps.gov.ph/GEPSNONPILOT/Tender/SplashBidNoticeAbstractUI.aspx?menuIndex=3&amp;refID=7077645&amp;Result=3","7077645")</f>
        <v>0</v>
      </c>
      <c r="B6224" t="s">
        <v>913</v>
      </c>
      <c r="C6224" t="s">
        <v>3564</v>
      </c>
      <c r="D6224" t="s">
        <v>18176</v>
      </c>
      <c r="E6224" t="s">
        <v>23734</v>
      </c>
      <c r="F6224" t="s">
        <v>31362</v>
      </c>
      <c r="G6224" t="s">
        <v>31369</v>
      </c>
      <c r="H6224" t="s">
        <v>15799</v>
      </c>
      <c r="I6224" t="s">
        <v>7090</v>
      </c>
      <c r="J6224" t="s">
        <v>35395</v>
      </c>
      <c r="K6224" t="s">
        <v>40670</v>
      </c>
      <c r="M6224" t="s">
        <v>41896</v>
      </c>
      <c r="N6224" t="s">
        <v>44905</v>
      </c>
      <c r="O6224" t="s">
        <v>44906</v>
      </c>
      <c r="P6224">
        <v>0</v>
      </c>
      <c r="Q6224">
        <v>0</v>
      </c>
      <c r="R6224" t="s">
        <v>44909</v>
      </c>
      <c r="S6224" t="s">
        <v>45060</v>
      </c>
      <c r="T6224" t="s">
        <v>46426</v>
      </c>
      <c r="U6224" t="s">
        <v>51980</v>
      </c>
      <c r="W6224" t="s">
        <v>41896</v>
      </c>
      <c r="X6224" t="s">
        <v>44910</v>
      </c>
    </row>
    <row r="6225" spans="1:24">
      <c r="A6225">
        <f>HYPERLINK("https://www.philgeps.gov.ph/GEPSNONPILOT/Tender/SplashBidNoticeAbstractUI.aspx?menuIndex=3&amp;refID=7077643&amp;Result=3","7077643")</f>
        <v>0</v>
      </c>
      <c r="B6225" t="s">
        <v>1057</v>
      </c>
      <c r="C6225" t="s">
        <v>9460</v>
      </c>
      <c r="D6225" t="s">
        <v>18163</v>
      </c>
      <c r="E6225" t="s">
        <v>23735</v>
      </c>
      <c r="F6225" t="s">
        <v>31362</v>
      </c>
      <c r="G6225" t="s">
        <v>31370</v>
      </c>
      <c r="H6225" t="s">
        <v>15799</v>
      </c>
      <c r="I6225" t="s">
        <v>31430</v>
      </c>
      <c r="J6225" t="s">
        <v>35396</v>
      </c>
      <c r="K6225" t="s">
        <v>40670</v>
      </c>
      <c r="M6225" t="s">
        <v>42058</v>
      </c>
      <c r="N6225" t="s">
        <v>44905</v>
      </c>
      <c r="O6225" t="s">
        <v>44906</v>
      </c>
      <c r="P6225">
        <v>0</v>
      </c>
      <c r="Q6225">
        <v>0</v>
      </c>
      <c r="R6225" t="s">
        <v>44909</v>
      </c>
      <c r="S6225" t="s">
        <v>45060</v>
      </c>
      <c r="T6225" t="s">
        <v>46435</v>
      </c>
      <c r="U6225" t="s">
        <v>51967</v>
      </c>
      <c r="V6225" t="s">
        <v>59657</v>
      </c>
      <c r="W6225" t="s">
        <v>42058</v>
      </c>
      <c r="X6225" t="s">
        <v>44910</v>
      </c>
    </row>
    <row r="6226" spans="1:24">
      <c r="A6226">
        <f>HYPERLINK("https://www.philgeps.gov.ph/GEPSNONPILOT/Tender/SplashBidNoticeAbstractUI.aspx?menuIndex=3&amp;refID=7077642&amp;Result=3","7077642")</f>
        <v>0</v>
      </c>
      <c r="B6226" t="s">
        <v>1883</v>
      </c>
      <c r="C6226" t="s">
        <v>9461</v>
      </c>
      <c r="D6226" t="s">
        <v>18108</v>
      </c>
      <c r="E6226" t="s">
        <v>23736</v>
      </c>
      <c r="F6226" t="s">
        <v>31362</v>
      </c>
      <c r="G6226" t="s">
        <v>31368</v>
      </c>
      <c r="H6226" t="s">
        <v>15799</v>
      </c>
      <c r="I6226" t="s">
        <v>3815</v>
      </c>
      <c r="J6226" t="s">
        <v>35397</v>
      </c>
      <c r="K6226" t="s">
        <v>40682</v>
      </c>
      <c r="M6226" t="s">
        <v>42976</v>
      </c>
      <c r="N6226" t="s">
        <v>44905</v>
      </c>
      <c r="O6226" t="s">
        <v>44906</v>
      </c>
      <c r="P6226">
        <v>0</v>
      </c>
      <c r="Q6226">
        <v>0</v>
      </c>
      <c r="R6226" t="s">
        <v>44909</v>
      </c>
      <c r="S6226" t="s">
        <v>45060</v>
      </c>
      <c r="T6226" t="s">
        <v>46435</v>
      </c>
      <c r="U6226" t="s">
        <v>51826</v>
      </c>
      <c r="W6226" t="s">
        <v>42976</v>
      </c>
      <c r="X6226" t="s">
        <v>44910</v>
      </c>
    </row>
    <row r="6227" spans="1:24">
      <c r="A6227">
        <f>HYPERLINK("https://www.philgeps.gov.ph/GEPSNONPILOT/Tender/SplashBidNoticeAbstractUI.aspx?menuIndex=3&amp;refID=7077617&amp;Result=3","7077617")</f>
        <v>0</v>
      </c>
      <c r="B6227" t="s">
        <v>1972</v>
      </c>
      <c r="C6227" t="s">
        <v>9462</v>
      </c>
      <c r="D6227" t="s">
        <v>18134</v>
      </c>
      <c r="E6227" t="s">
        <v>23737</v>
      </c>
      <c r="F6227" t="s">
        <v>31362</v>
      </c>
      <c r="G6227" t="s">
        <v>31374</v>
      </c>
      <c r="H6227" t="s">
        <v>15799</v>
      </c>
      <c r="I6227" t="s">
        <v>31501</v>
      </c>
      <c r="J6227" t="s">
        <v>31591</v>
      </c>
      <c r="K6227" t="s">
        <v>40670</v>
      </c>
      <c r="M6227" t="s">
        <v>43079</v>
      </c>
      <c r="N6227" t="s">
        <v>44905</v>
      </c>
      <c r="O6227" t="s">
        <v>44906</v>
      </c>
      <c r="P6227">
        <v>0</v>
      </c>
      <c r="Q6227">
        <v>0</v>
      </c>
      <c r="R6227" t="s">
        <v>44909</v>
      </c>
      <c r="S6227" t="s">
        <v>45060</v>
      </c>
      <c r="T6227" t="s">
        <v>46503</v>
      </c>
      <c r="U6227" t="s">
        <v>51981</v>
      </c>
      <c r="W6227" t="s">
        <v>43079</v>
      </c>
      <c r="X6227" t="s">
        <v>44910</v>
      </c>
    </row>
    <row r="6228" spans="1:24">
      <c r="A6228">
        <f>HYPERLINK("https://www.philgeps.gov.ph/GEPSNONPILOT/Tender/SplashBidNoticeAbstractUI.aspx?menuIndex=3&amp;refID=7077634&amp;Result=3","7077634")</f>
        <v>0</v>
      </c>
      <c r="B6228" t="s">
        <v>362</v>
      </c>
      <c r="C6228" t="s">
        <v>9463</v>
      </c>
      <c r="D6228" t="s">
        <v>18103</v>
      </c>
      <c r="E6228" t="s">
        <v>23738</v>
      </c>
      <c r="F6228" t="s">
        <v>31362</v>
      </c>
      <c r="G6228" t="s">
        <v>31369</v>
      </c>
      <c r="H6228" t="s">
        <v>31378</v>
      </c>
      <c r="I6228" t="s">
        <v>31386</v>
      </c>
      <c r="J6228" t="s">
        <v>35398</v>
      </c>
      <c r="K6228" t="s">
        <v>40682</v>
      </c>
      <c r="M6228" t="s">
        <v>43080</v>
      </c>
      <c r="N6228" t="s">
        <v>44905</v>
      </c>
      <c r="O6228" t="s">
        <v>44906</v>
      </c>
      <c r="P6228">
        <v>0</v>
      </c>
      <c r="Q6228">
        <v>4</v>
      </c>
      <c r="R6228" t="s">
        <v>44909</v>
      </c>
      <c r="S6228" t="s">
        <v>45060</v>
      </c>
      <c r="T6228" t="s">
        <v>46506</v>
      </c>
      <c r="U6228" t="s">
        <v>47543</v>
      </c>
      <c r="V6228" t="s">
        <v>59658</v>
      </c>
      <c r="W6228" t="s">
        <v>60849</v>
      </c>
      <c r="X6228" t="s">
        <v>44910</v>
      </c>
    </row>
    <row r="6229" spans="1:24">
      <c r="A6229">
        <f>HYPERLINK("https://www.philgeps.gov.ph/GEPSNONPILOT/Tender/SplashBidNoticeAbstractUI.aspx?menuIndex=3&amp;refID=7077624&amp;Result=3","7077624")</f>
        <v>0</v>
      </c>
      <c r="B6229" t="s">
        <v>1219</v>
      </c>
      <c r="C6229" t="s">
        <v>9464</v>
      </c>
      <c r="E6229" t="s">
        <v>23739</v>
      </c>
      <c r="F6229" t="s">
        <v>31362</v>
      </c>
      <c r="G6229" t="s">
        <v>31372</v>
      </c>
      <c r="H6229" t="s">
        <v>15799</v>
      </c>
      <c r="I6229" t="s">
        <v>31410</v>
      </c>
      <c r="J6229" t="s">
        <v>35399</v>
      </c>
      <c r="K6229" t="s">
        <v>40662</v>
      </c>
      <c r="M6229" t="s">
        <v>42232</v>
      </c>
      <c r="N6229" t="s">
        <v>44905</v>
      </c>
      <c r="O6229" t="s">
        <v>44906</v>
      </c>
      <c r="P6229">
        <v>0</v>
      </c>
      <c r="Q6229">
        <v>0</v>
      </c>
      <c r="R6229" t="s">
        <v>44909</v>
      </c>
      <c r="S6229" t="s">
        <v>45060</v>
      </c>
      <c r="T6229" t="s">
        <v>46597</v>
      </c>
      <c r="U6229" t="s">
        <v>51982</v>
      </c>
      <c r="W6229" t="s">
        <v>42232</v>
      </c>
      <c r="X6229" t="s">
        <v>44910</v>
      </c>
    </row>
    <row r="6230" spans="1:24">
      <c r="A6230">
        <f>HYPERLINK("https://www.philgeps.gov.ph/GEPSNONPILOT/Tender/SplashBidNoticeAbstractUI.aspx?menuIndex=3&amp;refID=7077649&amp;Result=3","7077649")</f>
        <v>0</v>
      </c>
      <c r="B6230" t="s">
        <v>1973</v>
      </c>
      <c r="C6230" t="s">
        <v>9465</v>
      </c>
      <c r="D6230" t="s">
        <v>18104</v>
      </c>
      <c r="E6230" t="s">
        <v>23740</v>
      </c>
      <c r="F6230" t="s">
        <v>31362</v>
      </c>
      <c r="G6230" t="s">
        <v>31370</v>
      </c>
      <c r="H6230" t="s">
        <v>15799</v>
      </c>
      <c r="I6230" t="s">
        <v>3815</v>
      </c>
      <c r="J6230" t="s">
        <v>31564</v>
      </c>
      <c r="K6230" t="s">
        <v>40661</v>
      </c>
      <c r="M6230" t="s">
        <v>43081</v>
      </c>
      <c r="N6230" t="s">
        <v>44905</v>
      </c>
      <c r="O6230" t="s">
        <v>44906</v>
      </c>
      <c r="P6230">
        <v>0</v>
      </c>
      <c r="Q6230">
        <v>0</v>
      </c>
      <c r="R6230" t="s">
        <v>44909</v>
      </c>
      <c r="S6230" t="s">
        <v>45060</v>
      </c>
      <c r="T6230" t="s">
        <v>46409</v>
      </c>
      <c r="U6230" t="s">
        <v>51983</v>
      </c>
      <c r="W6230" t="s">
        <v>43081</v>
      </c>
      <c r="X6230" t="s">
        <v>44910</v>
      </c>
    </row>
    <row r="6231" spans="1:24">
      <c r="A6231">
        <f>HYPERLINK("https://www.philgeps.gov.ph/GEPSNONPILOT/Tender/SplashBidNoticeAbstractUI.aspx?menuIndex=3&amp;refID=7077658&amp;Result=3","7077658")</f>
        <v>0</v>
      </c>
      <c r="B6231" t="s">
        <v>508</v>
      </c>
      <c r="C6231" t="s">
        <v>9466</v>
      </c>
      <c r="D6231" t="s">
        <v>18131</v>
      </c>
      <c r="E6231" t="s">
        <v>22586</v>
      </c>
      <c r="F6231" t="s">
        <v>31362</v>
      </c>
      <c r="G6231" t="s">
        <v>31368</v>
      </c>
      <c r="H6231" t="s">
        <v>15799</v>
      </c>
      <c r="I6231" t="s">
        <v>3815</v>
      </c>
      <c r="J6231" t="s">
        <v>35400</v>
      </c>
      <c r="K6231" t="s">
        <v>40662</v>
      </c>
      <c r="M6231" t="s">
        <v>41463</v>
      </c>
      <c r="N6231" t="s">
        <v>44905</v>
      </c>
      <c r="O6231" t="s">
        <v>44906</v>
      </c>
      <c r="P6231">
        <v>0</v>
      </c>
      <c r="Q6231">
        <v>0</v>
      </c>
      <c r="R6231" t="s">
        <v>44909</v>
      </c>
      <c r="S6231" t="s">
        <v>45060</v>
      </c>
      <c r="T6231" t="s">
        <v>46432</v>
      </c>
      <c r="U6231" t="s">
        <v>51984</v>
      </c>
      <c r="W6231" t="s">
        <v>41463</v>
      </c>
      <c r="X6231" t="s">
        <v>44910</v>
      </c>
    </row>
    <row r="6232" spans="1:24">
      <c r="A6232">
        <f>HYPERLINK("https://www.philgeps.gov.ph/GEPSNONPILOT/Tender/SplashBidNoticeAbstractUI.aspx?menuIndex=3&amp;refID=7077656&amp;Result=3","7077656")</f>
        <v>0</v>
      </c>
      <c r="B6232" t="s">
        <v>418</v>
      </c>
      <c r="C6232" t="s">
        <v>9467</v>
      </c>
      <c r="D6232" t="s">
        <v>18100</v>
      </c>
      <c r="E6232" t="s">
        <v>23741</v>
      </c>
      <c r="F6232" t="s">
        <v>31362</v>
      </c>
      <c r="G6232" t="s">
        <v>31369</v>
      </c>
      <c r="H6232" t="s">
        <v>15799</v>
      </c>
      <c r="I6232" t="s">
        <v>31422</v>
      </c>
      <c r="J6232" t="s">
        <v>32016</v>
      </c>
      <c r="K6232" t="s">
        <v>40665</v>
      </c>
      <c r="M6232" t="s">
        <v>43039</v>
      </c>
      <c r="N6232" t="s">
        <v>44905</v>
      </c>
      <c r="O6232" t="s">
        <v>44906</v>
      </c>
      <c r="P6232">
        <v>0</v>
      </c>
      <c r="Q6232">
        <v>1</v>
      </c>
      <c r="R6232" t="s">
        <v>44909</v>
      </c>
      <c r="S6232" t="s">
        <v>45060</v>
      </c>
      <c r="T6232" t="s">
        <v>46549</v>
      </c>
      <c r="U6232" t="s">
        <v>51985</v>
      </c>
      <c r="W6232" t="s">
        <v>43039</v>
      </c>
      <c r="X6232" t="s">
        <v>44910</v>
      </c>
    </row>
    <row r="6233" spans="1:24">
      <c r="A6233">
        <f>HYPERLINK("https://www.philgeps.gov.ph/GEPSNONPILOT/Tender/SplashBidNoticeAbstractUI.aspx?menuIndex=3&amp;refID=7077654&amp;Result=3","7077654")</f>
        <v>0</v>
      </c>
      <c r="B6233" t="s">
        <v>612</v>
      </c>
      <c r="C6233" t="s">
        <v>9468</v>
      </c>
      <c r="D6233" t="s">
        <v>18103</v>
      </c>
      <c r="E6233" t="s">
        <v>23742</v>
      </c>
      <c r="F6233" t="s">
        <v>31362</v>
      </c>
      <c r="G6233" t="s">
        <v>31369</v>
      </c>
      <c r="H6233" t="s">
        <v>15799</v>
      </c>
      <c r="I6233" t="s">
        <v>7188</v>
      </c>
      <c r="J6233" t="s">
        <v>35401</v>
      </c>
      <c r="K6233" t="s">
        <v>40665</v>
      </c>
      <c r="M6233" t="s">
        <v>41570</v>
      </c>
      <c r="N6233" t="s">
        <v>44905</v>
      </c>
      <c r="O6233" t="s">
        <v>44906</v>
      </c>
      <c r="P6233">
        <v>0</v>
      </c>
      <c r="Q6233">
        <v>6</v>
      </c>
      <c r="R6233" t="s">
        <v>44909</v>
      </c>
      <c r="S6233" t="s">
        <v>45060</v>
      </c>
      <c r="T6233" t="s">
        <v>46461</v>
      </c>
      <c r="U6233" t="s">
        <v>51986</v>
      </c>
      <c r="W6233" t="s">
        <v>41570</v>
      </c>
      <c r="X6233" t="s">
        <v>44910</v>
      </c>
    </row>
    <row r="6234" spans="1:24">
      <c r="A6234">
        <f>HYPERLINK("https://www.philgeps.gov.ph/GEPSNONPILOT/Tender/SplashBidNoticeAbstractUI.aspx?menuIndex=3&amp;refID=7077652&amp;Result=3","7077652")</f>
        <v>0</v>
      </c>
      <c r="B6234" t="s">
        <v>1115</v>
      </c>
      <c r="C6234" t="s">
        <v>9469</v>
      </c>
      <c r="D6234" t="s">
        <v>18104</v>
      </c>
      <c r="E6234" t="s">
        <v>23743</v>
      </c>
      <c r="F6234" t="s">
        <v>31362</v>
      </c>
      <c r="G6234" t="s">
        <v>31368</v>
      </c>
      <c r="H6234" t="s">
        <v>31378</v>
      </c>
      <c r="I6234" t="s">
        <v>31386</v>
      </c>
      <c r="J6234" t="s">
        <v>31625</v>
      </c>
      <c r="K6234" t="s">
        <v>40781</v>
      </c>
      <c r="M6234" t="s">
        <v>42977</v>
      </c>
      <c r="N6234" t="s">
        <v>44905</v>
      </c>
      <c r="O6234" t="s">
        <v>44906</v>
      </c>
      <c r="P6234">
        <v>0</v>
      </c>
      <c r="Q6234">
        <v>0</v>
      </c>
      <c r="R6234" t="s">
        <v>44909</v>
      </c>
      <c r="S6234" t="s">
        <v>45060</v>
      </c>
      <c r="T6234" t="s">
        <v>46470</v>
      </c>
      <c r="U6234" t="s">
        <v>51987</v>
      </c>
      <c r="W6234" t="s">
        <v>42977</v>
      </c>
      <c r="X6234" t="s">
        <v>44910</v>
      </c>
    </row>
    <row r="6235" spans="1:24">
      <c r="A6235">
        <f>HYPERLINK("https://www.philgeps.gov.ph/GEPSNONPILOT/Tender/SplashBidNoticeAbstractUI.aspx?menuIndex=3&amp;refID=7077638&amp;Result=3","7077638")</f>
        <v>0</v>
      </c>
      <c r="B6235" t="s">
        <v>1911</v>
      </c>
      <c r="C6235" t="s">
        <v>9470</v>
      </c>
      <c r="D6235" t="s">
        <v>18176</v>
      </c>
      <c r="E6235" t="s">
        <v>23744</v>
      </c>
      <c r="F6235" t="s">
        <v>31362</v>
      </c>
      <c r="G6235" t="s">
        <v>31370</v>
      </c>
      <c r="H6235" t="s">
        <v>15799</v>
      </c>
      <c r="I6235" t="s">
        <v>4057</v>
      </c>
      <c r="J6235" t="s">
        <v>31768</v>
      </c>
      <c r="K6235" t="s">
        <v>40662</v>
      </c>
      <c r="M6235" t="s">
        <v>43007</v>
      </c>
      <c r="N6235" t="s">
        <v>44905</v>
      </c>
      <c r="O6235" t="s">
        <v>44906</v>
      </c>
      <c r="P6235">
        <v>0</v>
      </c>
      <c r="Q6235">
        <v>0</v>
      </c>
      <c r="R6235" t="s">
        <v>44909</v>
      </c>
      <c r="S6235" t="s">
        <v>45060</v>
      </c>
      <c r="T6235" t="s">
        <v>46432</v>
      </c>
      <c r="U6235" t="s">
        <v>51988</v>
      </c>
      <c r="V6235" t="s">
        <v>59616</v>
      </c>
      <c r="W6235" t="s">
        <v>43007</v>
      </c>
      <c r="X6235" t="s">
        <v>44910</v>
      </c>
    </row>
    <row r="6236" spans="1:24">
      <c r="A6236">
        <f>HYPERLINK("https://www.philgeps.gov.ph/GEPSNONPILOT/Tender/SplashBidNoticeAbstractUI.aspx?menuIndex=3&amp;refID=7077636&amp;Result=3","7077636")</f>
        <v>0</v>
      </c>
      <c r="B6236" t="s">
        <v>1529</v>
      </c>
      <c r="C6236" t="s">
        <v>9471</v>
      </c>
      <c r="D6236" t="s">
        <v>18134</v>
      </c>
      <c r="E6236" t="s">
        <v>23745</v>
      </c>
      <c r="F6236" t="s">
        <v>31362</v>
      </c>
      <c r="G6236" t="s">
        <v>31369</v>
      </c>
      <c r="H6236" t="s">
        <v>15799</v>
      </c>
      <c r="I6236" t="s">
        <v>31380</v>
      </c>
      <c r="J6236" t="s">
        <v>35402</v>
      </c>
      <c r="K6236" t="s">
        <v>40666</v>
      </c>
      <c r="M6236" t="s">
        <v>42574</v>
      </c>
      <c r="N6236" t="s">
        <v>44905</v>
      </c>
      <c r="O6236" t="s">
        <v>44906</v>
      </c>
      <c r="P6236">
        <v>0</v>
      </c>
      <c r="Q6236">
        <v>3</v>
      </c>
      <c r="R6236" t="s">
        <v>44909</v>
      </c>
      <c r="S6236" t="s">
        <v>45060</v>
      </c>
      <c r="T6236" t="s">
        <v>46607</v>
      </c>
      <c r="U6236" t="s">
        <v>51989</v>
      </c>
      <c r="V6236" t="s">
        <v>59162</v>
      </c>
      <c r="W6236" t="s">
        <v>42574</v>
      </c>
      <c r="X6236" t="s">
        <v>44910</v>
      </c>
    </row>
    <row r="6237" spans="1:24">
      <c r="A6237">
        <f>HYPERLINK("https://www.philgeps.gov.ph/GEPSNONPILOT/Tender/SplashBidNoticeAbstractUI.aspx?menuIndex=3&amp;refID=7077637&amp;Result=3","7077637")</f>
        <v>0</v>
      </c>
      <c r="B6237" t="s">
        <v>35</v>
      </c>
      <c r="C6237" t="s">
        <v>9472</v>
      </c>
      <c r="D6237" t="s">
        <v>18108</v>
      </c>
      <c r="E6237" t="s">
        <v>23746</v>
      </c>
      <c r="F6237" t="s">
        <v>31362</v>
      </c>
      <c r="G6237" t="s">
        <v>31368</v>
      </c>
      <c r="H6237" t="s">
        <v>15799</v>
      </c>
      <c r="I6237" t="s">
        <v>31422</v>
      </c>
      <c r="J6237" t="s">
        <v>35403</v>
      </c>
      <c r="K6237" t="s">
        <v>40662</v>
      </c>
      <c r="M6237" t="s">
        <v>42365</v>
      </c>
      <c r="N6237" t="s">
        <v>44905</v>
      </c>
      <c r="O6237" t="s">
        <v>44906</v>
      </c>
      <c r="P6237">
        <v>0</v>
      </c>
      <c r="Q6237">
        <v>4</v>
      </c>
      <c r="R6237" t="s">
        <v>44909</v>
      </c>
      <c r="S6237" t="s">
        <v>45060</v>
      </c>
      <c r="T6237" t="s">
        <v>46534</v>
      </c>
      <c r="U6237" t="s">
        <v>51990</v>
      </c>
      <c r="V6237" t="s">
        <v>59424</v>
      </c>
      <c r="W6237" t="s">
        <v>42365</v>
      </c>
      <c r="X6237" t="s">
        <v>44910</v>
      </c>
    </row>
    <row r="6238" spans="1:24">
      <c r="A6238">
        <f>HYPERLINK("https://www.philgeps.gov.ph/GEPSNONPILOT/Tender/SplashBidNoticeAbstractUI.aspx?menuIndex=3&amp;refID=7077646&amp;Result=3","7077646")</f>
        <v>0</v>
      </c>
      <c r="B6238" t="s">
        <v>232</v>
      </c>
      <c r="C6238" t="s">
        <v>4048</v>
      </c>
      <c r="D6238" t="s">
        <v>18101</v>
      </c>
      <c r="E6238" t="s">
        <v>23747</v>
      </c>
      <c r="F6238" t="s">
        <v>31362</v>
      </c>
      <c r="G6238" t="s">
        <v>31368</v>
      </c>
      <c r="H6238" t="s">
        <v>15799</v>
      </c>
      <c r="I6238" t="s">
        <v>31380</v>
      </c>
      <c r="J6238" t="s">
        <v>35404</v>
      </c>
      <c r="K6238" t="s">
        <v>40661</v>
      </c>
      <c r="M6238" t="s">
        <v>41171</v>
      </c>
      <c r="N6238" t="s">
        <v>44905</v>
      </c>
      <c r="O6238" t="s">
        <v>44906</v>
      </c>
      <c r="P6238">
        <v>0</v>
      </c>
      <c r="Q6238">
        <v>1</v>
      </c>
      <c r="R6238" t="s">
        <v>44909</v>
      </c>
      <c r="S6238" t="s">
        <v>45060</v>
      </c>
      <c r="T6238" t="s">
        <v>46409</v>
      </c>
      <c r="U6238" t="s">
        <v>51991</v>
      </c>
      <c r="W6238" t="s">
        <v>41171</v>
      </c>
      <c r="X6238" t="s">
        <v>44910</v>
      </c>
    </row>
    <row r="6239" spans="1:24">
      <c r="A6239">
        <f>HYPERLINK("https://www.philgeps.gov.ph/GEPSNONPILOT/Tender/SplashBidNoticeAbstractUI.aspx?menuIndex=3&amp;refID=7077653&amp;Result=3","7077653")</f>
        <v>0</v>
      </c>
      <c r="B6239" t="s">
        <v>181</v>
      </c>
      <c r="C6239" t="s">
        <v>9473</v>
      </c>
      <c r="D6239" t="s">
        <v>18103</v>
      </c>
      <c r="E6239" t="s">
        <v>23748</v>
      </c>
      <c r="F6239" t="s">
        <v>31362</v>
      </c>
      <c r="G6239" t="s">
        <v>31368</v>
      </c>
      <c r="H6239" t="s">
        <v>15799</v>
      </c>
      <c r="I6239" t="s">
        <v>31382</v>
      </c>
      <c r="J6239" t="s">
        <v>35405</v>
      </c>
      <c r="K6239" t="s">
        <v>40662</v>
      </c>
      <c r="M6239" t="s">
        <v>41119</v>
      </c>
      <c r="N6239" t="s">
        <v>44905</v>
      </c>
      <c r="O6239" t="s">
        <v>44906</v>
      </c>
      <c r="P6239">
        <v>0</v>
      </c>
      <c r="Q6239">
        <v>5</v>
      </c>
      <c r="R6239" t="s">
        <v>44909</v>
      </c>
      <c r="S6239" t="s">
        <v>45060</v>
      </c>
      <c r="T6239" t="s">
        <v>46434</v>
      </c>
      <c r="U6239" t="s">
        <v>51992</v>
      </c>
      <c r="W6239" t="s">
        <v>60839</v>
      </c>
      <c r="X6239" t="s">
        <v>44910</v>
      </c>
    </row>
    <row r="6240" spans="1:24">
      <c r="A6240">
        <f>HYPERLINK("https://www.philgeps.gov.ph/GEPSNONPILOT/Tender/SplashBidNoticeAbstractUI.aspx?menuIndex=3&amp;refID=7077651&amp;Result=3","7077651")</f>
        <v>0</v>
      </c>
      <c r="B6240" t="s">
        <v>1970</v>
      </c>
      <c r="C6240" t="s">
        <v>9474</v>
      </c>
      <c r="D6240" t="s">
        <v>18106</v>
      </c>
      <c r="E6240" t="s">
        <v>23749</v>
      </c>
      <c r="F6240" t="s">
        <v>31362</v>
      </c>
      <c r="G6240" t="s">
        <v>31368</v>
      </c>
      <c r="H6240" t="s">
        <v>31378</v>
      </c>
      <c r="I6240" t="s">
        <v>31386</v>
      </c>
      <c r="J6240" t="s">
        <v>32408</v>
      </c>
      <c r="K6240" t="s">
        <v>40670</v>
      </c>
      <c r="M6240" t="s">
        <v>43077</v>
      </c>
      <c r="N6240" t="s">
        <v>44905</v>
      </c>
      <c r="O6240" t="s">
        <v>44906</v>
      </c>
      <c r="P6240">
        <v>0</v>
      </c>
      <c r="Q6240">
        <v>0</v>
      </c>
      <c r="R6240" t="s">
        <v>44909</v>
      </c>
      <c r="S6240" t="s">
        <v>45060</v>
      </c>
      <c r="T6240" t="s">
        <v>46454</v>
      </c>
      <c r="U6240" t="s">
        <v>51993</v>
      </c>
      <c r="W6240" t="s">
        <v>43077</v>
      </c>
      <c r="X6240" t="s">
        <v>44910</v>
      </c>
    </row>
    <row r="6241" spans="1:24">
      <c r="A6241">
        <f>HYPERLINK("https://www.philgeps.gov.ph/GEPSNONPILOT/Tender/SplashBidNoticeAbstractUI.aspx?menuIndex=3&amp;refID=7077663&amp;Result=3","7077663")</f>
        <v>0</v>
      </c>
      <c r="B6241" t="s">
        <v>1974</v>
      </c>
      <c r="C6241" t="s">
        <v>9475</v>
      </c>
      <c r="D6241" t="s">
        <v>18125</v>
      </c>
      <c r="E6241" t="s">
        <v>23750</v>
      </c>
      <c r="F6241" t="s">
        <v>31362</v>
      </c>
      <c r="G6241" t="s">
        <v>31368</v>
      </c>
      <c r="H6241" t="s">
        <v>15799</v>
      </c>
      <c r="I6241" t="s">
        <v>31459</v>
      </c>
      <c r="J6241" t="s">
        <v>35406</v>
      </c>
      <c r="K6241" t="s">
        <v>40662</v>
      </c>
      <c r="M6241" t="s">
        <v>43082</v>
      </c>
      <c r="N6241" t="s">
        <v>44905</v>
      </c>
      <c r="O6241" t="s">
        <v>44906</v>
      </c>
      <c r="P6241">
        <v>0</v>
      </c>
      <c r="Q6241">
        <v>0</v>
      </c>
      <c r="R6241" t="s">
        <v>44909</v>
      </c>
      <c r="S6241" t="s">
        <v>45060</v>
      </c>
      <c r="T6241" t="s">
        <v>46394</v>
      </c>
      <c r="U6241" t="s">
        <v>51994</v>
      </c>
      <c r="W6241" t="s">
        <v>43082</v>
      </c>
      <c r="X6241" t="s">
        <v>44910</v>
      </c>
    </row>
    <row r="6242" spans="1:24">
      <c r="A6242">
        <f>HYPERLINK("https://www.philgeps.gov.ph/GEPSNONPILOT/Tender/SplashBidNoticeAbstractUI.aspx?menuIndex=3&amp;refID=7077687&amp;Result=3","7077687")</f>
        <v>0</v>
      </c>
      <c r="B6242" t="s">
        <v>1184</v>
      </c>
      <c r="C6242" t="s">
        <v>9476</v>
      </c>
      <c r="D6242" t="s">
        <v>18119</v>
      </c>
      <c r="E6242" t="s">
        <v>23751</v>
      </c>
      <c r="F6242" t="s">
        <v>31362</v>
      </c>
      <c r="G6242" t="s">
        <v>31368</v>
      </c>
      <c r="H6242" t="s">
        <v>15799</v>
      </c>
      <c r="I6242" t="s">
        <v>31383</v>
      </c>
      <c r="J6242" t="s">
        <v>32553</v>
      </c>
      <c r="K6242" t="s">
        <v>40670</v>
      </c>
      <c r="M6242" t="s">
        <v>42196</v>
      </c>
      <c r="N6242" t="s">
        <v>44905</v>
      </c>
      <c r="O6242" t="s">
        <v>44906</v>
      </c>
      <c r="P6242">
        <v>0</v>
      </c>
      <c r="Q6242">
        <v>3</v>
      </c>
      <c r="R6242" t="s">
        <v>44909</v>
      </c>
      <c r="S6242" t="s">
        <v>45060</v>
      </c>
      <c r="T6242" t="s">
        <v>46409</v>
      </c>
      <c r="U6242" t="s">
        <v>51995</v>
      </c>
      <c r="W6242" t="s">
        <v>42196</v>
      </c>
      <c r="X6242" t="s">
        <v>44910</v>
      </c>
    </row>
    <row r="6243" spans="1:24">
      <c r="A6243">
        <f>HYPERLINK("https://www.philgeps.gov.ph/GEPSNONPILOT/Tender/SplashBidNoticeAbstractUI.aspx?menuIndex=3&amp;refID=7077681&amp;Result=3","7077681")</f>
        <v>0</v>
      </c>
      <c r="B6243" t="s">
        <v>232</v>
      </c>
      <c r="C6243" t="s">
        <v>4048</v>
      </c>
      <c r="D6243" t="s">
        <v>18101</v>
      </c>
      <c r="E6243" t="s">
        <v>23752</v>
      </c>
      <c r="F6243" t="s">
        <v>31362</v>
      </c>
      <c r="G6243" t="s">
        <v>31370</v>
      </c>
      <c r="H6243" t="s">
        <v>15799</v>
      </c>
      <c r="I6243" t="s">
        <v>31385</v>
      </c>
      <c r="J6243" t="s">
        <v>35407</v>
      </c>
      <c r="K6243" t="s">
        <v>40661</v>
      </c>
      <c r="M6243" t="s">
        <v>41171</v>
      </c>
      <c r="N6243" t="s">
        <v>44905</v>
      </c>
      <c r="O6243" t="s">
        <v>44906</v>
      </c>
      <c r="P6243">
        <v>0</v>
      </c>
      <c r="Q6243">
        <v>0</v>
      </c>
      <c r="R6243" t="s">
        <v>44909</v>
      </c>
      <c r="S6243" t="s">
        <v>45060</v>
      </c>
      <c r="T6243" t="s">
        <v>46409</v>
      </c>
      <c r="U6243" t="s">
        <v>51996</v>
      </c>
      <c r="W6243" t="s">
        <v>41171</v>
      </c>
      <c r="X6243" t="s">
        <v>44910</v>
      </c>
    </row>
    <row r="6244" spans="1:24">
      <c r="A6244">
        <f>HYPERLINK("https://www.philgeps.gov.ph/GEPSNONPILOT/Tender/SplashBidNoticeAbstractUI.aspx?menuIndex=3&amp;refID=7077680&amp;Result=3","7077680")</f>
        <v>0</v>
      </c>
      <c r="B6244" t="s">
        <v>1883</v>
      </c>
      <c r="C6244" t="s">
        <v>9477</v>
      </c>
      <c r="D6244" t="s">
        <v>18108</v>
      </c>
      <c r="E6244" t="s">
        <v>23753</v>
      </c>
      <c r="F6244" t="s">
        <v>31362</v>
      </c>
      <c r="G6244" t="s">
        <v>31368</v>
      </c>
      <c r="H6244" t="s">
        <v>15799</v>
      </c>
      <c r="I6244" t="s">
        <v>3815</v>
      </c>
      <c r="J6244" t="s">
        <v>35408</v>
      </c>
      <c r="K6244" t="s">
        <v>40682</v>
      </c>
      <c r="M6244" t="s">
        <v>42976</v>
      </c>
      <c r="N6244" t="s">
        <v>44905</v>
      </c>
      <c r="O6244" t="s">
        <v>44906</v>
      </c>
      <c r="P6244">
        <v>0</v>
      </c>
      <c r="Q6244">
        <v>0</v>
      </c>
      <c r="R6244" t="s">
        <v>44909</v>
      </c>
      <c r="S6244" t="s">
        <v>45060</v>
      </c>
      <c r="T6244" t="s">
        <v>46435</v>
      </c>
      <c r="U6244" t="s">
        <v>51826</v>
      </c>
      <c r="W6244" t="s">
        <v>42976</v>
      </c>
      <c r="X6244" t="s">
        <v>44910</v>
      </c>
    </row>
    <row r="6245" spans="1:24">
      <c r="A6245">
        <f>HYPERLINK("https://www.philgeps.gov.ph/GEPSNONPILOT/Tender/SplashBidNoticeAbstractUI.aspx?menuIndex=3&amp;refID=7077678&amp;Result=3","7077678")</f>
        <v>0</v>
      </c>
      <c r="B6245" t="s">
        <v>330</v>
      </c>
      <c r="C6245" t="s">
        <v>9478</v>
      </c>
      <c r="D6245" t="s">
        <v>18154</v>
      </c>
      <c r="E6245" t="s">
        <v>23754</v>
      </c>
      <c r="F6245" t="s">
        <v>31362</v>
      </c>
      <c r="G6245" t="s">
        <v>31368</v>
      </c>
      <c r="H6245" t="s">
        <v>15799</v>
      </c>
      <c r="I6245" t="s">
        <v>31400</v>
      </c>
      <c r="J6245" t="s">
        <v>31940</v>
      </c>
      <c r="K6245" t="s">
        <v>40670</v>
      </c>
      <c r="M6245" t="s">
        <v>41276</v>
      </c>
      <c r="N6245" t="s">
        <v>44905</v>
      </c>
      <c r="O6245" t="s">
        <v>44906</v>
      </c>
      <c r="P6245">
        <v>0</v>
      </c>
      <c r="Q6245">
        <v>0</v>
      </c>
      <c r="R6245" t="s">
        <v>44909</v>
      </c>
      <c r="S6245" t="s">
        <v>45060</v>
      </c>
      <c r="T6245" t="s">
        <v>46409</v>
      </c>
      <c r="U6245" t="s">
        <v>51997</v>
      </c>
      <c r="W6245" t="s">
        <v>41276</v>
      </c>
      <c r="X6245" t="s">
        <v>44910</v>
      </c>
    </row>
    <row r="6246" spans="1:24">
      <c r="A6246">
        <f>HYPERLINK("https://www.philgeps.gov.ph/GEPSNONPILOT/Tender/SplashBidNoticeAbstractUI.aspx?menuIndex=3&amp;refID=7077661&amp;Result=3","7077661")</f>
        <v>0</v>
      </c>
      <c r="B6246" t="s">
        <v>1975</v>
      </c>
      <c r="C6246" t="s">
        <v>9479</v>
      </c>
      <c r="D6246" t="s">
        <v>18101</v>
      </c>
      <c r="E6246" t="s">
        <v>23755</v>
      </c>
      <c r="F6246" t="s">
        <v>31362</v>
      </c>
      <c r="G6246" t="s">
        <v>31369</v>
      </c>
      <c r="H6246" t="s">
        <v>31378</v>
      </c>
      <c r="I6246" t="s">
        <v>3815</v>
      </c>
      <c r="J6246" t="s">
        <v>35409</v>
      </c>
      <c r="K6246" t="s">
        <v>40666</v>
      </c>
      <c r="M6246" t="s">
        <v>43083</v>
      </c>
      <c r="N6246" t="s">
        <v>44905</v>
      </c>
      <c r="O6246" t="s">
        <v>44906</v>
      </c>
      <c r="P6246">
        <v>0</v>
      </c>
      <c r="Q6246">
        <v>0</v>
      </c>
      <c r="R6246" t="s">
        <v>44909</v>
      </c>
      <c r="S6246" t="s">
        <v>45060</v>
      </c>
      <c r="T6246" t="s">
        <v>46524</v>
      </c>
      <c r="U6246" t="s">
        <v>51998</v>
      </c>
      <c r="W6246" t="s">
        <v>43083</v>
      </c>
      <c r="X6246" t="s">
        <v>44910</v>
      </c>
    </row>
    <row r="6247" spans="1:24">
      <c r="A6247">
        <f>HYPERLINK("https://www.philgeps.gov.ph/GEPSNONPILOT/Tender/SplashBidNoticeAbstractUI.aspx?menuIndex=3&amp;refID=7077674&amp;Result=3","7077674")</f>
        <v>0</v>
      </c>
      <c r="B6247" t="s">
        <v>1955</v>
      </c>
      <c r="C6247" t="s">
        <v>9480</v>
      </c>
      <c r="D6247" t="s">
        <v>18158</v>
      </c>
      <c r="E6247" t="s">
        <v>23756</v>
      </c>
      <c r="F6247" t="s">
        <v>31362</v>
      </c>
      <c r="G6247" t="s">
        <v>31368</v>
      </c>
      <c r="H6247" t="s">
        <v>15799</v>
      </c>
      <c r="I6247" t="s">
        <v>7719</v>
      </c>
      <c r="J6247" t="s">
        <v>31648</v>
      </c>
      <c r="K6247" t="s">
        <v>40662</v>
      </c>
      <c r="M6247" t="s">
        <v>43060</v>
      </c>
      <c r="N6247" t="s">
        <v>44905</v>
      </c>
      <c r="O6247" t="s">
        <v>44906</v>
      </c>
      <c r="P6247">
        <v>0</v>
      </c>
      <c r="Q6247">
        <v>3</v>
      </c>
      <c r="R6247" t="s">
        <v>44909</v>
      </c>
      <c r="S6247" t="s">
        <v>45060</v>
      </c>
      <c r="T6247" t="s">
        <v>46414</v>
      </c>
      <c r="U6247" t="s">
        <v>51999</v>
      </c>
      <c r="W6247" t="s">
        <v>43060</v>
      </c>
      <c r="X6247" t="s">
        <v>44910</v>
      </c>
    </row>
    <row r="6248" spans="1:24">
      <c r="A6248">
        <f>HYPERLINK("https://www.philgeps.gov.ph/GEPSNONPILOT/Tender/SplashBidNoticeAbstractUI.aspx?menuIndex=3&amp;refID=7077655&amp;Result=3","7077655")</f>
        <v>0</v>
      </c>
      <c r="B6248" t="s">
        <v>1058</v>
      </c>
      <c r="C6248" t="s">
        <v>9481</v>
      </c>
      <c r="D6248" t="s">
        <v>18104</v>
      </c>
      <c r="E6248" t="s">
        <v>23757</v>
      </c>
      <c r="F6248" t="s">
        <v>31362</v>
      </c>
      <c r="G6248" t="s">
        <v>31370</v>
      </c>
      <c r="H6248" t="s">
        <v>15799</v>
      </c>
      <c r="I6248" t="s">
        <v>31382</v>
      </c>
      <c r="J6248" t="s">
        <v>31536</v>
      </c>
      <c r="K6248" t="s">
        <v>40670</v>
      </c>
      <c r="M6248" t="s">
        <v>42059</v>
      </c>
      <c r="N6248" t="s">
        <v>44905</v>
      </c>
      <c r="O6248" t="s">
        <v>44906</v>
      </c>
      <c r="P6248">
        <v>0</v>
      </c>
      <c r="Q6248">
        <v>1</v>
      </c>
      <c r="R6248" t="s">
        <v>44909</v>
      </c>
      <c r="S6248" t="s">
        <v>45060</v>
      </c>
      <c r="T6248" t="s">
        <v>46447</v>
      </c>
      <c r="U6248" t="s">
        <v>52000</v>
      </c>
      <c r="W6248" t="s">
        <v>42059</v>
      </c>
      <c r="X6248" t="s">
        <v>44910</v>
      </c>
    </row>
    <row r="6249" spans="1:24">
      <c r="A6249">
        <f>HYPERLINK("https://www.philgeps.gov.ph/GEPSNONPILOT/Tender/SplashBidNoticeAbstractUI.aspx?menuIndex=3&amp;refID=7077673&amp;Result=3","7077673")</f>
        <v>0</v>
      </c>
      <c r="B6249" t="s">
        <v>989</v>
      </c>
      <c r="C6249" t="s">
        <v>9482</v>
      </c>
      <c r="D6249" t="s">
        <v>18158</v>
      </c>
      <c r="E6249" t="s">
        <v>23758</v>
      </c>
      <c r="F6249" t="s">
        <v>31362</v>
      </c>
      <c r="G6249" t="s">
        <v>31369</v>
      </c>
      <c r="H6249" t="s">
        <v>31378</v>
      </c>
      <c r="I6249" t="s">
        <v>31386</v>
      </c>
      <c r="J6249" t="s">
        <v>33482</v>
      </c>
      <c r="K6249" t="s">
        <v>40686</v>
      </c>
      <c r="M6249" t="s">
        <v>41983</v>
      </c>
      <c r="N6249" t="s">
        <v>44905</v>
      </c>
      <c r="O6249" t="s">
        <v>44906</v>
      </c>
      <c r="P6249">
        <v>0</v>
      </c>
      <c r="Q6249">
        <v>0</v>
      </c>
      <c r="R6249" t="s">
        <v>44909</v>
      </c>
      <c r="S6249" t="s">
        <v>45060</v>
      </c>
      <c r="T6249" t="s">
        <v>46464</v>
      </c>
      <c r="U6249" t="s">
        <v>52001</v>
      </c>
      <c r="W6249" t="s">
        <v>41983</v>
      </c>
      <c r="X6249" t="s">
        <v>44910</v>
      </c>
    </row>
    <row r="6250" spans="1:24">
      <c r="A6250">
        <f>HYPERLINK("https://www.philgeps.gov.ph/GEPSNONPILOT/Tender/SplashBidNoticeAbstractUI.aspx?menuIndex=3&amp;refID=7077671&amp;Result=3","7077671")</f>
        <v>0</v>
      </c>
      <c r="B6250" t="s">
        <v>303</v>
      </c>
      <c r="C6250" t="s">
        <v>9483</v>
      </c>
      <c r="D6250" t="s">
        <v>18121</v>
      </c>
      <c r="E6250" t="s">
        <v>23759</v>
      </c>
      <c r="F6250" t="s">
        <v>31362</v>
      </c>
      <c r="G6250" t="s">
        <v>31368</v>
      </c>
      <c r="H6250" t="s">
        <v>31379</v>
      </c>
      <c r="I6250" t="s">
        <v>4057</v>
      </c>
      <c r="J6250" t="s">
        <v>35410</v>
      </c>
      <c r="K6250" t="s">
        <v>40666</v>
      </c>
      <c r="M6250" t="s">
        <v>41247</v>
      </c>
      <c r="N6250" t="s">
        <v>44905</v>
      </c>
      <c r="O6250" t="s">
        <v>44906</v>
      </c>
      <c r="P6250">
        <v>0</v>
      </c>
      <c r="Q6250">
        <v>0</v>
      </c>
      <c r="R6250" t="s">
        <v>44909</v>
      </c>
      <c r="S6250" t="s">
        <v>45060</v>
      </c>
      <c r="T6250" t="s">
        <v>46443</v>
      </c>
      <c r="U6250" t="s">
        <v>52002</v>
      </c>
      <c r="W6250" t="s">
        <v>41247</v>
      </c>
      <c r="X6250" t="s">
        <v>44910</v>
      </c>
    </row>
    <row r="6251" spans="1:24">
      <c r="A6251">
        <f>HYPERLINK("https://www.philgeps.gov.ph/GEPSNONPILOT/Tender/SplashBidNoticeAbstractUI.aspx?menuIndex=3&amp;refID=7077691&amp;Result=3","7077691")</f>
        <v>0</v>
      </c>
      <c r="B6251" t="s">
        <v>740</v>
      </c>
      <c r="C6251" t="s">
        <v>9484</v>
      </c>
      <c r="D6251" t="s">
        <v>18109</v>
      </c>
      <c r="E6251" t="s">
        <v>23760</v>
      </c>
      <c r="F6251" t="s">
        <v>31362</v>
      </c>
      <c r="G6251" t="s">
        <v>31368</v>
      </c>
      <c r="H6251" t="s">
        <v>15799</v>
      </c>
      <c r="I6251" t="s">
        <v>31422</v>
      </c>
      <c r="J6251" t="s">
        <v>35411</v>
      </c>
      <c r="K6251" t="s">
        <v>40675</v>
      </c>
      <c r="M6251" t="s">
        <v>41707</v>
      </c>
      <c r="N6251" t="s">
        <v>44905</v>
      </c>
      <c r="O6251" t="s">
        <v>44906</v>
      </c>
      <c r="P6251">
        <v>0</v>
      </c>
      <c r="Q6251">
        <v>1</v>
      </c>
      <c r="R6251" t="s">
        <v>44909</v>
      </c>
      <c r="S6251" t="s">
        <v>45060</v>
      </c>
      <c r="T6251" t="s">
        <v>46432</v>
      </c>
      <c r="U6251" t="s">
        <v>52003</v>
      </c>
      <c r="W6251" t="s">
        <v>41707</v>
      </c>
      <c r="X6251" t="s">
        <v>44910</v>
      </c>
    </row>
    <row r="6252" spans="1:24">
      <c r="A6252">
        <f>HYPERLINK("https://www.philgeps.gov.ph/GEPSNONPILOT/Tender/SplashBidNoticeAbstractUI.aspx?menuIndex=3&amp;refID=7077690&amp;Result=3","7077690")</f>
        <v>0</v>
      </c>
      <c r="B6252" t="s">
        <v>1057</v>
      </c>
      <c r="C6252" t="s">
        <v>9485</v>
      </c>
      <c r="D6252" t="s">
        <v>18163</v>
      </c>
      <c r="E6252" t="s">
        <v>23761</v>
      </c>
      <c r="F6252" t="s">
        <v>31362</v>
      </c>
      <c r="G6252" t="s">
        <v>31368</v>
      </c>
      <c r="H6252" t="s">
        <v>15799</v>
      </c>
      <c r="I6252" t="s">
        <v>6373</v>
      </c>
      <c r="J6252" t="s">
        <v>32777</v>
      </c>
      <c r="K6252" t="s">
        <v>40666</v>
      </c>
      <c r="M6252" t="s">
        <v>42058</v>
      </c>
      <c r="N6252" t="s">
        <v>44905</v>
      </c>
      <c r="O6252" t="s">
        <v>44906</v>
      </c>
      <c r="P6252">
        <v>0</v>
      </c>
      <c r="Q6252">
        <v>3</v>
      </c>
      <c r="R6252" t="s">
        <v>44909</v>
      </c>
      <c r="S6252" t="s">
        <v>45060</v>
      </c>
      <c r="T6252" t="s">
        <v>46435</v>
      </c>
      <c r="U6252" t="s">
        <v>52004</v>
      </c>
      <c r="V6252" t="s">
        <v>59659</v>
      </c>
      <c r="W6252" t="s">
        <v>42058</v>
      </c>
      <c r="X6252" t="s">
        <v>44910</v>
      </c>
    </row>
    <row r="6253" spans="1:24">
      <c r="A6253">
        <f>HYPERLINK("https://www.philgeps.gov.ph/GEPSNONPILOT/Tender/SplashBidNoticeAbstractUI.aspx?menuIndex=3&amp;refID=7077668&amp;Result=3","7077668")</f>
        <v>0</v>
      </c>
      <c r="B6253" t="s">
        <v>1941</v>
      </c>
      <c r="C6253" t="s">
        <v>9486</v>
      </c>
      <c r="D6253" t="s">
        <v>18108</v>
      </c>
      <c r="E6253" t="s">
        <v>23762</v>
      </c>
      <c r="F6253" t="s">
        <v>31362</v>
      </c>
      <c r="G6253" t="s">
        <v>31369</v>
      </c>
      <c r="H6253" t="s">
        <v>15799</v>
      </c>
      <c r="I6253" t="s">
        <v>31464</v>
      </c>
      <c r="J6253" t="s">
        <v>33028</v>
      </c>
      <c r="K6253" t="s">
        <v>40723</v>
      </c>
      <c r="M6253" t="s">
        <v>43046</v>
      </c>
      <c r="N6253" t="s">
        <v>44905</v>
      </c>
      <c r="O6253" t="s">
        <v>44906</v>
      </c>
      <c r="P6253">
        <v>0</v>
      </c>
      <c r="Q6253">
        <v>2</v>
      </c>
      <c r="R6253" t="s">
        <v>44909</v>
      </c>
      <c r="S6253" t="s">
        <v>45060</v>
      </c>
      <c r="T6253" t="s">
        <v>46449</v>
      </c>
      <c r="U6253" t="s">
        <v>52005</v>
      </c>
      <c r="W6253" t="s">
        <v>43046</v>
      </c>
      <c r="X6253" t="s">
        <v>44910</v>
      </c>
    </row>
    <row r="6254" spans="1:24">
      <c r="A6254">
        <f>HYPERLINK("https://www.philgeps.gov.ph/GEPSNONPILOT/Tender/SplashBidNoticeAbstractUI.aspx?menuIndex=3&amp;refID=7077685&amp;Result=3","7077685")</f>
        <v>0</v>
      </c>
      <c r="B6254" t="s">
        <v>1976</v>
      </c>
      <c r="C6254" t="s">
        <v>9487</v>
      </c>
      <c r="D6254" t="s">
        <v>18116</v>
      </c>
      <c r="E6254" t="s">
        <v>23763</v>
      </c>
      <c r="F6254" t="s">
        <v>31363</v>
      </c>
      <c r="G6254" t="s">
        <v>31370</v>
      </c>
      <c r="H6254" t="s">
        <v>15799</v>
      </c>
      <c r="I6254" t="s">
        <v>31380</v>
      </c>
      <c r="J6254" t="s">
        <v>32065</v>
      </c>
      <c r="K6254" t="s">
        <v>40693</v>
      </c>
      <c r="M6254" t="s">
        <v>43084</v>
      </c>
      <c r="N6254" t="s">
        <v>44905</v>
      </c>
      <c r="O6254" t="s">
        <v>44906</v>
      </c>
      <c r="P6254">
        <v>0</v>
      </c>
      <c r="Q6254">
        <v>0</v>
      </c>
      <c r="R6254" t="s">
        <v>44909</v>
      </c>
      <c r="S6254" t="s">
        <v>45060</v>
      </c>
      <c r="T6254" t="s">
        <v>46414</v>
      </c>
      <c r="U6254" t="s">
        <v>52006</v>
      </c>
      <c r="W6254" t="s">
        <v>43084</v>
      </c>
      <c r="X6254" t="s">
        <v>44910</v>
      </c>
    </row>
    <row r="6255" spans="1:24">
      <c r="A6255">
        <f>HYPERLINK("https://www.philgeps.gov.ph/GEPSNONPILOT/Tender/SplashBidNoticeAbstractUI.aspx?menuIndex=3&amp;refID=7077689&amp;Result=3","7077689")</f>
        <v>0</v>
      </c>
      <c r="B6255" t="s">
        <v>330</v>
      </c>
      <c r="C6255" t="s">
        <v>9488</v>
      </c>
      <c r="D6255" t="s">
        <v>18154</v>
      </c>
      <c r="E6255" t="s">
        <v>23764</v>
      </c>
      <c r="F6255" t="s">
        <v>31362</v>
      </c>
      <c r="G6255" t="s">
        <v>31368</v>
      </c>
      <c r="H6255" t="s">
        <v>15799</v>
      </c>
      <c r="I6255" t="s">
        <v>31380</v>
      </c>
      <c r="J6255" t="s">
        <v>35412</v>
      </c>
      <c r="K6255" t="s">
        <v>40670</v>
      </c>
      <c r="M6255" t="s">
        <v>41276</v>
      </c>
      <c r="N6255" t="s">
        <v>44905</v>
      </c>
      <c r="O6255" t="s">
        <v>44906</v>
      </c>
      <c r="P6255">
        <v>0</v>
      </c>
      <c r="Q6255">
        <v>2</v>
      </c>
      <c r="R6255" t="s">
        <v>44909</v>
      </c>
      <c r="S6255" t="s">
        <v>45060</v>
      </c>
      <c r="T6255" t="s">
        <v>46409</v>
      </c>
      <c r="U6255" t="s">
        <v>52007</v>
      </c>
      <c r="W6255" t="s">
        <v>41276</v>
      </c>
      <c r="X6255" t="s">
        <v>44910</v>
      </c>
    </row>
    <row r="6256" spans="1:24">
      <c r="A6256">
        <f>HYPERLINK("https://www.philgeps.gov.ph/GEPSNONPILOT/Tender/SplashBidNoticeAbstractUI.aspx?menuIndex=3&amp;refID=7077670&amp;Result=3","7077670")</f>
        <v>0</v>
      </c>
      <c r="B6256" t="s">
        <v>1967</v>
      </c>
      <c r="C6256" t="s">
        <v>9489</v>
      </c>
      <c r="D6256" t="s">
        <v>18108</v>
      </c>
      <c r="E6256" t="s">
        <v>23765</v>
      </c>
      <c r="F6256" t="s">
        <v>31362</v>
      </c>
      <c r="G6256" t="s">
        <v>31369</v>
      </c>
      <c r="H6256" t="s">
        <v>15799</v>
      </c>
      <c r="I6256" t="s">
        <v>31382</v>
      </c>
      <c r="J6256" t="s">
        <v>35413</v>
      </c>
      <c r="K6256" t="s">
        <v>40682</v>
      </c>
      <c r="M6256" t="s">
        <v>43073</v>
      </c>
      <c r="N6256" t="s">
        <v>44905</v>
      </c>
      <c r="O6256" t="s">
        <v>44906</v>
      </c>
      <c r="P6256">
        <v>0</v>
      </c>
      <c r="Q6256">
        <v>6</v>
      </c>
      <c r="R6256" t="s">
        <v>44909</v>
      </c>
      <c r="S6256" t="s">
        <v>45060</v>
      </c>
      <c r="T6256" t="s">
        <v>46616</v>
      </c>
      <c r="U6256" t="s">
        <v>52008</v>
      </c>
      <c r="W6256" t="s">
        <v>43073</v>
      </c>
      <c r="X6256" t="s">
        <v>44910</v>
      </c>
    </row>
    <row r="6257" spans="1:24">
      <c r="A6257">
        <f>HYPERLINK("https://www.philgeps.gov.ph/GEPSNONPILOT/Tender/SplashBidNoticeAbstractUI.aspx?menuIndex=3&amp;refID=7077672&amp;Result=3","7077672")</f>
        <v>0</v>
      </c>
      <c r="B6257" t="s">
        <v>1970</v>
      </c>
      <c r="C6257" t="s">
        <v>9490</v>
      </c>
      <c r="D6257" t="s">
        <v>18106</v>
      </c>
      <c r="E6257" t="s">
        <v>23766</v>
      </c>
      <c r="F6257" t="s">
        <v>31362</v>
      </c>
      <c r="G6257" t="s">
        <v>31368</v>
      </c>
      <c r="H6257" t="s">
        <v>31378</v>
      </c>
      <c r="I6257" t="s">
        <v>31386</v>
      </c>
      <c r="J6257" t="s">
        <v>35414</v>
      </c>
      <c r="K6257" t="s">
        <v>40687</v>
      </c>
      <c r="M6257" t="s">
        <v>43077</v>
      </c>
      <c r="N6257" t="s">
        <v>44905</v>
      </c>
      <c r="O6257" t="s">
        <v>44906</v>
      </c>
      <c r="P6257">
        <v>0</v>
      </c>
      <c r="Q6257">
        <v>0</v>
      </c>
      <c r="R6257" t="s">
        <v>44909</v>
      </c>
      <c r="S6257" t="s">
        <v>45060</v>
      </c>
      <c r="T6257" t="s">
        <v>46454</v>
      </c>
      <c r="U6257" t="s">
        <v>52009</v>
      </c>
      <c r="W6257" t="s">
        <v>43077</v>
      </c>
      <c r="X6257" t="s">
        <v>44910</v>
      </c>
    </row>
    <row r="6258" spans="1:24">
      <c r="A6258">
        <f>HYPERLINK("https://www.philgeps.gov.ph/GEPSNONPILOT/Tender/SplashBidNoticeAbstractUI.aspx?menuIndex=3&amp;refID=7077669&amp;Result=3","7077669")</f>
        <v>0</v>
      </c>
      <c r="B6258" t="s">
        <v>87</v>
      </c>
      <c r="C6258" t="s">
        <v>9491</v>
      </c>
      <c r="D6258" t="s">
        <v>18109</v>
      </c>
      <c r="E6258" t="s">
        <v>23767</v>
      </c>
      <c r="F6258" t="s">
        <v>31362</v>
      </c>
      <c r="G6258" t="s">
        <v>31369</v>
      </c>
      <c r="H6258" t="s">
        <v>15799</v>
      </c>
      <c r="I6258" t="s">
        <v>4057</v>
      </c>
      <c r="J6258" t="s">
        <v>31886</v>
      </c>
      <c r="K6258" t="s">
        <v>40661</v>
      </c>
      <c r="M6258" t="s">
        <v>41023</v>
      </c>
      <c r="N6258" t="s">
        <v>44905</v>
      </c>
      <c r="O6258" t="s">
        <v>44906</v>
      </c>
      <c r="P6258">
        <v>0</v>
      </c>
      <c r="Q6258">
        <v>0</v>
      </c>
      <c r="R6258" t="s">
        <v>44909</v>
      </c>
      <c r="S6258" t="s">
        <v>45060</v>
      </c>
      <c r="T6258" t="s">
        <v>46435</v>
      </c>
      <c r="U6258" t="s">
        <v>52010</v>
      </c>
      <c r="W6258" t="s">
        <v>60832</v>
      </c>
      <c r="X6258" t="s">
        <v>44910</v>
      </c>
    </row>
    <row r="6259" spans="1:24">
      <c r="A6259">
        <f>HYPERLINK("https://www.philgeps.gov.ph/GEPSNONPILOT/Tender/SplashBidNoticeAbstractUI.aspx?menuIndex=3&amp;refID=7077684&amp;Result=3","7077684")</f>
        <v>0</v>
      </c>
      <c r="B6259" t="s">
        <v>61</v>
      </c>
      <c r="C6259" t="s">
        <v>9492</v>
      </c>
      <c r="D6259" t="s">
        <v>18124</v>
      </c>
      <c r="E6259" t="s">
        <v>23768</v>
      </c>
      <c r="F6259" t="s">
        <v>31362</v>
      </c>
      <c r="G6259" t="s">
        <v>31368</v>
      </c>
      <c r="H6259" t="s">
        <v>15799</v>
      </c>
      <c r="I6259" t="s">
        <v>31429</v>
      </c>
      <c r="J6259" t="s">
        <v>31890</v>
      </c>
      <c r="K6259" t="s">
        <v>40679</v>
      </c>
      <c r="M6259" t="s">
        <v>40996</v>
      </c>
      <c r="N6259" t="s">
        <v>44905</v>
      </c>
      <c r="O6259" t="s">
        <v>44906</v>
      </c>
      <c r="P6259">
        <v>0</v>
      </c>
      <c r="Q6259">
        <v>0</v>
      </c>
      <c r="R6259" t="s">
        <v>44909</v>
      </c>
      <c r="S6259" t="s">
        <v>45060</v>
      </c>
      <c r="T6259" t="s">
        <v>46419</v>
      </c>
      <c r="U6259" t="s">
        <v>46986</v>
      </c>
      <c r="W6259" t="s">
        <v>40996</v>
      </c>
      <c r="X6259" t="s">
        <v>44910</v>
      </c>
    </row>
    <row r="6260" spans="1:24">
      <c r="A6260">
        <f>HYPERLINK("https://www.philgeps.gov.ph/GEPSNONPILOT/Tender/SplashBidNoticeAbstractUI.aspx?menuIndex=3&amp;refID=7077692&amp;Result=3","7077692")</f>
        <v>0</v>
      </c>
      <c r="B6260" t="s">
        <v>1970</v>
      </c>
      <c r="C6260" t="s">
        <v>9493</v>
      </c>
      <c r="D6260" t="s">
        <v>18106</v>
      </c>
      <c r="E6260" t="s">
        <v>23769</v>
      </c>
      <c r="F6260" t="s">
        <v>31362</v>
      </c>
      <c r="G6260" t="s">
        <v>31368</v>
      </c>
      <c r="H6260" t="s">
        <v>15799</v>
      </c>
      <c r="I6260" t="s">
        <v>3815</v>
      </c>
      <c r="J6260" t="s">
        <v>32700</v>
      </c>
      <c r="K6260" t="s">
        <v>40697</v>
      </c>
      <c r="M6260" t="s">
        <v>43077</v>
      </c>
      <c r="N6260" t="s">
        <v>44905</v>
      </c>
      <c r="O6260" t="s">
        <v>44906</v>
      </c>
      <c r="P6260">
        <v>0</v>
      </c>
      <c r="Q6260">
        <v>0</v>
      </c>
      <c r="R6260" t="s">
        <v>44909</v>
      </c>
      <c r="S6260" t="s">
        <v>45060</v>
      </c>
      <c r="T6260" t="s">
        <v>46454</v>
      </c>
      <c r="U6260" t="s">
        <v>52011</v>
      </c>
      <c r="W6260" t="s">
        <v>43077</v>
      </c>
      <c r="X6260" t="s">
        <v>44910</v>
      </c>
    </row>
    <row r="6261" spans="1:24">
      <c r="A6261">
        <f>HYPERLINK("https://www.philgeps.gov.ph/GEPSNONPILOT/Tender/SplashBidNoticeAbstractUI.aspx?menuIndex=3&amp;refID=7077679&amp;Result=3","7077679")</f>
        <v>0</v>
      </c>
      <c r="B6261" t="s">
        <v>1877</v>
      </c>
      <c r="C6261" t="s">
        <v>9494</v>
      </c>
      <c r="D6261" t="s">
        <v>18108</v>
      </c>
      <c r="E6261" t="s">
        <v>23770</v>
      </c>
      <c r="F6261" t="s">
        <v>31362</v>
      </c>
      <c r="G6261" t="s">
        <v>31369</v>
      </c>
      <c r="H6261" t="s">
        <v>15799</v>
      </c>
      <c r="I6261" t="s">
        <v>31393</v>
      </c>
      <c r="J6261" t="s">
        <v>31606</v>
      </c>
      <c r="K6261" t="s">
        <v>40662</v>
      </c>
      <c r="M6261" t="s">
        <v>42968</v>
      </c>
      <c r="N6261" t="s">
        <v>44905</v>
      </c>
      <c r="O6261" t="s">
        <v>44906</v>
      </c>
      <c r="P6261">
        <v>0</v>
      </c>
      <c r="Q6261">
        <v>13</v>
      </c>
      <c r="R6261" t="s">
        <v>44909</v>
      </c>
      <c r="S6261" t="s">
        <v>45060</v>
      </c>
      <c r="T6261" t="s">
        <v>46559</v>
      </c>
      <c r="U6261" t="s">
        <v>52012</v>
      </c>
      <c r="V6261" t="s">
        <v>59660</v>
      </c>
      <c r="W6261" t="s">
        <v>42968</v>
      </c>
      <c r="X6261" t="s">
        <v>44910</v>
      </c>
    </row>
    <row r="6262" spans="1:24">
      <c r="A6262">
        <f>HYPERLINK("https://www.philgeps.gov.ph/GEPSNONPILOT/Tender/SplashBidNoticeAbstractUI.aspx?menuIndex=3&amp;refID=7077702&amp;Result=3","7077702")</f>
        <v>0</v>
      </c>
      <c r="B6262" t="s">
        <v>232</v>
      </c>
      <c r="C6262" t="s">
        <v>9495</v>
      </c>
      <c r="D6262" t="s">
        <v>18101</v>
      </c>
      <c r="E6262" t="s">
        <v>23771</v>
      </c>
      <c r="F6262" t="s">
        <v>31362</v>
      </c>
      <c r="G6262" t="s">
        <v>31368</v>
      </c>
      <c r="H6262" t="s">
        <v>31378</v>
      </c>
      <c r="I6262" t="s">
        <v>31386</v>
      </c>
      <c r="J6262" t="s">
        <v>35415</v>
      </c>
      <c r="K6262" t="s">
        <v>40661</v>
      </c>
      <c r="M6262" t="s">
        <v>41171</v>
      </c>
      <c r="N6262" t="s">
        <v>44905</v>
      </c>
      <c r="O6262" t="s">
        <v>44906</v>
      </c>
      <c r="P6262">
        <v>0</v>
      </c>
      <c r="Q6262">
        <v>0</v>
      </c>
      <c r="R6262" t="s">
        <v>44909</v>
      </c>
      <c r="S6262" t="s">
        <v>45060</v>
      </c>
      <c r="T6262" t="s">
        <v>46470</v>
      </c>
      <c r="U6262" t="s">
        <v>52013</v>
      </c>
      <c r="W6262" t="s">
        <v>41171</v>
      </c>
      <c r="X6262" t="s">
        <v>44910</v>
      </c>
    </row>
    <row r="6263" spans="1:24">
      <c r="A6263">
        <f>HYPERLINK("https://www.philgeps.gov.ph/GEPSNONPILOT/Tender/SplashBidNoticeAbstractUI.aspx?menuIndex=3&amp;refID=7077701&amp;Result=3","7077701")</f>
        <v>0</v>
      </c>
      <c r="B6263" t="s">
        <v>1977</v>
      </c>
      <c r="C6263" t="s">
        <v>9496</v>
      </c>
      <c r="D6263" t="s">
        <v>18107</v>
      </c>
      <c r="E6263" t="s">
        <v>23772</v>
      </c>
      <c r="F6263" t="s">
        <v>31362</v>
      </c>
      <c r="G6263" t="s">
        <v>31369</v>
      </c>
      <c r="H6263" t="s">
        <v>15799</v>
      </c>
      <c r="I6263" t="s">
        <v>31398</v>
      </c>
      <c r="J6263" t="s">
        <v>31591</v>
      </c>
      <c r="K6263" t="s">
        <v>40665</v>
      </c>
      <c r="M6263" t="s">
        <v>43085</v>
      </c>
      <c r="N6263" t="s">
        <v>44905</v>
      </c>
      <c r="O6263" t="s">
        <v>44906</v>
      </c>
      <c r="P6263">
        <v>0</v>
      </c>
      <c r="Q6263">
        <v>1</v>
      </c>
      <c r="R6263" t="s">
        <v>44909</v>
      </c>
      <c r="S6263" t="s">
        <v>45060</v>
      </c>
      <c r="T6263" t="s">
        <v>46720</v>
      </c>
      <c r="U6263" t="s">
        <v>52014</v>
      </c>
      <c r="W6263" t="s">
        <v>43085</v>
      </c>
      <c r="X6263" t="s">
        <v>44910</v>
      </c>
    </row>
    <row r="6264" spans="1:24">
      <c r="A6264">
        <f>HYPERLINK("https://www.philgeps.gov.ph/GEPSNONPILOT/Tender/SplashBidNoticeAbstractUI.aspx?menuIndex=3&amp;refID=7077686&amp;Result=3","7077686")</f>
        <v>0</v>
      </c>
      <c r="B6264" t="s">
        <v>352</v>
      </c>
      <c r="C6264" t="s">
        <v>9497</v>
      </c>
      <c r="D6264" t="s">
        <v>18122</v>
      </c>
      <c r="E6264" t="s">
        <v>23773</v>
      </c>
      <c r="F6264" t="s">
        <v>31362</v>
      </c>
      <c r="G6264" t="s">
        <v>31368</v>
      </c>
      <c r="H6264" t="s">
        <v>15799</v>
      </c>
      <c r="I6264" t="s">
        <v>7188</v>
      </c>
      <c r="J6264" t="s">
        <v>32505</v>
      </c>
      <c r="K6264" t="s">
        <v>40666</v>
      </c>
      <c r="M6264" t="s">
        <v>41299</v>
      </c>
      <c r="N6264" t="s">
        <v>44905</v>
      </c>
      <c r="O6264" t="s">
        <v>44906</v>
      </c>
      <c r="P6264">
        <v>0</v>
      </c>
      <c r="Q6264">
        <v>0</v>
      </c>
      <c r="R6264" t="s">
        <v>44909</v>
      </c>
      <c r="S6264" t="s">
        <v>45060</v>
      </c>
      <c r="T6264" t="s">
        <v>46406</v>
      </c>
      <c r="U6264" t="s">
        <v>52015</v>
      </c>
      <c r="W6264" t="s">
        <v>41299</v>
      </c>
      <c r="X6264" t="s">
        <v>44910</v>
      </c>
    </row>
    <row r="6265" spans="1:24">
      <c r="A6265">
        <f>HYPERLINK("https://www.philgeps.gov.ph/GEPSNONPILOT/Tender/SplashBidNoticeAbstractUI.aspx?menuIndex=3&amp;refID=7077697&amp;Result=3","7077697")</f>
        <v>0</v>
      </c>
      <c r="B6265" t="s">
        <v>1272</v>
      </c>
      <c r="C6265" t="s">
        <v>9498</v>
      </c>
      <c r="D6265" t="s">
        <v>18104</v>
      </c>
      <c r="E6265" t="s">
        <v>23774</v>
      </c>
      <c r="F6265" t="s">
        <v>31362</v>
      </c>
      <c r="G6265" t="s">
        <v>31368</v>
      </c>
      <c r="H6265" t="s">
        <v>15799</v>
      </c>
      <c r="I6265" t="s">
        <v>7090</v>
      </c>
      <c r="J6265" t="s">
        <v>35416</v>
      </c>
      <c r="K6265" t="s">
        <v>40661</v>
      </c>
      <c r="M6265" t="s">
        <v>42289</v>
      </c>
      <c r="N6265" t="s">
        <v>44905</v>
      </c>
      <c r="O6265" t="s">
        <v>44906</v>
      </c>
      <c r="P6265">
        <v>0</v>
      </c>
      <c r="Q6265">
        <v>0</v>
      </c>
      <c r="R6265" t="s">
        <v>44909</v>
      </c>
      <c r="S6265" t="s">
        <v>45060</v>
      </c>
      <c r="T6265" t="s">
        <v>46393</v>
      </c>
      <c r="U6265" t="s">
        <v>52016</v>
      </c>
      <c r="W6265" t="s">
        <v>42289</v>
      </c>
      <c r="X6265" t="s">
        <v>44910</v>
      </c>
    </row>
    <row r="6266" spans="1:24">
      <c r="A6266">
        <f>HYPERLINK("https://www.philgeps.gov.ph/GEPSNONPILOT/Tender/SplashBidNoticeAbstractUI.aspx?menuIndex=3&amp;refID=7077694&amp;Result=3","7077694")</f>
        <v>0</v>
      </c>
      <c r="B6266" t="s">
        <v>267</v>
      </c>
      <c r="C6266" t="s">
        <v>9499</v>
      </c>
      <c r="D6266" t="s">
        <v>18154</v>
      </c>
      <c r="E6266" t="s">
        <v>23775</v>
      </c>
      <c r="F6266" t="s">
        <v>31362</v>
      </c>
      <c r="G6266" t="s">
        <v>31368</v>
      </c>
      <c r="H6266" t="s">
        <v>15799</v>
      </c>
      <c r="I6266" t="s">
        <v>7188</v>
      </c>
      <c r="J6266" t="s">
        <v>35417</v>
      </c>
      <c r="K6266" t="s">
        <v>40661</v>
      </c>
      <c r="M6266" t="s">
        <v>41208</v>
      </c>
      <c r="N6266" t="s">
        <v>44905</v>
      </c>
      <c r="O6266" t="s">
        <v>44906</v>
      </c>
      <c r="P6266">
        <v>0</v>
      </c>
      <c r="Q6266">
        <v>3</v>
      </c>
      <c r="R6266" t="s">
        <v>44909</v>
      </c>
      <c r="S6266" t="s">
        <v>45060</v>
      </c>
      <c r="T6266" t="s">
        <v>46447</v>
      </c>
      <c r="U6266" t="s">
        <v>52017</v>
      </c>
      <c r="W6266" t="s">
        <v>41208</v>
      </c>
      <c r="X6266" t="s">
        <v>44910</v>
      </c>
    </row>
    <row r="6267" spans="1:24">
      <c r="A6267">
        <f>HYPERLINK("https://www.philgeps.gov.ph/GEPSNONPILOT/Tender/SplashBidNoticeAbstractUI.aspx?menuIndex=3&amp;refID=7077693&amp;Result=3","7077693")</f>
        <v>0</v>
      </c>
      <c r="B6267" t="s">
        <v>1883</v>
      </c>
      <c r="C6267" t="s">
        <v>9500</v>
      </c>
      <c r="D6267" t="s">
        <v>18108</v>
      </c>
      <c r="E6267" t="s">
        <v>23776</v>
      </c>
      <c r="F6267" t="s">
        <v>31362</v>
      </c>
      <c r="G6267" t="s">
        <v>31368</v>
      </c>
      <c r="H6267" t="s">
        <v>15799</v>
      </c>
      <c r="I6267" t="s">
        <v>3815</v>
      </c>
      <c r="J6267" t="s">
        <v>35418</v>
      </c>
      <c r="K6267" t="s">
        <v>40682</v>
      </c>
      <c r="M6267" t="s">
        <v>42976</v>
      </c>
      <c r="N6267" t="s">
        <v>44905</v>
      </c>
      <c r="O6267" t="s">
        <v>44906</v>
      </c>
      <c r="P6267">
        <v>0</v>
      </c>
      <c r="Q6267">
        <v>0</v>
      </c>
      <c r="R6267" t="s">
        <v>44909</v>
      </c>
      <c r="S6267" t="s">
        <v>45060</v>
      </c>
      <c r="T6267" t="s">
        <v>46435</v>
      </c>
      <c r="U6267" t="s">
        <v>51826</v>
      </c>
      <c r="W6267" t="s">
        <v>42976</v>
      </c>
      <c r="X6267" t="s">
        <v>44910</v>
      </c>
    </row>
    <row r="6268" spans="1:24">
      <c r="A6268">
        <f>HYPERLINK("https://www.philgeps.gov.ph/GEPSNONPILOT/Tender/SplashBidNoticeAbstractUI.aspx?menuIndex=3&amp;refID=7077720&amp;Result=3","7077720")</f>
        <v>0</v>
      </c>
      <c r="B6268" t="s">
        <v>232</v>
      </c>
      <c r="C6268" t="s">
        <v>9501</v>
      </c>
      <c r="D6268" t="s">
        <v>18101</v>
      </c>
      <c r="E6268" t="s">
        <v>23777</v>
      </c>
      <c r="F6268" t="s">
        <v>31362</v>
      </c>
      <c r="G6268" t="s">
        <v>31368</v>
      </c>
      <c r="H6268" t="s">
        <v>15799</v>
      </c>
      <c r="I6268" t="s">
        <v>31430</v>
      </c>
      <c r="J6268" t="s">
        <v>33049</v>
      </c>
      <c r="K6268" t="s">
        <v>40661</v>
      </c>
      <c r="M6268" t="s">
        <v>41171</v>
      </c>
      <c r="N6268" t="s">
        <v>44905</v>
      </c>
      <c r="O6268" t="s">
        <v>44906</v>
      </c>
      <c r="P6268">
        <v>0</v>
      </c>
      <c r="Q6268">
        <v>0</v>
      </c>
      <c r="R6268" t="s">
        <v>44909</v>
      </c>
      <c r="S6268" t="s">
        <v>45060</v>
      </c>
      <c r="T6268" t="s">
        <v>46409</v>
      </c>
      <c r="U6268" t="s">
        <v>52018</v>
      </c>
      <c r="W6268" t="s">
        <v>41171</v>
      </c>
      <c r="X6268" t="s">
        <v>44910</v>
      </c>
    </row>
    <row r="6269" spans="1:24">
      <c r="A6269">
        <f>HYPERLINK("https://www.philgeps.gov.ph/GEPSNONPILOT/Tender/SplashBidNoticeAbstractUI.aspx?menuIndex=3&amp;refID=7077703&amp;Result=3","7077703")</f>
        <v>0</v>
      </c>
      <c r="B6269" t="s">
        <v>1978</v>
      </c>
      <c r="C6269" t="s">
        <v>9502</v>
      </c>
      <c r="D6269" t="s">
        <v>18110</v>
      </c>
      <c r="E6269" t="s">
        <v>18688</v>
      </c>
      <c r="F6269" t="s">
        <v>31362</v>
      </c>
      <c r="G6269" t="s">
        <v>31369</v>
      </c>
      <c r="H6269" t="s">
        <v>15799</v>
      </c>
      <c r="I6269" t="s">
        <v>31427</v>
      </c>
      <c r="J6269" t="s">
        <v>35419</v>
      </c>
      <c r="K6269" t="s">
        <v>40697</v>
      </c>
      <c r="M6269" t="s">
        <v>43086</v>
      </c>
      <c r="N6269" t="s">
        <v>44905</v>
      </c>
      <c r="O6269" t="s">
        <v>44906</v>
      </c>
      <c r="P6269">
        <v>0</v>
      </c>
      <c r="Q6269">
        <v>0</v>
      </c>
      <c r="R6269" t="s">
        <v>44909</v>
      </c>
      <c r="S6269" t="s">
        <v>45060</v>
      </c>
      <c r="T6269" t="s">
        <v>46427</v>
      </c>
      <c r="U6269" t="s">
        <v>52019</v>
      </c>
      <c r="W6269" t="s">
        <v>43086</v>
      </c>
      <c r="X6269" t="s">
        <v>44910</v>
      </c>
    </row>
    <row r="6270" spans="1:24">
      <c r="A6270">
        <f>HYPERLINK("https://www.philgeps.gov.ph/GEPSNONPILOT/Tender/SplashBidNoticeAbstractUI.aspx?menuIndex=3&amp;refID=7077719&amp;Result=3","7077719")</f>
        <v>0</v>
      </c>
      <c r="B6270" t="s">
        <v>1970</v>
      </c>
      <c r="C6270" t="s">
        <v>9503</v>
      </c>
      <c r="D6270" t="s">
        <v>18106</v>
      </c>
      <c r="E6270" t="s">
        <v>23778</v>
      </c>
      <c r="F6270" t="s">
        <v>31362</v>
      </c>
      <c r="G6270" t="s">
        <v>31368</v>
      </c>
      <c r="H6270" t="s">
        <v>15799</v>
      </c>
      <c r="I6270" t="s">
        <v>3815</v>
      </c>
      <c r="J6270" t="s">
        <v>35420</v>
      </c>
      <c r="K6270" t="s">
        <v>40697</v>
      </c>
      <c r="M6270" t="s">
        <v>43077</v>
      </c>
      <c r="N6270" t="s">
        <v>44905</v>
      </c>
      <c r="O6270" t="s">
        <v>44906</v>
      </c>
      <c r="P6270">
        <v>0</v>
      </c>
      <c r="Q6270">
        <v>0</v>
      </c>
      <c r="R6270" t="s">
        <v>44909</v>
      </c>
      <c r="S6270" t="s">
        <v>45060</v>
      </c>
      <c r="T6270" t="s">
        <v>46454</v>
      </c>
      <c r="U6270" t="s">
        <v>52020</v>
      </c>
      <c r="W6270" t="s">
        <v>43077</v>
      </c>
      <c r="X6270" t="s">
        <v>44910</v>
      </c>
    </row>
    <row r="6271" spans="1:24">
      <c r="A6271">
        <f>HYPERLINK("https://www.philgeps.gov.ph/GEPSNONPILOT/Tender/SplashBidNoticeAbstractUI.aspx?menuIndex=3&amp;refID=7077717&amp;Result=3","7077717")</f>
        <v>0</v>
      </c>
      <c r="B6271" t="s">
        <v>1976</v>
      </c>
      <c r="C6271" t="s">
        <v>9504</v>
      </c>
      <c r="D6271" t="s">
        <v>18116</v>
      </c>
      <c r="E6271" t="s">
        <v>23779</v>
      </c>
      <c r="F6271" t="s">
        <v>31363</v>
      </c>
      <c r="G6271" t="s">
        <v>31370</v>
      </c>
      <c r="H6271" t="s">
        <v>15799</v>
      </c>
      <c r="I6271" t="s">
        <v>7090</v>
      </c>
      <c r="J6271" t="s">
        <v>33017</v>
      </c>
      <c r="K6271" t="s">
        <v>40693</v>
      </c>
      <c r="M6271" t="s">
        <v>43084</v>
      </c>
      <c r="N6271" t="s">
        <v>44905</v>
      </c>
      <c r="O6271" t="s">
        <v>44906</v>
      </c>
      <c r="P6271">
        <v>0</v>
      </c>
      <c r="Q6271">
        <v>0</v>
      </c>
      <c r="R6271" t="s">
        <v>44909</v>
      </c>
      <c r="S6271" t="s">
        <v>45060</v>
      </c>
      <c r="T6271" t="s">
        <v>46414</v>
      </c>
      <c r="U6271" t="s">
        <v>52021</v>
      </c>
      <c r="W6271" t="s">
        <v>43084</v>
      </c>
      <c r="X6271" t="s">
        <v>44910</v>
      </c>
    </row>
    <row r="6272" spans="1:24">
      <c r="A6272">
        <f>HYPERLINK("https://www.philgeps.gov.ph/GEPSNONPILOT/Tender/SplashBidNoticeAbstractUI.aspx?menuIndex=3&amp;refID=7077714&amp;Result=3","7077714")</f>
        <v>0</v>
      </c>
      <c r="B6272" t="s">
        <v>1057</v>
      </c>
      <c r="C6272" t="s">
        <v>9505</v>
      </c>
      <c r="D6272" t="s">
        <v>18163</v>
      </c>
      <c r="E6272" t="s">
        <v>23780</v>
      </c>
      <c r="F6272" t="s">
        <v>31362</v>
      </c>
      <c r="G6272" t="s">
        <v>31368</v>
      </c>
      <c r="H6272" t="s">
        <v>15799</v>
      </c>
      <c r="I6272" t="s">
        <v>6373</v>
      </c>
      <c r="J6272" t="s">
        <v>35124</v>
      </c>
      <c r="K6272" t="s">
        <v>40670</v>
      </c>
      <c r="M6272" t="s">
        <v>42058</v>
      </c>
      <c r="N6272" t="s">
        <v>44905</v>
      </c>
      <c r="O6272" t="s">
        <v>44906</v>
      </c>
      <c r="P6272">
        <v>0</v>
      </c>
      <c r="Q6272">
        <v>0</v>
      </c>
      <c r="R6272" t="s">
        <v>44909</v>
      </c>
      <c r="S6272" t="s">
        <v>45060</v>
      </c>
      <c r="T6272" t="s">
        <v>46435</v>
      </c>
      <c r="U6272" t="s">
        <v>52004</v>
      </c>
      <c r="V6272" t="s">
        <v>59661</v>
      </c>
      <c r="W6272" t="s">
        <v>42058</v>
      </c>
      <c r="X6272" t="s">
        <v>44910</v>
      </c>
    </row>
    <row r="6273" spans="1:24">
      <c r="A6273">
        <f>HYPERLINK("https://www.philgeps.gov.ph/GEPSNONPILOT/Tender/SplashBidNoticeAbstractUI.aspx?menuIndex=3&amp;refID=7077712&amp;Result=3","7077712")</f>
        <v>0</v>
      </c>
      <c r="B6273" t="s">
        <v>908</v>
      </c>
      <c r="C6273" t="s">
        <v>9506</v>
      </c>
      <c r="D6273" t="s">
        <v>18155</v>
      </c>
      <c r="E6273" t="s">
        <v>23781</v>
      </c>
      <c r="F6273" t="s">
        <v>31362</v>
      </c>
      <c r="G6273" t="s">
        <v>31368</v>
      </c>
      <c r="H6273" t="s">
        <v>15799</v>
      </c>
      <c r="I6273" t="s">
        <v>31455</v>
      </c>
      <c r="J6273" t="s">
        <v>31738</v>
      </c>
      <c r="K6273" t="s">
        <v>40666</v>
      </c>
      <c r="M6273" t="s">
        <v>41979</v>
      </c>
      <c r="N6273" t="s">
        <v>44905</v>
      </c>
      <c r="O6273" t="s">
        <v>44906</v>
      </c>
      <c r="P6273">
        <v>0</v>
      </c>
      <c r="Q6273">
        <v>1</v>
      </c>
      <c r="R6273" t="s">
        <v>44909</v>
      </c>
      <c r="S6273" t="s">
        <v>45060</v>
      </c>
      <c r="T6273" t="s">
        <v>46503</v>
      </c>
      <c r="U6273" t="s">
        <v>52022</v>
      </c>
      <c r="W6273" t="s">
        <v>41979</v>
      </c>
      <c r="X6273" t="s">
        <v>44910</v>
      </c>
    </row>
    <row r="6274" spans="1:24">
      <c r="A6274">
        <f>HYPERLINK("https://www.philgeps.gov.ph/GEPSNONPILOT/Tender/SplashBidNoticeAbstractUI.aspx?menuIndex=3&amp;refID=7077711&amp;Result=3","7077711")</f>
        <v>0</v>
      </c>
      <c r="B6274" t="s">
        <v>1979</v>
      </c>
      <c r="C6274" t="s">
        <v>9507</v>
      </c>
      <c r="D6274" t="s">
        <v>18124</v>
      </c>
      <c r="E6274" t="s">
        <v>23782</v>
      </c>
      <c r="F6274" t="s">
        <v>31362</v>
      </c>
      <c r="G6274" t="s">
        <v>31370</v>
      </c>
      <c r="H6274" t="s">
        <v>15799</v>
      </c>
      <c r="I6274" t="s">
        <v>31427</v>
      </c>
      <c r="J6274" t="s">
        <v>35421</v>
      </c>
      <c r="K6274" t="s">
        <v>40666</v>
      </c>
      <c r="M6274" t="s">
        <v>43087</v>
      </c>
      <c r="N6274" t="s">
        <v>44905</v>
      </c>
      <c r="O6274" t="s">
        <v>44906</v>
      </c>
      <c r="P6274">
        <v>0</v>
      </c>
      <c r="Q6274">
        <v>0</v>
      </c>
      <c r="R6274" t="s">
        <v>44909</v>
      </c>
      <c r="S6274" t="s">
        <v>45060</v>
      </c>
      <c r="T6274" t="s">
        <v>46438</v>
      </c>
      <c r="U6274" t="s">
        <v>52023</v>
      </c>
      <c r="V6274" t="s">
        <v>59662</v>
      </c>
      <c r="W6274" t="s">
        <v>43087</v>
      </c>
      <c r="X6274" t="s">
        <v>44910</v>
      </c>
    </row>
    <row r="6275" spans="1:24">
      <c r="A6275">
        <f>HYPERLINK("https://www.philgeps.gov.ph/GEPSNONPILOT/Tender/SplashBidNoticeAbstractUI.aspx?menuIndex=3&amp;refID=7077710&amp;Result=3","7077710")</f>
        <v>0</v>
      </c>
      <c r="B6275" t="s">
        <v>1863</v>
      </c>
      <c r="C6275" t="s">
        <v>9508</v>
      </c>
      <c r="D6275" t="s">
        <v>18122</v>
      </c>
      <c r="E6275" t="s">
        <v>20667</v>
      </c>
      <c r="F6275" t="s">
        <v>31362</v>
      </c>
      <c r="G6275" t="s">
        <v>31368</v>
      </c>
      <c r="H6275" t="s">
        <v>15799</v>
      </c>
      <c r="I6275" t="s">
        <v>31465</v>
      </c>
      <c r="J6275" t="s">
        <v>31983</v>
      </c>
      <c r="K6275" t="s">
        <v>40665</v>
      </c>
      <c r="M6275" t="s">
        <v>42953</v>
      </c>
      <c r="N6275" t="s">
        <v>44905</v>
      </c>
      <c r="O6275" t="s">
        <v>44906</v>
      </c>
      <c r="P6275">
        <v>0</v>
      </c>
      <c r="Q6275">
        <v>0</v>
      </c>
      <c r="R6275" t="s">
        <v>44909</v>
      </c>
      <c r="S6275" t="s">
        <v>45060</v>
      </c>
      <c r="T6275" t="s">
        <v>46414</v>
      </c>
      <c r="U6275" t="s">
        <v>52024</v>
      </c>
      <c r="W6275" t="s">
        <v>42953</v>
      </c>
      <c r="X6275" t="s">
        <v>44910</v>
      </c>
    </row>
    <row r="6276" spans="1:24">
      <c r="A6276">
        <f>HYPERLINK("https://www.philgeps.gov.ph/GEPSNONPILOT/Tender/SplashBidNoticeAbstractUI.aspx?menuIndex=3&amp;refID=7077705&amp;Result=3","7077705")</f>
        <v>0</v>
      </c>
      <c r="B6276" t="s">
        <v>1980</v>
      </c>
      <c r="C6276" t="s">
        <v>5662</v>
      </c>
      <c r="D6276" t="s">
        <v>18106</v>
      </c>
      <c r="E6276" t="s">
        <v>23783</v>
      </c>
      <c r="F6276" t="s">
        <v>31362</v>
      </c>
      <c r="G6276" t="s">
        <v>31369</v>
      </c>
      <c r="H6276" t="s">
        <v>31378</v>
      </c>
      <c r="I6276" t="s">
        <v>31386</v>
      </c>
      <c r="J6276" t="s">
        <v>35422</v>
      </c>
      <c r="K6276" t="s">
        <v>40666</v>
      </c>
      <c r="M6276" t="s">
        <v>43088</v>
      </c>
      <c r="N6276" t="s">
        <v>44905</v>
      </c>
      <c r="O6276" t="s">
        <v>44906</v>
      </c>
      <c r="P6276">
        <v>0</v>
      </c>
      <c r="Q6276">
        <v>1</v>
      </c>
      <c r="R6276" t="s">
        <v>44909</v>
      </c>
      <c r="S6276" t="s">
        <v>45060</v>
      </c>
      <c r="T6276" t="s">
        <v>46470</v>
      </c>
      <c r="U6276" t="s">
        <v>52025</v>
      </c>
      <c r="W6276" t="s">
        <v>43088</v>
      </c>
      <c r="X6276" t="s">
        <v>44910</v>
      </c>
    </row>
    <row r="6277" spans="1:24">
      <c r="A6277">
        <f>HYPERLINK("https://www.philgeps.gov.ph/GEPSNONPILOT/Tender/SplashBidNoticeAbstractUI.aspx?menuIndex=3&amp;refID=7077724&amp;Result=3","7077724")</f>
        <v>0</v>
      </c>
      <c r="B6277" t="s">
        <v>686</v>
      </c>
      <c r="C6277" t="s">
        <v>9509</v>
      </c>
      <c r="D6277" t="s">
        <v>18115</v>
      </c>
      <c r="E6277" t="s">
        <v>23784</v>
      </c>
      <c r="F6277" t="s">
        <v>31362</v>
      </c>
      <c r="G6277" t="s">
        <v>31368</v>
      </c>
      <c r="H6277" t="s">
        <v>31378</v>
      </c>
      <c r="I6277" t="s">
        <v>3582</v>
      </c>
      <c r="J6277" t="s">
        <v>35423</v>
      </c>
      <c r="K6277" t="s">
        <v>40814</v>
      </c>
      <c r="M6277" t="s">
        <v>41648</v>
      </c>
      <c r="N6277" t="s">
        <v>44905</v>
      </c>
      <c r="O6277" t="s">
        <v>44906</v>
      </c>
      <c r="P6277">
        <v>0</v>
      </c>
      <c r="Q6277">
        <v>2</v>
      </c>
      <c r="R6277" t="s">
        <v>44909</v>
      </c>
      <c r="S6277" t="s">
        <v>45060</v>
      </c>
      <c r="T6277" t="s">
        <v>46483</v>
      </c>
      <c r="U6277" t="s">
        <v>52026</v>
      </c>
      <c r="W6277" t="s">
        <v>41648</v>
      </c>
      <c r="X6277" t="s">
        <v>44910</v>
      </c>
    </row>
    <row r="6278" spans="1:24">
      <c r="A6278">
        <f>HYPERLINK("https://www.philgeps.gov.ph/GEPSNONPILOT/Tender/SplashBidNoticeAbstractUI.aspx?menuIndex=3&amp;refID=7077698&amp;Result=3","7077698")</f>
        <v>0</v>
      </c>
      <c r="B6278" t="s">
        <v>786</v>
      </c>
      <c r="C6278" t="s">
        <v>9510</v>
      </c>
      <c r="D6278" t="s">
        <v>18108</v>
      </c>
      <c r="E6278" t="s">
        <v>23785</v>
      </c>
      <c r="F6278" t="s">
        <v>31362</v>
      </c>
      <c r="G6278" t="s">
        <v>31368</v>
      </c>
      <c r="H6278" t="s">
        <v>15799</v>
      </c>
      <c r="I6278" t="s">
        <v>7719</v>
      </c>
      <c r="J6278" t="s">
        <v>31536</v>
      </c>
      <c r="K6278" t="s">
        <v>40665</v>
      </c>
      <c r="M6278" t="s">
        <v>41756</v>
      </c>
      <c r="N6278" t="s">
        <v>44905</v>
      </c>
      <c r="O6278" t="s">
        <v>44906</v>
      </c>
      <c r="P6278">
        <v>0</v>
      </c>
      <c r="Q6278">
        <v>4</v>
      </c>
      <c r="R6278" t="s">
        <v>44909</v>
      </c>
      <c r="S6278" t="s">
        <v>45060</v>
      </c>
      <c r="T6278" t="s">
        <v>46414</v>
      </c>
      <c r="U6278" t="s">
        <v>48500</v>
      </c>
      <c r="W6278" t="s">
        <v>41756</v>
      </c>
      <c r="X6278" t="s">
        <v>44910</v>
      </c>
    </row>
    <row r="6279" spans="1:24">
      <c r="A6279">
        <f>HYPERLINK("https://www.philgeps.gov.ph/GEPSNONPILOT/Tender/SplashBidNoticeAbstractUI.aspx?menuIndex=3&amp;refID=7077716&amp;Result=3","7077716")</f>
        <v>0</v>
      </c>
      <c r="B6279" t="s">
        <v>1051</v>
      </c>
      <c r="C6279" t="s">
        <v>9511</v>
      </c>
      <c r="D6279" t="s">
        <v>18116</v>
      </c>
      <c r="E6279" t="s">
        <v>23786</v>
      </c>
      <c r="F6279" t="s">
        <v>31362</v>
      </c>
      <c r="G6279" t="s">
        <v>31368</v>
      </c>
      <c r="H6279" t="s">
        <v>15799</v>
      </c>
      <c r="I6279" t="s">
        <v>7719</v>
      </c>
      <c r="J6279" t="s">
        <v>33310</v>
      </c>
      <c r="K6279" t="s">
        <v>40662</v>
      </c>
      <c r="M6279" t="s">
        <v>42052</v>
      </c>
      <c r="N6279" t="s">
        <v>44905</v>
      </c>
      <c r="O6279" t="s">
        <v>44906</v>
      </c>
      <c r="P6279">
        <v>0</v>
      </c>
      <c r="Q6279">
        <v>1</v>
      </c>
      <c r="R6279" t="s">
        <v>44909</v>
      </c>
      <c r="S6279" t="s">
        <v>45060</v>
      </c>
      <c r="T6279" t="s">
        <v>46394</v>
      </c>
      <c r="U6279" t="s">
        <v>52027</v>
      </c>
      <c r="W6279" t="s">
        <v>42052</v>
      </c>
      <c r="X6279" t="s">
        <v>44910</v>
      </c>
    </row>
    <row r="6280" spans="1:24">
      <c r="A6280">
        <f>HYPERLINK("https://www.philgeps.gov.ph/GEPSNONPILOT/Tender/SplashBidNoticeAbstractUI.aspx?menuIndex=3&amp;refID=7077721&amp;Result=3","7077721")</f>
        <v>0</v>
      </c>
      <c r="B6280" t="s">
        <v>1929</v>
      </c>
      <c r="C6280" t="s">
        <v>9512</v>
      </c>
      <c r="D6280" t="s">
        <v>18174</v>
      </c>
      <c r="E6280" t="s">
        <v>18421</v>
      </c>
      <c r="F6280" t="s">
        <v>31362</v>
      </c>
      <c r="G6280" t="s">
        <v>31369</v>
      </c>
      <c r="H6280" t="s">
        <v>15799</v>
      </c>
      <c r="I6280" t="s">
        <v>31421</v>
      </c>
      <c r="J6280" t="s">
        <v>31734</v>
      </c>
      <c r="K6280" t="s">
        <v>40677</v>
      </c>
      <c r="M6280" t="s">
        <v>43027</v>
      </c>
      <c r="N6280" t="s">
        <v>44905</v>
      </c>
      <c r="O6280" t="s">
        <v>44906</v>
      </c>
      <c r="P6280">
        <v>0</v>
      </c>
      <c r="Q6280">
        <v>2</v>
      </c>
      <c r="R6280" t="s">
        <v>44909</v>
      </c>
      <c r="S6280" t="s">
        <v>45060</v>
      </c>
      <c r="T6280" t="s">
        <v>46559</v>
      </c>
      <c r="U6280" t="s">
        <v>52028</v>
      </c>
      <c r="W6280" t="s">
        <v>43027</v>
      </c>
      <c r="X6280" t="s">
        <v>44910</v>
      </c>
    </row>
    <row r="6281" spans="1:24">
      <c r="A6281">
        <f>HYPERLINK("https://www.philgeps.gov.ph/GEPSNONPILOT/Tender/SplashBidNoticeAbstractUI.aspx?menuIndex=3&amp;refID=7077741&amp;Result=3","7077741")</f>
        <v>0</v>
      </c>
      <c r="B6281" t="s">
        <v>330</v>
      </c>
      <c r="C6281" t="s">
        <v>9513</v>
      </c>
      <c r="D6281" t="s">
        <v>18154</v>
      </c>
      <c r="E6281" t="s">
        <v>23787</v>
      </c>
      <c r="F6281" t="s">
        <v>31362</v>
      </c>
      <c r="G6281" t="s">
        <v>31368</v>
      </c>
      <c r="H6281" t="s">
        <v>15799</v>
      </c>
      <c r="I6281" t="s">
        <v>31380</v>
      </c>
      <c r="J6281" t="s">
        <v>35424</v>
      </c>
      <c r="K6281" t="s">
        <v>40670</v>
      </c>
      <c r="M6281" t="s">
        <v>41276</v>
      </c>
      <c r="N6281" t="s">
        <v>44905</v>
      </c>
      <c r="O6281" t="s">
        <v>44906</v>
      </c>
      <c r="P6281">
        <v>0</v>
      </c>
      <c r="Q6281">
        <v>2</v>
      </c>
      <c r="R6281" t="s">
        <v>44909</v>
      </c>
      <c r="S6281" t="s">
        <v>45060</v>
      </c>
      <c r="T6281" t="s">
        <v>46414</v>
      </c>
      <c r="U6281" t="s">
        <v>52029</v>
      </c>
      <c r="W6281" t="s">
        <v>41276</v>
      </c>
      <c r="X6281" t="s">
        <v>44910</v>
      </c>
    </row>
    <row r="6282" spans="1:24">
      <c r="A6282">
        <f>HYPERLINK("https://www.philgeps.gov.ph/GEPSNONPILOT/Tender/SplashBidNoticeAbstractUI.aspx?menuIndex=3&amp;refID=7077738&amp;Result=3","7077738")</f>
        <v>0</v>
      </c>
      <c r="B6282" t="s">
        <v>1981</v>
      </c>
      <c r="C6282" t="s">
        <v>9514</v>
      </c>
      <c r="D6282" t="s">
        <v>18117</v>
      </c>
      <c r="E6282" t="s">
        <v>18464</v>
      </c>
      <c r="F6282" t="s">
        <v>31362</v>
      </c>
      <c r="G6282" t="s">
        <v>31369</v>
      </c>
      <c r="H6282" t="s">
        <v>15799</v>
      </c>
      <c r="I6282" t="s">
        <v>3815</v>
      </c>
      <c r="J6282" t="s">
        <v>35425</v>
      </c>
      <c r="K6282" t="s">
        <v>40682</v>
      </c>
      <c r="M6282" t="s">
        <v>43089</v>
      </c>
      <c r="N6282" t="s">
        <v>44905</v>
      </c>
      <c r="O6282" t="s">
        <v>44906</v>
      </c>
      <c r="P6282">
        <v>0</v>
      </c>
      <c r="Q6282">
        <v>0</v>
      </c>
      <c r="R6282" t="s">
        <v>44909</v>
      </c>
      <c r="S6282" t="s">
        <v>45060</v>
      </c>
      <c r="T6282" t="s">
        <v>46503</v>
      </c>
      <c r="U6282" t="s">
        <v>52030</v>
      </c>
      <c r="W6282" t="s">
        <v>43089</v>
      </c>
      <c r="X6282" t="s">
        <v>44910</v>
      </c>
    </row>
    <row r="6283" spans="1:24">
      <c r="A6283">
        <f>HYPERLINK("https://www.philgeps.gov.ph/GEPSNONPILOT/Tender/SplashBidNoticeAbstractUI.aspx?menuIndex=3&amp;refID=7077736&amp;Result=3","7077736")</f>
        <v>0</v>
      </c>
      <c r="B6283" t="s">
        <v>1982</v>
      </c>
      <c r="C6283" t="s">
        <v>9515</v>
      </c>
      <c r="D6283" t="s">
        <v>18103</v>
      </c>
      <c r="E6283" t="s">
        <v>23788</v>
      </c>
      <c r="F6283" t="s">
        <v>31362</v>
      </c>
      <c r="G6283" t="s">
        <v>31369</v>
      </c>
      <c r="H6283" t="s">
        <v>31378</v>
      </c>
      <c r="I6283" t="s">
        <v>31386</v>
      </c>
      <c r="J6283" t="s">
        <v>35426</v>
      </c>
      <c r="K6283" t="s">
        <v>40691</v>
      </c>
      <c r="M6283" t="s">
        <v>43090</v>
      </c>
      <c r="N6283" t="s">
        <v>44905</v>
      </c>
      <c r="O6283" t="s">
        <v>44906</v>
      </c>
      <c r="P6283">
        <v>0</v>
      </c>
      <c r="Q6283">
        <v>4</v>
      </c>
      <c r="R6283" t="s">
        <v>44909</v>
      </c>
      <c r="S6283" t="s">
        <v>45060</v>
      </c>
      <c r="T6283" t="s">
        <v>46511</v>
      </c>
      <c r="U6283" t="s">
        <v>52031</v>
      </c>
      <c r="W6283" t="s">
        <v>43090</v>
      </c>
      <c r="X6283" t="s">
        <v>44910</v>
      </c>
    </row>
    <row r="6284" spans="1:24">
      <c r="A6284">
        <f>HYPERLINK("https://www.philgeps.gov.ph/GEPSNONPILOT/Tender/SplashBidNoticeAbstractUI.aspx?menuIndex=3&amp;refID=7077735&amp;Result=3","7077735")</f>
        <v>0</v>
      </c>
      <c r="B6284" t="s">
        <v>1961</v>
      </c>
      <c r="C6284" t="s">
        <v>4141</v>
      </c>
      <c r="D6284" t="s">
        <v>18122</v>
      </c>
      <c r="E6284" t="s">
        <v>23789</v>
      </c>
      <c r="F6284" t="s">
        <v>31362</v>
      </c>
      <c r="G6284" t="s">
        <v>31370</v>
      </c>
      <c r="H6284" t="s">
        <v>15799</v>
      </c>
      <c r="I6284" t="s">
        <v>7719</v>
      </c>
      <c r="J6284" t="s">
        <v>35427</v>
      </c>
      <c r="K6284" t="s">
        <v>40666</v>
      </c>
      <c r="M6284" t="s">
        <v>43067</v>
      </c>
      <c r="N6284" t="s">
        <v>44905</v>
      </c>
      <c r="O6284" t="s">
        <v>44906</v>
      </c>
      <c r="P6284">
        <v>0</v>
      </c>
      <c r="Q6284">
        <v>12</v>
      </c>
      <c r="R6284" t="s">
        <v>44909</v>
      </c>
      <c r="S6284" t="s">
        <v>45060</v>
      </c>
      <c r="T6284" t="s">
        <v>46443</v>
      </c>
      <c r="U6284" t="s">
        <v>52032</v>
      </c>
      <c r="W6284" t="s">
        <v>43067</v>
      </c>
      <c r="X6284" t="s">
        <v>44910</v>
      </c>
    </row>
    <row r="6285" spans="1:24">
      <c r="A6285">
        <f>HYPERLINK("https://www.philgeps.gov.ph/GEPSNONPILOT/Tender/SplashBidNoticeAbstractUI.aspx?menuIndex=3&amp;refID=7077746&amp;Result=3","7077746")</f>
        <v>0</v>
      </c>
      <c r="B6285" t="s">
        <v>207</v>
      </c>
      <c r="C6285" t="s">
        <v>9516</v>
      </c>
      <c r="D6285" t="s">
        <v>18127</v>
      </c>
      <c r="E6285" t="s">
        <v>23790</v>
      </c>
      <c r="F6285" t="s">
        <v>31362</v>
      </c>
      <c r="G6285" t="s">
        <v>31368</v>
      </c>
      <c r="H6285" t="s">
        <v>15799</v>
      </c>
      <c r="I6285" t="s">
        <v>31428</v>
      </c>
      <c r="J6285" t="s">
        <v>31687</v>
      </c>
      <c r="K6285" t="s">
        <v>40662</v>
      </c>
      <c r="M6285" t="s">
        <v>41146</v>
      </c>
      <c r="N6285" t="s">
        <v>44905</v>
      </c>
      <c r="O6285" t="s">
        <v>44906</v>
      </c>
      <c r="P6285">
        <v>0</v>
      </c>
      <c r="Q6285">
        <v>4</v>
      </c>
      <c r="R6285" t="s">
        <v>44909</v>
      </c>
      <c r="S6285" t="s">
        <v>45060</v>
      </c>
      <c r="T6285" t="s">
        <v>46438</v>
      </c>
      <c r="U6285" t="s">
        <v>52033</v>
      </c>
      <c r="W6285" t="s">
        <v>41146</v>
      </c>
      <c r="X6285" t="s">
        <v>44910</v>
      </c>
    </row>
    <row r="6286" spans="1:24">
      <c r="A6286">
        <f>HYPERLINK("https://www.philgeps.gov.ph/GEPSNONPILOT/Tender/SplashBidNoticeAbstractUI.aspx?menuIndex=3&amp;refID=7077709&amp;Result=3","7077709")</f>
        <v>0</v>
      </c>
      <c r="B6286" t="s">
        <v>1883</v>
      </c>
      <c r="C6286" t="s">
        <v>9517</v>
      </c>
      <c r="D6286" t="s">
        <v>18108</v>
      </c>
      <c r="E6286" t="s">
        <v>23791</v>
      </c>
      <c r="F6286" t="s">
        <v>31362</v>
      </c>
      <c r="G6286" t="s">
        <v>31368</v>
      </c>
      <c r="H6286" t="s">
        <v>15799</v>
      </c>
      <c r="I6286" t="s">
        <v>3815</v>
      </c>
      <c r="J6286" t="s">
        <v>35428</v>
      </c>
      <c r="K6286" t="s">
        <v>40682</v>
      </c>
      <c r="M6286" t="s">
        <v>42976</v>
      </c>
      <c r="N6286" t="s">
        <v>44905</v>
      </c>
      <c r="O6286" t="s">
        <v>44906</v>
      </c>
      <c r="P6286">
        <v>0</v>
      </c>
      <c r="Q6286">
        <v>0</v>
      </c>
      <c r="R6286" t="s">
        <v>44909</v>
      </c>
      <c r="S6286" t="s">
        <v>45060</v>
      </c>
      <c r="T6286" t="s">
        <v>46435</v>
      </c>
      <c r="U6286" t="s">
        <v>51826</v>
      </c>
      <c r="W6286" t="s">
        <v>42976</v>
      </c>
      <c r="X6286" t="s">
        <v>44910</v>
      </c>
    </row>
    <row r="6287" spans="1:24">
      <c r="A6287">
        <f>HYPERLINK("https://www.philgeps.gov.ph/GEPSNONPILOT/Tender/SplashBidNoticeAbstractUI.aspx?menuIndex=3&amp;refID=7077725&amp;Result=3","7077725")</f>
        <v>0</v>
      </c>
      <c r="B6287" t="s">
        <v>1945</v>
      </c>
      <c r="C6287" t="s">
        <v>9518</v>
      </c>
      <c r="D6287" t="s">
        <v>18110</v>
      </c>
      <c r="E6287" t="s">
        <v>23792</v>
      </c>
      <c r="F6287" t="s">
        <v>31362</v>
      </c>
      <c r="G6287" t="s">
        <v>31369</v>
      </c>
      <c r="H6287" t="s">
        <v>31378</v>
      </c>
      <c r="I6287" t="s">
        <v>3815</v>
      </c>
      <c r="J6287" t="s">
        <v>35429</v>
      </c>
      <c r="K6287" t="s">
        <v>40666</v>
      </c>
      <c r="M6287" t="s">
        <v>43050</v>
      </c>
      <c r="N6287" t="s">
        <v>44905</v>
      </c>
      <c r="O6287" t="s">
        <v>44906</v>
      </c>
      <c r="P6287">
        <v>0</v>
      </c>
      <c r="Q6287">
        <v>1</v>
      </c>
      <c r="R6287" t="s">
        <v>44909</v>
      </c>
      <c r="S6287" t="s">
        <v>45060</v>
      </c>
      <c r="T6287" t="s">
        <v>46549</v>
      </c>
      <c r="U6287" t="s">
        <v>52034</v>
      </c>
      <c r="V6287" t="s">
        <v>59663</v>
      </c>
      <c r="W6287" t="s">
        <v>43050</v>
      </c>
      <c r="X6287" t="s">
        <v>44910</v>
      </c>
    </row>
    <row r="6288" spans="1:24">
      <c r="A6288">
        <f>HYPERLINK("https://www.philgeps.gov.ph/GEPSNONPILOT/Tender/SplashBidNoticeAbstractUI.aspx?menuIndex=3&amp;refID=7077744&amp;Result=3","7077744")</f>
        <v>0</v>
      </c>
      <c r="B6288" t="s">
        <v>1983</v>
      </c>
      <c r="C6288" t="s">
        <v>9519</v>
      </c>
      <c r="D6288" t="s">
        <v>18100</v>
      </c>
      <c r="E6288" t="s">
        <v>23793</v>
      </c>
      <c r="F6288" t="s">
        <v>31362</v>
      </c>
      <c r="G6288" t="s">
        <v>31368</v>
      </c>
      <c r="H6288" t="s">
        <v>15799</v>
      </c>
      <c r="I6288" t="s">
        <v>3815</v>
      </c>
      <c r="J6288" t="s">
        <v>32101</v>
      </c>
      <c r="K6288" t="s">
        <v>40665</v>
      </c>
      <c r="M6288" t="s">
        <v>43091</v>
      </c>
      <c r="N6288" t="s">
        <v>44905</v>
      </c>
      <c r="O6288" t="s">
        <v>44906</v>
      </c>
      <c r="P6288">
        <v>0</v>
      </c>
      <c r="Q6288">
        <v>0</v>
      </c>
      <c r="R6288" t="s">
        <v>44909</v>
      </c>
      <c r="S6288" t="s">
        <v>45060</v>
      </c>
      <c r="T6288" t="s">
        <v>46412</v>
      </c>
      <c r="U6288" t="s">
        <v>52035</v>
      </c>
      <c r="V6288" t="s">
        <v>59664</v>
      </c>
      <c r="W6288" t="s">
        <v>43091</v>
      </c>
      <c r="X6288" t="s">
        <v>44910</v>
      </c>
    </row>
    <row r="6289" spans="1:24">
      <c r="A6289">
        <f>HYPERLINK("https://www.philgeps.gov.ph/GEPSNONPILOT/Tender/SplashBidNoticeAbstractUI.aspx?menuIndex=3&amp;refID=7077743&amp;Result=3","7077743")</f>
        <v>0</v>
      </c>
      <c r="B6289" t="s">
        <v>1529</v>
      </c>
      <c r="C6289" t="s">
        <v>9520</v>
      </c>
      <c r="D6289" t="s">
        <v>18134</v>
      </c>
      <c r="E6289" t="s">
        <v>23794</v>
      </c>
      <c r="F6289" t="s">
        <v>31362</v>
      </c>
      <c r="G6289" t="s">
        <v>31369</v>
      </c>
      <c r="H6289" t="s">
        <v>15799</v>
      </c>
      <c r="I6289" t="s">
        <v>7188</v>
      </c>
      <c r="J6289" t="s">
        <v>32127</v>
      </c>
      <c r="K6289" t="s">
        <v>40665</v>
      </c>
      <c r="M6289" t="s">
        <v>42574</v>
      </c>
      <c r="N6289" t="s">
        <v>44905</v>
      </c>
      <c r="O6289" t="s">
        <v>44906</v>
      </c>
      <c r="P6289">
        <v>0</v>
      </c>
      <c r="Q6289">
        <v>5</v>
      </c>
      <c r="R6289" t="s">
        <v>44909</v>
      </c>
      <c r="S6289" t="s">
        <v>45060</v>
      </c>
      <c r="T6289" t="s">
        <v>46607</v>
      </c>
      <c r="U6289" t="s">
        <v>52036</v>
      </c>
      <c r="V6289" t="s">
        <v>59162</v>
      </c>
      <c r="W6289" t="s">
        <v>42574</v>
      </c>
      <c r="X6289" t="s">
        <v>44910</v>
      </c>
    </row>
    <row r="6290" spans="1:24">
      <c r="A6290">
        <f>HYPERLINK("https://www.philgeps.gov.ph/GEPSNONPILOT/Tender/SplashBidNoticeAbstractUI.aspx?menuIndex=3&amp;refID=7077742&amp;Result=3","7077742")</f>
        <v>0</v>
      </c>
      <c r="B6290" t="s">
        <v>1883</v>
      </c>
      <c r="C6290" t="s">
        <v>9521</v>
      </c>
      <c r="D6290" t="s">
        <v>18108</v>
      </c>
      <c r="E6290" t="s">
        <v>23795</v>
      </c>
      <c r="F6290" t="s">
        <v>31362</v>
      </c>
      <c r="G6290" t="s">
        <v>31369</v>
      </c>
      <c r="H6290" t="s">
        <v>15799</v>
      </c>
      <c r="I6290" t="s">
        <v>3815</v>
      </c>
      <c r="J6290" t="s">
        <v>35430</v>
      </c>
      <c r="K6290" t="s">
        <v>40682</v>
      </c>
      <c r="M6290" t="s">
        <v>42976</v>
      </c>
      <c r="N6290" t="s">
        <v>44905</v>
      </c>
      <c r="O6290" t="s">
        <v>44906</v>
      </c>
      <c r="P6290">
        <v>0</v>
      </c>
      <c r="Q6290">
        <v>0</v>
      </c>
      <c r="R6290" t="s">
        <v>44909</v>
      </c>
      <c r="S6290" t="s">
        <v>45060</v>
      </c>
      <c r="T6290" t="s">
        <v>46449</v>
      </c>
      <c r="U6290" t="s">
        <v>52037</v>
      </c>
      <c r="W6290" t="s">
        <v>42976</v>
      </c>
      <c r="X6290" t="s">
        <v>44910</v>
      </c>
    </row>
    <row r="6291" spans="1:24">
      <c r="A6291">
        <f>HYPERLINK("https://www.philgeps.gov.ph/GEPSNONPILOT/Tender/SplashBidNoticeAbstractUI.aspx?menuIndex=3&amp;refID=7077731&amp;Result=3","7077731")</f>
        <v>0</v>
      </c>
      <c r="B6291" t="s">
        <v>1984</v>
      </c>
      <c r="C6291" t="s">
        <v>9522</v>
      </c>
      <c r="D6291" t="s">
        <v>18107</v>
      </c>
      <c r="E6291" t="s">
        <v>23796</v>
      </c>
      <c r="F6291" t="s">
        <v>31362</v>
      </c>
      <c r="G6291" t="s">
        <v>31368</v>
      </c>
      <c r="H6291" t="s">
        <v>15799</v>
      </c>
      <c r="I6291" t="s">
        <v>31427</v>
      </c>
      <c r="J6291" t="s">
        <v>35431</v>
      </c>
      <c r="K6291" t="s">
        <v>40665</v>
      </c>
      <c r="M6291" t="s">
        <v>43092</v>
      </c>
      <c r="N6291" t="s">
        <v>44905</v>
      </c>
      <c r="O6291" t="s">
        <v>44906</v>
      </c>
      <c r="P6291">
        <v>0</v>
      </c>
      <c r="Q6291">
        <v>4</v>
      </c>
      <c r="R6291" t="s">
        <v>44909</v>
      </c>
      <c r="S6291" t="s">
        <v>45060</v>
      </c>
      <c r="T6291" t="s">
        <v>46454</v>
      </c>
      <c r="U6291" t="s">
        <v>52038</v>
      </c>
      <c r="W6291" t="s">
        <v>43092</v>
      </c>
      <c r="X6291" t="s">
        <v>44910</v>
      </c>
    </row>
    <row r="6292" spans="1:24">
      <c r="A6292">
        <f>HYPERLINK("https://www.philgeps.gov.ph/GEPSNONPILOT/Tender/SplashBidNoticeAbstractUI.aspx?menuIndex=3&amp;refID=7077747&amp;Result=3","7077747")</f>
        <v>0</v>
      </c>
      <c r="B6292" t="s">
        <v>1974</v>
      </c>
      <c r="C6292" t="s">
        <v>9523</v>
      </c>
      <c r="D6292" t="s">
        <v>18125</v>
      </c>
      <c r="E6292" t="s">
        <v>23750</v>
      </c>
      <c r="F6292" t="s">
        <v>31362</v>
      </c>
      <c r="G6292" t="s">
        <v>31368</v>
      </c>
      <c r="H6292" t="s">
        <v>15799</v>
      </c>
      <c r="I6292" t="s">
        <v>31463</v>
      </c>
      <c r="J6292" t="s">
        <v>32763</v>
      </c>
      <c r="K6292" t="s">
        <v>40662</v>
      </c>
      <c r="M6292" t="s">
        <v>43082</v>
      </c>
      <c r="N6292" t="s">
        <v>44905</v>
      </c>
      <c r="O6292" t="s">
        <v>44906</v>
      </c>
      <c r="P6292">
        <v>0</v>
      </c>
      <c r="Q6292">
        <v>2</v>
      </c>
      <c r="R6292" t="s">
        <v>44909</v>
      </c>
      <c r="S6292" t="s">
        <v>45060</v>
      </c>
      <c r="T6292" t="s">
        <v>46394</v>
      </c>
      <c r="U6292" t="s">
        <v>52039</v>
      </c>
      <c r="W6292" t="s">
        <v>43082</v>
      </c>
      <c r="X6292" t="s">
        <v>44910</v>
      </c>
    </row>
    <row r="6293" spans="1:24">
      <c r="A6293">
        <f>HYPERLINK("https://www.philgeps.gov.ph/GEPSNONPILOT/Tender/SplashBidNoticeAbstractUI.aspx?menuIndex=3&amp;refID=7077728&amp;Result=3","7077728")</f>
        <v>0</v>
      </c>
      <c r="B6293" t="s">
        <v>330</v>
      </c>
      <c r="C6293" t="s">
        <v>9524</v>
      </c>
      <c r="D6293" t="s">
        <v>18154</v>
      </c>
      <c r="E6293" t="s">
        <v>23797</v>
      </c>
      <c r="F6293" t="s">
        <v>31362</v>
      </c>
      <c r="G6293" t="s">
        <v>31368</v>
      </c>
      <c r="H6293" t="s">
        <v>15799</v>
      </c>
      <c r="I6293" t="s">
        <v>3815</v>
      </c>
      <c r="J6293" t="s">
        <v>35432</v>
      </c>
      <c r="K6293" t="s">
        <v>40670</v>
      </c>
      <c r="M6293" t="s">
        <v>41276</v>
      </c>
      <c r="N6293" t="s">
        <v>44905</v>
      </c>
      <c r="O6293" t="s">
        <v>44906</v>
      </c>
      <c r="P6293">
        <v>0</v>
      </c>
      <c r="Q6293">
        <v>0</v>
      </c>
      <c r="R6293" t="s">
        <v>44909</v>
      </c>
      <c r="S6293" t="s">
        <v>45060</v>
      </c>
      <c r="T6293" t="s">
        <v>46409</v>
      </c>
      <c r="U6293" t="s">
        <v>52040</v>
      </c>
      <c r="W6293" t="s">
        <v>41276</v>
      </c>
      <c r="X6293" t="s">
        <v>44910</v>
      </c>
    </row>
    <row r="6294" spans="1:24">
      <c r="A6294">
        <f>HYPERLINK("https://www.philgeps.gov.ph/GEPSNONPILOT/Tender/SplashBidNoticeAbstractUI.aspx?menuIndex=3&amp;refID=7077745&amp;Result=3","7077745")</f>
        <v>0</v>
      </c>
      <c r="B6294" t="s">
        <v>362</v>
      </c>
      <c r="C6294" t="s">
        <v>9525</v>
      </c>
      <c r="D6294" t="s">
        <v>18103</v>
      </c>
      <c r="E6294" t="s">
        <v>23798</v>
      </c>
      <c r="F6294" t="s">
        <v>31362</v>
      </c>
      <c r="G6294" t="s">
        <v>31369</v>
      </c>
      <c r="H6294" t="s">
        <v>31378</v>
      </c>
      <c r="I6294" t="s">
        <v>31386</v>
      </c>
      <c r="J6294" t="s">
        <v>35398</v>
      </c>
      <c r="K6294" t="s">
        <v>40682</v>
      </c>
      <c r="M6294" t="s">
        <v>43093</v>
      </c>
      <c r="N6294" t="s">
        <v>44905</v>
      </c>
      <c r="O6294" t="s">
        <v>44906</v>
      </c>
      <c r="P6294">
        <v>0</v>
      </c>
      <c r="Q6294">
        <v>4</v>
      </c>
      <c r="R6294" t="s">
        <v>44909</v>
      </c>
      <c r="S6294" t="s">
        <v>45060</v>
      </c>
      <c r="T6294" t="s">
        <v>46506</v>
      </c>
      <c r="U6294" t="s">
        <v>47543</v>
      </c>
      <c r="V6294" t="s">
        <v>59658</v>
      </c>
      <c r="W6294" t="s">
        <v>60849</v>
      </c>
      <c r="X6294" t="s">
        <v>44910</v>
      </c>
    </row>
    <row r="6295" spans="1:24">
      <c r="A6295">
        <f>HYPERLINK("https://www.philgeps.gov.ph/GEPSNONPILOT/Tender/SplashBidNoticeAbstractUI.aspx?menuIndex=3&amp;refID=7077700&amp;Result=3","7077700")</f>
        <v>0</v>
      </c>
      <c r="B6295" t="s">
        <v>1961</v>
      </c>
      <c r="C6295" t="s">
        <v>9526</v>
      </c>
      <c r="D6295" t="s">
        <v>18122</v>
      </c>
      <c r="E6295" t="s">
        <v>23799</v>
      </c>
      <c r="F6295" t="s">
        <v>31362</v>
      </c>
      <c r="G6295" t="s">
        <v>31370</v>
      </c>
      <c r="H6295" t="s">
        <v>15799</v>
      </c>
      <c r="I6295" t="s">
        <v>31380</v>
      </c>
      <c r="J6295" t="s">
        <v>35433</v>
      </c>
      <c r="K6295" t="s">
        <v>40666</v>
      </c>
      <c r="M6295" t="s">
        <v>43067</v>
      </c>
      <c r="N6295" t="s">
        <v>44905</v>
      </c>
      <c r="O6295" t="s">
        <v>44906</v>
      </c>
      <c r="P6295">
        <v>0</v>
      </c>
      <c r="Q6295">
        <v>13</v>
      </c>
      <c r="R6295" t="s">
        <v>44909</v>
      </c>
      <c r="S6295" t="s">
        <v>45060</v>
      </c>
      <c r="T6295" t="s">
        <v>46443</v>
      </c>
      <c r="U6295" t="s">
        <v>52041</v>
      </c>
      <c r="W6295" t="s">
        <v>43067</v>
      </c>
      <c r="X6295" t="s">
        <v>44910</v>
      </c>
    </row>
    <row r="6296" spans="1:24">
      <c r="A6296">
        <f>HYPERLINK("https://www.philgeps.gov.ph/GEPSNONPILOT/Tender/SplashBidNoticeAbstractUI.aspx?menuIndex=3&amp;refID=7077734&amp;Result=3","7077734")</f>
        <v>0</v>
      </c>
      <c r="B6296" t="s">
        <v>971</v>
      </c>
      <c r="C6296" t="s">
        <v>9527</v>
      </c>
      <c r="D6296" t="s">
        <v>18166</v>
      </c>
      <c r="E6296" t="s">
        <v>23800</v>
      </c>
      <c r="F6296" t="s">
        <v>31362</v>
      </c>
      <c r="G6296" t="s">
        <v>31369</v>
      </c>
      <c r="H6296" t="s">
        <v>15799</v>
      </c>
      <c r="I6296" t="s">
        <v>31409</v>
      </c>
      <c r="J6296" t="s">
        <v>33482</v>
      </c>
      <c r="K6296" t="s">
        <v>40662</v>
      </c>
      <c r="M6296" t="s">
        <v>41961</v>
      </c>
      <c r="N6296" t="s">
        <v>44905</v>
      </c>
      <c r="O6296" t="s">
        <v>44906</v>
      </c>
      <c r="P6296">
        <v>0</v>
      </c>
      <c r="Q6296">
        <v>4</v>
      </c>
      <c r="R6296" t="s">
        <v>44909</v>
      </c>
      <c r="S6296" t="s">
        <v>45060</v>
      </c>
      <c r="T6296" t="s">
        <v>46559</v>
      </c>
      <c r="U6296" t="s">
        <v>52042</v>
      </c>
      <c r="W6296" t="s">
        <v>41961</v>
      </c>
      <c r="X6296" t="s">
        <v>44910</v>
      </c>
    </row>
    <row r="6297" spans="1:24">
      <c r="A6297">
        <f>HYPERLINK("https://www.philgeps.gov.ph/GEPSNONPILOT/Tender/SplashBidNoticeAbstractUI.aspx?menuIndex=3&amp;refID=7077739&amp;Result=3","7077739")</f>
        <v>0</v>
      </c>
      <c r="B6297" t="s">
        <v>1740</v>
      </c>
      <c r="C6297" t="s">
        <v>9528</v>
      </c>
      <c r="D6297" t="s">
        <v>18164</v>
      </c>
      <c r="E6297" t="s">
        <v>23801</v>
      </c>
      <c r="F6297" t="s">
        <v>31362</v>
      </c>
      <c r="G6297" t="s">
        <v>31370</v>
      </c>
      <c r="H6297" t="s">
        <v>15799</v>
      </c>
      <c r="I6297" t="s">
        <v>31393</v>
      </c>
      <c r="J6297" t="s">
        <v>31564</v>
      </c>
      <c r="K6297" t="s">
        <v>40666</v>
      </c>
      <c r="M6297" t="s">
        <v>42815</v>
      </c>
      <c r="N6297" t="s">
        <v>44905</v>
      </c>
      <c r="O6297" t="s">
        <v>44906</v>
      </c>
      <c r="P6297">
        <v>0</v>
      </c>
      <c r="Q6297">
        <v>0</v>
      </c>
      <c r="R6297" t="s">
        <v>44909</v>
      </c>
      <c r="S6297" t="s">
        <v>45060</v>
      </c>
      <c r="T6297" t="s">
        <v>46411</v>
      </c>
      <c r="U6297" t="s">
        <v>52043</v>
      </c>
      <c r="W6297" t="s">
        <v>42815</v>
      </c>
      <c r="X6297" t="s">
        <v>44910</v>
      </c>
    </row>
    <row r="6298" spans="1:24">
      <c r="A6298">
        <f>HYPERLINK("https://www.philgeps.gov.ph/GEPSNONPILOT/Tender/SplashBidNoticeAbstractUI.aspx?menuIndex=3&amp;refID=7077729&amp;Result=3","7077729")</f>
        <v>0</v>
      </c>
      <c r="B6298" t="s">
        <v>786</v>
      </c>
      <c r="C6298" t="s">
        <v>9529</v>
      </c>
      <c r="D6298" t="s">
        <v>18108</v>
      </c>
      <c r="E6298" t="s">
        <v>23274</v>
      </c>
      <c r="F6298" t="s">
        <v>31362</v>
      </c>
      <c r="G6298" t="s">
        <v>31368</v>
      </c>
      <c r="H6298" t="s">
        <v>15799</v>
      </c>
      <c r="I6298" t="s">
        <v>7719</v>
      </c>
      <c r="J6298" t="s">
        <v>31686</v>
      </c>
      <c r="K6298" t="s">
        <v>40665</v>
      </c>
      <c r="M6298" t="s">
        <v>41756</v>
      </c>
      <c r="N6298" t="s">
        <v>44905</v>
      </c>
      <c r="O6298" t="s">
        <v>44906</v>
      </c>
      <c r="P6298">
        <v>0</v>
      </c>
      <c r="Q6298">
        <v>2</v>
      </c>
      <c r="R6298" t="s">
        <v>44909</v>
      </c>
      <c r="S6298" t="s">
        <v>45060</v>
      </c>
      <c r="T6298" t="s">
        <v>46414</v>
      </c>
      <c r="U6298" t="s">
        <v>48500</v>
      </c>
      <c r="W6298" t="s">
        <v>41756</v>
      </c>
      <c r="X6298" t="s">
        <v>44910</v>
      </c>
    </row>
    <row r="6299" spans="1:24">
      <c r="A6299">
        <f>HYPERLINK("https://www.philgeps.gov.ph/GEPSNONPILOT/Tender/SplashBidNoticeAbstractUI.aspx?menuIndex=3&amp;refID=7077707&amp;Result=3","7077707")</f>
        <v>0</v>
      </c>
      <c r="B6299" t="s">
        <v>369</v>
      </c>
      <c r="C6299" t="s">
        <v>9530</v>
      </c>
      <c r="D6299" t="s">
        <v>18152</v>
      </c>
      <c r="E6299" t="s">
        <v>23802</v>
      </c>
      <c r="F6299" t="s">
        <v>31362</v>
      </c>
      <c r="G6299" t="s">
        <v>31369</v>
      </c>
      <c r="H6299" t="s">
        <v>15799</v>
      </c>
      <c r="I6299" t="s">
        <v>31386</v>
      </c>
      <c r="J6299" t="s">
        <v>31606</v>
      </c>
      <c r="K6299" t="s">
        <v>40679</v>
      </c>
      <c r="M6299" t="s">
        <v>41316</v>
      </c>
      <c r="N6299" t="s">
        <v>44905</v>
      </c>
      <c r="O6299" t="s">
        <v>44906</v>
      </c>
      <c r="P6299">
        <v>0</v>
      </c>
      <c r="Q6299">
        <v>0</v>
      </c>
      <c r="R6299" t="s">
        <v>44909</v>
      </c>
      <c r="S6299" t="s">
        <v>45060</v>
      </c>
      <c r="T6299" t="s">
        <v>46524</v>
      </c>
      <c r="U6299" t="s">
        <v>52044</v>
      </c>
      <c r="W6299" t="s">
        <v>41316</v>
      </c>
      <c r="X6299" t="s">
        <v>44910</v>
      </c>
    </row>
    <row r="6300" spans="1:24">
      <c r="A6300">
        <f>HYPERLINK("https://www.philgeps.gov.ph/GEPSNONPILOT/Tender/SplashBidNoticeAbstractUI.aspx?menuIndex=3&amp;refID=7077784&amp;Result=3","7077784")</f>
        <v>0</v>
      </c>
      <c r="B6300" t="s">
        <v>427</v>
      </c>
      <c r="C6300" t="s">
        <v>9531</v>
      </c>
      <c r="D6300" t="s">
        <v>18119</v>
      </c>
      <c r="E6300" t="s">
        <v>23803</v>
      </c>
      <c r="F6300" t="s">
        <v>31362</v>
      </c>
      <c r="G6300" t="s">
        <v>31369</v>
      </c>
      <c r="H6300" t="s">
        <v>31378</v>
      </c>
      <c r="I6300" t="s">
        <v>31386</v>
      </c>
      <c r="J6300" t="s">
        <v>31606</v>
      </c>
      <c r="K6300" t="s">
        <v>40679</v>
      </c>
      <c r="M6300" t="s">
        <v>41378</v>
      </c>
      <c r="N6300" t="s">
        <v>44905</v>
      </c>
      <c r="O6300" t="s">
        <v>44906</v>
      </c>
      <c r="P6300">
        <v>0</v>
      </c>
      <c r="Q6300">
        <v>0</v>
      </c>
      <c r="R6300" t="s">
        <v>44909</v>
      </c>
      <c r="S6300" t="s">
        <v>45060</v>
      </c>
      <c r="T6300" t="s">
        <v>46671</v>
      </c>
      <c r="U6300" t="s">
        <v>52045</v>
      </c>
      <c r="W6300" t="s">
        <v>41378</v>
      </c>
      <c r="X6300" t="s">
        <v>44910</v>
      </c>
    </row>
    <row r="6301" spans="1:24">
      <c r="A6301">
        <f>HYPERLINK("https://www.philgeps.gov.ph/GEPSNONPILOT/Tender/SplashBidNoticeAbstractUI.aspx?menuIndex=3&amp;refID=7077726&amp;Result=3","7077726")</f>
        <v>0</v>
      </c>
      <c r="B6301" t="s">
        <v>1566</v>
      </c>
      <c r="C6301" t="s">
        <v>9532</v>
      </c>
      <c r="E6301" t="s">
        <v>23804</v>
      </c>
      <c r="F6301" t="s">
        <v>31362</v>
      </c>
      <c r="G6301" t="s">
        <v>31369</v>
      </c>
      <c r="H6301" t="s">
        <v>15799</v>
      </c>
      <c r="I6301" t="s">
        <v>31413</v>
      </c>
      <c r="J6301" t="s">
        <v>31957</v>
      </c>
      <c r="K6301" t="s">
        <v>40662</v>
      </c>
      <c r="M6301" t="s">
        <v>42618</v>
      </c>
      <c r="N6301" t="s">
        <v>44905</v>
      </c>
      <c r="O6301" t="s">
        <v>44906</v>
      </c>
      <c r="P6301">
        <v>0</v>
      </c>
      <c r="Q6301">
        <v>0</v>
      </c>
      <c r="R6301" t="s">
        <v>44909</v>
      </c>
      <c r="S6301" t="s">
        <v>45060</v>
      </c>
      <c r="T6301" t="s">
        <v>46449</v>
      </c>
      <c r="U6301" t="s">
        <v>52046</v>
      </c>
      <c r="V6301" t="s">
        <v>59665</v>
      </c>
      <c r="W6301" t="s">
        <v>42618</v>
      </c>
      <c r="X6301" t="s">
        <v>44910</v>
      </c>
    </row>
    <row r="6302" spans="1:24">
      <c r="A6302">
        <f>HYPERLINK("https://www.philgeps.gov.ph/GEPSNONPILOT/Tender/SplashBidNoticeAbstractUI.aspx?menuIndex=3&amp;refID=7077727&amp;Result=3","7077727")</f>
        <v>0</v>
      </c>
      <c r="B6302" t="s">
        <v>345</v>
      </c>
      <c r="C6302" t="s">
        <v>9533</v>
      </c>
      <c r="D6302" t="s">
        <v>18149</v>
      </c>
      <c r="E6302" t="s">
        <v>23805</v>
      </c>
      <c r="F6302" t="s">
        <v>31362</v>
      </c>
      <c r="G6302" t="s">
        <v>31368</v>
      </c>
      <c r="H6302" t="s">
        <v>15799</v>
      </c>
      <c r="I6302" t="s">
        <v>31388</v>
      </c>
      <c r="J6302" t="s">
        <v>35116</v>
      </c>
      <c r="K6302" t="s">
        <v>40693</v>
      </c>
      <c r="M6302" t="s">
        <v>41291</v>
      </c>
      <c r="N6302" t="s">
        <v>44905</v>
      </c>
      <c r="O6302" t="s">
        <v>44906</v>
      </c>
      <c r="P6302">
        <v>0</v>
      </c>
      <c r="Q6302">
        <v>0</v>
      </c>
      <c r="R6302" t="s">
        <v>44909</v>
      </c>
      <c r="S6302" t="s">
        <v>45060</v>
      </c>
      <c r="T6302" t="s">
        <v>46580</v>
      </c>
      <c r="U6302" t="s">
        <v>52047</v>
      </c>
      <c r="W6302" t="s">
        <v>41291</v>
      </c>
      <c r="X6302" t="s">
        <v>44910</v>
      </c>
    </row>
    <row r="6303" spans="1:24">
      <c r="A6303">
        <f>HYPERLINK("https://www.philgeps.gov.ph/GEPSNONPILOT/Tender/SplashBidNoticeAbstractUI.aspx?menuIndex=3&amp;refID=7077789&amp;Result=3","7077789")</f>
        <v>0</v>
      </c>
      <c r="B6303" t="s">
        <v>1546</v>
      </c>
      <c r="C6303" t="s">
        <v>9534</v>
      </c>
      <c r="D6303" t="s">
        <v>18189</v>
      </c>
      <c r="E6303" t="s">
        <v>23806</v>
      </c>
      <c r="F6303" t="s">
        <v>31362</v>
      </c>
      <c r="G6303" t="s">
        <v>31368</v>
      </c>
      <c r="H6303" t="s">
        <v>15799</v>
      </c>
      <c r="I6303" t="s">
        <v>31390</v>
      </c>
      <c r="J6303" t="s">
        <v>35434</v>
      </c>
      <c r="K6303" t="s">
        <v>40661</v>
      </c>
      <c r="M6303" t="s">
        <v>42593</v>
      </c>
      <c r="N6303" t="s">
        <v>44905</v>
      </c>
      <c r="O6303" t="s">
        <v>44906</v>
      </c>
      <c r="P6303">
        <v>0</v>
      </c>
      <c r="Q6303">
        <v>0</v>
      </c>
      <c r="R6303" t="s">
        <v>44909</v>
      </c>
      <c r="S6303" t="s">
        <v>45060</v>
      </c>
      <c r="T6303" t="s">
        <v>46409</v>
      </c>
      <c r="U6303" t="s">
        <v>52048</v>
      </c>
      <c r="W6303" t="s">
        <v>42593</v>
      </c>
      <c r="X6303" t="s">
        <v>44910</v>
      </c>
    </row>
    <row r="6304" spans="1:24">
      <c r="A6304">
        <f>HYPERLINK("https://www.philgeps.gov.ph/GEPSNONPILOT/Tender/SplashBidNoticeAbstractUI.aspx?menuIndex=3&amp;refID=7077749&amp;Result=3","7077749")</f>
        <v>0</v>
      </c>
      <c r="B6304" t="s">
        <v>1985</v>
      </c>
      <c r="C6304" t="s">
        <v>9535</v>
      </c>
      <c r="D6304" t="s">
        <v>18168</v>
      </c>
      <c r="E6304" t="s">
        <v>23807</v>
      </c>
      <c r="F6304" t="s">
        <v>31362</v>
      </c>
      <c r="G6304" t="s">
        <v>31368</v>
      </c>
      <c r="H6304" t="s">
        <v>15799</v>
      </c>
      <c r="I6304" t="s">
        <v>31393</v>
      </c>
      <c r="J6304" t="s">
        <v>31806</v>
      </c>
      <c r="K6304" t="s">
        <v>40665</v>
      </c>
      <c r="M6304" t="s">
        <v>43094</v>
      </c>
      <c r="N6304" t="s">
        <v>44905</v>
      </c>
      <c r="O6304" t="s">
        <v>44906</v>
      </c>
      <c r="P6304">
        <v>0</v>
      </c>
      <c r="Q6304">
        <v>1</v>
      </c>
      <c r="R6304" t="s">
        <v>44909</v>
      </c>
      <c r="S6304" t="s">
        <v>45060</v>
      </c>
      <c r="T6304" t="s">
        <v>46410</v>
      </c>
      <c r="U6304" t="s">
        <v>52049</v>
      </c>
      <c r="W6304" t="s">
        <v>43094</v>
      </c>
      <c r="X6304" t="s">
        <v>44910</v>
      </c>
    </row>
    <row r="6305" spans="1:24">
      <c r="A6305">
        <f>HYPERLINK("https://www.philgeps.gov.ph/GEPSNONPILOT/Tender/SplashBidNoticeAbstractUI.aspx?menuIndex=3&amp;refID=7077782&amp;Result=3","7077782")</f>
        <v>0</v>
      </c>
      <c r="B6305" t="s">
        <v>717</v>
      </c>
      <c r="C6305" t="s">
        <v>9536</v>
      </c>
      <c r="D6305" t="s">
        <v>18167</v>
      </c>
      <c r="E6305" t="s">
        <v>23808</v>
      </c>
      <c r="F6305" t="s">
        <v>31362</v>
      </c>
      <c r="G6305" t="s">
        <v>31368</v>
      </c>
      <c r="H6305" t="s">
        <v>15799</v>
      </c>
      <c r="I6305" t="s">
        <v>31400</v>
      </c>
      <c r="J6305" t="s">
        <v>35435</v>
      </c>
      <c r="K6305" t="s">
        <v>40665</v>
      </c>
      <c r="M6305" t="s">
        <v>41682</v>
      </c>
      <c r="N6305" t="s">
        <v>44905</v>
      </c>
      <c r="O6305" t="s">
        <v>44906</v>
      </c>
      <c r="P6305">
        <v>0</v>
      </c>
      <c r="Q6305">
        <v>0</v>
      </c>
      <c r="R6305" t="s">
        <v>44909</v>
      </c>
      <c r="S6305" t="s">
        <v>45060</v>
      </c>
      <c r="T6305" t="s">
        <v>46411</v>
      </c>
      <c r="U6305" t="s">
        <v>52050</v>
      </c>
      <c r="W6305" t="s">
        <v>41682</v>
      </c>
      <c r="X6305" t="s">
        <v>44910</v>
      </c>
    </row>
    <row r="6306" spans="1:24">
      <c r="A6306">
        <f>HYPERLINK("https://www.philgeps.gov.ph/GEPSNONPILOT/Tender/SplashBidNoticeAbstractUI.aspx?menuIndex=3&amp;refID=7077777&amp;Result=3","7077777")</f>
        <v>0</v>
      </c>
      <c r="B6306" t="s">
        <v>472</v>
      </c>
      <c r="C6306" t="s">
        <v>9537</v>
      </c>
      <c r="D6306" t="s">
        <v>18134</v>
      </c>
      <c r="E6306" t="s">
        <v>23809</v>
      </c>
      <c r="F6306" t="s">
        <v>31362</v>
      </c>
      <c r="G6306" t="s">
        <v>31369</v>
      </c>
      <c r="H6306" t="s">
        <v>15799</v>
      </c>
      <c r="I6306" t="s">
        <v>7090</v>
      </c>
      <c r="J6306" t="s">
        <v>35436</v>
      </c>
      <c r="K6306" t="s">
        <v>40666</v>
      </c>
      <c r="M6306" t="s">
        <v>42842</v>
      </c>
      <c r="N6306" t="s">
        <v>44905</v>
      </c>
      <c r="O6306" t="s">
        <v>44906</v>
      </c>
      <c r="P6306">
        <v>0</v>
      </c>
      <c r="Q6306">
        <v>1</v>
      </c>
      <c r="R6306" t="s">
        <v>44909</v>
      </c>
      <c r="S6306" t="s">
        <v>45060</v>
      </c>
      <c r="T6306" t="s">
        <v>46616</v>
      </c>
      <c r="U6306" t="s">
        <v>52051</v>
      </c>
      <c r="W6306" t="s">
        <v>42842</v>
      </c>
      <c r="X6306" t="s">
        <v>44910</v>
      </c>
    </row>
    <row r="6307" spans="1:24">
      <c r="A6307">
        <f>HYPERLINK("https://www.philgeps.gov.ph/GEPSNONPILOT/Tender/SplashBidNoticeAbstractUI.aspx?menuIndex=3&amp;refID=7077788&amp;Result=3","7077788")</f>
        <v>0</v>
      </c>
      <c r="B6307" t="s">
        <v>1451</v>
      </c>
      <c r="C6307" t="s">
        <v>9538</v>
      </c>
      <c r="D6307" t="s">
        <v>18164</v>
      </c>
      <c r="E6307" t="s">
        <v>23810</v>
      </c>
      <c r="F6307" t="s">
        <v>31362</v>
      </c>
      <c r="G6307" t="s">
        <v>31368</v>
      </c>
      <c r="H6307" t="s">
        <v>15799</v>
      </c>
      <c r="I6307" t="s">
        <v>3815</v>
      </c>
      <c r="J6307" t="s">
        <v>35437</v>
      </c>
      <c r="K6307" t="s">
        <v>40661</v>
      </c>
      <c r="M6307" t="s">
        <v>42481</v>
      </c>
      <c r="N6307" t="s">
        <v>44905</v>
      </c>
      <c r="O6307" t="s">
        <v>44906</v>
      </c>
      <c r="P6307">
        <v>0</v>
      </c>
      <c r="Q6307">
        <v>0</v>
      </c>
      <c r="R6307" t="s">
        <v>44909</v>
      </c>
      <c r="S6307" t="s">
        <v>45060</v>
      </c>
      <c r="T6307" t="s">
        <v>46394</v>
      </c>
      <c r="U6307" t="s">
        <v>50268</v>
      </c>
      <c r="W6307" t="s">
        <v>42481</v>
      </c>
      <c r="X6307" t="s">
        <v>44910</v>
      </c>
    </row>
    <row r="6308" spans="1:24">
      <c r="A6308">
        <f>HYPERLINK("https://www.philgeps.gov.ph/GEPSNONPILOT/Tender/SplashBidNoticeAbstractUI.aspx?menuIndex=3&amp;refID=7077773&amp;Result=3","7077773")</f>
        <v>0</v>
      </c>
      <c r="B6308" t="s">
        <v>466</v>
      </c>
      <c r="C6308" t="s">
        <v>4704</v>
      </c>
      <c r="D6308" t="s">
        <v>18155</v>
      </c>
      <c r="E6308" t="s">
        <v>23811</v>
      </c>
      <c r="F6308" t="s">
        <v>31362</v>
      </c>
      <c r="G6308" t="s">
        <v>31368</v>
      </c>
      <c r="H6308" t="s">
        <v>15799</v>
      </c>
      <c r="I6308" t="s">
        <v>31397</v>
      </c>
      <c r="J6308" t="s">
        <v>35438</v>
      </c>
      <c r="K6308" t="s">
        <v>40666</v>
      </c>
      <c r="M6308" t="s">
        <v>41420</v>
      </c>
      <c r="N6308" t="s">
        <v>44905</v>
      </c>
      <c r="O6308" t="s">
        <v>44906</v>
      </c>
      <c r="P6308">
        <v>0</v>
      </c>
      <c r="Q6308">
        <v>0</v>
      </c>
      <c r="R6308" t="s">
        <v>44909</v>
      </c>
      <c r="S6308" t="s">
        <v>45060</v>
      </c>
      <c r="T6308" t="s">
        <v>46454</v>
      </c>
      <c r="U6308" t="s">
        <v>52052</v>
      </c>
      <c r="W6308" t="s">
        <v>41420</v>
      </c>
      <c r="X6308" t="s">
        <v>44910</v>
      </c>
    </row>
    <row r="6309" spans="1:24">
      <c r="A6309">
        <f>HYPERLINK("https://www.philgeps.gov.ph/GEPSNONPILOT/Tender/SplashBidNoticeAbstractUI.aspx?menuIndex=3&amp;refID=7077771&amp;Result=3","7077771")</f>
        <v>0</v>
      </c>
      <c r="B6309" t="s">
        <v>61</v>
      </c>
      <c r="C6309" t="s">
        <v>9539</v>
      </c>
      <c r="D6309" t="s">
        <v>18124</v>
      </c>
      <c r="E6309" t="s">
        <v>23812</v>
      </c>
      <c r="F6309" t="s">
        <v>31362</v>
      </c>
      <c r="G6309" t="s">
        <v>31368</v>
      </c>
      <c r="H6309" t="s">
        <v>15799</v>
      </c>
      <c r="I6309" t="s">
        <v>31385</v>
      </c>
      <c r="J6309" t="s">
        <v>31659</v>
      </c>
      <c r="K6309" t="s">
        <v>40679</v>
      </c>
      <c r="M6309" t="s">
        <v>40996</v>
      </c>
      <c r="N6309" t="s">
        <v>44905</v>
      </c>
      <c r="O6309" t="s">
        <v>44906</v>
      </c>
      <c r="P6309">
        <v>0</v>
      </c>
      <c r="Q6309">
        <v>0</v>
      </c>
      <c r="R6309" t="s">
        <v>44909</v>
      </c>
      <c r="S6309" t="s">
        <v>45060</v>
      </c>
      <c r="T6309" t="s">
        <v>46419</v>
      </c>
      <c r="U6309" t="s">
        <v>46986</v>
      </c>
      <c r="W6309" t="s">
        <v>40996</v>
      </c>
      <c r="X6309" t="s">
        <v>44910</v>
      </c>
    </row>
    <row r="6310" spans="1:24">
      <c r="A6310">
        <f>HYPERLINK("https://www.philgeps.gov.ph/GEPSNONPILOT/Tender/SplashBidNoticeAbstractUI.aspx?menuIndex=3&amp;refID=7077769&amp;Result=3","7077769")</f>
        <v>0</v>
      </c>
      <c r="B6310" t="s">
        <v>1662</v>
      </c>
      <c r="C6310" t="s">
        <v>9540</v>
      </c>
      <c r="D6310" t="s">
        <v>18175</v>
      </c>
      <c r="E6310" t="s">
        <v>23813</v>
      </c>
      <c r="F6310" t="s">
        <v>31362</v>
      </c>
      <c r="G6310" t="s">
        <v>31373</v>
      </c>
      <c r="H6310" t="s">
        <v>31378</v>
      </c>
      <c r="I6310" t="s">
        <v>31386</v>
      </c>
      <c r="J6310" t="s">
        <v>35439</v>
      </c>
      <c r="K6310" t="s">
        <v>40694</v>
      </c>
      <c r="M6310" t="s">
        <v>42727</v>
      </c>
      <c r="N6310" t="s">
        <v>44905</v>
      </c>
      <c r="O6310" t="s">
        <v>44906</v>
      </c>
      <c r="P6310">
        <v>0</v>
      </c>
      <c r="Q6310">
        <v>1</v>
      </c>
      <c r="R6310" t="s">
        <v>44909</v>
      </c>
      <c r="S6310" t="s">
        <v>45060</v>
      </c>
      <c r="T6310" t="s">
        <v>46433</v>
      </c>
      <c r="U6310" t="s">
        <v>52053</v>
      </c>
      <c r="W6310" t="s">
        <v>42727</v>
      </c>
      <c r="X6310" t="s">
        <v>44910</v>
      </c>
    </row>
    <row r="6311" spans="1:24">
      <c r="A6311">
        <f>HYPERLINK("https://www.philgeps.gov.ph/GEPSNONPILOT/Tender/SplashBidNoticeAbstractUI.aspx?menuIndex=3&amp;refID=7077775&amp;Result=3","7077775")</f>
        <v>0</v>
      </c>
      <c r="B6311" t="s">
        <v>1883</v>
      </c>
      <c r="C6311" t="s">
        <v>9541</v>
      </c>
      <c r="D6311" t="s">
        <v>18108</v>
      </c>
      <c r="E6311" t="s">
        <v>23814</v>
      </c>
      <c r="F6311" t="s">
        <v>31362</v>
      </c>
      <c r="G6311" t="s">
        <v>31369</v>
      </c>
      <c r="H6311" t="s">
        <v>15799</v>
      </c>
      <c r="I6311" t="s">
        <v>3815</v>
      </c>
      <c r="J6311" t="s">
        <v>35440</v>
      </c>
      <c r="K6311" t="s">
        <v>40682</v>
      </c>
      <c r="M6311" t="s">
        <v>42976</v>
      </c>
      <c r="N6311" t="s">
        <v>44905</v>
      </c>
      <c r="O6311" t="s">
        <v>44906</v>
      </c>
      <c r="P6311">
        <v>0</v>
      </c>
      <c r="Q6311">
        <v>1</v>
      </c>
      <c r="R6311" t="s">
        <v>44909</v>
      </c>
      <c r="S6311" t="s">
        <v>45060</v>
      </c>
      <c r="T6311" t="s">
        <v>46449</v>
      </c>
      <c r="U6311" t="s">
        <v>52054</v>
      </c>
      <c r="W6311" t="s">
        <v>42976</v>
      </c>
      <c r="X6311" t="s">
        <v>44910</v>
      </c>
    </row>
    <row r="6312" spans="1:24">
      <c r="A6312">
        <f>HYPERLINK("https://www.philgeps.gov.ph/GEPSNONPILOT/Tender/SplashBidNoticeAbstractUI.aspx?menuIndex=3&amp;refID=7077763&amp;Result=3","7077763")</f>
        <v>0</v>
      </c>
      <c r="B6312" t="s">
        <v>436</v>
      </c>
      <c r="C6312" t="s">
        <v>9542</v>
      </c>
      <c r="D6312" t="s">
        <v>18158</v>
      </c>
      <c r="E6312" t="s">
        <v>23815</v>
      </c>
      <c r="F6312" t="s">
        <v>31362</v>
      </c>
      <c r="G6312" t="s">
        <v>31371</v>
      </c>
      <c r="H6312" t="s">
        <v>15799</v>
      </c>
      <c r="I6312" t="s">
        <v>7188</v>
      </c>
      <c r="J6312" t="s">
        <v>31827</v>
      </c>
      <c r="K6312" t="s">
        <v>40680</v>
      </c>
      <c r="L6312" t="s">
        <v>436</v>
      </c>
      <c r="M6312" t="s">
        <v>41388</v>
      </c>
      <c r="N6312" t="s">
        <v>44905</v>
      </c>
      <c r="O6312" t="s">
        <v>44906</v>
      </c>
      <c r="P6312">
        <v>0</v>
      </c>
      <c r="Q6312">
        <v>1</v>
      </c>
      <c r="R6312" t="s">
        <v>44909</v>
      </c>
      <c r="S6312" t="s">
        <v>45060</v>
      </c>
      <c r="T6312" t="s">
        <v>46434</v>
      </c>
      <c r="U6312" t="s">
        <v>50369</v>
      </c>
      <c r="W6312" t="s">
        <v>41388</v>
      </c>
      <c r="X6312" t="s">
        <v>44910</v>
      </c>
    </row>
    <row r="6313" spans="1:24">
      <c r="A6313">
        <f>HYPERLINK("https://www.philgeps.gov.ph/GEPSNONPILOT/Tender/SplashBidNoticeAbstractUI.aspx?menuIndex=3&amp;refID=7077772&amp;Result=3","7077772")</f>
        <v>0</v>
      </c>
      <c r="B6313" t="s">
        <v>292</v>
      </c>
      <c r="C6313" t="s">
        <v>9543</v>
      </c>
      <c r="D6313" t="s">
        <v>18143</v>
      </c>
      <c r="E6313" t="s">
        <v>23816</v>
      </c>
      <c r="F6313" t="s">
        <v>31362</v>
      </c>
      <c r="G6313" t="s">
        <v>31368</v>
      </c>
      <c r="H6313" t="s">
        <v>15799</v>
      </c>
      <c r="I6313" t="s">
        <v>7090</v>
      </c>
      <c r="J6313" t="s">
        <v>31570</v>
      </c>
      <c r="K6313" t="s">
        <v>40661</v>
      </c>
      <c r="M6313" t="s">
        <v>41235</v>
      </c>
      <c r="N6313" t="s">
        <v>44905</v>
      </c>
      <c r="O6313" t="s">
        <v>44906</v>
      </c>
      <c r="P6313">
        <v>0</v>
      </c>
      <c r="Q6313">
        <v>12</v>
      </c>
      <c r="R6313" t="s">
        <v>44909</v>
      </c>
      <c r="S6313" t="s">
        <v>45060</v>
      </c>
      <c r="T6313" t="s">
        <v>46416</v>
      </c>
      <c r="U6313" t="s">
        <v>52055</v>
      </c>
      <c r="W6313" t="s">
        <v>41235</v>
      </c>
      <c r="X6313" t="s">
        <v>44910</v>
      </c>
    </row>
    <row r="6314" spans="1:24">
      <c r="A6314">
        <f>HYPERLINK("https://www.philgeps.gov.ph/GEPSNONPILOT/Tender/SplashBidNoticeAbstractUI.aspx?menuIndex=3&amp;refID=7077761&amp;Result=3","7077761")</f>
        <v>0</v>
      </c>
      <c r="B6314" t="s">
        <v>1115</v>
      </c>
      <c r="C6314" t="s">
        <v>9544</v>
      </c>
      <c r="D6314" t="s">
        <v>18104</v>
      </c>
      <c r="E6314" t="s">
        <v>23817</v>
      </c>
      <c r="F6314" t="s">
        <v>31362</v>
      </c>
      <c r="G6314" t="s">
        <v>31368</v>
      </c>
      <c r="H6314" t="s">
        <v>31378</v>
      </c>
      <c r="I6314" t="s">
        <v>31386</v>
      </c>
      <c r="J6314" t="s">
        <v>31591</v>
      </c>
      <c r="K6314" t="s">
        <v>40682</v>
      </c>
      <c r="M6314" t="s">
        <v>42977</v>
      </c>
      <c r="N6314" t="s">
        <v>44905</v>
      </c>
      <c r="O6314" t="s">
        <v>44906</v>
      </c>
      <c r="P6314">
        <v>0</v>
      </c>
      <c r="Q6314">
        <v>0</v>
      </c>
      <c r="R6314" t="s">
        <v>44909</v>
      </c>
      <c r="S6314" t="s">
        <v>45060</v>
      </c>
      <c r="T6314" t="s">
        <v>46470</v>
      </c>
      <c r="U6314" t="s">
        <v>52056</v>
      </c>
      <c r="W6314" t="s">
        <v>42977</v>
      </c>
      <c r="X6314" t="s">
        <v>44910</v>
      </c>
    </row>
    <row r="6315" spans="1:24">
      <c r="A6315">
        <f>HYPERLINK("https://www.philgeps.gov.ph/GEPSNONPILOT/Tender/SplashBidNoticeAbstractUI.aspx?menuIndex=3&amp;refID=7077790&amp;Result=3","7077790")</f>
        <v>0</v>
      </c>
      <c r="B6315" t="s">
        <v>1526</v>
      </c>
      <c r="C6315" t="s">
        <v>9545</v>
      </c>
      <c r="D6315" t="s">
        <v>18131</v>
      </c>
      <c r="E6315" t="s">
        <v>23818</v>
      </c>
      <c r="F6315" t="s">
        <v>31362</v>
      </c>
      <c r="G6315" t="s">
        <v>31369</v>
      </c>
      <c r="H6315" t="s">
        <v>15799</v>
      </c>
      <c r="I6315" t="s">
        <v>4283</v>
      </c>
      <c r="J6315" t="s">
        <v>35441</v>
      </c>
      <c r="K6315" t="s">
        <v>40666</v>
      </c>
      <c r="M6315" t="s">
        <v>42571</v>
      </c>
      <c r="N6315" t="s">
        <v>44905</v>
      </c>
      <c r="O6315" t="s">
        <v>44906</v>
      </c>
      <c r="P6315">
        <v>0</v>
      </c>
      <c r="Q6315">
        <v>2</v>
      </c>
      <c r="R6315" t="s">
        <v>44909</v>
      </c>
      <c r="S6315" t="s">
        <v>45060</v>
      </c>
      <c r="T6315" t="s">
        <v>46400</v>
      </c>
      <c r="U6315" t="s">
        <v>52057</v>
      </c>
      <c r="V6315" t="s">
        <v>59666</v>
      </c>
      <c r="W6315" t="s">
        <v>42571</v>
      </c>
      <c r="X6315" t="s">
        <v>44910</v>
      </c>
    </row>
    <row r="6316" spans="1:24">
      <c r="A6316">
        <f>HYPERLINK("https://www.philgeps.gov.ph/GEPSNONPILOT/Tender/SplashBidNoticeAbstractUI.aspx?menuIndex=3&amp;refID=7077752&amp;Result=3","7077752")</f>
        <v>0</v>
      </c>
      <c r="B6316" t="s">
        <v>1986</v>
      </c>
      <c r="C6316" t="s">
        <v>9546</v>
      </c>
      <c r="D6316" t="s">
        <v>18109</v>
      </c>
      <c r="E6316" t="s">
        <v>23819</v>
      </c>
      <c r="F6316" t="s">
        <v>31362</v>
      </c>
      <c r="G6316" t="s">
        <v>31369</v>
      </c>
      <c r="H6316" t="s">
        <v>31378</v>
      </c>
      <c r="I6316" t="s">
        <v>31386</v>
      </c>
      <c r="J6316" t="s">
        <v>35442</v>
      </c>
      <c r="K6316" t="s">
        <v>40679</v>
      </c>
      <c r="M6316" t="s">
        <v>43095</v>
      </c>
      <c r="N6316" t="s">
        <v>44905</v>
      </c>
      <c r="O6316" t="s">
        <v>44906</v>
      </c>
      <c r="P6316">
        <v>0</v>
      </c>
      <c r="Q6316">
        <v>0</v>
      </c>
      <c r="R6316" t="s">
        <v>44909</v>
      </c>
      <c r="S6316" t="s">
        <v>45060</v>
      </c>
      <c r="T6316" t="s">
        <v>46648</v>
      </c>
      <c r="U6316" t="s">
        <v>52058</v>
      </c>
      <c r="W6316" t="s">
        <v>43095</v>
      </c>
      <c r="X6316" t="s">
        <v>44910</v>
      </c>
    </row>
    <row r="6317" spans="1:24">
      <c r="A6317">
        <f>HYPERLINK("https://www.philgeps.gov.ph/GEPSNONPILOT/Tender/SplashBidNoticeAbstractUI.aspx?menuIndex=3&amp;refID=7077748&amp;Result=3","7077748")</f>
        <v>0</v>
      </c>
      <c r="B6317" t="s">
        <v>1927</v>
      </c>
      <c r="C6317" t="s">
        <v>9547</v>
      </c>
      <c r="D6317" t="s">
        <v>18148</v>
      </c>
      <c r="E6317" t="s">
        <v>23820</v>
      </c>
      <c r="F6317" t="s">
        <v>31362</v>
      </c>
      <c r="G6317" t="s">
        <v>31369</v>
      </c>
      <c r="H6317" t="s">
        <v>15799</v>
      </c>
      <c r="I6317" t="s">
        <v>31430</v>
      </c>
      <c r="J6317" t="s">
        <v>35443</v>
      </c>
      <c r="K6317" t="s">
        <v>40665</v>
      </c>
      <c r="M6317" t="s">
        <v>43025</v>
      </c>
      <c r="N6317" t="s">
        <v>44905</v>
      </c>
      <c r="O6317" t="s">
        <v>44906</v>
      </c>
      <c r="P6317">
        <v>0</v>
      </c>
      <c r="Q6317">
        <v>0</v>
      </c>
      <c r="R6317" t="s">
        <v>44909</v>
      </c>
      <c r="S6317" t="s">
        <v>45060</v>
      </c>
      <c r="T6317" t="s">
        <v>46429</v>
      </c>
      <c r="U6317" t="s">
        <v>52059</v>
      </c>
      <c r="V6317" t="s">
        <v>59627</v>
      </c>
      <c r="W6317" t="s">
        <v>43025</v>
      </c>
      <c r="X6317" t="s">
        <v>44910</v>
      </c>
    </row>
    <row r="6318" spans="1:24">
      <c r="A6318">
        <f>HYPERLINK("https://www.philgeps.gov.ph/GEPSNONPILOT/Tender/SplashBidNoticeAbstractUI.aspx?menuIndex=3&amp;refID=7077779&amp;Result=3","7077779")</f>
        <v>0</v>
      </c>
      <c r="B6318" t="s">
        <v>1987</v>
      </c>
      <c r="C6318" t="s">
        <v>9548</v>
      </c>
      <c r="D6318" t="s">
        <v>18122</v>
      </c>
      <c r="E6318" t="s">
        <v>23821</v>
      </c>
      <c r="F6318" t="s">
        <v>31362</v>
      </c>
      <c r="G6318" t="s">
        <v>31369</v>
      </c>
      <c r="H6318" t="s">
        <v>15799</v>
      </c>
      <c r="I6318" t="s">
        <v>3815</v>
      </c>
      <c r="J6318" t="s">
        <v>35444</v>
      </c>
      <c r="K6318" t="s">
        <v>40665</v>
      </c>
      <c r="L6318" t="s">
        <v>1987</v>
      </c>
      <c r="M6318" t="s">
        <v>43096</v>
      </c>
      <c r="N6318" t="s">
        <v>44905</v>
      </c>
      <c r="O6318" t="s">
        <v>44906</v>
      </c>
      <c r="P6318">
        <v>0</v>
      </c>
      <c r="Q6318">
        <v>1</v>
      </c>
      <c r="R6318" t="s">
        <v>44909</v>
      </c>
      <c r="S6318" t="s">
        <v>45060</v>
      </c>
      <c r="T6318" t="s">
        <v>46464</v>
      </c>
      <c r="U6318" t="s">
        <v>52060</v>
      </c>
      <c r="W6318" t="s">
        <v>43096</v>
      </c>
      <c r="X6318" t="s">
        <v>44910</v>
      </c>
    </row>
    <row r="6319" spans="1:24">
      <c r="A6319">
        <f>HYPERLINK("https://www.philgeps.gov.ph/GEPSNONPILOT/Tender/SplashBidNoticeAbstractUI.aspx?menuIndex=3&amp;refID=7077760&amp;Result=3","7077760")</f>
        <v>0</v>
      </c>
      <c r="B6319" t="s">
        <v>181</v>
      </c>
      <c r="C6319" t="s">
        <v>9549</v>
      </c>
      <c r="D6319" t="s">
        <v>18103</v>
      </c>
      <c r="E6319" t="s">
        <v>23822</v>
      </c>
      <c r="F6319" t="s">
        <v>31362</v>
      </c>
      <c r="G6319" t="s">
        <v>31368</v>
      </c>
      <c r="H6319" t="s">
        <v>15799</v>
      </c>
      <c r="I6319" t="s">
        <v>31393</v>
      </c>
      <c r="J6319" t="s">
        <v>35445</v>
      </c>
      <c r="K6319" t="s">
        <v>40662</v>
      </c>
      <c r="M6319" t="s">
        <v>41119</v>
      </c>
      <c r="N6319" t="s">
        <v>44905</v>
      </c>
      <c r="O6319" t="s">
        <v>44906</v>
      </c>
      <c r="P6319">
        <v>0</v>
      </c>
      <c r="Q6319">
        <v>2</v>
      </c>
      <c r="R6319" t="s">
        <v>44909</v>
      </c>
      <c r="S6319" t="s">
        <v>45060</v>
      </c>
      <c r="T6319" t="s">
        <v>46414</v>
      </c>
      <c r="U6319" t="s">
        <v>52061</v>
      </c>
      <c r="W6319" t="s">
        <v>60839</v>
      </c>
      <c r="X6319" t="s">
        <v>44910</v>
      </c>
    </row>
    <row r="6320" spans="1:24">
      <c r="A6320">
        <f>HYPERLINK("https://www.philgeps.gov.ph/GEPSNONPILOT/Tender/SplashBidNoticeAbstractUI.aspx?menuIndex=3&amp;refID=7077768&amp;Result=3","7077768")</f>
        <v>0</v>
      </c>
      <c r="B6320" t="s">
        <v>232</v>
      </c>
      <c r="C6320" t="s">
        <v>9550</v>
      </c>
      <c r="D6320" t="s">
        <v>18101</v>
      </c>
      <c r="E6320" t="s">
        <v>23823</v>
      </c>
      <c r="F6320" t="s">
        <v>31362</v>
      </c>
      <c r="G6320" t="s">
        <v>31368</v>
      </c>
      <c r="H6320" t="s">
        <v>15799</v>
      </c>
      <c r="I6320" t="s">
        <v>31429</v>
      </c>
      <c r="J6320" t="s">
        <v>33025</v>
      </c>
      <c r="K6320" t="s">
        <v>40661</v>
      </c>
      <c r="M6320" t="s">
        <v>41171</v>
      </c>
      <c r="N6320" t="s">
        <v>44905</v>
      </c>
      <c r="O6320" t="s">
        <v>44906</v>
      </c>
      <c r="P6320">
        <v>0</v>
      </c>
      <c r="Q6320">
        <v>2</v>
      </c>
      <c r="R6320" t="s">
        <v>44909</v>
      </c>
      <c r="S6320" t="s">
        <v>45060</v>
      </c>
      <c r="T6320" t="s">
        <v>46409</v>
      </c>
      <c r="U6320" t="s">
        <v>52062</v>
      </c>
      <c r="W6320" t="s">
        <v>41171</v>
      </c>
      <c r="X6320" t="s">
        <v>44910</v>
      </c>
    </row>
    <row r="6321" spans="1:24">
      <c r="A6321">
        <f>HYPERLINK("https://www.philgeps.gov.ph/GEPSNONPILOT/Tender/SplashBidNoticeAbstractUI.aspx?menuIndex=3&amp;refID=7077792&amp;Result=3","7077792")</f>
        <v>0</v>
      </c>
      <c r="B6321" t="s">
        <v>844</v>
      </c>
      <c r="C6321" t="s">
        <v>9551</v>
      </c>
      <c r="E6321" t="s">
        <v>23824</v>
      </c>
      <c r="F6321" t="s">
        <v>31362</v>
      </c>
      <c r="G6321" t="s">
        <v>31369</v>
      </c>
      <c r="H6321" t="s">
        <v>15799</v>
      </c>
      <c r="I6321" t="s">
        <v>31430</v>
      </c>
      <c r="J6321" t="s">
        <v>35446</v>
      </c>
      <c r="K6321" t="s">
        <v>40662</v>
      </c>
      <c r="M6321" t="s">
        <v>41819</v>
      </c>
      <c r="N6321" t="s">
        <v>44905</v>
      </c>
      <c r="O6321" t="s">
        <v>44906</v>
      </c>
      <c r="P6321">
        <v>0</v>
      </c>
      <c r="Q6321">
        <v>0</v>
      </c>
      <c r="R6321" t="s">
        <v>44909</v>
      </c>
      <c r="S6321" t="s">
        <v>45060</v>
      </c>
      <c r="T6321" t="s">
        <v>46412</v>
      </c>
      <c r="U6321" t="s">
        <v>52063</v>
      </c>
      <c r="W6321" t="s">
        <v>41819</v>
      </c>
      <c r="X6321" t="s">
        <v>44910</v>
      </c>
    </row>
    <row r="6322" spans="1:24">
      <c r="A6322">
        <f>HYPERLINK("https://www.philgeps.gov.ph/GEPSNONPILOT/Tender/SplashBidNoticeAbstractUI.aspx?menuIndex=3&amp;refID=7077797&amp;Result=3","7077797")</f>
        <v>0</v>
      </c>
      <c r="B6322" t="s">
        <v>574</v>
      </c>
      <c r="C6322" t="s">
        <v>9552</v>
      </c>
      <c r="D6322" t="s">
        <v>18148</v>
      </c>
      <c r="E6322" t="s">
        <v>23825</v>
      </c>
      <c r="F6322" t="s">
        <v>31362</v>
      </c>
      <c r="G6322" t="s">
        <v>31368</v>
      </c>
      <c r="H6322" t="s">
        <v>15799</v>
      </c>
      <c r="I6322" t="s">
        <v>4283</v>
      </c>
      <c r="J6322" t="s">
        <v>35447</v>
      </c>
      <c r="K6322" t="s">
        <v>40670</v>
      </c>
      <c r="M6322" t="s">
        <v>41530</v>
      </c>
      <c r="N6322" t="s">
        <v>44905</v>
      </c>
      <c r="O6322" t="s">
        <v>44906</v>
      </c>
      <c r="P6322">
        <v>0</v>
      </c>
      <c r="Q6322">
        <v>4</v>
      </c>
      <c r="R6322" t="s">
        <v>44909</v>
      </c>
      <c r="S6322" t="s">
        <v>45060</v>
      </c>
      <c r="T6322" t="s">
        <v>46443</v>
      </c>
      <c r="U6322" t="s">
        <v>52064</v>
      </c>
      <c r="W6322" t="s">
        <v>41530</v>
      </c>
      <c r="X6322" t="s">
        <v>44910</v>
      </c>
    </row>
    <row r="6323" spans="1:24">
      <c r="A6323">
        <f>HYPERLINK("https://www.philgeps.gov.ph/GEPSNONPILOT/Tender/SplashBidNoticeAbstractUI.aspx?menuIndex=3&amp;refID=7077806&amp;Result=3","7077806")</f>
        <v>0</v>
      </c>
      <c r="B6323" t="s">
        <v>1556</v>
      </c>
      <c r="C6323" t="s">
        <v>9553</v>
      </c>
      <c r="E6323" t="s">
        <v>23826</v>
      </c>
      <c r="F6323" t="s">
        <v>31362</v>
      </c>
      <c r="G6323" t="s">
        <v>31368</v>
      </c>
      <c r="H6323" t="s">
        <v>15799</v>
      </c>
      <c r="I6323" t="s">
        <v>31431</v>
      </c>
      <c r="J6323" t="s">
        <v>35448</v>
      </c>
      <c r="K6323" t="s">
        <v>40666</v>
      </c>
      <c r="M6323" t="s">
        <v>42606</v>
      </c>
      <c r="N6323" t="s">
        <v>44905</v>
      </c>
      <c r="O6323" t="s">
        <v>44906</v>
      </c>
      <c r="P6323">
        <v>0</v>
      </c>
      <c r="Q6323">
        <v>1</v>
      </c>
      <c r="R6323" t="s">
        <v>44909</v>
      </c>
      <c r="S6323" t="s">
        <v>45060</v>
      </c>
      <c r="T6323" t="s">
        <v>46414</v>
      </c>
      <c r="U6323" t="s">
        <v>52065</v>
      </c>
      <c r="W6323" t="s">
        <v>42606</v>
      </c>
      <c r="X6323" t="s">
        <v>44910</v>
      </c>
    </row>
    <row r="6324" spans="1:24">
      <c r="A6324">
        <f>HYPERLINK("https://www.philgeps.gov.ph/GEPSNONPILOT/Tender/SplashBidNoticeAbstractUI.aspx?menuIndex=3&amp;refID=7077796&amp;Result=3","7077796")</f>
        <v>0</v>
      </c>
      <c r="B6324" t="s">
        <v>1272</v>
      </c>
      <c r="C6324" t="s">
        <v>9554</v>
      </c>
      <c r="D6324" t="s">
        <v>18104</v>
      </c>
      <c r="E6324" t="s">
        <v>23827</v>
      </c>
      <c r="F6324" t="s">
        <v>31362</v>
      </c>
      <c r="G6324" t="s">
        <v>31368</v>
      </c>
      <c r="H6324" t="s">
        <v>15799</v>
      </c>
      <c r="I6324" t="s">
        <v>7090</v>
      </c>
      <c r="J6324" t="s">
        <v>35449</v>
      </c>
      <c r="K6324" t="s">
        <v>40661</v>
      </c>
      <c r="M6324" t="s">
        <v>42289</v>
      </c>
      <c r="N6324" t="s">
        <v>44905</v>
      </c>
      <c r="O6324" t="s">
        <v>44906</v>
      </c>
      <c r="P6324">
        <v>0</v>
      </c>
      <c r="Q6324">
        <v>0</v>
      </c>
      <c r="R6324" t="s">
        <v>44909</v>
      </c>
      <c r="S6324" t="s">
        <v>45060</v>
      </c>
      <c r="T6324" t="s">
        <v>46393</v>
      </c>
      <c r="U6324" t="s">
        <v>52066</v>
      </c>
      <c r="W6324" t="s">
        <v>42289</v>
      </c>
      <c r="X6324" t="s">
        <v>44910</v>
      </c>
    </row>
    <row r="6325" spans="1:24">
      <c r="A6325">
        <f>HYPERLINK("https://www.philgeps.gov.ph/GEPSNONPILOT/Tender/SplashBidNoticeAbstractUI.aspx?menuIndex=3&amp;refID=7077793&amp;Result=3","7077793")</f>
        <v>0</v>
      </c>
      <c r="B6325" t="s">
        <v>1566</v>
      </c>
      <c r="C6325" t="s">
        <v>9555</v>
      </c>
      <c r="E6325" t="s">
        <v>23828</v>
      </c>
      <c r="F6325" t="s">
        <v>31367</v>
      </c>
      <c r="G6325" t="s">
        <v>31369</v>
      </c>
      <c r="H6325" t="s">
        <v>15799</v>
      </c>
      <c r="I6325" t="s">
        <v>31413</v>
      </c>
      <c r="J6325" t="s">
        <v>35450</v>
      </c>
      <c r="K6325" t="s">
        <v>40662</v>
      </c>
      <c r="M6325" t="s">
        <v>42618</v>
      </c>
      <c r="N6325" t="s">
        <v>44905</v>
      </c>
      <c r="O6325" t="s">
        <v>44906</v>
      </c>
      <c r="P6325">
        <v>0</v>
      </c>
      <c r="Q6325">
        <v>1</v>
      </c>
      <c r="R6325" t="s">
        <v>44909</v>
      </c>
      <c r="S6325" t="s">
        <v>45060</v>
      </c>
      <c r="T6325" t="s">
        <v>46652</v>
      </c>
      <c r="U6325" t="s">
        <v>52067</v>
      </c>
      <c r="V6325" t="s">
        <v>59665</v>
      </c>
      <c r="W6325" t="s">
        <v>42618</v>
      </c>
      <c r="X6325" t="s">
        <v>44910</v>
      </c>
    </row>
    <row r="6326" spans="1:24">
      <c r="A6326">
        <f>HYPERLINK("https://www.philgeps.gov.ph/GEPSNONPILOT/Tender/SplashBidNoticeAbstractUI.aspx?menuIndex=3&amp;refID=7077750&amp;Result=3","7077750")</f>
        <v>0</v>
      </c>
      <c r="B6326" t="s">
        <v>232</v>
      </c>
      <c r="C6326" t="s">
        <v>4048</v>
      </c>
      <c r="D6326" t="s">
        <v>18101</v>
      </c>
      <c r="E6326" t="s">
        <v>23829</v>
      </c>
      <c r="F6326" t="s">
        <v>31362</v>
      </c>
      <c r="G6326" t="s">
        <v>31368</v>
      </c>
      <c r="H6326" t="s">
        <v>15799</v>
      </c>
      <c r="I6326" t="s">
        <v>31385</v>
      </c>
      <c r="J6326" t="s">
        <v>35451</v>
      </c>
      <c r="K6326" t="s">
        <v>40661</v>
      </c>
      <c r="M6326" t="s">
        <v>41171</v>
      </c>
      <c r="N6326" t="s">
        <v>44905</v>
      </c>
      <c r="O6326" t="s">
        <v>44906</v>
      </c>
      <c r="P6326">
        <v>0</v>
      </c>
      <c r="Q6326">
        <v>0</v>
      </c>
      <c r="R6326" t="s">
        <v>44909</v>
      </c>
      <c r="S6326" t="s">
        <v>45060</v>
      </c>
      <c r="T6326" t="s">
        <v>46409</v>
      </c>
      <c r="U6326" t="s">
        <v>52068</v>
      </c>
      <c r="W6326" t="s">
        <v>41171</v>
      </c>
      <c r="X6326" t="s">
        <v>44910</v>
      </c>
    </row>
    <row r="6327" spans="1:24">
      <c r="A6327">
        <f>HYPERLINK("https://www.philgeps.gov.ph/GEPSNONPILOT/Tender/SplashBidNoticeAbstractUI.aspx?menuIndex=3&amp;refID=7077807&amp;Result=3","7077807")</f>
        <v>0</v>
      </c>
      <c r="B6327" t="s">
        <v>772</v>
      </c>
      <c r="C6327" t="s">
        <v>9556</v>
      </c>
      <c r="D6327" t="s">
        <v>18138</v>
      </c>
      <c r="E6327" t="s">
        <v>23830</v>
      </c>
      <c r="F6327" t="s">
        <v>31362</v>
      </c>
      <c r="G6327" t="s">
        <v>31371</v>
      </c>
      <c r="H6327" t="s">
        <v>15799</v>
      </c>
      <c r="I6327" t="s">
        <v>31422</v>
      </c>
      <c r="J6327" t="s">
        <v>35452</v>
      </c>
      <c r="K6327" t="s">
        <v>40670</v>
      </c>
      <c r="M6327" t="s">
        <v>41740</v>
      </c>
      <c r="N6327" t="s">
        <v>44905</v>
      </c>
      <c r="O6327" t="s">
        <v>44906</v>
      </c>
      <c r="P6327">
        <v>0</v>
      </c>
      <c r="Q6327">
        <v>2</v>
      </c>
      <c r="R6327" t="s">
        <v>44909</v>
      </c>
      <c r="S6327" t="s">
        <v>45060</v>
      </c>
      <c r="T6327" t="s">
        <v>46454</v>
      </c>
      <c r="U6327" t="s">
        <v>52069</v>
      </c>
      <c r="V6327" t="s">
        <v>59242</v>
      </c>
      <c r="W6327" t="s">
        <v>41740</v>
      </c>
      <c r="X6327" t="s">
        <v>44910</v>
      </c>
    </row>
    <row r="6328" spans="1:24">
      <c r="A6328">
        <f>HYPERLINK("https://www.philgeps.gov.ph/GEPSNONPILOT/Tender/SplashBidNoticeAbstractUI.aspx?menuIndex=3&amp;refID=7077816&amp;Result=3","7077816")</f>
        <v>0</v>
      </c>
      <c r="B6328" t="s">
        <v>1988</v>
      </c>
      <c r="C6328" t="s">
        <v>9557</v>
      </c>
      <c r="D6328" t="s">
        <v>18163</v>
      </c>
      <c r="E6328" t="s">
        <v>23831</v>
      </c>
      <c r="F6328" t="s">
        <v>31362</v>
      </c>
      <c r="G6328" t="s">
        <v>31369</v>
      </c>
      <c r="H6328" t="s">
        <v>15799</v>
      </c>
      <c r="I6328" t="s">
        <v>31380</v>
      </c>
      <c r="J6328" t="s">
        <v>35453</v>
      </c>
      <c r="K6328" t="s">
        <v>40666</v>
      </c>
      <c r="M6328" t="s">
        <v>43097</v>
      </c>
      <c r="N6328" t="s">
        <v>44905</v>
      </c>
      <c r="O6328" t="s">
        <v>44906</v>
      </c>
      <c r="P6328">
        <v>0</v>
      </c>
      <c r="Q6328">
        <v>3</v>
      </c>
      <c r="R6328" t="s">
        <v>44909</v>
      </c>
      <c r="S6328" t="s">
        <v>45060</v>
      </c>
      <c r="T6328" t="s">
        <v>46511</v>
      </c>
      <c r="U6328" t="s">
        <v>52070</v>
      </c>
      <c r="W6328" t="s">
        <v>43097</v>
      </c>
      <c r="X6328" t="s">
        <v>44910</v>
      </c>
    </row>
    <row r="6329" spans="1:24">
      <c r="A6329">
        <f>HYPERLINK("https://www.philgeps.gov.ph/GEPSNONPILOT/Tender/SplashBidNoticeAbstractUI.aspx?menuIndex=3&amp;refID=7077814&amp;Result=3","7077814")</f>
        <v>0</v>
      </c>
      <c r="B6329" t="s">
        <v>1526</v>
      </c>
      <c r="C6329" t="s">
        <v>9558</v>
      </c>
      <c r="D6329" t="s">
        <v>18131</v>
      </c>
      <c r="E6329" t="s">
        <v>23832</v>
      </c>
      <c r="F6329" t="s">
        <v>31362</v>
      </c>
      <c r="G6329" t="s">
        <v>31368</v>
      </c>
      <c r="H6329" t="s">
        <v>15799</v>
      </c>
      <c r="I6329" t="s">
        <v>31380</v>
      </c>
      <c r="J6329" t="s">
        <v>35454</v>
      </c>
      <c r="K6329" t="s">
        <v>40666</v>
      </c>
      <c r="M6329" t="s">
        <v>42571</v>
      </c>
      <c r="N6329" t="s">
        <v>44905</v>
      </c>
      <c r="O6329" t="s">
        <v>44906</v>
      </c>
      <c r="P6329">
        <v>0</v>
      </c>
      <c r="Q6329">
        <v>2</v>
      </c>
      <c r="R6329" t="s">
        <v>44909</v>
      </c>
      <c r="S6329" t="s">
        <v>45060</v>
      </c>
      <c r="T6329" t="s">
        <v>46414</v>
      </c>
      <c r="U6329" t="s">
        <v>52071</v>
      </c>
      <c r="V6329" t="s">
        <v>59666</v>
      </c>
      <c r="W6329" t="s">
        <v>42571</v>
      </c>
      <c r="X6329" t="s">
        <v>44910</v>
      </c>
    </row>
    <row r="6330" spans="1:24">
      <c r="A6330">
        <f>HYPERLINK("https://www.philgeps.gov.ph/GEPSNONPILOT/Tender/SplashBidNoticeAbstractUI.aspx?menuIndex=3&amp;refID=7077795&amp;Result=3","7077795")</f>
        <v>0</v>
      </c>
      <c r="B6330" t="s">
        <v>518</v>
      </c>
      <c r="C6330" t="s">
        <v>9559</v>
      </c>
      <c r="D6330" t="s">
        <v>18131</v>
      </c>
      <c r="E6330" t="s">
        <v>23833</v>
      </c>
      <c r="F6330" t="s">
        <v>31362</v>
      </c>
      <c r="G6330" t="s">
        <v>31369</v>
      </c>
      <c r="H6330" t="s">
        <v>31378</v>
      </c>
      <c r="I6330" t="s">
        <v>31386</v>
      </c>
      <c r="J6330" t="s">
        <v>35455</v>
      </c>
      <c r="K6330" t="s">
        <v>40662</v>
      </c>
      <c r="M6330" t="s">
        <v>41474</v>
      </c>
      <c r="N6330" t="s">
        <v>44905</v>
      </c>
      <c r="O6330" t="s">
        <v>44906</v>
      </c>
      <c r="P6330">
        <v>0</v>
      </c>
      <c r="Q6330">
        <v>51</v>
      </c>
      <c r="R6330" t="s">
        <v>44909</v>
      </c>
      <c r="S6330" t="s">
        <v>45060</v>
      </c>
      <c r="T6330" t="s">
        <v>46396</v>
      </c>
      <c r="U6330" t="s">
        <v>52072</v>
      </c>
      <c r="W6330" t="s">
        <v>41474</v>
      </c>
      <c r="X6330" t="s">
        <v>44910</v>
      </c>
    </row>
    <row r="6331" spans="1:24">
      <c r="A6331">
        <f>HYPERLINK("https://www.philgeps.gov.ph/GEPSNONPILOT/Tender/SplashBidNoticeAbstractUI.aspx?menuIndex=3&amp;refID=7077813&amp;Result=3","7077813")</f>
        <v>0</v>
      </c>
      <c r="B6331" t="s">
        <v>686</v>
      </c>
      <c r="C6331" t="s">
        <v>9560</v>
      </c>
      <c r="D6331" t="s">
        <v>18115</v>
      </c>
      <c r="E6331" t="s">
        <v>23834</v>
      </c>
      <c r="F6331" t="s">
        <v>31362</v>
      </c>
      <c r="G6331" t="s">
        <v>31368</v>
      </c>
      <c r="H6331" t="s">
        <v>31378</v>
      </c>
      <c r="I6331" t="s">
        <v>3582</v>
      </c>
      <c r="J6331" t="s">
        <v>35456</v>
      </c>
      <c r="K6331" t="s">
        <v>40750</v>
      </c>
      <c r="M6331" t="s">
        <v>41648</v>
      </c>
      <c r="N6331" t="s">
        <v>44905</v>
      </c>
      <c r="O6331" t="s">
        <v>44906</v>
      </c>
      <c r="P6331">
        <v>0</v>
      </c>
      <c r="Q6331">
        <v>2</v>
      </c>
      <c r="R6331" t="s">
        <v>44909</v>
      </c>
      <c r="S6331" t="s">
        <v>45060</v>
      </c>
      <c r="T6331" t="s">
        <v>46483</v>
      </c>
      <c r="U6331" t="s">
        <v>52073</v>
      </c>
      <c r="W6331" t="s">
        <v>41648</v>
      </c>
      <c r="X6331" t="s">
        <v>44910</v>
      </c>
    </row>
    <row r="6332" spans="1:24">
      <c r="A6332">
        <f>HYPERLINK("https://www.philgeps.gov.ph/GEPSNONPILOT/Tender/SplashBidNoticeAbstractUI.aspx?menuIndex=3&amp;refID=7077811&amp;Result=3","7077811")</f>
        <v>0</v>
      </c>
      <c r="B6332" t="s">
        <v>562</v>
      </c>
      <c r="C6332" t="s">
        <v>9561</v>
      </c>
      <c r="D6332" t="s">
        <v>18177</v>
      </c>
      <c r="E6332" t="s">
        <v>23835</v>
      </c>
      <c r="F6332" t="s">
        <v>31362</v>
      </c>
      <c r="G6332" t="s">
        <v>31368</v>
      </c>
      <c r="H6332" t="s">
        <v>15799</v>
      </c>
      <c r="I6332" t="s">
        <v>4942</v>
      </c>
      <c r="J6332" t="s">
        <v>35457</v>
      </c>
      <c r="K6332" t="s">
        <v>40672</v>
      </c>
      <c r="M6332" t="s">
        <v>41518</v>
      </c>
      <c r="N6332" t="s">
        <v>44905</v>
      </c>
      <c r="O6332" t="s">
        <v>44906</v>
      </c>
      <c r="P6332">
        <v>0</v>
      </c>
      <c r="Q6332">
        <v>0</v>
      </c>
      <c r="R6332" t="s">
        <v>44909</v>
      </c>
      <c r="S6332" t="s">
        <v>45060</v>
      </c>
      <c r="T6332" t="s">
        <v>46432</v>
      </c>
      <c r="U6332" t="s">
        <v>52074</v>
      </c>
      <c r="V6332" t="s">
        <v>59207</v>
      </c>
      <c r="W6332" t="s">
        <v>41518</v>
      </c>
      <c r="X6332" t="s">
        <v>44910</v>
      </c>
    </row>
    <row r="6333" spans="1:24">
      <c r="A6333">
        <f>HYPERLINK("https://www.philgeps.gov.ph/GEPSNONPILOT/Tender/SplashBidNoticeAbstractUI.aspx?menuIndex=3&amp;refID=7077805&amp;Result=3","7077805")</f>
        <v>0</v>
      </c>
      <c r="B6333" t="s">
        <v>232</v>
      </c>
      <c r="C6333" t="s">
        <v>9562</v>
      </c>
      <c r="D6333" t="s">
        <v>18101</v>
      </c>
      <c r="E6333" t="s">
        <v>23836</v>
      </c>
      <c r="F6333" t="s">
        <v>31362</v>
      </c>
      <c r="G6333" t="s">
        <v>31370</v>
      </c>
      <c r="H6333" t="s">
        <v>15799</v>
      </c>
      <c r="I6333" t="s">
        <v>31385</v>
      </c>
      <c r="J6333" t="s">
        <v>35458</v>
      </c>
      <c r="K6333" t="s">
        <v>40661</v>
      </c>
      <c r="M6333" t="s">
        <v>41171</v>
      </c>
      <c r="N6333" t="s">
        <v>44905</v>
      </c>
      <c r="O6333" t="s">
        <v>44906</v>
      </c>
      <c r="P6333">
        <v>0</v>
      </c>
      <c r="Q6333">
        <v>0</v>
      </c>
      <c r="R6333" t="s">
        <v>44909</v>
      </c>
      <c r="S6333" t="s">
        <v>45060</v>
      </c>
      <c r="T6333" t="s">
        <v>46409</v>
      </c>
      <c r="U6333" t="s">
        <v>52075</v>
      </c>
      <c r="W6333" t="s">
        <v>41171</v>
      </c>
      <c r="X6333" t="s">
        <v>44910</v>
      </c>
    </row>
    <row r="6334" spans="1:24">
      <c r="A6334">
        <f>HYPERLINK("https://www.philgeps.gov.ph/GEPSNONPILOT/Tender/SplashBidNoticeAbstractUI.aspx?menuIndex=3&amp;refID=7077809&amp;Result=3","7077809")</f>
        <v>0</v>
      </c>
      <c r="B6334" t="s">
        <v>1662</v>
      </c>
      <c r="C6334" t="s">
        <v>9563</v>
      </c>
      <c r="D6334" t="s">
        <v>18175</v>
      </c>
      <c r="E6334" t="s">
        <v>23837</v>
      </c>
      <c r="F6334" t="s">
        <v>31362</v>
      </c>
      <c r="G6334" t="s">
        <v>31373</v>
      </c>
      <c r="H6334" t="s">
        <v>31378</v>
      </c>
      <c r="I6334" t="s">
        <v>31386</v>
      </c>
      <c r="J6334" t="s">
        <v>35439</v>
      </c>
      <c r="K6334" t="s">
        <v>40694</v>
      </c>
      <c r="M6334" t="s">
        <v>42727</v>
      </c>
      <c r="N6334" t="s">
        <v>44905</v>
      </c>
      <c r="O6334" t="s">
        <v>44906</v>
      </c>
      <c r="P6334">
        <v>0</v>
      </c>
      <c r="Q6334">
        <v>1</v>
      </c>
      <c r="R6334" t="s">
        <v>44909</v>
      </c>
      <c r="S6334" t="s">
        <v>45060</v>
      </c>
      <c r="T6334" t="s">
        <v>46433</v>
      </c>
      <c r="U6334" t="s">
        <v>52076</v>
      </c>
      <c r="W6334" t="s">
        <v>42727</v>
      </c>
      <c r="X6334" t="s">
        <v>44910</v>
      </c>
    </row>
    <row r="6335" spans="1:24">
      <c r="A6335">
        <f>HYPERLINK("https://www.philgeps.gov.ph/GEPSNONPILOT/Tender/SplashBidNoticeAbstractUI.aspx?menuIndex=3&amp;refID=7077808&amp;Result=3","7077808")</f>
        <v>0</v>
      </c>
      <c r="B6335" t="s">
        <v>1366</v>
      </c>
      <c r="C6335" t="s">
        <v>9564</v>
      </c>
      <c r="D6335" t="s">
        <v>18138</v>
      </c>
      <c r="E6335" t="s">
        <v>23838</v>
      </c>
      <c r="F6335" t="s">
        <v>31362</v>
      </c>
      <c r="G6335" t="s">
        <v>31368</v>
      </c>
      <c r="H6335" t="s">
        <v>31378</v>
      </c>
      <c r="I6335" t="s">
        <v>3582</v>
      </c>
      <c r="J6335" t="s">
        <v>35459</v>
      </c>
      <c r="K6335" t="s">
        <v>40665</v>
      </c>
      <c r="M6335" t="s">
        <v>42387</v>
      </c>
      <c r="N6335" t="s">
        <v>44905</v>
      </c>
      <c r="O6335" t="s">
        <v>44906</v>
      </c>
      <c r="P6335">
        <v>0</v>
      </c>
      <c r="Q6335">
        <v>0</v>
      </c>
      <c r="R6335" t="s">
        <v>44909</v>
      </c>
      <c r="S6335" t="s">
        <v>45060</v>
      </c>
      <c r="T6335" t="s">
        <v>46416</v>
      </c>
      <c r="U6335" t="s">
        <v>49965</v>
      </c>
      <c r="W6335" t="s">
        <v>42387</v>
      </c>
      <c r="X6335" t="s">
        <v>44910</v>
      </c>
    </row>
    <row r="6336" spans="1:24">
      <c r="A6336">
        <f>HYPERLINK("https://www.philgeps.gov.ph/GEPSNONPILOT/Tender/SplashBidNoticeAbstractUI.aspx?menuIndex=3&amp;refID=7077815&amp;Result=3","7077815")</f>
        <v>0</v>
      </c>
      <c r="B6336" t="s">
        <v>518</v>
      </c>
      <c r="C6336" t="s">
        <v>9565</v>
      </c>
      <c r="D6336" t="s">
        <v>18131</v>
      </c>
      <c r="E6336" t="s">
        <v>23839</v>
      </c>
      <c r="F6336" t="s">
        <v>31362</v>
      </c>
      <c r="G6336" t="s">
        <v>31369</v>
      </c>
      <c r="H6336" t="s">
        <v>31378</v>
      </c>
      <c r="I6336" t="s">
        <v>31386</v>
      </c>
      <c r="J6336" t="s">
        <v>35460</v>
      </c>
      <c r="K6336" t="s">
        <v>40662</v>
      </c>
      <c r="M6336" t="s">
        <v>41474</v>
      </c>
      <c r="N6336" t="s">
        <v>44905</v>
      </c>
      <c r="O6336" t="s">
        <v>44906</v>
      </c>
      <c r="P6336">
        <v>0</v>
      </c>
      <c r="Q6336">
        <v>50</v>
      </c>
      <c r="R6336" t="s">
        <v>44909</v>
      </c>
      <c r="S6336" t="s">
        <v>45060</v>
      </c>
      <c r="T6336" t="s">
        <v>46396</v>
      </c>
      <c r="U6336" t="s">
        <v>52077</v>
      </c>
      <c r="W6336" t="s">
        <v>41474</v>
      </c>
      <c r="X6336" t="s">
        <v>44910</v>
      </c>
    </row>
    <row r="6337" spans="1:24">
      <c r="A6337">
        <f>HYPERLINK("https://www.philgeps.gov.ph/GEPSNONPILOT/Tender/SplashBidNoticeAbstractUI.aspx?menuIndex=3&amp;refID=7077838&amp;Result=3","7077838")</f>
        <v>0</v>
      </c>
      <c r="B6337" t="s">
        <v>1526</v>
      </c>
      <c r="C6337" t="s">
        <v>9566</v>
      </c>
      <c r="D6337" t="s">
        <v>18131</v>
      </c>
      <c r="E6337" t="s">
        <v>23840</v>
      </c>
      <c r="F6337" t="s">
        <v>31362</v>
      </c>
      <c r="G6337" t="s">
        <v>31368</v>
      </c>
      <c r="H6337" t="s">
        <v>15799</v>
      </c>
      <c r="I6337" t="s">
        <v>31393</v>
      </c>
      <c r="J6337" t="s">
        <v>31545</v>
      </c>
      <c r="K6337" t="s">
        <v>40661</v>
      </c>
      <c r="M6337" t="s">
        <v>42571</v>
      </c>
      <c r="N6337" t="s">
        <v>44905</v>
      </c>
      <c r="O6337" t="s">
        <v>44906</v>
      </c>
      <c r="P6337">
        <v>0</v>
      </c>
      <c r="Q6337">
        <v>1</v>
      </c>
      <c r="R6337" t="s">
        <v>44909</v>
      </c>
      <c r="S6337" t="s">
        <v>45060</v>
      </c>
      <c r="T6337" t="s">
        <v>46414</v>
      </c>
      <c r="U6337" t="s">
        <v>52078</v>
      </c>
      <c r="V6337" t="s">
        <v>59666</v>
      </c>
      <c r="W6337" t="s">
        <v>42571</v>
      </c>
      <c r="X6337" t="s">
        <v>44910</v>
      </c>
    </row>
    <row r="6338" spans="1:24">
      <c r="A6338">
        <f>HYPERLINK("https://www.philgeps.gov.ph/GEPSNONPILOT/Tender/SplashBidNoticeAbstractUI.aspx?menuIndex=3&amp;refID=7077812&amp;Result=3","7077812")</f>
        <v>0</v>
      </c>
      <c r="B6338" t="s">
        <v>1451</v>
      </c>
      <c r="C6338" t="s">
        <v>9567</v>
      </c>
      <c r="D6338" t="s">
        <v>18138</v>
      </c>
      <c r="E6338" t="s">
        <v>23841</v>
      </c>
      <c r="F6338" t="s">
        <v>31362</v>
      </c>
      <c r="G6338" t="s">
        <v>31368</v>
      </c>
      <c r="H6338" t="s">
        <v>15799</v>
      </c>
      <c r="I6338" t="s">
        <v>3815</v>
      </c>
      <c r="J6338" t="s">
        <v>31546</v>
      </c>
      <c r="K6338" t="s">
        <v>40661</v>
      </c>
      <c r="M6338" t="s">
        <v>42481</v>
      </c>
      <c r="N6338" t="s">
        <v>44905</v>
      </c>
      <c r="O6338" t="s">
        <v>44906</v>
      </c>
      <c r="P6338">
        <v>0</v>
      </c>
      <c r="Q6338">
        <v>0</v>
      </c>
      <c r="R6338" t="s">
        <v>44909</v>
      </c>
      <c r="S6338" t="s">
        <v>45060</v>
      </c>
      <c r="T6338" t="s">
        <v>46394</v>
      </c>
      <c r="U6338" t="s">
        <v>50268</v>
      </c>
      <c r="W6338" t="s">
        <v>42481</v>
      </c>
      <c r="X6338" t="s">
        <v>44910</v>
      </c>
    </row>
    <row r="6339" spans="1:24">
      <c r="A6339">
        <f>HYPERLINK("https://www.philgeps.gov.ph/GEPSNONPILOT/Tender/SplashBidNoticeAbstractUI.aspx?menuIndex=3&amp;refID=7077837&amp;Result=3","7077837")</f>
        <v>0</v>
      </c>
      <c r="B6339" t="s">
        <v>1989</v>
      </c>
      <c r="C6339" t="s">
        <v>9568</v>
      </c>
      <c r="D6339" t="s">
        <v>18108</v>
      </c>
      <c r="E6339" t="s">
        <v>23842</v>
      </c>
      <c r="F6339" t="s">
        <v>31362</v>
      </c>
      <c r="G6339" t="s">
        <v>31369</v>
      </c>
      <c r="H6339" t="s">
        <v>31379</v>
      </c>
      <c r="I6339" t="s">
        <v>31436</v>
      </c>
      <c r="J6339" t="s">
        <v>35461</v>
      </c>
      <c r="K6339" t="s">
        <v>40769</v>
      </c>
      <c r="M6339" t="s">
        <v>43098</v>
      </c>
      <c r="N6339" t="s">
        <v>44905</v>
      </c>
      <c r="O6339" t="s">
        <v>44906</v>
      </c>
      <c r="P6339">
        <v>0</v>
      </c>
      <c r="Q6339">
        <v>8</v>
      </c>
      <c r="R6339" t="s">
        <v>44909</v>
      </c>
      <c r="S6339" t="s">
        <v>45060</v>
      </c>
      <c r="T6339" t="s">
        <v>46721</v>
      </c>
      <c r="U6339" t="s">
        <v>52079</v>
      </c>
      <c r="W6339" t="s">
        <v>43098</v>
      </c>
      <c r="X6339" t="s">
        <v>44910</v>
      </c>
    </row>
    <row r="6340" spans="1:24">
      <c r="A6340">
        <f>HYPERLINK("https://www.philgeps.gov.ph/GEPSNONPILOT/Tender/SplashBidNoticeAbstractUI.aspx?menuIndex=3&amp;refID=7077835&amp;Result=3","7077835")</f>
        <v>0</v>
      </c>
      <c r="B6340" t="s">
        <v>1990</v>
      </c>
      <c r="C6340" t="s">
        <v>9569</v>
      </c>
      <c r="D6340" t="s">
        <v>18104</v>
      </c>
      <c r="E6340" t="s">
        <v>23843</v>
      </c>
      <c r="F6340" t="s">
        <v>31362</v>
      </c>
      <c r="G6340" t="s">
        <v>31368</v>
      </c>
      <c r="H6340" t="s">
        <v>15799</v>
      </c>
      <c r="I6340" t="s">
        <v>13635</v>
      </c>
      <c r="J6340" t="s">
        <v>35462</v>
      </c>
      <c r="K6340" t="s">
        <v>40681</v>
      </c>
      <c r="L6340" t="s">
        <v>1990</v>
      </c>
      <c r="M6340" t="s">
        <v>43099</v>
      </c>
      <c r="N6340" t="s">
        <v>44905</v>
      </c>
      <c r="O6340" t="s">
        <v>44906</v>
      </c>
      <c r="P6340">
        <v>0</v>
      </c>
      <c r="Q6340">
        <v>0</v>
      </c>
      <c r="R6340" t="s">
        <v>44909</v>
      </c>
      <c r="S6340" t="s">
        <v>45060</v>
      </c>
      <c r="T6340" t="s">
        <v>46509</v>
      </c>
      <c r="U6340" t="s">
        <v>52080</v>
      </c>
      <c r="V6340" t="s">
        <v>59667</v>
      </c>
      <c r="W6340" t="s">
        <v>43099</v>
      </c>
      <c r="X6340" t="s">
        <v>44910</v>
      </c>
    </row>
    <row r="6341" spans="1:24">
      <c r="A6341">
        <f>HYPERLINK("https://www.philgeps.gov.ph/GEPSNONPILOT/Tender/SplashBidNoticeAbstractUI.aspx?menuIndex=3&amp;refID=7077831&amp;Result=3","7077831")</f>
        <v>0</v>
      </c>
      <c r="B6341" t="s">
        <v>185</v>
      </c>
      <c r="C6341" t="s">
        <v>9570</v>
      </c>
      <c r="D6341" t="s">
        <v>18153</v>
      </c>
      <c r="E6341" t="s">
        <v>23844</v>
      </c>
      <c r="F6341" t="s">
        <v>31362</v>
      </c>
      <c r="G6341" t="s">
        <v>31369</v>
      </c>
      <c r="H6341" t="s">
        <v>15799</v>
      </c>
      <c r="I6341" t="s">
        <v>31409</v>
      </c>
      <c r="J6341" t="s">
        <v>35463</v>
      </c>
      <c r="K6341" t="s">
        <v>40665</v>
      </c>
      <c r="M6341" t="s">
        <v>41123</v>
      </c>
      <c r="N6341" t="s">
        <v>44905</v>
      </c>
      <c r="O6341" t="s">
        <v>44906</v>
      </c>
      <c r="P6341">
        <v>0</v>
      </c>
      <c r="Q6341">
        <v>2</v>
      </c>
      <c r="R6341" t="s">
        <v>44909</v>
      </c>
      <c r="S6341" t="s">
        <v>45060</v>
      </c>
      <c r="T6341" t="s">
        <v>46524</v>
      </c>
      <c r="U6341" t="s">
        <v>52081</v>
      </c>
      <c r="W6341" t="s">
        <v>41123</v>
      </c>
      <c r="X6341" t="s">
        <v>44910</v>
      </c>
    </row>
    <row r="6342" spans="1:24">
      <c r="A6342">
        <f>HYPERLINK("https://www.philgeps.gov.ph/GEPSNONPILOT/Tender/SplashBidNoticeAbstractUI.aspx?menuIndex=3&amp;refID=7077830&amp;Result=3","7077830")</f>
        <v>0</v>
      </c>
      <c r="B6342" t="s">
        <v>1929</v>
      </c>
      <c r="C6342" t="s">
        <v>9571</v>
      </c>
      <c r="D6342" t="s">
        <v>18174</v>
      </c>
      <c r="E6342" t="s">
        <v>18415</v>
      </c>
      <c r="F6342" t="s">
        <v>31362</v>
      </c>
      <c r="G6342" t="s">
        <v>31369</v>
      </c>
      <c r="H6342" t="s">
        <v>15799</v>
      </c>
      <c r="I6342" t="s">
        <v>31409</v>
      </c>
      <c r="J6342" t="s">
        <v>33060</v>
      </c>
      <c r="K6342" t="s">
        <v>40675</v>
      </c>
      <c r="M6342" t="s">
        <v>43027</v>
      </c>
      <c r="N6342" t="s">
        <v>44905</v>
      </c>
      <c r="O6342" t="s">
        <v>44906</v>
      </c>
      <c r="P6342">
        <v>0</v>
      </c>
      <c r="Q6342">
        <v>4</v>
      </c>
      <c r="R6342" t="s">
        <v>44909</v>
      </c>
      <c r="S6342" t="s">
        <v>45060</v>
      </c>
      <c r="T6342" t="s">
        <v>46722</v>
      </c>
      <c r="U6342" t="s">
        <v>52082</v>
      </c>
      <c r="W6342" t="s">
        <v>43027</v>
      </c>
      <c r="X6342" t="s">
        <v>44910</v>
      </c>
    </row>
    <row r="6343" spans="1:24">
      <c r="A6343">
        <f>HYPERLINK("https://www.philgeps.gov.ph/GEPSNONPILOT/Tender/SplashBidNoticeAbstractUI.aspx?menuIndex=3&amp;refID=7077828&amp;Result=3","7077828")</f>
        <v>0</v>
      </c>
      <c r="B6343" t="s">
        <v>1375</v>
      </c>
      <c r="C6343" t="s">
        <v>9572</v>
      </c>
      <c r="D6343" t="s">
        <v>18108</v>
      </c>
      <c r="E6343" t="s">
        <v>23845</v>
      </c>
      <c r="F6343" t="s">
        <v>31362</v>
      </c>
      <c r="G6343" t="s">
        <v>31368</v>
      </c>
      <c r="H6343" t="s">
        <v>15799</v>
      </c>
      <c r="I6343" t="s">
        <v>31400</v>
      </c>
      <c r="J6343" t="s">
        <v>32058</v>
      </c>
      <c r="K6343" t="s">
        <v>40682</v>
      </c>
      <c r="M6343" t="s">
        <v>43100</v>
      </c>
      <c r="N6343" t="s">
        <v>44905</v>
      </c>
      <c r="O6343" t="s">
        <v>44906</v>
      </c>
      <c r="P6343">
        <v>0</v>
      </c>
      <c r="Q6343">
        <v>4</v>
      </c>
      <c r="R6343" t="s">
        <v>44909</v>
      </c>
      <c r="S6343" t="s">
        <v>45060</v>
      </c>
      <c r="T6343" t="s">
        <v>46454</v>
      </c>
      <c r="U6343" t="s">
        <v>52083</v>
      </c>
      <c r="W6343" t="s">
        <v>43100</v>
      </c>
      <c r="X6343" t="s">
        <v>44910</v>
      </c>
    </row>
    <row r="6344" spans="1:24">
      <c r="A6344">
        <f>HYPERLINK("https://www.philgeps.gov.ph/GEPSNONPILOT/Tender/SplashBidNoticeAbstractUI.aspx?menuIndex=3&amp;refID=7077826&amp;Result=3","7077826")</f>
        <v>0</v>
      </c>
      <c r="B6344" t="s">
        <v>292</v>
      </c>
      <c r="C6344" t="s">
        <v>9573</v>
      </c>
      <c r="D6344" t="s">
        <v>18143</v>
      </c>
      <c r="E6344" t="s">
        <v>23846</v>
      </c>
      <c r="F6344" t="s">
        <v>31362</v>
      </c>
      <c r="G6344" t="s">
        <v>31369</v>
      </c>
      <c r="H6344" t="s">
        <v>15799</v>
      </c>
      <c r="I6344" t="s">
        <v>31409</v>
      </c>
      <c r="J6344" t="s">
        <v>31615</v>
      </c>
      <c r="K6344" t="s">
        <v>40679</v>
      </c>
      <c r="M6344" t="s">
        <v>41235</v>
      </c>
      <c r="N6344" t="s">
        <v>44905</v>
      </c>
      <c r="O6344" t="s">
        <v>44906</v>
      </c>
      <c r="P6344">
        <v>0</v>
      </c>
      <c r="Q6344">
        <v>5</v>
      </c>
      <c r="R6344" t="s">
        <v>44909</v>
      </c>
      <c r="S6344" t="s">
        <v>45060</v>
      </c>
      <c r="T6344" t="s">
        <v>46671</v>
      </c>
      <c r="U6344" t="s">
        <v>52084</v>
      </c>
      <c r="W6344" t="s">
        <v>41235</v>
      </c>
      <c r="X6344" t="s">
        <v>44910</v>
      </c>
    </row>
    <row r="6345" spans="1:24">
      <c r="A6345">
        <f>HYPERLINK("https://www.philgeps.gov.ph/GEPSNONPILOT/Tender/SplashBidNoticeAbstractUI.aspx?menuIndex=3&amp;refID=7077825&amp;Result=3","7077825")</f>
        <v>0</v>
      </c>
      <c r="B6345" t="s">
        <v>207</v>
      </c>
      <c r="C6345" t="s">
        <v>9574</v>
      </c>
      <c r="D6345" t="s">
        <v>18127</v>
      </c>
      <c r="E6345" t="s">
        <v>23847</v>
      </c>
      <c r="F6345" t="s">
        <v>31362</v>
      </c>
      <c r="G6345" t="s">
        <v>31368</v>
      </c>
      <c r="H6345" t="s">
        <v>15799</v>
      </c>
      <c r="I6345" t="s">
        <v>31383</v>
      </c>
      <c r="J6345" t="s">
        <v>31686</v>
      </c>
      <c r="K6345" t="s">
        <v>40662</v>
      </c>
      <c r="M6345" t="s">
        <v>41146</v>
      </c>
      <c r="N6345" t="s">
        <v>44905</v>
      </c>
      <c r="O6345" t="s">
        <v>44906</v>
      </c>
      <c r="P6345">
        <v>0</v>
      </c>
      <c r="Q6345">
        <v>4</v>
      </c>
      <c r="R6345" t="s">
        <v>44909</v>
      </c>
      <c r="S6345" t="s">
        <v>45060</v>
      </c>
      <c r="T6345" t="s">
        <v>46438</v>
      </c>
      <c r="U6345" t="s">
        <v>52085</v>
      </c>
      <c r="W6345" t="s">
        <v>41146</v>
      </c>
      <c r="X6345" t="s">
        <v>44910</v>
      </c>
    </row>
    <row r="6346" spans="1:24">
      <c r="A6346">
        <f>HYPERLINK("https://www.philgeps.gov.ph/GEPSNONPILOT/Tender/SplashBidNoticeAbstractUI.aspx?menuIndex=3&amp;refID=7077819&amp;Result=3","7077819")</f>
        <v>0</v>
      </c>
      <c r="B6346" t="s">
        <v>600</v>
      </c>
      <c r="C6346" t="s">
        <v>9575</v>
      </c>
      <c r="D6346" t="s">
        <v>18125</v>
      </c>
      <c r="E6346" t="s">
        <v>23848</v>
      </c>
      <c r="F6346" t="s">
        <v>31362</v>
      </c>
      <c r="G6346" t="s">
        <v>31368</v>
      </c>
      <c r="H6346" t="s">
        <v>15799</v>
      </c>
      <c r="I6346" t="s">
        <v>7090</v>
      </c>
      <c r="J6346" t="s">
        <v>35464</v>
      </c>
      <c r="K6346" t="s">
        <v>40665</v>
      </c>
      <c r="M6346" t="s">
        <v>43101</v>
      </c>
      <c r="N6346" t="s">
        <v>44905</v>
      </c>
      <c r="O6346" t="s">
        <v>44906</v>
      </c>
      <c r="P6346">
        <v>0</v>
      </c>
      <c r="Q6346">
        <v>0</v>
      </c>
      <c r="R6346" t="s">
        <v>44909</v>
      </c>
      <c r="S6346" t="s">
        <v>45060</v>
      </c>
      <c r="T6346" t="s">
        <v>46723</v>
      </c>
      <c r="U6346" t="s">
        <v>52086</v>
      </c>
      <c r="W6346" t="s">
        <v>43101</v>
      </c>
      <c r="X6346" t="s">
        <v>44910</v>
      </c>
    </row>
    <row r="6347" spans="1:24">
      <c r="A6347">
        <f>HYPERLINK("https://www.philgeps.gov.ph/GEPSNONPILOT/Tender/SplashBidNoticeAbstractUI.aspx?menuIndex=3&amp;refID=7077824&amp;Result=3","7077824")</f>
        <v>0</v>
      </c>
      <c r="B6347" t="s">
        <v>1264</v>
      </c>
      <c r="C6347" t="s">
        <v>9576</v>
      </c>
      <c r="D6347" t="s">
        <v>18108</v>
      </c>
      <c r="E6347" t="s">
        <v>20783</v>
      </c>
      <c r="F6347" t="s">
        <v>31362</v>
      </c>
      <c r="G6347" t="s">
        <v>31368</v>
      </c>
      <c r="H6347" t="s">
        <v>15799</v>
      </c>
      <c r="I6347" t="s">
        <v>31380</v>
      </c>
      <c r="J6347" t="s">
        <v>33680</v>
      </c>
      <c r="K6347" t="s">
        <v>40665</v>
      </c>
      <c r="M6347" t="s">
        <v>42281</v>
      </c>
      <c r="N6347" t="s">
        <v>44905</v>
      </c>
      <c r="O6347" t="s">
        <v>44906</v>
      </c>
      <c r="P6347">
        <v>0</v>
      </c>
      <c r="Q6347">
        <v>3</v>
      </c>
      <c r="R6347" t="s">
        <v>44909</v>
      </c>
      <c r="S6347" t="s">
        <v>45060</v>
      </c>
      <c r="T6347" t="s">
        <v>46454</v>
      </c>
      <c r="U6347" t="s">
        <v>52087</v>
      </c>
      <c r="W6347" t="s">
        <v>42281</v>
      </c>
      <c r="X6347" t="s">
        <v>44910</v>
      </c>
    </row>
    <row r="6348" spans="1:24">
      <c r="A6348">
        <f>HYPERLINK("https://www.philgeps.gov.ph/GEPSNONPILOT/Tender/SplashBidNoticeAbstractUI.aspx?menuIndex=3&amp;refID=7077843&amp;Result=3","7077843")</f>
        <v>0</v>
      </c>
      <c r="B6348" t="s">
        <v>237</v>
      </c>
      <c r="C6348" t="s">
        <v>9577</v>
      </c>
      <c r="D6348" t="s">
        <v>18108</v>
      </c>
      <c r="E6348" t="s">
        <v>23849</v>
      </c>
      <c r="F6348" t="s">
        <v>31362</v>
      </c>
      <c r="G6348" t="s">
        <v>31370</v>
      </c>
      <c r="H6348" t="s">
        <v>15799</v>
      </c>
      <c r="I6348" t="s">
        <v>7090</v>
      </c>
      <c r="J6348" t="s">
        <v>35465</v>
      </c>
      <c r="K6348" t="s">
        <v>40670</v>
      </c>
      <c r="M6348" t="s">
        <v>41176</v>
      </c>
      <c r="N6348" t="s">
        <v>44905</v>
      </c>
      <c r="O6348" t="s">
        <v>44906</v>
      </c>
      <c r="P6348">
        <v>0</v>
      </c>
      <c r="Q6348">
        <v>3</v>
      </c>
      <c r="R6348" t="s">
        <v>44909</v>
      </c>
      <c r="S6348" t="s">
        <v>45060</v>
      </c>
      <c r="T6348" t="s">
        <v>46518</v>
      </c>
      <c r="U6348" t="s">
        <v>52088</v>
      </c>
      <c r="V6348" t="s">
        <v>59113</v>
      </c>
      <c r="W6348" t="s">
        <v>41176</v>
      </c>
      <c r="X6348" t="s">
        <v>44910</v>
      </c>
    </row>
    <row r="6349" spans="1:24">
      <c r="A6349">
        <f>HYPERLINK("https://www.philgeps.gov.ph/GEPSNONPILOT/Tender/SplashBidNoticeAbstractUI.aspx?menuIndex=3&amp;refID=7077810&amp;Result=3","7077810")</f>
        <v>0</v>
      </c>
      <c r="B6349" t="s">
        <v>971</v>
      </c>
      <c r="C6349" t="s">
        <v>9578</v>
      </c>
      <c r="D6349" t="s">
        <v>18166</v>
      </c>
      <c r="E6349" t="s">
        <v>23850</v>
      </c>
      <c r="F6349" t="s">
        <v>31362</v>
      </c>
      <c r="G6349" t="s">
        <v>31369</v>
      </c>
      <c r="H6349" t="s">
        <v>15799</v>
      </c>
      <c r="I6349" t="s">
        <v>31409</v>
      </c>
      <c r="J6349" t="s">
        <v>31606</v>
      </c>
      <c r="K6349" t="s">
        <v>40662</v>
      </c>
      <c r="M6349" t="s">
        <v>41961</v>
      </c>
      <c r="N6349" t="s">
        <v>44905</v>
      </c>
      <c r="O6349" t="s">
        <v>44906</v>
      </c>
      <c r="P6349">
        <v>0</v>
      </c>
      <c r="Q6349">
        <v>2</v>
      </c>
      <c r="R6349" t="s">
        <v>44909</v>
      </c>
      <c r="S6349" t="s">
        <v>45060</v>
      </c>
      <c r="T6349" t="s">
        <v>46431</v>
      </c>
      <c r="U6349" t="s">
        <v>52089</v>
      </c>
      <c r="W6349" t="s">
        <v>41961</v>
      </c>
      <c r="X6349" t="s">
        <v>44910</v>
      </c>
    </row>
    <row r="6350" spans="1:24">
      <c r="A6350">
        <f>HYPERLINK("https://www.philgeps.gov.ph/GEPSNONPILOT/Tender/SplashBidNoticeAbstractUI.aspx?menuIndex=3&amp;refID=7077840&amp;Result=3","7077840")</f>
        <v>0</v>
      </c>
      <c r="B6350" t="s">
        <v>1451</v>
      </c>
      <c r="C6350" t="s">
        <v>9579</v>
      </c>
      <c r="D6350" t="s">
        <v>18138</v>
      </c>
      <c r="E6350" t="s">
        <v>23851</v>
      </c>
      <c r="F6350" t="s">
        <v>31362</v>
      </c>
      <c r="G6350" t="s">
        <v>31368</v>
      </c>
      <c r="H6350" t="s">
        <v>15799</v>
      </c>
      <c r="I6350" t="s">
        <v>31400</v>
      </c>
      <c r="J6350" t="s">
        <v>35466</v>
      </c>
      <c r="K6350" t="s">
        <v>40661</v>
      </c>
      <c r="M6350" t="s">
        <v>42481</v>
      </c>
      <c r="N6350" t="s">
        <v>44905</v>
      </c>
      <c r="O6350" t="s">
        <v>44906</v>
      </c>
      <c r="P6350">
        <v>0</v>
      </c>
      <c r="Q6350">
        <v>1</v>
      </c>
      <c r="R6350" t="s">
        <v>44909</v>
      </c>
      <c r="S6350" t="s">
        <v>45060</v>
      </c>
      <c r="T6350" t="s">
        <v>46394</v>
      </c>
      <c r="U6350" t="s">
        <v>50268</v>
      </c>
      <c r="W6350" t="s">
        <v>42481</v>
      </c>
      <c r="X6350" t="s">
        <v>44910</v>
      </c>
    </row>
    <row r="6351" spans="1:24">
      <c r="A6351">
        <f>HYPERLINK("https://www.philgeps.gov.ph/GEPSNONPILOT/Tender/SplashBidNoticeAbstractUI.aspx?menuIndex=3&amp;refID=7077823&amp;Result=3","7077823")</f>
        <v>0</v>
      </c>
      <c r="B6351" t="s">
        <v>1662</v>
      </c>
      <c r="C6351" t="s">
        <v>9580</v>
      </c>
      <c r="D6351" t="s">
        <v>18175</v>
      </c>
      <c r="E6351" t="s">
        <v>23852</v>
      </c>
      <c r="F6351" t="s">
        <v>31362</v>
      </c>
      <c r="G6351" t="s">
        <v>31373</v>
      </c>
      <c r="H6351" t="s">
        <v>31378</v>
      </c>
      <c r="I6351" t="s">
        <v>31386</v>
      </c>
      <c r="J6351" t="s">
        <v>35439</v>
      </c>
      <c r="K6351" t="s">
        <v>40694</v>
      </c>
      <c r="M6351" t="s">
        <v>42727</v>
      </c>
      <c r="N6351" t="s">
        <v>44905</v>
      </c>
      <c r="O6351" t="s">
        <v>44906</v>
      </c>
      <c r="P6351">
        <v>0</v>
      </c>
      <c r="Q6351">
        <v>1</v>
      </c>
      <c r="R6351" t="s">
        <v>44909</v>
      </c>
      <c r="S6351" t="s">
        <v>45060</v>
      </c>
      <c r="T6351" t="s">
        <v>46433</v>
      </c>
      <c r="U6351" t="s">
        <v>52090</v>
      </c>
      <c r="W6351" t="s">
        <v>42727</v>
      </c>
      <c r="X6351" t="s">
        <v>44910</v>
      </c>
    </row>
    <row r="6352" spans="1:24">
      <c r="A6352">
        <f>HYPERLINK("https://www.philgeps.gov.ph/GEPSNONPILOT/Tender/SplashBidNoticeAbstractUI.aspx?menuIndex=3&amp;refID=7077817&amp;Result=3","7077817")</f>
        <v>0</v>
      </c>
      <c r="B6352" t="s">
        <v>1114</v>
      </c>
      <c r="C6352" t="s">
        <v>9581</v>
      </c>
      <c r="D6352" t="s">
        <v>18109</v>
      </c>
      <c r="E6352" t="s">
        <v>23853</v>
      </c>
      <c r="F6352" t="s">
        <v>31362</v>
      </c>
      <c r="G6352" t="s">
        <v>31370</v>
      </c>
      <c r="H6352" t="s">
        <v>15799</v>
      </c>
      <c r="I6352" t="s">
        <v>6373</v>
      </c>
      <c r="J6352" t="s">
        <v>33552</v>
      </c>
      <c r="K6352" t="s">
        <v>40666</v>
      </c>
      <c r="M6352" t="s">
        <v>42392</v>
      </c>
      <c r="N6352" t="s">
        <v>44905</v>
      </c>
      <c r="O6352" t="s">
        <v>44906</v>
      </c>
      <c r="P6352">
        <v>0</v>
      </c>
      <c r="Q6352">
        <v>1</v>
      </c>
      <c r="R6352" t="s">
        <v>44909</v>
      </c>
      <c r="S6352" t="s">
        <v>45060</v>
      </c>
      <c r="T6352" t="s">
        <v>46447</v>
      </c>
      <c r="U6352" t="s">
        <v>49981</v>
      </c>
      <c r="W6352" t="s">
        <v>42392</v>
      </c>
      <c r="X6352" t="s">
        <v>44910</v>
      </c>
    </row>
    <row r="6353" spans="1:24">
      <c r="A6353">
        <f>HYPERLINK("https://www.philgeps.gov.ph/GEPSNONPILOT/Tender/SplashBidNoticeAbstractUI.aspx?menuIndex=3&amp;refID=7077822&amp;Result=3","7077822")</f>
        <v>0</v>
      </c>
      <c r="B6353" t="s">
        <v>1991</v>
      </c>
      <c r="C6353" t="s">
        <v>9582</v>
      </c>
      <c r="D6353" t="s">
        <v>18112</v>
      </c>
      <c r="E6353" t="s">
        <v>23854</v>
      </c>
      <c r="F6353" t="s">
        <v>31362</v>
      </c>
      <c r="G6353" t="s">
        <v>31368</v>
      </c>
      <c r="H6353" t="s">
        <v>15799</v>
      </c>
      <c r="I6353" t="s">
        <v>31387</v>
      </c>
      <c r="J6353" t="s">
        <v>35467</v>
      </c>
      <c r="K6353" t="s">
        <v>40665</v>
      </c>
      <c r="M6353" t="s">
        <v>43102</v>
      </c>
      <c r="N6353" t="s">
        <v>44905</v>
      </c>
      <c r="O6353" t="s">
        <v>44906</v>
      </c>
      <c r="P6353">
        <v>0</v>
      </c>
      <c r="Q6353">
        <v>5</v>
      </c>
      <c r="R6353" t="s">
        <v>44909</v>
      </c>
      <c r="S6353" t="s">
        <v>45060</v>
      </c>
      <c r="T6353" t="s">
        <v>46447</v>
      </c>
      <c r="U6353" t="s">
        <v>52091</v>
      </c>
      <c r="W6353" t="s">
        <v>43102</v>
      </c>
      <c r="X6353" t="s">
        <v>44910</v>
      </c>
    </row>
    <row r="6354" spans="1:24">
      <c r="A6354">
        <f>HYPERLINK("https://www.philgeps.gov.ph/GEPSNONPILOT/Tender/SplashBidNoticeAbstractUI.aspx?menuIndex=3&amp;refID=7077842&amp;Result=3","7077842")</f>
        <v>0</v>
      </c>
      <c r="B6354" t="s">
        <v>472</v>
      </c>
      <c r="C6354" t="s">
        <v>9583</v>
      </c>
      <c r="D6354" t="s">
        <v>18134</v>
      </c>
      <c r="E6354" t="s">
        <v>23855</v>
      </c>
      <c r="F6354" t="s">
        <v>31362</v>
      </c>
      <c r="G6354" t="s">
        <v>31369</v>
      </c>
      <c r="H6354" t="s">
        <v>15799</v>
      </c>
      <c r="I6354" t="s">
        <v>31386</v>
      </c>
      <c r="J6354" t="s">
        <v>35468</v>
      </c>
      <c r="K6354" t="s">
        <v>40675</v>
      </c>
      <c r="M6354" t="s">
        <v>42842</v>
      </c>
      <c r="N6354" t="s">
        <v>44905</v>
      </c>
      <c r="O6354" t="s">
        <v>44906</v>
      </c>
      <c r="P6354">
        <v>0</v>
      </c>
      <c r="Q6354">
        <v>3</v>
      </c>
      <c r="R6354" t="s">
        <v>44909</v>
      </c>
      <c r="S6354" t="s">
        <v>45060</v>
      </c>
      <c r="T6354" t="s">
        <v>46616</v>
      </c>
      <c r="U6354" t="s">
        <v>52051</v>
      </c>
      <c r="W6354" t="s">
        <v>42842</v>
      </c>
      <c r="X6354" t="s">
        <v>44910</v>
      </c>
    </row>
    <row r="6355" spans="1:24">
      <c r="A6355">
        <f>HYPERLINK("https://www.philgeps.gov.ph/GEPSNONPILOT/Tender/SplashBidNoticeAbstractUI.aspx?menuIndex=3&amp;refID=7077820&amp;Result=3","7077820")</f>
        <v>0</v>
      </c>
      <c r="B6355" t="s">
        <v>506</v>
      </c>
      <c r="C6355" t="s">
        <v>9584</v>
      </c>
      <c r="D6355" t="s">
        <v>18110</v>
      </c>
      <c r="E6355" t="s">
        <v>23856</v>
      </c>
      <c r="F6355" t="s">
        <v>31362</v>
      </c>
      <c r="G6355" t="s">
        <v>31369</v>
      </c>
      <c r="H6355" t="s">
        <v>15799</v>
      </c>
      <c r="I6355" t="s">
        <v>7188</v>
      </c>
      <c r="J6355" t="s">
        <v>32278</v>
      </c>
      <c r="K6355" t="s">
        <v>40666</v>
      </c>
      <c r="M6355" t="s">
        <v>41461</v>
      </c>
      <c r="N6355" t="s">
        <v>44905</v>
      </c>
      <c r="O6355" t="s">
        <v>44906</v>
      </c>
      <c r="P6355">
        <v>0</v>
      </c>
      <c r="Q6355">
        <v>6</v>
      </c>
      <c r="R6355" t="s">
        <v>44909</v>
      </c>
      <c r="S6355" t="s">
        <v>45060</v>
      </c>
      <c r="T6355" t="s">
        <v>46435</v>
      </c>
      <c r="U6355" t="s">
        <v>52092</v>
      </c>
      <c r="W6355" t="s">
        <v>41461</v>
      </c>
      <c r="X6355" t="s">
        <v>44910</v>
      </c>
    </row>
    <row r="6356" spans="1:24">
      <c r="A6356">
        <f>HYPERLINK("https://www.philgeps.gov.ph/GEPSNONPILOT/Tender/SplashBidNoticeAbstractUI.aspx?menuIndex=3&amp;refID=7077841&amp;Result=3","7077841")</f>
        <v>0</v>
      </c>
      <c r="B6356" t="s">
        <v>1992</v>
      </c>
      <c r="C6356" t="s">
        <v>9502</v>
      </c>
      <c r="D6356" t="s">
        <v>18110</v>
      </c>
      <c r="E6356" t="s">
        <v>18688</v>
      </c>
      <c r="F6356" t="s">
        <v>31362</v>
      </c>
      <c r="G6356" t="s">
        <v>31369</v>
      </c>
      <c r="H6356" t="s">
        <v>15799</v>
      </c>
      <c r="I6356" t="s">
        <v>31427</v>
      </c>
      <c r="J6356" t="s">
        <v>34425</v>
      </c>
      <c r="K6356" t="s">
        <v>40697</v>
      </c>
      <c r="M6356" t="s">
        <v>43103</v>
      </c>
      <c r="N6356" t="s">
        <v>44905</v>
      </c>
      <c r="O6356" t="s">
        <v>44906</v>
      </c>
      <c r="P6356">
        <v>0</v>
      </c>
      <c r="Q6356">
        <v>0</v>
      </c>
      <c r="R6356" t="s">
        <v>44909</v>
      </c>
      <c r="S6356" t="s">
        <v>45060</v>
      </c>
      <c r="T6356" t="s">
        <v>46427</v>
      </c>
      <c r="U6356" t="s">
        <v>52019</v>
      </c>
      <c r="W6356" t="s">
        <v>43103</v>
      </c>
      <c r="X6356" t="s">
        <v>44910</v>
      </c>
    </row>
    <row r="6357" spans="1:24">
      <c r="A6357">
        <f>HYPERLINK("https://www.philgeps.gov.ph/GEPSNONPILOT/Tender/SplashBidNoticeAbstractUI.aspx?menuIndex=3&amp;refID=7077845&amp;Result=3","7077845")</f>
        <v>0</v>
      </c>
      <c r="B6357" t="s">
        <v>717</v>
      </c>
      <c r="C6357" t="s">
        <v>9585</v>
      </c>
      <c r="D6357" t="s">
        <v>18167</v>
      </c>
      <c r="E6357" t="s">
        <v>23857</v>
      </c>
      <c r="F6357" t="s">
        <v>31362</v>
      </c>
      <c r="G6357" t="s">
        <v>31370</v>
      </c>
      <c r="H6357" t="s">
        <v>15799</v>
      </c>
      <c r="I6357" t="s">
        <v>6373</v>
      </c>
      <c r="J6357" t="s">
        <v>35469</v>
      </c>
      <c r="K6357" t="s">
        <v>40665</v>
      </c>
      <c r="M6357" t="s">
        <v>41682</v>
      </c>
      <c r="N6357" t="s">
        <v>44905</v>
      </c>
      <c r="O6357" t="s">
        <v>44906</v>
      </c>
      <c r="P6357">
        <v>0</v>
      </c>
      <c r="Q6357">
        <v>2</v>
      </c>
      <c r="R6357" t="s">
        <v>44909</v>
      </c>
      <c r="S6357" t="s">
        <v>45060</v>
      </c>
      <c r="T6357" t="s">
        <v>46411</v>
      </c>
      <c r="U6357" t="s">
        <v>52093</v>
      </c>
      <c r="W6357" t="s">
        <v>41682</v>
      </c>
      <c r="X6357" t="s">
        <v>44910</v>
      </c>
    </row>
    <row r="6358" spans="1:24">
      <c r="A6358">
        <f>HYPERLINK("https://www.philgeps.gov.ph/GEPSNONPILOT/Tender/SplashBidNoticeAbstractUI.aspx?menuIndex=3&amp;refID=7077799&amp;Result=3","7077799")</f>
        <v>0</v>
      </c>
      <c r="B6358" t="s">
        <v>1985</v>
      </c>
      <c r="C6358" t="s">
        <v>9586</v>
      </c>
      <c r="D6358" t="s">
        <v>18168</v>
      </c>
      <c r="E6358" t="s">
        <v>23858</v>
      </c>
      <c r="F6358" t="s">
        <v>31362</v>
      </c>
      <c r="G6358" t="s">
        <v>31368</v>
      </c>
      <c r="H6358" t="s">
        <v>31377</v>
      </c>
      <c r="I6358" t="s">
        <v>31388</v>
      </c>
      <c r="J6358" t="s">
        <v>32278</v>
      </c>
      <c r="K6358" t="s">
        <v>40682</v>
      </c>
      <c r="M6358" t="s">
        <v>43094</v>
      </c>
      <c r="N6358" t="s">
        <v>44905</v>
      </c>
      <c r="O6358" t="s">
        <v>44906</v>
      </c>
      <c r="P6358">
        <v>0</v>
      </c>
      <c r="Q6358">
        <v>0</v>
      </c>
      <c r="R6358" t="s">
        <v>44909</v>
      </c>
      <c r="S6358" t="s">
        <v>45060</v>
      </c>
      <c r="T6358" t="s">
        <v>46415</v>
      </c>
      <c r="U6358" t="s">
        <v>52094</v>
      </c>
      <c r="W6358" t="s">
        <v>43094</v>
      </c>
      <c r="X6358" t="s">
        <v>44910</v>
      </c>
    </row>
    <row r="6359" spans="1:24">
      <c r="A6359">
        <f>HYPERLINK("https://www.philgeps.gov.ph/GEPSNONPILOT/Tender/SplashBidNoticeAbstractUI.aspx?menuIndex=3&amp;refID=7077864&amp;Result=3","7077864")</f>
        <v>0</v>
      </c>
      <c r="B6359" t="s">
        <v>1993</v>
      </c>
      <c r="C6359" t="s">
        <v>9587</v>
      </c>
      <c r="D6359" t="s">
        <v>18169</v>
      </c>
      <c r="E6359" t="s">
        <v>23859</v>
      </c>
      <c r="F6359" t="s">
        <v>31362</v>
      </c>
      <c r="G6359" t="s">
        <v>31368</v>
      </c>
      <c r="H6359" t="s">
        <v>31379</v>
      </c>
      <c r="I6359" t="s">
        <v>31502</v>
      </c>
      <c r="J6359" t="s">
        <v>35470</v>
      </c>
      <c r="K6359" t="s">
        <v>40712</v>
      </c>
      <c r="M6359" t="s">
        <v>43104</v>
      </c>
      <c r="N6359" t="s">
        <v>44905</v>
      </c>
      <c r="O6359" t="s">
        <v>44906</v>
      </c>
      <c r="P6359">
        <v>0</v>
      </c>
      <c r="Q6359">
        <v>0</v>
      </c>
      <c r="R6359" t="s">
        <v>44909</v>
      </c>
      <c r="S6359" t="s">
        <v>45060</v>
      </c>
      <c r="T6359" t="s">
        <v>46432</v>
      </c>
      <c r="U6359" t="s">
        <v>52095</v>
      </c>
      <c r="W6359" t="s">
        <v>43104</v>
      </c>
      <c r="X6359" t="s">
        <v>44910</v>
      </c>
    </row>
    <row r="6360" spans="1:24">
      <c r="A6360">
        <f>HYPERLINK("https://www.philgeps.gov.ph/GEPSNONPILOT/Tender/SplashBidNoticeAbstractUI.aspx?menuIndex=3&amp;refID=7077860&amp;Result=3","7077860")</f>
        <v>0</v>
      </c>
      <c r="B6360" t="s">
        <v>1529</v>
      </c>
      <c r="C6360" t="s">
        <v>9588</v>
      </c>
      <c r="D6360" t="s">
        <v>18134</v>
      </c>
      <c r="E6360" t="s">
        <v>23860</v>
      </c>
      <c r="F6360" t="s">
        <v>31362</v>
      </c>
      <c r="G6360" t="s">
        <v>31369</v>
      </c>
      <c r="H6360" t="s">
        <v>15799</v>
      </c>
      <c r="I6360" t="s">
        <v>31397</v>
      </c>
      <c r="J6360" t="s">
        <v>35471</v>
      </c>
      <c r="K6360" t="s">
        <v>40666</v>
      </c>
      <c r="M6360" t="s">
        <v>42574</v>
      </c>
      <c r="N6360" t="s">
        <v>44905</v>
      </c>
      <c r="O6360" t="s">
        <v>44906</v>
      </c>
      <c r="P6360">
        <v>0</v>
      </c>
      <c r="Q6360">
        <v>3</v>
      </c>
      <c r="R6360" t="s">
        <v>44909</v>
      </c>
      <c r="S6360" t="s">
        <v>45060</v>
      </c>
      <c r="T6360" t="s">
        <v>46607</v>
      </c>
      <c r="U6360" t="s">
        <v>52096</v>
      </c>
      <c r="V6360" t="s">
        <v>59162</v>
      </c>
      <c r="W6360" t="s">
        <v>42574</v>
      </c>
      <c r="X6360" t="s">
        <v>44910</v>
      </c>
    </row>
    <row r="6361" spans="1:24">
      <c r="A6361">
        <f>HYPERLINK("https://www.philgeps.gov.ph/GEPSNONPILOT/Tender/SplashBidNoticeAbstractUI.aspx?menuIndex=3&amp;refID=7077866&amp;Result=3","7077866")</f>
        <v>0</v>
      </c>
      <c r="B6361" t="s">
        <v>1264</v>
      </c>
      <c r="C6361" t="s">
        <v>9589</v>
      </c>
      <c r="D6361" t="s">
        <v>18108</v>
      </c>
      <c r="E6361" t="s">
        <v>18553</v>
      </c>
      <c r="F6361" t="s">
        <v>31362</v>
      </c>
      <c r="G6361" t="s">
        <v>31368</v>
      </c>
      <c r="H6361" t="s">
        <v>15799</v>
      </c>
      <c r="I6361" t="s">
        <v>31380</v>
      </c>
      <c r="J6361" t="s">
        <v>31951</v>
      </c>
      <c r="K6361" t="s">
        <v>40665</v>
      </c>
      <c r="M6361" t="s">
        <v>42281</v>
      </c>
      <c r="N6361" t="s">
        <v>44905</v>
      </c>
      <c r="O6361" t="s">
        <v>44906</v>
      </c>
      <c r="P6361">
        <v>0</v>
      </c>
      <c r="Q6361">
        <v>16</v>
      </c>
      <c r="R6361" t="s">
        <v>44909</v>
      </c>
      <c r="S6361" t="s">
        <v>45060</v>
      </c>
      <c r="T6361" t="s">
        <v>46454</v>
      </c>
      <c r="U6361" t="s">
        <v>52097</v>
      </c>
      <c r="W6361" t="s">
        <v>42281</v>
      </c>
      <c r="X6361" t="s">
        <v>44910</v>
      </c>
    </row>
    <row r="6362" spans="1:24">
      <c r="A6362">
        <f>HYPERLINK("https://www.philgeps.gov.ph/GEPSNONPILOT/Tender/SplashBidNoticeAbstractUI.aspx?menuIndex=3&amp;refID=7077875&amp;Result=3","7077875")</f>
        <v>0</v>
      </c>
      <c r="B6362" t="s">
        <v>682</v>
      </c>
      <c r="C6362" t="s">
        <v>9590</v>
      </c>
      <c r="E6362" t="s">
        <v>23861</v>
      </c>
      <c r="F6362" t="s">
        <v>31362</v>
      </c>
      <c r="G6362" t="s">
        <v>31368</v>
      </c>
      <c r="H6362" t="s">
        <v>15799</v>
      </c>
      <c r="I6362" t="s">
        <v>4942</v>
      </c>
      <c r="J6362" t="s">
        <v>35472</v>
      </c>
      <c r="K6362" t="s">
        <v>40662</v>
      </c>
      <c r="M6362" t="s">
        <v>41644</v>
      </c>
      <c r="N6362" t="s">
        <v>44905</v>
      </c>
      <c r="O6362" t="s">
        <v>44906</v>
      </c>
      <c r="P6362">
        <v>0</v>
      </c>
      <c r="Q6362">
        <v>1</v>
      </c>
      <c r="R6362" t="s">
        <v>44909</v>
      </c>
      <c r="S6362" t="s">
        <v>45060</v>
      </c>
      <c r="T6362" t="s">
        <v>46414</v>
      </c>
      <c r="U6362" t="s">
        <v>52098</v>
      </c>
      <c r="V6362" t="s">
        <v>59668</v>
      </c>
      <c r="W6362" t="s">
        <v>41644</v>
      </c>
      <c r="X6362" t="s">
        <v>44910</v>
      </c>
    </row>
    <row r="6363" spans="1:24">
      <c r="A6363">
        <f>HYPERLINK("https://www.philgeps.gov.ph/GEPSNONPILOT/Tender/SplashBidNoticeAbstractUI.aspx?menuIndex=3&amp;refID=7077863&amp;Result=3","7077863")</f>
        <v>0</v>
      </c>
      <c r="B6363" t="s">
        <v>292</v>
      </c>
      <c r="C6363" t="s">
        <v>9591</v>
      </c>
      <c r="D6363" t="s">
        <v>18143</v>
      </c>
      <c r="E6363" t="s">
        <v>23862</v>
      </c>
      <c r="F6363" t="s">
        <v>31362</v>
      </c>
      <c r="G6363" t="s">
        <v>31368</v>
      </c>
      <c r="H6363" t="s">
        <v>15799</v>
      </c>
      <c r="I6363" t="s">
        <v>7090</v>
      </c>
      <c r="J6363" t="s">
        <v>35473</v>
      </c>
      <c r="K6363" t="s">
        <v>40661</v>
      </c>
      <c r="M6363" t="s">
        <v>41235</v>
      </c>
      <c r="N6363" t="s">
        <v>44905</v>
      </c>
      <c r="O6363" t="s">
        <v>44906</v>
      </c>
      <c r="P6363">
        <v>0</v>
      </c>
      <c r="Q6363">
        <v>0</v>
      </c>
      <c r="R6363" t="s">
        <v>44909</v>
      </c>
      <c r="S6363" t="s">
        <v>45060</v>
      </c>
      <c r="T6363" t="s">
        <v>46410</v>
      </c>
      <c r="U6363" t="s">
        <v>52099</v>
      </c>
      <c r="W6363" t="s">
        <v>41235</v>
      </c>
      <c r="X6363" t="s">
        <v>44910</v>
      </c>
    </row>
    <row r="6364" spans="1:24">
      <c r="A6364">
        <f>HYPERLINK("https://www.philgeps.gov.ph/GEPSNONPILOT/Tender/SplashBidNoticeAbstractUI.aspx?menuIndex=3&amp;refID=7077872&amp;Result=3","7077872")</f>
        <v>0</v>
      </c>
      <c r="B6364" t="s">
        <v>1994</v>
      </c>
      <c r="C6364" t="s">
        <v>9592</v>
      </c>
      <c r="D6364" t="s">
        <v>18117</v>
      </c>
      <c r="E6364" t="s">
        <v>23863</v>
      </c>
      <c r="F6364" t="s">
        <v>31362</v>
      </c>
      <c r="G6364" t="s">
        <v>31369</v>
      </c>
      <c r="H6364" t="s">
        <v>15799</v>
      </c>
      <c r="I6364" t="s">
        <v>3815</v>
      </c>
      <c r="J6364" t="s">
        <v>35094</v>
      </c>
      <c r="K6364" t="s">
        <v>40666</v>
      </c>
      <c r="M6364" t="s">
        <v>43105</v>
      </c>
      <c r="N6364" t="s">
        <v>44905</v>
      </c>
      <c r="O6364" t="s">
        <v>44906</v>
      </c>
      <c r="P6364">
        <v>0</v>
      </c>
      <c r="Q6364">
        <v>0</v>
      </c>
      <c r="R6364" t="s">
        <v>44909</v>
      </c>
      <c r="S6364" t="s">
        <v>45060</v>
      </c>
      <c r="T6364" t="s">
        <v>46400</v>
      </c>
      <c r="U6364" t="s">
        <v>52100</v>
      </c>
      <c r="V6364" t="s">
        <v>59669</v>
      </c>
      <c r="W6364" t="s">
        <v>43105</v>
      </c>
      <c r="X6364" t="s">
        <v>44910</v>
      </c>
    </row>
    <row r="6365" spans="1:24">
      <c r="A6365">
        <f>HYPERLINK("https://www.philgeps.gov.ph/GEPSNONPILOT/Tender/SplashBidNoticeAbstractUI.aspx?menuIndex=3&amp;refID=7077861&amp;Result=3","7077861")</f>
        <v>0</v>
      </c>
      <c r="B6365" t="s">
        <v>694</v>
      </c>
      <c r="C6365" t="s">
        <v>9593</v>
      </c>
      <c r="D6365" t="s">
        <v>18108</v>
      </c>
      <c r="E6365" t="s">
        <v>23864</v>
      </c>
      <c r="F6365" t="s">
        <v>31362</v>
      </c>
      <c r="G6365" t="s">
        <v>31368</v>
      </c>
      <c r="H6365" t="s">
        <v>15799</v>
      </c>
      <c r="I6365" t="s">
        <v>31393</v>
      </c>
      <c r="J6365" t="s">
        <v>35474</v>
      </c>
      <c r="K6365" t="s">
        <v>40675</v>
      </c>
      <c r="M6365" t="s">
        <v>41657</v>
      </c>
      <c r="N6365" t="s">
        <v>44905</v>
      </c>
      <c r="O6365" t="s">
        <v>44906</v>
      </c>
      <c r="Q6365">
        <v>12</v>
      </c>
      <c r="R6365" t="s">
        <v>44909</v>
      </c>
      <c r="S6365" t="s">
        <v>45070</v>
      </c>
      <c r="T6365" t="s">
        <v>46432</v>
      </c>
      <c r="U6365" t="s">
        <v>48279</v>
      </c>
      <c r="W6365" t="s">
        <v>41657</v>
      </c>
      <c r="X6365" t="s">
        <v>44910</v>
      </c>
    </row>
    <row r="6366" spans="1:24">
      <c r="A6366">
        <f>HYPERLINK("https://www.philgeps.gov.ph/GEPSNONPILOT/Tender/SplashBidNoticeAbstractUI.aspx?menuIndex=3&amp;refID=7077871&amp;Result=3","7077871")</f>
        <v>0</v>
      </c>
      <c r="B6366" t="s">
        <v>1995</v>
      </c>
      <c r="C6366" t="s">
        <v>9594</v>
      </c>
      <c r="D6366" t="s">
        <v>18117</v>
      </c>
      <c r="E6366" t="s">
        <v>23865</v>
      </c>
      <c r="F6366" t="s">
        <v>31363</v>
      </c>
      <c r="G6366" t="s">
        <v>31368</v>
      </c>
      <c r="H6366" t="s">
        <v>31378</v>
      </c>
      <c r="I6366" t="s">
        <v>31386</v>
      </c>
      <c r="J6366" t="s">
        <v>35475</v>
      </c>
      <c r="K6366" t="s">
        <v>40665</v>
      </c>
      <c r="M6366" t="s">
        <v>43106</v>
      </c>
      <c r="N6366" t="s">
        <v>44905</v>
      </c>
      <c r="O6366" t="s">
        <v>44906</v>
      </c>
      <c r="P6366">
        <v>0</v>
      </c>
      <c r="Q6366">
        <v>0</v>
      </c>
      <c r="R6366" t="s">
        <v>44909</v>
      </c>
      <c r="S6366" t="s">
        <v>45060</v>
      </c>
      <c r="T6366" t="s">
        <v>46435</v>
      </c>
      <c r="U6366" t="s">
        <v>52101</v>
      </c>
      <c r="V6366" t="s">
        <v>59670</v>
      </c>
      <c r="W6366" t="s">
        <v>43106</v>
      </c>
      <c r="X6366" t="s">
        <v>44910</v>
      </c>
    </row>
    <row r="6367" spans="1:24">
      <c r="A6367">
        <f>HYPERLINK("https://www.philgeps.gov.ph/GEPSNONPILOT/Tender/SplashBidNoticeAbstractUI.aspx?menuIndex=3&amp;refID=7077821&amp;Result=3","7077821")</f>
        <v>0</v>
      </c>
      <c r="B6367" t="s">
        <v>1996</v>
      </c>
      <c r="C6367" t="s">
        <v>9595</v>
      </c>
      <c r="D6367" t="s">
        <v>18148</v>
      </c>
      <c r="E6367" t="s">
        <v>23866</v>
      </c>
      <c r="F6367" t="s">
        <v>31362</v>
      </c>
      <c r="G6367" t="s">
        <v>31368</v>
      </c>
      <c r="H6367" t="s">
        <v>15799</v>
      </c>
      <c r="I6367" t="s">
        <v>31381</v>
      </c>
      <c r="J6367" t="s">
        <v>35476</v>
      </c>
      <c r="K6367" t="s">
        <v>40666</v>
      </c>
      <c r="M6367" t="s">
        <v>43107</v>
      </c>
      <c r="N6367" t="s">
        <v>44905</v>
      </c>
      <c r="O6367" t="s">
        <v>44906</v>
      </c>
      <c r="P6367">
        <v>0</v>
      </c>
      <c r="Q6367">
        <v>5</v>
      </c>
      <c r="R6367" t="s">
        <v>44909</v>
      </c>
      <c r="S6367" t="s">
        <v>45060</v>
      </c>
      <c r="T6367" t="s">
        <v>46454</v>
      </c>
      <c r="U6367" t="s">
        <v>52102</v>
      </c>
      <c r="W6367" t="s">
        <v>43107</v>
      </c>
      <c r="X6367" t="s">
        <v>44910</v>
      </c>
    </row>
    <row r="6368" spans="1:24">
      <c r="A6368">
        <f>HYPERLINK("https://www.philgeps.gov.ph/GEPSNONPILOT/Tender/SplashBidNoticeAbstractUI.aspx?menuIndex=3&amp;refID=7077870&amp;Result=3","7077870")</f>
        <v>0</v>
      </c>
      <c r="B6368" t="s">
        <v>1863</v>
      </c>
      <c r="C6368" t="s">
        <v>9596</v>
      </c>
      <c r="D6368" t="s">
        <v>18122</v>
      </c>
      <c r="E6368" t="s">
        <v>23867</v>
      </c>
      <c r="F6368" t="s">
        <v>31362</v>
      </c>
      <c r="G6368" t="s">
        <v>31368</v>
      </c>
      <c r="H6368" t="s">
        <v>15799</v>
      </c>
      <c r="I6368" t="s">
        <v>7188</v>
      </c>
      <c r="J6368" t="s">
        <v>31890</v>
      </c>
      <c r="K6368" t="s">
        <v>40665</v>
      </c>
      <c r="M6368" t="s">
        <v>42953</v>
      </c>
      <c r="N6368" t="s">
        <v>44905</v>
      </c>
      <c r="O6368" t="s">
        <v>44906</v>
      </c>
      <c r="P6368">
        <v>0</v>
      </c>
      <c r="Q6368">
        <v>0</v>
      </c>
      <c r="R6368" t="s">
        <v>44909</v>
      </c>
      <c r="S6368" t="s">
        <v>45060</v>
      </c>
      <c r="T6368" t="s">
        <v>46414</v>
      </c>
      <c r="U6368" t="s">
        <v>52103</v>
      </c>
      <c r="W6368" t="s">
        <v>42953</v>
      </c>
      <c r="X6368" t="s">
        <v>44910</v>
      </c>
    </row>
    <row r="6369" spans="1:24">
      <c r="A6369">
        <f>HYPERLINK("https://www.philgeps.gov.ph/GEPSNONPILOT/Tender/SplashBidNoticeAbstractUI.aspx?menuIndex=3&amp;refID=7077853&amp;Result=3","7077853")</f>
        <v>0</v>
      </c>
      <c r="B6369" t="s">
        <v>232</v>
      </c>
      <c r="C6369" t="s">
        <v>9597</v>
      </c>
      <c r="D6369" t="s">
        <v>18101</v>
      </c>
      <c r="E6369" t="s">
        <v>23868</v>
      </c>
      <c r="F6369" t="s">
        <v>31362</v>
      </c>
      <c r="G6369" t="s">
        <v>31369</v>
      </c>
      <c r="H6369" t="s">
        <v>31378</v>
      </c>
      <c r="I6369" t="s">
        <v>31386</v>
      </c>
      <c r="J6369" t="s">
        <v>34203</v>
      </c>
      <c r="K6369" t="s">
        <v>40679</v>
      </c>
      <c r="M6369" t="s">
        <v>41171</v>
      </c>
      <c r="N6369" t="s">
        <v>44905</v>
      </c>
      <c r="O6369" t="s">
        <v>44906</v>
      </c>
      <c r="P6369">
        <v>0</v>
      </c>
      <c r="Q6369">
        <v>0</v>
      </c>
      <c r="R6369" t="s">
        <v>44909</v>
      </c>
      <c r="S6369" t="s">
        <v>45060</v>
      </c>
      <c r="T6369" t="s">
        <v>46433</v>
      </c>
      <c r="U6369" t="s">
        <v>52104</v>
      </c>
      <c r="V6369" t="s">
        <v>59456</v>
      </c>
      <c r="W6369" t="s">
        <v>41171</v>
      </c>
      <c r="X6369" t="s">
        <v>44910</v>
      </c>
    </row>
    <row r="6370" spans="1:24">
      <c r="A6370">
        <f>HYPERLINK("https://www.philgeps.gov.ph/GEPSNONPILOT/Tender/SplashBidNoticeAbstractUI.aspx?menuIndex=3&amp;refID=7077852&amp;Result=3","7077852")</f>
        <v>0</v>
      </c>
      <c r="B6370" t="s">
        <v>1439</v>
      </c>
      <c r="C6370" t="s">
        <v>9598</v>
      </c>
      <c r="D6370" t="s">
        <v>18124</v>
      </c>
      <c r="E6370" t="s">
        <v>23869</v>
      </c>
      <c r="F6370" t="s">
        <v>31362</v>
      </c>
      <c r="G6370" t="s">
        <v>31368</v>
      </c>
      <c r="H6370" t="s">
        <v>15799</v>
      </c>
      <c r="I6370" t="s">
        <v>31430</v>
      </c>
      <c r="J6370" t="s">
        <v>31577</v>
      </c>
      <c r="K6370" t="s">
        <v>40661</v>
      </c>
      <c r="M6370" t="s">
        <v>42468</v>
      </c>
      <c r="N6370" t="s">
        <v>44905</v>
      </c>
      <c r="O6370" t="s">
        <v>44906</v>
      </c>
      <c r="P6370">
        <v>0</v>
      </c>
      <c r="Q6370">
        <v>0</v>
      </c>
      <c r="R6370" t="s">
        <v>44909</v>
      </c>
      <c r="S6370" t="s">
        <v>45060</v>
      </c>
      <c r="T6370" t="s">
        <v>46425</v>
      </c>
      <c r="U6370" t="s">
        <v>52105</v>
      </c>
      <c r="W6370" t="s">
        <v>42468</v>
      </c>
      <c r="X6370" t="s">
        <v>44910</v>
      </c>
    </row>
    <row r="6371" spans="1:24">
      <c r="A6371">
        <f>HYPERLINK("https://www.philgeps.gov.ph/GEPSNONPILOT/Tender/SplashBidNoticeAbstractUI.aspx?menuIndex=3&amp;refID=7077839&amp;Result=3","7077839")</f>
        <v>0</v>
      </c>
      <c r="B6371" t="s">
        <v>1196</v>
      </c>
      <c r="C6371" t="s">
        <v>9599</v>
      </c>
      <c r="D6371" t="s">
        <v>18117</v>
      </c>
      <c r="E6371" t="s">
        <v>23870</v>
      </c>
      <c r="F6371" t="s">
        <v>31362</v>
      </c>
      <c r="G6371" t="s">
        <v>31368</v>
      </c>
      <c r="H6371" t="s">
        <v>15799</v>
      </c>
      <c r="I6371" t="s">
        <v>31385</v>
      </c>
      <c r="J6371" t="s">
        <v>35477</v>
      </c>
      <c r="K6371" t="s">
        <v>40661</v>
      </c>
      <c r="M6371" t="s">
        <v>42208</v>
      </c>
      <c r="N6371" t="s">
        <v>44905</v>
      </c>
      <c r="O6371" t="s">
        <v>44906</v>
      </c>
      <c r="P6371">
        <v>0</v>
      </c>
      <c r="Q6371">
        <v>0</v>
      </c>
      <c r="R6371" t="s">
        <v>44909</v>
      </c>
      <c r="S6371" t="s">
        <v>45060</v>
      </c>
      <c r="T6371" t="s">
        <v>46432</v>
      </c>
      <c r="U6371" t="s">
        <v>52106</v>
      </c>
      <c r="W6371" t="s">
        <v>42208</v>
      </c>
      <c r="X6371" t="s">
        <v>44910</v>
      </c>
    </row>
    <row r="6372" spans="1:24">
      <c r="A6372">
        <f>HYPERLINK("https://www.philgeps.gov.ph/GEPSNONPILOT/Tender/SplashBidNoticeAbstractUI.aspx?menuIndex=3&amp;refID=7077850&amp;Result=3","7077850")</f>
        <v>0</v>
      </c>
      <c r="B6372" t="s">
        <v>1396</v>
      </c>
      <c r="C6372" t="s">
        <v>9600</v>
      </c>
      <c r="D6372" t="s">
        <v>18122</v>
      </c>
      <c r="E6372" t="s">
        <v>23871</v>
      </c>
      <c r="F6372" t="s">
        <v>31362</v>
      </c>
      <c r="G6372" t="s">
        <v>31368</v>
      </c>
      <c r="H6372" t="s">
        <v>15799</v>
      </c>
      <c r="I6372" t="s">
        <v>3815</v>
      </c>
      <c r="J6372" t="s">
        <v>35478</v>
      </c>
      <c r="K6372" t="s">
        <v>40661</v>
      </c>
      <c r="M6372" t="s">
        <v>42421</v>
      </c>
      <c r="N6372" t="s">
        <v>44905</v>
      </c>
      <c r="O6372" t="s">
        <v>44906</v>
      </c>
      <c r="P6372">
        <v>0</v>
      </c>
      <c r="Q6372">
        <v>0</v>
      </c>
      <c r="R6372" t="s">
        <v>44909</v>
      </c>
      <c r="S6372" t="s">
        <v>45060</v>
      </c>
      <c r="T6372" t="s">
        <v>46432</v>
      </c>
      <c r="U6372" t="s">
        <v>52107</v>
      </c>
      <c r="V6372" t="s">
        <v>59671</v>
      </c>
      <c r="W6372" t="s">
        <v>42421</v>
      </c>
      <c r="X6372" t="s">
        <v>44910</v>
      </c>
    </row>
    <row r="6373" spans="1:24">
      <c r="A6373">
        <f>HYPERLINK("https://www.philgeps.gov.ph/GEPSNONPILOT/Tender/SplashBidNoticeAbstractUI.aspx?menuIndex=3&amp;refID=7077849&amp;Result=3","7077849")</f>
        <v>0</v>
      </c>
      <c r="B6373" t="s">
        <v>227</v>
      </c>
      <c r="C6373" t="s">
        <v>9601</v>
      </c>
      <c r="E6373" t="s">
        <v>23872</v>
      </c>
      <c r="F6373" t="s">
        <v>31362</v>
      </c>
      <c r="G6373" t="s">
        <v>31368</v>
      </c>
      <c r="H6373" t="s">
        <v>15799</v>
      </c>
      <c r="I6373" t="s">
        <v>31503</v>
      </c>
      <c r="J6373" t="s">
        <v>31687</v>
      </c>
      <c r="K6373" t="s">
        <v>40662</v>
      </c>
      <c r="M6373" t="s">
        <v>41166</v>
      </c>
      <c r="N6373" t="s">
        <v>44905</v>
      </c>
      <c r="O6373" t="s">
        <v>44906</v>
      </c>
      <c r="P6373">
        <v>0</v>
      </c>
      <c r="Q6373">
        <v>4</v>
      </c>
      <c r="R6373" t="s">
        <v>44909</v>
      </c>
      <c r="S6373" t="s">
        <v>45060</v>
      </c>
      <c r="T6373" t="s">
        <v>46518</v>
      </c>
      <c r="U6373" t="s">
        <v>52108</v>
      </c>
      <c r="W6373" t="s">
        <v>41297</v>
      </c>
      <c r="X6373" t="s">
        <v>44910</v>
      </c>
    </row>
    <row r="6374" spans="1:24">
      <c r="A6374">
        <f>HYPERLINK("https://www.philgeps.gov.ph/GEPSNONPILOT/Tender/SplashBidNoticeAbstractUI.aspx?menuIndex=3&amp;refID=7077848&amp;Result=3","7077848")</f>
        <v>0</v>
      </c>
      <c r="B6374" t="s">
        <v>292</v>
      </c>
      <c r="C6374" t="s">
        <v>9602</v>
      </c>
      <c r="D6374" t="s">
        <v>18143</v>
      </c>
      <c r="E6374" t="s">
        <v>23873</v>
      </c>
      <c r="F6374" t="s">
        <v>31362</v>
      </c>
      <c r="G6374" t="s">
        <v>31368</v>
      </c>
      <c r="H6374" t="s">
        <v>15799</v>
      </c>
      <c r="I6374" t="s">
        <v>7090</v>
      </c>
      <c r="J6374" t="s">
        <v>35479</v>
      </c>
      <c r="K6374" t="s">
        <v>40661</v>
      </c>
      <c r="M6374" t="s">
        <v>41235</v>
      </c>
      <c r="N6374" t="s">
        <v>44905</v>
      </c>
      <c r="O6374" t="s">
        <v>44906</v>
      </c>
      <c r="P6374">
        <v>0</v>
      </c>
      <c r="Q6374">
        <v>1</v>
      </c>
      <c r="R6374" t="s">
        <v>44909</v>
      </c>
      <c r="S6374" t="s">
        <v>45060</v>
      </c>
      <c r="T6374" t="s">
        <v>46410</v>
      </c>
      <c r="U6374" t="s">
        <v>52109</v>
      </c>
      <c r="W6374" t="s">
        <v>41235</v>
      </c>
      <c r="X6374" t="s">
        <v>44910</v>
      </c>
    </row>
    <row r="6375" spans="1:24">
      <c r="A6375">
        <f>HYPERLINK("https://www.philgeps.gov.ph/GEPSNONPILOT/Tender/SplashBidNoticeAbstractUI.aspx?menuIndex=3&amp;refID=7077906&amp;Result=3","7077906")</f>
        <v>0</v>
      </c>
      <c r="B6375" t="s">
        <v>237</v>
      </c>
      <c r="C6375" t="s">
        <v>9603</v>
      </c>
      <c r="D6375" t="s">
        <v>18108</v>
      </c>
      <c r="E6375" t="s">
        <v>23874</v>
      </c>
      <c r="F6375" t="s">
        <v>31362</v>
      </c>
      <c r="G6375" t="s">
        <v>31370</v>
      </c>
      <c r="H6375" t="s">
        <v>15799</v>
      </c>
      <c r="I6375" t="s">
        <v>31404</v>
      </c>
      <c r="J6375" t="s">
        <v>32278</v>
      </c>
      <c r="K6375" t="s">
        <v>40670</v>
      </c>
      <c r="M6375" t="s">
        <v>41176</v>
      </c>
      <c r="N6375" t="s">
        <v>44905</v>
      </c>
      <c r="O6375" t="s">
        <v>44906</v>
      </c>
      <c r="P6375">
        <v>0</v>
      </c>
      <c r="Q6375">
        <v>2</v>
      </c>
      <c r="R6375" t="s">
        <v>44909</v>
      </c>
      <c r="S6375" t="s">
        <v>45060</v>
      </c>
      <c r="T6375" t="s">
        <v>46518</v>
      </c>
      <c r="U6375" t="s">
        <v>52110</v>
      </c>
      <c r="V6375" t="s">
        <v>59113</v>
      </c>
      <c r="W6375" t="s">
        <v>41176</v>
      </c>
      <c r="X6375" t="s">
        <v>44910</v>
      </c>
    </row>
    <row r="6376" spans="1:24">
      <c r="A6376">
        <f>HYPERLINK("https://www.philgeps.gov.ph/GEPSNONPILOT/Tender/SplashBidNoticeAbstractUI.aspx?menuIndex=3&amp;refID=7077856&amp;Result=3","7077856")</f>
        <v>0</v>
      </c>
      <c r="B6376" t="s">
        <v>791</v>
      </c>
      <c r="C6376" t="s">
        <v>9604</v>
      </c>
      <c r="D6376" t="s">
        <v>18108</v>
      </c>
      <c r="E6376" t="s">
        <v>23875</v>
      </c>
      <c r="F6376" t="s">
        <v>31362</v>
      </c>
      <c r="G6376" t="s">
        <v>31368</v>
      </c>
      <c r="H6376" t="s">
        <v>15799</v>
      </c>
      <c r="I6376" t="s">
        <v>7090</v>
      </c>
      <c r="J6376" t="s">
        <v>33084</v>
      </c>
      <c r="K6376" t="s">
        <v>40662</v>
      </c>
      <c r="M6376" t="s">
        <v>41761</v>
      </c>
      <c r="N6376" t="s">
        <v>44905</v>
      </c>
      <c r="O6376" t="s">
        <v>44906</v>
      </c>
      <c r="P6376">
        <v>0</v>
      </c>
      <c r="Q6376">
        <v>9</v>
      </c>
      <c r="R6376" t="s">
        <v>44909</v>
      </c>
      <c r="S6376" t="s">
        <v>45060</v>
      </c>
      <c r="T6376" t="s">
        <v>46534</v>
      </c>
      <c r="U6376" t="s">
        <v>52111</v>
      </c>
      <c r="V6376" t="s">
        <v>59151</v>
      </c>
      <c r="W6376" t="s">
        <v>41761</v>
      </c>
      <c r="X6376" t="s">
        <v>44910</v>
      </c>
    </row>
    <row r="6377" spans="1:24">
      <c r="A6377">
        <f>HYPERLINK("https://www.philgeps.gov.ph/GEPSNONPILOT/Tender/SplashBidNoticeAbstractUI.aspx?menuIndex=3&amp;refID=7077859&amp;Result=3","7077859")</f>
        <v>0</v>
      </c>
      <c r="B6377" t="s">
        <v>1988</v>
      </c>
      <c r="C6377" t="s">
        <v>9605</v>
      </c>
      <c r="D6377" t="s">
        <v>18163</v>
      </c>
      <c r="E6377" t="s">
        <v>23876</v>
      </c>
      <c r="F6377" t="s">
        <v>31362</v>
      </c>
      <c r="G6377" t="s">
        <v>31369</v>
      </c>
      <c r="H6377" t="s">
        <v>15799</v>
      </c>
      <c r="I6377" t="s">
        <v>31380</v>
      </c>
      <c r="J6377" t="s">
        <v>35480</v>
      </c>
      <c r="K6377" t="s">
        <v>40666</v>
      </c>
      <c r="M6377" t="s">
        <v>43097</v>
      </c>
      <c r="N6377" t="s">
        <v>44905</v>
      </c>
      <c r="O6377" t="s">
        <v>44906</v>
      </c>
      <c r="P6377">
        <v>0</v>
      </c>
      <c r="Q6377">
        <v>4</v>
      </c>
      <c r="R6377" t="s">
        <v>44909</v>
      </c>
      <c r="S6377" t="s">
        <v>45060</v>
      </c>
      <c r="T6377" t="s">
        <v>46511</v>
      </c>
      <c r="U6377" t="s">
        <v>52112</v>
      </c>
      <c r="W6377" t="s">
        <v>43097</v>
      </c>
      <c r="X6377" t="s">
        <v>44910</v>
      </c>
    </row>
    <row r="6378" spans="1:24">
      <c r="A6378">
        <f>HYPERLINK("https://www.philgeps.gov.ph/GEPSNONPILOT/Tender/SplashBidNoticeAbstractUI.aspx?menuIndex=3&amp;refID=7077898&amp;Result=3","7077898")</f>
        <v>0</v>
      </c>
      <c r="B6378" t="s">
        <v>971</v>
      </c>
      <c r="C6378" t="s">
        <v>9606</v>
      </c>
      <c r="D6378" t="s">
        <v>18166</v>
      </c>
      <c r="E6378" t="s">
        <v>23877</v>
      </c>
      <c r="F6378" t="s">
        <v>31362</v>
      </c>
      <c r="G6378" t="s">
        <v>31369</v>
      </c>
      <c r="H6378" t="s">
        <v>31378</v>
      </c>
      <c r="I6378" t="s">
        <v>31386</v>
      </c>
      <c r="J6378" t="s">
        <v>32239</v>
      </c>
      <c r="K6378" t="s">
        <v>40662</v>
      </c>
      <c r="M6378" t="s">
        <v>41961</v>
      </c>
      <c r="N6378" t="s">
        <v>44905</v>
      </c>
      <c r="O6378" t="s">
        <v>44906</v>
      </c>
      <c r="P6378">
        <v>0</v>
      </c>
      <c r="Q6378">
        <v>0</v>
      </c>
      <c r="R6378" t="s">
        <v>44909</v>
      </c>
      <c r="S6378" t="s">
        <v>45060</v>
      </c>
      <c r="T6378" t="s">
        <v>46559</v>
      </c>
      <c r="U6378" t="s">
        <v>52113</v>
      </c>
      <c r="W6378" t="s">
        <v>41961</v>
      </c>
      <c r="X6378" t="s">
        <v>44910</v>
      </c>
    </row>
    <row r="6379" spans="1:24">
      <c r="A6379">
        <f>HYPERLINK("https://www.philgeps.gov.ph/GEPSNONPILOT/Tender/SplashBidNoticeAbstractUI.aspx?menuIndex=3&amp;refID=7077798&amp;Result=3","7077798")</f>
        <v>0</v>
      </c>
      <c r="B6379" t="s">
        <v>1967</v>
      </c>
      <c r="C6379" t="s">
        <v>9607</v>
      </c>
      <c r="D6379" t="s">
        <v>18108</v>
      </c>
      <c r="E6379" t="s">
        <v>23878</v>
      </c>
      <c r="F6379" t="s">
        <v>31362</v>
      </c>
      <c r="G6379" t="s">
        <v>31369</v>
      </c>
      <c r="H6379" t="s">
        <v>15799</v>
      </c>
      <c r="I6379" t="s">
        <v>7188</v>
      </c>
      <c r="J6379" t="s">
        <v>35481</v>
      </c>
      <c r="K6379" t="s">
        <v>40682</v>
      </c>
      <c r="M6379" t="s">
        <v>43073</v>
      </c>
      <c r="N6379" t="s">
        <v>44905</v>
      </c>
      <c r="O6379" t="s">
        <v>44906</v>
      </c>
      <c r="P6379">
        <v>0</v>
      </c>
      <c r="Q6379">
        <v>5</v>
      </c>
      <c r="R6379" t="s">
        <v>44909</v>
      </c>
      <c r="S6379" t="s">
        <v>45060</v>
      </c>
      <c r="T6379" t="s">
        <v>46616</v>
      </c>
      <c r="U6379" t="s">
        <v>52114</v>
      </c>
      <c r="W6379" t="s">
        <v>43073</v>
      </c>
      <c r="X6379" t="s">
        <v>44910</v>
      </c>
    </row>
    <row r="6380" spans="1:24">
      <c r="A6380">
        <f>HYPERLINK("https://www.philgeps.gov.ph/GEPSNONPILOT/Tender/SplashBidNoticeAbstractUI.aspx?menuIndex=3&amp;refID=7077895&amp;Result=3","7077895")</f>
        <v>0</v>
      </c>
      <c r="B6380" t="s">
        <v>292</v>
      </c>
      <c r="C6380" t="s">
        <v>9608</v>
      </c>
      <c r="D6380" t="s">
        <v>18143</v>
      </c>
      <c r="E6380" t="s">
        <v>23879</v>
      </c>
      <c r="F6380" t="s">
        <v>31362</v>
      </c>
      <c r="G6380" t="s">
        <v>31368</v>
      </c>
      <c r="H6380" t="s">
        <v>15799</v>
      </c>
      <c r="I6380" t="s">
        <v>4283</v>
      </c>
      <c r="J6380" t="s">
        <v>35482</v>
      </c>
      <c r="K6380" t="s">
        <v>40661</v>
      </c>
      <c r="M6380" t="s">
        <v>41235</v>
      </c>
      <c r="N6380" t="s">
        <v>44905</v>
      </c>
      <c r="O6380" t="s">
        <v>44906</v>
      </c>
      <c r="P6380">
        <v>0</v>
      </c>
      <c r="Q6380">
        <v>1</v>
      </c>
      <c r="R6380" t="s">
        <v>44909</v>
      </c>
      <c r="S6380" t="s">
        <v>45060</v>
      </c>
      <c r="T6380" t="s">
        <v>46410</v>
      </c>
      <c r="U6380" t="s">
        <v>52115</v>
      </c>
      <c r="W6380" t="s">
        <v>41235</v>
      </c>
      <c r="X6380" t="s">
        <v>44910</v>
      </c>
    </row>
    <row r="6381" spans="1:24">
      <c r="A6381">
        <f>HYPERLINK("https://www.philgeps.gov.ph/GEPSNONPILOT/Tender/SplashBidNoticeAbstractUI.aspx?menuIndex=3&amp;refID=7077897&amp;Result=3","7077897")</f>
        <v>0</v>
      </c>
      <c r="B6381" t="s">
        <v>87</v>
      </c>
      <c r="C6381" t="s">
        <v>9609</v>
      </c>
      <c r="D6381" t="s">
        <v>18109</v>
      </c>
      <c r="E6381" t="s">
        <v>23880</v>
      </c>
      <c r="F6381" t="s">
        <v>31362</v>
      </c>
      <c r="G6381" t="s">
        <v>31368</v>
      </c>
      <c r="H6381" t="s">
        <v>15799</v>
      </c>
      <c r="I6381" t="s">
        <v>31477</v>
      </c>
      <c r="J6381" t="s">
        <v>31897</v>
      </c>
      <c r="K6381" t="s">
        <v>40661</v>
      </c>
      <c r="M6381" t="s">
        <v>41023</v>
      </c>
      <c r="N6381" t="s">
        <v>44905</v>
      </c>
      <c r="O6381" t="s">
        <v>44906</v>
      </c>
      <c r="P6381">
        <v>0</v>
      </c>
      <c r="Q6381">
        <v>0</v>
      </c>
      <c r="R6381" t="s">
        <v>44909</v>
      </c>
      <c r="S6381" t="s">
        <v>45060</v>
      </c>
      <c r="T6381" t="s">
        <v>46435</v>
      </c>
      <c r="U6381" t="s">
        <v>52116</v>
      </c>
      <c r="W6381" t="s">
        <v>60832</v>
      </c>
      <c r="X6381" t="s">
        <v>44910</v>
      </c>
    </row>
    <row r="6382" spans="1:24">
      <c r="A6382">
        <f>HYPERLINK("https://www.philgeps.gov.ph/GEPSNONPILOT/Tender/SplashBidNoticeAbstractUI.aspx?menuIndex=3&amp;refID=7077893&amp;Result=3","7077893")</f>
        <v>0</v>
      </c>
      <c r="B6382" t="s">
        <v>1264</v>
      </c>
      <c r="C6382" t="s">
        <v>9610</v>
      </c>
      <c r="D6382" t="s">
        <v>18108</v>
      </c>
      <c r="E6382" t="s">
        <v>20783</v>
      </c>
      <c r="F6382" t="s">
        <v>31362</v>
      </c>
      <c r="G6382" t="s">
        <v>31368</v>
      </c>
      <c r="H6382" t="s">
        <v>15799</v>
      </c>
      <c r="I6382" t="s">
        <v>31380</v>
      </c>
      <c r="J6382" t="s">
        <v>35483</v>
      </c>
      <c r="K6382" t="s">
        <v>40665</v>
      </c>
      <c r="M6382" t="s">
        <v>42281</v>
      </c>
      <c r="N6382" t="s">
        <v>44905</v>
      </c>
      <c r="O6382" t="s">
        <v>44906</v>
      </c>
      <c r="P6382">
        <v>0</v>
      </c>
      <c r="Q6382">
        <v>1</v>
      </c>
      <c r="R6382" t="s">
        <v>44909</v>
      </c>
      <c r="S6382" t="s">
        <v>45060</v>
      </c>
      <c r="T6382" t="s">
        <v>46454</v>
      </c>
      <c r="U6382" t="s">
        <v>52117</v>
      </c>
      <c r="W6382" t="s">
        <v>42281</v>
      </c>
      <c r="X6382" t="s">
        <v>44910</v>
      </c>
    </row>
    <row r="6383" spans="1:24">
      <c r="A6383">
        <f>HYPERLINK("https://www.philgeps.gov.ph/GEPSNONPILOT/Tender/SplashBidNoticeAbstractUI.aspx?menuIndex=3&amp;refID=7077874&amp;Result=3","7077874")</f>
        <v>0</v>
      </c>
      <c r="B6383" t="s">
        <v>1997</v>
      </c>
      <c r="C6383" t="s">
        <v>9611</v>
      </c>
      <c r="D6383" t="s">
        <v>18100</v>
      </c>
      <c r="E6383" t="s">
        <v>23881</v>
      </c>
      <c r="F6383" t="s">
        <v>31362</v>
      </c>
      <c r="G6383" t="s">
        <v>31369</v>
      </c>
      <c r="H6383" t="s">
        <v>15799</v>
      </c>
      <c r="I6383" t="s">
        <v>31393</v>
      </c>
      <c r="J6383" t="s">
        <v>35484</v>
      </c>
      <c r="K6383" t="s">
        <v>40693</v>
      </c>
      <c r="M6383" t="s">
        <v>43108</v>
      </c>
      <c r="N6383" t="s">
        <v>44905</v>
      </c>
      <c r="O6383" t="s">
        <v>44906</v>
      </c>
      <c r="P6383">
        <v>0</v>
      </c>
      <c r="Q6383">
        <v>3</v>
      </c>
      <c r="R6383" t="s">
        <v>44909</v>
      </c>
      <c r="S6383" t="s">
        <v>45060</v>
      </c>
      <c r="T6383" t="s">
        <v>46425</v>
      </c>
      <c r="U6383" t="s">
        <v>48141</v>
      </c>
      <c r="W6383" t="s">
        <v>43108</v>
      </c>
      <c r="X6383" t="s">
        <v>44910</v>
      </c>
    </row>
    <row r="6384" spans="1:24">
      <c r="A6384">
        <f>HYPERLINK("https://www.philgeps.gov.ph/GEPSNONPILOT/Tender/SplashBidNoticeAbstractUI.aspx?menuIndex=3&amp;refID=7077890&amp;Result=3","7077890")</f>
        <v>0</v>
      </c>
      <c r="B6384" t="s">
        <v>1998</v>
      </c>
      <c r="C6384" t="s">
        <v>9612</v>
      </c>
      <c r="D6384" t="s">
        <v>18152</v>
      </c>
      <c r="E6384" t="s">
        <v>23882</v>
      </c>
      <c r="F6384" t="s">
        <v>31362</v>
      </c>
      <c r="G6384" t="s">
        <v>31368</v>
      </c>
      <c r="H6384" t="s">
        <v>15799</v>
      </c>
      <c r="I6384" t="s">
        <v>31386</v>
      </c>
      <c r="J6384" t="s">
        <v>35485</v>
      </c>
      <c r="K6384" t="s">
        <v>40666</v>
      </c>
      <c r="M6384" t="s">
        <v>43109</v>
      </c>
      <c r="N6384" t="s">
        <v>44905</v>
      </c>
      <c r="O6384" t="s">
        <v>44906</v>
      </c>
      <c r="P6384">
        <v>0</v>
      </c>
      <c r="Q6384">
        <v>0</v>
      </c>
      <c r="R6384" t="s">
        <v>44909</v>
      </c>
      <c r="S6384" t="s">
        <v>45060</v>
      </c>
      <c r="T6384" t="s">
        <v>46426</v>
      </c>
      <c r="U6384" t="s">
        <v>52118</v>
      </c>
      <c r="W6384" t="s">
        <v>43109</v>
      </c>
      <c r="X6384" t="s">
        <v>44910</v>
      </c>
    </row>
    <row r="6385" spans="1:24">
      <c r="A6385">
        <f>HYPERLINK("https://www.philgeps.gov.ph/GEPSNONPILOT/Tender/SplashBidNoticeAbstractUI.aspx?menuIndex=3&amp;refID=7077904&amp;Result=3","7077904")</f>
        <v>0</v>
      </c>
      <c r="B6385" t="s">
        <v>279</v>
      </c>
      <c r="C6385" t="s">
        <v>9613</v>
      </c>
      <c r="D6385" t="s">
        <v>18139</v>
      </c>
      <c r="E6385" t="s">
        <v>23883</v>
      </c>
      <c r="F6385" t="s">
        <v>31362</v>
      </c>
      <c r="G6385" t="s">
        <v>31370</v>
      </c>
      <c r="H6385" t="s">
        <v>15799</v>
      </c>
      <c r="I6385" t="s">
        <v>31430</v>
      </c>
      <c r="J6385" t="s">
        <v>31604</v>
      </c>
      <c r="K6385" t="s">
        <v>40672</v>
      </c>
      <c r="M6385" t="s">
        <v>41221</v>
      </c>
      <c r="N6385" t="s">
        <v>44905</v>
      </c>
      <c r="O6385" t="s">
        <v>44906</v>
      </c>
      <c r="P6385">
        <v>0</v>
      </c>
      <c r="Q6385">
        <v>2</v>
      </c>
      <c r="R6385" t="s">
        <v>44909</v>
      </c>
      <c r="S6385" t="s">
        <v>45060</v>
      </c>
      <c r="T6385" t="s">
        <v>46434</v>
      </c>
      <c r="U6385" t="s">
        <v>52119</v>
      </c>
      <c r="W6385" t="s">
        <v>41221</v>
      </c>
      <c r="X6385" t="s">
        <v>44910</v>
      </c>
    </row>
    <row r="6386" spans="1:24">
      <c r="A6386">
        <f>HYPERLINK("https://www.philgeps.gov.ph/GEPSNONPILOT/Tender/SplashBidNoticeAbstractUI.aspx?menuIndex=3&amp;refID=7077900&amp;Result=3","7077900")</f>
        <v>0</v>
      </c>
      <c r="B6386" t="s">
        <v>102</v>
      </c>
      <c r="C6386" t="s">
        <v>9614</v>
      </c>
      <c r="D6386" t="s">
        <v>18133</v>
      </c>
      <c r="E6386" t="s">
        <v>23884</v>
      </c>
      <c r="F6386" t="s">
        <v>31362</v>
      </c>
      <c r="G6386" t="s">
        <v>31368</v>
      </c>
      <c r="H6386" t="s">
        <v>31379</v>
      </c>
      <c r="I6386" t="s">
        <v>31388</v>
      </c>
      <c r="J6386" t="s">
        <v>34112</v>
      </c>
      <c r="K6386" t="s">
        <v>40724</v>
      </c>
      <c r="M6386" t="s">
        <v>41039</v>
      </c>
      <c r="N6386" t="s">
        <v>44905</v>
      </c>
      <c r="O6386" t="s">
        <v>44906</v>
      </c>
      <c r="P6386">
        <v>0</v>
      </c>
      <c r="Q6386">
        <v>0</v>
      </c>
      <c r="R6386" t="s">
        <v>44909</v>
      </c>
      <c r="S6386" t="s">
        <v>45060</v>
      </c>
      <c r="T6386" t="s">
        <v>46432</v>
      </c>
      <c r="U6386" t="s">
        <v>52120</v>
      </c>
      <c r="W6386" t="s">
        <v>41039</v>
      </c>
      <c r="X6386" t="s">
        <v>44910</v>
      </c>
    </row>
    <row r="6387" spans="1:24">
      <c r="A6387">
        <f>HYPERLINK("https://www.philgeps.gov.ph/GEPSNONPILOT/Tender/SplashBidNoticeAbstractUI.aspx?menuIndex=3&amp;refID=7077801&amp;Result=3","7077801")</f>
        <v>0</v>
      </c>
      <c r="B6387" t="s">
        <v>1998</v>
      </c>
      <c r="C6387" t="s">
        <v>9615</v>
      </c>
      <c r="D6387" t="s">
        <v>18152</v>
      </c>
      <c r="E6387" t="s">
        <v>23885</v>
      </c>
      <c r="F6387" t="s">
        <v>31362</v>
      </c>
      <c r="G6387" t="s">
        <v>31368</v>
      </c>
      <c r="H6387" t="s">
        <v>15799</v>
      </c>
      <c r="I6387" t="s">
        <v>6373</v>
      </c>
      <c r="J6387" t="s">
        <v>34937</v>
      </c>
      <c r="K6387" t="s">
        <v>40665</v>
      </c>
      <c r="M6387" t="s">
        <v>43109</v>
      </c>
      <c r="N6387" t="s">
        <v>44905</v>
      </c>
      <c r="O6387" t="s">
        <v>44906</v>
      </c>
      <c r="P6387">
        <v>0</v>
      </c>
      <c r="Q6387">
        <v>4</v>
      </c>
      <c r="R6387" t="s">
        <v>44909</v>
      </c>
      <c r="S6387" t="s">
        <v>45060</v>
      </c>
      <c r="T6387" t="s">
        <v>46426</v>
      </c>
      <c r="U6387" t="s">
        <v>52121</v>
      </c>
      <c r="W6387" t="s">
        <v>43109</v>
      </c>
      <c r="X6387" t="s">
        <v>44910</v>
      </c>
    </row>
    <row r="6388" spans="1:24">
      <c r="A6388">
        <f>HYPERLINK("https://www.philgeps.gov.ph/GEPSNONPILOT/Tender/SplashBidNoticeAbstractUI.aspx?menuIndex=3&amp;refID=7077885&amp;Result=3","7077885")</f>
        <v>0</v>
      </c>
      <c r="B6388" t="s">
        <v>1773</v>
      </c>
      <c r="C6388" t="s">
        <v>9616</v>
      </c>
      <c r="D6388" t="s">
        <v>18113</v>
      </c>
      <c r="E6388" t="s">
        <v>23886</v>
      </c>
      <c r="F6388" t="s">
        <v>31362</v>
      </c>
      <c r="G6388" t="s">
        <v>31368</v>
      </c>
      <c r="H6388" t="s">
        <v>31379</v>
      </c>
      <c r="I6388" t="s">
        <v>31436</v>
      </c>
      <c r="J6388" t="s">
        <v>35486</v>
      </c>
      <c r="K6388" t="s">
        <v>40712</v>
      </c>
      <c r="M6388" t="s">
        <v>42851</v>
      </c>
      <c r="N6388" t="s">
        <v>44905</v>
      </c>
      <c r="O6388" t="s">
        <v>44906</v>
      </c>
      <c r="P6388">
        <v>0</v>
      </c>
      <c r="Q6388">
        <v>2</v>
      </c>
      <c r="R6388" t="s">
        <v>44909</v>
      </c>
      <c r="S6388" t="s">
        <v>45060</v>
      </c>
      <c r="T6388" t="s">
        <v>46409</v>
      </c>
      <c r="U6388" t="s">
        <v>52122</v>
      </c>
      <c r="W6388" t="s">
        <v>42851</v>
      </c>
      <c r="X6388" t="s">
        <v>44910</v>
      </c>
    </row>
    <row r="6389" spans="1:24">
      <c r="A6389">
        <f>HYPERLINK("https://www.philgeps.gov.ph/GEPSNONPILOT/Tender/SplashBidNoticeAbstractUI.aspx?menuIndex=3&amp;refID=7077907&amp;Result=3","7077907")</f>
        <v>0</v>
      </c>
      <c r="B6389" t="s">
        <v>1058</v>
      </c>
      <c r="C6389" t="s">
        <v>9617</v>
      </c>
      <c r="D6389" t="s">
        <v>18104</v>
      </c>
      <c r="E6389" t="s">
        <v>23887</v>
      </c>
      <c r="F6389" t="s">
        <v>31362</v>
      </c>
      <c r="G6389" t="s">
        <v>31370</v>
      </c>
      <c r="H6389" t="s">
        <v>15799</v>
      </c>
      <c r="I6389" t="s">
        <v>6373</v>
      </c>
      <c r="J6389" t="s">
        <v>31545</v>
      </c>
      <c r="K6389" t="s">
        <v>40670</v>
      </c>
      <c r="M6389" t="s">
        <v>42059</v>
      </c>
      <c r="N6389" t="s">
        <v>44905</v>
      </c>
      <c r="O6389" t="s">
        <v>44906</v>
      </c>
      <c r="P6389">
        <v>0</v>
      </c>
      <c r="Q6389">
        <v>0</v>
      </c>
      <c r="R6389" t="s">
        <v>44909</v>
      </c>
      <c r="S6389" t="s">
        <v>45060</v>
      </c>
      <c r="T6389" t="s">
        <v>46447</v>
      </c>
      <c r="U6389" t="s">
        <v>52123</v>
      </c>
      <c r="W6389" t="s">
        <v>42059</v>
      </c>
      <c r="X6389" t="s">
        <v>44910</v>
      </c>
    </row>
    <row r="6390" spans="1:24">
      <c r="A6390">
        <f>HYPERLINK("https://www.philgeps.gov.ph/GEPSNONPILOT/Tender/SplashBidNoticeAbstractUI.aspx?menuIndex=3&amp;refID=7077938&amp;Result=3","7077938")</f>
        <v>0</v>
      </c>
      <c r="B6390" t="s">
        <v>345</v>
      </c>
      <c r="C6390" t="s">
        <v>9618</v>
      </c>
      <c r="D6390" t="s">
        <v>18149</v>
      </c>
      <c r="E6390" t="s">
        <v>23888</v>
      </c>
      <c r="F6390" t="s">
        <v>31362</v>
      </c>
      <c r="G6390" t="s">
        <v>31369</v>
      </c>
      <c r="H6390" t="s">
        <v>15799</v>
      </c>
      <c r="I6390" t="s">
        <v>31387</v>
      </c>
      <c r="J6390" t="s">
        <v>35487</v>
      </c>
      <c r="K6390" t="s">
        <v>40675</v>
      </c>
      <c r="M6390" t="s">
        <v>41291</v>
      </c>
      <c r="N6390" t="s">
        <v>44905</v>
      </c>
      <c r="O6390" t="s">
        <v>44906</v>
      </c>
      <c r="P6390">
        <v>0</v>
      </c>
      <c r="Q6390">
        <v>0</v>
      </c>
      <c r="R6390" t="s">
        <v>44909</v>
      </c>
      <c r="S6390" t="s">
        <v>45060</v>
      </c>
      <c r="T6390" t="s">
        <v>46576</v>
      </c>
      <c r="U6390" t="s">
        <v>51184</v>
      </c>
      <c r="W6390" t="s">
        <v>41291</v>
      </c>
      <c r="X6390" t="s">
        <v>44910</v>
      </c>
    </row>
    <row r="6391" spans="1:24">
      <c r="A6391">
        <f>HYPERLINK("https://www.philgeps.gov.ph/GEPSNONPILOT/Tender/SplashBidNoticeAbstractUI.aspx?menuIndex=3&amp;refID=7077894&amp;Result=3","7077894")</f>
        <v>0</v>
      </c>
      <c r="B6391" t="s">
        <v>472</v>
      </c>
      <c r="C6391" t="s">
        <v>9619</v>
      </c>
      <c r="D6391" t="s">
        <v>18134</v>
      </c>
      <c r="E6391" t="s">
        <v>23889</v>
      </c>
      <c r="F6391" t="s">
        <v>31362</v>
      </c>
      <c r="G6391" t="s">
        <v>31369</v>
      </c>
      <c r="H6391" t="s">
        <v>15799</v>
      </c>
      <c r="I6391" t="s">
        <v>31409</v>
      </c>
      <c r="J6391" t="s">
        <v>35488</v>
      </c>
      <c r="K6391" t="s">
        <v>40676</v>
      </c>
      <c r="M6391" t="s">
        <v>42842</v>
      </c>
      <c r="N6391" t="s">
        <v>44905</v>
      </c>
      <c r="O6391" t="s">
        <v>44906</v>
      </c>
      <c r="P6391">
        <v>0</v>
      </c>
      <c r="Q6391">
        <v>3</v>
      </c>
      <c r="R6391" t="s">
        <v>44909</v>
      </c>
      <c r="S6391" t="s">
        <v>45060</v>
      </c>
      <c r="T6391" t="s">
        <v>46616</v>
      </c>
      <c r="U6391" t="s">
        <v>52051</v>
      </c>
      <c r="W6391" t="s">
        <v>42842</v>
      </c>
      <c r="X6391" t="s">
        <v>44910</v>
      </c>
    </row>
    <row r="6392" spans="1:24">
      <c r="A6392">
        <f>HYPERLINK("https://www.philgeps.gov.ph/GEPSNONPILOT/Tender/SplashBidNoticeAbstractUI.aspx?menuIndex=3&amp;refID=7077932&amp;Result=3","7077932")</f>
        <v>0</v>
      </c>
      <c r="B6392" t="s">
        <v>1991</v>
      </c>
      <c r="C6392" t="s">
        <v>9620</v>
      </c>
      <c r="D6392" t="s">
        <v>18112</v>
      </c>
      <c r="E6392" t="s">
        <v>23890</v>
      </c>
      <c r="F6392" t="s">
        <v>31362</v>
      </c>
      <c r="G6392" t="s">
        <v>31368</v>
      </c>
      <c r="H6392" t="s">
        <v>15799</v>
      </c>
      <c r="I6392" t="s">
        <v>6373</v>
      </c>
      <c r="J6392" t="s">
        <v>33584</v>
      </c>
      <c r="K6392" t="s">
        <v>40665</v>
      </c>
      <c r="M6392" t="s">
        <v>43102</v>
      </c>
      <c r="N6392" t="s">
        <v>44905</v>
      </c>
      <c r="O6392" t="s">
        <v>44906</v>
      </c>
      <c r="P6392">
        <v>0</v>
      </c>
      <c r="Q6392">
        <v>2</v>
      </c>
      <c r="R6392" t="s">
        <v>44909</v>
      </c>
      <c r="S6392" t="s">
        <v>45060</v>
      </c>
      <c r="T6392" t="s">
        <v>46447</v>
      </c>
      <c r="U6392" t="s">
        <v>52091</v>
      </c>
      <c r="W6392" t="s">
        <v>43102</v>
      </c>
      <c r="X6392" t="s">
        <v>44910</v>
      </c>
    </row>
    <row r="6393" spans="1:24">
      <c r="A6393">
        <f>HYPERLINK("https://www.philgeps.gov.ph/GEPSNONPILOT/Tender/SplashBidNoticeAbstractUI.aspx?menuIndex=3&amp;refID=7077891&amp;Result=3","7077891")</f>
        <v>0</v>
      </c>
      <c r="B6393" t="s">
        <v>1529</v>
      </c>
      <c r="C6393" t="s">
        <v>9621</v>
      </c>
      <c r="D6393" t="s">
        <v>18134</v>
      </c>
      <c r="E6393" t="s">
        <v>23891</v>
      </c>
      <c r="F6393" t="s">
        <v>31362</v>
      </c>
      <c r="G6393" t="s">
        <v>31369</v>
      </c>
      <c r="H6393" t="s">
        <v>31378</v>
      </c>
      <c r="I6393" t="s">
        <v>31386</v>
      </c>
      <c r="J6393" t="s">
        <v>31625</v>
      </c>
      <c r="K6393" t="s">
        <v>40682</v>
      </c>
      <c r="M6393" t="s">
        <v>42574</v>
      </c>
      <c r="N6393" t="s">
        <v>44905</v>
      </c>
      <c r="O6393" t="s">
        <v>44906</v>
      </c>
      <c r="P6393">
        <v>0</v>
      </c>
      <c r="Q6393">
        <v>2</v>
      </c>
      <c r="R6393" t="s">
        <v>44909</v>
      </c>
      <c r="S6393" t="s">
        <v>45060</v>
      </c>
      <c r="T6393" t="s">
        <v>46607</v>
      </c>
      <c r="U6393" t="s">
        <v>52124</v>
      </c>
      <c r="V6393" t="s">
        <v>59162</v>
      </c>
      <c r="W6393" t="s">
        <v>42574</v>
      </c>
      <c r="X6393" t="s">
        <v>44910</v>
      </c>
    </row>
    <row r="6394" spans="1:24">
      <c r="A6394">
        <f>HYPERLINK("https://www.philgeps.gov.ph/GEPSNONPILOT/Tender/SplashBidNoticeAbstractUI.aspx?menuIndex=3&amp;refID=7077931&amp;Result=3","7077931")</f>
        <v>0</v>
      </c>
      <c r="B6394" t="s">
        <v>237</v>
      </c>
      <c r="C6394" t="s">
        <v>9603</v>
      </c>
      <c r="D6394" t="s">
        <v>18108</v>
      </c>
      <c r="E6394" t="s">
        <v>23892</v>
      </c>
      <c r="F6394" t="s">
        <v>31362</v>
      </c>
      <c r="G6394" t="s">
        <v>31370</v>
      </c>
      <c r="H6394" t="s">
        <v>15799</v>
      </c>
      <c r="I6394" t="s">
        <v>31404</v>
      </c>
      <c r="J6394" t="s">
        <v>32278</v>
      </c>
      <c r="K6394" t="s">
        <v>40670</v>
      </c>
      <c r="M6394" t="s">
        <v>41176</v>
      </c>
      <c r="N6394" t="s">
        <v>44905</v>
      </c>
      <c r="O6394" t="s">
        <v>44906</v>
      </c>
      <c r="P6394">
        <v>0</v>
      </c>
      <c r="Q6394">
        <v>3</v>
      </c>
      <c r="R6394" t="s">
        <v>44909</v>
      </c>
      <c r="S6394" t="s">
        <v>45060</v>
      </c>
      <c r="T6394" t="s">
        <v>46518</v>
      </c>
      <c r="U6394" t="s">
        <v>52125</v>
      </c>
      <c r="V6394" t="s">
        <v>59113</v>
      </c>
      <c r="W6394" t="s">
        <v>41176</v>
      </c>
      <c r="X6394" t="s">
        <v>44910</v>
      </c>
    </row>
    <row r="6395" spans="1:24">
      <c r="A6395">
        <f>HYPERLINK("https://www.philgeps.gov.ph/GEPSNONPILOT/Tender/SplashBidNoticeAbstractUI.aspx?menuIndex=3&amp;refID=7077930&amp;Result=3","7077930")</f>
        <v>0</v>
      </c>
      <c r="B6395" t="s">
        <v>292</v>
      </c>
      <c r="C6395" t="s">
        <v>9622</v>
      </c>
      <c r="D6395" t="s">
        <v>18143</v>
      </c>
      <c r="E6395" t="s">
        <v>23893</v>
      </c>
      <c r="F6395" t="s">
        <v>31362</v>
      </c>
      <c r="G6395" t="s">
        <v>31368</v>
      </c>
      <c r="H6395" t="s">
        <v>15799</v>
      </c>
      <c r="I6395" t="s">
        <v>3815</v>
      </c>
      <c r="J6395" t="s">
        <v>35489</v>
      </c>
      <c r="K6395" t="s">
        <v>40661</v>
      </c>
      <c r="M6395" t="s">
        <v>41235</v>
      </c>
      <c r="N6395" t="s">
        <v>44905</v>
      </c>
      <c r="O6395" t="s">
        <v>44906</v>
      </c>
      <c r="P6395">
        <v>0</v>
      </c>
      <c r="Q6395">
        <v>0</v>
      </c>
      <c r="R6395" t="s">
        <v>44909</v>
      </c>
      <c r="S6395" t="s">
        <v>45060</v>
      </c>
      <c r="T6395" t="s">
        <v>46410</v>
      </c>
      <c r="U6395" t="s">
        <v>52126</v>
      </c>
      <c r="W6395" t="s">
        <v>41235</v>
      </c>
      <c r="X6395" t="s">
        <v>44910</v>
      </c>
    </row>
    <row r="6396" spans="1:24">
      <c r="A6396">
        <f>HYPERLINK("https://www.philgeps.gov.ph/GEPSNONPILOT/Tender/SplashBidNoticeAbstractUI.aspx?menuIndex=3&amp;refID=7077928&amp;Result=3","7077928")</f>
        <v>0</v>
      </c>
      <c r="B6396" t="s">
        <v>1264</v>
      </c>
      <c r="C6396" t="s">
        <v>9623</v>
      </c>
      <c r="D6396" t="s">
        <v>18108</v>
      </c>
      <c r="E6396" t="s">
        <v>21701</v>
      </c>
      <c r="F6396" t="s">
        <v>31362</v>
      </c>
      <c r="G6396" t="s">
        <v>31368</v>
      </c>
      <c r="H6396" t="s">
        <v>15799</v>
      </c>
      <c r="I6396" t="s">
        <v>31380</v>
      </c>
      <c r="J6396" t="s">
        <v>31545</v>
      </c>
      <c r="K6396" t="s">
        <v>40665</v>
      </c>
      <c r="M6396" t="s">
        <v>42281</v>
      </c>
      <c r="N6396" t="s">
        <v>44905</v>
      </c>
      <c r="O6396" t="s">
        <v>44906</v>
      </c>
      <c r="P6396">
        <v>0</v>
      </c>
      <c r="Q6396">
        <v>1</v>
      </c>
      <c r="R6396" t="s">
        <v>44909</v>
      </c>
      <c r="S6396" t="s">
        <v>45060</v>
      </c>
      <c r="T6396" t="s">
        <v>46454</v>
      </c>
      <c r="U6396" t="s">
        <v>52127</v>
      </c>
      <c r="W6396" t="s">
        <v>42281</v>
      </c>
      <c r="X6396" t="s">
        <v>44910</v>
      </c>
    </row>
    <row r="6397" spans="1:24">
      <c r="A6397">
        <f>HYPERLINK("https://www.philgeps.gov.ph/GEPSNONPILOT/Tender/SplashBidNoticeAbstractUI.aspx?menuIndex=3&amp;refID=7077924&amp;Result=3","7077924")</f>
        <v>0</v>
      </c>
      <c r="B6397" t="s">
        <v>797</v>
      </c>
      <c r="C6397" t="s">
        <v>9624</v>
      </c>
      <c r="D6397" t="s">
        <v>18152</v>
      </c>
      <c r="E6397" t="s">
        <v>23894</v>
      </c>
      <c r="F6397" t="s">
        <v>31362</v>
      </c>
      <c r="G6397" t="s">
        <v>31368</v>
      </c>
      <c r="H6397" t="s">
        <v>15799</v>
      </c>
      <c r="I6397" t="s">
        <v>31433</v>
      </c>
      <c r="J6397" t="s">
        <v>35490</v>
      </c>
      <c r="K6397" t="s">
        <v>40668</v>
      </c>
      <c r="M6397" t="s">
        <v>41767</v>
      </c>
      <c r="N6397" t="s">
        <v>44905</v>
      </c>
      <c r="O6397" t="s">
        <v>44906</v>
      </c>
      <c r="P6397">
        <v>0</v>
      </c>
      <c r="Q6397">
        <v>0</v>
      </c>
      <c r="R6397" t="s">
        <v>44909</v>
      </c>
      <c r="S6397" t="s">
        <v>45060</v>
      </c>
      <c r="T6397" t="s">
        <v>46410</v>
      </c>
      <c r="U6397" t="s">
        <v>52128</v>
      </c>
      <c r="W6397" t="s">
        <v>41767</v>
      </c>
      <c r="X6397" t="s">
        <v>44910</v>
      </c>
    </row>
    <row r="6398" spans="1:24">
      <c r="A6398">
        <f>HYPERLINK("https://www.philgeps.gov.ph/GEPSNONPILOT/Tender/SplashBidNoticeAbstractUI.aspx?menuIndex=3&amp;refID=7077922&amp;Result=3","7077922")</f>
        <v>0</v>
      </c>
      <c r="B6398" t="s">
        <v>1999</v>
      </c>
      <c r="C6398" t="s">
        <v>9625</v>
      </c>
      <c r="E6398" t="s">
        <v>23895</v>
      </c>
      <c r="F6398" t="s">
        <v>31362</v>
      </c>
      <c r="G6398" t="s">
        <v>31368</v>
      </c>
      <c r="H6398" t="s">
        <v>31379</v>
      </c>
      <c r="I6398" t="s">
        <v>31468</v>
      </c>
      <c r="J6398" t="s">
        <v>31536</v>
      </c>
      <c r="K6398" t="s">
        <v>40666</v>
      </c>
      <c r="M6398" t="s">
        <v>43110</v>
      </c>
      <c r="N6398" t="s">
        <v>44905</v>
      </c>
      <c r="O6398" t="s">
        <v>44906</v>
      </c>
      <c r="P6398">
        <v>0</v>
      </c>
      <c r="Q6398">
        <v>1</v>
      </c>
      <c r="R6398" t="s">
        <v>44909</v>
      </c>
      <c r="S6398" t="s">
        <v>45060</v>
      </c>
      <c r="T6398" t="s">
        <v>46414</v>
      </c>
      <c r="U6398" t="s">
        <v>52129</v>
      </c>
      <c r="V6398" t="s">
        <v>59672</v>
      </c>
      <c r="W6398" t="s">
        <v>43110</v>
      </c>
      <c r="X6398" t="s">
        <v>44910</v>
      </c>
    </row>
    <row r="6399" spans="1:24">
      <c r="A6399">
        <f>HYPERLINK("https://www.philgeps.gov.ph/GEPSNONPILOT/Tender/SplashBidNoticeAbstractUI.aspx?menuIndex=3&amp;refID=7077887&amp;Result=3","7077887")</f>
        <v>0</v>
      </c>
      <c r="B6399" t="s">
        <v>1979</v>
      </c>
      <c r="C6399" t="s">
        <v>9626</v>
      </c>
      <c r="D6399" t="s">
        <v>18124</v>
      </c>
      <c r="E6399" t="s">
        <v>23896</v>
      </c>
      <c r="F6399" t="s">
        <v>31362</v>
      </c>
      <c r="G6399" t="s">
        <v>31370</v>
      </c>
      <c r="H6399" t="s">
        <v>15799</v>
      </c>
      <c r="I6399" t="s">
        <v>31387</v>
      </c>
      <c r="J6399" t="s">
        <v>35491</v>
      </c>
      <c r="K6399" t="s">
        <v>40666</v>
      </c>
      <c r="M6399" t="s">
        <v>43087</v>
      </c>
      <c r="N6399" t="s">
        <v>44905</v>
      </c>
      <c r="O6399" t="s">
        <v>44906</v>
      </c>
      <c r="P6399">
        <v>0</v>
      </c>
      <c r="Q6399">
        <v>0</v>
      </c>
      <c r="R6399" t="s">
        <v>44909</v>
      </c>
      <c r="S6399" t="s">
        <v>45060</v>
      </c>
      <c r="T6399" t="s">
        <v>46438</v>
      </c>
      <c r="U6399" t="s">
        <v>52023</v>
      </c>
      <c r="V6399" t="s">
        <v>59673</v>
      </c>
      <c r="W6399" t="s">
        <v>43087</v>
      </c>
      <c r="X6399" t="s">
        <v>44910</v>
      </c>
    </row>
    <row r="6400" spans="1:24">
      <c r="A6400">
        <f>HYPERLINK("https://www.philgeps.gov.ph/GEPSNONPILOT/Tender/SplashBidNoticeAbstractUI.aspx?menuIndex=3&amp;refID=7077919&amp;Result=3","7077919")</f>
        <v>0</v>
      </c>
      <c r="B6400" t="s">
        <v>954</v>
      </c>
      <c r="C6400" t="s">
        <v>9627</v>
      </c>
      <c r="D6400" t="s">
        <v>18136</v>
      </c>
      <c r="E6400" t="s">
        <v>20286</v>
      </c>
      <c r="F6400" t="s">
        <v>31362</v>
      </c>
      <c r="G6400" t="s">
        <v>31368</v>
      </c>
      <c r="H6400" t="s">
        <v>15799</v>
      </c>
      <c r="I6400" t="s">
        <v>31387</v>
      </c>
      <c r="J6400" t="s">
        <v>35492</v>
      </c>
      <c r="K6400" t="s">
        <v>40677</v>
      </c>
      <c r="M6400" t="s">
        <v>41942</v>
      </c>
      <c r="N6400" t="s">
        <v>44905</v>
      </c>
      <c r="O6400" t="s">
        <v>44906</v>
      </c>
      <c r="P6400">
        <v>0</v>
      </c>
      <c r="Q6400">
        <v>0</v>
      </c>
      <c r="R6400" t="s">
        <v>44909</v>
      </c>
      <c r="S6400" t="s">
        <v>45060</v>
      </c>
      <c r="T6400" t="s">
        <v>46497</v>
      </c>
      <c r="U6400" t="s">
        <v>48763</v>
      </c>
      <c r="W6400" t="s">
        <v>41942</v>
      </c>
      <c r="X6400" t="s">
        <v>44910</v>
      </c>
    </row>
    <row r="6401" spans="1:24">
      <c r="A6401">
        <f>HYPERLINK("https://www.philgeps.gov.ph/GEPSNONPILOT/Tender/SplashBidNoticeAbstractUI.aspx?menuIndex=3&amp;refID=7077940&amp;Result=3","7077940")</f>
        <v>0</v>
      </c>
      <c r="B6401" t="s">
        <v>989</v>
      </c>
      <c r="C6401" t="s">
        <v>9628</v>
      </c>
      <c r="D6401" t="s">
        <v>18158</v>
      </c>
      <c r="E6401" t="s">
        <v>23897</v>
      </c>
      <c r="F6401" t="s">
        <v>31362</v>
      </c>
      <c r="G6401" t="s">
        <v>31369</v>
      </c>
      <c r="H6401" t="s">
        <v>31378</v>
      </c>
      <c r="I6401" t="s">
        <v>31386</v>
      </c>
      <c r="J6401" t="s">
        <v>33680</v>
      </c>
      <c r="K6401" t="s">
        <v>40682</v>
      </c>
      <c r="M6401" t="s">
        <v>41983</v>
      </c>
      <c r="N6401" t="s">
        <v>44905</v>
      </c>
      <c r="O6401" t="s">
        <v>44906</v>
      </c>
      <c r="P6401">
        <v>0</v>
      </c>
      <c r="Q6401">
        <v>0</v>
      </c>
      <c r="R6401" t="s">
        <v>44909</v>
      </c>
      <c r="S6401" t="s">
        <v>45060</v>
      </c>
      <c r="T6401" t="s">
        <v>46519</v>
      </c>
      <c r="U6401" t="s">
        <v>52130</v>
      </c>
      <c r="W6401" t="s">
        <v>41983</v>
      </c>
      <c r="X6401" t="s">
        <v>44910</v>
      </c>
    </row>
    <row r="6402" spans="1:24">
      <c r="A6402">
        <f>HYPERLINK("https://www.philgeps.gov.ph/GEPSNONPILOT/Tender/SplashBidNoticeAbstractUI.aspx?menuIndex=3&amp;refID=7077889&amp;Result=3","7077889")</f>
        <v>0</v>
      </c>
      <c r="B6402" t="s">
        <v>212</v>
      </c>
      <c r="C6402" t="s">
        <v>9629</v>
      </c>
      <c r="D6402" t="s">
        <v>18162</v>
      </c>
      <c r="E6402" t="s">
        <v>23898</v>
      </c>
      <c r="F6402" t="s">
        <v>31362</v>
      </c>
      <c r="G6402" t="s">
        <v>31369</v>
      </c>
      <c r="H6402" t="s">
        <v>15799</v>
      </c>
      <c r="I6402" t="s">
        <v>31430</v>
      </c>
      <c r="J6402" t="s">
        <v>35493</v>
      </c>
      <c r="K6402" t="s">
        <v>40670</v>
      </c>
      <c r="M6402" t="s">
        <v>41151</v>
      </c>
      <c r="N6402" t="s">
        <v>44905</v>
      </c>
      <c r="O6402" t="s">
        <v>44906</v>
      </c>
      <c r="P6402">
        <v>0</v>
      </c>
      <c r="Q6402">
        <v>0</v>
      </c>
      <c r="R6402" t="s">
        <v>44909</v>
      </c>
      <c r="S6402" t="s">
        <v>45060</v>
      </c>
      <c r="T6402" t="s">
        <v>46412</v>
      </c>
      <c r="U6402" t="s">
        <v>52131</v>
      </c>
      <c r="V6402" t="s">
        <v>59674</v>
      </c>
      <c r="W6402" t="s">
        <v>41151</v>
      </c>
      <c r="X6402" t="s">
        <v>44910</v>
      </c>
    </row>
    <row r="6403" spans="1:24">
      <c r="A6403">
        <f>HYPERLINK("https://www.philgeps.gov.ph/GEPSNONPILOT/Tender/SplashBidNoticeAbstractUI.aspx?menuIndex=3&amp;refID=7077926&amp;Result=3","7077926")</f>
        <v>0</v>
      </c>
      <c r="B6403" t="s">
        <v>472</v>
      </c>
      <c r="C6403" t="s">
        <v>9630</v>
      </c>
      <c r="D6403" t="s">
        <v>18134</v>
      </c>
      <c r="E6403" t="s">
        <v>23899</v>
      </c>
      <c r="F6403" t="s">
        <v>31362</v>
      </c>
      <c r="G6403" t="s">
        <v>31369</v>
      </c>
      <c r="H6403" t="s">
        <v>15799</v>
      </c>
      <c r="I6403" t="s">
        <v>31409</v>
      </c>
      <c r="J6403" t="s">
        <v>35494</v>
      </c>
      <c r="K6403" t="s">
        <v>40665</v>
      </c>
      <c r="M6403" t="s">
        <v>42842</v>
      </c>
      <c r="N6403" t="s">
        <v>44905</v>
      </c>
      <c r="O6403" t="s">
        <v>44906</v>
      </c>
      <c r="P6403">
        <v>0</v>
      </c>
      <c r="Q6403">
        <v>4</v>
      </c>
      <c r="R6403" t="s">
        <v>44909</v>
      </c>
      <c r="S6403" t="s">
        <v>45060</v>
      </c>
      <c r="T6403" t="s">
        <v>46616</v>
      </c>
      <c r="U6403" t="s">
        <v>52051</v>
      </c>
      <c r="W6403" t="s">
        <v>42842</v>
      </c>
      <c r="X6403" t="s">
        <v>44910</v>
      </c>
    </row>
    <row r="6404" spans="1:24">
      <c r="A6404">
        <f>HYPERLINK("https://www.philgeps.gov.ph/GEPSNONPILOT/Tender/SplashBidNoticeAbstractUI.aspx?menuIndex=3&amp;refID=7077912&amp;Result=3","7077912")</f>
        <v>0</v>
      </c>
      <c r="B6404" t="s">
        <v>227</v>
      </c>
      <c r="C6404" t="s">
        <v>9631</v>
      </c>
      <c r="D6404" t="s">
        <v>18108</v>
      </c>
      <c r="E6404" t="s">
        <v>23900</v>
      </c>
      <c r="F6404" t="s">
        <v>31362</v>
      </c>
      <c r="G6404" t="s">
        <v>31368</v>
      </c>
      <c r="H6404" t="s">
        <v>15799</v>
      </c>
      <c r="I6404" t="s">
        <v>4283</v>
      </c>
      <c r="J6404" t="s">
        <v>32239</v>
      </c>
      <c r="K6404" t="s">
        <v>40662</v>
      </c>
      <c r="M6404" t="s">
        <v>41297</v>
      </c>
      <c r="N6404" t="s">
        <v>44905</v>
      </c>
      <c r="O6404" t="s">
        <v>44906</v>
      </c>
      <c r="P6404">
        <v>0</v>
      </c>
      <c r="Q6404">
        <v>7</v>
      </c>
      <c r="R6404" t="s">
        <v>44909</v>
      </c>
      <c r="S6404" t="s">
        <v>45060</v>
      </c>
      <c r="T6404" t="s">
        <v>46518</v>
      </c>
      <c r="U6404" t="s">
        <v>52132</v>
      </c>
      <c r="W6404" t="s">
        <v>41297</v>
      </c>
      <c r="X6404" t="s">
        <v>44910</v>
      </c>
    </row>
    <row r="6405" spans="1:24">
      <c r="A6405">
        <f>HYPERLINK("https://www.philgeps.gov.ph/GEPSNONPILOT/Tender/SplashBidNoticeAbstractUI.aspx?menuIndex=3&amp;refID=7077910&amp;Result=3","7077910")</f>
        <v>0</v>
      </c>
      <c r="B6405" t="s">
        <v>686</v>
      </c>
      <c r="C6405" t="s">
        <v>9632</v>
      </c>
      <c r="D6405" t="s">
        <v>18131</v>
      </c>
      <c r="E6405" t="s">
        <v>23901</v>
      </c>
      <c r="F6405" t="s">
        <v>31362</v>
      </c>
      <c r="G6405" t="s">
        <v>31368</v>
      </c>
      <c r="H6405" t="s">
        <v>15799</v>
      </c>
      <c r="I6405" t="s">
        <v>31400</v>
      </c>
      <c r="J6405" t="s">
        <v>33049</v>
      </c>
      <c r="K6405" t="s">
        <v>40666</v>
      </c>
      <c r="M6405" t="s">
        <v>41648</v>
      </c>
      <c r="N6405" t="s">
        <v>44905</v>
      </c>
      <c r="O6405" t="s">
        <v>44906</v>
      </c>
      <c r="P6405">
        <v>0</v>
      </c>
      <c r="Q6405">
        <v>4</v>
      </c>
      <c r="R6405" t="s">
        <v>44909</v>
      </c>
      <c r="S6405" t="s">
        <v>45060</v>
      </c>
      <c r="T6405" t="s">
        <v>46483</v>
      </c>
      <c r="U6405" t="s">
        <v>52133</v>
      </c>
      <c r="W6405" t="s">
        <v>41648</v>
      </c>
      <c r="X6405" t="s">
        <v>44910</v>
      </c>
    </row>
    <row r="6406" spans="1:24">
      <c r="A6406">
        <f>HYPERLINK("https://www.philgeps.gov.ph/GEPSNONPILOT/Tender/SplashBidNoticeAbstractUI.aspx?menuIndex=3&amp;refID=7077918&amp;Result=3","7077918")</f>
        <v>0</v>
      </c>
      <c r="B6406" t="s">
        <v>2000</v>
      </c>
      <c r="C6406" t="s">
        <v>9633</v>
      </c>
      <c r="D6406" t="s">
        <v>18105</v>
      </c>
      <c r="E6406" t="s">
        <v>23902</v>
      </c>
      <c r="F6406" t="s">
        <v>31362</v>
      </c>
      <c r="G6406" t="s">
        <v>31368</v>
      </c>
      <c r="H6406" t="s">
        <v>15799</v>
      </c>
      <c r="I6406" t="s">
        <v>31393</v>
      </c>
      <c r="J6406" t="s">
        <v>32721</v>
      </c>
      <c r="K6406" t="s">
        <v>40670</v>
      </c>
      <c r="M6406" t="s">
        <v>43111</v>
      </c>
      <c r="N6406" t="s">
        <v>44905</v>
      </c>
      <c r="O6406" t="s">
        <v>44906</v>
      </c>
      <c r="P6406">
        <v>0</v>
      </c>
      <c r="Q6406">
        <v>0</v>
      </c>
      <c r="R6406" t="s">
        <v>44909</v>
      </c>
      <c r="S6406" t="s">
        <v>45060</v>
      </c>
      <c r="T6406" t="s">
        <v>46432</v>
      </c>
      <c r="U6406" t="s">
        <v>52134</v>
      </c>
      <c r="W6406" t="s">
        <v>43111</v>
      </c>
      <c r="X6406" t="s">
        <v>44910</v>
      </c>
    </row>
    <row r="6407" spans="1:24">
      <c r="A6407">
        <f>HYPERLINK("https://www.philgeps.gov.ph/GEPSNONPILOT/Tender/SplashBidNoticeAbstractUI.aspx?menuIndex=3&amp;refID=7077908&amp;Result=3","7077908")</f>
        <v>0</v>
      </c>
      <c r="B6407" t="s">
        <v>1984</v>
      </c>
      <c r="C6407" t="s">
        <v>9634</v>
      </c>
      <c r="D6407" t="s">
        <v>18107</v>
      </c>
      <c r="E6407" t="s">
        <v>23903</v>
      </c>
      <c r="F6407" t="s">
        <v>31362</v>
      </c>
      <c r="G6407" t="s">
        <v>31368</v>
      </c>
      <c r="H6407" t="s">
        <v>15799</v>
      </c>
      <c r="I6407" t="s">
        <v>31427</v>
      </c>
      <c r="J6407" t="s">
        <v>35495</v>
      </c>
      <c r="K6407" t="s">
        <v>40665</v>
      </c>
      <c r="M6407" t="s">
        <v>43092</v>
      </c>
      <c r="N6407" t="s">
        <v>44905</v>
      </c>
      <c r="O6407" t="s">
        <v>44906</v>
      </c>
      <c r="P6407">
        <v>0</v>
      </c>
      <c r="Q6407">
        <v>4</v>
      </c>
      <c r="R6407" t="s">
        <v>44909</v>
      </c>
      <c r="S6407" t="s">
        <v>45060</v>
      </c>
      <c r="T6407" t="s">
        <v>46454</v>
      </c>
      <c r="U6407" t="s">
        <v>52135</v>
      </c>
      <c r="W6407" t="s">
        <v>43092</v>
      </c>
      <c r="X6407" t="s">
        <v>44910</v>
      </c>
    </row>
    <row r="6408" spans="1:24">
      <c r="A6408">
        <f>HYPERLINK("https://www.philgeps.gov.ph/GEPSNONPILOT/Tender/SplashBidNoticeAbstractUI.aspx?menuIndex=3&amp;refID=7077917&amp;Result=3","7077917")</f>
        <v>0</v>
      </c>
      <c r="B6408" t="s">
        <v>292</v>
      </c>
      <c r="C6408" t="s">
        <v>9635</v>
      </c>
      <c r="D6408" t="s">
        <v>18143</v>
      </c>
      <c r="E6408" t="s">
        <v>23904</v>
      </c>
      <c r="F6408" t="s">
        <v>31362</v>
      </c>
      <c r="G6408" t="s">
        <v>31368</v>
      </c>
      <c r="H6408" t="s">
        <v>15799</v>
      </c>
      <c r="I6408" t="s">
        <v>31431</v>
      </c>
      <c r="J6408" t="s">
        <v>35496</v>
      </c>
      <c r="K6408" t="s">
        <v>40661</v>
      </c>
      <c r="M6408" t="s">
        <v>41235</v>
      </c>
      <c r="N6408" t="s">
        <v>44905</v>
      </c>
      <c r="O6408" t="s">
        <v>44906</v>
      </c>
      <c r="P6408">
        <v>0</v>
      </c>
      <c r="Q6408">
        <v>2</v>
      </c>
      <c r="R6408" t="s">
        <v>44909</v>
      </c>
      <c r="S6408" t="s">
        <v>45060</v>
      </c>
      <c r="T6408" t="s">
        <v>46410</v>
      </c>
      <c r="U6408" t="s">
        <v>52136</v>
      </c>
      <c r="W6408" t="s">
        <v>41235</v>
      </c>
      <c r="X6408" t="s">
        <v>44910</v>
      </c>
    </row>
    <row r="6409" spans="1:24">
      <c r="A6409">
        <f>HYPERLINK("https://www.philgeps.gov.ph/GEPSNONPILOT/Tender/SplashBidNoticeAbstractUI.aspx?menuIndex=3&amp;refID=7077882&amp;Result=3","7077882")</f>
        <v>0</v>
      </c>
      <c r="B6409" t="s">
        <v>292</v>
      </c>
      <c r="C6409" t="s">
        <v>9636</v>
      </c>
      <c r="D6409" t="s">
        <v>18143</v>
      </c>
      <c r="E6409" t="s">
        <v>23905</v>
      </c>
      <c r="F6409" t="s">
        <v>31362</v>
      </c>
      <c r="G6409" t="s">
        <v>31368</v>
      </c>
      <c r="H6409" t="s">
        <v>15799</v>
      </c>
      <c r="I6409" t="s">
        <v>3815</v>
      </c>
      <c r="J6409" t="s">
        <v>35497</v>
      </c>
      <c r="K6409" t="s">
        <v>40661</v>
      </c>
      <c r="M6409" t="s">
        <v>41235</v>
      </c>
      <c r="N6409" t="s">
        <v>44905</v>
      </c>
      <c r="O6409" t="s">
        <v>44906</v>
      </c>
      <c r="P6409">
        <v>0</v>
      </c>
      <c r="Q6409">
        <v>0</v>
      </c>
      <c r="R6409" t="s">
        <v>44909</v>
      </c>
      <c r="S6409" t="s">
        <v>45060</v>
      </c>
      <c r="T6409" t="s">
        <v>46410</v>
      </c>
      <c r="U6409" t="s">
        <v>52137</v>
      </c>
      <c r="W6409" t="s">
        <v>41235</v>
      </c>
      <c r="X6409" t="s">
        <v>44910</v>
      </c>
    </row>
    <row r="6410" spans="1:24">
      <c r="A6410">
        <f>HYPERLINK("https://www.philgeps.gov.ph/GEPSNONPILOT/Tender/SplashBidNoticeAbstractUI.aspx?menuIndex=3&amp;refID=7077881&amp;Result=3","7077881")</f>
        <v>0</v>
      </c>
      <c r="B6410" t="s">
        <v>227</v>
      </c>
      <c r="C6410" t="s">
        <v>9637</v>
      </c>
      <c r="D6410" t="s">
        <v>18108</v>
      </c>
      <c r="E6410" t="s">
        <v>23906</v>
      </c>
      <c r="F6410" t="s">
        <v>31362</v>
      </c>
      <c r="G6410" t="s">
        <v>31368</v>
      </c>
      <c r="H6410" t="s">
        <v>15799</v>
      </c>
      <c r="I6410" t="s">
        <v>31422</v>
      </c>
      <c r="J6410" t="s">
        <v>32372</v>
      </c>
      <c r="K6410" t="s">
        <v>40662</v>
      </c>
      <c r="M6410" t="s">
        <v>41166</v>
      </c>
      <c r="N6410" t="s">
        <v>44905</v>
      </c>
      <c r="O6410" t="s">
        <v>44906</v>
      </c>
      <c r="P6410">
        <v>0</v>
      </c>
      <c r="Q6410">
        <v>15</v>
      </c>
      <c r="R6410" t="s">
        <v>44909</v>
      </c>
      <c r="S6410" t="s">
        <v>45060</v>
      </c>
      <c r="T6410" t="s">
        <v>46518</v>
      </c>
      <c r="U6410" t="s">
        <v>52138</v>
      </c>
      <c r="W6410" t="s">
        <v>41297</v>
      </c>
      <c r="X6410" t="s">
        <v>44910</v>
      </c>
    </row>
    <row r="6411" spans="1:24">
      <c r="A6411">
        <f>HYPERLINK("https://www.philgeps.gov.ph/GEPSNONPILOT/Tender/SplashBidNoticeAbstractUI.aspx?menuIndex=3&amp;refID=7077913&amp;Result=3","7077913")</f>
        <v>0</v>
      </c>
      <c r="B6411" t="s">
        <v>717</v>
      </c>
      <c r="C6411" t="s">
        <v>9638</v>
      </c>
      <c r="D6411" t="s">
        <v>18167</v>
      </c>
      <c r="E6411" t="s">
        <v>23907</v>
      </c>
      <c r="F6411" t="s">
        <v>31362</v>
      </c>
      <c r="G6411" t="s">
        <v>31368</v>
      </c>
      <c r="H6411" t="s">
        <v>15799</v>
      </c>
      <c r="I6411" t="s">
        <v>6155</v>
      </c>
      <c r="J6411" t="s">
        <v>35498</v>
      </c>
      <c r="K6411" t="s">
        <v>40665</v>
      </c>
      <c r="M6411" t="s">
        <v>41682</v>
      </c>
      <c r="N6411" t="s">
        <v>44905</v>
      </c>
      <c r="O6411" t="s">
        <v>44906</v>
      </c>
      <c r="P6411">
        <v>0</v>
      </c>
      <c r="Q6411">
        <v>1</v>
      </c>
      <c r="R6411" t="s">
        <v>44909</v>
      </c>
      <c r="S6411" t="s">
        <v>45060</v>
      </c>
      <c r="T6411" t="s">
        <v>46411</v>
      </c>
      <c r="U6411" t="s">
        <v>52139</v>
      </c>
      <c r="W6411" t="s">
        <v>41682</v>
      </c>
      <c r="X6411" t="s">
        <v>44910</v>
      </c>
    </row>
    <row r="6412" spans="1:24">
      <c r="A6412">
        <f>HYPERLINK("https://www.philgeps.gov.ph/GEPSNONPILOT/Tender/SplashBidNoticeAbstractUI.aspx?menuIndex=3&amp;refID=7077879&amp;Result=3","7077879")</f>
        <v>0</v>
      </c>
      <c r="B6412" t="s">
        <v>232</v>
      </c>
      <c r="C6412" t="s">
        <v>9639</v>
      </c>
      <c r="D6412" t="s">
        <v>18101</v>
      </c>
      <c r="E6412" t="s">
        <v>23908</v>
      </c>
      <c r="F6412" t="s">
        <v>31362</v>
      </c>
      <c r="G6412" t="s">
        <v>31372</v>
      </c>
      <c r="H6412" t="s">
        <v>31378</v>
      </c>
      <c r="I6412" t="s">
        <v>31386</v>
      </c>
      <c r="J6412" t="s">
        <v>35499</v>
      </c>
      <c r="K6412" t="s">
        <v>40661</v>
      </c>
      <c r="M6412" t="s">
        <v>41171</v>
      </c>
      <c r="N6412" t="s">
        <v>44905</v>
      </c>
      <c r="O6412" t="s">
        <v>44906</v>
      </c>
      <c r="P6412">
        <v>0</v>
      </c>
      <c r="Q6412">
        <v>0</v>
      </c>
      <c r="R6412" t="s">
        <v>44909</v>
      </c>
      <c r="S6412" t="s">
        <v>45060</v>
      </c>
      <c r="T6412" t="s">
        <v>46470</v>
      </c>
      <c r="U6412" t="s">
        <v>52140</v>
      </c>
      <c r="W6412" t="s">
        <v>41171</v>
      </c>
      <c r="X6412" t="s">
        <v>44910</v>
      </c>
    </row>
    <row r="6413" spans="1:24">
      <c r="A6413">
        <f>HYPERLINK("https://www.philgeps.gov.ph/GEPSNONPILOT/Tender/SplashBidNoticeAbstractUI.aspx?menuIndex=3&amp;refID=7077877&amp;Result=3","7077877")</f>
        <v>0</v>
      </c>
      <c r="B6413" t="s">
        <v>65</v>
      </c>
      <c r="C6413" t="s">
        <v>9640</v>
      </c>
      <c r="D6413" t="s">
        <v>18127</v>
      </c>
      <c r="E6413" t="s">
        <v>23909</v>
      </c>
      <c r="F6413" t="s">
        <v>31362</v>
      </c>
      <c r="G6413" t="s">
        <v>31368</v>
      </c>
      <c r="H6413" t="s">
        <v>15799</v>
      </c>
      <c r="I6413" t="s">
        <v>31411</v>
      </c>
      <c r="J6413" t="s">
        <v>35500</v>
      </c>
      <c r="K6413" t="s">
        <v>40665</v>
      </c>
      <c r="M6413" t="s">
        <v>41001</v>
      </c>
      <c r="N6413" t="s">
        <v>44905</v>
      </c>
      <c r="O6413" t="s">
        <v>44906</v>
      </c>
      <c r="P6413">
        <v>0</v>
      </c>
      <c r="Q6413">
        <v>6</v>
      </c>
      <c r="R6413" t="s">
        <v>44909</v>
      </c>
      <c r="S6413" t="s">
        <v>45060</v>
      </c>
      <c r="T6413" t="s">
        <v>46509</v>
      </c>
      <c r="U6413" t="s">
        <v>52141</v>
      </c>
      <c r="W6413" t="s">
        <v>41001</v>
      </c>
      <c r="X6413" t="s">
        <v>44910</v>
      </c>
    </row>
    <row r="6414" spans="1:24">
      <c r="A6414">
        <f>HYPERLINK("https://www.philgeps.gov.ph/GEPSNONPILOT/Tender/SplashBidNoticeAbstractUI.aspx?menuIndex=3&amp;refID=7077943&amp;Result=3","7077943")</f>
        <v>0</v>
      </c>
      <c r="B6414" t="s">
        <v>1024</v>
      </c>
      <c r="C6414" t="s">
        <v>6101</v>
      </c>
      <c r="D6414" t="s">
        <v>18125</v>
      </c>
      <c r="E6414" t="s">
        <v>23910</v>
      </c>
      <c r="F6414" t="s">
        <v>31362</v>
      </c>
      <c r="G6414" t="s">
        <v>31371</v>
      </c>
      <c r="H6414" t="s">
        <v>15799</v>
      </c>
      <c r="I6414" t="s">
        <v>31385</v>
      </c>
      <c r="J6414" t="s">
        <v>35501</v>
      </c>
      <c r="K6414" t="s">
        <v>40662</v>
      </c>
      <c r="M6414" t="s">
        <v>42022</v>
      </c>
      <c r="N6414" t="s">
        <v>44905</v>
      </c>
      <c r="O6414" t="s">
        <v>44906</v>
      </c>
      <c r="P6414">
        <v>0</v>
      </c>
      <c r="Q6414">
        <v>5</v>
      </c>
      <c r="R6414" t="s">
        <v>44909</v>
      </c>
      <c r="S6414" t="s">
        <v>45060</v>
      </c>
      <c r="T6414" t="s">
        <v>46438</v>
      </c>
      <c r="U6414" t="s">
        <v>49133</v>
      </c>
      <c r="W6414" t="s">
        <v>42022</v>
      </c>
      <c r="X6414" t="s">
        <v>44910</v>
      </c>
    </row>
    <row r="6415" spans="1:24">
      <c r="A6415">
        <f>HYPERLINK("https://www.philgeps.gov.ph/GEPSNONPILOT/Tender/SplashBidNoticeAbstractUI.aspx?menuIndex=3&amp;refID=7077911&amp;Result=3","7077911")</f>
        <v>0</v>
      </c>
      <c r="B6415" t="s">
        <v>232</v>
      </c>
      <c r="C6415" t="s">
        <v>9641</v>
      </c>
      <c r="D6415" t="s">
        <v>18101</v>
      </c>
      <c r="E6415" t="s">
        <v>23911</v>
      </c>
      <c r="F6415" t="s">
        <v>31362</v>
      </c>
      <c r="G6415" t="s">
        <v>31369</v>
      </c>
      <c r="H6415" t="s">
        <v>15799</v>
      </c>
      <c r="I6415" t="s">
        <v>31409</v>
      </c>
      <c r="J6415" t="s">
        <v>33482</v>
      </c>
      <c r="K6415" t="s">
        <v>40665</v>
      </c>
      <c r="M6415" t="s">
        <v>41171</v>
      </c>
      <c r="N6415" t="s">
        <v>44905</v>
      </c>
      <c r="O6415" t="s">
        <v>44906</v>
      </c>
      <c r="P6415">
        <v>0</v>
      </c>
      <c r="Q6415">
        <v>3</v>
      </c>
      <c r="R6415" t="s">
        <v>44909</v>
      </c>
      <c r="S6415" t="s">
        <v>45060</v>
      </c>
      <c r="T6415" t="s">
        <v>46433</v>
      </c>
      <c r="U6415" t="s">
        <v>52142</v>
      </c>
      <c r="V6415" t="s">
        <v>59456</v>
      </c>
      <c r="W6415" t="s">
        <v>41171</v>
      </c>
      <c r="X6415" t="s">
        <v>44910</v>
      </c>
    </row>
    <row r="6416" spans="1:24">
      <c r="A6416">
        <f>HYPERLINK("https://www.philgeps.gov.ph/GEPSNONPILOT/Tender/SplashBidNoticeAbstractUI.aspx?menuIndex=3&amp;refID=7077969&amp;Result=3","7077969")</f>
        <v>0</v>
      </c>
      <c r="B6416" t="s">
        <v>797</v>
      </c>
      <c r="C6416" t="s">
        <v>9642</v>
      </c>
      <c r="D6416" t="s">
        <v>18152</v>
      </c>
      <c r="E6416" t="s">
        <v>23912</v>
      </c>
      <c r="F6416" t="s">
        <v>31362</v>
      </c>
      <c r="G6416" t="s">
        <v>31368</v>
      </c>
      <c r="H6416" t="s">
        <v>15799</v>
      </c>
      <c r="I6416" t="s">
        <v>31433</v>
      </c>
      <c r="J6416" t="s">
        <v>35502</v>
      </c>
      <c r="K6416" t="s">
        <v>40770</v>
      </c>
      <c r="M6416" t="s">
        <v>41767</v>
      </c>
      <c r="N6416" t="s">
        <v>44905</v>
      </c>
      <c r="O6416" t="s">
        <v>44906</v>
      </c>
      <c r="P6416">
        <v>0</v>
      </c>
      <c r="Q6416">
        <v>0</v>
      </c>
      <c r="R6416" t="s">
        <v>44909</v>
      </c>
      <c r="S6416" t="s">
        <v>45060</v>
      </c>
      <c r="T6416" t="s">
        <v>46410</v>
      </c>
      <c r="U6416" t="s">
        <v>52143</v>
      </c>
      <c r="W6416" t="s">
        <v>41767</v>
      </c>
      <c r="X6416" t="s">
        <v>44910</v>
      </c>
    </row>
    <row r="6417" spans="1:24">
      <c r="A6417">
        <f>HYPERLINK("https://www.philgeps.gov.ph/GEPSNONPILOT/Tender/SplashBidNoticeAbstractUI.aspx?menuIndex=3&amp;refID=7077909&amp;Result=3","7077909")</f>
        <v>0</v>
      </c>
      <c r="B6417" t="s">
        <v>1988</v>
      </c>
      <c r="C6417" t="s">
        <v>9643</v>
      </c>
      <c r="D6417" t="s">
        <v>18163</v>
      </c>
      <c r="E6417" t="s">
        <v>23913</v>
      </c>
      <c r="F6417" t="s">
        <v>31362</v>
      </c>
      <c r="G6417" t="s">
        <v>31369</v>
      </c>
      <c r="H6417" t="s">
        <v>15799</v>
      </c>
      <c r="I6417" t="s">
        <v>31409</v>
      </c>
      <c r="J6417" t="s">
        <v>31542</v>
      </c>
      <c r="K6417" t="s">
        <v>40665</v>
      </c>
      <c r="M6417" t="s">
        <v>43097</v>
      </c>
      <c r="N6417" t="s">
        <v>44905</v>
      </c>
      <c r="O6417" t="s">
        <v>44906</v>
      </c>
      <c r="P6417">
        <v>0</v>
      </c>
      <c r="Q6417">
        <v>3</v>
      </c>
      <c r="R6417" t="s">
        <v>44909</v>
      </c>
      <c r="S6417" t="s">
        <v>45060</v>
      </c>
      <c r="T6417" t="s">
        <v>46511</v>
      </c>
      <c r="U6417" t="s">
        <v>52144</v>
      </c>
      <c r="W6417" t="s">
        <v>43097</v>
      </c>
      <c r="X6417" t="s">
        <v>44910</v>
      </c>
    </row>
    <row r="6418" spans="1:24">
      <c r="A6418">
        <f>HYPERLINK("https://www.philgeps.gov.ph/GEPSNONPILOT/Tender/SplashBidNoticeAbstractUI.aspx?menuIndex=3&amp;refID=7077967&amp;Result=3","7077967")</f>
        <v>0</v>
      </c>
      <c r="B6418" t="s">
        <v>237</v>
      </c>
      <c r="C6418" t="s">
        <v>9644</v>
      </c>
      <c r="D6418" t="s">
        <v>18108</v>
      </c>
      <c r="E6418" t="s">
        <v>23914</v>
      </c>
      <c r="F6418" t="s">
        <v>31362</v>
      </c>
      <c r="G6418" t="s">
        <v>31370</v>
      </c>
      <c r="H6418" t="s">
        <v>15799</v>
      </c>
      <c r="I6418" t="s">
        <v>31449</v>
      </c>
      <c r="J6418" t="s">
        <v>32464</v>
      </c>
      <c r="K6418" t="s">
        <v>40670</v>
      </c>
      <c r="M6418" t="s">
        <v>41176</v>
      </c>
      <c r="N6418" t="s">
        <v>44905</v>
      </c>
      <c r="O6418" t="s">
        <v>44906</v>
      </c>
      <c r="P6418">
        <v>0</v>
      </c>
      <c r="Q6418">
        <v>2</v>
      </c>
      <c r="R6418" t="s">
        <v>44909</v>
      </c>
      <c r="S6418" t="s">
        <v>45060</v>
      </c>
      <c r="T6418" t="s">
        <v>46518</v>
      </c>
      <c r="U6418" t="s">
        <v>52145</v>
      </c>
      <c r="V6418" t="s">
        <v>59113</v>
      </c>
      <c r="W6418" t="s">
        <v>41176</v>
      </c>
      <c r="X6418" t="s">
        <v>44910</v>
      </c>
    </row>
    <row r="6419" spans="1:24">
      <c r="A6419">
        <f>HYPERLINK("https://www.philgeps.gov.ph/GEPSNONPILOT/Tender/SplashBidNoticeAbstractUI.aspx?menuIndex=3&amp;refID=7077964&amp;Result=3","7077964")</f>
        <v>0</v>
      </c>
      <c r="B6419" t="s">
        <v>2001</v>
      </c>
      <c r="C6419" t="s">
        <v>9645</v>
      </c>
      <c r="E6419" t="s">
        <v>23915</v>
      </c>
      <c r="F6419" t="s">
        <v>31362</v>
      </c>
      <c r="G6419" t="s">
        <v>31368</v>
      </c>
      <c r="H6419" t="s">
        <v>15799</v>
      </c>
      <c r="I6419" t="s">
        <v>31382</v>
      </c>
      <c r="J6419" t="s">
        <v>31591</v>
      </c>
      <c r="K6419" t="s">
        <v>40662</v>
      </c>
      <c r="M6419" t="s">
        <v>43112</v>
      </c>
      <c r="N6419" t="s">
        <v>44905</v>
      </c>
      <c r="O6419" t="s">
        <v>44906</v>
      </c>
      <c r="P6419">
        <v>0</v>
      </c>
      <c r="Q6419">
        <v>2</v>
      </c>
      <c r="R6419" t="s">
        <v>44909</v>
      </c>
      <c r="S6419" t="s">
        <v>45060</v>
      </c>
      <c r="T6419" t="s">
        <v>46409</v>
      </c>
      <c r="U6419" t="s">
        <v>52146</v>
      </c>
      <c r="W6419" t="s">
        <v>43112</v>
      </c>
      <c r="X6419" t="s">
        <v>44910</v>
      </c>
    </row>
    <row r="6420" spans="1:24">
      <c r="A6420">
        <f>HYPERLINK("https://www.philgeps.gov.ph/GEPSNONPILOT/Tender/SplashBidNoticeAbstractUI.aspx?menuIndex=3&amp;refID=7077880&amp;Result=3","7077880")</f>
        <v>0</v>
      </c>
      <c r="B6420" t="s">
        <v>519</v>
      </c>
      <c r="C6420" t="s">
        <v>9646</v>
      </c>
      <c r="D6420" t="s">
        <v>18104</v>
      </c>
      <c r="E6420" t="s">
        <v>23916</v>
      </c>
      <c r="F6420" t="s">
        <v>31362</v>
      </c>
      <c r="G6420" t="s">
        <v>31368</v>
      </c>
      <c r="H6420" t="s">
        <v>15799</v>
      </c>
      <c r="I6420" t="s">
        <v>7719</v>
      </c>
      <c r="J6420" t="s">
        <v>32263</v>
      </c>
      <c r="K6420" t="s">
        <v>40665</v>
      </c>
      <c r="M6420" t="s">
        <v>41475</v>
      </c>
      <c r="N6420" t="s">
        <v>44905</v>
      </c>
      <c r="O6420" t="s">
        <v>44906</v>
      </c>
      <c r="P6420">
        <v>0</v>
      </c>
      <c r="Q6420">
        <v>11</v>
      </c>
      <c r="R6420" t="s">
        <v>44909</v>
      </c>
      <c r="S6420" t="s">
        <v>45060</v>
      </c>
      <c r="T6420" t="s">
        <v>46434</v>
      </c>
      <c r="U6420" t="s">
        <v>52147</v>
      </c>
      <c r="W6420" t="s">
        <v>41475</v>
      </c>
      <c r="X6420" t="s">
        <v>44910</v>
      </c>
    </row>
    <row r="6421" spans="1:24">
      <c r="A6421">
        <f>HYPERLINK("https://www.philgeps.gov.ph/GEPSNONPILOT/Tender/SplashBidNoticeAbstractUI.aspx?menuIndex=3&amp;refID=7077963&amp;Result=3","7077963")</f>
        <v>0</v>
      </c>
      <c r="B6421" t="s">
        <v>700</v>
      </c>
      <c r="C6421" t="s">
        <v>9647</v>
      </c>
      <c r="E6421" t="s">
        <v>23917</v>
      </c>
      <c r="F6421" t="s">
        <v>31362</v>
      </c>
      <c r="G6421" t="s">
        <v>31369</v>
      </c>
      <c r="H6421" t="s">
        <v>15799</v>
      </c>
      <c r="I6421" t="s">
        <v>31393</v>
      </c>
      <c r="J6421" t="s">
        <v>35503</v>
      </c>
      <c r="K6421" t="s">
        <v>40662</v>
      </c>
      <c r="M6421" t="s">
        <v>42641</v>
      </c>
      <c r="N6421" t="s">
        <v>44905</v>
      </c>
      <c r="O6421" t="s">
        <v>44906</v>
      </c>
      <c r="P6421">
        <v>0</v>
      </c>
      <c r="Q6421">
        <v>6</v>
      </c>
      <c r="R6421" t="s">
        <v>44909</v>
      </c>
      <c r="S6421" t="s">
        <v>45060</v>
      </c>
      <c r="T6421" t="s">
        <v>46574</v>
      </c>
      <c r="U6421" t="s">
        <v>52148</v>
      </c>
      <c r="V6421" t="s">
        <v>59675</v>
      </c>
      <c r="W6421" t="s">
        <v>60915</v>
      </c>
      <c r="X6421" t="s">
        <v>44910</v>
      </c>
    </row>
    <row r="6422" spans="1:24">
      <c r="A6422">
        <f>HYPERLINK("https://www.philgeps.gov.ph/GEPSNONPILOT/Tender/SplashBidNoticeAbstractUI.aspx?menuIndex=3&amp;refID=7077962&amp;Result=3","7077962")</f>
        <v>0</v>
      </c>
      <c r="B6422" t="s">
        <v>227</v>
      </c>
      <c r="C6422" t="s">
        <v>9648</v>
      </c>
      <c r="D6422" t="s">
        <v>18108</v>
      </c>
      <c r="E6422" t="s">
        <v>23918</v>
      </c>
      <c r="F6422" t="s">
        <v>31362</v>
      </c>
      <c r="G6422" t="s">
        <v>31368</v>
      </c>
      <c r="H6422" t="s">
        <v>15799</v>
      </c>
      <c r="I6422" t="s">
        <v>7719</v>
      </c>
      <c r="J6422" t="s">
        <v>31536</v>
      </c>
      <c r="K6422" t="s">
        <v>40662</v>
      </c>
      <c r="M6422" t="s">
        <v>41297</v>
      </c>
      <c r="N6422" t="s">
        <v>44905</v>
      </c>
      <c r="O6422" t="s">
        <v>44906</v>
      </c>
      <c r="P6422">
        <v>0</v>
      </c>
      <c r="Q6422">
        <v>13</v>
      </c>
      <c r="R6422" t="s">
        <v>44909</v>
      </c>
      <c r="S6422" t="s">
        <v>45060</v>
      </c>
      <c r="T6422" t="s">
        <v>46518</v>
      </c>
      <c r="U6422" t="s">
        <v>52132</v>
      </c>
      <c r="W6422" t="s">
        <v>41297</v>
      </c>
      <c r="X6422" t="s">
        <v>44910</v>
      </c>
    </row>
    <row r="6423" spans="1:24">
      <c r="A6423">
        <f>HYPERLINK("https://www.philgeps.gov.ph/GEPSNONPILOT/Tender/SplashBidNoticeAbstractUI.aspx?menuIndex=3&amp;refID=7077876&amp;Result=3","7077876")</f>
        <v>0</v>
      </c>
      <c r="B6423" t="s">
        <v>908</v>
      </c>
      <c r="C6423" t="s">
        <v>9649</v>
      </c>
      <c r="D6423" t="s">
        <v>18155</v>
      </c>
      <c r="E6423" t="s">
        <v>23919</v>
      </c>
      <c r="F6423" t="s">
        <v>31362</v>
      </c>
      <c r="G6423" t="s">
        <v>31368</v>
      </c>
      <c r="H6423" t="s">
        <v>15799</v>
      </c>
      <c r="I6423" t="s">
        <v>6373</v>
      </c>
      <c r="J6423" t="s">
        <v>35504</v>
      </c>
      <c r="K6423" t="s">
        <v>40666</v>
      </c>
      <c r="M6423" t="s">
        <v>41979</v>
      </c>
      <c r="N6423" t="s">
        <v>44905</v>
      </c>
      <c r="O6423" t="s">
        <v>44906</v>
      </c>
      <c r="P6423">
        <v>0</v>
      </c>
      <c r="Q6423">
        <v>5</v>
      </c>
      <c r="R6423" t="s">
        <v>44909</v>
      </c>
      <c r="S6423" t="s">
        <v>45060</v>
      </c>
      <c r="T6423" t="s">
        <v>46503</v>
      </c>
      <c r="U6423" t="s">
        <v>52149</v>
      </c>
      <c r="W6423" t="s">
        <v>41979</v>
      </c>
      <c r="X6423" t="s">
        <v>44910</v>
      </c>
    </row>
    <row r="6424" spans="1:24">
      <c r="A6424">
        <f>HYPERLINK("https://www.philgeps.gov.ph/GEPSNONPILOT/Tender/SplashBidNoticeAbstractUI.aspx?menuIndex=3&amp;refID=7077960&amp;Result=3","7077960")</f>
        <v>0</v>
      </c>
      <c r="B6424" t="s">
        <v>1706</v>
      </c>
      <c r="C6424" t="s">
        <v>9650</v>
      </c>
      <c r="D6424" t="s">
        <v>18112</v>
      </c>
      <c r="E6424" t="s">
        <v>23920</v>
      </c>
      <c r="F6424" t="s">
        <v>31362</v>
      </c>
      <c r="G6424" t="s">
        <v>31368</v>
      </c>
      <c r="H6424" t="s">
        <v>15799</v>
      </c>
      <c r="I6424" t="s">
        <v>3815</v>
      </c>
      <c r="J6424" t="s">
        <v>35505</v>
      </c>
      <c r="K6424" t="s">
        <v>40661</v>
      </c>
      <c r="M6424" t="s">
        <v>42773</v>
      </c>
      <c r="N6424" t="s">
        <v>44905</v>
      </c>
      <c r="O6424" t="s">
        <v>44906</v>
      </c>
      <c r="P6424">
        <v>0</v>
      </c>
      <c r="Q6424">
        <v>0</v>
      </c>
      <c r="R6424" t="s">
        <v>44909</v>
      </c>
      <c r="S6424" t="s">
        <v>45060</v>
      </c>
      <c r="T6424" t="s">
        <v>46454</v>
      </c>
      <c r="U6424" t="s">
        <v>52150</v>
      </c>
      <c r="W6424" t="s">
        <v>42773</v>
      </c>
      <c r="X6424" t="s">
        <v>44910</v>
      </c>
    </row>
    <row r="6425" spans="1:24">
      <c r="A6425">
        <f>HYPERLINK("https://www.philgeps.gov.ph/GEPSNONPILOT/Tender/SplashBidNoticeAbstractUI.aspx?menuIndex=3&amp;refID=7077958&amp;Result=3","7077958")</f>
        <v>0</v>
      </c>
      <c r="B6425" t="s">
        <v>1991</v>
      </c>
      <c r="C6425" t="s">
        <v>9651</v>
      </c>
      <c r="D6425" t="s">
        <v>18112</v>
      </c>
      <c r="E6425" t="s">
        <v>23921</v>
      </c>
      <c r="F6425" t="s">
        <v>31362</v>
      </c>
      <c r="G6425" t="s">
        <v>31368</v>
      </c>
      <c r="H6425" t="s">
        <v>15799</v>
      </c>
      <c r="I6425" t="s">
        <v>31430</v>
      </c>
      <c r="J6425" t="s">
        <v>35506</v>
      </c>
      <c r="K6425" t="s">
        <v>40665</v>
      </c>
      <c r="M6425" t="s">
        <v>43102</v>
      </c>
      <c r="N6425" t="s">
        <v>44905</v>
      </c>
      <c r="O6425" t="s">
        <v>44906</v>
      </c>
      <c r="P6425">
        <v>0</v>
      </c>
      <c r="Q6425">
        <v>1</v>
      </c>
      <c r="R6425" t="s">
        <v>44909</v>
      </c>
      <c r="S6425" t="s">
        <v>45060</v>
      </c>
      <c r="T6425" t="s">
        <v>46447</v>
      </c>
      <c r="U6425" t="s">
        <v>52091</v>
      </c>
      <c r="W6425" t="s">
        <v>43102</v>
      </c>
      <c r="X6425" t="s">
        <v>44910</v>
      </c>
    </row>
    <row r="6426" spans="1:24">
      <c r="A6426">
        <f>HYPERLINK("https://www.philgeps.gov.ph/GEPSNONPILOT/Tender/SplashBidNoticeAbstractUI.aspx?menuIndex=3&amp;refID=7077954&amp;Result=3","7077954")</f>
        <v>0</v>
      </c>
      <c r="B6426" t="s">
        <v>945</v>
      </c>
      <c r="C6426" t="s">
        <v>9652</v>
      </c>
      <c r="D6426" t="s">
        <v>18108</v>
      </c>
      <c r="E6426" t="s">
        <v>23922</v>
      </c>
      <c r="F6426" t="s">
        <v>31362</v>
      </c>
      <c r="G6426" t="s">
        <v>31369</v>
      </c>
      <c r="H6426" t="s">
        <v>15799</v>
      </c>
      <c r="I6426" t="s">
        <v>31398</v>
      </c>
      <c r="J6426" t="s">
        <v>35507</v>
      </c>
      <c r="K6426" t="s">
        <v>40661</v>
      </c>
      <c r="M6426" t="s">
        <v>41933</v>
      </c>
      <c r="N6426" t="s">
        <v>44905</v>
      </c>
      <c r="O6426" t="s">
        <v>44906</v>
      </c>
      <c r="P6426">
        <v>0</v>
      </c>
      <c r="Q6426">
        <v>0</v>
      </c>
      <c r="R6426" t="s">
        <v>44909</v>
      </c>
      <c r="S6426" t="s">
        <v>45060</v>
      </c>
      <c r="T6426" t="s">
        <v>46400</v>
      </c>
      <c r="U6426" t="s">
        <v>52151</v>
      </c>
      <c r="W6426" t="s">
        <v>41933</v>
      </c>
      <c r="X6426" t="s">
        <v>44910</v>
      </c>
    </row>
    <row r="6427" spans="1:24">
      <c r="A6427">
        <f>HYPERLINK("https://www.philgeps.gov.ph/GEPSNONPILOT/Tender/SplashBidNoticeAbstractUI.aspx?menuIndex=3&amp;refID=7077966&amp;Result=3","7077966")</f>
        <v>0</v>
      </c>
      <c r="B6427" t="s">
        <v>2002</v>
      </c>
      <c r="C6427" t="s">
        <v>9653</v>
      </c>
      <c r="D6427" t="s">
        <v>18162</v>
      </c>
      <c r="E6427" t="s">
        <v>23923</v>
      </c>
      <c r="F6427" t="s">
        <v>31362</v>
      </c>
      <c r="G6427" t="s">
        <v>31369</v>
      </c>
      <c r="H6427" t="s">
        <v>15799</v>
      </c>
      <c r="I6427" t="s">
        <v>31386</v>
      </c>
      <c r="J6427" t="s">
        <v>35508</v>
      </c>
      <c r="K6427" t="s">
        <v>40670</v>
      </c>
      <c r="M6427" t="s">
        <v>43113</v>
      </c>
      <c r="N6427" t="s">
        <v>44905</v>
      </c>
      <c r="O6427" t="s">
        <v>44906</v>
      </c>
      <c r="P6427">
        <v>0</v>
      </c>
      <c r="Q6427">
        <v>0</v>
      </c>
      <c r="R6427" t="s">
        <v>44909</v>
      </c>
      <c r="S6427" t="s">
        <v>45060</v>
      </c>
      <c r="T6427" t="s">
        <v>46575</v>
      </c>
      <c r="U6427" t="s">
        <v>52152</v>
      </c>
      <c r="V6427" t="s">
        <v>59676</v>
      </c>
      <c r="W6427" t="s">
        <v>43113</v>
      </c>
      <c r="X6427" t="s">
        <v>44910</v>
      </c>
    </row>
    <row r="6428" spans="1:24">
      <c r="A6428">
        <f>HYPERLINK("https://www.philgeps.gov.ph/GEPSNONPILOT/Tender/SplashBidNoticeAbstractUI.aspx?menuIndex=3&amp;refID=7077952&amp;Result=3","7077952")</f>
        <v>0</v>
      </c>
      <c r="B6428" t="s">
        <v>2003</v>
      </c>
      <c r="C6428" t="s">
        <v>9654</v>
      </c>
      <c r="D6428" t="s">
        <v>18111</v>
      </c>
      <c r="E6428" t="s">
        <v>23924</v>
      </c>
      <c r="F6428" t="s">
        <v>31362</v>
      </c>
      <c r="G6428" t="s">
        <v>31370</v>
      </c>
      <c r="H6428" t="s">
        <v>15799</v>
      </c>
      <c r="I6428" t="s">
        <v>3815</v>
      </c>
      <c r="J6428" t="s">
        <v>34630</v>
      </c>
      <c r="K6428" t="s">
        <v>40672</v>
      </c>
      <c r="M6428" t="s">
        <v>43114</v>
      </c>
      <c r="N6428" t="s">
        <v>44905</v>
      </c>
      <c r="O6428" t="s">
        <v>44906</v>
      </c>
      <c r="P6428">
        <v>0</v>
      </c>
      <c r="Q6428">
        <v>1</v>
      </c>
      <c r="R6428" t="s">
        <v>44909</v>
      </c>
      <c r="S6428" t="s">
        <v>45060</v>
      </c>
      <c r="T6428" t="s">
        <v>46408</v>
      </c>
      <c r="U6428" t="s">
        <v>52153</v>
      </c>
      <c r="W6428" t="s">
        <v>43114</v>
      </c>
      <c r="X6428" t="s">
        <v>44910</v>
      </c>
    </row>
    <row r="6429" spans="1:24">
      <c r="A6429">
        <f>HYPERLINK("https://www.philgeps.gov.ph/GEPSNONPILOT/Tender/SplashBidNoticeAbstractUI.aspx?menuIndex=3&amp;refID=7077965&amp;Result=3","7077965")</f>
        <v>0</v>
      </c>
      <c r="B6429" t="s">
        <v>1264</v>
      </c>
      <c r="C6429" t="s">
        <v>9655</v>
      </c>
      <c r="D6429" t="s">
        <v>18108</v>
      </c>
      <c r="E6429" t="s">
        <v>23925</v>
      </c>
      <c r="F6429" t="s">
        <v>31362</v>
      </c>
      <c r="G6429" t="s">
        <v>31368</v>
      </c>
      <c r="H6429" t="s">
        <v>15799</v>
      </c>
      <c r="I6429" t="s">
        <v>31380</v>
      </c>
      <c r="J6429" t="s">
        <v>35509</v>
      </c>
      <c r="K6429" t="s">
        <v>40665</v>
      </c>
      <c r="M6429" t="s">
        <v>42281</v>
      </c>
      <c r="N6429" t="s">
        <v>44905</v>
      </c>
      <c r="O6429" t="s">
        <v>44906</v>
      </c>
      <c r="P6429">
        <v>0</v>
      </c>
      <c r="Q6429">
        <v>3</v>
      </c>
      <c r="R6429" t="s">
        <v>44909</v>
      </c>
      <c r="S6429" t="s">
        <v>45060</v>
      </c>
      <c r="T6429" t="s">
        <v>46454</v>
      </c>
      <c r="U6429" t="s">
        <v>52154</v>
      </c>
      <c r="W6429" t="s">
        <v>42281</v>
      </c>
      <c r="X6429" t="s">
        <v>44910</v>
      </c>
    </row>
    <row r="6430" spans="1:24">
      <c r="A6430">
        <f>HYPERLINK("https://www.philgeps.gov.ph/GEPSNONPILOT/Tender/SplashBidNoticeAbstractUI.aspx?menuIndex=3&amp;refID=7077951&amp;Result=3","7077951")</f>
        <v>0</v>
      </c>
      <c r="B6430" t="s">
        <v>971</v>
      </c>
      <c r="C6430" t="s">
        <v>9656</v>
      </c>
      <c r="D6430" t="s">
        <v>18166</v>
      </c>
      <c r="E6430" t="s">
        <v>23926</v>
      </c>
      <c r="F6430" t="s">
        <v>31362</v>
      </c>
      <c r="G6430" t="s">
        <v>31369</v>
      </c>
      <c r="H6430" t="s">
        <v>31378</v>
      </c>
      <c r="I6430" t="s">
        <v>31386</v>
      </c>
      <c r="J6430" t="s">
        <v>31709</v>
      </c>
      <c r="K6430" t="s">
        <v>40662</v>
      </c>
      <c r="M6430" t="s">
        <v>41961</v>
      </c>
      <c r="N6430" t="s">
        <v>44905</v>
      </c>
      <c r="O6430" t="s">
        <v>44906</v>
      </c>
      <c r="P6430">
        <v>0</v>
      </c>
      <c r="Q6430">
        <v>0</v>
      </c>
      <c r="R6430" t="s">
        <v>44909</v>
      </c>
      <c r="S6430" t="s">
        <v>45060</v>
      </c>
      <c r="T6430" t="s">
        <v>46559</v>
      </c>
      <c r="U6430" t="s">
        <v>52155</v>
      </c>
      <c r="W6430" t="s">
        <v>41961</v>
      </c>
      <c r="X6430" t="s">
        <v>44910</v>
      </c>
    </row>
    <row r="6431" spans="1:24">
      <c r="A6431">
        <f>HYPERLINK("https://www.philgeps.gov.ph/GEPSNONPILOT/Tender/SplashBidNoticeAbstractUI.aspx?menuIndex=3&amp;refID=7077959&amp;Result=3","7077959")</f>
        <v>0</v>
      </c>
      <c r="B6431" t="s">
        <v>1562</v>
      </c>
      <c r="C6431" t="s">
        <v>9657</v>
      </c>
      <c r="D6431" t="s">
        <v>18140</v>
      </c>
      <c r="E6431" t="s">
        <v>23927</v>
      </c>
      <c r="F6431" t="s">
        <v>31362</v>
      </c>
      <c r="G6431" t="s">
        <v>31369</v>
      </c>
      <c r="H6431" t="s">
        <v>31378</v>
      </c>
      <c r="I6431" t="s">
        <v>31386</v>
      </c>
      <c r="J6431" t="s">
        <v>35510</v>
      </c>
      <c r="K6431" t="s">
        <v>40686</v>
      </c>
      <c r="M6431" t="s">
        <v>42614</v>
      </c>
      <c r="N6431" t="s">
        <v>44905</v>
      </c>
      <c r="O6431" t="s">
        <v>44906</v>
      </c>
      <c r="P6431">
        <v>0</v>
      </c>
      <c r="Q6431">
        <v>1</v>
      </c>
      <c r="R6431" t="s">
        <v>44909</v>
      </c>
      <c r="S6431" t="s">
        <v>45060</v>
      </c>
      <c r="T6431" t="s">
        <v>46449</v>
      </c>
      <c r="U6431" t="s">
        <v>52156</v>
      </c>
      <c r="V6431" t="s">
        <v>59677</v>
      </c>
      <c r="W6431" t="s">
        <v>42614</v>
      </c>
      <c r="X6431" t="s">
        <v>44910</v>
      </c>
    </row>
    <row r="6432" spans="1:24">
      <c r="A6432">
        <f>HYPERLINK("https://www.philgeps.gov.ph/GEPSNONPILOT/Tender/SplashBidNoticeAbstractUI.aspx?menuIndex=3&amp;refID=7077916&amp;Result=3","7077916")</f>
        <v>0</v>
      </c>
      <c r="B6432" t="s">
        <v>908</v>
      </c>
      <c r="C6432" t="s">
        <v>9658</v>
      </c>
      <c r="D6432" t="s">
        <v>18155</v>
      </c>
      <c r="E6432" t="s">
        <v>23928</v>
      </c>
      <c r="F6432" t="s">
        <v>31362</v>
      </c>
      <c r="G6432" t="s">
        <v>31368</v>
      </c>
      <c r="H6432" t="s">
        <v>15799</v>
      </c>
      <c r="I6432" t="s">
        <v>31461</v>
      </c>
      <c r="J6432" t="s">
        <v>31843</v>
      </c>
      <c r="K6432" t="s">
        <v>40666</v>
      </c>
      <c r="M6432" t="s">
        <v>41979</v>
      </c>
      <c r="N6432" t="s">
        <v>44905</v>
      </c>
      <c r="O6432" t="s">
        <v>44906</v>
      </c>
      <c r="P6432">
        <v>0</v>
      </c>
      <c r="Q6432">
        <v>3</v>
      </c>
      <c r="R6432" t="s">
        <v>44909</v>
      </c>
      <c r="S6432" t="s">
        <v>45060</v>
      </c>
      <c r="T6432" t="s">
        <v>46503</v>
      </c>
      <c r="U6432" t="s">
        <v>52157</v>
      </c>
      <c r="W6432" t="s">
        <v>41979</v>
      </c>
      <c r="X6432" t="s">
        <v>44910</v>
      </c>
    </row>
    <row r="6433" spans="1:24">
      <c r="A6433">
        <f>HYPERLINK("https://www.philgeps.gov.ph/GEPSNONPILOT/Tender/SplashBidNoticeAbstractUI.aspx?menuIndex=3&amp;refID=7077956&amp;Result=3","7077956")</f>
        <v>0</v>
      </c>
      <c r="B6433" t="s">
        <v>1251</v>
      </c>
      <c r="C6433" t="s">
        <v>9659</v>
      </c>
      <c r="D6433" t="s">
        <v>18101</v>
      </c>
      <c r="E6433" t="s">
        <v>22771</v>
      </c>
      <c r="F6433" t="s">
        <v>31362</v>
      </c>
      <c r="G6433" t="s">
        <v>31369</v>
      </c>
      <c r="H6433" t="s">
        <v>15799</v>
      </c>
      <c r="I6433" t="s">
        <v>3815</v>
      </c>
      <c r="J6433" t="s">
        <v>35511</v>
      </c>
      <c r="K6433" t="s">
        <v>40677</v>
      </c>
      <c r="M6433" t="s">
        <v>42267</v>
      </c>
      <c r="N6433" t="s">
        <v>44905</v>
      </c>
      <c r="O6433" t="s">
        <v>44906</v>
      </c>
      <c r="P6433">
        <v>0</v>
      </c>
      <c r="Q6433">
        <v>0</v>
      </c>
      <c r="R6433" t="s">
        <v>44909</v>
      </c>
      <c r="S6433" t="s">
        <v>45060</v>
      </c>
      <c r="T6433" t="s">
        <v>46419</v>
      </c>
      <c r="U6433" t="s">
        <v>52158</v>
      </c>
      <c r="V6433" t="s">
        <v>59678</v>
      </c>
      <c r="W6433" t="s">
        <v>42267</v>
      </c>
      <c r="X6433" t="s">
        <v>44910</v>
      </c>
    </row>
    <row r="6434" spans="1:24">
      <c r="A6434">
        <f>HYPERLINK("https://www.philgeps.gov.ph/GEPSNONPILOT/Tender/SplashBidNoticeAbstractUI.aspx?menuIndex=3&amp;refID=7077953&amp;Result=3","7077953")</f>
        <v>0</v>
      </c>
      <c r="B6434" t="s">
        <v>2000</v>
      </c>
      <c r="C6434" t="s">
        <v>9660</v>
      </c>
      <c r="D6434" t="s">
        <v>18105</v>
      </c>
      <c r="E6434" t="s">
        <v>23929</v>
      </c>
      <c r="F6434" t="s">
        <v>31362</v>
      </c>
      <c r="G6434" t="s">
        <v>31368</v>
      </c>
      <c r="H6434" t="s">
        <v>31378</v>
      </c>
      <c r="I6434" t="s">
        <v>3815</v>
      </c>
      <c r="J6434" t="s">
        <v>31578</v>
      </c>
      <c r="K6434" t="s">
        <v>40670</v>
      </c>
      <c r="M6434" t="s">
        <v>43111</v>
      </c>
      <c r="N6434" t="s">
        <v>44905</v>
      </c>
      <c r="O6434" t="s">
        <v>44906</v>
      </c>
      <c r="P6434">
        <v>0</v>
      </c>
      <c r="Q6434">
        <v>0</v>
      </c>
      <c r="R6434" t="s">
        <v>44909</v>
      </c>
      <c r="S6434" t="s">
        <v>45060</v>
      </c>
      <c r="T6434" t="s">
        <v>46432</v>
      </c>
      <c r="U6434" t="s">
        <v>52159</v>
      </c>
      <c r="W6434" t="s">
        <v>43111</v>
      </c>
      <c r="X6434" t="s">
        <v>44910</v>
      </c>
    </row>
    <row r="6435" spans="1:24">
      <c r="A6435">
        <f>HYPERLINK("https://www.philgeps.gov.ph/GEPSNONPILOT/Tender/SplashBidNoticeAbstractUI.aspx?menuIndex=3&amp;refID=7078001&amp;Result=3","7078001")</f>
        <v>0</v>
      </c>
      <c r="B6435" t="s">
        <v>1264</v>
      </c>
      <c r="C6435" t="s">
        <v>9661</v>
      </c>
      <c r="D6435" t="s">
        <v>18108</v>
      </c>
      <c r="E6435" t="s">
        <v>23930</v>
      </c>
      <c r="F6435" t="s">
        <v>31362</v>
      </c>
      <c r="G6435" t="s">
        <v>31368</v>
      </c>
      <c r="H6435" t="s">
        <v>15799</v>
      </c>
      <c r="I6435" t="s">
        <v>31380</v>
      </c>
      <c r="J6435" t="s">
        <v>33701</v>
      </c>
      <c r="K6435" t="s">
        <v>40665</v>
      </c>
      <c r="M6435" t="s">
        <v>42281</v>
      </c>
      <c r="N6435" t="s">
        <v>44905</v>
      </c>
      <c r="O6435" t="s">
        <v>44906</v>
      </c>
      <c r="P6435">
        <v>0</v>
      </c>
      <c r="Q6435">
        <v>1</v>
      </c>
      <c r="R6435" t="s">
        <v>44909</v>
      </c>
      <c r="S6435" t="s">
        <v>45060</v>
      </c>
      <c r="T6435" t="s">
        <v>46454</v>
      </c>
      <c r="U6435" t="s">
        <v>52160</v>
      </c>
      <c r="W6435" t="s">
        <v>42281</v>
      </c>
      <c r="X6435" t="s">
        <v>44910</v>
      </c>
    </row>
    <row r="6436" spans="1:24">
      <c r="A6436">
        <f>HYPERLINK("https://www.philgeps.gov.ph/GEPSNONPILOT/Tender/SplashBidNoticeAbstractUI.aspx?menuIndex=3&amp;refID=7077998&amp;Result=3","7077998")</f>
        <v>0</v>
      </c>
      <c r="B6436" t="s">
        <v>797</v>
      </c>
      <c r="C6436" t="s">
        <v>9662</v>
      </c>
      <c r="D6436" t="s">
        <v>18152</v>
      </c>
      <c r="E6436" t="s">
        <v>23931</v>
      </c>
      <c r="F6436" t="s">
        <v>31362</v>
      </c>
      <c r="G6436" t="s">
        <v>31368</v>
      </c>
      <c r="H6436" t="s">
        <v>15799</v>
      </c>
      <c r="I6436" t="s">
        <v>31433</v>
      </c>
      <c r="J6436" t="s">
        <v>35512</v>
      </c>
      <c r="K6436" t="s">
        <v>40698</v>
      </c>
      <c r="M6436" t="s">
        <v>41767</v>
      </c>
      <c r="N6436" t="s">
        <v>44905</v>
      </c>
      <c r="O6436" t="s">
        <v>44906</v>
      </c>
      <c r="P6436">
        <v>0</v>
      </c>
      <c r="Q6436">
        <v>0</v>
      </c>
      <c r="R6436" t="s">
        <v>44909</v>
      </c>
      <c r="S6436" t="s">
        <v>45060</v>
      </c>
      <c r="T6436" t="s">
        <v>46410</v>
      </c>
      <c r="U6436" t="s">
        <v>52161</v>
      </c>
      <c r="W6436" t="s">
        <v>41767</v>
      </c>
      <c r="X6436" t="s">
        <v>44910</v>
      </c>
    </row>
    <row r="6437" spans="1:24">
      <c r="A6437">
        <f>HYPERLINK("https://www.philgeps.gov.ph/GEPSNONPILOT/Tender/SplashBidNoticeAbstractUI.aspx?menuIndex=3&amp;refID=7077993&amp;Result=3","7077993")</f>
        <v>0</v>
      </c>
      <c r="B6437" t="s">
        <v>717</v>
      </c>
      <c r="C6437" t="s">
        <v>9663</v>
      </c>
      <c r="D6437" t="s">
        <v>18167</v>
      </c>
      <c r="E6437" t="s">
        <v>23932</v>
      </c>
      <c r="F6437" t="s">
        <v>31362</v>
      </c>
      <c r="G6437" t="s">
        <v>31370</v>
      </c>
      <c r="H6437" t="s">
        <v>15799</v>
      </c>
      <c r="I6437" t="s">
        <v>3815</v>
      </c>
      <c r="J6437" t="s">
        <v>35513</v>
      </c>
      <c r="K6437" t="s">
        <v>40665</v>
      </c>
      <c r="M6437" t="s">
        <v>41682</v>
      </c>
      <c r="N6437" t="s">
        <v>44905</v>
      </c>
      <c r="O6437" t="s">
        <v>44906</v>
      </c>
      <c r="P6437">
        <v>0</v>
      </c>
      <c r="Q6437">
        <v>1</v>
      </c>
      <c r="R6437" t="s">
        <v>44909</v>
      </c>
      <c r="S6437" t="s">
        <v>45060</v>
      </c>
      <c r="T6437" t="s">
        <v>46411</v>
      </c>
      <c r="U6437" t="s">
        <v>52162</v>
      </c>
      <c r="W6437" t="s">
        <v>41682</v>
      </c>
      <c r="X6437" t="s">
        <v>44910</v>
      </c>
    </row>
    <row r="6438" spans="1:24">
      <c r="A6438">
        <f>HYPERLINK("https://www.philgeps.gov.ph/GEPSNONPILOT/Tender/SplashBidNoticeAbstractUI.aspx?menuIndex=3&amp;refID=7077991&amp;Result=3","7077991")</f>
        <v>0</v>
      </c>
      <c r="B6438" t="s">
        <v>711</v>
      </c>
      <c r="C6438" t="s">
        <v>9664</v>
      </c>
      <c r="D6438" t="s">
        <v>18148</v>
      </c>
      <c r="E6438" t="s">
        <v>23933</v>
      </c>
      <c r="F6438" t="s">
        <v>31362</v>
      </c>
      <c r="G6438" t="s">
        <v>31368</v>
      </c>
      <c r="H6438" t="s">
        <v>15799</v>
      </c>
      <c r="I6438" t="s">
        <v>31380</v>
      </c>
      <c r="J6438" t="s">
        <v>35514</v>
      </c>
      <c r="K6438" t="s">
        <v>40670</v>
      </c>
      <c r="M6438" t="s">
        <v>41676</v>
      </c>
      <c r="N6438" t="s">
        <v>44905</v>
      </c>
      <c r="O6438" t="s">
        <v>44906</v>
      </c>
      <c r="P6438">
        <v>0</v>
      </c>
      <c r="Q6438">
        <v>11</v>
      </c>
      <c r="R6438" t="s">
        <v>44909</v>
      </c>
      <c r="S6438" t="s">
        <v>45060</v>
      </c>
      <c r="T6438" t="s">
        <v>46409</v>
      </c>
      <c r="U6438" t="s">
        <v>52163</v>
      </c>
      <c r="W6438" t="s">
        <v>41676</v>
      </c>
      <c r="X6438" t="s">
        <v>44910</v>
      </c>
    </row>
    <row r="6439" spans="1:24">
      <c r="A6439">
        <f>HYPERLINK("https://www.philgeps.gov.ph/GEPSNONPILOT/Tender/SplashBidNoticeAbstractUI.aspx?menuIndex=3&amp;refID=7077989&amp;Result=3","7077989")</f>
        <v>0</v>
      </c>
      <c r="B6439" t="s">
        <v>682</v>
      </c>
      <c r="C6439" t="s">
        <v>9665</v>
      </c>
      <c r="E6439" t="s">
        <v>23934</v>
      </c>
      <c r="F6439" t="s">
        <v>31362</v>
      </c>
      <c r="G6439" t="s">
        <v>31368</v>
      </c>
      <c r="H6439" t="s">
        <v>15799</v>
      </c>
      <c r="I6439" t="s">
        <v>31393</v>
      </c>
      <c r="J6439" t="s">
        <v>31546</v>
      </c>
      <c r="K6439" t="s">
        <v>40662</v>
      </c>
      <c r="M6439" t="s">
        <v>41644</v>
      </c>
      <c r="N6439" t="s">
        <v>44905</v>
      </c>
      <c r="O6439" t="s">
        <v>44906</v>
      </c>
      <c r="P6439">
        <v>0</v>
      </c>
      <c r="Q6439">
        <v>1</v>
      </c>
      <c r="R6439" t="s">
        <v>44909</v>
      </c>
      <c r="S6439" t="s">
        <v>45060</v>
      </c>
      <c r="T6439" t="s">
        <v>46427</v>
      </c>
      <c r="U6439" t="s">
        <v>52164</v>
      </c>
      <c r="V6439" t="s">
        <v>59668</v>
      </c>
      <c r="W6439" t="s">
        <v>41644</v>
      </c>
      <c r="X6439" t="s">
        <v>44910</v>
      </c>
    </row>
    <row r="6440" spans="1:24">
      <c r="A6440">
        <f>HYPERLINK("https://www.philgeps.gov.ph/GEPSNONPILOT/Tender/SplashBidNoticeAbstractUI.aspx?menuIndex=3&amp;refID=7077988&amp;Result=3","7077988")</f>
        <v>0</v>
      </c>
      <c r="B6440" t="s">
        <v>292</v>
      </c>
      <c r="C6440" t="s">
        <v>9666</v>
      </c>
      <c r="D6440" t="s">
        <v>18143</v>
      </c>
      <c r="E6440" t="s">
        <v>23935</v>
      </c>
      <c r="F6440" t="s">
        <v>31362</v>
      </c>
      <c r="G6440" t="s">
        <v>31368</v>
      </c>
      <c r="H6440" t="s">
        <v>15799</v>
      </c>
      <c r="I6440" t="s">
        <v>7090</v>
      </c>
      <c r="J6440" t="s">
        <v>33551</v>
      </c>
      <c r="K6440" t="s">
        <v>40661</v>
      </c>
      <c r="M6440" t="s">
        <v>41235</v>
      </c>
      <c r="N6440" t="s">
        <v>44905</v>
      </c>
      <c r="O6440" t="s">
        <v>44906</v>
      </c>
      <c r="P6440">
        <v>0</v>
      </c>
      <c r="Q6440">
        <v>6</v>
      </c>
      <c r="R6440" t="s">
        <v>44909</v>
      </c>
      <c r="S6440" t="s">
        <v>45060</v>
      </c>
      <c r="T6440" t="s">
        <v>46410</v>
      </c>
      <c r="U6440" t="s">
        <v>52165</v>
      </c>
      <c r="W6440" t="s">
        <v>41235</v>
      </c>
      <c r="X6440" t="s">
        <v>44910</v>
      </c>
    </row>
    <row r="6441" spans="1:24">
      <c r="A6441">
        <f>HYPERLINK("https://www.philgeps.gov.ph/GEPSNONPILOT/Tender/SplashBidNoticeAbstractUI.aspx?menuIndex=3&amp;refID=7077987&amp;Result=3","7077987")</f>
        <v>0</v>
      </c>
      <c r="B6441" t="s">
        <v>227</v>
      </c>
      <c r="C6441" t="s">
        <v>9667</v>
      </c>
      <c r="D6441" t="s">
        <v>18108</v>
      </c>
      <c r="E6441" t="s">
        <v>23936</v>
      </c>
      <c r="F6441" t="s">
        <v>31362</v>
      </c>
      <c r="G6441" t="s">
        <v>31368</v>
      </c>
      <c r="H6441" t="s">
        <v>15799</v>
      </c>
      <c r="I6441" t="s">
        <v>31380</v>
      </c>
      <c r="J6441" t="s">
        <v>32165</v>
      </c>
      <c r="K6441" t="s">
        <v>40662</v>
      </c>
      <c r="M6441" t="s">
        <v>41297</v>
      </c>
      <c r="N6441" t="s">
        <v>44905</v>
      </c>
      <c r="O6441" t="s">
        <v>44906</v>
      </c>
      <c r="P6441">
        <v>0</v>
      </c>
      <c r="Q6441">
        <v>11</v>
      </c>
      <c r="R6441" t="s">
        <v>44909</v>
      </c>
      <c r="S6441" t="s">
        <v>45060</v>
      </c>
      <c r="T6441" t="s">
        <v>46518</v>
      </c>
      <c r="U6441" t="s">
        <v>52132</v>
      </c>
      <c r="W6441" t="s">
        <v>41297</v>
      </c>
      <c r="X6441" t="s">
        <v>44910</v>
      </c>
    </row>
    <row r="6442" spans="1:24">
      <c r="A6442">
        <f>HYPERLINK("https://www.philgeps.gov.ph/GEPSNONPILOT/Tender/SplashBidNoticeAbstractUI.aspx?menuIndex=3&amp;refID=7077986&amp;Result=3","7077986")</f>
        <v>0</v>
      </c>
      <c r="B6442" t="s">
        <v>1991</v>
      </c>
      <c r="C6442" t="s">
        <v>9668</v>
      </c>
      <c r="D6442" t="s">
        <v>18112</v>
      </c>
      <c r="E6442" t="s">
        <v>23937</v>
      </c>
      <c r="F6442" t="s">
        <v>31362</v>
      </c>
      <c r="G6442" t="s">
        <v>31368</v>
      </c>
      <c r="H6442" t="s">
        <v>15799</v>
      </c>
      <c r="I6442" t="s">
        <v>3815</v>
      </c>
      <c r="J6442" t="s">
        <v>34946</v>
      </c>
      <c r="K6442" t="s">
        <v>40665</v>
      </c>
      <c r="M6442" t="s">
        <v>43102</v>
      </c>
      <c r="N6442" t="s">
        <v>44905</v>
      </c>
      <c r="O6442" t="s">
        <v>44906</v>
      </c>
      <c r="P6442">
        <v>0</v>
      </c>
      <c r="Q6442">
        <v>2</v>
      </c>
      <c r="R6442" t="s">
        <v>44909</v>
      </c>
      <c r="S6442" t="s">
        <v>45060</v>
      </c>
      <c r="T6442" t="s">
        <v>46447</v>
      </c>
      <c r="U6442" t="s">
        <v>52091</v>
      </c>
      <c r="W6442" t="s">
        <v>43102</v>
      </c>
      <c r="X6442" t="s">
        <v>44910</v>
      </c>
    </row>
    <row r="6443" spans="1:24">
      <c r="A6443">
        <f>HYPERLINK("https://www.philgeps.gov.ph/GEPSNONPILOT/Tender/SplashBidNoticeAbstractUI.aspx?menuIndex=3&amp;refID=7077999&amp;Result=3","7077999")</f>
        <v>0</v>
      </c>
      <c r="B6443" t="s">
        <v>2003</v>
      </c>
      <c r="C6443" t="s">
        <v>9669</v>
      </c>
      <c r="D6443" t="s">
        <v>18111</v>
      </c>
      <c r="E6443" t="s">
        <v>23938</v>
      </c>
      <c r="F6443" t="s">
        <v>31362</v>
      </c>
      <c r="G6443" t="s">
        <v>31370</v>
      </c>
      <c r="H6443" t="s">
        <v>15799</v>
      </c>
      <c r="I6443" t="s">
        <v>13635</v>
      </c>
      <c r="J6443" t="s">
        <v>35515</v>
      </c>
      <c r="K6443" t="s">
        <v>40672</v>
      </c>
      <c r="M6443" t="s">
        <v>43114</v>
      </c>
      <c r="N6443" t="s">
        <v>44905</v>
      </c>
      <c r="O6443" t="s">
        <v>44906</v>
      </c>
      <c r="P6443">
        <v>0</v>
      </c>
      <c r="Q6443">
        <v>2</v>
      </c>
      <c r="R6443" t="s">
        <v>44909</v>
      </c>
      <c r="S6443" t="s">
        <v>45060</v>
      </c>
      <c r="T6443" t="s">
        <v>46408</v>
      </c>
      <c r="U6443" t="s">
        <v>52166</v>
      </c>
      <c r="W6443" t="s">
        <v>43114</v>
      </c>
      <c r="X6443" t="s">
        <v>44910</v>
      </c>
    </row>
    <row r="6444" spans="1:24">
      <c r="A6444">
        <f>HYPERLINK("https://www.philgeps.gov.ph/GEPSNONPILOT/Tender/SplashBidNoticeAbstractUI.aspx?menuIndex=3&amp;refID=7077980&amp;Result=3","7077980")</f>
        <v>0</v>
      </c>
      <c r="B6444" t="s">
        <v>2004</v>
      </c>
      <c r="C6444" t="s">
        <v>9670</v>
      </c>
      <c r="D6444" t="s">
        <v>18100</v>
      </c>
      <c r="E6444" t="s">
        <v>18985</v>
      </c>
      <c r="F6444" t="s">
        <v>31362</v>
      </c>
      <c r="G6444" t="s">
        <v>31368</v>
      </c>
      <c r="H6444" t="s">
        <v>31378</v>
      </c>
      <c r="I6444" t="s">
        <v>31386</v>
      </c>
      <c r="J6444" t="s">
        <v>35516</v>
      </c>
      <c r="K6444" t="s">
        <v>40675</v>
      </c>
      <c r="M6444" t="s">
        <v>43115</v>
      </c>
      <c r="N6444" t="s">
        <v>44905</v>
      </c>
      <c r="O6444" t="s">
        <v>44906</v>
      </c>
      <c r="P6444">
        <v>0</v>
      </c>
      <c r="Q6444">
        <v>0</v>
      </c>
      <c r="R6444" t="s">
        <v>44909</v>
      </c>
      <c r="S6444" t="s">
        <v>45060</v>
      </c>
      <c r="T6444" t="s">
        <v>46432</v>
      </c>
      <c r="U6444" t="s">
        <v>52167</v>
      </c>
      <c r="W6444" t="s">
        <v>43115</v>
      </c>
      <c r="X6444" t="s">
        <v>44910</v>
      </c>
    </row>
    <row r="6445" spans="1:24">
      <c r="A6445">
        <f>HYPERLINK("https://www.philgeps.gov.ph/GEPSNONPILOT/Tender/SplashBidNoticeAbstractUI.aspx?menuIndex=3&amp;refID=7077977&amp;Result=3","7077977")</f>
        <v>0</v>
      </c>
      <c r="B6445" t="s">
        <v>61</v>
      </c>
      <c r="C6445" t="s">
        <v>9671</v>
      </c>
      <c r="D6445" t="s">
        <v>18124</v>
      </c>
      <c r="E6445" t="s">
        <v>23939</v>
      </c>
      <c r="F6445" t="s">
        <v>31362</v>
      </c>
      <c r="G6445" t="s">
        <v>31368</v>
      </c>
      <c r="H6445" t="s">
        <v>15799</v>
      </c>
      <c r="I6445" t="s">
        <v>4057</v>
      </c>
      <c r="J6445" t="s">
        <v>34630</v>
      </c>
      <c r="K6445" t="s">
        <v>40679</v>
      </c>
      <c r="M6445" t="s">
        <v>40996</v>
      </c>
      <c r="N6445" t="s">
        <v>44905</v>
      </c>
      <c r="O6445" t="s">
        <v>44906</v>
      </c>
      <c r="P6445">
        <v>0</v>
      </c>
      <c r="Q6445">
        <v>0</v>
      </c>
      <c r="R6445" t="s">
        <v>44909</v>
      </c>
      <c r="S6445" t="s">
        <v>45060</v>
      </c>
      <c r="T6445" t="s">
        <v>46396</v>
      </c>
      <c r="U6445" t="s">
        <v>46986</v>
      </c>
      <c r="W6445" t="s">
        <v>40996</v>
      </c>
      <c r="X6445" t="s">
        <v>44910</v>
      </c>
    </row>
    <row r="6446" spans="1:24">
      <c r="A6446">
        <f>HYPERLINK("https://www.philgeps.gov.ph/GEPSNONPILOT/Tender/SplashBidNoticeAbstractUI.aspx?menuIndex=3&amp;refID=7077976&amp;Result=3","7077976")</f>
        <v>0</v>
      </c>
      <c r="B6446" t="s">
        <v>1661</v>
      </c>
      <c r="C6446" t="s">
        <v>9672</v>
      </c>
      <c r="D6446" t="s">
        <v>18112</v>
      </c>
      <c r="E6446" t="s">
        <v>23940</v>
      </c>
      <c r="F6446" t="s">
        <v>31362</v>
      </c>
      <c r="G6446" t="s">
        <v>31369</v>
      </c>
      <c r="H6446" t="s">
        <v>15799</v>
      </c>
      <c r="I6446" t="s">
        <v>7188</v>
      </c>
      <c r="J6446" t="s">
        <v>35517</v>
      </c>
      <c r="K6446" t="s">
        <v>40670</v>
      </c>
      <c r="M6446" t="s">
        <v>42726</v>
      </c>
      <c r="N6446" t="s">
        <v>44905</v>
      </c>
      <c r="O6446" t="s">
        <v>44906</v>
      </c>
      <c r="P6446">
        <v>0</v>
      </c>
      <c r="Q6446">
        <v>2</v>
      </c>
      <c r="R6446" t="s">
        <v>44909</v>
      </c>
      <c r="S6446" t="s">
        <v>45060</v>
      </c>
      <c r="T6446" t="s">
        <v>46460</v>
      </c>
      <c r="U6446" t="s">
        <v>52168</v>
      </c>
      <c r="V6446" t="s">
        <v>59538</v>
      </c>
      <c r="W6446" t="s">
        <v>42726</v>
      </c>
      <c r="X6446" t="s">
        <v>44910</v>
      </c>
    </row>
    <row r="6447" spans="1:24">
      <c r="A6447">
        <f>HYPERLINK("https://www.philgeps.gov.ph/GEPSNONPILOT/Tender/SplashBidNoticeAbstractUI.aspx?menuIndex=3&amp;refID=7077892&amp;Result=3","7077892")</f>
        <v>0</v>
      </c>
      <c r="B6447" t="s">
        <v>2005</v>
      </c>
      <c r="C6447" t="s">
        <v>9673</v>
      </c>
      <c r="E6447" t="s">
        <v>23941</v>
      </c>
      <c r="F6447" t="s">
        <v>31362</v>
      </c>
      <c r="G6447" t="s">
        <v>31368</v>
      </c>
      <c r="H6447" t="s">
        <v>31377</v>
      </c>
      <c r="I6447" t="s">
        <v>31377</v>
      </c>
      <c r="J6447" t="s">
        <v>31564</v>
      </c>
      <c r="K6447" t="s">
        <v>40666</v>
      </c>
      <c r="M6447" t="s">
        <v>43116</v>
      </c>
      <c r="N6447" t="s">
        <v>44905</v>
      </c>
      <c r="O6447" t="s">
        <v>44906</v>
      </c>
      <c r="P6447">
        <v>0</v>
      </c>
      <c r="Q6447">
        <v>1</v>
      </c>
      <c r="R6447" t="s">
        <v>44909</v>
      </c>
      <c r="S6447" t="s">
        <v>45060</v>
      </c>
      <c r="T6447" t="s">
        <v>46409</v>
      </c>
      <c r="U6447" t="s">
        <v>52169</v>
      </c>
      <c r="V6447" t="s">
        <v>59679</v>
      </c>
      <c r="W6447" t="s">
        <v>43116</v>
      </c>
      <c r="X6447" t="s">
        <v>44910</v>
      </c>
    </row>
    <row r="6448" spans="1:24">
      <c r="A6448">
        <f>HYPERLINK("https://www.philgeps.gov.ph/GEPSNONPILOT/Tender/SplashBidNoticeAbstractUI.aspx?menuIndex=3&amp;refID=7078003&amp;Result=3","7078003")</f>
        <v>0</v>
      </c>
      <c r="B6448" t="s">
        <v>1968</v>
      </c>
      <c r="C6448" t="s">
        <v>9674</v>
      </c>
      <c r="D6448" t="s">
        <v>18144</v>
      </c>
      <c r="E6448" t="s">
        <v>23447</v>
      </c>
      <c r="F6448" t="s">
        <v>31362</v>
      </c>
      <c r="G6448" t="s">
        <v>31368</v>
      </c>
      <c r="H6448" t="s">
        <v>15799</v>
      </c>
      <c r="I6448" t="s">
        <v>31385</v>
      </c>
      <c r="J6448" t="s">
        <v>35518</v>
      </c>
      <c r="K6448" t="s">
        <v>40677</v>
      </c>
      <c r="M6448" t="s">
        <v>43074</v>
      </c>
      <c r="N6448" t="s">
        <v>44905</v>
      </c>
      <c r="O6448" t="s">
        <v>44906</v>
      </c>
      <c r="P6448">
        <v>0</v>
      </c>
      <c r="Q6448">
        <v>3</v>
      </c>
      <c r="R6448" t="s">
        <v>44909</v>
      </c>
      <c r="S6448" t="s">
        <v>45060</v>
      </c>
      <c r="T6448" t="s">
        <v>46597</v>
      </c>
      <c r="U6448" t="s">
        <v>52170</v>
      </c>
      <c r="W6448" t="s">
        <v>43074</v>
      </c>
      <c r="X6448" t="s">
        <v>44910</v>
      </c>
    </row>
    <row r="6449" spans="1:24">
      <c r="A6449">
        <f>HYPERLINK("https://www.philgeps.gov.ph/GEPSNONPILOT/Tender/SplashBidNoticeAbstractUI.aspx?menuIndex=3&amp;refID=7077971&amp;Result=3","7077971")</f>
        <v>0</v>
      </c>
      <c r="B6449" t="s">
        <v>575</v>
      </c>
      <c r="C6449" t="s">
        <v>9675</v>
      </c>
      <c r="D6449" t="s">
        <v>18108</v>
      </c>
      <c r="E6449" t="s">
        <v>23942</v>
      </c>
      <c r="F6449" t="s">
        <v>31362</v>
      </c>
      <c r="G6449" t="s">
        <v>31368</v>
      </c>
      <c r="H6449" t="s">
        <v>15799</v>
      </c>
      <c r="I6449" t="s">
        <v>6155</v>
      </c>
      <c r="J6449" t="s">
        <v>35519</v>
      </c>
      <c r="K6449" t="s">
        <v>40672</v>
      </c>
      <c r="M6449" t="s">
        <v>41531</v>
      </c>
      <c r="N6449" t="s">
        <v>44905</v>
      </c>
      <c r="O6449" t="s">
        <v>44906</v>
      </c>
      <c r="P6449">
        <v>0</v>
      </c>
      <c r="Q6449">
        <v>12</v>
      </c>
      <c r="R6449" t="s">
        <v>44909</v>
      </c>
      <c r="S6449" t="s">
        <v>45060</v>
      </c>
      <c r="T6449" t="s">
        <v>46409</v>
      </c>
      <c r="U6449" t="s">
        <v>52171</v>
      </c>
      <c r="W6449" t="s">
        <v>41531</v>
      </c>
      <c r="X6449" t="s">
        <v>44910</v>
      </c>
    </row>
    <row r="6450" spans="1:24">
      <c r="A6450">
        <f>HYPERLINK("https://www.philgeps.gov.ph/GEPSNONPILOT/Tender/SplashBidNoticeAbstractUI.aspx?menuIndex=3&amp;refID=7077949&amp;Result=3","7077949")</f>
        <v>0</v>
      </c>
      <c r="B6450" t="s">
        <v>1583</v>
      </c>
      <c r="C6450" t="s">
        <v>9676</v>
      </c>
      <c r="D6450" t="s">
        <v>18108</v>
      </c>
      <c r="E6450" t="s">
        <v>23943</v>
      </c>
      <c r="F6450" t="s">
        <v>31362</v>
      </c>
      <c r="G6450" t="s">
        <v>31369</v>
      </c>
      <c r="H6450" t="s">
        <v>15799</v>
      </c>
      <c r="I6450" t="s">
        <v>31404</v>
      </c>
      <c r="J6450" t="s">
        <v>31606</v>
      </c>
      <c r="K6450" t="s">
        <v>40666</v>
      </c>
      <c r="M6450" t="s">
        <v>43117</v>
      </c>
      <c r="N6450" t="s">
        <v>44905</v>
      </c>
      <c r="O6450" t="s">
        <v>44906</v>
      </c>
      <c r="P6450">
        <v>0</v>
      </c>
      <c r="Q6450">
        <v>1</v>
      </c>
      <c r="R6450" t="s">
        <v>44909</v>
      </c>
      <c r="S6450" t="s">
        <v>45060</v>
      </c>
      <c r="T6450" t="s">
        <v>46429</v>
      </c>
      <c r="U6450" t="s">
        <v>52172</v>
      </c>
      <c r="W6450" t="s">
        <v>43117</v>
      </c>
      <c r="X6450" t="s">
        <v>44910</v>
      </c>
    </row>
    <row r="6451" spans="1:24">
      <c r="A6451">
        <f>HYPERLINK("https://www.philgeps.gov.ph/GEPSNONPILOT/Tender/SplashBidNoticeAbstractUI.aspx?menuIndex=3&amp;refID=7077984&amp;Result=3","7077984")</f>
        <v>0</v>
      </c>
      <c r="B6451" t="s">
        <v>1264</v>
      </c>
      <c r="C6451" t="s">
        <v>9677</v>
      </c>
      <c r="D6451" t="s">
        <v>18108</v>
      </c>
      <c r="E6451" t="s">
        <v>23944</v>
      </c>
      <c r="F6451" t="s">
        <v>31362</v>
      </c>
      <c r="G6451" t="s">
        <v>31368</v>
      </c>
      <c r="H6451" t="s">
        <v>15799</v>
      </c>
      <c r="I6451" t="s">
        <v>31380</v>
      </c>
      <c r="J6451" t="s">
        <v>32165</v>
      </c>
      <c r="K6451" t="s">
        <v>40665</v>
      </c>
      <c r="M6451" t="s">
        <v>42281</v>
      </c>
      <c r="N6451" t="s">
        <v>44905</v>
      </c>
      <c r="O6451" t="s">
        <v>44906</v>
      </c>
      <c r="P6451">
        <v>0</v>
      </c>
      <c r="Q6451">
        <v>12</v>
      </c>
      <c r="R6451" t="s">
        <v>44909</v>
      </c>
      <c r="S6451" t="s">
        <v>45060</v>
      </c>
      <c r="T6451" t="s">
        <v>46454</v>
      </c>
      <c r="U6451" t="s">
        <v>52173</v>
      </c>
      <c r="W6451" t="s">
        <v>42281</v>
      </c>
      <c r="X6451" t="s">
        <v>44910</v>
      </c>
    </row>
    <row r="6452" spans="1:24">
      <c r="A6452">
        <f>HYPERLINK("https://www.philgeps.gov.ph/GEPSNONPILOT/Tender/SplashBidNoticeAbstractUI.aspx?menuIndex=3&amp;refID=7077978&amp;Result=3","7077978")</f>
        <v>0</v>
      </c>
      <c r="B6452" t="s">
        <v>427</v>
      </c>
      <c r="C6452" t="s">
        <v>9678</v>
      </c>
      <c r="D6452" t="s">
        <v>18119</v>
      </c>
      <c r="E6452" t="s">
        <v>23945</v>
      </c>
      <c r="F6452" t="s">
        <v>31362</v>
      </c>
      <c r="G6452" t="s">
        <v>31369</v>
      </c>
      <c r="H6452" t="s">
        <v>31378</v>
      </c>
      <c r="I6452" t="s">
        <v>31386</v>
      </c>
      <c r="J6452" t="s">
        <v>31615</v>
      </c>
      <c r="K6452" t="s">
        <v>40682</v>
      </c>
      <c r="M6452" t="s">
        <v>41378</v>
      </c>
      <c r="N6452" t="s">
        <v>44905</v>
      </c>
      <c r="O6452" t="s">
        <v>44906</v>
      </c>
      <c r="P6452">
        <v>0</v>
      </c>
      <c r="Q6452">
        <v>0</v>
      </c>
      <c r="R6452" t="s">
        <v>44909</v>
      </c>
      <c r="S6452" t="s">
        <v>45060</v>
      </c>
      <c r="T6452" t="s">
        <v>46671</v>
      </c>
      <c r="U6452" t="s">
        <v>52174</v>
      </c>
      <c r="W6452" t="s">
        <v>41378</v>
      </c>
      <c r="X6452" t="s">
        <v>44910</v>
      </c>
    </row>
    <row r="6453" spans="1:24">
      <c r="A6453">
        <f>HYPERLINK("https://www.philgeps.gov.ph/GEPSNONPILOT/Tender/SplashBidNoticeAbstractUI.aspx?menuIndex=3&amp;refID=7077946&amp;Result=3","7077946")</f>
        <v>0</v>
      </c>
      <c r="B6453" t="s">
        <v>1529</v>
      </c>
      <c r="C6453" t="s">
        <v>9679</v>
      </c>
      <c r="D6453" t="s">
        <v>18134</v>
      </c>
      <c r="E6453" t="s">
        <v>23946</v>
      </c>
      <c r="F6453" t="s">
        <v>31362</v>
      </c>
      <c r="G6453" t="s">
        <v>31369</v>
      </c>
      <c r="H6453" t="s">
        <v>15799</v>
      </c>
      <c r="I6453" t="s">
        <v>31409</v>
      </c>
      <c r="J6453" t="s">
        <v>31957</v>
      </c>
      <c r="K6453" t="s">
        <v>40679</v>
      </c>
      <c r="M6453" t="s">
        <v>42574</v>
      </c>
      <c r="N6453" t="s">
        <v>44905</v>
      </c>
      <c r="O6453" t="s">
        <v>44906</v>
      </c>
      <c r="P6453">
        <v>0</v>
      </c>
      <c r="Q6453">
        <v>6</v>
      </c>
      <c r="R6453" t="s">
        <v>44909</v>
      </c>
      <c r="S6453" t="s">
        <v>45060</v>
      </c>
      <c r="T6453" t="s">
        <v>46607</v>
      </c>
      <c r="U6453" t="s">
        <v>52175</v>
      </c>
      <c r="V6453" t="s">
        <v>59162</v>
      </c>
      <c r="W6453" t="s">
        <v>42574</v>
      </c>
      <c r="X6453" t="s">
        <v>44910</v>
      </c>
    </row>
    <row r="6454" spans="1:24">
      <c r="A6454">
        <f>HYPERLINK("https://www.philgeps.gov.ph/GEPSNONPILOT/Tender/SplashBidNoticeAbstractUI.aspx?menuIndex=3&amp;refID=7078007&amp;Result=3","7078007")</f>
        <v>0</v>
      </c>
      <c r="B6454" t="s">
        <v>1960</v>
      </c>
      <c r="C6454" t="s">
        <v>9680</v>
      </c>
      <c r="D6454" t="s">
        <v>18120</v>
      </c>
      <c r="E6454" t="s">
        <v>23947</v>
      </c>
      <c r="F6454" t="s">
        <v>31362</v>
      </c>
      <c r="G6454" t="s">
        <v>31369</v>
      </c>
      <c r="H6454" t="s">
        <v>31378</v>
      </c>
      <c r="I6454" t="s">
        <v>31386</v>
      </c>
      <c r="J6454" t="s">
        <v>35520</v>
      </c>
      <c r="K6454" t="s">
        <v>40686</v>
      </c>
      <c r="M6454" t="s">
        <v>43066</v>
      </c>
      <c r="N6454" t="s">
        <v>44905</v>
      </c>
      <c r="O6454" t="s">
        <v>44906</v>
      </c>
      <c r="P6454">
        <v>0</v>
      </c>
      <c r="Q6454">
        <v>0</v>
      </c>
      <c r="R6454" t="s">
        <v>44909</v>
      </c>
      <c r="S6454" t="s">
        <v>45060</v>
      </c>
      <c r="T6454" t="s">
        <v>46412</v>
      </c>
      <c r="U6454" t="s">
        <v>52176</v>
      </c>
      <c r="W6454" t="s">
        <v>43066</v>
      </c>
      <c r="X6454" t="s">
        <v>44910</v>
      </c>
    </row>
    <row r="6455" spans="1:24">
      <c r="A6455">
        <f>HYPERLINK("https://www.philgeps.gov.ph/GEPSNONPILOT/Tender/SplashBidNoticeAbstractUI.aspx?menuIndex=3&amp;refID=7078041&amp;Result=3","7078041")</f>
        <v>0</v>
      </c>
      <c r="B6455" t="s">
        <v>482</v>
      </c>
      <c r="C6455" t="s">
        <v>9681</v>
      </c>
      <c r="D6455" t="s">
        <v>18108</v>
      </c>
      <c r="E6455" t="s">
        <v>23948</v>
      </c>
      <c r="F6455" t="s">
        <v>31362</v>
      </c>
      <c r="G6455" t="s">
        <v>31369</v>
      </c>
      <c r="H6455" t="s">
        <v>15799</v>
      </c>
      <c r="I6455" t="s">
        <v>31393</v>
      </c>
      <c r="J6455" t="s">
        <v>34854</v>
      </c>
      <c r="K6455" t="s">
        <v>40675</v>
      </c>
      <c r="M6455" t="s">
        <v>43118</v>
      </c>
      <c r="N6455" t="s">
        <v>44905</v>
      </c>
      <c r="O6455" t="s">
        <v>44906</v>
      </c>
      <c r="P6455">
        <v>0</v>
      </c>
      <c r="Q6455">
        <v>10</v>
      </c>
      <c r="R6455" t="s">
        <v>44909</v>
      </c>
      <c r="S6455" t="s">
        <v>45060</v>
      </c>
      <c r="T6455" t="s">
        <v>46401</v>
      </c>
      <c r="U6455" t="s">
        <v>52177</v>
      </c>
      <c r="W6455" t="s">
        <v>43118</v>
      </c>
      <c r="X6455" t="s">
        <v>44910</v>
      </c>
    </row>
    <row r="6456" spans="1:24">
      <c r="A6456">
        <f>HYPERLINK("https://www.philgeps.gov.ph/GEPSNONPILOT/Tender/SplashBidNoticeAbstractUI.aspx?menuIndex=3&amp;refID=7078039&amp;Result=3","7078039")</f>
        <v>0</v>
      </c>
      <c r="B6456" t="s">
        <v>417</v>
      </c>
      <c r="C6456" t="s">
        <v>9682</v>
      </c>
      <c r="D6456" t="s">
        <v>18166</v>
      </c>
      <c r="E6456" t="s">
        <v>23949</v>
      </c>
      <c r="F6456" t="s">
        <v>31362</v>
      </c>
      <c r="G6456" t="s">
        <v>31369</v>
      </c>
      <c r="H6456" t="s">
        <v>15799</v>
      </c>
      <c r="I6456" t="s">
        <v>31430</v>
      </c>
      <c r="J6456" t="s">
        <v>35521</v>
      </c>
      <c r="K6456" t="s">
        <v>40670</v>
      </c>
      <c r="M6456" t="s">
        <v>41367</v>
      </c>
      <c r="N6456" t="s">
        <v>44905</v>
      </c>
      <c r="O6456" t="s">
        <v>44906</v>
      </c>
      <c r="P6456">
        <v>0</v>
      </c>
      <c r="Q6456">
        <v>0</v>
      </c>
      <c r="R6456" t="s">
        <v>44909</v>
      </c>
      <c r="S6456" t="s">
        <v>45060</v>
      </c>
      <c r="T6456" t="s">
        <v>46404</v>
      </c>
      <c r="U6456" t="s">
        <v>52178</v>
      </c>
      <c r="W6456" t="s">
        <v>41367</v>
      </c>
      <c r="X6456" t="s">
        <v>44910</v>
      </c>
    </row>
    <row r="6457" spans="1:24">
      <c r="A6457">
        <f>HYPERLINK("https://www.philgeps.gov.ph/GEPSNONPILOT/Tender/SplashBidNoticeAbstractUI.aspx?menuIndex=3&amp;refID=7078037&amp;Result=3","7078037")</f>
        <v>0</v>
      </c>
      <c r="B6457" t="s">
        <v>711</v>
      </c>
      <c r="C6457" t="s">
        <v>9683</v>
      </c>
      <c r="D6457" t="s">
        <v>18148</v>
      </c>
      <c r="E6457" t="s">
        <v>23950</v>
      </c>
      <c r="F6457" t="s">
        <v>31362</v>
      </c>
      <c r="G6457" t="s">
        <v>31372</v>
      </c>
      <c r="H6457" t="s">
        <v>15799</v>
      </c>
      <c r="I6457" t="s">
        <v>13635</v>
      </c>
      <c r="J6457" t="s">
        <v>35522</v>
      </c>
      <c r="K6457" t="s">
        <v>40670</v>
      </c>
      <c r="M6457" t="s">
        <v>41676</v>
      </c>
      <c r="N6457" t="s">
        <v>44905</v>
      </c>
      <c r="O6457" t="s">
        <v>44906</v>
      </c>
      <c r="P6457">
        <v>0</v>
      </c>
      <c r="Q6457">
        <v>1</v>
      </c>
      <c r="R6457" t="s">
        <v>44909</v>
      </c>
      <c r="S6457" t="s">
        <v>45060</v>
      </c>
      <c r="T6457" t="s">
        <v>46409</v>
      </c>
      <c r="U6457" t="s">
        <v>52179</v>
      </c>
      <c r="W6457" t="s">
        <v>41676</v>
      </c>
      <c r="X6457" t="s">
        <v>44910</v>
      </c>
    </row>
    <row r="6458" spans="1:24">
      <c r="A6458">
        <f>HYPERLINK("https://www.philgeps.gov.ph/GEPSNONPILOT/Tender/SplashBidNoticeAbstractUI.aspx?menuIndex=3&amp;refID=7077944&amp;Result=3","7077944")</f>
        <v>0</v>
      </c>
      <c r="B6458" t="s">
        <v>237</v>
      </c>
      <c r="C6458" t="s">
        <v>9684</v>
      </c>
      <c r="D6458" t="s">
        <v>18108</v>
      </c>
      <c r="E6458" t="s">
        <v>23951</v>
      </c>
      <c r="F6458" t="s">
        <v>31362</v>
      </c>
      <c r="G6458" t="s">
        <v>31370</v>
      </c>
      <c r="H6458" t="s">
        <v>15799</v>
      </c>
      <c r="I6458" t="s">
        <v>31449</v>
      </c>
      <c r="J6458" t="s">
        <v>35202</v>
      </c>
      <c r="K6458" t="s">
        <v>40670</v>
      </c>
      <c r="M6458" t="s">
        <v>41176</v>
      </c>
      <c r="N6458" t="s">
        <v>44905</v>
      </c>
      <c r="O6458" t="s">
        <v>44906</v>
      </c>
      <c r="P6458">
        <v>0</v>
      </c>
      <c r="Q6458">
        <v>2</v>
      </c>
      <c r="R6458" t="s">
        <v>44909</v>
      </c>
      <c r="S6458" t="s">
        <v>45060</v>
      </c>
      <c r="T6458" t="s">
        <v>46518</v>
      </c>
      <c r="U6458" t="s">
        <v>52180</v>
      </c>
      <c r="V6458" t="s">
        <v>59113</v>
      </c>
      <c r="W6458" t="s">
        <v>41176</v>
      </c>
      <c r="X6458" t="s">
        <v>44910</v>
      </c>
    </row>
    <row r="6459" spans="1:24">
      <c r="A6459">
        <f>HYPERLINK("https://www.philgeps.gov.ph/GEPSNONPILOT/Tender/SplashBidNoticeAbstractUI.aspx?menuIndex=3&amp;refID=7078036&amp;Result=3","7078036")</f>
        <v>0</v>
      </c>
      <c r="B6459" t="s">
        <v>1058</v>
      </c>
      <c r="C6459" t="s">
        <v>9685</v>
      </c>
      <c r="D6459" t="s">
        <v>18104</v>
      </c>
      <c r="E6459" t="s">
        <v>23952</v>
      </c>
      <c r="F6459" t="s">
        <v>31362</v>
      </c>
      <c r="G6459" t="s">
        <v>31370</v>
      </c>
      <c r="H6459" t="s">
        <v>15799</v>
      </c>
      <c r="I6459" t="s">
        <v>6155</v>
      </c>
      <c r="J6459" t="s">
        <v>32143</v>
      </c>
      <c r="K6459" t="s">
        <v>40670</v>
      </c>
      <c r="M6459" t="s">
        <v>42059</v>
      </c>
      <c r="N6459" t="s">
        <v>44905</v>
      </c>
      <c r="O6459" t="s">
        <v>44906</v>
      </c>
      <c r="P6459">
        <v>0</v>
      </c>
      <c r="Q6459">
        <v>0</v>
      </c>
      <c r="R6459" t="s">
        <v>44909</v>
      </c>
      <c r="S6459" t="s">
        <v>45060</v>
      </c>
      <c r="T6459" t="s">
        <v>46447</v>
      </c>
      <c r="U6459" t="s">
        <v>52181</v>
      </c>
      <c r="W6459" t="s">
        <v>42059</v>
      </c>
      <c r="X6459" t="s">
        <v>44910</v>
      </c>
    </row>
    <row r="6460" spans="1:24">
      <c r="A6460">
        <f>HYPERLINK("https://www.philgeps.gov.ph/GEPSNONPILOT/Tender/SplashBidNoticeAbstractUI.aspx?menuIndex=3&amp;refID=7077972&amp;Result=3","7077972")</f>
        <v>0</v>
      </c>
      <c r="B6460" t="s">
        <v>1990</v>
      </c>
      <c r="C6460" t="s">
        <v>9686</v>
      </c>
      <c r="D6460" t="s">
        <v>18104</v>
      </c>
      <c r="E6460" t="s">
        <v>23953</v>
      </c>
      <c r="F6460" t="s">
        <v>31362</v>
      </c>
      <c r="G6460" t="s">
        <v>31372</v>
      </c>
      <c r="H6460" t="s">
        <v>15799</v>
      </c>
      <c r="I6460" t="s">
        <v>31393</v>
      </c>
      <c r="J6460" t="s">
        <v>31665</v>
      </c>
      <c r="K6460" t="s">
        <v>40665</v>
      </c>
      <c r="L6460" t="s">
        <v>1990</v>
      </c>
      <c r="M6460" t="s">
        <v>43099</v>
      </c>
      <c r="N6460" t="s">
        <v>44905</v>
      </c>
      <c r="O6460" t="s">
        <v>44906</v>
      </c>
      <c r="P6460">
        <v>0</v>
      </c>
      <c r="Q6460">
        <v>2</v>
      </c>
      <c r="R6460" t="s">
        <v>44909</v>
      </c>
      <c r="S6460" t="s">
        <v>45060</v>
      </c>
      <c r="T6460" t="s">
        <v>46509</v>
      </c>
      <c r="U6460" t="s">
        <v>52182</v>
      </c>
      <c r="V6460" t="s">
        <v>59680</v>
      </c>
      <c r="W6460" t="s">
        <v>43099</v>
      </c>
      <c r="X6460" t="s">
        <v>44910</v>
      </c>
    </row>
    <row r="6461" spans="1:24">
      <c r="A6461">
        <f>HYPERLINK("https://www.philgeps.gov.ph/GEPSNONPILOT/Tender/SplashBidNoticeAbstractUI.aspx?menuIndex=3&amp;refID=7078035&amp;Result=3","7078035")</f>
        <v>0</v>
      </c>
      <c r="B6461" t="s">
        <v>699</v>
      </c>
      <c r="C6461" t="s">
        <v>9687</v>
      </c>
      <c r="D6461" t="s">
        <v>18148</v>
      </c>
      <c r="E6461" t="s">
        <v>23954</v>
      </c>
      <c r="F6461" t="s">
        <v>31362</v>
      </c>
      <c r="G6461" t="s">
        <v>31368</v>
      </c>
      <c r="H6461" t="s">
        <v>31378</v>
      </c>
      <c r="I6461" t="s">
        <v>31386</v>
      </c>
      <c r="J6461" t="s">
        <v>35523</v>
      </c>
      <c r="K6461" t="s">
        <v>40665</v>
      </c>
      <c r="M6461" t="s">
        <v>41664</v>
      </c>
      <c r="N6461" t="s">
        <v>44905</v>
      </c>
      <c r="O6461" t="s">
        <v>44906</v>
      </c>
      <c r="P6461">
        <v>0</v>
      </c>
      <c r="Q6461">
        <v>0</v>
      </c>
      <c r="R6461" t="s">
        <v>44909</v>
      </c>
      <c r="S6461" t="s">
        <v>45060</v>
      </c>
      <c r="T6461" t="s">
        <v>46454</v>
      </c>
      <c r="U6461" t="s">
        <v>52183</v>
      </c>
      <c r="W6461" t="s">
        <v>41664</v>
      </c>
      <c r="X6461" t="s">
        <v>44910</v>
      </c>
    </row>
    <row r="6462" spans="1:24">
      <c r="A6462">
        <f>HYPERLINK("https://www.philgeps.gov.ph/GEPSNONPILOT/Tender/SplashBidNoticeAbstractUI.aspx?menuIndex=3&amp;refID=7078030&amp;Result=3","7078030")</f>
        <v>0</v>
      </c>
      <c r="B6462" t="s">
        <v>123</v>
      </c>
      <c r="C6462" t="s">
        <v>9688</v>
      </c>
      <c r="D6462" t="s">
        <v>18127</v>
      </c>
      <c r="E6462" t="s">
        <v>23955</v>
      </c>
      <c r="F6462" t="s">
        <v>31362</v>
      </c>
      <c r="G6462" t="s">
        <v>31368</v>
      </c>
      <c r="H6462" t="s">
        <v>31379</v>
      </c>
      <c r="I6462" t="s">
        <v>6865</v>
      </c>
      <c r="J6462" t="s">
        <v>35524</v>
      </c>
      <c r="K6462" t="s">
        <v>40665</v>
      </c>
      <c r="M6462" t="s">
        <v>43119</v>
      </c>
      <c r="N6462" t="s">
        <v>44905</v>
      </c>
      <c r="O6462" t="s">
        <v>44906</v>
      </c>
      <c r="P6462">
        <v>0</v>
      </c>
      <c r="Q6462">
        <v>3</v>
      </c>
      <c r="R6462" t="s">
        <v>44909</v>
      </c>
      <c r="S6462" t="s">
        <v>45060</v>
      </c>
      <c r="T6462" t="s">
        <v>46701</v>
      </c>
      <c r="U6462" t="s">
        <v>52184</v>
      </c>
      <c r="V6462" t="s">
        <v>49349</v>
      </c>
      <c r="W6462" t="s">
        <v>43119</v>
      </c>
      <c r="X6462" t="s">
        <v>44910</v>
      </c>
    </row>
    <row r="6463" spans="1:24">
      <c r="A6463">
        <f>HYPERLINK("https://www.philgeps.gov.ph/GEPSNONPILOT/Tender/SplashBidNoticeAbstractUI.aspx?menuIndex=3&amp;refID=7077948&amp;Result=3","7077948")</f>
        <v>0</v>
      </c>
      <c r="B6463" t="s">
        <v>2006</v>
      </c>
      <c r="C6463" t="s">
        <v>9689</v>
      </c>
      <c r="D6463" t="s">
        <v>18134</v>
      </c>
      <c r="E6463" t="s">
        <v>23956</v>
      </c>
      <c r="F6463" t="s">
        <v>31362</v>
      </c>
      <c r="G6463" t="s">
        <v>31368</v>
      </c>
      <c r="H6463" t="s">
        <v>15799</v>
      </c>
      <c r="I6463" t="s">
        <v>6240</v>
      </c>
      <c r="J6463" t="s">
        <v>31758</v>
      </c>
      <c r="K6463" t="s">
        <v>40697</v>
      </c>
      <c r="M6463" t="s">
        <v>43120</v>
      </c>
      <c r="N6463" t="s">
        <v>44905</v>
      </c>
      <c r="O6463" t="s">
        <v>44906</v>
      </c>
      <c r="P6463">
        <v>0</v>
      </c>
      <c r="Q6463">
        <v>0</v>
      </c>
      <c r="R6463" t="s">
        <v>44909</v>
      </c>
      <c r="S6463" t="s">
        <v>45060</v>
      </c>
      <c r="T6463" t="s">
        <v>46409</v>
      </c>
      <c r="U6463" t="s">
        <v>52185</v>
      </c>
      <c r="W6463" t="s">
        <v>43120</v>
      </c>
      <c r="X6463" t="s">
        <v>44910</v>
      </c>
    </row>
    <row r="6464" spans="1:24">
      <c r="A6464">
        <f>HYPERLINK("https://www.philgeps.gov.ph/GEPSNONPILOT/Tender/SplashBidNoticeAbstractUI.aspx?menuIndex=3&amp;refID=7078038&amp;Result=3","7078038")</f>
        <v>0</v>
      </c>
      <c r="B6464" t="s">
        <v>2007</v>
      </c>
      <c r="C6464" t="s">
        <v>9690</v>
      </c>
      <c r="D6464" t="s">
        <v>18120</v>
      </c>
      <c r="E6464" t="s">
        <v>23957</v>
      </c>
      <c r="F6464" t="s">
        <v>31362</v>
      </c>
      <c r="G6464" t="s">
        <v>31368</v>
      </c>
      <c r="H6464" t="s">
        <v>15799</v>
      </c>
      <c r="I6464" t="s">
        <v>7090</v>
      </c>
      <c r="J6464" t="s">
        <v>35525</v>
      </c>
      <c r="K6464" t="s">
        <v>40662</v>
      </c>
      <c r="M6464" t="s">
        <v>43121</v>
      </c>
      <c r="N6464" t="s">
        <v>44905</v>
      </c>
      <c r="O6464" t="s">
        <v>44906</v>
      </c>
      <c r="P6464">
        <v>0</v>
      </c>
      <c r="Q6464">
        <v>0</v>
      </c>
      <c r="R6464" t="s">
        <v>44909</v>
      </c>
      <c r="S6464" t="s">
        <v>45060</v>
      </c>
      <c r="T6464" t="s">
        <v>46410</v>
      </c>
      <c r="U6464" t="s">
        <v>52186</v>
      </c>
      <c r="W6464" t="s">
        <v>43121</v>
      </c>
      <c r="X6464" t="s">
        <v>44910</v>
      </c>
    </row>
    <row r="6465" spans="1:24">
      <c r="A6465">
        <f>HYPERLINK("https://www.philgeps.gov.ph/GEPSNONPILOT/Tender/SplashBidNoticeAbstractUI.aspx?menuIndex=3&amp;refID=7078028&amp;Result=3","7078028")</f>
        <v>0</v>
      </c>
      <c r="B6465" t="s">
        <v>237</v>
      </c>
      <c r="C6465" t="s">
        <v>9691</v>
      </c>
      <c r="D6465" t="s">
        <v>18108</v>
      </c>
      <c r="E6465" t="s">
        <v>23958</v>
      </c>
      <c r="F6465" t="s">
        <v>31362</v>
      </c>
      <c r="G6465" t="s">
        <v>31370</v>
      </c>
      <c r="H6465" t="s">
        <v>15799</v>
      </c>
      <c r="I6465" t="s">
        <v>6240</v>
      </c>
      <c r="J6465" t="s">
        <v>35526</v>
      </c>
      <c r="K6465" t="s">
        <v>40670</v>
      </c>
      <c r="M6465" t="s">
        <v>41176</v>
      </c>
      <c r="N6465" t="s">
        <v>44905</v>
      </c>
      <c r="O6465" t="s">
        <v>44906</v>
      </c>
      <c r="P6465">
        <v>0</v>
      </c>
      <c r="Q6465">
        <v>2</v>
      </c>
      <c r="R6465" t="s">
        <v>44909</v>
      </c>
      <c r="S6465" t="s">
        <v>45060</v>
      </c>
      <c r="T6465" t="s">
        <v>46518</v>
      </c>
      <c r="U6465" t="s">
        <v>52187</v>
      </c>
      <c r="V6465" t="s">
        <v>59113</v>
      </c>
      <c r="W6465" t="s">
        <v>41176</v>
      </c>
      <c r="X6465" t="s">
        <v>44910</v>
      </c>
    </row>
    <row r="6466" spans="1:24">
      <c r="A6466">
        <f>HYPERLINK("https://www.philgeps.gov.ph/GEPSNONPILOT/Tender/SplashBidNoticeAbstractUI.aspx?menuIndex=3&amp;refID=7078027&amp;Result=3","7078027")</f>
        <v>0</v>
      </c>
      <c r="B6466" t="s">
        <v>2008</v>
      </c>
      <c r="C6466" t="s">
        <v>9692</v>
      </c>
      <c r="D6466" t="s">
        <v>18110</v>
      </c>
      <c r="E6466" t="s">
        <v>23959</v>
      </c>
      <c r="F6466" t="s">
        <v>31362</v>
      </c>
      <c r="G6466" t="s">
        <v>31370</v>
      </c>
      <c r="H6466" t="s">
        <v>15799</v>
      </c>
      <c r="I6466" t="s">
        <v>31430</v>
      </c>
      <c r="J6466" t="s">
        <v>35527</v>
      </c>
      <c r="K6466" t="s">
        <v>40661</v>
      </c>
      <c r="M6466" t="s">
        <v>43122</v>
      </c>
      <c r="N6466" t="s">
        <v>44905</v>
      </c>
      <c r="O6466" t="s">
        <v>44906</v>
      </c>
      <c r="P6466">
        <v>0</v>
      </c>
      <c r="Q6466">
        <v>0</v>
      </c>
      <c r="R6466" t="s">
        <v>44909</v>
      </c>
      <c r="S6466" t="s">
        <v>45060</v>
      </c>
      <c r="T6466" t="s">
        <v>46408</v>
      </c>
      <c r="U6466" t="s">
        <v>52188</v>
      </c>
      <c r="W6466" t="s">
        <v>60916</v>
      </c>
      <c r="X6466" t="s">
        <v>44910</v>
      </c>
    </row>
    <row r="6467" spans="1:24">
      <c r="A6467">
        <f>HYPERLINK("https://www.philgeps.gov.ph/GEPSNONPILOT/Tender/SplashBidNoticeAbstractUI.aspx?menuIndex=3&amp;refID=7077975&amp;Result=3","7077975")</f>
        <v>0</v>
      </c>
      <c r="B6467" t="s">
        <v>1272</v>
      </c>
      <c r="C6467" t="s">
        <v>9693</v>
      </c>
      <c r="D6467" t="s">
        <v>18104</v>
      </c>
      <c r="E6467" t="s">
        <v>23960</v>
      </c>
      <c r="F6467" t="s">
        <v>31362</v>
      </c>
      <c r="G6467" t="s">
        <v>31368</v>
      </c>
      <c r="H6467" t="s">
        <v>15799</v>
      </c>
      <c r="I6467" t="s">
        <v>31404</v>
      </c>
      <c r="J6467" t="s">
        <v>35528</v>
      </c>
      <c r="K6467" t="s">
        <v>40661</v>
      </c>
      <c r="M6467" t="s">
        <v>42289</v>
      </c>
      <c r="N6467" t="s">
        <v>44905</v>
      </c>
      <c r="O6467" t="s">
        <v>44906</v>
      </c>
      <c r="P6467">
        <v>0</v>
      </c>
      <c r="Q6467">
        <v>0</v>
      </c>
      <c r="R6467" t="s">
        <v>44909</v>
      </c>
      <c r="S6467" t="s">
        <v>45060</v>
      </c>
      <c r="T6467" t="s">
        <v>46393</v>
      </c>
      <c r="U6467" t="s">
        <v>52189</v>
      </c>
      <c r="W6467" t="s">
        <v>42289</v>
      </c>
      <c r="X6467" t="s">
        <v>44910</v>
      </c>
    </row>
    <row r="6468" spans="1:24">
      <c r="A6468">
        <f>HYPERLINK("https://www.philgeps.gov.ph/GEPSNONPILOT/Tender/SplashBidNoticeAbstractUI.aspx?menuIndex=3&amp;refID=7078066&amp;Result=3","7078066")</f>
        <v>0</v>
      </c>
      <c r="B6468" t="s">
        <v>2009</v>
      </c>
      <c r="C6468" t="s">
        <v>5343</v>
      </c>
      <c r="D6468" t="s">
        <v>18120</v>
      </c>
      <c r="E6468" t="s">
        <v>23961</v>
      </c>
      <c r="F6468" t="s">
        <v>31362</v>
      </c>
      <c r="G6468" t="s">
        <v>31369</v>
      </c>
      <c r="H6468" t="s">
        <v>15799</v>
      </c>
      <c r="I6468" t="s">
        <v>3815</v>
      </c>
      <c r="J6468" t="s">
        <v>35529</v>
      </c>
      <c r="K6468" t="s">
        <v>40666</v>
      </c>
      <c r="M6468" t="s">
        <v>43123</v>
      </c>
      <c r="N6468" t="s">
        <v>44905</v>
      </c>
      <c r="O6468" t="s">
        <v>44906</v>
      </c>
      <c r="P6468">
        <v>0</v>
      </c>
      <c r="Q6468">
        <v>1</v>
      </c>
      <c r="R6468" t="s">
        <v>44909</v>
      </c>
      <c r="S6468" t="s">
        <v>45060</v>
      </c>
      <c r="T6468" t="s">
        <v>46503</v>
      </c>
      <c r="U6468" t="s">
        <v>52190</v>
      </c>
      <c r="V6468" t="s">
        <v>59681</v>
      </c>
      <c r="W6468" t="s">
        <v>43123</v>
      </c>
      <c r="X6468" t="s">
        <v>44910</v>
      </c>
    </row>
    <row r="6469" spans="1:24">
      <c r="A6469">
        <f>HYPERLINK("https://www.philgeps.gov.ph/GEPSNONPILOT/Tender/SplashBidNoticeAbstractUI.aspx?menuIndex=3&amp;refID=7078065&amp;Result=3","7078065")</f>
        <v>0</v>
      </c>
      <c r="B6469" t="s">
        <v>2008</v>
      </c>
      <c r="C6469" t="s">
        <v>9694</v>
      </c>
      <c r="D6469" t="s">
        <v>18110</v>
      </c>
      <c r="E6469" t="s">
        <v>23962</v>
      </c>
      <c r="F6469" t="s">
        <v>31362</v>
      </c>
      <c r="G6469" t="s">
        <v>31370</v>
      </c>
      <c r="H6469" t="s">
        <v>15799</v>
      </c>
      <c r="I6469" t="s">
        <v>31430</v>
      </c>
      <c r="J6469" t="s">
        <v>35530</v>
      </c>
      <c r="K6469" t="s">
        <v>40661</v>
      </c>
      <c r="M6469" t="s">
        <v>43122</v>
      </c>
      <c r="N6469" t="s">
        <v>44905</v>
      </c>
      <c r="O6469" t="s">
        <v>44906</v>
      </c>
      <c r="P6469">
        <v>0</v>
      </c>
      <c r="Q6469">
        <v>0</v>
      </c>
      <c r="R6469" t="s">
        <v>44909</v>
      </c>
      <c r="S6469" t="s">
        <v>45060</v>
      </c>
      <c r="T6469" t="s">
        <v>46408</v>
      </c>
      <c r="U6469" t="s">
        <v>52188</v>
      </c>
      <c r="W6469" t="s">
        <v>60916</v>
      </c>
      <c r="X6469" t="s">
        <v>44910</v>
      </c>
    </row>
    <row r="6470" spans="1:24">
      <c r="A6470">
        <f>HYPERLINK("https://www.philgeps.gov.ph/GEPSNONPILOT/Tender/SplashBidNoticeAbstractUI.aspx?menuIndex=3&amp;refID=7078032&amp;Result=3","7078032")</f>
        <v>0</v>
      </c>
      <c r="B6470" t="s">
        <v>1984</v>
      </c>
      <c r="C6470" t="s">
        <v>9695</v>
      </c>
      <c r="D6470" t="s">
        <v>18107</v>
      </c>
      <c r="E6470" t="s">
        <v>23963</v>
      </c>
      <c r="F6470" t="s">
        <v>31362</v>
      </c>
      <c r="G6470" t="s">
        <v>31368</v>
      </c>
      <c r="H6470" t="s">
        <v>15799</v>
      </c>
      <c r="I6470" t="s">
        <v>31427</v>
      </c>
      <c r="J6470" t="s">
        <v>31806</v>
      </c>
      <c r="K6470" t="s">
        <v>40665</v>
      </c>
      <c r="M6470" t="s">
        <v>43092</v>
      </c>
      <c r="N6470" t="s">
        <v>44905</v>
      </c>
      <c r="O6470" t="s">
        <v>44906</v>
      </c>
      <c r="P6470">
        <v>0</v>
      </c>
      <c r="Q6470">
        <v>4</v>
      </c>
      <c r="R6470" t="s">
        <v>44909</v>
      </c>
      <c r="S6470" t="s">
        <v>45060</v>
      </c>
      <c r="T6470" t="s">
        <v>46454</v>
      </c>
      <c r="U6470" t="s">
        <v>52191</v>
      </c>
      <c r="W6470" t="s">
        <v>43092</v>
      </c>
      <c r="X6470" t="s">
        <v>44910</v>
      </c>
    </row>
    <row r="6471" spans="1:24">
      <c r="A6471">
        <f>HYPERLINK("https://www.philgeps.gov.ph/GEPSNONPILOT/Tender/SplashBidNoticeAbstractUI.aspx?menuIndex=3&amp;refID=7078063&amp;Result=3","7078063")</f>
        <v>0</v>
      </c>
      <c r="B6471" t="s">
        <v>199</v>
      </c>
      <c r="C6471" t="s">
        <v>9696</v>
      </c>
      <c r="D6471" t="s">
        <v>18139</v>
      </c>
      <c r="E6471" t="s">
        <v>23964</v>
      </c>
      <c r="F6471" t="s">
        <v>31362</v>
      </c>
      <c r="G6471" t="s">
        <v>31368</v>
      </c>
      <c r="H6471" t="s">
        <v>15799</v>
      </c>
      <c r="I6471" t="s">
        <v>31384</v>
      </c>
      <c r="J6471" t="s">
        <v>35531</v>
      </c>
      <c r="K6471" t="s">
        <v>40666</v>
      </c>
      <c r="M6471" t="s">
        <v>43124</v>
      </c>
      <c r="N6471" t="s">
        <v>44905</v>
      </c>
      <c r="O6471" t="s">
        <v>44906</v>
      </c>
      <c r="P6471">
        <v>0</v>
      </c>
      <c r="Q6471">
        <v>9</v>
      </c>
      <c r="R6471" t="s">
        <v>44909</v>
      </c>
      <c r="S6471" t="s">
        <v>45060</v>
      </c>
      <c r="T6471" t="s">
        <v>46454</v>
      </c>
      <c r="U6471" t="s">
        <v>52192</v>
      </c>
      <c r="W6471" t="s">
        <v>43124</v>
      </c>
      <c r="X6471" t="s">
        <v>44910</v>
      </c>
    </row>
    <row r="6472" spans="1:24">
      <c r="A6472">
        <f>HYPERLINK("https://www.philgeps.gov.ph/GEPSNONPILOT/Tender/SplashBidNoticeAbstractUI.aspx?menuIndex=3&amp;refID=7078061&amp;Result=3","7078061")</f>
        <v>0</v>
      </c>
      <c r="B6472" t="s">
        <v>347</v>
      </c>
      <c r="C6472" t="s">
        <v>9697</v>
      </c>
      <c r="D6472" t="s">
        <v>18120</v>
      </c>
      <c r="E6472" t="s">
        <v>23965</v>
      </c>
      <c r="F6472" t="s">
        <v>31362</v>
      </c>
      <c r="G6472" t="s">
        <v>31370</v>
      </c>
      <c r="H6472" t="s">
        <v>15799</v>
      </c>
      <c r="I6472" t="s">
        <v>3815</v>
      </c>
      <c r="J6472" t="s">
        <v>35532</v>
      </c>
      <c r="K6472" t="s">
        <v>40661</v>
      </c>
      <c r="M6472" t="s">
        <v>41293</v>
      </c>
      <c r="N6472" t="s">
        <v>44905</v>
      </c>
      <c r="O6472" t="s">
        <v>44906</v>
      </c>
      <c r="P6472">
        <v>0</v>
      </c>
      <c r="Q6472">
        <v>0</v>
      </c>
      <c r="R6472" t="s">
        <v>44909</v>
      </c>
      <c r="S6472" t="s">
        <v>45060</v>
      </c>
      <c r="T6472" t="s">
        <v>46409</v>
      </c>
      <c r="U6472" t="s">
        <v>52193</v>
      </c>
      <c r="W6472" t="s">
        <v>41293</v>
      </c>
      <c r="X6472" t="s">
        <v>44910</v>
      </c>
    </row>
    <row r="6473" spans="1:24">
      <c r="A6473">
        <f>HYPERLINK("https://www.philgeps.gov.ph/GEPSNONPILOT/Tender/SplashBidNoticeAbstractUI.aspx?menuIndex=3&amp;refID=7078029&amp;Result=3","7078029")</f>
        <v>0</v>
      </c>
      <c r="B6473" t="s">
        <v>2010</v>
      </c>
      <c r="C6473" t="s">
        <v>6071</v>
      </c>
      <c r="D6473" t="s">
        <v>18163</v>
      </c>
      <c r="E6473" t="s">
        <v>22937</v>
      </c>
      <c r="F6473" t="s">
        <v>31362</v>
      </c>
      <c r="G6473" t="s">
        <v>31369</v>
      </c>
      <c r="H6473" t="s">
        <v>31378</v>
      </c>
      <c r="I6473" t="s">
        <v>31386</v>
      </c>
      <c r="J6473" t="s">
        <v>31578</v>
      </c>
      <c r="K6473" t="s">
        <v>40668</v>
      </c>
      <c r="M6473" t="s">
        <v>43125</v>
      </c>
      <c r="N6473" t="s">
        <v>44905</v>
      </c>
      <c r="O6473" t="s">
        <v>44906</v>
      </c>
      <c r="P6473">
        <v>0</v>
      </c>
      <c r="Q6473">
        <v>1</v>
      </c>
      <c r="R6473" t="s">
        <v>44909</v>
      </c>
      <c r="S6473" t="s">
        <v>45060</v>
      </c>
      <c r="T6473" t="s">
        <v>46463</v>
      </c>
      <c r="U6473" t="s">
        <v>52194</v>
      </c>
      <c r="W6473" t="s">
        <v>43125</v>
      </c>
      <c r="X6473" t="s">
        <v>44910</v>
      </c>
    </row>
    <row r="6474" spans="1:24">
      <c r="A6474">
        <f>HYPERLINK("https://www.philgeps.gov.ph/GEPSNONPILOT/Tender/SplashBidNoticeAbstractUI.aspx?menuIndex=3&amp;refID=7078060&amp;Result=3","7078060")</f>
        <v>0</v>
      </c>
      <c r="B6474" t="s">
        <v>1529</v>
      </c>
      <c r="C6474" t="s">
        <v>9698</v>
      </c>
      <c r="D6474" t="s">
        <v>18134</v>
      </c>
      <c r="E6474" t="s">
        <v>23966</v>
      </c>
      <c r="F6474" t="s">
        <v>31362</v>
      </c>
      <c r="G6474" t="s">
        <v>31369</v>
      </c>
      <c r="H6474" t="s">
        <v>15799</v>
      </c>
      <c r="I6474" t="s">
        <v>31430</v>
      </c>
      <c r="J6474" t="s">
        <v>35533</v>
      </c>
      <c r="K6474" t="s">
        <v>40682</v>
      </c>
      <c r="M6474" t="s">
        <v>42574</v>
      </c>
      <c r="N6474" t="s">
        <v>44905</v>
      </c>
      <c r="O6474" t="s">
        <v>44906</v>
      </c>
      <c r="P6474">
        <v>0</v>
      </c>
      <c r="Q6474">
        <v>0</v>
      </c>
      <c r="R6474" t="s">
        <v>44909</v>
      </c>
      <c r="S6474" t="s">
        <v>45060</v>
      </c>
      <c r="T6474" t="s">
        <v>46607</v>
      </c>
      <c r="U6474" t="s">
        <v>52195</v>
      </c>
      <c r="V6474" t="s">
        <v>59162</v>
      </c>
      <c r="W6474" t="s">
        <v>42574</v>
      </c>
      <c r="X6474" t="s">
        <v>44910</v>
      </c>
    </row>
    <row r="6475" spans="1:24">
      <c r="A6475">
        <f>HYPERLINK("https://www.philgeps.gov.ph/GEPSNONPILOT/Tender/SplashBidNoticeAbstractUI.aspx?menuIndex=3&amp;refID=7078034&amp;Result=3","7078034")</f>
        <v>0</v>
      </c>
      <c r="B6475" t="s">
        <v>1979</v>
      </c>
      <c r="C6475" t="s">
        <v>9699</v>
      </c>
      <c r="D6475" t="s">
        <v>18104</v>
      </c>
      <c r="E6475" t="s">
        <v>23967</v>
      </c>
      <c r="F6475" t="s">
        <v>31362</v>
      </c>
      <c r="G6475" t="s">
        <v>31370</v>
      </c>
      <c r="H6475" t="s">
        <v>15799</v>
      </c>
      <c r="I6475" t="s">
        <v>31387</v>
      </c>
      <c r="J6475" t="s">
        <v>35534</v>
      </c>
      <c r="K6475" t="s">
        <v>40666</v>
      </c>
      <c r="M6475" t="s">
        <v>43087</v>
      </c>
      <c r="N6475" t="s">
        <v>44905</v>
      </c>
      <c r="O6475" t="s">
        <v>44906</v>
      </c>
      <c r="P6475">
        <v>0</v>
      </c>
      <c r="Q6475">
        <v>0</v>
      </c>
      <c r="R6475" t="s">
        <v>44909</v>
      </c>
      <c r="S6475" t="s">
        <v>45060</v>
      </c>
      <c r="T6475" t="s">
        <v>46665</v>
      </c>
      <c r="U6475" t="s">
        <v>52023</v>
      </c>
      <c r="V6475" t="s">
        <v>59673</v>
      </c>
      <c r="W6475" t="s">
        <v>43087</v>
      </c>
      <c r="X6475" t="s">
        <v>44910</v>
      </c>
    </row>
    <row r="6476" spans="1:24">
      <c r="A6476">
        <f>HYPERLINK("https://www.philgeps.gov.ph/GEPSNONPILOT/Tender/SplashBidNoticeAbstractUI.aspx?menuIndex=3&amp;refID=7078064&amp;Result=3","7078064")</f>
        <v>0</v>
      </c>
      <c r="B6476" t="s">
        <v>2011</v>
      </c>
      <c r="C6476" t="s">
        <v>9700</v>
      </c>
      <c r="E6476" t="s">
        <v>23968</v>
      </c>
      <c r="F6476" t="s">
        <v>31362</v>
      </c>
      <c r="G6476" t="s">
        <v>31368</v>
      </c>
      <c r="H6476" t="s">
        <v>15799</v>
      </c>
      <c r="I6476" t="s">
        <v>31388</v>
      </c>
      <c r="J6476" t="s">
        <v>33680</v>
      </c>
      <c r="K6476" t="s">
        <v>40662</v>
      </c>
      <c r="M6476" t="s">
        <v>43126</v>
      </c>
      <c r="N6476" t="s">
        <v>44905</v>
      </c>
      <c r="O6476" t="s">
        <v>44906</v>
      </c>
      <c r="P6476">
        <v>0</v>
      </c>
      <c r="Q6476">
        <v>2</v>
      </c>
      <c r="R6476" t="s">
        <v>44909</v>
      </c>
      <c r="S6476" t="s">
        <v>45060</v>
      </c>
      <c r="T6476" t="s">
        <v>46443</v>
      </c>
      <c r="U6476" t="s">
        <v>52196</v>
      </c>
      <c r="W6476" t="s">
        <v>43126</v>
      </c>
      <c r="X6476" t="s">
        <v>44910</v>
      </c>
    </row>
    <row r="6477" spans="1:24">
      <c r="A6477">
        <f>HYPERLINK("https://www.philgeps.gov.ph/GEPSNONPILOT/Tender/SplashBidNoticeAbstractUI.aspx?menuIndex=3&amp;refID=7078054&amp;Result=3","7078054")</f>
        <v>0</v>
      </c>
      <c r="B6477" t="s">
        <v>2012</v>
      </c>
      <c r="C6477" t="s">
        <v>9701</v>
      </c>
      <c r="D6477" t="s">
        <v>18117</v>
      </c>
      <c r="E6477" t="s">
        <v>23969</v>
      </c>
      <c r="F6477" t="s">
        <v>31362</v>
      </c>
      <c r="G6477" t="s">
        <v>31369</v>
      </c>
      <c r="H6477" t="s">
        <v>15799</v>
      </c>
      <c r="I6477" t="s">
        <v>31409</v>
      </c>
      <c r="J6477" t="s">
        <v>31586</v>
      </c>
      <c r="K6477" t="s">
        <v>40666</v>
      </c>
      <c r="M6477" t="s">
        <v>43127</v>
      </c>
      <c r="N6477" t="s">
        <v>44905</v>
      </c>
      <c r="O6477" t="s">
        <v>44906</v>
      </c>
      <c r="P6477">
        <v>0</v>
      </c>
      <c r="Q6477">
        <v>0</v>
      </c>
      <c r="R6477" t="s">
        <v>44909</v>
      </c>
      <c r="S6477" t="s">
        <v>45060</v>
      </c>
      <c r="T6477" t="s">
        <v>46426</v>
      </c>
      <c r="U6477" t="s">
        <v>52197</v>
      </c>
      <c r="W6477" t="s">
        <v>43127</v>
      </c>
      <c r="X6477" t="s">
        <v>44910</v>
      </c>
    </row>
    <row r="6478" spans="1:24">
      <c r="A6478">
        <f>HYPERLINK("https://www.philgeps.gov.ph/GEPSNONPILOT/Tender/SplashBidNoticeAbstractUI.aspx?menuIndex=3&amp;refID=7078052&amp;Result=3","7078052")</f>
        <v>0</v>
      </c>
      <c r="B6478" t="s">
        <v>93</v>
      </c>
      <c r="C6478" t="s">
        <v>9702</v>
      </c>
      <c r="D6478" t="s">
        <v>18108</v>
      </c>
      <c r="E6478" t="s">
        <v>23970</v>
      </c>
      <c r="F6478" t="s">
        <v>31362</v>
      </c>
      <c r="G6478" t="s">
        <v>31369</v>
      </c>
      <c r="H6478" t="s">
        <v>15799</v>
      </c>
      <c r="I6478" t="s">
        <v>31393</v>
      </c>
      <c r="J6478" t="s">
        <v>33046</v>
      </c>
      <c r="K6478" t="s">
        <v>40682</v>
      </c>
      <c r="M6478" t="s">
        <v>41030</v>
      </c>
      <c r="N6478" t="s">
        <v>44905</v>
      </c>
      <c r="O6478" t="s">
        <v>44906</v>
      </c>
      <c r="P6478">
        <v>0</v>
      </c>
      <c r="Q6478">
        <v>12</v>
      </c>
      <c r="R6478" t="s">
        <v>44909</v>
      </c>
      <c r="S6478" t="s">
        <v>45060</v>
      </c>
      <c r="T6478" t="s">
        <v>46608</v>
      </c>
      <c r="U6478" t="s">
        <v>52198</v>
      </c>
      <c r="W6478" t="s">
        <v>41030</v>
      </c>
      <c r="X6478" t="s">
        <v>44910</v>
      </c>
    </row>
    <row r="6479" spans="1:24">
      <c r="A6479">
        <f>HYPERLINK("https://www.philgeps.gov.ph/GEPSNONPILOT/Tender/SplashBidNoticeAbstractUI.aspx?menuIndex=3&amp;refID=7078055&amp;Result=3","7078055")</f>
        <v>0</v>
      </c>
      <c r="B6479" t="s">
        <v>1979</v>
      </c>
      <c r="C6479" t="s">
        <v>9703</v>
      </c>
      <c r="D6479" t="s">
        <v>18104</v>
      </c>
      <c r="E6479" t="s">
        <v>23971</v>
      </c>
      <c r="F6479" t="s">
        <v>31362</v>
      </c>
      <c r="G6479" t="s">
        <v>31370</v>
      </c>
      <c r="H6479" t="s">
        <v>15799</v>
      </c>
      <c r="I6479" t="s">
        <v>31387</v>
      </c>
      <c r="J6479" t="s">
        <v>35535</v>
      </c>
      <c r="K6479" t="s">
        <v>40666</v>
      </c>
      <c r="M6479" t="s">
        <v>43087</v>
      </c>
      <c r="N6479" t="s">
        <v>44905</v>
      </c>
      <c r="O6479" t="s">
        <v>44906</v>
      </c>
      <c r="P6479">
        <v>0</v>
      </c>
      <c r="Q6479">
        <v>0</v>
      </c>
      <c r="R6479" t="s">
        <v>44909</v>
      </c>
      <c r="S6479" t="s">
        <v>45060</v>
      </c>
      <c r="T6479" t="s">
        <v>46438</v>
      </c>
      <c r="U6479" t="s">
        <v>52023</v>
      </c>
      <c r="V6479" t="s">
        <v>59682</v>
      </c>
      <c r="W6479" t="s">
        <v>43087</v>
      </c>
      <c r="X6479" t="s">
        <v>44910</v>
      </c>
    </row>
    <row r="6480" spans="1:24">
      <c r="A6480">
        <f>HYPERLINK("https://www.philgeps.gov.ph/GEPSNONPILOT/Tender/SplashBidNoticeAbstractUI.aspx?menuIndex=3&amp;refID=7078051&amp;Result=3","7078051")</f>
        <v>0</v>
      </c>
      <c r="B6480" t="s">
        <v>954</v>
      </c>
      <c r="C6480" t="s">
        <v>9704</v>
      </c>
      <c r="D6480" t="s">
        <v>18136</v>
      </c>
      <c r="E6480" t="s">
        <v>22978</v>
      </c>
      <c r="F6480" t="s">
        <v>31362</v>
      </c>
      <c r="G6480" t="s">
        <v>31368</v>
      </c>
      <c r="H6480" t="s">
        <v>15799</v>
      </c>
      <c r="I6480" t="s">
        <v>31385</v>
      </c>
      <c r="J6480" t="s">
        <v>35536</v>
      </c>
      <c r="K6480" t="s">
        <v>40677</v>
      </c>
      <c r="M6480" t="s">
        <v>41942</v>
      </c>
      <c r="N6480" t="s">
        <v>44905</v>
      </c>
      <c r="O6480" t="s">
        <v>44906</v>
      </c>
      <c r="P6480">
        <v>0</v>
      </c>
      <c r="Q6480">
        <v>4</v>
      </c>
      <c r="R6480" t="s">
        <v>44909</v>
      </c>
      <c r="S6480" t="s">
        <v>45060</v>
      </c>
      <c r="T6480" t="s">
        <v>46497</v>
      </c>
      <c r="U6480" t="s">
        <v>48763</v>
      </c>
      <c r="W6480" t="s">
        <v>41942</v>
      </c>
      <c r="X6480" t="s">
        <v>44910</v>
      </c>
    </row>
    <row r="6481" spans="1:24">
      <c r="A6481">
        <f>HYPERLINK("https://www.philgeps.gov.ph/GEPSNONPILOT/Tender/SplashBidNoticeAbstractUI.aspx?menuIndex=3&amp;refID=7078059&amp;Result=3","7078059")</f>
        <v>0</v>
      </c>
      <c r="B6481" t="s">
        <v>2013</v>
      </c>
      <c r="C6481" t="s">
        <v>9705</v>
      </c>
      <c r="D6481" t="s">
        <v>18119</v>
      </c>
      <c r="E6481" t="s">
        <v>23972</v>
      </c>
      <c r="F6481" t="s">
        <v>31362</v>
      </c>
      <c r="G6481" t="s">
        <v>31368</v>
      </c>
      <c r="H6481" t="s">
        <v>15799</v>
      </c>
      <c r="I6481" t="s">
        <v>4283</v>
      </c>
      <c r="J6481" t="s">
        <v>35537</v>
      </c>
      <c r="K6481" t="s">
        <v>40693</v>
      </c>
      <c r="M6481" t="s">
        <v>43128</v>
      </c>
      <c r="N6481" t="s">
        <v>44905</v>
      </c>
      <c r="O6481" t="s">
        <v>44906</v>
      </c>
      <c r="P6481">
        <v>0</v>
      </c>
      <c r="Q6481">
        <v>1</v>
      </c>
      <c r="R6481" t="s">
        <v>44909</v>
      </c>
      <c r="S6481" t="s">
        <v>45060</v>
      </c>
      <c r="T6481" t="s">
        <v>46411</v>
      </c>
      <c r="U6481" t="s">
        <v>52199</v>
      </c>
      <c r="W6481" t="s">
        <v>60917</v>
      </c>
      <c r="X6481" t="s">
        <v>44910</v>
      </c>
    </row>
    <row r="6482" spans="1:24">
      <c r="A6482">
        <f>HYPERLINK("https://www.philgeps.gov.ph/GEPSNONPILOT/Tender/SplashBidNoticeAbstractUI.aspx?menuIndex=3&amp;refID=7078056&amp;Result=3","7078056")</f>
        <v>0</v>
      </c>
      <c r="B6482" t="s">
        <v>519</v>
      </c>
      <c r="C6482" t="s">
        <v>9706</v>
      </c>
      <c r="D6482" t="s">
        <v>18124</v>
      </c>
      <c r="E6482" t="s">
        <v>23973</v>
      </c>
      <c r="F6482" t="s">
        <v>31362</v>
      </c>
      <c r="G6482" t="s">
        <v>31368</v>
      </c>
      <c r="H6482" t="s">
        <v>15799</v>
      </c>
      <c r="I6482" t="s">
        <v>31397</v>
      </c>
      <c r="J6482" t="s">
        <v>32016</v>
      </c>
      <c r="K6482" t="s">
        <v>40665</v>
      </c>
      <c r="M6482" t="s">
        <v>41475</v>
      </c>
      <c r="N6482" t="s">
        <v>44905</v>
      </c>
      <c r="O6482" t="s">
        <v>44906</v>
      </c>
      <c r="P6482">
        <v>0</v>
      </c>
      <c r="Q6482">
        <v>0</v>
      </c>
      <c r="R6482" t="s">
        <v>44909</v>
      </c>
      <c r="S6482" t="s">
        <v>45060</v>
      </c>
      <c r="T6482" t="s">
        <v>46434</v>
      </c>
      <c r="U6482" t="s">
        <v>52200</v>
      </c>
      <c r="W6482" t="s">
        <v>41475</v>
      </c>
      <c r="X6482" t="s">
        <v>44910</v>
      </c>
    </row>
    <row r="6483" spans="1:24">
      <c r="A6483">
        <f>HYPERLINK("https://www.philgeps.gov.ph/GEPSNONPILOT/Tender/SplashBidNoticeAbstractUI.aspx?menuIndex=3&amp;refID=7078046&amp;Result=3","7078046")</f>
        <v>0</v>
      </c>
      <c r="B6483" t="s">
        <v>2008</v>
      </c>
      <c r="C6483" t="s">
        <v>9707</v>
      </c>
      <c r="D6483" t="s">
        <v>18110</v>
      </c>
      <c r="E6483" t="s">
        <v>23974</v>
      </c>
      <c r="F6483" t="s">
        <v>31362</v>
      </c>
      <c r="G6483" t="s">
        <v>31370</v>
      </c>
      <c r="H6483" t="s">
        <v>15799</v>
      </c>
      <c r="I6483" t="s">
        <v>31430</v>
      </c>
      <c r="J6483" t="s">
        <v>35538</v>
      </c>
      <c r="K6483" t="s">
        <v>40661</v>
      </c>
      <c r="M6483" t="s">
        <v>43122</v>
      </c>
      <c r="N6483" t="s">
        <v>44905</v>
      </c>
      <c r="O6483" t="s">
        <v>44906</v>
      </c>
      <c r="P6483">
        <v>0</v>
      </c>
      <c r="Q6483">
        <v>0</v>
      </c>
      <c r="R6483" t="s">
        <v>44909</v>
      </c>
      <c r="S6483" t="s">
        <v>45060</v>
      </c>
      <c r="T6483" t="s">
        <v>46408</v>
      </c>
      <c r="U6483" t="s">
        <v>52201</v>
      </c>
      <c r="W6483" t="s">
        <v>60916</v>
      </c>
      <c r="X6483" t="s">
        <v>44910</v>
      </c>
    </row>
    <row r="6484" spans="1:24">
      <c r="A6484">
        <f>HYPERLINK("https://www.philgeps.gov.ph/GEPSNONPILOT/Tender/SplashBidNoticeAbstractUI.aspx?menuIndex=3&amp;refID=7078044&amp;Result=3","7078044")</f>
        <v>0</v>
      </c>
      <c r="B6484" t="s">
        <v>394</v>
      </c>
      <c r="C6484" t="s">
        <v>9708</v>
      </c>
      <c r="D6484" t="s">
        <v>18107</v>
      </c>
      <c r="E6484" t="s">
        <v>23975</v>
      </c>
      <c r="F6484" t="s">
        <v>31362</v>
      </c>
      <c r="G6484" t="s">
        <v>31369</v>
      </c>
      <c r="H6484" t="s">
        <v>15799</v>
      </c>
      <c r="I6484" t="s">
        <v>31433</v>
      </c>
      <c r="J6484" t="s">
        <v>35539</v>
      </c>
      <c r="K6484" t="s">
        <v>40666</v>
      </c>
      <c r="M6484" t="s">
        <v>41342</v>
      </c>
      <c r="N6484" t="s">
        <v>44905</v>
      </c>
      <c r="O6484" t="s">
        <v>44906</v>
      </c>
      <c r="P6484">
        <v>0</v>
      </c>
      <c r="Q6484">
        <v>1</v>
      </c>
      <c r="R6484" t="s">
        <v>44909</v>
      </c>
      <c r="S6484" t="s">
        <v>45060</v>
      </c>
      <c r="T6484" t="s">
        <v>46652</v>
      </c>
      <c r="U6484" t="s">
        <v>52202</v>
      </c>
      <c r="W6484" t="s">
        <v>41342</v>
      </c>
      <c r="X6484" t="s">
        <v>44910</v>
      </c>
    </row>
    <row r="6485" spans="1:24">
      <c r="A6485">
        <f>HYPERLINK("https://www.philgeps.gov.ph/GEPSNONPILOT/Tender/SplashBidNoticeAbstractUI.aspx?menuIndex=3&amp;refID=7078042&amp;Result=3","7078042")</f>
        <v>0</v>
      </c>
      <c r="B6485" t="s">
        <v>1961</v>
      </c>
      <c r="C6485" t="s">
        <v>9709</v>
      </c>
      <c r="D6485" t="s">
        <v>18122</v>
      </c>
      <c r="E6485" t="s">
        <v>23799</v>
      </c>
      <c r="F6485" t="s">
        <v>31362</v>
      </c>
      <c r="G6485" t="s">
        <v>31368</v>
      </c>
      <c r="H6485" t="s">
        <v>15799</v>
      </c>
      <c r="I6485" t="s">
        <v>31384</v>
      </c>
      <c r="J6485" t="s">
        <v>32127</v>
      </c>
      <c r="K6485" t="s">
        <v>40666</v>
      </c>
      <c r="M6485" t="s">
        <v>43067</v>
      </c>
      <c r="N6485" t="s">
        <v>44905</v>
      </c>
      <c r="O6485" t="s">
        <v>44906</v>
      </c>
      <c r="P6485">
        <v>0</v>
      </c>
      <c r="Q6485">
        <v>4</v>
      </c>
      <c r="R6485" t="s">
        <v>44909</v>
      </c>
      <c r="S6485" t="s">
        <v>45060</v>
      </c>
      <c r="T6485" t="s">
        <v>46414</v>
      </c>
      <c r="U6485" t="s">
        <v>52203</v>
      </c>
      <c r="W6485" t="s">
        <v>43067</v>
      </c>
      <c r="X6485" t="s">
        <v>44910</v>
      </c>
    </row>
    <row r="6486" spans="1:24">
      <c r="A6486">
        <f>HYPERLINK("https://www.philgeps.gov.ph/GEPSNONPILOT/Tender/SplashBidNoticeAbstractUI.aspx?menuIndex=3&amp;refID=7078026&amp;Result=3","7078026")</f>
        <v>0</v>
      </c>
      <c r="B6486" t="s">
        <v>1800</v>
      </c>
      <c r="C6486" t="s">
        <v>9710</v>
      </c>
      <c r="D6486" t="s">
        <v>18124</v>
      </c>
      <c r="E6486" t="s">
        <v>23976</v>
      </c>
      <c r="F6486" t="s">
        <v>31362</v>
      </c>
      <c r="G6486" t="s">
        <v>31369</v>
      </c>
      <c r="H6486" t="s">
        <v>31378</v>
      </c>
      <c r="I6486" t="s">
        <v>31386</v>
      </c>
      <c r="J6486" t="s">
        <v>35540</v>
      </c>
      <c r="K6486" t="s">
        <v>40684</v>
      </c>
      <c r="M6486" t="s">
        <v>43129</v>
      </c>
      <c r="N6486" t="s">
        <v>44905</v>
      </c>
      <c r="O6486" t="s">
        <v>44906</v>
      </c>
      <c r="P6486">
        <v>0</v>
      </c>
      <c r="Q6486">
        <v>2</v>
      </c>
      <c r="R6486" t="s">
        <v>44909</v>
      </c>
      <c r="S6486" t="s">
        <v>45060</v>
      </c>
      <c r="T6486" t="s">
        <v>46419</v>
      </c>
      <c r="U6486" t="s">
        <v>52204</v>
      </c>
      <c r="W6486" t="s">
        <v>43129</v>
      </c>
      <c r="X6486" t="s">
        <v>44910</v>
      </c>
    </row>
    <row r="6487" spans="1:24">
      <c r="A6487">
        <f>HYPERLINK("https://www.philgeps.gov.ph/GEPSNONPILOT/Tender/SplashBidNoticeAbstractUI.aspx?menuIndex=3&amp;refID=7078050&amp;Result=3","7078050")</f>
        <v>0</v>
      </c>
      <c r="B6487" t="s">
        <v>2014</v>
      </c>
      <c r="C6487" t="s">
        <v>9711</v>
      </c>
      <c r="D6487" t="s">
        <v>18100</v>
      </c>
      <c r="E6487" t="s">
        <v>23977</v>
      </c>
      <c r="F6487" t="s">
        <v>31362</v>
      </c>
      <c r="G6487" t="s">
        <v>31369</v>
      </c>
      <c r="H6487" t="s">
        <v>15799</v>
      </c>
      <c r="I6487" t="s">
        <v>31396</v>
      </c>
      <c r="J6487" t="s">
        <v>31758</v>
      </c>
      <c r="K6487" t="s">
        <v>40693</v>
      </c>
      <c r="M6487" t="s">
        <v>43130</v>
      </c>
      <c r="N6487" t="s">
        <v>44905</v>
      </c>
      <c r="O6487" t="s">
        <v>44906</v>
      </c>
      <c r="P6487">
        <v>0</v>
      </c>
      <c r="Q6487">
        <v>3</v>
      </c>
      <c r="R6487" t="s">
        <v>44909</v>
      </c>
      <c r="S6487" t="s">
        <v>45060</v>
      </c>
      <c r="T6487" t="s">
        <v>46461</v>
      </c>
      <c r="U6487" t="s">
        <v>52205</v>
      </c>
      <c r="W6487" t="s">
        <v>43130</v>
      </c>
      <c r="X6487" t="s">
        <v>44910</v>
      </c>
    </row>
    <row r="6488" spans="1:24">
      <c r="A6488">
        <f>HYPERLINK("https://www.philgeps.gov.ph/GEPSNONPILOT/Tender/SplashBidNoticeAbstractUI.aspx?menuIndex=3&amp;refID=7078024&amp;Result=3","7078024")</f>
        <v>0</v>
      </c>
      <c r="B6488" t="s">
        <v>1562</v>
      </c>
      <c r="C6488" t="s">
        <v>9712</v>
      </c>
      <c r="D6488" t="s">
        <v>18140</v>
      </c>
      <c r="E6488" t="s">
        <v>23978</v>
      </c>
      <c r="F6488" t="s">
        <v>31362</v>
      </c>
      <c r="G6488" t="s">
        <v>31369</v>
      </c>
      <c r="H6488" t="s">
        <v>31378</v>
      </c>
      <c r="I6488" t="s">
        <v>31386</v>
      </c>
      <c r="J6488" t="s">
        <v>32877</v>
      </c>
      <c r="K6488" t="s">
        <v>40706</v>
      </c>
      <c r="M6488" t="s">
        <v>42614</v>
      </c>
      <c r="N6488" t="s">
        <v>44905</v>
      </c>
      <c r="O6488" t="s">
        <v>44906</v>
      </c>
      <c r="P6488">
        <v>0</v>
      </c>
      <c r="Q6488">
        <v>2</v>
      </c>
      <c r="R6488" t="s">
        <v>44909</v>
      </c>
      <c r="S6488" t="s">
        <v>45060</v>
      </c>
      <c r="T6488" t="s">
        <v>46449</v>
      </c>
      <c r="U6488" t="s">
        <v>52206</v>
      </c>
      <c r="V6488" t="s">
        <v>59683</v>
      </c>
      <c r="W6488" t="s">
        <v>42614</v>
      </c>
      <c r="X6488" t="s">
        <v>44910</v>
      </c>
    </row>
    <row r="6489" spans="1:24">
      <c r="A6489">
        <f>HYPERLINK("https://www.philgeps.gov.ph/GEPSNONPILOT/Tender/SplashBidNoticeAbstractUI.aspx?menuIndex=3&amp;refID=7078045&amp;Result=3","7078045")</f>
        <v>0</v>
      </c>
      <c r="B6489" t="s">
        <v>117</v>
      </c>
      <c r="C6489" t="s">
        <v>9713</v>
      </c>
      <c r="D6489" t="s">
        <v>18104</v>
      </c>
      <c r="E6489" t="s">
        <v>23979</v>
      </c>
      <c r="F6489" t="s">
        <v>31362</v>
      </c>
      <c r="G6489" t="s">
        <v>31370</v>
      </c>
      <c r="H6489" t="s">
        <v>15799</v>
      </c>
      <c r="I6489" t="s">
        <v>31422</v>
      </c>
      <c r="J6489" t="s">
        <v>35541</v>
      </c>
      <c r="K6489" t="s">
        <v>40662</v>
      </c>
      <c r="M6489" t="s">
        <v>41054</v>
      </c>
      <c r="N6489" t="s">
        <v>44905</v>
      </c>
      <c r="O6489" t="s">
        <v>44906</v>
      </c>
      <c r="P6489">
        <v>0</v>
      </c>
      <c r="Q6489">
        <v>2</v>
      </c>
      <c r="R6489" t="s">
        <v>44909</v>
      </c>
      <c r="S6489" t="s">
        <v>45060</v>
      </c>
      <c r="T6489" t="s">
        <v>46467</v>
      </c>
      <c r="U6489" t="s">
        <v>52207</v>
      </c>
      <c r="W6489" t="s">
        <v>41054</v>
      </c>
      <c r="X6489" t="s">
        <v>44910</v>
      </c>
    </row>
    <row r="6490" spans="1:24">
      <c r="A6490">
        <f>HYPERLINK("https://www.philgeps.gov.ph/GEPSNONPILOT/Tender/SplashBidNoticeAbstractUI.aspx?menuIndex=3&amp;refID=7078112&amp;Result=3","7078112")</f>
        <v>0</v>
      </c>
      <c r="B6490" t="s">
        <v>686</v>
      </c>
      <c r="C6490" t="s">
        <v>9714</v>
      </c>
      <c r="D6490" t="s">
        <v>18131</v>
      </c>
      <c r="E6490" t="s">
        <v>23980</v>
      </c>
      <c r="F6490" t="s">
        <v>31362</v>
      </c>
      <c r="G6490" t="s">
        <v>31368</v>
      </c>
      <c r="H6490" t="s">
        <v>15799</v>
      </c>
      <c r="I6490" t="s">
        <v>31420</v>
      </c>
      <c r="J6490" t="s">
        <v>33467</v>
      </c>
      <c r="K6490" t="s">
        <v>40718</v>
      </c>
      <c r="M6490" t="s">
        <v>41648</v>
      </c>
      <c r="N6490" t="s">
        <v>44905</v>
      </c>
      <c r="O6490" t="s">
        <v>44906</v>
      </c>
      <c r="P6490">
        <v>0</v>
      </c>
      <c r="Q6490">
        <v>4</v>
      </c>
      <c r="R6490" t="s">
        <v>44909</v>
      </c>
      <c r="S6490" t="s">
        <v>45060</v>
      </c>
      <c r="T6490" t="s">
        <v>46483</v>
      </c>
      <c r="U6490" t="s">
        <v>52208</v>
      </c>
      <c r="W6490" t="s">
        <v>41648</v>
      </c>
      <c r="X6490" t="s">
        <v>44910</v>
      </c>
    </row>
    <row r="6491" spans="1:24">
      <c r="A6491">
        <f>HYPERLINK("https://www.philgeps.gov.ph/GEPSNONPILOT/Tender/SplashBidNoticeAbstractUI.aspx?menuIndex=3&amp;refID=7078043&amp;Result=3","7078043")</f>
        <v>0</v>
      </c>
      <c r="B6491" t="s">
        <v>2015</v>
      </c>
      <c r="C6491" t="s">
        <v>9715</v>
      </c>
      <c r="D6491" t="s">
        <v>18126</v>
      </c>
      <c r="E6491" t="s">
        <v>23981</v>
      </c>
      <c r="F6491" t="s">
        <v>31362</v>
      </c>
      <c r="G6491" t="s">
        <v>31369</v>
      </c>
      <c r="H6491" t="s">
        <v>31378</v>
      </c>
      <c r="I6491" t="s">
        <v>31386</v>
      </c>
      <c r="J6491" t="s">
        <v>31625</v>
      </c>
      <c r="K6491" t="s">
        <v>40677</v>
      </c>
      <c r="M6491" t="s">
        <v>43131</v>
      </c>
      <c r="N6491" t="s">
        <v>44905</v>
      </c>
      <c r="O6491" t="s">
        <v>44906</v>
      </c>
      <c r="P6491">
        <v>0</v>
      </c>
      <c r="Q6491">
        <v>0</v>
      </c>
      <c r="R6491" t="s">
        <v>44909</v>
      </c>
      <c r="S6491" t="s">
        <v>45060</v>
      </c>
      <c r="T6491" t="s">
        <v>46426</v>
      </c>
      <c r="U6491" t="s">
        <v>52209</v>
      </c>
      <c r="V6491" t="s">
        <v>59684</v>
      </c>
      <c r="W6491" t="s">
        <v>43131</v>
      </c>
      <c r="X6491" t="s">
        <v>44910</v>
      </c>
    </row>
    <row r="6492" spans="1:24">
      <c r="A6492">
        <f>HYPERLINK("https://www.philgeps.gov.ph/GEPSNONPILOT/Tender/SplashBidNoticeAbstractUI.aspx?menuIndex=3&amp;refID=7078062&amp;Result=3","7078062")</f>
        <v>0</v>
      </c>
      <c r="B6492" t="s">
        <v>1977</v>
      </c>
      <c r="C6492" t="s">
        <v>9716</v>
      </c>
      <c r="D6492" t="s">
        <v>18107</v>
      </c>
      <c r="E6492" t="s">
        <v>23982</v>
      </c>
      <c r="F6492" t="s">
        <v>31362</v>
      </c>
      <c r="G6492" t="s">
        <v>31369</v>
      </c>
      <c r="H6492" t="s">
        <v>31378</v>
      </c>
      <c r="I6492" t="s">
        <v>31386</v>
      </c>
      <c r="J6492" t="s">
        <v>35542</v>
      </c>
      <c r="K6492" t="s">
        <v>40815</v>
      </c>
      <c r="M6492" t="s">
        <v>43085</v>
      </c>
      <c r="N6492" t="s">
        <v>44905</v>
      </c>
      <c r="O6492" t="s">
        <v>44906</v>
      </c>
      <c r="P6492">
        <v>0</v>
      </c>
      <c r="Q6492">
        <v>0</v>
      </c>
      <c r="R6492" t="s">
        <v>44909</v>
      </c>
      <c r="S6492" t="s">
        <v>45060</v>
      </c>
      <c r="T6492" t="s">
        <v>46724</v>
      </c>
      <c r="U6492" t="s">
        <v>52210</v>
      </c>
      <c r="W6492" t="s">
        <v>43085</v>
      </c>
      <c r="X6492" t="s">
        <v>44910</v>
      </c>
    </row>
    <row r="6493" spans="1:24">
      <c r="A6493">
        <f>HYPERLINK("https://www.philgeps.gov.ph/GEPSNONPILOT/Tender/SplashBidNoticeAbstractUI.aspx?menuIndex=3&amp;refID=7078111&amp;Result=3","7078111")</f>
        <v>0</v>
      </c>
      <c r="B6493" t="s">
        <v>1037</v>
      </c>
      <c r="C6493" t="s">
        <v>9717</v>
      </c>
      <c r="D6493" t="s">
        <v>18146</v>
      </c>
      <c r="E6493" t="s">
        <v>23983</v>
      </c>
      <c r="F6493" t="s">
        <v>31362</v>
      </c>
      <c r="G6493" t="s">
        <v>31369</v>
      </c>
      <c r="H6493" t="s">
        <v>15799</v>
      </c>
      <c r="I6493" t="s">
        <v>31396</v>
      </c>
      <c r="J6493" t="s">
        <v>35543</v>
      </c>
      <c r="K6493" t="s">
        <v>40682</v>
      </c>
      <c r="M6493" t="s">
        <v>42036</v>
      </c>
      <c r="N6493" t="s">
        <v>44905</v>
      </c>
      <c r="O6493" t="s">
        <v>44906</v>
      </c>
      <c r="P6493">
        <v>0</v>
      </c>
      <c r="Q6493">
        <v>3</v>
      </c>
      <c r="R6493" t="s">
        <v>44909</v>
      </c>
      <c r="S6493" t="s">
        <v>45060</v>
      </c>
      <c r="T6493" t="s">
        <v>46622</v>
      </c>
      <c r="U6493" t="s">
        <v>52211</v>
      </c>
      <c r="V6493" t="s">
        <v>59231</v>
      </c>
      <c r="W6493" t="s">
        <v>42036</v>
      </c>
      <c r="X6493" t="s">
        <v>44910</v>
      </c>
    </row>
    <row r="6494" spans="1:24">
      <c r="A6494">
        <f>HYPERLINK("https://www.philgeps.gov.ph/GEPSNONPILOT/Tender/SplashBidNoticeAbstractUI.aspx?menuIndex=3&amp;refID=7078107&amp;Result=3","7078107")</f>
        <v>0</v>
      </c>
      <c r="B6494" t="s">
        <v>1562</v>
      </c>
      <c r="C6494" t="s">
        <v>9718</v>
      </c>
      <c r="D6494" t="s">
        <v>18140</v>
      </c>
      <c r="E6494" t="s">
        <v>23984</v>
      </c>
      <c r="F6494" t="s">
        <v>31362</v>
      </c>
      <c r="G6494" t="s">
        <v>31369</v>
      </c>
      <c r="H6494" t="s">
        <v>31378</v>
      </c>
      <c r="I6494" t="s">
        <v>31386</v>
      </c>
      <c r="J6494" t="s">
        <v>35544</v>
      </c>
      <c r="K6494" t="s">
        <v>40764</v>
      </c>
      <c r="M6494" t="s">
        <v>42614</v>
      </c>
      <c r="N6494" t="s">
        <v>44905</v>
      </c>
      <c r="O6494" t="s">
        <v>44906</v>
      </c>
      <c r="P6494">
        <v>0</v>
      </c>
      <c r="Q6494">
        <v>1</v>
      </c>
      <c r="R6494" t="s">
        <v>44909</v>
      </c>
      <c r="S6494" t="s">
        <v>45060</v>
      </c>
      <c r="T6494" t="s">
        <v>46449</v>
      </c>
      <c r="U6494" t="s">
        <v>52212</v>
      </c>
      <c r="V6494" t="s">
        <v>59685</v>
      </c>
      <c r="W6494" t="s">
        <v>42614</v>
      </c>
      <c r="X6494" t="s">
        <v>44910</v>
      </c>
    </row>
    <row r="6495" spans="1:24">
      <c r="A6495">
        <f>HYPERLINK("https://www.philgeps.gov.ph/GEPSNONPILOT/Tender/SplashBidNoticeAbstractUI.aspx?menuIndex=3&amp;refID=7078100&amp;Result=3","7078100")</f>
        <v>0</v>
      </c>
      <c r="B6495" t="s">
        <v>263</v>
      </c>
      <c r="C6495" t="s">
        <v>9719</v>
      </c>
      <c r="D6495" t="s">
        <v>18109</v>
      </c>
      <c r="E6495" t="s">
        <v>23985</v>
      </c>
      <c r="F6495" t="s">
        <v>31362</v>
      </c>
      <c r="G6495" t="s">
        <v>31370</v>
      </c>
      <c r="H6495" t="s">
        <v>15799</v>
      </c>
      <c r="I6495" t="s">
        <v>31427</v>
      </c>
      <c r="J6495" t="s">
        <v>31541</v>
      </c>
      <c r="K6495" t="s">
        <v>40666</v>
      </c>
      <c r="M6495" t="s">
        <v>41204</v>
      </c>
      <c r="N6495" t="s">
        <v>44905</v>
      </c>
      <c r="O6495" t="s">
        <v>44906</v>
      </c>
      <c r="P6495">
        <v>0</v>
      </c>
      <c r="Q6495">
        <v>0</v>
      </c>
      <c r="R6495" t="s">
        <v>44909</v>
      </c>
      <c r="S6495" t="s">
        <v>45060</v>
      </c>
      <c r="T6495" t="s">
        <v>46411</v>
      </c>
      <c r="U6495" t="s">
        <v>52213</v>
      </c>
      <c r="W6495" t="s">
        <v>41204</v>
      </c>
      <c r="X6495" t="s">
        <v>44910</v>
      </c>
    </row>
    <row r="6496" spans="1:24">
      <c r="A6496">
        <f>HYPERLINK("https://www.philgeps.gov.ph/GEPSNONPILOT/Tender/SplashBidNoticeAbstractUI.aspx?menuIndex=3&amp;refID=7078073&amp;Result=3","7078073")</f>
        <v>0</v>
      </c>
      <c r="B6496" t="s">
        <v>62</v>
      </c>
      <c r="C6496" t="s">
        <v>9720</v>
      </c>
      <c r="D6496" t="s">
        <v>18125</v>
      </c>
      <c r="E6496" t="s">
        <v>23986</v>
      </c>
      <c r="F6496" t="s">
        <v>31362</v>
      </c>
      <c r="G6496" t="s">
        <v>31370</v>
      </c>
      <c r="H6496" t="s">
        <v>15799</v>
      </c>
      <c r="I6496" t="s">
        <v>31400</v>
      </c>
      <c r="J6496" t="s">
        <v>34694</v>
      </c>
      <c r="K6496" t="s">
        <v>40670</v>
      </c>
      <c r="M6496" t="s">
        <v>40998</v>
      </c>
      <c r="N6496" t="s">
        <v>44905</v>
      </c>
      <c r="O6496" t="s">
        <v>44906</v>
      </c>
      <c r="P6496">
        <v>0</v>
      </c>
      <c r="Q6496">
        <v>1</v>
      </c>
      <c r="R6496" t="s">
        <v>44909</v>
      </c>
      <c r="S6496" t="s">
        <v>45060</v>
      </c>
      <c r="T6496" t="s">
        <v>46409</v>
      </c>
      <c r="U6496" t="s">
        <v>52214</v>
      </c>
      <c r="V6496" t="s">
        <v>59686</v>
      </c>
      <c r="W6496" t="s">
        <v>40998</v>
      </c>
      <c r="X6496" t="s">
        <v>44910</v>
      </c>
    </row>
    <row r="6497" spans="1:24">
      <c r="A6497">
        <f>HYPERLINK("https://www.philgeps.gov.ph/GEPSNONPILOT/Tender/SplashBidNoticeAbstractUI.aspx?menuIndex=3&amp;refID=7078099&amp;Result=3","7078099")</f>
        <v>0</v>
      </c>
      <c r="B6497" t="s">
        <v>1312</v>
      </c>
      <c r="C6497" t="s">
        <v>9721</v>
      </c>
      <c r="D6497" t="s">
        <v>18174</v>
      </c>
      <c r="E6497" t="s">
        <v>23987</v>
      </c>
      <c r="F6497" t="s">
        <v>31362</v>
      </c>
      <c r="G6497" t="s">
        <v>31369</v>
      </c>
      <c r="H6497" t="s">
        <v>31378</v>
      </c>
      <c r="I6497" t="s">
        <v>31386</v>
      </c>
      <c r="J6497" t="s">
        <v>35545</v>
      </c>
      <c r="K6497" t="s">
        <v>40675</v>
      </c>
      <c r="M6497" t="s">
        <v>42330</v>
      </c>
      <c r="N6497" t="s">
        <v>44905</v>
      </c>
      <c r="O6497" t="s">
        <v>44906</v>
      </c>
      <c r="P6497">
        <v>0</v>
      </c>
      <c r="Q6497">
        <v>0</v>
      </c>
      <c r="R6497" t="s">
        <v>44909</v>
      </c>
      <c r="S6497" t="s">
        <v>45060</v>
      </c>
      <c r="T6497" t="s">
        <v>46671</v>
      </c>
      <c r="U6497" t="s">
        <v>52215</v>
      </c>
      <c r="V6497" t="s">
        <v>59687</v>
      </c>
      <c r="W6497" t="s">
        <v>42330</v>
      </c>
      <c r="X6497" t="s">
        <v>44910</v>
      </c>
    </row>
    <row r="6498" spans="1:24">
      <c r="A6498">
        <f>HYPERLINK("https://www.philgeps.gov.ph/GEPSNONPILOT/Tender/SplashBidNoticeAbstractUI.aspx?menuIndex=3&amp;refID=7078097&amp;Result=3","7078097")</f>
        <v>0</v>
      </c>
      <c r="B6498" t="s">
        <v>2008</v>
      </c>
      <c r="C6498" t="s">
        <v>9722</v>
      </c>
      <c r="D6498" t="s">
        <v>18110</v>
      </c>
      <c r="E6498" t="s">
        <v>23988</v>
      </c>
      <c r="F6498" t="s">
        <v>31362</v>
      </c>
      <c r="G6498" t="s">
        <v>31370</v>
      </c>
      <c r="H6498" t="s">
        <v>15799</v>
      </c>
      <c r="I6498" t="s">
        <v>4942</v>
      </c>
      <c r="J6498" t="s">
        <v>35546</v>
      </c>
      <c r="K6498" t="s">
        <v>40661</v>
      </c>
      <c r="M6498" t="s">
        <v>43122</v>
      </c>
      <c r="N6498" t="s">
        <v>44905</v>
      </c>
      <c r="O6498" t="s">
        <v>44906</v>
      </c>
      <c r="P6498">
        <v>0</v>
      </c>
      <c r="Q6498">
        <v>0</v>
      </c>
      <c r="R6498" t="s">
        <v>44909</v>
      </c>
      <c r="S6498" t="s">
        <v>45060</v>
      </c>
      <c r="T6498" t="s">
        <v>46408</v>
      </c>
      <c r="U6498" t="s">
        <v>52216</v>
      </c>
      <c r="W6498" t="s">
        <v>60916</v>
      </c>
      <c r="X6498" t="s">
        <v>44910</v>
      </c>
    </row>
    <row r="6499" spans="1:24">
      <c r="A6499">
        <f>HYPERLINK("https://www.philgeps.gov.ph/GEPSNONPILOT/Tender/SplashBidNoticeAbstractUI.aspx?menuIndex=3&amp;refID=7078106&amp;Result=3","7078106")</f>
        <v>0</v>
      </c>
      <c r="B6499" t="s">
        <v>2016</v>
      </c>
      <c r="C6499" t="s">
        <v>9723</v>
      </c>
      <c r="D6499" t="s">
        <v>18133</v>
      </c>
      <c r="E6499" t="s">
        <v>23989</v>
      </c>
      <c r="F6499" t="s">
        <v>31362</v>
      </c>
      <c r="G6499" t="s">
        <v>31368</v>
      </c>
      <c r="H6499" t="s">
        <v>31377</v>
      </c>
      <c r="I6499" t="s">
        <v>31377</v>
      </c>
      <c r="J6499" t="s">
        <v>35531</v>
      </c>
      <c r="K6499" t="s">
        <v>40672</v>
      </c>
      <c r="M6499" t="s">
        <v>43132</v>
      </c>
      <c r="N6499" t="s">
        <v>44905</v>
      </c>
      <c r="O6499" t="s">
        <v>44906</v>
      </c>
      <c r="P6499">
        <v>0</v>
      </c>
      <c r="Q6499">
        <v>0</v>
      </c>
      <c r="R6499" t="s">
        <v>44909</v>
      </c>
      <c r="S6499" t="s">
        <v>45060</v>
      </c>
      <c r="T6499" t="s">
        <v>46409</v>
      </c>
      <c r="U6499" t="s">
        <v>52217</v>
      </c>
      <c r="W6499" t="s">
        <v>60918</v>
      </c>
      <c r="X6499" t="s">
        <v>44910</v>
      </c>
    </row>
    <row r="6500" spans="1:24">
      <c r="A6500">
        <f>HYPERLINK("https://www.philgeps.gov.ph/GEPSNONPILOT/Tender/SplashBidNoticeAbstractUI.aspx?menuIndex=3&amp;refID=7078095&amp;Result=3","7078095")</f>
        <v>0</v>
      </c>
      <c r="B6500" t="s">
        <v>1800</v>
      </c>
      <c r="C6500" t="s">
        <v>9724</v>
      </c>
      <c r="D6500" t="s">
        <v>18124</v>
      </c>
      <c r="E6500" t="s">
        <v>23990</v>
      </c>
      <c r="F6500" t="s">
        <v>31362</v>
      </c>
      <c r="G6500" t="s">
        <v>31369</v>
      </c>
      <c r="H6500" t="s">
        <v>31378</v>
      </c>
      <c r="I6500" t="s">
        <v>31386</v>
      </c>
      <c r="J6500" t="s">
        <v>31709</v>
      </c>
      <c r="K6500" t="s">
        <v>40686</v>
      </c>
      <c r="M6500" t="s">
        <v>43129</v>
      </c>
      <c r="N6500" t="s">
        <v>44905</v>
      </c>
      <c r="O6500" t="s">
        <v>44906</v>
      </c>
      <c r="P6500">
        <v>0</v>
      </c>
      <c r="Q6500">
        <v>2</v>
      </c>
      <c r="R6500" t="s">
        <v>44909</v>
      </c>
      <c r="S6500" t="s">
        <v>45060</v>
      </c>
      <c r="T6500" t="s">
        <v>46419</v>
      </c>
      <c r="U6500" t="s">
        <v>52204</v>
      </c>
      <c r="W6500" t="s">
        <v>43129</v>
      </c>
      <c r="X6500" t="s">
        <v>44910</v>
      </c>
    </row>
    <row r="6501" spans="1:24">
      <c r="A6501">
        <f>HYPERLINK("https://www.philgeps.gov.ph/GEPSNONPILOT/Tender/SplashBidNoticeAbstractUI.aspx?menuIndex=3&amp;refID=7078048&amp;Result=3","7078048")</f>
        <v>0</v>
      </c>
      <c r="B6501" t="s">
        <v>828</v>
      </c>
      <c r="C6501" t="s">
        <v>9725</v>
      </c>
      <c r="D6501" t="s">
        <v>18148</v>
      </c>
      <c r="E6501" t="s">
        <v>23991</v>
      </c>
      <c r="F6501" t="s">
        <v>31362</v>
      </c>
      <c r="G6501" t="s">
        <v>31369</v>
      </c>
      <c r="H6501" t="s">
        <v>31378</v>
      </c>
      <c r="I6501" t="s">
        <v>31386</v>
      </c>
      <c r="J6501" t="s">
        <v>31530</v>
      </c>
      <c r="K6501" t="s">
        <v>40662</v>
      </c>
      <c r="M6501" t="s">
        <v>41802</v>
      </c>
      <c r="N6501" t="s">
        <v>44905</v>
      </c>
      <c r="O6501" t="s">
        <v>44906</v>
      </c>
      <c r="P6501">
        <v>0</v>
      </c>
      <c r="Q6501">
        <v>0</v>
      </c>
      <c r="R6501" t="s">
        <v>44909</v>
      </c>
      <c r="S6501" t="s">
        <v>45060</v>
      </c>
      <c r="T6501" t="s">
        <v>46391</v>
      </c>
      <c r="U6501" t="s">
        <v>51844</v>
      </c>
      <c r="W6501" t="s">
        <v>41802</v>
      </c>
      <c r="X6501" t="s">
        <v>44910</v>
      </c>
    </row>
    <row r="6502" spans="1:24">
      <c r="A6502">
        <f>HYPERLINK("https://www.philgeps.gov.ph/GEPSNONPILOT/Tender/SplashBidNoticeAbstractUI.aspx?menuIndex=3&amp;refID=7078108&amp;Result=3","7078108")</f>
        <v>0</v>
      </c>
      <c r="B6502" t="s">
        <v>1662</v>
      </c>
      <c r="C6502" t="s">
        <v>9726</v>
      </c>
      <c r="D6502" t="s">
        <v>18175</v>
      </c>
      <c r="E6502" t="s">
        <v>23992</v>
      </c>
      <c r="F6502" t="s">
        <v>31362</v>
      </c>
      <c r="G6502" t="s">
        <v>31373</v>
      </c>
      <c r="H6502" t="s">
        <v>31378</v>
      </c>
      <c r="I6502" t="s">
        <v>31386</v>
      </c>
      <c r="J6502" t="s">
        <v>35439</v>
      </c>
      <c r="K6502" t="s">
        <v>40694</v>
      </c>
      <c r="M6502" t="s">
        <v>42727</v>
      </c>
      <c r="N6502" t="s">
        <v>44905</v>
      </c>
      <c r="O6502" t="s">
        <v>44906</v>
      </c>
      <c r="P6502">
        <v>0</v>
      </c>
      <c r="Q6502">
        <v>1</v>
      </c>
      <c r="R6502" t="s">
        <v>44909</v>
      </c>
      <c r="S6502" t="s">
        <v>45060</v>
      </c>
      <c r="T6502" t="s">
        <v>46433</v>
      </c>
      <c r="U6502" t="s">
        <v>52218</v>
      </c>
      <c r="W6502" t="s">
        <v>42727</v>
      </c>
      <c r="X6502" t="s">
        <v>44910</v>
      </c>
    </row>
    <row r="6503" spans="1:24">
      <c r="A6503">
        <f>HYPERLINK("https://www.philgeps.gov.ph/GEPSNONPILOT/Tender/SplashBidNoticeAbstractUI.aspx?menuIndex=3&amp;refID=7078092&amp;Result=3","7078092")</f>
        <v>0</v>
      </c>
      <c r="B6503" t="s">
        <v>828</v>
      </c>
      <c r="C6503" t="s">
        <v>9727</v>
      </c>
      <c r="D6503" t="s">
        <v>18148</v>
      </c>
      <c r="E6503" t="s">
        <v>23993</v>
      </c>
      <c r="F6503" t="s">
        <v>31362</v>
      </c>
      <c r="G6503" t="s">
        <v>31369</v>
      </c>
      <c r="H6503" t="s">
        <v>31378</v>
      </c>
      <c r="I6503" t="s">
        <v>31386</v>
      </c>
      <c r="J6503" t="s">
        <v>31530</v>
      </c>
      <c r="K6503" t="s">
        <v>40662</v>
      </c>
      <c r="M6503" t="s">
        <v>41802</v>
      </c>
      <c r="N6503" t="s">
        <v>44905</v>
      </c>
      <c r="O6503" t="s">
        <v>44906</v>
      </c>
      <c r="P6503">
        <v>0</v>
      </c>
      <c r="Q6503">
        <v>0</v>
      </c>
      <c r="R6503" t="s">
        <v>44909</v>
      </c>
      <c r="S6503" t="s">
        <v>45060</v>
      </c>
      <c r="T6503" t="s">
        <v>46725</v>
      </c>
      <c r="U6503" t="s">
        <v>52219</v>
      </c>
      <c r="W6503" t="s">
        <v>41802</v>
      </c>
      <c r="X6503" t="s">
        <v>44910</v>
      </c>
    </row>
    <row r="6504" spans="1:24">
      <c r="A6504">
        <f>HYPERLINK("https://www.philgeps.gov.ph/GEPSNONPILOT/Tender/SplashBidNoticeAbstractUI.aspx?menuIndex=3&amp;refID=7078086&amp;Result=3","7078086")</f>
        <v>0</v>
      </c>
      <c r="B6504" t="s">
        <v>2017</v>
      </c>
      <c r="C6504" t="s">
        <v>9728</v>
      </c>
      <c r="D6504" t="s">
        <v>18163</v>
      </c>
      <c r="E6504" t="s">
        <v>10823</v>
      </c>
      <c r="F6504" t="s">
        <v>31362</v>
      </c>
      <c r="G6504" t="s">
        <v>31369</v>
      </c>
      <c r="H6504" t="s">
        <v>31378</v>
      </c>
      <c r="I6504" t="s">
        <v>31386</v>
      </c>
      <c r="J6504" t="s">
        <v>35547</v>
      </c>
      <c r="K6504" t="s">
        <v>40709</v>
      </c>
      <c r="M6504" t="s">
        <v>43133</v>
      </c>
      <c r="N6504" t="s">
        <v>44905</v>
      </c>
      <c r="O6504" t="s">
        <v>44906</v>
      </c>
      <c r="P6504">
        <v>0</v>
      </c>
      <c r="Q6504">
        <v>0</v>
      </c>
      <c r="R6504" t="s">
        <v>44909</v>
      </c>
      <c r="S6504" t="s">
        <v>45060</v>
      </c>
      <c r="T6504" t="s">
        <v>46463</v>
      </c>
      <c r="U6504" t="s">
        <v>52220</v>
      </c>
      <c r="W6504" t="s">
        <v>43133</v>
      </c>
      <c r="X6504" t="s">
        <v>44910</v>
      </c>
    </row>
    <row r="6505" spans="1:24">
      <c r="A6505">
        <f>HYPERLINK("https://www.philgeps.gov.ph/GEPSNONPILOT/Tender/SplashBidNoticeAbstractUI.aspx?menuIndex=3&amp;refID=7078082&amp;Result=3","7078082")</f>
        <v>0</v>
      </c>
      <c r="B6505" t="s">
        <v>2018</v>
      </c>
      <c r="C6505" t="s">
        <v>9729</v>
      </c>
      <c r="D6505" t="s">
        <v>18123</v>
      </c>
      <c r="E6505" t="s">
        <v>18479</v>
      </c>
      <c r="F6505" t="s">
        <v>31362</v>
      </c>
      <c r="G6505" t="s">
        <v>31369</v>
      </c>
      <c r="H6505" t="s">
        <v>31378</v>
      </c>
      <c r="I6505" t="s">
        <v>31386</v>
      </c>
      <c r="J6505" t="s">
        <v>31591</v>
      </c>
      <c r="K6505" t="s">
        <v>40686</v>
      </c>
      <c r="M6505" t="s">
        <v>43134</v>
      </c>
      <c r="N6505" t="s">
        <v>44905</v>
      </c>
      <c r="O6505" t="s">
        <v>44906</v>
      </c>
      <c r="P6505">
        <v>0</v>
      </c>
      <c r="Q6505">
        <v>0</v>
      </c>
      <c r="R6505" t="s">
        <v>44909</v>
      </c>
      <c r="S6505" t="s">
        <v>45060</v>
      </c>
      <c r="T6505" t="s">
        <v>46726</v>
      </c>
      <c r="U6505" t="s">
        <v>52221</v>
      </c>
      <c r="W6505" t="s">
        <v>43134</v>
      </c>
      <c r="X6505" t="s">
        <v>44910</v>
      </c>
    </row>
    <row r="6506" spans="1:24">
      <c r="A6506">
        <f>HYPERLINK("https://www.philgeps.gov.ph/GEPSNONPILOT/Tender/SplashBidNoticeAbstractUI.aspx?menuIndex=3&amp;refID=7078080&amp;Result=3","7078080")</f>
        <v>0</v>
      </c>
      <c r="B6506" t="s">
        <v>2008</v>
      </c>
      <c r="C6506" t="s">
        <v>9730</v>
      </c>
      <c r="D6506" t="s">
        <v>18110</v>
      </c>
      <c r="E6506" t="s">
        <v>23994</v>
      </c>
      <c r="F6506" t="s">
        <v>31362</v>
      </c>
      <c r="G6506" t="s">
        <v>31371</v>
      </c>
      <c r="H6506" t="s">
        <v>15799</v>
      </c>
      <c r="I6506" t="s">
        <v>31430</v>
      </c>
      <c r="J6506" t="s">
        <v>35548</v>
      </c>
      <c r="K6506" t="s">
        <v>40661</v>
      </c>
      <c r="M6506" t="s">
        <v>43122</v>
      </c>
      <c r="N6506" t="s">
        <v>44905</v>
      </c>
      <c r="O6506" t="s">
        <v>44906</v>
      </c>
      <c r="P6506">
        <v>0</v>
      </c>
      <c r="Q6506">
        <v>0</v>
      </c>
      <c r="R6506" t="s">
        <v>44909</v>
      </c>
      <c r="S6506" t="s">
        <v>45060</v>
      </c>
      <c r="T6506" t="s">
        <v>46408</v>
      </c>
      <c r="U6506" t="s">
        <v>52201</v>
      </c>
      <c r="W6506" t="s">
        <v>60916</v>
      </c>
      <c r="X6506" t="s">
        <v>44910</v>
      </c>
    </row>
    <row r="6507" spans="1:24">
      <c r="A6507">
        <f>HYPERLINK("https://www.philgeps.gov.ph/GEPSNONPILOT/Tender/SplashBidNoticeAbstractUI.aspx?menuIndex=3&amp;refID=7078078&amp;Result=3","7078078")</f>
        <v>0</v>
      </c>
      <c r="B6507" t="s">
        <v>1414</v>
      </c>
      <c r="C6507" t="s">
        <v>9731</v>
      </c>
      <c r="D6507" t="s">
        <v>18106</v>
      </c>
      <c r="E6507" t="s">
        <v>23995</v>
      </c>
      <c r="F6507" t="s">
        <v>31362</v>
      </c>
      <c r="G6507" t="s">
        <v>31368</v>
      </c>
      <c r="H6507" t="s">
        <v>15799</v>
      </c>
      <c r="I6507" t="s">
        <v>7719</v>
      </c>
      <c r="J6507" t="s">
        <v>31849</v>
      </c>
      <c r="K6507" t="s">
        <v>40666</v>
      </c>
      <c r="M6507" t="s">
        <v>42439</v>
      </c>
      <c r="N6507" t="s">
        <v>44905</v>
      </c>
      <c r="O6507" t="s">
        <v>44906</v>
      </c>
      <c r="P6507">
        <v>0</v>
      </c>
      <c r="Q6507">
        <v>15</v>
      </c>
      <c r="R6507" t="s">
        <v>44909</v>
      </c>
      <c r="S6507" t="s">
        <v>45060</v>
      </c>
      <c r="T6507" t="s">
        <v>46454</v>
      </c>
      <c r="U6507" t="s">
        <v>52222</v>
      </c>
      <c r="W6507" t="s">
        <v>42439</v>
      </c>
      <c r="X6507" t="s">
        <v>44910</v>
      </c>
    </row>
    <row r="6508" spans="1:24">
      <c r="A6508">
        <f>HYPERLINK("https://www.philgeps.gov.ph/GEPSNONPILOT/Tender/SplashBidNoticeAbstractUI.aspx?menuIndex=3&amp;refID=7078098&amp;Result=3","7078098")</f>
        <v>0</v>
      </c>
      <c r="B6508" t="s">
        <v>1957</v>
      </c>
      <c r="C6508" t="s">
        <v>9732</v>
      </c>
      <c r="D6508" t="s">
        <v>18117</v>
      </c>
      <c r="E6508" t="s">
        <v>23996</v>
      </c>
      <c r="F6508" t="s">
        <v>31362</v>
      </c>
      <c r="G6508" t="s">
        <v>31369</v>
      </c>
      <c r="H6508" t="s">
        <v>31378</v>
      </c>
      <c r="I6508" t="s">
        <v>31386</v>
      </c>
      <c r="J6508" t="s">
        <v>31696</v>
      </c>
      <c r="K6508" t="s">
        <v>40678</v>
      </c>
      <c r="M6508" t="s">
        <v>43063</v>
      </c>
      <c r="N6508" t="s">
        <v>44905</v>
      </c>
      <c r="O6508" t="s">
        <v>44906</v>
      </c>
      <c r="P6508">
        <v>0</v>
      </c>
      <c r="Q6508">
        <v>3</v>
      </c>
      <c r="R6508" t="s">
        <v>44909</v>
      </c>
      <c r="S6508" t="s">
        <v>45060</v>
      </c>
      <c r="T6508" t="s">
        <v>46511</v>
      </c>
      <c r="U6508" t="s">
        <v>52223</v>
      </c>
      <c r="V6508" t="s">
        <v>59688</v>
      </c>
      <c r="W6508" t="s">
        <v>43063</v>
      </c>
      <c r="X6508" t="s">
        <v>44910</v>
      </c>
    </row>
    <row r="6509" spans="1:24">
      <c r="A6509">
        <f>HYPERLINK("https://www.philgeps.gov.ph/GEPSNONPILOT/Tender/SplashBidNoticeAbstractUI.aspx?menuIndex=3&amp;refID=7078076&amp;Result=3","7078076")</f>
        <v>0</v>
      </c>
      <c r="B6509" t="s">
        <v>65</v>
      </c>
      <c r="C6509" t="s">
        <v>9733</v>
      </c>
      <c r="D6509" t="s">
        <v>18127</v>
      </c>
      <c r="E6509" t="s">
        <v>23997</v>
      </c>
      <c r="F6509" t="s">
        <v>31362</v>
      </c>
      <c r="G6509" t="s">
        <v>31368</v>
      </c>
      <c r="H6509" t="s">
        <v>31378</v>
      </c>
      <c r="I6509" t="s">
        <v>31386</v>
      </c>
      <c r="J6509" t="s">
        <v>35549</v>
      </c>
      <c r="K6509" t="s">
        <v>40675</v>
      </c>
      <c r="M6509" t="s">
        <v>41001</v>
      </c>
      <c r="N6509" t="s">
        <v>44905</v>
      </c>
      <c r="O6509" t="s">
        <v>44906</v>
      </c>
      <c r="P6509">
        <v>0</v>
      </c>
      <c r="Q6509">
        <v>1</v>
      </c>
      <c r="R6509" t="s">
        <v>44909</v>
      </c>
      <c r="S6509" t="s">
        <v>45060</v>
      </c>
      <c r="T6509" t="s">
        <v>46509</v>
      </c>
      <c r="U6509" t="s">
        <v>52224</v>
      </c>
      <c r="W6509" t="s">
        <v>41001</v>
      </c>
      <c r="X6509" t="s">
        <v>44910</v>
      </c>
    </row>
    <row r="6510" spans="1:24">
      <c r="A6510">
        <f>HYPERLINK("https://www.philgeps.gov.ph/GEPSNONPILOT/Tender/SplashBidNoticeAbstractUI.aspx?menuIndex=3&amp;refID=7078016&amp;Result=3","7078016")</f>
        <v>0</v>
      </c>
      <c r="B6510" t="s">
        <v>1991</v>
      </c>
      <c r="C6510" t="s">
        <v>9734</v>
      </c>
      <c r="D6510" t="s">
        <v>18112</v>
      </c>
      <c r="E6510" t="s">
        <v>23998</v>
      </c>
      <c r="F6510" t="s">
        <v>31362</v>
      </c>
      <c r="G6510" t="s">
        <v>31368</v>
      </c>
      <c r="H6510" t="s">
        <v>15799</v>
      </c>
      <c r="I6510" t="s">
        <v>31393</v>
      </c>
      <c r="J6510" t="s">
        <v>32400</v>
      </c>
      <c r="K6510" t="s">
        <v>40665</v>
      </c>
      <c r="M6510" t="s">
        <v>43102</v>
      </c>
      <c r="N6510" t="s">
        <v>44905</v>
      </c>
      <c r="O6510" t="s">
        <v>44906</v>
      </c>
      <c r="P6510">
        <v>0</v>
      </c>
      <c r="Q6510">
        <v>1</v>
      </c>
      <c r="R6510" t="s">
        <v>44909</v>
      </c>
      <c r="S6510" t="s">
        <v>45060</v>
      </c>
      <c r="T6510" t="s">
        <v>46447</v>
      </c>
      <c r="U6510" t="s">
        <v>52091</v>
      </c>
      <c r="W6510" t="s">
        <v>43102</v>
      </c>
      <c r="X6510" t="s">
        <v>44910</v>
      </c>
    </row>
    <row r="6511" spans="1:24">
      <c r="A6511">
        <f>HYPERLINK("https://www.philgeps.gov.ph/GEPSNONPILOT/Tender/SplashBidNoticeAbstractUI.aspx?menuIndex=3&amp;refID=7077997&amp;Result=3","7077997")</f>
        <v>0</v>
      </c>
      <c r="B6511" t="s">
        <v>2019</v>
      </c>
      <c r="C6511" t="s">
        <v>9735</v>
      </c>
      <c r="D6511" t="s">
        <v>18130</v>
      </c>
      <c r="E6511" t="s">
        <v>23999</v>
      </c>
      <c r="F6511" t="s">
        <v>31362</v>
      </c>
      <c r="G6511" t="s">
        <v>31368</v>
      </c>
      <c r="H6511" t="s">
        <v>15799</v>
      </c>
      <c r="I6511" t="s">
        <v>31420</v>
      </c>
      <c r="J6511" t="s">
        <v>31793</v>
      </c>
      <c r="K6511" t="s">
        <v>40665</v>
      </c>
      <c r="M6511" t="s">
        <v>43135</v>
      </c>
      <c r="N6511" t="s">
        <v>44905</v>
      </c>
      <c r="O6511" t="s">
        <v>44906</v>
      </c>
      <c r="P6511">
        <v>0</v>
      </c>
      <c r="Q6511">
        <v>3</v>
      </c>
      <c r="R6511" t="s">
        <v>44909</v>
      </c>
      <c r="S6511" t="s">
        <v>45060</v>
      </c>
      <c r="T6511" t="s">
        <v>46409</v>
      </c>
      <c r="U6511" t="s">
        <v>52225</v>
      </c>
      <c r="W6511" t="s">
        <v>43135</v>
      </c>
      <c r="X6511" t="s">
        <v>44910</v>
      </c>
    </row>
    <row r="6512" spans="1:24">
      <c r="A6512">
        <f>HYPERLINK("https://www.philgeps.gov.ph/GEPSNONPILOT/Tender/SplashBidNoticeAbstractUI.aspx?menuIndex=3&amp;refID=7078011&amp;Result=3","7078011")</f>
        <v>0</v>
      </c>
      <c r="B6512" t="s">
        <v>1967</v>
      </c>
      <c r="C6512" t="s">
        <v>9736</v>
      </c>
      <c r="D6512" t="s">
        <v>18108</v>
      </c>
      <c r="E6512" t="s">
        <v>24000</v>
      </c>
      <c r="F6512" t="s">
        <v>31362</v>
      </c>
      <c r="G6512" t="s">
        <v>31369</v>
      </c>
      <c r="H6512" t="s">
        <v>15799</v>
      </c>
      <c r="I6512" t="s">
        <v>6373</v>
      </c>
      <c r="J6512" t="s">
        <v>35550</v>
      </c>
      <c r="K6512" t="s">
        <v>40682</v>
      </c>
      <c r="M6512" t="s">
        <v>43073</v>
      </c>
      <c r="N6512" t="s">
        <v>44905</v>
      </c>
      <c r="O6512" t="s">
        <v>44906</v>
      </c>
      <c r="P6512">
        <v>0</v>
      </c>
      <c r="Q6512">
        <v>7</v>
      </c>
      <c r="R6512" t="s">
        <v>44909</v>
      </c>
      <c r="S6512" t="s">
        <v>45060</v>
      </c>
      <c r="T6512" t="s">
        <v>46616</v>
      </c>
      <c r="U6512" t="s">
        <v>52226</v>
      </c>
      <c r="W6512" t="s">
        <v>43073</v>
      </c>
      <c r="X6512" t="s">
        <v>44910</v>
      </c>
    </row>
    <row r="6513" spans="1:24">
      <c r="A6513">
        <f>HYPERLINK("https://www.philgeps.gov.ph/GEPSNONPILOT/Tender/SplashBidNoticeAbstractUI.aspx?menuIndex=3&amp;refID=7078090&amp;Result=3","7078090")</f>
        <v>0</v>
      </c>
      <c r="B6513" t="s">
        <v>335</v>
      </c>
      <c r="C6513" t="s">
        <v>9737</v>
      </c>
      <c r="D6513" t="s">
        <v>18108</v>
      </c>
      <c r="E6513" t="s">
        <v>24001</v>
      </c>
      <c r="F6513" t="s">
        <v>31362</v>
      </c>
      <c r="G6513" t="s">
        <v>31368</v>
      </c>
      <c r="H6513" t="s">
        <v>15799</v>
      </c>
      <c r="I6513" t="s">
        <v>31386</v>
      </c>
      <c r="J6513" t="s">
        <v>31564</v>
      </c>
      <c r="K6513" t="s">
        <v>40696</v>
      </c>
      <c r="M6513" t="s">
        <v>43136</v>
      </c>
      <c r="N6513" t="s">
        <v>44905</v>
      </c>
      <c r="O6513" t="s">
        <v>44906</v>
      </c>
      <c r="P6513">
        <v>0</v>
      </c>
      <c r="Q6513">
        <v>0</v>
      </c>
      <c r="R6513" t="s">
        <v>44909</v>
      </c>
      <c r="S6513" t="s">
        <v>45060</v>
      </c>
      <c r="T6513" t="s">
        <v>46447</v>
      </c>
      <c r="U6513" t="s">
        <v>52227</v>
      </c>
      <c r="W6513" t="s">
        <v>43136</v>
      </c>
      <c r="X6513" t="s">
        <v>44910</v>
      </c>
    </row>
    <row r="6514" spans="1:24">
      <c r="A6514">
        <f>HYPERLINK("https://www.philgeps.gov.ph/GEPSNONPILOT/Tender/SplashBidNoticeAbstractUI.aspx?menuIndex=3&amp;refID=7078005&amp;Result=3","7078005")</f>
        <v>0</v>
      </c>
      <c r="B6514" t="s">
        <v>954</v>
      </c>
      <c r="C6514" t="s">
        <v>9738</v>
      </c>
      <c r="D6514" t="s">
        <v>18136</v>
      </c>
      <c r="E6514" t="s">
        <v>22984</v>
      </c>
      <c r="F6514" t="s">
        <v>31362</v>
      </c>
      <c r="G6514" t="s">
        <v>31368</v>
      </c>
      <c r="H6514" t="s">
        <v>15799</v>
      </c>
      <c r="I6514" t="s">
        <v>3815</v>
      </c>
      <c r="J6514" t="s">
        <v>35551</v>
      </c>
      <c r="K6514" t="s">
        <v>40677</v>
      </c>
      <c r="M6514" t="s">
        <v>41942</v>
      </c>
      <c r="N6514" t="s">
        <v>44905</v>
      </c>
      <c r="O6514" t="s">
        <v>44906</v>
      </c>
      <c r="P6514">
        <v>0</v>
      </c>
      <c r="Q6514">
        <v>0</v>
      </c>
      <c r="R6514" t="s">
        <v>44909</v>
      </c>
      <c r="S6514" t="s">
        <v>45060</v>
      </c>
      <c r="T6514" t="s">
        <v>46497</v>
      </c>
      <c r="U6514" t="s">
        <v>48763</v>
      </c>
      <c r="W6514" t="s">
        <v>41942</v>
      </c>
      <c r="X6514" t="s">
        <v>44910</v>
      </c>
    </row>
    <row r="6515" spans="1:24">
      <c r="A6515">
        <f>HYPERLINK("https://www.philgeps.gov.ph/GEPSNONPILOT/Tender/SplashBidNoticeAbstractUI.aspx?menuIndex=3&amp;refID=7078084&amp;Result=3","7078084")</f>
        <v>0</v>
      </c>
      <c r="B6515" t="s">
        <v>2020</v>
      </c>
      <c r="C6515" t="s">
        <v>9739</v>
      </c>
      <c r="D6515" t="s">
        <v>18131</v>
      </c>
      <c r="E6515" t="s">
        <v>23132</v>
      </c>
      <c r="F6515" t="s">
        <v>31362</v>
      </c>
      <c r="G6515" t="s">
        <v>31369</v>
      </c>
      <c r="H6515" t="s">
        <v>15799</v>
      </c>
      <c r="I6515" t="s">
        <v>31387</v>
      </c>
      <c r="J6515" t="s">
        <v>35552</v>
      </c>
      <c r="K6515" t="s">
        <v>40662</v>
      </c>
      <c r="M6515" t="s">
        <v>43137</v>
      </c>
      <c r="N6515" t="s">
        <v>44905</v>
      </c>
      <c r="O6515" t="s">
        <v>44906</v>
      </c>
      <c r="P6515">
        <v>0</v>
      </c>
      <c r="Q6515">
        <v>0</v>
      </c>
      <c r="R6515" t="s">
        <v>44909</v>
      </c>
      <c r="S6515" t="s">
        <v>45060</v>
      </c>
      <c r="T6515" t="s">
        <v>46412</v>
      </c>
      <c r="U6515" t="s">
        <v>52228</v>
      </c>
      <c r="W6515" t="s">
        <v>43137</v>
      </c>
      <c r="X6515" t="s">
        <v>44910</v>
      </c>
    </row>
    <row r="6516" spans="1:24">
      <c r="A6516">
        <f>HYPERLINK("https://www.philgeps.gov.ph/GEPSNONPILOT/Tender/SplashBidNoticeAbstractUI.aspx?menuIndex=3&amp;refID=7078120&amp;Result=3","7078120")</f>
        <v>0</v>
      </c>
      <c r="B6516" t="s">
        <v>2009</v>
      </c>
      <c r="C6516" t="s">
        <v>9740</v>
      </c>
      <c r="D6516" t="s">
        <v>18120</v>
      </c>
      <c r="E6516" t="s">
        <v>24002</v>
      </c>
      <c r="F6516" t="s">
        <v>31362</v>
      </c>
      <c r="G6516" t="s">
        <v>31369</v>
      </c>
      <c r="H6516" t="s">
        <v>15799</v>
      </c>
      <c r="I6516" t="s">
        <v>3815</v>
      </c>
      <c r="J6516" t="s">
        <v>35553</v>
      </c>
      <c r="K6516" t="s">
        <v>40666</v>
      </c>
      <c r="M6516" t="s">
        <v>43123</v>
      </c>
      <c r="N6516" t="s">
        <v>44905</v>
      </c>
      <c r="O6516" t="s">
        <v>44906</v>
      </c>
      <c r="P6516">
        <v>0</v>
      </c>
      <c r="Q6516">
        <v>1</v>
      </c>
      <c r="R6516" t="s">
        <v>44909</v>
      </c>
      <c r="S6516" t="s">
        <v>45060</v>
      </c>
      <c r="T6516" t="s">
        <v>46503</v>
      </c>
      <c r="U6516" t="s">
        <v>52229</v>
      </c>
      <c r="V6516" t="s">
        <v>59689</v>
      </c>
      <c r="W6516" t="s">
        <v>43123</v>
      </c>
      <c r="X6516" t="s">
        <v>44910</v>
      </c>
    </row>
    <row r="6517" spans="1:24">
      <c r="A6517">
        <f>HYPERLINK("https://www.philgeps.gov.ph/GEPSNONPILOT/Tender/SplashBidNoticeAbstractUI.aspx?menuIndex=3&amp;refID=7078119&amp;Result=3","7078119")</f>
        <v>0</v>
      </c>
      <c r="B6517" t="s">
        <v>519</v>
      </c>
      <c r="C6517" t="s">
        <v>9741</v>
      </c>
      <c r="D6517" t="s">
        <v>18104</v>
      </c>
      <c r="E6517" t="s">
        <v>24003</v>
      </c>
      <c r="F6517" t="s">
        <v>31362</v>
      </c>
      <c r="G6517" t="s">
        <v>31368</v>
      </c>
      <c r="H6517" t="s">
        <v>15799</v>
      </c>
      <c r="I6517" t="s">
        <v>31461</v>
      </c>
      <c r="J6517" t="s">
        <v>34568</v>
      </c>
      <c r="K6517" t="s">
        <v>40665</v>
      </c>
      <c r="M6517" t="s">
        <v>41475</v>
      </c>
      <c r="N6517" t="s">
        <v>44905</v>
      </c>
      <c r="O6517" t="s">
        <v>44906</v>
      </c>
      <c r="P6517">
        <v>0</v>
      </c>
      <c r="Q6517">
        <v>3</v>
      </c>
      <c r="R6517" t="s">
        <v>44909</v>
      </c>
      <c r="S6517" t="s">
        <v>45060</v>
      </c>
      <c r="T6517" t="s">
        <v>46434</v>
      </c>
      <c r="U6517" t="s">
        <v>52230</v>
      </c>
      <c r="W6517" t="s">
        <v>41475</v>
      </c>
      <c r="X6517" t="s">
        <v>44910</v>
      </c>
    </row>
    <row r="6518" spans="1:24">
      <c r="A6518">
        <f>HYPERLINK("https://www.philgeps.gov.ph/GEPSNONPILOT/Tender/SplashBidNoticeAbstractUI.aspx?menuIndex=3&amp;refID=7078117&amp;Result=3","7078117")</f>
        <v>0</v>
      </c>
      <c r="B6518" t="s">
        <v>2018</v>
      </c>
      <c r="C6518" t="s">
        <v>9742</v>
      </c>
      <c r="D6518" t="s">
        <v>18123</v>
      </c>
      <c r="E6518" t="s">
        <v>19737</v>
      </c>
      <c r="F6518" t="s">
        <v>31362</v>
      </c>
      <c r="G6518" t="s">
        <v>31369</v>
      </c>
      <c r="H6518" t="s">
        <v>31378</v>
      </c>
      <c r="I6518" t="s">
        <v>31386</v>
      </c>
      <c r="J6518" t="s">
        <v>35554</v>
      </c>
      <c r="K6518" t="s">
        <v>40686</v>
      </c>
      <c r="M6518" t="s">
        <v>43134</v>
      </c>
      <c r="N6518" t="s">
        <v>44905</v>
      </c>
      <c r="O6518" t="s">
        <v>44906</v>
      </c>
      <c r="P6518">
        <v>0</v>
      </c>
      <c r="Q6518">
        <v>0</v>
      </c>
      <c r="R6518" t="s">
        <v>44909</v>
      </c>
      <c r="S6518" t="s">
        <v>45060</v>
      </c>
      <c r="T6518" t="s">
        <v>46727</v>
      </c>
      <c r="U6518" t="s">
        <v>52231</v>
      </c>
      <c r="W6518" t="s">
        <v>43134</v>
      </c>
      <c r="X6518" t="s">
        <v>44910</v>
      </c>
    </row>
    <row r="6519" spans="1:24">
      <c r="A6519">
        <f>HYPERLINK("https://www.philgeps.gov.ph/GEPSNONPILOT/Tender/SplashBidNoticeAbstractUI.aspx?menuIndex=3&amp;refID=7078115&amp;Result=3","7078115")</f>
        <v>0</v>
      </c>
      <c r="B6519" t="s">
        <v>237</v>
      </c>
      <c r="C6519" t="s">
        <v>9743</v>
      </c>
      <c r="D6519" t="s">
        <v>18108</v>
      </c>
      <c r="E6519" t="s">
        <v>24004</v>
      </c>
      <c r="F6519" t="s">
        <v>31362</v>
      </c>
      <c r="G6519" t="s">
        <v>31370</v>
      </c>
      <c r="H6519" t="s">
        <v>15799</v>
      </c>
      <c r="I6519" t="s">
        <v>7090</v>
      </c>
      <c r="J6519" t="s">
        <v>31576</v>
      </c>
      <c r="K6519" t="s">
        <v>40670</v>
      </c>
      <c r="M6519" t="s">
        <v>41176</v>
      </c>
      <c r="N6519" t="s">
        <v>44905</v>
      </c>
      <c r="O6519" t="s">
        <v>44906</v>
      </c>
      <c r="P6519">
        <v>0</v>
      </c>
      <c r="Q6519">
        <v>1</v>
      </c>
      <c r="R6519" t="s">
        <v>44909</v>
      </c>
      <c r="S6519" t="s">
        <v>45060</v>
      </c>
      <c r="T6519" t="s">
        <v>46518</v>
      </c>
      <c r="U6519" t="s">
        <v>52232</v>
      </c>
      <c r="V6519" t="s">
        <v>59113</v>
      </c>
      <c r="W6519" t="s">
        <v>41176</v>
      </c>
      <c r="X6519" t="s">
        <v>44910</v>
      </c>
    </row>
    <row r="6520" spans="1:24">
      <c r="A6520">
        <f>HYPERLINK("https://www.philgeps.gov.ph/GEPSNONPILOT/Tender/SplashBidNoticeAbstractUI.aspx?menuIndex=3&amp;refID=7078138&amp;Result=3","7078138")</f>
        <v>0</v>
      </c>
      <c r="B6520" t="s">
        <v>65</v>
      </c>
      <c r="C6520" t="s">
        <v>9744</v>
      </c>
      <c r="D6520" t="s">
        <v>18127</v>
      </c>
      <c r="E6520" t="s">
        <v>24005</v>
      </c>
      <c r="F6520" t="s">
        <v>31362</v>
      </c>
      <c r="G6520" t="s">
        <v>31368</v>
      </c>
      <c r="H6520" t="s">
        <v>15799</v>
      </c>
      <c r="I6520" t="s">
        <v>31409</v>
      </c>
      <c r="J6520" t="s">
        <v>31591</v>
      </c>
      <c r="K6520" t="s">
        <v>40675</v>
      </c>
      <c r="M6520" t="s">
        <v>41001</v>
      </c>
      <c r="N6520" t="s">
        <v>44905</v>
      </c>
      <c r="O6520" t="s">
        <v>44906</v>
      </c>
      <c r="P6520">
        <v>0</v>
      </c>
      <c r="Q6520">
        <v>1</v>
      </c>
      <c r="R6520" t="s">
        <v>44909</v>
      </c>
      <c r="S6520" t="s">
        <v>45060</v>
      </c>
      <c r="T6520" t="s">
        <v>46509</v>
      </c>
      <c r="U6520" t="s">
        <v>52233</v>
      </c>
      <c r="W6520" t="s">
        <v>41001</v>
      </c>
      <c r="X6520" t="s">
        <v>44910</v>
      </c>
    </row>
    <row r="6521" spans="1:24">
      <c r="A6521">
        <f>HYPERLINK("https://www.philgeps.gov.ph/GEPSNONPILOT/Tender/SplashBidNoticeAbstractUI.aspx?menuIndex=3&amp;refID=7078137&amp;Result=3","7078137")</f>
        <v>0</v>
      </c>
      <c r="B6521" t="s">
        <v>2021</v>
      </c>
      <c r="C6521" t="s">
        <v>9745</v>
      </c>
      <c r="D6521" t="s">
        <v>18100</v>
      </c>
      <c r="E6521" t="s">
        <v>24006</v>
      </c>
      <c r="F6521" t="s">
        <v>31362</v>
      </c>
      <c r="G6521" t="s">
        <v>31369</v>
      </c>
      <c r="H6521" t="s">
        <v>15799</v>
      </c>
      <c r="I6521" t="s">
        <v>31390</v>
      </c>
      <c r="J6521" t="s">
        <v>32086</v>
      </c>
      <c r="K6521" t="s">
        <v>40693</v>
      </c>
      <c r="M6521" t="s">
        <v>43138</v>
      </c>
      <c r="N6521" t="s">
        <v>44905</v>
      </c>
      <c r="O6521" t="s">
        <v>44906</v>
      </c>
      <c r="P6521">
        <v>0</v>
      </c>
      <c r="Q6521">
        <v>0</v>
      </c>
      <c r="R6521" t="s">
        <v>44909</v>
      </c>
      <c r="S6521" t="s">
        <v>45060</v>
      </c>
      <c r="T6521" t="s">
        <v>46461</v>
      </c>
      <c r="U6521" t="s">
        <v>52234</v>
      </c>
      <c r="W6521" t="s">
        <v>43138</v>
      </c>
      <c r="X6521" t="s">
        <v>44910</v>
      </c>
    </row>
    <row r="6522" spans="1:24">
      <c r="A6522">
        <f>HYPERLINK("https://www.philgeps.gov.ph/GEPSNONPILOT/Tender/SplashBidNoticeAbstractUI.aspx?menuIndex=3&amp;refID=7078135&amp;Result=3","7078135")</f>
        <v>0</v>
      </c>
      <c r="B6522" t="s">
        <v>666</v>
      </c>
      <c r="C6522" t="s">
        <v>9746</v>
      </c>
      <c r="D6522" t="s">
        <v>18108</v>
      </c>
      <c r="E6522" t="s">
        <v>24007</v>
      </c>
      <c r="F6522" t="s">
        <v>31362</v>
      </c>
      <c r="G6522" t="s">
        <v>31371</v>
      </c>
      <c r="H6522" t="s">
        <v>15799</v>
      </c>
      <c r="I6522" t="s">
        <v>7188</v>
      </c>
      <c r="J6522" t="s">
        <v>35555</v>
      </c>
      <c r="K6522" t="s">
        <v>40661</v>
      </c>
      <c r="M6522" t="s">
        <v>41628</v>
      </c>
      <c r="N6522" t="s">
        <v>44905</v>
      </c>
      <c r="O6522" t="s">
        <v>44906</v>
      </c>
      <c r="P6522">
        <v>0</v>
      </c>
      <c r="Q6522">
        <v>9</v>
      </c>
      <c r="R6522" t="s">
        <v>44909</v>
      </c>
      <c r="S6522" t="s">
        <v>45060</v>
      </c>
      <c r="T6522" t="s">
        <v>46399</v>
      </c>
      <c r="U6522" t="s">
        <v>48220</v>
      </c>
      <c r="W6522" t="s">
        <v>41628</v>
      </c>
      <c r="X6522" t="s">
        <v>44910</v>
      </c>
    </row>
    <row r="6523" spans="1:24">
      <c r="A6523">
        <f>HYPERLINK("https://www.philgeps.gov.ph/GEPSNONPILOT/Tender/SplashBidNoticeAbstractUI.aspx?menuIndex=3&amp;refID=7077846&amp;Result=3","7077846")</f>
        <v>0</v>
      </c>
      <c r="B6523" t="s">
        <v>2022</v>
      </c>
      <c r="C6523" t="s">
        <v>9747</v>
      </c>
      <c r="D6523" t="s">
        <v>18153</v>
      </c>
      <c r="E6523" t="s">
        <v>24008</v>
      </c>
      <c r="F6523" t="s">
        <v>31362</v>
      </c>
      <c r="G6523" t="s">
        <v>31369</v>
      </c>
      <c r="H6523" t="s">
        <v>31378</v>
      </c>
      <c r="I6523" t="s">
        <v>31386</v>
      </c>
      <c r="J6523" t="s">
        <v>35556</v>
      </c>
      <c r="K6523" t="s">
        <v>40679</v>
      </c>
      <c r="M6523" t="s">
        <v>43139</v>
      </c>
      <c r="N6523" t="s">
        <v>44905</v>
      </c>
      <c r="O6523" t="s">
        <v>44906</v>
      </c>
      <c r="P6523">
        <v>0</v>
      </c>
      <c r="Q6523">
        <v>0</v>
      </c>
      <c r="R6523" t="s">
        <v>44909</v>
      </c>
      <c r="S6523" t="s">
        <v>45060</v>
      </c>
      <c r="T6523" t="s">
        <v>46607</v>
      </c>
      <c r="U6523" t="s">
        <v>52235</v>
      </c>
      <c r="W6523" t="s">
        <v>43139</v>
      </c>
      <c r="X6523" t="s">
        <v>44910</v>
      </c>
    </row>
    <row r="6524" spans="1:24">
      <c r="A6524">
        <f>HYPERLINK("https://www.philgeps.gov.ph/GEPSNONPILOT/Tender/SplashBidNoticeAbstractUI.aspx?menuIndex=3&amp;refID=7078134&amp;Result=3","7078134")</f>
        <v>0</v>
      </c>
      <c r="B6524" t="s">
        <v>237</v>
      </c>
      <c r="C6524" t="s">
        <v>9748</v>
      </c>
      <c r="D6524" t="s">
        <v>18108</v>
      </c>
      <c r="E6524" t="s">
        <v>24009</v>
      </c>
      <c r="F6524" t="s">
        <v>31362</v>
      </c>
      <c r="G6524" t="s">
        <v>31368</v>
      </c>
      <c r="H6524" t="s">
        <v>15799</v>
      </c>
      <c r="I6524" t="s">
        <v>31388</v>
      </c>
      <c r="J6524" t="s">
        <v>35557</v>
      </c>
      <c r="K6524" t="s">
        <v>40670</v>
      </c>
      <c r="M6524" t="s">
        <v>41176</v>
      </c>
      <c r="N6524" t="s">
        <v>44905</v>
      </c>
      <c r="O6524" t="s">
        <v>44906</v>
      </c>
      <c r="P6524">
        <v>0</v>
      </c>
      <c r="Q6524">
        <v>2</v>
      </c>
      <c r="R6524" t="s">
        <v>44909</v>
      </c>
      <c r="S6524" t="s">
        <v>45060</v>
      </c>
      <c r="T6524" t="s">
        <v>46518</v>
      </c>
      <c r="U6524" t="s">
        <v>52236</v>
      </c>
      <c r="V6524" t="s">
        <v>59113</v>
      </c>
      <c r="W6524" t="s">
        <v>41176</v>
      </c>
      <c r="X6524" t="s">
        <v>44910</v>
      </c>
    </row>
    <row r="6525" spans="1:24">
      <c r="A6525">
        <f>HYPERLINK("https://www.philgeps.gov.ph/GEPSNONPILOT/Tender/SplashBidNoticeAbstractUI.aspx?menuIndex=3&amp;refID=7078071&amp;Result=3","7078071")</f>
        <v>0</v>
      </c>
      <c r="B6525" t="s">
        <v>1562</v>
      </c>
      <c r="C6525" t="s">
        <v>9749</v>
      </c>
      <c r="D6525" t="s">
        <v>18140</v>
      </c>
      <c r="E6525" t="s">
        <v>24010</v>
      </c>
      <c r="F6525" t="s">
        <v>31362</v>
      </c>
      <c r="G6525" t="s">
        <v>31369</v>
      </c>
      <c r="H6525" t="s">
        <v>31378</v>
      </c>
      <c r="I6525" t="s">
        <v>31386</v>
      </c>
      <c r="J6525" t="s">
        <v>33435</v>
      </c>
      <c r="K6525" t="s">
        <v>40704</v>
      </c>
      <c r="M6525" t="s">
        <v>42614</v>
      </c>
      <c r="N6525" t="s">
        <v>44905</v>
      </c>
      <c r="O6525" t="s">
        <v>44906</v>
      </c>
      <c r="P6525">
        <v>0</v>
      </c>
      <c r="Q6525">
        <v>3</v>
      </c>
      <c r="R6525" t="s">
        <v>44909</v>
      </c>
      <c r="S6525" t="s">
        <v>45060</v>
      </c>
      <c r="T6525" t="s">
        <v>46449</v>
      </c>
      <c r="U6525" t="s">
        <v>52237</v>
      </c>
      <c r="V6525" t="s">
        <v>59690</v>
      </c>
      <c r="W6525" t="s">
        <v>42614</v>
      </c>
      <c r="X6525" t="s">
        <v>44910</v>
      </c>
    </row>
    <row r="6526" spans="1:24">
      <c r="A6526">
        <f>HYPERLINK("https://www.philgeps.gov.ph/GEPSNONPILOT/Tender/SplashBidNoticeAbstractUI.aspx?menuIndex=3&amp;refID=7078013&amp;Result=3","7078013")</f>
        <v>0</v>
      </c>
      <c r="B6526" t="s">
        <v>1074</v>
      </c>
      <c r="C6526" t="s">
        <v>9750</v>
      </c>
      <c r="D6526" t="s">
        <v>18178</v>
      </c>
      <c r="E6526" t="s">
        <v>24011</v>
      </c>
      <c r="F6526" t="s">
        <v>31362</v>
      </c>
      <c r="G6526" t="s">
        <v>31368</v>
      </c>
      <c r="H6526" t="s">
        <v>15799</v>
      </c>
      <c r="I6526" t="s">
        <v>4283</v>
      </c>
      <c r="J6526" t="s">
        <v>34265</v>
      </c>
      <c r="K6526" t="s">
        <v>40662</v>
      </c>
      <c r="M6526" t="s">
        <v>42076</v>
      </c>
      <c r="N6526" t="s">
        <v>44905</v>
      </c>
      <c r="O6526" t="s">
        <v>44906</v>
      </c>
      <c r="P6526">
        <v>0</v>
      </c>
      <c r="Q6526">
        <v>13</v>
      </c>
      <c r="R6526" t="s">
        <v>44909</v>
      </c>
      <c r="S6526" t="s">
        <v>45060</v>
      </c>
      <c r="T6526" t="s">
        <v>46447</v>
      </c>
      <c r="U6526" t="s">
        <v>52238</v>
      </c>
      <c r="V6526" t="s">
        <v>59362</v>
      </c>
      <c r="W6526" t="s">
        <v>42076</v>
      </c>
      <c r="X6526" t="s">
        <v>44910</v>
      </c>
    </row>
    <row r="6527" spans="1:24">
      <c r="A6527">
        <f>HYPERLINK("https://www.philgeps.gov.ph/GEPSNONPILOT/Tender/SplashBidNoticeAbstractUI.aspx?menuIndex=3&amp;refID=7077847&amp;Result=3","7077847")</f>
        <v>0</v>
      </c>
      <c r="B6527" t="s">
        <v>1740</v>
      </c>
      <c r="C6527" t="s">
        <v>9751</v>
      </c>
      <c r="D6527" t="s">
        <v>18164</v>
      </c>
      <c r="E6527" t="s">
        <v>24012</v>
      </c>
      <c r="F6527" t="s">
        <v>31362</v>
      </c>
      <c r="G6527" t="s">
        <v>31370</v>
      </c>
      <c r="H6527" t="s">
        <v>15799</v>
      </c>
      <c r="I6527" t="s">
        <v>31393</v>
      </c>
      <c r="J6527" t="s">
        <v>31564</v>
      </c>
      <c r="K6527" t="s">
        <v>40666</v>
      </c>
      <c r="M6527" t="s">
        <v>42815</v>
      </c>
      <c r="N6527" t="s">
        <v>44905</v>
      </c>
      <c r="O6527" t="s">
        <v>44906</v>
      </c>
      <c r="P6527">
        <v>0</v>
      </c>
      <c r="Q6527">
        <v>0</v>
      </c>
      <c r="R6527" t="s">
        <v>44909</v>
      </c>
      <c r="S6527" t="s">
        <v>45060</v>
      </c>
      <c r="T6527" t="s">
        <v>46411</v>
      </c>
      <c r="U6527" t="s">
        <v>52239</v>
      </c>
      <c r="W6527" t="s">
        <v>42815</v>
      </c>
      <c r="X6527" t="s">
        <v>44910</v>
      </c>
    </row>
    <row r="6528" spans="1:24">
      <c r="A6528">
        <f>HYPERLINK("https://www.philgeps.gov.ph/GEPSNONPILOT/Tender/SplashBidNoticeAbstractUI.aspx?menuIndex=3&amp;refID=7078132&amp;Result=3","7078132")</f>
        <v>0</v>
      </c>
      <c r="B6528" t="s">
        <v>1662</v>
      </c>
      <c r="C6528" t="s">
        <v>9752</v>
      </c>
      <c r="D6528" t="s">
        <v>18175</v>
      </c>
      <c r="E6528" t="s">
        <v>24013</v>
      </c>
      <c r="F6528" t="s">
        <v>31362</v>
      </c>
      <c r="G6528" t="s">
        <v>31373</v>
      </c>
      <c r="H6528" t="s">
        <v>31378</v>
      </c>
      <c r="I6528" t="s">
        <v>31386</v>
      </c>
      <c r="J6528" t="s">
        <v>35439</v>
      </c>
      <c r="K6528" t="s">
        <v>40694</v>
      </c>
      <c r="M6528" t="s">
        <v>42727</v>
      </c>
      <c r="N6528" t="s">
        <v>44905</v>
      </c>
      <c r="O6528" t="s">
        <v>44906</v>
      </c>
      <c r="P6528">
        <v>0</v>
      </c>
      <c r="Q6528">
        <v>1</v>
      </c>
      <c r="R6528" t="s">
        <v>44909</v>
      </c>
      <c r="S6528" t="s">
        <v>45060</v>
      </c>
      <c r="T6528" t="s">
        <v>46433</v>
      </c>
      <c r="U6528" t="s">
        <v>52240</v>
      </c>
      <c r="W6528" t="s">
        <v>42727</v>
      </c>
      <c r="X6528" t="s">
        <v>44910</v>
      </c>
    </row>
    <row r="6529" spans="1:24">
      <c r="A6529">
        <f>HYPERLINK("https://www.philgeps.gov.ph/GEPSNONPILOT/Tender/SplashBidNoticeAbstractUI.aspx?menuIndex=3&amp;refID=7078136&amp;Result=3","7078136")</f>
        <v>0</v>
      </c>
      <c r="B6529" t="s">
        <v>2023</v>
      </c>
      <c r="C6529" t="s">
        <v>9753</v>
      </c>
      <c r="D6529" t="s">
        <v>18118</v>
      </c>
      <c r="E6529" t="s">
        <v>24014</v>
      </c>
      <c r="F6529" t="s">
        <v>31362</v>
      </c>
      <c r="G6529" t="s">
        <v>31369</v>
      </c>
      <c r="H6529" t="s">
        <v>15799</v>
      </c>
      <c r="I6529" t="s">
        <v>31409</v>
      </c>
      <c r="J6529" t="s">
        <v>31641</v>
      </c>
      <c r="K6529" t="s">
        <v>40666</v>
      </c>
      <c r="M6529" t="s">
        <v>43140</v>
      </c>
      <c r="N6529" t="s">
        <v>44905</v>
      </c>
      <c r="O6529" t="s">
        <v>44906</v>
      </c>
      <c r="P6529">
        <v>0</v>
      </c>
      <c r="Q6529">
        <v>3</v>
      </c>
      <c r="R6529" t="s">
        <v>44909</v>
      </c>
      <c r="S6529" t="s">
        <v>45060</v>
      </c>
      <c r="T6529" t="s">
        <v>46671</v>
      </c>
      <c r="U6529" t="s">
        <v>52241</v>
      </c>
      <c r="V6529" t="s">
        <v>59691</v>
      </c>
      <c r="W6529" t="s">
        <v>43140</v>
      </c>
      <c r="X6529" t="s">
        <v>44910</v>
      </c>
    </row>
    <row r="6530" spans="1:24">
      <c r="A6530">
        <f>HYPERLINK("https://www.philgeps.gov.ph/GEPSNONPILOT/Tender/SplashBidNoticeAbstractUI.aspx?menuIndex=3&amp;refID=7078131&amp;Result=3","7078131")</f>
        <v>0</v>
      </c>
      <c r="B6530" t="s">
        <v>220</v>
      </c>
      <c r="C6530" t="s">
        <v>9754</v>
      </c>
      <c r="D6530" t="s">
        <v>18140</v>
      </c>
      <c r="E6530" t="s">
        <v>24015</v>
      </c>
      <c r="F6530" t="s">
        <v>31362</v>
      </c>
      <c r="G6530" t="s">
        <v>31368</v>
      </c>
      <c r="H6530" t="s">
        <v>31378</v>
      </c>
      <c r="I6530" t="s">
        <v>31386</v>
      </c>
      <c r="J6530" t="s">
        <v>35558</v>
      </c>
      <c r="K6530" t="s">
        <v>40666</v>
      </c>
      <c r="M6530" t="s">
        <v>41159</v>
      </c>
      <c r="N6530" t="s">
        <v>44905</v>
      </c>
      <c r="O6530" t="s">
        <v>44906</v>
      </c>
      <c r="P6530">
        <v>0</v>
      </c>
      <c r="Q6530">
        <v>0</v>
      </c>
      <c r="R6530" t="s">
        <v>44909</v>
      </c>
      <c r="S6530" t="s">
        <v>45060</v>
      </c>
      <c r="T6530" t="s">
        <v>46410</v>
      </c>
      <c r="U6530" t="s">
        <v>52242</v>
      </c>
      <c r="W6530" t="s">
        <v>60919</v>
      </c>
      <c r="X6530" t="s">
        <v>44910</v>
      </c>
    </row>
    <row r="6531" spans="1:24">
      <c r="A6531">
        <f>HYPERLINK("https://www.philgeps.gov.ph/GEPSNONPILOT/Tender/SplashBidNoticeAbstractUI.aspx?menuIndex=3&amp;refID=7078129&amp;Result=3","7078129")</f>
        <v>0</v>
      </c>
      <c r="B6531" t="s">
        <v>1058</v>
      </c>
      <c r="C6531" t="s">
        <v>9755</v>
      </c>
      <c r="D6531" t="s">
        <v>18104</v>
      </c>
      <c r="E6531" t="s">
        <v>24016</v>
      </c>
      <c r="F6531" t="s">
        <v>31362</v>
      </c>
      <c r="G6531" t="s">
        <v>31370</v>
      </c>
      <c r="H6531" t="s">
        <v>15799</v>
      </c>
      <c r="I6531" t="s">
        <v>31418</v>
      </c>
      <c r="J6531" t="s">
        <v>35559</v>
      </c>
      <c r="K6531" t="s">
        <v>40670</v>
      </c>
      <c r="M6531" t="s">
        <v>42059</v>
      </c>
      <c r="N6531" t="s">
        <v>44905</v>
      </c>
      <c r="O6531" t="s">
        <v>44906</v>
      </c>
      <c r="P6531">
        <v>0</v>
      </c>
      <c r="Q6531">
        <v>0</v>
      </c>
      <c r="R6531" t="s">
        <v>44909</v>
      </c>
      <c r="S6531" t="s">
        <v>45060</v>
      </c>
      <c r="T6531" t="s">
        <v>46447</v>
      </c>
      <c r="U6531" t="s">
        <v>52243</v>
      </c>
      <c r="W6531" t="s">
        <v>42059</v>
      </c>
      <c r="X6531" t="s">
        <v>44910</v>
      </c>
    </row>
    <row r="6532" spans="1:24">
      <c r="A6532">
        <f>HYPERLINK("https://www.philgeps.gov.ph/GEPSNONPILOT/Tender/SplashBidNoticeAbstractUI.aspx?menuIndex=3&amp;refID=7078017&amp;Result=3","7078017")</f>
        <v>0</v>
      </c>
      <c r="B6532" t="s">
        <v>971</v>
      </c>
      <c r="C6532" t="s">
        <v>9756</v>
      </c>
      <c r="D6532" t="s">
        <v>18166</v>
      </c>
      <c r="E6532" t="s">
        <v>24017</v>
      </c>
      <c r="F6532" t="s">
        <v>31362</v>
      </c>
      <c r="G6532" t="s">
        <v>31369</v>
      </c>
      <c r="H6532" t="s">
        <v>31378</v>
      </c>
      <c r="I6532" t="s">
        <v>31386</v>
      </c>
      <c r="J6532" t="s">
        <v>34085</v>
      </c>
      <c r="K6532" t="s">
        <v>40662</v>
      </c>
      <c r="M6532" t="s">
        <v>41961</v>
      </c>
      <c r="N6532" t="s">
        <v>44905</v>
      </c>
      <c r="O6532" t="s">
        <v>44906</v>
      </c>
      <c r="P6532">
        <v>0</v>
      </c>
      <c r="Q6532">
        <v>0</v>
      </c>
      <c r="R6532" t="s">
        <v>44909</v>
      </c>
      <c r="S6532" t="s">
        <v>45060</v>
      </c>
      <c r="T6532" t="s">
        <v>46559</v>
      </c>
      <c r="U6532" t="s">
        <v>52244</v>
      </c>
      <c r="W6532" t="s">
        <v>41961</v>
      </c>
      <c r="X6532" t="s">
        <v>44910</v>
      </c>
    </row>
    <row r="6533" spans="1:24">
      <c r="A6533">
        <f>HYPERLINK("https://www.philgeps.gov.ph/GEPSNONPILOT/Tender/SplashBidNoticeAbstractUI.aspx?menuIndex=3&amp;refID=7077994&amp;Result=3","7077994")</f>
        <v>0</v>
      </c>
      <c r="B6533" t="s">
        <v>1562</v>
      </c>
      <c r="C6533" t="s">
        <v>9757</v>
      </c>
      <c r="D6533" t="s">
        <v>18140</v>
      </c>
      <c r="E6533" t="s">
        <v>24018</v>
      </c>
      <c r="F6533" t="s">
        <v>31362</v>
      </c>
      <c r="G6533" t="s">
        <v>31369</v>
      </c>
      <c r="H6533" t="s">
        <v>31378</v>
      </c>
      <c r="I6533" t="s">
        <v>31386</v>
      </c>
      <c r="J6533" t="s">
        <v>35560</v>
      </c>
      <c r="K6533" t="s">
        <v>40742</v>
      </c>
      <c r="M6533" t="s">
        <v>42614</v>
      </c>
      <c r="N6533" t="s">
        <v>44905</v>
      </c>
      <c r="O6533" t="s">
        <v>44906</v>
      </c>
      <c r="P6533">
        <v>0</v>
      </c>
      <c r="Q6533">
        <v>1</v>
      </c>
      <c r="R6533" t="s">
        <v>44909</v>
      </c>
      <c r="S6533" t="s">
        <v>45060</v>
      </c>
      <c r="T6533" t="s">
        <v>46449</v>
      </c>
      <c r="U6533" t="s">
        <v>52245</v>
      </c>
      <c r="V6533" t="s">
        <v>59692</v>
      </c>
      <c r="W6533" t="s">
        <v>42614</v>
      </c>
      <c r="X6533" t="s">
        <v>44910</v>
      </c>
    </row>
    <row r="6534" spans="1:24">
      <c r="A6534">
        <f>HYPERLINK("https://www.philgeps.gov.ph/GEPSNONPILOT/Tender/SplashBidNoticeAbstractUI.aspx?menuIndex=3&amp;refID=7078126&amp;Result=3","7078126")</f>
        <v>0</v>
      </c>
      <c r="B6534" t="s">
        <v>482</v>
      </c>
      <c r="C6534" t="s">
        <v>9758</v>
      </c>
      <c r="D6534" t="s">
        <v>18108</v>
      </c>
      <c r="E6534" t="s">
        <v>24019</v>
      </c>
      <c r="F6534" t="s">
        <v>31362</v>
      </c>
      <c r="G6534" t="s">
        <v>31369</v>
      </c>
      <c r="H6534" t="s">
        <v>31379</v>
      </c>
      <c r="I6534" t="s">
        <v>31393</v>
      </c>
      <c r="J6534" t="s">
        <v>31602</v>
      </c>
      <c r="K6534" t="s">
        <v>40679</v>
      </c>
      <c r="M6534" t="s">
        <v>43118</v>
      </c>
      <c r="N6534" t="s">
        <v>44905</v>
      </c>
      <c r="O6534" t="s">
        <v>44906</v>
      </c>
      <c r="P6534">
        <v>0</v>
      </c>
      <c r="Q6534">
        <v>12</v>
      </c>
      <c r="R6534" t="s">
        <v>44909</v>
      </c>
      <c r="S6534" t="s">
        <v>45060</v>
      </c>
      <c r="T6534" t="s">
        <v>46401</v>
      </c>
      <c r="U6534" t="s">
        <v>52246</v>
      </c>
      <c r="W6534" t="s">
        <v>43118</v>
      </c>
      <c r="X6534" t="s">
        <v>44910</v>
      </c>
    </row>
    <row r="6535" spans="1:24">
      <c r="A6535">
        <f>HYPERLINK("https://www.philgeps.gov.ph/GEPSNONPILOT/Tender/SplashBidNoticeAbstractUI.aspx?menuIndex=3&amp;refID=7078123&amp;Result=3","7078123")</f>
        <v>0</v>
      </c>
      <c r="B6535" t="s">
        <v>628</v>
      </c>
      <c r="C6535" t="s">
        <v>9759</v>
      </c>
      <c r="D6535" t="s">
        <v>18116</v>
      </c>
      <c r="E6535" t="s">
        <v>24020</v>
      </c>
      <c r="F6535" t="s">
        <v>31362</v>
      </c>
      <c r="G6535" t="s">
        <v>31368</v>
      </c>
      <c r="H6535" t="s">
        <v>15799</v>
      </c>
      <c r="I6535" t="s">
        <v>31392</v>
      </c>
      <c r="J6535" t="s">
        <v>31942</v>
      </c>
      <c r="K6535" t="s">
        <v>40662</v>
      </c>
      <c r="M6535" t="s">
        <v>41588</v>
      </c>
      <c r="N6535" t="s">
        <v>44905</v>
      </c>
      <c r="O6535" t="s">
        <v>44906</v>
      </c>
      <c r="P6535">
        <v>0</v>
      </c>
      <c r="Q6535">
        <v>0</v>
      </c>
      <c r="R6535" t="s">
        <v>44909</v>
      </c>
      <c r="S6535" t="s">
        <v>45060</v>
      </c>
      <c r="T6535" t="s">
        <v>46443</v>
      </c>
      <c r="U6535" t="s">
        <v>52247</v>
      </c>
      <c r="W6535" t="s">
        <v>41588</v>
      </c>
      <c r="X6535" t="s">
        <v>44910</v>
      </c>
    </row>
    <row r="6536" spans="1:24">
      <c r="A6536">
        <f>HYPERLINK("https://www.philgeps.gov.ph/GEPSNONPILOT/Tender/SplashBidNoticeAbstractUI.aspx?menuIndex=3&amp;refID=7078140&amp;Result=3","7078140")</f>
        <v>0</v>
      </c>
      <c r="B6536" t="s">
        <v>263</v>
      </c>
      <c r="C6536" t="s">
        <v>9760</v>
      </c>
      <c r="D6536" t="s">
        <v>18109</v>
      </c>
      <c r="E6536" t="s">
        <v>24021</v>
      </c>
      <c r="F6536" t="s">
        <v>31362</v>
      </c>
      <c r="G6536" t="s">
        <v>31368</v>
      </c>
      <c r="H6536" t="s">
        <v>15799</v>
      </c>
      <c r="I6536" t="s">
        <v>31404</v>
      </c>
      <c r="J6536" t="s">
        <v>35561</v>
      </c>
      <c r="K6536" t="s">
        <v>40666</v>
      </c>
      <c r="M6536" t="s">
        <v>41204</v>
      </c>
      <c r="N6536" t="s">
        <v>44905</v>
      </c>
      <c r="O6536" t="s">
        <v>44906</v>
      </c>
      <c r="P6536">
        <v>0</v>
      </c>
      <c r="Q6536">
        <v>0</v>
      </c>
      <c r="R6536" t="s">
        <v>44909</v>
      </c>
      <c r="S6536" t="s">
        <v>45060</v>
      </c>
      <c r="T6536" t="s">
        <v>46434</v>
      </c>
      <c r="U6536" t="s">
        <v>52248</v>
      </c>
      <c r="W6536" t="s">
        <v>41204</v>
      </c>
      <c r="X6536" t="s">
        <v>44910</v>
      </c>
    </row>
    <row r="6537" spans="1:24">
      <c r="A6537">
        <f>HYPERLINK("https://www.philgeps.gov.ph/GEPSNONPILOT/Tender/SplashBidNoticeAbstractUI.aspx?menuIndex=3&amp;refID=7078144&amp;Result=3","7078144")</f>
        <v>0</v>
      </c>
      <c r="B6537" t="s">
        <v>1105</v>
      </c>
      <c r="C6537" t="s">
        <v>9761</v>
      </c>
      <c r="D6537" t="s">
        <v>18168</v>
      </c>
      <c r="E6537" t="s">
        <v>24022</v>
      </c>
      <c r="F6537" t="s">
        <v>31362</v>
      </c>
      <c r="G6537" t="s">
        <v>31369</v>
      </c>
      <c r="H6537" t="s">
        <v>15799</v>
      </c>
      <c r="I6537" t="s">
        <v>31461</v>
      </c>
      <c r="J6537" t="s">
        <v>35562</v>
      </c>
      <c r="K6537" t="s">
        <v>40662</v>
      </c>
      <c r="M6537" t="s">
        <v>42110</v>
      </c>
      <c r="N6537" t="s">
        <v>44905</v>
      </c>
      <c r="O6537" t="s">
        <v>44906</v>
      </c>
      <c r="P6537">
        <v>0</v>
      </c>
      <c r="Q6537">
        <v>2</v>
      </c>
      <c r="R6537" t="s">
        <v>44909</v>
      </c>
      <c r="S6537" t="s">
        <v>45060</v>
      </c>
      <c r="T6537" t="s">
        <v>46426</v>
      </c>
      <c r="U6537" t="s">
        <v>49324</v>
      </c>
      <c r="W6537" t="s">
        <v>42110</v>
      </c>
      <c r="X6537" t="s">
        <v>44910</v>
      </c>
    </row>
    <row r="6538" spans="1:24">
      <c r="A6538">
        <f>HYPERLINK("https://www.philgeps.gov.ph/GEPSNONPILOT/Tender/SplashBidNoticeAbstractUI.aspx?menuIndex=3&amp;refID=7078143&amp;Result=3","7078143")</f>
        <v>0</v>
      </c>
      <c r="B6538" t="s">
        <v>54</v>
      </c>
      <c r="C6538" t="s">
        <v>9762</v>
      </c>
      <c r="D6538" t="s">
        <v>18103</v>
      </c>
      <c r="E6538" t="s">
        <v>24023</v>
      </c>
      <c r="F6538" t="s">
        <v>31362</v>
      </c>
      <c r="G6538" t="s">
        <v>31368</v>
      </c>
      <c r="H6538" t="s">
        <v>15799</v>
      </c>
      <c r="I6538" t="s">
        <v>7719</v>
      </c>
      <c r="J6538" t="s">
        <v>35563</v>
      </c>
      <c r="K6538" t="s">
        <v>40666</v>
      </c>
      <c r="M6538" t="s">
        <v>41393</v>
      </c>
      <c r="N6538" t="s">
        <v>44905</v>
      </c>
      <c r="O6538" t="s">
        <v>44906</v>
      </c>
      <c r="P6538">
        <v>0</v>
      </c>
      <c r="Q6538">
        <v>14</v>
      </c>
      <c r="R6538" t="s">
        <v>44909</v>
      </c>
      <c r="S6538" t="s">
        <v>45060</v>
      </c>
      <c r="T6538" t="s">
        <v>46454</v>
      </c>
      <c r="U6538" t="s">
        <v>52249</v>
      </c>
      <c r="V6538" t="s">
        <v>59066</v>
      </c>
      <c r="W6538" t="s">
        <v>41393</v>
      </c>
      <c r="X6538" t="s">
        <v>44910</v>
      </c>
    </row>
    <row r="6539" spans="1:24">
      <c r="A6539">
        <f>HYPERLINK("https://www.philgeps.gov.ph/GEPSNONPILOT/Tender/SplashBidNoticeAbstractUI.aspx?menuIndex=3&amp;refID=7078164&amp;Result=3","7078164")</f>
        <v>0</v>
      </c>
      <c r="B6539" t="s">
        <v>2024</v>
      </c>
      <c r="C6539" t="s">
        <v>9763</v>
      </c>
      <c r="D6539" t="s">
        <v>18108</v>
      </c>
      <c r="E6539" t="s">
        <v>24024</v>
      </c>
      <c r="F6539" t="s">
        <v>31362</v>
      </c>
      <c r="G6539" t="s">
        <v>31368</v>
      </c>
      <c r="H6539" t="s">
        <v>15799</v>
      </c>
      <c r="I6539" t="s">
        <v>3815</v>
      </c>
      <c r="J6539" t="s">
        <v>35564</v>
      </c>
      <c r="K6539" t="s">
        <v>40682</v>
      </c>
      <c r="M6539" t="s">
        <v>43141</v>
      </c>
      <c r="N6539" t="s">
        <v>44905</v>
      </c>
      <c r="O6539" t="s">
        <v>44906</v>
      </c>
      <c r="P6539">
        <v>0</v>
      </c>
      <c r="Q6539">
        <v>4</v>
      </c>
      <c r="R6539" t="s">
        <v>44909</v>
      </c>
      <c r="S6539" t="s">
        <v>45060</v>
      </c>
      <c r="T6539" t="s">
        <v>46434</v>
      </c>
      <c r="U6539" t="s">
        <v>52250</v>
      </c>
      <c r="V6539" t="s">
        <v>59693</v>
      </c>
      <c r="W6539" t="s">
        <v>43141</v>
      </c>
      <c r="X6539" t="s">
        <v>44910</v>
      </c>
    </row>
    <row r="6540" spans="1:24">
      <c r="A6540">
        <f>HYPERLINK("https://www.philgeps.gov.ph/GEPSNONPILOT/Tender/SplashBidNoticeAbstractUI.aspx?menuIndex=3&amp;refID=7078128&amp;Result=3","7078128")</f>
        <v>0</v>
      </c>
      <c r="B6540" t="s">
        <v>1577</v>
      </c>
      <c r="C6540" t="s">
        <v>9764</v>
      </c>
      <c r="D6540" t="s">
        <v>18131</v>
      </c>
      <c r="E6540" t="s">
        <v>9764</v>
      </c>
      <c r="F6540" t="s">
        <v>31362</v>
      </c>
      <c r="G6540" t="s">
        <v>31369</v>
      </c>
      <c r="H6540" t="s">
        <v>15799</v>
      </c>
      <c r="I6540" t="s">
        <v>31480</v>
      </c>
      <c r="J6540" t="s">
        <v>31578</v>
      </c>
      <c r="K6540" t="s">
        <v>40672</v>
      </c>
      <c r="M6540" t="s">
        <v>42631</v>
      </c>
      <c r="N6540" t="s">
        <v>44905</v>
      </c>
      <c r="O6540" t="s">
        <v>44906</v>
      </c>
      <c r="P6540">
        <v>0</v>
      </c>
      <c r="Q6540">
        <v>1</v>
      </c>
      <c r="R6540" t="s">
        <v>44909</v>
      </c>
      <c r="S6540" t="s">
        <v>45060</v>
      </c>
      <c r="T6540" t="s">
        <v>46560</v>
      </c>
      <c r="U6540" t="s">
        <v>52251</v>
      </c>
      <c r="W6540" t="s">
        <v>42631</v>
      </c>
      <c r="X6540" t="s">
        <v>44910</v>
      </c>
    </row>
    <row r="6541" spans="1:24">
      <c r="A6541">
        <f>HYPERLINK("https://www.philgeps.gov.ph/GEPSNONPILOT/Tender/SplashBidNoticeAbstractUI.aspx?menuIndex=3&amp;refID=7078173&amp;Result=3","7078173")</f>
        <v>0</v>
      </c>
      <c r="B6541" t="s">
        <v>2025</v>
      </c>
      <c r="C6541" t="s">
        <v>9765</v>
      </c>
      <c r="E6541" t="s">
        <v>24025</v>
      </c>
      <c r="F6541" t="s">
        <v>31362</v>
      </c>
      <c r="G6541" t="s">
        <v>31369</v>
      </c>
      <c r="H6541" t="s">
        <v>31378</v>
      </c>
      <c r="I6541" t="s">
        <v>31386</v>
      </c>
      <c r="J6541" t="s">
        <v>35565</v>
      </c>
      <c r="K6541" t="s">
        <v>40662</v>
      </c>
      <c r="M6541" t="s">
        <v>43142</v>
      </c>
      <c r="N6541" t="s">
        <v>44905</v>
      </c>
      <c r="O6541" t="s">
        <v>44906</v>
      </c>
      <c r="P6541">
        <v>0</v>
      </c>
      <c r="Q6541">
        <v>0</v>
      </c>
      <c r="R6541" t="s">
        <v>44909</v>
      </c>
      <c r="S6541" t="s">
        <v>45060</v>
      </c>
      <c r="T6541" t="s">
        <v>46612</v>
      </c>
      <c r="U6541" t="s">
        <v>52025</v>
      </c>
      <c r="W6541" t="s">
        <v>43142</v>
      </c>
      <c r="X6541" t="s">
        <v>44910</v>
      </c>
    </row>
    <row r="6542" spans="1:24">
      <c r="A6542">
        <f>HYPERLINK("https://www.philgeps.gov.ph/GEPSNONPILOT/Tender/SplashBidNoticeAbstractUI.aspx?menuIndex=3&amp;refID=7078172&amp;Result=3","7078172")</f>
        <v>0</v>
      </c>
      <c r="B6542" t="s">
        <v>157</v>
      </c>
      <c r="C6542" t="s">
        <v>9766</v>
      </c>
      <c r="D6542" t="s">
        <v>18141</v>
      </c>
      <c r="E6542" t="s">
        <v>9766</v>
      </c>
      <c r="F6542" t="s">
        <v>31362</v>
      </c>
      <c r="G6542" t="s">
        <v>31368</v>
      </c>
      <c r="H6542" t="s">
        <v>15799</v>
      </c>
      <c r="I6542" t="s">
        <v>6373</v>
      </c>
      <c r="J6542" t="s">
        <v>35566</v>
      </c>
      <c r="K6542" t="s">
        <v>40666</v>
      </c>
      <c r="M6542" t="s">
        <v>41095</v>
      </c>
      <c r="N6542" t="s">
        <v>44905</v>
      </c>
      <c r="O6542" t="s">
        <v>44906</v>
      </c>
      <c r="P6542">
        <v>0</v>
      </c>
      <c r="Q6542">
        <v>1</v>
      </c>
      <c r="R6542" t="s">
        <v>44909</v>
      </c>
      <c r="S6542" t="s">
        <v>45060</v>
      </c>
      <c r="T6542" t="s">
        <v>46412</v>
      </c>
      <c r="U6542" t="s">
        <v>52252</v>
      </c>
      <c r="W6542" t="s">
        <v>41095</v>
      </c>
      <c r="X6542" t="s">
        <v>44910</v>
      </c>
    </row>
    <row r="6543" spans="1:24">
      <c r="A6543">
        <f>HYPERLINK("https://www.philgeps.gov.ph/GEPSNONPILOT/Tender/SplashBidNoticeAbstractUI.aspx?menuIndex=3&amp;refID=7078168&amp;Result=3","7078168")</f>
        <v>0</v>
      </c>
      <c r="B6543" t="s">
        <v>2018</v>
      </c>
      <c r="C6543" t="s">
        <v>9767</v>
      </c>
      <c r="D6543" t="s">
        <v>18123</v>
      </c>
      <c r="E6543" t="s">
        <v>20328</v>
      </c>
      <c r="F6543" t="s">
        <v>31362</v>
      </c>
      <c r="G6543" t="s">
        <v>31369</v>
      </c>
      <c r="H6543" t="s">
        <v>31378</v>
      </c>
      <c r="I6543" t="s">
        <v>31386</v>
      </c>
      <c r="J6543" t="s">
        <v>35567</v>
      </c>
      <c r="K6543" t="s">
        <v>40686</v>
      </c>
      <c r="M6543" t="s">
        <v>43134</v>
      </c>
      <c r="N6543" t="s">
        <v>44905</v>
      </c>
      <c r="O6543" t="s">
        <v>44906</v>
      </c>
      <c r="P6543">
        <v>0</v>
      </c>
      <c r="Q6543">
        <v>0</v>
      </c>
      <c r="R6543" t="s">
        <v>44909</v>
      </c>
      <c r="S6543" t="s">
        <v>45060</v>
      </c>
      <c r="T6543" t="s">
        <v>46727</v>
      </c>
      <c r="U6543" t="s">
        <v>52253</v>
      </c>
      <c r="W6543" t="s">
        <v>43134</v>
      </c>
      <c r="X6543" t="s">
        <v>44910</v>
      </c>
    </row>
    <row r="6544" spans="1:24">
      <c r="A6544">
        <f>HYPERLINK("https://www.philgeps.gov.ph/GEPSNONPILOT/Tender/SplashBidNoticeAbstractUI.aspx?menuIndex=3&amp;refID=7078146&amp;Result=3","7078146")</f>
        <v>0</v>
      </c>
      <c r="B6544" t="s">
        <v>519</v>
      </c>
      <c r="C6544" t="s">
        <v>9768</v>
      </c>
      <c r="D6544" t="s">
        <v>18104</v>
      </c>
      <c r="E6544" t="s">
        <v>24026</v>
      </c>
      <c r="F6544" t="s">
        <v>31362</v>
      </c>
      <c r="G6544" t="s">
        <v>31368</v>
      </c>
      <c r="H6544" t="s">
        <v>15799</v>
      </c>
      <c r="I6544" t="s">
        <v>7090</v>
      </c>
      <c r="J6544" t="s">
        <v>31577</v>
      </c>
      <c r="K6544" t="s">
        <v>40665</v>
      </c>
      <c r="M6544" t="s">
        <v>41475</v>
      </c>
      <c r="N6544" t="s">
        <v>44905</v>
      </c>
      <c r="O6544" t="s">
        <v>44906</v>
      </c>
      <c r="P6544">
        <v>0</v>
      </c>
      <c r="Q6544">
        <v>2</v>
      </c>
      <c r="R6544" t="s">
        <v>44909</v>
      </c>
      <c r="S6544" t="s">
        <v>45060</v>
      </c>
      <c r="T6544" t="s">
        <v>46434</v>
      </c>
      <c r="U6544" t="s">
        <v>52254</v>
      </c>
      <c r="W6544" t="s">
        <v>41475</v>
      </c>
      <c r="X6544" t="s">
        <v>44910</v>
      </c>
    </row>
    <row r="6545" spans="1:24">
      <c r="A6545">
        <f>HYPERLINK("https://www.philgeps.gov.ph/GEPSNONPILOT/Tender/SplashBidNoticeAbstractUI.aspx?menuIndex=3&amp;refID=7078139&amp;Result=3","7078139")</f>
        <v>0</v>
      </c>
      <c r="B6545" t="s">
        <v>2026</v>
      </c>
      <c r="C6545" t="s">
        <v>9769</v>
      </c>
      <c r="D6545" t="s">
        <v>18110</v>
      </c>
      <c r="E6545" t="s">
        <v>24027</v>
      </c>
      <c r="F6545" t="s">
        <v>31362</v>
      </c>
      <c r="G6545" t="s">
        <v>31368</v>
      </c>
      <c r="H6545" t="s">
        <v>15799</v>
      </c>
      <c r="I6545" t="s">
        <v>31390</v>
      </c>
      <c r="J6545" t="s">
        <v>35568</v>
      </c>
      <c r="K6545" t="s">
        <v>40665</v>
      </c>
      <c r="M6545" t="s">
        <v>43143</v>
      </c>
      <c r="N6545" t="s">
        <v>44905</v>
      </c>
      <c r="O6545" t="s">
        <v>44906</v>
      </c>
      <c r="P6545">
        <v>0</v>
      </c>
      <c r="Q6545">
        <v>0</v>
      </c>
      <c r="R6545" t="s">
        <v>44909</v>
      </c>
      <c r="S6545" t="s">
        <v>45060</v>
      </c>
      <c r="T6545" t="s">
        <v>46414</v>
      </c>
      <c r="U6545" t="s">
        <v>52255</v>
      </c>
      <c r="W6545" t="s">
        <v>43143</v>
      </c>
      <c r="X6545" t="s">
        <v>44910</v>
      </c>
    </row>
    <row r="6546" spans="1:24">
      <c r="A6546">
        <f>HYPERLINK("https://www.philgeps.gov.ph/GEPSNONPILOT/Tender/SplashBidNoticeAbstractUI.aspx?menuIndex=3&amp;refID=7078157&amp;Result=3","7078157")</f>
        <v>0</v>
      </c>
      <c r="B6546" t="s">
        <v>2027</v>
      </c>
      <c r="C6546" t="s">
        <v>9770</v>
      </c>
      <c r="D6546" t="s">
        <v>18117</v>
      </c>
      <c r="E6546" t="s">
        <v>24028</v>
      </c>
      <c r="F6546" t="s">
        <v>31362</v>
      </c>
      <c r="G6546" t="s">
        <v>31368</v>
      </c>
      <c r="H6546" t="s">
        <v>15799</v>
      </c>
      <c r="I6546" t="s">
        <v>31410</v>
      </c>
      <c r="J6546" t="s">
        <v>32001</v>
      </c>
      <c r="K6546" t="s">
        <v>40665</v>
      </c>
      <c r="M6546" t="s">
        <v>43144</v>
      </c>
      <c r="N6546" t="s">
        <v>44905</v>
      </c>
      <c r="O6546" t="s">
        <v>44906</v>
      </c>
      <c r="P6546">
        <v>0</v>
      </c>
      <c r="Q6546">
        <v>0</v>
      </c>
      <c r="R6546" t="s">
        <v>44909</v>
      </c>
      <c r="S6546" t="s">
        <v>45060</v>
      </c>
      <c r="T6546" t="s">
        <v>46454</v>
      </c>
      <c r="U6546" t="s">
        <v>52256</v>
      </c>
      <c r="W6546" t="s">
        <v>43144</v>
      </c>
      <c r="X6546" t="s">
        <v>44910</v>
      </c>
    </row>
    <row r="6547" spans="1:24">
      <c r="A6547">
        <f>HYPERLINK("https://www.philgeps.gov.ph/GEPSNONPILOT/Tender/SplashBidNoticeAbstractUI.aspx?menuIndex=3&amp;refID=7078166&amp;Result=3","7078166")</f>
        <v>0</v>
      </c>
      <c r="B6547" t="s">
        <v>2028</v>
      </c>
      <c r="C6547" t="s">
        <v>9771</v>
      </c>
      <c r="D6547" t="s">
        <v>18135</v>
      </c>
      <c r="E6547" t="s">
        <v>22989</v>
      </c>
      <c r="F6547" t="s">
        <v>31362</v>
      </c>
      <c r="G6547" t="s">
        <v>31369</v>
      </c>
      <c r="H6547" t="s">
        <v>15799</v>
      </c>
      <c r="I6547" t="s">
        <v>31409</v>
      </c>
      <c r="J6547" t="s">
        <v>32018</v>
      </c>
      <c r="K6547" t="s">
        <v>40665</v>
      </c>
      <c r="M6547" t="s">
        <v>43145</v>
      </c>
      <c r="N6547" t="s">
        <v>44905</v>
      </c>
      <c r="O6547" t="s">
        <v>44906</v>
      </c>
      <c r="P6547">
        <v>0</v>
      </c>
      <c r="Q6547">
        <v>0</v>
      </c>
      <c r="R6547" t="s">
        <v>44909</v>
      </c>
      <c r="S6547" t="s">
        <v>45060</v>
      </c>
      <c r="T6547" t="s">
        <v>46435</v>
      </c>
      <c r="U6547" t="s">
        <v>52257</v>
      </c>
      <c r="W6547" t="s">
        <v>43145</v>
      </c>
      <c r="X6547" t="s">
        <v>44910</v>
      </c>
    </row>
    <row r="6548" spans="1:24">
      <c r="A6548">
        <f>HYPERLINK("https://www.philgeps.gov.ph/GEPSNONPILOT/Tender/SplashBidNoticeAbstractUI.aspx?menuIndex=3&amp;refID=7078156&amp;Result=3","7078156")</f>
        <v>0</v>
      </c>
      <c r="B6548" t="s">
        <v>1577</v>
      </c>
      <c r="C6548" t="s">
        <v>9772</v>
      </c>
      <c r="D6548" t="s">
        <v>18131</v>
      </c>
      <c r="E6548" t="s">
        <v>9772</v>
      </c>
      <c r="F6548" t="s">
        <v>31362</v>
      </c>
      <c r="G6548" t="s">
        <v>31369</v>
      </c>
      <c r="H6548" t="s">
        <v>15799</v>
      </c>
      <c r="I6548" t="s">
        <v>3582</v>
      </c>
      <c r="J6548" t="s">
        <v>31530</v>
      </c>
      <c r="K6548" t="s">
        <v>40720</v>
      </c>
      <c r="M6548" t="s">
        <v>42631</v>
      </c>
      <c r="N6548" t="s">
        <v>44905</v>
      </c>
      <c r="O6548" t="s">
        <v>44906</v>
      </c>
      <c r="P6548">
        <v>0</v>
      </c>
      <c r="Q6548">
        <v>1</v>
      </c>
      <c r="R6548" t="s">
        <v>44909</v>
      </c>
      <c r="S6548" t="s">
        <v>45060</v>
      </c>
      <c r="T6548" t="s">
        <v>46560</v>
      </c>
      <c r="U6548" t="s">
        <v>52251</v>
      </c>
      <c r="W6548" t="s">
        <v>42631</v>
      </c>
      <c r="X6548" t="s">
        <v>44910</v>
      </c>
    </row>
    <row r="6549" spans="1:24">
      <c r="A6549">
        <f>HYPERLINK("https://www.philgeps.gov.ph/GEPSNONPILOT/Tender/SplashBidNoticeAbstractUI.aspx?menuIndex=3&amp;refID=7078169&amp;Result=3","7078169")</f>
        <v>0</v>
      </c>
      <c r="B6549" t="s">
        <v>608</v>
      </c>
      <c r="C6549" t="s">
        <v>9773</v>
      </c>
      <c r="D6549" t="s">
        <v>18122</v>
      </c>
      <c r="E6549" t="s">
        <v>24029</v>
      </c>
      <c r="F6549" t="s">
        <v>31362</v>
      </c>
      <c r="G6549" t="s">
        <v>31368</v>
      </c>
      <c r="H6549" t="s">
        <v>15799</v>
      </c>
      <c r="I6549" t="s">
        <v>31387</v>
      </c>
      <c r="J6549" t="s">
        <v>31577</v>
      </c>
      <c r="K6549" t="s">
        <v>40666</v>
      </c>
      <c r="M6549" t="s">
        <v>41566</v>
      </c>
      <c r="N6549" t="s">
        <v>44905</v>
      </c>
      <c r="O6549" t="s">
        <v>44906</v>
      </c>
      <c r="P6549">
        <v>0</v>
      </c>
      <c r="Q6549">
        <v>0</v>
      </c>
      <c r="R6549" t="s">
        <v>44909</v>
      </c>
      <c r="S6549" t="s">
        <v>45060</v>
      </c>
      <c r="T6549" t="s">
        <v>46432</v>
      </c>
      <c r="U6549" t="s">
        <v>52258</v>
      </c>
      <c r="V6549" t="s">
        <v>59602</v>
      </c>
      <c r="W6549" t="s">
        <v>41566</v>
      </c>
      <c r="X6549" t="s">
        <v>44910</v>
      </c>
    </row>
    <row r="6550" spans="1:24">
      <c r="A6550">
        <f>HYPERLINK("https://www.philgeps.gov.ph/GEPSNONPILOT/Tender/SplashBidNoticeAbstractUI.aspx?menuIndex=3&amp;refID=7078153&amp;Result=3","7078153")</f>
        <v>0</v>
      </c>
      <c r="B6550" t="s">
        <v>622</v>
      </c>
      <c r="C6550" t="s">
        <v>9774</v>
      </c>
      <c r="D6550" t="s">
        <v>18108</v>
      </c>
      <c r="E6550" t="s">
        <v>24030</v>
      </c>
      <c r="F6550" t="s">
        <v>31362</v>
      </c>
      <c r="G6550" t="s">
        <v>31368</v>
      </c>
      <c r="H6550" t="s">
        <v>15799</v>
      </c>
      <c r="I6550" t="s">
        <v>31388</v>
      </c>
      <c r="J6550" t="s">
        <v>31530</v>
      </c>
      <c r="K6550" t="s">
        <v>40666</v>
      </c>
      <c r="M6550" t="s">
        <v>41581</v>
      </c>
      <c r="N6550" t="s">
        <v>44905</v>
      </c>
      <c r="O6550" t="s">
        <v>44906</v>
      </c>
      <c r="P6550">
        <v>0</v>
      </c>
      <c r="Q6550">
        <v>0</v>
      </c>
      <c r="R6550" t="s">
        <v>44909</v>
      </c>
      <c r="S6550" t="s">
        <v>45060</v>
      </c>
      <c r="T6550" t="s">
        <v>46404</v>
      </c>
      <c r="U6550" t="s">
        <v>48113</v>
      </c>
      <c r="W6550" t="s">
        <v>41581</v>
      </c>
      <c r="X6550" t="s">
        <v>44910</v>
      </c>
    </row>
    <row r="6551" spans="1:24">
      <c r="A6551">
        <f>HYPERLINK("https://www.philgeps.gov.ph/GEPSNONPILOT/Tender/SplashBidNoticeAbstractUI.aspx?menuIndex=3&amp;refID=7078151&amp;Result=3","7078151")</f>
        <v>0</v>
      </c>
      <c r="B6551" t="s">
        <v>2002</v>
      </c>
      <c r="C6551" t="s">
        <v>9775</v>
      </c>
      <c r="D6551" t="s">
        <v>18162</v>
      </c>
      <c r="E6551" t="s">
        <v>24031</v>
      </c>
      <c r="F6551" t="s">
        <v>31362</v>
      </c>
      <c r="G6551" t="s">
        <v>31369</v>
      </c>
      <c r="H6551" t="s">
        <v>15799</v>
      </c>
      <c r="I6551" t="s">
        <v>31386</v>
      </c>
      <c r="J6551" t="s">
        <v>35569</v>
      </c>
      <c r="K6551" t="s">
        <v>40670</v>
      </c>
      <c r="M6551" t="s">
        <v>43113</v>
      </c>
      <c r="N6551" t="s">
        <v>44905</v>
      </c>
      <c r="O6551" t="s">
        <v>44906</v>
      </c>
      <c r="P6551">
        <v>0</v>
      </c>
      <c r="Q6551">
        <v>0</v>
      </c>
      <c r="R6551" t="s">
        <v>44909</v>
      </c>
      <c r="S6551" t="s">
        <v>45060</v>
      </c>
      <c r="T6551" t="s">
        <v>46400</v>
      </c>
      <c r="U6551" t="s">
        <v>52259</v>
      </c>
      <c r="V6551" t="s">
        <v>59676</v>
      </c>
      <c r="W6551" t="s">
        <v>43113</v>
      </c>
      <c r="X6551" t="s">
        <v>44910</v>
      </c>
    </row>
    <row r="6552" spans="1:24">
      <c r="A6552">
        <f>HYPERLINK("https://www.philgeps.gov.ph/GEPSNONPILOT/Tender/SplashBidNoticeAbstractUI.aspx?menuIndex=3&amp;refID=7078150&amp;Result=3","7078150")</f>
        <v>0</v>
      </c>
      <c r="B6552" t="s">
        <v>335</v>
      </c>
      <c r="C6552" t="s">
        <v>9776</v>
      </c>
      <c r="D6552" t="s">
        <v>18108</v>
      </c>
      <c r="E6552" t="s">
        <v>24032</v>
      </c>
      <c r="F6552" t="s">
        <v>31362</v>
      </c>
      <c r="G6552" t="s">
        <v>31368</v>
      </c>
      <c r="H6552" t="s">
        <v>15799</v>
      </c>
      <c r="I6552" t="s">
        <v>31421</v>
      </c>
      <c r="J6552" t="s">
        <v>35570</v>
      </c>
      <c r="K6552" t="s">
        <v>40661</v>
      </c>
      <c r="M6552" t="s">
        <v>43136</v>
      </c>
      <c r="N6552" t="s">
        <v>44905</v>
      </c>
      <c r="O6552" t="s">
        <v>44906</v>
      </c>
      <c r="P6552">
        <v>0</v>
      </c>
      <c r="Q6552">
        <v>0</v>
      </c>
      <c r="R6552" t="s">
        <v>44909</v>
      </c>
      <c r="S6552" t="s">
        <v>45060</v>
      </c>
      <c r="T6552" t="s">
        <v>46447</v>
      </c>
      <c r="U6552" t="s">
        <v>47539</v>
      </c>
      <c r="W6552" t="s">
        <v>43136</v>
      </c>
      <c r="X6552" t="s">
        <v>44910</v>
      </c>
    </row>
    <row r="6553" spans="1:24">
      <c r="A6553">
        <f>HYPERLINK("https://www.philgeps.gov.ph/GEPSNONPILOT/Tender/SplashBidNoticeAbstractUI.aspx?menuIndex=3&amp;refID=7078124&amp;Result=3","7078124")</f>
        <v>0</v>
      </c>
      <c r="B6553" t="s">
        <v>1965</v>
      </c>
      <c r="C6553" t="s">
        <v>9777</v>
      </c>
      <c r="D6553" t="s">
        <v>18114</v>
      </c>
      <c r="E6553" t="s">
        <v>24033</v>
      </c>
      <c r="F6553" t="s">
        <v>31362</v>
      </c>
      <c r="G6553" t="s">
        <v>31368</v>
      </c>
      <c r="H6553" t="s">
        <v>15799</v>
      </c>
      <c r="I6553" t="s">
        <v>4942</v>
      </c>
      <c r="J6553" t="s">
        <v>35571</v>
      </c>
      <c r="K6553" t="s">
        <v>40715</v>
      </c>
      <c r="M6553" t="s">
        <v>43071</v>
      </c>
      <c r="N6553" t="s">
        <v>44905</v>
      </c>
      <c r="O6553" t="s">
        <v>44906</v>
      </c>
      <c r="P6553">
        <v>0</v>
      </c>
      <c r="Q6553">
        <v>0</v>
      </c>
      <c r="R6553" t="s">
        <v>44909</v>
      </c>
      <c r="S6553" t="s">
        <v>45060</v>
      </c>
      <c r="T6553" t="s">
        <v>46414</v>
      </c>
      <c r="U6553" t="s">
        <v>52260</v>
      </c>
      <c r="W6553" t="s">
        <v>43071</v>
      </c>
      <c r="X6553" t="s">
        <v>44910</v>
      </c>
    </row>
    <row r="6554" spans="1:24">
      <c r="A6554">
        <f>HYPERLINK("https://www.philgeps.gov.ph/GEPSNONPILOT/Tender/SplashBidNoticeAbstractUI.aspx?menuIndex=3&amp;refID=7078148&amp;Result=3","7078148")</f>
        <v>0</v>
      </c>
      <c r="B6554" t="s">
        <v>623</v>
      </c>
      <c r="C6554" t="s">
        <v>9778</v>
      </c>
      <c r="D6554" t="s">
        <v>18146</v>
      </c>
      <c r="E6554" t="s">
        <v>24034</v>
      </c>
      <c r="F6554" t="s">
        <v>31362</v>
      </c>
      <c r="G6554" t="s">
        <v>31368</v>
      </c>
      <c r="H6554" t="s">
        <v>15799</v>
      </c>
      <c r="I6554" t="s">
        <v>31397</v>
      </c>
      <c r="J6554" t="s">
        <v>31688</v>
      </c>
      <c r="K6554" t="s">
        <v>40682</v>
      </c>
      <c r="M6554" t="s">
        <v>41582</v>
      </c>
      <c r="N6554" t="s">
        <v>44905</v>
      </c>
      <c r="O6554" t="s">
        <v>44906</v>
      </c>
      <c r="P6554">
        <v>0</v>
      </c>
      <c r="Q6554">
        <v>4</v>
      </c>
      <c r="R6554" t="s">
        <v>44909</v>
      </c>
      <c r="S6554" t="s">
        <v>45060</v>
      </c>
      <c r="T6554" t="s">
        <v>46411</v>
      </c>
      <c r="U6554" t="s">
        <v>52261</v>
      </c>
      <c r="V6554" t="s">
        <v>59694</v>
      </c>
      <c r="W6554" t="s">
        <v>41582</v>
      </c>
      <c r="X6554" t="s">
        <v>44910</v>
      </c>
    </row>
    <row r="6555" spans="1:24">
      <c r="A6555">
        <f>HYPERLINK("https://www.philgeps.gov.ph/GEPSNONPILOT/Tender/SplashBidNoticeAbstractUI.aspx?menuIndex=3&amp;refID=7078154&amp;Result=3","7078154")</f>
        <v>0</v>
      </c>
      <c r="B6555" t="s">
        <v>2029</v>
      </c>
      <c r="C6555" t="s">
        <v>9779</v>
      </c>
      <c r="D6555" t="s">
        <v>18127</v>
      </c>
      <c r="E6555" t="s">
        <v>24035</v>
      </c>
      <c r="F6555" t="s">
        <v>31362</v>
      </c>
      <c r="G6555" t="s">
        <v>31369</v>
      </c>
      <c r="H6555" t="s">
        <v>31378</v>
      </c>
      <c r="I6555" t="s">
        <v>31386</v>
      </c>
      <c r="J6555" t="s">
        <v>31688</v>
      </c>
      <c r="K6555" t="s">
        <v>40677</v>
      </c>
      <c r="M6555" t="s">
        <v>43146</v>
      </c>
      <c r="N6555" t="s">
        <v>44905</v>
      </c>
      <c r="O6555" t="s">
        <v>44906</v>
      </c>
      <c r="P6555">
        <v>0</v>
      </c>
      <c r="Q6555">
        <v>0</v>
      </c>
      <c r="R6555" t="s">
        <v>44909</v>
      </c>
      <c r="S6555" t="s">
        <v>45060</v>
      </c>
      <c r="T6555" t="s">
        <v>46519</v>
      </c>
      <c r="U6555" t="s">
        <v>52262</v>
      </c>
      <c r="W6555" t="s">
        <v>43146</v>
      </c>
      <c r="X6555" t="s">
        <v>44910</v>
      </c>
    </row>
    <row r="6556" spans="1:24">
      <c r="A6556">
        <f>HYPERLINK("https://www.philgeps.gov.ph/GEPSNONPILOT/Tender/SplashBidNoticeAbstractUI.aspx?menuIndex=3&amp;refID=7078147&amp;Result=3","7078147")</f>
        <v>0</v>
      </c>
      <c r="B6556" t="s">
        <v>1487</v>
      </c>
      <c r="C6556" t="s">
        <v>9780</v>
      </c>
      <c r="D6556" t="s">
        <v>18180</v>
      </c>
      <c r="E6556" t="s">
        <v>24036</v>
      </c>
      <c r="F6556" t="s">
        <v>31362</v>
      </c>
      <c r="G6556" t="s">
        <v>31371</v>
      </c>
      <c r="H6556" t="s">
        <v>15799</v>
      </c>
      <c r="I6556" t="s">
        <v>6373</v>
      </c>
      <c r="J6556" t="s">
        <v>35572</v>
      </c>
      <c r="K6556" t="s">
        <v>40662</v>
      </c>
      <c r="M6556" t="s">
        <v>42524</v>
      </c>
      <c r="N6556" t="s">
        <v>44905</v>
      </c>
      <c r="O6556" t="s">
        <v>44906</v>
      </c>
      <c r="P6556">
        <v>0</v>
      </c>
      <c r="Q6556">
        <v>1</v>
      </c>
      <c r="R6556" t="s">
        <v>44909</v>
      </c>
      <c r="S6556" t="s">
        <v>45060</v>
      </c>
      <c r="T6556" t="s">
        <v>46414</v>
      </c>
      <c r="U6556" t="s">
        <v>52263</v>
      </c>
      <c r="W6556" t="s">
        <v>42524</v>
      </c>
      <c r="X6556" t="s">
        <v>44910</v>
      </c>
    </row>
    <row r="6557" spans="1:24">
      <c r="A6557">
        <f>HYPERLINK("https://www.philgeps.gov.ph/GEPSNONPILOT/Tender/SplashBidNoticeAbstractUI.aspx?menuIndex=3&amp;refID=7078175&amp;Result=3","7078175")</f>
        <v>0</v>
      </c>
      <c r="B6557" t="s">
        <v>622</v>
      </c>
      <c r="C6557" t="s">
        <v>9781</v>
      </c>
      <c r="D6557" t="s">
        <v>18108</v>
      </c>
      <c r="E6557" t="s">
        <v>24037</v>
      </c>
      <c r="F6557" t="s">
        <v>31362</v>
      </c>
      <c r="G6557" t="s">
        <v>31371</v>
      </c>
      <c r="H6557" t="s">
        <v>15799</v>
      </c>
      <c r="I6557" t="s">
        <v>31383</v>
      </c>
      <c r="J6557" t="s">
        <v>31889</v>
      </c>
      <c r="K6557" t="s">
        <v>40666</v>
      </c>
      <c r="M6557" t="s">
        <v>41581</v>
      </c>
      <c r="N6557" t="s">
        <v>44905</v>
      </c>
      <c r="O6557" t="s">
        <v>44906</v>
      </c>
      <c r="P6557">
        <v>0</v>
      </c>
      <c r="Q6557">
        <v>9</v>
      </c>
      <c r="R6557" t="s">
        <v>44909</v>
      </c>
      <c r="S6557" t="s">
        <v>45060</v>
      </c>
      <c r="T6557" t="s">
        <v>46404</v>
      </c>
      <c r="U6557" t="s">
        <v>48113</v>
      </c>
      <c r="W6557" t="s">
        <v>41581</v>
      </c>
      <c r="X6557" t="s">
        <v>44910</v>
      </c>
    </row>
    <row r="6558" spans="1:24">
      <c r="A6558">
        <f>HYPERLINK("https://www.philgeps.gov.ph/GEPSNONPILOT/Tender/SplashBidNoticeAbstractUI.aspx?menuIndex=3&amp;refID=7078207&amp;Result=3","7078207")</f>
        <v>0</v>
      </c>
      <c r="B6558" t="s">
        <v>1977</v>
      </c>
      <c r="C6558" t="s">
        <v>9782</v>
      </c>
      <c r="D6558" t="s">
        <v>18107</v>
      </c>
      <c r="E6558" t="s">
        <v>24038</v>
      </c>
      <c r="F6558" t="s">
        <v>31362</v>
      </c>
      <c r="G6558" t="s">
        <v>31369</v>
      </c>
      <c r="H6558" t="s">
        <v>31378</v>
      </c>
      <c r="I6558" t="s">
        <v>31386</v>
      </c>
      <c r="J6558" t="s">
        <v>31637</v>
      </c>
      <c r="K6558" t="s">
        <v>40722</v>
      </c>
      <c r="M6558" t="s">
        <v>43085</v>
      </c>
      <c r="N6558" t="s">
        <v>44905</v>
      </c>
      <c r="O6558" t="s">
        <v>44906</v>
      </c>
      <c r="P6558">
        <v>0</v>
      </c>
      <c r="Q6558">
        <v>0</v>
      </c>
      <c r="R6558" t="s">
        <v>44909</v>
      </c>
      <c r="S6558" t="s">
        <v>45060</v>
      </c>
      <c r="T6558" t="s">
        <v>46728</v>
      </c>
      <c r="U6558" t="s">
        <v>52264</v>
      </c>
      <c r="W6558" t="s">
        <v>43085</v>
      </c>
      <c r="X6558" t="s">
        <v>44910</v>
      </c>
    </row>
    <row r="6559" spans="1:24">
      <c r="A6559">
        <f>HYPERLINK("https://www.philgeps.gov.ph/GEPSNONPILOT/Tender/SplashBidNoticeAbstractUI.aspx?menuIndex=3&amp;refID=7078204&amp;Result=3","7078204")</f>
        <v>0</v>
      </c>
      <c r="B6559" t="s">
        <v>2030</v>
      </c>
      <c r="C6559" t="s">
        <v>9783</v>
      </c>
      <c r="E6559" t="s">
        <v>24039</v>
      </c>
      <c r="F6559" t="s">
        <v>31362</v>
      </c>
      <c r="G6559" t="s">
        <v>31368</v>
      </c>
      <c r="H6559" t="s">
        <v>15799</v>
      </c>
      <c r="I6559" t="s">
        <v>6240</v>
      </c>
      <c r="J6559" t="s">
        <v>35573</v>
      </c>
      <c r="K6559" t="s">
        <v>40662</v>
      </c>
      <c r="M6559" t="s">
        <v>43147</v>
      </c>
      <c r="N6559" t="s">
        <v>44905</v>
      </c>
      <c r="O6559" t="s">
        <v>44906</v>
      </c>
      <c r="P6559">
        <v>0</v>
      </c>
      <c r="Q6559">
        <v>0</v>
      </c>
      <c r="R6559" t="s">
        <v>44909</v>
      </c>
      <c r="S6559" t="s">
        <v>45060</v>
      </c>
      <c r="T6559" t="s">
        <v>46432</v>
      </c>
      <c r="U6559" t="s">
        <v>52265</v>
      </c>
      <c r="W6559" t="s">
        <v>43147</v>
      </c>
      <c r="X6559" t="s">
        <v>44910</v>
      </c>
    </row>
    <row r="6560" spans="1:24">
      <c r="A6560">
        <f>HYPERLINK("https://www.philgeps.gov.ph/GEPSNONPILOT/Tender/SplashBidNoticeAbstractUI.aspx?menuIndex=3&amp;refID=7078203&amp;Result=3","7078203")</f>
        <v>0</v>
      </c>
      <c r="B6560" t="s">
        <v>54</v>
      </c>
      <c r="C6560" t="s">
        <v>9784</v>
      </c>
      <c r="E6560" t="s">
        <v>24040</v>
      </c>
      <c r="F6560" t="s">
        <v>31362</v>
      </c>
      <c r="G6560" t="s">
        <v>31368</v>
      </c>
      <c r="H6560" t="s">
        <v>15799</v>
      </c>
      <c r="I6560" t="s">
        <v>7188</v>
      </c>
      <c r="J6560" t="s">
        <v>35574</v>
      </c>
      <c r="K6560" t="s">
        <v>40662</v>
      </c>
      <c r="M6560" t="s">
        <v>43148</v>
      </c>
      <c r="N6560" t="s">
        <v>44905</v>
      </c>
      <c r="O6560" t="s">
        <v>44906</v>
      </c>
      <c r="P6560">
        <v>0</v>
      </c>
      <c r="Q6560">
        <v>3</v>
      </c>
      <c r="R6560" t="s">
        <v>44909</v>
      </c>
      <c r="S6560" t="s">
        <v>45060</v>
      </c>
      <c r="T6560" t="s">
        <v>46454</v>
      </c>
      <c r="U6560" t="s">
        <v>52266</v>
      </c>
      <c r="V6560" t="s">
        <v>59695</v>
      </c>
      <c r="W6560" t="s">
        <v>43148</v>
      </c>
      <c r="X6560" t="s">
        <v>44910</v>
      </c>
    </row>
    <row r="6561" spans="1:24">
      <c r="A6561">
        <f>HYPERLINK("https://www.philgeps.gov.ph/GEPSNONPILOT/Tender/SplashBidNoticeAbstractUI.aspx?menuIndex=3&amp;refID=7078155&amp;Result=3","7078155")</f>
        <v>0</v>
      </c>
      <c r="B6561" t="s">
        <v>628</v>
      </c>
      <c r="C6561" t="s">
        <v>9785</v>
      </c>
      <c r="D6561" t="s">
        <v>18116</v>
      </c>
      <c r="E6561" t="s">
        <v>24041</v>
      </c>
      <c r="F6561" t="s">
        <v>31362</v>
      </c>
      <c r="G6561" t="s">
        <v>31368</v>
      </c>
      <c r="H6561" t="s">
        <v>15799</v>
      </c>
      <c r="I6561" t="s">
        <v>31385</v>
      </c>
      <c r="J6561" t="s">
        <v>35575</v>
      </c>
      <c r="K6561" t="s">
        <v>40662</v>
      </c>
      <c r="M6561" t="s">
        <v>41588</v>
      </c>
      <c r="N6561" t="s">
        <v>44905</v>
      </c>
      <c r="O6561" t="s">
        <v>44906</v>
      </c>
      <c r="P6561">
        <v>0</v>
      </c>
      <c r="Q6561">
        <v>1</v>
      </c>
      <c r="R6561" t="s">
        <v>44909</v>
      </c>
      <c r="S6561" t="s">
        <v>45060</v>
      </c>
      <c r="T6561" t="s">
        <v>46443</v>
      </c>
      <c r="U6561" t="s">
        <v>52267</v>
      </c>
      <c r="W6561" t="s">
        <v>41588</v>
      </c>
      <c r="X6561" t="s">
        <v>44910</v>
      </c>
    </row>
    <row r="6562" spans="1:24">
      <c r="A6562">
        <f>HYPERLINK("https://www.philgeps.gov.ph/GEPSNONPILOT/Tender/SplashBidNoticeAbstractUI.aspx?menuIndex=3&amp;refID=7078202&amp;Result=3","7078202")</f>
        <v>0</v>
      </c>
      <c r="B6562" t="s">
        <v>2031</v>
      </c>
      <c r="C6562" t="s">
        <v>9786</v>
      </c>
      <c r="D6562" t="s">
        <v>18180</v>
      </c>
      <c r="E6562" t="s">
        <v>24042</v>
      </c>
      <c r="F6562" t="s">
        <v>31362</v>
      </c>
      <c r="G6562" t="s">
        <v>31369</v>
      </c>
      <c r="H6562" t="s">
        <v>31378</v>
      </c>
      <c r="I6562" t="s">
        <v>31386</v>
      </c>
      <c r="J6562" t="s">
        <v>35576</v>
      </c>
      <c r="K6562" t="s">
        <v>40687</v>
      </c>
      <c r="M6562" t="s">
        <v>43149</v>
      </c>
      <c r="N6562" t="s">
        <v>44905</v>
      </c>
      <c r="O6562" t="s">
        <v>44906</v>
      </c>
      <c r="P6562">
        <v>0</v>
      </c>
      <c r="Q6562">
        <v>0</v>
      </c>
      <c r="R6562" t="s">
        <v>44909</v>
      </c>
      <c r="S6562" t="s">
        <v>45060</v>
      </c>
      <c r="T6562" t="s">
        <v>46464</v>
      </c>
      <c r="U6562" t="s">
        <v>52268</v>
      </c>
      <c r="W6562" t="s">
        <v>43149</v>
      </c>
      <c r="X6562" t="s">
        <v>44910</v>
      </c>
    </row>
    <row r="6563" spans="1:24">
      <c r="A6563">
        <f>HYPERLINK("https://www.philgeps.gov.ph/GEPSNONPILOT/Tender/SplashBidNoticeAbstractUI.aspx?menuIndex=3&amp;refID=7078213&amp;Result=3","7078213")</f>
        <v>0</v>
      </c>
      <c r="B6563" t="s">
        <v>622</v>
      </c>
      <c r="C6563" t="s">
        <v>9787</v>
      </c>
      <c r="D6563" t="s">
        <v>18108</v>
      </c>
      <c r="E6563" t="s">
        <v>24043</v>
      </c>
      <c r="F6563" t="s">
        <v>31362</v>
      </c>
      <c r="G6563" t="s">
        <v>31368</v>
      </c>
      <c r="H6563" t="s">
        <v>15799</v>
      </c>
      <c r="I6563" t="s">
        <v>31384</v>
      </c>
      <c r="J6563" t="s">
        <v>33996</v>
      </c>
      <c r="K6563" t="s">
        <v>40666</v>
      </c>
      <c r="M6563" t="s">
        <v>41581</v>
      </c>
      <c r="N6563" t="s">
        <v>44905</v>
      </c>
      <c r="O6563" t="s">
        <v>44906</v>
      </c>
      <c r="P6563">
        <v>0</v>
      </c>
      <c r="Q6563">
        <v>20</v>
      </c>
      <c r="R6563" t="s">
        <v>44909</v>
      </c>
      <c r="S6563" t="s">
        <v>45060</v>
      </c>
      <c r="T6563" t="s">
        <v>46404</v>
      </c>
      <c r="U6563" t="s">
        <v>48113</v>
      </c>
      <c r="W6563" t="s">
        <v>41581</v>
      </c>
      <c r="X6563" t="s">
        <v>44910</v>
      </c>
    </row>
    <row r="6564" spans="1:24">
      <c r="A6564">
        <f>HYPERLINK("https://www.philgeps.gov.ph/GEPSNONPILOT/Tender/SplashBidNoticeAbstractUI.aspx?menuIndex=3&amp;refID=7078177&amp;Result=3","7078177")</f>
        <v>0</v>
      </c>
      <c r="B6564" t="s">
        <v>1714</v>
      </c>
      <c r="C6564" t="s">
        <v>9788</v>
      </c>
      <c r="D6564" t="s">
        <v>18149</v>
      </c>
      <c r="E6564" t="s">
        <v>24044</v>
      </c>
      <c r="F6564" t="s">
        <v>31362</v>
      </c>
      <c r="G6564" t="s">
        <v>31371</v>
      </c>
      <c r="H6564" t="s">
        <v>15799</v>
      </c>
      <c r="I6564" t="s">
        <v>31430</v>
      </c>
      <c r="J6564" t="s">
        <v>35577</v>
      </c>
      <c r="K6564" t="s">
        <v>40661</v>
      </c>
      <c r="M6564" t="s">
        <v>42782</v>
      </c>
      <c r="N6564" t="s">
        <v>44905</v>
      </c>
      <c r="O6564" t="s">
        <v>44906</v>
      </c>
      <c r="P6564">
        <v>0</v>
      </c>
      <c r="Q6564">
        <v>1</v>
      </c>
      <c r="R6564" t="s">
        <v>44909</v>
      </c>
      <c r="S6564" t="s">
        <v>45060</v>
      </c>
      <c r="T6564" t="s">
        <v>46409</v>
      </c>
      <c r="U6564" t="s">
        <v>52269</v>
      </c>
      <c r="W6564" t="s">
        <v>42782</v>
      </c>
      <c r="X6564" t="s">
        <v>44910</v>
      </c>
    </row>
    <row r="6565" spans="1:24">
      <c r="A6565">
        <f>HYPERLINK("https://www.philgeps.gov.ph/GEPSNONPILOT/Tender/SplashBidNoticeAbstractUI.aspx?menuIndex=3&amp;refID=7078210&amp;Result=3","7078210")</f>
        <v>0</v>
      </c>
      <c r="B6565" t="s">
        <v>2007</v>
      </c>
      <c r="C6565" t="s">
        <v>9789</v>
      </c>
      <c r="D6565" t="s">
        <v>18120</v>
      </c>
      <c r="E6565" t="s">
        <v>24045</v>
      </c>
      <c r="F6565" t="s">
        <v>31362</v>
      </c>
      <c r="G6565" t="s">
        <v>31370</v>
      </c>
      <c r="H6565" t="s">
        <v>15799</v>
      </c>
      <c r="I6565" t="s">
        <v>31456</v>
      </c>
      <c r="J6565" t="s">
        <v>35578</v>
      </c>
      <c r="K6565" t="s">
        <v>40662</v>
      </c>
      <c r="M6565" t="s">
        <v>43121</v>
      </c>
      <c r="N6565" t="s">
        <v>44905</v>
      </c>
      <c r="O6565" t="s">
        <v>44906</v>
      </c>
      <c r="P6565">
        <v>0</v>
      </c>
      <c r="Q6565">
        <v>4</v>
      </c>
      <c r="R6565" t="s">
        <v>44909</v>
      </c>
      <c r="S6565" t="s">
        <v>45060</v>
      </c>
      <c r="T6565" t="s">
        <v>46415</v>
      </c>
      <c r="U6565" t="s">
        <v>52270</v>
      </c>
      <c r="W6565" t="s">
        <v>43121</v>
      </c>
      <c r="X6565" t="s">
        <v>44910</v>
      </c>
    </row>
    <row r="6566" spans="1:24">
      <c r="A6566">
        <f>HYPERLINK("https://www.philgeps.gov.ph/GEPSNONPILOT/Tender/SplashBidNoticeAbstractUI.aspx?menuIndex=3&amp;refID=7078161&amp;Result=3","7078161")</f>
        <v>0</v>
      </c>
      <c r="B6566" t="s">
        <v>2032</v>
      </c>
      <c r="C6566" t="s">
        <v>9790</v>
      </c>
      <c r="D6566" t="s">
        <v>18164</v>
      </c>
      <c r="E6566" t="s">
        <v>24046</v>
      </c>
      <c r="F6566" t="s">
        <v>31362</v>
      </c>
      <c r="G6566" t="s">
        <v>31368</v>
      </c>
      <c r="H6566" t="s">
        <v>15799</v>
      </c>
      <c r="I6566" t="s">
        <v>31409</v>
      </c>
      <c r="J6566" t="s">
        <v>31546</v>
      </c>
      <c r="K6566" t="s">
        <v>40662</v>
      </c>
      <c r="M6566" t="s">
        <v>43150</v>
      </c>
      <c r="N6566" t="s">
        <v>44905</v>
      </c>
      <c r="O6566" t="s">
        <v>44906</v>
      </c>
      <c r="P6566">
        <v>0</v>
      </c>
      <c r="Q6566">
        <v>0</v>
      </c>
      <c r="R6566" t="s">
        <v>44909</v>
      </c>
      <c r="S6566" t="s">
        <v>45060</v>
      </c>
      <c r="T6566" t="s">
        <v>46409</v>
      </c>
      <c r="U6566" t="s">
        <v>52271</v>
      </c>
      <c r="W6566" t="s">
        <v>43150</v>
      </c>
      <c r="X6566" t="s">
        <v>44910</v>
      </c>
    </row>
    <row r="6567" spans="1:24">
      <c r="A6567">
        <f>HYPERLINK("https://www.philgeps.gov.ph/GEPSNONPILOT/Tender/SplashBidNoticeAbstractUI.aspx?menuIndex=3&amp;refID=7078209&amp;Result=3","7078209")</f>
        <v>0</v>
      </c>
      <c r="B6567" t="s">
        <v>628</v>
      </c>
      <c r="C6567" t="s">
        <v>9791</v>
      </c>
      <c r="D6567" t="s">
        <v>18116</v>
      </c>
      <c r="E6567" t="s">
        <v>24047</v>
      </c>
      <c r="F6567" t="s">
        <v>31362</v>
      </c>
      <c r="G6567" t="s">
        <v>31368</v>
      </c>
      <c r="H6567" t="s">
        <v>15799</v>
      </c>
      <c r="I6567" t="s">
        <v>31385</v>
      </c>
      <c r="J6567" t="s">
        <v>32016</v>
      </c>
      <c r="K6567" t="s">
        <v>40662</v>
      </c>
      <c r="M6567" t="s">
        <v>41588</v>
      </c>
      <c r="N6567" t="s">
        <v>44905</v>
      </c>
      <c r="O6567" t="s">
        <v>44906</v>
      </c>
      <c r="P6567">
        <v>0</v>
      </c>
      <c r="Q6567">
        <v>3</v>
      </c>
      <c r="R6567" t="s">
        <v>44909</v>
      </c>
      <c r="S6567" t="s">
        <v>45060</v>
      </c>
      <c r="T6567" t="s">
        <v>46443</v>
      </c>
      <c r="U6567" t="s">
        <v>52272</v>
      </c>
      <c r="W6567" t="s">
        <v>41588</v>
      </c>
      <c r="X6567" t="s">
        <v>44910</v>
      </c>
    </row>
    <row r="6568" spans="1:24">
      <c r="A6568">
        <f>HYPERLINK("https://www.philgeps.gov.ph/GEPSNONPILOT/Tender/SplashBidNoticeAbstractUI.aspx?menuIndex=3&amp;refID=7078121&amp;Result=3","7078121")</f>
        <v>0</v>
      </c>
      <c r="B6568" t="s">
        <v>2024</v>
      </c>
      <c r="C6568" t="s">
        <v>9792</v>
      </c>
      <c r="D6568" t="s">
        <v>18108</v>
      </c>
      <c r="E6568" t="s">
        <v>24048</v>
      </c>
      <c r="F6568" t="s">
        <v>31362</v>
      </c>
      <c r="G6568" t="s">
        <v>31368</v>
      </c>
      <c r="H6568" t="s">
        <v>15799</v>
      </c>
      <c r="I6568" t="s">
        <v>3815</v>
      </c>
      <c r="J6568" t="s">
        <v>35579</v>
      </c>
      <c r="K6568" t="s">
        <v>40682</v>
      </c>
      <c r="M6568" t="s">
        <v>43141</v>
      </c>
      <c r="N6568" t="s">
        <v>44905</v>
      </c>
      <c r="O6568" t="s">
        <v>44906</v>
      </c>
      <c r="P6568">
        <v>0</v>
      </c>
      <c r="Q6568">
        <v>10</v>
      </c>
      <c r="R6568" t="s">
        <v>44909</v>
      </c>
      <c r="S6568" t="s">
        <v>45060</v>
      </c>
      <c r="T6568" t="s">
        <v>46434</v>
      </c>
      <c r="U6568" t="s">
        <v>52273</v>
      </c>
      <c r="V6568" t="s">
        <v>59696</v>
      </c>
      <c r="W6568" t="s">
        <v>43141</v>
      </c>
      <c r="X6568" t="s">
        <v>44910</v>
      </c>
    </row>
    <row r="6569" spans="1:24">
      <c r="A6569">
        <f>HYPERLINK("https://www.philgeps.gov.ph/GEPSNONPILOT/Tender/SplashBidNoticeAbstractUI.aspx?menuIndex=3&amp;refID=7078193&amp;Result=3","7078193")</f>
        <v>0</v>
      </c>
      <c r="B6569" t="s">
        <v>263</v>
      </c>
      <c r="C6569" t="s">
        <v>9793</v>
      </c>
      <c r="D6569" t="s">
        <v>18109</v>
      </c>
      <c r="E6569" t="s">
        <v>24049</v>
      </c>
      <c r="F6569" t="s">
        <v>31362</v>
      </c>
      <c r="G6569" t="s">
        <v>31368</v>
      </c>
      <c r="H6569" t="s">
        <v>15799</v>
      </c>
      <c r="I6569" t="s">
        <v>31404</v>
      </c>
      <c r="J6569" t="s">
        <v>35580</v>
      </c>
      <c r="K6569" t="s">
        <v>40666</v>
      </c>
      <c r="M6569" t="s">
        <v>41204</v>
      </c>
      <c r="N6569" t="s">
        <v>44905</v>
      </c>
      <c r="O6569" t="s">
        <v>44906</v>
      </c>
      <c r="P6569">
        <v>0</v>
      </c>
      <c r="Q6569">
        <v>0</v>
      </c>
      <c r="R6569" t="s">
        <v>44909</v>
      </c>
      <c r="S6569" t="s">
        <v>45060</v>
      </c>
      <c r="T6569" t="s">
        <v>46411</v>
      </c>
      <c r="U6569" t="s">
        <v>52274</v>
      </c>
      <c r="W6569" t="s">
        <v>41204</v>
      </c>
      <c r="X6569" t="s">
        <v>44910</v>
      </c>
    </row>
    <row r="6570" spans="1:24">
      <c r="A6570">
        <f>HYPERLINK("https://www.philgeps.gov.ph/GEPSNONPILOT/Tender/SplashBidNoticeAbstractUI.aspx?menuIndex=3&amp;refID=7078214&amp;Result=3","7078214")</f>
        <v>0</v>
      </c>
      <c r="B6570" t="s">
        <v>2033</v>
      </c>
      <c r="C6570" t="s">
        <v>9794</v>
      </c>
      <c r="D6570" t="s">
        <v>18148</v>
      </c>
      <c r="E6570" t="s">
        <v>24050</v>
      </c>
      <c r="F6570" t="s">
        <v>31362</v>
      </c>
      <c r="G6570" t="s">
        <v>31369</v>
      </c>
      <c r="H6570" t="s">
        <v>31378</v>
      </c>
      <c r="I6570" t="s">
        <v>31386</v>
      </c>
      <c r="J6570" t="s">
        <v>33482</v>
      </c>
      <c r="K6570" t="s">
        <v>40686</v>
      </c>
      <c r="M6570" t="s">
        <v>43151</v>
      </c>
      <c r="N6570" t="s">
        <v>44905</v>
      </c>
      <c r="O6570" t="s">
        <v>44906</v>
      </c>
      <c r="P6570">
        <v>0</v>
      </c>
      <c r="Q6570">
        <v>0</v>
      </c>
      <c r="R6570" t="s">
        <v>44909</v>
      </c>
      <c r="S6570" t="s">
        <v>45060</v>
      </c>
      <c r="T6570" t="s">
        <v>46659</v>
      </c>
      <c r="U6570" t="s">
        <v>52275</v>
      </c>
      <c r="W6570" t="s">
        <v>43151</v>
      </c>
      <c r="X6570" t="s">
        <v>44910</v>
      </c>
    </row>
    <row r="6571" spans="1:24">
      <c r="A6571">
        <f>HYPERLINK("https://www.philgeps.gov.ph/GEPSNONPILOT/Tender/SplashBidNoticeAbstractUI.aspx?menuIndex=3&amp;refID=7078189&amp;Result=3","7078189")</f>
        <v>0</v>
      </c>
      <c r="B6571" t="s">
        <v>1562</v>
      </c>
      <c r="C6571" t="s">
        <v>9795</v>
      </c>
      <c r="D6571" t="s">
        <v>18140</v>
      </c>
      <c r="E6571" t="s">
        <v>24051</v>
      </c>
      <c r="F6571" t="s">
        <v>31362</v>
      </c>
      <c r="G6571" t="s">
        <v>31369</v>
      </c>
      <c r="H6571" t="s">
        <v>31378</v>
      </c>
      <c r="I6571" t="s">
        <v>31386</v>
      </c>
      <c r="J6571" t="s">
        <v>33435</v>
      </c>
      <c r="K6571" t="s">
        <v>40768</v>
      </c>
      <c r="M6571" t="s">
        <v>42614</v>
      </c>
      <c r="N6571" t="s">
        <v>44905</v>
      </c>
      <c r="O6571" t="s">
        <v>44906</v>
      </c>
      <c r="P6571">
        <v>0</v>
      </c>
      <c r="Q6571">
        <v>2</v>
      </c>
      <c r="R6571" t="s">
        <v>44909</v>
      </c>
      <c r="S6571" t="s">
        <v>45060</v>
      </c>
      <c r="T6571" t="s">
        <v>46449</v>
      </c>
      <c r="U6571" t="s">
        <v>52276</v>
      </c>
      <c r="V6571" t="s">
        <v>59697</v>
      </c>
      <c r="W6571" t="s">
        <v>42614</v>
      </c>
      <c r="X6571" t="s">
        <v>44910</v>
      </c>
    </row>
    <row r="6572" spans="1:24">
      <c r="A6572">
        <f>HYPERLINK("https://www.philgeps.gov.ph/GEPSNONPILOT/Tender/SplashBidNoticeAbstractUI.aspx?menuIndex=3&amp;refID=7078183&amp;Result=3","7078183")</f>
        <v>0</v>
      </c>
      <c r="B6572" t="s">
        <v>628</v>
      </c>
      <c r="C6572" t="s">
        <v>9796</v>
      </c>
      <c r="D6572" t="s">
        <v>18116</v>
      </c>
      <c r="E6572" t="s">
        <v>24052</v>
      </c>
      <c r="F6572" t="s">
        <v>31362</v>
      </c>
      <c r="G6572" t="s">
        <v>31368</v>
      </c>
      <c r="H6572" t="s">
        <v>15799</v>
      </c>
      <c r="I6572" t="s">
        <v>31387</v>
      </c>
      <c r="J6572" t="s">
        <v>35581</v>
      </c>
      <c r="K6572" t="s">
        <v>40662</v>
      </c>
      <c r="M6572" t="s">
        <v>41588</v>
      </c>
      <c r="N6572" t="s">
        <v>44905</v>
      </c>
      <c r="O6572" t="s">
        <v>44906</v>
      </c>
      <c r="P6572">
        <v>0</v>
      </c>
      <c r="Q6572">
        <v>1</v>
      </c>
      <c r="R6572" t="s">
        <v>44909</v>
      </c>
      <c r="S6572" t="s">
        <v>45060</v>
      </c>
      <c r="T6572" t="s">
        <v>46443</v>
      </c>
      <c r="U6572" t="s">
        <v>52277</v>
      </c>
      <c r="W6572" t="s">
        <v>41588</v>
      </c>
      <c r="X6572" t="s">
        <v>44910</v>
      </c>
    </row>
    <row r="6573" spans="1:24">
      <c r="A6573">
        <f>HYPERLINK("https://www.philgeps.gov.ph/GEPSNONPILOT/Tender/SplashBidNoticeAbstractUI.aspx?menuIndex=3&amp;refID=7078198&amp;Result=3","7078198")</f>
        <v>0</v>
      </c>
      <c r="B6573" t="s">
        <v>1867</v>
      </c>
      <c r="C6573" t="s">
        <v>9797</v>
      </c>
      <c r="D6573" t="s">
        <v>18115</v>
      </c>
      <c r="E6573" t="s">
        <v>24053</v>
      </c>
      <c r="F6573" t="s">
        <v>31362</v>
      </c>
      <c r="G6573" t="s">
        <v>31368</v>
      </c>
      <c r="H6573" t="s">
        <v>15799</v>
      </c>
      <c r="I6573" t="s">
        <v>4057</v>
      </c>
      <c r="J6573" t="s">
        <v>32400</v>
      </c>
      <c r="K6573" t="s">
        <v>40673</v>
      </c>
      <c r="M6573" t="s">
        <v>42958</v>
      </c>
      <c r="N6573" t="s">
        <v>44905</v>
      </c>
      <c r="O6573" t="s">
        <v>44906</v>
      </c>
      <c r="P6573">
        <v>0</v>
      </c>
      <c r="Q6573">
        <v>0</v>
      </c>
      <c r="R6573" t="s">
        <v>44909</v>
      </c>
      <c r="S6573" t="s">
        <v>45060</v>
      </c>
      <c r="T6573" t="s">
        <v>46446</v>
      </c>
      <c r="U6573" t="s">
        <v>52278</v>
      </c>
      <c r="W6573" t="s">
        <v>42958</v>
      </c>
      <c r="X6573" t="s">
        <v>44910</v>
      </c>
    </row>
    <row r="6574" spans="1:24">
      <c r="A6574">
        <f>HYPERLINK("https://www.philgeps.gov.ph/GEPSNONPILOT/Tender/SplashBidNoticeAbstractUI.aspx?menuIndex=3&amp;refID=7078195&amp;Result=3","7078195")</f>
        <v>0</v>
      </c>
      <c r="B6574" t="s">
        <v>622</v>
      </c>
      <c r="C6574" t="s">
        <v>9798</v>
      </c>
      <c r="D6574" t="s">
        <v>18108</v>
      </c>
      <c r="E6574" t="s">
        <v>24054</v>
      </c>
      <c r="F6574" t="s">
        <v>31362</v>
      </c>
      <c r="G6574" t="s">
        <v>31368</v>
      </c>
      <c r="H6574" t="s">
        <v>15799</v>
      </c>
      <c r="I6574" t="s">
        <v>31385</v>
      </c>
      <c r="J6574" t="s">
        <v>35582</v>
      </c>
      <c r="K6574" t="s">
        <v>40666</v>
      </c>
      <c r="M6574" t="s">
        <v>41581</v>
      </c>
      <c r="N6574" t="s">
        <v>44905</v>
      </c>
      <c r="O6574" t="s">
        <v>44906</v>
      </c>
      <c r="P6574">
        <v>0</v>
      </c>
      <c r="Q6574">
        <v>15</v>
      </c>
      <c r="R6574" t="s">
        <v>44909</v>
      </c>
      <c r="S6574" t="s">
        <v>45060</v>
      </c>
      <c r="T6574" t="s">
        <v>46404</v>
      </c>
      <c r="U6574" t="s">
        <v>48113</v>
      </c>
      <c r="W6574" t="s">
        <v>41581</v>
      </c>
      <c r="X6574" t="s">
        <v>44910</v>
      </c>
    </row>
    <row r="6575" spans="1:24">
      <c r="A6575">
        <f>HYPERLINK("https://www.philgeps.gov.ph/GEPSNONPILOT/Tender/SplashBidNoticeAbstractUI.aspx?menuIndex=3&amp;refID=7078178&amp;Result=3","7078178")</f>
        <v>0</v>
      </c>
      <c r="B6575" t="s">
        <v>2034</v>
      </c>
      <c r="C6575" t="s">
        <v>9799</v>
      </c>
      <c r="D6575" t="s">
        <v>18125</v>
      </c>
      <c r="E6575" t="s">
        <v>24055</v>
      </c>
      <c r="F6575" t="s">
        <v>31362</v>
      </c>
      <c r="G6575" t="s">
        <v>31368</v>
      </c>
      <c r="H6575" t="s">
        <v>15799</v>
      </c>
      <c r="I6575" t="s">
        <v>31393</v>
      </c>
      <c r="J6575" t="s">
        <v>35583</v>
      </c>
      <c r="K6575" t="s">
        <v>40672</v>
      </c>
      <c r="M6575" t="s">
        <v>43152</v>
      </c>
      <c r="N6575" t="s">
        <v>44905</v>
      </c>
      <c r="O6575" t="s">
        <v>44906</v>
      </c>
      <c r="P6575">
        <v>0</v>
      </c>
      <c r="Q6575">
        <v>1</v>
      </c>
      <c r="R6575" t="s">
        <v>44909</v>
      </c>
      <c r="S6575" t="s">
        <v>45060</v>
      </c>
      <c r="T6575" t="s">
        <v>46434</v>
      </c>
      <c r="U6575" t="s">
        <v>52279</v>
      </c>
      <c r="V6575" t="s">
        <v>59151</v>
      </c>
      <c r="W6575" t="s">
        <v>43152</v>
      </c>
      <c r="X6575" t="s">
        <v>44910</v>
      </c>
    </row>
    <row r="6576" spans="1:24">
      <c r="A6576">
        <f>HYPERLINK("https://www.philgeps.gov.ph/GEPSNONPILOT/Tender/SplashBidNoticeAbstractUI.aspx?menuIndex=3&amp;refID=7078208&amp;Result=3","7078208")</f>
        <v>0</v>
      </c>
      <c r="B6576" t="s">
        <v>579</v>
      </c>
      <c r="C6576" t="s">
        <v>9800</v>
      </c>
      <c r="D6576" t="s">
        <v>18112</v>
      </c>
      <c r="E6576" t="s">
        <v>24056</v>
      </c>
      <c r="F6576" t="s">
        <v>31362</v>
      </c>
      <c r="G6576" t="s">
        <v>31369</v>
      </c>
      <c r="H6576" t="s">
        <v>15799</v>
      </c>
      <c r="I6576" t="s">
        <v>31445</v>
      </c>
      <c r="J6576" t="s">
        <v>31578</v>
      </c>
      <c r="K6576" t="s">
        <v>40665</v>
      </c>
      <c r="M6576" t="s">
        <v>43153</v>
      </c>
      <c r="N6576" t="s">
        <v>44905</v>
      </c>
      <c r="O6576" t="s">
        <v>44906</v>
      </c>
      <c r="P6576">
        <v>0</v>
      </c>
      <c r="Q6576">
        <v>3</v>
      </c>
      <c r="R6576" t="s">
        <v>44909</v>
      </c>
      <c r="S6576" t="s">
        <v>45060</v>
      </c>
      <c r="T6576" t="s">
        <v>46542</v>
      </c>
      <c r="U6576" t="s">
        <v>52280</v>
      </c>
      <c r="W6576" t="s">
        <v>43153</v>
      </c>
      <c r="X6576" t="s">
        <v>44910</v>
      </c>
    </row>
    <row r="6577" spans="1:24">
      <c r="A6577">
        <f>HYPERLINK("https://www.philgeps.gov.ph/GEPSNONPILOT/Tender/SplashBidNoticeAbstractUI.aspx?menuIndex=3&amp;refID=7078217&amp;Result=3","7078217")</f>
        <v>0</v>
      </c>
      <c r="B6577" t="s">
        <v>886</v>
      </c>
      <c r="C6577" t="s">
        <v>9801</v>
      </c>
      <c r="E6577" t="s">
        <v>24057</v>
      </c>
      <c r="F6577" t="s">
        <v>31362</v>
      </c>
      <c r="G6577" t="s">
        <v>31368</v>
      </c>
      <c r="H6577" t="s">
        <v>15799</v>
      </c>
      <c r="I6577" t="s">
        <v>7090</v>
      </c>
      <c r="J6577" t="s">
        <v>35584</v>
      </c>
      <c r="K6577" t="s">
        <v>40662</v>
      </c>
      <c r="M6577" t="s">
        <v>41970</v>
      </c>
      <c r="N6577" t="s">
        <v>44905</v>
      </c>
      <c r="O6577" t="s">
        <v>44906</v>
      </c>
      <c r="P6577">
        <v>0</v>
      </c>
      <c r="Q6577">
        <v>7</v>
      </c>
      <c r="R6577" t="s">
        <v>44909</v>
      </c>
      <c r="S6577" t="s">
        <v>45060</v>
      </c>
      <c r="T6577" t="s">
        <v>46498</v>
      </c>
      <c r="U6577" t="s">
        <v>48012</v>
      </c>
      <c r="W6577" t="s">
        <v>41970</v>
      </c>
      <c r="X6577" t="s">
        <v>44910</v>
      </c>
    </row>
    <row r="6578" spans="1:24">
      <c r="A6578">
        <f>HYPERLINK("https://www.philgeps.gov.ph/GEPSNONPILOT/Tender/SplashBidNoticeAbstractUI.aspx?menuIndex=3&amp;refID=7078180&amp;Result=3","7078180")</f>
        <v>0</v>
      </c>
      <c r="B6578" t="s">
        <v>519</v>
      </c>
      <c r="C6578" t="s">
        <v>9802</v>
      </c>
      <c r="D6578" t="s">
        <v>18104</v>
      </c>
      <c r="E6578" t="s">
        <v>24058</v>
      </c>
      <c r="F6578" t="s">
        <v>31362</v>
      </c>
      <c r="G6578" t="s">
        <v>31368</v>
      </c>
      <c r="H6578" t="s">
        <v>15799</v>
      </c>
      <c r="I6578" t="s">
        <v>31476</v>
      </c>
      <c r="J6578" t="s">
        <v>31578</v>
      </c>
      <c r="K6578" t="s">
        <v>40675</v>
      </c>
      <c r="M6578" t="s">
        <v>41475</v>
      </c>
      <c r="N6578" t="s">
        <v>44905</v>
      </c>
      <c r="O6578" t="s">
        <v>44906</v>
      </c>
      <c r="P6578">
        <v>0</v>
      </c>
      <c r="Q6578">
        <v>9</v>
      </c>
      <c r="R6578" t="s">
        <v>44909</v>
      </c>
      <c r="S6578" t="s">
        <v>45060</v>
      </c>
      <c r="T6578" t="s">
        <v>46434</v>
      </c>
      <c r="U6578" t="s">
        <v>52281</v>
      </c>
      <c r="W6578" t="s">
        <v>41475</v>
      </c>
      <c r="X6578" t="s">
        <v>44910</v>
      </c>
    </row>
    <row r="6579" spans="1:24">
      <c r="A6579">
        <f>HYPERLINK("https://www.philgeps.gov.ph/GEPSNONPILOT/Tender/SplashBidNoticeAbstractUI.aspx?menuIndex=3&amp;refID=7078235&amp;Result=3","7078235")</f>
        <v>0</v>
      </c>
      <c r="B6579" t="s">
        <v>989</v>
      </c>
      <c r="C6579" t="s">
        <v>9803</v>
      </c>
      <c r="D6579" t="s">
        <v>18158</v>
      </c>
      <c r="E6579" t="s">
        <v>24059</v>
      </c>
      <c r="F6579" t="s">
        <v>31362</v>
      </c>
      <c r="G6579" t="s">
        <v>31369</v>
      </c>
      <c r="H6579" t="s">
        <v>31378</v>
      </c>
      <c r="I6579" t="s">
        <v>31386</v>
      </c>
      <c r="J6579" t="s">
        <v>31711</v>
      </c>
      <c r="K6579" t="s">
        <v>40665</v>
      </c>
      <c r="M6579" t="s">
        <v>41983</v>
      </c>
      <c r="N6579" t="s">
        <v>44905</v>
      </c>
      <c r="O6579" t="s">
        <v>44906</v>
      </c>
      <c r="P6579">
        <v>0</v>
      </c>
      <c r="Q6579">
        <v>0</v>
      </c>
      <c r="R6579" t="s">
        <v>44909</v>
      </c>
      <c r="S6579" t="s">
        <v>45060</v>
      </c>
      <c r="T6579" t="s">
        <v>46519</v>
      </c>
      <c r="U6579" t="s">
        <v>48084</v>
      </c>
      <c r="W6579" t="s">
        <v>41983</v>
      </c>
      <c r="X6579" t="s">
        <v>44910</v>
      </c>
    </row>
    <row r="6580" spans="1:24">
      <c r="A6580">
        <f>HYPERLINK("https://www.philgeps.gov.ph/GEPSNONPILOT/Tender/SplashBidNoticeAbstractUI.aspx?menuIndex=3&amp;refID=7078233&amp;Result=3","7078233")</f>
        <v>0</v>
      </c>
      <c r="B6580" t="s">
        <v>1562</v>
      </c>
      <c r="C6580" t="s">
        <v>9804</v>
      </c>
      <c r="D6580" t="s">
        <v>18140</v>
      </c>
      <c r="E6580" t="s">
        <v>24060</v>
      </c>
      <c r="F6580" t="s">
        <v>31362</v>
      </c>
      <c r="G6580" t="s">
        <v>31369</v>
      </c>
      <c r="H6580" t="s">
        <v>31378</v>
      </c>
      <c r="I6580" t="s">
        <v>31386</v>
      </c>
      <c r="J6580" t="s">
        <v>33435</v>
      </c>
      <c r="K6580" t="s">
        <v>40768</v>
      </c>
      <c r="M6580" t="s">
        <v>42614</v>
      </c>
      <c r="N6580" t="s">
        <v>44905</v>
      </c>
      <c r="O6580" t="s">
        <v>44906</v>
      </c>
      <c r="P6580">
        <v>0</v>
      </c>
      <c r="Q6580">
        <v>1</v>
      </c>
      <c r="R6580" t="s">
        <v>44909</v>
      </c>
      <c r="S6580" t="s">
        <v>45060</v>
      </c>
      <c r="T6580" t="s">
        <v>46449</v>
      </c>
      <c r="U6580" t="s">
        <v>52282</v>
      </c>
      <c r="V6580" t="s">
        <v>59698</v>
      </c>
      <c r="W6580" t="s">
        <v>42614</v>
      </c>
      <c r="X6580" t="s">
        <v>44910</v>
      </c>
    </row>
    <row r="6581" spans="1:24">
      <c r="A6581">
        <f>HYPERLINK("https://www.philgeps.gov.ph/GEPSNONPILOT/Tender/SplashBidNoticeAbstractUI.aspx?menuIndex=3&amp;refID=7078231&amp;Result=3","7078231")</f>
        <v>0</v>
      </c>
      <c r="B6581" t="s">
        <v>514</v>
      </c>
      <c r="C6581" t="s">
        <v>9805</v>
      </c>
      <c r="E6581" t="s">
        <v>24061</v>
      </c>
      <c r="F6581" t="s">
        <v>31362</v>
      </c>
      <c r="G6581" t="s">
        <v>31368</v>
      </c>
      <c r="H6581" t="s">
        <v>15799</v>
      </c>
      <c r="I6581" t="s">
        <v>7719</v>
      </c>
      <c r="J6581" t="s">
        <v>32249</v>
      </c>
      <c r="K6581" t="s">
        <v>40662</v>
      </c>
      <c r="M6581" t="s">
        <v>41469</v>
      </c>
      <c r="N6581" t="s">
        <v>44905</v>
      </c>
      <c r="O6581" t="s">
        <v>44906</v>
      </c>
      <c r="Q6581">
        <v>7</v>
      </c>
      <c r="R6581" t="s">
        <v>44909</v>
      </c>
      <c r="S6581" t="s">
        <v>45071</v>
      </c>
      <c r="T6581" t="s">
        <v>46447</v>
      </c>
      <c r="U6581" t="s">
        <v>52283</v>
      </c>
      <c r="W6581" t="s">
        <v>60856</v>
      </c>
      <c r="X6581" t="s">
        <v>44910</v>
      </c>
    </row>
    <row r="6582" spans="1:24">
      <c r="A6582">
        <f>HYPERLINK("https://www.philgeps.gov.ph/GEPSNONPILOT/Tender/SplashBidNoticeAbstractUI.aspx?menuIndex=3&amp;refID=7078149&amp;Result=3","7078149")</f>
        <v>0</v>
      </c>
      <c r="B6582" t="s">
        <v>1562</v>
      </c>
      <c r="C6582" t="s">
        <v>9806</v>
      </c>
      <c r="D6582" t="s">
        <v>18140</v>
      </c>
      <c r="E6582" t="s">
        <v>24062</v>
      </c>
      <c r="F6582" t="s">
        <v>31362</v>
      </c>
      <c r="G6582" t="s">
        <v>31369</v>
      </c>
      <c r="H6582" t="s">
        <v>31378</v>
      </c>
      <c r="I6582" t="s">
        <v>31386</v>
      </c>
      <c r="J6582" t="s">
        <v>35585</v>
      </c>
      <c r="K6582" t="s">
        <v>40776</v>
      </c>
      <c r="M6582" t="s">
        <v>42614</v>
      </c>
      <c r="N6582" t="s">
        <v>44905</v>
      </c>
      <c r="O6582" t="s">
        <v>44906</v>
      </c>
      <c r="P6582">
        <v>0</v>
      </c>
      <c r="Q6582">
        <v>1</v>
      </c>
      <c r="R6582" t="s">
        <v>44909</v>
      </c>
      <c r="S6582" t="s">
        <v>45060</v>
      </c>
      <c r="T6582" t="s">
        <v>46449</v>
      </c>
      <c r="U6582" t="s">
        <v>52284</v>
      </c>
      <c r="V6582" t="s">
        <v>59699</v>
      </c>
      <c r="W6582" t="s">
        <v>42614</v>
      </c>
      <c r="X6582" t="s">
        <v>44910</v>
      </c>
    </row>
    <row r="6583" spans="1:24">
      <c r="A6583">
        <f>HYPERLINK("https://www.philgeps.gov.ph/GEPSNONPILOT/Tender/SplashBidNoticeAbstractUI.aspx?menuIndex=3&amp;refID=7078216&amp;Result=3","7078216")</f>
        <v>0</v>
      </c>
      <c r="B6583" t="s">
        <v>1965</v>
      </c>
      <c r="C6583" t="s">
        <v>9807</v>
      </c>
      <c r="D6583" t="s">
        <v>18114</v>
      </c>
      <c r="E6583" t="s">
        <v>24063</v>
      </c>
      <c r="F6583" t="s">
        <v>31362</v>
      </c>
      <c r="G6583" t="s">
        <v>31368</v>
      </c>
      <c r="H6583" t="s">
        <v>15799</v>
      </c>
      <c r="I6583" t="s">
        <v>7090</v>
      </c>
      <c r="J6583" t="s">
        <v>35586</v>
      </c>
      <c r="K6583" t="s">
        <v>40715</v>
      </c>
      <c r="M6583" t="s">
        <v>43071</v>
      </c>
      <c r="N6583" t="s">
        <v>44905</v>
      </c>
      <c r="O6583" t="s">
        <v>44906</v>
      </c>
      <c r="P6583">
        <v>0</v>
      </c>
      <c r="Q6583">
        <v>1</v>
      </c>
      <c r="R6583" t="s">
        <v>44909</v>
      </c>
      <c r="S6583" t="s">
        <v>45060</v>
      </c>
      <c r="T6583" t="s">
        <v>46443</v>
      </c>
      <c r="U6583" t="s">
        <v>52285</v>
      </c>
      <c r="W6583" t="s">
        <v>43071</v>
      </c>
      <c r="X6583" t="s">
        <v>44910</v>
      </c>
    </row>
    <row r="6584" spans="1:24">
      <c r="A6584">
        <f>HYPERLINK("https://www.philgeps.gov.ph/GEPSNONPILOT/Tender/SplashBidNoticeAbstractUI.aspx?menuIndex=3&amp;refID=7078185&amp;Result=3","7078185")</f>
        <v>0</v>
      </c>
      <c r="B6584" t="s">
        <v>1957</v>
      </c>
      <c r="C6584" t="s">
        <v>9808</v>
      </c>
      <c r="D6584" t="s">
        <v>18118</v>
      </c>
      <c r="E6584" t="s">
        <v>24064</v>
      </c>
      <c r="F6584" t="s">
        <v>31362</v>
      </c>
      <c r="G6584" t="s">
        <v>31369</v>
      </c>
      <c r="H6584" t="s">
        <v>31378</v>
      </c>
      <c r="I6584" t="s">
        <v>31386</v>
      </c>
      <c r="J6584" t="s">
        <v>31696</v>
      </c>
      <c r="K6584" t="s">
        <v>40678</v>
      </c>
      <c r="M6584" t="s">
        <v>43063</v>
      </c>
      <c r="N6584" t="s">
        <v>44905</v>
      </c>
      <c r="O6584" t="s">
        <v>44906</v>
      </c>
      <c r="P6584">
        <v>0</v>
      </c>
      <c r="Q6584">
        <v>2</v>
      </c>
      <c r="R6584" t="s">
        <v>44909</v>
      </c>
      <c r="S6584" t="s">
        <v>45060</v>
      </c>
      <c r="T6584" t="s">
        <v>46511</v>
      </c>
      <c r="U6584" t="s">
        <v>52223</v>
      </c>
      <c r="V6584" t="s">
        <v>59700</v>
      </c>
      <c r="W6584" t="s">
        <v>43063</v>
      </c>
      <c r="X6584" t="s">
        <v>44910</v>
      </c>
    </row>
    <row r="6585" spans="1:24">
      <c r="A6585">
        <f>HYPERLINK("https://www.philgeps.gov.ph/GEPSNONPILOT/Tender/SplashBidNoticeAbstractUI.aspx?menuIndex=3&amp;refID=7078232&amp;Result=3","7078232")</f>
        <v>0</v>
      </c>
      <c r="B6585" t="s">
        <v>263</v>
      </c>
      <c r="C6585" t="s">
        <v>9809</v>
      </c>
      <c r="D6585" t="s">
        <v>18109</v>
      </c>
      <c r="E6585" t="s">
        <v>24065</v>
      </c>
      <c r="F6585" t="s">
        <v>31362</v>
      </c>
      <c r="G6585" t="s">
        <v>31370</v>
      </c>
      <c r="H6585" t="s">
        <v>15799</v>
      </c>
      <c r="I6585" t="s">
        <v>4942</v>
      </c>
      <c r="J6585" t="s">
        <v>35587</v>
      </c>
      <c r="K6585" t="s">
        <v>40666</v>
      </c>
      <c r="M6585" t="s">
        <v>41204</v>
      </c>
      <c r="N6585" t="s">
        <v>44905</v>
      </c>
      <c r="O6585" t="s">
        <v>44906</v>
      </c>
      <c r="P6585">
        <v>0</v>
      </c>
      <c r="Q6585">
        <v>0</v>
      </c>
      <c r="R6585" t="s">
        <v>44909</v>
      </c>
      <c r="S6585" t="s">
        <v>45060</v>
      </c>
      <c r="T6585" t="s">
        <v>46411</v>
      </c>
      <c r="U6585" t="s">
        <v>52286</v>
      </c>
      <c r="W6585" t="s">
        <v>41204</v>
      </c>
      <c r="X6585" t="s">
        <v>44910</v>
      </c>
    </row>
    <row r="6586" spans="1:24">
      <c r="A6586">
        <f>HYPERLINK("https://www.philgeps.gov.ph/GEPSNONPILOT/Tender/SplashBidNoticeAbstractUI.aspx?menuIndex=3&amp;refID=7078229&amp;Result=3","7078229")</f>
        <v>0</v>
      </c>
      <c r="B6586" t="s">
        <v>1644</v>
      </c>
      <c r="C6586" t="s">
        <v>9810</v>
      </c>
      <c r="D6586" t="s">
        <v>18115</v>
      </c>
      <c r="E6586" t="s">
        <v>21584</v>
      </c>
      <c r="F6586" t="s">
        <v>31362</v>
      </c>
      <c r="G6586" t="s">
        <v>31369</v>
      </c>
      <c r="H6586" t="s">
        <v>15799</v>
      </c>
      <c r="I6586" t="s">
        <v>3815</v>
      </c>
      <c r="J6586" t="s">
        <v>35588</v>
      </c>
      <c r="K6586" t="s">
        <v>40661</v>
      </c>
      <c r="M6586" t="s">
        <v>42708</v>
      </c>
      <c r="N6586" t="s">
        <v>44905</v>
      </c>
      <c r="O6586" t="s">
        <v>44906</v>
      </c>
      <c r="P6586">
        <v>0</v>
      </c>
      <c r="Q6586">
        <v>2</v>
      </c>
      <c r="R6586" t="s">
        <v>44909</v>
      </c>
      <c r="S6586" t="s">
        <v>45060</v>
      </c>
      <c r="T6586" t="s">
        <v>46533</v>
      </c>
      <c r="U6586" t="s">
        <v>52287</v>
      </c>
      <c r="W6586" t="s">
        <v>42708</v>
      </c>
      <c r="X6586" t="s">
        <v>44910</v>
      </c>
    </row>
    <row r="6587" spans="1:24">
      <c r="A6587">
        <f>HYPERLINK("https://www.philgeps.gov.ph/GEPSNONPILOT/Tender/SplashBidNoticeAbstractUI.aspx?menuIndex=3&amp;refID=7078247&amp;Result=3","7078247")</f>
        <v>0</v>
      </c>
      <c r="B6587" t="s">
        <v>2035</v>
      </c>
      <c r="C6587" t="s">
        <v>9811</v>
      </c>
      <c r="D6587" t="s">
        <v>18118</v>
      </c>
      <c r="E6587" t="s">
        <v>19498</v>
      </c>
      <c r="F6587" t="s">
        <v>31362</v>
      </c>
      <c r="G6587" t="s">
        <v>31369</v>
      </c>
      <c r="H6587" t="s">
        <v>15799</v>
      </c>
      <c r="I6587" t="s">
        <v>3815</v>
      </c>
      <c r="J6587" t="s">
        <v>35589</v>
      </c>
      <c r="K6587" t="s">
        <v>40672</v>
      </c>
      <c r="M6587" t="s">
        <v>43154</v>
      </c>
      <c r="N6587" t="s">
        <v>44905</v>
      </c>
      <c r="O6587" t="s">
        <v>44906</v>
      </c>
      <c r="P6587">
        <v>0</v>
      </c>
      <c r="Q6587">
        <v>0</v>
      </c>
      <c r="R6587" t="s">
        <v>44909</v>
      </c>
      <c r="S6587" t="s">
        <v>45060</v>
      </c>
      <c r="T6587" t="s">
        <v>46427</v>
      </c>
      <c r="U6587" t="s">
        <v>52288</v>
      </c>
      <c r="W6587" t="s">
        <v>43154</v>
      </c>
      <c r="X6587" t="s">
        <v>44910</v>
      </c>
    </row>
    <row r="6588" spans="1:24">
      <c r="A6588">
        <f>HYPERLINK("https://www.philgeps.gov.ph/GEPSNONPILOT/Tender/SplashBidNoticeAbstractUI.aspx?menuIndex=3&amp;refID=7078246&amp;Result=3","7078246")</f>
        <v>0</v>
      </c>
      <c r="B6588" t="s">
        <v>2036</v>
      </c>
      <c r="C6588" t="s">
        <v>9812</v>
      </c>
      <c r="D6588" t="s">
        <v>18106</v>
      </c>
      <c r="E6588" t="s">
        <v>24066</v>
      </c>
      <c r="F6588" t="s">
        <v>31362</v>
      </c>
      <c r="G6588" t="s">
        <v>31369</v>
      </c>
      <c r="H6588" t="s">
        <v>31378</v>
      </c>
      <c r="I6588" t="s">
        <v>31439</v>
      </c>
      <c r="J6588" t="s">
        <v>35590</v>
      </c>
      <c r="K6588" t="s">
        <v>40675</v>
      </c>
      <c r="M6588" t="s">
        <v>43155</v>
      </c>
      <c r="N6588" t="s">
        <v>44905</v>
      </c>
      <c r="O6588" t="s">
        <v>44906</v>
      </c>
      <c r="P6588">
        <v>0</v>
      </c>
      <c r="Q6588">
        <v>2</v>
      </c>
      <c r="R6588" t="s">
        <v>44909</v>
      </c>
      <c r="S6588" t="s">
        <v>45060</v>
      </c>
      <c r="T6588" t="s">
        <v>46519</v>
      </c>
      <c r="U6588" t="s">
        <v>52289</v>
      </c>
      <c r="W6588" t="s">
        <v>43155</v>
      </c>
      <c r="X6588" t="s">
        <v>44910</v>
      </c>
    </row>
    <row r="6589" spans="1:24">
      <c r="A6589">
        <f>HYPERLINK("https://www.philgeps.gov.ph/GEPSNONPILOT/Tender/SplashBidNoticeAbstractUI.aspx?menuIndex=3&amp;refID=7078244&amp;Result=3","7078244")</f>
        <v>0</v>
      </c>
      <c r="B6589" t="s">
        <v>741</v>
      </c>
      <c r="C6589" t="s">
        <v>9813</v>
      </c>
      <c r="D6589" t="s">
        <v>18131</v>
      </c>
      <c r="E6589" t="s">
        <v>21025</v>
      </c>
      <c r="F6589" t="s">
        <v>31362</v>
      </c>
      <c r="G6589" t="s">
        <v>31368</v>
      </c>
      <c r="H6589" t="s">
        <v>15799</v>
      </c>
      <c r="I6589" t="s">
        <v>31387</v>
      </c>
      <c r="J6589" t="s">
        <v>34855</v>
      </c>
      <c r="K6589" t="s">
        <v>40662</v>
      </c>
      <c r="M6589" t="s">
        <v>41708</v>
      </c>
      <c r="N6589" t="s">
        <v>44905</v>
      </c>
      <c r="O6589" t="s">
        <v>44906</v>
      </c>
      <c r="P6589">
        <v>0</v>
      </c>
      <c r="Q6589">
        <v>1</v>
      </c>
      <c r="R6589" t="s">
        <v>44909</v>
      </c>
      <c r="S6589" t="s">
        <v>45060</v>
      </c>
      <c r="T6589" t="s">
        <v>46412</v>
      </c>
      <c r="U6589" t="s">
        <v>52290</v>
      </c>
      <c r="W6589" t="s">
        <v>41708</v>
      </c>
      <c r="X6589" t="s">
        <v>44910</v>
      </c>
    </row>
    <row r="6590" spans="1:24">
      <c r="A6590">
        <f>HYPERLINK("https://www.philgeps.gov.ph/GEPSNONPILOT/Tender/SplashBidNoticeAbstractUI.aspx?menuIndex=3&amp;refID=7078226&amp;Result=3","7078226")</f>
        <v>0</v>
      </c>
      <c r="B6590" t="s">
        <v>1396</v>
      </c>
      <c r="C6590" t="s">
        <v>9814</v>
      </c>
      <c r="D6590" t="s">
        <v>18122</v>
      </c>
      <c r="E6590" t="s">
        <v>24067</v>
      </c>
      <c r="F6590" t="s">
        <v>31362</v>
      </c>
      <c r="G6590" t="s">
        <v>31368</v>
      </c>
      <c r="H6590" t="s">
        <v>15799</v>
      </c>
      <c r="I6590" t="s">
        <v>31430</v>
      </c>
      <c r="J6590" t="s">
        <v>35591</v>
      </c>
      <c r="K6590" t="s">
        <v>40661</v>
      </c>
      <c r="M6590" t="s">
        <v>42421</v>
      </c>
      <c r="N6590" t="s">
        <v>44905</v>
      </c>
      <c r="O6590" t="s">
        <v>44906</v>
      </c>
      <c r="P6590">
        <v>0</v>
      </c>
      <c r="Q6590">
        <v>0</v>
      </c>
      <c r="R6590" t="s">
        <v>44909</v>
      </c>
      <c r="S6590" t="s">
        <v>45060</v>
      </c>
      <c r="T6590" t="s">
        <v>46670</v>
      </c>
      <c r="U6590" t="s">
        <v>52291</v>
      </c>
      <c r="V6590" t="s">
        <v>59701</v>
      </c>
      <c r="W6590" t="s">
        <v>42421</v>
      </c>
      <c r="X6590" t="s">
        <v>44910</v>
      </c>
    </row>
    <row r="6591" spans="1:24">
      <c r="A6591">
        <f>HYPERLINK("https://www.philgeps.gov.ph/GEPSNONPILOT/Tender/SplashBidNoticeAbstractUI.aspx?menuIndex=3&amp;refID=7078228&amp;Result=3","7078228")</f>
        <v>0</v>
      </c>
      <c r="B6591" t="s">
        <v>2037</v>
      </c>
      <c r="C6591" t="s">
        <v>3795</v>
      </c>
      <c r="D6591" t="s">
        <v>18171</v>
      </c>
      <c r="E6591" t="s">
        <v>24068</v>
      </c>
      <c r="F6591" t="s">
        <v>31363</v>
      </c>
      <c r="G6591" t="s">
        <v>31368</v>
      </c>
      <c r="H6591" t="s">
        <v>15799</v>
      </c>
      <c r="I6591" t="s">
        <v>31385</v>
      </c>
      <c r="J6591" t="s">
        <v>31575</v>
      </c>
      <c r="K6591" t="s">
        <v>40672</v>
      </c>
      <c r="M6591" t="s">
        <v>43156</v>
      </c>
      <c r="N6591" t="s">
        <v>44905</v>
      </c>
      <c r="O6591" t="s">
        <v>44906</v>
      </c>
      <c r="P6591">
        <v>0</v>
      </c>
      <c r="Q6591">
        <v>3</v>
      </c>
      <c r="R6591" t="s">
        <v>44909</v>
      </c>
      <c r="S6591" t="s">
        <v>45060</v>
      </c>
      <c r="T6591" t="s">
        <v>46400</v>
      </c>
      <c r="U6591" t="s">
        <v>52292</v>
      </c>
      <c r="W6591" t="s">
        <v>43156</v>
      </c>
      <c r="X6591" t="s">
        <v>44910</v>
      </c>
    </row>
    <row r="6592" spans="1:24">
      <c r="A6592">
        <f>HYPERLINK("https://www.philgeps.gov.ph/GEPSNONPILOT/Tender/SplashBidNoticeAbstractUI.aspx?menuIndex=3&amp;refID=7078162&amp;Result=3","7078162")</f>
        <v>0</v>
      </c>
      <c r="B6592" t="s">
        <v>2036</v>
      </c>
      <c r="C6592" t="s">
        <v>9815</v>
      </c>
      <c r="D6592" t="s">
        <v>18106</v>
      </c>
      <c r="E6592" t="s">
        <v>24069</v>
      </c>
      <c r="F6592" t="s">
        <v>31362</v>
      </c>
      <c r="G6592" t="s">
        <v>31369</v>
      </c>
      <c r="H6592" t="s">
        <v>31378</v>
      </c>
      <c r="I6592" t="s">
        <v>31439</v>
      </c>
      <c r="J6592" t="s">
        <v>35592</v>
      </c>
      <c r="K6592" t="s">
        <v>40678</v>
      </c>
      <c r="M6592" t="s">
        <v>43155</v>
      </c>
      <c r="N6592" t="s">
        <v>44905</v>
      </c>
      <c r="O6592" t="s">
        <v>44906</v>
      </c>
      <c r="P6592">
        <v>0</v>
      </c>
      <c r="Q6592">
        <v>3</v>
      </c>
      <c r="R6592" t="s">
        <v>44909</v>
      </c>
      <c r="S6592" t="s">
        <v>45060</v>
      </c>
      <c r="T6592" t="s">
        <v>46519</v>
      </c>
      <c r="U6592" t="s">
        <v>52293</v>
      </c>
      <c r="W6592" t="s">
        <v>43155</v>
      </c>
      <c r="X6592" t="s">
        <v>44910</v>
      </c>
    </row>
    <row r="6593" spans="1:24">
      <c r="A6593">
        <f>HYPERLINK("https://www.philgeps.gov.ph/GEPSNONPILOT/Tender/SplashBidNoticeAbstractUI.aspx?menuIndex=3&amp;refID=7078237&amp;Result=3","7078237")</f>
        <v>0</v>
      </c>
      <c r="B6593" t="s">
        <v>628</v>
      </c>
      <c r="C6593" t="s">
        <v>9785</v>
      </c>
      <c r="D6593" t="s">
        <v>18116</v>
      </c>
      <c r="E6593" t="s">
        <v>24070</v>
      </c>
      <c r="F6593" t="s">
        <v>31362</v>
      </c>
      <c r="G6593" t="s">
        <v>31368</v>
      </c>
      <c r="H6593" t="s">
        <v>15799</v>
      </c>
      <c r="I6593" t="s">
        <v>31385</v>
      </c>
      <c r="J6593" t="s">
        <v>35593</v>
      </c>
      <c r="K6593" t="s">
        <v>40662</v>
      </c>
      <c r="M6593" t="s">
        <v>41588</v>
      </c>
      <c r="N6593" t="s">
        <v>44905</v>
      </c>
      <c r="O6593" t="s">
        <v>44906</v>
      </c>
      <c r="P6593">
        <v>0</v>
      </c>
      <c r="Q6593">
        <v>0</v>
      </c>
      <c r="R6593" t="s">
        <v>44909</v>
      </c>
      <c r="S6593" t="s">
        <v>45060</v>
      </c>
      <c r="T6593" t="s">
        <v>46443</v>
      </c>
      <c r="U6593" t="s">
        <v>52294</v>
      </c>
      <c r="W6593" t="s">
        <v>41588</v>
      </c>
      <c r="X6593" t="s">
        <v>44910</v>
      </c>
    </row>
    <row r="6594" spans="1:24">
      <c r="A6594">
        <f>HYPERLINK("https://www.philgeps.gov.ph/GEPSNONPILOT/Tender/SplashBidNoticeAbstractUI.aspx?menuIndex=3&amp;refID=7078245&amp;Result=3","7078245")</f>
        <v>0</v>
      </c>
      <c r="B6594" t="s">
        <v>472</v>
      </c>
      <c r="C6594" t="s">
        <v>9816</v>
      </c>
      <c r="D6594" t="s">
        <v>18134</v>
      </c>
      <c r="E6594" t="s">
        <v>24071</v>
      </c>
      <c r="F6594" t="s">
        <v>31362</v>
      </c>
      <c r="G6594" t="s">
        <v>31369</v>
      </c>
      <c r="H6594" t="s">
        <v>15799</v>
      </c>
      <c r="I6594" t="s">
        <v>31386</v>
      </c>
      <c r="J6594" t="s">
        <v>35594</v>
      </c>
      <c r="K6594" t="s">
        <v>40816</v>
      </c>
      <c r="M6594" t="s">
        <v>41426</v>
      </c>
      <c r="N6594" t="s">
        <v>44905</v>
      </c>
      <c r="O6594" t="s">
        <v>44906</v>
      </c>
      <c r="P6594">
        <v>0</v>
      </c>
      <c r="Q6594">
        <v>2</v>
      </c>
      <c r="R6594" t="s">
        <v>44909</v>
      </c>
      <c r="S6594" t="s">
        <v>45060</v>
      </c>
      <c r="T6594" t="s">
        <v>46616</v>
      </c>
      <c r="U6594" t="s">
        <v>52295</v>
      </c>
      <c r="W6594" t="s">
        <v>41426</v>
      </c>
      <c r="X6594" t="s">
        <v>44910</v>
      </c>
    </row>
    <row r="6595" spans="1:24">
      <c r="A6595">
        <f>HYPERLINK("https://www.philgeps.gov.ph/GEPSNONPILOT/Tender/SplashBidNoticeAbstractUI.aspx?menuIndex=3&amp;refID=7078243&amp;Result=3","7078243")</f>
        <v>0</v>
      </c>
      <c r="B6595" t="s">
        <v>1584</v>
      </c>
      <c r="C6595" t="s">
        <v>9817</v>
      </c>
      <c r="D6595" t="s">
        <v>18141</v>
      </c>
      <c r="E6595" t="s">
        <v>24072</v>
      </c>
      <c r="F6595" t="s">
        <v>31362</v>
      </c>
      <c r="G6595" t="s">
        <v>31368</v>
      </c>
      <c r="H6595" t="s">
        <v>15799</v>
      </c>
      <c r="I6595" t="s">
        <v>31388</v>
      </c>
      <c r="J6595" t="s">
        <v>31806</v>
      </c>
      <c r="K6595" t="s">
        <v>40731</v>
      </c>
      <c r="M6595" t="s">
        <v>42639</v>
      </c>
      <c r="N6595" t="s">
        <v>44905</v>
      </c>
      <c r="O6595" t="s">
        <v>44906</v>
      </c>
      <c r="P6595">
        <v>0</v>
      </c>
      <c r="Q6595">
        <v>0</v>
      </c>
      <c r="R6595" t="s">
        <v>44909</v>
      </c>
      <c r="S6595" t="s">
        <v>45060</v>
      </c>
      <c r="T6595" t="s">
        <v>46534</v>
      </c>
      <c r="U6595" t="s">
        <v>52296</v>
      </c>
      <c r="V6595" t="s">
        <v>59506</v>
      </c>
      <c r="W6595" t="s">
        <v>42639</v>
      </c>
      <c r="X6595" t="s">
        <v>44910</v>
      </c>
    </row>
    <row r="6596" spans="1:24">
      <c r="A6596">
        <f>HYPERLINK("https://www.philgeps.gov.ph/GEPSNONPILOT/Tender/SplashBidNoticeAbstractUI.aspx?menuIndex=3&amp;refID=7078239&amp;Result=3","7078239")</f>
        <v>0</v>
      </c>
      <c r="B6596" t="s">
        <v>2038</v>
      </c>
      <c r="C6596" t="s">
        <v>9160</v>
      </c>
      <c r="D6596" t="s">
        <v>18112</v>
      </c>
      <c r="E6596" t="s">
        <v>22690</v>
      </c>
      <c r="F6596" t="s">
        <v>31365</v>
      </c>
      <c r="G6596" t="s">
        <v>31368</v>
      </c>
      <c r="H6596" t="s">
        <v>15799</v>
      </c>
      <c r="I6596" t="s">
        <v>31390</v>
      </c>
      <c r="J6596" t="s">
        <v>31564</v>
      </c>
      <c r="K6596" t="s">
        <v>40697</v>
      </c>
      <c r="M6596" t="s">
        <v>43157</v>
      </c>
      <c r="N6596" t="s">
        <v>44905</v>
      </c>
      <c r="O6596" t="s">
        <v>44906</v>
      </c>
      <c r="P6596">
        <v>0</v>
      </c>
      <c r="Q6596">
        <v>2</v>
      </c>
      <c r="R6596" t="s">
        <v>44909</v>
      </c>
      <c r="S6596" t="s">
        <v>45060</v>
      </c>
      <c r="T6596" t="s">
        <v>46698</v>
      </c>
      <c r="U6596" t="s">
        <v>52297</v>
      </c>
      <c r="W6596" t="s">
        <v>43157</v>
      </c>
      <c r="X6596" t="s">
        <v>44910</v>
      </c>
    </row>
    <row r="6597" spans="1:24">
      <c r="A6597">
        <f>HYPERLINK("https://www.philgeps.gov.ph/GEPSNONPILOT/Tender/SplashBidNoticeAbstractUI.aspx?menuIndex=3&amp;refID=7078250&amp;Result=3","7078250")</f>
        <v>0</v>
      </c>
      <c r="B6597" t="s">
        <v>2039</v>
      </c>
      <c r="C6597" t="s">
        <v>9818</v>
      </c>
      <c r="D6597" t="s">
        <v>18108</v>
      </c>
      <c r="E6597" t="s">
        <v>24073</v>
      </c>
      <c r="F6597" t="s">
        <v>31362</v>
      </c>
      <c r="G6597" t="s">
        <v>31369</v>
      </c>
      <c r="H6597" t="s">
        <v>15799</v>
      </c>
      <c r="I6597" t="s">
        <v>31382</v>
      </c>
      <c r="J6597" t="s">
        <v>32127</v>
      </c>
      <c r="K6597" t="s">
        <v>40665</v>
      </c>
      <c r="M6597" t="s">
        <v>43158</v>
      </c>
      <c r="N6597" t="s">
        <v>44905</v>
      </c>
      <c r="O6597" t="s">
        <v>44906</v>
      </c>
      <c r="P6597">
        <v>0</v>
      </c>
      <c r="Q6597">
        <v>3</v>
      </c>
      <c r="R6597" t="s">
        <v>44909</v>
      </c>
      <c r="S6597" t="s">
        <v>45060</v>
      </c>
      <c r="T6597" t="s">
        <v>46531</v>
      </c>
      <c r="U6597" t="s">
        <v>52298</v>
      </c>
      <c r="V6597" t="s">
        <v>59702</v>
      </c>
      <c r="W6597" t="s">
        <v>43158</v>
      </c>
      <c r="X6597" t="s">
        <v>44910</v>
      </c>
    </row>
    <row r="6598" spans="1:24">
      <c r="A6598">
        <f>HYPERLINK("https://www.philgeps.gov.ph/GEPSNONPILOT/Tender/SplashBidNoticeAbstractUI.aspx?menuIndex=3&amp;refID=7078249&amp;Result=3","7078249")</f>
        <v>0</v>
      </c>
      <c r="B6598" t="s">
        <v>1957</v>
      </c>
      <c r="C6598" t="s">
        <v>9819</v>
      </c>
      <c r="D6598" t="s">
        <v>18117</v>
      </c>
      <c r="E6598" t="s">
        <v>24074</v>
      </c>
      <c r="F6598" t="s">
        <v>31362</v>
      </c>
      <c r="G6598" t="s">
        <v>31369</v>
      </c>
      <c r="H6598" t="s">
        <v>31378</v>
      </c>
      <c r="I6598" t="s">
        <v>31386</v>
      </c>
      <c r="J6598" t="s">
        <v>31696</v>
      </c>
      <c r="K6598" t="s">
        <v>40678</v>
      </c>
      <c r="M6598" t="s">
        <v>43063</v>
      </c>
      <c r="N6598" t="s">
        <v>44905</v>
      </c>
      <c r="O6598" t="s">
        <v>44906</v>
      </c>
      <c r="P6598">
        <v>0</v>
      </c>
      <c r="Q6598">
        <v>2</v>
      </c>
      <c r="R6598" t="s">
        <v>44909</v>
      </c>
      <c r="S6598" t="s">
        <v>45060</v>
      </c>
      <c r="T6598" t="s">
        <v>46511</v>
      </c>
      <c r="U6598" t="s">
        <v>52223</v>
      </c>
      <c r="V6598" t="s">
        <v>59703</v>
      </c>
      <c r="W6598" t="s">
        <v>43063</v>
      </c>
      <c r="X6598" t="s">
        <v>44910</v>
      </c>
    </row>
    <row r="6599" spans="1:24">
      <c r="A6599">
        <f>HYPERLINK("https://www.philgeps.gov.ph/GEPSNONPILOT/Tender/SplashBidNoticeAbstractUI.aspx?menuIndex=3&amp;refID=7078248&amp;Result=3","7078248")</f>
        <v>0</v>
      </c>
      <c r="B6599" t="s">
        <v>622</v>
      </c>
      <c r="C6599" t="s">
        <v>9820</v>
      </c>
      <c r="D6599" t="s">
        <v>18108</v>
      </c>
      <c r="E6599" t="s">
        <v>24075</v>
      </c>
      <c r="F6599" t="s">
        <v>31362</v>
      </c>
      <c r="G6599" t="s">
        <v>31368</v>
      </c>
      <c r="H6599" t="s">
        <v>15799</v>
      </c>
      <c r="I6599" t="s">
        <v>31406</v>
      </c>
      <c r="J6599" t="s">
        <v>32853</v>
      </c>
      <c r="K6599" t="s">
        <v>40665</v>
      </c>
      <c r="M6599" t="s">
        <v>41581</v>
      </c>
      <c r="N6599" t="s">
        <v>44905</v>
      </c>
      <c r="O6599" t="s">
        <v>44906</v>
      </c>
      <c r="P6599">
        <v>0</v>
      </c>
      <c r="Q6599">
        <v>26</v>
      </c>
      <c r="R6599" t="s">
        <v>44909</v>
      </c>
      <c r="S6599" t="s">
        <v>45060</v>
      </c>
      <c r="T6599" t="s">
        <v>46404</v>
      </c>
      <c r="U6599" t="s">
        <v>48113</v>
      </c>
      <c r="W6599" t="s">
        <v>41581</v>
      </c>
      <c r="X6599" t="s">
        <v>44910</v>
      </c>
    </row>
    <row r="6600" spans="1:24">
      <c r="A6600">
        <f>HYPERLINK("https://www.philgeps.gov.ph/GEPSNONPILOT/Tender/SplashBidNoticeAbstractUI.aspx?menuIndex=3&amp;refID=7078287&amp;Result=3","7078287")</f>
        <v>0</v>
      </c>
      <c r="B6600" t="s">
        <v>556</v>
      </c>
      <c r="C6600" t="s">
        <v>4955</v>
      </c>
      <c r="D6600" t="s">
        <v>18122</v>
      </c>
      <c r="E6600" t="s">
        <v>24076</v>
      </c>
      <c r="F6600" t="s">
        <v>31362</v>
      </c>
      <c r="G6600" t="s">
        <v>31368</v>
      </c>
      <c r="H6600" t="s">
        <v>15799</v>
      </c>
      <c r="I6600" t="s">
        <v>31380</v>
      </c>
      <c r="J6600" t="s">
        <v>35595</v>
      </c>
      <c r="K6600" t="s">
        <v>40665</v>
      </c>
      <c r="M6600" t="s">
        <v>41512</v>
      </c>
      <c r="N6600" t="s">
        <v>44905</v>
      </c>
      <c r="O6600" t="s">
        <v>44906</v>
      </c>
      <c r="P6600">
        <v>0</v>
      </c>
      <c r="Q6600">
        <v>2</v>
      </c>
      <c r="R6600" t="s">
        <v>44909</v>
      </c>
      <c r="S6600" t="s">
        <v>45060</v>
      </c>
      <c r="T6600" t="s">
        <v>46478</v>
      </c>
      <c r="U6600" t="s">
        <v>47991</v>
      </c>
      <c r="W6600" t="s">
        <v>60858</v>
      </c>
      <c r="X6600" t="s">
        <v>44910</v>
      </c>
    </row>
    <row r="6601" spans="1:24">
      <c r="A6601">
        <f>HYPERLINK("https://www.philgeps.gov.ph/GEPSNONPILOT/Tender/SplashBidNoticeAbstractUI.aspx?menuIndex=3&amp;refID=7078292&amp;Result=3","7078292")</f>
        <v>0</v>
      </c>
      <c r="B6601" t="s">
        <v>2039</v>
      </c>
      <c r="C6601" t="s">
        <v>9821</v>
      </c>
      <c r="D6601" t="s">
        <v>18108</v>
      </c>
      <c r="E6601" t="s">
        <v>24077</v>
      </c>
      <c r="F6601" t="s">
        <v>31362</v>
      </c>
      <c r="G6601" t="s">
        <v>31369</v>
      </c>
      <c r="H6601" t="s">
        <v>15799</v>
      </c>
      <c r="I6601" t="s">
        <v>31406</v>
      </c>
      <c r="J6601" t="s">
        <v>34763</v>
      </c>
      <c r="K6601" t="s">
        <v>40665</v>
      </c>
      <c r="M6601" t="s">
        <v>43158</v>
      </c>
      <c r="N6601" t="s">
        <v>44905</v>
      </c>
      <c r="O6601" t="s">
        <v>44906</v>
      </c>
      <c r="P6601">
        <v>0</v>
      </c>
      <c r="Q6601">
        <v>4</v>
      </c>
      <c r="R6601" t="s">
        <v>44909</v>
      </c>
      <c r="S6601" t="s">
        <v>45060</v>
      </c>
      <c r="T6601" t="s">
        <v>46513</v>
      </c>
      <c r="U6601" t="s">
        <v>52299</v>
      </c>
      <c r="V6601" t="s">
        <v>59702</v>
      </c>
      <c r="W6601" t="s">
        <v>43158</v>
      </c>
      <c r="X6601" t="s">
        <v>44910</v>
      </c>
    </row>
    <row r="6602" spans="1:24">
      <c r="A6602">
        <f>HYPERLINK("https://www.philgeps.gov.ph/GEPSNONPILOT/Tender/SplashBidNoticeAbstractUI.aspx?menuIndex=3&amp;refID=7078253&amp;Result=3","7078253")</f>
        <v>0</v>
      </c>
      <c r="B6602" t="s">
        <v>2040</v>
      </c>
      <c r="C6602" t="s">
        <v>9822</v>
      </c>
      <c r="D6602" t="s">
        <v>18135</v>
      </c>
      <c r="E6602" t="s">
        <v>18227</v>
      </c>
      <c r="F6602" t="s">
        <v>31362</v>
      </c>
      <c r="G6602" t="s">
        <v>31369</v>
      </c>
      <c r="H6602" t="s">
        <v>15799</v>
      </c>
      <c r="I6602" t="s">
        <v>3815</v>
      </c>
      <c r="J6602" t="s">
        <v>31536</v>
      </c>
      <c r="K6602" t="s">
        <v>40665</v>
      </c>
      <c r="M6602" t="s">
        <v>43159</v>
      </c>
      <c r="N6602" t="s">
        <v>44905</v>
      </c>
      <c r="O6602" t="s">
        <v>44906</v>
      </c>
      <c r="P6602">
        <v>0</v>
      </c>
      <c r="Q6602">
        <v>0</v>
      </c>
      <c r="R6602" t="s">
        <v>44909</v>
      </c>
      <c r="S6602" t="s">
        <v>45060</v>
      </c>
      <c r="T6602" t="s">
        <v>46408</v>
      </c>
      <c r="U6602" t="s">
        <v>52300</v>
      </c>
      <c r="W6602" t="s">
        <v>43159</v>
      </c>
      <c r="X6602" t="s">
        <v>44910</v>
      </c>
    </row>
    <row r="6603" spans="1:24">
      <c r="A6603">
        <f>HYPERLINK("https://www.philgeps.gov.ph/GEPSNONPILOT/Tender/SplashBidNoticeAbstractUI.aspx?menuIndex=3&amp;refID=7078291&amp;Result=3","7078291")</f>
        <v>0</v>
      </c>
      <c r="B6603" t="s">
        <v>2040</v>
      </c>
      <c r="C6603" t="s">
        <v>9823</v>
      </c>
      <c r="D6603" t="s">
        <v>18135</v>
      </c>
      <c r="E6603" t="s">
        <v>21584</v>
      </c>
      <c r="F6603" t="s">
        <v>31362</v>
      </c>
      <c r="G6603" t="s">
        <v>31369</v>
      </c>
      <c r="H6603" t="s">
        <v>15799</v>
      </c>
      <c r="I6603" t="s">
        <v>3815</v>
      </c>
      <c r="J6603" t="s">
        <v>31668</v>
      </c>
      <c r="K6603" t="s">
        <v>40665</v>
      </c>
      <c r="M6603" t="s">
        <v>43159</v>
      </c>
      <c r="N6603" t="s">
        <v>44905</v>
      </c>
      <c r="O6603" t="s">
        <v>44906</v>
      </c>
      <c r="P6603">
        <v>0</v>
      </c>
      <c r="Q6603">
        <v>0</v>
      </c>
      <c r="R6603" t="s">
        <v>44909</v>
      </c>
      <c r="S6603" t="s">
        <v>45060</v>
      </c>
      <c r="T6603" t="s">
        <v>46578</v>
      </c>
      <c r="U6603" t="s">
        <v>52301</v>
      </c>
      <c r="W6603" t="s">
        <v>43159</v>
      </c>
      <c r="X6603" t="s">
        <v>44910</v>
      </c>
    </row>
    <row r="6604" spans="1:24">
      <c r="A6604">
        <f>HYPERLINK("https://www.philgeps.gov.ph/GEPSNONPILOT/Tender/SplashBidNoticeAbstractUI.aspx?menuIndex=3&amp;refID=7078289&amp;Result=3","7078289")</f>
        <v>0</v>
      </c>
      <c r="B6604" t="s">
        <v>508</v>
      </c>
      <c r="C6604" t="s">
        <v>9824</v>
      </c>
      <c r="D6604" t="s">
        <v>18131</v>
      </c>
      <c r="E6604" t="s">
        <v>22609</v>
      </c>
      <c r="F6604" t="s">
        <v>31362</v>
      </c>
      <c r="G6604" t="s">
        <v>31368</v>
      </c>
      <c r="H6604" t="s">
        <v>15799</v>
      </c>
      <c r="I6604" t="s">
        <v>3815</v>
      </c>
      <c r="J6604" t="s">
        <v>35596</v>
      </c>
      <c r="K6604" t="s">
        <v>40662</v>
      </c>
      <c r="M6604" t="s">
        <v>41463</v>
      </c>
      <c r="N6604" t="s">
        <v>44905</v>
      </c>
      <c r="O6604" t="s">
        <v>44906</v>
      </c>
      <c r="P6604">
        <v>0</v>
      </c>
      <c r="Q6604">
        <v>0</v>
      </c>
      <c r="R6604" t="s">
        <v>44909</v>
      </c>
      <c r="S6604" t="s">
        <v>45060</v>
      </c>
      <c r="T6604" t="s">
        <v>46432</v>
      </c>
      <c r="U6604" t="s">
        <v>52302</v>
      </c>
      <c r="W6604" t="s">
        <v>41463</v>
      </c>
      <c r="X6604" t="s">
        <v>44910</v>
      </c>
    </row>
    <row r="6605" spans="1:24">
      <c r="A6605">
        <f>HYPERLINK("https://www.philgeps.gov.ph/GEPSNONPILOT/Tender/SplashBidNoticeAbstractUI.aspx?menuIndex=3&amp;refID=7078285&amp;Result=3","7078285")</f>
        <v>0</v>
      </c>
      <c r="B6605" t="s">
        <v>521</v>
      </c>
      <c r="C6605" t="s">
        <v>9825</v>
      </c>
      <c r="D6605" t="s">
        <v>18107</v>
      </c>
      <c r="E6605" t="s">
        <v>24078</v>
      </c>
      <c r="F6605" t="s">
        <v>31362</v>
      </c>
      <c r="G6605" t="s">
        <v>31368</v>
      </c>
      <c r="H6605" t="s">
        <v>15799</v>
      </c>
      <c r="I6605" t="s">
        <v>31430</v>
      </c>
      <c r="J6605" t="s">
        <v>35597</v>
      </c>
      <c r="K6605" t="s">
        <v>40661</v>
      </c>
      <c r="M6605" t="s">
        <v>41477</v>
      </c>
      <c r="N6605" t="s">
        <v>44905</v>
      </c>
      <c r="O6605" t="s">
        <v>44906</v>
      </c>
      <c r="P6605">
        <v>0</v>
      </c>
      <c r="Q6605">
        <v>2</v>
      </c>
      <c r="R6605" t="s">
        <v>44909</v>
      </c>
      <c r="S6605" t="s">
        <v>45060</v>
      </c>
      <c r="T6605" t="s">
        <v>46432</v>
      </c>
      <c r="U6605" t="s">
        <v>52303</v>
      </c>
      <c r="W6605" t="s">
        <v>60857</v>
      </c>
      <c r="X6605" t="s">
        <v>44910</v>
      </c>
    </row>
    <row r="6606" spans="1:24">
      <c r="A6606">
        <f>HYPERLINK("https://www.philgeps.gov.ph/GEPSNONPILOT/Tender/SplashBidNoticeAbstractUI.aspx?menuIndex=3&amp;refID=7078283&amp;Result=3","7078283")</f>
        <v>0</v>
      </c>
      <c r="B6606" t="s">
        <v>1075</v>
      </c>
      <c r="C6606" t="s">
        <v>9826</v>
      </c>
      <c r="D6606" t="s">
        <v>18101</v>
      </c>
      <c r="E6606" t="s">
        <v>24079</v>
      </c>
      <c r="F6606" t="s">
        <v>31362</v>
      </c>
      <c r="G6606" t="s">
        <v>31369</v>
      </c>
      <c r="H6606" t="s">
        <v>15799</v>
      </c>
      <c r="I6606" t="s">
        <v>3815</v>
      </c>
      <c r="J6606" t="s">
        <v>35598</v>
      </c>
      <c r="K6606" t="s">
        <v>40666</v>
      </c>
      <c r="M6606" t="s">
        <v>42077</v>
      </c>
      <c r="N6606" t="s">
        <v>44905</v>
      </c>
      <c r="O6606" t="s">
        <v>44906</v>
      </c>
      <c r="P6606">
        <v>0</v>
      </c>
      <c r="Q6606">
        <v>0</v>
      </c>
      <c r="R6606" t="s">
        <v>44909</v>
      </c>
      <c r="S6606" t="s">
        <v>45060</v>
      </c>
      <c r="T6606" t="s">
        <v>46560</v>
      </c>
      <c r="U6606" t="s">
        <v>52304</v>
      </c>
      <c r="W6606" t="s">
        <v>42077</v>
      </c>
      <c r="X6606" t="s">
        <v>44910</v>
      </c>
    </row>
    <row r="6607" spans="1:24">
      <c r="A6607">
        <f>HYPERLINK("https://www.philgeps.gov.ph/GEPSNONPILOT/Tender/SplashBidNoticeAbstractUI.aspx?menuIndex=3&amp;refID=7078281&amp;Result=3","7078281")</f>
        <v>0</v>
      </c>
      <c r="B6607" t="s">
        <v>2041</v>
      </c>
      <c r="C6607" t="s">
        <v>9827</v>
      </c>
      <c r="D6607" t="s">
        <v>18104</v>
      </c>
      <c r="E6607" t="s">
        <v>24080</v>
      </c>
      <c r="F6607" t="s">
        <v>31362</v>
      </c>
      <c r="G6607" t="s">
        <v>31370</v>
      </c>
      <c r="H6607" t="s">
        <v>15799</v>
      </c>
      <c r="I6607" t="s">
        <v>31385</v>
      </c>
      <c r="J6607" t="s">
        <v>31545</v>
      </c>
      <c r="K6607" t="s">
        <v>40661</v>
      </c>
      <c r="M6607" t="s">
        <v>43160</v>
      </c>
      <c r="N6607" t="s">
        <v>44905</v>
      </c>
      <c r="O6607" t="s">
        <v>44906</v>
      </c>
      <c r="P6607">
        <v>0</v>
      </c>
      <c r="Q6607">
        <v>0</v>
      </c>
      <c r="R6607" t="s">
        <v>44909</v>
      </c>
      <c r="S6607" t="s">
        <v>45060</v>
      </c>
      <c r="T6607" t="s">
        <v>46435</v>
      </c>
      <c r="U6607" t="s">
        <v>52305</v>
      </c>
      <c r="W6607" t="s">
        <v>43160</v>
      </c>
      <c r="X6607" t="s">
        <v>44910</v>
      </c>
    </row>
    <row r="6608" spans="1:24">
      <c r="A6608">
        <f>HYPERLINK("https://www.philgeps.gov.ph/GEPSNONPILOT/Tender/SplashBidNoticeAbstractUI.aspx?menuIndex=3&amp;refID=7078280&amp;Result=3","7078280")</f>
        <v>0</v>
      </c>
      <c r="B6608" t="s">
        <v>2042</v>
      </c>
      <c r="C6608" t="s">
        <v>9828</v>
      </c>
      <c r="D6608" t="s">
        <v>18101</v>
      </c>
      <c r="E6608" t="s">
        <v>24081</v>
      </c>
      <c r="F6608" t="s">
        <v>31362</v>
      </c>
      <c r="G6608" t="s">
        <v>31368</v>
      </c>
      <c r="H6608" t="s">
        <v>15799</v>
      </c>
      <c r="I6608" t="s">
        <v>7090</v>
      </c>
      <c r="J6608" t="s">
        <v>35599</v>
      </c>
      <c r="K6608" t="s">
        <v>40662</v>
      </c>
      <c r="M6608" t="s">
        <v>43161</v>
      </c>
      <c r="N6608" t="s">
        <v>44905</v>
      </c>
      <c r="O6608" t="s">
        <v>44906</v>
      </c>
      <c r="P6608">
        <v>0</v>
      </c>
      <c r="Q6608">
        <v>0</v>
      </c>
      <c r="R6608" t="s">
        <v>44909</v>
      </c>
      <c r="S6608" t="s">
        <v>45060</v>
      </c>
      <c r="T6608" t="s">
        <v>46707</v>
      </c>
      <c r="U6608" t="s">
        <v>52306</v>
      </c>
      <c r="W6608" t="s">
        <v>43161</v>
      </c>
      <c r="X6608" t="s">
        <v>44910</v>
      </c>
    </row>
    <row r="6609" spans="1:24">
      <c r="A6609">
        <f>HYPERLINK("https://www.philgeps.gov.ph/GEPSNONPILOT/Tender/SplashBidNoticeAbstractUI.aspx?menuIndex=3&amp;refID=7078272&amp;Result=3","7078272")</f>
        <v>0</v>
      </c>
      <c r="B6609" t="s">
        <v>2039</v>
      </c>
      <c r="C6609" t="s">
        <v>9829</v>
      </c>
      <c r="D6609" t="s">
        <v>18108</v>
      </c>
      <c r="E6609" t="s">
        <v>24082</v>
      </c>
      <c r="F6609" t="s">
        <v>31362</v>
      </c>
      <c r="G6609" t="s">
        <v>31369</v>
      </c>
      <c r="H6609" t="s">
        <v>15799</v>
      </c>
      <c r="I6609" t="s">
        <v>31451</v>
      </c>
      <c r="J6609" t="s">
        <v>35600</v>
      </c>
      <c r="K6609" t="s">
        <v>40665</v>
      </c>
      <c r="M6609" t="s">
        <v>43158</v>
      </c>
      <c r="N6609" t="s">
        <v>44905</v>
      </c>
      <c r="O6609" t="s">
        <v>44906</v>
      </c>
      <c r="P6609">
        <v>0</v>
      </c>
      <c r="Q6609">
        <v>5</v>
      </c>
      <c r="R6609" t="s">
        <v>44909</v>
      </c>
      <c r="S6609" t="s">
        <v>45060</v>
      </c>
      <c r="T6609" t="s">
        <v>46513</v>
      </c>
      <c r="U6609" t="s">
        <v>52307</v>
      </c>
      <c r="V6609" t="s">
        <v>59702</v>
      </c>
      <c r="W6609" t="s">
        <v>43158</v>
      </c>
      <c r="X6609" t="s">
        <v>44910</v>
      </c>
    </row>
    <row r="6610" spans="1:24">
      <c r="A6610">
        <f>HYPERLINK("https://www.philgeps.gov.ph/GEPSNONPILOT/Tender/SplashBidNoticeAbstractUI.aspx?menuIndex=3&amp;refID=7078270&amp;Result=3","7078270")</f>
        <v>0</v>
      </c>
      <c r="B6610" t="s">
        <v>240</v>
      </c>
      <c r="C6610" t="s">
        <v>9830</v>
      </c>
      <c r="D6610" t="s">
        <v>18122</v>
      </c>
      <c r="E6610" t="s">
        <v>24083</v>
      </c>
      <c r="F6610" t="s">
        <v>31362</v>
      </c>
      <c r="G6610" t="s">
        <v>31369</v>
      </c>
      <c r="H6610" t="s">
        <v>31378</v>
      </c>
      <c r="I6610" t="s">
        <v>31386</v>
      </c>
      <c r="J6610" t="s">
        <v>31615</v>
      </c>
      <c r="K6610" t="s">
        <v>40683</v>
      </c>
      <c r="M6610" t="s">
        <v>41179</v>
      </c>
      <c r="N6610" t="s">
        <v>44905</v>
      </c>
      <c r="O6610" t="s">
        <v>44906</v>
      </c>
      <c r="P6610">
        <v>0</v>
      </c>
      <c r="Q6610">
        <v>41</v>
      </c>
      <c r="R6610" t="s">
        <v>44909</v>
      </c>
      <c r="S6610" t="s">
        <v>45060</v>
      </c>
      <c r="T6610" t="s">
        <v>46729</v>
      </c>
      <c r="U6610" t="s">
        <v>52308</v>
      </c>
      <c r="V6610" t="s">
        <v>59704</v>
      </c>
      <c r="W6610" t="s">
        <v>41179</v>
      </c>
      <c r="X6610" t="s">
        <v>44910</v>
      </c>
    </row>
    <row r="6611" spans="1:24">
      <c r="A6611">
        <f>HYPERLINK("https://www.philgeps.gov.ph/GEPSNONPILOT/Tender/SplashBidNoticeAbstractUI.aspx?menuIndex=3&amp;refID=7078265&amp;Result=3","7078265")</f>
        <v>0</v>
      </c>
      <c r="B6611" t="s">
        <v>1965</v>
      </c>
      <c r="C6611" t="s">
        <v>9831</v>
      </c>
      <c r="D6611" t="s">
        <v>18114</v>
      </c>
      <c r="E6611" t="s">
        <v>24084</v>
      </c>
      <c r="F6611" t="s">
        <v>31362</v>
      </c>
      <c r="G6611" t="s">
        <v>31374</v>
      </c>
      <c r="H6611" t="s">
        <v>15799</v>
      </c>
      <c r="I6611" t="s">
        <v>7090</v>
      </c>
      <c r="J6611" t="s">
        <v>35601</v>
      </c>
      <c r="K6611" t="s">
        <v>40715</v>
      </c>
      <c r="M6611" t="s">
        <v>43071</v>
      </c>
      <c r="N6611" t="s">
        <v>44905</v>
      </c>
      <c r="O6611" t="s">
        <v>44906</v>
      </c>
      <c r="P6611">
        <v>0</v>
      </c>
      <c r="Q6611">
        <v>0</v>
      </c>
      <c r="R6611" t="s">
        <v>44909</v>
      </c>
      <c r="S6611" t="s">
        <v>45060</v>
      </c>
      <c r="T6611" t="s">
        <v>46443</v>
      </c>
      <c r="U6611" t="s">
        <v>52309</v>
      </c>
      <c r="W6611" t="s">
        <v>43071</v>
      </c>
      <c r="X6611" t="s">
        <v>44910</v>
      </c>
    </row>
    <row r="6612" spans="1:24">
      <c r="A6612">
        <f>HYPERLINK("https://www.philgeps.gov.ph/GEPSNONPILOT/Tender/SplashBidNoticeAbstractUI.aspx?menuIndex=3&amp;refID=7078258&amp;Result=3","7078258")</f>
        <v>0</v>
      </c>
      <c r="B6612" t="s">
        <v>1066</v>
      </c>
      <c r="C6612" t="s">
        <v>9832</v>
      </c>
      <c r="D6612" t="s">
        <v>18125</v>
      </c>
      <c r="E6612" t="s">
        <v>24085</v>
      </c>
      <c r="F6612" t="s">
        <v>31362</v>
      </c>
      <c r="G6612" t="s">
        <v>31368</v>
      </c>
      <c r="H6612" t="s">
        <v>15799</v>
      </c>
      <c r="I6612" t="s">
        <v>4283</v>
      </c>
      <c r="J6612" t="s">
        <v>35602</v>
      </c>
      <c r="K6612" t="s">
        <v>40670</v>
      </c>
      <c r="M6612" t="s">
        <v>42068</v>
      </c>
      <c r="N6612" t="s">
        <v>44905</v>
      </c>
      <c r="O6612" t="s">
        <v>44906</v>
      </c>
      <c r="P6612">
        <v>0</v>
      </c>
      <c r="Q6612">
        <v>1</v>
      </c>
      <c r="R6612" t="s">
        <v>44909</v>
      </c>
      <c r="S6612" t="s">
        <v>45060</v>
      </c>
      <c r="T6612" t="s">
        <v>46432</v>
      </c>
      <c r="U6612" t="s">
        <v>52310</v>
      </c>
      <c r="W6612" t="s">
        <v>42068</v>
      </c>
      <c r="X6612" t="s">
        <v>44910</v>
      </c>
    </row>
    <row r="6613" spans="1:24">
      <c r="A6613">
        <f>HYPERLINK("https://www.philgeps.gov.ph/GEPSNONPILOT/Tender/SplashBidNoticeAbstractUI.aspx?menuIndex=3&amp;refID=7078257&amp;Result=3","7078257")</f>
        <v>0</v>
      </c>
      <c r="B6613" t="s">
        <v>514</v>
      </c>
      <c r="C6613" t="s">
        <v>9833</v>
      </c>
      <c r="E6613" t="s">
        <v>22902</v>
      </c>
      <c r="F6613" t="s">
        <v>31362</v>
      </c>
      <c r="G6613" t="s">
        <v>31368</v>
      </c>
      <c r="H6613" t="s">
        <v>15799</v>
      </c>
      <c r="I6613" t="s">
        <v>31430</v>
      </c>
      <c r="J6613" t="s">
        <v>35603</v>
      </c>
      <c r="K6613" t="s">
        <v>40662</v>
      </c>
      <c r="M6613" t="s">
        <v>41469</v>
      </c>
      <c r="N6613" t="s">
        <v>44905</v>
      </c>
      <c r="O6613" t="s">
        <v>44906</v>
      </c>
      <c r="P6613">
        <v>0</v>
      </c>
      <c r="Q6613">
        <v>0</v>
      </c>
      <c r="R6613" t="s">
        <v>44909</v>
      </c>
      <c r="S6613" t="s">
        <v>45060</v>
      </c>
      <c r="T6613" t="s">
        <v>46447</v>
      </c>
      <c r="U6613" t="s">
        <v>52311</v>
      </c>
      <c r="W6613" t="s">
        <v>60856</v>
      </c>
      <c r="X6613" t="s">
        <v>44910</v>
      </c>
    </row>
    <row r="6614" spans="1:24">
      <c r="A6614">
        <f>HYPERLINK("https://www.philgeps.gov.ph/GEPSNONPILOT/Tender/SplashBidNoticeAbstractUI.aspx?menuIndex=3&amp;refID=7078254&amp;Result=3","7078254")</f>
        <v>0</v>
      </c>
      <c r="B6614" t="s">
        <v>2023</v>
      </c>
      <c r="C6614" t="s">
        <v>9834</v>
      </c>
      <c r="D6614" t="s">
        <v>18118</v>
      </c>
      <c r="E6614" t="s">
        <v>24086</v>
      </c>
      <c r="F6614" t="s">
        <v>31362</v>
      </c>
      <c r="G6614" t="s">
        <v>31370</v>
      </c>
      <c r="H6614" t="s">
        <v>15799</v>
      </c>
      <c r="I6614" t="s">
        <v>31422</v>
      </c>
      <c r="J6614" t="s">
        <v>31626</v>
      </c>
      <c r="K6614" t="s">
        <v>40672</v>
      </c>
      <c r="M6614" t="s">
        <v>43140</v>
      </c>
      <c r="N6614" t="s">
        <v>44905</v>
      </c>
      <c r="O6614" t="s">
        <v>44906</v>
      </c>
      <c r="P6614">
        <v>0</v>
      </c>
      <c r="Q6614">
        <v>1</v>
      </c>
      <c r="R6614" t="s">
        <v>44909</v>
      </c>
      <c r="S6614" t="s">
        <v>45060</v>
      </c>
      <c r="T6614" t="s">
        <v>46549</v>
      </c>
      <c r="U6614" t="s">
        <v>52312</v>
      </c>
      <c r="V6614" t="s">
        <v>59705</v>
      </c>
      <c r="W6614" t="s">
        <v>43140</v>
      </c>
      <c r="X6614" t="s">
        <v>44910</v>
      </c>
    </row>
    <row r="6615" spans="1:24">
      <c r="A6615">
        <f>HYPERLINK("https://www.philgeps.gov.ph/GEPSNONPILOT/Tender/SplashBidNoticeAbstractUI.aspx?menuIndex=3&amp;refID=7078282&amp;Result=3","7078282")</f>
        <v>0</v>
      </c>
      <c r="B6615" t="s">
        <v>1673</v>
      </c>
      <c r="C6615" t="s">
        <v>9835</v>
      </c>
      <c r="D6615" t="s">
        <v>18171</v>
      </c>
      <c r="E6615" t="s">
        <v>24087</v>
      </c>
      <c r="F6615" t="s">
        <v>31362</v>
      </c>
      <c r="G6615" t="s">
        <v>31369</v>
      </c>
      <c r="H6615" t="s">
        <v>31378</v>
      </c>
      <c r="I6615" t="s">
        <v>31435</v>
      </c>
      <c r="J6615" t="s">
        <v>31734</v>
      </c>
      <c r="K6615" t="s">
        <v>40680</v>
      </c>
      <c r="M6615" t="s">
        <v>42738</v>
      </c>
      <c r="N6615" t="s">
        <v>44905</v>
      </c>
      <c r="O6615" t="s">
        <v>44906</v>
      </c>
      <c r="P6615">
        <v>0</v>
      </c>
      <c r="Q6615">
        <v>5</v>
      </c>
      <c r="R6615" t="s">
        <v>44909</v>
      </c>
      <c r="S6615" t="s">
        <v>45060</v>
      </c>
      <c r="T6615" t="s">
        <v>46585</v>
      </c>
      <c r="U6615" t="s">
        <v>52313</v>
      </c>
      <c r="W6615" t="s">
        <v>42738</v>
      </c>
      <c r="X6615" t="s">
        <v>44910</v>
      </c>
    </row>
    <row r="6616" spans="1:24">
      <c r="A6616">
        <f>HYPERLINK("https://www.philgeps.gov.ph/GEPSNONPILOT/Tender/SplashBidNoticeAbstractUI.aspx?menuIndex=3&amp;refID=7078302&amp;Result=3","7078302")</f>
        <v>0</v>
      </c>
      <c r="B6616" t="s">
        <v>1011</v>
      </c>
      <c r="C6616" t="s">
        <v>9836</v>
      </c>
      <c r="D6616" t="s">
        <v>18111</v>
      </c>
      <c r="E6616" t="s">
        <v>24088</v>
      </c>
      <c r="F6616" t="s">
        <v>31362</v>
      </c>
      <c r="G6616" t="s">
        <v>31368</v>
      </c>
      <c r="H6616" t="s">
        <v>31379</v>
      </c>
      <c r="I6616" t="s">
        <v>31411</v>
      </c>
      <c r="J6616" t="s">
        <v>31983</v>
      </c>
      <c r="K6616" t="s">
        <v>40665</v>
      </c>
      <c r="M6616" t="s">
        <v>42008</v>
      </c>
      <c r="N6616" t="s">
        <v>44905</v>
      </c>
      <c r="O6616" t="s">
        <v>44906</v>
      </c>
      <c r="P6616">
        <v>0</v>
      </c>
      <c r="Q6616">
        <v>4</v>
      </c>
      <c r="R6616" t="s">
        <v>44909</v>
      </c>
      <c r="S6616" t="s">
        <v>45060</v>
      </c>
      <c r="T6616" t="s">
        <v>46412</v>
      </c>
      <c r="U6616" t="s">
        <v>52314</v>
      </c>
      <c r="V6616" t="s">
        <v>59706</v>
      </c>
      <c r="W6616" t="s">
        <v>42008</v>
      </c>
      <c r="X6616" t="s">
        <v>44910</v>
      </c>
    </row>
    <row r="6617" spans="1:24">
      <c r="A6617">
        <f>HYPERLINK("https://www.philgeps.gov.ph/GEPSNONPILOT/Tender/SplashBidNoticeAbstractUI.aspx?menuIndex=3&amp;refID=7078334&amp;Result=3","7078334")</f>
        <v>0</v>
      </c>
      <c r="B6617" t="s">
        <v>989</v>
      </c>
      <c r="C6617" t="s">
        <v>9837</v>
      </c>
      <c r="D6617" t="s">
        <v>18158</v>
      </c>
      <c r="E6617" t="s">
        <v>24089</v>
      </c>
      <c r="F6617" t="s">
        <v>31362</v>
      </c>
      <c r="G6617" t="s">
        <v>31369</v>
      </c>
      <c r="H6617" t="s">
        <v>31378</v>
      </c>
      <c r="I6617" t="s">
        <v>31386</v>
      </c>
      <c r="J6617" t="s">
        <v>31530</v>
      </c>
      <c r="K6617" t="s">
        <v>40677</v>
      </c>
      <c r="M6617" t="s">
        <v>41983</v>
      </c>
      <c r="N6617" t="s">
        <v>44905</v>
      </c>
      <c r="O6617" t="s">
        <v>44906</v>
      </c>
      <c r="P6617">
        <v>0</v>
      </c>
      <c r="Q6617">
        <v>0</v>
      </c>
      <c r="R6617" t="s">
        <v>44909</v>
      </c>
      <c r="S6617" t="s">
        <v>45060</v>
      </c>
      <c r="T6617" t="s">
        <v>46519</v>
      </c>
      <c r="U6617" t="s">
        <v>52315</v>
      </c>
      <c r="W6617" t="s">
        <v>41983</v>
      </c>
      <c r="X6617" t="s">
        <v>44910</v>
      </c>
    </row>
    <row r="6618" spans="1:24">
      <c r="A6618">
        <f>HYPERLINK("https://www.philgeps.gov.ph/GEPSNONPILOT/Tender/SplashBidNoticeAbstractUI.aspx?menuIndex=3&amp;refID=7078333&amp;Result=3","7078333")</f>
        <v>0</v>
      </c>
      <c r="B6618" t="s">
        <v>2043</v>
      </c>
      <c r="C6618" t="s">
        <v>9838</v>
      </c>
      <c r="D6618" t="s">
        <v>18144</v>
      </c>
      <c r="E6618" t="s">
        <v>24090</v>
      </c>
      <c r="F6618" t="s">
        <v>31362</v>
      </c>
      <c r="G6618" t="s">
        <v>31370</v>
      </c>
      <c r="H6618" t="s">
        <v>15799</v>
      </c>
      <c r="I6618" t="s">
        <v>31382</v>
      </c>
      <c r="J6618" t="s">
        <v>31564</v>
      </c>
      <c r="K6618" t="s">
        <v>40662</v>
      </c>
      <c r="M6618" t="s">
        <v>43162</v>
      </c>
      <c r="N6618" t="s">
        <v>44905</v>
      </c>
      <c r="O6618" t="s">
        <v>44906</v>
      </c>
      <c r="P6618">
        <v>0</v>
      </c>
      <c r="Q6618">
        <v>2</v>
      </c>
      <c r="R6618" t="s">
        <v>44909</v>
      </c>
      <c r="S6618" t="s">
        <v>45060</v>
      </c>
      <c r="T6618" t="s">
        <v>46416</v>
      </c>
      <c r="U6618" t="s">
        <v>52316</v>
      </c>
      <c r="W6618" t="s">
        <v>43162</v>
      </c>
      <c r="X6618" t="s">
        <v>44910</v>
      </c>
    </row>
    <row r="6619" spans="1:24">
      <c r="A6619">
        <f>HYPERLINK("https://www.philgeps.gov.ph/GEPSNONPILOT/Tender/SplashBidNoticeAbstractUI.aspx?menuIndex=3&amp;refID=7078218&amp;Result=3","7078218")</f>
        <v>0</v>
      </c>
      <c r="B6619" t="s">
        <v>207</v>
      </c>
      <c r="C6619" t="s">
        <v>9839</v>
      </c>
      <c r="D6619" t="s">
        <v>18127</v>
      </c>
      <c r="E6619" t="s">
        <v>24091</v>
      </c>
      <c r="F6619" t="s">
        <v>31362</v>
      </c>
      <c r="G6619" t="s">
        <v>31368</v>
      </c>
      <c r="H6619" t="s">
        <v>15799</v>
      </c>
      <c r="I6619" t="s">
        <v>31383</v>
      </c>
      <c r="J6619" t="s">
        <v>32016</v>
      </c>
      <c r="K6619" t="s">
        <v>40662</v>
      </c>
      <c r="M6619" t="s">
        <v>41146</v>
      </c>
      <c r="N6619" t="s">
        <v>44905</v>
      </c>
      <c r="O6619" t="s">
        <v>44906</v>
      </c>
      <c r="P6619">
        <v>0</v>
      </c>
      <c r="Q6619">
        <v>1</v>
      </c>
      <c r="R6619" t="s">
        <v>44909</v>
      </c>
      <c r="S6619" t="s">
        <v>45060</v>
      </c>
      <c r="T6619" t="s">
        <v>46438</v>
      </c>
      <c r="U6619" t="s">
        <v>52317</v>
      </c>
      <c r="W6619" t="s">
        <v>41146</v>
      </c>
      <c r="X6619" t="s">
        <v>44910</v>
      </c>
    </row>
    <row r="6620" spans="1:24">
      <c r="A6620">
        <f>HYPERLINK("https://www.philgeps.gov.ph/GEPSNONPILOT/Tender/SplashBidNoticeAbstractUI.aspx?menuIndex=3&amp;refID=7078330&amp;Result=3","7078330")</f>
        <v>0</v>
      </c>
      <c r="B6620" t="s">
        <v>681</v>
      </c>
      <c r="C6620" t="s">
        <v>9840</v>
      </c>
      <c r="D6620" t="s">
        <v>18148</v>
      </c>
      <c r="E6620" t="s">
        <v>24092</v>
      </c>
      <c r="F6620" t="s">
        <v>31362</v>
      </c>
      <c r="G6620" t="s">
        <v>31368</v>
      </c>
      <c r="H6620" t="s">
        <v>31379</v>
      </c>
      <c r="I6620" t="s">
        <v>31388</v>
      </c>
      <c r="J6620" t="s">
        <v>35604</v>
      </c>
      <c r="K6620" t="s">
        <v>40712</v>
      </c>
      <c r="M6620" t="s">
        <v>43163</v>
      </c>
      <c r="N6620" t="s">
        <v>44905</v>
      </c>
      <c r="O6620" t="s">
        <v>44906</v>
      </c>
      <c r="P6620">
        <v>0</v>
      </c>
      <c r="Q6620">
        <v>1</v>
      </c>
      <c r="R6620" t="s">
        <v>44909</v>
      </c>
      <c r="S6620" t="s">
        <v>45060</v>
      </c>
      <c r="T6620" t="s">
        <v>46454</v>
      </c>
      <c r="U6620" t="s">
        <v>52318</v>
      </c>
      <c r="W6620" t="s">
        <v>41643</v>
      </c>
      <c r="X6620" t="s">
        <v>44910</v>
      </c>
    </row>
    <row r="6621" spans="1:24">
      <c r="A6621">
        <f>HYPERLINK("https://www.philgeps.gov.ph/GEPSNONPILOT/Tender/SplashBidNoticeAbstractUI.aspx?menuIndex=3&amp;refID=7078271&amp;Result=3","7078271")</f>
        <v>0</v>
      </c>
      <c r="B6621" t="s">
        <v>670</v>
      </c>
      <c r="C6621" t="s">
        <v>9841</v>
      </c>
      <c r="D6621" t="s">
        <v>18152</v>
      </c>
      <c r="E6621" t="s">
        <v>20965</v>
      </c>
      <c r="F6621" t="s">
        <v>31362</v>
      </c>
      <c r="G6621" t="s">
        <v>31368</v>
      </c>
      <c r="H6621" t="s">
        <v>15799</v>
      </c>
      <c r="I6621" t="s">
        <v>31427</v>
      </c>
      <c r="J6621" t="s">
        <v>35605</v>
      </c>
      <c r="K6621" t="s">
        <v>40697</v>
      </c>
      <c r="M6621" t="s">
        <v>41632</v>
      </c>
      <c r="N6621" t="s">
        <v>44905</v>
      </c>
      <c r="O6621" t="s">
        <v>44906</v>
      </c>
      <c r="P6621">
        <v>0</v>
      </c>
      <c r="Q6621">
        <v>0</v>
      </c>
      <c r="R6621" t="s">
        <v>44909</v>
      </c>
      <c r="S6621" t="s">
        <v>45060</v>
      </c>
      <c r="T6621" t="s">
        <v>46409</v>
      </c>
      <c r="U6621" t="s">
        <v>52319</v>
      </c>
      <c r="W6621" t="s">
        <v>41632</v>
      </c>
      <c r="X6621" t="s">
        <v>44910</v>
      </c>
    </row>
    <row r="6622" spans="1:24">
      <c r="A6622">
        <f>HYPERLINK("https://www.philgeps.gov.ph/GEPSNONPILOT/Tender/SplashBidNoticeAbstractUI.aspx?menuIndex=3&amp;refID=7078326&amp;Result=3","7078326")</f>
        <v>0</v>
      </c>
      <c r="B6622" t="s">
        <v>1075</v>
      </c>
      <c r="C6622" t="s">
        <v>9842</v>
      </c>
      <c r="D6622" t="s">
        <v>18101</v>
      </c>
      <c r="E6622" t="s">
        <v>24093</v>
      </c>
      <c r="F6622" t="s">
        <v>31362</v>
      </c>
      <c r="G6622" t="s">
        <v>31369</v>
      </c>
      <c r="H6622" t="s">
        <v>15799</v>
      </c>
      <c r="I6622" t="s">
        <v>3815</v>
      </c>
      <c r="J6622" t="s">
        <v>35606</v>
      </c>
      <c r="K6622" t="s">
        <v>40666</v>
      </c>
      <c r="M6622" t="s">
        <v>42077</v>
      </c>
      <c r="N6622" t="s">
        <v>44905</v>
      </c>
      <c r="O6622" t="s">
        <v>44906</v>
      </c>
      <c r="P6622">
        <v>0</v>
      </c>
      <c r="Q6622">
        <v>0</v>
      </c>
      <c r="R6622" t="s">
        <v>44909</v>
      </c>
      <c r="S6622" t="s">
        <v>45060</v>
      </c>
      <c r="T6622" t="s">
        <v>46560</v>
      </c>
      <c r="U6622" t="s">
        <v>52320</v>
      </c>
      <c r="W6622" t="s">
        <v>42077</v>
      </c>
      <c r="X6622" t="s">
        <v>44910</v>
      </c>
    </row>
    <row r="6623" spans="1:24">
      <c r="A6623">
        <f>HYPERLINK("https://www.philgeps.gov.ph/GEPSNONPILOT/Tender/SplashBidNoticeAbstractUI.aspx?menuIndex=3&amp;refID=7078324&amp;Result=3","7078324")</f>
        <v>0</v>
      </c>
      <c r="B6623" t="s">
        <v>907</v>
      </c>
      <c r="C6623" t="s">
        <v>9843</v>
      </c>
      <c r="D6623" t="s">
        <v>18108</v>
      </c>
      <c r="E6623" t="s">
        <v>24094</v>
      </c>
      <c r="F6623" t="s">
        <v>31362</v>
      </c>
      <c r="G6623" t="s">
        <v>31368</v>
      </c>
      <c r="H6623" t="s">
        <v>31377</v>
      </c>
      <c r="I6623" t="s">
        <v>31377</v>
      </c>
      <c r="J6623" t="s">
        <v>31872</v>
      </c>
      <c r="K6623" t="s">
        <v>40662</v>
      </c>
      <c r="M6623" t="s">
        <v>43164</v>
      </c>
      <c r="N6623" t="s">
        <v>44905</v>
      </c>
      <c r="O6623" t="s">
        <v>44906</v>
      </c>
      <c r="Q6623">
        <v>0</v>
      </c>
      <c r="R6623" t="s">
        <v>44909</v>
      </c>
      <c r="S6623" t="s">
        <v>45072</v>
      </c>
      <c r="T6623" t="s">
        <v>46414</v>
      </c>
      <c r="U6623" t="s">
        <v>52321</v>
      </c>
      <c r="V6623" t="s">
        <v>59707</v>
      </c>
      <c r="W6623" t="s">
        <v>43164</v>
      </c>
      <c r="X6623" t="s">
        <v>44910</v>
      </c>
    </row>
    <row r="6624" spans="1:24">
      <c r="A6624">
        <f>HYPERLINK("https://www.philgeps.gov.ph/GEPSNONPILOT/Tender/SplashBidNoticeAbstractUI.aspx?menuIndex=3&amp;refID=7078322&amp;Result=3","7078322")</f>
        <v>0</v>
      </c>
      <c r="B6624" t="s">
        <v>741</v>
      </c>
      <c r="C6624" t="s">
        <v>9844</v>
      </c>
      <c r="D6624" t="s">
        <v>18131</v>
      </c>
      <c r="E6624" t="s">
        <v>20953</v>
      </c>
      <c r="F6624" t="s">
        <v>31362</v>
      </c>
      <c r="G6624" t="s">
        <v>31369</v>
      </c>
      <c r="H6624" t="s">
        <v>15799</v>
      </c>
      <c r="I6624" t="s">
        <v>31387</v>
      </c>
      <c r="J6624" t="s">
        <v>35607</v>
      </c>
      <c r="K6624" t="s">
        <v>40662</v>
      </c>
      <c r="M6624" t="s">
        <v>41708</v>
      </c>
      <c r="N6624" t="s">
        <v>44905</v>
      </c>
      <c r="O6624" t="s">
        <v>44906</v>
      </c>
      <c r="P6624">
        <v>0</v>
      </c>
      <c r="Q6624">
        <v>1</v>
      </c>
      <c r="R6624" t="s">
        <v>44909</v>
      </c>
      <c r="S6624" t="s">
        <v>45060</v>
      </c>
      <c r="T6624" t="s">
        <v>46412</v>
      </c>
      <c r="U6624" t="s">
        <v>52322</v>
      </c>
      <c r="W6624" t="s">
        <v>41708</v>
      </c>
      <c r="X6624" t="s">
        <v>44910</v>
      </c>
    </row>
    <row r="6625" spans="1:24">
      <c r="A6625">
        <f>HYPERLINK("https://www.philgeps.gov.ph/GEPSNONPILOT/Tender/SplashBidNoticeAbstractUI.aspx?menuIndex=3&amp;refID=7078321&amp;Result=3","7078321")</f>
        <v>0</v>
      </c>
      <c r="B6625" t="s">
        <v>1163</v>
      </c>
      <c r="C6625" t="s">
        <v>9845</v>
      </c>
      <c r="D6625" t="s">
        <v>18154</v>
      </c>
      <c r="E6625" t="s">
        <v>24095</v>
      </c>
      <c r="F6625" t="s">
        <v>31362</v>
      </c>
      <c r="G6625" t="s">
        <v>31368</v>
      </c>
      <c r="H6625" t="s">
        <v>15799</v>
      </c>
      <c r="I6625" t="s">
        <v>3815</v>
      </c>
      <c r="J6625" t="s">
        <v>31578</v>
      </c>
      <c r="K6625" t="s">
        <v>40665</v>
      </c>
      <c r="M6625" t="s">
        <v>42173</v>
      </c>
      <c r="N6625" t="s">
        <v>44905</v>
      </c>
      <c r="O6625" t="s">
        <v>44906</v>
      </c>
      <c r="P6625">
        <v>0</v>
      </c>
      <c r="Q6625">
        <v>0</v>
      </c>
      <c r="R6625" t="s">
        <v>44909</v>
      </c>
      <c r="S6625" t="s">
        <v>45060</v>
      </c>
      <c r="T6625" t="s">
        <v>46394</v>
      </c>
      <c r="U6625" t="s">
        <v>52323</v>
      </c>
      <c r="W6625" t="s">
        <v>42173</v>
      </c>
      <c r="X6625" t="s">
        <v>44910</v>
      </c>
    </row>
    <row r="6626" spans="1:24">
      <c r="A6626">
        <f>HYPERLINK("https://www.philgeps.gov.ph/GEPSNONPILOT/Tender/SplashBidNoticeAbstractUI.aspx?menuIndex=3&amp;refID=7078317&amp;Result=3","7078317")</f>
        <v>0</v>
      </c>
      <c r="B6626" t="s">
        <v>1673</v>
      </c>
      <c r="C6626" t="s">
        <v>9835</v>
      </c>
      <c r="D6626" t="s">
        <v>18171</v>
      </c>
      <c r="E6626" t="s">
        <v>24096</v>
      </c>
      <c r="F6626" t="s">
        <v>31362</v>
      </c>
      <c r="G6626" t="s">
        <v>31369</v>
      </c>
      <c r="H6626" t="s">
        <v>31378</v>
      </c>
      <c r="I6626" t="s">
        <v>31435</v>
      </c>
      <c r="J6626" t="s">
        <v>35608</v>
      </c>
      <c r="K6626" t="s">
        <v>40661</v>
      </c>
      <c r="M6626" t="s">
        <v>42738</v>
      </c>
      <c r="N6626" t="s">
        <v>44905</v>
      </c>
      <c r="O6626" t="s">
        <v>44906</v>
      </c>
      <c r="P6626">
        <v>0</v>
      </c>
      <c r="Q6626">
        <v>4</v>
      </c>
      <c r="R6626" t="s">
        <v>44909</v>
      </c>
      <c r="S6626" t="s">
        <v>45060</v>
      </c>
      <c r="T6626" t="s">
        <v>46585</v>
      </c>
      <c r="U6626" t="s">
        <v>52324</v>
      </c>
      <c r="W6626" t="s">
        <v>42738</v>
      </c>
      <c r="X6626" t="s">
        <v>44910</v>
      </c>
    </row>
    <row r="6627" spans="1:24">
      <c r="A6627">
        <f>HYPERLINK("https://www.philgeps.gov.ph/GEPSNONPILOT/Tender/SplashBidNoticeAbstractUI.aspx?menuIndex=3&amp;refID=7078316&amp;Result=3","7078316")</f>
        <v>0</v>
      </c>
      <c r="B6627" t="s">
        <v>1541</v>
      </c>
      <c r="C6627" t="s">
        <v>9846</v>
      </c>
      <c r="D6627" t="s">
        <v>18127</v>
      </c>
      <c r="E6627" t="s">
        <v>24097</v>
      </c>
      <c r="F6627" t="s">
        <v>31362</v>
      </c>
      <c r="G6627" t="s">
        <v>31368</v>
      </c>
      <c r="H6627" t="s">
        <v>15799</v>
      </c>
      <c r="I6627" t="s">
        <v>6155</v>
      </c>
      <c r="J6627" t="s">
        <v>35609</v>
      </c>
      <c r="K6627" t="s">
        <v>40720</v>
      </c>
      <c r="M6627" t="s">
        <v>42588</v>
      </c>
      <c r="N6627" t="s">
        <v>44905</v>
      </c>
      <c r="O6627" t="s">
        <v>44906</v>
      </c>
      <c r="P6627">
        <v>0</v>
      </c>
      <c r="Q6627">
        <v>4</v>
      </c>
      <c r="R6627" t="s">
        <v>44909</v>
      </c>
      <c r="S6627" t="s">
        <v>45060</v>
      </c>
      <c r="T6627" t="s">
        <v>46443</v>
      </c>
      <c r="U6627" t="s">
        <v>52325</v>
      </c>
      <c r="W6627" t="s">
        <v>42588</v>
      </c>
      <c r="X6627" t="s">
        <v>44910</v>
      </c>
    </row>
    <row r="6628" spans="1:24">
      <c r="A6628">
        <f>HYPERLINK("https://www.philgeps.gov.ph/GEPSNONPILOT/Tender/SplashBidNoticeAbstractUI.aspx?menuIndex=3&amp;refID=7078313&amp;Result=3","7078313")</f>
        <v>0</v>
      </c>
      <c r="B6628" t="s">
        <v>663</v>
      </c>
      <c r="C6628" t="s">
        <v>9847</v>
      </c>
      <c r="D6628" t="s">
        <v>18103</v>
      </c>
      <c r="E6628" t="s">
        <v>24098</v>
      </c>
      <c r="F6628" t="s">
        <v>31362</v>
      </c>
      <c r="G6628" t="s">
        <v>31370</v>
      </c>
      <c r="H6628" t="s">
        <v>31378</v>
      </c>
      <c r="I6628" t="s">
        <v>31386</v>
      </c>
      <c r="J6628" t="s">
        <v>35610</v>
      </c>
      <c r="K6628" t="s">
        <v>40661</v>
      </c>
      <c r="M6628" t="s">
        <v>41625</v>
      </c>
      <c r="N6628" t="s">
        <v>44905</v>
      </c>
      <c r="O6628" t="s">
        <v>44906</v>
      </c>
      <c r="P6628">
        <v>0</v>
      </c>
      <c r="Q6628">
        <v>0</v>
      </c>
      <c r="R6628" t="s">
        <v>44909</v>
      </c>
      <c r="S6628" t="s">
        <v>45060</v>
      </c>
      <c r="T6628" t="s">
        <v>46415</v>
      </c>
      <c r="U6628" t="s">
        <v>52326</v>
      </c>
      <c r="W6628" t="s">
        <v>41625</v>
      </c>
      <c r="X6628" t="s">
        <v>44910</v>
      </c>
    </row>
    <row r="6629" spans="1:24">
      <c r="A6629">
        <f>HYPERLINK("https://www.philgeps.gov.ph/GEPSNONPILOT/Tender/SplashBidNoticeAbstractUI.aspx?menuIndex=3&amp;refID=7078310&amp;Result=3","7078310")</f>
        <v>0</v>
      </c>
      <c r="B6629" t="s">
        <v>825</v>
      </c>
      <c r="C6629" t="s">
        <v>9848</v>
      </c>
      <c r="D6629" t="s">
        <v>18110</v>
      </c>
      <c r="E6629" t="s">
        <v>24099</v>
      </c>
      <c r="F6629" t="s">
        <v>31362</v>
      </c>
      <c r="G6629" t="s">
        <v>31368</v>
      </c>
      <c r="H6629" t="s">
        <v>15799</v>
      </c>
      <c r="I6629" t="s">
        <v>31422</v>
      </c>
      <c r="J6629" t="s">
        <v>31897</v>
      </c>
      <c r="K6629" t="s">
        <v>40666</v>
      </c>
      <c r="M6629" t="s">
        <v>41798</v>
      </c>
      <c r="N6629" t="s">
        <v>44905</v>
      </c>
      <c r="O6629" t="s">
        <v>44906</v>
      </c>
      <c r="P6629">
        <v>0</v>
      </c>
      <c r="Q6629">
        <v>1</v>
      </c>
      <c r="R6629" t="s">
        <v>44909</v>
      </c>
      <c r="S6629" t="s">
        <v>45060</v>
      </c>
      <c r="T6629" t="s">
        <v>46597</v>
      </c>
      <c r="U6629" t="s">
        <v>52327</v>
      </c>
      <c r="V6629" t="s">
        <v>59261</v>
      </c>
      <c r="W6629" t="s">
        <v>41798</v>
      </c>
      <c r="X6629" t="s">
        <v>44910</v>
      </c>
    </row>
    <row r="6630" spans="1:24">
      <c r="A6630">
        <f>HYPERLINK("https://www.philgeps.gov.ph/GEPSNONPILOT/Tender/SplashBidNoticeAbstractUI.aspx?menuIndex=3&amp;refID=7078331&amp;Result=3","7078331")</f>
        <v>0</v>
      </c>
      <c r="B6630" t="s">
        <v>2044</v>
      </c>
      <c r="C6630" t="s">
        <v>9849</v>
      </c>
      <c r="D6630" t="s">
        <v>18104</v>
      </c>
      <c r="E6630" t="s">
        <v>24100</v>
      </c>
      <c r="F6630" t="s">
        <v>31362</v>
      </c>
      <c r="G6630" t="s">
        <v>31369</v>
      </c>
      <c r="H6630" t="s">
        <v>15799</v>
      </c>
      <c r="I6630" t="s">
        <v>31430</v>
      </c>
      <c r="J6630" t="s">
        <v>32141</v>
      </c>
      <c r="K6630" t="s">
        <v>40682</v>
      </c>
      <c r="M6630" t="s">
        <v>43165</v>
      </c>
      <c r="N6630" t="s">
        <v>44905</v>
      </c>
      <c r="O6630" t="s">
        <v>44906</v>
      </c>
      <c r="P6630">
        <v>0</v>
      </c>
      <c r="Q6630">
        <v>0</v>
      </c>
      <c r="R6630" t="s">
        <v>44909</v>
      </c>
      <c r="S6630" t="s">
        <v>45060</v>
      </c>
      <c r="T6630" t="s">
        <v>46435</v>
      </c>
      <c r="U6630" t="s">
        <v>52328</v>
      </c>
      <c r="W6630" t="s">
        <v>43165</v>
      </c>
      <c r="X6630" t="s">
        <v>44910</v>
      </c>
    </row>
    <row r="6631" spans="1:24">
      <c r="A6631">
        <f>HYPERLINK("https://www.philgeps.gov.ph/GEPSNONPILOT/Tender/SplashBidNoticeAbstractUI.aspx?menuIndex=3&amp;refID=7078305&amp;Result=3","7078305")</f>
        <v>0</v>
      </c>
      <c r="B6631" t="s">
        <v>2045</v>
      </c>
      <c r="C6631" t="s">
        <v>9850</v>
      </c>
      <c r="D6631" t="s">
        <v>18104</v>
      </c>
      <c r="E6631" t="s">
        <v>23925</v>
      </c>
      <c r="F6631" t="s">
        <v>31362</v>
      </c>
      <c r="G6631" t="s">
        <v>31370</v>
      </c>
      <c r="H6631" t="s">
        <v>15799</v>
      </c>
      <c r="I6631" t="s">
        <v>6373</v>
      </c>
      <c r="J6631" t="s">
        <v>35611</v>
      </c>
      <c r="K6631" t="s">
        <v>40697</v>
      </c>
      <c r="M6631" t="s">
        <v>43166</v>
      </c>
      <c r="N6631" t="s">
        <v>44905</v>
      </c>
      <c r="O6631" t="s">
        <v>44906</v>
      </c>
      <c r="P6631">
        <v>0</v>
      </c>
      <c r="Q6631">
        <v>0</v>
      </c>
      <c r="R6631" t="s">
        <v>44909</v>
      </c>
      <c r="S6631" t="s">
        <v>45060</v>
      </c>
      <c r="T6631" t="s">
        <v>46443</v>
      </c>
      <c r="U6631" t="s">
        <v>52329</v>
      </c>
      <c r="W6631" t="s">
        <v>43166</v>
      </c>
      <c r="X6631" t="s">
        <v>44910</v>
      </c>
    </row>
    <row r="6632" spans="1:24">
      <c r="A6632">
        <f>HYPERLINK("https://www.philgeps.gov.ph/GEPSNONPILOT/Tender/SplashBidNoticeAbstractUI.aspx?menuIndex=3&amp;refID=7078304&amp;Result=3","7078304")</f>
        <v>0</v>
      </c>
      <c r="B6632" t="s">
        <v>223</v>
      </c>
      <c r="C6632" t="s">
        <v>9851</v>
      </c>
      <c r="D6632" t="s">
        <v>18153</v>
      </c>
      <c r="E6632" t="s">
        <v>19198</v>
      </c>
      <c r="F6632" t="s">
        <v>31362</v>
      </c>
      <c r="G6632" t="s">
        <v>31368</v>
      </c>
      <c r="H6632" t="s">
        <v>15799</v>
      </c>
      <c r="I6632" t="s">
        <v>31394</v>
      </c>
      <c r="J6632" t="s">
        <v>35612</v>
      </c>
      <c r="K6632" t="s">
        <v>40666</v>
      </c>
      <c r="M6632" t="s">
        <v>41162</v>
      </c>
      <c r="N6632" t="s">
        <v>44905</v>
      </c>
      <c r="O6632" t="s">
        <v>44906</v>
      </c>
      <c r="P6632">
        <v>0</v>
      </c>
      <c r="Q6632">
        <v>4</v>
      </c>
      <c r="R6632" t="s">
        <v>44909</v>
      </c>
      <c r="S6632" t="s">
        <v>45060</v>
      </c>
      <c r="T6632" t="s">
        <v>46409</v>
      </c>
      <c r="U6632" t="s">
        <v>52330</v>
      </c>
      <c r="W6632" t="s">
        <v>41162</v>
      </c>
      <c r="X6632" t="s">
        <v>44910</v>
      </c>
    </row>
    <row r="6633" spans="1:24">
      <c r="A6633">
        <f>HYPERLINK("https://www.philgeps.gov.ph/GEPSNONPILOT/Tender/SplashBidNoticeAbstractUI.aspx?menuIndex=3&amp;refID=7078307&amp;Result=3","7078307")</f>
        <v>0</v>
      </c>
      <c r="B6633" t="s">
        <v>2046</v>
      </c>
      <c r="C6633" t="s">
        <v>9852</v>
      </c>
      <c r="D6633" t="s">
        <v>18104</v>
      </c>
      <c r="E6633" t="s">
        <v>19844</v>
      </c>
      <c r="F6633" t="s">
        <v>31362</v>
      </c>
      <c r="G6633" t="s">
        <v>31369</v>
      </c>
      <c r="H6633" t="s">
        <v>31378</v>
      </c>
      <c r="I6633" t="s">
        <v>31386</v>
      </c>
      <c r="J6633" t="s">
        <v>35613</v>
      </c>
      <c r="K6633" t="s">
        <v>40675</v>
      </c>
      <c r="M6633" t="s">
        <v>43167</v>
      </c>
      <c r="N6633" t="s">
        <v>44905</v>
      </c>
      <c r="O6633" t="s">
        <v>44906</v>
      </c>
      <c r="P6633">
        <v>0</v>
      </c>
      <c r="Q6633">
        <v>2</v>
      </c>
      <c r="R6633" t="s">
        <v>44909</v>
      </c>
      <c r="S6633" t="s">
        <v>45060</v>
      </c>
      <c r="T6633" t="s">
        <v>46519</v>
      </c>
      <c r="U6633" t="s">
        <v>52331</v>
      </c>
      <c r="W6633" t="s">
        <v>43167</v>
      </c>
      <c r="X6633" t="s">
        <v>44910</v>
      </c>
    </row>
    <row r="6634" spans="1:24">
      <c r="A6634">
        <f>HYPERLINK("https://www.philgeps.gov.ph/GEPSNONPILOT/Tender/SplashBidNoticeAbstractUI.aspx?menuIndex=3&amp;refID=7078303&amp;Result=3","7078303")</f>
        <v>0</v>
      </c>
      <c r="B6634" t="s">
        <v>1075</v>
      </c>
      <c r="C6634" t="s">
        <v>9853</v>
      </c>
      <c r="D6634" t="s">
        <v>18101</v>
      </c>
      <c r="E6634" t="s">
        <v>24101</v>
      </c>
      <c r="F6634" t="s">
        <v>31362</v>
      </c>
      <c r="G6634" t="s">
        <v>31369</v>
      </c>
      <c r="H6634" t="s">
        <v>15799</v>
      </c>
      <c r="I6634" t="s">
        <v>3815</v>
      </c>
      <c r="J6634" t="s">
        <v>35614</v>
      </c>
      <c r="K6634" t="s">
        <v>40666</v>
      </c>
      <c r="M6634" t="s">
        <v>42077</v>
      </c>
      <c r="N6634" t="s">
        <v>44905</v>
      </c>
      <c r="O6634" t="s">
        <v>44906</v>
      </c>
      <c r="P6634">
        <v>0</v>
      </c>
      <c r="Q6634">
        <v>0</v>
      </c>
      <c r="R6634" t="s">
        <v>44909</v>
      </c>
      <c r="S6634" t="s">
        <v>45060</v>
      </c>
      <c r="T6634" t="s">
        <v>46560</v>
      </c>
      <c r="U6634" t="s">
        <v>52332</v>
      </c>
      <c r="W6634" t="s">
        <v>42077</v>
      </c>
      <c r="X6634" t="s">
        <v>44910</v>
      </c>
    </row>
    <row r="6635" spans="1:24">
      <c r="A6635">
        <f>HYPERLINK("https://www.philgeps.gov.ph/GEPSNONPILOT/Tender/SplashBidNoticeAbstractUI.aspx?menuIndex=3&amp;refID=7078299&amp;Result=3","7078299")</f>
        <v>0</v>
      </c>
      <c r="B6635" t="s">
        <v>2047</v>
      </c>
      <c r="C6635" t="s">
        <v>9854</v>
      </c>
      <c r="D6635" t="s">
        <v>18120</v>
      </c>
      <c r="E6635" t="s">
        <v>24102</v>
      </c>
      <c r="F6635" t="s">
        <v>31362</v>
      </c>
      <c r="G6635" t="s">
        <v>31368</v>
      </c>
      <c r="H6635" t="s">
        <v>15799</v>
      </c>
      <c r="I6635" t="s">
        <v>3815</v>
      </c>
      <c r="J6635" t="s">
        <v>35615</v>
      </c>
      <c r="K6635" t="s">
        <v>40697</v>
      </c>
      <c r="M6635" t="s">
        <v>43168</v>
      </c>
      <c r="N6635" t="s">
        <v>44905</v>
      </c>
      <c r="O6635" t="s">
        <v>44906</v>
      </c>
      <c r="P6635">
        <v>0</v>
      </c>
      <c r="Q6635">
        <v>1</v>
      </c>
      <c r="R6635" t="s">
        <v>44909</v>
      </c>
      <c r="S6635" t="s">
        <v>45060</v>
      </c>
      <c r="T6635" t="s">
        <v>46409</v>
      </c>
      <c r="U6635" t="s">
        <v>52333</v>
      </c>
      <c r="W6635" t="s">
        <v>43168</v>
      </c>
      <c r="X6635" t="s">
        <v>44910</v>
      </c>
    </row>
    <row r="6636" spans="1:24">
      <c r="A6636">
        <f>HYPERLINK("https://www.philgeps.gov.ph/GEPSNONPILOT/Tender/SplashBidNoticeAbstractUI.aspx?menuIndex=3&amp;refID=7078308&amp;Result=3","7078308")</f>
        <v>0</v>
      </c>
      <c r="B6636" t="s">
        <v>1584</v>
      </c>
      <c r="C6636" t="s">
        <v>9855</v>
      </c>
      <c r="D6636" t="s">
        <v>18141</v>
      </c>
      <c r="E6636" t="s">
        <v>24072</v>
      </c>
      <c r="F6636" t="s">
        <v>31362</v>
      </c>
      <c r="G6636" t="s">
        <v>31368</v>
      </c>
      <c r="H6636" t="s">
        <v>15799</v>
      </c>
      <c r="I6636" t="s">
        <v>6240</v>
      </c>
      <c r="J6636" t="s">
        <v>31545</v>
      </c>
      <c r="K6636" t="s">
        <v>40731</v>
      </c>
      <c r="M6636" t="s">
        <v>42639</v>
      </c>
      <c r="N6636" t="s">
        <v>44905</v>
      </c>
      <c r="O6636" t="s">
        <v>44906</v>
      </c>
      <c r="P6636">
        <v>0</v>
      </c>
      <c r="Q6636">
        <v>1</v>
      </c>
      <c r="R6636" t="s">
        <v>44909</v>
      </c>
      <c r="S6636" t="s">
        <v>45060</v>
      </c>
      <c r="T6636" t="s">
        <v>46534</v>
      </c>
      <c r="U6636" t="s">
        <v>52334</v>
      </c>
      <c r="V6636" t="s">
        <v>59506</v>
      </c>
      <c r="W6636" t="s">
        <v>42639</v>
      </c>
      <c r="X6636" t="s">
        <v>44910</v>
      </c>
    </row>
    <row r="6637" spans="1:24">
      <c r="A6637">
        <f>HYPERLINK("https://www.philgeps.gov.ph/GEPSNONPILOT/Tender/SplashBidNoticeAbstractUI.aspx?menuIndex=3&amp;refID=7078220&amp;Result=3","7078220")</f>
        <v>0</v>
      </c>
      <c r="B6637" t="s">
        <v>2048</v>
      </c>
      <c r="C6637" t="s">
        <v>9856</v>
      </c>
      <c r="D6637" t="s">
        <v>18108</v>
      </c>
      <c r="E6637" t="s">
        <v>24103</v>
      </c>
      <c r="F6637" t="s">
        <v>31362</v>
      </c>
      <c r="G6637" t="s">
        <v>31368</v>
      </c>
      <c r="H6637" t="s">
        <v>15799</v>
      </c>
      <c r="I6637" t="s">
        <v>31471</v>
      </c>
      <c r="J6637" t="s">
        <v>31586</v>
      </c>
      <c r="K6637" t="s">
        <v>40662</v>
      </c>
      <c r="M6637" t="s">
        <v>43169</v>
      </c>
      <c r="N6637" t="s">
        <v>44905</v>
      </c>
      <c r="O6637" t="s">
        <v>44906</v>
      </c>
      <c r="P6637">
        <v>0</v>
      </c>
      <c r="Q6637">
        <v>8</v>
      </c>
      <c r="R6637" t="s">
        <v>44909</v>
      </c>
      <c r="S6637" t="s">
        <v>45060</v>
      </c>
      <c r="T6637" t="s">
        <v>46434</v>
      </c>
      <c r="U6637" t="s">
        <v>52335</v>
      </c>
      <c r="W6637" t="s">
        <v>43169</v>
      </c>
      <c r="X6637" t="s">
        <v>44910</v>
      </c>
    </row>
    <row r="6638" spans="1:24">
      <c r="A6638">
        <f>HYPERLINK("https://www.philgeps.gov.ph/GEPSNONPILOT/Tender/SplashBidNoticeAbstractUI.aspx?menuIndex=3&amp;refID=7078335&amp;Result=3","7078335")</f>
        <v>0</v>
      </c>
      <c r="B6638" t="s">
        <v>1977</v>
      </c>
      <c r="C6638" t="s">
        <v>9857</v>
      </c>
      <c r="D6638" t="s">
        <v>18107</v>
      </c>
      <c r="E6638" t="s">
        <v>24104</v>
      </c>
      <c r="F6638" t="s">
        <v>31362</v>
      </c>
      <c r="G6638" t="s">
        <v>31369</v>
      </c>
      <c r="H6638" t="s">
        <v>31378</v>
      </c>
      <c r="I6638" t="s">
        <v>31386</v>
      </c>
      <c r="J6638" t="s">
        <v>31957</v>
      </c>
      <c r="K6638" t="s">
        <v>40817</v>
      </c>
      <c r="M6638" t="s">
        <v>43085</v>
      </c>
      <c r="N6638" t="s">
        <v>44905</v>
      </c>
      <c r="O6638" t="s">
        <v>44906</v>
      </c>
      <c r="P6638">
        <v>0</v>
      </c>
      <c r="Q6638">
        <v>0</v>
      </c>
      <c r="R6638" t="s">
        <v>44909</v>
      </c>
      <c r="S6638" t="s">
        <v>45060</v>
      </c>
      <c r="T6638" t="s">
        <v>46730</v>
      </c>
      <c r="U6638" t="s">
        <v>52336</v>
      </c>
      <c r="W6638" t="s">
        <v>43085</v>
      </c>
      <c r="X6638" t="s">
        <v>44910</v>
      </c>
    </row>
    <row r="6639" spans="1:24">
      <c r="A6639">
        <f>HYPERLINK("https://www.philgeps.gov.ph/GEPSNONPILOT/Tender/SplashBidNoticeAbstractUI.aspx?menuIndex=3&amp;refID=7078368&amp;Result=3","7078368")</f>
        <v>0</v>
      </c>
      <c r="B6639" t="s">
        <v>2049</v>
      </c>
      <c r="C6639" t="s">
        <v>9858</v>
      </c>
      <c r="D6639" t="s">
        <v>18149</v>
      </c>
      <c r="E6639" t="s">
        <v>24105</v>
      </c>
      <c r="F6639" t="s">
        <v>31362</v>
      </c>
      <c r="G6639" t="s">
        <v>31372</v>
      </c>
      <c r="H6639" t="s">
        <v>15799</v>
      </c>
      <c r="I6639" t="s">
        <v>6373</v>
      </c>
      <c r="J6639" t="s">
        <v>35616</v>
      </c>
      <c r="K6639" t="s">
        <v>40670</v>
      </c>
      <c r="M6639" t="s">
        <v>43170</v>
      </c>
      <c r="N6639" t="s">
        <v>44905</v>
      </c>
      <c r="O6639" t="s">
        <v>44906</v>
      </c>
      <c r="P6639">
        <v>0</v>
      </c>
      <c r="Q6639">
        <v>4</v>
      </c>
      <c r="R6639" t="s">
        <v>44909</v>
      </c>
      <c r="S6639" t="s">
        <v>45060</v>
      </c>
      <c r="T6639" t="s">
        <v>46432</v>
      </c>
      <c r="U6639" t="s">
        <v>52337</v>
      </c>
      <c r="W6639" t="s">
        <v>43170</v>
      </c>
      <c r="X6639" t="s">
        <v>44910</v>
      </c>
    </row>
    <row r="6640" spans="1:24">
      <c r="A6640">
        <f>HYPERLINK("https://www.philgeps.gov.ph/GEPSNONPILOT/Tender/SplashBidNoticeAbstractUI.aspx?menuIndex=3&amp;refID=7078293&amp;Result=3","7078293")</f>
        <v>0</v>
      </c>
      <c r="B6640" t="s">
        <v>2036</v>
      </c>
      <c r="C6640" t="s">
        <v>9859</v>
      </c>
      <c r="D6640" t="s">
        <v>18106</v>
      </c>
      <c r="E6640" t="s">
        <v>24106</v>
      </c>
      <c r="F6640" t="s">
        <v>31362</v>
      </c>
      <c r="G6640" t="s">
        <v>31368</v>
      </c>
      <c r="H6640" t="s">
        <v>31378</v>
      </c>
      <c r="I6640" t="s">
        <v>31439</v>
      </c>
      <c r="J6640" t="s">
        <v>35617</v>
      </c>
      <c r="K6640" t="s">
        <v>40661</v>
      </c>
      <c r="M6640" t="s">
        <v>43155</v>
      </c>
      <c r="N6640" t="s">
        <v>44905</v>
      </c>
      <c r="O6640" t="s">
        <v>44906</v>
      </c>
      <c r="P6640">
        <v>0</v>
      </c>
      <c r="Q6640">
        <v>0</v>
      </c>
      <c r="R6640" t="s">
        <v>44909</v>
      </c>
      <c r="S6640" t="s">
        <v>45060</v>
      </c>
      <c r="T6640" t="s">
        <v>46425</v>
      </c>
      <c r="U6640" t="s">
        <v>52338</v>
      </c>
      <c r="W6640" t="s">
        <v>43155</v>
      </c>
      <c r="X6640" t="s">
        <v>44910</v>
      </c>
    </row>
    <row r="6641" spans="1:24">
      <c r="A6641">
        <f>HYPERLINK("https://www.philgeps.gov.ph/GEPSNONPILOT/Tender/SplashBidNoticeAbstractUI.aspx?menuIndex=3&amp;refID=7078365&amp;Result=3","7078365")</f>
        <v>0</v>
      </c>
      <c r="B6641" t="s">
        <v>1404</v>
      </c>
      <c r="C6641" t="s">
        <v>9860</v>
      </c>
      <c r="D6641" t="s">
        <v>18112</v>
      </c>
      <c r="E6641" t="s">
        <v>18553</v>
      </c>
      <c r="F6641" t="s">
        <v>31362</v>
      </c>
      <c r="G6641" t="s">
        <v>31371</v>
      </c>
      <c r="H6641" t="s">
        <v>15799</v>
      </c>
      <c r="I6641" t="s">
        <v>3815</v>
      </c>
      <c r="J6641" t="s">
        <v>31725</v>
      </c>
      <c r="K6641" t="s">
        <v>40693</v>
      </c>
      <c r="M6641" t="s">
        <v>42429</v>
      </c>
      <c r="N6641" t="s">
        <v>44905</v>
      </c>
      <c r="O6641" t="s">
        <v>44906</v>
      </c>
      <c r="P6641">
        <v>0</v>
      </c>
      <c r="Q6641">
        <v>0</v>
      </c>
      <c r="R6641" t="s">
        <v>44909</v>
      </c>
      <c r="S6641" t="s">
        <v>45060</v>
      </c>
      <c r="T6641" t="s">
        <v>46731</v>
      </c>
      <c r="U6641" t="s">
        <v>52339</v>
      </c>
      <c r="W6641" t="s">
        <v>42429</v>
      </c>
      <c r="X6641" t="s">
        <v>44910</v>
      </c>
    </row>
    <row r="6642" spans="1:24">
      <c r="A6642">
        <f>HYPERLINK("https://www.philgeps.gov.ph/GEPSNONPILOT/Tender/SplashBidNoticeAbstractUI.aspx?menuIndex=3&amp;refID=7078363&amp;Result=3","7078363")</f>
        <v>0</v>
      </c>
      <c r="B6642" t="s">
        <v>1075</v>
      </c>
      <c r="C6642" t="s">
        <v>9861</v>
      </c>
      <c r="D6642" t="s">
        <v>18101</v>
      </c>
      <c r="E6642" t="s">
        <v>24107</v>
      </c>
      <c r="F6642" t="s">
        <v>31362</v>
      </c>
      <c r="G6642" t="s">
        <v>31369</v>
      </c>
      <c r="H6642" t="s">
        <v>15799</v>
      </c>
      <c r="I6642" t="s">
        <v>3815</v>
      </c>
      <c r="J6642" t="s">
        <v>35618</v>
      </c>
      <c r="K6642" t="s">
        <v>40666</v>
      </c>
      <c r="M6642" t="s">
        <v>42077</v>
      </c>
      <c r="N6642" t="s">
        <v>44905</v>
      </c>
      <c r="O6642" t="s">
        <v>44906</v>
      </c>
      <c r="P6642">
        <v>0</v>
      </c>
      <c r="Q6642">
        <v>0</v>
      </c>
      <c r="R6642" t="s">
        <v>44909</v>
      </c>
      <c r="S6642" t="s">
        <v>45060</v>
      </c>
      <c r="T6642" t="s">
        <v>46560</v>
      </c>
      <c r="U6642" t="s">
        <v>52340</v>
      </c>
      <c r="W6642" t="s">
        <v>42077</v>
      </c>
      <c r="X6642" t="s">
        <v>44910</v>
      </c>
    </row>
    <row r="6643" spans="1:24">
      <c r="A6643">
        <f>HYPERLINK("https://www.philgeps.gov.ph/GEPSNONPILOT/Tender/SplashBidNoticeAbstractUI.aspx?menuIndex=3&amp;refID=7078225&amp;Result=3","7078225")</f>
        <v>0</v>
      </c>
      <c r="B6643" t="s">
        <v>608</v>
      </c>
      <c r="C6643" t="s">
        <v>9862</v>
      </c>
      <c r="D6643" t="s">
        <v>18122</v>
      </c>
      <c r="E6643" t="s">
        <v>24108</v>
      </c>
      <c r="F6643" t="s">
        <v>31362</v>
      </c>
      <c r="G6643" t="s">
        <v>31368</v>
      </c>
      <c r="H6643" t="s">
        <v>15799</v>
      </c>
      <c r="I6643" t="s">
        <v>13635</v>
      </c>
      <c r="J6643" t="s">
        <v>31546</v>
      </c>
      <c r="K6643" t="s">
        <v>40666</v>
      </c>
      <c r="M6643" t="s">
        <v>41566</v>
      </c>
      <c r="N6643" t="s">
        <v>44905</v>
      </c>
      <c r="O6643" t="s">
        <v>44906</v>
      </c>
      <c r="P6643">
        <v>0</v>
      </c>
      <c r="Q6643">
        <v>2</v>
      </c>
      <c r="R6643" t="s">
        <v>44909</v>
      </c>
      <c r="S6643" t="s">
        <v>45060</v>
      </c>
      <c r="T6643" t="s">
        <v>46432</v>
      </c>
      <c r="U6643" t="s">
        <v>48124</v>
      </c>
      <c r="V6643" t="s">
        <v>59602</v>
      </c>
      <c r="W6643" t="s">
        <v>41566</v>
      </c>
      <c r="X6643" t="s">
        <v>44910</v>
      </c>
    </row>
    <row r="6644" spans="1:24">
      <c r="A6644">
        <f>HYPERLINK("https://www.philgeps.gov.ph/GEPSNONPILOT/Tender/SplashBidNoticeAbstractUI.aspx?menuIndex=3&amp;refID=7078354&amp;Result=3","7078354")</f>
        <v>0</v>
      </c>
      <c r="B6644" t="s">
        <v>2043</v>
      </c>
      <c r="C6644" t="s">
        <v>9863</v>
      </c>
      <c r="D6644" t="s">
        <v>18144</v>
      </c>
      <c r="E6644" t="s">
        <v>24090</v>
      </c>
      <c r="F6644" t="s">
        <v>31362</v>
      </c>
      <c r="G6644" t="s">
        <v>31370</v>
      </c>
      <c r="H6644" t="s">
        <v>15799</v>
      </c>
      <c r="I6644" t="s">
        <v>31415</v>
      </c>
      <c r="J6644" t="s">
        <v>31734</v>
      </c>
      <c r="K6644" t="s">
        <v>40662</v>
      </c>
      <c r="M6644" t="s">
        <v>43162</v>
      </c>
      <c r="N6644" t="s">
        <v>44905</v>
      </c>
      <c r="O6644" t="s">
        <v>44906</v>
      </c>
      <c r="P6644">
        <v>0</v>
      </c>
      <c r="Q6644">
        <v>0</v>
      </c>
      <c r="R6644" t="s">
        <v>44909</v>
      </c>
      <c r="S6644" t="s">
        <v>45060</v>
      </c>
      <c r="T6644" t="s">
        <v>46416</v>
      </c>
      <c r="U6644" t="s">
        <v>52341</v>
      </c>
      <c r="W6644" t="s">
        <v>43162</v>
      </c>
      <c r="X6644" t="s">
        <v>44910</v>
      </c>
    </row>
    <row r="6645" spans="1:24">
      <c r="A6645">
        <f>HYPERLINK("https://www.philgeps.gov.ph/GEPSNONPILOT/Tender/SplashBidNoticeAbstractUI.aspx?menuIndex=3&amp;refID=7078362&amp;Result=3","7078362")</f>
        <v>0</v>
      </c>
      <c r="B6645" t="s">
        <v>518</v>
      </c>
      <c r="C6645" t="s">
        <v>9864</v>
      </c>
      <c r="D6645" t="s">
        <v>18131</v>
      </c>
      <c r="E6645" t="s">
        <v>24109</v>
      </c>
      <c r="F6645" t="s">
        <v>31362</v>
      </c>
      <c r="G6645" t="s">
        <v>31369</v>
      </c>
      <c r="H6645" t="s">
        <v>31378</v>
      </c>
      <c r="I6645" t="s">
        <v>31386</v>
      </c>
      <c r="J6645" t="s">
        <v>35619</v>
      </c>
      <c r="K6645" t="s">
        <v>40662</v>
      </c>
      <c r="M6645" t="s">
        <v>41474</v>
      </c>
      <c r="N6645" t="s">
        <v>44905</v>
      </c>
      <c r="O6645" t="s">
        <v>44906</v>
      </c>
      <c r="P6645">
        <v>0</v>
      </c>
      <c r="Q6645">
        <v>51</v>
      </c>
      <c r="R6645" t="s">
        <v>44909</v>
      </c>
      <c r="S6645" t="s">
        <v>45060</v>
      </c>
      <c r="T6645" t="s">
        <v>46396</v>
      </c>
      <c r="U6645" t="s">
        <v>52342</v>
      </c>
      <c r="W6645" t="s">
        <v>41474</v>
      </c>
      <c r="X6645" t="s">
        <v>44910</v>
      </c>
    </row>
    <row r="6646" spans="1:24">
      <c r="A6646">
        <f>HYPERLINK("https://www.philgeps.gov.ph/GEPSNONPILOT/Tender/SplashBidNoticeAbstractUI.aspx?menuIndex=3&amp;refID=7078227&amp;Result=3","7078227")</f>
        <v>0</v>
      </c>
      <c r="B6646" t="s">
        <v>1739</v>
      </c>
      <c r="C6646" t="s">
        <v>9865</v>
      </c>
      <c r="D6646" t="s">
        <v>18104</v>
      </c>
      <c r="E6646" t="s">
        <v>21601</v>
      </c>
      <c r="F6646" t="s">
        <v>31362</v>
      </c>
      <c r="G6646" t="s">
        <v>31371</v>
      </c>
      <c r="H6646" t="s">
        <v>15799</v>
      </c>
      <c r="I6646" t="s">
        <v>31390</v>
      </c>
      <c r="J6646" t="s">
        <v>35620</v>
      </c>
      <c r="K6646" t="s">
        <v>40693</v>
      </c>
      <c r="M6646" t="s">
        <v>42813</v>
      </c>
      <c r="N6646" t="s">
        <v>44905</v>
      </c>
      <c r="O6646" t="s">
        <v>44906</v>
      </c>
      <c r="P6646">
        <v>0</v>
      </c>
      <c r="Q6646">
        <v>0</v>
      </c>
      <c r="R6646" t="s">
        <v>44909</v>
      </c>
      <c r="S6646" t="s">
        <v>45060</v>
      </c>
      <c r="T6646" t="s">
        <v>46467</v>
      </c>
      <c r="U6646" t="s">
        <v>52343</v>
      </c>
      <c r="W6646" t="s">
        <v>42813</v>
      </c>
      <c r="X6646" t="s">
        <v>44910</v>
      </c>
    </row>
    <row r="6647" spans="1:24">
      <c r="A6647">
        <f>HYPERLINK("https://www.philgeps.gov.ph/GEPSNONPILOT/Tender/SplashBidNoticeAbstractUI.aspx?menuIndex=3&amp;refID=7078374&amp;Result=3","7078374")</f>
        <v>0</v>
      </c>
      <c r="B6647" t="s">
        <v>386</v>
      </c>
      <c r="C6647" t="s">
        <v>9866</v>
      </c>
      <c r="D6647" t="s">
        <v>18190</v>
      </c>
      <c r="E6647" t="s">
        <v>24110</v>
      </c>
      <c r="F6647" t="s">
        <v>31362</v>
      </c>
      <c r="G6647" t="s">
        <v>31369</v>
      </c>
      <c r="H6647" t="s">
        <v>15799</v>
      </c>
      <c r="I6647" t="s">
        <v>4942</v>
      </c>
      <c r="J6647" t="s">
        <v>35621</v>
      </c>
      <c r="K6647" t="s">
        <v>40670</v>
      </c>
      <c r="M6647" t="s">
        <v>41334</v>
      </c>
      <c r="N6647" t="s">
        <v>44905</v>
      </c>
      <c r="O6647" t="s">
        <v>44906</v>
      </c>
      <c r="P6647">
        <v>0</v>
      </c>
      <c r="Q6647">
        <v>5</v>
      </c>
      <c r="R6647" t="s">
        <v>44909</v>
      </c>
      <c r="S6647" t="s">
        <v>45060</v>
      </c>
      <c r="T6647" t="s">
        <v>46626</v>
      </c>
      <c r="U6647" t="s">
        <v>52344</v>
      </c>
      <c r="V6647" t="s">
        <v>59708</v>
      </c>
      <c r="W6647" t="s">
        <v>41334</v>
      </c>
      <c r="X6647" t="s">
        <v>44910</v>
      </c>
    </row>
    <row r="6648" spans="1:24">
      <c r="A6648">
        <f>HYPERLINK("https://www.philgeps.gov.ph/GEPSNONPILOT/Tender/SplashBidNoticeAbstractUI.aspx?menuIndex=3&amp;refID=7078370&amp;Result=3","7078370")</f>
        <v>0</v>
      </c>
      <c r="B6648" t="s">
        <v>1673</v>
      </c>
      <c r="C6648" t="s">
        <v>9867</v>
      </c>
      <c r="D6648" t="s">
        <v>18171</v>
      </c>
      <c r="E6648" t="s">
        <v>24111</v>
      </c>
      <c r="F6648" t="s">
        <v>31362</v>
      </c>
      <c r="G6648" t="s">
        <v>31369</v>
      </c>
      <c r="H6648" t="s">
        <v>31378</v>
      </c>
      <c r="I6648" t="s">
        <v>31435</v>
      </c>
      <c r="J6648" t="s">
        <v>31530</v>
      </c>
      <c r="K6648" t="s">
        <v>40680</v>
      </c>
      <c r="M6648" t="s">
        <v>42738</v>
      </c>
      <c r="N6648" t="s">
        <v>44905</v>
      </c>
      <c r="O6648" t="s">
        <v>44906</v>
      </c>
      <c r="P6648">
        <v>0</v>
      </c>
      <c r="Q6648">
        <v>4</v>
      </c>
      <c r="R6648" t="s">
        <v>44909</v>
      </c>
      <c r="S6648" t="s">
        <v>45060</v>
      </c>
      <c r="T6648" t="s">
        <v>46585</v>
      </c>
      <c r="U6648" t="s">
        <v>52345</v>
      </c>
      <c r="W6648" t="s">
        <v>42738</v>
      </c>
      <c r="X6648" t="s">
        <v>44910</v>
      </c>
    </row>
    <row r="6649" spans="1:24">
      <c r="A6649">
        <f>HYPERLINK("https://www.philgeps.gov.ph/GEPSNONPILOT/Tender/SplashBidNoticeAbstractUI.aspx?menuIndex=3&amp;refID=7078352&amp;Result=3","7078352")</f>
        <v>0</v>
      </c>
      <c r="B6649" t="s">
        <v>1544</v>
      </c>
      <c r="C6649" t="s">
        <v>9868</v>
      </c>
      <c r="D6649" t="s">
        <v>18172</v>
      </c>
      <c r="E6649" t="s">
        <v>24112</v>
      </c>
      <c r="F6649" t="s">
        <v>31362</v>
      </c>
      <c r="G6649" t="s">
        <v>31368</v>
      </c>
      <c r="H6649" t="s">
        <v>15799</v>
      </c>
      <c r="I6649" t="s">
        <v>31404</v>
      </c>
      <c r="J6649" t="s">
        <v>35622</v>
      </c>
      <c r="K6649" t="s">
        <v>40666</v>
      </c>
      <c r="M6649" t="s">
        <v>42591</v>
      </c>
      <c r="N6649" t="s">
        <v>44905</v>
      </c>
      <c r="O6649" t="s">
        <v>44906</v>
      </c>
      <c r="P6649">
        <v>0</v>
      </c>
      <c r="Q6649">
        <v>0</v>
      </c>
      <c r="R6649" t="s">
        <v>44909</v>
      </c>
      <c r="S6649" t="s">
        <v>45060</v>
      </c>
      <c r="T6649" t="s">
        <v>46409</v>
      </c>
      <c r="U6649" t="s">
        <v>52346</v>
      </c>
      <c r="W6649" t="s">
        <v>42591</v>
      </c>
      <c r="X6649" t="s">
        <v>44910</v>
      </c>
    </row>
    <row r="6650" spans="1:24">
      <c r="A6650">
        <f>HYPERLINK("https://www.philgeps.gov.ph/GEPSNONPILOT/Tender/SplashBidNoticeAbstractUI.aspx?menuIndex=3&amp;refID=7078336&amp;Result=3","7078336")</f>
        <v>0</v>
      </c>
      <c r="B6650" t="s">
        <v>1404</v>
      </c>
      <c r="C6650" t="s">
        <v>9869</v>
      </c>
      <c r="D6650" t="s">
        <v>18112</v>
      </c>
      <c r="E6650" t="s">
        <v>20783</v>
      </c>
      <c r="F6650" t="s">
        <v>31362</v>
      </c>
      <c r="G6650" t="s">
        <v>31371</v>
      </c>
      <c r="H6650" t="s">
        <v>15799</v>
      </c>
      <c r="I6650" t="s">
        <v>31390</v>
      </c>
      <c r="J6650" t="s">
        <v>31725</v>
      </c>
      <c r="K6650" t="s">
        <v>40693</v>
      </c>
      <c r="M6650" t="s">
        <v>42429</v>
      </c>
      <c r="N6650" t="s">
        <v>44905</v>
      </c>
      <c r="O6650" t="s">
        <v>44906</v>
      </c>
      <c r="P6650">
        <v>0</v>
      </c>
      <c r="Q6650">
        <v>0</v>
      </c>
      <c r="R6650" t="s">
        <v>44909</v>
      </c>
      <c r="S6650" t="s">
        <v>45060</v>
      </c>
      <c r="T6650" t="s">
        <v>46682</v>
      </c>
      <c r="U6650" t="s">
        <v>52347</v>
      </c>
      <c r="W6650" t="s">
        <v>42429</v>
      </c>
      <c r="X6650" t="s">
        <v>44910</v>
      </c>
    </row>
    <row r="6651" spans="1:24">
      <c r="A6651">
        <f>HYPERLINK("https://www.philgeps.gov.ph/GEPSNONPILOT/Tender/SplashBidNoticeAbstractUI.aspx?menuIndex=3&amp;refID=7078347&amp;Result=3","7078347")</f>
        <v>0</v>
      </c>
      <c r="B6651" t="s">
        <v>1075</v>
      </c>
      <c r="C6651" t="s">
        <v>9870</v>
      </c>
      <c r="D6651" t="s">
        <v>18101</v>
      </c>
      <c r="E6651" t="s">
        <v>24113</v>
      </c>
      <c r="F6651" t="s">
        <v>31362</v>
      </c>
      <c r="G6651" t="s">
        <v>31369</v>
      </c>
      <c r="H6651" t="s">
        <v>15799</v>
      </c>
      <c r="I6651" t="s">
        <v>3815</v>
      </c>
      <c r="J6651" t="s">
        <v>34209</v>
      </c>
      <c r="K6651" t="s">
        <v>40666</v>
      </c>
      <c r="M6651" t="s">
        <v>42077</v>
      </c>
      <c r="N6651" t="s">
        <v>44905</v>
      </c>
      <c r="O6651" t="s">
        <v>44906</v>
      </c>
      <c r="P6651">
        <v>0</v>
      </c>
      <c r="Q6651">
        <v>0</v>
      </c>
      <c r="R6651" t="s">
        <v>44909</v>
      </c>
      <c r="S6651" t="s">
        <v>45060</v>
      </c>
      <c r="T6651" t="s">
        <v>46560</v>
      </c>
      <c r="U6651" t="s">
        <v>52348</v>
      </c>
      <c r="W6651" t="s">
        <v>42077</v>
      </c>
      <c r="X6651" t="s">
        <v>44910</v>
      </c>
    </row>
    <row r="6652" spans="1:24">
      <c r="A6652">
        <f>HYPERLINK("https://www.philgeps.gov.ph/GEPSNONPILOT/Tender/SplashBidNoticeAbstractUI.aspx?menuIndex=3&amp;refID=7078179&amp;Result=3","7078179")</f>
        <v>0</v>
      </c>
      <c r="B6652" t="s">
        <v>2048</v>
      </c>
      <c r="C6652" t="s">
        <v>9871</v>
      </c>
      <c r="D6652" t="s">
        <v>18108</v>
      </c>
      <c r="E6652" t="s">
        <v>24114</v>
      </c>
      <c r="F6652" t="s">
        <v>31362</v>
      </c>
      <c r="G6652" t="s">
        <v>31368</v>
      </c>
      <c r="H6652" t="s">
        <v>15799</v>
      </c>
      <c r="I6652" t="s">
        <v>31485</v>
      </c>
      <c r="J6652" t="s">
        <v>32165</v>
      </c>
      <c r="K6652" t="s">
        <v>40662</v>
      </c>
      <c r="M6652" t="s">
        <v>43169</v>
      </c>
      <c r="N6652" t="s">
        <v>44905</v>
      </c>
      <c r="O6652" t="s">
        <v>44906</v>
      </c>
      <c r="P6652">
        <v>0</v>
      </c>
      <c r="Q6652">
        <v>8</v>
      </c>
      <c r="R6652" t="s">
        <v>44909</v>
      </c>
      <c r="S6652" t="s">
        <v>45060</v>
      </c>
      <c r="T6652" t="s">
        <v>46434</v>
      </c>
      <c r="U6652" t="s">
        <v>52349</v>
      </c>
      <c r="W6652" t="s">
        <v>43169</v>
      </c>
      <c r="X6652" t="s">
        <v>44910</v>
      </c>
    </row>
    <row r="6653" spans="1:24">
      <c r="A6653">
        <f>HYPERLINK("https://www.philgeps.gov.ph/GEPSNONPILOT/Tender/SplashBidNoticeAbstractUI.aspx?menuIndex=3&amp;refID=7078346&amp;Result=3","7078346")</f>
        <v>0</v>
      </c>
      <c r="B6653" t="s">
        <v>1673</v>
      </c>
      <c r="C6653" t="s">
        <v>9872</v>
      </c>
      <c r="D6653" t="s">
        <v>18171</v>
      </c>
      <c r="E6653" t="s">
        <v>24115</v>
      </c>
      <c r="F6653" t="s">
        <v>31362</v>
      </c>
      <c r="G6653" t="s">
        <v>31369</v>
      </c>
      <c r="H6653" t="s">
        <v>31378</v>
      </c>
      <c r="I6653" t="s">
        <v>31435</v>
      </c>
      <c r="J6653" t="s">
        <v>31586</v>
      </c>
      <c r="K6653" t="s">
        <v>40680</v>
      </c>
      <c r="M6653" t="s">
        <v>42738</v>
      </c>
      <c r="N6653" t="s">
        <v>44905</v>
      </c>
      <c r="O6653" t="s">
        <v>44906</v>
      </c>
      <c r="P6653">
        <v>0</v>
      </c>
      <c r="Q6653">
        <v>4</v>
      </c>
      <c r="R6653" t="s">
        <v>44909</v>
      </c>
      <c r="S6653" t="s">
        <v>45060</v>
      </c>
      <c r="T6653" t="s">
        <v>46585</v>
      </c>
      <c r="U6653" t="s">
        <v>52350</v>
      </c>
      <c r="W6653" t="s">
        <v>42738</v>
      </c>
      <c r="X6653" t="s">
        <v>44910</v>
      </c>
    </row>
    <row r="6654" spans="1:24">
      <c r="A6654">
        <f>HYPERLINK("https://www.philgeps.gov.ph/GEPSNONPILOT/Tender/SplashBidNoticeAbstractUI.aspx?menuIndex=3&amp;refID=7078350&amp;Result=3","7078350")</f>
        <v>0</v>
      </c>
      <c r="B6654" t="s">
        <v>1584</v>
      </c>
      <c r="C6654" t="s">
        <v>9873</v>
      </c>
      <c r="D6654" t="s">
        <v>18141</v>
      </c>
      <c r="E6654" t="s">
        <v>24072</v>
      </c>
      <c r="F6654" t="s">
        <v>31362</v>
      </c>
      <c r="G6654" t="s">
        <v>31368</v>
      </c>
      <c r="H6654" t="s">
        <v>15799</v>
      </c>
      <c r="I6654" t="s">
        <v>31377</v>
      </c>
      <c r="J6654" t="s">
        <v>35623</v>
      </c>
      <c r="K6654" t="s">
        <v>40731</v>
      </c>
      <c r="M6654" t="s">
        <v>42639</v>
      </c>
      <c r="N6654" t="s">
        <v>44905</v>
      </c>
      <c r="O6654" t="s">
        <v>44906</v>
      </c>
      <c r="P6654">
        <v>0</v>
      </c>
      <c r="Q6654">
        <v>1</v>
      </c>
      <c r="R6654" t="s">
        <v>44909</v>
      </c>
      <c r="S6654" t="s">
        <v>45060</v>
      </c>
      <c r="T6654" t="s">
        <v>46534</v>
      </c>
      <c r="U6654" t="s">
        <v>52351</v>
      </c>
      <c r="V6654" t="s">
        <v>59506</v>
      </c>
      <c r="W6654" t="s">
        <v>42639</v>
      </c>
      <c r="X6654" t="s">
        <v>44910</v>
      </c>
    </row>
    <row r="6655" spans="1:24">
      <c r="A6655">
        <f>HYPERLINK("https://www.philgeps.gov.ph/GEPSNONPILOT/Tender/SplashBidNoticeAbstractUI.aspx?menuIndex=3&amp;refID=7078341&amp;Result=3","7078341")</f>
        <v>0</v>
      </c>
      <c r="B6655" t="s">
        <v>2039</v>
      </c>
      <c r="C6655" t="s">
        <v>9874</v>
      </c>
      <c r="D6655" t="s">
        <v>18108</v>
      </c>
      <c r="E6655" t="s">
        <v>24116</v>
      </c>
      <c r="F6655" t="s">
        <v>31362</v>
      </c>
      <c r="G6655" t="s">
        <v>31369</v>
      </c>
      <c r="H6655" t="s">
        <v>15799</v>
      </c>
      <c r="I6655" t="s">
        <v>31449</v>
      </c>
      <c r="J6655" t="s">
        <v>35624</v>
      </c>
      <c r="K6655" t="s">
        <v>40665</v>
      </c>
      <c r="M6655" t="s">
        <v>43158</v>
      </c>
      <c r="N6655" t="s">
        <v>44905</v>
      </c>
      <c r="O6655" t="s">
        <v>44906</v>
      </c>
      <c r="P6655">
        <v>0</v>
      </c>
      <c r="Q6655">
        <v>0</v>
      </c>
      <c r="R6655" t="s">
        <v>44909</v>
      </c>
      <c r="S6655" t="s">
        <v>45060</v>
      </c>
      <c r="T6655" t="s">
        <v>46712</v>
      </c>
      <c r="U6655" t="s">
        <v>52352</v>
      </c>
      <c r="V6655" t="s">
        <v>59702</v>
      </c>
      <c r="W6655" t="s">
        <v>43158</v>
      </c>
      <c r="X6655" t="s">
        <v>44910</v>
      </c>
    </row>
    <row r="6656" spans="1:24">
      <c r="A6656">
        <f>HYPERLINK("https://www.philgeps.gov.ph/GEPSNONPILOT/Tender/SplashBidNoticeAbstractUI.aspx?menuIndex=3&amp;refID=7078340&amp;Result=3","7078340")</f>
        <v>0</v>
      </c>
      <c r="B6656" t="s">
        <v>1066</v>
      </c>
      <c r="C6656" t="s">
        <v>9875</v>
      </c>
      <c r="D6656" t="s">
        <v>18125</v>
      </c>
      <c r="E6656" t="s">
        <v>24117</v>
      </c>
      <c r="F6656" t="s">
        <v>31362</v>
      </c>
      <c r="G6656" t="s">
        <v>31368</v>
      </c>
      <c r="H6656" t="s">
        <v>15799</v>
      </c>
      <c r="I6656" t="s">
        <v>31380</v>
      </c>
      <c r="J6656" t="s">
        <v>35625</v>
      </c>
      <c r="K6656" t="s">
        <v>40670</v>
      </c>
      <c r="M6656" t="s">
        <v>42068</v>
      </c>
      <c r="N6656" t="s">
        <v>44905</v>
      </c>
      <c r="O6656" t="s">
        <v>44906</v>
      </c>
      <c r="P6656">
        <v>0</v>
      </c>
      <c r="Q6656">
        <v>5</v>
      </c>
      <c r="R6656" t="s">
        <v>44909</v>
      </c>
      <c r="S6656" t="s">
        <v>45060</v>
      </c>
      <c r="T6656" t="s">
        <v>46432</v>
      </c>
      <c r="U6656" t="s">
        <v>52310</v>
      </c>
      <c r="W6656" t="s">
        <v>42068</v>
      </c>
      <c r="X6656" t="s">
        <v>44910</v>
      </c>
    </row>
    <row r="6657" spans="1:24">
      <c r="A6657">
        <f>HYPERLINK("https://www.philgeps.gov.ph/GEPSNONPILOT/Tender/SplashBidNoticeAbstractUI.aspx?menuIndex=3&amp;refID=7078382&amp;Result=3","7078382")</f>
        <v>0</v>
      </c>
      <c r="B6657" t="s">
        <v>1396</v>
      </c>
      <c r="C6657" t="s">
        <v>9876</v>
      </c>
      <c r="D6657" t="s">
        <v>18122</v>
      </c>
      <c r="E6657" t="s">
        <v>24118</v>
      </c>
      <c r="F6657" t="s">
        <v>31362</v>
      </c>
      <c r="G6657" t="s">
        <v>31368</v>
      </c>
      <c r="H6657" t="s">
        <v>15799</v>
      </c>
      <c r="I6657" t="s">
        <v>31430</v>
      </c>
      <c r="J6657" t="s">
        <v>35626</v>
      </c>
      <c r="K6657" t="s">
        <v>40661</v>
      </c>
      <c r="M6657" t="s">
        <v>42421</v>
      </c>
      <c r="N6657" t="s">
        <v>44905</v>
      </c>
      <c r="O6657" t="s">
        <v>44906</v>
      </c>
      <c r="P6657">
        <v>0</v>
      </c>
      <c r="Q6657">
        <v>0</v>
      </c>
      <c r="R6657" t="s">
        <v>44909</v>
      </c>
      <c r="S6657" t="s">
        <v>45060</v>
      </c>
      <c r="T6657" t="s">
        <v>46409</v>
      </c>
      <c r="U6657" t="s">
        <v>52353</v>
      </c>
      <c r="V6657" t="s">
        <v>59709</v>
      </c>
      <c r="W6657" t="s">
        <v>42421</v>
      </c>
      <c r="X6657" t="s">
        <v>44910</v>
      </c>
    </row>
    <row r="6658" spans="1:24">
      <c r="A6658">
        <f>HYPERLINK("https://www.philgeps.gov.ph/GEPSNONPILOT/Tender/SplashBidNoticeAbstractUI.aspx?menuIndex=3&amp;refID=7078405&amp;Result=3","7078405")</f>
        <v>0</v>
      </c>
      <c r="B6658" t="s">
        <v>1709</v>
      </c>
      <c r="C6658" t="s">
        <v>9877</v>
      </c>
      <c r="D6658" t="s">
        <v>18136</v>
      </c>
      <c r="E6658" t="s">
        <v>24119</v>
      </c>
      <c r="F6658" t="s">
        <v>31362</v>
      </c>
      <c r="G6658" t="s">
        <v>31368</v>
      </c>
      <c r="H6658" t="s">
        <v>15799</v>
      </c>
      <c r="I6658" t="s">
        <v>31430</v>
      </c>
      <c r="J6658" t="s">
        <v>31543</v>
      </c>
      <c r="K6658" t="s">
        <v>40666</v>
      </c>
      <c r="M6658" t="s">
        <v>42777</v>
      </c>
      <c r="N6658" t="s">
        <v>44905</v>
      </c>
      <c r="O6658" t="s">
        <v>44906</v>
      </c>
      <c r="P6658">
        <v>0</v>
      </c>
      <c r="Q6658">
        <v>1</v>
      </c>
      <c r="R6658" t="s">
        <v>44909</v>
      </c>
      <c r="S6658" t="s">
        <v>45060</v>
      </c>
      <c r="T6658" t="s">
        <v>46549</v>
      </c>
      <c r="U6658" t="s">
        <v>52354</v>
      </c>
      <c r="W6658" t="s">
        <v>42777</v>
      </c>
      <c r="X6658" t="s">
        <v>44910</v>
      </c>
    </row>
    <row r="6659" spans="1:24">
      <c r="A6659">
        <f>HYPERLINK("https://www.philgeps.gov.ph/GEPSNONPILOT/Tender/SplashBidNoticeAbstractUI.aspx?menuIndex=3&amp;refID=7078361&amp;Result=3","7078361")</f>
        <v>0</v>
      </c>
      <c r="B6659" t="s">
        <v>2039</v>
      </c>
      <c r="C6659" t="s">
        <v>9878</v>
      </c>
      <c r="D6659" t="s">
        <v>18108</v>
      </c>
      <c r="E6659" t="s">
        <v>24120</v>
      </c>
      <c r="F6659" t="s">
        <v>31362</v>
      </c>
      <c r="G6659" t="s">
        <v>31369</v>
      </c>
      <c r="H6659" t="s">
        <v>15799</v>
      </c>
      <c r="I6659" t="s">
        <v>31409</v>
      </c>
      <c r="J6659" t="s">
        <v>35627</v>
      </c>
      <c r="K6659" t="s">
        <v>40665</v>
      </c>
      <c r="M6659" t="s">
        <v>43158</v>
      </c>
      <c r="N6659" t="s">
        <v>44905</v>
      </c>
      <c r="O6659" t="s">
        <v>44906</v>
      </c>
      <c r="P6659">
        <v>0</v>
      </c>
      <c r="Q6659">
        <v>1</v>
      </c>
      <c r="R6659" t="s">
        <v>44909</v>
      </c>
      <c r="S6659" t="s">
        <v>45060</v>
      </c>
      <c r="T6659" t="s">
        <v>46712</v>
      </c>
      <c r="U6659" t="s">
        <v>52307</v>
      </c>
      <c r="V6659" t="s">
        <v>59702</v>
      </c>
      <c r="W6659" t="s">
        <v>43158</v>
      </c>
      <c r="X6659" t="s">
        <v>44910</v>
      </c>
    </row>
    <row r="6660" spans="1:24">
      <c r="A6660">
        <f>HYPERLINK("https://www.philgeps.gov.ph/GEPSNONPILOT/Tender/SplashBidNoticeAbstractUI.aspx?menuIndex=3&amp;refID=7078401&amp;Result=3","7078401")</f>
        <v>0</v>
      </c>
      <c r="B6660" t="s">
        <v>663</v>
      </c>
      <c r="C6660" t="s">
        <v>9879</v>
      </c>
      <c r="D6660" t="s">
        <v>18103</v>
      </c>
      <c r="E6660" t="s">
        <v>24121</v>
      </c>
      <c r="F6660" t="s">
        <v>31362</v>
      </c>
      <c r="G6660" t="s">
        <v>31370</v>
      </c>
      <c r="H6660" t="s">
        <v>15799</v>
      </c>
      <c r="I6660" t="s">
        <v>7090</v>
      </c>
      <c r="J6660" t="s">
        <v>35628</v>
      </c>
      <c r="K6660" t="s">
        <v>40661</v>
      </c>
      <c r="M6660" t="s">
        <v>41625</v>
      </c>
      <c r="N6660" t="s">
        <v>44905</v>
      </c>
      <c r="O6660" t="s">
        <v>44906</v>
      </c>
      <c r="P6660">
        <v>0</v>
      </c>
      <c r="Q6660">
        <v>7</v>
      </c>
      <c r="R6660" t="s">
        <v>44909</v>
      </c>
      <c r="S6660" t="s">
        <v>45060</v>
      </c>
      <c r="T6660" t="s">
        <v>46415</v>
      </c>
      <c r="U6660" t="s">
        <v>52355</v>
      </c>
      <c r="W6660" t="s">
        <v>41625</v>
      </c>
      <c r="X6660" t="s">
        <v>44910</v>
      </c>
    </row>
    <row r="6661" spans="1:24">
      <c r="A6661">
        <f>HYPERLINK("https://www.philgeps.gov.ph/GEPSNONPILOT/Tender/SplashBidNoticeAbstractUI.aspx?menuIndex=3&amp;refID=7078380&amp;Result=3","7078380")</f>
        <v>0</v>
      </c>
      <c r="B6661" t="s">
        <v>2039</v>
      </c>
      <c r="C6661" t="s">
        <v>9880</v>
      </c>
      <c r="D6661" t="s">
        <v>18108</v>
      </c>
      <c r="E6661" t="s">
        <v>24122</v>
      </c>
      <c r="F6661" t="s">
        <v>31362</v>
      </c>
      <c r="G6661" t="s">
        <v>31369</v>
      </c>
      <c r="H6661" t="s">
        <v>15799</v>
      </c>
      <c r="I6661" t="s">
        <v>31385</v>
      </c>
      <c r="J6661" t="s">
        <v>35629</v>
      </c>
      <c r="K6661" t="s">
        <v>40665</v>
      </c>
      <c r="M6661" t="s">
        <v>43158</v>
      </c>
      <c r="N6661" t="s">
        <v>44905</v>
      </c>
      <c r="O6661" t="s">
        <v>44906</v>
      </c>
      <c r="P6661">
        <v>0</v>
      </c>
      <c r="Q6661">
        <v>2</v>
      </c>
      <c r="R6661" t="s">
        <v>44909</v>
      </c>
      <c r="S6661" t="s">
        <v>45060</v>
      </c>
      <c r="T6661" t="s">
        <v>46712</v>
      </c>
      <c r="U6661" t="s">
        <v>52307</v>
      </c>
      <c r="V6661" t="s">
        <v>59702</v>
      </c>
      <c r="W6661" t="s">
        <v>43158</v>
      </c>
      <c r="X6661" t="s">
        <v>44910</v>
      </c>
    </row>
    <row r="6662" spans="1:24">
      <c r="A6662">
        <f>HYPERLINK("https://www.philgeps.gov.ph/GEPSNONPILOT/Tender/SplashBidNoticeAbstractUI.aspx?menuIndex=3&amp;refID=7078351&amp;Result=3","7078351")</f>
        <v>0</v>
      </c>
      <c r="B6662" t="s">
        <v>1627</v>
      </c>
      <c r="C6662" t="s">
        <v>9881</v>
      </c>
      <c r="D6662" t="s">
        <v>18158</v>
      </c>
      <c r="E6662" t="s">
        <v>24123</v>
      </c>
      <c r="F6662" t="s">
        <v>31362</v>
      </c>
      <c r="G6662" t="s">
        <v>31369</v>
      </c>
      <c r="H6662" t="s">
        <v>15799</v>
      </c>
      <c r="I6662" t="s">
        <v>31431</v>
      </c>
      <c r="J6662" t="s">
        <v>35630</v>
      </c>
      <c r="K6662" t="s">
        <v>40665</v>
      </c>
      <c r="M6662" t="s">
        <v>42688</v>
      </c>
      <c r="N6662" t="s">
        <v>44905</v>
      </c>
      <c r="O6662" t="s">
        <v>44906</v>
      </c>
      <c r="P6662">
        <v>0</v>
      </c>
      <c r="Q6662">
        <v>1</v>
      </c>
      <c r="R6662" t="s">
        <v>44909</v>
      </c>
      <c r="S6662" t="s">
        <v>45060</v>
      </c>
      <c r="T6662" t="s">
        <v>46685</v>
      </c>
      <c r="U6662" t="s">
        <v>52356</v>
      </c>
      <c r="V6662" t="s">
        <v>59526</v>
      </c>
      <c r="W6662" t="s">
        <v>42688</v>
      </c>
      <c r="X6662" t="s">
        <v>44910</v>
      </c>
    </row>
    <row r="6663" spans="1:24">
      <c r="A6663">
        <f>HYPERLINK("https://www.philgeps.gov.ph/GEPSNONPILOT/Tender/SplashBidNoticeAbstractUI.aspx?menuIndex=3&amp;refID=7078398&amp;Result=3","7078398")</f>
        <v>0</v>
      </c>
      <c r="B6663" t="s">
        <v>2050</v>
      </c>
      <c r="C6663" t="s">
        <v>9882</v>
      </c>
      <c r="D6663" t="s">
        <v>18140</v>
      </c>
      <c r="E6663" t="s">
        <v>24124</v>
      </c>
      <c r="F6663" t="s">
        <v>31362</v>
      </c>
      <c r="G6663" t="s">
        <v>31369</v>
      </c>
      <c r="H6663" t="s">
        <v>31378</v>
      </c>
      <c r="I6663" t="s">
        <v>31386</v>
      </c>
      <c r="J6663" t="s">
        <v>35631</v>
      </c>
      <c r="K6663" t="s">
        <v>40678</v>
      </c>
      <c r="M6663" t="s">
        <v>43171</v>
      </c>
      <c r="N6663" t="s">
        <v>44905</v>
      </c>
      <c r="O6663" t="s">
        <v>44906</v>
      </c>
      <c r="P6663">
        <v>0</v>
      </c>
      <c r="Q6663">
        <v>0</v>
      </c>
      <c r="R6663" t="s">
        <v>44909</v>
      </c>
      <c r="S6663" t="s">
        <v>45060</v>
      </c>
      <c r="T6663" t="s">
        <v>46431</v>
      </c>
      <c r="U6663" t="s">
        <v>52357</v>
      </c>
      <c r="W6663" t="s">
        <v>43171</v>
      </c>
      <c r="X6663" t="s">
        <v>44910</v>
      </c>
    </row>
    <row r="6664" spans="1:24">
      <c r="A6664">
        <f>HYPERLINK("https://www.philgeps.gov.ph/GEPSNONPILOT/Tender/SplashBidNoticeAbstractUI.aspx?menuIndex=3&amp;refID=7078355&amp;Result=3","7078355")</f>
        <v>0</v>
      </c>
      <c r="B6664" t="s">
        <v>1534</v>
      </c>
      <c r="C6664" t="s">
        <v>9883</v>
      </c>
      <c r="D6664" t="s">
        <v>18180</v>
      </c>
      <c r="E6664" t="s">
        <v>24125</v>
      </c>
      <c r="F6664" t="s">
        <v>31362</v>
      </c>
      <c r="G6664" t="s">
        <v>31369</v>
      </c>
      <c r="H6664" t="s">
        <v>15799</v>
      </c>
      <c r="I6664" t="s">
        <v>31399</v>
      </c>
      <c r="J6664" t="s">
        <v>31571</v>
      </c>
      <c r="K6664" t="s">
        <v>40665</v>
      </c>
      <c r="M6664" t="s">
        <v>42580</v>
      </c>
      <c r="N6664" t="s">
        <v>44905</v>
      </c>
      <c r="O6664" t="s">
        <v>44906</v>
      </c>
      <c r="P6664">
        <v>0</v>
      </c>
      <c r="Q6664">
        <v>4</v>
      </c>
      <c r="R6664" t="s">
        <v>44909</v>
      </c>
      <c r="S6664" t="s">
        <v>45060</v>
      </c>
      <c r="T6664" t="s">
        <v>46435</v>
      </c>
      <c r="U6664" t="s">
        <v>52358</v>
      </c>
      <c r="W6664" t="s">
        <v>42580</v>
      </c>
      <c r="X6664" t="s">
        <v>44910</v>
      </c>
    </row>
    <row r="6665" spans="1:24">
      <c r="A6665">
        <f>HYPERLINK("https://www.philgeps.gov.ph/GEPSNONPILOT/Tender/SplashBidNoticeAbstractUI.aspx?menuIndex=3&amp;refID=7078403&amp;Result=3","7078403")</f>
        <v>0</v>
      </c>
      <c r="B6665" t="s">
        <v>530</v>
      </c>
      <c r="C6665" t="s">
        <v>9884</v>
      </c>
      <c r="D6665" t="s">
        <v>18104</v>
      </c>
      <c r="E6665" t="s">
        <v>24126</v>
      </c>
      <c r="F6665" t="s">
        <v>31362</v>
      </c>
      <c r="G6665" t="s">
        <v>31370</v>
      </c>
      <c r="H6665" t="s">
        <v>15799</v>
      </c>
      <c r="I6665" t="s">
        <v>31390</v>
      </c>
      <c r="J6665" t="s">
        <v>31575</v>
      </c>
      <c r="K6665" t="s">
        <v>40697</v>
      </c>
      <c r="M6665" t="s">
        <v>41486</v>
      </c>
      <c r="N6665" t="s">
        <v>44905</v>
      </c>
      <c r="O6665" t="s">
        <v>44906</v>
      </c>
      <c r="P6665">
        <v>0</v>
      </c>
      <c r="Q6665">
        <v>0</v>
      </c>
      <c r="R6665" t="s">
        <v>44909</v>
      </c>
      <c r="S6665" t="s">
        <v>45060</v>
      </c>
      <c r="T6665" t="s">
        <v>46414</v>
      </c>
      <c r="U6665" t="s">
        <v>52359</v>
      </c>
      <c r="V6665" t="s">
        <v>59194</v>
      </c>
      <c r="W6665" t="s">
        <v>41486</v>
      </c>
      <c r="X6665" t="s">
        <v>44910</v>
      </c>
    </row>
    <row r="6666" spans="1:24">
      <c r="A6666">
        <f>HYPERLINK("https://www.philgeps.gov.ph/GEPSNONPILOT/Tender/SplashBidNoticeAbstractUI.aspx?menuIndex=3&amp;refID=7078396&amp;Result=3","7078396")</f>
        <v>0</v>
      </c>
      <c r="B6666" t="s">
        <v>2003</v>
      </c>
      <c r="C6666" t="s">
        <v>9669</v>
      </c>
      <c r="D6666" t="s">
        <v>18111</v>
      </c>
      <c r="E6666" t="s">
        <v>23938</v>
      </c>
      <c r="F6666" t="s">
        <v>31362</v>
      </c>
      <c r="G6666" t="s">
        <v>31370</v>
      </c>
      <c r="H6666" t="s">
        <v>15799</v>
      </c>
      <c r="I6666" t="s">
        <v>7188</v>
      </c>
      <c r="J6666" t="s">
        <v>32234</v>
      </c>
      <c r="K6666" t="s">
        <v>40672</v>
      </c>
      <c r="M6666" t="s">
        <v>43114</v>
      </c>
      <c r="N6666" t="s">
        <v>44905</v>
      </c>
      <c r="O6666" t="s">
        <v>44906</v>
      </c>
      <c r="P6666">
        <v>0</v>
      </c>
      <c r="Q6666">
        <v>4</v>
      </c>
      <c r="R6666" t="s">
        <v>44909</v>
      </c>
      <c r="S6666" t="s">
        <v>45060</v>
      </c>
      <c r="T6666" t="s">
        <v>46408</v>
      </c>
      <c r="U6666" t="s">
        <v>52360</v>
      </c>
      <c r="W6666" t="s">
        <v>43114</v>
      </c>
      <c r="X6666" t="s">
        <v>44910</v>
      </c>
    </row>
    <row r="6667" spans="1:24">
      <c r="A6667">
        <f>HYPERLINK("https://www.philgeps.gov.ph/GEPSNONPILOT/Tender/SplashBidNoticeAbstractUI.aspx?menuIndex=3&amp;refID=7078393&amp;Result=3","7078393")</f>
        <v>0</v>
      </c>
      <c r="B6667" t="s">
        <v>462</v>
      </c>
      <c r="C6667" t="s">
        <v>9885</v>
      </c>
      <c r="D6667" t="s">
        <v>18150</v>
      </c>
      <c r="E6667" t="s">
        <v>24127</v>
      </c>
      <c r="F6667" t="s">
        <v>31362</v>
      </c>
      <c r="G6667" t="s">
        <v>31372</v>
      </c>
      <c r="H6667" t="s">
        <v>31379</v>
      </c>
      <c r="I6667" t="s">
        <v>31464</v>
      </c>
      <c r="J6667" t="s">
        <v>34763</v>
      </c>
      <c r="K6667" t="s">
        <v>40665</v>
      </c>
      <c r="M6667" t="s">
        <v>41416</v>
      </c>
      <c r="N6667" t="s">
        <v>44905</v>
      </c>
      <c r="O6667" t="s">
        <v>44906</v>
      </c>
      <c r="P6667">
        <v>0</v>
      </c>
      <c r="Q6667">
        <v>1</v>
      </c>
      <c r="R6667" t="s">
        <v>44909</v>
      </c>
      <c r="S6667" t="s">
        <v>45060</v>
      </c>
      <c r="T6667" t="s">
        <v>46732</v>
      </c>
      <c r="U6667" t="s">
        <v>52361</v>
      </c>
      <c r="W6667" t="s">
        <v>41416</v>
      </c>
      <c r="X6667" t="s">
        <v>44910</v>
      </c>
    </row>
    <row r="6668" spans="1:24">
      <c r="A6668">
        <f>HYPERLINK("https://www.philgeps.gov.ph/GEPSNONPILOT/Tender/SplashBidNoticeAbstractUI.aspx?menuIndex=3&amp;refID=7078392&amp;Result=3","7078392")</f>
        <v>0</v>
      </c>
      <c r="B6668" t="s">
        <v>487</v>
      </c>
      <c r="C6668" t="s">
        <v>9886</v>
      </c>
      <c r="E6668" t="s">
        <v>24128</v>
      </c>
      <c r="F6668" t="s">
        <v>31362</v>
      </c>
      <c r="G6668" t="s">
        <v>31369</v>
      </c>
      <c r="H6668" t="s">
        <v>31378</v>
      </c>
      <c r="I6668" t="s">
        <v>31386</v>
      </c>
      <c r="J6668" t="s">
        <v>35632</v>
      </c>
      <c r="K6668" t="s">
        <v>40818</v>
      </c>
      <c r="M6668" t="s">
        <v>41442</v>
      </c>
      <c r="N6668" t="s">
        <v>44905</v>
      </c>
      <c r="O6668" t="s">
        <v>44906</v>
      </c>
      <c r="P6668">
        <v>0</v>
      </c>
      <c r="Q6668">
        <v>0</v>
      </c>
      <c r="R6668" t="s">
        <v>44909</v>
      </c>
      <c r="S6668" t="s">
        <v>45060</v>
      </c>
      <c r="T6668" t="s">
        <v>46559</v>
      </c>
      <c r="U6668" t="s">
        <v>52362</v>
      </c>
      <c r="W6668" t="s">
        <v>41442</v>
      </c>
      <c r="X6668" t="s">
        <v>44910</v>
      </c>
    </row>
    <row r="6669" spans="1:24">
      <c r="A6669">
        <f>HYPERLINK("https://www.philgeps.gov.ph/GEPSNONPILOT/Tender/SplashBidNoticeAbstractUI.aspx?menuIndex=3&amp;refID=7078391&amp;Result=3","7078391")</f>
        <v>0</v>
      </c>
      <c r="B6669" t="s">
        <v>2051</v>
      </c>
      <c r="C6669" t="s">
        <v>9887</v>
      </c>
      <c r="D6669" t="s">
        <v>18158</v>
      </c>
      <c r="E6669" t="s">
        <v>24129</v>
      </c>
      <c r="F6669" t="s">
        <v>31362</v>
      </c>
      <c r="G6669" t="s">
        <v>31369</v>
      </c>
      <c r="H6669" t="s">
        <v>15799</v>
      </c>
      <c r="I6669" t="s">
        <v>31410</v>
      </c>
      <c r="J6669" t="s">
        <v>35633</v>
      </c>
      <c r="K6669" t="s">
        <v>40665</v>
      </c>
      <c r="M6669" t="s">
        <v>43172</v>
      </c>
      <c r="N6669" t="s">
        <v>44905</v>
      </c>
      <c r="O6669" t="s">
        <v>44906</v>
      </c>
      <c r="P6669">
        <v>0</v>
      </c>
      <c r="Q6669">
        <v>0</v>
      </c>
      <c r="R6669" t="s">
        <v>44909</v>
      </c>
      <c r="S6669" t="s">
        <v>45060</v>
      </c>
      <c r="T6669" t="s">
        <v>46733</v>
      </c>
      <c r="U6669" t="s">
        <v>52363</v>
      </c>
      <c r="W6669" t="s">
        <v>43172</v>
      </c>
      <c r="X6669" t="s">
        <v>44910</v>
      </c>
    </row>
    <row r="6670" spans="1:24">
      <c r="A6670">
        <f>HYPERLINK("https://www.philgeps.gov.ph/GEPSNONPILOT/Tender/SplashBidNoticeAbstractUI.aspx?menuIndex=3&amp;refID=7078338&amp;Result=3","7078338")</f>
        <v>0</v>
      </c>
      <c r="B6670" t="s">
        <v>169</v>
      </c>
      <c r="C6670" t="s">
        <v>9888</v>
      </c>
      <c r="D6670" t="s">
        <v>18108</v>
      </c>
      <c r="E6670" t="s">
        <v>24130</v>
      </c>
      <c r="F6670" t="s">
        <v>31362</v>
      </c>
      <c r="G6670" t="s">
        <v>31369</v>
      </c>
      <c r="H6670" t="s">
        <v>31378</v>
      </c>
      <c r="I6670" t="s">
        <v>31449</v>
      </c>
      <c r="J6670" t="s">
        <v>35634</v>
      </c>
      <c r="K6670" t="s">
        <v>40683</v>
      </c>
      <c r="M6670" t="s">
        <v>43173</v>
      </c>
      <c r="N6670" t="s">
        <v>44905</v>
      </c>
      <c r="O6670" t="s">
        <v>44906</v>
      </c>
      <c r="P6670">
        <v>0</v>
      </c>
      <c r="Q6670">
        <v>4</v>
      </c>
      <c r="R6670" t="s">
        <v>44909</v>
      </c>
      <c r="S6670" t="s">
        <v>45060</v>
      </c>
      <c r="T6670" t="s">
        <v>46734</v>
      </c>
      <c r="U6670" t="s">
        <v>52364</v>
      </c>
      <c r="W6670" t="s">
        <v>43173</v>
      </c>
      <c r="X6670" t="s">
        <v>44910</v>
      </c>
    </row>
    <row r="6671" spans="1:24">
      <c r="A6671">
        <f>HYPERLINK("https://www.philgeps.gov.ph/GEPSNONPILOT/Tender/SplashBidNoticeAbstractUI.aspx?menuIndex=3&amp;refID=7078390&amp;Result=3","7078390")</f>
        <v>0</v>
      </c>
      <c r="B6671" t="s">
        <v>1066</v>
      </c>
      <c r="C6671" t="s">
        <v>9889</v>
      </c>
      <c r="D6671" t="s">
        <v>18125</v>
      </c>
      <c r="E6671" t="s">
        <v>24131</v>
      </c>
      <c r="F6671" t="s">
        <v>31362</v>
      </c>
      <c r="G6671" t="s">
        <v>31368</v>
      </c>
      <c r="H6671" t="s">
        <v>15799</v>
      </c>
      <c r="I6671" t="s">
        <v>31380</v>
      </c>
      <c r="J6671" t="s">
        <v>31586</v>
      </c>
      <c r="K6671" t="s">
        <v>40670</v>
      </c>
      <c r="M6671" t="s">
        <v>42068</v>
      </c>
      <c r="N6671" t="s">
        <v>44905</v>
      </c>
      <c r="O6671" t="s">
        <v>44906</v>
      </c>
      <c r="P6671">
        <v>0</v>
      </c>
      <c r="Q6671">
        <v>3</v>
      </c>
      <c r="R6671" t="s">
        <v>44909</v>
      </c>
      <c r="S6671" t="s">
        <v>45060</v>
      </c>
      <c r="T6671" t="s">
        <v>46432</v>
      </c>
      <c r="U6671" t="s">
        <v>52310</v>
      </c>
      <c r="W6671" t="s">
        <v>42068</v>
      </c>
      <c r="X6671" t="s">
        <v>44910</v>
      </c>
    </row>
    <row r="6672" spans="1:24">
      <c r="A6672">
        <f>HYPERLINK("https://www.philgeps.gov.ph/GEPSNONPILOT/Tender/SplashBidNoticeAbstractUI.aspx?menuIndex=3&amp;refID=7078435&amp;Result=3","7078435")</f>
        <v>0</v>
      </c>
      <c r="B6672" t="s">
        <v>1573</v>
      </c>
      <c r="C6672" t="s">
        <v>9890</v>
      </c>
      <c r="D6672" t="s">
        <v>18148</v>
      </c>
      <c r="E6672" t="s">
        <v>24132</v>
      </c>
      <c r="F6672" t="s">
        <v>31362</v>
      </c>
      <c r="G6672" t="s">
        <v>31369</v>
      </c>
      <c r="H6672" t="s">
        <v>31378</v>
      </c>
      <c r="I6672" t="s">
        <v>31386</v>
      </c>
      <c r="J6672" t="s">
        <v>33482</v>
      </c>
      <c r="K6672" t="s">
        <v>40691</v>
      </c>
      <c r="M6672" t="s">
        <v>42626</v>
      </c>
      <c r="N6672" t="s">
        <v>44905</v>
      </c>
      <c r="O6672" t="s">
        <v>44906</v>
      </c>
      <c r="P6672">
        <v>0</v>
      </c>
      <c r="Q6672">
        <v>1</v>
      </c>
      <c r="R6672" t="s">
        <v>44909</v>
      </c>
      <c r="S6672" t="s">
        <v>45060</v>
      </c>
      <c r="T6672" t="s">
        <v>46449</v>
      </c>
      <c r="U6672" t="s">
        <v>52365</v>
      </c>
      <c r="W6672" t="s">
        <v>42626</v>
      </c>
      <c r="X6672" t="s">
        <v>44910</v>
      </c>
    </row>
    <row r="6673" spans="1:24">
      <c r="A6673">
        <f>HYPERLINK("https://www.philgeps.gov.ph/GEPSNONPILOT/Tender/SplashBidNoticeAbstractUI.aspx?menuIndex=3&amp;refID=7078433&amp;Result=3","7078433")</f>
        <v>0</v>
      </c>
      <c r="B6673" t="s">
        <v>81</v>
      </c>
      <c r="C6673" t="s">
        <v>9891</v>
      </c>
      <c r="E6673" t="s">
        <v>24133</v>
      </c>
      <c r="F6673" t="s">
        <v>31362</v>
      </c>
      <c r="G6673" t="s">
        <v>31369</v>
      </c>
      <c r="H6673" t="s">
        <v>15799</v>
      </c>
      <c r="I6673" t="s">
        <v>7719</v>
      </c>
      <c r="J6673" t="s">
        <v>35635</v>
      </c>
      <c r="K6673" t="s">
        <v>40662</v>
      </c>
      <c r="M6673" t="s">
        <v>41999</v>
      </c>
      <c r="N6673" t="s">
        <v>44905</v>
      </c>
      <c r="O6673" t="s">
        <v>44906</v>
      </c>
      <c r="Q6673">
        <v>9</v>
      </c>
      <c r="R6673" t="s">
        <v>44909</v>
      </c>
      <c r="S6673" t="s">
        <v>45073</v>
      </c>
      <c r="T6673" t="s">
        <v>46549</v>
      </c>
      <c r="U6673" t="s">
        <v>52366</v>
      </c>
      <c r="W6673" t="s">
        <v>41999</v>
      </c>
      <c r="X6673" t="s">
        <v>44910</v>
      </c>
    </row>
    <row r="6674" spans="1:24">
      <c r="A6674">
        <f>HYPERLINK("https://www.philgeps.gov.ph/GEPSNONPILOT/Tender/SplashBidNoticeAbstractUI.aspx?menuIndex=3&amp;refID=7078431&amp;Result=3","7078431")</f>
        <v>0</v>
      </c>
      <c r="B6674" t="s">
        <v>739</v>
      </c>
      <c r="C6674" t="s">
        <v>9892</v>
      </c>
      <c r="D6674" t="s">
        <v>18117</v>
      </c>
      <c r="E6674" t="s">
        <v>24134</v>
      </c>
      <c r="F6674" t="s">
        <v>31362</v>
      </c>
      <c r="G6674" t="s">
        <v>31368</v>
      </c>
      <c r="H6674" t="s">
        <v>15799</v>
      </c>
      <c r="I6674" t="s">
        <v>3815</v>
      </c>
      <c r="J6674" t="s">
        <v>35636</v>
      </c>
      <c r="K6674" t="s">
        <v>40670</v>
      </c>
      <c r="M6674" t="s">
        <v>41706</v>
      </c>
      <c r="N6674" t="s">
        <v>44905</v>
      </c>
      <c r="O6674" t="s">
        <v>44906</v>
      </c>
      <c r="P6674">
        <v>0</v>
      </c>
      <c r="Q6674">
        <v>1</v>
      </c>
      <c r="R6674" t="s">
        <v>44909</v>
      </c>
      <c r="S6674" t="s">
        <v>45060</v>
      </c>
      <c r="T6674" t="s">
        <v>46454</v>
      </c>
      <c r="U6674" t="s">
        <v>52367</v>
      </c>
      <c r="W6674" t="s">
        <v>41706</v>
      </c>
      <c r="X6674" t="s">
        <v>44910</v>
      </c>
    </row>
    <row r="6675" spans="1:24">
      <c r="A6675">
        <f>HYPERLINK("https://www.philgeps.gov.ph/GEPSNONPILOT/Tender/SplashBidNoticeAbstractUI.aspx?menuIndex=3&amp;refID=7078428&amp;Result=3","7078428")</f>
        <v>0</v>
      </c>
      <c r="B6675" t="s">
        <v>124</v>
      </c>
      <c r="C6675" t="s">
        <v>9893</v>
      </c>
      <c r="D6675" t="s">
        <v>18146</v>
      </c>
      <c r="E6675" t="s">
        <v>24135</v>
      </c>
      <c r="F6675" t="s">
        <v>31362</v>
      </c>
      <c r="G6675" t="s">
        <v>31368</v>
      </c>
      <c r="H6675" t="s">
        <v>15799</v>
      </c>
      <c r="I6675" t="s">
        <v>31396</v>
      </c>
      <c r="J6675" t="s">
        <v>35637</v>
      </c>
      <c r="K6675" t="s">
        <v>40670</v>
      </c>
      <c r="M6675" t="s">
        <v>42570</v>
      </c>
      <c r="N6675" t="s">
        <v>44905</v>
      </c>
      <c r="O6675" t="s">
        <v>44906</v>
      </c>
      <c r="P6675">
        <v>0</v>
      </c>
      <c r="Q6675">
        <v>6</v>
      </c>
      <c r="R6675" t="s">
        <v>44909</v>
      </c>
      <c r="S6675" t="s">
        <v>45060</v>
      </c>
      <c r="T6675" t="s">
        <v>46409</v>
      </c>
      <c r="U6675" t="s">
        <v>50656</v>
      </c>
      <c r="V6675" t="s">
        <v>59220</v>
      </c>
      <c r="W6675" t="s">
        <v>42570</v>
      </c>
      <c r="X6675" t="s">
        <v>44910</v>
      </c>
    </row>
    <row r="6676" spans="1:24">
      <c r="A6676">
        <f>HYPERLINK("https://www.philgeps.gov.ph/GEPSNONPILOT/Tender/SplashBidNoticeAbstractUI.aspx?menuIndex=3&amp;refID=7078394&amp;Result=3","7078394")</f>
        <v>0</v>
      </c>
      <c r="B6676" t="s">
        <v>1584</v>
      </c>
      <c r="C6676" t="s">
        <v>9894</v>
      </c>
      <c r="D6676" t="s">
        <v>18141</v>
      </c>
      <c r="E6676" t="s">
        <v>24072</v>
      </c>
      <c r="F6676" t="s">
        <v>31362</v>
      </c>
      <c r="G6676" t="s">
        <v>31368</v>
      </c>
      <c r="H6676" t="s">
        <v>15799</v>
      </c>
      <c r="I6676" t="s">
        <v>31377</v>
      </c>
      <c r="J6676" t="s">
        <v>31578</v>
      </c>
      <c r="K6676" t="s">
        <v>40731</v>
      </c>
      <c r="M6676" t="s">
        <v>42639</v>
      </c>
      <c r="N6676" t="s">
        <v>44905</v>
      </c>
      <c r="O6676" t="s">
        <v>44906</v>
      </c>
      <c r="P6676">
        <v>0</v>
      </c>
      <c r="Q6676">
        <v>1</v>
      </c>
      <c r="R6676" t="s">
        <v>44909</v>
      </c>
      <c r="S6676" t="s">
        <v>45060</v>
      </c>
      <c r="T6676" t="s">
        <v>46534</v>
      </c>
      <c r="U6676" t="s">
        <v>52368</v>
      </c>
      <c r="V6676" t="s">
        <v>59506</v>
      </c>
      <c r="W6676" t="s">
        <v>42639</v>
      </c>
      <c r="X6676" t="s">
        <v>44910</v>
      </c>
    </row>
    <row r="6677" spans="1:24">
      <c r="A6677">
        <f>HYPERLINK("https://www.philgeps.gov.ph/GEPSNONPILOT/Tender/SplashBidNoticeAbstractUI.aspx?menuIndex=3&amp;refID=7078399&amp;Result=3","7078399")</f>
        <v>0</v>
      </c>
      <c r="B6677" t="s">
        <v>2052</v>
      </c>
      <c r="C6677" t="s">
        <v>7722</v>
      </c>
      <c r="D6677" t="s">
        <v>18106</v>
      </c>
      <c r="E6677" t="s">
        <v>20179</v>
      </c>
      <c r="F6677" t="s">
        <v>31362</v>
      </c>
      <c r="G6677" t="s">
        <v>31368</v>
      </c>
      <c r="H6677" t="s">
        <v>15799</v>
      </c>
      <c r="I6677" t="s">
        <v>4283</v>
      </c>
      <c r="J6677" t="s">
        <v>31578</v>
      </c>
      <c r="K6677" t="s">
        <v>40697</v>
      </c>
      <c r="M6677" t="s">
        <v>43174</v>
      </c>
      <c r="N6677" t="s">
        <v>44905</v>
      </c>
      <c r="O6677" t="s">
        <v>44906</v>
      </c>
      <c r="P6677">
        <v>0</v>
      </c>
      <c r="Q6677">
        <v>2</v>
      </c>
      <c r="R6677" t="s">
        <v>44909</v>
      </c>
      <c r="S6677" t="s">
        <v>45060</v>
      </c>
      <c r="T6677" t="s">
        <v>46454</v>
      </c>
      <c r="U6677" t="s">
        <v>52369</v>
      </c>
      <c r="W6677" t="s">
        <v>60920</v>
      </c>
      <c r="X6677" t="s">
        <v>44910</v>
      </c>
    </row>
    <row r="6678" spans="1:24">
      <c r="A6678">
        <f>HYPERLINK("https://www.philgeps.gov.ph/GEPSNONPILOT/Tender/SplashBidNoticeAbstractUI.aspx?menuIndex=3&amp;refID=7078424&amp;Result=3","7078424")</f>
        <v>0</v>
      </c>
      <c r="B6678" t="s">
        <v>2051</v>
      </c>
      <c r="C6678" t="s">
        <v>9895</v>
      </c>
      <c r="D6678" t="s">
        <v>18158</v>
      </c>
      <c r="E6678" t="s">
        <v>24136</v>
      </c>
      <c r="F6678" t="s">
        <v>31362</v>
      </c>
      <c r="G6678" t="s">
        <v>31369</v>
      </c>
      <c r="H6678" t="s">
        <v>15799</v>
      </c>
      <c r="I6678" t="s">
        <v>7188</v>
      </c>
      <c r="J6678" t="s">
        <v>32261</v>
      </c>
      <c r="K6678" t="s">
        <v>40665</v>
      </c>
      <c r="M6678" t="s">
        <v>43172</v>
      </c>
      <c r="N6678" t="s">
        <v>44905</v>
      </c>
      <c r="O6678" t="s">
        <v>44906</v>
      </c>
      <c r="P6678">
        <v>0</v>
      </c>
      <c r="Q6678">
        <v>8</v>
      </c>
      <c r="R6678" t="s">
        <v>44909</v>
      </c>
      <c r="S6678" t="s">
        <v>45060</v>
      </c>
      <c r="T6678" t="s">
        <v>46653</v>
      </c>
      <c r="U6678" t="s">
        <v>52370</v>
      </c>
      <c r="W6678" t="s">
        <v>43172</v>
      </c>
      <c r="X6678" t="s">
        <v>44910</v>
      </c>
    </row>
    <row r="6679" spans="1:24">
      <c r="A6679">
        <f>HYPERLINK("https://www.philgeps.gov.ph/GEPSNONPILOT/Tender/SplashBidNoticeAbstractUI.aspx?menuIndex=3&amp;refID=7078421&amp;Result=3","7078421")</f>
        <v>0</v>
      </c>
      <c r="B6679" t="s">
        <v>1566</v>
      </c>
      <c r="C6679" t="s">
        <v>4113</v>
      </c>
      <c r="D6679" t="s">
        <v>18108</v>
      </c>
      <c r="E6679" t="s">
        <v>24137</v>
      </c>
      <c r="F6679" t="s">
        <v>31362</v>
      </c>
      <c r="G6679" t="s">
        <v>31371</v>
      </c>
      <c r="H6679" t="s">
        <v>15799</v>
      </c>
      <c r="I6679" t="s">
        <v>7188</v>
      </c>
      <c r="J6679" t="s">
        <v>31536</v>
      </c>
      <c r="K6679" t="s">
        <v>40662</v>
      </c>
      <c r="M6679" t="s">
        <v>42618</v>
      </c>
      <c r="N6679" t="s">
        <v>44905</v>
      </c>
      <c r="O6679" t="s">
        <v>44906</v>
      </c>
      <c r="P6679">
        <v>0</v>
      </c>
      <c r="Q6679">
        <v>9</v>
      </c>
      <c r="R6679" t="s">
        <v>44909</v>
      </c>
      <c r="S6679" t="s">
        <v>45060</v>
      </c>
      <c r="T6679" t="s">
        <v>46454</v>
      </c>
      <c r="U6679" t="s">
        <v>52371</v>
      </c>
      <c r="W6679" t="s">
        <v>42618</v>
      </c>
      <c r="X6679" t="s">
        <v>44910</v>
      </c>
    </row>
    <row r="6680" spans="1:24">
      <c r="A6680">
        <f>HYPERLINK("https://www.philgeps.gov.ph/GEPSNONPILOT/Tender/SplashBidNoticeAbstractUI.aspx?menuIndex=3&amp;refID=7078427&amp;Result=3","7078427")</f>
        <v>0</v>
      </c>
      <c r="B6680" t="s">
        <v>1011</v>
      </c>
      <c r="C6680" t="s">
        <v>9896</v>
      </c>
      <c r="D6680" t="s">
        <v>18101</v>
      </c>
      <c r="E6680" t="s">
        <v>23047</v>
      </c>
      <c r="F6680" t="s">
        <v>31362</v>
      </c>
      <c r="G6680" t="s">
        <v>31368</v>
      </c>
      <c r="H6680" t="s">
        <v>31378</v>
      </c>
      <c r="I6680" t="s">
        <v>31386</v>
      </c>
      <c r="J6680" t="s">
        <v>32785</v>
      </c>
      <c r="K6680" t="s">
        <v>40665</v>
      </c>
      <c r="M6680" t="s">
        <v>42008</v>
      </c>
      <c r="N6680" t="s">
        <v>44905</v>
      </c>
      <c r="O6680" t="s">
        <v>44906</v>
      </c>
      <c r="P6680">
        <v>0</v>
      </c>
      <c r="Q6680">
        <v>2</v>
      </c>
      <c r="R6680" t="s">
        <v>44909</v>
      </c>
      <c r="S6680" t="s">
        <v>45060</v>
      </c>
      <c r="T6680" t="s">
        <v>46412</v>
      </c>
      <c r="U6680" t="s">
        <v>52372</v>
      </c>
      <c r="V6680" t="s">
        <v>59706</v>
      </c>
      <c r="W6680" t="s">
        <v>42008</v>
      </c>
      <c r="X6680" t="s">
        <v>44910</v>
      </c>
    </row>
    <row r="6681" spans="1:24">
      <c r="A6681">
        <f>HYPERLINK("https://www.philgeps.gov.ph/GEPSNONPILOT/Tender/SplashBidNoticeAbstractUI.aspx?menuIndex=3&amp;refID=7078418&amp;Result=3","7078418")</f>
        <v>0</v>
      </c>
      <c r="B6681" t="s">
        <v>2053</v>
      </c>
      <c r="C6681" t="s">
        <v>9897</v>
      </c>
      <c r="D6681" t="s">
        <v>18122</v>
      </c>
      <c r="E6681" t="s">
        <v>24138</v>
      </c>
      <c r="F6681" t="s">
        <v>31362</v>
      </c>
      <c r="G6681" t="s">
        <v>31369</v>
      </c>
      <c r="H6681" t="s">
        <v>15799</v>
      </c>
      <c r="I6681" t="s">
        <v>3815</v>
      </c>
      <c r="J6681" t="s">
        <v>35638</v>
      </c>
      <c r="K6681" t="s">
        <v>40666</v>
      </c>
      <c r="M6681" t="s">
        <v>43175</v>
      </c>
      <c r="N6681" t="s">
        <v>44905</v>
      </c>
      <c r="O6681" t="s">
        <v>44906</v>
      </c>
      <c r="P6681">
        <v>0</v>
      </c>
      <c r="Q6681">
        <v>1</v>
      </c>
      <c r="R6681" t="s">
        <v>44909</v>
      </c>
      <c r="S6681" t="s">
        <v>45060</v>
      </c>
      <c r="T6681" t="s">
        <v>46735</v>
      </c>
      <c r="U6681" t="s">
        <v>52373</v>
      </c>
      <c r="V6681" t="s">
        <v>59710</v>
      </c>
      <c r="W6681" t="s">
        <v>43175</v>
      </c>
      <c r="X6681" t="s">
        <v>44910</v>
      </c>
    </row>
    <row r="6682" spans="1:24">
      <c r="A6682">
        <f>HYPERLINK("https://www.philgeps.gov.ph/GEPSNONPILOT/Tender/SplashBidNoticeAbstractUI.aspx?menuIndex=3&amp;refID=7078416&amp;Result=3","7078416")</f>
        <v>0</v>
      </c>
      <c r="B6682" t="s">
        <v>2054</v>
      </c>
      <c r="C6682" t="s">
        <v>9898</v>
      </c>
      <c r="D6682" t="s">
        <v>18100</v>
      </c>
      <c r="E6682" t="s">
        <v>24139</v>
      </c>
      <c r="F6682" t="s">
        <v>31362</v>
      </c>
      <c r="G6682" t="s">
        <v>31368</v>
      </c>
      <c r="H6682" t="s">
        <v>15799</v>
      </c>
      <c r="I6682" t="s">
        <v>31385</v>
      </c>
      <c r="J6682" t="s">
        <v>35639</v>
      </c>
      <c r="K6682" t="s">
        <v>40693</v>
      </c>
      <c r="M6682" t="s">
        <v>43176</v>
      </c>
      <c r="N6682" t="s">
        <v>44905</v>
      </c>
      <c r="O6682" t="s">
        <v>44906</v>
      </c>
      <c r="P6682">
        <v>0</v>
      </c>
      <c r="Q6682">
        <v>0</v>
      </c>
      <c r="R6682" t="s">
        <v>44909</v>
      </c>
      <c r="S6682" t="s">
        <v>45060</v>
      </c>
      <c r="T6682" t="s">
        <v>46503</v>
      </c>
      <c r="U6682" t="s">
        <v>47766</v>
      </c>
      <c r="W6682" t="s">
        <v>43176</v>
      </c>
      <c r="X6682" t="s">
        <v>44910</v>
      </c>
    </row>
    <row r="6683" spans="1:24">
      <c r="A6683">
        <f>HYPERLINK("https://www.philgeps.gov.ph/GEPSNONPILOT/Tender/SplashBidNoticeAbstractUI.aspx?menuIndex=3&amp;refID=7078414&amp;Result=3","7078414")</f>
        <v>0</v>
      </c>
      <c r="B6683" t="s">
        <v>760</v>
      </c>
      <c r="C6683" t="s">
        <v>9899</v>
      </c>
      <c r="D6683" t="s">
        <v>18167</v>
      </c>
      <c r="E6683" t="s">
        <v>24140</v>
      </c>
      <c r="F6683" t="s">
        <v>31362</v>
      </c>
      <c r="G6683" t="s">
        <v>31368</v>
      </c>
      <c r="H6683" t="s">
        <v>31379</v>
      </c>
      <c r="I6683" t="s">
        <v>31440</v>
      </c>
      <c r="J6683" t="s">
        <v>35640</v>
      </c>
      <c r="K6683" t="s">
        <v>40675</v>
      </c>
      <c r="M6683" t="s">
        <v>41728</v>
      </c>
      <c r="N6683" t="s">
        <v>44905</v>
      </c>
      <c r="O6683" t="s">
        <v>44906</v>
      </c>
      <c r="P6683">
        <v>0</v>
      </c>
      <c r="Q6683">
        <v>1</v>
      </c>
      <c r="R6683" t="s">
        <v>44909</v>
      </c>
      <c r="S6683" t="s">
        <v>45060</v>
      </c>
      <c r="T6683" t="s">
        <v>46393</v>
      </c>
      <c r="U6683" t="s">
        <v>48437</v>
      </c>
      <c r="W6683" t="s">
        <v>41728</v>
      </c>
      <c r="X6683" t="s">
        <v>44910</v>
      </c>
    </row>
    <row r="6684" spans="1:24">
      <c r="A6684">
        <f>HYPERLINK("https://www.philgeps.gov.ph/GEPSNONPILOT/Tender/SplashBidNoticeAbstractUI.aspx?menuIndex=3&amp;refID=7078397&amp;Result=3","7078397")</f>
        <v>0</v>
      </c>
      <c r="B6684" t="s">
        <v>2039</v>
      </c>
      <c r="C6684" t="s">
        <v>9900</v>
      </c>
      <c r="D6684" t="s">
        <v>18108</v>
      </c>
      <c r="E6684" t="s">
        <v>24141</v>
      </c>
      <c r="F6684" t="s">
        <v>31362</v>
      </c>
      <c r="G6684" t="s">
        <v>31369</v>
      </c>
      <c r="H6684" t="s">
        <v>15799</v>
      </c>
      <c r="I6684" t="s">
        <v>7719</v>
      </c>
      <c r="J6684" t="s">
        <v>35641</v>
      </c>
      <c r="K6684" t="s">
        <v>40665</v>
      </c>
      <c r="M6684" t="s">
        <v>43158</v>
      </c>
      <c r="N6684" t="s">
        <v>44905</v>
      </c>
      <c r="O6684" t="s">
        <v>44906</v>
      </c>
      <c r="P6684">
        <v>0</v>
      </c>
      <c r="Q6684">
        <v>10</v>
      </c>
      <c r="R6684" t="s">
        <v>44909</v>
      </c>
      <c r="S6684" t="s">
        <v>45060</v>
      </c>
      <c r="T6684" t="s">
        <v>46712</v>
      </c>
      <c r="U6684" t="s">
        <v>52307</v>
      </c>
      <c r="V6684" t="s">
        <v>59702</v>
      </c>
      <c r="W6684" t="s">
        <v>43158</v>
      </c>
      <c r="X6684" t="s">
        <v>44910</v>
      </c>
    </row>
    <row r="6685" spans="1:24">
      <c r="A6685">
        <f>HYPERLINK("https://www.philgeps.gov.ph/GEPSNONPILOT/Tender/SplashBidNoticeAbstractUI.aspx?menuIndex=3&amp;refID=7078413&amp;Result=3","7078413")</f>
        <v>0</v>
      </c>
      <c r="B6685" t="s">
        <v>1984</v>
      </c>
      <c r="C6685" t="s">
        <v>9901</v>
      </c>
      <c r="D6685" t="s">
        <v>18107</v>
      </c>
      <c r="E6685" t="s">
        <v>18510</v>
      </c>
      <c r="F6685" t="s">
        <v>31362</v>
      </c>
      <c r="G6685" t="s">
        <v>31370</v>
      </c>
      <c r="H6685" t="s">
        <v>15799</v>
      </c>
      <c r="I6685" t="s">
        <v>31427</v>
      </c>
      <c r="J6685" t="s">
        <v>35642</v>
      </c>
      <c r="K6685" t="s">
        <v>40675</v>
      </c>
      <c r="M6685" t="s">
        <v>43092</v>
      </c>
      <c r="N6685" t="s">
        <v>44905</v>
      </c>
      <c r="O6685" t="s">
        <v>44906</v>
      </c>
      <c r="P6685">
        <v>0</v>
      </c>
      <c r="Q6685">
        <v>10</v>
      </c>
      <c r="R6685" t="s">
        <v>44909</v>
      </c>
      <c r="S6685" t="s">
        <v>45060</v>
      </c>
      <c r="T6685" t="s">
        <v>46454</v>
      </c>
      <c r="U6685" t="s">
        <v>52374</v>
      </c>
      <c r="W6685" t="s">
        <v>43092</v>
      </c>
      <c r="X6685" t="s">
        <v>44910</v>
      </c>
    </row>
    <row r="6686" spans="1:24">
      <c r="A6686">
        <f>HYPERLINK("https://www.philgeps.gov.ph/GEPSNONPILOT/Tender/SplashBidNoticeAbstractUI.aspx?menuIndex=3&amp;refID=7078411&amp;Result=3","7078411")</f>
        <v>0</v>
      </c>
      <c r="B6686" t="s">
        <v>30</v>
      </c>
      <c r="C6686" t="s">
        <v>9902</v>
      </c>
      <c r="D6686" t="s">
        <v>18104</v>
      </c>
      <c r="E6686" t="s">
        <v>24142</v>
      </c>
      <c r="F6686" t="s">
        <v>31362</v>
      </c>
      <c r="G6686" t="s">
        <v>31368</v>
      </c>
      <c r="H6686" t="s">
        <v>15799</v>
      </c>
      <c r="I6686" t="s">
        <v>7719</v>
      </c>
      <c r="J6686" t="s">
        <v>32589</v>
      </c>
      <c r="K6686" t="s">
        <v>40665</v>
      </c>
      <c r="M6686" t="s">
        <v>40964</v>
      </c>
      <c r="N6686" t="s">
        <v>44905</v>
      </c>
      <c r="O6686" t="s">
        <v>44906</v>
      </c>
      <c r="P6686">
        <v>0</v>
      </c>
      <c r="Q6686">
        <v>5</v>
      </c>
      <c r="R6686" t="s">
        <v>44909</v>
      </c>
      <c r="S6686" t="s">
        <v>45060</v>
      </c>
      <c r="T6686" t="s">
        <v>46411</v>
      </c>
      <c r="U6686" t="s">
        <v>52375</v>
      </c>
      <c r="W6686" t="s">
        <v>40964</v>
      </c>
      <c r="X6686" t="s">
        <v>44910</v>
      </c>
    </row>
    <row r="6687" spans="1:24">
      <c r="A6687">
        <f>HYPERLINK("https://www.philgeps.gov.ph/GEPSNONPILOT/Tender/SplashBidNoticeAbstractUI.aspx?menuIndex=3&amp;refID=7078400&amp;Result=3","7078400")</f>
        <v>0</v>
      </c>
      <c r="B6687" t="s">
        <v>117</v>
      </c>
      <c r="C6687" t="s">
        <v>9903</v>
      </c>
      <c r="D6687" t="s">
        <v>18104</v>
      </c>
      <c r="E6687" t="s">
        <v>24143</v>
      </c>
      <c r="F6687" t="s">
        <v>31362</v>
      </c>
      <c r="G6687" t="s">
        <v>31370</v>
      </c>
      <c r="H6687" t="s">
        <v>15799</v>
      </c>
      <c r="I6687" t="s">
        <v>31385</v>
      </c>
      <c r="J6687" t="s">
        <v>35643</v>
      </c>
      <c r="K6687" t="s">
        <v>40662</v>
      </c>
      <c r="M6687" t="s">
        <v>41054</v>
      </c>
      <c r="N6687" t="s">
        <v>44905</v>
      </c>
      <c r="O6687" t="s">
        <v>44906</v>
      </c>
      <c r="P6687">
        <v>0</v>
      </c>
      <c r="Q6687">
        <v>1</v>
      </c>
      <c r="R6687" t="s">
        <v>44909</v>
      </c>
      <c r="S6687" t="s">
        <v>45060</v>
      </c>
      <c r="T6687" t="s">
        <v>46467</v>
      </c>
      <c r="U6687" t="s">
        <v>52376</v>
      </c>
      <c r="W6687" t="s">
        <v>41054</v>
      </c>
      <c r="X6687" t="s">
        <v>44910</v>
      </c>
    </row>
    <row r="6688" spans="1:24">
      <c r="A6688">
        <f>HYPERLINK("https://www.philgeps.gov.ph/GEPSNONPILOT/Tender/SplashBidNoticeAbstractUI.aspx?menuIndex=3&amp;refID=7078410&amp;Result=3","7078410")</f>
        <v>0</v>
      </c>
      <c r="B6688" t="s">
        <v>1066</v>
      </c>
      <c r="C6688" t="s">
        <v>9904</v>
      </c>
      <c r="D6688" t="s">
        <v>18125</v>
      </c>
      <c r="E6688" t="s">
        <v>24144</v>
      </c>
      <c r="F6688" t="s">
        <v>31362</v>
      </c>
      <c r="G6688" t="s">
        <v>31368</v>
      </c>
      <c r="H6688" t="s">
        <v>15799</v>
      </c>
      <c r="I6688" t="s">
        <v>31380</v>
      </c>
      <c r="J6688" t="s">
        <v>31546</v>
      </c>
      <c r="K6688" t="s">
        <v>40670</v>
      </c>
      <c r="M6688" t="s">
        <v>42068</v>
      </c>
      <c r="N6688" t="s">
        <v>44905</v>
      </c>
      <c r="O6688" t="s">
        <v>44906</v>
      </c>
      <c r="P6688">
        <v>0</v>
      </c>
      <c r="Q6688">
        <v>3</v>
      </c>
      <c r="R6688" t="s">
        <v>44909</v>
      </c>
      <c r="S6688" t="s">
        <v>45060</v>
      </c>
      <c r="T6688" t="s">
        <v>46432</v>
      </c>
      <c r="U6688" t="s">
        <v>52377</v>
      </c>
      <c r="W6688" t="s">
        <v>42068</v>
      </c>
      <c r="X6688" t="s">
        <v>44910</v>
      </c>
    </row>
    <row r="6689" spans="1:24">
      <c r="A6689">
        <f>HYPERLINK("https://www.philgeps.gov.ph/GEPSNONPILOT/Tender/SplashBidNoticeAbstractUI.aspx?menuIndex=3&amp;refID=7078409&amp;Result=3","7078409")</f>
        <v>0</v>
      </c>
      <c r="B6689" t="s">
        <v>828</v>
      </c>
      <c r="C6689" t="s">
        <v>9905</v>
      </c>
      <c r="D6689" t="s">
        <v>18148</v>
      </c>
      <c r="E6689" t="s">
        <v>24145</v>
      </c>
      <c r="F6689" t="s">
        <v>31362</v>
      </c>
      <c r="G6689" t="s">
        <v>31369</v>
      </c>
      <c r="H6689" t="s">
        <v>31378</v>
      </c>
      <c r="I6689" t="s">
        <v>31386</v>
      </c>
      <c r="J6689" t="s">
        <v>31530</v>
      </c>
      <c r="K6689" t="s">
        <v>40662</v>
      </c>
      <c r="M6689" t="s">
        <v>41802</v>
      </c>
      <c r="N6689" t="s">
        <v>44905</v>
      </c>
      <c r="O6689" t="s">
        <v>44906</v>
      </c>
      <c r="P6689">
        <v>0</v>
      </c>
      <c r="Q6689">
        <v>0</v>
      </c>
      <c r="R6689" t="s">
        <v>44909</v>
      </c>
      <c r="S6689" t="s">
        <v>45060</v>
      </c>
      <c r="T6689" t="s">
        <v>46391</v>
      </c>
      <c r="U6689" t="s">
        <v>52378</v>
      </c>
      <c r="W6689" t="s">
        <v>41802</v>
      </c>
      <c r="X6689" t="s">
        <v>44910</v>
      </c>
    </row>
    <row r="6690" spans="1:24">
      <c r="A6690">
        <f>HYPERLINK("https://www.philgeps.gov.ph/GEPSNONPILOT/Tender/SplashBidNoticeAbstractUI.aspx?menuIndex=3&amp;refID=7078422&amp;Result=3","7078422")</f>
        <v>0</v>
      </c>
      <c r="B6690" t="s">
        <v>828</v>
      </c>
      <c r="C6690" t="s">
        <v>9906</v>
      </c>
      <c r="D6690" t="s">
        <v>18148</v>
      </c>
      <c r="E6690" t="s">
        <v>24146</v>
      </c>
      <c r="F6690" t="s">
        <v>31362</v>
      </c>
      <c r="G6690" t="s">
        <v>31369</v>
      </c>
      <c r="H6690" t="s">
        <v>31378</v>
      </c>
      <c r="I6690" t="s">
        <v>31386</v>
      </c>
      <c r="J6690" t="s">
        <v>31530</v>
      </c>
      <c r="K6690" t="s">
        <v>40662</v>
      </c>
      <c r="M6690" t="s">
        <v>41802</v>
      </c>
      <c r="N6690" t="s">
        <v>44905</v>
      </c>
      <c r="O6690" t="s">
        <v>44906</v>
      </c>
      <c r="P6690">
        <v>0</v>
      </c>
      <c r="Q6690">
        <v>0</v>
      </c>
      <c r="R6690" t="s">
        <v>44909</v>
      </c>
      <c r="S6690" t="s">
        <v>45060</v>
      </c>
      <c r="T6690" t="s">
        <v>46391</v>
      </c>
      <c r="U6690" t="s">
        <v>52379</v>
      </c>
      <c r="W6690" t="s">
        <v>41802</v>
      </c>
      <c r="X6690" t="s">
        <v>44910</v>
      </c>
    </row>
    <row r="6691" spans="1:24">
      <c r="A6691">
        <f>HYPERLINK("https://www.philgeps.gov.ph/GEPSNONPILOT/Tender/SplashBidNoticeAbstractUI.aspx?menuIndex=3&amp;refID=7078438&amp;Result=3","7078438")</f>
        <v>0</v>
      </c>
      <c r="B6691" t="s">
        <v>124</v>
      </c>
      <c r="C6691" t="s">
        <v>9907</v>
      </c>
      <c r="D6691" t="s">
        <v>18146</v>
      </c>
      <c r="E6691" t="s">
        <v>24147</v>
      </c>
      <c r="F6691" t="s">
        <v>31362</v>
      </c>
      <c r="G6691" t="s">
        <v>31368</v>
      </c>
      <c r="H6691" t="s">
        <v>15799</v>
      </c>
      <c r="I6691" t="s">
        <v>31380</v>
      </c>
      <c r="J6691" t="s">
        <v>32946</v>
      </c>
      <c r="K6691" t="s">
        <v>40670</v>
      </c>
      <c r="M6691" t="s">
        <v>42570</v>
      </c>
      <c r="N6691" t="s">
        <v>44905</v>
      </c>
      <c r="O6691" t="s">
        <v>44906</v>
      </c>
      <c r="P6691">
        <v>0</v>
      </c>
      <c r="Q6691">
        <v>2</v>
      </c>
      <c r="R6691" t="s">
        <v>44909</v>
      </c>
      <c r="S6691" t="s">
        <v>45060</v>
      </c>
      <c r="T6691" t="s">
        <v>46409</v>
      </c>
      <c r="U6691" t="s">
        <v>48141</v>
      </c>
      <c r="V6691" t="s">
        <v>59220</v>
      </c>
      <c r="W6691" t="s">
        <v>42570</v>
      </c>
      <c r="X6691" t="s">
        <v>44910</v>
      </c>
    </row>
    <row r="6692" spans="1:24">
      <c r="A6692">
        <f>HYPERLINK("https://www.philgeps.gov.ph/GEPSNONPILOT/Tender/SplashBidNoticeAbstractUI.aspx?menuIndex=3&amp;refID=7078437&amp;Result=3","7078437")</f>
        <v>0</v>
      </c>
      <c r="B6692" t="s">
        <v>71</v>
      </c>
      <c r="C6692" t="s">
        <v>9908</v>
      </c>
      <c r="D6692" t="s">
        <v>18129</v>
      </c>
      <c r="E6692" t="s">
        <v>24148</v>
      </c>
      <c r="F6692" t="s">
        <v>31362</v>
      </c>
      <c r="G6692" t="s">
        <v>31368</v>
      </c>
      <c r="H6692" t="s">
        <v>15799</v>
      </c>
      <c r="I6692" t="s">
        <v>31430</v>
      </c>
      <c r="J6692" t="s">
        <v>35644</v>
      </c>
      <c r="K6692" t="s">
        <v>40666</v>
      </c>
      <c r="L6692" t="s">
        <v>71</v>
      </c>
      <c r="M6692" t="s">
        <v>41007</v>
      </c>
      <c r="N6692" t="s">
        <v>44905</v>
      </c>
      <c r="O6692" t="s">
        <v>44906</v>
      </c>
      <c r="P6692">
        <v>0</v>
      </c>
      <c r="Q6692">
        <v>0</v>
      </c>
      <c r="R6692" t="s">
        <v>44909</v>
      </c>
      <c r="S6692" t="s">
        <v>45060</v>
      </c>
      <c r="T6692" t="s">
        <v>46414</v>
      </c>
      <c r="U6692" t="s">
        <v>48835</v>
      </c>
      <c r="W6692" t="s">
        <v>41007</v>
      </c>
      <c r="X6692" t="s">
        <v>44910</v>
      </c>
    </row>
    <row r="6693" spans="1:24">
      <c r="A6693">
        <f>HYPERLINK("https://www.philgeps.gov.ph/GEPSNONPILOT/Tender/SplashBidNoticeAbstractUI.aspx?menuIndex=3&amp;refID=7078461&amp;Result=3","7078461")</f>
        <v>0</v>
      </c>
      <c r="B6693" t="s">
        <v>1158</v>
      </c>
      <c r="C6693" t="s">
        <v>9909</v>
      </c>
      <c r="D6693" t="s">
        <v>18109</v>
      </c>
      <c r="E6693" t="s">
        <v>23132</v>
      </c>
      <c r="F6693" t="s">
        <v>31362</v>
      </c>
      <c r="G6693" t="s">
        <v>31368</v>
      </c>
      <c r="H6693" t="s">
        <v>15799</v>
      </c>
      <c r="I6693" t="s">
        <v>6155</v>
      </c>
      <c r="J6693" t="s">
        <v>35645</v>
      </c>
      <c r="K6693" t="s">
        <v>40662</v>
      </c>
      <c r="M6693" t="s">
        <v>42167</v>
      </c>
      <c r="N6693" t="s">
        <v>44905</v>
      </c>
      <c r="O6693" t="s">
        <v>44906</v>
      </c>
      <c r="P6693">
        <v>0</v>
      </c>
      <c r="Q6693">
        <v>17</v>
      </c>
      <c r="R6693" t="s">
        <v>44909</v>
      </c>
      <c r="S6693" t="s">
        <v>45060</v>
      </c>
      <c r="T6693" t="s">
        <v>46447</v>
      </c>
      <c r="U6693" t="s">
        <v>52380</v>
      </c>
      <c r="W6693" t="s">
        <v>42167</v>
      </c>
      <c r="X6693" t="s">
        <v>44910</v>
      </c>
    </row>
    <row r="6694" spans="1:24">
      <c r="A6694">
        <f>HYPERLINK("https://www.philgeps.gov.ph/GEPSNONPILOT/Tender/SplashBidNoticeAbstractUI.aspx?menuIndex=3&amp;refID=7078460&amp;Result=3","7078460")</f>
        <v>0</v>
      </c>
      <c r="B6694" t="s">
        <v>953</v>
      </c>
      <c r="C6694" t="s">
        <v>9910</v>
      </c>
      <c r="D6694" t="s">
        <v>18110</v>
      </c>
      <c r="E6694" t="s">
        <v>24149</v>
      </c>
      <c r="F6694" t="s">
        <v>31362</v>
      </c>
      <c r="G6694" t="s">
        <v>31368</v>
      </c>
      <c r="H6694" t="s">
        <v>15799</v>
      </c>
      <c r="I6694" t="s">
        <v>31384</v>
      </c>
      <c r="J6694" t="s">
        <v>35646</v>
      </c>
      <c r="K6694" t="s">
        <v>40666</v>
      </c>
      <c r="M6694" t="s">
        <v>41941</v>
      </c>
      <c r="N6694" t="s">
        <v>44905</v>
      </c>
      <c r="O6694" t="s">
        <v>44906</v>
      </c>
      <c r="P6694">
        <v>0</v>
      </c>
      <c r="Q6694">
        <v>2</v>
      </c>
      <c r="R6694" t="s">
        <v>44909</v>
      </c>
      <c r="S6694" t="s">
        <v>45060</v>
      </c>
      <c r="T6694" t="s">
        <v>46409</v>
      </c>
      <c r="U6694" t="s">
        <v>51607</v>
      </c>
      <c r="W6694" t="s">
        <v>60898</v>
      </c>
      <c r="X6694" t="s">
        <v>44910</v>
      </c>
    </row>
    <row r="6695" spans="1:24">
      <c r="A6695">
        <f>HYPERLINK("https://www.philgeps.gov.ph/GEPSNONPILOT/Tender/SplashBidNoticeAbstractUI.aspx?menuIndex=3&amp;refID=7078412&amp;Result=3","7078412")</f>
        <v>0</v>
      </c>
      <c r="B6695" t="s">
        <v>508</v>
      </c>
      <c r="C6695" t="s">
        <v>9911</v>
      </c>
      <c r="D6695" t="s">
        <v>18131</v>
      </c>
      <c r="E6695" t="s">
        <v>20373</v>
      </c>
      <c r="F6695" t="s">
        <v>31362</v>
      </c>
      <c r="G6695" t="s">
        <v>31371</v>
      </c>
      <c r="H6695" t="s">
        <v>15799</v>
      </c>
      <c r="I6695" t="s">
        <v>31400</v>
      </c>
      <c r="J6695" t="s">
        <v>31575</v>
      </c>
      <c r="K6695" t="s">
        <v>40662</v>
      </c>
      <c r="M6695" t="s">
        <v>41463</v>
      </c>
      <c r="N6695" t="s">
        <v>44905</v>
      </c>
      <c r="O6695" t="s">
        <v>44906</v>
      </c>
      <c r="P6695">
        <v>0</v>
      </c>
      <c r="Q6695">
        <v>0</v>
      </c>
      <c r="R6695" t="s">
        <v>44909</v>
      </c>
      <c r="S6695" t="s">
        <v>45060</v>
      </c>
      <c r="T6695" t="s">
        <v>46432</v>
      </c>
      <c r="U6695" t="s">
        <v>52381</v>
      </c>
      <c r="W6695" t="s">
        <v>41463</v>
      </c>
      <c r="X6695" t="s">
        <v>44910</v>
      </c>
    </row>
    <row r="6696" spans="1:24">
      <c r="A6696">
        <f>HYPERLINK("https://www.philgeps.gov.ph/GEPSNONPILOT/Tender/SplashBidNoticeAbstractUI.aspx?menuIndex=3&amp;refID=7078458&amp;Result=3","7078458")</f>
        <v>0</v>
      </c>
      <c r="B6696" t="s">
        <v>1700</v>
      </c>
      <c r="C6696" t="s">
        <v>9912</v>
      </c>
      <c r="D6696" t="s">
        <v>18140</v>
      </c>
      <c r="E6696" t="s">
        <v>24150</v>
      </c>
      <c r="F6696" t="s">
        <v>31362</v>
      </c>
      <c r="G6696" t="s">
        <v>31369</v>
      </c>
      <c r="H6696" t="s">
        <v>15799</v>
      </c>
      <c r="I6696" t="s">
        <v>31404</v>
      </c>
      <c r="J6696" t="s">
        <v>35647</v>
      </c>
      <c r="K6696" t="s">
        <v>40670</v>
      </c>
      <c r="M6696" t="s">
        <v>42767</v>
      </c>
      <c r="N6696" t="s">
        <v>44905</v>
      </c>
      <c r="O6696" t="s">
        <v>44906</v>
      </c>
      <c r="P6696">
        <v>0</v>
      </c>
      <c r="Q6696">
        <v>0</v>
      </c>
      <c r="R6696" t="s">
        <v>44909</v>
      </c>
      <c r="S6696" t="s">
        <v>45060</v>
      </c>
      <c r="T6696" t="s">
        <v>46506</v>
      </c>
      <c r="U6696" t="s">
        <v>52382</v>
      </c>
      <c r="V6696" t="s">
        <v>59711</v>
      </c>
      <c r="W6696" t="s">
        <v>42767</v>
      </c>
      <c r="X6696" t="s">
        <v>44910</v>
      </c>
    </row>
    <row r="6697" spans="1:24">
      <c r="A6697">
        <f>HYPERLINK("https://www.philgeps.gov.ph/GEPSNONPILOT/Tender/SplashBidNoticeAbstractUI.aspx?menuIndex=3&amp;refID=7078457&amp;Result=3","7078457")</f>
        <v>0</v>
      </c>
      <c r="B6697" t="s">
        <v>335</v>
      </c>
      <c r="C6697" t="s">
        <v>9913</v>
      </c>
      <c r="D6697" t="s">
        <v>18108</v>
      </c>
      <c r="E6697" t="s">
        <v>24151</v>
      </c>
      <c r="F6697" t="s">
        <v>31362</v>
      </c>
      <c r="G6697" t="s">
        <v>31368</v>
      </c>
      <c r="H6697" t="s">
        <v>15799</v>
      </c>
      <c r="I6697" t="s">
        <v>31430</v>
      </c>
      <c r="J6697" t="s">
        <v>35648</v>
      </c>
      <c r="K6697" t="s">
        <v>40661</v>
      </c>
      <c r="M6697" t="s">
        <v>43136</v>
      </c>
      <c r="N6697" t="s">
        <v>44905</v>
      </c>
      <c r="O6697" t="s">
        <v>44906</v>
      </c>
      <c r="P6697">
        <v>0</v>
      </c>
      <c r="Q6697">
        <v>0</v>
      </c>
      <c r="R6697" t="s">
        <v>44909</v>
      </c>
      <c r="S6697" t="s">
        <v>45060</v>
      </c>
      <c r="T6697" t="s">
        <v>46447</v>
      </c>
      <c r="U6697" t="s">
        <v>47522</v>
      </c>
      <c r="W6697" t="s">
        <v>43136</v>
      </c>
      <c r="X6697" t="s">
        <v>44910</v>
      </c>
    </row>
    <row r="6698" spans="1:24">
      <c r="A6698">
        <f>HYPERLINK("https://www.philgeps.gov.ph/GEPSNONPILOT/Tender/SplashBidNoticeAbstractUI.aspx?menuIndex=3&amp;refID=7078417&amp;Result=3","7078417")</f>
        <v>0</v>
      </c>
      <c r="B6698" t="s">
        <v>2003</v>
      </c>
      <c r="C6698" t="s">
        <v>9914</v>
      </c>
      <c r="D6698" t="s">
        <v>18111</v>
      </c>
      <c r="E6698" t="s">
        <v>24152</v>
      </c>
      <c r="F6698" t="s">
        <v>31362</v>
      </c>
      <c r="G6698" t="s">
        <v>31370</v>
      </c>
      <c r="H6698" t="s">
        <v>15799</v>
      </c>
      <c r="I6698" t="s">
        <v>6373</v>
      </c>
      <c r="J6698" t="s">
        <v>34630</v>
      </c>
      <c r="K6698" t="s">
        <v>40672</v>
      </c>
      <c r="M6698" t="s">
        <v>43114</v>
      </c>
      <c r="N6698" t="s">
        <v>44905</v>
      </c>
      <c r="O6698" t="s">
        <v>44906</v>
      </c>
      <c r="P6698">
        <v>0</v>
      </c>
      <c r="Q6698">
        <v>2</v>
      </c>
      <c r="R6698" t="s">
        <v>44909</v>
      </c>
      <c r="S6698" t="s">
        <v>45060</v>
      </c>
      <c r="T6698" t="s">
        <v>46408</v>
      </c>
      <c r="U6698" t="s">
        <v>52383</v>
      </c>
      <c r="W6698" t="s">
        <v>43114</v>
      </c>
      <c r="X6698" t="s">
        <v>44910</v>
      </c>
    </row>
    <row r="6699" spans="1:24">
      <c r="A6699">
        <f>HYPERLINK("https://www.philgeps.gov.ph/GEPSNONPILOT/Tender/SplashBidNoticeAbstractUI.aspx?menuIndex=3&amp;refID=7078455&amp;Result=3","7078455")</f>
        <v>0</v>
      </c>
      <c r="B6699" t="s">
        <v>2055</v>
      </c>
      <c r="C6699" t="s">
        <v>9915</v>
      </c>
      <c r="D6699" t="s">
        <v>18108</v>
      </c>
      <c r="E6699" t="s">
        <v>24153</v>
      </c>
      <c r="F6699" t="s">
        <v>31362</v>
      </c>
      <c r="G6699" t="s">
        <v>31370</v>
      </c>
      <c r="H6699" t="s">
        <v>31379</v>
      </c>
      <c r="I6699" t="s">
        <v>12925</v>
      </c>
      <c r="J6699" t="s">
        <v>33680</v>
      </c>
      <c r="K6699" t="s">
        <v>40723</v>
      </c>
      <c r="M6699" t="s">
        <v>43177</v>
      </c>
      <c r="N6699" t="s">
        <v>44905</v>
      </c>
      <c r="O6699" t="s">
        <v>44906</v>
      </c>
      <c r="P6699">
        <v>0</v>
      </c>
      <c r="Q6699">
        <v>5</v>
      </c>
      <c r="R6699" t="s">
        <v>44909</v>
      </c>
      <c r="S6699" t="s">
        <v>45060</v>
      </c>
      <c r="T6699" t="s">
        <v>46416</v>
      </c>
      <c r="U6699" t="s">
        <v>52384</v>
      </c>
      <c r="V6699" t="s">
        <v>59712</v>
      </c>
      <c r="W6699" t="s">
        <v>43177</v>
      </c>
      <c r="X6699" t="s">
        <v>44910</v>
      </c>
    </row>
    <row r="6700" spans="1:24">
      <c r="A6700">
        <f>HYPERLINK("https://www.philgeps.gov.ph/GEPSNONPILOT/Tender/SplashBidNoticeAbstractUI.aspx?menuIndex=3&amp;refID=7078453&amp;Result=3","7078453")</f>
        <v>0</v>
      </c>
      <c r="B6700" t="s">
        <v>2056</v>
      </c>
      <c r="C6700" t="s">
        <v>9916</v>
      </c>
      <c r="D6700" t="s">
        <v>18177</v>
      </c>
      <c r="E6700" t="s">
        <v>19313</v>
      </c>
      <c r="F6700" t="s">
        <v>31362</v>
      </c>
      <c r="G6700" t="s">
        <v>31369</v>
      </c>
      <c r="H6700" t="s">
        <v>31378</v>
      </c>
      <c r="I6700" t="s">
        <v>31449</v>
      </c>
      <c r="J6700" t="s">
        <v>35649</v>
      </c>
      <c r="K6700" t="s">
        <v>40679</v>
      </c>
      <c r="M6700" t="s">
        <v>43178</v>
      </c>
      <c r="N6700" t="s">
        <v>44905</v>
      </c>
      <c r="O6700" t="s">
        <v>44906</v>
      </c>
      <c r="P6700">
        <v>0</v>
      </c>
      <c r="Q6700">
        <v>0</v>
      </c>
      <c r="R6700" t="s">
        <v>44909</v>
      </c>
      <c r="S6700" t="s">
        <v>45060</v>
      </c>
      <c r="T6700" t="s">
        <v>46696</v>
      </c>
      <c r="U6700" t="s">
        <v>52385</v>
      </c>
      <c r="W6700" t="s">
        <v>43178</v>
      </c>
      <c r="X6700" t="s">
        <v>44910</v>
      </c>
    </row>
    <row r="6701" spans="1:24">
      <c r="A6701">
        <f>HYPERLINK("https://www.philgeps.gov.ph/GEPSNONPILOT/Tender/SplashBidNoticeAbstractUI.aspx?menuIndex=3&amp;refID=7078452&amp;Result=3","7078452")</f>
        <v>0</v>
      </c>
      <c r="B6701" t="s">
        <v>1158</v>
      </c>
      <c r="C6701" t="s">
        <v>9917</v>
      </c>
      <c r="D6701" t="s">
        <v>18109</v>
      </c>
      <c r="E6701" t="s">
        <v>24154</v>
      </c>
      <c r="F6701" t="s">
        <v>31362</v>
      </c>
      <c r="G6701" t="s">
        <v>31368</v>
      </c>
      <c r="H6701" t="s">
        <v>15799</v>
      </c>
      <c r="I6701" t="s">
        <v>31385</v>
      </c>
      <c r="J6701" t="s">
        <v>35650</v>
      </c>
      <c r="K6701" t="s">
        <v>40662</v>
      </c>
      <c r="M6701" t="s">
        <v>42167</v>
      </c>
      <c r="N6701" t="s">
        <v>44905</v>
      </c>
      <c r="O6701" t="s">
        <v>44906</v>
      </c>
      <c r="P6701">
        <v>0</v>
      </c>
      <c r="Q6701">
        <v>2</v>
      </c>
      <c r="R6701" t="s">
        <v>44909</v>
      </c>
      <c r="S6701" t="s">
        <v>45060</v>
      </c>
      <c r="T6701" t="s">
        <v>46447</v>
      </c>
      <c r="U6701" t="s">
        <v>52386</v>
      </c>
      <c r="W6701" t="s">
        <v>42167</v>
      </c>
      <c r="X6701" t="s">
        <v>44910</v>
      </c>
    </row>
    <row r="6702" spans="1:24">
      <c r="A6702">
        <f>HYPERLINK("https://www.philgeps.gov.ph/GEPSNONPILOT/Tender/SplashBidNoticeAbstractUI.aspx?menuIndex=3&amp;refID=7078449&amp;Result=3","7078449")</f>
        <v>0</v>
      </c>
      <c r="B6702" t="s">
        <v>335</v>
      </c>
      <c r="C6702" t="s">
        <v>9918</v>
      </c>
      <c r="D6702" t="s">
        <v>18108</v>
      </c>
      <c r="E6702" t="s">
        <v>24155</v>
      </c>
      <c r="F6702" t="s">
        <v>31362</v>
      </c>
      <c r="G6702" t="s">
        <v>31368</v>
      </c>
      <c r="H6702" t="s">
        <v>15799</v>
      </c>
      <c r="I6702" t="s">
        <v>4942</v>
      </c>
      <c r="J6702" t="s">
        <v>35651</v>
      </c>
      <c r="K6702" t="s">
        <v>40661</v>
      </c>
      <c r="M6702" t="s">
        <v>43136</v>
      </c>
      <c r="N6702" t="s">
        <v>44905</v>
      </c>
      <c r="O6702" t="s">
        <v>44906</v>
      </c>
      <c r="P6702">
        <v>0</v>
      </c>
      <c r="Q6702">
        <v>1</v>
      </c>
      <c r="R6702" t="s">
        <v>44909</v>
      </c>
      <c r="S6702" t="s">
        <v>45060</v>
      </c>
      <c r="T6702" t="s">
        <v>46447</v>
      </c>
      <c r="U6702" t="s">
        <v>47496</v>
      </c>
      <c r="W6702" t="s">
        <v>43136</v>
      </c>
      <c r="X6702" t="s">
        <v>44910</v>
      </c>
    </row>
    <row r="6703" spans="1:24">
      <c r="A6703">
        <f>HYPERLINK("https://www.philgeps.gov.ph/GEPSNONPILOT/Tender/SplashBidNoticeAbstractUI.aspx?menuIndex=3&amp;refID=7078448&amp;Result=3","7078448")</f>
        <v>0</v>
      </c>
      <c r="B6703" t="s">
        <v>2051</v>
      </c>
      <c r="C6703" t="s">
        <v>9919</v>
      </c>
      <c r="D6703" t="s">
        <v>18158</v>
      </c>
      <c r="E6703" t="s">
        <v>24156</v>
      </c>
      <c r="F6703" t="s">
        <v>31362</v>
      </c>
      <c r="G6703" t="s">
        <v>31369</v>
      </c>
      <c r="H6703" t="s">
        <v>15799</v>
      </c>
      <c r="I6703" t="s">
        <v>7188</v>
      </c>
      <c r="J6703" t="s">
        <v>31715</v>
      </c>
      <c r="K6703" t="s">
        <v>40665</v>
      </c>
      <c r="M6703" t="s">
        <v>43172</v>
      </c>
      <c r="N6703" t="s">
        <v>44905</v>
      </c>
      <c r="O6703" t="s">
        <v>44906</v>
      </c>
      <c r="P6703">
        <v>0</v>
      </c>
      <c r="Q6703">
        <v>1</v>
      </c>
      <c r="R6703" t="s">
        <v>44909</v>
      </c>
      <c r="S6703" t="s">
        <v>45060</v>
      </c>
      <c r="T6703" t="s">
        <v>46439</v>
      </c>
      <c r="U6703" t="s">
        <v>52387</v>
      </c>
      <c r="W6703" t="s">
        <v>43172</v>
      </c>
      <c r="X6703" t="s">
        <v>44910</v>
      </c>
    </row>
    <row r="6704" spans="1:24">
      <c r="A6704">
        <f>HYPERLINK("https://www.philgeps.gov.ph/GEPSNONPILOT/Tender/SplashBidNoticeAbstractUI.aspx?menuIndex=3&amp;refID=7078447&amp;Result=3","7078447")</f>
        <v>0</v>
      </c>
      <c r="B6704" t="s">
        <v>1738</v>
      </c>
      <c r="C6704" t="s">
        <v>9920</v>
      </c>
      <c r="D6704" t="s">
        <v>18173</v>
      </c>
      <c r="E6704" t="s">
        <v>24157</v>
      </c>
      <c r="F6704" t="s">
        <v>31362</v>
      </c>
      <c r="G6704" t="s">
        <v>31369</v>
      </c>
      <c r="H6704" t="s">
        <v>15799</v>
      </c>
      <c r="I6704" t="s">
        <v>3815</v>
      </c>
      <c r="J6704" t="s">
        <v>35652</v>
      </c>
      <c r="K6704" t="s">
        <v>40665</v>
      </c>
      <c r="M6704" t="s">
        <v>42812</v>
      </c>
      <c r="N6704" t="s">
        <v>44905</v>
      </c>
      <c r="O6704" t="s">
        <v>44906</v>
      </c>
      <c r="P6704">
        <v>0</v>
      </c>
      <c r="Q6704">
        <v>0</v>
      </c>
      <c r="R6704" t="s">
        <v>44909</v>
      </c>
      <c r="S6704" t="s">
        <v>45060</v>
      </c>
      <c r="T6704" t="s">
        <v>46704</v>
      </c>
      <c r="U6704" t="s">
        <v>51237</v>
      </c>
      <c r="W6704" t="s">
        <v>42812</v>
      </c>
      <c r="X6704" t="s">
        <v>44910</v>
      </c>
    </row>
    <row r="6705" spans="1:24">
      <c r="A6705">
        <f>HYPERLINK("https://www.philgeps.gov.ph/GEPSNONPILOT/Tender/SplashBidNoticeAbstractUI.aspx?menuIndex=3&amp;refID=7078456&amp;Result=3","7078456")</f>
        <v>0</v>
      </c>
      <c r="B6705" t="s">
        <v>1554</v>
      </c>
      <c r="C6705" t="s">
        <v>9921</v>
      </c>
      <c r="D6705" t="s">
        <v>18108</v>
      </c>
      <c r="E6705" t="s">
        <v>24158</v>
      </c>
      <c r="F6705" t="s">
        <v>31362</v>
      </c>
      <c r="G6705" t="s">
        <v>31368</v>
      </c>
      <c r="H6705" t="s">
        <v>15799</v>
      </c>
      <c r="I6705" t="s">
        <v>31504</v>
      </c>
      <c r="J6705" t="s">
        <v>35653</v>
      </c>
      <c r="K6705" t="s">
        <v>40666</v>
      </c>
      <c r="L6705" t="s">
        <v>1554</v>
      </c>
      <c r="M6705" t="s">
        <v>42604</v>
      </c>
      <c r="N6705" t="s">
        <v>44905</v>
      </c>
      <c r="O6705" t="s">
        <v>44906</v>
      </c>
      <c r="P6705">
        <v>0</v>
      </c>
      <c r="Q6705">
        <v>10</v>
      </c>
      <c r="R6705" t="s">
        <v>44909</v>
      </c>
      <c r="S6705" t="s">
        <v>45060</v>
      </c>
      <c r="T6705" t="s">
        <v>46454</v>
      </c>
      <c r="U6705" t="s">
        <v>52388</v>
      </c>
      <c r="V6705" t="s">
        <v>59713</v>
      </c>
      <c r="W6705" t="s">
        <v>42604</v>
      </c>
      <c r="X6705" t="s">
        <v>44910</v>
      </c>
    </row>
    <row r="6706" spans="1:24">
      <c r="A6706">
        <f>HYPERLINK("https://www.philgeps.gov.ph/GEPSNONPILOT/Tender/SplashBidNoticeAbstractUI.aspx?menuIndex=3&amp;refID=7078419&amp;Result=3","7078419")</f>
        <v>0</v>
      </c>
      <c r="B6706" t="s">
        <v>1158</v>
      </c>
      <c r="C6706" t="s">
        <v>9922</v>
      </c>
      <c r="D6706" t="s">
        <v>18109</v>
      </c>
      <c r="E6706" t="s">
        <v>10823</v>
      </c>
      <c r="F6706" t="s">
        <v>31362</v>
      </c>
      <c r="G6706" t="s">
        <v>31368</v>
      </c>
      <c r="H6706" t="s">
        <v>15799</v>
      </c>
      <c r="I6706" t="s">
        <v>31451</v>
      </c>
      <c r="J6706" t="s">
        <v>31626</v>
      </c>
      <c r="K6706" t="s">
        <v>40662</v>
      </c>
      <c r="M6706" t="s">
        <v>42167</v>
      </c>
      <c r="N6706" t="s">
        <v>44905</v>
      </c>
      <c r="O6706" t="s">
        <v>44906</v>
      </c>
      <c r="P6706">
        <v>0</v>
      </c>
      <c r="Q6706">
        <v>0</v>
      </c>
      <c r="R6706" t="s">
        <v>44909</v>
      </c>
      <c r="S6706" t="s">
        <v>45060</v>
      </c>
      <c r="T6706" t="s">
        <v>46434</v>
      </c>
      <c r="U6706" t="s">
        <v>48084</v>
      </c>
      <c r="W6706" t="s">
        <v>42167</v>
      </c>
      <c r="X6706" t="s">
        <v>44910</v>
      </c>
    </row>
    <row r="6707" spans="1:24">
      <c r="A6707">
        <f>HYPERLINK("https://www.philgeps.gov.ph/GEPSNONPILOT/Tender/SplashBidNoticeAbstractUI.aspx?menuIndex=3&amp;refID=7078444&amp;Result=3","7078444")</f>
        <v>0</v>
      </c>
      <c r="B6707" t="s">
        <v>1388</v>
      </c>
      <c r="C6707" t="s">
        <v>9923</v>
      </c>
      <c r="E6707" t="s">
        <v>21613</v>
      </c>
      <c r="F6707" t="s">
        <v>31362</v>
      </c>
      <c r="G6707" t="s">
        <v>31369</v>
      </c>
      <c r="H6707" t="s">
        <v>15799</v>
      </c>
      <c r="I6707" t="s">
        <v>31380</v>
      </c>
      <c r="J6707" t="s">
        <v>35654</v>
      </c>
      <c r="K6707" t="s">
        <v>40662</v>
      </c>
      <c r="M6707" t="s">
        <v>42413</v>
      </c>
      <c r="N6707" t="s">
        <v>44905</v>
      </c>
      <c r="O6707" t="s">
        <v>44906</v>
      </c>
      <c r="P6707">
        <v>0</v>
      </c>
      <c r="Q6707">
        <v>0</v>
      </c>
      <c r="R6707" t="s">
        <v>44909</v>
      </c>
      <c r="S6707" t="s">
        <v>45060</v>
      </c>
      <c r="T6707" t="s">
        <v>46538</v>
      </c>
      <c r="U6707" t="s">
        <v>52389</v>
      </c>
      <c r="W6707" t="s">
        <v>42413</v>
      </c>
      <c r="X6707" t="s">
        <v>44910</v>
      </c>
    </row>
    <row r="6708" spans="1:24">
      <c r="A6708">
        <f>HYPERLINK("https://www.philgeps.gov.ph/GEPSNONPILOT/Tender/SplashBidNoticeAbstractUI.aspx?menuIndex=3&amp;refID=7078454&amp;Result=3","7078454")</f>
        <v>0</v>
      </c>
      <c r="B6708" t="s">
        <v>1388</v>
      </c>
      <c r="C6708" t="s">
        <v>9924</v>
      </c>
      <c r="E6708" t="s">
        <v>21613</v>
      </c>
      <c r="F6708" t="s">
        <v>31362</v>
      </c>
      <c r="G6708" t="s">
        <v>31369</v>
      </c>
      <c r="H6708" t="s">
        <v>15799</v>
      </c>
      <c r="I6708" t="s">
        <v>3815</v>
      </c>
      <c r="J6708" t="s">
        <v>35655</v>
      </c>
      <c r="K6708" t="s">
        <v>40662</v>
      </c>
      <c r="M6708" t="s">
        <v>42413</v>
      </c>
      <c r="N6708" t="s">
        <v>44905</v>
      </c>
      <c r="O6708" t="s">
        <v>44906</v>
      </c>
      <c r="P6708">
        <v>0</v>
      </c>
      <c r="Q6708">
        <v>0</v>
      </c>
      <c r="R6708" t="s">
        <v>44909</v>
      </c>
      <c r="S6708" t="s">
        <v>45060</v>
      </c>
      <c r="T6708" t="s">
        <v>46538</v>
      </c>
      <c r="U6708" t="s">
        <v>52389</v>
      </c>
      <c r="W6708" t="s">
        <v>42413</v>
      </c>
      <c r="X6708" t="s">
        <v>44910</v>
      </c>
    </row>
    <row r="6709" spans="1:24">
      <c r="A6709">
        <f>HYPERLINK("https://www.philgeps.gov.ph/GEPSNONPILOT/Tender/SplashBidNoticeAbstractUI.aspx?menuIndex=3&amp;refID=7078443&amp;Result=3","7078443")</f>
        <v>0</v>
      </c>
      <c r="B6709" t="s">
        <v>2003</v>
      </c>
      <c r="C6709" t="s">
        <v>9925</v>
      </c>
      <c r="D6709" t="s">
        <v>18111</v>
      </c>
      <c r="E6709" t="s">
        <v>24159</v>
      </c>
      <c r="F6709" t="s">
        <v>31362</v>
      </c>
      <c r="G6709" t="s">
        <v>31370</v>
      </c>
      <c r="H6709" t="s">
        <v>15799</v>
      </c>
      <c r="I6709" t="s">
        <v>6373</v>
      </c>
      <c r="J6709" t="s">
        <v>34630</v>
      </c>
      <c r="K6709" t="s">
        <v>40672</v>
      </c>
      <c r="M6709" t="s">
        <v>43114</v>
      </c>
      <c r="N6709" t="s">
        <v>44905</v>
      </c>
      <c r="O6709" t="s">
        <v>44906</v>
      </c>
      <c r="P6709">
        <v>0</v>
      </c>
      <c r="Q6709">
        <v>3</v>
      </c>
      <c r="R6709" t="s">
        <v>44909</v>
      </c>
      <c r="S6709" t="s">
        <v>45060</v>
      </c>
      <c r="T6709" t="s">
        <v>46408</v>
      </c>
      <c r="U6709" t="s">
        <v>52390</v>
      </c>
      <c r="W6709" t="s">
        <v>43114</v>
      </c>
      <c r="X6709" t="s">
        <v>44910</v>
      </c>
    </row>
    <row r="6710" spans="1:24">
      <c r="A6710">
        <f>HYPERLINK("https://www.philgeps.gov.ph/GEPSNONPILOT/Tender/SplashBidNoticeAbstractUI.aspx?menuIndex=3&amp;refID=7078497&amp;Result=3","7078497")</f>
        <v>0</v>
      </c>
      <c r="B6710" t="s">
        <v>169</v>
      </c>
      <c r="C6710" t="s">
        <v>9926</v>
      </c>
      <c r="D6710" t="s">
        <v>18108</v>
      </c>
      <c r="E6710" t="s">
        <v>24160</v>
      </c>
      <c r="F6710" t="s">
        <v>31362</v>
      </c>
      <c r="G6710" t="s">
        <v>31368</v>
      </c>
      <c r="H6710" t="s">
        <v>15799</v>
      </c>
      <c r="I6710" t="s">
        <v>7090</v>
      </c>
      <c r="J6710" t="s">
        <v>34168</v>
      </c>
      <c r="K6710" t="s">
        <v>40665</v>
      </c>
      <c r="M6710" t="s">
        <v>42654</v>
      </c>
      <c r="N6710" t="s">
        <v>44905</v>
      </c>
      <c r="O6710" t="s">
        <v>44906</v>
      </c>
      <c r="P6710">
        <v>0</v>
      </c>
      <c r="Q6710">
        <v>4</v>
      </c>
      <c r="R6710" t="s">
        <v>44909</v>
      </c>
      <c r="S6710" t="s">
        <v>45060</v>
      </c>
      <c r="T6710" t="s">
        <v>46411</v>
      </c>
      <c r="U6710" t="s">
        <v>52391</v>
      </c>
      <c r="W6710" t="s">
        <v>42654</v>
      </c>
      <c r="X6710" t="s">
        <v>44910</v>
      </c>
    </row>
    <row r="6711" spans="1:24">
      <c r="A6711">
        <f>HYPERLINK("https://www.philgeps.gov.ph/GEPSNONPILOT/Tender/SplashBidNoticeAbstractUI.aspx?menuIndex=3&amp;refID=7078459&amp;Result=3","7078459")</f>
        <v>0</v>
      </c>
      <c r="B6711" t="s">
        <v>81</v>
      </c>
      <c r="C6711" t="s">
        <v>9927</v>
      </c>
      <c r="E6711" t="s">
        <v>24161</v>
      </c>
      <c r="F6711" t="s">
        <v>31362</v>
      </c>
      <c r="G6711" t="s">
        <v>31369</v>
      </c>
      <c r="H6711" t="s">
        <v>15799</v>
      </c>
      <c r="I6711" t="s">
        <v>7719</v>
      </c>
      <c r="J6711" t="s">
        <v>32028</v>
      </c>
      <c r="K6711" t="s">
        <v>40662</v>
      </c>
      <c r="M6711" t="s">
        <v>41999</v>
      </c>
      <c r="N6711" t="s">
        <v>44905</v>
      </c>
      <c r="O6711" t="s">
        <v>44906</v>
      </c>
      <c r="Q6711">
        <v>4</v>
      </c>
      <c r="R6711" t="s">
        <v>44909</v>
      </c>
      <c r="S6711" t="s">
        <v>45074</v>
      </c>
      <c r="T6711" t="s">
        <v>46593</v>
      </c>
      <c r="U6711" t="s">
        <v>52392</v>
      </c>
      <c r="W6711" t="s">
        <v>41999</v>
      </c>
      <c r="X6711" t="s">
        <v>44910</v>
      </c>
    </row>
    <row r="6712" spans="1:24">
      <c r="A6712">
        <f>HYPERLINK("https://www.philgeps.gov.ph/GEPSNONPILOT/Tender/SplashBidNoticeAbstractUI.aspx?menuIndex=3&amp;refID=7078372&amp;Result=3","7078372")</f>
        <v>0</v>
      </c>
      <c r="B6712" t="s">
        <v>640</v>
      </c>
      <c r="C6712" t="s">
        <v>9928</v>
      </c>
      <c r="D6712" t="s">
        <v>18156</v>
      </c>
      <c r="E6712" t="s">
        <v>24162</v>
      </c>
      <c r="F6712" t="s">
        <v>31362</v>
      </c>
      <c r="G6712" t="s">
        <v>31369</v>
      </c>
      <c r="H6712" t="s">
        <v>15799</v>
      </c>
      <c r="I6712" t="s">
        <v>31409</v>
      </c>
      <c r="J6712" t="s">
        <v>35656</v>
      </c>
      <c r="K6712" t="s">
        <v>40665</v>
      </c>
      <c r="M6712" t="s">
        <v>41600</v>
      </c>
      <c r="N6712" t="s">
        <v>44905</v>
      </c>
      <c r="O6712" t="s">
        <v>44906</v>
      </c>
      <c r="P6712">
        <v>0</v>
      </c>
      <c r="Q6712">
        <v>3</v>
      </c>
      <c r="R6712" t="s">
        <v>44909</v>
      </c>
      <c r="S6712" t="s">
        <v>45060</v>
      </c>
      <c r="T6712" t="s">
        <v>46580</v>
      </c>
      <c r="U6712" t="s">
        <v>52393</v>
      </c>
      <c r="V6712" t="s">
        <v>59714</v>
      </c>
      <c r="W6712" t="s">
        <v>41600</v>
      </c>
      <c r="X6712" t="s">
        <v>44910</v>
      </c>
    </row>
    <row r="6713" spans="1:24">
      <c r="A6713">
        <f>HYPERLINK("https://www.philgeps.gov.ph/GEPSNONPILOT/Tender/SplashBidNoticeAbstractUI.aspx?menuIndex=3&amp;refID=7078445&amp;Result=3","7078445")</f>
        <v>0</v>
      </c>
      <c r="B6713" t="s">
        <v>2057</v>
      </c>
      <c r="C6713" t="s">
        <v>9929</v>
      </c>
      <c r="D6713" t="s">
        <v>18103</v>
      </c>
      <c r="E6713" t="s">
        <v>20328</v>
      </c>
      <c r="F6713" t="s">
        <v>31362</v>
      </c>
      <c r="G6713" t="s">
        <v>31368</v>
      </c>
      <c r="H6713" t="s">
        <v>31379</v>
      </c>
      <c r="I6713" t="s">
        <v>3582</v>
      </c>
      <c r="J6713" t="s">
        <v>35657</v>
      </c>
      <c r="K6713" t="s">
        <v>40712</v>
      </c>
      <c r="M6713" t="s">
        <v>43179</v>
      </c>
      <c r="N6713" t="s">
        <v>44905</v>
      </c>
      <c r="O6713" t="s">
        <v>44906</v>
      </c>
      <c r="P6713">
        <v>0</v>
      </c>
      <c r="Q6713">
        <v>3</v>
      </c>
      <c r="R6713" t="s">
        <v>44909</v>
      </c>
      <c r="S6713" t="s">
        <v>45060</v>
      </c>
      <c r="T6713" t="s">
        <v>46406</v>
      </c>
      <c r="U6713" t="s">
        <v>52394</v>
      </c>
      <c r="W6713" t="s">
        <v>43179</v>
      </c>
      <c r="X6713" t="s">
        <v>44910</v>
      </c>
    </row>
    <row r="6714" spans="1:24">
      <c r="A6714">
        <f>HYPERLINK("https://www.philgeps.gov.ph/GEPSNONPILOT/Tender/SplashBidNoticeAbstractUI.aspx?menuIndex=3&amp;refID=7078493&amp;Result=3","7078493")</f>
        <v>0</v>
      </c>
      <c r="B6714" t="s">
        <v>2053</v>
      </c>
      <c r="C6714" t="s">
        <v>9930</v>
      </c>
      <c r="D6714" t="s">
        <v>18122</v>
      </c>
      <c r="E6714" t="s">
        <v>24163</v>
      </c>
      <c r="F6714" t="s">
        <v>31362</v>
      </c>
      <c r="G6714" t="s">
        <v>31369</v>
      </c>
      <c r="H6714" t="s">
        <v>15799</v>
      </c>
      <c r="I6714" t="s">
        <v>3815</v>
      </c>
      <c r="J6714" t="s">
        <v>33254</v>
      </c>
      <c r="K6714" t="s">
        <v>40666</v>
      </c>
      <c r="M6714" t="s">
        <v>43175</v>
      </c>
      <c r="N6714" t="s">
        <v>44905</v>
      </c>
      <c r="O6714" t="s">
        <v>44906</v>
      </c>
      <c r="P6714">
        <v>0</v>
      </c>
      <c r="Q6714">
        <v>1</v>
      </c>
      <c r="R6714" t="s">
        <v>44909</v>
      </c>
      <c r="S6714" t="s">
        <v>45060</v>
      </c>
      <c r="T6714" t="s">
        <v>46549</v>
      </c>
      <c r="U6714" t="s">
        <v>52395</v>
      </c>
      <c r="V6714" t="s">
        <v>59715</v>
      </c>
      <c r="W6714" t="s">
        <v>43175</v>
      </c>
      <c r="X6714" t="s">
        <v>44910</v>
      </c>
    </row>
    <row r="6715" spans="1:24">
      <c r="A6715">
        <f>HYPERLINK("https://www.philgeps.gov.ph/GEPSNONPILOT/Tender/SplashBidNoticeAbstractUI.aspx?menuIndex=3&amp;refID=7078488&amp;Result=3","7078488")</f>
        <v>0</v>
      </c>
      <c r="B6715" t="s">
        <v>2058</v>
      </c>
      <c r="C6715" t="s">
        <v>9931</v>
      </c>
      <c r="D6715" t="s">
        <v>18158</v>
      </c>
      <c r="E6715" t="s">
        <v>24164</v>
      </c>
      <c r="F6715" t="s">
        <v>31362</v>
      </c>
      <c r="G6715" t="s">
        <v>31370</v>
      </c>
      <c r="H6715" t="s">
        <v>15799</v>
      </c>
      <c r="I6715" t="s">
        <v>31411</v>
      </c>
      <c r="J6715" t="s">
        <v>31536</v>
      </c>
      <c r="K6715" t="s">
        <v>40672</v>
      </c>
      <c r="M6715" t="s">
        <v>43180</v>
      </c>
      <c r="N6715" t="s">
        <v>44905</v>
      </c>
      <c r="O6715" t="s">
        <v>44906</v>
      </c>
      <c r="P6715">
        <v>0</v>
      </c>
      <c r="Q6715">
        <v>2</v>
      </c>
      <c r="R6715" t="s">
        <v>44909</v>
      </c>
      <c r="S6715" t="s">
        <v>45060</v>
      </c>
      <c r="T6715" t="s">
        <v>46409</v>
      </c>
      <c r="U6715" t="s">
        <v>52396</v>
      </c>
      <c r="W6715" t="s">
        <v>43180</v>
      </c>
      <c r="X6715" t="s">
        <v>44910</v>
      </c>
    </row>
    <row r="6716" spans="1:24">
      <c r="A6716">
        <f>HYPERLINK("https://www.philgeps.gov.ph/GEPSNONPILOT/Tender/SplashBidNoticeAbstractUI.aspx?menuIndex=3&amp;refID=7078492&amp;Result=3","7078492")</f>
        <v>0</v>
      </c>
      <c r="B6716" t="s">
        <v>169</v>
      </c>
      <c r="C6716" t="s">
        <v>9932</v>
      </c>
      <c r="D6716" t="s">
        <v>18108</v>
      </c>
      <c r="E6716" t="s">
        <v>24165</v>
      </c>
      <c r="F6716" t="s">
        <v>31362</v>
      </c>
      <c r="G6716" t="s">
        <v>31368</v>
      </c>
      <c r="H6716" t="s">
        <v>15799</v>
      </c>
      <c r="I6716" t="s">
        <v>31435</v>
      </c>
      <c r="J6716" t="s">
        <v>35658</v>
      </c>
      <c r="K6716" t="s">
        <v>40677</v>
      </c>
      <c r="M6716" t="s">
        <v>42654</v>
      </c>
      <c r="N6716" t="s">
        <v>44905</v>
      </c>
      <c r="O6716" t="s">
        <v>44906</v>
      </c>
      <c r="P6716">
        <v>0</v>
      </c>
      <c r="Q6716">
        <v>0</v>
      </c>
      <c r="R6716" t="s">
        <v>44909</v>
      </c>
      <c r="S6716" t="s">
        <v>45060</v>
      </c>
      <c r="T6716" t="s">
        <v>46411</v>
      </c>
      <c r="U6716" t="s">
        <v>52397</v>
      </c>
      <c r="W6716" t="s">
        <v>42654</v>
      </c>
      <c r="X6716" t="s">
        <v>44910</v>
      </c>
    </row>
    <row r="6717" spans="1:24">
      <c r="A6717">
        <f>HYPERLINK("https://www.philgeps.gov.ph/GEPSNONPILOT/Tender/SplashBidNoticeAbstractUI.aspx?menuIndex=3&amp;refID=7078487&amp;Result=3","7078487")</f>
        <v>0</v>
      </c>
      <c r="B6717" t="s">
        <v>519</v>
      </c>
      <c r="C6717" t="s">
        <v>9933</v>
      </c>
      <c r="D6717" t="s">
        <v>18104</v>
      </c>
      <c r="E6717" t="s">
        <v>24166</v>
      </c>
      <c r="F6717" t="s">
        <v>31362</v>
      </c>
      <c r="G6717" t="s">
        <v>31368</v>
      </c>
      <c r="H6717" t="s">
        <v>15799</v>
      </c>
      <c r="I6717" t="s">
        <v>7719</v>
      </c>
      <c r="J6717" t="s">
        <v>35659</v>
      </c>
      <c r="K6717" t="s">
        <v>40665</v>
      </c>
      <c r="M6717" t="s">
        <v>41475</v>
      </c>
      <c r="N6717" t="s">
        <v>44905</v>
      </c>
      <c r="O6717" t="s">
        <v>44906</v>
      </c>
      <c r="P6717">
        <v>0</v>
      </c>
      <c r="Q6717">
        <v>21</v>
      </c>
      <c r="R6717" t="s">
        <v>44909</v>
      </c>
      <c r="S6717" t="s">
        <v>45060</v>
      </c>
      <c r="T6717" t="s">
        <v>46434</v>
      </c>
      <c r="U6717" t="s">
        <v>52398</v>
      </c>
      <c r="W6717" t="s">
        <v>41475</v>
      </c>
      <c r="X6717" t="s">
        <v>44910</v>
      </c>
    </row>
    <row r="6718" spans="1:24">
      <c r="A6718">
        <f>HYPERLINK("https://www.philgeps.gov.ph/GEPSNONPILOT/Tender/SplashBidNoticeAbstractUI.aspx?menuIndex=3&amp;refID=7078481&amp;Result=3","7078481")</f>
        <v>0</v>
      </c>
      <c r="B6718" t="s">
        <v>2059</v>
      </c>
      <c r="C6718" t="s">
        <v>9934</v>
      </c>
      <c r="D6718" t="s">
        <v>18110</v>
      </c>
      <c r="E6718" t="s">
        <v>24167</v>
      </c>
      <c r="F6718" t="s">
        <v>31362</v>
      </c>
      <c r="G6718" t="s">
        <v>31368</v>
      </c>
      <c r="H6718" t="s">
        <v>15799</v>
      </c>
      <c r="I6718" t="s">
        <v>31380</v>
      </c>
      <c r="J6718" t="s">
        <v>35660</v>
      </c>
      <c r="K6718" t="s">
        <v>40682</v>
      </c>
      <c r="M6718" t="s">
        <v>43181</v>
      </c>
      <c r="N6718" t="s">
        <v>44905</v>
      </c>
      <c r="O6718" t="s">
        <v>44906</v>
      </c>
      <c r="P6718">
        <v>0</v>
      </c>
      <c r="Q6718">
        <v>0</v>
      </c>
      <c r="R6718" t="s">
        <v>44909</v>
      </c>
      <c r="S6718" t="s">
        <v>45060</v>
      </c>
      <c r="T6718" t="s">
        <v>46400</v>
      </c>
      <c r="U6718" t="s">
        <v>52399</v>
      </c>
      <c r="W6718" t="s">
        <v>43181</v>
      </c>
      <c r="X6718" t="s">
        <v>44910</v>
      </c>
    </row>
    <row r="6719" spans="1:24">
      <c r="A6719">
        <f>HYPERLINK("https://www.philgeps.gov.ph/GEPSNONPILOT/Tender/SplashBidNoticeAbstractUI.aspx?menuIndex=3&amp;refID=7078446&amp;Result=3","7078446")</f>
        <v>0</v>
      </c>
      <c r="B6719" t="s">
        <v>1158</v>
      </c>
      <c r="C6719" t="s">
        <v>9935</v>
      </c>
      <c r="D6719" t="s">
        <v>18109</v>
      </c>
      <c r="E6719" t="s">
        <v>20179</v>
      </c>
      <c r="F6719" t="s">
        <v>31362</v>
      </c>
      <c r="G6719" t="s">
        <v>31371</v>
      </c>
      <c r="H6719" t="s">
        <v>15799</v>
      </c>
      <c r="I6719" t="s">
        <v>31385</v>
      </c>
      <c r="J6719" t="s">
        <v>35661</v>
      </c>
      <c r="K6719" t="s">
        <v>40662</v>
      </c>
      <c r="M6719" t="s">
        <v>42167</v>
      </c>
      <c r="N6719" t="s">
        <v>44905</v>
      </c>
      <c r="O6719" t="s">
        <v>44906</v>
      </c>
      <c r="P6719">
        <v>0</v>
      </c>
      <c r="Q6719">
        <v>3</v>
      </c>
      <c r="R6719" t="s">
        <v>44909</v>
      </c>
      <c r="S6719" t="s">
        <v>45060</v>
      </c>
      <c r="T6719" t="s">
        <v>46447</v>
      </c>
      <c r="U6719" t="s">
        <v>52400</v>
      </c>
      <c r="W6719" t="s">
        <v>42167</v>
      </c>
      <c r="X6719" t="s">
        <v>44910</v>
      </c>
    </row>
    <row r="6720" spans="1:24">
      <c r="A6720">
        <f>HYPERLINK("https://www.philgeps.gov.ph/GEPSNONPILOT/Tender/SplashBidNoticeAbstractUI.aspx?menuIndex=3&amp;refID=7078496&amp;Result=3","7078496")</f>
        <v>0</v>
      </c>
      <c r="B6720" t="s">
        <v>71</v>
      </c>
      <c r="C6720" t="s">
        <v>9936</v>
      </c>
      <c r="D6720" t="s">
        <v>18129</v>
      </c>
      <c r="E6720" t="s">
        <v>24168</v>
      </c>
      <c r="F6720" t="s">
        <v>31362</v>
      </c>
      <c r="G6720" t="s">
        <v>31368</v>
      </c>
      <c r="H6720" t="s">
        <v>15799</v>
      </c>
      <c r="I6720" t="s">
        <v>7090</v>
      </c>
      <c r="J6720" t="s">
        <v>35662</v>
      </c>
      <c r="K6720" t="s">
        <v>40666</v>
      </c>
      <c r="L6720" t="s">
        <v>71</v>
      </c>
      <c r="M6720" t="s">
        <v>41007</v>
      </c>
      <c r="N6720" t="s">
        <v>44905</v>
      </c>
      <c r="O6720" t="s">
        <v>44906</v>
      </c>
      <c r="P6720">
        <v>0</v>
      </c>
      <c r="Q6720">
        <v>0</v>
      </c>
      <c r="R6720" t="s">
        <v>44909</v>
      </c>
      <c r="S6720" t="s">
        <v>45060</v>
      </c>
      <c r="T6720" t="s">
        <v>46414</v>
      </c>
      <c r="U6720" t="s">
        <v>51091</v>
      </c>
      <c r="W6720" t="s">
        <v>41007</v>
      </c>
      <c r="X6720" t="s">
        <v>44910</v>
      </c>
    </row>
    <row r="6721" spans="1:24">
      <c r="A6721">
        <f>HYPERLINK("https://www.philgeps.gov.ph/GEPSNONPILOT/Tender/SplashBidNoticeAbstractUI.aspx?menuIndex=3&amp;refID=7078479&amp;Result=3","7078479")</f>
        <v>0</v>
      </c>
      <c r="B6721" t="s">
        <v>2060</v>
      </c>
      <c r="C6721" t="s">
        <v>9937</v>
      </c>
      <c r="D6721" t="s">
        <v>18138</v>
      </c>
      <c r="E6721" t="s">
        <v>24169</v>
      </c>
      <c r="F6721" t="s">
        <v>31362</v>
      </c>
      <c r="G6721" t="s">
        <v>31368</v>
      </c>
      <c r="H6721" t="s">
        <v>31379</v>
      </c>
      <c r="I6721" t="s">
        <v>31480</v>
      </c>
      <c r="J6721" t="s">
        <v>35663</v>
      </c>
      <c r="K6721" t="s">
        <v>40729</v>
      </c>
      <c r="M6721" t="s">
        <v>43182</v>
      </c>
      <c r="N6721" t="s">
        <v>44905</v>
      </c>
      <c r="O6721" t="s">
        <v>44906</v>
      </c>
      <c r="P6721">
        <v>0</v>
      </c>
      <c r="Q6721">
        <v>0</v>
      </c>
      <c r="R6721" t="s">
        <v>44909</v>
      </c>
      <c r="S6721" t="s">
        <v>45060</v>
      </c>
      <c r="T6721" t="s">
        <v>46454</v>
      </c>
      <c r="U6721" t="s">
        <v>52401</v>
      </c>
      <c r="V6721" t="s">
        <v>59716</v>
      </c>
      <c r="W6721" t="s">
        <v>43182</v>
      </c>
      <c r="X6721" t="s">
        <v>44910</v>
      </c>
    </row>
    <row r="6722" spans="1:24">
      <c r="A6722">
        <f>HYPERLINK("https://www.philgeps.gov.ph/GEPSNONPILOT/Tender/SplashBidNoticeAbstractUI.aspx?menuIndex=3&amp;refID=7078494&amp;Result=3","7078494")</f>
        <v>0</v>
      </c>
      <c r="B6722" t="s">
        <v>2061</v>
      </c>
      <c r="C6722" t="s">
        <v>9938</v>
      </c>
      <c r="D6722" t="s">
        <v>18100</v>
      </c>
      <c r="E6722" t="s">
        <v>24170</v>
      </c>
      <c r="F6722" t="s">
        <v>31362</v>
      </c>
      <c r="G6722" t="s">
        <v>31369</v>
      </c>
      <c r="H6722" t="s">
        <v>31378</v>
      </c>
      <c r="I6722" t="s">
        <v>31386</v>
      </c>
      <c r="J6722" t="s">
        <v>35664</v>
      </c>
      <c r="K6722" t="s">
        <v>40774</v>
      </c>
      <c r="M6722" t="s">
        <v>43183</v>
      </c>
      <c r="N6722" t="s">
        <v>44905</v>
      </c>
      <c r="O6722" t="s">
        <v>44906</v>
      </c>
      <c r="P6722">
        <v>0</v>
      </c>
      <c r="Q6722">
        <v>2</v>
      </c>
      <c r="R6722" t="s">
        <v>44909</v>
      </c>
      <c r="S6722" t="s">
        <v>45060</v>
      </c>
      <c r="T6722" t="s">
        <v>46464</v>
      </c>
      <c r="U6722" t="s">
        <v>52402</v>
      </c>
      <c r="W6722" t="s">
        <v>43183</v>
      </c>
      <c r="X6722" t="s">
        <v>44910</v>
      </c>
    </row>
    <row r="6723" spans="1:24">
      <c r="A6723">
        <f>HYPERLINK("https://www.philgeps.gov.ph/GEPSNONPILOT/Tender/SplashBidNoticeAbstractUI.aspx?menuIndex=3&amp;refID=7078476&amp;Result=3","7078476")</f>
        <v>0</v>
      </c>
      <c r="B6723" t="s">
        <v>1738</v>
      </c>
      <c r="C6723" t="s">
        <v>9939</v>
      </c>
      <c r="D6723" t="s">
        <v>18173</v>
      </c>
      <c r="E6723" t="s">
        <v>18218</v>
      </c>
      <c r="F6723" t="s">
        <v>31362</v>
      </c>
      <c r="G6723" t="s">
        <v>31369</v>
      </c>
      <c r="H6723" t="s">
        <v>15799</v>
      </c>
      <c r="I6723" t="s">
        <v>31409</v>
      </c>
      <c r="J6723" t="s">
        <v>35665</v>
      </c>
      <c r="K6723" t="s">
        <v>40665</v>
      </c>
      <c r="M6723" t="s">
        <v>42812</v>
      </c>
      <c r="N6723" t="s">
        <v>44905</v>
      </c>
      <c r="O6723" t="s">
        <v>44906</v>
      </c>
      <c r="P6723">
        <v>0</v>
      </c>
      <c r="Q6723">
        <v>0</v>
      </c>
      <c r="R6723" t="s">
        <v>44909</v>
      </c>
      <c r="S6723" t="s">
        <v>45060</v>
      </c>
      <c r="T6723" t="s">
        <v>46704</v>
      </c>
      <c r="U6723" t="s">
        <v>51237</v>
      </c>
      <c r="W6723" t="s">
        <v>42812</v>
      </c>
      <c r="X6723" t="s">
        <v>44910</v>
      </c>
    </row>
    <row r="6724" spans="1:24">
      <c r="A6724">
        <f>HYPERLINK("https://www.philgeps.gov.ph/GEPSNONPILOT/Tender/SplashBidNoticeAbstractUI.aspx?menuIndex=3&amp;refID=7078473&amp;Result=3","7078473")</f>
        <v>0</v>
      </c>
      <c r="B6724" t="s">
        <v>953</v>
      </c>
      <c r="C6724" t="s">
        <v>9940</v>
      </c>
      <c r="D6724" t="s">
        <v>18110</v>
      </c>
      <c r="E6724" t="s">
        <v>24171</v>
      </c>
      <c r="F6724" t="s">
        <v>31362</v>
      </c>
      <c r="G6724" t="s">
        <v>31370</v>
      </c>
      <c r="H6724" t="s">
        <v>15799</v>
      </c>
      <c r="I6724" t="s">
        <v>31380</v>
      </c>
      <c r="J6724" t="s">
        <v>35666</v>
      </c>
      <c r="K6724" t="s">
        <v>40666</v>
      </c>
      <c r="M6724" t="s">
        <v>41941</v>
      </c>
      <c r="N6724" t="s">
        <v>44905</v>
      </c>
      <c r="O6724" t="s">
        <v>44906</v>
      </c>
      <c r="P6724">
        <v>0</v>
      </c>
      <c r="Q6724">
        <v>3</v>
      </c>
      <c r="R6724" t="s">
        <v>44909</v>
      </c>
      <c r="S6724" t="s">
        <v>45060</v>
      </c>
      <c r="T6724" t="s">
        <v>46409</v>
      </c>
      <c r="U6724" t="s">
        <v>52403</v>
      </c>
      <c r="W6724" t="s">
        <v>60898</v>
      </c>
      <c r="X6724" t="s">
        <v>44910</v>
      </c>
    </row>
    <row r="6725" spans="1:24">
      <c r="A6725">
        <f>HYPERLINK("https://www.philgeps.gov.ph/GEPSNONPILOT/Tender/SplashBidNoticeAbstractUI.aspx?menuIndex=3&amp;refID=7078505&amp;Result=3","7078505")</f>
        <v>0</v>
      </c>
      <c r="B6725" t="s">
        <v>865</v>
      </c>
      <c r="C6725" t="s">
        <v>9941</v>
      </c>
      <c r="D6725" t="s">
        <v>18174</v>
      </c>
      <c r="E6725" t="s">
        <v>24172</v>
      </c>
      <c r="F6725" t="s">
        <v>31362</v>
      </c>
      <c r="G6725" t="s">
        <v>31368</v>
      </c>
      <c r="H6725" t="s">
        <v>31379</v>
      </c>
      <c r="I6725" t="s">
        <v>31386</v>
      </c>
      <c r="J6725" t="s">
        <v>31578</v>
      </c>
      <c r="K6725" t="s">
        <v>40675</v>
      </c>
      <c r="M6725" t="s">
        <v>41841</v>
      </c>
      <c r="N6725" t="s">
        <v>44905</v>
      </c>
      <c r="O6725" t="s">
        <v>44906</v>
      </c>
      <c r="P6725">
        <v>0</v>
      </c>
      <c r="Q6725">
        <v>0</v>
      </c>
      <c r="R6725" t="s">
        <v>44909</v>
      </c>
      <c r="S6725" t="s">
        <v>45060</v>
      </c>
      <c r="T6725" t="s">
        <v>46504</v>
      </c>
      <c r="U6725" t="s">
        <v>52404</v>
      </c>
      <c r="W6725" t="s">
        <v>41841</v>
      </c>
      <c r="X6725" t="s">
        <v>44910</v>
      </c>
    </row>
    <row r="6726" spans="1:24">
      <c r="A6726">
        <f>HYPERLINK("https://www.philgeps.gov.ph/GEPSNONPILOT/Tender/SplashBidNoticeAbstractUI.aspx?menuIndex=3&amp;refID=7078463&amp;Result=3","7078463")</f>
        <v>0</v>
      </c>
      <c r="B6726" t="s">
        <v>1738</v>
      </c>
      <c r="C6726" t="s">
        <v>9942</v>
      </c>
      <c r="D6726" t="s">
        <v>18173</v>
      </c>
      <c r="E6726" t="s">
        <v>24173</v>
      </c>
      <c r="F6726" t="s">
        <v>31362</v>
      </c>
      <c r="G6726" t="s">
        <v>31369</v>
      </c>
      <c r="H6726" t="s">
        <v>31378</v>
      </c>
      <c r="I6726" t="s">
        <v>31386</v>
      </c>
      <c r="J6726" t="s">
        <v>35667</v>
      </c>
      <c r="K6726" t="s">
        <v>40694</v>
      </c>
      <c r="M6726" t="s">
        <v>42812</v>
      </c>
      <c r="N6726" t="s">
        <v>44905</v>
      </c>
      <c r="O6726" t="s">
        <v>44906</v>
      </c>
      <c r="P6726">
        <v>0</v>
      </c>
      <c r="Q6726">
        <v>0</v>
      </c>
      <c r="R6726" t="s">
        <v>44909</v>
      </c>
      <c r="S6726" t="s">
        <v>45060</v>
      </c>
      <c r="T6726" t="s">
        <v>46704</v>
      </c>
      <c r="U6726" t="s">
        <v>51237</v>
      </c>
      <c r="W6726" t="s">
        <v>42812</v>
      </c>
      <c r="X6726" t="s">
        <v>44910</v>
      </c>
    </row>
    <row r="6727" spans="1:24">
      <c r="A6727">
        <f>HYPERLINK("https://www.philgeps.gov.ph/GEPSNONPILOT/Tender/SplashBidNoticeAbstractUI.aspx?menuIndex=3&amp;refID=7078482&amp;Result=3","7078482")</f>
        <v>0</v>
      </c>
      <c r="B6727" t="s">
        <v>2061</v>
      </c>
      <c r="C6727" t="s">
        <v>9943</v>
      </c>
      <c r="D6727" t="s">
        <v>18100</v>
      </c>
      <c r="E6727" t="s">
        <v>24174</v>
      </c>
      <c r="F6727" t="s">
        <v>31362</v>
      </c>
      <c r="G6727" t="s">
        <v>31369</v>
      </c>
      <c r="H6727" t="s">
        <v>31378</v>
      </c>
      <c r="I6727" t="s">
        <v>31386</v>
      </c>
      <c r="J6727" t="s">
        <v>35668</v>
      </c>
      <c r="K6727" t="s">
        <v>40774</v>
      </c>
      <c r="M6727" t="s">
        <v>43183</v>
      </c>
      <c r="N6727" t="s">
        <v>44905</v>
      </c>
      <c r="O6727" t="s">
        <v>44906</v>
      </c>
      <c r="P6727">
        <v>0</v>
      </c>
      <c r="Q6727">
        <v>1</v>
      </c>
      <c r="R6727" t="s">
        <v>44909</v>
      </c>
      <c r="S6727" t="s">
        <v>45060</v>
      </c>
      <c r="T6727" t="s">
        <v>46464</v>
      </c>
      <c r="U6727" t="s">
        <v>52405</v>
      </c>
      <c r="W6727" t="s">
        <v>43183</v>
      </c>
      <c r="X6727" t="s">
        <v>44910</v>
      </c>
    </row>
    <row r="6728" spans="1:24">
      <c r="A6728">
        <f>HYPERLINK("https://www.philgeps.gov.ph/GEPSNONPILOT/Tender/SplashBidNoticeAbstractUI.aspx?menuIndex=3&amp;refID=7078528&amp;Result=3","7078528")</f>
        <v>0</v>
      </c>
      <c r="B6728" t="s">
        <v>138</v>
      </c>
      <c r="C6728" t="s">
        <v>9944</v>
      </c>
      <c r="D6728" t="s">
        <v>18108</v>
      </c>
      <c r="E6728" t="s">
        <v>24175</v>
      </c>
      <c r="F6728" t="s">
        <v>31362</v>
      </c>
      <c r="G6728" t="s">
        <v>31368</v>
      </c>
      <c r="H6728" t="s">
        <v>31379</v>
      </c>
      <c r="I6728" t="s">
        <v>31453</v>
      </c>
      <c r="J6728" t="s">
        <v>31591</v>
      </c>
      <c r="K6728" t="s">
        <v>40665</v>
      </c>
      <c r="M6728" t="s">
        <v>41076</v>
      </c>
      <c r="N6728" t="s">
        <v>44905</v>
      </c>
      <c r="O6728" t="s">
        <v>44906</v>
      </c>
      <c r="P6728">
        <v>0</v>
      </c>
      <c r="Q6728">
        <v>8</v>
      </c>
      <c r="R6728" t="s">
        <v>44909</v>
      </c>
      <c r="S6728" t="s">
        <v>45060</v>
      </c>
      <c r="T6728" t="s">
        <v>46443</v>
      </c>
      <c r="U6728" t="s">
        <v>52406</v>
      </c>
      <c r="W6728" t="s">
        <v>41076</v>
      </c>
      <c r="X6728" t="s">
        <v>44910</v>
      </c>
    </row>
    <row r="6729" spans="1:24">
      <c r="A6729">
        <f>HYPERLINK("https://www.philgeps.gov.ph/GEPSNONPILOT/Tender/SplashBidNoticeAbstractUI.aspx?menuIndex=3&amp;refID=7078480&amp;Result=3","7078480")</f>
        <v>0</v>
      </c>
      <c r="B6729" t="s">
        <v>1738</v>
      </c>
      <c r="C6729" t="s">
        <v>9945</v>
      </c>
      <c r="D6729" t="s">
        <v>18173</v>
      </c>
      <c r="E6729" t="s">
        <v>21595</v>
      </c>
      <c r="F6729" t="s">
        <v>31362</v>
      </c>
      <c r="G6729" t="s">
        <v>31369</v>
      </c>
      <c r="H6729" t="s">
        <v>15799</v>
      </c>
      <c r="I6729" t="s">
        <v>31409</v>
      </c>
      <c r="J6729" t="s">
        <v>31586</v>
      </c>
      <c r="K6729" t="s">
        <v>40665</v>
      </c>
      <c r="M6729" t="s">
        <v>42812</v>
      </c>
      <c r="N6729" t="s">
        <v>44905</v>
      </c>
      <c r="O6729" t="s">
        <v>44906</v>
      </c>
      <c r="P6729">
        <v>0</v>
      </c>
      <c r="Q6729">
        <v>0</v>
      </c>
      <c r="R6729" t="s">
        <v>44909</v>
      </c>
      <c r="S6729" t="s">
        <v>45060</v>
      </c>
      <c r="T6729" t="s">
        <v>46704</v>
      </c>
      <c r="U6729" t="s">
        <v>51237</v>
      </c>
      <c r="W6729" t="s">
        <v>42812</v>
      </c>
      <c r="X6729" t="s">
        <v>44910</v>
      </c>
    </row>
    <row r="6730" spans="1:24">
      <c r="A6730">
        <f>HYPERLINK("https://www.philgeps.gov.ph/GEPSNONPILOT/Tender/SplashBidNoticeAbstractUI.aspx?menuIndex=3&amp;refID=7078527&amp;Result=3","7078527")</f>
        <v>0</v>
      </c>
      <c r="B6730" t="s">
        <v>2062</v>
      </c>
      <c r="C6730" t="s">
        <v>9946</v>
      </c>
      <c r="D6730" t="s">
        <v>18177</v>
      </c>
      <c r="E6730" t="s">
        <v>19313</v>
      </c>
      <c r="F6730" t="s">
        <v>31362</v>
      </c>
      <c r="G6730" t="s">
        <v>31369</v>
      </c>
      <c r="H6730" t="s">
        <v>31378</v>
      </c>
      <c r="I6730" t="s">
        <v>31449</v>
      </c>
      <c r="J6730" t="s">
        <v>35669</v>
      </c>
      <c r="K6730" t="s">
        <v>40679</v>
      </c>
      <c r="M6730" t="s">
        <v>43184</v>
      </c>
      <c r="N6730" t="s">
        <v>44905</v>
      </c>
      <c r="O6730" t="s">
        <v>44906</v>
      </c>
      <c r="P6730">
        <v>0</v>
      </c>
      <c r="Q6730">
        <v>0</v>
      </c>
      <c r="R6730" t="s">
        <v>44909</v>
      </c>
      <c r="S6730" t="s">
        <v>45060</v>
      </c>
      <c r="T6730" t="s">
        <v>46464</v>
      </c>
      <c r="U6730" t="s">
        <v>52407</v>
      </c>
      <c r="W6730" t="s">
        <v>43184</v>
      </c>
      <c r="X6730" t="s">
        <v>44910</v>
      </c>
    </row>
    <row r="6731" spans="1:24">
      <c r="A6731">
        <f>HYPERLINK("https://www.philgeps.gov.ph/GEPSNONPILOT/Tender/SplashBidNoticeAbstractUI.aspx?menuIndex=3&amp;refID=7078526&amp;Result=3","7078526")</f>
        <v>0</v>
      </c>
      <c r="B6731" t="s">
        <v>497</v>
      </c>
      <c r="C6731" t="s">
        <v>9947</v>
      </c>
      <c r="D6731" t="s">
        <v>18181</v>
      </c>
      <c r="E6731" t="s">
        <v>24176</v>
      </c>
      <c r="F6731" t="s">
        <v>31362</v>
      </c>
      <c r="G6731" t="s">
        <v>31368</v>
      </c>
      <c r="H6731" t="s">
        <v>15799</v>
      </c>
      <c r="I6731" t="s">
        <v>31409</v>
      </c>
      <c r="J6731" t="s">
        <v>31577</v>
      </c>
      <c r="K6731" t="s">
        <v>40662</v>
      </c>
      <c r="M6731" t="s">
        <v>41452</v>
      </c>
      <c r="N6731" t="s">
        <v>44905</v>
      </c>
      <c r="O6731" t="s">
        <v>44906</v>
      </c>
      <c r="P6731">
        <v>0</v>
      </c>
      <c r="Q6731">
        <v>0</v>
      </c>
      <c r="R6731" t="s">
        <v>44909</v>
      </c>
      <c r="S6731" t="s">
        <v>45060</v>
      </c>
      <c r="T6731" t="s">
        <v>46414</v>
      </c>
      <c r="U6731" t="s">
        <v>52408</v>
      </c>
      <c r="W6731" t="s">
        <v>41452</v>
      </c>
      <c r="X6731" t="s">
        <v>44910</v>
      </c>
    </row>
    <row r="6732" spans="1:24">
      <c r="A6732">
        <f>HYPERLINK("https://www.philgeps.gov.ph/GEPSNONPILOT/Tender/SplashBidNoticeAbstractUI.aspx?menuIndex=3&amp;refID=7078523&amp;Result=3","7078523")</f>
        <v>0</v>
      </c>
      <c r="B6732" t="s">
        <v>1601</v>
      </c>
      <c r="C6732" t="s">
        <v>9948</v>
      </c>
      <c r="D6732" t="s">
        <v>18100</v>
      </c>
      <c r="E6732" t="s">
        <v>24177</v>
      </c>
      <c r="F6732" t="s">
        <v>31362</v>
      </c>
      <c r="G6732" t="s">
        <v>31369</v>
      </c>
      <c r="H6732" t="s">
        <v>31379</v>
      </c>
      <c r="I6732" t="s">
        <v>31421</v>
      </c>
      <c r="J6732" t="s">
        <v>32252</v>
      </c>
      <c r="K6732" t="s">
        <v>40693</v>
      </c>
      <c r="M6732" t="s">
        <v>42660</v>
      </c>
      <c r="N6732" t="s">
        <v>44905</v>
      </c>
      <c r="O6732" t="s">
        <v>44906</v>
      </c>
      <c r="P6732">
        <v>0</v>
      </c>
      <c r="Q6732">
        <v>0</v>
      </c>
      <c r="R6732" t="s">
        <v>44909</v>
      </c>
      <c r="S6732" t="s">
        <v>45060</v>
      </c>
      <c r="T6732" t="s">
        <v>46403</v>
      </c>
      <c r="U6732" t="s">
        <v>52409</v>
      </c>
      <c r="W6732" t="s">
        <v>42660</v>
      </c>
      <c r="X6732" t="s">
        <v>44910</v>
      </c>
    </row>
    <row r="6733" spans="1:24">
      <c r="A6733">
        <f>HYPERLINK("https://www.philgeps.gov.ph/GEPSNONPILOT/Tender/SplashBidNoticeAbstractUI.aspx?menuIndex=3&amp;refID=7078522&amp;Result=3","7078522")</f>
        <v>0</v>
      </c>
      <c r="B6733" t="s">
        <v>1982</v>
      </c>
      <c r="C6733" t="s">
        <v>9949</v>
      </c>
      <c r="D6733" t="s">
        <v>18103</v>
      </c>
      <c r="E6733" t="s">
        <v>24178</v>
      </c>
      <c r="F6733" t="s">
        <v>31362</v>
      </c>
      <c r="G6733" t="s">
        <v>31368</v>
      </c>
      <c r="H6733" t="s">
        <v>15799</v>
      </c>
      <c r="I6733" t="s">
        <v>7719</v>
      </c>
      <c r="J6733" t="s">
        <v>34990</v>
      </c>
      <c r="K6733" t="s">
        <v>40665</v>
      </c>
      <c r="M6733" t="s">
        <v>43090</v>
      </c>
      <c r="N6733" t="s">
        <v>44905</v>
      </c>
      <c r="O6733" t="s">
        <v>44906</v>
      </c>
      <c r="P6733">
        <v>0</v>
      </c>
      <c r="Q6733">
        <v>9</v>
      </c>
      <c r="R6733" t="s">
        <v>44909</v>
      </c>
      <c r="S6733" t="s">
        <v>45060</v>
      </c>
      <c r="T6733" t="s">
        <v>46393</v>
      </c>
      <c r="U6733" t="s">
        <v>52410</v>
      </c>
      <c r="W6733" t="s">
        <v>43090</v>
      </c>
      <c r="X6733" t="s">
        <v>44910</v>
      </c>
    </row>
    <row r="6734" spans="1:24">
      <c r="A6734">
        <f>HYPERLINK("https://www.philgeps.gov.ph/GEPSNONPILOT/Tender/SplashBidNoticeAbstractUI.aspx?menuIndex=3&amp;refID=7078521&amp;Result=3","7078521")</f>
        <v>0</v>
      </c>
      <c r="B6734" t="s">
        <v>862</v>
      </c>
      <c r="C6734" t="s">
        <v>9950</v>
      </c>
      <c r="D6734" t="s">
        <v>18110</v>
      </c>
      <c r="E6734" t="s">
        <v>24179</v>
      </c>
      <c r="F6734" t="s">
        <v>31362</v>
      </c>
      <c r="G6734" t="s">
        <v>31370</v>
      </c>
      <c r="H6734" t="s">
        <v>15799</v>
      </c>
      <c r="I6734" t="s">
        <v>31385</v>
      </c>
      <c r="J6734" t="s">
        <v>34385</v>
      </c>
      <c r="K6734" t="s">
        <v>40665</v>
      </c>
      <c r="L6734" t="s">
        <v>862</v>
      </c>
      <c r="M6734" t="s">
        <v>41838</v>
      </c>
      <c r="N6734" t="s">
        <v>44905</v>
      </c>
      <c r="O6734" t="s">
        <v>44906</v>
      </c>
      <c r="P6734">
        <v>0</v>
      </c>
      <c r="Q6734">
        <v>1</v>
      </c>
      <c r="R6734" t="s">
        <v>44909</v>
      </c>
      <c r="S6734" t="s">
        <v>45060</v>
      </c>
      <c r="T6734" t="s">
        <v>46438</v>
      </c>
      <c r="U6734" t="s">
        <v>52411</v>
      </c>
      <c r="W6734" t="s">
        <v>41838</v>
      </c>
      <c r="X6734" t="s">
        <v>44910</v>
      </c>
    </row>
    <row r="6735" spans="1:24">
      <c r="A6735">
        <f>HYPERLINK("https://www.philgeps.gov.ph/GEPSNONPILOT/Tender/SplashBidNoticeAbstractUI.aspx?menuIndex=3&amp;refID=7078520&amp;Result=3","7078520")</f>
        <v>0</v>
      </c>
      <c r="B6735" t="s">
        <v>2063</v>
      </c>
      <c r="C6735" t="s">
        <v>9951</v>
      </c>
      <c r="D6735" t="s">
        <v>18127</v>
      </c>
      <c r="E6735" t="s">
        <v>24180</v>
      </c>
      <c r="F6735" t="s">
        <v>31362</v>
      </c>
      <c r="G6735" t="s">
        <v>31368</v>
      </c>
      <c r="H6735" t="s">
        <v>31378</v>
      </c>
      <c r="I6735" t="s">
        <v>31386</v>
      </c>
      <c r="J6735" t="s">
        <v>31578</v>
      </c>
      <c r="K6735" t="s">
        <v>40670</v>
      </c>
      <c r="M6735" t="s">
        <v>43185</v>
      </c>
      <c r="N6735" t="s">
        <v>44905</v>
      </c>
      <c r="O6735" t="s">
        <v>44906</v>
      </c>
      <c r="P6735">
        <v>0</v>
      </c>
      <c r="Q6735">
        <v>0</v>
      </c>
      <c r="R6735" t="s">
        <v>44909</v>
      </c>
      <c r="S6735" t="s">
        <v>45060</v>
      </c>
      <c r="T6735" t="s">
        <v>46701</v>
      </c>
      <c r="U6735" t="s">
        <v>52412</v>
      </c>
      <c r="W6735" t="s">
        <v>43185</v>
      </c>
      <c r="X6735" t="s">
        <v>44910</v>
      </c>
    </row>
    <row r="6736" spans="1:24">
      <c r="A6736">
        <f>HYPERLINK("https://www.philgeps.gov.ph/GEPSNONPILOT/Tender/SplashBidNoticeAbstractUI.aspx?menuIndex=3&amp;refID=7078516&amp;Result=3","7078516")</f>
        <v>0</v>
      </c>
      <c r="B6736" t="s">
        <v>2064</v>
      </c>
      <c r="C6736" t="s">
        <v>9952</v>
      </c>
      <c r="D6736" t="s">
        <v>18114</v>
      </c>
      <c r="E6736" t="s">
        <v>21601</v>
      </c>
      <c r="F6736" t="s">
        <v>31362</v>
      </c>
      <c r="G6736" t="s">
        <v>31368</v>
      </c>
      <c r="H6736" t="s">
        <v>15799</v>
      </c>
      <c r="I6736" t="s">
        <v>31384</v>
      </c>
      <c r="J6736" t="s">
        <v>35670</v>
      </c>
      <c r="K6736" t="s">
        <v>40697</v>
      </c>
      <c r="M6736" t="s">
        <v>43186</v>
      </c>
      <c r="N6736" t="s">
        <v>44905</v>
      </c>
      <c r="O6736" t="s">
        <v>44906</v>
      </c>
      <c r="P6736">
        <v>0</v>
      </c>
      <c r="Q6736">
        <v>1</v>
      </c>
      <c r="R6736" t="s">
        <v>44909</v>
      </c>
      <c r="S6736" t="s">
        <v>45060</v>
      </c>
      <c r="T6736" t="s">
        <v>46443</v>
      </c>
      <c r="U6736" t="s">
        <v>52413</v>
      </c>
      <c r="W6736" t="s">
        <v>43186</v>
      </c>
      <c r="X6736" t="s">
        <v>44910</v>
      </c>
    </row>
    <row r="6737" spans="1:24">
      <c r="A6737">
        <f>HYPERLINK("https://www.philgeps.gov.ph/GEPSNONPILOT/Tender/SplashBidNoticeAbstractUI.aspx?menuIndex=3&amp;refID=7078513&amp;Result=3","7078513")</f>
        <v>0</v>
      </c>
      <c r="B6737" t="s">
        <v>2059</v>
      </c>
      <c r="C6737" t="s">
        <v>9953</v>
      </c>
      <c r="D6737" t="s">
        <v>18110</v>
      </c>
      <c r="E6737" t="s">
        <v>24181</v>
      </c>
      <c r="F6737" t="s">
        <v>31362</v>
      </c>
      <c r="G6737" t="s">
        <v>31368</v>
      </c>
      <c r="H6737" t="s">
        <v>15799</v>
      </c>
      <c r="I6737" t="s">
        <v>31442</v>
      </c>
      <c r="J6737" t="s">
        <v>35671</v>
      </c>
      <c r="K6737" t="s">
        <v>40682</v>
      </c>
      <c r="M6737" t="s">
        <v>43181</v>
      </c>
      <c r="N6737" t="s">
        <v>44905</v>
      </c>
      <c r="O6737" t="s">
        <v>44906</v>
      </c>
      <c r="P6737">
        <v>0</v>
      </c>
      <c r="Q6737">
        <v>2</v>
      </c>
      <c r="R6737" t="s">
        <v>44909</v>
      </c>
      <c r="S6737" t="s">
        <v>45060</v>
      </c>
      <c r="T6737" t="s">
        <v>46400</v>
      </c>
      <c r="U6737" t="s">
        <v>52414</v>
      </c>
      <c r="W6737" t="s">
        <v>43181</v>
      </c>
      <c r="X6737" t="s">
        <v>44910</v>
      </c>
    </row>
    <row r="6738" spans="1:24">
      <c r="A6738">
        <f>HYPERLINK("https://www.philgeps.gov.ph/GEPSNONPILOT/Tender/SplashBidNoticeAbstractUI.aspx?menuIndex=3&amp;refID=7078512&amp;Result=3","7078512")</f>
        <v>0</v>
      </c>
      <c r="B6738" t="s">
        <v>2065</v>
      </c>
      <c r="C6738" t="s">
        <v>9954</v>
      </c>
      <c r="D6738" t="s">
        <v>18105</v>
      </c>
      <c r="E6738" t="s">
        <v>21820</v>
      </c>
      <c r="F6738" t="s">
        <v>31362</v>
      </c>
      <c r="G6738" t="s">
        <v>31370</v>
      </c>
      <c r="H6738" t="s">
        <v>31379</v>
      </c>
      <c r="I6738" t="s">
        <v>4057</v>
      </c>
      <c r="J6738" t="s">
        <v>31536</v>
      </c>
      <c r="K6738" t="s">
        <v>40697</v>
      </c>
      <c r="M6738" t="s">
        <v>43187</v>
      </c>
      <c r="N6738" t="s">
        <v>44905</v>
      </c>
      <c r="O6738" t="s">
        <v>44906</v>
      </c>
      <c r="P6738">
        <v>0</v>
      </c>
      <c r="Q6738">
        <v>0</v>
      </c>
      <c r="R6738" t="s">
        <v>44909</v>
      </c>
      <c r="S6738" t="s">
        <v>45060</v>
      </c>
      <c r="T6738" t="s">
        <v>46403</v>
      </c>
      <c r="U6738" t="s">
        <v>52415</v>
      </c>
      <c r="W6738" t="s">
        <v>43187</v>
      </c>
      <c r="X6738" t="s">
        <v>44910</v>
      </c>
    </row>
    <row r="6739" spans="1:24">
      <c r="A6739">
        <f>HYPERLINK("https://www.philgeps.gov.ph/GEPSNONPILOT/Tender/SplashBidNoticeAbstractUI.aspx?menuIndex=3&amp;refID=7078510&amp;Result=3","7078510")</f>
        <v>0</v>
      </c>
      <c r="B6739" t="s">
        <v>1841</v>
      </c>
      <c r="C6739" t="s">
        <v>9955</v>
      </c>
      <c r="D6739" t="s">
        <v>18100</v>
      </c>
      <c r="E6739" t="s">
        <v>24182</v>
      </c>
      <c r="F6739" t="s">
        <v>31362</v>
      </c>
      <c r="G6739" t="s">
        <v>31369</v>
      </c>
      <c r="H6739" t="s">
        <v>15799</v>
      </c>
      <c r="I6739" t="s">
        <v>6240</v>
      </c>
      <c r="J6739" t="s">
        <v>35672</v>
      </c>
      <c r="K6739" t="s">
        <v>40665</v>
      </c>
      <c r="M6739" t="s">
        <v>42929</v>
      </c>
      <c r="N6739" t="s">
        <v>44905</v>
      </c>
      <c r="O6739" t="s">
        <v>44906</v>
      </c>
      <c r="P6739">
        <v>0</v>
      </c>
      <c r="Q6739">
        <v>0</v>
      </c>
      <c r="R6739" t="s">
        <v>44909</v>
      </c>
      <c r="S6739" t="s">
        <v>45060</v>
      </c>
      <c r="T6739" t="s">
        <v>46549</v>
      </c>
      <c r="U6739" t="s">
        <v>52416</v>
      </c>
      <c r="W6739" t="s">
        <v>42929</v>
      </c>
      <c r="X6739" t="s">
        <v>44910</v>
      </c>
    </row>
    <row r="6740" spans="1:24">
      <c r="A6740">
        <f>HYPERLINK("https://www.philgeps.gov.ph/GEPSNONPILOT/Tender/SplashBidNoticeAbstractUI.aspx?menuIndex=3&amp;refID=7078478&amp;Result=3","7078478")</f>
        <v>0</v>
      </c>
      <c r="B6740" t="s">
        <v>2066</v>
      </c>
      <c r="C6740" t="s">
        <v>9956</v>
      </c>
      <c r="E6740" t="s">
        <v>18844</v>
      </c>
      <c r="F6740" t="s">
        <v>31362</v>
      </c>
      <c r="G6740" t="s">
        <v>31371</v>
      </c>
      <c r="H6740" t="s">
        <v>15799</v>
      </c>
      <c r="I6740" t="s">
        <v>31380</v>
      </c>
      <c r="J6740" t="s">
        <v>35673</v>
      </c>
      <c r="K6740" t="s">
        <v>40670</v>
      </c>
      <c r="M6740" t="s">
        <v>43188</v>
      </c>
      <c r="N6740" t="s">
        <v>44905</v>
      </c>
      <c r="O6740" t="s">
        <v>44906</v>
      </c>
      <c r="P6740">
        <v>0</v>
      </c>
      <c r="Q6740">
        <v>17</v>
      </c>
      <c r="R6740" t="s">
        <v>44909</v>
      </c>
      <c r="S6740" t="s">
        <v>45060</v>
      </c>
      <c r="T6740" t="s">
        <v>46483</v>
      </c>
      <c r="U6740" t="s">
        <v>52417</v>
      </c>
      <c r="V6740" t="s">
        <v>59717</v>
      </c>
      <c r="W6740" t="s">
        <v>43188</v>
      </c>
      <c r="X6740" t="s">
        <v>44910</v>
      </c>
    </row>
    <row r="6741" spans="1:24">
      <c r="A6741">
        <f>HYPERLINK("https://www.philgeps.gov.ph/GEPSNONPILOT/Tender/SplashBidNoticeAbstractUI.aspx?menuIndex=3&amp;refID=7078508&amp;Result=3","7078508")</f>
        <v>0</v>
      </c>
      <c r="B6741" t="s">
        <v>66</v>
      </c>
      <c r="C6741" t="s">
        <v>9957</v>
      </c>
      <c r="D6741" t="s">
        <v>18122</v>
      </c>
      <c r="E6741" t="s">
        <v>24183</v>
      </c>
      <c r="F6741" t="s">
        <v>31362</v>
      </c>
      <c r="G6741" t="s">
        <v>31369</v>
      </c>
      <c r="H6741" t="s">
        <v>31378</v>
      </c>
      <c r="I6741" t="s">
        <v>31386</v>
      </c>
      <c r="J6741" t="s">
        <v>31637</v>
      </c>
      <c r="K6741" t="s">
        <v>40662</v>
      </c>
      <c r="M6741" t="s">
        <v>41002</v>
      </c>
      <c r="N6741" t="s">
        <v>44905</v>
      </c>
      <c r="O6741" t="s">
        <v>44906</v>
      </c>
      <c r="P6741">
        <v>0</v>
      </c>
      <c r="Q6741">
        <v>14</v>
      </c>
      <c r="R6741" t="s">
        <v>44909</v>
      </c>
      <c r="S6741" t="s">
        <v>45060</v>
      </c>
      <c r="T6741" t="s">
        <v>46701</v>
      </c>
      <c r="U6741" t="s">
        <v>47037</v>
      </c>
      <c r="W6741" t="s">
        <v>41002</v>
      </c>
      <c r="X6741" t="s">
        <v>44910</v>
      </c>
    </row>
    <row r="6742" spans="1:24">
      <c r="A6742">
        <f>HYPERLINK("https://www.philgeps.gov.ph/GEPSNONPILOT/Tender/SplashBidNoticeAbstractUI.aspx?menuIndex=3&amp;refID=7078525&amp;Result=3","7078525")</f>
        <v>0</v>
      </c>
      <c r="B6742" t="s">
        <v>2063</v>
      </c>
      <c r="C6742" t="s">
        <v>9958</v>
      </c>
      <c r="D6742" t="s">
        <v>18127</v>
      </c>
      <c r="E6742" t="s">
        <v>24184</v>
      </c>
      <c r="F6742" t="s">
        <v>31362</v>
      </c>
      <c r="G6742" t="s">
        <v>31368</v>
      </c>
      <c r="H6742" t="s">
        <v>31378</v>
      </c>
      <c r="I6742" t="s">
        <v>31386</v>
      </c>
      <c r="J6742" t="s">
        <v>31578</v>
      </c>
      <c r="K6742" t="s">
        <v>40670</v>
      </c>
      <c r="M6742" t="s">
        <v>43185</v>
      </c>
      <c r="N6742" t="s">
        <v>44905</v>
      </c>
      <c r="O6742" t="s">
        <v>44906</v>
      </c>
      <c r="P6742">
        <v>0</v>
      </c>
      <c r="Q6742">
        <v>0</v>
      </c>
      <c r="R6742" t="s">
        <v>44909</v>
      </c>
      <c r="S6742" t="s">
        <v>45060</v>
      </c>
      <c r="T6742" t="s">
        <v>46701</v>
      </c>
      <c r="U6742" t="s">
        <v>52412</v>
      </c>
      <c r="W6742" t="s">
        <v>43185</v>
      </c>
      <c r="X6742" t="s">
        <v>44910</v>
      </c>
    </row>
    <row r="6743" spans="1:24">
      <c r="A6743">
        <f>HYPERLINK("https://www.philgeps.gov.ph/GEPSNONPILOT/Tender/SplashBidNoticeAbstractUI.aspx?menuIndex=3&amp;refID=7078471&amp;Result=3","7078471")</f>
        <v>0</v>
      </c>
      <c r="B6743" t="s">
        <v>1601</v>
      </c>
      <c r="C6743" t="s">
        <v>9959</v>
      </c>
      <c r="D6743" t="s">
        <v>18100</v>
      </c>
      <c r="E6743" t="s">
        <v>24185</v>
      </c>
      <c r="F6743" t="s">
        <v>31362</v>
      </c>
      <c r="G6743" t="s">
        <v>31369</v>
      </c>
      <c r="H6743" t="s">
        <v>31379</v>
      </c>
      <c r="I6743" t="s">
        <v>31421</v>
      </c>
      <c r="J6743" t="s">
        <v>32252</v>
      </c>
      <c r="K6743" t="s">
        <v>40693</v>
      </c>
      <c r="M6743" t="s">
        <v>42660</v>
      </c>
      <c r="N6743" t="s">
        <v>44905</v>
      </c>
      <c r="O6743" t="s">
        <v>44906</v>
      </c>
      <c r="P6743">
        <v>0</v>
      </c>
      <c r="Q6743">
        <v>0</v>
      </c>
      <c r="R6743" t="s">
        <v>44909</v>
      </c>
      <c r="S6743" t="s">
        <v>45060</v>
      </c>
      <c r="T6743" t="s">
        <v>46403</v>
      </c>
      <c r="U6743" t="s">
        <v>52418</v>
      </c>
      <c r="W6743" t="s">
        <v>42660</v>
      </c>
      <c r="X6743" t="s">
        <v>44910</v>
      </c>
    </row>
    <row r="6744" spans="1:24">
      <c r="A6744">
        <f>HYPERLINK("https://www.philgeps.gov.ph/GEPSNONPILOT/Tender/SplashBidNoticeAbstractUI.aspx?menuIndex=3&amp;refID=7078515&amp;Result=3","7078515")</f>
        <v>0</v>
      </c>
      <c r="B6744" t="s">
        <v>2067</v>
      </c>
      <c r="C6744" t="s">
        <v>6247</v>
      </c>
      <c r="D6744" t="s">
        <v>18131</v>
      </c>
      <c r="E6744" t="s">
        <v>24186</v>
      </c>
      <c r="F6744" t="s">
        <v>31362</v>
      </c>
      <c r="G6744" t="s">
        <v>31369</v>
      </c>
      <c r="H6744" t="s">
        <v>31378</v>
      </c>
      <c r="I6744" t="s">
        <v>31386</v>
      </c>
      <c r="J6744" t="s">
        <v>35674</v>
      </c>
      <c r="K6744" t="s">
        <v>40662</v>
      </c>
      <c r="M6744" t="s">
        <v>43189</v>
      </c>
      <c r="N6744" t="s">
        <v>44905</v>
      </c>
      <c r="O6744" t="s">
        <v>44906</v>
      </c>
      <c r="P6744">
        <v>0</v>
      </c>
      <c r="Q6744">
        <v>1</v>
      </c>
      <c r="R6744" t="s">
        <v>44909</v>
      </c>
      <c r="S6744" t="s">
        <v>45060</v>
      </c>
      <c r="T6744" t="s">
        <v>46412</v>
      </c>
      <c r="U6744" t="s">
        <v>52419</v>
      </c>
      <c r="V6744" t="s">
        <v>59367</v>
      </c>
      <c r="W6744" t="s">
        <v>43189</v>
      </c>
      <c r="X6744" t="s">
        <v>44910</v>
      </c>
    </row>
    <row r="6745" spans="1:24">
      <c r="A6745">
        <f>HYPERLINK("https://www.philgeps.gov.ph/GEPSNONPILOT/Tender/SplashBidNoticeAbstractUI.aspx?menuIndex=3&amp;refID=7078501&amp;Result=3","7078501")</f>
        <v>0</v>
      </c>
      <c r="B6745" t="s">
        <v>2068</v>
      </c>
      <c r="C6745" t="s">
        <v>9960</v>
      </c>
      <c r="D6745" t="s">
        <v>18131</v>
      </c>
      <c r="E6745" t="s">
        <v>24187</v>
      </c>
      <c r="F6745" t="s">
        <v>31362</v>
      </c>
      <c r="G6745" t="s">
        <v>31369</v>
      </c>
      <c r="H6745" t="s">
        <v>31378</v>
      </c>
      <c r="I6745" t="s">
        <v>31386</v>
      </c>
      <c r="J6745" t="s">
        <v>31531</v>
      </c>
      <c r="K6745" t="s">
        <v>40662</v>
      </c>
      <c r="M6745" t="s">
        <v>43190</v>
      </c>
      <c r="N6745" t="s">
        <v>44905</v>
      </c>
      <c r="O6745" t="s">
        <v>44906</v>
      </c>
      <c r="P6745">
        <v>0</v>
      </c>
      <c r="Q6745">
        <v>2</v>
      </c>
      <c r="R6745" t="s">
        <v>44909</v>
      </c>
      <c r="S6745" t="s">
        <v>45060</v>
      </c>
      <c r="T6745" t="s">
        <v>46412</v>
      </c>
      <c r="U6745" t="s">
        <v>52420</v>
      </c>
      <c r="V6745" t="s">
        <v>59718</v>
      </c>
      <c r="W6745" t="s">
        <v>43190</v>
      </c>
      <c r="X6745" t="s">
        <v>44910</v>
      </c>
    </row>
    <row r="6746" spans="1:24">
      <c r="A6746">
        <f>HYPERLINK("https://www.philgeps.gov.ph/GEPSNONPILOT/Tender/SplashBidNoticeAbstractUI.aspx?menuIndex=3&amp;refID=7078470&amp;Result=3","7078470")</f>
        <v>0</v>
      </c>
      <c r="B6746" t="s">
        <v>1738</v>
      </c>
      <c r="C6746" t="s">
        <v>9961</v>
      </c>
      <c r="D6746" t="s">
        <v>18173</v>
      </c>
      <c r="E6746" t="s">
        <v>21896</v>
      </c>
      <c r="F6746" t="s">
        <v>31362</v>
      </c>
      <c r="G6746" t="s">
        <v>31369</v>
      </c>
      <c r="H6746" t="s">
        <v>15799</v>
      </c>
      <c r="I6746" t="s">
        <v>31409</v>
      </c>
      <c r="J6746" t="s">
        <v>31606</v>
      </c>
      <c r="K6746" t="s">
        <v>40665</v>
      </c>
      <c r="M6746" t="s">
        <v>42812</v>
      </c>
      <c r="N6746" t="s">
        <v>44905</v>
      </c>
      <c r="O6746" t="s">
        <v>44906</v>
      </c>
      <c r="P6746">
        <v>0</v>
      </c>
      <c r="Q6746">
        <v>3</v>
      </c>
      <c r="R6746" t="s">
        <v>44909</v>
      </c>
      <c r="S6746" t="s">
        <v>45060</v>
      </c>
      <c r="T6746" t="s">
        <v>46704</v>
      </c>
      <c r="U6746" t="s">
        <v>51237</v>
      </c>
      <c r="W6746" t="s">
        <v>42812</v>
      </c>
      <c r="X6746" t="s">
        <v>44910</v>
      </c>
    </row>
    <row r="6747" spans="1:24">
      <c r="A6747">
        <f>HYPERLINK("https://www.philgeps.gov.ph/GEPSNONPILOT/Tender/SplashBidNoticeAbstractUI.aspx?menuIndex=3&amp;refID=7078468&amp;Result=3","7078468")</f>
        <v>0</v>
      </c>
      <c r="B6747" t="s">
        <v>953</v>
      </c>
      <c r="C6747" t="s">
        <v>9962</v>
      </c>
      <c r="D6747" t="s">
        <v>18110</v>
      </c>
      <c r="E6747" t="s">
        <v>24188</v>
      </c>
      <c r="F6747" t="s">
        <v>31362</v>
      </c>
      <c r="G6747" t="s">
        <v>31368</v>
      </c>
      <c r="H6747" t="s">
        <v>15799</v>
      </c>
      <c r="I6747" t="s">
        <v>31387</v>
      </c>
      <c r="J6747" t="s">
        <v>35675</v>
      </c>
      <c r="K6747" t="s">
        <v>40666</v>
      </c>
      <c r="M6747" t="s">
        <v>41941</v>
      </c>
      <c r="N6747" t="s">
        <v>44905</v>
      </c>
      <c r="O6747" t="s">
        <v>44906</v>
      </c>
      <c r="P6747">
        <v>0</v>
      </c>
      <c r="Q6747">
        <v>0</v>
      </c>
      <c r="R6747" t="s">
        <v>44909</v>
      </c>
      <c r="S6747" t="s">
        <v>45060</v>
      </c>
      <c r="T6747" t="s">
        <v>46409</v>
      </c>
      <c r="U6747" t="s">
        <v>51607</v>
      </c>
      <c r="W6747" t="s">
        <v>60898</v>
      </c>
      <c r="X6747" t="s">
        <v>44910</v>
      </c>
    </row>
    <row r="6748" spans="1:24">
      <c r="A6748">
        <f>HYPERLINK("https://www.philgeps.gov.ph/GEPSNONPILOT/Tender/SplashBidNoticeAbstractUI.aspx?menuIndex=3&amp;refID=7078464&amp;Result=3","7078464")</f>
        <v>0</v>
      </c>
      <c r="B6748" t="s">
        <v>76</v>
      </c>
      <c r="C6748" t="s">
        <v>9963</v>
      </c>
      <c r="D6748" t="s">
        <v>18112</v>
      </c>
      <c r="E6748" t="s">
        <v>24189</v>
      </c>
      <c r="F6748" t="s">
        <v>31362</v>
      </c>
      <c r="G6748" t="s">
        <v>31369</v>
      </c>
      <c r="H6748" t="s">
        <v>15799</v>
      </c>
      <c r="I6748" t="s">
        <v>31404</v>
      </c>
      <c r="J6748" t="s">
        <v>35676</v>
      </c>
      <c r="K6748" t="s">
        <v>40662</v>
      </c>
      <c r="M6748" t="s">
        <v>41012</v>
      </c>
      <c r="N6748" t="s">
        <v>44905</v>
      </c>
      <c r="O6748" t="s">
        <v>44906</v>
      </c>
      <c r="P6748">
        <v>0</v>
      </c>
      <c r="Q6748">
        <v>0</v>
      </c>
      <c r="R6748" t="s">
        <v>44909</v>
      </c>
      <c r="S6748" t="s">
        <v>45060</v>
      </c>
      <c r="T6748" t="s">
        <v>46693</v>
      </c>
      <c r="U6748" t="s">
        <v>52421</v>
      </c>
      <c r="W6748" t="s">
        <v>41012</v>
      </c>
      <c r="X6748" t="s">
        <v>44910</v>
      </c>
    </row>
    <row r="6749" spans="1:24">
      <c r="A6749">
        <f>HYPERLINK("https://www.philgeps.gov.ph/GEPSNONPILOT/Tender/SplashBidNoticeAbstractUI.aspx?menuIndex=3&amp;refID=7078436&amp;Result=3","7078436")</f>
        <v>0</v>
      </c>
      <c r="B6749" t="s">
        <v>1584</v>
      </c>
      <c r="C6749" t="s">
        <v>9964</v>
      </c>
      <c r="D6749" t="s">
        <v>18141</v>
      </c>
      <c r="E6749" t="s">
        <v>24072</v>
      </c>
      <c r="F6749" t="s">
        <v>31362</v>
      </c>
      <c r="G6749" t="s">
        <v>31368</v>
      </c>
      <c r="H6749" t="s">
        <v>15799</v>
      </c>
      <c r="I6749" t="s">
        <v>31464</v>
      </c>
      <c r="J6749" t="s">
        <v>31545</v>
      </c>
      <c r="K6749" t="s">
        <v>40731</v>
      </c>
      <c r="M6749" t="s">
        <v>42639</v>
      </c>
      <c r="N6749" t="s">
        <v>44905</v>
      </c>
      <c r="O6749" t="s">
        <v>44906</v>
      </c>
      <c r="P6749">
        <v>0</v>
      </c>
      <c r="Q6749">
        <v>1</v>
      </c>
      <c r="R6749" t="s">
        <v>44909</v>
      </c>
      <c r="S6749" t="s">
        <v>45060</v>
      </c>
      <c r="T6749" t="s">
        <v>46534</v>
      </c>
      <c r="U6749" t="s">
        <v>52422</v>
      </c>
      <c r="V6749" t="s">
        <v>59506</v>
      </c>
      <c r="W6749" t="s">
        <v>42639</v>
      </c>
      <c r="X6749" t="s">
        <v>44910</v>
      </c>
    </row>
    <row r="6750" spans="1:24">
      <c r="A6750">
        <f>HYPERLINK("https://www.philgeps.gov.ph/GEPSNONPILOT/Tender/SplashBidNoticeAbstractUI.aspx?menuIndex=3&amp;refID=7078502&amp;Result=3","7078502")</f>
        <v>0</v>
      </c>
      <c r="B6750" t="s">
        <v>888</v>
      </c>
      <c r="C6750" t="s">
        <v>9965</v>
      </c>
      <c r="D6750" t="s">
        <v>18108</v>
      </c>
      <c r="E6750" t="s">
        <v>24190</v>
      </c>
      <c r="F6750" t="s">
        <v>31362</v>
      </c>
      <c r="G6750" t="s">
        <v>31368</v>
      </c>
      <c r="H6750" t="s">
        <v>15799</v>
      </c>
      <c r="I6750" t="s">
        <v>31393</v>
      </c>
      <c r="J6750" t="s">
        <v>32127</v>
      </c>
      <c r="K6750" t="s">
        <v>40661</v>
      </c>
      <c r="M6750" t="s">
        <v>41866</v>
      </c>
      <c r="N6750" t="s">
        <v>44905</v>
      </c>
      <c r="O6750" t="s">
        <v>44906</v>
      </c>
      <c r="P6750">
        <v>0</v>
      </c>
      <c r="Q6750">
        <v>27</v>
      </c>
      <c r="R6750" t="s">
        <v>44909</v>
      </c>
      <c r="S6750" t="s">
        <v>45060</v>
      </c>
      <c r="T6750" t="s">
        <v>46438</v>
      </c>
      <c r="U6750" t="s">
        <v>48778</v>
      </c>
      <c r="W6750" t="s">
        <v>41866</v>
      </c>
      <c r="X6750" t="s">
        <v>44910</v>
      </c>
    </row>
    <row r="6751" spans="1:24">
      <c r="A6751">
        <f>HYPERLINK("https://www.philgeps.gov.ph/GEPSNONPILOT/Tender/SplashBidNoticeAbstractUI.aspx?menuIndex=3&amp;refID=7078388&amp;Result=3","7078388")</f>
        <v>0</v>
      </c>
      <c r="B6751" t="s">
        <v>169</v>
      </c>
      <c r="C6751" t="s">
        <v>9966</v>
      </c>
      <c r="D6751" t="s">
        <v>18108</v>
      </c>
      <c r="E6751" t="s">
        <v>24191</v>
      </c>
      <c r="F6751" t="s">
        <v>31362</v>
      </c>
      <c r="G6751" t="s">
        <v>31369</v>
      </c>
      <c r="H6751" t="s">
        <v>31378</v>
      </c>
      <c r="I6751" t="s">
        <v>31386</v>
      </c>
      <c r="J6751" t="s">
        <v>35677</v>
      </c>
      <c r="K6751" t="s">
        <v>40686</v>
      </c>
      <c r="M6751" t="s">
        <v>43173</v>
      </c>
      <c r="N6751" t="s">
        <v>44905</v>
      </c>
      <c r="O6751" t="s">
        <v>44906</v>
      </c>
      <c r="P6751">
        <v>0</v>
      </c>
      <c r="Q6751">
        <v>3</v>
      </c>
      <c r="R6751" t="s">
        <v>44909</v>
      </c>
      <c r="S6751" t="s">
        <v>45060</v>
      </c>
      <c r="T6751" t="s">
        <v>46734</v>
      </c>
      <c r="U6751" t="s">
        <v>52364</v>
      </c>
      <c r="W6751" t="s">
        <v>43173</v>
      </c>
      <c r="X6751" t="s">
        <v>44910</v>
      </c>
    </row>
    <row r="6752" spans="1:24">
      <c r="A6752">
        <f>HYPERLINK("https://www.philgeps.gov.ph/GEPSNONPILOT/Tender/SplashBidNoticeAbstractUI.aspx?menuIndex=3&amp;refID=7078385&amp;Result=3","7078385")</f>
        <v>0</v>
      </c>
      <c r="B6752" t="s">
        <v>1011</v>
      </c>
      <c r="C6752" t="s">
        <v>9967</v>
      </c>
      <c r="D6752" t="s">
        <v>18110</v>
      </c>
      <c r="E6752" t="s">
        <v>24192</v>
      </c>
      <c r="F6752" t="s">
        <v>31362</v>
      </c>
      <c r="G6752" t="s">
        <v>31368</v>
      </c>
      <c r="H6752" t="s">
        <v>31378</v>
      </c>
      <c r="I6752" t="s">
        <v>31386</v>
      </c>
      <c r="J6752" t="s">
        <v>31668</v>
      </c>
      <c r="K6752" t="s">
        <v>40665</v>
      </c>
      <c r="M6752" t="s">
        <v>42008</v>
      </c>
      <c r="N6752" t="s">
        <v>44905</v>
      </c>
      <c r="O6752" t="s">
        <v>44906</v>
      </c>
      <c r="P6752">
        <v>0</v>
      </c>
      <c r="Q6752">
        <v>1</v>
      </c>
      <c r="R6752" t="s">
        <v>44909</v>
      </c>
      <c r="S6752" t="s">
        <v>45060</v>
      </c>
      <c r="T6752" t="s">
        <v>46412</v>
      </c>
      <c r="U6752" t="s">
        <v>52372</v>
      </c>
      <c r="V6752" t="s">
        <v>59706</v>
      </c>
      <c r="W6752" t="s">
        <v>42008</v>
      </c>
      <c r="X6752" t="s">
        <v>44910</v>
      </c>
    </row>
    <row r="6753" spans="1:24">
      <c r="A6753">
        <f>HYPERLINK("https://www.philgeps.gov.ph/GEPSNONPILOT/Tender/SplashBidNoticeAbstractUI.aspx?menuIndex=3&amp;refID=7078383&amp;Result=3","7078383")</f>
        <v>0</v>
      </c>
      <c r="B6753" t="s">
        <v>2043</v>
      </c>
      <c r="C6753" t="s">
        <v>9968</v>
      </c>
      <c r="D6753" t="s">
        <v>18144</v>
      </c>
      <c r="E6753" t="s">
        <v>24193</v>
      </c>
      <c r="F6753" t="s">
        <v>31362</v>
      </c>
      <c r="G6753" t="s">
        <v>31369</v>
      </c>
      <c r="H6753" t="s">
        <v>15799</v>
      </c>
      <c r="I6753" t="s">
        <v>31409</v>
      </c>
      <c r="J6753" t="s">
        <v>33097</v>
      </c>
      <c r="K6753" t="s">
        <v>40662</v>
      </c>
      <c r="M6753" t="s">
        <v>43162</v>
      </c>
      <c r="N6753" t="s">
        <v>44905</v>
      </c>
      <c r="O6753" t="s">
        <v>44906</v>
      </c>
      <c r="P6753">
        <v>0</v>
      </c>
      <c r="Q6753">
        <v>1</v>
      </c>
      <c r="R6753" t="s">
        <v>44909</v>
      </c>
      <c r="S6753" t="s">
        <v>45060</v>
      </c>
      <c r="T6753" t="s">
        <v>46425</v>
      </c>
      <c r="U6753" t="s">
        <v>52423</v>
      </c>
      <c r="W6753" t="s">
        <v>43162</v>
      </c>
      <c r="X6753" t="s">
        <v>44910</v>
      </c>
    </row>
    <row r="6754" spans="1:24">
      <c r="A6754">
        <f>HYPERLINK("https://www.philgeps.gov.ph/GEPSNONPILOT/Tender/SplashBidNoticeAbstractUI.aspx?menuIndex=3&amp;refID=7078408&amp;Result=3","7078408")</f>
        <v>0</v>
      </c>
      <c r="B6754" t="s">
        <v>1847</v>
      </c>
      <c r="C6754" t="s">
        <v>9969</v>
      </c>
      <c r="D6754" t="s">
        <v>18111</v>
      </c>
      <c r="E6754" t="s">
        <v>24194</v>
      </c>
      <c r="F6754" t="s">
        <v>31362</v>
      </c>
      <c r="G6754" t="s">
        <v>31368</v>
      </c>
      <c r="H6754" t="s">
        <v>31378</v>
      </c>
      <c r="I6754" t="s">
        <v>31386</v>
      </c>
      <c r="J6754" t="s">
        <v>35678</v>
      </c>
      <c r="K6754" t="s">
        <v>40677</v>
      </c>
      <c r="M6754" t="s">
        <v>42935</v>
      </c>
      <c r="N6754" t="s">
        <v>44905</v>
      </c>
      <c r="O6754" t="s">
        <v>44906</v>
      </c>
      <c r="P6754">
        <v>0</v>
      </c>
      <c r="Q6754">
        <v>0</v>
      </c>
      <c r="R6754" t="s">
        <v>44909</v>
      </c>
      <c r="S6754" t="s">
        <v>45060</v>
      </c>
      <c r="T6754" t="s">
        <v>46435</v>
      </c>
      <c r="U6754" t="s">
        <v>52424</v>
      </c>
      <c r="W6754" t="s">
        <v>42935</v>
      </c>
      <c r="X6754" t="s">
        <v>44910</v>
      </c>
    </row>
    <row r="6755" spans="1:24">
      <c r="A6755">
        <f>HYPERLINK("https://www.philgeps.gov.ph/GEPSNONPILOT/Tender/SplashBidNoticeAbstractUI.aspx?menuIndex=3&amp;refID=7078378&amp;Result=3","7078378")</f>
        <v>0</v>
      </c>
      <c r="B6755" t="s">
        <v>1075</v>
      </c>
      <c r="C6755" t="s">
        <v>9970</v>
      </c>
      <c r="D6755" t="s">
        <v>18101</v>
      </c>
      <c r="E6755" t="s">
        <v>24195</v>
      </c>
      <c r="F6755" t="s">
        <v>31362</v>
      </c>
      <c r="G6755" t="s">
        <v>31369</v>
      </c>
      <c r="H6755" t="s">
        <v>15799</v>
      </c>
      <c r="I6755" t="s">
        <v>3815</v>
      </c>
      <c r="J6755" t="s">
        <v>35679</v>
      </c>
      <c r="K6755" t="s">
        <v>40666</v>
      </c>
      <c r="M6755" t="s">
        <v>42077</v>
      </c>
      <c r="N6755" t="s">
        <v>44905</v>
      </c>
      <c r="O6755" t="s">
        <v>44906</v>
      </c>
      <c r="P6755">
        <v>0</v>
      </c>
      <c r="Q6755">
        <v>0</v>
      </c>
      <c r="R6755" t="s">
        <v>44909</v>
      </c>
      <c r="S6755" t="s">
        <v>45060</v>
      </c>
      <c r="T6755" t="s">
        <v>46560</v>
      </c>
      <c r="U6755" t="s">
        <v>52425</v>
      </c>
      <c r="W6755" t="s">
        <v>42077</v>
      </c>
      <c r="X6755" t="s">
        <v>44910</v>
      </c>
    </row>
    <row r="6756" spans="1:24">
      <c r="A6756">
        <f>HYPERLINK("https://www.philgeps.gov.ph/GEPSNONPILOT/Tender/SplashBidNoticeAbstractUI.aspx?menuIndex=3&amp;refID=7078532&amp;Result=3","7078532")</f>
        <v>0</v>
      </c>
      <c r="B6756" t="s">
        <v>2069</v>
      </c>
      <c r="C6756" t="s">
        <v>9971</v>
      </c>
      <c r="D6756" t="s">
        <v>18138</v>
      </c>
      <c r="E6756" t="s">
        <v>24196</v>
      </c>
      <c r="F6756" t="s">
        <v>31362</v>
      </c>
      <c r="G6756" t="s">
        <v>31368</v>
      </c>
      <c r="H6756" t="s">
        <v>15799</v>
      </c>
      <c r="I6756" t="s">
        <v>31380</v>
      </c>
      <c r="J6756" t="s">
        <v>35680</v>
      </c>
      <c r="K6756" t="s">
        <v>40693</v>
      </c>
      <c r="M6756" t="s">
        <v>43191</v>
      </c>
      <c r="N6756" t="s">
        <v>44905</v>
      </c>
      <c r="O6756" t="s">
        <v>44906</v>
      </c>
      <c r="P6756">
        <v>0</v>
      </c>
      <c r="Q6756">
        <v>2</v>
      </c>
      <c r="R6756" t="s">
        <v>44909</v>
      </c>
      <c r="S6756" t="s">
        <v>45060</v>
      </c>
      <c r="T6756" t="s">
        <v>46414</v>
      </c>
      <c r="U6756" t="s">
        <v>52426</v>
      </c>
      <c r="W6756" t="s">
        <v>43191</v>
      </c>
      <c r="X6756" t="s">
        <v>44910</v>
      </c>
    </row>
    <row r="6757" spans="1:24">
      <c r="A6757">
        <f>HYPERLINK("https://www.philgeps.gov.ph/GEPSNONPILOT/Tender/SplashBidNoticeAbstractUI.aspx?menuIndex=3&amp;refID=7078530&amp;Result=3","7078530")</f>
        <v>0</v>
      </c>
      <c r="B6757" t="s">
        <v>1339</v>
      </c>
      <c r="C6757" t="s">
        <v>7284</v>
      </c>
      <c r="D6757" t="s">
        <v>18169</v>
      </c>
      <c r="E6757" t="s">
        <v>24197</v>
      </c>
      <c r="F6757" t="s">
        <v>31362</v>
      </c>
      <c r="G6757" t="s">
        <v>31370</v>
      </c>
      <c r="H6757" t="s">
        <v>15799</v>
      </c>
      <c r="I6757" t="s">
        <v>4942</v>
      </c>
      <c r="J6757" t="s">
        <v>35681</v>
      </c>
      <c r="K6757" t="s">
        <v>40661</v>
      </c>
      <c r="M6757" t="s">
        <v>42358</v>
      </c>
      <c r="N6757" t="s">
        <v>44905</v>
      </c>
      <c r="O6757" t="s">
        <v>44906</v>
      </c>
      <c r="P6757">
        <v>0</v>
      </c>
      <c r="Q6757">
        <v>0</v>
      </c>
      <c r="R6757" t="s">
        <v>44909</v>
      </c>
      <c r="S6757" t="s">
        <v>45060</v>
      </c>
      <c r="T6757" t="s">
        <v>46432</v>
      </c>
      <c r="U6757" t="s">
        <v>52427</v>
      </c>
      <c r="W6757" t="s">
        <v>42358</v>
      </c>
      <c r="X6757" t="s">
        <v>44910</v>
      </c>
    </row>
    <row r="6758" spans="1:24">
      <c r="A6758">
        <f>HYPERLINK("https://www.philgeps.gov.ph/GEPSNONPILOT/Tender/SplashBidNoticeAbstractUI.aspx?menuIndex=3&amp;refID=7078384&amp;Result=3","7078384")</f>
        <v>0</v>
      </c>
      <c r="B6758" t="s">
        <v>2054</v>
      </c>
      <c r="C6758" t="s">
        <v>9972</v>
      </c>
      <c r="D6758" t="s">
        <v>18100</v>
      </c>
      <c r="E6758" t="s">
        <v>24198</v>
      </c>
      <c r="F6758" t="s">
        <v>31362</v>
      </c>
      <c r="G6758" t="s">
        <v>31368</v>
      </c>
      <c r="H6758" t="s">
        <v>15799</v>
      </c>
      <c r="I6758" t="s">
        <v>31380</v>
      </c>
      <c r="J6758" t="s">
        <v>35682</v>
      </c>
      <c r="K6758" t="s">
        <v>40693</v>
      </c>
      <c r="M6758" t="s">
        <v>43176</v>
      </c>
      <c r="N6758" t="s">
        <v>44905</v>
      </c>
      <c r="O6758" t="s">
        <v>44906</v>
      </c>
      <c r="P6758">
        <v>0</v>
      </c>
      <c r="Q6758">
        <v>1</v>
      </c>
      <c r="R6758" t="s">
        <v>44909</v>
      </c>
      <c r="S6758" t="s">
        <v>45060</v>
      </c>
      <c r="T6758" t="s">
        <v>46503</v>
      </c>
      <c r="U6758" t="s">
        <v>47766</v>
      </c>
      <c r="W6758" t="s">
        <v>43176</v>
      </c>
      <c r="X6758" t="s">
        <v>44910</v>
      </c>
    </row>
    <row r="6759" spans="1:24">
      <c r="A6759">
        <f>HYPERLINK("https://www.philgeps.gov.ph/GEPSNONPILOT/Tender/SplashBidNoticeAbstractUI.aspx?menuIndex=3&amp;refID=7078507&amp;Result=3","7078507")</f>
        <v>0</v>
      </c>
      <c r="B6759" t="s">
        <v>71</v>
      </c>
      <c r="C6759" t="s">
        <v>9973</v>
      </c>
      <c r="D6759" t="s">
        <v>18129</v>
      </c>
      <c r="E6759" t="s">
        <v>9973</v>
      </c>
      <c r="F6759" t="s">
        <v>31362</v>
      </c>
      <c r="G6759" t="s">
        <v>31368</v>
      </c>
      <c r="H6759" t="s">
        <v>15799</v>
      </c>
      <c r="I6759" t="s">
        <v>3815</v>
      </c>
      <c r="J6759" t="s">
        <v>34271</v>
      </c>
      <c r="K6759" t="s">
        <v>40666</v>
      </c>
      <c r="L6759" t="s">
        <v>71</v>
      </c>
      <c r="M6759" t="s">
        <v>41007</v>
      </c>
      <c r="N6759" t="s">
        <v>44905</v>
      </c>
      <c r="O6759" t="s">
        <v>44906</v>
      </c>
      <c r="P6759">
        <v>0</v>
      </c>
      <c r="Q6759">
        <v>0</v>
      </c>
      <c r="R6759" t="s">
        <v>44909</v>
      </c>
      <c r="S6759" t="s">
        <v>45060</v>
      </c>
      <c r="T6759" t="s">
        <v>46414</v>
      </c>
      <c r="U6759" t="s">
        <v>48827</v>
      </c>
      <c r="W6759" t="s">
        <v>41007</v>
      </c>
      <c r="X6759" t="s">
        <v>44910</v>
      </c>
    </row>
    <row r="6760" spans="1:24">
      <c r="A6760">
        <f>HYPERLINK("https://www.philgeps.gov.ph/GEPSNONPILOT/Tender/SplashBidNoticeAbstractUI.aspx?menuIndex=3&amp;refID=7078462&amp;Result=3","7078462")</f>
        <v>0</v>
      </c>
      <c r="B6760" t="s">
        <v>1388</v>
      </c>
      <c r="C6760" t="s">
        <v>9974</v>
      </c>
      <c r="E6760" t="s">
        <v>21613</v>
      </c>
      <c r="F6760" t="s">
        <v>31362</v>
      </c>
      <c r="G6760" t="s">
        <v>31369</v>
      </c>
      <c r="H6760" t="s">
        <v>15799</v>
      </c>
      <c r="I6760" t="s">
        <v>31404</v>
      </c>
      <c r="J6760" t="s">
        <v>31641</v>
      </c>
      <c r="K6760" t="s">
        <v>40662</v>
      </c>
      <c r="M6760" t="s">
        <v>42413</v>
      </c>
      <c r="N6760" t="s">
        <v>44905</v>
      </c>
      <c r="O6760" t="s">
        <v>44906</v>
      </c>
      <c r="P6760">
        <v>0</v>
      </c>
      <c r="Q6760">
        <v>0</v>
      </c>
      <c r="R6760" t="s">
        <v>44909</v>
      </c>
      <c r="S6760" t="s">
        <v>45060</v>
      </c>
      <c r="T6760" t="s">
        <v>46559</v>
      </c>
      <c r="U6760" t="s">
        <v>52389</v>
      </c>
      <c r="W6760" t="s">
        <v>42413</v>
      </c>
      <c r="X6760" t="s">
        <v>44910</v>
      </c>
    </row>
    <row r="6761" spans="1:24">
      <c r="A6761">
        <f>HYPERLINK("https://www.philgeps.gov.ph/GEPSNONPILOT/Tender/SplashBidNoticeAbstractUI.aspx?menuIndex=3&amp;refID=7078554&amp;Result=3","7078554")</f>
        <v>0</v>
      </c>
      <c r="B6761" t="s">
        <v>2070</v>
      </c>
      <c r="C6761" t="s">
        <v>9975</v>
      </c>
      <c r="D6761" t="s">
        <v>18125</v>
      </c>
      <c r="E6761" t="s">
        <v>24199</v>
      </c>
      <c r="F6761" t="s">
        <v>31362</v>
      </c>
      <c r="G6761" t="s">
        <v>31368</v>
      </c>
      <c r="H6761" t="s">
        <v>31378</v>
      </c>
      <c r="I6761" t="s">
        <v>31386</v>
      </c>
      <c r="J6761" t="s">
        <v>34854</v>
      </c>
      <c r="K6761" t="s">
        <v>40686</v>
      </c>
      <c r="M6761" t="s">
        <v>43192</v>
      </c>
      <c r="N6761" t="s">
        <v>44905</v>
      </c>
      <c r="O6761" t="s">
        <v>44906</v>
      </c>
      <c r="P6761">
        <v>0</v>
      </c>
      <c r="Q6761">
        <v>0</v>
      </c>
      <c r="R6761" t="s">
        <v>44909</v>
      </c>
      <c r="S6761" t="s">
        <v>45060</v>
      </c>
      <c r="T6761" t="s">
        <v>46432</v>
      </c>
      <c r="U6761" t="s">
        <v>52428</v>
      </c>
      <c r="W6761" t="s">
        <v>43192</v>
      </c>
      <c r="X6761" t="s">
        <v>44910</v>
      </c>
    </row>
    <row r="6762" spans="1:24">
      <c r="A6762">
        <f>HYPERLINK("https://www.philgeps.gov.ph/GEPSNONPILOT/Tender/SplashBidNoticeAbstractUI.aspx?menuIndex=3&amp;refID=7078553&amp;Result=3","7078553")</f>
        <v>0</v>
      </c>
      <c r="B6762" t="s">
        <v>585</v>
      </c>
      <c r="C6762" t="s">
        <v>7619</v>
      </c>
      <c r="D6762" t="s">
        <v>18100</v>
      </c>
      <c r="E6762" t="s">
        <v>24200</v>
      </c>
      <c r="F6762" t="s">
        <v>31362</v>
      </c>
      <c r="G6762" t="s">
        <v>31368</v>
      </c>
      <c r="H6762" t="s">
        <v>15799</v>
      </c>
      <c r="I6762" t="s">
        <v>31404</v>
      </c>
      <c r="J6762" t="s">
        <v>35683</v>
      </c>
      <c r="K6762" t="s">
        <v>40662</v>
      </c>
      <c r="M6762" t="s">
        <v>41542</v>
      </c>
      <c r="N6762" t="s">
        <v>44905</v>
      </c>
      <c r="O6762" t="s">
        <v>44906</v>
      </c>
      <c r="P6762">
        <v>0</v>
      </c>
      <c r="Q6762">
        <v>0</v>
      </c>
      <c r="R6762" t="s">
        <v>44909</v>
      </c>
      <c r="S6762" t="s">
        <v>45060</v>
      </c>
      <c r="T6762" t="s">
        <v>46447</v>
      </c>
      <c r="U6762" t="s">
        <v>49538</v>
      </c>
      <c r="W6762" t="s">
        <v>41542</v>
      </c>
      <c r="X6762" t="s">
        <v>44910</v>
      </c>
    </row>
    <row r="6763" spans="1:24">
      <c r="A6763">
        <f>HYPERLINK("https://www.philgeps.gov.ph/GEPSNONPILOT/Tender/SplashBidNoticeAbstractUI.aspx?menuIndex=3&amp;refID=7078550&amp;Result=3","7078550")</f>
        <v>0</v>
      </c>
      <c r="B6763" t="s">
        <v>2071</v>
      </c>
      <c r="C6763" t="s">
        <v>9976</v>
      </c>
      <c r="D6763" t="s">
        <v>18128</v>
      </c>
      <c r="E6763" t="s">
        <v>24201</v>
      </c>
      <c r="F6763" t="s">
        <v>31362</v>
      </c>
      <c r="G6763" t="s">
        <v>31369</v>
      </c>
      <c r="H6763" t="s">
        <v>15799</v>
      </c>
      <c r="I6763" t="s">
        <v>3815</v>
      </c>
      <c r="J6763" t="s">
        <v>35684</v>
      </c>
      <c r="K6763" t="s">
        <v>40665</v>
      </c>
      <c r="M6763" t="s">
        <v>43193</v>
      </c>
      <c r="N6763" t="s">
        <v>44905</v>
      </c>
      <c r="O6763" t="s">
        <v>44906</v>
      </c>
      <c r="P6763">
        <v>0</v>
      </c>
      <c r="Q6763">
        <v>0</v>
      </c>
      <c r="R6763" t="s">
        <v>44909</v>
      </c>
      <c r="S6763" t="s">
        <v>45060</v>
      </c>
      <c r="T6763" t="s">
        <v>46575</v>
      </c>
      <c r="U6763" t="s">
        <v>52429</v>
      </c>
      <c r="W6763" t="s">
        <v>43193</v>
      </c>
      <c r="X6763" t="s">
        <v>44910</v>
      </c>
    </row>
    <row r="6764" spans="1:24">
      <c r="A6764">
        <f>HYPERLINK("https://www.philgeps.gov.ph/GEPSNONPILOT/Tender/SplashBidNoticeAbstractUI.aspx?menuIndex=3&amp;refID=7078509&amp;Result=3","7078509")</f>
        <v>0</v>
      </c>
      <c r="B6764" t="s">
        <v>833</v>
      </c>
      <c r="C6764" t="s">
        <v>9977</v>
      </c>
      <c r="D6764" t="s">
        <v>18171</v>
      </c>
      <c r="E6764" t="s">
        <v>24202</v>
      </c>
      <c r="F6764" t="s">
        <v>31362</v>
      </c>
      <c r="G6764" t="s">
        <v>31369</v>
      </c>
      <c r="H6764" t="s">
        <v>31378</v>
      </c>
      <c r="I6764" t="s">
        <v>31386</v>
      </c>
      <c r="J6764" t="s">
        <v>31637</v>
      </c>
      <c r="K6764" t="s">
        <v>40774</v>
      </c>
      <c r="M6764" t="s">
        <v>41807</v>
      </c>
      <c r="N6764" t="s">
        <v>44905</v>
      </c>
      <c r="O6764" t="s">
        <v>44906</v>
      </c>
      <c r="P6764">
        <v>0</v>
      </c>
      <c r="Q6764">
        <v>0</v>
      </c>
      <c r="R6764" t="s">
        <v>44909</v>
      </c>
      <c r="S6764" t="s">
        <v>45060</v>
      </c>
      <c r="T6764" t="s">
        <v>46433</v>
      </c>
      <c r="U6764" t="s">
        <v>52430</v>
      </c>
      <c r="V6764" t="s">
        <v>59719</v>
      </c>
      <c r="W6764" t="s">
        <v>41807</v>
      </c>
      <c r="X6764" t="s">
        <v>44910</v>
      </c>
    </row>
    <row r="6765" spans="1:24">
      <c r="A6765">
        <f>HYPERLINK("https://www.philgeps.gov.ph/GEPSNONPILOT/Tender/SplashBidNoticeAbstractUI.aspx?menuIndex=3&amp;refID=7078551&amp;Result=3","7078551")</f>
        <v>0</v>
      </c>
      <c r="B6765" t="s">
        <v>1006</v>
      </c>
      <c r="C6765" t="s">
        <v>9978</v>
      </c>
      <c r="D6765" t="s">
        <v>18111</v>
      </c>
      <c r="E6765" t="s">
        <v>24203</v>
      </c>
      <c r="F6765" t="s">
        <v>31362</v>
      </c>
      <c r="G6765" t="s">
        <v>31370</v>
      </c>
      <c r="H6765" t="s">
        <v>15799</v>
      </c>
      <c r="I6765" t="s">
        <v>7090</v>
      </c>
      <c r="J6765" t="s">
        <v>32510</v>
      </c>
      <c r="K6765" t="s">
        <v>40662</v>
      </c>
      <c r="M6765" t="s">
        <v>42003</v>
      </c>
      <c r="N6765" t="s">
        <v>44905</v>
      </c>
      <c r="O6765" t="s">
        <v>44906</v>
      </c>
      <c r="P6765">
        <v>0</v>
      </c>
      <c r="Q6765">
        <v>2</v>
      </c>
      <c r="R6765" t="s">
        <v>44909</v>
      </c>
      <c r="S6765" t="s">
        <v>45060</v>
      </c>
      <c r="T6765" t="s">
        <v>46400</v>
      </c>
      <c r="U6765" t="s">
        <v>52431</v>
      </c>
      <c r="W6765" t="s">
        <v>42003</v>
      </c>
      <c r="X6765" t="s">
        <v>44910</v>
      </c>
    </row>
    <row r="6766" spans="1:24">
      <c r="A6766">
        <f>HYPERLINK("https://www.philgeps.gov.ph/GEPSNONPILOT/Tender/SplashBidNoticeAbstractUI.aspx?menuIndex=3&amp;refID=7078552&amp;Result=3","7078552")</f>
        <v>0</v>
      </c>
      <c r="B6766" t="s">
        <v>1601</v>
      </c>
      <c r="C6766" t="s">
        <v>9979</v>
      </c>
      <c r="D6766" t="s">
        <v>18100</v>
      </c>
      <c r="E6766" t="s">
        <v>24204</v>
      </c>
      <c r="F6766" t="s">
        <v>31362</v>
      </c>
      <c r="G6766" t="s">
        <v>31369</v>
      </c>
      <c r="H6766" t="s">
        <v>15799</v>
      </c>
      <c r="I6766" t="s">
        <v>3815</v>
      </c>
      <c r="J6766" t="s">
        <v>31659</v>
      </c>
      <c r="K6766" t="s">
        <v>40693</v>
      </c>
      <c r="M6766" t="s">
        <v>42660</v>
      </c>
      <c r="N6766" t="s">
        <v>44905</v>
      </c>
      <c r="O6766" t="s">
        <v>44906</v>
      </c>
      <c r="P6766">
        <v>0</v>
      </c>
      <c r="Q6766">
        <v>0</v>
      </c>
      <c r="R6766" t="s">
        <v>44909</v>
      </c>
      <c r="S6766" t="s">
        <v>45060</v>
      </c>
      <c r="T6766" t="s">
        <v>46403</v>
      </c>
      <c r="U6766" t="s">
        <v>52432</v>
      </c>
      <c r="W6766" t="s">
        <v>42660</v>
      </c>
      <c r="X6766" t="s">
        <v>44910</v>
      </c>
    </row>
    <row r="6767" spans="1:24">
      <c r="A6767">
        <f>HYPERLINK("https://www.philgeps.gov.ph/GEPSNONPILOT/Tender/SplashBidNoticeAbstractUI.aspx?menuIndex=3&amp;refID=7078547&amp;Result=3","7078547")</f>
        <v>0</v>
      </c>
      <c r="B6767" t="s">
        <v>2072</v>
      </c>
      <c r="C6767" t="s">
        <v>9980</v>
      </c>
      <c r="D6767" t="s">
        <v>18164</v>
      </c>
      <c r="E6767" t="s">
        <v>19313</v>
      </c>
      <c r="F6767" t="s">
        <v>31362</v>
      </c>
      <c r="G6767" t="s">
        <v>31369</v>
      </c>
      <c r="H6767" t="s">
        <v>15799</v>
      </c>
      <c r="I6767" t="s">
        <v>3815</v>
      </c>
      <c r="J6767" t="s">
        <v>35685</v>
      </c>
      <c r="K6767" t="s">
        <v>40670</v>
      </c>
      <c r="M6767" t="s">
        <v>43194</v>
      </c>
      <c r="N6767" t="s">
        <v>44905</v>
      </c>
      <c r="O6767" t="s">
        <v>44906</v>
      </c>
      <c r="P6767">
        <v>0</v>
      </c>
      <c r="Q6767">
        <v>1</v>
      </c>
      <c r="R6767" t="s">
        <v>44909</v>
      </c>
      <c r="S6767" t="s">
        <v>45060</v>
      </c>
      <c r="T6767" t="s">
        <v>46426</v>
      </c>
      <c r="U6767" t="s">
        <v>52433</v>
      </c>
      <c r="W6767" t="s">
        <v>43194</v>
      </c>
      <c r="X6767" t="s">
        <v>44910</v>
      </c>
    </row>
    <row r="6768" spans="1:24">
      <c r="A6768">
        <f>HYPERLINK("https://www.philgeps.gov.ph/GEPSNONPILOT/Tender/SplashBidNoticeAbstractUI.aspx?menuIndex=3&amp;refID=7078544&amp;Result=3","7078544")</f>
        <v>0</v>
      </c>
      <c r="B6768" t="s">
        <v>865</v>
      </c>
      <c r="C6768" t="s">
        <v>9981</v>
      </c>
      <c r="D6768" t="s">
        <v>18148</v>
      </c>
      <c r="E6768" t="s">
        <v>24205</v>
      </c>
      <c r="F6768" t="s">
        <v>31362</v>
      </c>
      <c r="G6768" t="s">
        <v>31368</v>
      </c>
      <c r="H6768" t="s">
        <v>31379</v>
      </c>
      <c r="I6768" t="s">
        <v>31386</v>
      </c>
      <c r="J6768" t="s">
        <v>31730</v>
      </c>
      <c r="K6768" t="s">
        <v>40679</v>
      </c>
      <c r="M6768" t="s">
        <v>41841</v>
      </c>
      <c r="N6768" t="s">
        <v>44905</v>
      </c>
      <c r="O6768" t="s">
        <v>44906</v>
      </c>
      <c r="P6768">
        <v>0</v>
      </c>
      <c r="Q6768">
        <v>1</v>
      </c>
      <c r="R6768" t="s">
        <v>44909</v>
      </c>
      <c r="S6768" t="s">
        <v>45060</v>
      </c>
      <c r="T6768" t="s">
        <v>46435</v>
      </c>
      <c r="U6768" t="s">
        <v>52434</v>
      </c>
      <c r="W6768" t="s">
        <v>41841</v>
      </c>
      <c r="X6768" t="s">
        <v>44910</v>
      </c>
    </row>
    <row r="6769" spans="1:24">
      <c r="A6769">
        <f>HYPERLINK("https://www.philgeps.gov.ph/GEPSNONPILOT/Tender/SplashBidNoticeAbstractUI.aspx?menuIndex=3&amp;refID=7078542&amp;Result=3","7078542")</f>
        <v>0</v>
      </c>
      <c r="B6769" t="s">
        <v>2073</v>
      </c>
      <c r="C6769" t="s">
        <v>9982</v>
      </c>
      <c r="D6769" t="s">
        <v>18116</v>
      </c>
      <c r="E6769" t="s">
        <v>18874</v>
      </c>
      <c r="F6769" t="s">
        <v>31362</v>
      </c>
      <c r="G6769" t="s">
        <v>31369</v>
      </c>
      <c r="H6769" t="s">
        <v>15799</v>
      </c>
      <c r="I6769" t="s">
        <v>31409</v>
      </c>
      <c r="J6769" t="s">
        <v>31586</v>
      </c>
      <c r="K6769" t="s">
        <v>40661</v>
      </c>
      <c r="M6769" t="s">
        <v>43195</v>
      </c>
      <c r="N6769" t="s">
        <v>44905</v>
      </c>
      <c r="O6769" t="s">
        <v>44906</v>
      </c>
      <c r="P6769">
        <v>0</v>
      </c>
      <c r="Q6769">
        <v>0</v>
      </c>
      <c r="R6769" t="s">
        <v>44909</v>
      </c>
      <c r="S6769" t="s">
        <v>45060</v>
      </c>
      <c r="T6769" t="s">
        <v>46400</v>
      </c>
      <c r="U6769" t="s">
        <v>52435</v>
      </c>
      <c r="W6769" t="s">
        <v>43195</v>
      </c>
      <c r="X6769" t="s">
        <v>44910</v>
      </c>
    </row>
    <row r="6770" spans="1:24">
      <c r="A6770">
        <f>HYPERLINK("https://www.philgeps.gov.ph/GEPSNONPILOT/Tender/SplashBidNoticeAbstractUI.aspx?menuIndex=3&amp;refID=7078540&amp;Result=3","7078540")</f>
        <v>0</v>
      </c>
      <c r="B6770" t="s">
        <v>2074</v>
      </c>
      <c r="C6770" t="s">
        <v>9983</v>
      </c>
      <c r="D6770" t="s">
        <v>18108</v>
      </c>
      <c r="E6770" t="s">
        <v>24206</v>
      </c>
      <c r="F6770" t="s">
        <v>31362</v>
      </c>
      <c r="G6770" t="s">
        <v>31369</v>
      </c>
      <c r="H6770" t="s">
        <v>31378</v>
      </c>
      <c r="I6770" t="s">
        <v>31386</v>
      </c>
      <c r="J6770" t="s">
        <v>35686</v>
      </c>
      <c r="K6770" t="s">
        <v>40682</v>
      </c>
      <c r="M6770" t="s">
        <v>43196</v>
      </c>
      <c r="N6770" t="s">
        <v>44905</v>
      </c>
      <c r="O6770" t="s">
        <v>44906</v>
      </c>
      <c r="P6770">
        <v>0</v>
      </c>
      <c r="Q6770">
        <v>1</v>
      </c>
      <c r="R6770" t="s">
        <v>44909</v>
      </c>
      <c r="S6770" t="s">
        <v>45060</v>
      </c>
      <c r="T6770" t="s">
        <v>46736</v>
      </c>
      <c r="U6770" t="s">
        <v>52436</v>
      </c>
      <c r="V6770" t="s">
        <v>59720</v>
      </c>
      <c r="W6770" t="s">
        <v>43196</v>
      </c>
      <c r="X6770" t="s">
        <v>44910</v>
      </c>
    </row>
    <row r="6771" spans="1:24">
      <c r="A6771">
        <f>HYPERLINK("https://www.philgeps.gov.ph/GEPSNONPILOT/Tender/SplashBidNoticeAbstractUI.aspx?menuIndex=3&amp;refID=7078531&amp;Result=3","7078531")</f>
        <v>0</v>
      </c>
      <c r="B6771" t="s">
        <v>2075</v>
      </c>
      <c r="C6771" t="s">
        <v>9984</v>
      </c>
      <c r="D6771" t="s">
        <v>18143</v>
      </c>
      <c r="E6771" t="s">
        <v>24207</v>
      </c>
      <c r="F6771" t="s">
        <v>31362</v>
      </c>
      <c r="G6771" t="s">
        <v>31369</v>
      </c>
      <c r="H6771" t="s">
        <v>15799</v>
      </c>
      <c r="I6771" t="s">
        <v>31392</v>
      </c>
      <c r="J6771" t="s">
        <v>35687</v>
      </c>
      <c r="K6771" t="s">
        <v>40661</v>
      </c>
      <c r="M6771" t="s">
        <v>43197</v>
      </c>
      <c r="N6771" t="s">
        <v>44905</v>
      </c>
      <c r="O6771" t="s">
        <v>44906</v>
      </c>
      <c r="P6771">
        <v>0</v>
      </c>
      <c r="Q6771">
        <v>0</v>
      </c>
      <c r="R6771" t="s">
        <v>44909</v>
      </c>
      <c r="S6771" t="s">
        <v>45060</v>
      </c>
      <c r="T6771" t="s">
        <v>46435</v>
      </c>
      <c r="U6771" t="s">
        <v>52437</v>
      </c>
      <c r="W6771" t="s">
        <v>43197</v>
      </c>
      <c r="X6771" t="s">
        <v>44910</v>
      </c>
    </row>
    <row r="6772" spans="1:24">
      <c r="A6772">
        <f>HYPERLINK("https://www.philgeps.gov.ph/GEPSNONPILOT/Tender/SplashBidNoticeAbstractUI.aspx?menuIndex=3&amp;refID=7078539&amp;Result=3","7078539")</f>
        <v>0</v>
      </c>
      <c r="B6772" t="s">
        <v>2073</v>
      </c>
      <c r="C6772" t="s">
        <v>9985</v>
      </c>
      <c r="D6772" t="s">
        <v>18116</v>
      </c>
      <c r="E6772" t="s">
        <v>18648</v>
      </c>
      <c r="F6772" t="s">
        <v>31362</v>
      </c>
      <c r="G6772" t="s">
        <v>31369</v>
      </c>
      <c r="H6772" t="s">
        <v>15799</v>
      </c>
      <c r="I6772" t="s">
        <v>31409</v>
      </c>
      <c r="J6772" t="s">
        <v>31591</v>
      </c>
      <c r="K6772" t="s">
        <v>40661</v>
      </c>
      <c r="M6772" t="s">
        <v>43195</v>
      </c>
      <c r="N6772" t="s">
        <v>44905</v>
      </c>
      <c r="O6772" t="s">
        <v>44906</v>
      </c>
      <c r="P6772">
        <v>0</v>
      </c>
      <c r="Q6772">
        <v>0</v>
      </c>
      <c r="R6772" t="s">
        <v>44909</v>
      </c>
      <c r="S6772" t="s">
        <v>45060</v>
      </c>
      <c r="T6772" t="s">
        <v>46400</v>
      </c>
      <c r="U6772" t="s">
        <v>52438</v>
      </c>
      <c r="W6772" t="s">
        <v>43195</v>
      </c>
      <c r="X6772" t="s">
        <v>44910</v>
      </c>
    </row>
    <row r="6773" spans="1:24">
      <c r="A6773">
        <f>HYPERLINK("https://www.philgeps.gov.ph/GEPSNONPILOT/Tender/SplashBidNoticeAbstractUI.aspx?menuIndex=3&amp;refID=7078537&amp;Result=3","7078537")</f>
        <v>0</v>
      </c>
      <c r="B6773" t="s">
        <v>2071</v>
      </c>
      <c r="C6773" t="s">
        <v>9986</v>
      </c>
      <c r="D6773" t="s">
        <v>18128</v>
      </c>
      <c r="E6773" t="s">
        <v>24208</v>
      </c>
      <c r="F6773" t="s">
        <v>31362</v>
      </c>
      <c r="G6773" t="s">
        <v>31369</v>
      </c>
      <c r="H6773" t="s">
        <v>15799</v>
      </c>
      <c r="I6773" t="s">
        <v>31427</v>
      </c>
      <c r="J6773" t="s">
        <v>31857</v>
      </c>
      <c r="K6773" t="s">
        <v>40665</v>
      </c>
      <c r="M6773" t="s">
        <v>43193</v>
      </c>
      <c r="N6773" t="s">
        <v>44905</v>
      </c>
      <c r="O6773" t="s">
        <v>44906</v>
      </c>
      <c r="P6773">
        <v>0</v>
      </c>
      <c r="Q6773">
        <v>1</v>
      </c>
      <c r="R6773" t="s">
        <v>44909</v>
      </c>
      <c r="S6773" t="s">
        <v>45060</v>
      </c>
      <c r="T6773" t="s">
        <v>46575</v>
      </c>
      <c r="U6773" t="s">
        <v>52439</v>
      </c>
      <c r="W6773" t="s">
        <v>43193</v>
      </c>
      <c r="X6773" t="s">
        <v>44910</v>
      </c>
    </row>
    <row r="6774" spans="1:24">
      <c r="A6774">
        <f>HYPERLINK("https://www.philgeps.gov.ph/GEPSNONPILOT/Tender/SplashBidNoticeAbstractUI.aspx?menuIndex=3&amp;refID=7078535&amp;Result=3","7078535")</f>
        <v>0</v>
      </c>
      <c r="B6774" t="s">
        <v>138</v>
      </c>
      <c r="C6774" t="s">
        <v>9987</v>
      </c>
      <c r="D6774" t="s">
        <v>18108</v>
      </c>
      <c r="E6774" t="s">
        <v>24209</v>
      </c>
      <c r="F6774" t="s">
        <v>31362</v>
      </c>
      <c r="G6774" t="s">
        <v>31368</v>
      </c>
      <c r="H6774" t="s">
        <v>15799</v>
      </c>
      <c r="I6774" t="s">
        <v>6155</v>
      </c>
      <c r="J6774" t="s">
        <v>35688</v>
      </c>
      <c r="K6774" t="s">
        <v>40662</v>
      </c>
      <c r="M6774" t="s">
        <v>41076</v>
      </c>
      <c r="N6774" t="s">
        <v>44905</v>
      </c>
      <c r="O6774" t="s">
        <v>44906</v>
      </c>
      <c r="P6774">
        <v>0</v>
      </c>
      <c r="Q6774">
        <v>12</v>
      </c>
      <c r="R6774" t="s">
        <v>44909</v>
      </c>
      <c r="S6774" t="s">
        <v>45060</v>
      </c>
      <c r="T6774" t="s">
        <v>46443</v>
      </c>
      <c r="U6774" t="s">
        <v>52440</v>
      </c>
      <c r="W6774" t="s">
        <v>41076</v>
      </c>
      <c r="X6774" t="s">
        <v>44910</v>
      </c>
    </row>
    <row r="6775" spans="1:24">
      <c r="A6775">
        <f>HYPERLINK("https://www.philgeps.gov.ph/GEPSNONPILOT/Tender/SplashBidNoticeAbstractUI.aspx?menuIndex=3&amp;refID=7078533&amp;Result=3","7078533")</f>
        <v>0</v>
      </c>
      <c r="B6775" t="s">
        <v>2063</v>
      </c>
      <c r="C6775" t="s">
        <v>9988</v>
      </c>
      <c r="D6775" t="s">
        <v>18127</v>
      </c>
      <c r="E6775" t="s">
        <v>24210</v>
      </c>
      <c r="F6775" t="s">
        <v>31362</v>
      </c>
      <c r="G6775" t="s">
        <v>31368</v>
      </c>
      <c r="H6775" t="s">
        <v>31378</v>
      </c>
      <c r="I6775" t="s">
        <v>31386</v>
      </c>
      <c r="J6775" t="s">
        <v>31578</v>
      </c>
      <c r="K6775" t="s">
        <v>40670</v>
      </c>
      <c r="M6775" t="s">
        <v>43185</v>
      </c>
      <c r="N6775" t="s">
        <v>44905</v>
      </c>
      <c r="O6775" t="s">
        <v>44906</v>
      </c>
      <c r="P6775">
        <v>0</v>
      </c>
      <c r="Q6775">
        <v>0</v>
      </c>
      <c r="R6775" t="s">
        <v>44909</v>
      </c>
      <c r="S6775" t="s">
        <v>45060</v>
      </c>
      <c r="T6775" t="s">
        <v>46701</v>
      </c>
      <c r="U6775" t="s">
        <v>52412</v>
      </c>
      <c r="W6775" t="s">
        <v>43185</v>
      </c>
      <c r="X6775" t="s">
        <v>44910</v>
      </c>
    </row>
    <row r="6776" spans="1:24">
      <c r="A6776">
        <f>HYPERLINK("https://www.philgeps.gov.ph/GEPSNONPILOT/Tender/SplashBidNoticeAbstractUI.aspx?menuIndex=3&amp;refID=7078541&amp;Result=3","7078541")</f>
        <v>0</v>
      </c>
      <c r="B6776" t="s">
        <v>825</v>
      </c>
      <c r="C6776" t="s">
        <v>9989</v>
      </c>
      <c r="D6776" t="s">
        <v>18110</v>
      </c>
      <c r="E6776" t="s">
        <v>24211</v>
      </c>
      <c r="F6776" t="s">
        <v>31362</v>
      </c>
      <c r="G6776" t="s">
        <v>31368</v>
      </c>
      <c r="H6776" t="s">
        <v>15799</v>
      </c>
      <c r="I6776" t="s">
        <v>31383</v>
      </c>
      <c r="J6776" t="s">
        <v>32082</v>
      </c>
      <c r="K6776" t="s">
        <v>40666</v>
      </c>
      <c r="M6776" t="s">
        <v>41798</v>
      </c>
      <c r="N6776" t="s">
        <v>44905</v>
      </c>
      <c r="O6776" t="s">
        <v>44906</v>
      </c>
      <c r="P6776">
        <v>0</v>
      </c>
      <c r="Q6776">
        <v>2</v>
      </c>
      <c r="R6776" t="s">
        <v>44909</v>
      </c>
      <c r="S6776" t="s">
        <v>45060</v>
      </c>
      <c r="T6776" t="s">
        <v>46597</v>
      </c>
      <c r="U6776" t="s">
        <v>52441</v>
      </c>
      <c r="V6776" t="s">
        <v>59261</v>
      </c>
      <c r="W6776" t="s">
        <v>41798</v>
      </c>
      <c r="X6776" t="s">
        <v>44910</v>
      </c>
    </row>
    <row r="6777" spans="1:24">
      <c r="A6777">
        <f>HYPERLINK("https://www.philgeps.gov.ph/GEPSNONPILOT/Tender/SplashBidNoticeAbstractUI.aspx?menuIndex=3&amp;refID=7078536&amp;Result=3","7078536")</f>
        <v>0</v>
      </c>
      <c r="B6777" t="s">
        <v>2063</v>
      </c>
      <c r="C6777" t="s">
        <v>9990</v>
      </c>
      <c r="D6777" t="s">
        <v>18127</v>
      </c>
      <c r="E6777" t="s">
        <v>24212</v>
      </c>
      <c r="F6777" t="s">
        <v>31362</v>
      </c>
      <c r="G6777" t="s">
        <v>31368</v>
      </c>
      <c r="H6777" t="s">
        <v>31378</v>
      </c>
      <c r="I6777" t="s">
        <v>31386</v>
      </c>
      <c r="J6777" t="s">
        <v>31578</v>
      </c>
      <c r="K6777" t="s">
        <v>40670</v>
      </c>
      <c r="M6777" t="s">
        <v>43185</v>
      </c>
      <c r="N6777" t="s">
        <v>44905</v>
      </c>
      <c r="O6777" t="s">
        <v>44906</v>
      </c>
      <c r="P6777">
        <v>0</v>
      </c>
      <c r="Q6777">
        <v>0</v>
      </c>
      <c r="R6777" t="s">
        <v>44909</v>
      </c>
      <c r="S6777" t="s">
        <v>45060</v>
      </c>
      <c r="T6777" t="s">
        <v>46701</v>
      </c>
      <c r="U6777" t="s">
        <v>52412</v>
      </c>
      <c r="W6777" t="s">
        <v>43185</v>
      </c>
      <c r="X6777" t="s">
        <v>44910</v>
      </c>
    </row>
    <row r="6778" spans="1:24">
      <c r="A6778">
        <f>HYPERLINK("https://www.philgeps.gov.ph/GEPSNONPILOT/Tender/SplashBidNoticeAbstractUI.aspx?menuIndex=3&amp;refID=7078555&amp;Result=3","7078555")</f>
        <v>0</v>
      </c>
      <c r="B6778" t="s">
        <v>79</v>
      </c>
      <c r="C6778" t="s">
        <v>7090</v>
      </c>
      <c r="D6778" t="s">
        <v>18114</v>
      </c>
      <c r="E6778" t="s">
        <v>24213</v>
      </c>
      <c r="F6778" t="s">
        <v>31362</v>
      </c>
      <c r="G6778" t="s">
        <v>31368</v>
      </c>
      <c r="H6778" t="s">
        <v>15799</v>
      </c>
      <c r="I6778" t="s">
        <v>7090</v>
      </c>
      <c r="J6778" t="s">
        <v>34946</v>
      </c>
      <c r="K6778" t="s">
        <v>40665</v>
      </c>
      <c r="M6778" t="s">
        <v>41015</v>
      </c>
      <c r="N6778" t="s">
        <v>44905</v>
      </c>
      <c r="O6778" t="s">
        <v>44906</v>
      </c>
      <c r="P6778">
        <v>0</v>
      </c>
      <c r="Q6778">
        <v>0</v>
      </c>
      <c r="R6778" t="s">
        <v>44909</v>
      </c>
      <c r="S6778" t="s">
        <v>45060</v>
      </c>
      <c r="T6778" t="s">
        <v>46411</v>
      </c>
      <c r="U6778" t="s">
        <v>52442</v>
      </c>
      <c r="W6778" t="s">
        <v>41015</v>
      </c>
      <c r="X6778" t="s">
        <v>44910</v>
      </c>
    </row>
    <row r="6779" spans="1:24">
      <c r="A6779">
        <f>HYPERLINK("https://www.philgeps.gov.ph/GEPSNONPILOT/Tender/SplashBidNoticeAbstractUI.aspx?menuIndex=3&amp;refID=7078534&amp;Result=3","7078534")</f>
        <v>0</v>
      </c>
      <c r="B6779" t="s">
        <v>2063</v>
      </c>
      <c r="C6779" t="s">
        <v>9991</v>
      </c>
      <c r="D6779" t="s">
        <v>18127</v>
      </c>
      <c r="E6779" t="s">
        <v>24214</v>
      </c>
      <c r="F6779" t="s">
        <v>31362</v>
      </c>
      <c r="G6779" t="s">
        <v>31368</v>
      </c>
      <c r="H6779" t="s">
        <v>31378</v>
      </c>
      <c r="I6779" t="s">
        <v>31386</v>
      </c>
      <c r="J6779" t="s">
        <v>31578</v>
      </c>
      <c r="K6779" t="s">
        <v>40670</v>
      </c>
      <c r="M6779" t="s">
        <v>43185</v>
      </c>
      <c r="N6779" t="s">
        <v>44905</v>
      </c>
      <c r="O6779" t="s">
        <v>44906</v>
      </c>
      <c r="P6779">
        <v>0</v>
      </c>
      <c r="Q6779">
        <v>0</v>
      </c>
      <c r="R6779" t="s">
        <v>44909</v>
      </c>
      <c r="S6779" t="s">
        <v>45060</v>
      </c>
      <c r="T6779" t="s">
        <v>46701</v>
      </c>
      <c r="U6779" t="s">
        <v>52412</v>
      </c>
      <c r="W6779" t="s">
        <v>43185</v>
      </c>
      <c r="X6779" t="s">
        <v>44910</v>
      </c>
    </row>
    <row r="6780" spans="1:24">
      <c r="A6780">
        <f>HYPERLINK("https://www.philgeps.gov.ph/GEPSNONPILOT/Tender/SplashBidNoticeAbstractUI.aspx?menuIndex=3&amp;refID=7078569&amp;Result=3","7078569")</f>
        <v>0</v>
      </c>
      <c r="B6780" t="s">
        <v>1339</v>
      </c>
      <c r="C6780" t="s">
        <v>9992</v>
      </c>
      <c r="D6780" t="s">
        <v>18169</v>
      </c>
      <c r="E6780" t="s">
        <v>24215</v>
      </c>
      <c r="F6780" t="s">
        <v>31362</v>
      </c>
      <c r="G6780" t="s">
        <v>31368</v>
      </c>
      <c r="H6780" t="s">
        <v>15799</v>
      </c>
      <c r="I6780" t="s">
        <v>31387</v>
      </c>
      <c r="J6780" t="s">
        <v>35689</v>
      </c>
      <c r="K6780" t="s">
        <v>40661</v>
      </c>
      <c r="M6780" t="s">
        <v>42358</v>
      </c>
      <c r="N6780" t="s">
        <v>44905</v>
      </c>
      <c r="O6780" t="s">
        <v>44906</v>
      </c>
      <c r="P6780">
        <v>0</v>
      </c>
      <c r="Q6780">
        <v>0</v>
      </c>
      <c r="R6780" t="s">
        <v>44909</v>
      </c>
      <c r="S6780" t="s">
        <v>45060</v>
      </c>
      <c r="T6780" t="s">
        <v>46432</v>
      </c>
      <c r="U6780" t="s">
        <v>52427</v>
      </c>
      <c r="W6780" t="s">
        <v>42358</v>
      </c>
      <c r="X6780" t="s">
        <v>44910</v>
      </c>
    </row>
    <row r="6781" spans="1:24">
      <c r="A6781">
        <f>HYPERLINK("https://www.philgeps.gov.ph/GEPSNONPILOT/Tender/SplashBidNoticeAbstractUI.aspx?menuIndex=3&amp;refID=7078568&amp;Result=3","7078568")</f>
        <v>0</v>
      </c>
      <c r="B6781" t="s">
        <v>79</v>
      </c>
      <c r="C6781" t="s">
        <v>7090</v>
      </c>
      <c r="D6781" t="s">
        <v>18114</v>
      </c>
      <c r="E6781" t="s">
        <v>24216</v>
      </c>
      <c r="F6781" t="s">
        <v>31362</v>
      </c>
      <c r="G6781" t="s">
        <v>31370</v>
      </c>
      <c r="H6781" t="s">
        <v>15799</v>
      </c>
      <c r="I6781" t="s">
        <v>7090</v>
      </c>
      <c r="J6781" t="s">
        <v>35690</v>
      </c>
      <c r="K6781" t="s">
        <v>40666</v>
      </c>
      <c r="M6781" t="s">
        <v>41015</v>
      </c>
      <c r="N6781" t="s">
        <v>44905</v>
      </c>
      <c r="O6781" t="s">
        <v>44906</v>
      </c>
      <c r="P6781">
        <v>0</v>
      </c>
      <c r="Q6781">
        <v>0</v>
      </c>
      <c r="R6781" t="s">
        <v>44909</v>
      </c>
      <c r="S6781" t="s">
        <v>45060</v>
      </c>
      <c r="T6781" t="s">
        <v>46411</v>
      </c>
      <c r="U6781" t="s">
        <v>52443</v>
      </c>
      <c r="W6781" t="s">
        <v>41015</v>
      </c>
      <c r="X6781" t="s">
        <v>44910</v>
      </c>
    </row>
    <row r="6782" spans="1:24">
      <c r="A6782">
        <f>HYPERLINK("https://www.philgeps.gov.ph/GEPSNONPILOT/Tender/SplashBidNoticeAbstractUI.aspx?menuIndex=3&amp;refID=7078567&amp;Result=3","7078567")</f>
        <v>0</v>
      </c>
      <c r="B6782" t="s">
        <v>2076</v>
      </c>
      <c r="C6782" t="s">
        <v>9993</v>
      </c>
      <c r="D6782" t="s">
        <v>18131</v>
      </c>
      <c r="E6782" t="s">
        <v>24217</v>
      </c>
      <c r="F6782" t="s">
        <v>31362</v>
      </c>
      <c r="G6782" t="s">
        <v>31368</v>
      </c>
      <c r="H6782" t="s">
        <v>15799</v>
      </c>
      <c r="I6782" t="s">
        <v>31390</v>
      </c>
      <c r="J6782" t="s">
        <v>35691</v>
      </c>
      <c r="K6782" t="s">
        <v>40661</v>
      </c>
      <c r="M6782" t="s">
        <v>43198</v>
      </c>
      <c r="N6782" t="s">
        <v>44905</v>
      </c>
      <c r="O6782" t="s">
        <v>44906</v>
      </c>
      <c r="P6782">
        <v>0</v>
      </c>
      <c r="Q6782">
        <v>0</v>
      </c>
      <c r="R6782" t="s">
        <v>44909</v>
      </c>
      <c r="S6782" t="s">
        <v>45060</v>
      </c>
      <c r="T6782" t="s">
        <v>46414</v>
      </c>
      <c r="U6782" t="s">
        <v>52444</v>
      </c>
      <c r="W6782" t="s">
        <v>43198</v>
      </c>
      <c r="X6782" t="s">
        <v>44910</v>
      </c>
    </row>
    <row r="6783" spans="1:24">
      <c r="A6783">
        <f>HYPERLINK("https://www.philgeps.gov.ph/GEPSNONPILOT/Tender/SplashBidNoticeAbstractUI.aspx?menuIndex=3&amp;refID=7078565&amp;Result=3","7078565")</f>
        <v>0</v>
      </c>
      <c r="B6783" t="s">
        <v>79</v>
      </c>
      <c r="C6783" t="s">
        <v>7090</v>
      </c>
      <c r="D6783" t="s">
        <v>18114</v>
      </c>
      <c r="E6783" t="s">
        <v>24218</v>
      </c>
      <c r="F6783" t="s">
        <v>31362</v>
      </c>
      <c r="G6783" t="s">
        <v>31368</v>
      </c>
      <c r="H6783" t="s">
        <v>15799</v>
      </c>
      <c r="I6783" t="s">
        <v>7090</v>
      </c>
      <c r="J6783" t="s">
        <v>35692</v>
      </c>
      <c r="K6783" t="s">
        <v>40666</v>
      </c>
      <c r="M6783" t="s">
        <v>41015</v>
      </c>
      <c r="N6783" t="s">
        <v>44905</v>
      </c>
      <c r="O6783" t="s">
        <v>44906</v>
      </c>
      <c r="P6783">
        <v>0</v>
      </c>
      <c r="Q6783">
        <v>0</v>
      </c>
      <c r="R6783" t="s">
        <v>44909</v>
      </c>
      <c r="S6783" t="s">
        <v>45060</v>
      </c>
      <c r="T6783" t="s">
        <v>46411</v>
      </c>
      <c r="U6783" t="s">
        <v>52445</v>
      </c>
      <c r="W6783" t="s">
        <v>41015</v>
      </c>
      <c r="X6783" t="s">
        <v>44910</v>
      </c>
    </row>
    <row r="6784" spans="1:24">
      <c r="A6784">
        <f>HYPERLINK("https://www.philgeps.gov.ph/GEPSNONPILOT/Tender/SplashBidNoticeAbstractUI.aspx?menuIndex=3&amp;refID=7078564&amp;Result=3","7078564")</f>
        <v>0</v>
      </c>
      <c r="B6784" t="s">
        <v>838</v>
      </c>
      <c r="C6784" t="s">
        <v>9994</v>
      </c>
      <c r="D6784" t="s">
        <v>18162</v>
      </c>
      <c r="E6784" t="s">
        <v>24219</v>
      </c>
      <c r="F6784" t="s">
        <v>31362</v>
      </c>
      <c r="G6784" t="s">
        <v>31368</v>
      </c>
      <c r="H6784" t="s">
        <v>15799</v>
      </c>
      <c r="I6784" t="s">
        <v>31430</v>
      </c>
      <c r="J6784" t="s">
        <v>35693</v>
      </c>
      <c r="K6784" t="s">
        <v>40662</v>
      </c>
      <c r="M6784" t="s">
        <v>41813</v>
      </c>
      <c r="N6784" t="s">
        <v>44905</v>
      </c>
      <c r="O6784" t="s">
        <v>44906</v>
      </c>
      <c r="P6784">
        <v>0</v>
      </c>
      <c r="Q6784">
        <v>0</v>
      </c>
      <c r="R6784" t="s">
        <v>44909</v>
      </c>
      <c r="S6784" t="s">
        <v>45060</v>
      </c>
      <c r="T6784" t="s">
        <v>46432</v>
      </c>
      <c r="U6784" t="s">
        <v>52446</v>
      </c>
      <c r="W6784" t="s">
        <v>41813</v>
      </c>
      <c r="X6784" t="s">
        <v>44910</v>
      </c>
    </row>
    <row r="6785" spans="1:24">
      <c r="A6785">
        <f>HYPERLINK("https://www.philgeps.gov.ph/GEPSNONPILOT/Tender/SplashBidNoticeAbstractUI.aspx?menuIndex=3&amp;refID=7078563&amp;Result=3","7078563")</f>
        <v>0</v>
      </c>
      <c r="B6785" t="s">
        <v>79</v>
      </c>
      <c r="C6785" t="s">
        <v>7090</v>
      </c>
      <c r="D6785" t="s">
        <v>18114</v>
      </c>
      <c r="E6785" t="s">
        <v>24220</v>
      </c>
      <c r="F6785" t="s">
        <v>31362</v>
      </c>
      <c r="G6785" t="s">
        <v>31370</v>
      </c>
      <c r="H6785" t="s">
        <v>15799</v>
      </c>
      <c r="I6785" t="s">
        <v>7090</v>
      </c>
      <c r="J6785" t="s">
        <v>32302</v>
      </c>
      <c r="K6785" t="s">
        <v>40666</v>
      </c>
      <c r="M6785" t="s">
        <v>41015</v>
      </c>
      <c r="N6785" t="s">
        <v>44905</v>
      </c>
      <c r="O6785" t="s">
        <v>44906</v>
      </c>
      <c r="P6785">
        <v>0</v>
      </c>
      <c r="Q6785">
        <v>0</v>
      </c>
      <c r="R6785" t="s">
        <v>44909</v>
      </c>
      <c r="S6785" t="s">
        <v>45060</v>
      </c>
      <c r="T6785" t="s">
        <v>46411</v>
      </c>
      <c r="U6785" t="s">
        <v>52447</v>
      </c>
      <c r="W6785" t="s">
        <v>41015</v>
      </c>
      <c r="X6785" t="s">
        <v>44910</v>
      </c>
    </row>
    <row r="6786" spans="1:24">
      <c r="A6786">
        <f>HYPERLINK("https://www.philgeps.gov.ph/GEPSNONPILOT/Tender/SplashBidNoticeAbstractUI.aspx?menuIndex=3&amp;refID=7078506&amp;Result=3","7078506")</f>
        <v>0</v>
      </c>
      <c r="B6786" t="s">
        <v>2066</v>
      </c>
      <c r="C6786" t="s">
        <v>9995</v>
      </c>
      <c r="D6786" t="s">
        <v>18148</v>
      </c>
      <c r="E6786" t="s">
        <v>18235</v>
      </c>
      <c r="F6786" t="s">
        <v>31362</v>
      </c>
      <c r="G6786" t="s">
        <v>31368</v>
      </c>
      <c r="H6786" t="s">
        <v>15799</v>
      </c>
      <c r="I6786" t="s">
        <v>31404</v>
      </c>
      <c r="J6786" t="s">
        <v>32577</v>
      </c>
      <c r="K6786" t="s">
        <v>40670</v>
      </c>
      <c r="M6786" t="s">
        <v>43188</v>
      </c>
      <c r="N6786" t="s">
        <v>44905</v>
      </c>
      <c r="O6786" t="s">
        <v>44906</v>
      </c>
      <c r="P6786">
        <v>0</v>
      </c>
      <c r="Q6786">
        <v>0</v>
      </c>
      <c r="R6786" t="s">
        <v>44909</v>
      </c>
      <c r="S6786" t="s">
        <v>45060</v>
      </c>
      <c r="T6786" t="s">
        <v>46483</v>
      </c>
      <c r="U6786" t="s">
        <v>52417</v>
      </c>
      <c r="V6786" t="s">
        <v>59717</v>
      </c>
      <c r="W6786" t="s">
        <v>43188</v>
      </c>
      <c r="X6786" t="s">
        <v>44910</v>
      </c>
    </row>
    <row r="6787" spans="1:24">
      <c r="A6787">
        <f>HYPERLINK("https://www.philgeps.gov.ph/GEPSNONPILOT/Tender/SplashBidNoticeAbstractUI.aspx?menuIndex=3&amp;refID=7078562&amp;Result=3","7078562")</f>
        <v>0</v>
      </c>
      <c r="B6787" t="s">
        <v>2077</v>
      </c>
      <c r="C6787" t="s">
        <v>9996</v>
      </c>
      <c r="D6787" t="s">
        <v>18108</v>
      </c>
      <c r="E6787" t="s">
        <v>24221</v>
      </c>
      <c r="F6787" t="s">
        <v>31362</v>
      </c>
      <c r="G6787" t="s">
        <v>31368</v>
      </c>
      <c r="H6787" t="s">
        <v>15799</v>
      </c>
      <c r="I6787" t="s">
        <v>6155</v>
      </c>
      <c r="J6787" t="s">
        <v>35694</v>
      </c>
      <c r="K6787" t="s">
        <v>40666</v>
      </c>
      <c r="M6787" t="s">
        <v>43199</v>
      </c>
      <c r="N6787" t="s">
        <v>44905</v>
      </c>
      <c r="O6787" t="s">
        <v>44906</v>
      </c>
      <c r="P6787">
        <v>0</v>
      </c>
      <c r="Q6787">
        <v>13</v>
      </c>
      <c r="R6787" t="s">
        <v>44909</v>
      </c>
      <c r="S6787" t="s">
        <v>45060</v>
      </c>
      <c r="T6787" t="s">
        <v>46409</v>
      </c>
      <c r="U6787" t="s">
        <v>52448</v>
      </c>
      <c r="V6787" t="s">
        <v>59721</v>
      </c>
      <c r="W6787" t="s">
        <v>43199</v>
      </c>
      <c r="X6787" t="s">
        <v>44910</v>
      </c>
    </row>
    <row r="6788" spans="1:24">
      <c r="A6788">
        <f>HYPERLINK("https://www.philgeps.gov.ph/GEPSNONPILOT/Tender/SplashBidNoticeAbstractUI.aspx?menuIndex=3&amp;refID=7078578&amp;Result=3","7078578")</f>
        <v>0</v>
      </c>
      <c r="B6788" t="s">
        <v>2078</v>
      </c>
      <c r="C6788" t="s">
        <v>9997</v>
      </c>
      <c r="D6788" t="s">
        <v>18179</v>
      </c>
      <c r="E6788" t="s">
        <v>24222</v>
      </c>
      <c r="F6788" t="s">
        <v>31362</v>
      </c>
      <c r="G6788" t="s">
        <v>31369</v>
      </c>
      <c r="H6788" t="s">
        <v>31378</v>
      </c>
      <c r="I6788" t="s">
        <v>31386</v>
      </c>
      <c r="J6788" t="s">
        <v>35695</v>
      </c>
      <c r="K6788" t="s">
        <v>40819</v>
      </c>
      <c r="M6788" t="s">
        <v>43200</v>
      </c>
      <c r="N6788" t="s">
        <v>44905</v>
      </c>
      <c r="O6788" t="s">
        <v>44906</v>
      </c>
      <c r="P6788">
        <v>0</v>
      </c>
      <c r="Q6788">
        <v>0</v>
      </c>
      <c r="R6788" t="s">
        <v>44909</v>
      </c>
      <c r="S6788" t="s">
        <v>45060</v>
      </c>
      <c r="T6788" t="s">
        <v>46433</v>
      </c>
      <c r="U6788" t="s">
        <v>52449</v>
      </c>
      <c r="W6788" t="s">
        <v>43200</v>
      </c>
      <c r="X6788" t="s">
        <v>44910</v>
      </c>
    </row>
    <row r="6789" spans="1:24">
      <c r="A6789">
        <f>HYPERLINK("https://www.philgeps.gov.ph/GEPSNONPILOT/Tender/SplashBidNoticeAbstractUI.aspx?menuIndex=3&amp;refID=7078556&amp;Result=3","7078556")</f>
        <v>0</v>
      </c>
      <c r="B6789" t="s">
        <v>585</v>
      </c>
      <c r="C6789" t="s">
        <v>9998</v>
      </c>
      <c r="D6789" t="s">
        <v>18100</v>
      </c>
      <c r="E6789" t="s">
        <v>24223</v>
      </c>
      <c r="F6789" t="s">
        <v>31362</v>
      </c>
      <c r="G6789" t="s">
        <v>31368</v>
      </c>
      <c r="H6789" t="s">
        <v>15799</v>
      </c>
      <c r="I6789" t="s">
        <v>7188</v>
      </c>
      <c r="J6789" t="s">
        <v>31648</v>
      </c>
      <c r="K6789" t="s">
        <v>40662</v>
      </c>
      <c r="M6789" t="s">
        <v>41542</v>
      </c>
      <c r="N6789" t="s">
        <v>44905</v>
      </c>
      <c r="O6789" t="s">
        <v>44906</v>
      </c>
      <c r="P6789">
        <v>0</v>
      </c>
      <c r="Q6789">
        <v>4</v>
      </c>
      <c r="R6789" t="s">
        <v>44909</v>
      </c>
      <c r="S6789" t="s">
        <v>45060</v>
      </c>
      <c r="T6789" t="s">
        <v>46422</v>
      </c>
      <c r="U6789" t="s">
        <v>48050</v>
      </c>
      <c r="W6789" t="s">
        <v>41542</v>
      </c>
      <c r="X6789" t="s">
        <v>44910</v>
      </c>
    </row>
    <row r="6790" spans="1:24">
      <c r="A6790">
        <f>HYPERLINK("https://www.philgeps.gov.ph/GEPSNONPILOT/Tender/SplashBidNoticeAbstractUI.aspx?menuIndex=3&amp;refID=7078570&amp;Result=3","7078570")</f>
        <v>0</v>
      </c>
      <c r="B6790" t="s">
        <v>27</v>
      </c>
      <c r="C6790" t="s">
        <v>9999</v>
      </c>
      <c r="D6790" t="s">
        <v>18101</v>
      </c>
      <c r="E6790" t="s">
        <v>24224</v>
      </c>
      <c r="F6790" t="s">
        <v>31362</v>
      </c>
      <c r="G6790" t="s">
        <v>31370</v>
      </c>
      <c r="H6790" t="s">
        <v>15799</v>
      </c>
      <c r="I6790" t="s">
        <v>6373</v>
      </c>
      <c r="J6790" t="s">
        <v>35696</v>
      </c>
      <c r="K6790" t="s">
        <v>40661</v>
      </c>
      <c r="M6790" t="s">
        <v>43201</v>
      </c>
      <c r="N6790" t="s">
        <v>44905</v>
      </c>
      <c r="O6790" t="s">
        <v>44906</v>
      </c>
      <c r="P6790">
        <v>0</v>
      </c>
      <c r="Q6790">
        <v>1</v>
      </c>
      <c r="R6790" t="s">
        <v>44909</v>
      </c>
      <c r="S6790" t="s">
        <v>45060</v>
      </c>
      <c r="T6790" t="s">
        <v>46483</v>
      </c>
      <c r="U6790" t="s">
        <v>52450</v>
      </c>
      <c r="W6790" t="s">
        <v>43201</v>
      </c>
      <c r="X6790" t="s">
        <v>44910</v>
      </c>
    </row>
    <row r="6791" spans="1:24">
      <c r="A6791">
        <f>HYPERLINK("https://www.philgeps.gov.ph/GEPSNONPILOT/Tender/SplashBidNoticeAbstractUI.aspx?menuIndex=3&amp;refID=7078571&amp;Result=3","7078571")</f>
        <v>0</v>
      </c>
      <c r="B6791" t="s">
        <v>2079</v>
      </c>
      <c r="C6791" t="s">
        <v>10000</v>
      </c>
      <c r="D6791" t="s">
        <v>18175</v>
      </c>
      <c r="E6791" t="s">
        <v>24225</v>
      </c>
      <c r="F6791" t="s">
        <v>31362</v>
      </c>
      <c r="G6791" t="s">
        <v>31368</v>
      </c>
      <c r="H6791" t="s">
        <v>15799</v>
      </c>
      <c r="I6791" t="s">
        <v>31380</v>
      </c>
      <c r="J6791" t="s">
        <v>33446</v>
      </c>
      <c r="K6791" t="s">
        <v>40661</v>
      </c>
      <c r="M6791" t="s">
        <v>43202</v>
      </c>
      <c r="N6791" t="s">
        <v>44905</v>
      </c>
      <c r="O6791" t="s">
        <v>44906</v>
      </c>
      <c r="P6791">
        <v>0</v>
      </c>
      <c r="Q6791">
        <v>13</v>
      </c>
      <c r="R6791" t="s">
        <v>44909</v>
      </c>
      <c r="S6791" t="s">
        <v>45060</v>
      </c>
      <c r="T6791" t="s">
        <v>46435</v>
      </c>
      <c r="U6791" t="s">
        <v>52451</v>
      </c>
      <c r="W6791" t="s">
        <v>43202</v>
      </c>
      <c r="X6791" t="s">
        <v>44910</v>
      </c>
    </row>
    <row r="6792" spans="1:24">
      <c r="A6792">
        <f>HYPERLINK("https://www.philgeps.gov.ph/GEPSNONPILOT/Tender/SplashBidNoticeAbstractUI.aspx?menuIndex=3&amp;refID=7078561&amp;Result=3","7078561")</f>
        <v>0</v>
      </c>
      <c r="B6792" t="s">
        <v>79</v>
      </c>
      <c r="C6792" t="s">
        <v>7090</v>
      </c>
      <c r="D6792" t="s">
        <v>18114</v>
      </c>
      <c r="E6792" t="s">
        <v>24226</v>
      </c>
      <c r="F6792" t="s">
        <v>31362</v>
      </c>
      <c r="G6792" t="s">
        <v>31370</v>
      </c>
      <c r="H6792" t="s">
        <v>15799</v>
      </c>
      <c r="I6792" t="s">
        <v>7090</v>
      </c>
      <c r="J6792" t="s">
        <v>31545</v>
      </c>
      <c r="K6792" t="s">
        <v>40666</v>
      </c>
      <c r="M6792" t="s">
        <v>41015</v>
      </c>
      <c r="N6792" t="s">
        <v>44905</v>
      </c>
      <c r="O6792" t="s">
        <v>44906</v>
      </c>
      <c r="P6792">
        <v>0</v>
      </c>
      <c r="Q6792">
        <v>0</v>
      </c>
      <c r="R6792" t="s">
        <v>44909</v>
      </c>
      <c r="S6792" t="s">
        <v>45060</v>
      </c>
      <c r="T6792" t="s">
        <v>46411</v>
      </c>
      <c r="U6792" t="s">
        <v>52452</v>
      </c>
      <c r="W6792" t="s">
        <v>41015</v>
      </c>
      <c r="X6792" t="s">
        <v>44910</v>
      </c>
    </row>
    <row r="6793" spans="1:24">
      <c r="A6793">
        <f>HYPERLINK("https://www.philgeps.gov.ph/GEPSNONPILOT/Tender/SplashBidNoticeAbstractUI.aspx?menuIndex=3&amp;refID=7078559&amp;Result=3","7078559")</f>
        <v>0</v>
      </c>
      <c r="B6793" t="s">
        <v>27</v>
      </c>
      <c r="C6793" t="s">
        <v>10001</v>
      </c>
      <c r="D6793" t="s">
        <v>18101</v>
      </c>
      <c r="E6793" t="s">
        <v>24227</v>
      </c>
      <c r="F6793" t="s">
        <v>31362</v>
      </c>
      <c r="G6793" t="s">
        <v>31370</v>
      </c>
      <c r="H6793" t="s">
        <v>15799</v>
      </c>
      <c r="I6793" t="s">
        <v>4283</v>
      </c>
      <c r="J6793" t="s">
        <v>35697</v>
      </c>
      <c r="K6793" t="s">
        <v>40661</v>
      </c>
      <c r="M6793" t="s">
        <v>43201</v>
      </c>
      <c r="N6793" t="s">
        <v>44905</v>
      </c>
      <c r="O6793" t="s">
        <v>44906</v>
      </c>
      <c r="P6793">
        <v>0</v>
      </c>
      <c r="Q6793">
        <v>0</v>
      </c>
      <c r="R6793" t="s">
        <v>44909</v>
      </c>
      <c r="S6793" t="s">
        <v>45060</v>
      </c>
      <c r="T6793" t="s">
        <v>46483</v>
      </c>
      <c r="U6793" t="s">
        <v>52450</v>
      </c>
      <c r="W6793" t="s">
        <v>43201</v>
      </c>
      <c r="X6793" t="s">
        <v>44910</v>
      </c>
    </row>
    <row r="6794" spans="1:24">
      <c r="A6794">
        <f>HYPERLINK("https://www.philgeps.gov.ph/GEPSNONPILOT/Tender/SplashBidNoticeAbstractUI.aspx?menuIndex=3&amp;refID=7078548&amp;Result=3","7078548")</f>
        <v>0</v>
      </c>
      <c r="B6794" t="s">
        <v>2073</v>
      </c>
      <c r="C6794" t="s">
        <v>10002</v>
      </c>
      <c r="D6794" t="s">
        <v>18116</v>
      </c>
      <c r="E6794" t="s">
        <v>18680</v>
      </c>
      <c r="F6794" t="s">
        <v>31362</v>
      </c>
      <c r="G6794" t="s">
        <v>31369</v>
      </c>
      <c r="H6794" t="s">
        <v>15799</v>
      </c>
      <c r="I6794" t="s">
        <v>31409</v>
      </c>
      <c r="J6794" t="s">
        <v>31531</v>
      </c>
      <c r="K6794" t="s">
        <v>40661</v>
      </c>
      <c r="M6794" t="s">
        <v>43195</v>
      </c>
      <c r="N6794" t="s">
        <v>44905</v>
      </c>
      <c r="O6794" t="s">
        <v>44906</v>
      </c>
      <c r="P6794">
        <v>0</v>
      </c>
      <c r="Q6794">
        <v>0</v>
      </c>
      <c r="R6794" t="s">
        <v>44909</v>
      </c>
      <c r="S6794" t="s">
        <v>45060</v>
      </c>
      <c r="T6794" t="s">
        <v>46400</v>
      </c>
      <c r="U6794" t="s">
        <v>52453</v>
      </c>
      <c r="W6794" t="s">
        <v>43195</v>
      </c>
      <c r="X6794" t="s">
        <v>44910</v>
      </c>
    </row>
    <row r="6795" spans="1:24">
      <c r="A6795">
        <f>HYPERLINK("https://www.philgeps.gov.ph/GEPSNONPILOT/Tender/SplashBidNoticeAbstractUI.aspx?menuIndex=3&amp;refID=7078558&amp;Result=3","7078558")</f>
        <v>0</v>
      </c>
      <c r="B6795" t="s">
        <v>2080</v>
      </c>
      <c r="C6795" t="s">
        <v>10003</v>
      </c>
      <c r="D6795" t="s">
        <v>18128</v>
      </c>
      <c r="E6795" t="s">
        <v>24228</v>
      </c>
      <c r="F6795" t="s">
        <v>31362</v>
      </c>
      <c r="G6795" t="s">
        <v>31369</v>
      </c>
      <c r="H6795" t="s">
        <v>15799</v>
      </c>
      <c r="I6795" t="s">
        <v>31427</v>
      </c>
      <c r="J6795" t="s">
        <v>35698</v>
      </c>
      <c r="K6795" t="s">
        <v>40665</v>
      </c>
      <c r="M6795" t="s">
        <v>43203</v>
      </c>
      <c r="N6795" t="s">
        <v>44905</v>
      </c>
      <c r="O6795" t="s">
        <v>44906</v>
      </c>
      <c r="P6795">
        <v>0</v>
      </c>
      <c r="Q6795">
        <v>1</v>
      </c>
      <c r="R6795" t="s">
        <v>44909</v>
      </c>
      <c r="S6795" t="s">
        <v>45060</v>
      </c>
      <c r="T6795" t="s">
        <v>46575</v>
      </c>
      <c r="U6795" t="s">
        <v>52454</v>
      </c>
      <c r="W6795" t="s">
        <v>43203</v>
      </c>
      <c r="X6795" t="s">
        <v>44910</v>
      </c>
    </row>
    <row r="6796" spans="1:24">
      <c r="A6796">
        <f>HYPERLINK("https://www.philgeps.gov.ph/GEPSNONPILOT/Tender/SplashBidNoticeAbstractUI.aspx?menuIndex=3&amp;refID=7078557&amp;Result=3","7078557")</f>
        <v>0</v>
      </c>
      <c r="B6796" t="s">
        <v>802</v>
      </c>
      <c r="C6796" t="s">
        <v>10004</v>
      </c>
      <c r="D6796" t="s">
        <v>18103</v>
      </c>
      <c r="E6796" t="s">
        <v>24229</v>
      </c>
      <c r="F6796" t="s">
        <v>31362</v>
      </c>
      <c r="G6796" t="s">
        <v>31369</v>
      </c>
      <c r="H6796" t="s">
        <v>15799</v>
      </c>
      <c r="I6796" t="s">
        <v>31422</v>
      </c>
      <c r="J6796" t="s">
        <v>35699</v>
      </c>
      <c r="K6796" t="s">
        <v>40694</v>
      </c>
      <c r="M6796" t="s">
        <v>41772</v>
      </c>
      <c r="N6796" t="s">
        <v>44905</v>
      </c>
      <c r="O6796" t="s">
        <v>44906</v>
      </c>
      <c r="P6796">
        <v>0</v>
      </c>
      <c r="Q6796">
        <v>4</v>
      </c>
      <c r="R6796" t="s">
        <v>44909</v>
      </c>
      <c r="S6796" t="s">
        <v>45060</v>
      </c>
      <c r="T6796" t="s">
        <v>46671</v>
      </c>
      <c r="U6796" t="s">
        <v>52455</v>
      </c>
      <c r="V6796" t="s">
        <v>59253</v>
      </c>
      <c r="W6796" t="s">
        <v>41772</v>
      </c>
      <c r="X6796" t="s">
        <v>44910</v>
      </c>
    </row>
    <row r="6797" spans="1:24">
      <c r="A6797">
        <f>HYPERLINK("https://www.philgeps.gov.ph/GEPSNONPILOT/Tender/SplashBidNoticeAbstractUI.aspx?menuIndex=3&amp;refID=7078581&amp;Result=3","7078581")</f>
        <v>0</v>
      </c>
      <c r="B6797" t="s">
        <v>2081</v>
      </c>
      <c r="C6797" t="s">
        <v>10005</v>
      </c>
      <c r="D6797" t="s">
        <v>18118</v>
      </c>
      <c r="E6797" t="s">
        <v>18464</v>
      </c>
      <c r="F6797" t="s">
        <v>31362</v>
      </c>
      <c r="G6797" t="s">
        <v>31369</v>
      </c>
      <c r="H6797" t="s">
        <v>15799</v>
      </c>
      <c r="I6797" t="s">
        <v>31444</v>
      </c>
      <c r="J6797" t="s">
        <v>35700</v>
      </c>
      <c r="K6797" t="s">
        <v>40670</v>
      </c>
      <c r="M6797" t="s">
        <v>43204</v>
      </c>
      <c r="N6797" t="s">
        <v>44905</v>
      </c>
      <c r="O6797" t="s">
        <v>44906</v>
      </c>
      <c r="P6797">
        <v>0</v>
      </c>
      <c r="Q6797">
        <v>3</v>
      </c>
      <c r="R6797" t="s">
        <v>44909</v>
      </c>
      <c r="S6797" t="s">
        <v>45060</v>
      </c>
      <c r="T6797" t="s">
        <v>46444</v>
      </c>
      <c r="U6797" t="s">
        <v>52456</v>
      </c>
      <c r="W6797" t="s">
        <v>43204</v>
      </c>
      <c r="X6797" t="s">
        <v>44910</v>
      </c>
    </row>
    <row r="6798" spans="1:24">
      <c r="A6798">
        <f>HYPERLINK("https://www.philgeps.gov.ph/GEPSNONPILOT/Tender/SplashBidNoticeAbstractUI.aspx?menuIndex=3&amp;refID=7078576&amp;Result=3","7078576")</f>
        <v>0</v>
      </c>
      <c r="B6798" t="s">
        <v>2082</v>
      </c>
      <c r="C6798" t="s">
        <v>10006</v>
      </c>
      <c r="D6798" t="s">
        <v>18143</v>
      </c>
      <c r="E6798" t="s">
        <v>24230</v>
      </c>
      <c r="F6798" t="s">
        <v>31362</v>
      </c>
      <c r="G6798" t="s">
        <v>31370</v>
      </c>
      <c r="H6798" t="s">
        <v>15799</v>
      </c>
      <c r="I6798" t="s">
        <v>31385</v>
      </c>
      <c r="J6798" t="s">
        <v>35701</v>
      </c>
      <c r="K6798" t="s">
        <v>40666</v>
      </c>
      <c r="M6798" t="s">
        <v>43205</v>
      </c>
      <c r="N6798" t="s">
        <v>44905</v>
      </c>
      <c r="O6798" t="s">
        <v>44906</v>
      </c>
      <c r="P6798">
        <v>0</v>
      </c>
      <c r="Q6798">
        <v>8</v>
      </c>
      <c r="R6798" t="s">
        <v>44909</v>
      </c>
      <c r="S6798" t="s">
        <v>45060</v>
      </c>
      <c r="T6798" t="s">
        <v>46549</v>
      </c>
      <c r="U6798" t="s">
        <v>52457</v>
      </c>
      <c r="V6798" t="s">
        <v>59722</v>
      </c>
      <c r="W6798" t="s">
        <v>43205</v>
      </c>
      <c r="X6798" t="s">
        <v>44910</v>
      </c>
    </row>
    <row r="6799" spans="1:24">
      <c r="A6799">
        <f>HYPERLINK("https://www.philgeps.gov.ph/GEPSNONPILOT/Tender/SplashBidNoticeAbstractUI.aspx?menuIndex=3&amp;refID=7078579&amp;Result=3","7078579")</f>
        <v>0</v>
      </c>
      <c r="B6799" t="s">
        <v>1339</v>
      </c>
      <c r="C6799" t="s">
        <v>7284</v>
      </c>
      <c r="D6799" t="s">
        <v>18169</v>
      </c>
      <c r="E6799" t="s">
        <v>24231</v>
      </c>
      <c r="F6799" t="s">
        <v>31362</v>
      </c>
      <c r="G6799" t="s">
        <v>31370</v>
      </c>
      <c r="H6799" t="s">
        <v>15799</v>
      </c>
      <c r="I6799" t="s">
        <v>4942</v>
      </c>
      <c r="J6799" t="s">
        <v>32445</v>
      </c>
      <c r="K6799" t="s">
        <v>40661</v>
      </c>
      <c r="M6799" t="s">
        <v>42358</v>
      </c>
      <c r="N6799" t="s">
        <v>44905</v>
      </c>
      <c r="O6799" t="s">
        <v>44906</v>
      </c>
      <c r="P6799">
        <v>0</v>
      </c>
      <c r="Q6799">
        <v>0</v>
      </c>
      <c r="R6799" t="s">
        <v>44909</v>
      </c>
      <c r="S6799" t="s">
        <v>45060</v>
      </c>
      <c r="T6799" t="s">
        <v>46432</v>
      </c>
      <c r="U6799" t="s">
        <v>52427</v>
      </c>
      <c r="W6799" t="s">
        <v>42358</v>
      </c>
      <c r="X6799" t="s">
        <v>44910</v>
      </c>
    </row>
    <row r="6800" spans="1:24">
      <c r="A6800">
        <f>HYPERLINK("https://www.philgeps.gov.ph/GEPSNONPILOT/Tender/SplashBidNoticeAbstractUI.aspx?menuIndex=3&amp;refID=7078566&amp;Result=3","7078566")</f>
        <v>0</v>
      </c>
      <c r="B6800" t="s">
        <v>2078</v>
      </c>
      <c r="C6800" t="s">
        <v>10007</v>
      </c>
      <c r="D6800" t="s">
        <v>18179</v>
      </c>
      <c r="E6800" t="s">
        <v>24232</v>
      </c>
      <c r="F6800" t="s">
        <v>31362</v>
      </c>
      <c r="G6800" t="s">
        <v>31369</v>
      </c>
      <c r="H6800" t="s">
        <v>31378</v>
      </c>
      <c r="I6800" t="s">
        <v>31386</v>
      </c>
      <c r="J6800" t="s">
        <v>35702</v>
      </c>
      <c r="K6800" t="s">
        <v>40678</v>
      </c>
      <c r="M6800" t="s">
        <v>43200</v>
      </c>
      <c r="N6800" t="s">
        <v>44905</v>
      </c>
      <c r="O6800" t="s">
        <v>44906</v>
      </c>
      <c r="P6800">
        <v>0</v>
      </c>
      <c r="Q6800">
        <v>0</v>
      </c>
      <c r="R6800" t="s">
        <v>44909</v>
      </c>
      <c r="S6800" t="s">
        <v>45060</v>
      </c>
      <c r="T6800" t="s">
        <v>46433</v>
      </c>
      <c r="U6800" t="s">
        <v>52449</v>
      </c>
      <c r="W6800" t="s">
        <v>43200</v>
      </c>
      <c r="X6800" t="s">
        <v>44910</v>
      </c>
    </row>
    <row r="6801" spans="1:24">
      <c r="A6801">
        <f>HYPERLINK("https://www.philgeps.gov.ph/GEPSNONPILOT/Tender/SplashBidNoticeAbstractUI.aspx?menuIndex=3&amp;refID=7078596&amp;Result=3","7078596")</f>
        <v>0</v>
      </c>
      <c r="B6801" t="s">
        <v>276</v>
      </c>
      <c r="C6801" t="s">
        <v>10008</v>
      </c>
      <c r="D6801" t="s">
        <v>18106</v>
      </c>
      <c r="E6801" t="s">
        <v>24233</v>
      </c>
      <c r="F6801" t="s">
        <v>31362</v>
      </c>
      <c r="G6801" t="s">
        <v>31369</v>
      </c>
      <c r="H6801" t="s">
        <v>15799</v>
      </c>
      <c r="I6801" t="s">
        <v>6373</v>
      </c>
      <c r="J6801" t="s">
        <v>35703</v>
      </c>
      <c r="K6801" t="s">
        <v>40665</v>
      </c>
      <c r="M6801" t="s">
        <v>41218</v>
      </c>
      <c r="N6801" t="s">
        <v>44905</v>
      </c>
      <c r="O6801" t="s">
        <v>44906</v>
      </c>
      <c r="P6801">
        <v>0</v>
      </c>
      <c r="Q6801">
        <v>1</v>
      </c>
      <c r="R6801" t="s">
        <v>44909</v>
      </c>
      <c r="S6801" t="s">
        <v>45060</v>
      </c>
      <c r="T6801" t="s">
        <v>46549</v>
      </c>
      <c r="U6801" t="s">
        <v>52458</v>
      </c>
      <c r="V6801" t="s">
        <v>54811</v>
      </c>
      <c r="W6801" t="s">
        <v>41218</v>
      </c>
      <c r="X6801" t="s">
        <v>44910</v>
      </c>
    </row>
    <row r="6802" spans="1:24">
      <c r="A6802">
        <f>HYPERLINK("https://www.philgeps.gov.ph/GEPSNONPILOT/Tender/SplashBidNoticeAbstractUI.aspx?menuIndex=3&amp;refID=7078593&amp;Result=3","7078593")</f>
        <v>0</v>
      </c>
      <c r="B6802" t="s">
        <v>76</v>
      </c>
      <c r="C6802" t="s">
        <v>10009</v>
      </c>
      <c r="D6802" t="s">
        <v>18112</v>
      </c>
      <c r="E6802" t="s">
        <v>24234</v>
      </c>
      <c r="F6802" t="s">
        <v>31362</v>
      </c>
      <c r="G6802" t="s">
        <v>31369</v>
      </c>
      <c r="H6802" t="s">
        <v>15799</v>
      </c>
      <c r="I6802" t="s">
        <v>31430</v>
      </c>
      <c r="J6802" t="s">
        <v>35704</v>
      </c>
      <c r="K6802" t="s">
        <v>40662</v>
      </c>
      <c r="M6802" t="s">
        <v>41012</v>
      </c>
      <c r="N6802" t="s">
        <v>44905</v>
      </c>
      <c r="O6802" t="s">
        <v>44906</v>
      </c>
      <c r="P6802">
        <v>0</v>
      </c>
      <c r="Q6802">
        <v>0</v>
      </c>
      <c r="R6802" t="s">
        <v>44909</v>
      </c>
      <c r="S6802" t="s">
        <v>45060</v>
      </c>
      <c r="T6802" t="s">
        <v>46433</v>
      </c>
      <c r="U6802" t="s">
        <v>52459</v>
      </c>
      <c r="W6802" t="s">
        <v>41012</v>
      </c>
      <c r="X6802" t="s">
        <v>44910</v>
      </c>
    </row>
    <row r="6803" spans="1:24">
      <c r="A6803">
        <f>HYPERLINK("https://www.philgeps.gov.ph/GEPSNONPILOT/Tender/SplashBidNoticeAbstractUI.aspx?menuIndex=3&amp;refID=7078423&amp;Result=3","7078423")</f>
        <v>0</v>
      </c>
      <c r="B6803" t="s">
        <v>2083</v>
      </c>
      <c r="C6803" t="s">
        <v>10010</v>
      </c>
      <c r="D6803" t="s">
        <v>18147</v>
      </c>
      <c r="E6803" t="s">
        <v>24235</v>
      </c>
      <c r="F6803" t="s">
        <v>31362</v>
      </c>
      <c r="G6803" t="s">
        <v>31370</v>
      </c>
      <c r="H6803" t="s">
        <v>15799</v>
      </c>
      <c r="I6803" t="s">
        <v>31393</v>
      </c>
      <c r="J6803" t="s">
        <v>35705</v>
      </c>
      <c r="K6803" t="s">
        <v>40666</v>
      </c>
      <c r="M6803" t="s">
        <v>43206</v>
      </c>
      <c r="N6803" t="s">
        <v>44905</v>
      </c>
      <c r="O6803" t="s">
        <v>44906</v>
      </c>
      <c r="P6803">
        <v>0</v>
      </c>
      <c r="Q6803">
        <v>4</v>
      </c>
      <c r="R6803" t="s">
        <v>44909</v>
      </c>
      <c r="S6803" t="s">
        <v>45060</v>
      </c>
      <c r="T6803" t="s">
        <v>46425</v>
      </c>
      <c r="U6803" t="s">
        <v>52460</v>
      </c>
      <c r="W6803" t="s">
        <v>43206</v>
      </c>
      <c r="X6803" t="s">
        <v>44910</v>
      </c>
    </row>
    <row r="6804" spans="1:24">
      <c r="A6804">
        <f>HYPERLINK("https://www.philgeps.gov.ph/GEPSNONPILOT/Tender/SplashBidNoticeAbstractUI.aspx?menuIndex=3&amp;refID=7078592&amp;Result=3","7078592")</f>
        <v>0</v>
      </c>
      <c r="B6804" t="s">
        <v>2077</v>
      </c>
      <c r="C6804" t="s">
        <v>10011</v>
      </c>
      <c r="D6804" t="s">
        <v>18108</v>
      </c>
      <c r="E6804" t="s">
        <v>20662</v>
      </c>
      <c r="F6804" t="s">
        <v>31362</v>
      </c>
      <c r="G6804" t="s">
        <v>31368</v>
      </c>
      <c r="H6804" t="s">
        <v>15799</v>
      </c>
      <c r="I6804" t="s">
        <v>6155</v>
      </c>
      <c r="J6804" t="s">
        <v>35706</v>
      </c>
      <c r="K6804" t="s">
        <v>40666</v>
      </c>
      <c r="M6804" t="s">
        <v>43199</v>
      </c>
      <c r="N6804" t="s">
        <v>44905</v>
      </c>
      <c r="O6804" t="s">
        <v>44906</v>
      </c>
      <c r="P6804">
        <v>0</v>
      </c>
      <c r="Q6804">
        <v>11</v>
      </c>
      <c r="R6804" t="s">
        <v>44909</v>
      </c>
      <c r="S6804" t="s">
        <v>45060</v>
      </c>
      <c r="T6804" t="s">
        <v>46409</v>
      </c>
      <c r="U6804" t="s">
        <v>52461</v>
      </c>
      <c r="V6804" t="s">
        <v>59723</v>
      </c>
      <c r="W6804" t="s">
        <v>43199</v>
      </c>
      <c r="X6804" t="s">
        <v>44910</v>
      </c>
    </row>
    <row r="6805" spans="1:24">
      <c r="A6805">
        <f>HYPERLINK("https://www.philgeps.gov.ph/GEPSNONPILOT/Tender/SplashBidNoticeAbstractUI.aspx?menuIndex=3&amp;refID=7078590&amp;Result=3","7078590")</f>
        <v>0</v>
      </c>
      <c r="B6805" t="s">
        <v>1339</v>
      </c>
      <c r="C6805" t="s">
        <v>6855</v>
      </c>
      <c r="D6805" t="s">
        <v>18169</v>
      </c>
      <c r="E6805" t="s">
        <v>24236</v>
      </c>
      <c r="F6805" t="s">
        <v>31362</v>
      </c>
      <c r="G6805" t="s">
        <v>31370</v>
      </c>
      <c r="H6805" t="s">
        <v>15799</v>
      </c>
      <c r="I6805" t="s">
        <v>31385</v>
      </c>
      <c r="J6805" t="s">
        <v>35707</v>
      </c>
      <c r="K6805" t="s">
        <v>40661</v>
      </c>
      <c r="M6805" t="s">
        <v>42358</v>
      </c>
      <c r="N6805" t="s">
        <v>44905</v>
      </c>
      <c r="O6805" t="s">
        <v>44906</v>
      </c>
      <c r="P6805">
        <v>0</v>
      </c>
      <c r="Q6805">
        <v>0</v>
      </c>
      <c r="R6805" t="s">
        <v>44909</v>
      </c>
      <c r="S6805" t="s">
        <v>45060</v>
      </c>
      <c r="T6805" t="s">
        <v>46432</v>
      </c>
      <c r="U6805" t="s">
        <v>52427</v>
      </c>
      <c r="W6805" t="s">
        <v>42358</v>
      </c>
      <c r="X6805" t="s">
        <v>44910</v>
      </c>
    </row>
    <row r="6806" spans="1:24">
      <c r="A6806">
        <f>HYPERLINK("https://www.philgeps.gov.ph/GEPSNONPILOT/Tender/SplashBidNoticeAbstractUI.aspx?menuIndex=3&amp;refID=7078607&amp;Result=3","7078607")</f>
        <v>0</v>
      </c>
      <c r="B6806" t="s">
        <v>1676</v>
      </c>
      <c r="C6806" t="s">
        <v>10012</v>
      </c>
      <c r="D6806" t="s">
        <v>18139</v>
      </c>
      <c r="E6806" t="s">
        <v>24237</v>
      </c>
      <c r="F6806" t="s">
        <v>31362</v>
      </c>
      <c r="G6806" t="s">
        <v>31369</v>
      </c>
      <c r="H6806" t="s">
        <v>31378</v>
      </c>
      <c r="I6806" t="s">
        <v>31386</v>
      </c>
      <c r="J6806" t="s">
        <v>35708</v>
      </c>
      <c r="K6806" t="s">
        <v>40678</v>
      </c>
      <c r="M6806" t="s">
        <v>42741</v>
      </c>
      <c r="N6806" t="s">
        <v>44905</v>
      </c>
      <c r="O6806" t="s">
        <v>44906</v>
      </c>
      <c r="P6806">
        <v>0</v>
      </c>
      <c r="Q6806">
        <v>1</v>
      </c>
      <c r="R6806" t="s">
        <v>44909</v>
      </c>
      <c r="S6806" t="s">
        <v>45060</v>
      </c>
      <c r="T6806" t="s">
        <v>46419</v>
      </c>
      <c r="U6806" t="s">
        <v>52462</v>
      </c>
      <c r="V6806" t="s">
        <v>59724</v>
      </c>
      <c r="W6806" t="s">
        <v>60921</v>
      </c>
      <c r="X6806" t="s">
        <v>44910</v>
      </c>
    </row>
    <row r="6807" spans="1:24">
      <c r="A6807">
        <f>HYPERLINK("https://www.philgeps.gov.ph/GEPSNONPILOT/Tender/SplashBidNoticeAbstractUI.aspx?menuIndex=3&amp;refID=7078605&amp;Result=3","7078605")</f>
        <v>0</v>
      </c>
      <c r="B6807" t="s">
        <v>2084</v>
      </c>
      <c r="C6807" t="s">
        <v>10013</v>
      </c>
      <c r="D6807" t="s">
        <v>18154</v>
      </c>
      <c r="E6807" t="s">
        <v>24238</v>
      </c>
      <c r="F6807" t="s">
        <v>31362</v>
      </c>
      <c r="G6807" t="s">
        <v>31368</v>
      </c>
      <c r="H6807" t="s">
        <v>15799</v>
      </c>
      <c r="I6807" t="s">
        <v>4057</v>
      </c>
      <c r="J6807" t="s">
        <v>32779</v>
      </c>
      <c r="K6807" t="s">
        <v>40662</v>
      </c>
      <c r="M6807" t="s">
        <v>43207</v>
      </c>
      <c r="N6807" t="s">
        <v>44905</v>
      </c>
      <c r="O6807" t="s">
        <v>44906</v>
      </c>
      <c r="P6807">
        <v>0</v>
      </c>
      <c r="Q6807">
        <v>1</v>
      </c>
      <c r="R6807" t="s">
        <v>44909</v>
      </c>
      <c r="S6807" t="s">
        <v>45060</v>
      </c>
      <c r="T6807" t="s">
        <v>46454</v>
      </c>
      <c r="U6807" t="s">
        <v>52463</v>
      </c>
      <c r="W6807" t="s">
        <v>43207</v>
      </c>
      <c r="X6807" t="s">
        <v>44910</v>
      </c>
    </row>
    <row r="6808" spans="1:24">
      <c r="A6808">
        <f>HYPERLINK("https://www.philgeps.gov.ph/GEPSNONPILOT/Tender/SplashBidNoticeAbstractUI.aspx?menuIndex=3&amp;refID=7078604&amp;Result=3","7078604")</f>
        <v>0</v>
      </c>
      <c r="B6808" t="s">
        <v>2070</v>
      </c>
      <c r="C6808" t="s">
        <v>10014</v>
      </c>
      <c r="D6808" t="s">
        <v>18125</v>
      </c>
      <c r="E6808" t="s">
        <v>24239</v>
      </c>
      <c r="F6808" t="s">
        <v>31362</v>
      </c>
      <c r="G6808" t="s">
        <v>31368</v>
      </c>
      <c r="H6808" t="s">
        <v>31378</v>
      </c>
      <c r="I6808" t="s">
        <v>31386</v>
      </c>
      <c r="J6808" t="s">
        <v>34763</v>
      </c>
      <c r="K6808" t="s">
        <v>40820</v>
      </c>
      <c r="M6808" t="s">
        <v>43192</v>
      </c>
      <c r="N6808" t="s">
        <v>44905</v>
      </c>
      <c r="O6808" t="s">
        <v>44906</v>
      </c>
      <c r="P6808">
        <v>0</v>
      </c>
      <c r="Q6808">
        <v>0</v>
      </c>
      <c r="R6808" t="s">
        <v>44909</v>
      </c>
      <c r="S6808" t="s">
        <v>45060</v>
      </c>
      <c r="T6808" t="s">
        <v>46509</v>
      </c>
      <c r="U6808" t="s">
        <v>52464</v>
      </c>
      <c r="W6808" t="s">
        <v>43192</v>
      </c>
      <c r="X6808" t="s">
        <v>44910</v>
      </c>
    </row>
    <row r="6809" spans="1:24">
      <c r="A6809">
        <f>HYPERLINK("https://www.philgeps.gov.ph/GEPSNONPILOT/Tender/SplashBidNoticeAbstractUI.aspx?menuIndex=3&amp;refID=7078603&amp;Result=3","7078603")</f>
        <v>0</v>
      </c>
      <c r="B6809" t="s">
        <v>76</v>
      </c>
      <c r="C6809" t="s">
        <v>10015</v>
      </c>
      <c r="D6809" t="s">
        <v>18112</v>
      </c>
      <c r="E6809" t="s">
        <v>24240</v>
      </c>
      <c r="F6809" t="s">
        <v>31362</v>
      </c>
      <c r="G6809" t="s">
        <v>31369</v>
      </c>
      <c r="H6809" t="s">
        <v>15799</v>
      </c>
      <c r="I6809" t="s">
        <v>31393</v>
      </c>
      <c r="J6809" t="s">
        <v>35709</v>
      </c>
      <c r="K6809" t="s">
        <v>40662</v>
      </c>
      <c r="M6809" t="s">
        <v>41012</v>
      </c>
      <c r="N6809" t="s">
        <v>44905</v>
      </c>
      <c r="O6809" t="s">
        <v>44906</v>
      </c>
      <c r="P6809">
        <v>0</v>
      </c>
      <c r="Q6809">
        <v>4</v>
      </c>
      <c r="R6809" t="s">
        <v>44909</v>
      </c>
      <c r="S6809" t="s">
        <v>45060</v>
      </c>
      <c r="T6809" t="s">
        <v>46559</v>
      </c>
      <c r="U6809" t="s">
        <v>52465</v>
      </c>
      <c r="W6809" t="s">
        <v>41012</v>
      </c>
      <c r="X6809" t="s">
        <v>44910</v>
      </c>
    </row>
    <row r="6810" spans="1:24">
      <c r="A6810">
        <f>HYPERLINK("https://www.philgeps.gov.ph/GEPSNONPILOT/Tender/SplashBidNoticeAbstractUI.aspx?menuIndex=3&amp;refID=7078595&amp;Result=3","7078595")</f>
        <v>0</v>
      </c>
      <c r="B6810" t="s">
        <v>999</v>
      </c>
      <c r="C6810" t="s">
        <v>10016</v>
      </c>
      <c r="D6810" t="s">
        <v>18103</v>
      </c>
      <c r="E6810" t="s">
        <v>24241</v>
      </c>
      <c r="F6810" t="s">
        <v>31362</v>
      </c>
      <c r="G6810" t="s">
        <v>31370</v>
      </c>
      <c r="H6810" t="s">
        <v>15799</v>
      </c>
      <c r="I6810" t="s">
        <v>7719</v>
      </c>
      <c r="J6810" t="s">
        <v>33049</v>
      </c>
      <c r="K6810" t="s">
        <v>40662</v>
      </c>
      <c r="M6810" t="s">
        <v>41995</v>
      </c>
      <c r="N6810" t="s">
        <v>44905</v>
      </c>
      <c r="O6810" t="s">
        <v>44906</v>
      </c>
      <c r="P6810">
        <v>0</v>
      </c>
      <c r="Q6810">
        <v>11</v>
      </c>
      <c r="R6810" t="s">
        <v>44909</v>
      </c>
      <c r="S6810" t="s">
        <v>45060</v>
      </c>
      <c r="T6810" t="s">
        <v>46406</v>
      </c>
      <c r="U6810" t="s">
        <v>52466</v>
      </c>
      <c r="V6810" t="s">
        <v>59339</v>
      </c>
      <c r="W6810" t="s">
        <v>41995</v>
      </c>
      <c r="X6810" t="s">
        <v>44910</v>
      </c>
    </row>
    <row r="6811" spans="1:24">
      <c r="A6811">
        <f>HYPERLINK("https://www.philgeps.gov.ph/GEPSNONPILOT/Tender/SplashBidNoticeAbstractUI.aspx?menuIndex=3&amp;refID=7078599&amp;Result=3","7078599")</f>
        <v>0</v>
      </c>
      <c r="B6811" t="s">
        <v>321</v>
      </c>
      <c r="C6811" t="s">
        <v>10017</v>
      </c>
      <c r="D6811" t="s">
        <v>18114</v>
      </c>
      <c r="E6811" t="s">
        <v>24242</v>
      </c>
      <c r="F6811" t="s">
        <v>31362</v>
      </c>
      <c r="G6811" t="s">
        <v>31369</v>
      </c>
      <c r="H6811" t="s">
        <v>31379</v>
      </c>
      <c r="I6811" t="s">
        <v>31450</v>
      </c>
      <c r="J6811" t="s">
        <v>35710</v>
      </c>
      <c r="K6811" t="s">
        <v>40679</v>
      </c>
      <c r="M6811" t="s">
        <v>41267</v>
      </c>
      <c r="N6811" t="s">
        <v>44905</v>
      </c>
      <c r="O6811" t="s">
        <v>44906</v>
      </c>
      <c r="P6811">
        <v>0</v>
      </c>
      <c r="Q6811">
        <v>1</v>
      </c>
      <c r="R6811" t="s">
        <v>44909</v>
      </c>
      <c r="S6811" t="s">
        <v>45060</v>
      </c>
      <c r="T6811" t="s">
        <v>46511</v>
      </c>
      <c r="U6811" t="s">
        <v>47466</v>
      </c>
      <c r="V6811" t="s">
        <v>59133</v>
      </c>
      <c r="W6811" t="s">
        <v>41267</v>
      </c>
      <c r="X6811" t="s">
        <v>44910</v>
      </c>
    </row>
    <row r="6812" spans="1:24">
      <c r="A6812">
        <f>HYPERLINK("https://www.philgeps.gov.ph/GEPSNONPILOT/Tender/SplashBidNoticeAbstractUI.aspx?menuIndex=3&amp;refID=7078598&amp;Result=3","7078598")</f>
        <v>0</v>
      </c>
      <c r="B6812" t="s">
        <v>1339</v>
      </c>
      <c r="C6812" t="s">
        <v>7284</v>
      </c>
      <c r="D6812" t="s">
        <v>18169</v>
      </c>
      <c r="E6812" t="s">
        <v>24243</v>
      </c>
      <c r="F6812" t="s">
        <v>31362</v>
      </c>
      <c r="G6812" t="s">
        <v>31370</v>
      </c>
      <c r="H6812" t="s">
        <v>15799</v>
      </c>
      <c r="I6812" t="s">
        <v>4942</v>
      </c>
      <c r="J6812" t="s">
        <v>35711</v>
      </c>
      <c r="K6812" t="s">
        <v>40661</v>
      </c>
      <c r="M6812" t="s">
        <v>42358</v>
      </c>
      <c r="N6812" t="s">
        <v>44905</v>
      </c>
      <c r="O6812" t="s">
        <v>44906</v>
      </c>
      <c r="P6812">
        <v>0</v>
      </c>
      <c r="Q6812">
        <v>0</v>
      </c>
      <c r="R6812" t="s">
        <v>44909</v>
      </c>
      <c r="S6812" t="s">
        <v>45060</v>
      </c>
      <c r="T6812" t="s">
        <v>46432</v>
      </c>
      <c r="U6812" t="s">
        <v>52427</v>
      </c>
      <c r="W6812" t="s">
        <v>42358</v>
      </c>
      <c r="X6812" t="s">
        <v>44910</v>
      </c>
    </row>
    <row r="6813" spans="1:24">
      <c r="A6813">
        <f>HYPERLINK("https://www.philgeps.gov.ph/GEPSNONPILOT/Tender/SplashBidNoticeAbstractUI.aspx?menuIndex=3&amp;refID=7078577&amp;Result=3","7078577")</f>
        <v>0</v>
      </c>
      <c r="B6813" t="s">
        <v>2078</v>
      </c>
      <c r="C6813" t="s">
        <v>10018</v>
      </c>
      <c r="D6813" t="s">
        <v>18179</v>
      </c>
      <c r="E6813" t="s">
        <v>24244</v>
      </c>
      <c r="F6813" t="s">
        <v>31362</v>
      </c>
      <c r="G6813" t="s">
        <v>31369</v>
      </c>
      <c r="H6813" t="s">
        <v>31378</v>
      </c>
      <c r="I6813" t="s">
        <v>31386</v>
      </c>
      <c r="J6813" t="s">
        <v>35712</v>
      </c>
      <c r="K6813" t="s">
        <v>40721</v>
      </c>
      <c r="M6813" t="s">
        <v>43200</v>
      </c>
      <c r="N6813" t="s">
        <v>44905</v>
      </c>
      <c r="O6813" t="s">
        <v>44906</v>
      </c>
      <c r="P6813">
        <v>0</v>
      </c>
      <c r="Q6813">
        <v>0</v>
      </c>
      <c r="R6813" t="s">
        <v>44909</v>
      </c>
      <c r="S6813" t="s">
        <v>45060</v>
      </c>
      <c r="T6813" t="s">
        <v>46433</v>
      </c>
      <c r="U6813" t="s">
        <v>52449</v>
      </c>
      <c r="W6813" t="s">
        <v>43200</v>
      </c>
      <c r="X6813" t="s">
        <v>44910</v>
      </c>
    </row>
    <row r="6814" spans="1:24">
      <c r="A6814">
        <f>HYPERLINK("https://www.philgeps.gov.ph/GEPSNONPILOT/Tender/SplashBidNoticeAbstractUI.aspx?menuIndex=3&amp;refID=7078586&amp;Result=3","7078586")</f>
        <v>0</v>
      </c>
      <c r="B6814" t="s">
        <v>1641</v>
      </c>
      <c r="C6814" t="s">
        <v>10019</v>
      </c>
      <c r="D6814" t="s">
        <v>18122</v>
      </c>
      <c r="E6814" t="s">
        <v>24245</v>
      </c>
      <c r="F6814" t="s">
        <v>31362</v>
      </c>
      <c r="G6814" t="s">
        <v>31368</v>
      </c>
      <c r="H6814" t="s">
        <v>31379</v>
      </c>
      <c r="I6814" t="s">
        <v>31433</v>
      </c>
      <c r="J6814" t="s">
        <v>33024</v>
      </c>
      <c r="K6814" t="s">
        <v>40666</v>
      </c>
      <c r="M6814" t="s">
        <v>42705</v>
      </c>
      <c r="N6814" t="s">
        <v>44905</v>
      </c>
      <c r="O6814" t="s">
        <v>44906</v>
      </c>
      <c r="P6814">
        <v>0</v>
      </c>
      <c r="Q6814">
        <v>0</v>
      </c>
      <c r="R6814" t="s">
        <v>44909</v>
      </c>
      <c r="S6814" t="s">
        <v>45060</v>
      </c>
      <c r="T6814" t="s">
        <v>46463</v>
      </c>
      <c r="U6814" t="s">
        <v>52467</v>
      </c>
      <c r="W6814" t="s">
        <v>42705</v>
      </c>
      <c r="X6814" t="s">
        <v>44910</v>
      </c>
    </row>
    <row r="6815" spans="1:24">
      <c r="A6815">
        <f>HYPERLINK("https://www.philgeps.gov.ph/GEPSNONPILOT/Tender/SplashBidNoticeAbstractUI.aspx?menuIndex=3&amp;refID=7078602&amp;Result=3","7078602")</f>
        <v>0</v>
      </c>
      <c r="B6815" t="s">
        <v>2085</v>
      </c>
      <c r="C6815" t="s">
        <v>10020</v>
      </c>
      <c r="E6815" t="s">
        <v>24246</v>
      </c>
      <c r="F6815" t="s">
        <v>31362</v>
      </c>
      <c r="G6815" t="s">
        <v>31368</v>
      </c>
      <c r="H6815" t="s">
        <v>31379</v>
      </c>
      <c r="I6815" t="s">
        <v>31451</v>
      </c>
      <c r="J6815" t="s">
        <v>32263</v>
      </c>
      <c r="K6815" t="s">
        <v>40661</v>
      </c>
      <c r="M6815" t="s">
        <v>43208</v>
      </c>
      <c r="N6815" t="s">
        <v>44905</v>
      </c>
      <c r="O6815" t="s">
        <v>44906</v>
      </c>
      <c r="P6815">
        <v>0</v>
      </c>
      <c r="Q6815">
        <v>6</v>
      </c>
      <c r="R6815" t="s">
        <v>44909</v>
      </c>
      <c r="S6815" t="s">
        <v>45060</v>
      </c>
      <c r="T6815" t="s">
        <v>46394</v>
      </c>
      <c r="U6815" t="s">
        <v>52468</v>
      </c>
      <c r="V6815" t="s">
        <v>59725</v>
      </c>
      <c r="W6815" t="s">
        <v>43208</v>
      </c>
      <c r="X6815" t="s">
        <v>44910</v>
      </c>
    </row>
    <row r="6816" spans="1:24">
      <c r="A6816">
        <f>HYPERLINK("https://www.philgeps.gov.ph/GEPSNONPILOT/Tender/SplashBidNoticeAbstractUI.aspx?menuIndex=3&amp;refID=7078610&amp;Result=3","7078610")</f>
        <v>0</v>
      </c>
      <c r="B6816" t="s">
        <v>1676</v>
      </c>
      <c r="C6816" t="s">
        <v>10021</v>
      </c>
      <c r="D6816" t="s">
        <v>18139</v>
      </c>
      <c r="E6816" t="s">
        <v>24247</v>
      </c>
      <c r="F6816" t="s">
        <v>31362</v>
      </c>
      <c r="G6816" t="s">
        <v>31369</v>
      </c>
      <c r="H6816" t="s">
        <v>31378</v>
      </c>
      <c r="I6816" t="s">
        <v>31386</v>
      </c>
      <c r="J6816" t="s">
        <v>35713</v>
      </c>
      <c r="K6816" t="s">
        <v>40678</v>
      </c>
      <c r="M6816" t="s">
        <v>42741</v>
      </c>
      <c r="N6816" t="s">
        <v>44905</v>
      </c>
      <c r="O6816" t="s">
        <v>44906</v>
      </c>
      <c r="P6816">
        <v>0</v>
      </c>
      <c r="Q6816">
        <v>1</v>
      </c>
      <c r="R6816" t="s">
        <v>44909</v>
      </c>
      <c r="S6816" t="s">
        <v>45060</v>
      </c>
      <c r="T6816" t="s">
        <v>46419</v>
      </c>
      <c r="U6816" t="s">
        <v>52469</v>
      </c>
      <c r="V6816" t="s">
        <v>59726</v>
      </c>
      <c r="W6816" t="s">
        <v>60921</v>
      </c>
      <c r="X6816" t="s">
        <v>44910</v>
      </c>
    </row>
    <row r="6817" spans="1:24">
      <c r="A6817">
        <f>HYPERLINK("https://www.philgeps.gov.ph/GEPSNONPILOT/Tender/SplashBidNoticeAbstractUI.aspx?menuIndex=3&amp;refID=7078589&amp;Result=3","7078589")</f>
        <v>0</v>
      </c>
      <c r="B6817" t="s">
        <v>76</v>
      </c>
      <c r="C6817" t="s">
        <v>10022</v>
      </c>
      <c r="D6817" t="s">
        <v>18112</v>
      </c>
      <c r="E6817" t="s">
        <v>24248</v>
      </c>
      <c r="F6817" t="s">
        <v>31362</v>
      </c>
      <c r="G6817" t="s">
        <v>31369</v>
      </c>
      <c r="H6817" t="s">
        <v>15799</v>
      </c>
      <c r="I6817" t="s">
        <v>3815</v>
      </c>
      <c r="J6817" t="s">
        <v>35714</v>
      </c>
      <c r="K6817" t="s">
        <v>40662</v>
      </c>
      <c r="M6817" t="s">
        <v>41012</v>
      </c>
      <c r="N6817" t="s">
        <v>44905</v>
      </c>
      <c r="O6817" t="s">
        <v>44906</v>
      </c>
      <c r="P6817">
        <v>0</v>
      </c>
      <c r="Q6817">
        <v>0</v>
      </c>
      <c r="R6817" t="s">
        <v>44909</v>
      </c>
      <c r="S6817" t="s">
        <v>45060</v>
      </c>
      <c r="T6817" t="s">
        <v>46511</v>
      </c>
      <c r="U6817" t="s">
        <v>52470</v>
      </c>
      <c r="W6817" t="s">
        <v>41012</v>
      </c>
      <c r="X6817" t="s">
        <v>44910</v>
      </c>
    </row>
    <row r="6818" spans="1:24">
      <c r="A6818">
        <f>HYPERLINK("https://www.philgeps.gov.ph/GEPSNONPILOT/Tender/SplashBidNoticeAbstractUI.aspx?menuIndex=3&amp;refID=7078597&amp;Result=3","7078597")</f>
        <v>0</v>
      </c>
      <c r="B6818" t="s">
        <v>999</v>
      </c>
      <c r="C6818" t="s">
        <v>10023</v>
      </c>
      <c r="D6818" t="s">
        <v>18103</v>
      </c>
      <c r="E6818" t="s">
        <v>24249</v>
      </c>
      <c r="F6818" t="s">
        <v>31362</v>
      </c>
      <c r="G6818" t="s">
        <v>31370</v>
      </c>
      <c r="H6818" t="s">
        <v>15799</v>
      </c>
      <c r="I6818" t="s">
        <v>31395</v>
      </c>
      <c r="J6818" t="s">
        <v>35715</v>
      </c>
      <c r="K6818" t="s">
        <v>40662</v>
      </c>
      <c r="M6818" t="s">
        <v>41995</v>
      </c>
      <c r="N6818" t="s">
        <v>44905</v>
      </c>
      <c r="O6818" t="s">
        <v>44906</v>
      </c>
      <c r="P6818">
        <v>0</v>
      </c>
      <c r="Q6818">
        <v>14</v>
      </c>
      <c r="R6818" t="s">
        <v>44909</v>
      </c>
      <c r="S6818" t="s">
        <v>45060</v>
      </c>
      <c r="T6818" t="s">
        <v>46406</v>
      </c>
      <c r="U6818" t="s">
        <v>52471</v>
      </c>
      <c r="V6818" t="s">
        <v>59339</v>
      </c>
      <c r="W6818" t="s">
        <v>41995</v>
      </c>
      <c r="X6818" t="s">
        <v>44910</v>
      </c>
    </row>
    <row r="6819" spans="1:24">
      <c r="A6819">
        <f>HYPERLINK("https://www.philgeps.gov.ph/GEPSNONPILOT/Tender/SplashBidNoticeAbstractUI.aspx?menuIndex=3&amp;refID=7078628&amp;Result=3","7078628")</f>
        <v>0</v>
      </c>
      <c r="B6819" t="s">
        <v>2086</v>
      </c>
      <c r="C6819" t="s">
        <v>10024</v>
      </c>
      <c r="D6819" t="s">
        <v>18134</v>
      </c>
      <c r="E6819" t="s">
        <v>18227</v>
      </c>
      <c r="F6819" t="s">
        <v>31363</v>
      </c>
      <c r="G6819" t="s">
        <v>31369</v>
      </c>
      <c r="H6819" t="s">
        <v>15799</v>
      </c>
      <c r="I6819" t="s">
        <v>3815</v>
      </c>
      <c r="J6819" t="s">
        <v>35716</v>
      </c>
      <c r="K6819" t="s">
        <v>40670</v>
      </c>
      <c r="M6819" t="s">
        <v>43209</v>
      </c>
      <c r="N6819" t="s">
        <v>44905</v>
      </c>
      <c r="O6819" t="s">
        <v>44906</v>
      </c>
      <c r="P6819">
        <v>0</v>
      </c>
      <c r="Q6819">
        <v>0</v>
      </c>
      <c r="R6819" t="s">
        <v>44909</v>
      </c>
      <c r="S6819" t="s">
        <v>45060</v>
      </c>
      <c r="T6819" t="s">
        <v>46504</v>
      </c>
      <c r="U6819" t="s">
        <v>52472</v>
      </c>
      <c r="V6819" t="s">
        <v>59727</v>
      </c>
      <c r="W6819" t="s">
        <v>43209</v>
      </c>
      <c r="X6819" t="s">
        <v>44910</v>
      </c>
    </row>
    <row r="6820" spans="1:24">
      <c r="A6820">
        <f>HYPERLINK("https://www.philgeps.gov.ph/GEPSNONPILOT/Tender/SplashBidNoticeAbstractUI.aspx?menuIndex=3&amp;refID=7078587&amp;Result=3","7078587")</f>
        <v>0</v>
      </c>
      <c r="B6820" t="s">
        <v>1006</v>
      </c>
      <c r="C6820" t="s">
        <v>10025</v>
      </c>
      <c r="D6820" t="s">
        <v>18111</v>
      </c>
      <c r="E6820" t="s">
        <v>24203</v>
      </c>
      <c r="F6820" t="s">
        <v>31362</v>
      </c>
      <c r="G6820" t="s">
        <v>31370</v>
      </c>
      <c r="H6820" t="s">
        <v>15799</v>
      </c>
      <c r="I6820" t="s">
        <v>31387</v>
      </c>
      <c r="J6820" t="s">
        <v>35717</v>
      </c>
      <c r="K6820" t="s">
        <v>40662</v>
      </c>
      <c r="M6820" t="s">
        <v>42003</v>
      </c>
      <c r="N6820" t="s">
        <v>44905</v>
      </c>
      <c r="O6820" t="s">
        <v>44906</v>
      </c>
      <c r="P6820">
        <v>0</v>
      </c>
      <c r="Q6820">
        <v>2</v>
      </c>
      <c r="R6820" t="s">
        <v>44909</v>
      </c>
      <c r="S6820" t="s">
        <v>45060</v>
      </c>
      <c r="T6820" t="s">
        <v>46400</v>
      </c>
      <c r="U6820" t="s">
        <v>52473</v>
      </c>
      <c r="W6820" t="s">
        <v>42003</v>
      </c>
      <c r="X6820" t="s">
        <v>44910</v>
      </c>
    </row>
    <row r="6821" spans="1:24">
      <c r="A6821">
        <f>HYPERLINK("https://www.philgeps.gov.ph/GEPSNONPILOT/Tender/SplashBidNoticeAbstractUI.aspx?menuIndex=3&amp;refID=7078625&amp;Result=3","7078625")</f>
        <v>0</v>
      </c>
      <c r="B6821" t="s">
        <v>1006</v>
      </c>
      <c r="C6821" t="s">
        <v>10026</v>
      </c>
      <c r="D6821" t="s">
        <v>18111</v>
      </c>
      <c r="E6821" t="s">
        <v>24203</v>
      </c>
      <c r="F6821" t="s">
        <v>31362</v>
      </c>
      <c r="G6821" t="s">
        <v>31370</v>
      </c>
      <c r="H6821" t="s">
        <v>15799</v>
      </c>
      <c r="I6821" t="s">
        <v>31406</v>
      </c>
      <c r="J6821" t="s">
        <v>32235</v>
      </c>
      <c r="K6821" t="s">
        <v>40662</v>
      </c>
      <c r="M6821" t="s">
        <v>42003</v>
      </c>
      <c r="N6821" t="s">
        <v>44905</v>
      </c>
      <c r="O6821" t="s">
        <v>44906</v>
      </c>
      <c r="P6821">
        <v>0</v>
      </c>
      <c r="Q6821">
        <v>2</v>
      </c>
      <c r="R6821" t="s">
        <v>44909</v>
      </c>
      <c r="S6821" t="s">
        <v>45060</v>
      </c>
      <c r="T6821" t="s">
        <v>46400</v>
      </c>
      <c r="U6821" t="s">
        <v>49117</v>
      </c>
      <c r="W6821" t="s">
        <v>42003</v>
      </c>
      <c r="X6821" t="s">
        <v>44910</v>
      </c>
    </row>
    <row r="6822" spans="1:24">
      <c r="A6822">
        <f>HYPERLINK("https://www.philgeps.gov.ph/GEPSNONPILOT/Tender/SplashBidNoticeAbstractUI.aspx?menuIndex=3&amp;refID=7078585&amp;Result=3","7078585")</f>
        <v>0</v>
      </c>
      <c r="B6822" t="s">
        <v>321</v>
      </c>
      <c r="C6822" t="s">
        <v>10027</v>
      </c>
      <c r="D6822" t="s">
        <v>18114</v>
      </c>
      <c r="E6822" t="s">
        <v>24250</v>
      </c>
      <c r="F6822" t="s">
        <v>31362</v>
      </c>
      <c r="G6822" t="s">
        <v>31369</v>
      </c>
      <c r="H6822" t="s">
        <v>31379</v>
      </c>
      <c r="I6822" t="s">
        <v>31450</v>
      </c>
      <c r="J6822" t="s">
        <v>35718</v>
      </c>
      <c r="K6822" t="s">
        <v>40675</v>
      </c>
      <c r="M6822" t="s">
        <v>41267</v>
      </c>
      <c r="N6822" t="s">
        <v>44905</v>
      </c>
      <c r="O6822" t="s">
        <v>44906</v>
      </c>
      <c r="P6822">
        <v>0</v>
      </c>
      <c r="Q6822">
        <v>5</v>
      </c>
      <c r="R6822" t="s">
        <v>44909</v>
      </c>
      <c r="S6822" t="s">
        <v>45060</v>
      </c>
      <c r="T6822" t="s">
        <v>46511</v>
      </c>
      <c r="U6822" t="s">
        <v>47466</v>
      </c>
      <c r="V6822" t="s">
        <v>59161</v>
      </c>
      <c r="W6822" t="s">
        <v>41267</v>
      </c>
      <c r="X6822" t="s">
        <v>44910</v>
      </c>
    </row>
    <row r="6823" spans="1:24">
      <c r="A6823">
        <f>HYPERLINK("https://www.philgeps.gov.ph/GEPSNONPILOT/Tender/SplashBidNoticeAbstractUI.aspx?menuIndex=3&amp;refID=7078622&amp;Result=3","7078622")</f>
        <v>0</v>
      </c>
      <c r="B6823" t="s">
        <v>1684</v>
      </c>
      <c r="C6823" t="s">
        <v>10028</v>
      </c>
      <c r="D6823" t="s">
        <v>18175</v>
      </c>
      <c r="E6823" t="s">
        <v>24251</v>
      </c>
      <c r="F6823" t="s">
        <v>31362</v>
      </c>
      <c r="G6823" t="s">
        <v>31369</v>
      </c>
      <c r="H6823" t="s">
        <v>15799</v>
      </c>
      <c r="I6823" t="s">
        <v>31384</v>
      </c>
      <c r="J6823" t="s">
        <v>32112</v>
      </c>
      <c r="K6823" t="s">
        <v>40665</v>
      </c>
      <c r="M6823" t="s">
        <v>42749</v>
      </c>
      <c r="N6823" t="s">
        <v>44905</v>
      </c>
      <c r="O6823" t="s">
        <v>44906</v>
      </c>
      <c r="P6823">
        <v>0</v>
      </c>
      <c r="Q6823">
        <v>9</v>
      </c>
      <c r="R6823" t="s">
        <v>44909</v>
      </c>
      <c r="S6823" t="s">
        <v>45060</v>
      </c>
      <c r="T6823" t="s">
        <v>46419</v>
      </c>
      <c r="U6823" t="s">
        <v>52474</v>
      </c>
      <c r="W6823" t="s">
        <v>42749</v>
      </c>
      <c r="X6823" t="s">
        <v>44910</v>
      </c>
    </row>
    <row r="6824" spans="1:24">
      <c r="A6824">
        <f>HYPERLINK("https://www.philgeps.gov.ph/GEPSNONPILOT/Tender/SplashBidNoticeAbstractUI.aspx?menuIndex=3&amp;refID=7078580&amp;Result=3","7078580")</f>
        <v>0</v>
      </c>
      <c r="B6824" t="s">
        <v>2070</v>
      </c>
      <c r="C6824" t="s">
        <v>10029</v>
      </c>
      <c r="D6824" t="s">
        <v>18125</v>
      </c>
      <c r="E6824" t="s">
        <v>24252</v>
      </c>
      <c r="F6824" t="s">
        <v>31362</v>
      </c>
      <c r="G6824" t="s">
        <v>31368</v>
      </c>
      <c r="H6824" t="s">
        <v>31378</v>
      </c>
      <c r="I6824" t="s">
        <v>31386</v>
      </c>
      <c r="J6824" t="s">
        <v>31625</v>
      </c>
      <c r="K6824" t="s">
        <v>40679</v>
      </c>
      <c r="M6824" t="s">
        <v>43192</v>
      </c>
      <c r="N6824" t="s">
        <v>44905</v>
      </c>
      <c r="O6824" t="s">
        <v>44906</v>
      </c>
      <c r="P6824">
        <v>0</v>
      </c>
      <c r="Q6824">
        <v>0</v>
      </c>
      <c r="R6824" t="s">
        <v>44909</v>
      </c>
      <c r="S6824" t="s">
        <v>45060</v>
      </c>
      <c r="T6824" t="s">
        <v>46409</v>
      </c>
      <c r="U6824" t="s">
        <v>52475</v>
      </c>
      <c r="W6824" t="s">
        <v>43192</v>
      </c>
      <c r="X6824" t="s">
        <v>44910</v>
      </c>
    </row>
    <row r="6825" spans="1:24">
      <c r="A6825">
        <f>HYPERLINK("https://www.philgeps.gov.ph/GEPSNONPILOT/Tender/SplashBidNoticeAbstractUI.aspx?menuIndex=3&amp;refID=7078620&amp;Result=3","7078620")</f>
        <v>0</v>
      </c>
      <c r="B6825" t="s">
        <v>2087</v>
      </c>
      <c r="C6825" t="s">
        <v>10030</v>
      </c>
      <c r="D6825" t="s">
        <v>18177</v>
      </c>
      <c r="E6825" t="s">
        <v>24253</v>
      </c>
      <c r="F6825" t="s">
        <v>31363</v>
      </c>
      <c r="G6825" t="s">
        <v>31369</v>
      </c>
      <c r="H6825" t="s">
        <v>15799</v>
      </c>
      <c r="I6825" t="s">
        <v>31414</v>
      </c>
      <c r="J6825" t="s">
        <v>32239</v>
      </c>
      <c r="K6825" t="s">
        <v>40665</v>
      </c>
      <c r="L6825" t="s">
        <v>2087</v>
      </c>
      <c r="M6825" t="s">
        <v>43210</v>
      </c>
      <c r="N6825" t="s">
        <v>44905</v>
      </c>
      <c r="O6825" t="s">
        <v>44906</v>
      </c>
      <c r="P6825">
        <v>0</v>
      </c>
      <c r="Q6825">
        <v>4</v>
      </c>
      <c r="R6825" t="s">
        <v>44909</v>
      </c>
      <c r="S6825" t="s">
        <v>45060</v>
      </c>
      <c r="T6825" t="s">
        <v>46561</v>
      </c>
      <c r="U6825" t="s">
        <v>52476</v>
      </c>
      <c r="W6825" t="s">
        <v>43210</v>
      </c>
      <c r="X6825" t="s">
        <v>44910</v>
      </c>
    </row>
    <row r="6826" spans="1:24">
      <c r="A6826">
        <f>HYPERLINK("https://www.philgeps.gov.ph/GEPSNONPILOT/Tender/SplashBidNoticeAbstractUI.aspx?menuIndex=3&amp;refID=7078609&amp;Result=3","7078609")</f>
        <v>0</v>
      </c>
      <c r="B6826" t="s">
        <v>1676</v>
      </c>
      <c r="C6826" t="s">
        <v>10031</v>
      </c>
      <c r="D6826" t="s">
        <v>18139</v>
      </c>
      <c r="E6826" t="s">
        <v>24254</v>
      </c>
      <c r="F6826" t="s">
        <v>31362</v>
      </c>
      <c r="G6826" t="s">
        <v>31369</v>
      </c>
      <c r="H6826" t="s">
        <v>31378</v>
      </c>
      <c r="I6826" t="s">
        <v>31386</v>
      </c>
      <c r="J6826" t="s">
        <v>34185</v>
      </c>
      <c r="K6826" t="s">
        <v>40678</v>
      </c>
      <c r="M6826" t="s">
        <v>42741</v>
      </c>
      <c r="N6826" t="s">
        <v>44905</v>
      </c>
      <c r="O6826" t="s">
        <v>44906</v>
      </c>
      <c r="P6826">
        <v>0</v>
      </c>
      <c r="Q6826">
        <v>2</v>
      </c>
      <c r="R6826" t="s">
        <v>44909</v>
      </c>
      <c r="S6826" t="s">
        <v>45060</v>
      </c>
      <c r="T6826" t="s">
        <v>46419</v>
      </c>
      <c r="U6826" t="s">
        <v>52477</v>
      </c>
      <c r="V6826" t="s">
        <v>59728</v>
      </c>
      <c r="W6826" t="s">
        <v>60921</v>
      </c>
      <c r="X6826" t="s">
        <v>44910</v>
      </c>
    </row>
    <row r="6827" spans="1:24">
      <c r="A6827">
        <f>HYPERLINK("https://www.philgeps.gov.ph/GEPSNONPILOT/Tender/SplashBidNoticeAbstractUI.aspx?menuIndex=3&amp;refID=7078608&amp;Result=3","7078608")</f>
        <v>0</v>
      </c>
      <c r="B6827" t="s">
        <v>76</v>
      </c>
      <c r="C6827" t="s">
        <v>10032</v>
      </c>
      <c r="D6827" t="s">
        <v>18112</v>
      </c>
      <c r="E6827" t="s">
        <v>24255</v>
      </c>
      <c r="F6827" t="s">
        <v>31362</v>
      </c>
      <c r="G6827" t="s">
        <v>31369</v>
      </c>
      <c r="H6827" t="s">
        <v>15799</v>
      </c>
      <c r="I6827" t="s">
        <v>31482</v>
      </c>
      <c r="J6827" t="s">
        <v>35719</v>
      </c>
      <c r="K6827" t="s">
        <v>40662</v>
      </c>
      <c r="M6827" t="s">
        <v>41012</v>
      </c>
      <c r="N6827" t="s">
        <v>44905</v>
      </c>
      <c r="O6827" t="s">
        <v>44906</v>
      </c>
      <c r="P6827">
        <v>0</v>
      </c>
      <c r="Q6827">
        <v>0</v>
      </c>
      <c r="R6827" t="s">
        <v>44909</v>
      </c>
      <c r="S6827" t="s">
        <v>45060</v>
      </c>
      <c r="T6827" t="s">
        <v>46722</v>
      </c>
      <c r="U6827" t="s">
        <v>52478</v>
      </c>
      <c r="W6827" t="s">
        <v>41012</v>
      </c>
      <c r="X6827" t="s">
        <v>44910</v>
      </c>
    </row>
    <row r="6828" spans="1:24">
      <c r="A6828">
        <f>HYPERLINK("https://www.philgeps.gov.ph/GEPSNONPILOT/Tender/SplashBidNoticeAbstractUI.aspx?menuIndex=3&amp;refID=7078632&amp;Result=3","7078632")</f>
        <v>0</v>
      </c>
      <c r="B6828" t="s">
        <v>1684</v>
      </c>
      <c r="C6828" t="s">
        <v>10033</v>
      </c>
      <c r="D6828" t="s">
        <v>18175</v>
      </c>
      <c r="E6828" t="s">
        <v>24256</v>
      </c>
      <c r="F6828" t="s">
        <v>31362</v>
      </c>
      <c r="G6828" t="s">
        <v>31369</v>
      </c>
      <c r="H6828" t="s">
        <v>15799</v>
      </c>
      <c r="I6828" t="s">
        <v>31393</v>
      </c>
      <c r="J6828" t="s">
        <v>35720</v>
      </c>
      <c r="K6828" t="s">
        <v>40665</v>
      </c>
      <c r="M6828" t="s">
        <v>42749</v>
      </c>
      <c r="N6828" t="s">
        <v>44905</v>
      </c>
      <c r="O6828" t="s">
        <v>44906</v>
      </c>
      <c r="P6828">
        <v>0</v>
      </c>
      <c r="Q6828">
        <v>2</v>
      </c>
      <c r="R6828" t="s">
        <v>44909</v>
      </c>
      <c r="S6828" t="s">
        <v>45060</v>
      </c>
      <c r="T6828" t="s">
        <v>46419</v>
      </c>
      <c r="U6828" t="s">
        <v>52479</v>
      </c>
      <c r="W6828" t="s">
        <v>42749</v>
      </c>
      <c r="X6828" t="s">
        <v>44910</v>
      </c>
    </row>
    <row r="6829" spans="1:24">
      <c r="A6829">
        <f>HYPERLINK("https://www.philgeps.gov.ph/GEPSNONPILOT/Tender/SplashBidNoticeAbstractUI.aspx?menuIndex=3&amp;refID=7078627&amp;Result=3","7078627")</f>
        <v>0</v>
      </c>
      <c r="B6829" t="s">
        <v>2088</v>
      </c>
      <c r="C6829" t="s">
        <v>10034</v>
      </c>
      <c r="D6829" t="s">
        <v>18131</v>
      </c>
      <c r="E6829" t="s">
        <v>18476</v>
      </c>
      <c r="F6829" t="s">
        <v>31362</v>
      </c>
      <c r="G6829" t="s">
        <v>31369</v>
      </c>
      <c r="H6829" t="s">
        <v>15799</v>
      </c>
      <c r="I6829" t="s">
        <v>13635</v>
      </c>
      <c r="J6829" t="s">
        <v>35721</v>
      </c>
      <c r="K6829" t="s">
        <v>40661</v>
      </c>
      <c r="M6829" t="s">
        <v>43211</v>
      </c>
      <c r="N6829" t="s">
        <v>44905</v>
      </c>
      <c r="O6829" t="s">
        <v>44906</v>
      </c>
      <c r="P6829">
        <v>0</v>
      </c>
      <c r="Q6829">
        <v>2</v>
      </c>
      <c r="R6829" t="s">
        <v>44909</v>
      </c>
      <c r="S6829" t="s">
        <v>45060</v>
      </c>
      <c r="T6829" t="s">
        <v>46400</v>
      </c>
      <c r="U6829" t="s">
        <v>52480</v>
      </c>
      <c r="V6829" t="s">
        <v>59729</v>
      </c>
      <c r="W6829" t="s">
        <v>43211</v>
      </c>
      <c r="X6829" t="s">
        <v>44910</v>
      </c>
    </row>
    <row r="6830" spans="1:24">
      <c r="A6830">
        <f>HYPERLINK("https://www.philgeps.gov.ph/GEPSNONPILOT/Tender/SplashBidNoticeAbstractUI.aspx?menuIndex=3&amp;refID=7078629&amp;Result=3","7078629")</f>
        <v>0</v>
      </c>
      <c r="B6830" t="s">
        <v>2087</v>
      </c>
      <c r="C6830" t="s">
        <v>10035</v>
      </c>
      <c r="D6830" t="s">
        <v>18177</v>
      </c>
      <c r="E6830" t="s">
        <v>24257</v>
      </c>
      <c r="F6830" t="s">
        <v>31363</v>
      </c>
      <c r="G6830" t="s">
        <v>31369</v>
      </c>
      <c r="H6830" t="s">
        <v>15799</v>
      </c>
      <c r="I6830" t="s">
        <v>31459</v>
      </c>
      <c r="J6830" t="s">
        <v>31591</v>
      </c>
      <c r="K6830" t="s">
        <v>40681</v>
      </c>
      <c r="L6830" t="s">
        <v>2087</v>
      </c>
      <c r="M6830" t="s">
        <v>43210</v>
      </c>
      <c r="N6830" t="s">
        <v>44905</v>
      </c>
      <c r="O6830" t="s">
        <v>44906</v>
      </c>
      <c r="P6830">
        <v>0</v>
      </c>
      <c r="Q6830">
        <v>1</v>
      </c>
      <c r="R6830" t="s">
        <v>44909</v>
      </c>
      <c r="S6830" t="s">
        <v>45060</v>
      </c>
      <c r="T6830" t="s">
        <v>46561</v>
      </c>
      <c r="U6830" t="s">
        <v>52481</v>
      </c>
      <c r="W6830" t="s">
        <v>43210</v>
      </c>
      <c r="X6830" t="s">
        <v>44910</v>
      </c>
    </row>
    <row r="6831" spans="1:24">
      <c r="A6831">
        <f>HYPERLINK("https://www.philgeps.gov.ph/GEPSNONPILOT/Tender/SplashBidNoticeAbstractUI.aspx?menuIndex=3&amp;refID=7078631&amp;Result=3","7078631")</f>
        <v>0</v>
      </c>
      <c r="B6831" t="s">
        <v>238</v>
      </c>
      <c r="C6831" t="s">
        <v>10036</v>
      </c>
      <c r="D6831" t="s">
        <v>18163</v>
      </c>
      <c r="E6831" t="s">
        <v>24258</v>
      </c>
      <c r="F6831" t="s">
        <v>31362</v>
      </c>
      <c r="G6831" t="s">
        <v>31369</v>
      </c>
      <c r="H6831" t="s">
        <v>15799</v>
      </c>
      <c r="I6831" t="s">
        <v>3815</v>
      </c>
      <c r="J6831" t="s">
        <v>35722</v>
      </c>
      <c r="K6831" t="s">
        <v>40662</v>
      </c>
      <c r="M6831" t="s">
        <v>41177</v>
      </c>
      <c r="N6831" t="s">
        <v>44905</v>
      </c>
      <c r="O6831" t="s">
        <v>44906</v>
      </c>
      <c r="P6831">
        <v>0</v>
      </c>
      <c r="Q6831">
        <v>0</v>
      </c>
      <c r="R6831" t="s">
        <v>44909</v>
      </c>
      <c r="S6831" t="s">
        <v>45060</v>
      </c>
      <c r="T6831" t="s">
        <v>46511</v>
      </c>
      <c r="U6831" t="s">
        <v>52482</v>
      </c>
      <c r="V6831" t="s">
        <v>59537</v>
      </c>
      <c r="W6831" t="s">
        <v>41177</v>
      </c>
      <c r="X6831" t="s">
        <v>44910</v>
      </c>
    </row>
    <row r="6832" spans="1:24">
      <c r="A6832">
        <f>HYPERLINK("https://www.philgeps.gov.ph/GEPSNONPILOT/Tender/SplashBidNoticeAbstractUI.aspx?menuIndex=3&amp;refID=7078621&amp;Result=3","7078621")</f>
        <v>0</v>
      </c>
      <c r="B6832" t="s">
        <v>2089</v>
      </c>
      <c r="C6832" t="s">
        <v>10037</v>
      </c>
      <c r="D6832" t="s">
        <v>18108</v>
      </c>
      <c r="E6832" t="s">
        <v>24259</v>
      </c>
      <c r="F6832" t="s">
        <v>31362</v>
      </c>
      <c r="G6832" t="s">
        <v>31368</v>
      </c>
      <c r="H6832" t="s">
        <v>15799</v>
      </c>
      <c r="I6832" t="s">
        <v>31380</v>
      </c>
      <c r="J6832" t="s">
        <v>35162</v>
      </c>
      <c r="K6832" t="s">
        <v>40661</v>
      </c>
      <c r="M6832" t="s">
        <v>43212</v>
      </c>
      <c r="N6832" t="s">
        <v>44905</v>
      </c>
      <c r="O6832" t="s">
        <v>44906</v>
      </c>
      <c r="P6832">
        <v>0</v>
      </c>
      <c r="Q6832">
        <v>28</v>
      </c>
      <c r="R6832" t="s">
        <v>44909</v>
      </c>
      <c r="S6832" t="s">
        <v>45060</v>
      </c>
      <c r="T6832" t="s">
        <v>46507</v>
      </c>
      <c r="U6832" t="s">
        <v>52483</v>
      </c>
      <c r="W6832" t="s">
        <v>43212</v>
      </c>
      <c r="X6832" t="s">
        <v>44910</v>
      </c>
    </row>
    <row r="6833" spans="1:24">
      <c r="A6833">
        <f>HYPERLINK("https://www.philgeps.gov.ph/GEPSNONPILOT/Tender/SplashBidNoticeAbstractUI.aspx?menuIndex=3&amp;refID=7078573&amp;Result=3","7078573")</f>
        <v>0</v>
      </c>
      <c r="B6833" t="s">
        <v>2078</v>
      </c>
      <c r="C6833" t="s">
        <v>10038</v>
      </c>
      <c r="D6833" t="s">
        <v>18179</v>
      </c>
      <c r="E6833" t="s">
        <v>24260</v>
      </c>
      <c r="F6833" t="s">
        <v>31362</v>
      </c>
      <c r="G6833" t="s">
        <v>31369</v>
      </c>
      <c r="H6833" t="s">
        <v>31378</v>
      </c>
      <c r="I6833" t="s">
        <v>31386</v>
      </c>
      <c r="J6833" t="s">
        <v>32673</v>
      </c>
      <c r="K6833" t="s">
        <v>40759</v>
      </c>
      <c r="M6833" t="s">
        <v>43200</v>
      </c>
      <c r="N6833" t="s">
        <v>44905</v>
      </c>
      <c r="O6833" t="s">
        <v>44906</v>
      </c>
      <c r="P6833">
        <v>0</v>
      </c>
      <c r="Q6833">
        <v>0</v>
      </c>
      <c r="R6833" t="s">
        <v>44909</v>
      </c>
      <c r="S6833" t="s">
        <v>45060</v>
      </c>
      <c r="T6833" t="s">
        <v>46433</v>
      </c>
      <c r="U6833" t="s">
        <v>52449</v>
      </c>
      <c r="W6833" t="s">
        <v>43200</v>
      </c>
      <c r="X6833" t="s">
        <v>44910</v>
      </c>
    </row>
    <row r="6834" spans="1:24">
      <c r="A6834">
        <f>HYPERLINK("https://www.philgeps.gov.ph/GEPSNONPILOT/Tender/SplashBidNoticeAbstractUI.aspx?menuIndex=3&amp;refID=7078614&amp;Result=3","7078614")</f>
        <v>0</v>
      </c>
      <c r="B6834" t="s">
        <v>1676</v>
      </c>
      <c r="C6834" t="s">
        <v>10039</v>
      </c>
      <c r="D6834" t="s">
        <v>18139</v>
      </c>
      <c r="E6834" t="s">
        <v>24261</v>
      </c>
      <c r="F6834" t="s">
        <v>31362</v>
      </c>
      <c r="G6834" t="s">
        <v>31369</v>
      </c>
      <c r="H6834" t="s">
        <v>31378</v>
      </c>
      <c r="I6834" t="s">
        <v>31386</v>
      </c>
      <c r="J6834" t="s">
        <v>35723</v>
      </c>
      <c r="K6834" t="s">
        <v>40686</v>
      </c>
      <c r="M6834" t="s">
        <v>42741</v>
      </c>
      <c r="N6834" t="s">
        <v>44905</v>
      </c>
      <c r="O6834" t="s">
        <v>44906</v>
      </c>
      <c r="P6834">
        <v>0</v>
      </c>
      <c r="Q6834">
        <v>1</v>
      </c>
      <c r="R6834" t="s">
        <v>44909</v>
      </c>
      <c r="S6834" t="s">
        <v>45060</v>
      </c>
      <c r="T6834" t="s">
        <v>46419</v>
      </c>
      <c r="U6834" t="s">
        <v>52484</v>
      </c>
      <c r="V6834" t="s">
        <v>59730</v>
      </c>
      <c r="W6834" t="s">
        <v>60921</v>
      </c>
      <c r="X6834" t="s">
        <v>44910</v>
      </c>
    </row>
    <row r="6835" spans="1:24">
      <c r="A6835">
        <f>HYPERLINK("https://www.philgeps.gov.ph/GEPSNONPILOT/Tender/SplashBidNoticeAbstractUI.aspx?menuIndex=3&amp;refID=7078612&amp;Result=3","7078612")</f>
        <v>0</v>
      </c>
      <c r="B6835" t="s">
        <v>76</v>
      </c>
      <c r="C6835" t="s">
        <v>10040</v>
      </c>
      <c r="D6835" t="s">
        <v>18112</v>
      </c>
      <c r="E6835" t="s">
        <v>24255</v>
      </c>
      <c r="F6835" t="s">
        <v>31362</v>
      </c>
      <c r="G6835" t="s">
        <v>31369</v>
      </c>
      <c r="H6835" t="s">
        <v>15799</v>
      </c>
      <c r="I6835" t="s">
        <v>31426</v>
      </c>
      <c r="J6835" t="s">
        <v>32549</v>
      </c>
      <c r="K6835" t="s">
        <v>40662</v>
      </c>
      <c r="M6835" t="s">
        <v>41012</v>
      </c>
      <c r="N6835" t="s">
        <v>44905</v>
      </c>
      <c r="O6835" t="s">
        <v>44906</v>
      </c>
      <c r="P6835">
        <v>0</v>
      </c>
      <c r="Q6835">
        <v>4</v>
      </c>
      <c r="R6835" t="s">
        <v>44909</v>
      </c>
      <c r="S6835" t="s">
        <v>45060</v>
      </c>
      <c r="T6835" t="s">
        <v>46737</v>
      </c>
      <c r="U6835" t="s">
        <v>52485</v>
      </c>
      <c r="W6835" t="s">
        <v>41012</v>
      </c>
      <c r="X6835" t="s">
        <v>44910</v>
      </c>
    </row>
    <row r="6836" spans="1:24">
      <c r="A6836">
        <f>HYPERLINK("https://www.philgeps.gov.ph/GEPSNONPILOT/Tender/SplashBidNoticeAbstractUI.aspx?menuIndex=3&amp;refID=7078611&amp;Result=3","7078611")</f>
        <v>0</v>
      </c>
      <c r="B6836" t="s">
        <v>2089</v>
      </c>
      <c r="C6836" t="s">
        <v>10041</v>
      </c>
      <c r="D6836" t="s">
        <v>18108</v>
      </c>
      <c r="E6836" t="s">
        <v>24262</v>
      </c>
      <c r="F6836" t="s">
        <v>31362</v>
      </c>
      <c r="G6836" t="s">
        <v>31368</v>
      </c>
      <c r="H6836" t="s">
        <v>15799</v>
      </c>
      <c r="I6836" t="s">
        <v>31380</v>
      </c>
      <c r="J6836" t="s">
        <v>32837</v>
      </c>
      <c r="K6836" t="s">
        <v>40661</v>
      </c>
      <c r="M6836" t="s">
        <v>43212</v>
      </c>
      <c r="N6836" t="s">
        <v>44905</v>
      </c>
      <c r="O6836" t="s">
        <v>44906</v>
      </c>
      <c r="P6836">
        <v>0</v>
      </c>
      <c r="Q6836">
        <v>35</v>
      </c>
      <c r="R6836" t="s">
        <v>44909</v>
      </c>
      <c r="S6836" t="s">
        <v>45060</v>
      </c>
      <c r="T6836" t="s">
        <v>46467</v>
      </c>
      <c r="U6836" t="s">
        <v>52486</v>
      </c>
      <c r="W6836" t="s">
        <v>43212</v>
      </c>
      <c r="X6836" t="s">
        <v>44910</v>
      </c>
    </row>
    <row r="6837" spans="1:24">
      <c r="A6837">
        <f>HYPERLINK("https://www.philgeps.gov.ph/GEPSNONPILOT/Tender/SplashBidNoticeAbstractUI.aspx?menuIndex=3&amp;refID=7078618&amp;Result=3","7078618")</f>
        <v>0</v>
      </c>
      <c r="B6837" t="s">
        <v>2070</v>
      </c>
      <c r="C6837" t="s">
        <v>10042</v>
      </c>
      <c r="D6837" t="s">
        <v>18125</v>
      </c>
      <c r="E6837" t="s">
        <v>24263</v>
      </c>
      <c r="F6837" t="s">
        <v>31362</v>
      </c>
      <c r="G6837" t="s">
        <v>31368</v>
      </c>
      <c r="H6837" t="s">
        <v>31378</v>
      </c>
      <c r="I6837" t="s">
        <v>31386</v>
      </c>
      <c r="J6837" t="s">
        <v>35080</v>
      </c>
      <c r="K6837" t="s">
        <v>40686</v>
      </c>
      <c r="M6837" t="s">
        <v>43192</v>
      </c>
      <c r="N6837" t="s">
        <v>44905</v>
      </c>
      <c r="O6837" t="s">
        <v>44906</v>
      </c>
      <c r="P6837">
        <v>0</v>
      </c>
      <c r="Q6837">
        <v>0</v>
      </c>
      <c r="R6837" t="s">
        <v>44909</v>
      </c>
      <c r="S6837" t="s">
        <v>45060</v>
      </c>
      <c r="T6837" t="s">
        <v>46434</v>
      </c>
      <c r="U6837" t="s">
        <v>52487</v>
      </c>
      <c r="W6837" t="s">
        <v>43192</v>
      </c>
      <c r="X6837" t="s">
        <v>44910</v>
      </c>
    </row>
    <row r="6838" spans="1:24">
      <c r="A6838">
        <f>HYPERLINK("https://www.philgeps.gov.ph/GEPSNONPILOT/Tender/SplashBidNoticeAbstractUI.aspx?menuIndex=3&amp;refID=7078616&amp;Result=3","7078616")</f>
        <v>0</v>
      </c>
      <c r="B6838" t="s">
        <v>234</v>
      </c>
      <c r="C6838" t="s">
        <v>10043</v>
      </c>
      <c r="D6838" t="s">
        <v>18108</v>
      </c>
      <c r="E6838" t="s">
        <v>24264</v>
      </c>
      <c r="F6838" t="s">
        <v>31362</v>
      </c>
      <c r="G6838" t="s">
        <v>31369</v>
      </c>
      <c r="H6838" t="s">
        <v>15799</v>
      </c>
      <c r="I6838" t="s">
        <v>3582</v>
      </c>
      <c r="J6838" t="s">
        <v>31951</v>
      </c>
      <c r="K6838" t="s">
        <v>40675</v>
      </c>
      <c r="M6838" t="s">
        <v>43213</v>
      </c>
      <c r="N6838" t="s">
        <v>44905</v>
      </c>
      <c r="O6838" t="s">
        <v>44906</v>
      </c>
      <c r="P6838">
        <v>0</v>
      </c>
      <c r="Q6838">
        <v>5</v>
      </c>
      <c r="R6838" t="s">
        <v>44909</v>
      </c>
      <c r="S6838" t="s">
        <v>45060</v>
      </c>
      <c r="T6838" t="s">
        <v>46449</v>
      </c>
      <c r="U6838" t="s">
        <v>52488</v>
      </c>
      <c r="W6838" t="s">
        <v>43213</v>
      </c>
      <c r="X6838" t="s">
        <v>44910</v>
      </c>
    </row>
    <row r="6839" spans="1:24">
      <c r="A6839">
        <f>HYPERLINK("https://www.philgeps.gov.ph/GEPSNONPILOT/Tender/SplashBidNoticeAbstractUI.aspx?menuIndex=3&amp;refID=7078661&amp;Result=3","7078661")</f>
        <v>0</v>
      </c>
      <c r="B6839" t="s">
        <v>2090</v>
      </c>
      <c r="C6839" t="s">
        <v>10044</v>
      </c>
      <c r="D6839" t="s">
        <v>18128</v>
      </c>
      <c r="E6839" t="s">
        <v>24265</v>
      </c>
      <c r="F6839" t="s">
        <v>31362</v>
      </c>
      <c r="G6839" t="s">
        <v>31369</v>
      </c>
      <c r="H6839" t="s">
        <v>15799</v>
      </c>
      <c r="I6839" t="s">
        <v>3815</v>
      </c>
      <c r="J6839" t="s">
        <v>35724</v>
      </c>
      <c r="K6839" t="s">
        <v>40665</v>
      </c>
      <c r="M6839" t="s">
        <v>43214</v>
      </c>
      <c r="N6839" t="s">
        <v>44905</v>
      </c>
      <c r="O6839" t="s">
        <v>44906</v>
      </c>
      <c r="P6839">
        <v>0</v>
      </c>
      <c r="Q6839">
        <v>0</v>
      </c>
      <c r="R6839" t="s">
        <v>44909</v>
      </c>
      <c r="S6839" t="s">
        <v>45060</v>
      </c>
      <c r="T6839" t="s">
        <v>46575</v>
      </c>
      <c r="U6839" t="s">
        <v>52489</v>
      </c>
      <c r="W6839" t="s">
        <v>43214</v>
      </c>
      <c r="X6839" t="s">
        <v>44910</v>
      </c>
    </row>
    <row r="6840" spans="1:24">
      <c r="A6840">
        <f>HYPERLINK("https://www.philgeps.gov.ph/GEPSNONPILOT/Tender/SplashBidNoticeAbstractUI.aspx?menuIndex=3&amp;refID=7078624&amp;Result=3","7078624")</f>
        <v>0</v>
      </c>
      <c r="B6840" t="s">
        <v>2087</v>
      </c>
      <c r="C6840" t="s">
        <v>10045</v>
      </c>
      <c r="D6840" t="s">
        <v>18177</v>
      </c>
      <c r="E6840" t="s">
        <v>24266</v>
      </c>
      <c r="F6840" t="s">
        <v>31363</v>
      </c>
      <c r="G6840" t="s">
        <v>31369</v>
      </c>
      <c r="H6840" t="s">
        <v>15799</v>
      </c>
      <c r="I6840" t="s">
        <v>31459</v>
      </c>
      <c r="J6840" t="s">
        <v>31591</v>
      </c>
      <c r="K6840" t="s">
        <v>40681</v>
      </c>
      <c r="L6840" t="s">
        <v>2087</v>
      </c>
      <c r="M6840" t="s">
        <v>43210</v>
      </c>
      <c r="N6840" t="s">
        <v>44905</v>
      </c>
      <c r="O6840" t="s">
        <v>44906</v>
      </c>
      <c r="P6840">
        <v>0</v>
      </c>
      <c r="Q6840">
        <v>1</v>
      </c>
      <c r="R6840" t="s">
        <v>44909</v>
      </c>
      <c r="S6840" t="s">
        <v>45060</v>
      </c>
      <c r="T6840" t="s">
        <v>46561</v>
      </c>
      <c r="U6840" t="s">
        <v>52490</v>
      </c>
      <c r="W6840" t="s">
        <v>43210</v>
      </c>
      <c r="X6840" t="s">
        <v>44910</v>
      </c>
    </row>
    <row r="6841" spans="1:24">
      <c r="A6841">
        <f>HYPERLINK("https://www.philgeps.gov.ph/GEPSNONPILOT/Tender/SplashBidNoticeAbstractUI.aspx?menuIndex=3&amp;refID=7078660&amp;Result=3","7078660")</f>
        <v>0</v>
      </c>
      <c r="B6841" t="s">
        <v>2091</v>
      </c>
      <c r="C6841" t="s">
        <v>10034</v>
      </c>
      <c r="D6841" t="s">
        <v>18131</v>
      </c>
      <c r="E6841" t="s">
        <v>18548</v>
      </c>
      <c r="F6841" t="s">
        <v>31362</v>
      </c>
      <c r="G6841" t="s">
        <v>31369</v>
      </c>
      <c r="H6841" t="s">
        <v>15799</v>
      </c>
      <c r="I6841" t="s">
        <v>13635</v>
      </c>
      <c r="J6841" t="s">
        <v>35725</v>
      </c>
      <c r="K6841" t="s">
        <v>40661</v>
      </c>
      <c r="M6841" t="s">
        <v>43215</v>
      </c>
      <c r="N6841" t="s">
        <v>44905</v>
      </c>
      <c r="O6841" t="s">
        <v>44906</v>
      </c>
      <c r="P6841">
        <v>0</v>
      </c>
      <c r="Q6841">
        <v>2</v>
      </c>
      <c r="R6841" t="s">
        <v>44909</v>
      </c>
      <c r="S6841" t="s">
        <v>45060</v>
      </c>
      <c r="T6841" t="s">
        <v>46400</v>
      </c>
      <c r="U6841" t="s">
        <v>52491</v>
      </c>
      <c r="V6841" t="s">
        <v>59729</v>
      </c>
      <c r="W6841" t="s">
        <v>43215</v>
      </c>
      <c r="X6841" t="s">
        <v>44910</v>
      </c>
    </row>
    <row r="6842" spans="1:24">
      <c r="A6842">
        <f>HYPERLINK("https://www.philgeps.gov.ph/GEPSNONPILOT/Tender/SplashBidNoticeAbstractUI.aspx?menuIndex=3&amp;refID=7078659&amp;Result=3","7078659")</f>
        <v>0</v>
      </c>
      <c r="B6842" t="s">
        <v>163</v>
      </c>
      <c r="C6842" t="s">
        <v>8924</v>
      </c>
      <c r="D6842" t="s">
        <v>18106</v>
      </c>
      <c r="E6842" t="s">
        <v>24267</v>
      </c>
      <c r="F6842" t="s">
        <v>31362</v>
      </c>
      <c r="G6842" t="s">
        <v>31368</v>
      </c>
      <c r="H6842" t="s">
        <v>15799</v>
      </c>
      <c r="I6842" t="s">
        <v>4942</v>
      </c>
      <c r="J6842" t="s">
        <v>31564</v>
      </c>
      <c r="K6842" t="s">
        <v>40693</v>
      </c>
      <c r="M6842" t="s">
        <v>41101</v>
      </c>
      <c r="N6842" t="s">
        <v>44905</v>
      </c>
      <c r="O6842" t="s">
        <v>44906</v>
      </c>
      <c r="P6842">
        <v>0</v>
      </c>
      <c r="Q6842">
        <v>0</v>
      </c>
      <c r="R6842" t="s">
        <v>44909</v>
      </c>
      <c r="S6842" t="s">
        <v>45060</v>
      </c>
      <c r="T6842" t="s">
        <v>46478</v>
      </c>
      <c r="U6842" t="s">
        <v>52492</v>
      </c>
      <c r="W6842" t="s">
        <v>41101</v>
      </c>
      <c r="X6842" t="s">
        <v>44910</v>
      </c>
    </row>
    <row r="6843" spans="1:24">
      <c r="A6843">
        <f>HYPERLINK("https://www.philgeps.gov.ph/GEPSNONPILOT/Tender/SplashBidNoticeAbstractUI.aspx?menuIndex=3&amp;refID=7078617&amp;Result=3","7078617")</f>
        <v>0</v>
      </c>
      <c r="B6843" t="s">
        <v>2086</v>
      </c>
      <c r="C6843" t="s">
        <v>10046</v>
      </c>
      <c r="D6843" t="s">
        <v>18134</v>
      </c>
      <c r="E6843" t="s">
        <v>18227</v>
      </c>
      <c r="F6843" t="s">
        <v>31363</v>
      </c>
      <c r="G6843" t="s">
        <v>31369</v>
      </c>
      <c r="H6843" t="s">
        <v>15799</v>
      </c>
      <c r="I6843" t="s">
        <v>3815</v>
      </c>
      <c r="J6843" t="s">
        <v>35726</v>
      </c>
      <c r="K6843" t="s">
        <v>40670</v>
      </c>
      <c r="M6843" t="s">
        <v>43209</v>
      </c>
      <c r="N6843" t="s">
        <v>44905</v>
      </c>
      <c r="O6843" t="s">
        <v>44906</v>
      </c>
      <c r="P6843">
        <v>0</v>
      </c>
      <c r="Q6843">
        <v>0</v>
      </c>
      <c r="R6843" t="s">
        <v>44909</v>
      </c>
      <c r="S6843" t="s">
        <v>45060</v>
      </c>
      <c r="T6843" t="s">
        <v>46504</v>
      </c>
      <c r="U6843" t="s">
        <v>52493</v>
      </c>
      <c r="W6843" t="s">
        <v>43209</v>
      </c>
      <c r="X6843" t="s">
        <v>44910</v>
      </c>
    </row>
    <row r="6844" spans="1:24">
      <c r="A6844">
        <f>HYPERLINK("https://www.philgeps.gov.ph/GEPSNONPILOT/Tender/SplashBidNoticeAbstractUI.aspx?menuIndex=3&amp;refID=7078657&amp;Result=3","7078657")</f>
        <v>0</v>
      </c>
      <c r="B6844" t="s">
        <v>1010</v>
      </c>
      <c r="C6844" t="s">
        <v>10047</v>
      </c>
      <c r="D6844" t="s">
        <v>18147</v>
      </c>
      <c r="E6844" t="s">
        <v>24268</v>
      </c>
      <c r="F6844" t="s">
        <v>31362</v>
      </c>
      <c r="G6844" t="s">
        <v>31368</v>
      </c>
      <c r="H6844" t="s">
        <v>15799</v>
      </c>
      <c r="I6844" t="s">
        <v>31404</v>
      </c>
      <c r="J6844" t="s">
        <v>32268</v>
      </c>
      <c r="K6844" t="s">
        <v>40697</v>
      </c>
      <c r="L6844" t="s">
        <v>1010</v>
      </c>
      <c r="M6844" t="s">
        <v>42007</v>
      </c>
      <c r="N6844" t="s">
        <v>44905</v>
      </c>
      <c r="O6844" t="s">
        <v>44906</v>
      </c>
      <c r="P6844">
        <v>0</v>
      </c>
      <c r="Q6844">
        <v>0</v>
      </c>
      <c r="R6844" t="s">
        <v>44909</v>
      </c>
      <c r="S6844" t="s">
        <v>45060</v>
      </c>
      <c r="T6844" t="s">
        <v>46409</v>
      </c>
      <c r="U6844" t="s">
        <v>52494</v>
      </c>
      <c r="W6844" t="s">
        <v>42007</v>
      </c>
      <c r="X6844" t="s">
        <v>44910</v>
      </c>
    </row>
    <row r="6845" spans="1:24">
      <c r="A6845">
        <f>HYPERLINK("https://www.philgeps.gov.ph/GEPSNONPILOT/Tender/SplashBidNoticeAbstractUI.aspx?menuIndex=3&amp;refID=7078656&amp;Result=3","7078656")</f>
        <v>0</v>
      </c>
      <c r="B6845" t="s">
        <v>163</v>
      </c>
      <c r="C6845" t="s">
        <v>10048</v>
      </c>
      <c r="D6845" t="s">
        <v>18106</v>
      </c>
      <c r="E6845" t="s">
        <v>24269</v>
      </c>
      <c r="F6845" t="s">
        <v>31362</v>
      </c>
      <c r="G6845" t="s">
        <v>31368</v>
      </c>
      <c r="H6845" t="s">
        <v>15799</v>
      </c>
      <c r="I6845" t="s">
        <v>3815</v>
      </c>
      <c r="J6845" t="s">
        <v>35727</v>
      </c>
      <c r="K6845" t="s">
        <v>40697</v>
      </c>
      <c r="M6845" t="s">
        <v>41101</v>
      </c>
      <c r="N6845" t="s">
        <v>44905</v>
      </c>
      <c r="O6845" t="s">
        <v>44906</v>
      </c>
      <c r="P6845">
        <v>0</v>
      </c>
      <c r="Q6845">
        <v>0</v>
      </c>
      <c r="R6845" t="s">
        <v>44909</v>
      </c>
      <c r="S6845" t="s">
        <v>45060</v>
      </c>
      <c r="T6845" t="s">
        <v>46478</v>
      </c>
      <c r="U6845" t="s">
        <v>52495</v>
      </c>
      <c r="W6845" t="s">
        <v>41101</v>
      </c>
      <c r="X6845" t="s">
        <v>44910</v>
      </c>
    </row>
    <row r="6846" spans="1:24">
      <c r="A6846">
        <f>HYPERLINK("https://www.philgeps.gov.ph/GEPSNONPILOT/Tender/SplashBidNoticeAbstractUI.aspx?menuIndex=3&amp;refID=7078649&amp;Result=3","7078649")</f>
        <v>0</v>
      </c>
      <c r="B6846" t="s">
        <v>163</v>
      </c>
      <c r="C6846" t="s">
        <v>10048</v>
      </c>
      <c r="D6846" t="s">
        <v>18106</v>
      </c>
      <c r="E6846" t="s">
        <v>24270</v>
      </c>
      <c r="F6846" t="s">
        <v>31362</v>
      </c>
      <c r="G6846" t="s">
        <v>31368</v>
      </c>
      <c r="H6846" t="s">
        <v>15799</v>
      </c>
      <c r="I6846" t="s">
        <v>3815</v>
      </c>
      <c r="J6846" t="s">
        <v>35728</v>
      </c>
      <c r="K6846" t="s">
        <v>40697</v>
      </c>
      <c r="M6846" t="s">
        <v>41101</v>
      </c>
      <c r="N6846" t="s">
        <v>44905</v>
      </c>
      <c r="O6846" t="s">
        <v>44906</v>
      </c>
      <c r="P6846">
        <v>0</v>
      </c>
      <c r="Q6846">
        <v>0</v>
      </c>
      <c r="R6846" t="s">
        <v>44909</v>
      </c>
      <c r="S6846" t="s">
        <v>45060</v>
      </c>
      <c r="T6846" t="s">
        <v>46478</v>
      </c>
      <c r="U6846" t="s">
        <v>52495</v>
      </c>
      <c r="W6846" t="s">
        <v>41101</v>
      </c>
      <c r="X6846" t="s">
        <v>44910</v>
      </c>
    </row>
    <row r="6847" spans="1:24">
      <c r="A6847">
        <f>HYPERLINK("https://www.philgeps.gov.ph/GEPSNONPILOT/Tender/SplashBidNoticeAbstractUI.aspx?menuIndex=3&amp;refID=7078634&amp;Result=3","7078634")</f>
        <v>0</v>
      </c>
      <c r="B6847" t="s">
        <v>2092</v>
      </c>
      <c r="C6847" t="s">
        <v>10049</v>
      </c>
      <c r="D6847" t="s">
        <v>18109</v>
      </c>
      <c r="E6847" t="s">
        <v>18548</v>
      </c>
      <c r="F6847" t="s">
        <v>31362</v>
      </c>
      <c r="G6847" t="s">
        <v>31369</v>
      </c>
      <c r="H6847" t="s">
        <v>15799</v>
      </c>
      <c r="I6847" t="s">
        <v>31390</v>
      </c>
      <c r="J6847" t="s">
        <v>31734</v>
      </c>
      <c r="K6847" t="s">
        <v>40661</v>
      </c>
      <c r="M6847" t="s">
        <v>43216</v>
      </c>
      <c r="N6847" t="s">
        <v>44905</v>
      </c>
      <c r="O6847" t="s">
        <v>44906</v>
      </c>
      <c r="P6847">
        <v>0</v>
      </c>
      <c r="Q6847">
        <v>0</v>
      </c>
      <c r="R6847" t="s">
        <v>44909</v>
      </c>
      <c r="S6847" t="s">
        <v>45060</v>
      </c>
      <c r="T6847" t="s">
        <v>46396</v>
      </c>
      <c r="U6847" t="s">
        <v>52496</v>
      </c>
      <c r="W6847" t="s">
        <v>43216</v>
      </c>
      <c r="X6847" t="s">
        <v>44910</v>
      </c>
    </row>
    <row r="6848" spans="1:24">
      <c r="A6848">
        <f>HYPERLINK("https://www.philgeps.gov.ph/GEPSNONPILOT/Tender/SplashBidNoticeAbstractUI.aspx?menuIndex=3&amp;refID=7078647&amp;Result=3","7078647")</f>
        <v>0</v>
      </c>
      <c r="B6848" t="s">
        <v>1339</v>
      </c>
      <c r="C6848" t="s">
        <v>6613</v>
      </c>
      <c r="D6848" t="s">
        <v>18169</v>
      </c>
      <c r="E6848" t="s">
        <v>24271</v>
      </c>
      <c r="F6848" t="s">
        <v>31362</v>
      </c>
      <c r="G6848" t="s">
        <v>31368</v>
      </c>
      <c r="H6848" t="s">
        <v>15799</v>
      </c>
      <c r="I6848" t="s">
        <v>31385</v>
      </c>
      <c r="J6848" t="s">
        <v>35729</v>
      </c>
      <c r="K6848" t="s">
        <v>40661</v>
      </c>
      <c r="M6848" t="s">
        <v>42358</v>
      </c>
      <c r="N6848" t="s">
        <v>44905</v>
      </c>
      <c r="O6848" t="s">
        <v>44906</v>
      </c>
      <c r="P6848">
        <v>0</v>
      </c>
      <c r="Q6848">
        <v>0</v>
      </c>
      <c r="R6848" t="s">
        <v>44909</v>
      </c>
      <c r="S6848" t="s">
        <v>45060</v>
      </c>
      <c r="T6848" t="s">
        <v>46432</v>
      </c>
      <c r="U6848" t="s">
        <v>52427</v>
      </c>
      <c r="W6848" t="s">
        <v>42358</v>
      </c>
      <c r="X6848" t="s">
        <v>44910</v>
      </c>
    </row>
    <row r="6849" spans="1:24">
      <c r="A6849">
        <f>HYPERLINK("https://www.philgeps.gov.ph/GEPSNONPILOT/Tender/SplashBidNoticeAbstractUI.aspx?menuIndex=3&amp;refID=7078664&amp;Result=3","7078664")</f>
        <v>0</v>
      </c>
      <c r="B6849" t="s">
        <v>2093</v>
      </c>
      <c r="C6849" t="s">
        <v>10050</v>
      </c>
      <c r="D6849" t="s">
        <v>18101</v>
      </c>
      <c r="E6849" t="s">
        <v>24272</v>
      </c>
      <c r="F6849" t="s">
        <v>31362</v>
      </c>
      <c r="G6849" t="s">
        <v>31369</v>
      </c>
      <c r="H6849" t="s">
        <v>15799</v>
      </c>
      <c r="I6849" t="s">
        <v>4283</v>
      </c>
      <c r="J6849" t="s">
        <v>31734</v>
      </c>
      <c r="K6849" t="s">
        <v>40677</v>
      </c>
      <c r="M6849" t="s">
        <v>43217</v>
      </c>
      <c r="N6849" t="s">
        <v>44905</v>
      </c>
      <c r="O6849" t="s">
        <v>44906</v>
      </c>
      <c r="P6849">
        <v>0</v>
      </c>
      <c r="Q6849">
        <v>2</v>
      </c>
      <c r="R6849" t="s">
        <v>44909</v>
      </c>
      <c r="S6849" t="s">
        <v>45060</v>
      </c>
      <c r="T6849" t="s">
        <v>46560</v>
      </c>
      <c r="U6849" t="s">
        <v>52497</v>
      </c>
      <c r="W6849" t="s">
        <v>43217</v>
      </c>
      <c r="X6849" t="s">
        <v>44910</v>
      </c>
    </row>
    <row r="6850" spans="1:24">
      <c r="A6850">
        <f>HYPERLINK("https://www.philgeps.gov.ph/GEPSNONPILOT/Tender/SplashBidNoticeAbstractUI.aspx?menuIndex=3&amp;refID=7078663&amp;Result=3","7078663")</f>
        <v>0</v>
      </c>
      <c r="B6850" t="s">
        <v>1339</v>
      </c>
      <c r="C6850" t="s">
        <v>4955</v>
      </c>
      <c r="D6850" t="s">
        <v>18169</v>
      </c>
      <c r="E6850" t="s">
        <v>24273</v>
      </c>
      <c r="F6850" t="s">
        <v>31362</v>
      </c>
      <c r="G6850" t="s">
        <v>31368</v>
      </c>
      <c r="H6850" t="s">
        <v>15799</v>
      </c>
      <c r="I6850" t="s">
        <v>31380</v>
      </c>
      <c r="J6850" t="s">
        <v>35222</v>
      </c>
      <c r="K6850" t="s">
        <v>40661</v>
      </c>
      <c r="M6850" t="s">
        <v>42358</v>
      </c>
      <c r="N6850" t="s">
        <v>44905</v>
      </c>
      <c r="O6850" t="s">
        <v>44906</v>
      </c>
      <c r="P6850">
        <v>0</v>
      </c>
      <c r="Q6850">
        <v>2</v>
      </c>
      <c r="R6850" t="s">
        <v>44909</v>
      </c>
      <c r="S6850" t="s">
        <v>45060</v>
      </c>
      <c r="T6850" t="s">
        <v>46414</v>
      </c>
      <c r="U6850" t="s">
        <v>52427</v>
      </c>
      <c r="W6850" t="s">
        <v>42358</v>
      </c>
      <c r="X6850" t="s">
        <v>44910</v>
      </c>
    </row>
    <row r="6851" spans="1:24">
      <c r="A6851">
        <f>HYPERLINK("https://www.philgeps.gov.ph/GEPSNONPILOT/Tender/SplashBidNoticeAbstractUI.aspx?menuIndex=3&amp;refID=7078654&amp;Result=3","7078654")</f>
        <v>0</v>
      </c>
      <c r="B6851" t="s">
        <v>2094</v>
      </c>
      <c r="C6851" t="s">
        <v>10051</v>
      </c>
      <c r="D6851" t="s">
        <v>18116</v>
      </c>
      <c r="E6851" t="s">
        <v>18415</v>
      </c>
      <c r="F6851" t="s">
        <v>31362</v>
      </c>
      <c r="G6851" t="s">
        <v>31369</v>
      </c>
      <c r="H6851" t="s">
        <v>31378</v>
      </c>
      <c r="I6851" t="s">
        <v>31386</v>
      </c>
      <c r="J6851" t="s">
        <v>31738</v>
      </c>
      <c r="K6851" t="s">
        <v>40682</v>
      </c>
      <c r="M6851" t="s">
        <v>43218</v>
      </c>
      <c r="N6851" t="s">
        <v>44905</v>
      </c>
      <c r="O6851" t="s">
        <v>44906</v>
      </c>
      <c r="P6851">
        <v>0</v>
      </c>
      <c r="Q6851">
        <v>0</v>
      </c>
      <c r="R6851" t="s">
        <v>44909</v>
      </c>
      <c r="S6851" t="s">
        <v>45060</v>
      </c>
      <c r="T6851" t="s">
        <v>46503</v>
      </c>
      <c r="U6851" t="s">
        <v>52498</v>
      </c>
      <c r="W6851" t="s">
        <v>43218</v>
      </c>
      <c r="X6851" t="s">
        <v>44910</v>
      </c>
    </row>
    <row r="6852" spans="1:24">
      <c r="A6852">
        <f>HYPERLINK("https://www.philgeps.gov.ph/GEPSNONPILOT/Tender/SplashBidNoticeAbstractUI.aspx?menuIndex=3&amp;refID=7078636&amp;Result=3","7078636")</f>
        <v>0</v>
      </c>
      <c r="B6852" t="s">
        <v>2095</v>
      </c>
      <c r="C6852" t="s">
        <v>10052</v>
      </c>
      <c r="D6852" t="s">
        <v>18105</v>
      </c>
      <c r="E6852" t="s">
        <v>18548</v>
      </c>
      <c r="F6852" t="s">
        <v>31362</v>
      </c>
      <c r="G6852" t="s">
        <v>31369</v>
      </c>
      <c r="H6852" t="s">
        <v>31378</v>
      </c>
      <c r="I6852" t="s">
        <v>31386</v>
      </c>
      <c r="J6852" t="s">
        <v>31543</v>
      </c>
      <c r="K6852" t="s">
        <v>40665</v>
      </c>
      <c r="M6852" t="s">
        <v>43219</v>
      </c>
      <c r="N6852" t="s">
        <v>44905</v>
      </c>
      <c r="O6852" t="s">
        <v>44906</v>
      </c>
      <c r="P6852">
        <v>0</v>
      </c>
      <c r="Q6852">
        <v>0</v>
      </c>
      <c r="R6852" t="s">
        <v>44909</v>
      </c>
      <c r="S6852" t="s">
        <v>45060</v>
      </c>
      <c r="T6852" t="s">
        <v>46461</v>
      </c>
      <c r="U6852" t="s">
        <v>52499</v>
      </c>
      <c r="W6852" t="s">
        <v>43219</v>
      </c>
      <c r="X6852" t="s">
        <v>44910</v>
      </c>
    </row>
    <row r="6853" spans="1:24">
      <c r="A6853">
        <f>HYPERLINK("https://www.philgeps.gov.ph/GEPSNONPILOT/Tender/SplashBidNoticeAbstractUI.aspx?menuIndex=3&amp;refID=7078662&amp;Result=3","7078662")</f>
        <v>0</v>
      </c>
      <c r="B6853" t="s">
        <v>2021</v>
      </c>
      <c r="C6853" t="s">
        <v>9711</v>
      </c>
      <c r="D6853" t="s">
        <v>18100</v>
      </c>
      <c r="E6853" t="s">
        <v>24274</v>
      </c>
      <c r="F6853" t="s">
        <v>31362</v>
      </c>
      <c r="G6853" t="s">
        <v>31369</v>
      </c>
      <c r="H6853" t="s">
        <v>15799</v>
      </c>
      <c r="I6853" t="s">
        <v>31396</v>
      </c>
      <c r="J6853" t="s">
        <v>33310</v>
      </c>
      <c r="K6853" t="s">
        <v>40693</v>
      </c>
      <c r="M6853" t="s">
        <v>43138</v>
      </c>
      <c r="N6853" t="s">
        <v>44905</v>
      </c>
      <c r="O6853" t="s">
        <v>44906</v>
      </c>
      <c r="P6853">
        <v>0</v>
      </c>
      <c r="Q6853">
        <v>2</v>
      </c>
      <c r="R6853" t="s">
        <v>44909</v>
      </c>
      <c r="S6853" t="s">
        <v>45060</v>
      </c>
      <c r="T6853" t="s">
        <v>46461</v>
      </c>
      <c r="U6853" t="s">
        <v>52500</v>
      </c>
      <c r="W6853" t="s">
        <v>43138</v>
      </c>
      <c r="X6853" t="s">
        <v>44910</v>
      </c>
    </row>
    <row r="6854" spans="1:24">
      <c r="A6854">
        <f>HYPERLINK("https://www.philgeps.gov.ph/GEPSNONPILOT/Tender/SplashBidNoticeAbstractUI.aspx?menuIndex=3&amp;refID=7078653&amp;Result=3","7078653")</f>
        <v>0</v>
      </c>
      <c r="B6854" t="s">
        <v>1339</v>
      </c>
      <c r="C6854" t="s">
        <v>10053</v>
      </c>
      <c r="D6854" t="s">
        <v>18169</v>
      </c>
      <c r="E6854" t="s">
        <v>24275</v>
      </c>
      <c r="F6854" t="s">
        <v>31362</v>
      </c>
      <c r="G6854" t="s">
        <v>31368</v>
      </c>
      <c r="H6854" t="s">
        <v>15799</v>
      </c>
      <c r="I6854" t="s">
        <v>31387</v>
      </c>
      <c r="J6854" t="s">
        <v>35730</v>
      </c>
      <c r="K6854" t="s">
        <v>40661</v>
      </c>
      <c r="M6854" t="s">
        <v>42358</v>
      </c>
      <c r="N6854" t="s">
        <v>44905</v>
      </c>
      <c r="O6854" t="s">
        <v>44906</v>
      </c>
      <c r="P6854">
        <v>0</v>
      </c>
      <c r="Q6854">
        <v>0</v>
      </c>
      <c r="R6854" t="s">
        <v>44909</v>
      </c>
      <c r="S6854" t="s">
        <v>45060</v>
      </c>
      <c r="T6854" t="s">
        <v>46432</v>
      </c>
      <c r="U6854" t="s">
        <v>52427</v>
      </c>
      <c r="W6854" t="s">
        <v>42358</v>
      </c>
      <c r="X6854" t="s">
        <v>44910</v>
      </c>
    </row>
    <row r="6855" spans="1:24">
      <c r="A6855">
        <f>HYPERLINK("https://www.philgeps.gov.ph/GEPSNONPILOT/Tender/SplashBidNoticeAbstractUI.aspx?menuIndex=3&amp;refID=7078638&amp;Result=3","7078638")</f>
        <v>0</v>
      </c>
      <c r="B6855" t="s">
        <v>1699</v>
      </c>
      <c r="C6855" t="s">
        <v>10054</v>
      </c>
      <c r="D6855" t="s">
        <v>18155</v>
      </c>
      <c r="E6855" t="s">
        <v>22686</v>
      </c>
      <c r="F6855" t="s">
        <v>31362</v>
      </c>
      <c r="G6855" t="s">
        <v>31372</v>
      </c>
      <c r="H6855" t="s">
        <v>15799</v>
      </c>
      <c r="I6855" t="s">
        <v>31409</v>
      </c>
      <c r="J6855" t="s">
        <v>35731</v>
      </c>
      <c r="K6855" t="s">
        <v>40682</v>
      </c>
      <c r="M6855" t="s">
        <v>42766</v>
      </c>
      <c r="N6855" t="s">
        <v>44905</v>
      </c>
      <c r="O6855" t="s">
        <v>44906</v>
      </c>
      <c r="Q6855">
        <v>3</v>
      </c>
      <c r="R6855" t="s">
        <v>44909</v>
      </c>
      <c r="S6855" t="s">
        <v>45075</v>
      </c>
      <c r="T6855" t="s">
        <v>46738</v>
      </c>
      <c r="U6855" t="s">
        <v>52501</v>
      </c>
      <c r="V6855" t="s">
        <v>59731</v>
      </c>
      <c r="W6855" t="s">
        <v>42766</v>
      </c>
      <c r="X6855" t="s">
        <v>44910</v>
      </c>
    </row>
    <row r="6856" spans="1:24">
      <c r="A6856">
        <f>HYPERLINK("https://www.philgeps.gov.ph/GEPSNONPILOT/Tender/SplashBidNoticeAbstractUI.aspx?menuIndex=3&amp;refID=7078633&amp;Result=3","7078633")</f>
        <v>0</v>
      </c>
      <c r="B6856" t="s">
        <v>1010</v>
      </c>
      <c r="C6856" t="s">
        <v>10055</v>
      </c>
      <c r="D6856" t="s">
        <v>18147</v>
      </c>
      <c r="E6856" t="s">
        <v>24276</v>
      </c>
      <c r="F6856" t="s">
        <v>31362</v>
      </c>
      <c r="G6856" t="s">
        <v>31368</v>
      </c>
      <c r="H6856" t="s">
        <v>31379</v>
      </c>
      <c r="I6856" t="s">
        <v>31434</v>
      </c>
      <c r="J6856" t="s">
        <v>31987</v>
      </c>
      <c r="K6856" t="s">
        <v>40661</v>
      </c>
      <c r="L6856" t="s">
        <v>1010</v>
      </c>
      <c r="M6856" t="s">
        <v>42007</v>
      </c>
      <c r="N6856" t="s">
        <v>44905</v>
      </c>
      <c r="O6856" t="s">
        <v>44906</v>
      </c>
      <c r="P6856">
        <v>0</v>
      </c>
      <c r="Q6856">
        <v>0</v>
      </c>
      <c r="R6856" t="s">
        <v>44909</v>
      </c>
      <c r="S6856" t="s">
        <v>45060</v>
      </c>
      <c r="T6856" t="s">
        <v>46447</v>
      </c>
      <c r="U6856" t="s">
        <v>52502</v>
      </c>
      <c r="W6856" t="s">
        <v>42007</v>
      </c>
      <c r="X6856" t="s">
        <v>44910</v>
      </c>
    </row>
    <row r="6857" spans="1:24">
      <c r="A6857">
        <f>HYPERLINK("https://www.philgeps.gov.ph/GEPSNONPILOT/Tender/SplashBidNoticeAbstractUI.aspx?menuIndex=3&amp;refID=7078644&amp;Result=3","7078644")</f>
        <v>0</v>
      </c>
      <c r="B6857" t="s">
        <v>2096</v>
      </c>
      <c r="C6857" t="s">
        <v>6457</v>
      </c>
      <c r="D6857" t="s">
        <v>18100</v>
      </c>
      <c r="E6857" t="s">
        <v>24277</v>
      </c>
      <c r="F6857" t="s">
        <v>31362</v>
      </c>
      <c r="G6857" t="s">
        <v>31369</v>
      </c>
      <c r="H6857" t="s">
        <v>15799</v>
      </c>
      <c r="I6857" t="s">
        <v>31385</v>
      </c>
      <c r="J6857" t="s">
        <v>35732</v>
      </c>
      <c r="K6857" t="s">
        <v>40800</v>
      </c>
      <c r="M6857" t="s">
        <v>43220</v>
      </c>
      <c r="N6857" t="s">
        <v>44905</v>
      </c>
      <c r="O6857" t="s">
        <v>44906</v>
      </c>
      <c r="P6857">
        <v>0</v>
      </c>
      <c r="Q6857">
        <v>1</v>
      </c>
      <c r="R6857" t="s">
        <v>44909</v>
      </c>
      <c r="S6857" t="s">
        <v>45060</v>
      </c>
      <c r="T6857" t="s">
        <v>46465</v>
      </c>
      <c r="U6857" t="s">
        <v>52503</v>
      </c>
      <c r="V6857" t="s">
        <v>59732</v>
      </c>
      <c r="W6857" t="s">
        <v>43220</v>
      </c>
      <c r="X6857" t="s">
        <v>44910</v>
      </c>
    </row>
    <row r="6858" spans="1:24">
      <c r="A6858">
        <f>HYPERLINK("https://www.philgeps.gov.ph/GEPSNONPILOT/Tender/SplashBidNoticeAbstractUI.aspx?menuIndex=3&amp;refID=7078665&amp;Result=3","7078665")</f>
        <v>0</v>
      </c>
      <c r="B6858" t="s">
        <v>2097</v>
      </c>
      <c r="C6858" t="s">
        <v>10056</v>
      </c>
      <c r="D6858" t="s">
        <v>18128</v>
      </c>
      <c r="E6858" t="s">
        <v>24278</v>
      </c>
      <c r="F6858" t="s">
        <v>31362</v>
      </c>
      <c r="G6858" t="s">
        <v>31369</v>
      </c>
      <c r="H6858" t="s">
        <v>31378</v>
      </c>
      <c r="I6858" t="s">
        <v>31386</v>
      </c>
      <c r="J6858" t="s">
        <v>35733</v>
      </c>
      <c r="K6858" t="s">
        <v>40682</v>
      </c>
      <c r="M6858" t="s">
        <v>43221</v>
      </c>
      <c r="N6858" t="s">
        <v>44905</v>
      </c>
      <c r="O6858" t="s">
        <v>44906</v>
      </c>
      <c r="P6858">
        <v>0</v>
      </c>
      <c r="Q6858">
        <v>3</v>
      </c>
      <c r="R6858" t="s">
        <v>44909</v>
      </c>
      <c r="S6858" t="s">
        <v>45060</v>
      </c>
      <c r="T6858" t="s">
        <v>46549</v>
      </c>
      <c r="U6858" t="s">
        <v>52504</v>
      </c>
      <c r="W6858" t="s">
        <v>43221</v>
      </c>
      <c r="X6858" t="s">
        <v>44910</v>
      </c>
    </row>
    <row r="6859" spans="1:24">
      <c r="A6859">
        <f>HYPERLINK("https://www.philgeps.gov.ph/GEPSNONPILOT/Tender/SplashBidNoticeAbstractUI.aspx?menuIndex=3&amp;refID=7078683&amp;Result=3","7078683")</f>
        <v>0</v>
      </c>
      <c r="B6859" t="s">
        <v>2098</v>
      </c>
      <c r="C6859" t="s">
        <v>10057</v>
      </c>
      <c r="D6859" t="s">
        <v>18116</v>
      </c>
      <c r="E6859" t="s">
        <v>24279</v>
      </c>
      <c r="F6859" t="s">
        <v>31362</v>
      </c>
      <c r="G6859" t="s">
        <v>31369</v>
      </c>
      <c r="H6859" t="s">
        <v>31378</v>
      </c>
      <c r="I6859" t="s">
        <v>31386</v>
      </c>
      <c r="J6859" t="s">
        <v>31531</v>
      </c>
      <c r="K6859" t="s">
        <v>40666</v>
      </c>
      <c r="M6859" t="s">
        <v>43222</v>
      </c>
      <c r="N6859" t="s">
        <v>44905</v>
      </c>
      <c r="O6859" t="s">
        <v>44906</v>
      </c>
      <c r="P6859">
        <v>0</v>
      </c>
      <c r="Q6859">
        <v>0</v>
      </c>
      <c r="R6859" t="s">
        <v>44909</v>
      </c>
      <c r="S6859" t="s">
        <v>45060</v>
      </c>
      <c r="T6859" t="s">
        <v>46543</v>
      </c>
      <c r="U6859" t="s">
        <v>52505</v>
      </c>
      <c r="W6859" t="s">
        <v>43222</v>
      </c>
      <c r="X6859" t="s">
        <v>44910</v>
      </c>
    </row>
    <row r="6860" spans="1:24">
      <c r="A6860">
        <f>HYPERLINK("https://www.philgeps.gov.ph/GEPSNONPILOT/Tender/SplashBidNoticeAbstractUI.aspx?menuIndex=3&amp;refID=7078637&amp;Result=3","7078637")</f>
        <v>0</v>
      </c>
      <c r="B6860" t="s">
        <v>1339</v>
      </c>
      <c r="C6860" t="s">
        <v>7284</v>
      </c>
      <c r="D6860" t="s">
        <v>18169</v>
      </c>
      <c r="E6860" t="s">
        <v>24280</v>
      </c>
      <c r="F6860" t="s">
        <v>31362</v>
      </c>
      <c r="G6860" t="s">
        <v>31370</v>
      </c>
      <c r="H6860" t="s">
        <v>15799</v>
      </c>
      <c r="I6860" t="s">
        <v>7090</v>
      </c>
      <c r="J6860" t="s">
        <v>35734</v>
      </c>
      <c r="K6860" t="s">
        <v>40661</v>
      </c>
      <c r="M6860" t="s">
        <v>42358</v>
      </c>
      <c r="N6860" t="s">
        <v>44905</v>
      </c>
      <c r="O6860" t="s">
        <v>44906</v>
      </c>
      <c r="P6860">
        <v>0</v>
      </c>
      <c r="Q6860">
        <v>0</v>
      </c>
      <c r="R6860" t="s">
        <v>44909</v>
      </c>
      <c r="S6860" t="s">
        <v>45060</v>
      </c>
      <c r="T6860" t="s">
        <v>46414</v>
      </c>
      <c r="U6860" t="s">
        <v>52427</v>
      </c>
      <c r="W6860" t="s">
        <v>42358</v>
      </c>
      <c r="X6860" t="s">
        <v>44910</v>
      </c>
    </row>
    <row r="6861" spans="1:24">
      <c r="A6861">
        <f>HYPERLINK("https://www.philgeps.gov.ph/GEPSNONPILOT/Tender/SplashBidNoticeAbstractUI.aspx?menuIndex=3&amp;refID=7078680&amp;Result=3","7078680")</f>
        <v>0</v>
      </c>
      <c r="B6861" t="s">
        <v>2099</v>
      </c>
      <c r="C6861" t="s">
        <v>10058</v>
      </c>
      <c r="D6861" t="s">
        <v>18134</v>
      </c>
      <c r="E6861" t="s">
        <v>24281</v>
      </c>
      <c r="F6861" t="s">
        <v>31362</v>
      </c>
      <c r="G6861" t="s">
        <v>31369</v>
      </c>
      <c r="H6861" t="s">
        <v>31378</v>
      </c>
      <c r="I6861" t="s">
        <v>31386</v>
      </c>
      <c r="J6861" t="s">
        <v>35735</v>
      </c>
      <c r="K6861" t="s">
        <v>40768</v>
      </c>
      <c r="M6861" t="s">
        <v>43223</v>
      </c>
      <c r="N6861" t="s">
        <v>44905</v>
      </c>
      <c r="O6861" t="s">
        <v>44906</v>
      </c>
      <c r="P6861">
        <v>0</v>
      </c>
      <c r="Q6861">
        <v>0</v>
      </c>
      <c r="R6861" t="s">
        <v>44909</v>
      </c>
      <c r="S6861" t="s">
        <v>45060</v>
      </c>
      <c r="T6861" t="s">
        <v>46433</v>
      </c>
      <c r="U6861" t="s">
        <v>52506</v>
      </c>
      <c r="W6861" t="s">
        <v>43223</v>
      </c>
      <c r="X6861" t="s">
        <v>44910</v>
      </c>
    </row>
    <row r="6862" spans="1:24">
      <c r="A6862">
        <f>HYPERLINK("https://www.philgeps.gov.ph/GEPSNONPILOT/Tender/SplashBidNoticeAbstractUI.aspx?menuIndex=3&amp;refID=7078679&amp;Result=3","7078679")</f>
        <v>0</v>
      </c>
      <c r="B6862" t="s">
        <v>2100</v>
      </c>
      <c r="C6862" t="s">
        <v>10059</v>
      </c>
      <c r="D6862" t="s">
        <v>18100</v>
      </c>
      <c r="E6862" t="s">
        <v>24282</v>
      </c>
      <c r="F6862" t="s">
        <v>31362</v>
      </c>
      <c r="G6862" t="s">
        <v>31368</v>
      </c>
      <c r="H6862" t="s">
        <v>15799</v>
      </c>
      <c r="I6862" t="s">
        <v>3815</v>
      </c>
      <c r="J6862" t="s">
        <v>35736</v>
      </c>
      <c r="K6862" t="s">
        <v>40697</v>
      </c>
      <c r="M6862" t="s">
        <v>43224</v>
      </c>
      <c r="N6862" t="s">
        <v>44905</v>
      </c>
      <c r="O6862" t="s">
        <v>44906</v>
      </c>
      <c r="P6862">
        <v>0</v>
      </c>
      <c r="Q6862">
        <v>0</v>
      </c>
      <c r="R6862" t="s">
        <v>44909</v>
      </c>
      <c r="S6862" t="s">
        <v>45060</v>
      </c>
      <c r="T6862" t="s">
        <v>46414</v>
      </c>
      <c r="U6862" t="s">
        <v>52507</v>
      </c>
      <c r="W6862" t="s">
        <v>43224</v>
      </c>
      <c r="X6862" t="s">
        <v>44910</v>
      </c>
    </row>
    <row r="6863" spans="1:24">
      <c r="A6863">
        <f>HYPERLINK("https://www.philgeps.gov.ph/GEPSNONPILOT/Tender/SplashBidNoticeAbstractUI.aspx?menuIndex=3&amp;refID=7078678&amp;Result=3","7078678")</f>
        <v>0</v>
      </c>
      <c r="B6863" t="s">
        <v>2097</v>
      </c>
      <c r="C6863" t="s">
        <v>10060</v>
      </c>
      <c r="D6863" t="s">
        <v>18128</v>
      </c>
      <c r="E6863" t="s">
        <v>24283</v>
      </c>
      <c r="F6863" t="s">
        <v>31362</v>
      </c>
      <c r="G6863" t="s">
        <v>31369</v>
      </c>
      <c r="H6863" t="s">
        <v>15799</v>
      </c>
      <c r="I6863" t="s">
        <v>4283</v>
      </c>
      <c r="J6863" t="s">
        <v>35737</v>
      </c>
      <c r="K6863" t="s">
        <v>40665</v>
      </c>
      <c r="M6863" t="s">
        <v>43221</v>
      </c>
      <c r="N6863" t="s">
        <v>44905</v>
      </c>
      <c r="O6863" t="s">
        <v>44906</v>
      </c>
      <c r="P6863">
        <v>0</v>
      </c>
      <c r="Q6863">
        <v>0</v>
      </c>
      <c r="R6863" t="s">
        <v>44909</v>
      </c>
      <c r="S6863" t="s">
        <v>45060</v>
      </c>
      <c r="T6863" t="s">
        <v>46549</v>
      </c>
      <c r="U6863" t="s">
        <v>52508</v>
      </c>
      <c r="W6863" t="s">
        <v>43221</v>
      </c>
      <c r="X6863" t="s">
        <v>44910</v>
      </c>
    </row>
    <row r="6864" spans="1:24">
      <c r="A6864">
        <f>HYPERLINK("https://www.philgeps.gov.ph/GEPSNONPILOT/Tender/SplashBidNoticeAbstractUI.aspx?menuIndex=3&amp;refID=7078677&amp;Result=3","7078677")</f>
        <v>0</v>
      </c>
      <c r="B6864" t="s">
        <v>2101</v>
      </c>
      <c r="C6864" t="s">
        <v>10061</v>
      </c>
      <c r="E6864" t="s">
        <v>24284</v>
      </c>
      <c r="F6864" t="s">
        <v>31362</v>
      </c>
      <c r="G6864" t="s">
        <v>31376</v>
      </c>
      <c r="H6864" t="s">
        <v>31377</v>
      </c>
      <c r="I6864" t="s">
        <v>31377</v>
      </c>
      <c r="J6864" t="s">
        <v>31981</v>
      </c>
      <c r="K6864" t="s">
        <v>40682</v>
      </c>
      <c r="M6864" t="s">
        <v>43225</v>
      </c>
      <c r="N6864" t="s">
        <v>44905</v>
      </c>
      <c r="O6864" t="s">
        <v>44906</v>
      </c>
      <c r="P6864">
        <v>0</v>
      </c>
      <c r="Q6864">
        <v>4</v>
      </c>
      <c r="R6864" t="s">
        <v>44909</v>
      </c>
      <c r="S6864" t="s">
        <v>45060</v>
      </c>
      <c r="T6864" t="s">
        <v>46739</v>
      </c>
      <c r="U6864" t="s">
        <v>52509</v>
      </c>
      <c r="V6864" t="s">
        <v>59733</v>
      </c>
      <c r="W6864" t="s">
        <v>43225</v>
      </c>
      <c r="X6864" t="s">
        <v>44910</v>
      </c>
    </row>
    <row r="6865" spans="1:24">
      <c r="A6865">
        <f>HYPERLINK("https://www.philgeps.gov.ph/GEPSNONPILOT/Tender/SplashBidNoticeAbstractUI.aspx?menuIndex=3&amp;refID=7078674&amp;Result=3","7078674")</f>
        <v>0</v>
      </c>
      <c r="B6865" t="s">
        <v>2021</v>
      </c>
      <c r="C6865" t="s">
        <v>10062</v>
      </c>
      <c r="D6865" t="s">
        <v>18100</v>
      </c>
      <c r="E6865" t="s">
        <v>24285</v>
      </c>
      <c r="F6865" t="s">
        <v>31362</v>
      </c>
      <c r="G6865" t="s">
        <v>31369</v>
      </c>
      <c r="H6865" t="s">
        <v>15799</v>
      </c>
      <c r="I6865" t="s">
        <v>31406</v>
      </c>
      <c r="J6865" t="s">
        <v>31890</v>
      </c>
      <c r="K6865" t="s">
        <v>40693</v>
      </c>
      <c r="M6865" t="s">
        <v>43138</v>
      </c>
      <c r="N6865" t="s">
        <v>44905</v>
      </c>
      <c r="O6865" t="s">
        <v>44906</v>
      </c>
      <c r="P6865">
        <v>0</v>
      </c>
      <c r="Q6865">
        <v>1</v>
      </c>
      <c r="R6865" t="s">
        <v>44909</v>
      </c>
      <c r="S6865" t="s">
        <v>45060</v>
      </c>
      <c r="T6865" t="s">
        <v>46461</v>
      </c>
      <c r="U6865" t="s">
        <v>52510</v>
      </c>
      <c r="W6865" t="s">
        <v>43138</v>
      </c>
      <c r="X6865" t="s">
        <v>44910</v>
      </c>
    </row>
    <row r="6866" spans="1:24">
      <c r="A6866">
        <f>HYPERLINK("https://www.philgeps.gov.ph/GEPSNONPILOT/Tender/SplashBidNoticeAbstractUI.aspx?menuIndex=3&amp;refID=7078672&amp;Result=3","7078672")</f>
        <v>0</v>
      </c>
      <c r="B6866" t="s">
        <v>2101</v>
      </c>
      <c r="C6866" t="s">
        <v>10063</v>
      </c>
      <c r="E6866" t="s">
        <v>24286</v>
      </c>
      <c r="F6866" t="s">
        <v>31362</v>
      </c>
      <c r="G6866" t="s">
        <v>31376</v>
      </c>
      <c r="H6866" t="s">
        <v>31377</v>
      </c>
      <c r="I6866" t="s">
        <v>31377</v>
      </c>
      <c r="J6866" t="s">
        <v>31611</v>
      </c>
      <c r="K6866" t="s">
        <v>40686</v>
      </c>
      <c r="M6866" t="s">
        <v>43225</v>
      </c>
      <c r="N6866" t="s">
        <v>44905</v>
      </c>
      <c r="O6866" t="s">
        <v>44906</v>
      </c>
      <c r="P6866">
        <v>0</v>
      </c>
      <c r="Q6866">
        <v>5</v>
      </c>
      <c r="R6866" t="s">
        <v>44909</v>
      </c>
      <c r="S6866" t="s">
        <v>45060</v>
      </c>
      <c r="T6866" t="s">
        <v>46739</v>
      </c>
      <c r="U6866" t="s">
        <v>52511</v>
      </c>
      <c r="V6866" t="s">
        <v>59733</v>
      </c>
      <c r="W6866" t="s">
        <v>43225</v>
      </c>
      <c r="X6866" t="s">
        <v>44910</v>
      </c>
    </row>
    <row r="6867" spans="1:24">
      <c r="A6867">
        <f>HYPERLINK("https://www.philgeps.gov.ph/GEPSNONPILOT/Tender/SplashBidNoticeAbstractUI.aspx?menuIndex=3&amp;refID=7078668&amp;Result=3","7078668")</f>
        <v>0</v>
      </c>
      <c r="B6867" t="s">
        <v>2021</v>
      </c>
      <c r="C6867" t="s">
        <v>10064</v>
      </c>
      <c r="D6867" t="s">
        <v>18100</v>
      </c>
      <c r="E6867" t="s">
        <v>24287</v>
      </c>
      <c r="F6867" t="s">
        <v>31362</v>
      </c>
      <c r="G6867" t="s">
        <v>31369</v>
      </c>
      <c r="H6867" t="s">
        <v>15799</v>
      </c>
      <c r="I6867" t="s">
        <v>31406</v>
      </c>
      <c r="J6867" t="s">
        <v>35738</v>
      </c>
      <c r="K6867" t="s">
        <v>40693</v>
      </c>
      <c r="M6867" t="s">
        <v>43138</v>
      </c>
      <c r="N6867" t="s">
        <v>44905</v>
      </c>
      <c r="O6867" t="s">
        <v>44906</v>
      </c>
      <c r="P6867">
        <v>0</v>
      </c>
      <c r="Q6867">
        <v>1</v>
      </c>
      <c r="R6867" t="s">
        <v>44909</v>
      </c>
      <c r="S6867" t="s">
        <v>45060</v>
      </c>
      <c r="T6867" t="s">
        <v>46461</v>
      </c>
      <c r="U6867" t="s">
        <v>52512</v>
      </c>
      <c r="W6867" t="s">
        <v>43138</v>
      </c>
      <c r="X6867" t="s">
        <v>44910</v>
      </c>
    </row>
    <row r="6868" spans="1:24">
      <c r="A6868">
        <f>HYPERLINK("https://www.philgeps.gov.ph/GEPSNONPILOT/Tender/SplashBidNoticeAbstractUI.aspx?menuIndex=3&amp;refID=7078694&amp;Result=3","7078694")</f>
        <v>0</v>
      </c>
      <c r="B6868" t="s">
        <v>2102</v>
      </c>
      <c r="C6868" t="s">
        <v>10065</v>
      </c>
      <c r="D6868" t="s">
        <v>18180</v>
      </c>
      <c r="E6868" t="s">
        <v>24288</v>
      </c>
      <c r="F6868" t="s">
        <v>31362</v>
      </c>
      <c r="G6868" t="s">
        <v>31368</v>
      </c>
      <c r="H6868" t="s">
        <v>15799</v>
      </c>
      <c r="I6868" t="s">
        <v>31465</v>
      </c>
      <c r="J6868" t="s">
        <v>31577</v>
      </c>
      <c r="K6868" t="s">
        <v>40662</v>
      </c>
      <c r="M6868" t="s">
        <v>43226</v>
      </c>
      <c r="N6868" t="s">
        <v>44905</v>
      </c>
      <c r="O6868" t="s">
        <v>44906</v>
      </c>
      <c r="P6868">
        <v>0</v>
      </c>
      <c r="Q6868">
        <v>1</v>
      </c>
      <c r="R6868" t="s">
        <v>44909</v>
      </c>
      <c r="S6868" t="s">
        <v>45060</v>
      </c>
      <c r="T6868" t="s">
        <v>46414</v>
      </c>
      <c r="U6868" t="s">
        <v>52513</v>
      </c>
      <c r="W6868" t="s">
        <v>43226</v>
      </c>
      <c r="X6868" t="s">
        <v>44910</v>
      </c>
    </row>
    <row r="6869" spans="1:24">
      <c r="A6869">
        <f>HYPERLINK("https://www.philgeps.gov.ph/GEPSNONPILOT/Tender/SplashBidNoticeAbstractUI.aspx?menuIndex=3&amp;refID=7078643&amp;Result=3","7078643")</f>
        <v>0</v>
      </c>
      <c r="B6869" t="s">
        <v>802</v>
      </c>
      <c r="C6869" t="s">
        <v>10066</v>
      </c>
      <c r="D6869" t="s">
        <v>18103</v>
      </c>
      <c r="E6869" t="s">
        <v>24289</v>
      </c>
      <c r="F6869" t="s">
        <v>31362</v>
      </c>
      <c r="G6869" t="s">
        <v>31368</v>
      </c>
      <c r="H6869" t="s">
        <v>15799</v>
      </c>
      <c r="I6869" t="s">
        <v>31385</v>
      </c>
      <c r="J6869" t="s">
        <v>35739</v>
      </c>
      <c r="K6869" t="s">
        <v>40662</v>
      </c>
      <c r="M6869" t="s">
        <v>43227</v>
      </c>
      <c r="N6869" t="s">
        <v>44905</v>
      </c>
      <c r="O6869" t="s">
        <v>44906</v>
      </c>
      <c r="P6869">
        <v>0</v>
      </c>
      <c r="Q6869">
        <v>5</v>
      </c>
      <c r="R6869" t="s">
        <v>44909</v>
      </c>
      <c r="S6869" t="s">
        <v>45060</v>
      </c>
      <c r="T6869" t="s">
        <v>46411</v>
      </c>
      <c r="U6869" t="s">
        <v>52514</v>
      </c>
      <c r="V6869" t="s">
        <v>59734</v>
      </c>
      <c r="W6869" t="s">
        <v>43227</v>
      </c>
      <c r="X6869" t="s">
        <v>44910</v>
      </c>
    </row>
    <row r="6870" spans="1:24">
      <c r="A6870">
        <f>HYPERLINK("https://www.philgeps.gov.ph/GEPSNONPILOT/Tender/SplashBidNoticeAbstractUI.aspx?menuIndex=3&amp;refID=7078693&amp;Result=3","7078693")</f>
        <v>0</v>
      </c>
      <c r="B6870" t="s">
        <v>2103</v>
      </c>
      <c r="C6870" t="s">
        <v>10067</v>
      </c>
      <c r="D6870" t="s">
        <v>18100</v>
      </c>
      <c r="E6870" t="s">
        <v>24290</v>
      </c>
      <c r="F6870" t="s">
        <v>31362</v>
      </c>
      <c r="G6870" t="s">
        <v>31368</v>
      </c>
      <c r="H6870" t="s">
        <v>15799</v>
      </c>
      <c r="I6870" t="s">
        <v>31385</v>
      </c>
      <c r="J6870" t="s">
        <v>35740</v>
      </c>
      <c r="K6870" t="s">
        <v>40670</v>
      </c>
      <c r="M6870" t="s">
        <v>43228</v>
      </c>
      <c r="N6870" t="s">
        <v>44905</v>
      </c>
      <c r="O6870" t="s">
        <v>44906</v>
      </c>
      <c r="P6870">
        <v>0</v>
      </c>
      <c r="Q6870">
        <v>1</v>
      </c>
      <c r="R6870" t="s">
        <v>44909</v>
      </c>
      <c r="S6870" t="s">
        <v>45060</v>
      </c>
      <c r="T6870" t="s">
        <v>46414</v>
      </c>
      <c r="U6870" t="s">
        <v>52515</v>
      </c>
      <c r="W6870" t="s">
        <v>43228</v>
      </c>
      <c r="X6870" t="s">
        <v>44910</v>
      </c>
    </row>
    <row r="6871" spans="1:24">
      <c r="A6871">
        <f>HYPERLINK("https://www.philgeps.gov.ph/GEPSNONPILOT/Tender/SplashBidNoticeAbstractUI.aspx?menuIndex=3&amp;refID=7078682&amp;Result=3","7078682")</f>
        <v>0</v>
      </c>
      <c r="B6871" t="s">
        <v>145</v>
      </c>
      <c r="C6871" t="s">
        <v>10068</v>
      </c>
      <c r="D6871" t="s">
        <v>18116</v>
      </c>
      <c r="E6871" t="s">
        <v>22819</v>
      </c>
      <c r="F6871" t="s">
        <v>31362</v>
      </c>
      <c r="G6871" t="s">
        <v>31369</v>
      </c>
      <c r="H6871" t="s">
        <v>31379</v>
      </c>
      <c r="I6871" t="s">
        <v>31409</v>
      </c>
      <c r="J6871" t="s">
        <v>31981</v>
      </c>
      <c r="K6871" t="s">
        <v>40677</v>
      </c>
      <c r="M6871" t="s">
        <v>41083</v>
      </c>
      <c r="N6871" t="s">
        <v>44905</v>
      </c>
      <c r="O6871" t="s">
        <v>44906</v>
      </c>
      <c r="P6871">
        <v>0</v>
      </c>
      <c r="Q6871">
        <v>1</v>
      </c>
      <c r="R6871" t="s">
        <v>44909</v>
      </c>
      <c r="S6871" t="s">
        <v>45060</v>
      </c>
      <c r="T6871" t="s">
        <v>46638</v>
      </c>
      <c r="U6871" t="s">
        <v>47168</v>
      </c>
      <c r="W6871" t="s">
        <v>41083</v>
      </c>
      <c r="X6871" t="s">
        <v>44910</v>
      </c>
    </row>
    <row r="6872" spans="1:24">
      <c r="A6872">
        <f>HYPERLINK("https://www.philgeps.gov.ph/GEPSNONPILOT/Tender/SplashBidNoticeAbstractUI.aspx?menuIndex=3&amp;refID=7078692&amp;Result=3","7078692")</f>
        <v>0</v>
      </c>
      <c r="B6872" t="s">
        <v>2100</v>
      </c>
      <c r="C6872" t="s">
        <v>10069</v>
      </c>
      <c r="D6872" t="s">
        <v>18100</v>
      </c>
      <c r="E6872" t="s">
        <v>24282</v>
      </c>
      <c r="F6872" t="s">
        <v>31362</v>
      </c>
      <c r="G6872" t="s">
        <v>31368</v>
      </c>
      <c r="H6872" t="s">
        <v>15799</v>
      </c>
      <c r="I6872" t="s">
        <v>7090</v>
      </c>
      <c r="J6872" t="s">
        <v>35741</v>
      </c>
      <c r="K6872" t="s">
        <v>40697</v>
      </c>
      <c r="M6872" t="s">
        <v>43224</v>
      </c>
      <c r="N6872" t="s">
        <v>44905</v>
      </c>
      <c r="O6872" t="s">
        <v>44906</v>
      </c>
      <c r="P6872">
        <v>0</v>
      </c>
      <c r="Q6872">
        <v>1</v>
      </c>
      <c r="R6872" t="s">
        <v>44909</v>
      </c>
      <c r="S6872" t="s">
        <v>45060</v>
      </c>
      <c r="T6872" t="s">
        <v>46414</v>
      </c>
      <c r="U6872" t="s">
        <v>52516</v>
      </c>
      <c r="W6872" t="s">
        <v>43224</v>
      </c>
      <c r="X6872" t="s">
        <v>44910</v>
      </c>
    </row>
    <row r="6873" spans="1:24">
      <c r="A6873">
        <f>HYPERLINK("https://www.philgeps.gov.ph/GEPSNONPILOT/Tender/SplashBidNoticeAbstractUI.aspx?menuIndex=3&amp;refID=7078635&amp;Result=3","7078635")</f>
        <v>0</v>
      </c>
      <c r="B6873" t="s">
        <v>2104</v>
      </c>
      <c r="C6873" t="s">
        <v>10070</v>
      </c>
      <c r="D6873" t="s">
        <v>18108</v>
      </c>
      <c r="E6873" t="s">
        <v>24291</v>
      </c>
      <c r="F6873" t="s">
        <v>31362</v>
      </c>
      <c r="G6873" t="s">
        <v>31368</v>
      </c>
      <c r="H6873" t="s">
        <v>15799</v>
      </c>
      <c r="I6873" t="s">
        <v>7188</v>
      </c>
      <c r="J6873" t="s">
        <v>31535</v>
      </c>
      <c r="K6873" t="s">
        <v>40665</v>
      </c>
      <c r="M6873" t="s">
        <v>43229</v>
      </c>
      <c r="N6873" t="s">
        <v>44905</v>
      </c>
      <c r="O6873" t="s">
        <v>44906</v>
      </c>
      <c r="P6873">
        <v>0</v>
      </c>
      <c r="Q6873">
        <v>6</v>
      </c>
      <c r="R6873" t="s">
        <v>44909</v>
      </c>
      <c r="S6873" t="s">
        <v>45060</v>
      </c>
      <c r="T6873" t="s">
        <v>46412</v>
      </c>
      <c r="U6873" t="s">
        <v>52517</v>
      </c>
      <c r="W6873" t="s">
        <v>43229</v>
      </c>
      <c r="X6873" t="s">
        <v>44910</v>
      </c>
    </row>
    <row r="6874" spans="1:24">
      <c r="A6874">
        <f>HYPERLINK("https://www.philgeps.gov.ph/GEPSNONPILOT/Tender/SplashBidNoticeAbstractUI.aspx?menuIndex=3&amp;refID=7078691&amp;Result=3","7078691")</f>
        <v>0</v>
      </c>
      <c r="B6874" t="s">
        <v>2105</v>
      </c>
      <c r="C6874" t="s">
        <v>10071</v>
      </c>
      <c r="D6874" t="s">
        <v>18149</v>
      </c>
      <c r="E6874" t="s">
        <v>24292</v>
      </c>
      <c r="F6874" t="s">
        <v>31362</v>
      </c>
      <c r="G6874" t="s">
        <v>31368</v>
      </c>
      <c r="H6874" t="s">
        <v>15799</v>
      </c>
      <c r="I6874" t="s">
        <v>31380</v>
      </c>
      <c r="J6874" t="s">
        <v>34433</v>
      </c>
      <c r="K6874" t="s">
        <v>40661</v>
      </c>
      <c r="M6874" t="s">
        <v>43230</v>
      </c>
      <c r="N6874" t="s">
        <v>44905</v>
      </c>
      <c r="O6874" t="s">
        <v>44906</v>
      </c>
      <c r="P6874">
        <v>0</v>
      </c>
      <c r="Q6874">
        <v>11</v>
      </c>
      <c r="R6874" t="s">
        <v>44909</v>
      </c>
      <c r="S6874" t="s">
        <v>45060</v>
      </c>
      <c r="T6874" t="s">
        <v>46417</v>
      </c>
      <c r="U6874" t="s">
        <v>52518</v>
      </c>
      <c r="V6874" t="s">
        <v>59735</v>
      </c>
      <c r="W6874" t="s">
        <v>60922</v>
      </c>
      <c r="X6874" t="s">
        <v>44910</v>
      </c>
    </row>
    <row r="6875" spans="1:24">
      <c r="A6875">
        <f>HYPERLINK("https://www.philgeps.gov.ph/GEPSNONPILOT/Tender/SplashBidNoticeAbstractUI.aspx?menuIndex=3&amp;refID=7078690&amp;Result=3","7078690")</f>
        <v>0</v>
      </c>
      <c r="B6875" t="s">
        <v>2099</v>
      </c>
      <c r="C6875" t="s">
        <v>10072</v>
      </c>
      <c r="D6875" t="s">
        <v>18134</v>
      </c>
      <c r="E6875" t="s">
        <v>24293</v>
      </c>
      <c r="F6875" t="s">
        <v>31362</v>
      </c>
      <c r="G6875" t="s">
        <v>31369</v>
      </c>
      <c r="H6875" t="s">
        <v>31378</v>
      </c>
      <c r="I6875" t="s">
        <v>31386</v>
      </c>
      <c r="J6875" t="s">
        <v>35742</v>
      </c>
      <c r="K6875" t="s">
        <v>40675</v>
      </c>
      <c r="M6875" t="s">
        <v>43223</v>
      </c>
      <c r="N6875" t="s">
        <v>44905</v>
      </c>
      <c r="O6875" t="s">
        <v>44906</v>
      </c>
      <c r="P6875">
        <v>0</v>
      </c>
      <c r="Q6875">
        <v>0</v>
      </c>
      <c r="R6875" t="s">
        <v>44909</v>
      </c>
      <c r="S6875" t="s">
        <v>45060</v>
      </c>
      <c r="T6875" t="s">
        <v>46433</v>
      </c>
      <c r="U6875" t="s">
        <v>52519</v>
      </c>
      <c r="W6875" t="s">
        <v>43223</v>
      </c>
      <c r="X6875" t="s">
        <v>44910</v>
      </c>
    </row>
    <row r="6876" spans="1:24">
      <c r="A6876">
        <f>HYPERLINK("https://www.philgeps.gov.ph/GEPSNONPILOT/Tender/SplashBidNoticeAbstractUI.aspx?menuIndex=3&amp;refID=7078689&amp;Result=3","7078689")</f>
        <v>0</v>
      </c>
      <c r="B6876" t="s">
        <v>2021</v>
      </c>
      <c r="C6876" t="s">
        <v>10073</v>
      </c>
      <c r="D6876" t="s">
        <v>18100</v>
      </c>
      <c r="E6876" t="s">
        <v>24294</v>
      </c>
      <c r="F6876" t="s">
        <v>31362</v>
      </c>
      <c r="G6876" t="s">
        <v>31369</v>
      </c>
      <c r="H6876" t="s">
        <v>15799</v>
      </c>
      <c r="I6876" t="s">
        <v>31439</v>
      </c>
      <c r="J6876" t="s">
        <v>35743</v>
      </c>
      <c r="K6876" t="s">
        <v>40693</v>
      </c>
      <c r="M6876" t="s">
        <v>43138</v>
      </c>
      <c r="N6876" t="s">
        <v>44905</v>
      </c>
      <c r="O6876" t="s">
        <v>44906</v>
      </c>
      <c r="P6876">
        <v>0</v>
      </c>
      <c r="Q6876">
        <v>0</v>
      </c>
      <c r="R6876" t="s">
        <v>44909</v>
      </c>
      <c r="S6876" t="s">
        <v>45060</v>
      </c>
      <c r="T6876" t="s">
        <v>46461</v>
      </c>
      <c r="U6876" t="s">
        <v>52520</v>
      </c>
      <c r="W6876" t="s">
        <v>43138</v>
      </c>
      <c r="X6876" t="s">
        <v>44910</v>
      </c>
    </row>
    <row r="6877" spans="1:24">
      <c r="A6877">
        <f>HYPERLINK("https://www.philgeps.gov.ph/GEPSNONPILOT/Tender/SplashBidNoticeAbstractUI.aspx?menuIndex=3&amp;refID=7078667&amp;Result=3","7078667")</f>
        <v>0</v>
      </c>
      <c r="B6877" t="s">
        <v>1787</v>
      </c>
      <c r="C6877" t="s">
        <v>10074</v>
      </c>
      <c r="D6877" t="s">
        <v>18126</v>
      </c>
      <c r="E6877" t="s">
        <v>24295</v>
      </c>
      <c r="F6877" t="s">
        <v>31362</v>
      </c>
      <c r="G6877" t="s">
        <v>31368</v>
      </c>
      <c r="H6877" t="s">
        <v>15799</v>
      </c>
      <c r="I6877" t="s">
        <v>13635</v>
      </c>
      <c r="J6877" t="s">
        <v>35744</v>
      </c>
      <c r="K6877" t="s">
        <v>40666</v>
      </c>
      <c r="M6877" t="s">
        <v>43231</v>
      </c>
      <c r="N6877" t="s">
        <v>44905</v>
      </c>
      <c r="O6877" t="s">
        <v>44906</v>
      </c>
      <c r="P6877">
        <v>0</v>
      </c>
      <c r="Q6877">
        <v>7</v>
      </c>
      <c r="R6877" t="s">
        <v>44909</v>
      </c>
      <c r="S6877" t="s">
        <v>45060</v>
      </c>
      <c r="T6877" t="s">
        <v>46432</v>
      </c>
      <c r="U6877" t="s">
        <v>52521</v>
      </c>
      <c r="W6877" t="s">
        <v>43231</v>
      </c>
      <c r="X6877" t="s">
        <v>44910</v>
      </c>
    </row>
    <row r="6878" spans="1:24">
      <c r="A6878">
        <f>HYPERLINK("https://www.philgeps.gov.ph/GEPSNONPILOT/Tender/SplashBidNoticeAbstractUI.aspx?menuIndex=3&amp;refID=7078696&amp;Result=3","7078696")</f>
        <v>0</v>
      </c>
      <c r="B6878" t="s">
        <v>2100</v>
      </c>
      <c r="C6878" t="s">
        <v>10075</v>
      </c>
      <c r="D6878" t="s">
        <v>18100</v>
      </c>
      <c r="E6878" t="s">
        <v>24282</v>
      </c>
      <c r="F6878" t="s">
        <v>31362</v>
      </c>
      <c r="G6878" t="s">
        <v>31368</v>
      </c>
      <c r="H6878" t="s">
        <v>15799</v>
      </c>
      <c r="I6878" t="s">
        <v>31396</v>
      </c>
      <c r="J6878" t="s">
        <v>35745</v>
      </c>
      <c r="K6878" t="s">
        <v>40697</v>
      </c>
      <c r="M6878" t="s">
        <v>43224</v>
      </c>
      <c r="N6878" t="s">
        <v>44905</v>
      </c>
      <c r="O6878" t="s">
        <v>44906</v>
      </c>
      <c r="P6878">
        <v>0</v>
      </c>
      <c r="Q6878">
        <v>5</v>
      </c>
      <c r="R6878" t="s">
        <v>44909</v>
      </c>
      <c r="S6878" t="s">
        <v>45060</v>
      </c>
      <c r="T6878" t="s">
        <v>46414</v>
      </c>
      <c r="U6878" t="s">
        <v>52522</v>
      </c>
      <c r="W6878" t="s">
        <v>43224</v>
      </c>
      <c r="X6878" t="s">
        <v>44910</v>
      </c>
    </row>
    <row r="6879" spans="1:24">
      <c r="A6879">
        <f>HYPERLINK("https://www.philgeps.gov.ph/GEPSNONPILOT/Tender/SplashBidNoticeAbstractUI.aspx?menuIndex=3&amp;refID=7078715&amp;Result=3","7078715")</f>
        <v>0</v>
      </c>
      <c r="B6879" t="s">
        <v>2099</v>
      </c>
      <c r="C6879" t="s">
        <v>10076</v>
      </c>
      <c r="D6879" t="s">
        <v>18134</v>
      </c>
      <c r="E6879" t="s">
        <v>24296</v>
      </c>
      <c r="F6879" t="s">
        <v>31362</v>
      </c>
      <c r="G6879" t="s">
        <v>31369</v>
      </c>
      <c r="H6879" t="s">
        <v>31378</v>
      </c>
      <c r="I6879" t="s">
        <v>31386</v>
      </c>
      <c r="J6879" t="s">
        <v>35746</v>
      </c>
      <c r="K6879" t="s">
        <v>40711</v>
      </c>
      <c r="M6879" t="s">
        <v>43223</v>
      </c>
      <c r="N6879" t="s">
        <v>44905</v>
      </c>
      <c r="O6879" t="s">
        <v>44906</v>
      </c>
      <c r="P6879">
        <v>0</v>
      </c>
      <c r="Q6879">
        <v>0</v>
      </c>
      <c r="R6879" t="s">
        <v>44909</v>
      </c>
      <c r="S6879" t="s">
        <v>45060</v>
      </c>
      <c r="T6879" t="s">
        <v>46433</v>
      </c>
      <c r="U6879" t="s">
        <v>52519</v>
      </c>
      <c r="W6879" t="s">
        <v>43223</v>
      </c>
      <c r="X6879" t="s">
        <v>44910</v>
      </c>
    </row>
    <row r="6880" spans="1:24">
      <c r="A6880">
        <f>HYPERLINK("https://www.philgeps.gov.ph/GEPSNONPILOT/Tender/SplashBidNoticeAbstractUI.aspx?menuIndex=3&amp;refID=7078681&amp;Result=3","7078681")</f>
        <v>0</v>
      </c>
      <c r="B6880" t="s">
        <v>2021</v>
      </c>
      <c r="C6880" t="s">
        <v>10077</v>
      </c>
      <c r="D6880" t="s">
        <v>18100</v>
      </c>
      <c r="E6880" t="s">
        <v>24297</v>
      </c>
      <c r="F6880" t="s">
        <v>31362</v>
      </c>
      <c r="G6880" t="s">
        <v>31369</v>
      </c>
      <c r="H6880" t="s">
        <v>15799</v>
      </c>
      <c r="I6880" t="s">
        <v>31439</v>
      </c>
      <c r="J6880" t="s">
        <v>35116</v>
      </c>
      <c r="K6880" t="s">
        <v>40693</v>
      </c>
      <c r="M6880" t="s">
        <v>43138</v>
      </c>
      <c r="N6880" t="s">
        <v>44905</v>
      </c>
      <c r="O6880" t="s">
        <v>44906</v>
      </c>
      <c r="P6880">
        <v>0</v>
      </c>
      <c r="Q6880">
        <v>0</v>
      </c>
      <c r="R6880" t="s">
        <v>44909</v>
      </c>
      <c r="S6880" t="s">
        <v>45060</v>
      </c>
      <c r="T6880" t="s">
        <v>46461</v>
      </c>
      <c r="U6880" t="s">
        <v>52523</v>
      </c>
      <c r="W6880" t="s">
        <v>43138</v>
      </c>
      <c r="X6880" t="s">
        <v>44910</v>
      </c>
    </row>
    <row r="6881" spans="1:24">
      <c r="A6881">
        <f>HYPERLINK("https://www.philgeps.gov.ph/GEPSNONPILOT/Tender/SplashBidNoticeAbstractUI.aspx?menuIndex=3&amp;refID=7078712&amp;Result=3","7078712")</f>
        <v>0</v>
      </c>
      <c r="B6881" t="s">
        <v>2106</v>
      </c>
      <c r="C6881" t="s">
        <v>10078</v>
      </c>
      <c r="D6881" t="s">
        <v>18120</v>
      </c>
      <c r="E6881" t="s">
        <v>24298</v>
      </c>
      <c r="F6881" t="s">
        <v>31362</v>
      </c>
      <c r="G6881" t="s">
        <v>31368</v>
      </c>
      <c r="H6881" t="s">
        <v>15799</v>
      </c>
      <c r="I6881" t="s">
        <v>31380</v>
      </c>
      <c r="J6881" t="s">
        <v>35747</v>
      </c>
      <c r="K6881" t="s">
        <v>40670</v>
      </c>
      <c r="M6881" t="s">
        <v>43232</v>
      </c>
      <c r="N6881" t="s">
        <v>44905</v>
      </c>
      <c r="O6881" t="s">
        <v>44906</v>
      </c>
      <c r="P6881">
        <v>0</v>
      </c>
      <c r="Q6881">
        <v>1</v>
      </c>
      <c r="R6881" t="s">
        <v>44909</v>
      </c>
      <c r="S6881" t="s">
        <v>45060</v>
      </c>
      <c r="T6881" t="s">
        <v>46454</v>
      </c>
      <c r="U6881" t="s">
        <v>52524</v>
      </c>
      <c r="V6881" t="s">
        <v>59736</v>
      </c>
      <c r="W6881" t="s">
        <v>43232</v>
      </c>
      <c r="X6881" t="s">
        <v>44910</v>
      </c>
    </row>
    <row r="6882" spans="1:24">
      <c r="A6882">
        <f>HYPERLINK("https://www.philgeps.gov.ph/GEPSNONPILOT/Tender/SplashBidNoticeAbstractUI.aspx?menuIndex=3&amp;refID=7078714&amp;Result=3","7078714")</f>
        <v>0</v>
      </c>
      <c r="B6882" t="s">
        <v>1339</v>
      </c>
      <c r="C6882" t="s">
        <v>10079</v>
      </c>
      <c r="D6882" t="s">
        <v>18169</v>
      </c>
      <c r="E6882" t="s">
        <v>24299</v>
      </c>
      <c r="F6882" t="s">
        <v>31362</v>
      </c>
      <c r="G6882" t="s">
        <v>31368</v>
      </c>
      <c r="H6882" t="s">
        <v>15799</v>
      </c>
      <c r="I6882" t="s">
        <v>31386</v>
      </c>
      <c r="J6882" t="s">
        <v>31545</v>
      </c>
      <c r="K6882" t="s">
        <v>40666</v>
      </c>
      <c r="M6882" t="s">
        <v>42358</v>
      </c>
      <c r="N6882" t="s">
        <v>44905</v>
      </c>
      <c r="O6882" t="s">
        <v>44906</v>
      </c>
      <c r="P6882">
        <v>0</v>
      </c>
      <c r="Q6882">
        <v>0</v>
      </c>
      <c r="R6882" t="s">
        <v>44909</v>
      </c>
      <c r="S6882" t="s">
        <v>45060</v>
      </c>
      <c r="T6882" t="s">
        <v>46414</v>
      </c>
      <c r="U6882" t="s">
        <v>52427</v>
      </c>
      <c r="W6882" t="s">
        <v>42358</v>
      </c>
      <c r="X6882" t="s">
        <v>44910</v>
      </c>
    </row>
    <row r="6883" spans="1:24">
      <c r="A6883">
        <f>HYPERLINK("https://www.philgeps.gov.ph/GEPSNONPILOT/Tender/SplashBidNoticeAbstractUI.aspx?menuIndex=3&amp;refID=7078711&amp;Result=3","7078711")</f>
        <v>0</v>
      </c>
      <c r="B6883" t="s">
        <v>2107</v>
      </c>
      <c r="C6883" t="s">
        <v>10080</v>
      </c>
      <c r="D6883" t="s">
        <v>18167</v>
      </c>
      <c r="E6883" t="s">
        <v>24300</v>
      </c>
      <c r="F6883" t="s">
        <v>31362</v>
      </c>
      <c r="G6883" t="s">
        <v>31369</v>
      </c>
      <c r="H6883" t="s">
        <v>15799</v>
      </c>
      <c r="I6883" t="s">
        <v>31385</v>
      </c>
      <c r="J6883" t="s">
        <v>35748</v>
      </c>
      <c r="K6883" t="s">
        <v>40665</v>
      </c>
      <c r="M6883" t="s">
        <v>43233</v>
      </c>
      <c r="N6883" t="s">
        <v>44905</v>
      </c>
      <c r="O6883" t="s">
        <v>44906</v>
      </c>
      <c r="P6883">
        <v>0</v>
      </c>
      <c r="Q6883">
        <v>2</v>
      </c>
      <c r="R6883" t="s">
        <v>44909</v>
      </c>
      <c r="S6883" t="s">
        <v>45060</v>
      </c>
      <c r="T6883" t="s">
        <v>46607</v>
      </c>
      <c r="U6883" t="s">
        <v>52525</v>
      </c>
      <c r="W6883" t="s">
        <v>43233</v>
      </c>
      <c r="X6883" t="s">
        <v>44910</v>
      </c>
    </row>
    <row r="6884" spans="1:24">
      <c r="A6884">
        <f>HYPERLINK("https://www.philgeps.gov.ph/GEPSNONPILOT/Tender/SplashBidNoticeAbstractUI.aspx?menuIndex=3&amp;refID=7078619&amp;Result=3","7078619")</f>
        <v>0</v>
      </c>
      <c r="B6884" t="s">
        <v>321</v>
      </c>
      <c r="C6884" t="s">
        <v>10081</v>
      </c>
      <c r="D6884" t="s">
        <v>18114</v>
      </c>
      <c r="E6884" t="s">
        <v>24242</v>
      </c>
      <c r="F6884" t="s">
        <v>31362</v>
      </c>
      <c r="G6884" t="s">
        <v>31369</v>
      </c>
      <c r="H6884" t="s">
        <v>31379</v>
      </c>
      <c r="I6884" t="s">
        <v>31450</v>
      </c>
      <c r="J6884" t="s">
        <v>35749</v>
      </c>
      <c r="K6884" t="s">
        <v>40686</v>
      </c>
      <c r="M6884" t="s">
        <v>41267</v>
      </c>
      <c r="N6884" t="s">
        <v>44905</v>
      </c>
      <c r="O6884" t="s">
        <v>44906</v>
      </c>
      <c r="P6884">
        <v>0</v>
      </c>
      <c r="Q6884">
        <v>2</v>
      </c>
      <c r="R6884" t="s">
        <v>44909</v>
      </c>
      <c r="S6884" t="s">
        <v>45060</v>
      </c>
      <c r="T6884" t="s">
        <v>46511</v>
      </c>
      <c r="U6884" t="s">
        <v>47466</v>
      </c>
      <c r="V6884" t="s">
        <v>59133</v>
      </c>
      <c r="W6884" t="s">
        <v>41267</v>
      </c>
      <c r="X6884" t="s">
        <v>44910</v>
      </c>
    </row>
    <row r="6885" spans="1:24">
      <c r="A6885">
        <f>HYPERLINK("https://www.philgeps.gov.ph/GEPSNONPILOT/Tender/SplashBidNoticeAbstractUI.aspx?menuIndex=3&amp;refID=7078688&amp;Result=3","7078688")</f>
        <v>0</v>
      </c>
      <c r="B6885" t="s">
        <v>2106</v>
      </c>
      <c r="C6885" t="s">
        <v>10082</v>
      </c>
      <c r="D6885" t="s">
        <v>18120</v>
      </c>
      <c r="E6885" t="s">
        <v>24301</v>
      </c>
      <c r="F6885" t="s">
        <v>31362</v>
      </c>
      <c r="G6885" t="s">
        <v>31370</v>
      </c>
      <c r="H6885" t="s">
        <v>15799</v>
      </c>
      <c r="I6885" t="s">
        <v>31385</v>
      </c>
      <c r="J6885" t="s">
        <v>35750</v>
      </c>
      <c r="K6885" t="s">
        <v>40670</v>
      </c>
      <c r="M6885" t="s">
        <v>43232</v>
      </c>
      <c r="N6885" t="s">
        <v>44905</v>
      </c>
      <c r="O6885" t="s">
        <v>44906</v>
      </c>
      <c r="P6885">
        <v>0</v>
      </c>
      <c r="Q6885">
        <v>0</v>
      </c>
      <c r="R6885" t="s">
        <v>44909</v>
      </c>
      <c r="S6885" t="s">
        <v>45060</v>
      </c>
      <c r="T6885" t="s">
        <v>46454</v>
      </c>
      <c r="U6885" t="s">
        <v>52526</v>
      </c>
      <c r="V6885" t="s">
        <v>59737</v>
      </c>
      <c r="W6885" t="s">
        <v>43232</v>
      </c>
      <c r="X6885" t="s">
        <v>44910</v>
      </c>
    </row>
    <row r="6886" spans="1:24">
      <c r="A6886">
        <f>HYPERLINK("https://www.philgeps.gov.ph/GEPSNONPILOT/Tender/SplashBidNoticeAbstractUI.aspx?menuIndex=3&amp;refID=7078707&amp;Result=3","7078707")</f>
        <v>0</v>
      </c>
      <c r="B6886" t="s">
        <v>2108</v>
      </c>
      <c r="C6886" t="s">
        <v>10083</v>
      </c>
      <c r="D6886" t="s">
        <v>18129</v>
      </c>
      <c r="E6886" t="s">
        <v>24302</v>
      </c>
      <c r="F6886" t="s">
        <v>31362</v>
      </c>
      <c r="G6886" t="s">
        <v>31370</v>
      </c>
      <c r="H6886" t="s">
        <v>15799</v>
      </c>
      <c r="I6886" t="s">
        <v>31433</v>
      </c>
      <c r="J6886" t="s">
        <v>31825</v>
      </c>
      <c r="K6886" t="s">
        <v>40661</v>
      </c>
      <c r="M6886" t="s">
        <v>43234</v>
      </c>
      <c r="N6886" t="s">
        <v>44905</v>
      </c>
      <c r="O6886" t="s">
        <v>44906</v>
      </c>
      <c r="P6886">
        <v>0</v>
      </c>
      <c r="Q6886">
        <v>0</v>
      </c>
      <c r="R6886" t="s">
        <v>44909</v>
      </c>
      <c r="S6886" t="s">
        <v>45060</v>
      </c>
      <c r="T6886" t="s">
        <v>46447</v>
      </c>
      <c r="U6886" t="s">
        <v>52527</v>
      </c>
      <c r="V6886" t="s">
        <v>59738</v>
      </c>
      <c r="W6886" t="s">
        <v>43234</v>
      </c>
      <c r="X6886" t="s">
        <v>44910</v>
      </c>
    </row>
    <row r="6887" spans="1:24">
      <c r="A6887">
        <f>HYPERLINK("https://www.philgeps.gov.ph/GEPSNONPILOT/Tender/SplashBidNoticeAbstractUI.aspx?menuIndex=3&amp;refID=7078698&amp;Result=3","7078698")</f>
        <v>0</v>
      </c>
      <c r="B6887" t="s">
        <v>2106</v>
      </c>
      <c r="C6887" t="s">
        <v>10084</v>
      </c>
      <c r="D6887" t="s">
        <v>18120</v>
      </c>
      <c r="E6887" t="s">
        <v>24303</v>
      </c>
      <c r="F6887" t="s">
        <v>31362</v>
      </c>
      <c r="G6887" t="s">
        <v>31370</v>
      </c>
      <c r="H6887" t="s">
        <v>15799</v>
      </c>
      <c r="I6887" t="s">
        <v>3815</v>
      </c>
      <c r="J6887" t="s">
        <v>35751</v>
      </c>
      <c r="K6887" t="s">
        <v>40665</v>
      </c>
      <c r="M6887" t="s">
        <v>43232</v>
      </c>
      <c r="N6887" t="s">
        <v>44905</v>
      </c>
      <c r="O6887" t="s">
        <v>44906</v>
      </c>
      <c r="P6887">
        <v>0</v>
      </c>
      <c r="Q6887">
        <v>0</v>
      </c>
      <c r="R6887" t="s">
        <v>44909</v>
      </c>
      <c r="S6887" t="s">
        <v>45060</v>
      </c>
      <c r="T6887" t="s">
        <v>46454</v>
      </c>
      <c r="U6887" t="s">
        <v>52528</v>
      </c>
      <c r="V6887" t="s">
        <v>59739</v>
      </c>
      <c r="W6887" t="s">
        <v>43232</v>
      </c>
      <c r="X6887" t="s">
        <v>44910</v>
      </c>
    </row>
    <row r="6888" spans="1:24">
      <c r="A6888">
        <f>HYPERLINK("https://www.philgeps.gov.ph/GEPSNONPILOT/Tender/SplashBidNoticeAbstractUI.aspx?menuIndex=3&amp;refID=7078685&amp;Result=3","7078685")</f>
        <v>0</v>
      </c>
      <c r="B6888" t="s">
        <v>2109</v>
      </c>
      <c r="C6888" t="s">
        <v>10085</v>
      </c>
      <c r="D6888" t="s">
        <v>18128</v>
      </c>
      <c r="E6888" t="s">
        <v>24265</v>
      </c>
      <c r="F6888" t="s">
        <v>31362</v>
      </c>
      <c r="G6888" t="s">
        <v>31369</v>
      </c>
      <c r="H6888" t="s">
        <v>15799</v>
      </c>
      <c r="I6888" t="s">
        <v>31427</v>
      </c>
      <c r="J6888" t="s">
        <v>35752</v>
      </c>
      <c r="K6888" t="s">
        <v>40665</v>
      </c>
      <c r="M6888" t="s">
        <v>43235</v>
      </c>
      <c r="N6888" t="s">
        <v>44905</v>
      </c>
      <c r="O6888" t="s">
        <v>44906</v>
      </c>
      <c r="P6888">
        <v>0</v>
      </c>
      <c r="Q6888">
        <v>1</v>
      </c>
      <c r="R6888" t="s">
        <v>44909</v>
      </c>
      <c r="S6888" t="s">
        <v>45060</v>
      </c>
      <c r="T6888" t="s">
        <v>46575</v>
      </c>
      <c r="U6888" t="s">
        <v>52529</v>
      </c>
      <c r="W6888" t="s">
        <v>43235</v>
      </c>
      <c r="X6888" t="s">
        <v>44910</v>
      </c>
    </row>
    <row r="6889" spans="1:24">
      <c r="A6889">
        <f>HYPERLINK("https://www.philgeps.gov.ph/GEPSNONPILOT/Tender/SplashBidNoticeAbstractUI.aspx?menuIndex=3&amp;refID=7078720&amp;Result=3","7078720")</f>
        <v>0</v>
      </c>
      <c r="B6889" t="s">
        <v>35</v>
      </c>
      <c r="C6889" t="s">
        <v>10086</v>
      </c>
      <c r="D6889" t="s">
        <v>18108</v>
      </c>
      <c r="E6889" t="s">
        <v>24304</v>
      </c>
      <c r="F6889" t="s">
        <v>31362</v>
      </c>
      <c r="G6889" t="s">
        <v>31368</v>
      </c>
      <c r="H6889" t="s">
        <v>15799</v>
      </c>
      <c r="I6889" t="s">
        <v>31393</v>
      </c>
      <c r="J6889" t="s">
        <v>31575</v>
      </c>
      <c r="K6889" t="s">
        <v>40662</v>
      </c>
      <c r="M6889" t="s">
        <v>42365</v>
      </c>
      <c r="N6889" t="s">
        <v>44905</v>
      </c>
      <c r="O6889" t="s">
        <v>44906</v>
      </c>
      <c r="P6889">
        <v>0</v>
      </c>
      <c r="Q6889">
        <v>10</v>
      </c>
      <c r="R6889" t="s">
        <v>44909</v>
      </c>
      <c r="S6889" t="s">
        <v>45060</v>
      </c>
      <c r="T6889" t="s">
        <v>46534</v>
      </c>
      <c r="U6889" t="s">
        <v>52530</v>
      </c>
      <c r="V6889" t="s">
        <v>59424</v>
      </c>
      <c r="W6889" t="s">
        <v>42365</v>
      </c>
      <c r="X6889" t="s">
        <v>44910</v>
      </c>
    </row>
    <row r="6890" spans="1:24">
      <c r="A6890">
        <f>HYPERLINK("https://www.philgeps.gov.ph/GEPSNONPILOT/Tender/SplashBidNoticeAbstractUI.aspx?menuIndex=3&amp;refID=7078718&amp;Result=3","7078718")</f>
        <v>0</v>
      </c>
      <c r="B6890" t="s">
        <v>1339</v>
      </c>
      <c r="C6890" t="s">
        <v>6855</v>
      </c>
      <c r="D6890" t="s">
        <v>18169</v>
      </c>
      <c r="E6890" t="s">
        <v>24305</v>
      </c>
      <c r="F6890" t="s">
        <v>31362</v>
      </c>
      <c r="G6890" t="s">
        <v>31370</v>
      </c>
      <c r="H6890" t="s">
        <v>15799</v>
      </c>
      <c r="I6890" t="s">
        <v>31415</v>
      </c>
      <c r="J6890" t="s">
        <v>32242</v>
      </c>
      <c r="K6890" t="s">
        <v>40661</v>
      </c>
      <c r="M6890" t="s">
        <v>42358</v>
      </c>
      <c r="N6890" t="s">
        <v>44905</v>
      </c>
      <c r="O6890" t="s">
        <v>44906</v>
      </c>
      <c r="P6890">
        <v>0</v>
      </c>
      <c r="Q6890">
        <v>0</v>
      </c>
      <c r="R6890" t="s">
        <v>44909</v>
      </c>
      <c r="S6890" t="s">
        <v>45060</v>
      </c>
      <c r="T6890" t="s">
        <v>46432</v>
      </c>
      <c r="U6890" t="s">
        <v>52427</v>
      </c>
      <c r="W6890" t="s">
        <v>42358</v>
      </c>
      <c r="X6890" t="s">
        <v>44910</v>
      </c>
    </row>
    <row r="6891" spans="1:24">
      <c r="A6891">
        <f>HYPERLINK("https://www.philgeps.gov.ph/GEPSNONPILOT/Tender/SplashBidNoticeAbstractUI.aspx?menuIndex=3&amp;refID=7078716&amp;Result=3","7078716")</f>
        <v>0</v>
      </c>
      <c r="B6891" t="s">
        <v>802</v>
      </c>
      <c r="C6891" t="s">
        <v>10087</v>
      </c>
      <c r="D6891" t="s">
        <v>18119</v>
      </c>
      <c r="E6891" t="s">
        <v>24306</v>
      </c>
      <c r="F6891" t="s">
        <v>31362</v>
      </c>
      <c r="G6891" t="s">
        <v>31368</v>
      </c>
      <c r="H6891" t="s">
        <v>15799</v>
      </c>
      <c r="I6891" t="s">
        <v>31459</v>
      </c>
      <c r="J6891" t="s">
        <v>32163</v>
      </c>
      <c r="K6891" t="s">
        <v>40662</v>
      </c>
      <c r="M6891" t="s">
        <v>43227</v>
      </c>
      <c r="N6891" t="s">
        <v>44905</v>
      </c>
      <c r="O6891" t="s">
        <v>44906</v>
      </c>
      <c r="P6891">
        <v>0</v>
      </c>
      <c r="Q6891">
        <v>1</v>
      </c>
      <c r="R6891" t="s">
        <v>44909</v>
      </c>
      <c r="S6891" t="s">
        <v>45060</v>
      </c>
      <c r="T6891" t="s">
        <v>46411</v>
      </c>
      <c r="U6891" t="s">
        <v>52531</v>
      </c>
      <c r="V6891" t="s">
        <v>59734</v>
      </c>
      <c r="W6891" t="s">
        <v>43227</v>
      </c>
      <c r="X6891" t="s">
        <v>44910</v>
      </c>
    </row>
    <row r="6892" spans="1:24">
      <c r="A6892">
        <f>HYPERLINK("https://www.philgeps.gov.ph/GEPSNONPILOT/Tender/SplashBidNoticeAbstractUI.aspx?menuIndex=3&amp;refID=7078704&amp;Result=3","7078704")</f>
        <v>0</v>
      </c>
      <c r="B6892" t="s">
        <v>2099</v>
      </c>
      <c r="C6892" t="s">
        <v>10088</v>
      </c>
      <c r="D6892" t="s">
        <v>18134</v>
      </c>
      <c r="E6892" t="s">
        <v>24307</v>
      </c>
      <c r="F6892" t="s">
        <v>31362</v>
      </c>
      <c r="G6892" t="s">
        <v>31369</v>
      </c>
      <c r="H6892" t="s">
        <v>31378</v>
      </c>
      <c r="I6892" t="s">
        <v>31386</v>
      </c>
      <c r="J6892" t="s">
        <v>35753</v>
      </c>
      <c r="K6892" t="s">
        <v>40821</v>
      </c>
      <c r="M6892" t="s">
        <v>43223</v>
      </c>
      <c r="N6892" t="s">
        <v>44905</v>
      </c>
      <c r="O6892" t="s">
        <v>44906</v>
      </c>
      <c r="P6892">
        <v>0</v>
      </c>
      <c r="Q6892">
        <v>0</v>
      </c>
      <c r="R6892" t="s">
        <v>44909</v>
      </c>
      <c r="S6892" t="s">
        <v>45060</v>
      </c>
      <c r="T6892" t="s">
        <v>46433</v>
      </c>
      <c r="U6892" t="s">
        <v>52519</v>
      </c>
      <c r="W6892" t="s">
        <v>43223</v>
      </c>
      <c r="X6892" t="s">
        <v>44910</v>
      </c>
    </row>
    <row r="6893" spans="1:24">
      <c r="A6893">
        <f>HYPERLINK("https://www.philgeps.gov.ph/GEPSNONPILOT/Tender/SplashBidNoticeAbstractUI.aspx?menuIndex=3&amp;refID=7078702&amp;Result=3","7078702")</f>
        <v>0</v>
      </c>
      <c r="B6893" t="s">
        <v>2110</v>
      </c>
      <c r="C6893" t="s">
        <v>10089</v>
      </c>
      <c r="D6893" t="s">
        <v>18100</v>
      </c>
      <c r="E6893" t="s">
        <v>24290</v>
      </c>
      <c r="F6893" t="s">
        <v>31362</v>
      </c>
      <c r="G6893" t="s">
        <v>31368</v>
      </c>
      <c r="H6893" t="s">
        <v>15799</v>
      </c>
      <c r="I6893" t="s">
        <v>31385</v>
      </c>
      <c r="J6893" t="s">
        <v>35754</v>
      </c>
      <c r="K6893" t="s">
        <v>40670</v>
      </c>
      <c r="M6893" t="s">
        <v>43236</v>
      </c>
      <c r="N6893" t="s">
        <v>44905</v>
      </c>
      <c r="O6893" t="s">
        <v>44906</v>
      </c>
      <c r="P6893">
        <v>0</v>
      </c>
      <c r="Q6893">
        <v>1</v>
      </c>
      <c r="R6893" t="s">
        <v>44909</v>
      </c>
      <c r="S6893" t="s">
        <v>45060</v>
      </c>
      <c r="T6893" t="s">
        <v>46414</v>
      </c>
      <c r="U6893" t="s">
        <v>52532</v>
      </c>
      <c r="W6893" t="s">
        <v>43236</v>
      </c>
      <c r="X6893" t="s">
        <v>44910</v>
      </c>
    </row>
    <row r="6894" spans="1:24">
      <c r="A6894">
        <f>HYPERLINK("https://www.philgeps.gov.ph/GEPSNONPILOT/Tender/SplashBidNoticeAbstractUI.aspx?menuIndex=3&amp;refID=7078710&amp;Result=3","7078710")</f>
        <v>0</v>
      </c>
      <c r="B6894" t="s">
        <v>108</v>
      </c>
      <c r="C6894" t="s">
        <v>10090</v>
      </c>
      <c r="D6894" t="s">
        <v>18139</v>
      </c>
      <c r="E6894" t="s">
        <v>24308</v>
      </c>
      <c r="F6894" t="s">
        <v>31362</v>
      </c>
      <c r="G6894" t="s">
        <v>31372</v>
      </c>
      <c r="H6894" t="s">
        <v>31378</v>
      </c>
      <c r="I6894" t="s">
        <v>31386</v>
      </c>
      <c r="J6894" t="s">
        <v>35755</v>
      </c>
      <c r="K6894" t="s">
        <v>40775</v>
      </c>
      <c r="M6894" t="s">
        <v>41860</v>
      </c>
      <c r="N6894" t="s">
        <v>44905</v>
      </c>
      <c r="O6894" t="s">
        <v>44906</v>
      </c>
      <c r="P6894">
        <v>0</v>
      </c>
      <c r="Q6894">
        <v>2</v>
      </c>
      <c r="R6894" t="s">
        <v>44909</v>
      </c>
      <c r="S6894" t="s">
        <v>45060</v>
      </c>
      <c r="T6894" t="s">
        <v>46740</v>
      </c>
      <c r="U6894" t="s">
        <v>52533</v>
      </c>
      <c r="W6894" t="s">
        <v>41860</v>
      </c>
      <c r="X6894" t="s">
        <v>44910</v>
      </c>
    </row>
    <row r="6895" spans="1:24">
      <c r="A6895">
        <f>HYPERLINK("https://www.philgeps.gov.ph/GEPSNONPILOT/Tender/SplashBidNoticeAbstractUI.aspx?menuIndex=3&amp;refID=7078701&amp;Result=3","7078701")</f>
        <v>0</v>
      </c>
      <c r="B6895" t="s">
        <v>1339</v>
      </c>
      <c r="C6895" t="s">
        <v>10091</v>
      </c>
      <c r="D6895" t="s">
        <v>18169</v>
      </c>
      <c r="E6895" t="s">
        <v>24309</v>
      </c>
      <c r="F6895" t="s">
        <v>31362</v>
      </c>
      <c r="G6895" t="s">
        <v>31368</v>
      </c>
      <c r="H6895" t="s">
        <v>15799</v>
      </c>
      <c r="I6895" t="s">
        <v>31386</v>
      </c>
      <c r="J6895" t="s">
        <v>35756</v>
      </c>
      <c r="K6895" t="s">
        <v>40666</v>
      </c>
      <c r="M6895" t="s">
        <v>42358</v>
      </c>
      <c r="N6895" t="s">
        <v>44905</v>
      </c>
      <c r="O6895" t="s">
        <v>44906</v>
      </c>
      <c r="P6895">
        <v>0</v>
      </c>
      <c r="Q6895">
        <v>0</v>
      </c>
      <c r="R6895" t="s">
        <v>44909</v>
      </c>
      <c r="S6895" t="s">
        <v>45060</v>
      </c>
      <c r="T6895" t="s">
        <v>46432</v>
      </c>
      <c r="U6895" t="s">
        <v>52427</v>
      </c>
      <c r="W6895" t="s">
        <v>42358</v>
      </c>
      <c r="X6895" t="s">
        <v>44910</v>
      </c>
    </row>
    <row r="6896" spans="1:24">
      <c r="A6896">
        <f>HYPERLINK("https://www.philgeps.gov.ph/GEPSNONPILOT/Tender/SplashBidNoticeAbstractUI.aspx?menuIndex=3&amp;refID=7078700&amp;Result=3","7078700")</f>
        <v>0</v>
      </c>
      <c r="B6896" t="s">
        <v>2107</v>
      </c>
      <c r="C6896" t="s">
        <v>10092</v>
      </c>
      <c r="D6896" t="s">
        <v>18167</v>
      </c>
      <c r="E6896" t="s">
        <v>24310</v>
      </c>
      <c r="F6896" t="s">
        <v>31362</v>
      </c>
      <c r="G6896" t="s">
        <v>31369</v>
      </c>
      <c r="H6896" t="s">
        <v>15799</v>
      </c>
      <c r="I6896" t="s">
        <v>31386</v>
      </c>
      <c r="J6896" t="s">
        <v>35757</v>
      </c>
      <c r="K6896" t="s">
        <v>40707</v>
      </c>
      <c r="M6896" t="s">
        <v>43233</v>
      </c>
      <c r="N6896" t="s">
        <v>44905</v>
      </c>
      <c r="O6896" t="s">
        <v>44906</v>
      </c>
      <c r="P6896">
        <v>0</v>
      </c>
      <c r="Q6896">
        <v>0</v>
      </c>
      <c r="R6896" t="s">
        <v>44909</v>
      </c>
      <c r="S6896" t="s">
        <v>45060</v>
      </c>
      <c r="T6896" t="s">
        <v>46607</v>
      </c>
      <c r="U6896" t="s">
        <v>52534</v>
      </c>
      <c r="W6896" t="s">
        <v>43233</v>
      </c>
      <c r="X6896" t="s">
        <v>44910</v>
      </c>
    </row>
    <row r="6897" spans="1:24">
      <c r="A6897">
        <f>HYPERLINK("https://www.philgeps.gov.ph/GEPSNONPILOT/Tender/SplashBidNoticeAbstractUI.aspx?menuIndex=3&amp;refID=7078706&amp;Result=3","7078706")</f>
        <v>0</v>
      </c>
      <c r="B6897" t="s">
        <v>2060</v>
      </c>
      <c r="C6897" t="s">
        <v>10093</v>
      </c>
      <c r="D6897" t="s">
        <v>18138</v>
      </c>
      <c r="E6897" t="s">
        <v>24311</v>
      </c>
      <c r="F6897" t="s">
        <v>31362</v>
      </c>
      <c r="G6897" t="s">
        <v>31368</v>
      </c>
      <c r="H6897" t="s">
        <v>15799</v>
      </c>
      <c r="I6897" t="s">
        <v>3815</v>
      </c>
      <c r="J6897" t="s">
        <v>35758</v>
      </c>
      <c r="K6897" t="s">
        <v>40673</v>
      </c>
      <c r="M6897" t="s">
        <v>43182</v>
      </c>
      <c r="N6897" t="s">
        <v>44905</v>
      </c>
      <c r="O6897" t="s">
        <v>44906</v>
      </c>
      <c r="P6897">
        <v>0</v>
      </c>
      <c r="Q6897">
        <v>1</v>
      </c>
      <c r="R6897" t="s">
        <v>44909</v>
      </c>
      <c r="S6897" t="s">
        <v>45060</v>
      </c>
      <c r="T6897" t="s">
        <v>46454</v>
      </c>
      <c r="U6897" t="s">
        <v>52401</v>
      </c>
      <c r="V6897" t="s">
        <v>59740</v>
      </c>
      <c r="W6897" t="s">
        <v>43182</v>
      </c>
      <c r="X6897" t="s">
        <v>44910</v>
      </c>
    </row>
    <row r="6898" spans="1:24">
      <c r="A6898">
        <f>HYPERLINK("https://www.philgeps.gov.ph/GEPSNONPILOT/Tender/SplashBidNoticeAbstractUI.aspx?menuIndex=3&amp;refID=7078719&amp;Result=3","7078719")</f>
        <v>0</v>
      </c>
      <c r="B6898" t="s">
        <v>1006</v>
      </c>
      <c r="C6898" t="s">
        <v>10025</v>
      </c>
      <c r="D6898" t="s">
        <v>18111</v>
      </c>
      <c r="E6898" t="s">
        <v>24203</v>
      </c>
      <c r="F6898" t="s">
        <v>31362</v>
      </c>
      <c r="G6898" t="s">
        <v>31370</v>
      </c>
      <c r="H6898" t="s">
        <v>15799</v>
      </c>
      <c r="I6898" t="s">
        <v>31387</v>
      </c>
      <c r="J6898" t="s">
        <v>33285</v>
      </c>
      <c r="K6898" t="s">
        <v>40662</v>
      </c>
      <c r="M6898" t="s">
        <v>42003</v>
      </c>
      <c r="N6898" t="s">
        <v>44905</v>
      </c>
      <c r="O6898" t="s">
        <v>44906</v>
      </c>
      <c r="P6898">
        <v>0</v>
      </c>
      <c r="Q6898">
        <v>1</v>
      </c>
      <c r="R6898" t="s">
        <v>44909</v>
      </c>
      <c r="S6898" t="s">
        <v>45060</v>
      </c>
      <c r="T6898" t="s">
        <v>46400</v>
      </c>
      <c r="U6898" t="s">
        <v>52535</v>
      </c>
      <c r="W6898" t="s">
        <v>42003</v>
      </c>
      <c r="X6898" t="s">
        <v>44910</v>
      </c>
    </row>
    <row r="6899" spans="1:24">
      <c r="A6899">
        <f>HYPERLINK("https://www.philgeps.gov.ph/GEPSNONPILOT/Tender/SplashBidNoticeAbstractUI.aspx?menuIndex=3&amp;refID=7078709&amp;Result=3","7078709")</f>
        <v>0</v>
      </c>
      <c r="B6899" t="s">
        <v>35</v>
      </c>
      <c r="C6899" t="s">
        <v>10094</v>
      </c>
      <c r="D6899" t="s">
        <v>18108</v>
      </c>
      <c r="E6899" t="s">
        <v>24312</v>
      </c>
      <c r="F6899" t="s">
        <v>31362</v>
      </c>
      <c r="G6899" t="s">
        <v>31368</v>
      </c>
      <c r="H6899" t="s">
        <v>15799</v>
      </c>
      <c r="I6899" t="s">
        <v>7090</v>
      </c>
      <c r="J6899" t="s">
        <v>35759</v>
      </c>
      <c r="K6899" t="s">
        <v>40662</v>
      </c>
      <c r="M6899" t="s">
        <v>42365</v>
      </c>
      <c r="N6899" t="s">
        <v>44905</v>
      </c>
      <c r="O6899" t="s">
        <v>44906</v>
      </c>
      <c r="P6899">
        <v>0</v>
      </c>
      <c r="Q6899">
        <v>11</v>
      </c>
      <c r="R6899" t="s">
        <v>44909</v>
      </c>
      <c r="S6899" t="s">
        <v>45060</v>
      </c>
      <c r="T6899" t="s">
        <v>46534</v>
      </c>
      <c r="U6899" t="s">
        <v>52536</v>
      </c>
      <c r="V6899" t="s">
        <v>59424</v>
      </c>
      <c r="W6899" t="s">
        <v>42365</v>
      </c>
      <c r="X6899" t="s">
        <v>44910</v>
      </c>
    </row>
    <row r="6900" spans="1:24">
      <c r="A6900">
        <f>HYPERLINK("https://www.philgeps.gov.ph/GEPSNONPILOT/Tender/SplashBidNoticeAbstractUI.aspx?menuIndex=3&amp;refID=7078699&amp;Result=3","7078699")</f>
        <v>0</v>
      </c>
      <c r="B6900" t="s">
        <v>2111</v>
      </c>
      <c r="C6900" t="s">
        <v>10095</v>
      </c>
      <c r="D6900" t="s">
        <v>18105</v>
      </c>
      <c r="E6900" t="s">
        <v>24313</v>
      </c>
      <c r="F6900" t="s">
        <v>31362</v>
      </c>
      <c r="G6900" t="s">
        <v>31368</v>
      </c>
      <c r="H6900" t="s">
        <v>15799</v>
      </c>
      <c r="I6900" t="s">
        <v>31397</v>
      </c>
      <c r="J6900" t="s">
        <v>32242</v>
      </c>
      <c r="K6900" t="s">
        <v>40681</v>
      </c>
      <c r="M6900" t="s">
        <v>43237</v>
      </c>
      <c r="N6900" t="s">
        <v>44905</v>
      </c>
      <c r="O6900" t="s">
        <v>44906</v>
      </c>
      <c r="P6900">
        <v>0</v>
      </c>
      <c r="Q6900">
        <v>0</v>
      </c>
      <c r="R6900" t="s">
        <v>44909</v>
      </c>
      <c r="S6900" t="s">
        <v>45060</v>
      </c>
      <c r="T6900" t="s">
        <v>46409</v>
      </c>
      <c r="U6900" t="s">
        <v>52537</v>
      </c>
      <c r="W6900" t="s">
        <v>43247</v>
      </c>
      <c r="X6900" t="s">
        <v>44910</v>
      </c>
    </row>
    <row r="6901" spans="1:24">
      <c r="A6901">
        <f>HYPERLINK("https://www.philgeps.gov.ph/GEPSNONPILOT/Tender/SplashBidNoticeAbstractUI.aspx?menuIndex=3&amp;refID=7078713&amp;Result=3","7078713")</f>
        <v>0</v>
      </c>
      <c r="B6901" t="s">
        <v>1164</v>
      </c>
      <c r="C6901" t="s">
        <v>10096</v>
      </c>
      <c r="D6901" t="s">
        <v>18111</v>
      </c>
      <c r="E6901" t="s">
        <v>20971</v>
      </c>
      <c r="F6901" t="s">
        <v>31362</v>
      </c>
      <c r="G6901" t="s">
        <v>31370</v>
      </c>
      <c r="H6901" t="s">
        <v>15799</v>
      </c>
      <c r="I6901" t="s">
        <v>31385</v>
      </c>
      <c r="J6901" t="s">
        <v>35760</v>
      </c>
      <c r="K6901" t="s">
        <v>40670</v>
      </c>
      <c r="M6901" t="s">
        <v>42174</v>
      </c>
      <c r="N6901" t="s">
        <v>44905</v>
      </c>
      <c r="O6901" t="s">
        <v>44906</v>
      </c>
      <c r="P6901">
        <v>0</v>
      </c>
      <c r="Q6901">
        <v>2</v>
      </c>
      <c r="R6901" t="s">
        <v>44909</v>
      </c>
      <c r="S6901" t="s">
        <v>45060</v>
      </c>
      <c r="T6901" t="s">
        <v>46414</v>
      </c>
      <c r="U6901" t="s">
        <v>49454</v>
      </c>
      <c r="W6901" t="s">
        <v>42174</v>
      </c>
      <c r="X6901" t="s">
        <v>44910</v>
      </c>
    </row>
    <row r="6902" spans="1:24">
      <c r="A6902">
        <f>HYPERLINK("https://www.philgeps.gov.ph/GEPSNONPILOT/Tender/SplashBidNoticeAbstractUI.aspx?menuIndex=3&amp;refID=7078724&amp;Result=3","7078724")</f>
        <v>0</v>
      </c>
      <c r="B6902" t="s">
        <v>2112</v>
      </c>
      <c r="C6902" t="s">
        <v>10097</v>
      </c>
      <c r="D6902" t="s">
        <v>18139</v>
      </c>
      <c r="E6902" t="s">
        <v>24314</v>
      </c>
      <c r="F6902" t="s">
        <v>31362</v>
      </c>
      <c r="G6902" t="s">
        <v>31369</v>
      </c>
      <c r="H6902" t="s">
        <v>31378</v>
      </c>
      <c r="I6902" t="s">
        <v>31386</v>
      </c>
      <c r="J6902" t="s">
        <v>35761</v>
      </c>
      <c r="K6902" t="s">
        <v>40665</v>
      </c>
      <c r="M6902" t="s">
        <v>43238</v>
      </c>
      <c r="N6902" t="s">
        <v>44905</v>
      </c>
      <c r="O6902" t="s">
        <v>44906</v>
      </c>
      <c r="P6902">
        <v>0</v>
      </c>
      <c r="Q6902">
        <v>1</v>
      </c>
      <c r="R6902" t="s">
        <v>44909</v>
      </c>
      <c r="S6902" t="s">
        <v>45060</v>
      </c>
      <c r="T6902" t="s">
        <v>46433</v>
      </c>
      <c r="U6902" t="s">
        <v>52538</v>
      </c>
      <c r="W6902" t="s">
        <v>43238</v>
      </c>
      <c r="X6902" t="s">
        <v>44910</v>
      </c>
    </row>
    <row r="6903" spans="1:24">
      <c r="A6903">
        <f>HYPERLINK("https://www.philgeps.gov.ph/GEPSNONPILOT/Tender/SplashBidNoticeAbstractUI.aspx?menuIndex=3&amp;refID=7078738&amp;Result=3","7078738")</f>
        <v>0</v>
      </c>
      <c r="B6903" t="s">
        <v>2113</v>
      </c>
      <c r="C6903" t="s">
        <v>10098</v>
      </c>
      <c r="D6903" t="s">
        <v>18158</v>
      </c>
      <c r="E6903" t="s">
        <v>24315</v>
      </c>
      <c r="F6903" t="s">
        <v>31362</v>
      </c>
      <c r="G6903" t="s">
        <v>31369</v>
      </c>
      <c r="H6903" t="s">
        <v>15799</v>
      </c>
      <c r="I6903" t="s">
        <v>3815</v>
      </c>
      <c r="J6903" t="s">
        <v>35762</v>
      </c>
      <c r="K6903" t="s">
        <v>40672</v>
      </c>
      <c r="M6903" t="s">
        <v>43239</v>
      </c>
      <c r="N6903" t="s">
        <v>44905</v>
      </c>
      <c r="O6903" t="s">
        <v>44906</v>
      </c>
      <c r="P6903">
        <v>0</v>
      </c>
      <c r="Q6903">
        <v>0</v>
      </c>
      <c r="R6903" t="s">
        <v>44909</v>
      </c>
      <c r="S6903" t="s">
        <v>45060</v>
      </c>
      <c r="T6903" t="s">
        <v>46435</v>
      </c>
      <c r="U6903" t="s">
        <v>52539</v>
      </c>
      <c r="W6903" t="s">
        <v>43239</v>
      </c>
      <c r="X6903" t="s">
        <v>44910</v>
      </c>
    </row>
    <row r="6904" spans="1:24">
      <c r="A6904">
        <f>HYPERLINK("https://www.philgeps.gov.ph/GEPSNONPILOT/Tender/SplashBidNoticeAbstractUI.aspx?menuIndex=3&amp;refID=7078735&amp;Result=3","7078735")</f>
        <v>0</v>
      </c>
      <c r="B6904" t="s">
        <v>108</v>
      </c>
      <c r="C6904" t="s">
        <v>10099</v>
      </c>
      <c r="D6904" t="s">
        <v>18139</v>
      </c>
      <c r="E6904" t="s">
        <v>24316</v>
      </c>
      <c r="F6904" t="s">
        <v>31362</v>
      </c>
      <c r="G6904" t="s">
        <v>31369</v>
      </c>
      <c r="H6904" t="s">
        <v>15799</v>
      </c>
      <c r="I6904" t="s">
        <v>31404</v>
      </c>
      <c r="J6904" t="s">
        <v>35763</v>
      </c>
      <c r="K6904" t="s">
        <v>40686</v>
      </c>
      <c r="M6904" t="s">
        <v>41860</v>
      </c>
      <c r="N6904" t="s">
        <v>44905</v>
      </c>
      <c r="O6904" t="s">
        <v>44906</v>
      </c>
      <c r="P6904">
        <v>0</v>
      </c>
      <c r="Q6904">
        <v>1</v>
      </c>
      <c r="R6904" t="s">
        <v>44909</v>
      </c>
      <c r="S6904" t="s">
        <v>45060</v>
      </c>
      <c r="T6904" t="s">
        <v>46545</v>
      </c>
      <c r="U6904" t="s">
        <v>52540</v>
      </c>
      <c r="W6904" t="s">
        <v>41860</v>
      </c>
      <c r="X6904" t="s">
        <v>44910</v>
      </c>
    </row>
    <row r="6905" spans="1:24">
      <c r="A6905">
        <f>HYPERLINK("https://www.philgeps.gov.ph/GEPSNONPILOT/Tender/SplashBidNoticeAbstractUI.aspx?menuIndex=3&amp;refID=7078734&amp;Result=3","7078734")</f>
        <v>0</v>
      </c>
      <c r="B6905" t="s">
        <v>1625</v>
      </c>
      <c r="C6905" t="s">
        <v>10100</v>
      </c>
      <c r="D6905" t="s">
        <v>18108</v>
      </c>
      <c r="E6905" t="s">
        <v>24317</v>
      </c>
      <c r="F6905" t="s">
        <v>31362</v>
      </c>
      <c r="G6905" t="s">
        <v>31369</v>
      </c>
      <c r="H6905" t="s">
        <v>15799</v>
      </c>
      <c r="I6905" t="s">
        <v>31436</v>
      </c>
      <c r="J6905" t="s">
        <v>35764</v>
      </c>
      <c r="K6905" t="s">
        <v>40662</v>
      </c>
      <c r="M6905" t="s">
        <v>43240</v>
      </c>
      <c r="N6905" t="s">
        <v>44905</v>
      </c>
      <c r="O6905" t="s">
        <v>44906</v>
      </c>
      <c r="P6905">
        <v>0</v>
      </c>
      <c r="Q6905">
        <v>3</v>
      </c>
      <c r="R6905" t="s">
        <v>44909</v>
      </c>
      <c r="S6905" t="s">
        <v>45060</v>
      </c>
      <c r="T6905" t="s">
        <v>46511</v>
      </c>
      <c r="U6905" t="s">
        <v>52541</v>
      </c>
      <c r="V6905" t="s">
        <v>59741</v>
      </c>
      <c r="W6905" t="s">
        <v>43240</v>
      </c>
      <c r="X6905" t="s">
        <v>44910</v>
      </c>
    </row>
    <row r="6906" spans="1:24">
      <c r="A6906">
        <f>HYPERLINK("https://www.philgeps.gov.ph/GEPSNONPILOT/Tender/SplashBidNoticeAbstractUI.aspx?menuIndex=3&amp;refID=7078733&amp;Result=3","7078733")</f>
        <v>0</v>
      </c>
      <c r="B6906" t="s">
        <v>2114</v>
      </c>
      <c r="C6906" t="s">
        <v>10101</v>
      </c>
      <c r="D6906" t="s">
        <v>18123</v>
      </c>
      <c r="E6906" t="s">
        <v>24318</v>
      </c>
      <c r="F6906" t="s">
        <v>31362</v>
      </c>
      <c r="G6906" t="s">
        <v>31369</v>
      </c>
      <c r="H6906" t="s">
        <v>15799</v>
      </c>
      <c r="I6906" t="s">
        <v>31387</v>
      </c>
      <c r="J6906" t="s">
        <v>35765</v>
      </c>
      <c r="K6906" t="s">
        <v>40661</v>
      </c>
      <c r="M6906" t="s">
        <v>43241</v>
      </c>
      <c r="N6906" t="s">
        <v>44905</v>
      </c>
      <c r="O6906" t="s">
        <v>44906</v>
      </c>
      <c r="P6906">
        <v>0</v>
      </c>
      <c r="Q6906">
        <v>0</v>
      </c>
      <c r="R6906" t="s">
        <v>44909</v>
      </c>
      <c r="S6906" t="s">
        <v>45060</v>
      </c>
      <c r="T6906" t="s">
        <v>46741</v>
      </c>
      <c r="U6906" t="s">
        <v>52542</v>
      </c>
      <c r="W6906" t="s">
        <v>43241</v>
      </c>
      <c r="X6906" t="s">
        <v>44910</v>
      </c>
    </row>
    <row r="6907" spans="1:24">
      <c r="A6907">
        <f>HYPERLINK("https://www.philgeps.gov.ph/GEPSNONPILOT/Tender/SplashBidNoticeAbstractUI.aspx?menuIndex=3&amp;refID=7078731&amp;Result=3","7078731")</f>
        <v>0</v>
      </c>
      <c r="B6907" t="s">
        <v>1339</v>
      </c>
      <c r="C6907" t="s">
        <v>10102</v>
      </c>
      <c r="D6907" t="s">
        <v>18169</v>
      </c>
      <c r="E6907" t="s">
        <v>24319</v>
      </c>
      <c r="F6907" t="s">
        <v>31362</v>
      </c>
      <c r="G6907" t="s">
        <v>31368</v>
      </c>
      <c r="H6907" t="s">
        <v>15799</v>
      </c>
      <c r="I6907" t="s">
        <v>31387</v>
      </c>
      <c r="J6907" t="s">
        <v>32242</v>
      </c>
      <c r="K6907" t="s">
        <v>40661</v>
      </c>
      <c r="M6907" t="s">
        <v>42358</v>
      </c>
      <c r="N6907" t="s">
        <v>44905</v>
      </c>
      <c r="O6907" t="s">
        <v>44906</v>
      </c>
      <c r="P6907">
        <v>0</v>
      </c>
      <c r="Q6907">
        <v>0</v>
      </c>
      <c r="R6907" t="s">
        <v>44909</v>
      </c>
      <c r="S6907" t="s">
        <v>45060</v>
      </c>
      <c r="T6907" t="s">
        <v>46432</v>
      </c>
      <c r="U6907" t="s">
        <v>52427</v>
      </c>
      <c r="W6907" t="s">
        <v>42358</v>
      </c>
      <c r="X6907" t="s">
        <v>44910</v>
      </c>
    </row>
    <row r="6908" spans="1:24">
      <c r="A6908">
        <f>HYPERLINK("https://www.philgeps.gov.ph/GEPSNONPILOT/Tender/SplashBidNoticeAbstractUI.aspx?menuIndex=3&amp;refID=7078730&amp;Result=3","7078730")</f>
        <v>0</v>
      </c>
      <c r="B6908" t="s">
        <v>1006</v>
      </c>
      <c r="C6908" t="s">
        <v>10103</v>
      </c>
      <c r="D6908" t="s">
        <v>18111</v>
      </c>
      <c r="E6908" t="s">
        <v>24320</v>
      </c>
      <c r="F6908" t="s">
        <v>31362</v>
      </c>
      <c r="G6908" t="s">
        <v>31370</v>
      </c>
      <c r="H6908" t="s">
        <v>15799</v>
      </c>
      <c r="I6908" t="s">
        <v>7090</v>
      </c>
      <c r="J6908" t="s">
        <v>35766</v>
      </c>
      <c r="K6908" t="s">
        <v>40662</v>
      </c>
      <c r="M6908" t="s">
        <v>42003</v>
      </c>
      <c r="N6908" t="s">
        <v>44905</v>
      </c>
      <c r="O6908" t="s">
        <v>44906</v>
      </c>
      <c r="P6908">
        <v>0</v>
      </c>
      <c r="Q6908">
        <v>2</v>
      </c>
      <c r="R6908" t="s">
        <v>44909</v>
      </c>
      <c r="S6908" t="s">
        <v>45060</v>
      </c>
      <c r="T6908" t="s">
        <v>46400</v>
      </c>
      <c r="U6908" t="s">
        <v>52543</v>
      </c>
      <c r="W6908" t="s">
        <v>42003</v>
      </c>
      <c r="X6908" t="s">
        <v>44910</v>
      </c>
    </row>
    <row r="6909" spans="1:24">
      <c r="A6909">
        <f>HYPERLINK("https://www.philgeps.gov.ph/GEPSNONPILOT/Tender/SplashBidNoticeAbstractUI.aspx?menuIndex=3&amp;refID=7078729&amp;Result=3","7078729")</f>
        <v>0</v>
      </c>
      <c r="B6909" t="s">
        <v>802</v>
      </c>
      <c r="C6909" t="s">
        <v>10104</v>
      </c>
      <c r="D6909" t="s">
        <v>18139</v>
      </c>
      <c r="E6909" t="s">
        <v>24321</v>
      </c>
      <c r="F6909" t="s">
        <v>31362</v>
      </c>
      <c r="G6909" t="s">
        <v>31368</v>
      </c>
      <c r="H6909" t="s">
        <v>15799</v>
      </c>
      <c r="I6909" t="s">
        <v>7090</v>
      </c>
      <c r="J6909" t="s">
        <v>35767</v>
      </c>
      <c r="K6909" t="s">
        <v>40662</v>
      </c>
      <c r="M6909" t="s">
        <v>43227</v>
      </c>
      <c r="N6909" t="s">
        <v>44905</v>
      </c>
      <c r="O6909" t="s">
        <v>44906</v>
      </c>
      <c r="P6909">
        <v>0</v>
      </c>
      <c r="Q6909">
        <v>0</v>
      </c>
      <c r="R6909" t="s">
        <v>44909</v>
      </c>
      <c r="S6909" t="s">
        <v>45060</v>
      </c>
      <c r="T6909" t="s">
        <v>46411</v>
      </c>
      <c r="U6909" t="s">
        <v>52544</v>
      </c>
      <c r="V6909" t="s">
        <v>59734</v>
      </c>
      <c r="W6909" t="s">
        <v>43227</v>
      </c>
      <c r="X6909" t="s">
        <v>44910</v>
      </c>
    </row>
    <row r="6910" spans="1:24">
      <c r="A6910">
        <f>HYPERLINK("https://www.philgeps.gov.ph/GEPSNONPILOT/Tender/SplashBidNoticeAbstractUI.aspx?menuIndex=3&amp;refID=7078728&amp;Result=3","7078728")</f>
        <v>0</v>
      </c>
      <c r="B6910" t="s">
        <v>2115</v>
      </c>
      <c r="C6910" t="s">
        <v>10105</v>
      </c>
      <c r="D6910" t="s">
        <v>18127</v>
      </c>
      <c r="E6910" t="s">
        <v>24322</v>
      </c>
      <c r="F6910" t="s">
        <v>31362</v>
      </c>
      <c r="G6910" t="s">
        <v>31369</v>
      </c>
      <c r="H6910" t="s">
        <v>31378</v>
      </c>
      <c r="I6910" t="s">
        <v>31386</v>
      </c>
      <c r="J6910" t="s">
        <v>35768</v>
      </c>
      <c r="K6910" t="s">
        <v>40661</v>
      </c>
      <c r="M6910" t="s">
        <v>43242</v>
      </c>
      <c r="N6910" t="s">
        <v>44905</v>
      </c>
      <c r="O6910" t="s">
        <v>44906</v>
      </c>
      <c r="P6910">
        <v>0</v>
      </c>
      <c r="Q6910">
        <v>0</v>
      </c>
      <c r="R6910" t="s">
        <v>44909</v>
      </c>
      <c r="S6910" t="s">
        <v>45060</v>
      </c>
      <c r="T6910" t="s">
        <v>46435</v>
      </c>
      <c r="U6910" t="s">
        <v>52545</v>
      </c>
      <c r="W6910" t="s">
        <v>43242</v>
      </c>
      <c r="X6910" t="s">
        <v>44910</v>
      </c>
    </row>
    <row r="6911" spans="1:24">
      <c r="A6911">
        <f>HYPERLINK("https://www.philgeps.gov.ph/GEPSNONPILOT/Tender/SplashBidNoticeAbstractUI.aspx?menuIndex=3&amp;refID=7078743&amp;Result=3","7078743")</f>
        <v>0</v>
      </c>
      <c r="B6911" t="s">
        <v>2116</v>
      </c>
      <c r="C6911" t="s">
        <v>6613</v>
      </c>
      <c r="D6911" t="s">
        <v>18178</v>
      </c>
      <c r="E6911" t="s">
        <v>10823</v>
      </c>
      <c r="F6911" t="s">
        <v>31362</v>
      </c>
      <c r="G6911" t="s">
        <v>31368</v>
      </c>
      <c r="H6911" t="s">
        <v>15799</v>
      </c>
      <c r="I6911" t="s">
        <v>6373</v>
      </c>
      <c r="J6911" t="s">
        <v>32471</v>
      </c>
      <c r="K6911" t="s">
        <v>40693</v>
      </c>
      <c r="M6911" t="s">
        <v>43243</v>
      </c>
      <c r="N6911" t="s">
        <v>44905</v>
      </c>
      <c r="O6911" t="s">
        <v>44906</v>
      </c>
      <c r="P6911">
        <v>0</v>
      </c>
      <c r="Q6911">
        <v>1</v>
      </c>
      <c r="R6911" t="s">
        <v>44909</v>
      </c>
      <c r="S6911" t="s">
        <v>45060</v>
      </c>
      <c r="T6911" t="s">
        <v>46740</v>
      </c>
      <c r="U6911" t="s">
        <v>52546</v>
      </c>
      <c r="V6911" t="s">
        <v>59742</v>
      </c>
      <c r="W6911" t="s">
        <v>43243</v>
      </c>
      <c r="X6911" t="s">
        <v>44910</v>
      </c>
    </row>
    <row r="6912" spans="1:24">
      <c r="A6912">
        <f>HYPERLINK("https://www.philgeps.gov.ph/GEPSNONPILOT/Tender/SplashBidNoticeAbstractUI.aspx?menuIndex=3&amp;refID=7078742&amp;Result=3","7078742")</f>
        <v>0</v>
      </c>
      <c r="B6912" t="s">
        <v>1635</v>
      </c>
      <c r="C6912" t="s">
        <v>10106</v>
      </c>
      <c r="D6912" t="s">
        <v>18136</v>
      </c>
      <c r="E6912" t="s">
        <v>24323</v>
      </c>
      <c r="F6912" t="s">
        <v>31362</v>
      </c>
      <c r="G6912" t="s">
        <v>31369</v>
      </c>
      <c r="H6912" t="s">
        <v>31378</v>
      </c>
      <c r="I6912" t="s">
        <v>31386</v>
      </c>
      <c r="J6912" t="s">
        <v>35769</v>
      </c>
      <c r="K6912" t="s">
        <v>40663</v>
      </c>
      <c r="M6912" t="s">
        <v>42696</v>
      </c>
      <c r="N6912" t="s">
        <v>44905</v>
      </c>
      <c r="O6912" t="s">
        <v>44906</v>
      </c>
      <c r="P6912">
        <v>0</v>
      </c>
      <c r="Q6912">
        <v>1</v>
      </c>
      <c r="R6912" t="s">
        <v>44909</v>
      </c>
      <c r="S6912" t="s">
        <v>45060</v>
      </c>
      <c r="T6912" t="s">
        <v>46607</v>
      </c>
      <c r="U6912" t="s">
        <v>50918</v>
      </c>
      <c r="W6912" t="s">
        <v>44354</v>
      </c>
      <c r="X6912" t="s">
        <v>44910</v>
      </c>
    </row>
    <row r="6913" spans="1:24">
      <c r="A6913">
        <f>HYPERLINK("https://www.philgeps.gov.ph/GEPSNONPILOT/Tender/SplashBidNoticeAbstractUI.aspx?menuIndex=3&amp;refID=7078740&amp;Result=3","7078740")</f>
        <v>0</v>
      </c>
      <c r="B6913" t="s">
        <v>2117</v>
      </c>
      <c r="C6913" t="s">
        <v>10107</v>
      </c>
      <c r="D6913" t="s">
        <v>18158</v>
      </c>
      <c r="E6913" t="s">
        <v>24324</v>
      </c>
      <c r="F6913" t="s">
        <v>31362</v>
      </c>
      <c r="G6913" t="s">
        <v>31369</v>
      </c>
      <c r="H6913" t="s">
        <v>31378</v>
      </c>
      <c r="I6913" t="s">
        <v>31386</v>
      </c>
      <c r="J6913" t="s">
        <v>32018</v>
      </c>
      <c r="K6913" t="s">
        <v>40665</v>
      </c>
      <c r="M6913" t="s">
        <v>43244</v>
      </c>
      <c r="N6913" t="s">
        <v>44905</v>
      </c>
      <c r="O6913" t="s">
        <v>44906</v>
      </c>
      <c r="P6913">
        <v>0</v>
      </c>
      <c r="Q6913">
        <v>0</v>
      </c>
      <c r="R6913" t="s">
        <v>44909</v>
      </c>
      <c r="S6913" t="s">
        <v>45060</v>
      </c>
      <c r="T6913" t="s">
        <v>46470</v>
      </c>
      <c r="U6913" t="s">
        <v>52547</v>
      </c>
      <c r="W6913" t="s">
        <v>43244</v>
      </c>
      <c r="X6913" t="s">
        <v>44910</v>
      </c>
    </row>
    <row r="6914" spans="1:24">
      <c r="A6914">
        <f>HYPERLINK("https://www.philgeps.gov.ph/GEPSNONPILOT/Tender/SplashBidNoticeAbstractUI.aspx?menuIndex=3&amp;refID=7078736&amp;Result=3","7078736")</f>
        <v>0</v>
      </c>
      <c r="B6914" t="s">
        <v>2118</v>
      </c>
      <c r="C6914" t="s">
        <v>10108</v>
      </c>
      <c r="D6914" t="s">
        <v>18105</v>
      </c>
      <c r="E6914" t="s">
        <v>24325</v>
      </c>
      <c r="F6914" t="s">
        <v>31362</v>
      </c>
      <c r="G6914" t="s">
        <v>31369</v>
      </c>
      <c r="H6914" t="s">
        <v>31378</v>
      </c>
      <c r="I6914" t="s">
        <v>31386</v>
      </c>
      <c r="J6914" t="s">
        <v>35770</v>
      </c>
      <c r="K6914" t="s">
        <v>40822</v>
      </c>
      <c r="M6914" t="s">
        <v>43245</v>
      </c>
      <c r="N6914" t="s">
        <v>44905</v>
      </c>
      <c r="O6914" t="s">
        <v>44906</v>
      </c>
      <c r="P6914">
        <v>0</v>
      </c>
      <c r="Q6914">
        <v>1</v>
      </c>
      <c r="R6914" t="s">
        <v>44909</v>
      </c>
      <c r="S6914" t="s">
        <v>45060</v>
      </c>
      <c r="T6914" t="s">
        <v>46461</v>
      </c>
      <c r="U6914" t="s">
        <v>52548</v>
      </c>
      <c r="W6914" t="s">
        <v>43245</v>
      </c>
      <c r="X6914" t="s">
        <v>44910</v>
      </c>
    </row>
    <row r="6915" spans="1:24">
      <c r="A6915">
        <f>HYPERLINK("https://www.philgeps.gov.ph/GEPSNONPILOT/Tender/SplashBidNoticeAbstractUI.aspx?menuIndex=3&amp;refID=7078726&amp;Result=3","7078726")</f>
        <v>0</v>
      </c>
      <c r="B6915" t="s">
        <v>1339</v>
      </c>
      <c r="C6915" t="s">
        <v>10109</v>
      </c>
      <c r="D6915" t="s">
        <v>18169</v>
      </c>
      <c r="E6915" t="s">
        <v>24326</v>
      </c>
      <c r="F6915" t="s">
        <v>31362</v>
      </c>
      <c r="G6915" t="s">
        <v>31368</v>
      </c>
      <c r="H6915" t="s">
        <v>15799</v>
      </c>
      <c r="I6915" t="s">
        <v>31387</v>
      </c>
      <c r="J6915" t="s">
        <v>35771</v>
      </c>
      <c r="K6915" t="s">
        <v>40661</v>
      </c>
      <c r="M6915" t="s">
        <v>42358</v>
      </c>
      <c r="N6915" t="s">
        <v>44905</v>
      </c>
      <c r="O6915" t="s">
        <v>44906</v>
      </c>
      <c r="P6915">
        <v>0</v>
      </c>
      <c r="Q6915">
        <v>0</v>
      </c>
      <c r="R6915" t="s">
        <v>44909</v>
      </c>
      <c r="S6915" t="s">
        <v>45060</v>
      </c>
      <c r="T6915" t="s">
        <v>46432</v>
      </c>
      <c r="U6915" t="s">
        <v>52427</v>
      </c>
      <c r="W6915" t="s">
        <v>42358</v>
      </c>
      <c r="X6915" t="s">
        <v>44910</v>
      </c>
    </row>
    <row r="6916" spans="1:24">
      <c r="A6916">
        <f>HYPERLINK("https://www.philgeps.gov.ph/GEPSNONPILOT/Tender/SplashBidNoticeAbstractUI.aspx?menuIndex=3&amp;refID=7078725&amp;Result=3","7078725")</f>
        <v>0</v>
      </c>
      <c r="B6916" t="s">
        <v>2119</v>
      </c>
      <c r="C6916" t="s">
        <v>10110</v>
      </c>
      <c r="D6916" t="s">
        <v>18125</v>
      </c>
      <c r="E6916" t="s">
        <v>24327</v>
      </c>
      <c r="F6916" t="s">
        <v>31362</v>
      </c>
      <c r="G6916" t="s">
        <v>31368</v>
      </c>
      <c r="H6916" t="s">
        <v>15799</v>
      </c>
      <c r="I6916" t="s">
        <v>6155</v>
      </c>
      <c r="J6916" t="s">
        <v>35772</v>
      </c>
      <c r="K6916" t="s">
        <v>40675</v>
      </c>
      <c r="M6916" t="s">
        <v>43246</v>
      </c>
      <c r="N6916" t="s">
        <v>44905</v>
      </c>
      <c r="O6916" t="s">
        <v>44906</v>
      </c>
      <c r="P6916">
        <v>0</v>
      </c>
      <c r="Q6916">
        <v>14</v>
      </c>
      <c r="R6916" t="s">
        <v>44909</v>
      </c>
      <c r="S6916" t="s">
        <v>45060</v>
      </c>
      <c r="T6916" t="s">
        <v>46432</v>
      </c>
      <c r="U6916" t="s">
        <v>52549</v>
      </c>
      <c r="W6916" t="s">
        <v>43246</v>
      </c>
      <c r="X6916" t="s">
        <v>44910</v>
      </c>
    </row>
    <row r="6917" spans="1:24">
      <c r="A6917">
        <f>HYPERLINK("https://www.philgeps.gov.ph/GEPSNONPILOT/Tender/SplashBidNoticeAbstractUI.aspx?menuIndex=3&amp;refID=7078723&amp;Result=3","7078723")</f>
        <v>0</v>
      </c>
      <c r="B6917" t="s">
        <v>1164</v>
      </c>
      <c r="C6917" t="s">
        <v>10111</v>
      </c>
      <c r="D6917" t="s">
        <v>18111</v>
      </c>
      <c r="E6917" t="s">
        <v>20971</v>
      </c>
      <c r="F6917" t="s">
        <v>31362</v>
      </c>
      <c r="G6917" t="s">
        <v>31370</v>
      </c>
      <c r="H6917" t="s">
        <v>15799</v>
      </c>
      <c r="I6917" t="s">
        <v>31444</v>
      </c>
      <c r="J6917" t="s">
        <v>35773</v>
      </c>
      <c r="K6917" t="s">
        <v>40670</v>
      </c>
      <c r="M6917" t="s">
        <v>42174</v>
      </c>
      <c r="N6917" t="s">
        <v>44905</v>
      </c>
      <c r="O6917" t="s">
        <v>44906</v>
      </c>
      <c r="P6917">
        <v>0</v>
      </c>
      <c r="Q6917">
        <v>2</v>
      </c>
      <c r="R6917" t="s">
        <v>44909</v>
      </c>
      <c r="S6917" t="s">
        <v>45060</v>
      </c>
      <c r="T6917" t="s">
        <v>46414</v>
      </c>
      <c r="U6917" t="s">
        <v>49454</v>
      </c>
      <c r="W6917" t="s">
        <v>42174</v>
      </c>
      <c r="X6917" t="s">
        <v>44910</v>
      </c>
    </row>
    <row r="6918" spans="1:24">
      <c r="A6918">
        <f>HYPERLINK("https://www.philgeps.gov.ph/GEPSNONPILOT/Tender/SplashBidNoticeAbstractUI.aspx?menuIndex=3&amp;refID=7078737&amp;Result=3","7078737")</f>
        <v>0</v>
      </c>
      <c r="B6918" t="s">
        <v>183</v>
      </c>
      <c r="C6918" t="s">
        <v>10112</v>
      </c>
      <c r="D6918" t="s">
        <v>18129</v>
      </c>
      <c r="E6918" t="s">
        <v>24328</v>
      </c>
      <c r="F6918" t="s">
        <v>31362</v>
      </c>
      <c r="G6918" t="s">
        <v>31371</v>
      </c>
      <c r="H6918" t="s">
        <v>15799</v>
      </c>
      <c r="I6918" t="s">
        <v>31422</v>
      </c>
      <c r="J6918" t="s">
        <v>32339</v>
      </c>
      <c r="K6918" t="s">
        <v>40697</v>
      </c>
      <c r="M6918" t="s">
        <v>41121</v>
      </c>
      <c r="N6918" t="s">
        <v>44905</v>
      </c>
      <c r="O6918" t="s">
        <v>44906</v>
      </c>
      <c r="P6918">
        <v>0</v>
      </c>
      <c r="Q6918">
        <v>1</v>
      </c>
      <c r="R6918" t="s">
        <v>44909</v>
      </c>
      <c r="S6918" t="s">
        <v>45060</v>
      </c>
      <c r="T6918" t="s">
        <v>46443</v>
      </c>
      <c r="U6918" t="s">
        <v>47231</v>
      </c>
      <c r="W6918" t="s">
        <v>41121</v>
      </c>
      <c r="X6918" t="s">
        <v>44910</v>
      </c>
    </row>
    <row r="6919" spans="1:24">
      <c r="A6919">
        <f>HYPERLINK("https://www.philgeps.gov.ph/GEPSNONPILOT/Tender/SplashBidNoticeAbstractUI.aspx?menuIndex=3&amp;refID=7078741&amp;Result=3","7078741")</f>
        <v>0</v>
      </c>
      <c r="B6919" t="s">
        <v>1215</v>
      </c>
      <c r="C6919" t="s">
        <v>10113</v>
      </c>
      <c r="D6919" t="s">
        <v>18108</v>
      </c>
      <c r="E6919" t="s">
        <v>24329</v>
      </c>
      <c r="F6919" t="s">
        <v>31362</v>
      </c>
      <c r="G6919" t="s">
        <v>31368</v>
      </c>
      <c r="H6919" t="s">
        <v>15799</v>
      </c>
      <c r="I6919" t="s">
        <v>31412</v>
      </c>
      <c r="J6919" t="s">
        <v>35774</v>
      </c>
      <c r="K6919" t="s">
        <v>40665</v>
      </c>
      <c r="M6919" t="s">
        <v>42228</v>
      </c>
      <c r="N6919" t="s">
        <v>44905</v>
      </c>
      <c r="O6919" t="s">
        <v>44906</v>
      </c>
      <c r="P6919">
        <v>0</v>
      </c>
      <c r="Q6919">
        <v>2</v>
      </c>
      <c r="R6919" t="s">
        <v>44909</v>
      </c>
      <c r="S6919" t="s">
        <v>45060</v>
      </c>
      <c r="T6919" t="s">
        <v>46432</v>
      </c>
      <c r="U6919" t="s">
        <v>52550</v>
      </c>
      <c r="W6919" t="s">
        <v>42228</v>
      </c>
      <c r="X6919" t="s">
        <v>44910</v>
      </c>
    </row>
    <row r="6920" spans="1:24">
      <c r="A6920">
        <f>HYPERLINK("https://www.philgeps.gov.ph/GEPSNONPILOT/Tender/SplashBidNoticeAbstractUI.aspx?menuIndex=3&amp;refID=7078721&amp;Result=3","7078721")</f>
        <v>0</v>
      </c>
      <c r="B6920" t="s">
        <v>1339</v>
      </c>
      <c r="C6920" t="s">
        <v>10114</v>
      </c>
      <c r="D6920" t="s">
        <v>18169</v>
      </c>
      <c r="E6920" t="s">
        <v>24330</v>
      </c>
      <c r="F6920" t="s">
        <v>31362</v>
      </c>
      <c r="G6920" t="s">
        <v>31368</v>
      </c>
      <c r="H6920" t="s">
        <v>15799</v>
      </c>
      <c r="I6920" t="s">
        <v>31387</v>
      </c>
      <c r="J6920" t="s">
        <v>35775</v>
      </c>
      <c r="K6920" t="s">
        <v>40661</v>
      </c>
      <c r="M6920" t="s">
        <v>42358</v>
      </c>
      <c r="N6920" t="s">
        <v>44905</v>
      </c>
      <c r="O6920" t="s">
        <v>44906</v>
      </c>
      <c r="P6920">
        <v>0</v>
      </c>
      <c r="Q6920">
        <v>0</v>
      </c>
      <c r="R6920" t="s">
        <v>44909</v>
      </c>
      <c r="S6920" t="s">
        <v>45060</v>
      </c>
      <c r="T6920" t="s">
        <v>46432</v>
      </c>
      <c r="U6920" t="s">
        <v>52427</v>
      </c>
      <c r="W6920" t="s">
        <v>42358</v>
      </c>
      <c r="X6920" t="s">
        <v>44910</v>
      </c>
    </row>
    <row r="6921" spans="1:24">
      <c r="A6921">
        <f>HYPERLINK("https://www.philgeps.gov.ph/GEPSNONPILOT/Tender/SplashBidNoticeAbstractUI.aspx?menuIndex=3&amp;refID=7078739&amp;Result=3","7078739")</f>
        <v>0</v>
      </c>
      <c r="B6921" t="s">
        <v>1339</v>
      </c>
      <c r="C6921" t="s">
        <v>7620</v>
      </c>
      <c r="D6921" t="s">
        <v>18169</v>
      </c>
      <c r="E6921" t="s">
        <v>24331</v>
      </c>
      <c r="F6921" t="s">
        <v>31362</v>
      </c>
      <c r="G6921" t="s">
        <v>31368</v>
      </c>
      <c r="H6921" t="s">
        <v>15799</v>
      </c>
      <c r="I6921" t="s">
        <v>7188</v>
      </c>
      <c r="J6921" t="s">
        <v>35776</v>
      </c>
      <c r="K6921" t="s">
        <v>40661</v>
      </c>
      <c r="M6921" t="s">
        <v>42358</v>
      </c>
      <c r="N6921" t="s">
        <v>44905</v>
      </c>
      <c r="O6921" t="s">
        <v>44906</v>
      </c>
      <c r="P6921">
        <v>0</v>
      </c>
      <c r="Q6921">
        <v>1</v>
      </c>
      <c r="R6921" t="s">
        <v>44909</v>
      </c>
      <c r="S6921" t="s">
        <v>45060</v>
      </c>
      <c r="T6921" t="s">
        <v>46432</v>
      </c>
      <c r="U6921" t="s">
        <v>52427</v>
      </c>
      <c r="W6921" t="s">
        <v>42358</v>
      </c>
      <c r="X6921" t="s">
        <v>44910</v>
      </c>
    </row>
    <row r="6922" spans="1:24">
      <c r="A6922">
        <f>HYPERLINK("https://www.philgeps.gov.ph/GEPSNONPILOT/Tender/SplashBidNoticeAbstractUI.aspx?menuIndex=3&amp;refID=7078750&amp;Result=3","7078750")</f>
        <v>0</v>
      </c>
      <c r="B6922" t="s">
        <v>183</v>
      </c>
      <c r="C6922" t="s">
        <v>10115</v>
      </c>
      <c r="D6922" t="s">
        <v>18129</v>
      </c>
      <c r="E6922" t="s">
        <v>24332</v>
      </c>
      <c r="F6922" t="s">
        <v>31362</v>
      </c>
      <c r="G6922" t="s">
        <v>31368</v>
      </c>
      <c r="H6922" t="s">
        <v>15799</v>
      </c>
      <c r="I6922" t="s">
        <v>4942</v>
      </c>
      <c r="J6922" t="s">
        <v>35777</v>
      </c>
      <c r="K6922" t="s">
        <v>40697</v>
      </c>
      <c r="M6922" t="s">
        <v>41121</v>
      </c>
      <c r="N6922" t="s">
        <v>44905</v>
      </c>
      <c r="O6922" t="s">
        <v>44906</v>
      </c>
      <c r="P6922">
        <v>0</v>
      </c>
      <c r="Q6922">
        <v>0</v>
      </c>
      <c r="R6922" t="s">
        <v>44909</v>
      </c>
      <c r="S6922" t="s">
        <v>45060</v>
      </c>
      <c r="T6922" t="s">
        <v>46443</v>
      </c>
      <c r="U6922" t="s">
        <v>47231</v>
      </c>
      <c r="W6922" t="s">
        <v>41121</v>
      </c>
      <c r="X6922" t="s">
        <v>44910</v>
      </c>
    </row>
    <row r="6923" spans="1:24">
      <c r="A6923">
        <f>HYPERLINK("https://www.philgeps.gov.ph/GEPSNONPILOT/Tender/SplashBidNoticeAbstractUI.aspx?menuIndex=3&amp;refID=7078744&amp;Result=3","7078744")</f>
        <v>0</v>
      </c>
      <c r="B6923" t="s">
        <v>238</v>
      </c>
      <c r="C6923" t="s">
        <v>10116</v>
      </c>
      <c r="D6923" t="s">
        <v>18163</v>
      </c>
      <c r="E6923" t="s">
        <v>24333</v>
      </c>
      <c r="F6923" t="s">
        <v>31362</v>
      </c>
      <c r="G6923" t="s">
        <v>31372</v>
      </c>
      <c r="H6923" t="s">
        <v>15799</v>
      </c>
      <c r="I6923" t="s">
        <v>31409</v>
      </c>
      <c r="J6923" t="s">
        <v>31637</v>
      </c>
      <c r="K6923" t="s">
        <v>40662</v>
      </c>
      <c r="M6923" t="s">
        <v>41177</v>
      </c>
      <c r="N6923" t="s">
        <v>44905</v>
      </c>
      <c r="O6923" t="s">
        <v>44906</v>
      </c>
      <c r="P6923">
        <v>0</v>
      </c>
      <c r="Q6923">
        <v>4</v>
      </c>
      <c r="R6923" t="s">
        <v>44909</v>
      </c>
      <c r="S6923" t="s">
        <v>45060</v>
      </c>
      <c r="T6923" t="s">
        <v>46511</v>
      </c>
      <c r="U6923" t="s">
        <v>52551</v>
      </c>
      <c r="V6923" t="s">
        <v>59743</v>
      </c>
      <c r="W6923" t="s">
        <v>41177</v>
      </c>
      <c r="X6923" t="s">
        <v>44910</v>
      </c>
    </row>
    <row r="6924" spans="1:24">
      <c r="A6924">
        <f>HYPERLINK("https://www.philgeps.gov.ph/GEPSNONPILOT/Tender/SplashBidNoticeAbstractUI.aspx?menuIndex=3&amp;refID=7078749&amp;Result=3","7078749")</f>
        <v>0</v>
      </c>
      <c r="B6924" t="s">
        <v>1006</v>
      </c>
      <c r="C6924" t="s">
        <v>10025</v>
      </c>
      <c r="D6924" t="s">
        <v>18111</v>
      </c>
      <c r="E6924" t="s">
        <v>24320</v>
      </c>
      <c r="F6924" t="s">
        <v>31362</v>
      </c>
      <c r="G6924" t="s">
        <v>31370</v>
      </c>
      <c r="H6924" t="s">
        <v>15799</v>
      </c>
      <c r="I6924" t="s">
        <v>31387</v>
      </c>
      <c r="J6924" t="s">
        <v>35778</v>
      </c>
      <c r="K6924" t="s">
        <v>40662</v>
      </c>
      <c r="M6924" t="s">
        <v>42003</v>
      </c>
      <c r="N6924" t="s">
        <v>44905</v>
      </c>
      <c r="O6924" t="s">
        <v>44906</v>
      </c>
      <c r="P6924">
        <v>0</v>
      </c>
      <c r="Q6924">
        <v>1</v>
      </c>
      <c r="R6924" t="s">
        <v>44909</v>
      </c>
      <c r="S6924" t="s">
        <v>45060</v>
      </c>
      <c r="T6924" t="s">
        <v>46400</v>
      </c>
      <c r="U6924" t="s">
        <v>52552</v>
      </c>
      <c r="W6924" t="s">
        <v>42003</v>
      </c>
      <c r="X6924" t="s">
        <v>44910</v>
      </c>
    </row>
    <row r="6925" spans="1:24">
      <c r="A6925">
        <f>HYPERLINK("https://www.philgeps.gov.ph/GEPSNONPILOT/Tender/SplashBidNoticeAbstractUI.aspx?menuIndex=3&amp;refID=7078748&amp;Result=3","7078748")</f>
        <v>0</v>
      </c>
      <c r="B6925" t="s">
        <v>1339</v>
      </c>
      <c r="C6925" t="s">
        <v>10117</v>
      </c>
      <c r="D6925" t="s">
        <v>18169</v>
      </c>
      <c r="E6925" t="s">
        <v>24334</v>
      </c>
      <c r="F6925" t="s">
        <v>31362</v>
      </c>
      <c r="G6925" t="s">
        <v>31368</v>
      </c>
      <c r="H6925" t="s">
        <v>15799</v>
      </c>
      <c r="I6925" t="s">
        <v>31387</v>
      </c>
      <c r="J6925" t="s">
        <v>35779</v>
      </c>
      <c r="K6925" t="s">
        <v>40661</v>
      </c>
      <c r="M6925" t="s">
        <v>42358</v>
      </c>
      <c r="N6925" t="s">
        <v>44905</v>
      </c>
      <c r="O6925" t="s">
        <v>44906</v>
      </c>
      <c r="P6925">
        <v>0</v>
      </c>
      <c r="Q6925">
        <v>0</v>
      </c>
      <c r="R6925" t="s">
        <v>44909</v>
      </c>
      <c r="S6925" t="s">
        <v>45060</v>
      </c>
      <c r="T6925" t="s">
        <v>46432</v>
      </c>
      <c r="U6925" t="s">
        <v>52427</v>
      </c>
      <c r="W6925" t="s">
        <v>42358</v>
      </c>
      <c r="X6925" t="s">
        <v>44910</v>
      </c>
    </row>
    <row r="6926" spans="1:24">
      <c r="A6926">
        <f>HYPERLINK("https://www.philgeps.gov.ph/GEPSNONPILOT/Tender/SplashBidNoticeAbstractUI.aspx?menuIndex=3&amp;refID=7078747&amp;Result=3","7078747")</f>
        <v>0</v>
      </c>
      <c r="B6926" t="s">
        <v>802</v>
      </c>
      <c r="C6926" t="s">
        <v>10118</v>
      </c>
      <c r="E6926" t="s">
        <v>24335</v>
      </c>
      <c r="F6926" t="s">
        <v>31362</v>
      </c>
      <c r="G6926" t="s">
        <v>31368</v>
      </c>
      <c r="H6926" t="s">
        <v>15799</v>
      </c>
      <c r="I6926" t="s">
        <v>7090</v>
      </c>
      <c r="J6926" t="s">
        <v>35780</v>
      </c>
      <c r="K6926" t="s">
        <v>40662</v>
      </c>
      <c r="M6926" t="s">
        <v>43227</v>
      </c>
      <c r="N6926" t="s">
        <v>44905</v>
      </c>
      <c r="O6926" t="s">
        <v>44906</v>
      </c>
      <c r="P6926">
        <v>0</v>
      </c>
      <c r="Q6926">
        <v>0</v>
      </c>
      <c r="R6926" t="s">
        <v>44909</v>
      </c>
      <c r="S6926" t="s">
        <v>45060</v>
      </c>
      <c r="T6926" t="s">
        <v>46411</v>
      </c>
      <c r="U6926" t="s">
        <v>52553</v>
      </c>
      <c r="V6926" t="s">
        <v>59734</v>
      </c>
      <c r="W6926" t="s">
        <v>43227</v>
      </c>
      <c r="X6926" t="s">
        <v>44910</v>
      </c>
    </row>
    <row r="6927" spans="1:24">
      <c r="A6927">
        <f>HYPERLINK("https://www.philgeps.gov.ph/GEPSNONPILOT/Tender/SplashBidNoticeAbstractUI.aspx?menuIndex=3&amp;refID=7078745&amp;Result=3","7078745")</f>
        <v>0</v>
      </c>
      <c r="B6927" t="s">
        <v>1690</v>
      </c>
      <c r="C6927" t="s">
        <v>10119</v>
      </c>
      <c r="D6927" t="s">
        <v>18108</v>
      </c>
      <c r="E6927" t="s">
        <v>18475</v>
      </c>
      <c r="F6927" t="s">
        <v>31363</v>
      </c>
      <c r="G6927" t="s">
        <v>31370</v>
      </c>
      <c r="H6927" t="s">
        <v>31379</v>
      </c>
      <c r="I6927" t="s">
        <v>31383</v>
      </c>
      <c r="J6927" t="s">
        <v>31564</v>
      </c>
      <c r="K6927" t="s">
        <v>40672</v>
      </c>
      <c r="M6927" t="s">
        <v>42757</v>
      </c>
      <c r="N6927" t="s">
        <v>44905</v>
      </c>
      <c r="O6927" t="s">
        <v>44906</v>
      </c>
      <c r="P6927">
        <v>0</v>
      </c>
      <c r="Q6927">
        <v>1</v>
      </c>
      <c r="R6927" t="s">
        <v>44909</v>
      </c>
      <c r="S6927" t="s">
        <v>45060</v>
      </c>
      <c r="T6927" t="s">
        <v>46408</v>
      </c>
      <c r="U6927" t="s">
        <v>52554</v>
      </c>
      <c r="W6927" t="s">
        <v>42757</v>
      </c>
      <c r="X6927" t="s">
        <v>44910</v>
      </c>
    </row>
    <row r="6928" spans="1:24">
      <c r="A6928">
        <f>HYPERLINK("https://www.philgeps.gov.ph/GEPSNONPILOT/Tender/SplashBidNoticeAbstractUI.aspx?menuIndex=3&amp;refID=7078752&amp;Result=3","7078752")</f>
        <v>0</v>
      </c>
      <c r="B6928" t="s">
        <v>2113</v>
      </c>
      <c r="C6928" t="s">
        <v>10120</v>
      </c>
      <c r="D6928" t="s">
        <v>18158</v>
      </c>
      <c r="E6928" t="s">
        <v>24336</v>
      </c>
      <c r="F6928" t="s">
        <v>31362</v>
      </c>
      <c r="G6928" t="s">
        <v>31369</v>
      </c>
      <c r="H6928" t="s">
        <v>15799</v>
      </c>
      <c r="I6928" t="s">
        <v>31400</v>
      </c>
      <c r="J6928" t="s">
        <v>35781</v>
      </c>
      <c r="K6928" t="s">
        <v>40697</v>
      </c>
      <c r="M6928" t="s">
        <v>43239</v>
      </c>
      <c r="N6928" t="s">
        <v>44905</v>
      </c>
      <c r="O6928" t="s">
        <v>44906</v>
      </c>
      <c r="P6928">
        <v>0</v>
      </c>
      <c r="Q6928">
        <v>0</v>
      </c>
      <c r="R6928" t="s">
        <v>44909</v>
      </c>
      <c r="S6928" t="s">
        <v>45060</v>
      </c>
      <c r="T6928" t="s">
        <v>46435</v>
      </c>
      <c r="U6928" t="s">
        <v>52555</v>
      </c>
      <c r="W6928" t="s">
        <v>43239</v>
      </c>
      <c r="X6928" t="s">
        <v>44910</v>
      </c>
    </row>
    <row r="6929" spans="1:24">
      <c r="A6929">
        <f>HYPERLINK("https://www.philgeps.gov.ph/GEPSNONPILOT/Tender/SplashBidNoticeAbstractUI.aspx?menuIndex=3&amp;refID=7078773&amp;Result=3","7078773")</f>
        <v>0</v>
      </c>
      <c r="B6929" t="s">
        <v>183</v>
      </c>
      <c r="C6929" t="s">
        <v>10121</v>
      </c>
      <c r="D6929" t="s">
        <v>18129</v>
      </c>
      <c r="E6929" t="s">
        <v>24337</v>
      </c>
      <c r="F6929" t="s">
        <v>31362</v>
      </c>
      <c r="G6929" t="s">
        <v>31368</v>
      </c>
      <c r="H6929" t="s">
        <v>15799</v>
      </c>
      <c r="I6929" t="s">
        <v>4942</v>
      </c>
      <c r="J6929" t="s">
        <v>31886</v>
      </c>
      <c r="K6929" t="s">
        <v>40697</v>
      </c>
      <c r="M6929" t="s">
        <v>41121</v>
      </c>
      <c r="N6929" t="s">
        <v>44905</v>
      </c>
      <c r="O6929" t="s">
        <v>44906</v>
      </c>
      <c r="P6929">
        <v>0</v>
      </c>
      <c r="Q6929">
        <v>0</v>
      </c>
      <c r="R6929" t="s">
        <v>44909</v>
      </c>
      <c r="S6929" t="s">
        <v>45060</v>
      </c>
      <c r="T6929" t="s">
        <v>46414</v>
      </c>
      <c r="U6929" t="s">
        <v>47231</v>
      </c>
      <c r="W6929" t="s">
        <v>41121</v>
      </c>
      <c r="X6929" t="s">
        <v>44910</v>
      </c>
    </row>
    <row r="6930" spans="1:24">
      <c r="A6930">
        <f>HYPERLINK("https://www.philgeps.gov.ph/GEPSNONPILOT/Tender/SplashBidNoticeAbstractUI.aspx?menuIndex=3&amp;refID=7078771&amp;Result=3","7078771")</f>
        <v>0</v>
      </c>
      <c r="B6930" t="s">
        <v>1006</v>
      </c>
      <c r="C6930" t="s">
        <v>5147</v>
      </c>
      <c r="D6930" t="s">
        <v>18111</v>
      </c>
      <c r="E6930" t="s">
        <v>24320</v>
      </c>
      <c r="F6930" t="s">
        <v>31362</v>
      </c>
      <c r="G6930" t="s">
        <v>31370</v>
      </c>
      <c r="H6930" t="s">
        <v>15799</v>
      </c>
      <c r="I6930" t="s">
        <v>7090</v>
      </c>
      <c r="J6930" t="s">
        <v>35782</v>
      </c>
      <c r="K6930" t="s">
        <v>40662</v>
      </c>
      <c r="M6930" t="s">
        <v>42003</v>
      </c>
      <c r="N6930" t="s">
        <v>44905</v>
      </c>
      <c r="O6930" t="s">
        <v>44906</v>
      </c>
      <c r="P6930">
        <v>0</v>
      </c>
      <c r="Q6930">
        <v>2</v>
      </c>
      <c r="R6930" t="s">
        <v>44909</v>
      </c>
      <c r="S6930" t="s">
        <v>45060</v>
      </c>
      <c r="T6930" t="s">
        <v>46400</v>
      </c>
      <c r="U6930" t="s">
        <v>52556</v>
      </c>
      <c r="W6930" t="s">
        <v>42003</v>
      </c>
      <c r="X6930" t="s">
        <v>44910</v>
      </c>
    </row>
    <row r="6931" spans="1:24">
      <c r="A6931">
        <f>HYPERLINK("https://www.philgeps.gov.ph/GEPSNONPILOT/Tender/SplashBidNoticeAbstractUI.aspx?menuIndex=3&amp;refID=7078769&amp;Result=3","7078769")</f>
        <v>0</v>
      </c>
      <c r="B6931" t="s">
        <v>183</v>
      </c>
      <c r="C6931" t="s">
        <v>10122</v>
      </c>
      <c r="D6931" t="s">
        <v>18129</v>
      </c>
      <c r="E6931" t="s">
        <v>24338</v>
      </c>
      <c r="F6931" t="s">
        <v>31362</v>
      </c>
      <c r="G6931" t="s">
        <v>31368</v>
      </c>
      <c r="H6931" t="s">
        <v>15799</v>
      </c>
      <c r="I6931" t="s">
        <v>31404</v>
      </c>
      <c r="J6931" t="s">
        <v>32220</v>
      </c>
      <c r="K6931" t="s">
        <v>40697</v>
      </c>
      <c r="M6931" t="s">
        <v>41121</v>
      </c>
      <c r="N6931" t="s">
        <v>44905</v>
      </c>
      <c r="O6931" t="s">
        <v>44906</v>
      </c>
      <c r="P6931">
        <v>0</v>
      </c>
      <c r="Q6931">
        <v>0</v>
      </c>
      <c r="R6931" t="s">
        <v>44909</v>
      </c>
      <c r="S6931" t="s">
        <v>45060</v>
      </c>
      <c r="T6931" t="s">
        <v>46443</v>
      </c>
      <c r="U6931" t="s">
        <v>47231</v>
      </c>
      <c r="W6931" t="s">
        <v>41121</v>
      </c>
      <c r="X6931" t="s">
        <v>44910</v>
      </c>
    </row>
    <row r="6932" spans="1:24">
      <c r="A6932">
        <f>HYPERLINK("https://www.philgeps.gov.ph/GEPSNONPILOT/Tender/SplashBidNoticeAbstractUI.aspx?menuIndex=3&amp;refID=7078754&amp;Result=3","7078754")</f>
        <v>0</v>
      </c>
      <c r="B6932" t="s">
        <v>2118</v>
      </c>
      <c r="C6932" t="s">
        <v>10123</v>
      </c>
      <c r="D6932" t="s">
        <v>18105</v>
      </c>
      <c r="E6932" t="s">
        <v>24339</v>
      </c>
      <c r="F6932" t="s">
        <v>31362</v>
      </c>
      <c r="G6932" t="s">
        <v>31369</v>
      </c>
      <c r="H6932" t="s">
        <v>31378</v>
      </c>
      <c r="I6932" t="s">
        <v>31386</v>
      </c>
      <c r="J6932" t="s">
        <v>35783</v>
      </c>
      <c r="K6932" t="s">
        <v>40798</v>
      </c>
      <c r="M6932" t="s">
        <v>43245</v>
      </c>
      <c r="N6932" t="s">
        <v>44905</v>
      </c>
      <c r="O6932" t="s">
        <v>44906</v>
      </c>
      <c r="P6932">
        <v>0</v>
      </c>
      <c r="Q6932">
        <v>0</v>
      </c>
      <c r="R6932" t="s">
        <v>44909</v>
      </c>
      <c r="S6932" t="s">
        <v>45060</v>
      </c>
      <c r="T6932" t="s">
        <v>46696</v>
      </c>
      <c r="U6932" t="s">
        <v>52557</v>
      </c>
      <c r="W6932" t="s">
        <v>43245</v>
      </c>
      <c r="X6932" t="s">
        <v>44910</v>
      </c>
    </row>
    <row r="6933" spans="1:24">
      <c r="A6933">
        <f>HYPERLINK("https://www.philgeps.gov.ph/GEPSNONPILOT/Tender/SplashBidNoticeAbstractUI.aspx?menuIndex=3&amp;refID=7078767&amp;Result=3","7078767")</f>
        <v>0</v>
      </c>
      <c r="B6933" t="s">
        <v>802</v>
      </c>
      <c r="C6933" t="s">
        <v>10124</v>
      </c>
      <c r="E6933" t="s">
        <v>24340</v>
      </c>
      <c r="F6933" t="s">
        <v>31362</v>
      </c>
      <c r="G6933" t="s">
        <v>31368</v>
      </c>
      <c r="H6933" t="s">
        <v>15799</v>
      </c>
      <c r="I6933" t="s">
        <v>31394</v>
      </c>
      <c r="J6933" t="s">
        <v>35784</v>
      </c>
      <c r="K6933" t="s">
        <v>40662</v>
      </c>
      <c r="M6933" t="s">
        <v>43227</v>
      </c>
      <c r="N6933" t="s">
        <v>44905</v>
      </c>
      <c r="O6933" t="s">
        <v>44906</v>
      </c>
      <c r="P6933">
        <v>0</v>
      </c>
      <c r="Q6933">
        <v>2</v>
      </c>
      <c r="R6933" t="s">
        <v>44909</v>
      </c>
      <c r="S6933" t="s">
        <v>45060</v>
      </c>
      <c r="T6933" t="s">
        <v>46411</v>
      </c>
      <c r="U6933" t="s">
        <v>52558</v>
      </c>
      <c r="V6933" t="s">
        <v>59734</v>
      </c>
      <c r="W6933" t="s">
        <v>43227</v>
      </c>
      <c r="X6933" t="s">
        <v>44910</v>
      </c>
    </row>
    <row r="6934" spans="1:24">
      <c r="A6934">
        <f>HYPERLINK("https://www.philgeps.gov.ph/GEPSNONPILOT/Tender/SplashBidNoticeAbstractUI.aspx?menuIndex=3&amp;refID=7078764&amp;Result=3","7078764")</f>
        <v>0</v>
      </c>
      <c r="B6934" t="s">
        <v>2113</v>
      </c>
      <c r="C6934" t="s">
        <v>10125</v>
      </c>
      <c r="D6934" t="s">
        <v>18158</v>
      </c>
      <c r="E6934" t="s">
        <v>22937</v>
      </c>
      <c r="F6934" t="s">
        <v>31362</v>
      </c>
      <c r="G6934" t="s">
        <v>31369</v>
      </c>
      <c r="H6934" t="s">
        <v>15799</v>
      </c>
      <c r="I6934" t="s">
        <v>7188</v>
      </c>
      <c r="J6934" t="s">
        <v>31564</v>
      </c>
      <c r="K6934" t="s">
        <v>40697</v>
      </c>
      <c r="M6934" t="s">
        <v>43239</v>
      </c>
      <c r="N6934" t="s">
        <v>44905</v>
      </c>
      <c r="O6934" t="s">
        <v>44906</v>
      </c>
      <c r="P6934">
        <v>0</v>
      </c>
      <c r="Q6934">
        <v>6</v>
      </c>
      <c r="R6934" t="s">
        <v>44909</v>
      </c>
      <c r="S6934" t="s">
        <v>45060</v>
      </c>
      <c r="T6934" t="s">
        <v>46435</v>
      </c>
      <c r="U6934" t="s">
        <v>52559</v>
      </c>
      <c r="W6934" t="s">
        <v>43239</v>
      </c>
      <c r="X6934" t="s">
        <v>44910</v>
      </c>
    </row>
    <row r="6935" spans="1:24">
      <c r="A6935">
        <f>HYPERLINK("https://www.philgeps.gov.ph/GEPSNONPILOT/Tender/SplashBidNoticeAbstractUI.aspx?menuIndex=3&amp;refID=7078763&amp;Result=3","7078763")</f>
        <v>0</v>
      </c>
      <c r="B6935" t="s">
        <v>183</v>
      </c>
      <c r="C6935" t="s">
        <v>10126</v>
      </c>
      <c r="D6935" t="s">
        <v>18129</v>
      </c>
      <c r="E6935" t="s">
        <v>24341</v>
      </c>
      <c r="F6935" t="s">
        <v>31362</v>
      </c>
      <c r="G6935" t="s">
        <v>31368</v>
      </c>
      <c r="H6935" t="s">
        <v>15799</v>
      </c>
      <c r="I6935" t="s">
        <v>4942</v>
      </c>
      <c r="J6935" t="s">
        <v>35785</v>
      </c>
      <c r="K6935" t="s">
        <v>40697</v>
      </c>
      <c r="M6935" t="s">
        <v>41121</v>
      </c>
      <c r="N6935" t="s">
        <v>44905</v>
      </c>
      <c r="O6935" t="s">
        <v>44906</v>
      </c>
      <c r="P6935">
        <v>0</v>
      </c>
      <c r="Q6935">
        <v>0</v>
      </c>
      <c r="R6935" t="s">
        <v>44909</v>
      </c>
      <c r="S6935" t="s">
        <v>45060</v>
      </c>
      <c r="T6935" t="s">
        <v>46443</v>
      </c>
      <c r="U6935" t="s">
        <v>47231</v>
      </c>
      <c r="W6935" t="s">
        <v>41121</v>
      </c>
      <c r="X6935" t="s">
        <v>44910</v>
      </c>
    </row>
    <row r="6936" spans="1:24">
      <c r="A6936">
        <f>HYPERLINK("https://www.philgeps.gov.ph/GEPSNONPILOT/Tender/SplashBidNoticeAbstractUI.aspx?menuIndex=3&amp;refID=7078776&amp;Result=3","7078776")</f>
        <v>0</v>
      </c>
      <c r="B6936" t="s">
        <v>183</v>
      </c>
      <c r="C6936" t="s">
        <v>10127</v>
      </c>
      <c r="D6936" t="s">
        <v>18129</v>
      </c>
      <c r="E6936" t="s">
        <v>24342</v>
      </c>
      <c r="F6936" t="s">
        <v>31362</v>
      </c>
      <c r="G6936" t="s">
        <v>31368</v>
      </c>
      <c r="H6936" t="s">
        <v>15799</v>
      </c>
      <c r="I6936" t="s">
        <v>4942</v>
      </c>
      <c r="J6936" t="s">
        <v>35786</v>
      </c>
      <c r="K6936" t="s">
        <v>40697</v>
      </c>
      <c r="M6936" t="s">
        <v>41121</v>
      </c>
      <c r="N6936" t="s">
        <v>44905</v>
      </c>
      <c r="O6936" t="s">
        <v>44906</v>
      </c>
      <c r="P6936">
        <v>0</v>
      </c>
      <c r="Q6936">
        <v>0</v>
      </c>
      <c r="R6936" t="s">
        <v>44909</v>
      </c>
      <c r="S6936" t="s">
        <v>45060</v>
      </c>
      <c r="T6936" t="s">
        <v>46414</v>
      </c>
      <c r="U6936" t="s">
        <v>47231</v>
      </c>
      <c r="W6936" t="s">
        <v>41121</v>
      </c>
      <c r="X6936" t="s">
        <v>44910</v>
      </c>
    </row>
    <row r="6937" spans="1:24">
      <c r="A6937">
        <f>HYPERLINK("https://www.philgeps.gov.ph/GEPSNONPILOT/Tender/SplashBidNoticeAbstractUI.aspx?menuIndex=3&amp;refID=7078758&amp;Result=3","7078758")</f>
        <v>0</v>
      </c>
      <c r="B6937" t="s">
        <v>183</v>
      </c>
      <c r="C6937" t="s">
        <v>10128</v>
      </c>
      <c r="D6937" t="s">
        <v>18129</v>
      </c>
      <c r="E6937" t="s">
        <v>24343</v>
      </c>
      <c r="F6937" t="s">
        <v>31362</v>
      </c>
      <c r="G6937" t="s">
        <v>31368</v>
      </c>
      <c r="H6937" t="s">
        <v>15799</v>
      </c>
      <c r="I6937" t="s">
        <v>31403</v>
      </c>
      <c r="J6937" t="s">
        <v>35787</v>
      </c>
      <c r="K6937" t="s">
        <v>40697</v>
      </c>
      <c r="M6937" t="s">
        <v>41121</v>
      </c>
      <c r="N6937" t="s">
        <v>44905</v>
      </c>
      <c r="O6937" t="s">
        <v>44906</v>
      </c>
      <c r="P6937">
        <v>0</v>
      </c>
      <c r="Q6937">
        <v>0</v>
      </c>
      <c r="R6937" t="s">
        <v>44909</v>
      </c>
      <c r="S6937" t="s">
        <v>45060</v>
      </c>
      <c r="T6937" t="s">
        <v>46443</v>
      </c>
      <c r="U6937" t="s">
        <v>47231</v>
      </c>
      <c r="W6937" t="s">
        <v>41121</v>
      </c>
      <c r="X6937" t="s">
        <v>44910</v>
      </c>
    </row>
    <row r="6938" spans="1:24">
      <c r="A6938">
        <f>HYPERLINK("https://www.philgeps.gov.ph/GEPSNONPILOT/Tender/SplashBidNoticeAbstractUI.aspx?menuIndex=3&amp;refID=7078796&amp;Result=3","7078796")</f>
        <v>0</v>
      </c>
      <c r="B6938" t="s">
        <v>1006</v>
      </c>
      <c r="C6938" t="s">
        <v>10129</v>
      </c>
      <c r="D6938" t="s">
        <v>18111</v>
      </c>
      <c r="E6938" t="s">
        <v>24320</v>
      </c>
      <c r="F6938" t="s">
        <v>31362</v>
      </c>
      <c r="G6938" t="s">
        <v>31370</v>
      </c>
      <c r="H6938" t="s">
        <v>15799</v>
      </c>
      <c r="I6938" t="s">
        <v>31385</v>
      </c>
      <c r="J6938" t="s">
        <v>35788</v>
      </c>
      <c r="K6938" t="s">
        <v>40662</v>
      </c>
      <c r="M6938" t="s">
        <v>42003</v>
      </c>
      <c r="N6938" t="s">
        <v>44905</v>
      </c>
      <c r="O6938" t="s">
        <v>44906</v>
      </c>
      <c r="P6938">
        <v>0</v>
      </c>
      <c r="Q6938">
        <v>2</v>
      </c>
      <c r="R6938" t="s">
        <v>44909</v>
      </c>
      <c r="S6938" t="s">
        <v>45060</v>
      </c>
      <c r="T6938" t="s">
        <v>46400</v>
      </c>
      <c r="U6938" t="s">
        <v>52560</v>
      </c>
      <c r="W6938" t="s">
        <v>42003</v>
      </c>
      <c r="X6938" t="s">
        <v>44910</v>
      </c>
    </row>
    <row r="6939" spans="1:24">
      <c r="A6939">
        <f>HYPERLINK("https://www.philgeps.gov.ph/GEPSNONPILOT/Tender/SplashBidNoticeAbstractUI.aspx?menuIndex=3&amp;refID=7078793&amp;Result=3","7078793")</f>
        <v>0</v>
      </c>
      <c r="B6939" t="s">
        <v>2111</v>
      </c>
      <c r="C6939" t="s">
        <v>10130</v>
      </c>
      <c r="D6939" t="s">
        <v>18105</v>
      </c>
      <c r="E6939" t="s">
        <v>24344</v>
      </c>
      <c r="F6939" t="s">
        <v>31362</v>
      </c>
      <c r="G6939" t="s">
        <v>31369</v>
      </c>
      <c r="H6939" t="s">
        <v>15799</v>
      </c>
      <c r="I6939" t="s">
        <v>31409</v>
      </c>
      <c r="J6939" t="s">
        <v>32891</v>
      </c>
      <c r="K6939" t="s">
        <v>40681</v>
      </c>
      <c r="M6939" t="s">
        <v>43247</v>
      </c>
      <c r="N6939" t="s">
        <v>44905</v>
      </c>
      <c r="O6939" t="s">
        <v>44906</v>
      </c>
      <c r="P6939">
        <v>0</v>
      </c>
      <c r="Q6939">
        <v>2</v>
      </c>
      <c r="R6939" t="s">
        <v>44909</v>
      </c>
      <c r="S6939" t="s">
        <v>45060</v>
      </c>
      <c r="T6939" t="s">
        <v>46671</v>
      </c>
      <c r="U6939" t="s">
        <v>52561</v>
      </c>
      <c r="W6939" t="s">
        <v>43247</v>
      </c>
      <c r="X6939" t="s">
        <v>44910</v>
      </c>
    </row>
    <row r="6940" spans="1:24">
      <c r="A6940">
        <f>HYPERLINK("https://www.philgeps.gov.ph/GEPSNONPILOT/Tender/SplashBidNoticeAbstractUI.aspx?menuIndex=3&amp;refID=7078746&amp;Result=3","7078746")</f>
        <v>0</v>
      </c>
      <c r="B6940" t="s">
        <v>2118</v>
      </c>
      <c r="C6940" t="s">
        <v>10131</v>
      </c>
      <c r="D6940" t="s">
        <v>18105</v>
      </c>
      <c r="E6940" t="s">
        <v>24345</v>
      </c>
      <c r="F6940" t="s">
        <v>31362</v>
      </c>
      <c r="G6940" t="s">
        <v>31369</v>
      </c>
      <c r="H6940" t="s">
        <v>31378</v>
      </c>
      <c r="I6940" t="s">
        <v>31386</v>
      </c>
      <c r="J6940" t="s">
        <v>35789</v>
      </c>
      <c r="K6940" t="s">
        <v>40823</v>
      </c>
      <c r="M6940" t="s">
        <v>43245</v>
      </c>
      <c r="N6940" t="s">
        <v>44905</v>
      </c>
      <c r="O6940" t="s">
        <v>44906</v>
      </c>
      <c r="P6940">
        <v>0</v>
      </c>
      <c r="Q6940">
        <v>1</v>
      </c>
      <c r="R6940" t="s">
        <v>44909</v>
      </c>
      <c r="S6940" t="s">
        <v>45060</v>
      </c>
      <c r="T6940" t="s">
        <v>46697</v>
      </c>
      <c r="U6940" t="s">
        <v>52562</v>
      </c>
      <c r="W6940" t="s">
        <v>43245</v>
      </c>
      <c r="X6940" t="s">
        <v>44910</v>
      </c>
    </row>
    <row r="6941" spans="1:24">
      <c r="A6941">
        <f>HYPERLINK("https://www.philgeps.gov.ph/GEPSNONPILOT/Tender/SplashBidNoticeAbstractUI.aspx?menuIndex=3&amp;refID=7078770&amp;Result=3","7078770")</f>
        <v>0</v>
      </c>
      <c r="B6941" t="s">
        <v>183</v>
      </c>
      <c r="C6941" t="s">
        <v>10132</v>
      </c>
      <c r="D6941" t="s">
        <v>18129</v>
      </c>
      <c r="E6941" t="s">
        <v>24346</v>
      </c>
      <c r="F6941" t="s">
        <v>31362</v>
      </c>
      <c r="G6941" t="s">
        <v>31371</v>
      </c>
      <c r="H6941" t="s">
        <v>15799</v>
      </c>
      <c r="I6941" t="s">
        <v>31385</v>
      </c>
      <c r="J6941" t="s">
        <v>35790</v>
      </c>
      <c r="K6941" t="s">
        <v>40697</v>
      </c>
      <c r="M6941" t="s">
        <v>41121</v>
      </c>
      <c r="N6941" t="s">
        <v>44905</v>
      </c>
      <c r="O6941" t="s">
        <v>44906</v>
      </c>
      <c r="P6941">
        <v>0</v>
      </c>
      <c r="Q6941">
        <v>0</v>
      </c>
      <c r="R6941" t="s">
        <v>44909</v>
      </c>
      <c r="S6941" t="s">
        <v>45060</v>
      </c>
      <c r="T6941" t="s">
        <v>46443</v>
      </c>
      <c r="U6941" t="s">
        <v>47231</v>
      </c>
      <c r="W6941" t="s">
        <v>41121</v>
      </c>
      <c r="X6941" t="s">
        <v>44910</v>
      </c>
    </row>
    <row r="6942" spans="1:24">
      <c r="A6942">
        <f>HYPERLINK("https://www.philgeps.gov.ph/GEPSNONPILOT/Tender/SplashBidNoticeAbstractUI.aspx?menuIndex=3&amp;refID=7078755&amp;Result=3","7078755")</f>
        <v>0</v>
      </c>
      <c r="B6942" t="s">
        <v>183</v>
      </c>
      <c r="C6942" t="s">
        <v>10133</v>
      </c>
      <c r="D6942" t="s">
        <v>18129</v>
      </c>
      <c r="E6942" t="s">
        <v>24347</v>
      </c>
      <c r="F6942" t="s">
        <v>31362</v>
      </c>
      <c r="G6942" t="s">
        <v>31368</v>
      </c>
      <c r="H6942" t="s">
        <v>15799</v>
      </c>
      <c r="I6942" t="s">
        <v>31403</v>
      </c>
      <c r="J6942" t="s">
        <v>35791</v>
      </c>
      <c r="K6942" t="s">
        <v>40697</v>
      </c>
      <c r="M6942" t="s">
        <v>41121</v>
      </c>
      <c r="N6942" t="s">
        <v>44905</v>
      </c>
      <c r="O6942" t="s">
        <v>44906</v>
      </c>
      <c r="P6942">
        <v>0</v>
      </c>
      <c r="Q6942">
        <v>0</v>
      </c>
      <c r="R6942" t="s">
        <v>44909</v>
      </c>
      <c r="S6942" t="s">
        <v>45060</v>
      </c>
      <c r="T6942" t="s">
        <v>46443</v>
      </c>
      <c r="U6942" t="s">
        <v>52563</v>
      </c>
      <c r="W6942" t="s">
        <v>41121</v>
      </c>
      <c r="X6942" t="s">
        <v>44910</v>
      </c>
    </row>
    <row r="6943" spans="1:24">
      <c r="A6943">
        <f>HYPERLINK("https://www.philgeps.gov.ph/GEPSNONPILOT/Tender/SplashBidNoticeAbstractUI.aspx?menuIndex=3&amp;refID=6968998&amp;Result=3","6968998")</f>
        <v>0</v>
      </c>
      <c r="B6943" t="s">
        <v>117</v>
      </c>
      <c r="C6943" t="s">
        <v>10134</v>
      </c>
      <c r="D6943" t="s">
        <v>18104</v>
      </c>
      <c r="E6943" t="s">
        <v>24348</v>
      </c>
      <c r="F6943" t="s">
        <v>31362</v>
      </c>
      <c r="G6943" t="s">
        <v>31370</v>
      </c>
      <c r="H6943" t="s">
        <v>15799</v>
      </c>
      <c r="I6943" t="s">
        <v>31380</v>
      </c>
      <c r="J6943" t="s">
        <v>35792</v>
      </c>
      <c r="K6943" t="s">
        <v>40662</v>
      </c>
      <c r="M6943" t="s">
        <v>42279</v>
      </c>
      <c r="N6943" t="s">
        <v>44905</v>
      </c>
      <c r="O6943" t="s">
        <v>44906</v>
      </c>
      <c r="P6943">
        <v>0</v>
      </c>
      <c r="Q6943">
        <v>5</v>
      </c>
      <c r="R6943" t="s">
        <v>44910</v>
      </c>
      <c r="S6943" t="s">
        <v>45076</v>
      </c>
      <c r="T6943" t="s">
        <v>46467</v>
      </c>
      <c r="U6943" t="s">
        <v>52564</v>
      </c>
      <c r="W6943" t="s">
        <v>41054</v>
      </c>
      <c r="X6943" t="s">
        <v>45023</v>
      </c>
    </row>
    <row r="6944" spans="1:24">
      <c r="A6944">
        <f>HYPERLINK("https://www.philgeps.gov.ph/GEPSNONPILOT/Tender/SplashBidNoticeAbstractUI.aspx?menuIndex=3&amp;refID=7078797&amp;Result=3","7078797")</f>
        <v>0</v>
      </c>
      <c r="B6944" t="s">
        <v>2120</v>
      </c>
      <c r="C6944" t="s">
        <v>10135</v>
      </c>
      <c r="D6944" t="s">
        <v>18138</v>
      </c>
      <c r="E6944" t="s">
        <v>19313</v>
      </c>
      <c r="F6944" t="s">
        <v>31362</v>
      </c>
      <c r="G6944" t="s">
        <v>31369</v>
      </c>
      <c r="H6944" t="s">
        <v>15799</v>
      </c>
      <c r="I6944" t="s">
        <v>3815</v>
      </c>
      <c r="J6944" t="s">
        <v>35793</v>
      </c>
      <c r="K6944" t="s">
        <v>40672</v>
      </c>
      <c r="M6944" t="s">
        <v>43248</v>
      </c>
      <c r="N6944" t="s">
        <v>44905</v>
      </c>
      <c r="O6944" t="s">
        <v>44906</v>
      </c>
      <c r="P6944">
        <v>0</v>
      </c>
      <c r="Q6944">
        <v>0</v>
      </c>
      <c r="R6944" t="s">
        <v>44909</v>
      </c>
      <c r="S6944" t="s">
        <v>45060</v>
      </c>
      <c r="T6944" t="s">
        <v>46400</v>
      </c>
      <c r="U6944" t="s">
        <v>52565</v>
      </c>
      <c r="W6944" t="s">
        <v>43248</v>
      </c>
      <c r="X6944" t="s">
        <v>44910</v>
      </c>
    </row>
    <row r="6945" spans="1:24">
      <c r="A6945">
        <f>HYPERLINK("https://www.philgeps.gov.ph/GEPSNONPILOT/Tender/SplashBidNoticeAbstractUI.aspx?menuIndex=3&amp;refID=7078791&amp;Result=3","7078791")</f>
        <v>0</v>
      </c>
      <c r="B6945" t="s">
        <v>183</v>
      </c>
      <c r="C6945" t="s">
        <v>10136</v>
      </c>
      <c r="D6945" t="s">
        <v>18129</v>
      </c>
      <c r="E6945" t="s">
        <v>24349</v>
      </c>
      <c r="F6945" t="s">
        <v>31362</v>
      </c>
      <c r="G6945" t="s">
        <v>31368</v>
      </c>
      <c r="H6945" t="s">
        <v>15799</v>
      </c>
      <c r="I6945" t="s">
        <v>31404</v>
      </c>
      <c r="J6945" t="s">
        <v>34570</v>
      </c>
      <c r="K6945" t="s">
        <v>40697</v>
      </c>
      <c r="M6945" t="s">
        <v>41121</v>
      </c>
      <c r="N6945" t="s">
        <v>44905</v>
      </c>
      <c r="O6945" t="s">
        <v>44906</v>
      </c>
      <c r="P6945">
        <v>0</v>
      </c>
      <c r="Q6945">
        <v>0</v>
      </c>
      <c r="R6945" t="s">
        <v>44909</v>
      </c>
      <c r="S6945" t="s">
        <v>45060</v>
      </c>
      <c r="T6945" t="s">
        <v>46443</v>
      </c>
      <c r="U6945" t="s">
        <v>47231</v>
      </c>
      <c r="W6945" t="s">
        <v>41121</v>
      </c>
      <c r="X6945" t="s">
        <v>44910</v>
      </c>
    </row>
    <row r="6946" spans="1:24">
      <c r="A6946">
        <f>HYPERLINK("https://www.philgeps.gov.ph/GEPSNONPILOT/Tender/SplashBidNoticeAbstractUI.aspx?menuIndex=3&amp;refID=7078789&amp;Result=3","7078789")</f>
        <v>0</v>
      </c>
      <c r="B6946" t="s">
        <v>183</v>
      </c>
      <c r="C6946" t="s">
        <v>10137</v>
      </c>
      <c r="D6946" t="s">
        <v>18129</v>
      </c>
      <c r="E6946" t="s">
        <v>24350</v>
      </c>
      <c r="F6946" t="s">
        <v>31362</v>
      </c>
      <c r="G6946" t="s">
        <v>31368</v>
      </c>
      <c r="H6946" t="s">
        <v>15799</v>
      </c>
      <c r="I6946" t="s">
        <v>31402</v>
      </c>
      <c r="J6946" t="s">
        <v>35794</v>
      </c>
      <c r="K6946" t="s">
        <v>40697</v>
      </c>
      <c r="M6946" t="s">
        <v>41121</v>
      </c>
      <c r="N6946" t="s">
        <v>44905</v>
      </c>
      <c r="O6946" t="s">
        <v>44906</v>
      </c>
      <c r="P6946">
        <v>0</v>
      </c>
      <c r="Q6946">
        <v>0</v>
      </c>
      <c r="R6946" t="s">
        <v>44909</v>
      </c>
      <c r="S6946" t="s">
        <v>45060</v>
      </c>
      <c r="T6946" t="s">
        <v>46443</v>
      </c>
      <c r="U6946" t="s">
        <v>47231</v>
      </c>
      <c r="W6946" t="s">
        <v>41121</v>
      </c>
      <c r="X6946" t="s">
        <v>44910</v>
      </c>
    </row>
    <row r="6947" spans="1:24">
      <c r="A6947">
        <f>HYPERLINK("https://www.philgeps.gov.ph/GEPSNONPILOT/Tender/SplashBidNoticeAbstractUI.aspx?menuIndex=3&amp;refID=7078774&amp;Result=3","7078774")</f>
        <v>0</v>
      </c>
      <c r="B6947" t="s">
        <v>802</v>
      </c>
      <c r="C6947" t="s">
        <v>10138</v>
      </c>
      <c r="D6947" t="s">
        <v>18103</v>
      </c>
      <c r="E6947" t="s">
        <v>24351</v>
      </c>
      <c r="F6947" t="s">
        <v>31362</v>
      </c>
      <c r="G6947" t="s">
        <v>31368</v>
      </c>
      <c r="H6947" t="s">
        <v>15799</v>
      </c>
      <c r="I6947" t="s">
        <v>31429</v>
      </c>
      <c r="J6947" t="s">
        <v>35795</v>
      </c>
      <c r="K6947" t="s">
        <v>40662</v>
      </c>
      <c r="M6947" t="s">
        <v>43227</v>
      </c>
      <c r="N6947" t="s">
        <v>44905</v>
      </c>
      <c r="O6947" t="s">
        <v>44906</v>
      </c>
      <c r="P6947">
        <v>0</v>
      </c>
      <c r="Q6947">
        <v>2</v>
      </c>
      <c r="R6947" t="s">
        <v>44909</v>
      </c>
      <c r="S6947" t="s">
        <v>45060</v>
      </c>
      <c r="T6947" t="s">
        <v>46411</v>
      </c>
      <c r="U6947" t="s">
        <v>52566</v>
      </c>
      <c r="V6947" t="s">
        <v>59734</v>
      </c>
      <c r="W6947" t="s">
        <v>43227</v>
      </c>
      <c r="X6947" t="s">
        <v>44910</v>
      </c>
    </row>
    <row r="6948" spans="1:24">
      <c r="A6948">
        <f>HYPERLINK("https://www.philgeps.gov.ph/GEPSNONPILOT/Tender/SplashBidNoticeAbstractUI.aspx?menuIndex=3&amp;refID=6941401&amp;Result=3","6941401")</f>
        <v>0</v>
      </c>
      <c r="B6948" t="s">
        <v>2121</v>
      </c>
      <c r="C6948" t="s">
        <v>10139</v>
      </c>
      <c r="D6948" t="s">
        <v>18119</v>
      </c>
      <c r="E6948" t="s">
        <v>24352</v>
      </c>
      <c r="F6948" t="s">
        <v>31362</v>
      </c>
      <c r="G6948" t="s">
        <v>31370</v>
      </c>
      <c r="H6948" t="s">
        <v>15799</v>
      </c>
      <c r="I6948" t="s">
        <v>7719</v>
      </c>
      <c r="J6948" t="s">
        <v>31536</v>
      </c>
      <c r="K6948" t="s">
        <v>40665</v>
      </c>
      <c r="M6948" t="s">
        <v>43249</v>
      </c>
      <c r="N6948" t="s">
        <v>44905</v>
      </c>
      <c r="O6948" t="s">
        <v>44906</v>
      </c>
      <c r="P6948">
        <v>0</v>
      </c>
      <c r="Q6948">
        <v>27</v>
      </c>
      <c r="R6948" t="s">
        <v>44910</v>
      </c>
      <c r="S6948" t="s">
        <v>45076</v>
      </c>
      <c r="T6948" t="s">
        <v>46447</v>
      </c>
      <c r="U6948" t="s">
        <v>52567</v>
      </c>
      <c r="V6948" t="s">
        <v>59111</v>
      </c>
      <c r="W6948" t="s">
        <v>43249</v>
      </c>
      <c r="X6948" t="s">
        <v>44973</v>
      </c>
    </row>
    <row r="6949" spans="1:24">
      <c r="A6949">
        <f>HYPERLINK("https://www.philgeps.gov.ph/GEPSNONPILOT/Tender/SplashBidNoticeAbstractUI.aspx?menuIndex=3&amp;refID=7078786&amp;Result=3","7078786")</f>
        <v>0</v>
      </c>
      <c r="B6949" t="s">
        <v>802</v>
      </c>
      <c r="C6949" t="s">
        <v>10140</v>
      </c>
      <c r="E6949" t="s">
        <v>24353</v>
      </c>
      <c r="F6949" t="s">
        <v>31362</v>
      </c>
      <c r="G6949" t="s">
        <v>31368</v>
      </c>
      <c r="H6949" t="s">
        <v>15799</v>
      </c>
      <c r="I6949" t="s">
        <v>31410</v>
      </c>
      <c r="J6949" t="s">
        <v>35796</v>
      </c>
      <c r="K6949" t="s">
        <v>40662</v>
      </c>
      <c r="M6949" t="s">
        <v>43227</v>
      </c>
      <c r="N6949" t="s">
        <v>44905</v>
      </c>
      <c r="O6949" t="s">
        <v>44906</v>
      </c>
      <c r="P6949">
        <v>0</v>
      </c>
      <c r="Q6949">
        <v>0</v>
      </c>
      <c r="R6949" t="s">
        <v>44909</v>
      </c>
      <c r="S6949" t="s">
        <v>45060</v>
      </c>
      <c r="T6949" t="s">
        <v>46411</v>
      </c>
      <c r="U6949" t="s">
        <v>52568</v>
      </c>
      <c r="V6949" t="s">
        <v>59734</v>
      </c>
      <c r="W6949" t="s">
        <v>43227</v>
      </c>
      <c r="X6949" t="s">
        <v>44910</v>
      </c>
    </row>
    <row r="6950" spans="1:24">
      <c r="A6950">
        <f>HYPERLINK("https://www.philgeps.gov.ph/GEPSNONPILOT/Tender/SplashBidNoticeAbstractUI.aspx?menuIndex=3&amp;refID=7078753&amp;Result=3","7078753")</f>
        <v>0</v>
      </c>
      <c r="B6950" t="s">
        <v>1690</v>
      </c>
      <c r="C6950" t="s">
        <v>10141</v>
      </c>
      <c r="D6950" t="s">
        <v>18108</v>
      </c>
      <c r="E6950" t="s">
        <v>18479</v>
      </c>
      <c r="F6950" t="s">
        <v>31363</v>
      </c>
      <c r="G6950" t="s">
        <v>31370</v>
      </c>
      <c r="H6950" t="s">
        <v>31379</v>
      </c>
      <c r="I6950" t="s">
        <v>31400</v>
      </c>
      <c r="J6950" t="s">
        <v>31564</v>
      </c>
      <c r="K6950" t="s">
        <v>40672</v>
      </c>
      <c r="M6950" t="s">
        <v>42757</v>
      </c>
      <c r="N6950" t="s">
        <v>44905</v>
      </c>
      <c r="O6950" t="s">
        <v>44906</v>
      </c>
      <c r="P6950">
        <v>0</v>
      </c>
      <c r="Q6950">
        <v>0</v>
      </c>
      <c r="R6950" t="s">
        <v>44909</v>
      </c>
      <c r="S6950" t="s">
        <v>45060</v>
      </c>
      <c r="T6950" t="s">
        <v>46427</v>
      </c>
      <c r="U6950" t="s">
        <v>52569</v>
      </c>
      <c r="W6950" t="s">
        <v>42757</v>
      </c>
      <c r="X6950" t="s">
        <v>44910</v>
      </c>
    </row>
    <row r="6951" spans="1:24">
      <c r="A6951">
        <f>HYPERLINK("https://www.philgeps.gov.ph/GEPSNONPILOT/Tender/SplashBidNoticeAbstractUI.aspx?menuIndex=3&amp;refID=7078775&amp;Result=3","7078775")</f>
        <v>0</v>
      </c>
      <c r="B6951" t="s">
        <v>1635</v>
      </c>
      <c r="C6951" t="s">
        <v>10142</v>
      </c>
      <c r="D6951" t="s">
        <v>18136</v>
      </c>
      <c r="E6951" t="s">
        <v>24354</v>
      </c>
      <c r="F6951" t="s">
        <v>31362</v>
      </c>
      <c r="G6951" t="s">
        <v>31369</v>
      </c>
      <c r="H6951" t="s">
        <v>15799</v>
      </c>
      <c r="I6951" t="s">
        <v>31409</v>
      </c>
      <c r="J6951" t="s">
        <v>35797</v>
      </c>
      <c r="K6951" t="s">
        <v>40679</v>
      </c>
      <c r="M6951" t="s">
        <v>42696</v>
      </c>
      <c r="N6951" t="s">
        <v>44905</v>
      </c>
      <c r="O6951" t="s">
        <v>44906</v>
      </c>
      <c r="P6951">
        <v>0</v>
      </c>
      <c r="Q6951">
        <v>3</v>
      </c>
      <c r="R6951" t="s">
        <v>44909</v>
      </c>
      <c r="S6951" t="s">
        <v>45060</v>
      </c>
      <c r="T6951" t="s">
        <v>46607</v>
      </c>
      <c r="U6951" t="s">
        <v>52570</v>
      </c>
      <c r="W6951" t="s">
        <v>44354</v>
      </c>
      <c r="X6951" t="s">
        <v>44910</v>
      </c>
    </row>
    <row r="6952" spans="1:24">
      <c r="A6952">
        <f>HYPERLINK("https://www.philgeps.gov.ph/GEPSNONPILOT/Tender/SplashBidNoticeAbstractUI.aspx?menuIndex=3&amp;refID=7078783&amp;Result=3","7078783")</f>
        <v>0</v>
      </c>
      <c r="B6952" t="s">
        <v>1635</v>
      </c>
      <c r="C6952" t="s">
        <v>10143</v>
      </c>
      <c r="D6952" t="s">
        <v>18136</v>
      </c>
      <c r="E6952" t="s">
        <v>24355</v>
      </c>
      <c r="F6952" t="s">
        <v>31362</v>
      </c>
      <c r="G6952" t="s">
        <v>31369</v>
      </c>
      <c r="H6952" t="s">
        <v>15799</v>
      </c>
      <c r="I6952" t="s">
        <v>31409</v>
      </c>
      <c r="J6952" t="s">
        <v>31611</v>
      </c>
      <c r="K6952" t="s">
        <v>40679</v>
      </c>
      <c r="M6952" t="s">
        <v>42696</v>
      </c>
      <c r="N6952" t="s">
        <v>44905</v>
      </c>
      <c r="O6952" t="s">
        <v>44906</v>
      </c>
      <c r="P6952">
        <v>0</v>
      </c>
      <c r="Q6952">
        <v>2</v>
      </c>
      <c r="R6952" t="s">
        <v>44909</v>
      </c>
      <c r="S6952" t="s">
        <v>45060</v>
      </c>
      <c r="T6952" t="s">
        <v>46607</v>
      </c>
      <c r="U6952" t="s">
        <v>52570</v>
      </c>
      <c r="W6952" t="s">
        <v>44354</v>
      </c>
      <c r="X6952" t="s">
        <v>44910</v>
      </c>
    </row>
    <row r="6953" spans="1:24">
      <c r="A6953">
        <f>HYPERLINK("https://www.philgeps.gov.ph/GEPSNONPILOT/Tender/SplashBidNoticeAbstractUI.aspx?menuIndex=3&amp;refID=7078781&amp;Result=3","7078781")</f>
        <v>0</v>
      </c>
      <c r="B6953" t="s">
        <v>2122</v>
      </c>
      <c r="C6953" t="s">
        <v>10144</v>
      </c>
      <c r="D6953" t="s">
        <v>18100</v>
      </c>
      <c r="E6953" t="s">
        <v>22322</v>
      </c>
      <c r="F6953" t="s">
        <v>31362</v>
      </c>
      <c r="G6953" t="s">
        <v>31368</v>
      </c>
      <c r="H6953" t="s">
        <v>15799</v>
      </c>
      <c r="I6953" t="s">
        <v>31380</v>
      </c>
      <c r="J6953" t="s">
        <v>35798</v>
      </c>
      <c r="K6953" t="s">
        <v>40693</v>
      </c>
      <c r="M6953" t="s">
        <v>43250</v>
      </c>
      <c r="N6953" t="s">
        <v>44905</v>
      </c>
      <c r="O6953" t="s">
        <v>44906</v>
      </c>
      <c r="P6953">
        <v>0</v>
      </c>
      <c r="Q6953">
        <v>4</v>
      </c>
      <c r="R6953" t="s">
        <v>44909</v>
      </c>
      <c r="S6953" t="s">
        <v>45060</v>
      </c>
      <c r="T6953" t="s">
        <v>46393</v>
      </c>
      <c r="U6953" t="s">
        <v>52571</v>
      </c>
      <c r="W6953" t="s">
        <v>43250</v>
      </c>
      <c r="X6953" t="s">
        <v>44910</v>
      </c>
    </row>
    <row r="6954" spans="1:24">
      <c r="A6954">
        <f>HYPERLINK("https://www.philgeps.gov.ph/GEPSNONPILOT/Tender/SplashBidNoticeAbstractUI.aspx?menuIndex=3&amp;refID=7078787&amp;Result=3","7078787")</f>
        <v>0</v>
      </c>
      <c r="B6954" t="s">
        <v>1637</v>
      </c>
      <c r="C6954" t="s">
        <v>10145</v>
      </c>
      <c r="D6954" t="s">
        <v>18108</v>
      </c>
      <c r="E6954" t="s">
        <v>24356</v>
      </c>
      <c r="F6954" t="s">
        <v>31362</v>
      </c>
      <c r="G6954" t="s">
        <v>31369</v>
      </c>
      <c r="H6954" t="s">
        <v>15799</v>
      </c>
      <c r="I6954" t="s">
        <v>31422</v>
      </c>
      <c r="J6954" t="s">
        <v>31536</v>
      </c>
      <c r="K6954" t="s">
        <v>40666</v>
      </c>
      <c r="M6954" t="s">
        <v>42698</v>
      </c>
      <c r="N6954" t="s">
        <v>44905</v>
      </c>
      <c r="O6954" t="s">
        <v>44906</v>
      </c>
      <c r="P6954">
        <v>0</v>
      </c>
      <c r="Q6954">
        <v>3</v>
      </c>
      <c r="R6954" t="s">
        <v>44909</v>
      </c>
      <c r="S6954" t="s">
        <v>45060</v>
      </c>
      <c r="T6954" t="s">
        <v>46593</v>
      </c>
      <c r="U6954" t="s">
        <v>52572</v>
      </c>
      <c r="W6954" t="s">
        <v>60903</v>
      </c>
      <c r="X6954" t="s">
        <v>44910</v>
      </c>
    </row>
    <row r="6955" spans="1:24">
      <c r="A6955">
        <f>HYPERLINK("https://www.philgeps.gov.ph/GEPSNONPILOT/Tender/SplashBidNoticeAbstractUI.aspx?menuIndex=3&amp;refID=7078800&amp;Result=3","7078800")</f>
        <v>0</v>
      </c>
      <c r="B6955" t="s">
        <v>2123</v>
      </c>
      <c r="C6955" t="s">
        <v>10146</v>
      </c>
      <c r="D6955" t="s">
        <v>18136</v>
      </c>
      <c r="E6955" t="s">
        <v>24357</v>
      </c>
      <c r="F6955" t="s">
        <v>31362</v>
      </c>
      <c r="G6955" t="s">
        <v>31369</v>
      </c>
      <c r="H6955" t="s">
        <v>15799</v>
      </c>
      <c r="I6955" t="s">
        <v>3815</v>
      </c>
      <c r="J6955" t="s">
        <v>35799</v>
      </c>
      <c r="K6955" t="s">
        <v>40665</v>
      </c>
      <c r="M6955" t="s">
        <v>43251</v>
      </c>
      <c r="N6955" t="s">
        <v>44905</v>
      </c>
      <c r="O6955" t="s">
        <v>44906</v>
      </c>
      <c r="P6955">
        <v>0</v>
      </c>
      <c r="Q6955">
        <v>0</v>
      </c>
      <c r="R6955" t="s">
        <v>44909</v>
      </c>
      <c r="S6955" t="s">
        <v>45060</v>
      </c>
      <c r="T6955" t="s">
        <v>46559</v>
      </c>
      <c r="U6955" t="s">
        <v>52573</v>
      </c>
      <c r="W6955" t="s">
        <v>43251</v>
      </c>
      <c r="X6955" t="s">
        <v>44910</v>
      </c>
    </row>
    <row r="6956" spans="1:24">
      <c r="A6956">
        <f>HYPERLINK("https://www.philgeps.gov.ph/GEPSNONPILOT/Tender/SplashBidNoticeAbstractUI.aspx?menuIndex=3&amp;refID=7078780&amp;Result=3","7078780")</f>
        <v>0</v>
      </c>
      <c r="B6956" t="s">
        <v>1635</v>
      </c>
      <c r="C6956" t="s">
        <v>10147</v>
      </c>
      <c r="D6956" t="s">
        <v>18136</v>
      </c>
      <c r="E6956" t="s">
        <v>24358</v>
      </c>
      <c r="F6956" t="s">
        <v>31362</v>
      </c>
      <c r="G6956" t="s">
        <v>31369</v>
      </c>
      <c r="H6956" t="s">
        <v>15799</v>
      </c>
      <c r="I6956" t="s">
        <v>31409</v>
      </c>
      <c r="J6956" t="s">
        <v>33446</v>
      </c>
      <c r="K6956" t="s">
        <v>40679</v>
      </c>
      <c r="M6956" t="s">
        <v>42696</v>
      </c>
      <c r="N6956" t="s">
        <v>44905</v>
      </c>
      <c r="O6956" t="s">
        <v>44906</v>
      </c>
      <c r="P6956">
        <v>0</v>
      </c>
      <c r="Q6956">
        <v>3</v>
      </c>
      <c r="R6956" t="s">
        <v>44909</v>
      </c>
      <c r="S6956" t="s">
        <v>45060</v>
      </c>
      <c r="T6956" t="s">
        <v>46607</v>
      </c>
      <c r="U6956" t="s">
        <v>52570</v>
      </c>
      <c r="W6956" t="s">
        <v>44354</v>
      </c>
      <c r="X6956" t="s">
        <v>44910</v>
      </c>
    </row>
    <row r="6957" spans="1:24">
      <c r="A6957">
        <f>HYPERLINK("https://www.philgeps.gov.ph/GEPSNONPILOT/Tender/SplashBidNoticeAbstractUI.aspx?menuIndex=3&amp;refID=7078760&amp;Result=3","7078760")</f>
        <v>0</v>
      </c>
      <c r="B6957" t="s">
        <v>1006</v>
      </c>
      <c r="C6957" t="s">
        <v>10148</v>
      </c>
      <c r="D6957" t="s">
        <v>18111</v>
      </c>
      <c r="E6957" t="s">
        <v>24320</v>
      </c>
      <c r="F6957" t="s">
        <v>31362</v>
      </c>
      <c r="G6957" t="s">
        <v>31370</v>
      </c>
      <c r="H6957" t="s">
        <v>15799</v>
      </c>
      <c r="I6957" t="s">
        <v>31385</v>
      </c>
      <c r="J6957" t="s">
        <v>35800</v>
      </c>
      <c r="K6957" t="s">
        <v>40662</v>
      </c>
      <c r="M6957" t="s">
        <v>42003</v>
      </c>
      <c r="N6957" t="s">
        <v>44905</v>
      </c>
      <c r="O6957" t="s">
        <v>44906</v>
      </c>
      <c r="P6957">
        <v>0</v>
      </c>
      <c r="Q6957">
        <v>2</v>
      </c>
      <c r="R6957" t="s">
        <v>44909</v>
      </c>
      <c r="S6957" t="s">
        <v>45060</v>
      </c>
      <c r="T6957" t="s">
        <v>46400</v>
      </c>
      <c r="U6957" t="s">
        <v>52574</v>
      </c>
      <c r="W6957" t="s">
        <v>42003</v>
      </c>
      <c r="X6957" t="s">
        <v>44910</v>
      </c>
    </row>
    <row r="6958" spans="1:24">
      <c r="A6958">
        <f>HYPERLINK("https://www.philgeps.gov.ph/GEPSNONPILOT/Tender/SplashBidNoticeAbstractUI.aspx?menuIndex=3&amp;refID=7017188-2&amp;Result=3","7017188-2")</f>
        <v>0</v>
      </c>
      <c r="B6958" t="s">
        <v>1213</v>
      </c>
      <c r="C6958" t="s">
        <v>10149</v>
      </c>
      <c r="D6958" t="s">
        <v>18158</v>
      </c>
      <c r="E6958" t="s">
        <v>24359</v>
      </c>
      <c r="F6958" t="s">
        <v>31362</v>
      </c>
      <c r="G6958" t="s">
        <v>31369</v>
      </c>
      <c r="H6958" t="s">
        <v>31377</v>
      </c>
      <c r="I6958" t="s">
        <v>31377</v>
      </c>
      <c r="J6958" t="s">
        <v>31611</v>
      </c>
      <c r="K6958" t="s">
        <v>40675</v>
      </c>
      <c r="M6958" t="s">
        <v>42226</v>
      </c>
      <c r="N6958" t="s">
        <v>44905</v>
      </c>
      <c r="O6958" t="s">
        <v>44906</v>
      </c>
      <c r="P6958">
        <v>0</v>
      </c>
      <c r="Q6958">
        <v>1</v>
      </c>
      <c r="R6958" t="s">
        <v>44910</v>
      </c>
      <c r="S6958" t="s">
        <v>45076</v>
      </c>
      <c r="T6958" t="s">
        <v>46520</v>
      </c>
      <c r="U6958" t="s">
        <v>52575</v>
      </c>
      <c r="W6958" t="s">
        <v>42226</v>
      </c>
      <c r="X6958" t="s">
        <v>44911</v>
      </c>
    </row>
    <row r="6959" spans="1:24">
      <c r="A6959">
        <f>HYPERLINK("https://www.philgeps.gov.ph/GEPSNONPILOT/Tender/SplashBidNoticeAbstractUI.aspx?menuIndex=3&amp;refID=7039425-2&amp;Result=3","7039425-2")</f>
        <v>0</v>
      </c>
      <c r="B6959" t="s">
        <v>2124</v>
      </c>
      <c r="C6959" t="s">
        <v>10150</v>
      </c>
      <c r="D6959" t="s">
        <v>18144</v>
      </c>
      <c r="E6959" t="s">
        <v>24360</v>
      </c>
      <c r="F6959" t="s">
        <v>31362</v>
      </c>
      <c r="G6959" t="s">
        <v>31369</v>
      </c>
      <c r="H6959" t="s">
        <v>31377</v>
      </c>
      <c r="I6959" t="s">
        <v>31377</v>
      </c>
      <c r="J6959" t="s">
        <v>35801</v>
      </c>
      <c r="K6959" t="s">
        <v>40757</v>
      </c>
      <c r="M6959" t="s">
        <v>43252</v>
      </c>
      <c r="N6959" t="s">
        <v>44905</v>
      </c>
      <c r="O6959" t="s">
        <v>44906</v>
      </c>
      <c r="P6959">
        <v>0</v>
      </c>
      <c r="Q6959">
        <v>2</v>
      </c>
      <c r="R6959" t="s">
        <v>44910</v>
      </c>
      <c r="S6959" t="s">
        <v>45076</v>
      </c>
      <c r="T6959" t="s">
        <v>46481</v>
      </c>
      <c r="U6959" t="s">
        <v>52576</v>
      </c>
      <c r="V6959" t="s">
        <v>59744</v>
      </c>
      <c r="W6959" t="s">
        <v>43252</v>
      </c>
      <c r="X6959" t="s">
        <v>44911</v>
      </c>
    </row>
    <row r="6960" spans="1:24">
      <c r="A6960">
        <f>HYPERLINK("https://www.philgeps.gov.ph/GEPSNONPILOT/Tender/SplashBidNoticeAbstractUI.aspx?menuIndex=3&amp;refID=7078788&amp;Result=3","7078788")</f>
        <v>0</v>
      </c>
      <c r="B6960" t="s">
        <v>1006</v>
      </c>
      <c r="C6960" t="s">
        <v>5147</v>
      </c>
      <c r="D6960" t="s">
        <v>18111</v>
      </c>
      <c r="E6960" t="s">
        <v>24320</v>
      </c>
      <c r="F6960" t="s">
        <v>31362</v>
      </c>
      <c r="G6960" t="s">
        <v>31370</v>
      </c>
      <c r="H6960" t="s">
        <v>15799</v>
      </c>
      <c r="I6960" t="s">
        <v>7090</v>
      </c>
      <c r="J6960" t="s">
        <v>35802</v>
      </c>
      <c r="K6960" t="s">
        <v>40662</v>
      </c>
      <c r="M6960" t="s">
        <v>42003</v>
      </c>
      <c r="N6960" t="s">
        <v>44905</v>
      </c>
      <c r="O6960" t="s">
        <v>44906</v>
      </c>
      <c r="P6960">
        <v>0</v>
      </c>
      <c r="Q6960">
        <v>2</v>
      </c>
      <c r="R6960" t="s">
        <v>44909</v>
      </c>
      <c r="S6960" t="s">
        <v>45060</v>
      </c>
      <c r="T6960" t="s">
        <v>46400</v>
      </c>
      <c r="U6960" t="s">
        <v>52577</v>
      </c>
      <c r="W6960" t="s">
        <v>42003</v>
      </c>
      <c r="X6960" t="s">
        <v>44910</v>
      </c>
    </row>
    <row r="6961" spans="1:24">
      <c r="A6961">
        <f>HYPERLINK("https://www.philgeps.gov.ph/GEPSNONPILOT/Tender/SplashBidNoticeAbstractUI.aspx?menuIndex=3&amp;refID=7064715&amp;Result=3","7064715")</f>
        <v>0</v>
      </c>
      <c r="B6961" t="s">
        <v>436</v>
      </c>
      <c r="C6961" t="s">
        <v>10151</v>
      </c>
      <c r="D6961" t="s">
        <v>18158</v>
      </c>
      <c r="E6961" t="s">
        <v>22975</v>
      </c>
      <c r="F6961" t="s">
        <v>31362</v>
      </c>
      <c r="G6961" t="s">
        <v>31369</v>
      </c>
      <c r="H6961" t="s">
        <v>15799</v>
      </c>
      <c r="I6961" t="s">
        <v>31409</v>
      </c>
      <c r="J6961" t="s">
        <v>31542</v>
      </c>
      <c r="K6961" t="s">
        <v>40665</v>
      </c>
      <c r="L6961" t="s">
        <v>436</v>
      </c>
      <c r="M6961" t="s">
        <v>41388</v>
      </c>
      <c r="N6961" t="s">
        <v>44905</v>
      </c>
      <c r="O6961" t="s">
        <v>44906</v>
      </c>
      <c r="P6961">
        <v>0</v>
      </c>
      <c r="Q6961">
        <v>4</v>
      </c>
      <c r="R6961" t="s">
        <v>44910</v>
      </c>
      <c r="S6961" t="s">
        <v>45076</v>
      </c>
      <c r="T6961" t="s">
        <v>46467</v>
      </c>
      <c r="U6961" t="s">
        <v>52578</v>
      </c>
      <c r="V6961" t="s">
        <v>55485</v>
      </c>
      <c r="W6961" t="s">
        <v>41388</v>
      </c>
      <c r="X6961" t="s">
        <v>44916</v>
      </c>
    </row>
    <row r="6962" spans="1:24">
      <c r="A6962">
        <f>HYPERLINK("https://www.philgeps.gov.ph/GEPSNONPILOT/Tender/SplashBidNoticeAbstractUI.aspx?menuIndex=3&amp;refID=7064173&amp;Result=3","7064173")</f>
        <v>0</v>
      </c>
      <c r="B6962" t="s">
        <v>2125</v>
      </c>
      <c r="C6962" t="s">
        <v>10152</v>
      </c>
      <c r="D6962" t="s">
        <v>18108</v>
      </c>
      <c r="E6962" t="s">
        <v>24361</v>
      </c>
      <c r="F6962" t="s">
        <v>31362</v>
      </c>
      <c r="G6962" t="s">
        <v>31368</v>
      </c>
      <c r="H6962" t="s">
        <v>15799</v>
      </c>
      <c r="I6962" t="s">
        <v>31384</v>
      </c>
      <c r="J6962" t="s">
        <v>35803</v>
      </c>
      <c r="K6962" t="s">
        <v>40665</v>
      </c>
      <c r="M6962" t="s">
        <v>43253</v>
      </c>
      <c r="N6962" t="s">
        <v>44905</v>
      </c>
      <c r="O6962" t="s">
        <v>44906</v>
      </c>
      <c r="P6962">
        <v>0</v>
      </c>
      <c r="Q6962">
        <v>14</v>
      </c>
      <c r="R6962" t="s">
        <v>44910</v>
      </c>
      <c r="S6962" t="s">
        <v>45076</v>
      </c>
      <c r="T6962" t="s">
        <v>46409</v>
      </c>
      <c r="U6962" t="s">
        <v>52579</v>
      </c>
      <c r="W6962" t="s">
        <v>43253</v>
      </c>
      <c r="X6962" t="s">
        <v>44917</v>
      </c>
    </row>
    <row r="6963" spans="1:24">
      <c r="A6963">
        <f>HYPERLINK("https://www.philgeps.gov.ph/GEPSNONPILOT/Tender/SplashBidNoticeAbstractUI.aspx?menuIndex=3&amp;refID=7062193&amp;Result=3","7062193")</f>
        <v>0</v>
      </c>
      <c r="B6963" t="s">
        <v>2126</v>
      </c>
      <c r="C6963" t="s">
        <v>10153</v>
      </c>
      <c r="D6963" t="s">
        <v>18104</v>
      </c>
      <c r="E6963" t="s">
        <v>24362</v>
      </c>
      <c r="F6963" t="s">
        <v>31362</v>
      </c>
      <c r="G6963" t="s">
        <v>31369</v>
      </c>
      <c r="H6963" t="s">
        <v>15799</v>
      </c>
      <c r="I6963" t="s">
        <v>31412</v>
      </c>
      <c r="J6963" t="s">
        <v>35804</v>
      </c>
      <c r="K6963" t="s">
        <v>40665</v>
      </c>
      <c r="M6963" t="s">
        <v>43254</v>
      </c>
      <c r="N6963" t="s">
        <v>44905</v>
      </c>
      <c r="O6963" t="s">
        <v>44906</v>
      </c>
      <c r="P6963">
        <v>0</v>
      </c>
      <c r="Q6963">
        <v>2</v>
      </c>
      <c r="R6963" t="s">
        <v>44910</v>
      </c>
      <c r="S6963" t="s">
        <v>45076</v>
      </c>
      <c r="T6963" t="s">
        <v>46435</v>
      </c>
      <c r="U6963" t="s">
        <v>52580</v>
      </c>
      <c r="V6963" t="s">
        <v>59745</v>
      </c>
      <c r="W6963" t="s">
        <v>43254</v>
      </c>
      <c r="X6963" t="s">
        <v>44917</v>
      </c>
    </row>
    <row r="6964" spans="1:24">
      <c r="A6964">
        <f>HYPERLINK("https://www.philgeps.gov.ph/GEPSNONPILOT/Tender/SplashBidNoticeAbstractUI.aspx?menuIndex=3&amp;refID=7061539&amp;Result=3","7061539")</f>
        <v>0</v>
      </c>
      <c r="B6964" t="s">
        <v>2127</v>
      </c>
      <c r="C6964" t="s">
        <v>3823</v>
      </c>
      <c r="D6964" t="s">
        <v>18143</v>
      </c>
      <c r="E6964" t="s">
        <v>21755</v>
      </c>
      <c r="F6964" t="s">
        <v>31362</v>
      </c>
      <c r="G6964" t="s">
        <v>31369</v>
      </c>
      <c r="H6964" t="s">
        <v>15799</v>
      </c>
      <c r="I6964" t="s">
        <v>13635</v>
      </c>
      <c r="J6964" t="s">
        <v>35805</v>
      </c>
      <c r="K6964" t="s">
        <v>40697</v>
      </c>
      <c r="M6964" t="s">
        <v>43255</v>
      </c>
      <c r="N6964" t="s">
        <v>44905</v>
      </c>
      <c r="O6964" t="s">
        <v>44906</v>
      </c>
      <c r="P6964">
        <v>0</v>
      </c>
      <c r="Q6964">
        <v>0</v>
      </c>
      <c r="R6964" t="s">
        <v>44910</v>
      </c>
      <c r="S6964" t="s">
        <v>45076</v>
      </c>
      <c r="T6964" t="s">
        <v>46447</v>
      </c>
      <c r="U6964" t="s">
        <v>52581</v>
      </c>
      <c r="W6964" t="s">
        <v>43255</v>
      </c>
      <c r="X6964" t="s">
        <v>44918</v>
      </c>
    </row>
    <row r="6965" spans="1:24">
      <c r="A6965">
        <f>HYPERLINK("https://www.philgeps.gov.ph/GEPSNONPILOT/Tender/SplashBidNoticeAbstractUI.aspx?menuIndex=3&amp;refID=7078782&amp;Result=3","7078782")</f>
        <v>0</v>
      </c>
      <c r="B6965" t="s">
        <v>1215</v>
      </c>
      <c r="C6965" t="s">
        <v>10154</v>
      </c>
      <c r="D6965" t="s">
        <v>18107</v>
      </c>
      <c r="E6965" t="s">
        <v>24363</v>
      </c>
      <c r="F6965" t="s">
        <v>31362</v>
      </c>
      <c r="G6965" t="s">
        <v>31368</v>
      </c>
      <c r="H6965" t="s">
        <v>15799</v>
      </c>
      <c r="I6965" t="s">
        <v>31412</v>
      </c>
      <c r="J6965" t="s">
        <v>35806</v>
      </c>
      <c r="K6965" t="s">
        <v>40665</v>
      </c>
      <c r="M6965" t="s">
        <v>42228</v>
      </c>
      <c r="N6965" t="s">
        <v>44905</v>
      </c>
      <c r="O6965" t="s">
        <v>44906</v>
      </c>
      <c r="P6965">
        <v>0</v>
      </c>
      <c r="Q6965">
        <v>4</v>
      </c>
      <c r="R6965" t="s">
        <v>44909</v>
      </c>
      <c r="S6965" t="s">
        <v>45060</v>
      </c>
      <c r="T6965" t="s">
        <v>46432</v>
      </c>
      <c r="U6965" t="s">
        <v>52582</v>
      </c>
      <c r="W6965" t="s">
        <v>42228</v>
      </c>
      <c r="X6965" t="s">
        <v>44910</v>
      </c>
    </row>
    <row r="6966" spans="1:24">
      <c r="A6966">
        <f>HYPERLINK("https://www.philgeps.gov.ph/GEPSNONPILOT/Tender/SplashBidNoticeAbstractUI.aspx?menuIndex=3&amp;refID=7078779&amp;Result=3","7078779")</f>
        <v>0</v>
      </c>
      <c r="B6966" t="s">
        <v>183</v>
      </c>
      <c r="C6966" t="s">
        <v>10155</v>
      </c>
      <c r="D6966" t="s">
        <v>18129</v>
      </c>
      <c r="E6966" t="s">
        <v>24364</v>
      </c>
      <c r="F6966" t="s">
        <v>31362</v>
      </c>
      <c r="G6966" t="s">
        <v>31371</v>
      </c>
      <c r="H6966" t="s">
        <v>15799</v>
      </c>
      <c r="I6966" t="s">
        <v>31383</v>
      </c>
      <c r="J6966" t="s">
        <v>35807</v>
      </c>
      <c r="K6966" t="s">
        <v>40697</v>
      </c>
      <c r="M6966" t="s">
        <v>41121</v>
      </c>
      <c r="N6966" t="s">
        <v>44905</v>
      </c>
      <c r="O6966" t="s">
        <v>44906</v>
      </c>
      <c r="P6966">
        <v>0</v>
      </c>
      <c r="Q6966">
        <v>0</v>
      </c>
      <c r="R6966" t="s">
        <v>44909</v>
      </c>
      <c r="S6966" t="s">
        <v>45060</v>
      </c>
      <c r="T6966" t="s">
        <v>46443</v>
      </c>
      <c r="U6966" t="s">
        <v>47231</v>
      </c>
      <c r="W6966" t="s">
        <v>41121</v>
      </c>
      <c r="X6966" t="s">
        <v>44910</v>
      </c>
    </row>
    <row r="6967" spans="1:24">
      <c r="A6967">
        <f>HYPERLINK("https://www.philgeps.gov.ph/GEPSNONPILOT/Tender/SplashBidNoticeAbstractUI.aspx?menuIndex=3&amp;refID=7060989&amp;Result=3","7060989")</f>
        <v>0</v>
      </c>
      <c r="B6967" t="s">
        <v>2128</v>
      </c>
      <c r="C6967" t="s">
        <v>10156</v>
      </c>
      <c r="D6967" t="s">
        <v>18159</v>
      </c>
      <c r="E6967" t="s">
        <v>24365</v>
      </c>
      <c r="F6967" t="s">
        <v>31362</v>
      </c>
      <c r="G6967" t="s">
        <v>31369</v>
      </c>
      <c r="H6967" t="s">
        <v>15799</v>
      </c>
      <c r="I6967" t="s">
        <v>31409</v>
      </c>
      <c r="J6967" t="s">
        <v>31602</v>
      </c>
      <c r="K6967" t="s">
        <v>40666</v>
      </c>
      <c r="M6967" t="s">
        <v>43256</v>
      </c>
      <c r="N6967" t="s">
        <v>44905</v>
      </c>
      <c r="O6967" t="s">
        <v>44906</v>
      </c>
      <c r="P6967">
        <v>0</v>
      </c>
      <c r="Q6967">
        <v>5</v>
      </c>
      <c r="R6967" t="s">
        <v>44910</v>
      </c>
      <c r="S6967" t="s">
        <v>45076</v>
      </c>
      <c r="T6967" t="s">
        <v>46433</v>
      </c>
      <c r="U6967" t="s">
        <v>52583</v>
      </c>
      <c r="W6967" t="s">
        <v>43256</v>
      </c>
      <c r="X6967" t="s">
        <v>44918</v>
      </c>
    </row>
    <row r="6968" spans="1:24">
      <c r="A6968">
        <f>HYPERLINK("https://www.philgeps.gov.ph/GEPSNONPILOT/Tender/SplashBidNoticeAbstractUI.aspx?menuIndex=3&amp;refID=7065035&amp;Result=3","7065035")</f>
        <v>0</v>
      </c>
      <c r="B6968" t="s">
        <v>2129</v>
      </c>
      <c r="C6968" t="s">
        <v>10157</v>
      </c>
      <c r="D6968" t="s">
        <v>18170</v>
      </c>
      <c r="E6968" t="s">
        <v>24366</v>
      </c>
      <c r="F6968" t="s">
        <v>31362</v>
      </c>
      <c r="G6968" t="s">
        <v>31369</v>
      </c>
      <c r="H6968" t="s">
        <v>31378</v>
      </c>
      <c r="I6968" t="s">
        <v>31386</v>
      </c>
      <c r="J6968" t="s">
        <v>31688</v>
      </c>
      <c r="K6968" t="s">
        <v>40682</v>
      </c>
      <c r="M6968" t="s">
        <v>43257</v>
      </c>
      <c r="N6968" t="s">
        <v>44905</v>
      </c>
      <c r="O6968" t="s">
        <v>44906</v>
      </c>
      <c r="P6968">
        <v>0</v>
      </c>
      <c r="Q6968">
        <v>1</v>
      </c>
      <c r="R6968" t="s">
        <v>44910</v>
      </c>
      <c r="S6968" t="s">
        <v>45076</v>
      </c>
      <c r="T6968" t="s">
        <v>46433</v>
      </c>
      <c r="U6968" t="s">
        <v>52584</v>
      </c>
      <c r="W6968" t="s">
        <v>43257</v>
      </c>
      <c r="X6968" t="s">
        <v>44916</v>
      </c>
    </row>
    <row r="6969" spans="1:24">
      <c r="A6969">
        <f>HYPERLINK("https://www.philgeps.gov.ph/GEPSNONPILOT/Tender/SplashBidNoticeAbstractUI.aspx?menuIndex=3&amp;refID=7038288-2&amp;Result=3","7038288-2")</f>
        <v>0</v>
      </c>
      <c r="B6969" t="s">
        <v>2124</v>
      </c>
      <c r="C6969" t="s">
        <v>10158</v>
      </c>
      <c r="D6969" t="s">
        <v>18144</v>
      </c>
      <c r="E6969" t="s">
        <v>24367</v>
      </c>
      <c r="F6969" t="s">
        <v>31362</v>
      </c>
      <c r="G6969" t="s">
        <v>31369</v>
      </c>
      <c r="H6969" t="s">
        <v>31377</v>
      </c>
      <c r="I6969" t="s">
        <v>31377</v>
      </c>
      <c r="J6969" t="s">
        <v>35808</v>
      </c>
      <c r="K6969" t="s">
        <v>40682</v>
      </c>
      <c r="M6969" t="s">
        <v>43252</v>
      </c>
      <c r="N6969" t="s">
        <v>44905</v>
      </c>
      <c r="O6969" t="s">
        <v>44906</v>
      </c>
      <c r="P6969">
        <v>0</v>
      </c>
      <c r="Q6969">
        <v>1</v>
      </c>
      <c r="R6969" t="s">
        <v>44910</v>
      </c>
      <c r="S6969" t="s">
        <v>45076</v>
      </c>
      <c r="T6969" t="s">
        <v>46481</v>
      </c>
      <c r="U6969" t="s">
        <v>52585</v>
      </c>
      <c r="V6969" t="s">
        <v>59746</v>
      </c>
      <c r="W6969" t="s">
        <v>43252</v>
      </c>
      <c r="X6969" t="s">
        <v>44911</v>
      </c>
    </row>
    <row r="6970" spans="1:24">
      <c r="A6970">
        <f>HYPERLINK("https://www.philgeps.gov.ph/GEPSNONPILOT/Tender/SplashBidNoticeAbstractUI.aspx?menuIndex=3&amp;refID=7064906&amp;Result=3","7064906")</f>
        <v>0</v>
      </c>
      <c r="B6970" t="s">
        <v>2129</v>
      </c>
      <c r="C6970" t="s">
        <v>10159</v>
      </c>
      <c r="D6970" t="s">
        <v>18170</v>
      </c>
      <c r="E6970" t="s">
        <v>24368</v>
      </c>
      <c r="F6970" t="s">
        <v>31362</v>
      </c>
      <c r="G6970" t="s">
        <v>31369</v>
      </c>
      <c r="H6970" t="s">
        <v>31378</v>
      </c>
      <c r="I6970" t="s">
        <v>31386</v>
      </c>
      <c r="J6970" t="s">
        <v>35809</v>
      </c>
      <c r="K6970" t="s">
        <v>40679</v>
      </c>
      <c r="M6970" t="s">
        <v>43257</v>
      </c>
      <c r="N6970" t="s">
        <v>44905</v>
      </c>
      <c r="O6970" t="s">
        <v>44906</v>
      </c>
      <c r="P6970">
        <v>0</v>
      </c>
      <c r="Q6970">
        <v>1</v>
      </c>
      <c r="R6970" t="s">
        <v>44910</v>
      </c>
      <c r="S6970" t="s">
        <v>45076</v>
      </c>
      <c r="T6970" t="s">
        <v>46433</v>
      </c>
      <c r="U6970" t="s">
        <v>52586</v>
      </c>
      <c r="W6970" t="s">
        <v>43257</v>
      </c>
      <c r="X6970" t="s">
        <v>44916</v>
      </c>
    </row>
    <row r="6971" spans="1:24">
      <c r="A6971">
        <f>HYPERLINK("https://www.philgeps.gov.ph/GEPSNONPILOT/Tender/SplashBidNoticeAbstractUI.aspx?menuIndex=3&amp;refID=7064867&amp;Result=3","7064867")</f>
        <v>0</v>
      </c>
      <c r="B6971" t="s">
        <v>2129</v>
      </c>
      <c r="C6971" t="s">
        <v>10160</v>
      </c>
      <c r="D6971" t="s">
        <v>18170</v>
      </c>
      <c r="E6971" t="s">
        <v>24369</v>
      </c>
      <c r="F6971" t="s">
        <v>31362</v>
      </c>
      <c r="G6971" t="s">
        <v>31369</v>
      </c>
      <c r="H6971" t="s">
        <v>31378</v>
      </c>
      <c r="I6971" t="s">
        <v>31386</v>
      </c>
      <c r="J6971" t="s">
        <v>35810</v>
      </c>
      <c r="K6971" t="s">
        <v>40694</v>
      </c>
      <c r="M6971" t="s">
        <v>43257</v>
      </c>
      <c r="N6971" t="s">
        <v>44905</v>
      </c>
      <c r="O6971" t="s">
        <v>44906</v>
      </c>
      <c r="P6971">
        <v>0</v>
      </c>
      <c r="Q6971">
        <v>1</v>
      </c>
      <c r="R6971" t="s">
        <v>44910</v>
      </c>
      <c r="S6971" t="s">
        <v>45076</v>
      </c>
      <c r="T6971" t="s">
        <v>46433</v>
      </c>
      <c r="U6971" t="s">
        <v>52587</v>
      </c>
      <c r="W6971" t="s">
        <v>43257</v>
      </c>
      <c r="X6971" t="s">
        <v>44916</v>
      </c>
    </row>
    <row r="6972" spans="1:24">
      <c r="A6972">
        <f>HYPERLINK("https://www.philgeps.gov.ph/GEPSNONPILOT/Tender/SplashBidNoticeAbstractUI.aspx?menuIndex=3&amp;refID=7061685&amp;Result=3","7061685")</f>
        <v>0</v>
      </c>
      <c r="B6972" t="s">
        <v>462</v>
      </c>
      <c r="C6972" t="s">
        <v>10161</v>
      </c>
      <c r="D6972" t="s">
        <v>18150</v>
      </c>
      <c r="E6972" t="s">
        <v>24370</v>
      </c>
      <c r="F6972" t="s">
        <v>31362</v>
      </c>
      <c r="G6972" t="s">
        <v>31368</v>
      </c>
      <c r="H6972" t="s">
        <v>31378</v>
      </c>
      <c r="I6972" t="s">
        <v>31386</v>
      </c>
      <c r="J6972" t="s">
        <v>35811</v>
      </c>
      <c r="K6972" t="s">
        <v>40675</v>
      </c>
      <c r="M6972" t="s">
        <v>41416</v>
      </c>
      <c r="N6972" t="s">
        <v>44905</v>
      </c>
      <c r="O6972" t="s">
        <v>44906</v>
      </c>
      <c r="P6972">
        <v>0</v>
      </c>
      <c r="Q6972">
        <v>0</v>
      </c>
      <c r="R6972" t="s">
        <v>44910</v>
      </c>
      <c r="S6972" t="s">
        <v>45076</v>
      </c>
      <c r="T6972" t="s">
        <v>46742</v>
      </c>
      <c r="U6972" t="s">
        <v>52588</v>
      </c>
      <c r="W6972" t="s">
        <v>60855</v>
      </c>
      <c r="X6972" t="s">
        <v>44918</v>
      </c>
    </row>
    <row r="6973" spans="1:24">
      <c r="A6973">
        <f>HYPERLINK("https://www.philgeps.gov.ph/GEPSNONPILOT/Tender/SplashBidNoticeAbstractUI.aspx?menuIndex=3&amp;refID=7064801&amp;Result=3","7064801")</f>
        <v>0</v>
      </c>
      <c r="B6973" t="s">
        <v>2129</v>
      </c>
      <c r="C6973" t="s">
        <v>10162</v>
      </c>
      <c r="D6973" t="s">
        <v>18170</v>
      </c>
      <c r="E6973" t="s">
        <v>24371</v>
      </c>
      <c r="F6973" t="s">
        <v>31362</v>
      </c>
      <c r="G6973" t="s">
        <v>31369</v>
      </c>
      <c r="H6973" t="s">
        <v>31378</v>
      </c>
      <c r="I6973" t="s">
        <v>31386</v>
      </c>
      <c r="J6973" t="s">
        <v>35812</v>
      </c>
      <c r="K6973" t="s">
        <v>40686</v>
      </c>
      <c r="M6973" t="s">
        <v>43257</v>
      </c>
      <c r="N6973" t="s">
        <v>44905</v>
      </c>
      <c r="O6973" t="s">
        <v>44906</v>
      </c>
      <c r="P6973">
        <v>0</v>
      </c>
      <c r="Q6973">
        <v>2</v>
      </c>
      <c r="R6973" t="s">
        <v>44910</v>
      </c>
      <c r="S6973" t="s">
        <v>45076</v>
      </c>
      <c r="T6973" t="s">
        <v>46433</v>
      </c>
      <c r="U6973" t="s">
        <v>52589</v>
      </c>
      <c r="W6973" t="s">
        <v>43257</v>
      </c>
      <c r="X6973" t="s">
        <v>44916</v>
      </c>
    </row>
    <row r="6974" spans="1:24">
      <c r="A6974">
        <f>HYPERLINK("https://www.philgeps.gov.ph/GEPSNONPILOT/Tender/SplashBidNoticeAbstractUI.aspx?menuIndex=3&amp;refID=7060602&amp;Result=3","7060602")</f>
        <v>0</v>
      </c>
      <c r="B6974" t="s">
        <v>2130</v>
      </c>
      <c r="C6974" t="s">
        <v>10163</v>
      </c>
      <c r="D6974" t="s">
        <v>18132</v>
      </c>
      <c r="E6974" t="s">
        <v>24372</v>
      </c>
      <c r="F6974" t="s">
        <v>31362</v>
      </c>
      <c r="G6974" t="s">
        <v>31369</v>
      </c>
      <c r="H6974" t="s">
        <v>15799</v>
      </c>
      <c r="I6974" t="s">
        <v>31409</v>
      </c>
      <c r="J6974" t="s">
        <v>35813</v>
      </c>
      <c r="K6974" t="s">
        <v>40670</v>
      </c>
      <c r="M6974" t="s">
        <v>43258</v>
      </c>
      <c r="N6974" t="s">
        <v>44905</v>
      </c>
      <c r="O6974" t="s">
        <v>44906</v>
      </c>
      <c r="P6974">
        <v>0</v>
      </c>
      <c r="Q6974">
        <v>4</v>
      </c>
      <c r="R6974" t="s">
        <v>44910</v>
      </c>
      <c r="S6974" t="s">
        <v>45076</v>
      </c>
      <c r="T6974" t="s">
        <v>46559</v>
      </c>
      <c r="U6974" t="s">
        <v>52590</v>
      </c>
      <c r="W6974" t="s">
        <v>43258</v>
      </c>
      <c r="X6974" t="s">
        <v>44918</v>
      </c>
    </row>
    <row r="6975" spans="1:24">
      <c r="A6975">
        <f>HYPERLINK("https://www.philgeps.gov.ph/GEPSNONPILOT/Tender/SplashBidNoticeAbstractUI.aspx?menuIndex=3&amp;refID=7058948&amp;Result=3","7058948")</f>
        <v>0</v>
      </c>
      <c r="B6975" t="s">
        <v>2130</v>
      </c>
      <c r="C6975" t="s">
        <v>10164</v>
      </c>
      <c r="D6975" t="s">
        <v>18132</v>
      </c>
      <c r="E6975" t="s">
        <v>24373</v>
      </c>
      <c r="F6975" t="s">
        <v>31362</v>
      </c>
      <c r="G6975" t="s">
        <v>31369</v>
      </c>
      <c r="H6975" t="s">
        <v>15799</v>
      </c>
      <c r="I6975" t="s">
        <v>31409</v>
      </c>
      <c r="J6975" t="s">
        <v>35814</v>
      </c>
      <c r="K6975" t="s">
        <v>40670</v>
      </c>
      <c r="M6975" t="s">
        <v>43258</v>
      </c>
      <c r="N6975" t="s">
        <v>44905</v>
      </c>
      <c r="O6975" t="s">
        <v>44906</v>
      </c>
      <c r="P6975">
        <v>0</v>
      </c>
      <c r="Q6975">
        <v>2</v>
      </c>
      <c r="R6975" t="s">
        <v>44910</v>
      </c>
      <c r="S6975" t="s">
        <v>45076</v>
      </c>
      <c r="T6975" t="s">
        <v>46559</v>
      </c>
      <c r="U6975" t="s">
        <v>52591</v>
      </c>
      <c r="W6975" t="s">
        <v>43258</v>
      </c>
      <c r="X6975" t="s">
        <v>44918</v>
      </c>
    </row>
    <row r="6976" spans="1:24">
      <c r="A6976">
        <f>HYPERLINK("https://www.philgeps.gov.ph/GEPSNONPILOT/Tender/SplashBidNoticeAbstractUI.aspx?menuIndex=3&amp;refID=7061065&amp;Result=3","7061065")</f>
        <v>0</v>
      </c>
      <c r="B6976" t="s">
        <v>2128</v>
      </c>
      <c r="C6976" t="s">
        <v>10165</v>
      </c>
      <c r="D6976" t="s">
        <v>18159</v>
      </c>
      <c r="E6976" t="s">
        <v>24374</v>
      </c>
      <c r="F6976" t="s">
        <v>31362</v>
      </c>
      <c r="G6976" t="s">
        <v>31369</v>
      </c>
      <c r="H6976" t="s">
        <v>15799</v>
      </c>
      <c r="I6976" t="s">
        <v>31409</v>
      </c>
      <c r="J6976" t="s">
        <v>31615</v>
      </c>
      <c r="K6976" t="s">
        <v>40666</v>
      </c>
      <c r="M6976" t="s">
        <v>43256</v>
      </c>
      <c r="N6976" t="s">
        <v>44905</v>
      </c>
      <c r="O6976" t="s">
        <v>44906</v>
      </c>
      <c r="P6976">
        <v>0</v>
      </c>
      <c r="Q6976">
        <v>3</v>
      </c>
      <c r="R6976" t="s">
        <v>44910</v>
      </c>
      <c r="S6976" t="s">
        <v>45076</v>
      </c>
      <c r="T6976" t="s">
        <v>46433</v>
      </c>
      <c r="U6976" t="s">
        <v>52583</v>
      </c>
      <c r="W6976" t="s">
        <v>43256</v>
      </c>
      <c r="X6976" t="s">
        <v>44918</v>
      </c>
    </row>
    <row r="6977" spans="1:24">
      <c r="A6977">
        <f>HYPERLINK("https://www.philgeps.gov.ph/GEPSNONPILOT/Tender/SplashBidNoticeAbstractUI.aspx?menuIndex=3&amp;refID=7066533&amp;Result=3","7066533")</f>
        <v>0</v>
      </c>
      <c r="B6977" t="s">
        <v>2131</v>
      </c>
      <c r="C6977" t="s">
        <v>10166</v>
      </c>
      <c r="E6977" t="s">
        <v>24375</v>
      </c>
      <c r="F6977" t="s">
        <v>31362</v>
      </c>
      <c r="G6977" t="s">
        <v>31369</v>
      </c>
      <c r="H6977" t="s">
        <v>15799</v>
      </c>
      <c r="I6977" t="s">
        <v>31505</v>
      </c>
      <c r="J6977" t="s">
        <v>35815</v>
      </c>
      <c r="K6977" t="s">
        <v>40678</v>
      </c>
      <c r="M6977" t="s">
        <v>43259</v>
      </c>
      <c r="N6977" t="s">
        <v>44905</v>
      </c>
      <c r="O6977" t="s">
        <v>44906</v>
      </c>
      <c r="P6977">
        <v>0</v>
      </c>
      <c r="Q6977">
        <v>8</v>
      </c>
      <c r="R6977" t="s">
        <v>44910</v>
      </c>
      <c r="S6977" t="s">
        <v>45076</v>
      </c>
      <c r="T6977" t="s">
        <v>46626</v>
      </c>
      <c r="U6977" t="s">
        <v>52592</v>
      </c>
      <c r="W6977" t="s">
        <v>43259</v>
      </c>
      <c r="X6977" t="s">
        <v>44916</v>
      </c>
    </row>
    <row r="6978" spans="1:24">
      <c r="A6978">
        <f>HYPERLINK("https://www.philgeps.gov.ph/GEPSNONPILOT/Tender/SplashBidNoticeAbstractUI.aspx?menuIndex=3&amp;refID=7066156&amp;Result=3","7066156")</f>
        <v>0</v>
      </c>
      <c r="B6978" t="s">
        <v>462</v>
      </c>
      <c r="C6978" t="s">
        <v>10167</v>
      </c>
      <c r="D6978" t="s">
        <v>18150</v>
      </c>
      <c r="E6978" t="s">
        <v>24376</v>
      </c>
      <c r="F6978" t="s">
        <v>31362</v>
      </c>
      <c r="G6978" t="s">
        <v>31368</v>
      </c>
      <c r="H6978" t="s">
        <v>15799</v>
      </c>
      <c r="I6978" t="s">
        <v>7719</v>
      </c>
      <c r="J6978" t="s">
        <v>31969</v>
      </c>
      <c r="K6978" t="s">
        <v>40677</v>
      </c>
      <c r="M6978" t="s">
        <v>41416</v>
      </c>
      <c r="N6978" t="s">
        <v>44905</v>
      </c>
      <c r="O6978" t="s">
        <v>44906</v>
      </c>
      <c r="P6978">
        <v>0</v>
      </c>
      <c r="Q6978">
        <v>5</v>
      </c>
      <c r="R6978" t="s">
        <v>44910</v>
      </c>
      <c r="S6978" t="s">
        <v>45076</v>
      </c>
      <c r="T6978" t="s">
        <v>46743</v>
      </c>
      <c r="U6978" t="s">
        <v>52593</v>
      </c>
      <c r="W6978" t="s">
        <v>60855</v>
      </c>
      <c r="X6978" t="s">
        <v>44916</v>
      </c>
    </row>
    <row r="6979" spans="1:24">
      <c r="A6979">
        <f>HYPERLINK("https://www.philgeps.gov.ph/GEPSNONPILOT/Tender/SplashBidNoticeAbstractUI.aspx?menuIndex=3&amp;refID=7067621&amp;Result=3","7067621")</f>
        <v>0</v>
      </c>
      <c r="B6979" t="s">
        <v>88</v>
      </c>
      <c r="C6979" t="s">
        <v>10168</v>
      </c>
      <c r="D6979" t="s">
        <v>18135</v>
      </c>
      <c r="E6979" t="s">
        <v>24377</v>
      </c>
      <c r="F6979" t="s">
        <v>31362</v>
      </c>
      <c r="G6979" t="s">
        <v>31369</v>
      </c>
      <c r="H6979" t="s">
        <v>15799</v>
      </c>
      <c r="I6979" t="s">
        <v>31409</v>
      </c>
      <c r="J6979" t="s">
        <v>31542</v>
      </c>
      <c r="K6979" t="s">
        <v>40665</v>
      </c>
      <c r="M6979" t="s">
        <v>41025</v>
      </c>
      <c r="N6979" t="s">
        <v>44905</v>
      </c>
      <c r="O6979" t="s">
        <v>44906</v>
      </c>
      <c r="P6979">
        <v>0</v>
      </c>
      <c r="Q6979">
        <v>4</v>
      </c>
      <c r="R6979" t="s">
        <v>44910</v>
      </c>
      <c r="S6979" t="s">
        <v>45076</v>
      </c>
      <c r="T6979" t="s">
        <v>46559</v>
      </c>
      <c r="U6979" t="s">
        <v>52594</v>
      </c>
      <c r="W6979" t="s">
        <v>41025</v>
      </c>
      <c r="X6979" t="s">
        <v>44915</v>
      </c>
    </row>
    <row r="6980" spans="1:24">
      <c r="A6980">
        <f>HYPERLINK("https://www.philgeps.gov.ph/GEPSNONPILOT/Tender/SplashBidNoticeAbstractUI.aspx?menuIndex=3&amp;refID=7063167&amp;Result=3","7063167")</f>
        <v>0</v>
      </c>
      <c r="B6980" t="s">
        <v>375</v>
      </c>
      <c r="C6980" t="s">
        <v>10169</v>
      </c>
      <c r="D6980" t="s">
        <v>18177</v>
      </c>
      <c r="E6980" t="s">
        <v>24378</v>
      </c>
      <c r="F6980" t="s">
        <v>31362</v>
      </c>
      <c r="G6980" t="s">
        <v>31369</v>
      </c>
      <c r="H6980" t="s">
        <v>31378</v>
      </c>
      <c r="I6980" t="s">
        <v>31386</v>
      </c>
      <c r="J6980" t="s">
        <v>35816</v>
      </c>
      <c r="K6980" t="s">
        <v>40665</v>
      </c>
      <c r="M6980" t="s">
        <v>41322</v>
      </c>
      <c r="N6980" t="s">
        <v>44905</v>
      </c>
      <c r="O6980" t="s">
        <v>44906</v>
      </c>
      <c r="P6980">
        <v>0</v>
      </c>
      <c r="Q6980">
        <v>0</v>
      </c>
      <c r="R6980" t="s">
        <v>44910</v>
      </c>
      <c r="S6980" t="s">
        <v>45076</v>
      </c>
      <c r="T6980" t="s">
        <v>46393</v>
      </c>
      <c r="U6980" t="s">
        <v>52595</v>
      </c>
      <c r="W6980" t="s">
        <v>41322</v>
      </c>
      <c r="X6980" t="s">
        <v>44917</v>
      </c>
    </row>
    <row r="6981" spans="1:24">
      <c r="A6981">
        <f>HYPERLINK("https://www.philgeps.gov.ph/GEPSNONPILOT/Tender/SplashBidNoticeAbstractUI.aspx?menuIndex=3&amp;refID=7067044&amp;Result=3","7067044")</f>
        <v>0</v>
      </c>
      <c r="B6981" t="s">
        <v>2129</v>
      </c>
      <c r="C6981" t="s">
        <v>10170</v>
      </c>
      <c r="D6981" t="s">
        <v>18170</v>
      </c>
      <c r="E6981" t="s">
        <v>24379</v>
      </c>
      <c r="F6981" t="s">
        <v>31362</v>
      </c>
      <c r="G6981" t="s">
        <v>31369</v>
      </c>
      <c r="H6981" t="s">
        <v>15799</v>
      </c>
      <c r="I6981" t="s">
        <v>31384</v>
      </c>
      <c r="J6981" t="s">
        <v>35817</v>
      </c>
      <c r="K6981" t="s">
        <v>40665</v>
      </c>
      <c r="M6981" t="s">
        <v>43257</v>
      </c>
      <c r="N6981" t="s">
        <v>44905</v>
      </c>
      <c r="O6981" t="s">
        <v>44906</v>
      </c>
      <c r="P6981">
        <v>0</v>
      </c>
      <c r="Q6981">
        <v>4</v>
      </c>
      <c r="R6981" t="s">
        <v>44910</v>
      </c>
      <c r="S6981" t="s">
        <v>45076</v>
      </c>
      <c r="T6981" t="s">
        <v>46433</v>
      </c>
      <c r="U6981" t="s">
        <v>52596</v>
      </c>
      <c r="W6981" t="s">
        <v>43257</v>
      </c>
      <c r="X6981" t="s">
        <v>44916</v>
      </c>
    </row>
    <row r="6982" spans="1:24">
      <c r="A6982">
        <f>HYPERLINK("https://www.philgeps.gov.ph/GEPSNONPILOT/Tender/SplashBidNoticeAbstractUI.aspx?menuIndex=3&amp;refID=7059597&amp;Result=3","7059597")</f>
        <v>0</v>
      </c>
      <c r="B6982" t="s">
        <v>2132</v>
      </c>
      <c r="C6982" t="s">
        <v>10171</v>
      </c>
      <c r="D6982" t="s">
        <v>18109</v>
      </c>
      <c r="E6982" t="s">
        <v>24380</v>
      </c>
      <c r="F6982" t="s">
        <v>31362</v>
      </c>
      <c r="G6982" t="s">
        <v>31368</v>
      </c>
      <c r="H6982" t="s">
        <v>15799</v>
      </c>
      <c r="I6982" t="s">
        <v>7719</v>
      </c>
      <c r="J6982" t="s">
        <v>31530</v>
      </c>
      <c r="K6982" t="s">
        <v>40662</v>
      </c>
      <c r="M6982" t="s">
        <v>43260</v>
      </c>
      <c r="N6982" t="s">
        <v>44905</v>
      </c>
      <c r="O6982" t="s">
        <v>44906</v>
      </c>
      <c r="P6982">
        <v>0</v>
      </c>
      <c r="Q6982">
        <v>23</v>
      </c>
      <c r="R6982" t="s">
        <v>44910</v>
      </c>
      <c r="S6982" t="s">
        <v>45076</v>
      </c>
      <c r="T6982" t="s">
        <v>46454</v>
      </c>
      <c r="U6982" t="s">
        <v>52597</v>
      </c>
      <c r="V6982" t="s">
        <v>59747</v>
      </c>
      <c r="W6982" t="s">
        <v>43260</v>
      </c>
      <c r="X6982" t="s">
        <v>44918</v>
      </c>
    </row>
    <row r="6983" spans="1:24">
      <c r="A6983">
        <f>HYPERLINK("https://www.philgeps.gov.ph/GEPSNONPILOT/Tender/SplashBidNoticeAbstractUI.aspx?menuIndex=3&amp;refID=7067029&amp;Result=3","7067029")</f>
        <v>0</v>
      </c>
      <c r="B6983" t="s">
        <v>2129</v>
      </c>
      <c r="C6983" t="s">
        <v>10172</v>
      </c>
      <c r="D6983" t="s">
        <v>18170</v>
      </c>
      <c r="E6983" t="s">
        <v>24379</v>
      </c>
      <c r="F6983" t="s">
        <v>31362</v>
      </c>
      <c r="G6983" t="s">
        <v>31369</v>
      </c>
      <c r="H6983" t="s">
        <v>15799</v>
      </c>
      <c r="I6983" t="s">
        <v>31385</v>
      </c>
      <c r="J6983" t="s">
        <v>35818</v>
      </c>
      <c r="K6983" t="s">
        <v>40665</v>
      </c>
      <c r="M6983" t="s">
        <v>43257</v>
      </c>
      <c r="N6983" t="s">
        <v>44905</v>
      </c>
      <c r="O6983" t="s">
        <v>44906</v>
      </c>
      <c r="P6983">
        <v>0</v>
      </c>
      <c r="Q6983">
        <v>2</v>
      </c>
      <c r="R6983" t="s">
        <v>44910</v>
      </c>
      <c r="S6983" t="s">
        <v>45076</v>
      </c>
      <c r="T6983" t="s">
        <v>46433</v>
      </c>
      <c r="U6983" t="s">
        <v>52596</v>
      </c>
      <c r="W6983" t="s">
        <v>43257</v>
      </c>
      <c r="X6983" t="s">
        <v>44916</v>
      </c>
    </row>
    <row r="6984" spans="1:24">
      <c r="A6984">
        <f>HYPERLINK("https://www.philgeps.gov.ph/GEPSNONPILOT/Tender/SplashBidNoticeAbstractUI.aspx?menuIndex=3&amp;refID=7050202&amp;Result=3","7050202")</f>
        <v>0</v>
      </c>
      <c r="B6984" t="s">
        <v>2133</v>
      </c>
      <c r="C6984" t="s">
        <v>10173</v>
      </c>
      <c r="D6984" t="s">
        <v>18108</v>
      </c>
      <c r="E6984" t="s">
        <v>24381</v>
      </c>
      <c r="F6984" t="s">
        <v>31363</v>
      </c>
      <c r="G6984" t="s">
        <v>31369</v>
      </c>
      <c r="H6984" t="s">
        <v>15799</v>
      </c>
      <c r="I6984" t="s">
        <v>3582</v>
      </c>
      <c r="J6984" t="s">
        <v>35819</v>
      </c>
      <c r="K6984" t="s">
        <v>40680</v>
      </c>
      <c r="M6984" t="s">
        <v>43261</v>
      </c>
      <c r="N6984" t="s">
        <v>44905</v>
      </c>
      <c r="O6984" t="s">
        <v>44906</v>
      </c>
      <c r="P6984">
        <v>0</v>
      </c>
      <c r="Q6984">
        <v>1</v>
      </c>
      <c r="R6984" t="s">
        <v>44910</v>
      </c>
      <c r="S6984" t="s">
        <v>45076</v>
      </c>
      <c r="T6984" t="s">
        <v>46391</v>
      </c>
      <c r="U6984" t="s">
        <v>52598</v>
      </c>
      <c r="W6984" t="s">
        <v>43261</v>
      </c>
      <c r="X6984" t="s">
        <v>44923</v>
      </c>
    </row>
    <row r="6985" spans="1:24">
      <c r="A6985">
        <f>HYPERLINK("https://www.philgeps.gov.ph/GEPSNONPILOT/Tender/SplashBidNoticeAbstractUI.aspx?menuIndex=3&amp;refID=7065008&amp;Result=3","7065008")</f>
        <v>0</v>
      </c>
      <c r="B6985" t="s">
        <v>2129</v>
      </c>
      <c r="C6985" t="s">
        <v>10174</v>
      </c>
      <c r="D6985" t="s">
        <v>18170</v>
      </c>
      <c r="E6985" t="s">
        <v>24382</v>
      </c>
      <c r="F6985" t="s">
        <v>31362</v>
      </c>
      <c r="G6985" t="s">
        <v>31369</v>
      </c>
      <c r="H6985" t="s">
        <v>31378</v>
      </c>
      <c r="I6985" t="s">
        <v>31386</v>
      </c>
      <c r="J6985" t="s">
        <v>35820</v>
      </c>
      <c r="K6985" t="s">
        <v>40682</v>
      </c>
      <c r="M6985" t="s">
        <v>43257</v>
      </c>
      <c r="N6985" t="s">
        <v>44905</v>
      </c>
      <c r="O6985" t="s">
        <v>44906</v>
      </c>
      <c r="P6985">
        <v>0</v>
      </c>
      <c r="Q6985">
        <v>1</v>
      </c>
      <c r="R6985" t="s">
        <v>44910</v>
      </c>
      <c r="S6985" t="s">
        <v>45076</v>
      </c>
      <c r="T6985" t="s">
        <v>46433</v>
      </c>
      <c r="U6985" t="s">
        <v>52599</v>
      </c>
      <c r="W6985" t="s">
        <v>43257</v>
      </c>
      <c r="X6985" t="s">
        <v>44916</v>
      </c>
    </row>
    <row r="6986" spans="1:24">
      <c r="A6986">
        <f>HYPERLINK("https://www.philgeps.gov.ph/GEPSNONPILOT/Tender/SplashBidNoticeAbstractUI.aspx?menuIndex=3&amp;refID=7065056&amp;Result=3","7065056")</f>
        <v>0</v>
      </c>
      <c r="B6986" t="s">
        <v>2129</v>
      </c>
      <c r="C6986" t="s">
        <v>10175</v>
      </c>
      <c r="D6986" t="s">
        <v>18170</v>
      </c>
      <c r="E6986" t="s">
        <v>24383</v>
      </c>
      <c r="F6986" t="s">
        <v>31362</v>
      </c>
      <c r="G6986" t="s">
        <v>31369</v>
      </c>
      <c r="H6986" t="s">
        <v>31378</v>
      </c>
      <c r="I6986" t="s">
        <v>31386</v>
      </c>
      <c r="J6986" t="s">
        <v>35821</v>
      </c>
      <c r="K6986" t="s">
        <v>40679</v>
      </c>
      <c r="M6986" t="s">
        <v>43257</v>
      </c>
      <c r="N6986" t="s">
        <v>44905</v>
      </c>
      <c r="O6986" t="s">
        <v>44906</v>
      </c>
      <c r="P6986">
        <v>0</v>
      </c>
      <c r="Q6986">
        <v>1</v>
      </c>
      <c r="R6986" t="s">
        <v>44910</v>
      </c>
      <c r="S6986" t="s">
        <v>45076</v>
      </c>
      <c r="T6986" t="s">
        <v>46433</v>
      </c>
      <c r="U6986" t="s">
        <v>52600</v>
      </c>
      <c r="W6986" t="s">
        <v>43257</v>
      </c>
      <c r="X6986" t="s">
        <v>44916</v>
      </c>
    </row>
    <row r="6987" spans="1:24">
      <c r="A6987">
        <f>HYPERLINK("https://www.philgeps.gov.ph/GEPSNONPILOT/Tender/SplashBidNoticeAbstractUI.aspx?menuIndex=3&amp;refID=7067997&amp;Result=3","7067997")</f>
        <v>0</v>
      </c>
      <c r="B6987" t="s">
        <v>2129</v>
      </c>
      <c r="C6987" t="s">
        <v>10176</v>
      </c>
      <c r="D6987" t="s">
        <v>18170</v>
      </c>
      <c r="E6987" t="s">
        <v>24384</v>
      </c>
      <c r="F6987" t="s">
        <v>31362</v>
      </c>
      <c r="G6987" t="s">
        <v>31369</v>
      </c>
      <c r="H6987" t="s">
        <v>15799</v>
      </c>
      <c r="I6987" t="s">
        <v>31400</v>
      </c>
      <c r="J6987" t="s">
        <v>32754</v>
      </c>
      <c r="K6987" t="s">
        <v>40665</v>
      </c>
      <c r="M6987" t="s">
        <v>43257</v>
      </c>
      <c r="N6987" t="s">
        <v>44905</v>
      </c>
      <c r="O6987" t="s">
        <v>44906</v>
      </c>
      <c r="P6987">
        <v>0</v>
      </c>
      <c r="Q6987">
        <v>0</v>
      </c>
      <c r="R6987" t="s">
        <v>44910</v>
      </c>
      <c r="S6987" t="s">
        <v>45076</v>
      </c>
      <c r="T6987" t="s">
        <v>46433</v>
      </c>
      <c r="U6987" t="s">
        <v>52601</v>
      </c>
      <c r="W6987" t="s">
        <v>43257</v>
      </c>
      <c r="X6987" t="s">
        <v>44915</v>
      </c>
    </row>
    <row r="6988" spans="1:24">
      <c r="A6988">
        <f>HYPERLINK("https://www.philgeps.gov.ph/GEPSNONPILOT/Tender/SplashBidNoticeAbstractUI.aspx?menuIndex=3&amp;refID=7069097&amp;Result=3","7069097")</f>
        <v>0</v>
      </c>
      <c r="B6988" t="s">
        <v>2134</v>
      </c>
      <c r="C6988" t="s">
        <v>10177</v>
      </c>
      <c r="D6988" t="s">
        <v>18101</v>
      </c>
      <c r="E6988" t="s">
        <v>24385</v>
      </c>
      <c r="F6988" t="s">
        <v>31362</v>
      </c>
      <c r="G6988" t="s">
        <v>31369</v>
      </c>
      <c r="H6988" t="s">
        <v>31378</v>
      </c>
      <c r="I6988" t="s">
        <v>31386</v>
      </c>
      <c r="J6988" t="s">
        <v>35822</v>
      </c>
      <c r="K6988" t="s">
        <v>40814</v>
      </c>
      <c r="M6988" t="s">
        <v>43262</v>
      </c>
      <c r="N6988" t="s">
        <v>44905</v>
      </c>
      <c r="O6988" t="s">
        <v>44906</v>
      </c>
      <c r="P6988">
        <v>0</v>
      </c>
      <c r="Q6988">
        <v>1</v>
      </c>
      <c r="R6988" t="s">
        <v>44910</v>
      </c>
      <c r="S6988" t="s">
        <v>45076</v>
      </c>
      <c r="T6988" t="s">
        <v>46744</v>
      </c>
      <c r="U6988" t="s">
        <v>52602</v>
      </c>
      <c r="W6988" t="s">
        <v>43262</v>
      </c>
      <c r="X6988" t="s">
        <v>44915</v>
      </c>
    </row>
    <row r="6989" spans="1:24">
      <c r="A6989">
        <f>HYPERLINK("https://www.philgeps.gov.ph/GEPSNONPILOT/Tender/SplashBidNoticeAbstractUI.aspx?menuIndex=3&amp;refID=7069004&amp;Result=3","7069004")</f>
        <v>0</v>
      </c>
      <c r="B6989" t="s">
        <v>2134</v>
      </c>
      <c r="C6989" t="s">
        <v>10178</v>
      </c>
      <c r="D6989" t="s">
        <v>18101</v>
      </c>
      <c r="E6989" t="s">
        <v>24386</v>
      </c>
      <c r="F6989" t="s">
        <v>31362</v>
      </c>
      <c r="G6989" t="s">
        <v>31369</v>
      </c>
      <c r="H6989" t="s">
        <v>31378</v>
      </c>
      <c r="I6989" t="s">
        <v>31386</v>
      </c>
      <c r="J6989" t="s">
        <v>35823</v>
      </c>
      <c r="K6989" t="s">
        <v>40665</v>
      </c>
      <c r="M6989" t="s">
        <v>43262</v>
      </c>
      <c r="N6989" t="s">
        <v>44905</v>
      </c>
      <c r="O6989" t="s">
        <v>44906</v>
      </c>
      <c r="P6989">
        <v>0</v>
      </c>
      <c r="Q6989">
        <v>1</v>
      </c>
      <c r="R6989" t="s">
        <v>44910</v>
      </c>
      <c r="S6989" t="s">
        <v>45076</v>
      </c>
      <c r="T6989" t="s">
        <v>46744</v>
      </c>
      <c r="U6989" t="s">
        <v>52603</v>
      </c>
      <c r="W6989" t="s">
        <v>43262</v>
      </c>
      <c r="X6989" t="s">
        <v>44915</v>
      </c>
    </row>
    <row r="6990" spans="1:24">
      <c r="A6990">
        <f>HYPERLINK("https://www.philgeps.gov.ph/GEPSNONPILOT/Tender/SplashBidNoticeAbstractUI.aspx?menuIndex=3&amp;refID=7066729&amp;Result=3","7066729")</f>
        <v>0</v>
      </c>
      <c r="B6990" t="s">
        <v>2131</v>
      </c>
      <c r="C6990" t="s">
        <v>10179</v>
      </c>
      <c r="E6990" t="s">
        <v>24387</v>
      </c>
      <c r="F6990" t="s">
        <v>31365</v>
      </c>
      <c r="G6990" t="s">
        <v>31369</v>
      </c>
      <c r="H6990" t="s">
        <v>15799</v>
      </c>
      <c r="I6990" t="s">
        <v>31505</v>
      </c>
      <c r="J6990" t="s">
        <v>35824</v>
      </c>
      <c r="K6990" t="s">
        <v>40684</v>
      </c>
      <c r="M6990" t="s">
        <v>43259</v>
      </c>
      <c r="N6990" t="s">
        <v>44905</v>
      </c>
      <c r="O6990" t="s">
        <v>44906</v>
      </c>
      <c r="Q6990">
        <v>7</v>
      </c>
      <c r="R6990" t="s">
        <v>44910</v>
      </c>
      <c r="S6990" t="s">
        <v>45077</v>
      </c>
      <c r="T6990" t="s">
        <v>46405</v>
      </c>
      <c r="U6990" t="s">
        <v>52592</v>
      </c>
      <c r="W6990" t="s">
        <v>43259</v>
      </c>
      <c r="X6990" t="s">
        <v>44916</v>
      </c>
    </row>
    <row r="6991" spans="1:24">
      <c r="A6991">
        <f>HYPERLINK("https://www.philgeps.gov.ph/GEPSNONPILOT/Tender/SplashBidNoticeAbstractUI.aspx?menuIndex=3&amp;refID=7069103&amp;Result=3","7069103")</f>
        <v>0</v>
      </c>
      <c r="B6991" t="s">
        <v>1317</v>
      </c>
      <c r="C6991" t="s">
        <v>10180</v>
      </c>
      <c r="D6991" t="s">
        <v>18136</v>
      </c>
      <c r="E6991" t="s">
        <v>24388</v>
      </c>
      <c r="F6991" t="s">
        <v>31362</v>
      </c>
      <c r="G6991" t="s">
        <v>31370</v>
      </c>
      <c r="H6991" t="s">
        <v>15799</v>
      </c>
      <c r="I6991" t="s">
        <v>31448</v>
      </c>
      <c r="J6991" t="s">
        <v>31724</v>
      </c>
      <c r="K6991" t="s">
        <v>40665</v>
      </c>
      <c r="M6991" t="s">
        <v>42335</v>
      </c>
      <c r="N6991" t="s">
        <v>44905</v>
      </c>
      <c r="O6991" t="s">
        <v>44906</v>
      </c>
      <c r="P6991">
        <v>0</v>
      </c>
      <c r="Q6991">
        <v>0</v>
      </c>
      <c r="R6991" t="s">
        <v>44910</v>
      </c>
      <c r="S6991" t="s">
        <v>45076</v>
      </c>
      <c r="T6991" t="s">
        <v>46417</v>
      </c>
      <c r="U6991" t="s">
        <v>52604</v>
      </c>
      <c r="W6991" t="s">
        <v>42335</v>
      </c>
      <c r="X6991" t="s">
        <v>44915</v>
      </c>
    </row>
    <row r="6992" spans="1:24">
      <c r="A6992">
        <f>HYPERLINK("https://www.philgeps.gov.ph/GEPSNONPILOT/Tender/SplashBidNoticeAbstractUI.aspx?menuIndex=3&amp;refID=7078784&amp;Result=3","7078784")</f>
        <v>0</v>
      </c>
      <c r="B6992" t="s">
        <v>2135</v>
      </c>
      <c r="C6992" t="s">
        <v>10181</v>
      </c>
      <c r="D6992" t="s">
        <v>18138</v>
      </c>
      <c r="E6992" t="s">
        <v>19313</v>
      </c>
      <c r="F6992" t="s">
        <v>31362</v>
      </c>
      <c r="G6992" t="s">
        <v>31369</v>
      </c>
      <c r="H6992" t="s">
        <v>15799</v>
      </c>
      <c r="I6992" t="s">
        <v>3815</v>
      </c>
      <c r="J6992" t="s">
        <v>35825</v>
      </c>
      <c r="K6992" t="s">
        <v>40672</v>
      </c>
      <c r="M6992" t="s">
        <v>43263</v>
      </c>
      <c r="N6992" t="s">
        <v>44905</v>
      </c>
      <c r="O6992" t="s">
        <v>44906</v>
      </c>
      <c r="P6992">
        <v>0</v>
      </c>
      <c r="Q6992">
        <v>0</v>
      </c>
      <c r="R6992" t="s">
        <v>44909</v>
      </c>
      <c r="S6992" t="s">
        <v>45060</v>
      </c>
      <c r="T6992" t="s">
        <v>46426</v>
      </c>
      <c r="U6992" t="s">
        <v>52605</v>
      </c>
      <c r="W6992" t="s">
        <v>43263</v>
      </c>
      <c r="X6992" t="s">
        <v>44910</v>
      </c>
    </row>
    <row r="6993" spans="1:24">
      <c r="A6993">
        <f>HYPERLINK("https://www.philgeps.gov.ph/GEPSNONPILOT/Tender/SplashBidNoticeAbstractUI.aspx?menuIndex=3&amp;refID=7068073&amp;Result=3","7068073")</f>
        <v>0</v>
      </c>
      <c r="B6993" t="s">
        <v>913</v>
      </c>
      <c r="C6993" t="s">
        <v>10182</v>
      </c>
      <c r="D6993" t="s">
        <v>18176</v>
      </c>
      <c r="E6993" t="s">
        <v>23541</v>
      </c>
      <c r="F6993" t="s">
        <v>31362</v>
      </c>
      <c r="G6993" t="s">
        <v>31369</v>
      </c>
      <c r="H6993" t="s">
        <v>31378</v>
      </c>
      <c r="I6993" t="s">
        <v>31386</v>
      </c>
      <c r="J6993" t="s">
        <v>35826</v>
      </c>
      <c r="K6993" t="s">
        <v>40694</v>
      </c>
      <c r="M6993" t="s">
        <v>41896</v>
      </c>
      <c r="N6993" t="s">
        <v>44905</v>
      </c>
      <c r="O6993" t="s">
        <v>44906</v>
      </c>
      <c r="P6993">
        <v>0</v>
      </c>
      <c r="Q6993">
        <v>1</v>
      </c>
      <c r="R6993" t="s">
        <v>44910</v>
      </c>
      <c r="S6993" t="s">
        <v>45076</v>
      </c>
      <c r="T6993" t="s">
        <v>46464</v>
      </c>
      <c r="U6993" t="s">
        <v>52606</v>
      </c>
      <c r="W6993" t="s">
        <v>41896</v>
      </c>
      <c r="X6993" t="s">
        <v>44915</v>
      </c>
    </row>
    <row r="6994" spans="1:24">
      <c r="A6994">
        <f>HYPERLINK("https://www.philgeps.gov.ph/GEPSNONPILOT/Tender/SplashBidNoticeAbstractUI.aspx?menuIndex=3&amp;refID=7066703&amp;Result=3","7066703")</f>
        <v>0</v>
      </c>
      <c r="B6994" t="s">
        <v>2131</v>
      </c>
      <c r="C6994" t="s">
        <v>10183</v>
      </c>
      <c r="E6994" t="s">
        <v>24389</v>
      </c>
      <c r="F6994" t="s">
        <v>31362</v>
      </c>
      <c r="G6994" t="s">
        <v>31369</v>
      </c>
      <c r="H6994" t="s">
        <v>15799</v>
      </c>
      <c r="I6994" t="s">
        <v>31505</v>
      </c>
      <c r="J6994" t="s">
        <v>35827</v>
      </c>
      <c r="K6994" t="s">
        <v>40678</v>
      </c>
      <c r="M6994" t="s">
        <v>43259</v>
      </c>
      <c r="N6994" t="s">
        <v>44905</v>
      </c>
      <c r="O6994" t="s">
        <v>44906</v>
      </c>
      <c r="Q6994">
        <v>7</v>
      </c>
      <c r="R6994" t="s">
        <v>44910</v>
      </c>
      <c r="S6994" t="s">
        <v>45078</v>
      </c>
      <c r="T6994" t="s">
        <v>46405</v>
      </c>
      <c r="U6994" t="s">
        <v>52592</v>
      </c>
      <c r="W6994" t="s">
        <v>43259</v>
      </c>
      <c r="X6994" t="s">
        <v>44916</v>
      </c>
    </row>
    <row r="6995" spans="1:24">
      <c r="A6995">
        <f>HYPERLINK("https://www.philgeps.gov.ph/GEPSNONPILOT/Tender/SplashBidNoticeAbstractUI.aspx?menuIndex=3&amp;refID=7066628&amp;Result=3","7066628")</f>
        <v>0</v>
      </c>
      <c r="B6995" t="s">
        <v>2131</v>
      </c>
      <c r="C6995" t="s">
        <v>10184</v>
      </c>
      <c r="E6995" t="s">
        <v>24390</v>
      </c>
      <c r="F6995" t="s">
        <v>31362</v>
      </c>
      <c r="G6995" t="s">
        <v>31369</v>
      </c>
      <c r="H6995" t="s">
        <v>15799</v>
      </c>
      <c r="I6995" t="s">
        <v>31505</v>
      </c>
      <c r="J6995" t="s">
        <v>35828</v>
      </c>
      <c r="K6995" t="s">
        <v>40678</v>
      </c>
      <c r="M6995" t="s">
        <v>43259</v>
      </c>
      <c r="N6995" t="s">
        <v>44905</v>
      </c>
      <c r="O6995" t="s">
        <v>44906</v>
      </c>
      <c r="P6995">
        <v>0</v>
      </c>
      <c r="Q6995">
        <v>5</v>
      </c>
      <c r="R6995" t="s">
        <v>44910</v>
      </c>
      <c r="S6995" t="s">
        <v>45076</v>
      </c>
      <c r="T6995" t="s">
        <v>46626</v>
      </c>
      <c r="U6995" t="s">
        <v>52592</v>
      </c>
      <c r="W6995" t="s">
        <v>43259</v>
      </c>
      <c r="X6995" t="s">
        <v>44916</v>
      </c>
    </row>
    <row r="6996" spans="1:24">
      <c r="A6996">
        <f>HYPERLINK("https://www.philgeps.gov.ph/GEPSNONPILOT/Tender/SplashBidNoticeAbstractUI.aspx?menuIndex=3&amp;refID=7068334&amp;Result=3","7068334")</f>
        <v>0</v>
      </c>
      <c r="B6996" t="s">
        <v>2136</v>
      </c>
      <c r="C6996" t="s">
        <v>10185</v>
      </c>
      <c r="D6996" t="s">
        <v>18108</v>
      </c>
      <c r="E6996" t="s">
        <v>24391</v>
      </c>
      <c r="F6996" t="s">
        <v>31362</v>
      </c>
      <c r="G6996" t="s">
        <v>31369</v>
      </c>
      <c r="H6996" t="s">
        <v>15799</v>
      </c>
      <c r="I6996" t="s">
        <v>12925</v>
      </c>
      <c r="J6996" t="s">
        <v>32297</v>
      </c>
      <c r="K6996" t="s">
        <v>40665</v>
      </c>
      <c r="M6996" t="s">
        <v>43264</v>
      </c>
      <c r="N6996" t="s">
        <v>44905</v>
      </c>
      <c r="O6996" t="s">
        <v>44906</v>
      </c>
      <c r="Q6996">
        <v>5</v>
      </c>
      <c r="R6996" t="s">
        <v>44910</v>
      </c>
      <c r="S6996" t="s">
        <v>45079</v>
      </c>
      <c r="T6996" t="s">
        <v>46627</v>
      </c>
      <c r="U6996" t="s">
        <v>52607</v>
      </c>
      <c r="W6996" t="s">
        <v>43264</v>
      </c>
      <c r="X6996" t="s">
        <v>44915</v>
      </c>
    </row>
    <row r="6997" spans="1:24">
      <c r="A6997">
        <f>HYPERLINK("https://www.philgeps.gov.ph/GEPSNONPILOT/Tender/SplashBidNoticeAbstractUI.aspx?menuIndex=3&amp;refID=7068207&amp;Result=3","7068207")</f>
        <v>0</v>
      </c>
      <c r="B6997" t="s">
        <v>2129</v>
      </c>
      <c r="C6997" t="s">
        <v>10186</v>
      </c>
      <c r="D6997" t="s">
        <v>18170</v>
      </c>
      <c r="E6997" t="s">
        <v>24384</v>
      </c>
      <c r="F6997" t="s">
        <v>31362</v>
      </c>
      <c r="G6997" t="s">
        <v>31369</v>
      </c>
      <c r="H6997" t="s">
        <v>15799</v>
      </c>
      <c r="I6997" t="s">
        <v>31452</v>
      </c>
      <c r="J6997" t="s">
        <v>32391</v>
      </c>
      <c r="K6997" t="s">
        <v>40665</v>
      </c>
      <c r="M6997" t="s">
        <v>43257</v>
      </c>
      <c r="N6997" t="s">
        <v>44905</v>
      </c>
      <c r="O6997" t="s">
        <v>44906</v>
      </c>
      <c r="P6997">
        <v>0</v>
      </c>
      <c r="Q6997">
        <v>0</v>
      </c>
      <c r="R6997" t="s">
        <v>44910</v>
      </c>
      <c r="S6997" t="s">
        <v>45076</v>
      </c>
      <c r="T6997" t="s">
        <v>46433</v>
      </c>
      <c r="U6997" t="s">
        <v>52601</v>
      </c>
      <c r="W6997" t="s">
        <v>43257</v>
      </c>
      <c r="X6997" t="s">
        <v>44915</v>
      </c>
    </row>
    <row r="6998" spans="1:24">
      <c r="A6998">
        <f>HYPERLINK("https://www.philgeps.gov.ph/GEPSNONPILOT/Tender/SplashBidNoticeAbstractUI.aspx?menuIndex=3&amp;refID=7066574&amp;Result=3","7066574")</f>
        <v>0</v>
      </c>
      <c r="B6998" t="s">
        <v>2131</v>
      </c>
      <c r="C6998" t="s">
        <v>10187</v>
      </c>
      <c r="E6998" t="s">
        <v>24392</v>
      </c>
      <c r="F6998" t="s">
        <v>31362</v>
      </c>
      <c r="G6998" t="s">
        <v>31369</v>
      </c>
      <c r="H6998" t="s">
        <v>15799</v>
      </c>
      <c r="I6998" t="s">
        <v>31505</v>
      </c>
      <c r="J6998" t="s">
        <v>35829</v>
      </c>
      <c r="K6998" t="s">
        <v>40678</v>
      </c>
      <c r="M6998" t="s">
        <v>43259</v>
      </c>
      <c r="N6998" t="s">
        <v>44905</v>
      </c>
      <c r="O6998" t="s">
        <v>44906</v>
      </c>
      <c r="P6998">
        <v>0</v>
      </c>
      <c r="Q6998">
        <v>7</v>
      </c>
      <c r="R6998" t="s">
        <v>44910</v>
      </c>
      <c r="S6998" t="s">
        <v>45076</v>
      </c>
      <c r="T6998" t="s">
        <v>46626</v>
      </c>
      <c r="U6998" t="s">
        <v>52592</v>
      </c>
      <c r="W6998" t="s">
        <v>43259</v>
      </c>
      <c r="X6998" t="s">
        <v>44916</v>
      </c>
    </row>
    <row r="6999" spans="1:24">
      <c r="A6999">
        <f>HYPERLINK("https://www.philgeps.gov.ph/GEPSNONPILOT/Tender/SplashBidNoticeAbstractUI.aspx?menuIndex=3&amp;refID=7069497&amp;Result=3","7069497")</f>
        <v>0</v>
      </c>
      <c r="B6999" t="s">
        <v>1971</v>
      </c>
      <c r="C6999" t="s">
        <v>10188</v>
      </c>
      <c r="D6999" t="s">
        <v>18154</v>
      </c>
      <c r="E6999" t="s">
        <v>24393</v>
      </c>
      <c r="F6999" t="s">
        <v>31362</v>
      </c>
      <c r="G6999" t="s">
        <v>31369</v>
      </c>
      <c r="H6999" t="s">
        <v>31378</v>
      </c>
      <c r="I6999" t="s">
        <v>31386</v>
      </c>
      <c r="J6999" t="s">
        <v>35830</v>
      </c>
      <c r="K6999" t="s">
        <v>40662</v>
      </c>
      <c r="M6999" t="s">
        <v>43078</v>
      </c>
      <c r="N6999" t="s">
        <v>44905</v>
      </c>
      <c r="O6999" t="s">
        <v>44906</v>
      </c>
      <c r="Q6999">
        <v>2</v>
      </c>
      <c r="R6999" t="s">
        <v>44910</v>
      </c>
      <c r="S6999" t="s">
        <v>45080</v>
      </c>
      <c r="T6999" t="s">
        <v>46620</v>
      </c>
      <c r="U6999" t="s">
        <v>52608</v>
      </c>
      <c r="W6999" t="s">
        <v>43078</v>
      </c>
      <c r="X6999" t="s">
        <v>44915</v>
      </c>
    </row>
    <row r="7000" spans="1:24">
      <c r="A7000">
        <f>HYPERLINK("https://www.philgeps.gov.ph/GEPSNONPILOT/Tender/SplashBidNoticeAbstractUI.aspx?menuIndex=3&amp;refID=7070422&amp;Result=3","7070422")</f>
        <v>0</v>
      </c>
      <c r="B7000" t="s">
        <v>48</v>
      </c>
      <c r="C7000" t="s">
        <v>10189</v>
      </c>
      <c r="D7000" t="s">
        <v>18117</v>
      </c>
      <c r="E7000" t="s">
        <v>24394</v>
      </c>
      <c r="F7000" t="s">
        <v>31362</v>
      </c>
      <c r="G7000" t="s">
        <v>31369</v>
      </c>
      <c r="H7000" t="s">
        <v>15799</v>
      </c>
      <c r="I7000" t="s">
        <v>31404</v>
      </c>
      <c r="J7000" t="s">
        <v>35831</v>
      </c>
      <c r="K7000" t="s">
        <v>40680</v>
      </c>
      <c r="M7000" t="s">
        <v>41894</v>
      </c>
      <c r="N7000" t="s">
        <v>44905</v>
      </c>
      <c r="O7000" t="s">
        <v>44906</v>
      </c>
      <c r="P7000">
        <v>0</v>
      </c>
      <c r="Q7000">
        <v>0</v>
      </c>
      <c r="R7000" t="s">
        <v>44910</v>
      </c>
      <c r="S7000" t="s">
        <v>45076</v>
      </c>
      <c r="T7000" t="s">
        <v>46393</v>
      </c>
      <c r="U7000" t="s">
        <v>52609</v>
      </c>
      <c r="V7000" t="s">
        <v>59231</v>
      </c>
      <c r="W7000" t="s">
        <v>41894</v>
      </c>
      <c r="X7000" t="s">
        <v>44914</v>
      </c>
    </row>
    <row r="7001" spans="1:24">
      <c r="A7001">
        <f>HYPERLINK("https://www.philgeps.gov.ph/GEPSNONPILOT/Tender/SplashBidNoticeAbstractUI.aspx?menuIndex=3&amp;refID=7070418&amp;Result=3","7070418")</f>
        <v>0</v>
      </c>
      <c r="B7001" t="s">
        <v>1890</v>
      </c>
      <c r="C7001" t="s">
        <v>10190</v>
      </c>
      <c r="D7001" t="s">
        <v>18114</v>
      </c>
      <c r="E7001" t="s">
        <v>24395</v>
      </c>
      <c r="F7001" t="s">
        <v>31362</v>
      </c>
      <c r="G7001" t="s">
        <v>31369</v>
      </c>
      <c r="H7001" t="s">
        <v>31378</v>
      </c>
      <c r="I7001" t="s">
        <v>31386</v>
      </c>
      <c r="J7001" t="s">
        <v>35832</v>
      </c>
      <c r="K7001" t="s">
        <v>40768</v>
      </c>
      <c r="M7001" t="s">
        <v>42985</v>
      </c>
      <c r="N7001" t="s">
        <v>44905</v>
      </c>
      <c r="O7001" t="s">
        <v>44906</v>
      </c>
      <c r="P7001">
        <v>0</v>
      </c>
      <c r="Q7001">
        <v>1</v>
      </c>
      <c r="R7001" t="s">
        <v>44910</v>
      </c>
      <c r="S7001" t="s">
        <v>45076</v>
      </c>
      <c r="T7001" t="s">
        <v>46697</v>
      </c>
      <c r="U7001" t="s">
        <v>52610</v>
      </c>
      <c r="W7001" t="s">
        <v>42985</v>
      </c>
      <c r="X7001" t="s">
        <v>44914</v>
      </c>
    </row>
    <row r="7002" spans="1:24">
      <c r="A7002">
        <f>HYPERLINK("https://www.philgeps.gov.ph/GEPSNONPILOT/Tender/SplashBidNoticeAbstractUI.aspx?menuIndex=3&amp;refID=7070332&amp;Result=3","7070332")</f>
        <v>0</v>
      </c>
      <c r="B7002" t="s">
        <v>1647</v>
      </c>
      <c r="C7002" t="s">
        <v>10191</v>
      </c>
      <c r="D7002" t="s">
        <v>18123</v>
      </c>
      <c r="E7002" t="s">
        <v>24396</v>
      </c>
      <c r="F7002" t="s">
        <v>31362</v>
      </c>
      <c r="G7002" t="s">
        <v>31369</v>
      </c>
      <c r="H7002" t="s">
        <v>15799</v>
      </c>
      <c r="I7002" t="s">
        <v>31400</v>
      </c>
      <c r="J7002" t="s">
        <v>35833</v>
      </c>
      <c r="K7002" t="s">
        <v>40666</v>
      </c>
      <c r="M7002" t="s">
        <v>43265</v>
      </c>
      <c r="N7002" t="s">
        <v>44905</v>
      </c>
      <c r="O7002" t="s">
        <v>44906</v>
      </c>
      <c r="P7002">
        <v>0</v>
      </c>
      <c r="Q7002">
        <v>0</v>
      </c>
      <c r="R7002" t="s">
        <v>44910</v>
      </c>
      <c r="S7002" t="s">
        <v>45076</v>
      </c>
      <c r="T7002" t="s">
        <v>46426</v>
      </c>
      <c r="U7002" t="s">
        <v>52611</v>
      </c>
      <c r="V7002" t="s">
        <v>59534</v>
      </c>
      <c r="W7002" t="s">
        <v>43265</v>
      </c>
      <c r="X7002" t="s">
        <v>44914</v>
      </c>
    </row>
    <row r="7003" spans="1:24">
      <c r="A7003">
        <f>HYPERLINK("https://www.philgeps.gov.ph/GEPSNONPILOT/Tender/SplashBidNoticeAbstractUI.aspx?menuIndex=3&amp;refID=7070326&amp;Result=3","7070326")</f>
        <v>0</v>
      </c>
      <c r="B7003" t="s">
        <v>1647</v>
      </c>
      <c r="C7003" t="s">
        <v>10192</v>
      </c>
      <c r="D7003" t="s">
        <v>18123</v>
      </c>
      <c r="E7003" t="s">
        <v>24397</v>
      </c>
      <c r="F7003" t="s">
        <v>31362</v>
      </c>
      <c r="G7003" t="s">
        <v>31369</v>
      </c>
      <c r="H7003" t="s">
        <v>15799</v>
      </c>
      <c r="I7003" t="s">
        <v>31461</v>
      </c>
      <c r="J7003" t="s">
        <v>35834</v>
      </c>
      <c r="K7003" t="s">
        <v>40670</v>
      </c>
      <c r="M7003" t="s">
        <v>43265</v>
      </c>
      <c r="N7003" t="s">
        <v>44905</v>
      </c>
      <c r="O7003" t="s">
        <v>44906</v>
      </c>
      <c r="P7003">
        <v>0</v>
      </c>
      <c r="Q7003">
        <v>1</v>
      </c>
      <c r="R7003" t="s">
        <v>44910</v>
      </c>
      <c r="S7003" t="s">
        <v>45076</v>
      </c>
      <c r="T7003" t="s">
        <v>46426</v>
      </c>
      <c r="U7003" t="s">
        <v>52612</v>
      </c>
      <c r="V7003" t="s">
        <v>59534</v>
      </c>
      <c r="W7003" t="s">
        <v>43265</v>
      </c>
      <c r="X7003" t="s">
        <v>44914</v>
      </c>
    </row>
    <row r="7004" spans="1:24">
      <c r="A7004">
        <f>HYPERLINK("https://www.philgeps.gov.ph/GEPSNONPILOT/Tender/SplashBidNoticeAbstractUI.aspx?menuIndex=3&amp;refID=7066676&amp;Result=3","7066676")</f>
        <v>0</v>
      </c>
      <c r="B7004" t="s">
        <v>2131</v>
      </c>
      <c r="C7004" t="s">
        <v>10193</v>
      </c>
      <c r="E7004" t="s">
        <v>24398</v>
      </c>
      <c r="F7004" t="s">
        <v>31362</v>
      </c>
      <c r="G7004" t="s">
        <v>31369</v>
      </c>
      <c r="H7004" t="s">
        <v>15799</v>
      </c>
      <c r="I7004" t="s">
        <v>31505</v>
      </c>
      <c r="J7004" t="s">
        <v>35835</v>
      </c>
      <c r="K7004" t="s">
        <v>40678</v>
      </c>
      <c r="M7004" t="s">
        <v>43259</v>
      </c>
      <c r="N7004" t="s">
        <v>44905</v>
      </c>
      <c r="O7004" t="s">
        <v>44906</v>
      </c>
      <c r="Q7004">
        <v>8</v>
      </c>
      <c r="R7004" t="s">
        <v>44910</v>
      </c>
      <c r="S7004" t="s">
        <v>45081</v>
      </c>
      <c r="T7004" t="s">
        <v>46405</v>
      </c>
      <c r="U7004" t="s">
        <v>52592</v>
      </c>
      <c r="W7004" t="s">
        <v>43259</v>
      </c>
      <c r="X7004" t="s">
        <v>44916</v>
      </c>
    </row>
    <row r="7005" spans="1:24">
      <c r="A7005">
        <f>HYPERLINK("https://www.philgeps.gov.ph/GEPSNONPILOT/Tender/SplashBidNoticeAbstractUI.aspx?menuIndex=3&amp;refID=7070323&amp;Result=3","7070323")</f>
        <v>0</v>
      </c>
      <c r="B7005" t="s">
        <v>1647</v>
      </c>
      <c r="C7005" t="s">
        <v>10194</v>
      </c>
      <c r="D7005" t="s">
        <v>18123</v>
      </c>
      <c r="E7005" t="s">
        <v>24399</v>
      </c>
      <c r="F7005" t="s">
        <v>31362</v>
      </c>
      <c r="G7005" t="s">
        <v>31369</v>
      </c>
      <c r="H7005" t="s">
        <v>15799</v>
      </c>
      <c r="I7005" t="s">
        <v>31385</v>
      </c>
      <c r="J7005" t="s">
        <v>35836</v>
      </c>
      <c r="K7005" t="s">
        <v>40670</v>
      </c>
      <c r="M7005" t="s">
        <v>43265</v>
      </c>
      <c r="N7005" t="s">
        <v>44905</v>
      </c>
      <c r="O7005" t="s">
        <v>44906</v>
      </c>
      <c r="P7005">
        <v>0</v>
      </c>
      <c r="Q7005">
        <v>2</v>
      </c>
      <c r="R7005" t="s">
        <v>44910</v>
      </c>
      <c r="S7005" t="s">
        <v>45076</v>
      </c>
      <c r="T7005" t="s">
        <v>46426</v>
      </c>
      <c r="U7005" t="s">
        <v>52613</v>
      </c>
      <c r="V7005" t="s">
        <v>59534</v>
      </c>
      <c r="W7005" t="s">
        <v>43265</v>
      </c>
      <c r="X7005" t="s">
        <v>44914</v>
      </c>
    </row>
    <row r="7006" spans="1:24">
      <c r="A7006">
        <f>HYPERLINK("https://www.philgeps.gov.ph/GEPSNONPILOT/Tender/SplashBidNoticeAbstractUI.aspx?menuIndex=3&amp;refID=7070022&amp;Result=3","7070022")</f>
        <v>0</v>
      </c>
      <c r="B7006" t="s">
        <v>2129</v>
      </c>
      <c r="C7006" t="s">
        <v>10195</v>
      </c>
      <c r="D7006" t="s">
        <v>18170</v>
      </c>
      <c r="E7006" t="s">
        <v>24400</v>
      </c>
      <c r="F7006" t="s">
        <v>31362</v>
      </c>
      <c r="G7006" t="s">
        <v>31369</v>
      </c>
      <c r="H7006" t="s">
        <v>15799</v>
      </c>
      <c r="I7006" t="s">
        <v>31430</v>
      </c>
      <c r="J7006" t="s">
        <v>35837</v>
      </c>
      <c r="K7006" t="s">
        <v>40665</v>
      </c>
      <c r="M7006" t="s">
        <v>43257</v>
      </c>
      <c r="N7006" t="s">
        <v>44905</v>
      </c>
      <c r="O7006" t="s">
        <v>44906</v>
      </c>
      <c r="P7006">
        <v>0</v>
      </c>
      <c r="Q7006">
        <v>0</v>
      </c>
      <c r="R7006" t="s">
        <v>44910</v>
      </c>
      <c r="S7006" t="s">
        <v>45076</v>
      </c>
      <c r="T7006" t="s">
        <v>46433</v>
      </c>
      <c r="U7006" t="s">
        <v>52614</v>
      </c>
      <c r="W7006" t="s">
        <v>43257</v>
      </c>
      <c r="X7006" t="s">
        <v>44915</v>
      </c>
    </row>
    <row r="7007" spans="1:24">
      <c r="A7007">
        <f>HYPERLINK("https://www.philgeps.gov.ph/GEPSNONPILOT/Tender/SplashBidNoticeAbstractUI.aspx?menuIndex=3&amp;refID=7070012&amp;Result=3","7070012")</f>
        <v>0</v>
      </c>
      <c r="B7007" t="s">
        <v>2129</v>
      </c>
      <c r="C7007" t="s">
        <v>10196</v>
      </c>
      <c r="D7007" t="s">
        <v>18170</v>
      </c>
      <c r="E7007" t="s">
        <v>24401</v>
      </c>
      <c r="F7007" t="s">
        <v>31362</v>
      </c>
      <c r="G7007" t="s">
        <v>31369</v>
      </c>
      <c r="H7007" t="s">
        <v>15799</v>
      </c>
      <c r="I7007" t="s">
        <v>31393</v>
      </c>
      <c r="J7007" t="s">
        <v>31983</v>
      </c>
      <c r="K7007" t="s">
        <v>40665</v>
      </c>
      <c r="M7007" t="s">
        <v>43257</v>
      </c>
      <c r="N7007" t="s">
        <v>44905</v>
      </c>
      <c r="O7007" t="s">
        <v>44906</v>
      </c>
      <c r="P7007">
        <v>0</v>
      </c>
      <c r="Q7007">
        <v>0</v>
      </c>
      <c r="R7007" t="s">
        <v>44910</v>
      </c>
      <c r="S7007" t="s">
        <v>45076</v>
      </c>
      <c r="T7007" t="s">
        <v>46433</v>
      </c>
      <c r="U7007" t="s">
        <v>52601</v>
      </c>
      <c r="W7007" t="s">
        <v>43257</v>
      </c>
      <c r="X7007" t="s">
        <v>44915</v>
      </c>
    </row>
    <row r="7008" spans="1:24">
      <c r="A7008">
        <f>HYPERLINK("https://www.philgeps.gov.ph/GEPSNONPILOT/Tender/SplashBidNoticeAbstractUI.aspx?menuIndex=3&amp;refID=7070679&amp;Result=3","7070679")</f>
        <v>0</v>
      </c>
      <c r="B7008" t="s">
        <v>2137</v>
      </c>
      <c r="C7008" t="s">
        <v>10197</v>
      </c>
      <c r="D7008" t="s">
        <v>18101</v>
      </c>
      <c r="E7008" t="s">
        <v>24402</v>
      </c>
      <c r="F7008" t="s">
        <v>31363</v>
      </c>
      <c r="G7008" t="s">
        <v>31369</v>
      </c>
      <c r="H7008" t="s">
        <v>31378</v>
      </c>
      <c r="I7008" t="s">
        <v>31386</v>
      </c>
      <c r="J7008" t="s">
        <v>35838</v>
      </c>
      <c r="K7008" t="s">
        <v>40770</v>
      </c>
      <c r="L7008" t="s">
        <v>2137</v>
      </c>
      <c r="M7008" t="s">
        <v>43266</v>
      </c>
      <c r="N7008" t="s">
        <v>44905</v>
      </c>
      <c r="O7008" t="s">
        <v>44906</v>
      </c>
      <c r="P7008">
        <v>0</v>
      </c>
      <c r="Q7008">
        <v>0</v>
      </c>
      <c r="R7008" t="s">
        <v>44910</v>
      </c>
      <c r="S7008" t="s">
        <v>45076</v>
      </c>
      <c r="T7008" t="s">
        <v>46419</v>
      </c>
      <c r="U7008" t="s">
        <v>52615</v>
      </c>
      <c r="W7008" t="s">
        <v>43266</v>
      </c>
      <c r="X7008" t="s">
        <v>44914</v>
      </c>
    </row>
    <row r="7009" spans="1:24">
      <c r="A7009">
        <f>HYPERLINK("https://www.philgeps.gov.ph/GEPSNONPILOT/Tender/SplashBidNoticeAbstractUI.aspx?menuIndex=3&amp;refID=7068320&amp;Result=3","7068320")</f>
        <v>0</v>
      </c>
      <c r="B7009" t="s">
        <v>2138</v>
      </c>
      <c r="C7009" t="s">
        <v>10198</v>
      </c>
      <c r="D7009" t="s">
        <v>18132</v>
      </c>
      <c r="E7009" t="s">
        <v>18548</v>
      </c>
      <c r="F7009" t="s">
        <v>31362</v>
      </c>
      <c r="G7009" t="s">
        <v>31369</v>
      </c>
      <c r="H7009" t="s">
        <v>31378</v>
      </c>
      <c r="I7009" t="s">
        <v>31386</v>
      </c>
      <c r="J7009" t="s">
        <v>35839</v>
      </c>
      <c r="K7009" t="s">
        <v>40708</v>
      </c>
      <c r="M7009" t="s">
        <v>43267</v>
      </c>
      <c r="N7009" t="s">
        <v>44905</v>
      </c>
      <c r="O7009" t="s">
        <v>44906</v>
      </c>
      <c r="P7009">
        <v>0</v>
      </c>
      <c r="Q7009">
        <v>0</v>
      </c>
      <c r="R7009" t="s">
        <v>44910</v>
      </c>
      <c r="S7009" t="s">
        <v>45076</v>
      </c>
      <c r="T7009" t="s">
        <v>46467</v>
      </c>
      <c r="U7009" t="s">
        <v>52616</v>
      </c>
      <c r="W7009" t="s">
        <v>43267</v>
      </c>
      <c r="X7009" t="s">
        <v>44915</v>
      </c>
    </row>
    <row r="7010" spans="1:24">
      <c r="A7010">
        <f>HYPERLINK("https://www.philgeps.gov.ph/GEPSNONPILOT/Tender/SplashBidNoticeAbstractUI.aspx?menuIndex=3&amp;refID=7070613&amp;Result=3","7070613")</f>
        <v>0</v>
      </c>
      <c r="B7010" t="s">
        <v>962</v>
      </c>
      <c r="C7010" t="s">
        <v>10199</v>
      </c>
      <c r="D7010" t="s">
        <v>18152</v>
      </c>
      <c r="E7010" t="s">
        <v>24403</v>
      </c>
      <c r="F7010" t="s">
        <v>31362</v>
      </c>
      <c r="G7010" t="s">
        <v>31369</v>
      </c>
      <c r="H7010" t="s">
        <v>15799</v>
      </c>
      <c r="I7010" t="s">
        <v>12925</v>
      </c>
      <c r="J7010" t="s">
        <v>31626</v>
      </c>
      <c r="K7010" t="s">
        <v>40665</v>
      </c>
      <c r="M7010" t="s">
        <v>41950</v>
      </c>
      <c r="N7010" t="s">
        <v>44905</v>
      </c>
      <c r="O7010" t="s">
        <v>44906</v>
      </c>
      <c r="P7010">
        <v>0</v>
      </c>
      <c r="Q7010">
        <v>1</v>
      </c>
      <c r="R7010" t="s">
        <v>44910</v>
      </c>
      <c r="S7010" t="s">
        <v>45076</v>
      </c>
      <c r="T7010" t="s">
        <v>46410</v>
      </c>
      <c r="U7010" t="s">
        <v>52617</v>
      </c>
      <c r="W7010" t="s">
        <v>41950</v>
      </c>
      <c r="X7010" t="s">
        <v>44914</v>
      </c>
    </row>
    <row r="7011" spans="1:24">
      <c r="A7011">
        <f>HYPERLINK("https://www.philgeps.gov.ph/GEPSNONPILOT/Tender/SplashBidNoticeAbstractUI.aspx?menuIndex=3&amp;refID=7070533&amp;Result=3","7070533")</f>
        <v>0</v>
      </c>
      <c r="B7011" t="s">
        <v>962</v>
      </c>
      <c r="C7011" t="s">
        <v>10200</v>
      </c>
      <c r="D7011" t="s">
        <v>18152</v>
      </c>
      <c r="E7011" t="s">
        <v>24404</v>
      </c>
      <c r="F7011" t="s">
        <v>31362</v>
      </c>
      <c r="G7011" t="s">
        <v>31369</v>
      </c>
      <c r="H7011" t="s">
        <v>15799</v>
      </c>
      <c r="I7011" t="s">
        <v>3815</v>
      </c>
      <c r="J7011" t="s">
        <v>35840</v>
      </c>
      <c r="K7011" t="s">
        <v>40665</v>
      </c>
      <c r="M7011" t="s">
        <v>41950</v>
      </c>
      <c r="N7011" t="s">
        <v>44905</v>
      </c>
      <c r="O7011" t="s">
        <v>44906</v>
      </c>
      <c r="P7011">
        <v>0</v>
      </c>
      <c r="Q7011">
        <v>0</v>
      </c>
      <c r="R7011" t="s">
        <v>44910</v>
      </c>
      <c r="S7011" t="s">
        <v>45076</v>
      </c>
      <c r="T7011" t="s">
        <v>46410</v>
      </c>
      <c r="U7011" t="s">
        <v>52618</v>
      </c>
      <c r="W7011" t="s">
        <v>41950</v>
      </c>
      <c r="X7011" t="s">
        <v>44914</v>
      </c>
    </row>
    <row r="7012" spans="1:24">
      <c r="A7012">
        <f>HYPERLINK("https://www.philgeps.gov.ph/GEPSNONPILOT/Tender/SplashBidNoticeAbstractUI.aspx?menuIndex=3&amp;refID=7070531&amp;Result=3","7070531")</f>
        <v>0</v>
      </c>
      <c r="B7012" t="s">
        <v>116</v>
      </c>
      <c r="C7012" t="s">
        <v>10201</v>
      </c>
      <c r="D7012" t="s">
        <v>18141</v>
      </c>
      <c r="E7012" t="s">
        <v>24405</v>
      </c>
      <c r="F7012" t="s">
        <v>31362</v>
      </c>
      <c r="G7012" t="s">
        <v>31369</v>
      </c>
      <c r="H7012" t="s">
        <v>15799</v>
      </c>
      <c r="I7012" t="s">
        <v>6865</v>
      </c>
      <c r="J7012" t="s">
        <v>35841</v>
      </c>
      <c r="K7012" t="s">
        <v>40681</v>
      </c>
      <c r="M7012" t="s">
        <v>41053</v>
      </c>
      <c r="N7012" t="s">
        <v>44905</v>
      </c>
      <c r="O7012" t="s">
        <v>44906</v>
      </c>
      <c r="P7012">
        <v>0</v>
      </c>
      <c r="Q7012">
        <v>3</v>
      </c>
      <c r="R7012" t="s">
        <v>44910</v>
      </c>
      <c r="S7012" t="s">
        <v>45076</v>
      </c>
      <c r="T7012" t="s">
        <v>46438</v>
      </c>
      <c r="U7012" t="s">
        <v>52619</v>
      </c>
      <c r="W7012" t="s">
        <v>41053</v>
      </c>
      <c r="X7012" t="s">
        <v>44914</v>
      </c>
    </row>
    <row r="7013" spans="1:24">
      <c r="A7013">
        <f>HYPERLINK("https://www.philgeps.gov.ph/GEPSNONPILOT/Tender/SplashBidNoticeAbstractUI.aspx?menuIndex=3&amp;refID=7069842&amp;Result=3","7069842")</f>
        <v>0</v>
      </c>
      <c r="B7013" t="s">
        <v>2134</v>
      </c>
      <c r="C7013" t="s">
        <v>10202</v>
      </c>
      <c r="D7013" t="s">
        <v>18101</v>
      </c>
      <c r="E7013" t="s">
        <v>24406</v>
      </c>
      <c r="F7013" t="s">
        <v>31362</v>
      </c>
      <c r="G7013" t="s">
        <v>31369</v>
      </c>
      <c r="H7013" t="s">
        <v>31378</v>
      </c>
      <c r="I7013" t="s">
        <v>31386</v>
      </c>
      <c r="J7013" t="s">
        <v>35842</v>
      </c>
      <c r="K7013" t="s">
        <v>40682</v>
      </c>
      <c r="M7013" t="s">
        <v>43262</v>
      </c>
      <c r="N7013" t="s">
        <v>44905</v>
      </c>
      <c r="O7013" t="s">
        <v>44906</v>
      </c>
      <c r="P7013">
        <v>0</v>
      </c>
      <c r="Q7013">
        <v>1</v>
      </c>
      <c r="R7013" t="s">
        <v>44910</v>
      </c>
      <c r="S7013" t="s">
        <v>45076</v>
      </c>
      <c r="T7013" t="s">
        <v>46718</v>
      </c>
      <c r="U7013" t="s">
        <v>52620</v>
      </c>
      <c r="W7013" t="s">
        <v>43262</v>
      </c>
      <c r="X7013" t="s">
        <v>44915</v>
      </c>
    </row>
    <row r="7014" spans="1:24">
      <c r="A7014">
        <f>HYPERLINK("https://www.philgeps.gov.ph/GEPSNONPILOT/Tender/SplashBidNoticeAbstractUI.aspx?menuIndex=3&amp;refID=7070402&amp;Result=3","7070402")</f>
        <v>0</v>
      </c>
      <c r="B7014" t="s">
        <v>1890</v>
      </c>
      <c r="C7014" t="s">
        <v>10203</v>
      </c>
      <c r="D7014" t="s">
        <v>18114</v>
      </c>
      <c r="E7014" t="s">
        <v>24407</v>
      </c>
      <c r="F7014" t="s">
        <v>31362</v>
      </c>
      <c r="G7014" t="s">
        <v>31369</v>
      </c>
      <c r="H7014" t="s">
        <v>31378</v>
      </c>
      <c r="I7014" t="s">
        <v>31386</v>
      </c>
      <c r="J7014" t="s">
        <v>35843</v>
      </c>
      <c r="K7014" t="s">
        <v>40718</v>
      </c>
      <c r="M7014" t="s">
        <v>42985</v>
      </c>
      <c r="N7014" t="s">
        <v>44905</v>
      </c>
      <c r="O7014" t="s">
        <v>44906</v>
      </c>
      <c r="P7014">
        <v>0</v>
      </c>
      <c r="Q7014">
        <v>0</v>
      </c>
      <c r="R7014" t="s">
        <v>44910</v>
      </c>
      <c r="S7014" t="s">
        <v>45076</v>
      </c>
      <c r="T7014" t="s">
        <v>46697</v>
      </c>
      <c r="U7014" t="s">
        <v>52621</v>
      </c>
      <c r="W7014" t="s">
        <v>42985</v>
      </c>
      <c r="X7014" t="s">
        <v>44914</v>
      </c>
    </row>
    <row r="7015" spans="1:24">
      <c r="A7015">
        <f>HYPERLINK("https://www.philgeps.gov.ph/GEPSNONPILOT/Tender/SplashBidNoticeAbstractUI.aspx?menuIndex=3&amp;refID=7069757&amp;Result=3","7069757")</f>
        <v>0</v>
      </c>
      <c r="B7015" t="s">
        <v>1910</v>
      </c>
      <c r="C7015" t="s">
        <v>10204</v>
      </c>
      <c r="D7015" t="s">
        <v>18124</v>
      </c>
      <c r="E7015" t="s">
        <v>24408</v>
      </c>
      <c r="F7015" t="s">
        <v>31362</v>
      </c>
      <c r="G7015" t="s">
        <v>31369</v>
      </c>
      <c r="H7015" t="s">
        <v>31378</v>
      </c>
      <c r="I7015" t="s">
        <v>31386</v>
      </c>
      <c r="J7015" t="s">
        <v>35844</v>
      </c>
      <c r="K7015" t="s">
        <v>40670</v>
      </c>
      <c r="L7015" t="s">
        <v>1910</v>
      </c>
      <c r="M7015" t="s">
        <v>43006</v>
      </c>
      <c r="N7015" t="s">
        <v>44905</v>
      </c>
      <c r="O7015" t="s">
        <v>44906</v>
      </c>
      <c r="P7015">
        <v>0</v>
      </c>
      <c r="Q7015">
        <v>1</v>
      </c>
      <c r="R7015" t="s">
        <v>44910</v>
      </c>
      <c r="S7015" t="s">
        <v>45076</v>
      </c>
      <c r="T7015" t="s">
        <v>46416</v>
      </c>
      <c r="U7015" t="s">
        <v>52622</v>
      </c>
      <c r="W7015" t="s">
        <v>43006</v>
      </c>
      <c r="X7015" t="s">
        <v>44915</v>
      </c>
    </row>
    <row r="7016" spans="1:24">
      <c r="A7016">
        <f>HYPERLINK("https://www.philgeps.gov.ph/GEPSNONPILOT/Tender/SplashBidNoticeAbstractUI.aspx?menuIndex=3&amp;refID=7069369&amp;Result=3","7069369")</f>
        <v>0</v>
      </c>
      <c r="B7016" t="s">
        <v>2139</v>
      </c>
      <c r="C7016" t="s">
        <v>10205</v>
      </c>
      <c r="D7016" t="s">
        <v>18139</v>
      </c>
      <c r="E7016" t="s">
        <v>24409</v>
      </c>
      <c r="F7016" t="s">
        <v>31362</v>
      </c>
      <c r="G7016" t="s">
        <v>31370</v>
      </c>
      <c r="H7016" t="s">
        <v>15799</v>
      </c>
      <c r="I7016" t="s">
        <v>31427</v>
      </c>
      <c r="J7016" t="s">
        <v>32207</v>
      </c>
      <c r="K7016" t="s">
        <v>40666</v>
      </c>
      <c r="M7016" t="s">
        <v>43268</v>
      </c>
      <c r="N7016" t="s">
        <v>44905</v>
      </c>
      <c r="O7016" t="s">
        <v>44906</v>
      </c>
      <c r="P7016">
        <v>0</v>
      </c>
      <c r="Q7016">
        <v>13</v>
      </c>
      <c r="R7016" t="s">
        <v>44910</v>
      </c>
      <c r="S7016" t="s">
        <v>45076</v>
      </c>
      <c r="T7016" t="s">
        <v>46498</v>
      </c>
      <c r="U7016" t="s">
        <v>52623</v>
      </c>
      <c r="V7016" t="s">
        <v>59748</v>
      </c>
      <c r="W7016" t="s">
        <v>43268</v>
      </c>
      <c r="X7016" t="s">
        <v>44915</v>
      </c>
    </row>
    <row r="7017" spans="1:24">
      <c r="A7017">
        <f>HYPERLINK("https://www.philgeps.gov.ph/GEPSNONPILOT/Tender/SplashBidNoticeAbstractUI.aspx?menuIndex=3&amp;refID=7069815&amp;Result=3","7069815")</f>
        <v>0</v>
      </c>
      <c r="B7017" t="s">
        <v>1417</v>
      </c>
      <c r="C7017" t="s">
        <v>10206</v>
      </c>
      <c r="E7017" t="s">
        <v>24410</v>
      </c>
      <c r="F7017" t="s">
        <v>31362</v>
      </c>
      <c r="G7017" t="s">
        <v>31368</v>
      </c>
      <c r="H7017" t="s">
        <v>15799</v>
      </c>
      <c r="I7017" t="s">
        <v>4057</v>
      </c>
      <c r="J7017" t="s">
        <v>35845</v>
      </c>
      <c r="K7017" t="s">
        <v>40662</v>
      </c>
      <c r="M7017" t="s">
        <v>42443</v>
      </c>
      <c r="N7017" t="s">
        <v>44905</v>
      </c>
      <c r="O7017" t="s">
        <v>44906</v>
      </c>
      <c r="P7017">
        <v>0</v>
      </c>
      <c r="Q7017">
        <v>0</v>
      </c>
      <c r="R7017" t="s">
        <v>44910</v>
      </c>
      <c r="S7017" t="s">
        <v>45076</v>
      </c>
      <c r="T7017" t="s">
        <v>46410</v>
      </c>
      <c r="U7017" t="s">
        <v>48141</v>
      </c>
      <c r="W7017" t="s">
        <v>42443</v>
      </c>
      <c r="X7017" t="s">
        <v>44915</v>
      </c>
    </row>
    <row r="7018" spans="1:24">
      <c r="A7018">
        <f>HYPERLINK("https://www.philgeps.gov.ph/GEPSNONPILOT/Tender/SplashBidNoticeAbstractUI.aspx?menuIndex=3&amp;refID=7070376&amp;Result=3","7070376")</f>
        <v>0</v>
      </c>
      <c r="B7018" t="s">
        <v>1890</v>
      </c>
      <c r="C7018" t="s">
        <v>10207</v>
      </c>
      <c r="D7018" t="s">
        <v>18114</v>
      </c>
      <c r="E7018" t="s">
        <v>24411</v>
      </c>
      <c r="F7018" t="s">
        <v>31362</v>
      </c>
      <c r="G7018" t="s">
        <v>31369</v>
      </c>
      <c r="H7018" t="s">
        <v>15799</v>
      </c>
      <c r="I7018" t="s">
        <v>7090</v>
      </c>
      <c r="J7018" t="s">
        <v>31606</v>
      </c>
      <c r="K7018" t="s">
        <v>40670</v>
      </c>
      <c r="M7018" t="s">
        <v>42985</v>
      </c>
      <c r="N7018" t="s">
        <v>44905</v>
      </c>
      <c r="O7018" t="s">
        <v>44906</v>
      </c>
      <c r="P7018">
        <v>0</v>
      </c>
      <c r="Q7018">
        <v>0</v>
      </c>
      <c r="R7018" t="s">
        <v>44910</v>
      </c>
      <c r="S7018" t="s">
        <v>45076</v>
      </c>
      <c r="T7018" t="s">
        <v>46697</v>
      </c>
      <c r="U7018" t="s">
        <v>52624</v>
      </c>
      <c r="W7018" t="s">
        <v>42985</v>
      </c>
      <c r="X7018" t="s">
        <v>44914</v>
      </c>
    </row>
    <row r="7019" spans="1:24">
      <c r="A7019">
        <f>HYPERLINK("https://www.philgeps.gov.ph/GEPSNONPILOT/Tender/SplashBidNoticeAbstractUI.aspx?menuIndex=3&amp;refID=7069730&amp;Result=3","7069730")</f>
        <v>0</v>
      </c>
      <c r="B7019" t="s">
        <v>1417</v>
      </c>
      <c r="C7019" t="s">
        <v>10208</v>
      </c>
      <c r="E7019" t="s">
        <v>24412</v>
      </c>
      <c r="F7019" t="s">
        <v>31362</v>
      </c>
      <c r="G7019" t="s">
        <v>31370</v>
      </c>
      <c r="H7019" t="s">
        <v>15799</v>
      </c>
      <c r="I7019" t="s">
        <v>6373</v>
      </c>
      <c r="J7019" t="s">
        <v>35846</v>
      </c>
      <c r="K7019" t="s">
        <v>40661</v>
      </c>
      <c r="M7019" t="s">
        <v>42443</v>
      </c>
      <c r="N7019" t="s">
        <v>44905</v>
      </c>
      <c r="O7019" t="s">
        <v>44906</v>
      </c>
      <c r="P7019">
        <v>0</v>
      </c>
      <c r="Q7019">
        <v>9</v>
      </c>
      <c r="R7019" t="s">
        <v>44910</v>
      </c>
      <c r="S7019" t="s">
        <v>45076</v>
      </c>
      <c r="T7019" t="s">
        <v>46410</v>
      </c>
      <c r="U7019" t="s">
        <v>48141</v>
      </c>
      <c r="W7019" t="s">
        <v>42443</v>
      </c>
      <c r="X7019" t="s">
        <v>44915</v>
      </c>
    </row>
    <row r="7020" spans="1:24">
      <c r="A7020">
        <f>HYPERLINK("https://www.philgeps.gov.ph/GEPSNONPILOT/Tender/SplashBidNoticeAbstractUI.aspx?menuIndex=3&amp;refID=7069845&amp;Result=3","7069845")</f>
        <v>0</v>
      </c>
      <c r="B7020" t="s">
        <v>1417</v>
      </c>
      <c r="C7020" t="s">
        <v>10209</v>
      </c>
      <c r="E7020" t="s">
        <v>24413</v>
      </c>
      <c r="F7020" t="s">
        <v>31362</v>
      </c>
      <c r="G7020" t="s">
        <v>31368</v>
      </c>
      <c r="H7020" t="s">
        <v>15799</v>
      </c>
      <c r="I7020" t="s">
        <v>6240</v>
      </c>
      <c r="J7020" t="s">
        <v>31897</v>
      </c>
      <c r="K7020" t="s">
        <v>40661</v>
      </c>
      <c r="M7020" t="s">
        <v>42443</v>
      </c>
      <c r="N7020" t="s">
        <v>44905</v>
      </c>
      <c r="O7020" t="s">
        <v>44906</v>
      </c>
      <c r="P7020">
        <v>0</v>
      </c>
      <c r="Q7020">
        <v>0</v>
      </c>
      <c r="R7020" t="s">
        <v>44910</v>
      </c>
      <c r="S7020" t="s">
        <v>45076</v>
      </c>
      <c r="T7020" t="s">
        <v>46410</v>
      </c>
      <c r="U7020" t="s">
        <v>48141</v>
      </c>
      <c r="W7020" t="s">
        <v>42443</v>
      </c>
      <c r="X7020" t="s">
        <v>44915</v>
      </c>
    </row>
    <row r="7021" spans="1:24">
      <c r="A7021">
        <f>HYPERLINK("https://www.philgeps.gov.ph/GEPSNONPILOT/Tender/SplashBidNoticeAbstractUI.aspx?menuIndex=3&amp;refID=7067042&amp;Result=3","7067042")</f>
        <v>0</v>
      </c>
      <c r="B7021" t="s">
        <v>2129</v>
      </c>
      <c r="C7021" t="s">
        <v>10210</v>
      </c>
      <c r="D7021" t="s">
        <v>18170</v>
      </c>
      <c r="E7021" t="s">
        <v>24379</v>
      </c>
      <c r="F7021" t="s">
        <v>31362</v>
      </c>
      <c r="G7021" t="s">
        <v>31369</v>
      </c>
      <c r="H7021" t="s">
        <v>15799</v>
      </c>
      <c r="I7021" t="s">
        <v>7090</v>
      </c>
      <c r="J7021" t="s">
        <v>31890</v>
      </c>
      <c r="K7021" t="s">
        <v>40665</v>
      </c>
      <c r="M7021" t="s">
        <v>43257</v>
      </c>
      <c r="N7021" t="s">
        <v>44905</v>
      </c>
      <c r="O7021" t="s">
        <v>44906</v>
      </c>
      <c r="P7021">
        <v>0</v>
      </c>
      <c r="Q7021">
        <v>0</v>
      </c>
      <c r="R7021" t="s">
        <v>44910</v>
      </c>
      <c r="S7021" t="s">
        <v>45076</v>
      </c>
      <c r="T7021" t="s">
        <v>46433</v>
      </c>
      <c r="U7021" t="s">
        <v>52596</v>
      </c>
      <c r="W7021" t="s">
        <v>43257</v>
      </c>
      <c r="X7021" t="s">
        <v>44916</v>
      </c>
    </row>
    <row r="7022" spans="1:24">
      <c r="A7022">
        <f>HYPERLINK("https://www.philgeps.gov.ph/GEPSNONPILOT/Tender/SplashBidNoticeAbstractUI.aspx?menuIndex=3&amp;refID=7071265&amp;Result=3","7071265")</f>
        <v>0</v>
      </c>
      <c r="B7022" t="s">
        <v>697</v>
      </c>
      <c r="C7022" t="s">
        <v>10211</v>
      </c>
      <c r="D7022" t="s">
        <v>18146</v>
      </c>
      <c r="E7022" t="s">
        <v>24414</v>
      </c>
      <c r="F7022" t="s">
        <v>31364</v>
      </c>
      <c r="G7022" t="s">
        <v>31369</v>
      </c>
      <c r="H7022" t="s">
        <v>31378</v>
      </c>
      <c r="I7022" t="s">
        <v>31386</v>
      </c>
      <c r="J7022" t="s">
        <v>35847</v>
      </c>
      <c r="K7022" t="s">
        <v>40675</v>
      </c>
      <c r="M7022" t="s">
        <v>41662</v>
      </c>
      <c r="N7022" t="s">
        <v>44905</v>
      </c>
      <c r="O7022" t="s">
        <v>44906</v>
      </c>
      <c r="P7022">
        <v>0</v>
      </c>
      <c r="Q7022">
        <v>0</v>
      </c>
      <c r="R7022" t="s">
        <v>44910</v>
      </c>
      <c r="S7022" t="s">
        <v>45076</v>
      </c>
      <c r="T7022" t="s">
        <v>46461</v>
      </c>
      <c r="U7022" t="s">
        <v>52625</v>
      </c>
      <c r="W7022" t="s">
        <v>41662</v>
      </c>
      <c r="X7022" t="s">
        <v>44914</v>
      </c>
    </row>
    <row r="7023" spans="1:24">
      <c r="A7023">
        <f>HYPERLINK("https://www.philgeps.gov.ph/GEPSNONPILOT/Tender/SplashBidNoticeAbstractUI.aspx?menuIndex=3&amp;refID=7070741&amp;Result=3","7070741")</f>
        <v>0</v>
      </c>
      <c r="B7023" t="s">
        <v>116</v>
      </c>
      <c r="C7023" t="s">
        <v>10212</v>
      </c>
      <c r="D7023" t="s">
        <v>18141</v>
      </c>
      <c r="E7023" t="s">
        <v>24415</v>
      </c>
      <c r="F7023" t="s">
        <v>31362</v>
      </c>
      <c r="G7023" t="s">
        <v>31369</v>
      </c>
      <c r="H7023" t="s">
        <v>15799</v>
      </c>
      <c r="I7023" t="s">
        <v>31484</v>
      </c>
      <c r="J7023" t="s">
        <v>35848</v>
      </c>
      <c r="K7023" t="s">
        <v>40697</v>
      </c>
      <c r="M7023" t="s">
        <v>41053</v>
      </c>
      <c r="N7023" t="s">
        <v>44905</v>
      </c>
      <c r="O7023" t="s">
        <v>44906</v>
      </c>
      <c r="P7023">
        <v>0</v>
      </c>
      <c r="Q7023">
        <v>0</v>
      </c>
      <c r="R7023" t="s">
        <v>44910</v>
      </c>
      <c r="S7023" t="s">
        <v>45076</v>
      </c>
      <c r="T7023" t="s">
        <v>46438</v>
      </c>
      <c r="U7023" t="s">
        <v>52626</v>
      </c>
      <c r="W7023" t="s">
        <v>41053</v>
      </c>
      <c r="X7023" t="s">
        <v>44914</v>
      </c>
    </row>
    <row r="7024" spans="1:24">
      <c r="A7024">
        <f>HYPERLINK("https://www.philgeps.gov.ph/GEPSNONPILOT/Tender/SplashBidNoticeAbstractUI.aspx?menuIndex=3&amp;refID=7071236&amp;Result=3","7071236")</f>
        <v>0</v>
      </c>
      <c r="B7024" t="s">
        <v>2140</v>
      </c>
      <c r="C7024" t="s">
        <v>10213</v>
      </c>
      <c r="D7024" t="s">
        <v>18157</v>
      </c>
      <c r="E7024" t="s">
        <v>24416</v>
      </c>
      <c r="F7024" t="s">
        <v>31362</v>
      </c>
      <c r="G7024" t="s">
        <v>31369</v>
      </c>
      <c r="H7024" t="s">
        <v>15799</v>
      </c>
      <c r="I7024" t="s">
        <v>3815</v>
      </c>
      <c r="J7024" t="s">
        <v>35849</v>
      </c>
      <c r="K7024" t="s">
        <v>40670</v>
      </c>
      <c r="M7024" t="s">
        <v>43269</v>
      </c>
      <c r="N7024" t="s">
        <v>44905</v>
      </c>
      <c r="O7024" t="s">
        <v>44906</v>
      </c>
      <c r="P7024">
        <v>0</v>
      </c>
      <c r="Q7024">
        <v>1</v>
      </c>
      <c r="R7024" t="s">
        <v>44910</v>
      </c>
      <c r="S7024" t="s">
        <v>45076</v>
      </c>
      <c r="T7024" t="s">
        <v>46425</v>
      </c>
      <c r="U7024" t="s">
        <v>52627</v>
      </c>
      <c r="W7024" t="s">
        <v>43269</v>
      </c>
      <c r="X7024" t="s">
        <v>44914</v>
      </c>
    </row>
    <row r="7025" spans="1:24">
      <c r="A7025">
        <f>HYPERLINK("https://www.philgeps.gov.ph/GEPSNONPILOT/Tender/SplashBidNoticeAbstractUI.aspx?menuIndex=3&amp;refID=7071022&amp;Result=3","7071022")</f>
        <v>0</v>
      </c>
      <c r="B7025" t="s">
        <v>2141</v>
      </c>
      <c r="C7025" t="s">
        <v>10214</v>
      </c>
      <c r="D7025" t="s">
        <v>18125</v>
      </c>
      <c r="E7025" t="s">
        <v>24417</v>
      </c>
      <c r="F7025" t="s">
        <v>31362</v>
      </c>
      <c r="G7025" t="s">
        <v>31368</v>
      </c>
      <c r="H7025" t="s">
        <v>15799</v>
      </c>
      <c r="I7025" t="s">
        <v>31385</v>
      </c>
      <c r="J7025" t="s">
        <v>35850</v>
      </c>
      <c r="K7025" t="s">
        <v>40665</v>
      </c>
      <c r="M7025" t="s">
        <v>43270</v>
      </c>
      <c r="N7025" t="s">
        <v>44905</v>
      </c>
      <c r="O7025" t="s">
        <v>44906</v>
      </c>
      <c r="P7025">
        <v>0</v>
      </c>
      <c r="Q7025">
        <v>1</v>
      </c>
      <c r="R7025" t="s">
        <v>44910</v>
      </c>
      <c r="S7025" t="s">
        <v>45076</v>
      </c>
      <c r="T7025" t="s">
        <v>46454</v>
      </c>
      <c r="U7025" t="s">
        <v>52628</v>
      </c>
      <c r="W7025" t="s">
        <v>43270</v>
      </c>
      <c r="X7025" t="s">
        <v>44914</v>
      </c>
    </row>
    <row r="7026" spans="1:24">
      <c r="A7026">
        <f>HYPERLINK("https://www.philgeps.gov.ph/GEPSNONPILOT/Tender/SplashBidNoticeAbstractUI.aspx?menuIndex=3&amp;refID=7070991&amp;Result=3","7070991")</f>
        <v>0</v>
      </c>
      <c r="B7026" t="s">
        <v>2142</v>
      </c>
      <c r="C7026" t="s">
        <v>10215</v>
      </c>
      <c r="D7026" t="s">
        <v>18167</v>
      </c>
      <c r="E7026" t="s">
        <v>24418</v>
      </c>
      <c r="F7026" t="s">
        <v>31362</v>
      </c>
      <c r="G7026" t="s">
        <v>31369</v>
      </c>
      <c r="H7026" t="s">
        <v>31378</v>
      </c>
      <c r="I7026" t="s">
        <v>31386</v>
      </c>
      <c r="J7026" t="s">
        <v>33433</v>
      </c>
      <c r="K7026" t="s">
        <v>40686</v>
      </c>
      <c r="M7026" t="s">
        <v>43271</v>
      </c>
      <c r="N7026" t="s">
        <v>44905</v>
      </c>
      <c r="O7026" t="s">
        <v>44906</v>
      </c>
      <c r="P7026">
        <v>0</v>
      </c>
      <c r="Q7026">
        <v>0</v>
      </c>
      <c r="R7026" t="s">
        <v>44910</v>
      </c>
      <c r="S7026" t="s">
        <v>45076</v>
      </c>
      <c r="T7026" t="s">
        <v>46464</v>
      </c>
      <c r="U7026" t="s">
        <v>52629</v>
      </c>
      <c r="V7026" t="s">
        <v>59749</v>
      </c>
      <c r="W7026" t="s">
        <v>43271</v>
      </c>
      <c r="X7026" t="s">
        <v>44914</v>
      </c>
    </row>
    <row r="7027" spans="1:24">
      <c r="A7027">
        <f>HYPERLINK("https://www.philgeps.gov.ph/GEPSNONPILOT/Tender/SplashBidNoticeAbstractUI.aspx?menuIndex=3&amp;refID=7070733&amp;Result=3","7070733")</f>
        <v>0</v>
      </c>
      <c r="B7027" t="s">
        <v>2137</v>
      </c>
      <c r="C7027" t="s">
        <v>10216</v>
      </c>
      <c r="D7027" t="s">
        <v>18101</v>
      </c>
      <c r="E7027" t="s">
        <v>24402</v>
      </c>
      <c r="F7027" t="s">
        <v>31363</v>
      </c>
      <c r="G7027" t="s">
        <v>31370</v>
      </c>
      <c r="H7027" t="s">
        <v>15799</v>
      </c>
      <c r="I7027" t="s">
        <v>6373</v>
      </c>
      <c r="J7027" t="s">
        <v>35851</v>
      </c>
      <c r="K7027" t="s">
        <v>40680</v>
      </c>
      <c r="L7027" t="s">
        <v>2137</v>
      </c>
      <c r="M7027" t="s">
        <v>43266</v>
      </c>
      <c r="N7027" t="s">
        <v>44905</v>
      </c>
      <c r="O7027" t="s">
        <v>44906</v>
      </c>
      <c r="P7027">
        <v>0</v>
      </c>
      <c r="Q7027">
        <v>0</v>
      </c>
      <c r="R7027" t="s">
        <v>44910</v>
      </c>
      <c r="S7027" t="s">
        <v>45076</v>
      </c>
      <c r="T7027" t="s">
        <v>46419</v>
      </c>
      <c r="U7027" t="s">
        <v>52630</v>
      </c>
      <c r="W7027" t="s">
        <v>43266</v>
      </c>
      <c r="X7027" t="s">
        <v>44914</v>
      </c>
    </row>
    <row r="7028" spans="1:24">
      <c r="A7028">
        <f>HYPERLINK("https://www.philgeps.gov.ph/GEPSNONPILOT/Tender/SplashBidNoticeAbstractUI.aspx?menuIndex=3&amp;refID=7071268&amp;Result=3","7071268")</f>
        <v>0</v>
      </c>
      <c r="B7028" t="s">
        <v>2140</v>
      </c>
      <c r="C7028" t="s">
        <v>10217</v>
      </c>
      <c r="D7028" t="s">
        <v>18157</v>
      </c>
      <c r="E7028" t="s">
        <v>24419</v>
      </c>
      <c r="F7028" t="s">
        <v>31362</v>
      </c>
      <c r="G7028" t="s">
        <v>31369</v>
      </c>
      <c r="H7028" t="s">
        <v>15799</v>
      </c>
      <c r="I7028" t="s">
        <v>3815</v>
      </c>
      <c r="J7028" t="s">
        <v>35852</v>
      </c>
      <c r="K7028" t="s">
        <v>40670</v>
      </c>
      <c r="M7028" t="s">
        <v>43269</v>
      </c>
      <c r="N7028" t="s">
        <v>44905</v>
      </c>
      <c r="O7028" t="s">
        <v>44906</v>
      </c>
      <c r="P7028">
        <v>0</v>
      </c>
      <c r="Q7028">
        <v>1</v>
      </c>
      <c r="R7028" t="s">
        <v>44910</v>
      </c>
      <c r="S7028" t="s">
        <v>45076</v>
      </c>
      <c r="T7028" t="s">
        <v>46425</v>
      </c>
      <c r="U7028" t="s">
        <v>52631</v>
      </c>
      <c r="W7028" t="s">
        <v>43269</v>
      </c>
      <c r="X7028" t="s">
        <v>44914</v>
      </c>
    </row>
    <row r="7029" spans="1:24">
      <c r="A7029">
        <f>HYPERLINK("https://www.philgeps.gov.ph/GEPSNONPILOT/Tender/SplashBidNoticeAbstractUI.aspx?menuIndex=3&amp;refID=7070832&amp;Result=3","7070832")</f>
        <v>0</v>
      </c>
      <c r="B7029" t="s">
        <v>2143</v>
      </c>
      <c r="C7029" t="s">
        <v>10218</v>
      </c>
      <c r="D7029" t="s">
        <v>18163</v>
      </c>
      <c r="E7029" t="s">
        <v>24420</v>
      </c>
      <c r="F7029" t="s">
        <v>31362</v>
      </c>
      <c r="G7029" t="s">
        <v>31369</v>
      </c>
      <c r="H7029" t="s">
        <v>31378</v>
      </c>
      <c r="I7029" t="s">
        <v>31387</v>
      </c>
      <c r="J7029" t="s">
        <v>35853</v>
      </c>
      <c r="K7029" t="s">
        <v>40662</v>
      </c>
      <c r="M7029" t="s">
        <v>43272</v>
      </c>
      <c r="N7029" t="s">
        <v>44905</v>
      </c>
      <c r="O7029" t="s">
        <v>44906</v>
      </c>
      <c r="P7029">
        <v>0</v>
      </c>
      <c r="Q7029">
        <v>0</v>
      </c>
      <c r="R7029" t="s">
        <v>44910</v>
      </c>
      <c r="S7029" t="s">
        <v>45076</v>
      </c>
      <c r="T7029" t="s">
        <v>46393</v>
      </c>
      <c r="U7029" t="s">
        <v>52632</v>
      </c>
      <c r="W7029" t="s">
        <v>43272</v>
      </c>
      <c r="X7029" t="s">
        <v>44914</v>
      </c>
    </row>
    <row r="7030" spans="1:24">
      <c r="A7030">
        <f>HYPERLINK("https://www.philgeps.gov.ph/GEPSNONPILOT/Tender/SplashBidNoticeAbstractUI.aspx?menuIndex=3&amp;refID=7070807&amp;Result=3","7070807")</f>
        <v>0</v>
      </c>
      <c r="B7030" t="s">
        <v>2144</v>
      </c>
      <c r="C7030" t="s">
        <v>10219</v>
      </c>
      <c r="D7030" t="s">
        <v>18108</v>
      </c>
      <c r="E7030" t="s">
        <v>24421</v>
      </c>
      <c r="F7030" t="s">
        <v>31363</v>
      </c>
      <c r="G7030" t="s">
        <v>31369</v>
      </c>
      <c r="H7030" t="s">
        <v>15799</v>
      </c>
      <c r="I7030" t="s">
        <v>31409</v>
      </c>
      <c r="J7030" t="s">
        <v>31578</v>
      </c>
      <c r="K7030" t="s">
        <v>40665</v>
      </c>
      <c r="L7030" t="s">
        <v>2144</v>
      </c>
      <c r="M7030" t="s">
        <v>43273</v>
      </c>
      <c r="N7030" t="s">
        <v>44905</v>
      </c>
      <c r="O7030" t="s">
        <v>44906</v>
      </c>
      <c r="P7030">
        <v>0</v>
      </c>
      <c r="Q7030">
        <v>0</v>
      </c>
      <c r="R7030" t="s">
        <v>44910</v>
      </c>
      <c r="S7030" t="s">
        <v>45076</v>
      </c>
      <c r="T7030" t="s">
        <v>46418</v>
      </c>
      <c r="U7030" t="s">
        <v>52633</v>
      </c>
      <c r="W7030" t="s">
        <v>43273</v>
      </c>
      <c r="X7030" t="s">
        <v>44914</v>
      </c>
    </row>
    <row r="7031" spans="1:24">
      <c r="A7031">
        <f>HYPERLINK("https://www.philgeps.gov.ph/GEPSNONPILOT/Tender/SplashBidNoticeAbstractUI.aspx?menuIndex=3&amp;refID=7071420&amp;Result=3","7071420")</f>
        <v>0</v>
      </c>
      <c r="B7031" t="s">
        <v>2145</v>
      </c>
      <c r="C7031" t="s">
        <v>10220</v>
      </c>
      <c r="D7031" t="s">
        <v>18108</v>
      </c>
      <c r="E7031" t="s">
        <v>18218</v>
      </c>
      <c r="F7031" t="s">
        <v>31362</v>
      </c>
      <c r="G7031" t="s">
        <v>31369</v>
      </c>
      <c r="H7031" t="s">
        <v>15799</v>
      </c>
      <c r="I7031" t="s">
        <v>31393</v>
      </c>
      <c r="J7031" t="s">
        <v>35854</v>
      </c>
      <c r="K7031" t="s">
        <v>40739</v>
      </c>
      <c r="M7031" t="s">
        <v>43274</v>
      </c>
      <c r="N7031" t="s">
        <v>44905</v>
      </c>
      <c r="O7031" t="s">
        <v>44906</v>
      </c>
      <c r="P7031">
        <v>0</v>
      </c>
      <c r="Q7031">
        <v>22</v>
      </c>
      <c r="R7031" t="s">
        <v>44910</v>
      </c>
      <c r="S7031" t="s">
        <v>45076</v>
      </c>
      <c r="T7031" t="s">
        <v>46616</v>
      </c>
      <c r="U7031" t="s">
        <v>52634</v>
      </c>
      <c r="W7031" t="s">
        <v>43274</v>
      </c>
      <c r="X7031" t="s">
        <v>44914</v>
      </c>
    </row>
    <row r="7032" spans="1:24">
      <c r="A7032">
        <f>HYPERLINK("https://www.philgeps.gov.ph/GEPSNONPILOT/Tender/SplashBidNoticeAbstractUI.aspx?menuIndex=3&amp;refID=7071094&amp;Result=3","7071094")</f>
        <v>0</v>
      </c>
      <c r="B7032" t="s">
        <v>2142</v>
      </c>
      <c r="C7032" t="s">
        <v>10221</v>
      </c>
      <c r="D7032" t="s">
        <v>18167</v>
      </c>
      <c r="E7032" t="s">
        <v>24422</v>
      </c>
      <c r="F7032" t="s">
        <v>31362</v>
      </c>
      <c r="G7032" t="s">
        <v>31369</v>
      </c>
      <c r="H7032" t="s">
        <v>31378</v>
      </c>
      <c r="I7032" t="s">
        <v>31386</v>
      </c>
      <c r="J7032" t="s">
        <v>31951</v>
      </c>
      <c r="K7032" t="s">
        <v>40679</v>
      </c>
      <c r="M7032" t="s">
        <v>43271</v>
      </c>
      <c r="N7032" t="s">
        <v>44905</v>
      </c>
      <c r="O7032" t="s">
        <v>44906</v>
      </c>
      <c r="P7032">
        <v>0</v>
      </c>
      <c r="Q7032">
        <v>0</v>
      </c>
      <c r="R7032" t="s">
        <v>44910</v>
      </c>
      <c r="S7032" t="s">
        <v>45076</v>
      </c>
      <c r="T7032" t="s">
        <v>46464</v>
      </c>
      <c r="U7032" t="s">
        <v>52629</v>
      </c>
      <c r="V7032" t="s">
        <v>59750</v>
      </c>
      <c r="W7032" t="s">
        <v>43271</v>
      </c>
      <c r="X7032" t="s">
        <v>44914</v>
      </c>
    </row>
    <row r="7033" spans="1:24">
      <c r="A7033">
        <f>HYPERLINK("https://www.philgeps.gov.ph/GEPSNONPILOT/Tender/SplashBidNoticeAbstractUI.aspx?menuIndex=3&amp;refID=7071399&amp;Result=3","7071399")</f>
        <v>0</v>
      </c>
      <c r="B7033" t="s">
        <v>697</v>
      </c>
      <c r="C7033" t="s">
        <v>10222</v>
      </c>
      <c r="D7033" t="s">
        <v>18146</v>
      </c>
      <c r="E7033" t="s">
        <v>24423</v>
      </c>
      <c r="F7033" t="s">
        <v>31364</v>
      </c>
      <c r="G7033" t="s">
        <v>31369</v>
      </c>
      <c r="H7033" t="s">
        <v>31378</v>
      </c>
      <c r="I7033" t="s">
        <v>31386</v>
      </c>
      <c r="J7033" t="s">
        <v>35855</v>
      </c>
      <c r="K7033" t="s">
        <v>40675</v>
      </c>
      <c r="M7033" t="s">
        <v>41662</v>
      </c>
      <c r="N7033" t="s">
        <v>44905</v>
      </c>
      <c r="O7033" t="s">
        <v>44906</v>
      </c>
      <c r="P7033">
        <v>0</v>
      </c>
      <c r="Q7033">
        <v>0</v>
      </c>
      <c r="R7033" t="s">
        <v>44910</v>
      </c>
      <c r="S7033" t="s">
        <v>45076</v>
      </c>
      <c r="T7033" t="s">
        <v>46729</v>
      </c>
      <c r="U7033" t="s">
        <v>52635</v>
      </c>
      <c r="W7033" t="s">
        <v>41662</v>
      </c>
      <c r="X7033" t="s">
        <v>44914</v>
      </c>
    </row>
    <row r="7034" spans="1:24">
      <c r="A7034">
        <f>HYPERLINK("https://www.philgeps.gov.ph/GEPSNONPILOT/Tender/SplashBidNoticeAbstractUI.aspx?menuIndex=3&amp;refID=7071366&amp;Result=3","7071366")</f>
        <v>0</v>
      </c>
      <c r="B7034" t="s">
        <v>2146</v>
      </c>
      <c r="C7034" t="s">
        <v>10223</v>
      </c>
      <c r="D7034" t="s">
        <v>18157</v>
      </c>
      <c r="E7034" t="s">
        <v>24424</v>
      </c>
      <c r="F7034" t="s">
        <v>31362</v>
      </c>
      <c r="G7034" t="s">
        <v>31369</v>
      </c>
      <c r="H7034" t="s">
        <v>31377</v>
      </c>
      <c r="I7034" t="s">
        <v>31377</v>
      </c>
      <c r="J7034" t="s">
        <v>35856</v>
      </c>
      <c r="K7034" t="s">
        <v>40666</v>
      </c>
      <c r="L7034" t="s">
        <v>2146</v>
      </c>
      <c r="M7034" t="s">
        <v>43275</v>
      </c>
      <c r="N7034" t="s">
        <v>44905</v>
      </c>
      <c r="O7034" t="s">
        <v>44906</v>
      </c>
      <c r="P7034">
        <v>0</v>
      </c>
      <c r="Q7034">
        <v>3</v>
      </c>
      <c r="R7034" t="s">
        <v>44910</v>
      </c>
      <c r="S7034" t="s">
        <v>45076</v>
      </c>
      <c r="T7034" t="s">
        <v>46687</v>
      </c>
      <c r="U7034" t="s">
        <v>52636</v>
      </c>
      <c r="W7034" t="s">
        <v>60923</v>
      </c>
      <c r="X7034" t="s">
        <v>44914</v>
      </c>
    </row>
    <row r="7035" spans="1:24">
      <c r="A7035">
        <f>HYPERLINK("https://www.philgeps.gov.ph/GEPSNONPILOT/Tender/SplashBidNoticeAbstractUI.aspx?menuIndex=3&amp;refID=7071352&amp;Result=3","7071352")</f>
        <v>0</v>
      </c>
      <c r="B7035" t="s">
        <v>697</v>
      </c>
      <c r="C7035" t="s">
        <v>10224</v>
      </c>
      <c r="D7035" t="s">
        <v>18146</v>
      </c>
      <c r="E7035" t="s">
        <v>24425</v>
      </c>
      <c r="F7035" t="s">
        <v>31364</v>
      </c>
      <c r="G7035" t="s">
        <v>31369</v>
      </c>
      <c r="H7035" t="s">
        <v>31378</v>
      </c>
      <c r="I7035" t="s">
        <v>31386</v>
      </c>
      <c r="J7035" t="s">
        <v>35857</v>
      </c>
      <c r="K7035" t="s">
        <v>40718</v>
      </c>
      <c r="M7035" t="s">
        <v>41662</v>
      </c>
      <c r="N7035" t="s">
        <v>44905</v>
      </c>
      <c r="O7035" t="s">
        <v>44906</v>
      </c>
      <c r="P7035">
        <v>0</v>
      </c>
      <c r="Q7035">
        <v>0</v>
      </c>
      <c r="R7035" t="s">
        <v>44910</v>
      </c>
      <c r="S7035" t="s">
        <v>45076</v>
      </c>
      <c r="T7035" t="s">
        <v>46696</v>
      </c>
      <c r="U7035" t="s">
        <v>52637</v>
      </c>
      <c r="W7035" t="s">
        <v>41662</v>
      </c>
      <c r="X7035" t="s">
        <v>44914</v>
      </c>
    </row>
    <row r="7036" spans="1:24">
      <c r="A7036">
        <f>HYPERLINK("https://www.philgeps.gov.ph/GEPSNONPILOT/Tender/SplashBidNoticeAbstractUI.aspx?menuIndex=3&amp;refID=7071289&amp;Result=3","7071289")</f>
        <v>0</v>
      </c>
      <c r="B7036" t="s">
        <v>2140</v>
      </c>
      <c r="C7036" t="s">
        <v>10225</v>
      </c>
      <c r="D7036" t="s">
        <v>18157</v>
      </c>
      <c r="E7036" t="s">
        <v>24426</v>
      </c>
      <c r="F7036" t="s">
        <v>31362</v>
      </c>
      <c r="G7036" t="s">
        <v>31369</v>
      </c>
      <c r="H7036" t="s">
        <v>15799</v>
      </c>
      <c r="I7036" t="s">
        <v>31404</v>
      </c>
      <c r="J7036" t="s">
        <v>31872</v>
      </c>
      <c r="K7036" t="s">
        <v>40670</v>
      </c>
      <c r="M7036" t="s">
        <v>43269</v>
      </c>
      <c r="N7036" t="s">
        <v>44905</v>
      </c>
      <c r="O7036" t="s">
        <v>44906</v>
      </c>
      <c r="P7036">
        <v>0</v>
      </c>
      <c r="Q7036">
        <v>0</v>
      </c>
      <c r="R7036" t="s">
        <v>44910</v>
      </c>
      <c r="S7036" t="s">
        <v>45076</v>
      </c>
      <c r="T7036" t="s">
        <v>46425</v>
      </c>
      <c r="U7036" t="s">
        <v>52638</v>
      </c>
      <c r="W7036" t="s">
        <v>43269</v>
      </c>
      <c r="X7036" t="s">
        <v>44914</v>
      </c>
    </row>
    <row r="7037" spans="1:24">
      <c r="A7037">
        <f>HYPERLINK("https://www.philgeps.gov.ph/GEPSNONPILOT/Tender/SplashBidNoticeAbstractUI.aspx?menuIndex=3&amp;refID=7071324&amp;Result=3","7071324")</f>
        <v>0</v>
      </c>
      <c r="B7037" t="s">
        <v>2140</v>
      </c>
      <c r="C7037" t="s">
        <v>10226</v>
      </c>
      <c r="D7037" t="s">
        <v>18157</v>
      </c>
      <c r="E7037" t="s">
        <v>24427</v>
      </c>
      <c r="F7037" t="s">
        <v>31362</v>
      </c>
      <c r="G7037" t="s">
        <v>31369</v>
      </c>
      <c r="H7037" t="s">
        <v>15799</v>
      </c>
      <c r="I7037" t="s">
        <v>3815</v>
      </c>
      <c r="J7037" t="s">
        <v>31625</v>
      </c>
      <c r="K7037" t="s">
        <v>40670</v>
      </c>
      <c r="M7037" t="s">
        <v>43269</v>
      </c>
      <c r="N7037" t="s">
        <v>44905</v>
      </c>
      <c r="O7037" t="s">
        <v>44906</v>
      </c>
      <c r="P7037">
        <v>0</v>
      </c>
      <c r="Q7037">
        <v>2</v>
      </c>
      <c r="R7037" t="s">
        <v>44910</v>
      </c>
      <c r="S7037" t="s">
        <v>45076</v>
      </c>
      <c r="T7037" t="s">
        <v>46464</v>
      </c>
      <c r="U7037" t="s">
        <v>52638</v>
      </c>
      <c r="W7037" t="s">
        <v>43269</v>
      </c>
      <c r="X7037" t="s">
        <v>44914</v>
      </c>
    </row>
    <row r="7038" spans="1:24">
      <c r="A7038">
        <f>HYPERLINK("https://www.philgeps.gov.ph/GEPSNONPILOT/Tender/SplashBidNoticeAbstractUI.aspx?menuIndex=3&amp;refID=7071475&amp;Result=3","7071475")</f>
        <v>0</v>
      </c>
      <c r="B7038" t="s">
        <v>2147</v>
      </c>
      <c r="C7038" t="s">
        <v>10227</v>
      </c>
      <c r="D7038" t="s">
        <v>18141</v>
      </c>
      <c r="E7038" t="s">
        <v>24428</v>
      </c>
      <c r="F7038" t="s">
        <v>31362</v>
      </c>
      <c r="G7038" t="s">
        <v>31369</v>
      </c>
      <c r="H7038" t="s">
        <v>15799</v>
      </c>
      <c r="I7038" t="s">
        <v>31409</v>
      </c>
      <c r="J7038" t="s">
        <v>32894</v>
      </c>
      <c r="K7038" t="s">
        <v>40662</v>
      </c>
      <c r="M7038" t="s">
        <v>43276</v>
      </c>
      <c r="N7038" t="s">
        <v>44905</v>
      </c>
      <c r="O7038" t="s">
        <v>44906</v>
      </c>
      <c r="P7038">
        <v>0</v>
      </c>
      <c r="Q7038">
        <v>4</v>
      </c>
      <c r="R7038" t="s">
        <v>44910</v>
      </c>
      <c r="S7038" t="s">
        <v>45076</v>
      </c>
      <c r="T7038" t="s">
        <v>46745</v>
      </c>
      <c r="U7038" t="s">
        <v>52639</v>
      </c>
      <c r="W7038" t="s">
        <v>43276</v>
      </c>
      <c r="X7038" t="s">
        <v>44914</v>
      </c>
    </row>
    <row r="7039" spans="1:24">
      <c r="A7039">
        <f>HYPERLINK("https://www.philgeps.gov.ph/GEPSNONPILOT/Tender/SplashBidNoticeAbstractUI.aspx?menuIndex=3&amp;refID=7071922&amp;Result=3","7071922")</f>
        <v>0</v>
      </c>
      <c r="B7039" t="s">
        <v>966</v>
      </c>
      <c r="C7039" t="s">
        <v>10228</v>
      </c>
      <c r="D7039" t="s">
        <v>18103</v>
      </c>
      <c r="E7039" t="s">
        <v>24429</v>
      </c>
      <c r="F7039" t="s">
        <v>31362</v>
      </c>
      <c r="G7039" t="s">
        <v>31369</v>
      </c>
      <c r="H7039" t="s">
        <v>31378</v>
      </c>
      <c r="I7039" t="s">
        <v>31386</v>
      </c>
      <c r="J7039" t="s">
        <v>35858</v>
      </c>
      <c r="K7039" t="s">
        <v>40708</v>
      </c>
      <c r="M7039" t="s">
        <v>41956</v>
      </c>
      <c r="N7039" t="s">
        <v>44905</v>
      </c>
      <c r="O7039" t="s">
        <v>44906</v>
      </c>
      <c r="P7039">
        <v>0</v>
      </c>
      <c r="Q7039">
        <v>1</v>
      </c>
      <c r="R7039" t="s">
        <v>44910</v>
      </c>
      <c r="S7039" t="s">
        <v>45076</v>
      </c>
      <c r="T7039" t="s">
        <v>46433</v>
      </c>
      <c r="U7039" t="s">
        <v>52640</v>
      </c>
      <c r="V7039" t="s">
        <v>59665</v>
      </c>
      <c r="W7039" t="s">
        <v>41956</v>
      </c>
      <c r="X7039" t="s">
        <v>44914</v>
      </c>
    </row>
    <row r="7040" spans="1:24">
      <c r="A7040">
        <f>HYPERLINK("https://www.philgeps.gov.ph/GEPSNONPILOT/Tender/SplashBidNoticeAbstractUI.aspx?menuIndex=3&amp;refID=7071496&amp;Result=3","7071496")</f>
        <v>0</v>
      </c>
      <c r="B7040" t="s">
        <v>1655</v>
      </c>
      <c r="C7040" t="s">
        <v>8317</v>
      </c>
      <c r="D7040" t="s">
        <v>18136</v>
      </c>
      <c r="E7040" t="s">
        <v>24430</v>
      </c>
      <c r="F7040" t="s">
        <v>31362</v>
      </c>
      <c r="G7040" t="s">
        <v>31369</v>
      </c>
      <c r="H7040" t="s">
        <v>15799</v>
      </c>
      <c r="I7040" t="s">
        <v>31380</v>
      </c>
      <c r="J7040" t="s">
        <v>35859</v>
      </c>
      <c r="K7040" t="s">
        <v>40661</v>
      </c>
      <c r="M7040" t="s">
        <v>42720</v>
      </c>
      <c r="N7040" t="s">
        <v>44905</v>
      </c>
      <c r="O7040" t="s">
        <v>44906</v>
      </c>
      <c r="P7040">
        <v>0</v>
      </c>
      <c r="Q7040">
        <v>6</v>
      </c>
      <c r="R7040" t="s">
        <v>44910</v>
      </c>
      <c r="S7040" t="s">
        <v>45076</v>
      </c>
      <c r="T7040" t="s">
        <v>46450</v>
      </c>
      <c r="U7040" t="s">
        <v>51021</v>
      </c>
      <c r="V7040" t="s">
        <v>59751</v>
      </c>
      <c r="W7040" t="s">
        <v>42720</v>
      </c>
      <c r="X7040" t="s">
        <v>44914</v>
      </c>
    </row>
    <row r="7041" spans="1:24">
      <c r="A7041">
        <f>HYPERLINK("https://www.philgeps.gov.ph/GEPSNONPILOT/Tender/SplashBidNoticeAbstractUI.aspx?menuIndex=3&amp;refID=7071920&amp;Result=3","7071920")</f>
        <v>0</v>
      </c>
      <c r="B7041" t="s">
        <v>1310</v>
      </c>
      <c r="C7041" t="s">
        <v>10229</v>
      </c>
      <c r="D7041" t="s">
        <v>18122</v>
      </c>
      <c r="E7041" t="s">
        <v>19648</v>
      </c>
      <c r="F7041" t="s">
        <v>31362</v>
      </c>
      <c r="G7041" t="s">
        <v>31368</v>
      </c>
      <c r="H7041" t="s">
        <v>15799</v>
      </c>
      <c r="I7041" t="s">
        <v>31393</v>
      </c>
      <c r="J7041" t="s">
        <v>31722</v>
      </c>
      <c r="K7041" t="s">
        <v>40697</v>
      </c>
      <c r="M7041" t="s">
        <v>42328</v>
      </c>
      <c r="N7041" t="s">
        <v>44905</v>
      </c>
      <c r="O7041" t="s">
        <v>44906</v>
      </c>
      <c r="P7041">
        <v>0</v>
      </c>
      <c r="Q7041">
        <v>3</v>
      </c>
      <c r="R7041" t="s">
        <v>44910</v>
      </c>
      <c r="S7041" t="s">
        <v>45076</v>
      </c>
      <c r="T7041" t="s">
        <v>46409</v>
      </c>
      <c r="U7041" t="s">
        <v>52641</v>
      </c>
      <c r="W7041" t="s">
        <v>42328</v>
      </c>
      <c r="X7041" t="s">
        <v>44914</v>
      </c>
    </row>
    <row r="7042" spans="1:24">
      <c r="A7042">
        <f>HYPERLINK("https://www.philgeps.gov.ph/GEPSNONPILOT/Tender/SplashBidNoticeAbstractUI.aspx?menuIndex=3&amp;refID=7071846&amp;Result=3","7071846")</f>
        <v>0</v>
      </c>
      <c r="B7042" t="s">
        <v>2148</v>
      </c>
      <c r="C7042" t="s">
        <v>10230</v>
      </c>
      <c r="D7042" t="s">
        <v>18160</v>
      </c>
      <c r="E7042" t="s">
        <v>24431</v>
      </c>
      <c r="F7042" t="s">
        <v>31362</v>
      </c>
      <c r="G7042" t="s">
        <v>31368</v>
      </c>
      <c r="H7042" t="s">
        <v>15799</v>
      </c>
      <c r="I7042" t="s">
        <v>4942</v>
      </c>
      <c r="J7042" t="s">
        <v>35860</v>
      </c>
      <c r="K7042" t="s">
        <v>40693</v>
      </c>
      <c r="M7042" t="s">
        <v>43277</v>
      </c>
      <c r="N7042" t="s">
        <v>44905</v>
      </c>
      <c r="O7042" t="s">
        <v>44906</v>
      </c>
      <c r="P7042">
        <v>0</v>
      </c>
      <c r="Q7042">
        <v>0</v>
      </c>
      <c r="R7042" t="s">
        <v>44910</v>
      </c>
      <c r="S7042" t="s">
        <v>45076</v>
      </c>
      <c r="T7042" t="s">
        <v>46446</v>
      </c>
      <c r="U7042" t="s">
        <v>52642</v>
      </c>
      <c r="W7042" t="s">
        <v>43277</v>
      </c>
      <c r="X7042" t="s">
        <v>44914</v>
      </c>
    </row>
    <row r="7043" spans="1:24">
      <c r="A7043">
        <f>HYPERLINK("https://www.philgeps.gov.ph/GEPSNONPILOT/Tender/SplashBidNoticeAbstractUI.aspx?menuIndex=3&amp;refID=7071793&amp;Result=3","7071793")</f>
        <v>0</v>
      </c>
      <c r="B7043" t="s">
        <v>2149</v>
      </c>
      <c r="C7043" t="s">
        <v>8019</v>
      </c>
      <c r="D7043" t="s">
        <v>18130</v>
      </c>
      <c r="E7043" t="s">
        <v>18479</v>
      </c>
      <c r="F7043" t="s">
        <v>31362</v>
      </c>
      <c r="G7043" t="s">
        <v>31369</v>
      </c>
      <c r="H7043" t="s">
        <v>31378</v>
      </c>
      <c r="I7043" t="s">
        <v>3815</v>
      </c>
      <c r="J7043" t="s">
        <v>35861</v>
      </c>
      <c r="K7043" t="s">
        <v>40662</v>
      </c>
      <c r="M7043" t="s">
        <v>43278</v>
      </c>
      <c r="N7043" t="s">
        <v>44905</v>
      </c>
      <c r="O7043" t="s">
        <v>44906</v>
      </c>
      <c r="P7043">
        <v>0</v>
      </c>
      <c r="Q7043">
        <v>0</v>
      </c>
      <c r="R7043" t="s">
        <v>44910</v>
      </c>
      <c r="S7043" t="s">
        <v>45076</v>
      </c>
      <c r="T7043" t="s">
        <v>46415</v>
      </c>
      <c r="U7043" t="s">
        <v>52643</v>
      </c>
      <c r="W7043" t="s">
        <v>43278</v>
      </c>
      <c r="X7043" t="s">
        <v>44914</v>
      </c>
    </row>
    <row r="7044" spans="1:24">
      <c r="A7044">
        <f>HYPERLINK("https://www.philgeps.gov.ph/GEPSNONPILOT/Tender/SplashBidNoticeAbstractUI.aspx?menuIndex=3&amp;refID=7071704&amp;Result=3","7071704")</f>
        <v>0</v>
      </c>
      <c r="B7044" t="s">
        <v>2150</v>
      </c>
      <c r="C7044" t="s">
        <v>10231</v>
      </c>
      <c r="D7044" t="s">
        <v>18108</v>
      </c>
      <c r="E7044" t="s">
        <v>24432</v>
      </c>
      <c r="F7044" t="s">
        <v>31362</v>
      </c>
      <c r="G7044" t="s">
        <v>31369</v>
      </c>
      <c r="H7044" t="s">
        <v>15799</v>
      </c>
      <c r="I7044" t="s">
        <v>31409</v>
      </c>
      <c r="J7044" t="s">
        <v>33097</v>
      </c>
      <c r="K7044" t="s">
        <v>40675</v>
      </c>
      <c r="M7044" t="s">
        <v>43279</v>
      </c>
      <c r="N7044" t="s">
        <v>44905</v>
      </c>
      <c r="O7044" t="s">
        <v>44906</v>
      </c>
      <c r="P7044">
        <v>0</v>
      </c>
      <c r="Q7044">
        <v>8</v>
      </c>
      <c r="R7044" t="s">
        <v>44910</v>
      </c>
      <c r="S7044" t="s">
        <v>45076</v>
      </c>
      <c r="T7044" t="s">
        <v>46696</v>
      </c>
      <c r="U7044" t="s">
        <v>52644</v>
      </c>
      <c r="W7044" t="s">
        <v>43279</v>
      </c>
      <c r="X7044" t="s">
        <v>44914</v>
      </c>
    </row>
    <row r="7045" spans="1:24">
      <c r="A7045">
        <f>HYPERLINK("https://www.philgeps.gov.ph/GEPSNONPILOT/Tender/SplashBidNoticeAbstractUI.aspx?menuIndex=3&amp;refID=7071264&amp;Result=3","7071264")</f>
        <v>0</v>
      </c>
      <c r="B7045" t="s">
        <v>2146</v>
      </c>
      <c r="C7045" t="s">
        <v>10232</v>
      </c>
      <c r="D7045" t="s">
        <v>18157</v>
      </c>
      <c r="E7045" t="s">
        <v>24433</v>
      </c>
      <c r="F7045" t="s">
        <v>31362</v>
      </c>
      <c r="G7045" t="s">
        <v>31369</v>
      </c>
      <c r="H7045" t="s">
        <v>31377</v>
      </c>
      <c r="I7045" t="s">
        <v>31377</v>
      </c>
      <c r="J7045" t="s">
        <v>35862</v>
      </c>
      <c r="K7045" t="s">
        <v>40682</v>
      </c>
      <c r="L7045" t="s">
        <v>2146</v>
      </c>
      <c r="M7045" t="s">
        <v>43275</v>
      </c>
      <c r="N7045" t="s">
        <v>44905</v>
      </c>
      <c r="O7045" t="s">
        <v>44906</v>
      </c>
      <c r="P7045">
        <v>0</v>
      </c>
      <c r="Q7045">
        <v>3</v>
      </c>
      <c r="R7045" t="s">
        <v>44910</v>
      </c>
      <c r="S7045" t="s">
        <v>45076</v>
      </c>
      <c r="T7045" t="s">
        <v>46687</v>
      </c>
      <c r="U7045" t="s">
        <v>52645</v>
      </c>
      <c r="W7045" t="s">
        <v>60923</v>
      </c>
      <c r="X7045" t="s">
        <v>44914</v>
      </c>
    </row>
    <row r="7046" spans="1:24">
      <c r="A7046">
        <f>HYPERLINK("https://www.philgeps.gov.ph/GEPSNONPILOT/Tender/SplashBidNoticeAbstractUI.aspx?menuIndex=3&amp;refID=7071685&amp;Result=3","7071685")</f>
        <v>0</v>
      </c>
      <c r="B7046" t="s">
        <v>1655</v>
      </c>
      <c r="C7046" t="s">
        <v>10233</v>
      </c>
      <c r="D7046" t="s">
        <v>18136</v>
      </c>
      <c r="E7046" t="s">
        <v>24434</v>
      </c>
      <c r="F7046" t="s">
        <v>31362</v>
      </c>
      <c r="G7046" t="s">
        <v>31369</v>
      </c>
      <c r="H7046" t="s">
        <v>31378</v>
      </c>
      <c r="I7046" t="s">
        <v>31386</v>
      </c>
      <c r="J7046" t="s">
        <v>35863</v>
      </c>
      <c r="K7046" t="s">
        <v>40686</v>
      </c>
      <c r="M7046" t="s">
        <v>42720</v>
      </c>
      <c r="N7046" t="s">
        <v>44905</v>
      </c>
      <c r="O7046" t="s">
        <v>44906</v>
      </c>
      <c r="P7046">
        <v>0</v>
      </c>
      <c r="Q7046">
        <v>2</v>
      </c>
      <c r="R7046" t="s">
        <v>44910</v>
      </c>
      <c r="S7046" t="s">
        <v>45076</v>
      </c>
      <c r="T7046" t="s">
        <v>46431</v>
      </c>
      <c r="U7046" t="s">
        <v>52646</v>
      </c>
      <c r="W7046" t="s">
        <v>42720</v>
      </c>
      <c r="X7046" t="s">
        <v>44914</v>
      </c>
    </row>
    <row r="7047" spans="1:24">
      <c r="A7047">
        <f>HYPERLINK("https://www.philgeps.gov.ph/GEPSNONPILOT/Tender/SplashBidNoticeAbstractUI.aspx?menuIndex=3&amp;refID=7071681&amp;Result=3","7071681")</f>
        <v>0</v>
      </c>
      <c r="B7047" t="s">
        <v>2151</v>
      </c>
      <c r="C7047" t="s">
        <v>10234</v>
      </c>
      <c r="D7047" t="s">
        <v>18139</v>
      </c>
      <c r="E7047" t="s">
        <v>19224</v>
      </c>
      <c r="F7047" t="s">
        <v>31362</v>
      </c>
      <c r="G7047" t="s">
        <v>31368</v>
      </c>
      <c r="H7047" t="s">
        <v>15799</v>
      </c>
      <c r="I7047" t="s">
        <v>31427</v>
      </c>
      <c r="J7047" t="s">
        <v>32391</v>
      </c>
      <c r="K7047" t="s">
        <v>40681</v>
      </c>
      <c r="M7047" t="s">
        <v>43280</v>
      </c>
      <c r="N7047" t="s">
        <v>44905</v>
      </c>
      <c r="O7047" t="s">
        <v>44906</v>
      </c>
      <c r="P7047">
        <v>0</v>
      </c>
      <c r="Q7047">
        <v>12</v>
      </c>
      <c r="R7047" t="s">
        <v>44910</v>
      </c>
      <c r="S7047" t="s">
        <v>45076</v>
      </c>
      <c r="T7047" t="s">
        <v>46454</v>
      </c>
      <c r="U7047" t="s">
        <v>52647</v>
      </c>
      <c r="W7047" t="s">
        <v>43280</v>
      </c>
      <c r="X7047" t="s">
        <v>44914</v>
      </c>
    </row>
    <row r="7048" spans="1:24">
      <c r="A7048">
        <f>HYPERLINK("https://www.philgeps.gov.ph/GEPSNONPILOT/Tender/SplashBidNoticeAbstractUI.aspx?menuIndex=3&amp;refID=7071527&amp;Result=3","7071527")</f>
        <v>0</v>
      </c>
      <c r="B7048" t="s">
        <v>1655</v>
      </c>
      <c r="C7048" t="s">
        <v>8413</v>
      </c>
      <c r="D7048" t="s">
        <v>18136</v>
      </c>
      <c r="E7048" t="s">
        <v>24435</v>
      </c>
      <c r="F7048" t="s">
        <v>31362</v>
      </c>
      <c r="G7048" t="s">
        <v>31369</v>
      </c>
      <c r="H7048" t="s">
        <v>15799</v>
      </c>
      <c r="I7048" t="s">
        <v>31409</v>
      </c>
      <c r="J7048" t="s">
        <v>35864</v>
      </c>
      <c r="K7048" t="s">
        <v>40665</v>
      </c>
      <c r="M7048" t="s">
        <v>42720</v>
      </c>
      <c r="N7048" t="s">
        <v>44905</v>
      </c>
      <c r="O7048" t="s">
        <v>44906</v>
      </c>
      <c r="P7048">
        <v>0</v>
      </c>
      <c r="Q7048">
        <v>4</v>
      </c>
      <c r="R7048" t="s">
        <v>44910</v>
      </c>
      <c r="S7048" t="s">
        <v>45076</v>
      </c>
      <c r="T7048" t="s">
        <v>46450</v>
      </c>
      <c r="U7048" t="s">
        <v>50983</v>
      </c>
      <c r="V7048" t="s">
        <v>59752</v>
      </c>
      <c r="W7048" t="s">
        <v>42720</v>
      </c>
      <c r="X7048" t="s">
        <v>44914</v>
      </c>
    </row>
    <row r="7049" spans="1:24">
      <c r="A7049">
        <f>HYPERLINK("https://www.philgeps.gov.ph/GEPSNONPILOT/Tender/SplashBidNoticeAbstractUI.aspx?menuIndex=3&amp;refID=7071941&amp;Result=3","7071941")</f>
        <v>0</v>
      </c>
      <c r="B7049" t="s">
        <v>966</v>
      </c>
      <c r="C7049" t="s">
        <v>10235</v>
      </c>
      <c r="D7049" t="s">
        <v>18103</v>
      </c>
      <c r="E7049" t="s">
        <v>24436</v>
      </c>
      <c r="F7049" t="s">
        <v>31362</v>
      </c>
      <c r="G7049" t="s">
        <v>31369</v>
      </c>
      <c r="H7049" t="s">
        <v>15799</v>
      </c>
      <c r="I7049" t="s">
        <v>7188</v>
      </c>
      <c r="J7049" t="s">
        <v>35865</v>
      </c>
      <c r="K7049" t="s">
        <v>40666</v>
      </c>
      <c r="M7049" t="s">
        <v>41956</v>
      </c>
      <c r="N7049" t="s">
        <v>44905</v>
      </c>
      <c r="O7049" t="s">
        <v>44906</v>
      </c>
      <c r="P7049">
        <v>0</v>
      </c>
      <c r="Q7049">
        <v>9</v>
      </c>
      <c r="R7049" t="s">
        <v>44910</v>
      </c>
      <c r="S7049" t="s">
        <v>45076</v>
      </c>
      <c r="T7049" t="s">
        <v>46559</v>
      </c>
      <c r="U7049" t="s">
        <v>52648</v>
      </c>
      <c r="V7049" t="s">
        <v>59753</v>
      </c>
      <c r="W7049" t="s">
        <v>41956</v>
      </c>
      <c r="X7049" t="s">
        <v>44914</v>
      </c>
    </row>
    <row r="7050" spans="1:24">
      <c r="A7050">
        <f>HYPERLINK("https://www.philgeps.gov.ph/GEPSNONPILOT/Tender/SplashBidNoticeAbstractUI.aspx?menuIndex=3&amp;refID=7071658&amp;Result=3","7071658")</f>
        <v>0</v>
      </c>
      <c r="B7050" t="s">
        <v>1655</v>
      </c>
      <c r="C7050" t="s">
        <v>10236</v>
      </c>
      <c r="D7050" t="s">
        <v>18136</v>
      </c>
      <c r="E7050" t="s">
        <v>24437</v>
      </c>
      <c r="F7050" t="s">
        <v>31362</v>
      </c>
      <c r="G7050" t="s">
        <v>31369</v>
      </c>
      <c r="H7050" t="s">
        <v>31378</v>
      </c>
      <c r="I7050" t="s">
        <v>31386</v>
      </c>
      <c r="J7050" t="s">
        <v>35866</v>
      </c>
      <c r="K7050" t="s">
        <v>40686</v>
      </c>
      <c r="M7050" t="s">
        <v>42720</v>
      </c>
      <c r="N7050" t="s">
        <v>44905</v>
      </c>
      <c r="O7050" t="s">
        <v>44906</v>
      </c>
      <c r="P7050">
        <v>0</v>
      </c>
      <c r="Q7050">
        <v>0</v>
      </c>
      <c r="R7050" t="s">
        <v>44910</v>
      </c>
      <c r="S7050" t="s">
        <v>45076</v>
      </c>
      <c r="T7050" t="s">
        <v>46431</v>
      </c>
      <c r="U7050" t="s">
        <v>52649</v>
      </c>
      <c r="W7050" t="s">
        <v>42720</v>
      </c>
      <c r="X7050" t="s">
        <v>44914</v>
      </c>
    </row>
    <row r="7051" spans="1:24">
      <c r="A7051">
        <f>HYPERLINK("https://www.philgeps.gov.ph/GEPSNONPILOT/Tender/SplashBidNoticeAbstractUI.aspx?menuIndex=3&amp;refID=7071611&amp;Result=3","7071611")</f>
        <v>0</v>
      </c>
      <c r="B7051" t="s">
        <v>1655</v>
      </c>
      <c r="C7051" t="s">
        <v>10237</v>
      </c>
      <c r="D7051" t="s">
        <v>18136</v>
      </c>
      <c r="E7051" t="s">
        <v>24438</v>
      </c>
      <c r="F7051" t="s">
        <v>31362</v>
      </c>
      <c r="G7051" t="s">
        <v>31369</v>
      </c>
      <c r="H7051" t="s">
        <v>31378</v>
      </c>
      <c r="I7051" t="s">
        <v>31386</v>
      </c>
      <c r="J7051" t="s">
        <v>35867</v>
      </c>
      <c r="K7051" t="s">
        <v>40682</v>
      </c>
      <c r="M7051" t="s">
        <v>42720</v>
      </c>
      <c r="N7051" t="s">
        <v>44905</v>
      </c>
      <c r="O7051" t="s">
        <v>44906</v>
      </c>
      <c r="P7051">
        <v>0</v>
      </c>
      <c r="Q7051">
        <v>0</v>
      </c>
      <c r="R7051" t="s">
        <v>44910</v>
      </c>
      <c r="S7051" t="s">
        <v>45076</v>
      </c>
      <c r="T7051" t="s">
        <v>46431</v>
      </c>
      <c r="U7051" t="s">
        <v>52650</v>
      </c>
      <c r="W7051" t="s">
        <v>42720</v>
      </c>
      <c r="X7051" t="s">
        <v>44914</v>
      </c>
    </row>
    <row r="7052" spans="1:24">
      <c r="A7052">
        <f>HYPERLINK("https://www.philgeps.gov.ph/GEPSNONPILOT/Tender/SplashBidNoticeAbstractUI.aspx?menuIndex=3&amp;refID=7071591&amp;Result=3","7071591")</f>
        <v>0</v>
      </c>
      <c r="B7052" t="s">
        <v>1655</v>
      </c>
      <c r="C7052" t="s">
        <v>10238</v>
      </c>
      <c r="D7052" t="s">
        <v>18136</v>
      </c>
      <c r="E7052" t="s">
        <v>24439</v>
      </c>
      <c r="F7052" t="s">
        <v>31362</v>
      </c>
      <c r="G7052" t="s">
        <v>31369</v>
      </c>
      <c r="H7052" t="s">
        <v>31378</v>
      </c>
      <c r="I7052" t="s">
        <v>31386</v>
      </c>
      <c r="J7052" t="s">
        <v>35868</v>
      </c>
      <c r="K7052" t="s">
        <v>40678</v>
      </c>
      <c r="M7052" t="s">
        <v>42720</v>
      </c>
      <c r="N7052" t="s">
        <v>44905</v>
      </c>
      <c r="O7052" t="s">
        <v>44906</v>
      </c>
      <c r="P7052">
        <v>0</v>
      </c>
      <c r="Q7052">
        <v>1</v>
      </c>
      <c r="R7052" t="s">
        <v>44910</v>
      </c>
      <c r="S7052" t="s">
        <v>45076</v>
      </c>
      <c r="T7052" t="s">
        <v>46431</v>
      </c>
      <c r="U7052" t="s">
        <v>52651</v>
      </c>
      <c r="W7052" t="s">
        <v>42720</v>
      </c>
      <c r="X7052" t="s">
        <v>44914</v>
      </c>
    </row>
    <row r="7053" spans="1:24">
      <c r="A7053">
        <f>HYPERLINK("https://www.philgeps.gov.ph/GEPSNONPILOT/Tender/SplashBidNoticeAbstractUI.aspx?menuIndex=3&amp;refID=7071537&amp;Result=3","7071537")</f>
        <v>0</v>
      </c>
      <c r="B7053" t="s">
        <v>1217</v>
      </c>
      <c r="C7053" t="s">
        <v>10239</v>
      </c>
      <c r="D7053" t="s">
        <v>18106</v>
      </c>
      <c r="E7053" t="s">
        <v>24440</v>
      </c>
      <c r="F7053" t="s">
        <v>31362</v>
      </c>
      <c r="G7053" t="s">
        <v>31369</v>
      </c>
      <c r="H7053" t="s">
        <v>31378</v>
      </c>
      <c r="I7053" t="s">
        <v>31386</v>
      </c>
      <c r="J7053" t="s">
        <v>35869</v>
      </c>
      <c r="K7053" t="s">
        <v>40684</v>
      </c>
      <c r="M7053" t="s">
        <v>43281</v>
      </c>
      <c r="N7053" t="s">
        <v>44905</v>
      </c>
      <c r="O7053" t="s">
        <v>44906</v>
      </c>
      <c r="P7053">
        <v>0</v>
      </c>
      <c r="Q7053">
        <v>2</v>
      </c>
      <c r="R7053" t="s">
        <v>44910</v>
      </c>
      <c r="S7053" t="s">
        <v>45076</v>
      </c>
      <c r="T7053" t="s">
        <v>46511</v>
      </c>
      <c r="U7053" t="s">
        <v>52652</v>
      </c>
      <c r="V7053" t="s">
        <v>59754</v>
      </c>
      <c r="W7053" t="s">
        <v>43281</v>
      </c>
      <c r="X7053" t="s">
        <v>44914</v>
      </c>
    </row>
    <row r="7054" spans="1:24">
      <c r="A7054">
        <f>HYPERLINK("https://www.philgeps.gov.ph/GEPSNONPILOT/Tender/SplashBidNoticeAbstractUI.aspx?menuIndex=3&amp;refID=7071925&amp;Result=3","7071925")</f>
        <v>0</v>
      </c>
      <c r="B7054" t="s">
        <v>2145</v>
      </c>
      <c r="C7054" t="s">
        <v>10240</v>
      </c>
      <c r="D7054" t="s">
        <v>18108</v>
      </c>
      <c r="E7054" t="s">
        <v>21896</v>
      </c>
      <c r="F7054" t="s">
        <v>31362</v>
      </c>
      <c r="G7054" t="s">
        <v>31369</v>
      </c>
      <c r="H7054" t="s">
        <v>15799</v>
      </c>
      <c r="I7054" t="s">
        <v>31393</v>
      </c>
      <c r="J7054" t="s">
        <v>31534</v>
      </c>
      <c r="K7054" t="s">
        <v>40682</v>
      </c>
      <c r="M7054" t="s">
        <v>43274</v>
      </c>
      <c r="N7054" t="s">
        <v>44905</v>
      </c>
      <c r="O7054" t="s">
        <v>44906</v>
      </c>
      <c r="P7054">
        <v>0</v>
      </c>
      <c r="Q7054">
        <v>15</v>
      </c>
      <c r="R7054" t="s">
        <v>44910</v>
      </c>
      <c r="S7054" t="s">
        <v>45076</v>
      </c>
      <c r="T7054" t="s">
        <v>46433</v>
      </c>
      <c r="U7054" t="s">
        <v>52653</v>
      </c>
      <c r="W7054" t="s">
        <v>43274</v>
      </c>
      <c r="X7054" t="s">
        <v>44914</v>
      </c>
    </row>
    <row r="7055" spans="1:24">
      <c r="A7055">
        <f>HYPERLINK("https://www.philgeps.gov.ph/GEPSNONPILOT/Tender/SplashBidNoticeAbstractUI.aspx?menuIndex=3&amp;refID=7071708&amp;Result=3","7071708")</f>
        <v>0</v>
      </c>
      <c r="B7055" t="s">
        <v>48</v>
      </c>
      <c r="C7055" t="s">
        <v>10241</v>
      </c>
      <c r="D7055" t="s">
        <v>18117</v>
      </c>
      <c r="E7055" t="s">
        <v>24441</v>
      </c>
      <c r="F7055" t="s">
        <v>31362</v>
      </c>
      <c r="G7055" t="s">
        <v>31369</v>
      </c>
      <c r="H7055" t="s">
        <v>15799</v>
      </c>
      <c r="I7055" t="s">
        <v>31414</v>
      </c>
      <c r="J7055" t="s">
        <v>31530</v>
      </c>
      <c r="K7055" t="s">
        <v>40661</v>
      </c>
      <c r="M7055" t="s">
        <v>40997</v>
      </c>
      <c r="N7055" t="s">
        <v>44905</v>
      </c>
      <c r="O7055" t="s">
        <v>44906</v>
      </c>
      <c r="P7055">
        <v>0</v>
      </c>
      <c r="Q7055">
        <v>5</v>
      </c>
      <c r="R7055" t="s">
        <v>44910</v>
      </c>
      <c r="S7055" t="s">
        <v>45076</v>
      </c>
      <c r="T7055" t="s">
        <v>46499</v>
      </c>
      <c r="U7055" t="s">
        <v>52654</v>
      </c>
      <c r="V7055" t="s">
        <v>59085</v>
      </c>
      <c r="W7055" t="s">
        <v>40997</v>
      </c>
      <c r="X7055" t="s">
        <v>44914</v>
      </c>
    </row>
    <row r="7056" spans="1:24">
      <c r="A7056">
        <f>HYPERLINK("https://www.philgeps.gov.ph/GEPSNONPILOT/Tender/SplashBidNoticeAbstractUI.aspx?menuIndex=3&amp;refID=7072148&amp;Result=3","7072148")</f>
        <v>0</v>
      </c>
      <c r="B7056" t="s">
        <v>2152</v>
      </c>
      <c r="C7056" t="s">
        <v>10242</v>
      </c>
      <c r="D7056" t="s">
        <v>18101</v>
      </c>
      <c r="E7056" t="s">
        <v>24442</v>
      </c>
      <c r="F7056" t="s">
        <v>31362</v>
      </c>
      <c r="G7056" t="s">
        <v>31369</v>
      </c>
      <c r="H7056" t="s">
        <v>15799</v>
      </c>
      <c r="I7056" t="s">
        <v>31409</v>
      </c>
      <c r="J7056" t="s">
        <v>31606</v>
      </c>
      <c r="K7056" t="s">
        <v>40665</v>
      </c>
      <c r="M7056" t="s">
        <v>43282</v>
      </c>
      <c r="N7056" t="s">
        <v>44905</v>
      </c>
      <c r="O7056" t="s">
        <v>44906</v>
      </c>
      <c r="P7056">
        <v>0</v>
      </c>
      <c r="Q7056">
        <v>5</v>
      </c>
      <c r="R7056" t="s">
        <v>44910</v>
      </c>
      <c r="S7056" t="s">
        <v>45076</v>
      </c>
      <c r="T7056" t="s">
        <v>46697</v>
      </c>
      <c r="U7056" t="s">
        <v>52655</v>
      </c>
      <c r="W7056" t="s">
        <v>43282</v>
      </c>
      <c r="X7056" t="s">
        <v>44914</v>
      </c>
    </row>
    <row r="7057" spans="1:24">
      <c r="A7057">
        <f>HYPERLINK("https://www.philgeps.gov.ph/GEPSNONPILOT/Tender/SplashBidNoticeAbstractUI.aspx?menuIndex=3&amp;refID=7071695&amp;Result=3","7071695")</f>
        <v>0</v>
      </c>
      <c r="B7057" t="s">
        <v>1655</v>
      </c>
      <c r="C7057" t="s">
        <v>10243</v>
      </c>
      <c r="D7057" t="s">
        <v>18136</v>
      </c>
      <c r="E7057" t="s">
        <v>24443</v>
      </c>
      <c r="F7057" t="s">
        <v>31362</v>
      </c>
      <c r="G7057" t="s">
        <v>31369</v>
      </c>
      <c r="H7057" t="s">
        <v>31378</v>
      </c>
      <c r="I7057" t="s">
        <v>31386</v>
      </c>
      <c r="J7057" t="s">
        <v>35870</v>
      </c>
      <c r="K7057" t="s">
        <v>40824</v>
      </c>
      <c r="M7057" t="s">
        <v>42720</v>
      </c>
      <c r="N7057" t="s">
        <v>44905</v>
      </c>
      <c r="O7057" t="s">
        <v>44906</v>
      </c>
      <c r="P7057">
        <v>0</v>
      </c>
      <c r="Q7057">
        <v>1</v>
      </c>
      <c r="R7057" t="s">
        <v>44910</v>
      </c>
      <c r="S7057" t="s">
        <v>45076</v>
      </c>
      <c r="T7057" t="s">
        <v>46431</v>
      </c>
      <c r="U7057" t="s">
        <v>52656</v>
      </c>
      <c r="W7057" t="s">
        <v>42720</v>
      </c>
      <c r="X7057" t="s">
        <v>44914</v>
      </c>
    </row>
    <row r="7058" spans="1:24">
      <c r="A7058">
        <f>HYPERLINK("https://www.philgeps.gov.ph/GEPSNONPILOT/Tender/SplashBidNoticeAbstractUI.aspx?menuIndex=3&amp;refID=7071628&amp;Result=3","7071628")</f>
        <v>0</v>
      </c>
      <c r="B7058" t="s">
        <v>1655</v>
      </c>
      <c r="C7058" t="s">
        <v>10244</v>
      </c>
      <c r="D7058" t="s">
        <v>18136</v>
      </c>
      <c r="E7058" t="s">
        <v>24444</v>
      </c>
      <c r="F7058" t="s">
        <v>31362</v>
      </c>
      <c r="G7058" t="s">
        <v>31369</v>
      </c>
      <c r="H7058" t="s">
        <v>31378</v>
      </c>
      <c r="I7058" t="s">
        <v>31386</v>
      </c>
      <c r="J7058" t="s">
        <v>33758</v>
      </c>
      <c r="K7058" t="s">
        <v>40686</v>
      </c>
      <c r="M7058" t="s">
        <v>42720</v>
      </c>
      <c r="N7058" t="s">
        <v>44905</v>
      </c>
      <c r="O7058" t="s">
        <v>44906</v>
      </c>
      <c r="P7058">
        <v>0</v>
      </c>
      <c r="Q7058">
        <v>0</v>
      </c>
      <c r="R7058" t="s">
        <v>44910</v>
      </c>
      <c r="S7058" t="s">
        <v>45076</v>
      </c>
      <c r="T7058" t="s">
        <v>46431</v>
      </c>
      <c r="U7058" t="s">
        <v>52657</v>
      </c>
      <c r="W7058" t="s">
        <v>42720</v>
      </c>
      <c r="X7058" t="s">
        <v>44914</v>
      </c>
    </row>
    <row r="7059" spans="1:24">
      <c r="A7059">
        <f>HYPERLINK("https://www.philgeps.gov.ph/GEPSNONPILOT/Tender/SplashBidNoticeAbstractUI.aspx?menuIndex=3&amp;refID=7072041&amp;Result=3","7072041")</f>
        <v>0</v>
      </c>
      <c r="B7059" t="s">
        <v>2153</v>
      </c>
      <c r="C7059" t="s">
        <v>10245</v>
      </c>
      <c r="E7059" t="s">
        <v>19313</v>
      </c>
      <c r="F7059" t="s">
        <v>31362</v>
      </c>
      <c r="G7059" t="s">
        <v>31369</v>
      </c>
      <c r="H7059" t="s">
        <v>15799</v>
      </c>
      <c r="I7059" t="s">
        <v>31409</v>
      </c>
      <c r="J7059" t="s">
        <v>31586</v>
      </c>
      <c r="K7059" t="s">
        <v>40662</v>
      </c>
      <c r="M7059" t="s">
        <v>43283</v>
      </c>
      <c r="N7059" t="s">
        <v>44905</v>
      </c>
      <c r="O7059" t="s">
        <v>44906</v>
      </c>
      <c r="P7059">
        <v>0</v>
      </c>
      <c r="Q7059">
        <v>0</v>
      </c>
      <c r="R7059" t="s">
        <v>44910</v>
      </c>
      <c r="S7059" t="s">
        <v>45076</v>
      </c>
      <c r="T7059" t="s">
        <v>46410</v>
      </c>
      <c r="U7059" t="s">
        <v>52658</v>
      </c>
      <c r="W7059" t="s">
        <v>43283</v>
      </c>
      <c r="X7059" t="s">
        <v>44914</v>
      </c>
    </row>
    <row r="7060" spans="1:24">
      <c r="A7060">
        <f>HYPERLINK("https://www.philgeps.gov.ph/GEPSNONPILOT/Tender/SplashBidNoticeAbstractUI.aspx?menuIndex=3&amp;refID=7072435&amp;Result=3","7072435")</f>
        <v>0</v>
      </c>
      <c r="B7060" t="s">
        <v>2154</v>
      </c>
      <c r="C7060" t="s">
        <v>10246</v>
      </c>
      <c r="D7060" t="s">
        <v>18114</v>
      </c>
      <c r="E7060" t="s">
        <v>24445</v>
      </c>
      <c r="F7060" t="s">
        <v>31362</v>
      </c>
      <c r="G7060" t="s">
        <v>31369</v>
      </c>
      <c r="H7060" t="s">
        <v>15799</v>
      </c>
      <c r="I7060" t="s">
        <v>31380</v>
      </c>
      <c r="J7060" t="s">
        <v>35871</v>
      </c>
      <c r="K7060" t="s">
        <v>40673</v>
      </c>
      <c r="M7060" t="s">
        <v>43284</v>
      </c>
      <c r="N7060" t="s">
        <v>44905</v>
      </c>
      <c r="O7060" t="s">
        <v>44906</v>
      </c>
      <c r="P7060">
        <v>0</v>
      </c>
      <c r="Q7060">
        <v>2</v>
      </c>
      <c r="R7060" t="s">
        <v>44910</v>
      </c>
      <c r="S7060" t="s">
        <v>45076</v>
      </c>
      <c r="T7060" t="s">
        <v>46416</v>
      </c>
      <c r="U7060" t="s">
        <v>52659</v>
      </c>
      <c r="W7060" t="s">
        <v>43284</v>
      </c>
      <c r="X7060" t="s">
        <v>44913</v>
      </c>
    </row>
    <row r="7061" spans="1:24">
      <c r="A7061">
        <f>HYPERLINK("https://www.philgeps.gov.ph/GEPSNONPILOT/Tender/SplashBidNoticeAbstractUI.aspx?menuIndex=3&amp;refID=7071514&amp;Result=3","7071514")</f>
        <v>0</v>
      </c>
      <c r="B7061" t="s">
        <v>1655</v>
      </c>
      <c r="C7061" t="s">
        <v>10247</v>
      </c>
      <c r="D7061" t="s">
        <v>18136</v>
      </c>
      <c r="E7061" t="s">
        <v>24446</v>
      </c>
      <c r="F7061" t="s">
        <v>31362</v>
      </c>
      <c r="G7061" t="s">
        <v>31369</v>
      </c>
      <c r="H7061" t="s">
        <v>15799</v>
      </c>
      <c r="I7061" t="s">
        <v>31409</v>
      </c>
      <c r="J7061" t="s">
        <v>35872</v>
      </c>
      <c r="K7061" t="s">
        <v>40665</v>
      </c>
      <c r="M7061" t="s">
        <v>42720</v>
      </c>
      <c r="N7061" t="s">
        <v>44905</v>
      </c>
      <c r="O7061" t="s">
        <v>44906</v>
      </c>
      <c r="P7061">
        <v>0</v>
      </c>
      <c r="Q7061">
        <v>4</v>
      </c>
      <c r="R7061" t="s">
        <v>44910</v>
      </c>
      <c r="S7061" t="s">
        <v>45076</v>
      </c>
      <c r="T7061" t="s">
        <v>46450</v>
      </c>
      <c r="U7061" t="s">
        <v>51021</v>
      </c>
      <c r="V7061" t="s">
        <v>59755</v>
      </c>
      <c r="W7061" t="s">
        <v>42720</v>
      </c>
      <c r="X7061" t="s">
        <v>44914</v>
      </c>
    </row>
    <row r="7062" spans="1:24">
      <c r="A7062">
        <f>HYPERLINK("https://www.philgeps.gov.ph/GEPSNONPILOT/Tender/SplashBidNoticeAbstractUI.aspx?menuIndex=3&amp;refID=7072418&amp;Result=3","7072418")</f>
        <v>0</v>
      </c>
      <c r="B7062" t="s">
        <v>2155</v>
      </c>
      <c r="C7062" t="s">
        <v>10248</v>
      </c>
      <c r="D7062" t="s">
        <v>18149</v>
      </c>
      <c r="E7062" t="s">
        <v>24447</v>
      </c>
      <c r="F7062" t="s">
        <v>31362</v>
      </c>
      <c r="G7062" t="s">
        <v>31369</v>
      </c>
      <c r="H7062" t="s">
        <v>15799</v>
      </c>
      <c r="I7062" t="s">
        <v>31390</v>
      </c>
      <c r="J7062" t="s">
        <v>35873</v>
      </c>
      <c r="K7062" t="s">
        <v>40666</v>
      </c>
      <c r="M7062" t="s">
        <v>43285</v>
      </c>
      <c r="N7062" t="s">
        <v>44905</v>
      </c>
      <c r="O7062" t="s">
        <v>44906</v>
      </c>
      <c r="P7062">
        <v>0</v>
      </c>
      <c r="Q7062">
        <v>0</v>
      </c>
      <c r="R7062" t="s">
        <v>44910</v>
      </c>
      <c r="S7062" t="s">
        <v>45076</v>
      </c>
      <c r="T7062" t="s">
        <v>46419</v>
      </c>
      <c r="U7062" t="s">
        <v>52660</v>
      </c>
      <c r="W7062" t="s">
        <v>43285</v>
      </c>
      <c r="X7062" t="s">
        <v>44913</v>
      </c>
    </row>
    <row r="7063" spans="1:24">
      <c r="A7063">
        <f>HYPERLINK("https://www.philgeps.gov.ph/GEPSNONPILOT/Tender/SplashBidNoticeAbstractUI.aspx?menuIndex=3&amp;refID=7072557&amp;Result=3","7072557")</f>
        <v>0</v>
      </c>
      <c r="B7063" t="s">
        <v>2129</v>
      </c>
      <c r="C7063" t="s">
        <v>10249</v>
      </c>
      <c r="D7063" t="s">
        <v>18170</v>
      </c>
      <c r="E7063" t="s">
        <v>24448</v>
      </c>
      <c r="F7063" t="s">
        <v>31362</v>
      </c>
      <c r="G7063" t="s">
        <v>31369</v>
      </c>
      <c r="H7063" t="s">
        <v>15799</v>
      </c>
      <c r="I7063" t="s">
        <v>7188</v>
      </c>
      <c r="J7063" t="s">
        <v>31604</v>
      </c>
      <c r="K7063" t="s">
        <v>40665</v>
      </c>
      <c r="M7063" t="s">
        <v>43257</v>
      </c>
      <c r="N7063" t="s">
        <v>44905</v>
      </c>
      <c r="O7063" t="s">
        <v>44906</v>
      </c>
      <c r="P7063">
        <v>0</v>
      </c>
      <c r="Q7063">
        <v>8</v>
      </c>
      <c r="R7063" t="s">
        <v>44910</v>
      </c>
      <c r="S7063" t="s">
        <v>45076</v>
      </c>
      <c r="T7063" t="s">
        <v>46433</v>
      </c>
      <c r="U7063" t="s">
        <v>52661</v>
      </c>
      <c r="W7063" t="s">
        <v>43257</v>
      </c>
      <c r="X7063" t="s">
        <v>44913</v>
      </c>
    </row>
    <row r="7064" spans="1:24">
      <c r="A7064">
        <f>HYPERLINK("https://www.philgeps.gov.ph/GEPSNONPILOT/Tender/SplashBidNoticeAbstractUI.aspx?menuIndex=3&amp;refID=7072538&amp;Result=3","7072538")</f>
        <v>0</v>
      </c>
      <c r="B7064" t="s">
        <v>2129</v>
      </c>
      <c r="C7064" t="s">
        <v>10250</v>
      </c>
      <c r="D7064" t="s">
        <v>18170</v>
      </c>
      <c r="E7064" t="s">
        <v>24449</v>
      </c>
      <c r="F7064" t="s">
        <v>31362</v>
      </c>
      <c r="G7064" t="s">
        <v>31369</v>
      </c>
      <c r="H7064" t="s">
        <v>15799</v>
      </c>
      <c r="I7064" t="s">
        <v>31430</v>
      </c>
      <c r="J7064" t="s">
        <v>35874</v>
      </c>
      <c r="K7064" t="s">
        <v>40665</v>
      </c>
      <c r="M7064" t="s">
        <v>43257</v>
      </c>
      <c r="N7064" t="s">
        <v>44905</v>
      </c>
      <c r="O7064" t="s">
        <v>44906</v>
      </c>
      <c r="P7064">
        <v>0</v>
      </c>
      <c r="Q7064">
        <v>0</v>
      </c>
      <c r="R7064" t="s">
        <v>44910</v>
      </c>
      <c r="S7064" t="s">
        <v>45076</v>
      </c>
      <c r="T7064" t="s">
        <v>46433</v>
      </c>
      <c r="U7064" t="s">
        <v>52662</v>
      </c>
      <c r="W7064" t="s">
        <v>43257</v>
      </c>
      <c r="X7064" t="s">
        <v>44913</v>
      </c>
    </row>
    <row r="7065" spans="1:24">
      <c r="A7065">
        <f>HYPERLINK("https://www.philgeps.gov.ph/GEPSNONPILOT/Tender/SplashBidNoticeAbstractUI.aspx?menuIndex=3&amp;refID=7071536&amp;Result=3","7071536")</f>
        <v>0</v>
      </c>
      <c r="B7065" t="s">
        <v>2156</v>
      </c>
      <c r="C7065" t="s">
        <v>10251</v>
      </c>
      <c r="D7065" t="s">
        <v>18117</v>
      </c>
      <c r="E7065" t="s">
        <v>24450</v>
      </c>
      <c r="F7065" t="s">
        <v>31362</v>
      </c>
      <c r="G7065" t="s">
        <v>31369</v>
      </c>
      <c r="H7065" t="s">
        <v>31378</v>
      </c>
      <c r="I7065" t="s">
        <v>31435</v>
      </c>
      <c r="J7065" t="s">
        <v>35875</v>
      </c>
      <c r="K7065" t="s">
        <v>40679</v>
      </c>
      <c r="M7065" t="s">
        <v>43286</v>
      </c>
      <c r="N7065" t="s">
        <v>44905</v>
      </c>
      <c r="O7065" t="s">
        <v>44906</v>
      </c>
      <c r="P7065">
        <v>0</v>
      </c>
      <c r="Q7065">
        <v>1</v>
      </c>
      <c r="R7065" t="s">
        <v>44910</v>
      </c>
      <c r="S7065" t="s">
        <v>45076</v>
      </c>
      <c r="T7065" t="s">
        <v>46396</v>
      </c>
      <c r="U7065" t="s">
        <v>52663</v>
      </c>
      <c r="W7065" t="s">
        <v>43286</v>
      </c>
      <c r="X7065" t="s">
        <v>44914</v>
      </c>
    </row>
    <row r="7066" spans="1:24">
      <c r="A7066">
        <f>HYPERLINK("https://www.philgeps.gov.ph/GEPSNONPILOT/Tender/SplashBidNoticeAbstractUI.aspx?menuIndex=3&amp;refID=7072515&amp;Result=3","7072515")</f>
        <v>0</v>
      </c>
      <c r="B7066" t="s">
        <v>2157</v>
      </c>
      <c r="C7066" t="s">
        <v>10252</v>
      </c>
      <c r="D7066" t="s">
        <v>18144</v>
      </c>
      <c r="E7066" t="s">
        <v>24451</v>
      </c>
      <c r="F7066" t="s">
        <v>31362</v>
      </c>
      <c r="G7066" t="s">
        <v>31369</v>
      </c>
      <c r="H7066" t="s">
        <v>15799</v>
      </c>
      <c r="I7066" t="s">
        <v>31469</v>
      </c>
      <c r="J7066" t="s">
        <v>31625</v>
      </c>
      <c r="K7066" t="s">
        <v>40665</v>
      </c>
      <c r="M7066" t="s">
        <v>43287</v>
      </c>
      <c r="N7066" t="s">
        <v>44905</v>
      </c>
      <c r="O7066" t="s">
        <v>44906</v>
      </c>
      <c r="P7066">
        <v>0</v>
      </c>
      <c r="Q7066">
        <v>7</v>
      </c>
      <c r="R7066" t="s">
        <v>44910</v>
      </c>
      <c r="S7066" t="s">
        <v>45076</v>
      </c>
      <c r="T7066" t="s">
        <v>46511</v>
      </c>
      <c r="U7066" t="s">
        <v>52664</v>
      </c>
      <c r="W7066" t="s">
        <v>43287</v>
      </c>
      <c r="X7066" t="s">
        <v>44913</v>
      </c>
    </row>
    <row r="7067" spans="1:24">
      <c r="A7067">
        <f>HYPERLINK("https://www.philgeps.gov.ph/GEPSNONPILOT/Tender/SplashBidNoticeAbstractUI.aspx?menuIndex=3&amp;refID=7072455&amp;Result=3","7072455")</f>
        <v>0</v>
      </c>
      <c r="B7067" t="s">
        <v>2155</v>
      </c>
      <c r="C7067" t="s">
        <v>10253</v>
      </c>
      <c r="D7067" t="s">
        <v>18149</v>
      </c>
      <c r="E7067" t="s">
        <v>24452</v>
      </c>
      <c r="F7067" t="s">
        <v>31362</v>
      </c>
      <c r="G7067" t="s">
        <v>31369</v>
      </c>
      <c r="H7067" t="s">
        <v>15799</v>
      </c>
      <c r="I7067" t="s">
        <v>6373</v>
      </c>
      <c r="J7067" t="s">
        <v>35876</v>
      </c>
      <c r="K7067" t="s">
        <v>40666</v>
      </c>
      <c r="M7067" t="s">
        <v>43285</v>
      </c>
      <c r="N7067" t="s">
        <v>44905</v>
      </c>
      <c r="O7067" t="s">
        <v>44906</v>
      </c>
      <c r="P7067">
        <v>0</v>
      </c>
      <c r="Q7067">
        <v>6</v>
      </c>
      <c r="R7067" t="s">
        <v>44910</v>
      </c>
      <c r="S7067" t="s">
        <v>45076</v>
      </c>
      <c r="T7067" t="s">
        <v>46419</v>
      </c>
      <c r="U7067" t="s">
        <v>52665</v>
      </c>
      <c r="W7067" t="s">
        <v>43285</v>
      </c>
      <c r="X7067" t="s">
        <v>44913</v>
      </c>
    </row>
    <row r="7068" spans="1:24">
      <c r="A7068">
        <f>HYPERLINK("https://www.philgeps.gov.ph/GEPSNONPILOT/Tender/SplashBidNoticeAbstractUI.aspx?menuIndex=3&amp;refID=7072436&amp;Result=3","7072436")</f>
        <v>0</v>
      </c>
      <c r="B7068" t="s">
        <v>2155</v>
      </c>
      <c r="C7068" t="s">
        <v>10254</v>
      </c>
      <c r="D7068" t="s">
        <v>18149</v>
      </c>
      <c r="E7068" t="s">
        <v>24453</v>
      </c>
      <c r="F7068" t="s">
        <v>31362</v>
      </c>
      <c r="G7068" t="s">
        <v>31369</v>
      </c>
      <c r="H7068" t="s">
        <v>31378</v>
      </c>
      <c r="I7068" t="s">
        <v>31386</v>
      </c>
      <c r="J7068" t="s">
        <v>35877</v>
      </c>
      <c r="K7068" t="s">
        <v>40662</v>
      </c>
      <c r="M7068" t="s">
        <v>43285</v>
      </c>
      <c r="N7068" t="s">
        <v>44905</v>
      </c>
      <c r="O7068" t="s">
        <v>44906</v>
      </c>
      <c r="P7068">
        <v>0</v>
      </c>
      <c r="Q7068">
        <v>0</v>
      </c>
      <c r="R7068" t="s">
        <v>44910</v>
      </c>
      <c r="S7068" t="s">
        <v>45076</v>
      </c>
      <c r="T7068" t="s">
        <v>46729</v>
      </c>
      <c r="U7068" t="s">
        <v>52666</v>
      </c>
      <c r="W7068" t="s">
        <v>43285</v>
      </c>
      <c r="X7068" t="s">
        <v>44913</v>
      </c>
    </row>
    <row r="7069" spans="1:24">
      <c r="A7069">
        <f>HYPERLINK("https://www.philgeps.gov.ph/GEPSNONPILOT/Tender/SplashBidNoticeAbstractUI.aspx?menuIndex=3&amp;refID=7072396&amp;Result=3","7072396")</f>
        <v>0</v>
      </c>
      <c r="B7069" t="s">
        <v>2129</v>
      </c>
      <c r="C7069" t="s">
        <v>10255</v>
      </c>
      <c r="D7069" t="s">
        <v>18170</v>
      </c>
      <c r="E7069" t="s">
        <v>24454</v>
      </c>
      <c r="F7069" t="s">
        <v>31362</v>
      </c>
      <c r="G7069" t="s">
        <v>31369</v>
      </c>
      <c r="H7069" t="s">
        <v>15799</v>
      </c>
      <c r="I7069" t="s">
        <v>31404</v>
      </c>
      <c r="J7069" t="s">
        <v>35878</v>
      </c>
      <c r="K7069" t="s">
        <v>40665</v>
      </c>
      <c r="M7069" t="s">
        <v>43257</v>
      </c>
      <c r="N7069" t="s">
        <v>44905</v>
      </c>
      <c r="O7069" t="s">
        <v>44906</v>
      </c>
      <c r="P7069">
        <v>0</v>
      </c>
      <c r="Q7069">
        <v>0</v>
      </c>
      <c r="R7069" t="s">
        <v>44910</v>
      </c>
      <c r="S7069" t="s">
        <v>45076</v>
      </c>
      <c r="T7069" t="s">
        <v>46433</v>
      </c>
      <c r="U7069" t="s">
        <v>52667</v>
      </c>
      <c r="W7069" t="s">
        <v>43257</v>
      </c>
      <c r="X7069" t="s">
        <v>44913</v>
      </c>
    </row>
    <row r="7070" spans="1:24">
      <c r="A7070">
        <f>HYPERLINK("https://www.philgeps.gov.ph/GEPSNONPILOT/Tender/SplashBidNoticeAbstractUI.aspx?menuIndex=3&amp;refID=7072146&amp;Result=3","7072146")</f>
        <v>0</v>
      </c>
      <c r="B7070" t="s">
        <v>2152</v>
      </c>
      <c r="C7070" t="s">
        <v>3839</v>
      </c>
      <c r="D7070" t="s">
        <v>18101</v>
      </c>
      <c r="E7070" t="s">
        <v>24455</v>
      </c>
      <c r="F7070" t="s">
        <v>31362</v>
      </c>
      <c r="G7070" t="s">
        <v>31369</v>
      </c>
      <c r="H7070" t="s">
        <v>15799</v>
      </c>
      <c r="I7070" t="s">
        <v>6373</v>
      </c>
      <c r="J7070" t="s">
        <v>35879</v>
      </c>
      <c r="K7070" t="s">
        <v>40665</v>
      </c>
      <c r="M7070" t="s">
        <v>43282</v>
      </c>
      <c r="N7070" t="s">
        <v>44905</v>
      </c>
      <c r="O7070" t="s">
        <v>44906</v>
      </c>
      <c r="P7070">
        <v>0</v>
      </c>
      <c r="Q7070">
        <v>2</v>
      </c>
      <c r="R7070" t="s">
        <v>44910</v>
      </c>
      <c r="S7070" t="s">
        <v>45076</v>
      </c>
      <c r="T7070" t="s">
        <v>46697</v>
      </c>
      <c r="U7070" t="s">
        <v>52655</v>
      </c>
      <c r="W7070" t="s">
        <v>43282</v>
      </c>
      <c r="X7070" t="s">
        <v>44914</v>
      </c>
    </row>
    <row r="7071" spans="1:24">
      <c r="A7071">
        <f>HYPERLINK("https://www.philgeps.gov.ph/GEPSNONPILOT/Tender/SplashBidNoticeAbstractUI.aspx?menuIndex=3&amp;refID=7072406&amp;Result=3","7072406")</f>
        <v>0</v>
      </c>
      <c r="B7071" t="s">
        <v>2129</v>
      </c>
      <c r="C7071" t="s">
        <v>10256</v>
      </c>
      <c r="D7071" t="s">
        <v>18170</v>
      </c>
      <c r="E7071" t="s">
        <v>24456</v>
      </c>
      <c r="F7071" t="s">
        <v>31362</v>
      </c>
      <c r="G7071" t="s">
        <v>31369</v>
      </c>
      <c r="H7071" t="s">
        <v>15799</v>
      </c>
      <c r="I7071" t="s">
        <v>31385</v>
      </c>
      <c r="J7071" t="s">
        <v>35880</v>
      </c>
      <c r="K7071" t="s">
        <v>40665</v>
      </c>
      <c r="M7071" t="s">
        <v>43257</v>
      </c>
      <c r="N7071" t="s">
        <v>44905</v>
      </c>
      <c r="O7071" t="s">
        <v>44906</v>
      </c>
      <c r="P7071">
        <v>0</v>
      </c>
      <c r="Q7071">
        <v>0</v>
      </c>
      <c r="R7071" t="s">
        <v>44910</v>
      </c>
      <c r="S7071" t="s">
        <v>45076</v>
      </c>
      <c r="T7071" t="s">
        <v>46433</v>
      </c>
      <c r="U7071" t="s">
        <v>52668</v>
      </c>
      <c r="W7071" t="s">
        <v>43257</v>
      </c>
      <c r="X7071" t="s">
        <v>44913</v>
      </c>
    </row>
    <row r="7072" spans="1:24">
      <c r="A7072">
        <f>HYPERLINK("https://www.philgeps.gov.ph/GEPSNONPILOT/Tender/SplashBidNoticeAbstractUI.aspx?menuIndex=3&amp;refID=7072383&amp;Result=3","7072383")</f>
        <v>0</v>
      </c>
      <c r="B7072" t="s">
        <v>2155</v>
      </c>
      <c r="C7072" t="s">
        <v>10257</v>
      </c>
      <c r="D7072" t="s">
        <v>18149</v>
      </c>
      <c r="E7072" t="s">
        <v>24457</v>
      </c>
      <c r="F7072" t="s">
        <v>31362</v>
      </c>
      <c r="G7072" t="s">
        <v>31369</v>
      </c>
      <c r="H7072" t="s">
        <v>15799</v>
      </c>
      <c r="I7072" t="s">
        <v>3815</v>
      </c>
      <c r="J7072" t="s">
        <v>35881</v>
      </c>
      <c r="K7072" t="s">
        <v>40666</v>
      </c>
      <c r="M7072" t="s">
        <v>43285</v>
      </c>
      <c r="N7072" t="s">
        <v>44905</v>
      </c>
      <c r="O7072" t="s">
        <v>44906</v>
      </c>
      <c r="P7072">
        <v>0</v>
      </c>
      <c r="Q7072">
        <v>0</v>
      </c>
      <c r="R7072" t="s">
        <v>44910</v>
      </c>
      <c r="S7072" t="s">
        <v>45076</v>
      </c>
      <c r="T7072" t="s">
        <v>46729</v>
      </c>
      <c r="U7072" t="s">
        <v>52669</v>
      </c>
      <c r="W7072" t="s">
        <v>43285</v>
      </c>
      <c r="X7072" t="s">
        <v>44913</v>
      </c>
    </row>
    <row r="7073" spans="1:24">
      <c r="A7073">
        <f>HYPERLINK("https://www.philgeps.gov.ph/GEPSNONPILOT/Tender/SplashBidNoticeAbstractUI.aspx?menuIndex=3&amp;refID=7071308&amp;Result=3","7071308")</f>
        <v>0</v>
      </c>
      <c r="B7073" t="s">
        <v>697</v>
      </c>
      <c r="C7073" t="s">
        <v>10258</v>
      </c>
      <c r="D7073" t="s">
        <v>18146</v>
      </c>
      <c r="E7073" t="s">
        <v>24458</v>
      </c>
      <c r="F7073" t="s">
        <v>31364</v>
      </c>
      <c r="G7073" t="s">
        <v>31369</v>
      </c>
      <c r="H7073" t="s">
        <v>31378</v>
      </c>
      <c r="I7073" t="s">
        <v>31386</v>
      </c>
      <c r="J7073" t="s">
        <v>35882</v>
      </c>
      <c r="K7073" t="s">
        <v>40675</v>
      </c>
      <c r="M7073" t="s">
        <v>41662</v>
      </c>
      <c r="N7073" t="s">
        <v>44905</v>
      </c>
      <c r="O7073" t="s">
        <v>44906</v>
      </c>
      <c r="P7073">
        <v>0</v>
      </c>
      <c r="Q7073">
        <v>0</v>
      </c>
      <c r="R7073" t="s">
        <v>44910</v>
      </c>
      <c r="S7073" t="s">
        <v>45076</v>
      </c>
      <c r="T7073" t="s">
        <v>46419</v>
      </c>
      <c r="U7073" t="s">
        <v>52670</v>
      </c>
      <c r="W7073" t="s">
        <v>41662</v>
      </c>
      <c r="X7073" t="s">
        <v>44914</v>
      </c>
    </row>
    <row r="7074" spans="1:24">
      <c r="A7074">
        <f>HYPERLINK("https://www.philgeps.gov.ph/GEPSNONPILOT/Tender/SplashBidNoticeAbstractUI.aspx?menuIndex=3&amp;refID=7072159&amp;Result=3","7072159")</f>
        <v>0</v>
      </c>
      <c r="B7074" t="s">
        <v>2152</v>
      </c>
      <c r="C7074" t="s">
        <v>10259</v>
      </c>
      <c r="D7074" t="s">
        <v>18101</v>
      </c>
      <c r="E7074" t="s">
        <v>24459</v>
      </c>
      <c r="F7074" t="s">
        <v>31362</v>
      </c>
      <c r="G7074" t="s">
        <v>31369</v>
      </c>
      <c r="H7074" t="s">
        <v>31378</v>
      </c>
      <c r="I7074" t="s">
        <v>31386</v>
      </c>
      <c r="J7074" t="s">
        <v>35883</v>
      </c>
      <c r="K7074" t="s">
        <v>40682</v>
      </c>
      <c r="M7074" t="s">
        <v>43282</v>
      </c>
      <c r="N7074" t="s">
        <v>44905</v>
      </c>
      <c r="O7074" t="s">
        <v>44906</v>
      </c>
      <c r="P7074">
        <v>0</v>
      </c>
      <c r="Q7074">
        <v>0</v>
      </c>
      <c r="R7074" t="s">
        <v>44910</v>
      </c>
      <c r="S7074" t="s">
        <v>45076</v>
      </c>
      <c r="T7074" t="s">
        <v>46697</v>
      </c>
      <c r="U7074" t="s">
        <v>52671</v>
      </c>
      <c r="W7074" t="s">
        <v>43282</v>
      </c>
      <c r="X7074" t="s">
        <v>44914</v>
      </c>
    </row>
    <row r="7075" spans="1:24">
      <c r="A7075">
        <f>HYPERLINK("https://www.philgeps.gov.ph/GEPSNONPILOT/Tender/SplashBidNoticeAbstractUI.aspx?menuIndex=3&amp;refID=7072153&amp;Result=3","7072153")</f>
        <v>0</v>
      </c>
      <c r="B7075" t="s">
        <v>2152</v>
      </c>
      <c r="C7075" t="s">
        <v>10260</v>
      </c>
      <c r="D7075" t="s">
        <v>18101</v>
      </c>
      <c r="E7075" t="s">
        <v>24460</v>
      </c>
      <c r="F7075" t="s">
        <v>31362</v>
      </c>
      <c r="G7075" t="s">
        <v>31369</v>
      </c>
      <c r="H7075" t="s">
        <v>31378</v>
      </c>
      <c r="I7075" t="s">
        <v>31386</v>
      </c>
      <c r="J7075" t="s">
        <v>35884</v>
      </c>
      <c r="K7075" t="s">
        <v>40746</v>
      </c>
      <c r="M7075" t="s">
        <v>43282</v>
      </c>
      <c r="N7075" t="s">
        <v>44905</v>
      </c>
      <c r="O7075" t="s">
        <v>44906</v>
      </c>
      <c r="P7075">
        <v>0</v>
      </c>
      <c r="Q7075">
        <v>0</v>
      </c>
      <c r="R7075" t="s">
        <v>44910</v>
      </c>
      <c r="S7075" t="s">
        <v>45076</v>
      </c>
      <c r="T7075" t="s">
        <v>46697</v>
      </c>
      <c r="U7075" t="s">
        <v>52671</v>
      </c>
      <c r="W7075" t="s">
        <v>43282</v>
      </c>
      <c r="X7075" t="s">
        <v>44914</v>
      </c>
    </row>
    <row r="7076" spans="1:24">
      <c r="A7076">
        <f>HYPERLINK("https://www.philgeps.gov.ph/GEPSNONPILOT/Tender/SplashBidNoticeAbstractUI.aspx?menuIndex=3&amp;refID=7072388&amp;Result=3","7072388")</f>
        <v>0</v>
      </c>
      <c r="B7076" t="s">
        <v>2155</v>
      </c>
      <c r="C7076" t="s">
        <v>10261</v>
      </c>
      <c r="D7076" t="s">
        <v>18149</v>
      </c>
      <c r="E7076" t="s">
        <v>24461</v>
      </c>
      <c r="F7076" t="s">
        <v>31362</v>
      </c>
      <c r="G7076" t="s">
        <v>31369</v>
      </c>
      <c r="H7076" t="s">
        <v>15799</v>
      </c>
      <c r="I7076" t="s">
        <v>3815</v>
      </c>
      <c r="J7076" t="s">
        <v>35885</v>
      </c>
      <c r="K7076" t="s">
        <v>40666</v>
      </c>
      <c r="M7076" t="s">
        <v>43285</v>
      </c>
      <c r="N7076" t="s">
        <v>44905</v>
      </c>
      <c r="O7076" t="s">
        <v>44906</v>
      </c>
      <c r="P7076">
        <v>0</v>
      </c>
      <c r="Q7076">
        <v>0</v>
      </c>
      <c r="R7076" t="s">
        <v>44910</v>
      </c>
      <c r="S7076" t="s">
        <v>45076</v>
      </c>
      <c r="T7076" t="s">
        <v>46419</v>
      </c>
      <c r="U7076" t="s">
        <v>52672</v>
      </c>
      <c r="W7076" t="s">
        <v>43285</v>
      </c>
      <c r="X7076" t="s">
        <v>44913</v>
      </c>
    </row>
    <row r="7077" spans="1:24">
      <c r="A7077">
        <f>HYPERLINK("https://www.philgeps.gov.ph/GEPSNONPILOT/Tender/SplashBidNoticeAbstractUI.aspx?menuIndex=3&amp;refID=7072562&amp;Result=3","7072562")</f>
        <v>0</v>
      </c>
      <c r="B7077" t="s">
        <v>2129</v>
      </c>
      <c r="C7077" t="s">
        <v>10262</v>
      </c>
      <c r="D7077" t="s">
        <v>18170</v>
      </c>
      <c r="E7077" t="s">
        <v>24462</v>
      </c>
      <c r="F7077" t="s">
        <v>31362</v>
      </c>
      <c r="G7077" t="s">
        <v>31369</v>
      </c>
      <c r="H7077" t="s">
        <v>15799</v>
      </c>
      <c r="I7077" t="s">
        <v>31430</v>
      </c>
      <c r="J7077" t="s">
        <v>35886</v>
      </c>
      <c r="K7077" t="s">
        <v>40665</v>
      </c>
      <c r="M7077" t="s">
        <v>43257</v>
      </c>
      <c r="N7077" t="s">
        <v>44905</v>
      </c>
      <c r="O7077" t="s">
        <v>44906</v>
      </c>
      <c r="P7077">
        <v>0</v>
      </c>
      <c r="Q7077">
        <v>0</v>
      </c>
      <c r="R7077" t="s">
        <v>44910</v>
      </c>
      <c r="S7077" t="s">
        <v>45076</v>
      </c>
      <c r="T7077" t="s">
        <v>46433</v>
      </c>
      <c r="U7077" t="s">
        <v>52673</v>
      </c>
      <c r="W7077" t="s">
        <v>43257</v>
      </c>
      <c r="X7077" t="s">
        <v>44913</v>
      </c>
    </row>
    <row r="7078" spans="1:24">
      <c r="A7078">
        <f>HYPERLINK("https://www.philgeps.gov.ph/GEPSNONPILOT/Tender/SplashBidNoticeAbstractUI.aspx?menuIndex=3&amp;refID=7072382&amp;Result=3","7072382")</f>
        <v>0</v>
      </c>
      <c r="B7078" t="s">
        <v>2129</v>
      </c>
      <c r="C7078" t="s">
        <v>10263</v>
      </c>
      <c r="D7078" t="s">
        <v>18170</v>
      </c>
      <c r="E7078" t="s">
        <v>24463</v>
      </c>
      <c r="F7078" t="s">
        <v>31362</v>
      </c>
      <c r="G7078" t="s">
        <v>31369</v>
      </c>
      <c r="H7078" t="s">
        <v>15799</v>
      </c>
      <c r="I7078" t="s">
        <v>31438</v>
      </c>
      <c r="J7078" t="s">
        <v>32268</v>
      </c>
      <c r="K7078" t="s">
        <v>40665</v>
      </c>
      <c r="M7078" t="s">
        <v>43257</v>
      </c>
      <c r="N7078" t="s">
        <v>44905</v>
      </c>
      <c r="O7078" t="s">
        <v>44906</v>
      </c>
      <c r="P7078">
        <v>0</v>
      </c>
      <c r="Q7078">
        <v>1</v>
      </c>
      <c r="R7078" t="s">
        <v>44910</v>
      </c>
      <c r="S7078" t="s">
        <v>45076</v>
      </c>
      <c r="T7078" t="s">
        <v>46433</v>
      </c>
      <c r="U7078" t="s">
        <v>52674</v>
      </c>
      <c r="W7078" t="s">
        <v>43257</v>
      </c>
      <c r="X7078" t="s">
        <v>44913</v>
      </c>
    </row>
    <row r="7079" spans="1:24">
      <c r="A7079">
        <f>HYPERLINK("https://www.philgeps.gov.ph/GEPSNONPILOT/Tender/SplashBidNoticeAbstractUI.aspx?menuIndex=3&amp;refID=7072371&amp;Result=3","7072371")</f>
        <v>0</v>
      </c>
      <c r="B7079" t="s">
        <v>2129</v>
      </c>
      <c r="C7079" t="s">
        <v>10264</v>
      </c>
      <c r="D7079" t="s">
        <v>18170</v>
      </c>
      <c r="E7079" t="s">
        <v>24464</v>
      </c>
      <c r="F7079" t="s">
        <v>31362</v>
      </c>
      <c r="G7079" t="s">
        <v>31369</v>
      </c>
      <c r="H7079" t="s">
        <v>15799</v>
      </c>
      <c r="I7079" t="s">
        <v>6240</v>
      </c>
      <c r="J7079" t="s">
        <v>32320</v>
      </c>
      <c r="K7079" t="s">
        <v>40665</v>
      </c>
      <c r="M7079" t="s">
        <v>43257</v>
      </c>
      <c r="N7079" t="s">
        <v>44905</v>
      </c>
      <c r="O7079" t="s">
        <v>44906</v>
      </c>
      <c r="P7079">
        <v>0</v>
      </c>
      <c r="Q7079">
        <v>0</v>
      </c>
      <c r="R7079" t="s">
        <v>44910</v>
      </c>
      <c r="S7079" t="s">
        <v>45076</v>
      </c>
      <c r="T7079" t="s">
        <v>46433</v>
      </c>
      <c r="U7079" t="s">
        <v>52675</v>
      </c>
      <c r="W7079" t="s">
        <v>43257</v>
      </c>
      <c r="X7079" t="s">
        <v>44913</v>
      </c>
    </row>
    <row r="7080" spans="1:24">
      <c r="A7080">
        <f>HYPERLINK("https://www.philgeps.gov.ph/GEPSNONPILOT/Tender/SplashBidNoticeAbstractUI.aspx?menuIndex=3&amp;refID=7072836&amp;Result=3","7072836")</f>
        <v>0</v>
      </c>
      <c r="B7080" t="s">
        <v>2158</v>
      </c>
      <c r="C7080" t="s">
        <v>10265</v>
      </c>
      <c r="D7080" t="s">
        <v>18107</v>
      </c>
      <c r="E7080" t="s">
        <v>18218</v>
      </c>
      <c r="F7080" t="s">
        <v>31362</v>
      </c>
      <c r="G7080" t="s">
        <v>31369</v>
      </c>
      <c r="H7080" t="s">
        <v>15799</v>
      </c>
      <c r="I7080" t="s">
        <v>31409</v>
      </c>
      <c r="J7080" t="s">
        <v>34763</v>
      </c>
      <c r="K7080" t="s">
        <v>40666</v>
      </c>
      <c r="M7080" t="s">
        <v>43288</v>
      </c>
      <c r="N7080" t="s">
        <v>44905</v>
      </c>
      <c r="O7080" t="s">
        <v>44906</v>
      </c>
      <c r="P7080">
        <v>0</v>
      </c>
      <c r="Q7080">
        <v>4</v>
      </c>
      <c r="R7080" t="s">
        <v>44910</v>
      </c>
      <c r="S7080" t="s">
        <v>45076</v>
      </c>
      <c r="T7080" t="s">
        <v>46729</v>
      </c>
      <c r="U7080" t="s">
        <v>52676</v>
      </c>
      <c r="W7080" t="s">
        <v>43288</v>
      </c>
      <c r="X7080" t="s">
        <v>44912</v>
      </c>
    </row>
    <row r="7081" spans="1:24">
      <c r="A7081">
        <f>HYPERLINK("https://www.philgeps.gov.ph/GEPSNONPILOT/Tender/SplashBidNoticeAbstractUI.aspx?menuIndex=3&amp;refID=7072675&amp;Result=3","7072675")</f>
        <v>0</v>
      </c>
      <c r="B7081" t="s">
        <v>246</v>
      </c>
      <c r="C7081" t="s">
        <v>10266</v>
      </c>
      <c r="D7081" t="s">
        <v>18104</v>
      </c>
      <c r="E7081" t="s">
        <v>24465</v>
      </c>
      <c r="F7081" t="s">
        <v>31362</v>
      </c>
      <c r="G7081" t="s">
        <v>31369</v>
      </c>
      <c r="H7081" t="s">
        <v>31378</v>
      </c>
      <c r="I7081" t="s">
        <v>31386</v>
      </c>
      <c r="J7081" t="s">
        <v>35887</v>
      </c>
      <c r="K7081" t="s">
        <v>40682</v>
      </c>
      <c r="M7081" t="s">
        <v>41185</v>
      </c>
      <c r="N7081" t="s">
        <v>44905</v>
      </c>
      <c r="O7081" t="s">
        <v>44906</v>
      </c>
      <c r="P7081">
        <v>0</v>
      </c>
      <c r="Q7081">
        <v>0</v>
      </c>
      <c r="R7081" t="s">
        <v>44910</v>
      </c>
      <c r="S7081" t="s">
        <v>45076</v>
      </c>
      <c r="T7081" t="s">
        <v>46549</v>
      </c>
      <c r="U7081" t="s">
        <v>52677</v>
      </c>
      <c r="W7081" t="s">
        <v>41185</v>
      </c>
      <c r="X7081" t="s">
        <v>44913</v>
      </c>
    </row>
    <row r="7082" spans="1:24">
      <c r="A7082">
        <f>HYPERLINK("https://www.philgeps.gov.ph/GEPSNONPILOT/Tender/SplashBidNoticeAbstractUI.aspx?menuIndex=3&amp;refID=7072670&amp;Result=3","7072670")</f>
        <v>0</v>
      </c>
      <c r="B7082" t="s">
        <v>246</v>
      </c>
      <c r="C7082" t="s">
        <v>10267</v>
      </c>
      <c r="D7082" t="s">
        <v>18104</v>
      </c>
      <c r="E7082" t="s">
        <v>24466</v>
      </c>
      <c r="F7082" t="s">
        <v>31362</v>
      </c>
      <c r="G7082" t="s">
        <v>31369</v>
      </c>
      <c r="H7082" t="s">
        <v>31378</v>
      </c>
      <c r="I7082" t="s">
        <v>31386</v>
      </c>
      <c r="J7082" t="s">
        <v>35888</v>
      </c>
      <c r="K7082" t="s">
        <v>40682</v>
      </c>
      <c r="M7082" t="s">
        <v>41185</v>
      </c>
      <c r="N7082" t="s">
        <v>44905</v>
      </c>
      <c r="O7082" t="s">
        <v>44906</v>
      </c>
      <c r="P7082">
        <v>0</v>
      </c>
      <c r="Q7082">
        <v>0</v>
      </c>
      <c r="R7082" t="s">
        <v>44910</v>
      </c>
      <c r="S7082" t="s">
        <v>45076</v>
      </c>
      <c r="T7082" t="s">
        <v>46549</v>
      </c>
      <c r="U7082" t="s">
        <v>52678</v>
      </c>
      <c r="W7082" t="s">
        <v>41185</v>
      </c>
      <c r="X7082" t="s">
        <v>44913</v>
      </c>
    </row>
    <row r="7083" spans="1:24">
      <c r="A7083">
        <f>HYPERLINK("https://www.philgeps.gov.ph/GEPSNONPILOT/Tender/SplashBidNoticeAbstractUI.aspx?menuIndex=3&amp;refID=7072666&amp;Result=3","7072666")</f>
        <v>0</v>
      </c>
      <c r="B7083" t="s">
        <v>246</v>
      </c>
      <c r="C7083" t="s">
        <v>10268</v>
      </c>
      <c r="D7083" t="s">
        <v>18104</v>
      </c>
      <c r="E7083" t="s">
        <v>24467</v>
      </c>
      <c r="F7083" t="s">
        <v>31362</v>
      </c>
      <c r="G7083" t="s">
        <v>31369</v>
      </c>
      <c r="H7083" t="s">
        <v>31378</v>
      </c>
      <c r="I7083" t="s">
        <v>31386</v>
      </c>
      <c r="J7083" t="s">
        <v>35889</v>
      </c>
      <c r="K7083" t="s">
        <v>40679</v>
      </c>
      <c r="M7083" t="s">
        <v>41185</v>
      </c>
      <c r="N7083" t="s">
        <v>44905</v>
      </c>
      <c r="O7083" t="s">
        <v>44906</v>
      </c>
      <c r="P7083">
        <v>0</v>
      </c>
      <c r="Q7083">
        <v>0</v>
      </c>
      <c r="R7083" t="s">
        <v>44910</v>
      </c>
      <c r="S7083" t="s">
        <v>45076</v>
      </c>
      <c r="T7083" t="s">
        <v>46549</v>
      </c>
      <c r="U7083" t="s">
        <v>52679</v>
      </c>
      <c r="W7083" t="s">
        <v>41185</v>
      </c>
      <c r="X7083" t="s">
        <v>44913</v>
      </c>
    </row>
    <row r="7084" spans="1:24">
      <c r="A7084">
        <f>HYPERLINK("https://www.philgeps.gov.ph/GEPSNONPILOT/Tender/SplashBidNoticeAbstractUI.aspx?menuIndex=3&amp;refID=7072623&amp;Result=3","7072623")</f>
        <v>0</v>
      </c>
      <c r="B7084" t="s">
        <v>2129</v>
      </c>
      <c r="C7084" t="s">
        <v>10269</v>
      </c>
      <c r="D7084" t="s">
        <v>18170</v>
      </c>
      <c r="E7084" t="s">
        <v>24468</v>
      </c>
      <c r="F7084" t="s">
        <v>31362</v>
      </c>
      <c r="G7084" t="s">
        <v>31369</v>
      </c>
      <c r="H7084" t="s">
        <v>15799</v>
      </c>
      <c r="I7084" t="s">
        <v>31385</v>
      </c>
      <c r="J7084" t="s">
        <v>35890</v>
      </c>
      <c r="K7084" t="s">
        <v>40665</v>
      </c>
      <c r="M7084" t="s">
        <v>43257</v>
      </c>
      <c r="N7084" t="s">
        <v>44905</v>
      </c>
      <c r="O7084" t="s">
        <v>44906</v>
      </c>
      <c r="P7084">
        <v>0</v>
      </c>
      <c r="Q7084">
        <v>3</v>
      </c>
      <c r="R7084" t="s">
        <v>44910</v>
      </c>
      <c r="S7084" t="s">
        <v>45076</v>
      </c>
      <c r="T7084" t="s">
        <v>46433</v>
      </c>
      <c r="U7084" t="s">
        <v>52680</v>
      </c>
      <c r="W7084" t="s">
        <v>43257</v>
      </c>
      <c r="X7084" t="s">
        <v>44913</v>
      </c>
    </row>
    <row r="7085" spans="1:24">
      <c r="A7085">
        <f>HYPERLINK("https://www.philgeps.gov.ph/GEPSNONPILOT/Tender/SplashBidNoticeAbstractUI.aspx?menuIndex=3&amp;refID=7072250&amp;Result=3","7072250")</f>
        <v>0</v>
      </c>
      <c r="B7085" t="s">
        <v>2159</v>
      </c>
      <c r="C7085" t="s">
        <v>10270</v>
      </c>
      <c r="D7085" t="s">
        <v>18109</v>
      </c>
      <c r="E7085" t="s">
        <v>10823</v>
      </c>
      <c r="F7085" t="s">
        <v>31362</v>
      </c>
      <c r="G7085" t="s">
        <v>31369</v>
      </c>
      <c r="H7085" t="s">
        <v>15799</v>
      </c>
      <c r="I7085" t="s">
        <v>3815</v>
      </c>
      <c r="J7085" t="s">
        <v>35891</v>
      </c>
      <c r="K7085" t="s">
        <v>40693</v>
      </c>
      <c r="M7085" t="s">
        <v>43289</v>
      </c>
      <c r="N7085" t="s">
        <v>44905</v>
      </c>
      <c r="O7085" t="s">
        <v>44906</v>
      </c>
      <c r="P7085">
        <v>0</v>
      </c>
      <c r="Q7085">
        <v>0</v>
      </c>
      <c r="R7085" t="s">
        <v>44910</v>
      </c>
      <c r="S7085" t="s">
        <v>45076</v>
      </c>
      <c r="T7085" t="s">
        <v>46519</v>
      </c>
      <c r="U7085" t="s">
        <v>52681</v>
      </c>
      <c r="W7085" t="s">
        <v>43289</v>
      </c>
      <c r="X7085" t="s">
        <v>44914</v>
      </c>
    </row>
    <row r="7086" spans="1:24">
      <c r="A7086">
        <f>HYPERLINK("https://www.philgeps.gov.ph/GEPSNONPILOT/Tender/SplashBidNoticeAbstractUI.aspx?menuIndex=3&amp;refID=7072700&amp;Result=3","7072700")</f>
        <v>0</v>
      </c>
      <c r="B7086" t="s">
        <v>2160</v>
      </c>
      <c r="C7086" t="s">
        <v>10271</v>
      </c>
      <c r="D7086" t="s">
        <v>18108</v>
      </c>
      <c r="E7086" t="s">
        <v>18476</v>
      </c>
      <c r="F7086" t="s">
        <v>31362</v>
      </c>
      <c r="G7086" t="s">
        <v>31369</v>
      </c>
      <c r="H7086" t="s">
        <v>15799</v>
      </c>
      <c r="I7086" t="s">
        <v>31399</v>
      </c>
      <c r="J7086" t="s">
        <v>31578</v>
      </c>
      <c r="K7086" t="s">
        <v>40672</v>
      </c>
      <c r="M7086" t="s">
        <v>43290</v>
      </c>
      <c r="N7086" t="s">
        <v>44905</v>
      </c>
      <c r="O7086" t="s">
        <v>44906</v>
      </c>
      <c r="P7086">
        <v>0</v>
      </c>
      <c r="Q7086">
        <v>3</v>
      </c>
      <c r="R7086" t="s">
        <v>44910</v>
      </c>
      <c r="S7086" t="s">
        <v>45076</v>
      </c>
      <c r="T7086" t="s">
        <v>46435</v>
      </c>
      <c r="U7086" t="s">
        <v>52682</v>
      </c>
      <c r="V7086" t="s">
        <v>59756</v>
      </c>
      <c r="W7086" t="s">
        <v>43290</v>
      </c>
      <c r="X7086" t="s">
        <v>44913</v>
      </c>
    </row>
    <row r="7087" spans="1:24">
      <c r="A7087">
        <f>HYPERLINK("https://www.philgeps.gov.ph/GEPSNONPILOT/Tender/SplashBidNoticeAbstractUI.aspx?menuIndex=3&amp;refID=7072892&amp;Result=3","7072892")</f>
        <v>0</v>
      </c>
      <c r="B7087" t="s">
        <v>952</v>
      </c>
      <c r="C7087" t="s">
        <v>10272</v>
      </c>
      <c r="D7087" t="s">
        <v>18100</v>
      </c>
      <c r="E7087" t="s">
        <v>24469</v>
      </c>
      <c r="F7087" t="s">
        <v>31362</v>
      </c>
      <c r="G7087" t="s">
        <v>31369</v>
      </c>
      <c r="H7087" t="s">
        <v>15799</v>
      </c>
      <c r="I7087" t="s">
        <v>4283</v>
      </c>
      <c r="J7087" t="s">
        <v>35892</v>
      </c>
      <c r="K7087" t="s">
        <v>40662</v>
      </c>
      <c r="M7087" t="s">
        <v>41940</v>
      </c>
      <c r="N7087" t="s">
        <v>44905</v>
      </c>
      <c r="O7087" t="s">
        <v>44906</v>
      </c>
      <c r="P7087">
        <v>0</v>
      </c>
      <c r="Q7087">
        <v>2</v>
      </c>
      <c r="R7087" t="s">
        <v>44910</v>
      </c>
      <c r="S7087" t="s">
        <v>45076</v>
      </c>
      <c r="T7087" t="s">
        <v>46620</v>
      </c>
      <c r="U7087" t="s">
        <v>52683</v>
      </c>
      <c r="V7087" t="s">
        <v>59311</v>
      </c>
      <c r="W7087" t="s">
        <v>41940</v>
      </c>
      <c r="X7087" t="s">
        <v>44912</v>
      </c>
    </row>
    <row r="7088" spans="1:24">
      <c r="A7088">
        <f>HYPERLINK("https://www.philgeps.gov.ph/GEPSNONPILOT/Tender/SplashBidNoticeAbstractUI.aspx?menuIndex=3&amp;refID=7072890&amp;Result=3","7072890")</f>
        <v>0</v>
      </c>
      <c r="B7088" t="s">
        <v>952</v>
      </c>
      <c r="C7088" t="s">
        <v>10273</v>
      </c>
      <c r="D7088" t="s">
        <v>18100</v>
      </c>
      <c r="E7088" t="s">
        <v>24470</v>
      </c>
      <c r="F7088" t="s">
        <v>31362</v>
      </c>
      <c r="G7088" t="s">
        <v>31369</v>
      </c>
      <c r="H7088" t="s">
        <v>15799</v>
      </c>
      <c r="I7088" t="s">
        <v>31433</v>
      </c>
      <c r="J7088" t="s">
        <v>35893</v>
      </c>
      <c r="K7088" t="s">
        <v>40662</v>
      </c>
      <c r="M7088" t="s">
        <v>41940</v>
      </c>
      <c r="N7088" t="s">
        <v>44905</v>
      </c>
      <c r="O7088" t="s">
        <v>44906</v>
      </c>
      <c r="P7088">
        <v>0</v>
      </c>
      <c r="Q7088">
        <v>2</v>
      </c>
      <c r="R7088" t="s">
        <v>44910</v>
      </c>
      <c r="S7088" t="s">
        <v>45076</v>
      </c>
      <c r="T7088" t="s">
        <v>46620</v>
      </c>
      <c r="U7088" t="s">
        <v>52684</v>
      </c>
      <c r="V7088" t="s">
        <v>59311</v>
      </c>
      <c r="W7088" t="s">
        <v>41940</v>
      </c>
      <c r="X7088" t="s">
        <v>44912</v>
      </c>
    </row>
    <row r="7089" spans="1:24">
      <c r="A7089">
        <f>HYPERLINK("https://www.philgeps.gov.ph/GEPSNONPILOT/Tender/SplashBidNoticeAbstractUI.aspx?menuIndex=3&amp;refID=7072880&amp;Result=3","7072880")</f>
        <v>0</v>
      </c>
      <c r="B7089" t="s">
        <v>2161</v>
      </c>
      <c r="C7089" t="s">
        <v>10274</v>
      </c>
      <c r="D7089" t="s">
        <v>18177</v>
      </c>
      <c r="E7089" t="s">
        <v>24471</v>
      </c>
      <c r="F7089" t="s">
        <v>31362</v>
      </c>
      <c r="G7089" t="s">
        <v>31369</v>
      </c>
      <c r="H7089" t="s">
        <v>31378</v>
      </c>
      <c r="I7089" t="s">
        <v>31386</v>
      </c>
      <c r="J7089" t="s">
        <v>35894</v>
      </c>
      <c r="K7089" t="s">
        <v>40679</v>
      </c>
      <c r="M7089" t="s">
        <v>43291</v>
      </c>
      <c r="N7089" t="s">
        <v>44905</v>
      </c>
      <c r="O7089" t="s">
        <v>44906</v>
      </c>
      <c r="P7089">
        <v>0</v>
      </c>
      <c r="Q7089">
        <v>1</v>
      </c>
      <c r="R7089" t="s">
        <v>44910</v>
      </c>
      <c r="S7089" t="s">
        <v>45076</v>
      </c>
      <c r="T7089" t="s">
        <v>46696</v>
      </c>
      <c r="U7089" t="s">
        <v>52685</v>
      </c>
      <c r="W7089" t="s">
        <v>43291</v>
      </c>
      <c r="X7089" t="s">
        <v>44912</v>
      </c>
    </row>
    <row r="7090" spans="1:24">
      <c r="A7090">
        <f>HYPERLINK("https://www.philgeps.gov.ph/GEPSNONPILOT/Tender/SplashBidNoticeAbstractUI.aspx?menuIndex=3&amp;refID=7072580&amp;Result=3","7072580")</f>
        <v>0</v>
      </c>
      <c r="B7090" t="s">
        <v>2129</v>
      </c>
      <c r="C7090" t="s">
        <v>10275</v>
      </c>
      <c r="D7090" t="s">
        <v>18170</v>
      </c>
      <c r="E7090" t="s">
        <v>24472</v>
      </c>
      <c r="F7090" t="s">
        <v>31362</v>
      </c>
      <c r="G7090" t="s">
        <v>31369</v>
      </c>
      <c r="H7090" t="s">
        <v>15799</v>
      </c>
      <c r="I7090" t="s">
        <v>31397</v>
      </c>
      <c r="J7090" t="s">
        <v>35895</v>
      </c>
      <c r="K7090" t="s">
        <v>40686</v>
      </c>
      <c r="M7090" t="s">
        <v>43257</v>
      </c>
      <c r="N7090" t="s">
        <v>44905</v>
      </c>
      <c r="O7090" t="s">
        <v>44906</v>
      </c>
      <c r="P7090">
        <v>0</v>
      </c>
      <c r="Q7090">
        <v>1</v>
      </c>
      <c r="R7090" t="s">
        <v>44910</v>
      </c>
      <c r="S7090" t="s">
        <v>45076</v>
      </c>
      <c r="T7090" t="s">
        <v>46433</v>
      </c>
      <c r="U7090" t="s">
        <v>52686</v>
      </c>
      <c r="W7090" t="s">
        <v>43257</v>
      </c>
      <c r="X7090" t="s">
        <v>44913</v>
      </c>
    </row>
    <row r="7091" spans="1:24">
      <c r="A7091">
        <f>HYPERLINK("https://www.philgeps.gov.ph/GEPSNONPILOT/Tender/SplashBidNoticeAbstractUI.aspx?menuIndex=3&amp;refID=7071323&amp;Result=3","7071323")</f>
        <v>0</v>
      </c>
      <c r="B7091" t="s">
        <v>2146</v>
      </c>
      <c r="C7091" t="s">
        <v>10276</v>
      </c>
      <c r="D7091" t="s">
        <v>18157</v>
      </c>
      <c r="E7091" t="s">
        <v>24473</v>
      </c>
      <c r="F7091" t="s">
        <v>31362</v>
      </c>
      <c r="G7091" t="s">
        <v>31369</v>
      </c>
      <c r="H7091" t="s">
        <v>31377</v>
      </c>
      <c r="I7091" t="s">
        <v>31377</v>
      </c>
      <c r="J7091" t="s">
        <v>35896</v>
      </c>
      <c r="K7091" t="s">
        <v>40682</v>
      </c>
      <c r="L7091" t="s">
        <v>2146</v>
      </c>
      <c r="M7091" t="s">
        <v>43275</v>
      </c>
      <c r="N7091" t="s">
        <v>44905</v>
      </c>
      <c r="O7091" t="s">
        <v>44906</v>
      </c>
      <c r="P7091">
        <v>0</v>
      </c>
      <c r="Q7091">
        <v>4</v>
      </c>
      <c r="R7091" t="s">
        <v>44910</v>
      </c>
      <c r="S7091" t="s">
        <v>45076</v>
      </c>
      <c r="T7091" t="s">
        <v>46687</v>
      </c>
      <c r="U7091" t="s">
        <v>52687</v>
      </c>
      <c r="W7091" t="s">
        <v>60923</v>
      </c>
      <c r="X7091" t="s">
        <v>44914</v>
      </c>
    </row>
    <row r="7092" spans="1:24">
      <c r="A7092">
        <f>HYPERLINK("https://www.philgeps.gov.ph/GEPSNONPILOT/Tender/SplashBidNoticeAbstractUI.aspx?menuIndex=3&amp;refID=7072521&amp;Result=3","7072521")</f>
        <v>0</v>
      </c>
      <c r="B7092" t="s">
        <v>2129</v>
      </c>
      <c r="C7092" t="s">
        <v>10277</v>
      </c>
      <c r="D7092" t="s">
        <v>18170</v>
      </c>
      <c r="E7092" t="s">
        <v>24474</v>
      </c>
      <c r="F7092" t="s">
        <v>31362</v>
      </c>
      <c r="G7092" t="s">
        <v>31369</v>
      </c>
      <c r="H7092" t="s">
        <v>15799</v>
      </c>
      <c r="I7092" t="s">
        <v>31385</v>
      </c>
      <c r="J7092" t="s">
        <v>35897</v>
      </c>
      <c r="K7092" t="s">
        <v>40665</v>
      </c>
      <c r="M7092" t="s">
        <v>43257</v>
      </c>
      <c r="N7092" t="s">
        <v>44905</v>
      </c>
      <c r="O7092" t="s">
        <v>44906</v>
      </c>
      <c r="P7092">
        <v>0</v>
      </c>
      <c r="Q7092">
        <v>1</v>
      </c>
      <c r="R7092" t="s">
        <v>44910</v>
      </c>
      <c r="S7092" t="s">
        <v>45076</v>
      </c>
      <c r="T7092" t="s">
        <v>46433</v>
      </c>
      <c r="U7092" t="s">
        <v>52688</v>
      </c>
      <c r="W7092" t="s">
        <v>43257</v>
      </c>
      <c r="X7092" t="s">
        <v>44913</v>
      </c>
    </row>
    <row r="7093" spans="1:24">
      <c r="A7093">
        <f>HYPERLINK("https://www.philgeps.gov.ph/GEPSNONPILOT/Tender/SplashBidNoticeAbstractUI.aspx?menuIndex=3&amp;refID=7072839&amp;Result=3","7072839")</f>
        <v>0</v>
      </c>
      <c r="B7093" t="s">
        <v>2158</v>
      </c>
      <c r="C7093" t="s">
        <v>10278</v>
      </c>
      <c r="D7093" t="s">
        <v>18107</v>
      </c>
      <c r="E7093" t="s">
        <v>24475</v>
      </c>
      <c r="F7093" t="s">
        <v>31362</v>
      </c>
      <c r="G7093" t="s">
        <v>31369</v>
      </c>
      <c r="H7093" t="s">
        <v>15799</v>
      </c>
      <c r="I7093" t="s">
        <v>31409</v>
      </c>
      <c r="J7093" t="s">
        <v>35898</v>
      </c>
      <c r="K7093" t="s">
        <v>40666</v>
      </c>
      <c r="M7093" t="s">
        <v>43288</v>
      </c>
      <c r="N7093" t="s">
        <v>44905</v>
      </c>
      <c r="O7093" t="s">
        <v>44906</v>
      </c>
      <c r="P7093">
        <v>0</v>
      </c>
      <c r="Q7093">
        <v>0</v>
      </c>
      <c r="R7093" t="s">
        <v>44910</v>
      </c>
      <c r="S7093" t="s">
        <v>45076</v>
      </c>
      <c r="T7093" t="s">
        <v>46729</v>
      </c>
      <c r="U7093" t="s">
        <v>52676</v>
      </c>
      <c r="W7093" t="s">
        <v>43288</v>
      </c>
      <c r="X7093" t="s">
        <v>44912</v>
      </c>
    </row>
    <row r="7094" spans="1:24">
      <c r="A7094">
        <f>HYPERLINK("https://www.philgeps.gov.ph/GEPSNONPILOT/Tender/SplashBidNoticeAbstractUI.aspx?menuIndex=3&amp;refID=7072837&amp;Result=3","7072837")</f>
        <v>0</v>
      </c>
      <c r="B7094" t="s">
        <v>2158</v>
      </c>
      <c r="C7094" t="s">
        <v>10279</v>
      </c>
      <c r="D7094" t="s">
        <v>18107</v>
      </c>
      <c r="E7094" t="s">
        <v>21595</v>
      </c>
      <c r="F7094" t="s">
        <v>31362</v>
      </c>
      <c r="G7094" t="s">
        <v>31369</v>
      </c>
      <c r="H7094" t="s">
        <v>15799</v>
      </c>
      <c r="I7094" t="s">
        <v>31409</v>
      </c>
      <c r="J7094" t="s">
        <v>31724</v>
      </c>
      <c r="K7094" t="s">
        <v>40666</v>
      </c>
      <c r="M7094" t="s">
        <v>43288</v>
      </c>
      <c r="N7094" t="s">
        <v>44905</v>
      </c>
      <c r="O7094" t="s">
        <v>44906</v>
      </c>
      <c r="P7094">
        <v>0</v>
      </c>
      <c r="Q7094">
        <v>1</v>
      </c>
      <c r="R7094" t="s">
        <v>44910</v>
      </c>
      <c r="S7094" t="s">
        <v>45076</v>
      </c>
      <c r="T7094" t="s">
        <v>46729</v>
      </c>
      <c r="U7094" t="s">
        <v>52676</v>
      </c>
      <c r="W7094" t="s">
        <v>43288</v>
      </c>
      <c r="X7094" t="s">
        <v>44912</v>
      </c>
    </row>
    <row r="7095" spans="1:24">
      <c r="A7095">
        <f>HYPERLINK("https://www.philgeps.gov.ph/GEPSNONPILOT/Tender/SplashBidNoticeAbstractUI.aspx?menuIndex=3&amp;refID=7072618&amp;Result=3","7072618")</f>
        <v>0</v>
      </c>
      <c r="B7095" t="s">
        <v>2129</v>
      </c>
      <c r="C7095" t="s">
        <v>10280</v>
      </c>
      <c r="D7095" t="s">
        <v>18170</v>
      </c>
      <c r="E7095" t="s">
        <v>24476</v>
      </c>
      <c r="F7095" t="s">
        <v>31362</v>
      </c>
      <c r="G7095" t="s">
        <v>31369</v>
      </c>
      <c r="H7095" t="s">
        <v>15799</v>
      </c>
      <c r="I7095" t="s">
        <v>7719</v>
      </c>
      <c r="J7095" t="s">
        <v>35899</v>
      </c>
      <c r="K7095" t="s">
        <v>40665</v>
      </c>
      <c r="M7095" t="s">
        <v>43257</v>
      </c>
      <c r="N7095" t="s">
        <v>44905</v>
      </c>
      <c r="O7095" t="s">
        <v>44906</v>
      </c>
      <c r="P7095">
        <v>0</v>
      </c>
      <c r="Q7095">
        <v>6</v>
      </c>
      <c r="R7095" t="s">
        <v>44910</v>
      </c>
      <c r="S7095" t="s">
        <v>45076</v>
      </c>
      <c r="T7095" t="s">
        <v>46433</v>
      </c>
      <c r="U7095" t="s">
        <v>52689</v>
      </c>
      <c r="W7095" t="s">
        <v>43257</v>
      </c>
      <c r="X7095" t="s">
        <v>44913</v>
      </c>
    </row>
    <row r="7096" spans="1:24">
      <c r="A7096">
        <f>HYPERLINK("https://www.philgeps.gov.ph/GEPSNONPILOT/Tender/SplashBidNoticeAbstractUI.aspx?menuIndex=3&amp;refID=7072612&amp;Result=3","7072612")</f>
        <v>0</v>
      </c>
      <c r="B7096" t="s">
        <v>2129</v>
      </c>
      <c r="C7096" t="s">
        <v>10281</v>
      </c>
      <c r="D7096" t="s">
        <v>18170</v>
      </c>
      <c r="E7096" t="s">
        <v>24477</v>
      </c>
      <c r="F7096" t="s">
        <v>31362</v>
      </c>
      <c r="G7096" t="s">
        <v>31369</v>
      </c>
      <c r="H7096" t="s">
        <v>15799</v>
      </c>
      <c r="I7096" t="s">
        <v>31409</v>
      </c>
      <c r="J7096" t="s">
        <v>35900</v>
      </c>
      <c r="K7096" t="s">
        <v>40679</v>
      </c>
      <c r="M7096" t="s">
        <v>43257</v>
      </c>
      <c r="N7096" t="s">
        <v>44905</v>
      </c>
      <c r="O7096" t="s">
        <v>44906</v>
      </c>
      <c r="P7096">
        <v>0</v>
      </c>
      <c r="Q7096">
        <v>9</v>
      </c>
      <c r="R7096" t="s">
        <v>44910</v>
      </c>
      <c r="S7096" t="s">
        <v>45076</v>
      </c>
      <c r="T7096" t="s">
        <v>46433</v>
      </c>
      <c r="U7096" t="s">
        <v>52690</v>
      </c>
      <c r="W7096" t="s">
        <v>43257</v>
      </c>
      <c r="X7096" t="s">
        <v>44913</v>
      </c>
    </row>
    <row r="7097" spans="1:24">
      <c r="A7097">
        <f>HYPERLINK("https://www.philgeps.gov.ph/GEPSNONPILOT/Tender/SplashBidNoticeAbstractUI.aspx?menuIndex=3&amp;refID=7072884&amp;Result=3","7072884")</f>
        <v>0</v>
      </c>
      <c r="B7097" t="s">
        <v>952</v>
      </c>
      <c r="C7097" t="s">
        <v>10282</v>
      </c>
      <c r="D7097" t="s">
        <v>18100</v>
      </c>
      <c r="E7097" t="s">
        <v>24478</v>
      </c>
      <c r="F7097" t="s">
        <v>31362</v>
      </c>
      <c r="G7097" t="s">
        <v>31369</v>
      </c>
      <c r="H7097" t="s">
        <v>15799</v>
      </c>
      <c r="I7097" t="s">
        <v>31409</v>
      </c>
      <c r="J7097" t="s">
        <v>35901</v>
      </c>
      <c r="K7097" t="s">
        <v>40662</v>
      </c>
      <c r="M7097" t="s">
        <v>41940</v>
      </c>
      <c r="N7097" t="s">
        <v>44905</v>
      </c>
      <c r="O7097" t="s">
        <v>44906</v>
      </c>
      <c r="P7097">
        <v>0</v>
      </c>
      <c r="Q7097">
        <v>3</v>
      </c>
      <c r="R7097" t="s">
        <v>44910</v>
      </c>
      <c r="S7097" t="s">
        <v>45076</v>
      </c>
      <c r="T7097" t="s">
        <v>46620</v>
      </c>
      <c r="U7097" t="s">
        <v>52691</v>
      </c>
      <c r="V7097" t="s">
        <v>59311</v>
      </c>
      <c r="W7097" t="s">
        <v>41940</v>
      </c>
      <c r="X7097" t="s">
        <v>44912</v>
      </c>
    </row>
    <row r="7098" spans="1:24">
      <c r="A7098">
        <f>HYPERLINK("https://www.philgeps.gov.ph/GEPSNONPILOT/Tender/SplashBidNoticeAbstractUI.aspx?menuIndex=3&amp;refID=7072893&amp;Result=3","7072893")</f>
        <v>0</v>
      </c>
      <c r="B7098" t="s">
        <v>2162</v>
      </c>
      <c r="C7098" t="s">
        <v>10283</v>
      </c>
      <c r="D7098" t="s">
        <v>18177</v>
      </c>
      <c r="E7098" t="s">
        <v>24479</v>
      </c>
      <c r="F7098" t="s">
        <v>31362</v>
      </c>
      <c r="G7098" t="s">
        <v>31369</v>
      </c>
      <c r="H7098" t="s">
        <v>15799</v>
      </c>
      <c r="I7098" t="s">
        <v>3815</v>
      </c>
      <c r="J7098" t="s">
        <v>35902</v>
      </c>
      <c r="K7098" t="s">
        <v>40682</v>
      </c>
      <c r="M7098" t="s">
        <v>43292</v>
      </c>
      <c r="N7098" t="s">
        <v>44905</v>
      </c>
      <c r="O7098" t="s">
        <v>44906</v>
      </c>
      <c r="P7098">
        <v>0</v>
      </c>
      <c r="Q7098">
        <v>0</v>
      </c>
      <c r="R7098" t="s">
        <v>44910</v>
      </c>
      <c r="S7098" t="s">
        <v>45076</v>
      </c>
      <c r="T7098" t="s">
        <v>46433</v>
      </c>
      <c r="U7098" t="s">
        <v>52692</v>
      </c>
      <c r="W7098" t="s">
        <v>43292</v>
      </c>
      <c r="X7098" t="s">
        <v>44912</v>
      </c>
    </row>
    <row r="7099" spans="1:24">
      <c r="A7099">
        <f>HYPERLINK("https://www.philgeps.gov.ph/GEPSNONPILOT/Tender/SplashBidNoticeAbstractUI.aspx?menuIndex=3&amp;refID=7072838&amp;Result=3","7072838")</f>
        <v>0</v>
      </c>
      <c r="B7099" t="s">
        <v>2158</v>
      </c>
      <c r="C7099" t="s">
        <v>10284</v>
      </c>
      <c r="D7099" t="s">
        <v>18107</v>
      </c>
      <c r="E7099" t="s">
        <v>24480</v>
      </c>
      <c r="F7099" t="s">
        <v>31362</v>
      </c>
      <c r="G7099" t="s">
        <v>31369</v>
      </c>
      <c r="H7099" t="s">
        <v>15799</v>
      </c>
      <c r="I7099" t="s">
        <v>31433</v>
      </c>
      <c r="J7099" t="s">
        <v>35903</v>
      </c>
      <c r="K7099" t="s">
        <v>40666</v>
      </c>
      <c r="M7099" t="s">
        <v>43288</v>
      </c>
      <c r="N7099" t="s">
        <v>44905</v>
      </c>
      <c r="O7099" t="s">
        <v>44906</v>
      </c>
      <c r="P7099">
        <v>0</v>
      </c>
      <c r="Q7099">
        <v>7</v>
      </c>
      <c r="R7099" t="s">
        <v>44910</v>
      </c>
      <c r="S7099" t="s">
        <v>45076</v>
      </c>
      <c r="T7099" t="s">
        <v>46729</v>
      </c>
      <c r="U7099" t="s">
        <v>52676</v>
      </c>
      <c r="W7099" t="s">
        <v>43288</v>
      </c>
      <c r="X7099" t="s">
        <v>44912</v>
      </c>
    </row>
    <row r="7100" spans="1:24">
      <c r="A7100">
        <f>HYPERLINK("https://www.philgeps.gov.ph/GEPSNONPILOT/Tender/SplashBidNoticeAbstractUI.aspx?menuIndex=3&amp;refID=7072920&amp;Result=3","7072920")</f>
        <v>0</v>
      </c>
      <c r="B7100" t="s">
        <v>831</v>
      </c>
      <c r="C7100" t="s">
        <v>10285</v>
      </c>
      <c r="D7100" t="s">
        <v>18108</v>
      </c>
      <c r="E7100" t="s">
        <v>24481</v>
      </c>
      <c r="F7100" t="s">
        <v>31362</v>
      </c>
      <c r="G7100" t="s">
        <v>31369</v>
      </c>
      <c r="H7100" t="s">
        <v>15799</v>
      </c>
      <c r="I7100" t="s">
        <v>7090</v>
      </c>
      <c r="J7100" t="s">
        <v>35904</v>
      </c>
      <c r="K7100" t="s">
        <v>40666</v>
      </c>
      <c r="M7100" t="s">
        <v>41805</v>
      </c>
      <c r="N7100" t="s">
        <v>44905</v>
      </c>
      <c r="O7100" t="s">
        <v>44906</v>
      </c>
      <c r="P7100">
        <v>0</v>
      </c>
      <c r="Q7100">
        <v>1</v>
      </c>
      <c r="R7100" t="s">
        <v>44910</v>
      </c>
      <c r="S7100" t="s">
        <v>45076</v>
      </c>
      <c r="T7100" t="s">
        <v>46393</v>
      </c>
      <c r="U7100" t="s">
        <v>48635</v>
      </c>
      <c r="W7100" t="s">
        <v>41805</v>
      </c>
      <c r="X7100" t="s">
        <v>44912</v>
      </c>
    </row>
    <row r="7101" spans="1:24">
      <c r="A7101">
        <f>HYPERLINK("https://www.philgeps.gov.ph/GEPSNONPILOT/Tender/SplashBidNoticeAbstractUI.aspx?menuIndex=3&amp;refID=7072921&amp;Result=3","7072921")</f>
        <v>0</v>
      </c>
      <c r="B7101" t="s">
        <v>952</v>
      </c>
      <c r="C7101" t="s">
        <v>10286</v>
      </c>
      <c r="D7101" t="s">
        <v>18100</v>
      </c>
      <c r="E7101" t="s">
        <v>24482</v>
      </c>
      <c r="F7101" t="s">
        <v>31362</v>
      </c>
      <c r="G7101" t="s">
        <v>31369</v>
      </c>
      <c r="H7101" t="s">
        <v>15799</v>
      </c>
      <c r="I7101" t="s">
        <v>31400</v>
      </c>
      <c r="J7101" t="s">
        <v>31722</v>
      </c>
      <c r="K7101" t="s">
        <v>40662</v>
      </c>
      <c r="M7101" t="s">
        <v>41940</v>
      </c>
      <c r="N7101" t="s">
        <v>44905</v>
      </c>
      <c r="O7101" t="s">
        <v>44906</v>
      </c>
      <c r="P7101">
        <v>0</v>
      </c>
      <c r="Q7101">
        <v>0</v>
      </c>
      <c r="R7101" t="s">
        <v>44910</v>
      </c>
      <c r="S7101" t="s">
        <v>45076</v>
      </c>
      <c r="T7101" t="s">
        <v>46507</v>
      </c>
      <c r="U7101" t="s">
        <v>52693</v>
      </c>
      <c r="V7101" t="s">
        <v>59311</v>
      </c>
      <c r="W7101" t="s">
        <v>41940</v>
      </c>
      <c r="X7101" t="s">
        <v>44912</v>
      </c>
    </row>
    <row r="7102" spans="1:24">
      <c r="A7102">
        <f>HYPERLINK("https://www.philgeps.gov.ph/GEPSNONPILOT/Tender/SplashBidNoticeAbstractUI.aspx?menuIndex=3&amp;refID=7072919&amp;Result=3","7072919")</f>
        <v>0</v>
      </c>
      <c r="B7102" t="s">
        <v>952</v>
      </c>
      <c r="C7102" t="s">
        <v>10287</v>
      </c>
      <c r="D7102" t="s">
        <v>18100</v>
      </c>
      <c r="E7102" t="s">
        <v>24483</v>
      </c>
      <c r="F7102" t="s">
        <v>31362</v>
      </c>
      <c r="G7102" t="s">
        <v>31369</v>
      </c>
      <c r="H7102" t="s">
        <v>15799</v>
      </c>
      <c r="I7102" t="s">
        <v>31437</v>
      </c>
      <c r="J7102" t="s">
        <v>31997</v>
      </c>
      <c r="K7102" t="s">
        <v>40662</v>
      </c>
      <c r="M7102" t="s">
        <v>41940</v>
      </c>
      <c r="N7102" t="s">
        <v>44905</v>
      </c>
      <c r="O7102" t="s">
        <v>44906</v>
      </c>
      <c r="P7102">
        <v>0</v>
      </c>
      <c r="Q7102">
        <v>1</v>
      </c>
      <c r="R7102" t="s">
        <v>44910</v>
      </c>
      <c r="S7102" t="s">
        <v>45076</v>
      </c>
      <c r="T7102" t="s">
        <v>46507</v>
      </c>
      <c r="U7102" t="s">
        <v>52694</v>
      </c>
      <c r="V7102" t="s">
        <v>59311</v>
      </c>
      <c r="W7102" t="s">
        <v>41940</v>
      </c>
      <c r="X7102" t="s">
        <v>44912</v>
      </c>
    </row>
    <row r="7103" spans="1:24">
      <c r="A7103">
        <f>HYPERLINK("https://www.philgeps.gov.ph/GEPSNONPILOT/Tender/SplashBidNoticeAbstractUI.aspx?menuIndex=3&amp;refID=7072918&amp;Result=3","7072918")</f>
        <v>0</v>
      </c>
      <c r="B7103" t="s">
        <v>831</v>
      </c>
      <c r="C7103" t="s">
        <v>10288</v>
      </c>
      <c r="D7103" t="s">
        <v>18108</v>
      </c>
      <c r="E7103" t="s">
        <v>24484</v>
      </c>
      <c r="F7103" t="s">
        <v>31362</v>
      </c>
      <c r="G7103" t="s">
        <v>31369</v>
      </c>
      <c r="H7103" t="s">
        <v>15799</v>
      </c>
      <c r="I7103" t="s">
        <v>31385</v>
      </c>
      <c r="J7103" t="s">
        <v>35905</v>
      </c>
      <c r="K7103" t="s">
        <v>40666</v>
      </c>
      <c r="M7103" t="s">
        <v>41805</v>
      </c>
      <c r="N7103" t="s">
        <v>44905</v>
      </c>
      <c r="O7103" t="s">
        <v>44906</v>
      </c>
      <c r="P7103">
        <v>0</v>
      </c>
      <c r="Q7103">
        <v>1</v>
      </c>
      <c r="R7103" t="s">
        <v>44910</v>
      </c>
      <c r="S7103" t="s">
        <v>45076</v>
      </c>
      <c r="T7103" t="s">
        <v>46393</v>
      </c>
      <c r="U7103" t="s">
        <v>47749</v>
      </c>
      <c r="W7103" t="s">
        <v>41805</v>
      </c>
      <c r="X7103" t="s">
        <v>44912</v>
      </c>
    </row>
    <row r="7104" spans="1:24">
      <c r="A7104">
        <f>HYPERLINK("https://www.philgeps.gov.ph/GEPSNONPILOT/Tender/SplashBidNoticeAbstractUI.aspx?menuIndex=3&amp;refID=7072915&amp;Result=3","7072915")</f>
        <v>0</v>
      </c>
      <c r="B7104" t="s">
        <v>952</v>
      </c>
      <c r="C7104" t="s">
        <v>10289</v>
      </c>
      <c r="D7104" t="s">
        <v>18100</v>
      </c>
      <c r="E7104" t="s">
        <v>24485</v>
      </c>
      <c r="F7104" t="s">
        <v>31362</v>
      </c>
      <c r="G7104" t="s">
        <v>31369</v>
      </c>
      <c r="H7104" t="s">
        <v>15799</v>
      </c>
      <c r="I7104" t="s">
        <v>31404</v>
      </c>
      <c r="J7104" t="s">
        <v>35906</v>
      </c>
      <c r="K7104" t="s">
        <v>40662</v>
      </c>
      <c r="M7104" t="s">
        <v>41940</v>
      </c>
      <c r="N7104" t="s">
        <v>44905</v>
      </c>
      <c r="O7104" t="s">
        <v>44906</v>
      </c>
      <c r="P7104">
        <v>0</v>
      </c>
      <c r="Q7104">
        <v>0</v>
      </c>
      <c r="R7104" t="s">
        <v>44910</v>
      </c>
      <c r="S7104" t="s">
        <v>45076</v>
      </c>
      <c r="T7104" t="s">
        <v>46507</v>
      </c>
      <c r="U7104" t="s">
        <v>52695</v>
      </c>
      <c r="V7104" t="s">
        <v>59311</v>
      </c>
      <c r="W7104" t="s">
        <v>41940</v>
      </c>
      <c r="X7104" t="s">
        <v>44912</v>
      </c>
    </row>
    <row r="7105" spans="1:24">
      <c r="A7105">
        <f>HYPERLINK("https://www.philgeps.gov.ph/GEPSNONPILOT/Tender/SplashBidNoticeAbstractUI.aspx?menuIndex=3&amp;refID=7072912&amp;Result=3","7072912")</f>
        <v>0</v>
      </c>
      <c r="B7105" t="s">
        <v>952</v>
      </c>
      <c r="C7105" t="s">
        <v>10290</v>
      </c>
      <c r="D7105" t="s">
        <v>18100</v>
      </c>
      <c r="E7105" t="s">
        <v>24486</v>
      </c>
      <c r="F7105" t="s">
        <v>31362</v>
      </c>
      <c r="G7105" t="s">
        <v>31369</v>
      </c>
      <c r="H7105" t="s">
        <v>15799</v>
      </c>
      <c r="I7105" t="s">
        <v>31404</v>
      </c>
      <c r="J7105" t="s">
        <v>35907</v>
      </c>
      <c r="K7105" t="s">
        <v>40662</v>
      </c>
      <c r="M7105" t="s">
        <v>41940</v>
      </c>
      <c r="N7105" t="s">
        <v>44905</v>
      </c>
      <c r="O7105" t="s">
        <v>44906</v>
      </c>
      <c r="P7105">
        <v>0</v>
      </c>
      <c r="Q7105">
        <v>0</v>
      </c>
      <c r="R7105" t="s">
        <v>44910</v>
      </c>
      <c r="S7105" t="s">
        <v>45076</v>
      </c>
      <c r="T7105" t="s">
        <v>46507</v>
      </c>
      <c r="U7105" t="s">
        <v>52696</v>
      </c>
      <c r="V7105" t="s">
        <v>59311</v>
      </c>
      <c r="W7105" t="s">
        <v>41940</v>
      </c>
      <c r="X7105" t="s">
        <v>44912</v>
      </c>
    </row>
    <row r="7106" spans="1:24">
      <c r="A7106">
        <f>HYPERLINK("https://www.philgeps.gov.ph/GEPSNONPILOT/Tender/SplashBidNoticeAbstractUI.aspx?menuIndex=3&amp;refID=7072911&amp;Result=3","7072911")</f>
        <v>0</v>
      </c>
      <c r="B7106" t="s">
        <v>952</v>
      </c>
      <c r="C7106" t="s">
        <v>10291</v>
      </c>
      <c r="D7106" t="s">
        <v>18100</v>
      </c>
      <c r="E7106" t="s">
        <v>24487</v>
      </c>
      <c r="F7106" t="s">
        <v>31362</v>
      </c>
      <c r="G7106" t="s">
        <v>31369</v>
      </c>
      <c r="H7106" t="s">
        <v>15799</v>
      </c>
      <c r="I7106" t="s">
        <v>31387</v>
      </c>
      <c r="J7106" t="s">
        <v>35908</v>
      </c>
      <c r="K7106" t="s">
        <v>40662</v>
      </c>
      <c r="M7106" t="s">
        <v>41940</v>
      </c>
      <c r="N7106" t="s">
        <v>44905</v>
      </c>
      <c r="O7106" t="s">
        <v>44906</v>
      </c>
      <c r="P7106">
        <v>0</v>
      </c>
      <c r="Q7106">
        <v>1</v>
      </c>
      <c r="R7106" t="s">
        <v>44910</v>
      </c>
      <c r="S7106" t="s">
        <v>45076</v>
      </c>
      <c r="T7106" t="s">
        <v>46507</v>
      </c>
      <c r="U7106" t="s">
        <v>52697</v>
      </c>
      <c r="V7106" t="s">
        <v>59311</v>
      </c>
      <c r="W7106" t="s">
        <v>41940</v>
      </c>
      <c r="X7106" t="s">
        <v>44912</v>
      </c>
    </row>
    <row r="7107" spans="1:24">
      <c r="A7107">
        <f>HYPERLINK("https://www.philgeps.gov.ph/GEPSNONPILOT/Tender/SplashBidNoticeAbstractUI.aspx?menuIndex=3&amp;refID=7072909&amp;Result=3","7072909")</f>
        <v>0</v>
      </c>
      <c r="B7107" t="s">
        <v>952</v>
      </c>
      <c r="C7107" t="s">
        <v>10292</v>
      </c>
      <c r="D7107" t="s">
        <v>18100</v>
      </c>
      <c r="E7107" t="s">
        <v>24488</v>
      </c>
      <c r="F7107" t="s">
        <v>31362</v>
      </c>
      <c r="G7107" t="s">
        <v>31369</v>
      </c>
      <c r="H7107" t="s">
        <v>15799</v>
      </c>
      <c r="I7107" t="s">
        <v>31461</v>
      </c>
      <c r="J7107" t="s">
        <v>35909</v>
      </c>
      <c r="K7107" t="s">
        <v>40662</v>
      </c>
      <c r="M7107" t="s">
        <v>41940</v>
      </c>
      <c r="N7107" t="s">
        <v>44905</v>
      </c>
      <c r="O7107" t="s">
        <v>44906</v>
      </c>
      <c r="P7107">
        <v>0</v>
      </c>
      <c r="Q7107">
        <v>1</v>
      </c>
      <c r="R7107" t="s">
        <v>44910</v>
      </c>
      <c r="S7107" t="s">
        <v>45076</v>
      </c>
      <c r="T7107" t="s">
        <v>46507</v>
      </c>
      <c r="U7107" t="s">
        <v>52698</v>
      </c>
      <c r="V7107" t="s">
        <v>59757</v>
      </c>
      <c r="W7107" t="s">
        <v>41940</v>
      </c>
      <c r="X7107" t="s">
        <v>44912</v>
      </c>
    </row>
    <row r="7108" spans="1:24">
      <c r="A7108">
        <f>HYPERLINK("https://www.philgeps.gov.ph/GEPSNONPILOT/Tender/SplashBidNoticeAbstractUI.aspx?menuIndex=3&amp;refID=7072585&amp;Result=3","7072585")</f>
        <v>0</v>
      </c>
      <c r="B7108" t="s">
        <v>2129</v>
      </c>
      <c r="C7108" t="s">
        <v>10293</v>
      </c>
      <c r="D7108" t="s">
        <v>18170</v>
      </c>
      <c r="E7108" t="s">
        <v>24489</v>
      </c>
      <c r="F7108" t="s">
        <v>31362</v>
      </c>
      <c r="G7108" t="s">
        <v>31369</v>
      </c>
      <c r="H7108" t="s">
        <v>15799</v>
      </c>
      <c r="I7108" t="s">
        <v>31385</v>
      </c>
      <c r="J7108" t="s">
        <v>35910</v>
      </c>
      <c r="K7108" t="s">
        <v>40665</v>
      </c>
      <c r="M7108" t="s">
        <v>43257</v>
      </c>
      <c r="N7108" t="s">
        <v>44905</v>
      </c>
      <c r="O7108" t="s">
        <v>44906</v>
      </c>
      <c r="P7108">
        <v>0</v>
      </c>
      <c r="Q7108">
        <v>1</v>
      </c>
      <c r="R7108" t="s">
        <v>44910</v>
      </c>
      <c r="S7108" t="s">
        <v>45076</v>
      </c>
      <c r="T7108" t="s">
        <v>46433</v>
      </c>
      <c r="U7108" t="s">
        <v>52699</v>
      </c>
      <c r="W7108" t="s">
        <v>43257</v>
      </c>
      <c r="X7108" t="s">
        <v>44913</v>
      </c>
    </row>
    <row r="7109" spans="1:24">
      <c r="A7109">
        <f>HYPERLINK("https://www.philgeps.gov.ph/GEPSNONPILOT/Tender/SplashBidNoticeAbstractUI.aspx?menuIndex=3&amp;refID=7072927&amp;Result=3","7072927")</f>
        <v>0</v>
      </c>
      <c r="B7109" t="s">
        <v>952</v>
      </c>
      <c r="C7109" t="s">
        <v>10294</v>
      </c>
      <c r="D7109" t="s">
        <v>18100</v>
      </c>
      <c r="E7109" t="s">
        <v>24490</v>
      </c>
      <c r="F7109" t="s">
        <v>31362</v>
      </c>
      <c r="G7109" t="s">
        <v>31369</v>
      </c>
      <c r="H7109" t="s">
        <v>15799</v>
      </c>
      <c r="I7109" t="s">
        <v>4283</v>
      </c>
      <c r="J7109" t="s">
        <v>35911</v>
      </c>
      <c r="K7109" t="s">
        <v>40662</v>
      </c>
      <c r="M7109" t="s">
        <v>41940</v>
      </c>
      <c r="N7109" t="s">
        <v>44905</v>
      </c>
      <c r="O7109" t="s">
        <v>44906</v>
      </c>
      <c r="P7109">
        <v>0</v>
      </c>
      <c r="Q7109">
        <v>1</v>
      </c>
      <c r="R7109" t="s">
        <v>44910</v>
      </c>
      <c r="S7109" t="s">
        <v>45076</v>
      </c>
      <c r="T7109" t="s">
        <v>46507</v>
      </c>
      <c r="U7109" t="s">
        <v>52700</v>
      </c>
      <c r="V7109" t="s">
        <v>59311</v>
      </c>
      <c r="W7109" t="s">
        <v>41940</v>
      </c>
      <c r="X7109" t="s">
        <v>44912</v>
      </c>
    </row>
    <row r="7110" spans="1:24">
      <c r="A7110">
        <f>HYPERLINK("https://www.philgeps.gov.ph/GEPSNONPILOT/Tender/SplashBidNoticeAbstractUI.aspx?menuIndex=3&amp;refID=7072627&amp;Result=3","7072627")</f>
        <v>0</v>
      </c>
      <c r="B7110" t="s">
        <v>2129</v>
      </c>
      <c r="C7110" t="s">
        <v>10295</v>
      </c>
      <c r="D7110" t="s">
        <v>18170</v>
      </c>
      <c r="E7110" t="s">
        <v>24491</v>
      </c>
      <c r="F7110" t="s">
        <v>31362</v>
      </c>
      <c r="G7110" t="s">
        <v>31369</v>
      </c>
      <c r="H7110" t="s">
        <v>15799</v>
      </c>
      <c r="I7110" t="s">
        <v>3815</v>
      </c>
      <c r="J7110" t="s">
        <v>33390</v>
      </c>
      <c r="K7110" t="s">
        <v>40665</v>
      </c>
      <c r="M7110" t="s">
        <v>43257</v>
      </c>
      <c r="N7110" t="s">
        <v>44905</v>
      </c>
      <c r="O7110" t="s">
        <v>44906</v>
      </c>
      <c r="P7110">
        <v>0</v>
      </c>
      <c r="Q7110">
        <v>0</v>
      </c>
      <c r="R7110" t="s">
        <v>44910</v>
      </c>
      <c r="S7110" t="s">
        <v>45076</v>
      </c>
      <c r="T7110" t="s">
        <v>46433</v>
      </c>
      <c r="U7110" t="s">
        <v>52701</v>
      </c>
      <c r="W7110" t="s">
        <v>43257</v>
      </c>
      <c r="X7110" t="s">
        <v>44913</v>
      </c>
    </row>
    <row r="7111" spans="1:24">
      <c r="A7111">
        <f>HYPERLINK("https://www.philgeps.gov.ph/GEPSNONPILOT/Tender/SplashBidNoticeAbstractUI.aspx?menuIndex=3&amp;refID=7072925&amp;Result=3","7072925")</f>
        <v>0</v>
      </c>
      <c r="B7111" t="s">
        <v>831</v>
      </c>
      <c r="C7111" t="s">
        <v>10296</v>
      </c>
      <c r="D7111" t="s">
        <v>18108</v>
      </c>
      <c r="E7111" t="s">
        <v>24492</v>
      </c>
      <c r="F7111" t="s">
        <v>31362</v>
      </c>
      <c r="G7111" t="s">
        <v>31369</v>
      </c>
      <c r="H7111" t="s">
        <v>15799</v>
      </c>
      <c r="I7111" t="s">
        <v>7090</v>
      </c>
      <c r="J7111" t="s">
        <v>35912</v>
      </c>
      <c r="K7111" t="s">
        <v>40666</v>
      </c>
      <c r="M7111" t="s">
        <v>41805</v>
      </c>
      <c r="N7111" t="s">
        <v>44905</v>
      </c>
      <c r="O7111" t="s">
        <v>44906</v>
      </c>
      <c r="P7111">
        <v>0</v>
      </c>
      <c r="Q7111">
        <v>0</v>
      </c>
      <c r="R7111" t="s">
        <v>44910</v>
      </c>
      <c r="S7111" t="s">
        <v>45076</v>
      </c>
      <c r="T7111" t="s">
        <v>46393</v>
      </c>
      <c r="U7111" t="s">
        <v>48635</v>
      </c>
      <c r="W7111" t="s">
        <v>41805</v>
      </c>
      <c r="X7111" t="s">
        <v>44912</v>
      </c>
    </row>
    <row r="7112" spans="1:24">
      <c r="A7112">
        <f>HYPERLINK("https://www.philgeps.gov.ph/GEPSNONPILOT/Tender/SplashBidNoticeAbstractUI.aspx?menuIndex=3&amp;refID=7072913&amp;Result=3","7072913")</f>
        <v>0</v>
      </c>
      <c r="B7112" t="s">
        <v>952</v>
      </c>
      <c r="C7112" t="s">
        <v>10297</v>
      </c>
      <c r="D7112" t="s">
        <v>18100</v>
      </c>
      <c r="E7112" t="s">
        <v>24493</v>
      </c>
      <c r="F7112" t="s">
        <v>31362</v>
      </c>
      <c r="G7112" t="s">
        <v>31369</v>
      </c>
      <c r="H7112" t="s">
        <v>15799</v>
      </c>
      <c r="I7112" t="s">
        <v>31404</v>
      </c>
      <c r="J7112" t="s">
        <v>35913</v>
      </c>
      <c r="K7112" t="s">
        <v>40662</v>
      </c>
      <c r="M7112" t="s">
        <v>41940</v>
      </c>
      <c r="N7112" t="s">
        <v>44905</v>
      </c>
      <c r="O7112" t="s">
        <v>44906</v>
      </c>
      <c r="P7112">
        <v>0</v>
      </c>
      <c r="Q7112">
        <v>0</v>
      </c>
      <c r="R7112" t="s">
        <v>44910</v>
      </c>
      <c r="S7112" t="s">
        <v>45076</v>
      </c>
      <c r="T7112" t="s">
        <v>46507</v>
      </c>
      <c r="U7112" t="s">
        <v>52702</v>
      </c>
      <c r="V7112" t="s">
        <v>59311</v>
      </c>
      <c r="W7112" t="s">
        <v>41940</v>
      </c>
      <c r="X7112" t="s">
        <v>44912</v>
      </c>
    </row>
    <row r="7113" spans="1:24">
      <c r="A7113">
        <f>HYPERLINK("https://www.philgeps.gov.ph/GEPSNONPILOT/Tender/SplashBidNoticeAbstractUI.aspx?menuIndex=3&amp;refID=7072923&amp;Result=3","7072923")</f>
        <v>0</v>
      </c>
      <c r="B7113" t="s">
        <v>952</v>
      </c>
      <c r="C7113" t="s">
        <v>10298</v>
      </c>
      <c r="D7113" t="s">
        <v>18100</v>
      </c>
      <c r="E7113" t="s">
        <v>24494</v>
      </c>
      <c r="F7113" t="s">
        <v>31362</v>
      </c>
      <c r="G7113" t="s">
        <v>31369</v>
      </c>
      <c r="H7113" t="s">
        <v>15799</v>
      </c>
      <c r="I7113" t="s">
        <v>31393</v>
      </c>
      <c r="J7113" t="s">
        <v>35914</v>
      </c>
      <c r="K7113" t="s">
        <v>40662</v>
      </c>
      <c r="M7113" t="s">
        <v>41940</v>
      </c>
      <c r="N7113" t="s">
        <v>44905</v>
      </c>
      <c r="O7113" t="s">
        <v>44906</v>
      </c>
      <c r="P7113">
        <v>0</v>
      </c>
      <c r="Q7113">
        <v>1</v>
      </c>
      <c r="R7113" t="s">
        <v>44910</v>
      </c>
      <c r="S7113" t="s">
        <v>45076</v>
      </c>
      <c r="T7113" t="s">
        <v>46507</v>
      </c>
      <c r="U7113" t="s">
        <v>52703</v>
      </c>
      <c r="V7113" t="s">
        <v>59758</v>
      </c>
      <c r="W7113" t="s">
        <v>41940</v>
      </c>
      <c r="X7113" t="s">
        <v>44912</v>
      </c>
    </row>
    <row r="7114" spans="1:24">
      <c r="A7114">
        <f>HYPERLINK("https://www.philgeps.gov.ph/GEPSNONPILOT/Tender/SplashBidNoticeAbstractUI.aspx?menuIndex=3&amp;refID=7072897&amp;Result=3","7072897")</f>
        <v>0</v>
      </c>
      <c r="B7114" t="s">
        <v>952</v>
      </c>
      <c r="C7114" t="s">
        <v>10299</v>
      </c>
      <c r="D7114" t="s">
        <v>18100</v>
      </c>
      <c r="E7114" t="s">
        <v>24495</v>
      </c>
      <c r="F7114" t="s">
        <v>31362</v>
      </c>
      <c r="G7114" t="s">
        <v>31369</v>
      </c>
      <c r="H7114" t="s">
        <v>15799</v>
      </c>
      <c r="I7114" t="s">
        <v>31393</v>
      </c>
      <c r="J7114" t="s">
        <v>31983</v>
      </c>
      <c r="K7114" t="s">
        <v>40662</v>
      </c>
      <c r="M7114" t="s">
        <v>41940</v>
      </c>
      <c r="N7114" t="s">
        <v>44905</v>
      </c>
      <c r="O7114" t="s">
        <v>44906</v>
      </c>
      <c r="P7114">
        <v>0</v>
      </c>
      <c r="Q7114">
        <v>0</v>
      </c>
      <c r="R7114" t="s">
        <v>44910</v>
      </c>
      <c r="S7114" t="s">
        <v>45076</v>
      </c>
      <c r="T7114" t="s">
        <v>46507</v>
      </c>
      <c r="U7114" t="s">
        <v>52704</v>
      </c>
      <c r="V7114" t="s">
        <v>59759</v>
      </c>
      <c r="W7114" t="s">
        <v>41940</v>
      </c>
      <c r="X7114" t="s">
        <v>44912</v>
      </c>
    </row>
    <row r="7115" spans="1:24">
      <c r="A7115">
        <f>HYPERLINK("https://www.philgeps.gov.ph/GEPSNONPILOT/Tender/SplashBidNoticeAbstractUI.aspx?menuIndex=3&amp;refID=7072566&amp;Result=3","7072566")</f>
        <v>0</v>
      </c>
      <c r="B7115" t="s">
        <v>2129</v>
      </c>
      <c r="C7115" t="s">
        <v>10300</v>
      </c>
      <c r="D7115" t="s">
        <v>18170</v>
      </c>
      <c r="E7115" t="s">
        <v>24496</v>
      </c>
      <c r="F7115" t="s">
        <v>31362</v>
      </c>
      <c r="G7115" t="s">
        <v>31369</v>
      </c>
      <c r="H7115" t="s">
        <v>15799</v>
      </c>
      <c r="I7115" t="s">
        <v>31385</v>
      </c>
      <c r="J7115" t="s">
        <v>35915</v>
      </c>
      <c r="K7115" t="s">
        <v>40665</v>
      </c>
      <c r="M7115" t="s">
        <v>43257</v>
      </c>
      <c r="N7115" t="s">
        <v>44905</v>
      </c>
      <c r="O7115" t="s">
        <v>44906</v>
      </c>
      <c r="P7115">
        <v>0</v>
      </c>
      <c r="Q7115">
        <v>2</v>
      </c>
      <c r="R7115" t="s">
        <v>44910</v>
      </c>
      <c r="S7115" t="s">
        <v>45076</v>
      </c>
      <c r="T7115" t="s">
        <v>46433</v>
      </c>
      <c r="U7115" t="s">
        <v>52705</v>
      </c>
      <c r="W7115" t="s">
        <v>43257</v>
      </c>
      <c r="X7115" t="s">
        <v>44913</v>
      </c>
    </row>
    <row r="7116" spans="1:24">
      <c r="A7116">
        <f>HYPERLINK("https://www.philgeps.gov.ph/GEPSNONPILOT/Tender/SplashBidNoticeAbstractUI.aspx?menuIndex=3&amp;refID=7072901&amp;Result=3","7072901")</f>
        <v>0</v>
      </c>
      <c r="B7116" t="s">
        <v>952</v>
      </c>
      <c r="C7116" t="s">
        <v>10301</v>
      </c>
      <c r="D7116" t="s">
        <v>18100</v>
      </c>
      <c r="E7116" t="s">
        <v>24497</v>
      </c>
      <c r="F7116" t="s">
        <v>31362</v>
      </c>
      <c r="G7116" t="s">
        <v>31369</v>
      </c>
      <c r="H7116" t="s">
        <v>15799</v>
      </c>
      <c r="I7116" t="s">
        <v>31393</v>
      </c>
      <c r="J7116" t="s">
        <v>31564</v>
      </c>
      <c r="K7116" t="s">
        <v>40662</v>
      </c>
      <c r="M7116" t="s">
        <v>41940</v>
      </c>
      <c r="N7116" t="s">
        <v>44905</v>
      </c>
      <c r="O7116" t="s">
        <v>44906</v>
      </c>
      <c r="P7116">
        <v>0</v>
      </c>
      <c r="Q7116">
        <v>1</v>
      </c>
      <c r="R7116" t="s">
        <v>44910</v>
      </c>
      <c r="S7116" t="s">
        <v>45076</v>
      </c>
      <c r="T7116" t="s">
        <v>46507</v>
      </c>
      <c r="U7116" t="s">
        <v>52706</v>
      </c>
      <c r="V7116" t="s">
        <v>59758</v>
      </c>
      <c r="W7116" t="s">
        <v>41940</v>
      </c>
      <c r="X7116" t="s">
        <v>44912</v>
      </c>
    </row>
    <row r="7117" spans="1:24">
      <c r="A7117">
        <f>HYPERLINK("https://www.philgeps.gov.ph/GEPSNONPILOT/Tender/SplashBidNoticeAbstractUI.aspx?menuIndex=3&amp;refID=7072904&amp;Result=3","7072904")</f>
        <v>0</v>
      </c>
      <c r="B7117" t="s">
        <v>952</v>
      </c>
      <c r="C7117" t="s">
        <v>10302</v>
      </c>
      <c r="D7117" t="s">
        <v>18100</v>
      </c>
      <c r="E7117" t="s">
        <v>24498</v>
      </c>
      <c r="F7117" t="s">
        <v>31362</v>
      </c>
      <c r="G7117" t="s">
        <v>31369</v>
      </c>
      <c r="H7117" t="s">
        <v>15799</v>
      </c>
      <c r="I7117" t="s">
        <v>4057</v>
      </c>
      <c r="J7117" t="s">
        <v>31755</v>
      </c>
      <c r="K7117" t="s">
        <v>40662</v>
      </c>
      <c r="M7117" t="s">
        <v>41940</v>
      </c>
      <c r="N7117" t="s">
        <v>44905</v>
      </c>
      <c r="O7117" t="s">
        <v>44906</v>
      </c>
      <c r="P7117">
        <v>0</v>
      </c>
      <c r="Q7117">
        <v>0</v>
      </c>
      <c r="R7117" t="s">
        <v>44910</v>
      </c>
      <c r="S7117" t="s">
        <v>45076</v>
      </c>
      <c r="T7117" t="s">
        <v>46507</v>
      </c>
      <c r="U7117" t="s">
        <v>52707</v>
      </c>
      <c r="V7117" t="s">
        <v>59760</v>
      </c>
      <c r="W7117" t="s">
        <v>41940</v>
      </c>
      <c r="X7117" t="s">
        <v>44912</v>
      </c>
    </row>
    <row r="7118" spans="1:24">
      <c r="A7118">
        <f>HYPERLINK("https://www.philgeps.gov.ph/GEPSNONPILOT/Tender/SplashBidNoticeAbstractUI.aspx?menuIndex=3&amp;refID=7073241&amp;Result=3","7073241")</f>
        <v>0</v>
      </c>
      <c r="B7118" t="s">
        <v>2163</v>
      </c>
      <c r="C7118" t="s">
        <v>10303</v>
      </c>
      <c r="D7118" t="s">
        <v>18117</v>
      </c>
      <c r="E7118" t="s">
        <v>18203</v>
      </c>
      <c r="F7118" t="s">
        <v>31362</v>
      </c>
      <c r="G7118" t="s">
        <v>31369</v>
      </c>
      <c r="H7118" t="s">
        <v>15799</v>
      </c>
      <c r="I7118" t="s">
        <v>3815</v>
      </c>
      <c r="J7118" t="s">
        <v>35916</v>
      </c>
      <c r="K7118" t="s">
        <v>40670</v>
      </c>
      <c r="M7118" t="s">
        <v>43293</v>
      </c>
      <c r="N7118" t="s">
        <v>44905</v>
      </c>
      <c r="O7118" t="s">
        <v>44906</v>
      </c>
      <c r="P7118">
        <v>0</v>
      </c>
      <c r="Q7118">
        <v>0</v>
      </c>
      <c r="R7118" t="s">
        <v>44910</v>
      </c>
      <c r="S7118" t="s">
        <v>45076</v>
      </c>
      <c r="T7118" t="s">
        <v>46406</v>
      </c>
      <c r="U7118" t="s">
        <v>52708</v>
      </c>
      <c r="V7118" t="s">
        <v>59761</v>
      </c>
      <c r="W7118" t="s">
        <v>43293</v>
      </c>
      <c r="X7118" t="s">
        <v>44911</v>
      </c>
    </row>
    <row r="7119" spans="1:24">
      <c r="A7119">
        <f>HYPERLINK("https://www.philgeps.gov.ph/GEPSNONPILOT/Tender/SplashBidNoticeAbstractUI.aspx?menuIndex=3&amp;refID=7072930&amp;Result=3","7072930")</f>
        <v>0</v>
      </c>
      <c r="B7119" t="s">
        <v>952</v>
      </c>
      <c r="C7119" t="s">
        <v>10304</v>
      </c>
      <c r="D7119" t="s">
        <v>18100</v>
      </c>
      <c r="E7119" t="s">
        <v>24499</v>
      </c>
      <c r="F7119" t="s">
        <v>31362</v>
      </c>
      <c r="G7119" t="s">
        <v>31369</v>
      </c>
      <c r="H7119" t="s">
        <v>31377</v>
      </c>
      <c r="I7119" t="s">
        <v>31388</v>
      </c>
      <c r="J7119" t="s">
        <v>32278</v>
      </c>
      <c r="K7119" t="s">
        <v>40662</v>
      </c>
      <c r="M7119" t="s">
        <v>41940</v>
      </c>
      <c r="N7119" t="s">
        <v>44905</v>
      </c>
      <c r="O7119" t="s">
        <v>44906</v>
      </c>
      <c r="P7119">
        <v>0</v>
      </c>
      <c r="Q7119">
        <v>0</v>
      </c>
      <c r="R7119" t="s">
        <v>44910</v>
      </c>
      <c r="S7119" t="s">
        <v>45076</v>
      </c>
      <c r="T7119" t="s">
        <v>46507</v>
      </c>
      <c r="U7119" t="s">
        <v>52709</v>
      </c>
      <c r="V7119" t="s">
        <v>59760</v>
      </c>
      <c r="W7119" t="s">
        <v>41940</v>
      </c>
      <c r="X7119" t="s">
        <v>44912</v>
      </c>
    </row>
    <row r="7120" spans="1:24">
      <c r="A7120">
        <f>HYPERLINK("https://www.philgeps.gov.ph/GEPSNONPILOT/Tender/SplashBidNoticeAbstractUI.aspx?menuIndex=3&amp;refID=7073240&amp;Result=3","7073240")</f>
        <v>0</v>
      </c>
      <c r="B7120" t="s">
        <v>2164</v>
      </c>
      <c r="C7120" t="s">
        <v>10305</v>
      </c>
      <c r="D7120" t="s">
        <v>18117</v>
      </c>
      <c r="E7120" t="s">
        <v>18203</v>
      </c>
      <c r="F7120" t="s">
        <v>31362</v>
      </c>
      <c r="G7120" t="s">
        <v>31369</v>
      </c>
      <c r="H7120" t="s">
        <v>15799</v>
      </c>
      <c r="I7120" t="s">
        <v>3815</v>
      </c>
      <c r="J7120" t="s">
        <v>31531</v>
      </c>
      <c r="K7120" t="s">
        <v>40670</v>
      </c>
      <c r="M7120" t="s">
        <v>43294</v>
      </c>
      <c r="N7120" t="s">
        <v>44905</v>
      </c>
      <c r="O7120" t="s">
        <v>44906</v>
      </c>
      <c r="P7120">
        <v>0</v>
      </c>
      <c r="Q7120">
        <v>0</v>
      </c>
      <c r="R7120" t="s">
        <v>44910</v>
      </c>
      <c r="S7120" t="s">
        <v>45076</v>
      </c>
      <c r="T7120" t="s">
        <v>46406</v>
      </c>
      <c r="U7120" t="s">
        <v>52710</v>
      </c>
      <c r="V7120" t="s">
        <v>59762</v>
      </c>
      <c r="W7120" t="s">
        <v>43294</v>
      </c>
      <c r="X7120" t="s">
        <v>44911</v>
      </c>
    </row>
    <row r="7121" spans="1:24">
      <c r="A7121">
        <f>HYPERLINK("https://www.philgeps.gov.ph/GEPSNONPILOT/Tender/SplashBidNoticeAbstractUI.aspx?menuIndex=3&amp;refID=7073238&amp;Result=3","7073238")</f>
        <v>0</v>
      </c>
      <c r="B7121" t="s">
        <v>2165</v>
      </c>
      <c r="C7121" t="s">
        <v>10306</v>
      </c>
      <c r="D7121" t="s">
        <v>18117</v>
      </c>
      <c r="E7121" t="s">
        <v>18203</v>
      </c>
      <c r="F7121" t="s">
        <v>31362</v>
      </c>
      <c r="G7121" t="s">
        <v>31369</v>
      </c>
      <c r="H7121" t="s">
        <v>31378</v>
      </c>
      <c r="I7121" t="s">
        <v>3815</v>
      </c>
      <c r="J7121" t="s">
        <v>31591</v>
      </c>
      <c r="K7121" t="s">
        <v>40670</v>
      </c>
      <c r="M7121" t="s">
        <v>43295</v>
      </c>
      <c r="N7121" t="s">
        <v>44905</v>
      </c>
      <c r="O7121" t="s">
        <v>44906</v>
      </c>
      <c r="P7121">
        <v>0</v>
      </c>
      <c r="Q7121">
        <v>0</v>
      </c>
      <c r="R7121" t="s">
        <v>44910</v>
      </c>
      <c r="S7121" t="s">
        <v>45076</v>
      </c>
      <c r="T7121" t="s">
        <v>46406</v>
      </c>
      <c r="U7121" t="s">
        <v>52711</v>
      </c>
      <c r="V7121" t="s">
        <v>59763</v>
      </c>
      <c r="W7121" t="s">
        <v>43295</v>
      </c>
      <c r="X7121" t="s">
        <v>44911</v>
      </c>
    </row>
    <row r="7122" spans="1:24">
      <c r="A7122">
        <f>HYPERLINK("https://www.philgeps.gov.ph/GEPSNONPILOT/Tender/SplashBidNoticeAbstractUI.aspx?menuIndex=3&amp;refID=7073235&amp;Result=3","7073235")</f>
        <v>0</v>
      </c>
      <c r="B7122" t="s">
        <v>2166</v>
      </c>
      <c r="C7122" t="s">
        <v>10307</v>
      </c>
      <c r="E7122" t="s">
        <v>24500</v>
      </c>
      <c r="F7122" t="s">
        <v>31362</v>
      </c>
      <c r="G7122" t="s">
        <v>31369</v>
      </c>
      <c r="H7122" t="s">
        <v>15799</v>
      </c>
      <c r="I7122" t="s">
        <v>7188</v>
      </c>
      <c r="J7122" t="s">
        <v>31531</v>
      </c>
      <c r="K7122" t="s">
        <v>40662</v>
      </c>
      <c r="M7122" t="s">
        <v>43296</v>
      </c>
      <c r="N7122" t="s">
        <v>44905</v>
      </c>
      <c r="O7122" t="s">
        <v>44906</v>
      </c>
      <c r="P7122">
        <v>0</v>
      </c>
      <c r="Q7122">
        <v>0</v>
      </c>
      <c r="R7122" t="s">
        <v>44910</v>
      </c>
      <c r="S7122" t="s">
        <v>45076</v>
      </c>
      <c r="T7122" t="s">
        <v>46447</v>
      </c>
      <c r="U7122" t="s">
        <v>52712</v>
      </c>
      <c r="W7122" t="s">
        <v>43296</v>
      </c>
      <c r="X7122" t="s">
        <v>44912</v>
      </c>
    </row>
    <row r="7123" spans="1:24">
      <c r="A7123">
        <f>HYPERLINK("https://www.philgeps.gov.ph/GEPSNONPILOT/Tender/SplashBidNoticeAbstractUI.aspx?menuIndex=3&amp;refID=7073199&amp;Result=3","7073199")</f>
        <v>0</v>
      </c>
      <c r="B7123" t="s">
        <v>2167</v>
      </c>
      <c r="C7123" t="s">
        <v>10308</v>
      </c>
      <c r="D7123" t="s">
        <v>18134</v>
      </c>
      <c r="E7123" t="s">
        <v>24501</v>
      </c>
      <c r="F7123" t="s">
        <v>31362</v>
      </c>
      <c r="G7123" t="s">
        <v>31369</v>
      </c>
      <c r="H7123" t="s">
        <v>15799</v>
      </c>
      <c r="I7123" t="s">
        <v>4057</v>
      </c>
      <c r="J7123" t="s">
        <v>35917</v>
      </c>
      <c r="K7123" t="s">
        <v>40666</v>
      </c>
      <c r="M7123" t="s">
        <v>43297</v>
      </c>
      <c r="N7123" t="s">
        <v>44905</v>
      </c>
      <c r="O7123" t="s">
        <v>44906</v>
      </c>
      <c r="P7123">
        <v>0</v>
      </c>
      <c r="Q7123">
        <v>1</v>
      </c>
      <c r="R7123" t="s">
        <v>44910</v>
      </c>
      <c r="S7123" t="s">
        <v>45076</v>
      </c>
      <c r="T7123" t="s">
        <v>46746</v>
      </c>
      <c r="U7123" t="s">
        <v>52713</v>
      </c>
      <c r="V7123" t="s">
        <v>59764</v>
      </c>
      <c r="W7123" t="s">
        <v>43297</v>
      </c>
      <c r="X7123" t="s">
        <v>44912</v>
      </c>
    </row>
    <row r="7124" spans="1:24">
      <c r="A7124">
        <f>HYPERLINK("https://www.philgeps.gov.ph/GEPSNONPILOT/Tender/SplashBidNoticeAbstractUI.aspx?menuIndex=3&amp;refID=7072926&amp;Result=3","7072926")</f>
        <v>0</v>
      </c>
      <c r="B7124" t="s">
        <v>952</v>
      </c>
      <c r="C7124" t="s">
        <v>10309</v>
      </c>
      <c r="D7124" t="s">
        <v>18100</v>
      </c>
      <c r="E7124" t="s">
        <v>24502</v>
      </c>
      <c r="F7124" t="s">
        <v>31362</v>
      </c>
      <c r="G7124" t="s">
        <v>31369</v>
      </c>
      <c r="H7124" t="s">
        <v>15799</v>
      </c>
      <c r="I7124" t="s">
        <v>31380</v>
      </c>
      <c r="J7124" t="s">
        <v>35918</v>
      </c>
      <c r="K7124" t="s">
        <v>40662</v>
      </c>
      <c r="M7124" t="s">
        <v>41940</v>
      </c>
      <c r="N7124" t="s">
        <v>44905</v>
      </c>
      <c r="O7124" t="s">
        <v>44906</v>
      </c>
      <c r="P7124">
        <v>0</v>
      </c>
      <c r="Q7124">
        <v>5</v>
      </c>
      <c r="R7124" t="s">
        <v>44910</v>
      </c>
      <c r="S7124" t="s">
        <v>45076</v>
      </c>
      <c r="T7124" t="s">
        <v>46507</v>
      </c>
      <c r="U7124" t="s">
        <v>52714</v>
      </c>
      <c r="V7124" t="s">
        <v>59311</v>
      </c>
      <c r="W7124" t="s">
        <v>41940</v>
      </c>
      <c r="X7124" t="s">
        <v>44912</v>
      </c>
    </row>
    <row r="7125" spans="1:24">
      <c r="A7125">
        <f>HYPERLINK("https://www.philgeps.gov.ph/GEPSNONPILOT/Tender/SplashBidNoticeAbstractUI.aspx?menuIndex=3&amp;refID=7072938&amp;Result=3","7072938")</f>
        <v>0</v>
      </c>
      <c r="B7125" t="s">
        <v>952</v>
      </c>
      <c r="C7125" t="s">
        <v>10310</v>
      </c>
      <c r="D7125" t="s">
        <v>18100</v>
      </c>
      <c r="E7125" t="s">
        <v>24503</v>
      </c>
      <c r="F7125" t="s">
        <v>31362</v>
      </c>
      <c r="G7125" t="s">
        <v>31369</v>
      </c>
      <c r="H7125" t="s">
        <v>15799</v>
      </c>
      <c r="I7125" t="s">
        <v>31380</v>
      </c>
      <c r="J7125" t="s">
        <v>35919</v>
      </c>
      <c r="K7125" t="s">
        <v>40662</v>
      </c>
      <c r="M7125" t="s">
        <v>41940</v>
      </c>
      <c r="N7125" t="s">
        <v>44905</v>
      </c>
      <c r="O7125" t="s">
        <v>44906</v>
      </c>
      <c r="P7125">
        <v>0</v>
      </c>
      <c r="Q7125">
        <v>1</v>
      </c>
      <c r="R7125" t="s">
        <v>44910</v>
      </c>
      <c r="S7125" t="s">
        <v>45076</v>
      </c>
      <c r="T7125" t="s">
        <v>46507</v>
      </c>
      <c r="U7125" t="s">
        <v>52715</v>
      </c>
      <c r="V7125" t="s">
        <v>59311</v>
      </c>
      <c r="W7125" t="s">
        <v>41940</v>
      </c>
      <c r="X7125" t="s">
        <v>44912</v>
      </c>
    </row>
    <row r="7126" spans="1:24">
      <c r="A7126">
        <f>HYPERLINK("https://www.philgeps.gov.ph/GEPSNONPILOT/Tender/SplashBidNoticeAbstractUI.aspx?menuIndex=3&amp;refID=7072936&amp;Result=3","7072936")</f>
        <v>0</v>
      </c>
      <c r="B7126" t="s">
        <v>952</v>
      </c>
      <c r="C7126" t="s">
        <v>10311</v>
      </c>
      <c r="D7126" t="s">
        <v>18100</v>
      </c>
      <c r="E7126" t="s">
        <v>24504</v>
      </c>
      <c r="F7126" t="s">
        <v>31362</v>
      </c>
      <c r="G7126" t="s">
        <v>31369</v>
      </c>
      <c r="H7126" t="s">
        <v>15799</v>
      </c>
      <c r="I7126" t="s">
        <v>4283</v>
      </c>
      <c r="J7126" t="s">
        <v>35920</v>
      </c>
      <c r="K7126" t="s">
        <v>40662</v>
      </c>
      <c r="M7126" t="s">
        <v>41940</v>
      </c>
      <c r="N7126" t="s">
        <v>44905</v>
      </c>
      <c r="O7126" t="s">
        <v>44906</v>
      </c>
      <c r="P7126">
        <v>0</v>
      </c>
      <c r="Q7126">
        <v>1</v>
      </c>
      <c r="R7126" t="s">
        <v>44910</v>
      </c>
      <c r="S7126" t="s">
        <v>45076</v>
      </c>
      <c r="T7126" t="s">
        <v>46507</v>
      </c>
      <c r="U7126" t="s">
        <v>52716</v>
      </c>
      <c r="V7126" t="s">
        <v>59311</v>
      </c>
      <c r="W7126" t="s">
        <v>41940</v>
      </c>
      <c r="X7126" t="s">
        <v>44912</v>
      </c>
    </row>
    <row r="7127" spans="1:24">
      <c r="A7127">
        <f>HYPERLINK("https://www.philgeps.gov.ph/GEPSNONPILOT/Tender/SplashBidNoticeAbstractUI.aspx?menuIndex=3&amp;refID=7072907&amp;Result=3","7072907")</f>
        <v>0</v>
      </c>
      <c r="B7127" t="s">
        <v>952</v>
      </c>
      <c r="C7127" t="s">
        <v>10312</v>
      </c>
      <c r="D7127" t="s">
        <v>18100</v>
      </c>
      <c r="E7127" t="s">
        <v>24505</v>
      </c>
      <c r="F7127" t="s">
        <v>31362</v>
      </c>
      <c r="G7127" t="s">
        <v>31369</v>
      </c>
      <c r="H7127" t="s">
        <v>15799</v>
      </c>
      <c r="I7127" t="s">
        <v>31387</v>
      </c>
      <c r="J7127" t="s">
        <v>35921</v>
      </c>
      <c r="K7127" t="s">
        <v>40662</v>
      </c>
      <c r="M7127" t="s">
        <v>41940</v>
      </c>
      <c r="N7127" t="s">
        <v>44905</v>
      </c>
      <c r="O7127" t="s">
        <v>44906</v>
      </c>
      <c r="P7127">
        <v>0</v>
      </c>
      <c r="Q7127">
        <v>0</v>
      </c>
      <c r="R7127" t="s">
        <v>44910</v>
      </c>
      <c r="S7127" t="s">
        <v>45076</v>
      </c>
      <c r="T7127" t="s">
        <v>46507</v>
      </c>
      <c r="U7127" t="s">
        <v>52717</v>
      </c>
      <c r="V7127" t="s">
        <v>59757</v>
      </c>
      <c r="W7127" t="s">
        <v>41940</v>
      </c>
      <c r="X7127" t="s">
        <v>44912</v>
      </c>
    </row>
    <row r="7128" spans="1:24">
      <c r="A7128">
        <f>HYPERLINK("https://www.philgeps.gov.ph/GEPSNONPILOT/Tender/SplashBidNoticeAbstractUI.aspx?menuIndex=3&amp;refID=7072928&amp;Result=3","7072928")</f>
        <v>0</v>
      </c>
      <c r="B7128" t="s">
        <v>831</v>
      </c>
      <c r="C7128" t="s">
        <v>10313</v>
      </c>
      <c r="D7128" t="s">
        <v>18108</v>
      </c>
      <c r="E7128" t="s">
        <v>24506</v>
      </c>
      <c r="F7128" t="s">
        <v>31362</v>
      </c>
      <c r="G7128" t="s">
        <v>31369</v>
      </c>
      <c r="H7128" t="s">
        <v>15799</v>
      </c>
      <c r="I7128" t="s">
        <v>7188</v>
      </c>
      <c r="J7128" t="s">
        <v>35922</v>
      </c>
      <c r="K7128" t="s">
        <v>40666</v>
      </c>
      <c r="M7128" t="s">
        <v>41805</v>
      </c>
      <c r="N7128" t="s">
        <v>44905</v>
      </c>
      <c r="O7128" t="s">
        <v>44906</v>
      </c>
      <c r="P7128">
        <v>0</v>
      </c>
      <c r="Q7128">
        <v>6</v>
      </c>
      <c r="R7128" t="s">
        <v>44910</v>
      </c>
      <c r="S7128" t="s">
        <v>45076</v>
      </c>
      <c r="T7128" t="s">
        <v>46393</v>
      </c>
      <c r="U7128" t="s">
        <v>52718</v>
      </c>
      <c r="W7128" t="s">
        <v>41805</v>
      </c>
      <c r="X7128" t="s">
        <v>44912</v>
      </c>
    </row>
    <row r="7129" spans="1:24">
      <c r="A7129">
        <f>HYPERLINK("https://www.philgeps.gov.ph/GEPSNONPILOT/Tender/SplashBidNoticeAbstractUI.aspx?menuIndex=3&amp;refID=7073252&amp;Result=3","7073252")</f>
        <v>0</v>
      </c>
      <c r="B7129" t="s">
        <v>1697</v>
      </c>
      <c r="C7129" t="s">
        <v>10314</v>
      </c>
      <c r="D7129" t="s">
        <v>18146</v>
      </c>
      <c r="E7129" t="s">
        <v>24507</v>
      </c>
      <c r="F7129" t="s">
        <v>31362</v>
      </c>
      <c r="G7129" t="s">
        <v>31369</v>
      </c>
      <c r="H7129" t="s">
        <v>31378</v>
      </c>
      <c r="I7129" t="s">
        <v>31386</v>
      </c>
      <c r="J7129" t="s">
        <v>35923</v>
      </c>
      <c r="K7129" t="s">
        <v>40674</v>
      </c>
      <c r="M7129" t="s">
        <v>42764</v>
      </c>
      <c r="N7129" t="s">
        <v>44905</v>
      </c>
      <c r="O7129" t="s">
        <v>44906</v>
      </c>
      <c r="P7129">
        <v>0</v>
      </c>
      <c r="Q7129">
        <v>0</v>
      </c>
      <c r="R7129" t="s">
        <v>44910</v>
      </c>
      <c r="S7129" t="s">
        <v>45076</v>
      </c>
      <c r="T7129" t="s">
        <v>46447</v>
      </c>
      <c r="U7129" t="s">
        <v>52719</v>
      </c>
      <c r="W7129" t="s">
        <v>42764</v>
      </c>
      <c r="X7129" t="s">
        <v>44911</v>
      </c>
    </row>
    <row r="7130" spans="1:24">
      <c r="A7130">
        <f>HYPERLINK("https://www.philgeps.gov.ph/GEPSNONPILOT/Tender/SplashBidNoticeAbstractUI.aspx?menuIndex=3&amp;refID=7073247&amp;Result=3","7073247")</f>
        <v>0</v>
      </c>
      <c r="B7130" t="s">
        <v>1623</v>
      </c>
      <c r="C7130" t="s">
        <v>10315</v>
      </c>
      <c r="D7130" t="s">
        <v>18142</v>
      </c>
      <c r="E7130" t="s">
        <v>24508</v>
      </c>
      <c r="F7130" t="s">
        <v>31362</v>
      </c>
      <c r="G7130" t="s">
        <v>31369</v>
      </c>
      <c r="H7130" t="s">
        <v>15799</v>
      </c>
      <c r="I7130" t="s">
        <v>4942</v>
      </c>
      <c r="J7130" t="s">
        <v>31734</v>
      </c>
      <c r="K7130" t="s">
        <v>40661</v>
      </c>
      <c r="M7130" t="s">
        <v>42753</v>
      </c>
      <c r="N7130" t="s">
        <v>44905</v>
      </c>
      <c r="O7130" t="s">
        <v>44906</v>
      </c>
      <c r="P7130">
        <v>0</v>
      </c>
      <c r="Q7130">
        <v>1</v>
      </c>
      <c r="R7130" t="s">
        <v>44910</v>
      </c>
      <c r="S7130" t="s">
        <v>45076</v>
      </c>
      <c r="T7130" t="s">
        <v>46447</v>
      </c>
      <c r="U7130" t="s">
        <v>52720</v>
      </c>
      <c r="W7130" t="s">
        <v>42753</v>
      </c>
      <c r="X7130" t="s">
        <v>44911</v>
      </c>
    </row>
    <row r="7131" spans="1:24">
      <c r="A7131">
        <f>HYPERLINK("https://www.philgeps.gov.ph/GEPSNONPILOT/Tender/SplashBidNoticeAbstractUI.aspx?menuIndex=3&amp;refID=7073243&amp;Result=3","7073243")</f>
        <v>0</v>
      </c>
      <c r="B7131" t="s">
        <v>1621</v>
      </c>
      <c r="C7131" t="s">
        <v>10316</v>
      </c>
      <c r="E7131" t="s">
        <v>24509</v>
      </c>
      <c r="F7131" t="s">
        <v>31362</v>
      </c>
      <c r="G7131" t="s">
        <v>31368</v>
      </c>
      <c r="H7131" t="s">
        <v>15799</v>
      </c>
      <c r="I7131" t="s">
        <v>31393</v>
      </c>
      <c r="J7131" t="s">
        <v>32694</v>
      </c>
      <c r="K7131" t="s">
        <v>40662</v>
      </c>
      <c r="M7131" t="s">
        <v>42680</v>
      </c>
      <c r="N7131" t="s">
        <v>44905</v>
      </c>
      <c r="O7131" t="s">
        <v>44906</v>
      </c>
      <c r="P7131">
        <v>0</v>
      </c>
      <c r="Q7131">
        <v>3</v>
      </c>
      <c r="R7131" t="s">
        <v>44910</v>
      </c>
      <c r="S7131" t="s">
        <v>45076</v>
      </c>
      <c r="T7131" t="s">
        <v>46411</v>
      </c>
      <c r="U7131" t="s">
        <v>52721</v>
      </c>
      <c r="W7131" t="s">
        <v>42680</v>
      </c>
      <c r="X7131" t="s">
        <v>44911</v>
      </c>
    </row>
    <row r="7132" spans="1:24">
      <c r="A7132">
        <f>HYPERLINK("https://www.philgeps.gov.ph/GEPSNONPILOT/Tender/SplashBidNoticeAbstractUI.aspx?menuIndex=3&amp;refID=7072937&amp;Result=3","7072937")</f>
        <v>0</v>
      </c>
      <c r="B7132" t="s">
        <v>831</v>
      </c>
      <c r="C7132" t="s">
        <v>10317</v>
      </c>
      <c r="D7132" t="s">
        <v>18108</v>
      </c>
      <c r="E7132" t="s">
        <v>24510</v>
      </c>
      <c r="F7132" t="s">
        <v>31362</v>
      </c>
      <c r="G7132" t="s">
        <v>31369</v>
      </c>
      <c r="H7132" t="s">
        <v>15799</v>
      </c>
      <c r="I7132" t="s">
        <v>31389</v>
      </c>
      <c r="J7132" t="s">
        <v>33444</v>
      </c>
      <c r="K7132" t="s">
        <v>40666</v>
      </c>
      <c r="M7132" t="s">
        <v>41805</v>
      </c>
      <c r="N7132" t="s">
        <v>44905</v>
      </c>
      <c r="O7132" t="s">
        <v>44906</v>
      </c>
      <c r="P7132">
        <v>0</v>
      </c>
      <c r="Q7132">
        <v>7</v>
      </c>
      <c r="R7132" t="s">
        <v>44910</v>
      </c>
      <c r="S7132" t="s">
        <v>45076</v>
      </c>
      <c r="T7132" t="s">
        <v>46393</v>
      </c>
      <c r="U7132" t="s">
        <v>50836</v>
      </c>
      <c r="W7132" t="s">
        <v>41805</v>
      </c>
      <c r="X7132" t="s">
        <v>44912</v>
      </c>
    </row>
    <row r="7133" spans="1:24">
      <c r="A7133">
        <f>HYPERLINK("https://www.philgeps.gov.ph/GEPSNONPILOT/Tender/SplashBidNoticeAbstractUI.aspx?menuIndex=3&amp;refID=7073248&amp;Result=3","7073248")</f>
        <v>0</v>
      </c>
      <c r="B7133" t="s">
        <v>1623</v>
      </c>
      <c r="C7133" t="s">
        <v>10318</v>
      </c>
      <c r="D7133" t="s">
        <v>18142</v>
      </c>
      <c r="E7133" t="s">
        <v>24511</v>
      </c>
      <c r="F7133" t="s">
        <v>31362</v>
      </c>
      <c r="G7133" t="s">
        <v>31370</v>
      </c>
      <c r="H7133" t="s">
        <v>15799</v>
      </c>
      <c r="I7133" t="s">
        <v>4942</v>
      </c>
      <c r="J7133" t="s">
        <v>31998</v>
      </c>
      <c r="K7133" t="s">
        <v>40661</v>
      </c>
      <c r="M7133" t="s">
        <v>42753</v>
      </c>
      <c r="N7133" t="s">
        <v>44905</v>
      </c>
      <c r="O7133" t="s">
        <v>44906</v>
      </c>
      <c r="P7133">
        <v>0</v>
      </c>
      <c r="Q7133">
        <v>0</v>
      </c>
      <c r="R7133" t="s">
        <v>44910</v>
      </c>
      <c r="S7133" t="s">
        <v>45076</v>
      </c>
      <c r="T7133" t="s">
        <v>46393</v>
      </c>
      <c r="U7133" t="s">
        <v>52722</v>
      </c>
      <c r="W7133" t="s">
        <v>42753</v>
      </c>
      <c r="X7133" t="s">
        <v>44911</v>
      </c>
    </row>
    <row r="7134" spans="1:24">
      <c r="A7134">
        <f>HYPERLINK("https://www.philgeps.gov.ph/GEPSNONPILOT/Tender/SplashBidNoticeAbstractUI.aspx?menuIndex=3&amp;refID=7072934&amp;Result=3","7072934")</f>
        <v>0</v>
      </c>
      <c r="B7134" t="s">
        <v>831</v>
      </c>
      <c r="C7134" t="s">
        <v>10319</v>
      </c>
      <c r="D7134" t="s">
        <v>18108</v>
      </c>
      <c r="E7134" t="s">
        <v>24512</v>
      </c>
      <c r="F7134" t="s">
        <v>31362</v>
      </c>
      <c r="G7134" t="s">
        <v>31369</v>
      </c>
      <c r="H7134" t="s">
        <v>15799</v>
      </c>
      <c r="I7134" t="s">
        <v>6155</v>
      </c>
      <c r="J7134" t="s">
        <v>35149</v>
      </c>
      <c r="K7134" t="s">
        <v>40666</v>
      </c>
      <c r="M7134" t="s">
        <v>41805</v>
      </c>
      <c r="N7134" t="s">
        <v>44905</v>
      </c>
      <c r="O7134" t="s">
        <v>44906</v>
      </c>
      <c r="P7134">
        <v>0</v>
      </c>
      <c r="Q7134">
        <v>11</v>
      </c>
      <c r="R7134" t="s">
        <v>44910</v>
      </c>
      <c r="S7134" t="s">
        <v>45076</v>
      </c>
      <c r="T7134" t="s">
        <v>46393</v>
      </c>
      <c r="U7134" t="s">
        <v>52723</v>
      </c>
      <c r="W7134" t="s">
        <v>41805</v>
      </c>
      <c r="X7134" t="s">
        <v>44912</v>
      </c>
    </row>
    <row r="7135" spans="1:24">
      <c r="A7135">
        <f>HYPERLINK("https://www.philgeps.gov.ph/GEPSNONPILOT/Tender/SplashBidNoticeAbstractUI.aspx?menuIndex=3&amp;refID=7073249&amp;Result=3","7073249")</f>
        <v>0</v>
      </c>
      <c r="B7135" t="s">
        <v>1623</v>
      </c>
      <c r="C7135" t="s">
        <v>10318</v>
      </c>
      <c r="D7135" t="s">
        <v>18142</v>
      </c>
      <c r="E7135" t="s">
        <v>24513</v>
      </c>
      <c r="F7135" t="s">
        <v>31362</v>
      </c>
      <c r="G7135" t="s">
        <v>31370</v>
      </c>
      <c r="H7135" t="s">
        <v>15799</v>
      </c>
      <c r="I7135" t="s">
        <v>4942</v>
      </c>
      <c r="J7135" t="s">
        <v>35924</v>
      </c>
      <c r="K7135" t="s">
        <v>40661</v>
      </c>
      <c r="M7135" t="s">
        <v>42753</v>
      </c>
      <c r="N7135" t="s">
        <v>44905</v>
      </c>
      <c r="O7135" t="s">
        <v>44906</v>
      </c>
      <c r="P7135">
        <v>0</v>
      </c>
      <c r="Q7135">
        <v>0</v>
      </c>
      <c r="R7135" t="s">
        <v>44910</v>
      </c>
      <c r="S7135" t="s">
        <v>45076</v>
      </c>
      <c r="T7135" t="s">
        <v>46532</v>
      </c>
      <c r="U7135" t="s">
        <v>52722</v>
      </c>
      <c r="W7135" t="s">
        <v>42753</v>
      </c>
      <c r="X7135" t="s">
        <v>44911</v>
      </c>
    </row>
    <row r="7136" spans="1:24">
      <c r="A7136">
        <f>HYPERLINK("https://www.philgeps.gov.ph/GEPSNONPILOT/Tender/SplashBidNoticeAbstractUI.aspx?menuIndex=3&amp;refID=7073254&amp;Result=3","7073254")</f>
        <v>0</v>
      </c>
      <c r="B7136" t="s">
        <v>2168</v>
      </c>
      <c r="C7136" t="s">
        <v>10320</v>
      </c>
      <c r="D7136" t="s">
        <v>18154</v>
      </c>
      <c r="E7136" t="s">
        <v>20667</v>
      </c>
      <c r="F7136" t="s">
        <v>31362</v>
      </c>
      <c r="G7136" t="s">
        <v>31369</v>
      </c>
      <c r="H7136" t="s">
        <v>15799</v>
      </c>
      <c r="I7136" t="s">
        <v>3815</v>
      </c>
      <c r="J7136" t="s">
        <v>35925</v>
      </c>
      <c r="K7136" t="s">
        <v>40670</v>
      </c>
      <c r="M7136" t="s">
        <v>43298</v>
      </c>
      <c r="N7136" t="s">
        <v>44905</v>
      </c>
      <c r="O7136" t="s">
        <v>44906</v>
      </c>
      <c r="P7136">
        <v>0</v>
      </c>
      <c r="Q7136">
        <v>0</v>
      </c>
      <c r="R7136" t="s">
        <v>44910</v>
      </c>
      <c r="S7136" t="s">
        <v>45076</v>
      </c>
      <c r="T7136" t="s">
        <v>46593</v>
      </c>
      <c r="U7136" t="s">
        <v>52724</v>
      </c>
      <c r="W7136" t="s">
        <v>43298</v>
      </c>
      <c r="X7136" t="s">
        <v>44911</v>
      </c>
    </row>
    <row r="7137" spans="1:24">
      <c r="A7137">
        <f>HYPERLINK("https://www.philgeps.gov.ph/GEPSNONPILOT/Tender/SplashBidNoticeAbstractUI.aspx?menuIndex=3&amp;refID=7073278&amp;Result=3","7073278")</f>
        <v>0</v>
      </c>
      <c r="B7137" t="s">
        <v>304</v>
      </c>
      <c r="C7137" t="s">
        <v>10321</v>
      </c>
      <c r="D7137" t="s">
        <v>18101</v>
      </c>
      <c r="E7137" t="s">
        <v>24514</v>
      </c>
      <c r="F7137" t="s">
        <v>31362</v>
      </c>
      <c r="G7137" t="s">
        <v>31368</v>
      </c>
      <c r="H7137" t="s">
        <v>15799</v>
      </c>
      <c r="I7137" t="s">
        <v>31384</v>
      </c>
      <c r="J7137" t="s">
        <v>31897</v>
      </c>
      <c r="K7137" t="s">
        <v>40662</v>
      </c>
      <c r="M7137" t="s">
        <v>41248</v>
      </c>
      <c r="N7137" t="s">
        <v>44905</v>
      </c>
      <c r="O7137" t="s">
        <v>44906</v>
      </c>
      <c r="Q7137">
        <v>9</v>
      </c>
      <c r="R7137" t="s">
        <v>44910</v>
      </c>
      <c r="S7137" t="s">
        <v>45082</v>
      </c>
      <c r="T7137" t="s">
        <v>46403</v>
      </c>
      <c r="U7137" t="s">
        <v>47433</v>
      </c>
      <c r="W7137" t="s">
        <v>41248</v>
      </c>
      <c r="X7137" t="s">
        <v>44911</v>
      </c>
    </row>
    <row r="7138" spans="1:24">
      <c r="A7138">
        <f>HYPERLINK("https://www.philgeps.gov.ph/GEPSNONPILOT/Tender/SplashBidNoticeAbstractUI.aspx?menuIndex=3&amp;refID=7073274&amp;Result=3","7073274")</f>
        <v>0</v>
      </c>
      <c r="B7138" t="s">
        <v>1676</v>
      </c>
      <c r="C7138" t="s">
        <v>10322</v>
      </c>
      <c r="D7138" t="s">
        <v>18139</v>
      </c>
      <c r="E7138" t="s">
        <v>24515</v>
      </c>
      <c r="F7138" t="s">
        <v>31362</v>
      </c>
      <c r="G7138" t="s">
        <v>31369</v>
      </c>
      <c r="H7138" t="s">
        <v>31378</v>
      </c>
      <c r="I7138" t="s">
        <v>31386</v>
      </c>
      <c r="J7138" t="s">
        <v>35926</v>
      </c>
      <c r="K7138" t="s">
        <v>40665</v>
      </c>
      <c r="M7138" t="s">
        <v>42741</v>
      </c>
      <c r="N7138" t="s">
        <v>44905</v>
      </c>
      <c r="O7138" t="s">
        <v>44906</v>
      </c>
      <c r="P7138">
        <v>0</v>
      </c>
      <c r="Q7138">
        <v>2</v>
      </c>
      <c r="R7138" t="s">
        <v>44910</v>
      </c>
      <c r="S7138" t="s">
        <v>45076</v>
      </c>
      <c r="T7138" t="s">
        <v>46419</v>
      </c>
      <c r="U7138" t="s">
        <v>52725</v>
      </c>
      <c r="V7138" t="s">
        <v>59765</v>
      </c>
      <c r="W7138" t="s">
        <v>60921</v>
      </c>
      <c r="X7138" t="s">
        <v>44911</v>
      </c>
    </row>
    <row r="7139" spans="1:24">
      <c r="A7139">
        <f>HYPERLINK("https://www.philgeps.gov.ph/GEPSNONPILOT/Tender/SplashBidNoticeAbstractUI.aspx?menuIndex=3&amp;refID=7072906&amp;Result=3","7072906")</f>
        <v>0</v>
      </c>
      <c r="B7139" t="s">
        <v>952</v>
      </c>
      <c r="C7139" t="s">
        <v>10323</v>
      </c>
      <c r="D7139" t="s">
        <v>18100</v>
      </c>
      <c r="E7139" t="s">
        <v>24516</v>
      </c>
      <c r="F7139" t="s">
        <v>31362</v>
      </c>
      <c r="G7139" t="s">
        <v>31369</v>
      </c>
      <c r="H7139" t="s">
        <v>15799</v>
      </c>
      <c r="I7139" t="s">
        <v>31394</v>
      </c>
      <c r="J7139" t="s">
        <v>35927</v>
      </c>
      <c r="K7139" t="s">
        <v>40662</v>
      </c>
      <c r="M7139" t="s">
        <v>41940</v>
      </c>
      <c r="N7139" t="s">
        <v>44905</v>
      </c>
      <c r="O7139" t="s">
        <v>44906</v>
      </c>
      <c r="P7139">
        <v>0</v>
      </c>
      <c r="Q7139">
        <v>1</v>
      </c>
      <c r="R7139" t="s">
        <v>44910</v>
      </c>
      <c r="S7139" t="s">
        <v>45076</v>
      </c>
      <c r="T7139" t="s">
        <v>46507</v>
      </c>
      <c r="U7139" t="s">
        <v>52726</v>
      </c>
      <c r="V7139" t="s">
        <v>59757</v>
      </c>
      <c r="W7139" t="s">
        <v>41940</v>
      </c>
      <c r="X7139" t="s">
        <v>44912</v>
      </c>
    </row>
    <row r="7140" spans="1:24">
      <c r="A7140">
        <f>HYPERLINK("https://www.philgeps.gov.ph/GEPSNONPILOT/Tender/SplashBidNoticeAbstractUI.aspx?menuIndex=3&amp;refID=7073273&amp;Result=3","7073273")</f>
        <v>0</v>
      </c>
      <c r="B7140" t="s">
        <v>2169</v>
      </c>
      <c r="C7140" t="s">
        <v>10324</v>
      </c>
      <c r="D7140" t="s">
        <v>18128</v>
      </c>
      <c r="E7140" t="s">
        <v>24517</v>
      </c>
      <c r="F7140" t="s">
        <v>31362</v>
      </c>
      <c r="G7140" t="s">
        <v>31369</v>
      </c>
      <c r="H7140" t="s">
        <v>15799</v>
      </c>
      <c r="I7140" t="s">
        <v>31387</v>
      </c>
      <c r="J7140" t="s">
        <v>35928</v>
      </c>
      <c r="K7140" t="s">
        <v>40665</v>
      </c>
      <c r="M7140" t="s">
        <v>43299</v>
      </c>
      <c r="N7140" t="s">
        <v>44905</v>
      </c>
      <c r="O7140" t="s">
        <v>44906</v>
      </c>
      <c r="P7140">
        <v>0</v>
      </c>
      <c r="Q7140">
        <v>0</v>
      </c>
      <c r="R7140" t="s">
        <v>44910</v>
      </c>
      <c r="S7140" t="s">
        <v>45076</v>
      </c>
      <c r="T7140" t="s">
        <v>46609</v>
      </c>
      <c r="U7140" t="s">
        <v>52727</v>
      </c>
      <c r="V7140" t="s">
        <v>59766</v>
      </c>
      <c r="W7140" t="s">
        <v>43299</v>
      </c>
      <c r="X7140" t="s">
        <v>44911</v>
      </c>
    </row>
    <row r="7141" spans="1:24">
      <c r="A7141">
        <f>HYPERLINK("https://www.philgeps.gov.ph/GEPSNONPILOT/Tender/SplashBidNoticeAbstractUI.aspx?menuIndex=3&amp;refID=7072931&amp;Result=3","7072931")</f>
        <v>0</v>
      </c>
      <c r="B7141" t="s">
        <v>831</v>
      </c>
      <c r="C7141" t="s">
        <v>10325</v>
      </c>
      <c r="D7141" t="s">
        <v>18108</v>
      </c>
      <c r="E7141" t="s">
        <v>24518</v>
      </c>
      <c r="F7141" t="s">
        <v>31362</v>
      </c>
      <c r="G7141" t="s">
        <v>31369</v>
      </c>
      <c r="H7141" t="s">
        <v>15799</v>
      </c>
      <c r="I7141" t="s">
        <v>7188</v>
      </c>
      <c r="J7141" t="s">
        <v>35929</v>
      </c>
      <c r="K7141" t="s">
        <v>40666</v>
      </c>
      <c r="M7141" t="s">
        <v>41805</v>
      </c>
      <c r="N7141" t="s">
        <v>44905</v>
      </c>
      <c r="O7141" t="s">
        <v>44906</v>
      </c>
      <c r="P7141">
        <v>0</v>
      </c>
      <c r="Q7141">
        <v>3</v>
      </c>
      <c r="R7141" t="s">
        <v>44910</v>
      </c>
      <c r="S7141" t="s">
        <v>45076</v>
      </c>
      <c r="T7141" t="s">
        <v>46393</v>
      </c>
      <c r="U7141" t="s">
        <v>52728</v>
      </c>
      <c r="W7141" t="s">
        <v>41805</v>
      </c>
      <c r="X7141" t="s">
        <v>44912</v>
      </c>
    </row>
    <row r="7142" spans="1:24">
      <c r="A7142">
        <f>HYPERLINK("https://www.philgeps.gov.ph/GEPSNONPILOT/Tender/SplashBidNoticeAbstractUI.aspx?menuIndex=3&amp;refID=7073288&amp;Result=3","7073288")</f>
        <v>0</v>
      </c>
      <c r="B7142" t="s">
        <v>776</v>
      </c>
      <c r="C7142" t="s">
        <v>10326</v>
      </c>
      <c r="E7142" t="s">
        <v>24519</v>
      </c>
      <c r="F7142" t="s">
        <v>31362</v>
      </c>
      <c r="G7142" t="s">
        <v>31368</v>
      </c>
      <c r="H7142" t="s">
        <v>15799</v>
      </c>
      <c r="I7142" t="s">
        <v>7090</v>
      </c>
      <c r="J7142" t="s">
        <v>35930</v>
      </c>
      <c r="K7142" t="s">
        <v>40677</v>
      </c>
      <c r="M7142" t="s">
        <v>41744</v>
      </c>
      <c r="N7142" t="s">
        <v>44905</v>
      </c>
      <c r="O7142" t="s">
        <v>44906</v>
      </c>
      <c r="P7142">
        <v>0</v>
      </c>
      <c r="Q7142">
        <v>0</v>
      </c>
      <c r="R7142" t="s">
        <v>44910</v>
      </c>
      <c r="S7142" t="s">
        <v>45076</v>
      </c>
      <c r="T7142" t="s">
        <v>46414</v>
      </c>
      <c r="U7142" t="s">
        <v>52729</v>
      </c>
      <c r="W7142" t="s">
        <v>41744</v>
      </c>
      <c r="X7142" t="s">
        <v>44911</v>
      </c>
    </row>
    <row r="7143" spans="1:24">
      <c r="A7143">
        <f>HYPERLINK("https://www.philgeps.gov.ph/GEPSNONPILOT/Tender/SplashBidNoticeAbstractUI.aspx?menuIndex=3&amp;refID=7073237&amp;Result=3","7073237")</f>
        <v>0</v>
      </c>
      <c r="B7143" t="s">
        <v>2170</v>
      </c>
      <c r="C7143" t="s">
        <v>10327</v>
      </c>
      <c r="D7143" t="s">
        <v>18108</v>
      </c>
      <c r="E7143" t="s">
        <v>24520</v>
      </c>
      <c r="F7143" t="s">
        <v>31362</v>
      </c>
      <c r="G7143" t="s">
        <v>31369</v>
      </c>
      <c r="H7143" t="s">
        <v>15799</v>
      </c>
      <c r="I7143" t="s">
        <v>31399</v>
      </c>
      <c r="J7143" t="s">
        <v>34763</v>
      </c>
      <c r="K7143" t="s">
        <v>40662</v>
      </c>
      <c r="M7143" t="s">
        <v>43300</v>
      </c>
      <c r="N7143" t="s">
        <v>44905</v>
      </c>
      <c r="O7143" t="s">
        <v>44906</v>
      </c>
      <c r="P7143">
        <v>0</v>
      </c>
      <c r="Q7143">
        <v>4</v>
      </c>
      <c r="R7143" t="s">
        <v>44910</v>
      </c>
      <c r="S7143" t="s">
        <v>45076</v>
      </c>
      <c r="T7143" t="s">
        <v>46416</v>
      </c>
      <c r="U7143" t="s">
        <v>52730</v>
      </c>
      <c r="W7143" t="s">
        <v>43300</v>
      </c>
      <c r="X7143" t="s">
        <v>44911</v>
      </c>
    </row>
    <row r="7144" spans="1:24">
      <c r="A7144">
        <f>HYPERLINK("https://www.philgeps.gov.ph/GEPSNONPILOT/Tender/SplashBidNoticeAbstractUI.aspx?menuIndex=3&amp;refID=7073286&amp;Result=3","7073286")</f>
        <v>0</v>
      </c>
      <c r="B7144" t="s">
        <v>424</v>
      </c>
      <c r="C7144" t="s">
        <v>10328</v>
      </c>
      <c r="D7144" t="s">
        <v>18168</v>
      </c>
      <c r="E7144" t="s">
        <v>24521</v>
      </c>
      <c r="F7144" t="s">
        <v>31362</v>
      </c>
      <c r="G7144" t="s">
        <v>31369</v>
      </c>
      <c r="H7144" t="s">
        <v>15799</v>
      </c>
      <c r="I7144" t="s">
        <v>31404</v>
      </c>
      <c r="J7144" t="s">
        <v>35931</v>
      </c>
      <c r="K7144" t="s">
        <v>40665</v>
      </c>
      <c r="M7144" t="s">
        <v>43301</v>
      </c>
      <c r="N7144" t="s">
        <v>44905</v>
      </c>
      <c r="O7144" t="s">
        <v>44906</v>
      </c>
      <c r="P7144">
        <v>0</v>
      </c>
      <c r="Q7144">
        <v>2</v>
      </c>
      <c r="R7144" t="s">
        <v>44910</v>
      </c>
      <c r="S7144" t="s">
        <v>45076</v>
      </c>
      <c r="T7144" t="s">
        <v>46450</v>
      </c>
      <c r="U7144" t="s">
        <v>52731</v>
      </c>
      <c r="W7144" t="s">
        <v>43301</v>
      </c>
      <c r="X7144" t="s">
        <v>44911</v>
      </c>
    </row>
    <row r="7145" spans="1:24">
      <c r="A7145">
        <f>HYPERLINK("https://www.philgeps.gov.ph/GEPSNONPILOT/Tender/SplashBidNoticeAbstractUI.aspx?menuIndex=3&amp;refID=7073279&amp;Result=3","7073279")</f>
        <v>0</v>
      </c>
      <c r="B7145" t="s">
        <v>267</v>
      </c>
      <c r="C7145" t="s">
        <v>10329</v>
      </c>
      <c r="D7145" t="s">
        <v>18154</v>
      </c>
      <c r="E7145" t="s">
        <v>24522</v>
      </c>
      <c r="F7145" t="s">
        <v>31362</v>
      </c>
      <c r="G7145" t="s">
        <v>31368</v>
      </c>
      <c r="H7145" t="s">
        <v>15799</v>
      </c>
      <c r="I7145" t="s">
        <v>31430</v>
      </c>
      <c r="J7145" t="s">
        <v>35932</v>
      </c>
      <c r="K7145" t="s">
        <v>40661</v>
      </c>
      <c r="M7145" t="s">
        <v>41208</v>
      </c>
      <c r="N7145" t="s">
        <v>44905</v>
      </c>
      <c r="O7145" t="s">
        <v>44906</v>
      </c>
      <c r="P7145">
        <v>0</v>
      </c>
      <c r="Q7145">
        <v>0</v>
      </c>
      <c r="R7145" t="s">
        <v>44910</v>
      </c>
      <c r="S7145" t="s">
        <v>45076</v>
      </c>
      <c r="T7145" t="s">
        <v>46447</v>
      </c>
      <c r="U7145" t="s">
        <v>52732</v>
      </c>
      <c r="W7145" t="s">
        <v>41208</v>
      </c>
      <c r="X7145" t="s">
        <v>44911</v>
      </c>
    </row>
    <row r="7146" spans="1:24">
      <c r="A7146">
        <f>HYPERLINK("https://www.philgeps.gov.ph/GEPSNONPILOT/Tender/SplashBidNoticeAbstractUI.aspx?menuIndex=3&amp;refID=7073271&amp;Result=3","7073271")</f>
        <v>0</v>
      </c>
      <c r="B7146" t="s">
        <v>2171</v>
      </c>
      <c r="C7146" t="s">
        <v>10330</v>
      </c>
      <c r="D7146" t="s">
        <v>18106</v>
      </c>
      <c r="E7146" t="s">
        <v>24523</v>
      </c>
      <c r="F7146" t="s">
        <v>31362</v>
      </c>
      <c r="G7146" t="s">
        <v>31368</v>
      </c>
      <c r="H7146" t="s">
        <v>15799</v>
      </c>
      <c r="I7146" t="s">
        <v>4283</v>
      </c>
      <c r="J7146" t="s">
        <v>35933</v>
      </c>
      <c r="K7146" t="s">
        <v>40673</v>
      </c>
      <c r="M7146" t="s">
        <v>43302</v>
      </c>
      <c r="N7146" t="s">
        <v>44905</v>
      </c>
      <c r="O7146" t="s">
        <v>44906</v>
      </c>
      <c r="P7146">
        <v>0</v>
      </c>
      <c r="Q7146">
        <v>0</v>
      </c>
      <c r="R7146" t="s">
        <v>44910</v>
      </c>
      <c r="S7146" t="s">
        <v>45076</v>
      </c>
      <c r="T7146" t="s">
        <v>46414</v>
      </c>
      <c r="U7146" t="s">
        <v>52733</v>
      </c>
      <c r="W7146" t="s">
        <v>43302</v>
      </c>
      <c r="X7146" t="s">
        <v>44911</v>
      </c>
    </row>
    <row r="7147" spans="1:24">
      <c r="A7147">
        <f>HYPERLINK("https://www.philgeps.gov.ph/GEPSNONPILOT/Tender/SplashBidNoticeAbstractUI.aspx?menuIndex=3&amp;refID=7073267&amp;Result=3","7073267")</f>
        <v>0</v>
      </c>
      <c r="B7147" t="s">
        <v>1676</v>
      </c>
      <c r="C7147" t="s">
        <v>10331</v>
      </c>
      <c r="D7147" t="s">
        <v>18139</v>
      </c>
      <c r="E7147" t="s">
        <v>24524</v>
      </c>
      <c r="F7147" t="s">
        <v>31362</v>
      </c>
      <c r="G7147" t="s">
        <v>31369</v>
      </c>
      <c r="H7147" t="s">
        <v>31378</v>
      </c>
      <c r="I7147" t="s">
        <v>31386</v>
      </c>
      <c r="J7147" t="s">
        <v>35934</v>
      </c>
      <c r="K7147" t="s">
        <v>40686</v>
      </c>
      <c r="M7147" t="s">
        <v>42741</v>
      </c>
      <c r="N7147" t="s">
        <v>44905</v>
      </c>
      <c r="O7147" t="s">
        <v>44906</v>
      </c>
      <c r="P7147">
        <v>0</v>
      </c>
      <c r="Q7147">
        <v>4</v>
      </c>
      <c r="R7147" t="s">
        <v>44910</v>
      </c>
      <c r="S7147" t="s">
        <v>45076</v>
      </c>
      <c r="T7147" t="s">
        <v>46419</v>
      </c>
      <c r="U7147" t="s">
        <v>52734</v>
      </c>
      <c r="V7147" t="s">
        <v>59767</v>
      </c>
      <c r="W7147" t="s">
        <v>60921</v>
      </c>
      <c r="X7147" t="s">
        <v>44911</v>
      </c>
    </row>
    <row r="7148" spans="1:24">
      <c r="A7148">
        <f>HYPERLINK("https://www.philgeps.gov.ph/GEPSNONPILOT/Tender/SplashBidNoticeAbstractUI.aspx?menuIndex=3&amp;refID=7073250&amp;Result=3","7073250")</f>
        <v>0</v>
      </c>
      <c r="B7148" t="s">
        <v>1623</v>
      </c>
      <c r="C7148" t="s">
        <v>8493</v>
      </c>
      <c r="D7148" t="s">
        <v>18142</v>
      </c>
      <c r="E7148" t="s">
        <v>24525</v>
      </c>
      <c r="F7148" t="s">
        <v>31362</v>
      </c>
      <c r="G7148" t="s">
        <v>31370</v>
      </c>
      <c r="H7148" t="s">
        <v>15799</v>
      </c>
      <c r="I7148" t="s">
        <v>31422</v>
      </c>
      <c r="J7148" t="s">
        <v>31530</v>
      </c>
      <c r="K7148" t="s">
        <v>40661</v>
      </c>
      <c r="M7148" t="s">
        <v>42753</v>
      </c>
      <c r="N7148" t="s">
        <v>44905</v>
      </c>
      <c r="O7148" t="s">
        <v>44906</v>
      </c>
      <c r="P7148">
        <v>0</v>
      </c>
      <c r="Q7148">
        <v>4</v>
      </c>
      <c r="R7148" t="s">
        <v>44910</v>
      </c>
      <c r="S7148" t="s">
        <v>45076</v>
      </c>
      <c r="T7148" t="s">
        <v>46703</v>
      </c>
      <c r="U7148" t="s">
        <v>51142</v>
      </c>
      <c r="W7148" t="s">
        <v>42753</v>
      </c>
      <c r="X7148" t="s">
        <v>44911</v>
      </c>
    </row>
    <row r="7149" spans="1:24">
      <c r="A7149">
        <f>HYPERLINK("https://www.philgeps.gov.ph/GEPSNONPILOT/Tender/SplashBidNoticeAbstractUI.aspx?menuIndex=3&amp;refID=7072933&amp;Result=3","7072933")</f>
        <v>0</v>
      </c>
      <c r="B7149" t="s">
        <v>952</v>
      </c>
      <c r="C7149" t="s">
        <v>10332</v>
      </c>
      <c r="D7149" t="s">
        <v>18100</v>
      </c>
      <c r="E7149" t="s">
        <v>24526</v>
      </c>
      <c r="F7149" t="s">
        <v>31362</v>
      </c>
      <c r="G7149" t="s">
        <v>31369</v>
      </c>
      <c r="H7149" t="s">
        <v>15799</v>
      </c>
      <c r="I7149" t="s">
        <v>31380</v>
      </c>
      <c r="J7149" t="s">
        <v>35935</v>
      </c>
      <c r="K7149" t="s">
        <v>40662</v>
      </c>
      <c r="M7149" t="s">
        <v>41940</v>
      </c>
      <c r="N7149" t="s">
        <v>44905</v>
      </c>
      <c r="O7149" t="s">
        <v>44906</v>
      </c>
      <c r="P7149">
        <v>0</v>
      </c>
      <c r="Q7149">
        <v>4</v>
      </c>
      <c r="R7149" t="s">
        <v>44910</v>
      </c>
      <c r="S7149" t="s">
        <v>45076</v>
      </c>
      <c r="T7149" t="s">
        <v>46507</v>
      </c>
      <c r="U7149" t="s">
        <v>52735</v>
      </c>
      <c r="V7149" t="s">
        <v>59311</v>
      </c>
      <c r="W7149" t="s">
        <v>41940</v>
      </c>
      <c r="X7149" t="s">
        <v>44912</v>
      </c>
    </row>
    <row r="7150" spans="1:24">
      <c r="A7150">
        <f>HYPERLINK("https://www.philgeps.gov.ph/GEPSNONPILOT/Tender/SplashBidNoticeAbstractUI.aspx?menuIndex=3&amp;refID=7073265&amp;Result=3","7073265")</f>
        <v>0</v>
      </c>
      <c r="B7150" t="s">
        <v>2172</v>
      </c>
      <c r="C7150" t="s">
        <v>10105</v>
      </c>
      <c r="E7150" t="s">
        <v>24527</v>
      </c>
      <c r="F7150" t="s">
        <v>31362</v>
      </c>
      <c r="G7150" t="s">
        <v>31369</v>
      </c>
      <c r="H7150" t="s">
        <v>15799</v>
      </c>
      <c r="I7150" t="s">
        <v>3815</v>
      </c>
      <c r="J7150" t="s">
        <v>35936</v>
      </c>
      <c r="K7150" t="s">
        <v>40662</v>
      </c>
      <c r="M7150" t="s">
        <v>43303</v>
      </c>
      <c r="N7150" t="s">
        <v>44905</v>
      </c>
      <c r="O7150" t="s">
        <v>44906</v>
      </c>
      <c r="P7150">
        <v>0</v>
      </c>
      <c r="Q7150">
        <v>0</v>
      </c>
      <c r="R7150" t="s">
        <v>44910</v>
      </c>
      <c r="S7150" t="s">
        <v>45076</v>
      </c>
      <c r="T7150" t="s">
        <v>46435</v>
      </c>
      <c r="U7150" t="s">
        <v>52736</v>
      </c>
      <c r="W7150" t="s">
        <v>43303</v>
      </c>
      <c r="X7150" t="s">
        <v>44911</v>
      </c>
    </row>
    <row r="7151" spans="1:24">
      <c r="A7151">
        <f>HYPERLINK("https://www.philgeps.gov.ph/GEPSNONPILOT/Tender/SplashBidNoticeAbstractUI.aspx?menuIndex=3&amp;refID=7073285&amp;Result=3","7073285")</f>
        <v>0</v>
      </c>
      <c r="B7151" t="s">
        <v>387</v>
      </c>
      <c r="C7151" t="s">
        <v>10333</v>
      </c>
      <c r="D7151" t="s">
        <v>18152</v>
      </c>
      <c r="E7151" t="s">
        <v>24528</v>
      </c>
      <c r="F7151" t="s">
        <v>31362</v>
      </c>
      <c r="G7151" t="s">
        <v>31369</v>
      </c>
      <c r="H7151" t="s">
        <v>15799</v>
      </c>
      <c r="I7151" t="s">
        <v>3815</v>
      </c>
      <c r="J7151" t="s">
        <v>35937</v>
      </c>
      <c r="K7151" t="s">
        <v>40665</v>
      </c>
      <c r="M7151" t="s">
        <v>41335</v>
      </c>
      <c r="N7151" t="s">
        <v>44905</v>
      </c>
      <c r="O7151" t="s">
        <v>44906</v>
      </c>
      <c r="P7151">
        <v>0</v>
      </c>
      <c r="Q7151">
        <v>0</v>
      </c>
      <c r="R7151" t="s">
        <v>44910</v>
      </c>
      <c r="S7151" t="s">
        <v>45076</v>
      </c>
      <c r="T7151" t="s">
        <v>46393</v>
      </c>
      <c r="U7151" t="s">
        <v>47597</v>
      </c>
      <c r="V7151" t="s">
        <v>59153</v>
      </c>
      <c r="W7151" t="s">
        <v>41335</v>
      </c>
      <c r="X7151" t="s">
        <v>44911</v>
      </c>
    </row>
    <row r="7152" spans="1:24">
      <c r="A7152">
        <f>HYPERLINK("https://www.philgeps.gov.ph/GEPSNONPILOT/Tender/SplashBidNoticeAbstractUI.aspx?menuIndex=3&amp;refID=7073259&amp;Result=3","7073259")</f>
        <v>0</v>
      </c>
      <c r="B7152" t="s">
        <v>2173</v>
      </c>
      <c r="C7152" t="s">
        <v>10334</v>
      </c>
      <c r="D7152" t="s">
        <v>18131</v>
      </c>
      <c r="E7152" t="s">
        <v>19844</v>
      </c>
      <c r="F7152" t="s">
        <v>31362</v>
      </c>
      <c r="G7152" t="s">
        <v>31369</v>
      </c>
      <c r="H7152" t="s">
        <v>15799</v>
      </c>
      <c r="I7152" t="s">
        <v>6240</v>
      </c>
      <c r="J7152" t="s">
        <v>31545</v>
      </c>
      <c r="K7152" t="s">
        <v>40686</v>
      </c>
      <c r="M7152" t="s">
        <v>43304</v>
      </c>
      <c r="N7152" t="s">
        <v>44905</v>
      </c>
      <c r="O7152" t="s">
        <v>44906</v>
      </c>
      <c r="P7152">
        <v>0</v>
      </c>
      <c r="Q7152">
        <v>1</v>
      </c>
      <c r="R7152" t="s">
        <v>44910</v>
      </c>
      <c r="S7152" t="s">
        <v>45076</v>
      </c>
      <c r="T7152" t="s">
        <v>46581</v>
      </c>
      <c r="U7152" t="s">
        <v>52737</v>
      </c>
      <c r="W7152" t="s">
        <v>43304</v>
      </c>
      <c r="X7152" t="s">
        <v>44911</v>
      </c>
    </row>
    <row r="7153" spans="1:24">
      <c r="A7153">
        <f>HYPERLINK("https://www.philgeps.gov.ph/GEPSNONPILOT/Tender/SplashBidNoticeAbstractUI.aspx?menuIndex=3&amp;refID=7073268&amp;Result=3","7073268")</f>
        <v>0</v>
      </c>
      <c r="B7153" t="s">
        <v>2174</v>
      </c>
      <c r="C7153" t="s">
        <v>10335</v>
      </c>
      <c r="D7153" t="s">
        <v>18131</v>
      </c>
      <c r="E7153" t="s">
        <v>24529</v>
      </c>
      <c r="F7153" t="s">
        <v>31362</v>
      </c>
      <c r="G7153" t="s">
        <v>31369</v>
      </c>
      <c r="H7153" t="s">
        <v>15799</v>
      </c>
      <c r="I7153" t="s">
        <v>3815</v>
      </c>
      <c r="J7153" t="s">
        <v>35938</v>
      </c>
      <c r="K7153" t="s">
        <v>40680</v>
      </c>
      <c r="M7153" t="s">
        <v>43305</v>
      </c>
      <c r="N7153" t="s">
        <v>44905</v>
      </c>
      <c r="O7153" t="s">
        <v>44906</v>
      </c>
      <c r="P7153">
        <v>0</v>
      </c>
      <c r="Q7153">
        <v>2</v>
      </c>
      <c r="R7153" t="s">
        <v>44910</v>
      </c>
      <c r="S7153" t="s">
        <v>45076</v>
      </c>
      <c r="T7153" t="s">
        <v>46416</v>
      </c>
      <c r="U7153" t="s">
        <v>49655</v>
      </c>
      <c r="W7153" t="s">
        <v>43305</v>
      </c>
      <c r="X7153" t="s">
        <v>44911</v>
      </c>
    </row>
    <row r="7154" spans="1:24">
      <c r="A7154">
        <f>HYPERLINK("https://www.philgeps.gov.ph/GEPSNONPILOT/Tender/SplashBidNoticeAbstractUI.aspx?menuIndex=3&amp;refID=7073262&amp;Result=3","7073262")</f>
        <v>0</v>
      </c>
      <c r="B7154" t="s">
        <v>2175</v>
      </c>
      <c r="C7154" t="s">
        <v>10336</v>
      </c>
      <c r="D7154" t="s">
        <v>18148</v>
      </c>
      <c r="E7154" t="s">
        <v>18218</v>
      </c>
      <c r="F7154" t="s">
        <v>31362</v>
      </c>
      <c r="G7154" t="s">
        <v>31369</v>
      </c>
      <c r="H7154" t="s">
        <v>31378</v>
      </c>
      <c r="I7154" t="s">
        <v>31386</v>
      </c>
      <c r="J7154" t="s">
        <v>35939</v>
      </c>
      <c r="K7154" t="s">
        <v>40682</v>
      </c>
      <c r="M7154" t="s">
        <v>43306</v>
      </c>
      <c r="N7154" t="s">
        <v>44905</v>
      </c>
      <c r="O7154" t="s">
        <v>44906</v>
      </c>
      <c r="P7154">
        <v>0</v>
      </c>
      <c r="Q7154">
        <v>0</v>
      </c>
      <c r="R7154" t="s">
        <v>44910</v>
      </c>
      <c r="S7154" t="s">
        <v>45076</v>
      </c>
      <c r="T7154" t="s">
        <v>46549</v>
      </c>
      <c r="U7154" t="s">
        <v>52738</v>
      </c>
      <c r="W7154" t="s">
        <v>43306</v>
      </c>
      <c r="X7154" t="s">
        <v>44911</v>
      </c>
    </row>
    <row r="7155" spans="1:24">
      <c r="A7155">
        <f>HYPERLINK("https://www.philgeps.gov.ph/GEPSNONPILOT/Tender/SplashBidNoticeAbstractUI.aspx?menuIndex=3&amp;refID=7073260&amp;Result=3","7073260")</f>
        <v>0</v>
      </c>
      <c r="B7155" t="s">
        <v>2176</v>
      </c>
      <c r="C7155" t="s">
        <v>10337</v>
      </c>
      <c r="D7155" t="s">
        <v>18106</v>
      </c>
      <c r="E7155" t="s">
        <v>24530</v>
      </c>
      <c r="F7155" t="s">
        <v>31362</v>
      </c>
      <c r="G7155" t="s">
        <v>31368</v>
      </c>
      <c r="H7155" t="s">
        <v>15799</v>
      </c>
      <c r="I7155" t="s">
        <v>31388</v>
      </c>
      <c r="J7155" t="s">
        <v>31720</v>
      </c>
      <c r="K7155" t="s">
        <v>40665</v>
      </c>
      <c r="M7155" t="s">
        <v>43307</v>
      </c>
      <c r="N7155" t="s">
        <v>44905</v>
      </c>
      <c r="O7155" t="s">
        <v>44906</v>
      </c>
      <c r="P7155">
        <v>0</v>
      </c>
      <c r="Q7155">
        <v>0</v>
      </c>
      <c r="R7155" t="s">
        <v>44910</v>
      </c>
      <c r="S7155" t="s">
        <v>45076</v>
      </c>
      <c r="T7155" t="s">
        <v>46432</v>
      </c>
      <c r="U7155" t="s">
        <v>52739</v>
      </c>
      <c r="W7155" t="s">
        <v>43307</v>
      </c>
      <c r="X7155" t="s">
        <v>44911</v>
      </c>
    </row>
    <row r="7156" spans="1:24">
      <c r="A7156">
        <f>HYPERLINK("https://www.philgeps.gov.ph/GEPSNONPILOT/Tender/SplashBidNoticeAbstractUI.aspx?menuIndex=3&amp;refID=7073261&amp;Result=3","7073261")</f>
        <v>0</v>
      </c>
      <c r="B7156" t="s">
        <v>2093</v>
      </c>
      <c r="C7156" t="s">
        <v>10338</v>
      </c>
      <c r="D7156" t="s">
        <v>18101</v>
      </c>
      <c r="E7156" t="s">
        <v>24531</v>
      </c>
      <c r="F7156" t="s">
        <v>31362</v>
      </c>
      <c r="G7156" t="s">
        <v>31369</v>
      </c>
      <c r="H7156" t="s">
        <v>15799</v>
      </c>
      <c r="I7156" t="s">
        <v>3815</v>
      </c>
      <c r="J7156" t="s">
        <v>31765</v>
      </c>
      <c r="K7156" t="s">
        <v>40670</v>
      </c>
      <c r="M7156" t="s">
        <v>43217</v>
      </c>
      <c r="N7156" t="s">
        <v>44905</v>
      </c>
      <c r="O7156" t="s">
        <v>44906</v>
      </c>
      <c r="P7156">
        <v>0</v>
      </c>
      <c r="Q7156">
        <v>0</v>
      </c>
      <c r="R7156" t="s">
        <v>44910</v>
      </c>
      <c r="S7156" t="s">
        <v>45076</v>
      </c>
      <c r="T7156" t="s">
        <v>46425</v>
      </c>
      <c r="U7156" t="s">
        <v>52740</v>
      </c>
      <c r="W7156" t="s">
        <v>43217</v>
      </c>
      <c r="X7156" t="s">
        <v>44911</v>
      </c>
    </row>
    <row r="7157" spans="1:24">
      <c r="A7157">
        <f>HYPERLINK("https://www.philgeps.gov.ph/GEPSNONPILOT/Tender/SplashBidNoticeAbstractUI.aspx?menuIndex=3&amp;refID=7073257&amp;Result=3","7073257")</f>
        <v>0</v>
      </c>
      <c r="B7157" t="s">
        <v>2176</v>
      </c>
      <c r="C7157" t="s">
        <v>10339</v>
      </c>
      <c r="D7157" t="s">
        <v>18106</v>
      </c>
      <c r="E7157" t="s">
        <v>24532</v>
      </c>
      <c r="F7157" t="s">
        <v>31362</v>
      </c>
      <c r="G7157" t="s">
        <v>31368</v>
      </c>
      <c r="H7157" t="s">
        <v>15799</v>
      </c>
      <c r="I7157" t="s">
        <v>31381</v>
      </c>
      <c r="J7157" t="s">
        <v>35940</v>
      </c>
      <c r="K7157" t="s">
        <v>40693</v>
      </c>
      <c r="M7157" t="s">
        <v>43307</v>
      </c>
      <c r="N7157" t="s">
        <v>44905</v>
      </c>
      <c r="O7157" t="s">
        <v>44906</v>
      </c>
      <c r="P7157">
        <v>0</v>
      </c>
      <c r="Q7157">
        <v>0</v>
      </c>
      <c r="R7157" t="s">
        <v>44910</v>
      </c>
      <c r="S7157" t="s">
        <v>45076</v>
      </c>
      <c r="T7157" t="s">
        <v>46432</v>
      </c>
      <c r="U7157" t="s">
        <v>52741</v>
      </c>
      <c r="W7157" t="s">
        <v>43307</v>
      </c>
      <c r="X7157" t="s">
        <v>44911</v>
      </c>
    </row>
    <row r="7158" spans="1:24">
      <c r="A7158">
        <f>HYPERLINK("https://www.philgeps.gov.ph/GEPSNONPILOT/Tender/SplashBidNoticeAbstractUI.aspx?menuIndex=3&amp;refID=7073318&amp;Result=3","7073318")</f>
        <v>0</v>
      </c>
      <c r="B7158" t="s">
        <v>2177</v>
      </c>
      <c r="C7158" t="s">
        <v>10340</v>
      </c>
      <c r="D7158" t="s">
        <v>18100</v>
      </c>
      <c r="E7158" t="s">
        <v>23659</v>
      </c>
      <c r="F7158" t="s">
        <v>31363</v>
      </c>
      <c r="G7158" t="s">
        <v>31368</v>
      </c>
      <c r="H7158" t="s">
        <v>15799</v>
      </c>
      <c r="I7158" t="s">
        <v>6373</v>
      </c>
      <c r="J7158" t="s">
        <v>33617</v>
      </c>
      <c r="K7158" t="s">
        <v>40665</v>
      </c>
      <c r="M7158" t="s">
        <v>43308</v>
      </c>
      <c r="N7158" t="s">
        <v>44905</v>
      </c>
      <c r="O7158" t="s">
        <v>44906</v>
      </c>
      <c r="P7158">
        <v>0</v>
      </c>
      <c r="Q7158">
        <v>4</v>
      </c>
      <c r="R7158" t="s">
        <v>44910</v>
      </c>
      <c r="S7158" t="s">
        <v>45076</v>
      </c>
      <c r="T7158" t="s">
        <v>46412</v>
      </c>
      <c r="U7158" t="s">
        <v>52742</v>
      </c>
      <c r="W7158" t="s">
        <v>43308</v>
      </c>
      <c r="X7158" t="s">
        <v>44911</v>
      </c>
    </row>
    <row r="7159" spans="1:24">
      <c r="A7159">
        <f>HYPERLINK("https://www.philgeps.gov.ph/GEPSNONPILOT/Tender/SplashBidNoticeAbstractUI.aspx?menuIndex=3&amp;refID=7073315&amp;Result=3","7073315")</f>
        <v>0</v>
      </c>
      <c r="B7159" t="s">
        <v>2178</v>
      </c>
      <c r="C7159" t="s">
        <v>10341</v>
      </c>
      <c r="D7159" t="s">
        <v>18128</v>
      </c>
      <c r="E7159" t="s">
        <v>24533</v>
      </c>
      <c r="F7159" t="s">
        <v>31362</v>
      </c>
      <c r="G7159" t="s">
        <v>31369</v>
      </c>
      <c r="H7159" t="s">
        <v>31378</v>
      </c>
      <c r="I7159" t="s">
        <v>31386</v>
      </c>
      <c r="J7159" t="s">
        <v>35941</v>
      </c>
      <c r="K7159" t="s">
        <v>40682</v>
      </c>
      <c r="M7159" t="s">
        <v>43309</v>
      </c>
      <c r="N7159" t="s">
        <v>44905</v>
      </c>
      <c r="O7159" t="s">
        <v>44906</v>
      </c>
      <c r="P7159">
        <v>0</v>
      </c>
      <c r="Q7159">
        <v>0</v>
      </c>
      <c r="R7159" t="s">
        <v>44910</v>
      </c>
      <c r="S7159" t="s">
        <v>45076</v>
      </c>
      <c r="T7159" t="s">
        <v>46393</v>
      </c>
      <c r="U7159" t="s">
        <v>52743</v>
      </c>
      <c r="W7159" t="s">
        <v>43309</v>
      </c>
      <c r="X7159" t="s">
        <v>44911</v>
      </c>
    </row>
    <row r="7160" spans="1:24">
      <c r="A7160">
        <f>HYPERLINK("https://www.philgeps.gov.ph/GEPSNONPILOT/Tender/SplashBidNoticeAbstractUI.aspx?menuIndex=3&amp;refID=7073314&amp;Result=3","7073314")</f>
        <v>0</v>
      </c>
      <c r="B7160" t="s">
        <v>179</v>
      </c>
      <c r="C7160" t="s">
        <v>10342</v>
      </c>
      <c r="D7160" t="s">
        <v>18155</v>
      </c>
      <c r="E7160" t="s">
        <v>24534</v>
      </c>
      <c r="F7160" t="s">
        <v>31362</v>
      </c>
      <c r="G7160" t="s">
        <v>31368</v>
      </c>
      <c r="H7160" t="s">
        <v>15799</v>
      </c>
      <c r="I7160" t="s">
        <v>7188</v>
      </c>
      <c r="J7160" t="s">
        <v>31530</v>
      </c>
      <c r="K7160" t="s">
        <v>40665</v>
      </c>
      <c r="M7160" t="s">
        <v>41196</v>
      </c>
      <c r="N7160" t="s">
        <v>44905</v>
      </c>
      <c r="O7160" t="s">
        <v>44906</v>
      </c>
      <c r="P7160">
        <v>0</v>
      </c>
      <c r="Q7160">
        <v>8</v>
      </c>
      <c r="R7160" t="s">
        <v>44910</v>
      </c>
      <c r="S7160" t="s">
        <v>45076</v>
      </c>
      <c r="T7160" t="s">
        <v>46583</v>
      </c>
      <c r="U7160" t="s">
        <v>52744</v>
      </c>
      <c r="W7160" t="s">
        <v>60842</v>
      </c>
      <c r="X7160" t="s">
        <v>44911</v>
      </c>
    </row>
    <row r="7161" spans="1:24">
      <c r="A7161">
        <f>HYPERLINK("https://www.philgeps.gov.ph/GEPSNONPILOT/Tender/SplashBidNoticeAbstractUI.aspx?menuIndex=3&amp;refID=7073277&amp;Result=3","7073277")</f>
        <v>0</v>
      </c>
      <c r="B7161" t="s">
        <v>1676</v>
      </c>
      <c r="C7161" t="s">
        <v>10343</v>
      </c>
      <c r="D7161" t="s">
        <v>18139</v>
      </c>
      <c r="E7161" t="s">
        <v>24535</v>
      </c>
      <c r="F7161" t="s">
        <v>31362</v>
      </c>
      <c r="G7161" t="s">
        <v>31369</v>
      </c>
      <c r="H7161" t="s">
        <v>31378</v>
      </c>
      <c r="I7161" t="s">
        <v>31386</v>
      </c>
      <c r="J7161" t="s">
        <v>35942</v>
      </c>
      <c r="K7161" t="s">
        <v>40665</v>
      </c>
      <c r="M7161" t="s">
        <v>42741</v>
      </c>
      <c r="N7161" t="s">
        <v>44905</v>
      </c>
      <c r="O7161" t="s">
        <v>44906</v>
      </c>
      <c r="P7161">
        <v>0</v>
      </c>
      <c r="Q7161">
        <v>2</v>
      </c>
      <c r="R7161" t="s">
        <v>44910</v>
      </c>
      <c r="S7161" t="s">
        <v>45076</v>
      </c>
      <c r="T7161" t="s">
        <v>46419</v>
      </c>
      <c r="U7161" t="s">
        <v>52745</v>
      </c>
      <c r="V7161" t="s">
        <v>59768</v>
      </c>
      <c r="W7161" t="s">
        <v>60921</v>
      </c>
      <c r="X7161" t="s">
        <v>44911</v>
      </c>
    </row>
    <row r="7162" spans="1:24">
      <c r="A7162">
        <f>HYPERLINK("https://www.philgeps.gov.ph/GEPSNONPILOT/Tender/SplashBidNoticeAbstractUI.aspx?menuIndex=3&amp;refID=7073312&amp;Result=3","7073312")</f>
        <v>0</v>
      </c>
      <c r="B7162" t="s">
        <v>2179</v>
      </c>
      <c r="C7162" t="s">
        <v>10344</v>
      </c>
      <c r="D7162" t="s">
        <v>18131</v>
      </c>
      <c r="E7162" t="s">
        <v>24536</v>
      </c>
      <c r="F7162" t="s">
        <v>31362</v>
      </c>
      <c r="G7162" t="s">
        <v>31369</v>
      </c>
      <c r="H7162" t="s">
        <v>15799</v>
      </c>
      <c r="I7162" t="s">
        <v>3815</v>
      </c>
      <c r="J7162" t="s">
        <v>35943</v>
      </c>
      <c r="K7162" t="s">
        <v>40662</v>
      </c>
      <c r="M7162" t="s">
        <v>43310</v>
      </c>
      <c r="N7162" t="s">
        <v>44905</v>
      </c>
      <c r="O7162" t="s">
        <v>44906</v>
      </c>
      <c r="P7162">
        <v>0</v>
      </c>
      <c r="Q7162">
        <v>2</v>
      </c>
      <c r="R7162" t="s">
        <v>44910</v>
      </c>
      <c r="S7162" t="s">
        <v>45076</v>
      </c>
      <c r="T7162" t="s">
        <v>46508</v>
      </c>
      <c r="U7162" t="s">
        <v>52746</v>
      </c>
      <c r="V7162" t="s">
        <v>59769</v>
      </c>
      <c r="W7162" t="s">
        <v>43310</v>
      </c>
      <c r="X7162" t="s">
        <v>44911</v>
      </c>
    </row>
    <row r="7163" spans="1:24">
      <c r="A7163">
        <f>HYPERLINK("https://www.philgeps.gov.ph/GEPSNONPILOT/Tender/SplashBidNoticeAbstractUI.aspx?menuIndex=3&amp;refID=7073309&amp;Result=3","7073309")</f>
        <v>0</v>
      </c>
      <c r="B7163" t="s">
        <v>269</v>
      </c>
      <c r="C7163" t="s">
        <v>10345</v>
      </c>
      <c r="D7163" t="s">
        <v>18117</v>
      </c>
      <c r="E7163" t="s">
        <v>23785</v>
      </c>
      <c r="F7163" t="s">
        <v>31362</v>
      </c>
      <c r="G7163" t="s">
        <v>31369</v>
      </c>
      <c r="H7163" t="s">
        <v>15799</v>
      </c>
      <c r="I7163" t="s">
        <v>3815</v>
      </c>
      <c r="J7163" t="s">
        <v>35944</v>
      </c>
      <c r="K7163" t="s">
        <v>40666</v>
      </c>
      <c r="M7163" t="s">
        <v>41211</v>
      </c>
      <c r="N7163" t="s">
        <v>44905</v>
      </c>
      <c r="O7163" t="s">
        <v>44906</v>
      </c>
      <c r="P7163">
        <v>0</v>
      </c>
      <c r="Q7163">
        <v>0</v>
      </c>
      <c r="R7163" t="s">
        <v>44910</v>
      </c>
      <c r="S7163" t="s">
        <v>45076</v>
      </c>
      <c r="T7163" t="s">
        <v>46616</v>
      </c>
      <c r="U7163" t="s">
        <v>47376</v>
      </c>
      <c r="W7163" t="s">
        <v>41211</v>
      </c>
      <c r="X7163" t="s">
        <v>44911</v>
      </c>
    </row>
    <row r="7164" spans="1:24">
      <c r="A7164">
        <f>HYPERLINK("https://www.philgeps.gov.ph/GEPSNONPILOT/Tender/SplashBidNoticeAbstractUI.aspx?menuIndex=3&amp;refID=7073308&amp;Result=3","7073308")</f>
        <v>0</v>
      </c>
      <c r="B7164" t="s">
        <v>2180</v>
      </c>
      <c r="C7164" t="s">
        <v>10346</v>
      </c>
      <c r="D7164" t="s">
        <v>18155</v>
      </c>
      <c r="E7164" t="s">
        <v>24537</v>
      </c>
      <c r="F7164" t="s">
        <v>31362</v>
      </c>
      <c r="G7164" t="s">
        <v>31368</v>
      </c>
      <c r="H7164" t="s">
        <v>15799</v>
      </c>
      <c r="I7164" t="s">
        <v>31388</v>
      </c>
      <c r="J7164" t="s">
        <v>35945</v>
      </c>
      <c r="K7164" t="s">
        <v>40665</v>
      </c>
      <c r="M7164" t="s">
        <v>43311</v>
      </c>
      <c r="N7164" t="s">
        <v>44905</v>
      </c>
      <c r="O7164" t="s">
        <v>44906</v>
      </c>
      <c r="P7164">
        <v>0</v>
      </c>
      <c r="Q7164">
        <v>1</v>
      </c>
      <c r="R7164" t="s">
        <v>44910</v>
      </c>
      <c r="S7164" t="s">
        <v>45076</v>
      </c>
      <c r="T7164" t="s">
        <v>46443</v>
      </c>
      <c r="U7164" t="s">
        <v>52747</v>
      </c>
      <c r="W7164" t="s">
        <v>60924</v>
      </c>
      <c r="X7164" t="s">
        <v>44911</v>
      </c>
    </row>
    <row r="7165" spans="1:24">
      <c r="A7165">
        <f>HYPERLINK("https://www.philgeps.gov.ph/GEPSNONPILOT/Tender/SplashBidNoticeAbstractUI.aspx?menuIndex=3&amp;refID=7073307&amp;Result=3","7073307")</f>
        <v>0</v>
      </c>
      <c r="B7165" t="s">
        <v>346</v>
      </c>
      <c r="C7165" t="s">
        <v>10347</v>
      </c>
      <c r="D7165" t="s">
        <v>18152</v>
      </c>
      <c r="E7165" t="s">
        <v>24538</v>
      </c>
      <c r="F7165" t="s">
        <v>31362</v>
      </c>
      <c r="G7165" t="s">
        <v>31368</v>
      </c>
      <c r="H7165" t="s">
        <v>15799</v>
      </c>
      <c r="I7165" t="s">
        <v>3815</v>
      </c>
      <c r="J7165" t="s">
        <v>35946</v>
      </c>
      <c r="K7165" t="s">
        <v>40665</v>
      </c>
      <c r="L7165" t="s">
        <v>346</v>
      </c>
      <c r="M7165" t="s">
        <v>41292</v>
      </c>
      <c r="N7165" t="s">
        <v>44905</v>
      </c>
      <c r="O7165" t="s">
        <v>44906</v>
      </c>
      <c r="P7165">
        <v>0</v>
      </c>
      <c r="Q7165">
        <v>0</v>
      </c>
      <c r="R7165" t="s">
        <v>44910</v>
      </c>
      <c r="S7165" t="s">
        <v>45076</v>
      </c>
      <c r="T7165" t="s">
        <v>46393</v>
      </c>
      <c r="U7165" t="s">
        <v>52748</v>
      </c>
      <c r="V7165" t="s">
        <v>59139</v>
      </c>
      <c r="W7165" t="s">
        <v>41292</v>
      </c>
      <c r="X7165" t="s">
        <v>44911</v>
      </c>
    </row>
    <row r="7166" spans="1:24">
      <c r="A7166">
        <f>HYPERLINK("https://www.philgeps.gov.ph/GEPSNONPILOT/Tender/SplashBidNoticeAbstractUI.aspx?menuIndex=3&amp;refID=7073304&amp;Result=3","7073304")</f>
        <v>0</v>
      </c>
      <c r="B7166" t="s">
        <v>2181</v>
      </c>
      <c r="C7166" t="s">
        <v>10348</v>
      </c>
      <c r="D7166" t="s">
        <v>18156</v>
      </c>
      <c r="E7166" t="s">
        <v>24539</v>
      </c>
      <c r="F7166" t="s">
        <v>31362</v>
      </c>
      <c r="G7166" t="s">
        <v>31369</v>
      </c>
      <c r="H7166" t="s">
        <v>31378</v>
      </c>
      <c r="I7166" t="s">
        <v>31386</v>
      </c>
      <c r="J7166" t="s">
        <v>35947</v>
      </c>
      <c r="K7166" t="s">
        <v>40691</v>
      </c>
      <c r="M7166" t="s">
        <v>43312</v>
      </c>
      <c r="N7166" t="s">
        <v>44905</v>
      </c>
      <c r="O7166" t="s">
        <v>44906</v>
      </c>
      <c r="P7166">
        <v>0</v>
      </c>
      <c r="Q7166">
        <v>8</v>
      </c>
      <c r="R7166" t="s">
        <v>44910</v>
      </c>
      <c r="S7166" t="s">
        <v>45076</v>
      </c>
      <c r="T7166" t="s">
        <v>46392</v>
      </c>
      <c r="U7166" t="s">
        <v>52749</v>
      </c>
      <c r="W7166" t="s">
        <v>43312</v>
      </c>
      <c r="X7166" t="s">
        <v>44911</v>
      </c>
    </row>
    <row r="7167" spans="1:24">
      <c r="A7167">
        <f>HYPERLINK("https://www.philgeps.gov.ph/GEPSNONPILOT/Tender/SplashBidNoticeAbstractUI.aspx?menuIndex=3&amp;refID=7073317&amp;Result=3","7073317")</f>
        <v>0</v>
      </c>
      <c r="B7167" t="s">
        <v>1076</v>
      </c>
      <c r="C7167" t="s">
        <v>10349</v>
      </c>
      <c r="D7167" t="s">
        <v>18114</v>
      </c>
      <c r="E7167" t="s">
        <v>24540</v>
      </c>
      <c r="F7167" t="s">
        <v>31362</v>
      </c>
      <c r="G7167" t="s">
        <v>31369</v>
      </c>
      <c r="H7167" t="s">
        <v>31378</v>
      </c>
      <c r="I7167" t="s">
        <v>31386</v>
      </c>
      <c r="J7167" t="s">
        <v>31604</v>
      </c>
      <c r="K7167" t="s">
        <v>40674</v>
      </c>
      <c r="M7167" t="s">
        <v>42078</v>
      </c>
      <c r="N7167" t="s">
        <v>44905</v>
      </c>
      <c r="O7167" t="s">
        <v>44906</v>
      </c>
      <c r="P7167">
        <v>0</v>
      </c>
      <c r="Q7167">
        <v>1</v>
      </c>
      <c r="R7167" t="s">
        <v>44910</v>
      </c>
      <c r="S7167" t="s">
        <v>45076</v>
      </c>
      <c r="T7167" t="s">
        <v>46393</v>
      </c>
      <c r="U7167" t="s">
        <v>52750</v>
      </c>
      <c r="W7167" t="s">
        <v>42078</v>
      </c>
      <c r="X7167" t="s">
        <v>44911</v>
      </c>
    </row>
    <row r="7168" spans="1:24">
      <c r="A7168">
        <f>HYPERLINK("https://www.philgeps.gov.ph/GEPSNONPILOT/Tender/SplashBidNoticeAbstractUI.aspx?menuIndex=3&amp;refID=7073303&amp;Result=3","7073303")</f>
        <v>0</v>
      </c>
      <c r="B7168" t="s">
        <v>387</v>
      </c>
      <c r="C7168" t="s">
        <v>10350</v>
      </c>
      <c r="D7168" t="s">
        <v>18152</v>
      </c>
      <c r="E7168" t="s">
        <v>24541</v>
      </c>
      <c r="F7168" t="s">
        <v>31362</v>
      </c>
      <c r="G7168" t="s">
        <v>31369</v>
      </c>
      <c r="H7168" t="s">
        <v>15799</v>
      </c>
      <c r="I7168" t="s">
        <v>3815</v>
      </c>
      <c r="J7168" t="s">
        <v>35948</v>
      </c>
      <c r="K7168" t="s">
        <v>40665</v>
      </c>
      <c r="M7168" t="s">
        <v>41335</v>
      </c>
      <c r="N7168" t="s">
        <v>44905</v>
      </c>
      <c r="O7168" t="s">
        <v>44906</v>
      </c>
      <c r="P7168">
        <v>0</v>
      </c>
      <c r="Q7168">
        <v>0</v>
      </c>
      <c r="R7168" t="s">
        <v>44910</v>
      </c>
      <c r="S7168" t="s">
        <v>45076</v>
      </c>
      <c r="T7168" t="s">
        <v>46393</v>
      </c>
      <c r="U7168" t="s">
        <v>47597</v>
      </c>
      <c r="V7168" t="s">
        <v>59153</v>
      </c>
      <c r="W7168" t="s">
        <v>41335</v>
      </c>
      <c r="X7168" t="s">
        <v>44911</v>
      </c>
    </row>
    <row r="7169" spans="1:24">
      <c r="A7169">
        <f>HYPERLINK("https://www.philgeps.gov.ph/GEPSNONPILOT/Tender/SplashBidNoticeAbstractUI.aspx?menuIndex=3&amp;refID=7073298&amp;Result=3","7073298")</f>
        <v>0</v>
      </c>
      <c r="B7169" t="s">
        <v>1355</v>
      </c>
      <c r="C7169" t="s">
        <v>10351</v>
      </c>
      <c r="D7169" t="s">
        <v>18111</v>
      </c>
      <c r="E7169" t="s">
        <v>24542</v>
      </c>
      <c r="F7169" t="s">
        <v>31362</v>
      </c>
      <c r="G7169" t="s">
        <v>31370</v>
      </c>
      <c r="H7169" t="s">
        <v>15799</v>
      </c>
      <c r="I7169" t="s">
        <v>31387</v>
      </c>
      <c r="J7169" t="s">
        <v>35949</v>
      </c>
      <c r="K7169" t="s">
        <v>40662</v>
      </c>
      <c r="M7169" t="s">
        <v>42376</v>
      </c>
      <c r="N7169" t="s">
        <v>44905</v>
      </c>
      <c r="O7169" t="s">
        <v>44906</v>
      </c>
      <c r="P7169">
        <v>0</v>
      </c>
      <c r="Q7169">
        <v>1</v>
      </c>
      <c r="R7169" t="s">
        <v>44910</v>
      </c>
      <c r="S7169" t="s">
        <v>45076</v>
      </c>
      <c r="T7169" t="s">
        <v>46400</v>
      </c>
      <c r="U7169" t="s">
        <v>52751</v>
      </c>
      <c r="W7169" t="s">
        <v>42376</v>
      </c>
      <c r="X7169" t="s">
        <v>44911</v>
      </c>
    </row>
    <row r="7170" spans="1:24">
      <c r="A7170">
        <f>HYPERLINK("https://www.philgeps.gov.ph/GEPSNONPILOT/Tender/SplashBidNoticeAbstractUI.aspx?menuIndex=3&amp;refID=7072894&amp;Result=3","7072894")</f>
        <v>0</v>
      </c>
      <c r="B7170" t="s">
        <v>952</v>
      </c>
      <c r="C7170" t="s">
        <v>10352</v>
      </c>
      <c r="D7170" t="s">
        <v>18100</v>
      </c>
      <c r="E7170" t="s">
        <v>24543</v>
      </c>
      <c r="F7170" t="s">
        <v>31362</v>
      </c>
      <c r="G7170" t="s">
        <v>31369</v>
      </c>
      <c r="H7170" t="s">
        <v>15799</v>
      </c>
      <c r="I7170" t="s">
        <v>3815</v>
      </c>
      <c r="J7170" t="s">
        <v>35950</v>
      </c>
      <c r="K7170" t="s">
        <v>40662</v>
      </c>
      <c r="M7170" t="s">
        <v>41940</v>
      </c>
      <c r="N7170" t="s">
        <v>44905</v>
      </c>
      <c r="O7170" t="s">
        <v>44906</v>
      </c>
      <c r="P7170">
        <v>0</v>
      </c>
      <c r="Q7170">
        <v>0</v>
      </c>
      <c r="R7170" t="s">
        <v>44910</v>
      </c>
      <c r="S7170" t="s">
        <v>45076</v>
      </c>
      <c r="T7170" t="s">
        <v>46620</v>
      </c>
      <c r="U7170" t="s">
        <v>52752</v>
      </c>
      <c r="V7170" t="s">
        <v>59311</v>
      </c>
      <c r="W7170" t="s">
        <v>41940</v>
      </c>
      <c r="X7170" t="s">
        <v>44912</v>
      </c>
    </row>
    <row r="7171" spans="1:24">
      <c r="A7171">
        <f>HYPERLINK("https://www.philgeps.gov.ph/GEPSNONPILOT/Tender/SplashBidNoticeAbstractUI.aspx?menuIndex=3&amp;refID=7073289&amp;Result=3","7073289")</f>
        <v>0</v>
      </c>
      <c r="B7171" t="s">
        <v>1864</v>
      </c>
      <c r="C7171" t="s">
        <v>10353</v>
      </c>
      <c r="D7171" t="s">
        <v>18140</v>
      </c>
      <c r="E7171" t="s">
        <v>24544</v>
      </c>
      <c r="F7171" t="s">
        <v>31362</v>
      </c>
      <c r="G7171" t="s">
        <v>31369</v>
      </c>
      <c r="H7171" t="s">
        <v>31378</v>
      </c>
      <c r="I7171" t="s">
        <v>31386</v>
      </c>
      <c r="J7171" t="s">
        <v>35951</v>
      </c>
      <c r="K7171" t="s">
        <v>40825</v>
      </c>
      <c r="M7171" t="s">
        <v>42954</v>
      </c>
      <c r="N7171" t="s">
        <v>44905</v>
      </c>
      <c r="O7171" t="s">
        <v>44906</v>
      </c>
      <c r="P7171">
        <v>0</v>
      </c>
      <c r="Q7171">
        <v>1</v>
      </c>
      <c r="R7171" t="s">
        <v>44910</v>
      </c>
      <c r="S7171" t="s">
        <v>45076</v>
      </c>
      <c r="T7171" t="s">
        <v>46627</v>
      </c>
      <c r="U7171" t="s">
        <v>52753</v>
      </c>
      <c r="W7171" t="s">
        <v>42954</v>
      </c>
      <c r="X7171" t="s">
        <v>44911</v>
      </c>
    </row>
    <row r="7172" spans="1:24">
      <c r="A7172">
        <f>HYPERLINK("https://www.philgeps.gov.ph/GEPSNONPILOT/Tender/SplashBidNoticeAbstractUI.aspx?menuIndex=3&amp;refID=7073319&amp;Result=3","7073319")</f>
        <v>0</v>
      </c>
      <c r="B7172" t="s">
        <v>387</v>
      </c>
      <c r="C7172" t="s">
        <v>10354</v>
      </c>
      <c r="D7172" t="s">
        <v>18152</v>
      </c>
      <c r="E7172" t="s">
        <v>24545</v>
      </c>
      <c r="F7172" t="s">
        <v>31362</v>
      </c>
      <c r="G7172" t="s">
        <v>31369</v>
      </c>
      <c r="H7172" t="s">
        <v>15799</v>
      </c>
      <c r="I7172" t="s">
        <v>3815</v>
      </c>
      <c r="J7172" t="s">
        <v>35952</v>
      </c>
      <c r="K7172" t="s">
        <v>40665</v>
      </c>
      <c r="M7172" t="s">
        <v>41335</v>
      </c>
      <c r="N7172" t="s">
        <v>44905</v>
      </c>
      <c r="O7172" t="s">
        <v>44906</v>
      </c>
      <c r="P7172">
        <v>0</v>
      </c>
      <c r="Q7172">
        <v>0</v>
      </c>
      <c r="R7172" t="s">
        <v>44910</v>
      </c>
      <c r="S7172" t="s">
        <v>45076</v>
      </c>
      <c r="T7172" t="s">
        <v>46393</v>
      </c>
      <c r="U7172" t="s">
        <v>47597</v>
      </c>
      <c r="V7172" t="s">
        <v>59153</v>
      </c>
      <c r="W7172" t="s">
        <v>41335</v>
      </c>
      <c r="X7172" t="s">
        <v>44911</v>
      </c>
    </row>
    <row r="7173" spans="1:24">
      <c r="A7173">
        <f>HYPERLINK("https://www.philgeps.gov.ph/GEPSNONPILOT/Tender/SplashBidNoticeAbstractUI.aspx?menuIndex=3&amp;refID=7073306&amp;Result=3","7073306")</f>
        <v>0</v>
      </c>
      <c r="B7173" t="s">
        <v>2182</v>
      </c>
      <c r="C7173" t="s">
        <v>10355</v>
      </c>
      <c r="E7173" t="s">
        <v>24546</v>
      </c>
      <c r="F7173" t="s">
        <v>31367</v>
      </c>
      <c r="G7173" t="s">
        <v>31369</v>
      </c>
      <c r="H7173" t="s">
        <v>31378</v>
      </c>
      <c r="I7173" t="s">
        <v>31386</v>
      </c>
      <c r="J7173" t="s">
        <v>35953</v>
      </c>
      <c r="K7173" t="s">
        <v>40662</v>
      </c>
      <c r="M7173" t="s">
        <v>43313</v>
      </c>
      <c r="N7173" t="s">
        <v>44905</v>
      </c>
      <c r="O7173" t="s">
        <v>44906</v>
      </c>
      <c r="P7173">
        <v>0</v>
      </c>
      <c r="Q7173">
        <v>0</v>
      </c>
      <c r="R7173" t="s">
        <v>44910</v>
      </c>
      <c r="S7173" t="s">
        <v>45076</v>
      </c>
      <c r="T7173" t="s">
        <v>46569</v>
      </c>
      <c r="U7173" t="s">
        <v>52025</v>
      </c>
      <c r="W7173" t="s">
        <v>43313</v>
      </c>
      <c r="X7173" t="s">
        <v>44911</v>
      </c>
    </row>
    <row r="7174" spans="1:24">
      <c r="A7174">
        <f>HYPERLINK("https://www.philgeps.gov.ph/GEPSNONPILOT/Tender/SplashBidNoticeAbstractUI.aspx?menuIndex=3&amp;refID=7073350&amp;Result=3","7073350")</f>
        <v>0</v>
      </c>
      <c r="B7174" t="s">
        <v>2183</v>
      </c>
      <c r="C7174" t="s">
        <v>10356</v>
      </c>
      <c r="D7174" t="s">
        <v>18148</v>
      </c>
      <c r="E7174" t="s">
        <v>24547</v>
      </c>
      <c r="F7174" t="s">
        <v>31362</v>
      </c>
      <c r="G7174" t="s">
        <v>31368</v>
      </c>
      <c r="H7174" t="s">
        <v>15799</v>
      </c>
      <c r="I7174" t="s">
        <v>31415</v>
      </c>
      <c r="J7174" t="s">
        <v>35954</v>
      </c>
      <c r="K7174" t="s">
        <v>40670</v>
      </c>
      <c r="M7174" t="s">
        <v>43314</v>
      </c>
      <c r="N7174" t="s">
        <v>44905</v>
      </c>
      <c r="O7174" t="s">
        <v>44906</v>
      </c>
      <c r="P7174">
        <v>0</v>
      </c>
      <c r="Q7174">
        <v>3</v>
      </c>
      <c r="R7174" t="s">
        <v>44910</v>
      </c>
      <c r="S7174" t="s">
        <v>45076</v>
      </c>
      <c r="T7174" t="s">
        <v>46416</v>
      </c>
      <c r="U7174" t="s">
        <v>52754</v>
      </c>
      <c r="W7174" t="s">
        <v>43314</v>
      </c>
      <c r="X7174" t="s">
        <v>44911</v>
      </c>
    </row>
    <row r="7175" spans="1:24">
      <c r="A7175">
        <f>HYPERLINK("https://www.philgeps.gov.ph/GEPSNONPILOT/Tender/SplashBidNoticeAbstractUI.aspx?menuIndex=3&amp;refID=7073348&amp;Result=3","7073348")</f>
        <v>0</v>
      </c>
      <c r="B7175" t="s">
        <v>1919</v>
      </c>
      <c r="C7175" t="s">
        <v>10357</v>
      </c>
      <c r="D7175" t="s">
        <v>18125</v>
      </c>
      <c r="E7175" t="s">
        <v>24548</v>
      </c>
      <c r="F7175" t="s">
        <v>31362</v>
      </c>
      <c r="G7175" t="s">
        <v>31372</v>
      </c>
      <c r="H7175" t="s">
        <v>15799</v>
      </c>
      <c r="I7175" t="s">
        <v>31422</v>
      </c>
      <c r="J7175" t="s">
        <v>35955</v>
      </c>
      <c r="K7175" t="s">
        <v>40666</v>
      </c>
      <c r="M7175" t="s">
        <v>43016</v>
      </c>
      <c r="N7175" t="s">
        <v>44905</v>
      </c>
      <c r="O7175" t="s">
        <v>44906</v>
      </c>
      <c r="P7175">
        <v>0</v>
      </c>
      <c r="Q7175">
        <v>6</v>
      </c>
      <c r="R7175" t="s">
        <v>44910</v>
      </c>
      <c r="S7175" t="s">
        <v>45076</v>
      </c>
      <c r="T7175" t="s">
        <v>46411</v>
      </c>
      <c r="U7175" t="s">
        <v>52755</v>
      </c>
      <c r="W7175" t="s">
        <v>43016</v>
      </c>
      <c r="X7175" t="s">
        <v>44911</v>
      </c>
    </row>
    <row r="7176" spans="1:24">
      <c r="A7176">
        <f>HYPERLINK("https://www.philgeps.gov.ph/GEPSNONPILOT/Tender/SplashBidNoticeAbstractUI.aspx?menuIndex=3&amp;refID=7073297&amp;Result=3","7073297")</f>
        <v>0</v>
      </c>
      <c r="B7176" t="s">
        <v>269</v>
      </c>
      <c r="C7176" t="s">
        <v>10358</v>
      </c>
      <c r="D7176" t="s">
        <v>18117</v>
      </c>
      <c r="E7176" t="s">
        <v>24549</v>
      </c>
      <c r="F7176" t="s">
        <v>31362</v>
      </c>
      <c r="G7176" t="s">
        <v>31369</v>
      </c>
      <c r="H7176" t="s">
        <v>15799</v>
      </c>
      <c r="I7176" t="s">
        <v>31400</v>
      </c>
      <c r="J7176" t="s">
        <v>31806</v>
      </c>
      <c r="K7176" t="s">
        <v>40670</v>
      </c>
      <c r="M7176" t="s">
        <v>41211</v>
      </c>
      <c r="N7176" t="s">
        <v>44905</v>
      </c>
      <c r="O7176" t="s">
        <v>44906</v>
      </c>
      <c r="P7176">
        <v>0</v>
      </c>
      <c r="Q7176">
        <v>1</v>
      </c>
      <c r="R7176" t="s">
        <v>44910</v>
      </c>
      <c r="S7176" t="s">
        <v>45076</v>
      </c>
      <c r="T7176" t="s">
        <v>46616</v>
      </c>
      <c r="U7176" t="s">
        <v>52756</v>
      </c>
      <c r="W7176" t="s">
        <v>41211</v>
      </c>
      <c r="X7176" t="s">
        <v>44911</v>
      </c>
    </row>
    <row r="7177" spans="1:24">
      <c r="A7177">
        <f>HYPERLINK("https://www.philgeps.gov.ph/GEPSNONPILOT/Tender/SplashBidNoticeAbstractUI.aspx?menuIndex=3&amp;refID=7073344&amp;Result=3","7073344")</f>
        <v>0</v>
      </c>
      <c r="B7177" t="s">
        <v>1744</v>
      </c>
      <c r="C7177" t="s">
        <v>10359</v>
      </c>
      <c r="D7177" t="s">
        <v>18123</v>
      </c>
      <c r="E7177" t="s">
        <v>24550</v>
      </c>
      <c r="F7177" t="s">
        <v>31362</v>
      </c>
      <c r="G7177" t="s">
        <v>31369</v>
      </c>
      <c r="H7177" t="s">
        <v>15799</v>
      </c>
      <c r="I7177" t="s">
        <v>31427</v>
      </c>
      <c r="J7177" t="s">
        <v>32400</v>
      </c>
      <c r="K7177" t="s">
        <v>40665</v>
      </c>
      <c r="M7177" t="s">
        <v>42819</v>
      </c>
      <c r="N7177" t="s">
        <v>44905</v>
      </c>
      <c r="O7177" t="s">
        <v>44906</v>
      </c>
      <c r="P7177">
        <v>0</v>
      </c>
      <c r="Q7177">
        <v>0</v>
      </c>
      <c r="R7177" t="s">
        <v>44910</v>
      </c>
      <c r="S7177" t="s">
        <v>45076</v>
      </c>
      <c r="T7177" t="s">
        <v>46419</v>
      </c>
      <c r="U7177" t="s">
        <v>52757</v>
      </c>
      <c r="V7177" t="s">
        <v>59770</v>
      </c>
      <c r="W7177" t="s">
        <v>42819</v>
      </c>
      <c r="X7177" t="s">
        <v>44911</v>
      </c>
    </row>
    <row r="7178" spans="1:24">
      <c r="A7178">
        <f>HYPERLINK("https://www.philgeps.gov.ph/GEPSNONPILOT/Tender/SplashBidNoticeAbstractUI.aspx?menuIndex=3&amp;refID=7073342&amp;Result=3","7073342")</f>
        <v>0</v>
      </c>
      <c r="B7178" t="s">
        <v>575</v>
      </c>
      <c r="C7178" t="s">
        <v>10360</v>
      </c>
      <c r="D7178" t="s">
        <v>18108</v>
      </c>
      <c r="E7178" t="s">
        <v>24551</v>
      </c>
      <c r="F7178" t="s">
        <v>31362</v>
      </c>
      <c r="G7178" t="s">
        <v>31369</v>
      </c>
      <c r="H7178" t="s">
        <v>15799</v>
      </c>
      <c r="I7178" t="s">
        <v>31409</v>
      </c>
      <c r="J7178" t="s">
        <v>35216</v>
      </c>
      <c r="K7178" t="s">
        <v>40665</v>
      </c>
      <c r="M7178" t="s">
        <v>41531</v>
      </c>
      <c r="N7178" t="s">
        <v>44905</v>
      </c>
      <c r="O7178" t="s">
        <v>44906</v>
      </c>
      <c r="P7178">
        <v>0</v>
      </c>
      <c r="Q7178">
        <v>2</v>
      </c>
      <c r="R7178" t="s">
        <v>44910</v>
      </c>
      <c r="S7178" t="s">
        <v>45076</v>
      </c>
      <c r="T7178" t="s">
        <v>46747</v>
      </c>
      <c r="U7178" t="s">
        <v>52758</v>
      </c>
      <c r="W7178" t="s">
        <v>41531</v>
      </c>
      <c r="X7178" t="s">
        <v>44911</v>
      </c>
    </row>
    <row r="7179" spans="1:24">
      <c r="A7179">
        <f>HYPERLINK("https://www.philgeps.gov.ph/GEPSNONPILOT/Tender/SplashBidNoticeAbstractUI.aspx?menuIndex=3&amp;refID=7073341&amp;Result=3","7073341")</f>
        <v>0</v>
      </c>
      <c r="B7179" t="s">
        <v>2184</v>
      </c>
      <c r="C7179" t="s">
        <v>10361</v>
      </c>
      <c r="D7179" t="s">
        <v>18111</v>
      </c>
      <c r="E7179" t="s">
        <v>24552</v>
      </c>
      <c r="F7179" t="s">
        <v>31362</v>
      </c>
      <c r="G7179" t="s">
        <v>31369</v>
      </c>
      <c r="H7179" t="s">
        <v>15799</v>
      </c>
      <c r="I7179" t="s">
        <v>7090</v>
      </c>
      <c r="J7179" t="s">
        <v>35956</v>
      </c>
      <c r="K7179" t="s">
        <v>40670</v>
      </c>
      <c r="M7179" t="s">
        <v>43315</v>
      </c>
      <c r="N7179" t="s">
        <v>44905</v>
      </c>
      <c r="O7179" t="s">
        <v>44906</v>
      </c>
      <c r="P7179">
        <v>0</v>
      </c>
      <c r="Q7179">
        <v>3</v>
      </c>
      <c r="R7179" t="s">
        <v>44910</v>
      </c>
      <c r="S7179" t="s">
        <v>45076</v>
      </c>
      <c r="T7179" t="s">
        <v>46393</v>
      </c>
      <c r="U7179" t="s">
        <v>52759</v>
      </c>
      <c r="V7179" t="s">
        <v>59771</v>
      </c>
      <c r="W7179" t="s">
        <v>43315</v>
      </c>
      <c r="X7179" t="s">
        <v>44911</v>
      </c>
    </row>
    <row r="7180" spans="1:24">
      <c r="A7180">
        <f>HYPERLINK("https://www.philgeps.gov.ph/GEPSNONPILOT/Tender/SplashBidNoticeAbstractUI.aspx?menuIndex=3&amp;refID=7073256&amp;Result=3","7073256")</f>
        <v>0</v>
      </c>
      <c r="B7180" t="s">
        <v>2168</v>
      </c>
      <c r="C7180" t="s">
        <v>10362</v>
      </c>
      <c r="D7180" t="s">
        <v>18154</v>
      </c>
      <c r="E7180" t="s">
        <v>23867</v>
      </c>
      <c r="F7180" t="s">
        <v>31362</v>
      </c>
      <c r="G7180" t="s">
        <v>31369</v>
      </c>
      <c r="H7180" t="s">
        <v>15799</v>
      </c>
      <c r="I7180" t="s">
        <v>3815</v>
      </c>
      <c r="J7180" t="s">
        <v>35957</v>
      </c>
      <c r="K7180" t="s">
        <v>40670</v>
      </c>
      <c r="M7180" t="s">
        <v>43298</v>
      </c>
      <c r="N7180" t="s">
        <v>44905</v>
      </c>
      <c r="O7180" t="s">
        <v>44906</v>
      </c>
      <c r="P7180">
        <v>0</v>
      </c>
      <c r="Q7180">
        <v>0</v>
      </c>
      <c r="R7180" t="s">
        <v>44910</v>
      </c>
      <c r="S7180" t="s">
        <v>45076</v>
      </c>
      <c r="T7180" t="s">
        <v>46549</v>
      </c>
      <c r="U7180" t="s">
        <v>52760</v>
      </c>
      <c r="W7180" t="s">
        <v>43298</v>
      </c>
      <c r="X7180" t="s">
        <v>44911</v>
      </c>
    </row>
    <row r="7181" spans="1:24">
      <c r="A7181">
        <f>HYPERLINK("https://www.philgeps.gov.ph/GEPSNONPILOT/Tender/SplashBidNoticeAbstractUI.aspx?menuIndex=3&amp;refID=7073340&amp;Result=3","7073340")</f>
        <v>0</v>
      </c>
      <c r="B7181" t="s">
        <v>1910</v>
      </c>
      <c r="C7181" t="s">
        <v>10363</v>
      </c>
      <c r="D7181" t="s">
        <v>18124</v>
      </c>
      <c r="E7181" t="s">
        <v>24553</v>
      </c>
      <c r="F7181" t="s">
        <v>31362</v>
      </c>
      <c r="G7181" t="s">
        <v>31369</v>
      </c>
      <c r="H7181" t="s">
        <v>15799</v>
      </c>
      <c r="I7181" t="s">
        <v>31392</v>
      </c>
      <c r="J7181" t="s">
        <v>35958</v>
      </c>
      <c r="K7181" t="s">
        <v>40661</v>
      </c>
      <c r="L7181" t="s">
        <v>1910</v>
      </c>
      <c r="M7181" t="s">
        <v>43006</v>
      </c>
      <c r="N7181" t="s">
        <v>44905</v>
      </c>
      <c r="O7181" t="s">
        <v>44906</v>
      </c>
      <c r="P7181">
        <v>0</v>
      </c>
      <c r="Q7181">
        <v>1</v>
      </c>
      <c r="R7181" t="s">
        <v>44910</v>
      </c>
      <c r="S7181" t="s">
        <v>45076</v>
      </c>
      <c r="T7181" t="s">
        <v>46416</v>
      </c>
      <c r="U7181" t="s">
        <v>52761</v>
      </c>
      <c r="W7181" t="s">
        <v>43006</v>
      </c>
      <c r="X7181" t="s">
        <v>44911</v>
      </c>
    </row>
    <row r="7182" spans="1:24">
      <c r="A7182">
        <f>HYPERLINK("https://www.philgeps.gov.ph/GEPSNONPILOT/Tender/SplashBidNoticeAbstractUI.aspx?menuIndex=3&amp;refID=7073346&amp;Result=3","7073346")</f>
        <v>0</v>
      </c>
      <c r="B7182" t="s">
        <v>2185</v>
      </c>
      <c r="C7182" t="s">
        <v>10364</v>
      </c>
      <c r="D7182" t="s">
        <v>18185</v>
      </c>
      <c r="E7182" t="s">
        <v>24554</v>
      </c>
      <c r="F7182" t="s">
        <v>31362</v>
      </c>
      <c r="G7182" t="s">
        <v>31369</v>
      </c>
      <c r="H7182" t="s">
        <v>31378</v>
      </c>
      <c r="I7182" t="s">
        <v>31440</v>
      </c>
      <c r="J7182" t="s">
        <v>35959</v>
      </c>
      <c r="K7182" t="s">
        <v>40686</v>
      </c>
      <c r="M7182" t="s">
        <v>43316</v>
      </c>
      <c r="N7182" t="s">
        <v>44905</v>
      </c>
      <c r="O7182" t="s">
        <v>44906</v>
      </c>
      <c r="P7182">
        <v>0</v>
      </c>
      <c r="Q7182">
        <v>0</v>
      </c>
      <c r="R7182" t="s">
        <v>44910</v>
      </c>
      <c r="S7182" t="s">
        <v>45076</v>
      </c>
      <c r="T7182" t="s">
        <v>46748</v>
      </c>
      <c r="U7182" t="s">
        <v>52762</v>
      </c>
      <c r="W7182" t="s">
        <v>43316</v>
      </c>
      <c r="X7182" t="s">
        <v>44911</v>
      </c>
    </row>
    <row r="7183" spans="1:24">
      <c r="A7183">
        <f>HYPERLINK("https://www.philgeps.gov.ph/GEPSNONPILOT/Tender/SplashBidNoticeAbstractUI.aspx?menuIndex=3&amp;refID=7073301&amp;Result=3","7073301")</f>
        <v>0</v>
      </c>
      <c r="B7183" t="s">
        <v>387</v>
      </c>
      <c r="C7183" t="s">
        <v>10365</v>
      </c>
      <c r="D7183" t="s">
        <v>18152</v>
      </c>
      <c r="E7183" t="s">
        <v>24555</v>
      </c>
      <c r="F7183" t="s">
        <v>31362</v>
      </c>
      <c r="G7183" t="s">
        <v>31369</v>
      </c>
      <c r="H7183" t="s">
        <v>15799</v>
      </c>
      <c r="I7183" t="s">
        <v>13635</v>
      </c>
      <c r="J7183" t="s">
        <v>35960</v>
      </c>
      <c r="K7183" t="s">
        <v>40665</v>
      </c>
      <c r="M7183" t="s">
        <v>41335</v>
      </c>
      <c r="N7183" t="s">
        <v>44905</v>
      </c>
      <c r="O7183" t="s">
        <v>44906</v>
      </c>
      <c r="P7183">
        <v>0</v>
      </c>
      <c r="Q7183">
        <v>0</v>
      </c>
      <c r="R7183" t="s">
        <v>44910</v>
      </c>
      <c r="S7183" t="s">
        <v>45076</v>
      </c>
      <c r="T7183" t="s">
        <v>46393</v>
      </c>
      <c r="U7183" t="s">
        <v>47597</v>
      </c>
      <c r="V7183" t="s">
        <v>59153</v>
      </c>
      <c r="W7183" t="s">
        <v>41335</v>
      </c>
      <c r="X7183" t="s">
        <v>44911</v>
      </c>
    </row>
    <row r="7184" spans="1:24">
      <c r="A7184">
        <f>HYPERLINK("https://www.philgeps.gov.ph/GEPSNONPILOT/Tender/SplashBidNoticeAbstractUI.aspx?menuIndex=3&amp;refID=7073333&amp;Result=3","7073333")</f>
        <v>0</v>
      </c>
      <c r="B7184" t="s">
        <v>179</v>
      </c>
      <c r="C7184" t="s">
        <v>10366</v>
      </c>
      <c r="D7184" t="s">
        <v>18155</v>
      </c>
      <c r="E7184" t="s">
        <v>24556</v>
      </c>
      <c r="F7184" t="s">
        <v>31362</v>
      </c>
      <c r="G7184" t="s">
        <v>31368</v>
      </c>
      <c r="H7184" t="s">
        <v>15799</v>
      </c>
      <c r="I7184" t="s">
        <v>31456</v>
      </c>
      <c r="J7184" t="s">
        <v>31531</v>
      </c>
      <c r="K7184" t="s">
        <v>40665</v>
      </c>
      <c r="M7184" t="s">
        <v>41209</v>
      </c>
      <c r="N7184" t="s">
        <v>44905</v>
      </c>
      <c r="O7184" t="s">
        <v>44906</v>
      </c>
      <c r="P7184">
        <v>0</v>
      </c>
      <c r="Q7184">
        <v>2</v>
      </c>
      <c r="R7184" t="s">
        <v>44910</v>
      </c>
      <c r="S7184" t="s">
        <v>45076</v>
      </c>
      <c r="T7184" t="s">
        <v>46583</v>
      </c>
      <c r="U7184" t="s">
        <v>52763</v>
      </c>
      <c r="W7184" t="s">
        <v>60842</v>
      </c>
      <c r="X7184" t="s">
        <v>44911</v>
      </c>
    </row>
    <row r="7185" spans="1:24">
      <c r="A7185">
        <f>HYPERLINK("https://www.philgeps.gov.ph/GEPSNONPILOT/Tender/SplashBidNoticeAbstractUI.aspx?menuIndex=3&amp;refID=7073345&amp;Result=3","7073345")</f>
        <v>0</v>
      </c>
      <c r="B7185" t="s">
        <v>347</v>
      </c>
      <c r="C7185" t="s">
        <v>10367</v>
      </c>
      <c r="D7185" t="s">
        <v>18120</v>
      </c>
      <c r="E7185" t="s">
        <v>24557</v>
      </c>
      <c r="F7185" t="s">
        <v>31362</v>
      </c>
      <c r="G7185" t="s">
        <v>31369</v>
      </c>
      <c r="H7185" t="s">
        <v>15799</v>
      </c>
      <c r="I7185" t="s">
        <v>3815</v>
      </c>
      <c r="J7185" t="s">
        <v>35961</v>
      </c>
      <c r="K7185" t="s">
        <v>40666</v>
      </c>
      <c r="M7185" t="s">
        <v>41293</v>
      </c>
      <c r="N7185" t="s">
        <v>44905</v>
      </c>
      <c r="O7185" t="s">
        <v>44906</v>
      </c>
      <c r="P7185">
        <v>0</v>
      </c>
      <c r="Q7185">
        <v>4</v>
      </c>
      <c r="R7185" t="s">
        <v>44910</v>
      </c>
      <c r="S7185" t="s">
        <v>45076</v>
      </c>
      <c r="T7185" t="s">
        <v>46607</v>
      </c>
      <c r="U7185" t="s">
        <v>52764</v>
      </c>
      <c r="W7185" t="s">
        <v>41293</v>
      </c>
      <c r="X7185" t="s">
        <v>44911</v>
      </c>
    </row>
    <row r="7186" spans="1:24">
      <c r="A7186">
        <f>HYPERLINK("https://www.philgeps.gov.ph/GEPSNONPILOT/Tender/SplashBidNoticeAbstractUI.aspx?menuIndex=3&amp;refID=7073343&amp;Result=3","7073343")</f>
        <v>0</v>
      </c>
      <c r="B7186" t="s">
        <v>180</v>
      </c>
      <c r="C7186" t="s">
        <v>10368</v>
      </c>
      <c r="D7186" t="s">
        <v>18112</v>
      </c>
      <c r="E7186" t="s">
        <v>24558</v>
      </c>
      <c r="F7186" t="s">
        <v>31362</v>
      </c>
      <c r="G7186" t="s">
        <v>31368</v>
      </c>
      <c r="H7186" t="s">
        <v>15799</v>
      </c>
      <c r="I7186" t="s">
        <v>31380</v>
      </c>
      <c r="J7186" t="s">
        <v>32204</v>
      </c>
      <c r="K7186" t="s">
        <v>40680</v>
      </c>
      <c r="M7186" t="s">
        <v>41118</v>
      </c>
      <c r="N7186" t="s">
        <v>44905</v>
      </c>
      <c r="O7186" t="s">
        <v>44906</v>
      </c>
      <c r="P7186">
        <v>0</v>
      </c>
      <c r="Q7186">
        <v>1</v>
      </c>
      <c r="R7186" t="s">
        <v>44910</v>
      </c>
      <c r="S7186" t="s">
        <v>45076</v>
      </c>
      <c r="T7186" t="s">
        <v>46410</v>
      </c>
      <c r="U7186" t="s">
        <v>52765</v>
      </c>
      <c r="W7186" t="s">
        <v>41118</v>
      </c>
      <c r="X7186" t="s">
        <v>44911</v>
      </c>
    </row>
    <row r="7187" spans="1:24">
      <c r="A7187">
        <f>HYPERLINK("https://www.philgeps.gov.ph/GEPSNONPILOT/Tender/SplashBidNoticeAbstractUI.aspx?menuIndex=3&amp;refID=7073329&amp;Result=3","7073329")</f>
        <v>0</v>
      </c>
      <c r="B7187" t="s">
        <v>2186</v>
      </c>
      <c r="C7187" t="s">
        <v>10369</v>
      </c>
      <c r="E7187" t="s">
        <v>20596</v>
      </c>
      <c r="F7187" t="s">
        <v>31362</v>
      </c>
      <c r="G7187" t="s">
        <v>31369</v>
      </c>
      <c r="H7187" t="s">
        <v>15799</v>
      </c>
      <c r="I7187" t="s">
        <v>31404</v>
      </c>
      <c r="J7187" t="s">
        <v>31997</v>
      </c>
      <c r="K7187" t="s">
        <v>40666</v>
      </c>
      <c r="M7187" t="s">
        <v>43317</v>
      </c>
      <c r="N7187" t="s">
        <v>44905</v>
      </c>
      <c r="O7187" t="s">
        <v>44906</v>
      </c>
      <c r="P7187">
        <v>0</v>
      </c>
      <c r="Q7187">
        <v>1</v>
      </c>
      <c r="R7187" t="s">
        <v>44910</v>
      </c>
      <c r="S7187" t="s">
        <v>45076</v>
      </c>
      <c r="T7187" t="s">
        <v>46569</v>
      </c>
      <c r="U7187" t="s">
        <v>52766</v>
      </c>
      <c r="V7187" t="s">
        <v>59772</v>
      </c>
      <c r="W7187" t="s">
        <v>43317</v>
      </c>
      <c r="X7187" t="s">
        <v>44911</v>
      </c>
    </row>
    <row r="7188" spans="1:24">
      <c r="A7188">
        <f>HYPERLINK("https://www.philgeps.gov.ph/GEPSNONPILOT/Tender/SplashBidNoticeAbstractUI.aspx?menuIndex=3&amp;refID=7073328&amp;Result=3","7073328")</f>
        <v>0</v>
      </c>
      <c r="B7188" t="s">
        <v>387</v>
      </c>
      <c r="C7188" t="s">
        <v>10370</v>
      </c>
      <c r="D7188" t="s">
        <v>18152</v>
      </c>
      <c r="E7188" t="s">
        <v>24559</v>
      </c>
      <c r="F7188" t="s">
        <v>31362</v>
      </c>
      <c r="G7188" t="s">
        <v>31369</v>
      </c>
      <c r="H7188" t="s">
        <v>15799</v>
      </c>
      <c r="I7188" t="s">
        <v>3815</v>
      </c>
      <c r="J7188" t="s">
        <v>35962</v>
      </c>
      <c r="K7188" t="s">
        <v>40665</v>
      </c>
      <c r="M7188" t="s">
        <v>41335</v>
      </c>
      <c r="N7188" t="s">
        <v>44905</v>
      </c>
      <c r="O7188" t="s">
        <v>44906</v>
      </c>
      <c r="P7188">
        <v>0</v>
      </c>
      <c r="Q7188">
        <v>0</v>
      </c>
      <c r="R7188" t="s">
        <v>44910</v>
      </c>
      <c r="S7188" t="s">
        <v>45076</v>
      </c>
      <c r="T7188" t="s">
        <v>46393</v>
      </c>
      <c r="U7188" t="s">
        <v>47597</v>
      </c>
      <c r="V7188" t="s">
        <v>59153</v>
      </c>
      <c r="W7188" t="s">
        <v>41335</v>
      </c>
      <c r="X7188" t="s">
        <v>44911</v>
      </c>
    </row>
    <row r="7189" spans="1:24">
      <c r="A7189">
        <f>HYPERLINK("https://www.philgeps.gov.ph/GEPSNONPILOT/Tender/SplashBidNoticeAbstractUI.aspx?menuIndex=3&amp;refID=7073287&amp;Result=3","7073287")</f>
        <v>0</v>
      </c>
      <c r="B7189" t="s">
        <v>387</v>
      </c>
      <c r="C7189" t="s">
        <v>10371</v>
      </c>
      <c r="D7189" t="s">
        <v>18152</v>
      </c>
      <c r="E7189" t="s">
        <v>24560</v>
      </c>
      <c r="F7189" t="s">
        <v>31362</v>
      </c>
      <c r="G7189" t="s">
        <v>31369</v>
      </c>
      <c r="H7189" t="s">
        <v>15799</v>
      </c>
      <c r="I7189" t="s">
        <v>31430</v>
      </c>
      <c r="J7189" t="s">
        <v>34022</v>
      </c>
      <c r="K7189" t="s">
        <v>40665</v>
      </c>
      <c r="M7189" t="s">
        <v>41335</v>
      </c>
      <c r="N7189" t="s">
        <v>44905</v>
      </c>
      <c r="O7189" t="s">
        <v>44906</v>
      </c>
      <c r="P7189">
        <v>0</v>
      </c>
      <c r="Q7189">
        <v>0</v>
      </c>
      <c r="R7189" t="s">
        <v>44910</v>
      </c>
      <c r="S7189" t="s">
        <v>45076</v>
      </c>
      <c r="T7189" t="s">
        <v>46393</v>
      </c>
      <c r="U7189" t="s">
        <v>47597</v>
      </c>
      <c r="V7189" t="s">
        <v>59153</v>
      </c>
      <c r="W7189" t="s">
        <v>41335</v>
      </c>
      <c r="X7189" t="s">
        <v>44911</v>
      </c>
    </row>
    <row r="7190" spans="1:24">
      <c r="A7190">
        <f>HYPERLINK("https://www.philgeps.gov.ph/GEPSNONPILOT/Tender/SplashBidNoticeAbstractUI.aspx?menuIndex=3&amp;refID=7073302&amp;Result=3","7073302")</f>
        <v>0</v>
      </c>
      <c r="B7190" t="s">
        <v>269</v>
      </c>
      <c r="C7190" t="s">
        <v>10372</v>
      </c>
      <c r="D7190" t="s">
        <v>18117</v>
      </c>
      <c r="E7190" t="s">
        <v>24561</v>
      </c>
      <c r="F7190" t="s">
        <v>31362</v>
      </c>
      <c r="G7190" t="s">
        <v>31369</v>
      </c>
      <c r="H7190" t="s">
        <v>15799</v>
      </c>
      <c r="I7190" t="s">
        <v>3815</v>
      </c>
      <c r="J7190" t="s">
        <v>35963</v>
      </c>
      <c r="K7190" t="s">
        <v>40666</v>
      </c>
      <c r="M7190" t="s">
        <v>41211</v>
      </c>
      <c r="N7190" t="s">
        <v>44905</v>
      </c>
      <c r="O7190" t="s">
        <v>44906</v>
      </c>
      <c r="P7190">
        <v>0</v>
      </c>
      <c r="Q7190">
        <v>0</v>
      </c>
      <c r="R7190" t="s">
        <v>44910</v>
      </c>
      <c r="S7190" t="s">
        <v>45076</v>
      </c>
      <c r="T7190" t="s">
        <v>46616</v>
      </c>
      <c r="U7190" t="s">
        <v>47376</v>
      </c>
      <c r="W7190" t="s">
        <v>41211</v>
      </c>
      <c r="X7190" t="s">
        <v>44911</v>
      </c>
    </row>
    <row r="7191" spans="1:24">
      <c r="A7191">
        <f>HYPERLINK("https://www.philgeps.gov.ph/GEPSNONPILOT/Tender/SplashBidNoticeAbstractUI.aspx?menuIndex=3&amp;refID=7073337&amp;Result=3","7073337")</f>
        <v>0</v>
      </c>
      <c r="B7191" t="s">
        <v>2181</v>
      </c>
      <c r="C7191" t="s">
        <v>10373</v>
      </c>
      <c r="D7191" t="s">
        <v>18156</v>
      </c>
      <c r="E7191" t="s">
        <v>24562</v>
      </c>
      <c r="F7191" t="s">
        <v>31362</v>
      </c>
      <c r="G7191" t="s">
        <v>31369</v>
      </c>
      <c r="H7191" t="s">
        <v>31378</v>
      </c>
      <c r="I7191" t="s">
        <v>31386</v>
      </c>
      <c r="J7191" t="s">
        <v>31726</v>
      </c>
      <c r="K7191" t="s">
        <v>40686</v>
      </c>
      <c r="M7191" t="s">
        <v>43312</v>
      </c>
      <c r="N7191" t="s">
        <v>44905</v>
      </c>
      <c r="O7191" t="s">
        <v>44906</v>
      </c>
      <c r="P7191">
        <v>0</v>
      </c>
      <c r="Q7191">
        <v>0</v>
      </c>
      <c r="R7191" t="s">
        <v>44910</v>
      </c>
      <c r="S7191" t="s">
        <v>45076</v>
      </c>
      <c r="T7191" t="s">
        <v>46392</v>
      </c>
      <c r="U7191" t="s">
        <v>52767</v>
      </c>
      <c r="W7191" t="s">
        <v>43312</v>
      </c>
      <c r="X7191" t="s">
        <v>44911</v>
      </c>
    </row>
    <row r="7192" spans="1:24">
      <c r="A7192">
        <f>HYPERLINK("https://www.philgeps.gov.ph/GEPSNONPILOT/Tender/SplashBidNoticeAbstractUI.aspx?menuIndex=3&amp;refID=7073386&amp;Result=3","7073386")</f>
        <v>0</v>
      </c>
      <c r="B7192" t="s">
        <v>2187</v>
      </c>
      <c r="C7192" t="s">
        <v>10374</v>
      </c>
      <c r="D7192" t="s">
        <v>18108</v>
      </c>
      <c r="E7192" t="s">
        <v>24563</v>
      </c>
      <c r="F7192" t="s">
        <v>31362</v>
      </c>
      <c r="G7192" t="s">
        <v>31370</v>
      </c>
      <c r="H7192" t="s">
        <v>15799</v>
      </c>
      <c r="I7192" t="s">
        <v>3815</v>
      </c>
      <c r="J7192" t="s">
        <v>33648</v>
      </c>
      <c r="K7192" t="s">
        <v>40665</v>
      </c>
      <c r="M7192" t="s">
        <v>43318</v>
      </c>
      <c r="N7192" t="s">
        <v>44905</v>
      </c>
      <c r="O7192" t="s">
        <v>44906</v>
      </c>
      <c r="P7192">
        <v>0</v>
      </c>
      <c r="Q7192">
        <v>1</v>
      </c>
      <c r="R7192" t="s">
        <v>44910</v>
      </c>
      <c r="S7192" t="s">
        <v>45076</v>
      </c>
      <c r="T7192" t="s">
        <v>46447</v>
      </c>
      <c r="U7192" t="s">
        <v>52768</v>
      </c>
      <c r="W7192" t="s">
        <v>43318</v>
      </c>
      <c r="X7192" t="s">
        <v>44911</v>
      </c>
    </row>
    <row r="7193" spans="1:24">
      <c r="A7193">
        <f>HYPERLINK("https://www.philgeps.gov.ph/GEPSNONPILOT/Tender/SplashBidNoticeAbstractUI.aspx?menuIndex=3&amp;refID=7073330&amp;Result=3","7073330")</f>
        <v>0</v>
      </c>
      <c r="B7193" t="s">
        <v>387</v>
      </c>
      <c r="C7193" t="s">
        <v>10375</v>
      </c>
      <c r="D7193" t="s">
        <v>18152</v>
      </c>
      <c r="E7193" t="s">
        <v>24564</v>
      </c>
      <c r="F7193" t="s">
        <v>31362</v>
      </c>
      <c r="G7193" t="s">
        <v>31369</v>
      </c>
      <c r="H7193" t="s">
        <v>15799</v>
      </c>
      <c r="I7193" t="s">
        <v>3815</v>
      </c>
      <c r="J7193" t="s">
        <v>35964</v>
      </c>
      <c r="K7193" t="s">
        <v>40665</v>
      </c>
      <c r="M7193" t="s">
        <v>41335</v>
      </c>
      <c r="N7193" t="s">
        <v>44905</v>
      </c>
      <c r="O7193" t="s">
        <v>44906</v>
      </c>
      <c r="P7193">
        <v>0</v>
      </c>
      <c r="Q7193">
        <v>0</v>
      </c>
      <c r="R7193" t="s">
        <v>44910</v>
      </c>
      <c r="S7193" t="s">
        <v>45076</v>
      </c>
      <c r="T7193" t="s">
        <v>46393</v>
      </c>
      <c r="U7193" t="s">
        <v>47597</v>
      </c>
      <c r="V7193" t="s">
        <v>59153</v>
      </c>
      <c r="W7193" t="s">
        <v>41335</v>
      </c>
      <c r="X7193" t="s">
        <v>44911</v>
      </c>
    </row>
    <row r="7194" spans="1:24">
      <c r="A7194">
        <f>HYPERLINK("https://www.philgeps.gov.ph/GEPSNONPILOT/Tender/SplashBidNoticeAbstractUI.aspx?menuIndex=3&amp;refID=7073391&amp;Result=3","7073391")</f>
        <v>0</v>
      </c>
      <c r="B7194" t="s">
        <v>2188</v>
      </c>
      <c r="C7194" t="s">
        <v>10376</v>
      </c>
      <c r="D7194" t="s">
        <v>18119</v>
      </c>
      <c r="E7194" t="s">
        <v>24565</v>
      </c>
      <c r="F7194" t="s">
        <v>31362</v>
      </c>
      <c r="G7194" t="s">
        <v>31369</v>
      </c>
      <c r="H7194" t="s">
        <v>15799</v>
      </c>
      <c r="I7194" t="s">
        <v>31409</v>
      </c>
      <c r="J7194" t="s">
        <v>34670</v>
      </c>
      <c r="K7194" t="s">
        <v>40666</v>
      </c>
      <c r="M7194" t="s">
        <v>43319</v>
      </c>
      <c r="N7194" t="s">
        <v>44905</v>
      </c>
      <c r="O7194" t="s">
        <v>44906</v>
      </c>
      <c r="P7194">
        <v>0</v>
      </c>
      <c r="Q7194">
        <v>2</v>
      </c>
      <c r="R7194" t="s">
        <v>44910</v>
      </c>
      <c r="S7194" t="s">
        <v>45076</v>
      </c>
      <c r="T7194" t="s">
        <v>46671</v>
      </c>
      <c r="U7194" t="s">
        <v>52769</v>
      </c>
      <c r="W7194" t="s">
        <v>43319</v>
      </c>
      <c r="X7194" t="s">
        <v>44911</v>
      </c>
    </row>
    <row r="7195" spans="1:24">
      <c r="A7195">
        <f>HYPERLINK("https://www.philgeps.gov.ph/GEPSNONPILOT/Tender/SplashBidNoticeAbstractUI.aspx?menuIndex=3&amp;refID=7073390&amp;Result=3","7073390")</f>
        <v>0</v>
      </c>
      <c r="B7195" t="s">
        <v>2189</v>
      </c>
      <c r="C7195" t="s">
        <v>10377</v>
      </c>
      <c r="D7195" t="s">
        <v>18106</v>
      </c>
      <c r="E7195" t="s">
        <v>18952</v>
      </c>
      <c r="F7195" t="s">
        <v>31362</v>
      </c>
      <c r="G7195" t="s">
        <v>31369</v>
      </c>
      <c r="H7195" t="s">
        <v>15799</v>
      </c>
      <c r="I7195" t="s">
        <v>31409</v>
      </c>
      <c r="J7195" t="s">
        <v>31542</v>
      </c>
      <c r="K7195" t="s">
        <v>40680</v>
      </c>
      <c r="M7195" t="s">
        <v>43320</v>
      </c>
      <c r="N7195" t="s">
        <v>44905</v>
      </c>
      <c r="O7195" t="s">
        <v>44906</v>
      </c>
      <c r="P7195">
        <v>0</v>
      </c>
      <c r="Q7195">
        <v>6</v>
      </c>
      <c r="R7195" t="s">
        <v>44910</v>
      </c>
      <c r="S7195" t="s">
        <v>45076</v>
      </c>
      <c r="T7195" t="s">
        <v>46416</v>
      </c>
      <c r="U7195" t="s">
        <v>52770</v>
      </c>
      <c r="W7195" t="s">
        <v>43320</v>
      </c>
      <c r="X7195" t="s">
        <v>44911</v>
      </c>
    </row>
    <row r="7196" spans="1:24">
      <c r="A7196">
        <f>HYPERLINK("https://www.philgeps.gov.ph/GEPSNONPILOT/Tender/SplashBidNoticeAbstractUI.aspx?menuIndex=3&amp;refID=7073389&amp;Result=3","7073389")</f>
        <v>0</v>
      </c>
      <c r="B7196" t="s">
        <v>317</v>
      </c>
      <c r="C7196" t="s">
        <v>10378</v>
      </c>
      <c r="D7196" t="s">
        <v>18165</v>
      </c>
      <c r="E7196" t="s">
        <v>24566</v>
      </c>
      <c r="F7196" t="s">
        <v>31362</v>
      </c>
      <c r="G7196" t="s">
        <v>31368</v>
      </c>
      <c r="H7196" t="s">
        <v>15799</v>
      </c>
      <c r="I7196" t="s">
        <v>3815</v>
      </c>
      <c r="J7196" t="s">
        <v>35965</v>
      </c>
      <c r="K7196" t="s">
        <v>40665</v>
      </c>
      <c r="M7196" t="s">
        <v>41262</v>
      </c>
      <c r="N7196" t="s">
        <v>44905</v>
      </c>
      <c r="O7196" t="s">
        <v>44906</v>
      </c>
      <c r="P7196">
        <v>0</v>
      </c>
      <c r="Q7196">
        <v>0</v>
      </c>
      <c r="R7196" t="s">
        <v>44910</v>
      </c>
      <c r="S7196" t="s">
        <v>45076</v>
      </c>
      <c r="T7196" t="s">
        <v>46394</v>
      </c>
      <c r="U7196" t="s">
        <v>52771</v>
      </c>
      <c r="W7196" t="s">
        <v>60846</v>
      </c>
      <c r="X7196" t="s">
        <v>44911</v>
      </c>
    </row>
    <row r="7197" spans="1:24">
      <c r="A7197">
        <f>HYPERLINK("https://www.philgeps.gov.ph/GEPSNONPILOT/Tender/SplashBidNoticeAbstractUI.aspx?menuIndex=3&amp;refID=7073375&amp;Result=3","7073375")</f>
        <v>0</v>
      </c>
      <c r="B7197" t="s">
        <v>2190</v>
      </c>
      <c r="C7197" t="s">
        <v>10379</v>
      </c>
      <c r="D7197" t="s">
        <v>18131</v>
      </c>
      <c r="E7197" t="s">
        <v>24567</v>
      </c>
      <c r="F7197" t="s">
        <v>31362</v>
      </c>
      <c r="G7197" t="s">
        <v>31369</v>
      </c>
      <c r="H7197" t="s">
        <v>31379</v>
      </c>
      <c r="I7197" t="s">
        <v>31441</v>
      </c>
      <c r="J7197" t="s">
        <v>35966</v>
      </c>
      <c r="K7197" t="s">
        <v>40676</v>
      </c>
      <c r="M7197" t="s">
        <v>43321</v>
      </c>
      <c r="N7197" t="s">
        <v>44905</v>
      </c>
      <c r="O7197" t="s">
        <v>44906</v>
      </c>
      <c r="P7197">
        <v>0</v>
      </c>
      <c r="Q7197">
        <v>1</v>
      </c>
      <c r="R7197" t="s">
        <v>44910</v>
      </c>
      <c r="S7197" t="s">
        <v>45076</v>
      </c>
      <c r="T7197" t="s">
        <v>46508</v>
      </c>
      <c r="U7197" t="s">
        <v>52772</v>
      </c>
      <c r="V7197" t="s">
        <v>59773</v>
      </c>
      <c r="W7197" t="s">
        <v>43321</v>
      </c>
      <c r="X7197" t="s">
        <v>44911</v>
      </c>
    </row>
    <row r="7198" spans="1:24">
      <c r="A7198">
        <f>HYPERLINK("https://www.philgeps.gov.ph/GEPSNONPILOT/Tender/SplashBidNoticeAbstractUI.aspx?menuIndex=3&amp;refID=7073368&amp;Result=3","7073368")</f>
        <v>0</v>
      </c>
      <c r="B7198" t="s">
        <v>622</v>
      </c>
      <c r="C7198" t="s">
        <v>10380</v>
      </c>
      <c r="D7198" t="s">
        <v>18108</v>
      </c>
      <c r="E7198" t="s">
        <v>24568</v>
      </c>
      <c r="F7198" t="s">
        <v>31362</v>
      </c>
      <c r="G7198" t="s">
        <v>31373</v>
      </c>
      <c r="H7198" t="s">
        <v>15799</v>
      </c>
      <c r="I7198" t="s">
        <v>31476</v>
      </c>
      <c r="J7198" t="s">
        <v>35967</v>
      </c>
      <c r="K7198" t="s">
        <v>40686</v>
      </c>
      <c r="M7198" t="s">
        <v>42973</v>
      </c>
      <c r="N7198" t="s">
        <v>44905</v>
      </c>
      <c r="O7198" t="s">
        <v>44906</v>
      </c>
      <c r="Q7198">
        <v>26</v>
      </c>
      <c r="R7198" t="s">
        <v>44910</v>
      </c>
      <c r="S7198" t="s">
        <v>45083</v>
      </c>
      <c r="T7198" t="s">
        <v>46573</v>
      </c>
      <c r="U7198" t="s">
        <v>52773</v>
      </c>
      <c r="W7198" t="s">
        <v>42973</v>
      </c>
      <c r="X7198" t="s">
        <v>44911</v>
      </c>
    </row>
    <row r="7199" spans="1:24">
      <c r="A7199">
        <f>HYPERLINK("https://www.philgeps.gov.ph/GEPSNONPILOT/Tender/SplashBidNoticeAbstractUI.aspx?menuIndex=3&amp;refID=7073367&amp;Result=3","7073367")</f>
        <v>0</v>
      </c>
      <c r="B7199" t="s">
        <v>2191</v>
      </c>
      <c r="C7199" t="s">
        <v>10381</v>
      </c>
      <c r="D7199" t="s">
        <v>18106</v>
      </c>
      <c r="E7199" t="s">
        <v>18919</v>
      </c>
      <c r="F7199" t="s">
        <v>31362</v>
      </c>
      <c r="G7199" t="s">
        <v>31369</v>
      </c>
      <c r="H7199" t="s">
        <v>15799</v>
      </c>
      <c r="I7199" t="s">
        <v>31399</v>
      </c>
      <c r="J7199" t="s">
        <v>31765</v>
      </c>
      <c r="K7199" t="s">
        <v>40661</v>
      </c>
      <c r="M7199" t="s">
        <v>43322</v>
      </c>
      <c r="N7199" t="s">
        <v>44905</v>
      </c>
      <c r="O7199" t="s">
        <v>44906</v>
      </c>
      <c r="P7199">
        <v>0</v>
      </c>
      <c r="Q7199">
        <v>4</v>
      </c>
      <c r="R7199" t="s">
        <v>44910</v>
      </c>
      <c r="S7199" t="s">
        <v>45076</v>
      </c>
      <c r="T7199" t="s">
        <v>46393</v>
      </c>
      <c r="U7199" t="s">
        <v>52774</v>
      </c>
      <c r="W7199" t="s">
        <v>43322</v>
      </c>
      <c r="X7199" t="s">
        <v>44911</v>
      </c>
    </row>
    <row r="7200" spans="1:24">
      <c r="A7200">
        <f>HYPERLINK("https://www.philgeps.gov.ph/GEPSNONPILOT/Tender/SplashBidNoticeAbstractUI.aspx?menuIndex=3&amp;refID=7073382&amp;Result=3","7073382")</f>
        <v>0</v>
      </c>
      <c r="B7200" t="s">
        <v>424</v>
      </c>
      <c r="C7200" t="s">
        <v>10382</v>
      </c>
      <c r="D7200" t="s">
        <v>18168</v>
      </c>
      <c r="E7200" t="s">
        <v>24569</v>
      </c>
      <c r="F7200" t="s">
        <v>31362</v>
      </c>
      <c r="G7200" t="s">
        <v>31369</v>
      </c>
      <c r="H7200" t="s">
        <v>15799</v>
      </c>
      <c r="I7200" t="s">
        <v>31413</v>
      </c>
      <c r="J7200" t="s">
        <v>31542</v>
      </c>
      <c r="K7200" t="s">
        <v>40679</v>
      </c>
      <c r="M7200" t="s">
        <v>43301</v>
      </c>
      <c r="N7200" t="s">
        <v>44905</v>
      </c>
      <c r="O7200" t="s">
        <v>44906</v>
      </c>
      <c r="P7200">
        <v>0</v>
      </c>
      <c r="Q7200">
        <v>9</v>
      </c>
      <c r="R7200" t="s">
        <v>44910</v>
      </c>
      <c r="S7200" t="s">
        <v>45076</v>
      </c>
      <c r="T7200" t="s">
        <v>46450</v>
      </c>
      <c r="U7200" t="s">
        <v>52775</v>
      </c>
      <c r="W7200" t="s">
        <v>43301</v>
      </c>
      <c r="X7200" t="s">
        <v>44911</v>
      </c>
    </row>
    <row r="7201" spans="1:24">
      <c r="A7201">
        <f>HYPERLINK("https://www.philgeps.gov.ph/GEPSNONPILOT/Tender/SplashBidNoticeAbstractUI.aspx?menuIndex=3&amp;refID=7073363&amp;Result=3","7073363")</f>
        <v>0</v>
      </c>
      <c r="B7201" t="s">
        <v>2181</v>
      </c>
      <c r="C7201" t="s">
        <v>10383</v>
      </c>
      <c r="D7201" t="s">
        <v>18156</v>
      </c>
      <c r="E7201" t="s">
        <v>24570</v>
      </c>
      <c r="F7201" t="s">
        <v>31362</v>
      </c>
      <c r="G7201" t="s">
        <v>31369</v>
      </c>
      <c r="H7201" t="s">
        <v>31378</v>
      </c>
      <c r="I7201" t="s">
        <v>31386</v>
      </c>
      <c r="J7201" t="s">
        <v>35968</v>
      </c>
      <c r="K7201" t="s">
        <v>40686</v>
      </c>
      <c r="M7201" t="s">
        <v>43312</v>
      </c>
      <c r="N7201" t="s">
        <v>44905</v>
      </c>
      <c r="O7201" t="s">
        <v>44906</v>
      </c>
      <c r="P7201">
        <v>0</v>
      </c>
      <c r="Q7201">
        <v>1</v>
      </c>
      <c r="R7201" t="s">
        <v>44910</v>
      </c>
      <c r="S7201" t="s">
        <v>45076</v>
      </c>
      <c r="T7201" t="s">
        <v>46392</v>
      </c>
      <c r="U7201" t="s">
        <v>52776</v>
      </c>
      <c r="W7201" t="s">
        <v>43312</v>
      </c>
      <c r="X7201" t="s">
        <v>44911</v>
      </c>
    </row>
    <row r="7202" spans="1:24">
      <c r="A7202">
        <f>HYPERLINK("https://www.philgeps.gov.ph/GEPSNONPILOT/Tender/SplashBidNoticeAbstractUI.aspx?menuIndex=3&amp;refID=7073358&amp;Result=3","7073358")</f>
        <v>0</v>
      </c>
      <c r="B7202" t="s">
        <v>2187</v>
      </c>
      <c r="C7202" t="s">
        <v>10384</v>
      </c>
      <c r="D7202" t="s">
        <v>18108</v>
      </c>
      <c r="E7202" t="s">
        <v>24571</v>
      </c>
      <c r="F7202" t="s">
        <v>31362</v>
      </c>
      <c r="G7202" t="s">
        <v>31370</v>
      </c>
      <c r="H7202" t="s">
        <v>15799</v>
      </c>
      <c r="I7202" t="s">
        <v>3815</v>
      </c>
      <c r="J7202" t="s">
        <v>35969</v>
      </c>
      <c r="K7202" t="s">
        <v>40665</v>
      </c>
      <c r="M7202" t="s">
        <v>43318</v>
      </c>
      <c r="N7202" t="s">
        <v>44905</v>
      </c>
      <c r="O7202" t="s">
        <v>44906</v>
      </c>
      <c r="P7202">
        <v>0</v>
      </c>
      <c r="Q7202">
        <v>0</v>
      </c>
      <c r="R7202" t="s">
        <v>44910</v>
      </c>
      <c r="S7202" t="s">
        <v>45076</v>
      </c>
      <c r="T7202" t="s">
        <v>46447</v>
      </c>
      <c r="U7202" t="s">
        <v>52777</v>
      </c>
      <c r="W7202" t="s">
        <v>43318</v>
      </c>
      <c r="X7202" t="s">
        <v>44911</v>
      </c>
    </row>
    <row r="7203" spans="1:24">
      <c r="A7203">
        <f>HYPERLINK("https://www.philgeps.gov.ph/GEPSNONPILOT/Tender/SplashBidNoticeAbstractUI.aspx?menuIndex=3&amp;refID=7073366&amp;Result=3","7073366")</f>
        <v>0</v>
      </c>
      <c r="B7203" t="s">
        <v>1299</v>
      </c>
      <c r="C7203" t="s">
        <v>10385</v>
      </c>
      <c r="D7203" t="s">
        <v>18160</v>
      </c>
      <c r="E7203" t="s">
        <v>24572</v>
      </c>
      <c r="F7203" t="s">
        <v>31362</v>
      </c>
      <c r="G7203" t="s">
        <v>31369</v>
      </c>
      <c r="H7203" t="s">
        <v>31378</v>
      </c>
      <c r="I7203" t="s">
        <v>31386</v>
      </c>
      <c r="J7203" t="s">
        <v>35450</v>
      </c>
      <c r="K7203" t="s">
        <v>40826</v>
      </c>
      <c r="M7203" t="s">
        <v>42317</v>
      </c>
      <c r="N7203" t="s">
        <v>44905</v>
      </c>
      <c r="O7203" t="s">
        <v>44906</v>
      </c>
      <c r="P7203">
        <v>0</v>
      </c>
      <c r="Q7203">
        <v>0</v>
      </c>
      <c r="R7203" t="s">
        <v>44910</v>
      </c>
      <c r="S7203" t="s">
        <v>45076</v>
      </c>
      <c r="T7203" t="s">
        <v>46749</v>
      </c>
      <c r="U7203" t="s">
        <v>52778</v>
      </c>
      <c r="W7203" t="s">
        <v>42317</v>
      </c>
      <c r="X7203" t="s">
        <v>44911</v>
      </c>
    </row>
    <row r="7204" spans="1:24">
      <c r="A7204">
        <f>HYPERLINK("https://www.philgeps.gov.ph/GEPSNONPILOT/Tender/SplashBidNoticeAbstractUI.aspx?menuIndex=3&amp;refID=7073361&amp;Result=3","7073361")</f>
        <v>0</v>
      </c>
      <c r="B7204" t="s">
        <v>116</v>
      </c>
      <c r="C7204" t="s">
        <v>10386</v>
      </c>
      <c r="D7204" t="s">
        <v>18141</v>
      </c>
      <c r="E7204" t="s">
        <v>24573</v>
      </c>
      <c r="F7204" t="s">
        <v>31362</v>
      </c>
      <c r="G7204" t="s">
        <v>31369</v>
      </c>
      <c r="H7204" t="s">
        <v>15799</v>
      </c>
      <c r="I7204" t="s">
        <v>31450</v>
      </c>
      <c r="J7204" t="s">
        <v>35970</v>
      </c>
      <c r="K7204" t="s">
        <v>40665</v>
      </c>
      <c r="M7204" t="s">
        <v>41053</v>
      </c>
      <c r="N7204" t="s">
        <v>44905</v>
      </c>
      <c r="O7204" t="s">
        <v>44906</v>
      </c>
      <c r="P7204">
        <v>0</v>
      </c>
      <c r="Q7204">
        <v>1</v>
      </c>
      <c r="R7204" t="s">
        <v>44910</v>
      </c>
      <c r="S7204" t="s">
        <v>45076</v>
      </c>
      <c r="T7204" t="s">
        <v>46438</v>
      </c>
      <c r="U7204" t="s">
        <v>52619</v>
      </c>
      <c r="W7204" t="s">
        <v>41053</v>
      </c>
      <c r="X7204" t="s">
        <v>44911</v>
      </c>
    </row>
    <row r="7205" spans="1:24">
      <c r="A7205">
        <f>HYPERLINK("https://www.philgeps.gov.ph/GEPSNONPILOT/Tender/SplashBidNoticeAbstractUI.aspx?menuIndex=3&amp;refID=7073336&amp;Result=3","7073336")</f>
        <v>0</v>
      </c>
      <c r="B7205" t="s">
        <v>575</v>
      </c>
      <c r="C7205" t="s">
        <v>10387</v>
      </c>
      <c r="D7205" t="s">
        <v>18108</v>
      </c>
      <c r="E7205" t="s">
        <v>24574</v>
      </c>
      <c r="F7205" t="s">
        <v>31362</v>
      </c>
      <c r="G7205" t="s">
        <v>31369</v>
      </c>
      <c r="H7205" t="s">
        <v>15799</v>
      </c>
      <c r="I7205" t="s">
        <v>31409</v>
      </c>
      <c r="J7205" t="s">
        <v>35971</v>
      </c>
      <c r="K7205" t="s">
        <v>40665</v>
      </c>
      <c r="M7205" t="s">
        <v>41531</v>
      </c>
      <c r="N7205" t="s">
        <v>44905</v>
      </c>
      <c r="O7205" t="s">
        <v>44906</v>
      </c>
      <c r="P7205">
        <v>0</v>
      </c>
      <c r="Q7205">
        <v>4</v>
      </c>
      <c r="R7205" t="s">
        <v>44910</v>
      </c>
      <c r="S7205" t="s">
        <v>45076</v>
      </c>
      <c r="T7205" t="s">
        <v>46671</v>
      </c>
      <c r="U7205" t="s">
        <v>52779</v>
      </c>
      <c r="W7205" t="s">
        <v>41531</v>
      </c>
      <c r="X7205" t="s">
        <v>44911</v>
      </c>
    </row>
    <row r="7206" spans="1:24">
      <c r="A7206">
        <f>HYPERLINK("https://www.philgeps.gov.ph/GEPSNONPILOT/Tender/SplashBidNoticeAbstractUI.aspx?menuIndex=3&amp;refID=7073448&amp;Result=3","7073448")</f>
        <v>0</v>
      </c>
      <c r="B7206" t="s">
        <v>2181</v>
      </c>
      <c r="C7206" t="s">
        <v>10388</v>
      </c>
      <c r="D7206" t="s">
        <v>18156</v>
      </c>
      <c r="E7206" t="s">
        <v>24575</v>
      </c>
      <c r="F7206" t="s">
        <v>31362</v>
      </c>
      <c r="G7206" t="s">
        <v>31369</v>
      </c>
      <c r="H7206" t="s">
        <v>31378</v>
      </c>
      <c r="I7206" t="s">
        <v>31386</v>
      </c>
      <c r="J7206" t="s">
        <v>34081</v>
      </c>
      <c r="K7206" t="s">
        <v>40686</v>
      </c>
      <c r="M7206" t="s">
        <v>43312</v>
      </c>
      <c r="N7206" t="s">
        <v>44905</v>
      </c>
      <c r="O7206" t="s">
        <v>44906</v>
      </c>
      <c r="P7206">
        <v>0</v>
      </c>
      <c r="Q7206">
        <v>3</v>
      </c>
      <c r="R7206" t="s">
        <v>44910</v>
      </c>
      <c r="S7206" t="s">
        <v>45076</v>
      </c>
      <c r="T7206" t="s">
        <v>46392</v>
      </c>
      <c r="U7206" t="s">
        <v>52776</v>
      </c>
      <c r="W7206" t="s">
        <v>43312</v>
      </c>
      <c r="X7206" t="s">
        <v>44911</v>
      </c>
    </row>
    <row r="7207" spans="1:24">
      <c r="A7207">
        <f>HYPERLINK("https://www.philgeps.gov.ph/GEPSNONPILOT/Tender/SplashBidNoticeAbstractUI.aspx?menuIndex=3&amp;refID=7073441&amp;Result=3","7073441")</f>
        <v>0</v>
      </c>
      <c r="B7207" t="s">
        <v>1647</v>
      </c>
      <c r="C7207" t="s">
        <v>10389</v>
      </c>
      <c r="D7207" t="s">
        <v>18123</v>
      </c>
      <c r="E7207" t="s">
        <v>24576</v>
      </c>
      <c r="F7207" t="s">
        <v>31362</v>
      </c>
      <c r="G7207" t="s">
        <v>31369</v>
      </c>
      <c r="H7207" t="s">
        <v>15799</v>
      </c>
      <c r="I7207" t="s">
        <v>31385</v>
      </c>
      <c r="J7207" t="s">
        <v>35972</v>
      </c>
      <c r="K7207" t="s">
        <v>40666</v>
      </c>
      <c r="M7207" t="s">
        <v>43265</v>
      </c>
      <c r="N7207" t="s">
        <v>44905</v>
      </c>
      <c r="O7207" t="s">
        <v>44906</v>
      </c>
      <c r="P7207">
        <v>0</v>
      </c>
      <c r="Q7207">
        <v>2</v>
      </c>
      <c r="R7207" t="s">
        <v>44910</v>
      </c>
      <c r="S7207" t="s">
        <v>45076</v>
      </c>
      <c r="T7207" t="s">
        <v>46426</v>
      </c>
      <c r="U7207" t="s">
        <v>52780</v>
      </c>
      <c r="V7207" t="s">
        <v>59534</v>
      </c>
      <c r="W7207" t="s">
        <v>43265</v>
      </c>
      <c r="X7207" t="s">
        <v>44911</v>
      </c>
    </row>
    <row r="7208" spans="1:24">
      <c r="A7208">
        <f>HYPERLINK("https://www.philgeps.gov.ph/GEPSNONPILOT/Tender/SplashBidNoticeAbstractUI.aspx?menuIndex=3&amp;refID=7073435&amp;Result=3","7073435")</f>
        <v>0</v>
      </c>
      <c r="B7208" t="s">
        <v>2187</v>
      </c>
      <c r="C7208" t="s">
        <v>10390</v>
      </c>
      <c r="D7208" t="s">
        <v>18108</v>
      </c>
      <c r="E7208" t="s">
        <v>24577</v>
      </c>
      <c r="F7208" t="s">
        <v>31362</v>
      </c>
      <c r="G7208" t="s">
        <v>31370</v>
      </c>
      <c r="H7208" t="s">
        <v>15799</v>
      </c>
      <c r="I7208" t="s">
        <v>3815</v>
      </c>
      <c r="J7208" t="s">
        <v>35973</v>
      </c>
      <c r="K7208" t="s">
        <v>40665</v>
      </c>
      <c r="M7208" t="s">
        <v>43318</v>
      </c>
      <c r="N7208" t="s">
        <v>44905</v>
      </c>
      <c r="O7208" t="s">
        <v>44906</v>
      </c>
      <c r="P7208">
        <v>0</v>
      </c>
      <c r="Q7208">
        <v>0</v>
      </c>
      <c r="R7208" t="s">
        <v>44910</v>
      </c>
      <c r="S7208" t="s">
        <v>45076</v>
      </c>
      <c r="T7208" t="s">
        <v>46447</v>
      </c>
      <c r="U7208" t="s">
        <v>52781</v>
      </c>
      <c r="W7208" t="s">
        <v>43318</v>
      </c>
      <c r="X7208" t="s">
        <v>44911</v>
      </c>
    </row>
    <row r="7209" spans="1:24">
      <c r="A7209">
        <f>HYPERLINK("https://www.philgeps.gov.ph/GEPSNONPILOT/Tender/SplashBidNoticeAbstractUI.aspx?menuIndex=3&amp;refID=7073434&amp;Result=3","7073434")</f>
        <v>0</v>
      </c>
      <c r="B7209" t="s">
        <v>2192</v>
      </c>
      <c r="C7209" t="s">
        <v>10391</v>
      </c>
      <c r="D7209" t="s">
        <v>18109</v>
      </c>
      <c r="E7209" t="s">
        <v>24578</v>
      </c>
      <c r="F7209" t="s">
        <v>31362</v>
      </c>
      <c r="G7209" t="s">
        <v>31368</v>
      </c>
      <c r="H7209" t="s">
        <v>15799</v>
      </c>
      <c r="I7209" t="s">
        <v>31424</v>
      </c>
      <c r="J7209" t="s">
        <v>31843</v>
      </c>
      <c r="K7209" t="s">
        <v>40673</v>
      </c>
      <c r="M7209" t="s">
        <v>43323</v>
      </c>
      <c r="N7209" t="s">
        <v>44905</v>
      </c>
      <c r="O7209" t="s">
        <v>44906</v>
      </c>
      <c r="P7209">
        <v>0</v>
      </c>
      <c r="Q7209">
        <v>0</v>
      </c>
      <c r="R7209" t="s">
        <v>44910</v>
      </c>
      <c r="S7209" t="s">
        <v>45076</v>
      </c>
      <c r="T7209" t="s">
        <v>46467</v>
      </c>
      <c r="U7209" t="s">
        <v>52782</v>
      </c>
      <c r="W7209" t="s">
        <v>43323</v>
      </c>
      <c r="X7209" t="s">
        <v>44911</v>
      </c>
    </row>
    <row r="7210" spans="1:24">
      <c r="A7210">
        <f>HYPERLINK("https://www.philgeps.gov.ph/GEPSNONPILOT/Tender/SplashBidNoticeAbstractUI.aspx?menuIndex=3&amp;refID=7073431&amp;Result=3","7073431")</f>
        <v>0</v>
      </c>
      <c r="B7210" t="s">
        <v>2193</v>
      </c>
      <c r="C7210" t="s">
        <v>10392</v>
      </c>
      <c r="D7210" t="s">
        <v>18107</v>
      </c>
      <c r="E7210" t="s">
        <v>18232</v>
      </c>
      <c r="F7210" t="s">
        <v>31362</v>
      </c>
      <c r="G7210" t="s">
        <v>31368</v>
      </c>
      <c r="H7210" t="s">
        <v>15799</v>
      </c>
      <c r="I7210" t="s">
        <v>6155</v>
      </c>
      <c r="J7210" t="s">
        <v>35974</v>
      </c>
      <c r="K7210" t="s">
        <v>40661</v>
      </c>
      <c r="M7210" t="s">
        <v>43324</v>
      </c>
      <c r="N7210" t="s">
        <v>44905</v>
      </c>
      <c r="O7210" t="s">
        <v>44906</v>
      </c>
      <c r="P7210">
        <v>0</v>
      </c>
      <c r="Q7210">
        <v>2</v>
      </c>
      <c r="R7210" t="s">
        <v>44910</v>
      </c>
      <c r="S7210" t="s">
        <v>45076</v>
      </c>
      <c r="T7210" t="s">
        <v>46454</v>
      </c>
      <c r="U7210" t="s">
        <v>52783</v>
      </c>
      <c r="V7210" t="s">
        <v>59774</v>
      </c>
      <c r="W7210" t="s">
        <v>43324</v>
      </c>
      <c r="X7210" t="s">
        <v>44911</v>
      </c>
    </row>
    <row r="7211" spans="1:24">
      <c r="A7211">
        <f>HYPERLINK("https://www.philgeps.gov.ph/GEPSNONPILOT/Tender/SplashBidNoticeAbstractUI.aspx?menuIndex=3&amp;refID=7073383&amp;Result=3","7073383")</f>
        <v>0</v>
      </c>
      <c r="B7211" t="s">
        <v>2194</v>
      </c>
      <c r="C7211" t="s">
        <v>10393</v>
      </c>
      <c r="D7211" t="s">
        <v>18154</v>
      </c>
      <c r="E7211" t="s">
        <v>24579</v>
      </c>
      <c r="F7211" t="s">
        <v>31362</v>
      </c>
      <c r="G7211" t="s">
        <v>31369</v>
      </c>
      <c r="H7211" t="s">
        <v>15799</v>
      </c>
      <c r="I7211" t="s">
        <v>3815</v>
      </c>
      <c r="J7211" t="s">
        <v>35975</v>
      </c>
      <c r="K7211" t="s">
        <v>40661</v>
      </c>
      <c r="M7211" t="s">
        <v>43325</v>
      </c>
      <c r="N7211" t="s">
        <v>44905</v>
      </c>
      <c r="O7211" t="s">
        <v>44906</v>
      </c>
      <c r="P7211">
        <v>0</v>
      </c>
      <c r="Q7211">
        <v>0</v>
      </c>
      <c r="R7211" t="s">
        <v>44910</v>
      </c>
      <c r="S7211" t="s">
        <v>45076</v>
      </c>
      <c r="T7211" t="s">
        <v>46620</v>
      </c>
      <c r="U7211" t="s">
        <v>52784</v>
      </c>
      <c r="W7211" t="s">
        <v>43325</v>
      </c>
      <c r="X7211" t="s">
        <v>44911</v>
      </c>
    </row>
    <row r="7212" spans="1:24">
      <c r="A7212">
        <f>HYPERLINK("https://www.philgeps.gov.ph/GEPSNONPILOT/Tender/SplashBidNoticeAbstractUI.aspx?menuIndex=3&amp;refID=7073429&amp;Result=3","7073429")</f>
        <v>0</v>
      </c>
      <c r="B7212" t="s">
        <v>991</v>
      </c>
      <c r="C7212" t="s">
        <v>10394</v>
      </c>
      <c r="D7212" t="s">
        <v>18132</v>
      </c>
      <c r="E7212" t="s">
        <v>24580</v>
      </c>
      <c r="F7212" t="s">
        <v>31362</v>
      </c>
      <c r="G7212" t="s">
        <v>31369</v>
      </c>
      <c r="H7212" t="s">
        <v>31378</v>
      </c>
      <c r="I7212" t="s">
        <v>31386</v>
      </c>
      <c r="J7212" t="s">
        <v>35976</v>
      </c>
      <c r="K7212" t="s">
        <v>40814</v>
      </c>
      <c r="M7212" t="s">
        <v>41985</v>
      </c>
      <c r="N7212" t="s">
        <v>44905</v>
      </c>
      <c r="O7212" t="s">
        <v>44906</v>
      </c>
      <c r="P7212">
        <v>0</v>
      </c>
      <c r="Q7212">
        <v>0</v>
      </c>
      <c r="R7212" t="s">
        <v>44910</v>
      </c>
      <c r="S7212" t="s">
        <v>45076</v>
      </c>
      <c r="T7212" t="s">
        <v>46741</v>
      </c>
      <c r="U7212" t="s">
        <v>52785</v>
      </c>
      <c r="W7212" t="s">
        <v>41985</v>
      </c>
      <c r="X7212" t="s">
        <v>44911</v>
      </c>
    </row>
    <row r="7213" spans="1:24">
      <c r="A7213">
        <f>HYPERLINK("https://www.philgeps.gov.ph/GEPSNONPILOT/Tender/SplashBidNoticeAbstractUI.aspx?menuIndex=3&amp;refID=7073453&amp;Result=3","7073453")</f>
        <v>0</v>
      </c>
      <c r="B7213" t="s">
        <v>180</v>
      </c>
      <c r="C7213" t="s">
        <v>10395</v>
      </c>
      <c r="D7213" t="s">
        <v>18112</v>
      </c>
      <c r="E7213" t="s">
        <v>24581</v>
      </c>
      <c r="F7213" t="s">
        <v>31362</v>
      </c>
      <c r="G7213" t="s">
        <v>31368</v>
      </c>
      <c r="H7213" t="s">
        <v>15799</v>
      </c>
      <c r="I7213" t="s">
        <v>31386</v>
      </c>
      <c r="J7213" t="s">
        <v>35977</v>
      </c>
      <c r="K7213" t="s">
        <v>40680</v>
      </c>
      <c r="M7213" t="s">
        <v>41118</v>
      </c>
      <c r="N7213" t="s">
        <v>44905</v>
      </c>
      <c r="O7213" t="s">
        <v>44906</v>
      </c>
      <c r="P7213">
        <v>0</v>
      </c>
      <c r="Q7213">
        <v>0</v>
      </c>
      <c r="R7213" t="s">
        <v>44910</v>
      </c>
      <c r="S7213" t="s">
        <v>45076</v>
      </c>
      <c r="T7213" t="s">
        <v>46410</v>
      </c>
      <c r="U7213" t="s">
        <v>52786</v>
      </c>
      <c r="W7213" t="s">
        <v>41118</v>
      </c>
      <c r="X7213" t="s">
        <v>44911</v>
      </c>
    </row>
    <row r="7214" spans="1:24">
      <c r="A7214">
        <f>HYPERLINK("https://www.philgeps.gov.ph/GEPSNONPILOT/Tender/SplashBidNoticeAbstractUI.aspx?menuIndex=3&amp;refID=7073420&amp;Result=3","7073420")</f>
        <v>0</v>
      </c>
      <c r="B7214" t="s">
        <v>487</v>
      </c>
      <c r="C7214" t="s">
        <v>10396</v>
      </c>
      <c r="E7214" t="s">
        <v>24582</v>
      </c>
      <c r="F7214" t="s">
        <v>31362</v>
      </c>
      <c r="G7214" t="s">
        <v>31372</v>
      </c>
      <c r="H7214" t="s">
        <v>15799</v>
      </c>
      <c r="I7214" t="s">
        <v>31414</v>
      </c>
      <c r="J7214" t="s">
        <v>35978</v>
      </c>
      <c r="K7214" t="s">
        <v>40662</v>
      </c>
      <c r="M7214" t="s">
        <v>41442</v>
      </c>
      <c r="N7214" t="s">
        <v>44905</v>
      </c>
      <c r="O7214" t="s">
        <v>44906</v>
      </c>
      <c r="P7214">
        <v>0</v>
      </c>
      <c r="Q7214">
        <v>4</v>
      </c>
      <c r="R7214" t="s">
        <v>44910</v>
      </c>
      <c r="S7214" t="s">
        <v>45076</v>
      </c>
      <c r="T7214" t="s">
        <v>46410</v>
      </c>
      <c r="U7214" t="s">
        <v>52787</v>
      </c>
      <c r="W7214" t="s">
        <v>41442</v>
      </c>
      <c r="X7214" t="s">
        <v>44911</v>
      </c>
    </row>
    <row r="7215" spans="1:24">
      <c r="A7215">
        <f>HYPERLINK("https://www.philgeps.gov.ph/GEPSNONPILOT/Tender/SplashBidNoticeAbstractUI.aspx?menuIndex=3&amp;refID=7073457&amp;Result=3","7073457")</f>
        <v>0</v>
      </c>
      <c r="B7215" t="s">
        <v>1744</v>
      </c>
      <c r="C7215" t="s">
        <v>10397</v>
      </c>
      <c r="D7215" t="s">
        <v>18123</v>
      </c>
      <c r="E7215" t="s">
        <v>24583</v>
      </c>
      <c r="F7215" t="s">
        <v>31362</v>
      </c>
      <c r="G7215" t="s">
        <v>31368</v>
      </c>
      <c r="H7215" t="s">
        <v>15799</v>
      </c>
      <c r="I7215" t="s">
        <v>31427</v>
      </c>
      <c r="J7215" t="s">
        <v>35979</v>
      </c>
      <c r="K7215" t="s">
        <v>40665</v>
      </c>
      <c r="M7215" t="s">
        <v>42819</v>
      </c>
      <c r="N7215" t="s">
        <v>44905</v>
      </c>
      <c r="O7215" t="s">
        <v>44906</v>
      </c>
      <c r="P7215">
        <v>0</v>
      </c>
      <c r="Q7215">
        <v>4</v>
      </c>
      <c r="R7215" t="s">
        <v>44910</v>
      </c>
      <c r="S7215" t="s">
        <v>45076</v>
      </c>
      <c r="T7215" t="s">
        <v>46435</v>
      </c>
      <c r="U7215" t="s">
        <v>52788</v>
      </c>
      <c r="W7215" t="s">
        <v>42819</v>
      </c>
      <c r="X7215" t="s">
        <v>44911</v>
      </c>
    </row>
    <row r="7216" spans="1:24">
      <c r="A7216">
        <f>HYPERLINK("https://www.philgeps.gov.ph/GEPSNONPILOT/Tender/SplashBidNoticeAbstractUI.aspx?menuIndex=3&amp;refID=7073454&amp;Result=3","7073454")</f>
        <v>0</v>
      </c>
      <c r="B7216" t="s">
        <v>494</v>
      </c>
      <c r="C7216" t="s">
        <v>10398</v>
      </c>
      <c r="D7216" t="s">
        <v>18115</v>
      </c>
      <c r="E7216" t="s">
        <v>24584</v>
      </c>
      <c r="F7216" t="s">
        <v>31362</v>
      </c>
      <c r="G7216" t="s">
        <v>31369</v>
      </c>
      <c r="H7216" t="s">
        <v>31378</v>
      </c>
      <c r="I7216" t="s">
        <v>31386</v>
      </c>
      <c r="J7216" t="s">
        <v>35980</v>
      </c>
      <c r="K7216" t="s">
        <v>40661</v>
      </c>
      <c r="M7216" t="s">
        <v>41449</v>
      </c>
      <c r="N7216" t="s">
        <v>44905</v>
      </c>
      <c r="O7216" t="s">
        <v>44906</v>
      </c>
      <c r="P7216">
        <v>0</v>
      </c>
      <c r="Q7216">
        <v>8</v>
      </c>
      <c r="R7216" t="s">
        <v>44910</v>
      </c>
      <c r="S7216" t="s">
        <v>45076</v>
      </c>
      <c r="T7216" t="s">
        <v>46435</v>
      </c>
      <c r="U7216" t="s">
        <v>52789</v>
      </c>
      <c r="V7216" t="s">
        <v>59775</v>
      </c>
      <c r="W7216" t="s">
        <v>41449</v>
      </c>
      <c r="X7216" t="s">
        <v>44911</v>
      </c>
    </row>
    <row r="7217" spans="1:24">
      <c r="A7217">
        <f>HYPERLINK("https://www.philgeps.gov.ph/GEPSNONPILOT/Tender/SplashBidNoticeAbstractUI.aspx?menuIndex=3&amp;refID=7073506&amp;Result=3","7073506")</f>
        <v>0</v>
      </c>
      <c r="B7217" t="s">
        <v>2195</v>
      </c>
      <c r="C7217" t="s">
        <v>10399</v>
      </c>
      <c r="E7217" t="s">
        <v>24585</v>
      </c>
      <c r="F7217" t="s">
        <v>31362</v>
      </c>
      <c r="G7217" t="s">
        <v>31369</v>
      </c>
      <c r="H7217" t="s">
        <v>15799</v>
      </c>
      <c r="I7217" t="s">
        <v>31409</v>
      </c>
      <c r="J7217" t="s">
        <v>31546</v>
      </c>
      <c r="K7217" t="s">
        <v>40666</v>
      </c>
      <c r="M7217" t="s">
        <v>43326</v>
      </c>
      <c r="N7217" t="s">
        <v>44905</v>
      </c>
      <c r="O7217" t="s">
        <v>44906</v>
      </c>
      <c r="P7217">
        <v>0</v>
      </c>
      <c r="Q7217">
        <v>1</v>
      </c>
      <c r="R7217" t="s">
        <v>44910</v>
      </c>
      <c r="S7217" t="s">
        <v>45076</v>
      </c>
      <c r="T7217" t="s">
        <v>46419</v>
      </c>
      <c r="U7217" t="s">
        <v>52790</v>
      </c>
      <c r="W7217" t="s">
        <v>43326</v>
      </c>
      <c r="X7217" t="s">
        <v>44911</v>
      </c>
    </row>
    <row r="7218" spans="1:24">
      <c r="A7218">
        <f>HYPERLINK("https://www.philgeps.gov.ph/GEPSNONPILOT/Tender/SplashBidNoticeAbstractUI.aspx?menuIndex=3&amp;refID=7073440&amp;Result=3","7073440")</f>
        <v>0</v>
      </c>
      <c r="B7218" t="s">
        <v>197</v>
      </c>
      <c r="C7218" t="s">
        <v>10400</v>
      </c>
      <c r="E7218" t="s">
        <v>24586</v>
      </c>
      <c r="F7218" t="s">
        <v>31362</v>
      </c>
      <c r="G7218" t="s">
        <v>31368</v>
      </c>
      <c r="H7218" t="s">
        <v>15799</v>
      </c>
      <c r="I7218" t="s">
        <v>4057</v>
      </c>
      <c r="J7218" t="s">
        <v>31724</v>
      </c>
      <c r="K7218" t="s">
        <v>40662</v>
      </c>
      <c r="M7218" t="s">
        <v>41559</v>
      </c>
      <c r="N7218" t="s">
        <v>44905</v>
      </c>
      <c r="O7218" t="s">
        <v>44906</v>
      </c>
      <c r="P7218">
        <v>0</v>
      </c>
      <c r="Q7218">
        <v>1</v>
      </c>
      <c r="R7218" t="s">
        <v>44910</v>
      </c>
      <c r="S7218" t="s">
        <v>45076</v>
      </c>
      <c r="T7218" t="s">
        <v>46425</v>
      </c>
      <c r="U7218" t="s">
        <v>52791</v>
      </c>
      <c r="W7218" t="s">
        <v>41559</v>
      </c>
      <c r="X7218" t="s">
        <v>44911</v>
      </c>
    </row>
    <row r="7219" spans="1:24">
      <c r="A7219">
        <f>HYPERLINK("https://www.philgeps.gov.ph/GEPSNONPILOT/Tender/SplashBidNoticeAbstractUI.aspx?menuIndex=3&amp;refID=7073379&amp;Result=3","7073379")</f>
        <v>0</v>
      </c>
      <c r="B7219" t="s">
        <v>991</v>
      </c>
      <c r="C7219" t="s">
        <v>10401</v>
      </c>
      <c r="D7219" t="s">
        <v>18132</v>
      </c>
      <c r="E7219" t="s">
        <v>24587</v>
      </c>
      <c r="F7219" t="s">
        <v>31362</v>
      </c>
      <c r="G7219" t="s">
        <v>31369</v>
      </c>
      <c r="H7219" t="s">
        <v>31378</v>
      </c>
      <c r="I7219" t="s">
        <v>31386</v>
      </c>
      <c r="J7219" t="s">
        <v>35981</v>
      </c>
      <c r="K7219" t="s">
        <v>40814</v>
      </c>
      <c r="M7219" t="s">
        <v>41985</v>
      </c>
      <c r="N7219" t="s">
        <v>44905</v>
      </c>
      <c r="O7219" t="s">
        <v>44906</v>
      </c>
      <c r="P7219">
        <v>0</v>
      </c>
      <c r="Q7219">
        <v>0</v>
      </c>
      <c r="R7219" t="s">
        <v>44910</v>
      </c>
      <c r="S7219" t="s">
        <v>45076</v>
      </c>
      <c r="T7219" t="s">
        <v>46741</v>
      </c>
      <c r="U7219" t="s">
        <v>52792</v>
      </c>
      <c r="W7219" t="s">
        <v>41985</v>
      </c>
      <c r="X7219" t="s">
        <v>44911</v>
      </c>
    </row>
    <row r="7220" spans="1:24">
      <c r="A7220">
        <f>HYPERLINK("https://www.philgeps.gov.ph/GEPSNONPILOT/Tender/SplashBidNoticeAbstractUI.aspx?menuIndex=3&amp;refID=7073504&amp;Result=3","7073504")</f>
        <v>0</v>
      </c>
      <c r="B7220" t="s">
        <v>2196</v>
      </c>
      <c r="C7220" t="s">
        <v>10402</v>
      </c>
      <c r="D7220" t="s">
        <v>18132</v>
      </c>
      <c r="E7220" t="s">
        <v>24588</v>
      </c>
      <c r="F7220" t="s">
        <v>31362</v>
      </c>
      <c r="G7220" t="s">
        <v>31369</v>
      </c>
      <c r="H7220" t="s">
        <v>31378</v>
      </c>
      <c r="I7220" t="s">
        <v>31386</v>
      </c>
      <c r="J7220" t="s">
        <v>35982</v>
      </c>
      <c r="K7220" t="s">
        <v>40677</v>
      </c>
      <c r="M7220" t="s">
        <v>43327</v>
      </c>
      <c r="N7220" t="s">
        <v>44905</v>
      </c>
      <c r="O7220" t="s">
        <v>44906</v>
      </c>
      <c r="P7220">
        <v>0</v>
      </c>
      <c r="Q7220">
        <v>0</v>
      </c>
      <c r="R7220" t="s">
        <v>44910</v>
      </c>
      <c r="S7220" t="s">
        <v>45076</v>
      </c>
      <c r="T7220" t="s">
        <v>46507</v>
      </c>
      <c r="U7220" t="s">
        <v>52793</v>
      </c>
      <c r="W7220" t="s">
        <v>43327</v>
      </c>
      <c r="X7220" t="s">
        <v>44911</v>
      </c>
    </row>
    <row r="7221" spans="1:24">
      <c r="A7221">
        <f>HYPERLINK("https://www.philgeps.gov.ph/GEPSNONPILOT/Tender/SplashBidNoticeAbstractUI.aspx?menuIndex=3&amp;refID=7073501&amp;Result=3","7073501")</f>
        <v>0</v>
      </c>
      <c r="B7221" t="s">
        <v>2197</v>
      </c>
      <c r="C7221" t="s">
        <v>10403</v>
      </c>
      <c r="D7221" t="s">
        <v>18109</v>
      </c>
      <c r="E7221" t="s">
        <v>24589</v>
      </c>
      <c r="F7221" t="s">
        <v>31362</v>
      </c>
      <c r="G7221" t="s">
        <v>31368</v>
      </c>
      <c r="H7221" t="s">
        <v>15799</v>
      </c>
      <c r="I7221" t="s">
        <v>31394</v>
      </c>
      <c r="J7221" t="s">
        <v>31645</v>
      </c>
      <c r="K7221" t="s">
        <v>40662</v>
      </c>
      <c r="M7221" t="s">
        <v>43328</v>
      </c>
      <c r="N7221" t="s">
        <v>44905</v>
      </c>
      <c r="O7221" t="s">
        <v>44906</v>
      </c>
      <c r="P7221">
        <v>0</v>
      </c>
      <c r="Q7221">
        <v>2</v>
      </c>
      <c r="R7221" t="s">
        <v>44910</v>
      </c>
      <c r="S7221" t="s">
        <v>45076</v>
      </c>
      <c r="T7221" t="s">
        <v>46532</v>
      </c>
      <c r="U7221" t="s">
        <v>52794</v>
      </c>
      <c r="W7221" t="s">
        <v>43328</v>
      </c>
      <c r="X7221" t="s">
        <v>44911</v>
      </c>
    </row>
    <row r="7222" spans="1:24">
      <c r="A7222">
        <f>HYPERLINK("https://www.philgeps.gov.ph/GEPSNONPILOT/Tender/SplashBidNoticeAbstractUI.aspx?menuIndex=3&amp;refID=7073498&amp;Result=3","7073498")</f>
        <v>0</v>
      </c>
      <c r="B7222" t="s">
        <v>2198</v>
      </c>
      <c r="C7222" t="s">
        <v>10404</v>
      </c>
      <c r="D7222" t="s">
        <v>18122</v>
      </c>
      <c r="E7222" t="s">
        <v>23361</v>
      </c>
      <c r="F7222" t="s">
        <v>31362</v>
      </c>
      <c r="G7222" t="s">
        <v>31369</v>
      </c>
      <c r="H7222" t="s">
        <v>31378</v>
      </c>
      <c r="I7222" t="s">
        <v>31386</v>
      </c>
      <c r="J7222" t="s">
        <v>31606</v>
      </c>
      <c r="K7222" t="s">
        <v>40686</v>
      </c>
      <c r="M7222" t="s">
        <v>43329</v>
      </c>
      <c r="N7222" t="s">
        <v>44905</v>
      </c>
      <c r="O7222" t="s">
        <v>44906</v>
      </c>
      <c r="P7222">
        <v>0</v>
      </c>
      <c r="Q7222">
        <v>43</v>
      </c>
      <c r="R7222" t="s">
        <v>44910</v>
      </c>
      <c r="S7222" t="s">
        <v>45076</v>
      </c>
      <c r="T7222" t="s">
        <v>46416</v>
      </c>
      <c r="U7222" t="s">
        <v>52795</v>
      </c>
      <c r="W7222" t="s">
        <v>43329</v>
      </c>
      <c r="X7222" t="s">
        <v>44911</v>
      </c>
    </row>
    <row r="7223" spans="1:24">
      <c r="A7223">
        <f>HYPERLINK("https://www.philgeps.gov.ph/GEPSNONPILOT/Tender/SplashBidNoticeAbstractUI.aspx?menuIndex=3&amp;refID=7073497&amp;Result=3","7073497")</f>
        <v>0</v>
      </c>
      <c r="B7223" t="s">
        <v>487</v>
      </c>
      <c r="C7223" t="s">
        <v>10405</v>
      </c>
      <c r="E7223" t="s">
        <v>24590</v>
      </c>
      <c r="F7223" t="s">
        <v>31362</v>
      </c>
      <c r="G7223" t="s">
        <v>31372</v>
      </c>
      <c r="H7223" t="s">
        <v>15799</v>
      </c>
      <c r="I7223" t="s">
        <v>31414</v>
      </c>
      <c r="J7223" t="s">
        <v>31571</v>
      </c>
      <c r="K7223" t="s">
        <v>40662</v>
      </c>
      <c r="M7223" t="s">
        <v>41442</v>
      </c>
      <c r="N7223" t="s">
        <v>44905</v>
      </c>
      <c r="O7223" t="s">
        <v>44906</v>
      </c>
      <c r="P7223">
        <v>0</v>
      </c>
      <c r="Q7223">
        <v>1</v>
      </c>
      <c r="R7223" t="s">
        <v>44910</v>
      </c>
      <c r="S7223" t="s">
        <v>45076</v>
      </c>
      <c r="T7223" t="s">
        <v>46410</v>
      </c>
      <c r="U7223" t="s">
        <v>52796</v>
      </c>
      <c r="W7223" t="s">
        <v>41442</v>
      </c>
      <c r="X7223" t="s">
        <v>44911</v>
      </c>
    </row>
    <row r="7224" spans="1:24">
      <c r="A7224">
        <f>HYPERLINK("https://www.philgeps.gov.ph/GEPSNONPILOT/Tender/SplashBidNoticeAbstractUI.aspx?menuIndex=3&amp;refID=7073495&amp;Result=3","7073495")</f>
        <v>0</v>
      </c>
      <c r="B7224" t="s">
        <v>2199</v>
      </c>
      <c r="C7224" t="s">
        <v>10406</v>
      </c>
      <c r="D7224" t="s">
        <v>18123</v>
      </c>
      <c r="E7224" t="s">
        <v>24591</v>
      </c>
      <c r="F7224" t="s">
        <v>31362</v>
      </c>
      <c r="G7224" t="s">
        <v>31368</v>
      </c>
      <c r="H7224" t="s">
        <v>15799</v>
      </c>
      <c r="I7224" t="s">
        <v>31385</v>
      </c>
      <c r="J7224" t="s">
        <v>32777</v>
      </c>
      <c r="K7224" t="s">
        <v>40662</v>
      </c>
      <c r="M7224" t="s">
        <v>43330</v>
      </c>
      <c r="N7224" t="s">
        <v>44905</v>
      </c>
      <c r="O7224" t="s">
        <v>44906</v>
      </c>
      <c r="P7224">
        <v>0</v>
      </c>
      <c r="Q7224">
        <v>3</v>
      </c>
      <c r="R7224" t="s">
        <v>44910</v>
      </c>
      <c r="S7224" t="s">
        <v>45076</v>
      </c>
      <c r="T7224" t="s">
        <v>46400</v>
      </c>
      <c r="U7224" t="s">
        <v>52797</v>
      </c>
      <c r="W7224" t="s">
        <v>43330</v>
      </c>
      <c r="X7224" t="s">
        <v>44911</v>
      </c>
    </row>
    <row r="7225" spans="1:24">
      <c r="A7225">
        <f>HYPERLINK("https://www.philgeps.gov.ph/GEPSNONPILOT/Tender/SplashBidNoticeAbstractUI.aspx?menuIndex=3&amp;refID=7073493&amp;Result=3","7073493")</f>
        <v>0</v>
      </c>
      <c r="B7225" t="s">
        <v>493</v>
      </c>
      <c r="C7225" t="s">
        <v>10407</v>
      </c>
      <c r="D7225" t="s">
        <v>18152</v>
      </c>
      <c r="E7225" t="s">
        <v>24592</v>
      </c>
      <c r="F7225" t="s">
        <v>31362</v>
      </c>
      <c r="G7225" t="s">
        <v>31369</v>
      </c>
      <c r="H7225" t="s">
        <v>15799</v>
      </c>
      <c r="I7225" t="s">
        <v>3815</v>
      </c>
      <c r="J7225" t="s">
        <v>31897</v>
      </c>
      <c r="K7225" t="s">
        <v>40670</v>
      </c>
      <c r="M7225" t="s">
        <v>41448</v>
      </c>
      <c r="N7225" t="s">
        <v>44905</v>
      </c>
      <c r="O7225" t="s">
        <v>44906</v>
      </c>
      <c r="P7225">
        <v>0</v>
      </c>
      <c r="Q7225">
        <v>0</v>
      </c>
      <c r="R7225" t="s">
        <v>44910</v>
      </c>
      <c r="S7225" t="s">
        <v>45076</v>
      </c>
      <c r="T7225" t="s">
        <v>46532</v>
      </c>
      <c r="U7225" t="s">
        <v>48412</v>
      </c>
      <c r="W7225" t="s">
        <v>41448</v>
      </c>
      <c r="X7225" t="s">
        <v>44911</v>
      </c>
    </row>
    <row r="7226" spans="1:24">
      <c r="A7226">
        <f>HYPERLINK("https://www.philgeps.gov.ph/GEPSNONPILOT/Tender/SplashBidNoticeAbstractUI.aspx?menuIndex=3&amp;refID=7073492&amp;Result=3","7073492")</f>
        <v>0</v>
      </c>
      <c r="B7226" t="s">
        <v>2187</v>
      </c>
      <c r="C7226" t="s">
        <v>10408</v>
      </c>
      <c r="D7226" t="s">
        <v>18108</v>
      </c>
      <c r="E7226" t="s">
        <v>24593</v>
      </c>
      <c r="F7226" t="s">
        <v>31362</v>
      </c>
      <c r="G7226" t="s">
        <v>31370</v>
      </c>
      <c r="H7226" t="s">
        <v>15799</v>
      </c>
      <c r="I7226" t="s">
        <v>6373</v>
      </c>
      <c r="J7226" t="s">
        <v>34426</v>
      </c>
      <c r="K7226" t="s">
        <v>40665</v>
      </c>
      <c r="M7226" t="s">
        <v>43318</v>
      </c>
      <c r="N7226" t="s">
        <v>44905</v>
      </c>
      <c r="O7226" t="s">
        <v>44906</v>
      </c>
      <c r="P7226">
        <v>0</v>
      </c>
      <c r="Q7226">
        <v>3</v>
      </c>
      <c r="R7226" t="s">
        <v>44910</v>
      </c>
      <c r="S7226" t="s">
        <v>45076</v>
      </c>
      <c r="T7226" t="s">
        <v>46447</v>
      </c>
      <c r="U7226" t="s">
        <v>52798</v>
      </c>
      <c r="W7226" t="s">
        <v>43318</v>
      </c>
      <c r="X7226" t="s">
        <v>44911</v>
      </c>
    </row>
    <row r="7227" spans="1:24">
      <c r="A7227">
        <f>HYPERLINK("https://www.philgeps.gov.ph/GEPSNONPILOT/Tender/SplashBidNoticeAbstractUI.aspx?menuIndex=3&amp;refID=7073394&amp;Result=3","7073394")</f>
        <v>0</v>
      </c>
      <c r="B7227" t="s">
        <v>2200</v>
      </c>
      <c r="C7227" t="s">
        <v>10409</v>
      </c>
      <c r="D7227" t="s">
        <v>18100</v>
      </c>
      <c r="E7227" t="s">
        <v>24594</v>
      </c>
      <c r="F7227" t="s">
        <v>31362</v>
      </c>
      <c r="G7227" t="s">
        <v>31369</v>
      </c>
      <c r="H7227" t="s">
        <v>31378</v>
      </c>
      <c r="I7227" t="s">
        <v>31386</v>
      </c>
      <c r="J7227" t="s">
        <v>35983</v>
      </c>
      <c r="K7227" t="s">
        <v>40752</v>
      </c>
      <c r="M7227" t="s">
        <v>43331</v>
      </c>
      <c r="N7227" t="s">
        <v>44905</v>
      </c>
      <c r="O7227" t="s">
        <v>44906</v>
      </c>
      <c r="P7227">
        <v>0</v>
      </c>
      <c r="Q7227">
        <v>3</v>
      </c>
      <c r="R7227" t="s">
        <v>44910</v>
      </c>
      <c r="S7227" t="s">
        <v>45076</v>
      </c>
      <c r="T7227" t="s">
        <v>46555</v>
      </c>
      <c r="U7227" t="s">
        <v>52799</v>
      </c>
      <c r="W7227" t="s">
        <v>43331</v>
      </c>
      <c r="X7227" t="s">
        <v>44911</v>
      </c>
    </row>
    <row r="7228" spans="1:24">
      <c r="A7228">
        <f>HYPERLINK("https://www.philgeps.gov.ph/GEPSNONPILOT/Tender/SplashBidNoticeAbstractUI.aspx?menuIndex=3&amp;refID=7073478&amp;Result=3","7073478")</f>
        <v>0</v>
      </c>
      <c r="B7228" t="s">
        <v>2181</v>
      </c>
      <c r="C7228" t="s">
        <v>10410</v>
      </c>
      <c r="D7228" t="s">
        <v>18156</v>
      </c>
      <c r="E7228" t="s">
        <v>24595</v>
      </c>
      <c r="F7228" t="s">
        <v>31362</v>
      </c>
      <c r="G7228" t="s">
        <v>31369</v>
      </c>
      <c r="H7228" t="s">
        <v>31378</v>
      </c>
      <c r="I7228" t="s">
        <v>31386</v>
      </c>
      <c r="J7228" t="s">
        <v>35984</v>
      </c>
      <c r="K7228" t="s">
        <v>40683</v>
      </c>
      <c r="M7228" t="s">
        <v>43312</v>
      </c>
      <c r="N7228" t="s">
        <v>44905</v>
      </c>
      <c r="O7228" t="s">
        <v>44906</v>
      </c>
      <c r="P7228">
        <v>0</v>
      </c>
      <c r="Q7228">
        <v>2</v>
      </c>
      <c r="R7228" t="s">
        <v>44910</v>
      </c>
      <c r="S7228" t="s">
        <v>45076</v>
      </c>
      <c r="T7228" t="s">
        <v>46392</v>
      </c>
      <c r="U7228" t="s">
        <v>52776</v>
      </c>
      <c r="W7228" t="s">
        <v>43312</v>
      </c>
      <c r="X7228" t="s">
        <v>44911</v>
      </c>
    </row>
    <row r="7229" spans="1:24">
      <c r="A7229">
        <f>HYPERLINK("https://www.philgeps.gov.ph/GEPSNONPILOT/Tender/SplashBidNoticeAbstractUI.aspx?menuIndex=3&amp;refID=7073413&amp;Result=3","7073413")</f>
        <v>0</v>
      </c>
      <c r="B7229" t="s">
        <v>2201</v>
      </c>
      <c r="C7229" t="s">
        <v>10411</v>
      </c>
      <c r="D7229" t="s">
        <v>18131</v>
      </c>
      <c r="E7229" t="s">
        <v>24596</v>
      </c>
      <c r="F7229" t="s">
        <v>31362</v>
      </c>
      <c r="G7229" t="s">
        <v>31369</v>
      </c>
      <c r="H7229" t="s">
        <v>31379</v>
      </c>
      <c r="I7229" t="s">
        <v>31441</v>
      </c>
      <c r="J7229" t="s">
        <v>35985</v>
      </c>
      <c r="K7229" t="s">
        <v>40665</v>
      </c>
      <c r="M7229" t="s">
        <v>43332</v>
      </c>
      <c r="N7229" t="s">
        <v>44905</v>
      </c>
      <c r="O7229" t="s">
        <v>44906</v>
      </c>
      <c r="P7229">
        <v>0</v>
      </c>
      <c r="Q7229">
        <v>1</v>
      </c>
      <c r="R7229" t="s">
        <v>44910</v>
      </c>
      <c r="S7229" t="s">
        <v>45076</v>
      </c>
      <c r="T7229" t="s">
        <v>46508</v>
      </c>
      <c r="U7229" t="s">
        <v>52800</v>
      </c>
      <c r="V7229" t="s">
        <v>59776</v>
      </c>
      <c r="W7229" t="s">
        <v>43332</v>
      </c>
      <c r="X7229" t="s">
        <v>44911</v>
      </c>
    </row>
    <row r="7230" spans="1:24">
      <c r="A7230">
        <f>HYPERLINK("https://www.philgeps.gov.ph/GEPSNONPILOT/Tender/SplashBidNoticeAbstractUI.aspx?menuIndex=3&amp;refID=7073471&amp;Result=3","7073471")</f>
        <v>0</v>
      </c>
      <c r="B7230" t="s">
        <v>2202</v>
      </c>
      <c r="C7230" t="s">
        <v>10412</v>
      </c>
      <c r="D7230" t="s">
        <v>18105</v>
      </c>
      <c r="E7230" t="s">
        <v>24597</v>
      </c>
      <c r="F7230" t="s">
        <v>31362</v>
      </c>
      <c r="G7230" t="s">
        <v>31369</v>
      </c>
      <c r="H7230" t="s">
        <v>15799</v>
      </c>
      <c r="I7230" t="s">
        <v>31427</v>
      </c>
      <c r="J7230" t="s">
        <v>35986</v>
      </c>
      <c r="K7230" t="s">
        <v>40682</v>
      </c>
      <c r="M7230" t="s">
        <v>43333</v>
      </c>
      <c r="N7230" t="s">
        <v>44905</v>
      </c>
      <c r="O7230" t="s">
        <v>44906</v>
      </c>
      <c r="P7230">
        <v>0</v>
      </c>
      <c r="Q7230">
        <v>0</v>
      </c>
      <c r="R7230" t="s">
        <v>44910</v>
      </c>
      <c r="S7230" t="s">
        <v>45076</v>
      </c>
      <c r="T7230" t="s">
        <v>46671</v>
      </c>
      <c r="U7230" t="s">
        <v>52801</v>
      </c>
      <c r="W7230" t="s">
        <v>43333</v>
      </c>
      <c r="X7230" t="s">
        <v>44911</v>
      </c>
    </row>
    <row r="7231" spans="1:24">
      <c r="A7231">
        <f>HYPERLINK("https://www.philgeps.gov.ph/GEPSNONPILOT/Tender/SplashBidNoticeAbstractUI.aspx?menuIndex=3&amp;refID=7073469&amp;Result=3","7073469")</f>
        <v>0</v>
      </c>
      <c r="B7231" t="s">
        <v>2203</v>
      </c>
      <c r="C7231" t="s">
        <v>10413</v>
      </c>
      <c r="D7231" t="s">
        <v>18104</v>
      </c>
      <c r="E7231" t="s">
        <v>24598</v>
      </c>
      <c r="F7231" t="s">
        <v>31362</v>
      </c>
      <c r="G7231" t="s">
        <v>31369</v>
      </c>
      <c r="H7231" t="s">
        <v>15799</v>
      </c>
      <c r="I7231" t="s">
        <v>31409</v>
      </c>
      <c r="J7231" t="s">
        <v>33653</v>
      </c>
      <c r="K7231" t="s">
        <v>40666</v>
      </c>
      <c r="M7231" t="s">
        <v>43334</v>
      </c>
      <c r="N7231" t="s">
        <v>44905</v>
      </c>
      <c r="O7231" t="s">
        <v>44906</v>
      </c>
      <c r="P7231">
        <v>0</v>
      </c>
      <c r="Q7231">
        <v>4</v>
      </c>
      <c r="R7231" t="s">
        <v>44910</v>
      </c>
      <c r="S7231" t="s">
        <v>45076</v>
      </c>
      <c r="T7231" t="s">
        <v>46595</v>
      </c>
      <c r="U7231" t="s">
        <v>52802</v>
      </c>
      <c r="W7231" t="s">
        <v>43334</v>
      </c>
      <c r="X7231" t="s">
        <v>44911</v>
      </c>
    </row>
    <row r="7232" spans="1:24">
      <c r="A7232">
        <f>HYPERLINK("https://www.philgeps.gov.ph/GEPSNONPILOT/Tender/SplashBidNoticeAbstractUI.aspx?menuIndex=3&amp;refID=7073463&amp;Result=3","7073463")</f>
        <v>0</v>
      </c>
      <c r="B7232" t="s">
        <v>351</v>
      </c>
      <c r="C7232" t="s">
        <v>10414</v>
      </c>
      <c r="D7232" t="s">
        <v>18142</v>
      </c>
      <c r="E7232" t="s">
        <v>24599</v>
      </c>
      <c r="F7232" t="s">
        <v>31362</v>
      </c>
      <c r="G7232" t="s">
        <v>31369</v>
      </c>
      <c r="H7232" t="s">
        <v>31378</v>
      </c>
      <c r="I7232" t="s">
        <v>31386</v>
      </c>
      <c r="J7232" t="s">
        <v>35987</v>
      </c>
      <c r="K7232" t="s">
        <v>40767</v>
      </c>
      <c r="M7232" t="s">
        <v>41298</v>
      </c>
      <c r="N7232" t="s">
        <v>44905</v>
      </c>
      <c r="O7232" t="s">
        <v>44906</v>
      </c>
      <c r="P7232">
        <v>0</v>
      </c>
      <c r="Q7232">
        <v>0</v>
      </c>
      <c r="R7232" t="s">
        <v>44910</v>
      </c>
      <c r="S7232" t="s">
        <v>45076</v>
      </c>
      <c r="T7232" t="s">
        <v>46425</v>
      </c>
      <c r="U7232" t="s">
        <v>52803</v>
      </c>
      <c r="W7232" t="s">
        <v>41298</v>
      </c>
      <c r="X7232" t="s">
        <v>44911</v>
      </c>
    </row>
    <row r="7233" spans="1:24">
      <c r="A7233">
        <f>HYPERLINK("https://www.philgeps.gov.ph/GEPSNONPILOT/Tender/SplashBidNoticeAbstractUI.aspx?menuIndex=3&amp;refID=7073462&amp;Result=3","7073462")</f>
        <v>0</v>
      </c>
      <c r="B7233" t="s">
        <v>2187</v>
      </c>
      <c r="C7233" t="s">
        <v>10415</v>
      </c>
      <c r="D7233" t="s">
        <v>18108</v>
      </c>
      <c r="E7233" t="s">
        <v>24600</v>
      </c>
      <c r="F7233" t="s">
        <v>31362</v>
      </c>
      <c r="G7233" t="s">
        <v>31370</v>
      </c>
      <c r="H7233" t="s">
        <v>15799</v>
      </c>
      <c r="I7233" t="s">
        <v>3815</v>
      </c>
      <c r="J7233" t="s">
        <v>33089</v>
      </c>
      <c r="K7233" t="s">
        <v>40665</v>
      </c>
      <c r="M7233" t="s">
        <v>43318</v>
      </c>
      <c r="N7233" t="s">
        <v>44905</v>
      </c>
      <c r="O7233" t="s">
        <v>44906</v>
      </c>
      <c r="P7233">
        <v>0</v>
      </c>
      <c r="Q7233">
        <v>1</v>
      </c>
      <c r="R7233" t="s">
        <v>44910</v>
      </c>
      <c r="S7233" t="s">
        <v>45076</v>
      </c>
      <c r="T7233" t="s">
        <v>46447</v>
      </c>
      <c r="U7233" t="s">
        <v>52804</v>
      </c>
      <c r="W7233" t="s">
        <v>43318</v>
      </c>
      <c r="X7233" t="s">
        <v>44911</v>
      </c>
    </row>
    <row r="7234" spans="1:24">
      <c r="A7234">
        <f>HYPERLINK("https://www.philgeps.gov.ph/GEPSNONPILOT/Tender/SplashBidNoticeAbstractUI.aspx?menuIndex=3&amp;refID=7073412&amp;Result=3","7073412")</f>
        <v>0</v>
      </c>
      <c r="B7234" t="s">
        <v>424</v>
      </c>
      <c r="C7234" t="s">
        <v>10416</v>
      </c>
      <c r="D7234" t="s">
        <v>18168</v>
      </c>
      <c r="E7234" t="s">
        <v>10416</v>
      </c>
      <c r="F7234" t="s">
        <v>31362</v>
      </c>
      <c r="G7234" t="s">
        <v>31369</v>
      </c>
      <c r="H7234" t="s">
        <v>15799</v>
      </c>
      <c r="I7234" t="s">
        <v>31413</v>
      </c>
      <c r="J7234" t="s">
        <v>31615</v>
      </c>
      <c r="K7234" t="s">
        <v>40679</v>
      </c>
      <c r="M7234" t="s">
        <v>43301</v>
      </c>
      <c r="N7234" t="s">
        <v>44905</v>
      </c>
      <c r="O7234" t="s">
        <v>44906</v>
      </c>
      <c r="P7234">
        <v>0</v>
      </c>
      <c r="Q7234">
        <v>10</v>
      </c>
      <c r="R7234" t="s">
        <v>44910</v>
      </c>
      <c r="S7234" t="s">
        <v>45076</v>
      </c>
      <c r="T7234" t="s">
        <v>46450</v>
      </c>
      <c r="U7234" t="s">
        <v>52805</v>
      </c>
      <c r="W7234" t="s">
        <v>43301</v>
      </c>
      <c r="X7234" t="s">
        <v>44911</v>
      </c>
    </row>
    <row r="7235" spans="1:24">
      <c r="A7235">
        <f>HYPERLINK("https://www.philgeps.gov.ph/GEPSNONPILOT/Tender/SplashBidNoticeAbstractUI.aspx?menuIndex=3&amp;refID=7073465&amp;Result=3","7073465")</f>
        <v>0</v>
      </c>
      <c r="B7235" t="s">
        <v>424</v>
      </c>
      <c r="C7235" t="s">
        <v>10417</v>
      </c>
      <c r="D7235" t="s">
        <v>18168</v>
      </c>
      <c r="E7235" t="s">
        <v>24601</v>
      </c>
      <c r="F7235" t="s">
        <v>31362</v>
      </c>
      <c r="G7235" t="s">
        <v>31369</v>
      </c>
      <c r="H7235" t="s">
        <v>15799</v>
      </c>
      <c r="I7235" t="s">
        <v>31392</v>
      </c>
      <c r="J7235" t="s">
        <v>31606</v>
      </c>
      <c r="K7235" t="s">
        <v>40679</v>
      </c>
      <c r="M7235" t="s">
        <v>43301</v>
      </c>
      <c r="N7235" t="s">
        <v>44905</v>
      </c>
      <c r="O7235" t="s">
        <v>44906</v>
      </c>
      <c r="P7235">
        <v>0</v>
      </c>
      <c r="Q7235">
        <v>6</v>
      </c>
      <c r="R7235" t="s">
        <v>44910</v>
      </c>
      <c r="S7235" t="s">
        <v>45076</v>
      </c>
      <c r="T7235" t="s">
        <v>46450</v>
      </c>
      <c r="U7235" t="s">
        <v>52806</v>
      </c>
      <c r="W7235" t="s">
        <v>43301</v>
      </c>
      <c r="X7235" t="s">
        <v>44911</v>
      </c>
    </row>
    <row r="7236" spans="1:24">
      <c r="A7236">
        <f>HYPERLINK("https://www.philgeps.gov.ph/GEPSNONPILOT/Tender/SplashBidNoticeAbstractUI.aspx?menuIndex=3&amp;refID=7073411&amp;Result=3","7073411")</f>
        <v>0</v>
      </c>
      <c r="B7236" t="s">
        <v>2204</v>
      </c>
      <c r="C7236" t="s">
        <v>10418</v>
      </c>
      <c r="D7236" t="s">
        <v>18100</v>
      </c>
      <c r="E7236" t="s">
        <v>24602</v>
      </c>
      <c r="F7236" t="s">
        <v>31362</v>
      </c>
      <c r="G7236" t="s">
        <v>31369</v>
      </c>
      <c r="H7236" t="s">
        <v>15799</v>
      </c>
      <c r="I7236" t="s">
        <v>31414</v>
      </c>
      <c r="J7236" t="s">
        <v>31819</v>
      </c>
      <c r="K7236" t="s">
        <v>40665</v>
      </c>
      <c r="M7236" t="s">
        <v>43335</v>
      </c>
      <c r="N7236" t="s">
        <v>44905</v>
      </c>
      <c r="O7236" t="s">
        <v>44906</v>
      </c>
      <c r="P7236">
        <v>0</v>
      </c>
      <c r="Q7236">
        <v>7</v>
      </c>
      <c r="R7236" t="s">
        <v>44910</v>
      </c>
      <c r="S7236" t="s">
        <v>45076</v>
      </c>
      <c r="T7236" t="s">
        <v>46447</v>
      </c>
      <c r="U7236" t="s">
        <v>52807</v>
      </c>
      <c r="W7236" t="s">
        <v>43335</v>
      </c>
      <c r="X7236" t="s">
        <v>44911</v>
      </c>
    </row>
    <row r="7237" spans="1:24">
      <c r="A7237">
        <f>HYPERLINK("https://www.philgeps.gov.ph/GEPSNONPILOT/Tender/SplashBidNoticeAbstractUI.aspx?menuIndex=3&amp;refID=7073486&amp;Result=3","7073486")</f>
        <v>0</v>
      </c>
      <c r="B7237" t="s">
        <v>401</v>
      </c>
      <c r="C7237" t="s">
        <v>10419</v>
      </c>
      <c r="D7237" t="s">
        <v>18132</v>
      </c>
      <c r="E7237" t="s">
        <v>24603</v>
      </c>
      <c r="F7237" t="s">
        <v>31362</v>
      </c>
      <c r="G7237" t="s">
        <v>31369</v>
      </c>
      <c r="H7237" t="s">
        <v>15799</v>
      </c>
      <c r="I7237" t="s">
        <v>3815</v>
      </c>
      <c r="J7237" t="s">
        <v>35988</v>
      </c>
      <c r="K7237" t="s">
        <v>40666</v>
      </c>
      <c r="M7237" t="s">
        <v>41351</v>
      </c>
      <c r="N7237" t="s">
        <v>44905</v>
      </c>
      <c r="O7237" t="s">
        <v>44906</v>
      </c>
      <c r="P7237">
        <v>0</v>
      </c>
      <c r="Q7237">
        <v>0</v>
      </c>
      <c r="R7237" t="s">
        <v>44910</v>
      </c>
      <c r="S7237" t="s">
        <v>45076</v>
      </c>
      <c r="T7237" t="s">
        <v>46438</v>
      </c>
      <c r="U7237" t="s">
        <v>49892</v>
      </c>
      <c r="W7237" t="s">
        <v>41351</v>
      </c>
      <c r="X7237" t="s">
        <v>44911</v>
      </c>
    </row>
    <row r="7238" spans="1:24">
      <c r="A7238">
        <f>HYPERLINK("https://www.philgeps.gov.ph/GEPSNONPILOT/Tender/SplashBidNoticeAbstractUI.aspx?menuIndex=3&amp;refID=7073406&amp;Result=3","7073406")</f>
        <v>0</v>
      </c>
      <c r="B7238" t="s">
        <v>2200</v>
      </c>
      <c r="C7238" t="s">
        <v>10420</v>
      </c>
      <c r="D7238" t="s">
        <v>18100</v>
      </c>
      <c r="E7238" t="s">
        <v>24604</v>
      </c>
      <c r="F7238" t="s">
        <v>31362</v>
      </c>
      <c r="G7238" t="s">
        <v>31369</v>
      </c>
      <c r="H7238" t="s">
        <v>31378</v>
      </c>
      <c r="I7238" t="s">
        <v>31386</v>
      </c>
      <c r="J7238" t="s">
        <v>35989</v>
      </c>
      <c r="K7238" t="s">
        <v>40752</v>
      </c>
      <c r="M7238" t="s">
        <v>43331</v>
      </c>
      <c r="N7238" t="s">
        <v>44905</v>
      </c>
      <c r="O7238" t="s">
        <v>44906</v>
      </c>
      <c r="P7238">
        <v>0</v>
      </c>
      <c r="Q7238">
        <v>3</v>
      </c>
      <c r="R7238" t="s">
        <v>44910</v>
      </c>
      <c r="S7238" t="s">
        <v>45076</v>
      </c>
      <c r="T7238" t="s">
        <v>46555</v>
      </c>
      <c r="U7238" t="s">
        <v>52799</v>
      </c>
      <c r="W7238" t="s">
        <v>43331</v>
      </c>
      <c r="X7238" t="s">
        <v>44911</v>
      </c>
    </row>
    <row r="7239" spans="1:24">
      <c r="A7239">
        <f>HYPERLINK("https://www.philgeps.gov.ph/GEPSNONPILOT/Tender/SplashBidNoticeAbstractUI.aspx?menuIndex=3&amp;refID=7073405&amp;Result=3","7073405")</f>
        <v>0</v>
      </c>
      <c r="B7239" t="s">
        <v>701</v>
      </c>
      <c r="C7239" t="s">
        <v>10421</v>
      </c>
      <c r="D7239" t="s">
        <v>18172</v>
      </c>
      <c r="E7239" t="s">
        <v>24605</v>
      </c>
      <c r="F7239" t="s">
        <v>31362</v>
      </c>
      <c r="G7239" t="s">
        <v>31369</v>
      </c>
      <c r="H7239" t="s">
        <v>15799</v>
      </c>
      <c r="I7239" t="s">
        <v>3815</v>
      </c>
      <c r="J7239" t="s">
        <v>35990</v>
      </c>
      <c r="K7239" t="s">
        <v>40666</v>
      </c>
      <c r="M7239" t="s">
        <v>41666</v>
      </c>
      <c r="N7239" t="s">
        <v>44905</v>
      </c>
      <c r="O7239" t="s">
        <v>44906</v>
      </c>
      <c r="P7239">
        <v>0</v>
      </c>
      <c r="Q7239">
        <v>0</v>
      </c>
      <c r="R7239" t="s">
        <v>44910</v>
      </c>
      <c r="S7239" t="s">
        <v>45076</v>
      </c>
      <c r="T7239" t="s">
        <v>46410</v>
      </c>
      <c r="U7239" t="s">
        <v>52808</v>
      </c>
      <c r="W7239" t="s">
        <v>41666</v>
      </c>
      <c r="X7239" t="s">
        <v>44911</v>
      </c>
    </row>
    <row r="7240" spans="1:24">
      <c r="A7240">
        <f>HYPERLINK("https://www.philgeps.gov.ph/GEPSNONPILOT/Tender/SplashBidNoticeAbstractUI.aspx?menuIndex=3&amp;refID=7073403&amp;Result=3","7073403")</f>
        <v>0</v>
      </c>
      <c r="B7240" t="s">
        <v>436</v>
      </c>
      <c r="C7240" t="s">
        <v>10422</v>
      </c>
      <c r="D7240" t="s">
        <v>18158</v>
      </c>
      <c r="E7240" t="s">
        <v>24606</v>
      </c>
      <c r="F7240" t="s">
        <v>31362</v>
      </c>
      <c r="G7240" t="s">
        <v>31369</v>
      </c>
      <c r="H7240" t="s">
        <v>15799</v>
      </c>
      <c r="I7240" t="s">
        <v>31409</v>
      </c>
      <c r="J7240" t="s">
        <v>31542</v>
      </c>
      <c r="K7240" t="s">
        <v>40665</v>
      </c>
      <c r="L7240" t="s">
        <v>436</v>
      </c>
      <c r="M7240" t="s">
        <v>41388</v>
      </c>
      <c r="N7240" t="s">
        <v>44905</v>
      </c>
      <c r="O7240" t="s">
        <v>44906</v>
      </c>
      <c r="P7240">
        <v>0</v>
      </c>
      <c r="Q7240">
        <v>5</v>
      </c>
      <c r="R7240" t="s">
        <v>44910</v>
      </c>
      <c r="S7240" t="s">
        <v>45076</v>
      </c>
      <c r="T7240" t="s">
        <v>46467</v>
      </c>
      <c r="U7240" t="s">
        <v>52809</v>
      </c>
      <c r="V7240" t="s">
        <v>49312</v>
      </c>
      <c r="W7240" t="s">
        <v>41388</v>
      </c>
      <c r="X7240" t="s">
        <v>44911</v>
      </c>
    </row>
    <row r="7241" spans="1:24">
      <c r="A7241">
        <f>HYPERLINK("https://www.philgeps.gov.ph/GEPSNONPILOT/Tender/SplashBidNoticeAbstractUI.aspx?menuIndex=3&amp;refID=7073548&amp;Result=3","7073548")</f>
        <v>0</v>
      </c>
      <c r="B7241" t="s">
        <v>2205</v>
      </c>
      <c r="C7241" t="s">
        <v>10423</v>
      </c>
      <c r="D7241" t="s">
        <v>18156</v>
      </c>
      <c r="E7241" t="s">
        <v>24607</v>
      </c>
      <c r="F7241" t="s">
        <v>31362</v>
      </c>
      <c r="G7241" t="s">
        <v>31368</v>
      </c>
      <c r="H7241" t="s">
        <v>15799</v>
      </c>
      <c r="I7241" t="s">
        <v>6373</v>
      </c>
      <c r="J7241" t="s">
        <v>35509</v>
      </c>
      <c r="K7241" t="s">
        <v>40670</v>
      </c>
      <c r="M7241" t="s">
        <v>43336</v>
      </c>
      <c r="N7241" t="s">
        <v>44905</v>
      </c>
      <c r="O7241" t="s">
        <v>44906</v>
      </c>
      <c r="Q7241">
        <v>7</v>
      </c>
      <c r="R7241" t="s">
        <v>44910</v>
      </c>
      <c r="S7241" t="s">
        <v>45084</v>
      </c>
      <c r="T7241" t="s">
        <v>46467</v>
      </c>
      <c r="U7241" t="s">
        <v>52810</v>
      </c>
      <c r="W7241" t="s">
        <v>43336</v>
      </c>
      <c r="X7241" t="s">
        <v>44911</v>
      </c>
    </row>
    <row r="7242" spans="1:24">
      <c r="A7242">
        <f>HYPERLINK("https://www.philgeps.gov.ph/GEPSNONPILOT/Tender/SplashBidNoticeAbstractUI.aspx?menuIndex=3&amp;refID=7073545&amp;Result=3","7073545")</f>
        <v>0</v>
      </c>
      <c r="B7242" t="s">
        <v>2197</v>
      </c>
      <c r="C7242" t="s">
        <v>10424</v>
      </c>
      <c r="D7242" t="s">
        <v>18109</v>
      </c>
      <c r="E7242" t="s">
        <v>24608</v>
      </c>
      <c r="F7242" t="s">
        <v>31362</v>
      </c>
      <c r="G7242" t="s">
        <v>31370</v>
      </c>
      <c r="H7242" t="s">
        <v>15799</v>
      </c>
      <c r="I7242" t="s">
        <v>31385</v>
      </c>
      <c r="J7242" t="s">
        <v>34706</v>
      </c>
      <c r="K7242" t="s">
        <v>40662</v>
      </c>
      <c r="M7242" t="s">
        <v>43328</v>
      </c>
      <c r="N7242" t="s">
        <v>44905</v>
      </c>
      <c r="O7242" t="s">
        <v>44906</v>
      </c>
      <c r="P7242">
        <v>0</v>
      </c>
      <c r="Q7242">
        <v>2</v>
      </c>
      <c r="R7242" t="s">
        <v>44910</v>
      </c>
      <c r="S7242" t="s">
        <v>45076</v>
      </c>
      <c r="T7242" t="s">
        <v>46532</v>
      </c>
      <c r="U7242" t="s">
        <v>52794</v>
      </c>
      <c r="W7242" t="s">
        <v>43328</v>
      </c>
      <c r="X7242" t="s">
        <v>44911</v>
      </c>
    </row>
    <row r="7243" spans="1:24">
      <c r="A7243">
        <f>HYPERLINK("https://www.philgeps.gov.ph/GEPSNONPILOT/Tender/SplashBidNoticeAbstractUI.aspx?menuIndex=3&amp;refID=7073542&amp;Result=3","7073542")</f>
        <v>0</v>
      </c>
      <c r="B7243" t="s">
        <v>199</v>
      </c>
      <c r="C7243" t="s">
        <v>10425</v>
      </c>
      <c r="D7243" t="s">
        <v>18139</v>
      </c>
      <c r="E7243" t="s">
        <v>24609</v>
      </c>
      <c r="F7243" t="s">
        <v>31362</v>
      </c>
      <c r="G7243" t="s">
        <v>31368</v>
      </c>
      <c r="H7243" t="s">
        <v>15799</v>
      </c>
      <c r="I7243" t="s">
        <v>7090</v>
      </c>
      <c r="J7243" t="s">
        <v>35991</v>
      </c>
      <c r="K7243" t="s">
        <v>40662</v>
      </c>
      <c r="M7243" t="s">
        <v>41138</v>
      </c>
      <c r="N7243" t="s">
        <v>44905</v>
      </c>
      <c r="O7243" t="s">
        <v>44906</v>
      </c>
      <c r="Q7243">
        <v>0</v>
      </c>
      <c r="R7243" t="s">
        <v>44910</v>
      </c>
      <c r="S7243" t="s">
        <v>45085</v>
      </c>
      <c r="T7243" t="s">
        <v>46446</v>
      </c>
      <c r="U7243" t="s">
        <v>52811</v>
      </c>
      <c r="V7243" t="s">
        <v>59777</v>
      </c>
      <c r="W7243" t="s">
        <v>41138</v>
      </c>
      <c r="X7243" t="s">
        <v>44911</v>
      </c>
    </row>
    <row r="7244" spans="1:24">
      <c r="A7244">
        <f>HYPERLINK("https://www.philgeps.gov.ph/GEPSNONPILOT/Tender/SplashBidNoticeAbstractUI.aspx?menuIndex=3&amp;refID=7073541&amp;Result=3","7073541")</f>
        <v>0</v>
      </c>
      <c r="B7244" t="s">
        <v>1074</v>
      </c>
      <c r="C7244" t="s">
        <v>10426</v>
      </c>
      <c r="D7244" t="s">
        <v>18178</v>
      </c>
      <c r="E7244" t="s">
        <v>24610</v>
      </c>
      <c r="F7244" t="s">
        <v>31362</v>
      </c>
      <c r="G7244" t="s">
        <v>31368</v>
      </c>
      <c r="H7244" t="s">
        <v>15799</v>
      </c>
      <c r="I7244" t="s">
        <v>31492</v>
      </c>
      <c r="J7244" t="s">
        <v>35992</v>
      </c>
      <c r="K7244" t="s">
        <v>40662</v>
      </c>
      <c r="M7244" t="s">
        <v>42076</v>
      </c>
      <c r="N7244" t="s">
        <v>44905</v>
      </c>
      <c r="O7244" t="s">
        <v>44906</v>
      </c>
      <c r="P7244">
        <v>0</v>
      </c>
      <c r="Q7244">
        <v>5</v>
      </c>
      <c r="R7244" t="s">
        <v>44910</v>
      </c>
      <c r="S7244" t="s">
        <v>45076</v>
      </c>
      <c r="T7244" t="s">
        <v>46409</v>
      </c>
      <c r="U7244" t="s">
        <v>52812</v>
      </c>
      <c r="V7244" t="s">
        <v>59362</v>
      </c>
      <c r="W7244" t="s">
        <v>42076</v>
      </c>
      <c r="X7244" t="s">
        <v>44911</v>
      </c>
    </row>
    <row r="7245" spans="1:24">
      <c r="A7245">
        <f>HYPERLINK("https://www.philgeps.gov.ph/GEPSNONPILOT/Tender/SplashBidNoticeAbstractUI.aspx?menuIndex=3&amp;refID=7073540&amp;Result=3","7073540")</f>
        <v>0</v>
      </c>
      <c r="B7245" t="s">
        <v>1275</v>
      </c>
      <c r="C7245" t="s">
        <v>10427</v>
      </c>
      <c r="D7245" t="s">
        <v>18126</v>
      </c>
      <c r="E7245" t="s">
        <v>24611</v>
      </c>
      <c r="F7245" t="s">
        <v>31362</v>
      </c>
      <c r="G7245" t="s">
        <v>31368</v>
      </c>
      <c r="H7245" t="s">
        <v>31378</v>
      </c>
      <c r="I7245" t="s">
        <v>31386</v>
      </c>
      <c r="J7245" t="s">
        <v>31530</v>
      </c>
      <c r="K7245" t="s">
        <v>40661</v>
      </c>
      <c r="L7245" t="s">
        <v>1275</v>
      </c>
      <c r="M7245" t="s">
        <v>42292</v>
      </c>
      <c r="N7245" t="s">
        <v>44905</v>
      </c>
      <c r="O7245" t="s">
        <v>44906</v>
      </c>
      <c r="P7245">
        <v>0</v>
      </c>
      <c r="Q7245">
        <v>0</v>
      </c>
      <c r="R7245" t="s">
        <v>44910</v>
      </c>
      <c r="S7245" t="s">
        <v>45076</v>
      </c>
      <c r="T7245" t="s">
        <v>46446</v>
      </c>
      <c r="U7245" t="s">
        <v>49713</v>
      </c>
      <c r="W7245" t="s">
        <v>42292</v>
      </c>
      <c r="X7245" t="s">
        <v>44911</v>
      </c>
    </row>
    <row r="7246" spans="1:24">
      <c r="A7246">
        <f>HYPERLINK("https://www.philgeps.gov.ph/GEPSNONPILOT/Tender/SplashBidNoticeAbstractUI.aspx?menuIndex=3&amp;refID=7073467&amp;Result=3","7073467")</f>
        <v>0</v>
      </c>
      <c r="B7246" t="s">
        <v>575</v>
      </c>
      <c r="C7246" t="s">
        <v>10428</v>
      </c>
      <c r="D7246" t="s">
        <v>18108</v>
      </c>
      <c r="E7246" t="s">
        <v>24612</v>
      </c>
      <c r="F7246" t="s">
        <v>31362</v>
      </c>
      <c r="G7246" t="s">
        <v>31369</v>
      </c>
      <c r="H7246" t="s">
        <v>15799</v>
      </c>
      <c r="I7246" t="s">
        <v>31409</v>
      </c>
      <c r="J7246" t="s">
        <v>31641</v>
      </c>
      <c r="K7246" t="s">
        <v>40665</v>
      </c>
      <c r="M7246" t="s">
        <v>41531</v>
      </c>
      <c r="N7246" t="s">
        <v>44905</v>
      </c>
      <c r="O7246" t="s">
        <v>44906</v>
      </c>
      <c r="P7246">
        <v>0</v>
      </c>
      <c r="Q7246">
        <v>4</v>
      </c>
      <c r="R7246" t="s">
        <v>44910</v>
      </c>
      <c r="S7246" t="s">
        <v>45076</v>
      </c>
      <c r="T7246" t="s">
        <v>46671</v>
      </c>
      <c r="U7246" t="s">
        <v>52813</v>
      </c>
      <c r="W7246" t="s">
        <v>41531</v>
      </c>
      <c r="X7246" t="s">
        <v>44911</v>
      </c>
    </row>
    <row r="7247" spans="1:24">
      <c r="A7247">
        <f>HYPERLINK("https://www.philgeps.gov.ph/GEPSNONPILOT/Tender/SplashBidNoticeAbstractUI.aspx?menuIndex=3&amp;refID=7073409&amp;Result=3","7073409")</f>
        <v>0</v>
      </c>
      <c r="B7247" t="s">
        <v>2187</v>
      </c>
      <c r="C7247" t="s">
        <v>10429</v>
      </c>
      <c r="D7247" t="s">
        <v>18108</v>
      </c>
      <c r="E7247" t="s">
        <v>24613</v>
      </c>
      <c r="F7247" t="s">
        <v>31362</v>
      </c>
      <c r="G7247" t="s">
        <v>31370</v>
      </c>
      <c r="H7247" t="s">
        <v>15799</v>
      </c>
      <c r="I7247" t="s">
        <v>3815</v>
      </c>
      <c r="J7247" t="s">
        <v>35623</v>
      </c>
      <c r="K7247" t="s">
        <v>40665</v>
      </c>
      <c r="M7247" t="s">
        <v>43318</v>
      </c>
      <c r="N7247" t="s">
        <v>44905</v>
      </c>
      <c r="O7247" t="s">
        <v>44906</v>
      </c>
      <c r="P7247">
        <v>0</v>
      </c>
      <c r="Q7247">
        <v>0</v>
      </c>
      <c r="R7247" t="s">
        <v>44910</v>
      </c>
      <c r="S7247" t="s">
        <v>45076</v>
      </c>
      <c r="T7247" t="s">
        <v>46447</v>
      </c>
      <c r="U7247" t="s">
        <v>52814</v>
      </c>
      <c r="W7247" t="s">
        <v>43318</v>
      </c>
      <c r="X7247" t="s">
        <v>44911</v>
      </c>
    </row>
    <row r="7248" spans="1:24">
      <c r="A7248">
        <f>HYPERLINK("https://www.philgeps.gov.ph/GEPSNONPILOT/Tender/SplashBidNoticeAbstractUI.aspx?menuIndex=3&amp;refID=7073535&amp;Result=3","7073535")</f>
        <v>0</v>
      </c>
      <c r="B7248" t="s">
        <v>424</v>
      </c>
      <c r="C7248" t="s">
        <v>10430</v>
      </c>
      <c r="D7248" t="s">
        <v>18168</v>
      </c>
      <c r="E7248" t="s">
        <v>10430</v>
      </c>
      <c r="F7248" t="s">
        <v>31362</v>
      </c>
      <c r="G7248" t="s">
        <v>31369</v>
      </c>
      <c r="H7248" t="s">
        <v>15799</v>
      </c>
      <c r="I7248" t="s">
        <v>13635</v>
      </c>
      <c r="J7248" t="s">
        <v>31634</v>
      </c>
      <c r="K7248" t="s">
        <v>40686</v>
      </c>
      <c r="M7248" t="s">
        <v>43301</v>
      </c>
      <c r="N7248" t="s">
        <v>44905</v>
      </c>
      <c r="O7248" t="s">
        <v>44906</v>
      </c>
      <c r="P7248">
        <v>0</v>
      </c>
      <c r="Q7248">
        <v>9</v>
      </c>
      <c r="R7248" t="s">
        <v>44910</v>
      </c>
      <c r="S7248" t="s">
        <v>45076</v>
      </c>
      <c r="T7248" t="s">
        <v>46450</v>
      </c>
      <c r="U7248" t="s">
        <v>52815</v>
      </c>
      <c r="W7248" t="s">
        <v>43301</v>
      </c>
      <c r="X7248" t="s">
        <v>44911</v>
      </c>
    </row>
    <row r="7249" spans="1:24">
      <c r="A7249">
        <f>HYPERLINK("https://www.philgeps.gov.ph/GEPSNONPILOT/Tender/SplashBidNoticeAbstractUI.aspx?menuIndex=3&amp;refID=7073532&amp;Result=3","7073532")</f>
        <v>0</v>
      </c>
      <c r="B7249" t="s">
        <v>347</v>
      </c>
      <c r="C7249" t="s">
        <v>10431</v>
      </c>
      <c r="D7249" t="s">
        <v>18120</v>
      </c>
      <c r="E7249" t="s">
        <v>24557</v>
      </c>
      <c r="F7249" t="s">
        <v>31362</v>
      </c>
      <c r="G7249" t="s">
        <v>31369</v>
      </c>
      <c r="H7249" t="s">
        <v>15799</v>
      </c>
      <c r="I7249" t="s">
        <v>31393</v>
      </c>
      <c r="J7249" t="s">
        <v>35993</v>
      </c>
      <c r="K7249" t="s">
        <v>40666</v>
      </c>
      <c r="M7249" t="s">
        <v>41293</v>
      </c>
      <c r="N7249" t="s">
        <v>44905</v>
      </c>
      <c r="O7249" t="s">
        <v>44906</v>
      </c>
      <c r="P7249">
        <v>0</v>
      </c>
      <c r="Q7249">
        <v>11</v>
      </c>
      <c r="R7249" t="s">
        <v>44910</v>
      </c>
      <c r="S7249" t="s">
        <v>45076</v>
      </c>
      <c r="T7249" t="s">
        <v>46607</v>
      </c>
      <c r="U7249" t="s">
        <v>52816</v>
      </c>
      <c r="V7249" t="s">
        <v>59778</v>
      </c>
      <c r="W7249" t="s">
        <v>41293</v>
      </c>
      <c r="X7249" t="s">
        <v>44911</v>
      </c>
    </row>
    <row r="7250" spans="1:24">
      <c r="A7250">
        <f>HYPERLINK("https://www.philgeps.gov.ph/GEPSNONPILOT/Tender/SplashBidNoticeAbstractUI.aspx?menuIndex=3&amp;refID=7073531&amp;Result=3","7073531")</f>
        <v>0</v>
      </c>
      <c r="B7250" t="s">
        <v>1117</v>
      </c>
      <c r="C7250" t="s">
        <v>10432</v>
      </c>
      <c r="D7250" t="s">
        <v>18177</v>
      </c>
      <c r="E7250" t="s">
        <v>24614</v>
      </c>
      <c r="F7250" t="s">
        <v>31362</v>
      </c>
      <c r="G7250" t="s">
        <v>31369</v>
      </c>
      <c r="H7250" t="s">
        <v>31378</v>
      </c>
      <c r="I7250" t="s">
        <v>31386</v>
      </c>
      <c r="J7250" t="s">
        <v>31637</v>
      </c>
      <c r="K7250" t="s">
        <v>40827</v>
      </c>
      <c r="M7250" t="s">
        <v>42123</v>
      </c>
      <c r="N7250" t="s">
        <v>44905</v>
      </c>
      <c r="O7250" t="s">
        <v>44906</v>
      </c>
      <c r="P7250">
        <v>0</v>
      </c>
      <c r="Q7250">
        <v>0</v>
      </c>
      <c r="R7250" t="s">
        <v>44910</v>
      </c>
      <c r="S7250" t="s">
        <v>45076</v>
      </c>
      <c r="T7250" t="s">
        <v>46696</v>
      </c>
      <c r="U7250" t="s">
        <v>52817</v>
      </c>
      <c r="W7250" t="s">
        <v>42123</v>
      </c>
      <c r="X7250" t="s">
        <v>44911</v>
      </c>
    </row>
    <row r="7251" spans="1:24">
      <c r="A7251">
        <f>HYPERLINK("https://www.philgeps.gov.ph/GEPSNONPILOT/Tender/SplashBidNoticeAbstractUI.aspx?menuIndex=3&amp;refID=7073538&amp;Result=3","7073538")</f>
        <v>0</v>
      </c>
      <c r="B7251" t="s">
        <v>2206</v>
      </c>
      <c r="C7251" t="s">
        <v>10433</v>
      </c>
      <c r="D7251" t="s">
        <v>18157</v>
      </c>
      <c r="E7251" t="s">
        <v>24615</v>
      </c>
      <c r="F7251" t="s">
        <v>31362</v>
      </c>
      <c r="G7251" t="s">
        <v>31368</v>
      </c>
      <c r="H7251" t="s">
        <v>15799</v>
      </c>
      <c r="I7251" t="s">
        <v>3815</v>
      </c>
      <c r="J7251" t="s">
        <v>32424</v>
      </c>
      <c r="K7251" t="s">
        <v>40666</v>
      </c>
      <c r="M7251" t="s">
        <v>43337</v>
      </c>
      <c r="N7251" t="s">
        <v>44905</v>
      </c>
      <c r="O7251" t="s">
        <v>44906</v>
      </c>
      <c r="P7251">
        <v>0</v>
      </c>
      <c r="Q7251">
        <v>0</v>
      </c>
      <c r="R7251" t="s">
        <v>44910</v>
      </c>
      <c r="S7251" t="s">
        <v>45076</v>
      </c>
      <c r="T7251" t="s">
        <v>46750</v>
      </c>
      <c r="U7251" t="s">
        <v>52818</v>
      </c>
      <c r="V7251" t="s">
        <v>59779</v>
      </c>
      <c r="W7251" t="s">
        <v>43337</v>
      </c>
      <c r="X7251" t="s">
        <v>44911</v>
      </c>
    </row>
    <row r="7252" spans="1:24">
      <c r="A7252">
        <f>HYPERLINK("https://www.philgeps.gov.ph/GEPSNONPILOT/Tender/SplashBidNoticeAbstractUI.aspx?menuIndex=3&amp;refID=7073529&amp;Result=3","7073529")</f>
        <v>0</v>
      </c>
      <c r="B7252" t="s">
        <v>2207</v>
      </c>
      <c r="C7252" t="s">
        <v>10434</v>
      </c>
      <c r="D7252" t="s">
        <v>18177</v>
      </c>
      <c r="E7252" t="s">
        <v>24616</v>
      </c>
      <c r="F7252" t="s">
        <v>31362</v>
      </c>
      <c r="G7252" t="s">
        <v>31368</v>
      </c>
      <c r="H7252" t="s">
        <v>15799</v>
      </c>
      <c r="I7252" t="s">
        <v>31430</v>
      </c>
      <c r="J7252" t="s">
        <v>35994</v>
      </c>
      <c r="K7252" t="s">
        <v>40670</v>
      </c>
      <c r="M7252" t="s">
        <v>43338</v>
      </c>
      <c r="N7252" t="s">
        <v>44905</v>
      </c>
      <c r="O7252" t="s">
        <v>44906</v>
      </c>
      <c r="P7252">
        <v>0</v>
      </c>
      <c r="Q7252">
        <v>1</v>
      </c>
      <c r="R7252" t="s">
        <v>44910</v>
      </c>
      <c r="S7252" t="s">
        <v>45076</v>
      </c>
      <c r="T7252" t="s">
        <v>46410</v>
      </c>
      <c r="U7252" t="s">
        <v>52819</v>
      </c>
      <c r="W7252" t="s">
        <v>43338</v>
      </c>
      <c r="X7252" t="s">
        <v>44911</v>
      </c>
    </row>
    <row r="7253" spans="1:24">
      <c r="A7253">
        <f>HYPERLINK("https://www.philgeps.gov.ph/GEPSNONPILOT/Tender/SplashBidNoticeAbstractUI.aspx?menuIndex=3&amp;refID=7073537&amp;Result=3","7073537")</f>
        <v>0</v>
      </c>
      <c r="B7253" t="s">
        <v>179</v>
      </c>
      <c r="C7253" t="s">
        <v>10435</v>
      </c>
      <c r="D7253" t="s">
        <v>18155</v>
      </c>
      <c r="E7253" t="s">
        <v>24617</v>
      </c>
      <c r="F7253" t="s">
        <v>31362</v>
      </c>
      <c r="G7253" t="s">
        <v>31368</v>
      </c>
      <c r="H7253" t="s">
        <v>15799</v>
      </c>
      <c r="I7253" t="s">
        <v>31422</v>
      </c>
      <c r="J7253" t="s">
        <v>31546</v>
      </c>
      <c r="K7253" t="s">
        <v>40665</v>
      </c>
      <c r="M7253" t="s">
        <v>41117</v>
      </c>
      <c r="N7253" t="s">
        <v>44905</v>
      </c>
      <c r="O7253" t="s">
        <v>44906</v>
      </c>
      <c r="P7253">
        <v>0</v>
      </c>
      <c r="Q7253">
        <v>2</v>
      </c>
      <c r="R7253" t="s">
        <v>44910</v>
      </c>
      <c r="S7253" t="s">
        <v>45076</v>
      </c>
      <c r="T7253" t="s">
        <v>46583</v>
      </c>
      <c r="U7253" t="s">
        <v>52820</v>
      </c>
      <c r="V7253" t="s">
        <v>59091</v>
      </c>
      <c r="W7253" t="s">
        <v>60838</v>
      </c>
      <c r="X7253" t="s">
        <v>44911</v>
      </c>
    </row>
    <row r="7254" spans="1:24">
      <c r="A7254">
        <f>HYPERLINK("https://www.philgeps.gov.ph/GEPSNONPILOT/Tender/SplashBidNoticeAbstractUI.aspx?menuIndex=3&amp;refID=7073549&amp;Result=3","7073549")</f>
        <v>0</v>
      </c>
      <c r="B7254" t="s">
        <v>2208</v>
      </c>
      <c r="C7254" t="s">
        <v>10436</v>
      </c>
      <c r="D7254" t="s">
        <v>18124</v>
      </c>
      <c r="E7254" t="s">
        <v>24618</v>
      </c>
      <c r="F7254" t="s">
        <v>31362</v>
      </c>
      <c r="G7254" t="s">
        <v>31369</v>
      </c>
      <c r="H7254" t="s">
        <v>15799</v>
      </c>
      <c r="I7254" t="s">
        <v>6373</v>
      </c>
      <c r="J7254" t="s">
        <v>35995</v>
      </c>
      <c r="K7254" t="s">
        <v>40666</v>
      </c>
      <c r="M7254" t="s">
        <v>43339</v>
      </c>
      <c r="N7254" t="s">
        <v>44905</v>
      </c>
      <c r="O7254" t="s">
        <v>44906</v>
      </c>
      <c r="P7254">
        <v>0</v>
      </c>
      <c r="Q7254">
        <v>1</v>
      </c>
      <c r="R7254" t="s">
        <v>44910</v>
      </c>
      <c r="S7254" t="s">
        <v>45076</v>
      </c>
      <c r="T7254" t="s">
        <v>46447</v>
      </c>
      <c r="U7254" t="s">
        <v>52821</v>
      </c>
      <c r="W7254" t="s">
        <v>43339</v>
      </c>
      <c r="X7254" t="s">
        <v>44911</v>
      </c>
    </row>
    <row r="7255" spans="1:24">
      <c r="A7255">
        <f>HYPERLINK("https://www.philgeps.gov.ph/GEPSNONPILOT/Tender/SplashBidNoticeAbstractUI.aspx?menuIndex=3&amp;refID=7073488&amp;Result=3","7073488")</f>
        <v>0</v>
      </c>
      <c r="B7255" t="s">
        <v>575</v>
      </c>
      <c r="C7255" t="s">
        <v>10437</v>
      </c>
      <c r="D7255" t="s">
        <v>18108</v>
      </c>
      <c r="E7255" t="s">
        <v>24619</v>
      </c>
      <c r="F7255" t="s">
        <v>31362</v>
      </c>
      <c r="G7255" t="s">
        <v>31369</v>
      </c>
      <c r="H7255" t="s">
        <v>15799</v>
      </c>
      <c r="I7255" t="s">
        <v>31409</v>
      </c>
      <c r="J7255" t="s">
        <v>34386</v>
      </c>
      <c r="K7255" t="s">
        <v>40665</v>
      </c>
      <c r="M7255" t="s">
        <v>41531</v>
      </c>
      <c r="N7255" t="s">
        <v>44905</v>
      </c>
      <c r="O7255" t="s">
        <v>44906</v>
      </c>
      <c r="P7255">
        <v>0</v>
      </c>
      <c r="Q7255">
        <v>7</v>
      </c>
      <c r="R7255" t="s">
        <v>44910</v>
      </c>
      <c r="S7255" t="s">
        <v>45076</v>
      </c>
      <c r="T7255" t="s">
        <v>46671</v>
      </c>
      <c r="U7255" t="s">
        <v>52822</v>
      </c>
      <c r="W7255" t="s">
        <v>41531</v>
      </c>
      <c r="X7255" t="s">
        <v>44911</v>
      </c>
    </row>
    <row r="7256" spans="1:24">
      <c r="A7256">
        <f>HYPERLINK("https://www.philgeps.gov.ph/GEPSNONPILOT/Tender/SplashBidNoticeAbstractUI.aspx?menuIndex=3&amp;refID=7073614&amp;Result=3","7073614")</f>
        <v>0</v>
      </c>
      <c r="B7256" t="s">
        <v>1748</v>
      </c>
      <c r="C7256" t="s">
        <v>10438</v>
      </c>
      <c r="D7256" t="s">
        <v>18134</v>
      </c>
      <c r="E7256" t="s">
        <v>24620</v>
      </c>
      <c r="F7256" t="s">
        <v>31362</v>
      </c>
      <c r="G7256" t="s">
        <v>31368</v>
      </c>
      <c r="H7256" t="s">
        <v>31378</v>
      </c>
      <c r="I7256" t="s">
        <v>31386</v>
      </c>
      <c r="J7256" t="s">
        <v>31536</v>
      </c>
      <c r="K7256" t="s">
        <v>40661</v>
      </c>
      <c r="M7256" t="s">
        <v>42823</v>
      </c>
      <c r="N7256" t="s">
        <v>44905</v>
      </c>
      <c r="O7256" t="s">
        <v>44906</v>
      </c>
      <c r="P7256">
        <v>0</v>
      </c>
      <c r="Q7256">
        <v>0</v>
      </c>
      <c r="R7256" t="s">
        <v>44910</v>
      </c>
      <c r="S7256" t="s">
        <v>45076</v>
      </c>
      <c r="T7256" t="s">
        <v>46411</v>
      </c>
      <c r="U7256" t="s">
        <v>52823</v>
      </c>
      <c r="W7256" t="s">
        <v>42823</v>
      </c>
      <c r="X7256" t="s">
        <v>44911</v>
      </c>
    </row>
    <row r="7257" spans="1:24">
      <c r="A7257">
        <f>HYPERLINK("https://www.philgeps.gov.ph/GEPSNONPILOT/Tender/SplashBidNoticeAbstractUI.aspx?menuIndex=3&amp;refID=7073611&amp;Result=3","7073611")</f>
        <v>0</v>
      </c>
      <c r="B7257" t="s">
        <v>255</v>
      </c>
      <c r="C7257" t="s">
        <v>10439</v>
      </c>
      <c r="E7257" t="s">
        <v>24621</v>
      </c>
      <c r="F7257" t="s">
        <v>31362</v>
      </c>
      <c r="G7257" t="s">
        <v>31368</v>
      </c>
      <c r="H7257" t="s">
        <v>15799</v>
      </c>
      <c r="I7257" t="s">
        <v>6373</v>
      </c>
      <c r="J7257" t="s">
        <v>35996</v>
      </c>
      <c r="K7257" t="s">
        <v>40662</v>
      </c>
      <c r="M7257" t="s">
        <v>43340</v>
      </c>
      <c r="N7257" t="s">
        <v>44905</v>
      </c>
      <c r="O7257" t="s">
        <v>44906</v>
      </c>
      <c r="P7257">
        <v>0</v>
      </c>
      <c r="Q7257">
        <v>0</v>
      </c>
      <c r="R7257" t="s">
        <v>44910</v>
      </c>
      <c r="S7257" t="s">
        <v>45076</v>
      </c>
      <c r="T7257" t="s">
        <v>46428</v>
      </c>
      <c r="U7257" t="s">
        <v>52824</v>
      </c>
      <c r="W7257" t="s">
        <v>43340</v>
      </c>
      <c r="X7257" t="s">
        <v>44911</v>
      </c>
    </row>
    <row r="7258" spans="1:24">
      <c r="A7258">
        <f>HYPERLINK("https://www.philgeps.gov.ph/GEPSNONPILOT/Tender/SplashBidNoticeAbstractUI.aspx?menuIndex=3&amp;refID=7073604&amp;Result=3","7073604")</f>
        <v>0</v>
      </c>
      <c r="B7258" t="s">
        <v>103</v>
      </c>
      <c r="C7258" t="s">
        <v>10440</v>
      </c>
      <c r="D7258" t="s">
        <v>18112</v>
      </c>
      <c r="E7258" t="s">
        <v>24622</v>
      </c>
      <c r="F7258" t="s">
        <v>31362</v>
      </c>
      <c r="G7258" t="s">
        <v>31368</v>
      </c>
      <c r="H7258" t="s">
        <v>15799</v>
      </c>
      <c r="I7258" t="s">
        <v>31430</v>
      </c>
      <c r="J7258" t="s">
        <v>35997</v>
      </c>
      <c r="K7258" t="s">
        <v>40665</v>
      </c>
      <c r="M7258" t="s">
        <v>43341</v>
      </c>
      <c r="N7258" t="s">
        <v>44905</v>
      </c>
      <c r="O7258" t="s">
        <v>44906</v>
      </c>
      <c r="P7258">
        <v>0</v>
      </c>
      <c r="Q7258">
        <v>5</v>
      </c>
      <c r="R7258" t="s">
        <v>44910</v>
      </c>
      <c r="S7258" t="s">
        <v>45076</v>
      </c>
      <c r="T7258" t="s">
        <v>46412</v>
      </c>
      <c r="U7258" t="s">
        <v>52825</v>
      </c>
      <c r="W7258" t="s">
        <v>43341</v>
      </c>
      <c r="X7258" t="s">
        <v>44911</v>
      </c>
    </row>
    <row r="7259" spans="1:24">
      <c r="A7259">
        <f>HYPERLINK("https://www.philgeps.gov.ph/GEPSNONPILOT/Tender/SplashBidNoticeAbstractUI.aspx?menuIndex=3&amp;refID=7073524&amp;Result=3","7073524")</f>
        <v>0</v>
      </c>
      <c r="B7259" t="s">
        <v>2181</v>
      </c>
      <c r="C7259" t="s">
        <v>10441</v>
      </c>
      <c r="D7259" t="s">
        <v>18156</v>
      </c>
      <c r="E7259" t="s">
        <v>24623</v>
      </c>
      <c r="F7259" t="s">
        <v>31362</v>
      </c>
      <c r="G7259" t="s">
        <v>31369</v>
      </c>
      <c r="H7259" t="s">
        <v>31378</v>
      </c>
      <c r="I7259" t="s">
        <v>31386</v>
      </c>
      <c r="J7259" t="s">
        <v>33662</v>
      </c>
      <c r="K7259" t="s">
        <v>40683</v>
      </c>
      <c r="M7259" t="s">
        <v>43312</v>
      </c>
      <c r="N7259" t="s">
        <v>44905</v>
      </c>
      <c r="O7259" t="s">
        <v>44906</v>
      </c>
      <c r="P7259">
        <v>0</v>
      </c>
      <c r="Q7259">
        <v>2</v>
      </c>
      <c r="R7259" t="s">
        <v>44910</v>
      </c>
      <c r="S7259" t="s">
        <v>45076</v>
      </c>
      <c r="T7259" t="s">
        <v>46392</v>
      </c>
      <c r="U7259" t="s">
        <v>52826</v>
      </c>
      <c r="W7259" t="s">
        <v>43312</v>
      </c>
      <c r="X7259" t="s">
        <v>44911</v>
      </c>
    </row>
    <row r="7260" spans="1:24">
      <c r="A7260">
        <f>HYPERLINK("https://www.philgeps.gov.ph/GEPSNONPILOT/Tender/SplashBidNoticeAbstractUI.aspx?menuIndex=3&amp;refID=7073602&amp;Result=3","7073602")</f>
        <v>0</v>
      </c>
      <c r="B7260" t="s">
        <v>2209</v>
      </c>
      <c r="C7260" t="s">
        <v>10442</v>
      </c>
      <c r="D7260" t="s">
        <v>18106</v>
      </c>
      <c r="E7260" t="s">
        <v>24624</v>
      </c>
      <c r="F7260" t="s">
        <v>31362</v>
      </c>
      <c r="G7260" t="s">
        <v>31368</v>
      </c>
      <c r="H7260" t="s">
        <v>15799</v>
      </c>
      <c r="I7260" t="s">
        <v>4283</v>
      </c>
      <c r="J7260" t="s">
        <v>35998</v>
      </c>
      <c r="K7260" t="s">
        <v>40693</v>
      </c>
      <c r="M7260" t="s">
        <v>43342</v>
      </c>
      <c r="N7260" t="s">
        <v>44905</v>
      </c>
      <c r="O7260" t="s">
        <v>44906</v>
      </c>
      <c r="P7260">
        <v>0</v>
      </c>
      <c r="Q7260">
        <v>0</v>
      </c>
      <c r="R7260" t="s">
        <v>44910</v>
      </c>
      <c r="S7260" t="s">
        <v>45076</v>
      </c>
      <c r="T7260" t="s">
        <v>46467</v>
      </c>
      <c r="U7260" t="s">
        <v>52827</v>
      </c>
      <c r="W7260" t="s">
        <v>43342</v>
      </c>
      <c r="X7260" t="s">
        <v>44911</v>
      </c>
    </row>
    <row r="7261" spans="1:24">
      <c r="A7261">
        <f>HYPERLINK("https://www.philgeps.gov.ph/GEPSNONPILOT/Tender/SplashBidNoticeAbstractUI.aspx?menuIndex=3&amp;refID=7073519&amp;Result=3","7073519")</f>
        <v>0</v>
      </c>
      <c r="B7261" t="s">
        <v>2210</v>
      </c>
      <c r="C7261" t="s">
        <v>10443</v>
      </c>
      <c r="D7261" t="s">
        <v>18168</v>
      </c>
      <c r="E7261" t="s">
        <v>24625</v>
      </c>
      <c r="F7261" t="s">
        <v>31362</v>
      </c>
      <c r="G7261" t="s">
        <v>31369</v>
      </c>
      <c r="H7261" t="s">
        <v>31378</v>
      </c>
      <c r="I7261" t="s">
        <v>31386</v>
      </c>
      <c r="J7261" t="s">
        <v>35999</v>
      </c>
      <c r="K7261" t="s">
        <v>40675</v>
      </c>
      <c r="M7261" t="s">
        <v>43343</v>
      </c>
      <c r="N7261" t="s">
        <v>44905</v>
      </c>
      <c r="O7261" t="s">
        <v>44906</v>
      </c>
      <c r="P7261">
        <v>0</v>
      </c>
      <c r="Q7261">
        <v>0</v>
      </c>
      <c r="R7261" t="s">
        <v>44910</v>
      </c>
      <c r="S7261" t="s">
        <v>45076</v>
      </c>
      <c r="T7261" t="s">
        <v>46461</v>
      </c>
      <c r="U7261" t="s">
        <v>52828</v>
      </c>
      <c r="W7261" t="s">
        <v>43343</v>
      </c>
      <c r="X7261" t="s">
        <v>44911</v>
      </c>
    </row>
    <row r="7262" spans="1:24">
      <c r="A7262">
        <f>HYPERLINK("https://www.philgeps.gov.ph/GEPSNONPILOT/Tender/SplashBidNoticeAbstractUI.aspx?menuIndex=3&amp;refID=7073595&amp;Result=3","7073595")</f>
        <v>0</v>
      </c>
      <c r="B7262" t="s">
        <v>2211</v>
      </c>
      <c r="C7262" t="s">
        <v>10444</v>
      </c>
      <c r="D7262" t="s">
        <v>18108</v>
      </c>
      <c r="E7262" t="s">
        <v>24626</v>
      </c>
      <c r="F7262" t="s">
        <v>31362</v>
      </c>
      <c r="G7262" t="s">
        <v>31372</v>
      </c>
      <c r="H7262" t="s">
        <v>15799</v>
      </c>
      <c r="I7262" t="s">
        <v>3582</v>
      </c>
      <c r="J7262" t="s">
        <v>31724</v>
      </c>
      <c r="K7262" t="s">
        <v>40672</v>
      </c>
      <c r="M7262" t="s">
        <v>43344</v>
      </c>
      <c r="N7262" t="s">
        <v>44905</v>
      </c>
      <c r="O7262" t="s">
        <v>44906</v>
      </c>
      <c r="P7262">
        <v>0</v>
      </c>
      <c r="Q7262">
        <v>0</v>
      </c>
      <c r="R7262" t="s">
        <v>44910</v>
      </c>
      <c r="S7262" t="s">
        <v>45076</v>
      </c>
      <c r="T7262" t="s">
        <v>46414</v>
      </c>
      <c r="U7262" t="s">
        <v>52829</v>
      </c>
      <c r="W7262" t="s">
        <v>43344</v>
      </c>
      <c r="X7262" t="s">
        <v>44911</v>
      </c>
    </row>
    <row r="7263" spans="1:24">
      <c r="A7263">
        <f>HYPERLINK("https://www.philgeps.gov.ph/GEPSNONPILOT/Tender/SplashBidNoticeAbstractUI.aspx?menuIndex=3&amp;refID=7073502&amp;Result=3","7073502")</f>
        <v>0</v>
      </c>
      <c r="B7263" t="s">
        <v>1865</v>
      </c>
      <c r="C7263" t="s">
        <v>10445</v>
      </c>
      <c r="D7263" t="s">
        <v>18108</v>
      </c>
      <c r="E7263" t="s">
        <v>24627</v>
      </c>
      <c r="F7263" t="s">
        <v>31362</v>
      </c>
      <c r="G7263" t="s">
        <v>31368</v>
      </c>
      <c r="H7263" t="s">
        <v>15799</v>
      </c>
      <c r="I7263" t="s">
        <v>31393</v>
      </c>
      <c r="J7263" t="s">
        <v>32721</v>
      </c>
      <c r="K7263" t="s">
        <v>40661</v>
      </c>
      <c r="M7263" t="s">
        <v>42955</v>
      </c>
      <c r="N7263" t="s">
        <v>44905</v>
      </c>
      <c r="O7263" t="s">
        <v>44906</v>
      </c>
      <c r="P7263">
        <v>0</v>
      </c>
      <c r="Q7263">
        <v>0</v>
      </c>
      <c r="R7263" t="s">
        <v>44910</v>
      </c>
      <c r="S7263" t="s">
        <v>45076</v>
      </c>
      <c r="T7263" t="s">
        <v>46467</v>
      </c>
      <c r="U7263" t="s">
        <v>52830</v>
      </c>
      <c r="V7263" t="s">
        <v>59605</v>
      </c>
      <c r="W7263" t="s">
        <v>60914</v>
      </c>
      <c r="X7263" t="s">
        <v>44911</v>
      </c>
    </row>
    <row r="7264" spans="1:24">
      <c r="A7264">
        <f>HYPERLINK("https://www.philgeps.gov.ph/GEPSNONPILOT/Tender/SplashBidNoticeAbstractUI.aspx?menuIndex=3&amp;refID=7073589&amp;Result=3","7073589")</f>
        <v>0</v>
      </c>
      <c r="B7264" t="s">
        <v>622</v>
      </c>
      <c r="C7264" t="s">
        <v>10446</v>
      </c>
      <c r="D7264" t="s">
        <v>18108</v>
      </c>
      <c r="E7264" t="s">
        <v>24628</v>
      </c>
      <c r="F7264" t="s">
        <v>31362</v>
      </c>
      <c r="G7264" t="s">
        <v>31373</v>
      </c>
      <c r="H7264" t="s">
        <v>15799</v>
      </c>
      <c r="I7264" t="s">
        <v>31382</v>
      </c>
      <c r="J7264" t="s">
        <v>33944</v>
      </c>
      <c r="K7264" t="s">
        <v>40686</v>
      </c>
      <c r="M7264" t="s">
        <v>42973</v>
      </c>
      <c r="N7264" t="s">
        <v>44905</v>
      </c>
      <c r="O7264" t="s">
        <v>44906</v>
      </c>
      <c r="Q7264">
        <v>14</v>
      </c>
      <c r="R7264" t="s">
        <v>44910</v>
      </c>
      <c r="S7264" t="s">
        <v>45086</v>
      </c>
      <c r="T7264" t="s">
        <v>46436</v>
      </c>
      <c r="U7264" t="s">
        <v>52773</v>
      </c>
      <c r="W7264" t="s">
        <v>42973</v>
      </c>
      <c r="X7264" t="s">
        <v>44911</v>
      </c>
    </row>
    <row r="7265" spans="1:24">
      <c r="A7265">
        <f>HYPERLINK("https://www.philgeps.gov.ph/GEPSNONPILOT/Tender/SplashBidNoticeAbstractUI.aspx?menuIndex=3&amp;refID=7073581&amp;Result=3","7073581")</f>
        <v>0</v>
      </c>
      <c r="B7265" t="s">
        <v>424</v>
      </c>
      <c r="C7265" t="s">
        <v>10447</v>
      </c>
      <c r="D7265" t="s">
        <v>18168</v>
      </c>
      <c r="E7265" t="s">
        <v>24629</v>
      </c>
      <c r="F7265" t="s">
        <v>31362</v>
      </c>
      <c r="G7265" t="s">
        <v>31369</v>
      </c>
      <c r="H7265" t="s">
        <v>15799</v>
      </c>
      <c r="I7265" t="s">
        <v>31413</v>
      </c>
      <c r="J7265" t="s">
        <v>36000</v>
      </c>
      <c r="K7265" t="s">
        <v>40679</v>
      </c>
      <c r="M7265" t="s">
        <v>43301</v>
      </c>
      <c r="N7265" t="s">
        <v>44905</v>
      </c>
      <c r="O7265" t="s">
        <v>44906</v>
      </c>
      <c r="P7265">
        <v>0</v>
      </c>
      <c r="Q7265">
        <v>2</v>
      </c>
      <c r="R7265" t="s">
        <v>44910</v>
      </c>
      <c r="S7265" t="s">
        <v>45076</v>
      </c>
      <c r="T7265" t="s">
        <v>46450</v>
      </c>
      <c r="U7265" t="s">
        <v>52831</v>
      </c>
      <c r="W7265" t="s">
        <v>43301</v>
      </c>
      <c r="X7265" t="s">
        <v>44911</v>
      </c>
    </row>
    <row r="7266" spans="1:24">
      <c r="A7266">
        <f>HYPERLINK("https://www.philgeps.gov.ph/GEPSNONPILOT/Tender/SplashBidNoticeAbstractUI.aspx?menuIndex=3&amp;refID=7073575&amp;Result=3","7073575")</f>
        <v>0</v>
      </c>
      <c r="B7266" t="s">
        <v>991</v>
      </c>
      <c r="C7266" t="s">
        <v>10448</v>
      </c>
      <c r="D7266" t="s">
        <v>18132</v>
      </c>
      <c r="E7266" t="s">
        <v>24630</v>
      </c>
      <c r="F7266" t="s">
        <v>31362</v>
      </c>
      <c r="G7266" t="s">
        <v>31369</v>
      </c>
      <c r="H7266" t="s">
        <v>31378</v>
      </c>
      <c r="I7266" t="s">
        <v>31386</v>
      </c>
      <c r="J7266" t="s">
        <v>36001</v>
      </c>
      <c r="K7266" t="s">
        <v>40814</v>
      </c>
      <c r="M7266" t="s">
        <v>41985</v>
      </c>
      <c r="N7266" t="s">
        <v>44905</v>
      </c>
      <c r="O7266" t="s">
        <v>44906</v>
      </c>
      <c r="P7266">
        <v>0</v>
      </c>
      <c r="Q7266">
        <v>0</v>
      </c>
      <c r="R7266" t="s">
        <v>44910</v>
      </c>
      <c r="S7266" t="s">
        <v>45076</v>
      </c>
      <c r="T7266" t="s">
        <v>46741</v>
      </c>
      <c r="U7266" t="s">
        <v>52832</v>
      </c>
      <c r="W7266" t="s">
        <v>41985</v>
      </c>
      <c r="X7266" t="s">
        <v>44911</v>
      </c>
    </row>
    <row r="7267" spans="1:24">
      <c r="A7267">
        <f>HYPERLINK("https://www.philgeps.gov.ph/GEPSNONPILOT/Tender/SplashBidNoticeAbstractUI.aspx?menuIndex=3&amp;refID=7073570&amp;Result=3","7073570")</f>
        <v>0</v>
      </c>
      <c r="B7267" t="s">
        <v>347</v>
      </c>
      <c r="C7267" t="s">
        <v>10449</v>
      </c>
      <c r="D7267" t="s">
        <v>18120</v>
      </c>
      <c r="E7267" t="s">
        <v>24557</v>
      </c>
      <c r="F7267" t="s">
        <v>31362</v>
      </c>
      <c r="G7267" t="s">
        <v>31369</v>
      </c>
      <c r="H7267" t="s">
        <v>15799</v>
      </c>
      <c r="I7267" t="s">
        <v>3815</v>
      </c>
      <c r="J7267" t="s">
        <v>36002</v>
      </c>
      <c r="K7267" t="s">
        <v>40665</v>
      </c>
      <c r="M7267" t="s">
        <v>41293</v>
      </c>
      <c r="N7267" t="s">
        <v>44905</v>
      </c>
      <c r="O7267" t="s">
        <v>44906</v>
      </c>
      <c r="P7267">
        <v>0</v>
      </c>
      <c r="Q7267">
        <v>2</v>
      </c>
      <c r="R7267" t="s">
        <v>44910</v>
      </c>
      <c r="S7267" t="s">
        <v>45076</v>
      </c>
      <c r="T7267" t="s">
        <v>46607</v>
      </c>
      <c r="U7267" t="s">
        <v>52833</v>
      </c>
      <c r="V7267" t="s">
        <v>59780</v>
      </c>
      <c r="W7267" t="s">
        <v>41293</v>
      </c>
      <c r="X7267" t="s">
        <v>44911</v>
      </c>
    </row>
    <row r="7268" spans="1:24">
      <c r="A7268">
        <f>HYPERLINK("https://www.philgeps.gov.ph/GEPSNONPILOT/Tender/SplashBidNoticeAbstractUI.aspx?menuIndex=3&amp;refID=7073565&amp;Result=3","7073565")</f>
        <v>0</v>
      </c>
      <c r="B7268" t="s">
        <v>2181</v>
      </c>
      <c r="C7268" t="s">
        <v>10450</v>
      </c>
      <c r="D7268" t="s">
        <v>18156</v>
      </c>
      <c r="E7268" t="s">
        <v>24631</v>
      </c>
      <c r="F7268" t="s">
        <v>31362</v>
      </c>
      <c r="G7268" t="s">
        <v>31369</v>
      </c>
      <c r="H7268" t="s">
        <v>31378</v>
      </c>
      <c r="I7268" t="s">
        <v>31386</v>
      </c>
      <c r="J7268" t="s">
        <v>35968</v>
      </c>
      <c r="K7268" t="s">
        <v>40686</v>
      </c>
      <c r="M7268" t="s">
        <v>43312</v>
      </c>
      <c r="N7268" t="s">
        <v>44905</v>
      </c>
      <c r="O7268" t="s">
        <v>44906</v>
      </c>
      <c r="P7268">
        <v>0</v>
      </c>
      <c r="Q7268">
        <v>0</v>
      </c>
      <c r="R7268" t="s">
        <v>44910</v>
      </c>
      <c r="S7268" t="s">
        <v>45076</v>
      </c>
      <c r="T7268" t="s">
        <v>46392</v>
      </c>
      <c r="U7268" t="s">
        <v>52776</v>
      </c>
      <c r="W7268" t="s">
        <v>43312</v>
      </c>
      <c r="X7268" t="s">
        <v>44911</v>
      </c>
    </row>
    <row r="7269" spans="1:24">
      <c r="A7269">
        <f>HYPERLINK("https://www.philgeps.gov.ph/GEPSNONPILOT/Tender/SplashBidNoticeAbstractUI.aspx?menuIndex=3&amp;refID=7073564&amp;Result=3","7073564")</f>
        <v>0</v>
      </c>
      <c r="B7269" t="s">
        <v>2212</v>
      </c>
      <c r="C7269" t="s">
        <v>10451</v>
      </c>
      <c r="D7269" t="s">
        <v>18104</v>
      </c>
      <c r="E7269" t="s">
        <v>24632</v>
      </c>
      <c r="F7269" t="s">
        <v>31362</v>
      </c>
      <c r="G7269" t="s">
        <v>31368</v>
      </c>
      <c r="H7269" t="s">
        <v>15799</v>
      </c>
      <c r="I7269" t="s">
        <v>31385</v>
      </c>
      <c r="J7269" t="s">
        <v>36003</v>
      </c>
      <c r="K7269" t="s">
        <v>40662</v>
      </c>
      <c r="M7269" t="s">
        <v>43345</v>
      </c>
      <c r="N7269" t="s">
        <v>44905</v>
      </c>
      <c r="O7269" t="s">
        <v>44906</v>
      </c>
      <c r="P7269">
        <v>0</v>
      </c>
      <c r="Q7269">
        <v>3</v>
      </c>
      <c r="R7269" t="s">
        <v>44910</v>
      </c>
      <c r="S7269" t="s">
        <v>45076</v>
      </c>
      <c r="T7269" t="s">
        <v>46447</v>
      </c>
      <c r="U7269" t="s">
        <v>52834</v>
      </c>
      <c r="W7269" t="s">
        <v>43345</v>
      </c>
      <c r="X7269" t="s">
        <v>44911</v>
      </c>
    </row>
    <row r="7270" spans="1:24">
      <c r="A7270">
        <f>HYPERLINK("https://www.philgeps.gov.ph/GEPSNONPILOT/Tender/SplashBidNoticeAbstractUI.aspx?menuIndex=3&amp;refID=7073561&amp;Result=3","7073561")</f>
        <v>0</v>
      </c>
      <c r="B7270" t="s">
        <v>1275</v>
      </c>
      <c r="C7270" t="s">
        <v>10452</v>
      </c>
      <c r="D7270" t="s">
        <v>18126</v>
      </c>
      <c r="E7270" t="s">
        <v>24633</v>
      </c>
      <c r="F7270" t="s">
        <v>31362</v>
      </c>
      <c r="G7270" t="s">
        <v>31368</v>
      </c>
      <c r="H7270" t="s">
        <v>31378</v>
      </c>
      <c r="I7270" t="s">
        <v>31386</v>
      </c>
      <c r="J7270" t="s">
        <v>31897</v>
      </c>
      <c r="K7270" t="s">
        <v>40672</v>
      </c>
      <c r="L7270" t="s">
        <v>1275</v>
      </c>
      <c r="M7270" t="s">
        <v>42292</v>
      </c>
      <c r="N7270" t="s">
        <v>44905</v>
      </c>
      <c r="O7270" t="s">
        <v>44906</v>
      </c>
      <c r="P7270">
        <v>0</v>
      </c>
      <c r="Q7270">
        <v>0</v>
      </c>
      <c r="R7270" t="s">
        <v>44910</v>
      </c>
      <c r="S7270" t="s">
        <v>45076</v>
      </c>
      <c r="T7270" t="s">
        <v>46446</v>
      </c>
      <c r="U7270" t="s">
        <v>49713</v>
      </c>
      <c r="W7270" t="s">
        <v>42292</v>
      </c>
      <c r="X7270" t="s">
        <v>44911</v>
      </c>
    </row>
    <row r="7271" spans="1:24">
      <c r="A7271">
        <f>HYPERLINK("https://www.philgeps.gov.ph/GEPSNONPILOT/Tender/SplashBidNoticeAbstractUI.aspx?menuIndex=3&amp;refID=7073556&amp;Result=3","7073556")</f>
        <v>0</v>
      </c>
      <c r="B7271" t="s">
        <v>358</v>
      </c>
      <c r="C7271" t="s">
        <v>10453</v>
      </c>
      <c r="D7271" t="s">
        <v>18109</v>
      </c>
      <c r="E7271" t="s">
        <v>24634</v>
      </c>
      <c r="F7271" t="s">
        <v>31362</v>
      </c>
      <c r="G7271" t="s">
        <v>31368</v>
      </c>
      <c r="H7271" t="s">
        <v>15799</v>
      </c>
      <c r="I7271" t="s">
        <v>31427</v>
      </c>
      <c r="J7271" t="s">
        <v>31530</v>
      </c>
      <c r="K7271" t="s">
        <v>40661</v>
      </c>
      <c r="M7271" t="s">
        <v>41305</v>
      </c>
      <c r="N7271" t="s">
        <v>44905</v>
      </c>
      <c r="O7271" t="s">
        <v>44906</v>
      </c>
      <c r="Q7271">
        <v>0</v>
      </c>
      <c r="R7271" t="s">
        <v>44910</v>
      </c>
      <c r="S7271" t="s">
        <v>45087</v>
      </c>
      <c r="T7271" t="s">
        <v>46411</v>
      </c>
      <c r="U7271" t="s">
        <v>52835</v>
      </c>
      <c r="W7271" t="s">
        <v>41305</v>
      </c>
      <c r="X7271" t="s">
        <v>44911</v>
      </c>
    </row>
    <row r="7272" spans="1:24">
      <c r="A7272">
        <f>HYPERLINK("https://www.philgeps.gov.ph/GEPSNONPILOT/Tender/SplashBidNoticeAbstractUI.aspx?menuIndex=3&amp;refID=7073582&amp;Result=3","7073582")</f>
        <v>0</v>
      </c>
      <c r="B7272" t="s">
        <v>1866</v>
      </c>
      <c r="C7272" t="s">
        <v>10454</v>
      </c>
      <c r="D7272" t="s">
        <v>18108</v>
      </c>
      <c r="E7272" t="s">
        <v>24635</v>
      </c>
      <c r="F7272" t="s">
        <v>31362</v>
      </c>
      <c r="G7272" t="s">
        <v>31368</v>
      </c>
      <c r="H7272" t="s">
        <v>15799</v>
      </c>
      <c r="I7272" t="s">
        <v>31441</v>
      </c>
      <c r="J7272" t="s">
        <v>36004</v>
      </c>
      <c r="K7272" t="s">
        <v>40661</v>
      </c>
      <c r="M7272" t="s">
        <v>42957</v>
      </c>
      <c r="N7272" t="s">
        <v>44905</v>
      </c>
      <c r="O7272" t="s">
        <v>44906</v>
      </c>
      <c r="P7272">
        <v>0</v>
      </c>
      <c r="Q7272">
        <v>3</v>
      </c>
      <c r="R7272" t="s">
        <v>44910</v>
      </c>
      <c r="S7272" t="s">
        <v>45076</v>
      </c>
      <c r="T7272" t="s">
        <v>46509</v>
      </c>
      <c r="U7272" t="s">
        <v>52836</v>
      </c>
      <c r="W7272" t="s">
        <v>42957</v>
      </c>
      <c r="X7272" t="s">
        <v>44911</v>
      </c>
    </row>
    <row r="7273" spans="1:24">
      <c r="A7273">
        <f>HYPERLINK("https://www.philgeps.gov.ph/GEPSNONPILOT/Tender/SplashBidNoticeAbstractUI.aspx?menuIndex=3&amp;refID=7073551&amp;Result=3","7073551")</f>
        <v>0</v>
      </c>
      <c r="B7273" t="s">
        <v>103</v>
      </c>
      <c r="C7273" t="s">
        <v>10455</v>
      </c>
      <c r="D7273" t="s">
        <v>18112</v>
      </c>
      <c r="E7273" t="s">
        <v>24636</v>
      </c>
      <c r="F7273" t="s">
        <v>31362</v>
      </c>
      <c r="G7273" t="s">
        <v>31368</v>
      </c>
      <c r="H7273" t="s">
        <v>15799</v>
      </c>
      <c r="I7273" t="s">
        <v>31399</v>
      </c>
      <c r="J7273" t="s">
        <v>31604</v>
      </c>
      <c r="K7273" t="s">
        <v>40675</v>
      </c>
      <c r="M7273" t="s">
        <v>43341</v>
      </c>
      <c r="N7273" t="s">
        <v>44905</v>
      </c>
      <c r="O7273" t="s">
        <v>44906</v>
      </c>
      <c r="P7273">
        <v>0</v>
      </c>
      <c r="Q7273">
        <v>3</v>
      </c>
      <c r="R7273" t="s">
        <v>44910</v>
      </c>
      <c r="S7273" t="s">
        <v>45076</v>
      </c>
      <c r="T7273" t="s">
        <v>46412</v>
      </c>
      <c r="U7273" t="s">
        <v>52825</v>
      </c>
      <c r="W7273" t="s">
        <v>43341</v>
      </c>
      <c r="X7273" t="s">
        <v>44911</v>
      </c>
    </row>
    <row r="7274" spans="1:24">
      <c r="A7274">
        <f>HYPERLINK("https://www.philgeps.gov.ph/GEPSNONPILOT/Tender/SplashBidNoticeAbstractUI.aspx?menuIndex=3&amp;refID=7073517&amp;Result=3","7073517")</f>
        <v>0</v>
      </c>
      <c r="B7274" t="s">
        <v>2187</v>
      </c>
      <c r="C7274" t="s">
        <v>10456</v>
      </c>
      <c r="D7274" t="s">
        <v>18108</v>
      </c>
      <c r="E7274" t="s">
        <v>24637</v>
      </c>
      <c r="F7274" t="s">
        <v>31362</v>
      </c>
      <c r="G7274" t="s">
        <v>31370</v>
      </c>
      <c r="H7274" t="s">
        <v>15799</v>
      </c>
      <c r="I7274" t="s">
        <v>6373</v>
      </c>
      <c r="J7274" t="s">
        <v>36005</v>
      </c>
      <c r="K7274" t="s">
        <v>40665</v>
      </c>
      <c r="M7274" t="s">
        <v>43318</v>
      </c>
      <c r="N7274" t="s">
        <v>44905</v>
      </c>
      <c r="O7274" t="s">
        <v>44906</v>
      </c>
      <c r="P7274">
        <v>0</v>
      </c>
      <c r="Q7274">
        <v>0</v>
      </c>
      <c r="R7274" t="s">
        <v>44910</v>
      </c>
      <c r="S7274" t="s">
        <v>45076</v>
      </c>
      <c r="T7274" t="s">
        <v>46447</v>
      </c>
      <c r="U7274" t="s">
        <v>52837</v>
      </c>
      <c r="W7274" t="s">
        <v>43318</v>
      </c>
      <c r="X7274" t="s">
        <v>44911</v>
      </c>
    </row>
    <row r="7275" spans="1:24">
      <c r="A7275">
        <f>HYPERLINK("https://www.philgeps.gov.ph/GEPSNONPILOT/Tender/SplashBidNoticeAbstractUI.aspx?menuIndex=3&amp;refID=7073515&amp;Result=3","7073515")</f>
        <v>0</v>
      </c>
      <c r="B7275" t="s">
        <v>2202</v>
      </c>
      <c r="C7275" t="s">
        <v>10457</v>
      </c>
      <c r="D7275" t="s">
        <v>18105</v>
      </c>
      <c r="E7275" t="s">
        <v>24638</v>
      </c>
      <c r="F7275" t="s">
        <v>31362</v>
      </c>
      <c r="G7275" t="s">
        <v>31369</v>
      </c>
      <c r="H7275" t="s">
        <v>15799</v>
      </c>
      <c r="I7275" t="s">
        <v>31427</v>
      </c>
      <c r="J7275" t="s">
        <v>35986</v>
      </c>
      <c r="K7275" t="s">
        <v>40682</v>
      </c>
      <c r="M7275" t="s">
        <v>43333</v>
      </c>
      <c r="N7275" t="s">
        <v>44905</v>
      </c>
      <c r="O7275" t="s">
        <v>44906</v>
      </c>
      <c r="P7275">
        <v>0</v>
      </c>
      <c r="Q7275">
        <v>0</v>
      </c>
      <c r="R7275" t="s">
        <v>44910</v>
      </c>
      <c r="S7275" t="s">
        <v>45076</v>
      </c>
      <c r="T7275" t="s">
        <v>46671</v>
      </c>
      <c r="U7275" t="s">
        <v>52838</v>
      </c>
      <c r="W7275" t="s">
        <v>43333</v>
      </c>
      <c r="X7275" t="s">
        <v>44911</v>
      </c>
    </row>
    <row r="7276" spans="1:24">
      <c r="A7276">
        <f>HYPERLINK("https://www.philgeps.gov.ph/GEPSNONPILOT/Tender/SplashBidNoticeAbstractUI.aspx?menuIndex=3&amp;refID=7073424&amp;Result=3","7073424")</f>
        <v>0</v>
      </c>
      <c r="B7276" t="s">
        <v>351</v>
      </c>
      <c r="C7276" t="s">
        <v>10458</v>
      </c>
      <c r="D7276" t="s">
        <v>18142</v>
      </c>
      <c r="E7276" t="s">
        <v>24639</v>
      </c>
      <c r="F7276" t="s">
        <v>31362</v>
      </c>
      <c r="G7276" t="s">
        <v>31369</v>
      </c>
      <c r="H7276" t="s">
        <v>31378</v>
      </c>
      <c r="I7276" t="s">
        <v>31386</v>
      </c>
      <c r="J7276" t="s">
        <v>36006</v>
      </c>
      <c r="K7276" t="s">
        <v>40701</v>
      </c>
      <c r="M7276" t="s">
        <v>41298</v>
      </c>
      <c r="N7276" t="s">
        <v>44905</v>
      </c>
      <c r="O7276" t="s">
        <v>44906</v>
      </c>
      <c r="P7276">
        <v>0</v>
      </c>
      <c r="Q7276">
        <v>0</v>
      </c>
      <c r="R7276" t="s">
        <v>44910</v>
      </c>
      <c r="S7276" t="s">
        <v>45076</v>
      </c>
      <c r="T7276" t="s">
        <v>46425</v>
      </c>
      <c r="U7276" t="s">
        <v>52803</v>
      </c>
      <c r="W7276" t="s">
        <v>41298</v>
      </c>
      <c r="X7276" t="s">
        <v>44911</v>
      </c>
    </row>
    <row r="7277" spans="1:24">
      <c r="A7277">
        <f>HYPERLINK("https://www.philgeps.gov.ph/GEPSNONPILOT/Tender/SplashBidNoticeAbstractUI.aspx?menuIndex=3&amp;refID=7073557&amp;Result=3","7073557")</f>
        <v>0</v>
      </c>
      <c r="B7277" t="s">
        <v>2213</v>
      </c>
      <c r="C7277" t="s">
        <v>7980</v>
      </c>
      <c r="D7277" t="s">
        <v>18112</v>
      </c>
      <c r="E7277" t="s">
        <v>19602</v>
      </c>
      <c r="F7277" t="s">
        <v>31363</v>
      </c>
      <c r="G7277" t="s">
        <v>31368</v>
      </c>
      <c r="H7277" t="s">
        <v>15799</v>
      </c>
      <c r="I7277" t="s">
        <v>7188</v>
      </c>
      <c r="J7277" t="s">
        <v>36007</v>
      </c>
      <c r="K7277" t="s">
        <v>40697</v>
      </c>
      <c r="M7277" t="s">
        <v>43346</v>
      </c>
      <c r="N7277" t="s">
        <v>44905</v>
      </c>
      <c r="O7277" t="s">
        <v>44906</v>
      </c>
      <c r="P7277">
        <v>0</v>
      </c>
      <c r="Q7277">
        <v>0</v>
      </c>
      <c r="R7277" t="s">
        <v>44910</v>
      </c>
      <c r="S7277" t="s">
        <v>45076</v>
      </c>
      <c r="T7277" t="s">
        <v>46399</v>
      </c>
      <c r="U7277" t="s">
        <v>52839</v>
      </c>
      <c r="W7277" t="s">
        <v>43346</v>
      </c>
      <c r="X7277" t="s">
        <v>44911</v>
      </c>
    </row>
    <row r="7278" spans="1:24">
      <c r="A7278">
        <f>HYPERLINK("https://www.philgeps.gov.ph/GEPSNONPILOT/Tender/SplashBidNoticeAbstractUI.aspx?menuIndex=3&amp;refID=7073514&amp;Result=3","7073514")</f>
        <v>0</v>
      </c>
      <c r="B7278" t="s">
        <v>2214</v>
      </c>
      <c r="C7278" t="s">
        <v>10459</v>
      </c>
      <c r="D7278" t="s">
        <v>18140</v>
      </c>
      <c r="E7278" t="s">
        <v>11017</v>
      </c>
      <c r="F7278" t="s">
        <v>31362</v>
      </c>
      <c r="G7278" t="s">
        <v>31368</v>
      </c>
      <c r="H7278" t="s">
        <v>15799</v>
      </c>
      <c r="I7278" t="s">
        <v>7188</v>
      </c>
      <c r="J7278" t="s">
        <v>32146</v>
      </c>
      <c r="K7278" t="s">
        <v>40661</v>
      </c>
      <c r="M7278" t="s">
        <v>43347</v>
      </c>
      <c r="N7278" t="s">
        <v>44905</v>
      </c>
      <c r="O7278" t="s">
        <v>44906</v>
      </c>
      <c r="P7278">
        <v>0</v>
      </c>
      <c r="Q7278">
        <v>2</v>
      </c>
      <c r="R7278" t="s">
        <v>44910</v>
      </c>
      <c r="S7278" t="s">
        <v>45076</v>
      </c>
      <c r="T7278" t="s">
        <v>46393</v>
      </c>
      <c r="U7278" t="s">
        <v>52840</v>
      </c>
      <c r="W7278" t="s">
        <v>43347</v>
      </c>
      <c r="X7278" t="s">
        <v>44911</v>
      </c>
    </row>
    <row r="7279" spans="1:24">
      <c r="A7279">
        <f>HYPERLINK("https://www.philgeps.gov.ph/GEPSNONPILOT/Tender/SplashBidNoticeAbstractUI.aspx?menuIndex=3&amp;refID=7073553&amp;Result=3","7073553")</f>
        <v>0</v>
      </c>
      <c r="B7279" t="s">
        <v>1844</v>
      </c>
      <c r="C7279" t="s">
        <v>10460</v>
      </c>
      <c r="D7279" t="s">
        <v>18131</v>
      </c>
      <c r="E7279" t="s">
        <v>24640</v>
      </c>
      <c r="F7279" t="s">
        <v>31362</v>
      </c>
      <c r="G7279" t="s">
        <v>31369</v>
      </c>
      <c r="H7279" t="s">
        <v>15799</v>
      </c>
      <c r="I7279" t="s">
        <v>31384</v>
      </c>
      <c r="J7279" t="s">
        <v>33494</v>
      </c>
      <c r="K7279" t="s">
        <v>40665</v>
      </c>
      <c r="M7279" t="s">
        <v>42932</v>
      </c>
      <c r="N7279" t="s">
        <v>44905</v>
      </c>
      <c r="O7279" t="s">
        <v>44906</v>
      </c>
      <c r="P7279">
        <v>0</v>
      </c>
      <c r="Q7279">
        <v>6</v>
      </c>
      <c r="R7279" t="s">
        <v>44910</v>
      </c>
      <c r="S7279" t="s">
        <v>45076</v>
      </c>
      <c r="T7279" t="s">
        <v>46399</v>
      </c>
      <c r="U7279" t="s">
        <v>52841</v>
      </c>
      <c r="W7279" t="s">
        <v>42932</v>
      </c>
      <c r="X7279" t="s">
        <v>44911</v>
      </c>
    </row>
    <row r="7280" spans="1:24">
      <c r="A7280">
        <f>HYPERLINK("https://www.philgeps.gov.ph/GEPSNONPILOT/Tender/SplashBidNoticeAbstractUI.aspx?menuIndex=3&amp;refID=7073512&amp;Result=3","7073512")</f>
        <v>0</v>
      </c>
      <c r="B7280" t="s">
        <v>197</v>
      </c>
      <c r="C7280" t="s">
        <v>10461</v>
      </c>
      <c r="E7280" t="s">
        <v>24641</v>
      </c>
      <c r="F7280" t="s">
        <v>31362</v>
      </c>
      <c r="G7280" t="s">
        <v>31368</v>
      </c>
      <c r="H7280" t="s">
        <v>15799</v>
      </c>
      <c r="I7280" t="s">
        <v>4057</v>
      </c>
      <c r="J7280" t="s">
        <v>31724</v>
      </c>
      <c r="K7280" t="s">
        <v>40662</v>
      </c>
      <c r="M7280" t="s">
        <v>41559</v>
      </c>
      <c r="N7280" t="s">
        <v>44905</v>
      </c>
      <c r="O7280" t="s">
        <v>44906</v>
      </c>
      <c r="P7280">
        <v>0</v>
      </c>
      <c r="Q7280">
        <v>1</v>
      </c>
      <c r="R7280" t="s">
        <v>44910</v>
      </c>
      <c r="S7280" t="s">
        <v>45076</v>
      </c>
      <c r="T7280" t="s">
        <v>46406</v>
      </c>
      <c r="U7280" t="s">
        <v>52842</v>
      </c>
      <c r="W7280" t="s">
        <v>41559</v>
      </c>
      <c r="X7280" t="s">
        <v>44911</v>
      </c>
    </row>
    <row r="7281" spans="1:24">
      <c r="A7281">
        <f>HYPERLINK("https://www.philgeps.gov.ph/GEPSNONPILOT/Tender/SplashBidNoticeAbstractUI.aspx?menuIndex=3&amp;refID=7073402&amp;Result=3","7073402")</f>
        <v>0</v>
      </c>
      <c r="B7281" t="s">
        <v>2197</v>
      </c>
      <c r="C7281" t="s">
        <v>10462</v>
      </c>
      <c r="D7281" t="s">
        <v>18109</v>
      </c>
      <c r="E7281" t="s">
        <v>24642</v>
      </c>
      <c r="F7281" t="s">
        <v>31362</v>
      </c>
      <c r="G7281" t="s">
        <v>31370</v>
      </c>
      <c r="H7281" t="s">
        <v>15799</v>
      </c>
      <c r="I7281" t="s">
        <v>31385</v>
      </c>
      <c r="J7281" t="s">
        <v>36008</v>
      </c>
      <c r="K7281" t="s">
        <v>40662</v>
      </c>
      <c r="M7281" t="s">
        <v>43328</v>
      </c>
      <c r="N7281" t="s">
        <v>44905</v>
      </c>
      <c r="O7281" t="s">
        <v>44906</v>
      </c>
      <c r="P7281">
        <v>0</v>
      </c>
      <c r="Q7281">
        <v>0</v>
      </c>
      <c r="R7281" t="s">
        <v>44910</v>
      </c>
      <c r="S7281" t="s">
        <v>45076</v>
      </c>
      <c r="T7281" t="s">
        <v>46532</v>
      </c>
      <c r="U7281" t="s">
        <v>52794</v>
      </c>
      <c r="W7281" t="s">
        <v>43328</v>
      </c>
      <c r="X7281" t="s">
        <v>44911</v>
      </c>
    </row>
    <row r="7282" spans="1:24">
      <c r="A7282">
        <f>HYPERLINK("https://www.philgeps.gov.ph/GEPSNONPILOT/Tender/SplashBidNoticeAbstractUI.aspx?menuIndex=3&amp;refID=7073377&amp;Result=3","7073377")</f>
        <v>0</v>
      </c>
      <c r="B7282" t="s">
        <v>278</v>
      </c>
      <c r="C7282" t="s">
        <v>10463</v>
      </c>
      <c r="D7282" t="s">
        <v>18113</v>
      </c>
      <c r="E7282" t="s">
        <v>20191</v>
      </c>
      <c r="F7282" t="s">
        <v>31362</v>
      </c>
      <c r="G7282" t="s">
        <v>31370</v>
      </c>
      <c r="H7282" t="s">
        <v>15799</v>
      </c>
      <c r="I7282" t="s">
        <v>31427</v>
      </c>
      <c r="J7282" t="s">
        <v>31722</v>
      </c>
      <c r="K7282" t="s">
        <v>40665</v>
      </c>
      <c r="M7282" t="s">
        <v>41220</v>
      </c>
      <c r="N7282" t="s">
        <v>44905</v>
      </c>
      <c r="O7282" t="s">
        <v>44906</v>
      </c>
      <c r="P7282">
        <v>0</v>
      </c>
      <c r="Q7282">
        <v>7</v>
      </c>
      <c r="R7282" t="s">
        <v>44910</v>
      </c>
      <c r="S7282" t="s">
        <v>45076</v>
      </c>
      <c r="T7282" t="s">
        <v>46411</v>
      </c>
      <c r="U7282" t="s">
        <v>52843</v>
      </c>
      <c r="W7282" t="s">
        <v>41220</v>
      </c>
      <c r="X7282" t="s">
        <v>44911</v>
      </c>
    </row>
    <row r="7283" spans="1:24">
      <c r="A7283">
        <f>HYPERLINK("https://www.philgeps.gov.ph/GEPSNONPILOT/Tender/SplashBidNoticeAbstractUI.aspx?menuIndex=3&amp;refID=7073396&amp;Result=3","7073396")</f>
        <v>0</v>
      </c>
      <c r="B7283" t="s">
        <v>2215</v>
      </c>
      <c r="C7283" t="s">
        <v>10464</v>
      </c>
      <c r="D7283" t="s">
        <v>18139</v>
      </c>
      <c r="E7283" t="s">
        <v>24643</v>
      </c>
      <c r="F7283" t="s">
        <v>31362</v>
      </c>
      <c r="G7283" t="s">
        <v>31369</v>
      </c>
      <c r="H7283" t="s">
        <v>15799</v>
      </c>
      <c r="I7283" t="s">
        <v>3815</v>
      </c>
      <c r="J7283" t="s">
        <v>32549</v>
      </c>
      <c r="K7283" t="s">
        <v>40665</v>
      </c>
      <c r="M7283" t="s">
        <v>43348</v>
      </c>
      <c r="N7283" t="s">
        <v>44905</v>
      </c>
      <c r="O7283" t="s">
        <v>44906</v>
      </c>
      <c r="P7283">
        <v>0</v>
      </c>
      <c r="Q7283">
        <v>0</v>
      </c>
      <c r="R7283" t="s">
        <v>44910</v>
      </c>
      <c r="S7283" t="s">
        <v>45076</v>
      </c>
      <c r="T7283" t="s">
        <v>46549</v>
      </c>
      <c r="U7283" t="s">
        <v>52844</v>
      </c>
      <c r="V7283" t="s">
        <v>59781</v>
      </c>
      <c r="W7283" t="s">
        <v>43348</v>
      </c>
      <c r="X7283" t="s">
        <v>44911</v>
      </c>
    </row>
    <row r="7284" spans="1:24">
      <c r="A7284">
        <f>HYPERLINK("https://www.philgeps.gov.ph/GEPSNONPILOT/Tender/SplashBidNoticeAbstractUI.aspx?menuIndex=3&amp;refID=7073577&amp;Result=3","7073577")</f>
        <v>0</v>
      </c>
      <c r="B7284" t="s">
        <v>1275</v>
      </c>
      <c r="C7284" t="s">
        <v>10465</v>
      </c>
      <c r="D7284" t="s">
        <v>18126</v>
      </c>
      <c r="E7284" t="s">
        <v>24644</v>
      </c>
      <c r="F7284" t="s">
        <v>31362</v>
      </c>
      <c r="G7284" t="s">
        <v>31368</v>
      </c>
      <c r="H7284" t="s">
        <v>31378</v>
      </c>
      <c r="I7284" t="s">
        <v>31386</v>
      </c>
      <c r="J7284" t="s">
        <v>31604</v>
      </c>
      <c r="K7284" t="s">
        <v>40661</v>
      </c>
      <c r="L7284" t="s">
        <v>1275</v>
      </c>
      <c r="M7284" t="s">
        <v>42292</v>
      </c>
      <c r="N7284" t="s">
        <v>44905</v>
      </c>
      <c r="O7284" t="s">
        <v>44906</v>
      </c>
      <c r="P7284">
        <v>0</v>
      </c>
      <c r="Q7284">
        <v>0</v>
      </c>
      <c r="R7284" t="s">
        <v>44910</v>
      </c>
      <c r="S7284" t="s">
        <v>45076</v>
      </c>
      <c r="T7284" t="s">
        <v>46446</v>
      </c>
      <c r="U7284" t="s">
        <v>49713</v>
      </c>
      <c r="W7284" t="s">
        <v>42292</v>
      </c>
      <c r="X7284" t="s">
        <v>44911</v>
      </c>
    </row>
    <row r="7285" spans="1:24">
      <c r="A7285">
        <f>HYPERLINK("https://www.philgeps.gov.ph/GEPSNONPILOT/Tender/SplashBidNoticeAbstractUI.aspx?menuIndex=3&amp;refID=7073609&amp;Result=3","7073609")</f>
        <v>0</v>
      </c>
      <c r="B7285" t="s">
        <v>1711</v>
      </c>
      <c r="C7285" t="s">
        <v>10466</v>
      </c>
      <c r="D7285" t="s">
        <v>18152</v>
      </c>
      <c r="E7285" t="s">
        <v>24645</v>
      </c>
      <c r="F7285" t="s">
        <v>31362</v>
      </c>
      <c r="G7285" t="s">
        <v>31369</v>
      </c>
      <c r="H7285" t="s">
        <v>31378</v>
      </c>
      <c r="I7285" t="s">
        <v>31386</v>
      </c>
      <c r="J7285" t="s">
        <v>36009</v>
      </c>
      <c r="K7285" t="s">
        <v>40686</v>
      </c>
      <c r="L7285" t="s">
        <v>1711</v>
      </c>
      <c r="M7285" t="s">
        <v>42779</v>
      </c>
      <c r="N7285" t="s">
        <v>44905</v>
      </c>
      <c r="O7285" t="s">
        <v>44906</v>
      </c>
      <c r="P7285">
        <v>0</v>
      </c>
      <c r="Q7285">
        <v>1</v>
      </c>
      <c r="R7285" t="s">
        <v>44910</v>
      </c>
      <c r="S7285" t="s">
        <v>45076</v>
      </c>
      <c r="T7285" t="s">
        <v>46449</v>
      </c>
      <c r="U7285" t="s">
        <v>52845</v>
      </c>
      <c r="V7285" t="s">
        <v>59782</v>
      </c>
      <c r="W7285" t="s">
        <v>42779</v>
      </c>
      <c r="X7285" t="s">
        <v>44911</v>
      </c>
    </row>
    <row r="7286" spans="1:24">
      <c r="A7286">
        <f>HYPERLINK("https://www.philgeps.gov.ph/GEPSNONPILOT/Tender/SplashBidNoticeAbstractUI.aspx?menuIndex=3&amp;refID=7073513&amp;Result=3","7073513")</f>
        <v>0</v>
      </c>
      <c r="B7286" t="s">
        <v>2208</v>
      </c>
      <c r="C7286" t="s">
        <v>10467</v>
      </c>
      <c r="D7286" t="s">
        <v>18124</v>
      </c>
      <c r="E7286" t="s">
        <v>24646</v>
      </c>
      <c r="F7286" t="s">
        <v>31362</v>
      </c>
      <c r="G7286" t="s">
        <v>31369</v>
      </c>
      <c r="H7286" t="s">
        <v>31378</v>
      </c>
      <c r="I7286" t="s">
        <v>31441</v>
      </c>
      <c r="J7286" t="s">
        <v>36010</v>
      </c>
      <c r="K7286" t="s">
        <v>40679</v>
      </c>
      <c r="M7286" t="s">
        <v>43339</v>
      </c>
      <c r="N7286" t="s">
        <v>44905</v>
      </c>
      <c r="O7286" t="s">
        <v>44906</v>
      </c>
      <c r="P7286">
        <v>0</v>
      </c>
      <c r="Q7286">
        <v>0</v>
      </c>
      <c r="R7286" t="s">
        <v>44910</v>
      </c>
      <c r="S7286" t="s">
        <v>45076</v>
      </c>
      <c r="T7286" t="s">
        <v>46447</v>
      </c>
      <c r="U7286" t="s">
        <v>52821</v>
      </c>
      <c r="W7286" t="s">
        <v>43339</v>
      </c>
      <c r="X7286" t="s">
        <v>44911</v>
      </c>
    </row>
    <row r="7287" spans="1:24">
      <c r="A7287">
        <f>HYPERLINK("https://www.philgeps.gov.ph/GEPSNONPILOT/Tender/SplashBidNoticeAbstractUI.aspx?menuIndex=3&amp;refID=7073683&amp;Result=3","7073683")</f>
        <v>0</v>
      </c>
      <c r="B7287" t="s">
        <v>179</v>
      </c>
      <c r="C7287" t="s">
        <v>10468</v>
      </c>
      <c r="D7287" t="s">
        <v>18155</v>
      </c>
      <c r="E7287" t="s">
        <v>24647</v>
      </c>
      <c r="F7287" t="s">
        <v>31362</v>
      </c>
      <c r="G7287" t="s">
        <v>31368</v>
      </c>
      <c r="H7287" t="s">
        <v>15799</v>
      </c>
      <c r="I7287" t="s">
        <v>31422</v>
      </c>
      <c r="J7287" t="s">
        <v>31604</v>
      </c>
      <c r="K7287" t="s">
        <v>40665</v>
      </c>
      <c r="M7287" t="s">
        <v>41117</v>
      </c>
      <c r="N7287" t="s">
        <v>44905</v>
      </c>
      <c r="O7287" t="s">
        <v>44906</v>
      </c>
      <c r="P7287">
        <v>0</v>
      </c>
      <c r="Q7287">
        <v>2</v>
      </c>
      <c r="R7287" t="s">
        <v>44910</v>
      </c>
      <c r="S7287" t="s">
        <v>45076</v>
      </c>
      <c r="T7287" t="s">
        <v>46583</v>
      </c>
      <c r="U7287" t="s">
        <v>52846</v>
      </c>
      <c r="V7287" t="s">
        <v>59091</v>
      </c>
      <c r="W7287" t="s">
        <v>60838</v>
      </c>
      <c r="X7287" t="s">
        <v>44911</v>
      </c>
    </row>
    <row r="7288" spans="1:24">
      <c r="A7288">
        <f>HYPERLINK("https://www.philgeps.gov.ph/GEPSNONPILOT/Tender/SplashBidNoticeAbstractUI.aspx?menuIndex=3&amp;refID=7073680&amp;Result=3","7073680")</f>
        <v>0</v>
      </c>
      <c r="B7288" t="s">
        <v>926</v>
      </c>
      <c r="C7288" t="s">
        <v>10469</v>
      </c>
      <c r="D7288" t="s">
        <v>18117</v>
      </c>
      <c r="E7288" t="s">
        <v>24648</v>
      </c>
      <c r="F7288" t="s">
        <v>31362</v>
      </c>
      <c r="G7288" t="s">
        <v>31368</v>
      </c>
      <c r="H7288" t="s">
        <v>15799</v>
      </c>
      <c r="I7288" t="s">
        <v>31385</v>
      </c>
      <c r="J7288" t="s">
        <v>36011</v>
      </c>
      <c r="K7288" t="s">
        <v>40662</v>
      </c>
      <c r="M7288" t="s">
        <v>43349</v>
      </c>
      <c r="N7288" t="s">
        <v>44905</v>
      </c>
      <c r="O7288" t="s">
        <v>44906</v>
      </c>
      <c r="P7288">
        <v>0</v>
      </c>
      <c r="Q7288">
        <v>2</v>
      </c>
      <c r="R7288" t="s">
        <v>44910</v>
      </c>
      <c r="S7288" t="s">
        <v>45076</v>
      </c>
      <c r="T7288" t="s">
        <v>46470</v>
      </c>
      <c r="U7288" t="s">
        <v>52847</v>
      </c>
      <c r="W7288" t="s">
        <v>43349</v>
      </c>
      <c r="X7288" t="s">
        <v>44911</v>
      </c>
    </row>
    <row r="7289" spans="1:24">
      <c r="A7289">
        <f>HYPERLINK("https://www.philgeps.gov.ph/GEPSNONPILOT/Tender/SplashBidNoticeAbstractUI.aspx?menuIndex=3&amp;refID=7073516&amp;Result=3","7073516")</f>
        <v>0</v>
      </c>
      <c r="B7289" t="s">
        <v>991</v>
      </c>
      <c r="C7289" t="s">
        <v>10470</v>
      </c>
      <c r="D7289" t="s">
        <v>18132</v>
      </c>
      <c r="E7289" t="s">
        <v>24649</v>
      </c>
      <c r="F7289" t="s">
        <v>31362</v>
      </c>
      <c r="G7289" t="s">
        <v>31369</v>
      </c>
      <c r="H7289" t="s">
        <v>31378</v>
      </c>
      <c r="I7289" t="s">
        <v>31386</v>
      </c>
      <c r="J7289" t="s">
        <v>36012</v>
      </c>
      <c r="K7289" t="s">
        <v>40698</v>
      </c>
      <c r="M7289" t="s">
        <v>41985</v>
      </c>
      <c r="N7289" t="s">
        <v>44905</v>
      </c>
      <c r="O7289" t="s">
        <v>44906</v>
      </c>
      <c r="P7289">
        <v>0</v>
      </c>
      <c r="Q7289">
        <v>0</v>
      </c>
      <c r="R7289" t="s">
        <v>44910</v>
      </c>
      <c r="S7289" t="s">
        <v>45076</v>
      </c>
      <c r="T7289" t="s">
        <v>46741</v>
      </c>
      <c r="U7289" t="s">
        <v>52848</v>
      </c>
      <c r="W7289" t="s">
        <v>41985</v>
      </c>
      <c r="X7289" t="s">
        <v>44911</v>
      </c>
    </row>
    <row r="7290" spans="1:24">
      <c r="A7290">
        <f>HYPERLINK("https://www.philgeps.gov.ph/GEPSNONPILOT/Tender/SplashBidNoticeAbstractUI.aspx?menuIndex=3&amp;refID=7073674&amp;Result=3","7073674")</f>
        <v>0</v>
      </c>
      <c r="B7290" t="s">
        <v>2211</v>
      </c>
      <c r="C7290" t="s">
        <v>10471</v>
      </c>
      <c r="D7290" t="s">
        <v>18108</v>
      </c>
      <c r="E7290" t="s">
        <v>24650</v>
      </c>
      <c r="F7290" t="s">
        <v>31362</v>
      </c>
      <c r="G7290" t="s">
        <v>31369</v>
      </c>
      <c r="H7290" t="s">
        <v>15799</v>
      </c>
      <c r="I7290" t="s">
        <v>3815</v>
      </c>
      <c r="J7290" t="s">
        <v>31575</v>
      </c>
      <c r="K7290" t="s">
        <v>40672</v>
      </c>
      <c r="M7290" t="s">
        <v>43344</v>
      </c>
      <c r="N7290" t="s">
        <v>44905</v>
      </c>
      <c r="O7290" t="s">
        <v>44906</v>
      </c>
      <c r="P7290">
        <v>0</v>
      </c>
      <c r="Q7290">
        <v>0</v>
      </c>
      <c r="R7290" t="s">
        <v>44910</v>
      </c>
      <c r="S7290" t="s">
        <v>45076</v>
      </c>
      <c r="T7290" t="s">
        <v>46467</v>
      </c>
      <c r="U7290" t="s">
        <v>52849</v>
      </c>
      <c r="W7290" t="s">
        <v>43344</v>
      </c>
      <c r="X7290" t="s">
        <v>44911</v>
      </c>
    </row>
    <row r="7291" spans="1:24">
      <c r="A7291">
        <f>HYPERLINK("https://www.philgeps.gov.ph/GEPSNONPILOT/Tender/SplashBidNoticeAbstractUI.aspx?menuIndex=3&amp;refID=7073670&amp;Result=3","7073670")</f>
        <v>0</v>
      </c>
      <c r="B7291" t="s">
        <v>2216</v>
      </c>
      <c r="C7291" t="s">
        <v>10472</v>
      </c>
      <c r="D7291" t="s">
        <v>18174</v>
      </c>
      <c r="E7291" t="s">
        <v>24651</v>
      </c>
      <c r="F7291" t="s">
        <v>31362</v>
      </c>
      <c r="G7291" t="s">
        <v>31369</v>
      </c>
      <c r="H7291" t="s">
        <v>15799</v>
      </c>
      <c r="I7291" t="s">
        <v>31435</v>
      </c>
      <c r="J7291" t="s">
        <v>36013</v>
      </c>
      <c r="K7291" t="s">
        <v>40665</v>
      </c>
      <c r="M7291" t="s">
        <v>43350</v>
      </c>
      <c r="N7291" t="s">
        <v>44905</v>
      </c>
      <c r="O7291" t="s">
        <v>44906</v>
      </c>
      <c r="P7291">
        <v>0</v>
      </c>
      <c r="Q7291">
        <v>0</v>
      </c>
      <c r="R7291" t="s">
        <v>44910</v>
      </c>
      <c r="S7291" t="s">
        <v>45076</v>
      </c>
      <c r="T7291" t="s">
        <v>46519</v>
      </c>
      <c r="U7291" t="s">
        <v>52850</v>
      </c>
      <c r="W7291" t="s">
        <v>43350</v>
      </c>
      <c r="X7291" t="s">
        <v>44911</v>
      </c>
    </row>
    <row r="7292" spans="1:24">
      <c r="A7292">
        <f>HYPERLINK("https://www.philgeps.gov.ph/GEPSNONPILOT/Tender/SplashBidNoticeAbstractUI.aspx?menuIndex=3&amp;refID=7073620&amp;Result=3","7073620")</f>
        <v>0</v>
      </c>
      <c r="B7292" t="s">
        <v>2217</v>
      </c>
      <c r="C7292" t="s">
        <v>10473</v>
      </c>
      <c r="D7292" t="s">
        <v>18115</v>
      </c>
      <c r="E7292" t="s">
        <v>24652</v>
      </c>
      <c r="F7292" t="s">
        <v>31362</v>
      </c>
      <c r="G7292" t="s">
        <v>31368</v>
      </c>
      <c r="H7292" t="s">
        <v>15799</v>
      </c>
      <c r="I7292" t="s">
        <v>7188</v>
      </c>
      <c r="J7292" t="s">
        <v>36014</v>
      </c>
      <c r="K7292" t="s">
        <v>40666</v>
      </c>
      <c r="M7292" t="s">
        <v>43351</v>
      </c>
      <c r="N7292" t="s">
        <v>44905</v>
      </c>
      <c r="O7292" t="s">
        <v>44906</v>
      </c>
      <c r="P7292">
        <v>0</v>
      </c>
      <c r="Q7292">
        <v>1</v>
      </c>
      <c r="R7292" t="s">
        <v>44910</v>
      </c>
      <c r="S7292" t="s">
        <v>45076</v>
      </c>
      <c r="T7292" t="s">
        <v>46400</v>
      </c>
      <c r="U7292" t="s">
        <v>52851</v>
      </c>
      <c r="W7292" t="s">
        <v>43351</v>
      </c>
      <c r="X7292" t="s">
        <v>44911</v>
      </c>
    </row>
    <row r="7293" spans="1:24">
      <c r="A7293">
        <f>HYPERLINK("https://www.philgeps.gov.ph/GEPSNONPILOT/Tender/SplashBidNoticeAbstractUI.aspx?menuIndex=3&amp;refID=7073511&amp;Result=3","7073511")</f>
        <v>0</v>
      </c>
      <c r="B7293" t="s">
        <v>1711</v>
      </c>
      <c r="C7293" t="s">
        <v>10474</v>
      </c>
      <c r="D7293" t="s">
        <v>18152</v>
      </c>
      <c r="E7293" t="s">
        <v>24653</v>
      </c>
      <c r="F7293" t="s">
        <v>31362</v>
      </c>
      <c r="G7293" t="s">
        <v>31369</v>
      </c>
      <c r="H7293" t="s">
        <v>15799</v>
      </c>
      <c r="I7293" t="s">
        <v>31409</v>
      </c>
      <c r="J7293" t="s">
        <v>33653</v>
      </c>
      <c r="K7293" t="s">
        <v>40694</v>
      </c>
      <c r="L7293" t="s">
        <v>1711</v>
      </c>
      <c r="M7293" t="s">
        <v>42779</v>
      </c>
      <c r="N7293" t="s">
        <v>44905</v>
      </c>
      <c r="O7293" t="s">
        <v>44906</v>
      </c>
      <c r="P7293">
        <v>0</v>
      </c>
      <c r="Q7293">
        <v>3</v>
      </c>
      <c r="R7293" t="s">
        <v>44910</v>
      </c>
      <c r="S7293" t="s">
        <v>45076</v>
      </c>
      <c r="T7293" t="s">
        <v>46433</v>
      </c>
      <c r="U7293" t="s">
        <v>52852</v>
      </c>
      <c r="V7293" t="s">
        <v>59783</v>
      </c>
      <c r="W7293" t="s">
        <v>42779</v>
      </c>
      <c r="X7293" t="s">
        <v>44911</v>
      </c>
    </row>
    <row r="7294" spans="1:24">
      <c r="A7294">
        <f>HYPERLINK("https://www.philgeps.gov.ph/GEPSNONPILOT/Tender/SplashBidNoticeAbstractUI.aspx?menuIndex=3&amp;refID=7073658&amp;Result=3","7073658")</f>
        <v>0</v>
      </c>
      <c r="B7294" t="s">
        <v>1844</v>
      </c>
      <c r="C7294" t="s">
        <v>10475</v>
      </c>
      <c r="D7294" t="s">
        <v>18131</v>
      </c>
      <c r="E7294" t="s">
        <v>24654</v>
      </c>
      <c r="F7294" t="s">
        <v>31362</v>
      </c>
      <c r="G7294" t="s">
        <v>31369</v>
      </c>
      <c r="H7294" t="s">
        <v>15799</v>
      </c>
      <c r="I7294" t="s">
        <v>31393</v>
      </c>
      <c r="J7294" t="s">
        <v>36015</v>
      </c>
      <c r="K7294" t="s">
        <v>40665</v>
      </c>
      <c r="M7294" t="s">
        <v>42932</v>
      </c>
      <c r="N7294" t="s">
        <v>44905</v>
      </c>
      <c r="O7294" t="s">
        <v>44906</v>
      </c>
      <c r="P7294">
        <v>0</v>
      </c>
      <c r="Q7294">
        <v>4</v>
      </c>
      <c r="R7294" t="s">
        <v>44910</v>
      </c>
      <c r="S7294" t="s">
        <v>45076</v>
      </c>
      <c r="T7294" t="s">
        <v>46399</v>
      </c>
      <c r="U7294" t="s">
        <v>52853</v>
      </c>
      <c r="W7294" t="s">
        <v>42932</v>
      </c>
      <c r="X7294" t="s">
        <v>44911</v>
      </c>
    </row>
    <row r="7295" spans="1:24">
      <c r="A7295">
        <f>HYPERLINK("https://www.philgeps.gov.ph/GEPSNONPILOT/Tender/SplashBidNoticeAbstractUI.aspx?menuIndex=3&amp;refID=7073356&amp;Result=3","7073356")</f>
        <v>0</v>
      </c>
      <c r="B7295" t="s">
        <v>2218</v>
      </c>
      <c r="C7295" t="s">
        <v>10476</v>
      </c>
      <c r="E7295" t="s">
        <v>18476</v>
      </c>
      <c r="F7295" t="s">
        <v>31362</v>
      </c>
      <c r="G7295" t="s">
        <v>31369</v>
      </c>
      <c r="H7295" t="s">
        <v>15799</v>
      </c>
      <c r="I7295" t="s">
        <v>31399</v>
      </c>
      <c r="J7295" t="s">
        <v>31687</v>
      </c>
      <c r="K7295" t="s">
        <v>40662</v>
      </c>
      <c r="M7295" t="s">
        <v>43352</v>
      </c>
      <c r="N7295" t="s">
        <v>44905</v>
      </c>
      <c r="O7295" t="s">
        <v>44906</v>
      </c>
      <c r="P7295">
        <v>0</v>
      </c>
      <c r="Q7295">
        <v>4</v>
      </c>
      <c r="R7295" t="s">
        <v>44910</v>
      </c>
      <c r="S7295" t="s">
        <v>45076</v>
      </c>
      <c r="T7295" t="s">
        <v>46751</v>
      </c>
      <c r="U7295" t="s">
        <v>52854</v>
      </c>
      <c r="W7295" t="s">
        <v>43352</v>
      </c>
      <c r="X7295" t="s">
        <v>44911</v>
      </c>
    </row>
    <row r="7296" spans="1:24">
      <c r="A7296">
        <f>HYPERLINK("https://www.philgeps.gov.ph/GEPSNONPILOT/Tender/SplashBidNoticeAbstractUI.aspx?menuIndex=3&amp;refID=7073667&amp;Result=3","7073667")</f>
        <v>0</v>
      </c>
      <c r="B7296" t="s">
        <v>2219</v>
      </c>
      <c r="C7296" t="s">
        <v>10477</v>
      </c>
      <c r="D7296" t="s">
        <v>18124</v>
      </c>
      <c r="E7296" t="s">
        <v>24655</v>
      </c>
      <c r="F7296" t="s">
        <v>31362</v>
      </c>
      <c r="G7296" t="s">
        <v>31369</v>
      </c>
      <c r="H7296" t="s">
        <v>15799</v>
      </c>
      <c r="I7296" t="s">
        <v>31430</v>
      </c>
      <c r="J7296" t="s">
        <v>36016</v>
      </c>
      <c r="K7296" t="s">
        <v>40661</v>
      </c>
      <c r="M7296" t="s">
        <v>43353</v>
      </c>
      <c r="N7296" t="s">
        <v>44905</v>
      </c>
      <c r="O7296" t="s">
        <v>44906</v>
      </c>
      <c r="P7296">
        <v>0</v>
      </c>
      <c r="Q7296">
        <v>0</v>
      </c>
      <c r="R7296" t="s">
        <v>44910</v>
      </c>
      <c r="S7296" t="s">
        <v>45076</v>
      </c>
      <c r="T7296" t="s">
        <v>46703</v>
      </c>
      <c r="U7296" t="s">
        <v>52855</v>
      </c>
      <c r="W7296" t="s">
        <v>43353</v>
      </c>
      <c r="X7296" t="s">
        <v>44911</v>
      </c>
    </row>
    <row r="7297" spans="1:24">
      <c r="A7297">
        <f>HYPERLINK("https://www.philgeps.gov.ph/GEPSNONPILOT/Tender/SplashBidNoticeAbstractUI.aspx?menuIndex=3&amp;refID=7073651&amp;Result=3","7073651")</f>
        <v>0</v>
      </c>
      <c r="B7297" t="s">
        <v>2183</v>
      </c>
      <c r="C7297" t="s">
        <v>10478</v>
      </c>
      <c r="D7297" t="s">
        <v>18148</v>
      </c>
      <c r="E7297" t="s">
        <v>24656</v>
      </c>
      <c r="F7297" t="s">
        <v>31362</v>
      </c>
      <c r="G7297" t="s">
        <v>31368</v>
      </c>
      <c r="H7297" t="s">
        <v>15799</v>
      </c>
      <c r="I7297" t="s">
        <v>31404</v>
      </c>
      <c r="J7297" t="s">
        <v>36017</v>
      </c>
      <c r="K7297" t="s">
        <v>40670</v>
      </c>
      <c r="M7297" t="s">
        <v>43314</v>
      </c>
      <c r="N7297" t="s">
        <v>44905</v>
      </c>
      <c r="O7297" t="s">
        <v>44906</v>
      </c>
      <c r="P7297">
        <v>0</v>
      </c>
      <c r="Q7297">
        <v>0</v>
      </c>
      <c r="R7297" t="s">
        <v>44910</v>
      </c>
      <c r="S7297" t="s">
        <v>45076</v>
      </c>
      <c r="T7297" t="s">
        <v>46416</v>
      </c>
      <c r="U7297" t="s">
        <v>52856</v>
      </c>
      <c r="W7297" t="s">
        <v>43314</v>
      </c>
      <c r="X7297" t="s">
        <v>44911</v>
      </c>
    </row>
    <row r="7298" spans="1:24">
      <c r="A7298">
        <f>HYPERLINK("https://www.philgeps.gov.ph/GEPSNONPILOT/Tender/SplashBidNoticeAbstractUI.aspx?menuIndex=3&amp;refID=7073398&amp;Result=3","7073398")</f>
        <v>0</v>
      </c>
      <c r="B7298" t="s">
        <v>185</v>
      </c>
      <c r="C7298" t="s">
        <v>10479</v>
      </c>
      <c r="D7298" t="s">
        <v>18153</v>
      </c>
      <c r="E7298" t="s">
        <v>24657</v>
      </c>
      <c r="F7298" t="s">
        <v>31362</v>
      </c>
      <c r="G7298" t="s">
        <v>31368</v>
      </c>
      <c r="H7298" t="s">
        <v>15799</v>
      </c>
      <c r="I7298" t="s">
        <v>7188</v>
      </c>
      <c r="J7298" t="s">
        <v>35172</v>
      </c>
      <c r="K7298" t="s">
        <v>40666</v>
      </c>
      <c r="M7298" t="s">
        <v>41123</v>
      </c>
      <c r="N7298" t="s">
        <v>44905</v>
      </c>
      <c r="O7298" t="s">
        <v>44906</v>
      </c>
      <c r="P7298">
        <v>0</v>
      </c>
      <c r="Q7298">
        <v>1</v>
      </c>
      <c r="R7298" t="s">
        <v>44910</v>
      </c>
      <c r="S7298" t="s">
        <v>45076</v>
      </c>
      <c r="T7298" t="s">
        <v>46411</v>
      </c>
      <c r="U7298" t="s">
        <v>52857</v>
      </c>
      <c r="W7298" t="s">
        <v>41123</v>
      </c>
      <c r="X7298" t="s">
        <v>44911</v>
      </c>
    </row>
    <row r="7299" spans="1:24">
      <c r="A7299">
        <f>HYPERLINK("https://www.philgeps.gov.ph/GEPSNONPILOT/Tender/SplashBidNoticeAbstractUI.aspx?menuIndex=3&amp;refID=7073645&amp;Result=3","7073645")</f>
        <v>0</v>
      </c>
      <c r="B7299" t="s">
        <v>2220</v>
      </c>
      <c r="C7299" t="s">
        <v>10480</v>
      </c>
      <c r="D7299" t="s">
        <v>18181</v>
      </c>
      <c r="E7299" t="s">
        <v>24658</v>
      </c>
      <c r="F7299" t="s">
        <v>31362</v>
      </c>
      <c r="G7299" t="s">
        <v>31370</v>
      </c>
      <c r="H7299" t="s">
        <v>15799</v>
      </c>
      <c r="I7299" t="s">
        <v>31426</v>
      </c>
      <c r="J7299" t="s">
        <v>31536</v>
      </c>
      <c r="K7299" t="s">
        <v>40665</v>
      </c>
      <c r="M7299" t="s">
        <v>43354</v>
      </c>
      <c r="N7299" t="s">
        <v>44905</v>
      </c>
      <c r="O7299" t="s">
        <v>44906</v>
      </c>
      <c r="P7299">
        <v>0</v>
      </c>
      <c r="Q7299">
        <v>1</v>
      </c>
      <c r="R7299" t="s">
        <v>44910</v>
      </c>
      <c r="S7299" t="s">
        <v>45076</v>
      </c>
      <c r="T7299" t="s">
        <v>46414</v>
      </c>
      <c r="U7299" t="s">
        <v>52858</v>
      </c>
      <c r="W7299" t="s">
        <v>43354</v>
      </c>
      <c r="X7299" t="s">
        <v>44911</v>
      </c>
    </row>
    <row r="7300" spans="1:24">
      <c r="A7300">
        <f>HYPERLINK("https://www.philgeps.gov.ph/GEPSNONPILOT/Tender/SplashBidNoticeAbstractUI.aspx?menuIndex=3&amp;refID=7073675&amp;Result=3","7073675")</f>
        <v>0</v>
      </c>
      <c r="B7300" t="s">
        <v>1949</v>
      </c>
      <c r="C7300" t="s">
        <v>10481</v>
      </c>
      <c r="D7300" t="s">
        <v>18104</v>
      </c>
      <c r="E7300" t="s">
        <v>24659</v>
      </c>
      <c r="F7300" t="s">
        <v>31363</v>
      </c>
      <c r="G7300" t="s">
        <v>31368</v>
      </c>
      <c r="H7300" t="s">
        <v>15799</v>
      </c>
      <c r="I7300" t="s">
        <v>6155</v>
      </c>
      <c r="J7300" t="s">
        <v>31564</v>
      </c>
      <c r="K7300" t="s">
        <v>40662</v>
      </c>
      <c r="M7300" t="s">
        <v>43054</v>
      </c>
      <c r="N7300" t="s">
        <v>44905</v>
      </c>
      <c r="O7300" t="s">
        <v>44906</v>
      </c>
      <c r="P7300">
        <v>0</v>
      </c>
      <c r="Q7300">
        <v>4</v>
      </c>
      <c r="R7300" t="s">
        <v>44910</v>
      </c>
      <c r="S7300" t="s">
        <v>45076</v>
      </c>
      <c r="T7300" t="s">
        <v>46416</v>
      </c>
      <c r="U7300" t="s">
        <v>52859</v>
      </c>
      <c r="W7300" t="s">
        <v>43054</v>
      </c>
      <c r="X7300" t="s">
        <v>44911</v>
      </c>
    </row>
    <row r="7301" spans="1:24">
      <c r="A7301">
        <f>HYPERLINK("https://www.philgeps.gov.ph/GEPSNONPILOT/Tender/SplashBidNoticeAbstractUI.aspx?menuIndex=3&amp;refID=7073639&amp;Result=3","7073639")</f>
        <v>0</v>
      </c>
      <c r="B7301" t="s">
        <v>179</v>
      </c>
      <c r="C7301" t="s">
        <v>10482</v>
      </c>
      <c r="D7301" t="s">
        <v>18155</v>
      </c>
      <c r="E7301" t="s">
        <v>24660</v>
      </c>
      <c r="F7301" t="s">
        <v>31362</v>
      </c>
      <c r="G7301" t="s">
        <v>31368</v>
      </c>
      <c r="H7301" t="s">
        <v>15799</v>
      </c>
      <c r="I7301" t="s">
        <v>31422</v>
      </c>
      <c r="J7301" t="s">
        <v>31546</v>
      </c>
      <c r="K7301" t="s">
        <v>40665</v>
      </c>
      <c r="M7301" t="s">
        <v>41117</v>
      </c>
      <c r="N7301" t="s">
        <v>44905</v>
      </c>
      <c r="O7301" t="s">
        <v>44906</v>
      </c>
      <c r="P7301">
        <v>0</v>
      </c>
      <c r="Q7301">
        <v>2</v>
      </c>
      <c r="R7301" t="s">
        <v>44910</v>
      </c>
      <c r="S7301" t="s">
        <v>45076</v>
      </c>
      <c r="T7301" t="s">
        <v>46583</v>
      </c>
      <c r="U7301" t="s">
        <v>52860</v>
      </c>
      <c r="V7301" t="s">
        <v>59091</v>
      </c>
      <c r="W7301" t="s">
        <v>60838</v>
      </c>
      <c r="X7301" t="s">
        <v>44911</v>
      </c>
    </row>
    <row r="7302" spans="1:24">
      <c r="A7302">
        <f>HYPERLINK("https://www.philgeps.gov.ph/GEPSNONPILOT/Tender/SplashBidNoticeAbstractUI.aspx?menuIndex=3&amp;refID=7073625&amp;Result=3","7073625")</f>
        <v>0</v>
      </c>
      <c r="B7302" t="s">
        <v>991</v>
      </c>
      <c r="C7302" t="s">
        <v>10483</v>
      </c>
      <c r="D7302" t="s">
        <v>18132</v>
      </c>
      <c r="E7302" t="s">
        <v>24661</v>
      </c>
      <c r="F7302" t="s">
        <v>31362</v>
      </c>
      <c r="G7302" t="s">
        <v>31369</v>
      </c>
      <c r="H7302" t="s">
        <v>31378</v>
      </c>
      <c r="I7302" t="s">
        <v>31386</v>
      </c>
      <c r="J7302" t="s">
        <v>36018</v>
      </c>
      <c r="K7302" t="s">
        <v>40814</v>
      </c>
      <c r="M7302" t="s">
        <v>41985</v>
      </c>
      <c r="N7302" t="s">
        <v>44905</v>
      </c>
      <c r="O7302" t="s">
        <v>44906</v>
      </c>
      <c r="P7302">
        <v>0</v>
      </c>
      <c r="Q7302">
        <v>0</v>
      </c>
      <c r="R7302" t="s">
        <v>44910</v>
      </c>
      <c r="S7302" t="s">
        <v>45076</v>
      </c>
      <c r="T7302" t="s">
        <v>46741</v>
      </c>
      <c r="U7302" t="s">
        <v>52861</v>
      </c>
      <c r="W7302" t="s">
        <v>41985</v>
      </c>
      <c r="X7302" t="s">
        <v>44911</v>
      </c>
    </row>
    <row r="7303" spans="1:24">
      <c r="A7303">
        <f>HYPERLINK("https://www.philgeps.gov.ph/GEPSNONPILOT/Tender/SplashBidNoticeAbstractUI.aspx?menuIndex=3&amp;refID=7073654&amp;Result=3","7073654")</f>
        <v>0</v>
      </c>
      <c r="B7303" t="s">
        <v>2208</v>
      </c>
      <c r="C7303" t="s">
        <v>10484</v>
      </c>
      <c r="D7303" t="s">
        <v>18124</v>
      </c>
      <c r="E7303" t="s">
        <v>24662</v>
      </c>
      <c r="F7303" t="s">
        <v>31362</v>
      </c>
      <c r="G7303" t="s">
        <v>31369</v>
      </c>
      <c r="H7303" t="s">
        <v>15799</v>
      </c>
      <c r="I7303" t="s">
        <v>31430</v>
      </c>
      <c r="J7303" t="s">
        <v>31722</v>
      </c>
      <c r="K7303" t="s">
        <v>40666</v>
      </c>
      <c r="M7303" t="s">
        <v>43339</v>
      </c>
      <c r="N7303" t="s">
        <v>44905</v>
      </c>
      <c r="O7303" t="s">
        <v>44906</v>
      </c>
      <c r="P7303">
        <v>0</v>
      </c>
      <c r="Q7303">
        <v>0</v>
      </c>
      <c r="R7303" t="s">
        <v>44910</v>
      </c>
      <c r="S7303" t="s">
        <v>45076</v>
      </c>
      <c r="T7303" t="s">
        <v>46447</v>
      </c>
      <c r="U7303" t="s">
        <v>52821</v>
      </c>
      <c r="W7303" t="s">
        <v>43339</v>
      </c>
      <c r="X7303" t="s">
        <v>44911</v>
      </c>
    </row>
    <row r="7304" spans="1:24">
      <c r="A7304">
        <f>HYPERLINK("https://www.philgeps.gov.ph/GEPSNONPILOT/Tender/SplashBidNoticeAbstractUI.aspx?menuIndex=3&amp;refID=7073659&amp;Result=3","7073659")</f>
        <v>0</v>
      </c>
      <c r="B7304" t="s">
        <v>199</v>
      </c>
      <c r="C7304" t="s">
        <v>10485</v>
      </c>
      <c r="D7304" t="s">
        <v>18139</v>
      </c>
      <c r="E7304" t="s">
        <v>24663</v>
      </c>
      <c r="F7304" t="s">
        <v>31362</v>
      </c>
      <c r="G7304" t="s">
        <v>31368</v>
      </c>
      <c r="H7304" t="s">
        <v>15799</v>
      </c>
      <c r="I7304" t="s">
        <v>31397</v>
      </c>
      <c r="J7304" t="s">
        <v>36019</v>
      </c>
      <c r="K7304" t="s">
        <v>40662</v>
      </c>
      <c r="M7304" t="s">
        <v>41138</v>
      </c>
      <c r="N7304" t="s">
        <v>44905</v>
      </c>
      <c r="O7304" t="s">
        <v>44906</v>
      </c>
      <c r="Q7304">
        <v>0</v>
      </c>
      <c r="R7304" t="s">
        <v>44910</v>
      </c>
      <c r="S7304" t="s">
        <v>45088</v>
      </c>
      <c r="T7304" t="s">
        <v>46446</v>
      </c>
      <c r="U7304" t="s">
        <v>52862</v>
      </c>
      <c r="V7304" t="s">
        <v>59784</v>
      </c>
      <c r="W7304" t="s">
        <v>41138</v>
      </c>
      <c r="X7304" t="s">
        <v>44911</v>
      </c>
    </row>
    <row r="7305" spans="1:24">
      <c r="A7305">
        <f>HYPERLINK("https://www.philgeps.gov.ph/GEPSNONPILOT/Tender/SplashBidNoticeAbstractUI.aspx?menuIndex=3&amp;refID=7073354&amp;Result=3","7073354")</f>
        <v>0</v>
      </c>
      <c r="B7305" t="s">
        <v>2221</v>
      </c>
      <c r="C7305" t="s">
        <v>10486</v>
      </c>
      <c r="D7305" t="s">
        <v>18101</v>
      </c>
      <c r="E7305" t="s">
        <v>24664</v>
      </c>
      <c r="F7305" t="s">
        <v>31362</v>
      </c>
      <c r="G7305" t="s">
        <v>31369</v>
      </c>
      <c r="H7305" t="s">
        <v>31378</v>
      </c>
      <c r="I7305" t="s">
        <v>31386</v>
      </c>
      <c r="J7305" t="s">
        <v>36020</v>
      </c>
      <c r="K7305" t="s">
        <v>40814</v>
      </c>
      <c r="M7305" t="s">
        <v>43355</v>
      </c>
      <c r="N7305" t="s">
        <v>44905</v>
      </c>
      <c r="O7305" t="s">
        <v>44906</v>
      </c>
      <c r="P7305">
        <v>0</v>
      </c>
      <c r="Q7305">
        <v>0</v>
      </c>
      <c r="R7305" t="s">
        <v>44910</v>
      </c>
      <c r="S7305" t="s">
        <v>45076</v>
      </c>
      <c r="T7305" t="s">
        <v>46410</v>
      </c>
      <c r="U7305" t="s">
        <v>52863</v>
      </c>
      <c r="W7305" t="s">
        <v>43355</v>
      </c>
      <c r="X7305" t="s">
        <v>44911</v>
      </c>
    </row>
    <row r="7306" spans="1:24">
      <c r="A7306">
        <f>HYPERLINK("https://www.philgeps.gov.ph/GEPSNONPILOT/Tender/SplashBidNoticeAbstractUI.aspx?menuIndex=3&amp;refID=7073641&amp;Result=3","7073641")</f>
        <v>0</v>
      </c>
      <c r="B7306" t="s">
        <v>2214</v>
      </c>
      <c r="C7306" t="s">
        <v>10487</v>
      </c>
      <c r="D7306" t="s">
        <v>18140</v>
      </c>
      <c r="E7306" t="s">
        <v>21601</v>
      </c>
      <c r="F7306" t="s">
        <v>31362</v>
      </c>
      <c r="G7306" t="s">
        <v>31369</v>
      </c>
      <c r="H7306" t="s">
        <v>15799</v>
      </c>
      <c r="I7306" t="s">
        <v>31387</v>
      </c>
      <c r="J7306" t="s">
        <v>36021</v>
      </c>
      <c r="K7306" t="s">
        <v>40661</v>
      </c>
      <c r="M7306" t="s">
        <v>43347</v>
      </c>
      <c r="N7306" t="s">
        <v>44905</v>
      </c>
      <c r="O7306" t="s">
        <v>44906</v>
      </c>
      <c r="P7306">
        <v>0</v>
      </c>
      <c r="Q7306">
        <v>1</v>
      </c>
      <c r="R7306" t="s">
        <v>44910</v>
      </c>
      <c r="S7306" t="s">
        <v>45076</v>
      </c>
      <c r="T7306" t="s">
        <v>46416</v>
      </c>
      <c r="U7306" t="s">
        <v>52864</v>
      </c>
      <c r="W7306" t="s">
        <v>43347</v>
      </c>
      <c r="X7306" t="s">
        <v>44911</v>
      </c>
    </row>
    <row r="7307" spans="1:24">
      <c r="A7307">
        <f>HYPERLINK("https://www.philgeps.gov.ph/GEPSNONPILOT/Tender/SplashBidNoticeAbstractUI.aspx?menuIndex=3&amp;refID=7073694&amp;Result=3","7073694")</f>
        <v>0</v>
      </c>
      <c r="B7307" t="s">
        <v>1036</v>
      </c>
      <c r="C7307" t="s">
        <v>10488</v>
      </c>
      <c r="D7307" t="s">
        <v>18128</v>
      </c>
      <c r="E7307" t="s">
        <v>24665</v>
      </c>
      <c r="F7307" t="s">
        <v>31363</v>
      </c>
      <c r="G7307" t="s">
        <v>31369</v>
      </c>
      <c r="H7307" t="s">
        <v>15799</v>
      </c>
      <c r="I7307" t="s">
        <v>31422</v>
      </c>
      <c r="J7307" t="s">
        <v>36022</v>
      </c>
      <c r="K7307" t="s">
        <v>40665</v>
      </c>
      <c r="M7307" t="s">
        <v>42035</v>
      </c>
      <c r="N7307" t="s">
        <v>44905</v>
      </c>
      <c r="O7307" t="s">
        <v>44906</v>
      </c>
      <c r="P7307">
        <v>0</v>
      </c>
      <c r="Q7307">
        <v>7</v>
      </c>
      <c r="R7307" t="s">
        <v>44910</v>
      </c>
      <c r="S7307" t="s">
        <v>45076</v>
      </c>
      <c r="T7307" t="s">
        <v>46431</v>
      </c>
      <c r="U7307" t="s">
        <v>49166</v>
      </c>
      <c r="W7307" t="s">
        <v>42035</v>
      </c>
      <c r="X7307" t="s">
        <v>44911</v>
      </c>
    </row>
    <row r="7308" spans="1:24">
      <c r="A7308">
        <f>HYPERLINK("https://www.philgeps.gov.ph/GEPSNONPILOT/Tender/SplashBidNoticeAbstractUI.aspx?menuIndex=3&amp;refID=7073629&amp;Result=3","7073629")</f>
        <v>0</v>
      </c>
      <c r="B7308" t="s">
        <v>2222</v>
      </c>
      <c r="C7308" t="s">
        <v>10489</v>
      </c>
      <c r="D7308" t="s">
        <v>18169</v>
      </c>
      <c r="E7308" t="s">
        <v>18844</v>
      </c>
      <c r="F7308" t="s">
        <v>31362</v>
      </c>
      <c r="G7308" t="s">
        <v>31369</v>
      </c>
      <c r="H7308" t="s">
        <v>31378</v>
      </c>
      <c r="I7308" t="s">
        <v>31386</v>
      </c>
      <c r="J7308" t="s">
        <v>36023</v>
      </c>
      <c r="K7308" t="s">
        <v>40665</v>
      </c>
      <c r="M7308" t="s">
        <v>43356</v>
      </c>
      <c r="N7308" t="s">
        <v>44905</v>
      </c>
      <c r="O7308" t="s">
        <v>44906</v>
      </c>
      <c r="P7308">
        <v>0</v>
      </c>
      <c r="Q7308">
        <v>0</v>
      </c>
      <c r="R7308" t="s">
        <v>44910</v>
      </c>
      <c r="S7308" t="s">
        <v>45076</v>
      </c>
      <c r="T7308" t="s">
        <v>46711</v>
      </c>
      <c r="U7308" t="s">
        <v>52865</v>
      </c>
      <c r="W7308" t="s">
        <v>43356</v>
      </c>
      <c r="X7308" t="s">
        <v>44911</v>
      </c>
    </row>
    <row r="7309" spans="1:24">
      <c r="A7309">
        <f>HYPERLINK("https://www.philgeps.gov.ph/GEPSNONPILOT/Tender/SplashBidNoticeAbstractUI.aspx?menuIndex=3&amp;refID=7073628&amp;Result=3","7073628")</f>
        <v>0</v>
      </c>
      <c r="B7309" t="s">
        <v>2202</v>
      </c>
      <c r="C7309" t="s">
        <v>10490</v>
      </c>
      <c r="D7309" t="s">
        <v>18105</v>
      </c>
      <c r="E7309" t="s">
        <v>24666</v>
      </c>
      <c r="F7309" t="s">
        <v>31362</v>
      </c>
      <c r="G7309" t="s">
        <v>31369</v>
      </c>
      <c r="H7309" t="s">
        <v>15799</v>
      </c>
      <c r="I7309" t="s">
        <v>31427</v>
      </c>
      <c r="J7309" t="s">
        <v>35986</v>
      </c>
      <c r="K7309" t="s">
        <v>40682</v>
      </c>
      <c r="M7309" t="s">
        <v>43333</v>
      </c>
      <c r="N7309" t="s">
        <v>44905</v>
      </c>
      <c r="O7309" t="s">
        <v>44906</v>
      </c>
      <c r="P7309">
        <v>0</v>
      </c>
      <c r="Q7309">
        <v>0</v>
      </c>
      <c r="R7309" t="s">
        <v>44910</v>
      </c>
      <c r="S7309" t="s">
        <v>45076</v>
      </c>
      <c r="T7309" t="s">
        <v>46671</v>
      </c>
      <c r="U7309" t="s">
        <v>52866</v>
      </c>
      <c r="W7309" t="s">
        <v>43333</v>
      </c>
      <c r="X7309" t="s">
        <v>44911</v>
      </c>
    </row>
    <row r="7310" spans="1:24">
      <c r="A7310">
        <f>HYPERLINK("https://www.philgeps.gov.ph/GEPSNONPILOT/Tender/SplashBidNoticeAbstractUI.aspx?menuIndex=3&amp;refID=7073648&amp;Result=3","7073648")</f>
        <v>0</v>
      </c>
      <c r="B7310" t="s">
        <v>2024</v>
      </c>
      <c r="C7310" t="s">
        <v>10491</v>
      </c>
      <c r="D7310" t="s">
        <v>18108</v>
      </c>
      <c r="E7310" t="s">
        <v>24667</v>
      </c>
      <c r="F7310" t="s">
        <v>31362</v>
      </c>
      <c r="G7310" t="s">
        <v>31368</v>
      </c>
      <c r="H7310" t="s">
        <v>15799</v>
      </c>
      <c r="I7310" t="s">
        <v>31444</v>
      </c>
      <c r="J7310" t="s">
        <v>36024</v>
      </c>
      <c r="K7310" t="s">
        <v>40682</v>
      </c>
      <c r="M7310" t="s">
        <v>43141</v>
      </c>
      <c r="N7310" t="s">
        <v>44905</v>
      </c>
      <c r="O7310" t="s">
        <v>44906</v>
      </c>
      <c r="P7310">
        <v>0</v>
      </c>
      <c r="Q7310">
        <v>5</v>
      </c>
      <c r="R7310" t="s">
        <v>44910</v>
      </c>
      <c r="S7310" t="s">
        <v>45076</v>
      </c>
      <c r="T7310" t="s">
        <v>46434</v>
      </c>
      <c r="U7310" t="s">
        <v>52867</v>
      </c>
      <c r="W7310" t="s">
        <v>43141</v>
      </c>
      <c r="X7310" t="s">
        <v>44911</v>
      </c>
    </row>
    <row r="7311" spans="1:24">
      <c r="A7311">
        <f>HYPERLINK("https://www.philgeps.gov.ph/GEPSNONPILOT/Tender/SplashBidNoticeAbstractUI.aspx?menuIndex=3&amp;refID=7073727&amp;Result=3","7073727")</f>
        <v>0</v>
      </c>
      <c r="B7311" t="s">
        <v>2223</v>
      </c>
      <c r="C7311" t="s">
        <v>10492</v>
      </c>
      <c r="D7311" t="s">
        <v>18157</v>
      </c>
      <c r="E7311" t="s">
        <v>22636</v>
      </c>
      <c r="F7311" t="s">
        <v>31362</v>
      </c>
      <c r="G7311" t="s">
        <v>31369</v>
      </c>
      <c r="H7311" t="s">
        <v>15799</v>
      </c>
      <c r="I7311" t="s">
        <v>3815</v>
      </c>
      <c r="J7311" t="s">
        <v>36025</v>
      </c>
      <c r="K7311" t="s">
        <v>40665</v>
      </c>
      <c r="M7311" t="s">
        <v>43357</v>
      </c>
      <c r="N7311" t="s">
        <v>44905</v>
      </c>
      <c r="O7311" t="s">
        <v>44906</v>
      </c>
      <c r="P7311">
        <v>0</v>
      </c>
      <c r="Q7311">
        <v>3</v>
      </c>
      <c r="R7311" t="s">
        <v>44910</v>
      </c>
      <c r="S7311" t="s">
        <v>45076</v>
      </c>
      <c r="T7311" t="s">
        <v>46447</v>
      </c>
      <c r="U7311" t="s">
        <v>52868</v>
      </c>
      <c r="W7311" t="s">
        <v>43357</v>
      </c>
      <c r="X7311" t="s">
        <v>44911</v>
      </c>
    </row>
    <row r="7312" spans="1:24">
      <c r="A7312">
        <f>HYPERLINK("https://www.philgeps.gov.ph/GEPSNONPILOT/Tender/SplashBidNoticeAbstractUI.aspx?menuIndex=3&amp;refID=7073724&amp;Result=3","7073724")</f>
        <v>0</v>
      </c>
      <c r="B7312" t="s">
        <v>255</v>
      </c>
      <c r="C7312" t="s">
        <v>10493</v>
      </c>
      <c r="E7312" t="s">
        <v>24668</v>
      </c>
      <c r="F7312" t="s">
        <v>31362</v>
      </c>
      <c r="G7312" t="s">
        <v>31368</v>
      </c>
      <c r="H7312" t="s">
        <v>15799</v>
      </c>
      <c r="I7312" t="s">
        <v>31422</v>
      </c>
      <c r="J7312" t="s">
        <v>36026</v>
      </c>
      <c r="K7312" t="s">
        <v>40662</v>
      </c>
      <c r="M7312" t="s">
        <v>43340</v>
      </c>
      <c r="N7312" t="s">
        <v>44905</v>
      </c>
      <c r="O7312" t="s">
        <v>44906</v>
      </c>
      <c r="P7312">
        <v>0</v>
      </c>
      <c r="Q7312">
        <v>0</v>
      </c>
      <c r="R7312" t="s">
        <v>44910</v>
      </c>
      <c r="S7312" t="s">
        <v>45076</v>
      </c>
      <c r="T7312" t="s">
        <v>46428</v>
      </c>
      <c r="U7312" t="s">
        <v>52824</v>
      </c>
      <c r="W7312" t="s">
        <v>43340</v>
      </c>
      <c r="X7312" t="s">
        <v>44911</v>
      </c>
    </row>
    <row r="7313" spans="1:24">
      <c r="A7313">
        <f>HYPERLINK("https://www.philgeps.gov.ph/GEPSNONPILOT/Tender/SplashBidNoticeAbstractUI.aspx?menuIndex=3&amp;refID=7073722&amp;Result=3","7073722")</f>
        <v>0</v>
      </c>
      <c r="B7313" t="s">
        <v>2224</v>
      </c>
      <c r="C7313" t="s">
        <v>10494</v>
      </c>
      <c r="D7313" t="s">
        <v>18136</v>
      </c>
      <c r="E7313" t="s">
        <v>24669</v>
      </c>
      <c r="F7313" t="s">
        <v>31362</v>
      </c>
      <c r="G7313" t="s">
        <v>31369</v>
      </c>
      <c r="H7313" t="s">
        <v>15799</v>
      </c>
      <c r="I7313" t="s">
        <v>31397</v>
      </c>
      <c r="J7313" t="s">
        <v>36027</v>
      </c>
      <c r="K7313" t="s">
        <v>40680</v>
      </c>
      <c r="M7313" t="s">
        <v>43358</v>
      </c>
      <c r="N7313" t="s">
        <v>44905</v>
      </c>
      <c r="O7313" t="s">
        <v>44906</v>
      </c>
      <c r="P7313">
        <v>0</v>
      </c>
      <c r="Q7313">
        <v>2</v>
      </c>
      <c r="R7313" t="s">
        <v>44910</v>
      </c>
      <c r="S7313" t="s">
        <v>45076</v>
      </c>
      <c r="T7313" t="s">
        <v>46752</v>
      </c>
      <c r="U7313" t="s">
        <v>52869</v>
      </c>
      <c r="V7313" t="s">
        <v>59785</v>
      </c>
      <c r="W7313" t="s">
        <v>43358</v>
      </c>
      <c r="X7313" t="s">
        <v>44911</v>
      </c>
    </row>
    <row r="7314" spans="1:24">
      <c r="A7314">
        <f>HYPERLINK("https://www.philgeps.gov.ph/GEPSNONPILOT/Tender/SplashBidNoticeAbstractUI.aspx?menuIndex=3&amp;refID=7073721&amp;Result=3","7073721")</f>
        <v>0</v>
      </c>
      <c r="B7314" t="s">
        <v>2225</v>
      </c>
      <c r="C7314" t="s">
        <v>10495</v>
      </c>
      <c r="D7314" t="s">
        <v>18138</v>
      </c>
      <c r="E7314" t="s">
        <v>19313</v>
      </c>
      <c r="F7314" t="s">
        <v>31362</v>
      </c>
      <c r="G7314" t="s">
        <v>31368</v>
      </c>
      <c r="H7314" t="s">
        <v>15799</v>
      </c>
      <c r="I7314" t="s">
        <v>31393</v>
      </c>
      <c r="J7314" t="s">
        <v>31536</v>
      </c>
      <c r="K7314" t="s">
        <v>40661</v>
      </c>
      <c r="L7314" t="s">
        <v>2225</v>
      </c>
      <c r="M7314" t="s">
        <v>43359</v>
      </c>
      <c r="N7314" t="s">
        <v>44905</v>
      </c>
      <c r="O7314" t="s">
        <v>44906</v>
      </c>
      <c r="P7314">
        <v>0</v>
      </c>
      <c r="Q7314">
        <v>7</v>
      </c>
      <c r="R7314" t="s">
        <v>44910</v>
      </c>
      <c r="S7314" t="s">
        <v>45076</v>
      </c>
      <c r="T7314" t="s">
        <v>46753</v>
      </c>
      <c r="U7314" t="s">
        <v>52870</v>
      </c>
      <c r="W7314" t="s">
        <v>43359</v>
      </c>
      <c r="X7314" t="s">
        <v>44911</v>
      </c>
    </row>
    <row r="7315" spans="1:24">
      <c r="A7315">
        <f>HYPERLINK("https://www.philgeps.gov.ph/GEPSNONPILOT/Tender/SplashBidNoticeAbstractUI.aspx?menuIndex=3&amp;refID=7073719&amp;Result=3","7073719")</f>
        <v>0</v>
      </c>
      <c r="B7315" t="s">
        <v>2226</v>
      </c>
      <c r="C7315" t="s">
        <v>10496</v>
      </c>
      <c r="D7315" t="s">
        <v>18115</v>
      </c>
      <c r="E7315" t="s">
        <v>24670</v>
      </c>
      <c r="F7315" t="s">
        <v>31362</v>
      </c>
      <c r="G7315" t="s">
        <v>31369</v>
      </c>
      <c r="H7315" t="s">
        <v>15799</v>
      </c>
      <c r="I7315" t="s">
        <v>4283</v>
      </c>
      <c r="J7315" t="s">
        <v>36028</v>
      </c>
      <c r="K7315" t="s">
        <v>40665</v>
      </c>
      <c r="M7315" t="s">
        <v>43360</v>
      </c>
      <c r="N7315" t="s">
        <v>44905</v>
      </c>
      <c r="O7315" t="s">
        <v>44906</v>
      </c>
      <c r="P7315">
        <v>0</v>
      </c>
      <c r="Q7315">
        <v>0</v>
      </c>
      <c r="R7315" t="s">
        <v>44910</v>
      </c>
      <c r="S7315" t="s">
        <v>45076</v>
      </c>
      <c r="T7315" t="s">
        <v>46467</v>
      </c>
      <c r="U7315" t="s">
        <v>47897</v>
      </c>
      <c r="W7315" t="s">
        <v>43360</v>
      </c>
      <c r="X7315" t="s">
        <v>44911</v>
      </c>
    </row>
    <row r="7316" spans="1:24">
      <c r="A7316">
        <f>HYPERLINK("https://www.philgeps.gov.ph/GEPSNONPILOT/Tender/SplashBidNoticeAbstractUI.aspx?menuIndex=3&amp;refID=7073711&amp;Result=3","7073711")</f>
        <v>0</v>
      </c>
      <c r="B7316" t="s">
        <v>787</v>
      </c>
      <c r="C7316" t="s">
        <v>10497</v>
      </c>
      <c r="D7316" t="s">
        <v>18149</v>
      </c>
      <c r="E7316" t="s">
        <v>19498</v>
      </c>
      <c r="F7316" t="s">
        <v>31362</v>
      </c>
      <c r="G7316" t="s">
        <v>31369</v>
      </c>
      <c r="H7316" t="s">
        <v>31378</v>
      </c>
      <c r="I7316" t="s">
        <v>31386</v>
      </c>
      <c r="J7316" t="s">
        <v>31606</v>
      </c>
      <c r="K7316" t="s">
        <v>40686</v>
      </c>
      <c r="M7316" t="s">
        <v>41757</v>
      </c>
      <c r="N7316" t="s">
        <v>44905</v>
      </c>
      <c r="O7316" t="s">
        <v>44906</v>
      </c>
      <c r="P7316">
        <v>0</v>
      </c>
      <c r="Q7316">
        <v>1</v>
      </c>
      <c r="R7316" t="s">
        <v>44910</v>
      </c>
      <c r="S7316" t="s">
        <v>45076</v>
      </c>
      <c r="T7316" t="s">
        <v>46464</v>
      </c>
      <c r="U7316" t="s">
        <v>52871</v>
      </c>
      <c r="V7316" t="s">
        <v>59247</v>
      </c>
      <c r="W7316" t="s">
        <v>41757</v>
      </c>
      <c r="X7316" t="s">
        <v>44911</v>
      </c>
    </row>
    <row r="7317" spans="1:24">
      <c r="A7317">
        <f>HYPERLINK("https://www.philgeps.gov.ph/GEPSNONPILOT/Tender/SplashBidNoticeAbstractUI.aspx?menuIndex=3&amp;refID=7073710&amp;Result=3","7073710")</f>
        <v>0</v>
      </c>
      <c r="B7317" t="s">
        <v>1037</v>
      </c>
      <c r="C7317" t="s">
        <v>10498</v>
      </c>
      <c r="D7317" t="s">
        <v>18146</v>
      </c>
      <c r="E7317" t="s">
        <v>24671</v>
      </c>
      <c r="F7317" t="s">
        <v>31362</v>
      </c>
      <c r="G7317" t="s">
        <v>31369</v>
      </c>
      <c r="H7317" t="s">
        <v>15799</v>
      </c>
      <c r="I7317" t="s">
        <v>3815</v>
      </c>
      <c r="J7317" t="s">
        <v>36029</v>
      </c>
      <c r="K7317" t="s">
        <v>40666</v>
      </c>
      <c r="M7317" t="s">
        <v>43361</v>
      </c>
      <c r="N7317" t="s">
        <v>44905</v>
      </c>
      <c r="O7317" t="s">
        <v>44906</v>
      </c>
      <c r="P7317">
        <v>0</v>
      </c>
      <c r="Q7317">
        <v>0</v>
      </c>
      <c r="R7317" t="s">
        <v>44910</v>
      </c>
      <c r="S7317" t="s">
        <v>45076</v>
      </c>
      <c r="T7317" t="s">
        <v>46622</v>
      </c>
      <c r="U7317" t="s">
        <v>52872</v>
      </c>
      <c r="W7317" t="s">
        <v>43361</v>
      </c>
      <c r="X7317" t="s">
        <v>44911</v>
      </c>
    </row>
    <row r="7318" spans="1:24">
      <c r="A7318">
        <f>HYPERLINK("https://www.philgeps.gov.ph/GEPSNONPILOT/Tender/SplashBidNoticeAbstractUI.aspx?menuIndex=3&amp;refID=7073732&amp;Result=3","7073732")</f>
        <v>0</v>
      </c>
      <c r="B7318" t="s">
        <v>541</v>
      </c>
      <c r="C7318" t="s">
        <v>10499</v>
      </c>
      <c r="D7318" t="s">
        <v>18104</v>
      </c>
      <c r="E7318" t="s">
        <v>24672</v>
      </c>
      <c r="F7318" t="s">
        <v>31362</v>
      </c>
      <c r="G7318" t="s">
        <v>31369</v>
      </c>
      <c r="H7318" t="s">
        <v>15799</v>
      </c>
      <c r="I7318" t="s">
        <v>31404</v>
      </c>
      <c r="J7318" t="s">
        <v>32391</v>
      </c>
      <c r="K7318" t="s">
        <v>40665</v>
      </c>
      <c r="M7318" t="s">
        <v>41497</v>
      </c>
      <c r="N7318" t="s">
        <v>44905</v>
      </c>
      <c r="O7318" t="s">
        <v>44906</v>
      </c>
      <c r="P7318">
        <v>0</v>
      </c>
      <c r="Q7318">
        <v>0</v>
      </c>
      <c r="R7318" t="s">
        <v>44910</v>
      </c>
      <c r="S7318" t="s">
        <v>45076</v>
      </c>
      <c r="T7318" t="s">
        <v>46446</v>
      </c>
      <c r="U7318" t="s">
        <v>47966</v>
      </c>
      <c r="V7318" t="s">
        <v>59198</v>
      </c>
      <c r="W7318" t="s">
        <v>41497</v>
      </c>
      <c r="X7318" t="s">
        <v>44911</v>
      </c>
    </row>
    <row r="7319" spans="1:24">
      <c r="A7319">
        <f>HYPERLINK("https://www.philgeps.gov.ph/GEPSNONPILOT/Tender/SplashBidNoticeAbstractUI.aspx?menuIndex=3&amp;refID=7073708&amp;Result=3","7073708")</f>
        <v>0</v>
      </c>
      <c r="B7319" t="s">
        <v>541</v>
      </c>
      <c r="C7319" t="s">
        <v>10500</v>
      </c>
      <c r="D7319" t="s">
        <v>18104</v>
      </c>
      <c r="E7319" t="s">
        <v>24673</v>
      </c>
      <c r="F7319" t="s">
        <v>31362</v>
      </c>
      <c r="G7319" t="s">
        <v>31369</v>
      </c>
      <c r="H7319" t="s">
        <v>15799</v>
      </c>
      <c r="I7319" t="s">
        <v>31430</v>
      </c>
      <c r="J7319" t="s">
        <v>31586</v>
      </c>
      <c r="K7319" t="s">
        <v>40665</v>
      </c>
      <c r="M7319" t="s">
        <v>41497</v>
      </c>
      <c r="N7319" t="s">
        <v>44905</v>
      </c>
      <c r="O7319" t="s">
        <v>44906</v>
      </c>
      <c r="P7319">
        <v>0</v>
      </c>
      <c r="Q7319">
        <v>0</v>
      </c>
      <c r="R7319" t="s">
        <v>44910</v>
      </c>
      <c r="S7319" t="s">
        <v>45076</v>
      </c>
      <c r="T7319" t="s">
        <v>46446</v>
      </c>
      <c r="U7319" t="s">
        <v>47966</v>
      </c>
      <c r="V7319" t="s">
        <v>59198</v>
      </c>
      <c r="W7319" t="s">
        <v>41497</v>
      </c>
      <c r="X7319" t="s">
        <v>44911</v>
      </c>
    </row>
    <row r="7320" spans="1:24">
      <c r="A7320">
        <f>HYPERLINK("https://www.philgeps.gov.ph/GEPSNONPILOT/Tender/SplashBidNoticeAbstractUI.aspx?menuIndex=3&amp;refID=7073705&amp;Result=3","7073705")</f>
        <v>0</v>
      </c>
      <c r="B7320" t="s">
        <v>1655</v>
      </c>
      <c r="C7320" t="s">
        <v>10501</v>
      </c>
      <c r="D7320" t="s">
        <v>18136</v>
      </c>
      <c r="E7320" t="s">
        <v>24674</v>
      </c>
      <c r="F7320" t="s">
        <v>31362</v>
      </c>
      <c r="G7320" t="s">
        <v>31368</v>
      </c>
      <c r="H7320" t="s">
        <v>15799</v>
      </c>
      <c r="I7320" t="s">
        <v>31431</v>
      </c>
      <c r="J7320" t="s">
        <v>36030</v>
      </c>
      <c r="K7320" t="s">
        <v>40661</v>
      </c>
      <c r="M7320" t="s">
        <v>43362</v>
      </c>
      <c r="N7320" t="s">
        <v>44905</v>
      </c>
      <c r="O7320" t="s">
        <v>44906</v>
      </c>
      <c r="P7320">
        <v>0</v>
      </c>
      <c r="Q7320">
        <v>0</v>
      </c>
      <c r="R7320" t="s">
        <v>44910</v>
      </c>
      <c r="S7320" t="s">
        <v>45076</v>
      </c>
      <c r="T7320" t="s">
        <v>46425</v>
      </c>
      <c r="U7320" t="s">
        <v>52873</v>
      </c>
      <c r="W7320" t="s">
        <v>43362</v>
      </c>
      <c r="X7320" t="s">
        <v>44911</v>
      </c>
    </row>
    <row r="7321" spans="1:24">
      <c r="A7321">
        <f>HYPERLINK("https://www.philgeps.gov.ph/GEPSNONPILOT/Tender/SplashBidNoticeAbstractUI.aspx?menuIndex=3&amp;refID=7073703&amp;Result=3","7073703")</f>
        <v>0</v>
      </c>
      <c r="B7321" t="s">
        <v>1470</v>
      </c>
      <c r="C7321" t="s">
        <v>10502</v>
      </c>
      <c r="D7321" t="s">
        <v>18104</v>
      </c>
      <c r="E7321" t="s">
        <v>24675</v>
      </c>
      <c r="F7321" t="s">
        <v>31362</v>
      </c>
      <c r="G7321" t="s">
        <v>31368</v>
      </c>
      <c r="H7321" t="s">
        <v>15799</v>
      </c>
      <c r="I7321" t="s">
        <v>31380</v>
      </c>
      <c r="J7321" t="s">
        <v>36031</v>
      </c>
      <c r="K7321" t="s">
        <v>40661</v>
      </c>
      <c r="M7321" t="s">
        <v>42503</v>
      </c>
      <c r="N7321" t="s">
        <v>44905</v>
      </c>
      <c r="O7321" t="s">
        <v>44906</v>
      </c>
      <c r="P7321">
        <v>0</v>
      </c>
      <c r="Q7321">
        <v>0</v>
      </c>
      <c r="R7321" t="s">
        <v>44910</v>
      </c>
      <c r="S7321" t="s">
        <v>45076</v>
      </c>
      <c r="T7321" t="s">
        <v>46443</v>
      </c>
      <c r="U7321" t="s">
        <v>52874</v>
      </c>
      <c r="W7321" t="s">
        <v>42503</v>
      </c>
      <c r="X7321" t="s">
        <v>44911</v>
      </c>
    </row>
    <row r="7322" spans="1:24">
      <c r="A7322">
        <f>HYPERLINK("https://www.philgeps.gov.ph/GEPSNONPILOT/Tender/SplashBidNoticeAbstractUI.aspx?menuIndex=3&amp;refID=7073353&amp;Result=3","7073353")</f>
        <v>0</v>
      </c>
      <c r="B7322" t="s">
        <v>575</v>
      </c>
      <c r="C7322" t="s">
        <v>10503</v>
      </c>
      <c r="D7322" t="s">
        <v>18108</v>
      </c>
      <c r="E7322" t="s">
        <v>24676</v>
      </c>
      <c r="F7322" t="s">
        <v>31362</v>
      </c>
      <c r="G7322" t="s">
        <v>31369</v>
      </c>
      <c r="H7322" t="s">
        <v>15799</v>
      </c>
      <c r="I7322" t="s">
        <v>31409</v>
      </c>
      <c r="J7322" t="s">
        <v>36032</v>
      </c>
      <c r="K7322" t="s">
        <v>40665</v>
      </c>
      <c r="M7322" t="s">
        <v>41531</v>
      </c>
      <c r="N7322" t="s">
        <v>44905</v>
      </c>
      <c r="O7322" t="s">
        <v>44906</v>
      </c>
      <c r="P7322">
        <v>0</v>
      </c>
      <c r="Q7322">
        <v>4</v>
      </c>
      <c r="R7322" t="s">
        <v>44910</v>
      </c>
      <c r="S7322" t="s">
        <v>45076</v>
      </c>
      <c r="T7322" t="s">
        <v>46671</v>
      </c>
      <c r="U7322" t="s">
        <v>52875</v>
      </c>
      <c r="W7322" t="s">
        <v>41531</v>
      </c>
      <c r="X7322" t="s">
        <v>44911</v>
      </c>
    </row>
    <row r="7323" spans="1:24">
      <c r="A7323">
        <f>HYPERLINK("https://www.philgeps.gov.ph/GEPSNONPILOT/Tender/SplashBidNoticeAbstractUI.aspx?menuIndex=3&amp;refID=7073736&amp;Result=3","7073736")</f>
        <v>0</v>
      </c>
      <c r="B7323" t="s">
        <v>1037</v>
      </c>
      <c r="C7323" t="s">
        <v>10504</v>
      </c>
      <c r="D7323" t="s">
        <v>18146</v>
      </c>
      <c r="E7323" t="s">
        <v>24677</v>
      </c>
      <c r="F7323" t="s">
        <v>31362</v>
      </c>
      <c r="G7323" t="s">
        <v>31369</v>
      </c>
      <c r="H7323" t="s">
        <v>15799</v>
      </c>
      <c r="I7323" t="s">
        <v>31461</v>
      </c>
      <c r="J7323" t="s">
        <v>36033</v>
      </c>
      <c r="K7323" t="s">
        <v>40666</v>
      </c>
      <c r="M7323" t="s">
        <v>43361</v>
      </c>
      <c r="N7323" t="s">
        <v>44905</v>
      </c>
      <c r="O7323" t="s">
        <v>44906</v>
      </c>
      <c r="P7323">
        <v>0</v>
      </c>
      <c r="Q7323">
        <v>2</v>
      </c>
      <c r="R7323" t="s">
        <v>44910</v>
      </c>
      <c r="S7323" t="s">
        <v>45076</v>
      </c>
      <c r="T7323" t="s">
        <v>46622</v>
      </c>
      <c r="U7323" t="s">
        <v>52876</v>
      </c>
      <c r="W7323" t="s">
        <v>43361</v>
      </c>
      <c r="X7323" t="s">
        <v>44911</v>
      </c>
    </row>
    <row r="7324" spans="1:24">
      <c r="A7324">
        <f>HYPERLINK("https://www.philgeps.gov.ph/GEPSNONPILOT/Tender/SplashBidNoticeAbstractUI.aspx?menuIndex=3&amp;refID=7073718&amp;Result=3","7073718")</f>
        <v>0</v>
      </c>
      <c r="B7324" t="s">
        <v>1974</v>
      </c>
      <c r="C7324" t="s">
        <v>10505</v>
      </c>
      <c r="D7324" t="s">
        <v>18125</v>
      </c>
      <c r="E7324" t="s">
        <v>24678</v>
      </c>
      <c r="F7324" t="s">
        <v>31362</v>
      </c>
      <c r="G7324" t="s">
        <v>31368</v>
      </c>
      <c r="H7324" t="s">
        <v>15799</v>
      </c>
      <c r="I7324" t="s">
        <v>31393</v>
      </c>
      <c r="J7324" t="s">
        <v>36034</v>
      </c>
      <c r="K7324" t="s">
        <v>40662</v>
      </c>
      <c r="M7324" t="s">
        <v>43082</v>
      </c>
      <c r="N7324" t="s">
        <v>44905</v>
      </c>
      <c r="O7324" t="s">
        <v>44906</v>
      </c>
      <c r="P7324">
        <v>0</v>
      </c>
      <c r="Q7324">
        <v>5</v>
      </c>
      <c r="R7324" t="s">
        <v>44910</v>
      </c>
      <c r="S7324" t="s">
        <v>45076</v>
      </c>
      <c r="T7324" t="s">
        <v>46394</v>
      </c>
      <c r="U7324" t="s">
        <v>52877</v>
      </c>
      <c r="W7324" t="s">
        <v>43082</v>
      </c>
      <c r="X7324" t="s">
        <v>44911</v>
      </c>
    </row>
    <row r="7325" spans="1:24">
      <c r="A7325">
        <f>HYPERLINK("https://www.philgeps.gov.ph/GEPSNONPILOT/Tender/SplashBidNoticeAbstractUI.aspx?menuIndex=3&amp;refID=7073773&amp;Result=3","7073773")</f>
        <v>0</v>
      </c>
      <c r="B7325" t="s">
        <v>2227</v>
      </c>
      <c r="C7325" t="s">
        <v>10506</v>
      </c>
      <c r="D7325" t="s">
        <v>18158</v>
      </c>
      <c r="E7325" t="s">
        <v>24679</v>
      </c>
      <c r="F7325" t="s">
        <v>31362</v>
      </c>
      <c r="G7325" t="s">
        <v>31369</v>
      </c>
      <c r="H7325" t="s">
        <v>31378</v>
      </c>
      <c r="I7325" t="s">
        <v>31386</v>
      </c>
      <c r="J7325" t="s">
        <v>31591</v>
      </c>
      <c r="K7325" t="s">
        <v>40676</v>
      </c>
      <c r="M7325" t="s">
        <v>43363</v>
      </c>
      <c r="N7325" t="s">
        <v>44905</v>
      </c>
      <c r="O7325" t="s">
        <v>44906</v>
      </c>
      <c r="P7325">
        <v>0</v>
      </c>
      <c r="Q7325">
        <v>0</v>
      </c>
      <c r="R7325" t="s">
        <v>44910</v>
      </c>
      <c r="S7325" t="s">
        <v>45076</v>
      </c>
      <c r="T7325" t="s">
        <v>46541</v>
      </c>
      <c r="U7325" t="s">
        <v>52878</v>
      </c>
      <c r="W7325" t="s">
        <v>43363</v>
      </c>
      <c r="X7325" t="s">
        <v>44911</v>
      </c>
    </row>
    <row r="7326" spans="1:24">
      <c r="A7326">
        <f>HYPERLINK("https://www.philgeps.gov.ph/GEPSNONPILOT/Tender/SplashBidNoticeAbstractUI.aspx?menuIndex=3&amp;refID=7073729&amp;Result=3","7073729")</f>
        <v>0</v>
      </c>
      <c r="B7326" t="s">
        <v>1655</v>
      </c>
      <c r="C7326" t="s">
        <v>10501</v>
      </c>
      <c r="D7326" t="s">
        <v>18136</v>
      </c>
      <c r="E7326" t="s">
        <v>24680</v>
      </c>
      <c r="F7326" t="s">
        <v>31362</v>
      </c>
      <c r="G7326" t="s">
        <v>31368</v>
      </c>
      <c r="H7326" t="s">
        <v>15799</v>
      </c>
      <c r="I7326" t="s">
        <v>7090</v>
      </c>
      <c r="J7326" t="s">
        <v>36035</v>
      </c>
      <c r="K7326" t="s">
        <v>40661</v>
      </c>
      <c r="M7326" t="s">
        <v>43362</v>
      </c>
      <c r="N7326" t="s">
        <v>44905</v>
      </c>
      <c r="O7326" t="s">
        <v>44906</v>
      </c>
      <c r="P7326">
        <v>0</v>
      </c>
      <c r="Q7326">
        <v>0</v>
      </c>
      <c r="R7326" t="s">
        <v>44910</v>
      </c>
      <c r="S7326" t="s">
        <v>45076</v>
      </c>
      <c r="T7326" t="s">
        <v>46425</v>
      </c>
      <c r="U7326" t="s">
        <v>52879</v>
      </c>
      <c r="W7326" t="s">
        <v>43362</v>
      </c>
      <c r="X7326" t="s">
        <v>44911</v>
      </c>
    </row>
    <row r="7327" spans="1:24">
      <c r="A7327">
        <f>HYPERLINK("https://www.philgeps.gov.ph/GEPSNONPILOT/Tender/SplashBidNoticeAbstractUI.aspx?menuIndex=3&amp;refID=7073772&amp;Result=3","7073772")</f>
        <v>0</v>
      </c>
      <c r="B7327" t="s">
        <v>1036</v>
      </c>
      <c r="C7327" t="s">
        <v>3795</v>
      </c>
      <c r="D7327" t="s">
        <v>18128</v>
      </c>
      <c r="E7327" t="s">
        <v>24681</v>
      </c>
      <c r="F7327" t="s">
        <v>31363</v>
      </c>
      <c r="G7327" t="s">
        <v>31369</v>
      </c>
      <c r="H7327" t="s">
        <v>15799</v>
      </c>
      <c r="I7327" t="s">
        <v>31385</v>
      </c>
      <c r="J7327" t="s">
        <v>36036</v>
      </c>
      <c r="K7327" t="s">
        <v>40665</v>
      </c>
      <c r="M7327" t="s">
        <v>42035</v>
      </c>
      <c r="N7327" t="s">
        <v>44905</v>
      </c>
      <c r="O7327" t="s">
        <v>44906</v>
      </c>
      <c r="P7327">
        <v>0</v>
      </c>
      <c r="Q7327">
        <v>3</v>
      </c>
      <c r="R7327" t="s">
        <v>44910</v>
      </c>
      <c r="S7327" t="s">
        <v>45076</v>
      </c>
      <c r="T7327" t="s">
        <v>46431</v>
      </c>
      <c r="U7327" t="s">
        <v>49166</v>
      </c>
      <c r="W7327" t="s">
        <v>42035</v>
      </c>
      <c r="X7327" t="s">
        <v>44911</v>
      </c>
    </row>
    <row r="7328" spans="1:24">
      <c r="A7328">
        <f>HYPERLINK("https://www.philgeps.gov.ph/GEPSNONPILOT/Tender/SplashBidNoticeAbstractUI.aspx?menuIndex=3&amp;refID=7073616&amp;Result=3","7073616")</f>
        <v>0</v>
      </c>
      <c r="B7328" t="s">
        <v>2209</v>
      </c>
      <c r="C7328" t="s">
        <v>10507</v>
      </c>
      <c r="D7328" t="s">
        <v>18106</v>
      </c>
      <c r="E7328" t="s">
        <v>24682</v>
      </c>
      <c r="F7328" t="s">
        <v>31362</v>
      </c>
      <c r="G7328" t="s">
        <v>31368</v>
      </c>
      <c r="H7328" t="s">
        <v>15799</v>
      </c>
      <c r="I7328" t="s">
        <v>31392</v>
      </c>
      <c r="J7328" t="s">
        <v>31983</v>
      </c>
      <c r="K7328" t="s">
        <v>40693</v>
      </c>
      <c r="M7328" t="s">
        <v>43342</v>
      </c>
      <c r="N7328" t="s">
        <v>44905</v>
      </c>
      <c r="O7328" t="s">
        <v>44906</v>
      </c>
      <c r="P7328">
        <v>0</v>
      </c>
      <c r="Q7328">
        <v>0</v>
      </c>
      <c r="R7328" t="s">
        <v>44910</v>
      </c>
      <c r="S7328" t="s">
        <v>45076</v>
      </c>
      <c r="T7328" t="s">
        <v>46467</v>
      </c>
      <c r="U7328" t="s">
        <v>52880</v>
      </c>
      <c r="W7328" t="s">
        <v>43342</v>
      </c>
      <c r="X7328" t="s">
        <v>44911</v>
      </c>
    </row>
    <row r="7329" spans="1:24">
      <c r="A7329">
        <f>HYPERLINK("https://www.philgeps.gov.ph/GEPSNONPILOT/Tender/SplashBidNoticeAbstractUI.aspx?menuIndex=3&amp;refID=7073701&amp;Result=3","7073701")</f>
        <v>0</v>
      </c>
      <c r="B7329" t="s">
        <v>2211</v>
      </c>
      <c r="C7329" t="s">
        <v>10508</v>
      </c>
      <c r="D7329" t="s">
        <v>18108</v>
      </c>
      <c r="E7329" t="s">
        <v>24683</v>
      </c>
      <c r="F7329" t="s">
        <v>31362</v>
      </c>
      <c r="G7329" t="s">
        <v>31369</v>
      </c>
      <c r="H7329" t="s">
        <v>15799</v>
      </c>
      <c r="I7329" t="s">
        <v>3815</v>
      </c>
      <c r="J7329" t="s">
        <v>31545</v>
      </c>
      <c r="K7329" t="s">
        <v>40672</v>
      </c>
      <c r="M7329" t="s">
        <v>43344</v>
      </c>
      <c r="N7329" t="s">
        <v>44905</v>
      </c>
      <c r="O7329" t="s">
        <v>44906</v>
      </c>
      <c r="P7329">
        <v>0</v>
      </c>
      <c r="Q7329">
        <v>0</v>
      </c>
      <c r="R7329" t="s">
        <v>44910</v>
      </c>
      <c r="S7329" t="s">
        <v>45076</v>
      </c>
      <c r="T7329" t="s">
        <v>46447</v>
      </c>
      <c r="U7329" t="s">
        <v>52881</v>
      </c>
      <c r="W7329" t="s">
        <v>43344</v>
      </c>
      <c r="X7329" t="s">
        <v>44911</v>
      </c>
    </row>
    <row r="7330" spans="1:24">
      <c r="A7330">
        <f>HYPERLINK("https://www.philgeps.gov.ph/GEPSNONPILOT/Tender/SplashBidNoticeAbstractUI.aspx?menuIndex=3&amp;refID=7073768&amp;Result=3","7073768")</f>
        <v>0</v>
      </c>
      <c r="B7330" t="s">
        <v>276</v>
      </c>
      <c r="C7330" t="s">
        <v>10509</v>
      </c>
      <c r="D7330" t="s">
        <v>18106</v>
      </c>
      <c r="E7330" t="s">
        <v>24684</v>
      </c>
      <c r="F7330" t="s">
        <v>31362</v>
      </c>
      <c r="G7330" t="s">
        <v>31369</v>
      </c>
      <c r="H7330" t="s">
        <v>15799</v>
      </c>
      <c r="I7330" t="s">
        <v>6373</v>
      </c>
      <c r="J7330" t="s">
        <v>33789</v>
      </c>
      <c r="K7330" t="s">
        <v>40665</v>
      </c>
      <c r="M7330" t="s">
        <v>41218</v>
      </c>
      <c r="N7330" t="s">
        <v>44905</v>
      </c>
      <c r="O7330" t="s">
        <v>44906</v>
      </c>
      <c r="P7330">
        <v>0</v>
      </c>
      <c r="Q7330">
        <v>2</v>
      </c>
      <c r="R7330" t="s">
        <v>44910</v>
      </c>
      <c r="S7330" t="s">
        <v>45076</v>
      </c>
      <c r="T7330" t="s">
        <v>46410</v>
      </c>
      <c r="U7330" t="s">
        <v>52882</v>
      </c>
      <c r="V7330" t="s">
        <v>54811</v>
      </c>
      <c r="W7330" t="s">
        <v>41218</v>
      </c>
      <c r="X7330" t="s">
        <v>44911</v>
      </c>
    </row>
    <row r="7331" spans="1:24">
      <c r="A7331">
        <f>HYPERLINK("https://www.philgeps.gov.ph/GEPSNONPILOT/Tender/SplashBidNoticeAbstractUI.aspx?menuIndex=3&amp;refID=7073767&amp;Result=3","7073767")</f>
        <v>0</v>
      </c>
      <c r="B7331" t="s">
        <v>2228</v>
      </c>
      <c r="C7331" t="s">
        <v>10510</v>
      </c>
      <c r="D7331" t="s">
        <v>18117</v>
      </c>
      <c r="E7331" t="s">
        <v>24685</v>
      </c>
      <c r="F7331" t="s">
        <v>31362</v>
      </c>
      <c r="G7331" t="s">
        <v>31370</v>
      </c>
      <c r="H7331" t="s">
        <v>15799</v>
      </c>
      <c r="I7331" t="s">
        <v>31422</v>
      </c>
      <c r="J7331" t="s">
        <v>36037</v>
      </c>
      <c r="K7331" t="s">
        <v>40666</v>
      </c>
      <c r="M7331" t="s">
        <v>43364</v>
      </c>
      <c r="N7331" t="s">
        <v>44905</v>
      </c>
      <c r="O7331" t="s">
        <v>44906</v>
      </c>
      <c r="P7331">
        <v>0</v>
      </c>
      <c r="Q7331">
        <v>2</v>
      </c>
      <c r="R7331" t="s">
        <v>44910</v>
      </c>
      <c r="S7331" t="s">
        <v>45076</v>
      </c>
      <c r="T7331" t="s">
        <v>46454</v>
      </c>
      <c r="U7331" t="s">
        <v>52883</v>
      </c>
      <c r="W7331" t="s">
        <v>43364</v>
      </c>
      <c r="X7331" t="s">
        <v>44911</v>
      </c>
    </row>
    <row r="7332" spans="1:24">
      <c r="A7332">
        <f>HYPERLINK("https://www.philgeps.gov.ph/GEPSNONPILOT/Tender/SplashBidNoticeAbstractUI.aspx?menuIndex=3&amp;refID=7073766&amp;Result=3","7073766")</f>
        <v>0</v>
      </c>
      <c r="B7332" t="s">
        <v>2229</v>
      </c>
      <c r="C7332" t="s">
        <v>10511</v>
      </c>
      <c r="D7332" t="s">
        <v>18177</v>
      </c>
      <c r="E7332" t="s">
        <v>18203</v>
      </c>
      <c r="F7332" t="s">
        <v>31362</v>
      </c>
      <c r="G7332" t="s">
        <v>31369</v>
      </c>
      <c r="H7332" t="s">
        <v>15799</v>
      </c>
      <c r="I7332" t="s">
        <v>3815</v>
      </c>
      <c r="J7332" t="s">
        <v>32505</v>
      </c>
      <c r="K7332" t="s">
        <v>40665</v>
      </c>
      <c r="M7332" t="s">
        <v>43365</v>
      </c>
      <c r="N7332" t="s">
        <v>44905</v>
      </c>
      <c r="O7332" t="s">
        <v>44906</v>
      </c>
      <c r="P7332">
        <v>0</v>
      </c>
      <c r="Q7332">
        <v>0</v>
      </c>
      <c r="R7332" t="s">
        <v>44910</v>
      </c>
      <c r="S7332" t="s">
        <v>45076</v>
      </c>
      <c r="T7332" t="s">
        <v>46396</v>
      </c>
      <c r="U7332" t="s">
        <v>52884</v>
      </c>
      <c r="W7332" t="s">
        <v>43365</v>
      </c>
      <c r="X7332" t="s">
        <v>44911</v>
      </c>
    </row>
    <row r="7333" spans="1:24">
      <c r="A7333">
        <f>HYPERLINK("https://www.philgeps.gov.ph/GEPSNONPILOT/Tender/SplashBidNoticeAbstractUI.aspx?menuIndex=3&amp;refID=7073765&amp;Result=3","7073765")</f>
        <v>0</v>
      </c>
      <c r="B7333" t="s">
        <v>2181</v>
      </c>
      <c r="C7333" t="s">
        <v>10512</v>
      </c>
      <c r="D7333" t="s">
        <v>18156</v>
      </c>
      <c r="E7333" t="s">
        <v>24686</v>
      </c>
      <c r="F7333" t="s">
        <v>31362</v>
      </c>
      <c r="G7333" t="s">
        <v>31369</v>
      </c>
      <c r="H7333" t="s">
        <v>31378</v>
      </c>
      <c r="I7333" t="s">
        <v>31386</v>
      </c>
      <c r="J7333" t="s">
        <v>31726</v>
      </c>
      <c r="K7333" t="s">
        <v>40686</v>
      </c>
      <c r="M7333" t="s">
        <v>43312</v>
      </c>
      <c r="N7333" t="s">
        <v>44905</v>
      </c>
      <c r="O7333" t="s">
        <v>44906</v>
      </c>
      <c r="P7333">
        <v>0</v>
      </c>
      <c r="Q7333">
        <v>0</v>
      </c>
      <c r="R7333" t="s">
        <v>44910</v>
      </c>
      <c r="S7333" t="s">
        <v>45076</v>
      </c>
      <c r="T7333" t="s">
        <v>46392</v>
      </c>
      <c r="U7333" t="s">
        <v>52767</v>
      </c>
      <c r="W7333" t="s">
        <v>43312</v>
      </c>
      <c r="X7333" t="s">
        <v>44911</v>
      </c>
    </row>
    <row r="7334" spans="1:24">
      <c r="A7334">
        <f>HYPERLINK("https://www.philgeps.gov.ph/GEPSNONPILOT/Tender/SplashBidNoticeAbstractUI.aspx?menuIndex=3&amp;refID=7073764&amp;Result=3","7073764")</f>
        <v>0</v>
      </c>
      <c r="B7334" t="s">
        <v>1037</v>
      </c>
      <c r="C7334" t="s">
        <v>10513</v>
      </c>
      <c r="D7334" t="s">
        <v>18146</v>
      </c>
      <c r="E7334" t="s">
        <v>24687</v>
      </c>
      <c r="F7334" t="s">
        <v>31362</v>
      </c>
      <c r="G7334" t="s">
        <v>31369</v>
      </c>
      <c r="H7334" t="s">
        <v>15799</v>
      </c>
      <c r="I7334" t="s">
        <v>31414</v>
      </c>
      <c r="J7334" t="s">
        <v>36038</v>
      </c>
      <c r="K7334" t="s">
        <v>40666</v>
      </c>
      <c r="M7334" t="s">
        <v>43361</v>
      </c>
      <c r="N7334" t="s">
        <v>44905</v>
      </c>
      <c r="O7334" t="s">
        <v>44906</v>
      </c>
      <c r="P7334">
        <v>0</v>
      </c>
      <c r="Q7334">
        <v>1</v>
      </c>
      <c r="R7334" t="s">
        <v>44910</v>
      </c>
      <c r="S7334" t="s">
        <v>45076</v>
      </c>
      <c r="T7334" t="s">
        <v>46622</v>
      </c>
      <c r="U7334" t="s">
        <v>52885</v>
      </c>
      <c r="W7334" t="s">
        <v>43361</v>
      </c>
      <c r="X7334" t="s">
        <v>44911</v>
      </c>
    </row>
    <row r="7335" spans="1:24">
      <c r="A7335">
        <f>HYPERLINK("https://www.philgeps.gov.ph/GEPSNONPILOT/Tender/SplashBidNoticeAbstractUI.aspx?menuIndex=3&amp;refID=7073665&amp;Result=3","7073665")</f>
        <v>0</v>
      </c>
      <c r="B7335" t="s">
        <v>197</v>
      </c>
      <c r="C7335" t="s">
        <v>10514</v>
      </c>
      <c r="E7335" t="s">
        <v>24688</v>
      </c>
      <c r="F7335" t="s">
        <v>31362</v>
      </c>
      <c r="G7335" t="s">
        <v>31368</v>
      </c>
      <c r="H7335" t="s">
        <v>31378</v>
      </c>
      <c r="I7335" t="s">
        <v>31441</v>
      </c>
      <c r="J7335" t="s">
        <v>31578</v>
      </c>
      <c r="K7335" t="s">
        <v>40662</v>
      </c>
      <c r="M7335" t="s">
        <v>41559</v>
      </c>
      <c r="N7335" t="s">
        <v>44905</v>
      </c>
      <c r="O7335" t="s">
        <v>44906</v>
      </c>
      <c r="P7335">
        <v>0</v>
      </c>
      <c r="Q7335">
        <v>3</v>
      </c>
      <c r="R7335" t="s">
        <v>44910</v>
      </c>
      <c r="S7335" t="s">
        <v>45076</v>
      </c>
      <c r="T7335" t="s">
        <v>46425</v>
      </c>
      <c r="U7335" t="s">
        <v>52886</v>
      </c>
      <c r="W7335" t="s">
        <v>41559</v>
      </c>
      <c r="X7335" t="s">
        <v>44911</v>
      </c>
    </row>
    <row r="7336" spans="1:24">
      <c r="A7336">
        <f>HYPERLINK("https://www.philgeps.gov.ph/GEPSNONPILOT/Tender/SplashBidNoticeAbstractUI.aspx?menuIndex=3&amp;refID=7073763&amp;Result=3","7073763")</f>
        <v>0</v>
      </c>
      <c r="B7336" t="s">
        <v>197</v>
      </c>
      <c r="C7336" t="s">
        <v>10515</v>
      </c>
      <c r="E7336" t="s">
        <v>24689</v>
      </c>
      <c r="F7336" t="s">
        <v>31362</v>
      </c>
      <c r="G7336" t="s">
        <v>31368</v>
      </c>
      <c r="H7336" t="s">
        <v>31378</v>
      </c>
      <c r="I7336" t="s">
        <v>31441</v>
      </c>
      <c r="J7336" t="s">
        <v>36039</v>
      </c>
      <c r="K7336" t="s">
        <v>40662</v>
      </c>
      <c r="M7336" t="s">
        <v>41559</v>
      </c>
      <c r="N7336" t="s">
        <v>44905</v>
      </c>
      <c r="O7336" t="s">
        <v>44906</v>
      </c>
      <c r="P7336">
        <v>0</v>
      </c>
      <c r="Q7336">
        <v>4</v>
      </c>
      <c r="R7336" t="s">
        <v>44910</v>
      </c>
      <c r="S7336" t="s">
        <v>45076</v>
      </c>
      <c r="T7336" t="s">
        <v>46406</v>
      </c>
      <c r="U7336" t="s">
        <v>52887</v>
      </c>
      <c r="W7336" t="s">
        <v>41559</v>
      </c>
      <c r="X7336" t="s">
        <v>44911</v>
      </c>
    </row>
    <row r="7337" spans="1:24">
      <c r="A7337">
        <f>HYPERLINK("https://www.philgeps.gov.ph/GEPSNONPILOT/Tender/SplashBidNoticeAbstractUI.aspx?menuIndex=3&amp;refID=7073757&amp;Result=3","7073757")</f>
        <v>0</v>
      </c>
      <c r="B7337" t="s">
        <v>1093</v>
      </c>
      <c r="C7337" t="s">
        <v>10516</v>
      </c>
      <c r="D7337" t="s">
        <v>18156</v>
      </c>
      <c r="E7337" t="s">
        <v>24690</v>
      </c>
      <c r="F7337" t="s">
        <v>31362</v>
      </c>
      <c r="G7337" t="s">
        <v>31370</v>
      </c>
      <c r="H7337" t="s">
        <v>15799</v>
      </c>
      <c r="I7337" t="s">
        <v>31385</v>
      </c>
      <c r="J7337" t="s">
        <v>33495</v>
      </c>
      <c r="K7337" t="s">
        <v>40661</v>
      </c>
      <c r="M7337" t="s">
        <v>42098</v>
      </c>
      <c r="N7337" t="s">
        <v>44905</v>
      </c>
      <c r="O7337" t="s">
        <v>44906</v>
      </c>
      <c r="P7337">
        <v>0</v>
      </c>
      <c r="Q7337">
        <v>0</v>
      </c>
      <c r="R7337" t="s">
        <v>44910</v>
      </c>
      <c r="S7337" t="s">
        <v>45076</v>
      </c>
      <c r="T7337" t="s">
        <v>46498</v>
      </c>
      <c r="U7337" t="s">
        <v>52888</v>
      </c>
      <c r="W7337" t="s">
        <v>42098</v>
      </c>
      <c r="X7337" t="s">
        <v>44911</v>
      </c>
    </row>
    <row r="7338" spans="1:24">
      <c r="A7338">
        <f>HYPERLINK("https://www.philgeps.gov.ph/GEPSNONPILOT/Tender/SplashBidNoticeAbstractUI.aspx?menuIndex=3&amp;refID=7073770&amp;Result=3","7073770")</f>
        <v>0</v>
      </c>
      <c r="B7338" t="s">
        <v>2202</v>
      </c>
      <c r="C7338" t="s">
        <v>10517</v>
      </c>
      <c r="D7338" t="s">
        <v>18105</v>
      </c>
      <c r="E7338" t="s">
        <v>24691</v>
      </c>
      <c r="F7338" t="s">
        <v>31362</v>
      </c>
      <c r="G7338" t="s">
        <v>31369</v>
      </c>
      <c r="H7338" t="s">
        <v>15799</v>
      </c>
      <c r="I7338" t="s">
        <v>31469</v>
      </c>
      <c r="J7338" t="s">
        <v>31575</v>
      </c>
      <c r="K7338" t="s">
        <v>40682</v>
      </c>
      <c r="M7338" t="s">
        <v>43333</v>
      </c>
      <c r="N7338" t="s">
        <v>44905</v>
      </c>
      <c r="O7338" t="s">
        <v>44906</v>
      </c>
      <c r="P7338">
        <v>0</v>
      </c>
      <c r="Q7338">
        <v>1</v>
      </c>
      <c r="R7338" t="s">
        <v>44910</v>
      </c>
      <c r="S7338" t="s">
        <v>45076</v>
      </c>
      <c r="T7338" t="s">
        <v>46671</v>
      </c>
      <c r="U7338" t="s">
        <v>52889</v>
      </c>
      <c r="W7338" t="s">
        <v>43333</v>
      </c>
      <c r="X7338" t="s">
        <v>44911</v>
      </c>
    </row>
    <row r="7339" spans="1:24">
      <c r="A7339">
        <f>HYPERLINK("https://www.philgeps.gov.ph/GEPSNONPILOT/Tender/SplashBidNoticeAbstractUI.aspx?menuIndex=3&amp;refID=7073755&amp;Result=3","7073755")</f>
        <v>0</v>
      </c>
      <c r="B7339" t="s">
        <v>2230</v>
      </c>
      <c r="C7339" t="s">
        <v>10518</v>
      </c>
      <c r="D7339" t="s">
        <v>18177</v>
      </c>
      <c r="E7339" t="s">
        <v>24692</v>
      </c>
      <c r="F7339" t="s">
        <v>31362</v>
      </c>
      <c r="G7339" t="s">
        <v>31369</v>
      </c>
      <c r="H7339" t="s">
        <v>15799</v>
      </c>
      <c r="I7339" t="s">
        <v>31387</v>
      </c>
      <c r="J7339" t="s">
        <v>36040</v>
      </c>
      <c r="K7339" t="s">
        <v>40665</v>
      </c>
      <c r="M7339" t="s">
        <v>43366</v>
      </c>
      <c r="N7339" t="s">
        <v>44905</v>
      </c>
      <c r="O7339" t="s">
        <v>44906</v>
      </c>
      <c r="P7339">
        <v>0</v>
      </c>
      <c r="Q7339">
        <v>0</v>
      </c>
      <c r="R7339" t="s">
        <v>44910</v>
      </c>
      <c r="S7339" t="s">
        <v>45076</v>
      </c>
      <c r="T7339" t="s">
        <v>46393</v>
      </c>
      <c r="U7339" t="s">
        <v>52890</v>
      </c>
      <c r="W7339" t="s">
        <v>43366</v>
      </c>
      <c r="X7339" t="s">
        <v>44911</v>
      </c>
    </row>
    <row r="7340" spans="1:24">
      <c r="A7340">
        <f>HYPERLINK("https://www.philgeps.gov.ph/GEPSNONPILOT/Tender/SplashBidNoticeAbstractUI.aspx?menuIndex=3&amp;refID=7073738&amp;Result=3","7073738")</f>
        <v>0</v>
      </c>
      <c r="B7340" t="s">
        <v>2231</v>
      </c>
      <c r="C7340" t="s">
        <v>10519</v>
      </c>
      <c r="D7340" t="s">
        <v>18117</v>
      </c>
      <c r="E7340" t="s">
        <v>24693</v>
      </c>
      <c r="F7340" t="s">
        <v>31362</v>
      </c>
      <c r="G7340" t="s">
        <v>31369</v>
      </c>
      <c r="H7340" t="s">
        <v>15799</v>
      </c>
      <c r="I7340" t="s">
        <v>13635</v>
      </c>
      <c r="J7340" t="s">
        <v>31765</v>
      </c>
      <c r="K7340" t="s">
        <v>40670</v>
      </c>
      <c r="M7340" t="s">
        <v>43367</v>
      </c>
      <c r="N7340" t="s">
        <v>44905</v>
      </c>
      <c r="O7340" t="s">
        <v>44906</v>
      </c>
      <c r="P7340">
        <v>0</v>
      </c>
      <c r="Q7340">
        <v>0</v>
      </c>
      <c r="R7340" t="s">
        <v>44910</v>
      </c>
      <c r="S7340" t="s">
        <v>45076</v>
      </c>
      <c r="T7340" t="s">
        <v>46754</v>
      </c>
      <c r="U7340" t="s">
        <v>52891</v>
      </c>
      <c r="W7340" t="s">
        <v>43367</v>
      </c>
      <c r="X7340" t="s">
        <v>44911</v>
      </c>
    </row>
    <row r="7341" spans="1:24">
      <c r="A7341">
        <f>HYPERLINK("https://www.philgeps.gov.ph/GEPSNONPILOT/Tender/SplashBidNoticeAbstractUI.aspx?menuIndex=3&amp;refID=7073760&amp;Result=3","7073760")</f>
        <v>0</v>
      </c>
      <c r="B7341" t="s">
        <v>2055</v>
      </c>
      <c r="C7341" t="s">
        <v>10520</v>
      </c>
      <c r="D7341" t="s">
        <v>18108</v>
      </c>
      <c r="E7341" t="s">
        <v>24694</v>
      </c>
      <c r="F7341" t="s">
        <v>31362</v>
      </c>
      <c r="G7341" t="s">
        <v>31368</v>
      </c>
      <c r="H7341" t="s">
        <v>15799</v>
      </c>
      <c r="I7341" t="s">
        <v>31418</v>
      </c>
      <c r="J7341" t="s">
        <v>31604</v>
      </c>
      <c r="K7341" t="s">
        <v>40661</v>
      </c>
      <c r="M7341" t="s">
        <v>43177</v>
      </c>
      <c r="N7341" t="s">
        <v>44905</v>
      </c>
      <c r="O7341" t="s">
        <v>44906</v>
      </c>
      <c r="P7341">
        <v>0</v>
      </c>
      <c r="Q7341">
        <v>2</v>
      </c>
      <c r="R7341" t="s">
        <v>44910</v>
      </c>
      <c r="S7341" t="s">
        <v>45076</v>
      </c>
      <c r="T7341" t="s">
        <v>46454</v>
      </c>
      <c r="U7341" t="s">
        <v>52892</v>
      </c>
      <c r="V7341" t="s">
        <v>59786</v>
      </c>
      <c r="W7341" t="s">
        <v>43177</v>
      </c>
      <c r="X7341" t="s">
        <v>44911</v>
      </c>
    </row>
    <row r="7342" spans="1:24">
      <c r="A7342">
        <f>HYPERLINK("https://www.philgeps.gov.ph/GEPSNONPILOT/Tender/SplashBidNoticeAbstractUI.aspx?menuIndex=3&amp;refID=7073733&amp;Result=3","7073733")</f>
        <v>0</v>
      </c>
      <c r="B7342" t="s">
        <v>2066</v>
      </c>
      <c r="C7342" t="s">
        <v>10521</v>
      </c>
      <c r="D7342" t="s">
        <v>18108</v>
      </c>
      <c r="E7342" t="s">
        <v>24695</v>
      </c>
      <c r="F7342" t="s">
        <v>31362</v>
      </c>
      <c r="G7342" t="s">
        <v>31369</v>
      </c>
      <c r="H7342" t="s">
        <v>31377</v>
      </c>
      <c r="I7342" t="s">
        <v>31377</v>
      </c>
      <c r="J7342" t="s">
        <v>36041</v>
      </c>
      <c r="K7342" t="s">
        <v>40683</v>
      </c>
      <c r="M7342" t="s">
        <v>43368</v>
      </c>
      <c r="N7342" t="s">
        <v>44905</v>
      </c>
      <c r="O7342" t="s">
        <v>44906</v>
      </c>
      <c r="P7342">
        <v>0</v>
      </c>
      <c r="Q7342">
        <v>5</v>
      </c>
      <c r="R7342" t="s">
        <v>44910</v>
      </c>
      <c r="S7342" t="s">
        <v>45076</v>
      </c>
      <c r="T7342" t="s">
        <v>46695</v>
      </c>
      <c r="U7342" t="s">
        <v>52893</v>
      </c>
      <c r="W7342" t="s">
        <v>43368</v>
      </c>
      <c r="X7342" t="s">
        <v>44911</v>
      </c>
    </row>
    <row r="7343" spans="1:24">
      <c r="A7343">
        <f>HYPERLINK("https://www.philgeps.gov.ph/GEPSNONPILOT/Tender/SplashBidNoticeAbstractUI.aspx?menuIndex=3&amp;refID=7073771&amp;Result=3","7073771")</f>
        <v>0</v>
      </c>
      <c r="B7343" t="s">
        <v>2232</v>
      </c>
      <c r="C7343" t="s">
        <v>10522</v>
      </c>
      <c r="D7343" t="s">
        <v>18123</v>
      </c>
      <c r="E7343" t="s">
        <v>24696</v>
      </c>
      <c r="F7343" t="s">
        <v>31362</v>
      </c>
      <c r="G7343" t="s">
        <v>31370</v>
      </c>
      <c r="H7343" t="s">
        <v>15799</v>
      </c>
      <c r="I7343" t="s">
        <v>7090</v>
      </c>
      <c r="J7343" t="s">
        <v>36042</v>
      </c>
      <c r="K7343" t="s">
        <v>40666</v>
      </c>
      <c r="M7343" t="s">
        <v>43369</v>
      </c>
      <c r="N7343" t="s">
        <v>44905</v>
      </c>
      <c r="O7343" t="s">
        <v>44906</v>
      </c>
      <c r="P7343">
        <v>0</v>
      </c>
      <c r="Q7343">
        <v>1</v>
      </c>
      <c r="R7343" t="s">
        <v>44910</v>
      </c>
      <c r="S7343" t="s">
        <v>45076</v>
      </c>
      <c r="T7343" t="s">
        <v>46435</v>
      </c>
      <c r="U7343" t="s">
        <v>52894</v>
      </c>
      <c r="W7343" t="s">
        <v>43369</v>
      </c>
      <c r="X7343" t="s">
        <v>44911</v>
      </c>
    </row>
    <row r="7344" spans="1:24">
      <c r="A7344">
        <f>HYPERLINK("https://www.philgeps.gov.ph/GEPSNONPILOT/Tender/SplashBidNoticeAbstractUI.aspx?menuIndex=3&amp;refID=7073769&amp;Result=3","7073769")</f>
        <v>0</v>
      </c>
      <c r="B7344" t="s">
        <v>2233</v>
      </c>
      <c r="C7344" t="s">
        <v>10523</v>
      </c>
      <c r="D7344" t="s">
        <v>18101</v>
      </c>
      <c r="E7344" t="s">
        <v>24697</v>
      </c>
      <c r="F7344" t="s">
        <v>31362</v>
      </c>
      <c r="G7344" t="s">
        <v>31369</v>
      </c>
      <c r="H7344" t="s">
        <v>15799</v>
      </c>
      <c r="I7344" t="s">
        <v>31385</v>
      </c>
      <c r="J7344" t="s">
        <v>36043</v>
      </c>
      <c r="K7344" t="s">
        <v>40662</v>
      </c>
      <c r="M7344" t="s">
        <v>43370</v>
      </c>
      <c r="N7344" t="s">
        <v>44905</v>
      </c>
      <c r="O7344" t="s">
        <v>44906</v>
      </c>
      <c r="P7344">
        <v>0</v>
      </c>
      <c r="Q7344">
        <v>2</v>
      </c>
      <c r="R7344" t="s">
        <v>44910</v>
      </c>
      <c r="S7344" t="s">
        <v>45076</v>
      </c>
      <c r="T7344" t="s">
        <v>46416</v>
      </c>
      <c r="U7344" t="s">
        <v>52895</v>
      </c>
      <c r="W7344" t="s">
        <v>43370</v>
      </c>
      <c r="X7344" t="s">
        <v>44911</v>
      </c>
    </row>
    <row r="7345" spans="1:24">
      <c r="A7345">
        <f>HYPERLINK("https://www.philgeps.gov.ph/GEPSNONPILOT/Tender/SplashBidNoticeAbstractUI.aspx?menuIndex=3&amp;refID=7073696&amp;Result=3","7073696")</f>
        <v>0</v>
      </c>
      <c r="B7345" t="s">
        <v>2234</v>
      </c>
      <c r="C7345" t="s">
        <v>10524</v>
      </c>
      <c r="D7345" t="s">
        <v>18109</v>
      </c>
      <c r="E7345" t="s">
        <v>19844</v>
      </c>
      <c r="F7345" t="s">
        <v>31362</v>
      </c>
      <c r="G7345" t="s">
        <v>31369</v>
      </c>
      <c r="H7345" t="s">
        <v>15799</v>
      </c>
      <c r="I7345" t="s">
        <v>3815</v>
      </c>
      <c r="J7345" t="s">
        <v>36044</v>
      </c>
      <c r="K7345" t="s">
        <v>40661</v>
      </c>
      <c r="M7345" t="s">
        <v>43371</v>
      </c>
      <c r="N7345" t="s">
        <v>44905</v>
      </c>
      <c r="O7345" t="s">
        <v>44906</v>
      </c>
      <c r="P7345">
        <v>0</v>
      </c>
      <c r="Q7345">
        <v>0</v>
      </c>
      <c r="R7345" t="s">
        <v>44910</v>
      </c>
      <c r="S7345" t="s">
        <v>45076</v>
      </c>
      <c r="T7345" t="s">
        <v>46511</v>
      </c>
      <c r="U7345" t="s">
        <v>52896</v>
      </c>
      <c r="V7345" t="s">
        <v>59787</v>
      </c>
      <c r="W7345" t="s">
        <v>43371</v>
      </c>
      <c r="X7345" t="s">
        <v>44911</v>
      </c>
    </row>
    <row r="7346" spans="1:24">
      <c r="A7346">
        <f>HYPERLINK("https://www.philgeps.gov.ph/GEPSNONPILOT/Tender/SplashBidNoticeAbstractUI.aspx?menuIndex=3&amp;refID=7073756&amp;Result=3","7073756")</f>
        <v>0</v>
      </c>
      <c r="B7346" t="s">
        <v>1470</v>
      </c>
      <c r="C7346" t="s">
        <v>10502</v>
      </c>
      <c r="D7346" t="s">
        <v>18104</v>
      </c>
      <c r="E7346" t="s">
        <v>24698</v>
      </c>
      <c r="F7346" t="s">
        <v>31362</v>
      </c>
      <c r="G7346" t="s">
        <v>31368</v>
      </c>
      <c r="H7346" t="s">
        <v>15799</v>
      </c>
      <c r="I7346" t="s">
        <v>31385</v>
      </c>
      <c r="J7346" t="s">
        <v>31897</v>
      </c>
      <c r="K7346" t="s">
        <v>40667</v>
      </c>
      <c r="M7346" t="s">
        <v>42503</v>
      </c>
      <c r="N7346" t="s">
        <v>44905</v>
      </c>
      <c r="O7346" t="s">
        <v>44906</v>
      </c>
      <c r="P7346">
        <v>0</v>
      </c>
      <c r="Q7346">
        <v>0</v>
      </c>
      <c r="R7346" t="s">
        <v>44910</v>
      </c>
      <c r="S7346" t="s">
        <v>45076</v>
      </c>
      <c r="T7346" t="s">
        <v>46432</v>
      </c>
      <c r="U7346" t="s">
        <v>52897</v>
      </c>
      <c r="W7346" t="s">
        <v>42503</v>
      </c>
      <c r="X7346" t="s">
        <v>44911</v>
      </c>
    </row>
    <row r="7347" spans="1:24">
      <c r="A7347">
        <f>HYPERLINK("https://www.philgeps.gov.ph/GEPSNONPILOT/Tender/SplashBidNoticeAbstractUI.aspx?menuIndex=3&amp;refID=7073689&amp;Result=3","7073689")</f>
        <v>0</v>
      </c>
      <c r="B7347" t="s">
        <v>1442</v>
      </c>
      <c r="C7347" t="s">
        <v>10525</v>
      </c>
      <c r="D7347" t="s">
        <v>18108</v>
      </c>
      <c r="E7347" t="s">
        <v>24699</v>
      </c>
      <c r="F7347" t="s">
        <v>31362</v>
      </c>
      <c r="G7347" t="s">
        <v>31369</v>
      </c>
      <c r="H7347" t="s">
        <v>15799</v>
      </c>
      <c r="I7347" t="s">
        <v>13635</v>
      </c>
      <c r="J7347" t="s">
        <v>36045</v>
      </c>
      <c r="K7347" t="s">
        <v>40665</v>
      </c>
      <c r="M7347" t="s">
        <v>42471</v>
      </c>
      <c r="N7347" t="s">
        <v>44905</v>
      </c>
      <c r="O7347" t="s">
        <v>44906</v>
      </c>
      <c r="P7347">
        <v>0</v>
      </c>
      <c r="Q7347">
        <v>9</v>
      </c>
      <c r="R7347" t="s">
        <v>44910</v>
      </c>
      <c r="S7347" t="s">
        <v>45076</v>
      </c>
      <c r="T7347" t="s">
        <v>46511</v>
      </c>
      <c r="U7347" t="s">
        <v>52898</v>
      </c>
      <c r="V7347" t="s">
        <v>59788</v>
      </c>
      <c r="W7347" t="s">
        <v>42471</v>
      </c>
      <c r="X7347" t="s">
        <v>44911</v>
      </c>
    </row>
    <row r="7348" spans="1:24">
      <c r="A7348">
        <f>HYPERLINK("https://www.philgeps.gov.ph/GEPSNONPILOT/Tender/SplashBidNoticeAbstractUI.aspx?menuIndex=3&amp;refID=7073325&amp;Result=3","7073325")</f>
        <v>0</v>
      </c>
      <c r="B7348" t="s">
        <v>2187</v>
      </c>
      <c r="C7348" t="s">
        <v>10526</v>
      </c>
      <c r="D7348" t="s">
        <v>18108</v>
      </c>
      <c r="E7348" t="s">
        <v>24700</v>
      </c>
      <c r="F7348" t="s">
        <v>31362</v>
      </c>
      <c r="G7348" t="s">
        <v>31370</v>
      </c>
      <c r="H7348" t="s">
        <v>15799</v>
      </c>
      <c r="I7348" t="s">
        <v>3815</v>
      </c>
      <c r="J7348" t="s">
        <v>36046</v>
      </c>
      <c r="K7348" t="s">
        <v>40665</v>
      </c>
      <c r="M7348" t="s">
        <v>43318</v>
      </c>
      <c r="N7348" t="s">
        <v>44905</v>
      </c>
      <c r="O7348" t="s">
        <v>44906</v>
      </c>
      <c r="P7348">
        <v>0</v>
      </c>
      <c r="Q7348">
        <v>1</v>
      </c>
      <c r="R7348" t="s">
        <v>44910</v>
      </c>
      <c r="S7348" t="s">
        <v>45076</v>
      </c>
      <c r="T7348" t="s">
        <v>46447</v>
      </c>
      <c r="U7348" t="s">
        <v>52899</v>
      </c>
      <c r="W7348" t="s">
        <v>43318</v>
      </c>
      <c r="X7348" t="s">
        <v>44911</v>
      </c>
    </row>
    <row r="7349" spans="1:24">
      <c r="A7349">
        <f>HYPERLINK("https://www.philgeps.gov.ph/GEPSNONPILOT/Tender/SplashBidNoticeAbstractUI.aspx?menuIndex=3&amp;refID=7073752&amp;Result=3","7073752")</f>
        <v>0</v>
      </c>
      <c r="B7349" t="s">
        <v>541</v>
      </c>
      <c r="C7349" t="s">
        <v>10527</v>
      </c>
      <c r="D7349" t="s">
        <v>18104</v>
      </c>
      <c r="E7349" t="s">
        <v>24701</v>
      </c>
      <c r="F7349" t="s">
        <v>31362</v>
      </c>
      <c r="G7349" t="s">
        <v>31369</v>
      </c>
      <c r="H7349" t="s">
        <v>15799</v>
      </c>
      <c r="I7349" t="s">
        <v>31404</v>
      </c>
      <c r="J7349" t="s">
        <v>31687</v>
      </c>
      <c r="K7349" t="s">
        <v>40665</v>
      </c>
      <c r="M7349" t="s">
        <v>41497</v>
      </c>
      <c r="N7349" t="s">
        <v>44905</v>
      </c>
      <c r="O7349" t="s">
        <v>44906</v>
      </c>
      <c r="P7349">
        <v>0</v>
      </c>
      <c r="Q7349">
        <v>0</v>
      </c>
      <c r="R7349" t="s">
        <v>44910</v>
      </c>
      <c r="S7349" t="s">
        <v>45076</v>
      </c>
      <c r="T7349" t="s">
        <v>46446</v>
      </c>
      <c r="U7349" t="s">
        <v>47966</v>
      </c>
      <c r="V7349" t="s">
        <v>59198</v>
      </c>
      <c r="W7349" t="s">
        <v>41497</v>
      </c>
      <c r="X7349" t="s">
        <v>44911</v>
      </c>
    </row>
    <row r="7350" spans="1:24">
      <c r="A7350">
        <f>HYPERLINK("https://www.philgeps.gov.ph/GEPSNONPILOT/Tender/SplashBidNoticeAbstractUI.aspx?menuIndex=3&amp;refID=7073734&amp;Result=3","7073734")</f>
        <v>0</v>
      </c>
      <c r="B7350" t="s">
        <v>2202</v>
      </c>
      <c r="C7350" t="s">
        <v>10528</v>
      </c>
      <c r="D7350" t="s">
        <v>18105</v>
      </c>
      <c r="E7350" t="s">
        <v>24702</v>
      </c>
      <c r="F7350" t="s">
        <v>31362</v>
      </c>
      <c r="G7350" t="s">
        <v>31369</v>
      </c>
      <c r="H7350" t="s">
        <v>15799</v>
      </c>
      <c r="I7350" t="s">
        <v>31427</v>
      </c>
      <c r="J7350" t="s">
        <v>35986</v>
      </c>
      <c r="K7350" t="s">
        <v>40682</v>
      </c>
      <c r="M7350" t="s">
        <v>43333</v>
      </c>
      <c r="N7350" t="s">
        <v>44905</v>
      </c>
      <c r="O7350" t="s">
        <v>44906</v>
      </c>
      <c r="P7350">
        <v>0</v>
      </c>
      <c r="Q7350">
        <v>0</v>
      </c>
      <c r="R7350" t="s">
        <v>44910</v>
      </c>
      <c r="S7350" t="s">
        <v>45076</v>
      </c>
      <c r="T7350" t="s">
        <v>46671</v>
      </c>
      <c r="U7350" t="s">
        <v>52900</v>
      </c>
      <c r="W7350" t="s">
        <v>43333</v>
      </c>
      <c r="X7350" t="s">
        <v>44911</v>
      </c>
    </row>
    <row r="7351" spans="1:24">
      <c r="A7351">
        <f>HYPERLINK("https://www.philgeps.gov.ph/GEPSNONPILOT/Tender/SplashBidNoticeAbstractUI.aspx?menuIndex=3&amp;refID=7073322&amp;Result=3","7073322")</f>
        <v>0</v>
      </c>
      <c r="B7351" t="s">
        <v>2180</v>
      </c>
      <c r="C7351" t="s">
        <v>10529</v>
      </c>
      <c r="D7351" t="s">
        <v>18155</v>
      </c>
      <c r="E7351" t="s">
        <v>24703</v>
      </c>
      <c r="F7351" t="s">
        <v>31362</v>
      </c>
      <c r="G7351" t="s">
        <v>31368</v>
      </c>
      <c r="H7351" t="s">
        <v>15799</v>
      </c>
      <c r="I7351" t="s">
        <v>31388</v>
      </c>
      <c r="J7351" t="s">
        <v>36047</v>
      </c>
      <c r="K7351" t="s">
        <v>40665</v>
      </c>
      <c r="M7351" t="s">
        <v>43311</v>
      </c>
      <c r="N7351" t="s">
        <v>44905</v>
      </c>
      <c r="O7351" t="s">
        <v>44906</v>
      </c>
      <c r="P7351">
        <v>0</v>
      </c>
      <c r="Q7351">
        <v>3</v>
      </c>
      <c r="R7351" t="s">
        <v>44910</v>
      </c>
      <c r="S7351" t="s">
        <v>45076</v>
      </c>
      <c r="T7351" t="s">
        <v>46446</v>
      </c>
      <c r="U7351" t="s">
        <v>52747</v>
      </c>
      <c r="W7351" t="s">
        <v>60924</v>
      </c>
      <c r="X7351" t="s">
        <v>44911</v>
      </c>
    </row>
    <row r="7352" spans="1:24">
      <c r="A7352">
        <f>HYPERLINK("https://www.philgeps.gov.ph/GEPSNONPILOT/Tender/SplashBidNoticeAbstractUI.aspx?menuIndex=3&amp;refID=7073321&amp;Result=3","7073321")</f>
        <v>0</v>
      </c>
      <c r="B7352" t="s">
        <v>2235</v>
      </c>
      <c r="C7352" t="s">
        <v>9765</v>
      </c>
      <c r="E7352" t="s">
        <v>24704</v>
      </c>
      <c r="F7352" t="s">
        <v>31362</v>
      </c>
      <c r="G7352" t="s">
        <v>31369</v>
      </c>
      <c r="H7352" t="s">
        <v>31378</v>
      </c>
      <c r="I7352" t="s">
        <v>31386</v>
      </c>
      <c r="J7352" t="s">
        <v>36048</v>
      </c>
      <c r="K7352" t="s">
        <v>40662</v>
      </c>
      <c r="M7352" t="s">
        <v>43372</v>
      </c>
      <c r="N7352" t="s">
        <v>44905</v>
      </c>
      <c r="O7352" t="s">
        <v>44906</v>
      </c>
      <c r="P7352">
        <v>0</v>
      </c>
      <c r="Q7352">
        <v>0</v>
      </c>
      <c r="R7352" t="s">
        <v>44910</v>
      </c>
      <c r="S7352" t="s">
        <v>45076</v>
      </c>
      <c r="T7352" t="s">
        <v>46612</v>
      </c>
      <c r="U7352" t="s">
        <v>52025</v>
      </c>
      <c r="W7352" t="s">
        <v>43372</v>
      </c>
      <c r="X7352" t="s">
        <v>44911</v>
      </c>
    </row>
    <row r="7353" spans="1:24">
      <c r="A7353">
        <f>HYPERLINK("https://www.philgeps.gov.ph/GEPSNONPILOT/Tender/SplashBidNoticeAbstractUI.aspx?menuIndex=3&amp;refID=7073320&amp;Result=3","7073320")</f>
        <v>0</v>
      </c>
      <c r="B7353" t="s">
        <v>2192</v>
      </c>
      <c r="C7353" t="s">
        <v>10530</v>
      </c>
      <c r="D7353" t="s">
        <v>18109</v>
      </c>
      <c r="E7353" t="s">
        <v>24705</v>
      </c>
      <c r="F7353" t="s">
        <v>31362</v>
      </c>
      <c r="G7353" t="s">
        <v>31369</v>
      </c>
      <c r="H7353" t="s">
        <v>15799</v>
      </c>
      <c r="I7353" t="s">
        <v>3815</v>
      </c>
      <c r="J7353" t="s">
        <v>36049</v>
      </c>
      <c r="K7353" t="s">
        <v>40677</v>
      </c>
      <c r="M7353" t="s">
        <v>43323</v>
      </c>
      <c r="N7353" t="s">
        <v>44905</v>
      </c>
      <c r="O7353" t="s">
        <v>44906</v>
      </c>
      <c r="P7353">
        <v>0</v>
      </c>
      <c r="Q7353">
        <v>0</v>
      </c>
      <c r="R7353" t="s">
        <v>44910</v>
      </c>
      <c r="S7353" t="s">
        <v>45076</v>
      </c>
      <c r="T7353" t="s">
        <v>46447</v>
      </c>
      <c r="U7353" t="s">
        <v>52901</v>
      </c>
      <c r="W7353" t="s">
        <v>43323</v>
      </c>
      <c r="X7353" t="s">
        <v>44911</v>
      </c>
    </row>
    <row r="7354" spans="1:24">
      <c r="A7354">
        <f>HYPERLINK("https://www.philgeps.gov.ph/GEPSNONPILOT/Tender/SplashBidNoticeAbstractUI.aspx?menuIndex=3&amp;refID=7073294&amp;Result=3","7073294")</f>
        <v>0</v>
      </c>
      <c r="B7354" t="s">
        <v>776</v>
      </c>
      <c r="C7354" t="s">
        <v>10531</v>
      </c>
      <c r="D7354" t="s">
        <v>18108</v>
      </c>
      <c r="E7354" t="s">
        <v>24706</v>
      </c>
      <c r="F7354" t="s">
        <v>31362</v>
      </c>
      <c r="G7354" t="s">
        <v>31368</v>
      </c>
      <c r="H7354" t="s">
        <v>15799</v>
      </c>
      <c r="I7354" t="s">
        <v>31393</v>
      </c>
      <c r="J7354" t="s">
        <v>36050</v>
      </c>
      <c r="K7354" t="s">
        <v>40677</v>
      </c>
      <c r="M7354" t="s">
        <v>41744</v>
      </c>
      <c r="N7354" t="s">
        <v>44905</v>
      </c>
      <c r="O7354" t="s">
        <v>44906</v>
      </c>
      <c r="P7354">
        <v>0</v>
      </c>
      <c r="Q7354">
        <v>5</v>
      </c>
      <c r="R7354" t="s">
        <v>44910</v>
      </c>
      <c r="S7354" t="s">
        <v>45076</v>
      </c>
      <c r="T7354" t="s">
        <v>46416</v>
      </c>
      <c r="U7354" t="s">
        <v>52902</v>
      </c>
      <c r="W7354" t="s">
        <v>41744</v>
      </c>
      <c r="X7354" t="s">
        <v>44911</v>
      </c>
    </row>
    <row r="7355" spans="1:24">
      <c r="A7355">
        <f>HYPERLINK("https://www.philgeps.gov.ph/GEPSNONPILOT/Tender/SplashBidNoticeAbstractUI.aspx?menuIndex=3&amp;refID=7073698&amp;Result=3","7073698")</f>
        <v>0</v>
      </c>
      <c r="B7355" t="s">
        <v>991</v>
      </c>
      <c r="C7355" t="s">
        <v>10532</v>
      </c>
      <c r="D7355" t="s">
        <v>18132</v>
      </c>
      <c r="E7355" t="s">
        <v>24707</v>
      </c>
      <c r="F7355" t="s">
        <v>31362</v>
      </c>
      <c r="G7355" t="s">
        <v>31369</v>
      </c>
      <c r="H7355" t="s">
        <v>31378</v>
      </c>
      <c r="I7355" t="s">
        <v>31386</v>
      </c>
      <c r="J7355" t="s">
        <v>36051</v>
      </c>
      <c r="K7355" t="s">
        <v>40666</v>
      </c>
      <c r="M7355" t="s">
        <v>41985</v>
      </c>
      <c r="N7355" t="s">
        <v>44905</v>
      </c>
      <c r="O7355" t="s">
        <v>44906</v>
      </c>
      <c r="P7355">
        <v>0</v>
      </c>
      <c r="Q7355">
        <v>0</v>
      </c>
      <c r="R7355" t="s">
        <v>44910</v>
      </c>
      <c r="S7355" t="s">
        <v>45076</v>
      </c>
      <c r="T7355" t="s">
        <v>46741</v>
      </c>
      <c r="U7355" t="s">
        <v>52903</v>
      </c>
      <c r="W7355" t="s">
        <v>41985</v>
      </c>
      <c r="X7355" t="s">
        <v>44911</v>
      </c>
    </row>
    <row r="7356" spans="1:24">
      <c r="A7356">
        <f>HYPERLINK("https://www.philgeps.gov.ph/GEPSNONPILOT/Tender/SplashBidNoticeAbstractUI.aspx?menuIndex=3&amp;refID=7073291&amp;Result=3","7073291")</f>
        <v>0</v>
      </c>
      <c r="B7356" t="s">
        <v>387</v>
      </c>
      <c r="C7356" t="s">
        <v>10533</v>
      </c>
      <c r="D7356" t="s">
        <v>18152</v>
      </c>
      <c r="E7356" t="s">
        <v>24708</v>
      </c>
      <c r="F7356" t="s">
        <v>31362</v>
      </c>
      <c r="G7356" t="s">
        <v>31369</v>
      </c>
      <c r="H7356" t="s">
        <v>15799</v>
      </c>
      <c r="I7356" t="s">
        <v>13635</v>
      </c>
      <c r="J7356" t="s">
        <v>36052</v>
      </c>
      <c r="K7356" t="s">
        <v>40665</v>
      </c>
      <c r="M7356" t="s">
        <v>41335</v>
      </c>
      <c r="N7356" t="s">
        <v>44905</v>
      </c>
      <c r="O7356" t="s">
        <v>44906</v>
      </c>
      <c r="P7356">
        <v>0</v>
      </c>
      <c r="Q7356">
        <v>0</v>
      </c>
      <c r="R7356" t="s">
        <v>44910</v>
      </c>
      <c r="S7356" t="s">
        <v>45076</v>
      </c>
      <c r="T7356" t="s">
        <v>46393</v>
      </c>
      <c r="U7356" t="s">
        <v>47597</v>
      </c>
      <c r="V7356" t="s">
        <v>59153</v>
      </c>
      <c r="W7356" t="s">
        <v>41335</v>
      </c>
      <c r="X7356" t="s">
        <v>44911</v>
      </c>
    </row>
    <row r="7357" spans="1:24">
      <c r="A7357">
        <f>HYPERLINK("https://www.philgeps.gov.ph/GEPSNONPILOT/Tender/SplashBidNoticeAbstractUI.aspx?menuIndex=3&amp;refID=7073352&amp;Result=3","7073352")</f>
        <v>0</v>
      </c>
      <c r="B7357" t="s">
        <v>2199</v>
      </c>
      <c r="C7357" t="s">
        <v>10534</v>
      </c>
      <c r="D7357" t="s">
        <v>18123</v>
      </c>
      <c r="E7357" t="s">
        <v>24709</v>
      </c>
      <c r="F7357" t="s">
        <v>31362</v>
      </c>
      <c r="G7357" t="s">
        <v>31369</v>
      </c>
      <c r="H7357" t="s">
        <v>15799</v>
      </c>
      <c r="I7357" t="s">
        <v>7719</v>
      </c>
      <c r="J7357" t="s">
        <v>31734</v>
      </c>
      <c r="K7357" t="s">
        <v>40665</v>
      </c>
      <c r="M7357" t="s">
        <v>43330</v>
      </c>
      <c r="N7357" t="s">
        <v>44905</v>
      </c>
      <c r="O7357" t="s">
        <v>44906</v>
      </c>
      <c r="P7357">
        <v>0</v>
      </c>
      <c r="Q7357">
        <v>10</v>
      </c>
      <c r="R7357" t="s">
        <v>44910</v>
      </c>
      <c r="S7357" t="s">
        <v>45076</v>
      </c>
      <c r="T7357" t="s">
        <v>46433</v>
      </c>
      <c r="U7357" t="s">
        <v>52904</v>
      </c>
      <c r="W7357" t="s">
        <v>43330</v>
      </c>
      <c r="X7357" t="s">
        <v>44911</v>
      </c>
    </row>
    <row r="7358" spans="1:24">
      <c r="A7358">
        <f>HYPERLINK("https://www.philgeps.gov.ph/GEPSNONPILOT/Tender/SplashBidNoticeAbstractUI.aspx?menuIndex=3&amp;refID=7073697&amp;Result=3","7073697")</f>
        <v>0</v>
      </c>
      <c r="B7358" t="s">
        <v>2202</v>
      </c>
      <c r="C7358" t="s">
        <v>10535</v>
      </c>
      <c r="D7358" t="s">
        <v>18105</v>
      </c>
      <c r="E7358" t="s">
        <v>24710</v>
      </c>
      <c r="F7358" t="s">
        <v>31362</v>
      </c>
      <c r="G7358" t="s">
        <v>31369</v>
      </c>
      <c r="H7358" t="s">
        <v>15799</v>
      </c>
      <c r="I7358" t="s">
        <v>31427</v>
      </c>
      <c r="J7358" t="s">
        <v>35986</v>
      </c>
      <c r="K7358" t="s">
        <v>40682</v>
      </c>
      <c r="M7358" t="s">
        <v>43333</v>
      </c>
      <c r="N7358" t="s">
        <v>44905</v>
      </c>
      <c r="O7358" t="s">
        <v>44906</v>
      </c>
      <c r="P7358">
        <v>0</v>
      </c>
      <c r="Q7358">
        <v>0</v>
      </c>
      <c r="R7358" t="s">
        <v>44910</v>
      </c>
      <c r="S7358" t="s">
        <v>45076</v>
      </c>
      <c r="T7358" t="s">
        <v>46671</v>
      </c>
      <c r="U7358" t="s">
        <v>52905</v>
      </c>
      <c r="W7358" t="s">
        <v>43333</v>
      </c>
      <c r="X7358" t="s">
        <v>44911</v>
      </c>
    </row>
    <row r="7359" spans="1:24">
      <c r="A7359">
        <f>HYPERLINK("https://www.philgeps.gov.ph/GEPSNONPILOT/Tender/SplashBidNoticeAbstractUI.aspx?menuIndex=3&amp;refID=7073818&amp;Result=3","7073818")</f>
        <v>0</v>
      </c>
      <c r="B7359" t="s">
        <v>298</v>
      </c>
      <c r="C7359" t="s">
        <v>4074</v>
      </c>
      <c r="D7359" t="s">
        <v>18168</v>
      </c>
      <c r="E7359" t="s">
        <v>24711</v>
      </c>
      <c r="F7359" t="s">
        <v>31362</v>
      </c>
      <c r="G7359" t="s">
        <v>31368</v>
      </c>
      <c r="H7359" t="s">
        <v>15799</v>
      </c>
      <c r="I7359" t="s">
        <v>31440</v>
      </c>
      <c r="J7359" t="s">
        <v>32429</v>
      </c>
      <c r="K7359" t="s">
        <v>40662</v>
      </c>
      <c r="M7359" t="s">
        <v>41241</v>
      </c>
      <c r="N7359" t="s">
        <v>44905</v>
      </c>
      <c r="O7359" t="s">
        <v>44906</v>
      </c>
      <c r="P7359">
        <v>0</v>
      </c>
      <c r="Q7359">
        <v>0</v>
      </c>
      <c r="R7359" t="s">
        <v>44910</v>
      </c>
      <c r="S7359" t="s">
        <v>45076</v>
      </c>
      <c r="T7359" t="s">
        <v>46434</v>
      </c>
      <c r="U7359" t="s">
        <v>52906</v>
      </c>
      <c r="W7359" t="s">
        <v>41241</v>
      </c>
      <c r="X7359" t="s">
        <v>44911</v>
      </c>
    </row>
    <row r="7360" spans="1:24">
      <c r="A7360">
        <f>HYPERLINK("https://www.philgeps.gov.ph/GEPSNONPILOT/Tender/SplashBidNoticeAbstractUI.aspx?menuIndex=3&amp;refID=7073776&amp;Result=3","7073776")</f>
        <v>0</v>
      </c>
      <c r="B7360" t="s">
        <v>622</v>
      </c>
      <c r="C7360" t="s">
        <v>10536</v>
      </c>
      <c r="D7360" t="s">
        <v>18108</v>
      </c>
      <c r="E7360" t="s">
        <v>24712</v>
      </c>
      <c r="F7360" t="s">
        <v>31362</v>
      </c>
      <c r="G7360" t="s">
        <v>31373</v>
      </c>
      <c r="H7360" t="s">
        <v>15799</v>
      </c>
      <c r="I7360" t="s">
        <v>31456</v>
      </c>
      <c r="J7360" t="s">
        <v>36053</v>
      </c>
      <c r="K7360" t="s">
        <v>40682</v>
      </c>
      <c r="M7360" t="s">
        <v>42973</v>
      </c>
      <c r="N7360" t="s">
        <v>44905</v>
      </c>
      <c r="O7360" t="s">
        <v>44906</v>
      </c>
      <c r="Q7360">
        <v>6</v>
      </c>
      <c r="R7360" t="s">
        <v>44910</v>
      </c>
      <c r="S7360" t="s">
        <v>45089</v>
      </c>
      <c r="T7360" t="s">
        <v>46429</v>
      </c>
      <c r="U7360" t="s">
        <v>52773</v>
      </c>
      <c r="W7360" t="s">
        <v>42973</v>
      </c>
      <c r="X7360" t="s">
        <v>44911</v>
      </c>
    </row>
    <row r="7361" spans="1:24">
      <c r="A7361">
        <f>HYPERLINK("https://www.philgeps.gov.ph/GEPSNONPILOT/Tender/SplashBidNoticeAbstractUI.aspx?menuIndex=3&amp;refID=7073813&amp;Result=3","7073813")</f>
        <v>0</v>
      </c>
      <c r="B7361" t="s">
        <v>279</v>
      </c>
      <c r="C7361" t="s">
        <v>10537</v>
      </c>
      <c r="D7361" t="s">
        <v>18139</v>
      </c>
      <c r="E7361" t="s">
        <v>24713</v>
      </c>
      <c r="F7361" t="s">
        <v>31362</v>
      </c>
      <c r="G7361" t="s">
        <v>31370</v>
      </c>
      <c r="H7361" t="s">
        <v>15799</v>
      </c>
      <c r="I7361" t="s">
        <v>31409</v>
      </c>
      <c r="J7361" t="s">
        <v>33049</v>
      </c>
      <c r="K7361" t="s">
        <v>40672</v>
      </c>
      <c r="M7361" t="s">
        <v>41221</v>
      </c>
      <c r="N7361" t="s">
        <v>44905</v>
      </c>
      <c r="O7361" t="s">
        <v>44906</v>
      </c>
      <c r="P7361">
        <v>0</v>
      </c>
      <c r="Q7361">
        <v>0</v>
      </c>
      <c r="R7361" t="s">
        <v>44910</v>
      </c>
      <c r="S7361" t="s">
        <v>45076</v>
      </c>
      <c r="T7361" t="s">
        <v>46467</v>
      </c>
      <c r="U7361" t="s">
        <v>52907</v>
      </c>
      <c r="W7361" t="s">
        <v>41221</v>
      </c>
      <c r="X7361" t="s">
        <v>44911</v>
      </c>
    </row>
    <row r="7362" spans="1:24">
      <c r="A7362">
        <f>HYPERLINK("https://www.philgeps.gov.ph/GEPSNONPILOT/Tender/SplashBidNoticeAbstractUI.aspx?menuIndex=3&amp;refID=7073810&amp;Result=3","7073810")</f>
        <v>0</v>
      </c>
      <c r="B7362" t="s">
        <v>2230</v>
      </c>
      <c r="C7362" t="s">
        <v>10538</v>
      </c>
      <c r="D7362" t="s">
        <v>18177</v>
      </c>
      <c r="E7362" t="s">
        <v>24714</v>
      </c>
      <c r="F7362" t="s">
        <v>31362</v>
      </c>
      <c r="G7362" t="s">
        <v>31369</v>
      </c>
      <c r="H7362" t="s">
        <v>15799</v>
      </c>
      <c r="I7362" t="s">
        <v>31387</v>
      </c>
      <c r="J7362" t="s">
        <v>36054</v>
      </c>
      <c r="K7362" t="s">
        <v>40665</v>
      </c>
      <c r="M7362" t="s">
        <v>43366</v>
      </c>
      <c r="N7362" t="s">
        <v>44905</v>
      </c>
      <c r="O7362" t="s">
        <v>44906</v>
      </c>
      <c r="P7362">
        <v>0</v>
      </c>
      <c r="Q7362">
        <v>0</v>
      </c>
      <c r="R7362" t="s">
        <v>44910</v>
      </c>
      <c r="S7362" t="s">
        <v>45076</v>
      </c>
      <c r="T7362" t="s">
        <v>46393</v>
      </c>
      <c r="U7362" t="s">
        <v>52908</v>
      </c>
      <c r="W7362" t="s">
        <v>43366</v>
      </c>
      <c r="X7362" t="s">
        <v>44911</v>
      </c>
    </row>
    <row r="7363" spans="1:24">
      <c r="A7363">
        <f>HYPERLINK("https://www.philgeps.gov.ph/GEPSNONPILOT/Tender/SplashBidNoticeAbstractUI.aspx?menuIndex=3&amp;refID=7073805&amp;Result=3","7073805")</f>
        <v>0</v>
      </c>
      <c r="B7363" t="s">
        <v>1680</v>
      </c>
      <c r="C7363" t="s">
        <v>10539</v>
      </c>
      <c r="D7363" t="s">
        <v>18144</v>
      </c>
      <c r="E7363" t="s">
        <v>22780</v>
      </c>
      <c r="F7363" t="s">
        <v>31362</v>
      </c>
      <c r="G7363" t="s">
        <v>31370</v>
      </c>
      <c r="H7363" t="s">
        <v>15799</v>
      </c>
      <c r="I7363" t="s">
        <v>31380</v>
      </c>
      <c r="J7363" t="s">
        <v>32380</v>
      </c>
      <c r="K7363" t="s">
        <v>40662</v>
      </c>
      <c r="M7363" t="s">
        <v>42745</v>
      </c>
      <c r="N7363" t="s">
        <v>44905</v>
      </c>
      <c r="O7363" t="s">
        <v>44906</v>
      </c>
      <c r="P7363">
        <v>0</v>
      </c>
      <c r="Q7363">
        <v>0</v>
      </c>
      <c r="R7363" t="s">
        <v>44910</v>
      </c>
      <c r="S7363" t="s">
        <v>45076</v>
      </c>
      <c r="T7363" t="s">
        <v>46534</v>
      </c>
      <c r="U7363" t="s">
        <v>52909</v>
      </c>
      <c r="V7363" t="s">
        <v>59789</v>
      </c>
      <c r="W7363" t="s">
        <v>42745</v>
      </c>
      <c r="X7363" t="s">
        <v>44911</v>
      </c>
    </row>
    <row r="7364" spans="1:24">
      <c r="A7364">
        <f>HYPERLINK("https://www.philgeps.gov.ph/GEPSNONPILOT/Tender/SplashBidNoticeAbstractUI.aspx?menuIndex=3&amp;refID=7073802&amp;Result=3","7073802")</f>
        <v>0</v>
      </c>
      <c r="B7364" t="s">
        <v>485</v>
      </c>
      <c r="C7364" t="s">
        <v>10540</v>
      </c>
      <c r="D7364" t="s">
        <v>18158</v>
      </c>
      <c r="E7364" t="s">
        <v>19210</v>
      </c>
      <c r="F7364" t="s">
        <v>31362</v>
      </c>
      <c r="G7364" t="s">
        <v>31369</v>
      </c>
      <c r="H7364" t="s">
        <v>15799</v>
      </c>
      <c r="I7364" t="s">
        <v>3815</v>
      </c>
      <c r="J7364" t="s">
        <v>36055</v>
      </c>
      <c r="K7364" t="s">
        <v>40665</v>
      </c>
      <c r="M7364" t="s">
        <v>41440</v>
      </c>
      <c r="N7364" t="s">
        <v>44905</v>
      </c>
      <c r="O7364" t="s">
        <v>44906</v>
      </c>
      <c r="P7364">
        <v>0</v>
      </c>
      <c r="Q7364">
        <v>0</v>
      </c>
      <c r="R7364" t="s">
        <v>44910</v>
      </c>
      <c r="S7364" t="s">
        <v>45076</v>
      </c>
      <c r="T7364" t="s">
        <v>46470</v>
      </c>
      <c r="U7364" t="s">
        <v>52910</v>
      </c>
      <c r="W7364" t="s">
        <v>41440</v>
      </c>
      <c r="X7364" t="s">
        <v>44911</v>
      </c>
    </row>
    <row r="7365" spans="1:24">
      <c r="A7365">
        <f>HYPERLINK("https://www.philgeps.gov.ph/GEPSNONPILOT/Tender/SplashBidNoticeAbstractUI.aspx?menuIndex=3&amp;refID=7073684&amp;Result=3","7073684")</f>
        <v>0</v>
      </c>
      <c r="B7365" t="s">
        <v>2194</v>
      </c>
      <c r="C7365" t="s">
        <v>10541</v>
      </c>
      <c r="D7365" t="s">
        <v>18154</v>
      </c>
      <c r="E7365" t="s">
        <v>20311</v>
      </c>
      <c r="F7365" t="s">
        <v>31362</v>
      </c>
      <c r="G7365" t="s">
        <v>31369</v>
      </c>
      <c r="H7365" t="s">
        <v>31378</v>
      </c>
      <c r="I7365" t="s">
        <v>31386</v>
      </c>
      <c r="J7365" t="s">
        <v>36056</v>
      </c>
      <c r="K7365" t="s">
        <v>40683</v>
      </c>
      <c r="M7365" t="s">
        <v>43325</v>
      </c>
      <c r="N7365" t="s">
        <v>44905</v>
      </c>
      <c r="O7365" t="s">
        <v>44906</v>
      </c>
      <c r="P7365">
        <v>0</v>
      </c>
      <c r="Q7365">
        <v>0</v>
      </c>
      <c r="R7365" t="s">
        <v>44910</v>
      </c>
      <c r="S7365" t="s">
        <v>45076</v>
      </c>
      <c r="T7365" t="s">
        <v>46620</v>
      </c>
      <c r="U7365" t="s">
        <v>52911</v>
      </c>
      <c r="W7365" t="s">
        <v>43325</v>
      </c>
      <c r="X7365" t="s">
        <v>44911</v>
      </c>
    </row>
    <row r="7366" spans="1:24">
      <c r="A7366">
        <f>HYPERLINK("https://www.philgeps.gov.ph/GEPSNONPILOT/Tender/SplashBidNoticeAbstractUI.aspx?menuIndex=3&amp;refID=7073295&amp;Result=3","7073295")</f>
        <v>0</v>
      </c>
      <c r="B7366" t="s">
        <v>387</v>
      </c>
      <c r="C7366" t="s">
        <v>10542</v>
      </c>
      <c r="D7366" t="s">
        <v>18152</v>
      </c>
      <c r="E7366" t="s">
        <v>24715</v>
      </c>
      <c r="F7366" t="s">
        <v>31362</v>
      </c>
      <c r="G7366" t="s">
        <v>31369</v>
      </c>
      <c r="H7366" t="s">
        <v>15799</v>
      </c>
      <c r="I7366" t="s">
        <v>13635</v>
      </c>
      <c r="J7366" t="s">
        <v>31626</v>
      </c>
      <c r="K7366" t="s">
        <v>40665</v>
      </c>
      <c r="M7366" t="s">
        <v>41335</v>
      </c>
      <c r="N7366" t="s">
        <v>44905</v>
      </c>
      <c r="O7366" t="s">
        <v>44906</v>
      </c>
      <c r="P7366">
        <v>0</v>
      </c>
      <c r="Q7366">
        <v>0</v>
      </c>
      <c r="R7366" t="s">
        <v>44910</v>
      </c>
      <c r="S7366" t="s">
        <v>45076</v>
      </c>
      <c r="T7366" t="s">
        <v>46393</v>
      </c>
      <c r="U7366" t="s">
        <v>47597</v>
      </c>
      <c r="V7366" t="s">
        <v>59153</v>
      </c>
      <c r="W7366" t="s">
        <v>41335</v>
      </c>
      <c r="X7366" t="s">
        <v>44911</v>
      </c>
    </row>
    <row r="7367" spans="1:24">
      <c r="A7367">
        <f>HYPERLINK("https://www.philgeps.gov.ph/GEPSNONPILOT/Tender/SplashBidNoticeAbstractUI.aspx?menuIndex=3&amp;refID=7073800&amp;Result=3","7073800")</f>
        <v>0</v>
      </c>
      <c r="B7367" t="s">
        <v>926</v>
      </c>
      <c r="C7367" t="s">
        <v>10543</v>
      </c>
      <c r="D7367" t="s">
        <v>18117</v>
      </c>
      <c r="E7367" t="s">
        <v>24716</v>
      </c>
      <c r="F7367" t="s">
        <v>31362</v>
      </c>
      <c r="G7367" t="s">
        <v>31368</v>
      </c>
      <c r="H7367" t="s">
        <v>15799</v>
      </c>
      <c r="I7367" t="s">
        <v>31388</v>
      </c>
      <c r="J7367" t="s">
        <v>31530</v>
      </c>
      <c r="K7367" t="s">
        <v>40662</v>
      </c>
      <c r="M7367" t="s">
        <v>43349</v>
      </c>
      <c r="N7367" t="s">
        <v>44905</v>
      </c>
      <c r="O7367" t="s">
        <v>44906</v>
      </c>
      <c r="P7367">
        <v>0</v>
      </c>
      <c r="Q7367">
        <v>1</v>
      </c>
      <c r="R7367" t="s">
        <v>44910</v>
      </c>
      <c r="S7367" t="s">
        <v>45076</v>
      </c>
      <c r="T7367" t="s">
        <v>46470</v>
      </c>
      <c r="U7367" t="s">
        <v>52847</v>
      </c>
      <c r="W7367" t="s">
        <v>43349</v>
      </c>
      <c r="X7367" t="s">
        <v>44911</v>
      </c>
    </row>
    <row r="7368" spans="1:24">
      <c r="A7368">
        <f>HYPERLINK("https://www.philgeps.gov.ph/GEPSNONPILOT/Tender/SplashBidNoticeAbstractUI.aspx?menuIndex=3&amp;refID=7073798&amp;Result=3","7073798")</f>
        <v>0</v>
      </c>
      <c r="B7368" t="s">
        <v>2236</v>
      </c>
      <c r="C7368" t="s">
        <v>10544</v>
      </c>
      <c r="D7368" t="s">
        <v>18112</v>
      </c>
      <c r="E7368" t="s">
        <v>19313</v>
      </c>
      <c r="F7368" t="s">
        <v>31362</v>
      </c>
      <c r="G7368" t="s">
        <v>31368</v>
      </c>
      <c r="H7368" t="s">
        <v>15799</v>
      </c>
      <c r="I7368" t="s">
        <v>6373</v>
      </c>
      <c r="J7368" t="s">
        <v>36057</v>
      </c>
      <c r="K7368" t="s">
        <v>40697</v>
      </c>
      <c r="M7368" t="s">
        <v>43373</v>
      </c>
      <c r="N7368" t="s">
        <v>44905</v>
      </c>
      <c r="O7368" t="s">
        <v>44906</v>
      </c>
      <c r="P7368">
        <v>0</v>
      </c>
      <c r="Q7368">
        <v>0</v>
      </c>
      <c r="R7368" t="s">
        <v>44910</v>
      </c>
      <c r="S7368" t="s">
        <v>45076</v>
      </c>
      <c r="T7368" t="s">
        <v>46416</v>
      </c>
      <c r="U7368" t="s">
        <v>52912</v>
      </c>
      <c r="W7368" t="s">
        <v>43373</v>
      </c>
      <c r="X7368" t="s">
        <v>44911</v>
      </c>
    </row>
    <row r="7369" spans="1:24">
      <c r="A7369">
        <f>HYPERLINK("https://www.philgeps.gov.ph/GEPSNONPILOT/Tender/SplashBidNoticeAbstractUI.aspx?menuIndex=3&amp;refID=7073290&amp;Result=3","7073290")</f>
        <v>0</v>
      </c>
      <c r="B7369" t="s">
        <v>269</v>
      </c>
      <c r="C7369" t="s">
        <v>10545</v>
      </c>
      <c r="D7369" t="s">
        <v>18117</v>
      </c>
      <c r="E7369" t="s">
        <v>24634</v>
      </c>
      <c r="F7369" t="s">
        <v>31362</v>
      </c>
      <c r="G7369" t="s">
        <v>31369</v>
      </c>
      <c r="H7369" t="s">
        <v>15799</v>
      </c>
      <c r="I7369" t="s">
        <v>7188</v>
      </c>
      <c r="J7369" t="s">
        <v>36058</v>
      </c>
      <c r="K7369" t="s">
        <v>40670</v>
      </c>
      <c r="M7369" t="s">
        <v>41211</v>
      </c>
      <c r="N7369" t="s">
        <v>44905</v>
      </c>
      <c r="O7369" t="s">
        <v>44906</v>
      </c>
      <c r="Q7369">
        <v>11</v>
      </c>
      <c r="R7369" t="s">
        <v>44910</v>
      </c>
      <c r="S7369" t="s">
        <v>45090</v>
      </c>
      <c r="T7369" t="s">
        <v>46616</v>
      </c>
      <c r="U7369" t="s">
        <v>52913</v>
      </c>
      <c r="W7369" t="s">
        <v>41211</v>
      </c>
      <c r="X7369" t="s">
        <v>44911</v>
      </c>
    </row>
    <row r="7370" spans="1:24">
      <c r="A7370">
        <f>HYPERLINK("https://www.philgeps.gov.ph/GEPSNONPILOT/Tender/SplashBidNoticeAbstractUI.aspx?menuIndex=3&amp;refID=7073794&amp;Result=3","7073794")</f>
        <v>0</v>
      </c>
      <c r="B7370" t="s">
        <v>2181</v>
      </c>
      <c r="C7370" t="s">
        <v>10546</v>
      </c>
      <c r="D7370" t="s">
        <v>18156</v>
      </c>
      <c r="E7370" t="s">
        <v>24717</v>
      </c>
      <c r="F7370" t="s">
        <v>31362</v>
      </c>
      <c r="G7370" t="s">
        <v>31369</v>
      </c>
      <c r="H7370" t="s">
        <v>31378</v>
      </c>
      <c r="I7370" t="s">
        <v>31386</v>
      </c>
      <c r="J7370" t="s">
        <v>32965</v>
      </c>
      <c r="K7370" t="s">
        <v>40686</v>
      </c>
      <c r="M7370" t="s">
        <v>43312</v>
      </c>
      <c r="N7370" t="s">
        <v>44905</v>
      </c>
      <c r="O7370" t="s">
        <v>44906</v>
      </c>
      <c r="P7370">
        <v>0</v>
      </c>
      <c r="Q7370">
        <v>0</v>
      </c>
      <c r="R7370" t="s">
        <v>44910</v>
      </c>
      <c r="S7370" t="s">
        <v>45076</v>
      </c>
      <c r="T7370" t="s">
        <v>46462</v>
      </c>
      <c r="U7370" t="s">
        <v>52767</v>
      </c>
      <c r="W7370" t="s">
        <v>43312</v>
      </c>
      <c r="X7370" t="s">
        <v>44911</v>
      </c>
    </row>
    <row r="7371" spans="1:24">
      <c r="A7371">
        <f>HYPERLINK("https://www.philgeps.gov.ph/GEPSNONPILOT/Tender/SplashBidNoticeAbstractUI.aspx?menuIndex=3&amp;refID=7073838&amp;Result=3","7073838")</f>
        <v>0</v>
      </c>
      <c r="B7371" t="s">
        <v>2236</v>
      </c>
      <c r="C7371" t="s">
        <v>10547</v>
      </c>
      <c r="D7371" t="s">
        <v>18112</v>
      </c>
      <c r="E7371" t="s">
        <v>19977</v>
      </c>
      <c r="F7371" t="s">
        <v>31362</v>
      </c>
      <c r="G7371" t="s">
        <v>31368</v>
      </c>
      <c r="H7371" t="s">
        <v>15799</v>
      </c>
      <c r="I7371" t="s">
        <v>31406</v>
      </c>
      <c r="J7371" t="s">
        <v>36059</v>
      </c>
      <c r="K7371" t="s">
        <v>40697</v>
      </c>
      <c r="M7371" t="s">
        <v>43373</v>
      </c>
      <c r="N7371" t="s">
        <v>44905</v>
      </c>
      <c r="O7371" t="s">
        <v>44906</v>
      </c>
      <c r="P7371">
        <v>0</v>
      </c>
      <c r="Q7371">
        <v>2</v>
      </c>
      <c r="R7371" t="s">
        <v>44910</v>
      </c>
      <c r="S7371" t="s">
        <v>45076</v>
      </c>
      <c r="T7371" t="s">
        <v>46416</v>
      </c>
      <c r="U7371" t="s">
        <v>52914</v>
      </c>
      <c r="W7371" t="s">
        <v>43373</v>
      </c>
      <c r="X7371" t="s">
        <v>44911</v>
      </c>
    </row>
    <row r="7372" spans="1:24">
      <c r="A7372">
        <f>HYPERLINK("https://www.philgeps.gov.ph/GEPSNONPILOT/Tender/SplashBidNoticeAbstractUI.aspx?menuIndex=3&amp;refID=7073820&amp;Result=3","7073820")</f>
        <v>0</v>
      </c>
      <c r="B7372" t="s">
        <v>541</v>
      </c>
      <c r="C7372" t="s">
        <v>10548</v>
      </c>
      <c r="D7372" t="s">
        <v>18104</v>
      </c>
      <c r="E7372" t="s">
        <v>24718</v>
      </c>
      <c r="F7372" t="s">
        <v>31362</v>
      </c>
      <c r="G7372" t="s">
        <v>31369</v>
      </c>
      <c r="H7372" t="s">
        <v>15799</v>
      </c>
      <c r="I7372" t="s">
        <v>31404</v>
      </c>
      <c r="J7372" t="s">
        <v>31531</v>
      </c>
      <c r="K7372" t="s">
        <v>40665</v>
      </c>
      <c r="M7372" t="s">
        <v>41497</v>
      </c>
      <c r="N7372" t="s">
        <v>44905</v>
      </c>
      <c r="O7372" t="s">
        <v>44906</v>
      </c>
      <c r="P7372">
        <v>0</v>
      </c>
      <c r="Q7372">
        <v>1</v>
      </c>
      <c r="R7372" t="s">
        <v>44910</v>
      </c>
      <c r="S7372" t="s">
        <v>45076</v>
      </c>
      <c r="T7372" t="s">
        <v>46446</v>
      </c>
      <c r="U7372" t="s">
        <v>47966</v>
      </c>
      <c r="V7372" t="s">
        <v>59198</v>
      </c>
      <c r="W7372" t="s">
        <v>41497</v>
      </c>
      <c r="X7372" t="s">
        <v>44911</v>
      </c>
    </row>
    <row r="7373" spans="1:24">
      <c r="A7373">
        <f>HYPERLINK("https://www.philgeps.gov.ph/GEPSNONPILOT/Tender/SplashBidNoticeAbstractUI.aspx?menuIndex=3&amp;refID=7073834&amp;Result=3","7073834")</f>
        <v>0</v>
      </c>
      <c r="B7373" t="s">
        <v>324</v>
      </c>
      <c r="C7373" t="s">
        <v>10549</v>
      </c>
      <c r="D7373" t="s">
        <v>18174</v>
      </c>
      <c r="E7373" t="s">
        <v>24719</v>
      </c>
      <c r="F7373" t="s">
        <v>31362</v>
      </c>
      <c r="G7373" t="s">
        <v>31369</v>
      </c>
      <c r="H7373" t="s">
        <v>15799</v>
      </c>
      <c r="I7373" t="s">
        <v>31397</v>
      </c>
      <c r="J7373" t="s">
        <v>36060</v>
      </c>
      <c r="K7373" t="s">
        <v>40677</v>
      </c>
      <c r="M7373" t="s">
        <v>41270</v>
      </c>
      <c r="N7373" t="s">
        <v>44905</v>
      </c>
      <c r="O7373" t="s">
        <v>44906</v>
      </c>
      <c r="P7373">
        <v>0</v>
      </c>
      <c r="Q7373">
        <v>1</v>
      </c>
      <c r="R7373" t="s">
        <v>44910</v>
      </c>
      <c r="S7373" t="s">
        <v>45076</v>
      </c>
      <c r="T7373" t="s">
        <v>46549</v>
      </c>
      <c r="U7373" t="s">
        <v>52915</v>
      </c>
      <c r="W7373" t="s">
        <v>41270</v>
      </c>
      <c r="X7373" t="s">
        <v>44911</v>
      </c>
    </row>
    <row r="7374" spans="1:24">
      <c r="A7374">
        <f>HYPERLINK("https://www.philgeps.gov.ph/GEPSNONPILOT/Tender/SplashBidNoticeAbstractUI.aspx?menuIndex=3&amp;refID=7073828&amp;Result=3","7073828")</f>
        <v>0</v>
      </c>
      <c r="B7374" t="s">
        <v>275</v>
      </c>
      <c r="C7374" t="s">
        <v>10550</v>
      </c>
      <c r="D7374" t="s">
        <v>18140</v>
      </c>
      <c r="E7374" t="s">
        <v>24720</v>
      </c>
      <c r="F7374" t="s">
        <v>31362</v>
      </c>
      <c r="G7374" t="s">
        <v>31368</v>
      </c>
      <c r="H7374" t="s">
        <v>15799</v>
      </c>
      <c r="I7374" t="s">
        <v>31393</v>
      </c>
      <c r="J7374" t="s">
        <v>31998</v>
      </c>
      <c r="K7374" t="s">
        <v>40665</v>
      </c>
      <c r="M7374" t="s">
        <v>41217</v>
      </c>
      <c r="N7374" t="s">
        <v>44905</v>
      </c>
      <c r="O7374" t="s">
        <v>44906</v>
      </c>
      <c r="P7374">
        <v>0</v>
      </c>
      <c r="Q7374">
        <v>7</v>
      </c>
      <c r="R7374" t="s">
        <v>44910</v>
      </c>
      <c r="S7374" t="s">
        <v>45076</v>
      </c>
      <c r="T7374" t="s">
        <v>46409</v>
      </c>
      <c r="U7374" t="s">
        <v>52916</v>
      </c>
      <c r="W7374" t="s">
        <v>41217</v>
      </c>
      <c r="X7374" t="s">
        <v>44911</v>
      </c>
    </row>
    <row r="7375" spans="1:24">
      <c r="A7375">
        <f>HYPERLINK("https://www.philgeps.gov.ph/GEPSNONPILOT/Tender/SplashBidNoticeAbstractUI.aspx?menuIndex=3&amp;refID=7073792&amp;Result=3","7073792")</f>
        <v>0</v>
      </c>
      <c r="B7375" t="s">
        <v>179</v>
      </c>
      <c r="C7375" t="s">
        <v>10551</v>
      </c>
      <c r="D7375" t="s">
        <v>18155</v>
      </c>
      <c r="E7375" t="s">
        <v>24721</v>
      </c>
      <c r="F7375" t="s">
        <v>31362</v>
      </c>
      <c r="G7375" t="s">
        <v>31368</v>
      </c>
      <c r="H7375" t="s">
        <v>15799</v>
      </c>
      <c r="I7375" t="s">
        <v>7090</v>
      </c>
      <c r="J7375" t="s">
        <v>34992</v>
      </c>
      <c r="K7375" t="s">
        <v>40680</v>
      </c>
      <c r="M7375" t="s">
        <v>41117</v>
      </c>
      <c r="N7375" t="s">
        <v>44905</v>
      </c>
      <c r="O7375" t="s">
        <v>44906</v>
      </c>
      <c r="P7375">
        <v>0</v>
      </c>
      <c r="Q7375">
        <v>2</v>
      </c>
      <c r="R7375" t="s">
        <v>44910</v>
      </c>
      <c r="S7375" t="s">
        <v>45076</v>
      </c>
      <c r="T7375" t="s">
        <v>46591</v>
      </c>
      <c r="U7375" t="s">
        <v>52917</v>
      </c>
      <c r="V7375" t="s">
        <v>59091</v>
      </c>
      <c r="W7375" t="s">
        <v>60838</v>
      </c>
      <c r="X7375" t="s">
        <v>44911</v>
      </c>
    </row>
    <row r="7376" spans="1:24">
      <c r="A7376">
        <f>HYPERLINK("https://www.philgeps.gov.ph/GEPSNONPILOT/Tender/SplashBidNoticeAbstractUI.aspx?menuIndex=3&amp;refID=7073789&amp;Result=3","7073789")</f>
        <v>0</v>
      </c>
      <c r="B7376" t="s">
        <v>2237</v>
      </c>
      <c r="C7376" t="s">
        <v>10552</v>
      </c>
      <c r="D7376" t="s">
        <v>18104</v>
      </c>
      <c r="E7376" t="s">
        <v>11017</v>
      </c>
      <c r="F7376" t="s">
        <v>31362</v>
      </c>
      <c r="G7376" t="s">
        <v>31369</v>
      </c>
      <c r="H7376" t="s">
        <v>15799</v>
      </c>
      <c r="I7376" t="s">
        <v>31386</v>
      </c>
      <c r="J7376" t="s">
        <v>36061</v>
      </c>
      <c r="K7376" t="s">
        <v>40661</v>
      </c>
      <c r="M7376" t="s">
        <v>43374</v>
      </c>
      <c r="N7376" t="s">
        <v>44905</v>
      </c>
      <c r="O7376" t="s">
        <v>44906</v>
      </c>
      <c r="P7376">
        <v>0</v>
      </c>
      <c r="Q7376">
        <v>0</v>
      </c>
      <c r="R7376" t="s">
        <v>44910</v>
      </c>
      <c r="S7376" t="s">
        <v>45076</v>
      </c>
      <c r="T7376" t="s">
        <v>46426</v>
      </c>
      <c r="U7376" t="s">
        <v>52918</v>
      </c>
      <c r="W7376" t="s">
        <v>43374</v>
      </c>
      <c r="X7376" t="s">
        <v>44911</v>
      </c>
    </row>
    <row r="7377" spans="1:24">
      <c r="A7377">
        <f>HYPERLINK("https://www.philgeps.gov.ph/GEPSNONPILOT/Tender/SplashBidNoticeAbstractUI.aspx?menuIndex=3&amp;refID=7073799&amp;Result=3","7073799")</f>
        <v>0</v>
      </c>
      <c r="B7377" t="s">
        <v>2238</v>
      </c>
      <c r="C7377" t="s">
        <v>10553</v>
      </c>
      <c r="D7377" t="s">
        <v>18108</v>
      </c>
      <c r="E7377" t="s">
        <v>24722</v>
      </c>
      <c r="F7377" t="s">
        <v>31362</v>
      </c>
      <c r="G7377" t="s">
        <v>31369</v>
      </c>
      <c r="H7377" t="s">
        <v>15799</v>
      </c>
      <c r="I7377" t="s">
        <v>31469</v>
      </c>
      <c r="J7377" t="s">
        <v>31530</v>
      </c>
      <c r="K7377" t="s">
        <v>40666</v>
      </c>
      <c r="M7377" t="s">
        <v>43375</v>
      </c>
      <c r="N7377" t="s">
        <v>44905</v>
      </c>
      <c r="O7377" t="s">
        <v>44906</v>
      </c>
      <c r="P7377">
        <v>0</v>
      </c>
      <c r="Q7377">
        <v>2</v>
      </c>
      <c r="R7377" t="s">
        <v>44910</v>
      </c>
      <c r="S7377" t="s">
        <v>45076</v>
      </c>
      <c r="T7377" t="s">
        <v>46596</v>
      </c>
      <c r="U7377" t="s">
        <v>52919</v>
      </c>
      <c r="W7377" t="s">
        <v>43375</v>
      </c>
      <c r="X7377" t="s">
        <v>44911</v>
      </c>
    </row>
    <row r="7378" spans="1:24">
      <c r="A7378">
        <f>HYPERLINK("https://www.philgeps.gov.ph/GEPSNONPILOT/Tender/SplashBidNoticeAbstractUI.aspx?menuIndex=3&amp;refID=7073774&amp;Result=3","7073774")</f>
        <v>0</v>
      </c>
      <c r="B7378" t="s">
        <v>2239</v>
      </c>
      <c r="C7378" t="s">
        <v>10554</v>
      </c>
      <c r="D7378" t="s">
        <v>18108</v>
      </c>
      <c r="E7378" t="s">
        <v>24723</v>
      </c>
      <c r="F7378" t="s">
        <v>31362</v>
      </c>
      <c r="G7378" t="s">
        <v>31369</v>
      </c>
      <c r="H7378" t="s">
        <v>15799</v>
      </c>
      <c r="I7378" t="s">
        <v>7090</v>
      </c>
      <c r="J7378" t="s">
        <v>31969</v>
      </c>
      <c r="K7378" t="s">
        <v>40672</v>
      </c>
      <c r="M7378" t="s">
        <v>43376</v>
      </c>
      <c r="N7378" t="s">
        <v>44905</v>
      </c>
      <c r="O7378" t="s">
        <v>44906</v>
      </c>
      <c r="P7378">
        <v>0</v>
      </c>
      <c r="Q7378">
        <v>3</v>
      </c>
      <c r="R7378" t="s">
        <v>44910</v>
      </c>
      <c r="S7378" t="s">
        <v>45076</v>
      </c>
      <c r="T7378" t="s">
        <v>46447</v>
      </c>
      <c r="U7378" t="s">
        <v>52920</v>
      </c>
      <c r="W7378" t="s">
        <v>43376</v>
      </c>
      <c r="X7378" t="s">
        <v>44911</v>
      </c>
    </row>
    <row r="7379" spans="1:24">
      <c r="A7379">
        <f>HYPERLINK("https://www.philgeps.gov.ph/GEPSNONPILOT/Tender/SplashBidNoticeAbstractUI.aspx?menuIndex=3&amp;refID=7073840&amp;Result=3","7073840")</f>
        <v>0</v>
      </c>
      <c r="B7379" t="s">
        <v>2240</v>
      </c>
      <c r="C7379" t="s">
        <v>10555</v>
      </c>
      <c r="D7379" t="s">
        <v>18140</v>
      </c>
      <c r="E7379" t="s">
        <v>24724</v>
      </c>
      <c r="F7379" t="s">
        <v>31362</v>
      </c>
      <c r="G7379" t="s">
        <v>31369</v>
      </c>
      <c r="H7379" t="s">
        <v>31379</v>
      </c>
      <c r="I7379" t="s">
        <v>31457</v>
      </c>
      <c r="J7379" t="s">
        <v>35971</v>
      </c>
      <c r="K7379" t="s">
        <v>40723</v>
      </c>
      <c r="M7379" t="s">
        <v>43377</v>
      </c>
      <c r="N7379" t="s">
        <v>44905</v>
      </c>
      <c r="O7379" t="s">
        <v>44906</v>
      </c>
      <c r="P7379">
        <v>0</v>
      </c>
      <c r="Q7379">
        <v>0</v>
      </c>
      <c r="R7379" t="s">
        <v>44910</v>
      </c>
      <c r="S7379" t="s">
        <v>45076</v>
      </c>
      <c r="T7379" t="s">
        <v>46627</v>
      </c>
      <c r="U7379" t="s">
        <v>52921</v>
      </c>
      <c r="V7379" t="s">
        <v>59790</v>
      </c>
      <c r="W7379" t="s">
        <v>43377</v>
      </c>
      <c r="X7379" t="s">
        <v>44911</v>
      </c>
    </row>
    <row r="7380" spans="1:24">
      <c r="A7380">
        <f>HYPERLINK("https://www.philgeps.gov.ph/GEPSNONPILOT/Tender/SplashBidNoticeAbstractUI.aspx?menuIndex=3&amp;refID=7073872&amp;Result=3","7073872")</f>
        <v>0</v>
      </c>
      <c r="B7380" t="s">
        <v>834</v>
      </c>
      <c r="C7380" t="s">
        <v>10556</v>
      </c>
      <c r="D7380" t="s">
        <v>18108</v>
      </c>
      <c r="E7380" t="s">
        <v>24725</v>
      </c>
      <c r="F7380" t="s">
        <v>31362</v>
      </c>
      <c r="G7380" t="s">
        <v>31368</v>
      </c>
      <c r="H7380" t="s">
        <v>15799</v>
      </c>
      <c r="I7380" t="s">
        <v>31380</v>
      </c>
      <c r="J7380" t="s">
        <v>32278</v>
      </c>
      <c r="K7380" t="s">
        <v>40661</v>
      </c>
      <c r="M7380" t="s">
        <v>42118</v>
      </c>
      <c r="N7380" t="s">
        <v>44905</v>
      </c>
      <c r="O7380" t="s">
        <v>44906</v>
      </c>
      <c r="P7380">
        <v>0</v>
      </c>
      <c r="Q7380">
        <v>1</v>
      </c>
      <c r="R7380" t="s">
        <v>44910</v>
      </c>
      <c r="S7380" t="s">
        <v>45076</v>
      </c>
      <c r="T7380" t="s">
        <v>46416</v>
      </c>
      <c r="U7380" t="s">
        <v>52922</v>
      </c>
      <c r="V7380" t="s">
        <v>59376</v>
      </c>
      <c r="W7380" t="s">
        <v>42118</v>
      </c>
      <c r="X7380" t="s">
        <v>44911</v>
      </c>
    </row>
    <row r="7381" spans="1:24">
      <c r="A7381">
        <f>HYPERLINK("https://www.philgeps.gov.ph/GEPSNONPILOT/Tender/SplashBidNoticeAbstractUI.aspx?menuIndex=3&amp;refID=7073870&amp;Result=3","7073870")</f>
        <v>0</v>
      </c>
      <c r="B7381" t="s">
        <v>2236</v>
      </c>
      <c r="C7381" t="s">
        <v>10557</v>
      </c>
      <c r="D7381" t="s">
        <v>18112</v>
      </c>
      <c r="E7381" t="s">
        <v>19229</v>
      </c>
      <c r="F7381" t="s">
        <v>31362</v>
      </c>
      <c r="G7381" t="s">
        <v>31368</v>
      </c>
      <c r="H7381" t="s">
        <v>15799</v>
      </c>
      <c r="I7381" t="s">
        <v>6155</v>
      </c>
      <c r="J7381" t="s">
        <v>36062</v>
      </c>
      <c r="K7381" t="s">
        <v>40697</v>
      </c>
      <c r="M7381" t="s">
        <v>43373</v>
      </c>
      <c r="N7381" t="s">
        <v>44905</v>
      </c>
      <c r="O7381" t="s">
        <v>44906</v>
      </c>
      <c r="P7381">
        <v>0</v>
      </c>
      <c r="Q7381">
        <v>0</v>
      </c>
      <c r="R7381" t="s">
        <v>44910</v>
      </c>
      <c r="S7381" t="s">
        <v>45076</v>
      </c>
      <c r="T7381" t="s">
        <v>46416</v>
      </c>
      <c r="U7381" t="s">
        <v>52923</v>
      </c>
      <c r="W7381" t="s">
        <v>43373</v>
      </c>
      <c r="X7381" t="s">
        <v>44911</v>
      </c>
    </row>
    <row r="7382" spans="1:24">
      <c r="A7382">
        <f>HYPERLINK("https://www.philgeps.gov.ph/GEPSNONPILOT/Tender/SplashBidNoticeAbstractUI.aspx?menuIndex=3&amp;refID=7073863&amp;Result=3","7073863")</f>
        <v>0</v>
      </c>
      <c r="B7382" t="s">
        <v>2241</v>
      </c>
      <c r="C7382" t="s">
        <v>10558</v>
      </c>
      <c r="D7382" t="s">
        <v>18110</v>
      </c>
      <c r="E7382" t="s">
        <v>24726</v>
      </c>
      <c r="F7382" t="s">
        <v>31362</v>
      </c>
      <c r="G7382" t="s">
        <v>31369</v>
      </c>
      <c r="H7382" t="s">
        <v>31378</v>
      </c>
      <c r="I7382" t="s">
        <v>31386</v>
      </c>
      <c r="J7382" t="s">
        <v>31872</v>
      </c>
      <c r="K7382" t="s">
        <v>40676</v>
      </c>
      <c r="M7382" t="s">
        <v>43378</v>
      </c>
      <c r="N7382" t="s">
        <v>44905</v>
      </c>
      <c r="O7382" t="s">
        <v>44906</v>
      </c>
      <c r="P7382">
        <v>0</v>
      </c>
      <c r="Q7382">
        <v>0</v>
      </c>
      <c r="R7382" t="s">
        <v>44910</v>
      </c>
      <c r="S7382" t="s">
        <v>45076</v>
      </c>
      <c r="T7382" t="s">
        <v>46410</v>
      </c>
      <c r="U7382" t="s">
        <v>49879</v>
      </c>
      <c r="W7382" t="s">
        <v>43378</v>
      </c>
      <c r="X7382" t="s">
        <v>44911</v>
      </c>
    </row>
    <row r="7383" spans="1:24">
      <c r="A7383">
        <f>HYPERLINK("https://www.philgeps.gov.ph/GEPSNONPILOT/Tender/SplashBidNoticeAbstractUI.aspx?menuIndex=3&amp;refID=7073830&amp;Result=3","7073830")</f>
        <v>0</v>
      </c>
      <c r="B7383" t="s">
        <v>179</v>
      </c>
      <c r="C7383" t="s">
        <v>10559</v>
      </c>
      <c r="D7383" t="s">
        <v>18155</v>
      </c>
      <c r="E7383" t="s">
        <v>24727</v>
      </c>
      <c r="F7383" t="s">
        <v>31362</v>
      </c>
      <c r="G7383" t="s">
        <v>31368</v>
      </c>
      <c r="H7383" t="s">
        <v>15799</v>
      </c>
      <c r="I7383" t="s">
        <v>31422</v>
      </c>
      <c r="J7383" t="s">
        <v>31546</v>
      </c>
      <c r="K7383" t="s">
        <v>40665</v>
      </c>
      <c r="M7383" t="s">
        <v>41117</v>
      </c>
      <c r="N7383" t="s">
        <v>44905</v>
      </c>
      <c r="O7383" t="s">
        <v>44906</v>
      </c>
      <c r="P7383">
        <v>0</v>
      </c>
      <c r="Q7383">
        <v>2</v>
      </c>
      <c r="R7383" t="s">
        <v>44910</v>
      </c>
      <c r="S7383" t="s">
        <v>45076</v>
      </c>
      <c r="T7383" t="s">
        <v>46591</v>
      </c>
      <c r="U7383" t="s">
        <v>52924</v>
      </c>
      <c r="V7383" t="s">
        <v>59091</v>
      </c>
      <c r="W7383" t="s">
        <v>60838</v>
      </c>
      <c r="X7383" t="s">
        <v>44911</v>
      </c>
    </row>
    <row r="7384" spans="1:24">
      <c r="A7384">
        <f>HYPERLINK("https://www.philgeps.gov.ph/GEPSNONPILOT/Tender/SplashBidNoticeAbstractUI.aspx?menuIndex=3&amp;refID=7073857&amp;Result=3","7073857")</f>
        <v>0</v>
      </c>
      <c r="B7384" t="s">
        <v>2242</v>
      </c>
      <c r="C7384" t="s">
        <v>3918</v>
      </c>
      <c r="D7384" t="s">
        <v>18116</v>
      </c>
      <c r="E7384" t="s">
        <v>24728</v>
      </c>
      <c r="F7384" t="s">
        <v>31362</v>
      </c>
      <c r="G7384" t="s">
        <v>31369</v>
      </c>
      <c r="H7384" t="s">
        <v>15799</v>
      </c>
      <c r="I7384" t="s">
        <v>31385</v>
      </c>
      <c r="J7384" t="s">
        <v>31530</v>
      </c>
      <c r="K7384" t="s">
        <v>40670</v>
      </c>
      <c r="M7384" t="s">
        <v>43379</v>
      </c>
      <c r="N7384" t="s">
        <v>44905</v>
      </c>
      <c r="O7384" t="s">
        <v>44906</v>
      </c>
      <c r="P7384">
        <v>0</v>
      </c>
      <c r="Q7384">
        <v>0</v>
      </c>
      <c r="R7384" t="s">
        <v>44910</v>
      </c>
      <c r="S7384" t="s">
        <v>45076</v>
      </c>
      <c r="T7384" t="s">
        <v>46410</v>
      </c>
      <c r="U7384" t="s">
        <v>52925</v>
      </c>
      <c r="W7384" t="s">
        <v>43379</v>
      </c>
      <c r="X7384" t="s">
        <v>44911</v>
      </c>
    </row>
    <row r="7385" spans="1:24">
      <c r="A7385">
        <f>HYPERLINK("https://www.philgeps.gov.ph/GEPSNONPILOT/Tender/SplashBidNoticeAbstractUI.aspx?menuIndex=3&amp;refID=7073848&amp;Result=3","7073848")</f>
        <v>0</v>
      </c>
      <c r="B7385" t="s">
        <v>298</v>
      </c>
      <c r="C7385" t="s">
        <v>10560</v>
      </c>
      <c r="D7385" t="s">
        <v>18168</v>
      </c>
      <c r="E7385" t="s">
        <v>24729</v>
      </c>
      <c r="F7385" t="s">
        <v>31362</v>
      </c>
      <c r="G7385" t="s">
        <v>31368</v>
      </c>
      <c r="H7385" t="s">
        <v>15799</v>
      </c>
      <c r="I7385" t="s">
        <v>31461</v>
      </c>
      <c r="J7385" t="s">
        <v>36063</v>
      </c>
      <c r="K7385" t="s">
        <v>40662</v>
      </c>
      <c r="M7385" t="s">
        <v>41241</v>
      </c>
      <c r="N7385" t="s">
        <v>44905</v>
      </c>
      <c r="O7385" t="s">
        <v>44906</v>
      </c>
      <c r="P7385">
        <v>0</v>
      </c>
      <c r="Q7385">
        <v>1</v>
      </c>
      <c r="R7385" t="s">
        <v>44910</v>
      </c>
      <c r="S7385" t="s">
        <v>45076</v>
      </c>
      <c r="T7385" t="s">
        <v>46434</v>
      </c>
      <c r="U7385" t="s">
        <v>52926</v>
      </c>
      <c r="W7385" t="s">
        <v>41241</v>
      </c>
      <c r="X7385" t="s">
        <v>44911</v>
      </c>
    </row>
    <row r="7386" spans="1:24">
      <c r="A7386">
        <f>HYPERLINK("https://www.philgeps.gov.ph/GEPSNONPILOT/Tender/SplashBidNoticeAbstractUI.aspx?menuIndex=3&amp;refID=7073779&amp;Result=3","7073779")</f>
        <v>0</v>
      </c>
      <c r="B7386" t="s">
        <v>1655</v>
      </c>
      <c r="C7386" t="s">
        <v>5755</v>
      </c>
      <c r="D7386" t="s">
        <v>18136</v>
      </c>
      <c r="E7386" t="s">
        <v>24730</v>
      </c>
      <c r="F7386" t="s">
        <v>31362</v>
      </c>
      <c r="G7386" t="s">
        <v>31368</v>
      </c>
      <c r="H7386" t="s">
        <v>15799</v>
      </c>
      <c r="I7386" t="s">
        <v>31380</v>
      </c>
      <c r="J7386" t="s">
        <v>36064</v>
      </c>
      <c r="K7386" t="s">
        <v>40661</v>
      </c>
      <c r="M7386" t="s">
        <v>43362</v>
      </c>
      <c r="N7386" t="s">
        <v>44905</v>
      </c>
      <c r="O7386" t="s">
        <v>44906</v>
      </c>
      <c r="P7386">
        <v>0</v>
      </c>
      <c r="Q7386">
        <v>0</v>
      </c>
      <c r="R7386" t="s">
        <v>44910</v>
      </c>
      <c r="S7386" t="s">
        <v>45076</v>
      </c>
      <c r="T7386" t="s">
        <v>46425</v>
      </c>
      <c r="U7386" t="s">
        <v>52927</v>
      </c>
      <c r="W7386" t="s">
        <v>43362</v>
      </c>
      <c r="X7386" t="s">
        <v>44911</v>
      </c>
    </row>
    <row r="7387" spans="1:24">
      <c r="A7387">
        <f>HYPERLINK("https://www.philgeps.gov.ph/GEPSNONPILOT/Tender/SplashBidNoticeAbstractUI.aspx?menuIndex=3&amp;refID=7073845&amp;Result=3","7073845")</f>
        <v>0</v>
      </c>
      <c r="B7387" t="s">
        <v>1886</v>
      </c>
      <c r="C7387" t="s">
        <v>10561</v>
      </c>
      <c r="D7387" t="s">
        <v>18174</v>
      </c>
      <c r="E7387" t="s">
        <v>24731</v>
      </c>
      <c r="F7387" t="s">
        <v>31362</v>
      </c>
      <c r="G7387" t="s">
        <v>31368</v>
      </c>
      <c r="H7387" t="s">
        <v>15799</v>
      </c>
      <c r="I7387" t="s">
        <v>7188</v>
      </c>
      <c r="J7387" t="s">
        <v>34513</v>
      </c>
      <c r="K7387" t="s">
        <v>40662</v>
      </c>
      <c r="M7387" t="s">
        <v>42980</v>
      </c>
      <c r="N7387" t="s">
        <v>44905</v>
      </c>
      <c r="O7387" t="s">
        <v>44906</v>
      </c>
      <c r="P7387">
        <v>0</v>
      </c>
      <c r="Q7387">
        <v>3</v>
      </c>
      <c r="R7387" t="s">
        <v>44910</v>
      </c>
      <c r="S7387" t="s">
        <v>45076</v>
      </c>
      <c r="T7387" t="s">
        <v>46428</v>
      </c>
      <c r="U7387" t="s">
        <v>52928</v>
      </c>
      <c r="W7387" t="s">
        <v>42980</v>
      </c>
      <c r="X7387" t="s">
        <v>44911</v>
      </c>
    </row>
    <row r="7388" spans="1:24">
      <c r="A7388">
        <f>HYPERLINK("https://www.philgeps.gov.ph/GEPSNONPILOT/Tender/SplashBidNoticeAbstractUI.aspx?menuIndex=3&amp;refID=7073881&amp;Result=3","7073881")</f>
        <v>0</v>
      </c>
      <c r="B7388" t="s">
        <v>2243</v>
      </c>
      <c r="C7388" t="s">
        <v>10562</v>
      </c>
      <c r="D7388" t="s">
        <v>18103</v>
      </c>
      <c r="E7388" t="s">
        <v>24732</v>
      </c>
      <c r="F7388" t="s">
        <v>31362</v>
      </c>
      <c r="G7388" t="s">
        <v>31372</v>
      </c>
      <c r="H7388" t="s">
        <v>15799</v>
      </c>
      <c r="I7388" t="s">
        <v>3815</v>
      </c>
      <c r="J7388" t="s">
        <v>36065</v>
      </c>
      <c r="K7388" t="s">
        <v>40670</v>
      </c>
      <c r="M7388" t="s">
        <v>43380</v>
      </c>
      <c r="N7388" t="s">
        <v>44905</v>
      </c>
      <c r="O7388" t="s">
        <v>44906</v>
      </c>
      <c r="P7388">
        <v>0</v>
      </c>
      <c r="Q7388">
        <v>1</v>
      </c>
      <c r="R7388" t="s">
        <v>44910</v>
      </c>
      <c r="S7388" t="s">
        <v>45076</v>
      </c>
      <c r="T7388" t="s">
        <v>46409</v>
      </c>
      <c r="U7388" t="s">
        <v>50030</v>
      </c>
      <c r="V7388" t="s">
        <v>59791</v>
      </c>
      <c r="W7388" t="s">
        <v>43380</v>
      </c>
      <c r="X7388" t="s">
        <v>44911</v>
      </c>
    </row>
    <row r="7389" spans="1:24">
      <c r="A7389">
        <f>HYPERLINK("https://www.philgeps.gov.ph/GEPSNONPILOT/Tender/SplashBidNoticeAbstractUI.aspx?menuIndex=3&amp;refID=7073869&amp;Result=3","7073869")</f>
        <v>0</v>
      </c>
      <c r="B7389" t="s">
        <v>546</v>
      </c>
      <c r="C7389" t="s">
        <v>10563</v>
      </c>
      <c r="D7389" t="s">
        <v>18133</v>
      </c>
      <c r="E7389" t="s">
        <v>24733</v>
      </c>
      <c r="F7389" t="s">
        <v>31362</v>
      </c>
      <c r="G7389" t="s">
        <v>31368</v>
      </c>
      <c r="H7389" t="s">
        <v>15799</v>
      </c>
      <c r="I7389" t="s">
        <v>3815</v>
      </c>
      <c r="J7389" t="s">
        <v>36066</v>
      </c>
      <c r="K7389" t="s">
        <v>40662</v>
      </c>
      <c r="L7389" t="s">
        <v>546</v>
      </c>
      <c r="M7389" t="s">
        <v>41502</v>
      </c>
      <c r="N7389" t="s">
        <v>44905</v>
      </c>
      <c r="O7389" t="s">
        <v>44906</v>
      </c>
      <c r="P7389">
        <v>0</v>
      </c>
      <c r="Q7389">
        <v>1</v>
      </c>
      <c r="R7389" t="s">
        <v>44910</v>
      </c>
      <c r="S7389" t="s">
        <v>45076</v>
      </c>
      <c r="T7389" t="s">
        <v>46432</v>
      </c>
      <c r="U7389" t="s">
        <v>47974</v>
      </c>
      <c r="W7389" t="s">
        <v>41502</v>
      </c>
      <c r="X7389" t="s">
        <v>44911</v>
      </c>
    </row>
    <row r="7390" spans="1:24">
      <c r="A7390">
        <f>HYPERLINK("https://www.philgeps.gov.ph/GEPSNONPILOT/Tender/SplashBidNoticeAbstractUI.aspx?menuIndex=3&amp;refID=7073860&amp;Result=3","7073860")</f>
        <v>0</v>
      </c>
      <c r="B7390" t="s">
        <v>2244</v>
      </c>
      <c r="C7390" t="s">
        <v>10564</v>
      </c>
      <c r="D7390" t="s">
        <v>18126</v>
      </c>
      <c r="E7390" t="s">
        <v>24734</v>
      </c>
      <c r="F7390" t="s">
        <v>31362</v>
      </c>
      <c r="G7390" t="s">
        <v>31369</v>
      </c>
      <c r="H7390" t="s">
        <v>31378</v>
      </c>
      <c r="I7390" t="s">
        <v>31386</v>
      </c>
      <c r="J7390" t="s">
        <v>36067</v>
      </c>
      <c r="K7390" t="s">
        <v>40678</v>
      </c>
      <c r="M7390" t="s">
        <v>43381</v>
      </c>
      <c r="N7390" t="s">
        <v>44905</v>
      </c>
      <c r="O7390" t="s">
        <v>44906</v>
      </c>
      <c r="P7390">
        <v>0</v>
      </c>
      <c r="Q7390">
        <v>1</v>
      </c>
      <c r="R7390" t="s">
        <v>44910</v>
      </c>
      <c r="S7390" t="s">
        <v>45076</v>
      </c>
      <c r="T7390" t="s">
        <v>46559</v>
      </c>
      <c r="U7390" t="s">
        <v>52929</v>
      </c>
      <c r="W7390" t="s">
        <v>60925</v>
      </c>
      <c r="X7390" t="s">
        <v>44911</v>
      </c>
    </row>
    <row r="7391" spans="1:24">
      <c r="A7391">
        <f>HYPERLINK("https://www.philgeps.gov.ph/GEPSNONPILOT/Tender/SplashBidNoticeAbstractUI.aspx?menuIndex=3&amp;refID=7073880&amp;Result=3","7073880")</f>
        <v>0</v>
      </c>
      <c r="B7391" t="s">
        <v>2245</v>
      </c>
      <c r="C7391" t="s">
        <v>10565</v>
      </c>
      <c r="D7391" t="s">
        <v>18140</v>
      </c>
      <c r="E7391" t="s">
        <v>19844</v>
      </c>
      <c r="F7391" t="s">
        <v>31362</v>
      </c>
      <c r="G7391" t="s">
        <v>31369</v>
      </c>
      <c r="H7391" t="s">
        <v>31378</v>
      </c>
      <c r="I7391" t="s">
        <v>31386</v>
      </c>
      <c r="J7391" t="s">
        <v>36068</v>
      </c>
      <c r="K7391" t="s">
        <v>40662</v>
      </c>
      <c r="M7391" t="s">
        <v>43382</v>
      </c>
      <c r="N7391" t="s">
        <v>44905</v>
      </c>
      <c r="O7391" t="s">
        <v>44906</v>
      </c>
      <c r="P7391">
        <v>0</v>
      </c>
      <c r="Q7391">
        <v>0</v>
      </c>
      <c r="R7391" t="s">
        <v>44910</v>
      </c>
      <c r="S7391" t="s">
        <v>45076</v>
      </c>
      <c r="T7391" t="s">
        <v>46416</v>
      </c>
      <c r="U7391" t="s">
        <v>47766</v>
      </c>
      <c r="W7391" t="s">
        <v>43382</v>
      </c>
      <c r="X7391" t="s">
        <v>44911</v>
      </c>
    </row>
    <row r="7392" spans="1:24">
      <c r="A7392">
        <f>HYPERLINK("https://www.philgeps.gov.ph/GEPSNONPILOT/Tender/SplashBidNoticeAbstractUI.aspx?menuIndex=3&amp;refID=7073878&amp;Result=3","7073878")</f>
        <v>0</v>
      </c>
      <c r="B7392" t="s">
        <v>485</v>
      </c>
      <c r="C7392" t="s">
        <v>10566</v>
      </c>
      <c r="D7392" t="s">
        <v>18158</v>
      </c>
      <c r="E7392" t="s">
        <v>19210</v>
      </c>
      <c r="F7392" t="s">
        <v>31362</v>
      </c>
      <c r="G7392" t="s">
        <v>31369</v>
      </c>
      <c r="H7392" t="s">
        <v>15799</v>
      </c>
      <c r="I7392" t="s">
        <v>3815</v>
      </c>
      <c r="J7392" t="s">
        <v>36069</v>
      </c>
      <c r="K7392" t="s">
        <v>40665</v>
      </c>
      <c r="M7392" t="s">
        <v>41440</v>
      </c>
      <c r="N7392" t="s">
        <v>44905</v>
      </c>
      <c r="O7392" t="s">
        <v>44906</v>
      </c>
      <c r="P7392">
        <v>0</v>
      </c>
      <c r="Q7392">
        <v>0</v>
      </c>
      <c r="R7392" t="s">
        <v>44910</v>
      </c>
      <c r="S7392" t="s">
        <v>45076</v>
      </c>
      <c r="T7392" t="s">
        <v>46470</v>
      </c>
      <c r="U7392" t="s">
        <v>52930</v>
      </c>
      <c r="W7392" t="s">
        <v>41440</v>
      </c>
      <c r="X7392" t="s">
        <v>44911</v>
      </c>
    </row>
    <row r="7393" spans="1:24">
      <c r="A7393">
        <f>HYPERLINK("https://www.philgeps.gov.ph/GEPSNONPILOT/Tender/SplashBidNoticeAbstractUI.aspx?menuIndex=3&amp;refID=7073855&amp;Result=3","7073855")</f>
        <v>0</v>
      </c>
      <c r="B7393" t="s">
        <v>535</v>
      </c>
      <c r="C7393" t="s">
        <v>8738</v>
      </c>
      <c r="D7393" t="s">
        <v>18109</v>
      </c>
      <c r="E7393" t="s">
        <v>21948</v>
      </c>
      <c r="F7393" t="s">
        <v>31362</v>
      </c>
      <c r="G7393" t="s">
        <v>31370</v>
      </c>
      <c r="H7393" t="s">
        <v>15799</v>
      </c>
      <c r="I7393" t="s">
        <v>31390</v>
      </c>
      <c r="J7393" t="s">
        <v>36070</v>
      </c>
      <c r="K7393" t="s">
        <v>40661</v>
      </c>
      <c r="M7393" t="s">
        <v>41491</v>
      </c>
      <c r="N7393" t="s">
        <v>44905</v>
      </c>
      <c r="O7393" t="s">
        <v>44906</v>
      </c>
      <c r="P7393">
        <v>0</v>
      </c>
      <c r="Q7393">
        <v>0</v>
      </c>
      <c r="R7393" t="s">
        <v>44910</v>
      </c>
      <c r="S7393" t="s">
        <v>45076</v>
      </c>
      <c r="T7393" t="s">
        <v>46416</v>
      </c>
      <c r="U7393" t="s">
        <v>52931</v>
      </c>
      <c r="W7393" t="s">
        <v>41491</v>
      </c>
      <c r="X7393" t="s">
        <v>44911</v>
      </c>
    </row>
    <row r="7394" spans="1:24">
      <c r="A7394">
        <f>HYPERLINK("https://www.philgeps.gov.ph/GEPSNONPILOT/Tender/SplashBidNoticeAbstractUI.aspx?menuIndex=3&amp;refID=7073877&amp;Result=3","7073877")</f>
        <v>0</v>
      </c>
      <c r="B7394" t="s">
        <v>2246</v>
      </c>
      <c r="C7394" t="s">
        <v>10567</v>
      </c>
      <c r="D7394" t="s">
        <v>18177</v>
      </c>
      <c r="E7394" t="s">
        <v>24735</v>
      </c>
      <c r="F7394" t="s">
        <v>31363</v>
      </c>
      <c r="G7394" t="s">
        <v>31370</v>
      </c>
      <c r="H7394" t="s">
        <v>15799</v>
      </c>
      <c r="I7394" t="s">
        <v>31427</v>
      </c>
      <c r="J7394" t="s">
        <v>36071</v>
      </c>
      <c r="K7394" t="s">
        <v>40670</v>
      </c>
      <c r="M7394" t="s">
        <v>43383</v>
      </c>
      <c r="N7394" t="s">
        <v>44905</v>
      </c>
      <c r="O7394" t="s">
        <v>44906</v>
      </c>
      <c r="P7394">
        <v>0</v>
      </c>
      <c r="Q7394">
        <v>7</v>
      </c>
      <c r="R7394" t="s">
        <v>44910</v>
      </c>
      <c r="S7394" t="s">
        <v>45076</v>
      </c>
      <c r="T7394" t="s">
        <v>46416</v>
      </c>
      <c r="U7394" t="s">
        <v>52932</v>
      </c>
      <c r="W7394" t="s">
        <v>43383</v>
      </c>
      <c r="X7394" t="s">
        <v>44911</v>
      </c>
    </row>
    <row r="7395" spans="1:24">
      <c r="A7395">
        <f>HYPERLINK("https://www.philgeps.gov.ph/GEPSNONPILOT/Tender/SplashBidNoticeAbstractUI.aspx?menuIndex=3&amp;refID=7073843&amp;Result=3","7073843")</f>
        <v>0</v>
      </c>
      <c r="B7395" t="s">
        <v>485</v>
      </c>
      <c r="C7395" t="s">
        <v>10568</v>
      </c>
      <c r="D7395" t="s">
        <v>18158</v>
      </c>
      <c r="E7395" t="s">
        <v>19210</v>
      </c>
      <c r="F7395" t="s">
        <v>31362</v>
      </c>
      <c r="G7395" t="s">
        <v>31369</v>
      </c>
      <c r="H7395" t="s">
        <v>15799</v>
      </c>
      <c r="I7395" t="s">
        <v>3815</v>
      </c>
      <c r="J7395" t="s">
        <v>36072</v>
      </c>
      <c r="K7395" t="s">
        <v>40665</v>
      </c>
      <c r="M7395" t="s">
        <v>41440</v>
      </c>
      <c r="N7395" t="s">
        <v>44905</v>
      </c>
      <c r="O7395" t="s">
        <v>44906</v>
      </c>
      <c r="P7395">
        <v>0</v>
      </c>
      <c r="Q7395">
        <v>0</v>
      </c>
      <c r="R7395" t="s">
        <v>44910</v>
      </c>
      <c r="S7395" t="s">
        <v>45076</v>
      </c>
      <c r="T7395" t="s">
        <v>46470</v>
      </c>
      <c r="U7395" t="s">
        <v>52930</v>
      </c>
      <c r="W7395" t="s">
        <v>41440</v>
      </c>
      <c r="X7395" t="s">
        <v>44911</v>
      </c>
    </row>
    <row r="7396" spans="1:24">
      <c r="A7396">
        <f>HYPERLINK("https://www.philgeps.gov.ph/GEPSNONPILOT/Tender/SplashBidNoticeAbstractUI.aspx?menuIndex=3&amp;refID=7073842&amp;Result=3","7073842")</f>
        <v>0</v>
      </c>
      <c r="B7396" t="s">
        <v>2181</v>
      </c>
      <c r="C7396" t="s">
        <v>10569</v>
      </c>
      <c r="D7396" t="s">
        <v>18156</v>
      </c>
      <c r="E7396" t="s">
        <v>24736</v>
      </c>
      <c r="F7396" t="s">
        <v>31362</v>
      </c>
      <c r="G7396" t="s">
        <v>31369</v>
      </c>
      <c r="H7396" t="s">
        <v>31378</v>
      </c>
      <c r="I7396" t="s">
        <v>31386</v>
      </c>
      <c r="J7396" t="s">
        <v>35968</v>
      </c>
      <c r="K7396" t="s">
        <v>40679</v>
      </c>
      <c r="M7396" t="s">
        <v>43312</v>
      </c>
      <c r="N7396" t="s">
        <v>44905</v>
      </c>
      <c r="O7396" t="s">
        <v>44906</v>
      </c>
      <c r="P7396">
        <v>0</v>
      </c>
      <c r="Q7396">
        <v>0</v>
      </c>
      <c r="R7396" t="s">
        <v>44910</v>
      </c>
      <c r="S7396" t="s">
        <v>45076</v>
      </c>
      <c r="T7396" t="s">
        <v>46392</v>
      </c>
      <c r="U7396" t="s">
        <v>52776</v>
      </c>
      <c r="W7396" t="s">
        <v>43312</v>
      </c>
      <c r="X7396" t="s">
        <v>44911</v>
      </c>
    </row>
    <row r="7397" spans="1:24">
      <c r="A7397">
        <f>HYPERLINK("https://www.philgeps.gov.ph/GEPSNONPILOT/Tender/SplashBidNoticeAbstractUI.aspx?menuIndex=3&amp;refID=7073823&amp;Result=3","7073823")</f>
        <v>0</v>
      </c>
      <c r="B7397" t="s">
        <v>2247</v>
      </c>
      <c r="C7397" t="s">
        <v>10570</v>
      </c>
      <c r="D7397" t="s">
        <v>18152</v>
      </c>
      <c r="E7397" t="s">
        <v>21404</v>
      </c>
      <c r="F7397" t="s">
        <v>31362</v>
      </c>
      <c r="G7397" t="s">
        <v>31369</v>
      </c>
      <c r="H7397" t="s">
        <v>15799</v>
      </c>
      <c r="I7397" t="s">
        <v>31484</v>
      </c>
      <c r="J7397" t="s">
        <v>36073</v>
      </c>
      <c r="K7397" t="s">
        <v>40686</v>
      </c>
      <c r="M7397" t="s">
        <v>43384</v>
      </c>
      <c r="N7397" t="s">
        <v>44905</v>
      </c>
      <c r="O7397" t="s">
        <v>44906</v>
      </c>
      <c r="P7397">
        <v>0</v>
      </c>
      <c r="Q7397">
        <v>7</v>
      </c>
      <c r="R7397" t="s">
        <v>44910</v>
      </c>
      <c r="S7397" t="s">
        <v>45076</v>
      </c>
      <c r="T7397" t="s">
        <v>46638</v>
      </c>
      <c r="U7397" t="s">
        <v>52933</v>
      </c>
      <c r="W7397" t="s">
        <v>43384</v>
      </c>
      <c r="X7397" t="s">
        <v>44911</v>
      </c>
    </row>
    <row r="7398" spans="1:24">
      <c r="A7398">
        <f>HYPERLINK("https://www.philgeps.gov.ph/GEPSNONPILOT/Tender/SplashBidNoticeAbstractUI.aspx?menuIndex=3&amp;refID=7073879&amp;Result=3","7073879")</f>
        <v>0</v>
      </c>
      <c r="B7398" t="s">
        <v>2248</v>
      </c>
      <c r="C7398" t="s">
        <v>10571</v>
      </c>
      <c r="D7398" t="s">
        <v>18113</v>
      </c>
      <c r="E7398" t="s">
        <v>24737</v>
      </c>
      <c r="F7398" t="s">
        <v>31362</v>
      </c>
      <c r="G7398" t="s">
        <v>31368</v>
      </c>
      <c r="H7398" t="s">
        <v>31378</v>
      </c>
      <c r="I7398" t="s">
        <v>31440</v>
      </c>
      <c r="J7398" t="s">
        <v>36074</v>
      </c>
      <c r="K7398" t="s">
        <v>40666</v>
      </c>
      <c r="M7398" t="s">
        <v>43385</v>
      </c>
      <c r="N7398" t="s">
        <v>44905</v>
      </c>
      <c r="O7398" t="s">
        <v>44906</v>
      </c>
      <c r="P7398">
        <v>0</v>
      </c>
      <c r="Q7398">
        <v>1</v>
      </c>
      <c r="R7398" t="s">
        <v>44910</v>
      </c>
      <c r="S7398" t="s">
        <v>45076</v>
      </c>
      <c r="T7398" t="s">
        <v>46443</v>
      </c>
      <c r="U7398" t="s">
        <v>52934</v>
      </c>
      <c r="W7398" t="s">
        <v>43385</v>
      </c>
      <c r="X7398" t="s">
        <v>44911</v>
      </c>
    </row>
    <row r="7399" spans="1:24">
      <c r="A7399">
        <f>HYPERLINK("https://www.philgeps.gov.ph/GEPSNONPILOT/Tender/SplashBidNoticeAbstractUI.aspx?menuIndex=3&amp;refID=7073931&amp;Result=3","7073931")</f>
        <v>0</v>
      </c>
      <c r="B7399" t="s">
        <v>197</v>
      </c>
      <c r="C7399" t="s">
        <v>10572</v>
      </c>
      <c r="E7399" t="s">
        <v>24738</v>
      </c>
      <c r="F7399" t="s">
        <v>31362</v>
      </c>
      <c r="G7399" t="s">
        <v>31368</v>
      </c>
      <c r="H7399" t="s">
        <v>15799</v>
      </c>
      <c r="I7399" t="s">
        <v>31430</v>
      </c>
      <c r="J7399" t="s">
        <v>34392</v>
      </c>
      <c r="K7399" t="s">
        <v>40662</v>
      </c>
      <c r="M7399" t="s">
        <v>41559</v>
      </c>
      <c r="N7399" t="s">
        <v>44905</v>
      </c>
      <c r="O7399" t="s">
        <v>44906</v>
      </c>
      <c r="P7399">
        <v>0</v>
      </c>
      <c r="Q7399">
        <v>2</v>
      </c>
      <c r="R7399" t="s">
        <v>44910</v>
      </c>
      <c r="S7399" t="s">
        <v>45076</v>
      </c>
      <c r="T7399" t="s">
        <v>46425</v>
      </c>
      <c r="U7399" t="s">
        <v>52935</v>
      </c>
      <c r="W7399" t="s">
        <v>41559</v>
      </c>
      <c r="X7399" t="s">
        <v>44911</v>
      </c>
    </row>
    <row r="7400" spans="1:24">
      <c r="A7400">
        <f>HYPERLINK("https://www.philgeps.gov.ph/GEPSNONPILOT/Tender/SplashBidNoticeAbstractUI.aspx?menuIndex=3&amp;refID=7073930&amp;Result=3","7073930")</f>
        <v>0</v>
      </c>
      <c r="B7400" t="s">
        <v>834</v>
      </c>
      <c r="C7400" t="s">
        <v>10573</v>
      </c>
      <c r="D7400" t="s">
        <v>18108</v>
      </c>
      <c r="E7400" t="s">
        <v>24739</v>
      </c>
      <c r="F7400" t="s">
        <v>31362</v>
      </c>
      <c r="G7400" t="s">
        <v>31368</v>
      </c>
      <c r="H7400" t="s">
        <v>15799</v>
      </c>
      <c r="I7400" t="s">
        <v>31396</v>
      </c>
      <c r="J7400" t="s">
        <v>31723</v>
      </c>
      <c r="K7400" t="s">
        <v>40661</v>
      </c>
      <c r="M7400" t="s">
        <v>42118</v>
      </c>
      <c r="N7400" t="s">
        <v>44905</v>
      </c>
      <c r="O7400" t="s">
        <v>44906</v>
      </c>
      <c r="P7400">
        <v>0</v>
      </c>
      <c r="Q7400">
        <v>3</v>
      </c>
      <c r="R7400" t="s">
        <v>44910</v>
      </c>
      <c r="S7400" t="s">
        <v>45076</v>
      </c>
      <c r="T7400" t="s">
        <v>46416</v>
      </c>
      <c r="U7400" t="s">
        <v>52936</v>
      </c>
      <c r="V7400" t="s">
        <v>59376</v>
      </c>
      <c r="W7400" t="s">
        <v>42118</v>
      </c>
      <c r="X7400" t="s">
        <v>44911</v>
      </c>
    </row>
    <row r="7401" spans="1:24">
      <c r="A7401">
        <f>HYPERLINK("https://www.philgeps.gov.ph/GEPSNONPILOT/Tender/SplashBidNoticeAbstractUI.aspx?menuIndex=3&amp;refID=7073841&amp;Result=3","7073841")</f>
        <v>0</v>
      </c>
      <c r="B7401" t="s">
        <v>1655</v>
      </c>
      <c r="C7401" t="s">
        <v>10574</v>
      </c>
      <c r="D7401" t="s">
        <v>18136</v>
      </c>
      <c r="E7401" t="s">
        <v>24740</v>
      </c>
      <c r="F7401" t="s">
        <v>31362</v>
      </c>
      <c r="G7401" t="s">
        <v>31368</v>
      </c>
      <c r="H7401" t="s">
        <v>15799</v>
      </c>
      <c r="I7401" t="s">
        <v>31404</v>
      </c>
      <c r="J7401" t="s">
        <v>36075</v>
      </c>
      <c r="K7401" t="s">
        <v>40661</v>
      </c>
      <c r="M7401" t="s">
        <v>43362</v>
      </c>
      <c r="N7401" t="s">
        <v>44905</v>
      </c>
      <c r="O7401" t="s">
        <v>44906</v>
      </c>
      <c r="P7401">
        <v>0</v>
      </c>
      <c r="Q7401">
        <v>0</v>
      </c>
      <c r="R7401" t="s">
        <v>44910</v>
      </c>
      <c r="S7401" t="s">
        <v>45076</v>
      </c>
      <c r="T7401" t="s">
        <v>46425</v>
      </c>
      <c r="U7401" t="s">
        <v>52937</v>
      </c>
      <c r="W7401" t="s">
        <v>43362</v>
      </c>
      <c r="X7401" t="s">
        <v>44911</v>
      </c>
    </row>
    <row r="7402" spans="1:24">
      <c r="A7402">
        <f>HYPERLINK("https://www.philgeps.gov.ph/GEPSNONPILOT/Tender/SplashBidNoticeAbstractUI.aspx?menuIndex=3&amp;refID=7073925&amp;Result=3","7073925")</f>
        <v>0</v>
      </c>
      <c r="B7402" t="s">
        <v>46</v>
      </c>
      <c r="C7402" t="s">
        <v>10575</v>
      </c>
      <c r="D7402" t="s">
        <v>18116</v>
      </c>
      <c r="E7402" t="s">
        <v>24741</v>
      </c>
      <c r="F7402" t="s">
        <v>31362</v>
      </c>
      <c r="G7402" t="s">
        <v>31369</v>
      </c>
      <c r="H7402" t="s">
        <v>15799</v>
      </c>
      <c r="I7402" t="s">
        <v>7188</v>
      </c>
      <c r="J7402" t="s">
        <v>36076</v>
      </c>
      <c r="K7402" t="s">
        <v>40665</v>
      </c>
      <c r="M7402" t="s">
        <v>40980</v>
      </c>
      <c r="N7402" t="s">
        <v>44905</v>
      </c>
      <c r="O7402" t="s">
        <v>44906</v>
      </c>
      <c r="Q7402">
        <v>5</v>
      </c>
      <c r="R7402" t="s">
        <v>44910</v>
      </c>
      <c r="S7402" t="s">
        <v>45091</v>
      </c>
      <c r="T7402" t="s">
        <v>46438</v>
      </c>
      <c r="U7402" t="s">
        <v>52938</v>
      </c>
      <c r="W7402" t="s">
        <v>40980</v>
      </c>
      <c r="X7402" t="s">
        <v>44911</v>
      </c>
    </row>
    <row r="7403" spans="1:24">
      <c r="A7403">
        <f>HYPERLINK("https://www.philgeps.gov.ph/GEPSNONPILOT/Tender/SplashBidNoticeAbstractUI.aspx?menuIndex=3&amp;refID=7073924&amp;Result=3","7073924")</f>
        <v>0</v>
      </c>
      <c r="B7403" t="s">
        <v>179</v>
      </c>
      <c r="C7403" t="s">
        <v>10576</v>
      </c>
      <c r="D7403" t="s">
        <v>18155</v>
      </c>
      <c r="E7403" t="s">
        <v>24742</v>
      </c>
      <c r="F7403" t="s">
        <v>31362</v>
      </c>
      <c r="G7403" t="s">
        <v>31368</v>
      </c>
      <c r="H7403" t="s">
        <v>15799</v>
      </c>
      <c r="I7403" t="s">
        <v>31434</v>
      </c>
      <c r="J7403" t="s">
        <v>31734</v>
      </c>
      <c r="K7403" t="s">
        <v>40665</v>
      </c>
      <c r="M7403" t="s">
        <v>41117</v>
      </c>
      <c r="N7403" t="s">
        <v>44905</v>
      </c>
      <c r="O7403" t="s">
        <v>44906</v>
      </c>
      <c r="P7403">
        <v>0</v>
      </c>
      <c r="Q7403">
        <v>3</v>
      </c>
      <c r="R7403" t="s">
        <v>44910</v>
      </c>
      <c r="S7403" t="s">
        <v>45076</v>
      </c>
      <c r="T7403" t="s">
        <v>46591</v>
      </c>
      <c r="U7403" t="s">
        <v>52939</v>
      </c>
      <c r="V7403" t="s">
        <v>59091</v>
      </c>
      <c r="W7403" t="s">
        <v>60838</v>
      </c>
      <c r="X7403" t="s">
        <v>44911</v>
      </c>
    </row>
    <row r="7404" spans="1:24">
      <c r="A7404">
        <f>HYPERLINK("https://www.philgeps.gov.ph/GEPSNONPILOT/Tender/SplashBidNoticeAbstractUI.aspx?menuIndex=3&amp;refID=7073890&amp;Result=3","7073890")</f>
        <v>0</v>
      </c>
      <c r="B7404" t="s">
        <v>179</v>
      </c>
      <c r="C7404" t="s">
        <v>10577</v>
      </c>
      <c r="D7404" t="s">
        <v>18155</v>
      </c>
      <c r="E7404" t="s">
        <v>24743</v>
      </c>
      <c r="F7404" t="s">
        <v>31362</v>
      </c>
      <c r="G7404" t="s">
        <v>31368</v>
      </c>
      <c r="H7404" t="s">
        <v>15799</v>
      </c>
      <c r="I7404" t="s">
        <v>7090</v>
      </c>
      <c r="J7404" t="s">
        <v>31545</v>
      </c>
      <c r="K7404" t="s">
        <v>40696</v>
      </c>
      <c r="M7404" t="s">
        <v>41117</v>
      </c>
      <c r="N7404" t="s">
        <v>44905</v>
      </c>
      <c r="O7404" t="s">
        <v>44906</v>
      </c>
      <c r="P7404">
        <v>0</v>
      </c>
      <c r="Q7404">
        <v>1</v>
      </c>
      <c r="R7404" t="s">
        <v>44910</v>
      </c>
      <c r="S7404" t="s">
        <v>45076</v>
      </c>
      <c r="T7404" t="s">
        <v>46591</v>
      </c>
      <c r="U7404" t="s">
        <v>52940</v>
      </c>
      <c r="V7404" t="s">
        <v>59091</v>
      </c>
      <c r="W7404" t="s">
        <v>60838</v>
      </c>
      <c r="X7404" t="s">
        <v>44911</v>
      </c>
    </row>
    <row r="7405" spans="1:24">
      <c r="A7405">
        <f>HYPERLINK("https://www.philgeps.gov.ph/GEPSNONPILOT/Tender/SplashBidNoticeAbstractUI.aspx?menuIndex=3&amp;refID=7073923&amp;Result=3","7073923")</f>
        <v>0</v>
      </c>
      <c r="B7405" t="s">
        <v>2249</v>
      </c>
      <c r="C7405" t="s">
        <v>4900</v>
      </c>
      <c r="D7405" t="s">
        <v>18118</v>
      </c>
      <c r="E7405" t="s">
        <v>24744</v>
      </c>
      <c r="F7405" t="s">
        <v>31363</v>
      </c>
      <c r="G7405" t="s">
        <v>31368</v>
      </c>
      <c r="H7405" t="s">
        <v>15799</v>
      </c>
      <c r="I7405" t="s">
        <v>31385</v>
      </c>
      <c r="J7405" t="s">
        <v>36077</v>
      </c>
      <c r="K7405" t="s">
        <v>40661</v>
      </c>
      <c r="M7405" t="s">
        <v>43386</v>
      </c>
      <c r="N7405" t="s">
        <v>44905</v>
      </c>
      <c r="O7405" t="s">
        <v>44906</v>
      </c>
      <c r="P7405">
        <v>0</v>
      </c>
      <c r="Q7405">
        <v>1</v>
      </c>
      <c r="R7405" t="s">
        <v>44910</v>
      </c>
      <c r="S7405" t="s">
        <v>45076</v>
      </c>
      <c r="T7405" t="s">
        <v>46406</v>
      </c>
      <c r="U7405" t="s">
        <v>52941</v>
      </c>
      <c r="V7405" t="s">
        <v>59792</v>
      </c>
      <c r="W7405" t="s">
        <v>43386</v>
      </c>
      <c r="X7405" t="s">
        <v>44911</v>
      </c>
    </row>
    <row r="7406" spans="1:24">
      <c r="A7406">
        <f>HYPERLINK("https://www.philgeps.gov.ph/GEPSNONPILOT/Tender/SplashBidNoticeAbstractUI.aspx?menuIndex=3&amp;refID=7073920&amp;Result=3","7073920")</f>
        <v>0</v>
      </c>
      <c r="B7406" t="s">
        <v>2250</v>
      </c>
      <c r="C7406" t="s">
        <v>10578</v>
      </c>
      <c r="D7406" t="s">
        <v>18107</v>
      </c>
      <c r="E7406" t="s">
        <v>24745</v>
      </c>
      <c r="F7406" t="s">
        <v>31362</v>
      </c>
      <c r="G7406" t="s">
        <v>31368</v>
      </c>
      <c r="H7406" t="s">
        <v>15799</v>
      </c>
      <c r="I7406" t="s">
        <v>31430</v>
      </c>
      <c r="J7406" t="s">
        <v>32739</v>
      </c>
      <c r="K7406" t="s">
        <v>40662</v>
      </c>
      <c r="M7406" t="s">
        <v>43387</v>
      </c>
      <c r="N7406" t="s">
        <v>44905</v>
      </c>
      <c r="O7406" t="s">
        <v>44906</v>
      </c>
      <c r="P7406">
        <v>0</v>
      </c>
      <c r="Q7406">
        <v>1</v>
      </c>
      <c r="R7406" t="s">
        <v>44910</v>
      </c>
      <c r="S7406" t="s">
        <v>45076</v>
      </c>
      <c r="T7406" t="s">
        <v>46434</v>
      </c>
      <c r="U7406" t="s">
        <v>52942</v>
      </c>
      <c r="W7406" t="s">
        <v>43387</v>
      </c>
      <c r="X7406" t="s">
        <v>44911</v>
      </c>
    </row>
    <row r="7407" spans="1:24">
      <c r="A7407">
        <f>HYPERLINK("https://www.philgeps.gov.ph/GEPSNONPILOT/Tender/SplashBidNoticeAbstractUI.aspx?menuIndex=3&amp;refID=7073942&amp;Result=3","7073942")</f>
        <v>0</v>
      </c>
      <c r="B7407" t="s">
        <v>485</v>
      </c>
      <c r="C7407" t="s">
        <v>10579</v>
      </c>
      <c r="D7407" t="s">
        <v>18158</v>
      </c>
      <c r="E7407" t="s">
        <v>19210</v>
      </c>
      <c r="F7407" t="s">
        <v>31362</v>
      </c>
      <c r="G7407" t="s">
        <v>31369</v>
      </c>
      <c r="H7407" t="s">
        <v>15799</v>
      </c>
      <c r="I7407" t="s">
        <v>3815</v>
      </c>
      <c r="J7407" t="s">
        <v>36078</v>
      </c>
      <c r="K7407" t="s">
        <v>40665</v>
      </c>
      <c r="M7407" t="s">
        <v>41440</v>
      </c>
      <c r="N7407" t="s">
        <v>44905</v>
      </c>
      <c r="O7407" t="s">
        <v>44906</v>
      </c>
      <c r="P7407">
        <v>0</v>
      </c>
      <c r="Q7407">
        <v>0</v>
      </c>
      <c r="R7407" t="s">
        <v>44910</v>
      </c>
      <c r="S7407" t="s">
        <v>45076</v>
      </c>
      <c r="T7407" t="s">
        <v>46470</v>
      </c>
      <c r="U7407" t="s">
        <v>52930</v>
      </c>
      <c r="W7407" t="s">
        <v>41440</v>
      </c>
      <c r="X7407" t="s">
        <v>44911</v>
      </c>
    </row>
    <row r="7408" spans="1:24">
      <c r="A7408">
        <f>HYPERLINK("https://www.philgeps.gov.ph/GEPSNONPILOT/Tender/SplashBidNoticeAbstractUI.aspx?menuIndex=3&amp;refID=7073928&amp;Result=3","7073928")</f>
        <v>0</v>
      </c>
      <c r="B7408" t="s">
        <v>831</v>
      </c>
      <c r="C7408" t="s">
        <v>10580</v>
      </c>
      <c r="D7408" t="s">
        <v>18108</v>
      </c>
      <c r="E7408" t="s">
        <v>24746</v>
      </c>
      <c r="F7408" t="s">
        <v>31362</v>
      </c>
      <c r="G7408" t="s">
        <v>31369</v>
      </c>
      <c r="H7408" t="s">
        <v>15799</v>
      </c>
      <c r="I7408" t="s">
        <v>31385</v>
      </c>
      <c r="J7408" t="s">
        <v>36079</v>
      </c>
      <c r="K7408" t="s">
        <v>40666</v>
      </c>
      <c r="M7408" t="s">
        <v>43388</v>
      </c>
      <c r="N7408" t="s">
        <v>44905</v>
      </c>
      <c r="O7408" t="s">
        <v>44906</v>
      </c>
      <c r="P7408">
        <v>0</v>
      </c>
      <c r="Q7408">
        <v>2</v>
      </c>
      <c r="R7408" t="s">
        <v>44910</v>
      </c>
      <c r="S7408" t="s">
        <v>45076</v>
      </c>
      <c r="T7408" t="s">
        <v>46393</v>
      </c>
      <c r="U7408" t="s">
        <v>47749</v>
      </c>
      <c r="W7408" t="s">
        <v>43388</v>
      </c>
      <c r="X7408" t="s">
        <v>44911</v>
      </c>
    </row>
    <row r="7409" spans="1:24">
      <c r="A7409">
        <f>HYPERLINK("https://www.philgeps.gov.ph/GEPSNONPILOT/Tender/SplashBidNoticeAbstractUI.aspx?menuIndex=3&amp;refID=7073874&amp;Result=3","7073874")</f>
        <v>0</v>
      </c>
      <c r="B7409" t="s">
        <v>2181</v>
      </c>
      <c r="C7409" t="s">
        <v>10581</v>
      </c>
      <c r="D7409" t="s">
        <v>18156</v>
      </c>
      <c r="E7409" t="s">
        <v>24747</v>
      </c>
      <c r="F7409" t="s">
        <v>31362</v>
      </c>
      <c r="G7409" t="s">
        <v>31369</v>
      </c>
      <c r="H7409" t="s">
        <v>31378</v>
      </c>
      <c r="I7409" t="s">
        <v>31386</v>
      </c>
      <c r="J7409" t="s">
        <v>35968</v>
      </c>
      <c r="K7409" t="s">
        <v>40683</v>
      </c>
      <c r="M7409" t="s">
        <v>43312</v>
      </c>
      <c r="N7409" t="s">
        <v>44905</v>
      </c>
      <c r="O7409" t="s">
        <v>44906</v>
      </c>
      <c r="P7409">
        <v>0</v>
      </c>
      <c r="Q7409">
        <v>0</v>
      </c>
      <c r="R7409" t="s">
        <v>44910</v>
      </c>
      <c r="S7409" t="s">
        <v>45076</v>
      </c>
      <c r="T7409" t="s">
        <v>46479</v>
      </c>
      <c r="U7409" t="s">
        <v>52943</v>
      </c>
      <c r="W7409" t="s">
        <v>43312</v>
      </c>
      <c r="X7409" t="s">
        <v>44911</v>
      </c>
    </row>
    <row r="7410" spans="1:24">
      <c r="A7410">
        <f>HYPERLINK("https://www.philgeps.gov.ph/GEPSNONPILOT/Tender/SplashBidNoticeAbstractUI.aspx?menuIndex=3&amp;refID=7073934&amp;Result=3","7073934")</f>
        <v>0</v>
      </c>
      <c r="B7410" t="s">
        <v>2181</v>
      </c>
      <c r="C7410" t="s">
        <v>10582</v>
      </c>
      <c r="D7410" t="s">
        <v>18156</v>
      </c>
      <c r="E7410" t="s">
        <v>24748</v>
      </c>
      <c r="F7410" t="s">
        <v>31362</v>
      </c>
      <c r="G7410" t="s">
        <v>31369</v>
      </c>
      <c r="H7410" t="s">
        <v>31378</v>
      </c>
      <c r="I7410" t="s">
        <v>31386</v>
      </c>
      <c r="J7410" t="s">
        <v>36080</v>
      </c>
      <c r="K7410" t="s">
        <v>40663</v>
      </c>
      <c r="M7410" t="s">
        <v>43312</v>
      </c>
      <c r="N7410" t="s">
        <v>44905</v>
      </c>
      <c r="O7410" t="s">
        <v>44906</v>
      </c>
      <c r="P7410">
        <v>0</v>
      </c>
      <c r="Q7410">
        <v>5</v>
      </c>
      <c r="R7410" t="s">
        <v>44910</v>
      </c>
      <c r="S7410" t="s">
        <v>45076</v>
      </c>
      <c r="T7410" t="s">
        <v>46479</v>
      </c>
      <c r="U7410" t="s">
        <v>52944</v>
      </c>
      <c r="W7410" t="s">
        <v>43312</v>
      </c>
      <c r="X7410" t="s">
        <v>44911</v>
      </c>
    </row>
    <row r="7411" spans="1:24">
      <c r="A7411">
        <f>HYPERLINK("https://www.philgeps.gov.ph/GEPSNONPILOT/Tender/SplashBidNoticeAbstractUI.aspx?menuIndex=3&amp;refID=7073912&amp;Result=3","7073912")</f>
        <v>0</v>
      </c>
      <c r="B7411" t="s">
        <v>834</v>
      </c>
      <c r="C7411" t="s">
        <v>10583</v>
      </c>
      <c r="D7411" t="s">
        <v>18108</v>
      </c>
      <c r="E7411" t="s">
        <v>24749</v>
      </c>
      <c r="F7411" t="s">
        <v>31362</v>
      </c>
      <c r="G7411" t="s">
        <v>31368</v>
      </c>
      <c r="H7411" t="s">
        <v>15799</v>
      </c>
      <c r="I7411" t="s">
        <v>31396</v>
      </c>
      <c r="J7411" t="s">
        <v>33310</v>
      </c>
      <c r="K7411" t="s">
        <v>40661</v>
      </c>
      <c r="M7411" t="s">
        <v>42118</v>
      </c>
      <c r="N7411" t="s">
        <v>44905</v>
      </c>
      <c r="O7411" t="s">
        <v>44906</v>
      </c>
      <c r="P7411">
        <v>0</v>
      </c>
      <c r="Q7411">
        <v>1</v>
      </c>
      <c r="R7411" t="s">
        <v>44910</v>
      </c>
      <c r="S7411" t="s">
        <v>45076</v>
      </c>
      <c r="T7411" t="s">
        <v>46416</v>
      </c>
      <c r="U7411" t="s">
        <v>52945</v>
      </c>
      <c r="V7411" t="s">
        <v>59376</v>
      </c>
      <c r="W7411" t="s">
        <v>42118</v>
      </c>
      <c r="X7411" t="s">
        <v>44911</v>
      </c>
    </row>
    <row r="7412" spans="1:24">
      <c r="A7412">
        <f>HYPERLINK("https://www.philgeps.gov.ph/GEPSNONPILOT/Tender/SplashBidNoticeAbstractUI.aspx?menuIndex=3&amp;refID=7073911&amp;Result=3","7073911")</f>
        <v>0</v>
      </c>
      <c r="B7412" t="s">
        <v>485</v>
      </c>
      <c r="C7412" t="s">
        <v>10584</v>
      </c>
      <c r="D7412" t="s">
        <v>18158</v>
      </c>
      <c r="E7412" t="s">
        <v>19210</v>
      </c>
      <c r="F7412" t="s">
        <v>31362</v>
      </c>
      <c r="G7412" t="s">
        <v>31369</v>
      </c>
      <c r="H7412" t="s">
        <v>15799</v>
      </c>
      <c r="I7412" t="s">
        <v>3815</v>
      </c>
      <c r="J7412" t="s">
        <v>36081</v>
      </c>
      <c r="K7412" t="s">
        <v>40665</v>
      </c>
      <c r="M7412" t="s">
        <v>41440</v>
      </c>
      <c r="N7412" t="s">
        <v>44905</v>
      </c>
      <c r="O7412" t="s">
        <v>44906</v>
      </c>
      <c r="P7412">
        <v>0</v>
      </c>
      <c r="Q7412">
        <v>0</v>
      </c>
      <c r="R7412" t="s">
        <v>44910</v>
      </c>
      <c r="S7412" t="s">
        <v>45076</v>
      </c>
      <c r="T7412" t="s">
        <v>46470</v>
      </c>
      <c r="U7412" t="s">
        <v>52930</v>
      </c>
      <c r="W7412" t="s">
        <v>41440</v>
      </c>
      <c r="X7412" t="s">
        <v>44911</v>
      </c>
    </row>
    <row r="7413" spans="1:24">
      <c r="A7413">
        <f>HYPERLINK("https://www.philgeps.gov.ph/GEPSNONPILOT/Tender/SplashBidNoticeAbstractUI.aspx?menuIndex=3&amp;refID=7073904&amp;Result=3","7073904")</f>
        <v>0</v>
      </c>
      <c r="B7413" t="s">
        <v>2181</v>
      </c>
      <c r="C7413" t="s">
        <v>10585</v>
      </c>
      <c r="D7413" t="s">
        <v>18156</v>
      </c>
      <c r="E7413" t="s">
        <v>24750</v>
      </c>
      <c r="F7413" t="s">
        <v>31362</v>
      </c>
      <c r="G7413" t="s">
        <v>31369</v>
      </c>
      <c r="H7413" t="s">
        <v>31378</v>
      </c>
      <c r="I7413" t="s">
        <v>31386</v>
      </c>
      <c r="J7413" t="s">
        <v>31726</v>
      </c>
      <c r="K7413" t="s">
        <v>40686</v>
      </c>
      <c r="M7413" t="s">
        <v>43312</v>
      </c>
      <c r="N7413" t="s">
        <v>44905</v>
      </c>
      <c r="O7413" t="s">
        <v>44906</v>
      </c>
      <c r="P7413">
        <v>0</v>
      </c>
      <c r="Q7413">
        <v>0</v>
      </c>
      <c r="R7413" t="s">
        <v>44910</v>
      </c>
      <c r="S7413" t="s">
        <v>45076</v>
      </c>
      <c r="T7413" t="s">
        <v>46479</v>
      </c>
      <c r="U7413" t="s">
        <v>52767</v>
      </c>
      <c r="W7413" t="s">
        <v>43312</v>
      </c>
      <c r="X7413" t="s">
        <v>44911</v>
      </c>
    </row>
    <row r="7414" spans="1:24">
      <c r="A7414">
        <f>HYPERLINK("https://www.philgeps.gov.ph/GEPSNONPILOT/Tender/SplashBidNoticeAbstractUI.aspx?menuIndex=3&amp;refID=7073891&amp;Result=3","7073891")</f>
        <v>0</v>
      </c>
      <c r="B7414" t="s">
        <v>2251</v>
      </c>
      <c r="C7414" t="s">
        <v>10586</v>
      </c>
      <c r="D7414" t="s">
        <v>18136</v>
      </c>
      <c r="E7414" t="s">
        <v>24751</v>
      </c>
      <c r="F7414" t="s">
        <v>31363</v>
      </c>
      <c r="G7414" t="s">
        <v>31369</v>
      </c>
      <c r="H7414" t="s">
        <v>15799</v>
      </c>
      <c r="I7414" t="s">
        <v>31421</v>
      </c>
      <c r="J7414" t="s">
        <v>36082</v>
      </c>
      <c r="K7414" t="s">
        <v>40675</v>
      </c>
      <c r="M7414" t="s">
        <v>43389</v>
      </c>
      <c r="N7414" t="s">
        <v>44905</v>
      </c>
      <c r="O7414" t="s">
        <v>44906</v>
      </c>
      <c r="P7414">
        <v>0</v>
      </c>
      <c r="Q7414">
        <v>2</v>
      </c>
      <c r="R7414" t="s">
        <v>44910</v>
      </c>
      <c r="S7414" t="s">
        <v>45076</v>
      </c>
      <c r="T7414" t="s">
        <v>46648</v>
      </c>
      <c r="U7414" t="s">
        <v>52946</v>
      </c>
      <c r="W7414" t="s">
        <v>43389</v>
      </c>
      <c r="X7414" t="s">
        <v>44911</v>
      </c>
    </row>
    <row r="7415" spans="1:24">
      <c r="A7415">
        <f>HYPERLINK("https://www.philgeps.gov.ph/GEPSNONPILOT/Tender/SplashBidNoticeAbstractUI.aspx?menuIndex=3&amp;refID=7073902&amp;Result=3","7073902")</f>
        <v>0</v>
      </c>
      <c r="B7415" t="s">
        <v>401</v>
      </c>
      <c r="C7415" t="s">
        <v>10587</v>
      </c>
      <c r="D7415" t="s">
        <v>18132</v>
      </c>
      <c r="E7415" t="s">
        <v>24752</v>
      </c>
      <c r="F7415" t="s">
        <v>31362</v>
      </c>
      <c r="G7415" t="s">
        <v>31369</v>
      </c>
      <c r="H7415" t="s">
        <v>15799</v>
      </c>
      <c r="I7415" t="s">
        <v>3815</v>
      </c>
      <c r="J7415" t="s">
        <v>36083</v>
      </c>
      <c r="K7415" t="s">
        <v>40666</v>
      </c>
      <c r="M7415" t="s">
        <v>41351</v>
      </c>
      <c r="N7415" t="s">
        <v>44905</v>
      </c>
      <c r="O7415" t="s">
        <v>44906</v>
      </c>
      <c r="P7415">
        <v>0</v>
      </c>
      <c r="Q7415">
        <v>0</v>
      </c>
      <c r="R7415" t="s">
        <v>44910</v>
      </c>
      <c r="S7415" t="s">
        <v>45076</v>
      </c>
      <c r="T7415" t="s">
        <v>46438</v>
      </c>
      <c r="U7415" t="s">
        <v>49892</v>
      </c>
      <c r="W7415" t="s">
        <v>41351</v>
      </c>
      <c r="X7415" t="s">
        <v>44911</v>
      </c>
    </row>
    <row r="7416" spans="1:24">
      <c r="A7416">
        <f>HYPERLINK("https://www.philgeps.gov.ph/GEPSNONPILOT/Tender/SplashBidNoticeAbstractUI.aspx?menuIndex=3&amp;refID=7073894&amp;Result=3","7073894")</f>
        <v>0</v>
      </c>
      <c r="B7416" t="s">
        <v>1535</v>
      </c>
      <c r="C7416" t="s">
        <v>10588</v>
      </c>
      <c r="D7416" t="s">
        <v>18178</v>
      </c>
      <c r="E7416" t="s">
        <v>24753</v>
      </c>
      <c r="F7416" t="s">
        <v>31362</v>
      </c>
      <c r="G7416" t="s">
        <v>31369</v>
      </c>
      <c r="H7416" t="s">
        <v>31378</v>
      </c>
      <c r="I7416" t="s">
        <v>31386</v>
      </c>
      <c r="J7416" t="s">
        <v>36084</v>
      </c>
      <c r="K7416" t="s">
        <v>40665</v>
      </c>
      <c r="M7416" t="s">
        <v>42582</v>
      </c>
      <c r="N7416" t="s">
        <v>44905</v>
      </c>
      <c r="O7416" t="s">
        <v>44906</v>
      </c>
      <c r="P7416">
        <v>0</v>
      </c>
      <c r="Q7416">
        <v>0</v>
      </c>
      <c r="R7416" t="s">
        <v>44910</v>
      </c>
      <c r="S7416" t="s">
        <v>45076</v>
      </c>
      <c r="T7416" t="s">
        <v>46755</v>
      </c>
      <c r="U7416" t="s">
        <v>52947</v>
      </c>
      <c r="W7416" t="s">
        <v>42582</v>
      </c>
      <c r="X7416" t="s">
        <v>44911</v>
      </c>
    </row>
    <row r="7417" spans="1:24">
      <c r="A7417">
        <f>HYPERLINK("https://www.philgeps.gov.ph/GEPSNONPILOT/Tender/SplashBidNoticeAbstractUI.aspx?menuIndex=3&amp;refID=7073892&amp;Result=3","7073892")</f>
        <v>0</v>
      </c>
      <c r="B7417" t="s">
        <v>1850</v>
      </c>
      <c r="C7417" t="s">
        <v>10589</v>
      </c>
      <c r="E7417" t="s">
        <v>10823</v>
      </c>
      <c r="F7417" t="s">
        <v>31362</v>
      </c>
      <c r="G7417" t="s">
        <v>31369</v>
      </c>
      <c r="H7417" t="s">
        <v>31378</v>
      </c>
      <c r="I7417" t="s">
        <v>3815</v>
      </c>
      <c r="J7417" t="s">
        <v>36085</v>
      </c>
      <c r="K7417" t="s">
        <v>40662</v>
      </c>
      <c r="M7417" t="s">
        <v>42939</v>
      </c>
      <c r="N7417" t="s">
        <v>44905</v>
      </c>
      <c r="O7417" t="s">
        <v>44906</v>
      </c>
      <c r="P7417">
        <v>0</v>
      </c>
      <c r="Q7417">
        <v>0</v>
      </c>
      <c r="R7417" t="s">
        <v>44910</v>
      </c>
      <c r="S7417" t="s">
        <v>45076</v>
      </c>
      <c r="T7417" t="s">
        <v>46447</v>
      </c>
      <c r="U7417" t="s">
        <v>51566</v>
      </c>
      <c r="W7417" t="s">
        <v>42939</v>
      </c>
      <c r="X7417" t="s">
        <v>44911</v>
      </c>
    </row>
    <row r="7418" spans="1:24">
      <c r="A7418">
        <f>HYPERLINK("https://www.philgeps.gov.ph/GEPSNONPILOT/Tender/SplashBidNoticeAbstractUI.aspx?menuIndex=3&amp;refID=7073944&amp;Result=3","7073944")</f>
        <v>0</v>
      </c>
      <c r="B7418" t="s">
        <v>831</v>
      </c>
      <c r="C7418" t="s">
        <v>10590</v>
      </c>
      <c r="D7418" t="s">
        <v>18108</v>
      </c>
      <c r="E7418" t="s">
        <v>24754</v>
      </c>
      <c r="F7418" t="s">
        <v>31362</v>
      </c>
      <c r="G7418" t="s">
        <v>31369</v>
      </c>
      <c r="H7418" t="s">
        <v>15799</v>
      </c>
      <c r="I7418" t="s">
        <v>31385</v>
      </c>
      <c r="J7418" t="s">
        <v>36086</v>
      </c>
      <c r="K7418" t="s">
        <v>40666</v>
      </c>
      <c r="M7418" t="s">
        <v>43388</v>
      </c>
      <c r="N7418" t="s">
        <v>44905</v>
      </c>
      <c r="O7418" t="s">
        <v>44906</v>
      </c>
      <c r="P7418">
        <v>0</v>
      </c>
      <c r="Q7418">
        <v>2</v>
      </c>
      <c r="R7418" t="s">
        <v>44910</v>
      </c>
      <c r="S7418" t="s">
        <v>45076</v>
      </c>
      <c r="T7418" t="s">
        <v>46393</v>
      </c>
      <c r="U7418" t="s">
        <v>47749</v>
      </c>
      <c r="W7418" t="s">
        <v>43388</v>
      </c>
      <c r="X7418" t="s">
        <v>44911</v>
      </c>
    </row>
    <row r="7419" spans="1:24">
      <c r="A7419">
        <f>HYPERLINK("https://www.philgeps.gov.ph/GEPSNONPILOT/Tender/SplashBidNoticeAbstractUI.aspx?menuIndex=3&amp;refID=7073981&amp;Result=3","7073981")</f>
        <v>0</v>
      </c>
      <c r="B7419" t="s">
        <v>2181</v>
      </c>
      <c r="C7419" t="s">
        <v>10591</v>
      </c>
      <c r="D7419" t="s">
        <v>18156</v>
      </c>
      <c r="E7419" t="s">
        <v>24755</v>
      </c>
      <c r="F7419" t="s">
        <v>31362</v>
      </c>
      <c r="G7419" t="s">
        <v>31369</v>
      </c>
      <c r="H7419" t="s">
        <v>31378</v>
      </c>
      <c r="I7419" t="s">
        <v>31386</v>
      </c>
      <c r="J7419" t="s">
        <v>31726</v>
      </c>
      <c r="K7419" t="s">
        <v>40686</v>
      </c>
      <c r="M7419" t="s">
        <v>43312</v>
      </c>
      <c r="N7419" t="s">
        <v>44905</v>
      </c>
      <c r="O7419" t="s">
        <v>44906</v>
      </c>
      <c r="P7419">
        <v>0</v>
      </c>
      <c r="Q7419">
        <v>0</v>
      </c>
      <c r="R7419" t="s">
        <v>44910</v>
      </c>
      <c r="S7419" t="s">
        <v>45076</v>
      </c>
      <c r="T7419" t="s">
        <v>46479</v>
      </c>
      <c r="U7419" t="s">
        <v>52767</v>
      </c>
      <c r="W7419" t="s">
        <v>43312</v>
      </c>
      <c r="X7419" t="s">
        <v>44911</v>
      </c>
    </row>
    <row r="7420" spans="1:24">
      <c r="A7420">
        <f>HYPERLINK("https://www.philgeps.gov.ph/GEPSNONPILOT/Tender/SplashBidNoticeAbstractUI.aspx?menuIndex=3&amp;refID=7073978&amp;Result=3","7073978")</f>
        <v>0</v>
      </c>
      <c r="B7420" t="s">
        <v>1783</v>
      </c>
      <c r="C7420" t="s">
        <v>10592</v>
      </c>
      <c r="D7420" t="s">
        <v>18158</v>
      </c>
      <c r="E7420" t="s">
        <v>24756</v>
      </c>
      <c r="F7420" t="s">
        <v>31362</v>
      </c>
      <c r="G7420" t="s">
        <v>31369</v>
      </c>
      <c r="H7420" t="s">
        <v>31378</v>
      </c>
      <c r="I7420" t="s">
        <v>31386</v>
      </c>
      <c r="J7420" t="s">
        <v>36087</v>
      </c>
      <c r="K7420" t="s">
        <v>40691</v>
      </c>
      <c r="M7420" t="s">
        <v>42863</v>
      </c>
      <c r="N7420" t="s">
        <v>44905</v>
      </c>
      <c r="O7420" t="s">
        <v>44906</v>
      </c>
      <c r="P7420">
        <v>0</v>
      </c>
      <c r="Q7420">
        <v>4</v>
      </c>
      <c r="R7420" t="s">
        <v>44910</v>
      </c>
      <c r="S7420" t="s">
        <v>45076</v>
      </c>
      <c r="T7420" t="s">
        <v>46433</v>
      </c>
      <c r="U7420" t="s">
        <v>52948</v>
      </c>
      <c r="V7420" t="s">
        <v>59793</v>
      </c>
      <c r="W7420" t="s">
        <v>42863</v>
      </c>
      <c r="X7420" t="s">
        <v>44911</v>
      </c>
    </row>
    <row r="7421" spans="1:24">
      <c r="A7421">
        <f>HYPERLINK("https://www.philgeps.gov.ph/GEPSNONPILOT/Tender/SplashBidNoticeAbstractUI.aspx?menuIndex=3&amp;refID=7073938&amp;Result=3","7073938")</f>
        <v>0</v>
      </c>
      <c r="B7421" t="s">
        <v>1184</v>
      </c>
      <c r="C7421" t="s">
        <v>10593</v>
      </c>
      <c r="D7421" t="s">
        <v>18119</v>
      </c>
      <c r="E7421" t="s">
        <v>24757</v>
      </c>
      <c r="F7421" t="s">
        <v>31362</v>
      </c>
      <c r="G7421" t="s">
        <v>31369</v>
      </c>
      <c r="H7421" t="s">
        <v>31378</v>
      </c>
      <c r="I7421" t="s">
        <v>31386</v>
      </c>
      <c r="J7421" t="s">
        <v>33502</v>
      </c>
      <c r="K7421" t="s">
        <v>40675</v>
      </c>
      <c r="M7421" t="s">
        <v>42555</v>
      </c>
      <c r="N7421" t="s">
        <v>44905</v>
      </c>
      <c r="O7421" t="s">
        <v>44906</v>
      </c>
      <c r="P7421">
        <v>0</v>
      </c>
      <c r="Q7421">
        <v>1</v>
      </c>
      <c r="R7421" t="s">
        <v>44910</v>
      </c>
      <c r="S7421" t="s">
        <v>45076</v>
      </c>
      <c r="T7421" t="s">
        <v>46559</v>
      </c>
      <c r="U7421" t="s">
        <v>52949</v>
      </c>
      <c r="W7421" t="s">
        <v>42555</v>
      </c>
      <c r="X7421" t="s">
        <v>44911</v>
      </c>
    </row>
    <row r="7422" spans="1:24">
      <c r="A7422">
        <f>HYPERLINK("https://www.philgeps.gov.ph/GEPSNONPILOT/Tender/SplashBidNoticeAbstractUI.aspx?menuIndex=3&amp;refID=7073973&amp;Result=3","7073973")</f>
        <v>0</v>
      </c>
      <c r="B7422" t="s">
        <v>67</v>
      </c>
      <c r="C7422" t="s">
        <v>10594</v>
      </c>
      <c r="D7422" t="s">
        <v>18128</v>
      </c>
      <c r="E7422" t="s">
        <v>24758</v>
      </c>
      <c r="F7422" t="s">
        <v>31362</v>
      </c>
      <c r="G7422" t="s">
        <v>31370</v>
      </c>
      <c r="H7422" t="s">
        <v>15799</v>
      </c>
      <c r="I7422" t="s">
        <v>31400</v>
      </c>
      <c r="J7422" t="s">
        <v>31646</v>
      </c>
      <c r="K7422" t="s">
        <v>40666</v>
      </c>
      <c r="M7422" t="s">
        <v>41003</v>
      </c>
      <c r="N7422" t="s">
        <v>44905</v>
      </c>
      <c r="O7422" t="s">
        <v>44906</v>
      </c>
      <c r="P7422">
        <v>0</v>
      </c>
      <c r="Q7422">
        <v>0</v>
      </c>
      <c r="R7422" t="s">
        <v>44910</v>
      </c>
      <c r="S7422" t="s">
        <v>45076</v>
      </c>
      <c r="T7422" t="s">
        <v>46430</v>
      </c>
      <c r="U7422" t="s">
        <v>52950</v>
      </c>
      <c r="V7422" t="s">
        <v>59794</v>
      </c>
      <c r="W7422" t="s">
        <v>41003</v>
      </c>
      <c r="X7422" t="s">
        <v>44911</v>
      </c>
    </row>
    <row r="7423" spans="1:24">
      <c r="A7423">
        <f>HYPERLINK("https://www.philgeps.gov.ph/GEPSNONPILOT/Tender/SplashBidNoticeAbstractUI.aspx?menuIndex=3&amp;refID=7073965&amp;Result=3","7073965")</f>
        <v>0</v>
      </c>
      <c r="B7423" t="s">
        <v>200</v>
      </c>
      <c r="C7423" t="s">
        <v>10595</v>
      </c>
      <c r="D7423" t="s">
        <v>18106</v>
      </c>
      <c r="E7423" t="s">
        <v>24759</v>
      </c>
      <c r="F7423" t="s">
        <v>31362</v>
      </c>
      <c r="G7423" t="s">
        <v>31369</v>
      </c>
      <c r="H7423" t="s">
        <v>15799</v>
      </c>
      <c r="I7423" t="s">
        <v>31404</v>
      </c>
      <c r="J7423" t="s">
        <v>36088</v>
      </c>
      <c r="K7423" t="s">
        <v>40679</v>
      </c>
      <c r="M7423" t="s">
        <v>41139</v>
      </c>
      <c r="N7423" t="s">
        <v>44905</v>
      </c>
      <c r="O7423" t="s">
        <v>44906</v>
      </c>
      <c r="P7423">
        <v>0</v>
      </c>
      <c r="Q7423">
        <v>1</v>
      </c>
      <c r="R7423" t="s">
        <v>44910</v>
      </c>
      <c r="S7423" t="s">
        <v>45076</v>
      </c>
      <c r="T7423" t="s">
        <v>46410</v>
      </c>
      <c r="U7423" t="s">
        <v>52951</v>
      </c>
      <c r="W7423" t="s">
        <v>41139</v>
      </c>
      <c r="X7423" t="s">
        <v>44911</v>
      </c>
    </row>
    <row r="7424" spans="1:24">
      <c r="A7424">
        <f>HYPERLINK("https://www.philgeps.gov.ph/GEPSNONPILOT/Tender/SplashBidNoticeAbstractUI.aspx?menuIndex=3&amp;refID=7073914&amp;Result=3","7073914")</f>
        <v>0</v>
      </c>
      <c r="B7424" t="s">
        <v>831</v>
      </c>
      <c r="C7424" t="s">
        <v>10596</v>
      </c>
      <c r="D7424" t="s">
        <v>18108</v>
      </c>
      <c r="E7424" t="s">
        <v>24760</v>
      </c>
      <c r="F7424" t="s">
        <v>31362</v>
      </c>
      <c r="G7424" t="s">
        <v>31369</v>
      </c>
      <c r="H7424" t="s">
        <v>15799</v>
      </c>
      <c r="I7424" t="s">
        <v>31385</v>
      </c>
      <c r="J7424" t="s">
        <v>36089</v>
      </c>
      <c r="K7424" t="s">
        <v>40666</v>
      </c>
      <c r="M7424" t="s">
        <v>43388</v>
      </c>
      <c r="N7424" t="s">
        <v>44905</v>
      </c>
      <c r="O7424" t="s">
        <v>44906</v>
      </c>
      <c r="P7424">
        <v>0</v>
      </c>
      <c r="Q7424">
        <v>1</v>
      </c>
      <c r="R7424" t="s">
        <v>44910</v>
      </c>
      <c r="S7424" t="s">
        <v>45076</v>
      </c>
      <c r="T7424" t="s">
        <v>46416</v>
      </c>
      <c r="U7424" t="s">
        <v>47749</v>
      </c>
      <c r="W7424" t="s">
        <v>43388</v>
      </c>
      <c r="X7424" t="s">
        <v>44911</v>
      </c>
    </row>
    <row r="7425" spans="1:24">
      <c r="A7425">
        <f>HYPERLINK("https://www.philgeps.gov.ph/GEPSNONPILOT/Tender/SplashBidNoticeAbstractUI.aspx?menuIndex=3&amp;refID=7073948&amp;Result=3","7073948")</f>
        <v>0</v>
      </c>
      <c r="B7425" t="s">
        <v>401</v>
      </c>
      <c r="C7425" t="s">
        <v>10597</v>
      </c>
      <c r="D7425" t="s">
        <v>18132</v>
      </c>
      <c r="E7425" t="s">
        <v>24761</v>
      </c>
      <c r="F7425" t="s">
        <v>31362</v>
      </c>
      <c r="G7425" t="s">
        <v>31369</v>
      </c>
      <c r="H7425" t="s">
        <v>15799</v>
      </c>
      <c r="I7425" t="s">
        <v>3815</v>
      </c>
      <c r="J7425" t="s">
        <v>36090</v>
      </c>
      <c r="K7425" t="s">
        <v>40666</v>
      </c>
      <c r="M7425" t="s">
        <v>41351</v>
      </c>
      <c r="N7425" t="s">
        <v>44905</v>
      </c>
      <c r="O7425" t="s">
        <v>44906</v>
      </c>
      <c r="P7425">
        <v>0</v>
      </c>
      <c r="Q7425">
        <v>0</v>
      </c>
      <c r="R7425" t="s">
        <v>44910</v>
      </c>
      <c r="S7425" t="s">
        <v>45076</v>
      </c>
      <c r="T7425" t="s">
        <v>46438</v>
      </c>
      <c r="U7425" t="s">
        <v>49892</v>
      </c>
      <c r="W7425" t="s">
        <v>41351</v>
      </c>
      <c r="X7425" t="s">
        <v>44911</v>
      </c>
    </row>
    <row r="7426" spans="1:24">
      <c r="A7426">
        <f>HYPERLINK("https://www.philgeps.gov.ph/GEPSNONPILOT/Tender/SplashBidNoticeAbstractUI.aspx?menuIndex=3&amp;refID=7073991&amp;Result=3","7073991")</f>
        <v>0</v>
      </c>
      <c r="B7426" t="s">
        <v>2252</v>
      </c>
      <c r="C7426" t="s">
        <v>10598</v>
      </c>
      <c r="D7426" t="s">
        <v>18171</v>
      </c>
      <c r="E7426" t="s">
        <v>24762</v>
      </c>
      <c r="F7426" t="s">
        <v>31362</v>
      </c>
      <c r="G7426" t="s">
        <v>31369</v>
      </c>
      <c r="H7426" t="s">
        <v>15799</v>
      </c>
      <c r="I7426" t="s">
        <v>3815</v>
      </c>
      <c r="J7426" t="s">
        <v>36091</v>
      </c>
      <c r="K7426" t="s">
        <v>40666</v>
      </c>
      <c r="M7426" t="s">
        <v>43390</v>
      </c>
      <c r="N7426" t="s">
        <v>44905</v>
      </c>
      <c r="O7426" t="s">
        <v>44906</v>
      </c>
      <c r="P7426">
        <v>0</v>
      </c>
      <c r="Q7426">
        <v>0</v>
      </c>
      <c r="R7426" t="s">
        <v>44910</v>
      </c>
      <c r="S7426" t="s">
        <v>45076</v>
      </c>
      <c r="T7426" t="s">
        <v>46410</v>
      </c>
      <c r="U7426" t="s">
        <v>52952</v>
      </c>
      <c r="W7426" t="s">
        <v>43390</v>
      </c>
      <c r="X7426" t="s">
        <v>44911</v>
      </c>
    </row>
    <row r="7427" spans="1:24">
      <c r="A7427">
        <f>HYPERLINK("https://www.philgeps.gov.ph/GEPSNONPILOT/Tender/SplashBidNoticeAbstractUI.aspx?menuIndex=3&amp;refID=7073876&amp;Result=3","7073876")</f>
        <v>0</v>
      </c>
      <c r="B7427" t="s">
        <v>298</v>
      </c>
      <c r="C7427" t="s">
        <v>8816</v>
      </c>
      <c r="D7427" t="s">
        <v>18168</v>
      </c>
      <c r="E7427" t="s">
        <v>24763</v>
      </c>
      <c r="F7427" t="s">
        <v>31362</v>
      </c>
      <c r="G7427" t="s">
        <v>31371</v>
      </c>
      <c r="H7427" t="s">
        <v>15799</v>
      </c>
      <c r="I7427" t="s">
        <v>6373</v>
      </c>
      <c r="J7427" t="s">
        <v>36092</v>
      </c>
      <c r="K7427" t="s">
        <v>40662</v>
      </c>
      <c r="M7427" t="s">
        <v>41241</v>
      </c>
      <c r="N7427" t="s">
        <v>44905</v>
      </c>
      <c r="O7427" t="s">
        <v>44906</v>
      </c>
      <c r="P7427">
        <v>0</v>
      </c>
      <c r="Q7427">
        <v>5</v>
      </c>
      <c r="R7427" t="s">
        <v>44910</v>
      </c>
      <c r="S7427" t="s">
        <v>45076</v>
      </c>
      <c r="T7427" t="s">
        <v>46434</v>
      </c>
      <c r="U7427" t="s">
        <v>52953</v>
      </c>
      <c r="W7427" t="s">
        <v>41241</v>
      </c>
      <c r="X7427" t="s">
        <v>44911</v>
      </c>
    </row>
    <row r="7428" spans="1:24">
      <c r="A7428">
        <f>HYPERLINK("https://www.philgeps.gov.ph/GEPSNONPILOT/Tender/SplashBidNoticeAbstractUI.aspx?menuIndex=3&amp;refID=7073976&amp;Result=3","7073976")</f>
        <v>0</v>
      </c>
      <c r="B7428" t="s">
        <v>926</v>
      </c>
      <c r="C7428" t="s">
        <v>10599</v>
      </c>
      <c r="D7428" t="s">
        <v>18117</v>
      </c>
      <c r="E7428" t="s">
        <v>24764</v>
      </c>
      <c r="F7428" t="s">
        <v>31362</v>
      </c>
      <c r="G7428" t="s">
        <v>31368</v>
      </c>
      <c r="H7428" t="s">
        <v>15799</v>
      </c>
      <c r="I7428" t="s">
        <v>31411</v>
      </c>
      <c r="J7428" t="s">
        <v>36093</v>
      </c>
      <c r="K7428" t="s">
        <v>40662</v>
      </c>
      <c r="M7428" t="s">
        <v>43349</v>
      </c>
      <c r="N7428" t="s">
        <v>44905</v>
      </c>
      <c r="O7428" t="s">
        <v>44906</v>
      </c>
      <c r="P7428">
        <v>0</v>
      </c>
      <c r="Q7428">
        <v>2</v>
      </c>
      <c r="R7428" t="s">
        <v>44910</v>
      </c>
      <c r="S7428" t="s">
        <v>45076</v>
      </c>
      <c r="T7428" t="s">
        <v>46470</v>
      </c>
      <c r="U7428" t="s">
        <v>52847</v>
      </c>
      <c r="W7428" t="s">
        <v>43349</v>
      </c>
      <c r="X7428" t="s">
        <v>44911</v>
      </c>
    </row>
    <row r="7429" spans="1:24">
      <c r="A7429">
        <f>HYPERLINK("https://www.philgeps.gov.ph/GEPSNONPILOT/Tender/SplashBidNoticeAbstractUI.aspx?menuIndex=3&amp;refID=7073990&amp;Result=3","7073990")</f>
        <v>0</v>
      </c>
      <c r="B7429" t="s">
        <v>298</v>
      </c>
      <c r="C7429" t="s">
        <v>3998</v>
      </c>
      <c r="D7429" t="s">
        <v>18168</v>
      </c>
      <c r="E7429" t="s">
        <v>24765</v>
      </c>
      <c r="F7429" t="s">
        <v>31362</v>
      </c>
      <c r="G7429" t="s">
        <v>31368</v>
      </c>
      <c r="H7429" t="s">
        <v>15799</v>
      </c>
      <c r="I7429" t="s">
        <v>31415</v>
      </c>
      <c r="J7429" t="s">
        <v>31578</v>
      </c>
      <c r="K7429" t="s">
        <v>40662</v>
      </c>
      <c r="M7429" t="s">
        <v>41241</v>
      </c>
      <c r="N7429" t="s">
        <v>44905</v>
      </c>
      <c r="O7429" t="s">
        <v>44906</v>
      </c>
      <c r="P7429">
        <v>0</v>
      </c>
      <c r="Q7429">
        <v>0</v>
      </c>
      <c r="R7429" t="s">
        <v>44910</v>
      </c>
      <c r="S7429" t="s">
        <v>45076</v>
      </c>
      <c r="T7429" t="s">
        <v>46434</v>
      </c>
      <c r="U7429" t="s">
        <v>52954</v>
      </c>
      <c r="W7429" t="s">
        <v>41241</v>
      </c>
      <c r="X7429" t="s">
        <v>44911</v>
      </c>
    </row>
    <row r="7430" spans="1:24">
      <c r="A7430">
        <f>HYPERLINK("https://www.philgeps.gov.ph/GEPSNONPILOT/Tender/SplashBidNoticeAbstractUI.aspx?menuIndex=3&amp;refID=7073983&amp;Result=3","7073983")</f>
        <v>0</v>
      </c>
      <c r="B7430" t="s">
        <v>2253</v>
      </c>
      <c r="C7430" t="s">
        <v>10600</v>
      </c>
      <c r="E7430" t="s">
        <v>22937</v>
      </c>
      <c r="F7430" t="s">
        <v>31362</v>
      </c>
      <c r="G7430" t="s">
        <v>31369</v>
      </c>
      <c r="H7430" t="s">
        <v>15799</v>
      </c>
      <c r="I7430" t="s">
        <v>31455</v>
      </c>
      <c r="J7430" t="s">
        <v>36094</v>
      </c>
      <c r="K7430" t="s">
        <v>40662</v>
      </c>
      <c r="M7430" t="s">
        <v>43391</v>
      </c>
      <c r="N7430" t="s">
        <v>44905</v>
      </c>
      <c r="O7430" t="s">
        <v>44906</v>
      </c>
      <c r="P7430">
        <v>0</v>
      </c>
      <c r="Q7430">
        <v>1</v>
      </c>
      <c r="R7430" t="s">
        <v>44910</v>
      </c>
      <c r="S7430" t="s">
        <v>45076</v>
      </c>
      <c r="T7430" t="s">
        <v>46419</v>
      </c>
      <c r="U7430" t="s">
        <v>52955</v>
      </c>
      <c r="W7430" t="s">
        <v>43391</v>
      </c>
      <c r="X7430" t="s">
        <v>44911</v>
      </c>
    </row>
    <row r="7431" spans="1:24">
      <c r="A7431">
        <f>HYPERLINK("https://www.philgeps.gov.ph/GEPSNONPILOT/Tender/SplashBidNoticeAbstractUI.aspx?menuIndex=3&amp;refID=7073962&amp;Result=3","7073962")</f>
        <v>0</v>
      </c>
      <c r="B7431" t="s">
        <v>2254</v>
      </c>
      <c r="C7431" t="s">
        <v>10601</v>
      </c>
      <c r="D7431" t="s">
        <v>18134</v>
      </c>
      <c r="E7431" t="s">
        <v>23363</v>
      </c>
      <c r="F7431" t="s">
        <v>31362</v>
      </c>
      <c r="G7431" t="s">
        <v>31369</v>
      </c>
      <c r="H7431" t="s">
        <v>15799</v>
      </c>
      <c r="I7431" t="s">
        <v>31412</v>
      </c>
      <c r="J7431" t="s">
        <v>34497</v>
      </c>
      <c r="K7431" t="s">
        <v>40686</v>
      </c>
      <c r="M7431" t="s">
        <v>43392</v>
      </c>
      <c r="N7431" t="s">
        <v>44905</v>
      </c>
      <c r="O7431" t="s">
        <v>44906</v>
      </c>
      <c r="Q7431">
        <v>3</v>
      </c>
      <c r="R7431" t="s">
        <v>44910</v>
      </c>
      <c r="S7431" t="s">
        <v>45092</v>
      </c>
      <c r="T7431" t="s">
        <v>46756</v>
      </c>
      <c r="U7431" t="s">
        <v>52956</v>
      </c>
      <c r="V7431" t="s">
        <v>59795</v>
      </c>
      <c r="W7431" t="s">
        <v>60926</v>
      </c>
      <c r="X7431" t="s">
        <v>44911</v>
      </c>
    </row>
    <row r="7432" spans="1:24">
      <c r="A7432">
        <f>HYPERLINK("https://www.philgeps.gov.ph/GEPSNONPILOT/Tender/SplashBidNoticeAbstractUI.aspx?menuIndex=3&amp;refID=7073968&amp;Result=3","7073968")</f>
        <v>0</v>
      </c>
      <c r="B7432" t="s">
        <v>2226</v>
      </c>
      <c r="C7432" t="s">
        <v>10602</v>
      </c>
      <c r="D7432" t="s">
        <v>18115</v>
      </c>
      <c r="E7432" t="s">
        <v>24766</v>
      </c>
      <c r="F7432" t="s">
        <v>31362</v>
      </c>
      <c r="G7432" t="s">
        <v>31369</v>
      </c>
      <c r="H7432" t="s">
        <v>15799</v>
      </c>
      <c r="I7432" t="s">
        <v>31399</v>
      </c>
      <c r="J7432" t="s">
        <v>36095</v>
      </c>
      <c r="K7432" t="s">
        <v>40665</v>
      </c>
      <c r="M7432" t="s">
        <v>43360</v>
      </c>
      <c r="N7432" t="s">
        <v>44905</v>
      </c>
      <c r="O7432" t="s">
        <v>44906</v>
      </c>
      <c r="P7432">
        <v>0</v>
      </c>
      <c r="Q7432">
        <v>2</v>
      </c>
      <c r="R7432" t="s">
        <v>44910</v>
      </c>
      <c r="S7432" t="s">
        <v>45076</v>
      </c>
      <c r="T7432" t="s">
        <v>46507</v>
      </c>
      <c r="U7432" t="s">
        <v>47897</v>
      </c>
      <c r="W7432" t="s">
        <v>43360</v>
      </c>
      <c r="X7432" t="s">
        <v>44911</v>
      </c>
    </row>
    <row r="7433" spans="1:24">
      <c r="A7433">
        <f>HYPERLINK("https://www.philgeps.gov.ph/GEPSNONPILOT/Tender/SplashBidNoticeAbstractUI.aspx?menuIndex=3&amp;refID=7073959&amp;Result=3","7073959")</f>
        <v>0</v>
      </c>
      <c r="B7433" t="s">
        <v>1700</v>
      </c>
      <c r="C7433" t="s">
        <v>10603</v>
      </c>
      <c r="E7433" t="s">
        <v>24767</v>
      </c>
      <c r="F7433" t="s">
        <v>31362</v>
      </c>
      <c r="G7433" t="s">
        <v>31369</v>
      </c>
      <c r="H7433" t="s">
        <v>15799</v>
      </c>
      <c r="I7433" t="s">
        <v>31380</v>
      </c>
      <c r="J7433" t="s">
        <v>36096</v>
      </c>
      <c r="K7433" t="s">
        <v>40665</v>
      </c>
      <c r="M7433" t="s">
        <v>42767</v>
      </c>
      <c r="N7433" t="s">
        <v>44905</v>
      </c>
      <c r="O7433" t="s">
        <v>44906</v>
      </c>
      <c r="P7433">
        <v>0</v>
      </c>
      <c r="Q7433">
        <v>8</v>
      </c>
      <c r="R7433" t="s">
        <v>44910</v>
      </c>
      <c r="S7433" t="s">
        <v>45076</v>
      </c>
      <c r="T7433" t="s">
        <v>46503</v>
      </c>
      <c r="U7433" t="s">
        <v>52957</v>
      </c>
      <c r="V7433" t="s">
        <v>59711</v>
      </c>
      <c r="W7433" t="s">
        <v>42767</v>
      </c>
      <c r="X7433" t="s">
        <v>44911</v>
      </c>
    </row>
    <row r="7434" spans="1:24">
      <c r="A7434">
        <f>HYPERLINK("https://www.philgeps.gov.ph/GEPSNONPILOT/Tender/SplashBidNoticeAbstractUI.aspx?menuIndex=3&amp;refID=7073996&amp;Result=3","7073996")</f>
        <v>0</v>
      </c>
      <c r="B7434" t="s">
        <v>1184</v>
      </c>
      <c r="C7434" t="s">
        <v>10604</v>
      </c>
      <c r="D7434" t="s">
        <v>18119</v>
      </c>
      <c r="E7434" t="s">
        <v>24768</v>
      </c>
      <c r="F7434" t="s">
        <v>31362</v>
      </c>
      <c r="G7434" t="s">
        <v>31369</v>
      </c>
      <c r="H7434" t="s">
        <v>15799</v>
      </c>
      <c r="I7434" t="s">
        <v>31386</v>
      </c>
      <c r="J7434" t="s">
        <v>32965</v>
      </c>
      <c r="K7434" t="s">
        <v>40682</v>
      </c>
      <c r="M7434" t="s">
        <v>42555</v>
      </c>
      <c r="N7434" t="s">
        <v>44905</v>
      </c>
      <c r="O7434" t="s">
        <v>44906</v>
      </c>
      <c r="P7434">
        <v>0</v>
      </c>
      <c r="Q7434">
        <v>0</v>
      </c>
      <c r="R7434" t="s">
        <v>44910</v>
      </c>
      <c r="S7434" t="s">
        <v>45076</v>
      </c>
      <c r="T7434" t="s">
        <v>46559</v>
      </c>
      <c r="U7434" t="s">
        <v>52958</v>
      </c>
      <c r="W7434" t="s">
        <v>42555</v>
      </c>
      <c r="X7434" t="s">
        <v>44911</v>
      </c>
    </row>
    <row r="7435" spans="1:24">
      <c r="A7435">
        <f>HYPERLINK("https://www.philgeps.gov.ph/GEPSNONPILOT/Tender/SplashBidNoticeAbstractUI.aspx?menuIndex=3&amp;refID=7073958&amp;Result=3","7073958")</f>
        <v>0</v>
      </c>
      <c r="B7435" t="s">
        <v>834</v>
      </c>
      <c r="C7435" t="s">
        <v>10605</v>
      </c>
      <c r="D7435" t="s">
        <v>18108</v>
      </c>
      <c r="E7435" t="s">
        <v>24769</v>
      </c>
      <c r="F7435" t="s">
        <v>31362</v>
      </c>
      <c r="G7435" t="s">
        <v>31368</v>
      </c>
      <c r="H7435" t="s">
        <v>15799</v>
      </c>
      <c r="I7435" t="s">
        <v>31396</v>
      </c>
      <c r="J7435" t="s">
        <v>31576</v>
      </c>
      <c r="K7435" t="s">
        <v>40661</v>
      </c>
      <c r="M7435" t="s">
        <v>42118</v>
      </c>
      <c r="N7435" t="s">
        <v>44905</v>
      </c>
      <c r="O7435" t="s">
        <v>44906</v>
      </c>
      <c r="P7435">
        <v>0</v>
      </c>
      <c r="Q7435">
        <v>2</v>
      </c>
      <c r="R7435" t="s">
        <v>44910</v>
      </c>
      <c r="S7435" t="s">
        <v>45076</v>
      </c>
      <c r="T7435" t="s">
        <v>46416</v>
      </c>
      <c r="U7435" t="s">
        <v>52959</v>
      </c>
      <c r="V7435" t="s">
        <v>59376</v>
      </c>
      <c r="W7435" t="s">
        <v>42118</v>
      </c>
      <c r="X7435" t="s">
        <v>44911</v>
      </c>
    </row>
    <row r="7436" spans="1:24">
      <c r="A7436">
        <f>HYPERLINK("https://www.philgeps.gov.ph/GEPSNONPILOT/Tender/SplashBidNoticeAbstractUI.aspx?menuIndex=3&amp;refID=7073957&amp;Result=3","7073957")</f>
        <v>0</v>
      </c>
      <c r="B7436" t="s">
        <v>2255</v>
      </c>
      <c r="C7436" t="s">
        <v>10606</v>
      </c>
      <c r="D7436" t="s">
        <v>18112</v>
      </c>
      <c r="E7436" t="s">
        <v>24770</v>
      </c>
      <c r="F7436" t="s">
        <v>31363</v>
      </c>
      <c r="G7436" t="s">
        <v>31371</v>
      </c>
      <c r="H7436" t="s">
        <v>15799</v>
      </c>
      <c r="I7436" t="s">
        <v>7090</v>
      </c>
      <c r="J7436" t="s">
        <v>36097</v>
      </c>
      <c r="K7436" t="s">
        <v>40662</v>
      </c>
      <c r="M7436" t="s">
        <v>43393</v>
      </c>
      <c r="N7436" t="s">
        <v>44905</v>
      </c>
      <c r="O7436" t="s">
        <v>44906</v>
      </c>
      <c r="P7436">
        <v>0</v>
      </c>
      <c r="Q7436">
        <v>1</v>
      </c>
      <c r="R7436" t="s">
        <v>44910</v>
      </c>
      <c r="S7436" t="s">
        <v>45076</v>
      </c>
      <c r="T7436" t="s">
        <v>46416</v>
      </c>
      <c r="U7436" t="s">
        <v>52960</v>
      </c>
      <c r="W7436" t="s">
        <v>43393</v>
      </c>
      <c r="X7436" t="s">
        <v>44911</v>
      </c>
    </row>
    <row r="7437" spans="1:24">
      <c r="A7437">
        <f>HYPERLINK("https://www.philgeps.gov.ph/GEPSNONPILOT/Tender/SplashBidNoticeAbstractUI.aspx?menuIndex=3&amp;refID=7073998&amp;Result=3","7073998")</f>
        <v>0</v>
      </c>
      <c r="B7437" t="s">
        <v>1413</v>
      </c>
      <c r="C7437" t="s">
        <v>10607</v>
      </c>
      <c r="D7437" t="s">
        <v>18169</v>
      </c>
      <c r="E7437" t="s">
        <v>24771</v>
      </c>
      <c r="F7437" t="s">
        <v>31362</v>
      </c>
      <c r="G7437" t="s">
        <v>31369</v>
      </c>
      <c r="H7437" t="s">
        <v>15799</v>
      </c>
      <c r="I7437" t="s">
        <v>31393</v>
      </c>
      <c r="J7437" t="s">
        <v>36098</v>
      </c>
      <c r="K7437" t="s">
        <v>40665</v>
      </c>
      <c r="M7437" t="s">
        <v>42438</v>
      </c>
      <c r="N7437" t="s">
        <v>44905</v>
      </c>
      <c r="O7437" t="s">
        <v>44906</v>
      </c>
      <c r="P7437">
        <v>0</v>
      </c>
      <c r="Q7437">
        <v>3</v>
      </c>
      <c r="R7437" t="s">
        <v>44910</v>
      </c>
      <c r="S7437" t="s">
        <v>45076</v>
      </c>
      <c r="T7437" t="s">
        <v>46438</v>
      </c>
      <c r="U7437" t="s">
        <v>52961</v>
      </c>
      <c r="W7437" t="s">
        <v>42438</v>
      </c>
      <c r="X7437" t="s">
        <v>44911</v>
      </c>
    </row>
    <row r="7438" spans="1:24">
      <c r="A7438">
        <f>HYPERLINK("https://www.philgeps.gov.ph/GEPSNONPILOT/Tender/SplashBidNoticeAbstractUI.aspx?menuIndex=3&amp;refID=7073979&amp;Result=3","7073979")</f>
        <v>0</v>
      </c>
      <c r="B7438" t="s">
        <v>1655</v>
      </c>
      <c r="C7438" t="s">
        <v>10608</v>
      </c>
      <c r="D7438" t="s">
        <v>18136</v>
      </c>
      <c r="E7438" t="s">
        <v>24772</v>
      </c>
      <c r="F7438" t="s">
        <v>31362</v>
      </c>
      <c r="G7438" t="s">
        <v>31368</v>
      </c>
      <c r="H7438" t="s">
        <v>15799</v>
      </c>
      <c r="I7438" t="s">
        <v>31380</v>
      </c>
      <c r="J7438" t="s">
        <v>36099</v>
      </c>
      <c r="K7438" t="s">
        <v>40661</v>
      </c>
      <c r="M7438" t="s">
        <v>43362</v>
      </c>
      <c r="N7438" t="s">
        <v>44905</v>
      </c>
      <c r="O7438" t="s">
        <v>44906</v>
      </c>
      <c r="P7438">
        <v>0</v>
      </c>
      <c r="Q7438">
        <v>2</v>
      </c>
      <c r="R7438" t="s">
        <v>44910</v>
      </c>
      <c r="S7438" t="s">
        <v>45076</v>
      </c>
      <c r="T7438" t="s">
        <v>46425</v>
      </c>
      <c r="U7438" t="s">
        <v>52962</v>
      </c>
      <c r="W7438" t="s">
        <v>43362</v>
      </c>
      <c r="X7438" t="s">
        <v>44911</v>
      </c>
    </row>
    <row r="7439" spans="1:24">
      <c r="A7439">
        <f>HYPERLINK("https://www.philgeps.gov.ph/GEPSNONPILOT/Tender/SplashBidNoticeAbstractUI.aspx?menuIndex=3&amp;refID=7074021&amp;Result=3","7074021")</f>
        <v>0</v>
      </c>
      <c r="B7439" t="s">
        <v>199</v>
      </c>
      <c r="C7439" t="s">
        <v>10609</v>
      </c>
      <c r="D7439" t="s">
        <v>18139</v>
      </c>
      <c r="E7439" t="s">
        <v>24773</v>
      </c>
      <c r="F7439" t="s">
        <v>31362</v>
      </c>
      <c r="G7439" t="s">
        <v>31368</v>
      </c>
      <c r="H7439" t="s">
        <v>15799</v>
      </c>
      <c r="I7439" t="s">
        <v>31430</v>
      </c>
      <c r="J7439" t="s">
        <v>33091</v>
      </c>
      <c r="K7439" t="s">
        <v>40665</v>
      </c>
      <c r="M7439" t="s">
        <v>41138</v>
      </c>
      <c r="N7439" t="s">
        <v>44905</v>
      </c>
      <c r="O7439" t="s">
        <v>44906</v>
      </c>
      <c r="P7439">
        <v>0</v>
      </c>
      <c r="Q7439">
        <v>0</v>
      </c>
      <c r="R7439" t="s">
        <v>44910</v>
      </c>
      <c r="S7439" t="s">
        <v>45076</v>
      </c>
      <c r="T7439" t="s">
        <v>46443</v>
      </c>
      <c r="U7439" t="s">
        <v>52963</v>
      </c>
      <c r="W7439" t="s">
        <v>41138</v>
      </c>
      <c r="X7439" t="s">
        <v>44911</v>
      </c>
    </row>
    <row r="7440" spans="1:24">
      <c r="A7440">
        <f>HYPERLINK("https://www.philgeps.gov.ph/GEPSNONPILOT/Tender/SplashBidNoticeAbstractUI.aspx?menuIndex=3&amp;refID=7073889&amp;Result=3","7073889")</f>
        <v>0</v>
      </c>
      <c r="B7440" t="s">
        <v>546</v>
      </c>
      <c r="C7440" t="s">
        <v>10610</v>
      </c>
      <c r="D7440" t="s">
        <v>18133</v>
      </c>
      <c r="E7440" t="s">
        <v>24774</v>
      </c>
      <c r="F7440" t="s">
        <v>31362</v>
      </c>
      <c r="G7440" t="s">
        <v>31368</v>
      </c>
      <c r="H7440" t="s">
        <v>15799</v>
      </c>
      <c r="I7440" t="s">
        <v>31380</v>
      </c>
      <c r="J7440" t="s">
        <v>33880</v>
      </c>
      <c r="K7440" t="s">
        <v>40662</v>
      </c>
      <c r="L7440" t="s">
        <v>546</v>
      </c>
      <c r="M7440" t="s">
        <v>41502</v>
      </c>
      <c r="N7440" t="s">
        <v>44905</v>
      </c>
      <c r="O7440" t="s">
        <v>44906</v>
      </c>
      <c r="P7440">
        <v>0</v>
      </c>
      <c r="Q7440">
        <v>15</v>
      </c>
      <c r="R7440" t="s">
        <v>44910</v>
      </c>
      <c r="S7440" t="s">
        <v>45076</v>
      </c>
      <c r="T7440" t="s">
        <v>46432</v>
      </c>
      <c r="U7440" t="s">
        <v>47974</v>
      </c>
      <c r="W7440" t="s">
        <v>41502</v>
      </c>
      <c r="X7440" t="s">
        <v>44911</v>
      </c>
    </row>
    <row r="7441" spans="1:24">
      <c r="A7441">
        <f>HYPERLINK("https://www.philgeps.gov.ph/GEPSNONPILOT/Tender/SplashBidNoticeAbstractUI.aspx?menuIndex=3&amp;refID=7074015&amp;Result=3","7074015")</f>
        <v>0</v>
      </c>
      <c r="B7441" t="s">
        <v>2024</v>
      </c>
      <c r="C7441" t="s">
        <v>10611</v>
      </c>
      <c r="D7441" t="s">
        <v>18108</v>
      </c>
      <c r="E7441" t="s">
        <v>10611</v>
      </c>
      <c r="F7441" t="s">
        <v>31362</v>
      </c>
      <c r="G7441" t="s">
        <v>31370</v>
      </c>
      <c r="H7441" t="s">
        <v>15799</v>
      </c>
      <c r="I7441" t="s">
        <v>31385</v>
      </c>
      <c r="J7441" t="s">
        <v>36100</v>
      </c>
      <c r="K7441" t="s">
        <v>40682</v>
      </c>
      <c r="M7441" t="s">
        <v>43394</v>
      </c>
      <c r="N7441" t="s">
        <v>44905</v>
      </c>
      <c r="O7441" t="s">
        <v>44906</v>
      </c>
      <c r="P7441">
        <v>0</v>
      </c>
      <c r="Q7441">
        <v>16</v>
      </c>
      <c r="R7441" t="s">
        <v>44910</v>
      </c>
      <c r="S7441" t="s">
        <v>45076</v>
      </c>
      <c r="T7441" t="s">
        <v>46434</v>
      </c>
      <c r="U7441" t="s">
        <v>52964</v>
      </c>
      <c r="W7441" t="s">
        <v>60927</v>
      </c>
      <c r="X7441" t="s">
        <v>44911</v>
      </c>
    </row>
    <row r="7442" spans="1:24">
      <c r="A7442">
        <f>HYPERLINK("https://www.philgeps.gov.ph/GEPSNONPILOT/Tender/SplashBidNoticeAbstractUI.aspx?menuIndex=3&amp;refID=7074010&amp;Result=3","7074010")</f>
        <v>0</v>
      </c>
      <c r="B7442" t="s">
        <v>2256</v>
      </c>
      <c r="C7442" t="s">
        <v>10612</v>
      </c>
      <c r="D7442" t="s">
        <v>18101</v>
      </c>
      <c r="E7442" t="s">
        <v>24775</v>
      </c>
      <c r="F7442" t="s">
        <v>31363</v>
      </c>
      <c r="G7442" t="s">
        <v>31370</v>
      </c>
      <c r="H7442" t="s">
        <v>15799</v>
      </c>
      <c r="I7442" t="s">
        <v>31387</v>
      </c>
      <c r="J7442" t="s">
        <v>36101</v>
      </c>
      <c r="K7442" t="s">
        <v>40670</v>
      </c>
      <c r="L7442" t="s">
        <v>2256</v>
      </c>
      <c r="M7442" t="s">
        <v>43395</v>
      </c>
      <c r="N7442" t="s">
        <v>44905</v>
      </c>
      <c r="O7442" t="s">
        <v>44906</v>
      </c>
      <c r="P7442">
        <v>0</v>
      </c>
      <c r="Q7442">
        <v>0</v>
      </c>
      <c r="R7442" t="s">
        <v>44910</v>
      </c>
      <c r="S7442" t="s">
        <v>45076</v>
      </c>
      <c r="T7442" t="s">
        <v>46396</v>
      </c>
      <c r="U7442" t="s">
        <v>52965</v>
      </c>
      <c r="W7442" t="s">
        <v>43395</v>
      </c>
      <c r="X7442" t="s">
        <v>44911</v>
      </c>
    </row>
    <row r="7443" spans="1:24">
      <c r="A7443">
        <f>HYPERLINK("https://www.philgeps.gov.ph/GEPSNONPILOT/Tender/SplashBidNoticeAbstractUI.aspx?menuIndex=3&amp;refID=7074007&amp;Result=3","7074007")</f>
        <v>0</v>
      </c>
      <c r="B7443" t="s">
        <v>2181</v>
      </c>
      <c r="C7443" t="s">
        <v>10613</v>
      </c>
      <c r="D7443" t="s">
        <v>18156</v>
      </c>
      <c r="E7443" t="s">
        <v>24776</v>
      </c>
      <c r="F7443" t="s">
        <v>31362</v>
      </c>
      <c r="G7443" t="s">
        <v>31369</v>
      </c>
      <c r="H7443" t="s">
        <v>31378</v>
      </c>
      <c r="I7443" t="s">
        <v>31386</v>
      </c>
      <c r="J7443" t="s">
        <v>32964</v>
      </c>
      <c r="K7443" t="s">
        <v>40686</v>
      </c>
      <c r="M7443" t="s">
        <v>43312</v>
      </c>
      <c r="N7443" t="s">
        <v>44905</v>
      </c>
      <c r="O7443" t="s">
        <v>44906</v>
      </c>
      <c r="P7443">
        <v>0</v>
      </c>
      <c r="Q7443">
        <v>0</v>
      </c>
      <c r="R7443" t="s">
        <v>44910</v>
      </c>
      <c r="S7443" t="s">
        <v>45076</v>
      </c>
      <c r="T7443" t="s">
        <v>46479</v>
      </c>
      <c r="U7443" t="s">
        <v>52767</v>
      </c>
      <c r="W7443" t="s">
        <v>43312</v>
      </c>
      <c r="X7443" t="s">
        <v>44911</v>
      </c>
    </row>
    <row r="7444" spans="1:24">
      <c r="A7444">
        <f>HYPERLINK("https://www.philgeps.gov.ph/GEPSNONPILOT/Tender/SplashBidNoticeAbstractUI.aspx?menuIndex=3&amp;refID=7074004&amp;Result=3","7074004")</f>
        <v>0</v>
      </c>
      <c r="B7444" t="s">
        <v>2257</v>
      </c>
      <c r="C7444" t="s">
        <v>10614</v>
      </c>
      <c r="D7444" t="s">
        <v>18174</v>
      </c>
      <c r="E7444" t="s">
        <v>24777</v>
      </c>
      <c r="F7444" t="s">
        <v>31362</v>
      </c>
      <c r="G7444" t="s">
        <v>31368</v>
      </c>
      <c r="H7444" t="s">
        <v>15799</v>
      </c>
      <c r="I7444" t="s">
        <v>31415</v>
      </c>
      <c r="J7444" t="s">
        <v>36102</v>
      </c>
      <c r="K7444" t="s">
        <v>40670</v>
      </c>
      <c r="M7444" t="s">
        <v>43396</v>
      </c>
      <c r="N7444" t="s">
        <v>44905</v>
      </c>
      <c r="O7444" t="s">
        <v>44906</v>
      </c>
      <c r="P7444">
        <v>0</v>
      </c>
      <c r="Q7444">
        <v>0</v>
      </c>
      <c r="R7444" t="s">
        <v>44910</v>
      </c>
      <c r="S7444" t="s">
        <v>45076</v>
      </c>
      <c r="T7444" t="s">
        <v>46416</v>
      </c>
      <c r="U7444" t="s">
        <v>52966</v>
      </c>
      <c r="W7444" t="s">
        <v>43396</v>
      </c>
      <c r="X7444" t="s">
        <v>44911</v>
      </c>
    </row>
    <row r="7445" spans="1:24">
      <c r="A7445">
        <f>HYPERLINK("https://www.philgeps.gov.ph/GEPSNONPILOT/Tender/SplashBidNoticeAbstractUI.aspx?menuIndex=3&amp;refID=7074035&amp;Result=3","7074035")</f>
        <v>0</v>
      </c>
      <c r="B7445" t="s">
        <v>127</v>
      </c>
      <c r="C7445" t="s">
        <v>10615</v>
      </c>
      <c r="D7445" t="s">
        <v>18116</v>
      </c>
      <c r="E7445" t="s">
        <v>18440</v>
      </c>
      <c r="F7445" t="s">
        <v>31362</v>
      </c>
      <c r="G7445" t="s">
        <v>31369</v>
      </c>
      <c r="H7445" t="s">
        <v>31378</v>
      </c>
      <c r="I7445" t="s">
        <v>31386</v>
      </c>
      <c r="J7445" t="s">
        <v>33305</v>
      </c>
      <c r="K7445" t="s">
        <v>40675</v>
      </c>
      <c r="M7445" t="s">
        <v>41064</v>
      </c>
      <c r="N7445" t="s">
        <v>44905</v>
      </c>
      <c r="O7445" t="s">
        <v>44906</v>
      </c>
      <c r="P7445">
        <v>0</v>
      </c>
      <c r="Q7445">
        <v>0</v>
      </c>
      <c r="R7445" t="s">
        <v>44910</v>
      </c>
      <c r="S7445" t="s">
        <v>45076</v>
      </c>
      <c r="T7445" t="s">
        <v>46497</v>
      </c>
      <c r="U7445" t="s">
        <v>52967</v>
      </c>
      <c r="W7445" t="s">
        <v>41064</v>
      </c>
      <c r="X7445" t="s">
        <v>44911</v>
      </c>
    </row>
    <row r="7446" spans="1:24">
      <c r="A7446">
        <f>HYPERLINK("https://www.philgeps.gov.ph/GEPSNONPILOT/Tender/SplashBidNoticeAbstractUI.aspx?menuIndex=3&amp;refID=7073950&amp;Result=3","7073950")</f>
        <v>0</v>
      </c>
      <c r="B7446" t="s">
        <v>2258</v>
      </c>
      <c r="C7446" t="s">
        <v>10616</v>
      </c>
      <c r="D7446" t="s">
        <v>18108</v>
      </c>
      <c r="E7446" t="s">
        <v>24778</v>
      </c>
      <c r="F7446" t="s">
        <v>31362</v>
      </c>
      <c r="G7446" t="s">
        <v>31370</v>
      </c>
      <c r="H7446" t="s">
        <v>15799</v>
      </c>
      <c r="I7446" t="s">
        <v>31387</v>
      </c>
      <c r="J7446" t="s">
        <v>32777</v>
      </c>
      <c r="K7446" t="s">
        <v>40672</v>
      </c>
      <c r="M7446" t="s">
        <v>43397</v>
      </c>
      <c r="N7446" t="s">
        <v>44905</v>
      </c>
      <c r="O7446" t="s">
        <v>44906</v>
      </c>
      <c r="P7446">
        <v>0</v>
      </c>
      <c r="Q7446">
        <v>1</v>
      </c>
      <c r="R7446" t="s">
        <v>44910</v>
      </c>
      <c r="S7446" t="s">
        <v>45076</v>
      </c>
      <c r="T7446" t="s">
        <v>46409</v>
      </c>
      <c r="U7446" t="s">
        <v>52968</v>
      </c>
      <c r="W7446" t="s">
        <v>43397</v>
      </c>
      <c r="X7446" t="s">
        <v>44911</v>
      </c>
    </row>
    <row r="7447" spans="1:24">
      <c r="A7447">
        <f>HYPERLINK("https://www.philgeps.gov.ph/GEPSNONPILOT/Tender/SplashBidNoticeAbstractUI.aspx?menuIndex=3&amp;refID=7074019&amp;Result=3","7074019")</f>
        <v>0</v>
      </c>
      <c r="B7447" t="s">
        <v>309</v>
      </c>
      <c r="C7447" t="s">
        <v>10617</v>
      </c>
      <c r="D7447" t="s">
        <v>18106</v>
      </c>
      <c r="E7447" t="s">
        <v>18748</v>
      </c>
      <c r="F7447" t="s">
        <v>31362</v>
      </c>
      <c r="G7447" t="s">
        <v>31369</v>
      </c>
      <c r="H7447" t="s">
        <v>31378</v>
      </c>
      <c r="I7447" t="s">
        <v>31386</v>
      </c>
      <c r="J7447" t="s">
        <v>31591</v>
      </c>
      <c r="K7447" t="s">
        <v>40665</v>
      </c>
      <c r="M7447" t="s">
        <v>41253</v>
      </c>
      <c r="N7447" t="s">
        <v>44905</v>
      </c>
      <c r="O7447" t="s">
        <v>44906</v>
      </c>
      <c r="P7447">
        <v>0</v>
      </c>
      <c r="Q7447">
        <v>0</v>
      </c>
      <c r="R7447" t="s">
        <v>44910</v>
      </c>
      <c r="S7447" t="s">
        <v>45076</v>
      </c>
      <c r="T7447" t="s">
        <v>46467</v>
      </c>
      <c r="U7447" t="s">
        <v>52969</v>
      </c>
      <c r="W7447" t="s">
        <v>41253</v>
      </c>
      <c r="X7447" t="s">
        <v>44911</v>
      </c>
    </row>
    <row r="7448" spans="1:24">
      <c r="A7448">
        <f>HYPERLINK("https://www.philgeps.gov.ph/GEPSNONPILOT/Tender/SplashBidNoticeAbstractUI.aspx?menuIndex=3&amp;refID=7074014&amp;Result=3","7074014")</f>
        <v>0</v>
      </c>
      <c r="B7448" t="s">
        <v>2259</v>
      </c>
      <c r="C7448" t="s">
        <v>10618</v>
      </c>
      <c r="D7448" t="s">
        <v>18103</v>
      </c>
      <c r="E7448" t="s">
        <v>19313</v>
      </c>
      <c r="F7448" t="s">
        <v>31362</v>
      </c>
      <c r="G7448" t="s">
        <v>31369</v>
      </c>
      <c r="H7448" t="s">
        <v>15799</v>
      </c>
      <c r="I7448" t="s">
        <v>31409</v>
      </c>
      <c r="J7448" t="s">
        <v>32891</v>
      </c>
      <c r="K7448" t="s">
        <v>40665</v>
      </c>
      <c r="M7448" t="s">
        <v>43398</v>
      </c>
      <c r="N7448" t="s">
        <v>44905</v>
      </c>
      <c r="O7448" t="s">
        <v>44906</v>
      </c>
      <c r="P7448">
        <v>0</v>
      </c>
      <c r="Q7448">
        <v>2</v>
      </c>
      <c r="R7448" t="s">
        <v>44910</v>
      </c>
      <c r="S7448" t="s">
        <v>45076</v>
      </c>
      <c r="T7448" t="s">
        <v>46447</v>
      </c>
      <c r="U7448" t="s">
        <v>50030</v>
      </c>
      <c r="V7448" t="s">
        <v>59791</v>
      </c>
      <c r="W7448" t="s">
        <v>43398</v>
      </c>
      <c r="X7448" t="s">
        <v>44911</v>
      </c>
    </row>
    <row r="7449" spans="1:24">
      <c r="A7449">
        <f>HYPERLINK("https://www.philgeps.gov.ph/GEPSNONPILOT/Tender/SplashBidNoticeAbstractUI.aspx?menuIndex=3&amp;refID=7074031&amp;Result=3","7074031")</f>
        <v>0</v>
      </c>
      <c r="B7449" t="s">
        <v>831</v>
      </c>
      <c r="C7449" t="s">
        <v>10619</v>
      </c>
      <c r="D7449" t="s">
        <v>18108</v>
      </c>
      <c r="E7449" t="s">
        <v>24779</v>
      </c>
      <c r="F7449" t="s">
        <v>31362</v>
      </c>
      <c r="G7449" t="s">
        <v>31369</v>
      </c>
      <c r="H7449" t="s">
        <v>15799</v>
      </c>
      <c r="I7449" t="s">
        <v>31385</v>
      </c>
      <c r="J7449" t="s">
        <v>36103</v>
      </c>
      <c r="K7449" t="s">
        <v>40666</v>
      </c>
      <c r="M7449" t="s">
        <v>43388</v>
      </c>
      <c r="N7449" t="s">
        <v>44905</v>
      </c>
      <c r="O7449" t="s">
        <v>44906</v>
      </c>
      <c r="P7449">
        <v>0</v>
      </c>
      <c r="Q7449">
        <v>1</v>
      </c>
      <c r="R7449" t="s">
        <v>44910</v>
      </c>
      <c r="S7449" t="s">
        <v>45076</v>
      </c>
      <c r="T7449" t="s">
        <v>46393</v>
      </c>
      <c r="U7449" t="s">
        <v>47749</v>
      </c>
      <c r="W7449" t="s">
        <v>43388</v>
      </c>
      <c r="X7449" t="s">
        <v>44911</v>
      </c>
    </row>
    <row r="7450" spans="1:24">
      <c r="A7450">
        <f>HYPERLINK("https://www.philgeps.gov.ph/GEPSNONPILOT/Tender/SplashBidNoticeAbstractUI.aspx?menuIndex=3&amp;refID=7073984&amp;Result=3","7073984")</f>
        <v>0</v>
      </c>
      <c r="B7450" t="s">
        <v>1326</v>
      </c>
      <c r="C7450" t="s">
        <v>10620</v>
      </c>
      <c r="D7450" t="s">
        <v>18185</v>
      </c>
      <c r="E7450" t="s">
        <v>24780</v>
      </c>
      <c r="F7450" t="s">
        <v>31362</v>
      </c>
      <c r="G7450" t="s">
        <v>31369</v>
      </c>
      <c r="H7450" t="s">
        <v>31378</v>
      </c>
      <c r="I7450" t="s">
        <v>31386</v>
      </c>
      <c r="J7450" t="s">
        <v>36104</v>
      </c>
      <c r="K7450" t="s">
        <v>40746</v>
      </c>
      <c r="M7450" t="s">
        <v>42344</v>
      </c>
      <c r="N7450" t="s">
        <v>44905</v>
      </c>
      <c r="O7450" t="s">
        <v>44906</v>
      </c>
      <c r="P7450">
        <v>0</v>
      </c>
      <c r="Q7450">
        <v>0</v>
      </c>
      <c r="R7450" t="s">
        <v>44910</v>
      </c>
      <c r="S7450" t="s">
        <v>45076</v>
      </c>
      <c r="T7450" t="s">
        <v>46416</v>
      </c>
      <c r="U7450" t="s">
        <v>52970</v>
      </c>
      <c r="V7450" t="s">
        <v>59796</v>
      </c>
      <c r="W7450" t="s">
        <v>42344</v>
      </c>
      <c r="X7450" t="s">
        <v>44911</v>
      </c>
    </row>
    <row r="7451" spans="1:24">
      <c r="A7451">
        <f>HYPERLINK("https://www.philgeps.gov.ph/GEPSNONPILOT/Tender/SplashBidNoticeAbstractUI.aspx?menuIndex=3&amp;refID=7074030&amp;Result=3","7074030")</f>
        <v>0</v>
      </c>
      <c r="B7451" t="s">
        <v>2148</v>
      </c>
      <c r="C7451" t="s">
        <v>10621</v>
      </c>
      <c r="D7451" t="s">
        <v>18160</v>
      </c>
      <c r="E7451" t="s">
        <v>24781</v>
      </c>
      <c r="F7451" t="s">
        <v>31362</v>
      </c>
      <c r="G7451" t="s">
        <v>31368</v>
      </c>
      <c r="H7451" t="s">
        <v>15799</v>
      </c>
      <c r="I7451" t="s">
        <v>6240</v>
      </c>
      <c r="J7451" t="s">
        <v>36105</v>
      </c>
      <c r="K7451" t="s">
        <v>40672</v>
      </c>
      <c r="M7451" t="s">
        <v>43277</v>
      </c>
      <c r="N7451" t="s">
        <v>44905</v>
      </c>
      <c r="O7451" t="s">
        <v>44906</v>
      </c>
      <c r="P7451">
        <v>0</v>
      </c>
      <c r="Q7451">
        <v>1</v>
      </c>
      <c r="R7451" t="s">
        <v>44910</v>
      </c>
      <c r="S7451" t="s">
        <v>45076</v>
      </c>
      <c r="T7451" t="s">
        <v>46446</v>
      </c>
      <c r="U7451" t="s">
        <v>52971</v>
      </c>
      <c r="W7451" t="s">
        <v>43277</v>
      </c>
      <c r="X7451" t="s">
        <v>44911</v>
      </c>
    </row>
    <row r="7452" spans="1:24">
      <c r="A7452">
        <f>HYPERLINK("https://www.philgeps.gov.ph/GEPSNONPILOT/Tender/SplashBidNoticeAbstractUI.aspx?menuIndex=3&amp;refID=7074029&amp;Result=3","7074029")</f>
        <v>0</v>
      </c>
      <c r="B7452" t="s">
        <v>1269</v>
      </c>
      <c r="C7452" t="s">
        <v>10622</v>
      </c>
      <c r="D7452" t="s">
        <v>18113</v>
      </c>
      <c r="E7452" t="s">
        <v>24782</v>
      </c>
      <c r="F7452" t="s">
        <v>31362</v>
      </c>
      <c r="G7452" t="s">
        <v>31370</v>
      </c>
      <c r="H7452" t="s">
        <v>15799</v>
      </c>
      <c r="I7452" t="s">
        <v>31385</v>
      </c>
      <c r="J7452" t="s">
        <v>36106</v>
      </c>
      <c r="K7452" t="s">
        <v>40677</v>
      </c>
      <c r="M7452" t="s">
        <v>42286</v>
      </c>
      <c r="N7452" t="s">
        <v>44905</v>
      </c>
      <c r="O7452" t="s">
        <v>44906</v>
      </c>
      <c r="P7452">
        <v>0</v>
      </c>
      <c r="Q7452">
        <v>0</v>
      </c>
      <c r="R7452" t="s">
        <v>44910</v>
      </c>
      <c r="S7452" t="s">
        <v>45076</v>
      </c>
      <c r="T7452" t="s">
        <v>46447</v>
      </c>
      <c r="U7452" t="s">
        <v>52972</v>
      </c>
      <c r="W7452" t="s">
        <v>42286</v>
      </c>
      <c r="X7452" t="s">
        <v>44911</v>
      </c>
    </row>
    <row r="7453" spans="1:24">
      <c r="A7453">
        <f>HYPERLINK("https://www.philgeps.gov.ph/GEPSNONPILOT/Tender/SplashBidNoticeAbstractUI.aspx?menuIndex=3&amp;refID=7074025&amp;Result=3","7074025")</f>
        <v>0</v>
      </c>
      <c r="B7453" t="s">
        <v>2129</v>
      </c>
      <c r="C7453" t="s">
        <v>10623</v>
      </c>
      <c r="D7453" t="s">
        <v>18170</v>
      </c>
      <c r="E7453" t="s">
        <v>24783</v>
      </c>
      <c r="F7453" t="s">
        <v>31362</v>
      </c>
      <c r="G7453" t="s">
        <v>31369</v>
      </c>
      <c r="H7453" t="s">
        <v>15799</v>
      </c>
      <c r="I7453" t="s">
        <v>31430</v>
      </c>
      <c r="J7453" t="s">
        <v>36107</v>
      </c>
      <c r="K7453" t="s">
        <v>40665</v>
      </c>
      <c r="M7453" t="s">
        <v>43257</v>
      </c>
      <c r="N7453" t="s">
        <v>44905</v>
      </c>
      <c r="O7453" t="s">
        <v>44906</v>
      </c>
      <c r="P7453">
        <v>0</v>
      </c>
      <c r="Q7453">
        <v>2</v>
      </c>
      <c r="R7453" t="s">
        <v>44910</v>
      </c>
      <c r="S7453" t="s">
        <v>45076</v>
      </c>
      <c r="T7453" t="s">
        <v>46433</v>
      </c>
      <c r="U7453" t="s">
        <v>52973</v>
      </c>
      <c r="W7453" t="s">
        <v>43257</v>
      </c>
      <c r="X7453" t="s">
        <v>44911</v>
      </c>
    </row>
    <row r="7454" spans="1:24">
      <c r="A7454">
        <f>HYPERLINK("https://www.philgeps.gov.ph/GEPSNONPILOT/Tender/SplashBidNoticeAbstractUI.aspx?menuIndex=3&amp;refID=7074003&amp;Result=3","7074003")</f>
        <v>0</v>
      </c>
      <c r="B7454" t="s">
        <v>1158</v>
      </c>
      <c r="C7454" t="s">
        <v>10624</v>
      </c>
      <c r="D7454" t="s">
        <v>18109</v>
      </c>
      <c r="E7454" t="s">
        <v>24784</v>
      </c>
      <c r="F7454" t="s">
        <v>31362</v>
      </c>
      <c r="G7454" t="s">
        <v>31368</v>
      </c>
      <c r="H7454" t="s">
        <v>15799</v>
      </c>
      <c r="I7454" t="s">
        <v>6373</v>
      </c>
      <c r="J7454" t="s">
        <v>32278</v>
      </c>
      <c r="K7454" t="s">
        <v>40662</v>
      </c>
      <c r="M7454" t="s">
        <v>42167</v>
      </c>
      <c r="N7454" t="s">
        <v>44905</v>
      </c>
      <c r="O7454" t="s">
        <v>44906</v>
      </c>
      <c r="P7454">
        <v>0</v>
      </c>
      <c r="Q7454">
        <v>9</v>
      </c>
      <c r="R7454" t="s">
        <v>44910</v>
      </c>
      <c r="S7454" t="s">
        <v>45076</v>
      </c>
      <c r="T7454" t="s">
        <v>46447</v>
      </c>
      <c r="U7454" t="s">
        <v>52974</v>
      </c>
      <c r="W7454" t="s">
        <v>42167</v>
      </c>
      <c r="X7454" t="s">
        <v>44911</v>
      </c>
    </row>
    <row r="7455" spans="1:24">
      <c r="A7455">
        <f>HYPERLINK("https://www.philgeps.gov.ph/GEPSNONPILOT/Tender/SplashBidNoticeAbstractUI.aspx?menuIndex=3&amp;refID=7074002&amp;Result=3","7074002")</f>
        <v>0</v>
      </c>
      <c r="B7455" t="s">
        <v>2237</v>
      </c>
      <c r="C7455" t="s">
        <v>10625</v>
      </c>
      <c r="D7455" t="s">
        <v>18104</v>
      </c>
      <c r="E7455" t="s">
        <v>22937</v>
      </c>
      <c r="F7455" t="s">
        <v>31362</v>
      </c>
      <c r="G7455" t="s">
        <v>31369</v>
      </c>
      <c r="H7455" t="s">
        <v>15799</v>
      </c>
      <c r="I7455" t="s">
        <v>3815</v>
      </c>
      <c r="J7455" t="s">
        <v>36108</v>
      </c>
      <c r="K7455" t="s">
        <v>40661</v>
      </c>
      <c r="M7455" t="s">
        <v>43374</v>
      </c>
      <c r="N7455" t="s">
        <v>44905</v>
      </c>
      <c r="O7455" t="s">
        <v>44906</v>
      </c>
      <c r="P7455">
        <v>0</v>
      </c>
      <c r="Q7455">
        <v>0</v>
      </c>
      <c r="R7455" t="s">
        <v>44910</v>
      </c>
      <c r="S7455" t="s">
        <v>45076</v>
      </c>
      <c r="T7455" t="s">
        <v>46426</v>
      </c>
      <c r="U7455" t="s">
        <v>52975</v>
      </c>
      <c r="W7455" t="s">
        <v>43374</v>
      </c>
      <c r="X7455" t="s">
        <v>44911</v>
      </c>
    </row>
    <row r="7456" spans="1:24">
      <c r="A7456">
        <f>HYPERLINK("https://www.philgeps.gov.ph/GEPSNONPILOT/Tender/SplashBidNoticeAbstractUI.aspx?menuIndex=3&amp;refID=7073955&amp;Result=3","7073955")</f>
        <v>0</v>
      </c>
      <c r="B7456" t="s">
        <v>1783</v>
      </c>
      <c r="C7456" t="s">
        <v>10626</v>
      </c>
      <c r="D7456" t="s">
        <v>18158</v>
      </c>
      <c r="E7456" t="s">
        <v>24785</v>
      </c>
      <c r="F7456" t="s">
        <v>31362</v>
      </c>
      <c r="G7456" t="s">
        <v>31369</v>
      </c>
      <c r="H7456" t="s">
        <v>31378</v>
      </c>
      <c r="I7456" t="s">
        <v>31386</v>
      </c>
      <c r="J7456" t="s">
        <v>36109</v>
      </c>
      <c r="K7456" t="s">
        <v>40691</v>
      </c>
      <c r="M7456" t="s">
        <v>42863</v>
      </c>
      <c r="N7456" t="s">
        <v>44905</v>
      </c>
      <c r="O7456" t="s">
        <v>44906</v>
      </c>
      <c r="P7456">
        <v>0</v>
      </c>
      <c r="Q7456">
        <v>3</v>
      </c>
      <c r="R7456" t="s">
        <v>44910</v>
      </c>
      <c r="S7456" t="s">
        <v>45076</v>
      </c>
      <c r="T7456" t="s">
        <v>46433</v>
      </c>
      <c r="U7456" t="s">
        <v>52976</v>
      </c>
      <c r="V7456" t="s">
        <v>59793</v>
      </c>
      <c r="W7456" t="s">
        <v>42863</v>
      </c>
      <c r="X7456" t="s">
        <v>44911</v>
      </c>
    </row>
    <row r="7457" spans="1:24">
      <c r="A7457">
        <f>HYPERLINK("https://www.philgeps.gov.ph/GEPSNONPILOT/Tender/SplashBidNoticeAbstractUI.aspx?menuIndex=3&amp;refID=7073999&amp;Result=3","7073999")</f>
        <v>0</v>
      </c>
      <c r="B7457" t="s">
        <v>67</v>
      </c>
      <c r="C7457" t="s">
        <v>10627</v>
      </c>
      <c r="D7457" t="s">
        <v>18128</v>
      </c>
      <c r="E7457" t="s">
        <v>24786</v>
      </c>
      <c r="F7457" t="s">
        <v>31362</v>
      </c>
      <c r="G7457" t="s">
        <v>31370</v>
      </c>
      <c r="H7457" t="s">
        <v>15799</v>
      </c>
      <c r="I7457" t="s">
        <v>31430</v>
      </c>
      <c r="J7457" t="s">
        <v>31827</v>
      </c>
      <c r="K7457" t="s">
        <v>40666</v>
      </c>
      <c r="M7457" t="s">
        <v>41003</v>
      </c>
      <c r="N7457" t="s">
        <v>44905</v>
      </c>
      <c r="O7457" t="s">
        <v>44906</v>
      </c>
      <c r="P7457">
        <v>0</v>
      </c>
      <c r="Q7457">
        <v>0</v>
      </c>
      <c r="R7457" t="s">
        <v>44910</v>
      </c>
      <c r="S7457" t="s">
        <v>45076</v>
      </c>
      <c r="T7457" t="s">
        <v>46430</v>
      </c>
      <c r="U7457" t="s">
        <v>52977</v>
      </c>
      <c r="V7457" t="s">
        <v>59794</v>
      </c>
      <c r="W7457" t="s">
        <v>41003</v>
      </c>
      <c r="X7457" t="s">
        <v>44911</v>
      </c>
    </row>
    <row r="7458" spans="1:24">
      <c r="A7458">
        <f>HYPERLINK("https://www.philgeps.gov.ph/GEPSNONPILOT/Tender/SplashBidNoticeAbstractUI.aspx?menuIndex=3&amp;refID=7074027&amp;Result=3","7074027")</f>
        <v>0</v>
      </c>
      <c r="B7458" t="s">
        <v>1093</v>
      </c>
      <c r="C7458" t="s">
        <v>10628</v>
      </c>
      <c r="D7458" t="s">
        <v>18156</v>
      </c>
      <c r="E7458" t="s">
        <v>24787</v>
      </c>
      <c r="F7458" t="s">
        <v>31362</v>
      </c>
      <c r="G7458" t="s">
        <v>31370</v>
      </c>
      <c r="H7458" t="s">
        <v>15799</v>
      </c>
      <c r="I7458" t="s">
        <v>6373</v>
      </c>
      <c r="J7458" t="s">
        <v>31942</v>
      </c>
      <c r="K7458" t="s">
        <v>40661</v>
      </c>
      <c r="M7458" t="s">
        <v>42098</v>
      </c>
      <c r="N7458" t="s">
        <v>44905</v>
      </c>
      <c r="O7458" t="s">
        <v>44906</v>
      </c>
      <c r="P7458">
        <v>0</v>
      </c>
      <c r="Q7458">
        <v>2</v>
      </c>
      <c r="R7458" t="s">
        <v>44910</v>
      </c>
      <c r="S7458" t="s">
        <v>45076</v>
      </c>
      <c r="T7458" t="s">
        <v>46498</v>
      </c>
      <c r="U7458" t="s">
        <v>52978</v>
      </c>
      <c r="W7458" t="s">
        <v>42098</v>
      </c>
      <c r="X7458" t="s">
        <v>44911</v>
      </c>
    </row>
    <row r="7459" spans="1:24">
      <c r="A7459">
        <f>HYPERLINK("https://www.philgeps.gov.ph/GEPSNONPILOT/Tender/SplashBidNoticeAbstractUI.aspx?menuIndex=3&amp;refID=7074040&amp;Result=3","7074040")</f>
        <v>0</v>
      </c>
      <c r="B7459" t="s">
        <v>2260</v>
      </c>
      <c r="C7459" t="s">
        <v>10629</v>
      </c>
      <c r="D7459" t="s">
        <v>18103</v>
      </c>
      <c r="E7459" t="s">
        <v>24788</v>
      </c>
      <c r="F7459" t="s">
        <v>31362</v>
      </c>
      <c r="G7459" t="s">
        <v>31372</v>
      </c>
      <c r="H7459" t="s">
        <v>15799</v>
      </c>
      <c r="I7459" t="s">
        <v>31392</v>
      </c>
      <c r="J7459" t="s">
        <v>31645</v>
      </c>
      <c r="K7459" t="s">
        <v>40670</v>
      </c>
      <c r="M7459" t="s">
        <v>43399</v>
      </c>
      <c r="N7459" t="s">
        <v>44905</v>
      </c>
      <c r="O7459" t="s">
        <v>44906</v>
      </c>
      <c r="P7459">
        <v>0</v>
      </c>
      <c r="Q7459">
        <v>1</v>
      </c>
      <c r="R7459" t="s">
        <v>44910</v>
      </c>
      <c r="S7459" t="s">
        <v>45076</v>
      </c>
      <c r="T7459" t="s">
        <v>46409</v>
      </c>
      <c r="U7459" t="s">
        <v>50030</v>
      </c>
      <c r="V7459" t="s">
        <v>59791</v>
      </c>
      <c r="W7459" t="s">
        <v>43399</v>
      </c>
      <c r="X7459" t="s">
        <v>44911</v>
      </c>
    </row>
    <row r="7460" spans="1:24">
      <c r="A7460">
        <f>HYPERLINK("https://www.philgeps.gov.ph/GEPSNONPILOT/Tender/SplashBidNoticeAbstractUI.aspx?menuIndex=3&amp;refID=7074016&amp;Result=3","7074016")</f>
        <v>0</v>
      </c>
      <c r="B7460" t="s">
        <v>2261</v>
      </c>
      <c r="C7460" t="s">
        <v>10630</v>
      </c>
      <c r="D7460" t="s">
        <v>18162</v>
      </c>
      <c r="E7460" t="s">
        <v>24789</v>
      </c>
      <c r="F7460" t="s">
        <v>31362</v>
      </c>
      <c r="G7460" t="s">
        <v>31368</v>
      </c>
      <c r="H7460" t="s">
        <v>15799</v>
      </c>
      <c r="I7460" t="s">
        <v>4057</v>
      </c>
      <c r="J7460" t="s">
        <v>31546</v>
      </c>
      <c r="K7460" t="s">
        <v>40670</v>
      </c>
      <c r="M7460" t="s">
        <v>43400</v>
      </c>
      <c r="N7460" t="s">
        <v>44905</v>
      </c>
      <c r="O7460" t="s">
        <v>44906</v>
      </c>
      <c r="Q7460">
        <v>0</v>
      </c>
      <c r="R7460" t="s">
        <v>44910</v>
      </c>
      <c r="S7460" t="s">
        <v>45093</v>
      </c>
      <c r="T7460" t="s">
        <v>46432</v>
      </c>
      <c r="U7460" t="s">
        <v>52979</v>
      </c>
      <c r="W7460" t="s">
        <v>43400</v>
      </c>
      <c r="X7460" t="s">
        <v>44911</v>
      </c>
    </row>
    <row r="7461" spans="1:24">
      <c r="A7461">
        <f>HYPERLINK("https://www.philgeps.gov.ph/GEPSNONPILOT/Tender/SplashBidNoticeAbstractUI.aspx?menuIndex=3&amp;refID=7074065&amp;Result=3","7074065")</f>
        <v>0</v>
      </c>
      <c r="B7461" t="s">
        <v>2262</v>
      </c>
      <c r="C7461" t="s">
        <v>10631</v>
      </c>
      <c r="D7461" t="s">
        <v>18108</v>
      </c>
      <c r="E7461" t="s">
        <v>19977</v>
      </c>
      <c r="F7461" t="s">
        <v>31362</v>
      </c>
      <c r="G7461" t="s">
        <v>31369</v>
      </c>
      <c r="H7461" t="s">
        <v>15799</v>
      </c>
      <c r="I7461" t="s">
        <v>7090</v>
      </c>
      <c r="J7461" t="s">
        <v>31817</v>
      </c>
      <c r="K7461" t="s">
        <v>40665</v>
      </c>
      <c r="M7461" t="s">
        <v>43401</v>
      </c>
      <c r="N7461" t="s">
        <v>44905</v>
      </c>
      <c r="O7461" t="s">
        <v>44906</v>
      </c>
      <c r="P7461">
        <v>0</v>
      </c>
      <c r="Q7461">
        <v>5</v>
      </c>
      <c r="R7461" t="s">
        <v>44910</v>
      </c>
      <c r="S7461" t="s">
        <v>45076</v>
      </c>
      <c r="T7461" t="s">
        <v>46447</v>
      </c>
      <c r="U7461" t="s">
        <v>52980</v>
      </c>
      <c r="W7461" t="s">
        <v>43401</v>
      </c>
      <c r="X7461" t="s">
        <v>44911</v>
      </c>
    </row>
    <row r="7462" spans="1:24">
      <c r="A7462">
        <f>HYPERLINK("https://www.philgeps.gov.ph/GEPSNONPILOT/Tender/SplashBidNoticeAbstractUI.aspx?menuIndex=3&amp;refID=7074034&amp;Result=3","7074034")</f>
        <v>0</v>
      </c>
      <c r="B7462" t="s">
        <v>2263</v>
      </c>
      <c r="C7462" t="s">
        <v>10632</v>
      </c>
      <c r="D7462" t="s">
        <v>18112</v>
      </c>
      <c r="E7462" t="s">
        <v>24790</v>
      </c>
      <c r="F7462" t="s">
        <v>31362</v>
      </c>
      <c r="G7462" t="s">
        <v>31368</v>
      </c>
      <c r="H7462" t="s">
        <v>15799</v>
      </c>
      <c r="I7462" t="s">
        <v>31470</v>
      </c>
      <c r="J7462" t="s">
        <v>32669</v>
      </c>
      <c r="K7462" t="s">
        <v>40697</v>
      </c>
      <c r="M7462" t="s">
        <v>43402</v>
      </c>
      <c r="N7462" t="s">
        <v>44905</v>
      </c>
      <c r="O7462" t="s">
        <v>44906</v>
      </c>
      <c r="P7462">
        <v>0</v>
      </c>
      <c r="Q7462">
        <v>1</v>
      </c>
      <c r="R7462" t="s">
        <v>44910</v>
      </c>
      <c r="S7462" t="s">
        <v>45076</v>
      </c>
      <c r="T7462" t="s">
        <v>46757</v>
      </c>
      <c r="U7462" t="s">
        <v>52981</v>
      </c>
      <c r="W7462" t="s">
        <v>43402</v>
      </c>
      <c r="X7462" t="s">
        <v>44911</v>
      </c>
    </row>
    <row r="7463" spans="1:24">
      <c r="A7463">
        <f>HYPERLINK("https://www.philgeps.gov.ph/GEPSNONPILOT/Tender/SplashBidNoticeAbstractUI.aspx?menuIndex=3&amp;refID=7074022&amp;Result=3","7074022")</f>
        <v>0</v>
      </c>
      <c r="B7463" t="s">
        <v>2250</v>
      </c>
      <c r="C7463" t="s">
        <v>10633</v>
      </c>
      <c r="D7463" t="s">
        <v>18107</v>
      </c>
      <c r="E7463" t="s">
        <v>20692</v>
      </c>
      <c r="F7463" t="s">
        <v>31362</v>
      </c>
      <c r="G7463" t="s">
        <v>31368</v>
      </c>
      <c r="H7463" t="s">
        <v>15799</v>
      </c>
      <c r="I7463" t="s">
        <v>3815</v>
      </c>
      <c r="J7463" t="s">
        <v>31734</v>
      </c>
      <c r="K7463" t="s">
        <v>40662</v>
      </c>
      <c r="M7463" t="s">
        <v>43387</v>
      </c>
      <c r="N7463" t="s">
        <v>44905</v>
      </c>
      <c r="O7463" t="s">
        <v>44906</v>
      </c>
      <c r="P7463">
        <v>0</v>
      </c>
      <c r="Q7463">
        <v>0</v>
      </c>
      <c r="R7463" t="s">
        <v>44910</v>
      </c>
      <c r="S7463" t="s">
        <v>45076</v>
      </c>
      <c r="T7463" t="s">
        <v>46411</v>
      </c>
      <c r="U7463" t="s">
        <v>52982</v>
      </c>
      <c r="W7463" t="s">
        <v>43387</v>
      </c>
      <c r="X7463" t="s">
        <v>44911</v>
      </c>
    </row>
    <row r="7464" spans="1:24">
      <c r="A7464">
        <f>HYPERLINK("https://www.philgeps.gov.ph/GEPSNONPILOT/Tender/SplashBidNoticeAbstractUI.aspx?menuIndex=3&amp;refID=7074061&amp;Result=3","7074061")</f>
        <v>0</v>
      </c>
      <c r="B7464" t="s">
        <v>1890</v>
      </c>
      <c r="C7464" t="s">
        <v>10634</v>
      </c>
      <c r="D7464" t="s">
        <v>18114</v>
      </c>
      <c r="E7464" t="s">
        <v>24791</v>
      </c>
      <c r="F7464" t="s">
        <v>31362</v>
      </c>
      <c r="G7464" t="s">
        <v>31369</v>
      </c>
      <c r="H7464" t="s">
        <v>31378</v>
      </c>
      <c r="I7464" t="s">
        <v>31386</v>
      </c>
      <c r="J7464" t="s">
        <v>36110</v>
      </c>
      <c r="K7464" t="s">
        <v>40686</v>
      </c>
      <c r="M7464" t="s">
        <v>42985</v>
      </c>
      <c r="N7464" t="s">
        <v>44905</v>
      </c>
      <c r="O7464" t="s">
        <v>44906</v>
      </c>
      <c r="P7464">
        <v>0</v>
      </c>
      <c r="Q7464">
        <v>0</v>
      </c>
      <c r="R7464" t="s">
        <v>44910</v>
      </c>
      <c r="S7464" t="s">
        <v>45076</v>
      </c>
      <c r="T7464" t="s">
        <v>46758</v>
      </c>
      <c r="U7464" t="s">
        <v>52983</v>
      </c>
      <c r="W7464" t="s">
        <v>42985</v>
      </c>
      <c r="X7464" t="s">
        <v>44911</v>
      </c>
    </row>
    <row r="7465" spans="1:24">
      <c r="A7465">
        <f>HYPERLINK("https://www.philgeps.gov.ph/GEPSNONPILOT/Tender/SplashBidNoticeAbstractUI.aspx?menuIndex=3&amp;refID=7074057&amp;Result=3","7074057")</f>
        <v>0</v>
      </c>
      <c r="B7465" t="s">
        <v>2264</v>
      </c>
      <c r="C7465" t="s">
        <v>10635</v>
      </c>
      <c r="D7465" t="s">
        <v>18133</v>
      </c>
      <c r="E7465" t="s">
        <v>24792</v>
      </c>
      <c r="F7465" t="s">
        <v>31362</v>
      </c>
      <c r="G7465" t="s">
        <v>31369</v>
      </c>
      <c r="H7465" t="s">
        <v>15799</v>
      </c>
      <c r="I7465" t="s">
        <v>3815</v>
      </c>
      <c r="J7465" t="s">
        <v>36111</v>
      </c>
      <c r="K7465" t="s">
        <v>40661</v>
      </c>
      <c r="M7465" t="s">
        <v>43403</v>
      </c>
      <c r="N7465" t="s">
        <v>44905</v>
      </c>
      <c r="O7465" t="s">
        <v>44906</v>
      </c>
      <c r="P7465">
        <v>0</v>
      </c>
      <c r="Q7465">
        <v>0</v>
      </c>
      <c r="R7465" t="s">
        <v>44910</v>
      </c>
      <c r="S7465" t="s">
        <v>45076</v>
      </c>
      <c r="T7465" t="s">
        <v>46467</v>
      </c>
      <c r="U7465" t="s">
        <v>52984</v>
      </c>
      <c r="W7465" t="s">
        <v>43403</v>
      </c>
      <c r="X7465" t="s">
        <v>44911</v>
      </c>
    </row>
    <row r="7466" spans="1:24">
      <c r="A7466">
        <f>HYPERLINK("https://www.philgeps.gov.ph/GEPSNONPILOT/Tender/SplashBidNoticeAbstractUI.aspx?menuIndex=3&amp;refID=7074036&amp;Result=3","7074036")</f>
        <v>0</v>
      </c>
      <c r="B7466" t="s">
        <v>457</v>
      </c>
      <c r="C7466" t="s">
        <v>10636</v>
      </c>
      <c r="D7466" t="s">
        <v>18155</v>
      </c>
      <c r="E7466" t="s">
        <v>24793</v>
      </c>
      <c r="F7466" t="s">
        <v>31362</v>
      </c>
      <c r="G7466" t="s">
        <v>31368</v>
      </c>
      <c r="H7466" t="s">
        <v>31378</v>
      </c>
      <c r="I7466" t="s">
        <v>31392</v>
      </c>
      <c r="J7466" t="s">
        <v>31586</v>
      </c>
      <c r="K7466" t="s">
        <v>40665</v>
      </c>
      <c r="M7466" t="s">
        <v>41411</v>
      </c>
      <c r="N7466" t="s">
        <v>44905</v>
      </c>
      <c r="O7466" t="s">
        <v>44906</v>
      </c>
      <c r="P7466">
        <v>0</v>
      </c>
      <c r="Q7466">
        <v>1</v>
      </c>
      <c r="R7466" t="s">
        <v>44910</v>
      </c>
      <c r="S7466" t="s">
        <v>45076</v>
      </c>
      <c r="T7466" t="s">
        <v>46446</v>
      </c>
      <c r="U7466" t="s">
        <v>48808</v>
      </c>
      <c r="W7466" t="s">
        <v>41411</v>
      </c>
      <c r="X7466" t="s">
        <v>44911</v>
      </c>
    </row>
    <row r="7467" spans="1:24">
      <c r="A7467">
        <f>HYPERLINK("https://www.philgeps.gov.ph/GEPSNONPILOT/Tender/SplashBidNoticeAbstractUI.aspx?menuIndex=3&amp;refID=7074053&amp;Result=3","7074053")</f>
        <v>0</v>
      </c>
      <c r="B7467" t="s">
        <v>1704</v>
      </c>
      <c r="C7467" t="s">
        <v>10637</v>
      </c>
      <c r="D7467" t="s">
        <v>18109</v>
      </c>
      <c r="E7467" t="s">
        <v>18201</v>
      </c>
      <c r="F7467" t="s">
        <v>31362</v>
      </c>
      <c r="G7467" t="s">
        <v>31370</v>
      </c>
      <c r="H7467" t="s">
        <v>15799</v>
      </c>
      <c r="I7467" t="s">
        <v>31390</v>
      </c>
      <c r="J7467" t="s">
        <v>36112</v>
      </c>
      <c r="K7467" t="s">
        <v>40661</v>
      </c>
      <c r="M7467" t="s">
        <v>42771</v>
      </c>
      <c r="N7467" t="s">
        <v>44905</v>
      </c>
      <c r="O7467" t="s">
        <v>44906</v>
      </c>
      <c r="P7467">
        <v>0</v>
      </c>
      <c r="Q7467">
        <v>0</v>
      </c>
      <c r="R7467" t="s">
        <v>44910</v>
      </c>
      <c r="S7467" t="s">
        <v>45076</v>
      </c>
      <c r="T7467" t="s">
        <v>46416</v>
      </c>
      <c r="U7467" t="s">
        <v>49920</v>
      </c>
      <c r="W7467" t="s">
        <v>42771</v>
      </c>
      <c r="X7467" t="s">
        <v>44911</v>
      </c>
    </row>
    <row r="7468" spans="1:24">
      <c r="A7468">
        <f>HYPERLINK("https://www.philgeps.gov.ph/GEPSNONPILOT/Tender/SplashBidNoticeAbstractUI.aspx?menuIndex=3&amp;refID=7074052&amp;Result=3","7074052")</f>
        <v>0</v>
      </c>
      <c r="B7468" t="s">
        <v>2181</v>
      </c>
      <c r="C7468" t="s">
        <v>10638</v>
      </c>
      <c r="D7468" t="s">
        <v>18156</v>
      </c>
      <c r="E7468" t="s">
        <v>24794</v>
      </c>
      <c r="F7468" t="s">
        <v>31362</v>
      </c>
      <c r="G7468" t="s">
        <v>31369</v>
      </c>
      <c r="H7468" t="s">
        <v>31378</v>
      </c>
      <c r="I7468" t="s">
        <v>31386</v>
      </c>
      <c r="J7468" t="s">
        <v>34081</v>
      </c>
      <c r="K7468" t="s">
        <v>40678</v>
      </c>
      <c r="M7468" t="s">
        <v>43312</v>
      </c>
      <c r="N7468" t="s">
        <v>44905</v>
      </c>
      <c r="O7468" t="s">
        <v>44906</v>
      </c>
      <c r="P7468">
        <v>0</v>
      </c>
      <c r="Q7468">
        <v>2</v>
      </c>
      <c r="R7468" t="s">
        <v>44910</v>
      </c>
      <c r="S7468" t="s">
        <v>45076</v>
      </c>
      <c r="T7468" t="s">
        <v>46479</v>
      </c>
      <c r="U7468" t="s">
        <v>52767</v>
      </c>
      <c r="W7468" t="s">
        <v>43312</v>
      </c>
      <c r="X7468" t="s">
        <v>44911</v>
      </c>
    </row>
    <row r="7469" spans="1:24">
      <c r="A7469">
        <f>HYPERLINK("https://www.philgeps.gov.ph/GEPSNONPILOT/Tender/SplashBidNoticeAbstractUI.aspx?menuIndex=3&amp;refID=7074076&amp;Result=3","7074076")</f>
        <v>0</v>
      </c>
      <c r="B7469" t="s">
        <v>834</v>
      </c>
      <c r="C7469" t="s">
        <v>10639</v>
      </c>
      <c r="D7469" t="s">
        <v>18108</v>
      </c>
      <c r="E7469" t="s">
        <v>24795</v>
      </c>
      <c r="F7469" t="s">
        <v>31362</v>
      </c>
      <c r="G7469" t="s">
        <v>31368</v>
      </c>
      <c r="H7469" t="s">
        <v>15799</v>
      </c>
      <c r="I7469" t="s">
        <v>31396</v>
      </c>
      <c r="J7469" t="s">
        <v>31793</v>
      </c>
      <c r="K7469" t="s">
        <v>40661</v>
      </c>
      <c r="M7469" t="s">
        <v>42118</v>
      </c>
      <c r="N7469" t="s">
        <v>44905</v>
      </c>
      <c r="O7469" t="s">
        <v>44906</v>
      </c>
      <c r="P7469">
        <v>0</v>
      </c>
      <c r="Q7469">
        <v>4</v>
      </c>
      <c r="R7469" t="s">
        <v>44910</v>
      </c>
      <c r="S7469" t="s">
        <v>45076</v>
      </c>
      <c r="T7469" t="s">
        <v>46416</v>
      </c>
      <c r="U7469" t="s">
        <v>52985</v>
      </c>
      <c r="V7469" t="s">
        <v>59376</v>
      </c>
      <c r="W7469" t="s">
        <v>42118</v>
      </c>
      <c r="X7469" t="s">
        <v>44911</v>
      </c>
    </row>
    <row r="7470" spans="1:24">
      <c r="A7470">
        <f>HYPERLINK("https://www.philgeps.gov.ph/GEPSNONPILOT/Tender/SplashBidNoticeAbstractUI.aspx?menuIndex=3&amp;refID=7074062&amp;Result=3","7074062")</f>
        <v>0</v>
      </c>
      <c r="B7470" t="s">
        <v>1655</v>
      </c>
      <c r="C7470" t="s">
        <v>5915</v>
      </c>
      <c r="D7470" t="s">
        <v>18136</v>
      </c>
      <c r="E7470" t="s">
        <v>24796</v>
      </c>
      <c r="F7470" t="s">
        <v>31362</v>
      </c>
      <c r="G7470" t="s">
        <v>31368</v>
      </c>
      <c r="H7470" t="s">
        <v>15799</v>
      </c>
      <c r="I7470" t="s">
        <v>4283</v>
      </c>
      <c r="J7470" t="s">
        <v>36113</v>
      </c>
      <c r="K7470" t="s">
        <v>40661</v>
      </c>
      <c r="M7470" t="s">
        <v>43362</v>
      </c>
      <c r="N7470" t="s">
        <v>44905</v>
      </c>
      <c r="O7470" t="s">
        <v>44906</v>
      </c>
      <c r="P7470">
        <v>0</v>
      </c>
      <c r="Q7470">
        <v>0</v>
      </c>
      <c r="R7470" t="s">
        <v>44910</v>
      </c>
      <c r="S7470" t="s">
        <v>45076</v>
      </c>
      <c r="T7470" t="s">
        <v>46425</v>
      </c>
      <c r="U7470" t="s">
        <v>52986</v>
      </c>
      <c r="W7470" t="s">
        <v>43362</v>
      </c>
      <c r="X7470" t="s">
        <v>44911</v>
      </c>
    </row>
    <row r="7471" spans="1:24">
      <c r="A7471">
        <f>HYPERLINK("https://www.philgeps.gov.ph/GEPSNONPILOT/Tender/SplashBidNoticeAbstractUI.aspx?menuIndex=3&amp;refID=7074075&amp;Result=3","7074075")</f>
        <v>0</v>
      </c>
      <c r="B7471" t="s">
        <v>2129</v>
      </c>
      <c r="C7471" t="s">
        <v>10640</v>
      </c>
      <c r="D7471" t="s">
        <v>18170</v>
      </c>
      <c r="E7471" t="s">
        <v>24783</v>
      </c>
      <c r="F7471" t="s">
        <v>31362</v>
      </c>
      <c r="G7471" t="s">
        <v>31369</v>
      </c>
      <c r="H7471" t="s">
        <v>15799</v>
      </c>
      <c r="I7471" t="s">
        <v>31430</v>
      </c>
      <c r="J7471" t="s">
        <v>36114</v>
      </c>
      <c r="K7471" t="s">
        <v>40665</v>
      </c>
      <c r="M7471" t="s">
        <v>43257</v>
      </c>
      <c r="N7471" t="s">
        <v>44905</v>
      </c>
      <c r="O7471" t="s">
        <v>44906</v>
      </c>
      <c r="P7471">
        <v>0</v>
      </c>
      <c r="Q7471">
        <v>0</v>
      </c>
      <c r="R7471" t="s">
        <v>44910</v>
      </c>
      <c r="S7471" t="s">
        <v>45076</v>
      </c>
      <c r="T7471" t="s">
        <v>46433</v>
      </c>
      <c r="U7471" t="s">
        <v>52973</v>
      </c>
      <c r="W7471" t="s">
        <v>43257</v>
      </c>
      <c r="X7471" t="s">
        <v>44911</v>
      </c>
    </row>
    <row r="7472" spans="1:24">
      <c r="A7472">
        <f>HYPERLINK("https://www.philgeps.gov.ph/GEPSNONPILOT/Tender/SplashBidNoticeAbstractUI.aspx?menuIndex=3&amp;refID=7074074&amp;Result=3","7074074")</f>
        <v>0</v>
      </c>
      <c r="B7472" t="s">
        <v>351</v>
      </c>
      <c r="C7472" t="s">
        <v>10641</v>
      </c>
      <c r="D7472" t="s">
        <v>18142</v>
      </c>
      <c r="E7472" t="s">
        <v>24797</v>
      </c>
      <c r="F7472" t="s">
        <v>31362</v>
      </c>
      <c r="G7472" t="s">
        <v>31369</v>
      </c>
      <c r="H7472" t="s">
        <v>31378</v>
      </c>
      <c r="I7472" t="s">
        <v>31386</v>
      </c>
      <c r="J7472" t="s">
        <v>36115</v>
      </c>
      <c r="K7472" t="s">
        <v>40694</v>
      </c>
      <c r="M7472" t="s">
        <v>41298</v>
      </c>
      <c r="N7472" t="s">
        <v>44905</v>
      </c>
      <c r="O7472" t="s">
        <v>44906</v>
      </c>
      <c r="P7472">
        <v>0</v>
      </c>
      <c r="Q7472">
        <v>0</v>
      </c>
      <c r="R7472" t="s">
        <v>44910</v>
      </c>
      <c r="S7472" t="s">
        <v>45076</v>
      </c>
      <c r="T7472" t="s">
        <v>46425</v>
      </c>
      <c r="U7472" t="s">
        <v>52803</v>
      </c>
      <c r="W7472" t="s">
        <v>41298</v>
      </c>
      <c r="X7472" t="s">
        <v>44911</v>
      </c>
    </row>
    <row r="7473" spans="1:24">
      <c r="A7473">
        <f>HYPERLINK("https://www.philgeps.gov.ph/GEPSNONPILOT/Tender/SplashBidNoticeAbstractUI.aspx?menuIndex=3&amp;refID=7074050&amp;Result=3","7074050")</f>
        <v>0</v>
      </c>
      <c r="B7473" t="s">
        <v>680</v>
      </c>
      <c r="C7473" t="s">
        <v>10642</v>
      </c>
      <c r="D7473" t="s">
        <v>18112</v>
      </c>
      <c r="E7473" t="s">
        <v>24798</v>
      </c>
      <c r="F7473" t="s">
        <v>31362</v>
      </c>
      <c r="G7473" t="s">
        <v>31368</v>
      </c>
      <c r="H7473" t="s">
        <v>15799</v>
      </c>
      <c r="I7473" t="s">
        <v>7090</v>
      </c>
      <c r="J7473" t="s">
        <v>36116</v>
      </c>
      <c r="K7473" t="s">
        <v>40670</v>
      </c>
      <c r="M7473" t="s">
        <v>41642</v>
      </c>
      <c r="N7473" t="s">
        <v>44905</v>
      </c>
      <c r="O7473" t="s">
        <v>44906</v>
      </c>
      <c r="P7473">
        <v>0</v>
      </c>
      <c r="Q7473">
        <v>0</v>
      </c>
      <c r="R7473" t="s">
        <v>44910</v>
      </c>
      <c r="S7473" t="s">
        <v>45076</v>
      </c>
      <c r="T7473" t="s">
        <v>46414</v>
      </c>
      <c r="U7473" t="s">
        <v>52987</v>
      </c>
      <c r="W7473" t="s">
        <v>41642</v>
      </c>
      <c r="X7473" t="s">
        <v>44911</v>
      </c>
    </row>
    <row r="7474" spans="1:24">
      <c r="A7474">
        <f>HYPERLINK("https://www.philgeps.gov.ph/GEPSNONPILOT/Tender/SplashBidNoticeAbstractUI.aspx?menuIndex=3&amp;refID=7074037&amp;Result=3","7074037")</f>
        <v>0</v>
      </c>
      <c r="B7474" t="s">
        <v>2261</v>
      </c>
      <c r="C7474" t="s">
        <v>10643</v>
      </c>
      <c r="D7474" t="s">
        <v>18162</v>
      </c>
      <c r="E7474" t="s">
        <v>24799</v>
      </c>
      <c r="F7474" t="s">
        <v>31362</v>
      </c>
      <c r="G7474" t="s">
        <v>31368</v>
      </c>
      <c r="H7474" t="s">
        <v>31378</v>
      </c>
      <c r="I7474" t="s">
        <v>31386</v>
      </c>
      <c r="J7474" t="s">
        <v>36117</v>
      </c>
      <c r="K7474" t="s">
        <v>40665</v>
      </c>
      <c r="M7474" t="s">
        <v>43400</v>
      </c>
      <c r="N7474" t="s">
        <v>44905</v>
      </c>
      <c r="O7474" t="s">
        <v>44906</v>
      </c>
      <c r="Q7474">
        <v>1</v>
      </c>
      <c r="R7474" t="s">
        <v>44910</v>
      </c>
      <c r="S7474" t="s">
        <v>45094</v>
      </c>
      <c r="T7474" t="s">
        <v>46432</v>
      </c>
      <c r="U7474" t="s">
        <v>52988</v>
      </c>
      <c r="W7474" t="s">
        <v>43400</v>
      </c>
      <c r="X7474" t="s">
        <v>44911</v>
      </c>
    </row>
    <row r="7475" spans="1:24">
      <c r="A7475">
        <f>HYPERLINK("https://www.philgeps.gov.ph/GEPSNONPILOT/Tender/SplashBidNoticeAbstractUI.aspx?menuIndex=3&amp;refID=7074042&amp;Result=3","7074042")</f>
        <v>0</v>
      </c>
      <c r="B7475" t="s">
        <v>351</v>
      </c>
      <c r="C7475" t="s">
        <v>10644</v>
      </c>
      <c r="D7475" t="s">
        <v>18142</v>
      </c>
      <c r="E7475" t="s">
        <v>24800</v>
      </c>
      <c r="F7475" t="s">
        <v>31362</v>
      </c>
      <c r="G7475" t="s">
        <v>31369</v>
      </c>
      <c r="H7475" t="s">
        <v>31378</v>
      </c>
      <c r="I7475" t="s">
        <v>31386</v>
      </c>
      <c r="J7475" t="s">
        <v>36118</v>
      </c>
      <c r="K7475" t="s">
        <v>40665</v>
      </c>
      <c r="M7475" t="s">
        <v>41298</v>
      </c>
      <c r="N7475" t="s">
        <v>44905</v>
      </c>
      <c r="O7475" t="s">
        <v>44906</v>
      </c>
      <c r="P7475">
        <v>0</v>
      </c>
      <c r="Q7475">
        <v>0</v>
      </c>
      <c r="R7475" t="s">
        <v>44910</v>
      </c>
      <c r="S7475" t="s">
        <v>45076</v>
      </c>
      <c r="T7475" t="s">
        <v>46425</v>
      </c>
      <c r="U7475" t="s">
        <v>52803</v>
      </c>
      <c r="W7475" t="s">
        <v>41298</v>
      </c>
      <c r="X7475" t="s">
        <v>44911</v>
      </c>
    </row>
    <row r="7476" spans="1:24">
      <c r="A7476">
        <f>HYPERLINK("https://www.philgeps.gov.ph/GEPSNONPILOT/Tender/SplashBidNoticeAbstractUI.aspx?menuIndex=3&amp;refID=7074071&amp;Result=3","7074071")</f>
        <v>0</v>
      </c>
      <c r="B7476" t="s">
        <v>2132</v>
      </c>
      <c r="C7476" t="s">
        <v>10645</v>
      </c>
      <c r="D7476" t="s">
        <v>18108</v>
      </c>
      <c r="E7476" t="s">
        <v>24801</v>
      </c>
      <c r="F7476" t="s">
        <v>31362</v>
      </c>
      <c r="G7476" t="s">
        <v>31370</v>
      </c>
      <c r="H7476" t="s">
        <v>15799</v>
      </c>
      <c r="I7476" t="s">
        <v>7719</v>
      </c>
      <c r="J7476" t="s">
        <v>36119</v>
      </c>
      <c r="K7476" t="s">
        <v>40662</v>
      </c>
      <c r="M7476" t="s">
        <v>43260</v>
      </c>
      <c r="N7476" t="s">
        <v>44905</v>
      </c>
      <c r="O7476" t="s">
        <v>44906</v>
      </c>
      <c r="P7476">
        <v>0</v>
      </c>
      <c r="Q7476">
        <v>22</v>
      </c>
      <c r="R7476" t="s">
        <v>44910</v>
      </c>
      <c r="S7476" t="s">
        <v>45076</v>
      </c>
      <c r="T7476" t="s">
        <v>46534</v>
      </c>
      <c r="U7476" t="s">
        <v>52989</v>
      </c>
      <c r="V7476" t="s">
        <v>59797</v>
      </c>
      <c r="W7476" t="s">
        <v>43260</v>
      </c>
      <c r="X7476" t="s">
        <v>44911</v>
      </c>
    </row>
    <row r="7477" spans="1:24">
      <c r="A7477">
        <f>HYPERLINK("https://www.philgeps.gov.ph/GEPSNONPILOT/Tender/SplashBidNoticeAbstractUI.aspx?menuIndex=3&amp;refID=7074078&amp;Result=3","7074078")</f>
        <v>0</v>
      </c>
      <c r="B7477" t="s">
        <v>926</v>
      </c>
      <c r="C7477" t="s">
        <v>10646</v>
      </c>
      <c r="D7477" t="s">
        <v>18117</v>
      </c>
      <c r="E7477" t="s">
        <v>24802</v>
      </c>
      <c r="F7477" t="s">
        <v>31362</v>
      </c>
      <c r="G7477" t="s">
        <v>31368</v>
      </c>
      <c r="H7477" t="s">
        <v>15799</v>
      </c>
      <c r="I7477" t="s">
        <v>31385</v>
      </c>
      <c r="J7477" t="s">
        <v>31897</v>
      </c>
      <c r="K7477" t="s">
        <v>40662</v>
      </c>
      <c r="M7477" t="s">
        <v>43349</v>
      </c>
      <c r="N7477" t="s">
        <v>44905</v>
      </c>
      <c r="O7477" t="s">
        <v>44906</v>
      </c>
      <c r="P7477">
        <v>0</v>
      </c>
      <c r="Q7477">
        <v>1</v>
      </c>
      <c r="R7477" t="s">
        <v>44910</v>
      </c>
      <c r="S7477" t="s">
        <v>45076</v>
      </c>
      <c r="T7477" t="s">
        <v>46470</v>
      </c>
      <c r="U7477" t="s">
        <v>52847</v>
      </c>
      <c r="W7477" t="s">
        <v>43349</v>
      </c>
      <c r="X7477" t="s">
        <v>44911</v>
      </c>
    </row>
    <row r="7478" spans="1:24">
      <c r="A7478">
        <f>HYPERLINK("https://www.philgeps.gov.ph/GEPSNONPILOT/Tender/SplashBidNoticeAbstractUI.aspx?menuIndex=3&amp;refID=7074109&amp;Result=3","7074109")</f>
        <v>0</v>
      </c>
      <c r="B7478" t="s">
        <v>351</v>
      </c>
      <c r="C7478" t="s">
        <v>10647</v>
      </c>
      <c r="D7478" t="s">
        <v>18142</v>
      </c>
      <c r="E7478" t="s">
        <v>24803</v>
      </c>
      <c r="F7478" t="s">
        <v>31362</v>
      </c>
      <c r="G7478" t="s">
        <v>31369</v>
      </c>
      <c r="H7478" t="s">
        <v>31378</v>
      </c>
      <c r="I7478" t="s">
        <v>31386</v>
      </c>
      <c r="J7478" t="s">
        <v>36120</v>
      </c>
      <c r="K7478" t="s">
        <v>40670</v>
      </c>
      <c r="M7478" t="s">
        <v>41298</v>
      </c>
      <c r="N7478" t="s">
        <v>44905</v>
      </c>
      <c r="O7478" t="s">
        <v>44906</v>
      </c>
      <c r="P7478">
        <v>0</v>
      </c>
      <c r="Q7478">
        <v>0</v>
      </c>
      <c r="R7478" t="s">
        <v>44910</v>
      </c>
      <c r="S7478" t="s">
        <v>45076</v>
      </c>
      <c r="T7478" t="s">
        <v>46425</v>
      </c>
      <c r="U7478" t="s">
        <v>52803</v>
      </c>
      <c r="W7478" t="s">
        <v>41298</v>
      </c>
      <c r="X7478" t="s">
        <v>44911</v>
      </c>
    </row>
    <row r="7479" spans="1:24">
      <c r="A7479">
        <f>HYPERLINK("https://www.philgeps.gov.ph/GEPSNONPILOT/Tender/SplashBidNoticeAbstractUI.aspx?menuIndex=3&amp;refID=7074108&amp;Result=3","7074108")</f>
        <v>0</v>
      </c>
      <c r="B7479" t="s">
        <v>345</v>
      </c>
      <c r="C7479" t="s">
        <v>10648</v>
      </c>
      <c r="D7479" t="s">
        <v>18149</v>
      </c>
      <c r="E7479" t="s">
        <v>24804</v>
      </c>
      <c r="F7479" t="s">
        <v>31362</v>
      </c>
      <c r="G7479" t="s">
        <v>31369</v>
      </c>
      <c r="H7479" t="s">
        <v>31378</v>
      </c>
      <c r="I7479" t="s">
        <v>31386</v>
      </c>
      <c r="J7479" t="s">
        <v>31615</v>
      </c>
      <c r="K7479" t="s">
        <v>40694</v>
      </c>
      <c r="M7479" t="s">
        <v>41291</v>
      </c>
      <c r="N7479" t="s">
        <v>44905</v>
      </c>
      <c r="O7479" t="s">
        <v>44906</v>
      </c>
      <c r="P7479">
        <v>0</v>
      </c>
      <c r="Q7479">
        <v>1</v>
      </c>
      <c r="R7479" t="s">
        <v>44910</v>
      </c>
      <c r="S7479" t="s">
        <v>45076</v>
      </c>
      <c r="T7479" t="s">
        <v>46614</v>
      </c>
      <c r="U7479" t="s">
        <v>52990</v>
      </c>
      <c r="W7479" t="s">
        <v>41291</v>
      </c>
      <c r="X7479" t="s">
        <v>44911</v>
      </c>
    </row>
    <row r="7480" spans="1:24">
      <c r="A7480">
        <f>HYPERLINK("https://www.philgeps.gov.ph/GEPSNONPILOT/Tender/SplashBidNoticeAbstractUI.aspx?menuIndex=3&amp;refID=7074058&amp;Result=3","7074058")</f>
        <v>0</v>
      </c>
      <c r="B7480" t="s">
        <v>2224</v>
      </c>
      <c r="C7480" t="s">
        <v>10649</v>
      </c>
      <c r="D7480" t="s">
        <v>18136</v>
      </c>
      <c r="E7480" t="s">
        <v>24805</v>
      </c>
      <c r="F7480" t="s">
        <v>31362</v>
      </c>
      <c r="G7480" t="s">
        <v>31369</v>
      </c>
      <c r="H7480" t="s">
        <v>31378</v>
      </c>
      <c r="I7480" t="s">
        <v>31386</v>
      </c>
      <c r="J7480" t="s">
        <v>36121</v>
      </c>
      <c r="K7480" t="s">
        <v>40676</v>
      </c>
      <c r="M7480" t="s">
        <v>43358</v>
      </c>
      <c r="N7480" t="s">
        <v>44905</v>
      </c>
      <c r="O7480" t="s">
        <v>44906</v>
      </c>
      <c r="P7480">
        <v>0</v>
      </c>
      <c r="Q7480">
        <v>0</v>
      </c>
      <c r="R7480" t="s">
        <v>44910</v>
      </c>
      <c r="S7480" t="s">
        <v>45076</v>
      </c>
      <c r="T7480" t="s">
        <v>46641</v>
      </c>
      <c r="U7480" t="s">
        <v>52991</v>
      </c>
      <c r="V7480" t="s">
        <v>59785</v>
      </c>
      <c r="W7480" t="s">
        <v>43358</v>
      </c>
      <c r="X7480" t="s">
        <v>44911</v>
      </c>
    </row>
    <row r="7481" spans="1:24">
      <c r="A7481">
        <f>HYPERLINK("https://www.philgeps.gov.ph/GEPSNONPILOT/Tender/SplashBidNoticeAbstractUI.aspx?menuIndex=3&amp;refID=7074104&amp;Result=3","7074104")</f>
        <v>0</v>
      </c>
      <c r="B7481" t="s">
        <v>1896</v>
      </c>
      <c r="C7481" t="s">
        <v>10650</v>
      </c>
      <c r="E7481" t="s">
        <v>24806</v>
      </c>
      <c r="F7481" t="s">
        <v>31362</v>
      </c>
      <c r="G7481" t="s">
        <v>31368</v>
      </c>
      <c r="H7481" t="s">
        <v>31378</v>
      </c>
      <c r="I7481" t="s">
        <v>31386</v>
      </c>
      <c r="J7481" t="s">
        <v>36122</v>
      </c>
      <c r="K7481" t="s">
        <v>40662</v>
      </c>
      <c r="M7481" t="s">
        <v>42991</v>
      </c>
      <c r="N7481" t="s">
        <v>44905</v>
      </c>
      <c r="O7481" t="s">
        <v>44906</v>
      </c>
      <c r="Q7481">
        <v>0</v>
      </c>
      <c r="R7481" t="s">
        <v>44910</v>
      </c>
      <c r="S7481" t="s">
        <v>45095</v>
      </c>
      <c r="T7481" t="s">
        <v>46478</v>
      </c>
      <c r="U7481" t="s">
        <v>47665</v>
      </c>
      <c r="W7481" t="s">
        <v>42991</v>
      </c>
      <c r="X7481" t="s">
        <v>44911</v>
      </c>
    </row>
    <row r="7482" spans="1:24">
      <c r="A7482">
        <f>HYPERLINK("https://www.philgeps.gov.ph/GEPSNONPILOT/Tender/SplashBidNoticeAbstractUI.aspx?menuIndex=3&amp;refID=7074056&amp;Result=3","7074056")</f>
        <v>0</v>
      </c>
      <c r="B7482" t="s">
        <v>2261</v>
      </c>
      <c r="C7482" t="s">
        <v>10651</v>
      </c>
      <c r="D7482" t="s">
        <v>18162</v>
      </c>
      <c r="E7482" t="s">
        <v>24807</v>
      </c>
      <c r="F7482" t="s">
        <v>31362</v>
      </c>
      <c r="G7482" t="s">
        <v>31368</v>
      </c>
      <c r="H7482" t="s">
        <v>15799</v>
      </c>
      <c r="I7482" t="s">
        <v>4057</v>
      </c>
      <c r="J7482" t="s">
        <v>31545</v>
      </c>
      <c r="K7482" t="s">
        <v>40670</v>
      </c>
      <c r="M7482" t="s">
        <v>43400</v>
      </c>
      <c r="N7482" t="s">
        <v>44905</v>
      </c>
      <c r="O7482" t="s">
        <v>44906</v>
      </c>
      <c r="Q7482">
        <v>0</v>
      </c>
      <c r="R7482" t="s">
        <v>44910</v>
      </c>
      <c r="S7482" t="s">
        <v>45096</v>
      </c>
      <c r="T7482" t="s">
        <v>46432</v>
      </c>
      <c r="U7482" t="s">
        <v>52992</v>
      </c>
      <c r="W7482" t="s">
        <v>43400</v>
      </c>
      <c r="X7482" t="s">
        <v>44911</v>
      </c>
    </row>
    <row r="7483" spans="1:24">
      <c r="A7483">
        <f>HYPERLINK("https://www.philgeps.gov.ph/GEPSNONPILOT/Tender/SplashBidNoticeAbstractUI.aspx?menuIndex=3&amp;refID=7074098&amp;Result=3","7074098")</f>
        <v>0</v>
      </c>
      <c r="B7483" t="s">
        <v>750</v>
      </c>
      <c r="C7483" t="s">
        <v>10652</v>
      </c>
      <c r="E7483" t="s">
        <v>24808</v>
      </c>
      <c r="F7483" t="s">
        <v>31362</v>
      </c>
      <c r="G7483" t="s">
        <v>31369</v>
      </c>
      <c r="H7483" t="s">
        <v>31378</v>
      </c>
      <c r="I7483" t="s">
        <v>31386</v>
      </c>
      <c r="J7483" t="s">
        <v>36123</v>
      </c>
      <c r="K7483" t="s">
        <v>40662</v>
      </c>
      <c r="M7483" t="s">
        <v>41717</v>
      </c>
      <c r="N7483" t="s">
        <v>44905</v>
      </c>
      <c r="O7483" t="s">
        <v>44906</v>
      </c>
      <c r="P7483">
        <v>0</v>
      </c>
      <c r="Q7483">
        <v>0</v>
      </c>
      <c r="R7483" t="s">
        <v>44910</v>
      </c>
      <c r="S7483" t="s">
        <v>45076</v>
      </c>
      <c r="T7483" t="s">
        <v>46419</v>
      </c>
      <c r="U7483" t="s">
        <v>52993</v>
      </c>
      <c r="W7483" t="s">
        <v>44867</v>
      </c>
      <c r="X7483" t="s">
        <v>44911</v>
      </c>
    </row>
    <row r="7484" spans="1:24">
      <c r="A7484">
        <f>HYPERLINK("https://www.philgeps.gov.ph/GEPSNONPILOT/Tender/SplashBidNoticeAbstractUI.aspx?menuIndex=3&amp;refID=7074072&amp;Result=3","7074072")</f>
        <v>0</v>
      </c>
      <c r="B7484" t="s">
        <v>456</v>
      </c>
      <c r="C7484" t="s">
        <v>10653</v>
      </c>
      <c r="D7484" t="s">
        <v>18133</v>
      </c>
      <c r="E7484" t="s">
        <v>24809</v>
      </c>
      <c r="F7484" t="s">
        <v>31362</v>
      </c>
      <c r="G7484" t="s">
        <v>31369</v>
      </c>
      <c r="H7484" t="s">
        <v>15799</v>
      </c>
      <c r="I7484" t="s">
        <v>31455</v>
      </c>
      <c r="J7484" t="s">
        <v>31941</v>
      </c>
      <c r="K7484" t="s">
        <v>40712</v>
      </c>
      <c r="M7484" t="s">
        <v>41410</v>
      </c>
      <c r="N7484" t="s">
        <v>44905</v>
      </c>
      <c r="O7484" t="s">
        <v>44906</v>
      </c>
      <c r="P7484">
        <v>0</v>
      </c>
      <c r="Q7484">
        <v>2</v>
      </c>
      <c r="R7484" t="s">
        <v>44910</v>
      </c>
      <c r="S7484" t="s">
        <v>45076</v>
      </c>
      <c r="T7484" t="s">
        <v>46616</v>
      </c>
      <c r="U7484" t="s">
        <v>52994</v>
      </c>
      <c r="W7484" t="s">
        <v>41410</v>
      </c>
      <c r="X7484" t="s">
        <v>44911</v>
      </c>
    </row>
    <row r="7485" spans="1:24">
      <c r="A7485">
        <f>HYPERLINK("https://www.philgeps.gov.ph/GEPSNONPILOT/Tender/SplashBidNoticeAbstractUI.aspx?menuIndex=3&amp;refID=7074095&amp;Result=3","7074095")</f>
        <v>0</v>
      </c>
      <c r="B7485" t="s">
        <v>2265</v>
      </c>
      <c r="C7485" t="s">
        <v>10654</v>
      </c>
      <c r="D7485" t="s">
        <v>18168</v>
      </c>
      <c r="E7485" t="s">
        <v>24810</v>
      </c>
      <c r="F7485" t="s">
        <v>31362</v>
      </c>
      <c r="G7485" t="s">
        <v>31369</v>
      </c>
      <c r="H7485" t="s">
        <v>31378</v>
      </c>
      <c r="I7485" t="s">
        <v>31386</v>
      </c>
      <c r="J7485" t="s">
        <v>31910</v>
      </c>
      <c r="K7485" t="s">
        <v>40675</v>
      </c>
      <c r="M7485" t="s">
        <v>43404</v>
      </c>
      <c r="N7485" t="s">
        <v>44905</v>
      </c>
      <c r="O7485" t="s">
        <v>44906</v>
      </c>
      <c r="P7485">
        <v>0</v>
      </c>
      <c r="Q7485">
        <v>0</v>
      </c>
      <c r="R7485" t="s">
        <v>44910</v>
      </c>
      <c r="S7485" t="s">
        <v>45076</v>
      </c>
      <c r="T7485" t="s">
        <v>46696</v>
      </c>
      <c r="U7485" t="s">
        <v>52995</v>
      </c>
      <c r="W7485" t="s">
        <v>43404</v>
      </c>
      <c r="X7485" t="s">
        <v>44911</v>
      </c>
    </row>
    <row r="7486" spans="1:24">
      <c r="A7486">
        <f>HYPERLINK("https://www.philgeps.gov.ph/GEPSNONPILOT/Tender/SplashBidNoticeAbstractUI.aspx?menuIndex=3&amp;refID=7074094&amp;Result=3","7074094")</f>
        <v>0</v>
      </c>
      <c r="B7486" t="s">
        <v>2148</v>
      </c>
      <c r="C7486" t="s">
        <v>10655</v>
      </c>
      <c r="D7486" t="s">
        <v>18160</v>
      </c>
      <c r="E7486" t="s">
        <v>24781</v>
      </c>
      <c r="F7486" t="s">
        <v>31362</v>
      </c>
      <c r="G7486" t="s">
        <v>31369</v>
      </c>
      <c r="H7486" t="s">
        <v>15799</v>
      </c>
      <c r="I7486" t="s">
        <v>31422</v>
      </c>
      <c r="J7486" t="s">
        <v>36124</v>
      </c>
      <c r="K7486" t="s">
        <v>40666</v>
      </c>
      <c r="M7486" t="s">
        <v>43277</v>
      </c>
      <c r="N7486" t="s">
        <v>44905</v>
      </c>
      <c r="O7486" t="s">
        <v>44906</v>
      </c>
      <c r="P7486">
        <v>0</v>
      </c>
      <c r="Q7486">
        <v>2</v>
      </c>
      <c r="R7486" t="s">
        <v>44910</v>
      </c>
      <c r="S7486" t="s">
        <v>45076</v>
      </c>
      <c r="T7486" t="s">
        <v>46446</v>
      </c>
      <c r="U7486" t="s">
        <v>52996</v>
      </c>
      <c r="W7486" t="s">
        <v>43277</v>
      </c>
      <c r="X7486" t="s">
        <v>44911</v>
      </c>
    </row>
    <row r="7487" spans="1:24">
      <c r="A7487">
        <f>HYPERLINK("https://www.philgeps.gov.ph/GEPSNONPILOT/Tender/SplashBidNoticeAbstractUI.aspx?menuIndex=3&amp;refID=7074120&amp;Result=3","7074120")</f>
        <v>0</v>
      </c>
      <c r="B7487" t="s">
        <v>580</v>
      </c>
      <c r="C7487" t="s">
        <v>10656</v>
      </c>
      <c r="D7487" t="s">
        <v>18106</v>
      </c>
      <c r="E7487" t="s">
        <v>24811</v>
      </c>
      <c r="F7487" t="s">
        <v>31362</v>
      </c>
      <c r="G7487" t="s">
        <v>31369</v>
      </c>
      <c r="H7487" t="s">
        <v>31378</v>
      </c>
      <c r="I7487" t="s">
        <v>31386</v>
      </c>
      <c r="J7487" t="s">
        <v>36125</v>
      </c>
      <c r="K7487" t="s">
        <v>40794</v>
      </c>
      <c r="M7487" t="s">
        <v>41537</v>
      </c>
      <c r="N7487" t="s">
        <v>44905</v>
      </c>
      <c r="O7487" t="s">
        <v>44906</v>
      </c>
      <c r="P7487">
        <v>0</v>
      </c>
      <c r="Q7487">
        <v>0</v>
      </c>
      <c r="R7487" t="s">
        <v>44910</v>
      </c>
      <c r="S7487" t="s">
        <v>45076</v>
      </c>
      <c r="T7487" t="s">
        <v>46438</v>
      </c>
      <c r="U7487" t="s">
        <v>49008</v>
      </c>
      <c r="V7487" t="s">
        <v>59438</v>
      </c>
      <c r="W7487" t="s">
        <v>41537</v>
      </c>
      <c r="X7487" t="s">
        <v>44911</v>
      </c>
    </row>
    <row r="7488" spans="1:24">
      <c r="A7488">
        <f>HYPERLINK("https://www.philgeps.gov.ph/GEPSNONPILOT/Tender/SplashBidNoticeAbstractUI.aspx?menuIndex=3&amp;refID=7074115&amp;Result=3","7074115")</f>
        <v>0</v>
      </c>
      <c r="B7488" t="s">
        <v>738</v>
      </c>
      <c r="C7488" t="s">
        <v>10657</v>
      </c>
      <c r="D7488" t="s">
        <v>18106</v>
      </c>
      <c r="E7488" t="s">
        <v>24812</v>
      </c>
      <c r="F7488" t="s">
        <v>31362</v>
      </c>
      <c r="G7488" t="s">
        <v>31369</v>
      </c>
      <c r="H7488" t="s">
        <v>15799</v>
      </c>
      <c r="I7488" t="s">
        <v>31409</v>
      </c>
      <c r="J7488" t="s">
        <v>36126</v>
      </c>
      <c r="K7488" t="s">
        <v>40697</v>
      </c>
      <c r="M7488" t="s">
        <v>41705</v>
      </c>
      <c r="N7488" t="s">
        <v>44905</v>
      </c>
      <c r="O7488" t="s">
        <v>44906</v>
      </c>
      <c r="P7488">
        <v>0</v>
      </c>
      <c r="Q7488">
        <v>5</v>
      </c>
      <c r="R7488" t="s">
        <v>44910</v>
      </c>
      <c r="S7488" t="s">
        <v>45076</v>
      </c>
      <c r="T7488" t="s">
        <v>46393</v>
      </c>
      <c r="U7488" t="s">
        <v>52997</v>
      </c>
      <c r="W7488" t="s">
        <v>41705</v>
      </c>
      <c r="X7488" t="s">
        <v>44911</v>
      </c>
    </row>
    <row r="7489" spans="1:24">
      <c r="A7489">
        <f>HYPERLINK("https://www.philgeps.gov.ph/GEPSNONPILOT/Tender/SplashBidNoticeAbstractUI.aspx?menuIndex=3&amp;refID=7074112&amp;Result=3","7074112")</f>
        <v>0</v>
      </c>
      <c r="B7489" t="s">
        <v>750</v>
      </c>
      <c r="C7489" t="s">
        <v>10658</v>
      </c>
      <c r="E7489" t="s">
        <v>24813</v>
      </c>
      <c r="F7489" t="s">
        <v>31362</v>
      </c>
      <c r="G7489" t="s">
        <v>31369</v>
      </c>
      <c r="H7489" t="s">
        <v>31378</v>
      </c>
      <c r="I7489" t="s">
        <v>31386</v>
      </c>
      <c r="J7489" t="s">
        <v>36123</v>
      </c>
      <c r="K7489" t="s">
        <v>40662</v>
      </c>
      <c r="M7489" t="s">
        <v>41717</v>
      </c>
      <c r="N7489" t="s">
        <v>44905</v>
      </c>
      <c r="O7489" t="s">
        <v>44906</v>
      </c>
      <c r="P7489">
        <v>0</v>
      </c>
      <c r="Q7489">
        <v>1</v>
      </c>
      <c r="R7489" t="s">
        <v>44910</v>
      </c>
      <c r="S7489" t="s">
        <v>45076</v>
      </c>
      <c r="T7489" t="s">
        <v>46419</v>
      </c>
      <c r="U7489" t="s">
        <v>52998</v>
      </c>
      <c r="W7489" t="s">
        <v>44867</v>
      </c>
      <c r="X7489" t="s">
        <v>44911</v>
      </c>
    </row>
    <row r="7490" spans="1:24">
      <c r="A7490">
        <f>HYPERLINK("https://www.philgeps.gov.ph/GEPSNONPILOT/Tender/SplashBidNoticeAbstractUI.aspx?menuIndex=3&amp;refID=7074099&amp;Result=3","7074099")</f>
        <v>0</v>
      </c>
      <c r="B7490" t="s">
        <v>952</v>
      </c>
      <c r="C7490" t="s">
        <v>10659</v>
      </c>
      <c r="D7490" t="s">
        <v>18100</v>
      </c>
      <c r="E7490" t="s">
        <v>24814</v>
      </c>
      <c r="F7490" t="s">
        <v>31362</v>
      </c>
      <c r="G7490" t="s">
        <v>31369</v>
      </c>
      <c r="H7490" t="s">
        <v>15799</v>
      </c>
      <c r="I7490" t="s">
        <v>31422</v>
      </c>
      <c r="J7490" t="s">
        <v>36127</v>
      </c>
      <c r="K7490" t="s">
        <v>40662</v>
      </c>
      <c r="M7490" t="s">
        <v>41940</v>
      </c>
      <c r="N7490" t="s">
        <v>44905</v>
      </c>
      <c r="O7490" t="s">
        <v>44906</v>
      </c>
      <c r="P7490">
        <v>0</v>
      </c>
      <c r="Q7490">
        <v>0</v>
      </c>
      <c r="R7490" t="s">
        <v>44910</v>
      </c>
      <c r="S7490" t="s">
        <v>45076</v>
      </c>
      <c r="T7490" t="s">
        <v>46507</v>
      </c>
      <c r="U7490" t="s">
        <v>52999</v>
      </c>
      <c r="V7490" t="s">
        <v>59311</v>
      </c>
      <c r="W7490" t="s">
        <v>41940</v>
      </c>
      <c r="X7490" t="s">
        <v>44911</v>
      </c>
    </row>
    <row r="7491" spans="1:24">
      <c r="A7491">
        <f>HYPERLINK("https://www.philgeps.gov.ph/GEPSNONPILOT/Tender/SplashBidNoticeAbstractUI.aspx?menuIndex=3&amp;refID=7074089&amp;Result=3","7074089")</f>
        <v>0</v>
      </c>
      <c r="B7491" t="s">
        <v>1395</v>
      </c>
      <c r="C7491" t="s">
        <v>10660</v>
      </c>
      <c r="D7491" t="s">
        <v>18116</v>
      </c>
      <c r="E7491" t="s">
        <v>24815</v>
      </c>
      <c r="F7491" t="s">
        <v>31362</v>
      </c>
      <c r="G7491" t="s">
        <v>31369</v>
      </c>
      <c r="H7491" t="s">
        <v>31378</v>
      </c>
      <c r="I7491" t="s">
        <v>31386</v>
      </c>
      <c r="J7491" t="s">
        <v>31591</v>
      </c>
      <c r="K7491" t="s">
        <v>40679</v>
      </c>
      <c r="M7491" t="s">
        <v>42420</v>
      </c>
      <c r="N7491" t="s">
        <v>44905</v>
      </c>
      <c r="O7491" t="s">
        <v>44906</v>
      </c>
      <c r="P7491">
        <v>0</v>
      </c>
      <c r="Q7491">
        <v>0</v>
      </c>
      <c r="R7491" t="s">
        <v>44910</v>
      </c>
      <c r="S7491" t="s">
        <v>45076</v>
      </c>
      <c r="T7491" t="s">
        <v>46447</v>
      </c>
      <c r="U7491" t="s">
        <v>53000</v>
      </c>
      <c r="W7491" t="s">
        <v>42420</v>
      </c>
      <c r="X7491" t="s">
        <v>44911</v>
      </c>
    </row>
    <row r="7492" spans="1:24">
      <c r="A7492">
        <f>HYPERLINK("https://www.philgeps.gov.ph/GEPSNONPILOT/Tender/SplashBidNoticeAbstractUI.aspx?menuIndex=3&amp;refID=7074080&amp;Result=3","7074080")</f>
        <v>0</v>
      </c>
      <c r="B7492" t="s">
        <v>2249</v>
      </c>
      <c r="C7492" t="s">
        <v>10661</v>
      </c>
      <c r="D7492" t="s">
        <v>18118</v>
      </c>
      <c r="E7492" t="s">
        <v>24816</v>
      </c>
      <c r="F7492" t="s">
        <v>31363</v>
      </c>
      <c r="G7492" t="s">
        <v>31368</v>
      </c>
      <c r="H7492" t="s">
        <v>15799</v>
      </c>
      <c r="I7492" t="s">
        <v>3815</v>
      </c>
      <c r="J7492" t="s">
        <v>34102</v>
      </c>
      <c r="K7492" t="s">
        <v>40661</v>
      </c>
      <c r="M7492" t="s">
        <v>43386</v>
      </c>
      <c r="N7492" t="s">
        <v>44905</v>
      </c>
      <c r="O7492" t="s">
        <v>44906</v>
      </c>
      <c r="P7492">
        <v>0</v>
      </c>
      <c r="Q7492">
        <v>0</v>
      </c>
      <c r="R7492" t="s">
        <v>44910</v>
      </c>
      <c r="S7492" t="s">
        <v>45076</v>
      </c>
      <c r="T7492" t="s">
        <v>46406</v>
      </c>
      <c r="U7492" t="s">
        <v>53001</v>
      </c>
      <c r="V7492" t="s">
        <v>59792</v>
      </c>
      <c r="W7492" t="s">
        <v>43386</v>
      </c>
      <c r="X7492" t="s">
        <v>44911</v>
      </c>
    </row>
    <row r="7493" spans="1:24">
      <c r="A7493">
        <f>HYPERLINK("https://www.philgeps.gov.ph/GEPSNONPILOT/Tender/SplashBidNoticeAbstractUI.aspx?menuIndex=3&amp;refID=7074088&amp;Result=3","7074088")</f>
        <v>0</v>
      </c>
      <c r="B7493" t="s">
        <v>180</v>
      </c>
      <c r="C7493" t="s">
        <v>10662</v>
      </c>
      <c r="D7493" t="s">
        <v>18112</v>
      </c>
      <c r="E7493" t="s">
        <v>24817</v>
      </c>
      <c r="F7493" t="s">
        <v>31362</v>
      </c>
      <c r="G7493" t="s">
        <v>31368</v>
      </c>
      <c r="H7493" t="s">
        <v>15799</v>
      </c>
      <c r="I7493" t="s">
        <v>31422</v>
      </c>
      <c r="J7493" t="s">
        <v>36128</v>
      </c>
      <c r="K7493" t="s">
        <v>40680</v>
      </c>
      <c r="M7493" t="s">
        <v>41118</v>
      </c>
      <c r="N7493" t="s">
        <v>44905</v>
      </c>
      <c r="O7493" t="s">
        <v>44906</v>
      </c>
      <c r="P7493">
        <v>0</v>
      </c>
      <c r="Q7493">
        <v>1</v>
      </c>
      <c r="R7493" t="s">
        <v>44910</v>
      </c>
      <c r="S7493" t="s">
        <v>45076</v>
      </c>
      <c r="T7493" t="s">
        <v>46410</v>
      </c>
      <c r="U7493" t="s">
        <v>53002</v>
      </c>
      <c r="W7493" t="s">
        <v>41118</v>
      </c>
      <c r="X7493" t="s">
        <v>44911</v>
      </c>
    </row>
    <row r="7494" spans="1:24">
      <c r="A7494">
        <f>HYPERLINK("https://www.philgeps.gov.ph/GEPSNONPILOT/Tender/SplashBidNoticeAbstractUI.aspx?menuIndex=3&amp;refID=7074116&amp;Result=3","7074116")</f>
        <v>0</v>
      </c>
      <c r="B7494" t="s">
        <v>2266</v>
      </c>
      <c r="C7494" t="s">
        <v>10663</v>
      </c>
      <c r="D7494" t="s">
        <v>18108</v>
      </c>
      <c r="E7494" t="s">
        <v>24818</v>
      </c>
      <c r="F7494" t="s">
        <v>31362</v>
      </c>
      <c r="G7494" t="s">
        <v>31368</v>
      </c>
      <c r="H7494" t="s">
        <v>15799</v>
      </c>
      <c r="I7494" t="s">
        <v>31400</v>
      </c>
      <c r="J7494" t="s">
        <v>31536</v>
      </c>
      <c r="K7494" t="s">
        <v>40661</v>
      </c>
      <c r="M7494" t="s">
        <v>43405</v>
      </c>
      <c r="N7494" t="s">
        <v>44905</v>
      </c>
      <c r="O7494" t="s">
        <v>44906</v>
      </c>
      <c r="P7494">
        <v>0</v>
      </c>
      <c r="Q7494">
        <v>3</v>
      </c>
      <c r="R7494" t="s">
        <v>44910</v>
      </c>
      <c r="S7494" t="s">
        <v>45076</v>
      </c>
      <c r="T7494" t="s">
        <v>46509</v>
      </c>
      <c r="U7494" t="s">
        <v>53003</v>
      </c>
      <c r="V7494" t="s">
        <v>59798</v>
      </c>
      <c r="W7494" t="s">
        <v>43405</v>
      </c>
      <c r="X7494" t="s">
        <v>44911</v>
      </c>
    </row>
    <row r="7495" spans="1:24">
      <c r="A7495">
        <f>HYPERLINK("https://www.philgeps.gov.ph/GEPSNONPILOT/Tender/SplashBidNoticeAbstractUI.aspx?menuIndex=3&amp;refID=7074086&amp;Result=3","7074086")</f>
        <v>0</v>
      </c>
      <c r="B7495" t="s">
        <v>2267</v>
      </c>
      <c r="C7495" t="s">
        <v>10664</v>
      </c>
      <c r="E7495" t="s">
        <v>24819</v>
      </c>
      <c r="F7495" t="s">
        <v>31362</v>
      </c>
      <c r="G7495" t="s">
        <v>31372</v>
      </c>
      <c r="H7495" t="s">
        <v>15799</v>
      </c>
      <c r="I7495" t="s">
        <v>31386</v>
      </c>
      <c r="J7495" t="s">
        <v>36129</v>
      </c>
      <c r="K7495" t="s">
        <v>40662</v>
      </c>
      <c r="M7495" t="s">
        <v>43406</v>
      </c>
      <c r="N7495" t="s">
        <v>44905</v>
      </c>
      <c r="O7495" t="s">
        <v>44906</v>
      </c>
      <c r="P7495">
        <v>0</v>
      </c>
      <c r="Q7495">
        <v>0</v>
      </c>
      <c r="R7495" t="s">
        <v>44910</v>
      </c>
      <c r="S7495" t="s">
        <v>45076</v>
      </c>
      <c r="T7495" t="s">
        <v>46502</v>
      </c>
      <c r="U7495" t="s">
        <v>51318</v>
      </c>
      <c r="W7495" t="s">
        <v>43406</v>
      </c>
      <c r="X7495" t="s">
        <v>44911</v>
      </c>
    </row>
    <row r="7496" spans="1:24">
      <c r="A7496">
        <f>HYPERLINK("https://www.philgeps.gov.ph/GEPSNONPILOT/Tender/SplashBidNoticeAbstractUI.aspx?menuIndex=3&amp;refID=7074082&amp;Result=3","7074082")</f>
        <v>0</v>
      </c>
      <c r="B7496" t="s">
        <v>2250</v>
      </c>
      <c r="C7496" t="s">
        <v>10665</v>
      </c>
      <c r="D7496" t="s">
        <v>18107</v>
      </c>
      <c r="E7496" t="s">
        <v>19695</v>
      </c>
      <c r="F7496" t="s">
        <v>31362</v>
      </c>
      <c r="G7496" t="s">
        <v>31368</v>
      </c>
      <c r="H7496" t="s">
        <v>15799</v>
      </c>
      <c r="I7496" t="s">
        <v>3815</v>
      </c>
      <c r="J7496" t="s">
        <v>32739</v>
      </c>
      <c r="K7496" t="s">
        <v>40662</v>
      </c>
      <c r="M7496" t="s">
        <v>43387</v>
      </c>
      <c r="N7496" t="s">
        <v>44905</v>
      </c>
      <c r="O7496" t="s">
        <v>44906</v>
      </c>
      <c r="P7496">
        <v>0</v>
      </c>
      <c r="Q7496">
        <v>0</v>
      </c>
      <c r="R7496" t="s">
        <v>44910</v>
      </c>
      <c r="S7496" t="s">
        <v>45076</v>
      </c>
      <c r="T7496" t="s">
        <v>46478</v>
      </c>
      <c r="U7496" t="s">
        <v>52982</v>
      </c>
      <c r="W7496" t="s">
        <v>43387</v>
      </c>
      <c r="X7496" t="s">
        <v>44911</v>
      </c>
    </row>
    <row r="7497" spans="1:24">
      <c r="A7497">
        <f>HYPERLINK("https://www.philgeps.gov.ph/GEPSNONPILOT/Tender/SplashBidNoticeAbstractUI.aspx?menuIndex=3&amp;refID=7074093&amp;Result=3","7074093")</f>
        <v>0</v>
      </c>
      <c r="B7497" t="s">
        <v>2181</v>
      </c>
      <c r="C7497" t="s">
        <v>10666</v>
      </c>
      <c r="D7497" t="s">
        <v>18156</v>
      </c>
      <c r="E7497" t="s">
        <v>24820</v>
      </c>
      <c r="F7497" t="s">
        <v>31362</v>
      </c>
      <c r="G7497" t="s">
        <v>31369</v>
      </c>
      <c r="H7497" t="s">
        <v>31378</v>
      </c>
      <c r="I7497" t="s">
        <v>31386</v>
      </c>
      <c r="J7497" t="s">
        <v>36130</v>
      </c>
      <c r="K7497" t="s">
        <v>40684</v>
      </c>
      <c r="M7497" t="s">
        <v>43312</v>
      </c>
      <c r="N7497" t="s">
        <v>44905</v>
      </c>
      <c r="O7497" t="s">
        <v>44906</v>
      </c>
      <c r="P7497">
        <v>0</v>
      </c>
      <c r="Q7497">
        <v>4</v>
      </c>
      <c r="R7497" t="s">
        <v>44910</v>
      </c>
      <c r="S7497" t="s">
        <v>45076</v>
      </c>
      <c r="T7497" t="s">
        <v>46479</v>
      </c>
      <c r="U7497" t="s">
        <v>52749</v>
      </c>
      <c r="W7497" t="s">
        <v>43312</v>
      </c>
      <c r="X7497" t="s">
        <v>44911</v>
      </c>
    </row>
    <row r="7498" spans="1:24">
      <c r="A7498">
        <f>HYPERLINK("https://www.philgeps.gov.ph/GEPSNONPILOT/Tender/SplashBidNoticeAbstractUI.aspx?menuIndex=3&amp;refID=7074123&amp;Result=3","7074123")</f>
        <v>0</v>
      </c>
      <c r="B7498" t="s">
        <v>750</v>
      </c>
      <c r="C7498" t="s">
        <v>10667</v>
      </c>
      <c r="E7498" t="s">
        <v>24821</v>
      </c>
      <c r="F7498" t="s">
        <v>31362</v>
      </c>
      <c r="G7498" t="s">
        <v>31369</v>
      </c>
      <c r="H7498" t="s">
        <v>31378</v>
      </c>
      <c r="I7498" t="s">
        <v>31386</v>
      </c>
      <c r="J7498" t="s">
        <v>36131</v>
      </c>
      <c r="K7498" t="s">
        <v>40662</v>
      </c>
      <c r="M7498" t="s">
        <v>41717</v>
      </c>
      <c r="N7498" t="s">
        <v>44905</v>
      </c>
      <c r="O7498" t="s">
        <v>44906</v>
      </c>
      <c r="P7498">
        <v>0</v>
      </c>
      <c r="Q7498">
        <v>2</v>
      </c>
      <c r="R7498" t="s">
        <v>44910</v>
      </c>
      <c r="S7498" t="s">
        <v>45076</v>
      </c>
      <c r="T7498" t="s">
        <v>46419</v>
      </c>
      <c r="U7498" t="s">
        <v>53004</v>
      </c>
      <c r="V7498" t="s">
        <v>59799</v>
      </c>
      <c r="W7498" t="s">
        <v>44867</v>
      </c>
      <c r="X7498" t="s">
        <v>44911</v>
      </c>
    </row>
    <row r="7499" spans="1:24">
      <c r="A7499">
        <f>HYPERLINK("https://www.philgeps.gov.ph/GEPSNONPILOT/Tender/SplashBidNoticeAbstractUI.aspx?menuIndex=3&amp;refID=7074127&amp;Result=3","7074127")</f>
        <v>0</v>
      </c>
      <c r="B7499" t="s">
        <v>2181</v>
      </c>
      <c r="C7499" t="s">
        <v>10668</v>
      </c>
      <c r="D7499" t="s">
        <v>18156</v>
      </c>
      <c r="E7499" t="s">
        <v>24822</v>
      </c>
      <c r="F7499" t="s">
        <v>31362</v>
      </c>
      <c r="G7499" t="s">
        <v>31369</v>
      </c>
      <c r="H7499" t="s">
        <v>31378</v>
      </c>
      <c r="I7499" t="s">
        <v>31386</v>
      </c>
      <c r="J7499" t="s">
        <v>36132</v>
      </c>
      <c r="K7499" t="s">
        <v>40678</v>
      </c>
      <c r="M7499" t="s">
        <v>43312</v>
      </c>
      <c r="N7499" t="s">
        <v>44905</v>
      </c>
      <c r="O7499" t="s">
        <v>44906</v>
      </c>
      <c r="P7499">
        <v>0</v>
      </c>
      <c r="Q7499">
        <v>5</v>
      </c>
      <c r="R7499" t="s">
        <v>44910</v>
      </c>
      <c r="S7499" t="s">
        <v>45076</v>
      </c>
      <c r="T7499" t="s">
        <v>46479</v>
      </c>
      <c r="U7499" t="s">
        <v>53005</v>
      </c>
      <c r="W7499" t="s">
        <v>43312</v>
      </c>
      <c r="X7499" t="s">
        <v>44911</v>
      </c>
    </row>
    <row r="7500" spans="1:24">
      <c r="A7500">
        <f>HYPERLINK("https://www.philgeps.gov.ph/GEPSNONPILOT/Tender/SplashBidNoticeAbstractUI.aspx?menuIndex=3&amp;refID=7074161&amp;Result=3","7074161")</f>
        <v>0</v>
      </c>
      <c r="B7500" t="s">
        <v>2265</v>
      </c>
      <c r="C7500" t="s">
        <v>10669</v>
      </c>
      <c r="D7500" t="s">
        <v>18168</v>
      </c>
      <c r="E7500" t="s">
        <v>24823</v>
      </c>
      <c r="F7500" t="s">
        <v>31362</v>
      </c>
      <c r="G7500" t="s">
        <v>31369</v>
      </c>
      <c r="H7500" t="s">
        <v>31378</v>
      </c>
      <c r="I7500" t="s">
        <v>31386</v>
      </c>
      <c r="J7500" t="s">
        <v>36133</v>
      </c>
      <c r="K7500" t="s">
        <v>40682</v>
      </c>
      <c r="M7500" t="s">
        <v>43404</v>
      </c>
      <c r="N7500" t="s">
        <v>44905</v>
      </c>
      <c r="O7500" t="s">
        <v>44906</v>
      </c>
      <c r="P7500">
        <v>0</v>
      </c>
      <c r="Q7500">
        <v>0</v>
      </c>
      <c r="R7500" t="s">
        <v>44910</v>
      </c>
      <c r="S7500" t="s">
        <v>45076</v>
      </c>
      <c r="T7500" t="s">
        <v>46696</v>
      </c>
      <c r="U7500" t="s">
        <v>53006</v>
      </c>
      <c r="W7500" t="s">
        <v>43404</v>
      </c>
      <c r="X7500" t="s">
        <v>44911</v>
      </c>
    </row>
    <row r="7501" spans="1:24">
      <c r="A7501">
        <f>HYPERLINK("https://www.philgeps.gov.ph/GEPSNONPILOT/Tender/SplashBidNoticeAbstractUI.aspx?menuIndex=3&amp;refID=7074092&amp;Result=3","7074092")</f>
        <v>0</v>
      </c>
      <c r="B7501" t="s">
        <v>351</v>
      </c>
      <c r="C7501" t="s">
        <v>10670</v>
      </c>
      <c r="D7501" t="s">
        <v>18142</v>
      </c>
      <c r="E7501" t="s">
        <v>24824</v>
      </c>
      <c r="F7501" t="s">
        <v>31362</v>
      </c>
      <c r="G7501" t="s">
        <v>31369</v>
      </c>
      <c r="H7501" t="s">
        <v>31378</v>
      </c>
      <c r="I7501" t="s">
        <v>31386</v>
      </c>
      <c r="J7501" t="s">
        <v>36134</v>
      </c>
      <c r="K7501" t="s">
        <v>40666</v>
      </c>
      <c r="M7501" t="s">
        <v>41298</v>
      </c>
      <c r="N7501" t="s">
        <v>44905</v>
      </c>
      <c r="O7501" t="s">
        <v>44906</v>
      </c>
      <c r="P7501">
        <v>0</v>
      </c>
      <c r="Q7501">
        <v>0</v>
      </c>
      <c r="R7501" t="s">
        <v>44910</v>
      </c>
      <c r="S7501" t="s">
        <v>45076</v>
      </c>
      <c r="T7501" t="s">
        <v>46425</v>
      </c>
      <c r="U7501" t="s">
        <v>52803</v>
      </c>
      <c r="W7501" t="s">
        <v>41298</v>
      </c>
      <c r="X7501" t="s">
        <v>44911</v>
      </c>
    </row>
    <row r="7502" spans="1:24">
      <c r="A7502">
        <f>HYPERLINK("https://www.philgeps.gov.ph/GEPSNONPILOT/Tender/SplashBidNoticeAbstractUI.aspx?menuIndex=3&amp;refID=7074043&amp;Result=3","7074043")</f>
        <v>0</v>
      </c>
      <c r="B7502" t="s">
        <v>197</v>
      </c>
      <c r="C7502" t="s">
        <v>10671</v>
      </c>
      <c r="E7502" t="s">
        <v>24825</v>
      </c>
      <c r="F7502" t="s">
        <v>31362</v>
      </c>
      <c r="G7502" t="s">
        <v>31368</v>
      </c>
      <c r="H7502" t="s">
        <v>15799</v>
      </c>
      <c r="I7502" t="s">
        <v>31391</v>
      </c>
      <c r="J7502" t="s">
        <v>31545</v>
      </c>
      <c r="K7502" t="s">
        <v>40662</v>
      </c>
      <c r="M7502" t="s">
        <v>41559</v>
      </c>
      <c r="N7502" t="s">
        <v>44905</v>
      </c>
      <c r="O7502" t="s">
        <v>44906</v>
      </c>
      <c r="P7502">
        <v>0</v>
      </c>
      <c r="Q7502">
        <v>3</v>
      </c>
      <c r="R7502" t="s">
        <v>44910</v>
      </c>
      <c r="S7502" t="s">
        <v>45076</v>
      </c>
      <c r="T7502" t="s">
        <v>46406</v>
      </c>
      <c r="U7502" t="s">
        <v>53007</v>
      </c>
      <c r="W7502" t="s">
        <v>41559</v>
      </c>
      <c r="X7502" t="s">
        <v>44911</v>
      </c>
    </row>
    <row r="7503" spans="1:24">
      <c r="A7503">
        <f>HYPERLINK("https://www.philgeps.gov.ph/GEPSNONPILOT/Tender/SplashBidNoticeAbstractUI.aspx?menuIndex=3&amp;refID=7074164&amp;Result=3","7074164")</f>
        <v>0</v>
      </c>
      <c r="B7503" t="s">
        <v>87</v>
      </c>
      <c r="C7503" t="s">
        <v>10672</v>
      </c>
      <c r="D7503" t="s">
        <v>18109</v>
      </c>
      <c r="E7503" t="s">
        <v>24826</v>
      </c>
      <c r="F7503" t="s">
        <v>31362</v>
      </c>
      <c r="G7503" t="s">
        <v>31369</v>
      </c>
      <c r="H7503" t="s">
        <v>15799</v>
      </c>
      <c r="I7503" t="s">
        <v>31397</v>
      </c>
      <c r="J7503" t="s">
        <v>31727</v>
      </c>
      <c r="K7503" t="s">
        <v>40661</v>
      </c>
      <c r="M7503" t="s">
        <v>41023</v>
      </c>
      <c r="N7503" t="s">
        <v>44905</v>
      </c>
      <c r="O7503" t="s">
        <v>44906</v>
      </c>
      <c r="P7503">
        <v>0</v>
      </c>
      <c r="Q7503">
        <v>1</v>
      </c>
      <c r="R7503" t="s">
        <v>44910</v>
      </c>
      <c r="S7503" t="s">
        <v>45076</v>
      </c>
      <c r="T7503" t="s">
        <v>46435</v>
      </c>
      <c r="U7503" t="s">
        <v>53008</v>
      </c>
      <c r="W7503" t="s">
        <v>60832</v>
      </c>
      <c r="X7503" t="s">
        <v>44911</v>
      </c>
    </row>
    <row r="7504" spans="1:24">
      <c r="A7504">
        <f>HYPERLINK("https://www.philgeps.gov.ph/GEPSNONPILOT/Tender/SplashBidNoticeAbstractUI.aspx?menuIndex=3&amp;refID=7074163&amp;Result=3","7074163")</f>
        <v>0</v>
      </c>
      <c r="B7504" t="s">
        <v>926</v>
      </c>
      <c r="C7504" t="s">
        <v>10673</v>
      </c>
      <c r="D7504" t="s">
        <v>18117</v>
      </c>
      <c r="E7504" t="s">
        <v>24827</v>
      </c>
      <c r="F7504" t="s">
        <v>31362</v>
      </c>
      <c r="G7504" t="s">
        <v>31368</v>
      </c>
      <c r="H7504" t="s">
        <v>15799</v>
      </c>
      <c r="I7504" t="s">
        <v>31388</v>
      </c>
      <c r="J7504" t="s">
        <v>32278</v>
      </c>
      <c r="K7504" t="s">
        <v>40662</v>
      </c>
      <c r="M7504" t="s">
        <v>43349</v>
      </c>
      <c r="N7504" t="s">
        <v>44905</v>
      </c>
      <c r="O7504" t="s">
        <v>44906</v>
      </c>
      <c r="P7504">
        <v>0</v>
      </c>
      <c r="Q7504">
        <v>1</v>
      </c>
      <c r="R7504" t="s">
        <v>44910</v>
      </c>
      <c r="S7504" t="s">
        <v>45076</v>
      </c>
      <c r="T7504" t="s">
        <v>46470</v>
      </c>
      <c r="U7504" t="s">
        <v>52847</v>
      </c>
      <c r="W7504" t="s">
        <v>43349</v>
      </c>
      <c r="X7504" t="s">
        <v>44911</v>
      </c>
    </row>
    <row r="7505" spans="1:24">
      <c r="A7505">
        <f>HYPERLINK("https://www.philgeps.gov.ph/GEPSNONPILOT/Tender/SplashBidNoticeAbstractUI.aspx?menuIndex=3&amp;refID=7074113&amp;Result=3","7074113")</f>
        <v>0</v>
      </c>
      <c r="B7505" t="s">
        <v>180</v>
      </c>
      <c r="C7505" t="s">
        <v>10674</v>
      </c>
      <c r="D7505" t="s">
        <v>18112</v>
      </c>
      <c r="E7505" t="s">
        <v>24828</v>
      </c>
      <c r="F7505" t="s">
        <v>31362</v>
      </c>
      <c r="G7505" t="s">
        <v>31368</v>
      </c>
      <c r="H7505" t="s">
        <v>15799</v>
      </c>
      <c r="I7505" t="s">
        <v>31386</v>
      </c>
      <c r="J7505" t="s">
        <v>31591</v>
      </c>
      <c r="K7505" t="s">
        <v>40680</v>
      </c>
      <c r="M7505" t="s">
        <v>41118</v>
      </c>
      <c r="N7505" t="s">
        <v>44905</v>
      </c>
      <c r="O7505" t="s">
        <v>44906</v>
      </c>
      <c r="P7505">
        <v>0</v>
      </c>
      <c r="Q7505">
        <v>0</v>
      </c>
      <c r="R7505" t="s">
        <v>44910</v>
      </c>
      <c r="S7505" t="s">
        <v>45076</v>
      </c>
      <c r="T7505" t="s">
        <v>46410</v>
      </c>
      <c r="U7505" t="s">
        <v>53009</v>
      </c>
      <c r="W7505" t="s">
        <v>41118</v>
      </c>
      <c r="X7505" t="s">
        <v>44911</v>
      </c>
    </row>
    <row r="7506" spans="1:24">
      <c r="A7506">
        <f>HYPERLINK("https://www.philgeps.gov.ph/GEPSNONPILOT/Tender/SplashBidNoticeAbstractUI.aspx?menuIndex=3&amp;refID=7074126&amp;Result=3","7074126")</f>
        <v>0</v>
      </c>
      <c r="B7506" t="s">
        <v>351</v>
      </c>
      <c r="C7506" t="s">
        <v>10675</v>
      </c>
      <c r="D7506" t="s">
        <v>18142</v>
      </c>
      <c r="E7506" t="s">
        <v>24829</v>
      </c>
      <c r="F7506" t="s">
        <v>31362</v>
      </c>
      <c r="G7506" t="s">
        <v>31369</v>
      </c>
      <c r="H7506" t="s">
        <v>31378</v>
      </c>
      <c r="I7506" t="s">
        <v>31386</v>
      </c>
      <c r="J7506" t="s">
        <v>36135</v>
      </c>
      <c r="K7506" t="s">
        <v>40767</v>
      </c>
      <c r="M7506" t="s">
        <v>41298</v>
      </c>
      <c r="N7506" t="s">
        <v>44905</v>
      </c>
      <c r="O7506" t="s">
        <v>44906</v>
      </c>
      <c r="P7506">
        <v>0</v>
      </c>
      <c r="Q7506">
        <v>0</v>
      </c>
      <c r="R7506" t="s">
        <v>44910</v>
      </c>
      <c r="S7506" t="s">
        <v>45076</v>
      </c>
      <c r="T7506" t="s">
        <v>46425</v>
      </c>
      <c r="U7506" t="s">
        <v>52803</v>
      </c>
      <c r="W7506" t="s">
        <v>41298</v>
      </c>
      <c r="X7506" t="s">
        <v>44911</v>
      </c>
    </row>
    <row r="7507" spans="1:24">
      <c r="A7507">
        <f>HYPERLINK("https://www.philgeps.gov.ph/GEPSNONPILOT/Tender/SplashBidNoticeAbstractUI.aspx?menuIndex=3&amp;refID=7074158&amp;Result=3","7074158")</f>
        <v>0</v>
      </c>
      <c r="B7507" t="s">
        <v>750</v>
      </c>
      <c r="C7507" t="s">
        <v>10676</v>
      </c>
      <c r="E7507" t="s">
        <v>24830</v>
      </c>
      <c r="F7507" t="s">
        <v>31362</v>
      </c>
      <c r="G7507" t="s">
        <v>31369</v>
      </c>
      <c r="H7507" t="s">
        <v>31378</v>
      </c>
      <c r="I7507" t="s">
        <v>31386</v>
      </c>
      <c r="J7507" t="s">
        <v>36136</v>
      </c>
      <c r="K7507" t="s">
        <v>40662</v>
      </c>
      <c r="M7507" t="s">
        <v>41717</v>
      </c>
      <c r="N7507" t="s">
        <v>44905</v>
      </c>
      <c r="O7507" t="s">
        <v>44906</v>
      </c>
      <c r="P7507">
        <v>0</v>
      </c>
      <c r="Q7507">
        <v>1</v>
      </c>
      <c r="R7507" t="s">
        <v>44910</v>
      </c>
      <c r="S7507" t="s">
        <v>45076</v>
      </c>
      <c r="T7507" t="s">
        <v>46419</v>
      </c>
      <c r="U7507" t="s">
        <v>53010</v>
      </c>
      <c r="W7507" t="s">
        <v>44867</v>
      </c>
      <c r="X7507" t="s">
        <v>44911</v>
      </c>
    </row>
    <row r="7508" spans="1:24">
      <c r="A7508">
        <f>HYPERLINK("https://www.philgeps.gov.ph/GEPSNONPILOT/Tender/SplashBidNoticeAbstractUI.aspx?menuIndex=3&amp;refID=7074166&amp;Result=3","7074166")</f>
        <v>0</v>
      </c>
      <c r="B7508" t="s">
        <v>834</v>
      </c>
      <c r="C7508" t="s">
        <v>10677</v>
      </c>
      <c r="D7508" t="s">
        <v>18108</v>
      </c>
      <c r="E7508" t="s">
        <v>24831</v>
      </c>
      <c r="F7508" t="s">
        <v>31362</v>
      </c>
      <c r="G7508" t="s">
        <v>31368</v>
      </c>
      <c r="H7508" t="s">
        <v>15799</v>
      </c>
      <c r="I7508" t="s">
        <v>31396</v>
      </c>
      <c r="J7508" t="s">
        <v>31576</v>
      </c>
      <c r="K7508" t="s">
        <v>40661</v>
      </c>
      <c r="M7508" t="s">
        <v>42118</v>
      </c>
      <c r="N7508" t="s">
        <v>44905</v>
      </c>
      <c r="O7508" t="s">
        <v>44906</v>
      </c>
      <c r="P7508">
        <v>0</v>
      </c>
      <c r="Q7508">
        <v>4</v>
      </c>
      <c r="R7508" t="s">
        <v>44910</v>
      </c>
      <c r="S7508" t="s">
        <v>45076</v>
      </c>
      <c r="T7508" t="s">
        <v>46416</v>
      </c>
      <c r="U7508" t="s">
        <v>53011</v>
      </c>
      <c r="V7508" t="s">
        <v>59376</v>
      </c>
      <c r="W7508" t="s">
        <v>42118</v>
      </c>
      <c r="X7508" t="s">
        <v>44911</v>
      </c>
    </row>
    <row r="7509" spans="1:24">
      <c r="A7509">
        <f>HYPERLINK("https://www.philgeps.gov.ph/GEPSNONPILOT/Tender/SplashBidNoticeAbstractUI.aspx?menuIndex=3&amp;refID=7074142&amp;Result=3","7074142")</f>
        <v>0</v>
      </c>
      <c r="B7509" t="s">
        <v>2268</v>
      </c>
      <c r="C7509" t="s">
        <v>10678</v>
      </c>
      <c r="D7509" t="s">
        <v>18151</v>
      </c>
      <c r="E7509" t="s">
        <v>19844</v>
      </c>
      <c r="F7509" t="s">
        <v>31362</v>
      </c>
      <c r="G7509" t="s">
        <v>31369</v>
      </c>
      <c r="H7509" t="s">
        <v>31378</v>
      </c>
      <c r="I7509" t="s">
        <v>31386</v>
      </c>
      <c r="J7509" t="s">
        <v>36137</v>
      </c>
      <c r="K7509" t="s">
        <v>40666</v>
      </c>
      <c r="M7509" t="s">
        <v>43407</v>
      </c>
      <c r="N7509" t="s">
        <v>44905</v>
      </c>
      <c r="O7509" t="s">
        <v>44906</v>
      </c>
      <c r="P7509">
        <v>0</v>
      </c>
      <c r="Q7509">
        <v>0</v>
      </c>
      <c r="R7509" t="s">
        <v>44910</v>
      </c>
      <c r="S7509" t="s">
        <v>45076</v>
      </c>
      <c r="T7509" t="s">
        <v>46577</v>
      </c>
      <c r="U7509" t="s">
        <v>53012</v>
      </c>
      <c r="V7509" t="s">
        <v>59800</v>
      </c>
      <c r="W7509" t="s">
        <v>43407</v>
      </c>
      <c r="X7509" t="s">
        <v>44911</v>
      </c>
    </row>
    <row r="7510" spans="1:24">
      <c r="A7510">
        <f>HYPERLINK("https://www.philgeps.gov.ph/GEPSNONPILOT/Tender/SplashBidNoticeAbstractUI.aspx?menuIndex=3&amp;refID=7074141&amp;Result=3","7074141")</f>
        <v>0</v>
      </c>
      <c r="B7510" t="s">
        <v>2228</v>
      </c>
      <c r="C7510" t="s">
        <v>10679</v>
      </c>
      <c r="D7510" t="s">
        <v>18117</v>
      </c>
      <c r="E7510" t="s">
        <v>24832</v>
      </c>
      <c r="F7510" t="s">
        <v>31362</v>
      </c>
      <c r="G7510" t="s">
        <v>31370</v>
      </c>
      <c r="H7510" t="s">
        <v>15799</v>
      </c>
      <c r="I7510" t="s">
        <v>31385</v>
      </c>
      <c r="J7510" t="s">
        <v>36138</v>
      </c>
      <c r="K7510" t="s">
        <v>40666</v>
      </c>
      <c r="M7510" t="s">
        <v>43364</v>
      </c>
      <c r="N7510" t="s">
        <v>44905</v>
      </c>
      <c r="O7510" t="s">
        <v>44906</v>
      </c>
      <c r="P7510">
        <v>0</v>
      </c>
      <c r="Q7510">
        <v>2</v>
      </c>
      <c r="R7510" t="s">
        <v>44910</v>
      </c>
      <c r="S7510" t="s">
        <v>45076</v>
      </c>
      <c r="T7510" t="s">
        <v>46454</v>
      </c>
      <c r="U7510" t="s">
        <v>53013</v>
      </c>
      <c r="W7510" t="s">
        <v>43364</v>
      </c>
      <c r="X7510" t="s">
        <v>44911</v>
      </c>
    </row>
    <row r="7511" spans="1:24">
      <c r="A7511">
        <f>HYPERLINK("https://www.philgeps.gov.ph/GEPSNONPILOT/Tender/SplashBidNoticeAbstractUI.aspx?menuIndex=3&amp;refID=7074156&amp;Result=3","7074156")</f>
        <v>0</v>
      </c>
      <c r="B7511" t="s">
        <v>2269</v>
      </c>
      <c r="C7511" t="s">
        <v>10680</v>
      </c>
      <c r="D7511" t="s">
        <v>18106</v>
      </c>
      <c r="E7511" t="s">
        <v>24833</v>
      </c>
      <c r="F7511" t="s">
        <v>31362</v>
      </c>
      <c r="G7511" t="s">
        <v>31368</v>
      </c>
      <c r="H7511" t="s">
        <v>15799</v>
      </c>
      <c r="I7511" t="s">
        <v>7090</v>
      </c>
      <c r="J7511" t="s">
        <v>31536</v>
      </c>
      <c r="K7511" t="s">
        <v>40673</v>
      </c>
      <c r="M7511" t="s">
        <v>43408</v>
      </c>
      <c r="N7511" t="s">
        <v>44905</v>
      </c>
      <c r="O7511" t="s">
        <v>44906</v>
      </c>
      <c r="P7511">
        <v>0</v>
      </c>
      <c r="Q7511">
        <v>1</v>
      </c>
      <c r="R7511" t="s">
        <v>44910</v>
      </c>
      <c r="S7511" t="s">
        <v>45076</v>
      </c>
      <c r="T7511" t="s">
        <v>46432</v>
      </c>
      <c r="U7511" t="s">
        <v>53014</v>
      </c>
      <c r="W7511" t="s">
        <v>43408</v>
      </c>
      <c r="X7511" t="s">
        <v>44911</v>
      </c>
    </row>
    <row r="7512" spans="1:24">
      <c r="A7512">
        <f>HYPERLINK("https://www.philgeps.gov.ph/GEPSNONPILOT/Tender/SplashBidNoticeAbstractUI.aspx?menuIndex=3&amp;refID=7074136&amp;Result=3","7074136")</f>
        <v>0</v>
      </c>
      <c r="B7512" t="s">
        <v>2265</v>
      </c>
      <c r="C7512" t="s">
        <v>10681</v>
      </c>
      <c r="D7512" t="s">
        <v>18168</v>
      </c>
      <c r="E7512" t="s">
        <v>24834</v>
      </c>
      <c r="F7512" t="s">
        <v>31362</v>
      </c>
      <c r="G7512" t="s">
        <v>31369</v>
      </c>
      <c r="H7512" t="s">
        <v>31378</v>
      </c>
      <c r="I7512" t="s">
        <v>31386</v>
      </c>
      <c r="J7512" t="s">
        <v>36139</v>
      </c>
      <c r="K7512" t="s">
        <v>40698</v>
      </c>
      <c r="M7512" t="s">
        <v>43404</v>
      </c>
      <c r="N7512" t="s">
        <v>44905</v>
      </c>
      <c r="O7512" t="s">
        <v>44906</v>
      </c>
      <c r="P7512">
        <v>0</v>
      </c>
      <c r="Q7512">
        <v>0</v>
      </c>
      <c r="R7512" t="s">
        <v>44910</v>
      </c>
      <c r="S7512" t="s">
        <v>45076</v>
      </c>
      <c r="T7512" t="s">
        <v>46696</v>
      </c>
      <c r="U7512" t="s">
        <v>53015</v>
      </c>
      <c r="W7512" t="s">
        <v>43404</v>
      </c>
      <c r="X7512" t="s">
        <v>44911</v>
      </c>
    </row>
    <row r="7513" spans="1:24">
      <c r="A7513">
        <f>HYPERLINK("https://www.philgeps.gov.ph/GEPSNONPILOT/Tender/SplashBidNoticeAbstractUI.aspx?menuIndex=3&amp;refID=7074067&amp;Result=3","7074067")</f>
        <v>0</v>
      </c>
      <c r="B7513" t="s">
        <v>831</v>
      </c>
      <c r="C7513" t="s">
        <v>10682</v>
      </c>
      <c r="D7513" t="s">
        <v>18108</v>
      </c>
      <c r="E7513" t="s">
        <v>24835</v>
      </c>
      <c r="F7513" t="s">
        <v>31362</v>
      </c>
      <c r="G7513" t="s">
        <v>31369</v>
      </c>
      <c r="H7513" t="s">
        <v>15799</v>
      </c>
      <c r="I7513" t="s">
        <v>31385</v>
      </c>
      <c r="J7513" t="s">
        <v>36140</v>
      </c>
      <c r="K7513" t="s">
        <v>40666</v>
      </c>
      <c r="M7513" t="s">
        <v>43388</v>
      </c>
      <c r="N7513" t="s">
        <v>44905</v>
      </c>
      <c r="O7513" t="s">
        <v>44906</v>
      </c>
      <c r="P7513">
        <v>0</v>
      </c>
      <c r="Q7513">
        <v>1</v>
      </c>
      <c r="R7513" t="s">
        <v>44910</v>
      </c>
      <c r="S7513" t="s">
        <v>45076</v>
      </c>
      <c r="T7513" t="s">
        <v>46393</v>
      </c>
      <c r="U7513" t="s">
        <v>47749</v>
      </c>
      <c r="W7513" t="s">
        <v>43388</v>
      </c>
      <c r="X7513" t="s">
        <v>44911</v>
      </c>
    </row>
    <row r="7514" spans="1:24">
      <c r="A7514">
        <f>HYPERLINK("https://www.philgeps.gov.ph/GEPSNONPILOT/Tender/SplashBidNoticeAbstractUI.aspx?menuIndex=3&amp;refID=7074160&amp;Result=3","7074160")</f>
        <v>0</v>
      </c>
      <c r="B7514" t="s">
        <v>982</v>
      </c>
      <c r="C7514" t="s">
        <v>10683</v>
      </c>
      <c r="D7514" t="s">
        <v>18106</v>
      </c>
      <c r="E7514" t="s">
        <v>22850</v>
      </c>
      <c r="F7514" t="s">
        <v>31362</v>
      </c>
      <c r="G7514" t="s">
        <v>31369</v>
      </c>
      <c r="H7514" t="s">
        <v>31378</v>
      </c>
      <c r="I7514" t="s">
        <v>31386</v>
      </c>
      <c r="J7514" t="s">
        <v>36141</v>
      </c>
      <c r="K7514" t="s">
        <v>40828</v>
      </c>
      <c r="M7514" t="s">
        <v>41974</v>
      </c>
      <c r="N7514" t="s">
        <v>44905</v>
      </c>
      <c r="O7514" t="s">
        <v>44906</v>
      </c>
      <c r="P7514">
        <v>0</v>
      </c>
      <c r="Q7514">
        <v>1</v>
      </c>
      <c r="R7514" t="s">
        <v>44910</v>
      </c>
      <c r="S7514" t="s">
        <v>45076</v>
      </c>
      <c r="T7514" t="s">
        <v>46690</v>
      </c>
      <c r="U7514" t="s">
        <v>53016</v>
      </c>
      <c r="W7514" t="s">
        <v>41974</v>
      </c>
      <c r="X7514" t="s">
        <v>44911</v>
      </c>
    </row>
    <row r="7515" spans="1:24">
      <c r="A7515">
        <f>HYPERLINK("https://www.philgeps.gov.ph/GEPSNONPILOT/Tender/SplashBidNoticeAbstractUI.aspx?menuIndex=3&amp;refID=7074139&amp;Result=3","7074139")</f>
        <v>0</v>
      </c>
      <c r="B7515" t="s">
        <v>180</v>
      </c>
      <c r="C7515" t="s">
        <v>10684</v>
      </c>
      <c r="D7515" t="s">
        <v>18112</v>
      </c>
      <c r="E7515" t="s">
        <v>24836</v>
      </c>
      <c r="F7515" t="s">
        <v>31362</v>
      </c>
      <c r="G7515" t="s">
        <v>31368</v>
      </c>
      <c r="H7515" t="s">
        <v>15799</v>
      </c>
      <c r="I7515" t="s">
        <v>6240</v>
      </c>
      <c r="J7515" t="s">
        <v>36142</v>
      </c>
      <c r="K7515" t="s">
        <v>40680</v>
      </c>
      <c r="M7515" t="s">
        <v>41118</v>
      </c>
      <c r="N7515" t="s">
        <v>44905</v>
      </c>
      <c r="O7515" t="s">
        <v>44906</v>
      </c>
      <c r="P7515">
        <v>0</v>
      </c>
      <c r="Q7515">
        <v>0</v>
      </c>
      <c r="R7515" t="s">
        <v>44910</v>
      </c>
      <c r="S7515" t="s">
        <v>45076</v>
      </c>
      <c r="T7515" t="s">
        <v>46410</v>
      </c>
      <c r="U7515" t="s">
        <v>53017</v>
      </c>
      <c r="W7515" t="s">
        <v>41118</v>
      </c>
      <c r="X7515" t="s">
        <v>44911</v>
      </c>
    </row>
    <row r="7516" spans="1:24">
      <c r="A7516">
        <f>HYPERLINK("https://www.philgeps.gov.ph/GEPSNONPILOT/Tender/SplashBidNoticeAbstractUI.aspx?menuIndex=3&amp;refID=7074128&amp;Result=3","7074128")</f>
        <v>0</v>
      </c>
      <c r="B7516" t="s">
        <v>197</v>
      </c>
      <c r="C7516" t="s">
        <v>10685</v>
      </c>
      <c r="E7516" t="s">
        <v>24837</v>
      </c>
      <c r="F7516" t="s">
        <v>31362</v>
      </c>
      <c r="G7516" t="s">
        <v>31368</v>
      </c>
      <c r="H7516" t="s">
        <v>15799</v>
      </c>
      <c r="I7516" t="s">
        <v>7188</v>
      </c>
      <c r="J7516" t="s">
        <v>33854</v>
      </c>
      <c r="K7516" t="s">
        <v>40662</v>
      </c>
      <c r="M7516" t="s">
        <v>41559</v>
      </c>
      <c r="N7516" t="s">
        <v>44905</v>
      </c>
      <c r="O7516" t="s">
        <v>44906</v>
      </c>
      <c r="P7516">
        <v>0</v>
      </c>
      <c r="Q7516">
        <v>5</v>
      </c>
      <c r="R7516" t="s">
        <v>44910</v>
      </c>
      <c r="S7516" t="s">
        <v>45076</v>
      </c>
      <c r="T7516" t="s">
        <v>46400</v>
      </c>
      <c r="U7516" t="s">
        <v>53018</v>
      </c>
      <c r="W7516" t="s">
        <v>41559</v>
      </c>
      <c r="X7516" t="s">
        <v>44911</v>
      </c>
    </row>
    <row r="7517" spans="1:24">
      <c r="A7517">
        <f>HYPERLINK("https://www.philgeps.gov.ph/GEPSNONPILOT/Tender/SplashBidNoticeAbstractUI.aspx?menuIndex=3&amp;refID=7074209&amp;Result=3","7074209")</f>
        <v>0</v>
      </c>
      <c r="B7517" t="s">
        <v>2270</v>
      </c>
      <c r="C7517" t="s">
        <v>10686</v>
      </c>
      <c r="D7517" t="s">
        <v>18168</v>
      </c>
      <c r="E7517" t="s">
        <v>24838</v>
      </c>
      <c r="F7517" t="s">
        <v>31362</v>
      </c>
      <c r="G7517" t="s">
        <v>31369</v>
      </c>
      <c r="H7517" t="s">
        <v>31378</v>
      </c>
      <c r="I7517" t="s">
        <v>31386</v>
      </c>
      <c r="J7517" t="s">
        <v>36143</v>
      </c>
      <c r="K7517" t="s">
        <v>40686</v>
      </c>
      <c r="M7517" t="s">
        <v>43409</v>
      </c>
      <c r="N7517" t="s">
        <v>44905</v>
      </c>
      <c r="O7517" t="s">
        <v>44906</v>
      </c>
      <c r="P7517">
        <v>0</v>
      </c>
      <c r="Q7517">
        <v>0</v>
      </c>
      <c r="R7517" t="s">
        <v>44910</v>
      </c>
      <c r="S7517" t="s">
        <v>45076</v>
      </c>
      <c r="T7517" t="s">
        <v>46607</v>
      </c>
      <c r="U7517" t="s">
        <v>53019</v>
      </c>
      <c r="W7517" t="s">
        <v>43409</v>
      </c>
      <c r="X7517" t="s">
        <v>44911</v>
      </c>
    </row>
    <row r="7518" spans="1:24">
      <c r="A7518">
        <f>HYPERLINK("https://www.philgeps.gov.ph/GEPSNONPILOT/Tender/SplashBidNoticeAbstractUI.aspx?menuIndex=3&amp;refID=7074207&amp;Result=3","7074207")</f>
        <v>0</v>
      </c>
      <c r="B7518" t="s">
        <v>809</v>
      </c>
      <c r="C7518" t="s">
        <v>10687</v>
      </c>
      <c r="D7518" t="s">
        <v>18116</v>
      </c>
      <c r="E7518" t="s">
        <v>24839</v>
      </c>
      <c r="F7518" t="s">
        <v>31362</v>
      </c>
      <c r="G7518" t="s">
        <v>31369</v>
      </c>
      <c r="H7518" t="s">
        <v>15799</v>
      </c>
      <c r="I7518" t="s">
        <v>31387</v>
      </c>
      <c r="J7518" t="s">
        <v>36144</v>
      </c>
      <c r="K7518" t="s">
        <v>40662</v>
      </c>
      <c r="M7518" t="s">
        <v>41780</v>
      </c>
      <c r="N7518" t="s">
        <v>44905</v>
      </c>
      <c r="O7518" t="s">
        <v>44906</v>
      </c>
      <c r="P7518">
        <v>0</v>
      </c>
      <c r="Q7518">
        <v>0</v>
      </c>
      <c r="R7518" t="s">
        <v>44910</v>
      </c>
      <c r="S7518" t="s">
        <v>45076</v>
      </c>
      <c r="T7518" t="s">
        <v>46447</v>
      </c>
      <c r="U7518" t="s">
        <v>53020</v>
      </c>
      <c r="W7518" t="s">
        <v>41780</v>
      </c>
      <c r="X7518" t="s">
        <v>44911</v>
      </c>
    </row>
    <row r="7519" spans="1:24">
      <c r="A7519">
        <f>HYPERLINK("https://www.philgeps.gov.ph/GEPSNONPILOT/Tender/SplashBidNoticeAbstractUI.aspx?menuIndex=3&amp;refID=7074205&amp;Result=3","7074205")</f>
        <v>0</v>
      </c>
      <c r="B7519" t="s">
        <v>2181</v>
      </c>
      <c r="C7519" t="s">
        <v>10688</v>
      </c>
      <c r="D7519" t="s">
        <v>18156</v>
      </c>
      <c r="E7519" t="s">
        <v>24840</v>
      </c>
      <c r="F7519" t="s">
        <v>31362</v>
      </c>
      <c r="G7519" t="s">
        <v>31369</v>
      </c>
      <c r="H7519" t="s">
        <v>31378</v>
      </c>
      <c r="I7519" t="s">
        <v>31386</v>
      </c>
      <c r="J7519" t="s">
        <v>32187</v>
      </c>
      <c r="K7519" t="s">
        <v>40691</v>
      </c>
      <c r="M7519" t="s">
        <v>43312</v>
      </c>
      <c r="N7519" t="s">
        <v>44905</v>
      </c>
      <c r="O7519" t="s">
        <v>44906</v>
      </c>
      <c r="P7519">
        <v>0</v>
      </c>
      <c r="Q7519">
        <v>5</v>
      </c>
      <c r="R7519" t="s">
        <v>44910</v>
      </c>
      <c r="S7519" t="s">
        <v>45076</v>
      </c>
      <c r="T7519" t="s">
        <v>46479</v>
      </c>
      <c r="U7519" t="s">
        <v>52944</v>
      </c>
      <c r="W7519" t="s">
        <v>43312</v>
      </c>
      <c r="X7519" t="s">
        <v>44911</v>
      </c>
    </row>
    <row r="7520" spans="1:24">
      <c r="A7520">
        <f>HYPERLINK("https://www.philgeps.gov.ph/GEPSNONPILOT/Tender/SplashBidNoticeAbstractUI.aspx?menuIndex=3&amp;refID=7074204&amp;Result=3","7074204")</f>
        <v>0</v>
      </c>
      <c r="B7520" t="s">
        <v>1395</v>
      </c>
      <c r="C7520" t="s">
        <v>10689</v>
      </c>
      <c r="D7520" t="s">
        <v>18116</v>
      </c>
      <c r="E7520" t="s">
        <v>24841</v>
      </c>
      <c r="F7520" t="s">
        <v>31362</v>
      </c>
      <c r="G7520" t="s">
        <v>31369</v>
      </c>
      <c r="H7520" t="s">
        <v>31378</v>
      </c>
      <c r="I7520" t="s">
        <v>31386</v>
      </c>
      <c r="J7520" t="s">
        <v>31606</v>
      </c>
      <c r="K7520" t="s">
        <v>40675</v>
      </c>
      <c r="M7520" t="s">
        <v>42420</v>
      </c>
      <c r="N7520" t="s">
        <v>44905</v>
      </c>
      <c r="O7520" t="s">
        <v>44906</v>
      </c>
      <c r="P7520">
        <v>0</v>
      </c>
      <c r="Q7520">
        <v>1</v>
      </c>
      <c r="R7520" t="s">
        <v>44910</v>
      </c>
      <c r="S7520" t="s">
        <v>45076</v>
      </c>
      <c r="T7520" t="s">
        <v>46433</v>
      </c>
      <c r="U7520" t="s">
        <v>53021</v>
      </c>
      <c r="W7520" t="s">
        <v>42420</v>
      </c>
      <c r="X7520" t="s">
        <v>44911</v>
      </c>
    </row>
    <row r="7521" spans="1:24">
      <c r="A7521">
        <f>HYPERLINK("https://www.philgeps.gov.ph/GEPSNONPILOT/Tender/SplashBidNoticeAbstractUI.aspx?menuIndex=3&amp;refID=7074133&amp;Result=3","7074133")</f>
        <v>0</v>
      </c>
      <c r="B7521" t="s">
        <v>750</v>
      </c>
      <c r="C7521" t="s">
        <v>10690</v>
      </c>
      <c r="E7521" t="s">
        <v>24842</v>
      </c>
      <c r="F7521" t="s">
        <v>31362</v>
      </c>
      <c r="G7521" t="s">
        <v>31369</v>
      </c>
      <c r="H7521" t="s">
        <v>31378</v>
      </c>
      <c r="I7521" t="s">
        <v>31386</v>
      </c>
      <c r="J7521" t="s">
        <v>36145</v>
      </c>
      <c r="K7521" t="s">
        <v>40662</v>
      </c>
      <c r="M7521" t="s">
        <v>41717</v>
      </c>
      <c r="N7521" t="s">
        <v>44905</v>
      </c>
      <c r="O7521" t="s">
        <v>44906</v>
      </c>
      <c r="P7521">
        <v>0</v>
      </c>
      <c r="Q7521">
        <v>0</v>
      </c>
      <c r="R7521" t="s">
        <v>44910</v>
      </c>
      <c r="S7521" t="s">
        <v>45076</v>
      </c>
      <c r="T7521" t="s">
        <v>46419</v>
      </c>
      <c r="U7521" t="s">
        <v>53022</v>
      </c>
      <c r="V7521" t="s">
        <v>59801</v>
      </c>
      <c r="W7521" t="s">
        <v>44867</v>
      </c>
      <c r="X7521" t="s">
        <v>44911</v>
      </c>
    </row>
    <row r="7522" spans="1:24">
      <c r="A7522">
        <f>HYPERLINK("https://www.philgeps.gov.ph/GEPSNONPILOT/Tender/SplashBidNoticeAbstractUI.aspx?menuIndex=3&amp;refID=7074201&amp;Result=3","7074201")</f>
        <v>0</v>
      </c>
      <c r="B7522" t="s">
        <v>2271</v>
      </c>
      <c r="C7522" t="s">
        <v>10691</v>
      </c>
      <c r="D7522" t="s">
        <v>18108</v>
      </c>
      <c r="E7522" t="s">
        <v>20346</v>
      </c>
      <c r="F7522" t="s">
        <v>31362</v>
      </c>
      <c r="G7522" t="s">
        <v>31368</v>
      </c>
      <c r="H7522" t="s">
        <v>31378</v>
      </c>
      <c r="I7522" t="s">
        <v>31386</v>
      </c>
      <c r="J7522" t="s">
        <v>35156</v>
      </c>
      <c r="K7522" t="s">
        <v>40682</v>
      </c>
      <c r="M7522" t="s">
        <v>43410</v>
      </c>
      <c r="N7522" t="s">
        <v>44905</v>
      </c>
      <c r="O7522" t="s">
        <v>44906</v>
      </c>
      <c r="P7522">
        <v>0</v>
      </c>
      <c r="Q7522">
        <v>1</v>
      </c>
      <c r="R7522" t="s">
        <v>44910</v>
      </c>
      <c r="S7522" t="s">
        <v>45076</v>
      </c>
      <c r="T7522" t="s">
        <v>46498</v>
      </c>
      <c r="U7522" t="s">
        <v>53023</v>
      </c>
      <c r="W7522" t="s">
        <v>43410</v>
      </c>
      <c r="X7522" t="s">
        <v>44911</v>
      </c>
    </row>
    <row r="7523" spans="1:24">
      <c r="A7523">
        <f>HYPERLINK("https://www.philgeps.gov.ph/GEPSNONPILOT/Tender/SplashBidNoticeAbstractUI.aspx?menuIndex=3&amp;refID=7074138&amp;Result=3","7074138")</f>
        <v>0</v>
      </c>
      <c r="B7523" t="s">
        <v>750</v>
      </c>
      <c r="C7523" t="s">
        <v>10692</v>
      </c>
      <c r="E7523" t="s">
        <v>24843</v>
      </c>
      <c r="F7523" t="s">
        <v>31362</v>
      </c>
      <c r="G7523" t="s">
        <v>31369</v>
      </c>
      <c r="H7523" t="s">
        <v>31378</v>
      </c>
      <c r="I7523" t="s">
        <v>31386</v>
      </c>
      <c r="J7523" t="s">
        <v>36146</v>
      </c>
      <c r="K7523" t="s">
        <v>40662</v>
      </c>
      <c r="M7523" t="s">
        <v>41717</v>
      </c>
      <c r="N7523" t="s">
        <v>44905</v>
      </c>
      <c r="O7523" t="s">
        <v>44906</v>
      </c>
      <c r="P7523">
        <v>0</v>
      </c>
      <c r="Q7523">
        <v>2</v>
      </c>
      <c r="R7523" t="s">
        <v>44910</v>
      </c>
      <c r="S7523" t="s">
        <v>45076</v>
      </c>
      <c r="T7523" t="s">
        <v>46419</v>
      </c>
      <c r="U7523" t="s">
        <v>53024</v>
      </c>
      <c r="V7523" t="s">
        <v>59802</v>
      </c>
      <c r="W7523" t="s">
        <v>44867</v>
      </c>
      <c r="X7523" t="s">
        <v>44911</v>
      </c>
    </row>
    <row r="7524" spans="1:24">
      <c r="A7524">
        <f>HYPERLINK("https://www.philgeps.gov.ph/GEPSNONPILOT/Tender/SplashBidNoticeAbstractUI.aspx?menuIndex=3&amp;refID=7074200&amp;Result=3","7074200")</f>
        <v>0</v>
      </c>
      <c r="B7524" t="s">
        <v>2272</v>
      </c>
      <c r="C7524" t="s">
        <v>10693</v>
      </c>
      <c r="D7524" t="s">
        <v>18109</v>
      </c>
      <c r="E7524" t="s">
        <v>24844</v>
      </c>
      <c r="F7524" t="s">
        <v>31362</v>
      </c>
      <c r="G7524" t="s">
        <v>31370</v>
      </c>
      <c r="H7524" t="s">
        <v>31379</v>
      </c>
      <c r="I7524" t="s">
        <v>7090</v>
      </c>
      <c r="J7524" t="s">
        <v>36147</v>
      </c>
      <c r="K7524" t="s">
        <v>40661</v>
      </c>
      <c r="M7524" t="s">
        <v>43411</v>
      </c>
      <c r="N7524" t="s">
        <v>44905</v>
      </c>
      <c r="O7524" t="s">
        <v>44906</v>
      </c>
      <c r="P7524">
        <v>0</v>
      </c>
      <c r="Q7524">
        <v>0</v>
      </c>
      <c r="R7524" t="s">
        <v>44910</v>
      </c>
      <c r="S7524" t="s">
        <v>45076</v>
      </c>
      <c r="T7524" t="s">
        <v>46759</v>
      </c>
      <c r="U7524" t="s">
        <v>53025</v>
      </c>
      <c r="W7524" t="s">
        <v>43411</v>
      </c>
      <c r="X7524" t="s">
        <v>44911</v>
      </c>
    </row>
    <row r="7525" spans="1:24">
      <c r="A7525">
        <f>HYPERLINK("https://www.philgeps.gov.ph/GEPSNONPILOT/Tender/SplashBidNoticeAbstractUI.aspx?menuIndex=3&amp;refID=7074195&amp;Result=3","7074195")</f>
        <v>0</v>
      </c>
      <c r="B7525" t="s">
        <v>2273</v>
      </c>
      <c r="C7525" t="s">
        <v>10694</v>
      </c>
      <c r="E7525" t="s">
        <v>24845</v>
      </c>
      <c r="F7525" t="s">
        <v>31362</v>
      </c>
      <c r="G7525" t="s">
        <v>31371</v>
      </c>
      <c r="H7525" t="s">
        <v>15799</v>
      </c>
      <c r="I7525" t="s">
        <v>31393</v>
      </c>
      <c r="J7525" t="s">
        <v>36148</v>
      </c>
      <c r="K7525" t="s">
        <v>40662</v>
      </c>
      <c r="M7525" t="s">
        <v>43412</v>
      </c>
      <c r="N7525" t="s">
        <v>44905</v>
      </c>
      <c r="O7525" t="s">
        <v>44906</v>
      </c>
      <c r="P7525">
        <v>0</v>
      </c>
      <c r="Q7525">
        <v>0</v>
      </c>
      <c r="R7525" t="s">
        <v>44910</v>
      </c>
      <c r="S7525" t="s">
        <v>45076</v>
      </c>
      <c r="T7525" t="s">
        <v>46432</v>
      </c>
      <c r="U7525" t="s">
        <v>53026</v>
      </c>
      <c r="W7525" t="s">
        <v>43412</v>
      </c>
      <c r="X7525" t="s">
        <v>44911</v>
      </c>
    </row>
    <row r="7526" spans="1:24">
      <c r="A7526">
        <f>HYPERLINK("https://www.philgeps.gov.ph/GEPSNONPILOT/Tender/SplashBidNoticeAbstractUI.aspx?menuIndex=3&amp;refID=7074202&amp;Result=3","7074202")</f>
        <v>0</v>
      </c>
      <c r="B7526" t="s">
        <v>2274</v>
      </c>
      <c r="C7526" t="s">
        <v>10695</v>
      </c>
      <c r="D7526" t="s">
        <v>18132</v>
      </c>
      <c r="E7526" t="s">
        <v>24846</v>
      </c>
      <c r="F7526" t="s">
        <v>31362</v>
      </c>
      <c r="G7526" t="s">
        <v>31370</v>
      </c>
      <c r="H7526" t="s">
        <v>15799</v>
      </c>
      <c r="I7526" t="s">
        <v>31430</v>
      </c>
      <c r="J7526" t="s">
        <v>31551</v>
      </c>
      <c r="K7526" t="s">
        <v>40666</v>
      </c>
      <c r="M7526" t="s">
        <v>43413</v>
      </c>
      <c r="N7526" t="s">
        <v>44905</v>
      </c>
      <c r="O7526" t="s">
        <v>44906</v>
      </c>
      <c r="P7526">
        <v>0</v>
      </c>
      <c r="Q7526">
        <v>1</v>
      </c>
      <c r="R7526" t="s">
        <v>44910</v>
      </c>
      <c r="S7526" t="s">
        <v>45076</v>
      </c>
      <c r="T7526" t="s">
        <v>46409</v>
      </c>
      <c r="U7526" t="s">
        <v>53027</v>
      </c>
      <c r="V7526" t="s">
        <v>59803</v>
      </c>
      <c r="W7526" t="s">
        <v>43413</v>
      </c>
      <c r="X7526" t="s">
        <v>44911</v>
      </c>
    </row>
    <row r="7527" spans="1:24">
      <c r="A7527">
        <f>HYPERLINK("https://www.philgeps.gov.ph/GEPSNONPILOT/Tender/SplashBidNoticeAbstractUI.aspx?menuIndex=3&amp;refID=7074151&amp;Result=3","7074151")</f>
        <v>0</v>
      </c>
      <c r="B7527" t="s">
        <v>750</v>
      </c>
      <c r="C7527" t="s">
        <v>10696</v>
      </c>
      <c r="E7527" t="s">
        <v>24847</v>
      </c>
      <c r="F7527" t="s">
        <v>31362</v>
      </c>
      <c r="G7527" t="s">
        <v>31369</v>
      </c>
      <c r="H7527" t="s">
        <v>31378</v>
      </c>
      <c r="I7527" t="s">
        <v>31386</v>
      </c>
      <c r="J7527" t="s">
        <v>36149</v>
      </c>
      <c r="K7527" t="s">
        <v>40662</v>
      </c>
      <c r="M7527" t="s">
        <v>41717</v>
      </c>
      <c r="N7527" t="s">
        <v>44905</v>
      </c>
      <c r="O7527" t="s">
        <v>44906</v>
      </c>
      <c r="P7527">
        <v>0</v>
      </c>
      <c r="Q7527">
        <v>0</v>
      </c>
      <c r="R7527" t="s">
        <v>44910</v>
      </c>
      <c r="S7527" t="s">
        <v>45076</v>
      </c>
      <c r="T7527" t="s">
        <v>46419</v>
      </c>
      <c r="U7527" t="s">
        <v>53028</v>
      </c>
      <c r="W7527" t="s">
        <v>44867</v>
      </c>
      <c r="X7527" t="s">
        <v>44911</v>
      </c>
    </row>
    <row r="7528" spans="1:24">
      <c r="A7528">
        <f>HYPERLINK("https://www.philgeps.gov.ph/GEPSNONPILOT/Tender/SplashBidNoticeAbstractUI.aspx?menuIndex=3&amp;refID=7074192&amp;Result=3","7074192")</f>
        <v>0</v>
      </c>
      <c r="B7528" t="s">
        <v>1800</v>
      </c>
      <c r="C7528" t="s">
        <v>10697</v>
      </c>
      <c r="D7528" t="s">
        <v>18124</v>
      </c>
      <c r="E7528" t="s">
        <v>24848</v>
      </c>
      <c r="F7528" t="s">
        <v>31362</v>
      </c>
      <c r="G7528" t="s">
        <v>31369</v>
      </c>
      <c r="H7528" t="s">
        <v>31378</v>
      </c>
      <c r="I7528" t="s">
        <v>31386</v>
      </c>
      <c r="J7528" t="s">
        <v>33435</v>
      </c>
      <c r="K7528" t="s">
        <v>40801</v>
      </c>
      <c r="M7528" t="s">
        <v>43129</v>
      </c>
      <c r="N7528" t="s">
        <v>44905</v>
      </c>
      <c r="O7528" t="s">
        <v>44906</v>
      </c>
      <c r="P7528">
        <v>0</v>
      </c>
      <c r="Q7528">
        <v>4</v>
      </c>
      <c r="R7528" t="s">
        <v>44910</v>
      </c>
      <c r="S7528" t="s">
        <v>45076</v>
      </c>
      <c r="T7528" t="s">
        <v>46419</v>
      </c>
      <c r="U7528" t="s">
        <v>53029</v>
      </c>
      <c r="W7528" t="s">
        <v>43129</v>
      </c>
      <c r="X7528" t="s">
        <v>44911</v>
      </c>
    </row>
    <row r="7529" spans="1:24">
      <c r="A7529">
        <f>HYPERLINK("https://www.philgeps.gov.ph/GEPSNONPILOT/Tender/SplashBidNoticeAbstractUI.aspx?menuIndex=3&amp;refID=7074150&amp;Result=3","7074150")</f>
        <v>0</v>
      </c>
      <c r="B7529" t="s">
        <v>2275</v>
      </c>
      <c r="C7529" t="s">
        <v>10698</v>
      </c>
      <c r="D7529" t="s">
        <v>18142</v>
      </c>
      <c r="E7529" t="s">
        <v>24849</v>
      </c>
      <c r="F7529" t="s">
        <v>31362</v>
      </c>
      <c r="G7529" t="s">
        <v>31372</v>
      </c>
      <c r="H7529" t="s">
        <v>31378</v>
      </c>
      <c r="I7529" t="s">
        <v>31386</v>
      </c>
      <c r="J7529" t="s">
        <v>31536</v>
      </c>
      <c r="K7529" t="s">
        <v>40670</v>
      </c>
      <c r="M7529" t="s">
        <v>43414</v>
      </c>
      <c r="N7529" t="s">
        <v>44905</v>
      </c>
      <c r="O7529" t="s">
        <v>44906</v>
      </c>
      <c r="P7529">
        <v>0</v>
      </c>
      <c r="Q7529">
        <v>0</v>
      </c>
      <c r="R7529" t="s">
        <v>44910</v>
      </c>
      <c r="S7529" t="s">
        <v>45076</v>
      </c>
      <c r="T7529" t="s">
        <v>46467</v>
      </c>
      <c r="U7529" t="s">
        <v>53030</v>
      </c>
      <c r="W7529" t="s">
        <v>43414</v>
      </c>
      <c r="X7529" t="s">
        <v>44911</v>
      </c>
    </row>
    <row r="7530" spans="1:24">
      <c r="A7530">
        <f>HYPERLINK("https://www.philgeps.gov.ph/GEPSNONPILOT/Tender/SplashBidNoticeAbstractUI.aspx?menuIndex=3&amp;refID=7074190&amp;Result=3","7074190")</f>
        <v>0</v>
      </c>
      <c r="B7530" t="s">
        <v>2276</v>
      </c>
      <c r="C7530" t="s">
        <v>10699</v>
      </c>
      <c r="D7530" t="s">
        <v>18132</v>
      </c>
      <c r="E7530" t="s">
        <v>24850</v>
      </c>
      <c r="F7530" t="s">
        <v>31362</v>
      </c>
      <c r="G7530" t="s">
        <v>31369</v>
      </c>
      <c r="H7530" t="s">
        <v>31378</v>
      </c>
      <c r="I7530" t="s">
        <v>31386</v>
      </c>
      <c r="J7530" t="s">
        <v>36150</v>
      </c>
      <c r="K7530" t="s">
        <v>40829</v>
      </c>
      <c r="M7530" t="s">
        <v>43415</v>
      </c>
      <c r="N7530" t="s">
        <v>44905</v>
      </c>
      <c r="O7530" t="s">
        <v>44906</v>
      </c>
      <c r="P7530">
        <v>0</v>
      </c>
      <c r="Q7530">
        <v>0</v>
      </c>
      <c r="R7530" t="s">
        <v>44910</v>
      </c>
      <c r="S7530" t="s">
        <v>45076</v>
      </c>
      <c r="T7530" t="s">
        <v>46607</v>
      </c>
      <c r="U7530" t="s">
        <v>53031</v>
      </c>
      <c r="W7530" t="s">
        <v>43415</v>
      </c>
      <c r="X7530" t="s">
        <v>44911</v>
      </c>
    </row>
    <row r="7531" spans="1:24">
      <c r="A7531">
        <f>HYPERLINK("https://www.philgeps.gov.ph/GEPSNONPILOT/Tender/SplashBidNoticeAbstractUI.aspx?menuIndex=3&amp;refID=7074197&amp;Result=3","7074197")</f>
        <v>0</v>
      </c>
      <c r="B7531" t="s">
        <v>2275</v>
      </c>
      <c r="C7531" t="s">
        <v>10700</v>
      </c>
      <c r="D7531" t="s">
        <v>18142</v>
      </c>
      <c r="E7531" t="s">
        <v>24851</v>
      </c>
      <c r="F7531" t="s">
        <v>31362</v>
      </c>
      <c r="G7531" t="s">
        <v>31372</v>
      </c>
      <c r="H7531" t="s">
        <v>31378</v>
      </c>
      <c r="I7531" t="s">
        <v>31386</v>
      </c>
      <c r="J7531" t="s">
        <v>31578</v>
      </c>
      <c r="K7531" t="s">
        <v>40761</v>
      </c>
      <c r="M7531" t="s">
        <v>43414</v>
      </c>
      <c r="N7531" t="s">
        <v>44905</v>
      </c>
      <c r="O7531" t="s">
        <v>44906</v>
      </c>
      <c r="P7531">
        <v>0</v>
      </c>
      <c r="Q7531">
        <v>0</v>
      </c>
      <c r="R7531" t="s">
        <v>44910</v>
      </c>
      <c r="S7531" t="s">
        <v>45076</v>
      </c>
      <c r="T7531" t="s">
        <v>46467</v>
      </c>
      <c r="U7531" t="s">
        <v>53032</v>
      </c>
      <c r="W7531" t="s">
        <v>43414</v>
      </c>
      <c r="X7531" t="s">
        <v>44911</v>
      </c>
    </row>
    <row r="7532" spans="1:24">
      <c r="A7532">
        <f>HYPERLINK("https://www.philgeps.gov.ph/GEPSNONPILOT/Tender/SplashBidNoticeAbstractUI.aspx?menuIndex=3&amp;refID=7074185&amp;Result=3","7074185")</f>
        <v>0</v>
      </c>
      <c r="B7532" t="s">
        <v>2277</v>
      </c>
      <c r="C7532" t="s">
        <v>10701</v>
      </c>
      <c r="D7532" t="s">
        <v>18102</v>
      </c>
      <c r="E7532" t="s">
        <v>18440</v>
      </c>
      <c r="F7532" t="s">
        <v>31362</v>
      </c>
      <c r="G7532" t="s">
        <v>31369</v>
      </c>
      <c r="H7532" t="s">
        <v>15799</v>
      </c>
      <c r="I7532" t="s">
        <v>31409</v>
      </c>
      <c r="J7532" t="s">
        <v>36151</v>
      </c>
      <c r="K7532" t="s">
        <v>40666</v>
      </c>
      <c r="M7532" t="s">
        <v>43416</v>
      </c>
      <c r="N7532" t="s">
        <v>44905</v>
      </c>
      <c r="O7532" t="s">
        <v>44906</v>
      </c>
      <c r="P7532">
        <v>0</v>
      </c>
      <c r="Q7532">
        <v>1</v>
      </c>
      <c r="R7532" t="s">
        <v>44910</v>
      </c>
      <c r="S7532" t="s">
        <v>45076</v>
      </c>
      <c r="T7532" t="s">
        <v>46392</v>
      </c>
      <c r="U7532" t="s">
        <v>53033</v>
      </c>
      <c r="V7532" t="s">
        <v>59804</v>
      </c>
      <c r="W7532" t="s">
        <v>43416</v>
      </c>
      <c r="X7532" t="s">
        <v>44911</v>
      </c>
    </row>
    <row r="7533" spans="1:24">
      <c r="A7533">
        <f>HYPERLINK("https://www.philgeps.gov.ph/GEPSNONPILOT/Tender/SplashBidNoticeAbstractUI.aspx?menuIndex=3&amp;refID=7074184&amp;Result=3","7074184")</f>
        <v>0</v>
      </c>
      <c r="B7533" t="s">
        <v>258</v>
      </c>
      <c r="C7533" t="s">
        <v>10702</v>
      </c>
      <c r="D7533" t="s">
        <v>18141</v>
      </c>
      <c r="E7533" t="s">
        <v>24852</v>
      </c>
      <c r="F7533" t="s">
        <v>31362</v>
      </c>
      <c r="G7533" t="s">
        <v>31369</v>
      </c>
      <c r="H7533" t="s">
        <v>15799</v>
      </c>
      <c r="I7533" t="s">
        <v>31456</v>
      </c>
      <c r="J7533" t="s">
        <v>36152</v>
      </c>
      <c r="K7533" t="s">
        <v>40665</v>
      </c>
      <c r="M7533" t="s">
        <v>41199</v>
      </c>
      <c r="N7533" t="s">
        <v>44905</v>
      </c>
      <c r="O7533" t="s">
        <v>44906</v>
      </c>
      <c r="P7533">
        <v>0</v>
      </c>
      <c r="Q7533">
        <v>5</v>
      </c>
      <c r="R7533" t="s">
        <v>44910</v>
      </c>
      <c r="S7533" t="s">
        <v>45076</v>
      </c>
      <c r="T7533" t="s">
        <v>46465</v>
      </c>
      <c r="U7533" t="s">
        <v>53034</v>
      </c>
      <c r="W7533" t="s">
        <v>41199</v>
      </c>
      <c r="X7533" t="s">
        <v>44911</v>
      </c>
    </row>
    <row r="7534" spans="1:24">
      <c r="A7534">
        <f>HYPERLINK("https://www.philgeps.gov.ph/GEPSNONPILOT/Tender/SplashBidNoticeAbstractUI.aspx?menuIndex=3&amp;refID=7074181&amp;Result=3","7074181")</f>
        <v>0</v>
      </c>
      <c r="B7534" t="s">
        <v>1270</v>
      </c>
      <c r="C7534" t="s">
        <v>10703</v>
      </c>
      <c r="D7534" t="s">
        <v>18118</v>
      </c>
      <c r="E7534" t="s">
        <v>24853</v>
      </c>
      <c r="F7534" t="s">
        <v>31362</v>
      </c>
      <c r="G7534" t="s">
        <v>31368</v>
      </c>
      <c r="H7534" t="s">
        <v>15799</v>
      </c>
      <c r="I7534" t="s">
        <v>4057</v>
      </c>
      <c r="J7534" t="s">
        <v>32026</v>
      </c>
      <c r="K7534" t="s">
        <v>40698</v>
      </c>
      <c r="M7534" t="s">
        <v>42287</v>
      </c>
      <c r="N7534" t="s">
        <v>44905</v>
      </c>
      <c r="O7534" t="s">
        <v>44906</v>
      </c>
      <c r="P7534">
        <v>0</v>
      </c>
      <c r="Q7534">
        <v>0</v>
      </c>
      <c r="R7534" t="s">
        <v>44910</v>
      </c>
      <c r="S7534" t="s">
        <v>45076</v>
      </c>
      <c r="T7534" t="s">
        <v>46438</v>
      </c>
      <c r="U7534" t="s">
        <v>49706</v>
      </c>
      <c r="W7534" t="s">
        <v>42287</v>
      </c>
      <c r="X7534" t="s">
        <v>44911</v>
      </c>
    </row>
    <row r="7535" spans="1:24">
      <c r="A7535">
        <f>HYPERLINK("https://www.philgeps.gov.ph/GEPSNONPILOT/Tender/SplashBidNoticeAbstractUI.aspx?menuIndex=3&amp;refID=7074194&amp;Result=3","7074194")</f>
        <v>0</v>
      </c>
      <c r="B7535" t="s">
        <v>2278</v>
      </c>
      <c r="C7535" t="s">
        <v>10704</v>
      </c>
      <c r="E7535" t="s">
        <v>18476</v>
      </c>
      <c r="F7535" t="s">
        <v>31362</v>
      </c>
      <c r="G7535" t="s">
        <v>31369</v>
      </c>
      <c r="H7535" t="s">
        <v>15799</v>
      </c>
      <c r="I7535" t="s">
        <v>31465</v>
      </c>
      <c r="J7535" t="s">
        <v>31687</v>
      </c>
      <c r="K7535" t="s">
        <v>40662</v>
      </c>
      <c r="M7535" t="s">
        <v>43417</v>
      </c>
      <c r="N7535" t="s">
        <v>44905</v>
      </c>
      <c r="O7535" t="s">
        <v>44906</v>
      </c>
      <c r="P7535">
        <v>0</v>
      </c>
      <c r="Q7535">
        <v>4</v>
      </c>
      <c r="R7535" t="s">
        <v>44910</v>
      </c>
      <c r="S7535" t="s">
        <v>45076</v>
      </c>
      <c r="T7535" t="s">
        <v>46483</v>
      </c>
      <c r="U7535" t="s">
        <v>53035</v>
      </c>
      <c r="W7535" t="s">
        <v>43417</v>
      </c>
      <c r="X7535" t="s">
        <v>44911</v>
      </c>
    </row>
    <row r="7536" spans="1:24">
      <c r="A7536">
        <f>HYPERLINK("https://www.philgeps.gov.ph/GEPSNONPILOT/Tender/SplashBidNoticeAbstractUI.aspx?menuIndex=3&amp;refID=7074210&amp;Result=3","7074210")</f>
        <v>0</v>
      </c>
      <c r="B7536" t="s">
        <v>2276</v>
      </c>
      <c r="C7536" t="s">
        <v>10705</v>
      </c>
      <c r="D7536" t="s">
        <v>18132</v>
      </c>
      <c r="E7536" t="s">
        <v>24854</v>
      </c>
      <c r="F7536" t="s">
        <v>31362</v>
      </c>
      <c r="G7536" t="s">
        <v>31369</v>
      </c>
      <c r="H7536" t="s">
        <v>31378</v>
      </c>
      <c r="I7536" t="s">
        <v>31386</v>
      </c>
      <c r="J7536" t="s">
        <v>36153</v>
      </c>
      <c r="K7536" t="s">
        <v>40683</v>
      </c>
      <c r="M7536" t="s">
        <v>43415</v>
      </c>
      <c r="N7536" t="s">
        <v>44905</v>
      </c>
      <c r="O7536" t="s">
        <v>44906</v>
      </c>
      <c r="P7536">
        <v>0</v>
      </c>
      <c r="Q7536">
        <v>0</v>
      </c>
      <c r="R7536" t="s">
        <v>44910</v>
      </c>
      <c r="S7536" t="s">
        <v>45076</v>
      </c>
      <c r="T7536" t="s">
        <v>46607</v>
      </c>
      <c r="U7536" t="s">
        <v>53031</v>
      </c>
      <c r="W7536" t="s">
        <v>43415</v>
      </c>
      <c r="X7536" t="s">
        <v>44911</v>
      </c>
    </row>
    <row r="7537" spans="1:24">
      <c r="A7537">
        <f>HYPERLINK("https://www.philgeps.gov.ph/GEPSNONPILOT/Tender/SplashBidNoticeAbstractUI.aspx?menuIndex=3&amp;refID=7074229&amp;Result=3","7074229")</f>
        <v>0</v>
      </c>
      <c r="B7537" t="s">
        <v>2181</v>
      </c>
      <c r="C7537" t="s">
        <v>10706</v>
      </c>
      <c r="D7537" t="s">
        <v>18156</v>
      </c>
      <c r="E7537" t="s">
        <v>24855</v>
      </c>
      <c r="F7537" t="s">
        <v>31362</v>
      </c>
      <c r="G7537" t="s">
        <v>31369</v>
      </c>
      <c r="H7537" t="s">
        <v>31378</v>
      </c>
      <c r="I7537" t="s">
        <v>31386</v>
      </c>
      <c r="J7537" t="s">
        <v>34185</v>
      </c>
      <c r="K7537" t="s">
        <v>40678</v>
      </c>
      <c r="M7537" t="s">
        <v>43312</v>
      </c>
      <c r="N7537" t="s">
        <v>44905</v>
      </c>
      <c r="O7537" t="s">
        <v>44906</v>
      </c>
      <c r="P7537">
        <v>0</v>
      </c>
      <c r="Q7537">
        <v>4</v>
      </c>
      <c r="R7537" t="s">
        <v>44910</v>
      </c>
      <c r="S7537" t="s">
        <v>45076</v>
      </c>
      <c r="T7537" t="s">
        <v>46479</v>
      </c>
      <c r="U7537" t="s">
        <v>52767</v>
      </c>
      <c r="W7537" t="s">
        <v>43312</v>
      </c>
      <c r="X7537" t="s">
        <v>44911</v>
      </c>
    </row>
    <row r="7538" spans="1:24">
      <c r="A7538">
        <f>HYPERLINK("https://www.philgeps.gov.ph/GEPSNONPILOT/Tender/SplashBidNoticeAbstractUI.aspx?menuIndex=3&amp;refID=7074167&amp;Result=3","7074167")</f>
        <v>0</v>
      </c>
      <c r="B7538" t="s">
        <v>2279</v>
      </c>
      <c r="C7538" t="s">
        <v>10707</v>
      </c>
      <c r="D7538" t="s">
        <v>18181</v>
      </c>
      <c r="E7538" t="s">
        <v>24856</v>
      </c>
      <c r="F7538" t="s">
        <v>31362</v>
      </c>
      <c r="G7538" t="s">
        <v>31369</v>
      </c>
      <c r="H7538" t="s">
        <v>31378</v>
      </c>
      <c r="I7538" t="s">
        <v>31386</v>
      </c>
      <c r="J7538" t="s">
        <v>31957</v>
      </c>
      <c r="K7538" t="s">
        <v>40830</v>
      </c>
      <c r="M7538" t="s">
        <v>43418</v>
      </c>
      <c r="N7538" t="s">
        <v>44905</v>
      </c>
      <c r="O7538" t="s">
        <v>44906</v>
      </c>
      <c r="P7538">
        <v>0</v>
      </c>
      <c r="Q7538">
        <v>2</v>
      </c>
      <c r="R7538" t="s">
        <v>44910</v>
      </c>
      <c r="S7538" t="s">
        <v>45076</v>
      </c>
      <c r="T7538" t="s">
        <v>46464</v>
      </c>
      <c r="U7538" t="s">
        <v>53036</v>
      </c>
      <c r="W7538" t="s">
        <v>43418</v>
      </c>
      <c r="X7538" t="s">
        <v>44911</v>
      </c>
    </row>
    <row r="7539" spans="1:24">
      <c r="A7539">
        <f>HYPERLINK("https://www.philgeps.gov.ph/GEPSNONPILOT/Tender/SplashBidNoticeAbstractUI.aspx?menuIndex=3&amp;refID=7074186&amp;Result=3","7074186")</f>
        <v>0</v>
      </c>
      <c r="B7539" t="s">
        <v>1922</v>
      </c>
      <c r="C7539" t="s">
        <v>10708</v>
      </c>
      <c r="D7539" t="s">
        <v>18146</v>
      </c>
      <c r="E7539" t="s">
        <v>24857</v>
      </c>
      <c r="F7539" t="s">
        <v>31362</v>
      </c>
      <c r="G7539" t="s">
        <v>31369</v>
      </c>
      <c r="H7539" t="s">
        <v>15799</v>
      </c>
      <c r="I7539" t="s">
        <v>3815</v>
      </c>
      <c r="J7539" t="s">
        <v>36154</v>
      </c>
      <c r="K7539" t="s">
        <v>40677</v>
      </c>
      <c r="M7539" t="s">
        <v>43019</v>
      </c>
      <c r="N7539" t="s">
        <v>44905</v>
      </c>
      <c r="O7539" t="s">
        <v>44906</v>
      </c>
      <c r="P7539">
        <v>0</v>
      </c>
      <c r="Q7539">
        <v>0</v>
      </c>
      <c r="R7539" t="s">
        <v>44910</v>
      </c>
      <c r="S7539" t="s">
        <v>45076</v>
      </c>
      <c r="T7539" t="s">
        <v>46519</v>
      </c>
      <c r="U7539" t="s">
        <v>53037</v>
      </c>
      <c r="W7539" t="s">
        <v>43019</v>
      </c>
      <c r="X7539" t="s">
        <v>44911</v>
      </c>
    </row>
    <row r="7540" spans="1:24">
      <c r="A7540">
        <f>HYPERLINK("https://www.philgeps.gov.ph/GEPSNONPILOT/Tender/SplashBidNoticeAbstractUI.aspx?menuIndex=3&amp;refID=7074239&amp;Result=3","7074239")</f>
        <v>0</v>
      </c>
      <c r="B7540" t="s">
        <v>1270</v>
      </c>
      <c r="C7540" t="s">
        <v>10709</v>
      </c>
      <c r="D7540" t="s">
        <v>18118</v>
      </c>
      <c r="E7540" t="s">
        <v>24858</v>
      </c>
      <c r="F7540" t="s">
        <v>31362</v>
      </c>
      <c r="G7540" t="s">
        <v>31368</v>
      </c>
      <c r="H7540" t="s">
        <v>15799</v>
      </c>
      <c r="I7540" t="s">
        <v>4057</v>
      </c>
      <c r="J7540" t="s">
        <v>32694</v>
      </c>
      <c r="K7540" t="s">
        <v>40698</v>
      </c>
      <c r="M7540" t="s">
        <v>42287</v>
      </c>
      <c r="N7540" t="s">
        <v>44905</v>
      </c>
      <c r="O7540" t="s">
        <v>44906</v>
      </c>
      <c r="P7540">
        <v>0</v>
      </c>
      <c r="Q7540">
        <v>0</v>
      </c>
      <c r="R7540" t="s">
        <v>44910</v>
      </c>
      <c r="S7540" t="s">
        <v>45076</v>
      </c>
      <c r="T7540" t="s">
        <v>46438</v>
      </c>
      <c r="U7540" t="s">
        <v>49706</v>
      </c>
      <c r="W7540" t="s">
        <v>42287</v>
      </c>
      <c r="X7540" t="s">
        <v>44911</v>
      </c>
    </row>
    <row r="7541" spans="1:24">
      <c r="A7541">
        <f>HYPERLINK("https://www.philgeps.gov.ph/GEPSNONPILOT/Tender/SplashBidNoticeAbstractUI.aspx?menuIndex=3&amp;refID=7074238&amp;Result=3","7074238")</f>
        <v>0</v>
      </c>
      <c r="B7541" t="s">
        <v>1184</v>
      </c>
      <c r="C7541" t="s">
        <v>10710</v>
      </c>
      <c r="D7541" t="s">
        <v>18119</v>
      </c>
      <c r="E7541" t="s">
        <v>24859</v>
      </c>
      <c r="F7541" t="s">
        <v>31362</v>
      </c>
      <c r="G7541" t="s">
        <v>31369</v>
      </c>
      <c r="H7541" t="s">
        <v>31378</v>
      </c>
      <c r="I7541" t="s">
        <v>31386</v>
      </c>
      <c r="J7541" t="s">
        <v>36155</v>
      </c>
      <c r="K7541" t="s">
        <v>40679</v>
      </c>
      <c r="M7541" t="s">
        <v>42555</v>
      </c>
      <c r="N7541" t="s">
        <v>44905</v>
      </c>
      <c r="O7541" t="s">
        <v>44906</v>
      </c>
      <c r="P7541">
        <v>0</v>
      </c>
      <c r="Q7541">
        <v>0</v>
      </c>
      <c r="R7541" t="s">
        <v>44910</v>
      </c>
      <c r="S7541" t="s">
        <v>45076</v>
      </c>
      <c r="T7541" t="s">
        <v>46559</v>
      </c>
      <c r="U7541" t="s">
        <v>53038</v>
      </c>
      <c r="W7541" t="s">
        <v>42555</v>
      </c>
      <c r="X7541" t="s">
        <v>44911</v>
      </c>
    </row>
    <row r="7542" spans="1:24">
      <c r="A7542">
        <f>HYPERLINK("https://www.philgeps.gov.ph/GEPSNONPILOT/Tender/SplashBidNoticeAbstractUI.aspx?menuIndex=3&amp;refID=7074237&amp;Result=3","7074237")</f>
        <v>0</v>
      </c>
      <c r="B7542" t="s">
        <v>180</v>
      </c>
      <c r="C7542" t="s">
        <v>10711</v>
      </c>
      <c r="D7542" t="s">
        <v>18112</v>
      </c>
      <c r="E7542" t="s">
        <v>22818</v>
      </c>
      <c r="F7542" t="s">
        <v>31362</v>
      </c>
      <c r="G7542" t="s">
        <v>31369</v>
      </c>
      <c r="H7542" t="s">
        <v>31378</v>
      </c>
      <c r="I7542" t="s">
        <v>31386</v>
      </c>
      <c r="J7542" t="s">
        <v>36156</v>
      </c>
      <c r="K7542" t="s">
        <v>40718</v>
      </c>
      <c r="M7542" t="s">
        <v>41118</v>
      </c>
      <c r="N7542" t="s">
        <v>44905</v>
      </c>
      <c r="O7542" t="s">
        <v>44906</v>
      </c>
      <c r="P7542">
        <v>0</v>
      </c>
      <c r="Q7542">
        <v>0</v>
      </c>
      <c r="R7542" t="s">
        <v>44910</v>
      </c>
      <c r="S7542" t="s">
        <v>45076</v>
      </c>
      <c r="T7542" t="s">
        <v>46431</v>
      </c>
      <c r="U7542" t="s">
        <v>53039</v>
      </c>
      <c r="W7542" t="s">
        <v>41118</v>
      </c>
      <c r="X7542" t="s">
        <v>44911</v>
      </c>
    </row>
    <row r="7543" spans="1:24">
      <c r="A7543">
        <f>HYPERLINK("https://www.philgeps.gov.ph/GEPSNONPILOT/Tender/SplashBidNoticeAbstractUI.aspx?menuIndex=3&amp;refID=7074232&amp;Result=3","7074232")</f>
        <v>0</v>
      </c>
      <c r="B7543" t="s">
        <v>1270</v>
      </c>
      <c r="C7543" t="s">
        <v>10712</v>
      </c>
      <c r="D7543" t="s">
        <v>18118</v>
      </c>
      <c r="E7543" t="s">
        <v>24860</v>
      </c>
      <c r="F7543" t="s">
        <v>31362</v>
      </c>
      <c r="G7543" t="s">
        <v>31368</v>
      </c>
      <c r="H7543" t="s">
        <v>15799</v>
      </c>
      <c r="I7543" t="s">
        <v>4057</v>
      </c>
      <c r="J7543" t="s">
        <v>36157</v>
      </c>
      <c r="K7543" t="s">
        <v>40698</v>
      </c>
      <c r="M7543" t="s">
        <v>42287</v>
      </c>
      <c r="N7543" t="s">
        <v>44905</v>
      </c>
      <c r="O7543" t="s">
        <v>44906</v>
      </c>
      <c r="P7543">
        <v>0</v>
      </c>
      <c r="Q7543">
        <v>0</v>
      </c>
      <c r="R7543" t="s">
        <v>44910</v>
      </c>
      <c r="S7543" t="s">
        <v>45076</v>
      </c>
      <c r="T7543" t="s">
        <v>46438</v>
      </c>
      <c r="U7543" t="s">
        <v>49706</v>
      </c>
      <c r="W7543" t="s">
        <v>42287</v>
      </c>
      <c r="X7543" t="s">
        <v>44911</v>
      </c>
    </row>
    <row r="7544" spans="1:24">
      <c r="A7544">
        <f>HYPERLINK("https://www.philgeps.gov.ph/GEPSNONPILOT/Tender/SplashBidNoticeAbstractUI.aspx?menuIndex=3&amp;refID=7074231&amp;Result=3","7074231")</f>
        <v>0</v>
      </c>
      <c r="B7544" t="s">
        <v>2267</v>
      </c>
      <c r="C7544" t="s">
        <v>10713</v>
      </c>
      <c r="E7544" t="s">
        <v>24861</v>
      </c>
      <c r="F7544" t="s">
        <v>31362</v>
      </c>
      <c r="G7544" t="s">
        <v>31372</v>
      </c>
      <c r="H7544" t="s">
        <v>15799</v>
      </c>
      <c r="I7544" t="s">
        <v>31386</v>
      </c>
      <c r="J7544" t="s">
        <v>36158</v>
      </c>
      <c r="K7544" t="s">
        <v>40662</v>
      </c>
      <c r="M7544" t="s">
        <v>43406</v>
      </c>
      <c r="N7544" t="s">
        <v>44905</v>
      </c>
      <c r="O7544" t="s">
        <v>44906</v>
      </c>
      <c r="P7544">
        <v>0</v>
      </c>
      <c r="Q7544">
        <v>0</v>
      </c>
      <c r="R7544" t="s">
        <v>44910</v>
      </c>
      <c r="S7544" t="s">
        <v>45076</v>
      </c>
      <c r="T7544" t="s">
        <v>46396</v>
      </c>
      <c r="U7544" t="s">
        <v>51318</v>
      </c>
      <c r="W7544" t="s">
        <v>43406</v>
      </c>
      <c r="X7544" t="s">
        <v>44911</v>
      </c>
    </row>
    <row r="7545" spans="1:24">
      <c r="A7545">
        <f>HYPERLINK("https://www.philgeps.gov.ph/GEPSNONPILOT/Tender/SplashBidNoticeAbstractUI.aspx?menuIndex=3&amp;refID=7074228&amp;Result=3","7074228")</f>
        <v>0</v>
      </c>
      <c r="B7545" t="s">
        <v>1184</v>
      </c>
      <c r="C7545" t="s">
        <v>10714</v>
      </c>
      <c r="D7545" t="s">
        <v>18119</v>
      </c>
      <c r="E7545" t="s">
        <v>24862</v>
      </c>
      <c r="F7545" t="s">
        <v>31362</v>
      </c>
      <c r="G7545" t="s">
        <v>31369</v>
      </c>
      <c r="H7545" t="s">
        <v>31378</v>
      </c>
      <c r="I7545" t="s">
        <v>31386</v>
      </c>
      <c r="J7545" t="s">
        <v>36159</v>
      </c>
      <c r="K7545" t="s">
        <v>40682</v>
      </c>
      <c r="M7545" t="s">
        <v>42555</v>
      </c>
      <c r="N7545" t="s">
        <v>44905</v>
      </c>
      <c r="O7545" t="s">
        <v>44906</v>
      </c>
      <c r="P7545">
        <v>0</v>
      </c>
      <c r="Q7545">
        <v>0</v>
      </c>
      <c r="R7545" t="s">
        <v>44910</v>
      </c>
      <c r="S7545" t="s">
        <v>45076</v>
      </c>
      <c r="T7545" t="s">
        <v>46559</v>
      </c>
      <c r="U7545" t="s">
        <v>53040</v>
      </c>
      <c r="W7545" t="s">
        <v>42555</v>
      </c>
      <c r="X7545" t="s">
        <v>44911</v>
      </c>
    </row>
    <row r="7546" spans="1:24">
      <c r="A7546">
        <f>HYPERLINK("https://www.philgeps.gov.ph/GEPSNONPILOT/Tender/SplashBidNoticeAbstractUI.aspx?menuIndex=3&amp;refID=7074227&amp;Result=3","7074227")</f>
        <v>0</v>
      </c>
      <c r="B7546" t="s">
        <v>2129</v>
      </c>
      <c r="C7546" t="s">
        <v>10715</v>
      </c>
      <c r="D7546" t="s">
        <v>18170</v>
      </c>
      <c r="E7546" t="s">
        <v>24783</v>
      </c>
      <c r="F7546" t="s">
        <v>31362</v>
      </c>
      <c r="G7546" t="s">
        <v>31369</v>
      </c>
      <c r="H7546" t="s">
        <v>15799</v>
      </c>
      <c r="I7546" t="s">
        <v>31430</v>
      </c>
      <c r="J7546" t="s">
        <v>36160</v>
      </c>
      <c r="K7546" t="s">
        <v>40665</v>
      </c>
      <c r="M7546" t="s">
        <v>43257</v>
      </c>
      <c r="N7546" t="s">
        <v>44905</v>
      </c>
      <c r="O7546" t="s">
        <v>44906</v>
      </c>
      <c r="P7546">
        <v>0</v>
      </c>
      <c r="Q7546">
        <v>0</v>
      </c>
      <c r="R7546" t="s">
        <v>44910</v>
      </c>
      <c r="S7546" t="s">
        <v>45076</v>
      </c>
      <c r="T7546" t="s">
        <v>46433</v>
      </c>
      <c r="U7546" t="s">
        <v>52973</v>
      </c>
      <c r="W7546" t="s">
        <v>43257</v>
      </c>
      <c r="X7546" t="s">
        <v>44911</v>
      </c>
    </row>
    <row r="7547" spans="1:24">
      <c r="A7547">
        <f>HYPERLINK("https://www.philgeps.gov.ph/GEPSNONPILOT/Tender/SplashBidNoticeAbstractUI.aspx?menuIndex=3&amp;refID=7074223&amp;Result=3","7074223")</f>
        <v>0</v>
      </c>
      <c r="B7547" t="s">
        <v>2280</v>
      </c>
      <c r="C7547" t="s">
        <v>10716</v>
      </c>
      <c r="D7547" t="s">
        <v>18102</v>
      </c>
      <c r="E7547" t="s">
        <v>24863</v>
      </c>
      <c r="F7547" t="s">
        <v>31362</v>
      </c>
      <c r="G7547" t="s">
        <v>31369</v>
      </c>
      <c r="H7547" t="s">
        <v>31378</v>
      </c>
      <c r="I7547" t="s">
        <v>31386</v>
      </c>
      <c r="J7547" t="s">
        <v>31898</v>
      </c>
      <c r="K7547" t="s">
        <v>40675</v>
      </c>
      <c r="M7547" t="s">
        <v>43419</v>
      </c>
      <c r="N7547" t="s">
        <v>44905</v>
      </c>
      <c r="O7547" t="s">
        <v>44906</v>
      </c>
      <c r="P7547">
        <v>0</v>
      </c>
      <c r="Q7547">
        <v>0</v>
      </c>
      <c r="R7547" t="s">
        <v>44910</v>
      </c>
      <c r="S7547" t="s">
        <v>45076</v>
      </c>
      <c r="T7547" t="s">
        <v>46412</v>
      </c>
      <c r="U7547" t="s">
        <v>53041</v>
      </c>
      <c r="W7547" t="s">
        <v>43419</v>
      </c>
      <c r="X7547" t="s">
        <v>44911</v>
      </c>
    </row>
    <row r="7548" spans="1:24">
      <c r="A7548">
        <f>HYPERLINK("https://www.philgeps.gov.ph/GEPSNONPILOT/Tender/SplashBidNoticeAbstractUI.aspx?menuIndex=3&amp;refID=7074174&amp;Result=3","7074174")</f>
        <v>0</v>
      </c>
      <c r="B7548" t="s">
        <v>2277</v>
      </c>
      <c r="C7548" t="s">
        <v>10717</v>
      </c>
      <c r="D7548" t="s">
        <v>18102</v>
      </c>
      <c r="E7548" t="s">
        <v>18466</v>
      </c>
      <c r="F7548" t="s">
        <v>31362</v>
      </c>
      <c r="G7548" t="s">
        <v>31369</v>
      </c>
      <c r="H7548" t="s">
        <v>15799</v>
      </c>
      <c r="I7548" t="s">
        <v>31409</v>
      </c>
      <c r="J7548" t="s">
        <v>34598</v>
      </c>
      <c r="K7548" t="s">
        <v>40666</v>
      </c>
      <c r="M7548" t="s">
        <v>43416</v>
      </c>
      <c r="N7548" t="s">
        <v>44905</v>
      </c>
      <c r="O7548" t="s">
        <v>44906</v>
      </c>
      <c r="P7548">
        <v>0</v>
      </c>
      <c r="Q7548">
        <v>1</v>
      </c>
      <c r="R7548" t="s">
        <v>44910</v>
      </c>
      <c r="S7548" t="s">
        <v>45076</v>
      </c>
      <c r="T7548" t="s">
        <v>46392</v>
      </c>
      <c r="U7548" t="s">
        <v>53042</v>
      </c>
      <c r="V7548" t="s">
        <v>59804</v>
      </c>
      <c r="W7548" t="s">
        <v>43416</v>
      </c>
      <c r="X7548" t="s">
        <v>44911</v>
      </c>
    </row>
    <row r="7549" spans="1:24">
      <c r="A7549">
        <f>HYPERLINK("https://www.philgeps.gov.ph/GEPSNONPILOT/Tender/SplashBidNoticeAbstractUI.aspx?menuIndex=3&amp;refID=7074225&amp;Result=3","7074225")</f>
        <v>0</v>
      </c>
      <c r="B7549" t="s">
        <v>1270</v>
      </c>
      <c r="C7549" t="s">
        <v>10718</v>
      </c>
      <c r="D7549" t="s">
        <v>18118</v>
      </c>
      <c r="E7549" t="s">
        <v>24864</v>
      </c>
      <c r="F7549" t="s">
        <v>31362</v>
      </c>
      <c r="G7549" t="s">
        <v>31368</v>
      </c>
      <c r="H7549" t="s">
        <v>15799</v>
      </c>
      <c r="I7549" t="s">
        <v>4057</v>
      </c>
      <c r="J7549" t="s">
        <v>32593</v>
      </c>
      <c r="K7549" t="s">
        <v>40698</v>
      </c>
      <c r="M7549" t="s">
        <v>42287</v>
      </c>
      <c r="N7549" t="s">
        <v>44905</v>
      </c>
      <c r="O7549" t="s">
        <v>44906</v>
      </c>
      <c r="P7549">
        <v>0</v>
      </c>
      <c r="Q7549">
        <v>0</v>
      </c>
      <c r="R7549" t="s">
        <v>44910</v>
      </c>
      <c r="S7549" t="s">
        <v>45076</v>
      </c>
      <c r="T7549" t="s">
        <v>46438</v>
      </c>
      <c r="U7549" t="s">
        <v>49706</v>
      </c>
      <c r="W7549" t="s">
        <v>42287</v>
      </c>
      <c r="X7549" t="s">
        <v>44911</v>
      </c>
    </row>
    <row r="7550" spans="1:24">
      <c r="A7550">
        <f>HYPERLINK("https://www.philgeps.gov.ph/GEPSNONPILOT/Tender/SplashBidNoticeAbstractUI.aspx?menuIndex=3&amp;refID=7074230&amp;Result=3","7074230")</f>
        <v>0</v>
      </c>
      <c r="B7550" t="s">
        <v>2280</v>
      </c>
      <c r="C7550" t="s">
        <v>3824</v>
      </c>
      <c r="D7550" t="s">
        <v>18102</v>
      </c>
      <c r="E7550" t="s">
        <v>22818</v>
      </c>
      <c r="F7550" t="s">
        <v>31362</v>
      </c>
      <c r="G7550" t="s">
        <v>31369</v>
      </c>
      <c r="H7550" t="s">
        <v>31378</v>
      </c>
      <c r="I7550" t="s">
        <v>31386</v>
      </c>
      <c r="J7550" t="s">
        <v>36161</v>
      </c>
      <c r="K7550" t="s">
        <v>40665</v>
      </c>
      <c r="M7550" t="s">
        <v>43419</v>
      </c>
      <c r="N7550" t="s">
        <v>44905</v>
      </c>
      <c r="O7550" t="s">
        <v>44906</v>
      </c>
      <c r="P7550">
        <v>0</v>
      </c>
      <c r="Q7550">
        <v>0</v>
      </c>
      <c r="R7550" t="s">
        <v>44910</v>
      </c>
      <c r="S7550" t="s">
        <v>45076</v>
      </c>
      <c r="T7550" t="s">
        <v>46412</v>
      </c>
      <c r="U7550" t="s">
        <v>53043</v>
      </c>
      <c r="W7550" t="s">
        <v>43419</v>
      </c>
      <c r="X7550" t="s">
        <v>44911</v>
      </c>
    </row>
    <row r="7551" spans="1:24">
      <c r="A7551">
        <f>HYPERLINK("https://www.philgeps.gov.ph/GEPSNONPILOT/Tender/SplashBidNoticeAbstractUI.aspx?menuIndex=3&amp;refID=7074218&amp;Result=3","7074218")</f>
        <v>0</v>
      </c>
      <c r="B7551" t="s">
        <v>180</v>
      </c>
      <c r="C7551" t="s">
        <v>10719</v>
      </c>
      <c r="D7551" t="s">
        <v>18112</v>
      </c>
      <c r="E7551" t="s">
        <v>24863</v>
      </c>
      <c r="F7551" t="s">
        <v>31362</v>
      </c>
      <c r="G7551" t="s">
        <v>31369</v>
      </c>
      <c r="H7551" t="s">
        <v>31378</v>
      </c>
      <c r="I7551" t="s">
        <v>31386</v>
      </c>
      <c r="J7551" t="s">
        <v>36162</v>
      </c>
      <c r="K7551" t="s">
        <v>40718</v>
      </c>
      <c r="M7551" t="s">
        <v>41118</v>
      </c>
      <c r="N7551" t="s">
        <v>44905</v>
      </c>
      <c r="O7551" t="s">
        <v>44906</v>
      </c>
      <c r="P7551">
        <v>0</v>
      </c>
      <c r="Q7551">
        <v>0</v>
      </c>
      <c r="R7551" t="s">
        <v>44910</v>
      </c>
      <c r="S7551" t="s">
        <v>45076</v>
      </c>
      <c r="T7551" t="s">
        <v>46431</v>
      </c>
      <c r="U7551" t="s">
        <v>53044</v>
      </c>
      <c r="W7551" t="s">
        <v>41118</v>
      </c>
      <c r="X7551" t="s">
        <v>44911</v>
      </c>
    </row>
    <row r="7552" spans="1:24">
      <c r="A7552">
        <f>HYPERLINK("https://www.philgeps.gov.ph/GEPSNONPILOT/Tender/SplashBidNoticeAbstractUI.aspx?menuIndex=3&amp;refID=7074216&amp;Result=3","7074216")</f>
        <v>0</v>
      </c>
      <c r="B7552" t="s">
        <v>2281</v>
      </c>
      <c r="C7552" t="s">
        <v>10720</v>
      </c>
      <c r="D7552" t="s">
        <v>18100</v>
      </c>
      <c r="E7552" t="s">
        <v>18232</v>
      </c>
      <c r="F7552" t="s">
        <v>31362</v>
      </c>
      <c r="G7552" t="s">
        <v>31369</v>
      </c>
      <c r="H7552" t="s">
        <v>15799</v>
      </c>
      <c r="I7552" t="s">
        <v>31444</v>
      </c>
      <c r="J7552" t="s">
        <v>31768</v>
      </c>
      <c r="K7552" t="s">
        <v>40693</v>
      </c>
      <c r="M7552" t="s">
        <v>43420</v>
      </c>
      <c r="N7552" t="s">
        <v>44905</v>
      </c>
      <c r="O7552" t="s">
        <v>44906</v>
      </c>
      <c r="P7552">
        <v>0</v>
      </c>
      <c r="Q7552">
        <v>0</v>
      </c>
      <c r="R7552" t="s">
        <v>44910</v>
      </c>
      <c r="S7552" t="s">
        <v>45076</v>
      </c>
      <c r="T7552" t="s">
        <v>46461</v>
      </c>
      <c r="U7552" t="s">
        <v>53045</v>
      </c>
      <c r="W7552" t="s">
        <v>43420</v>
      </c>
      <c r="X7552" t="s">
        <v>44911</v>
      </c>
    </row>
    <row r="7553" spans="1:24">
      <c r="A7553">
        <f>HYPERLINK("https://www.philgeps.gov.ph/GEPSNONPILOT/Tender/SplashBidNoticeAbstractUI.aspx?menuIndex=3&amp;refID=7074215&amp;Result=3","7074215")</f>
        <v>0</v>
      </c>
      <c r="B7553" t="s">
        <v>2282</v>
      </c>
      <c r="C7553" t="s">
        <v>10721</v>
      </c>
      <c r="D7553" t="s">
        <v>18108</v>
      </c>
      <c r="E7553" t="s">
        <v>24865</v>
      </c>
      <c r="F7553" t="s">
        <v>31363</v>
      </c>
      <c r="G7553" t="s">
        <v>31369</v>
      </c>
      <c r="H7553" t="s">
        <v>15799</v>
      </c>
      <c r="I7553" t="s">
        <v>7090</v>
      </c>
      <c r="J7553" t="s">
        <v>32549</v>
      </c>
      <c r="K7553" t="s">
        <v>40661</v>
      </c>
      <c r="M7553" t="s">
        <v>43421</v>
      </c>
      <c r="N7553" t="s">
        <v>44905</v>
      </c>
      <c r="O7553" t="s">
        <v>44906</v>
      </c>
      <c r="P7553">
        <v>0</v>
      </c>
      <c r="Q7553">
        <v>7</v>
      </c>
      <c r="R7553" t="s">
        <v>44910</v>
      </c>
      <c r="S7553" t="s">
        <v>45076</v>
      </c>
      <c r="T7553" t="s">
        <v>46392</v>
      </c>
      <c r="U7553" t="s">
        <v>53046</v>
      </c>
      <c r="W7553" t="s">
        <v>43421</v>
      </c>
      <c r="X7553" t="s">
        <v>44911</v>
      </c>
    </row>
    <row r="7554" spans="1:24">
      <c r="A7554">
        <f>HYPERLINK("https://www.philgeps.gov.ph/GEPSNONPILOT/Tender/SplashBidNoticeAbstractUI.aspx?menuIndex=3&amp;refID=7074212&amp;Result=3","7074212")</f>
        <v>0</v>
      </c>
      <c r="B7554" t="s">
        <v>1270</v>
      </c>
      <c r="C7554" t="s">
        <v>10722</v>
      </c>
      <c r="D7554" t="s">
        <v>18118</v>
      </c>
      <c r="E7554" t="s">
        <v>24866</v>
      </c>
      <c r="F7554" t="s">
        <v>31362</v>
      </c>
      <c r="G7554" t="s">
        <v>31368</v>
      </c>
      <c r="H7554" t="s">
        <v>15799</v>
      </c>
      <c r="I7554" t="s">
        <v>4057</v>
      </c>
      <c r="J7554" t="s">
        <v>36163</v>
      </c>
      <c r="K7554" t="s">
        <v>40698</v>
      </c>
      <c r="M7554" t="s">
        <v>42287</v>
      </c>
      <c r="N7554" t="s">
        <v>44905</v>
      </c>
      <c r="O7554" t="s">
        <v>44906</v>
      </c>
      <c r="P7554">
        <v>0</v>
      </c>
      <c r="Q7554">
        <v>0</v>
      </c>
      <c r="R7554" t="s">
        <v>44910</v>
      </c>
      <c r="S7554" t="s">
        <v>45076</v>
      </c>
      <c r="T7554" t="s">
        <v>46438</v>
      </c>
      <c r="U7554" t="s">
        <v>49706</v>
      </c>
      <c r="W7554" t="s">
        <v>42287</v>
      </c>
      <c r="X7554" t="s">
        <v>44911</v>
      </c>
    </row>
    <row r="7555" spans="1:24">
      <c r="A7555">
        <f>HYPERLINK("https://www.philgeps.gov.ph/GEPSNONPILOT/Tender/SplashBidNoticeAbstractUI.aspx?menuIndex=3&amp;refID=7074203&amp;Result=3","7074203")</f>
        <v>0</v>
      </c>
      <c r="B7555" t="s">
        <v>180</v>
      </c>
      <c r="C7555" t="s">
        <v>10723</v>
      </c>
      <c r="D7555" t="s">
        <v>18112</v>
      </c>
      <c r="E7555" t="s">
        <v>22137</v>
      </c>
      <c r="F7555" t="s">
        <v>31362</v>
      </c>
      <c r="G7555" t="s">
        <v>31369</v>
      </c>
      <c r="H7555" t="s">
        <v>31378</v>
      </c>
      <c r="I7555" t="s">
        <v>31386</v>
      </c>
      <c r="J7555" t="s">
        <v>36164</v>
      </c>
      <c r="K7555" t="s">
        <v>40742</v>
      </c>
      <c r="M7555" t="s">
        <v>41118</v>
      </c>
      <c r="N7555" t="s">
        <v>44905</v>
      </c>
      <c r="O7555" t="s">
        <v>44906</v>
      </c>
      <c r="P7555">
        <v>0</v>
      </c>
      <c r="Q7555">
        <v>0</v>
      </c>
      <c r="R7555" t="s">
        <v>44910</v>
      </c>
      <c r="S7555" t="s">
        <v>45076</v>
      </c>
      <c r="T7555" t="s">
        <v>46431</v>
      </c>
      <c r="U7555" t="s">
        <v>53047</v>
      </c>
      <c r="W7555" t="s">
        <v>41118</v>
      </c>
      <c r="X7555" t="s">
        <v>44911</v>
      </c>
    </row>
    <row r="7556" spans="1:24">
      <c r="A7556">
        <f>HYPERLINK("https://www.philgeps.gov.ph/GEPSNONPILOT/Tender/SplashBidNoticeAbstractUI.aspx?menuIndex=3&amp;refID=7074175&amp;Result=3","7074175")</f>
        <v>0</v>
      </c>
      <c r="B7556" t="s">
        <v>2276</v>
      </c>
      <c r="C7556" t="s">
        <v>10724</v>
      </c>
      <c r="D7556" t="s">
        <v>18132</v>
      </c>
      <c r="E7556" t="s">
        <v>24867</v>
      </c>
      <c r="F7556" t="s">
        <v>31362</v>
      </c>
      <c r="G7556" t="s">
        <v>31369</v>
      </c>
      <c r="H7556" t="s">
        <v>31378</v>
      </c>
      <c r="I7556" t="s">
        <v>31386</v>
      </c>
      <c r="J7556" t="s">
        <v>36165</v>
      </c>
      <c r="K7556" t="s">
        <v>40831</v>
      </c>
      <c r="M7556" t="s">
        <v>43415</v>
      </c>
      <c r="N7556" t="s">
        <v>44905</v>
      </c>
      <c r="O7556" t="s">
        <v>44906</v>
      </c>
      <c r="P7556">
        <v>0</v>
      </c>
      <c r="Q7556">
        <v>0</v>
      </c>
      <c r="R7556" t="s">
        <v>44910</v>
      </c>
      <c r="S7556" t="s">
        <v>45076</v>
      </c>
      <c r="T7556" t="s">
        <v>46607</v>
      </c>
      <c r="U7556" t="s">
        <v>53031</v>
      </c>
      <c r="W7556" t="s">
        <v>43415</v>
      </c>
      <c r="X7556" t="s">
        <v>44911</v>
      </c>
    </row>
    <row r="7557" spans="1:24">
      <c r="A7557">
        <f>HYPERLINK("https://www.philgeps.gov.ph/GEPSNONPILOT/Tender/SplashBidNoticeAbstractUI.aspx?menuIndex=3&amp;refID=7074243&amp;Result=3","7074243")</f>
        <v>0</v>
      </c>
      <c r="B7557" t="s">
        <v>2283</v>
      </c>
      <c r="C7557" t="s">
        <v>10725</v>
      </c>
      <c r="D7557" t="s">
        <v>18106</v>
      </c>
      <c r="E7557" t="s">
        <v>20596</v>
      </c>
      <c r="F7557" t="s">
        <v>31363</v>
      </c>
      <c r="G7557" t="s">
        <v>31370</v>
      </c>
      <c r="H7557" t="s">
        <v>15799</v>
      </c>
      <c r="I7557" t="s">
        <v>6155</v>
      </c>
      <c r="J7557" t="s">
        <v>31577</v>
      </c>
      <c r="K7557" t="s">
        <v>40666</v>
      </c>
      <c r="M7557" t="s">
        <v>43422</v>
      </c>
      <c r="N7557" t="s">
        <v>44905</v>
      </c>
      <c r="O7557" t="s">
        <v>44906</v>
      </c>
      <c r="P7557">
        <v>0</v>
      </c>
      <c r="Q7557">
        <v>2</v>
      </c>
      <c r="R7557" t="s">
        <v>44910</v>
      </c>
      <c r="S7557" t="s">
        <v>45076</v>
      </c>
      <c r="T7557" t="s">
        <v>46414</v>
      </c>
      <c r="U7557" t="s">
        <v>53048</v>
      </c>
      <c r="W7557" t="s">
        <v>43422</v>
      </c>
      <c r="X7557" t="s">
        <v>44911</v>
      </c>
    </row>
    <row r="7558" spans="1:24">
      <c r="A7558">
        <f>HYPERLINK("https://www.philgeps.gov.ph/GEPSNONPILOT/Tender/SplashBidNoticeAbstractUI.aspx?menuIndex=3&amp;refID=7074240&amp;Result=3","7074240")</f>
        <v>0</v>
      </c>
      <c r="B7558" t="s">
        <v>2284</v>
      </c>
      <c r="C7558" t="s">
        <v>10726</v>
      </c>
      <c r="D7558" t="s">
        <v>18116</v>
      </c>
      <c r="E7558" t="s">
        <v>10823</v>
      </c>
      <c r="F7558" t="s">
        <v>31362</v>
      </c>
      <c r="G7558" t="s">
        <v>31369</v>
      </c>
      <c r="H7558" t="s">
        <v>31378</v>
      </c>
      <c r="I7558" t="s">
        <v>31386</v>
      </c>
      <c r="J7558" t="s">
        <v>31586</v>
      </c>
      <c r="K7558" t="s">
        <v>40662</v>
      </c>
      <c r="M7558" t="s">
        <v>43423</v>
      </c>
      <c r="N7558" t="s">
        <v>44905</v>
      </c>
      <c r="O7558" t="s">
        <v>44906</v>
      </c>
      <c r="P7558">
        <v>0</v>
      </c>
      <c r="Q7558">
        <v>0</v>
      </c>
      <c r="R7558" t="s">
        <v>44910</v>
      </c>
      <c r="S7558" t="s">
        <v>45076</v>
      </c>
      <c r="T7558" t="s">
        <v>46400</v>
      </c>
      <c r="U7558" t="s">
        <v>53049</v>
      </c>
      <c r="W7558" t="s">
        <v>43423</v>
      </c>
      <c r="X7558" t="s">
        <v>44911</v>
      </c>
    </row>
    <row r="7559" spans="1:24">
      <c r="A7559">
        <f>HYPERLINK("https://www.philgeps.gov.ph/GEPSNONPILOT/Tender/SplashBidNoticeAbstractUI.aspx?menuIndex=3&amp;refID=7074269&amp;Result=3","7074269")</f>
        <v>0</v>
      </c>
      <c r="B7559" t="s">
        <v>2285</v>
      </c>
      <c r="C7559" t="s">
        <v>10727</v>
      </c>
      <c r="E7559" t="s">
        <v>24868</v>
      </c>
      <c r="F7559" t="s">
        <v>31362</v>
      </c>
      <c r="G7559" t="s">
        <v>31372</v>
      </c>
      <c r="H7559" t="s">
        <v>31377</v>
      </c>
      <c r="I7559" t="s">
        <v>31377</v>
      </c>
      <c r="J7559" t="s">
        <v>36166</v>
      </c>
      <c r="K7559" t="s">
        <v>40662</v>
      </c>
      <c r="M7559" t="s">
        <v>43424</v>
      </c>
      <c r="N7559" t="s">
        <v>44905</v>
      </c>
      <c r="O7559" t="s">
        <v>44906</v>
      </c>
      <c r="P7559">
        <v>0</v>
      </c>
      <c r="Q7559">
        <v>4</v>
      </c>
      <c r="R7559" t="s">
        <v>44910</v>
      </c>
      <c r="S7559" t="s">
        <v>45076</v>
      </c>
      <c r="T7559" t="s">
        <v>46437</v>
      </c>
      <c r="U7559" t="s">
        <v>49166</v>
      </c>
      <c r="W7559" t="s">
        <v>43424</v>
      </c>
      <c r="X7559" t="s">
        <v>44911</v>
      </c>
    </row>
    <row r="7560" spans="1:24">
      <c r="A7560">
        <f>HYPERLINK("https://www.philgeps.gov.ph/GEPSNONPILOT/Tender/SplashBidNoticeAbstractUI.aspx?menuIndex=3&amp;refID=7074214&amp;Result=3","7074214")</f>
        <v>0</v>
      </c>
      <c r="B7560" t="s">
        <v>2274</v>
      </c>
      <c r="C7560" t="s">
        <v>10728</v>
      </c>
      <c r="D7560" t="s">
        <v>18132</v>
      </c>
      <c r="E7560" t="s">
        <v>24869</v>
      </c>
      <c r="F7560" t="s">
        <v>31362</v>
      </c>
      <c r="G7560" t="s">
        <v>31370</v>
      </c>
      <c r="H7560" t="s">
        <v>15799</v>
      </c>
      <c r="I7560" t="s">
        <v>31433</v>
      </c>
      <c r="J7560" t="s">
        <v>36167</v>
      </c>
      <c r="K7560" t="s">
        <v>40666</v>
      </c>
      <c r="M7560" t="s">
        <v>43413</v>
      </c>
      <c r="N7560" t="s">
        <v>44905</v>
      </c>
      <c r="O7560" t="s">
        <v>44906</v>
      </c>
      <c r="P7560">
        <v>0</v>
      </c>
      <c r="Q7560">
        <v>1</v>
      </c>
      <c r="R7560" t="s">
        <v>44910</v>
      </c>
      <c r="S7560" t="s">
        <v>45076</v>
      </c>
      <c r="T7560" t="s">
        <v>46409</v>
      </c>
      <c r="U7560" t="s">
        <v>53050</v>
      </c>
      <c r="V7560" t="s">
        <v>59803</v>
      </c>
      <c r="W7560" t="s">
        <v>43413</v>
      </c>
      <c r="X7560" t="s">
        <v>44911</v>
      </c>
    </row>
    <row r="7561" spans="1:24">
      <c r="A7561">
        <f>HYPERLINK("https://www.philgeps.gov.ph/GEPSNONPILOT/Tender/SplashBidNoticeAbstractUI.aspx?menuIndex=3&amp;refID=7074222&amp;Result=3","7074222")</f>
        <v>0</v>
      </c>
      <c r="B7561" t="s">
        <v>1583</v>
      </c>
      <c r="C7561" t="s">
        <v>10729</v>
      </c>
      <c r="D7561" t="s">
        <v>18108</v>
      </c>
      <c r="E7561" t="s">
        <v>24870</v>
      </c>
      <c r="F7561" t="s">
        <v>31362</v>
      </c>
      <c r="G7561" t="s">
        <v>31369</v>
      </c>
      <c r="H7561" t="s">
        <v>31378</v>
      </c>
      <c r="I7561" t="s">
        <v>31386</v>
      </c>
      <c r="J7561" t="s">
        <v>36168</v>
      </c>
      <c r="K7561" t="s">
        <v>40679</v>
      </c>
      <c r="M7561" t="s">
        <v>43117</v>
      </c>
      <c r="N7561" t="s">
        <v>44905</v>
      </c>
      <c r="O7561" t="s">
        <v>44906</v>
      </c>
      <c r="P7561">
        <v>0</v>
      </c>
      <c r="Q7561">
        <v>6</v>
      </c>
      <c r="R7561" t="s">
        <v>44910</v>
      </c>
      <c r="S7561" t="s">
        <v>45076</v>
      </c>
      <c r="T7561" t="s">
        <v>46433</v>
      </c>
      <c r="U7561" t="s">
        <v>52172</v>
      </c>
      <c r="W7561" t="s">
        <v>43117</v>
      </c>
      <c r="X7561" t="s">
        <v>44911</v>
      </c>
    </row>
    <row r="7562" spans="1:24">
      <c r="A7562">
        <f>HYPERLINK("https://www.philgeps.gov.ph/GEPSNONPILOT/Tender/SplashBidNoticeAbstractUI.aspx?menuIndex=3&amp;refID=7074270&amp;Result=3","7074270")</f>
        <v>0</v>
      </c>
      <c r="B7562" t="s">
        <v>180</v>
      </c>
      <c r="C7562" t="s">
        <v>10730</v>
      </c>
      <c r="D7562" t="s">
        <v>18112</v>
      </c>
      <c r="E7562" t="s">
        <v>22819</v>
      </c>
      <c r="F7562" t="s">
        <v>31362</v>
      </c>
      <c r="G7562" t="s">
        <v>31369</v>
      </c>
      <c r="H7562" t="s">
        <v>31378</v>
      </c>
      <c r="I7562" t="s">
        <v>31386</v>
      </c>
      <c r="J7562" t="s">
        <v>36169</v>
      </c>
      <c r="K7562" t="s">
        <v>40694</v>
      </c>
      <c r="M7562" t="s">
        <v>41118</v>
      </c>
      <c r="N7562" t="s">
        <v>44905</v>
      </c>
      <c r="O7562" t="s">
        <v>44906</v>
      </c>
      <c r="P7562">
        <v>0</v>
      </c>
      <c r="Q7562">
        <v>0</v>
      </c>
      <c r="R7562" t="s">
        <v>44910</v>
      </c>
      <c r="S7562" t="s">
        <v>45076</v>
      </c>
      <c r="T7562" t="s">
        <v>46431</v>
      </c>
      <c r="U7562" t="s">
        <v>53051</v>
      </c>
      <c r="W7562" t="s">
        <v>41118</v>
      </c>
      <c r="X7562" t="s">
        <v>44911</v>
      </c>
    </row>
    <row r="7563" spans="1:24">
      <c r="A7563">
        <f>HYPERLINK("https://www.philgeps.gov.ph/GEPSNONPILOT/Tender/SplashBidNoticeAbstractUI.aspx?menuIndex=3&amp;refID=7074268&amp;Result=3","7074268")</f>
        <v>0</v>
      </c>
      <c r="B7563" t="s">
        <v>1270</v>
      </c>
      <c r="C7563" t="s">
        <v>10731</v>
      </c>
      <c r="D7563" t="s">
        <v>18118</v>
      </c>
      <c r="E7563" t="s">
        <v>24871</v>
      </c>
      <c r="F7563" t="s">
        <v>31362</v>
      </c>
      <c r="G7563" t="s">
        <v>31368</v>
      </c>
      <c r="H7563" t="s">
        <v>15799</v>
      </c>
      <c r="I7563" t="s">
        <v>4057</v>
      </c>
      <c r="J7563" t="s">
        <v>36157</v>
      </c>
      <c r="K7563" t="s">
        <v>40698</v>
      </c>
      <c r="M7563" t="s">
        <v>42287</v>
      </c>
      <c r="N7563" t="s">
        <v>44905</v>
      </c>
      <c r="O7563" t="s">
        <v>44906</v>
      </c>
      <c r="P7563">
        <v>0</v>
      </c>
      <c r="Q7563">
        <v>0</v>
      </c>
      <c r="R7563" t="s">
        <v>44910</v>
      </c>
      <c r="S7563" t="s">
        <v>45076</v>
      </c>
      <c r="T7563" t="s">
        <v>46438</v>
      </c>
      <c r="U7563" t="s">
        <v>49706</v>
      </c>
      <c r="W7563" t="s">
        <v>42287</v>
      </c>
      <c r="X7563" t="s">
        <v>44911</v>
      </c>
    </row>
    <row r="7564" spans="1:24">
      <c r="A7564">
        <f>HYPERLINK("https://www.philgeps.gov.ph/GEPSNONPILOT/Tender/SplashBidNoticeAbstractUI.aspx?menuIndex=3&amp;refID=7074242&amp;Result=3","7074242")</f>
        <v>0</v>
      </c>
      <c r="B7564" t="s">
        <v>2286</v>
      </c>
      <c r="C7564" t="s">
        <v>9263</v>
      </c>
      <c r="D7564" t="s">
        <v>18116</v>
      </c>
      <c r="E7564" t="s">
        <v>24872</v>
      </c>
      <c r="F7564" t="s">
        <v>31362</v>
      </c>
      <c r="G7564" t="s">
        <v>31369</v>
      </c>
      <c r="H7564" t="s">
        <v>15799</v>
      </c>
      <c r="I7564" t="s">
        <v>4283</v>
      </c>
      <c r="J7564" t="s">
        <v>31578</v>
      </c>
      <c r="K7564" t="s">
        <v>40670</v>
      </c>
      <c r="M7564" t="s">
        <v>43425</v>
      </c>
      <c r="N7564" t="s">
        <v>44905</v>
      </c>
      <c r="O7564" t="s">
        <v>44906</v>
      </c>
      <c r="P7564">
        <v>0</v>
      </c>
      <c r="Q7564">
        <v>0</v>
      </c>
      <c r="R7564" t="s">
        <v>44910</v>
      </c>
      <c r="S7564" t="s">
        <v>45076</v>
      </c>
      <c r="T7564" t="s">
        <v>46410</v>
      </c>
      <c r="U7564" t="s">
        <v>53052</v>
      </c>
      <c r="W7564" t="s">
        <v>43425</v>
      </c>
      <c r="X7564" t="s">
        <v>44911</v>
      </c>
    </row>
    <row r="7565" spans="1:24">
      <c r="A7565">
        <f>HYPERLINK("https://www.philgeps.gov.ph/GEPSNONPILOT/Tender/SplashBidNoticeAbstractUI.aspx?menuIndex=3&amp;refID=7074263&amp;Result=3","7074263")</f>
        <v>0</v>
      </c>
      <c r="B7565" t="s">
        <v>2129</v>
      </c>
      <c r="C7565" t="s">
        <v>10732</v>
      </c>
      <c r="D7565" t="s">
        <v>18170</v>
      </c>
      <c r="E7565" t="s">
        <v>24783</v>
      </c>
      <c r="F7565" t="s">
        <v>31362</v>
      </c>
      <c r="G7565" t="s">
        <v>31369</v>
      </c>
      <c r="H7565" t="s">
        <v>15799</v>
      </c>
      <c r="I7565" t="s">
        <v>31430</v>
      </c>
      <c r="J7565" t="s">
        <v>32952</v>
      </c>
      <c r="K7565" t="s">
        <v>40665</v>
      </c>
      <c r="M7565" t="s">
        <v>43257</v>
      </c>
      <c r="N7565" t="s">
        <v>44905</v>
      </c>
      <c r="O7565" t="s">
        <v>44906</v>
      </c>
      <c r="P7565">
        <v>0</v>
      </c>
      <c r="Q7565">
        <v>1</v>
      </c>
      <c r="R7565" t="s">
        <v>44910</v>
      </c>
      <c r="S7565" t="s">
        <v>45076</v>
      </c>
      <c r="T7565" t="s">
        <v>46433</v>
      </c>
      <c r="U7565" t="s">
        <v>52973</v>
      </c>
      <c r="W7565" t="s">
        <v>43257</v>
      </c>
      <c r="X7565" t="s">
        <v>44911</v>
      </c>
    </row>
    <row r="7566" spans="1:24">
      <c r="A7566">
        <f>HYPERLINK("https://www.philgeps.gov.ph/GEPSNONPILOT/Tender/SplashBidNoticeAbstractUI.aspx?menuIndex=3&amp;refID=7074258&amp;Result=3","7074258")</f>
        <v>0</v>
      </c>
      <c r="B7566" t="s">
        <v>831</v>
      </c>
      <c r="C7566" t="s">
        <v>10733</v>
      </c>
      <c r="D7566" t="s">
        <v>18108</v>
      </c>
      <c r="E7566" t="s">
        <v>24873</v>
      </c>
      <c r="F7566" t="s">
        <v>31362</v>
      </c>
      <c r="G7566" t="s">
        <v>31369</v>
      </c>
      <c r="H7566" t="s">
        <v>15799</v>
      </c>
      <c r="I7566" t="s">
        <v>31385</v>
      </c>
      <c r="J7566" t="s">
        <v>31536</v>
      </c>
      <c r="K7566" t="s">
        <v>40666</v>
      </c>
      <c r="M7566" t="s">
        <v>43388</v>
      </c>
      <c r="N7566" t="s">
        <v>44905</v>
      </c>
      <c r="O7566" t="s">
        <v>44906</v>
      </c>
      <c r="P7566">
        <v>0</v>
      </c>
      <c r="Q7566">
        <v>1</v>
      </c>
      <c r="R7566" t="s">
        <v>44910</v>
      </c>
      <c r="S7566" t="s">
        <v>45076</v>
      </c>
      <c r="T7566" t="s">
        <v>46393</v>
      </c>
      <c r="U7566" t="s">
        <v>47749</v>
      </c>
      <c r="W7566" t="s">
        <v>43388</v>
      </c>
      <c r="X7566" t="s">
        <v>44911</v>
      </c>
    </row>
    <row r="7567" spans="1:24">
      <c r="A7567">
        <f>HYPERLINK("https://www.philgeps.gov.ph/GEPSNONPILOT/Tender/SplashBidNoticeAbstractUI.aspx?menuIndex=3&amp;refID=7074271&amp;Result=3","7074271")</f>
        <v>0</v>
      </c>
      <c r="B7567" t="s">
        <v>579</v>
      </c>
      <c r="C7567" t="s">
        <v>10734</v>
      </c>
      <c r="D7567" t="s">
        <v>18112</v>
      </c>
      <c r="E7567" t="s">
        <v>24874</v>
      </c>
      <c r="F7567" t="s">
        <v>31362</v>
      </c>
      <c r="G7567" t="s">
        <v>31369</v>
      </c>
      <c r="H7567" t="s">
        <v>15799</v>
      </c>
      <c r="I7567" t="s">
        <v>31397</v>
      </c>
      <c r="J7567" t="s">
        <v>36170</v>
      </c>
      <c r="K7567" t="s">
        <v>40666</v>
      </c>
      <c r="M7567" t="s">
        <v>43153</v>
      </c>
      <c r="N7567" t="s">
        <v>44905</v>
      </c>
      <c r="O7567" t="s">
        <v>44906</v>
      </c>
      <c r="P7567">
        <v>0</v>
      </c>
      <c r="Q7567">
        <v>4</v>
      </c>
      <c r="R7567" t="s">
        <v>44910</v>
      </c>
      <c r="S7567" t="s">
        <v>45076</v>
      </c>
      <c r="T7567" t="s">
        <v>46616</v>
      </c>
      <c r="U7567" t="s">
        <v>53053</v>
      </c>
      <c r="W7567" t="s">
        <v>43153</v>
      </c>
      <c r="X7567" t="s">
        <v>44911</v>
      </c>
    </row>
    <row r="7568" spans="1:24">
      <c r="A7568">
        <f>HYPERLINK("https://www.philgeps.gov.ph/GEPSNONPILOT/Tender/SplashBidNoticeAbstractUI.aspx?menuIndex=3&amp;refID=7074257&amp;Result=3","7074257")</f>
        <v>0</v>
      </c>
      <c r="B7568" t="s">
        <v>1270</v>
      </c>
      <c r="C7568" t="s">
        <v>10735</v>
      </c>
      <c r="D7568" t="s">
        <v>18118</v>
      </c>
      <c r="E7568" t="s">
        <v>24875</v>
      </c>
      <c r="F7568" t="s">
        <v>31362</v>
      </c>
      <c r="G7568" t="s">
        <v>31368</v>
      </c>
      <c r="H7568" t="s">
        <v>15799</v>
      </c>
      <c r="I7568" t="s">
        <v>4057</v>
      </c>
      <c r="J7568" t="s">
        <v>36171</v>
      </c>
      <c r="K7568" t="s">
        <v>40698</v>
      </c>
      <c r="M7568" t="s">
        <v>42287</v>
      </c>
      <c r="N7568" t="s">
        <v>44905</v>
      </c>
      <c r="O7568" t="s">
        <v>44906</v>
      </c>
      <c r="P7568">
        <v>0</v>
      </c>
      <c r="Q7568">
        <v>0</v>
      </c>
      <c r="R7568" t="s">
        <v>44910</v>
      </c>
      <c r="S7568" t="s">
        <v>45076</v>
      </c>
      <c r="T7568" t="s">
        <v>46438</v>
      </c>
      <c r="U7568" t="s">
        <v>49706</v>
      </c>
      <c r="W7568" t="s">
        <v>42287</v>
      </c>
      <c r="X7568" t="s">
        <v>44911</v>
      </c>
    </row>
    <row r="7569" spans="1:24">
      <c r="A7569">
        <f>HYPERLINK("https://www.philgeps.gov.ph/GEPSNONPILOT/Tender/SplashBidNoticeAbstractUI.aspx?menuIndex=3&amp;refID=7074253&amp;Result=3","7074253")</f>
        <v>0</v>
      </c>
      <c r="B7569" t="s">
        <v>831</v>
      </c>
      <c r="C7569" t="s">
        <v>10736</v>
      </c>
      <c r="D7569" t="s">
        <v>18108</v>
      </c>
      <c r="E7569" t="s">
        <v>24876</v>
      </c>
      <c r="F7569" t="s">
        <v>31362</v>
      </c>
      <c r="G7569" t="s">
        <v>31369</v>
      </c>
      <c r="H7569" t="s">
        <v>15799</v>
      </c>
      <c r="I7569" t="s">
        <v>31385</v>
      </c>
      <c r="J7569" t="s">
        <v>36172</v>
      </c>
      <c r="K7569" t="s">
        <v>40666</v>
      </c>
      <c r="M7569" t="s">
        <v>43388</v>
      </c>
      <c r="N7569" t="s">
        <v>44905</v>
      </c>
      <c r="O7569" t="s">
        <v>44906</v>
      </c>
      <c r="P7569">
        <v>0</v>
      </c>
      <c r="Q7569">
        <v>1</v>
      </c>
      <c r="R7569" t="s">
        <v>44910</v>
      </c>
      <c r="S7569" t="s">
        <v>45076</v>
      </c>
      <c r="T7569" t="s">
        <v>46393</v>
      </c>
      <c r="U7569" t="s">
        <v>47749</v>
      </c>
      <c r="W7569" t="s">
        <v>43388</v>
      </c>
      <c r="X7569" t="s">
        <v>44911</v>
      </c>
    </row>
    <row r="7570" spans="1:24">
      <c r="A7570">
        <f>HYPERLINK("https://www.philgeps.gov.ph/GEPSNONPILOT/Tender/SplashBidNoticeAbstractUI.aspx?menuIndex=3&amp;refID=7074220&amp;Result=3","7074220")</f>
        <v>0</v>
      </c>
      <c r="B7570" t="s">
        <v>1395</v>
      </c>
      <c r="C7570" t="s">
        <v>10737</v>
      </c>
      <c r="D7570" t="s">
        <v>18116</v>
      </c>
      <c r="E7570" t="s">
        <v>24877</v>
      </c>
      <c r="F7570" t="s">
        <v>31362</v>
      </c>
      <c r="G7570" t="s">
        <v>31369</v>
      </c>
      <c r="H7570" t="s">
        <v>31378</v>
      </c>
      <c r="I7570" t="s">
        <v>31386</v>
      </c>
      <c r="J7570" t="s">
        <v>31625</v>
      </c>
      <c r="K7570" t="s">
        <v>40675</v>
      </c>
      <c r="M7570" t="s">
        <v>42420</v>
      </c>
      <c r="N7570" t="s">
        <v>44905</v>
      </c>
      <c r="O7570" t="s">
        <v>44906</v>
      </c>
      <c r="P7570">
        <v>0</v>
      </c>
      <c r="Q7570">
        <v>1</v>
      </c>
      <c r="R7570" t="s">
        <v>44910</v>
      </c>
      <c r="S7570" t="s">
        <v>45076</v>
      </c>
      <c r="T7570" t="s">
        <v>46433</v>
      </c>
      <c r="U7570" t="s">
        <v>53054</v>
      </c>
      <c r="W7570" t="s">
        <v>42420</v>
      </c>
      <c r="X7570" t="s">
        <v>44911</v>
      </c>
    </row>
    <row r="7571" spans="1:24">
      <c r="A7571">
        <f>HYPERLINK("https://www.philgeps.gov.ph/GEPSNONPILOT/Tender/SplashBidNoticeAbstractUI.aspx?menuIndex=3&amp;refID=7074252&amp;Result=3","7074252")</f>
        <v>0</v>
      </c>
      <c r="B7571" t="s">
        <v>180</v>
      </c>
      <c r="C7571" t="s">
        <v>10738</v>
      </c>
      <c r="D7571" t="s">
        <v>18112</v>
      </c>
      <c r="E7571" t="s">
        <v>24878</v>
      </c>
      <c r="F7571" t="s">
        <v>31362</v>
      </c>
      <c r="G7571" t="s">
        <v>31369</v>
      </c>
      <c r="H7571" t="s">
        <v>31378</v>
      </c>
      <c r="I7571" t="s">
        <v>31386</v>
      </c>
      <c r="J7571" t="s">
        <v>36173</v>
      </c>
      <c r="K7571" t="s">
        <v>40718</v>
      </c>
      <c r="M7571" t="s">
        <v>41118</v>
      </c>
      <c r="N7571" t="s">
        <v>44905</v>
      </c>
      <c r="O7571" t="s">
        <v>44906</v>
      </c>
      <c r="P7571">
        <v>0</v>
      </c>
      <c r="Q7571">
        <v>0</v>
      </c>
      <c r="R7571" t="s">
        <v>44910</v>
      </c>
      <c r="S7571" t="s">
        <v>45076</v>
      </c>
      <c r="T7571" t="s">
        <v>46431</v>
      </c>
      <c r="U7571" t="s">
        <v>53055</v>
      </c>
      <c r="W7571" t="s">
        <v>41118</v>
      </c>
      <c r="X7571" t="s">
        <v>44911</v>
      </c>
    </row>
    <row r="7572" spans="1:24">
      <c r="A7572">
        <f>HYPERLINK("https://www.philgeps.gov.ph/GEPSNONPILOT/Tender/SplashBidNoticeAbstractUI.aspx?menuIndex=3&amp;refID=7074264&amp;Result=3","7074264")</f>
        <v>0</v>
      </c>
      <c r="B7572" t="s">
        <v>831</v>
      </c>
      <c r="C7572" t="s">
        <v>10739</v>
      </c>
      <c r="D7572" t="s">
        <v>18108</v>
      </c>
      <c r="E7572" t="s">
        <v>24879</v>
      </c>
      <c r="F7572" t="s">
        <v>31362</v>
      </c>
      <c r="G7572" t="s">
        <v>31369</v>
      </c>
      <c r="H7572" t="s">
        <v>15799</v>
      </c>
      <c r="I7572" t="s">
        <v>31385</v>
      </c>
      <c r="J7572" t="s">
        <v>36079</v>
      </c>
      <c r="K7572" t="s">
        <v>40666</v>
      </c>
      <c r="M7572" t="s">
        <v>43388</v>
      </c>
      <c r="N7572" t="s">
        <v>44905</v>
      </c>
      <c r="O7572" t="s">
        <v>44906</v>
      </c>
      <c r="P7572">
        <v>0</v>
      </c>
      <c r="Q7572">
        <v>1</v>
      </c>
      <c r="R7572" t="s">
        <v>44910</v>
      </c>
      <c r="S7572" t="s">
        <v>45076</v>
      </c>
      <c r="T7572" t="s">
        <v>46393</v>
      </c>
      <c r="U7572" t="s">
        <v>47749</v>
      </c>
      <c r="W7572" t="s">
        <v>43388</v>
      </c>
      <c r="X7572" t="s">
        <v>44911</v>
      </c>
    </row>
    <row r="7573" spans="1:24">
      <c r="A7573">
        <f>HYPERLINK("https://www.philgeps.gov.ph/GEPSNONPILOT/Tender/SplashBidNoticeAbstractUI.aspx?menuIndex=3&amp;refID=7074251&amp;Result=3","7074251")</f>
        <v>0</v>
      </c>
      <c r="B7573" t="s">
        <v>908</v>
      </c>
      <c r="C7573" t="s">
        <v>10740</v>
      </c>
      <c r="D7573" t="s">
        <v>18155</v>
      </c>
      <c r="E7573" t="s">
        <v>24880</v>
      </c>
      <c r="F7573" t="s">
        <v>31362</v>
      </c>
      <c r="G7573" t="s">
        <v>31368</v>
      </c>
      <c r="H7573" t="s">
        <v>15799</v>
      </c>
      <c r="I7573" t="s">
        <v>31395</v>
      </c>
      <c r="J7573" t="s">
        <v>36174</v>
      </c>
      <c r="K7573" t="s">
        <v>40666</v>
      </c>
      <c r="M7573" t="s">
        <v>43426</v>
      </c>
      <c r="N7573" t="s">
        <v>44905</v>
      </c>
      <c r="O7573" t="s">
        <v>44906</v>
      </c>
      <c r="P7573">
        <v>0</v>
      </c>
      <c r="Q7573">
        <v>4</v>
      </c>
      <c r="R7573" t="s">
        <v>44910</v>
      </c>
      <c r="S7573" t="s">
        <v>45076</v>
      </c>
      <c r="T7573" t="s">
        <v>46454</v>
      </c>
      <c r="U7573" t="s">
        <v>53056</v>
      </c>
      <c r="W7573" t="s">
        <v>43426</v>
      </c>
      <c r="X7573" t="s">
        <v>44911</v>
      </c>
    </row>
    <row r="7574" spans="1:24">
      <c r="A7574">
        <f>HYPERLINK("https://www.philgeps.gov.ph/GEPSNONPILOT/Tender/SplashBidNoticeAbstractUI.aspx?menuIndex=3&amp;refID=7074247&amp;Result=3","7074247")</f>
        <v>0</v>
      </c>
      <c r="B7574" t="s">
        <v>831</v>
      </c>
      <c r="C7574" t="s">
        <v>10741</v>
      </c>
      <c r="D7574" t="s">
        <v>18108</v>
      </c>
      <c r="E7574" t="s">
        <v>24881</v>
      </c>
      <c r="F7574" t="s">
        <v>31362</v>
      </c>
      <c r="G7574" t="s">
        <v>31369</v>
      </c>
      <c r="H7574" t="s">
        <v>15799</v>
      </c>
      <c r="I7574" t="s">
        <v>31385</v>
      </c>
      <c r="J7574" t="s">
        <v>36175</v>
      </c>
      <c r="K7574" t="s">
        <v>40666</v>
      </c>
      <c r="M7574" t="s">
        <v>43388</v>
      </c>
      <c r="N7574" t="s">
        <v>44905</v>
      </c>
      <c r="O7574" t="s">
        <v>44906</v>
      </c>
      <c r="P7574">
        <v>0</v>
      </c>
      <c r="Q7574">
        <v>1</v>
      </c>
      <c r="R7574" t="s">
        <v>44910</v>
      </c>
      <c r="S7574" t="s">
        <v>45076</v>
      </c>
      <c r="T7574" t="s">
        <v>46393</v>
      </c>
      <c r="U7574" t="s">
        <v>47749</v>
      </c>
      <c r="W7574" t="s">
        <v>43388</v>
      </c>
      <c r="X7574" t="s">
        <v>44911</v>
      </c>
    </row>
    <row r="7575" spans="1:24">
      <c r="A7575">
        <f>HYPERLINK("https://www.philgeps.gov.ph/GEPSNONPILOT/Tender/SplashBidNoticeAbstractUI.aspx?menuIndex=3&amp;refID=7074245&amp;Result=3","7074245")</f>
        <v>0</v>
      </c>
      <c r="B7575" t="s">
        <v>1184</v>
      </c>
      <c r="C7575" t="s">
        <v>10742</v>
      </c>
      <c r="D7575" t="s">
        <v>18119</v>
      </c>
      <c r="E7575" t="s">
        <v>24882</v>
      </c>
      <c r="F7575" t="s">
        <v>31362</v>
      </c>
      <c r="G7575" t="s">
        <v>31369</v>
      </c>
      <c r="H7575" t="s">
        <v>15799</v>
      </c>
      <c r="I7575" t="s">
        <v>31386</v>
      </c>
      <c r="J7575" t="s">
        <v>36176</v>
      </c>
      <c r="K7575" t="s">
        <v>40682</v>
      </c>
      <c r="M7575" t="s">
        <v>42555</v>
      </c>
      <c r="N7575" t="s">
        <v>44905</v>
      </c>
      <c r="O7575" t="s">
        <v>44906</v>
      </c>
      <c r="P7575">
        <v>0</v>
      </c>
      <c r="Q7575">
        <v>0</v>
      </c>
      <c r="R7575" t="s">
        <v>44910</v>
      </c>
      <c r="S7575" t="s">
        <v>45076</v>
      </c>
      <c r="T7575" t="s">
        <v>46559</v>
      </c>
      <c r="U7575" t="s">
        <v>53057</v>
      </c>
      <c r="W7575" t="s">
        <v>42555</v>
      </c>
      <c r="X7575" t="s">
        <v>44911</v>
      </c>
    </row>
    <row r="7576" spans="1:24">
      <c r="A7576">
        <f>HYPERLINK("https://www.philgeps.gov.ph/GEPSNONPILOT/Tender/SplashBidNoticeAbstractUI.aspx?menuIndex=3&amp;refID=7074244&amp;Result=3","7074244")</f>
        <v>0</v>
      </c>
      <c r="B7576" t="s">
        <v>2237</v>
      </c>
      <c r="C7576" t="s">
        <v>10743</v>
      </c>
      <c r="D7576" t="s">
        <v>18104</v>
      </c>
      <c r="E7576" t="s">
        <v>22937</v>
      </c>
      <c r="F7576" t="s">
        <v>31362</v>
      </c>
      <c r="G7576" t="s">
        <v>31369</v>
      </c>
      <c r="H7576" t="s">
        <v>15799</v>
      </c>
      <c r="I7576" t="s">
        <v>3815</v>
      </c>
      <c r="J7576" t="s">
        <v>35087</v>
      </c>
      <c r="K7576" t="s">
        <v>40662</v>
      </c>
      <c r="M7576" t="s">
        <v>43374</v>
      </c>
      <c r="N7576" t="s">
        <v>44905</v>
      </c>
      <c r="O7576" t="s">
        <v>44906</v>
      </c>
      <c r="P7576">
        <v>0</v>
      </c>
      <c r="Q7576">
        <v>0</v>
      </c>
      <c r="R7576" t="s">
        <v>44910</v>
      </c>
      <c r="S7576" t="s">
        <v>45076</v>
      </c>
      <c r="T7576" t="s">
        <v>46426</v>
      </c>
      <c r="U7576" t="s">
        <v>53058</v>
      </c>
      <c r="W7576" t="s">
        <v>43374</v>
      </c>
      <c r="X7576" t="s">
        <v>44911</v>
      </c>
    </row>
    <row r="7577" spans="1:24">
      <c r="A7577">
        <f>HYPERLINK("https://www.philgeps.gov.ph/GEPSNONPILOT/Tender/SplashBidNoticeAbstractUI.aspx?menuIndex=3&amp;refID=7074260&amp;Result=3","7074260")</f>
        <v>0</v>
      </c>
      <c r="B7577" t="s">
        <v>1655</v>
      </c>
      <c r="C7577" t="s">
        <v>10744</v>
      </c>
      <c r="D7577" t="s">
        <v>18136</v>
      </c>
      <c r="E7577" t="s">
        <v>24883</v>
      </c>
      <c r="F7577" t="s">
        <v>31362</v>
      </c>
      <c r="G7577" t="s">
        <v>31368</v>
      </c>
      <c r="H7577" t="s">
        <v>15799</v>
      </c>
      <c r="I7577" t="s">
        <v>31430</v>
      </c>
      <c r="J7577" t="s">
        <v>32581</v>
      </c>
      <c r="K7577" t="s">
        <v>40661</v>
      </c>
      <c r="M7577" t="s">
        <v>43362</v>
      </c>
      <c r="N7577" t="s">
        <v>44905</v>
      </c>
      <c r="O7577" t="s">
        <v>44906</v>
      </c>
      <c r="P7577">
        <v>0</v>
      </c>
      <c r="Q7577">
        <v>1</v>
      </c>
      <c r="R7577" t="s">
        <v>44910</v>
      </c>
      <c r="S7577" t="s">
        <v>45076</v>
      </c>
      <c r="T7577" t="s">
        <v>46425</v>
      </c>
      <c r="U7577" t="s">
        <v>53059</v>
      </c>
      <c r="W7577" t="s">
        <v>43362</v>
      </c>
      <c r="X7577" t="s">
        <v>44911</v>
      </c>
    </row>
    <row r="7578" spans="1:24">
      <c r="A7578">
        <f>HYPERLINK("https://www.philgeps.gov.ph/GEPSNONPILOT/Tender/SplashBidNoticeAbstractUI.aspx?menuIndex=3&amp;refID=7074272&amp;Result=3","7074272")</f>
        <v>0</v>
      </c>
      <c r="B7578" t="s">
        <v>926</v>
      </c>
      <c r="C7578" t="s">
        <v>10745</v>
      </c>
      <c r="D7578" t="s">
        <v>18117</v>
      </c>
      <c r="E7578" t="s">
        <v>24884</v>
      </c>
      <c r="F7578" t="s">
        <v>31362</v>
      </c>
      <c r="G7578" t="s">
        <v>31368</v>
      </c>
      <c r="H7578" t="s">
        <v>15799</v>
      </c>
      <c r="I7578" t="s">
        <v>31431</v>
      </c>
      <c r="J7578" t="s">
        <v>36177</v>
      </c>
      <c r="K7578" t="s">
        <v>40662</v>
      </c>
      <c r="M7578" t="s">
        <v>43349</v>
      </c>
      <c r="N7578" t="s">
        <v>44905</v>
      </c>
      <c r="O7578" t="s">
        <v>44906</v>
      </c>
      <c r="P7578">
        <v>0</v>
      </c>
      <c r="Q7578">
        <v>0</v>
      </c>
      <c r="R7578" t="s">
        <v>44910</v>
      </c>
      <c r="S7578" t="s">
        <v>45076</v>
      </c>
      <c r="T7578" t="s">
        <v>46470</v>
      </c>
      <c r="U7578" t="s">
        <v>52847</v>
      </c>
      <c r="W7578" t="s">
        <v>43349</v>
      </c>
      <c r="X7578" t="s">
        <v>44911</v>
      </c>
    </row>
    <row r="7579" spans="1:24">
      <c r="A7579">
        <f>HYPERLINK("https://www.philgeps.gov.ph/GEPSNONPILOT/Tender/SplashBidNoticeAbstractUI.aspx?menuIndex=3&amp;refID=7074294&amp;Result=3","7074294")</f>
        <v>0</v>
      </c>
      <c r="B7579" t="s">
        <v>2261</v>
      </c>
      <c r="C7579" t="s">
        <v>10746</v>
      </c>
      <c r="D7579" t="s">
        <v>18162</v>
      </c>
      <c r="E7579" t="s">
        <v>24885</v>
      </c>
      <c r="F7579" t="s">
        <v>31362</v>
      </c>
      <c r="G7579" t="s">
        <v>31368</v>
      </c>
      <c r="H7579" t="s">
        <v>15799</v>
      </c>
      <c r="I7579" t="s">
        <v>31385</v>
      </c>
      <c r="J7579" t="s">
        <v>36178</v>
      </c>
      <c r="K7579" t="s">
        <v>40666</v>
      </c>
      <c r="M7579" t="s">
        <v>43400</v>
      </c>
      <c r="N7579" t="s">
        <v>44905</v>
      </c>
      <c r="O7579" t="s">
        <v>44906</v>
      </c>
      <c r="Q7579">
        <v>2</v>
      </c>
      <c r="R7579" t="s">
        <v>44910</v>
      </c>
      <c r="S7579" t="s">
        <v>45097</v>
      </c>
      <c r="T7579" t="s">
        <v>46432</v>
      </c>
      <c r="U7579" t="s">
        <v>53060</v>
      </c>
      <c r="W7579" t="s">
        <v>43400</v>
      </c>
      <c r="X7579" t="s">
        <v>44911</v>
      </c>
    </row>
    <row r="7580" spans="1:24">
      <c r="A7580">
        <f>HYPERLINK("https://www.philgeps.gov.ph/GEPSNONPILOT/Tender/SplashBidNoticeAbstractUI.aspx?menuIndex=3&amp;refID=7074256&amp;Result=3","7074256")</f>
        <v>0</v>
      </c>
      <c r="B7580" t="s">
        <v>1184</v>
      </c>
      <c r="C7580" t="s">
        <v>10747</v>
      </c>
      <c r="D7580" t="s">
        <v>18119</v>
      </c>
      <c r="E7580" t="s">
        <v>24886</v>
      </c>
      <c r="F7580" t="s">
        <v>31362</v>
      </c>
      <c r="G7580" t="s">
        <v>31369</v>
      </c>
      <c r="H7580" t="s">
        <v>31378</v>
      </c>
      <c r="I7580" t="s">
        <v>31386</v>
      </c>
      <c r="J7580" t="s">
        <v>36179</v>
      </c>
      <c r="K7580" t="s">
        <v>40682</v>
      </c>
      <c r="M7580" t="s">
        <v>42555</v>
      </c>
      <c r="N7580" t="s">
        <v>44905</v>
      </c>
      <c r="O7580" t="s">
        <v>44906</v>
      </c>
      <c r="P7580">
        <v>0</v>
      </c>
      <c r="Q7580">
        <v>0</v>
      </c>
      <c r="R7580" t="s">
        <v>44910</v>
      </c>
      <c r="S7580" t="s">
        <v>45076</v>
      </c>
      <c r="T7580" t="s">
        <v>46559</v>
      </c>
      <c r="U7580" t="s">
        <v>53061</v>
      </c>
      <c r="W7580" t="s">
        <v>42555</v>
      </c>
      <c r="X7580" t="s">
        <v>44911</v>
      </c>
    </row>
    <row r="7581" spans="1:24">
      <c r="A7581">
        <f>HYPERLINK("https://www.philgeps.gov.ph/GEPSNONPILOT/Tender/SplashBidNoticeAbstractUI.aspx?menuIndex=3&amp;refID=7074293&amp;Result=3","7074293")</f>
        <v>0</v>
      </c>
      <c r="B7581" t="s">
        <v>2287</v>
      </c>
      <c r="C7581" t="s">
        <v>10748</v>
      </c>
      <c r="D7581" t="s">
        <v>18130</v>
      </c>
      <c r="E7581" t="s">
        <v>24887</v>
      </c>
      <c r="F7581" t="s">
        <v>31362</v>
      </c>
      <c r="G7581" t="s">
        <v>31369</v>
      </c>
      <c r="H7581" t="s">
        <v>15799</v>
      </c>
      <c r="I7581" t="s">
        <v>31409</v>
      </c>
      <c r="J7581" t="s">
        <v>31602</v>
      </c>
      <c r="K7581" t="s">
        <v>40679</v>
      </c>
      <c r="M7581" t="s">
        <v>43427</v>
      </c>
      <c r="N7581" t="s">
        <v>44905</v>
      </c>
      <c r="O7581" t="s">
        <v>44906</v>
      </c>
      <c r="P7581">
        <v>0</v>
      </c>
      <c r="Q7581">
        <v>2</v>
      </c>
      <c r="R7581" t="s">
        <v>44910</v>
      </c>
      <c r="S7581" t="s">
        <v>45076</v>
      </c>
      <c r="T7581" t="s">
        <v>46433</v>
      </c>
      <c r="U7581" t="s">
        <v>53062</v>
      </c>
      <c r="V7581" t="s">
        <v>59805</v>
      </c>
      <c r="W7581" t="s">
        <v>43427</v>
      </c>
      <c r="X7581" t="s">
        <v>44911</v>
      </c>
    </row>
    <row r="7582" spans="1:24">
      <c r="A7582">
        <f>HYPERLINK("https://www.philgeps.gov.ph/GEPSNONPILOT/Tender/SplashBidNoticeAbstractUI.aspx?menuIndex=3&amp;refID=7074188&amp;Result=3","7074188")</f>
        <v>0</v>
      </c>
      <c r="B7582" t="s">
        <v>180</v>
      </c>
      <c r="C7582" t="s">
        <v>10749</v>
      </c>
      <c r="D7582" t="s">
        <v>18112</v>
      </c>
      <c r="E7582" t="s">
        <v>24888</v>
      </c>
      <c r="F7582" t="s">
        <v>31362</v>
      </c>
      <c r="G7582" t="s">
        <v>31369</v>
      </c>
      <c r="H7582" t="s">
        <v>31378</v>
      </c>
      <c r="I7582" t="s">
        <v>31386</v>
      </c>
      <c r="J7582" t="s">
        <v>36180</v>
      </c>
      <c r="K7582" t="s">
        <v>40679</v>
      </c>
      <c r="M7582" t="s">
        <v>41118</v>
      </c>
      <c r="N7582" t="s">
        <v>44905</v>
      </c>
      <c r="O7582" t="s">
        <v>44906</v>
      </c>
      <c r="P7582">
        <v>0</v>
      </c>
      <c r="Q7582">
        <v>0</v>
      </c>
      <c r="R7582" t="s">
        <v>44910</v>
      </c>
      <c r="S7582" t="s">
        <v>45076</v>
      </c>
      <c r="T7582" t="s">
        <v>46431</v>
      </c>
      <c r="U7582" t="s">
        <v>53063</v>
      </c>
      <c r="W7582" t="s">
        <v>41118</v>
      </c>
      <c r="X7582" t="s">
        <v>44911</v>
      </c>
    </row>
    <row r="7583" spans="1:24">
      <c r="A7583">
        <f>HYPERLINK("https://www.philgeps.gov.ph/GEPSNONPILOT/Tender/SplashBidNoticeAbstractUI.aspx?menuIndex=3&amp;refID=7074292&amp;Result=3","7074292")</f>
        <v>0</v>
      </c>
      <c r="B7583" t="s">
        <v>2288</v>
      </c>
      <c r="C7583" t="s">
        <v>10750</v>
      </c>
      <c r="D7583" t="s">
        <v>18145</v>
      </c>
      <c r="E7583" t="s">
        <v>24889</v>
      </c>
      <c r="F7583" t="s">
        <v>31362</v>
      </c>
      <c r="G7583" t="s">
        <v>31369</v>
      </c>
      <c r="H7583" t="s">
        <v>15799</v>
      </c>
      <c r="I7583" t="s">
        <v>31408</v>
      </c>
      <c r="J7583" t="s">
        <v>36181</v>
      </c>
      <c r="K7583" t="s">
        <v>40679</v>
      </c>
      <c r="M7583" t="s">
        <v>43428</v>
      </c>
      <c r="N7583" t="s">
        <v>44905</v>
      </c>
      <c r="O7583" t="s">
        <v>44906</v>
      </c>
      <c r="P7583">
        <v>0</v>
      </c>
      <c r="Q7583">
        <v>2</v>
      </c>
      <c r="R7583" t="s">
        <v>44910</v>
      </c>
      <c r="S7583" t="s">
        <v>45076</v>
      </c>
      <c r="T7583" t="s">
        <v>46431</v>
      </c>
      <c r="U7583" t="s">
        <v>53064</v>
      </c>
      <c r="W7583" t="s">
        <v>43428</v>
      </c>
      <c r="X7583" t="s">
        <v>44911</v>
      </c>
    </row>
    <row r="7584" spans="1:24">
      <c r="A7584">
        <f>HYPERLINK("https://www.philgeps.gov.ph/GEPSNONPILOT/Tender/SplashBidNoticeAbstractUI.aspx?menuIndex=3&amp;refID=7074291&amp;Result=3","7074291")</f>
        <v>0</v>
      </c>
      <c r="B7584" t="s">
        <v>2289</v>
      </c>
      <c r="C7584" t="s">
        <v>10751</v>
      </c>
      <c r="D7584" t="s">
        <v>18134</v>
      </c>
      <c r="E7584" t="s">
        <v>22729</v>
      </c>
      <c r="F7584" t="s">
        <v>31362</v>
      </c>
      <c r="G7584" t="s">
        <v>31368</v>
      </c>
      <c r="H7584" t="s">
        <v>15799</v>
      </c>
      <c r="I7584" t="s">
        <v>3815</v>
      </c>
      <c r="J7584" t="s">
        <v>36182</v>
      </c>
      <c r="K7584" t="s">
        <v>40665</v>
      </c>
      <c r="M7584" t="s">
        <v>43429</v>
      </c>
      <c r="N7584" t="s">
        <v>44905</v>
      </c>
      <c r="O7584" t="s">
        <v>44906</v>
      </c>
      <c r="P7584">
        <v>0</v>
      </c>
      <c r="Q7584">
        <v>0</v>
      </c>
      <c r="R7584" t="s">
        <v>44910</v>
      </c>
      <c r="S7584" t="s">
        <v>45076</v>
      </c>
      <c r="T7584" t="s">
        <v>46443</v>
      </c>
      <c r="U7584" t="s">
        <v>53065</v>
      </c>
      <c r="W7584" t="s">
        <v>43429</v>
      </c>
      <c r="X7584" t="s">
        <v>44911</v>
      </c>
    </row>
    <row r="7585" spans="1:24">
      <c r="A7585">
        <f>HYPERLINK("https://www.philgeps.gov.ph/GEPSNONPILOT/Tender/SplashBidNoticeAbstractUI.aspx?menuIndex=3&amp;refID=7074248&amp;Result=3","7074248")</f>
        <v>0</v>
      </c>
      <c r="B7585" t="s">
        <v>1270</v>
      </c>
      <c r="C7585" t="s">
        <v>10752</v>
      </c>
      <c r="D7585" t="s">
        <v>18118</v>
      </c>
      <c r="E7585" t="s">
        <v>24890</v>
      </c>
      <c r="F7585" t="s">
        <v>31362</v>
      </c>
      <c r="G7585" t="s">
        <v>31368</v>
      </c>
      <c r="H7585" t="s">
        <v>15799</v>
      </c>
      <c r="I7585" t="s">
        <v>4057</v>
      </c>
      <c r="J7585" t="s">
        <v>36183</v>
      </c>
      <c r="K7585" t="s">
        <v>40698</v>
      </c>
      <c r="M7585" t="s">
        <v>42287</v>
      </c>
      <c r="N7585" t="s">
        <v>44905</v>
      </c>
      <c r="O7585" t="s">
        <v>44906</v>
      </c>
      <c r="P7585">
        <v>0</v>
      </c>
      <c r="Q7585">
        <v>0</v>
      </c>
      <c r="R7585" t="s">
        <v>44910</v>
      </c>
      <c r="S7585" t="s">
        <v>45076</v>
      </c>
      <c r="T7585" t="s">
        <v>46438</v>
      </c>
      <c r="U7585" t="s">
        <v>49706</v>
      </c>
      <c r="W7585" t="s">
        <v>42287</v>
      </c>
      <c r="X7585" t="s">
        <v>44911</v>
      </c>
    </row>
    <row r="7586" spans="1:24">
      <c r="A7586">
        <f>HYPERLINK("https://www.philgeps.gov.ph/GEPSNONPILOT/Tender/SplashBidNoticeAbstractUI.aspx?menuIndex=3&amp;refID=7074213&amp;Result=3","7074213")</f>
        <v>0</v>
      </c>
      <c r="B7586" t="s">
        <v>2280</v>
      </c>
      <c r="C7586" t="s">
        <v>3824</v>
      </c>
      <c r="D7586" t="s">
        <v>18102</v>
      </c>
      <c r="E7586" t="s">
        <v>24888</v>
      </c>
      <c r="F7586" t="s">
        <v>31362</v>
      </c>
      <c r="G7586" t="s">
        <v>31369</v>
      </c>
      <c r="H7586" t="s">
        <v>31378</v>
      </c>
      <c r="I7586" t="s">
        <v>31386</v>
      </c>
      <c r="J7586" t="s">
        <v>36184</v>
      </c>
      <c r="K7586" t="s">
        <v>40682</v>
      </c>
      <c r="M7586" t="s">
        <v>43419</v>
      </c>
      <c r="N7586" t="s">
        <v>44905</v>
      </c>
      <c r="O7586" t="s">
        <v>44906</v>
      </c>
      <c r="P7586">
        <v>0</v>
      </c>
      <c r="Q7586">
        <v>0</v>
      </c>
      <c r="R7586" t="s">
        <v>44910</v>
      </c>
      <c r="S7586" t="s">
        <v>45076</v>
      </c>
      <c r="T7586" t="s">
        <v>46412</v>
      </c>
      <c r="U7586" t="s">
        <v>53066</v>
      </c>
      <c r="W7586" t="s">
        <v>43419</v>
      </c>
      <c r="X7586" t="s">
        <v>44911</v>
      </c>
    </row>
    <row r="7587" spans="1:24">
      <c r="A7587">
        <f>HYPERLINK("https://www.philgeps.gov.ph/GEPSNONPILOT/Tender/SplashBidNoticeAbstractUI.aspx?menuIndex=3&amp;refID=7074302&amp;Result=3","7074302")</f>
        <v>0</v>
      </c>
      <c r="B7587" t="s">
        <v>1270</v>
      </c>
      <c r="C7587" t="s">
        <v>10753</v>
      </c>
      <c r="D7587" t="s">
        <v>18118</v>
      </c>
      <c r="E7587" t="s">
        <v>24891</v>
      </c>
      <c r="F7587" t="s">
        <v>31362</v>
      </c>
      <c r="G7587" t="s">
        <v>31368</v>
      </c>
      <c r="H7587" t="s">
        <v>15799</v>
      </c>
      <c r="I7587" t="s">
        <v>4057</v>
      </c>
      <c r="J7587" t="s">
        <v>31849</v>
      </c>
      <c r="K7587" t="s">
        <v>40698</v>
      </c>
      <c r="M7587" t="s">
        <v>42287</v>
      </c>
      <c r="N7587" t="s">
        <v>44905</v>
      </c>
      <c r="O7587" t="s">
        <v>44906</v>
      </c>
      <c r="P7587">
        <v>0</v>
      </c>
      <c r="Q7587">
        <v>0</v>
      </c>
      <c r="R7587" t="s">
        <v>44910</v>
      </c>
      <c r="S7587" t="s">
        <v>45076</v>
      </c>
      <c r="T7587" t="s">
        <v>46438</v>
      </c>
      <c r="U7587" t="s">
        <v>49706</v>
      </c>
      <c r="W7587" t="s">
        <v>42287</v>
      </c>
      <c r="X7587" t="s">
        <v>44911</v>
      </c>
    </row>
    <row r="7588" spans="1:24">
      <c r="A7588">
        <f>HYPERLINK("https://www.philgeps.gov.ph/GEPSNONPILOT/Tender/SplashBidNoticeAbstractUI.aspx?menuIndex=3&amp;refID=7074299&amp;Result=3","7074299")</f>
        <v>0</v>
      </c>
      <c r="B7588" t="s">
        <v>1904</v>
      </c>
      <c r="C7588" t="s">
        <v>9160</v>
      </c>
      <c r="D7588" t="s">
        <v>18108</v>
      </c>
      <c r="E7588" t="s">
        <v>24892</v>
      </c>
      <c r="F7588" t="s">
        <v>31362</v>
      </c>
      <c r="G7588" t="s">
        <v>31370</v>
      </c>
      <c r="H7588" t="s">
        <v>15799</v>
      </c>
      <c r="I7588" t="s">
        <v>31385</v>
      </c>
      <c r="J7588" t="s">
        <v>33092</v>
      </c>
      <c r="K7588" t="s">
        <v>40672</v>
      </c>
      <c r="M7588" t="s">
        <v>42999</v>
      </c>
      <c r="N7588" t="s">
        <v>44905</v>
      </c>
      <c r="O7588" t="s">
        <v>44906</v>
      </c>
      <c r="P7588">
        <v>0</v>
      </c>
      <c r="Q7588">
        <v>2</v>
      </c>
      <c r="R7588" t="s">
        <v>44910</v>
      </c>
      <c r="S7588" t="s">
        <v>45076</v>
      </c>
      <c r="T7588" t="s">
        <v>46438</v>
      </c>
      <c r="U7588" t="s">
        <v>47749</v>
      </c>
      <c r="W7588" t="s">
        <v>42999</v>
      </c>
      <c r="X7588" t="s">
        <v>44911</v>
      </c>
    </row>
    <row r="7589" spans="1:24">
      <c r="A7589">
        <f>HYPERLINK("https://www.philgeps.gov.ph/GEPSNONPILOT/Tender/SplashBidNoticeAbstractUI.aspx?menuIndex=3&amp;refID=7074297&amp;Result=3","7074297")</f>
        <v>0</v>
      </c>
      <c r="B7589" t="s">
        <v>1922</v>
      </c>
      <c r="C7589" t="s">
        <v>10754</v>
      </c>
      <c r="D7589" t="s">
        <v>18146</v>
      </c>
      <c r="E7589" t="s">
        <v>24893</v>
      </c>
      <c r="F7589" t="s">
        <v>31362</v>
      </c>
      <c r="G7589" t="s">
        <v>31369</v>
      </c>
      <c r="H7589" t="s">
        <v>15799</v>
      </c>
      <c r="I7589" t="s">
        <v>3815</v>
      </c>
      <c r="J7589" t="s">
        <v>36185</v>
      </c>
      <c r="K7589" t="s">
        <v>40677</v>
      </c>
      <c r="M7589" t="s">
        <v>43019</v>
      </c>
      <c r="N7589" t="s">
        <v>44905</v>
      </c>
      <c r="O7589" t="s">
        <v>44906</v>
      </c>
      <c r="P7589">
        <v>0</v>
      </c>
      <c r="Q7589">
        <v>0</v>
      </c>
      <c r="R7589" t="s">
        <v>44910</v>
      </c>
      <c r="S7589" t="s">
        <v>45076</v>
      </c>
      <c r="T7589" t="s">
        <v>46519</v>
      </c>
      <c r="U7589" t="s">
        <v>53067</v>
      </c>
      <c r="W7589" t="s">
        <v>43019</v>
      </c>
      <c r="X7589" t="s">
        <v>44911</v>
      </c>
    </row>
    <row r="7590" spans="1:24">
      <c r="A7590">
        <f>HYPERLINK("https://www.philgeps.gov.ph/GEPSNONPILOT/Tender/SplashBidNoticeAbstractUI.aspx?menuIndex=3&amp;refID=7074289&amp;Result=3","7074289")</f>
        <v>0</v>
      </c>
      <c r="B7590" t="s">
        <v>1217</v>
      </c>
      <c r="C7590" t="s">
        <v>10755</v>
      </c>
      <c r="D7590" t="s">
        <v>18106</v>
      </c>
      <c r="E7590" t="s">
        <v>24894</v>
      </c>
      <c r="F7590" t="s">
        <v>31362</v>
      </c>
      <c r="G7590" t="s">
        <v>31369</v>
      </c>
      <c r="H7590" t="s">
        <v>31378</v>
      </c>
      <c r="I7590" t="s">
        <v>31386</v>
      </c>
      <c r="J7590" t="s">
        <v>36186</v>
      </c>
      <c r="K7590" t="s">
        <v>40679</v>
      </c>
      <c r="M7590" t="s">
        <v>43281</v>
      </c>
      <c r="N7590" t="s">
        <v>44905</v>
      </c>
      <c r="O7590" t="s">
        <v>44906</v>
      </c>
      <c r="P7590">
        <v>0</v>
      </c>
      <c r="Q7590">
        <v>1</v>
      </c>
      <c r="R7590" t="s">
        <v>44910</v>
      </c>
      <c r="S7590" t="s">
        <v>45076</v>
      </c>
      <c r="T7590" t="s">
        <v>46403</v>
      </c>
      <c r="U7590" t="s">
        <v>53068</v>
      </c>
      <c r="V7590" t="s">
        <v>59754</v>
      </c>
      <c r="W7590" t="s">
        <v>43281</v>
      </c>
      <c r="X7590" t="s">
        <v>44911</v>
      </c>
    </row>
    <row r="7591" spans="1:24">
      <c r="A7591">
        <f>HYPERLINK("https://www.philgeps.gov.ph/GEPSNONPILOT/Tender/SplashBidNoticeAbstractUI.aspx?menuIndex=3&amp;refID=7074284&amp;Result=3","7074284")</f>
        <v>0</v>
      </c>
      <c r="B7591" t="s">
        <v>831</v>
      </c>
      <c r="C7591" t="s">
        <v>10756</v>
      </c>
      <c r="D7591" t="s">
        <v>18108</v>
      </c>
      <c r="E7591" t="s">
        <v>24895</v>
      </c>
      <c r="F7591" t="s">
        <v>31362</v>
      </c>
      <c r="G7591" t="s">
        <v>31369</v>
      </c>
      <c r="H7591" t="s">
        <v>15799</v>
      </c>
      <c r="I7591" t="s">
        <v>31385</v>
      </c>
      <c r="J7591" t="s">
        <v>36140</v>
      </c>
      <c r="K7591" t="s">
        <v>40666</v>
      </c>
      <c r="M7591" t="s">
        <v>43388</v>
      </c>
      <c r="N7591" t="s">
        <v>44905</v>
      </c>
      <c r="O7591" t="s">
        <v>44906</v>
      </c>
      <c r="P7591">
        <v>0</v>
      </c>
      <c r="Q7591">
        <v>1</v>
      </c>
      <c r="R7591" t="s">
        <v>44910</v>
      </c>
      <c r="S7591" t="s">
        <v>45076</v>
      </c>
      <c r="T7591" t="s">
        <v>46393</v>
      </c>
      <c r="U7591" t="s">
        <v>47749</v>
      </c>
      <c r="W7591" t="s">
        <v>43388</v>
      </c>
      <c r="X7591" t="s">
        <v>44911</v>
      </c>
    </row>
    <row r="7592" spans="1:24">
      <c r="A7592">
        <f>HYPERLINK("https://www.philgeps.gov.ph/GEPSNONPILOT/Tender/SplashBidNoticeAbstractUI.aspx?menuIndex=3&amp;refID=7074306&amp;Result=3","7074306")</f>
        <v>0</v>
      </c>
      <c r="B7592" t="s">
        <v>2290</v>
      </c>
      <c r="C7592" t="s">
        <v>10757</v>
      </c>
      <c r="D7592" t="s">
        <v>18158</v>
      </c>
      <c r="E7592" t="s">
        <v>24896</v>
      </c>
      <c r="F7592" t="s">
        <v>31362</v>
      </c>
      <c r="G7592" t="s">
        <v>31369</v>
      </c>
      <c r="H7592" t="s">
        <v>31378</v>
      </c>
      <c r="I7592" t="s">
        <v>3815</v>
      </c>
      <c r="J7592" t="s">
        <v>36187</v>
      </c>
      <c r="K7592" t="s">
        <v>40662</v>
      </c>
      <c r="M7592" t="s">
        <v>43430</v>
      </c>
      <c r="N7592" t="s">
        <v>44905</v>
      </c>
      <c r="O7592" t="s">
        <v>44906</v>
      </c>
      <c r="P7592">
        <v>0</v>
      </c>
      <c r="Q7592">
        <v>0</v>
      </c>
      <c r="R7592" t="s">
        <v>44910</v>
      </c>
      <c r="S7592" t="s">
        <v>45076</v>
      </c>
      <c r="T7592" t="s">
        <v>46425</v>
      </c>
      <c r="U7592" t="s">
        <v>53069</v>
      </c>
      <c r="W7592" t="s">
        <v>43430</v>
      </c>
      <c r="X7592" t="s">
        <v>44911</v>
      </c>
    </row>
    <row r="7593" spans="1:24">
      <c r="A7593">
        <f>HYPERLINK("https://www.philgeps.gov.ph/GEPSNONPILOT/Tender/SplashBidNoticeAbstractUI.aspx?menuIndex=3&amp;refID=7074303&amp;Result=3","7074303")</f>
        <v>0</v>
      </c>
      <c r="B7593" t="s">
        <v>2291</v>
      </c>
      <c r="C7593" t="s">
        <v>10758</v>
      </c>
      <c r="D7593" t="s">
        <v>18106</v>
      </c>
      <c r="E7593" t="s">
        <v>24897</v>
      </c>
      <c r="F7593" t="s">
        <v>31362</v>
      </c>
      <c r="G7593" t="s">
        <v>31369</v>
      </c>
      <c r="H7593" t="s">
        <v>15799</v>
      </c>
      <c r="I7593" t="s">
        <v>3815</v>
      </c>
      <c r="J7593" t="s">
        <v>31578</v>
      </c>
      <c r="K7593" t="s">
        <v>40666</v>
      </c>
      <c r="M7593" t="s">
        <v>43431</v>
      </c>
      <c r="N7593" t="s">
        <v>44905</v>
      </c>
      <c r="O7593" t="s">
        <v>44906</v>
      </c>
      <c r="P7593">
        <v>0</v>
      </c>
      <c r="Q7593">
        <v>1</v>
      </c>
      <c r="R7593" t="s">
        <v>44910</v>
      </c>
      <c r="S7593" t="s">
        <v>45076</v>
      </c>
      <c r="T7593" t="s">
        <v>46400</v>
      </c>
      <c r="U7593" t="s">
        <v>53070</v>
      </c>
      <c r="W7593" t="s">
        <v>43431</v>
      </c>
      <c r="X7593" t="s">
        <v>44911</v>
      </c>
    </row>
    <row r="7594" spans="1:24">
      <c r="A7594">
        <f>HYPERLINK("https://www.philgeps.gov.ph/GEPSNONPILOT/Tender/SplashBidNoticeAbstractUI.aspx?menuIndex=3&amp;refID=7074279&amp;Result=3","7074279")</f>
        <v>0</v>
      </c>
      <c r="B7594" t="s">
        <v>1922</v>
      </c>
      <c r="C7594" t="s">
        <v>10759</v>
      </c>
      <c r="D7594" t="s">
        <v>18146</v>
      </c>
      <c r="E7594" t="s">
        <v>24898</v>
      </c>
      <c r="F7594" t="s">
        <v>31362</v>
      </c>
      <c r="G7594" t="s">
        <v>31369</v>
      </c>
      <c r="H7594" t="s">
        <v>31378</v>
      </c>
      <c r="I7594" t="s">
        <v>31386</v>
      </c>
      <c r="J7594" t="s">
        <v>33237</v>
      </c>
      <c r="K7594" t="s">
        <v>40678</v>
      </c>
      <c r="M7594" t="s">
        <v>43019</v>
      </c>
      <c r="N7594" t="s">
        <v>44905</v>
      </c>
      <c r="O7594" t="s">
        <v>44906</v>
      </c>
      <c r="P7594">
        <v>0</v>
      </c>
      <c r="Q7594">
        <v>0</v>
      </c>
      <c r="R7594" t="s">
        <v>44910</v>
      </c>
      <c r="S7594" t="s">
        <v>45076</v>
      </c>
      <c r="T7594" t="s">
        <v>46519</v>
      </c>
      <c r="U7594" t="s">
        <v>53071</v>
      </c>
      <c r="W7594" t="s">
        <v>43019</v>
      </c>
      <c r="X7594" t="s">
        <v>44911</v>
      </c>
    </row>
    <row r="7595" spans="1:24">
      <c r="A7595">
        <f>HYPERLINK("https://www.philgeps.gov.ph/GEPSNONPILOT/Tender/SplashBidNoticeAbstractUI.aspx?menuIndex=3&amp;refID=7074314&amp;Result=3","7074314")</f>
        <v>0</v>
      </c>
      <c r="B7595" t="s">
        <v>1964</v>
      </c>
      <c r="C7595" t="s">
        <v>10760</v>
      </c>
      <c r="D7595" t="s">
        <v>18154</v>
      </c>
      <c r="E7595" t="s">
        <v>24899</v>
      </c>
      <c r="F7595" t="s">
        <v>31362</v>
      </c>
      <c r="G7595" t="s">
        <v>31370</v>
      </c>
      <c r="H7595" t="s">
        <v>15799</v>
      </c>
      <c r="I7595" t="s">
        <v>7188</v>
      </c>
      <c r="J7595" t="s">
        <v>32065</v>
      </c>
      <c r="K7595" t="s">
        <v>40661</v>
      </c>
      <c r="M7595" t="s">
        <v>43070</v>
      </c>
      <c r="N7595" t="s">
        <v>44905</v>
      </c>
      <c r="O7595" t="s">
        <v>44906</v>
      </c>
      <c r="P7595">
        <v>0</v>
      </c>
      <c r="Q7595">
        <v>0</v>
      </c>
      <c r="R7595" t="s">
        <v>44910</v>
      </c>
      <c r="S7595" t="s">
        <v>45076</v>
      </c>
      <c r="T7595" t="s">
        <v>46447</v>
      </c>
      <c r="U7595" t="s">
        <v>53072</v>
      </c>
      <c r="W7595" t="s">
        <v>43070</v>
      </c>
      <c r="X7595" t="s">
        <v>44911</v>
      </c>
    </row>
    <row r="7596" spans="1:24">
      <c r="A7596">
        <f>HYPERLINK("https://www.philgeps.gov.ph/GEPSNONPILOT/Tender/SplashBidNoticeAbstractUI.aspx?menuIndex=3&amp;refID=7074281&amp;Result=3","7074281")</f>
        <v>0</v>
      </c>
      <c r="B7596" t="s">
        <v>2292</v>
      </c>
      <c r="C7596" t="s">
        <v>10761</v>
      </c>
      <c r="D7596" t="s">
        <v>18116</v>
      </c>
      <c r="E7596" t="s">
        <v>24900</v>
      </c>
      <c r="F7596" t="s">
        <v>31362</v>
      </c>
      <c r="G7596" t="s">
        <v>31370</v>
      </c>
      <c r="H7596" t="s">
        <v>15799</v>
      </c>
      <c r="I7596" t="s">
        <v>31393</v>
      </c>
      <c r="J7596" t="s">
        <v>34628</v>
      </c>
      <c r="K7596" t="s">
        <v>40666</v>
      </c>
      <c r="M7596" t="s">
        <v>43432</v>
      </c>
      <c r="N7596" t="s">
        <v>44905</v>
      </c>
      <c r="O7596" t="s">
        <v>44906</v>
      </c>
      <c r="P7596">
        <v>0</v>
      </c>
      <c r="Q7596">
        <v>0</v>
      </c>
      <c r="R7596" t="s">
        <v>44910</v>
      </c>
      <c r="S7596" t="s">
        <v>45076</v>
      </c>
      <c r="T7596" t="s">
        <v>46425</v>
      </c>
      <c r="U7596" t="s">
        <v>53073</v>
      </c>
      <c r="W7596" t="s">
        <v>43432</v>
      </c>
      <c r="X7596" t="s">
        <v>44911</v>
      </c>
    </row>
    <row r="7597" spans="1:24">
      <c r="A7597">
        <f>HYPERLINK("https://www.philgeps.gov.ph/GEPSNONPILOT/Tender/SplashBidNoticeAbstractUI.aspx?menuIndex=3&amp;refID=7074307&amp;Result=3","7074307")</f>
        <v>0</v>
      </c>
      <c r="B7597" t="s">
        <v>2147</v>
      </c>
      <c r="C7597" t="s">
        <v>10762</v>
      </c>
      <c r="D7597" t="s">
        <v>18141</v>
      </c>
      <c r="E7597" t="s">
        <v>24901</v>
      </c>
      <c r="F7597" t="s">
        <v>31362</v>
      </c>
      <c r="G7597" t="s">
        <v>31369</v>
      </c>
      <c r="H7597" t="s">
        <v>15799</v>
      </c>
      <c r="I7597" t="s">
        <v>7188</v>
      </c>
      <c r="J7597" t="s">
        <v>31897</v>
      </c>
      <c r="K7597" t="s">
        <v>40662</v>
      </c>
      <c r="M7597" t="s">
        <v>43276</v>
      </c>
      <c r="N7597" t="s">
        <v>44905</v>
      </c>
      <c r="O7597" t="s">
        <v>44906</v>
      </c>
      <c r="P7597">
        <v>0</v>
      </c>
      <c r="Q7597">
        <v>2</v>
      </c>
      <c r="R7597" t="s">
        <v>44910</v>
      </c>
      <c r="S7597" t="s">
        <v>45076</v>
      </c>
      <c r="T7597" t="s">
        <v>46467</v>
      </c>
      <c r="U7597" t="s">
        <v>53074</v>
      </c>
      <c r="W7597" t="s">
        <v>43276</v>
      </c>
      <c r="X7597" t="s">
        <v>44911</v>
      </c>
    </row>
    <row r="7598" spans="1:24">
      <c r="A7598">
        <f>HYPERLINK("https://www.philgeps.gov.ph/GEPSNONPILOT/Tender/SplashBidNoticeAbstractUI.aspx?menuIndex=3&amp;refID=7074286&amp;Result=3","7074286")</f>
        <v>0</v>
      </c>
      <c r="B7598" t="s">
        <v>1270</v>
      </c>
      <c r="C7598" t="s">
        <v>10763</v>
      </c>
      <c r="D7598" t="s">
        <v>18118</v>
      </c>
      <c r="E7598" t="s">
        <v>24902</v>
      </c>
      <c r="F7598" t="s">
        <v>31362</v>
      </c>
      <c r="G7598" t="s">
        <v>31368</v>
      </c>
      <c r="H7598" t="s">
        <v>15799</v>
      </c>
      <c r="I7598" t="s">
        <v>4057</v>
      </c>
      <c r="J7598" t="s">
        <v>36188</v>
      </c>
      <c r="K7598" t="s">
        <v>40698</v>
      </c>
      <c r="M7598" t="s">
        <v>42287</v>
      </c>
      <c r="N7598" t="s">
        <v>44905</v>
      </c>
      <c r="O7598" t="s">
        <v>44906</v>
      </c>
      <c r="P7598">
        <v>0</v>
      </c>
      <c r="Q7598">
        <v>0</v>
      </c>
      <c r="R7598" t="s">
        <v>44910</v>
      </c>
      <c r="S7598" t="s">
        <v>45076</v>
      </c>
      <c r="T7598" t="s">
        <v>46438</v>
      </c>
      <c r="U7598" t="s">
        <v>49706</v>
      </c>
      <c r="W7598" t="s">
        <v>42287</v>
      </c>
      <c r="X7598" t="s">
        <v>44911</v>
      </c>
    </row>
    <row r="7599" spans="1:24">
      <c r="A7599">
        <f>HYPERLINK("https://www.philgeps.gov.ph/GEPSNONPILOT/Tender/SplashBidNoticeAbstractUI.aspx?menuIndex=3&amp;refID=7074280&amp;Result=3","7074280")</f>
        <v>0</v>
      </c>
      <c r="B7599" t="s">
        <v>1964</v>
      </c>
      <c r="C7599" t="s">
        <v>10764</v>
      </c>
      <c r="D7599" t="s">
        <v>18154</v>
      </c>
      <c r="E7599" t="s">
        <v>24903</v>
      </c>
      <c r="F7599" t="s">
        <v>31362</v>
      </c>
      <c r="G7599" t="s">
        <v>31370</v>
      </c>
      <c r="H7599" t="s">
        <v>15799</v>
      </c>
      <c r="I7599" t="s">
        <v>31430</v>
      </c>
      <c r="J7599" t="s">
        <v>36189</v>
      </c>
      <c r="K7599" t="s">
        <v>40661</v>
      </c>
      <c r="M7599" t="s">
        <v>43070</v>
      </c>
      <c r="N7599" t="s">
        <v>44905</v>
      </c>
      <c r="O7599" t="s">
        <v>44906</v>
      </c>
      <c r="P7599">
        <v>0</v>
      </c>
      <c r="Q7599">
        <v>0</v>
      </c>
      <c r="R7599" t="s">
        <v>44910</v>
      </c>
      <c r="S7599" t="s">
        <v>45076</v>
      </c>
      <c r="T7599" t="s">
        <v>46447</v>
      </c>
      <c r="U7599" t="s">
        <v>53075</v>
      </c>
      <c r="W7599" t="s">
        <v>43070</v>
      </c>
      <c r="X7599" t="s">
        <v>44911</v>
      </c>
    </row>
    <row r="7600" spans="1:24">
      <c r="A7600">
        <f>HYPERLINK("https://www.philgeps.gov.ph/GEPSNONPILOT/Tender/SplashBidNoticeAbstractUI.aspx?menuIndex=3&amp;refID=7074334&amp;Result=3","7074334")</f>
        <v>0</v>
      </c>
      <c r="B7600" t="s">
        <v>2293</v>
      </c>
      <c r="C7600" t="s">
        <v>10765</v>
      </c>
      <c r="D7600" t="s">
        <v>18106</v>
      </c>
      <c r="E7600" t="s">
        <v>24904</v>
      </c>
      <c r="F7600" t="s">
        <v>31362</v>
      </c>
      <c r="G7600" t="s">
        <v>31369</v>
      </c>
      <c r="H7600" t="s">
        <v>31378</v>
      </c>
      <c r="I7600" t="s">
        <v>31386</v>
      </c>
      <c r="J7600" t="s">
        <v>36190</v>
      </c>
      <c r="K7600" t="s">
        <v>40683</v>
      </c>
      <c r="M7600" t="s">
        <v>43433</v>
      </c>
      <c r="N7600" t="s">
        <v>44905</v>
      </c>
      <c r="O7600" t="s">
        <v>44906</v>
      </c>
      <c r="P7600">
        <v>0</v>
      </c>
      <c r="Q7600">
        <v>2</v>
      </c>
      <c r="R7600" t="s">
        <v>44910</v>
      </c>
      <c r="S7600" t="s">
        <v>45076</v>
      </c>
      <c r="T7600" t="s">
        <v>46616</v>
      </c>
      <c r="U7600" t="s">
        <v>53076</v>
      </c>
      <c r="W7600" t="s">
        <v>43433</v>
      </c>
      <c r="X7600" t="s">
        <v>44911</v>
      </c>
    </row>
    <row r="7601" spans="1:24">
      <c r="A7601">
        <f>HYPERLINK("https://www.philgeps.gov.ph/GEPSNONPILOT/Tender/SplashBidNoticeAbstractUI.aspx?menuIndex=3&amp;refID=7074277&amp;Result=3","7074277")</f>
        <v>0</v>
      </c>
      <c r="B7601" t="s">
        <v>1270</v>
      </c>
      <c r="C7601" t="s">
        <v>10766</v>
      </c>
      <c r="D7601" t="s">
        <v>18118</v>
      </c>
      <c r="E7601" t="s">
        <v>24905</v>
      </c>
      <c r="F7601" t="s">
        <v>31362</v>
      </c>
      <c r="G7601" t="s">
        <v>31368</v>
      </c>
      <c r="H7601" t="s">
        <v>15799</v>
      </c>
      <c r="I7601" t="s">
        <v>4057</v>
      </c>
      <c r="J7601" t="s">
        <v>36191</v>
      </c>
      <c r="K7601" t="s">
        <v>40698</v>
      </c>
      <c r="M7601" t="s">
        <v>42287</v>
      </c>
      <c r="N7601" t="s">
        <v>44905</v>
      </c>
      <c r="O7601" t="s">
        <v>44906</v>
      </c>
      <c r="P7601">
        <v>0</v>
      </c>
      <c r="Q7601">
        <v>0</v>
      </c>
      <c r="R7601" t="s">
        <v>44910</v>
      </c>
      <c r="S7601" t="s">
        <v>45076</v>
      </c>
      <c r="T7601" t="s">
        <v>46438</v>
      </c>
      <c r="U7601" t="s">
        <v>49706</v>
      </c>
      <c r="W7601" t="s">
        <v>42287</v>
      </c>
      <c r="X7601" t="s">
        <v>44911</v>
      </c>
    </row>
    <row r="7602" spans="1:24">
      <c r="A7602">
        <f>HYPERLINK("https://www.philgeps.gov.ph/GEPSNONPILOT/Tender/SplashBidNoticeAbstractUI.aspx?menuIndex=3&amp;refID=7074340&amp;Result=3","7074340")</f>
        <v>0</v>
      </c>
      <c r="B7602" t="s">
        <v>2294</v>
      </c>
      <c r="C7602" t="s">
        <v>10767</v>
      </c>
      <c r="D7602" t="s">
        <v>18114</v>
      </c>
      <c r="E7602" t="s">
        <v>24906</v>
      </c>
      <c r="F7602" t="s">
        <v>31362</v>
      </c>
      <c r="G7602" t="s">
        <v>31369</v>
      </c>
      <c r="H7602" t="s">
        <v>15799</v>
      </c>
      <c r="I7602" t="s">
        <v>31397</v>
      </c>
      <c r="J7602" t="s">
        <v>34124</v>
      </c>
      <c r="K7602" t="s">
        <v>40662</v>
      </c>
      <c r="M7602" t="s">
        <v>43434</v>
      </c>
      <c r="N7602" t="s">
        <v>44905</v>
      </c>
      <c r="O7602" t="s">
        <v>44906</v>
      </c>
      <c r="P7602">
        <v>0</v>
      </c>
      <c r="Q7602">
        <v>1</v>
      </c>
      <c r="R7602" t="s">
        <v>44910</v>
      </c>
      <c r="S7602" t="s">
        <v>45076</v>
      </c>
      <c r="T7602" t="s">
        <v>46426</v>
      </c>
      <c r="U7602" t="s">
        <v>53077</v>
      </c>
      <c r="W7602" t="s">
        <v>43434</v>
      </c>
      <c r="X7602" t="s">
        <v>44911</v>
      </c>
    </row>
    <row r="7603" spans="1:24">
      <c r="A7603">
        <f>HYPERLINK("https://www.philgeps.gov.ph/GEPSNONPILOT/Tender/SplashBidNoticeAbstractUI.aspx?menuIndex=3&amp;refID=7074339&amp;Result=3","7074339")</f>
        <v>0</v>
      </c>
      <c r="B7603" t="s">
        <v>1625</v>
      </c>
      <c r="C7603" t="s">
        <v>10768</v>
      </c>
      <c r="D7603" t="s">
        <v>18108</v>
      </c>
      <c r="E7603" t="s">
        <v>24907</v>
      </c>
      <c r="F7603" t="s">
        <v>31362</v>
      </c>
      <c r="G7603" t="s">
        <v>31369</v>
      </c>
      <c r="H7603" t="s">
        <v>15799</v>
      </c>
      <c r="I7603" t="s">
        <v>31474</v>
      </c>
      <c r="J7603" t="s">
        <v>36192</v>
      </c>
      <c r="K7603" t="s">
        <v>40662</v>
      </c>
      <c r="M7603" t="s">
        <v>42684</v>
      </c>
      <c r="N7603" t="s">
        <v>44905</v>
      </c>
      <c r="O7603" t="s">
        <v>44906</v>
      </c>
      <c r="Q7603">
        <v>14</v>
      </c>
      <c r="R7603" t="s">
        <v>44910</v>
      </c>
      <c r="S7603" t="s">
        <v>45098</v>
      </c>
      <c r="T7603" t="s">
        <v>46626</v>
      </c>
      <c r="U7603" t="s">
        <v>53078</v>
      </c>
      <c r="V7603" t="s">
        <v>59806</v>
      </c>
      <c r="W7603" t="s">
        <v>42684</v>
      </c>
      <c r="X7603" t="s">
        <v>44911</v>
      </c>
    </row>
    <row r="7604" spans="1:24">
      <c r="A7604">
        <f>HYPERLINK("https://www.philgeps.gov.ph/GEPSNONPILOT/Tender/SplashBidNoticeAbstractUI.aspx?menuIndex=3&amp;refID=7074337&amp;Result=3","7074337")</f>
        <v>0</v>
      </c>
      <c r="B7604" t="s">
        <v>732</v>
      </c>
      <c r="C7604" t="s">
        <v>10769</v>
      </c>
      <c r="D7604" t="s">
        <v>18125</v>
      </c>
      <c r="E7604" t="s">
        <v>19419</v>
      </c>
      <c r="F7604" t="s">
        <v>31362</v>
      </c>
      <c r="G7604" t="s">
        <v>31368</v>
      </c>
      <c r="H7604" t="s">
        <v>15799</v>
      </c>
      <c r="I7604" t="s">
        <v>31388</v>
      </c>
      <c r="J7604" t="s">
        <v>36193</v>
      </c>
      <c r="K7604" t="s">
        <v>40695</v>
      </c>
      <c r="M7604" t="s">
        <v>41699</v>
      </c>
      <c r="N7604" t="s">
        <v>44905</v>
      </c>
      <c r="O7604" t="s">
        <v>44906</v>
      </c>
      <c r="P7604">
        <v>0</v>
      </c>
      <c r="Q7604">
        <v>0</v>
      </c>
      <c r="R7604" t="s">
        <v>44910</v>
      </c>
      <c r="S7604" t="s">
        <v>45076</v>
      </c>
      <c r="T7604" t="s">
        <v>46410</v>
      </c>
      <c r="U7604" t="s">
        <v>53079</v>
      </c>
      <c r="W7604" t="s">
        <v>41699</v>
      </c>
      <c r="X7604" t="s">
        <v>44911</v>
      </c>
    </row>
    <row r="7605" spans="1:24">
      <c r="A7605">
        <f>HYPERLINK("https://www.philgeps.gov.ph/GEPSNONPILOT/Tender/SplashBidNoticeAbstractUI.aspx?menuIndex=3&amp;refID=7074333&amp;Result=3","7074333")</f>
        <v>0</v>
      </c>
      <c r="B7605" t="s">
        <v>1217</v>
      </c>
      <c r="C7605" t="s">
        <v>10770</v>
      </c>
      <c r="D7605" t="s">
        <v>18106</v>
      </c>
      <c r="E7605" t="s">
        <v>24908</v>
      </c>
      <c r="F7605" t="s">
        <v>31362</v>
      </c>
      <c r="G7605" t="s">
        <v>31369</v>
      </c>
      <c r="H7605" t="s">
        <v>31378</v>
      </c>
      <c r="I7605" t="s">
        <v>31386</v>
      </c>
      <c r="J7605" t="s">
        <v>36194</v>
      </c>
      <c r="K7605" t="s">
        <v>40686</v>
      </c>
      <c r="M7605" t="s">
        <v>43281</v>
      </c>
      <c r="N7605" t="s">
        <v>44905</v>
      </c>
      <c r="O7605" t="s">
        <v>44906</v>
      </c>
      <c r="P7605">
        <v>0</v>
      </c>
      <c r="Q7605">
        <v>0</v>
      </c>
      <c r="R7605" t="s">
        <v>44910</v>
      </c>
      <c r="S7605" t="s">
        <v>45076</v>
      </c>
      <c r="T7605" t="s">
        <v>46511</v>
      </c>
      <c r="U7605" t="s">
        <v>53080</v>
      </c>
      <c r="V7605" t="s">
        <v>59754</v>
      </c>
      <c r="W7605" t="s">
        <v>43281</v>
      </c>
      <c r="X7605" t="s">
        <v>44911</v>
      </c>
    </row>
    <row r="7606" spans="1:24">
      <c r="A7606">
        <f>HYPERLINK("https://www.philgeps.gov.ph/GEPSNONPILOT/Tender/SplashBidNoticeAbstractUI.aspx?menuIndex=3&amp;refID=7074336&amp;Result=3","7074336")</f>
        <v>0</v>
      </c>
      <c r="B7606" t="s">
        <v>831</v>
      </c>
      <c r="C7606" t="s">
        <v>10771</v>
      </c>
      <c r="D7606" t="s">
        <v>18108</v>
      </c>
      <c r="E7606" t="s">
        <v>24909</v>
      </c>
      <c r="F7606" t="s">
        <v>31362</v>
      </c>
      <c r="G7606" t="s">
        <v>31369</v>
      </c>
      <c r="H7606" t="s">
        <v>15799</v>
      </c>
      <c r="I7606" t="s">
        <v>31385</v>
      </c>
      <c r="J7606" t="s">
        <v>31998</v>
      </c>
      <c r="K7606" t="s">
        <v>40666</v>
      </c>
      <c r="M7606" t="s">
        <v>43388</v>
      </c>
      <c r="N7606" t="s">
        <v>44905</v>
      </c>
      <c r="O7606" t="s">
        <v>44906</v>
      </c>
      <c r="P7606">
        <v>0</v>
      </c>
      <c r="Q7606">
        <v>1</v>
      </c>
      <c r="R7606" t="s">
        <v>44910</v>
      </c>
      <c r="S7606" t="s">
        <v>45076</v>
      </c>
      <c r="T7606" t="s">
        <v>46393</v>
      </c>
      <c r="U7606" t="s">
        <v>47749</v>
      </c>
      <c r="W7606" t="s">
        <v>43388</v>
      </c>
      <c r="X7606" t="s">
        <v>44911</v>
      </c>
    </row>
    <row r="7607" spans="1:24">
      <c r="A7607">
        <f>HYPERLINK("https://www.philgeps.gov.ph/GEPSNONPILOT/Tender/SplashBidNoticeAbstractUI.aspx?menuIndex=3&amp;refID=7074332&amp;Result=3","7074332")</f>
        <v>0</v>
      </c>
      <c r="B7607" t="s">
        <v>831</v>
      </c>
      <c r="C7607" t="s">
        <v>10772</v>
      </c>
      <c r="D7607" t="s">
        <v>18108</v>
      </c>
      <c r="E7607" t="s">
        <v>24910</v>
      </c>
      <c r="F7607" t="s">
        <v>31362</v>
      </c>
      <c r="G7607" t="s">
        <v>31369</v>
      </c>
      <c r="H7607" t="s">
        <v>15799</v>
      </c>
      <c r="I7607" t="s">
        <v>31385</v>
      </c>
      <c r="J7607" t="s">
        <v>33058</v>
      </c>
      <c r="K7607" t="s">
        <v>40666</v>
      </c>
      <c r="M7607" t="s">
        <v>43388</v>
      </c>
      <c r="N7607" t="s">
        <v>44905</v>
      </c>
      <c r="O7607" t="s">
        <v>44906</v>
      </c>
      <c r="P7607">
        <v>0</v>
      </c>
      <c r="Q7607">
        <v>1</v>
      </c>
      <c r="R7607" t="s">
        <v>44910</v>
      </c>
      <c r="S7607" t="s">
        <v>45076</v>
      </c>
      <c r="T7607" t="s">
        <v>46393</v>
      </c>
      <c r="U7607" t="s">
        <v>47749</v>
      </c>
      <c r="W7607" t="s">
        <v>43388</v>
      </c>
      <c r="X7607" t="s">
        <v>44911</v>
      </c>
    </row>
    <row r="7608" spans="1:24">
      <c r="A7608">
        <f>HYPERLINK("https://www.philgeps.gov.ph/GEPSNONPILOT/Tender/SplashBidNoticeAbstractUI.aspx?menuIndex=3&amp;refID=7074331&amp;Result=3","7074331")</f>
        <v>0</v>
      </c>
      <c r="B7608" t="s">
        <v>2287</v>
      </c>
      <c r="C7608" t="s">
        <v>10773</v>
      </c>
      <c r="D7608" t="s">
        <v>18130</v>
      </c>
      <c r="E7608" t="s">
        <v>19456</v>
      </c>
      <c r="F7608" t="s">
        <v>31362</v>
      </c>
      <c r="G7608" t="s">
        <v>31369</v>
      </c>
      <c r="H7608" t="s">
        <v>15799</v>
      </c>
      <c r="I7608" t="s">
        <v>3815</v>
      </c>
      <c r="J7608" t="s">
        <v>36195</v>
      </c>
      <c r="K7608" t="s">
        <v>40665</v>
      </c>
      <c r="M7608" t="s">
        <v>43427</v>
      </c>
      <c r="N7608" t="s">
        <v>44905</v>
      </c>
      <c r="O7608" t="s">
        <v>44906</v>
      </c>
      <c r="P7608">
        <v>0</v>
      </c>
      <c r="Q7608">
        <v>0</v>
      </c>
      <c r="R7608" t="s">
        <v>44910</v>
      </c>
      <c r="S7608" t="s">
        <v>45076</v>
      </c>
      <c r="T7608" t="s">
        <v>46433</v>
      </c>
      <c r="U7608" t="s">
        <v>53081</v>
      </c>
      <c r="V7608" t="s">
        <v>59807</v>
      </c>
      <c r="W7608" t="s">
        <v>43427</v>
      </c>
      <c r="X7608" t="s">
        <v>44911</v>
      </c>
    </row>
    <row r="7609" spans="1:24">
      <c r="A7609">
        <f>HYPERLINK("https://www.philgeps.gov.ph/GEPSNONPILOT/Tender/SplashBidNoticeAbstractUI.aspx?menuIndex=3&amp;refID=7074322&amp;Result=3","7074322")</f>
        <v>0</v>
      </c>
      <c r="B7609" t="s">
        <v>2261</v>
      </c>
      <c r="C7609" t="s">
        <v>10774</v>
      </c>
      <c r="D7609" t="s">
        <v>18162</v>
      </c>
      <c r="E7609" t="s">
        <v>24911</v>
      </c>
      <c r="F7609" t="s">
        <v>31362</v>
      </c>
      <c r="G7609" t="s">
        <v>31368</v>
      </c>
      <c r="H7609" t="s">
        <v>15799</v>
      </c>
      <c r="I7609" t="s">
        <v>4283</v>
      </c>
      <c r="J7609" t="s">
        <v>36196</v>
      </c>
      <c r="K7609" t="s">
        <v>40666</v>
      </c>
      <c r="M7609" t="s">
        <v>43400</v>
      </c>
      <c r="N7609" t="s">
        <v>44905</v>
      </c>
      <c r="O7609" t="s">
        <v>44906</v>
      </c>
      <c r="Q7609">
        <v>2</v>
      </c>
      <c r="R7609" t="s">
        <v>44910</v>
      </c>
      <c r="S7609" t="s">
        <v>45099</v>
      </c>
      <c r="T7609" t="s">
        <v>46432</v>
      </c>
      <c r="U7609" t="s">
        <v>53082</v>
      </c>
      <c r="W7609" t="s">
        <v>43400</v>
      </c>
      <c r="X7609" t="s">
        <v>44911</v>
      </c>
    </row>
    <row r="7610" spans="1:24">
      <c r="A7610">
        <f>HYPERLINK("https://www.philgeps.gov.ph/GEPSNONPILOT/Tender/SplashBidNoticeAbstractUI.aspx?menuIndex=3&amp;refID=7074338&amp;Result=3","7074338")</f>
        <v>0</v>
      </c>
      <c r="B7610" t="s">
        <v>2295</v>
      </c>
      <c r="C7610" t="s">
        <v>10775</v>
      </c>
      <c r="D7610" t="s">
        <v>18117</v>
      </c>
      <c r="E7610" t="s">
        <v>18421</v>
      </c>
      <c r="F7610" t="s">
        <v>31362</v>
      </c>
      <c r="G7610" t="s">
        <v>31369</v>
      </c>
      <c r="H7610" t="s">
        <v>31378</v>
      </c>
      <c r="I7610" t="s">
        <v>31386</v>
      </c>
      <c r="J7610" t="s">
        <v>33028</v>
      </c>
      <c r="K7610" t="s">
        <v>40686</v>
      </c>
      <c r="M7610" t="s">
        <v>43435</v>
      </c>
      <c r="N7610" t="s">
        <v>44905</v>
      </c>
      <c r="O7610" t="s">
        <v>44906</v>
      </c>
      <c r="P7610">
        <v>0</v>
      </c>
      <c r="Q7610">
        <v>3</v>
      </c>
      <c r="R7610" t="s">
        <v>44910</v>
      </c>
      <c r="S7610" t="s">
        <v>45076</v>
      </c>
      <c r="T7610" t="s">
        <v>46671</v>
      </c>
      <c r="U7610" t="s">
        <v>53083</v>
      </c>
      <c r="W7610" t="s">
        <v>43435</v>
      </c>
      <c r="X7610" t="s">
        <v>44911</v>
      </c>
    </row>
    <row r="7611" spans="1:24">
      <c r="A7611">
        <f>HYPERLINK("https://www.philgeps.gov.ph/GEPSNONPILOT/Tender/SplashBidNoticeAbstractUI.aspx?menuIndex=3&amp;refID=7074321&amp;Result=3","7074321")</f>
        <v>0</v>
      </c>
      <c r="B7611" t="s">
        <v>2296</v>
      </c>
      <c r="C7611" t="s">
        <v>10776</v>
      </c>
      <c r="E7611" t="s">
        <v>24912</v>
      </c>
      <c r="F7611" t="s">
        <v>31362</v>
      </c>
      <c r="G7611" t="s">
        <v>31369</v>
      </c>
      <c r="H7611" t="s">
        <v>15799</v>
      </c>
      <c r="I7611" t="s">
        <v>31430</v>
      </c>
      <c r="J7611" t="s">
        <v>31535</v>
      </c>
      <c r="K7611" t="s">
        <v>40677</v>
      </c>
      <c r="L7611" t="s">
        <v>2296</v>
      </c>
      <c r="M7611" t="s">
        <v>43436</v>
      </c>
      <c r="N7611" t="s">
        <v>44905</v>
      </c>
      <c r="O7611" t="s">
        <v>44906</v>
      </c>
      <c r="P7611">
        <v>0</v>
      </c>
      <c r="Q7611">
        <v>0</v>
      </c>
      <c r="R7611" t="s">
        <v>44910</v>
      </c>
      <c r="S7611" t="s">
        <v>45076</v>
      </c>
      <c r="T7611" t="s">
        <v>46392</v>
      </c>
      <c r="U7611" t="s">
        <v>53084</v>
      </c>
      <c r="V7611" t="s">
        <v>59808</v>
      </c>
      <c r="W7611" t="s">
        <v>43436</v>
      </c>
      <c r="X7611" t="s">
        <v>44911</v>
      </c>
    </row>
    <row r="7612" spans="1:24">
      <c r="A7612">
        <f>HYPERLINK("https://www.philgeps.gov.ph/GEPSNONPILOT/Tender/SplashBidNoticeAbstractUI.aspx?menuIndex=3&amp;refID=7074320&amp;Result=3","7074320")</f>
        <v>0</v>
      </c>
      <c r="B7612" t="s">
        <v>1270</v>
      </c>
      <c r="C7612" t="s">
        <v>10777</v>
      </c>
      <c r="D7612" t="s">
        <v>18118</v>
      </c>
      <c r="E7612" t="s">
        <v>24913</v>
      </c>
      <c r="F7612" t="s">
        <v>31362</v>
      </c>
      <c r="G7612" t="s">
        <v>31368</v>
      </c>
      <c r="H7612" t="s">
        <v>15799</v>
      </c>
      <c r="I7612" t="s">
        <v>4057</v>
      </c>
      <c r="J7612" t="s">
        <v>36197</v>
      </c>
      <c r="K7612" t="s">
        <v>40698</v>
      </c>
      <c r="M7612" t="s">
        <v>42287</v>
      </c>
      <c r="N7612" t="s">
        <v>44905</v>
      </c>
      <c r="O7612" t="s">
        <v>44906</v>
      </c>
      <c r="P7612">
        <v>0</v>
      </c>
      <c r="Q7612">
        <v>3</v>
      </c>
      <c r="R7612" t="s">
        <v>44910</v>
      </c>
      <c r="S7612" t="s">
        <v>45076</v>
      </c>
      <c r="T7612" t="s">
        <v>46438</v>
      </c>
      <c r="U7612" t="s">
        <v>49706</v>
      </c>
      <c r="W7612" t="s">
        <v>42287</v>
      </c>
      <c r="X7612" t="s">
        <v>44911</v>
      </c>
    </row>
    <row r="7613" spans="1:24">
      <c r="A7613">
        <f>HYPERLINK("https://www.philgeps.gov.ph/GEPSNONPILOT/Tender/SplashBidNoticeAbstractUI.aspx?menuIndex=3&amp;refID=7074326&amp;Result=3","7074326")</f>
        <v>0</v>
      </c>
      <c r="B7613" t="s">
        <v>2144</v>
      </c>
      <c r="C7613" t="s">
        <v>10778</v>
      </c>
      <c r="D7613" t="s">
        <v>18108</v>
      </c>
      <c r="E7613" t="s">
        <v>24421</v>
      </c>
      <c r="F7613" t="s">
        <v>31363</v>
      </c>
      <c r="G7613" t="s">
        <v>31369</v>
      </c>
      <c r="H7613" t="s">
        <v>15799</v>
      </c>
      <c r="I7613" t="s">
        <v>31397</v>
      </c>
      <c r="J7613" t="s">
        <v>31668</v>
      </c>
      <c r="K7613" t="s">
        <v>40665</v>
      </c>
      <c r="L7613" t="s">
        <v>2144</v>
      </c>
      <c r="M7613" t="s">
        <v>43273</v>
      </c>
      <c r="N7613" t="s">
        <v>44905</v>
      </c>
      <c r="O7613" t="s">
        <v>44906</v>
      </c>
      <c r="P7613">
        <v>0</v>
      </c>
      <c r="Q7613">
        <v>1</v>
      </c>
      <c r="R7613" t="s">
        <v>44910</v>
      </c>
      <c r="S7613" t="s">
        <v>45076</v>
      </c>
      <c r="T7613" t="s">
        <v>46679</v>
      </c>
      <c r="U7613" t="s">
        <v>53085</v>
      </c>
      <c r="W7613" t="s">
        <v>43273</v>
      </c>
      <c r="X7613" t="s">
        <v>44911</v>
      </c>
    </row>
    <row r="7614" spans="1:24">
      <c r="A7614">
        <f>HYPERLINK("https://www.philgeps.gov.ph/GEPSNONPILOT/Tender/SplashBidNoticeAbstractUI.aspx?menuIndex=3&amp;refID=7074335&amp;Result=3","7074335")</f>
        <v>0</v>
      </c>
      <c r="B7614" t="s">
        <v>2297</v>
      </c>
      <c r="C7614" t="s">
        <v>10779</v>
      </c>
      <c r="D7614" t="s">
        <v>18163</v>
      </c>
      <c r="E7614" t="s">
        <v>24914</v>
      </c>
      <c r="F7614" t="s">
        <v>31362</v>
      </c>
      <c r="G7614" t="s">
        <v>31369</v>
      </c>
      <c r="H7614" t="s">
        <v>15799</v>
      </c>
      <c r="I7614" t="s">
        <v>31393</v>
      </c>
      <c r="J7614" t="s">
        <v>31577</v>
      </c>
      <c r="K7614" t="s">
        <v>40665</v>
      </c>
      <c r="M7614" t="s">
        <v>43437</v>
      </c>
      <c r="N7614" t="s">
        <v>44905</v>
      </c>
      <c r="O7614" t="s">
        <v>44906</v>
      </c>
      <c r="P7614">
        <v>0</v>
      </c>
      <c r="Q7614">
        <v>1</v>
      </c>
      <c r="R7614" t="s">
        <v>44910</v>
      </c>
      <c r="S7614" t="s">
        <v>45076</v>
      </c>
      <c r="T7614" t="s">
        <v>46692</v>
      </c>
      <c r="U7614" t="s">
        <v>53086</v>
      </c>
      <c r="V7614" t="s">
        <v>59809</v>
      </c>
      <c r="W7614" t="s">
        <v>43437</v>
      </c>
      <c r="X7614" t="s">
        <v>44911</v>
      </c>
    </row>
    <row r="7615" spans="1:24">
      <c r="A7615">
        <f>HYPERLINK("https://www.philgeps.gov.ph/GEPSNONPILOT/Tender/SplashBidNoticeAbstractUI.aspx?menuIndex=3&amp;refID=7074342&amp;Result=3","7074342")</f>
        <v>0</v>
      </c>
      <c r="B7615" t="s">
        <v>2129</v>
      </c>
      <c r="C7615" t="s">
        <v>10780</v>
      </c>
      <c r="D7615" t="s">
        <v>18170</v>
      </c>
      <c r="E7615" t="s">
        <v>24915</v>
      </c>
      <c r="F7615" t="s">
        <v>31362</v>
      </c>
      <c r="G7615" t="s">
        <v>31369</v>
      </c>
      <c r="H7615" t="s">
        <v>31377</v>
      </c>
      <c r="I7615" t="s">
        <v>31377</v>
      </c>
      <c r="J7615" t="s">
        <v>32477</v>
      </c>
      <c r="K7615" t="s">
        <v>40665</v>
      </c>
      <c r="M7615" t="s">
        <v>43257</v>
      </c>
      <c r="N7615" t="s">
        <v>44905</v>
      </c>
      <c r="O7615" t="s">
        <v>44906</v>
      </c>
      <c r="P7615">
        <v>0</v>
      </c>
      <c r="Q7615">
        <v>5</v>
      </c>
      <c r="R7615" t="s">
        <v>44910</v>
      </c>
      <c r="S7615" t="s">
        <v>45076</v>
      </c>
      <c r="T7615" t="s">
        <v>46433</v>
      </c>
      <c r="U7615" t="s">
        <v>53087</v>
      </c>
      <c r="W7615" t="s">
        <v>43257</v>
      </c>
      <c r="X7615" t="s">
        <v>44911</v>
      </c>
    </row>
    <row r="7616" spans="1:24">
      <c r="A7616">
        <f>HYPERLINK("https://www.philgeps.gov.ph/GEPSNONPILOT/Tender/SplashBidNoticeAbstractUI.aspx?menuIndex=3&amp;refID=7074301&amp;Result=3","7074301")</f>
        <v>0</v>
      </c>
      <c r="B7616" t="s">
        <v>2298</v>
      </c>
      <c r="C7616" t="s">
        <v>10781</v>
      </c>
      <c r="D7616" t="s">
        <v>18117</v>
      </c>
      <c r="E7616" t="s">
        <v>24916</v>
      </c>
      <c r="F7616" t="s">
        <v>31362</v>
      </c>
      <c r="G7616" t="s">
        <v>31369</v>
      </c>
      <c r="H7616" t="s">
        <v>15799</v>
      </c>
      <c r="I7616" t="s">
        <v>3815</v>
      </c>
      <c r="J7616" t="s">
        <v>36198</v>
      </c>
      <c r="K7616" t="s">
        <v>40666</v>
      </c>
      <c r="M7616" t="s">
        <v>43438</v>
      </c>
      <c r="N7616" t="s">
        <v>44905</v>
      </c>
      <c r="O7616" t="s">
        <v>44906</v>
      </c>
      <c r="P7616">
        <v>0</v>
      </c>
      <c r="Q7616">
        <v>0</v>
      </c>
      <c r="R7616" t="s">
        <v>44910</v>
      </c>
      <c r="S7616" t="s">
        <v>45076</v>
      </c>
      <c r="T7616" t="s">
        <v>46490</v>
      </c>
      <c r="U7616" t="s">
        <v>53088</v>
      </c>
      <c r="V7616" t="s">
        <v>59810</v>
      </c>
      <c r="W7616" t="s">
        <v>43438</v>
      </c>
      <c r="X7616" t="s">
        <v>44911</v>
      </c>
    </row>
    <row r="7617" spans="1:24">
      <c r="A7617">
        <f>HYPERLINK("https://www.philgeps.gov.ph/GEPSNONPILOT/Tender/SplashBidNoticeAbstractUI.aspx?menuIndex=3&amp;refID=7074371&amp;Result=3","7074371")</f>
        <v>0</v>
      </c>
      <c r="B7617" t="s">
        <v>1655</v>
      </c>
      <c r="C7617" t="s">
        <v>4043</v>
      </c>
      <c r="D7617" t="s">
        <v>18136</v>
      </c>
      <c r="E7617" t="s">
        <v>24917</v>
      </c>
      <c r="F7617" t="s">
        <v>31362</v>
      </c>
      <c r="G7617" t="s">
        <v>31370</v>
      </c>
      <c r="H7617" t="s">
        <v>15799</v>
      </c>
      <c r="I7617" t="s">
        <v>31385</v>
      </c>
      <c r="J7617" t="s">
        <v>36199</v>
      </c>
      <c r="K7617" t="s">
        <v>40661</v>
      </c>
      <c r="M7617" t="s">
        <v>43362</v>
      </c>
      <c r="N7617" t="s">
        <v>44905</v>
      </c>
      <c r="O7617" t="s">
        <v>44906</v>
      </c>
      <c r="P7617">
        <v>0</v>
      </c>
      <c r="Q7617">
        <v>0</v>
      </c>
      <c r="R7617" t="s">
        <v>44910</v>
      </c>
      <c r="S7617" t="s">
        <v>45076</v>
      </c>
      <c r="T7617" t="s">
        <v>46425</v>
      </c>
      <c r="U7617" t="s">
        <v>53089</v>
      </c>
      <c r="W7617" t="s">
        <v>43362</v>
      </c>
      <c r="X7617" t="s">
        <v>44911</v>
      </c>
    </row>
    <row r="7618" spans="1:24">
      <c r="A7618">
        <f>HYPERLINK("https://www.philgeps.gov.ph/GEPSNONPILOT/Tender/SplashBidNoticeAbstractUI.aspx?menuIndex=3&amp;refID=7074329&amp;Result=3","7074329")</f>
        <v>0</v>
      </c>
      <c r="B7618" t="s">
        <v>2299</v>
      </c>
      <c r="C7618" t="s">
        <v>10782</v>
      </c>
      <c r="D7618" t="s">
        <v>18137</v>
      </c>
      <c r="E7618" t="s">
        <v>24918</v>
      </c>
      <c r="F7618" t="s">
        <v>31362</v>
      </c>
      <c r="G7618" t="s">
        <v>31369</v>
      </c>
      <c r="H7618" t="s">
        <v>31378</v>
      </c>
      <c r="I7618" t="s">
        <v>31386</v>
      </c>
      <c r="J7618" t="s">
        <v>36067</v>
      </c>
      <c r="K7618" t="s">
        <v>40664</v>
      </c>
      <c r="M7618" t="s">
        <v>43439</v>
      </c>
      <c r="N7618" t="s">
        <v>44905</v>
      </c>
      <c r="O7618" t="s">
        <v>44906</v>
      </c>
      <c r="P7618">
        <v>0</v>
      </c>
      <c r="Q7618">
        <v>0</v>
      </c>
      <c r="R7618" t="s">
        <v>44910</v>
      </c>
      <c r="S7618" t="s">
        <v>45076</v>
      </c>
      <c r="T7618" t="s">
        <v>46402</v>
      </c>
      <c r="U7618" t="s">
        <v>53090</v>
      </c>
      <c r="W7618" t="s">
        <v>43439</v>
      </c>
      <c r="X7618" t="s">
        <v>44911</v>
      </c>
    </row>
    <row r="7619" spans="1:24">
      <c r="A7619">
        <f>HYPERLINK("https://www.philgeps.gov.ph/GEPSNONPILOT/Tender/SplashBidNoticeAbstractUI.aspx?menuIndex=3&amp;refID=7074370&amp;Result=3","7074370")</f>
        <v>0</v>
      </c>
      <c r="B7619" t="s">
        <v>2237</v>
      </c>
      <c r="C7619" t="s">
        <v>10783</v>
      </c>
      <c r="D7619" t="s">
        <v>18104</v>
      </c>
      <c r="E7619" t="s">
        <v>10823</v>
      </c>
      <c r="F7619" t="s">
        <v>31362</v>
      </c>
      <c r="G7619" t="s">
        <v>31369</v>
      </c>
      <c r="H7619" t="s">
        <v>15799</v>
      </c>
      <c r="I7619" t="s">
        <v>31409</v>
      </c>
      <c r="J7619" t="s">
        <v>31688</v>
      </c>
      <c r="K7619" t="s">
        <v>40662</v>
      </c>
      <c r="M7619" t="s">
        <v>43374</v>
      </c>
      <c r="N7619" t="s">
        <v>44905</v>
      </c>
      <c r="O7619" t="s">
        <v>44906</v>
      </c>
      <c r="P7619">
        <v>0</v>
      </c>
      <c r="Q7619">
        <v>1</v>
      </c>
      <c r="R7619" t="s">
        <v>44910</v>
      </c>
      <c r="S7619" t="s">
        <v>45076</v>
      </c>
      <c r="T7619" t="s">
        <v>46426</v>
      </c>
      <c r="U7619" t="s">
        <v>53091</v>
      </c>
      <c r="W7619" t="s">
        <v>43374</v>
      </c>
      <c r="X7619" t="s">
        <v>44911</v>
      </c>
    </row>
    <row r="7620" spans="1:24">
      <c r="A7620">
        <f>HYPERLINK("https://www.philgeps.gov.ph/GEPSNONPILOT/Tender/SplashBidNoticeAbstractUI.aspx?menuIndex=3&amp;refID=7074365&amp;Result=3","7074365")</f>
        <v>0</v>
      </c>
      <c r="B7620" t="s">
        <v>2300</v>
      </c>
      <c r="C7620" t="s">
        <v>10784</v>
      </c>
      <c r="D7620" t="s">
        <v>18148</v>
      </c>
      <c r="E7620" t="s">
        <v>24919</v>
      </c>
      <c r="F7620" t="s">
        <v>31362</v>
      </c>
      <c r="G7620" t="s">
        <v>31370</v>
      </c>
      <c r="H7620" t="s">
        <v>15799</v>
      </c>
      <c r="I7620" t="s">
        <v>31426</v>
      </c>
      <c r="J7620" t="s">
        <v>36200</v>
      </c>
      <c r="K7620" t="s">
        <v>40665</v>
      </c>
      <c r="M7620" t="s">
        <v>43440</v>
      </c>
      <c r="N7620" t="s">
        <v>44905</v>
      </c>
      <c r="O7620" t="s">
        <v>44906</v>
      </c>
      <c r="P7620">
        <v>0</v>
      </c>
      <c r="Q7620">
        <v>9</v>
      </c>
      <c r="R7620" t="s">
        <v>44910</v>
      </c>
      <c r="S7620" t="s">
        <v>45076</v>
      </c>
      <c r="T7620" t="s">
        <v>46692</v>
      </c>
      <c r="U7620" t="s">
        <v>53092</v>
      </c>
      <c r="W7620" t="s">
        <v>43440</v>
      </c>
      <c r="X7620" t="s">
        <v>44911</v>
      </c>
    </row>
    <row r="7621" spans="1:24">
      <c r="A7621">
        <f>HYPERLINK("https://www.philgeps.gov.ph/GEPSNONPILOT/Tender/SplashBidNoticeAbstractUI.aspx?menuIndex=3&amp;refID=7074364&amp;Result=3","7074364")</f>
        <v>0</v>
      </c>
      <c r="B7621" t="s">
        <v>1964</v>
      </c>
      <c r="C7621" t="s">
        <v>10785</v>
      </c>
      <c r="D7621" t="s">
        <v>18154</v>
      </c>
      <c r="E7621" t="s">
        <v>24920</v>
      </c>
      <c r="F7621" t="s">
        <v>31362</v>
      </c>
      <c r="G7621" t="s">
        <v>31370</v>
      </c>
      <c r="H7621" t="s">
        <v>15799</v>
      </c>
      <c r="I7621" t="s">
        <v>31444</v>
      </c>
      <c r="J7621" t="s">
        <v>34322</v>
      </c>
      <c r="K7621" t="s">
        <v>40661</v>
      </c>
      <c r="M7621" t="s">
        <v>43070</v>
      </c>
      <c r="N7621" t="s">
        <v>44905</v>
      </c>
      <c r="O7621" t="s">
        <v>44906</v>
      </c>
      <c r="P7621">
        <v>0</v>
      </c>
      <c r="Q7621">
        <v>1</v>
      </c>
      <c r="R7621" t="s">
        <v>44910</v>
      </c>
      <c r="S7621" t="s">
        <v>45076</v>
      </c>
      <c r="T7621" t="s">
        <v>46447</v>
      </c>
      <c r="U7621" t="s">
        <v>53093</v>
      </c>
      <c r="W7621" t="s">
        <v>43070</v>
      </c>
      <c r="X7621" t="s">
        <v>44911</v>
      </c>
    </row>
    <row r="7622" spans="1:24">
      <c r="A7622">
        <f>HYPERLINK("https://www.philgeps.gov.ph/GEPSNONPILOT/Tender/SplashBidNoticeAbstractUI.aspx?menuIndex=3&amp;refID=7074304&amp;Result=3","7074304")</f>
        <v>0</v>
      </c>
      <c r="B7622" t="s">
        <v>2301</v>
      </c>
      <c r="C7622" t="s">
        <v>10786</v>
      </c>
      <c r="D7622" t="s">
        <v>18109</v>
      </c>
      <c r="E7622" t="s">
        <v>24921</v>
      </c>
      <c r="F7622" t="s">
        <v>31362</v>
      </c>
      <c r="G7622" t="s">
        <v>31369</v>
      </c>
      <c r="H7622" t="s">
        <v>15799</v>
      </c>
      <c r="I7622" t="s">
        <v>31409</v>
      </c>
      <c r="J7622" t="s">
        <v>36201</v>
      </c>
      <c r="K7622" t="s">
        <v>40675</v>
      </c>
      <c r="M7622" t="s">
        <v>43441</v>
      </c>
      <c r="N7622" t="s">
        <v>44905</v>
      </c>
      <c r="O7622" t="s">
        <v>44906</v>
      </c>
      <c r="P7622">
        <v>0</v>
      </c>
      <c r="Q7622">
        <v>1</v>
      </c>
      <c r="R7622" t="s">
        <v>44910</v>
      </c>
      <c r="S7622" t="s">
        <v>45076</v>
      </c>
      <c r="T7622" t="s">
        <v>46447</v>
      </c>
      <c r="U7622" t="s">
        <v>53094</v>
      </c>
      <c r="W7622" t="s">
        <v>43441</v>
      </c>
      <c r="X7622" t="s">
        <v>44911</v>
      </c>
    </row>
    <row r="7623" spans="1:24">
      <c r="A7623">
        <f>HYPERLINK("https://www.philgeps.gov.ph/GEPSNONPILOT/Tender/SplashBidNoticeAbstractUI.aspx?menuIndex=3&amp;refID=7074362&amp;Result=3","7074362")</f>
        <v>0</v>
      </c>
      <c r="B7623" t="s">
        <v>351</v>
      </c>
      <c r="C7623" t="s">
        <v>10787</v>
      </c>
      <c r="D7623" t="s">
        <v>18142</v>
      </c>
      <c r="E7623" t="s">
        <v>24922</v>
      </c>
      <c r="F7623" t="s">
        <v>31362</v>
      </c>
      <c r="G7623" t="s">
        <v>31369</v>
      </c>
      <c r="H7623" t="s">
        <v>31378</v>
      </c>
      <c r="I7623" t="s">
        <v>31386</v>
      </c>
      <c r="J7623" t="s">
        <v>36202</v>
      </c>
      <c r="K7623" t="s">
        <v>40727</v>
      </c>
      <c r="M7623" t="s">
        <v>41298</v>
      </c>
      <c r="N7623" t="s">
        <v>44905</v>
      </c>
      <c r="O7623" t="s">
        <v>44906</v>
      </c>
      <c r="P7623">
        <v>0</v>
      </c>
      <c r="Q7623">
        <v>0</v>
      </c>
      <c r="R7623" t="s">
        <v>44910</v>
      </c>
      <c r="S7623" t="s">
        <v>45076</v>
      </c>
      <c r="T7623" t="s">
        <v>46401</v>
      </c>
      <c r="U7623" t="s">
        <v>52803</v>
      </c>
      <c r="W7623" t="s">
        <v>41298</v>
      </c>
      <c r="X7623" t="s">
        <v>44911</v>
      </c>
    </row>
    <row r="7624" spans="1:24">
      <c r="A7624">
        <f>HYPERLINK("https://www.philgeps.gov.ph/GEPSNONPILOT/Tender/SplashBidNoticeAbstractUI.aspx?menuIndex=3&amp;refID=7074359&amp;Result=3","7074359")</f>
        <v>0</v>
      </c>
      <c r="B7624" t="s">
        <v>2297</v>
      </c>
      <c r="C7624" t="s">
        <v>10788</v>
      </c>
      <c r="D7624" t="s">
        <v>18163</v>
      </c>
      <c r="E7624" t="s">
        <v>24923</v>
      </c>
      <c r="F7624" t="s">
        <v>31362</v>
      </c>
      <c r="G7624" t="s">
        <v>31369</v>
      </c>
      <c r="H7624" t="s">
        <v>15799</v>
      </c>
      <c r="I7624" t="s">
        <v>31398</v>
      </c>
      <c r="J7624" t="s">
        <v>31546</v>
      </c>
      <c r="K7624" t="s">
        <v>40665</v>
      </c>
      <c r="M7624" t="s">
        <v>43437</v>
      </c>
      <c r="N7624" t="s">
        <v>44905</v>
      </c>
      <c r="O7624" t="s">
        <v>44906</v>
      </c>
      <c r="P7624">
        <v>0</v>
      </c>
      <c r="Q7624">
        <v>1</v>
      </c>
      <c r="R7624" t="s">
        <v>44910</v>
      </c>
      <c r="S7624" t="s">
        <v>45076</v>
      </c>
      <c r="T7624" t="s">
        <v>46692</v>
      </c>
      <c r="U7624" t="s">
        <v>53086</v>
      </c>
      <c r="W7624" t="s">
        <v>43437</v>
      </c>
      <c r="X7624" t="s">
        <v>44911</v>
      </c>
    </row>
    <row r="7625" spans="1:24">
      <c r="A7625">
        <f>HYPERLINK("https://www.philgeps.gov.ph/GEPSNONPILOT/Tender/SplashBidNoticeAbstractUI.aspx?menuIndex=3&amp;refID=7074296&amp;Result=3","7074296")</f>
        <v>0</v>
      </c>
      <c r="B7625" t="s">
        <v>1944</v>
      </c>
      <c r="C7625" t="s">
        <v>10789</v>
      </c>
      <c r="D7625" t="s">
        <v>18152</v>
      </c>
      <c r="E7625" t="s">
        <v>24924</v>
      </c>
      <c r="F7625" t="s">
        <v>31363</v>
      </c>
      <c r="G7625" t="s">
        <v>31369</v>
      </c>
      <c r="H7625" t="s">
        <v>31378</v>
      </c>
      <c r="I7625" t="s">
        <v>31386</v>
      </c>
      <c r="J7625" t="s">
        <v>31709</v>
      </c>
      <c r="K7625" t="s">
        <v>40686</v>
      </c>
      <c r="M7625" t="s">
        <v>43049</v>
      </c>
      <c r="N7625" t="s">
        <v>44905</v>
      </c>
      <c r="O7625" t="s">
        <v>44906</v>
      </c>
      <c r="P7625">
        <v>0</v>
      </c>
      <c r="Q7625">
        <v>1</v>
      </c>
      <c r="R7625" t="s">
        <v>44910</v>
      </c>
      <c r="S7625" t="s">
        <v>45076</v>
      </c>
      <c r="T7625" t="s">
        <v>46510</v>
      </c>
      <c r="U7625" t="s">
        <v>53095</v>
      </c>
      <c r="V7625" t="s">
        <v>59811</v>
      </c>
      <c r="W7625" t="s">
        <v>43049</v>
      </c>
      <c r="X7625" t="s">
        <v>44911</v>
      </c>
    </row>
    <row r="7626" spans="1:24">
      <c r="A7626">
        <f>HYPERLINK("https://www.philgeps.gov.ph/GEPSNONPILOT/Tender/SplashBidNoticeAbstractUI.aspx?menuIndex=3&amp;refID=7074354&amp;Result=3","7074354")</f>
        <v>0</v>
      </c>
      <c r="B7626" t="s">
        <v>197</v>
      </c>
      <c r="C7626" t="s">
        <v>10790</v>
      </c>
      <c r="E7626" t="s">
        <v>24925</v>
      </c>
      <c r="F7626" t="s">
        <v>31362</v>
      </c>
      <c r="G7626" t="s">
        <v>31368</v>
      </c>
      <c r="H7626" t="s">
        <v>15799</v>
      </c>
      <c r="I7626" t="s">
        <v>31397</v>
      </c>
      <c r="J7626" t="s">
        <v>36203</v>
      </c>
      <c r="K7626" t="s">
        <v>40662</v>
      </c>
      <c r="M7626" t="s">
        <v>41559</v>
      </c>
      <c r="N7626" t="s">
        <v>44905</v>
      </c>
      <c r="O7626" t="s">
        <v>44906</v>
      </c>
      <c r="P7626">
        <v>0</v>
      </c>
      <c r="Q7626">
        <v>1</v>
      </c>
      <c r="R7626" t="s">
        <v>44910</v>
      </c>
      <c r="S7626" t="s">
        <v>45076</v>
      </c>
      <c r="T7626" t="s">
        <v>46406</v>
      </c>
      <c r="U7626" t="s">
        <v>53096</v>
      </c>
      <c r="W7626" t="s">
        <v>41559</v>
      </c>
      <c r="X7626" t="s">
        <v>44911</v>
      </c>
    </row>
    <row r="7627" spans="1:24">
      <c r="A7627">
        <f>HYPERLINK("https://www.philgeps.gov.ph/GEPSNONPILOT/Tender/SplashBidNoticeAbstractUI.aspx?menuIndex=3&amp;refID=7074368&amp;Result=3","7074368")</f>
        <v>0</v>
      </c>
      <c r="B7627" t="s">
        <v>1270</v>
      </c>
      <c r="C7627" t="s">
        <v>10791</v>
      </c>
      <c r="D7627" t="s">
        <v>18118</v>
      </c>
      <c r="E7627" t="s">
        <v>24926</v>
      </c>
      <c r="F7627" t="s">
        <v>31362</v>
      </c>
      <c r="G7627" t="s">
        <v>31368</v>
      </c>
      <c r="H7627" t="s">
        <v>15799</v>
      </c>
      <c r="I7627" t="s">
        <v>4057</v>
      </c>
      <c r="J7627" t="s">
        <v>36204</v>
      </c>
      <c r="K7627" t="s">
        <v>40698</v>
      </c>
      <c r="M7627" t="s">
        <v>42287</v>
      </c>
      <c r="N7627" t="s">
        <v>44905</v>
      </c>
      <c r="O7627" t="s">
        <v>44906</v>
      </c>
      <c r="P7627">
        <v>0</v>
      </c>
      <c r="Q7627">
        <v>0</v>
      </c>
      <c r="R7627" t="s">
        <v>44910</v>
      </c>
      <c r="S7627" t="s">
        <v>45076</v>
      </c>
      <c r="T7627" t="s">
        <v>46438</v>
      </c>
      <c r="U7627" t="s">
        <v>49706</v>
      </c>
      <c r="W7627" t="s">
        <v>42287</v>
      </c>
      <c r="X7627" t="s">
        <v>44911</v>
      </c>
    </row>
    <row r="7628" spans="1:24">
      <c r="A7628">
        <f>HYPERLINK("https://www.philgeps.gov.ph/GEPSNONPILOT/Tender/SplashBidNoticeAbstractUI.aspx?menuIndex=3&amp;refID=7074357&amp;Result=3","7074357")</f>
        <v>0</v>
      </c>
      <c r="B7628" t="s">
        <v>2261</v>
      </c>
      <c r="C7628" t="s">
        <v>10792</v>
      </c>
      <c r="D7628" t="s">
        <v>18162</v>
      </c>
      <c r="E7628" t="s">
        <v>24927</v>
      </c>
      <c r="F7628" t="s">
        <v>31362</v>
      </c>
      <c r="G7628" t="s">
        <v>31368</v>
      </c>
      <c r="H7628" t="s">
        <v>15799</v>
      </c>
      <c r="I7628" t="s">
        <v>31444</v>
      </c>
      <c r="J7628" t="s">
        <v>34130</v>
      </c>
      <c r="K7628" t="s">
        <v>40670</v>
      </c>
      <c r="M7628" t="s">
        <v>43400</v>
      </c>
      <c r="N7628" t="s">
        <v>44905</v>
      </c>
      <c r="O7628" t="s">
        <v>44906</v>
      </c>
      <c r="Q7628">
        <v>5</v>
      </c>
      <c r="R7628" t="s">
        <v>44910</v>
      </c>
      <c r="S7628" t="s">
        <v>45100</v>
      </c>
      <c r="T7628" t="s">
        <v>46432</v>
      </c>
      <c r="U7628" t="s">
        <v>53097</v>
      </c>
      <c r="W7628" t="s">
        <v>43400</v>
      </c>
      <c r="X7628" t="s">
        <v>44911</v>
      </c>
    </row>
    <row r="7629" spans="1:24">
      <c r="A7629">
        <f>HYPERLINK("https://www.philgeps.gov.ph/GEPSNONPILOT/Tender/SplashBidNoticeAbstractUI.aspx?menuIndex=3&amp;refID=7074351&amp;Result=3","7074351")</f>
        <v>0</v>
      </c>
      <c r="B7629" t="s">
        <v>2287</v>
      </c>
      <c r="C7629" t="s">
        <v>10793</v>
      </c>
      <c r="D7629" t="s">
        <v>18130</v>
      </c>
      <c r="E7629" t="s">
        <v>19465</v>
      </c>
      <c r="F7629" t="s">
        <v>31362</v>
      </c>
      <c r="G7629" t="s">
        <v>31369</v>
      </c>
      <c r="H7629" t="s">
        <v>15799</v>
      </c>
      <c r="I7629" t="s">
        <v>3815</v>
      </c>
      <c r="J7629" t="s">
        <v>36205</v>
      </c>
      <c r="K7629" t="s">
        <v>40665</v>
      </c>
      <c r="M7629" t="s">
        <v>43427</v>
      </c>
      <c r="N7629" t="s">
        <v>44905</v>
      </c>
      <c r="O7629" t="s">
        <v>44906</v>
      </c>
      <c r="P7629">
        <v>0</v>
      </c>
      <c r="Q7629">
        <v>0</v>
      </c>
      <c r="R7629" t="s">
        <v>44910</v>
      </c>
      <c r="S7629" t="s">
        <v>45076</v>
      </c>
      <c r="T7629" t="s">
        <v>46433</v>
      </c>
      <c r="U7629" t="s">
        <v>53081</v>
      </c>
      <c r="V7629" t="s">
        <v>59812</v>
      </c>
      <c r="W7629" t="s">
        <v>43427</v>
      </c>
      <c r="X7629" t="s">
        <v>44911</v>
      </c>
    </row>
    <row r="7630" spans="1:24">
      <c r="A7630">
        <f>HYPERLINK("https://www.philgeps.gov.ph/GEPSNONPILOT/Tender/SplashBidNoticeAbstractUI.aspx?menuIndex=3&amp;refID=7074318&amp;Result=3","7074318")</f>
        <v>0</v>
      </c>
      <c r="B7630" t="s">
        <v>2302</v>
      </c>
      <c r="C7630" t="s">
        <v>10794</v>
      </c>
      <c r="D7630" t="s">
        <v>18148</v>
      </c>
      <c r="E7630" t="s">
        <v>24928</v>
      </c>
      <c r="F7630" t="s">
        <v>31362</v>
      </c>
      <c r="G7630" t="s">
        <v>31369</v>
      </c>
      <c r="H7630" t="s">
        <v>31379</v>
      </c>
      <c r="I7630" t="s">
        <v>31409</v>
      </c>
      <c r="J7630" t="s">
        <v>31634</v>
      </c>
      <c r="K7630" t="s">
        <v>40665</v>
      </c>
      <c r="M7630" t="s">
        <v>43442</v>
      </c>
      <c r="N7630" t="s">
        <v>44905</v>
      </c>
      <c r="O7630" t="s">
        <v>44906</v>
      </c>
      <c r="P7630">
        <v>0</v>
      </c>
      <c r="Q7630">
        <v>3</v>
      </c>
      <c r="R7630" t="s">
        <v>44910</v>
      </c>
      <c r="S7630" t="s">
        <v>45076</v>
      </c>
      <c r="T7630" t="s">
        <v>46638</v>
      </c>
      <c r="U7630" t="s">
        <v>53098</v>
      </c>
      <c r="W7630" t="s">
        <v>43442</v>
      </c>
      <c r="X7630" t="s">
        <v>44911</v>
      </c>
    </row>
    <row r="7631" spans="1:24">
      <c r="A7631">
        <f>HYPERLINK("https://www.philgeps.gov.ph/GEPSNONPILOT/Tender/SplashBidNoticeAbstractUI.aspx?menuIndex=3&amp;refID=7074353&amp;Result=3","7074353")</f>
        <v>0</v>
      </c>
      <c r="B7631" t="s">
        <v>831</v>
      </c>
      <c r="C7631" t="s">
        <v>10795</v>
      </c>
      <c r="D7631" t="s">
        <v>18108</v>
      </c>
      <c r="E7631" t="s">
        <v>24929</v>
      </c>
      <c r="F7631" t="s">
        <v>31362</v>
      </c>
      <c r="G7631" t="s">
        <v>31369</v>
      </c>
      <c r="H7631" t="s">
        <v>15799</v>
      </c>
      <c r="I7631" t="s">
        <v>31385</v>
      </c>
      <c r="J7631" t="s">
        <v>36206</v>
      </c>
      <c r="K7631" t="s">
        <v>40666</v>
      </c>
      <c r="M7631" t="s">
        <v>43388</v>
      </c>
      <c r="N7631" t="s">
        <v>44905</v>
      </c>
      <c r="O7631" t="s">
        <v>44906</v>
      </c>
      <c r="P7631">
        <v>0</v>
      </c>
      <c r="Q7631">
        <v>2</v>
      </c>
      <c r="R7631" t="s">
        <v>44910</v>
      </c>
      <c r="S7631" t="s">
        <v>45076</v>
      </c>
      <c r="T7631" t="s">
        <v>46393</v>
      </c>
      <c r="U7631" t="s">
        <v>47749</v>
      </c>
      <c r="W7631" t="s">
        <v>43388</v>
      </c>
      <c r="X7631" t="s">
        <v>44911</v>
      </c>
    </row>
    <row r="7632" spans="1:24">
      <c r="A7632">
        <f>HYPERLINK("https://www.philgeps.gov.ph/GEPSNONPILOT/Tender/SplashBidNoticeAbstractUI.aspx?menuIndex=3&amp;refID=7074358&amp;Result=3","7074358")</f>
        <v>0</v>
      </c>
      <c r="B7632" t="s">
        <v>579</v>
      </c>
      <c r="C7632" t="s">
        <v>10796</v>
      </c>
      <c r="D7632" t="s">
        <v>18112</v>
      </c>
      <c r="E7632" t="s">
        <v>24930</v>
      </c>
      <c r="F7632" t="s">
        <v>31362</v>
      </c>
      <c r="G7632" t="s">
        <v>31368</v>
      </c>
      <c r="H7632" t="s">
        <v>15799</v>
      </c>
      <c r="I7632" t="s">
        <v>31393</v>
      </c>
      <c r="J7632" t="s">
        <v>31806</v>
      </c>
      <c r="K7632" t="s">
        <v>40661</v>
      </c>
      <c r="M7632" t="s">
        <v>41536</v>
      </c>
      <c r="N7632" t="s">
        <v>44905</v>
      </c>
      <c r="O7632" t="s">
        <v>44906</v>
      </c>
      <c r="P7632">
        <v>0</v>
      </c>
      <c r="Q7632">
        <v>4</v>
      </c>
      <c r="R7632" t="s">
        <v>44910</v>
      </c>
      <c r="S7632" t="s">
        <v>45076</v>
      </c>
      <c r="T7632" t="s">
        <v>46447</v>
      </c>
      <c r="U7632" t="s">
        <v>48037</v>
      </c>
      <c r="W7632" t="s">
        <v>41536</v>
      </c>
      <c r="X7632" t="s">
        <v>44911</v>
      </c>
    </row>
    <row r="7633" spans="1:24">
      <c r="A7633">
        <f>HYPERLINK("https://www.philgeps.gov.ph/GEPSNONPILOT/Tender/SplashBidNoticeAbstractUI.aspx?menuIndex=3&amp;refID=7074349&amp;Result=3","7074349")</f>
        <v>0</v>
      </c>
      <c r="B7633" t="s">
        <v>1922</v>
      </c>
      <c r="C7633" t="s">
        <v>10797</v>
      </c>
      <c r="D7633" t="s">
        <v>18146</v>
      </c>
      <c r="E7633" t="s">
        <v>24931</v>
      </c>
      <c r="F7633" t="s">
        <v>31362</v>
      </c>
      <c r="G7633" t="s">
        <v>31369</v>
      </c>
      <c r="H7633" t="s">
        <v>15799</v>
      </c>
      <c r="I7633" t="s">
        <v>31386</v>
      </c>
      <c r="J7633" t="s">
        <v>36207</v>
      </c>
      <c r="K7633" t="s">
        <v>40677</v>
      </c>
      <c r="M7633" t="s">
        <v>43019</v>
      </c>
      <c r="N7633" t="s">
        <v>44905</v>
      </c>
      <c r="O7633" t="s">
        <v>44906</v>
      </c>
      <c r="P7633">
        <v>0</v>
      </c>
      <c r="Q7633">
        <v>0</v>
      </c>
      <c r="R7633" t="s">
        <v>44910</v>
      </c>
      <c r="S7633" t="s">
        <v>45076</v>
      </c>
      <c r="T7633" t="s">
        <v>46519</v>
      </c>
      <c r="U7633" t="s">
        <v>53099</v>
      </c>
      <c r="W7633" t="s">
        <v>43019</v>
      </c>
      <c r="X7633" t="s">
        <v>44911</v>
      </c>
    </row>
    <row r="7634" spans="1:24">
      <c r="A7634">
        <f>HYPERLINK("https://www.philgeps.gov.ph/GEPSNONPILOT/Tender/SplashBidNoticeAbstractUI.aspx?menuIndex=3&amp;refID=7074344&amp;Result=3","7074344")</f>
        <v>0</v>
      </c>
      <c r="B7634" t="s">
        <v>831</v>
      </c>
      <c r="C7634" t="s">
        <v>10798</v>
      </c>
      <c r="D7634" t="s">
        <v>18108</v>
      </c>
      <c r="E7634" t="s">
        <v>24932</v>
      </c>
      <c r="F7634" t="s">
        <v>31362</v>
      </c>
      <c r="G7634" t="s">
        <v>31369</v>
      </c>
      <c r="H7634" t="s">
        <v>15799</v>
      </c>
      <c r="I7634" t="s">
        <v>31385</v>
      </c>
      <c r="J7634" t="s">
        <v>36208</v>
      </c>
      <c r="K7634" t="s">
        <v>40666</v>
      </c>
      <c r="M7634" t="s">
        <v>43388</v>
      </c>
      <c r="N7634" t="s">
        <v>44905</v>
      </c>
      <c r="O7634" t="s">
        <v>44906</v>
      </c>
      <c r="P7634">
        <v>0</v>
      </c>
      <c r="Q7634">
        <v>1</v>
      </c>
      <c r="R7634" t="s">
        <v>44910</v>
      </c>
      <c r="S7634" t="s">
        <v>45076</v>
      </c>
      <c r="T7634" t="s">
        <v>46393</v>
      </c>
      <c r="U7634" t="s">
        <v>47749</v>
      </c>
      <c r="W7634" t="s">
        <v>43388</v>
      </c>
      <c r="X7634" t="s">
        <v>44911</v>
      </c>
    </row>
    <row r="7635" spans="1:24">
      <c r="A7635">
        <f>HYPERLINK("https://www.philgeps.gov.ph/GEPSNONPILOT/Tender/SplashBidNoticeAbstractUI.aspx?menuIndex=3&amp;refID=7074316&amp;Result=3","7074316")</f>
        <v>0</v>
      </c>
      <c r="B7635" t="s">
        <v>2287</v>
      </c>
      <c r="C7635" t="s">
        <v>10799</v>
      </c>
      <c r="D7635" t="s">
        <v>18130</v>
      </c>
      <c r="E7635" t="s">
        <v>19400</v>
      </c>
      <c r="F7635" t="s">
        <v>31362</v>
      </c>
      <c r="G7635" t="s">
        <v>31369</v>
      </c>
      <c r="H7635" t="s">
        <v>15799</v>
      </c>
      <c r="I7635" t="s">
        <v>3815</v>
      </c>
      <c r="J7635" t="s">
        <v>36209</v>
      </c>
      <c r="K7635" t="s">
        <v>40665</v>
      </c>
      <c r="M7635" t="s">
        <v>43427</v>
      </c>
      <c r="N7635" t="s">
        <v>44905</v>
      </c>
      <c r="O7635" t="s">
        <v>44906</v>
      </c>
      <c r="P7635">
        <v>0</v>
      </c>
      <c r="Q7635">
        <v>0</v>
      </c>
      <c r="R7635" t="s">
        <v>44910</v>
      </c>
      <c r="S7635" t="s">
        <v>45076</v>
      </c>
      <c r="T7635" t="s">
        <v>46433</v>
      </c>
      <c r="U7635" t="s">
        <v>53081</v>
      </c>
      <c r="V7635" t="s">
        <v>59813</v>
      </c>
      <c r="W7635" t="s">
        <v>43427</v>
      </c>
      <c r="X7635" t="s">
        <v>44911</v>
      </c>
    </row>
    <row r="7636" spans="1:24">
      <c r="A7636">
        <f>HYPERLINK("https://www.philgeps.gov.ph/GEPSNONPILOT/Tender/SplashBidNoticeAbstractUI.aspx?menuIndex=3&amp;refID=7074352&amp;Result=3","7074352")</f>
        <v>0</v>
      </c>
      <c r="B7636" t="s">
        <v>2303</v>
      </c>
      <c r="C7636" t="s">
        <v>10800</v>
      </c>
      <c r="D7636" t="s">
        <v>18104</v>
      </c>
      <c r="E7636" t="s">
        <v>24311</v>
      </c>
      <c r="F7636" t="s">
        <v>31362</v>
      </c>
      <c r="G7636" t="s">
        <v>31369</v>
      </c>
      <c r="H7636" t="s">
        <v>15799</v>
      </c>
      <c r="I7636" t="s">
        <v>7188</v>
      </c>
      <c r="J7636" t="s">
        <v>31542</v>
      </c>
      <c r="K7636" t="s">
        <v>40665</v>
      </c>
      <c r="M7636" t="s">
        <v>43443</v>
      </c>
      <c r="N7636" t="s">
        <v>44905</v>
      </c>
      <c r="O7636" t="s">
        <v>44906</v>
      </c>
      <c r="P7636">
        <v>0</v>
      </c>
      <c r="Q7636">
        <v>1</v>
      </c>
      <c r="R7636" t="s">
        <v>44910</v>
      </c>
      <c r="S7636" t="s">
        <v>45076</v>
      </c>
      <c r="T7636" t="s">
        <v>46760</v>
      </c>
      <c r="U7636" t="s">
        <v>49788</v>
      </c>
      <c r="V7636" t="s">
        <v>59814</v>
      </c>
      <c r="W7636" t="s">
        <v>43443</v>
      </c>
      <c r="X7636" t="s">
        <v>44911</v>
      </c>
    </row>
    <row r="7637" spans="1:24">
      <c r="A7637">
        <f>HYPERLINK("https://www.philgeps.gov.ph/GEPSNONPILOT/Tender/SplashBidNoticeAbstractUI.aspx?menuIndex=3&amp;refID=7074350&amp;Result=3","7074350")</f>
        <v>0</v>
      </c>
      <c r="B7637" t="s">
        <v>1270</v>
      </c>
      <c r="C7637" t="s">
        <v>10801</v>
      </c>
      <c r="D7637" t="s">
        <v>18118</v>
      </c>
      <c r="E7637" t="s">
        <v>24933</v>
      </c>
      <c r="F7637" t="s">
        <v>31362</v>
      </c>
      <c r="G7637" t="s">
        <v>31368</v>
      </c>
      <c r="H7637" t="s">
        <v>15799</v>
      </c>
      <c r="I7637" t="s">
        <v>4057</v>
      </c>
      <c r="J7637" t="s">
        <v>36188</v>
      </c>
      <c r="K7637" t="s">
        <v>40698</v>
      </c>
      <c r="M7637" t="s">
        <v>42287</v>
      </c>
      <c r="N7637" t="s">
        <v>44905</v>
      </c>
      <c r="O7637" t="s">
        <v>44906</v>
      </c>
      <c r="P7637">
        <v>0</v>
      </c>
      <c r="Q7637">
        <v>0</v>
      </c>
      <c r="R7637" t="s">
        <v>44910</v>
      </c>
      <c r="S7637" t="s">
        <v>45076</v>
      </c>
      <c r="T7637" t="s">
        <v>46416</v>
      </c>
      <c r="U7637" t="s">
        <v>49706</v>
      </c>
      <c r="W7637" t="s">
        <v>42287</v>
      </c>
      <c r="X7637" t="s">
        <v>44911</v>
      </c>
    </row>
    <row r="7638" spans="1:24">
      <c r="A7638">
        <f>HYPERLINK("https://www.philgeps.gov.ph/GEPSNONPILOT/Tender/SplashBidNoticeAbstractUI.aspx?menuIndex=3&amp;refID=7074360&amp;Result=3","7074360")</f>
        <v>0</v>
      </c>
      <c r="B7638" t="s">
        <v>2304</v>
      </c>
      <c r="C7638" t="s">
        <v>10802</v>
      </c>
      <c r="D7638" t="s">
        <v>18114</v>
      </c>
      <c r="E7638" t="s">
        <v>24934</v>
      </c>
      <c r="F7638" t="s">
        <v>31362</v>
      </c>
      <c r="G7638" t="s">
        <v>31368</v>
      </c>
      <c r="H7638" t="s">
        <v>15799</v>
      </c>
      <c r="I7638" t="s">
        <v>31440</v>
      </c>
      <c r="J7638" t="s">
        <v>33984</v>
      </c>
      <c r="K7638" t="s">
        <v>40665</v>
      </c>
      <c r="M7638" t="s">
        <v>43444</v>
      </c>
      <c r="N7638" t="s">
        <v>44905</v>
      </c>
      <c r="O7638" t="s">
        <v>44906</v>
      </c>
      <c r="P7638">
        <v>0</v>
      </c>
      <c r="Q7638">
        <v>7</v>
      </c>
      <c r="R7638" t="s">
        <v>44910</v>
      </c>
      <c r="S7638" t="s">
        <v>45076</v>
      </c>
      <c r="T7638" t="s">
        <v>46409</v>
      </c>
      <c r="U7638" t="s">
        <v>53100</v>
      </c>
      <c r="W7638" t="s">
        <v>43444</v>
      </c>
      <c r="X7638" t="s">
        <v>44911</v>
      </c>
    </row>
    <row r="7639" spans="1:24">
      <c r="A7639">
        <f>HYPERLINK("https://www.philgeps.gov.ph/GEPSNONPILOT/Tender/SplashBidNoticeAbstractUI.aspx?menuIndex=3&amp;refID=7074348&amp;Result=3","7074348")</f>
        <v>0</v>
      </c>
      <c r="B7639" t="s">
        <v>2305</v>
      </c>
      <c r="C7639" t="s">
        <v>10803</v>
      </c>
      <c r="D7639" t="s">
        <v>18114</v>
      </c>
      <c r="E7639" t="s">
        <v>24935</v>
      </c>
      <c r="F7639" t="s">
        <v>31363</v>
      </c>
      <c r="G7639" t="s">
        <v>31370</v>
      </c>
      <c r="H7639" t="s">
        <v>15799</v>
      </c>
      <c r="I7639" t="s">
        <v>31427</v>
      </c>
      <c r="J7639" t="s">
        <v>36210</v>
      </c>
      <c r="K7639" t="s">
        <v>40697</v>
      </c>
      <c r="M7639" t="s">
        <v>43445</v>
      </c>
      <c r="N7639" t="s">
        <v>44905</v>
      </c>
      <c r="O7639" t="s">
        <v>44906</v>
      </c>
      <c r="P7639">
        <v>0</v>
      </c>
      <c r="Q7639">
        <v>15</v>
      </c>
      <c r="R7639" t="s">
        <v>44910</v>
      </c>
      <c r="S7639" t="s">
        <v>45076</v>
      </c>
      <c r="T7639" t="s">
        <v>46497</v>
      </c>
      <c r="U7639" t="s">
        <v>53101</v>
      </c>
      <c r="W7639" t="s">
        <v>43445</v>
      </c>
      <c r="X7639" t="s">
        <v>44911</v>
      </c>
    </row>
    <row r="7640" spans="1:24">
      <c r="A7640">
        <f>HYPERLINK("https://www.philgeps.gov.ph/GEPSNONPILOT/Tender/SplashBidNoticeAbstractUI.aspx?menuIndex=3&amp;refID=7074395&amp;Result=3","7074395")</f>
        <v>0</v>
      </c>
      <c r="B7640" t="s">
        <v>2301</v>
      </c>
      <c r="C7640" t="s">
        <v>10804</v>
      </c>
      <c r="D7640" t="s">
        <v>18109</v>
      </c>
      <c r="E7640" t="s">
        <v>24936</v>
      </c>
      <c r="F7640" t="s">
        <v>31362</v>
      </c>
      <c r="G7640" t="s">
        <v>31369</v>
      </c>
      <c r="H7640" t="s">
        <v>15799</v>
      </c>
      <c r="I7640" t="s">
        <v>31398</v>
      </c>
      <c r="J7640" t="s">
        <v>31806</v>
      </c>
      <c r="K7640" t="s">
        <v>40672</v>
      </c>
      <c r="M7640" t="s">
        <v>43441</v>
      </c>
      <c r="N7640" t="s">
        <v>44905</v>
      </c>
      <c r="O7640" t="s">
        <v>44906</v>
      </c>
      <c r="P7640">
        <v>0</v>
      </c>
      <c r="Q7640">
        <v>2</v>
      </c>
      <c r="R7640" t="s">
        <v>44910</v>
      </c>
      <c r="S7640" t="s">
        <v>45076</v>
      </c>
      <c r="T7640" t="s">
        <v>46447</v>
      </c>
      <c r="U7640" t="s">
        <v>53102</v>
      </c>
      <c r="W7640" t="s">
        <v>43441</v>
      </c>
      <c r="X7640" t="s">
        <v>44911</v>
      </c>
    </row>
    <row r="7641" spans="1:24">
      <c r="A7641">
        <f>HYPERLINK("https://www.philgeps.gov.ph/GEPSNONPILOT/Tender/SplashBidNoticeAbstractUI.aspx?menuIndex=3&amp;refID=7074375&amp;Result=3","7074375")</f>
        <v>0</v>
      </c>
      <c r="B7641" t="s">
        <v>2261</v>
      </c>
      <c r="C7641" t="s">
        <v>10805</v>
      </c>
      <c r="D7641" t="s">
        <v>18162</v>
      </c>
      <c r="E7641" t="s">
        <v>24937</v>
      </c>
      <c r="F7641" t="s">
        <v>31362</v>
      </c>
      <c r="G7641" t="s">
        <v>31368</v>
      </c>
      <c r="H7641" t="s">
        <v>15799</v>
      </c>
      <c r="I7641" t="s">
        <v>31385</v>
      </c>
      <c r="J7641" t="s">
        <v>36211</v>
      </c>
      <c r="K7641" t="s">
        <v>40670</v>
      </c>
      <c r="M7641" t="s">
        <v>43400</v>
      </c>
      <c r="N7641" t="s">
        <v>44905</v>
      </c>
      <c r="O7641" t="s">
        <v>44906</v>
      </c>
      <c r="Q7641">
        <v>1</v>
      </c>
      <c r="R7641" t="s">
        <v>44910</v>
      </c>
      <c r="S7641" t="s">
        <v>45101</v>
      </c>
      <c r="T7641" t="s">
        <v>46432</v>
      </c>
      <c r="U7641" t="s">
        <v>53103</v>
      </c>
      <c r="W7641" t="s">
        <v>43400</v>
      </c>
      <c r="X7641" t="s">
        <v>44911</v>
      </c>
    </row>
    <row r="7642" spans="1:24">
      <c r="A7642">
        <f>HYPERLINK("https://www.philgeps.gov.ph/GEPSNONPILOT/Tender/SplashBidNoticeAbstractUI.aspx?menuIndex=3&amp;refID=7074394&amp;Result=3","7074394")</f>
        <v>0</v>
      </c>
      <c r="B7642" t="s">
        <v>2303</v>
      </c>
      <c r="C7642" t="s">
        <v>10806</v>
      </c>
      <c r="D7642" t="s">
        <v>18104</v>
      </c>
      <c r="E7642" t="s">
        <v>24938</v>
      </c>
      <c r="F7642" t="s">
        <v>31362</v>
      </c>
      <c r="G7642" t="s">
        <v>31369</v>
      </c>
      <c r="H7642" t="s">
        <v>15799</v>
      </c>
      <c r="I7642" t="s">
        <v>4057</v>
      </c>
      <c r="J7642" t="s">
        <v>31634</v>
      </c>
      <c r="K7642" t="s">
        <v>40665</v>
      </c>
      <c r="M7642" t="s">
        <v>43443</v>
      </c>
      <c r="N7642" t="s">
        <v>44905</v>
      </c>
      <c r="O7642" t="s">
        <v>44906</v>
      </c>
      <c r="P7642">
        <v>0</v>
      </c>
      <c r="Q7642">
        <v>0</v>
      </c>
      <c r="R7642" t="s">
        <v>44910</v>
      </c>
      <c r="S7642" t="s">
        <v>45076</v>
      </c>
      <c r="T7642" t="s">
        <v>46553</v>
      </c>
      <c r="U7642" t="s">
        <v>49788</v>
      </c>
      <c r="V7642" t="s">
        <v>59815</v>
      </c>
      <c r="W7642" t="s">
        <v>43443</v>
      </c>
      <c r="X7642" t="s">
        <v>44911</v>
      </c>
    </row>
    <row r="7643" spans="1:24">
      <c r="A7643">
        <f>HYPERLINK("https://www.philgeps.gov.ph/GEPSNONPILOT/Tender/SplashBidNoticeAbstractUI.aspx?menuIndex=3&amp;refID=7074393&amp;Result=3","7074393")</f>
        <v>0</v>
      </c>
      <c r="B7643" t="s">
        <v>2297</v>
      </c>
      <c r="C7643" t="s">
        <v>10807</v>
      </c>
      <c r="D7643" t="s">
        <v>18163</v>
      </c>
      <c r="E7643" t="s">
        <v>24939</v>
      </c>
      <c r="F7643" t="s">
        <v>31362</v>
      </c>
      <c r="G7643" t="s">
        <v>31369</v>
      </c>
      <c r="H7643" t="s">
        <v>15799</v>
      </c>
      <c r="I7643" t="s">
        <v>31398</v>
      </c>
      <c r="J7643" t="s">
        <v>31546</v>
      </c>
      <c r="K7643" t="s">
        <v>40665</v>
      </c>
      <c r="M7643" t="s">
        <v>43437</v>
      </c>
      <c r="N7643" t="s">
        <v>44905</v>
      </c>
      <c r="O7643" t="s">
        <v>44906</v>
      </c>
      <c r="P7643">
        <v>0</v>
      </c>
      <c r="Q7643">
        <v>0</v>
      </c>
      <c r="R7643" t="s">
        <v>44910</v>
      </c>
      <c r="S7643" t="s">
        <v>45076</v>
      </c>
      <c r="T7643" t="s">
        <v>46692</v>
      </c>
      <c r="U7643" t="s">
        <v>53086</v>
      </c>
      <c r="W7643" t="s">
        <v>43437</v>
      </c>
      <c r="X7643" t="s">
        <v>44911</v>
      </c>
    </row>
    <row r="7644" spans="1:24">
      <c r="A7644">
        <f>HYPERLINK("https://www.philgeps.gov.ph/GEPSNONPILOT/Tender/SplashBidNoticeAbstractUI.aspx?menuIndex=3&amp;refID=7074392&amp;Result=3","7074392")</f>
        <v>0</v>
      </c>
      <c r="B7644" t="s">
        <v>2291</v>
      </c>
      <c r="C7644" t="s">
        <v>10808</v>
      </c>
      <c r="D7644" t="s">
        <v>18106</v>
      </c>
      <c r="E7644" t="s">
        <v>23105</v>
      </c>
      <c r="F7644" t="s">
        <v>31362</v>
      </c>
      <c r="G7644" t="s">
        <v>31369</v>
      </c>
      <c r="H7644" t="s">
        <v>15799</v>
      </c>
      <c r="I7644" t="s">
        <v>3815</v>
      </c>
      <c r="J7644" t="s">
        <v>31586</v>
      </c>
      <c r="K7644" t="s">
        <v>40665</v>
      </c>
      <c r="M7644" t="s">
        <v>43431</v>
      </c>
      <c r="N7644" t="s">
        <v>44905</v>
      </c>
      <c r="O7644" t="s">
        <v>44906</v>
      </c>
      <c r="P7644">
        <v>0</v>
      </c>
      <c r="Q7644">
        <v>1</v>
      </c>
      <c r="R7644" t="s">
        <v>44910</v>
      </c>
      <c r="S7644" t="s">
        <v>45076</v>
      </c>
      <c r="T7644" t="s">
        <v>46400</v>
      </c>
      <c r="U7644" t="s">
        <v>53104</v>
      </c>
      <c r="W7644" t="s">
        <v>43431</v>
      </c>
      <c r="X7644" t="s">
        <v>44911</v>
      </c>
    </row>
    <row r="7645" spans="1:24">
      <c r="A7645">
        <f>HYPERLINK("https://www.philgeps.gov.ph/GEPSNONPILOT/Tender/SplashBidNoticeAbstractUI.aspx?menuIndex=3&amp;refID=7074400&amp;Result=3","7074400")</f>
        <v>0</v>
      </c>
      <c r="B7645" t="s">
        <v>2306</v>
      </c>
      <c r="C7645" t="s">
        <v>10809</v>
      </c>
      <c r="D7645" t="s">
        <v>18106</v>
      </c>
      <c r="E7645" t="s">
        <v>24940</v>
      </c>
      <c r="F7645" t="s">
        <v>31362</v>
      </c>
      <c r="G7645" t="s">
        <v>31368</v>
      </c>
      <c r="H7645" t="s">
        <v>15799</v>
      </c>
      <c r="I7645" t="s">
        <v>31427</v>
      </c>
      <c r="J7645" t="s">
        <v>31646</v>
      </c>
      <c r="K7645" t="s">
        <v>40680</v>
      </c>
      <c r="M7645" t="s">
        <v>43446</v>
      </c>
      <c r="N7645" t="s">
        <v>44905</v>
      </c>
      <c r="O7645" t="s">
        <v>44906</v>
      </c>
      <c r="P7645">
        <v>0</v>
      </c>
      <c r="Q7645">
        <v>7</v>
      </c>
      <c r="R7645" t="s">
        <v>44910</v>
      </c>
      <c r="S7645" t="s">
        <v>45076</v>
      </c>
      <c r="T7645" t="s">
        <v>46569</v>
      </c>
      <c r="U7645" t="s">
        <v>53105</v>
      </c>
      <c r="W7645" t="s">
        <v>43446</v>
      </c>
      <c r="X7645" t="s">
        <v>44911</v>
      </c>
    </row>
    <row r="7646" spans="1:24">
      <c r="A7646">
        <f>HYPERLINK("https://www.philgeps.gov.ph/GEPSNONPILOT/Tender/SplashBidNoticeAbstractUI.aspx?menuIndex=3&amp;refID=7074341&amp;Result=3","7074341")</f>
        <v>0</v>
      </c>
      <c r="B7646" t="s">
        <v>2261</v>
      </c>
      <c r="C7646" t="s">
        <v>10810</v>
      </c>
      <c r="D7646" t="s">
        <v>18162</v>
      </c>
      <c r="E7646" t="s">
        <v>24941</v>
      </c>
      <c r="F7646" t="s">
        <v>31362</v>
      </c>
      <c r="G7646" t="s">
        <v>31368</v>
      </c>
      <c r="H7646" t="s">
        <v>15799</v>
      </c>
      <c r="I7646" t="s">
        <v>31385</v>
      </c>
      <c r="J7646" t="s">
        <v>36212</v>
      </c>
      <c r="K7646" t="s">
        <v>40670</v>
      </c>
      <c r="M7646" t="s">
        <v>43400</v>
      </c>
      <c r="N7646" t="s">
        <v>44905</v>
      </c>
      <c r="O7646" t="s">
        <v>44906</v>
      </c>
      <c r="Q7646">
        <v>2</v>
      </c>
      <c r="R7646" t="s">
        <v>44910</v>
      </c>
      <c r="S7646" t="s">
        <v>45102</v>
      </c>
      <c r="T7646" t="s">
        <v>46432</v>
      </c>
      <c r="U7646" t="s">
        <v>53106</v>
      </c>
      <c r="W7646" t="s">
        <v>43400</v>
      </c>
      <c r="X7646" t="s">
        <v>44911</v>
      </c>
    </row>
    <row r="7647" spans="1:24">
      <c r="A7647">
        <f>HYPERLINK("https://www.philgeps.gov.ph/GEPSNONPILOT/Tender/SplashBidNoticeAbstractUI.aspx?menuIndex=3&amp;refID=7074384&amp;Result=3","7074384")</f>
        <v>0</v>
      </c>
      <c r="B7647" t="s">
        <v>1270</v>
      </c>
      <c r="C7647" t="s">
        <v>10811</v>
      </c>
      <c r="D7647" t="s">
        <v>18118</v>
      </c>
      <c r="E7647" t="s">
        <v>24942</v>
      </c>
      <c r="F7647" t="s">
        <v>31362</v>
      </c>
      <c r="G7647" t="s">
        <v>31368</v>
      </c>
      <c r="H7647" t="s">
        <v>15799</v>
      </c>
      <c r="I7647" t="s">
        <v>4057</v>
      </c>
      <c r="J7647" t="s">
        <v>34433</v>
      </c>
      <c r="K7647" t="s">
        <v>40698</v>
      </c>
      <c r="M7647" t="s">
        <v>42287</v>
      </c>
      <c r="N7647" t="s">
        <v>44905</v>
      </c>
      <c r="O7647" t="s">
        <v>44906</v>
      </c>
      <c r="P7647">
        <v>0</v>
      </c>
      <c r="Q7647">
        <v>0</v>
      </c>
      <c r="R7647" t="s">
        <v>44910</v>
      </c>
      <c r="S7647" t="s">
        <v>45076</v>
      </c>
      <c r="T7647" t="s">
        <v>46438</v>
      </c>
      <c r="U7647" t="s">
        <v>49706</v>
      </c>
      <c r="W7647" t="s">
        <v>42287</v>
      </c>
      <c r="X7647" t="s">
        <v>44911</v>
      </c>
    </row>
    <row r="7648" spans="1:24">
      <c r="A7648">
        <f>HYPERLINK("https://www.philgeps.gov.ph/GEPSNONPILOT/Tender/SplashBidNoticeAbstractUI.aspx?menuIndex=3&amp;refID=7074382&amp;Result=3","7074382")</f>
        <v>0</v>
      </c>
      <c r="B7648" t="s">
        <v>1217</v>
      </c>
      <c r="C7648" t="s">
        <v>10812</v>
      </c>
      <c r="D7648" t="s">
        <v>18106</v>
      </c>
      <c r="E7648" t="s">
        <v>24943</v>
      </c>
      <c r="F7648" t="s">
        <v>31362</v>
      </c>
      <c r="G7648" t="s">
        <v>31369</v>
      </c>
      <c r="H7648" t="s">
        <v>31378</v>
      </c>
      <c r="I7648" t="s">
        <v>31386</v>
      </c>
      <c r="J7648" t="s">
        <v>36213</v>
      </c>
      <c r="K7648" t="s">
        <v>40683</v>
      </c>
      <c r="M7648" t="s">
        <v>43281</v>
      </c>
      <c r="N7648" t="s">
        <v>44905</v>
      </c>
      <c r="O7648" t="s">
        <v>44906</v>
      </c>
      <c r="P7648">
        <v>0</v>
      </c>
      <c r="Q7648">
        <v>0</v>
      </c>
      <c r="R7648" t="s">
        <v>44910</v>
      </c>
      <c r="S7648" t="s">
        <v>45076</v>
      </c>
      <c r="T7648" t="s">
        <v>46511</v>
      </c>
      <c r="U7648" t="s">
        <v>53107</v>
      </c>
      <c r="V7648" t="s">
        <v>59754</v>
      </c>
      <c r="W7648" t="s">
        <v>43281</v>
      </c>
      <c r="X7648" t="s">
        <v>44911</v>
      </c>
    </row>
    <row r="7649" spans="1:24">
      <c r="A7649">
        <f>HYPERLINK("https://www.philgeps.gov.ph/GEPSNONPILOT/Tender/SplashBidNoticeAbstractUI.aspx?menuIndex=3&amp;refID=7074391&amp;Result=3","7074391")</f>
        <v>0</v>
      </c>
      <c r="B7649" t="s">
        <v>2307</v>
      </c>
      <c r="C7649" t="s">
        <v>10813</v>
      </c>
      <c r="D7649" t="s">
        <v>18149</v>
      </c>
      <c r="E7649" t="s">
        <v>24944</v>
      </c>
      <c r="F7649" t="s">
        <v>31362</v>
      </c>
      <c r="G7649" t="s">
        <v>31369</v>
      </c>
      <c r="H7649" t="s">
        <v>31377</v>
      </c>
      <c r="I7649" t="s">
        <v>31377</v>
      </c>
      <c r="J7649" t="s">
        <v>36214</v>
      </c>
      <c r="K7649" t="s">
        <v>40677</v>
      </c>
      <c r="M7649" t="s">
        <v>43447</v>
      </c>
      <c r="N7649" t="s">
        <v>44905</v>
      </c>
      <c r="O7649" t="s">
        <v>44906</v>
      </c>
      <c r="Q7649">
        <v>1</v>
      </c>
      <c r="R7649" t="s">
        <v>44910</v>
      </c>
      <c r="S7649" t="s">
        <v>45103</v>
      </c>
      <c r="T7649" t="s">
        <v>46447</v>
      </c>
      <c r="U7649" t="s">
        <v>53108</v>
      </c>
      <c r="W7649" t="s">
        <v>43447</v>
      </c>
      <c r="X7649" t="s">
        <v>44911</v>
      </c>
    </row>
    <row r="7650" spans="1:24">
      <c r="A7650">
        <f>HYPERLINK("https://www.philgeps.gov.ph/GEPSNONPILOT/Tender/SplashBidNoticeAbstractUI.aspx?menuIndex=3&amp;refID=7074401&amp;Result=3","7074401")</f>
        <v>0</v>
      </c>
      <c r="B7650" t="s">
        <v>834</v>
      </c>
      <c r="C7650" t="s">
        <v>10814</v>
      </c>
      <c r="D7650" t="s">
        <v>18108</v>
      </c>
      <c r="E7650" t="s">
        <v>24945</v>
      </c>
      <c r="F7650" t="s">
        <v>31362</v>
      </c>
      <c r="G7650" t="s">
        <v>31368</v>
      </c>
      <c r="H7650" t="s">
        <v>15799</v>
      </c>
      <c r="I7650" t="s">
        <v>31396</v>
      </c>
      <c r="J7650" t="s">
        <v>31890</v>
      </c>
      <c r="K7650" t="s">
        <v>40661</v>
      </c>
      <c r="M7650" t="s">
        <v>42118</v>
      </c>
      <c r="N7650" t="s">
        <v>44905</v>
      </c>
      <c r="O7650" t="s">
        <v>44906</v>
      </c>
      <c r="P7650">
        <v>0</v>
      </c>
      <c r="Q7650">
        <v>4</v>
      </c>
      <c r="R7650" t="s">
        <v>44910</v>
      </c>
      <c r="S7650" t="s">
        <v>45076</v>
      </c>
      <c r="T7650" t="s">
        <v>46416</v>
      </c>
      <c r="U7650" t="s">
        <v>53109</v>
      </c>
      <c r="V7650" t="s">
        <v>59376</v>
      </c>
      <c r="W7650" t="s">
        <v>42118</v>
      </c>
      <c r="X7650" t="s">
        <v>44911</v>
      </c>
    </row>
    <row r="7651" spans="1:24">
      <c r="A7651">
        <f>HYPERLINK("https://www.philgeps.gov.ph/GEPSNONPILOT/Tender/SplashBidNoticeAbstractUI.aspx?menuIndex=3&amp;refID=7074389&amp;Result=3","7074389")</f>
        <v>0</v>
      </c>
      <c r="B7651" t="s">
        <v>2287</v>
      </c>
      <c r="C7651" t="s">
        <v>10815</v>
      </c>
      <c r="D7651" t="s">
        <v>18130</v>
      </c>
      <c r="E7651" t="s">
        <v>21361</v>
      </c>
      <c r="F7651" t="s">
        <v>31362</v>
      </c>
      <c r="G7651" t="s">
        <v>31369</v>
      </c>
      <c r="H7651" t="s">
        <v>15799</v>
      </c>
      <c r="I7651" t="s">
        <v>3815</v>
      </c>
      <c r="J7651" t="s">
        <v>36215</v>
      </c>
      <c r="K7651" t="s">
        <v>40665</v>
      </c>
      <c r="M7651" t="s">
        <v>43427</v>
      </c>
      <c r="N7651" t="s">
        <v>44905</v>
      </c>
      <c r="O7651" t="s">
        <v>44906</v>
      </c>
      <c r="P7651">
        <v>0</v>
      </c>
      <c r="Q7651">
        <v>0</v>
      </c>
      <c r="R7651" t="s">
        <v>44910</v>
      </c>
      <c r="S7651" t="s">
        <v>45076</v>
      </c>
      <c r="T7651" t="s">
        <v>46433</v>
      </c>
      <c r="U7651" t="s">
        <v>53081</v>
      </c>
      <c r="V7651" t="s">
        <v>59816</v>
      </c>
      <c r="W7651" t="s">
        <v>43427</v>
      </c>
      <c r="X7651" t="s">
        <v>44911</v>
      </c>
    </row>
    <row r="7652" spans="1:24">
      <c r="A7652">
        <f>HYPERLINK("https://www.philgeps.gov.ph/GEPSNONPILOT/Tender/SplashBidNoticeAbstractUI.aspx?menuIndex=3&amp;refID=7074408&amp;Result=3","7074408")</f>
        <v>0</v>
      </c>
      <c r="B7652" t="s">
        <v>1270</v>
      </c>
      <c r="C7652" t="s">
        <v>10816</v>
      </c>
      <c r="D7652" t="s">
        <v>18118</v>
      </c>
      <c r="E7652" t="s">
        <v>24946</v>
      </c>
      <c r="F7652" t="s">
        <v>31362</v>
      </c>
      <c r="G7652" t="s">
        <v>31368</v>
      </c>
      <c r="H7652" t="s">
        <v>15799</v>
      </c>
      <c r="I7652" t="s">
        <v>4057</v>
      </c>
      <c r="J7652" t="s">
        <v>32754</v>
      </c>
      <c r="K7652" t="s">
        <v>40698</v>
      </c>
      <c r="M7652" t="s">
        <v>42287</v>
      </c>
      <c r="N7652" t="s">
        <v>44905</v>
      </c>
      <c r="O7652" t="s">
        <v>44906</v>
      </c>
      <c r="P7652">
        <v>0</v>
      </c>
      <c r="Q7652">
        <v>0</v>
      </c>
      <c r="R7652" t="s">
        <v>44910</v>
      </c>
      <c r="S7652" t="s">
        <v>45076</v>
      </c>
      <c r="T7652" t="s">
        <v>46438</v>
      </c>
      <c r="U7652" t="s">
        <v>49706</v>
      </c>
      <c r="W7652" t="s">
        <v>42287</v>
      </c>
      <c r="X7652" t="s">
        <v>44911</v>
      </c>
    </row>
    <row r="7653" spans="1:24">
      <c r="A7653">
        <f>HYPERLINK("https://www.philgeps.gov.ph/GEPSNONPILOT/Tender/SplashBidNoticeAbstractUI.aspx?menuIndex=3&amp;refID=7074378&amp;Result=3","7074378")</f>
        <v>0</v>
      </c>
      <c r="B7653" t="s">
        <v>831</v>
      </c>
      <c r="C7653" t="s">
        <v>10817</v>
      </c>
      <c r="D7653" t="s">
        <v>18108</v>
      </c>
      <c r="E7653" t="s">
        <v>24947</v>
      </c>
      <c r="F7653" t="s">
        <v>31362</v>
      </c>
      <c r="G7653" t="s">
        <v>31369</v>
      </c>
      <c r="H7653" t="s">
        <v>15799</v>
      </c>
      <c r="I7653" t="s">
        <v>4942</v>
      </c>
      <c r="J7653" t="s">
        <v>33736</v>
      </c>
      <c r="K7653" t="s">
        <v>40666</v>
      </c>
      <c r="M7653" t="s">
        <v>43388</v>
      </c>
      <c r="N7653" t="s">
        <v>44905</v>
      </c>
      <c r="O7653" t="s">
        <v>44906</v>
      </c>
      <c r="P7653">
        <v>0</v>
      </c>
      <c r="Q7653">
        <v>0</v>
      </c>
      <c r="R7653" t="s">
        <v>44910</v>
      </c>
      <c r="S7653" t="s">
        <v>45076</v>
      </c>
      <c r="T7653" t="s">
        <v>46393</v>
      </c>
      <c r="U7653" t="s">
        <v>48668</v>
      </c>
      <c r="W7653" t="s">
        <v>43388</v>
      </c>
      <c r="X7653" t="s">
        <v>44911</v>
      </c>
    </row>
    <row r="7654" spans="1:24">
      <c r="A7654">
        <f>HYPERLINK("https://www.philgeps.gov.ph/GEPSNONPILOT/Tender/SplashBidNoticeAbstractUI.aspx?menuIndex=3&amp;refID=7074380&amp;Result=3","7074380")</f>
        <v>0</v>
      </c>
      <c r="B7654" t="s">
        <v>2297</v>
      </c>
      <c r="C7654" t="s">
        <v>10818</v>
      </c>
      <c r="D7654" t="s">
        <v>18163</v>
      </c>
      <c r="E7654" t="s">
        <v>24948</v>
      </c>
      <c r="F7654" t="s">
        <v>31362</v>
      </c>
      <c r="G7654" t="s">
        <v>31369</v>
      </c>
      <c r="H7654" t="s">
        <v>15799</v>
      </c>
      <c r="I7654" t="s">
        <v>31398</v>
      </c>
      <c r="J7654" t="s">
        <v>31546</v>
      </c>
      <c r="K7654" t="s">
        <v>40665</v>
      </c>
      <c r="M7654" t="s">
        <v>43437</v>
      </c>
      <c r="N7654" t="s">
        <v>44905</v>
      </c>
      <c r="O7654" t="s">
        <v>44906</v>
      </c>
      <c r="P7654">
        <v>0</v>
      </c>
      <c r="Q7654">
        <v>0</v>
      </c>
      <c r="R7654" t="s">
        <v>44910</v>
      </c>
      <c r="S7654" t="s">
        <v>45076</v>
      </c>
      <c r="T7654" t="s">
        <v>46692</v>
      </c>
      <c r="U7654" t="s">
        <v>53086</v>
      </c>
      <c r="W7654" t="s">
        <v>43437</v>
      </c>
      <c r="X7654" t="s">
        <v>44911</v>
      </c>
    </row>
    <row r="7655" spans="1:24">
      <c r="A7655">
        <f>HYPERLINK("https://www.philgeps.gov.ph/GEPSNONPILOT/Tender/SplashBidNoticeAbstractUI.aspx?menuIndex=3&amp;refID=7074377&amp;Result=3","7074377")</f>
        <v>0</v>
      </c>
      <c r="B7655" t="s">
        <v>2308</v>
      </c>
      <c r="C7655" t="s">
        <v>10819</v>
      </c>
      <c r="D7655" t="s">
        <v>18101</v>
      </c>
      <c r="E7655" t="s">
        <v>24949</v>
      </c>
      <c r="F7655" t="s">
        <v>31362</v>
      </c>
      <c r="G7655" t="s">
        <v>31369</v>
      </c>
      <c r="H7655" t="s">
        <v>15799</v>
      </c>
      <c r="I7655" t="s">
        <v>31392</v>
      </c>
      <c r="J7655" t="s">
        <v>35878</v>
      </c>
      <c r="K7655" t="s">
        <v>40665</v>
      </c>
      <c r="M7655" t="s">
        <v>43448</v>
      </c>
      <c r="N7655" t="s">
        <v>44905</v>
      </c>
      <c r="O7655" t="s">
        <v>44906</v>
      </c>
      <c r="P7655">
        <v>0</v>
      </c>
      <c r="Q7655">
        <v>1</v>
      </c>
      <c r="R7655" t="s">
        <v>44910</v>
      </c>
      <c r="S7655" t="s">
        <v>45076</v>
      </c>
      <c r="T7655" t="s">
        <v>46483</v>
      </c>
      <c r="U7655" t="s">
        <v>53110</v>
      </c>
      <c r="W7655" t="s">
        <v>43448</v>
      </c>
      <c r="X7655" t="s">
        <v>44911</v>
      </c>
    </row>
    <row r="7656" spans="1:24">
      <c r="A7656">
        <f>HYPERLINK("https://www.philgeps.gov.ph/GEPSNONPILOT/Tender/SplashBidNoticeAbstractUI.aspx?menuIndex=3&amp;refID=7074317&amp;Result=3","7074317")</f>
        <v>0</v>
      </c>
      <c r="B7656" t="s">
        <v>1922</v>
      </c>
      <c r="C7656" t="s">
        <v>10820</v>
      </c>
      <c r="D7656" t="s">
        <v>18146</v>
      </c>
      <c r="E7656" t="s">
        <v>24950</v>
      </c>
      <c r="F7656" t="s">
        <v>31362</v>
      </c>
      <c r="G7656" t="s">
        <v>31369</v>
      </c>
      <c r="H7656" t="s">
        <v>15799</v>
      </c>
      <c r="I7656" t="s">
        <v>3815</v>
      </c>
      <c r="J7656" t="s">
        <v>36216</v>
      </c>
      <c r="K7656" t="s">
        <v>40677</v>
      </c>
      <c r="M7656" t="s">
        <v>43019</v>
      </c>
      <c r="N7656" t="s">
        <v>44905</v>
      </c>
      <c r="O7656" t="s">
        <v>44906</v>
      </c>
      <c r="P7656">
        <v>0</v>
      </c>
      <c r="Q7656">
        <v>0</v>
      </c>
      <c r="R7656" t="s">
        <v>44910</v>
      </c>
      <c r="S7656" t="s">
        <v>45076</v>
      </c>
      <c r="T7656" t="s">
        <v>46519</v>
      </c>
      <c r="U7656" t="s">
        <v>53099</v>
      </c>
      <c r="W7656" t="s">
        <v>43019</v>
      </c>
      <c r="X7656" t="s">
        <v>44911</v>
      </c>
    </row>
    <row r="7657" spans="1:24">
      <c r="A7657">
        <f>HYPERLINK("https://www.philgeps.gov.ph/GEPSNONPILOT/Tender/SplashBidNoticeAbstractUI.aspx?menuIndex=3&amp;refID=7074413&amp;Result=3","7074413")</f>
        <v>0</v>
      </c>
      <c r="B7657" t="s">
        <v>2309</v>
      </c>
      <c r="C7657" t="s">
        <v>10821</v>
      </c>
      <c r="D7657" t="s">
        <v>18172</v>
      </c>
      <c r="E7657" t="s">
        <v>24951</v>
      </c>
      <c r="F7657" t="s">
        <v>31362</v>
      </c>
      <c r="G7657" t="s">
        <v>31368</v>
      </c>
      <c r="H7657" t="s">
        <v>15799</v>
      </c>
      <c r="I7657" t="s">
        <v>4942</v>
      </c>
      <c r="J7657" t="s">
        <v>36217</v>
      </c>
      <c r="K7657" t="s">
        <v>40666</v>
      </c>
      <c r="M7657" t="s">
        <v>43449</v>
      </c>
      <c r="N7657" t="s">
        <v>44905</v>
      </c>
      <c r="O7657" t="s">
        <v>44906</v>
      </c>
      <c r="P7657">
        <v>0</v>
      </c>
      <c r="Q7657">
        <v>0</v>
      </c>
      <c r="R7657" t="s">
        <v>44910</v>
      </c>
      <c r="S7657" t="s">
        <v>45076</v>
      </c>
      <c r="T7657" t="s">
        <v>46434</v>
      </c>
      <c r="U7657" t="s">
        <v>53111</v>
      </c>
      <c r="W7657" t="s">
        <v>43449</v>
      </c>
      <c r="X7657" t="s">
        <v>44911</v>
      </c>
    </row>
    <row r="7658" spans="1:24">
      <c r="A7658">
        <f>HYPERLINK("https://www.philgeps.gov.ph/GEPSNONPILOT/Tender/SplashBidNoticeAbstractUI.aspx?menuIndex=3&amp;refID=7074410&amp;Result=3","7074410")</f>
        <v>0</v>
      </c>
      <c r="B7658" t="s">
        <v>831</v>
      </c>
      <c r="C7658" t="s">
        <v>10822</v>
      </c>
      <c r="D7658" t="s">
        <v>18108</v>
      </c>
      <c r="E7658" t="s">
        <v>24952</v>
      </c>
      <c r="F7658" t="s">
        <v>31362</v>
      </c>
      <c r="G7658" t="s">
        <v>31369</v>
      </c>
      <c r="H7658" t="s">
        <v>15799</v>
      </c>
      <c r="I7658" t="s">
        <v>4942</v>
      </c>
      <c r="J7658" t="s">
        <v>36218</v>
      </c>
      <c r="K7658" t="s">
        <v>40666</v>
      </c>
      <c r="M7658" t="s">
        <v>42635</v>
      </c>
      <c r="N7658" t="s">
        <v>44905</v>
      </c>
      <c r="O7658" t="s">
        <v>44906</v>
      </c>
      <c r="P7658">
        <v>0</v>
      </c>
      <c r="Q7658">
        <v>0</v>
      </c>
      <c r="R7658" t="s">
        <v>44910</v>
      </c>
      <c r="S7658" t="s">
        <v>45076</v>
      </c>
      <c r="T7658" t="s">
        <v>46393</v>
      </c>
      <c r="U7658" t="s">
        <v>48668</v>
      </c>
      <c r="W7658" t="s">
        <v>42635</v>
      </c>
      <c r="X7658" t="s">
        <v>44911</v>
      </c>
    </row>
    <row r="7659" spans="1:24">
      <c r="A7659">
        <f>HYPERLINK("https://www.philgeps.gov.ph/GEPSNONPILOT/Tender/SplashBidNoticeAbstractUI.aspx?menuIndex=3&amp;refID=7074411&amp;Result=3","7074411")</f>
        <v>0</v>
      </c>
      <c r="B7659" t="s">
        <v>2310</v>
      </c>
      <c r="C7659" t="s">
        <v>10823</v>
      </c>
      <c r="D7659" t="s">
        <v>18117</v>
      </c>
      <c r="E7659" t="s">
        <v>24953</v>
      </c>
      <c r="F7659" t="s">
        <v>31362</v>
      </c>
      <c r="G7659" t="s">
        <v>31368</v>
      </c>
      <c r="H7659" t="s">
        <v>15799</v>
      </c>
      <c r="I7659" t="s">
        <v>31384</v>
      </c>
      <c r="J7659" t="s">
        <v>31921</v>
      </c>
      <c r="K7659" t="s">
        <v>40661</v>
      </c>
      <c r="M7659" t="s">
        <v>43450</v>
      </c>
      <c r="N7659" t="s">
        <v>44905</v>
      </c>
      <c r="O7659" t="s">
        <v>44906</v>
      </c>
      <c r="P7659">
        <v>0</v>
      </c>
      <c r="Q7659">
        <v>1</v>
      </c>
      <c r="R7659" t="s">
        <v>44910</v>
      </c>
      <c r="S7659" t="s">
        <v>45076</v>
      </c>
      <c r="T7659" t="s">
        <v>46393</v>
      </c>
      <c r="U7659" t="s">
        <v>53112</v>
      </c>
      <c r="W7659" t="s">
        <v>43450</v>
      </c>
      <c r="X7659" t="s">
        <v>44911</v>
      </c>
    </row>
    <row r="7660" spans="1:24">
      <c r="A7660">
        <f>HYPERLINK("https://www.philgeps.gov.ph/GEPSNONPILOT/Tender/SplashBidNoticeAbstractUI.aspx?menuIndex=3&amp;refID=7074436&amp;Result=3","7074436")</f>
        <v>0</v>
      </c>
      <c r="B7660" t="s">
        <v>1971</v>
      </c>
      <c r="C7660" t="s">
        <v>10824</v>
      </c>
      <c r="D7660" t="s">
        <v>18154</v>
      </c>
      <c r="E7660" t="s">
        <v>24954</v>
      </c>
      <c r="F7660" t="s">
        <v>31362</v>
      </c>
      <c r="G7660" t="s">
        <v>31372</v>
      </c>
      <c r="H7660" t="s">
        <v>15799</v>
      </c>
      <c r="I7660" t="s">
        <v>6373</v>
      </c>
      <c r="J7660" t="s">
        <v>31543</v>
      </c>
      <c r="K7660" t="s">
        <v>40662</v>
      </c>
      <c r="M7660" t="s">
        <v>43078</v>
      </c>
      <c r="N7660" t="s">
        <v>44905</v>
      </c>
      <c r="O7660" t="s">
        <v>44906</v>
      </c>
      <c r="P7660">
        <v>0</v>
      </c>
      <c r="Q7660">
        <v>0</v>
      </c>
      <c r="R7660" t="s">
        <v>44910</v>
      </c>
      <c r="S7660" t="s">
        <v>45076</v>
      </c>
      <c r="T7660" t="s">
        <v>46507</v>
      </c>
      <c r="U7660" t="s">
        <v>53113</v>
      </c>
      <c r="W7660" t="s">
        <v>43078</v>
      </c>
      <c r="X7660" t="s">
        <v>44911</v>
      </c>
    </row>
    <row r="7661" spans="1:24">
      <c r="A7661">
        <f>HYPERLINK("https://www.philgeps.gov.ph/GEPSNONPILOT/Tender/SplashBidNoticeAbstractUI.aspx?menuIndex=3&amp;refID=7074433&amp;Result=3","7074433")</f>
        <v>0</v>
      </c>
      <c r="B7661" t="s">
        <v>2311</v>
      </c>
      <c r="C7661" t="s">
        <v>10825</v>
      </c>
      <c r="D7661" t="s">
        <v>18106</v>
      </c>
      <c r="E7661" t="s">
        <v>19255</v>
      </c>
      <c r="F7661" t="s">
        <v>31362</v>
      </c>
      <c r="G7661" t="s">
        <v>31372</v>
      </c>
      <c r="H7661" t="s">
        <v>15799</v>
      </c>
      <c r="I7661" t="s">
        <v>31398</v>
      </c>
      <c r="J7661" t="s">
        <v>31997</v>
      </c>
      <c r="K7661" t="s">
        <v>40697</v>
      </c>
      <c r="M7661" t="s">
        <v>43451</v>
      </c>
      <c r="N7661" t="s">
        <v>44905</v>
      </c>
      <c r="O7661" t="s">
        <v>44906</v>
      </c>
      <c r="P7661">
        <v>0</v>
      </c>
      <c r="Q7661">
        <v>1</v>
      </c>
      <c r="R7661" t="s">
        <v>44910</v>
      </c>
      <c r="S7661" t="s">
        <v>45076</v>
      </c>
      <c r="T7661" t="s">
        <v>46416</v>
      </c>
      <c r="U7661" t="s">
        <v>53114</v>
      </c>
      <c r="W7661" t="s">
        <v>60928</v>
      </c>
      <c r="X7661" t="s">
        <v>44911</v>
      </c>
    </row>
    <row r="7662" spans="1:24">
      <c r="A7662">
        <f>HYPERLINK("https://www.philgeps.gov.ph/GEPSNONPILOT/Tender/SplashBidNoticeAbstractUI.aspx?menuIndex=3&amp;refID=7074406&amp;Result=3","7074406")</f>
        <v>0</v>
      </c>
      <c r="B7662" t="s">
        <v>2261</v>
      </c>
      <c r="C7662" t="s">
        <v>10826</v>
      </c>
      <c r="D7662" t="s">
        <v>18162</v>
      </c>
      <c r="E7662" t="s">
        <v>24955</v>
      </c>
      <c r="F7662" t="s">
        <v>31362</v>
      </c>
      <c r="G7662" t="s">
        <v>31368</v>
      </c>
      <c r="H7662" t="s">
        <v>15799</v>
      </c>
      <c r="I7662" t="s">
        <v>7090</v>
      </c>
      <c r="J7662" t="s">
        <v>31688</v>
      </c>
      <c r="K7662" t="s">
        <v>40670</v>
      </c>
      <c r="M7662" t="s">
        <v>43400</v>
      </c>
      <c r="N7662" t="s">
        <v>44905</v>
      </c>
      <c r="O7662" t="s">
        <v>44906</v>
      </c>
      <c r="Q7662">
        <v>4</v>
      </c>
      <c r="R7662" t="s">
        <v>44910</v>
      </c>
      <c r="S7662" t="s">
        <v>45104</v>
      </c>
      <c r="T7662" t="s">
        <v>46432</v>
      </c>
      <c r="U7662" t="s">
        <v>53115</v>
      </c>
      <c r="W7662" t="s">
        <v>43400</v>
      </c>
      <c r="X7662" t="s">
        <v>44911</v>
      </c>
    </row>
    <row r="7663" spans="1:24">
      <c r="A7663">
        <f>HYPERLINK("https://www.philgeps.gov.ph/GEPSNONPILOT/Tender/SplashBidNoticeAbstractUI.aspx?menuIndex=3&amp;refID=7074430&amp;Result=3","7074430")</f>
        <v>0</v>
      </c>
      <c r="B7663" t="s">
        <v>46</v>
      </c>
      <c r="C7663" t="s">
        <v>10827</v>
      </c>
      <c r="D7663" t="s">
        <v>18116</v>
      </c>
      <c r="E7663" t="s">
        <v>24956</v>
      </c>
      <c r="F7663" t="s">
        <v>31362</v>
      </c>
      <c r="G7663" t="s">
        <v>31369</v>
      </c>
      <c r="H7663" t="s">
        <v>15799</v>
      </c>
      <c r="I7663" t="s">
        <v>31444</v>
      </c>
      <c r="J7663" t="s">
        <v>33680</v>
      </c>
      <c r="K7663" t="s">
        <v>40665</v>
      </c>
      <c r="M7663" t="s">
        <v>40980</v>
      </c>
      <c r="N7663" t="s">
        <v>44905</v>
      </c>
      <c r="O7663" t="s">
        <v>44906</v>
      </c>
      <c r="P7663">
        <v>0</v>
      </c>
      <c r="Q7663">
        <v>7</v>
      </c>
      <c r="R7663" t="s">
        <v>44910</v>
      </c>
      <c r="S7663" t="s">
        <v>45076</v>
      </c>
      <c r="T7663" t="s">
        <v>46438</v>
      </c>
      <c r="U7663" t="s">
        <v>53116</v>
      </c>
      <c r="W7663" t="s">
        <v>40980</v>
      </c>
      <c r="X7663" t="s">
        <v>44911</v>
      </c>
    </row>
    <row r="7664" spans="1:24">
      <c r="A7664">
        <f>HYPERLINK("https://www.philgeps.gov.ph/GEPSNONPILOT/Tender/SplashBidNoticeAbstractUI.aspx?menuIndex=3&amp;refID=7074446&amp;Result=3","7074446")</f>
        <v>0</v>
      </c>
      <c r="B7664" t="s">
        <v>2303</v>
      </c>
      <c r="C7664" t="s">
        <v>10828</v>
      </c>
      <c r="D7664" t="s">
        <v>18104</v>
      </c>
      <c r="E7664" t="s">
        <v>24957</v>
      </c>
      <c r="F7664" t="s">
        <v>31362</v>
      </c>
      <c r="G7664" t="s">
        <v>31369</v>
      </c>
      <c r="H7664" t="s">
        <v>15799</v>
      </c>
      <c r="I7664" t="s">
        <v>31392</v>
      </c>
      <c r="J7664" t="s">
        <v>31531</v>
      </c>
      <c r="K7664" t="s">
        <v>40665</v>
      </c>
      <c r="M7664" t="s">
        <v>43443</v>
      </c>
      <c r="N7664" t="s">
        <v>44905</v>
      </c>
      <c r="O7664" t="s">
        <v>44906</v>
      </c>
      <c r="P7664">
        <v>0</v>
      </c>
      <c r="Q7664">
        <v>0</v>
      </c>
      <c r="R7664" t="s">
        <v>44910</v>
      </c>
      <c r="S7664" t="s">
        <v>45076</v>
      </c>
      <c r="T7664" t="s">
        <v>46553</v>
      </c>
      <c r="U7664" t="s">
        <v>49788</v>
      </c>
      <c r="V7664" t="s">
        <v>59817</v>
      </c>
      <c r="W7664" t="s">
        <v>43443</v>
      </c>
      <c r="X7664" t="s">
        <v>44911</v>
      </c>
    </row>
    <row r="7665" spans="1:24">
      <c r="A7665">
        <f>HYPERLINK("https://www.philgeps.gov.ph/GEPSNONPILOT/Tender/SplashBidNoticeAbstractUI.aspx?menuIndex=3&amp;refID=7074415&amp;Result=3","7074415")</f>
        <v>0</v>
      </c>
      <c r="B7665" t="s">
        <v>2300</v>
      </c>
      <c r="C7665" t="s">
        <v>10829</v>
      </c>
      <c r="D7665" t="s">
        <v>18148</v>
      </c>
      <c r="E7665" t="s">
        <v>24958</v>
      </c>
      <c r="F7665" t="s">
        <v>31362</v>
      </c>
      <c r="G7665" t="s">
        <v>31368</v>
      </c>
      <c r="H7665" t="s">
        <v>15799</v>
      </c>
      <c r="I7665" t="s">
        <v>31388</v>
      </c>
      <c r="J7665" t="s">
        <v>31604</v>
      </c>
      <c r="K7665" t="s">
        <v>40708</v>
      </c>
      <c r="M7665" t="s">
        <v>43440</v>
      </c>
      <c r="N7665" t="s">
        <v>44905</v>
      </c>
      <c r="O7665" t="s">
        <v>44906</v>
      </c>
      <c r="P7665">
        <v>0</v>
      </c>
      <c r="Q7665">
        <v>2</v>
      </c>
      <c r="R7665" t="s">
        <v>44910</v>
      </c>
      <c r="S7665" t="s">
        <v>45076</v>
      </c>
      <c r="T7665" t="s">
        <v>46692</v>
      </c>
      <c r="U7665" t="s">
        <v>53117</v>
      </c>
      <c r="W7665" t="s">
        <v>43440</v>
      </c>
      <c r="X7665" t="s">
        <v>44911</v>
      </c>
    </row>
    <row r="7666" spans="1:24">
      <c r="A7666">
        <f>HYPERLINK("https://www.philgeps.gov.ph/GEPSNONPILOT/Tender/SplashBidNoticeAbstractUI.aspx?menuIndex=3&amp;refID=7074443&amp;Result=3","7074443")</f>
        <v>0</v>
      </c>
      <c r="B7666" t="s">
        <v>831</v>
      </c>
      <c r="C7666" t="s">
        <v>10830</v>
      </c>
      <c r="D7666" t="s">
        <v>18108</v>
      </c>
      <c r="E7666" t="s">
        <v>24959</v>
      </c>
      <c r="F7666" t="s">
        <v>31362</v>
      </c>
      <c r="G7666" t="s">
        <v>31369</v>
      </c>
      <c r="H7666" t="s">
        <v>15799</v>
      </c>
      <c r="I7666" t="s">
        <v>7090</v>
      </c>
      <c r="J7666" t="s">
        <v>31578</v>
      </c>
      <c r="K7666" t="s">
        <v>40666</v>
      </c>
      <c r="M7666" t="s">
        <v>42635</v>
      </c>
      <c r="N7666" t="s">
        <v>44905</v>
      </c>
      <c r="O7666" t="s">
        <v>44906</v>
      </c>
      <c r="P7666">
        <v>0</v>
      </c>
      <c r="Q7666">
        <v>0</v>
      </c>
      <c r="R7666" t="s">
        <v>44910</v>
      </c>
      <c r="S7666" t="s">
        <v>45076</v>
      </c>
      <c r="T7666" t="s">
        <v>46393</v>
      </c>
      <c r="U7666" t="s">
        <v>48635</v>
      </c>
      <c r="W7666" t="s">
        <v>42635</v>
      </c>
      <c r="X7666" t="s">
        <v>44911</v>
      </c>
    </row>
    <row r="7667" spans="1:24">
      <c r="A7667">
        <f>HYPERLINK("https://www.philgeps.gov.ph/GEPSNONPILOT/Tender/SplashBidNoticeAbstractUI.aspx?menuIndex=3&amp;refID=7074429&amp;Result=3","7074429")</f>
        <v>0</v>
      </c>
      <c r="B7667" t="s">
        <v>367</v>
      </c>
      <c r="C7667" t="s">
        <v>10831</v>
      </c>
      <c r="D7667" t="s">
        <v>18134</v>
      </c>
      <c r="E7667" t="s">
        <v>24960</v>
      </c>
      <c r="F7667" t="s">
        <v>31362</v>
      </c>
      <c r="G7667" t="s">
        <v>31368</v>
      </c>
      <c r="H7667" t="s">
        <v>15799</v>
      </c>
      <c r="I7667" t="s">
        <v>31393</v>
      </c>
      <c r="J7667" t="s">
        <v>36219</v>
      </c>
      <c r="K7667" t="s">
        <v>40677</v>
      </c>
      <c r="M7667" t="s">
        <v>41314</v>
      </c>
      <c r="N7667" t="s">
        <v>44905</v>
      </c>
      <c r="O7667" t="s">
        <v>44906</v>
      </c>
      <c r="P7667">
        <v>0</v>
      </c>
      <c r="Q7667">
        <v>1</v>
      </c>
      <c r="R7667" t="s">
        <v>44910</v>
      </c>
      <c r="S7667" t="s">
        <v>45076</v>
      </c>
      <c r="T7667" t="s">
        <v>46447</v>
      </c>
      <c r="U7667" t="s">
        <v>53118</v>
      </c>
      <c r="W7667" t="s">
        <v>41314</v>
      </c>
      <c r="X7667" t="s">
        <v>44911</v>
      </c>
    </row>
    <row r="7668" spans="1:24">
      <c r="A7668">
        <f>HYPERLINK("https://www.philgeps.gov.ph/GEPSNONPILOT/Tender/SplashBidNoticeAbstractUI.aspx?menuIndex=3&amp;refID=7074434&amp;Result=3","7074434")</f>
        <v>0</v>
      </c>
      <c r="B7668" t="s">
        <v>2261</v>
      </c>
      <c r="C7668" t="s">
        <v>10832</v>
      </c>
      <c r="D7668" t="s">
        <v>18162</v>
      </c>
      <c r="E7668" t="s">
        <v>24961</v>
      </c>
      <c r="F7668" t="s">
        <v>31362</v>
      </c>
      <c r="G7668" t="s">
        <v>31368</v>
      </c>
      <c r="H7668" t="s">
        <v>15799</v>
      </c>
      <c r="I7668" t="s">
        <v>31385</v>
      </c>
      <c r="J7668" t="s">
        <v>36220</v>
      </c>
      <c r="K7668" t="s">
        <v>40666</v>
      </c>
      <c r="M7668" t="s">
        <v>43400</v>
      </c>
      <c r="N7668" t="s">
        <v>44905</v>
      </c>
      <c r="O7668" t="s">
        <v>44906</v>
      </c>
      <c r="Q7668">
        <v>1</v>
      </c>
      <c r="R7668" t="s">
        <v>44910</v>
      </c>
      <c r="S7668" t="s">
        <v>45105</v>
      </c>
      <c r="T7668" t="s">
        <v>46432</v>
      </c>
      <c r="U7668" t="s">
        <v>53119</v>
      </c>
      <c r="W7668" t="s">
        <v>43400</v>
      </c>
      <c r="X7668" t="s">
        <v>44911</v>
      </c>
    </row>
    <row r="7669" spans="1:24">
      <c r="A7669">
        <f>HYPERLINK("https://www.philgeps.gov.ph/GEPSNONPILOT/Tender/SplashBidNoticeAbstractUI.aspx?menuIndex=3&amp;refID=7074404&amp;Result=3","7074404")</f>
        <v>0</v>
      </c>
      <c r="B7669" t="s">
        <v>1971</v>
      </c>
      <c r="C7669" t="s">
        <v>10833</v>
      </c>
      <c r="D7669" t="s">
        <v>18154</v>
      </c>
      <c r="E7669" t="s">
        <v>24962</v>
      </c>
      <c r="F7669" t="s">
        <v>31362</v>
      </c>
      <c r="G7669" t="s">
        <v>31372</v>
      </c>
      <c r="H7669" t="s">
        <v>15799</v>
      </c>
      <c r="I7669" t="s">
        <v>6373</v>
      </c>
      <c r="J7669" t="s">
        <v>32030</v>
      </c>
      <c r="K7669" t="s">
        <v>40662</v>
      </c>
      <c r="M7669" t="s">
        <v>43078</v>
      </c>
      <c r="N7669" t="s">
        <v>44905</v>
      </c>
      <c r="O7669" t="s">
        <v>44906</v>
      </c>
      <c r="P7669">
        <v>0</v>
      </c>
      <c r="Q7669">
        <v>1</v>
      </c>
      <c r="R7669" t="s">
        <v>44910</v>
      </c>
      <c r="S7669" t="s">
        <v>45076</v>
      </c>
      <c r="T7669" t="s">
        <v>46507</v>
      </c>
      <c r="U7669" t="s">
        <v>53113</v>
      </c>
      <c r="W7669" t="s">
        <v>43078</v>
      </c>
      <c r="X7669" t="s">
        <v>44911</v>
      </c>
    </row>
    <row r="7670" spans="1:24">
      <c r="A7670">
        <f>HYPERLINK("https://www.philgeps.gov.ph/GEPSNONPILOT/Tender/SplashBidNoticeAbstractUI.aspx?menuIndex=3&amp;refID=7074428&amp;Result=3","7074428")</f>
        <v>0</v>
      </c>
      <c r="B7670" t="s">
        <v>1270</v>
      </c>
      <c r="C7670" t="s">
        <v>10834</v>
      </c>
      <c r="D7670" t="s">
        <v>18118</v>
      </c>
      <c r="E7670" t="s">
        <v>24963</v>
      </c>
      <c r="F7670" t="s">
        <v>31362</v>
      </c>
      <c r="G7670" t="s">
        <v>31368</v>
      </c>
      <c r="H7670" t="s">
        <v>15799</v>
      </c>
      <c r="I7670" t="s">
        <v>4057</v>
      </c>
      <c r="J7670" t="s">
        <v>36221</v>
      </c>
      <c r="K7670" t="s">
        <v>40698</v>
      </c>
      <c r="M7670" t="s">
        <v>42287</v>
      </c>
      <c r="N7670" t="s">
        <v>44905</v>
      </c>
      <c r="O7670" t="s">
        <v>44906</v>
      </c>
      <c r="P7670">
        <v>0</v>
      </c>
      <c r="Q7670">
        <v>1</v>
      </c>
      <c r="R7670" t="s">
        <v>44910</v>
      </c>
      <c r="S7670" t="s">
        <v>45076</v>
      </c>
      <c r="T7670" t="s">
        <v>46438</v>
      </c>
      <c r="U7670" t="s">
        <v>49706</v>
      </c>
      <c r="W7670" t="s">
        <v>42287</v>
      </c>
      <c r="X7670" t="s">
        <v>44911</v>
      </c>
    </row>
    <row r="7671" spans="1:24">
      <c r="A7671">
        <f>HYPERLINK("https://www.philgeps.gov.ph/GEPSNONPILOT/Tender/SplashBidNoticeAbstractUI.aspx?menuIndex=3&amp;refID=7074427&amp;Result=3","7074427")</f>
        <v>0</v>
      </c>
      <c r="B7671" t="s">
        <v>2280</v>
      </c>
      <c r="C7671" t="s">
        <v>10835</v>
      </c>
      <c r="D7671" t="s">
        <v>18102</v>
      </c>
      <c r="E7671" t="s">
        <v>24878</v>
      </c>
      <c r="F7671" t="s">
        <v>31362</v>
      </c>
      <c r="G7671" t="s">
        <v>31369</v>
      </c>
      <c r="H7671" t="s">
        <v>31378</v>
      </c>
      <c r="I7671" t="s">
        <v>31386</v>
      </c>
      <c r="J7671" t="s">
        <v>36222</v>
      </c>
      <c r="K7671" t="s">
        <v>40665</v>
      </c>
      <c r="M7671" t="s">
        <v>43419</v>
      </c>
      <c r="N7671" t="s">
        <v>44905</v>
      </c>
      <c r="O7671" t="s">
        <v>44906</v>
      </c>
      <c r="P7671">
        <v>0</v>
      </c>
      <c r="Q7671">
        <v>0</v>
      </c>
      <c r="R7671" t="s">
        <v>44910</v>
      </c>
      <c r="S7671" t="s">
        <v>45076</v>
      </c>
      <c r="T7671" t="s">
        <v>46412</v>
      </c>
      <c r="U7671" t="s">
        <v>53120</v>
      </c>
      <c r="W7671" t="s">
        <v>43419</v>
      </c>
      <c r="X7671" t="s">
        <v>44911</v>
      </c>
    </row>
    <row r="7672" spans="1:24">
      <c r="A7672">
        <f>HYPERLINK("https://www.philgeps.gov.ph/GEPSNONPILOT/Tender/SplashBidNoticeAbstractUI.aspx?menuIndex=3&amp;refID=7074426&amp;Result=3","7074426")</f>
        <v>0</v>
      </c>
      <c r="B7672" t="s">
        <v>701</v>
      </c>
      <c r="C7672" t="s">
        <v>10836</v>
      </c>
      <c r="D7672" t="s">
        <v>18172</v>
      </c>
      <c r="E7672" t="s">
        <v>24964</v>
      </c>
      <c r="F7672" t="s">
        <v>31362</v>
      </c>
      <c r="G7672" t="s">
        <v>31369</v>
      </c>
      <c r="H7672" t="s">
        <v>15799</v>
      </c>
      <c r="I7672" t="s">
        <v>3815</v>
      </c>
      <c r="J7672" t="s">
        <v>36223</v>
      </c>
      <c r="K7672" t="s">
        <v>40666</v>
      </c>
      <c r="M7672" t="s">
        <v>41666</v>
      </c>
      <c r="N7672" t="s">
        <v>44905</v>
      </c>
      <c r="O7672" t="s">
        <v>44906</v>
      </c>
      <c r="P7672">
        <v>0</v>
      </c>
      <c r="Q7672">
        <v>0</v>
      </c>
      <c r="R7672" t="s">
        <v>44910</v>
      </c>
      <c r="S7672" t="s">
        <v>45076</v>
      </c>
      <c r="T7672" t="s">
        <v>46410</v>
      </c>
      <c r="U7672" t="s">
        <v>53121</v>
      </c>
      <c r="W7672" t="s">
        <v>41666</v>
      </c>
      <c r="X7672" t="s">
        <v>44911</v>
      </c>
    </row>
    <row r="7673" spans="1:24">
      <c r="A7673">
        <f>HYPERLINK("https://www.philgeps.gov.ph/GEPSNONPILOT/Tender/SplashBidNoticeAbstractUI.aspx?menuIndex=3&amp;refID=7074425&amp;Result=3","7074425")</f>
        <v>0</v>
      </c>
      <c r="B7673" t="s">
        <v>2312</v>
      </c>
      <c r="C7673" t="s">
        <v>10837</v>
      </c>
      <c r="D7673" t="s">
        <v>18156</v>
      </c>
      <c r="E7673" t="s">
        <v>21820</v>
      </c>
      <c r="F7673" t="s">
        <v>31362</v>
      </c>
      <c r="G7673" t="s">
        <v>31369</v>
      </c>
      <c r="H7673" t="s">
        <v>15799</v>
      </c>
      <c r="I7673" t="s">
        <v>31430</v>
      </c>
      <c r="J7673" t="s">
        <v>31591</v>
      </c>
      <c r="K7673" t="s">
        <v>40670</v>
      </c>
      <c r="M7673" t="s">
        <v>43452</v>
      </c>
      <c r="N7673" t="s">
        <v>44905</v>
      </c>
      <c r="O7673" t="s">
        <v>44906</v>
      </c>
      <c r="P7673">
        <v>0</v>
      </c>
      <c r="Q7673">
        <v>2</v>
      </c>
      <c r="R7673" t="s">
        <v>44910</v>
      </c>
      <c r="S7673" t="s">
        <v>45076</v>
      </c>
      <c r="T7673" t="s">
        <v>46520</v>
      </c>
      <c r="U7673" t="s">
        <v>53122</v>
      </c>
      <c r="W7673" t="s">
        <v>43452</v>
      </c>
      <c r="X7673" t="s">
        <v>44911</v>
      </c>
    </row>
    <row r="7674" spans="1:24">
      <c r="A7674">
        <f>HYPERLINK("https://www.philgeps.gov.ph/GEPSNONPILOT/Tender/SplashBidNoticeAbstractUI.aspx?menuIndex=3&amp;refID=7074422&amp;Result=3","7074422")</f>
        <v>0</v>
      </c>
      <c r="B7674" t="s">
        <v>2313</v>
      </c>
      <c r="C7674" t="s">
        <v>10838</v>
      </c>
      <c r="D7674" t="s">
        <v>18112</v>
      </c>
      <c r="E7674" t="s">
        <v>24965</v>
      </c>
      <c r="F7674" t="s">
        <v>31362</v>
      </c>
      <c r="G7674" t="s">
        <v>31368</v>
      </c>
      <c r="H7674" t="s">
        <v>15799</v>
      </c>
      <c r="I7674" t="s">
        <v>4942</v>
      </c>
      <c r="J7674" t="s">
        <v>31604</v>
      </c>
      <c r="K7674" t="s">
        <v>40670</v>
      </c>
      <c r="M7674" t="s">
        <v>43453</v>
      </c>
      <c r="N7674" t="s">
        <v>44905</v>
      </c>
      <c r="O7674" t="s">
        <v>44906</v>
      </c>
      <c r="P7674">
        <v>0</v>
      </c>
      <c r="Q7674">
        <v>0</v>
      </c>
      <c r="R7674" t="s">
        <v>44910</v>
      </c>
      <c r="S7674" t="s">
        <v>45076</v>
      </c>
      <c r="T7674" t="s">
        <v>46427</v>
      </c>
      <c r="U7674" t="s">
        <v>53123</v>
      </c>
      <c r="W7674" t="s">
        <v>43453</v>
      </c>
      <c r="X7674" t="s">
        <v>44911</v>
      </c>
    </row>
    <row r="7675" spans="1:24">
      <c r="A7675">
        <f>HYPERLINK("https://www.philgeps.gov.ph/GEPSNONPILOT/Tender/SplashBidNoticeAbstractUI.aspx?menuIndex=3&amp;refID=7074445&amp;Result=3","7074445")</f>
        <v>0</v>
      </c>
      <c r="B7675" t="s">
        <v>491</v>
      </c>
      <c r="C7675" t="s">
        <v>10839</v>
      </c>
      <c r="D7675" t="s">
        <v>18126</v>
      </c>
      <c r="E7675" t="s">
        <v>24966</v>
      </c>
      <c r="F7675" t="s">
        <v>31362</v>
      </c>
      <c r="G7675" t="s">
        <v>31369</v>
      </c>
      <c r="H7675" t="s">
        <v>15799</v>
      </c>
      <c r="I7675" t="s">
        <v>31393</v>
      </c>
      <c r="J7675" t="s">
        <v>36224</v>
      </c>
      <c r="K7675" t="s">
        <v>40697</v>
      </c>
      <c r="M7675" t="s">
        <v>41446</v>
      </c>
      <c r="N7675" t="s">
        <v>44905</v>
      </c>
      <c r="O7675" t="s">
        <v>44906</v>
      </c>
      <c r="P7675">
        <v>0</v>
      </c>
      <c r="Q7675">
        <v>7</v>
      </c>
      <c r="R7675" t="s">
        <v>44910</v>
      </c>
      <c r="S7675" t="s">
        <v>45076</v>
      </c>
      <c r="T7675" t="s">
        <v>46503</v>
      </c>
      <c r="U7675" t="s">
        <v>53124</v>
      </c>
      <c r="W7675" t="s">
        <v>41446</v>
      </c>
      <c r="X7675" t="s">
        <v>44911</v>
      </c>
    </row>
    <row r="7676" spans="1:24">
      <c r="A7676">
        <f>HYPERLINK("https://www.philgeps.gov.ph/GEPSNONPILOT/Tender/SplashBidNoticeAbstractUI.aspx?menuIndex=3&amp;refID=7074418&amp;Result=3","7074418")</f>
        <v>0</v>
      </c>
      <c r="B7676" t="s">
        <v>2314</v>
      </c>
      <c r="C7676" t="s">
        <v>10840</v>
      </c>
      <c r="D7676" t="s">
        <v>18116</v>
      </c>
      <c r="E7676" t="s">
        <v>24967</v>
      </c>
      <c r="F7676" t="s">
        <v>31362</v>
      </c>
      <c r="G7676" t="s">
        <v>31369</v>
      </c>
      <c r="H7676" t="s">
        <v>31378</v>
      </c>
      <c r="I7676" t="s">
        <v>31386</v>
      </c>
      <c r="J7676" t="s">
        <v>31578</v>
      </c>
      <c r="K7676" t="s">
        <v>40665</v>
      </c>
      <c r="M7676" t="s">
        <v>43454</v>
      </c>
      <c r="N7676" t="s">
        <v>44905</v>
      </c>
      <c r="O7676" t="s">
        <v>44906</v>
      </c>
      <c r="P7676">
        <v>0</v>
      </c>
      <c r="Q7676">
        <v>0</v>
      </c>
      <c r="R7676" t="s">
        <v>44910</v>
      </c>
      <c r="S7676" t="s">
        <v>45076</v>
      </c>
      <c r="T7676" t="s">
        <v>46447</v>
      </c>
      <c r="U7676" t="s">
        <v>53125</v>
      </c>
      <c r="V7676" t="s">
        <v>59818</v>
      </c>
      <c r="W7676" t="s">
        <v>43454</v>
      </c>
      <c r="X7676" t="s">
        <v>44911</v>
      </c>
    </row>
    <row r="7677" spans="1:24">
      <c r="A7677">
        <f>HYPERLINK("https://www.philgeps.gov.ph/GEPSNONPILOT/Tender/SplashBidNoticeAbstractUI.aspx?menuIndex=3&amp;refID=7074449&amp;Result=3","7074449")</f>
        <v>0</v>
      </c>
      <c r="B7677" t="s">
        <v>1270</v>
      </c>
      <c r="C7677" t="s">
        <v>10841</v>
      </c>
      <c r="D7677" t="s">
        <v>18118</v>
      </c>
      <c r="E7677" t="s">
        <v>24968</v>
      </c>
      <c r="F7677" t="s">
        <v>31362</v>
      </c>
      <c r="G7677" t="s">
        <v>31368</v>
      </c>
      <c r="H7677" t="s">
        <v>15799</v>
      </c>
      <c r="I7677" t="s">
        <v>4057</v>
      </c>
      <c r="J7677" t="s">
        <v>33008</v>
      </c>
      <c r="K7677" t="s">
        <v>40698</v>
      </c>
      <c r="M7677" t="s">
        <v>42287</v>
      </c>
      <c r="N7677" t="s">
        <v>44905</v>
      </c>
      <c r="O7677" t="s">
        <v>44906</v>
      </c>
      <c r="P7677">
        <v>0</v>
      </c>
      <c r="Q7677">
        <v>0</v>
      </c>
      <c r="R7677" t="s">
        <v>44910</v>
      </c>
      <c r="S7677" t="s">
        <v>45076</v>
      </c>
      <c r="T7677" t="s">
        <v>46438</v>
      </c>
      <c r="U7677" t="s">
        <v>49706</v>
      </c>
      <c r="W7677" t="s">
        <v>42287</v>
      </c>
      <c r="X7677" t="s">
        <v>44911</v>
      </c>
    </row>
    <row r="7678" spans="1:24">
      <c r="A7678">
        <f>HYPERLINK("https://www.philgeps.gov.ph/GEPSNONPILOT/Tender/SplashBidNoticeAbstractUI.aspx?menuIndex=3&amp;refID=7074469&amp;Result=3","7074469")</f>
        <v>0</v>
      </c>
      <c r="B7678" t="s">
        <v>2300</v>
      </c>
      <c r="C7678" t="s">
        <v>10842</v>
      </c>
      <c r="D7678" t="s">
        <v>18148</v>
      </c>
      <c r="E7678" t="s">
        <v>24969</v>
      </c>
      <c r="F7678" t="s">
        <v>31362</v>
      </c>
      <c r="G7678" t="s">
        <v>31370</v>
      </c>
      <c r="H7678" t="s">
        <v>15799</v>
      </c>
      <c r="I7678" t="s">
        <v>31426</v>
      </c>
      <c r="J7678" t="s">
        <v>36225</v>
      </c>
      <c r="K7678" t="s">
        <v>40665</v>
      </c>
      <c r="M7678" t="s">
        <v>43440</v>
      </c>
      <c r="N7678" t="s">
        <v>44905</v>
      </c>
      <c r="O7678" t="s">
        <v>44906</v>
      </c>
      <c r="P7678">
        <v>0</v>
      </c>
      <c r="Q7678">
        <v>9</v>
      </c>
      <c r="R7678" t="s">
        <v>44910</v>
      </c>
      <c r="S7678" t="s">
        <v>45076</v>
      </c>
      <c r="T7678" t="s">
        <v>46692</v>
      </c>
      <c r="U7678" t="s">
        <v>53126</v>
      </c>
      <c r="W7678" t="s">
        <v>43440</v>
      </c>
      <c r="X7678" t="s">
        <v>44911</v>
      </c>
    </row>
    <row r="7679" spans="1:24">
      <c r="A7679">
        <f>HYPERLINK("https://www.philgeps.gov.ph/GEPSNONPILOT/Tender/SplashBidNoticeAbstractUI.aspx?menuIndex=3&amp;refID=7074441&amp;Result=3","7074441")</f>
        <v>0</v>
      </c>
      <c r="B7679" t="s">
        <v>345</v>
      </c>
      <c r="C7679" t="s">
        <v>10843</v>
      </c>
      <c r="D7679" t="s">
        <v>18149</v>
      </c>
      <c r="E7679" t="s">
        <v>24970</v>
      </c>
      <c r="F7679" t="s">
        <v>31362</v>
      </c>
      <c r="G7679" t="s">
        <v>31369</v>
      </c>
      <c r="H7679" t="s">
        <v>31378</v>
      </c>
      <c r="I7679" t="s">
        <v>31386</v>
      </c>
      <c r="J7679" t="s">
        <v>31591</v>
      </c>
      <c r="K7679" t="s">
        <v>40675</v>
      </c>
      <c r="M7679" t="s">
        <v>41291</v>
      </c>
      <c r="N7679" t="s">
        <v>44905</v>
      </c>
      <c r="O7679" t="s">
        <v>44906</v>
      </c>
      <c r="P7679">
        <v>0</v>
      </c>
      <c r="Q7679">
        <v>0</v>
      </c>
      <c r="R7679" t="s">
        <v>44910</v>
      </c>
      <c r="S7679" t="s">
        <v>45076</v>
      </c>
      <c r="T7679" t="s">
        <v>46474</v>
      </c>
      <c r="U7679" t="s">
        <v>47513</v>
      </c>
      <c r="W7679" t="s">
        <v>41291</v>
      </c>
      <c r="X7679" t="s">
        <v>44911</v>
      </c>
    </row>
    <row r="7680" spans="1:24">
      <c r="A7680">
        <f>HYPERLINK("https://www.philgeps.gov.ph/GEPSNONPILOT/Tender/SplashBidNoticeAbstractUI.aspx?menuIndex=3&amp;refID=7074500&amp;Result=3","7074500")</f>
        <v>0</v>
      </c>
      <c r="B7680" t="s">
        <v>2237</v>
      </c>
      <c r="C7680" t="s">
        <v>10844</v>
      </c>
      <c r="D7680" t="s">
        <v>18104</v>
      </c>
      <c r="E7680" t="s">
        <v>11036</v>
      </c>
      <c r="F7680" t="s">
        <v>31362</v>
      </c>
      <c r="G7680" t="s">
        <v>31369</v>
      </c>
      <c r="H7680" t="s">
        <v>15799</v>
      </c>
      <c r="I7680" t="s">
        <v>31386</v>
      </c>
      <c r="J7680" t="s">
        <v>36226</v>
      </c>
      <c r="K7680" t="s">
        <v>40662</v>
      </c>
      <c r="M7680" t="s">
        <v>43374</v>
      </c>
      <c r="N7680" t="s">
        <v>44905</v>
      </c>
      <c r="O7680" t="s">
        <v>44906</v>
      </c>
      <c r="P7680">
        <v>0</v>
      </c>
      <c r="Q7680">
        <v>0</v>
      </c>
      <c r="R7680" t="s">
        <v>44910</v>
      </c>
      <c r="S7680" t="s">
        <v>45076</v>
      </c>
      <c r="T7680" t="s">
        <v>46470</v>
      </c>
      <c r="U7680" t="s">
        <v>53127</v>
      </c>
      <c r="W7680" t="s">
        <v>43374</v>
      </c>
      <c r="X7680" t="s">
        <v>44911</v>
      </c>
    </row>
    <row r="7681" spans="1:24">
      <c r="A7681">
        <f>HYPERLINK("https://www.philgeps.gov.ph/GEPSNONPILOT/Tender/SplashBidNoticeAbstractUI.aspx?menuIndex=3&amp;refID=7074495&amp;Result=3","7074495")</f>
        <v>0</v>
      </c>
      <c r="B7681" t="s">
        <v>805</v>
      </c>
      <c r="C7681" t="s">
        <v>10845</v>
      </c>
      <c r="D7681" t="s">
        <v>18107</v>
      </c>
      <c r="E7681" t="s">
        <v>24971</v>
      </c>
      <c r="F7681" t="s">
        <v>31362</v>
      </c>
      <c r="G7681" t="s">
        <v>31369</v>
      </c>
      <c r="H7681" t="s">
        <v>15799</v>
      </c>
      <c r="I7681" t="s">
        <v>31409</v>
      </c>
      <c r="J7681" t="s">
        <v>36227</v>
      </c>
      <c r="K7681" t="s">
        <v>40682</v>
      </c>
      <c r="M7681" t="s">
        <v>41776</v>
      </c>
      <c r="N7681" t="s">
        <v>44905</v>
      </c>
      <c r="O7681" t="s">
        <v>44906</v>
      </c>
      <c r="P7681">
        <v>0</v>
      </c>
      <c r="Q7681">
        <v>4</v>
      </c>
      <c r="R7681" t="s">
        <v>44910</v>
      </c>
      <c r="S7681" t="s">
        <v>45076</v>
      </c>
      <c r="T7681" t="s">
        <v>46573</v>
      </c>
      <c r="U7681" t="s">
        <v>53128</v>
      </c>
      <c r="W7681" t="s">
        <v>41776</v>
      </c>
      <c r="X7681" t="s">
        <v>44911</v>
      </c>
    </row>
    <row r="7682" spans="1:24">
      <c r="A7682">
        <f>HYPERLINK("https://www.philgeps.gov.ph/GEPSNONPILOT/Tender/SplashBidNoticeAbstractUI.aspx?menuIndex=3&amp;refID=7074493&amp;Result=3","7074493")</f>
        <v>0</v>
      </c>
      <c r="B7682" t="s">
        <v>91</v>
      </c>
      <c r="C7682" t="s">
        <v>10846</v>
      </c>
      <c r="D7682" t="s">
        <v>18136</v>
      </c>
      <c r="E7682" t="s">
        <v>24972</v>
      </c>
      <c r="F7682" t="s">
        <v>31362</v>
      </c>
      <c r="G7682" t="s">
        <v>31369</v>
      </c>
      <c r="H7682" t="s">
        <v>15799</v>
      </c>
      <c r="I7682" t="s">
        <v>31404</v>
      </c>
      <c r="J7682" t="s">
        <v>36228</v>
      </c>
      <c r="K7682" t="s">
        <v>40661</v>
      </c>
      <c r="M7682" t="s">
        <v>41028</v>
      </c>
      <c r="N7682" t="s">
        <v>44905</v>
      </c>
      <c r="O7682" t="s">
        <v>44906</v>
      </c>
      <c r="P7682">
        <v>0</v>
      </c>
      <c r="Q7682">
        <v>0</v>
      </c>
      <c r="R7682" t="s">
        <v>44910</v>
      </c>
      <c r="S7682" t="s">
        <v>45076</v>
      </c>
      <c r="T7682" t="s">
        <v>46418</v>
      </c>
      <c r="U7682" t="s">
        <v>53129</v>
      </c>
      <c r="W7682" t="s">
        <v>41028</v>
      </c>
      <c r="X7682" t="s">
        <v>44911</v>
      </c>
    </row>
    <row r="7683" spans="1:24">
      <c r="A7683">
        <f>HYPERLINK("https://www.philgeps.gov.ph/GEPSNONPILOT/Tender/SplashBidNoticeAbstractUI.aspx?menuIndex=3&amp;refID=7074419&amp;Result=3","7074419")</f>
        <v>0</v>
      </c>
      <c r="B7683" t="s">
        <v>831</v>
      </c>
      <c r="C7683" t="s">
        <v>10847</v>
      </c>
      <c r="D7683" t="s">
        <v>18108</v>
      </c>
      <c r="E7683" t="s">
        <v>24973</v>
      </c>
      <c r="F7683" t="s">
        <v>31362</v>
      </c>
      <c r="G7683" t="s">
        <v>31369</v>
      </c>
      <c r="H7683" t="s">
        <v>15799</v>
      </c>
      <c r="I7683" t="s">
        <v>4942</v>
      </c>
      <c r="J7683" t="s">
        <v>31536</v>
      </c>
      <c r="K7683" t="s">
        <v>40666</v>
      </c>
      <c r="M7683" t="s">
        <v>42635</v>
      </c>
      <c r="N7683" t="s">
        <v>44905</v>
      </c>
      <c r="O7683" t="s">
        <v>44906</v>
      </c>
      <c r="P7683">
        <v>0</v>
      </c>
      <c r="Q7683">
        <v>0</v>
      </c>
      <c r="R7683" t="s">
        <v>44910</v>
      </c>
      <c r="S7683" t="s">
        <v>45076</v>
      </c>
      <c r="T7683" t="s">
        <v>46393</v>
      </c>
      <c r="U7683" t="s">
        <v>48668</v>
      </c>
      <c r="W7683" t="s">
        <v>42635</v>
      </c>
      <c r="X7683" t="s">
        <v>44911</v>
      </c>
    </row>
    <row r="7684" spans="1:24">
      <c r="A7684">
        <f>HYPERLINK("https://www.philgeps.gov.ph/GEPSNONPILOT/Tender/SplashBidNoticeAbstractUI.aspx?menuIndex=3&amp;refID=7074488&amp;Result=3","7074488")</f>
        <v>0</v>
      </c>
      <c r="B7684" t="s">
        <v>2309</v>
      </c>
      <c r="C7684" t="s">
        <v>10848</v>
      </c>
      <c r="D7684" t="s">
        <v>18172</v>
      </c>
      <c r="E7684" t="s">
        <v>24745</v>
      </c>
      <c r="F7684" t="s">
        <v>31362</v>
      </c>
      <c r="G7684" t="s">
        <v>31368</v>
      </c>
      <c r="H7684" t="s">
        <v>15799</v>
      </c>
      <c r="I7684" t="s">
        <v>31425</v>
      </c>
      <c r="J7684" t="s">
        <v>31545</v>
      </c>
      <c r="K7684" t="s">
        <v>40666</v>
      </c>
      <c r="M7684" t="s">
        <v>43449</v>
      </c>
      <c r="N7684" t="s">
        <v>44905</v>
      </c>
      <c r="O7684" t="s">
        <v>44906</v>
      </c>
      <c r="P7684">
        <v>0</v>
      </c>
      <c r="Q7684">
        <v>0</v>
      </c>
      <c r="R7684" t="s">
        <v>44910</v>
      </c>
      <c r="S7684" t="s">
        <v>45076</v>
      </c>
      <c r="T7684" t="s">
        <v>46434</v>
      </c>
      <c r="U7684" t="s">
        <v>53130</v>
      </c>
      <c r="W7684" t="s">
        <v>43449</v>
      </c>
      <c r="X7684" t="s">
        <v>44911</v>
      </c>
    </row>
    <row r="7685" spans="1:24">
      <c r="A7685">
        <f>HYPERLINK("https://www.philgeps.gov.ph/GEPSNONPILOT/Tender/SplashBidNoticeAbstractUI.aspx?menuIndex=3&amp;refID=7074485&amp;Result=3","7074485")</f>
        <v>0</v>
      </c>
      <c r="B7685" t="s">
        <v>1970</v>
      </c>
      <c r="C7685" t="s">
        <v>10849</v>
      </c>
      <c r="D7685" t="s">
        <v>18106</v>
      </c>
      <c r="E7685" t="s">
        <v>24974</v>
      </c>
      <c r="F7685" t="s">
        <v>31362</v>
      </c>
      <c r="G7685" t="s">
        <v>31369</v>
      </c>
      <c r="H7685" t="s">
        <v>31378</v>
      </c>
      <c r="I7685" t="s">
        <v>31386</v>
      </c>
      <c r="J7685" t="s">
        <v>31591</v>
      </c>
      <c r="K7685" t="s">
        <v>40681</v>
      </c>
      <c r="M7685" t="s">
        <v>43077</v>
      </c>
      <c r="N7685" t="s">
        <v>44905</v>
      </c>
      <c r="O7685" t="s">
        <v>44906</v>
      </c>
      <c r="P7685">
        <v>0</v>
      </c>
      <c r="Q7685">
        <v>0</v>
      </c>
      <c r="R7685" t="s">
        <v>44910</v>
      </c>
      <c r="S7685" t="s">
        <v>45076</v>
      </c>
      <c r="T7685" t="s">
        <v>46438</v>
      </c>
      <c r="U7685" t="s">
        <v>53131</v>
      </c>
      <c r="W7685" t="s">
        <v>43077</v>
      </c>
      <c r="X7685" t="s">
        <v>44911</v>
      </c>
    </row>
    <row r="7686" spans="1:24">
      <c r="A7686">
        <f>HYPERLINK("https://www.philgeps.gov.ph/GEPSNONPILOT/Tender/SplashBidNoticeAbstractUI.aspx?menuIndex=3&amp;refID=7074470&amp;Result=3","7074470")</f>
        <v>0</v>
      </c>
      <c r="B7686" t="s">
        <v>2306</v>
      </c>
      <c r="C7686" t="s">
        <v>10850</v>
      </c>
      <c r="D7686" t="s">
        <v>18106</v>
      </c>
      <c r="E7686" t="s">
        <v>24975</v>
      </c>
      <c r="F7686" t="s">
        <v>31362</v>
      </c>
      <c r="G7686" t="s">
        <v>31368</v>
      </c>
      <c r="H7686" t="s">
        <v>31378</v>
      </c>
      <c r="I7686" t="s">
        <v>31386</v>
      </c>
      <c r="J7686" t="s">
        <v>33390</v>
      </c>
      <c r="K7686" t="s">
        <v>40680</v>
      </c>
      <c r="M7686" t="s">
        <v>43446</v>
      </c>
      <c r="N7686" t="s">
        <v>44905</v>
      </c>
      <c r="O7686" t="s">
        <v>44906</v>
      </c>
      <c r="P7686">
        <v>0</v>
      </c>
      <c r="Q7686">
        <v>0</v>
      </c>
      <c r="R7686" t="s">
        <v>44910</v>
      </c>
      <c r="S7686" t="s">
        <v>45076</v>
      </c>
      <c r="T7686" t="s">
        <v>46761</v>
      </c>
      <c r="U7686" t="s">
        <v>53132</v>
      </c>
      <c r="W7686" t="s">
        <v>43446</v>
      </c>
      <c r="X7686" t="s">
        <v>44911</v>
      </c>
    </row>
    <row r="7687" spans="1:24">
      <c r="A7687">
        <f>HYPERLINK("https://www.philgeps.gov.ph/GEPSNONPILOT/Tender/SplashBidNoticeAbstractUI.aspx?menuIndex=3&amp;refID=7074480&amp;Result=3","7074480")</f>
        <v>0</v>
      </c>
      <c r="B7687" t="s">
        <v>347</v>
      </c>
      <c r="C7687" t="s">
        <v>10851</v>
      </c>
      <c r="D7687" t="s">
        <v>18120</v>
      </c>
      <c r="E7687" t="s">
        <v>24976</v>
      </c>
      <c r="F7687" t="s">
        <v>31362</v>
      </c>
      <c r="G7687" t="s">
        <v>31369</v>
      </c>
      <c r="H7687" t="s">
        <v>15799</v>
      </c>
      <c r="I7687" t="s">
        <v>3815</v>
      </c>
      <c r="J7687" t="s">
        <v>36229</v>
      </c>
      <c r="K7687" t="s">
        <v>40666</v>
      </c>
      <c r="M7687" t="s">
        <v>41293</v>
      </c>
      <c r="N7687" t="s">
        <v>44905</v>
      </c>
      <c r="O7687" t="s">
        <v>44906</v>
      </c>
      <c r="P7687">
        <v>0</v>
      </c>
      <c r="Q7687">
        <v>0</v>
      </c>
      <c r="R7687" t="s">
        <v>44910</v>
      </c>
      <c r="S7687" t="s">
        <v>45076</v>
      </c>
      <c r="T7687" t="s">
        <v>46467</v>
      </c>
      <c r="U7687" t="s">
        <v>53133</v>
      </c>
      <c r="W7687" t="s">
        <v>41293</v>
      </c>
      <c r="X7687" t="s">
        <v>44911</v>
      </c>
    </row>
    <row r="7688" spans="1:24">
      <c r="A7688">
        <f>HYPERLINK("https://www.philgeps.gov.ph/GEPSNONPILOT/Tender/SplashBidNoticeAbstractUI.aspx?menuIndex=3&amp;refID=7074478&amp;Result=3","7074478")</f>
        <v>0</v>
      </c>
      <c r="B7688" t="s">
        <v>2315</v>
      </c>
      <c r="C7688" t="s">
        <v>10852</v>
      </c>
      <c r="D7688" t="s">
        <v>18108</v>
      </c>
      <c r="E7688" t="s">
        <v>24977</v>
      </c>
      <c r="F7688" t="s">
        <v>31362</v>
      </c>
      <c r="G7688" t="s">
        <v>31368</v>
      </c>
      <c r="H7688" t="s">
        <v>15799</v>
      </c>
      <c r="I7688" t="s">
        <v>31464</v>
      </c>
      <c r="J7688" t="s">
        <v>31604</v>
      </c>
      <c r="K7688" t="s">
        <v>40739</v>
      </c>
      <c r="M7688" t="s">
        <v>43455</v>
      </c>
      <c r="N7688" t="s">
        <v>44905</v>
      </c>
      <c r="O7688" t="s">
        <v>44906</v>
      </c>
      <c r="P7688">
        <v>0</v>
      </c>
      <c r="Q7688">
        <v>1</v>
      </c>
      <c r="R7688" t="s">
        <v>44910</v>
      </c>
      <c r="S7688" t="s">
        <v>45076</v>
      </c>
      <c r="T7688" t="s">
        <v>46438</v>
      </c>
      <c r="U7688" t="s">
        <v>53134</v>
      </c>
      <c r="W7688" t="s">
        <v>43455</v>
      </c>
      <c r="X7688" t="s">
        <v>44911</v>
      </c>
    </row>
    <row r="7689" spans="1:24">
      <c r="A7689">
        <f>HYPERLINK("https://www.philgeps.gov.ph/GEPSNONPILOT/Tender/SplashBidNoticeAbstractUI.aspx?menuIndex=3&amp;refID=7074476&amp;Result=3","7074476")</f>
        <v>0</v>
      </c>
      <c r="B7689" t="s">
        <v>2313</v>
      </c>
      <c r="C7689" t="s">
        <v>10853</v>
      </c>
      <c r="D7689" t="s">
        <v>18112</v>
      </c>
      <c r="E7689" t="s">
        <v>24978</v>
      </c>
      <c r="F7689" t="s">
        <v>31362</v>
      </c>
      <c r="G7689" t="s">
        <v>31368</v>
      </c>
      <c r="H7689" t="s">
        <v>15799</v>
      </c>
      <c r="I7689" t="s">
        <v>4942</v>
      </c>
      <c r="J7689" t="s">
        <v>31564</v>
      </c>
      <c r="K7689" t="s">
        <v>40670</v>
      </c>
      <c r="M7689" t="s">
        <v>43453</v>
      </c>
      <c r="N7689" t="s">
        <v>44905</v>
      </c>
      <c r="O7689" t="s">
        <v>44906</v>
      </c>
      <c r="P7689">
        <v>0</v>
      </c>
      <c r="Q7689">
        <v>0</v>
      </c>
      <c r="R7689" t="s">
        <v>44910</v>
      </c>
      <c r="S7689" t="s">
        <v>45076</v>
      </c>
      <c r="T7689" t="s">
        <v>46483</v>
      </c>
      <c r="U7689" t="s">
        <v>53135</v>
      </c>
      <c r="W7689" t="s">
        <v>43453</v>
      </c>
      <c r="X7689" t="s">
        <v>44911</v>
      </c>
    </row>
    <row r="7690" spans="1:24">
      <c r="A7690">
        <f>HYPERLINK("https://www.philgeps.gov.ph/GEPSNONPILOT/Tender/SplashBidNoticeAbstractUI.aspx?menuIndex=3&amp;refID=7074496&amp;Result=3","7074496")</f>
        <v>0</v>
      </c>
      <c r="B7690" t="s">
        <v>2316</v>
      </c>
      <c r="C7690" t="s">
        <v>10854</v>
      </c>
      <c r="D7690" t="s">
        <v>18160</v>
      </c>
      <c r="E7690" t="s">
        <v>18818</v>
      </c>
      <c r="F7690" t="s">
        <v>31362</v>
      </c>
      <c r="G7690" t="s">
        <v>31368</v>
      </c>
      <c r="H7690" t="s">
        <v>15799</v>
      </c>
      <c r="I7690" t="s">
        <v>4283</v>
      </c>
      <c r="J7690" t="s">
        <v>31943</v>
      </c>
      <c r="K7690" t="s">
        <v>40715</v>
      </c>
      <c r="M7690" t="s">
        <v>43456</v>
      </c>
      <c r="N7690" t="s">
        <v>44905</v>
      </c>
      <c r="O7690" t="s">
        <v>44906</v>
      </c>
      <c r="P7690">
        <v>0</v>
      </c>
      <c r="Q7690">
        <v>0</v>
      </c>
      <c r="R7690" t="s">
        <v>44910</v>
      </c>
      <c r="S7690" t="s">
        <v>45076</v>
      </c>
      <c r="T7690" t="s">
        <v>46414</v>
      </c>
      <c r="U7690" t="s">
        <v>53136</v>
      </c>
      <c r="W7690" t="s">
        <v>43456</v>
      </c>
      <c r="X7690" t="s">
        <v>44911</v>
      </c>
    </row>
    <row r="7691" spans="1:24">
      <c r="A7691">
        <f>HYPERLINK("https://www.philgeps.gov.ph/GEPSNONPILOT/Tender/SplashBidNoticeAbstractUI.aspx?menuIndex=3&amp;refID=7074467&amp;Result=3","7074467")</f>
        <v>0</v>
      </c>
      <c r="B7691" t="s">
        <v>2295</v>
      </c>
      <c r="C7691" t="s">
        <v>10855</v>
      </c>
      <c r="D7691" t="s">
        <v>18117</v>
      </c>
      <c r="E7691" t="s">
        <v>18415</v>
      </c>
      <c r="F7691" t="s">
        <v>31362</v>
      </c>
      <c r="G7691" t="s">
        <v>31369</v>
      </c>
      <c r="H7691" t="s">
        <v>31378</v>
      </c>
      <c r="I7691" t="s">
        <v>31386</v>
      </c>
      <c r="J7691" t="s">
        <v>31625</v>
      </c>
      <c r="K7691" t="s">
        <v>40679</v>
      </c>
      <c r="M7691" t="s">
        <v>43435</v>
      </c>
      <c r="N7691" t="s">
        <v>44905</v>
      </c>
      <c r="O7691" t="s">
        <v>44906</v>
      </c>
      <c r="P7691">
        <v>0</v>
      </c>
      <c r="Q7691">
        <v>3</v>
      </c>
      <c r="R7691" t="s">
        <v>44910</v>
      </c>
      <c r="S7691" t="s">
        <v>45076</v>
      </c>
      <c r="T7691" t="s">
        <v>46671</v>
      </c>
      <c r="U7691" t="s">
        <v>53137</v>
      </c>
      <c r="W7691" t="s">
        <v>43435</v>
      </c>
      <c r="X7691" t="s">
        <v>44911</v>
      </c>
    </row>
    <row r="7692" spans="1:24">
      <c r="A7692">
        <f>HYPERLINK("https://www.philgeps.gov.ph/GEPSNONPILOT/Tender/SplashBidNoticeAbstractUI.aspx?menuIndex=3&amp;refID=7074460&amp;Result=3","7074460")</f>
        <v>0</v>
      </c>
      <c r="B7692" t="s">
        <v>2261</v>
      </c>
      <c r="C7692" t="s">
        <v>10856</v>
      </c>
      <c r="D7692" t="s">
        <v>18162</v>
      </c>
      <c r="E7692" t="s">
        <v>24979</v>
      </c>
      <c r="F7692" t="s">
        <v>31362</v>
      </c>
      <c r="G7692" t="s">
        <v>31368</v>
      </c>
      <c r="H7692" t="s">
        <v>15799</v>
      </c>
      <c r="I7692" t="s">
        <v>7188</v>
      </c>
      <c r="J7692" t="s">
        <v>32394</v>
      </c>
      <c r="K7692" t="s">
        <v>40666</v>
      </c>
      <c r="M7692" t="s">
        <v>43400</v>
      </c>
      <c r="N7692" t="s">
        <v>44905</v>
      </c>
      <c r="O7692" t="s">
        <v>44906</v>
      </c>
      <c r="Q7692">
        <v>4</v>
      </c>
      <c r="R7692" t="s">
        <v>44910</v>
      </c>
      <c r="S7692" t="s">
        <v>45040</v>
      </c>
      <c r="T7692" t="s">
        <v>46432</v>
      </c>
      <c r="U7692" t="s">
        <v>53138</v>
      </c>
      <c r="W7692" t="s">
        <v>43400</v>
      </c>
      <c r="X7692" t="s">
        <v>44911</v>
      </c>
    </row>
    <row r="7693" spans="1:24">
      <c r="A7693">
        <f>HYPERLINK("https://www.philgeps.gov.ph/GEPSNONPILOT/Tender/SplashBidNoticeAbstractUI.aspx?menuIndex=3&amp;refID=7074459&amp;Result=3","7074459")</f>
        <v>0</v>
      </c>
      <c r="B7693" t="s">
        <v>1800</v>
      </c>
      <c r="C7693" t="s">
        <v>10857</v>
      </c>
      <c r="D7693" t="s">
        <v>18124</v>
      </c>
      <c r="E7693" t="s">
        <v>24980</v>
      </c>
      <c r="F7693" t="s">
        <v>31362</v>
      </c>
      <c r="G7693" t="s">
        <v>31369</v>
      </c>
      <c r="H7693" t="s">
        <v>31378</v>
      </c>
      <c r="I7693" t="s">
        <v>31386</v>
      </c>
      <c r="J7693" t="s">
        <v>33435</v>
      </c>
      <c r="K7693" t="s">
        <v>40801</v>
      </c>
      <c r="M7693" t="s">
        <v>43129</v>
      </c>
      <c r="N7693" t="s">
        <v>44905</v>
      </c>
      <c r="O7693" t="s">
        <v>44906</v>
      </c>
      <c r="P7693">
        <v>0</v>
      </c>
      <c r="Q7693">
        <v>4</v>
      </c>
      <c r="R7693" t="s">
        <v>44910</v>
      </c>
      <c r="S7693" t="s">
        <v>45076</v>
      </c>
      <c r="T7693" t="s">
        <v>46419</v>
      </c>
      <c r="U7693" t="s">
        <v>53029</v>
      </c>
      <c r="W7693" t="s">
        <v>43129</v>
      </c>
      <c r="X7693" t="s">
        <v>44911</v>
      </c>
    </row>
    <row r="7694" spans="1:24">
      <c r="A7694">
        <f>HYPERLINK("https://www.philgeps.gov.ph/GEPSNONPILOT/Tender/SplashBidNoticeAbstractUI.aspx?menuIndex=3&amp;refID=7074505&amp;Result=3","7074505")</f>
        <v>0</v>
      </c>
      <c r="B7694" t="s">
        <v>2317</v>
      </c>
      <c r="C7694" t="s">
        <v>10858</v>
      </c>
      <c r="D7694" t="s">
        <v>18114</v>
      </c>
      <c r="E7694" t="s">
        <v>24981</v>
      </c>
      <c r="F7694" t="s">
        <v>31364</v>
      </c>
      <c r="G7694" t="s">
        <v>31370</v>
      </c>
      <c r="H7694" t="s">
        <v>15799</v>
      </c>
      <c r="I7694" t="s">
        <v>31398</v>
      </c>
      <c r="J7694" t="s">
        <v>31578</v>
      </c>
      <c r="K7694" t="s">
        <v>40670</v>
      </c>
      <c r="M7694" t="s">
        <v>43457</v>
      </c>
      <c r="N7694" t="s">
        <v>44905</v>
      </c>
      <c r="O7694" t="s">
        <v>44906</v>
      </c>
      <c r="P7694">
        <v>0</v>
      </c>
      <c r="Q7694">
        <v>3</v>
      </c>
      <c r="R7694" t="s">
        <v>44910</v>
      </c>
      <c r="S7694" t="s">
        <v>45076</v>
      </c>
      <c r="T7694" t="s">
        <v>46504</v>
      </c>
      <c r="U7694" t="s">
        <v>53139</v>
      </c>
      <c r="W7694" t="s">
        <v>43457</v>
      </c>
      <c r="X7694" t="s">
        <v>44911</v>
      </c>
    </row>
    <row r="7695" spans="1:24">
      <c r="A7695">
        <f>HYPERLINK("https://www.philgeps.gov.ph/GEPSNONPILOT/Tender/SplashBidNoticeAbstractUI.aspx?menuIndex=3&amp;refID=7074487&amp;Result=3","7074487")</f>
        <v>0</v>
      </c>
      <c r="B7695" t="s">
        <v>2303</v>
      </c>
      <c r="C7695" t="s">
        <v>10859</v>
      </c>
      <c r="D7695" t="s">
        <v>18104</v>
      </c>
      <c r="E7695" t="s">
        <v>23531</v>
      </c>
      <c r="F7695" t="s">
        <v>31362</v>
      </c>
      <c r="G7695" t="s">
        <v>31369</v>
      </c>
      <c r="H7695" t="s">
        <v>15799</v>
      </c>
      <c r="I7695" t="s">
        <v>4057</v>
      </c>
      <c r="J7695" t="s">
        <v>31578</v>
      </c>
      <c r="K7695" t="s">
        <v>40665</v>
      </c>
      <c r="M7695" t="s">
        <v>43443</v>
      </c>
      <c r="N7695" t="s">
        <v>44905</v>
      </c>
      <c r="O7695" t="s">
        <v>44906</v>
      </c>
      <c r="P7695">
        <v>0</v>
      </c>
      <c r="Q7695">
        <v>0</v>
      </c>
      <c r="R7695" t="s">
        <v>44910</v>
      </c>
      <c r="S7695" t="s">
        <v>45076</v>
      </c>
      <c r="T7695" t="s">
        <v>46553</v>
      </c>
      <c r="U7695" t="s">
        <v>49788</v>
      </c>
      <c r="V7695" t="s">
        <v>59817</v>
      </c>
      <c r="W7695" t="s">
        <v>43443</v>
      </c>
      <c r="X7695" t="s">
        <v>44911</v>
      </c>
    </row>
    <row r="7696" spans="1:24">
      <c r="A7696">
        <f>HYPERLINK("https://www.philgeps.gov.ph/GEPSNONPILOT/Tender/SplashBidNoticeAbstractUI.aspx?menuIndex=3&amp;refID=7074540&amp;Result=3","7074540")</f>
        <v>0</v>
      </c>
      <c r="B7696" t="s">
        <v>1970</v>
      </c>
      <c r="C7696" t="s">
        <v>10860</v>
      </c>
      <c r="D7696" t="s">
        <v>18106</v>
      </c>
      <c r="E7696" t="s">
        <v>24982</v>
      </c>
      <c r="F7696" t="s">
        <v>31362</v>
      </c>
      <c r="G7696" t="s">
        <v>31369</v>
      </c>
      <c r="H7696" t="s">
        <v>31378</v>
      </c>
      <c r="I7696" t="s">
        <v>31386</v>
      </c>
      <c r="J7696" t="s">
        <v>36230</v>
      </c>
      <c r="K7696" t="s">
        <v>40665</v>
      </c>
      <c r="M7696" t="s">
        <v>43077</v>
      </c>
      <c r="N7696" t="s">
        <v>44905</v>
      </c>
      <c r="O7696" t="s">
        <v>44906</v>
      </c>
      <c r="P7696">
        <v>0</v>
      </c>
      <c r="Q7696">
        <v>0</v>
      </c>
      <c r="R7696" t="s">
        <v>44910</v>
      </c>
      <c r="S7696" t="s">
        <v>45076</v>
      </c>
      <c r="T7696" t="s">
        <v>46438</v>
      </c>
      <c r="U7696" t="s">
        <v>53140</v>
      </c>
      <c r="W7696" t="s">
        <v>43077</v>
      </c>
      <c r="X7696" t="s">
        <v>44911</v>
      </c>
    </row>
    <row r="7697" spans="1:24">
      <c r="A7697">
        <f>HYPERLINK("https://www.philgeps.gov.ph/GEPSNONPILOT/Tender/SplashBidNoticeAbstractUI.aspx?menuIndex=3&amp;refID=7074473&amp;Result=3","7074473")</f>
        <v>0</v>
      </c>
      <c r="B7697" t="s">
        <v>91</v>
      </c>
      <c r="C7697" t="s">
        <v>10861</v>
      </c>
      <c r="D7697" t="s">
        <v>18136</v>
      </c>
      <c r="E7697" t="s">
        <v>24983</v>
      </c>
      <c r="F7697" t="s">
        <v>31362</v>
      </c>
      <c r="G7697" t="s">
        <v>31369</v>
      </c>
      <c r="H7697" t="s">
        <v>15799</v>
      </c>
      <c r="I7697" t="s">
        <v>31404</v>
      </c>
      <c r="J7697" t="s">
        <v>31570</v>
      </c>
      <c r="K7697" t="s">
        <v>40661</v>
      </c>
      <c r="M7697" t="s">
        <v>41028</v>
      </c>
      <c r="N7697" t="s">
        <v>44905</v>
      </c>
      <c r="O7697" t="s">
        <v>44906</v>
      </c>
      <c r="P7697">
        <v>0</v>
      </c>
      <c r="Q7697">
        <v>1</v>
      </c>
      <c r="R7697" t="s">
        <v>44910</v>
      </c>
      <c r="S7697" t="s">
        <v>45076</v>
      </c>
      <c r="T7697" t="s">
        <v>46418</v>
      </c>
      <c r="U7697" t="s">
        <v>53141</v>
      </c>
      <c r="W7697" t="s">
        <v>41028</v>
      </c>
      <c r="X7697" t="s">
        <v>44911</v>
      </c>
    </row>
    <row r="7698" spans="1:24">
      <c r="A7698">
        <f>HYPERLINK("https://www.philgeps.gov.ph/GEPSNONPILOT/Tender/SplashBidNoticeAbstractUI.aspx?menuIndex=3&amp;refID=7074447&amp;Result=3","7074447")</f>
        <v>0</v>
      </c>
      <c r="B7698" t="s">
        <v>548</v>
      </c>
      <c r="C7698" t="s">
        <v>10862</v>
      </c>
      <c r="D7698" t="s">
        <v>18154</v>
      </c>
      <c r="E7698" t="s">
        <v>24984</v>
      </c>
      <c r="F7698" t="s">
        <v>31362</v>
      </c>
      <c r="G7698" t="s">
        <v>31369</v>
      </c>
      <c r="H7698" t="s">
        <v>15799</v>
      </c>
      <c r="I7698" t="s">
        <v>31380</v>
      </c>
      <c r="J7698" t="s">
        <v>36231</v>
      </c>
      <c r="K7698" t="s">
        <v>40666</v>
      </c>
      <c r="M7698" t="s">
        <v>41504</v>
      </c>
      <c r="N7698" t="s">
        <v>44905</v>
      </c>
      <c r="O7698" t="s">
        <v>44906</v>
      </c>
      <c r="P7698">
        <v>0</v>
      </c>
      <c r="Q7698">
        <v>4</v>
      </c>
      <c r="R7698" t="s">
        <v>44910</v>
      </c>
      <c r="S7698" t="s">
        <v>45076</v>
      </c>
      <c r="T7698" t="s">
        <v>46433</v>
      </c>
      <c r="U7698" t="s">
        <v>53142</v>
      </c>
      <c r="W7698" t="s">
        <v>41504</v>
      </c>
      <c r="X7698" t="s">
        <v>44911</v>
      </c>
    </row>
    <row r="7699" spans="1:24">
      <c r="A7699">
        <f>HYPERLINK("https://www.philgeps.gov.ph/GEPSNONPILOT/Tender/SplashBidNoticeAbstractUI.aspx?menuIndex=3&amp;refID=7074530&amp;Result=3","7074530")</f>
        <v>0</v>
      </c>
      <c r="B7699" t="s">
        <v>1818</v>
      </c>
      <c r="C7699" t="s">
        <v>10863</v>
      </c>
      <c r="D7699" t="s">
        <v>18122</v>
      </c>
      <c r="E7699" t="s">
        <v>24985</v>
      </c>
      <c r="F7699" t="s">
        <v>31362</v>
      </c>
      <c r="G7699" t="s">
        <v>31369</v>
      </c>
      <c r="H7699" t="s">
        <v>15799</v>
      </c>
      <c r="I7699" t="s">
        <v>31386</v>
      </c>
      <c r="J7699" t="s">
        <v>36232</v>
      </c>
      <c r="K7699" t="s">
        <v>40665</v>
      </c>
      <c r="M7699" t="s">
        <v>42901</v>
      </c>
      <c r="N7699" t="s">
        <v>44905</v>
      </c>
      <c r="O7699" t="s">
        <v>44906</v>
      </c>
      <c r="P7699">
        <v>0</v>
      </c>
      <c r="Q7699">
        <v>6</v>
      </c>
      <c r="R7699" t="s">
        <v>44910</v>
      </c>
      <c r="S7699" t="s">
        <v>45076</v>
      </c>
      <c r="T7699" t="s">
        <v>46582</v>
      </c>
      <c r="U7699" t="s">
        <v>53143</v>
      </c>
      <c r="W7699" t="s">
        <v>42901</v>
      </c>
      <c r="X7699" t="s">
        <v>44911</v>
      </c>
    </row>
    <row r="7700" spans="1:24">
      <c r="A7700">
        <f>HYPERLINK("https://www.philgeps.gov.ph/GEPSNONPILOT/Tender/SplashBidNoticeAbstractUI.aspx?menuIndex=3&amp;refID=7074466&amp;Result=3","7074466")</f>
        <v>0</v>
      </c>
      <c r="B7700" t="s">
        <v>834</v>
      </c>
      <c r="C7700" t="s">
        <v>10864</v>
      </c>
      <c r="D7700" t="s">
        <v>18108</v>
      </c>
      <c r="E7700" t="s">
        <v>24986</v>
      </c>
      <c r="F7700" t="s">
        <v>31362</v>
      </c>
      <c r="G7700" t="s">
        <v>31368</v>
      </c>
      <c r="H7700" t="s">
        <v>15799</v>
      </c>
      <c r="I7700" t="s">
        <v>31396</v>
      </c>
      <c r="J7700" t="s">
        <v>31537</v>
      </c>
      <c r="K7700" t="s">
        <v>40661</v>
      </c>
      <c r="M7700" t="s">
        <v>42118</v>
      </c>
      <c r="N7700" t="s">
        <v>44905</v>
      </c>
      <c r="O7700" t="s">
        <v>44906</v>
      </c>
      <c r="P7700">
        <v>0</v>
      </c>
      <c r="Q7700">
        <v>3</v>
      </c>
      <c r="R7700" t="s">
        <v>44910</v>
      </c>
      <c r="S7700" t="s">
        <v>45076</v>
      </c>
      <c r="T7700" t="s">
        <v>46416</v>
      </c>
      <c r="U7700" t="s">
        <v>53144</v>
      </c>
      <c r="V7700" t="s">
        <v>59376</v>
      </c>
      <c r="W7700" t="s">
        <v>42118</v>
      </c>
      <c r="X7700" t="s">
        <v>44911</v>
      </c>
    </row>
    <row r="7701" spans="1:24">
      <c r="A7701">
        <f>HYPERLINK("https://www.philgeps.gov.ph/GEPSNONPILOT/Tender/SplashBidNoticeAbstractUI.aspx?menuIndex=3&amp;refID=7074528&amp;Result=3","7074528")</f>
        <v>0</v>
      </c>
      <c r="B7701" t="s">
        <v>2318</v>
      </c>
      <c r="C7701" t="s">
        <v>10865</v>
      </c>
      <c r="D7701" t="s">
        <v>18180</v>
      </c>
      <c r="E7701" t="s">
        <v>18235</v>
      </c>
      <c r="F7701" t="s">
        <v>31362</v>
      </c>
      <c r="G7701" t="s">
        <v>31369</v>
      </c>
      <c r="H7701" t="s">
        <v>15799</v>
      </c>
      <c r="I7701" t="s">
        <v>31404</v>
      </c>
      <c r="J7701" t="s">
        <v>36233</v>
      </c>
      <c r="K7701" t="s">
        <v>40661</v>
      </c>
      <c r="M7701" t="s">
        <v>43458</v>
      </c>
      <c r="N7701" t="s">
        <v>44905</v>
      </c>
      <c r="O7701" t="s">
        <v>44906</v>
      </c>
      <c r="P7701">
        <v>0</v>
      </c>
      <c r="Q7701">
        <v>0</v>
      </c>
      <c r="R7701" t="s">
        <v>44910</v>
      </c>
      <c r="S7701" t="s">
        <v>45076</v>
      </c>
      <c r="T7701" t="s">
        <v>46762</v>
      </c>
      <c r="U7701" t="s">
        <v>53145</v>
      </c>
      <c r="V7701" t="s">
        <v>59819</v>
      </c>
      <c r="W7701" t="s">
        <v>43458</v>
      </c>
      <c r="X7701" t="s">
        <v>44911</v>
      </c>
    </row>
    <row r="7702" spans="1:24">
      <c r="A7702">
        <f>HYPERLINK("https://www.philgeps.gov.ph/GEPSNONPILOT/Tender/SplashBidNoticeAbstractUI.aspx?menuIndex=3&amp;refID=7074534&amp;Result=3","7074534")</f>
        <v>0</v>
      </c>
      <c r="B7702" t="s">
        <v>2319</v>
      </c>
      <c r="C7702" t="s">
        <v>10866</v>
      </c>
      <c r="D7702" t="s">
        <v>18185</v>
      </c>
      <c r="E7702" t="s">
        <v>24987</v>
      </c>
      <c r="F7702" t="s">
        <v>31364</v>
      </c>
      <c r="G7702" t="s">
        <v>31369</v>
      </c>
      <c r="H7702" t="s">
        <v>31378</v>
      </c>
      <c r="I7702" t="s">
        <v>31386</v>
      </c>
      <c r="J7702" t="s">
        <v>36234</v>
      </c>
      <c r="K7702" t="s">
        <v>40679</v>
      </c>
      <c r="M7702" t="s">
        <v>43459</v>
      </c>
      <c r="N7702" t="s">
        <v>44905</v>
      </c>
      <c r="O7702" t="s">
        <v>44906</v>
      </c>
      <c r="P7702">
        <v>0</v>
      </c>
      <c r="Q7702">
        <v>0</v>
      </c>
      <c r="R7702" t="s">
        <v>44910</v>
      </c>
      <c r="S7702" t="s">
        <v>45076</v>
      </c>
      <c r="T7702" t="s">
        <v>46464</v>
      </c>
      <c r="U7702" t="s">
        <v>53146</v>
      </c>
      <c r="W7702" t="s">
        <v>43459</v>
      </c>
      <c r="X7702" t="s">
        <v>44911</v>
      </c>
    </row>
    <row r="7703" spans="1:24">
      <c r="A7703">
        <f>HYPERLINK("https://www.philgeps.gov.ph/GEPSNONPILOT/Tender/SplashBidNoticeAbstractUI.aspx?menuIndex=3&amp;refID=7074373&amp;Result=3","7074373")</f>
        <v>0</v>
      </c>
      <c r="B7703" t="s">
        <v>2287</v>
      </c>
      <c r="C7703" t="s">
        <v>10867</v>
      </c>
      <c r="D7703" t="s">
        <v>18130</v>
      </c>
      <c r="E7703" t="s">
        <v>24988</v>
      </c>
      <c r="F7703" t="s">
        <v>31362</v>
      </c>
      <c r="G7703" t="s">
        <v>31369</v>
      </c>
      <c r="H7703" t="s">
        <v>15799</v>
      </c>
      <c r="I7703" t="s">
        <v>3815</v>
      </c>
      <c r="J7703" t="s">
        <v>36235</v>
      </c>
      <c r="K7703" t="s">
        <v>40665</v>
      </c>
      <c r="M7703" t="s">
        <v>43427</v>
      </c>
      <c r="N7703" t="s">
        <v>44905</v>
      </c>
      <c r="O7703" t="s">
        <v>44906</v>
      </c>
      <c r="P7703">
        <v>0</v>
      </c>
      <c r="Q7703">
        <v>0</v>
      </c>
      <c r="R7703" t="s">
        <v>44910</v>
      </c>
      <c r="S7703" t="s">
        <v>45076</v>
      </c>
      <c r="T7703" t="s">
        <v>46433</v>
      </c>
      <c r="U7703" t="s">
        <v>53081</v>
      </c>
      <c r="V7703" t="s">
        <v>59820</v>
      </c>
      <c r="W7703" t="s">
        <v>43427</v>
      </c>
      <c r="X7703" t="s">
        <v>44911</v>
      </c>
    </row>
    <row r="7704" spans="1:24">
      <c r="A7704">
        <f>HYPERLINK("https://www.philgeps.gov.ph/GEPSNONPILOT/Tender/SplashBidNoticeAbstractUI.aspx?menuIndex=3&amp;refID=7074533&amp;Result=3","7074533")</f>
        <v>0</v>
      </c>
      <c r="B7704" t="s">
        <v>2316</v>
      </c>
      <c r="C7704" t="s">
        <v>10868</v>
      </c>
      <c r="D7704" t="s">
        <v>18160</v>
      </c>
      <c r="E7704" t="s">
        <v>18818</v>
      </c>
      <c r="F7704" t="s">
        <v>31362</v>
      </c>
      <c r="G7704" t="s">
        <v>31368</v>
      </c>
      <c r="H7704" t="s">
        <v>15799</v>
      </c>
      <c r="I7704" t="s">
        <v>4283</v>
      </c>
      <c r="J7704" t="s">
        <v>32065</v>
      </c>
      <c r="K7704" t="s">
        <v>40715</v>
      </c>
      <c r="M7704" t="s">
        <v>43456</v>
      </c>
      <c r="N7704" t="s">
        <v>44905</v>
      </c>
      <c r="O7704" t="s">
        <v>44906</v>
      </c>
      <c r="P7704">
        <v>0</v>
      </c>
      <c r="Q7704">
        <v>0</v>
      </c>
      <c r="R7704" t="s">
        <v>44910</v>
      </c>
      <c r="S7704" t="s">
        <v>45076</v>
      </c>
      <c r="T7704" t="s">
        <v>46414</v>
      </c>
      <c r="U7704" t="s">
        <v>53147</v>
      </c>
      <c r="W7704" t="s">
        <v>43456</v>
      </c>
      <c r="X7704" t="s">
        <v>44911</v>
      </c>
    </row>
    <row r="7705" spans="1:24">
      <c r="A7705">
        <f>HYPERLINK("https://www.philgeps.gov.ph/GEPSNONPILOT/Tender/SplashBidNoticeAbstractUI.aspx?menuIndex=3&amp;refID=7074522&amp;Result=3","7074522")</f>
        <v>0</v>
      </c>
      <c r="B7705" t="s">
        <v>579</v>
      </c>
      <c r="C7705" t="s">
        <v>10869</v>
      </c>
      <c r="D7705" t="s">
        <v>18112</v>
      </c>
      <c r="E7705" t="s">
        <v>24989</v>
      </c>
      <c r="F7705" t="s">
        <v>31362</v>
      </c>
      <c r="G7705" t="s">
        <v>31369</v>
      </c>
      <c r="H7705" t="s">
        <v>15799</v>
      </c>
      <c r="I7705" t="s">
        <v>31385</v>
      </c>
      <c r="J7705" t="s">
        <v>36236</v>
      </c>
      <c r="K7705" t="s">
        <v>40661</v>
      </c>
      <c r="M7705" t="s">
        <v>43153</v>
      </c>
      <c r="N7705" t="s">
        <v>44905</v>
      </c>
      <c r="O7705" t="s">
        <v>44906</v>
      </c>
      <c r="P7705">
        <v>0</v>
      </c>
      <c r="Q7705">
        <v>5</v>
      </c>
      <c r="R7705" t="s">
        <v>44910</v>
      </c>
      <c r="S7705" t="s">
        <v>45076</v>
      </c>
      <c r="T7705" t="s">
        <v>46569</v>
      </c>
      <c r="U7705" t="s">
        <v>53148</v>
      </c>
      <c r="W7705" t="s">
        <v>43153</v>
      </c>
      <c r="X7705" t="s">
        <v>44911</v>
      </c>
    </row>
    <row r="7706" spans="1:24">
      <c r="A7706">
        <f>HYPERLINK("https://www.philgeps.gov.ph/GEPSNONPILOT/Tender/SplashBidNoticeAbstractUI.aspx?menuIndex=3&amp;refID=7074519&amp;Result=3","7074519")</f>
        <v>0</v>
      </c>
      <c r="B7706" t="s">
        <v>1270</v>
      </c>
      <c r="C7706" t="s">
        <v>10870</v>
      </c>
      <c r="D7706" t="s">
        <v>18176</v>
      </c>
      <c r="E7706" t="s">
        <v>24990</v>
      </c>
      <c r="F7706" t="s">
        <v>31362</v>
      </c>
      <c r="G7706" t="s">
        <v>31368</v>
      </c>
      <c r="H7706" t="s">
        <v>15799</v>
      </c>
      <c r="I7706" t="s">
        <v>4057</v>
      </c>
      <c r="J7706" t="s">
        <v>36237</v>
      </c>
      <c r="K7706" t="s">
        <v>40698</v>
      </c>
      <c r="M7706" t="s">
        <v>42287</v>
      </c>
      <c r="N7706" t="s">
        <v>44905</v>
      </c>
      <c r="O7706" t="s">
        <v>44906</v>
      </c>
      <c r="P7706">
        <v>0</v>
      </c>
      <c r="Q7706">
        <v>0</v>
      </c>
      <c r="R7706" t="s">
        <v>44910</v>
      </c>
      <c r="S7706" t="s">
        <v>45076</v>
      </c>
      <c r="T7706" t="s">
        <v>46438</v>
      </c>
      <c r="U7706" t="s">
        <v>49706</v>
      </c>
      <c r="W7706" t="s">
        <v>42287</v>
      </c>
      <c r="X7706" t="s">
        <v>44911</v>
      </c>
    </row>
    <row r="7707" spans="1:24">
      <c r="A7707">
        <f>HYPERLINK("https://www.philgeps.gov.ph/GEPSNONPILOT/Tender/SplashBidNoticeAbstractUI.aspx?menuIndex=3&amp;refID=7074523&amp;Result=3","7074523")</f>
        <v>0</v>
      </c>
      <c r="B7707" t="s">
        <v>2320</v>
      </c>
      <c r="C7707" t="s">
        <v>10871</v>
      </c>
      <c r="D7707" t="s">
        <v>18148</v>
      </c>
      <c r="E7707" t="s">
        <v>18467</v>
      </c>
      <c r="F7707" t="s">
        <v>31362</v>
      </c>
      <c r="G7707" t="s">
        <v>31369</v>
      </c>
      <c r="H7707" t="s">
        <v>15799</v>
      </c>
      <c r="I7707" t="s">
        <v>3815</v>
      </c>
      <c r="J7707" t="s">
        <v>36238</v>
      </c>
      <c r="K7707" t="s">
        <v>40661</v>
      </c>
      <c r="M7707" t="s">
        <v>43460</v>
      </c>
      <c r="N7707" t="s">
        <v>44905</v>
      </c>
      <c r="O7707" t="s">
        <v>44906</v>
      </c>
      <c r="P7707">
        <v>0</v>
      </c>
      <c r="Q7707">
        <v>0</v>
      </c>
      <c r="R7707" t="s">
        <v>44910</v>
      </c>
      <c r="S7707" t="s">
        <v>45076</v>
      </c>
      <c r="T7707" t="s">
        <v>46438</v>
      </c>
      <c r="U7707" t="s">
        <v>53149</v>
      </c>
      <c r="W7707" t="s">
        <v>43460</v>
      </c>
      <c r="X7707" t="s">
        <v>44911</v>
      </c>
    </row>
    <row r="7708" spans="1:24">
      <c r="A7708">
        <f>HYPERLINK("https://www.philgeps.gov.ph/GEPSNONPILOT/Tender/SplashBidNoticeAbstractUI.aspx?menuIndex=3&amp;refID=7074513&amp;Result=3","7074513")</f>
        <v>0</v>
      </c>
      <c r="B7708" t="s">
        <v>831</v>
      </c>
      <c r="C7708" t="s">
        <v>10872</v>
      </c>
      <c r="D7708" t="s">
        <v>18108</v>
      </c>
      <c r="E7708" t="s">
        <v>24991</v>
      </c>
      <c r="F7708" t="s">
        <v>31362</v>
      </c>
      <c r="G7708" t="s">
        <v>31369</v>
      </c>
      <c r="H7708" t="s">
        <v>15799</v>
      </c>
      <c r="I7708" t="s">
        <v>4942</v>
      </c>
      <c r="J7708" t="s">
        <v>31530</v>
      </c>
      <c r="K7708" t="s">
        <v>40666</v>
      </c>
      <c r="M7708" t="s">
        <v>42635</v>
      </c>
      <c r="N7708" t="s">
        <v>44905</v>
      </c>
      <c r="O7708" t="s">
        <v>44906</v>
      </c>
      <c r="P7708">
        <v>0</v>
      </c>
      <c r="Q7708">
        <v>1</v>
      </c>
      <c r="R7708" t="s">
        <v>44910</v>
      </c>
      <c r="S7708" t="s">
        <v>45076</v>
      </c>
      <c r="T7708" t="s">
        <v>46393</v>
      </c>
      <c r="U7708" t="s">
        <v>48668</v>
      </c>
      <c r="W7708" t="s">
        <v>42635</v>
      </c>
      <c r="X7708" t="s">
        <v>44911</v>
      </c>
    </row>
    <row r="7709" spans="1:24">
      <c r="A7709">
        <f>HYPERLINK("https://www.philgeps.gov.ph/GEPSNONPILOT/Tender/SplashBidNoticeAbstractUI.aspx?menuIndex=3&amp;refID=7074526&amp;Result=3","7074526")</f>
        <v>0</v>
      </c>
      <c r="B7709" t="s">
        <v>2321</v>
      </c>
      <c r="C7709" t="s">
        <v>10873</v>
      </c>
      <c r="D7709" t="s">
        <v>18174</v>
      </c>
      <c r="E7709" t="s">
        <v>24992</v>
      </c>
      <c r="F7709" t="s">
        <v>31362</v>
      </c>
      <c r="G7709" t="s">
        <v>31369</v>
      </c>
      <c r="H7709" t="s">
        <v>31378</v>
      </c>
      <c r="I7709" t="s">
        <v>31386</v>
      </c>
      <c r="J7709" t="s">
        <v>36239</v>
      </c>
      <c r="K7709" t="s">
        <v>40686</v>
      </c>
      <c r="M7709" t="s">
        <v>43461</v>
      </c>
      <c r="N7709" t="s">
        <v>44905</v>
      </c>
      <c r="O7709" t="s">
        <v>44906</v>
      </c>
      <c r="P7709">
        <v>0</v>
      </c>
      <c r="Q7709">
        <v>0</v>
      </c>
      <c r="R7709" t="s">
        <v>44910</v>
      </c>
      <c r="S7709" t="s">
        <v>45076</v>
      </c>
      <c r="T7709" t="s">
        <v>46419</v>
      </c>
      <c r="U7709" t="s">
        <v>53150</v>
      </c>
      <c r="W7709" t="s">
        <v>43461</v>
      </c>
      <c r="X7709" t="s">
        <v>44911</v>
      </c>
    </row>
    <row r="7710" spans="1:24">
      <c r="A7710">
        <f>HYPERLINK("https://www.philgeps.gov.ph/GEPSNONPILOT/Tender/SplashBidNoticeAbstractUI.aspx?menuIndex=3&amp;refID=7074524&amp;Result=3","7074524")</f>
        <v>0</v>
      </c>
      <c r="B7710" t="s">
        <v>831</v>
      </c>
      <c r="C7710" t="s">
        <v>10874</v>
      </c>
      <c r="D7710" t="s">
        <v>18108</v>
      </c>
      <c r="E7710" t="s">
        <v>24993</v>
      </c>
      <c r="F7710" t="s">
        <v>31362</v>
      </c>
      <c r="G7710" t="s">
        <v>31369</v>
      </c>
      <c r="H7710" t="s">
        <v>15799</v>
      </c>
      <c r="I7710" t="s">
        <v>7090</v>
      </c>
      <c r="J7710" t="s">
        <v>32960</v>
      </c>
      <c r="K7710" t="s">
        <v>40666</v>
      </c>
      <c r="M7710" t="s">
        <v>42635</v>
      </c>
      <c r="N7710" t="s">
        <v>44905</v>
      </c>
      <c r="O7710" t="s">
        <v>44906</v>
      </c>
      <c r="P7710">
        <v>0</v>
      </c>
      <c r="Q7710">
        <v>0</v>
      </c>
      <c r="R7710" t="s">
        <v>44910</v>
      </c>
      <c r="S7710" t="s">
        <v>45076</v>
      </c>
      <c r="T7710" t="s">
        <v>46393</v>
      </c>
      <c r="U7710" t="s">
        <v>48635</v>
      </c>
      <c r="W7710" t="s">
        <v>42635</v>
      </c>
      <c r="X7710" t="s">
        <v>44911</v>
      </c>
    </row>
    <row r="7711" spans="1:24">
      <c r="A7711">
        <f>HYPERLINK("https://www.philgeps.gov.ph/GEPSNONPILOT/Tender/SplashBidNoticeAbstractUI.aspx?menuIndex=3&amp;refID=7074539&amp;Result=3","7074539")</f>
        <v>0</v>
      </c>
      <c r="B7711" t="s">
        <v>2313</v>
      </c>
      <c r="C7711" t="s">
        <v>10875</v>
      </c>
      <c r="D7711" t="s">
        <v>18112</v>
      </c>
      <c r="E7711" t="s">
        <v>24994</v>
      </c>
      <c r="F7711" t="s">
        <v>31362</v>
      </c>
      <c r="G7711" t="s">
        <v>31368</v>
      </c>
      <c r="H7711" t="s">
        <v>15799</v>
      </c>
      <c r="I7711" t="s">
        <v>4942</v>
      </c>
      <c r="J7711" t="s">
        <v>32189</v>
      </c>
      <c r="K7711" t="s">
        <v>40670</v>
      </c>
      <c r="M7711" t="s">
        <v>43453</v>
      </c>
      <c r="N7711" t="s">
        <v>44905</v>
      </c>
      <c r="O7711" t="s">
        <v>44906</v>
      </c>
      <c r="P7711">
        <v>0</v>
      </c>
      <c r="Q7711">
        <v>0</v>
      </c>
      <c r="R7711" t="s">
        <v>44910</v>
      </c>
      <c r="S7711" t="s">
        <v>45076</v>
      </c>
      <c r="T7711" t="s">
        <v>46427</v>
      </c>
      <c r="U7711" t="s">
        <v>53151</v>
      </c>
      <c r="W7711" t="s">
        <v>43453</v>
      </c>
      <c r="X7711" t="s">
        <v>44911</v>
      </c>
    </row>
    <row r="7712" spans="1:24">
      <c r="A7712">
        <f>HYPERLINK("https://www.philgeps.gov.ph/GEPSNONPILOT/Tender/SplashBidNoticeAbstractUI.aspx?menuIndex=3&amp;refID=7074512&amp;Result=3","7074512")</f>
        <v>0</v>
      </c>
      <c r="B7712" t="s">
        <v>1970</v>
      </c>
      <c r="C7712" t="s">
        <v>10876</v>
      </c>
      <c r="D7712" t="s">
        <v>18106</v>
      </c>
      <c r="E7712" t="s">
        <v>24995</v>
      </c>
      <c r="F7712" t="s">
        <v>31362</v>
      </c>
      <c r="G7712" t="s">
        <v>31369</v>
      </c>
      <c r="H7712" t="s">
        <v>31378</v>
      </c>
      <c r="I7712" t="s">
        <v>31386</v>
      </c>
      <c r="J7712" t="s">
        <v>32204</v>
      </c>
      <c r="K7712" t="s">
        <v>40687</v>
      </c>
      <c r="M7712" t="s">
        <v>43077</v>
      </c>
      <c r="N7712" t="s">
        <v>44905</v>
      </c>
      <c r="O7712" t="s">
        <v>44906</v>
      </c>
      <c r="P7712">
        <v>0</v>
      </c>
      <c r="Q7712">
        <v>0</v>
      </c>
      <c r="R7712" t="s">
        <v>44910</v>
      </c>
      <c r="S7712" t="s">
        <v>45076</v>
      </c>
      <c r="T7712" t="s">
        <v>46438</v>
      </c>
      <c r="U7712" t="s">
        <v>53152</v>
      </c>
      <c r="W7712" t="s">
        <v>43077</v>
      </c>
      <c r="X7712" t="s">
        <v>44911</v>
      </c>
    </row>
    <row r="7713" spans="1:24">
      <c r="A7713">
        <f>HYPERLINK("https://www.philgeps.gov.ph/GEPSNONPILOT/Tender/SplashBidNoticeAbstractUI.aspx?menuIndex=3&amp;refID=7074508&amp;Result=3","7074508")</f>
        <v>0</v>
      </c>
      <c r="B7713" t="s">
        <v>2300</v>
      </c>
      <c r="C7713" t="s">
        <v>10877</v>
      </c>
      <c r="D7713" t="s">
        <v>18148</v>
      </c>
      <c r="E7713" t="s">
        <v>24996</v>
      </c>
      <c r="F7713" t="s">
        <v>31362</v>
      </c>
      <c r="G7713" t="s">
        <v>31370</v>
      </c>
      <c r="H7713" t="s">
        <v>15799</v>
      </c>
      <c r="I7713" t="s">
        <v>31426</v>
      </c>
      <c r="J7713" t="s">
        <v>31626</v>
      </c>
      <c r="K7713" t="s">
        <v>40665</v>
      </c>
      <c r="M7713" t="s">
        <v>43440</v>
      </c>
      <c r="N7713" t="s">
        <v>44905</v>
      </c>
      <c r="O7713" t="s">
        <v>44906</v>
      </c>
      <c r="P7713">
        <v>0</v>
      </c>
      <c r="Q7713">
        <v>10</v>
      </c>
      <c r="R7713" t="s">
        <v>44910</v>
      </c>
      <c r="S7713" t="s">
        <v>45076</v>
      </c>
      <c r="T7713" t="s">
        <v>46692</v>
      </c>
      <c r="U7713" t="s">
        <v>53117</v>
      </c>
      <c r="W7713" t="s">
        <v>43440</v>
      </c>
      <c r="X7713" t="s">
        <v>44911</v>
      </c>
    </row>
    <row r="7714" spans="1:24">
      <c r="A7714">
        <f>HYPERLINK("https://www.philgeps.gov.ph/GEPSNONPILOT/Tender/SplashBidNoticeAbstractUI.aspx?menuIndex=3&amp;refID=7074503&amp;Result=3","7074503")</f>
        <v>0</v>
      </c>
      <c r="B7714" t="s">
        <v>1971</v>
      </c>
      <c r="C7714" t="s">
        <v>10878</v>
      </c>
      <c r="D7714" t="s">
        <v>18154</v>
      </c>
      <c r="E7714" t="s">
        <v>24997</v>
      </c>
      <c r="F7714" t="s">
        <v>31362</v>
      </c>
      <c r="G7714" t="s">
        <v>31372</v>
      </c>
      <c r="H7714" t="s">
        <v>15799</v>
      </c>
      <c r="I7714" t="s">
        <v>31397</v>
      </c>
      <c r="J7714" t="s">
        <v>35969</v>
      </c>
      <c r="K7714" t="s">
        <v>40662</v>
      </c>
      <c r="M7714" t="s">
        <v>43078</v>
      </c>
      <c r="N7714" t="s">
        <v>44905</v>
      </c>
      <c r="O7714" t="s">
        <v>44906</v>
      </c>
      <c r="P7714">
        <v>0</v>
      </c>
      <c r="Q7714">
        <v>0</v>
      </c>
      <c r="R7714" t="s">
        <v>44910</v>
      </c>
      <c r="S7714" t="s">
        <v>45076</v>
      </c>
      <c r="T7714" t="s">
        <v>46507</v>
      </c>
      <c r="U7714" t="s">
        <v>53113</v>
      </c>
      <c r="W7714" t="s">
        <v>43078</v>
      </c>
      <c r="X7714" t="s">
        <v>44911</v>
      </c>
    </row>
    <row r="7715" spans="1:24">
      <c r="A7715">
        <f>HYPERLINK("https://www.philgeps.gov.ph/GEPSNONPILOT/Tender/SplashBidNoticeAbstractUI.aspx?menuIndex=3&amp;refID=7074453&amp;Result=3","7074453")</f>
        <v>0</v>
      </c>
      <c r="B7715" t="s">
        <v>387</v>
      </c>
      <c r="C7715" t="s">
        <v>10879</v>
      </c>
      <c r="D7715" t="s">
        <v>18152</v>
      </c>
      <c r="E7715" t="s">
        <v>24998</v>
      </c>
      <c r="F7715" t="s">
        <v>31362</v>
      </c>
      <c r="G7715" t="s">
        <v>31369</v>
      </c>
      <c r="H7715" t="s">
        <v>15799</v>
      </c>
      <c r="I7715" t="s">
        <v>31409</v>
      </c>
      <c r="J7715" t="s">
        <v>31997</v>
      </c>
      <c r="K7715" t="s">
        <v>40665</v>
      </c>
      <c r="M7715" t="s">
        <v>41915</v>
      </c>
      <c r="N7715" t="s">
        <v>44905</v>
      </c>
      <c r="O7715" t="s">
        <v>44906</v>
      </c>
      <c r="P7715">
        <v>0</v>
      </c>
      <c r="Q7715">
        <v>0</v>
      </c>
      <c r="R7715" t="s">
        <v>44910</v>
      </c>
      <c r="S7715" t="s">
        <v>45076</v>
      </c>
      <c r="T7715" t="s">
        <v>46393</v>
      </c>
      <c r="U7715" t="s">
        <v>47597</v>
      </c>
      <c r="V7715" t="s">
        <v>59153</v>
      </c>
      <c r="W7715" t="s">
        <v>41915</v>
      </c>
      <c r="X7715" t="s">
        <v>44911</v>
      </c>
    </row>
    <row r="7716" spans="1:24">
      <c r="A7716">
        <f>HYPERLINK("https://www.philgeps.gov.ph/GEPSNONPILOT/Tender/SplashBidNoticeAbstractUI.aspx?menuIndex=3&amp;refID=7074452&amp;Result=3","7074452")</f>
        <v>0</v>
      </c>
      <c r="B7716" t="s">
        <v>1971</v>
      </c>
      <c r="C7716" t="s">
        <v>10880</v>
      </c>
      <c r="D7716" t="s">
        <v>18154</v>
      </c>
      <c r="E7716" t="s">
        <v>24999</v>
      </c>
      <c r="F7716" t="s">
        <v>31362</v>
      </c>
      <c r="G7716" t="s">
        <v>31372</v>
      </c>
      <c r="H7716" t="s">
        <v>15799</v>
      </c>
      <c r="I7716" t="s">
        <v>6373</v>
      </c>
      <c r="J7716" t="s">
        <v>36240</v>
      </c>
      <c r="K7716" t="s">
        <v>40662</v>
      </c>
      <c r="M7716" t="s">
        <v>43078</v>
      </c>
      <c r="N7716" t="s">
        <v>44905</v>
      </c>
      <c r="O7716" t="s">
        <v>44906</v>
      </c>
      <c r="P7716">
        <v>0</v>
      </c>
      <c r="Q7716">
        <v>1</v>
      </c>
      <c r="R7716" t="s">
        <v>44910</v>
      </c>
      <c r="S7716" t="s">
        <v>45076</v>
      </c>
      <c r="T7716" t="s">
        <v>46507</v>
      </c>
      <c r="U7716" t="s">
        <v>53113</v>
      </c>
      <c r="W7716" t="s">
        <v>43078</v>
      </c>
      <c r="X7716" t="s">
        <v>44911</v>
      </c>
    </row>
    <row r="7717" spans="1:24">
      <c r="A7717">
        <f>HYPERLINK("https://www.philgeps.gov.ph/GEPSNONPILOT/Tender/SplashBidNoticeAbstractUI.aspx?menuIndex=3&amp;refID=7074374&amp;Result=3","7074374")</f>
        <v>0</v>
      </c>
      <c r="B7717" t="s">
        <v>579</v>
      </c>
      <c r="C7717" t="s">
        <v>10881</v>
      </c>
      <c r="D7717" t="s">
        <v>18112</v>
      </c>
      <c r="E7717" t="s">
        <v>25000</v>
      </c>
      <c r="F7717" t="s">
        <v>31362</v>
      </c>
      <c r="G7717" t="s">
        <v>31368</v>
      </c>
      <c r="H7717" t="s">
        <v>15799</v>
      </c>
      <c r="I7717" t="s">
        <v>31430</v>
      </c>
      <c r="J7717" t="s">
        <v>31793</v>
      </c>
      <c r="K7717" t="s">
        <v>40661</v>
      </c>
      <c r="M7717" t="s">
        <v>41536</v>
      </c>
      <c r="N7717" t="s">
        <v>44905</v>
      </c>
      <c r="O7717" t="s">
        <v>44906</v>
      </c>
      <c r="P7717">
        <v>0</v>
      </c>
      <c r="Q7717">
        <v>1</v>
      </c>
      <c r="R7717" t="s">
        <v>44910</v>
      </c>
      <c r="S7717" t="s">
        <v>45076</v>
      </c>
      <c r="T7717" t="s">
        <v>46447</v>
      </c>
      <c r="U7717" t="s">
        <v>48037</v>
      </c>
      <c r="W7717" t="s">
        <v>41536</v>
      </c>
      <c r="X7717" t="s">
        <v>44911</v>
      </c>
    </row>
    <row r="7718" spans="1:24">
      <c r="A7718">
        <f>HYPERLINK("https://www.philgeps.gov.ph/GEPSNONPILOT/Tender/SplashBidNoticeAbstractUI.aspx?menuIndex=3&amp;refID=7074520&amp;Result=3","7074520")</f>
        <v>0</v>
      </c>
      <c r="B7718" t="s">
        <v>2202</v>
      </c>
      <c r="C7718" t="s">
        <v>10882</v>
      </c>
      <c r="D7718" t="s">
        <v>18105</v>
      </c>
      <c r="E7718" t="s">
        <v>25001</v>
      </c>
      <c r="F7718" t="s">
        <v>31362</v>
      </c>
      <c r="G7718" t="s">
        <v>31369</v>
      </c>
      <c r="H7718" t="s">
        <v>15799</v>
      </c>
      <c r="I7718" t="s">
        <v>31467</v>
      </c>
      <c r="J7718" t="s">
        <v>36241</v>
      </c>
      <c r="K7718" t="s">
        <v>40682</v>
      </c>
      <c r="M7718" t="s">
        <v>43333</v>
      </c>
      <c r="N7718" t="s">
        <v>44905</v>
      </c>
      <c r="O7718" t="s">
        <v>44906</v>
      </c>
      <c r="P7718">
        <v>0</v>
      </c>
      <c r="Q7718">
        <v>1</v>
      </c>
      <c r="R7718" t="s">
        <v>44910</v>
      </c>
      <c r="S7718" t="s">
        <v>45076</v>
      </c>
      <c r="T7718" t="s">
        <v>46671</v>
      </c>
      <c r="U7718" t="s">
        <v>53153</v>
      </c>
      <c r="W7718" t="s">
        <v>43333</v>
      </c>
      <c r="X7718" t="s">
        <v>44911</v>
      </c>
    </row>
    <row r="7719" spans="1:24">
      <c r="A7719">
        <f>HYPERLINK("https://www.philgeps.gov.ph/GEPSNONPILOT/Tender/SplashBidNoticeAbstractUI.aspx?menuIndex=3&amp;refID=7074516&amp;Result=3","7074516")</f>
        <v>0</v>
      </c>
      <c r="B7719" t="s">
        <v>1681</v>
      </c>
      <c r="C7719" t="s">
        <v>10883</v>
      </c>
      <c r="D7719" t="s">
        <v>18124</v>
      </c>
      <c r="E7719" t="s">
        <v>25002</v>
      </c>
      <c r="F7719" t="s">
        <v>31362</v>
      </c>
      <c r="G7719" t="s">
        <v>31369</v>
      </c>
      <c r="H7719" t="s">
        <v>15799</v>
      </c>
      <c r="I7719" t="s">
        <v>31404</v>
      </c>
      <c r="J7719" t="s">
        <v>36242</v>
      </c>
      <c r="K7719" t="s">
        <v>40662</v>
      </c>
      <c r="M7719" t="s">
        <v>42746</v>
      </c>
      <c r="N7719" t="s">
        <v>44905</v>
      </c>
      <c r="O7719" t="s">
        <v>44906</v>
      </c>
      <c r="P7719">
        <v>0</v>
      </c>
      <c r="Q7719">
        <v>0</v>
      </c>
      <c r="R7719" t="s">
        <v>44910</v>
      </c>
      <c r="S7719" t="s">
        <v>45076</v>
      </c>
      <c r="T7719" t="s">
        <v>46393</v>
      </c>
      <c r="U7719" t="s">
        <v>53154</v>
      </c>
      <c r="W7719" t="s">
        <v>42746</v>
      </c>
      <c r="X7719" t="s">
        <v>44911</v>
      </c>
    </row>
    <row r="7720" spans="1:24">
      <c r="A7720">
        <f>HYPERLINK("https://www.philgeps.gov.ph/GEPSNONPILOT/Tender/SplashBidNoticeAbstractUI.aspx?menuIndex=3&amp;refID=7074542&amp;Result=3","7074542")</f>
        <v>0</v>
      </c>
      <c r="B7720" t="s">
        <v>91</v>
      </c>
      <c r="C7720" t="s">
        <v>10884</v>
      </c>
      <c r="D7720" t="s">
        <v>18136</v>
      </c>
      <c r="E7720" t="s">
        <v>25003</v>
      </c>
      <c r="F7720" t="s">
        <v>31362</v>
      </c>
      <c r="G7720" t="s">
        <v>31369</v>
      </c>
      <c r="H7720" t="s">
        <v>15799</v>
      </c>
      <c r="I7720" t="s">
        <v>31430</v>
      </c>
      <c r="J7720" t="s">
        <v>36243</v>
      </c>
      <c r="K7720" t="s">
        <v>40661</v>
      </c>
      <c r="M7720" t="s">
        <v>41028</v>
      </c>
      <c r="N7720" t="s">
        <v>44905</v>
      </c>
      <c r="O7720" t="s">
        <v>44906</v>
      </c>
      <c r="P7720">
        <v>0</v>
      </c>
      <c r="Q7720">
        <v>0</v>
      </c>
      <c r="R7720" t="s">
        <v>44910</v>
      </c>
      <c r="S7720" t="s">
        <v>45076</v>
      </c>
      <c r="T7720" t="s">
        <v>46418</v>
      </c>
      <c r="U7720" t="s">
        <v>53155</v>
      </c>
      <c r="W7720" t="s">
        <v>41028</v>
      </c>
      <c r="X7720" t="s">
        <v>44911</v>
      </c>
    </row>
    <row r="7721" spans="1:24">
      <c r="A7721">
        <f>HYPERLINK("https://www.philgeps.gov.ph/GEPSNONPILOT/Tender/SplashBidNoticeAbstractUI.aspx?menuIndex=3&amp;refID=7074566&amp;Result=3","7074566")</f>
        <v>0</v>
      </c>
      <c r="B7721" t="s">
        <v>831</v>
      </c>
      <c r="C7721" t="s">
        <v>10885</v>
      </c>
      <c r="D7721" t="s">
        <v>18108</v>
      </c>
      <c r="E7721" t="s">
        <v>25004</v>
      </c>
      <c r="F7721" t="s">
        <v>31362</v>
      </c>
      <c r="G7721" t="s">
        <v>31369</v>
      </c>
      <c r="H7721" t="s">
        <v>15799</v>
      </c>
      <c r="I7721" t="s">
        <v>7090</v>
      </c>
      <c r="J7721" t="s">
        <v>32763</v>
      </c>
      <c r="K7721" t="s">
        <v>40666</v>
      </c>
      <c r="M7721" t="s">
        <v>42635</v>
      </c>
      <c r="N7721" t="s">
        <v>44905</v>
      </c>
      <c r="O7721" t="s">
        <v>44906</v>
      </c>
      <c r="P7721">
        <v>0</v>
      </c>
      <c r="Q7721">
        <v>0</v>
      </c>
      <c r="R7721" t="s">
        <v>44910</v>
      </c>
      <c r="S7721" t="s">
        <v>45076</v>
      </c>
      <c r="T7721" t="s">
        <v>46393</v>
      </c>
      <c r="U7721" t="s">
        <v>48635</v>
      </c>
      <c r="W7721" t="s">
        <v>42635</v>
      </c>
      <c r="X7721" t="s">
        <v>44911</v>
      </c>
    </row>
    <row r="7722" spans="1:24">
      <c r="A7722">
        <f>HYPERLINK("https://www.philgeps.gov.ph/GEPSNONPILOT/Tender/SplashBidNoticeAbstractUI.aspx?menuIndex=3&amp;refID=7074564&amp;Result=3","7074564")</f>
        <v>0</v>
      </c>
      <c r="B7722" t="s">
        <v>2280</v>
      </c>
      <c r="C7722" t="s">
        <v>10886</v>
      </c>
      <c r="D7722" t="s">
        <v>18102</v>
      </c>
      <c r="E7722" t="s">
        <v>22819</v>
      </c>
      <c r="F7722" t="s">
        <v>31362</v>
      </c>
      <c r="G7722" t="s">
        <v>31369</v>
      </c>
      <c r="H7722" t="s">
        <v>15799</v>
      </c>
      <c r="I7722" t="s">
        <v>31409</v>
      </c>
      <c r="J7722" t="s">
        <v>31542</v>
      </c>
      <c r="K7722" t="s">
        <v>40665</v>
      </c>
      <c r="M7722" t="s">
        <v>43419</v>
      </c>
      <c r="N7722" t="s">
        <v>44905</v>
      </c>
      <c r="O7722" t="s">
        <v>44906</v>
      </c>
      <c r="P7722">
        <v>0</v>
      </c>
      <c r="Q7722">
        <v>3</v>
      </c>
      <c r="R7722" t="s">
        <v>44910</v>
      </c>
      <c r="S7722" t="s">
        <v>45076</v>
      </c>
      <c r="T7722" t="s">
        <v>46412</v>
      </c>
      <c r="U7722" t="s">
        <v>53156</v>
      </c>
      <c r="W7722" t="s">
        <v>43419</v>
      </c>
      <c r="X7722" t="s">
        <v>44911</v>
      </c>
    </row>
    <row r="7723" spans="1:24">
      <c r="A7723">
        <f>HYPERLINK("https://www.philgeps.gov.ph/GEPSNONPILOT/Tender/SplashBidNoticeAbstractUI.aspx?menuIndex=3&amp;refID=7074561&amp;Result=3","7074561")</f>
        <v>0</v>
      </c>
      <c r="B7723" t="s">
        <v>1681</v>
      </c>
      <c r="C7723" t="s">
        <v>10887</v>
      </c>
      <c r="D7723" t="s">
        <v>18124</v>
      </c>
      <c r="E7723" t="s">
        <v>25005</v>
      </c>
      <c r="F7723" t="s">
        <v>31362</v>
      </c>
      <c r="G7723" t="s">
        <v>31369</v>
      </c>
      <c r="H7723" t="s">
        <v>15799</v>
      </c>
      <c r="I7723" t="s">
        <v>31430</v>
      </c>
      <c r="J7723" t="s">
        <v>36244</v>
      </c>
      <c r="K7723" t="s">
        <v>40662</v>
      </c>
      <c r="M7723" t="s">
        <v>42746</v>
      </c>
      <c r="N7723" t="s">
        <v>44905</v>
      </c>
      <c r="O7723" t="s">
        <v>44906</v>
      </c>
      <c r="P7723">
        <v>0</v>
      </c>
      <c r="Q7723">
        <v>0</v>
      </c>
      <c r="R7723" t="s">
        <v>44910</v>
      </c>
      <c r="S7723" t="s">
        <v>45076</v>
      </c>
      <c r="T7723" t="s">
        <v>46393</v>
      </c>
      <c r="U7723" t="s">
        <v>53157</v>
      </c>
      <c r="W7723" t="s">
        <v>42746</v>
      </c>
      <c r="X7723" t="s">
        <v>44911</v>
      </c>
    </row>
    <row r="7724" spans="1:24">
      <c r="A7724">
        <f>HYPERLINK("https://www.philgeps.gov.ph/GEPSNONPILOT/Tender/SplashBidNoticeAbstractUI.aspx?menuIndex=3&amp;refID=7074571&amp;Result=3","7074571")</f>
        <v>0</v>
      </c>
      <c r="B7724" t="s">
        <v>2322</v>
      </c>
      <c r="C7724" t="s">
        <v>10888</v>
      </c>
      <c r="D7724" t="s">
        <v>18158</v>
      </c>
      <c r="E7724" t="s">
        <v>19313</v>
      </c>
      <c r="F7724" t="s">
        <v>31362</v>
      </c>
      <c r="G7724" t="s">
        <v>31369</v>
      </c>
      <c r="H7724" t="s">
        <v>31378</v>
      </c>
      <c r="I7724" t="s">
        <v>31392</v>
      </c>
      <c r="J7724" t="s">
        <v>31578</v>
      </c>
      <c r="K7724" t="s">
        <v>40682</v>
      </c>
      <c r="M7724" t="s">
        <v>43462</v>
      </c>
      <c r="N7724" t="s">
        <v>44905</v>
      </c>
      <c r="O7724" t="s">
        <v>44906</v>
      </c>
      <c r="P7724">
        <v>0</v>
      </c>
      <c r="Q7724">
        <v>1</v>
      </c>
      <c r="R7724" t="s">
        <v>44910</v>
      </c>
      <c r="S7724" t="s">
        <v>45076</v>
      </c>
      <c r="T7724" t="s">
        <v>46447</v>
      </c>
      <c r="U7724" t="s">
        <v>49613</v>
      </c>
      <c r="W7724" t="s">
        <v>43462</v>
      </c>
      <c r="X7724" t="s">
        <v>44911</v>
      </c>
    </row>
    <row r="7725" spans="1:24">
      <c r="A7725">
        <f>HYPERLINK("https://www.philgeps.gov.ph/GEPSNONPILOT/Tender/SplashBidNoticeAbstractUI.aspx?menuIndex=3&amp;refID=7074570&amp;Result=3","7074570")</f>
        <v>0</v>
      </c>
      <c r="B7725" t="s">
        <v>1970</v>
      </c>
      <c r="C7725" t="s">
        <v>10889</v>
      </c>
      <c r="D7725" t="s">
        <v>18106</v>
      </c>
      <c r="E7725" t="s">
        <v>25006</v>
      </c>
      <c r="F7725" t="s">
        <v>31362</v>
      </c>
      <c r="G7725" t="s">
        <v>31369</v>
      </c>
      <c r="H7725" t="s">
        <v>31378</v>
      </c>
      <c r="I7725" t="s">
        <v>31386</v>
      </c>
      <c r="J7725" t="s">
        <v>31591</v>
      </c>
      <c r="K7725" t="s">
        <v>40670</v>
      </c>
      <c r="M7725" t="s">
        <v>43077</v>
      </c>
      <c r="N7725" t="s">
        <v>44905</v>
      </c>
      <c r="O7725" t="s">
        <v>44906</v>
      </c>
      <c r="P7725">
        <v>0</v>
      </c>
      <c r="Q7725">
        <v>0</v>
      </c>
      <c r="R7725" t="s">
        <v>44910</v>
      </c>
      <c r="S7725" t="s">
        <v>45076</v>
      </c>
      <c r="T7725" t="s">
        <v>46438</v>
      </c>
      <c r="U7725" t="s">
        <v>53158</v>
      </c>
      <c r="W7725" t="s">
        <v>43077</v>
      </c>
      <c r="X7725" t="s">
        <v>44911</v>
      </c>
    </row>
    <row r="7726" spans="1:24">
      <c r="A7726">
        <f>HYPERLINK("https://www.philgeps.gov.ph/GEPSNONPILOT/Tender/SplashBidNoticeAbstractUI.aspx?menuIndex=3&amp;refID=7074557&amp;Result=3","7074557")</f>
        <v>0</v>
      </c>
      <c r="B7726" t="s">
        <v>2323</v>
      </c>
      <c r="C7726" t="s">
        <v>10890</v>
      </c>
      <c r="D7726" t="s">
        <v>18103</v>
      </c>
      <c r="E7726" t="s">
        <v>23867</v>
      </c>
      <c r="F7726" t="s">
        <v>31363</v>
      </c>
      <c r="G7726" t="s">
        <v>31370</v>
      </c>
      <c r="H7726" t="s">
        <v>15799</v>
      </c>
      <c r="I7726" t="s">
        <v>31470</v>
      </c>
      <c r="J7726" t="s">
        <v>31715</v>
      </c>
      <c r="K7726" t="s">
        <v>40661</v>
      </c>
      <c r="M7726" t="s">
        <v>43463</v>
      </c>
      <c r="N7726" t="s">
        <v>44905</v>
      </c>
      <c r="O7726" t="s">
        <v>44906</v>
      </c>
      <c r="P7726">
        <v>0</v>
      </c>
      <c r="Q7726">
        <v>1</v>
      </c>
      <c r="R7726" t="s">
        <v>44910</v>
      </c>
      <c r="S7726" t="s">
        <v>45076</v>
      </c>
      <c r="T7726" t="s">
        <v>46580</v>
      </c>
      <c r="U7726" t="s">
        <v>53159</v>
      </c>
      <c r="W7726" t="s">
        <v>43463</v>
      </c>
      <c r="X7726" t="s">
        <v>44911</v>
      </c>
    </row>
    <row r="7727" spans="1:24">
      <c r="A7727">
        <f>HYPERLINK("https://www.philgeps.gov.ph/GEPSNONPILOT/Tender/SplashBidNoticeAbstractUI.aspx?menuIndex=3&amp;refID=7074563&amp;Result=3","7074563")</f>
        <v>0</v>
      </c>
      <c r="B7727" t="s">
        <v>2316</v>
      </c>
      <c r="C7727" t="s">
        <v>10891</v>
      </c>
      <c r="D7727" t="s">
        <v>18160</v>
      </c>
      <c r="E7727" t="s">
        <v>18818</v>
      </c>
      <c r="F7727" t="s">
        <v>31362</v>
      </c>
      <c r="G7727" t="s">
        <v>31368</v>
      </c>
      <c r="H7727" t="s">
        <v>15799</v>
      </c>
      <c r="I7727" t="s">
        <v>31444</v>
      </c>
      <c r="J7727" t="s">
        <v>31866</v>
      </c>
      <c r="K7727" t="s">
        <v>40715</v>
      </c>
      <c r="M7727" t="s">
        <v>43456</v>
      </c>
      <c r="N7727" t="s">
        <v>44905</v>
      </c>
      <c r="O7727" t="s">
        <v>44906</v>
      </c>
      <c r="P7727">
        <v>0</v>
      </c>
      <c r="Q7727">
        <v>1</v>
      </c>
      <c r="R7727" t="s">
        <v>44910</v>
      </c>
      <c r="S7727" t="s">
        <v>45076</v>
      </c>
      <c r="T7727" t="s">
        <v>46414</v>
      </c>
      <c r="U7727" t="s">
        <v>53160</v>
      </c>
      <c r="W7727" t="s">
        <v>43456</v>
      </c>
      <c r="X7727" t="s">
        <v>44911</v>
      </c>
    </row>
    <row r="7728" spans="1:24">
      <c r="A7728">
        <f>HYPERLINK("https://www.philgeps.gov.ph/GEPSNONPILOT/Tender/SplashBidNoticeAbstractUI.aspx?menuIndex=3&amp;refID=7074556&amp;Result=3","7074556")</f>
        <v>0</v>
      </c>
      <c r="B7728" t="s">
        <v>698</v>
      </c>
      <c r="C7728" t="s">
        <v>10892</v>
      </c>
      <c r="D7728" t="s">
        <v>18104</v>
      </c>
      <c r="E7728" t="s">
        <v>25007</v>
      </c>
      <c r="F7728" t="s">
        <v>31362</v>
      </c>
      <c r="G7728" t="s">
        <v>31369</v>
      </c>
      <c r="H7728" t="s">
        <v>31378</v>
      </c>
      <c r="I7728" t="s">
        <v>31386</v>
      </c>
      <c r="J7728" t="s">
        <v>36245</v>
      </c>
      <c r="K7728" t="s">
        <v>40783</v>
      </c>
      <c r="M7728" t="s">
        <v>41663</v>
      </c>
      <c r="N7728" t="s">
        <v>44905</v>
      </c>
      <c r="O7728" t="s">
        <v>44906</v>
      </c>
      <c r="P7728">
        <v>0</v>
      </c>
      <c r="Q7728">
        <v>2</v>
      </c>
      <c r="R7728" t="s">
        <v>44910</v>
      </c>
      <c r="S7728" t="s">
        <v>45076</v>
      </c>
      <c r="T7728" t="s">
        <v>46419</v>
      </c>
      <c r="U7728" t="s">
        <v>53161</v>
      </c>
      <c r="W7728" t="s">
        <v>41663</v>
      </c>
      <c r="X7728" t="s">
        <v>44911</v>
      </c>
    </row>
    <row r="7729" spans="1:24">
      <c r="A7729">
        <f>HYPERLINK("https://www.philgeps.gov.ph/GEPSNONPILOT/Tender/SplashBidNoticeAbstractUI.aspx?menuIndex=3&amp;refID=7074504&amp;Result=3","7074504")</f>
        <v>0</v>
      </c>
      <c r="B7729" t="s">
        <v>831</v>
      </c>
      <c r="C7729" t="s">
        <v>10893</v>
      </c>
      <c r="D7729" t="s">
        <v>18108</v>
      </c>
      <c r="E7729" t="s">
        <v>25008</v>
      </c>
      <c r="F7729" t="s">
        <v>31362</v>
      </c>
      <c r="G7729" t="s">
        <v>31369</v>
      </c>
      <c r="H7729" t="s">
        <v>15799</v>
      </c>
      <c r="I7729" t="s">
        <v>4942</v>
      </c>
      <c r="J7729" t="s">
        <v>36246</v>
      </c>
      <c r="K7729" t="s">
        <v>40666</v>
      </c>
      <c r="M7729" t="s">
        <v>42635</v>
      </c>
      <c r="N7729" t="s">
        <v>44905</v>
      </c>
      <c r="O7729" t="s">
        <v>44906</v>
      </c>
      <c r="P7729">
        <v>0</v>
      </c>
      <c r="Q7729">
        <v>1</v>
      </c>
      <c r="R7729" t="s">
        <v>44910</v>
      </c>
      <c r="S7729" t="s">
        <v>45076</v>
      </c>
      <c r="T7729" t="s">
        <v>46393</v>
      </c>
      <c r="U7729" t="s">
        <v>48668</v>
      </c>
      <c r="W7729" t="s">
        <v>42635</v>
      </c>
      <c r="X7729" t="s">
        <v>44911</v>
      </c>
    </row>
    <row r="7730" spans="1:24">
      <c r="A7730">
        <f>HYPERLINK("https://www.philgeps.gov.ph/GEPSNONPILOT/Tender/SplashBidNoticeAbstractUI.aspx?menuIndex=3&amp;refID=7074555&amp;Result=3","7074555")</f>
        <v>0</v>
      </c>
      <c r="B7730" t="s">
        <v>1970</v>
      </c>
      <c r="C7730" t="s">
        <v>10894</v>
      </c>
      <c r="D7730" t="s">
        <v>18106</v>
      </c>
      <c r="E7730" t="s">
        <v>25009</v>
      </c>
      <c r="F7730" t="s">
        <v>31362</v>
      </c>
      <c r="G7730" t="s">
        <v>31369</v>
      </c>
      <c r="H7730" t="s">
        <v>31378</v>
      </c>
      <c r="I7730" t="s">
        <v>31386</v>
      </c>
      <c r="J7730" t="s">
        <v>31591</v>
      </c>
      <c r="K7730" t="s">
        <v>40677</v>
      </c>
      <c r="M7730" t="s">
        <v>43077</v>
      </c>
      <c r="N7730" t="s">
        <v>44905</v>
      </c>
      <c r="O7730" t="s">
        <v>44906</v>
      </c>
      <c r="P7730">
        <v>0</v>
      </c>
      <c r="Q7730">
        <v>0</v>
      </c>
      <c r="R7730" t="s">
        <v>44910</v>
      </c>
      <c r="S7730" t="s">
        <v>45076</v>
      </c>
      <c r="T7730" t="s">
        <v>46438</v>
      </c>
      <c r="U7730" t="s">
        <v>53162</v>
      </c>
      <c r="W7730" t="s">
        <v>43077</v>
      </c>
      <c r="X7730" t="s">
        <v>44911</v>
      </c>
    </row>
    <row r="7731" spans="1:24">
      <c r="A7731">
        <f>HYPERLINK("https://www.philgeps.gov.ph/GEPSNONPILOT/Tender/SplashBidNoticeAbstractUI.aspx?menuIndex=3&amp;refID=7074615&amp;Result=3","7074615")</f>
        <v>0</v>
      </c>
      <c r="B7731" t="s">
        <v>2294</v>
      </c>
      <c r="C7731" t="s">
        <v>10895</v>
      </c>
      <c r="D7731" t="s">
        <v>18114</v>
      </c>
      <c r="E7731" t="s">
        <v>25010</v>
      </c>
      <c r="F7731" t="s">
        <v>31362</v>
      </c>
      <c r="G7731" t="s">
        <v>31369</v>
      </c>
      <c r="H7731" t="s">
        <v>31378</v>
      </c>
      <c r="I7731" t="s">
        <v>31386</v>
      </c>
      <c r="J7731" t="s">
        <v>36247</v>
      </c>
      <c r="K7731" t="s">
        <v>40662</v>
      </c>
      <c r="M7731" t="s">
        <v>43434</v>
      </c>
      <c r="N7731" t="s">
        <v>44905</v>
      </c>
      <c r="O7731" t="s">
        <v>44906</v>
      </c>
      <c r="P7731">
        <v>0</v>
      </c>
      <c r="Q7731">
        <v>1</v>
      </c>
      <c r="R7731" t="s">
        <v>44910</v>
      </c>
      <c r="S7731" t="s">
        <v>45076</v>
      </c>
      <c r="T7731" t="s">
        <v>46470</v>
      </c>
      <c r="U7731" t="s">
        <v>53163</v>
      </c>
      <c r="W7731" t="s">
        <v>43434</v>
      </c>
      <c r="X7731" t="s">
        <v>44911</v>
      </c>
    </row>
    <row r="7732" spans="1:24">
      <c r="A7732">
        <f>HYPERLINK("https://www.philgeps.gov.ph/GEPSNONPILOT/Tender/SplashBidNoticeAbstractUI.aspx?menuIndex=3&amp;refID=7074614&amp;Result=3","7074614")</f>
        <v>0</v>
      </c>
      <c r="B7732" t="s">
        <v>1261</v>
      </c>
      <c r="C7732" t="s">
        <v>10896</v>
      </c>
      <c r="D7732" t="s">
        <v>18113</v>
      </c>
      <c r="E7732" t="s">
        <v>25011</v>
      </c>
      <c r="F7732" t="s">
        <v>31362</v>
      </c>
      <c r="G7732" t="s">
        <v>31369</v>
      </c>
      <c r="H7732" t="s">
        <v>15799</v>
      </c>
      <c r="I7732" t="s">
        <v>31437</v>
      </c>
      <c r="J7732" t="s">
        <v>31626</v>
      </c>
      <c r="K7732" t="s">
        <v>40665</v>
      </c>
      <c r="M7732" t="s">
        <v>42277</v>
      </c>
      <c r="N7732" t="s">
        <v>44905</v>
      </c>
      <c r="O7732" t="s">
        <v>44906</v>
      </c>
      <c r="P7732">
        <v>0</v>
      </c>
      <c r="Q7732">
        <v>0</v>
      </c>
      <c r="R7732" t="s">
        <v>44910</v>
      </c>
      <c r="S7732" t="s">
        <v>45076</v>
      </c>
      <c r="T7732" t="s">
        <v>46493</v>
      </c>
      <c r="U7732" t="s">
        <v>53164</v>
      </c>
      <c r="W7732" t="s">
        <v>42277</v>
      </c>
      <c r="X7732" t="s">
        <v>44911</v>
      </c>
    </row>
    <row r="7733" spans="1:24">
      <c r="A7733">
        <f>HYPERLINK("https://www.philgeps.gov.ph/GEPSNONPILOT/Tender/SplashBidNoticeAbstractUI.aspx?menuIndex=3&amp;refID=7074560&amp;Result=3","7074560")</f>
        <v>0</v>
      </c>
      <c r="B7733" t="s">
        <v>1971</v>
      </c>
      <c r="C7733" t="s">
        <v>10897</v>
      </c>
      <c r="D7733" t="s">
        <v>18154</v>
      </c>
      <c r="E7733" t="s">
        <v>25012</v>
      </c>
      <c r="F7733" t="s">
        <v>31362</v>
      </c>
      <c r="G7733" t="s">
        <v>31372</v>
      </c>
      <c r="H7733" t="s">
        <v>15799</v>
      </c>
      <c r="I7733" t="s">
        <v>31459</v>
      </c>
      <c r="J7733" t="s">
        <v>36248</v>
      </c>
      <c r="K7733" t="s">
        <v>40662</v>
      </c>
      <c r="M7733" t="s">
        <v>43078</v>
      </c>
      <c r="N7733" t="s">
        <v>44905</v>
      </c>
      <c r="O7733" t="s">
        <v>44906</v>
      </c>
      <c r="P7733">
        <v>0</v>
      </c>
      <c r="Q7733">
        <v>0</v>
      </c>
      <c r="R7733" t="s">
        <v>44910</v>
      </c>
      <c r="S7733" t="s">
        <v>45076</v>
      </c>
      <c r="T7733" t="s">
        <v>46507</v>
      </c>
      <c r="U7733" t="s">
        <v>53113</v>
      </c>
      <c r="W7733" t="s">
        <v>43078</v>
      </c>
      <c r="X7733" t="s">
        <v>44911</v>
      </c>
    </row>
    <row r="7734" spans="1:24">
      <c r="A7734">
        <f>HYPERLINK("https://www.philgeps.gov.ph/GEPSNONPILOT/Tender/SplashBidNoticeAbstractUI.aspx?menuIndex=3&amp;refID=7074613&amp;Result=3","7074613")</f>
        <v>0</v>
      </c>
      <c r="B7734" t="s">
        <v>1269</v>
      </c>
      <c r="C7734" t="s">
        <v>10898</v>
      </c>
      <c r="D7734" t="s">
        <v>18113</v>
      </c>
      <c r="E7734" t="s">
        <v>25013</v>
      </c>
      <c r="F7734" t="s">
        <v>31362</v>
      </c>
      <c r="G7734" t="s">
        <v>31368</v>
      </c>
      <c r="H7734" t="s">
        <v>15799</v>
      </c>
      <c r="I7734" t="s">
        <v>31435</v>
      </c>
      <c r="J7734" t="s">
        <v>31546</v>
      </c>
      <c r="K7734" t="s">
        <v>40677</v>
      </c>
      <c r="M7734" t="s">
        <v>42286</v>
      </c>
      <c r="N7734" t="s">
        <v>44905</v>
      </c>
      <c r="O7734" t="s">
        <v>44906</v>
      </c>
      <c r="P7734">
        <v>0</v>
      </c>
      <c r="Q7734">
        <v>0</v>
      </c>
      <c r="R7734" t="s">
        <v>44910</v>
      </c>
      <c r="S7734" t="s">
        <v>45076</v>
      </c>
      <c r="T7734" t="s">
        <v>46447</v>
      </c>
      <c r="U7734" t="s">
        <v>53165</v>
      </c>
      <c r="W7734" t="s">
        <v>42286</v>
      </c>
      <c r="X7734" t="s">
        <v>44911</v>
      </c>
    </row>
    <row r="7735" spans="1:24">
      <c r="A7735">
        <f>HYPERLINK("https://www.philgeps.gov.ph/GEPSNONPILOT/Tender/SplashBidNoticeAbstractUI.aspx?menuIndex=3&amp;refID=7074607&amp;Result=3","7074607")</f>
        <v>0</v>
      </c>
      <c r="B7735" t="s">
        <v>2300</v>
      </c>
      <c r="C7735" t="s">
        <v>10899</v>
      </c>
      <c r="D7735" t="s">
        <v>18148</v>
      </c>
      <c r="E7735" t="s">
        <v>25014</v>
      </c>
      <c r="F7735" t="s">
        <v>31362</v>
      </c>
      <c r="G7735" t="s">
        <v>31368</v>
      </c>
      <c r="H7735" t="s">
        <v>15799</v>
      </c>
      <c r="I7735" t="s">
        <v>31388</v>
      </c>
      <c r="J7735" t="s">
        <v>31668</v>
      </c>
      <c r="K7735" t="s">
        <v>40767</v>
      </c>
      <c r="M7735" t="s">
        <v>43440</v>
      </c>
      <c r="N7735" t="s">
        <v>44905</v>
      </c>
      <c r="O7735" t="s">
        <v>44906</v>
      </c>
      <c r="P7735">
        <v>0</v>
      </c>
      <c r="Q7735">
        <v>1</v>
      </c>
      <c r="R7735" t="s">
        <v>44910</v>
      </c>
      <c r="S7735" t="s">
        <v>45076</v>
      </c>
      <c r="T7735" t="s">
        <v>46692</v>
      </c>
      <c r="U7735" t="s">
        <v>53117</v>
      </c>
      <c r="W7735" t="s">
        <v>43440</v>
      </c>
      <c r="X7735" t="s">
        <v>44911</v>
      </c>
    </row>
    <row r="7736" spans="1:24">
      <c r="A7736">
        <f>HYPERLINK("https://www.philgeps.gov.ph/GEPSNONPILOT/Tender/SplashBidNoticeAbstractUI.aspx?menuIndex=3&amp;refID=7074602&amp;Result=3","7074602")</f>
        <v>0</v>
      </c>
      <c r="B7736" t="s">
        <v>1970</v>
      </c>
      <c r="C7736" t="s">
        <v>10900</v>
      </c>
      <c r="D7736" t="s">
        <v>18106</v>
      </c>
      <c r="E7736" t="s">
        <v>25015</v>
      </c>
      <c r="F7736" t="s">
        <v>31362</v>
      </c>
      <c r="G7736" t="s">
        <v>31369</v>
      </c>
      <c r="H7736" t="s">
        <v>31378</v>
      </c>
      <c r="I7736" t="s">
        <v>31386</v>
      </c>
      <c r="J7736" t="s">
        <v>31591</v>
      </c>
      <c r="K7736" t="s">
        <v>40670</v>
      </c>
      <c r="M7736" t="s">
        <v>43077</v>
      </c>
      <c r="N7736" t="s">
        <v>44905</v>
      </c>
      <c r="O7736" t="s">
        <v>44906</v>
      </c>
      <c r="P7736">
        <v>0</v>
      </c>
      <c r="Q7736">
        <v>0</v>
      </c>
      <c r="R7736" t="s">
        <v>44910</v>
      </c>
      <c r="S7736" t="s">
        <v>45076</v>
      </c>
      <c r="T7736" t="s">
        <v>46438</v>
      </c>
      <c r="U7736" t="s">
        <v>53166</v>
      </c>
      <c r="W7736" t="s">
        <v>43077</v>
      </c>
      <c r="X7736" t="s">
        <v>44911</v>
      </c>
    </row>
    <row r="7737" spans="1:24">
      <c r="A7737">
        <f>HYPERLINK("https://www.philgeps.gov.ph/GEPSNONPILOT/Tender/SplashBidNoticeAbstractUI.aspx?menuIndex=3&amp;refID=7074572&amp;Result=3","7074572")</f>
        <v>0</v>
      </c>
      <c r="B7737" t="s">
        <v>2300</v>
      </c>
      <c r="C7737" t="s">
        <v>10901</v>
      </c>
      <c r="D7737" t="s">
        <v>18148</v>
      </c>
      <c r="E7737" t="s">
        <v>25016</v>
      </c>
      <c r="F7737" t="s">
        <v>31362</v>
      </c>
      <c r="G7737" t="s">
        <v>31368</v>
      </c>
      <c r="H7737" t="s">
        <v>15799</v>
      </c>
      <c r="I7737" t="s">
        <v>31388</v>
      </c>
      <c r="J7737" t="s">
        <v>31530</v>
      </c>
      <c r="K7737" t="s">
        <v>40670</v>
      </c>
      <c r="M7737" t="s">
        <v>43440</v>
      </c>
      <c r="N7737" t="s">
        <v>44905</v>
      </c>
      <c r="O7737" t="s">
        <v>44906</v>
      </c>
      <c r="P7737">
        <v>0</v>
      </c>
      <c r="Q7737">
        <v>3</v>
      </c>
      <c r="R7737" t="s">
        <v>44910</v>
      </c>
      <c r="S7737" t="s">
        <v>45076</v>
      </c>
      <c r="T7737" t="s">
        <v>46692</v>
      </c>
      <c r="U7737" t="s">
        <v>53117</v>
      </c>
      <c r="W7737" t="s">
        <v>43440</v>
      </c>
      <c r="X7737" t="s">
        <v>44911</v>
      </c>
    </row>
    <row r="7738" spans="1:24">
      <c r="A7738">
        <f>HYPERLINK("https://www.philgeps.gov.ph/GEPSNONPILOT/Tender/SplashBidNoticeAbstractUI.aspx?menuIndex=3&amp;refID=7074597&amp;Result=3","7074597")</f>
        <v>0</v>
      </c>
      <c r="B7738" t="s">
        <v>2324</v>
      </c>
      <c r="C7738" t="s">
        <v>10902</v>
      </c>
      <c r="D7738" t="s">
        <v>18131</v>
      </c>
      <c r="E7738" t="s">
        <v>25017</v>
      </c>
      <c r="F7738" t="s">
        <v>31362</v>
      </c>
      <c r="G7738" t="s">
        <v>31369</v>
      </c>
      <c r="H7738" t="s">
        <v>31378</v>
      </c>
      <c r="I7738" t="s">
        <v>31386</v>
      </c>
      <c r="J7738" t="s">
        <v>34444</v>
      </c>
      <c r="K7738" t="s">
        <v>40662</v>
      </c>
      <c r="M7738" t="s">
        <v>43464</v>
      </c>
      <c r="N7738" t="s">
        <v>44905</v>
      </c>
      <c r="O7738" t="s">
        <v>44906</v>
      </c>
      <c r="P7738">
        <v>0</v>
      </c>
      <c r="Q7738">
        <v>1</v>
      </c>
      <c r="R7738" t="s">
        <v>44910</v>
      </c>
      <c r="S7738" t="s">
        <v>45076</v>
      </c>
      <c r="T7738" t="s">
        <v>46438</v>
      </c>
      <c r="U7738" t="s">
        <v>53167</v>
      </c>
      <c r="V7738" t="s">
        <v>59718</v>
      </c>
      <c r="W7738" t="s">
        <v>43464</v>
      </c>
      <c r="X7738" t="s">
        <v>44911</v>
      </c>
    </row>
    <row r="7739" spans="1:24">
      <c r="A7739">
        <f>HYPERLINK("https://www.philgeps.gov.ph/GEPSNONPILOT/Tender/SplashBidNoticeAbstractUI.aspx?menuIndex=3&amp;refID=7074591&amp;Result=3","7074591")</f>
        <v>0</v>
      </c>
      <c r="B7739" t="s">
        <v>367</v>
      </c>
      <c r="C7739" t="s">
        <v>10903</v>
      </c>
      <c r="D7739" t="s">
        <v>18134</v>
      </c>
      <c r="E7739" t="s">
        <v>25018</v>
      </c>
      <c r="F7739" t="s">
        <v>31362</v>
      </c>
      <c r="G7739" t="s">
        <v>31368</v>
      </c>
      <c r="H7739" t="s">
        <v>15799</v>
      </c>
      <c r="I7739" t="s">
        <v>6240</v>
      </c>
      <c r="J7739" t="s">
        <v>33390</v>
      </c>
      <c r="K7739" t="s">
        <v>40677</v>
      </c>
      <c r="M7739" t="s">
        <v>41314</v>
      </c>
      <c r="N7739" t="s">
        <v>44905</v>
      </c>
      <c r="O7739" t="s">
        <v>44906</v>
      </c>
      <c r="P7739">
        <v>0</v>
      </c>
      <c r="Q7739">
        <v>0</v>
      </c>
      <c r="R7739" t="s">
        <v>44910</v>
      </c>
      <c r="S7739" t="s">
        <v>45076</v>
      </c>
      <c r="T7739" t="s">
        <v>46447</v>
      </c>
      <c r="U7739" t="s">
        <v>53168</v>
      </c>
      <c r="W7739" t="s">
        <v>41314</v>
      </c>
      <c r="X7739" t="s">
        <v>44911</v>
      </c>
    </row>
    <row r="7740" spans="1:24">
      <c r="A7740">
        <f>HYPERLINK("https://www.philgeps.gov.ph/GEPSNONPILOT/Tender/SplashBidNoticeAbstractUI.aspx?menuIndex=3&amp;refID=7074603&amp;Result=3","7074603")</f>
        <v>0</v>
      </c>
      <c r="B7740" t="s">
        <v>2316</v>
      </c>
      <c r="C7740" t="s">
        <v>10904</v>
      </c>
      <c r="E7740" t="s">
        <v>18818</v>
      </c>
      <c r="F7740" t="s">
        <v>31362</v>
      </c>
      <c r="G7740" t="s">
        <v>31368</v>
      </c>
      <c r="H7740" t="s">
        <v>15799</v>
      </c>
      <c r="I7740" t="s">
        <v>31444</v>
      </c>
      <c r="J7740" t="s">
        <v>33722</v>
      </c>
      <c r="K7740" t="s">
        <v>40715</v>
      </c>
      <c r="M7740" t="s">
        <v>43456</v>
      </c>
      <c r="N7740" t="s">
        <v>44905</v>
      </c>
      <c r="O7740" t="s">
        <v>44906</v>
      </c>
      <c r="P7740">
        <v>0</v>
      </c>
      <c r="Q7740">
        <v>0</v>
      </c>
      <c r="R7740" t="s">
        <v>44910</v>
      </c>
      <c r="S7740" t="s">
        <v>45076</v>
      </c>
      <c r="T7740" t="s">
        <v>46414</v>
      </c>
      <c r="U7740" t="s">
        <v>53169</v>
      </c>
      <c r="W7740" t="s">
        <v>43456</v>
      </c>
      <c r="X7740" t="s">
        <v>44911</v>
      </c>
    </row>
    <row r="7741" spans="1:24">
      <c r="A7741">
        <f>HYPERLINK("https://www.philgeps.gov.ph/GEPSNONPILOT/Tender/SplashBidNoticeAbstractUI.aspx?menuIndex=3&amp;refID=7074588&amp;Result=3","7074588")</f>
        <v>0</v>
      </c>
      <c r="B7741" t="s">
        <v>2261</v>
      </c>
      <c r="C7741" t="s">
        <v>10905</v>
      </c>
      <c r="D7741" t="s">
        <v>18162</v>
      </c>
      <c r="E7741" t="s">
        <v>25019</v>
      </c>
      <c r="F7741" t="s">
        <v>31362</v>
      </c>
      <c r="G7741" t="s">
        <v>31368</v>
      </c>
      <c r="H7741" t="s">
        <v>15799</v>
      </c>
      <c r="I7741" t="s">
        <v>7090</v>
      </c>
      <c r="J7741" t="s">
        <v>36249</v>
      </c>
      <c r="K7741" t="s">
        <v>40666</v>
      </c>
      <c r="M7741" t="s">
        <v>43400</v>
      </c>
      <c r="N7741" t="s">
        <v>44905</v>
      </c>
      <c r="O7741" t="s">
        <v>44906</v>
      </c>
      <c r="Q7741">
        <v>2</v>
      </c>
      <c r="R7741" t="s">
        <v>44910</v>
      </c>
      <c r="S7741" t="s">
        <v>45106</v>
      </c>
      <c r="T7741" t="s">
        <v>46432</v>
      </c>
      <c r="U7741" t="s">
        <v>53170</v>
      </c>
      <c r="W7741" t="s">
        <v>43400</v>
      </c>
      <c r="X7741" t="s">
        <v>44911</v>
      </c>
    </row>
    <row r="7742" spans="1:24">
      <c r="A7742">
        <f>HYPERLINK("https://www.philgeps.gov.ph/GEPSNONPILOT/Tender/SplashBidNoticeAbstractUI.aspx?menuIndex=3&amp;refID=7074541&amp;Result=3","7074541")</f>
        <v>0</v>
      </c>
      <c r="B7742" t="s">
        <v>1012</v>
      </c>
      <c r="C7742" t="s">
        <v>10906</v>
      </c>
      <c r="D7742" t="s">
        <v>18115</v>
      </c>
      <c r="E7742" t="s">
        <v>25020</v>
      </c>
      <c r="F7742" t="s">
        <v>31362</v>
      </c>
      <c r="G7742" t="s">
        <v>31370</v>
      </c>
      <c r="H7742" t="s">
        <v>15799</v>
      </c>
      <c r="I7742" t="s">
        <v>31429</v>
      </c>
      <c r="J7742" t="s">
        <v>36250</v>
      </c>
      <c r="K7742" t="s">
        <v>40665</v>
      </c>
      <c r="M7742" t="s">
        <v>42009</v>
      </c>
      <c r="N7742" t="s">
        <v>44905</v>
      </c>
      <c r="O7742" t="s">
        <v>44906</v>
      </c>
      <c r="P7742">
        <v>0</v>
      </c>
      <c r="Q7742">
        <v>6</v>
      </c>
      <c r="R7742" t="s">
        <v>44910</v>
      </c>
      <c r="S7742" t="s">
        <v>45076</v>
      </c>
      <c r="T7742" t="s">
        <v>46409</v>
      </c>
      <c r="U7742" t="s">
        <v>53171</v>
      </c>
      <c r="W7742" t="s">
        <v>42009</v>
      </c>
      <c r="X7742" t="s">
        <v>44911</v>
      </c>
    </row>
    <row r="7743" spans="1:24">
      <c r="A7743">
        <f>HYPERLINK("https://www.philgeps.gov.ph/GEPSNONPILOT/Tender/SplashBidNoticeAbstractUI.aspx?menuIndex=3&amp;refID=7074586&amp;Result=3","7074586")</f>
        <v>0</v>
      </c>
      <c r="B7743" t="s">
        <v>2294</v>
      </c>
      <c r="C7743" t="s">
        <v>10907</v>
      </c>
      <c r="D7743" t="s">
        <v>18114</v>
      </c>
      <c r="E7743" t="s">
        <v>25021</v>
      </c>
      <c r="F7743" t="s">
        <v>31362</v>
      </c>
      <c r="G7743" t="s">
        <v>31369</v>
      </c>
      <c r="H7743" t="s">
        <v>15799</v>
      </c>
      <c r="I7743" t="s">
        <v>4283</v>
      </c>
      <c r="J7743" t="s">
        <v>36251</v>
      </c>
      <c r="K7743" t="s">
        <v>40662</v>
      </c>
      <c r="M7743" t="s">
        <v>43434</v>
      </c>
      <c r="N7743" t="s">
        <v>44905</v>
      </c>
      <c r="O7743" t="s">
        <v>44906</v>
      </c>
      <c r="P7743">
        <v>0</v>
      </c>
      <c r="Q7743">
        <v>2</v>
      </c>
      <c r="R7743" t="s">
        <v>44910</v>
      </c>
      <c r="S7743" t="s">
        <v>45076</v>
      </c>
      <c r="T7743" t="s">
        <v>46440</v>
      </c>
      <c r="U7743" t="s">
        <v>53172</v>
      </c>
      <c r="W7743" t="s">
        <v>43434</v>
      </c>
      <c r="X7743" t="s">
        <v>44911</v>
      </c>
    </row>
    <row r="7744" spans="1:24">
      <c r="A7744">
        <f>HYPERLINK("https://www.philgeps.gov.ph/GEPSNONPILOT/Tender/SplashBidNoticeAbstractUI.aspx?menuIndex=3&amp;refID=7074558&amp;Result=3","7074558")</f>
        <v>0</v>
      </c>
      <c r="B7744" t="s">
        <v>347</v>
      </c>
      <c r="C7744" t="s">
        <v>10908</v>
      </c>
      <c r="D7744" t="s">
        <v>18120</v>
      </c>
      <c r="E7744" t="s">
        <v>24976</v>
      </c>
      <c r="F7744" t="s">
        <v>31362</v>
      </c>
      <c r="G7744" t="s">
        <v>31369</v>
      </c>
      <c r="H7744" t="s">
        <v>15799</v>
      </c>
      <c r="I7744" t="s">
        <v>3815</v>
      </c>
      <c r="J7744" t="s">
        <v>36229</v>
      </c>
      <c r="K7744" t="s">
        <v>40666</v>
      </c>
      <c r="M7744" t="s">
        <v>41293</v>
      </c>
      <c r="N7744" t="s">
        <v>44905</v>
      </c>
      <c r="O7744" t="s">
        <v>44906</v>
      </c>
      <c r="P7744">
        <v>0</v>
      </c>
      <c r="Q7744">
        <v>1</v>
      </c>
      <c r="R7744" t="s">
        <v>44910</v>
      </c>
      <c r="S7744" t="s">
        <v>45076</v>
      </c>
      <c r="T7744" t="s">
        <v>46467</v>
      </c>
      <c r="U7744" t="s">
        <v>53133</v>
      </c>
      <c r="W7744" t="s">
        <v>41293</v>
      </c>
      <c r="X7744" t="s">
        <v>44911</v>
      </c>
    </row>
    <row r="7745" spans="1:24">
      <c r="A7745">
        <f>HYPERLINK("https://www.philgeps.gov.ph/GEPSNONPILOT/Tender/SplashBidNoticeAbstractUI.aspx?menuIndex=3&amp;refID=7074612&amp;Result=3","7074612")</f>
        <v>0</v>
      </c>
      <c r="B7745" t="s">
        <v>2325</v>
      </c>
      <c r="C7745" t="s">
        <v>10909</v>
      </c>
      <c r="D7745" t="s">
        <v>18170</v>
      </c>
      <c r="E7745" t="s">
        <v>25022</v>
      </c>
      <c r="F7745" t="s">
        <v>31362</v>
      </c>
      <c r="G7745" t="s">
        <v>31368</v>
      </c>
      <c r="H7745" t="s">
        <v>15799</v>
      </c>
      <c r="I7745" t="s">
        <v>31422</v>
      </c>
      <c r="J7745" t="s">
        <v>36252</v>
      </c>
      <c r="K7745" t="s">
        <v>40670</v>
      </c>
      <c r="M7745" t="s">
        <v>43465</v>
      </c>
      <c r="N7745" t="s">
        <v>44905</v>
      </c>
      <c r="O7745" t="s">
        <v>44906</v>
      </c>
      <c r="P7745">
        <v>0</v>
      </c>
      <c r="Q7745">
        <v>3</v>
      </c>
      <c r="R7745" t="s">
        <v>44910</v>
      </c>
      <c r="S7745" t="s">
        <v>45076</v>
      </c>
      <c r="T7745" t="s">
        <v>46669</v>
      </c>
      <c r="U7745" t="s">
        <v>53173</v>
      </c>
      <c r="W7745" t="s">
        <v>43465</v>
      </c>
      <c r="X7745" t="s">
        <v>44911</v>
      </c>
    </row>
    <row r="7746" spans="1:24">
      <c r="A7746">
        <f>HYPERLINK("https://www.philgeps.gov.ph/GEPSNONPILOT/Tender/SplashBidNoticeAbstractUI.aspx?menuIndex=3&amp;refID=7074582&amp;Result=3","7074582")</f>
        <v>0</v>
      </c>
      <c r="B7746" t="s">
        <v>2326</v>
      </c>
      <c r="C7746" t="s">
        <v>10910</v>
      </c>
      <c r="D7746" t="s">
        <v>18104</v>
      </c>
      <c r="E7746" t="s">
        <v>25023</v>
      </c>
      <c r="F7746" t="s">
        <v>31362</v>
      </c>
      <c r="G7746" t="s">
        <v>31369</v>
      </c>
      <c r="H7746" t="s">
        <v>31378</v>
      </c>
      <c r="I7746" t="s">
        <v>31386</v>
      </c>
      <c r="J7746" t="s">
        <v>36253</v>
      </c>
      <c r="K7746" t="s">
        <v>40679</v>
      </c>
      <c r="M7746" t="s">
        <v>43466</v>
      </c>
      <c r="N7746" t="s">
        <v>44905</v>
      </c>
      <c r="O7746" t="s">
        <v>44906</v>
      </c>
      <c r="P7746">
        <v>0</v>
      </c>
      <c r="Q7746">
        <v>0</v>
      </c>
      <c r="R7746" t="s">
        <v>44910</v>
      </c>
      <c r="S7746" t="s">
        <v>45076</v>
      </c>
      <c r="T7746" t="s">
        <v>46626</v>
      </c>
      <c r="U7746" t="s">
        <v>53174</v>
      </c>
      <c r="W7746" t="s">
        <v>43466</v>
      </c>
      <c r="X7746" t="s">
        <v>44911</v>
      </c>
    </row>
    <row r="7747" spans="1:24">
      <c r="A7747">
        <f>HYPERLINK("https://www.philgeps.gov.ph/GEPSNONPILOT/Tender/SplashBidNoticeAbstractUI.aspx?menuIndex=3&amp;refID=7074590&amp;Result=3","7074590")</f>
        <v>0</v>
      </c>
      <c r="B7747" t="s">
        <v>91</v>
      </c>
      <c r="C7747" t="s">
        <v>10911</v>
      </c>
      <c r="D7747" t="s">
        <v>18136</v>
      </c>
      <c r="E7747" t="s">
        <v>19610</v>
      </c>
      <c r="F7747" t="s">
        <v>31362</v>
      </c>
      <c r="G7747" t="s">
        <v>31369</v>
      </c>
      <c r="H7747" t="s">
        <v>15799</v>
      </c>
      <c r="I7747" t="s">
        <v>31415</v>
      </c>
      <c r="J7747" t="s">
        <v>36254</v>
      </c>
      <c r="K7747" t="s">
        <v>40661</v>
      </c>
      <c r="M7747" t="s">
        <v>41028</v>
      </c>
      <c r="N7747" t="s">
        <v>44905</v>
      </c>
      <c r="O7747" t="s">
        <v>44906</v>
      </c>
      <c r="P7747">
        <v>0</v>
      </c>
      <c r="Q7747">
        <v>0</v>
      </c>
      <c r="R7747" t="s">
        <v>44910</v>
      </c>
      <c r="S7747" t="s">
        <v>45076</v>
      </c>
      <c r="T7747" t="s">
        <v>46418</v>
      </c>
      <c r="U7747" t="s">
        <v>53175</v>
      </c>
      <c r="W7747" t="s">
        <v>41028</v>
      </c>
      <c r="X7747" t="s">
        <v>44911</v>
      </c>
    </row>
    <row r="7748" spans="1:24">
      <c r="A7748">
        <f>HYPERLINK("https://www.philgeps.gov.ph/GEPSNONPILOT/Tender/SplashBidNoticeAbstractUI.aspx?menuIndex=3&amp;refID=7074581&amp;Result=3","7074581")</f>
        <v>0</v>
      </c>
      <c r="B7748" t="s">
        <v>2312</v>
      </c>
      <c r="C7748" t="s">
        <v>10912</v>
      </c>
      <c r="D7748" t="s">
        <v>18156</v>
      </c>
      <c r="E7748" t="s">
        <v>24322</v>
      </c>
      <c r="F7748" t="s">
        <v>31362</v>
      </c>
      <c r="G7748" t="s">
        <v>31369</v>
      </c>
      <c r="H7748" t="s">
        <v>15799</v>
      </c>
      <c r="I7748" t="s">
        <v>7090</v>
      </c>
      <c r="J7748" t="s">
        <v>31531</v>
      </c>
      <c r="K7748" t="s">
        <v>40670</v>
      </c>
      <c r="M7748" t="s">
        <v>43452</v>
      </c>
      <c r="N7748" t="s">
        <v>44905</v>
      </c>
      <c r="O7748" t="s">
        <v>44906</v>
      </c>
      <c r="P7748">
        <v>0</v>
      </c>
      <c r="Q7748">
        <v>16</v>
      </c>
      <c r="R7748" t="s">
        <v>44910</v>
      </c>
      <c r="S7748" t="s">
        <v>45076</v>
      </c>
      <c r="T7748" t="s">
        <v>46416</v>
      </c>
      <c r="U7748" t="s">
        <v>53176</v>
      </c>
      <c r="W7748" t="s">
        <v>43452</v>
      </c>
      <c r="X7748" t="s">
        <v>44911</v>
      </c>
    </row>
    <row r="7749" spans="1:24">
      <c r="A7749">
        <f>HYPERLINK("https://www.philgeps.gov.ph/GEPSNONPILOT/Tender/SplashBidNoticeAbstractUI.aspx?menuIndex=3&amp;refID=7074579&amp;Result=3","7074579")</f>
        <v>0</v>
      </c>
      <c r="B7749" t="s">
        <v>1012</v>
      </c>
      <c r="C7749" t="s">
        <v>10913</v>
      </c>
      <c r="D7749" t="s">
        <v>18115</v>
      </c>
      <c r="E7749" t="s">
        <v>25024</v>
      </c>
      <c r="F7749" t="s">
        <v>31362</v>
      </c>
      <c r="G7749" t="s">
        <v>31370</v>
      </c>
      <c r="H7749" t="s">
        <v>15799</v>
      </c>
      <c r="I7749" t="s">
        <v>31422</v>
      </c>
      <c r="J7749" t="s">
        <v>36255</v>
      </c>
      <c r="K7749" t="s">
        <v>40665</v>
      </c>
      <c r="M7749" t="s">
        <v>42009</v>
      </c>
      <c r="N7749" t="s">
        <v>44905</v>
      </c>
      <c r="O7749" t="s">
        <v>44906</v>
      </c>
      <c r="P7749">
        <v>0</v>
      </c>
      <c r="Q7749">
        <v>4</v>
      </c>
      <c r="R7749" t="s">
        <v>44910</v>
      </c>
      <c r="S7749" t="s">
        <v>45076</v>
      </c>
      <c r="T7749" t="s">
        <v>46409</v>
      </c>
      <c r="U7749" t="s">
        <v>53177</v>
      </c>
      <c r="W7749" t="s">
        <v>42009</v>
      </c>
      <c r="X7749" t="s">
        <v>44911</v>
      </c>
    </row>
    <row r="7750" spans="1:24">
      <c r="A7750">
        <f>HYPERLINK("https://www.philgeps.gov.ph/GEPSNONPILOT/Tender/SplashBidNoticeAbstractUI.aspx?menuIndex=3&amp;refID=7074552&amp;Result=3","7074552")</f>
        <v>0</v>
      </c>
      <c r="B7750" t="s">
        <v>197</v>
      </c>
      <c r="C7750" t="s">
        <v>10914</v>
      </c>
      <c r="E7750" t="s">
        <v>25025</v>
      </c>
      <c r="F7750" t="s">
        <v>31362</v>
      </c>
      <c r="G7750" t="s">
        <v>31368</v>
      </c>
      <c r="H7750" t="s">
        <v>15799</v>
      </c>
      <c r="I7750" t="s">
        <v>7188</v>
      </c>
      <c r="J7750" t="s">
        <v>36256</v>
      </c>
      <c r="K7750" t="s">
        <v>40662</v>
      </c>
      <c r="M7750" t="s">
        <v>41559</v>
      </c>
      <c r="N7750" t="s">
        <v>44905</v>
      </c>
      <c r="O7750" t="s">
        <v>44906</v>
      </c>
      <c r="P7750">
        <v>0</v>
      </c>
      <c r="Q7750">
        <v>0</v>
      </c>
      <c r="R7750" t="s">
        <v>44910</v>
      </c>
      <c r="S7750" t="s">
        <v>45076</v>
      </c>
      <c r="T7750" t="s">
        <v>46425</v>
      </c>
      <c r="U7750" t="s">
        <v>53178</v>
      </c>
      <c r="W7750" t="s">
        <v>41559</v>
      </c>
      <c r="X7750" t="s">
        <v>44911</v>
      </c>
    </row>
    <row r="7751" spans="1:24">
      <c r="A7751">
        <f>HYPERLINK("https://www.philgeps.gov.ph/GEPSNONPILOT/Tender/SplashBidNoticeAbstractUI.aspx?menuIndex=3&amp;refID=7074599&amp;Result=3","7074599")</f>
        <v>0</v>
      </c>
      <c r="B7751" t="s">
        <v>347</v>
      </c>
      <c r="C7751" t="s">
        <v>10915</v>
      </c>
      <c r="D7751" t="s">
        <v>18120</v>
      </c>
      <c r="E7751" t="s">
        <v>24976</v>
      </c>
      <c r="F7751" t="s">
        <v>31362</v>
      </c>
      <c r="G7751" t="s">
        <v>31369</v>
      </c>
      <c r="H7751" t="s">
        <v>15799</v>
      </c>
      <c r="I7751" t="s">
        <v>3815</v>
      </c>
      <c r="J7751" t="s">
        <v>36257</v>
      </c>
      <c r="K7751" t="s">
        <v>40666</v>
      </c>
      <c r="M7751" t="s">
        <v>41293</v>
      </c>
      <c r="N7751" t="s">
        <v>44905</v>
      </c>
      <c r="O7751" t="s">
        <v>44906</v>
      </c>
      <c r="P7751">
        <v>0</v>
      </c>
      <c r="Q7751">
        <v>1</v>
      </c>
      <c r="R7751" t="s">
        <v>44910</v>
      </c>
      <c r="S7751" t="s">
        <v>45076</v>
      </c>
      <c r="T7751" t="s">
        <v>46467</v>
      </c>
      <c r="U7751" t="s">
        <v>53133</v>
      </c>
      <c r="W7751" t="s">
        <v>41293</v>
      </c>
      <c r="X7751" t="s">
        <v>44911</v>
      </c>
    </row>
    <row r="7752" spans="1:24">
      <c r="A7752">
        <f>HYPERLINK("https://www.philgeps.gov.ph/GEPSNONPILOT/Tender/SplashBidNoticeAbstractUI.aspx?menuIndex=3&amp;refID=7074664&amp;Result=3","7074664")</f>
        <v>0</v>
      </c>
      <c r="B7752" t="s">
        <v>831</v>
      </c>
      <c r="C7752" t="s">
        <v>10916</v>
      </c>
      <c r="D7752" t="s">
        <v>18108</v>
      </c>
      <c r="E7752" t="s">
        <v>25026</v>
      </c>
      <c r="F7752" t="s">
        <v>31362</v>
      </c>
      <c r="G7752" t="s">
        <v>31369</v>
      </c>
      <c r="H7752" t="s">
        <v>15799</v>
      </c>
      <c r="I7752" t="s">
        <v>7090</v>
      </c>
      <c r="J7752" t="s">
        <v>36223</v>
      </c>
      <c r="K7752" t="s">
        <v>40666</v>
      </c>
      <c r="M7752" t="s">
        <v>42635</v>
      </c>
      <c r="N7752" t="s">
        <v>44905</v>
      </c>
      <c r="O7752" t="s">
        <v>44906</v>
      </c>
      <c r="P7752">
        <v>0</v>
      </c>
      <c r="Q7752">
        <v>0</v>
      </c>
      <c r="R7752" t="s">
        <v>44910</v>
      </c>
      <c r="S7752" t="s">
        <v>45076</v>
      </c>
      <c r="T7752" t="s">
        <v>46393</v>
      </c>
      <c r="U7752" t="s">
        <v>48635</v>
      </c>
      <c r="W7752" t="s">
        <v>42635</v>
      </c>
      <c r="X7752" t="s">
        <v>44911</v>
      </c>
    </row>
    <row r="7753" spans="1:24">
      <c r="A7753">
        <f>HYPERLINK("https://www.philgeps.gov.ph/GEPSNONPILOT/Tender/SplashBidNoticeAbstractUI.aspx?menuIndex=3&amp;refID=7074654&amp;Result=3","7074654")</f>
        <v>0</v>
      </c>
      <c r="B7753" t="s">
        <v>2327</v>
      </c>
      <c r="C7753" t="s">
        <v>10917</v>
      </c>
      <c r="D7753" t="s">
        <v>18149</v>
      </c>
      <c r="E7753" t="s">
        <v>22310</v>
      </c>
      <c r="F7753" t="s">
        <v>31362</v>
      </c>
      <c r="G7753" t="s">
        <v>31369</v>
      </c>
      <c r="H7753" t="s">
        <v>31378</v>
      </c>
      <c r="I7753" t="s">
        <v>31386</v>
      </c>
      <c r="J7753" t="s">
        <v>36258</v>
      </c>
      <c r="K7753" t="s">
        <v>40675</v>
      </c>
      <c r="M7753" t="s">
        <v>43467</v>
      </c>
      <c r="N7753" t="s">
        <v>44905</v>
      </c>
      <c r="O7753" t="s">
        <v>44906</v>
      </c>
      <c r="P7753">
        <v>0</v>
      </c>
      <c r="Q7753">
        <v>1</v>
      </c>
      <c r="R7753" t="s">
        <v>44910</v>
      </c>
      <c r="S7753" t="s">
        <v>45076</v>
      </c>
      <c r="T7753" t="s">
        <v>46464</v>
      </c>
      <c r="U7753" t="s">
        <v>53179</v>
      </c>
      <c r="W7753" t="s">
        <v>43467</v>
      </c>
      <c r="X7753" t="s">
        <v>44911</v>
      </c>
    </row>
    <row r="7754" spans="1:24">
      <c r="A7754">
        <f>HYPERLINK("https://www.philgeps.gov.ph/GEPSNONPILOT/Tender/SplashBidNoticeAbstractUI.aspx?menuIndex=3&amp;refID=7074578&amp;Result=3","7074578")</f>
        <v>0</v>
      </c>
      <c r="B7754" t="s">
        <v>345</v>
      </c>
      <c r="C7754" t="s">
        <v>10918</v>
      </c>
      <c r="D7754" t="s">
        <v>18149</v>
      </c>
      <c r="E7754" t="s">
        <v>25027</v>
      </c>
      <c r="F7754" t="s">
        <v>31362</v>
      </c>
      <c r="G7754" t="s">
        <v>31369</v>
      </c>
      <c r="H7754" t="s">
        <v>31378</v>
      </c>
      <c r="I7754" t="s">
        <v>31386</v>
      </c>
      <c r="J7754" t="s">
        <v>31591</v>
      </c>
      <c r="K7754" t="s">
        <v>40675</v>
      </c>
      <c r="M7754" t="s">
        <v>41291</v>
      </c>
      <c r="N7754" t="s">
        <v>44905</v>
      </c>
      <c r="O7754" t="s">
        <v>44906</v>
      </c>
      <c r="P7754">
        <v>0</v>
      </c>
      <c r="Q7754">
        <v>0</v>
      </c>
      <c r="R7754" t="s">
        <v>44910</v>
      </c>
      <c r="S7754" t="s">
        <v>45076</v>
      </c>
      <c r="T7754" t="s">
        <v>46474</v>
      </c>
      <c r="U7754" t="s">
        <v>47513</v>
      </c>
      <c r="W7754" t="s">
        <v>41291</v>
      </c>
      <c r="X7754" t="s">
        <v>44911</v>
      </c>
    </row>
    <row r="7755" spans="1:24">
      <c r="A7755">
        <f>HYPERLINK("https://www.philgeps.gov.ph/GEPSNONPILOT/Tender/SplashBidNoticeAbstractUI.aspx?menuIndex=3&amp;refID=7074653&amp;Result=3","7074653")</f>
        <v>0</v>
      </c>
      <c r="B7755" t="s">
        <v>710</v>
      </c>
      <c r="C7755" t="s">
        <v>10919</v>
      </c>
      <c r="D7755" t="s">
        <v>18139</v>
      </c>
      <c r="E7755" t="s">
        <v>25028</v>
      </c>
      <c r="F7755" t="s">
        <v>31362</v>
      </c>
      <c r="G7755" t="s">
        <v>31369</v>
      </c>
      <c r="H7755" t="s">
        <v>15799</v>
      </c>
      <c r="I7755" t="s">
        <v>31409</v>
      </c>
      <c r="J7755" t="s">
        <v>36259</v>
      </c>
      <c r="K7755" t="s">
        <v>40662</v>
      </c>
      <c r="M7755" t="s">
        <v>41675</v>
      </c>
      <c r="N7755" t="s">
        <v>44905</v>
      </c>
      <c r="O7755" t="s">
        <v>44906</v>
      </c>
      <c r="P7755">
        <v>0</v>
      </c>
      <c r="Q7755">
        <v>2</v>
      </c>
      <c r="R7755" t="s">
        <v>44910</v>
      </c>
      <c r="S7755" t="s">
        <v>45076</v>
      </c>
      <c r="T7755" t="s">
        <v>46404</v>
      </c>
      <c r="U7755" t="s">
        <v>53180</v>
      </c>
      <c r="W7755" t="s">
        <v>41675</v>
      </c>
      <c r="X7755" t="s">
        <v>44911</v>
      </c>
    </row>
    <row r="7756" spans="1:24">
      <c r="A7756">
        <f>HYPERLINK("https://www.philgeps.gov.ph/GEPSNONPILOT/Tender/SplashBidNoticeAbstractUI.aspx?menuIndex=3&amp;refID=7074649&amp;Result=3","7074649")</f>
        <v>0</v>
      </c>
      <c r="B7756" t="s">
        <v>1647</v>
      </c>
      <c r="C7756" t="s">
        <v>10920</v>
      </c>
      <c r="D7756" t="s">
        <v>18123</v>
      </c>
      <c r="E7756" t="s">
        <v>25029</v>
      </c>
      <c r="F7756" t="s">
        <v>31362</v>
      </c>
      <c r="G7756" t="s">
        <v>31369</v>
      </c>
      <c r="H7756" t="s">
        <v>15799</v>
      </c>
      <c r="I7756" t="s">
        <v>31383</v>
      </c>
      <c r="J7756" t="s">
        <v>36260</v>
      </c>
      <c r="K7756" t="s">
        <v>40666</v>
      </c>
      <c r="M7756" t="s">
        <v>43265</v>
      </c>
      <c r="N7756" t="s">
        <v>44905</v>
      </c>
      <c r="O7756" t="s">
        <v>44906</v>
      </c>
      <c r="P7756">
        <v>0</v>
      </c>
      <c r="Q7756">
        <v>1</v>
      </c>
      <c r="R7756" t="s">
        <v>44910</v>
      </c>
      <c r="S7756" t="s">
        <v>45076</v>
      </c>
      <c r="T7756" t="s">
        <v>46426</v>
      </c>
      <c r="U7756" t="s">
        <v>53181</v>
      </c>
      <c r="V7756" t="s">
        <v>59534</v>
      </c>
      <c r="W7756" t="s">
        <v>43265</v>
      </c>
      <c r="X7756" t="s">
        <v>44911</v>
      </c>
    </row>
    <row r="7757" spans="1:24">
      <c r="A7757">
        <f>HYPERLINK("https://www.philgeps.gov.ph/GEPSNONPILOT/Tender/SplashBidNoticeAbstractUI.aspx?menuIndex=3&amp;refID=7074587&amp;Result=3","7074587")</f>
        <v>0</v>
      </c>
      <c r="B7757" t="s">
        <v>1970</v>
      </c>
      <c r="C7757" t="s">
        <v>10921</v>
      </c>
      <c r="D7757" t="s">
        <v>18106</v>
      </c>
      <c r="E7757" t="s">
        <v>25030</v>
      </c>
      <c r="F7757" t="s">
        <v>31362</v>
      </c>
      <c r="G7757" t="s">
        <v>31369</v>
      </c>
      <c r="H7757" t="s">
        <v>31378</v>
      </c>
      <c r="I7757" t="s">
        <v>31386</v>
      </c>
      <c r="J7757" t="s">
        <v>31591</v>
      </c>
      <c r="K7757" t="s">
        <v>40670</v>
      </c>
      <c r="M7757" t="s">
        <v>43077</v>
      </c>
      <c r="N7757" t="s">
        <v>44905</v>
      </c>
      <c r="O7757" t="s">
        <v>44906</v>
      </c>
      <c r="P7757">
        <v>0</v>
      </c>
      <c r="Q7757">
        <v>0</v>
      </c>
      <c r="R7757" t="s">
        <v>44910</v>
      </c>
      <c r="S7757" t="s">
        <v>45076</v>
      </c>
      <c r="T7757" t="s">
        <v>46438</v>
      </c>
      <c r="U7757" t="s">
        <v>53182</v>
      </c>
      <c r="W7757" t="s">
        <v>43077</v>
      </c>
      <c r="X7757" t="s">
        <v>44911</v>
      </c>
    </row>
    <row r="7758" spans="1:24">
      <c r="A7758">
        <f>HYPERLINK("https://www.philgeps.gov.ph/GEPSNONPILOT/Tender/SplashBidNoticeAbstractUI.aspx?menuIndex=3&amp;refID=7074645&amp;Result=3","7074645")</f>
        <v>0</v>
      </c>
      <c r="B7758" t="s">
        <v>831</v>
      </c>
      <c r="C7758" t="s">
        <v>10922</v>
      </c>
      <c r="D7758" t="s">
        <v>18108</v>
      </c>
      <c r="E7758" t="s">
        <v>25031</v>
      </c>
      <c r="F7758" t="s">
        <v>31362</v>
      </c>
      <c r="G7758" t="s">
        <v>31369</v>
      </c>
      <c r="H7758" t="s">
        <v>15799</v>
      </c>
      <c r="I7758" t="s">
        <v>31385</v>
      </c>
      <c r="J7758" t="s">
        <v>36175</v>
      </c>
      <c r="K7758" t="s">
        <v>40666</v>
      </c>
      <c r="M7758" t="s">
        <v>42635</v>
      </c>
      <c r="N7758" t="s">
        <v>44905</v>
      </c>
      <c r="O7758" t="s">
        <v>44906</v>
      </c>
      <c r="P7758">
        <v>0</v>
      </c>
      <c r="Q7758">
        <v>1</v>
      </c>
      <c r="R7758" t="s">
        <v>44910</v>
      </c>
      <c r="S7758" t="s">
        <v>45076</v>
      </c>
      <c r="T7758" t="s">
        <v>46393</v>
      </c>
      <c r="U7758" t="s">
        <v>47749</v>
      </c>
      <c r="W7758" t="s">
        <v>42635</v>
      </c>
      <c r="X7758" t="s">
        <v>44911</v>
      </c>
    </row>
    <row r="7759" spans="1:24">
      <c r="A7759">
        <f>HYPERLINK("https://www.philgeps.gov.ph/GEPSNONPILOT/Tender/SplashBidNoticeAbstractUI.aspx?menuIndex=3&amp;refID=7074650&amp;Result=3","7074650")</f>
        <v>0</v>
      </c>
      <c r="B7759" t="s">
        <v>1778</v>
      </c>
      <c r="C7759" t="s">
        <v>10923</v>
      </c>
      <c r="E7759" t="s">
        <v>18267</v>
      </c>
      <c r="F7759" t="s">
        <v>31362</v>
      </c>
      <c r="G7759" t="s">
        <v>31369</v>
      </c>
      <c r="H7759" t="s">
        <v>15799</v>
      </c>
      <c r="I7759" t="s">
        <v>31409</v>
      </c>
      <c r="J7759" t="s">
        <v>32888</v>
      </c>
      <c r="K7759" t="s">
        <v>40662</v>
      </c>
      <c r="M7759" t="s">
        <v>42858</v>
      </c>
      <c r="N7759" t="s">
        <v>44905</v>
      </c>
      <c r="O7759" t="s">
        <v>44906</v>
      </c>
      <c r="P7759">
        <v>0</v>
      </c>
      <c r="Q7759">
        <v>6</v>
      </c>
      <c r="R7759" t="s">
        <v>44910</v>
      </c>
      <c r="S7759" t="s">
        <v>45076</v>
      </c>
      <c r="T7759" t="s">
        <v>46435</v>
      </c>
      <c r="U7759" t="s">
        <v>53183</v>
      </c>
      <c r="V7759" t="s">
        <v>59821</v>
      </c>
      <c r="W7759" t="s">
        <v>42858</v>
      </c>
      <c r="X7759" t="s">
        <v>44911</v>
      </c>
    </row>
    <row r="7760" spans="1:24">
      <c r="A7760">
        <f>HYPERLINK("https://www.philgeps.gov.ph/GEPSNONPILOT/Tender/SplashBidNoticeAbstractUI.aspx?menuIndex=3&amp;refID=7074643&amp;Result=3","7074643")</f>
        <v>0</v>
      </c>
      <c r="B7760" t="s">
        <v>805</v>
      </c>
      <c r="C7760" t="s">
        <v>10924</v>
      </c>
      <c r="D7760" t="s">
        <v>18107</v>
      </c>
      <c r="E7760" t="s">
        <v>25032</v>
      </c>
      <c r="F7760" t="s">
        <v>31362</v>
      </c>
      <c r="G7760" t="s">
        <v>31369</v>
      </c>
      <c r="H7760" t="s">
        <v>15799</v>
      </c>
      <c r="I7760" t="s">
        <v>31409</v>
      </c>
      <c r="J7760" t="s">
        <v>36261</v>
      </c>
      <c r="K7760" t="s">
        <v>40682</v>
      </c>
      <c r="M7760" t="s">
        <v>41776</v>
      </c>
      <c r="N7760" t="s">
        <v>44905</v>
      </c>
      <c r="O7760" t="s">
        <v>44906</v>
      </c>
      <c r="P7760">
        <v>0</v>
      </c>
      <c r="Q7760">
        <v>4</v>
      </c>
      <c r="R7760" t="s">
        <v>44910</v>
      </c>
      <c r="S7760" t="s">
        <v>45076</v>
      </c>
      <c r="T7760" t="s">
        <v>46573</v>
      </c>
      <c r="U7760" t="s">
        <v>53184</v>
      </c>
      <c r="W7760" t="s">
        <v>41776</v>
      </c>
      <c r="X7760" t="s">
        <v>44911</v>
      </c>
    </row>
    <row r="7761" spans="1:24">
      <c r="A7761">
        <f>HYPERLINK("https://www.philgeps.gov.ph/GEPSNONPILOT/Tender/SplashBidNoticeAbstractUI.aspx?menuIndex=3&amp;refID=7074640&amp;Result=3","7074640")</f>
        <v>0</v>
      </c>
      <c r="B7761" t="s">
        <v>1733</v>
      </c>
      <c r="C7761" t="s">
        <v>10925</v>
      </c>
      <c r="D7761" t="s">
        <v>18185</v>
      </c>
      <c r="E7761" t="s">
        <v>25033</v>
      </c>
      <c r="F7761" t="s">
        <v>31362</v>
      </c>
      <c r="G7761" t="s">
        <v>31369</v>
      </c>
      <c r="H7761" t="s">
        <v>15799</v>
      </c>
      <c r="I7761" t="s">
        <v>3815</v>
      </c>
      <c r="J7761" t="s">
        <v>36262</v>
      </c>
      <c r="K7761" t="s">
        <v>40682</v>
      </c>
      <c r="M7761" t="s">
        <v>42806</v>
      </c>
      <c r="N7761" t="s">
        <v>44905</v>
      </c>
      <c r="O7761" t="s">
        <v>44906</v>
      </c>
      <c r="P7761">
        <v>0</v>
      </c>
      <c r="Q7761">
        <v>0</v>
      </c>
      <c r="R7761" t="s">
        <v>44910</v>
      </c>
      <c r="S7761" t="s">
        <v>45076</v>
      </c>
      <c r="T7761" t="s">
        <v>46447</v>
      </c>
      <c r="U7761" t="s">
        <v>53185</v>
      </c>
      <c r="W7761" t="s">
        <v>42806</v>
      </c>
      <c r="X7761" t="s">
        <v>44911</v>
      </c>
    </row>
    <row r="7762" spans="1:24">
      <c r="A7762">
        <f>HYPERLINK("https://www.philgeps.gov.ph/GEPSNONPILOT/Tender/SplashBidNoticeAbstractUI.aspx?menuIndex=3&amp;refID=7074514&amp;Result=3","7074514")</f>
        <v>0</v>
      </c>
      <c r="B7762" t="s">
        <v>91</v>
      </c>
      <c r="C7762" t="s">
        <v>10926</v>
      </c>
      <c r="D7762" t="s">
        <v>18136</v>
      </c>
      <c r="E7762" t="s">
        <v>25034</v>
      </c>
      <c r="F7762" t="s">
        <v>31362</v>
      </c>
      <c r="G7762" t="s">
        <v>31369</v>
      </c>
      <c r="H7762" t="s">
        <v>15799</v>
      </c>
      <c r="I7762" t="s">
        <v>31404</v>
      </c>
      <c r="J7762" t="s">
        <v>36263</v>
      </c>
      <c r="K7762" t="s">
        <v>40661</v>
      </c>
      <c r="M7762" t="s">
        <v>41028</v>
      </c>
      <c r="N7762" t="s">
        <v>44905</v>
      </c>
      <c r="O7762" t="s">
        <v>44906</v>
      </c>
      <c r="P7762">
        <v>0</v>
      </c>
      <c r="Q7762">
        <v>0</v>
      </c>
      <c r="R7762" t="s">
        <v>44910</v>
      </c>
      <c r="S7762" t="s">
        <v>45076</v>
      </c>
      <c r="T7762" t="s">
        <v>46418</v>
      </c>
      <c r="U7762" t="s">
        <v>53186</v>
      </c>
      <c r="W7762" t="s">
        <v>41028</v>
      </c>
      <c r="X7762" t="s">
        <v>44911</v>
      </c>
    </row>
    <row r="7763" spans="1:24">
      <c r="A7763">
        <f>HYPERLINK("https://www.philgeps.gov.ph/GEPSNONPILOT/Tender/SplashBidNoticeAbstractUI.aspx?menuIndex=3&amp;refID=7074630&amp;Result=3","7074630")</f>
        <v>0</v>
      </c>
      <c r="B7763" t="s">
        <v>91</v>
      </c>
      <c r="C7763" t="s">
        <v>10927</v>
      </c>
      <c r="D7763" t="s">
        <v>18136</v>
      </c>
      <c r="E7763" t="s">
        <v>25035</v>
      </c>
      <c r="F7763" t="s">
        <v>31362</v>
      </c>
      <c r="G7763" t="s">
        <v>31369</v>
      </c>
      <c r="H7763" t="s">
        <v>15799</v>
      </c>
      <c r="I7763" t="s">
        <v>31411</v>
      </c>
      <c r="J7763" t="s">
        <v>34248</v>
      </c>
      <c r="K7763" t="s">
        <v>40661</v>
      </c>
      <c r="M7763" t="s">
        <v>41028</v>
      </c>
      <c r="N7763" t="s">
        <v>44905</v>
      </c>
      <c r="O7763" t="s">
        <v>44906</v>
      </c>
      <c r="P7763">
        <v>0</v>
      </c>
      <c r="Q7763">
        <v>1</v>
      </c>
      <c r="R7763" t="s">
        <v>44910</v>
      </c>
      <c r="S7763" t="s">
        <v>45076</v>
      </c>
      <c r="T7763" t="s">
        <v>46418</v>
      </c>
      <c r="U7763" t="s">
        <v>53187</v>
      </c>
      <c r="W7763" t="s">
        <v>41028</v>
      </c>
      <c r="X7763" t="s">
        <v>44911</v>
      </c>
    </row>
    <row r="7764" spans="1:24">
      <c r="A7764">
        <f>HYPERLINK("https://www.philgeps.gov.ph/GEPSNONPILOT/Tender/SplashBidNoticeAbstractUI.aspx?menuIndex=3&amp;refID=7074583&amp;Result=3","7074583")</f>
        <v>0</v>
      </c>
      <c r="B7764" t="s">
        <v>2316</v>
      </c>
      <c r="C7764" t="s">
        <v>10928</v>
      </c>
      <c r="D7764" t="s">
        <v>18160</v>
      </c>
      <c r="E7764" t="s">
        <v>18818</v>
      </c>
      <c r="F7764" t="s">
        <v>31362</v>
      </c>
      <c r="G7764" t="s">
        <v>31368</v>
      </c>
      <c r="H7764" t="s">
        <v>15799</v>
      </c>
      <c r="I7764" t="s">
        <v>31383</v>
      </c>
      <c r="J7764" t="s">
        <v>32065</v>
      </c>
      <c r="K7764" t="s">
        <v>40715</v>
      </c>
      <c r="M7764" t="s">
        <v>43456</v>
      </c>
      <c r="N7764" t="s">
        <v>44905</v>
      </c>
      <c r="O7764" t="s">
        <v>44906</v>
      </c>
      <c r="P7764">
        <v>0</v>
      </c>
      <c r="Q7764">
        <v>0</v>
      </c>
      <c r="R7764" t="s">
        <v>44910</v>
      </c>
      <c r="S7764" t="s">
        <v>45076</v>
      </c>
      <c r="T7764" t="s">
        <v>46414</v>
      </c>
      <c r="U7764" t="s">
        <v>53188</v>
      </c>
      <c r="W7764" t="s">
        <v>43456</v>
      </c>
      <c r="X7764" t="s">
        <v>44911</v>
      </c>
    </row>
    <row r="7765" spans="1:24">
      <c r="A7765">
        <f>HYPERLINK("https://www.philgeps.gov.ph/GEPSNONPILOT/Tender/SplashBidNoticeAbstractUI.aspx?menuIndex=3&amp;refID=7074663&amp;Result=3","7074663")</f>
        <v>0</v>
      </c>
      <c r="B7765" t="s">
        <v>2188</v>
      </c>
      <c r="C7765" t="s">
        <v>10929</v>
      </c>
      <c r="D7765" t="s">
        <v>18119</v>
      </c>
      <c r="E7765" t="s">
        <v>25036</v>
      </c>
      <c r="F7765" t="s">
        <v>31362</v>
      </c>
      <c r="G7765" t="s">
        <v>31370</v>
      </c>
      <c r="H7765" t="s">
        <v>15799</v>
      </c>
      <c r="I7765" t="s">
        <v>4283</v>
      </c>
      <c r="J7765" t="s">
        <v>34425</v>
      </c>
      <c r="K7765" t="s">
        <v>40661</v>
      </c>
      <c r="M7765" t="s">
        <v>43319</v>
      </c>
      <c r="N7765" t="s">
        <v>44905</v>
      </c>
      <c r="O7765" t="s">
        <v>44906</v>
      </c>
      <c r="P7765">
        <v>0</v>
      </c>
      <c r="Q7765">
        <v>2</v>
      </c>
      <c r="R7765" t="s">
        <v>44910</v>
      </c>
      <c r="S7765" t="s">
        <v>45076</v>
      </c>
      <c r="T7765" t="s">
        <v>46393</v>
      </c>
      <c r="U7765" t="s">
        <v>53189</v>
      </c>
      <c r="W7765" t="s">
        <v>43319</v>
      </c>
      <c r="X7765" t="s">
        <v>44911</v>
      </c>
    </row>
    <row r="7766" spans="1:24">
      <c r="A7766">
        <f>HYPERLINK("https://www.philgeps.gov.ph/GEPSNONPILOT/Tender/SplashBidNoticeAbstractUI.aspx?menuIndex=3&amp;refID=7074625&amp;Result=3","7074625")</f>
        <v>0</v>
      </c>
      <c r="B7766" t="s">
        <v>2316</v>
      </c>
      <c r="C7766" t="s">
        <v>10930</v>
      </c>
      <c r="D7766" t="s">
        <v>18160</v>
      </c>
      <c r="E7766" t="s">
        <v>18818</v>
      </c>
      <c r="F7766" t="s">
        <v>31362</v>
      </c>
      <c r="G7766" t="s">
        <v>31368</v>
      </c>
      <c r="H7766" t="s">
        <v>15799</v>
      </c>
      <c r="I7766" t="s">
        <v>31468</v>
      </c>
      <c r="J7766" t="s">
        <v>31866</v>
      </c>
      <c r="K7766" t="s">
        <v>40715</v>
      </c>
      <c r="M7766" t="s">
        <v>43456</v>
      </c>
      <c r="N7766" t="s">
        <v>44905</v>
      </c>
      <c r="O7766" t="s">
        <v>44906</v>
      </c>
      <c r="P7766">
        <v>0</v>
      </c>
      <c r="Q7766">
        <v>1</v>
      </c>
      <c r="R7766" t="s">
        <v>44910</v>
      </c>
      <c r="S7766" t="s">
        <v>45076</v>
      </c>
      <c r="T7766" t="s">
        <v>46414</v>
      </c>
      <c r="U7766" t="s">
        <v>53190</v>
      </c>
      <c r="W7766" t="s">
        <v>43456</v>
      </c>
      <c r="X7766" t="s">
        <v>44911</v>
      </c>
    </row>
    <row r="7767" spans="1:24">
      <c r="A7767">
        <f>HYPERLINK("https://www.philgeps.gov.ph/GEPSNONPILOT/Tender/SplashBidNoticeAbstractUI.aspx?menuIndex=3&amp;refID=7074638&amp;Result=3","7074638")</f>
        <v>0</v>
      </c>
      <c r="B7767" t="s">
        <v>2323</v>
      </c>
      <c r="C7767" t="s">
        <v>10890</v>
      </c>
      <c r="D7767" t="s">
        <v>18103</v>
      </c>
      <c r="E7767" t="s">
        <v>25037</v>
      </c>
      <c r="F7767" t="s">
        <v>31363</v>
      </c>
      <c r="G7767" t="s">
        <v>31370</v>
      </c>
      <c r="H7767" t="s">
        <v>15799</v>
      </c>
      <c r="I7767" t="s">
        <v>31470</v>
      </c>
      <c r="J7767" t="s">
        <v>36264</v>
      </c>
      <c r="K7767" t="s">
        <v>40661</v>
      </c>
      <c r="M7767" t="s">
        <v>43463</v>
      </c>
      <c r="N7767" t="s">
        <v>44905</v>
      </c>
      <c r="O7767" t="s">
        <v>44906</v>
      </c>
      <c r="P7767">
        <v>0</v>
      </c>
      <c r="Q7767">
        <v>2</v>
      </c>
      <c r="R7767" t="s">
        <v>44910</v>
      </c>
      <c r="S7767" t="s">
        <v>45076</v>
      </c>
      <c r="T7767" t="s">
        <v>46580</v>
      </c>
      <c r="U7767" t="s">
        <v>53159</v>
      </c>
      <c r="W7767" t="s">
        <v>43463</v>
      </c>
      <c r="X7767" t="s">
        <v>44911</v>
      </c>
    </row>
    <row r="7768" spans="1:24">
      <c r="A7768">
        <f>HYPERLINK("https://www.philgeps.gov.ph/GEPSNONPILOT/Tender/SplashBidNoticeAbstractUI.aspx?menuIndex=3&amp;refID=7074619&amp;Result=3","7074619")</f>
        <v>0</v>
      </c>
      <c r="B7768" t="s">
        <v>2328</v>
      </c>
      <c r="C7768" t="s">
        <v>10931</v>
      </c>
      <c r="D7768" t="s">
        <v>18103</v>
      </c>
      <c r="E7768" t="s">
        <v>25038</v>
      </c>
      <c r="F7768" t="s">
        <v>31364</v>
      </c>
      <c r="G7768" t="s">
        <v>31370</v>
      </c>
      <c r="H7768" t="s">
        <v>15799</v>
      </c>
      <c r="I7768" t="s">
        <v>6373</v>
      </c>
      <c r="J7768" t="s">
        <v>36265</v>
      </c>
      <c r="K7768" t="s">
        <v>40662</v>
      </c>
      <c r="M7768" t="s">
        <v>43468</v>
      </c>
      <c r="N7768" t="s">
        <v>44905</v>
      </c>
      <c r="O7768" t="s">
        <v>44906</v>
      </c>
      <c r="P7768">
        <v>0</v>
      </c>
      <c r="Q7768">
        <v>3</v>
      </c>
      <c r="R7768" t="s">
        <v>44910</v>
      </c>
      <c r="S7768" t="s">
        <v>45076</v>
      </c>
      <c r="T7768" t="s">
        <v>46438</v>
      </c>
      <c r="U7768" t="s">
        <v>53191</v>
      </c>
      <c r="W7768" t="s">
        <v>43468</v>
      </c>
      <c r="X7768" t="s">
        <v>44911</v>
      </c>
    </row>
    <row r="7769" spans="1:24">
      <c r="A7769">
        <f>HYPERLINK("https://www.philgeps.gov.ph/GEPSNONPILOT/Tender/SplashBidNoticeAbstractUI.aspx?menuIndex=3&amp;refID=7074644&amp;Result=3","7074644")</f>
        <v>0</v>
      </c>
      <c r="B7769" t="s">
        <v>2261</v>
      </c>
      <c r="C7769" t="s">
        <v>10932</v>
      </c>
      <c r="D7769" t="s">
        <v>18162</v>
      </c>
      <c r="E7769" t="s">
        <v>25039</v>
      </c>
      <c r="F7769" t="s">
        <v>31362</v>
      </c>
      <c r="G7769" t="s">
        <v>31368</v>
      </c>
      <c r="H7769" t="s">
        <v>15799</v>
      </c>
      <c r="I7769" t="s">
        <v>31385</v>
      </c>
      <c r="J7769" t="s">
        <v>36266</v>
      </c>
      <c r="K7769" t="s">
        <v>40670</v>
      </c>
      <c r="M7769" t="s">
        <v>43400</v>
      </c>
      <c r="N7769" t="s">
        <v>44905</v>
      </c>
      <c r="O7769" t="s">
        <v>44906</v>
      </c>
      <c r="Q7769">
        <v>1</v>
      </c>
      <c r="R7769" t="s">
        <v>44910</v>
      </c>
      <c r="S7769" t="s">
        <v>45107</v>
      </c>
      <c r="T7769" t="s">
        <v>46432</v>
      </c>
      <c r="U7769" t="s">
        <v>53192</v>
      </c>
      <c r="W7769" t="s">
        <v>43400</v>
      </c>
      <c r="X7769" t="s">
        <v>44911</v>
      </c>
    </row>
    <row r="7770" spans="1:24">
      <c r="A7770">
        <f>HYPERLINK("https://www.philgeps.gov.ph/GEPSNONPILOT/Tender/SplashBidNoticeAbstractUI.aspx?menuIndex=3&amp;refID=7074623&amp;Result=3","7074623")</f>
        <v>0</v>
      </c>
      <c r="B7770" t="s">
        <v>1716</v>
      </c>
      <c r="C7770" t="s">
        <v>10933</v>
      </c>
      <c r="D7770" t="s">
        <v>18101</v>
      </c>
      <c r="E7770" t="s">
        <v>25040</v>
      </c>
      <c r="F7770" t="s">
        <v>31362</v>
      </c>
      <c r="G7770" t="s">
        <v>31369</v>
      </c>
      <c r="H7770" t="s">
        <v>15799</v>
      </c>
      <c r="I7770" t="s">
        <v>31397</v>
      </c>
      <c r="J7770" t="s">
        <v>31738</v>
      </c>
      <c r="K7770" t="s">
        <v>40662</v>
      </c>
      <c r="M7770" t="s">
        <v>42784</v>
      </c>
      <c r="N7770" t="s">
        <v>44905</v>
      </c>
      <c r="O7770" t="s">
        <v>44906</v>
      </c>
      <c r="P7770">
        <v>0</v>
      </c>
      <c r="Q7770">
        <v>1</v>
      </c>
      <c r="R7770" t="s">
        <v>44910</v>
      </c>
      <c r="S7770" t="s">
        <v>45076</v>
      </c>
      <c r="T7770" t="s">
        <v>46692</v>
      </c>
      <c r="U7770" t="s">
        <v>53193</v>
      </c>
      <c r="V7770" t="s">
        <v>59231</v>
      </c>
      <c r="W7770" t="s">
        <v>42784</v>
      </c>
      <c r="X7770" t="s">
        <v>44911</v>
      </c>
    </row>
    <row r="7771" spans="1:24">
      <c r="A7771">
        <f>HYPERLINK("https://www.philgeps.gov.ph/GEPSNONPILOT/Tender/SplashBidNoticeAbstractUI.aspx?menuIndex=3&amp;refID=7074616&amp;Result=3","7074616")</f>
        <v>0</v>
      </c>
      <c r="B7771" t="s">
        <v>1733</v>
      </c>
      <c r="C7771" t="s">
        <v>10934</v>
      </c>
      <c r="D7771" t="s">
        <v>18185</v>
      </c>
      <c r="E7771" t="s">
        <v>25041</v>
      </c>
      <c r="F7771" t="s">
        <v>31362</v>
      </c>
      <c r="G7771" t="s">
        <v>31369</v>
      </c>
      <c r="H7771" t="s">
        <v>15799</v>
      </c>
      <c r="I7771" t="s">
        <v>31404</v>
      </c>
      <c r="J7771" t="s">
        <v>31687</v>
      </c>
      <c r="K7771" t="s">
        <v>40682</v>
      </c>
      <c r="M7771" t="s">
        <v>42806</v>
      </c>
      <c r="N7771" t="s">
        <v>44905</v>
      </c>
      <c r="O7771" t="s">
        <v>44906</v>
      </c>
      <c r="P7771">
        <v>0</v>
      </c>
      <c r="Q7771">
        <v>0</v>
      </c>
      <c r="R7771" t="s">
        <v>44910</v>
      </c>
      <c r="S7771" t="s">
        <v>45076</v>
      </c>
      <c r="T7771" t="s">
        <v>46447</v>
      </c>
      <c r="U7771" t="s">
        <v>53194</v>
      </c>
      <c r="W7771" t="s">
        <v>42806</v>
      </c>
      <c r="X7771" t="s">
        <v>44911</v>
      </c>
    </row>
    <row r="7772" spans="1:24">
      <c r="A7772">
        <f>HYPERLINK("https://www.philgeps.gov.ph/GEPSNONPILOT/Tender/SplashBidNoticeAbstractUI.aspx?menuIndex=3&amp;refID=7074629&amp;Result=3","7074629")</f>
        <v>0</v>
      </c>
      <c r="B7772" t="s">
        <v>2313</v>
      </c>
      <c r="C7772" t="s">
        <v>10935</v>
      </c>
      <c r="D7772" t="s">
        <v>18112</v>
      </c>
      <c r="E7772" t="s">
        <v>25042</v>
      </c>
      <c r="F7772" t="s">
        <v>31362</v>
      </c>
      <c r="G7772" t="s">
        <v>31368</v>
      </c>
      <c r="H7772" t="s">
        <v>15799</v>
      </c>
      <c r="I7772" t="s">
        <v>31506</v>
      </c>
      <c r="J7772" t="s">
        <v>31536</v>
      </c>
      <c r="K7772" t="s">
        <v>40670</v>
      </c>
      <c r="M7772" t="s">
        <v>43453</v>
      </c>
      <c r="N7772" t="s">
        <v>44905</v>
      </c>
      <c r="O7772" t="s">
        <v>44906</v>
      </c>
      <c r="P7772">
        <v>0</v>
      </c>
      <c r="Q7772">
        <v>0</v>
      </c>
      <c r="R7772" t="s">
        <v>44910</v>
      </c>
      <c r="S7772" t="s">
        <v>45076</v>
      </c>
      <c r="T7772" t="s">
        <v>46427</v>
      </c>
      <c r="U7772" t="s">
        <v>53195</v>
      </c>
      <c r="W7772" t="s">
        <v>43453</v>
      </c>
      <c r="X7772" t="s">
        <v>44911</v>
      </c>
    </row>
    <row r="7773" spans="1:24">
      <c r="A7773">
        <f>HYPERLINK("https://www.philgeps.gov.ph/GEPSNONPILOT/Tender/SplashBidNoticeAbstractUI.aspx?menuIndex=3&amp;refID=7074550&amp;Result=3","7074550")</f>
        <v>0</v>
      </c>
      <c r="B7773" t="s">
        <v>255</v>
      </c>
      <c r="C7773" t="s">
        <v>10936</v>
      </c>
      <c r="E7773" t="s">
        <v>25043</v>
      </c>
      <c r="F7773" t="s">
        <v>31362</v>
      </c>
      <c r="G7773" t="s">
        <v>31368</v>
      </c>
      <c r="H7773" t="s">
        <v>15799</v>
      </c>
      <c r="I7773" t="s">
        <v>31385</v>
      </c>
      <c r="J7773" t="s">
        <v>36267</v>
      </c>
      <c r="K7773" t="s">
        <v>40662</v>
      </c>
      <c r="M7773" t="s">
        <v>43340</v>
      </c>
      <c r="N7773" t="s">
        <v>44905</v>
      </c>
      <c r="O7773" t="s">
        <v>44906</v>
      </c>
      <c r="P7773">
        <v>0</v>
      </c>
      <c r="Q7773">
        <v>0</v>
      </c>
      <c r="R7773" t="s">
        <v>44910</v>
      </c>
      <c r="S7773" t="s">
        <v>45076</v>
      </c>
      <c r="T7773" t="s">
        <v>46428</v>
      </c>
      <c r="U7773" t="s">
        <v>52824</v>
      </c>
      <c r="W7773" t="s">
        <v>43340</v>
      </c>
      <c r="X7773" t="s">
        <v>44911</v>
      </c>
    </row>
    <row r="7774" spans="1:24">
      <c r="A7774">
        <f>HYPERLINK("https://www.philgeps.gov.ph/GEPSNONPILOT/Tender/SplashBidNoticeAbstractUI.aspx?menuIndex=3&amp;refID=7074710&amp;Result=3","7074710")</f>
        <v>0</v>
      </c>
      <c r="B7774" t="s">
        <v>2329</v>
      </c>
      <c r="C7774" t="s">
        <v>10937</v>
      </c>
      <c r="D7774" t="s">
        <v>18158</v>
      </c>
      <c r="E7774" t="s">
        <v>24896</v>
      </c>
      <c r="F7774" t="s">
        <v>31362</v>
      </c>
      <c r="G7774" t="s">
        <v>31369</v>
      </c>
      <c r="H7774" t="s">
        <v>31378</v>
      </c>
      <c r="I7774" t="s">
        <v>3815</v>
      </c>
      <c r="J7774" t="s">
        <v>31536</v>
      </c>
      <c r="K7774" t="s">
        <v>40662</v>
      </c>
      <c r="M7774" t="s">
        <v>43469</v>
      </c>
      <c r="N7774" t="s">
        <v>44905</v>
      </c>
      <c r="O7774" t="s">
        <v>44906</v>
      </c>
      <c r="P7774">
        <v>0</v>
      </c>
      <c r="Q7774">
        <v>0</v>
      </c>
      <c r="R7774" t="s">
        <v>44910</v>
      </c>
      <c r="S7774" t="s">
        <v>45076</v>
      </c>
      <c r="T7774" t="s">
        <v>46425</v>
      </c>
      <c r="U7774" t="s">
        <v>53196</v>
      </c>
      <c r="W7774" t="s">
        <v>43469</v>
      </c>
      <c r="X7774" t="s">
        <v>44911</v>
      </c>
    </row>
    <row r="7775" spans="1:24">
      <c r="A7775">
        <f>HYPERLINK("https://www.philgeps.gov.ph/GEPSNONPILOT/Tender/SplashBidNoticeAbstractUI.aspx?menuIndex=3&amp;refID=7074620&amp;Result=3","7074620")</f>
        <v>0</v>
      </c>
      <c r="B7775" t="s">
        <v>347</v>
      </c>
      <c r="C7775" t="s">
        <v>10938</v>
      </c>
      <c r="D7775" t="s">
        <v>18120</v>
      </c>
      <c r="E7775" t="s">
        <v>24976</v>
      </c>
      <c r="F7775" t="s">
        <v>31362</v>
      </c>
      <c r="G7775" t="s">
        <v>31369</v>
      </c>
      <c r="H7775" t="s">
        <v>15799</v>
      </c>
      <c r="I7775" t="s">
        <v>3815</v>
      </c>
      <c r="J7775" t="s">
        <v>36268</v>
      </c>
      <c r="K7775" t="s">
        <v>40666</v>
      </c>
      <c r="M7775" t="s">
        <v>41293</v>
      </c>
      <c r="N7775" t="s">
        <v>44905</v>
      </c>
      <c r="O7775" t="s">
        <v>44906</v>
      </c>
      <c r="P7775">
        <v>0</v>
      </c>
      <c r="Q7775">
        <v>1</v>
      </c>
      <c r="R7775" t="s">
        <v>44910</v>
      </c>
      <c r="S7775" t="s">
        <v>45076</v>
      </c>
      <c r="T7775" t="s">
        <v>46467</v>
      </c>
      <c r="U7775" t="s">
        <v>53133</v>
      </c>
      <c r="W7775" t="s">
        <v>41293</v>
      </c>
      <c r="X7775" t="s">
        <v>44911</v>
      </c>
    </row>
    <row r="7776" spans="1:24">
      <c r="A7776">
        <f>HYPERLINK("https://www.philgeps.gov.ph/GEPSNONPILOT/Tender/SplashBidNoticeAbstractUI.aspx?menuIndex=3&amp;refID=7074703&amp;Result=3","7074703")</f>
        <v>0</v>
      </c>
      <c r="B7776" t="s">
        <v>1655</v>
      </c>
      <c r="C7776" t="s">
        <v>10939</v>
      </c>
      <c r="D7776" t="s">
        <v>18136</v>
      </c>
      <c r="E7776" t="s">
        <v>25044</v>
      </c>
      <c r="F7776" t="s">
        <v>31362</v>
      </c>
      <c r="G7776" t="s">
        <v>31368</v>
      </c>
      <c r="H7776" t="s">
        <v>15799</v>
      </c>
      <c r="I7776" t="s">
        <v>31404</v>
      </c>
      <c r="J7776" t="s">
        <v>36269</v>
      </c>
      <c r="K7776" t="s">
        <v>40661</v>
      </c>
      <c r="M7776" t="s">
        <v>43362</v>
      </c>
      <c r="N7776" t="s">
        <v>44905</v>
      </c>
      <c r="O7776" t="s">
        <v>44906</v>
      </c>
      <c r="P7776">
        <v>0</v>
      </c>
      <c r="Q7776">
        <v>0</v>
      </c>
      <c r="R7776" t="s">
        <v>44910</v>
      </c>
      <c r="S7776" t="s">
        <v>45076</v>
      </c>
      <c r="T7776" t="s">
        <v>46425</v>
      </c>
      <c r="U7776" t="s">
        <v>53197</v>
      </c>
      <c r="W7776" t="s">
        <v>43362</v>
      </c>
      <c r="X7776" t="s">
        <v>44911</v>
      </c>
    </row>
    <row r="7777" spans="1:24">
      <c r="A7777">
        <f>HYPERLINK("https://www.philgeps.gov.ph/GEPSNONPILOT/Tender/SplashBidNoticeAbstractUI.aspx?menuIndex=3&amp;refID=7074584&amp;Result=3","7074584")</f>
        <v>0</v>
      </c>
      <c r="B7777" t="s">
        <v>1270</v>
      </c>
      <c r="C7777" t="s">
        <v>10940</v>
      </c>
      <c r="D7777" t="s">
        <v>18176</v>
      </c>
      <c r="E7777" t="s">
        <v>25045</v>
      </c>
      <c r="F7777" t="s">
        <v>31362</v>
      </c>
      <c r="G7777" t="s">
        <v>31368</v>
      </c>
      <c r="H7777" t="s">
        <v>15799</v>
      </c>
      <c r="I7777" t="s">
        <v>4057</v>
      </c>
      <c r="J7777" t="s">
        <v>36270</v>
      </c>
      <c r="K7777" t="s">
        <v>40698</v>
      </c>
      <c r="M7777" t="s">
        <v>42287</v>
      </c>
      <c r="N7777" t="s">
        <v>44905</v>
      </c>
      <c r="O7777" t="s">
        <v>44906</v>
      </c>
      <c r="P7777">
        <v>0</v>
      </c>
      <c r="Q7777">
        <v>0</v>
      </c>
      <c r="R7777" t="s">
        <v>44910</v>
      </c>
      <c r="S7777" t="s">
        <v>45076</v>
      </c>
      <c r="T7777" t="s">
        <v>46438</v>
      </c>
      <c r="U7777" t="s">
        <v>49706</v>
      </c>
      <c r="W7777" t="s">
        <v>42287</v>
      </c>
      <c r="X7777" t="s">
        <v>44911</v>
      </c>
    </row>
    <row r="7778" spans="1:24">
      <c r="A7778">
        <f>HYPERLINK("https://www.philgeps.gov.ph/GEPSNONPILOT/Tender/SplashBidNoticeAbstractUI.aspx?menuIndex=3&amp;refID=7074702&amp;Result=3","7074702")</f>
        <v>0</v>
      </c>
      <c r="B7778" t="s">
        <v>197</v>
      </c>
      <c r="C7778" t="s">
        <v>10941</v>
      </c>
      <c r="E7778" t="s">
        <v>25046</v>
      </c>
      <c r="F7778" t="s">
        <v>31362</v>
      </c>
      <c r="G7778" t="s">
        <v>31368</v>
      </c>
      <c r="H7778" t="s">
        <v>15799</v>
      </c>
      <c r="I7778" t="s">
        <v>31393</v>
      </c>
      <c r="J7778" t="s">
        <v>36271</v>
      </c>
      <c r="K7778" t="s">
        <v>40662</v>
      </c>
      <c r="M7778" t="s">
        <v>41559</v>
      </c>
      <c r="N7778" t="s">
        <v>44905</v>
      </c>
      <c r="O7778" t="s">
        <v>44906</v>
      </c>
      <c r="P7778">
        <v>0</v>
      </c>
      <c r="Q7778">
        <v>3</v>
      </c>
      <c r="R7778" t="s">
        <v>44910</v>
      </c>
      <c r="S7778" t="s">
        <v>45076</v>
      </c>
      <c r="T7778" t="s">
        <v>46406</v>
      </c>
      <c r="U7778" t="s">
        <v>53198</v>
      </c>
      <c r="W7778" t="s">
        <v>41559</v>
      </c>
      <c r="X7778" t="s">
        <v>44911</v>
      </c>
    </row>
    <row r="7779" spans="1:24">
      <c r="A7779">
        <f>HYPERLINK("https://www.philgeps.gov.ph/GEPSNONPILOT/Tender/SplashBidNoticeAbstractUI.aspx?menuIndex=3&amp;refID=7074696&amp;Result=3","7074696")</f>
        <v>0</v>
      </c>
      <c r="B7779" t="s">
        <v>831</v>
      </c>
      <c r="C7779" t="s">
        <v>10942</v>
      </c>
      <c r="D7779" t="s">
        <v>18108</v>
      </c>
      <c r="E7779" t="s">
        <v>25047</v>
      </c>
      <c r="F7779" t="s">
        <v>31362</v>
      </c>
      <c r="G7779" t="s">
        <v>31369</v>
      </c>
      <c r="H7779" t="s">
        <v>15799</v>
      </c>
      <c r="I7779" t="s">
        <v>7090</v>
      </c>
      <c r="J7779" t="s">
        <v>36005</v>
      </c>
      <c r="K7779" t="s">
        <v>40666</v>
      </c>
      <c r="M7779" t="s">
        <v>42635</v>
      </c>
      <c r="N7779" t="s">
        <v>44905</v>
      </c>
      <c r="O7779" t="s">
        <v>44906</v>
      </c>
      <c r="P7779">
        <v>0</v>
      </c>
      <c r="Q7779">
        <v>0</v>
      </c>
      <c r="R7779" t="s">
        <v>44910</v>
      </c>
      <c r="S7779" t="s">
        <v>45076</v>
      </c>
      <c r="T7779" t="s">
        <v>46393</v>
      </c>
      <c r="U7779" t="s">
        <v>48635</v>
      </c>
      <c r="W7779" t="s">
        <v>42635</v>
      </c>
      <c r="X7779" t="s">
        <v>44911</v>
      </c>
    </row>
    <row r="7780" spans="1:24">
      <c r="A7780">
        <f>HYPERLINK("https://www.philgeps.gov.ph/GEPSNONPILOT/Tender/SplashBidNoticeAbstractUI.aspx?menuIndex=3&amp;refID=7074691&amp;Result=3","7074691")</f>
        <v>0</v>
      </c>
      <c r="B7780" t="s">
        <v>2330</v>
      </c>
      <c r="C7780" t="s">
        <v>10943</v>
      </c>
      <c r="E7780" t="s">
        <v>25048</v>
      </c>
      <c r="F7780" t="s">
        <v>31362</v>
      </c>
      <c r="G7780" t="s">
        <v>31369</v>
      </c>
      <c r="H7780" t="s">
        <v>15799</v>
      </c>
      <c r="I7780" t="s">
        <v>31390</v>
      </c>
      <c r="J7780" t="s">
        <v>31578</v>
      </c>
      <c r="K7780" t="s">
        <v>40662</v>
      </c>
      <c r="M7780" t="s">
        <v>43470</v>
      </c>
      <c r="N7780" t="s">
        <v>44905</v>
      </c>
      <c r="O7780" t="s">
        <v>44906</v>
      </c>
      <c r="P7780">
        <v>0</v>
      </c>
      <c r="Q7780">
        <v>1</v>
      </c>
      <c r="R7780" t="s">
        <v>44910</v>
      </c>
      <c r="S7780" t="s">
        <v>45076</v>
      </c>
      <c r="T7780" t="s">
        <v>46416</v>
      </c>
      <c r="U7780" t="s">
        <v>53199</v>
      </c>
      <c r="W7780" t="s">
        <v>43470</v>
      </c>
      <c r="X7780" t="s">
        <v>44911</v>
      </c>
    </row>
    <row r="7781" spans="1:24">
      <c r="A7781">
        <f>HYPERLINK("https://www.philgeps.gov.ph/GEPSNONPILOT/Tender/SplashBidNoticeAbstractUI.aspx?menuIndex=3&amp;refID=7074632&amp;Result=3","7074632")</f>
        <v>0</v>
      </c>
      <c r="B7781" t="s">
        <v>2326</v>
      </c>
      <c r="C7781" t="s">
        <v>10944</v>
      </c>
      <c r="D7781" t="s">
        <v>18104</v>
      </c>
      <c r="E7781" t="s">
        <v>25049</v>
      </c>
      <c r="F7781" t="s">
        <v>31362</v>
      </c>
      <c r="G7781" t="s">
        <v>31369</v>
      </c>
      <c r="H7781" t="s">
        <v>31378</v>
      </c>
      <c r="I7781" t="s">
        <v>31386</v>
      </c>
      <c r="J7781" t="s">
        <v>36272</v>
      </c>
      <c r="K7781" t="s">
        <v>40679</v>
      </c>
      <c r="M7781" t="s">
        <v>43466</v>
      </c>
      <c r="N7781" t="s">
        <v>44905</v>
      </c>
      <c r="O7781" t="s">
        <v>44906</v>
      </c>
      <c r="P7781">
        <v>0</v>
      </c>
      <c r="Q7781">
        <v>0</v>
      </c>
      <c r="R7781" t="s">
        <v>44910</v>
      </c>
      <c r="S7781" t="s">
        <v>45076</v>
      </c>
      <c r="T7781" t="s">
        <v>46626</v>
      </c>
      <c r="U7781" t="s">
        <v>53200</v>
      </c>
      <c r="W7781" t="s">
        <v>43466</v>
      </c>
      <c r="X7781" t="s">
        <v>44911</v>
      </c>
    </row>
    <row r="7782" spans="1:24">
      <c r="A7782">
        <f>HYPERLINK("https://www.philgeps.gov.ph/GEPSNONPILOT/Tender/SplashBidNoticeAbstractUI.aspx?menuIndex=3&amp;refID=7074707&amp;Result=3","7074707")</f>
        <v>0</v>
      </c>
      <c r="B7782" t="s">
        <v>2315</v>
      </c>
      <c r="C7782" t="s">
        <v>10945</v>
      </c>
      <c r="D7782" t="s">
        <v>18108</v>
      </c>
      <c r="E7782" t="s">
        <v>25050</v>
      </c>
      <c r="F7782" t="s">
        <v>31362</v>
      </c>
      <c r="G7782" t="s">
        <v>31368</v>
      </c>
      <c r="H7782" t="s">
        <v>15799</v>
      </c>
      <c r="I7782" t="s">
        <v>31388</v>
      </c>
      <c r="J7782" t="s">
        <v>31890</v>
      </c>
      <c r="K7782" t="s">
        <v>40699</v>
      </c>
      <c r="M7782" t="s">
        <v>43455</v>
      </c>
      <c r="N7782" t="s">
        <v>44905</v>
      </c>
      <c r="O7782" t="s">
        <v>44906</v>
      </c>
      <c r="P7782">
        <v>0</v>
      </c>
      <c r="Q7782">
        <v>0</v>
      </c>
      <c r="R7782" t="s">
        <v>44910</v>
      </c>
      <c r="S7782" t="s">
        <v>45076</v>
      </c>
      <c r="T7782" t="s">
        <v>46438</v>
      </c>
      <c r="U7782" t="s">
        <v>53201</v>
      </c>
      <c r="W7782" t="s">
        <v>43455</v>
      </c>
      <c r="X7782" t="s">
        <v>44911</v>
      </c>
    </row>
    <row r="7783" spans="1:24">
      <c r="A7783">
        <f>HYPERLINK("https://www.philgeps.gov.ph/GEPSNONPILOT/Tender/SplashBidNoticeAbstractUI.aspx?menuIndex=3&amp;refID=7074685&amp;Result=3","7074685")</f>
        <v>0</v>
      </c>
      <c r="B7783" t="s">
        <v>2331</v>
      </c>
      <c r="C7783" t="s">
        <v>10946</v>
      </c>
      <c r="D7783" t="s">
        <v>18131</v>
      </c>
      <c r="E7783" t="s">
        <v>25051</v>
      </c>
      <c r="F7783" t="s">
        <v>31362</v>
      </c>
      <c r="G7783" t="s">
        <v>31369</v>
      </c>
      <c r="H7783" t="s">
        <v>31378</v>
      </c>
      <c r="I7783" t="s">
        <v>31386</v>
      </c>
      <c r="J7783" t="s">
        <v>36273</v>
      </c>
      <c r="K7783" t="s">
        <v>40662</v>
      </c>
      <c r="M7783" t="s">
        <v>43471</v>
      </c>
      <c r="N7783" t="s">
        <v>44905</v>
      </c>
      <c r="O7783" t="s">
        <v>44906</v>
      </c>
      <c r="P7783">
        <v>0</v>
      </c>
      <c r="Q7783">
        <v>1</v>
      </c>
      <c r="R7783" t="s">
        <v>44910</v>
      </c>
      <c r="S7783" t="s">
        <v>45076</v>
      </c>
      <c r="T7783" t="s">
        <v>46438</v>
      </c>
      <c r="U7783" t="s">
        <v>53202</v>
      </c>
      <c r="V7783" t="s">
        <v>59380</v>
      </c>
      <c r="W7783" t="s">
        <v>43471</v>
      </c>
      <c r="X7783" t="s">
        <v>44911</v>
      </c>
    </row>
    <row r="7784" spans="1:24">
      <c r="A7784">
        <f>HYPERLINK("https://www.philgeps.gov.ph/GEPSNONPILOT/Tender/SplashBidNoticeAbstractUI.aspx?menuIndex=3&amp;refID=7074700&amp;Result=3","7074700")</f>
        <v>0</v>
      </c>
      <c r="B7784" t="s">
        <v>2332</v>
      </c>
      <c r="C7784" t="s">
        <v>10947</v>
      </c>
      <c r="D7784" t="s">
        <v>18117</v>
      </c>
      <c r="E7784" t="s">
        <v>25052</v>
      </c>
      <c r="F7784" t="s">
        <v>31362</v>
      </c>
      <c r="G7784" t="s">
        <v>31369</v>
      </c>
      <c r="H7784" t="s">
        <v>31378</v>
      </c>
      <c r="I7784" t="s">
        <v>31386</v>
      </c>
      <c r="J7784" t="s">
        <v>31606</v>
      </c>
      <c r="K7784" t="s">
        <v>40662</v>
      </c>
      <c r="M7784" t="s">
        <v>43472</v>
      </c>
      <c r="N7784" t="s">
        <v>44905</v>
      </c>
      <c r="O7784" t="s">
        <v>44906</v>
      </c>
      <c r="P7784">
        <v>0</v>
      </c>
      <c r="Q7784">
        <v>3</v>
      </c>
      <c r="R7784" t="s">
        <v>44910</v>
      </c>
      <c r="S7784" t="s">
        <v>45076</v>
      </c>
      <c r="T7784" t="s">
        <v>46419</v>
      </c>
      <c r="U7784" t="s">
        <v>53203</v>
      </c>
      <c r="W7784" t="s">
        <v>43472</v>
      </c>
      <c r="X7784" t="s">
        <v>44911</v>
      </c>
    </row>
    <row r="7785" spans="1:24">
      <c r="A7785">
        <f>HYPERLINK("https://www.philgeps.gov.ph/GEPSNONPILOT/Tender/SplashBidNoticeAbstractUI.aspx?menuIndex=3&amp;refID=7074684&amp;Result=3","7074684")</f>
        <v>0</v>
      </c>
      <c r="B7785" t="s">
        <v>2333</v>
      </c>
      <c r="C7785" t="s">
        <v>10948</v>
      </c>
      <c r="D7785" t="s">
        <v>18132</v>
      </c>
      <c r="E7785" t="s">
        <v>25053</v>
      </c>
      <c r="F7785" t="s">
        <v>31362</v>
      </c>
      <c r="G7785" t="s">
        <v>31368</v>
      </c>
      <c r="H7785" t="s">
        <v>31378</v>
      </c>
      <c r="I7785" t="s">
        <v>31386</v>
      </c>
      <c r="J7785" t="s">
        <v>32239</v>
      </c>
      <c r="K7785" t="s">
        <v>40662</v>
      </c>
      <c r="M7785" t="s">
        <v>43473</v>
      </c>
      <c r="N7785" t="s">
        <v>44905</v>
      </c>
      <c r="O7785" t="s">
        <v>44906</v>
      </c>
      <c r="P7785">
        <v>0</v>
      </c>
      <c r="Q7785">
        <v>1</v>
      </c>
      <c r="R7785" t="s">
        <v>44910</v>
      </c>
      <c r="S7785" t="s">
        <v>45076</v>
      </c>
      <c r="T7785" t="s">
        <v>46454</v>
      </c>
      <c r="U7785" t="s">
        <v>53204</v>
      </c>
      <c r="W7785" t="s">
        <v>43473</v>
      </c>
      <c r="X7785" t="s">
        <v>44911</v>
      </c>
    </row>
    <row r="7786" spans="1:24">
      <c r="A7786">
        <f>HYPERLINK("https://www.philgeps.gov.ph/GEPSNONPILOT/Tender/SplashBidNoticeAbstractUI.aspx?menuIndex=3&amp;refID=7074689&amp;Result=3","7074689")</f>
        <v>0</v>
      </c>
      <c r="B7786" t="s">
        <v>2334</v>
      </c>
      <c r="C7786" t="s">
        <v>6071</v>
      </c>
      <c r="D7786" t="s">
        <v>18101</v>
      </c>
      <c r="E7786" t="s">
        <v>25054</v>
      </c>
      <c r="F7786" t="s">
        <v>31365</v>
      </c>
      <c r="G7786" t="s">
        <v>31369</v>
      </c>
      <c r="H7786" t="s">
        <v>31378</v>
      </c>
      <c r="I7786" t="s">
        <v>31386</v>
      </c>
      <c r="J7786" t="s">
        <v>36274</v>
      </c>
      <c r="K7786" t="s">
        <v>40677</v>
      </c>
      <c r="M7786" t="s">
        <v>43474</v>
      </c>
      <c r="N7786" t="s">
        <v>44905</v>
      </c>
      <c r="O7786" t="s">
        <v>44906</v>
      </c>
      <c r="P7786">
        <v>0</v>
      </c>
      <c r="Q7786">
        <v>0</v>
      </c>
      <c r="R7786" t="s">
        <v>44910</v>
      </c>
      <c r="S7786" t="s">
        <v>45076</v>
      </c>
      <c r="T7786" t="s">
        <v>46418</v>
      </c>
      <c r="U7786" t="s">
        <v>53205</v>
      </c>
      <c r="W7786" t="s">
        <v>43474</v>
      </c>
      <c r="X7786" t="s">
        <v>44911</v>
      </c>
    </row>
    <row r="7787" spans="1:24">
      <c r="A7787">
        <f>HYPERLINK("https://www.philgeps.gov.ph/GEPSNONPILOT/Tender/SplashBidNoticeAbstractUI.aspx?menuIndex=3&amp;refID=7074628&amp;Result=3","7074628")</f>
        <v>0</v>
      </c>
      <c r="B7787" t="s">
        <v>2335</v>
      </c>
      <c r="C7787" t="s">
        <v>10949</v>
      </c>
      <c r="D7787" t="s">
        <v>18140</v>
      </c>
      <c r="E7787" t="s">
        <v>25055</v>
      </c>
      <c r="F7787" t="s">
        <v>31362</v>
      </c>
      <c r="G7787" t="s">
        <v>31368</v>
      </c>
      <c r="H7787" t="s">
        <v>15799</v>
      </c>
      <c r="I7787" t="s">
        <v>31387</v>
      </c>
      <c r="J7787" t="s">
        <v>36275</v>
      </c>
      <c r="K7787" t="s">
        <v>40697</v>
      </c>
      <c r="M7787" t="s">
        <v>43475</v>
      </c>
      <c r="N7787" t="s">
        <v>44905</v>
      </c>
      <c r="O7787" t="s">
        <v>44906</v>
      </c>
      <c r="P7787">
        <v>0</v>
      </c>
      <c r="Q7787">
        <v>1</v>
      </c>
      <c r="R7787" t="s">
        <v>44910</v>
      </c>
      <c r="S7787" t="s">
        <v>45076</v>
      </c>
      <c r="T7787" t="s">
        <v>46446</v>
      </c>
      <c r="U7787" t="s">
        <v>53206</v>
      </c>
      <c r="W7787" t="s">
        <v>60929</v>
      </c>
      <c r="X7787" t="s">
        <v>44911</v>
      </c>
    </row>
    <row r="7788" spans="1:24">
      <c r="A7788">
        <f>HYPERLINK("https://www.philgeps.gov.ph/GEPSNONPILOT/Tender/SplashBidNoticeAbstractUI.aspx?menuIndex=3&amp;refID=7074697&amp;Result=3","7074697")</f>
        <v>0</v>
      </c>
      <c r="B7788" t="s">
        <v>2331</v>
      </c>
      <c r="C7788" t="s">
        <v>6377</v>
      </c>
      <c r="D7788" t="s">
        <v>18131</v>
      </c>
      <c r="E7788" t="s">
        <v>25056</v>
      </c>
      <c r="F7788" t="s">
        <v>31362</v>
      </c>
      <c r="G7788" t="s">
        <v>31369</v>
      </c>
      <c r="H7788" t="s">
        <v>31378</v>
      </c>
      <c r="I7788" t="s">
        <v>31386</v>
      </c>
      <c r="J7788" t="s">
        <v>31578</v>
      </c>
      <c r="K7788" t="s">
        <v>40662</v>
      </c>
      <c r="M7788" t="s">
        <v>43471</v>
      </c>
      <c r="N7788" t="s">
        <v>44905</v>
      </c>
      <c r="O7788" t="s">
        <v>44906</v>
      </c>
      <c r="P7788">
        <v>0</v>
      </c>
      <c r="Q7788">
        <v>1</v>
      </c>
      <c r="R7788" t="s">
        <v>44910</v>
      </c>
      <c r="S7788" t="s">
        <v>45076</v>
      </c>
      <c r="T7788" t="s">
        <v>46438</v>
      </c>
      <c r="U7788" t="s">
        <v>53207</v>
      </c>
      <c r="V7788" t="s">
        <v>59380</v>
      </c>
      <c r="W7788" t="s">
        <v>43471</v>
      </c>
      <c r="X7788" t="s">
        <v>44911</v>
      </c>
    </row>
    <row r="7789" spans="1:24">
      <c r="A7789">
        <f>HYPERLINK("https://www.philgeps.gov.ph/GEPSNONPILOT/Tender/SplashBidNoticeAbstractUI.aspx?menuIndex=3&amp;refID=7074683&amp;Result=3","7074683")</f>
        <v>0</v>
      </c>
      <c r="B7789" t="s">
        <v>2336</v>
      </c>
      <c r="C7789" t="s">
        <v>10950</v>
      </c>
      <c r="D7789" t="s">
        <v>18110</v>
      </c>
      <c r="E7789" t="s">
        <v>25057</v>
      </c>
      <c r="F7789" t="s">
        <v>31362</v>
      </c>
      <c r="G7789" t="s">
        <v>31368</v>
      </c>
      <c r="H7789" t="s">
        <v>31379</v>
      </c>
      <c r="I7789" t="s">
        <v>7090</v>
      </c>
      <c r="J7789" t="s">
        <v>36276</v>
      </c>
      <c r="K7789" t="s">
        <v>40708</v>
      </c>
      <c r="M7789" t="s">
        <v>43476</v>
      </c>
      <c r="N7789" t="s">
        <v>44905</v>
      </c>
      <c r="O7789" t="s">
        <v>44906</v>
      </c>
      <c r="P7789">
        <v>0</v>
      </c>
      <c r="Q7789">
        <v>0</v>
      </c>
      <c r="R7789" t="s">
        <v>44910</v>
      </c>
      <c r="S7789" t="s">
        <v>45076</v>
      </c>
      <c r="T7789" t="s">
        <v>46425</v>
      </c>
      <c r="U7789" t="s">
        <v>53208</v>
      </c>
      <c r="W7789" t="s">
        <v>43476</v>
      </c>
      <c r="X7789" t="s">
        <v>44911</v>
      </c>
    </row>
    <row r="7790" spans="1:24">
      <c r="A7790">
        <f>HYPERLINK("https://www.philgeps.gov.ph/GEPSNONPILOT/Tender/SplashBidNoticeAbstractUI.aspx?menuIndex=3&amp;refID=7074757&amp;Result=3","7074757")</f>
        <v>0</v>
      </c>
      <c r="B7790" t="s">
        <v>226</v>
      </c>
      <c r="C7790" t="s">
        <v>10951</v>
      </c>
      <c r="D7790" t="s">
        <v>18132</v>
      </c>
      <c r="E7790" t="s">
        <v>25058</v>
      </c>
      <c r="F7790" t="s">
        <v>31362</v>
      </c>
      <c r="G7790" t="s">
        <v>31373</v>
      </c>
      <c r="H7790" t="s">
        <v>31378</v>
      </c>
      <c r="I7790" t="s">
        <v>31386</v>
      </c>
      <c r="J7790" t="s">
        <v>36277</v>
      </c>
      <c r="K7790" t="s">
        <v>40679</v>
      </c>
      <c r="M7790" t="s">
        <v>43477</v>
      </c>
      <c r="N7790" t="s">
        <v>44905</v>
      </c>
      <c r="O7790" t="s">
        <v>44906</v>
      </c>
      <c r="P7790">
        <v>0</v>
      </c>
      <c r="Q7790">
        <v>0</v>
      </c>
      <c r="R7790" t="s">
        <v>44910</v>
      </c>
      <c r="S7790" t="s">
        <v>45076</v>
      </c>
      <c r="T7790" t="s">
        <v>46433</v>
      </c>
      <c r="U7790" t="s">
        <v>53209</v>
      </c>
      <c r="V7790" t="s">
        <v>59822</v>
      </c>
      <c r="W7790" t="s">
        <v>60930</v>
      </c>
      <c r="X7790" t="s">
        <v>44911</v>
      </c>
    </row>
    <row r="7791" spans="1:24">
      <c r="A7791">
        <f>HYPERLINK("https://www.philgeps.gov.ph/GEPSNONPILOT/Tender/SplashBidNoticeAbstractUI.aspx?menuIndex=3&amp;refID=7074679&amp;Result=3","7074679")</f>
        <v>0</v>
      </c>
      <c r="B7791" t="s">
        <v>2337</v>
      </c>
      <c r="C7791" t="s">
        <v>10952</v>
      </c>
      <c r="D7791" t="s">
        <v>18162</v>
      </c>
      <c r="E7791" t="s">
        <v>25059</v>
      </c>
      <c r="F7791" t="s">
        <v>31362</v>
      </c>
      <c r="G7791" t="s">
        <v>31368</v>
      </c>
      <c r="H7791" t="s">
        <v>15799</v>
      </c>
      <c r="I7791" t="s">
        <v>31393</v>
      </c>
      <c r="J7791" t="s">
        <v>32883</v>
      </c>
      <c r="K7791" t="s">
        <v>40666</v>
      </c>
      <c r="M7791" t="s">
        <v>43478</v>
      </c>
      <c r="N7791" t="s">
        <v>44905</v>
      </c>
      <c r="O7791" t="s">
        <v>44906</v>
      </c>
      <c r="P7791">
        <v>0</v>
      </c>
      <c r="Q7791">
        <v>1</v>
      </c>
      <c r="R7791" t="s">
        <v>44910</v>
      </c>
      <c r="S7791" t="s">
        <v>45076</v>
      </c>
      <c r="T7791" t="s">
        <v>46447</v>
      </c>
      <c r="U7791" t="s">
        <v>53210</v>
      </c>
      <c r="W7791" t="s">
        <v>43478</v>
      </c>
      <c r="X7791" t="s">
        <v>44911</v>
      </c>
    </row>
    <row r="7792" spans="1:24">
      <c r="A7792">
        <f>HYPERLINK("https://www.philgeps.gov.ph/GEPSNONPILOT/Tender/SplashBidNoticeAbstractUI.aspx?menuIndex=3&amp;refID=7074711&amp;Result=3","7074711")</f>
        <v>0</v>
      </c>
      <c r="B7792" t="s">
        <v>2338</v>
      </c>
      <c r="C7792" t="s">
        <v>10953</v>
      </c>
      <c r="D7792" t="s">
        <v>18169</v>
      </c>
      <c r="E7792" t="s">
        <v>25060</v>
      </c>
      <c r="F7792" t="s">
        <v>31362</v>
      </c>
      <c r="G7792" t="s">
        <v>31369</v>
      </c>
      <c r="H7792" t="s">
        <v>31378</v>
      </c>
      <c r="I7792" t="s">
        <v>31386</v>
      </c>
      <c r="J7792" t="s">
        <v>36067</v>
      </c>
      <c r="K7792" t="s">
        <v>40832</v>
      </c>
      <c r="L7792" t="s">
        <v>2338</v>
      </c>
      <c r="M7792" t="s">
        <v>43479</v>
      </c>
      <c r="N7792" t="s">
        <v>44905</v>
      </c>
      <c r="O7792" t="s">
        <v>44906</v>
      </c>
      <c r="P7792">
        <v>0</v>
      </c>
      <c r="Q7792">
        <v>0</v>
      </c>
      <c r="R7792" t="s">
        <v>44910</v>
      </c>
      <c r="S7792" t="s">
        <v>45076</v>
      </c>
      <c r="T7792" t="s">
        <v>46419</v>
      </c>
      <c r="U7792" t="s">
        <v>53211</v>
      </c>
      <c r="V7792" t="s">
        <v>59823</v>
      </c>
      <c r="W7792" t="s">
        <v>43479</v>
      </c>
      <c r="X7792" t="s">
        <v>44911</v>
      </c>
    </row>
    <row r="7793" spans="1:24">
      <c r="A7793">
        <f>HYPERLINK("https://www.philgeps.gov.ph/GEPSNONPILOT/Tender/SplashBidNoticeAbstractUI.aspx?menuIndex=3&amp;refID=7074690&amp;Result=3","7074690")</f>
        <v>0</v>
      </c>
      <c r="B7793" t="s">
        <v>1270</v>
      </c>
      <c r="C7793" t="s">
        <v>10954</v>
      </c>
      <c r="D7793" t="s">
        <v>18176</v>
      </c>
      <c r="E7793" t="s">
        <v>25061</v>
      </c>
      <c r="F7793" t="s">
        <v>31362</v>
      </c>
      <c r="G7793" t="s">
        <v>31368</v>
      </c>
      <c r="H7793" t="s">
        <v>15799</v>
      </c>
      <c r="I7793" t="s">
        <v>4057</v>
      </c>
      <c r="J7793" t="s">
        <v>35729</v>
      </c>
      <c r="K7793" t="s">
        <v>40698</v>
      </c>
      <c r="M7793" t="s">
        <v>42287</v>
      </c>
      <c r="N7793" t="s">
        <v>44905</v>
      </c>
      <c r="O7793" t="s">
        <v>44906</v>
      </c>
      <c r="P7793">
        <v>0</v>
      </c>
      <c r="Q7793">
        <v>0</v>
      </c>
      <c r="R7793" t="s">
        <v>44910</v>
      </c>
      <c r="S7793" t="s">
        <v>45076</v>
      </c>
      <c r="T7793" t="s">
        <v>46438</v>
      </c>
      <c r="U7793" t="s">
        <v>49706</v>
      </c>
      <c r="W7793" t="s">
        <v>42287</v>
      </c>
      <c r="X7793" t="s">
        <v>44911</v>
      </c>
    </row>
    <row r="7794" spans="1:24">
      <c r="A7794">
        <f>HYPERLINK("https://www.philgeps.gov.ph/GEPSNONPILOT/Tender/SplashBidNoticeAbstractUI.aspx?menuIndex=3&amp;refID=7074742&amp;Result=3","7074742")</f>
        <v>0</v>
      </c>
      <c r="B7794" t="s">
        <v>91</v>
      </c>
      <c r="C7794" t="s">
        <v>10955</v>
      </c>
      <c r="D7794" t="s">
        <v>18136</v>
      </c>
      <c r="E7794" t="s">
        <v>25062</v>
      </c>
      <c r="F7794" t="s">
        <v>31362</v>
      </c>
      <c r="G7794" t="s">
        <v>31369</v>
      </c>
      <c r="H7794" t="s">
        <v>15799</v>
      </c>
      <c r="I7794" t="s">
        <v>13635</v>
      </c>
      <c r="J7794" t="s">
        <v>36278</v>
      </c>
      <c r="K7794" t="s">
        <v>40661</v>
      </c>
      <c r="M7794" t="s">
        <v>41028</v>
      </c>
      <c r="N7794" t="s">
        <v>44905</v>
      </c>
      <c r="O7794" t="s">
        <v>44906</v>
      </c>
      <c r="P7794">
        <v>0</v>
      </c>
      <c r="Q7794">
        <v>0</v>
      </c>
      <c r="R7794" t="s">
        <v>44910</v>
      </c>
      <c r="S7794" t="s">
        <v>45076</v>
      </c>
      <c r="T7794" t="s">
        <v>46418</v>
      </c>
      <c r="U7794" t="s">
        <v>53212</v>
      </c>
      <c r="W7794" t="s">
        <v>41028</v>
      </c>
      <c r="X7794" t="s">
        <v>44911</v>
      </c>
    </row>
    <row r="7795" spans="1:24">
      <c r="A7795">
        <f>HYPERLINK("https://www.philgeps.gov.ph/GEPSNONPILOT/Tender/SplashBidNoticeAbstractUI.aspx?menuIndex=3&amp;refID=7074741&amp;Result=3","7074741")</f>
        <v>0</v>
      </c>
      <c r="B7795" t="s">
        <v>2339</v>
      </c>
      <c r="C7795" t="s">
        <v>10956</v>
      </c>
      <c r="D7795" t="s">
        <v>18151</v>
      </c>
      <c r="E7795" t="s">
        <v>19844</v>
      </c>
      <c r="F7795" t="s">
        <v>31362</v>
      </c>
      <c r="G7795" t="s">
        <v>31369</v>
      </c>
      <c r="H7795" t="s">
        <v>31378</v>
      </c>
      <c r="I7795" t="s">
        <v>31386</v>
      </c>
      <c r="J7795" t="s">
        <v>36279</v>
      </c>
      <c r="K7795" t="s">
        <v>40670</v>
      </c>
      <c r="M7795" t="s">
        <v>43480</v>
      </c>
      <c r="N7795" t="s">
        <v>44905</v>
      </c>
      <c r="O7795" t="s">
        <v>44906</v>
      </c>
      <c r="P7795">
        <v>0</v>
      </c>
      <c r="Q7795">
        <v>0</v>
      </c>
      <c r="R7795" t="s">
        <v>44910</v>
      </c>
      <c r="S7795" t="s">
        <v>45076</v>
      </c>
      <c r="T7795" t="s">
        <v>46756</v>
      </c>
      <c r="U7795" t="s">
        <v>53213</v>
      </c>
      <c r="V7795" t="s">
        <v>59800</v>
      </c>
      <c r="W7795" t="s">
        <v>43480</v>
      </c>
      <c r="X7795" t="s">
        <v>44911</v>
      </c>
    </row>
    <row r="7796" spans="1:24">
      <c r="A7796">
        <f>HYPERLINK("https://www.philgeps.gov.ph/GEPSNONPILOT/Tender/SplashBidNoticeAbstractUI.aspx?menuIndex=3&amp;refID=7074738&amp;Result=3","7074738")</f>
        <v>0</v>
      </c>
      <c r="B7796" t="s">
        <v>1733</v>
      </c>
      <c r="C7796" t="s">
        <v>10957</v>
      </c>
      <c r="D7796" t="s">
        <v>18185</v>
      </c>
      <c r="E7796" t="s">
        <v>25063</v>
      </c>
      <c r="F7796" t="s">
        <v>31362</v>
      </c>
      <c r="G7796" t="s">
        <v>31369</v>
      </c>
      <c r="H7796" t="s">
        <v>15799</v>
      </c>
      <c r="I7796" t="s">
        <v>31427</v>
      </c>
      <c r="J7796" t="s">
        <v>36280</v>
      </c>
      <c r="K7796" t="s">
        <v>40682</v>
      </c>
      <c r="M7796" t="s">
        <v>42806</v>
      </c>
      <c r="N7796" t="s">
        <v>44905</v>
      </c>
      <c r="O7796" t="s">
        <v>44906</v>
      </c>
      <c r="P7796">
        <v>0</v>
      </c>
      <c r="Q7796">
        <v>0</v>
      </c>
      <c r="R7796" t="s">
        <v>44910</v>
      </c>
      <c r="S7796" t="s">
        <v>45076</v>
      </c>
      <c r="T7796" t="s">
        <v>46447</v>
      </c>
      <c r="U7796" t="s">
        <v>53214</v>
      </c>
      <c r="W7796" t="s">
        <v>42806</v>
      </c>
      <c r="X7796" t="s">
        <v>44911</v>
      </c>
    </row>
    <row r="7797" spans="1:24">
      <c r="A7797">
        <f>HYPERLINK("https://www.philgeps.gov.ph/GEPSNONPILOT/Tender/SplashBidNoticeAbstractUI.aspx?menuIndex=3&amp;refID=7074737&amp;Result=3","7074737")</f>
        <v>0</v>
      </c>
      <c r="B7797" t="s">
        <v>2332</v>
      </c>
      <c r="C7797" t="s">
        <v>10958</v>
      </c>
      <c r="D7797" t="s">
        <v>18117</v>
      </c>
      <c r="E7797" t="s">
        <v>25064</v>
      </c>
      <c r="F7797" t="s">
        <v>31362</v>
      </c>
      <c r="G7797" t="s">
        <v>31369</v>
      </c>
      <c r="H7797" t="s">
        <v>31378</v>
      </c>
      <c r="I7797" t="s">
        <v>31386</v>
      </c>
      <c r="J7797" t="s">
        <v>31531</v>
      </c>
      <c r="K7797" t="s">
        <v>40662</v>
      </c>
      <c r="M7797" t="s">
        <v>43472</v>
      </c>
      <c r="N7797" t="s">
        <v>44905</v>
      </c>
      <c r="O7797" t="s">
        <v>44906</v>
      </c>
      <c r="P7797">
        <v>0</v>
      </c>
      <c r="Q7797">
        <v>0</v>
      </c>
      <c r="R7797" t="s">
        <v>44910</v>
      </c>
      <c r="S7797" t="s">
        <v>45076</v>
      </c>
      <c r="T7797" t="s">
        <v>46435</v>
      </c>
      <c r="U7797" t="s">
        <v>53215</v>
      </c>
      <c r="W7797" t="s">
        <v>43472</v>
      </c>
      <c r="X7797" t="s">
        <v>44911</v>
      </c>
    </row>
    <row r="7798" spans="1:24">
      <c r="A7798">
        <f>HYPERLINK("https://www.philgeps.gov.ph/GEPSNONPILOT/Tender/SplashBidNoticeAbstractUI.aspx?menuIndex=3&amp;refID=7074736&amp;Result=3","7074736")</f>
        <v>0</v>
      </c>
      <c r="B7798" t="s">
        <v>1269</v>
      </c>
      <c r="C7798" t="s">
        <v>10959</v>
      </c>
      <c r="D7798" t="s">
        <v>18113</v>
      </c>
      <c r="E7798" t="s">
        <v>25065</v>
      </c>
      <c r="F7798" t="s">
        <v>31362</v>
      </c>
      <c r="G7798" t="s">
        <v>31368</v>
      </c>
      <c r="H7798" t="s">
        <v>15799</v>
      </c>
      <c r="I7798" t="s">
        <v>31429</v>
      </c>
      <c r="J7798" t="s">
        <v>31915</v>
      </c>
      <c r="K7798" t="s">
        <v>40677</v>
      </c>
      <c r="M7798" t="s">
        <v>42286</v>
      </c>
      <c r="N7798" t="s">
        <v>44905</v>
      </c>
      <c r="O7798" t="s">
        <v>44906</v>
      </c>
      <c r="P7798">
        <v>0</v>
      </c>
      <c r="Q7798">
        <v>2</v>
      </c>
      <c r="R7798" t="s">
        <v>44910</v>
      </c>
      <c r="S7798" t="s">
        <v>45076</v>
      </c>
      <c r="T7798" t="s">
        <v>46447</v>
      </c>
      <c r="U7798" t="s">
        <v>53216</v>
      </c>
      <c r="W7798" t="s">
        <v>42286</v>
      </c>
      <c r="X7798" t="s">
        <v>44911</v>
      </c>
    </row>
    <row r="7799" spans="1:24">
      <c r="A7799">
        <f>HYPERLINK("https://www.philgeps.gov.ph/GEPSNONPILOT/Tender/SplashBidNoticeAbstractUI.aspx?menuIndex=3&amp;refID=7074755&amp;Result=3","7074755")</f>
        <v>0</v>
      </c>
      <c r="B7799" t="s">
        <v>234</v>
      </c>
      <c r="C7799" t="s">
        <v>10960</v>
      </c>
      <c r="D7799" t="s">
        <v>18122</v>
      </c>
      <c r="E7799" t="s">
        <v>25066</v>
      </c>
      <c r="F7799" t="s">
        <v>31362</v>
      </c>
      <c r="G7799" t="s">
        <v>31369</v>
      </c>
      <c r="H7799" t="s">
        <v>15799</v>
      </c>
      <c r="I7799" t="s">
        <v>31454</v>
      </c>
      <c r="J7799" t="s">
        <v>36281</v>
      </c>
      <c r="K7799" t="s">
        <v>40686</v>
      </c>
      <c r="M7799" t="s">
        <v>43481</v>
      </c>
      <c r="N7799" t="s">
        <v>44905</v>
      </c>
      <c r="O7799" t="s">
        <v>44906</v>
      </c>
      <c r="P7799">
        <v>0</v>
      </c>
      <c r="Q7799">
        <v>3</v>
      </c>
      <c r="R7799" t="s">
        <v>44910</v>
      </c>
      <c r="S7799" t="s">
        <v>45076</v>
      </c>
      <c r="T7799" t="s">
        <v>46696</v>
      </c>
      <c r="U7799" t="s">
        <v>53217</v>
      </c>
      <c r="W7799" t="s">
        <v>43481</v>
      </c>
      <c r="X7799" t="s">
        <v>44911</v>
      </c>
    </row>
    <row r="7800" spans="1:24">
      <c r="A7800">
        <f>HYPERLINK("https://www.philgeps.gov.ph/GEPSNONPILOT/Tender/SplashBidNoticeAbstractUI.aspx?menuIndex=3&amp;refID=7074735&amp;Result=3","7074735")</f>
        <v>0</v>
      </c>
      <c r="B7800" t="s">
        <v>185</v>
      </c>
      <c r="C7800" t="s">
        <v>10961</v>
      </c>
      <c r="D7800" t="s">
        <v>18153</v>
      </c>
      <c r="E7800" t="s">
        <v>25067</v>
      </c>
      <c r="F7800" t="s">
        <v>31362</v>
      </c>
      <c r="G7800" t="s">
        <v>31368</v>
      </c>
      <c r="H7800" t="s">
        <v>15799</v>
      </c>
      <c r="I7800" t="s">
        <v>7188</v>
      </c>
      <c r="J7800" t="s">
        <v>36282</v>
      </c>
      <c r="K7800" t="s">
        <v>40666</v>
      </c>
      <c r="M7800" t="s">
        <v>41123</v>
      </c>
      <c r="N7800" t="s">
        <v>44905</v>
      </c>
      <c r="O7800" t="s">
        <v>44906</v>
      </c>
      <c r="P7800">
        <v>0</v>
      </c>
      <c r="Q7800">
        <v>0</v>
      </c>
      <c r="R7800" t="s">
        <v>44910</v>
      </c>
      <c r="S7800" t="s">
        <v>45076</v>
      </c>
      <c r="T7800" t="s">
        <v>46411</v>
      </c>
      <c r="U7800" t="s">
        <v>53218</v>
      </c>
      <c r="W7800" t="s">
        <v>41123</v>
      </c>
      <c r="X7800" t="s">
        <v>44911</v>
      </c>
    </row>
    <row r="7801" spans="1:24">
      <c r="A7801">
        <f>HYPERLINK("https://www.philgeps.gov.ph/GEPSNONPILOT/Tender/SplashBidNoticeAbstractUI.aspx?menuIndex=3&amp;refID=7074752&amp;Result=3","7074752")</f>
        <v>0</v>
      </c>
      <c r="B7801" t="s">
        <v>2340</v>
      </c>
      <c r="C7801" t="s">
        <v>10962</v>
      </c>
      <c r="D7801" t="s">
        <v>18131</v>
      </c>
      <c r="E7801" t="s">
        <v>25068</v>
      </c>
      <c r="F7801" t="s">
        <v>31362</v>
      </c>
      <c r="G7801" t="s">
        <v>31369</v>
      </c>
      <c r="H7801" t="s">
        <v>31378</v>
      </c>
      <c r="I7801" t="s">
        <v>31386</v>
      </c>
      <c r="J7801" t="s">
        <v>36283</v>
      </c>
      <c r="K7801" t="s">
        <v>40662</v>
      </c>
      <c r="M7801" t="s">
        <v>43482</v>
      </c>
      <c r="N7801" t="s">
        <v>44905</v>
      </c>
      <c r="O7801" t="s">
        <v>44906</v>
      </c>
      <c r="P7801">
        <v>0</v>
      </c>
      <c r="Q7801">
        <v>2</v>
      </c>
      <c r="R7801" t="s">
        <v>44910</v>
      </c>
      <c r="S7801" t="s">
        <v>45076</v>
      </c>
      <c r="T7801" t="s">
        <v>46438</v>
      </c>
      <c r="U7801" t="s">
        <v>53219</v>
      </c>
      <c r="V7801" t="s">
        <v>59824</v>
      </c>
      <c r="W7801" t="s">
        <v>43482</v>
      </c>
      <c r="X7801" t="s">
        <v>44911</v>
      </c>
    </row>
    <row r="7802" spans="1:24">
      <c r="A7802">
        <f>HYPERLINK("https://www.philgeps.gov.ph/GEPSNONPILOT/Tender/SplashBidNoticeAbstractUI.aspx?menuIndex=3&amp;refID=7074729&amp;Result=3","7074729")</f>
        <v>0</v>
      </c>
      <c r="B7802" t="s">
        <v>2261</v>
      </c>
      <c r="C7802" t="s">
        <v>10963</v>
      </c>
      <c r="D7802" t="s">
        <v>18162</v>
      </c>
      <c r="E7802" t="s">
        <v>25069</v>
      </c>
      <c r="F7802" t="s">
        <v>31362</v>
      </c>
      <c r="G7802" t="s">
        <v>31368</v>
      </c>
      <c r="H7802" t="s">
        <v>15799</v>
      </c>
      <c r="I7802" t="s">
        <v>4942</v>
      </c>
      <c r="J7802" t="s">
        <v>36284</v>
      </c>
      <c r="K7802" t="s">
        <v>40666</v>
      </c>
      <c r="M7802" t="s">
        <v>43400</v>
      </c>
      <c r="N7802" t="s">
        <v>44905</v>
      </c>
      <c r="O7802" t="s">
        <v>44906</v>
      </c>
      <c r="Q7802">
        <v>0</v>
      </c>
      <c r="R7802" t="s">
        <v>44910</v>
      </c>
      <c r="S7802" t="s">
        <v>45108</v>
      </c>
      <c r="T7802" t="s">
        <v>46432</v>
      </c>
      <c r="U7802" t="s">
        <v>53220</v>
      </c>
      <c r="W7802" t="s">
        <v>43400</v>
      </c>
      <c r="X7802" t="s">
        <v>44911</v>
      </c>
    </row>
    <row r="7803" spans="1:24">
      <c r="A7803">
        <f>HYPERLINK("https://www.philgeps.gov.ph/GEPSNONPILOT/Tender/SplashBidNoticeAbstractUI.aspx?menuIndex=3&amp;refID=7074726&amp;Result=3","7074726")</f>
        <v>0</v>
      </c>
      <c r="B7803" t="s">
        <v>2341</v>
      </c>
      <c r="C7803" t="s">
        <v>10964</v>
      </c>
      <c r="D7803" t="s">
        <v>18154</v>
      </c>
      <c r="E7803" t="s">
        <v>25070</v>
      </c>
      <c r="F7803" t="s">
        <v>31362</v>
      </c>
      <c r="G7803" t="s">
        <v>31369</v>
      </c>
      <c r="H7803" t="s">
        <v>31378</v>
      </c>
      <c r="I7803" t="s">
        <v>31386</v>
      </c>
      <c r="J7803" t="s">
        <v>36285</v>
      </c>
      <c r="K7803" t="s">
        <v>40725</v>
      </c>
      <c r="M7803" t="s">
        <v>43483</v>
      </c>
      <c r="N7803" t="s">
        <v>44905</v>
      </c>
      <c r="O7803" t="s">
        <v>44906</v>
      </c>
      <c r="P7803">
        <v>0</v>
      </c>
      <c r="Q7803">
        <v>0</v>
      </c>
      <c r="R7803" t="s">
        <v>44910</v>
      </c>
      <c r="S7803" t="s">
        <v>45076</v>
      </c>
      <c r="T7803" t="s">
        <v>46395</v>
      </c>
      <c r="U7803" t="s">
        <v>53221</v>
      </c>
      <c r="W7803" t="s">
        <v>43483</v>
      </c>
      <c r="X7803" t="s">
        <v>44911</v>
      </c>
    </row>
    <row r="7804" spans="1:24">
      <c r="A7804">
        <f>HYPERLINK("https://www.philgeps.gov.ph/GEPSNONPILOT/Tender/SplashBidNoticeAbstractUI.aspx?menuIndex=3&amp;refID=7074721&amp;Result=3","7074721")</f>
        <v>0</v>
      </c>
      <c r="B7804" t="s">
        <v>1036</v>
      </c>
      <c r="C7804" t="s">
        <v>10965</v>
      </c>
      <c r="D7804" t="s">
        <v>18128</v>
      </c>
      <c r="E7804" t="s">
        <v>20311</v>
      </c>
      <c r="F7804" t="s">
        <v>31363</v>
      </c>
      <c r="G7804" t="s">
        <v>31369</v>
      </c>
      <c r="H7804" t="s">
        <v>15799</v>
      </c>
      <c r="I7804" t="s">
        <v>31423</v>
      </c>
      <c r="J7804" t="s">
        <v>36286</v>
      </c>
      <c r="K7804" t="s">
        <v>40665</v>
      </c>
      <c r="M7804" t="s">
        <v>42035</v>
      </c>
      <c r="N7804" t="s">
        <v>44905</v>
      </c>
      <c r="O7804" t="s">
        <v>44906</v>
      </c>
      <c r="P7804">
        <v>0</v>
      </c>
      <c r="Q7804">
        <v>7</v>
      </c>
      <c r="R7804" t="s">
        <v>44910</v>
      </c>
      <c r="S7804" t="s">
        <v>45076</v>
      </c>
      <c r="T7804" t="s">
        <v>46431</v>
      </c>
      <c r="U7804" t="s">
        <v>49166</v>
      </c>
      <c r="W7804" t="s">
        <v>42035</v>
      </c>
      <c r="X7804" t="s">
        <v>44911</v>
      </c>
    </row>
    <row r="7805" spans="1:24">
      <c r="A7805">
        <f>HYPERLINK("https://www.philgeps.gov.ph/GEPSNONPILOT/Tender/SplashBidNoticeAbstractUI.aspx?menuIndex=3&amp;refID=7074715&amp;Result=3","7074715")</f>
        <v>0</v>
      </c>
      <c r="B7805" t="s">
        <v>831</v>
      </c>
      <c r="C7805" t="s">
        <v>10966</v>
      </c>
      <c r="D7805" t="s">
        <v>18108</v>
      </c>
      <c r="E7805" t="s">
        <v>25071</v>
      </c>
      <c r="F7805" t="s">
        <v>31362</v>
      </c>
      <c r="G7805" t="s">
        <v>31369</v>
      </c>
      <c r="H7805" t="s">
        <v>15799</v>
      </c>
      <c r="I7805" t="s">
        <v>7090</v>
      </c>
      <c r="J7805" t="s">
        <v>31687</v>
      </c>
      <c r="K7805" t="s">
        <v>40666</v>
      </c>
      <c r="M7805" t="s">
        <v>42635</v>
      </c>
      <c r="N7805" t="s">
        <v>44905</v>
      </c>
      <c r="O7805" t="s">
        <v>44906</v>
      </c>
      <c r="P7805">
        <v>0</v>
      </c>
      <c r="Q7805">
        <v>0</v>
      </c>
      <c r="R7805" t="s">
        <v>44910</v>
      </c>
      <c r="S7805" t="s">
        <v>45076</v>
      </c>
      <c r="T7805" t="s">
        <v>46393</v>
      </c>
      <c r="U7805" t="s">
        <v>48635</v>
      </c>
      <c r="W7805" t="s">
        <v>42635</v>
      </c>
      <c r="X7805" t="s">
        <v>44911</v>
      </c>
    </row>
    <row r="7806" spans="1:24">
      <c r="A7806">
        <f>HYPERLINK("https://www.philgeps.gov.ph/GEPSNONPILOT/Tender/SplashBidNoticeAbstractUI.aspx?menuIndex=3&amp;refID=7074714&amp;Result=3","7074714")</f>
        <v>0</v>
      </c>
      <c r="B7806" t="s">
        <v>421</v>
      </c>
      <c r="C7806" t="s">
        <v>10967</v>
      </c>
      <c r="D7806" t="s">
        <v>18133</v>
      </c>
      <c r="E7806" t="s">
        <v>25072</v>
      </c>
      <c r="F7806" t="s">
        <v>31362</v>
      </c>
      <c r="G7806" t="s">
        <v>31369</v>
      </c>
      <c r="H7806" t="s">
        <v>31378</v>
      </c>
      <c r="I7806" t="s">
        <v>31386</v>
      </c>
      <c r="J7806" t="s">
        <v>36287</v>
      </c>
      <c r="K7806" t="s">
        <v>40833</v>
      </c>
      <c r="M7806" t="s">
        <v>41372</v>
      </c>
      <c r="N7806" t="s">
        <v>44905</v>
      </c>
      <c r="O7806" t="s">
        <v>44906</v>
      </c>
      <c r="P7806">
        <v>0</v>
      </c>
      <c r="Q7806">
        <v>0</v>
      </c>
      <c r="R7806" t="s">
        <v>44910</v>
      </c>
      <c r="S7806" t="s">
        <v>45076</v>
      </c>
      <c r="T7806" t="s">
        <v>46465</v>
      </c>
      <c r="U7806" t="s">
        <v>53222</v>
      </c>
      <c r="W7806" t="s">
        <v>41372</v>
      </c>
      <c r="X7806" t="s">
        <v>44911</v>
      </c>
    </row>
    <row r="7807" spans="1:24">
      <c r="A7807">
        <f>HYPERLINK("https://www.philgeps.gov.ph/GEPSNONPILOT/Tender/SplashBidNoticeAbstractUI.aspx?menuIndex=3&amp;refID=7074754&amp;Result=3","7074754")</f>
        <v>0</v>
      </c>
      <c r="B7807" t="s">
        <v>2261</v>
      </c>
      <c r="C7807" t="s">
        <v>10968</v>
      </c>
      <c r="D7807" t="s">
        <v>18162</v>
      </c>
      <c r="E7807" t="s">
        <v>25073</v>
      </c>
      <c r="F7807" t="s">
        <v>31362</v>
      </c>
      <c r="G7807" t="s">
        <v>31368</v>
      </c>
      <c r="H7807" t="s">
        <v>15799</v>
      </c>
      <c r="I7807" t="s">
        <v>4057</v>
      </c>
      <c r="J7807" t="s">
        <v>31564</v>
      </c>
      <c r="K7807" t="s">
        <v>40670</v>
      </c>
      <c r="M7807" t="s">
        <v>43400</v>
      </c>
      <c r="N7807" t="s">
        <v>44905</v>
      </c>
      <c r="O7807" t="s">
        <v>44906</v>
      </c>
      <c r="P7807">
        <v>0</v>
      </c>
      <c r="Q7807">
        <v>0</v>
      </c>
      <c r="R7807" t="s">
        <v>44910</v>
      </c>
      <c r="S7807" t="s">
        <v>45076</v>
      </c>
      <c r="T7807" t="s">
        <v>46432</v>
      </c>
      <c r="U7807" t="s">
        <v>53223</v>
      </c>
      <c r="W7807" t="s">
        <v>43400</v>
      </c>
      <c r="X7807" t="s">
        <v>44911</v>
      </c>
    </row>
    <row r="7808" spans="1:24">
      <c r="A7808">
        <f>HYPERLINK("https://www.philgeps.gov.ph/GEPSNONPILOT/Tender/SplashBidNoticeAbstractUI.aspx?menuIndex=3&amp;refID=7074712&amp;Result=3","7074712")</f>
        <v>0</v>
      </c>
      <c r="B7808" t="s">
        <v>1733</v>
      </c>
      <c r="C7808" t="s">
        <v>10969</v>
      </c>
      <c r="D7808" t="s">
        <v>18185</v>
      </c>
      <c r="E7808" t="s">
        <v>25074</v>
      </c>
      <c r="F7808" t="s">
        <v>31362</v>
      </c>
      <c r="G7808" t="s">
        <v>31369</v>
      </c>
      <c r="H7808" t="s">
        <v>15799</v>
      </c>
      <c r="I7808" t="s">
        <v>31385</v>
      </c>
      <c r="J7808" t="s">
        <v>36288</v>
      </c>
      <c r="K7808" t="s">
        <v>40682</v>
      </c>
      <c r="M7808" t="s">
        <v>42806</v>
      </c>
      <c r="N7808" t="s">
        <v>44905</v>
      </c>
      <c r="O7808" t="s">
        <v>44906</v>
      </c>
      <c r="P7808">
        <v>0</v>
      </c>
      <c r="Q7808">
        <v>0</v>
      </c>
      <c r="R7808" t="s">
        <v>44910</v>
      </c>
      <c r="S7808" t="s">
        <v>45076</v>
      </c>
      <c r="T7808" t="s">
        <v>46447</v>
      </c>
      <c r="U7808" t="s">
        <v>53224</v>
      </c>
      <c r="W7808" t="s">
        <v>42806</v>
      </c>
      <c r="X7808" t="s">
        <v>44911</v>
      </c>
    </row>
    <row r="7809" spans="1:24">
      <c r="A7809">
        <f>HYPERLINK("https://www.philgeps.gov.ph/GEPSNONPILOT/Tender/SplashBidNoticeAbstractUI.aspx?menuIndex=3&amp;refID=7074675&amp;Result=3","7074675")</f>
        <v>0</v>
      </c>
      <c r="B7809" t="s">
        <v>1733</v>
      </c>
      <c r="C7809" t="s">
        <v>10970</v>
      </c>
      <c r="D7809" t="s">
        <v>18185</v>
      </c>
      <c r="E7809" t="s">
        <v>25075</v>
      </c>
      <c r="F7809" t="s">
        <v>31362</v>
      </c>
      <c r="G7809" t="s">
        <v>31369</v>
      </c>
      <c r="H7809" t="s">
        <v>15799</v>
      </c>
      <c r="I7809" t="s">
        <v>31380</v>
      </c>
      <c r="J7809" t="s">
        <v>31897</v>
      </c>
      <c r="K7809" t="s">
        <v>40682</v>
      </c>
      <c r="M7809" t="s">
        <v>42806</v>
      </c>
      <c r="N7809" t="s">
        <v>44905</v>
      </c>
      <c r="O7809" t="s">
        <v>44906</v>
      </c>
      <c r="P7809">
        <v>0</v>
      </c>
      <c r="Q7809">
        <v>1</v>
      </c>
      <c r="R7809" t="s">
        <v>44910</v>
      </c>
      <c r="S7809" t="s">
        <v>45076</v>
      </c>
      <c r="T7809" t="s">
        <v>46447</v>
      </c>
      <c r="U7809" t="s">
        <v>53225</v>
      </c>
      <c r="W7809" t="s">
        <v>42806</v>
      </c>
      <c r="X7809" t="s">
        <v>44911</v>
      </c>
    </row>
    <row r="7810" spans="1:24">
      <c r="A7810">
        <f>HYPERLINK("https://www.philgeps.gov.ph/GEPSNONPILOT/Tender/SplashBidNoticeAbstractUI.aspx?menuIndex=3&amp;refID=7074671&amp;Result=3","7074671")</f>
        <v>0</v>
      </c>
      <c r="B7810" t="s">
        <v>347</v>
      </c>
      <c r="C7810" t="s">
        <v>10971</v>
      </c>
      <c r="D7810" t="s">
        <v>18120</v>
      </c>
      <c r="E7810" t="s">
        <v>24557</v>
      </c>
      <c r="F7810" t="s">
        <v>31362</v>
      </c>
      <c r="G7810" t="s">
        <v>31369</v>
      </c>
      <c r="H7810" t="s">
        <v>15799</v>
      </c>
      <c r="I7810" t="s">
        <v>3815</v>
      </c>
      <c r="J7810" t="s">
        <v>36289</v>
      </c>
      <c r="K7810" t="s">
        <v>40666</v>
      </c>
      <c r="M7810" t="s">
        <v>41293</v>
      </c>
      <c r="N7810" t="s">
        <v>44905</v>
      </c>
      <c r="O7810" t="s">
        <v>44906</v>
      </c>
      <c r="P7810">
        <v>0</v>
      </c>
      <c r="Q7810">
        <v>2</v>
      </c>
      <c r="R7810" t="s">
        <v>44910</v>
      </c>
      <c r="S7810" t="s">
        <v>45076</v>
      </c>
      <c r="T7810" t="s">
        <v>46607</v>
      </c>
      <c r="U7810" t="s">
        <v>53226</v>
      </c>
      <c r="W7810" t="s">
        <v>41293</v>
      </c>
      <c r="X7810" t="s">
        <v>44911</v>
      </c>
    </row>
    <row r="7811" spans="1:24">
      <c r="A7811">
        <f>HYPERLINK("https://www.philgeps.gov.ph/GEPSNONPILOT/Tender/SplashBidNoticeAbstractUI.aspx?menuIndex=3&amp;refID=7074665&amp;Result=3","7074665")</f>
        <v>0</v>
      </c>
      <c r="B7811" t="s">
        <v>2342</v>
      </c>
      <c r="C7811" t="s">
        <v>10972</v>
      </c>
      <c r="D7811" t="s">
        <v>18123</v>
      </c>
      <c r="E7811" t="s">
        <v>18548</v>
      </c>
      <c r="F7811" t="s">
        <v>31362</v>
      </c>
      <c r="G7811" t="s">
        <v>31370</v>
      </c>
      <c r="H7811" t="s">
        <v>15799</v>
      </c>
      <c r="I7811" t="s">
        <v>31385</v>
      </c>
      <c r="J7811" t="s">
        <v>36290</v>
      </c>
      <c r="K7811" t="s">
        <v>40693</v>
      </c>
      <c r="M7811" t="s">
        <v>43484</v>
      </c>
      <c r="N7811" t="s">
        <v>44905</v>
      </c>
      <c r="O7811" t="s">
        <v>44906</v>
      </c>
      <c r="P7811">
        <v>0</v>
      </c>
      <c r="Q7811">
        <v>3</v>
      </c>
      <c r="R7811" t="s">
        <v>44910</v>
      </c>
      <c r="S7811" t="s">
        <v>45076</v>
      </c>
      <c r="T7811" t="s">
        <v>46737</v>
      </c>
      <c r="U7811" t="s">
        <v>53227</v>
      </c>
      <c r="W7811" t="s">
        <v>43484</v>
      </c>
      <c r="X7811" t="s">
        <v>44911</v>
      </c>
    </row>
    <row r="7812" spans="1:24">
      <c r="A7812">
        <f>HYPERLINK("https://www.philgeps.gov.ph/GEPSNONPILOT/Tender/SplashBidNoticeAbstractUI.aspx?menuIndex=3&amp;refID=7074733&amp;Result=3","7074733")</f>
        <v>0</v>
      </c>
      <c r="B7812" t="s">
        <v>1628</v>
      </c>
      <c r="C7812" t="s">
        <v>10973</v>
      </c>
      <c r="D7812" t="s">
        <v>18109</v>
      </c>
      <c r="E7812" t="s">
        <v>25076</v>
      </c>
      <c r="F7812" t="s">
        <v>31362</v>
      </c>
      <c r="G7812" t="s">
        <v>31368</v>
      </c>
      <c r="H7812" t="s">
        <v>15799</v>
      </c>
      <c r="I7812" t="s">
        <v>6240</v>
      </c>
      <c r="J7812" t="s">
        <v>36291</v>
      </c>
      <c r="K7812" t="s">
        <v>40677</v>
      </c>
      <c r="M7812" t="s">
        <v>43485</v>
      </c>
      <c r="N7812" t="s">
        <v>44905</v>
      </c>
      <c r="O7812" t="s">
        <v>44906</v>
      </c>
      <c r="P7812">
        <v>0</v>
      </c>
      <c r="Q7812">
        <v>0</v>
      </c>
      <c r="R7812" t="s">
        <v>44910</v>
      </c>
      <c r="S7812" t="s">
        <v>45076</v>
      </c>
      <c r="T7812" t="s">
        <v>46409</v>
      </c>
      <c r="U7812" t="s">
        <v>53228</v>
      </c>
      <c r="W7812" t="s">
        <v>43485</v>
      </c>
      <c r="X7812" t="s">
        <v>44911</v>
      </c>
    </row>
    <row r="7813" spans="1:24">
      <c r="A7813">
        <f>HYPERLINK("https://www.philgeps.gov.ph/GEPSNONPILOT/Tender/SplashBidNoticeAbstractUI.aspx?menuIndex=3&amp;refID=7074548&amp;Result=3","7074548")</f>
        <v>0</v>
      </c>
      <c r="B7813" t="s">
        <v>1716</v>
      </c>
      <c r="C7813" t="s">
        <v>10974</v>
      </c>
      <c r="D7813" t="s">
        <v>18101</v>
      </c>
      <c r="E7813" t="s">
        <v>25077</v>
      </c>
      <c r="F7813" t="s">
        <v>31362</v>
      </c>
      <c r="G7813" t="s">
        <v>31369</v>
      </c>
      <c r="H7813" t="s">
        <v>15799</v>
      </c>
      <c r="I7813" t="s">
        <v>31459</v>
      </c>
      <c r="J7813" t="s">
        <v>36292</v>
      </c>
      <c r="K7813" t="s">
        <v>40662</v>
      </c>
      <c r="M7813" t="s">
        <v>42784</v>
      </c>
      <c r="N7813" t="s">
        <v>44905</v>
      </c>
      <c r="O7813" t="s">
        <v>44906</v>
      </c>
      <c r="P7813">
        <v>0</v>
      </c>
      <c r="Q7813">
        <v>1</v>
      </c>
      <c r="R7813" t="s">
        <v>44910</v>
      </c>
      <c r="S7813" t="s">
        <v>45076</v>
      </c>
      <c r="T7813" t="s">
        <v>46425</v>
      </c>
      <c r="U7813" t="s">
        <v>53229</v>
      </c>
      <c r="V7813" t="s">
        <v>59231</v>
      </c>
      <c r="W7813" t="s">
        <v>42784</v>
      </c>
      <c r="X7813" t="s">
        <v>44911</v>
      </c>
    </row>
    <row r="7814" spans="1:24">
      <c r="A7814">
        <f>HYPERLINK("https://www.philgeps.gov.ph/GEPSNONPILOT/Tender/SplashBidNoticeAbstractUI.aspx?menuIndex=3&amp;refID=7074740&amp;Result=3","7074740")</f>
        <v>0</v>
      </c>
      <c r="B7814" t="s">
        <v>1270</v>
      </c>
      <c r="C7814" t="s">
        <v>10975</v>
      </c>
      <c r="D7814" t="s">
        <v>18176</v>
      </c>
      <c r="E7814" t="s">
        <v>25078</v>
      </c>
      <c r="F7814" t="s">
        <v>31362</v>
      </c>
      <c r="G7814" t="s">
        <v>31368</v>
      </c>
      <c r="H7814" t="s">
        <v>15799</v>
      </c>
      <c r="I7814" t="s">
        <v>4057</v>
      </c>
      <c r="J7814" t="s">
        <v>36293</v>
      </c>
      <c r="K7814" t="s">
        <v>40698</v>
      </c>
      <c r="M7814" t="s">
        <v>42287</v>
      </c>
      <c r="N7814" t="s">
        <v>44905</v>
      </c>
      <c r="O7814" t="s">
        <v>44906</v>
      </c>
      <c r="P7814">
        <v>0</v>
      </c>
      <c r="Q7814">
        <v>0</v>
      </c>
      <c r="R7814" t="s">
        <v>44910</v>
      </c>
      <c r="S7814" t="s">
        <v>45076</v>
      </c>
      <c r="T7814" t="s">
        <v>46438</v>
      </c>
      <c r="U7814" t="s">
        <v>49706</v>
      </c>
      <c r="W7814" t="s">
        <v>42287</v>
      </c>
      <c r="X7814" t="s">
        <v>44911</v>
      </c>
    </row>
    <row r="7815" spans="1:24">
      <c r="A7815">
        <f>HYPERLINK("https://www.philgeps.gov.ph/GEPSNONPILOT/Tender/SplashBidNoticeAbstractUI.aspx?menuIndex=3&amp;refID=7074544&amp;Result=3","7074544")</f>
        <v>0</v>
      </c>
      <c r="B7815" t="s">
        <v>2300</v>
      </c>
      <c r="C7815" t="s">
        <v>10976</v>
      </c>
      <c r="D7815" t="s">
        <v>18148</v>
      </c>
      <c r="E7815" t="s">
        <v>25079</v>
      </c>
      <c r="F7815" t="s">
        <v>31362</v>
      </c>
      <c r="G7815" t="s">
        <v>31370</v>
      </c>
      <c r="H7815" t="s">
        <v>15799</v>
      </c>
      <c r="I7815" t="s">
        <v>31426</v>
      </c>
      <c r="J7815" t="s">
        <v>36294</v>
      </c>
      <c r="K7815" t="s">
        <v>40665</v>
      </c>
      <c r="M7815" t="s">
        <v>43440</v>
      </c>
      <c r="N7815" t="s">
        <v>44905</v>
      </c>
      <c r="O7815" t="s">
        <v>44906</v>
      </c>
      <c r="P7815">
        <v>0</v>
      </c>
      <c r="Q7815">
        <v>5</v>
      </c>
      <c r="R7815" t="s">
        <v>44910</v>
      </c>
      <c r="S7815" t="s">
        <v>45076</v>
      </c>
      <c r="T7815" t="s">
        <v>46692</v>
      </c>
      <c r="U7815" t="s">
        <v>53117</v>
      </c>
      <c r="W7815" t="s">
        <v>43440</v>
      </c>
      <c r="X7815" t="s">
        <v>44911</v>
      </c>
    </row>
    <row r="7816" spans="1:24">
      <c r="A7816">
        <f>HYPERLINK("https://www.philgeps.gov.ph/GEPSNONPILOT/Tender/SplashBidNoticeAbstractUI.aspx?menuIndex=3&amp;refID=7074674&amp;Result=3","7074674")</f>
        <v>0</v>
      </c>
      <c r="B7816" t="s">
        <v>1269</v>
      </c>
      <c r="C7816" t="s">
        <v>10977</v>
      </c>
      <c r="D7816" t="s">
        <v>18113</v>
      </c>
      <c r="E7816" t="s">
        <v>25080</v>
      </c>
      <c r="F7816" t="s">
        <v>31362</v>
      </c>
      <c r="G7816" t="s">
        <v>31368</v>
      </c>
      <c r="H7816" t="s">
        <v>15799</v>
      </c>
      <c r="I7816" t="s">
        <v>7090</v>
      </c>
      <c r="J7816" t="s">
        <v>36295</v>
      </c>
      <c r="K7816" t="s">
        <v>40677</v>
      </c>
      <c r="M7816" t="s">
        <v>42286</v>
      </c>
      <c r="N7816" t="s">
        <v>44905</v>
      </c>
      <c r="O7816" t="s">
        <v>44906</v>
      </c>
      <c r="P7816">
        <v>0</v>
      </c>
      <c r="Q7816">
        <v>0</v>
      </c>
      <c r="R7816" t="s">
        <v>44910</v>
      </c>
      <c r="S7816" t="s">
        <v>45076</v>
      </c>
      <c r="T7816" t="s">
        <v>46447</v>
      </c>
      <c r="U7816" t="s">
        <v>53230</v>
      </c>
      <c r="W7816" t="s">
        <v>42286</v>
      </c>
      <c r="X7816" t="s">
        <v>44911</v>
      </c>
    </row>
    <row r="7817" spans="1:24">
      <c r="A7817">
        <f>HYPERLINK("https://www.philgeps.gov.ph/GEPSNONPILOT/Tender/SplashBidNoticeAbstractUI.aspx?menuIndex=3&amp;refID=7074547&amp;Result=3","7074547")</f>
        <v>0</v>
      </c>
      <c r="B7817" t="s">
        <v>1337</v>
      </c>
      <c r="C7817" t="s">
        <v>10978</v>
      </c>
      <c r="D7817" t="s">
        <v>18155</v>
      </c>
      <c r="E7817" t="s">
        <v>25081</v>
      </c>
      <c r="F7817" t="s">
        <v>31362</v>
      </c>
      <c r="G7817" t="s">
        <v>31369</v>
      </c>
      <c r="H7817" t="s">
        <v>15799</v>
      </c>
      <c r="I7817" t="s">
        <v>31409</v>
      </c>
      <c r="J7817" t="s">
        <v>32130</v>
      </c>
      <c r="K7817" t="s">
        <v>40666</v>
      </c>
      <c r="M7817" t="s">
        <v>42356</v>
      </c>
      <c r="N7817" t="s">
        <v>44905</v>
      </c>
      <c r="O7817" t="s">
        <v>44906</v>
      </c>
      <c r="P7817">
        <v>0</v>
      </c>
      <c r="Q7817">
        <v>6</v>
      </c>
      <c r="R7817" t="s">
        <v>44910</v>
      </c>
      <c r="S7817" t="s">
        <v>45076</v>
      </c>
      <c r="T7817" t="s">
        <v>46683</v>
      </c>
      <c r="U7817" t="s">
        <v>49954</v>
      </c>
      <c r="W7817" t="s">
        <v>42356</v>
      </c>
      <c r="X7817" t="s">
        <v>44911</v>
      </c>
    </row>
    <row r="7818" spans="1:24">
      <c r="A7818">
        <f>HYPERLINK("https://www.philgeps.gov.ph/GEPSNONPILOT/Tender/SplashBidNoticeAbstractUI.aspx?menuIndex=3&amp;refID=7074803&amp;Result=3","7074803")</f>
        <v>0</v>
      </c>
      <c r="B7818" t="s">
        <v>1956</v>
      </c>
      <c r="C7818" t="s">
        <v>10979</v>
      </c>
      <c r="D7818" t="s">
        <v>18102</v>
      </c>
      <c r="E7818" t="s">
        <v>25082</v>
      </c>
      <c r="F7818" t="s">
        <v>31363</v>
      </c>
      <c r="G7818" t="s">
        <v>31370</v>
      </c>
      <c r="H7818" t="s">
        <v>15799</v>
      </c>
      <c r="I7818" t="s">
        <v>31469</v>
      </c>
      <c r="J7818" t="s">
        <v>36296</v>
      </c>
      <c r="K7818" t="s">
        <v>40672</v>
      </c>
      <c r="M7818" t="s">
        <v>43061</v>
      </c>
      <c r="N7818" t="s">
        <v>44905</v>
      </c>
      <c r="O7818" t="s">
        <v>44906</v>
      </c>
      <c r="P7818">
        <v>0</v>
      </c>
      <c r="Q7818">
        <v>6</v>
      </c>
      <c r="R7818" t="s">
        <v>44910</v>
      </c>
      <c r="S7818" t="s">
        <v>45076</v>
      </c>
      <c r="T7818" t="s">
        <v>46414</v>
      </c>
      <c r="U7818" t="s">
        <v>51358</v>
      </c>
      <c r="W7818" t="s">
        <v>43061</v>
      </c>
      <c r="X7818" t="s">
        <v>44911</v>
      </c>
    </row>
    <row r="7819" spans="1:24">
      <c r="A7819">
        <f>HYPERLINK("https://www.philgeps.gov.ph/GEPSNONPILOT/Tender/SplashBidNoticeAbstractUI.aspx?menuIndex=3&amp;refID=7074799&amp;Result=3","7074799")</f>
        <v>0</v>
      </c>
      <c r="B7819" t="s">
        <v>1417</v>
      </c>
      <c r="C7819" t="s">
        <v>10980</v>
      </c>
      <c r="E7819" t="s">
        <v>25083</v>
      </c>
      <c r="F7819" t="s">
        <v>31362</v>
      </c>
      <c r="G7819" t="s">
        <v>31368</v>
      </c>
      <c r="H7819" t="s">
        <v>15799</v>
      </c>
      <c r="I7819" t="s">
        <v>31409</v>
      </c>
      <c r="J7819" t="s">
        <v>31688</v>
      </c>
      <c r="K7819" t="s">
        <v>40665</v>
      </c>
      <c r="M7819" t="s">
        <v>42443</v>
      </c>
      <c r="N7819" t="s">
        <v>44905</v>
      </c>
      <c r="O7819" t="s">
        <v>44906</v>
      </c>
      <c r="P7819">
        <v>0</v>
      </c>
      <c r="Q7819">
        <v>0</v>
      </c>
      <c r="R7819" t="s">
        <v>44910</v>
      </c>
      <c r="S7819" t="s">
        <v>45076</v>
      </c>
      <c r="T7819" t="s">
        <v>46410</v>
      </c>
      <c r="U7819" t="s">
        <v>48808</v>
      </c>
      <c r="W7819" t="s">
        <v>42443</v>
      </c>
      <c r="X7819" t="s">
        <v>44911</v>
      </c>
    </row>
    <row r="7820" spans="1:24">
      <c r="A7820">
        <f>HYPERLINK("https://www.philgeps.gov.ph/GEPSNONPILOT/Tender/SplashBidNoticeAbstractUI.aspx?menuIndex=3&amp;refID=7074798&amp;Result=3","7074798")</f>
        <v>0</v>
      </c>
      <c r="B7820" t="s">
        <v>2269</v>
      </c>
      <c r="C7820" t="s">
        <v>10981</v>
      </c>
      <c r="D7820" t="s">
        <v>18106</v>
      </c>
      <c r="E7820" t="s">
        <v>25084</v>
      </c>
      <c r="F7820" t="s">
        <v>31362</v>
      </c>
      <c r="G7820" t="s">
        <v>31368</v>
      </c>
      <c r="H7820" t="s">
        <v>15799</v>
      </c>
      <c r="I7820" t="s">
        <v>31430</v>
      </c>
      <c r="J7820" t="s">
        <v>31827</v>
      </c>
      <c r="K7820" t="s">
        <v>40673</v>
      </c>
      <c r="M7820" t="s">
        <v>43408</v>
      </c>
      <c r="N7820" t="s">
        <v>44905</v>
      </c>
      <c r="O7820" t="s">
        <v>44906</v>
      </c>
      <c r="P7820">
        <v>0</v>
      </c>
      <c r="Q7820">
        <v>2</v>
      </c>
      <c r="R7820" t="s">
        <v>44910</v>
      </c>
      <c r="S7820" t="s">
        <v>45076</v>
      </c>
      <c r="T7820" t="s">
        <v>46432</v>
      </c>
      <c r="U7820" t="s">
        <v>53231</v>
      </c>
      <c r="W7820" t="s">
        <v>43408</v>
      </c>
      <c r="X7820" t="s">
        <v>44911</v>
      </c>
    </row>
    <row r="7821" spans="1:24">
      <c r="A7821">
        <f>HYPERLINK("https://www.philgeps.gov.ph/GEPSNONPILOT/Tender/SplashBidNoticeAbstractUI.aspx?menuIndex=3&amp;refID=7074549&amp;Result=3","7074549")</f>
        <v>0</v>
      </c>
      <c r="B7821" t="s">
        <v>1270</v>
      </c>
      <c r="C7821" t="s">
        <v>10982</v>
      </c>
      <c r="D7821" t="s">
        <v>18176</v>
      </c>
      <c r="E7821" t="s">
        <v>25085</v>
      </c>
      <c r="F7821" t="s">
        <v>31362</v>
      </c>
      <c r="G7821" t="s">
        <v>31368</v>
      </c>
      <c r="H7821" t="s">
        <v>15799</v>
      </c>
      <c r="I7821" t="s">
        <v>4057</v>
      </c>
      <c r="J7821" t="s">
        <v>36297</v>
      </c>
      <c r="K7821" t="s">
        <v>40698</v>
      </c>
      <c r="M7821" t="s">
        <v>42287</v>
      </c>
      <c r="N7821" t="s">
        <v>44905</v>
      </c>
      <c r="O7821" t="s">
        <v>44906</v>
      </c>
      <c r="P7821">
        <v>0</v>
      </c>
      <c r="Q7821">
        <v>0</v>
      </c>
      <c r="R7821" t="s">
        <v>44910</v>
      </c>
      <c r="S7821" t="s">
        <v>45076</v>
      </c>
      <c r="T7821" t="s">
        <v>46438</v>
      </c>
      <c r="U7821" t="s">
        <v>49706</v>
      </c>
      <c r="W7821" t="s">
        <v>42287</v>
      </c>
      <c r="X7821" t="s">
        <v>44911</v>
      </c>
    </row>
    <row r="7822" spans="1:24">
      <c r="A7822">
        <f>HYPERLINK("https://www.philgeps.gov.ph/GEPSNONPILOT/Tender/SplashBidNoticeAbstractUI.aspx?menuIndex=3&amp;refID=7074788&amp;Result=3","7074788")</f>
        <v>0</v>
      </c>
      <c r="B7822" t="s">
        <v>45</v>
      </c>
      <c r="C7822" t="s">
        <v>10983</v>
      </c>
      <c r="D7822" t="s">
        <v>18114</v>
      </c>
      <c r="E7822" t="s">
        <v>25086</v>
      </c>
      <c r="F7822" t="s">
        <v>31362</v>
      </c>
      <c r="G7822" t="s">
        <v>31369</v>
      </c>
      <c r="H7822" t="s">
        <v>15799</v>
      </c>
      <c r="I7822" t="s">
        <v>31450</v>
      </c>
      <c r="J7822" t="s">
        <v>36298</v>
      </c>
      <c r="K7822" t="s">
        <v>40665</v>
      </c>
      <c r="M7822" t="s">
        <v>41024</v>
      </c>
      <c r="N7822" t="s">
        <v>44905</v>
      </c>
      <c r="O7822" t="s">
        <v>44906</v>
      </c>
      <c r="P7822">
        <v>0</v>
      </c>
      <c r="Q7822">
        <v>1</v>
      </c>
      <c r="R7822" t="s">
        <v>44910</v>
      </c>
      <c r="S7822" t="s">
        <v>45076</v>
      </c>
      <c r="T7822" t="s">
        <v>46504</v>
      </c>
      <c r="U7822" t="s">
        <v>53232</v>
      </c>
      <c r="W7822" t="s">
        <v>41024</v>
      </c>
      <c r="X7822" t="s">
        <v>44911</v>
      </c>
    </row>
    <row r="7823" spans="1:24">
      <c r="A7823">
        <f>HYPERLINK("https://www.philgeps.gov.ph/GEPSNONPILOT/Tender/SplashBidNoticeAbstractUI.aspx?menuIndex=3&amp;refID=7074818&amp;Result=3","7074818")</f>
        <v>0</v>
      </c>
      <c r="B7823" t="s">
        <v>2261</v>
      </c>
      <c r="C7823" t="s">
        <v>10984</v>
      </c>
      <c r="D7823" t="s">
        <v>18162</v>
      </c>
      <c r="E7823" t="s">
        <v>25087</v>
      </c>
      <c r="F7823" t="s">
        <v>31362</v>
      </c>
      <c r="G7823" t="s">
        <v>31368</v>
      </c>
      <c r="H7823" t="s">
        <v>15799</v>
      </c>
      <c r="I7823" t="s">
        <v>6240</v>
      </c>
      <c r="J7823" t="s">
        <v>36299</v>
      </c>
      <c r="K7823" t="s">
        <v>40666</v>
      </c>
      <c r="M7823" t="s">
        <v>43400</v>
      </c>
      <c r="N7823" t="s">
        <v>44905</v>
      </c>
      <c r="O7823" t="s">
        <v>44906</v>
      </c>
      <c r="P7823">
        <v>0</v>
      </c>
      <c r="Q7823">
        <v>0</v>
      </c>
      <c r="R7823" t="s">
        <v>44910</v>
      </c>
      <c r="S7823" t="s">
        <v>45076</v>
      </c>
      <c r="T7823" t="s">
        <v>46432</v>
      </c>
      <c r="U7823" t="s">
        <v>53233</v>
      </c>
      <c r="W7823" t="s">
        <v>43400</v>
      </c>
      <c r="X7823" t="s">
        <v>44911</v>
      </c>
    </row>
    <row r="7824" spans="1:24">
      <c r="A7824">
        <f>HYPERLINK("https://www.philgeps.gov.ph/GEPSNONPILOT/Tender/SplashBidNoticeAbstractUI.aspx?menuIndex=3&amp;refID=7074817&amp;Result=3","7074817")</f>
        <v>0</v>
      </c>
      <c r="B7824" t="s">
        <v>2343</v>
      </c>
      <c r="C7824" t="s">
        <v>10985</v>
      </c>
      <c r="D7824" t="s">
        <v>18108</v>
      </c>
      <c r="E7824" t="s">
        <v>25088</v>
      </c>
      <c r="F7824" t="s">
        <v>31362</v>
      </c>
      <c r="G7824" t="s">
        <v>31370</v>
      </c>
      <c r="H7824" t="s">
        <v>15799</v>
      </c>
      <c r="I7824" t="s">
        <v>31385</v>
      </c>
      <c r="J7824" t="s">
        <v>33476</v>
      </c>
      <c r="K7824" t="s">
        <v>40665</v>
      </c>
      <c r="M7824" t="s">
        <v>43486</v>
      </c>
      <c r="N7824" t="s">
        <v>44905</v>
      </c>
      <c r="O7824" t="s">
        <v>44906</v>
      </c>
      <c r="P7824">
        <v>0</v>
      </c>
      <c r="Q7824">
        <v>10</v>
      </c>
      <c r="R7824" t="s">
        <v>44910</v>
      </c>
      <c r="S7824" t="s">
        <v>45076</v>
      </c>
      <c r="T7824" t="s">
        <v>46763</v>
      </c>
      <c r="U7824" t="s">
        <v>53234</v>
      </c>
      <c r="W7824" t="s">
        <v>43486</v>
      </c>
      <c r="X7824" t="s">
        <v>44911</v>
      </c>
    </row>
    <row r="7825" spans="1:24">
      <c r="A7825">
        <f>HYPERLINK("https://www.philgeps.gov.ph/GEPSNONPILOT/Tender/SplashBidNoticeAbstractUI.aspx?menuIndex=3&amp;refID=7074713&amp;Result=3","7074713")</f>
        <v>0</v>
      </c>
      <c r="B7825" t="s">
        <v>2344</v>
      </c>
      <c r="C7825" t="s">
        <v>10986</v>
      </c>
      <c r="D7825" t="s">
        <v>18114</v>
      </c>
      <c r="E7825" t="s">
        <v>25089</v>
      </c>
      <c r="F7825" t="s">
        <v>31362</v>
      </c>
      <c r="G7825" t="s">
        <v>31369</v>
      </c>
      <c r="H7825" t="s">
        <v>15799</v>
      </c>
      <c r="I7825" t="s">
        <v>31380</v>
      </c>
      <c r="J7825" t="s">
        <v>36300</v>
      </c>
      <c r="K7825" t="s">
        <v>40673</v>
      </c>
      <c r="M7825" t="s">
        <v>43487</v>
      </c>
      <c r="N7825" t="s">
        <v>44905</v>
      </c>
      <c r="O7825" t="s">
        <v>44906</v>
      </c>
      <c r="P7825">
        <v>0</v>
      </c>
      <c r="Q7825">
        <v>1</v>
      </c>
      <c r="R7825" t="s">
        <v>44910</v>
      </c>
      <c r="S7825" t="s">
        <v>45076</v>
      </c>
      <c r="T7825" t="s">
        <v>46416</v>
      </c>
      <c r="U7825" t="s">
        <v>53235</v>
      </c>
      <c r="W7825" t="s">
        <v>43487</v>
      </c>
      <c r="X7825" t="s">
        <v>44911</v>
      </c>
    </row>
    <row r="7826" spans="1:24">
      <c r="A7826">
        <f>HYPERLINK("https://www.philgeps.gov.ph/GEPSNONPILOT/Tender/SplashBidNoticeAbstractUI.aspx?menuIndex=3&amp;refID=7074815&amp;Result=3","7074815")</f>
        <v>0</v>
      </c>
      <c r="B7826" t="s">
        <v>2332</v>
      </c>
      <c r="C7826" t="s">
        <v>10987</v>
      </c>
      <c r="D7826" t="s">
        <v>18117</v>
      </c>
      <c r="E7826" t="s">
        <v>25090</v>
      </c>
      <c r="F7826" t="s">
        <v>31362</v>
      </c>
      <c r="G7826" t="s">
        <v>31369</v>
      </c>
      <c r="H7826" t="s">
        <v>31378</v>
      </c>
      <c r="I7826" t="s">
        <v>31386</v>
      </c>
      <c r="J7826" t="s">
        <v>31625</v>
      </c>
      <c r="K7826" t="s">
        <v>40662</v>
      </c>
      <c r="M7826" t="s">
        <v>43472</v>
      </c>
      <c r="N7826" t="s">
        <v>44905</v>
      </c>
      <c r="O7826" t="s">
        <v>44906</v>
      </c>
      <c r="P7826">
        <v>0</v>
      </c>
      <c r="Q7826">
        <v>3</v>
      </c>
      <c r="R7826" t="s">
        <v>44910</v>
      </c>
      <c r="S7826" t="s">
        <v>45076</v>
      </c>
      <c r="T7826" t="s">
        <v>46419</v>
      </c>
      <c r="U7826" t="s">
        <v>53236</v>
      </c>
      <c r="W7826" t="s">
        <v>43472</v>
      </c>
      <c r="X7826" t="s">
        <v>44911</v>
      </c>
    </row>
    <row r="7827" spans="1:24">
      <c r="A7827">
        <f>HYPERLINK("https://www.philgeps.gov.ph/GEPSNONPILOT/Tender/SplashBidNoticeAbstractUI.aspx?menuIndex=3&amp;refID=7074792&amp;Result=3","7074792")</f>
        <v>0</v>
      </c>
      <c r="B7827" t="s">
        <v>1549</v>
      </c>
      <c r="C7827" t="s">
        <v>10988</v>
      </c>
      <c r="D7827" t="s">
        <v>18113</v>
      </c>
      <c r="E7827" t="s">
        <v>25091</v>
      </c>
      <c r="F7827" t="s">
        <v>31362</v>
      </c>
      <c r="G7827" t="s">
        <v>31369</v>
      </c>
      <c r="H7827" t="s">
        <v>31378</v>
      </c>
      <c r="I7827" t="s">
        <v>31386</v>
      </c>
      <c r="J7827" t="s">
        <v>31536</v>
      </c>
      <c r="K7827" t="s">
        <v>40665</v>
      </c>
      <c r="M7827" t="s">
        <v>43488</v>
      </c>
      <c r="N7827" t="s">
        <v>44905</v>
      </c>
      <c r="O7827" t="s">
        <v>44906</v>
      </c>
      <c r="P7827">
        <v>0</v>
      </c>
      <c r="Q7827">
        <v>0</v>
      </c>
      <c r="R7827" t="s">
        <v>44910</v>
      </c>
      <c r="S7827" t="s">
        <v>45076</v>
      </c>
      <c r="T7827" t="s">
        <v>46493</v>
      </c>
      <c r="U7827" t="s">
        <v>53237</v>
      </c>
      <c r="W7827" t="s">
        <v>43488</v>
      </c>
      <c r="X7827" t="s">
        <v>44911</v>
      </c>
    </row>
    <row r="7828" spans="1:24">
      <c r="A7828">
        <f>HYPERLINK("https://www.philgeps.gov.ph/GEPSNONPILOT/Tender/SplashBidNoticeAbstractUI.aspx?menuIndex=3&amp;refID=7074811&amp;Result=3","7074811")</f>
        <v>0</v>
      </c>
      <c r="B7828" t="s">
        <v>2129</v>
      </c>
      <c r="C7828" t="s">
        <v>10989</v>
      </c>
      <c r="D7828" t="s">
        <v>18170</v>
      </c>
      <c r="E7828" t="s">
        <v>25092</v>
      </c>
      <c r="F7828" t="s">
        <v>31362</v>
      </c>
      <c r="G7828" t="s">
        <v>31369</v>
      </c>
      <c r="H7828" t="s">
        <v>15799</v>
      </c>
      <c r="I7828" t="s">
        <v>31409</v>
      </c>
      <c r="J7828" t="s">
        <v>34763</v>
      </c>
      <c r="K7828" t="s">
        <v>40665</v>
      </c>
      <c r="M7828" t="s">
        <v>43257</v>
      </c>
      <c r="N7828" t="s">
        <v>44905</v>
      </c>
      <c r="O7828" t="s">
        <v>44906</v>
      </c>
      <c r="P7828">
        <v>0</v>
      </c>
      <c r="Q7828">
        <v>5</v>
      </c>
      <c r="R7828" t="s">
        <v>44910</v>
      </c>
      <c r="S7828" t="s">
        <v>45076</v>
      </c>
      <c r="T7828" t="s">
        <v>46433</v>
      </c>
      <c r="U7828" t="s">
        <v>53238</v>
      </c>
      <c r="W7828" t="s">
        <v>43257</v>
      </c>
      <c r="X7828" t="s">
        <v>44911</v>
      </c>
    </row>
    <row r="7829" spans="1:24">
      <c r="A7829">
        <f>HYPERLINK("https://www.philgeps.gov.ph/GEPSNONPILOT/Tender/SplashBidNoticeAbstractUI.aspx?menuIndex=3&amp;refID=7074809&amp;Result=3","7074809")</f>
        <v>0</v>
      </c>
      <c r="B7829" t="s">
        <v>658</v>
      </c>
      <c r="C7829" t="s">
        <v>10990</v>
      </c>
      <c r="D7829" t="s">
        <v>18108</v>
      </c>
      <c r="E7829" t="s">
        <v>25093</v>
      </c>
      <c r="F7829" t="s">
        <v>31362</v>
      </c>
      <c r="G7829" t="s">
        <v>31368</v>
      </c>
      <c r="H7829" t="s">
        <v>15799</v>
      </c>
      <c r="I7829" t="s">
        <v>31406</v>
      </c>
      <c r="J7829" t="s">
        <v>31536</v>
      </c>
      <c r="K7829" t="s">
        <v>40662</v>
      </c>
      <c r="M7829" t="s">
        <v>43489</v>
      </c>
      <c r="N7829" t="s">
        <v>44905</v>
      </c>
      <c r="O7829" t="s">
        <v>44906</v>
      </c>
      <c r="P7829">
        <v>0</v>
      </c>
      <c r="Q7829">
        <v>1</v>
      </c>
      <c r="R7829" t="s">
        <v>44910</v>
      </c>
      <c r="S7829" t="s">
        <v>45076</v>
      </c>
      <c r="T7829" t="s">
        <v>46393</v>
      </c>
      <c r="U7829" t="s">
        <v>53239</v>
      </c>
      <c r="W7829" t="s">
        <v>43489</v>
      </c>
      <c r="X7829" t="s">
        <v>44911</v>
      </c>
    </row>
    <row r="7830" spans="1:24">
      <c r="A7830">
        <f>HYPERLINK("https://www.philgeps.gov.ph/GEPSNONPILOT/Tender/SplashBidNoticeAbstractUI.aspx?menuIndex=3&amp;refID=7074686&amp;Result=3","7074686")</f>
        <v>0</v>
      </c>
      <c r="B7830" t="s">
        <v>2261</v>
      </c>
      <c r="C7830" t="s">
        <v>10991</v>
      </c>
      <c r="D7830" t="s">
        <v>18162</v>
      </c>
      <c r="E7830" t="s">
        <v>25094</v>
      </c>
      <c r="F7830" t="s">
        <v>31362</v>
      </c>
      <c r="G7830" t="s">
        <v>31368</v>
      </c>
      <c r="H7830" t="s">
        <v>15799</v>
      </c>
      <c r="I7830" t="s">
        <v>31400</v>
      </c>
      <c r="J7830" t="s">
        <v>32016</v>
      </c>
      <c r="K7830" t="s">
        <v>40670</v>
      </c>
      <c r="M7830" t="s">
        <v>43400</v>
      </c>
      <c r="N7830" t="s">
        <v>44905</v>
      </c>
      <c r="O7830" t="s">
        <v>44906</v>
      </c>
      <c r="Q7830">
        <v>0</v>
      </c>
      <c r="R7830" t="s">
        <v>44910</v>
      </c>
      <c r="S7830" t="s">
        <v>45109</v>
      </c>
      <c r="T7830" t="s">
        <v>46432</v>
      </c>
      <c r="U7830" t="s">
        <v>53240</v>
      </c>
      <c r="W7830" t="s">
        <v>43400</v>
      </c>
      <c r="X7830" t="s">
        <v>44911</v>
      </c>
    </row>
    <row r="7831" spans="1:24">
      <c r="A7831">
        <f>HYPERLINK("https://www.philgeps.gov.ph/GEPSNONPILOT/Tender/SplashBidNoticeAbstractUI.aspx?menuIndex=3&amp;refID=7074783&amp;Result=3","7074783")</f>
        <v>0</v>
      </c>
      <c r="B7831" t="s">
        <v>347</v>
      </c>
      <c r="C7831" t="s">
        <v>10992</v>
      </c>
      <c r="D7831" t="s">
        <v>18120</v>
      </c>
      <c r="E7831" t="s">
        <v>24557</v>
      </c>
      <c r="F7831" t="s">
        <v>31362</v>
      </c>
      <c r="G7831" t="s">
        <v>31369</v>
      </c>
      <c r="H7831" t="s">
        <v>15799</v>
      </c>
      <c r="I7831" t="s">
        <v>3815</v>
      </c>
      <c r="J7831" t="s">
        <v>36301</v>
      </c>
      <c r="K7831" t="s">
        <v>40666</v>
      </c>
      <c r="M7831" t="s">
        <v>41293</v>
      </c>
      <c r="N7831" t="s">
        <v>44905</v>
      </c>
      <c r="O7831" t="s">
        <v>44906</v>
      </c>
      <c r="P7831">
        <v>0</v>
      </c>
      <c r="Q7831">
        <v>2</v>
      </c>
      <c r="R7831" t="s">
        <v>44910</v>
      </c>
      <c r="S7831" t="s">
        <v>45076</v>
      </c>
      <c r="T7831" t="s">
        <v>46607</v>
      </c>
      <c r="U7831" t="s">
        <v>53241</v>
      </c>
      <c r="W7831" t="s">
        <v>41293</v>
      </c>
      <c r="X7831" t="s">
        <v>44911</v>
      </c>
    </row>
    <row r="7832" spans="1:24">
      <c r="A7832">
        <f>HYPERLINK("https://www.philgeps.gov.ph/GEPSNONPILOT/Tender/SplashBidNoticeAbstractUI.aspx?menuIndex=3&amp;refID=7074780&amp;Result=3","7074780")</f>
        <v>0</v>
      </c>
      <c r="B7832" t="s">
        <v>2345</v>
      </c>
      <c r="C7832" t="s">
        <v>10993</v>
      </c>
      <c r="D7832" t="s">
        <v>18170</v>
      </c>
      <c r="E7832" t="s">
        <v>21820</v>
      </c>
      <c r="F7832" t="s">
        <v>31362</v>
      </c>
      <c r="G7832" t="s">
        <v>31369</v>
      </c>
      <c r="H7832" t="s">
        <v>15799</v>
      </c>
      <c r="I7832" t="s">
        <v>3815</v>
      </c>
      <c r="J7832" t="s">
        <v>36302</v>
      </c>
      <c r="K7832" t="s">
        <v>40670</v>
      </c>
      <c r="M7832" t="s">
        <v>43490</v>
      </c>
      <c r="N7832" t="s">
        <v>44905</v>
      </c>
      <c r="O7832" t="s">
        <v>44906</v>
      </c>
      <c r="P7832">
        <v>0</v>
      </c>
      <c r="Q7832">
        <v>0</v>
      </c>
      <c r="R7832" t="s">
        <v>44910</v>
      </c>
      <c r="S7832" t="s">
        <v>45076</v>
      </c>
      <c r="T7832" t="s">
        <v>46419</v>
      </c>
      <c r="U7832" t="s">
        <v>53242</v>
      </c>
      <c r="W7832" t="s">
        <v>43490</v>
      </c>
      <c r="X7832" t="s">
        <v>44911</v>
      </c>
    </row>
    <row r="7833" spans="1:24">
      <c r="A7833">
        <f>HYPERLINK("https://www.philgeps.gov.ph/GEPSNONPILOT/Tender/SplashBidNoticeAbstractUI.aspx?menuIndex=3&amp;refID=7074779&amp;Result=3","7074779")</f>
        <v>0</v>
      </c>
      <c r="B7833" t="s">
        <v>2320</v>
      </c>
      <c r="C7833" t="s">
        <v>10994</v>
      </c>
      <c r="D7833" t="s">
        <v>18148</v>
      </c>
      <c r="E7833" t="s">
        <v>19689</v>
      </c>
      <c r="F7833" t="s">
        <v>31362</v>
      </c>
      <c r="G7833" t="s">
        <v>31369</v>
      </c>
      <c r="H7833" t="s">
        <v>15799</v>
      </c>
      <c r="I7833" t="s">
        <v>3815</v>
      </c>
      <c r="J7833" t="s">
        <v>36303</v>
      </c>
      <c r="K7833" t="s">
        <v>40661</v>
      </c>
      <c r="M7833" t="s">
        <v>43460</v>
      </c>
      <c r="N7833" t="s">
        <v>44905</v>
      </c>
      <c r="O7833" t="s">
        <v>44906</v>
      </c>
      <c r="P7833">
        <v>0</v>
      </c>
      <c r="Q7833">
        <v>0</v>
      </c>
      <c r="R7833" t="s">
        <v>44910</v>
      </c>
      <c r="S7833" t="s">
        <v>45076</v>
      </c>
      <c r="T7833" t="s">
        <v>46438</v>
      </c>
      <c r="U7833" t="s">
        <v>53243</v>
      </c>
      <c r="W7833" t="s">
        <v>43460</v>
      </c>
      <c r="X7833" t="s">
        <v>44911</v>
      </c>
    </row>
    <row r="7834" spans="1:24">
      <c r="A7834">
        <f>HYPERLINK("https://www.philgeps.gov.ph/GEPSNONPILOT/Tender/SplashBidNoticeAbstractUI.aspx?menuIndex=3&amp;refID=7074778&amp;Result=3","7074778")</f>
        <v>0</v>
      </c>
      <c r="B7834" t="s">
        <v>2340</v>
      </c>
      <c r="C7834" t="s">
        <v>6367</v>
      </c>
      <c r="D7834" t="s">
        <v>18131</v>
      </c>
      <c r="E7834" t="s">
        <v>25095</v>
      </c>
      <c r="F7834" t="s">
        <v>31362</v>
      </c>
      <c r="G7834" t="s">
        <v>31369</v>
      </c>
      <c r="H7834" t="s">
        <v>15799</v>
      </c>
      <c r="I7834" t="s">
        <v>4283</v>
      </c>
      <c r="J7834" t="s">
        <v>31536</v>
      </c>
      <c r="K7834" t="s">
        <v>40662</v>
      </c>
      <c r="M7834" t="s">
        <v>43482</v>
      </c>
      <c r="N7834" t="s">
        <v>44905</v>
      </c>
      <c r="O7834" t="s">
        <v>44906</v>
      </c>
      <c r="P7834">
        <v>0</v>
      </c>
      <c r="Q7834">
        <v>1</v>
      </c>
      <c r="R7834" t="s">
        <v>44910</v>
      </c>
      <c r="S7834" t="s">
        <v>45076</v>
      </c>
      <c r="T7834" t="s">
        <v>46438</v>
      </c>
      <c r="U7834" t="s">
        <v>53244</v>
      </c>
      <c r="V7834" t="s">
        <v>59825</v>
      </c>
      <c r="W7834" t="s">
        <v>43482</v>
      </c>
      <c r="X7834" t="s">
        <v>44911</v>
      </c>
    </row>
    <row r="7835" spans="1:24">
      <c r="A7835">
        <f>HYPERLINK("https://www.philgeps.gov.ph/GEPSNONPILOT/Tender/SplashBidNoticeAbstractUI.aspx?menuIndex=3&amp;refID=7074787&amp;Result=3","7074787")</f>
        <v>0</v>
      </c>
      <c r="B7835" t="s">
        <v>1798</v>
      </c>
      <c r="C7835" t="s">
        <v>10995</v>
      </c>
      <c r="D7835" t="s">
        <v>18131</v>
      </c>
      <c r="E7835" t="s">
        <v>25096</v>
      </c>
      <c r="F7835" t="s">
        <v>31362</v>
      </c>
      <c r="G7835" t="s">
        <v>31369</v>
      </c>
      <c r="H7835" t="s">
        <v>15799</v>
      </c>
      <c r="I7835" t="s">
        <v>3815</v>
      </c>
      <c r="J7835" t="s">
        <v>36304</v>
      </c>
      <c r="K7835" t="s">
        <v>40680</v>
      </c>
      <c r="M7835" t="s">
        <v>42880</v>
      </c>
      <c r="N7835" t="s">
        <v>44905</v>
      </c>
      <c r="O7835" t="s">
        <v>44906</v>
      </c>
      <c r="P7835">
        <v>0</v>
      </c>
      <c r="Q7835">
        <v>3</v>
      </c>
      <c r="R7835" t="s">
        <v>44910</v>
      </c>
      <c r="S7835" t="s">
        <v>45076</v>
      </c>
      <c r="T7835" t="s">
        <v>46416</v>
      </c>
      <c r="U7835" t="s">
        <v>49655</v>
      </c>
      <c r="W7835" t="s">
        <v>42880</v>
      </c>
      <c r="X7835" t="s">
        <v>44911</v>
      </c>
    </row>
    <row r="7836" spans="1:24">
      <c r="A7836">
        <f>HYPERLINK("https://www.philgeps.gov.ph/GEPSNONPILOT/Tender/SplashBidNoticeAbstractUI.aspx?menuIndex=3&amp;refID=7074786&amp;Result=3","7074786")</f>
        <v>0</v>
      </c>
      <c r="B7836" t="s">
        <v>2261</v>
      </c>
      <c r="C7836" t="s">
        <v>10996</v>
      </c>
      <c r="D7836" t="s">
        <v>18162</v>
      </c>
      <c r="E7836" t="s">
        <v>25097</v>
      </c>
      <c r="F7836" t="s">
        <v>31362</v>
      </c>
      <c r="G7836" t="s">
        <v>31368</v>
      </c>
      <c r="H7836" t="s">
        <v>15799</v>
      </c>
      <c r="I7836" t="s">
        <v>6240</v>
      </c>
      <c r="J7836" t="s">
        <v>36305</v>
      </c>
      <c r="K7836" t="s">
        <v>40666</v>
      </c>
      <c r="M7836" t="s">
        <v>43400</v>
      </c>
      <c r="N7836" t="s">
        <v>44905</v>
      </c>
      <c r="O7836" t="s">
        <v>44906</v>
      </c>
      <c r="P7836">
        <v>0</v>
      </c>
      <c r="Q7836">
        <v>0</v>
      </c>
      <c r="R7836" t="s">
        <v>44910</v>
      </c>
      <c r="S7836" t="s">
        <v>45076</v>
      </c>
      <c r="T7836" t="s">
        <v>46432</v>
      </c>
      <c r="U7836" t="s">
        <v>53245</v>
      </c>
      <c r="W7836" t="s">
        <v>43400</v>
      </c>
      <c r="X7836" t="s">
        <v>44911</v>
      </c>
    </row>
    <row r="7837" spans="1:24">
      <c r="A7837">
        <f>HYPERLINK("https://www.philgeps.gov.ph/GEPSNONPILOT/Tender/SplashBidNoticeAbstractUI.aspx?menuIndex=3&amp;refID=7074699&amp;Result=3","7074699")</f>
        <v>0</v>
      </c>
      <c r="B7837" t="s">
        <v>862</v>
      </c>
      <c r="C7837" t="s">
        <v>10997</v>
      </c>
      <c r="D7837" t="s">
        <v>18110</v>
      </c>
      <c r="E7837" t="s">
        <v>25098</v>
      </c>
      <c r="F7837" t="s">
        <v>31362</v>
      </c>
      <c r="G7837" t="s">
        <v>31371</v>
      </c>
      <c r="H7837" t="s">
        <v>15799</v>
      </c>
      <c r="I7837" t="s">
        <v>6373</v>
      </c>
      <c r="J7837" t="s">
        <v>32519</v>
      </c>
      <c r="K7837" t="s">
        <v>40665</v>
      </c>
      <c r="L7837" t="s">
        <v>862</v>
      </c>
      <c r="M7837" t="s">
        <v>41838</v>
      </c>
      <c r="N7837" t="s">
        <v>44905</v>
      </c>
      <c r="O7837" t="s">
        <v>44906</v>
      </c>
      <c r="P7837">
        <v>0</v>
      </c>
      <c r="Q7837">
        <v>8</v>
      </c>
      <c r="R7837" t="s">
        <v>44910</v>
      </c>
      <c r="S7837" t="s">
        <v>45076</v>
      </c>
      <c r="T7837" t="s">
        <v>46438</v>
      </c>
      <c r="U7837" t="s">
        <v>53246</v>
      </c>
      <c r="W7837" t="s">
        <v>41838</v>
      </c>
      <c r="X7837" t="s">
        <v>44911</v>
      </c>
    </row>
    <row r="7838" spans="1:24">
      <c r="A7838">
        <f>HYPERLINK("https://www.philgeps.gov.ph/GEPSNONPILOT/Tender/SplashBidNoticeAbstractUI.aspx?menuIndex=3&amp;refID=7074849&amp;Result=3","7074849")</f>
        <v>0</v>
      </c>
      <c r="B7838" t="s">
        <v>988</v>
      </c>
      <c r="C7838" t="s">
        <v>10998</v>
      </c>
      <c r="D7838" t="s">
        <v>18111</v>
      </c>
      <c r="E7838" t="s">
        <v>25099</v>
      </c>
      <c r="F7838" t="s">
        <v>31362</v>
      </c>
      <c r="G7838" t="s">
        <v>31369</v>
      </c>
      <c r="H7838" t="s">
        <v>15799</v>
      </c>
      <c r="I7838" t="s">
        <v>4942</v>
      </c>
      <c r="J7838" t="s">
        <v>36306</v>
      </c>
      <c r="K7838" t="s">
        <v>40670</v>
      </c>
      <c r="L7838" t="s">
        <v>988</v>
      </c>
      <c r="M7838" t="s">
        <v>41982</v>
      </c>
      <c r="N7838" t="s">
        <v>44905</v>
      </c>
      <c r="O7838" t="s">
        <v>44906</v>
      </c>
      <c r="P7838">
        <v>0</v>
      </c>
      <c r="Q7838">
        <v>0</v>
      </c>
      <c r="R7838" t="s">
        <v>44910</v>
      </c>
      <c r="S7838" t="s">
        <v>45076</v>
      </c>
      <c r="T7838" t="s">
        <v>46549</v>
      </c>
      <c r="U7838" t="s">
        <v>53247</v>
      </c>
      <c r="V7838" t="s">
        <v>59826</v>
      </c>
      <c r="W7838" t="s">
        <v>41982</v>
      </c>
      <c r="X7838" t="s">
        <v>44911</v>
      </c>
    </row>
    <row r="7839" spans="1:24">
      <c r="A7839">
        <f>HYPERLINK("https://www.philgeps.gov.ph/GEPSNONPILOT/Tender/SplashBidNoticeAbstractUI.aspx?menuIndex=3&amp;refID=7074848&amp;Result=3","7074848")</f>
        <v>0</v>
      </c>
      <c r="B7839" t="s">
        <v>1655</v>
      </c>
      <c r="C7839" t="s">
        <v>10939</v>
      </c>
      <c r="D7839" t="s">
        <v>18136</v>
      </c>
      <c r="E7839" t="s">
        <v>25100</v>
      </c>
      <c r="F7839" t="s">
        <v>31362</v>
      </c>
      <c r="G7839" t="s">
        <v>31368</v>
      </c>
      <c r="H7839" t="s">
        <v>15799</v>
      </c>
      <c r="I7839" t="s">
        <v>31404</v>
      </c>
      <c r="J7839" t="s">
        <v>31591</v>
      </c>
      <c r="K7839" t="s">
        <v>40661</v>
      </c>
      <c r="M7839" t="s">
        <v>43362</v>
      </c>
      <c r="N7839" t="s">
        <v>44905</v>
      </c>
      <c r="O7839" t="s">
        <v>44906</v>
      </c>
      <c r="P7839">
        <v>0</v>
      </c>
      <c r="Q7839">
        <v>0</v>
      </c>
      <c r="R7839" t="s">
        <v>44910</v>
      </c>
      <c r="S7839" t="s">
        <v>45076</v>
      </c>
      <c r="T7839" t="s">
        <v>46425</v>
      </c>
      <c r="U7839" t="s">
        <v>53248</v>
      </c>
      <c r="W7839" t="s">
        <v>43362</v>
      </c>
      <c r="X7839" t="s">
        <v>44911</v>
      </c>
    </row>
    <row r="7840" spans="1:24">
      <c r="A7840">
        <f>HYPERLINK("https://www.philgeps.gov.ph/GEPSNONPILOT/Tender/SplashBidNoticeAbstractUI.aspx?menuIndex=3&amp;refID=7074847&amp;Result=3","7074847")</f>
        <v>0</v>
      </c>
      <c r="B7840" t="s">
        <v>2346</v>
      </c>
      <c r="C7840" t="s">
        <v>10999</v>
      </c>
      <c r="D7840" t="s">
        <v>18101</v>
      </c>
      <c r="E7840" t="s">
        <v>25101</v>
      </c>
      <c r="F7840" t="s">
        <v>31362</v>
      </c>
      <c r="G7840" t="s">
        <v>31369</v>
      </c>
      <c r="H7840" t="s">
        <v>31378</v>
      </c>
      <c r="I7840" t="s">
        <v>31439</v>
      </c>
      <c r="J7840" t="s">
        <v>36307</v>
      </c>
      <c r="K7840" t="s">
        <v>40834</v>
      </c>
      <c r="M7840" t="s">
        <v>43491</v>
      </c>
      <c r="N7840" t="s">
        <v>44905</v>
      </c>
      <c r="O7840" t="s">
        <v>44906</v>
      </c>
      <c r="P7840">
        <v>0</v>
      </c>
      <c r="Q7840">
        <v>0</v>
      </c>
      <c r="R7840" t="s">
        <v>44910</v>
      </c>
      <c r="S7840" t="s">
        <v>45076</v>
      </c>
      <c r="T7840" t="s">
        <v>46741</v>
      </c>
      <c r="U7840" t="s">
        <v>53249</v>
      </c>
      <c r="V7840" t="s">
        <v>59827</v>
      </c>
      <c r="W7840" t="s">
        <v>43491</v>
      </c>
      <c r="X7840" t="s">
        <v>44911</v>
      </c>
    </row>
    <row r="7841" spans="1:24">
      <c r="A7841">
        <f>HYPERLINK("https://www.philgeps.gov.ph/GEPSNONPILOT/Tender/SplashBidNoticeAbstractUI.aspx?menuIndex=3&amp;refID=7074846&amp;Result=3","7074846")</f>
        <v>0</v>
      </c>
      <c r="B7841" t="s">
        <v>1261</v>
      </c>
      <c r="C7841" t="s">
        <v>11000</v>
      </c>
      <c r="D7841" t="s">
        <v>18113</v>
      </c>
      <c r="E7841" t="s">
        <v>11000</v>
      </c>
      <c r="F7841" t="s">
        <v>31362</v>
      </c>
      <c r="G7841" t="s">
        <v>31369</v>
      </c>
      <c r="H7841" t="s">
        <v>15799</v>
      </c>
      <c r="I7841" t="s">
        <v>6155</v>
      </c>
      <c r="J7841" t="s">
        <v>32785</v>
      </c>
      <c r="K7841" t="s">
        <v>40665</v>
      </c>
      <c r="M7841" t="s">
        <v>42277</v>
      </c>
      <c r="N7841" t="s">
        <v>44905</v>
      </c>
      <c r="O7841" t="s">
        <v>44906</v>
      </c>
      <c r="P7841">
        <v>0</v>
      </c>
      <c r="Q7841">
        <v>1</v>
      </c>
      <c r="R7841" t="s">
        <v>44910</v>
      </c>
      <c r="S7841" t="s">
        <v>45076</v>
      </c>
      <c r="T7841" t="s">
        <v>46493</v>
      </c>
      <c r="U7841" t="s">
        <v>53250</v>
      </c>
      <c r="W7841" t="s">
        <v>42277</v>
      </c>
      <c r="X7841" t="s">
        <v>44911</v>
      </c>
    </row>
    <row r="7842" spans="1:24">
      <c r="A7842">
        <f>HYPERLINK("https://www.philgeps.gov.ph/GEPSNONPILOT/Tender/SplashBidNoticeAbstractUI.aspx?menuIndex=3&amp;refID=7074760&amp;Result=3","7074760")</f>
        <v>0</v>
      </c>
      <c r="B7842" t="s">
        <v>2336</v>
      </c>
      <c r="C7842" t="s">
        <v>11001</v>
      </c>
      <c r="D7842" t="s">
        <v>18110</v>
      </c>
      <c r="E7842" t="s">
        <v>25102</v>
      </c>
      <c r="F7842" t="s">
        <v>31362</v>
      </c>
      <c r="G7842" t="s">
        <v>31368</v>
      </c>
      <c r="H7842" t="s">
        <v>31379</v>
      </c>
      <c r="I7842" t="s">
        <v>31385</v>
      </c>
      <c r="J7842" t="s">
        <v>36308</v>
      </c>
      <c r="K7842" t="s">
        <v>40708</v>
      </c>
      <c r="M7842" t="s">
        <v>43476</v>
      </c>
      <c r="N7842" t="s">
        <v>44905</v>
      </c>
      <c r="O7842" t="s">
        <v>44906</v>
      </c>
      <c r="P7842">
        <v>0</v>
      </c>
      <c r="Q7842">
        <v>3</v>
      </c>
      <c r="R7842" t="s">
        <v>44910</v>
      </c>
      <c r="S7842" t="s">
        <v>45076</v>
      </c>
      <c r="T7842" t="s">
        <v>46425</v>
      </c>
      <c r="U7842" t="s">
        <v>53208</v>
      </c>
      <c r="W7842" t="s">
        <v>43476</v>
      </c>
      <c r="X7842" t="s">
        <v>44911</v>
      </c>
    </row>
    <row r="7843" spans="1:24">
      <c r="A7843">
        <f>HYPERLINK("https://www.philgeps.gov.ph/GEPSNONPILOT/Tender/SplashBidNoticeAbstractUI.aspx?menuIndex=3&amp;refID=7074844&amp;Result=3","7074844")</f>
        <v>0</v>
      </c>
      <c r="B7843" t="s">
        <v>2347</v>
      </c>
      <c r="C7843" t="s">
        <v>11002</v>
      </c>
      <c r="D7843" t="s">
        <v>18131</v>
      </c>
      <c r="E7843" t="s">
        <v>25103</v>
      </c>
      <c r="F7843" t="s">
        <v>31362</v>
      </c>
      <c r="G7843" t="s">
        <v>31369</v>
      </c>
      <c r="H7843" t="s">
        <v>31378</v>
      </c>
      <c r="I7843" t="s">
        <v>31386</v>
      </c>
      <c r="J7843" t="s">
        <v>36309</v>
      </c>
      <c r="K7843" t="s">
        <v>40662</v>
      </c>
      <c r="M7843" t="s">
        <v>43492</v>
      </c>
      <c r="N7843" t="s">
        <v>44905</v>
      </c>
      <c r="O7843" t="s">
        <v>44906</v>
      </c>
      <c r="P7843">
        <v>0</v>
      </c>
      <c r="Q7843">
        <v>1</v>
      </c>
      <c r="R7843" t="s">
        <v>44910</v>
      </c>
      <c r="S7843" t="s">
        <v>45076</v>
      </c>
      <c r="T7843" t="s">
        <v>46438</v>
      </c>
      <c r="U7843" t="s">
        <v>53251</v>
      </c>
      <c r="V7843" t="s">
        <v>59718</v>
      </c>
      <c r="W7843" t="s">
        <v>43492</v>
      </c>
      <c r="X7843" t="s">
        <v>44911</v>
      </c>
    </row>
    <row r="7844" spans="1:24">
      <c r="A7844">
        <f>HYPERLINK("https://www.philgeps.gov.ph/GEPSNONPILOT/Tender/SplashBidNoticeAbstractUI.aspx?menuIndex=3&amp;refID=7074855&amp;Result=3","7074855")</f>
        <v>0</v>
      </c>
      <c r="B7844" t="s">
        <v>2348</v>
      </c>
      <c r="C7844" t="s">
        <v>11003</v>
      </c>
      <c r="D7844" t="s">
        <v>18154</v>
      </c>
      <c r="E7844" t="s">
        <v>25104</v>
      </c>
      <c r="F7844" t="s">
        <v>31362</v>
      </c>
      <c r="G7844" t="s">
        <v>31369</v>
      </c>
      <c r="H7844" t="s">
        <v>15799</v>
      </c>
      <c r="I7844" t="s">
        <v>31436</v>
      </c>
      <c r="J7844" t="s">
        <v>36310</v>
      </c>
      <c r="K7844" t="s">
        <v>40662</v>
      </c>
      <c r="M7844" t="s">
        <v>43493</v>
      </c>
      <c r="N7844" t="s">
        <v>44905</v>
      </c>
      <c r="O7844" t="s">
        <v>44906</v>
      </c>
      <c r="P7844">
        <v>0</v>
      </c>
      <c r="Q7844">
        <v>1</v>
      </c>
      <c r="R7844" t="s">
        <v>44910</v>
      </c>
      <c r="S7844" t="s">
        <v>45076</v>
      </c>
      <c r="T7844" t="s">
        <v>46464</v>
      </c>
      <c r="U7844" t="s">
        <v>53252</v>
      </c>
      <c r="W7844" t="s">
        <v>43493</v>
      </c>
      <c r="X7844" t="s">
        <v>44911</v>
      </c>
    </row>
    <row r="7845" spans="1:24">
      <c r="A7845">
        <f>HYPERLINK("https://www.philgeps.gov.ph/GEPSNONPILOT/Tender/SplashBidNoticeAbstractUI.aspx?menuIndex=3&amp;refID=7074770&amp;Result=3","7074770")</f>
        <v>0</v>
      </c>
      <c r="B7845" t="s">
        <v>962</v>
      </c>
      <c r="C7845" t="s">
        <v>11004</v>
      </c>
      <c r="D7845" t="s">
        <v>18152</v>
      </c>
      <c r="E7845" t="s">
        <v>25105</v>
      </c>
      <c r="F7845" t="s">
        <v>31362</v>
      </c>
      <c r="G7845" t="s">
        <v>31369</v>
      </c>
      <c r="H7845" t="s">
        <v>15799</v>
      </c>
      <c r="I7845" t="s">
        <v>31430</v>
      </c>
      <c r="J7845" t="s">
        <v>36311</v>
      </c>
      <c r="K7845" t="s">
        <v>40665</v>
      </c>
      <c r="M7845" t="s">
        <v>41950</v>
      </c>
      <c r="N7845" t="s">
        <v>44905</v>
      </c>
      <c r="O7845" t="s">
        <v>44906</v>
      </c>
      <c r="P7845">
        <v>0</v>
      </c>
      <c r="Q7845">
        <v>0</v>
      </c>
      <c r="R7845" t="s">
        <v>44910</v>
      </c>
      <c r="S7845" t="s">
        <v>45076</v>
      </c>
      <c r="T7845" t="s">
        <v>46410</v>
      </c>
      <c r="U7845" t="s">
        <v>53253</v>
      </c>
      <c r="W7845" t="s">
        <v>41950</v>
      </c>
      <c r="X7845" t="s">
        <v>44911</v>
      </c>
    </row>
    <row r="7846" spans="1:24">
      <c r="A7846">
        <f>HYPERLINK("https://www.philgeps.gov.ph/GEPSNONPILOT/Tender/SplashBidNoticeAbstractUI.aspx?menuIndex=3&amp;refID=7074854&amp;Result=3","7074854")</f>
        <v>0</v>
      </c>
      <c r="B7846" t="s">
        <v>2349</v>
      </c>
      <c r="C7846" t="s">
        <v>11005</v>
      </c>
      <c r="D7846" t="s">
        <v>18151</v>
      </c>
      <c r="E7846" t="s">
        <v>19844</v>
      </c>
      <c r="F7846" t="s">
        <v>31362</v>
      </c>
      <c r="G7846" t="s">
        <v>31369</v>
      </c>
      <c r="H7846" t="s">
        <v>31378</v>
      </c>
      <c r="I7846" t="s">
        <v>31386</v>
      </c>
      <c r="J7846" t="s">
        <v>36312</v>
      </c>
      <c r="K7846" t="s">
        <v>40675</v>
      </c>
      <c r="M7846" t="s">
        <v>43494</v>
      </c>
      <c r="N7846" t="s">
        <v>44905</v>
      </c>
      <c r="O7846" t="s">
        <v>44906</v>
      </c>
      <c r="P7846">
        <v>0</v>
      </c>
      <c r="Q7846">
        <v>0</v>
      </c>
      <c r="R7846" t="s">
        <v>44910</v>
      </c>
      <c r="S7846" t="s">
        <v>45076</v>
      </c>
      <c r="T7846" t="s">
        <v>46764</v>
      </c>
      <c r="U7846" t="s">
        <v>53254</v>
      </c>
      <c r="V7846" t="s">
        <v>59800</v>
      </c>
      <c r="W7846" t="s">
        <v>43494</v>
      </c>
      <c r="X7846" t="s">
        <v>44911</v>
      </c>
    </row>
    <row r="7847" spans="1:24">
      <c r="A7847">
        <f>HYPERLINK("https://www.philgeps.gov.ph/GEPSNONPILOT/Tender/SplashBidNoticeAbstractUI.aspx?menuIndex=3&amp;refID=7074853&amp;Result=3","7074853")</f>
        <v>0</v>
      </c>
      <c r="B7847" t="s">
        <v>1116</v>
      </c>
      <c r="C7847" t="s">
        <v>11006</v>
      </c>
      <c r="D7847" t="s">
        <v>18153</v>
      </c>
      <c r="E7847" t="s">
        <v>25106</v>
      </c>
      <c r="F7847" t="s">
        <v>31362</v>
      </c>
      <c r="G7847" t="s">
        <v>31370</v>
      </c>
      <c r="H7847" t="s">
        <v>15799</v>
      </c>
      <c r="I7847" t="s">
        <v>31409</v>
      </c>
      <c r="J7847" t="s">
        <v>31546</v>
      </c>
      <c r="K7847" t="s">
        <v>40662</v>
      </c>
      <c r="M7847" t="s">
        <v>42122</v>
      </c>
      <c r="N7847" t="s">
        <v>44905</v>
      </c>
      <c r="O7847" t="s">
        <v>44906</v>
      </c>
      <c r="P7847">
        <v>0</v>
      </c>
      <c r="Q7847">
        <v>0</v>
      </c>
      <c r="R7847" t="s">
        <v>44910</v>
      </c>
      <c r="S7847" t="s">
        <v>45076</v>
      </c>
      <c r="T7847" t="s">
        <v>46435</v>
      </c>
      <c r="U7847" t="s">
        <v>53255</v>
      </c>
      <c r="W7847" t="s">
        <v>60882</v>
      </c>
      <c r="X7847" t="s">
        <v>44911</v>
      </c>
    </row>
    <row r="7848" spans="1:24">
      <c r="A7848">
        <f>HYPERLINK("https://www.philgeps.gov.ph/GEPSNONPILOT/Tender/SplashBidNoticeAbstractUI.aspx?menuIndex=3&amp;refID=7074850&amp;Result=3","7074850")</f>
        <v>0</v>
      </c>
      <c r="B7848" t="s">
        <v>2343</v>
      </c>
      <c r="C7848" t="s">
        <v>11007</v>
      </c>
      <c r="D7848" t="s">
        <v>18108</v>
      </c>
      <c r="E7848" t="s">
        <v>25107</v>
      </c>
      <c r="F7848" t="s">
        <v>31362</v>
      </c>
      <c r="G7848" t="s">
        <v>31370</v>
      </c>
      <c r="H7848" t="s">
        <v>15799</v>
      </c>
      <c r="I7848" t="s">
        <v>31385</v>
      </c>
      <c r="J7848" t="s">
        <v>36313</v>
      </c>
      <c r="K7848" t="s">
        <v>40696</v>
      </c>
      <c r="M7848" t="s">
        <v>43486</v>
      </c>
      <c r="N7848" t="s">
        <v>44905</v>
      </c>
      <c r="O7848" t="s">
        <v>44906</v>
      </c>
      <c r="P7848">
        <v>0</v>
      </c>
      <c r="Q7848">
        <v>24</v>
      </c>
      <c r="R7848" t="s">
        <v>44910</v>
      </c>
      <c r="S7848" t="s">
        <v>45076</v>
      </c>
      <c r="T7848" t="s">
        <v>46763</v>
      </c>
      <c r="U7848" t="s">
        <v>53256</v>
      </c>
      <c r="W7848" t="s">
        <v>43486</v>
      </c>
      <c r="X7848" t="s">
        <v>44911</v>
      </c>
    </row>
    <row r="7849" spans="1:24">
      <c r="A7849">
        <f>HYPERLINK("https://www.philgeps.gov.ph/GEPSNONPILOT/Tender/SplashBidNoticeAbstractUI.aspx?menuIndex=3&amp;refID=7074841&amp;Result=3","7074841")</f>
        <v>0</v>
      </c>
      <c r="B7849" t="s">
        <v>2261</v>
      </c>
      <c r="C7849" t="s">
        <v>11008</v>
      </c>
      <c r="D7849" t="s">
        <v>18162</v>
      </c>
      <c r="E7849" t="s">
        <v>25108</v>
      </c>
      <c r="F7849" t="s">
        <v>31362</v>
      </c>
      <c r="G7849" t="s">
        <v>31368</v>
      </c>
      <c r="H7849" t="s">
        <v>15799</v>
      </c>
      <c r="I7849" t="s">
        <v>31397</v>
      </c>
      <c r="J7849" t="s">
        <v>36314</v>
      </c>
      <c r="K7849" t="s">
        <v>40666</v>
      </c>
      <c r="M7849" t="s">
        <v>43400</v>
      </c>
      <c r="N7849" t="s">
        <v>44905</v>
      </c>
      <c r="O7849" t="s">
        <v>44906</v>
      </c>
      <c r="P7849">
        <v>0</v>
      </c>
      <c r="Q7849">
        <v>2</v>
      </c>
      <c r="R7849" t="s">
        <v>44910</v>
      </c>
      <c r="S7849" t="s">
        <v>45076</v>
      </c>
      <c r="T7849" t="s">
        <v>46432</v>
      </c>
      <c r="U7849" t="s">
        <v>53257</v>
      </c>
      <c r="W7849" t="s">
        <v>43400</v>
      </c>
      <c r="X7849" t="s">
        <v>44911</v>
      </c>
    </row>
    <row r="7850" spans="1:24">
      <c r="A7850">
        <f>HYPERLINK("https://www.philgeps.gov.ph/GEPSNONPILOT/Tender/SplashBidNoticeAbstractUI.aspx?menuIndex=3&amp;refID=7074840&amp;Result=3","7074840")</f>
        <v>0</v>
      </c>
      <c r="B7850" t="s">
        <v>2350</v>
      </c>
      <c r="C7850" t="s">
        <v>11009</v>
      </c>
      <c r="D7850" t="s">
        <v>18136</v>
      </c>
      <c r="E7850" t="s">
        <v>25109</v>
      </c>
      <c r="F7850" t="s">
        <v>31362</v>
      </c>
      <c r="G7850" t="s">
        <v>31369</v>
      </c>
      <c r="H7850" t="s">
        <v>15799</v>
      </c>
      <c r="I7850" t="s">
        <v>3815</v>
      </c>
      <c r="J7850" t="s">
        <v>36315</v>
      </c>
      <c r="K7850" t="s">
        <v>40661</v>
      </c>
      <c r="M7850" t="s">
        <v>43495</v>
      </c>
      <c r="N7850" t="s">
        <v>44905</v>
      </c>
      <c r="O7850" t="s">
        <v>44906</v>
      </c>
      <c r="P7850">
        <v>0</v>
      </c>
      <c r="Q7850">
        <v>0</v>
      </c>
      <c r="R7850" t="s">
        <v>44910</v>
      </c>
      <c r="S7850" t="s">
        <v>45076</v>
      </c>
      <c r="T7850" t="s">
        <v>46447</v>
      </c>
      <c r="U7850" t="s">
        <v>53258</v>
      </c>
      <c r="W7850" t="s">
        <v>43495</v>
      </c>
      <c r="X7850" t="s">
        <v>44911</v>
      </c>
    </row>
    <row r="7851" spans="1:24">
      <c r="A7851">
        <f>HYPERLINK("https://www.philgeps.gov.ph/GEPSNONPILOT/Tender/SplashBidNoticeAbstractUI.aspx?menuIndex=3&amp;refID=7074837&amp;Result=3","7074837")</f>
        <v>0</v>
      </c>
      <c r="B7851" t="s">
        <v>1840</v>
      </c>
      <c r="C7851" t="s">
        <v>11010</v>
      </c>
      <c r="D7851" t="s">
        <v>18132</v>
      </c>
      <c r="E7851" t="s">
        <v>25110</v>
      </c>
      <c r="F7851" t="s">
        <v>31362</v>
      </c>
      <c r="G7851" t="s">
        <v>31369</v>
      </c>
      <c r="H7851" t="s">
        <v>31378</v>
      </c>
      <c r="I7851" t="s">
        <v>31386</v>
      </c>
      <c r="J7851" t="s">
        <v>36316</v>
      </c>
      <c r="K7851" t="s">
        <v>40662</v>
      </c>
      <c r="L7851" t="s">
        <v>1840</v>
      </c>
      <c r="M7851" t="s">
        <v>42928</v>
      </c>
      <c r="N7851" t="s">
        <v>44905</v>
      </c>
      <c r="O7851" t="s">
        <v>44906</v>
      </c>
      <c r="P7851">
        <v>0</v>
      </c>
      <c r="Q7851">
        <v>0</v>
      </c>
      <c r="R7851" t="s">
        <v>44910</v>
      </c>
      <c r="S7851" t="s">
        <v>45076</v>
      </c>
      <c r="T7851" t="s">
        <v>46520</v>
      </c>
      <c r="U7851" t="s">
        <v>53259</v>
      </c>
      <c r="W7851" t="s">
        <v>42928</v>
      </c>
      <c r="X7851" t="s">
        <v>44911</v>
      </c>
    </row>
    <row r="7852" spans="1:24">
      <c r="A7852">
        <f>HYPERLINK("https://www.philgeps.gov.ph/GEPSNONPILOT/Tender/SplashBidNoticeAbstractUI.aspx?menuIndex=3&amp;refID=7074831&amp;Result=3","7074831")</f>
        <v>0</v>
      </c>
      <c r="B7852" t="s">
        <v>2336</v>
      </c>
      <c r="C7852" t="s">
        <v>11011</v>
      </c>
      <c r="D7852" t="s">
        <v>18110</v>
      </c>
      <c r="E7852" t="s">
        <v>25111</v>
      </c>
      <c r="F7852" t="s">
        <v>31362</v>
      </c>
      <c r="G7852" t="s">
        <v>31368</v>
      </c>
      <c r="H7852" t="s">
        <v>31379</v>
      </c>
      <c r="I7852" t="s">
        <v>7090</v>
      </c>
      <c r="J7852" t="s">
        <v>36317</v>
      </c>
      <c r="K7852" t="s">
        <v>40677</v>
      </c>
      <c r="M7852" t="s">
        <v>43476</v>
      </c>
      <c r="N7852" t="s">
        <v>44905</v>
      </c>
      <c r="O7852" t="s">
        <v>44906</v>
      </c>
      <c r="P7852">
        <v>0</v>
      </c>
      <c r="Q7852">
        <v>0</v>
      </c>
      <c r="R7852" t="s">
        <v>44910</v>
      </c>
      <c r="S7852" t="s">
        <v>45076</v>
      </c>
      <c r="T7852" t="s">
        <v>46425</v>
      </c>
      <c r="U7852" t="s">
        <v>53208</v>
      </c>
      <c r="W7852" t="s">
        <v>43476</v>
      </c>
      <c r="X7852" t="s">
        <v>44911</v>
      </c>
    </row>
    <row r="7853" spans="1:24">
      <c r="A7853">
        <f>HYPERLINK("https://www.philgeps.gov.ph/GEPSNONPILOT/Tender/SplashBidNoticeAbstractUI.aspx?menuIndex=3&amp;refID=7074821&amp;Result=3","7074821")</f>
        <v>0</v>
      </c>
      <c r="B7853" t="s">
        <v>1036</v>
      </c>
      <c r="C7853" t="s">
        <v>11012</v>
      </c>
      <c r="D7853" t="s">
        <v>18128</v>
      </c>
      <c r="E7853" t="s">
        <v>22997</v>
      </c>
      <c r="F7853" t="s">
        <v>31363</v>
      </c>
      <c r="G7853" t="s">
        <v>31369</v>
      </c>
      <c r="H7853" t="s">
        <v>15799</v>
      </c>
      <c r="I7853" t="s">
        <v>7719</v>
      </c>
      <c r="J7853" t="s">
        <v>36318</v>
      </c>
      <c r="K7853" t="s">
        <v>40665</v>
      </c>
      <c r="M7853" t="s">
        <v>42035</v>
      </c>
      <c r="N7853" t="s">
        <v>44905</v>
      </c>
      <c r="O7853" t="s">
        <v>44906</v>
      </c>
      <c r="P7853">
        <v>0</v>
      </c>
      <c r="Q7853">
        <v>27</v>
      </c>
      <c r="R7853" t="s">
        <v>44910</v>
      </c>
      <c r="S7853" t="s">
        <v>45076</v>
      </c>
      <c r="T7853" t="s">
        <v>46431</v>
      </c>
      <c r="U7853" t="s">
        <v>49166</v>
      </c>
      <c r="W7853" t="s">
        <v>42035</v>
      </c>
      <c r="X7853" t="s">
        <v>44911</v>
      </c>
    </row>
    <row r="7854" spans="1:24">
      <c r="A7854">
        <f>HYPERLINK("https://www.philgeps.gov.ph/GEPSNONPILOT/Tender/SplashBidNoticeAbstractUI.aspx?menuIndex=3&amp;refID=7074823&amp;Result=3","7074823")</f>
        <v>0</v>
      </c>
      <c r="B7854" t="s">
        <v>226</v>
      </c>
      <c r="C7854" t="s">
        <v>11013</v>
      </c>
      <c r="D7854" t="s">
        <v>18132</v>
      </c>
      <c r="E7854" t="s">
        <v>25112</v>
      </c>
      <c r="F7854" t="s">
        <v>31362</v>
      </c>
      <c r="G7854" t="s">
        <v>31373</v>
      </c>
      <c r="H7854" t="s">
        <v>31378</v>
      </c>
      <c r="I7854" t="s">
        <v>31386</v>
      </c>
      <c r="J7854" t="s">
        <v>36319</v>
      </c>
      <c r="K7854" t="s">
        <v>40835</v>
      </c>
      <c r="M7854" t="s">
        <v>43477</v>
      </c>
      <c r="N7854" t="s">
        <v>44905</v>
      </c>
      <c r="O7854" t="s">
        <v>44906</v>
      </c>
      <c r="P7854">
        <v>0</v>
      </c>
      <c r="Q7854">
        <v>0</v>
      </c>
      <c r="R7854" t="s">
        <v>44910</v>
      </c>
      <c r="S7854" t="s">
        <v>45076</v>
      </c>
      <c r="T7854" t="s">
        <v>46433</v>
      </c>
      <c r="U7854" t="s">
        <v>53209</v>
      </c>
      <c r="V7854" t="s">
        <v>59828</v>
      </c>
      <c r="W7854" t="s">
        <v>60930</v>
      </c>
      <c r="X7854" t="s">
        <v>44911</v>
      </c>
    </row>
    <row r="7855" spans="1:24">
      <c r="A7855">
        <f>HYPERLINK("https://www.philgeps.gov.ph/GEPSNONPILOT/Tender/SplashBidNoticeAbstractUI.aspx?menuIndex=3&amp;refID=7074843&amp;Result=3","7074843")</f>
        <v>0</v>
      </c>
      <c r="B7855" t="s">
        <v>1116</v>
      </c>
      <c r="C7855" t="s">
        <v>11014</v>
      </c>
      <c r="D7855" t="s">
        <v>18153</v>
      </c>
      <c r="E7855" t="s">
        <v>25113</v>
      </c>
      <c r="F7855" t="s">
        <v>31362</v>
      </c>
      <c r="G7855" t="s">
        <v>31370</v>
      </c>
      <c r="H7855" t="s">
        <v>15799</v>
      </c>
      <c r="I7855" t="s">
        <v>31393</v>
      </c>
      <c r="J7855" t="s">
        <v>32729</v>
      </c>
      <c r="K7855" t="s">
        <v>40662</v>
      </c>
      <c r="M7855" t="s">
        <v>42122</v>
      </c>
      <c r="N7855" t="s">
        <v>44905</v>
      </c>
      <c r="O7855" t="s">
        <v>44906</v>
      </c>
      <c r="P7855">
        <v>0</v>
      </c>
      <c r="Q7855">
        <v>2</v>
      </c>
      <c r="R7855" t="s">
        <v>44910</v>
      </c>
      <c r="S7855" t="s">
        <v>45076</v>
      </c>
      <c r="T7855" t="s">
        <v>46435</v>
      </c>
      <c r="U7855" t="s">
        <v>53260</v>
      </c>
      <c r="W7855" t="s">
        <v>60882</v>
      </c>
      <c r="X7855" t="s">
        <v>44911</v>
      </c>
    </row>
    <row r="7856" spans="1:24">
      <c r="A7856">
        <f>HYPERLINK("https://www.philgeps.gov.ph/GEPSNONPILOT/Tender/SplashBidNoticeAbstractUI.aspx?menuIndex=3&amp;refID=7074839&amp;Result=3","7074839")</f>
        <v>0</v>
      </c>
      <c r="B7856" t="s">
        <v>623</v>
      </c>
      <c r="C7856" t="s">
        <v>11015</v>
      </c>
      <c r="D7856" t="s">
        <v>18146</v>
      </c>
      <c r="E7856" t="s">
        <v>25114</v>
      </c>
      <c r="F7856" t="s">
        <v>31362</v>
      </c>
      <c r="G7856" t="s">
        <v>31368</v>
      </c>
      <c r="H7856" t="s">
        <v>15799</v>
      </c>
      <c r="I7856" t="s">
        <v>31415</v>
      </c>
      <c r="J7856" t="s">
        <v>36320</v>
      </c>
      <c r="K7856" t="s">
        <v>40665</v>
      </c>
      <c r="M7856" t="s">
        <v>41582</v>
      </c>
      <c r="N7856" t="s">
        <v>44905</v>
      </c>
      <c r="O7856" t="s">
        <v>44906</v>
      </c>
      <c r="P7856">
        <v>0</v>
      </c>
      <c r="Q7856">
        <v>0</v>
      </c>
      <c r="R7856" t="s">
        <v>44910</v>
      </c>
      <c r="S7856" t="s">
        <v>45076</v>
      </c>
      <c r="T7856" t="s">
        <v>46747</v>
      </c>
      <c r="U7856" t="s">
        <v>53261</v>
      </c>
      <c r="V7856" t="s">
        <v>59694</v>
      </c>
      <c r="W7856" t="s">
        <v>41582</v>
      </c>
      <c r="X7856" t="s">
        <v>44911</v>
      </c>
    </row>
    <row r="7857" spans="1:24">
      <c r="A7857">
        <f>HYPERLINK("https://www.philgeps.gov.ph/GEPSNONPILOT/Tender/SplashBidNoticeAbstractUI.aspx?menuIndex=3&amp;refID=7074834&amp;Result=3","7074834")</f>
        <v>0</v>
      </c>
      <c r="B7857" t="s">
        <v>1261</v>
      </c>
      <c r="C7857" t="s">
        <v>11016</v>
      </c>
      <c r="D7857" t="s">
        <v>18113</v>
      </c>
      <c r="E7857" t="s">
        <v>25115</v>
      </c>
      <c r="F7857" t="s">
        <v>31362</v>
      </c>
      <c r="G7857" t="s">
        <v>31369</v>
      </c>
      <c r="H7857" t="s">
        <v>15799</v>
      </c>
      <c r="I7857" t="s">
        <v>31464</v>
      </c>
      <c r="J7857" t="s">
        <v>31690</v>
      </c>
      <c r="K7857" t="s">
        <v>40662</v>
      </c>
      <c r="M7857" t="s">
        <v>42277</v>
      </c>
      <c r="N7857" t="s">
        <v>44905</v>
      </c>
      <c r="O7857" t="s">
        <v>44906</v>
      </c>
      <c r="P7857">
        <v>0</v>
      </c>
      <c r="Q7857">
        <v>0</v>
      </c>
      <c r="R7857" t="s">
        <v>44910</v>
      </c>
      <c r="S7857" t="s">
        <v>45076</v>
      </c>
      <c r="T7857" t="s">
        <v>46493</v>
      </c>
      <c r="U7857" t="s">
        <v>53262</v>
      </c>
      <c r="W7857" t="s">
        <v>42277</v>
      </c>
      <c r="X7857" t="s">
        <v>44911</v>
      </c>
    </row>
    <row r="7858" spans="1:24">
      <c r="A7858">
        <f>HYPERLINK("https://www.philgeps.gov.ph/GEPSNONPILOT/Tender/SplashBidNoticeAbstractUI.aspx?menuIndex=3&amp;refID=7074882&amp;Result=3","7074882")</f>
        <v>0</v>
      </c>
      <c r="B7858" t="s">
        <v>2310</v>
      </c>
      <c r="C7858" t="s">
        <v>11017</v>
      </c>
      <c r="D7858" t="s">
        <v>18117</v>
      </c>
      <c r="E7858" t="s">
        <v>11017</v>
      </c>
      <c r="F7858" t="s">
        <v>31362</v>
      </c>
      <c r="G7858" t="s">
        <v>31368</v>
      </c>
      <c r="H7858" t="s">
        <v>15799</v>
      </c>
      <c r="I7858" t="s">
        <v>31385</v>
      </c>
      <c r="J7858" t="s">
        <v>36321</v>
      </c>
      <c r="K7858" t="s">
        <v>40662</v>
      </c>
      <c r="M7858" t="s">
        <v>43450</v>
      </c>
      <c r="N7858" t="s">
        <v>44905</v>
      </c>
      <c r="O7858" t="s">
        <v>44906</v>
      </c>
      <c r="P7858">
        <v>0</v>
      </c>
      <c r="Q7858">
        <v>0</v>
      </c>
      <c r="R7858" t="s">
        <v>44910</v>
      </c>
      <c r="S7858" t="s">
        <v>45076</v>
      </c>
      <c r="T7858" t="s">
        <v>46393</v>
      </c>
      <c r="U7858" t="s">
        <v>53263</v>
      </c>
      <c r="W7858" t="s">
        <v>43450</v>
      </c>
      <c r="X7858" t="s">
        <v>44911</v>
      </c>
    </row>
    <row r="7859" spans="1:24">
      <c r="A7859">
        <f>HYPERLINK("https://www.philgeps.gov.ph/GEPSNONPILOT/Tender/SplashBidNoticeAbstractUI.aspx?menuIndex=3&amp;refID=7074820&amp;Result=3","7074820")</f>
        <v>0</v>
      </c>
      <c r="B7859" t="s">
        <v>1733</v>
      </c>
      <c r="C7859" t="s">
        <v>11018</v>
      </c>
      <c r="D7859" t="s">
        <v>18185</v>
      </c>
      <c r="E7859" t="s">
        <v>25116</v>
      </c>
      <c r="F7859" t="s">
        <v>31362</v>
      </c>
      <c r="G7859" t="s">
        <v>31369</v>
      </c>
      <c r="H7859" t="s">
        <v>15799</v>
      </c>
      <c r="I7859" t="s">
        <v>3815</v>
      </c>
      <c r="J7859" t="s">
        <v>36322</v>
      </c>
      <c r="K7859" t="s">
        <v>40682</v>
      </c>
      <c r="M7859" t="s">
        <v>42806</v>
      </c>
      <c r="N7859" t="s">
        <v>44905</v>
      </c>
      <c r="O7859" t="s">
        <v>44906</v>
      </c>
      <c r="P7859">
        <v>0</v>
      </c>
      <c r="Q7859">
        <v>0</v>
      </c>
      <c r="R7859" t="s">
        <v>44910</v>
      </c>
      <c r="S7859" t="s">
        <v>45076</v>
      </c>
      <c r="T7859" t="s">
        <v>46447</v>
      </c>
      <c r="U7859" t="s">
        <v>53264</v>
      </c>
      <c r="W7859" t="s">
        <v>42806</v>
      </c>
      <c r="X7859" t="s">
        <v>44911</v>
      </c>
    </row>
    <row r="7860" spans="1:24">
      <c r="A7860">
        <f>HYPERLINK("https://www.philgeps.gov.ph/GEPSNONPILOT/Tender/SplashBidNoticeAbstractUI.aspx?menuIndex=3&amp;refID=7074880&amp;Result=3","7074880")</f>
        <v>0</v>
      </c>
      <c r="B7860" t="s">
        <v>2348</v>
      </c>
      <c r="C7860" t="s">
        <v>11019</v>
      </c>
      <c r="D7860" t="s">
        <v>18154</v>
      </c>
      <c r="E7860" t="s">
        <v>25117</v>
      </c>
      <c r="F7860" t="s">
        <v>31362</v>
      </c>
      <c r="G7860" t="s">
        <v>31369</v>
      </c>
      <c r="H7860" t="s">
        <v>15799</v>
      </c>
      <c r="I7860" t="s">
        <v>31404</v>
      </c>
      <c r="J7860" t="s">
        <v>33482</v>
      </c>
      <c r="K7860" t="s">
        <v>40662</v>
      </c>
      <c r="M7860" t="s">
        <v>43493</v>
      </c>
      <c r="N7860" t="s">
        <v>44905</v>
      </c>
      <c r="O7860" t="s">
        <v>44906</v>
      </c>
      <c r="P7860">
        <v>0</v>
      </c>
      <c r="Q7860">
        <v>0</v>
      </c>
      <c r="R7860" t="s">
        <v>44910</v>
      </c>
      <c r="S7860" t="s">
        <v>45076</v>
      </c>
      <c r="T7860" t="s">
        <v>46464</v>
      </c>
      <c r="U7860" t="s">
        <v>53265</v>
      </c>
      <c r="W7860" t="s">
        <v>43493</v>
      </c>
      <c r="X7860" t="s">
        <v>44911</v>
      </c>
    </row>
    <row r="7861" spans="1:24">
      <c r="A7861">
        <f>HYPERLINK("https://www.philgeps.gov.ph/GEPSNONPILOT/Tender/SplashBidNoticeAbstractUI.aspx?menuIndex=3&amp;refID=7074830&amp;Result=3","7074830")</f>
        <v>0</v>
      </c>
      <c r="B7861" t="s">
        <v>962</v>
      </c>
      <c r="C7861" t="s">
        <v>11020</v>
      </c>
      <c r="D7861" t="s">
        <v>18152</v>
      </c>
      <c r="E7861" t="s">
        <v>25118</v>
      </c>
      <c r="F7861" t="s">
        <v>31362</v>
      </c>
      <c r="G7861" t="s">
        <v>31369</v>
      </c>
      <c r="H7861" t="s">
        <v>15799</v>
      </c>
      <c r="I7861" t="s">
        <v>31430</v>
      </c>
      <c r="J7861" t="s">
        <v>36323</v>
      </c>
      <c r="K7861" t="s">
        <v>40665</v>
      </c>
      <c r="M7861" t="s">
        <v>41950</v>
      </c>
      <c r="N7861" t="s">
        <v>44905</v>
      </c>
      <c r="O7861" t="s">
        <v>44906</v>
      </c>
      <c r="P7861">
        <v>0</v>
      </c>
      <c r="Q7861">
        <v>0</v>
      </c>
      <c r="R7861" t="s">
        <v>44910</v>
      </c>
      <c r="S7861" t="s">
        <v>45076</v>
      </c>
      <c r="T7861" t="s">
        <v>46410</v>
      </c>
      <c r="U7861" t="s">
        <v>53266</v>
      </c>
      <c r="W7861" t="s">
        <v>41950</v>
      </c>
      <c r="X7861" t="s">
        <v>44911</v>
      </c>
    </row>
    <row r="7862" spans="1:24">
      <c r="A7862">
        <f>HYPERLINK("https://www.philgeps.gov.ph/GEPSNONPILOT/Tender/SplashBidNoticeAbstractUI.aspx?menuIndex=3&amp;refID=7074896&amp;Result=3","7074896")</f>
        <v>0</v>
      </c>
      <c r="B7862" t="s">
        <v>1655</v>
      </c>
      <c r="C7862" t="s">
        <v>11021</v>
      </c>
      <c r="D7862" t="s">
        <v>18136</v>
      </c>
      <c r="E7862" t="s">
        <v>25119</v>
      </c>
      <c r="F7862" t="s">
        <v>31362</v>
      </c>
      <c r="G7862" t="s">
        <v>31368</v>
      </c>
      <c r="H7862" t="s">
        <v>15799</v>
      </c>
      <c r="I7862" t="s">
        <v>7090</v>
      </c>
      <c r="J7862" t="s">
        <v>36324</v>
      </c>
      <c r="K7862" t="s">
        <v>40661</v>
      </c>
      <c r="M7862" t="s">
        <v>43362</v>
      </c>
      <c r="N7862" t="s">
        <v>44905</v>
      </c>
      <c r="O7862" t="s">
        <v>44906</v>
      </c>
      <c r="P7862">
        <v>0</v>
      </c>
      <c r="Q7862">
        <v>0</v>
      </c>
      <c r="R7862" t="s">
        <v>44910</v>
      </c>
      <c r="S7862" t="s">
        <v>45076</v>
      </c>
      <c r="T7862" t="s">
        <v>46425</v>
      </c>
      <c r="U7862" t="s">
        <v>53267</v>
      </c>
      <c r="W7862" t="s">
        <v>43362</v>
      </c>
      <c r="X7862" t="s">
        <v>44911</v>
      </c>
    </row>
    <row r="7863" spans="1:24">
      <c r="A7863">
        <f>HYPERLINK("https://www.philgeps.gov.ph/GEPSNONPILOT/Tender/SplashBidNoticeAbstractUI.aspx?menuIndex=3&amp;refID=7074856&amp;Result=3","7074856")</f>
        <v>0</v>
      </c>
      <c r="B7863" t="s">
        <v>2351</v>
      </c>
      <c r="C7863" t="s">
        <v>11022</v>
      </c>
      <c r="D7863" t="s">
        <v>18108</v>
      </c>
      <c r="E7863" t="s">
        <v>24723</v>
      </c>
      <c r="F7863" t="s">
        <v>31362</v>
      </c>
      <c r="G7863" t="s">
        <v>31369</v>
      </c>
      <c r="H7863" t="s">
        <v>15799</v>
      </c>
      <c r="I7863" t="s">
        <v>7090</v>
      </c>
      <c r="J7863" t="s">
        <v>36325</v>
      </c>
      <c r="K7863" t="s">
        <v>40672</v>
      </c>
      <c r="M7863" t="s">
        <v>43496</v>
      </c>
      <c r="N7863" t="s">
        <v>44905</v>
      </c>
      <c r="O7863" t="s">
        <v>44906</v>
      </c>
      <c r="P7863">
        <v>0</v>
      </c>
      <c r="Q7863">
        <v>3</v>
      </c>
      <c r="R7863" t="s">
        <v>44910</v>
      </c>
      <c r="S7863" t="s">
        <v>45076</v>
      </c>
      <c r="T7863" t="s">
        <v>46467</v>
      </c>
      <c r="U7863" t="s">
        <v>53268</v>
      </c>
      <c r="W7863" t="s">
        <v>43496</v>
      </c>
      <c r="X7863" t="s">
        <v>44911</v>
      </c>
    </row>
    <row r="7864" spans="1:24">
      <c r="A7864">
        <f>HYPERLINK("https://www.philgeps.gov.ph/GEPSNONPILOT/Tender/SplashBidNoticeAbstractUI.aspx?menuIndex=3&amp;refID=7074883&amp;Result=3","7074883")</f>
        <v>0</v>
      </c>
      <c r="B7864" t="s">
        <v>2352</v>
      </c>
      <c r="C7864" t="s">
        <v>11023</v>
      </c>
      <c r="D7864" t="s">
        <v>18148</v>
      </c>
      <c r="E7864" t="s">
        <v>20009</v>
      </c>
      <c r="F7864" t="s">
        <v>31363</v>
      </c>
      <c r="G7864" t="s">
        <v>31369</v>
      </c>
      <c r="H7864" t="s">
        <v>15799</v>
      </c>
      <c r="I7864" t="s">
        <v>7090</v>
      </c>
      <c r="J7864" t="s">
        <v>36326</v>
      </c>
      <c r="K7864" t="s">
        <v>40662</v>
      </c>
      <c r="M7864" t="s">
        <v>43497</v>
      </c>
      <c r="N7864" t="s">
        <v>44905</v>
      </c>
      <c r="O7864" t="s">
        <v>44906</v>
      </c>
      <c r="P7864">
        <v>0</v>
      </c>
      <c r="Q7864">
        <v>0</v>
      </c>
      <c r="R7864" t="s">
        <v>44910</v>
      </c>
      <c r="S7864" t="s">
        <v>45076</v>
      </c>
      <c r="T7864" t="s">
        <v>46696</v>
      </c>
      <c r="U7864" t="s">
        <v>53269</v>
      </c>
      <c r="W7864" t="s">
        <v>43497</v>
      </c>
      <c r="X7864" t="s">
        <v>44911</v>
      </c>
    </row>
    <row r="7865" spans="1:24">
      <c r="A7865">
        <f>HYPERLINK("https://www.philgeps.gov.ph/GEPSNONPILOT/Tender/SplashBidNoticeAbstractUI.aspx?menuIndex=3&amp;refID=7074893&amp;Result=3","7074893")</f>
        <v>0</v>
      </c>
      <c r="B7865" t="s">
        <v>291</v>
      </c>
      <c r="C7865" t="s">
        <v>11024</v>
      </c>
      <c r="D7865" t="s">
        <v>18158</v>
      </c>
      <c r="E7865" t="s">
        <v>25120</v>
      </c>
      <c r="F7865" t="s">
        <v>31362</v>
      </c>
      <c r="G7865" t="s">
        <v>31369</v>
      </c>
      <c r="H7865" t="s">
        <v>15799</v>
      </c>
      <c r="I7865" t="s">
        <v>3815</v>
      </c>
      <c r="J7865" t="s">
        <v>36327</v>
      </c>
      <c r="K7865" t="s">
        <v>40662</v>
      </c>
      <c r="M7865" t="s">
        <v>41234</v>
      </c>
      <c r="N7865" t="s">
        <v>44905</v>
      </c>
      <c r="O7865" t="s">
        <v>44906</v>
      </c>
      <c r="P7865">
        <v>0</v>
      </c>
      <c r="Q7865">
        <v>0</v>
      </c>
      <c r="R7865" t="s">
        <v>44910</v>
      </c>
      <c r="S7865" t="s">
        <v>45076</v>
      </c>
      <c r="T7865" t="s">
        <v>46481</v>
      </c>
      <c r="U7865" t="s">
        <v>53270</v>
      </c>
      <c r="W7865" t="s">
        <v>41234</v>
      </c>
      <c r="X7865" t="s">
        <v>44911</v>
      </c>
    </row>
    <row r="7866" spans="1:24">
      <c r="A7866">
        <f>HYPERLINK("https://www.philgeps.gov.ph/GEPSNONPILOT/Tender/SplashBidNoticeAbstractUI.aspx?menuIndex=3&amp;refID=7074890&amp;Result=3","7074890")</f>
        <v>0</v>
      </c>
      <c r="B7866" t="s">
        <v>1116</v>
      </c>
      <c r="C7866" t="s">
        <v>11025</v>
      </c>
      <c r="D7866" t="s">
        <v>18153</v>
      </c>
      <c r="E7866" t="s">
        <v>25121</v>
      </c>
      <c r="F7866" t="s">
        <v>31362</v>
      </c>
      <c r="G7866" t="s">
        <v>31370</v>
      </c>
      <c r="H7866" t="s">
        <v>15799</v>
      </c>
      <c r="I7866" t="s">
        <v>31430</v>
      </c>
      <c r="J7866" t="s">
        <v>36328</v>
      </c>
      <c r="K7866" t="s">
        <v>40662</v>
      </c>
      <c r="M7866" t="s">
        <v>42122</v>
      </c>
      <c r="N7866" t="s">
        <v>44905</v>
      </c>
      <c r="O7866" t="s">
        <v>44906</v>
      </c>
      <c r="P7866">
        <v>0</v>
      </c>
      <c r="Q7866">
        <v>1</v>
      </c>
      <c r="R7866" t="s">
        <v>44910</v>
      </c>
      <c r="S7866" t="s">
        <v>45076</v>
      </c>
      <c r="T7866" t="s">
        <v>46435</v>
      </c>
      <c r="U7866" t="s">
        <v>53271</v>
      </c>
      <c r="W7866" t="s">
        <v>60882</v>
      </c>
      <c r="X7866" t="s">
        <v>44911</v>
      </c>
    </row>
    <row r="7867" spans="1:24">
      <c r="A7867">
        <f>HYPERLINK("https://www.philgeps.gov.ph/GEPSNONPILOT/Tender/SplashBidNoticeAbstractUI.aspx?menuIndex=3&amp;refID=7074808&amp;Result=3","7074808")</f>
        <v>0</v>
      </c>
      <c r="B7867" t="s">
        <v>831</v>
      </c>
      <c r="C7867" t="s">
        <v>11026</v>
      </c>
      <c r="D7867" t="s">
        <v>18108</v>
      </c>
      <c r="E7867" t="s">
        <v>25122</v>
      </c>
      <c r="F7867" t="s">
        <v>31362</v>
      </c>
      <c r="G7867" t="s">
        <v>31369</v>
      </c>
      <c r="H7867" t="s">
        <v>15799</v>
      </c>
      <c r="I7867" t="s">
        <v>7090</v>
      </c>
      <c r="J7867" t="s">
        <v>32036</v>
      </c>
      <c r="K7867" t="s">
        <v>40666</v>
      </c>
      <c r="M7867" t="s">
        <v>42635</v>
      </c>
      <c r="N7867" t="s">
        <v>44905</v>
      </c>
      <c r="O7867" t="s">
        <v>44906</v>
      </c>
      <c r="P7867">
        <v>0</v>
      </c>
      <c r="Q7867">
        <v>0</v>
      </c>
      <c r="R7867" t="s">
        <v>44910</v>
      </c>
      <c r="S7867" t="s">
        <v>45076</v>
      </c>
      <c r="T7867" t="s">
        <v>46393</v>
      </c>
      <c r="U7867" t="s">
        <v>48635</v>
      </c>
      <c r="W7867" t="s">
        <v>42635</v>
      </c>
      <c r="X7867" t="s">
        <v>44911</v>
      </c>
    </row>
    <row r="7868" spans="1:24">
      <c r="A7868">
        <f>HYPERLINK("https://www.philgeps.gov.ph/GEPSNONPILOT/Tender/SplashBidNoticeAbstractUI.aspx?menuIndex=3&amp;refID=7074901&amp;Result=3","7074901")</f>
        <v>0</v>
      </c>
      <c r="B7868" t="s">
        <v>1261</v>
      </c>
      <c r="C7868" t="s">
        <v>11027</v>
      </c>
      <c r="D7868" t="s">
        <v>18113</v>
      </c>
      <c r="E7868" t="s">
        <v>11027</v>
      </c>
      <c r="F7868" t="s">
        <v>31362</v>
      </c>
      <c r="G7868" t="s">
        <v>31369</v>
      </c>
      <c r="H7868" t="s">
        <v>15799</v>
      </c>
      <c r="I7868" t="s">
        <v>31393</v>
      </c>
      <c r="J7868" t="s">
        <v>36329</v>
      </c>
      <c r="K7868" t="s">
        <v>40665</v>
      </c>
      <c r="M7868" t="s">
        <v>42277</v>
      </c>
      <c r="N7868" t="s">
        <v>44905</v>
      </c>
      <c r="O7868" t="s">
        <v>44906</v>
      </c>
      <c r="P7868">
        <v>0</v>
      </c>
      <c r="Q7868">
        <v>3</v>
      </c>
      <c r="R7868" t="s">
        <v>44910</v>
      </c>
      <c r="S7868" t="s">
        <v>45076</v>
      </c>
      <c r="T7868" t="s">
        <v>46493</v>
      </c>
      <c r="U7868" t="s">
        <v>53272</v>
      </c>
      <c r="W7868" t="s">
        <v>42277</v>
      </c>
      <c r="X7868" t="s">
        <v>44911</v>
      </c>
    </row>
    <row r="7869" spans="1:24">
      <c r="A7869">
        <f>HYPERLINK("https://www.philgeps.gov.ph/GEPSNONPILOT/Tender/SplashBidNoticeAbstractUI.aspx?menuIndex=3&amp;refID=7074871&amp;Result=3","7074871")</f>
        <v>0</v>
      </c>
      <c r="B7869" t="s">
        <v>1116</v>
      </c>
      <c r="C7869" t="s">
        <v>11028</v>
      </c>
      <c r="D7869" t="s">
        <v>18153</v>
      </c>
      <c r="E7869" t="s">
        <v>25121</v>
      </c>
      <c r="F7869" t="s">
        <v>31362</v>
      </c>
      <c r="G7869" t="s">
        <v>31370</v>
      </c>
      <c r="H7869" t="s">
        <v>15799</v>
      </c>
      <c r="I7869" t="s">
        <v>31404</v>
      </c>
      <c r="J7869" t="s">
        <v>34909</v>
      </c>
      <c r="K7869" t="s">
        <v>40662</v>
      </c>
      <c r="M7869" t="s">
        <v>42122</v>
      </c>
      <c r="N7869" t="s">
        <v>44905</v>
      </c>
      <c r="O7869" t="s">
        <v>44906</v>
      </c>
      <c r="P7869">
        <v>0</v>
      </c>
      <c r="Q7869">
        <v>0</v>
      </c>
      <c r="R7869" t="s">
        <v>44910</v>
      </c>
      <c r="S7869" t="s">
        <v>45076</v>
      </c>
      <c r="T7869" t="s">
        <v>46435</v>
      </c>
      <c r="U7869" t="s">
        <v>53273</v>
      </c>
      <c r="W7869" t="s">
        <v>60882</v>
      </c>
      <c r="X7869" t="s">
        <v>44911</v>
      </c>
    </row>
    <row r="7870" spans="1:24">
      <c r="A7870">
        <f>HYPERLINK("https://www.philgeps.gov.ph/GEPSNONPILOT/Tender/SplashBidNoticeAbstractUI.aspx?menuIndex=3&amp;refID=7074866&amp;Result=3","7074866")</f>
        <v>0</v>
      </c>
      <c r="B7870" t="s">
        <v>91</v>
      </c>
      <c r="C7870" t="s">
        <v>11029</v>
      </c>
      <c r="D7870" t="s">
        <v>18136</v>
      </c>
      <c r="E7870" t="s">
        <v>19753</v>
      </c>
      <c r="F7870" t="s">
        <v>31362</v>
      </c>
      <c r="G7870" t="s">
        <v>31369</v>
      </c>
      <c r="H7870" t="s">
        <v>15799</v>
      </c>
      <c r="I7870" t="s">
        <v>31398</v>
      </c>
      <c r="J7870" t="s">
        <v>35217</v>
      </c>
      <c r="K7870" t="s">
        <v>40661</v>
      </c>
      <c r="M7870" t="s">
        <v>41028</v>
      </c>
      <c r="N7870" t="s">
        <v>44905</v>
      </c>
      <c r="O7870" t="s">
        <v>44906</v>
      </c>
      <c r="P7870">
        <v>0</v>
      </c>
      <c r="Q7870">
        <v>1</v>
      </c>
      <c r="R7870" t="s">
        <v>44910</v>
      </c>
      <c r="S7870" t="s">
        <v>45076</v>
      </c>
      <c r="T7870" t="s">
        <v>46418</v>
      </c>
      <c r="U7870" t="s">
        <v>53274</v>
      </c>
      <c r="W7870" t="s">
        <v>41028</v>
      </c>
      <c r="X7870" t="s">
        <v>44911</v>
      </c>
    </row>
    <row r="7871" spans="1:24">
      <c r="A7871">
        <f>HYPERLINK("https://www.philgeps.gov.ph/GEPSNONPILOT/Tender/SplashBidNoticeAbstractUI.aspx?menuIndex=3&amp;refID=7074892&amp;Result=3","7074892")</f>
        <v>0</v>
      </c>
      <c r="B7871" t="s">
        <v>2353</v>
      </c>
      <c r="C7871" t="s">
        <v>11030</v>
      </c>
      <c r="D7871" t="s">
        <v>18126</v>
      </c>
      <c r="E7871" t="s">
        <v>25123</v>
      </c>
      <c r="F7871" t="s">
        <v>31362</v>
      </c>
      <c r="G7871" t="s">
        <v>31368</v>
      </c>
      <c r="H7871" t="s">
        <v>15799</v>
      </c>
      <c r="I7871" t="s">
        <v>31386</v>
      </c>
      <c r="J7871" t="s">
        <v>36330</v>
      </c>
      <c r="K7871" t="s">
        <v>40665</v>
      </c>
      <c r="M7871" t="s">
        <v>43498</v>
      </c>
      <c r="N7871" t="s">
        <v>44905</v>
      </c>
      <c r="O7871" t="s">
        <v>44906</v>
      </c>
      <c r="P7871">
        <v>0</v>
      </c>
      <c r="Q7871">
        <v>1</v>
      </c>
      <c r="R7871" t="s">
        <v>44910</v>
      </c>
      <c r="S7871" t="s">
        <v>45076</v>
      </c>
      <c r="T7871" t="s">
        <v>46447</v>
      </c>
      <c r="U7871" t="s">
        <v>53275</v>
      </c>
      <c r="W7871" t="s">
        <v>43498</v>
      </c>
      <c r="X7871" t="s">
        <v>44911</v>
      </c>
    </row>
    <row r="7872" spans="1:24">
      <c r="A7872">
        <f>HYPERLINK("https://www.philgeps.gov.ph/GEPSNONPILOT/Tender/SplashBidNoticeAbstractUI.aspx?menuIndex=3&amp;refID=7074865&amp;Result=3","7074865")</f>
        <v>0</v>
      </c>
      <c r="B7872" t="s">
        <v>2261</v>
      </c>
      <c r="C7872" t="s">
        <v>11031</v>
      </c>
      <c r="D7872" t="s">
        <v>18162</v>
      </c>
      <c r="E7872" t="s">
        <v>25124</v>
      </c>
      <c r="F7872" t="s">
        <v>31362</v>
      </c>
      <c r="G7872" t="s">
        <v>31368</v>
      </c>
      <c r="H7872" t="s">
        <v>15799</v>
      </c>
      <c r="I7872" t="s">
        <v>31385</v>
      </c>
      <c r="J7872" t="s">
        <v>36331</v>
      </c>
      <c r="K7872" t="s">
        <v>40666</v>
      </c>
      <c r="M7872" t="s">
        <v>43400</v>
      </c>
      <c r="N7872" t="s">
        <v>44905</v>
      </c>
      <c r="O7872" t="s">
        <v>44906</v>
      </c>
      <c r="P7872">
        <v>0</v>
      </c>
      <c r="Q7872">
        <v>1</v>
      </c>
      <c r="R7872" t="s">
        <v>44910</v>
      </c>
      <c r="S7872" t="s">
        <v>45076</v>
      </c>
      <c r="T7872" t="s">
        <v>46432</v>
      </c>
      <c r="U7872" t="s">
        <v>53276</v>
      </c>
      <c r="W7872" t="s">
        <v>43400</v>
      </c>
      <c r="X7872" t="s">
        <v>44911</v>
      </c>
    </row>
    <row r="7873" spans="1:24">
      <c r="A7873">
        <f>HYPERLINK("https://www.philgeps.gov.ph/GEPSNONPILOT/Tender/SplashBidNoticeAbstractUI.aspx?menuIndex=3&amp;refID=7074889&amp;Result=3","7074889")</f>
        <v>0</v>
      </c>
      <c r="B7873" t="s">
        <v>2354</v>
      </c>
      <c r="C7873" t="s">
        <v>11032</v>
      </c>
      <c r="D7873" t="s">
        <v>18172</v>
      </c>
      <c r="E7873" t="s">
        <v>19844</v>
      </c>
      <c r="F7873" t="s">
        <v>31362</v>
      </c>
      <c r="G7873" t="s">
        <v>31368</v>
      </c>
      <c r="H7873" t="s">
        <v>15799</v>
      </c>
      <c r="I7873" t="s">
        <v>3815</v>
      </c>
      <c r="J7873" t="s">
        <v>36332</v>
      </c>
      <c r="K7873" t="s">
        <v>40666</v>
      </c>
      <c r="M7873" t="s">
        <v>43499</v>
      </c>
      <c r="N7873" t="s">
        <v>44905</v>
      </c>
      <c r="O7873" t="s">
        <v>44906</v>
      </c>
      <c r="P7873">
        <v>0</v>
      </c>
      <c r="Q7873">
        <v>0</v>
      </c>
      <c r="R7873" t="s">
        <v>44910</v>
      </c>
      <c r="S7873" t="s">
        <v>45076</v>
      </c>
      <c r="T7873" t="s">
        <v>46416</v>
      </c>
      <c r="U7873" t="s">
        <v>53277</v>
      </c>
      <c r="W7873" t="s">
        <v>43499</v>
      </c>
      <c r="X7873" t="s">
        <v>44911</v>
      </c>
    </row>
    <row r="7874" spans="1:24">
      <c r="A7874">
        <f>HYPERLINK("https://www.philgeps.gov.ph/GEPSNONPILOT/Tender/SplashBidNoticeAbstractUI.aspx?menuIndex=3&amp;refID=7074873&amp;Result=3","7074873")</f>
        <v>0</v>
      </c>
      <c r="B7874" t="s">
        <v>1261</v>
      </c>
      <c r="C7874" t="s">
        <v>11033</v>
      </c>
      <c r="D7874" t="s">
        <v>18113</v>
      </c>
      <c r="E7874" t="s">
        <v>11033</v>
      </c>
      <c r="F7874" t="s">
        <v>31362</v>
      </c>
      <c r="G7874" t="s">
        <v>31369</v>
      </c>
      <c r="H7874" t="s">
        <v>15799</v>
      </c>
      <c r="I7874" t="s">
        <v>31507</v>
      </c>
      <c r="J7874" t="s">
        <v>36333</v>
      </c>
      <c r="K7874" t="s">
        <v>40665</v>
      </c>
      <c r="M7874" t="s">
        <v>42277</v>
      </c>
      <c r="N7874" t="s">
        <v>44905</v>
      </c>
      <c r="O7874" t="s">
        <v>44906</v>
      </c>
      <c r="P7874">
        <v>0</v>
      </c>
      <c r="Q7874">
        <v>0</v>
      </c>
      <c r="R7874" t="s">
        <v>44910</v>
      </c>
      <c r="S7874" t="s">
        <v>45076</v>
      </c>
      <c r="T7874" t="s">
        <v>46493</v>
      </c>
      <c r="U7874" t="s">
        <v>53278</v>
      </c>
      <c r="W7874" t="s">
        <v>42277</v>
      </c>
      <c r="X7874" t="s">
        <v>44911</v>
      </c>
    </row>
    <row r="7875" spans="1:24">
      <c r="A7875">
        <f>HYPERLINK("https://www.philgeps.gov.ph/GEPSNONPILOT/Tender/SplashBidNoticeAbstractUI.aspx?menuIndex=3&amp;refID=7074864&amp;Result=3","7074864")</f>
        <v>0</v>
      </c>
      <c r="B7875" t="s">
        <v>2347</v>
      </c>
      <c r="C7875" t="s">
        <v>11034</v>
      </c>
      <c r="D7875" t="s">
        <v>18131</v>
      </c>
      <c r="E7875" t="s">
        <v>25125</v>
      </c>
      <c r="F7875" t="s">
        <v>31362</v>
      </c>
      <c r="G7875" t="s">
        <v>31369</v>
      </c>
      <c r="H7875" t="s">
        <v>31378</v>
      </c>
      <c r="I7875" t="s">
        <v>31386</v>
      </c>
      <c r="J7875" t="s">
        <v>36309</v>
      </c>
      <c r="K7875" t="s">
        <v>40662</v>
      </c>
      <c r="M7875" t="s">
        <v>43492</v>
      </c>
      <c r="N7875" t="s">
        <v>44905</v>
      </c>
      <c r="O7875" t="s">
        <v>44906</v>
      </c>
      <c r="P7875">
        <v>0</v>
      </c>
      <c r="Q7875">
        <v>1</v>
      </c>
      <c r="R7875" t="s">
        <v>44910</v>
      </c>
      <c r="S7875" t="s">
        <v>45076</v>
      </c>
      <c r="T7875" t="s">
        <v>46438</v>
      </c>
      <c r="U7875" t="s">
        <v>53279</v>
      </c>
      <c r="V7875" t="s">
        <v>59718</v>
      </c>
      <c r="W7875" t="s">
        <v>43492</v>
      </c>
      <c r="X7875" t="s">
        <v>44911</v>
      </c>
    </row>
    <row r="7876" spans="1:24">
      <c r="A7876">
        <f>HYPERLINK("https://www.philgeps.gov.ph/GEPSNONPILOT/Tender/SplashBidNoticeAbstractUI.aspx?menuIndex=3&amp;refID=7074858&amp;Result=3","7074858")</f>
        <v>0</v>
      </c>
      <c r="B7876" t="s">
        <v>2355</v>
      </c>
      <c r="C7876" t="s">
        <v>11035</v>
      </c>
      <c r="D7876" t="s">
        <v>18159</v>
      </c>
      <c r="E7876" t="s">
        <v>25126</v>
      </c>
      <c r="F7876" t="s">
        <v>31362</v>
      </c>
      <c r="G7876" t="s">
        <v>31368</v>
      </c>
      <c r="H7876" t="s">
        <v>15799</v>
      </c>
      <c r="I7876" t="s">
        <v>7090</v>
      </c>
      <c r="J7876" t="s">
        <v>36334</v>
      </c>
      <c r="K7876" t="s">
        <v>40672</v>
      </c>
      <c r="M7876" t="s">
        <v>43500</v>
      </c>
      <c r="N7876" t="s">
        <v>44905</v>
      </c>
      <c r="O7876" t="s">
        <v>44906</v>
      </c>
      <c r="P7876">
        <v>0</v>
      </c>
      <c r="Q7876">
        <v>0</v>
      </c>
      <c r="R7876" t="s">
        <v>44910</v>
      </c>
      <c r="S7876" t="s">
        <v>45076</v>
      </c>
      <c r="T7876" t="s">
        <v>46447</v>
      </c>
      <c r="U7876" t="s">
        <v>53280</v>
      </c>
      <c r="W7876" t="s">
        <v>43500</v>
      </c>
      <c r="X7876" t="s">
        <v>44911</v>
      </c>
    </row>
    <row r="7877" spans="1:24">
      <c r="A7877">
        <f>HYPERLINK("https://www.philgeps.gov.ph/GEPSNONPILOT/Tender/SplashBidNoticeAbstractUI.aspx?menuIndex=3&amp;refID=7074857&amp;Result=3","7074857")</f>
        <v>0</v>
      </c>
      <c r="B7877" t="s">
        <v>2310</v>
      </c>
      <c r="C7877" t="s">
        <v>11036</v>
      </c>
      <c r="D7877" t="s">
        <v>18117</v>
      </c>
      <c r="E7877" t="s">
        <v>11036</v>
      </c>
      <c r="F7877" t="s">
        <v>31362</v>
      </c>
      <c r="G7877" t="s">
        <v>31368</v>
      </c>
      <c r="H7877" t="s">
        <v>15799</v>
      </c>
      <c r="I7877" t="s">
        <v>31385</v>
      </c>
      <c r="J7877" t="s">
        <v>33025</v>
      </c>
      <c r="K7877" t="s">
        <v>40661</v>
      </c>
      <c r="M7877" t="s">
        <v>43450</v>
      </c>
      <c r="N7877" t="s">
        <v>44905</v>
      </c>
      <c r="O7877" t="s">
        <v>44906</v>
      </c>
      <c r="P7877">
        <v>0</v>
      </c>
      <c r="Q7877">
        <v>0</v>
      </c>
      <c r="R7877" t="s">
        <v>44910</v>
      </c>
      <c r="S7877" t="s">
        <v>45076</v>
      </c>
      <c r="T7877" t="s">
        <v>46393</v>
      </c>
      <c r="U7877" t="s">
        <v>53281</v>
      </c>
      <c r="W7877" t="s">
        <v>43450</v>
      </c>
      <c r="X7877" t="s">
        <v>44911</v>
      </c>
    </row>
    <row r="7878" spans="1:24">
      <c r="A7878">
        <f>HYPERLINK("https://www.philgeps.gov.ph/GEPSNONPILOT/Tender/SplashBidNoticeAbstractUI.aspx?menuIndex=3&amp;refID=7074921&amp;Result=3","7074921")</f>
        <v>0</v>
      </c>
      <c r="B7878" t="s">
        <v>2202</v>
      </c>
      <c r="C7878" t="s">
        <v>11037</v>
      </c>
      <c r="D7878" t="s">
        <v>18105</v>
      </c>
      <c r="E7878" t="s">
        <v>25127</v>
      </c>
      <c r="F7878" t="s">
        <v>31362</v>
      </c>
      <c r="G7878" t="s">
        <v>31369</v>
      </c>
      <c r="H7878" t="s">
        <v>15799</v>
      </c>
      <c r="I7878" t="s">
        <v>3815</v>
      </c>
      <c r="J7878" t="s">
        <v>31530</v>
      </c>
      <c r="K7878" t="s">
        <v>40682</v>
      </c>
      <c r="M7878" t="s">
        <v>43333</v>
      </c>
      <c r="N7878" t="s">
        <v>44905</v>
      </c>
      <c r="O7878" t="s">
        <v>44906</v>
      </c>
      <c r="P7878">
        <v>0</v>
      </c>
      <c r="Q7878">
        <v>0</v>
      </c>
      <c r="R7878" t="s">
        <v>44910</v>
      </c>
      <c r="S7878" t="s">
        <v>45076</v>
      </c>
      <c r="T7878" t="s">
        <v>46671</v>
      </c>
      <c r="U7878" t="s">
        <v>53282</v>
      </c>
      <c r="W7878" t="s">
        <v>43333</v>
      </c>
      <c r="X7878" t="s">
        <v>44911</v>
      </c>
    </row>
    <row r="7879" spans="1:24">
      <c r="A7879">
        <f>HYPERLINK("https://www.philgeps.gov.ph/GEPSNONPILOT/Tender/SplashBidNoticeAbstractUI.aspx?menuIndex=3&amp;refID=7074859&amp;Result=3","7074859")</f>
        <v>0</v>
      </c>
      <c r="B7879" t="s">
        <v>1261</v>
      </c>
      <c r="C7879" t="s">
        <v>11038</v>
      </c>
      <c r="D7879" t="s">
        <v>18113</v>
      </c>
      <c r="E7879" t="s">
        <v>25128</v>
      </c>
      <c r="F7879" t="s">
        <v>31362</v>
      </c>
      <c r="G7879" t="s">
        <v>31369</v>
      </c>
      <c r="H7879" t="s">
        <v>15799</v>
      </c>
      <c r="I7879" t="s">
        <v>6240</v>
      </c>
      <c r="J7879" t="s">
        <v>35788</v>
      </c>
      <c r="K7879" t="s">
        <v>40665</v>
      </c>
      <c r="M7879" t="s">
        <v>42277</v>
      </c>
      <c r="N7879" t="s">
        <v>44905</v>
      </c>
      <c r="O7879" t="s">
        <v>44906</v>
      </c>
      <c r="P7879">
        <v>0</v>
      </c>
      <c r="Q7879">
        <v>0</v>
      </c>
      <c r="R7879" t="s">
        <v>44910</v>
      </c>
      <c r="S7879" t="s">
        <v>45076</v>
      </c>
      <c r="T7879" t="s">
        <v>46493</v>
      </c>
      <c r="U7879" t="s">
        <v>53283</v>
      </c>
      <c r="W7879" t="s">
        <v>42277</v>
      </c>
      <c r="X7879" t="s">
        <v>44911</v>
      </c>
    </row>
    <row r="7880" spans="1:24">
      <c r="A7880">
        <f>HYPERLINK("https://www.philgeps.gov.ph/GEPSNONPILOT/Tender/SplashBidNoticeAbstractUI.aspx?menuIndex=3&amp;refID=7074920&amp;Result=3","7074920")</f>
        <v>0</v>
      </c>
      <c r="B7880" t="s">
        <v>2356</v>
      </c>
      <c r="C7880" t="s">
        <v>11034</v>
      </c>
      <c r="D7880" t="s">
        <v>18131</v>
      </c>
      <c r="E7880" t="s">
        <v>25129</v>
      </c>
      <c r="F7880" t="s">
        <v>31362</v>
      </c>
      <c r="G7880" t="s">
        <v>31372</v>
      </c>
      <c r="H7880" t="s">
        <v>31378</v>
      </c>
      <c r="I7880" t="s">
        <v>31386</v>
      </c>
      <c r="J7880" t="s">
        <v>31915</v>
      </c>
      <c r="K7880" t="s">
        <v>40662</v>
      </c>
      <c r="M7880" t="s">
        <v>43501</v>
      </c>
      <c r="N7880" t="s">
        <v>44905</v>
      </c>
      <c r="O7880" t="s">
        <v>44906</v>
      </c>
      <c r="P7880">
        <v>0</v>
      </c>
      <c r="Q7880">
        <v>1</v>
      </c>
      <c r="R7880" t="s">
        <v>44910</v>
      </c>
      <c r="S7880" t="s">
        <v>45076</v>
      </c>
      <c r="T7880" t="s">
        <v>46438</v>
      </c>
      <c r="U7880" t="s">
        <v>53284</v>
      </c>
      <c r="W7880" t="s">
        <v>43501</v>
      </c>
      <c r="X7880" t="s">
        <v>44911</v>
      </c>
    </row>
    <row r="7881" spans="1:24">
      <c r="A7881">
        <f>HYPERLINK("https://www.philgeps.gov.ph/GEPSNONPILOT/Tender/SplashBidNoticeAbstractUI.aspx?menuIndex=3&amp;refID=7074923&amp;Result=3","7074923")</f>
        <v>0</v>
      </c>
      <c r="B7881" t="s">
        <v>2357</v>
      </c>
      <c r="C7881" t="s">
        <v>6196</v>
      </c>
      <c r="D7881" t="s">
        <v>18110</v>
      </c>
      <c r="E7881" t="s">
        <v>25130</v>
      </c>
      <c r="F7881" t="s">
        <v>31362</v>
      </c>
      <c r="G7881" t="s">
        <v>31371</v>
      </c>
      <c r="H7881" t="s">
        <v>15799</v>
      </c>
      <c r="I7881" t="s">
        <v>6373</v>
      </c>
      <c r="J7881" t="s">
        <v>36335</v>
      </c>
      <c r="K7881" t="s">
        <v>40662</v>
      </c>
      <c r="M7881" t="s">
        <v>43502</v>
      </c>
      <c r="N7881" t="s">
        <v>44905</v>
      </c>
      <c r="O7881" t="s">
        <v>44906</v>
      </c>
      <c r="P7881">
        <v>0</v>
      </c>
      <c r="Q7881">
        <v>18</v>
      </c>
      <c r="R7881" t="s">
        <v>44910</v>
      </c>
      <c r="S7881" t="s">
        <v>45076</v>
      </c>
      <c r="T7881" t="s">
        <v>46438</v>
      </c>
      <c r="U7881" t="s">
        <v>53285</v>
      </c>
      <c r="W7881" t="s">
        <v>43502</v>
      </c>
      <c r="X7881" t="s">
        <v>44911</v>
      </c>
    </row>
    <row r="7882" spans="1:24">
      <c r="A7882">
        <f>HYPERLINK("https://www.philgeps.gov.ph/GEPSNONPILOT/Tender/SplashBidNoticeAbstractUI.aspx?menuIndex=3&amp;refID=7074929&amp;Result=3","7074929")</f>
        <v>0</v>
      </c>
      <c r="B7882" t="s">
        <v>1261</v>
      </c>
      <c r="C7882" t="s">
        <v>11039</v>
      </c>
      <c r="D7882" t="s">
        <v>18113</v>
      </c>
      <c r="E7882" t="s">
        <v>25131</v>
      </c>
      <c r="F7882" t="s">
        <v>31362</v>
      </c>
      <c r="G7882" t="s">
        <v>31369</v>
      </c>
      <c r="H7882" t="s">
        <v>15799</v>
      </c>
      <c r="I7882" t="s">
        <v>6155</v>
      </c>
      <c r="J7882" t="s">
        <v>31586</v>
      </c>
      <c r="K7882" t="s">
        <v>40665</v>
      </c>
      <c r="M7882" t="s">
        <v>42277</v>
      </c>
      <c r="N7882" t="s">
        <v>44905</v>
      </c>
      <c r="O7882" t="s">
        <v>44906</v>
      </c>
      <c r="P7882">
        <v>0</v>
      </c>
      <c r="Q7882">
        <v>3</v>
      </c>
      <c r="R7882" t="s">
        <v>44910</v>
      </c>
      <c r="S7882" t="s">
        <v>45076</v>
      </c>
      <c r="T7882" t="s">
        <v>46493</v>
      </c>
      <c r="U7882" t="s">
        <v>53286</v>
      </c>
      <c r="W7882" t="s">
        <v>42277</v>
      </c>
      <c r="X7882" t="s">
        <v>44911</v>
      </c>
    </row>
    <row r="7883" spans="1:24">
      <c r="A7883">
        <f>HYPERLINK("https://www.philgeps.gov.ph/GEPSNONPILOT/Tender/SplashBidNoticeAbstractUI.aspx?menuIndex=3&amp;refID=7074939&amp;Result=3","7074939")</f>
        <v>0</v>
      </c>
      <c r="B7883" t="s">
        <v>2358</v>
      </c>
      <c r="C7883" t="s">
        <v>11040</v>
      </c>
      <c r="D7883" t="s">
        <v>18153</v>
      </c>
      <c r="E7883" t="s">
        <v>25132</v>
      </c>
      <c r="F7883" t="s">
        <v>31362</v>
      </c>
      <c r="G7883" t="s">
        <v>31368</v>
      </c>
      <c r="H7883" t="s">
        <v>15799</v>
      </c>
      <c r="I7883" t="s">
        <v>4942</v>
      </c>
      <c r="J7883" t="s">
        <v>31545</v>
      </c>
      <c r="K7883" t="s">
        <v>40661</v>
      </c>
      <c r="M7883" t="s">
        <v>43503</v>
      </c>
      <c r="N7883" t="s">
        <v>44905</v>
      </c>
      <c r="O7883" t="s">
        <v>44906</v>
      </c>
      <c r="P7883">
        <v>0</v>
      </c>
      <c r="Q7883">
        <v>0</v>
      </c>
      <c r="R7883" t="s">
        <v>44910</v>
      </c>
      <c r="S7883" t="s">
        <v>45076</v>
      </c>
      <c r="T7883" t="s">
        <v>46410</v>
      </c>
      <c r="U7883" t="s">
        <v>53287</v>
      </c>
      <c r="W7883" t="s">
        <v>43503</v>
      </c>
      <c r="X7883" t="s">
        <v>44911</v>
      </c>
    </row>
    <row r="7884" spans="1:24">
      <c r="A7884">
        <f>HYPERLINK("https://www.philgeps.gov.ph/GEPSNONPILOT/Tender/SplashBidNoticeAbstractUI.aspx?menuIndex=3&amp;refID=7074917&amp;Result=3","7074917")</f>
        <v>0</v>
      </c>
      <c r="B7884" t="s">
        <v>1261</v>
      </c>
      <c r="C7884" t="s">
        <v>11041</v>
      </c>
      <c r="D7884" t="s">
        <v>18113</v>
      </c>
      <c r="E7884" t="s">
        <v>11041</v>
      </c>
      <c r="F7884" t="s">
        <v>31362</v>
      </c>
      <c r="G7884" t="s">
        <v>31369</v>
      </c>
      <c r="H7884" t="s">
        <v>15799</v>
      </c>
      <c r="I7884" t="s">
        <v>31380</v>
      </c>
      <c r="J7884" t="s">
        <v>36336</v>
      </c>
      <c r="K7884" t="s">
        <v>40665</v>
      </c>
      <c r="M7884" t="s">
        <v>42277</v>
      </c>
      <c r="N7884" t="s">
        <v>44905</v>
      </c>
      <c r="O7884" t="s">
        <v>44906</v>
      </c>
      <c r="P7884">
        <v>0</v>
      </c>
      <c r="Q7884">
        <v>4</v>
      </c>
      <c r="R7884" t="s">
        <v>44910</v>
      </c>
      <c r="S7884" t="s">
        <v>45076</v>
      </c>
      <c r="T7884" t="s">
        <v>46493</v>
      </c>
      <c r="U7884" t="s">
        <v>53288</v>
      </c>
      <c r="W7884" t="s">
        <v>42277</v>
      </c>
      <c r="X7884" t="s">
        <v>44911</v>
      </c>
    </row>
    <row r="7885" spans="1:24">
      <c r="A7885">
        <f>HYPERLINK("https://www.philgeps.gov.ph/GEPSNONPILOT/Tender/SplashBidNoticeAbstractUI.aspx?menuIndex=3&amp;refID=7074915&amp;Result=3","7074915")</f>
        <v>0</v>
      </c>
      <c r="B7885" t="s">
        <v>1116</v>
      </c>
      <c r="C7885" t="s">
        <v>11042</v>
      </c>
      <c r="D7885" t="s">
        <v>18153</v>
      </c>
      <c r="E7885" t="s">
        <v>25106</v>
      </c>
      <c r="F7885" t="s">
        <v>31362</v>
      </c>
      <c r="G7885" t="s">
        <v>31370</v>
      </c>
      <c r="H7885" t="s">
        <v>15799</v>
      </c>
      <c r="I7885" t="s">
        <v>7188</v>
      </c>
      <c r="J7885" t="s">
        <v>32016</v>
      </c>
      <c r="K7885" t="s">
        <v>40662</v>
      </c>
      <c r="M7885" t="s">
        <v>42122</v>
      </c>
      <c r="N7885" t="s">
        <v>44905</v>
      </c>
      <c r="O7885" t="s">
        <v>44906</v>
      </c>
      <c r="P7885">
        <v>0</v>
      </c>
      <c r="Q7885">
        <v>1</v>
      </c>
      <c r="R7885" t="s">
        <v>44910</v>
      </c>
      <c r="S7885" t="s">
        <v>45076</v>
      </c>
      <c r="T7885" t="s">
        <v>46435</v>
      </c>
      <c r="U7885" t="s">
        <v>53289</v>
      </c>
      <c r="W7885" t="s">
        <v>60882</v>
      </c>
      <c r="X7885" t="s">
        <v>44911</v>
      </c>
    </row>
    <row r="7886" spans="1:24">
      <c r="A7886">
        <f>HYPERLINK("https://www.philgeps.gov.ph/GEPSNONPILOT/Tender/SplashBidNoticeAbstractUI.aspx?menuIndex=3&amp;refID=7074891&amp;Result=3","7074891")</f>
        <v>0</v>
      </c>
      <c r="B7886" t="s">
        <v>579</v>
      </c>
      <c r="C7886" t="s">
        <v>11043</v>
      </c>
      <c r="D7886" t="s">
        <v>18112</v>
      </c>
      <c r="E7886" t="s">
        <v>25133</v>
      </c>
      <c r="F7886" t="s">
        <v>31362</v>
      </c>
      <c r="G7886" t="s">
        <v>31368</v>
      </c>
      <c r="H7886" t="s">
        <v>15799</v>
      </c>
      <c r="I7886" t="s">
        <v>6240</v>
      </c>
      <c r="J7886" t="s">
        <v>36337</v>
      </c>
      <c r="K7886" t="s">
        <v>40661</v>
      </c>
      <c r="M7886" t="s">
        <v>41536</v>
      </c>
      <c r="N7886" t="s">
        <v>44905</v>
      </c>
      <c r="O7886" t="s">
        <v>44906</v>
      </c>
      <c r="P7886">
        <v>0</v>
      </c>
      <c r="Q7886">
        <v>1</v>
      </c>
      <c r="R7886" t="s">
        <v>44910</v>
      </c>
      <c r="S7886" t="s">
        <v>45076</v>
      </c>
      <c r="T7886" t="s">
        <v>46447</v>
      </c>
      <c r="U7886" t="s">
        <v>48037</v>
      </c>
      <c r="W7886" t="s">
        <v>41536</v>
      </c>
      <c r="X7886" t="s">
        <v>44911</v>
      </c>
    </row>
    <row r="7887" spans="1:24">
      <c r="A7887">
        <f>HYPERLINK("https://www.philgeps.gov.ph/GEPSNONPILOT/Tender/SplashBidNoticeAbstractUI.aspx?menuIndex=3&amp;refID=7074937&amp;Result=3","7074937")</f>
        <v>0</v>
      </c>
      <c r="B7887" t="s">
        <v>255</v>
      </c>
      <c r="C7887" t="s">
        <v>11044</v>
      </c>
      <c r="E7887" t="s">
        <v>25134</v>
      </c>
      <c r="F7887" t="s">
        <v>31362</v>
      </c>
      <c r="G7887" t="s">
        <v>31368</v>
      </c>
      <c r="H7887" t="s">
        <v>15799</v>
      </c>
      <c r="I7887" t="s">
        <v>7090</v>
      </c>
      <c r="J7887" t="s">
        <v>36338</v>
      </c>
      <c r="K7887" t="s">
        <v>40662</v>
      </c>
      <c r="M7887" t="s">
        <v>43340</v>
      </c>
      <c r="N7887" t="s">
        <v>44905</v>
      </c>
      <c r="O7887" t="s">
        <v>44906</v>
      </c>
      <c r="P7887">
        <v>0</v>
      </c>
      <c r="Q7887">
        <v>0</v>
      </c>
      <c r="R7887" t="s">
        <v>44910</v>
      </c>
      <c r="S7887" t="s">
        <v>45076</v>
      </c>
      <c r="T7887" t="s">
        <v>46428</v>
      </c>
      <c r="U7887" t="s">
        <v>52824</v>
      </c>
      <c r="W7887" t="s">
        <v>43340</v>
      </c>
      <c r="X7887" t="s">
        <v>44911</v>
      </c>
    </row>
    <row r="7888" spans="1:24">
      <c r="A7888">
        <f>HYPERLINK("https://www.philgeps.gov.ph/GEPSNONPILOT/Tender/SplashBidNoticeAbstractUI.aspx?menuIndex=3&amp;refID=7074932&amp;Result=3","7074932")</f>
        <v>0</v>
      </c>
      <c r="B7888" t="s">
        <v>682</v>
      </c>
      <c r="C7888" t="s">
        <v>11045</v>
      </c>
      <c r="E7888" t="s">
        <v>25135</v>
      </c>
      <c r="F7888" t="s">
        <v>31362</v>
      </c>
      <c r="G7888" t="s">
        <v>31368</v>
      </c>
      <c r="H7888" t="s">
        <v>15799</v>
      </c>
      <c r="I7888" t="s">
        <v>4283</v>
      </c>
      <c r="J7888" t="s">
        <v>36339</v>
      </c>
      <c r="K7888" t="s">
        <v>40670</v>
      </c>
      <c r="M7888" t="s">
        <v>41644</v>
      </c>
      <c r="N7888" t="s">
        <v>44905</v>
      </c>
      <c r="O7888" t="s">
        <v>44906</v>
      </c>
      <c r="P7888">
        <v>0</v>
      </c>
      <c r="Q7888">
        <v>2</v>
      </c>
      <c r="R7888" t="s">
        <v>44910</v>
      </c>
      <c r="S7888" t="s">
        <v>45076</v>
      </c>
      <c r="T7888" t="s">
        <v>46506</v>
      </c>
      <c r="U7888" t="s">
        <v>53290</v>
      </c>
      <c r="V7888" t="s">
        <v>59829</v>
      </c>
      <c r="W7888" t="s">
        <v>41644</v>
      </c>
      <c r="X7888" t="s">
        <v>44911</v>
      </c>
    </row>
    <row r="7889" spans="1:24">
      <c r="A7889">
        <f>HYPERLINK("https://www.philgeps.gov.ph/GEPSNONPILOT/Tender/SplashBidNoticeAbstractUI.aspx?menuIndex=3&amp;refID=7074931&amp;Result=3","7074931")</f>
        <v>0</v>
      </c>
      <c r="B7889" t="s">
        <v>291</v>
      </c>
      <c r="C7889" t="s">
        <v>11046</v>
      </c>
      <c r="D7889" t="s">
        <v>18158</v>
      </c>
      <c r="E7889" t="s">
        <v>25136</v>
      </c>
      <c r="F7889" t="s">
        <v>31362</v>
      </c>
      <c r="G7889" t="s">
        <v>31369</v>
      </c>
      <c r="H7889" t="s">
        <v>31378</v>
      </c>
      <c r="I7889" t="s">
        <v>31386</v>
      </c>
      <c r="J7889" t="s">
        <v>36340</v>
      </c>
      <c r="K7889" t="s">
        <v>40662</v>
      </c>
      <c r="M7889" t="s">
        <v>41234</v>
      </c>
      <c r="N7889" t="s">
        <v>44905</v>
      </c>
      <c r="O7889" t="s">
        <v>44906</v>
      </c>
      <c r="P7889">
        <v>0</v>
      </c>
      <c r="Q7889">
        <v>0</v>
      </c>
      <c r="R7889" t="s">
        <v>44910</v>
      </c>
      <c r="S7889" t="s">
        <v>45076</v>
      </c>
      <c r="T7889" t="s">
        <v>46481</v>
      </c>
      <c r="U7889" t="s">
        <v>53291</v>
      </c>
      <c r="W7889" t="s">
        <v>41234</v>
      </c>
      <c r="X7889" t="s">
        <v>44911</v>
      </c>
    </row>
    <row r="7890" spans="1:24">
      <c r="A7890">
        <f>HYPERLINK("https://www.philgeps.gov.ph/GEPSNONPILOT/Tender/SplashBidNoticeAbstractUI.aspx?menuIndex=3&amp;refID=7074930&amp;Result=3","7074930")</f>
        <v>0</v>
      </c>
      <c r="B7890" t="s">
        <v>2343</v>
      </c>
      <c r="C7890" t="s">
        <v>11047</v>
      </c>
      <c r="D7890" t="s">
        <v>18108</v>
      </c>
      <c r="E7890" t="s">
        <v>25137</v>
      </c>
      <c r="F7890" t="s">
        <v>31362</v>
      </c>
      <c r="G7890" t="s">
        <v>31370</v>
      </c>
      <c r="H7890" t="s">
        <v>15799</v>
      </c>
      <c r="I7890" t="s">
        <v>31385</v>
      </c>
      <c r="J7890" t="s">
        <v>36341</v>
      </c>
      <c r="K7890" t="s">
        <v>40696</v>
      </c>
      <c r="M7890" t="s">
        <v>43486</v>
      </c>
      <c r="N7890" t="s">
        <v>44905</v>
      </c>
      <c r="O7890" t="s">
        <v>44906</v>
      </c>
      <c r="P7890">
        <v>0</v>
      </c>
      <c r="Q7890">
        <v>21</v>
      </c>
      <c r="R7890" t="s">
        <v>44910</v>
      </c>
      <c r="S7890" t="s">
        <v>45076</v>
      </c>
      <c r="T7890" t="s">
        <v>46765</v>
      </c>
      <c r="U7890" t="s">
        <v>53292</v>
      </c>
      <c r="W7890" t="s">
        <v>43486</v>
      </c>
      <c r="X7890" t="s">
        <v>44911</v>
      </c>
    </row>
    <row r="7891" spans="1:24">
      <c r="A7891">
        <f>HYPERLINK("https://www.philgeps.gov.ph/GEPSNONPILOT/Tender/SplashBidNoticeAbstractUI.aspx?menuIndex=3&amp;refID=7074914&amp;Result=3","7074914")</f>
        <v>0</v>
      </c>
      <c r="B7891" t="s">
        <v>291</v>
      </c>
      <c r="C7891" t="s">
        <v>11048</v>
      </c>
      <c r="D7891" t="s">
        <v>18158</v>
      </c>
      <c r="E7891" t="s">
        <v>25138</v>
      </c>
      <c r="F7891" t="s">
        <v>31362</v>
      </c>
      <c r="G7891" t="s">
        <v>31369</v>
      </c>
      <c r="H7891" t="s">
        <v>31378</v>
      </c>
      <c r="I7891" t="s">
        <v>31433</v>
      </c>
      <c r="J7891" t="s">
        <v>36342</v>
      </c>
      <c r="K7891" t="s">
        <v>40662</v>
      </c>
      <c r="M7891" t="s">
        <v>41234</v>
      </c>
      <c r="N7891" t="s">
        <v>44905</v>
      </c>
      <c r="O7891" t="s">
        <v>44906</v>
      </c>
      <c r="P7891">
        <v>0</v>
      </c>
      <c r="Q7891">
        <v>0</v>
      </c>
      <c r="R7891" t="s">
        <v>44910</v>
      </c>
      <c r="S7891" t="s">
        <v>45076</v>
      </c>
      <c r="T7891" t="s">
        <v>46481</v>
      </c>
      <c r="U7891" t="s">
        <v>53270</v>
      </c>
      <c r="W7891" t="s">
        <v>41234</v>
      </c>
      <c r="X7891" t="s">
        <v>44911</v>
      </c>
    </row>
    <row r="7892" spans="1:24">
      <c r="A7892">
        <f>HYPERLINK("https://www.philgeps.gov.ph/GEPSNONPILOT/Tender/SplashBidNoticeAbstractUI.aspx?menuIndex=3&amp;refID=7074938&amp;Result=3","7074938")</f>
        <v>0</v>
      </c>
      <c r="B7892" t="s">
        <v>297</v>
      </c>
      <c r="C7892" t="s">
        <v>11049</v>
      </c>
      <c r="D7892" t="s">
        <v>18133</v>
      </c>
      <c r="E7892" t="s">
        <v>25139</v>
      </c>
      <c r="F7892" t="s">
        <v>31362</v>
      </c>
      <c r="G7892" t="s">
        <v>31369</v>
      </c>
      <c r="H7892" t="s">
        <v>15799</v>
      </c>
      <c r="I7892" t="s">
        <v>31409</v>
      </c>
      <c r="J7892" t="s">
        <v>32540</v>
      </c>
      <c r="K7892" t="s">
        <v>40675</v>
      </c>
      <c r="M7892" t="s">
        <v>41240</v>
      </c>
      <c r="N7892" t="s">
        <v>44905</v>
      </c>
      <c r="O7892" t="s">
        <v>44906</v>
      </c>
      <c r="P7892">
        <v>0</v>
      </c>
      <c r="Q7892">
        <v>9</v>
      </c>
      <c r="R7892" t="s">
        <v>44910</v>
      </c>
      <c r="S7892" t="s">
        <v>45076</v>
      </c>
      <c r="T7892" t="s">
        <v>46696</v>
      </c>
      <c r="U7892" t="s">
        <v>53293</v>
      </c>
      <c r="W7892" t="s">
        <v>41240</v>
      </c>
      <c r="X7892" t="s">
        <v>44911</v>
      </c>
    </row>
    <row r="7893" spans="1:24">
      <c r="A7893">
        <f>HYPERLINK("https://www.philgeps.gov.ph/GEPSNONPILOT/Tender/SplashBidNoticeAbstractUI.aspx?menuIndex=3&amp;refID=7074867&amp;Result=3","7074867")</f>
        <v>0</v>
      </c>
      <c r="B7893" t="s">
        <v>579</v>
      </c>
      <c r="C7893" t="s">
        <v>11050</v>
      </c>
      <c r="D7893" t="s">
        <v>18112</v>
      </c>
      <c r="E7893" t="s">
        <v>25140</v>
      </c>
      <c r="F7893" t="s">
        <v>31362</v>
      </c>
      <c r="G7893" t="s">
        <v>31368</v>
      </c>
      <c r="H7893" t="s">
        <v>15799</v>
      </c>
      <c r="I7893" t="s">
        <v>31404</v>
      </c>
      <c r="J7893" t="s">
        <v>31687</v>
      </c>
      <c r="K7893" t="s">
        <v>40661</v>
      </c>
      <c r="M7893" t="s">
        <v>41536</v>
      </c>
      <c r="N7893" t="s">
        <v>44905</v>
      </c>
      <c r="O7893" t="s">
        <v>44906</v>
      </c>
      <c r="P7893">
        <v>0</v>
      </c>
      <c r="Q7893">
        <v>0</v>
      </c>
      <c r="R7893" t="s">
        <v>44910</v>
      </c>
      <c r="S7893" t="s">
        <v>45076</v>
      </c>
      <c r="T7893" t="s">
        <v>46447</v>
      </c>
      <c r="U7893" t="s">
        <v>48037</v>
      </c>
      <c r="W7893" t="s">
        <v>41536</v>
      </c>
      <c r="X7893" t="s">
        <v>44911</v>
      </c>
    </row>
    <row r="7894" spans="1:24">
      <c r="A7894">
        <f>HYPERLINK("https://www.philgeps.gov.ph/GEPSNONPILOT/Tender/SplashBidNoticeAbstractUI.aspx?menuIndex=3&amp;refID=7074907&amp;Result=3","7074907")</f>
        <v>0</v>
      </c>
      <c r="B7894" t="s">
        <v>579</v>
      </c>
      <c r="C7894" t="s">
        <v>11051</v>
      </c>
      <c r="D7894" t="s">
        <v>18112</v>
      </c>
      <c r="E7894" t="s">
        <v>25141</v>
      </c>
      <c r="F7894" t="s">
        <v>31362</v>
      </c>
      <c r="G7894" t="s">
        <v>31368</v>
      </c>
      <c r="H7894" t="s">
        <v>15799</v>
      </c>
      <c r="I7894" t="s">
        <v>31385</v>
      </c>
      <c r="J7894" t="s">
        <v>36343</v>
      </c>
      <c r="K7894" t="s">
        <v>40661</v>
      </c>
      <c r="M7894" t="s">
        <v>41536</v>
      </c>
      <c r="N7894" t="s">
        <v>44905</v>
      </c>
      <c r="O7894" t="s">
        <v>44906</v>
      </c>
      <c r="P7894">
        <v>0</v>
      </c>
      <c r="Q7894">
        <v>2</v>
      </c>
      <c r="R7894" t="s">
        <v>44910</v>
      </c>
      <c r="S7894" t="s">
        <v>45076</v>
      </c>
      <c r="T7894" t="s">
        <v>46447</v>
      </c>
      <c r="U7894" t="s">
        <v>48037</v>
      </c>
      <c r="W7894" t="s">
        <v>41536</v>
      </c>
      <c r="X7894" t="s">
        <v>44911</v>
      </c>
    </row>
    <row r="7895" spans="1:24">
      <c r="A7895">
        <f>HYPERLINK("https://www.philgeps.gov.ph/GEPSNONPILOT/Tender/SplashBidNoticeAbstractUI.aspx?menuIndex=3&amp;refID=7074906&amp;Result=3","7074906")</f>
        <v>0</v>
      </c>
      <c r="B7895" t="s">
        <v>226</v>
      </c>
      <c r="C7895" t="s">
        <v>11052</v>
      </c>
      <c r="D7895" t="s">
        <v>18132</v>
      </c>
      <c r="E7895" t="s">
        <v>25142</v>
      </c>
      <c r="F7895" t="s">
        <v>31362</v>
      </c>
      <c r="G7895" t="s">
        <v>31373</v>
      </c>
      <c r="H7895" t="s">
        <v>31378</v>
      </c>
      <c r="I7895" t="s">
        <v>31386</v>
      </c>
      <c r="J7895" t="s">
        <v>36344</v>
      </c>
      <c r="K7895" t="s">
        <v>40694</v>
      </c>
      <c r="M7895" t="s">
        <v>43477</v>
      </c>
      <c r="N7895" t="s">
        <v>44905</v>
      </c>
      <c r="O7895" t="s">
        <v>44906</v>
      </c>
      <c r="P7895">
        <v>0</v>
      </c>
      <c r="Q7895">
        <v>0</v>
      </c>
      <c r="R7895" t="s">
        <v>44910</v>
      </c>
      <c r="S7895" t="s">
        <v>45076</v>
      </c>
      <c r="T7895" t="s">
        <v>46433</v>
      </c>
      <c r="U7895" t="s">
        <v>53209</v>
      </c>
      <c r="V7895" t="s">
        <v>59830</v>
      </c>
      <c r="W7895" t="s">
        <v>60930</v>
      </c>
      <c r="X7895" t="s">
        <v>44911</v>
      </c>
    </row>
    <row r="7896" spans="1:24">
      <c r="A7896">
        <f>HYPERLINK("https://www.philgeps.gov.ph/GEPSNONPILOT/Tender/SplashBidNoticeAbstractUI.aspx?menuIndex=3&amp;refID=7074935&amp;Result=3","7074935")</f>
        <v>0</v>
      </c>
      <c r="B7896" t="s">
        <v>623</v>
      </c>
      <c r="C7896" t="s">
        <v>11053</v>
      </c>
      <c r="D7896" t="s">
        <v>18146</v>
      </c>
      <c r="E7896" t="s">
        <v>25143</v>
      </c>
      <c r="F7896" t="s">
        <v>31362</v>
      </c>
      <c r="G7896" t="s">
        <v>31368</v>
      </c>
      <c r="H7896" t="s">
        <v>15799</v>
      </c>
      <c r="I7896" t="s">
        <v>31397</v>
      </c>
      <c r="J7896" t="s">
        <v>31597</v>
      </c>
      <c r="K7896" t="s">
        <v>40665</v>
      </c>
      <c r="M7896" t="s">
        <v>41582</v>
      </c>
      <c r="N7896" t="s">
        <v>44905</v>
      </c>
      <c r="O7896" t="s">
        <v>44906</v>
      </c>
      <c r="P7896">
        <v>0</v>
      </c>
      <c r="Q7896">
        <v>2</v>
      </c>
      <c r="R7896" t="s">
        <v>44910</v>
      </c>
      <c r="S7896" t="s">
        <v>45076</v>
      </c>
      <c r="T7896" t="s">
        <v>46411</v>
      </c>
      <c r="U7896" t="s">
        <v>53294</v>
      </c>
      <c r="V7896" t="s">
        <v>59216</v>
      </c>
      <c r="W7896" t="s">
        <v>41582</v>
      </c>
      <c r="X7896" t="s">
        <v>44911</v>
      </c>
    </row>
    <row r="7897" spans="1:24">
      <c r="A7897">
        <f>HYPERLINK("https://www.philgeps.gov.ph/GEPSNONPILOT/Tender/SplashBidNoticeAbstractUI.aspx?menuIndex=3&amp;refID=7074904&amp;Result=3","7074904")</f>
        <v>0</v>
      </c>
      <c r="B7897" t="s">
        <v>1753</v>
      </c>
      <c r="C7897" t="s">
        <v>11054</v>
      </c>
      <c r="D7897" t="s">
        <v>18125</v>
      </c>
      <c r="E7897" t="s">
        <v>25144</v>
      </c>
      <c r="F7897" t="s">
        <v>31362</v>
      </c>
      <c r="G7897" t="s">
        <v>31368</v>
      </c>
      <c r="H7897" t="s">
        <v>15799</v>
      </c>
      <c r="I7897" t="s">
        <v>3815</v>
      </c>
      <c r="J7897" t="s">
        <v>35431</v>
      </c>
      <c r="K7897" t="s">
        <v>40665</v>
      </c>
      <c r="M7897" t="s">
        <v>42828</v>
      </c>
      <c r="N7897" t="s">
        <v>44905</v>
      </c>
      <c r="O7897" t="s">
        <v>44906</v>
      </c>
      <c r="P7897">
        <v>0</v>
      </c>
      <c r="Q7897">
        <v>0</v>
      </c>
      <c r="R7897" t="s">
        <v>44910</v>
      </c>
      <c r="S7897" t="s">
        <v>45076</v>
      </c>
      <c r="T7897" t="s">
        <v>46443</v>
      </c>
      <c r="U7897" t="s">
        <v>51285</v>
      </c>
      <c r="W7897" t="s">
        <v>42828</v>
      </c>
      <c r="X7897" t="s">
        <v>44911</v>
      </c>
    </row>
    <row r="7898" spans="1:24">
      <c r="A7898">
        <f>HYPERLINK("https://www.philgeps.gov.ph/GEPSNONPILOT/Tender/SplashBidNoticeAbstractUI.aspx?menuIndex=3&amp;refID=7074910&amp;Result=3","7074910")</f>
        <v>0</v>
      </c>
      <c r="B7898" t="s">
        <v>831</v>
      </c>
      <c r="C7898" t="s">
        <v>11055</v>
      </c>
      <c r="D7898" t="s">
        <v>18108</v>
      </c>
      <c r="E7898" t="s">
        <v>25145</v>
      </c>
      <c r="F7898" t="s">
        <v>31362</v>
      </c>
      <c r="G7898" t="s">
        <v>31369</v>
      </c>
      <c r="H7898" t="s">
        <v>15799</v>
      </c>
      <c r="I7898" t="s">
        <v>7090</v>
      </c>
      <c r="J7898" t="s">
        <v>31738</v>
      </c>
      <c r="K7898" t="s">
        <v>40666</v>
      </c>
      <c r="M7898" t="s">
        <v>42635</v>
      </c>
      <c r="N7898" t="s">
        <v>44905</v>
      </c>
      <c r="O7898" t="s">
        <v>44906</v>
      </c>
      <c r="P7898">
        <v>0</v>
      </c>
      <c r="Q7898">
        <v>1</v>
      </c>
      <c r="R7898" t="s">
        <v>44910</v>
      </c>
      <c r="S7898" t="s">
        <v>45076</v>
      </c>
      <c r="T7898" t="s">
        <v>46393</v>
      </c>
      <c r="U7898" t="s">
        <v>48635</v>
      </c>
      <c r="W7898" t="s">
        <v>42635</v>
      </c>
      <c r="X7898" t="s">
        <v>44911</v>
      </c>
    </row>
    <row r="7899" spans="1:24">
      <c r="A7899">
        <f>HYPERLINK("https://www.philgeps.gov.ph/GEPSNONPILOT/Tender/SplashBidNoticeAbstractUI.aspx?menuIndex=3&amp;refID=7074908&amp;Result=3","7074908")</f>
        <v>0</v>
      </c>
      <c r="B7899" t="s">
        <v>321</v>
      </c>
      <c r="C7899" t="s">
        <v>11056</v>
      </c>
      <c r="D7899" t="s">
        <v>18114</v>
      </c>
      <c r="E7899" t="s">
        <v>25146</v>
      </c>
      <c r="F7899" t="s">
        <v>31362</v>
      </c>
      <c r="G7899" t="s">
        <v>31369</v>
      </c>
      <c r="H7899" t="s">
        <v>31379</v>
      </c>
      <c r="I7899" t="s">
        <v>31421</v>
      </c>
      <c r="J7899" t="s">
        <v>36345</v>
      </c>
      <c r="K7899" t="s">
        <v>40679</v>
      </c>
      <c r="M7899" t="s">
        <v>41267</v>
      </c>
      <c r="N7899" t="s">
        <v>44905</v>
      </c>
      <c r="O7899" t="s">
        <v>44906</v>
      </c>
      <c r="P7899">
        <v>0</v>
      </c>
      <c r="Q7899">
        <v>5</v>
      </c>
      <c r="R7899" t="s">
        <v>44910</v>
      </c>
      <c r="S7899" t="s">
        <v>45076</v>
      </c>
      <c r="T7899" t="s">
        <v>46511</v>
      </c>
      <c r="U7899" t="s">
        <v>47466</v>
      </c>
      <c r="V7899" t="s">
        <v>59148</v>
      </c>
      <c r="W7899" t="s">
        <v>41267</v>
      </c>
      <c r="X7899" t="s">
        <v>44911</v>
      </c>
    </row>
    <row r="7900" spans="1:24">
      <c r="A7900">
        <f>HYPERLINK("https://www.philgeps.gov.ph/GEPSNONPILOT/Tender/SplashBidNoticeAbstractUI.aspx?menuIndex=3&amp;refID=7074940&amp;Result=3","7074940")</f>
        <v>0</v>
      </c>
      <c r="B7900" t="s">
        <v>1931</v>
      </c>
      <c r="C7900" t="s">
        <v>11057</v>
      </c>
      <c r="D7900" t="s">
        <v>18120</v>
      </c>
      <c r="E7900" t="s">
        <v>25147</v>
      </c>
      <c r="F7900" t="s">
        <v>31362</v>
      </c>
      <c r="G7900" t="s">
        <v>31369</v>
      </c>
      <c r="H7900" t="s">
        <v>15799</v>
      </c>
      <c r="I7900" t="s">
        <v>3815</v>
      </c>
      <c r="J7900" t="s">
        <v>36346</v>
      </c>
      <c r="K7900" t="s">
        <v>40661</v>
      </c>
      <c r="M7900" t="s">
        <v>43032</v>
      </c>
      <c r="N7900" t="s">
        <v>44905</v>
      </c>
      <c r="O7900" t="s">
        <v>44906</v>
      </c>
      <c r="P7900">
        <v>0</v>
      </c>
      <c r="Q7900">
        <v>1</v>
      </c>
      <c r="R7900" t="s">
        <v>44910</v>
      </c>
      <c r="S7900" t="s">
        <v>45076</v>
      </c>
      <c r="T7900" t="s">
        <v>46412</v>
      </c>
      <c r="U7900" t="s">
        <v>53295</v>
      </c>
      <c r="W7900" t="s">
        <v>43032</v>
      </c>
      <c r="X7900" t="s">
        <v>44911</v>
      </c>
    </row>
    <row r="7901" spans="1:24">
      <c r="A7901">
        <f>HYPERLINK("https://www.philgeps.gov.ph/GEPSNONPILOT/Tender/SplashBidNoticeAbstractUI.aspx?menuIndex=3&amp;refID=7074965&amp;Result=3","7074965")</f>
        <v>0</v>
      </c>
      <c r="B7901" t="s">
        <v>1475</v>
      </c>
      <c r="C7901" t="s">
        <v>11058</v>
      </c>
      <c r="D7901" t="s">
        <v>18168</v>
      </c>
      <c r="E7901" t="s">
        <v>25148</v>
      </c>
      <c r="F7901" t="s">
        <v>31362</v>
      </c>
      <c r="G7901" t="s">
        <v>31369</v>
      </c>
      <c r="H7901" t="s">
        <v>31378</v>
      </c>
      <c r="I7901" t="s">
        <v>31386</v>
      </c>
      <c r="J7901" t="s">
        <v>36347</v>
      </c>
      <c r="K7901" t="s">
        <v>40836</v>
      </c>
      <c r="M7901" t="s">
        <v>42509</v>
      </c>
      <c r="N7901" t="s">
        <v>44905</v>
      </c>
      <c r="O7901" t="s">
        <v>44906</v>
      </c>
      <c r="P7901">
        <v>0</v>
      </c>
      <c r="Q7901">
        <v>1</v>
      </c>
      <c r="R7901" t="s">
        <v>44910</v>
      </c>
      <c r="S7901" t="s">
        <v>45076</v>
      </c>
      <c r="T7901" t="s">
        <v>46429</v>
      </c>
      <c r="U7901" t="s">
        <v>53296</v>
      </c>
      <c r="W7901" t="s">
        <v>42509</v>
      </c>
      <c r="X7901" t="s">
        <v>44911</v>
      </c>
    </row>
    <row r="7902" spans="1:24">
      <c r="A7902">
        <f>HYPERLINK("https://www.philgeps.gov.ph/GEPSNONPILOT/Tender/SplashBidNoticeAbstractUI.aspx?menuIndex=3&amp;refID=7074902&amp;Result=3","7074902")</f>
        <v>0</v>
      </c>
      <c r="B7902" t="s">
        <v>2359</v>
      </c>
      <c r="C7902" t="s">
        <v>11059</v>
      </c>
      <c r="D7902" t="s">
        <v>18131</v>
      </c>
      <c r="E7902" t="s">
        <v>25149</v>
      </c>
      <c r="F7902" t="s">
        <v>31362</v>
      </c>
      <c r="G7902" t="s">
        <v>31369</v>
      </c>
      <c r="H7902" t="s">
        <v>15799</v>
      </c>
      <c r="I7902" t="s">
        <v>31427</v>
      </c>
      <c r="J7902" t="s">
        <v>36348</v>
      </c>
      <c r="K7902" t="s">
        <v>40666</v>
      </c>
      <c r="M7902" t="s">
        <v>43504</v>
      </c>
      <c r="N7902" t="s">
        <v>44905</v>
      </c>
      <c r="O7902" t="s">
        <v>44906</v>
      </c>
      <c r="P7902">
        <v>0</v>
      </c>
      <c r="Q7902">
        <v>0</v>
      </c>
      <c r="R7902" t="s">
        <v>44910</v>
      </c>
      <c r="S7902" t="s">
        <v>45076</v>
      </c>
      <c r="T7902" t="s">
        <v>46447</v>
      </c>
      <c r="U7902" t="s">
        <v>53297</v>
      </c>
      <c r="V7902" t="s">
        <v>59831</v>
      </c>
      <c r="W7902" t="s">
        <v>43504</v>
      </c>
      <c r="X7902" t="s">
        <v>44911</v>
      </c>
    </row>
    <row r="7903" spans="1:24">
      <c r="A7903">
        <f>HYPERLINK("https://www.philgeps.gov.ph/GEPSNONPILOT/Tender/SplashBidNoticeAbstractUI.aspx?menuIndex=3&amp;refID=7074960&amp;Result=3","7074960")</f>
        <v>0</v>
      </c>
      <c r="B7903" t="s">
        <v>2354</v>
      </c>
      <c r="C7903" t="s">
        <v>11060</v>
      </c>
      <c r="D7903" t="s">
        <v>18172</v>
      </c>
      <c r="E7903" t="s">
        <v>19255</v>
      </c>
      <c r="F7903" t="s">
        <v>31362</v>
      </c>
      <c r="G7903" t="s">
        <v>31369</v>
      </c>
      <c r="H7903" t="s">
        <v>15799</v>
      </c>
      <c r="I7903" t="s">
        <v>3815</v>
      </c>
      <c r="J7903" t="s">
        <v>36349</v>
      </c>
      <c r="K7903" t="s">
        <v>40666</v>
      </c>
      <c r="M7903" t="s">
        <v>43499</v>
      </c>
      <c r="N7903" t="s">
        <v>44905</v>
      </c>
      <c r="O7903" t="s">
        <v>44906</v>
      </c>
      <c r="P7903">
        <v>0</v>
      </c>
      <c r="Q7903">
        <v>0</v>
      </c>
      <c r="R7903" t="s">
        <v>44910</v>
      </c>
      <c r="S7903" t="s">
        <v>45076</v>
      </c>
      <c r="T7903" t="s">
        <v>46416</v>
      </c>
      <c r="U7903" t="s">
        <v>53298</v>
      </c>
      <c r="W7903" t="s">
        <v>43499</v>
      </c>
      <c r="X7903" t="s">
        <v>44911</v>
      </c>
    </row>
    <row r="7904" spans="1:24">
      <c r="A7904">
        <f>HYPERLINK("https://www.philgeps.gov.ph/GEPSNONPILOT/Tender/SplashBidNoticeAbstractUI.aspx?menuIndex=3&amp;refID=7074956&amp;Result=3","7074956")</f>
        <v>0</v>
      </c>
      <c r="B7904" t="s">
        <v>255</v>
      </c>
      <c r="C7904" t="s">
        <v>11061</v>
      </c>
      <c r="E7904" t="s">
        <v>25150</v>
      </c>
      <c r="F7904" t="s">
        <v>31362</v>
      </c>
      <c r="G7904" t="s">
        <v>31368</v>
      </c>
      <c r="H7904" t="s">
        <v>15799</v>
      </c>
      <c r="I7904" t="s">
        <v>7090</v>
      </c>
      <c r="J7904" t="s">
        <v>36350</v>
      </c>
      <c r="K7904" t="s">
        <v>40662</v>
      </c>
      <c r="M7904" t="s">
        <v>43340</v>
      </c>
      <c r="N7904" t="s">
        <v>44905</v>
      </c>
      <c r="O7904" t="s">
        <v>44906</v>
      </c>
      <c r="P7904">
        <v>0</v>
      </c>
      <c r="Q7904">
        <v>2</v>
      </c>
      <c r="R7904" t="s">
        <v>44910</v>
      </c>
      <c r="S7904" t="s">
        <v>45076</v>
      </c>
      <c r="T7904" t="s">
        <v>46428</v>
      </c>
      <c r="U7904" t="s">
        <v>52824</v>
      </c>
      <c r="W7904" t="s">
        <v>43340</v>
      </c>
      <c r="X7904" t="s">
        <v>44911</v>
      </c>
    </row>
    <row r="7905" spans="1:24">
      <c r="A7905">
        <f>HYPERLINK("https://www.philgeps.gov.ph/GEPSNONPILOT/Tender/SplashBidNoticeAbstractUI.aspx?menuIndex=3&amp;refID=7074954&amp;Result=3","7074954")</f>
        <v>0</v>
      </c>
      <c r="B7905" t="s">
        <v>575</v>
      </c>
      <c r="C7905" t="s">
        <v>11062</v>
      </c>
      <c r="D7905" t="s">
        <v>18108</v>
      </c>
      <c r="E7905" t="s">
        <v>25151</v>
      </c>
      <c r="F7905" t="s">
        <v>31362</v>
      </c>
      <c r="G7905" t="s">
        <v>31369</v>
      </c>
      <c r="H7905" t="s">
        <v>15799</v>
      </c>
      <c r="I7905" t="s">
        <v>31409</v>
      </c>
      <c r="J7905" t="s">
        <v>31607</v>
      </c>
      <c r="K7905" t="s">
        <v>40665</v>
      </c>
      <c r="M7905" t="s">
        <v>41531</v>
      </c>
      <c r="N7905" t="s">
        <v>44905</v>
      </c>
      <c r="O7905" t="s">
        <v>44906</v>
      </c>
      <c r="P7905">
        <v>0</v>
      </c>
      <c r="Q7905">
        <v>4</v>
      </c>
      <c r="R7905" t="s">
        <v>44910</v>
      </c>
      <c r="S7905" t="s">
        <v>45076</v>
      </c>
      <c r="T7905" t="s">
        <v>46671</v>
      </c>
      <c r="U7905" t="s">
        <v>53299</v>
      </c>
      <c r="W7905" t="s">
        <v>41531</v>
      </c>
      <c r="X7905" t="s">
        <v>44911</v>
      </c>
    </row>
    <row r="7906" spans="1:24">
      <c r="A7906">
        <f>HYPERLINK("https://www.philgeps.gov.ph/GEPSNONPILOT/Tender/SplashBidNoticeAbstractUI.aspx?menuIndex=3&amp;refID=7074953&amp;Result=3","7074953")</f>
        <v>0</v>
      </c>
      <c r="B7906" t="s">
        <v>1770</v>
      </c>
      <c r="C7906" t="s">
        <v>11063</v>
      </c>
      <c r="D7906" t="s">
        <v>18116</v>
      </c>
      <c r="E7906" t="s">
        <v>25152</v>
      </c>
      <c r="F7906" t="s">
        <v>31362</v>
      </c>
      <c r="G7906" t="s">
        <v>31369</v>
      </c>
      <c r="H7906" t="s">
        <v>31378</v>
      </c>
      <c r="I7906" t="s">
        <v>31386</v>
      </c>
      <c r="J7906" t="s">
        <v>36351</v>
      </c>
      <c r="K7906" t="s">
        <v>40675</v>
      </c>
      <c r="M7906" t="s">
        <v>42848</v>
      </c>
      <c r="N7906" t="s">
        <v>44905</v>
      </c>
      <c r="O7906" t="s">
        <v>44906</v>
      </c>
      <c r="P7906">
        <v>0</v>
      </c>
      <c r="Q7906">
        <v>0</v>
      </c>
      <c r="R7906" t="s">
        <v>44910</v>
      </c>
      <c r="S7906" t="s">
        <v>45076</v>
      </c>
      <c r="T7906" t="s">
        <v>46497</v>
      </c>
      <c r="U7906" t="s">
        <v>53300</v>
      </c>
      <c r="W7906" t="s">
        <v>42848</v>
      </c>
      <c r="X7906" t="s">
        <v>44911</v>
      </c>
    </row>
    <row r="7907" spans="1:24">
      <c r="A7907">
        <f>HYPERLINK("https://www.philgeps.gov.ph/GEPSNONPILOT/Tender/SplashBidNoticeAbstractUI.aspx?menuIndex=3&amp;refID=7074948&amp;Result=3","7074948")</f>
        <v>0</v>
      </c>
      <c r="B7907" t="s">
        <v>622</v>
      </c>
      <c r="C7907" t="s">
        <v>11064</v>
      </c>
      <c r="D7907" t="s">
        <v>18108</v>
      </c>
      <c r="E7907" t="s">
        <v>25153</v>
      </c>
      <c r="F7907" t="s">
        <v>31362</v>
      </c>
      <c r="G7907" t="s">
        <v>31371</v>
      </c>
      <c r="H7907" t="s">
        <v>15799</v>
      </c>
      <c r="I7907" t="s">
        <v>31393</v>
      </c>
      <c r="J7907" t="s">
        <v>31545</v>
      </c>
      <c r="K7907" t="s">
        <v>40666</v>
      </c>
      <c r="M7907" t="s">
        <v>41581</v>
      </c>
      <c r="N7907" t="s">
        <v>44905</v>
      </c>
      <c r="O7907" t="s">
        <v>44906</v>
      </c>
      <c r="P7907">
        <v>0</v>
      </c>
      <c r="Q7907">
        <v>19</v>
      </c>
      <c r="R7907" t="s">
        <v>44910</v>
      </c>
      <c r="S7907" t="s">
        <v>45076</v>
      </c>
      <c r="T7907" t="s">
        <v>46412</v>
      </c>
      <c r="U7907" t="s">
        <v>48113</v>
      </c>
      <c r="W7907" t="s">
        <v>41581</v>
      </c>
      <c r="X7907" t="s">
        <v>44911</v>
      </c>
    </row>
    <row r="7908" spans="1:24">
      <c r="A7908">
        <f>HYPERLINK("https://www.philgeps.gov.ph/GEPSNONPILOT/Tender/SplashBidNoticeAbstractUI.aspx?menuIndex=3&amp;refID=7074784&amp;Result=3","7074784")</f>
        <v>0</v>
      </c>
      <c r="B7908" t="s">
        <v>1655</v>
      </c>
      <c r="C7908" t="s">
        <v>11065</v>
      </c>
      <c r="D7908" t="s">
        <v>18136</v>
      </c>
      <c r="E7908" t="s">
        <v>25154</v>
      </c>
      <c r="F7908" t="s">
        <v>31362</v>
      </c>
      <c r="G7908" t="s">
        <v>31368</v>
      </c>
      <c r="H7908" t="s">
        <v>15799</v>
      </c>
      <c r="I7908" t="s">
        <v>31430</v>
      </c>
      <c r="J7908" t="s">
        <v>34939</v>
      </c>
      <c r="K7908" t="s">
        <v>40661</v>
      </c>
      <c r="M7908" t="s">
        <v>43362</v>
      </c>
      <c r="N7908" t="s">
        <v>44905</v>
      </c>
      <c r="O7908" t="s">
        <v>44906</v>
      </c>
      <c r="P7908">
        <v>0</v>
      </c>
      <c r="Q7908">
        <v>0</v>
      </c>
      <c r="R7908" t="s">
        <v>44910</v>
      </c>
      <c r="S7908" t="s">
        <v>45076</v>
      </c>
      <c r="T7908" t="s">
        <v>46425</v>
      </c>
      <c r="U7908" t="s">
        <v>53301</v>
      </c>
      <c r="W7908" t="s">
        <v>43362</v>
      </c>
      <c r="X7908" t="s">
        <v>44911</v>
      </c>
    </row>
    <row r="7909" spans="1:24">
      <c r="A7909">
        <f>HYPERLINK("https://www.philgeps.gov.ph/GEPSNONPILOT/Tender/SplashBidNoticeAbstractUI.aspx?menuIndex=3&amp;refID=7074943&amp;Result=3","7074943")</f>
        <v>0</v>
      </c>
      <c r="B7909" t="s">
        <v>2343</v>
      </c>
      <c r="C7909" t="s">
        <v>11066</v>
      </c>
      <c r="D7909" t="s">
        <v>18108</v>
      </c>
      <c r="E7909" t="s">
        <v>25155</v>
      </c>
      <c r="F7909" t="s">
        <v>31362</v>
      </c>
      <c r="G7909" t="s">
        <v>31370</v>
      </c>
      <c r="H7909" t="s">
        <v>15799</v>
      </c>
      <c r="I7909" t="s">
        <v>31385</v>
      </c>
      <c r="J7909" t="s">
        <v>31591</v>
      </c>
      <c r="K7909" t="s">
        <v>40696</v>
      </c>
      <c r="M7909" t="s">
        <v>43486</v>
      </c>
      <c r="N7909" t="s">
        <v>44905</v>
      </c>
      <c r="O7909" t="s">
        <v>44906</v>
      </c>
      <c r="P7909">
        <v>0</v>
      </c>
      <c r="Q7909">
        <v>16</v>
      </c>
      <c r="R7909" t="s">
        <v>44910</v>
      </c>
      <c r="S7909" t="s">
        <v>45076</v>
      </c>
      <c r="T7909" t="s">
        <v>46414</v>
      </c>
      <c r="U7909" t="s">
        <v>53302</v>
      </c>
      <c r="W7909" t="s">
        <v>43486</v>
      </c>
      <c r="X7909" t="s">
        <v>44911</v>
      </c>
    </row>
    <row r="7910" spans="1:24">
      <c r="A7910">
        <f>HYPERLINK("https://www.philgeps.gov.ph/GEPSNONPILOT/Tender/SplashBidNoticeAbstractUI.aspx?menuIndex=3&amp;refID=7074975&amp;Result=3","7074975")</f>
        <v>0</v>
      </c>
      <c r="B7910" t="s">
        <v>838</v>
      </c>
      <c r="C7910" t="s">
        <v>11067</v>
      </c>
      <c r="D7910" t="s">
        <v>18162</v>
      </c>
      <c r="E7910" t="s">
        <v>25156</v>
      </c>
      <c r="F7910" t="s">
        <v>31362</v>
      </c>
      <c r="G7910" t="s">
        <v>31369</v>
      </c>
      <c r="H7910" t="s">
        <v>31378</v>
      </c>
      <c r="I7910" t="s">
        <v>31386</v>
      </c>
      <c r="J7910" t="s">
        <v>31591</v>
      </c>
      <c r="K7910" t="s">
        <v>40662</v>
      </c>
      <c r="M7910" t="s">
        <v>41813</v>
      </c>
      <c r="N7910" t="s">
        <v>44905</v>
      </c>
      <c r="O7910" t="s">
        <v>44906</v>
      </c>
      <c r="P7910">
        <v>0</v>
      </c>
      <c r="Q7910">
        <v>0</v>
      </c>
      <c r="R7910" t="s">
        <v>44910</v>
      </c>
      <c r="S7910" t="s">
        <v>45076</v>
      </c>
      <c r="T7910" t="s">
        <v>46403</v>
      </c>
      <c r="U7910" t="s">
        <v>53303</v>
      </c>
      <c r="W7910" t="s">
        <v>41813</v>
      </c>
      <c r="X7910" t="s">
        <v>44911</v>
      </c>
    </row>
    <row r="7911" spans="1:24">
      <c r="A7911">
        <f>HYPERLINK("https://www.philgeps.gov.ph/GEPSNONPILOT/Tender/SplashBidNoticeAbstractUI.aspx?menuIndex=3&amp;refID=7074959&amp;Result=3","7074959")</f>
        <v>0</v>
      </c>
      <c r="B7911" t="s">
        <v>2360</v>
      </c>
      <c r="C7911" t="s">
        <v>11068</v>
      </c>
      <c r="D7911" t="s">
        <v>18164</v>
      </c>
      <c r="E7911" t="s">
        <v>25157</v>
      </c>
      <c r="F7911" t="s">
        <v>31362</v>
      </c>
      <c r="G7911" t="s">
        <v>31369</v>
      </c>
      <c r="H7911" t="s">
        <v>15799</v>
      </c>
      <c r="I7911" t="s">
        <v>31427</v>
      </c>
      <c r="J7911" t="s">
        <v>36352</v>
      </c>
      <c r="K7911" t="s">
        <v>40665</v>
      </c>
      <c r="M7911" t="s">
        <v>43505</v>
      </c>
      <c r="N7911" t="s">
        <v>44905</v>
      </c>
      <c r="O7911" t="s">
        <v>44906</v>
      </c>
      <c r="P7911">
        <v>0</v>
      </c>
      <c r="Q7911">
        <v>7</v>
      </c>
      <c r="R7911" t="s">
        <v>44910</v>
      </c>
      <c r="S7911" t="s">
        <v>45076</v>
      </c>
      <c r="T7911" t="s">
        <v>46503</v>
      </c>
      <c r="U7911" t="s">
        <v>53304</v>
      </c>
      <c r="V7911" t="s">
        <v>59832</v>
      </c>
      <c r="W7911" t="s">
        <v>43505</v>
      </c>
      <c r="X7911" t="s">
        <v>44911</v>
      </c>
    </row>
    <row r="7912" spans="1:24">
      <c r="A7912">
        <f>HYPERLINK("https://www.philgeps.gov.ph/GEPSNONPILOT/Tender/SplashBidNoticeAbstractUI.aspx?menuIndex=3&amp;refID=7074947&amp;Result=3","7074947")</f>
        <v>0</v>
      </c>
      <c r="B7912" t="s">
        <v>2356</v>
      </c>
      <c r="C7912" t="s">
        <v>6247</v>
      </c>
      <c r="D7912" t="s">
        <v>18131</v>
      </c>
      <c r="E7912" t="s">
        <v>25158</v>
      </c>
      <c r="F7912" t="s">
        <v>31362</v>
      </c>
      <c r="G7912" t="s">
        <v>31372</v>
      </c>
      <c r="H7912" t="s">
        <v>31378</v>
      </c>
      <c r="I7912" t="s">
        <v>31386</v>
      </c>
      <c r="J7912" t="s">
        <v>36353</v>
      </c>
      <c r="K7912" t="s">
        <v>40662</v>
      </c>
      <c r="M7912" t="s">
        <v>43501</v>
      </c>
      <c r="N7912" t="s">
        <v>44905</v>
      </c>
      <c r="O7912" t="s">
        <v>44906</v>
      </c>
      <c r="P7912">
        <v>0</v>
      </c>
      <c r="Q7912">
        <v>1</v>
      </c>
      <c r="R7912" t="s">
        <v>44910</v>
      </c>
      <c r="S7912" t="s">
        <v>45076</v>
      </c>
      <c r="T7912" t="s">
        <v>46438</v>
      </c>
      <c r="U7912" t="s">
        <v>53305</v>
      </c>
      <c r="W7912" t="s">
        <v>43501</v>
      </c>
      <c r="X7912" t="s">
        <v>44911</v>
      </c>
    </row>
    <row r="7913" spans="1:24">
      <c r="A7913">
        <f>HYPERLINK("https://www.philgeps.gov.ph/GEPSNONPILOT/Tender/SplashBidNoticeAbstractUI.aspx?menuIndex=3&amp;refID=7074971&amp;Result=3","7074971")</f>
        <v>0</v>
      </c>
      <c r="B7913" t="s">
        <v>1964</v>
      </c>
      <c r="C7913" t="s">
        <v>11069</v>
      </c>
      <c r="D7913" t="s">
        <v>18154</v>
      </c>
      <c r="E7913" t="s">
        <v>25159</v>
      </c>
      <c r="F7913" t="s">
        <v>31362</v>
      </c>
      <c r="G7913" t="s">
        <v>31370</v>
      </c>
      <c r="H7913" t="s">
        <v>15799</v>
      </c>
      <c r="I7913" t="s">
        <v>6240</v>
      </c>
      <c r="J7913" t="s">
        <v>36354</v>
      </c>
      <c r="K7913" t="s">
        <v>40661</v>
      </c>
      <c r="M7913" t="s">
        <v>43070</v>
      </c>
      <c r="N7913" t="s">
        <v>44905</v>
      </c>
      <c r="O7913" t="s">
        <v>44906</v>
      </c>
      <c r="P7913">
        <v>0</v>
      </c>
      <c r="Q7913">
        <v>0</v>
      </c>
      <c r="R7913" t="s">
        <v>44910</v>
      </c>
      <c r="S7913" t="s">
        <v>45076</v>
      </c>
      <c r="T7913" t="s">
        <v>46447</v>
      </c>
      <c r="U7913" t="s">
        <v>53306</v>
      </c>
      <c r="W7913" t="s">
        <v>43070</v>
      </c>
      <c r="X7913" t="s">
        <v>44911</v>
      </c>
    </row>
    <row r="7914" spans="1:24">
      <c r="A7914">
        <f>HYPERLINK("https://www.philgeps.gov.ph/GEPSNONPILOT/Tender/SplashBidNoticeAbstractUI.aspx?menuIndex=3&amp;refID=7074978&amp;Result=3","7074978")</f>
        <v>0</v>
      </c>
      <c r="B7914" t="s">
        <v>45</v>
      </c>
      <c r="C7914" t="s">
        <v>11070</v>
      </c>
      <c r="D7914" t="s">
        <v>18114</v>
      </c>
      <c r="E7914" t="s">
        <v>25160</v>
      </c>
      <c r="F7914" t="s">
        <v>31362</v>
      </c>
      <c r="G7914" t="s">
        <v>31369</v>
      </c>
      <c r="H7914" t="s">
        <v>15799</v>
      </c>
      <c r="I7914" t="s">
        <v>31450</v>
      </c>
      <c r="J7914" t="s">
        <v>36355</v>
      </c>
      <c r="K7914" t="s">
        <v>40665</v>
      </c>
      <c r="M7914" t="s">
        <v>41024</v>
      </c>
      <c r="N7914" t="s">
        <v>44905</v>
      </c>
      <c r="O7914" t="s">
        <v>44906</v>
      </c>
      <c r="P7914">
        <v>0</v>
      </c>
      <c r="Q7914">
        <v>1</v>
      </c>
      <c r="R7914" t="s">
        <v>44910</v>
      </c>
      <c r="S7914" t="s">
        <v>45076</v>
      </c>
      <c r="T7914" t="s">
        <v>46504</v>
      </c>
      <c r="U7914" t="s">
        <v>53232</v>
      </c>
      <c r="W7914" t="s">
        <v>41024</v>
      </c>
      <c r="X7914" t="s">
        <v>44911</v>
      </c>
    </row>
    <row r="7915" spans="1:24">
      <c r="A7915">
        <f>HYPERLINK("https://www.philgeps.gov.ph/GEPSNONPILOT/Tender/SplashBidNoticeAbstractUI.aspx?menuIndex=3&amp;refID=7074977&amp;Result=3","7074977")</f>
        <v>0</v>
      </c>
      <c r="B7915" t="s">
        <v>2361</v>
      </c>
      <c r="C7915" t="s">
        <v>11071</v>
      </c>
      <c r="D7915" t="s">
        <v>18131</v>
      </c>
      <c r="E7915" t="s">
        <v>23115</v>
      </c>
      <c r="F7915" t="s">
        <v>31362</v>
      </c>
      <c r="G7915" t="s">
        <v>31369</v>
      </c>
      <c r="H7915" t="s">
        <v>15799</v>
      </c>
      <c r="I7915" t="s">
        <v>3815</v>
      </c>
      <c r="J7915" t="s">
        <v>31536</v>
      </c>
      <c r="K7915" t="s">
        <v>40670</v>
      </c>
      <c r="L7915" t="s">
        <v>2361</v>
      </c>
      <c r="M7915" t="s">
        <v>43506</v>
      </c>
      <c r="N7915" t="s">
        <v>44905</v>
      </c>
      <c r="O7915" t="s">
        <v>44906</v>
      </c>
      <c r="P7915">
        <v>0</v>
      </c>
      <c r="Q7915">
        <v>3</v>
      </c>
      <c r="R7915" t="s">
        <v>44910</v>
      </c>
      <c r="S7915" t="s">
        <v>45076</v>
      </c>
      <c r="T7915" t="s">
        <v>46549</v>
      </c>
      <c r="U7915" t="s">
        <v>53307</v>
      </c>
      <c r="W7915" t="s">
        <v>43506</v>
      </c>
      <c r="X7915" t="s">
        <v>44911</v>
      </c>
    </row>
    <row r="7916" spans="1:24">
      <c r="A7916">
        <f>HYPERLINK("https://www.philgeps.gov.ph/GEPSNONPILOT/Tender/SplashBidNoticeAbstractUI.aspx?menuIndex=3&amp;refID=7074997&amp;Result=3","7074997")</f>
        <v>0</v>
      </c>
      <c r="B7916" t="s">
        <v>2362</v>
      </c>
      <c r="C7916" t="s">
        <v>11072</v>
      </c>
      <c r="D7916" t="s">
        <v>18116</v>
      </c>
      <c r="E7916" t="s">
        <v>24549</v>
      </c>
      <c r="F7916" t="s">
        <v>31362</v>
      </c>
      <c r="G7916" t="s">
        <v>31368</v>
      </c>
      <c r="H7916" t="s">
        <v>15799</v>
      </c>
      <c r="I7916" t="s">
        <v>31388</v>
      </c>
      <c r="J7916" t="s">
        <v>36356</v>
      </c>
      <c r="K7916" t="s">
        <v>40672</v>
      </c>
      <c r="M7916" t="s">
        <v>43507</v>
      </c>
      <c r="N7916" t="s">
        <v>44905</v>
      </c>
      <c r="O7916" t="s">
        <v>44906</v>
      </c>
      <c r="P7916">
        <v>0</v>
      </c>
      <c r="Q7916">
        <v>0</v>
      </c>
      <c r="R7916" t="s">
        <v>44910</v>
      </c>
      <c r="S7916" t="s">
        <v>45076</v>
      </c>
      <c r="T7916" t="s">
        <v>46766</v>
      </c>
      <c r="U7916" t="s">
        <v>53308</v>
      </c>
      <c r="V7916" t="s">
        <v>59833</v>
      </c>
      <c r="W7916" t="s">
        <v>43507</v>
      </c>
      <c r="X7916" t="s">
        <v>44911</v>
      </c>
    </row>
    <row r="7917" spans="1:24">
      <c r="A7917">
        <f>HYPERLINK("https://www.philgeps.gov.ph/GEPSNONPILOT/Tender/SplashBidNoticeAbstractUI.aspx?menuIndex=3&amp;refID=7074996&amp;Result=3","7074996")</f>
        <v>0</v>
      </c>
      <c r="B7917" t="s">
        <v>2363</v>
      </c>
      <c r="C7917" t="s">
        <v>7980</v>
      </c>
      <c r="D7917" t="s">
        <v>18112</v>
      </c>
      <c r="E7917" t="s">
        <v>25161</v>
      </c>
      <c r="F7917" t="s">
        <v>31363</v>
      </c>
      <c r="G7917" t="s">
        <v>31368</v>
      </c>
      <c r="H7917" t="s">
        <v>15799</v>
      </c>
      <c r="I7917" t="s">
        <v>6373</v>
      </c>
      <c r="J7917" t="s">
        <v>32141</v>
      </c>
      <c r="K7917" t="s">
        <v>40697</v>
      </c>
      <c r="M7917" t="s">
        <v>43508</v>
      </c>
      <c r="N7917" t="s">
        <v>44905</v>
      </c>
      <c r="O7917" t="s">
        <v>44906</v>
      </c>
      <c r="P7917">
        <v>0</v>
      </c>
      <c r="Q7917">
        <v>1</v>
      </c>
      <c r="R7917" t="s">
        <v>44910</v>
      </c>
      <c r="S7917" t="s">
        <v>45076</v>
      </c>
      <c r="T7917" t="s">
        <v>46399</v>
      </c>
      <c r="U7917" t="s">
        <v>52839</v>
      </c>
      <c r="W7917" t="s">
        <v>43508</v>
      </c>
      <c r="X7917" t="s">
        <v>44911</v>
      </c>
    </row>
    <row r="7918" spans="1:24">
      <c r="A7918">
        <f>HYPERLINK("https://www.philgeps.gov.ph/GEPSNONPILOT/Tender/SplashBidNoticeAbstractUI.aspx?menuIndex=3&amp;refID=7074983&amp;Result=3","7074983")</f>
        <v>0</v>
      </c>
      <c r="B7918" t="s">
        <v>1770</v>
      </c>
      <c r="C7918" t="s">
        <v>11073</v>
      </c>
      <c r="D7918" t="s">
        <v>18116</v>
      </c>
      <c r="E7918" t="s">
        <v>25162</v>
      </c>
      <c r="F7918" t="s">
        <v>31362</v>
      </c>
      <c r="G7918" t="s">
        <v>31369</v>
      </c>
      <c r="H7918" t="s">
        <v>31378</v>
      </c>
      <c r="I7918" t="s">
        <v>31386</v>
      </c>
      <c r="J7918" t="s">
        <v>36357</v>
      </c>
      <c r="K7918" t="s">
        <v>40665</v>
      </c>
      <c r="M7918" t="s">
        <v>42848</v>
      </c>
      <c r="N7918" t="s">
        <v>44905</v>
      </c>
      <c r="O7918" t="s">
        <v>44906</v>
      </c>
      <c r="P7918">
        <v>0</v>
      </c>
      <c r="Q7918">
        <v>0</v>
      </c>
      <c r="R7918" t="s">
        <v>44910</v>
      </c>
      <c r="S7918" t="s">
        <v>45076</v>
      </c>
      <c r="T7918" t="s">
        <v>46497</v>
      </c>
      <c r="U7918" t="s">
        <v>53309</v>
      </c>
      <c r="W7918" t="s">
        <v>42848</v>
      </c>
      <c r="X7918" t="s">
        <v>44911</v>
      </c>
    </row>
    <row r="7919" spans="1:24">
      <c r="A7919">
        <f>HYPERLINK("https://www.philgeps.gov.ph/GEPSNONPILOT/Tender/SplashBidNoticeAbstractUI.aspx?menuIndex=3&amp;refID=7074990&amp;Result=3","7074990")</f>
        <v>0</v>
      </c>
      <c r="B7919" t="s">
        <v>2364</v>
      </c>
      <c r="C7919" t="s">
        <v>11074</v>
      </c>
      <c r="E7919" t="s">
        <v>25163</v>
      </c>
      <c r="F7919" t="s">
        <v>31362</v>
      </c>
      <c r="G7919" t="s">
        <v>31369</v>
      </c>
      <c r="H7919" t="s">
        <v>15799</v>
      </c>
      <c r="I7919" t="s">
        <v>31409</v>
      </c>
      <c r="J7919" t="s">
        <v>31724</v>
      </c>
      <c r="K7919" t="s">
        <v>40662</v>
      </c>
      <c r="M7919" t="s">
        <v>43509</v>
      </c>
      <c r="N7919" t="s">
        <v>44905</v>
      </c>
      <c r="O7919" t="s">
        <v>44906</v>
      </c>
      <c r="P7919">
        <v>0</v>
      </c>
      <c r="Q7919">
        <v>0</v>
      </c>
      <c r="R7919" t="s">
        <v>44910</v>
      </c>
      <c r="S7919" t="s">
        <v>45076</v>
      </c>
      <c r="T7919" t="s">
        <v>46549</v>
      </c>
      <c r="U7919" t="s">
        <v>53310</v>
      </c>
      <c r="W7919" t="s">
        <v>43509</v>
      </c>
      <c r="X7919" t="s">
        <v>44911</v>
      </c>
    </row>
    <row r="7920" spans="1:24">
      <c r="A7920">
        <f>HYPERLINK("https://www.philgeps.gov.ph/GEPSNONPILOT/Tender/SplashBidNoticeAbstractUI.aspx?menuIndex=3&amp;refID=7075022&amp;Result=3","7075022")</f>
        <v>0</v>
      </c>
      <c r="B7920" t="s">
        <v>2365</v>
      </c>
      <c r="C7920" t="s">
        <v>11075</v>
      </c>
      <c r="D7920" t="s">
        <v>18115</v>
      </c>
      <c r="E7920" t="s">
        <v>25164</v>
      </c>
      <c r="F7920" t="s">
        <v>31362</v>
      </c>
      <c r="G7920" t="s">
        <v>31369</v>
      </c>
      <c r="H7920" t="s">
        <v>31378</v>
      </c>
      <c r="I7920" t="s">
        <v>31386</v>
      </c>
      <c r="J7920" t="s">
        <v>31897</v>
      </c>
      <c r="K7920" t="s">
        <v>40675</v>
      </c>
      <c r="M7920" t="s">
        <v>43510</v>
      </c>
      <c r="N7920" t="s">
        <v>44905</v>
      </c>
      <c r="O7920" t="s">
        <v>44906</v>
      </c>
      <c r="P7920">
        <v>0</v>
      </c>
      <c r="Q7920">
        <v>3</v>
      </c>
      <c r="R7920" t="s">
        <v>44910</v>
      </c>
      <c r="S7920" t="s">
        <v>45076</v>
      </c>
      <c r="T7920" t="s">
        <v>46502</v>
      </c>
      <c r="U7920" t="s">
        <v>53311</v>
      </c>
      <c r="W7920" t="s">
        <v>43510</v>
      </c>
      <c r="X7920" t="s">
        <v>44911</v>
      </c>
    </row>
    <row r="7921" spans="1:24">
      <c r="A7921">
        <f>HYPERLINK("https://www.philgeps.gov.ph/GEPSNONPILOT/Tender/SplashBidNoticeAbstractUI.aspx?menuIndex=3&amp;refID=7075019&amp;Result=3","7075019")</f>
        <v>0</v>
      </c>
      <c r="B7921" t="s">
        <v>1428</v>
      </c>
      <c r="C7921" t="s">
        <v>11076</v>
      </c>
      <c r="D7921" t="s">
        <v>18108</v>
      </c>
      <c r="E7921" t="s">
        <v>25165</v>
      </c>
      <c r="F7921" t="s">
        <v>31362</v>
      </c>
      <c r="G7921" t="s">
        <v>31369</v>
      </c>
      <c r="H7921" t="s">
        <v>15799</v>
      </c>
      <c r="I7921" t="s">
        <v>4283</v>
      </c>
      <c r="J7921" t="s">
        <v>36358</v>
      </c>
      <c r="K7921" t="s">
        <v>40723</v>
      </c>
      <c r="M7921" t="s">
        <v>43511</v>
      </c>
      <c r="N7921" t="s">
        <v>44905</v>
      </c>
      <c r="O7921" t="s">
        <v>44906</v>
      </c>
      <c r="Q7921">
        <v>16</v>
      </c>
      <c r="R7921" t="s">
        <v>44910</v>
      </c>
      <c r="S7921" t="s">
        <v>45110</v>
      </c>
      <c r="T7921" t="s">
        <v>46690</v>
      </c>
      <c r="U7921" t="s">
        <v>53312</v>
      </c>
      <c r="W7921" t="s">
        <v>60893</v>
      </c>
      <c r="X7921" t="s">
        <v>44911</v>
      </c>
    </row>
    <row r="7922" spans="1:24">
      <c r="A7922">
        <f>HYPERLINK("https://www.philgeps.gov.ph/GEPSNONPILOT/Tender/SplashBidNoticeAbstractUI.aspx?menuIndex=3&amp;refID=7074981&amp;Result=3","7074981")</f>
        <v>0</v>
      </c>
      <c r="B7922" t="s">
        <v>2366</v>
      </c>
      <c r="C7922" t="s">
        <v>11077</v>
      </c>
      <c r="D7922" t="s">
        <v>18168</v>
      </c>
      <c r="E7922" t="s">
        <v>25166</v>
      </c>
      <c r="F7922" t="s">
        <v>31362</v>
      </c>
      <c r="G7922" t="s">
        <v>31369</v>
      </c>
      <c r="H7922" t="s">
        <v>15799</v>
      </c>
      <c r="I7922" t="s">
        <v>3815</v>
      </c>
      <c r="J7922" t="s">
        <v>36359</v>
      </c>
      <c r="K7922" t="s">
        <v>40662</v>
      </c>
      <c r="M7922" t="s">
        <v>43512</v>
      </c>
      <c r="N7922" t="s">
        <v>44905</v>
      </c>
      <c r="O7922" t="s">
        <v>44906</v>
      </c>
      <c r="P7922">
        <v>0</v>
      </c>
      <c r="Q7922">
        <v>1</v>
      </c>
      <c r="R7922" t="s">
        <v>44910</v>
      </c>
      <c r="S7922" t="s">
        <v>45076</v>
      </c>
      <c r="T7922" t="s">
        <v>46767</v>
      </c>
      <c r="U7922" t="s">
        <v>53313</v>
      </c>
      <c r="V7922" t="s">
        <v>59834</v>
      </c>
      <c r="W7922" t="s">
        <v>43512</v>
      </c>
      <c r="X7922" t="s">
        <v>44911</v>
      </c>
    </row>
    <row r="7923" spans="1:24">
      <c r="A7923">
        <f>HYPERLINK("https://www.philgeps.gov.ph/GEPSNONPILOT/Tender/SplashBidNoticeAbstractUI.aspx?menuIndex=3&amp;refID=7074961&amp;Result=3","7074961")</f>
        <v>0</v>
      </c>
      <c r="B7923" t="s">
        <v>2367</v>
      </c>
      <c r="C7923" t="s">
        <v>11078</v>
      </c>
      <c r="D7923" t="s">
        <v>18108</v>
      </c>
      <c r="E7923" t="s">
        <v>18229</v>
      </c>
      <c r="F7923" t="s">
        <v>31362</v>
      </c>
      <c r="G7923" t="s">
        <v>31368</v>
      </c>
      <c r="H7923" t="s">
        <v>15799</v>
      </c>
      <c r="I7923" t="s">
        <v>31380</v>
      </c>
      <c r="J7923" t="s">
        <v>31765</v>
      </c>
      <c r="K7923" t="s">
        <v>40680</v>
      </c>
      <c r="M7923" t="s">
        <v>43513</v>
      </c>
      <c r="N7923" t="s">
        <v>44905</v>
      </c>
      <c r="O7923" t="s">
        <v>44906</v>
      </c>
      <c r="P7923">
        <v>0</v>
      </c>
      <c r="Q7923">
        <v>5</v>
      </c>
      <c r="R7923" t="s">
        <v>44910</v>
      </c>
      <c r="S7923" t="s">
        <v>45076</v>
      </c>
      <c r="T7923" t="s">
        <v>46416</v>
      </c>
      <c r="U7923" t="s">
        <v>53314</v>
      </c>
      <c r="W7923" t="s">
        <v>43513</v>
      </c>
      <c r="X7923" t="s">
        <v>44911</v>
      </c>
    </row>
    <row r="7924" spans="1:24">
      <c r="A7924">
        <f>HYPERLINK("https://www.philgeps.gov.ph/GEPSNONPILOT/Tender/SplashBidNoticeAbstractUI.aspx?menuIndex=3&amp;refID=7074941&amp;Result=3","7074941")</f>
        <v>0</v>
      </c>
      <c r="B7924" t="s">
        <v>1770</v>
      </c>
      <c r="C7924" t="s">
        <v>11079</v>
      </c>
      <c r="D7924" t="s">
        <v>18116</v>
      </c>
      <c r="E7924" t="s">
        <v>25167</v>
      </c>
      <c r="F7924" t="s">
        <v>31362</v>
      </c>
      <c r="G7924" t="s">
        <v>31369</v>
      </c>
      <c r="H7924" t="s">
        <v>31378</v>
      </c>
      <c r="I7924" t="s">
        <v>31386</v>
      </c>
      <c r="J7924" t="s">
        <v>36360</v>
      </c>
      <c r="K7924" t="s">
        <v>40665</v>
      </c>
      <c r="M7924" t="s">
        <v>42848</v>
      </c>
      <c r="N7924" t="s">
        <v>44905</v>
      </c>
      <c r="O7924" t="s">
        <v>44906</v>
      </c>
      <c r="P7924">
        <v>0</v>
      </c>
      <c r="Q7924">
        <v>0</v>
      </c>
      <c r="R7924" t="s">
        <v>44910</v>
      </c>
      <c r="S7924" t="s">
        <v>45076</v>
      </c>
      <c r="T7924" t="s">
        <v>46497</v>
      </c>
      <c r="U7924" t="s">
        <v>53315</v>
      </c>
      <c r="W7924" t="s">
        <v>42848</v>
      </c>
      <c r="X7924" t="s">
        <v>44911</v>
      </c>
    </row>
    <row r="7925" spans="1:24">
      <c r="A7925">
        <f>HYPERLINK("https://www.philgeps.gov.ph/GEPSNONPILOT/Tender/SplashBidNoticeAbstractUI.aspx?menuIndex=3&amp;refID=7075018&amp;Result=3","7075018")</f>
        <v>0</v>
      </c>
      <c r="B7925" t="s">
        <v>675</v>
      </c>
      <c r="C7925" t="s">
        <v>11080</v>
      </c>
      <c r="D7925" t="s">
        <v>18111</v>
      </c>
      <c r="E7925" t="s">
        <v>25168</v>
      </c>
      <c r="F7925" t="s">
        <v>31362</v>
      </c>
      <c r="G7925" t="s">
        <v>31368</v>
      </c>
      <c r="H7925" t="s">
        <v>15799</v>
      </c>
      <c r="I7925" t="s">
        <v>31444</v>
      </c>
      <c r="J7925" t="s">
        <v>34754</v>
      </c>
      <c r="K7925" t="s">
        <v>40662</v>
      </c>
      <c r="M7925" t="s">
        <v>41637</v>
      </c>
      <c r="N7925" t="s">
        <v>44905</v>
      </c>
      <c r="O7925" t="s">
        <v>44906</v>
      </c>
      <c r="P7925">
        <v>0</v>
      </c>
      <c r="Q7925">
        <v>11</v>
      </c>
      <c r="R7925" t="s">
        <v>44910</v>
      </c>
      <c r="S7925" t="s">
        <v>45076</v>
      </c>
      <c r="T7925" t="s">
        <v>46483</v>
      </c>
      <c r="U7925" t="s">
        <v>49915</v>
      </c>
      <c r="W7925" t="s">
        <v>41637</v>
      </c>
      <c r="X7925" t="s">
        <v>44911</v>
      </c>
    </row>
    <row r="7926" spans="1:24">
      <c r="A7926">
        <f>HYPERLINK("https://www.philgeps.gov.ph/GEPSNONPILOT/Tender/SplashBidNoticeAbstractUI.aspx?menuIndex=3&amp;refID=7075020&amp;Result=3","7075020")</f>
        <v>0</v>
      </c>
      <c r="B7926" t="s">
        <v>2368</v>
      </c>
      <c r="C7926" t="s">
        <v>6247</v>
      </c>
      <c r="D7926" t="s">
        <v>18131</v>
      </c>
      <c r="E7926" t="s">
        <v>25169</v>
      </c>
      <c r="F7926" t="s">
        <v>31362</v>
      </c>
      <c r="G7926" t="s">
        <v>31369</v>
      </c>
      <c r="H7926" t="s">
        <v>31378</v>
      </c>
      <c r="I7926" t="s">
        <v>31386</v>
      </c>
      <c r="J7926" t="s">
        <v>36361</v>
      </c>
      <c r="K7926" t="s">
        <v>40662</v>
      </c>
      <c r="M7926" t="s">
        <v>43514</v>
      </c>
      <c r="N7926" t="s">
        <v>44905</v>
      </c>
      <c r="O7926" t="s">
        <v>44906</v>
      </c>
      <c r="P7926">
        <v>0</v>
      </c>
      <c r="Q7926">
        <v>1</v>
      </c>
      <c r="R7926" t="s">
        <v>44910</v>
      </c>
      <c r="S7926" t="s">
        <v>45076</v>
      </c>
      <c r="T7926" t="s">
        <v>46438</v>
      </c>
      <c r="U7926" t="s">
        <v>53316</v>
      </c>
      <c r="V7926" t="s">
        <v>59718</v>
      </c>
      <c r="W7926" t="s">
        <v>43514</v>
      </c>
      <c r="X7926" t="s">
        <v>44911</v>
      </c>
    </row>
    <row r="7927" spans="1:24">
      <c r="A7927">
        <f>HYPERLINK("https://www.philgeps.gov.ph/GEPSNONPILOT/Tender/SplashBidNoticeAbstractUI.aspx?menuIndex=3&amp;refID=7075014&amp;Result=3","7075014")</f>
        <v>0</v>
      </c>
      <c r="B7927" t="s">
        <v>2300</v>
      </c>
      <c r="C7927" t="s">
        <v>11081</v>
      </c>
      <c r="D7927" t="s">
        <v>18148</v>
      </c>
      <c r="E7927" t="s">
        <v>25170</v>
      </c>
      <c r="F7927" t="s">
        <v>31362</v>
      </c>
      <c r="G7927" t="s">
        <v>31368</v>
      </c>
      <c r="H7927" t="s">
        <v>15799</v>
      </c>
      <c r="I7927" t="s">
        <v>31449</v>
      </c>
      <c r="J7927" t="s">
        <v>31915</v>
      </c>
      <c r="K7927" t="s">
        <v>40670</v>
      </c>
      <c r="M7927" t="s">
        <v>43515</v>
      </c>
      <c r="N7927" t="s">
        <v>44905</v>
      </c>
      <c r="O7927" t="s">
        <v>44906</v>
      </c>
      <c r="P7927">
        <v>0</v>
      </c>
      <c r="Q7927">
        <v>1</v>
      </c>
      <c r="R7927" t="s">
        <v>44910</v>
      </c>
      <c r="S7927" t="s">
        <v>45076</v>
      </c>
      <c r="T7927" t="s">
        <v>46692</v>
      </c>
      <c r="U7927" t="s">
        <v>53117</v>
      </c>
      <c r="W7927" t="s">
        <v>43515</v>
      </c>
      <c r="X7927" t="s">
        <v>44911</v>
      </c>
    </row>
    <row r="7928" spans="1:24">
      <c r="A7928">
        <f>HYPERLINK("https://www.philgeps.gov.ph/GEPSNONPILOT/Tender/SplashBidNoticeAbstractUI.aspx?menuIndex=3&amp;refID=7075026&amp;Result=3","7075026")</f>
        <v>0</v>
      </c>
      <c r="B7928" t="s">
        <v>45</v>
      </c>
      <c r="C7928" t="s">
        <v>11082</v>
      </c>
      <c r="D7928" t="s">
        <v>18114</v>
      </c>
      <c r="E7928" t="s">
        <v>25171</v>
      </c>
      <c r="F7928" t="s">
        <v>31362</v>
      </c>
      <c r="G7928" t="s">
        <v>31369</v>
      </c>
      <c r="H7928" t="s">
        <v>15799</v>
      </c>
      <c r="I7928" t="s">
        <v>31450</v>
      </c>
      <c r="J7928" t="s">
        <v>36362</v>
      </c>
      <c r="K7928" t="s">
        <v>40665</v>
      </c>
      <c r="M7928" t="s">
        <v>41024</v>
      </c>
      <c r="N7928" t="s">
        <v>44905</v>
      </c>
      <c r="O7928" t="s">
        <v>44906</v>
      </c>
      <c r="P7928">
        <v>0</v>
      </c>
      <c r="Q7928">
        <v>3</v>
      </c>
      <c r="R7928" t="s">
        <v>44910</v>
      </c>
      <c r="S7928" t="s">
        <v>45076</v>
      </c>
      <c r="T7928" t="s">
        <v>46504</v>
      </c>
      <c r="U7928" t="s">
        <v>53232</v>
      </c>
      <c r="W7928" t="s">
        <v>41024</v>
      </c>
      <c r="X7928" t="s">
        <v>44911</v>
      </c>
    </row>
    <row r="7929" spans="1:24">
      <c r="A7929">
        <f>HYPERLINK("https://www.philgeps.gov.ph/GEPSNONPILOT/Tender/SplashBidNoticeAbstractUI.aspx?menuIndex=3&amp;refID=7074984&amp;Result=3","7074984")</f>
        <v>0</v>
      </c>
      <c r="B7929" t="s">
        <v>2365</v>
      </c>
      <c r="C7929" t="s">
        <v>11083</v>
      </c>
      <c r="D7929" t="s">
        <v>18115</v>
      </c>
      <c r="E7929" t="s">
        <v>25172</v>
      </c>
      <c r="F7929" t="s">
        <v>31362</v>
      </c>
      <c r="G7929" t="s">
        <v>31369</v>
      </c>
      <c r="H7929" t="s">
        <v>31378</v>
      </c>
      <c r="I7929" t="s">
        <v>31386</v>
      </c>
      <c r="J7929" t="s">
        <v>33248</v>
      </c>
      <c r="K7929" t="s">
        <v>40675</v>
      </c>
      <c r="M7929" t="s">
        <v>43510</v>
      </c>
      <c r="N7929" t="s">
        <v>44905</v>
      </c>
      <c r="O7929" t="s">
        <v>44906</v>
      </c>
      <c r="P7929">
        <v>0</v>
      </c>
      <c r="Q7929">
        <v>3</v>
      </c>
      <c r="R7929" t="s">
        <v>44910</v>
      </c>
      <c r="S7929" t="s">
        <v>45076</v>
      </c>
      <c r="T7929" t="s">
        <v>46396</v>
      </c>
      <c r="U7929" t="s">
        <v>53317</v>
      </c>
      <c r="W7929" t="s">
        <v>43510</v>
      </c>
      <c r="X7929" t="s">
        <v>44911</v>
      </c>
    </row>
    <row r="7930" spans="1:24">
      <c r="A7930">
        <f>HYPERLINK("https://www.philgeps.gov.ph/GEPSNONPILOT/Tender/SplashBidNoticeAbstractUI.aspx?menuIndex=3&amp;refID=7075023&amp;Result=3","7075023")</f>
        <v>0</v>
      </c>
      <c r="B7930" t="s">
        <v>2369</v>
      </c>
      <c r="C7930" t="s">
        <v>11084</v>
      </c>
      <c r="D7930" t="s">
        <v>18119</v>
      </c>
      <c r="E7930" t="s">
        <v>20179</v>
      </c>
      <c r="F7930" t="s">
        <v>31362</v>
      </c>
      <c r="G7930" t="s">
        <v>31369</v>
      </c>
      <c r="H7930" t="s">
        <v>15799</v>
      </c>
      <c r="I7930" t="s">
        <v>3815</v>
      </c>
      <c r="J7930" t="s">
        <v>36363</v>
      </c>
      <c r="K7930" t="s">
        <v>40662</v>
      </c>
      <c r="M7930" t="s">
        <v>43516</v>
      </c>
      <c r="N7930" t="s">
        <v>44905</v>
      </c>
      <c r="O7930" t="s">
        <v>44906</v>
      </c>
      <c r="P7930">
        <v>0</v>
      </c>
      <c r="Q7930">
        <v>1</v>
      </c>
      <c r="R7930" t="s">
        <v>44910</v>
      </c>
      <c r="S7930" t="s">
        <v>45076</v>
      </c>
      <c r="T7930" t="s">
        <v>46419</v>
      </c>
      <c r="U7930" t="s">
        <v>53318</v>
      </c>
      <c r="W7930" t="s">
        <v>43516</v>
      </c>
      <c r="X7930" t="s">
        <v>44911</v>
      </c>
    </row>
    <row r="7931" spans="1:24">
      <c r="A7931">
        <f>HYPERLINK("https://www.philgeps.gov.ph/GEPSNONPILOT/Tender/SplashBidNoticeAbstractUI.aspx?menuIndex=3&amp;refID=7075004&amp;Result=3","7075004")</f>
        <v>0</v>
      </c>
      <c r="B7931" t="s">
        <v>2105</v>
      </c>
      <c r="C7931" t="s">
        <v>11085</v>
      </c>
      <c r="D7931" t="s">
        <v>18149</v>
      </c>
      <c r="E7931" t="s">
        <v>25173</v>
      </c>
      <c r="F7931" t="s">
        <v>31362</v>
      </c>
      <c r="G7931" t="s">
        <v>31368</v>
      </c>
      <c r="H7931" t="s">
        <v>15799</v>
      </c>
      <c r="I7931" t="s">
        <v>3815</v>
      </c>
      <c r="J7931" t="s">
        <v>36364</v>
      </c>
      <c r="K7931" t="s">
        <v>40661</v>
      </c>
      <c r="M7931" t="s">
        <v>43230</v>
      </c>
      <c r="N7931" t="s">
        <v>44905</v>
      </c>
      <c r="O7931" t="s">
        <v>44906</v>
      </c>
      <c r="P7931">
        <v>0</v>
      </c>
      <c r="Q7931">
        <v>0</v>
      </c>
      <c r="R7931" t="s">
        <v>44910</v>
      </c>
      <c r="S7931" t="s">
        <v>45076</v>
      </c>
      <c r="T7931" t="s">
        <v>46404</v>
      </c>
      <c r="U7931" t="s">
        <v>53319</v>
      </c>
      <c r="V7931" t="s">
        <v>59835</v>
      </c>
      <c r="W7931" t="s">
        <v>60922</v>
      </c>
      <c r="X7931" t="s">
        <v>44911</v>
      </c>
    </row>
    <row r="7932" spans="1:24">
      <c r="A7932">
        <f>HYPERLINK("https://www.philgeps.gov.ph/GEPSNONPILOT/Tender/SplashBidNoticeAbstractUI.aspx?menuIndex=3&amp;refID=7075028&amp;Result=3","7075028")</f>
        <v>0</v>
      </c>
      <c r="B7932" t="s">
        <v>753</v>
      </c>
      <c r="C7932" t="s">
        <v>11086</v>
      </c>
      <c r="D7932" t="s">
        <v>18175</v>
      </c>
      <c r="E7932" t="s">
        <v>25174</v>
      </c>
      <c r="F7932" t="s">
        <v>31362</v>
      </c>
      <c r="G7932" t="s">
        <v>31368</v>
      </c>
      <c r="H7932" t="s">
        <v>15799</v>
      </c>
      <c r="I7932" t="s">
        <v>3815</v>
      </c>
      <c r="J7932" t="s">
        <v>31586</v>
      </c>
      <c r="K7932" t="s">
        <v>40665</v>
      </c>
      <c r="M7932" t="s">
        <v>41721</v>
      </c>
      <c r="N7932" t="s">
        <v>44905</v>
      </c>
      <c r="O7932" t="s">
        <v>44906</v>
      </c>
      <c r="P7932">
        <v>0</v>
      </c>
      <c r="Q7932">
        <v>0</v>
      </c>
      <c r="R7932" t="s">
        <v>44910</v>
      </c>
      <c r="S7932" t="s">
        <v>45076</v>
      </c>
      <c r="T7932" t="s">
        <v>46435</v>
      </c>
      <c r="U7932" t="s">
        <v>53320</v>
      </c>
      <c r="V7932" t="s">
        <v>59836</v>
      </c>
      <c r="W7932" t="s">
        <v>41721</v>
      </c>
      <c r="X7932" t="s">
        <v>44911</v>
      </c>
    </row>
    <row r="7933" spans="1:24">
      <c r="A7933">
        <f>HYPERLINK("https://www.philgeps.gov.ph/GEPSNONPILOT/Tender/SplashBidNoticeAbstractUI.aspx?menuIndex=3&amp;refID=7075015&amp;Result=3","7075015")</f>
        <v>0</v>
      </c>
      <c r="B7933" t="s">
        <v>2370</v>
      </c>
      <c r="C7933" t="s">
        <v>11087</v>
      </c>
      <c r="D7933" t="s">
        <v>18124</v>
      </c>
      <c r="E7933" t="s">
        <v>25175</v>
      </c>
      <c r="F7933" t="s">
        <v>31362</v>
      </c>
      <c r="G7933" t="s">
        <v>31369</v>
      </c>
      <c r="H7933" t="s">
        <v>15799</v>
      </c>
      <c r="I7933" t="s">
        <v>31386</v>
      </c>
      <c r="J7933" t="s">
        <v>36365</v>
      </c>
      <c r="K7933" t="s">
        <v>40666</v>
      </c>
      <c r="M7933" t="s">
        <v>43517</v>
      </c>
      <c r="N7933" t="s">
        <v>44905</v>
      </c>
      <c r="O7933" t="s">
        <v>44906</v>
      </c>
      <c r="P7933">
        <v>0</v>
      </c>
      <c r="Q7933">
        <v>1</v>
      </c>
      <c r="R7933" t="s">
        <v>44910</v>
      </c>
      <c r="S7933" t="s">
        <v>45076</v>
      </c>
      <c r="T7933" t="s">
        <v>46438</v>
      </c>
      <c r="U7933" t="s">
        <v>53321</v>
      </c>
      <c r="W7933" t="s">
        <v>43517</v>
      </c>
      <c r="X7933" t="s">
        <v>44911</v>
      </c>
    </row>
    <row r="7934" spans="1:24">
      <c r="A7934">
        <f>HYPERLINK("https://www.philgeps.gov.ph/GEPSNONPILOT/Tender/SplashBidNoticeAbstractUI.aspx?menuIndex=3&amp;refID=7075003&amp;Result=3","7075003")</f>
        <v>0</v>
      </c>
      <c r="B7934" t="s">
        <v>2371</v>
      </c>
      <c r="C7934" t="s">
        <v>11088</v>
      </c>
      <c r="D7934" t="s">
        <v>18152</v>
      </c>
      <c r="E7934" t="s">
        <v>20191</v>
      </c>
      <c r="F7934" t="s">
        <v>31362</v>
      </c>
      <c r="G7934" t="s">
        <v>31369</v>
      </c>
      <c r="H7934" t="s">
        <v>15799</v>
      </c>
      <c r="I7934" t="s">
        <v>31438</v>
      </c>
      <c r="J7934" t="s">
        <v>36366</v>
      </c>
      <c r="K7934" t="s">
        <v>40665</v>
      </c>
      <c r="M7934" t="s">
        <v>43518</v>
      </c>
      <c r="N7934" t="s">
        <v>44905</v>
      </c>
      <c r="O7934" t="s">
        <v>44906</v>
      </c>
      <c r="P7934">
        <v>0</v>
      </c>
      <c r="Q7934">
        <v>1</v>
      </c>
      <c r="R7934" t="s">
        <v>44910</v>
      </c>
      <c r="S7934" t="s">
        <v>45076</v>
      </c>
      <c r="T7934" t="s">
        <v>46463</v>
      </c>
      <c r="U7934" t="s">
        <v>53322</v>
      </c>
      <c r="V7934" t="s">
        <v>59837</v>
      </c>
      <c r="W7934" t="s">
        <v>43518</v>
      </c>
      <c r="X7934" t="s">
        <v>44911</v>
      </c>
    </row>
    <row r="7935" spans="1:24">
      <c r="A7935">
        <f>HYPERLINK("https://www.philgeps.gov.ph/GEPSNONPILOT/Tender/SplashBidNoticeAbstractUI.aspx?menuIndex=3&amp;refID=7075025&amp;Result=3","7075025")</f>
        <v>0</v>
      </c>
      <c r="B7935" t="s">
        <v>2233</v>
      </c>
      <c r="C7935" t="s">
        <v>11089</v>
      </c>
      <c r="D7935" t="s">
        <v>18101</v>
      </c>
      <c r="E7935" t="s">
        <v>25176</v>
      </c>
      <c r="F7935" t="s">
        <v>31362</v>
      </c>
      <c r="G7935" t="s">
        <v>31369</v>
      </c>
      <c r="H7935" t="s">
        <v>15799</v>
      </c>
      <c r="I7935" t="s">
        <v>3815</v>
      </c>
      <c r="J7935" t="s">
        <v>36367</v>
      </c>
      <c r="K7935" t="s">
        <v>40662</v>
      </c>
      <c r="M7935" t="s">
        <v>43370</v>
      </c>
      <c r="N7935" t="s">
        <v>44905</v>
      </c>
      <c r="O7935" t="s">
        <v>44906</v>
      </c>
      <c r="P7935">
        <v>0</v>
      </c>
      <c r="Q7935">
        <v>0</v>
      </c>
      <c r="R7935" t="s">
        <v>44910</v>
      </c>
      <c r="S7935" t="s">
        <v>45076</v>
      </c>
      <c r="T7935" t="s">
        <v>46416</v>
      </c>
      <c r="U7935" t="s">
        <v>52895</v>
      </c>
      <c r="W7935" t="s">
        <v>43370</v>
      </c>
      <c r="X7935" t="s">
        <v>44911</v>
      </c>
    </row>
    <row r="7936" spans="1:24">
      <c r="A7936">
        <f>HYPERLINK("https://www.philgeps.gov.ph/GEPSNONPILOT/Tender/SplashBidNoticeAbstractUI.aspx?menuIndex=3&amp;refID=7075033&amp;Result=3","7075033")</f>
        <v>0</v>
      </c>
      <c r="B7936" t="s">
        <v>2372</v>
      </c>
      <c r="C7936" t="s">
        <v>11090</v>
      </c>
      <c r="D7936" t="s">
        <v>18113</v>
      </c>
      <c r="E7936" t="s">
        <v>25177</v>
      </c>
      <c r="F7936" t="s">
        <v>31362</v>
      </c>
      <c r="G7936" t="s">
        <v>31368</v>
      </c>
      <c r="H7936" t="s">
        <v>15799</v>
      </c>
      <c r="I7936" t="s">
        <v>7188</v>
      </c>
      <c r="J7936" t="s">
        <v>31723</v>
      </c>
      <c r="K7936" t="s">
        <v>40697</v>
      </c>
      <c r="M7936" t="s">
        <v>43519</v>
      </c>
      <c r="N7936" t="s">
        <v>44905</v>
      </c>
      <c r="O7936" t="s">
        <v>44906</v>
      </c>
      <c r="P7936">
        <v>0</v>
      </c>
      <c r="Q7936">
        <v>2</v>
      </c>
      <c r="R7936" t="s">
        <v>44910</v>
      </c>
      <c r="S7936" t="s">
        <v>45076</v>
      </c>
      <c r="T7936" t="s">
        <v>46409</v>
      </c>
      <c r="U7936" t="s">
        <v>53323</v>
      </c>
      <c r="W7936" t="s">
        <v>43519</v>
      </c>
      <c r="X7936" t="s">
        <v>44911</v>
      </c>
    </row>
    <row r="7937" spans="1:24">
      <c r="A7937">
        <f>HYPERLINK("https://www.philgeps.gov.ph/GEPSNONPILOT/Tender/SplashBidNoticeAbstractUI.aspx?menuIndex=3&amp;refID=7075032&amp;Result=3","7075032")</f>
        <v>0</v>
      </c>
      <c r="B7937" t="s">
        <v>2364</v>
      </c>
      <c r="C7937" t="s">
        <v>11091</v>
      </c>
      <c r="E7937" t="s">
        <v>25178</v>
      </c>
      <c r="F7937" t="s">
        <v>31362</v>
      </c>
      <c r="G7937" t="s">
        <v>31369</v>
      </c>
      <c r="H7937" t="s">
        <v>15799</v>
      </c>
      <c r="I7937" t="s">
        <v>13635</v>
      </c>
      <c r="J7937" t="s">
        <v>31724</v>
      </c>
      <c r="K7937" t="s">
        <v>40662</v>
      </c>
      <c r="M7937" t="s">
        <v>43509</v>
      </c>
      <c r="N7937" t="s">
        <v>44905</v>
      </c>
      <c r="O7937" t="s">
        <v>44906</v>
      </c>
      <c r="P7937">
        <v>0</v>
      </c>
      <c r="Q7937">
        <v>1</v>
      </c>
      <c r="R7937" t="s">
        <v>44910</v>
      </c>
      <c r="S7937" t="s">
        <v>45076</v>
      </c>
      <c r="T7937" t="s">
        <v>46549</v>
      </c>
      <c r="U7937" t="s">
        <v>53324</v>
      </c>
      <c r="W7937" t="s">
        <v>43509</v>
      </c>
      <c r="X7937" t="s">
        <v>44911</v>
      </c>
    </row>
    <row r="7938" spans="1:24">
      <c r="A7938">
        <f>HYPERLINK("https://www.philgeps.gov.ph/GEPSNONPILOT/Tender/SplashBidNoticeAbstractUI.aspx?menuIndex=3&amp;refID=7075009&amp;Result=3","7075009")</f>
        <v>0</v>
      </c>
      <c r="B7938" t="s">
        <v>831</v>
      </c>
      <c r="C7938" t="s">
        <v>11092</v>
      </c>
      <c r="D7938" t="s">
        <v>18108</v>
      </c>
      <c r="E7938" t="s">
        <v>25179</v>
      </c>
      <c r="F7938" t="s">
        <v>31362</v>
      </c>
      <c r="G7938" t="s">
        <v>31369</v>
      </c>
      <c r="H7938" t="s">
        <v>15799</v>
      </c>
      <c r="I7938" t="s">
        <v>7090</v>
      </c>
      <c r="J7938" t="s">
        <v>36368</v>
      </c>
      <c r="K7938" t="s">
        <v>40666</v>
      </c>
      <c r="M7938" t="s">
        <v>42635</v>
      </c>
      <c r="N7938" t="s">
        <v>44905</v>
      </c>
      <c r="O7938" t="s">
        <v>44906</v>
      </c>
      <c r="P7938">
        <v>0</v>
      </c>
      <c r="Q7938">
        <v>0</v>
      </c>
      <c r="R7938" t="s">
        <v>44910</v>
      </c>
      <c r="S7938" t="s">
        <v>45076</v>
      </c>
      <c r="T7938" t="s">
        <v>46393</v>
      </c>
      <c r="U7938" t="s">
        <v>48635</v>
      </c>
      <c r="W7938" t="s">
        <v>42635</v>
      </c>
      <c r="X7938" t="s">
        <v>44911</v>
      </c>
    </row>
    <row r="7939" spans="1:24">
      <c r="A7939">
        <f>HYPERLINK("https://www.philgeps.gov.ph/GEPSNONPILOT/Tender/SplashBidNoticeAbstractUI.aspx?menuIndex=3&amp;refID=7074966&amp;Result=3","7074966")</f>
        <v>0</v>
      </c>
      <c r="B7939" t="s">
        <v>2343</v>
      </c>
      <c r="C7939" t="s">
        <v>11093</v>
      </c>
      <c r="D7939" t="s">
        <v>18108</v>
      </c>
      <c r="E7939" t="s">
        <v>25180</v>
      </c>
      <c r="F7939" t="s">
        <v>31362</v>
      </c>
      <c r="G7939" t="s">
        <v>31368</v>
      </c>
      <c r="H7939" t="s">
        <v>15799</v>
      </c>
      <c r="I7939" t="s">
        <v>31385</v>
      </c>
      <c r="J7939" t="s">
        <v>32981</v>
      </c>
      <c r="K7939" t="s">
        <v>40665</v>
      </c>
      <c r="M7939" t="s">
        <v>43486</v>
      </c>
      <c r="N7939" t="s">
        <v>44905</v>
      </c>
      <c r="O7939" t="s">
        <v>44906</v>
      </c>
      <c r="P7939">
        <v>0</v>
      </c>
      <c r="Q7939">
        <v>10</v>
      </c>
      <c r="R7939" t="s">
        <v>44910</v>
      </c>
      <c r="S7939" t="s">
        <v>45076</v>
      </c>
      <c r="T7939" t="s">
        <v>46414</v>
      </c>
      <c r="U7939" t="s">
        <v>53325</v>
      </c>
      <c r="W7939" t="s">
        <v>43486</v>
      </c>
      <c r="X7939" t="s">
        <v>44911</v>
      </c>
    </row>
    <row r="7940" spans="1:24">
      <c r="A7940">
        <f>HYPERLINK("https://www.philgeps.gov.ph/GEPSNONPILOT/Tender/SplashBidNoticeAbstractUI.aspx?menuIndex=3&amp;refID=7075001&amp;Result=3","7075001")</f>
        <v>0</v>
      </c>
      <c r="B7940" t="s">
        <v>1655</v>
      </c>
      <c r="C7940" t="s">
        <v>5755</v>
      </c>
      <c r="D7940" t="s">
        <v>18136</v>
      </c>
      <c r="E7940" t="s">
        <v>25181</v>
      </c>
      <c r="F7940" t="s">
        <v>31362</v>
      </c>
      <c r="G7940" t="s">
        <v>31368</v>
      </c>
      <c r="H7940" t="s">
        <v>15799</v>
      </c>
      <c r="I7940" t="s">
        <v>31380</v>
      </c>
      <c r="J7940" t="s">
        <v>36369</v>
      </c>
      <c r="K7940" t="s">
        <v>40661</v>
      </c>
      <c r="M7940" t="s">
        <v>43362</v>
      </c>
      <c r="N7940" t="s">
        <v>44905</v>
      </c>
      <c r="O7940" t="s">
        <v>44906</v>
      </c>
      <c r="P7940">
        <v>0</v>
      </c>
      <c r="Q7940">
        <v>1</v>
      </c>
      <c r="R7940" t="s">
        <v>44910</v>
      </c>
      <c r="S7940" t="s">
        <v>45076</v>
      </c>
      <c r="T7940" t="s">
        <v>46425</v>
      </c>
      <c r="U7940" t="s">
        <v>53326</v>
      </c>
      <c r="W7940" t="s">
        <v>43362</v>
      </c>
      <c r="X7940" t="s">
        <v>44911</v>
      </c>
    </row>
    <row r="7941" spans="1:24">
      <c r="A7941">
        <f>HYPERLINK("https://www.philgeps.gov.ph/GEPSNONPILOT/Tender/SplashBidNoticeAbstractUI.aspx?menuIndex=3&amp;refID=7075069&amp;Result=3","7075069")</f>
        <v>0</v>
      </c>
      <c r="B7941" t="s">
        <v>2224</v>
      </c>
      <c r="C7941" t="s">
        <v>11094</v>
      </c>
      <c r="D7941" t="s">
        <v>18136</v>
      </c>
      <c r="E7941" t="s">
        <v>25182</v>
      </c>
      <c r="F7941" t="s">
        <v>31362</v>
      </c>
      <c r="G7941" t="s">
        <v>31369</v>
      </c>
      <c r="H7941" t="s">
        <v>15799</v>
      </c>
      <c r="I7941" t="s">
        <v>31430</v>
      </c>
      <c r="J7941" t="s">
        <v>31687</v>
      </c>
      <c r="K7941" t="s">
        <v>40661</v>
      </c>
      <c r="M7941" t="s">
        <v>43358</v>
      </c>
      <c r="N7941" t="s">
        <v>44905</v>
      </c>
      <c r="O7941" t="s">
        <v>44906</v>
      </c>
      <c r="P7941">
        <v>0</v>
      </c>
      <c r="Q7941">
        <v>0</v>
      </c>
      <c r="R7941" t="s">
        <v>44910</v>
      </c>
      <c r="S7941" t="s">
        <v>45076</v>
      </c>
      <c r="T7941" t="s">
        <v>46768</v>
      </c>
      <c r="U7941" t="s">
        <v>53327</v>
      </c>
      <c r="V7941" t="s">
        <v>59838</v>
      </c>
      <c r="W7941" t="s">
        <v>43358</v>
      </c>
      <c r="X7941" t="s">
        <v>44911</v>
      </c>
    </row>
    <row r="7942" spans="1:24">
      <c r="A7942">
        <f>HYPERLINK("https://www.philgeps.gov.ph/GEPSNONPILOT/Tender/SplashBidNoticeAbstractUI.aspx?menuIndex=3&amp;refID=7074998&amp;Result=3","7074998")</f>
        <v>0</v>
      </c>
      <c r="B7942" t="s">
        <v>321</v>
      </c>
      <c r="C7942" t="s">
        <v>11095</v>
      </c>
      <c r="D7942" t="s">
        <v>18114</v>
      </c>
      <c r="E7942" t="s">
        <v>25183</v>
      </c>
      <c r="F7942" t="s">
        <v>31362</v>
      </c>
      <c r="G7942" t="s">
        <v>31369</v>
      </c>
      <c r="H7942" t="s">
        <v>31379</v>
      </c>
      <c r="I7942" t="s">
        <v>31421</v>
      </c>
      <c r="J7942" t="s">
        <v>36370</v>
      </c>
      <c r="K7942" t="s">
        <v>40679</v>
      </c>
      <c r="M7942" t="s">
        <v>41267</v>
      </c>
      <c r="N7942" t="s">
        <v>44905</v>
      </c>
      <c r="O7942" t="s">
        <v>44906</v>
      </c>
      <c r="P7942">
        <v>0</v>
      </c>
      <c r="Q7942">
        <v>5</v>
      </c>
      <c r="R7942" t="s">
        <v>44910</v>
      </c>
      <c r="S7942" t="s">
        <v>45076</v>
      </c>
      <c r="T7942" t="s">
        <v>46511</v>
      </c>
      <c r="U7942" t="s">
        <v>47466</v>
      </c>
      <c r="V7942" t="s">
        <v>59148</v>
      </c>
      <c r="W7942" t="s">
        <v>41267</v>
      </c>
      <c r="X7942" t="s">
        <v>44911</v>
      </c>
    </row>
    <row r="7943" spans="1:24">
      <c r="A7943">
        <f>HYPERLINK("https://www.philgeps.gov.ph/GEPSNONPILOT/Tender/SplashBidNoticeAbstractUI.aspx?menuIndex=3&amp;refID=7075068&amp;Result=3","7075068")</f>
        <v>0</v>
      </c>
      <c r="B7943" t="s">
        <v>622</v>
      </c>
      <c r="C7943" t="s">
        <v>11096</v>
      </c>
      <c r="D7943" t="s">
        <v>18108</v>
      </c>
      <c r="E7943" t="s">
        <v>25184</v>
      </c>
      <c r="F7943" t="s">
        <v>31362</v>
      </c>
      <c r="G7943" t="s">
        <v>31371</v>
      </c>
      <c r="H7943" t="s">
        <v>15799</v>
      </c>
      <c r="I7943" t="s">
        <v>31411</v>
      </c>
      <c r="J7943" t="s">
        <v>32443</v>
      </c>
      <c r="K7943" t="s">
        <v>40666</v>
      </c>
      <c r="M7943" t="s">
        <v>41581</v>
      </c>
      <c r="N7943" t="s">
        <v>44905</v>
      </c>
      <c r="O7943" t="s">
        <v>44906</v>
      </c>
      <c r="P7943">
        <v>0</v>
      </c>
      <c r="Q7943">
        <v>5</v>
      </c>
      <c r="R7943" t="s">
        <v>44910</v>
      </c>
      <c r="S7943" t="s">
        <v>45076</v>
      </c>
      <c r="T7943" t="s">
        <v>46412</v>
      </c>
      <c r="U7943" t="s">
        <v>48113</v>
      </c>
      <c r="W7943" t="s">
        <v>41581</v>
      </c>
      <c r="X7943" t="s">
        <v>44911</v>
      </c>
    </row>
    <row r="7944" spans="1:24">
      <c r="A7944">
        <f>HYPERLINK("https://www.philgeps.gov.ph/GEPSNONPILOT/Tender/SplashBidNoticeAbstractUI.aspx?menuIndex=3&amp;refID=7075006&amp;Result=3","7075006")</f>
        <v>0</v>
      </c>
      <c r="B7944" t="s">
        <v>2343</v>
      </c>
      <c r="C7944" t="s">
        <v>11097</v>
      </c>
      <c r="D7944" t="s">
        <v>18108</v>
      </c>
      <c r="E7944" t="s">
        <v>25185</v>
      </c>
      <c r="F7944" t="s">
        <v>31362</v>
      </c>
      <c r="G7944" t="s">
        <v>31368</v>
      </c>
      <c r="H7944" t="s">
        <v>15799</v>
      </c>
      <c r="I7944" t="s">
        <v>31385</v>
      </c>
      <c r="J7944" t="s">
        <v>32837</v>
      </c>
      <c r="K7944" t="s">
        <v>40696</v>
      </c>
      <c r="M7944" t="s">
        <v>43486</v>
      </c>
      <c r="N7944" t="s">
        <v>44905</v>
      </c>
      <c r="O7944" t="s">
        <v>44906</v>
      </c>
      <c r="P7944">
        <v>0</v>
      </c>
      <c r="Q7944">
        <v>11</v>
      </c>
      <c r="R7944" t="s">
        <v>44910</v>
      </c>
      <c r="S7944" t="s">
        <v>45076</v>
      </c>
      <c r="T7944" t="s">
        <v>46763</v>
      </c>
      <c r="U7944" t="s">
        <v>53328</v>
      </c>
      <c r="W7944" t="s">
        <v>43486</v>
      </c>
      <c r="X7944" t="s">
        <v>44911</v>
      </c>
    </row>
    <row r="7945" spans="1:24">
      <c r="A7945">
        <f>HYPERLINK("https://www.philgeps.gov.ph/GEPSNONPILOT/Tender/SplashBidNoticeAbstractUI.aspx?menuIndex=3&amp;refID=7075060&amp;Result=3","7075060")</f>
        <v>0</v>
      </c>
      <c r="B7945" t="s">
        <v>491</v>
      </c>
      <c r="C7945" t="s">
        <v>11098</v>
      </c>
      <c r="D7945" t="s">
        <v>18126</v>
      </c>
      <c r="E7945" t="s">
        <v>25186</v>
      </c>
      <c r="F7945" t="s">
        <v>31362</v>
      </c>
      <c r="G7945" t="s">
        <v>31369</v>
      </c>
      <c r="H7945" t="s">
        <v>31378</v>
      </c>
      <c r="I7945" t="s">
        <v>31386</v>
      </c>
      <c r="J7945" t="s">
        <v>36371</v>
      </c>
      <c r="K7945" t="s">
        <v>40691</v>
      </c>
      <c r="M7945" t="s">
        <v>41446</v>
      </c>
      <c r="N7945" t="s">
        <v>44905</v>
      </c>
      <c r="O7945" t="s">
        <v>44906</v>
      </c>
      <c r="P7945">
        <v>0</v>
      </c>
      <c r="Q7945">
        <v>1</v>
      </c>
      <c r="R7945" t="s">
        <v>44910</v>
      </c>
      <c r="S7945" t="s">
        <v>45076</v>
      </c>
      <c r="T7945" t="s">
        <v>46618</v>
      </c>
      <c r="U7945" t="s">
        <v>53329</v>
      </c>
      <c r="W7945" t="s">
        <v>41446</v>
      </c>
      <c r="X7945" t="s">
        <v>44911</v>
      </c>
    </row>
    <row r="7946" spans="1:24">
      <c r="A7946">
        <f>HYPERLINK("https://www.philgeps.gov.ph/GEPSNONPILOT/Tender/SplashBidNoticeAbstractUI.aspx?menuIndex=3&amp;refID=7075057&amp;Result=3","7075057")</f>
        <v>0</v>
      </c>
      <c r="B7946" t="s">
        <v>2300</v>
      </c>
      <c r="C7946" t="s">
        <v>11099</v>
      </c>
      <c r="D7946" t="s">
        <v>18148</v>
      </c>
      <c r="E7946" t="s">
        <v>25187</v>
      </c>
      <c r="F7946" t="s">
        <v>31362</v>
      </c>
      <c r="G7946" t="s">
        <v>31370</v>
      </c>
      <c r="H7946" t="s">
        <v>15799</v>
      </c>
      <c r="I7946" t="s">
        <v>31426</v>
      </c>
      <c r="J7946" t="s">
        <v>36372</v>
      </c>
      <c r="K7946" t="s">
        <v>40665</v>
      </c>
      <c r="M7946" t="s">
        <v>43515</v>
      </c>
      <c r="N7946" t="s">
        <v>44905</v>
      </c>
      <c r="O7946" t="s">
        <v>44906</v>
      </c>
      <c r="P7946">
        <v>0</v>
      </c>
      <c r="Q7946">
        <v>6</v>
      </c>
      <c r="R7946" t="s">
        <v>44910</v>
      </c>
      <c r="S7946" t="s">
        <v>45076</v>
      </c>
      <c r="T7946" t="s">
        <v>46692</v>
      </c>
      <c r="U7946" t="s">
        <v>53117</v>
      </c>
      <c r="W7946" t="s">
        <v>43515</v>
      </c>
      <c r="X7946" t="s">
        <v>44911</v>
      </c>
    </row>
    <row r="7947" spans="1:24">
      <c r="A7947">
        <f>HYPERLINK("https://www.philgeps.gov.ph/GEPSNONPILOT/Tender/SplashBidNoticeAbstractUI.aspx?menuIndex=3&amp;refID=7075061&amp;Result=3","7075061")</f>
        <v>0</v>
      </c>
      <c r="B7947" t="s">
        <v>1655</v>
      </c>
      <c r="C7947" t="s">
        <v>11100</v>
      </c>
      <c r="D7947" t="s">
        <v>18136</v>
      </c>
      <c r="E7947" t="s">
        <v>25188</v>
      </c>
      <c r="F7947" t="s">
        <v>31362</v>
      </c>
      <c r="G7947" t="s">
        <v>31370</v>
      </c>
      <c r="H7947" t="s">
        <v>15799</v>
      </c>
      <c r="I7947" t="s">
        <v>31385</v>
      </c>
      <c r="J7947" t="s">
        <v>36373</v>
      </c>
      <c r="K7947" t="s">
        <v>40661</v>
      </c>
      <c r="M7947" t="s">
        <v>43362</v>
      </c>
      <c r="N7947" t="s">
        <v>44905</v>
      </c>
      <c r="O7947" t="s">
        <v>44906</v>
      </c>
      <c r="P7947">
        <v>0</v>
      </c>
      <c r="Q7947">
        <v>0</v>
      </c>
      <c r="R7947" t="s">
        <v>44910</v>
      </c>
      <c r="S7947" t="s">
        <v>45076</v>
      </c>
      <c r="T7947" t="s">
        <v>46425</v>
      </c>
      <c r="U7947" t="s">
        <v>53330</v>
      </c>
      <c r="W7947" t="s">
        <v>43362</v>
      </c>
      <c r="X7947" t="s">
        <v>44911</v>
      </c>
    </row>
    <row r="7948" spans="1:24">
      <c r="A7948">
        <f>HYPERLINK("https://www.philgeps.gov.ph/GEPSNONPILOT/Tender/SplashBidNoticeAbstractUI.aspx?menuIndex=3&amp;refID=7075046&amp;Result=3","7075046")</f>
        <v>0</v>
      </c>
      <c r="B7948" t="s">
        <v>1964</v>
      </c>
      <c r="C7948" t="s">
        <v>11101</v>
      </c>
      <c r="D7948" t="s">
        <v>18154</v>
      </c>
      <c r="E7948" t="s">
        <v>25189</v>
      </c>
      <c r="F7948" t="s">
        <v>31362</v>
      </c>
      <c r="G7948" t="s">
        <v>31370</v>
      </c>
      <c r="H7948" t="s">
        <v>15799</v>
      </c>
      <c r="I7948" t="s">
        <v>31384</v>
      </c>
      <c r="J7948" t="s">
        <v>31758</v>
      </c>
      <c r="K7948" t="s">
        <v>40661</v>
      </c>
      <c r="M7948" t="s">
        <v>43070</v>
      </c>
      <c r="N7948" t="s">
        <v>44905</v>
      </c>
      <c r="O7948" t="s">
        <v>44906</v>
      </c>
      <c r="P7948">
        <v>0</v>
      </c>
      <c r="Q7948">
        <v>1</v>
      </c>
      <c r="R7948" t="s">
        <v>44910</v>
      </c>
      <c r="S7948" t="s">
        <v>45076</v>
      </c>
      <c r="T7948" t="s">
        <v>46447</v>
      </c>
      <c r="U7948" t="s">
        <v>53331</v>
      </c>
      <c r="W7948" t="s">
        <v>43070</v>
      </c>
      <c r="X7948" t="s">
        <v>44911</v>
      </c>
    </row>
    <row r="7949" spans="1:24">
      <c r="A7949">
        <f>HYPERLINK("https://www.philgeps.gov.ph/GEPSNONPILOT/Tender/SplashBidNoticeAbstractUI.aspx?menuIndex=3&amp;refID=7075070&amp;Result=3","7075070")</f>
        <v>0</v>
      </c>
      <c r="B7949" t="s">
        <v>831</v>
      </c>
      <c r="C7949" t="s">
        <v>11102</v>
      </c>
      <c r="D7949" t="s">
        <v>18108</v>
      </c>
      <c r="E7949" t="s">
        <v>25190</v>
      </c>
      <c r="F7949" t="s">
        <v>31362</v>
      </c>
      <c r="G7949" t="s">
        <v>31369</v>
      </c>
      <c r="H7949" t="s">
        <v>15799</v>
      </c>
      <c r="I7949" t="s">
        <v>7090</v>
      </c>
      <c r="J7949" t="s">
        <v>33058</v>
      </c>
      <c r="K7949" t="s">
        <v>40666</v>
      </c>
      <c r="M7949" t="s">
        <v>42635</v>
      </c>
      <c r="N7949" t="s">
        <v>44905</v>
      </c>
      <c r="O7949" t="s">
        <v>44906</v>
      </c>
      <c r="P7949">
        <v>0</v>
      </c>
      <c r="Q7949">
        <v>0</v>
      </c>
      <c r="R7949" t="s">
        <v>44910</v>
      </c>
      <c r="S7949" t="s">
        <v>45076</v>
      </c>
      <c r="T7949" t="s">
        <v>46393</v>
      </c>
      <c r="U7949" t="s">
        <v>48635</v>
      </c>
      <c r="W7949" t="s">
        <v>42635</v>
      </c>
      <c r="X7949" t="s">
        <v>44911</v>
      </c>
    </row>
    <row r="7950" spans="1:24">
      <c r="A7950">
        <f>HYPERLINK("https://www.philgeps.gov.ph/GEPSNONPILOT/Tender/SplashBidNoticeAbstractUI.aspx?menuIndex=3&amp;refID=7075008&amp;Result=3","7075008")</f>
        <v>0</v>
      </c>
      <c r="B7950" t="s">
        <v>622</v>
      </c>
      <c r="C7950" t="s">
        <v>11103</v>
      </c>
      <c r="D7950" t="s">
        <v>18108</v>
      </c>
      <c r="E7950" t="s">
        <v>25191</v>
      </c>
      <c r="F7950" t="s">
        <v>31362</v>
      </c>
      <c r="G7950" t="s">
        <v>31368</v>
      </c>
      <c r="H7950" t="s">
        <v>15799</v>
      </c>
      <c r="I7950" t="s">
        <v>31385</v>
      </c>
      <c r="J7950" t="s">
        <v>36374</v>
      </c>
      <c r="K7950" t="s">
        <v>40666</v>
      </c>
      <c r="M7950" t="s">
        <v>41581</v>
      </c>
      <c r="N7950" t="s">
        <v>44905</v>
      </c>
      <c r="O7950" t="s">
        <v>44906</v>
      </c>
      <c r="P7950">
        <v>0</v>
      </c>
      <c r="Q7950">
        <v>11</v>
      </c>
      <c r="R7950" t="s">
        <v>44910</v>
      </c>
      <c r="S7950" t="s">
        <v>45076</v>
      </c>
      <c r="T7950" t="s">
        <v>46412</v>
      </c>
      <c r="U7950" t="s">
        <v>48113</v>
      </c>
      <c r="W7950" t="s">
        <v>41581</v>
      </c>
      <c r="X7950" t="s">
        <v>44911</v>
      </c>
    </row>
    <row r="7951" spans="1:24">
      <c r="A7951">
        <f>HYPERLINK("https://www.philgeps.gov.ph/GEPSNONPILOT/Tender/SplashBidNoticeAbstractUI.aspx?menuIndex=3&amp;refID=7075039&amp;Result=3","7075039")</f>
        <v>0</v>
      </c>
      <c r="B7951" t="s">
        <v>2373</v>
      </c>
      <c r="C7951" t="s">
        <v>11104</v>
      </c>
      <c r="D7951" t="s">
        <v>18108</v>
      </c>
      <c r="E7951" t="s">
        <v>25192</v>
      </c>
      <c r="F7951" t="s">
        <v>31362</v>
      </c>
      <c r="G7951" t="s">
        <v>31369</v>
      </c>
      <c r="H7951" t="s">
        <v>31379</v>
      </c>
      <c r="I7951" t="s">
        <v>31436</v>
      </c>
      <c r="J7951" t="s">
        <v>32891</v>
      </c>
      <c r="K7951" t="s">
        <v>40723</v>
      </c>
      <c r="M7951" t="s">
        <v>43520</v>
      </c>
      <c r="N7951" t="s">
        <v>44905</v>
      </c>
      <c r="O7951" t="s">
        <v>44906</v>
      </c>
      <c r="P7951">
        <v>0</v>
      </c>
      <c r="Q7951">
        <v>1</v>
      </c>
      <c r="R7951" t="s">
        <v>44910</v>
      </c>
      <c r="S7951" t="s">
        <v>45076</v>
      </c>
      <c r="T7951" t="s">
        <v>46627</v>
      </c>
      <c r="U7951" t="s">
        <v>53332</v>
      </c>
      <c r="W7951" t="s">
        <v>43520</v>
      </c>
      <c r="X7951" t="s">
        <v>44911</v>
      </c>
    </row>
    <row r="7952" spans="1:24">
      <c r="A7952">
        <f>HYPERLINK("https://www.philgeps.gov.ph/GEPSNONPILOT/Tender/SplashBidNoticeAbstractUI.aspx?menuIndex=3&amp;refID=7075065&amp;Result=3","7075065")</f>
        <v>0</v>
      </c>
      <c r="B7952" t="s">
        <v>1931</v>
      </c>
      <c r="C7952" t="s">
        <v>11105</v>
      </c>
      <c r="D7952" t="s">
        <v>18120</v>
      </c>
      <c r="E7952" t="s">
        <v>25193</v>
      </c>
      <c r="F7952" t="s">
        <v>31362</v>
      </c>
      <c r="G7952" t="s">
        <v>31369</v>
      </c>
      <c r="H7952" t="s">
        <v>15799</v>
      </c>
      <c r="I7952" t="s">
        <v>3815</v>
      </c>
      <c r="J7952" t="s">
        <v>36375</v>
      </c>
      <c r="K7952" t="s">
        <v>40661</v>
      </c>
      <c r="M7952" t="s">
        <v>43032</v>
      </c>
      <c r="N7952" t="s">
        <v>44905</v>
      </c>
      <c r="O7952" t="s">
        <v>44906</v>
      </c>
      <c r="P7952">
        <v>0</v>
      </c>
      <c r="Q7952">
        <v>1</v>
      </c>
      <c r="R7952" t="s">
        <v>44910</v>
      </c>
      <c r="S7952" t="s">
        <v>45076</v>
      </c>
      <c r="T7952" t="s">
        <v>46412</v>
      </c>
      <c r="U7952" t="s">
        <v>53333</v>
      </c>
      <c r="W7952" t="s">
        <v>43032</v>
      </c>
      <c r="X7952" t="s">
        <v>44911</v>
      </c>
    </row>
    <row r="7953" spans="1:24">
      <c r="A7953">
        <f>HYPERLINK("https://www.philgeps.gov.ph/GEPSNONPILOT/Tender/SplashBidNoticeAbstractUI.aspx?menuIndex=3&amp;refID=7075036&amp;Result=3","7075036")</f>
        <v>0</v>
      </c>
      <c r="B7953" t="s">
        <v>2374</v>
      </c>
      <c r="C7953" t="s">
        <v>11106</v>
      </c>
      <c r="D7953" t="s">
        <v>18134</v>
      </c>
      <c r="E7953" t="s">
        <v>25194</v>
      </c>
      <c r="F7953" t="s">
        <v>31362</v>
      </c>
      <c r="G7953" t="s">
        <v>31368</v>
      </c>
      <c r="H7953" t="s">
        <v>15799</v>
      </c>
      <c r="I7953" t="s">
        <v>31424</v>
      </c>
      <c r="J7953" t="s">
        <v>31793</v>
      </c>
      <c r="K7953" t="s">
        <v>40662</v>
      </c>
      <c r="M7953" t="s">
        <v>43521</v>
      </c>
      <c r="N7953" t="s">
        <v>44905</v>
      </c>
      <c r="O7953" t="s">
        <v>44906</v>
      </c>
      <c r="P7953">
        <v>0</v>
      </c>
      <c r="Q7953">
        <v>2</v>
      </c>
      <c r="R7953" t="s">
        <v>44910</v>
      </c>
      <c r="S7953" t="s">
        <v>45076</v>
      </c>
      <c r="T7953" t="s">
        <v>46393</v>
      </c>
      <c r="U7953" t="s">
        <v>53334</v>
      </c>
      <c r="W7953" t="s">
        <v>43521</v>
      </c>
      <c r="X7953" t="s">
        <v>44911</v>
      </c>
    </row>
    <row r="7954" spans="1:24">
      <c r="A7954">
        <f>HYPERLINK("https://www.philgeps.gov.ph/GEPSNONPILOT/Tender/SplashBidNoticeAbstractUI.aspx?menuIndex=3&amp;refID=7075035&amp;Result=3","7075035")</f>
        <v>0</v>
      </c>
      <c r="B7954" t="s">
        <v>2202</v>
      </c>
      <c r="C7954" t="s">
        <v>11107</v>
      </c>
      <c r="D7954" t="s">
        <v>18105</v>
      </c>
      <c r="E7954" t="s">
        <v>25195</v>
      </c>
      <c r="F7954" t="s">
        <v>31362</v>
      </c>
      <c r="G7954" t="s">
        <v>31369</v>
      </c>
      <c r="H7954" t="s">
        <v>15799</v>
      </c>
      <c r="I7954" t="s">
        <v>3815</v>
      </c>
      <c r="J7954" t="s">
        <v>31668</v>
      </c>
      <c r="K7954" t="s">
        <v>40682</v>
      </c>
      <c r="M7954" t="s">
        <v>43333</v>
      </c>
      <c r="N7954" t="s">
        <v>44905</v>
      </c>
      <c r="O7954" t="s">
        <v>44906</v>
      </c>
      <c r="P7954">
        <v>0</v>
      </c>
      <c r="Q7954">
        <v>0</v>
      </c>
      <c r="R7954" t="s">
        <v>44910</v>
      </c>
      <c r="S7954" t="s">
        <v>45076</v>
      </c>
      <c r="T7954" t="s">
        <v>46671</v>
      </c>
      <c r="U7954" t="s">
        <v>53335</v>
      </c>
      <c r="W7954" t="s">
        <v>43333</v>
      </c>
      <c r="X7954" t="s">
        <v>44911</v>
      </c>
    </row>
    <row r="7955" spans="1:24">
      <c r="A7955">
        <f>HYPERLINK("https://www.philgeps.gov.ph/GEPSNONPILOT/Tender/SplashBidNoticeAbstractUI.aspx?menuIndex=3&amp;refID=7075063&amp;Result=3","7075063")</f>
        <v>0</v>
      </c>
      <c r="B7955" t="s">
        <v>672</v>
      </c>
      <c r="C7955" t="s">
        <v>11108</v>
      </c>
      <c r="D7955" t="s">
        <v>18103</v>
      </c>
      <c r="E7955" t="s">
        <v>25196</v>
      </c>
      <c r="F7955" t="s">
        <v>31362</v>
      </c>
      <c r="G7955" t="s">
        <v>31369</v>
      </c>
      <c r="H7955" t="s">
        <v>31378</v>
      </c>
      <c r="I7955" t="s">
        <v>31386</v>
      </c>
      <c r="J7955" t="s">
        <v>32964</v>
      </c>
      <c r="K7955" t="s">
        <v>40682</v>
      </c>
      <c r="M7955" t="s">
        <v>41634</v>
      </c>
      <c r="N7955" t="s">
        <v>44905</v>
      </c>
      <c r="O7955" t="s">
        <v>44906</v>
      </c>
      <c r="P7955">
        <v>0</v>
      </c>
      <c r="Q7955">
        <v>5</v>
      </c>
      <c r="R7955" t="s">
        <v>44910</v>
      </c>
      <c r="S7955" t="s">
        <v>45076</v>
      </c>
      <c r="T7955" t="s">
        <v>46433</v>
      </c>
      <c r="U7955" t="s">
        <v>53336</v>
      </c>
      <c r="W7955" t="s">
        <v>60863</v>
      </c>
      <c r="X7955" t="s">
        <v>44911</v>
      </c>
    </row>
    <row r="7956" spans="1:24">
      <c r="A7956">
        <f>HYPERLINK("https://www.philgeps.gov.ph/GEPSNONPILOT/Tender/SplashBidNoticeAbstractUI.aspx?menuIndex=3&amp;refID=7075081&amp;Result=3","7075081")</f>
        <v>0</v>
      </c>
      <c r="B7956" t="s">
        <v>682</v>
      </c>
      <c r="C7956" t="s">
        <v>11109</v>
      </c>
      <c r="E7956" t="s">
        <v>25197</v>
      </c>
      <c r="F7956" t="s">
        <v>31362</v>
      </c>
      <c r="G7956" t="s">
        <v>31368</v>
      </c>
      <c r="H7956" t="s">
        <v>15799</v>
      </c>
      <c r="I7956" t="s">
        <v>31393</v>
      </c>
      <c r="J7956" t="s">
        <v>32942</v>
      </c>
      <c r="K7956" t="s">
        <v>40670</v>
      </c>
      <c r="M7956" t="s">
        <v>41644</v>
      </c>
      <c r="N7956" t="s">
        <v>44905</v>
      </c>
      <c r="O7956" t="s">
        <v>44906</v>
      </c>
      <c r="P7956">
        <v>0</v>
      </c>
      <c r="Q7956">
        <v>1</v>
      </c>
      <c r="R7956" t="s">
        <v>44910</v>
      </c>
      <c r="S7956" t="s">
        <v>45076</v>
      </c>
      <c r="T7956" t="s">
        <v>46506</v>
      </c>
      <c r="U7956" t="s">
        <v>53337</v>
      </c>
      <c r="V7956" t="s">
        <v>59829</v>
      </c>
      <c r="W7956" t="s">
        <v>41644</v>
      </c>
      <c r="X7956" t="s">
        <v>44911</v>
      </c>
    </row>
    <row r="7957" spans="1:24">
      <c r="A7957">
        <f>HYPERLINK("https://www.philgeps.gov.ph/GEPSNONPILOT/Tender/SplashBidNoticeAbstractUI.aspx?menuIndex=3&amp;refID=7075111&amp;Result=3","7075111")</f>
        <v>0</v>
      </c>
      <c r="B7957" t="s">
        <v>682</v>
      </c>
      <c r="C7957" t="s">
        <v>11110</v>
      </c>
      <c r="E7957" t="s">
        <v>25198</v>
      </c>
      <c r="F7957" t="s">
        <v>31362</v>
      </c>
      <c r="G7957" t="s">
        <v>31368</v>
      </c>
      <c r="H7957" t="s">
        <v>15799</v>
      </c>
      <c r="I7957" t="s">
        <v>31393</v>
      </c>
      <c r="J7957" t="s">
        <v>31578</v>
      </c>
      <c r="K7957" t="s">
        <v>40670</v>
      </c>
      <c r="M7957" t="s">
        <v>41644</v>
      </c>
      <c r="N7957" t="s">
        <v>44905</v>
      </c>
      <c r="O7957" t="s">
        <v>44906</v>
      </c>
      <c r="P7957">
        <v>0</v>
      </c>
      <c r="Q7957">
        <v>0</v>
      </c>
      <c r="R7957" t="s">
        <v>44910</v>
      </c>
      <c r="S7957" t="s">
        <v>45076</v>
      </c>
      <c r="T7957" t="s">
        <v>46506</v>
      </c>
      <c r="U7957" t="s">
        <v>53338</v>
      </c>
      <c r="V7957" t="s">
        <v>59829</v>
      </c>
      <c r="W7957" t="s">
        <v>41644</v>
      </c>
      <c r="X7957" t="s">
        <v>44911</v>
      </c>
    </row>
    <row r="7958" spans="1:24">
      <c r="A7958">
        <f>HYPERLINK("https://www.philgeps.gov.ph/GEPSNONPILOT/Tender/SplashBidNoticeAbstractUI.aspx?menuIndex=3&amp;refID=7075044&amp;Result=3","7075044")</f>
        <v>0</v>
      </c>
      <c r="B7958" t="s">
        <v>192</v>
      </c>
      <c r="C7958" t="s">
        <v>11111</v>
      </c>
      <c r="D7958" t="s">
        <v>18122</v>
      </c>
      <c r="E7958" t="s">
        <v>25199</v>
      </c>
      <c r="F7958" t="s">
        <v>31362</v>
      </c>
      <c r="G7958" t="s">
        <v>31369</v>
      </c>
      <c r="H7958" t="s">
        <v>15799</v>
      </c>
      <c r="I7958" t="s">
        <v>31396</v>
      </c>
      <c r="J7958" t="s">
        <v>36376</v>
      </c>
      <c r="K7958" t="s">
        <v>40662</v>
      </c>
      <c r="M7958" t="s">
        <v>41130</v>
      </c>
      <c r="N7958" t="s">
        <v>44905</v>
      </c>
      <c r="O7958" t="s">
        <v>44906</v>
      </c>
      <c r="P7958">
        <v>0</v>
      </c>
      <c r="Q7958">
        <v>17</v>
      </c>
      <c r="R7958" t="s">
        <v>44910</v>
      </c>
      <c r="S7958" t="s">
        <v>45076</v>
      </c>
      <c r="T7958" t="s">
        <v>46690</v>
      </c>
      <c r="U7958" t="s">
        <v>53339</v>
      </c>
      <c r="V7958" t="s">
        <v>59839</v>
      </c>
      <c r="W7958" t="s">
        <v>41130</v>
      </c>
      <c r="X7958" t="s">
        <v>44911</v>
      </c>
    </row>
    <row r="7959" spans="1:24">
      <c r="A7959">
        <f>HYPERLINK("https://www.philgeps.gov.ph/GEPSNONPILOT/Tender/SplashBidNoticeAbstractUI.aspx?menuIndex=3&amp;refID=7075114&amp;Result=3","7075114")</f>
        <v>0</v>
      </c>
      <c r="B7959" t="s">
        <v>672</v>
      </c>
      <c r="C7959" t="s">
        <v>11112</v>
      </c>
      <c r="D7959" t="s">
        <v>18103</v>
      </c>
      <c r="E7959" t="s">
        <v>25200</v>
      </c>
      <c r="F7959" t="s">
        <v>31362</v>
      </c>
      <c r="G7959" t="s">
        <v>31369</v>
      </c>
      <c r="H7959" t="s">
        <v>31378</v>
      </c>
      <c r="I7959" t="s">
        <v>31386</v>
      </c>
      <c r="J7959" t="s">
        <v>36377</v>
      </c>
      <c r="K7959" t="s">
        <v>40675</v>
      </c>
      <c r="M7959" t="s">
        <v>41634</v>
      </c>
      <c r="N7959" t="s">
        <v>44905</v>
      </c>
      <c r="O7959" t="s">
        <v>44906</v>
      </c>
      <c r="P7959">
        <v>0</v>
      </c>
      <c r="Q7959">
        <v>4</v>
      </c>
      <c r="R7959" t="s">
        <v>44910</v>
      </c>
      <c r="S7959" t="s">
        <v>45076</v>
      </c>
      <c r="T7959" t="s">
        <v>46433</v>
      </c>
      <c r="U7959" t="s">
        <v>53336</v>
      </c>
      <c r="W7959" t="s">
        <v>60863</v>
      </c>
      <c r="X7959" t="s">
        <v>44911</v>
      </c>
    </row>
    <row r="7960" spans="1:24">
      <c r="A7960">
        <f>HYPERLINK("https://www.philgeps.gov.ph/GEPSNONPILOT/Tender/SplashBidNoticeAbstractUI.aspx?menuIndex=3&amp;refID=7075043&amp;Result=3","7075043")</f>
        <v>0</v>
      </c>
      <c r="B7960" t="s">
        <v>2375</v>
      </c>
      <c r="C7960" t="s">
        <v>11113</v>
      </c>
      <c r="D7960" t="s">
        <v>18178</v>
      </c>
      <c r="E7960" t="s">
        <v>21534</v>
      </c>
      <c r="F7960" t="s">
        <v>31362</v>
      </c>
      <c r="G7960" t="s">
        <v>31369</v>
      </c>
      <c r="H7960" t="s">
        <v>15799</v>
      </c>
      <c r="I7960" t="s">
        <v>31390</v>
      </c>
      <c r="J7960" t="s">
        <v>31724</v>
      </c>
      <c r="K7960" t="s">
        <v>40661</v>
      </c>
      <c r="M7960" t="s">
        <v>43522</v>
      </c>
      <c r="N7960" t="s">
        <v>44905</v>
      </c>
      <c r="O7960" t="s">
        <v>44906</v>
      </c>
      <c r="P7960">
        <v>0</v>
      </c>
      <c r="Q7960">
        <v>1</v>
      </c>
      <c r="R7960" t="s">
        <v>44910</v>
      </c>
      <c r="S7960" t="s">
        <v>45076</v>
      </c>
      <c r="T7960" t="s">
        <v>46447</v>
      </c>
      <c r="U7960" t="s">
        <v>53340</v>
      </c>
      <c r="W7960" t="s">
        <v>43522</v>
      </c>
      <c r="X7960" t="s">
        <v>44911</v>
      </c>
    </row>
    <row r="7961" spans="1:24">
      <c r="A7961">
        <f>HYPERLINK("https://www.philgeps.gov.ph/GEPSNONPILOT/Tender/SplashBidNoticeAbstractUI.aspx?menuIndex=3&amp;refID=7075108&amp;Result=3","7075108")</f>
        <v>0</v>
      </c>
      <c r="B7961" t="s">
        <v>473</v>
      </c>
      <c r="C7961" t="s">
        <v>11114</v>
      </c>
      <c r="D7961" t="s">
        <v>18114</v>
      </c>
      <c r="E7961" t="s">
        <v>19313</v>
      </c>
      <c r="F7961" t="s">
        <v>31362</v>
      </c>
      <c r="G7961" t="s">
        <v>31368</v>
      </c>
      <c r="H7961" t="s">
        <v>15799</v>
      </c>
      <c r="I7961" t="s">
        <v>31398</v>
      </c>
      <c r="J7961" t="s">
        <v>31937</v>
      </c>
      <c r="K7961" t="s">
        <v>40672</v>
      </c>
      <c r="M7961" t="s">
        <v>43523</v>
      </c>
      <c r="N7961" t="s">
        <v>44905</v>
      </c>
      <c r="O7961" t="s">
        <v>44906</v>
      </c>
      <c r="P7961">
        <v>0</v>
      </c>
      <c r="Q7961">
        <v>3</v>
      </c>
      <c r="R7961" t="s">
        <v>44910</v>
      </c>
      <c r="S7961" t="s">
        <v>45076</v>
      </c>
      <c r="T7961" t="s">
        <v>46766</v>
      </c>
      <c r="U7961" t="s">
        <v>48012</v>
      </c>
      <c r="W7961" t="s">
        <v>43523</v>
      </c>
      <c r="X7961" t="s">
        <v>44911</v>
      </c>
    </row>
    <row r="7962" spans="1:24">
      <c r="A7962">
        <f>HYPERLINK("https://www.philgeps.gov.ph/GEPSNONPILOT/Tender/SplashBidNoticeAbstractUI.aspx?menuIndex=3&amp;refID=7075038&amp;Result=3","7075038")</f>
        <v>0</v>
      </c>
      <c r="B7962" t="s">
        <v>2376</v>
      </c>
      <c r="C7962" t="s">
        <v>11115</v>
      </c>
      <c r="D7962" t="s">
        <v>18117</v>
      </c>
      <c r="E7962" t="s">
        <v>20191</v>
      </c>
      <c r="F7962" t="s">
        <v>31362</v>
      </c>
      <c r="G7962" t="s">
        <v>31370</v>
      </c>
      <c r="H7962" t="s">
        <v>15799</v>
      </c>
      <c r="I7962" t="s">
        <v>13635</v>
      </c>
      <c r="J7962" t="s">
        <v>31577</v>
      </c>
      <c r="K7962" t="s">
        <v>40666</v>
      </c>
      <c r="M7962" t="s">
        <v>43524</v>
      </c>
      <c r="N7962" t="s">
        <v>44905</v>
      </c>
      <c r="O7962" t="s">
        <v>44906</v>
      </c>
      <c r="P7962">
        <v>0</v>
      </c>
      <c r="Q7962">
        <v>3</v>
      </c>
      <c r="R7962" t="s">
        <v>44910</v>
      </c>
      <c r="S7962" t="s">
        <v>45076</v>
      </c>
      <c r="T7962" t="s">
        <v>46438</v>
      </c>
      <c r="U7962" t="s">
        <v>53341</v>
      </c>
      <c r="W7962" t="s">
        <v>43524</v>
      </c>
      <c r="X7962" t="s">
        <v>44911</v>
      </c>
    </row>
    <row r="7963" spans="1:24">
      <c r="A7963">
        <f>HYPERLINK("https://www.philgeps.gov.ph/GEPSNONPILOT/Tender/SplashBidNoticeAbstractUI.aspx?menuIndex=3&amp;refID=7075105&amp;Result=3","7075105")</f>
        <v>0</v>
      </c>
      <c r="B7963" t="s">
        <v>838</v>
      </c>
      <c r="C7963" t="s">
        <v>11116</v>
      </c>
      <c r="D7963" t="s">
        <v>18162</v>
      </c>
      <c r="E7963" t="s">
        <v>25201</v>
      </c>
      <c r="F7963" t="s">
        <v>31362</v>
      </c>
      <c r="G7963" t="s">
        <v>31369</v>
      </c>
      <c r="H7963" t="s">
        <v>15799</v>
      </c>
      <c r="I7963" t="s">
        <v>31386</v>
      </c>
      <c r="J7963" t="s">
        <v>31591</v>
      </c>
      <c r="K7963" t="s">
        <v>40662</v>
      </c>
      <c r="M7963" t="s">
        <v>41813</v>
      </c>
      <c r="N7963" t="s">
        <v>44905</v>
      </c>
      <c r="O7963" t="s">
        <v>44906</v>
      </c>
      <c r="P7963">
        <v>0</v>
      </c>
      <c r="Q7963">
        <v>0</v>
      </c>
      <c r="R7963" t="s">
        <v>44910</v>
      </c>
      <c r="S7963" t="s">
        <v>45076</v>
      </c>
      <c r="T7963" t="s">
        <v>46403</v>
      </c>
      <c r="U7963" t="s">
        <v>53342</v>
      </c>
      <c r="W7963" t="s">
        <v>41813</v>
      </c>
      <c r="X7963" t="s">
        <v>44911</v>
      </c>
    </row>
    <row r="7964" spans="1:24">
      <c r="A7964">
        <f>HYPERLINK("https://www.philgeps.gov.ph/GEPSNONPILOT/Tender/SplashBidNoticeAbstractUI.aspx?menuIndex=3&amp;refID=7075053&amp;Result=3","7075053")</f>
        <v>0</v>
      </c>
      <c r="B7964" t="s">
        <v>2377</v>
      </c>
      <c r="C7964" t="s">
        <v>11117</v>
      </c>
      <c r="D7964" t="s">
        <v>18119</v>
      </c>
      <c r="E7964" t="s">
        <v>25202</v>
      </c>
      <c r="F7964" t="s">
        <v>31362</v>
      </c>
      <c r="G7964" t="s">
        <v>31369</v>
      </c>
      <c r="H7964" t="s">
        <v>15799</v>
      </c>
      <c r="I7964" t="s">
        <v>6373</v>
      </c>
      <c r="J7964" t="s">
        <v>36378</v>
      </c>
      <c r="K7964" t="s">
        <v>40661</v>
      </c>
      <c r="M7964" t="s">
        <v>43525</v>
      </c>
      <c r="N7964" t="s">
        <v>44905</v>
      </c>
      <c r="O7964" t="s">
        <v>44906</v>
      </c>
      <c r="P7964">
        <v>0</v>
      </c>
      <c r="Q7964">
        <v>1</v>
      </c>
      <c r="R7964" t="s">
        <v>44910</v>
      </c>
      <c r="S7964" t="s">
        <v>45076</v>
      </c>
      <c r="T7964" t="s">
        <v>46435</v>
      </c>
      <c r="U7964" t="s">
        <v>53343</v>
      </c>
      <c r="W7964" t="s">
        <v>43525</v>
      </c>
      <c r="X7964" t="s">
        <v>44911</v>
      </c>
    </row>
    <row r="7965" spans="1:24">
      <c r="A7965">
        <f>HYPERLINK("https://www.philgeps.gov.ph/GEPSNONPILOT/Tender/SplashBidNoticeAbstractUI.aspx?menuIndex=3&amp;refID=7075099&amp;Result=3","7075099")</f>
        <v>0</v>
      </c>
      <c r="B7965" t="s">
        <v>1706</v>
      </c>
      <c r="C7965" t="s">
        <v>11118</v>
      </c>
      <c r="D7965" t="s">
        <v>18112</v>
      </c>
      <c r="E7965" t="s">
        <v>25203</v>
      </c>
      <c r="F7965" t="s">
        <v>31362</v>
      </c>
      <c r="G7965" t="s">
        <v>31369</v>
      </c>
      <c r="H7965" t="s">
        <v>31378</v>
      </c>
      <c r="I7965" t="s">
        <v>31386</v>
      </c>
      <c r="J7965" t="s">
        <v>36379</v>
      </c>
      <c r="K7965" t="s">
        <v>40694</v>
      </c>
      <c r="M7965" t="s">
        <v>42773</v>
      </c>
      <c r="N7965" t="s">
        <v>44905</v>
      </c>
      <c r="O7965" t="s">
        <v>44906</v>
      </c>
      <c r="P7965">
        <v>0</v>
      </c>
      <c r="Q7965">
        <v>0</v>
      </c>
      <c r="R7965" t="s">
        <v>44910</v>
      </c>
      <c r="S7965" t="s">
        <v>45076</v>
      </c>
      <c r="T7965" t="s">
        <v>46588</v>
      </c>
      <c r="U7965" t="s">
        <v>53344</v>
      </c>
      <c r="V7965" t="s">
        <v>59557</v>
      </c>
      <c r="W7965" t="s">
        <v>42773</v>
      </c>
      <c r="X7965" t="s">
        <v>44911</v>
      </c>
    </row>
    <row r="7966" spans="1:24">
      <c r="A7966">
        <f>HYPERLINK("https://www.philgeps.gov.ph/GEPSNONPILOT/Tender/SplashBidNoticeAbstractUI.aspx?menuIndex=3&amp;refID=7075095&amp;Result=3","7075095")</f>
        <v>0</v>
      </c>
      <c r="B7966" t="s">
        <v>45</v>
      </c>
      <c r="C7966" t="s">
        <v>11119</v>
      </c>
      <c r="D7966" t="s">
        <v>18114</v>
      </c>
      <c r="E7966" t="s">
        <v>25204</v>
      </c>
      <c r="F7966" t="s">
        <v>31362</v>
      </c>
      <c r="G7966" t="s">
        <v>31369</v>
      </c>
      <c r="H7966" t="s">
        <v>15799</v>
      </c>
      <c r="I7966" t="s">
        <v>31450</v>
      </c>
      <c r="J7966" t="s">
        <v>36380</v>
      </c>
      <c r="K7966" t="s">
        <v>40665</v>
      </c>
      <c r="M7966" t="s">
        <v>41024</v>
      </c>
      <c r="N7966" t="s">
        <v>44905</v>
      </c>
      <c r="O7966" t="s">
        <v>44906</v>
      </c>
      <c r="P7966">
        <v>0</v>
      </c>
      <c r="Q7966">
        <v>4</v>
      </c>
      <c r="R7966" t="s">
        <v>44910</v>
      </c>
      <c r="S7966" t="s">
        <v>45076</v>
      </c>
      <c r="T7966" t="s">
        <v>46504</v>
      </c>
      <c r="U7966" t="s">
        <v>53232</v>
      </c>
      <c r="W7966" t="s">
        <v>41024</v>
      </c>
      <c r="X7966" t="s">
        <v>44911</v>
      </c>
    </row>
    <row r="7967" spans="1:24">
      <c r="A7967">
        <f>HYPERLINK("https://www.philgeps.gov.ph/GEPSNONPILOT/Tender/SplashBidNoticeAbstractUI.aspx?menuIndex=3&amp;refID=7075093&amp;Result=3","7075093")</f>
        <v>0</v>
      </c>
      <c r="B7967" t="s">
        <v>2378</v>
      </c>
      <c r="C7967" t="s">
        <v>11120</v>
      </c>
      <c r="D7967" t="s">
        <v>18102</v>
      </c>
      <c r="E7967" t="s">
        <v>23686</v>
      </c>
      <c r="F7967" t="s">
        <v>31362</v>
      </c>
      <c r="G7967" t="s">
        <v>31369</v>
      </c>
      <c r="H7967" t="s">
        <v>31378</v>
      </c>
      <c r="I7967" t="s">
        <v>31386</v>
      </c>
      <c r="J7967" t="s">
        <v>36381</v>
      </c>
      <c r="K7967" t="s">
        <v>40665</v>
      </c>
      <c r="M7967" t="s">
        <v>43526</v>
      </c>
      <c r="N7967" t="s">
        <v>44905</v>
      </c>
      <c r="O7967" t="s">
        <v>44906</v>
      </c>
      <c r="P7967">
        <v>0</v>
      </c>
      <c r="Q7967">
        <v>0</v>
      </c>
      <c r="R7967" t="s">
        <v>44910</v>
      </c>
      <c r="S7967" t="s">
        <v>45076</v>
      </c>
      <c r="T7967" t="s">
        <v>46585</v>
      </c>
      <c r="U7967" t="s">
        <v>53345</v>
      </c>
      <c r="W7967" t="s">
        <v>43526</v>
      </c>
      <c r="X7967" t="s">
        <v>44911</v>
      </c>
    </row>
    <row r="7968" spans="1:24">
      <c r="A7968">
        <f>HYPERLINK("https://www.philgeps.gov.ph/GEPSNONPILOT/Tender/SplashBidNoticeAbstractUI.aspx?menuIndex=3&amp;refID=7075110&amp;Result=3","7075110")</f>
        <v>0</v>
      </c>
      <c r="B7968" t="s">
        <v>2379</v>
      </c>
      <c r="C7968" t="s">
        <v>11121</v>
      </c>
      <c r="D7968" t="s">
        <v>18146</v>
      </c>
      <c r="E7968" t="s">
        <v>25205</v>
      </c>
      <c r="F7968" t="s">
        <v>31362</v>
      </c>
      <c r="G7968" t="s">
        <v>31369</v>
      </c>
      <c r="H7968" t="s">
        <v>31378</v>
      </c>
      <c r="I7968" t="s">
        <v>31386</v>
      </c>
      <c r="J7968" t="s">
        <v>33541</v>
      </c>
      <c r="K7968" t="s">
        <v>40666</v>
      </c>
      <c r="M7968" t="s">
        <v>43527</v>
      </c>
      <c r="N7968" t="s">
        <v>44905</v>
      </c>
      <c r="O7968" t="s">
        <v>44906</v>
      </c>
      <c r="P7968">
        <v>0</v>
      </c>
      <c r="Q7968">
        <v>0</v>
      </c>
      <c r="R7968" t="s">
        <v>44910</v>
      </c>
      <c r="S7968" t="s">
        <v>45076</v>
      </c>
      <c r="T7968" t="s">
        <v>46410</v>
      </c>
      <c r="U7968" t="s">
        <v>53346</v>
      </c>
      <c r="W7968" t="s">
        <v>43527</v>
      </c>
      <c r="X7968" t="s">
        <v>44911</v>
      </c>
    </row>
    <row r="7969" spans="1:24">
      <c r="A7969">
        <f>HYPERLINK("https://www.philgeps.gov.ph/GEPSNONPILOT/Tender/SplashBidNoticeAbstractUI.aspx?menuIndex=3&amp;refID=7075090&amp;Result=3","7075090")</f>
        <v>0</v>
      </c>
      <c r="B7969" t="s">
        <v>713</v>
      </c>
      <c r="C7969" t="s">
        <v>11122</v>
      </c>
      <c r="D7969" t="s">
        <v>18108</v>
      </c>
      <c r="E7969" t="s">
        <v>25206</v>
      </c>
      <c r="F7969" t="s">
        <v>31362</v>
      </c>
      <c r="G7969" t="s">
        <v>31369</v>
      </c>
      <c r="H7969" t="s">
        <v>15799</v>
      </c>
      <c r="I7969" t="s">
        <v>12925</v>
      </c>
      <c r="J7969" t="s">
        <v>31637</v>
      </c>
      <c r="K7969" t="s">
        <v>40723</v>
      </c>
      <c r="M7969" t="s">
        <v>43528</v>
      </c>
      <c r="N7969" t="s">
        <v>44905</v>
      </c>
      <c r="O7969" t="s">
        <v>44906</v>
      </c>
      <c r="P7969">
        <v>0</v>
      </c>
      <c r="Q7969">
        <v>5</v>
      </c>
      <c r="R7969" t="s">
        <v>44910</v>
      </c>
      <c r="S7969" t="s">
        <v>45076</v>
      </c>
      <c r="T7969" t="s">
        <v>46700</v>
      </c>
      <c r="U7969" t="s">
        <v>53347</v>
      </c>
      <c r="W7969" t="s">
        <v>43528</v>
      </c>
      <c r="X7969" t="s">
        <v>44911</v>
      </c>
    </row>
    <row r="7970" spans="1:24">
      <c r="A7970">
        <f>HYPERLINK("https://www.philgeps.gov.ph/GEPSNONPILOT/Tender/SplashBidNoticeAbstractUI.aspx?menuIndex=3&amp;refID=7075102&amp;Result=3","7075102")</f>
        <v>0</v>
      </c>
      <c r="B7970" t="s">
        <v>1655</v>
      </c>
      <c r="C7970" t="s">
        <v>5755</v>
      </c>
      <c r="D7970" t="s">
        <v>18136</v>
      </c>
      <c r="E7970" t="s">
        <v>25207</v>
      </c>
      <c r="F7970" t="s">
        <v>31362</v>
      </c>
      <c r="G7970" t="s">
        <v>31368</v>
      </c>
      <c r="H7970" t="s">
        <v>15799</v>
      </c>
      <c r="I7970" t="s">
        <v>31380</v>
      </c>
      <c r="J7970" t="s">
        <v>36099</v>
      </c>
      <c r="K7970" t="s">
        <v>40661</v>
      </c>
      <c r="M7970" t="s">
        <v>43362</v>
      </c>
      <c r="N7970" t="s">
        <v>44905</v>
      </c>
      <c r="O7970" t="s">
        <v>44906</v>
      </c>
      <c r="P7970">
        <v>0</v>
      </c>
      <c r="Q7970">
        <v>2</v>
      </c>
      <c r="R7970" t="s">
        <v>44910</v>
      </c>
      <c r="S7970" t="s">
        <v>45076</v>
      </c>
      <c r="T7970" t="s">
        <v>46425</v>
      </c>
      <c r="U7970" t="s">
        <v>53348</v>
      </c>
      <c r="W7970" t="s">
        <v>43362</v>
      </c>
      <c r="X7970" t="s">
        <v>44911</v>
      </c>
    </row>
    <row r="7971" spans="1:24">
      <c r="A7971">
        <f>HYPERLINK("https://www.philgeps.gov.ph/GEPSNONPILOT/Tender/SplashBidNoticeAbstractUI.aspx?menuIndex=3&amp;refID=7075106&amp;Result=3","7075106")</f>
        <v>0</v>
      </c>
      <c r="B7971" t="s">
        <v>2376</v>
      </c>
      <c r="C7971" t="s">
        <v>11123</v>
      </c>
      <c r="D7971" t="s">
        <v>18117</v>
      </c>
      <c r="E7971" t="s">
        <v>20191</v>
      </c>
      <c r="F7971" t="s">
        <v>31362</v>
      </c>
      <c r="G7971" t="s">
        <v>31370</v>
      </c>
      <c r="H7971" t="s">
        <v>31378</v>
      </c>
      <c r="I7971" t="s">
        <v>3815</v>
      </c>
      <c r="J7971" t="s">
        <v>36382</v>
      </c>
      <c r="K7971" t="s">
        <v>40665</v>
      </c>
      <c r="M7971" t="s">
        <v>43524</v>
      </c>
      <c r="N7971" t="s">
        <v>44905</v>
      </c>
      <c r="O7971" t="s">
        <v>44906</v>
      </c>
      <c r="P7971">
        <v>0</v>
      </c>
      <c r="Q7971">
        <v>1</v>
      </c>
      <c r="R7971" t="s">
        <v>44910</v>
      </c>
      <c r="S7971" t="s">
        <v>45076</v>
      </c>
      <c r="T7971" t="s">
        <v>46438</v>
      </c>
      <c r="U7971" t="s">
        <v>53349</v>
      </c>
      <c r="W7971" t="s">
        <v>43524</v>
      </c>
      <c r="X7971" t="s">
        <v>44911</v>
      </c>
    </row>
    <row r="7972" spans="1:24">
      <c r="A7972">
        <f>HYPERLINK("https://www.philgeps.gov.ph/GEPSNONPILOT/Tender/SplashBidNoticeAbstractUI.aspx?menuIndex=3&amp;refID=7075084&amp;Result=3","7075084")</f>
        <v>0</v>
      </c>
      <c r="B7972" t="s">
        <v>317</v>
      </c>
      <c r="C7972" t="s">
        <v>11124</v>
      </c>
      <c r="D7972" t="s">
        <v>18165</v>
      </c>
      <c r="E7972" t="s">
        <v>25208</v>
      </c>
      <c r="F7972" t="s">
        <v>31362</v>
      </c>
      <c r="G7972" t="s">
        <v>31368</v>
      </c>
      <c r="H7972" t="s">
        <v>15799</v>
      </c>
      <c r="I7972" t="s">
        <v>3815</v>
      </c>
      <c r="J7972" t="s">
        <v>36383</v>
      </c>
      <c r="K7972" t="s">
        <v>40665</v>
      </c>
      <c r="M7972" t="s">
        <v>41262</v>
      </c>
      <c r="N7972" t="s">
        <v>44905</v>
      </c>
      <c r="O7972" t="s">
        <v>44906</v>
      </c>
      <c r="P7972">
        <v>0</v>
      </c>
      <c r="Q7972">
        <v>0</v>
      </c>
      <c r="R7972" t="s">
        <v>44910</v>
      </c>
      <c r="S7972" t="s">
        <v>45076</v>
      </c>
      <c r="T7972" t="s">
        <v>46394</v>
      </c>
      <c r="U7972" t="s">
        <v>53350</v>
      </c>
      <c r="W7972" t="s">
        <v>60846</v>
      </c>
      <c r="X7972" t="s">
        <v>44911</v>
      </c>
    </row>
    <row r="7973" spans="1:24">
      <c r="A7973">
        <f>HYPERLINK("https://www.philgeps.gov.ph/GEPSNONPILOT/Tender/SplashBidNoticeAbstractUI.aspx?menuIndex=3&amp;refID=7075116&amp;Result=3","7075116")</f>
        <v>0</v>
      </c>
      <c r="B7973" t="s">
        <v>604</v>
      </c>
      <c r="C7973" t="s">
        <v>11125</v>
      </c>
      <c r="D7973" t="s">
        <v>18122</v>
      </c>
      <c r="E7973" t="s">
        <v>25209</v>
      </c>
      <c r="F7973" t="s">
        <v>31362</v>
      </c>
      <c r="G7973" t="s">
        <v>31373</v>
      </c>
      <c r="H7973" t="s">
        <v>31378</v>
      </c>
      <c r="I7973" t="s">
        <v>31386</v>
      </c>
      <c r="J7973" t="s">
        <v>36384</v>
      </c>
      <c r="K7973" t="s">
        <v>40725</v>
      </c>
      <c r="M7973" t="s">
        <v>41562</v>
      </c>
      <c r="N7973" t="s">
        <v>44905</v>
      </c>
      <c r="O7973" t="s">
        <v>44906</v>
      </c>
      <c r="P7973">
        <v>0</v>
      </c>
      <c r="Q7973">
        <v>5</v>
      </c>
      <c r="R7973" t="s">
        <v>44910</v>
      </c>
      <c r="S7973" t="s">
        <v>45076</v>
      </c>
      <c r="T7973" t="s">
        <v>46419</v>
      </c>
      <c r="U7973" t="s">
        <v>53351</v>
      </c>
      <c r="V7973" t="s">
        <v>59212</v>
      </c>
      <c r="W7973" t="s">
        <v>41562</v>
      </c>
      <c r="X7973" t="s">
        <v>44911</v>
      </c>
    </row>
    <row r="7974" spans="1:24">
      <c r="A7974">
        <f>HYPERLINK("https://www.philgeps.gov.ph/GEPSNONPILOT/Tender/SplashBidNoticeAbstractUI.aspx?menuIndex=3&amp;refID=7075098&amp;Result=3","7075098")</f>
        <v>0</v>
      </c>
      <c r="B7974" t="s">
        <v>2380</v>
      </c>
      <c r="C7974" t="s">
        <v>11126</v>
      </c>
      <c r="D7974" t="s">
        <v>18112</v>
      </c>
      <c r="E7974" t="s">
        <v>25210</v>
      </c>
      <c r="F7974" t="s">
        <v>31362</v>
      </c>
      <c r="G7974" t="s">
        <v>31369</v>
      </c>
      <c r="H7974" t="s">
        <v>15799</v>
      </c>
      <c r="I7974" t="s">
        <v>3815</v>
      </c>
      <c r="J7974" t="s">
        <v>36385</v>
      </c>
      <c r="K7974" t="s">
        <v>40670</v>
      </c>
      <c r="M7974" t="s">
        <v>43529</v>
      </c>
      <c r="N7974" t="s">
        <v>44905</v>
      </c>
      <c r="O7974" t="s">
        <v>44906</v>
      </c>
      <c r="P7974">
        <v>0</v>
      </c>
      <c r="Q7974">
        <v>1</v>
      </c>
      <c r="R7974" t="s">
        <v>44910</v>
      </c>
      <c r="S7974" t="s">
        <v>45076</v>
      </c>
      <c r="T7974" t="s">
        <v>46686</v>
      </c>
      <c r="U7974" t="s">
        <v>53352</v>
      </c>
      <c r="V7974" t="s">
        <v>59840</v>
      </c>
      <c r="W7974" t="s">
        <v>43529</v>
      </c>
      <c r="X7974" t="s">
        <v>44911</v>
      </c>
    </row>
    <row r="7975" spans="1:24">
      <c r="A7975">
        <f>HYPERLINK("https://www.philgeps.gov.ph/GEPSNONPILOT/Tender/SplashBidNoticeAbstractUI.aspx?menuIndex=3&amp;refID=7075152&amp;Result=3","7075152")</f>
        <v>0</v>
      </c>
      <c r="B7975" t="s">
        <v>2378</v>
      </c>
      <c r="C7975" t="s">
        <v>11127</v>
      </c>
      <c r="D7975" t="s">
        <v>18102</v>
      </c>
      <c r="E7975" t="s">
        <v>25211</v>
      </c>
      <c r="F7975" t="s">
        <v>31362</v>
      </c>
      <c r="G7975" t="s">
        <v>31369</v>
      </c>
      <c r="H7975" t="s">
        <v>31378</v>
      </c>
      <c r="I7975" t="s">
        <v>31386</v>
      </c>
      <c r="J7975" t="s">
        <v>31542</v>
      </c>
      <c r="K7975" t="s">
        <v>40675</v>
      </c>
      <c r="M7975" t="s">
        <v>43526</v>
      </c>
      <c r="N7975" t="s">
        <v>44905</v>
      </c>
      <c r="O7975" t="s">
        <v>44906</v>
      </c>
      <c r="P7975">
        <v>0</v>
      </c>
      <c r="Q7975">
        <v>0</v>
      </c>
      <c r="R7975" t="s">
        <v>44910</v>
      </c>
      <c r="S7975" t="s">
        <v>45076</v>
      </c>
      <c r="T7975" t="s">
        <v>46585</v>
      </c>
      <c r="U7975" t="s">
        <v>53353</v>
      </c>
      <c r="W7975" t="s">
        <v>43526</v>
      </c>
      <c r="X7975" t="s">
        <v>44911</v>
      </c>
    </row>
    <row r="7976" spans="1:24">
      <c r="A7976">
        <f>HYPERLINK("https://www.philgeps.gov.ph/GEPSNONPILOT/Tender/SplashBidNoticeAbstractUI.aspx?menuIndex=3&amp;refID=7075107&amp;Result=3","7075107")</f>
        <v>0</v>
      </c>
      <c r="B7976" t="s">
        <v>2381</v>
      </c>
      <c r="C7976" t="s">
        <v>11128</v>
      </c>
      <c r="D7976" t="s">
        <v>18120</v>
      </c>
      <c r="E7976" t="s">
        <v>25212</v>
      </c>
      <c r="F7976" t="s">
        <v>31362</v>
      </c>
      <c r="G7976" t="s">
        <v>31369</v>
      </c>
      <c r="H7976" t="s">
        <v>31378</v>
      </c>
      <c r="I7976" t="s">
        <v>31386</v>
      </c>
      <c r="J7976" t="s">
        <v>32187</v>
      </c>
      <c r="K7976" t="s">
        <v>40662</v>
      </c>
      <c r="M7976" t="s">
        <v>43530</v>
      </c>
      <c r="N7976" t="s">
        <v>44905</v>
      </c>
      <c r="O7976" t="s">
        <v>44906</v>
      </c>
      <c r="P7976">
        <v>0</v>
      </c>
      <c r="Q7976">
        <v>0</v>
      </c>
      <c r="R7976" t="s">
        <v>44910</v>
      </c>
      <c r="S7976" t="s">
        <v>45076</v>
      </c>
      <c r="T7976" t="s">
        <v>46419</v>
      </c>
      <c r="U7976" t="s">
        <v>53354</v>
      </c>
      <c r="W7976" t="s">
        <v>43530</v>
      </c>
      <c r="X7976" t="s">
        <v>44911</v>
      </c>
    </row>
    <row r="7977" spans="1:24">
      <c r="A7977">
        <f>HYPERLINK("https://www.philgeps.gov.ph/GEPSNONPILOT/Tender/SplashBidNoticeAbstractUI.aspx?menuIndex=3&amp;refID=7075054&amp;Result=3","7075054")</f>
        <v>0</v>
      </c>
      <c r="B7977" t="s">
        <v>2343</v>
      </c>
      <c r="C7977" t="s">
        <v>11129</v>
      </c>
      <c r="D7977" t="s">
        <v>18108</v>
      </c>
      <c r="E7977" t="s">
        <v>25213</v>
      </c>
      <c r="F7977" t="s">
        <v>31362</v>
      </c>
      <c r="G7977" t="s">
        <v>31368</v>
      </c>
      <c r="H7977" t="s">
        <v>15799</v>
      </c>
      <c r="I7977" t="s">
        <v>6865</v>
      </c>
      <c r="J7977" t="s">
        <v>31530</v>
      </c>
      <c r="K7977" t="s">
        <v>40665</v>
      </c>
      <c r="M7977" t="s">
        <v>43486</v>
      </c>
      <c r="N7977" t="s">
        <v>44905</v>
      </c>
      <c r="O7977" t="s">
        <v>44906</v>
      </c>
      <c r="P7977">
        <v>0</v>
      </c>
      <c r="Q7977">
        <v>14</v>
      </c>
      <c r="R7977" t="s">
        <v>44910</v>
      </c>
      <c r="S7977" t="s">
        <v>45076</v>
      </c>
      <c r="T7977" t="s">
        <v>46763</v>
      </c>
      <c r="U7977" t="s">
        <v>53355</v>
      </c>
      <c r="W7977" t="s">
        <v>43486</v>
      </c>
      <c r="X7977" t="s">
        <v>44911</v>
      </c>
    </row>
    <row r="7978" spans="1:24">
      <c r="A7978">
        <f>HYPERLINK("https://www.philgeps.gov.ph/GEPSNONPILOT/Tender/SplashBidNoticeAbstractUI.aspx?menuIndex=3&amp;refID=7075085&amp;Result=3","7075085")</f>
        <v>0</v>
      </c>
      <c r="B7978" t="s">
        <v>622</v>
      </c>
      <c r="C7978" t="s">
        <v>6931</v>
      </c>
      <c r="D7978" t="s">
        <v>18108</v>
      </c>
      <c r="E7978" t="s">
        <v>25214</v>
      </c>
      <c r="F7978" t="s">
        <v>31362</v>
      </c>
      <c r="G7978" t="s">
        <v>31368</v>
      </c>
      <c r="H7978" t="s">
        <v>15799</v>
      </c>
      <c r="I7978" t="s">
        <v>31393</v>
      </c>
      <c r="J7978" t="s">
        <v>33689</v>
      </c>
      <c r="K7978" t="s">
        <v>40665</v>
      </c>
      <c r="M7978" t="s">
        <v>41581</v>
      </c>
      <c r="N7978" t="s">
        <v>44905</v>
      </c>
      <c r="O7978" t="s">
        <v>44906</v>
      </c>
      <c r="P7978">
        <v>0</v>
      </c>
      <c r="Q7978">
        <v>20</v>
      </c>
      <c r="R7978" t="s">
        <v>44910</v>
      </c>
      <c r="S7978" t="s">
        <v>45076</v>
      </c>
      <c r="T7978" t="s">
        <v>46412</v>
      </c>
      <c r="U7978" t="s">
        <v>48113</v>
      </c>
      <c r="W7978" t="s">
        <v>41581</v>
      </c>
      <c r="X7978" t="s">
        <v>44911</v>
      </c>
    </row>
    <row r="7979" spans="1:24">
      <c r="A7979">
        <f>HYPERLINK("https://www.philgeps.gov.ph/GEPSNONPILOT/Tender/SplashBidNoticeAbstractUI.aspx?menuIndex=3&amp;refID=7075150&amp;Result=3","7075150")</f>
        <v>0</v>
      </c>
      <c r="B7979" t="s">
        <v>983</v>
      </c>
      <c r="C7979" t="s">
        <v>11130</v>
      </c>
      <c r="D7979" t="s">
        <v>18108</v>
      </c>
      <c r="E7979" t="s">
        <v>25215</v>
      </c>
      <c r="F7979" t="s">
        <v>31362</v>
      </c>
      <c r="G7979" t="s">
        <v>31369</v>
      </c>
      <c r="H7979" t="s">
        <v>31379</v>
      </c>
      <c r="I7979" t="s">
        <v>31388</v>
      </c>
      <c r="J7979" t="s">
        <v>36386</v>
      </c>
      <c r="K7979" t="s">
        <v>40739</v>
      </c>
      <c r="M7979" t="s">
        <v>41975</v>
      </c>
      <c r="N7979" t="s">
        <v>44905</v>
      </c>
      <c r="O7979" t="s">
        <v>44906</v>
      </c>
      <c r="P7979">
        <v>0</v>
      </c>
      <c r="Q7979">
        <v>1</v>
      </c>
      <c r="R7979" t="s">
        <v>44910</v>
      </c>
      <c r="S7979" t="s">
        <v>45076</v>
      </c>
      <c r="T7979" t="s">
        <v>46685</v>
      </c>
      <c r="U7979" t="s">
        <v>53356</v>
      </c>
      <c r="W7979" t="s">
        <v>41975</v>
      </c>
      <c r="X7979" t="s">
        <v>44911</v>
      </c>
    </row>
    <row r="7980" spans="1:24">
      <c r="A7980">
        <f>HYPERLINK("https://www.philgeps.gov.ph/GEPSNONPILOT/Tender/SplashBidNoticeAbstractUI.aspx?menuIndex=3&amp;refID=7075144&amp;Result=3","7075144")</f>
        <v>0</v>
      </c>
      <c r="B7980" t="s">
        <v>2382</v>
      </c>
      <c r="C7980" t="s">
        <v>11131</v>
      </c>
      <c r="D7980" t="s">
        <v>18141</v>
      </c>
      <c r="E7980" t="s">
        <v>25216</v>
      </c>
      <c r="F7980" t="s">
        <v>31363</v>
      </c>
      <c r="G7980" t="s">
        <v>31368</v>
      </c>
      <c r="H7980" t="s">
        <v>31378</v>
      </c>
      <c r="I7980" t="s">
        <v>31386</v>
      </c>
      <c r="J7980" t="s">
        <v>36387</v>
      </c>
      <c r="K7980" t="s">
        <v>40682</v>
      </c>
      <c r="M7980" t="s">
        <v>43531</v>
      </c>
      <c r="N7980" t="s">
        <v>44905</v>
      </c>
      <c r="O7980" t="s">
        <v>44906</v>
      </c>
      <c r="P7980">
        <v>0</v>
      </c>
      <c r="Q7980">
        <v>0</v>
      </c>
      <c r="R7980" t="s">
        <v>44910</v>
      </c>
      <c r="S7980" t="s">
        <v>45076</v>
      </c>
      <c r="T7980" t="s">
        <v>46438</v>
      </c>
      <c r="U7980" t="s">
        <v>53357</v>
      </c>
      <c r="W7980" t="s">
        <v>43531</v>
      </c>
      <c r="X7980" t="s">
        <v>44911</v>
      </c>
    </row>
    <row r="7981" spans="1:24">
      <c r="A7981">
        <f>HYPERLINK("https://www.philgeps.gov.ph/GEPSNONPILOT/Tender/SplashBidNoticeAbstractUI.aspx?menuIndex=3&amp;refID=7075076&amp;Result=3","7075076")</f>
        <v>0</v>
      </c>
      <c r="B7981" t="s">
        <v>831</v>
      </c>
      <c r="C7981" t="s">
        <v>11132</v>
      </c>
      <c r="D7981" t="s">
        <v>18108</v>
      </c>
      <c r="E7981" t="s">
        <v>25217</v>
      </c>
      <c r="F7981" t="s">
        <v>31362</v>
      </c>
      <c r="G7981" t="s">
        <v>31369</v>
      </c>
      <c r="H7981" t="s">
        <v>15799</v>
      </c>
      <c r="I7981" t="s">
        <v>7090</v>
      </c>
      <c r="J7981" t="s">
        <v>36388</v>
      </c>
      <c r="K7981" t="s">
        <v>40666</v>
      </c>
      <c r="M7981" t="s">
        <v>42635</v>
      </c>
      <c r="N7981" t="s">
        <v>44905</v>
      </c>
      <c r="O7981" t="s">
        <v>44906</v>
      </c>
      <c r="P7981">
        <v>0</v>
      </c>
      <c r="Q7981">
        <v>0</v>
      </c>
      <c r="R7981" t="s">
        <v>44910</v>
      </c>
      <c r="S7981" t="s">
        <v>45076</v>
      </c>
      <c r="T7981" t="s">
        <v>46393</v>
      </c>
      <c r="U7981" t="s">
        <v>48635</v>
      </c>
      <c r="W7981" t="s">
        <v>42635</v>
      </c>
      <c r="X7981" t="s">
        <v>44911</v>
      </c>
    </row>
    <row r="7982" spans="1:24">
      <c r="A7982">
        <f>HYPERLINK("https://www.philgeps.gov.ph/GEPSNONPILOT/Tender/SplashBidNoticeAbstractUI.aspx?menuIndex=3&amp;refID=7075141&amp;Result=3","7075141")</f>
        <v>0</v>
      </c>
      <c r="B7982" t="s">
        <v>623</v>
      </c>
      <c r="C7982" t="s">
        <v>11133</v>
      </c>
      <c r="D7982" t="s">
        <v>18146</v>
      </c>
      <c r="E7982" t="s">
        <v>25218</v>
      </c>
      <c r="F7982" t="s">
        <v>31362</v>
      </c>
      <c r="G7982" t="s">
        <v>31369</v>
      </c>
      <c r="H7982" t="s">
        <v>31378</v>
      </c>
      <c r="I7982" t="s">
        <v>31386</v>
      </c>
      <c r="J7982" t="s">
        <v>36389</v>
      </c>
      <c r="K7982" t="s">
        <v>40683</v>
      </c>
      <c r="M7982" t="s">
        <v>41582</v>
      </c>
      <c r="N7982" t="s">
        <v>44905</v>
      </c>
      <c r="O7982" t="s">
        <v>44906</v>
      </c>
      <c r="P7982">
        <v>0</v>
      </c>
      <c r="Q7982">
        <v>0</v>
      </c>
      <c r="R7982" t="s">
        <v>44910</v>
      </c>
      <c r="S7982" t="s">
        <v>45076</v>
      </c>
      <c r="T7982" t="s">
        <v>46671</v>
      </c>
      <c r="U7982" t="s">
        <v>53358</v>
      </c>
      <c r="V7982" t="s">
        <v>59216</v>
      </c>
      <c r="W7982" t="s">
        <v>41582</v>
      </c>
      <c r="X7982" t="s">
        <v>44911</v>
      </c>
    </row>
    <row r="7983" spans="1:24">
      <c r="A7983">
        <f>HYPERLINK("https://www.philgeps.gov.ph/GEPSNONPILOT/Tender/SplashBidNoticeAbstractUI.aspx?menuIndex=3&amp;refID=7075092&amp;Result=3","7075092")</f>
        <v>0</v>
      </c>
      <c r="B7983" t="s">
        <v>908</v>
      </c>
      <c r="C7983" t="s">
        <v>11134</v>
      </c>
      <c r="D7983" t="s">
        <v>18155</v>
      </c>
      <c r="E7983" t="s">
        <v>25219</v>
      </c>
      <c r="F7983" t="s">
        <v>31362</v>
      </c>
      <c r="G7983" t="s">
        <v>31368</v>
      </c>
      <c r="H7983" t="s">
        <v>15799</v>
      </c>
      <c r="I7983" t="s">
        <v>31391</v>
      </c>
      <c r="J7983" t="s">
        <v>31723</v>
      </c>
      <c r="K7983" t="s">
        <v>40666</v>
      </c>
      <c r="M7983" t="s">
        <v>41979</v>
      </c>
      <c r="N7983" t="s">
        <v>44905</v>
      </c>
      <c r="O7983" t="s">
        <v>44906</v>
      </c>
      <c r="P7983">
        <v>0</v>
      </c>
      <c r="Q7983">
        <v>3</v>
      </c>
      <c r="R7983" t="s">
        <v>44910</v>
      </c>
      <c r="S7983" t="s">
        <v>45076</v>
      </c>
      <c r="T7983" t="s">
        <v>46467</v>
      </c>
      <c r="U7983" t="s">
        <v>53359</v>
      </c>
      <c r="W7983" t="s">
        <v>41979</v>
      </c>
      <c r="X7983" t="s">
        <v>44911</v>
      </c>
    </row>
    <row r="7984" spans="1:24">
      <c r="A7984">
        <f>HYPERLINK("https://www.philgeps.gov.ph/GEPSNONPILOT/Tender/SplashBidNoticeAbstractUI.aspx?menuIndex=3&amp;refID=7075138&amp;Result=3","7075138")</f>
        <v>0</v>
      </c>
      <c r="B7984" t="s">
        <v>2383</v>
      </c>
      <c r="C7984" t="s">
        <v>11135</v>
      </c>
      <c r="D7984" t="s">
        <v>18172</v>
      </c>
      <c r="E7984" t="s">
        <v>19844</v>
      </c>
      <c r="F7984" t="s">
        <v>31362</v>
      </c>
      <c r="G7984" t="s">
        <v>31369</v>
      </c>
      <c r="H7984" t="s">
        <v>15799</v>
      </c>
      <c r="I7984" t="s">
        <v>3815</v>
      </c>
      <c r="J7984" t="s">
        <v>36390</v>
      </c>
      <c r="K7984" t="s">
        <v>40666</v>
      </c>
      <c r="M7984" t="s">
        <v>43532</v>
      </c>
      <c r="N7984" t="s">
        <v>44905</v>
      </c>
      <c r="O7984" t="s">
        <v>44906</v>
      </c>
      <c r="Q7984">
        <v>0</v>
      </c>
      <c r="R7984" t="s">
        <v>44910</v>
      </c>
      <c r="S7984" t="s">
        <v>45111</v>
      </c>
      <c r="T7984" t="s">
        <v>46396</v>
      </c>
      <c r="U7984" t="s">
        <v>53360</v>
      </c>
      <c r="W7984" t="s">
        <v>43532</v>
      </c>
      <c r="X7984" t="s">
        <v>44911</v>
      </c>
    </row>
    <row r="7985" spans="1:24">
      <c r="A7985">
        <f>HYPERLINK("https://www.philgeps.gov.ph/GEPSNONPILOT/Tender/SplashBidNoticeAbstractUI.aspx?menuIndex=3&amp;refID=7075137&amp;Result=3","7075137")</f>
        <v>0</v>
      </c>
      <c r="B7985" t="s">
        <v>2384</v>
      </c>
      <c r="C7985" t="s">
        <v>11136</v>
      </c>
      <c r="D7985" t="s">
        <v>18104</v>
      </c>
      <c r="E7985" t="s">
        <v>25220</v>
      </c>
      <c r="F7985" t="s">
        <v>31363</v>
      </c>
      <c r="G7985" t="s">
        <v>31368</v>
      </c>
      <c r="H7985" t="s">
        <v>15799</v>
      </c>
      <c r="I7985" t="s">
        <v>6240</v>
      </c>
      <c r="J7985" t="s">
        <v>36391</v>
      </c>
      <c r="K7985" t="s">
        <v>40661</v>
      </c>
      <c r="M7985" t="s">
        <v>43533</v>
      </c>
      <c r="N7985" t="s">
        <v>44905</v>
      </c>
      <c r="O7985" t="s">
        <v>44906</v>
      </c>
      <c r="P7985">
        <v>0</v>
      </c>
      <c r="Q7985">
        <v>0</v>
      </c>
      <c r="R7985" t="s">
        <v>44910</v>
      </c>
      <c r="S7985" t="s">
        <v>45076</v>
      </c>
      <c r="T7985" t="s">
        <v>46416</v>
      </c>
      <c r="U7985" t="s">
        <v>53361</v>
      </c>
      <c r="W7985" t="s">
        <v>43533</v>
      </c>
      <c r="X7985" t="s">
        <v>44911</v>
      </c>
    </row>
    <row r="7986" spans="1:24">
      <c r="A7986">
        <f>HYPERLINK("https://www.philgeps.gov.ph/GEPSNONPILOT/Tender/SplashBidNoticeAbstractUI.aspx?menuIndex=3&amp;refID=7075136&amp;Result=3","7075136")</f>
        <v>0</v>
      </c>
      <c r="B7986" t="s">
        <v>682</v>
      </c>
      <c r="C7986" t="s">
        <v>11137</v>
      </c>
      <c r="E7986" t="s">
        <v>25221</v>
      </c>
      <c r="F7986" t="s">
        <v>31362</v>
      </c>
      <c r="G7986" t="s">
        <v>31368</v>
      </c>
      <c r="H7986" t="s">
        <v>15799</v>
      </c>
      <c r="I7986" t="s">
        <v>31393</v>
      </c>
      <c r="J7986" t="s">
        <v>31546</v>
      </c>
      <c r="K7986" t="s">
        <v>40670</v>
      </c>
      <c r="M7986" t="s">
        <v>41644</v>
      </c>
      <c r="N7986" t="s">
        <v>44905</v>
      </c>
      <c r="O7986" t="s">
        <v>44906</v>
      </c>
      <c r="P7986">
        <v>0</v>
      </c>
      <c r="Q7986">
        <v>3</v>
      </c>
      <c r="R7986" t="s">
        <v>44910</v>
      </c>
      <c r="S7986" t="s">
        <v>45076</v>
      </c>
      <c r="T7986" t="s">
        <v>46506</v>
      </c>
      <c r="U7986" t="s">
        <v>53362</v>
      </c>
      <c r="V7986" t="s">
        <v>59829</v>
      </c>
      <c r="W7986" t="s">
        <v>41644</v>
      </c>
      <c r="X7986" t="s">
        <v>44911</v>
      </c>
    </row>
    <row r="7987" spans="1:24">
      <c r="A7987">
        <f>HYPERLINK("https://www.philgeps.gov.ph/GEPSNONPILOT/Tender/SplashBidNoticeAbstractUI.aspx?menuIndex=3&amp;refID=7075134&amp;Result=3","7075134")</f>
        <v>0</v>
      </c>
      <c r="B7987" t="s">
        <v>321</v>
      </c>
      <c r="C7987" t="s">
        <v>11138</v>
      </c>
      <c r="D7987" t="s">
        <v>18114</v>
      </c>
      <c r="E7987" t="s">
        <v>25222</v>
      </c>
      <c r="F7987" t="s">
        <v>31362</v>
      </c>
      <c r="G7987" t="s">
        <v>31369</v>
      </c>
      <c r="H7987" t="s">
        <v>31379</v>
      </c>
      <c r="I7987" t="s">
        <v>31421</v>
      </c>
      <c r="J7987" t="s">
        <v>36392</v>
      </c>
      <c r="K7987" t="s">
        <v>40679</v>
      </c>
      <c r="M7987" t="s">
        <v>41267</v>
      </c>
      <c r="N7987" t="s">
        <v>44905</v>
      </c>
      <c r="O7987" t="s">
        <v>44906</v>
      </c>
      <c r="P7987">
        <v>0</v>
      </c>
      <c r="Q7987">
        <v>3</v>
      </c>
      <c r="R7987" t="s">
        <v>44910</v>
      </c>
      <c r="S7987" t="s">
        <v>45076</v>
      </c>
      <c r="T7987" t="s">
        <v>46511</v>
      </c>
      <c r="U7987" t="s">
        <v>47466</v>
      </c>
      <c r="V7987" t="s">
        <v>59148</v>
      </c>
      <c r="W7987" t="s">
        <v>41267</v>
      </c>
      <c r="X7987" t="s">
        <v>44911</v>
      </c>
    </row>
    <row r="7988" spans="1:24">
      <c r="A7988">
        <f>HYPERLINK("https://www.philgeps.gov.ph/GEPSNONPILOT/Tender/SplashBidNoticeAbstractUI.aspx?menuIndex=3&amp;refID=7075133&amp;Result=3","7075133")</f>
        <v>0</v>
      </c>
      <c r="B7988" t="s">
        <v>45</v>
      </c>
      <c r="C7988" t="s">
        <v>11139</v>
      </c>
      <c r="D7988" t="s">
        <v>18114</v>
      </c>
      <c r="E7988" t="s">
        <v>25223</v>
      </c>
      <c r="F7988" t="s">
        <v>31362</v>
      </c>
      <c r="G7988" t="s">
        <v>31369</v>
      </c>
      <c r="H7988" t="s">
        <v>15799</v>
      </c>
      <c r="I7988" t="s">
        <v>31450</v>
      </c>
      <c r="J7988" t="s">
        <v>36393</v>
      </c>
      <c r="K7988" t="s">
        <v>40665</v>
      </c>
      <c r="M7988" t="s">
        <v>41024</v>
      </c>
      <c r="N7988" t="s">
        <v>44905</v>
      </c>
      <c r="O7988" t="s">
        <v>44906</v>
      </c>
      <c r="P7988">
        <v>0</v>
      </c>
      <c r="Q7988">
        <v>2</v>
      </c>
      <c r="R7988" t="s">
        <v>44910</v>
      </c>
      <c r="S7988" t="s">
        <v>45076</v>
      </c>
      <c r="T7988" t="s">
        <v>46504</v>
      </c>
      <c r="U7988" t="s">
        <v>53232</v>
      </c>
      <c r="W7988" t="s">
        <v>41024</v>
      </c>
      <c r="X7988" t="s">
        <v>44911</v>
      </c>
    </row>
    <row r="7989" spans="1:24">
      <c r="A7989">
        <f>HYPERLINK("https://www.philgeps.gov.ph/GEPSNONPILOT/Tender/SplashBidNoticeAbstractUI.aspx?menuIndex=3&amp;refID=7075132&amp;Result=3","7075132")</f>
        <v>0</v>
      </c>
      <c r="B7989" t="s">
        <v>473</v>
      </c>
      <c r="C7989" t="s">
        <v>11140</v>
      </c>
      <c r="D7989" t="s">
        <v>18114</v>
      </c>
      <c r="E7989" t="s">
        <v>19977</v>
      </c>
      <c r="F7989" t="s">
        <v>31362</v>
      </c>
      <c r="G7989" t="s">
        <v>31368</v>
      </c>
      <c r="H7989" t="s">
        <v>15799</v>
      </c>
      <c r="I7989" t="s">
        <v>31390</v>
      </c>
      <c r="J7989" t="s">
        <v>31536</v>
      </c>
      <c r="K7989" t="s">
        <v>40672</v>
      </c>
      <c r="M7989" t="s">
        <v>43523</v>
      </c>
      <c r="N7989" t="s">
        <v>44905</v>
      </c>
      <c r="O7989" t="s">
        <v>44906</v>
      </c>
      <c r="P7989">
        <v>0</v>
      </c>
      <c r="Q7989">
        <v>15</v>
      </c>
      <c r="R7989" t="s">
        <v>44910</v>
      </c>
      <c r="S7989" t="s">
        <v>45076</v>
      </c>
      <c r="T7989" t="s">
        <v>46414</v>
      </c>
      <c r="U7989" t="s">
        <v>51712</v>
      </c>
      <c r="W7989" t="s">
        <v>43523</v>
      </c>
      <c r="X7989" t="s">
        <v>44911</v>
      </c>
    </row>
    <row r="7990" spans="1:24">
      <c r="A7990">
        <f>HYPERLINK("https://www.philgeps.gov.ph/GEPSNONPILOT/Tender/SplashBidNoticeAbstractUI.aspx?menuIndex=3&amp;refID=7075083&amp;Result=3","7075083")</f>
        <v>0</v>
      </c>
      <c r="B7990" t="s">
        <v>2385</v>
      </c>
      <c r="C7990" t="s">
        <v>11141</v>
      </c>
      <c r="D7990" t="s">
        <v>18114</v>
      </c>
      <c r="E7990" t="s">
        <v>25224</v>
      </c>
      <c r="F7990" t="s">
        <v>31362</v>
      </c>
      <c r="G7990" t="s">
        <v>31369</v>
      </c>
      <c r="H7990" t="s">
        <v>15799</v>
      </c>
      <c r="I7990" t="s">
        <v>31393</v>
      </c>
      <c r="J7990" t="s">
        <v>36394</v>
      </c>
      <c r="K7990" t="s">
        <v>40677</v>
      </c>
      <c r="M7990" t="s">
        <v>43534</v>
      </c>
      <c r="N7990" t="s">
        <v>44905</v>
      </c>
      <c r="O7990" t="s">
        <v>44906</v>
      </c>
      <c r="P7990">
        <v>0</v>
      </c>
      <c r="Q7990">
        <v>3</v>
      </c>
      <c r="R7990" t="s">
        <v>44910</v>
      </c>
      <c r="S7990" t="s">
        <v>45076</v>
      </c>
      <c r="T7990" t="s">
        <v>46392</v>
      </c>
      <c r="U7990" t="s">
        <v>53363</v>
      </c>
      <c r="W7990" t="s">
        <v>43534</v>
      </c>
      <c r="X7990" t="s">
        <v>44911</v>
      </c>
    </row>
    <row r="7991" spans="1:24">
      <c r="A7991">
        <f>HYPERLINK("https://www.philgeps.gov.ph/GEPSNONPILOT/Tender/SplashBidNoticeAbstractUI.aspx?menuIndex=3&amp;refID=7075128&amp;Result=3","7075128")</f>
        <v>0</v>
      </c>
      <c r="B7991" t="s">
        <v>257</v>
      </c>
      <c r="C7991" t="s">
        <v>11142</v>
      </c>
      <c r="D7991" t="s">
        <v>18104</v>
      </c>
      <c r="E7991" t="s">
        <v>25225</v>
      </c>
      <c r="F7991" t="s">
        <v>31362</v>
      </c>
      <c r="G7991" t="s">
        <v>31372</v>
      </c>
      <c r="H7991" t="s">
        <v>15799</v>
      </c>
      <c r="I7991" t="s">
        <v>31404</v>
      </c>
      <c r="J7991" t="s">
        <v>36395</v>
      </c>
      <c r="K7991" t="s">
        <v>40679</v>
      </c>
      <c r="M7991" t="s">
        <v>41198</v>
      </c>
      <c r="N7991" t="s">
        <v>44905</v>
      </c>
      <c r="O7991" t="s">
        <v>44906</v>
      </c>
      <c r="P7991">
        <v>0</v>
      </c>
      <c r="Q7991">
        <v>0</v>
      </c>
      <c r="R7991" t="s">
        <v>44910</v>
      </c>
      <c r="S7991" t="s">
        <v>45076</v>
      </c>
      <c r="T7991" t="s">
        <v>46426</v>
      </c>
      <c r="U7991" t="s">
        <v>53364</v>
      </c>
      <c r="W7991" t="s">
        <v>41198</v>
      </c>
      <c r="X7991" t="s">
        <v>44911</v>
      </c>
    </row>
    <row r="7992" spans="1:24">
      <c r="A7992">
        <f>HYPERLINK("https://www.philgeps.gov.ph/GEPSNONPILOT/Tender/SplashBidNoticeAbstractUI.aspx?menuIndex=3&amp;refID=7075148&amp;Result=3","7075148")</f>
        <v>0</v>
      </c>
      <c r="B7992" t="s">
        <v>2358</v>
      </c>
      <c r="C7992" t="s">
        <v>11143</v>
      </c>
      <c r="D7992" t="s">
        <v>18153</v>
      </c>
      <c r="E7992" t="s">
        <v>25226</v>
      </c>
      <c r="F7992" t="s">
        <v>31362</v>
      </c>
      <c r="G7992" t="s">
        <v>31368</v>
      </c>
      <c r="H7992" t="s">
        <v>15799</v>
      </c>
      <c r="I7992" t="s">
        <v>31433</v>
      </c>
      <c r="J7992" t="s">
        <v>31545</v>
      </c>
      <c r="K7992" t="s">
        <v>40661</v>
      </c>
      <c r="M7992" t="s">
        <v>43503</v>
      </c>
      <c r="N7992" t="s">
        <v>44905</v>
      </c>
      <c r="O7992" t="s">
        <v>44906</v>
      </c>
      <c r="P7992">
        <v>0</v>
      </c>
      <c r="Q7992">
        <v>0</v>
      </c>
      <c r="R7992" t="s">
        <v>44910</v>
      </c>
      <c r="S7992" t="s">
        <v>45076</v>
      </c>
      <c r="T7992" t="s">
        <v>46410</v>
      </c>
      <c r="U7992" t="s">
        <v>53365</v>
      </c>
      <c r="W7992" t="s">
        <v>43503</v>
      </c>
      <c r="X7992" t="s">
        <v>44911</v>
      </c>
    </row>
    <row r="7993" spans="1:24">
      <c r="A7993">
        <f>HYPERLINK("https://www.philgeps.gov.ph/GEPSNONPILOT/Tender/SplashBidNoticeAbstractUI.aspx?menuIndex=3&amp;refID=7075124&amp;Result=3","7075124")</f>
        <v>0</v>
      </c>
      <c r="B7993" t="s">
        <v>820</v>
      </c>
      <c r="C7993" t="s">
        <v>11144</v>
      </c>
      <c r="D7993" t="s">
        <v>18100</v>
      </c>
      <c r="E7993" t="s">
        <v>25227</v>
      </c>
      <c r="F7993" t="s">
        <v>31362</v>
      </c>
      <c r="G7993" t="s">
        <v>31369</v>
      </c>
      <c r="H7993" t="s">
        <v>15799</v>
      </c>
      <c r="I7993" t="s">
        <v>31406</v>
      </c>
      <c r="J7993" t="s">
        <v>36396</v>
      </c>
      <c r="K7993" t="s">
        <v>40666</v>
      </c>
      <c r="M7993" t="s">
        <v>41793</v>
      </c>
      <c r="N7993" t="s">
        <v>44905</v>
      </c>
      <c r="O7993" t="s">
        <v>44906</v>
      </c>
      <c r="P7993">
        <v>0</v>
      </c>
      <c r="Q7993">
        <v>3</v>
      </c>
      <c r="R7993" t="s">
        <v>44910</v>
      </c>
      <c r="S7993" t="s">
        <v>45076</v>
      </c>
      <c r="T7993" t="s">
        <v>46503</v>
      </c>
      <c r="U7993" t="s">
        <v>51646</v>
      </c>
      <c r="W7993" t="s">
        <v>41793</v>
      </c>
      <c r="X7993" t="s">
        <v>44911</v>
      </c>
    </row>
    <row r="7994" spans="1:24">
      <c r="A7994">
        <f>HYPERLINK("https://www.philgeps.gov.ph/GEPSNONPILOT/Tender/SplashBidNoticeAbstractUI.aspx?menuIndex=3&amp;refID=7075123&amp;Result=3","7075123")</f>
        <v>0</v>
      </c>
      <c r="B7994" t="s">
        <v>2300</v>
      </c>
      <c r="C7994" t="s">
        <v>11145</v>
      </c>
      <c r="D7994" t="s">
        <v>18148</v>
      </c>
      <c r="E7994" t="s">
        <v>25228</v>
      </c>
      <c r="F7994" t="s">
        <v>31362</v>
      </c>
      <c r="G7994" t="s">
        <v>31370</v>
      </c>
      <c r="H7994" t="s">
        <v>15799</v>
      </c>
      <c r="I7994" t="s">
        <v>31392</v>
      </c>
      <c r="J7994" t="s">
        <v>32278</v>
      </c>
      <c r="K7994" t="s">
        <v>40665</v>
      </c>
      <c r="M7994" t="s">
        <v>43515</v>
      </c>
      <c r="N7994" t="s">
        <v>44905</v>
      </c>
      <c r="O7994" t="s">
        <v>44906</v>
      </c>
      <c r="P7994">
        <v>0</v>
      </c>
      <c r="Q7994">
        <v>12</v>
      </c>
      <c r="R7994" t="s">
        <v>44910</v>
      </c>
      <c r="S7994" t="s">
        <v>45076</v>
      </c>
      <c r="T7994" t="s">
        <v>46692</v>
      </c>
      <c r="U7994" t="s">
        <v>53117</v>
      </c>
      <c r="W7994" t="s">
        <v>43515</v>
      </c>
      <c r="X7994" t="s">
        <v>44911</v>
      </c>
    </row>
    <row r="7995" spans="1:24">
      <c r="A7995">
        <f>HYPERLINK("https://www.philgeps.gov.ph/GEPSNONPILOT/Tender/SplashBidNoticeAbstractUI.aspx?menuIndex=3&amp;refID=7075034&amp;Result=3","7075034")</f>
        <v>0</v>
      </c>
      <c r="B7995" t="s">
        <v>622</v>
      </c>
      <c r="C7995" t="s">
        <v>6931</v>
      </c>
      <c r="D7995" t="s">
        <v>18108</v>
      </c>
      <c r="E7995" t="s">
        <v>25229</v>
      </c>
      <c r="F7995" t="s">
        <v>31362</v>
      </c>
      <c r="G7995" t="s">
        <v>31368</v>
      </c>
      <c r="H7995" t="s">
        <v>15799</v>
      </c>
      <c r="I7995" t="s">
        <v>31393</v>
      </c>
      <c r="J7995" t="s">
        <v>36397</v>
      </c>
      <c r="K7995" t="s">
        <v>40665</v>
      </c>
      <c r="M7995" t="s">
        <v>41581</v>
      </c>
      <c r="N7995" t="s">
        <v>44905</v>
      </c>
      <c r="O7995" t="s">
        <v>44906</v>
      </c>
      <c r="P7995">
        <v>0</v>
      </c>
      <c r="Q7995">
        <v>25</v>
      </c>
      <c r="R7995" t="s">
        <v>44910</v>
      </c>
      <c r="S7995" t="s">
        <v>45076</v>
      </c>
      <c r="T7995" t="s">
        <v>46412</v>
      </c>
      <c r="U7995" t="s">
        <v>48113</v>
      </c>
      <c r="W7995" t="s">
        <v>41581</v>
      </c>
      <c r="X7995" t="s">
        <v>44911</v>
      </c>
    </row>
    <row r="7996" spans="1:24">
      <c r="A7996">
        <f>HYPERLINK("https://www.philgeps.gov.ph/GEPSNONPILOT/Tender/SplashBidNoticeAbstractUI.aspx?menuIndex=3&amp;refID=7075135&amp;Result=3","7075135")</f>
        <v>0</v>
      </c>
      <c r="B7996" t="s">
        <v>2378</v>
      </c>
      <c r="C7996" t="s">
        <v>11146</v>
      </c>
      <c r="D7996" t="s">
        <v>18102</v>
      </c>
      <c r="E7996" t="s">
        <v>24865</v>
      </c>
      <c r="F7996" t="s">
        <v>31362</v>
      </c>
      <c r="G7996" t="s">
        <v>31369</v>
      </c>
      <c r="H7996" t="s">
        <v>31378</v>
      </c>
      <c r="I7996" t="s">
        <v>31386</v>
      </c>
      <c r="J7996" t="s">
        <v>31641</v>
      </c>
      <c r="K7996" t="s">
        <v>40665</v>
      </c>
      <c r="M7996" t="s">
        <v>43526</v>
      </c>
      <c r="N7996" t="s">
        <v>44905</v>
      </c>
      <c r="O7996" t="s">
        <v>44906</v>
      </c>
      <c r="P7996">
        <v>0</v>
      </c>
      <c r="Q7996">
        <v>0</v>
      </c>
      <c r="R7996" t="s">
        <v>44910</v>
      </c>
      <c r="S7996" t="s">
        <v>45076</v>
      </c>
      <c r="T7996" t="s">
        <v>46585</v>
      </c>
      <c r="U7996" t="s">
        <v>53366</v>
      </c>
      <c r="W7996" t="s">
        <v>43526</v>
      </c>
      <c r="X7996" t="s">
        <v>44911</v>
      </c>
    </row>
    <row r="7997" spans="1:24">
      <c r="A7997">
        <f>HYPERLINK("https://www.philgeps.gov.ph/GEPSNONPILOT/Tender/SplashBidNoticeAbstractUI.aspx?menuIndex=3&amp;refID=7075156&amp;Result=3","7075156")</f>
        <v>0</v>
      </c>
      <c r="B7997" t="s">
        <v>2300</v>
      </c>
      <c r="C7997" t="s">
        <v>11147</v>
      </c>
      <c r="D7997" t="s">
        <v>18158</v>
      </c>
      <c r="E7997" t="s">
        <v>25230</v>
      </c>
      <c r="F7997" t="s">
        <v>31362</v>
      </c>
      <c r="G7997" t="s">
        <v>31370</v>
      </c>
      <c r="H7997" t="s">
        <v>15799</v>
      </c>
      <c r="I7997" t="s">
        <v>7090</v>
      </c>
      <c r="J7997" t="s">
        <v>36398</v>
      </c>
      <c r="K7997" t="s">
        <v>40665</v>
      </c>
      <c r="M7997" t="s">
        <v>43515</v>
      </c>
      <c r="N7997" t="s">
        <v>44905</v>
      </c>
      <c r="O7997" t="s">
        <v>44906</v>
      </c>
      <c r="P7997">
        <v>0</v>
      </c>
      <c r="Q7997">
        <v>7</v>
      </c>
      <c r="R7997" t="s">
        <v>44910</v>
      </c>
      <c r="S7997" t="s">
        <v>45076</v>
      </c>
      <c r="T7997" t="s">
        <v>46692</v>
      </c>
      <c r="U7997" t="s">
        <v>53117</v>
      </c>
      <c r="W7997" t="s">
        <v>43515</v>
      </c>
      <c r="X7997" t="s">
        <v>44911</v>
      </c>
    </row>
    <row r="7998" spans="1:24">
      <c r="A7998">
        <f>HYPERLINK("https://www.philgeps.gov.ph/GEPSNONPILOT/Tender/SplashBidNoticeAbstractUI.aspx?menuIndex=3&amp;refID=7075140&amp;Result=3","7075140")</f>
        <v>0</v>
      </c>
      <c r="B7998" t="s">
        <v>347</v>
      </c>
      <c r="C7998" t="s">
        <v>11148</v>
      </c>
      <c r="D7998" t="s">
        <v>18120</v>
      </c>
      <c r="E7998" t="s">
        <v>24557</v>
      </c>
      <c r="F7998" t="s">
        <v>31362</v>
      </c>
      <c r="G7998" t="s">
        <v>31369</v>
      </c>
      <c r="H7998" t="s">
        <v>15799</v>
      </c>
      <c r="I7998" t="s">
        <v>3815</v>
      </c>
      <c r="J7998" t="s">
        <v>36399</v>
      </c>
      <c r="K7998" t="s">
        <v>40666</v>
      </c>
      <c r="M7998" t="s">
        <v>41293</v>
      </c>
      <c r="N7998" t="s">
        <v>44905</v>
      </c>
      <c r="O7998" t="s">
        <v>44906</v>
      </c>
      <c r="P7998">
        <v>0</v>
      </c>
      <c r="Q7998">
        <v>2</v>
      </c>
      <c r="R7998" t="s">
        <v>44910</v>
      </c>
      <c r="S7998" t="s">
        <v>45076</v>
      </c>
      <c r="T7998" t="s">
        <v>46607</v>
      </c>
      <c r="U7998" t="s">
        <v>53367</v>
      </c>
      <c r="W7998" t="s">
        <v>41293</v>
      </c>
      <c r="X7998" t="s">
        <v>44911</v>
      </c>
    </row>
    <row r="7999" spans="1:24">
      <c r="A7999">
        <f>HYPERLINK("https://www.philgeps.gov.ph/GEPSNONPILOT/Tender/SplashBidNoticeAbstractUI.aspx?menuIndex=3&amp;refID=7075184&amp;Result=3","7075184")</f>
        <v>0</v>
      </c>
      <c r="B7999" t="s">
        <v>2377</v>
      </c>
      <c r="C7999" t="s">
        <v>11149</v>
      </c>
      <c r="D7999" t="s">
        <v>18119</v>
      </c>
      <c r="E7999" t="s">
        <v>25231</v>
      </c>
      <c r="F7999" t="s">
        <v>31362</v>
      </c>
      <c r="G7999" t="s">
        <v>31369</v>
      </c>
      <c r="H7999" t="s">
        <v>31377</v>
      </c>
      <c r="I7999" t="s">
        <v>31377</v>
      </c>
      <c r="J7999" t="s">
        <v>33680</v>
      </c>
      <c r="K7999" t="s">
        <v>40682</v>
      </c>
      <c r="M7999" t="s">
        <v>43525</v>
      </c>
      <c r="N7999" t="s">
        <v>44905</v>
      </c>
      <c r="O7999" t="s">
        <v>44906</v>
      </c>
      <c r="P7999">
        <v>0</v>
      </c>
      <c r="Q7999">
        <v>6</v>
      </c>
      <c r="R7999" t="s">
        <v>44910</v>
      </c>
      <c r="S7999" t="s">
        <v>45076</v>
      </c>
      <c r="T7999" t="s">
        <v>46435</v>
      </c>
      <c r="U7999" t="s">
        <v>53368</v>
      </c>
      <c r="W7999" t="s">
        <v>43525</v>
      </c>
      <c r="X7999" t="s">
        <v>44911</v>
      </c>
    </row>
    <row r="8000" spans="1:24">
      <c r="A8000">
        <f>HYPERLINK("https://www.philgeps.gov.ph/GEPSNONPILOT/Tender/SplashBidNoticeAbstractUI.aspx?menuIndex=3&amp;refID=7075179&amp;Result=3","7075179")</f>
        <v>0</v>
      </c>
      <c r="B8000" t="s">
        <v>795</v>
      </c>
      <c r="C8000" t="s">
        <v>11150</v>
      </c>
      <c r="D8000" t="s">
        <v>18138</v>
      </c>
      <c r="E8000" t="s">
        <v>25232</v>
      </c>
      <c r="F8000" t="s">
        <v>31362</v>
      </c>
      <c r="G8000" t="s">
        <v>31369</v>
      </c>
      <c r="H8000" t="s">
        <v>15799</v>
      </c>
      <c r="I8000" t="s">
        <v>31455</v>
      </c>
      <c r="J8000" t="s">
        <v>36400</v>
      </c>
      <c r="K8000" t="s">
        <v>40666</v>
      </c>
      <c r="M8000" t="s">
        <v>41765</v>
      </c>
      <c r="N8000" t="s">
        <v>44905</v>
      </c>
      <c r="O8000" t="s">
        <v>44906</v>
      </c>
      <c r="P8000">
        <v>0</v>
      </c>
      <c r="Q8000">
        <v>1</v>
      </c>
      <c r="R8000" t="s">
        <v>44910</v>
      </c>
      <c r="S8000" t="s">
        <v>45076</v>
      </c>
      <c r="T8000" t="s">
        <v>46426</v>
      </c>
      <c r="U8000" t="s">
        <v>53369</v>
      </c>
      <c r="W8000" t="s">
        <v>41765</v>
      </c>
      <c r="X8000" t="s">
        <v>44911</v>
      </c>
    </row>
    <row r="8001" spans="1:24">
      <c r="A8001">
        <f>HYPERLINK("https://www.philgeps.gov.ph/GEPSNONPILOT/Tender/SplashBidNoticeAbstractUI.aspx?menuIndex=3&amp;refID=7075178&amp;Result=3","7075178")</f>
        <v>0</v>
      </c>
      <c r="B8001" t="s">
        <v>2386</v>
      </c>
      <c r="C8001" t="s">
        <v>11151</v>
      </c>
      <c r="D8001" t="s">
        <v>18110</v>
      </c>
      <c r="E8001" t="s">
        <v>25233</v>
      </c>
      <c r="F8001" t="s">
        <v>31362</v>
      </c>
      <c r="G8001" t="s">
        <v>31369</v>
      </c>
      <c r="H8001" t="s">
        <v>31378</v>
      </c>
      <c r="I8001" t="s">
        <v>31386</v>
      </c>
      <c r="J8001" t="s">
        <v>31765</v>
      </c>
      <c r="K8001" t="s">
        <v>40724</v>
      </c>
      <c r="M8001" t="s">
        <v>43535</v>
      </c>
      <c r="N8001" t="s">
        <v>44905</v>
      </c>
      <c r="O8001" t="s">
        <v>44906</v>
      </c>
      <c r="P8001">
        <v>0</v>
      </c>
      <c r="Q8001">
        <v>0</v>
      </c>
      <c r="R8001" t="s">
        <v>44910</v>
      </c>
      <c r="S8001" t="s">
        <v>45076</v>
      </c>
      <c r="T8001" t="s">
        <v>46446</v>
      </c>
      <c r="U8001" t="s">
        <v>53370</v>
      </c>
      <c r="W8001" t="s">
        <v>43535</v>
      </c>
      <c r="X8001" t="s">
        <v>44911</v>
      </c>
    </row>
    <row r="8002" spans="1:24">
      <c r="A8002">
        <f>HYPERLINK("https://www.philgeps.gov.ph/GEPSNONPILOT/Tender/SplashBidNoticeAbstractUI.aspx?menuIndex=3&amp;refID=7075158&amp;Result=3","7075158")</f>
        <v>0</v>
      </c>
      <c r="B8002" t="s">
        <v>622</v>
      </c>
      <c r="C8002" t="s">
        <v>11064</v>
      </c>
      <c r="D8002" t="s">
        <v>18108</v>
      </c>
      <c r="E8002" t="s">
        <v>25234</v>
      </c>
      <c r="F8002" t="s">
        <v>31362</v>
      </c>
      <c r="G8002" t="s">
        <v>31371</v>
      </c>
      <c r="H8002" t="s">
        <v>15799</v>
      </c>
      <c r="I8002" t="s">
        <v>31393</v>
      </c>
      <c r="J8002" t="s">
        <v>36401</v>
      </c>
      <c r="K8002" t="s">
        <v>40666</v>
      </c>
      <c r="M8002" t="s">
        <v>41581</v>
      </c>
      <c r="N8002" t="s">
        <v>44905</v>
      </c>
      <c r="O8002" t="s">
        <v>44906</v>
      </c>
      <c r="P8002">
        <v>0</v>
      </c>
      <c r="Q8002">
        <v>17</v>
      </c>
      <c r="R8002" t="s">
        <v>44910</v>
      </c>
      <c r="S8002" t="s">
        <v>45076</v>
      </c>
      <c r="T8002" t="s">
        <v>46412</v>
      </c>
      <c r="U8002" t="s">
        <v>48113</v>
      </c>
      <c r="W8002" t="s">
        <v>41581</v>
      </c>
      <c r="X8002" t="s">
        <v>44911</v>
      </c>
    </row>
    <row r="8003" spans="1:24">
      <c r="A8003">
        <f>HYPERLINK("https://www.philgeps.gov.ph/GEPSNONPILOT/Tender/SplashBidNoticeAbstractUI.aspx?menuIndex=3&amp;refID=7075074&amp;Result=3","7075074")</f>
        <v>0</v>
      </c>
      <c r="B8003" t="s">
        <v>2387</v>
      </c>
      <c r="C8003" t="s">
        <v>11152</v>
      </c>
      <c r="E8003" t="s">
        <v>25235</v>
      </c>
      <c r="F8003" t="s">
        <v>31362</v>
      </c>
      <c r="G8003" t="s">
        <v>31369</v>
      </c>
      <c r="H8003" t="s">
        <v>15799</v>
      </c>
      <c r="I8003" t="s">
        <v>31413</v>
      </c>
      <c r="J8003" t="s">
        <v>36402</v>
      </c>
      <c r="K8003" t="s">
        <v>40686</v>
      </c>
      <c r="M8003" t="s">
        <v>43536</v>
      </c>
      <c r="N8003" t="s">
        <v>44905</v>
      </c>
      <c r="O8003" t="s">
        <v>44906</v>
      </c>
      <c r="P8003">
        <v>0</v>
      </c>
      <c r="Q8003">
        <v>2</v>
      </c>
      <c r="R8003" t="s">
        <v>44910</v>
      </c>
      <c r="S8003" t="s">
        <v>45076</v>
      </c>
      <c r="T8003" t="s">
        <v>46769</v>
      </c>
      <c r="U8003" t="s">
        <v>53371</v>
      </c>
      <c r="W8003" t="s">
        <v>60931</v>
      </c>
      <c r="X8003" t="s">
        <v>44911</v>
      </c>
    </row>
    <row r="8004" spans="1:24">
      <c r="A8004">
        <f>HYPERLINK("https://www.philgeps.gov.ph/GEPSNONPILOT/Tender/SplashBidNoticeAbstractUI.aspx?menuIndex=3&amp;refID=7075175&amp;Result=3","7075175")</f>
        <v>0</v>
      </c>
      <c r="B8004" t="s">
        <v>2385</v>
      </c>
      <c r="C8004" t="s">
        <v>11153</v>
      </c>
      <c r="D8004" t="s">
        <v>18114</v>
      </c>
      <c r="E8004" t="s">
        <v>25236</v>
      </c>
      <c r="F8004" t="s">
        <v>31362</v>
      </c>
      <c r="G8004" t="s">
        <v>31369</v>
      </c>
      <c r="H8004" t="s">
        <v>15799</v>
      </c>
      <c r="I8004" t="s">
        <v>31393</v>
      </c>
      <c r="J8004" t="s">
        <v>33915</v>
      </c>
      <c r="K8004" t="s">
        <v>40677</v>
      </c>
      <c r="M8004" t="s">
        <v>43534</v>
      </c>
      <c r="N8004" t="s">
        <v>44905</v>
      </c>
      <c r="O8004" t="s">
        <v>44906</v>
      </c>
      <c r="P8004">
        <v>0</v>
      </c>
      <c r="Q8004">
        <v>0</v>
      </c>
      <c r="R8004" t="s">
        <v>44910</v>
      </c>
      <c r="S8004" t="s">
        <v>45076</v>
      </c>
      <c r="T8004" t="s">
        <v>46416</v>
      </c>
      <c r="U8004" t="s">
        <v>53372</v>
      </c>
      <c r="W8004" t="s">
        <v>43534</v>
      </c>
      <c r="X8004" t="s">
        <v>44911</v>
      </c>
    </row>
    <row r="8005" spans="1:24">
      <c r="A8005">
        <f>HYPERLINK("https://www.philgeps.gov.ph/GEPSNONPILOT/Tender/SplashBidNoticeAbstractUI.aspx?menuIndex=3&amp;refID=7075181&amp;Result=3","7075181")</f>
        <v>0</v>
      </c>
      <c r="B8005" t="s">
        <v>514</v>
      </c>
      <c r="C8005" t="s">
        <v>11154</v>
      </c>
      <c r="E8005" t="s">
        <v>25237</v>
      </c>
      <c r="F8005" t="s">
        <v>31362</v>
      </c>
      <c r="G8005" t="s">
        <v>31369</v>
      </c>
      <c r="H8005" t="s">
        <v>31378</v>
      </c>
      <c r="I8005" t="s">
        <v>31386</v>
      </c>
      <c r="J8005" t="s">
        <v>36403</v>
      </c>
      <c r="K8005" t="s">
        <v>40662</v>
      </c>
      <c r="M8005" t="s">
        <v>41469</v>
      </c>
      <c r="N8005" t="s">
        <v>44905</v>
      </c>
      <c r="O8005" t="s">
        <v>44906</v>
      </c>
      <c r="Q8005">
        <v>6</v>
      </c>
      <c r="R8005" t="s">
        <v>44910</v>
      </c>
      <c r="S8005" t="s">
        <v>45112</v>
      </c>
      <c r="T8005" t="s">
        <v>46419</v>
      </c>
      <c r="U8005" t="s">
        <v>53373</v>
      </c>
      <c r="W8005" t="s">
        <v>60866</v>
      </c>
      <c r="X8005" t="s">
        <v>44911</v>
      </c>
    </row>
    <row r="8006" spans="1:24">
      <c r="A8006">
        <f>HYPERLINK("https://www.philgeps.gov.ph/GEPSNONPILOT/Tender/SplashBidNoticeAbstractUI.aspx?menuIndex=3&amp;refID=7075169&amp;Result=3","7075169")</f>
        <v>0</v>
      </c>
      <c r="B8006" t="s">
        <v>831</v>
      </c>
      <c r="C8006" t="s">
        <v>11155</v>
      </c>
      <c r="D8006" t="s">
        <v>18108</v>
      </c>
      <c r="E8006" t="s">
        <v>25238</v>
      </c>
      <c r="F8006" t="s">
        <v>31362</v>
      </c>
      <c r="G8006" t="s">
        <v>31369</v>
      </c>
      <c r="H8006" t="s">
        <v>15799</v>
      </c>
      <c r="I8006" t="s">
        <v>7090</v>
      </c>
      <c r="J8006" t="s">
        <v>36404</v>
      </c>
      <c r="K8006" t="s">
        <v>40666</v>
      </c>
      <c r="M8006" t="s">
        <v>42635</v>
      </c>
      <c r="N8006" t="s">
        <v>44905</v>
      </c>
      <c r="O8006" t="s">
        <v>44906</v>
      </c>
      <c r="P8006">
        <v>0</v>
      </c>
      <c r="Q8006">
        <v>0</v>
      </c>
      <c r="R8006" t="s">
        <v>44910</v>
      </c>
      <c r="S8006" t="s">
        <v>45076</v>
      </c>
      <c r="T8006" t="s">
        <v>46393</v>
      </c>
      <c r="U8006" t="s">
        <v>48635</v>
      </c>
      <c r="W8006" t="s">
        <v>42635</v>
      </c>
      <c r="X8006" t="s">
        <v>44911</v>
      </c>
    </row>
    <row r="8007" spans="1:24">
      <c r="A8007">
        <f>HYPERLINK("https://www.philgeps.gov.ph/GEPSNONPILOT/Tender/SplashBidNoticeAbstractUI.aspx?menuIndex=3&amp;refID=7075185&amp;Result=3","7075185")</f>
        <v>0</v>
      </c>
      <c r="B8007" t="s">
        <v>2276</v>
      </c>
      <c r="C8007" t="s">
        <v>11156</v>
      </c>
      <c r="D8007" t="s">
        <v>18132</v>
      </c>
      <c r="E8007" t="s">
        <v>25239</v>
      </c>
      <c r="F8007" t="s">
        <v>31362</v>
      </c>
      <c r="G8007" t="s">
        <v>31369</v>
      </c>
      <c r="H8007" t="s">
        <v>31378</v>
      </c>
      <c r="I8007" t="s">
        <v>31386</v>
      </c>
      <c r="J8007" t="s">
        <v>36405</v>
      </c>
      <c r="K8007" t="s">
        <v>40679</v>
      </c>
      <c r="M8007" t="s">
        <v>43415</v>
      </c>
      <c r="N8007" t="s">
        <v>44905</v>
      </c>
      <c r="O8007" t="s">
        <v>44906</v>
      </c>
      <c r="P8007">
        <v>0</v>
      </c>
      <c r="Q8007">
        <v>0</v>
      </c>
      <c r="R8007" t="s">
        <v>44910</v>
      </c>
      <c r="S8007" t="s">
        <v>45076</v>
      </c>
      <c r="T8007" t="s">
        <v>46696</v>
      </c>
      <c r="U8007" t="s">
        <v>53031</v>
      </c>
      <c r="W8007" t="s">
        <v>43415</v>
      </c>
      <c r="X8007" t="s">
        <v>44911</v>
      </c>
    </row>
    <row r="8008" spans="1:24">
      <c r="A8008">
        <f>HYPERLINK("https://www.philgeps.gov.ph/GEPSNONPILOT/Tender/SplashBidNoticeAbstractUI.aspx?menuIndex=3&amp;refID=7075193&amp;Result=3","7075193")</f>
        <v>0</v>
      </c>
      <c r="B8008" t="s">
        <v>622</v>
      </c>
      <c r="C8008" t="s">
        <v>11157</v>
      </c>
      <c r="D8008" t="s">
        <v>18108</v>
      </c>
      <c r="E8008" t="s">
        <v>25240</v>
      </c>
      <c r="F8008" t="s">
        <v>31362</v>
      </c>
      <c r="G8008" t="s">
        <v>31368</v>
      </c>
      <c r="H8008" t="s">
        <v>15799</v>
      </c>
      <c r="I8008" t="s">
        <v>31470</v>
      </c>
      <c r="J8008" t="s">
        <v>36406</v>
      </c>
      <c r="K8008" t="s">
        <v>40666</v>
      </c>
      <c r="M8008" t="s">
        <v>41581</v>
      </c>
      <c r="N8008" t="s">
        <v>44905</v>
      </c>
      <c r="O8008" t="s">
        <v>44906</v>
      </c>
      <c r="P8008">
        <v>0</v>
      </c>
      <c r="Q8008">
        <v>9</v>
      </c>
      <c r="R8008" t="s">
        <v>44910</v>
      </c>
      <c r="S8008" t="s">
        <v>45076</v>
      </c>
      <c r="T8008" t="s">
        <v>46412</v>
      </c>
      <c r="U8008" t="s">
        <v>48113</v>
      </c>
      <c r="W8008" t="s">
        <v>41581</v>
      </c>
      <c r="X8008" t="s">
        <v>44911</v>
      </c>
    </row>
    <row r="8009" spans="1:24">
      <c r="A8009">
        <f>HYPERLINK("https://www.philgeps.gov.ph/GEPSNONPILOT/Tender/SplashBidNoticeAbstractUI.aspx?menuIndex=3&amp;refID=7075190&amp;Result=3","7075190")</f>
        <v>0</v>
      </c>
      <c r="B8009" t="s">
        <v>2388</v>
      </c>
      <c r="C8009" t="s">
        <v>6247</v>
      </c>
      <c r="D8009" t="s">
        <v>18131</v>
      </c>
      <c r="E8009" t="s">
        <v>25241</v>
      </c>
      <c r="F8009" t="s">
        <v>31362</v>
      </c>
      <c r="G8009" t="s">
        <v>31372</v>
      </c>
      <c r="H8009" t="s">
        <v>31378</v>
      </c>
      <c r="I8009" t="s">
        <v>31386</v>
      </c>
      <c r="J8009" t="s">
        <v>31531</v>
      </c>
      <c r="K8009" t="s">
        <v>40662</v>
      </c>
      <c r="M8009" t="s">
        <v>43537</v>
      </c>
      <c r="N8009" t="s">
        <v>44905</v>
      </c>
      <c r="O8009" t="s">
        <v>44906</v>
      </c>
      <c r="P8009">
        <v>0</v>
      </c>
      <c r="Q8009">
        <v>1</v>
      </c>
      <c r="R8009" t="s">
        <v>44910</v>
      </c>
      <c r="S8009" t="s">
        <v>45076</v>
      </c>
      <c r="T8009" t="s">
        <v>46438</v>
      </c>
      <c r="U8009" t="s">
        <v>53374</v>
      </c>
      <c r="W8009" t="s">
        <v>43537</v>
      </c>
      <c r="X8009" t="s">
        <v>44911</v>
      </c>
    </row>
    <row r="8010" spans="1:24">
      <c r="A8010">
        <f>HYPERLINK("https://www.philgeps.gov.ph/GEPSNONPILOT/Tender/SplashBidNoticeAbstractUI.aspx?menuIndex=3&amp;refID=7075198&amp;Result=3","7075198")</f>
        <v>0</v>
      </c>
      <c r="B8010" t="s">
        <v>2379</v>
      </c>
      <c r="C8010" t="s">
        <v>11158</v>
      </c>
      <c r="D8010" t="s">
        <v>18146</v>
      </c>
      <c r="E8010" t="s">
        <v>25242</v>
      </c>
      <c r="F8010" t="s">
        <v>31362</v>
      </c>
      <c r="G8010" t="s">
        <v>31369</v>
      </c>
      <c r="H8010" t="s">
        <v>31378</v>
      </c>
      <c r="I8010" t="s">
        <v>31386</v>
      </c>
      <c r="J8010" t="s">
        <v>31536</v>
      </c>
      <c r="K8010" t="s">
        <v>40666</v>
      </c>
      <c r="M8010" t="s">
        <v>43527</v>
      </c>
      <c r="N8010" t="s">
        <v>44905</v>
      </c>
      <c r="O8010" t="s">
        <v>44906</v>
      </c>
      <c r="P8010">
        <v>0</v>
      </c>
      <c r="Q8010">
        <v>0</v>
      </c>
      <c r="R8010" t="s">
        <v>44910</v>
      </c>
      <c r="S8010" t="s">
        <v>45076</v>
      </c>
      <c r="T8010" t="s">
        <v>46467</v>
      </c>
      <c r="U8010" t="s">
        <v>53375</v>
      </c>
      <c r="W8010" t="s">
        <v>43527</v>
      </c>
      <c r="X8010" t="s">
        <v>44911</v>
      </c>
    </row>
    <row r="8011" spans="1:24">
      <c r="A8011">
        <f>HYPERLINK("https://www.philgeps.gov.ph/GEPSNONPILOT/Tender/SplashBidNoticeAbstractUI.aspx?menuIndex=3&amp;refID=7075196&amp;Result=3","7075196")</f>
        <v>0</v>
      </c>
      <c r="B8011" t="s">
        <v>2300</v>
      </c>
      <c r="C8011" t="s">
        <v>11159</v>
      </c>
      <c r="D8011" t="s">
        <v>18148</v>
      </c>
      <c r="E8011" t="s">
        <v>25243</v>
      </c>
      <c r="F8011" t="s">
        <v>31362</v>
      </c>
      <c r="G8011" t="s">
        <v>31370</v>
      </c>
      <c r="H8011" t="s">
        <v>15799</v>
      </c>
      <c r="I8011" t="s">
        <v>31426</v>
      </c>
      <c r="J8011" t="s">
        <v>36407</v>
      </c>
      <c r="K8011" t="s">
        <v>40665</v>
      </c>
      <c r="M8011" t="s">
        <v>43515</v>
      </c>
      <c r="N8011" t="s">
        <v>44905</v>
      </c>
      <c r="O8011" t="s">
        <v>44906</v>
      </c>
      <c r="P8011">
        <v>0</v>
      </c>
      <c r="Q8011">
        <v>5</v>
      </c>
      <c r="R8011" t="s">
        <v>44910</v>
      </c>
      <c r="S8011" t="s">
        <v>45076</v>
      </c>
      <c r="T8011" t="s">
        <v>46692</v>
      </c>
      <c r="U8011" t="s">
        <v>53117</v>
      </c>
      <c r="W8011" t="s">
        <v>43515</v>
      </c>
      <c r="X8011" t="s">
        <v>44911</v>
      </c>
    </row>
    <row r="8012" spans="1:24">
      <c r="A8012">
        <f>HYPERLINK("https://www.philgeps.gov.ph/GEPSNONPILOT/Tender/SplashBidNoticeAbstractUI.aspx?menuIndex=3&amp;refID=7075187&amp;Result=3","7075187")</f>
        <v>0</v>
      </c>
      <c r="B8012" t="s">
        <v>831</v>
      </c>
      <c r="C8012" t="s">
        <v>11160</v>
      </c>
      <c r="D8012" t="s">
        <v>18108</v>
      </c>
      <c r="E8012" t="s">
        <v>25244</v>
      </c>
      <c r="F8012" t="s">
        <v>31362</v>
      </c>
      <c r="G8012" t="s">
        <v>31369</v>
      </c>
      <c r="H8012" t="s">
        <v>15799</v>
      </c>
      <c r="I8012" t="s">
        <v>7090</v>
      </c>
      <c r="J8012" t="s">
        <v>36408</v>
      </c>
      <c r="K8012" t="s">
        <v>40666</v>
      </c>
      <c r="M8012" t="s">
        <v>42635</v>
      </c>
      <c r="N8012" t="s">
        <v>44905</v>
      </c>
      <c r="O8012" t="s">
        <v>44906</v>
      </c>
      <c r="P8012">
        <v>0</v>
      </c>
      <c r="Q8012">
        <v>0</v>
      </c>
      <c r="R8012" t="s">
        <v>44910</v>
      </c>
      <c r="S8012" t="s">
        <v>45076</v>
      </c>
      <c r="T8012" t="s">
        <v>46393</v>
      </c>
      <c r="U8012" t="s">
        <v>48635</v>
      </c>
      <c r="W8012" t="s">
        <v>42635</v>
      </c>
      <c r="X8012" t="s">
        <v>44911</v>
      </c>
    </row>
    <row r="8013" spans="1:24">
      <c r="A8013">
        <f>HYPERLINK("https://www.philgeps.gov.ph/GEPSNONPILOT/Tender/SplashBidNoticeAbstractUI.aspx?menuIndex=3&amp;refID=7075167&amp;Result=3","7075167")</f>
        <v>0</v>
      </c>
      <c r="B8013" t="s">
        <v>2389</v>
      </c>
      <c r="C8013" t="s">
        <v>11161</v>
      </c>
      <c r="D8013" t="s">
        <v>18154</v>
      </c>
      <c r="E8013" t="s">
        <v>25245</v>
      </c>
      <c r="F8013" t="s">
        <v>31362</v>
      </c>
      <c r="G8013" t="s">
        <v>31368</v>
      </c>
      <c r="H8013" t="s">
        <v>15799</v>
      </c>
      <c r="I8013" t="s">
        <v>31408</v>
      </c>
      <c r="J8013" t="s">
        <v>31546</v>
      </c>
      <c r="K8013" t="s">
        <v>40666</v>
      </c>
      <c r="M8013" t="s">
        <v>43538</v>
      </c>
      <c r="N8013" t="s">
        <v>44905</v>
      </c>
      <c r="O8013" t="s">
        <v>44906</v>
      </c>
      <c r="P8013">
        <v>0</v>
      </c>
      <c r="Q8013">
        <v>1</v>
      </c>
      <c r="R8013" t="s">
        <v>44910</v>
      </c>
      <c r="S8013" t="s">
        <v>45076</v>
      </c>
      <c r="T8013" t="s">
        <v>46593</v>
      </c>
      <c r="U8013" t="s">
        <v>53376</v>
      </c>
      <c r="W8013" t="s">
        <v>43538</v>
      </c>
      <c r="X8013" t="s">
        <v>44911</v>
      </c>
    </row>
    <row r="8014" spans="1:24">
      <c r="A8014">
        <f>HYPERLINK("https://www.philgeps.gov.ph/GEPSNONPILOT/Tender/SplashBidNoticeAbstractUI.aspx?menuIndex=3&amp;refID=7075166&amp;Result=3","7075166")</f>
        <v>0</v>
      </c>
      <c r="B8014" t="s">
        <v>2388</v>
      </c>
      <c r="C8014" t="s">
        <v>11162</v>
      </c>
      <c r="D8014" t="s">
        <v>18131</v>
      </c>
      <c r="E8014" t="s">
        <v>25246</v>
      </c>
      <c r="F8014" t="s">
        <v>31362</v>
      </c>
      <c r="G8014" t="s">
        <v>31372</v>
      </c>
      <c r="H8014" t="s">
        <v>31378</v>
      </c>
      <c r="I8014" t="s">
        <v>31386</v>
      </c>
      <c r="J8014" t="s">
        <v>31577</v>
      </c>
      <c r="K8014" t="s">
        <v>40662</v>
      </c>
      <c r="M8014" t="s">
        <v>43537</v>
      </c>
      <c r="N8014" t="s">
        <v>44905</v>
      </c>
      <c r="O8014" t="s">
        <v>44906</v>
      </c>
      <c r="P8014">
        <v>0</v>
      </c>
      <c r="Q8014">
        <v>1</v>
      </c>
      <c r="R8014" t="s">
        <v>44910</v>
      </c>
      <c r="S8014" t="s">
        <v>45076</v>
      </c>
      <c r="T8014" t="s">
        <v>46438</v>
      </c>
      <c r="U8014" t="s">
        <v>53377</v>
      </c>
      <c r="W8014" t="s">
        <v>43537</v>
      </c>
      <c r="X8014" t="s">
        <v>44911</v>
      </c>
    </row>
    <row r="8015" spans="1:24">
      <c r="A8015">
        <f>HYPERLINK("https://www.philgeps.gov.ph/GEPSNONPILOT/Tender/SplashBidNoticeAbstractUI.aspx?menuIndex=3&amp;refID=7075171&amp;Result=3","7075171")</f>
        <v>0</v>
      </c>
      <c r="B8015" t="s">
        <v>2079</v>
      </c>
      <c r="C8015" t="s">
        <v>11163</v>
      </c>
      <c r="D8015" t="s">
        <v>18175</v>
      </c>
      <c r="E8015" t="s">
        <v>25247</v>
      </c>
      <c r="F8015" t="s">
        <v>31362</v>
      </c>
      <c r="G8015" t="s">
        <v>31368</v>
      </c>
      <c r="H8015" t="s">
        <v>15799</v>
      </c>
      <c r="I8015" t="s">
        <v>7090</v>
      </c>
      <c r="J8015" t="s">
        <v>36409</v>
      </c>
      <c r="K8015" t="s">
        <v>40661</v>
      </c>
      <c r="M8015" t="s">
        <v>43202</v>
      </c>
      <c r="N8015" t="s">
        <v>44905</v>
      </c>
      <c r="O8015" t="s">
        <v>44906</v>
      </c>
      <c r="P8015">
        <v>0</v>
      </c>
      <c r="Q8015">
        <v>2</v>
      </c>
      <c r="R8015" t="s">
        <v>44910</v>
      </c>
      <c r="S8015" t="s">
        <v>45076</v>
      </c>
      <c r="T8015" t="s">
        <v>46447</v>
      </c>
      <c r="U8015" t="s">
        <v>53378</v>
      </c>
      <c r="W8015" t="s">
        <v>43202</v>
      </c>
      <c r="X8015" t="s">
        <v>44911</v>
      </c>
    </row>
    <row r="8016" spans="1:24">
      <c r="A8016">
        <f>HYPERLINK("https://www.philgeps.gov.ph/GEPSNONPILOT/Tender/SplashBidNoticeAbstractUI.aspx?menuIndex=3&amp;refID=7075202&amp;Result=3","7075202")</f>
        <v>0</v>
      </c>
      <c r="B8016" t="s">
        <v>831</v>
      </c>
      <c r="C8016" t="s">
        <v>11164</v>
      </c>
      <c r="D8016" t="s">
        <v>18108</v>
      </c>
      <c r="E8016" t="s">
        <v>25248</v>
      </c>
      <c r="F8016" t="s">
        <v>31362</v>
      </c>
      <c r="G8016" t="s">
        <v>31369</v>
      </c>
      <c r="H8016" t="s">
        <v>15799</v>
      </c>
      <c r="I8016" t="s">
        <v>31385</v>
      </c>
      <c r="J8016" t="s">
        <v>36410</v>
      </c>
      <c r="K8016" t="s">
        <v>40666</v>
      </c>
      <c r="M8016" t="s">
        <v>42635</v>
      </c>
      <c r="N8016" t="s">
        <v>44905</v>
      </c>
      <c r="O8016" t="s">
        <v>44906</v>
      </c>
      <c r="P8016">
        <v>0</v>
      </c>
      <c r="Q8016">
        <v>0</v>
      </c>
      <c r="R8016" t="s">
        <v>44910</v>
      </c>
      <c r="S8016" t="s">
        <v>45076</v>
      </c>
      <c r="T8016" t="s">
        <v>46393</v>
      </c>
      <c r="U8016" t="s">
        <v>47749</v>
      </c>
      <c r="W8016" t="s">
        <v>42635</v>
      </c>
      <c r="X8016" t="s">
        <v>44911</v>
      </c>
    </row>
    <row r="8017" spans="1:24">
      <c r="A8017">
        <f>HYPERLINK("https://www.philgeps.gov.ph/GEPSNONPILOT/Tender/SplashBidNoticeAbstractUI.aspx?menuIndex=3&amp;refID=7075189&amp;Result=3","7075189")</f>
        <v>0</v>
      </c>
      <c r="B8017" t="s">
        <v>2390</v>
      </c>
      <c r="C8017" t="s">
        <v>11165</v>
      </c>
      <c r="D8017" t="s">
        <v>18108</v>
      </c>
      <c r="E8017" t="s">
        <v>20720</v>
      </c>
      <c r="F8017" t="s">
        <v>31362</v>
      </c>
      <c r="G8017" t="s">
        <v>31370</v>
      </c>
      <c r="H8017" t="s">
        <v>15799</v>
      </c>
      <c r="I8017" t="s">
        <v>6155</v>
      </c>
      <c r="J8017" t="s">
        <v>31866</v>
      </c>
      <c r="K8017" t="s">
        <v>40661</v>
      </c>
      <c r="M8017" t="s">
        <v>43539</v>
      </c>
      <c r="N8017" t="s">
        <v>44905</v>
      </c>
      <c r="O8017" t="s">
        <v>44906</v>
      </c>
      <c r="P8017">
        <v>0</v>
      </c>
      <c r="Q8017">
        <v>4</v>
      </c>
      <c r="R8017" t="s">
        <v>44910</v>
      </c>
      <c r="S8017" t="s">
        <v>45076</v>
      </c>
      <c r="T8017" t="s">
        <v>46454</v>
      </c>
      <c r="U8017" t="s">
        <v>53379</v>
      </c>
      <c r="W8017" t="s">
        <v>43539</v>
      </c>
      <c r="X8017" t="s">
        <v>44911</v>
      </c>
    </row>
    <row r="8018" spans="1:24">
      <c r="A8018">
        <f>HYPERLINK("https://www.philgeps.gov.ph/GEPSNONPILOT/Tender/SplashBidNoticeAbstractUI.aspx?menuIndex=3&amp;refID=7075199&amp;Result=3","7075199")</f>
        <v>0</v>
      </c>
      <c r="B8018" t="s">
        <v>672</v>
      </c>
      <c r="C8018" t="s">
        <v>11166</v>
      </c>
      <c r="D8018" t="s">
        <v>18103</v>
      </c>
      <c r="E8018" t="s">
        <v>25249</v>
      </c>
      <c r="F8018" t="s">
        <v>31362</v>
      </c>
      <c r="G8018" t="s">
        <v>31369</v>
      </c>
      <c r="H8018" t="s">
        <v>31378</v>
      </c>
      <c r="I8018" t="s">
        <v>31386</v>
      </c>
      <c r="J8018" t="s">
        <v>32964</v>
      </c>
      <c r="K8018" t="s">
        <v>40675</v>
      </c>
      <c r="M8018" t="s">
        <v>41634</v>
      </c>
      <c r="N8018" t="s">
        <v>44905</v>
      </c>
      <c r="O8018" t="s">
        <v>44906</v>
      </c>
      <c r="P8018">
        <v>0</v>
      </c>
      <c r="Q8018">
        <v>4</v>
      </c>
      <c r="R8018" t="s">
        <v>44910</v>
      </c>
      <c r="S8018" t="s">
        <v>45076</v>
      </c>
      <c r="T8018" t="s">
        <v>46433</v>
      </c>
      <c r="U8018" t="s">
        <v>53336</v>
      </c>
      <c r="W8018" t="s">
        <v>60863</v>
      </c>
      <c r="X8018" t="s">
        <v>44911</v>
      </c>
    </row>
    <row r="8019" spans="1:24">
      <c r="A8019">
        <f>HYPERLINK("https://www.philgeps.gov.ph/GEPSNONPILOT/Tender/SplashBidNoticeAbstractUI.aspx?menuIndex=3&amp;refID=7075240&amp;Result=3","7075240")</f>
        <v>0</v>
      </c>
      <c r="B8019" t="s">
        <v>672</v>
      </c>
      <c r="C8019" t="s">
        <v>11167</v>
      </c>
      <c r="D8019" t="s">
        <v>18103</v>
      </c>
      <c r="E8019" t="s">
        <v>25250</v>
      </c>
      <c r="F8019" t="s">
        <v>31362</v>
      </c>
      <c r="G8019" t="s">
        <v>31369</v>
      </c>
      <c r="H8019" t="s">
        <v>31378</v>
      </c>
      <c r="I8019" t="s">
        <v>31386</v>
      </c>
      <c r="J8019" t="s">
        <v>36377</v>
      </c>
      <c r="K8019" t="s">
        <v>40675</v>
      </c>
      <c r="M8019" t="s">
        <v>41634</v>
      </c>
      <c r="N8019" t="s">
        <v>44905</v>
      </c>
      <c r="O8019" t="s">
        <v>44906</v>
      </c>
      <c r="P8019">
        <v>0</v>
      </c>
      <c r="Q8019">
        <v>3</v>
      </c>
      <c r="R8019" t="s">
        <v>44910</v>
      </c>
      <c r="S8019" t="s">
        <v>45076</v>
      </c>
      <c r="T8019" t="s">
        <v>46433</v>
      </c>
      <c r="U8019" t="s">
        <v>53336</v>
      </c>
      <c r="W8019" t="s">
        <v>60863</v>
      </c>
      <c r="X8019" t="s">
        <v>44911</v>
      </c>
    </row>
    <row r="8020" spans="1:24">
      <c r="A8020">
        <f>HYPERLINK("https://www.philgeps.gov.ph/GEPSNONPILOT/Tender/SplashBidNoticeAbstractUI.aspx?menuIndex=3&amp;refID=7075235&amp;Result=3","7075235")</f>
        <v>0</v>
      </c>
      <c r="B8020" t="s">
        <v>2358</v>
      </c>
      <c r="C8020" t="s">
        <v>11168</v>
      </c>
      <c r="D8020" t="s">
        <v>18153</v>
      </c>
      <c r="E8020" t="s">
        <v>25251</v>
      </c>
      <c r="F8020" t="s">
        <v>31362</v>
      </c>
      <c r="G8020" t="s">
        <v>31369</v>
      </c>
      <c r="H8020" t="s">
        <v>15799</v>
      </c>
      <c r="I8020" t="s">
        <v>7090</v>
      </c>
      <c r="J8020" t="s">
        <v>31578</v>
      </c>
      <c r="K8020" t="s">
        <v>40661</v>
      </c>
      <c r="M8020" t="s">
        <v>43503</v>
      </c>
      <c r="N8020" t="s">
        <v>44905</v>
      </c>
      <c r="O8020" t="s">
        <v>44906</v>
      </c>
      <c r="P8020">
        <v>0</v>
      </c>
      <c r="Q8020">
        <v>2</v>
      </c>
      <c r="R8020" t="s">
        <v>44910</v>
      </c>
      <c r="S8020" t="s">
        <v>45076</v>
      </c>
      <c r="T8020" t="s">
        <v>46418</v>
      </c>
      <c r="U8020" t="s">
        <v>53380</v>
      </c>
      <c r="V8020" t="s">
        <v>59841</v>
      </c>
      <c r="W8020" t="s">
        <v>43503</v>
      </c>
      <c r="X8020" t="s">
        <v>44911</v>
      </c>
    </row>
    <row r="8021" spans="1:24">
      <c r="A8021">
        <f>HYPERLINK("https://www.philgeps.gov.ph/GEPSNONPILOT/Tender/SplashBidNoticeAbstractUI.aspx?menuIndex=3&amp;refID=7075200&amp;Result=3","7075200")</f>
        <v>0</v>
      </c>
      <c r="B8021" t="s">
        <v>2212</v>
      </c>
      <c r="C8021" t="s">
        <v>11169</v>
      </c>
      <c r="D8021" t="s">
        <v>18104</v>
      </c>
      <c r="E8021" t="s">
        <v>25252</v>
      </c>
      <c r="F8021" t="s">
        <v>31362</v>
      </c>
      <c r="G8021" t="s">
        <v>31368</v>
      </c>
      <c r="H8021" t="s">
        <v>15799</v>
      </c>
      <c r="I8021" t="s">
        <v>3815</v>
      </c>
      <c r="J8021" t="s">
        <v>36411</v>
      </c>
      <c r="K8021" t="s">
        <v>40662</v>
      </c>
      <c r="M8021" t="s">
        <v>43345</v>
      </c>
      <c r="N8021" t="s">
        <v>44905</v>
      </c>
      <c r="O8021" t="s">
        <v>44906</v>
      </c>
      <c r="P8021">
        <v>0</v>
      </c>
      <c r="Q8021">
        <v>0</v>
      </c>
      <c r="R8021" t="s">
        <v>44910</v>
      </c>
      <c r="S8021" t="s">
        <v>45076</v>
      </c>
      <c r="T8021" t="s">
        <v>46447</v>
      </c>
      <c r="U8021" t="s">
        <v>53381</v>
      </c>
      <c r="W8021" t="s">
        <v>43345</v>
      </c>
      <c r="X8021" t="s">
        <v>44911</v>
      </c>
    </row>
    <row r="8022" spans="1:24">
      <c r="A8022">
        <f>HYPERLINK("https://www.philgeps.gov.ph/GEPSNONPILOT/Tender/SplashBidNoticeAbstractUI.aspx?menuIndex=3&amp;refID=7075177&amp;Result=3","7075177")</f>
        <v>0</v>
      </c>
      <c r="B8022" t="s">
        <v>1931</v>
      </c>
      <c r="C8022" t="s">
        <v>11170</v>
      </c>
      <c r="D8022" t="s">
        <v>18120</v>
      </c>
      <c r="E8022" t="s">
        <v>25253</v>
      </c>
      <c r="F8022" t="s">
        <v>31362</v>
      </c>
      <c r="G8022" t="s">
        <v>31369</v>
      </c>
      <c r="H8022" t="s">
        <v>15799</v>
      </c>
      <c r="I8022" t="s">
        <v>3815</v>
      </c>
      <c r="J8022" t="s">
        <v>36412</v>
      </c>
      <c r="K8022" t="s">
        <v>40661</v>
      </c>
      <c r="M8022" t="s">
        <v>43032</v>
      </c>
      <c r="N8022" t="s">
        <v>44905</v>
      </c>
      <c r="O8022" t="s">
        <v>44906</v>
      </c>
      <c r="P8022">
        <v>0</v>
      </c>
      <c r="Q8022">
        <v>1</v>
      </c>
      <c r="R8022" t="s">
        <v>44910</v>
      </c>
      <c r="S8022" t="s">
        <v>45076</v>
      </c>
      <c r="T8022" t="s">
        <v>46412</v>
      </c>
      <c r="U8022" t="s">
        <v>53382</v>
      </c>
      <c r="W8022" t="s">
        <v>43032</v>
      </c>
      <c r="X8022" t="s">
        <v>44911</v>
      </c>
    </row>
    <row r="8023" spans="1:24">
      <c r="A8023">
        <f>HYPERLINK("https://www.philgeps.gov.ph/GEPSNONPILOT/Tender/SplashBidNoticeAbstractUI.aspx?menuIndex=3&amp;refID=7075229&amp;Result=3","7075229")</f>
        <v>0</v>
      </c>
      <c r="B8023" t="s">
        <v>2391</v>
      </c>
      <c r="C8023" t="s">
        <v>11171</v>
      </c>
      <c r="D8023" t="s">
        <v>18106</v>
      </c>
      <c r="E8023" t="s">
        <v>25254</v>
      </c>
      <c r="F8023" t="s">
        <v>31362</v>
      </c>
      <c r="G8023" t="s">
        <v>31369</v>
      </c>
      <c r="H8023" t="s">
        <v>31378</v>
      </c>
      <c r="I8023" t="s">
        <v>31386</v>
      </c>
      <c r="J8023" t="s">
        <v>36413</v>
      </c>
      <c r="K8023" t="s">
        <v>40688</v>
      </c>
      <c r="M8023" t="s">
        <v>43540</v>
      </c>
      <c r="N8023" t="s">
        <v>44905</v>
      </c>
      <c r="O8023" t="s">
        <v>44906</v>
      </c>
      <c r="P8023">
        <v>0</v>
      </c>
      <c r="Q8023">
        <v>1</v>
      </c>
      <c r="R8023" t="s">
        <v>44910</v>
      </c>
      <c r="S8023" t="s">
        <v>45076</v>
      </c>
      <c r="T8023" t="s">
        <v>46616</v>
      </c>
      <c r="U8023" t="s">
        <v>53383</v>
      </c>
      <c r="W8023" t="s">
        <v>43540</v>
      </c>
      <c r="X8023" t="s">
        <v>44911</v>
      </c>
    </row>
    <row r="8024" spans="1:24">
      <c r="A8024">
        <f>HYPERLINK("https://www.philgeps.gov.ph/GEPSNONPILOT/Tender/SplashBidNoticeAbstractUI.aspx?menuIndex=3&amp;refID=7075225&amp;Result=3","7075225")</f>
        <v>0</v>
      </c>
      <c r="B8024" t="s">
        <v>494</v>
      </c>
      <c r="C8024" t="s">
        <v>11172</v>
      </c>
      <c r="D8024" t="s">
        <v>18115</v>
      </c>
      <c r="E8024" t="s">
        <v>25255</v>
      </c>
      <c r="F8024" t="s">
        <v>31362</v>
      </c>
      <c r="G8024" t="s">
        <v>31369</v>
      </c>
      <c r="H8024" t="s">
        <v>31378</v>
      </c>
      <c r="I8024" t="s">
        <v>31386</v>
      </c>
      <c r="J8024" t="s">
        <v>31536</v>
      </c>
      <c r="K8024" t="s">
        <v>40661</v>
      </c>
      <c r="M8024" t="s">
        <v>41449</v>
      </c>
      <c r="N8024" t="s">
        <v>44905</v>
      </c>
      <c r="O8024" t="s">
        <v>44906</v>
      </c>
      <c r="P8024">
        <v>0</v>
      </c>
      <c r="Q8024">
        <v>3</v>
      </c>
      <c r="R8024" t="s">
        <v>44910</v>
      </c>
      <c r="S8024" t="s">
        <v>45076</v>
      </c>
      <c r="T8024" t="s">
        <v>46435</v>
      </c>
      <c r="U8024" t="s">
        <v>53384</v>
      </c>
      <c r="V8024" t="s">
        <v>59842</v>
      </c>
      <c r="W8024" t="s">
        <v>41449</v>
      </c>
      <c r="X8024" t="s">
        <v>44911</v>
      </c>
    </row>
    <row r="8025" spans="1:24">
      <c r="A8025">
        <f>HYPERLINK("https://www.philgeps.gov.ph/GEPSNONPILOT/Tender/SplashBidNoticeAbstractUI.aspx?menuIndex=3&amp;refID=7075224&amp;Result=3","7075224")</f>
        <v>0</v>
      </c>
      <c r="B8025" t="s">
        <v>2392</v>
      </c>
      <c r="C8025" t="s">
        <v>11173</v>
      </c>
      <c r="D8025" t="s">
        <v>18155</v>
      </c>
      <c r="E8025" t="s">
        <v>25256</v>
      </c>
      <c r="F8025" t="s">
        <v>31362</v>
      </c>
      <c r="G8025" t="s">
        <v>31369</v>
      </c>
      <c r="H8025" t="s">
        <v>31378</v>
      </c>
      <c r="I8025" t="s">
        <v>31386</v>
      </c>
      <c r="J8025" t="s">
        <v>36414</v>
      </c>
      <c r="K8025" t="s">
        <v>40749</v>
      </c>
      <c r="M8025" t="s">
        <v>43541</v>
      </c>
      <c r="N8025" t="s">
        <v>44905</v>
      </c>
      <c r="O8025" t="s">
        <v>44906</v>
      </c>
      <c r="P8025">
        <v>0</v>
      </c>
      <c r="Q8025">
        <v>0</v>
      </c>
      <c r="R8025" t="s">
        <v>44910</v>
      </c>
      <c r="S8025" t="s">
        <v>45076</v>
      </c>
      <c r="T8025" t="s">
        <v>46499</v>
      </c>
      <c r="U8025" t="s">
        <v>53385</v>
      </c>
      <c r="V8025" t="s">
        <v>59843</v>
      </c>
      <c r="W8025" t="s">
        <v>43541</v>
      </c>
      <c r="X8025" t="s">
        <v>44911</v>
      </c>
    </row>
    <row r="8026" spans="1:24">
      <c r="A8026">
        <f>HYPERLINK("https://www.philgeps.gov.ph/GEPSNONPILOT/Tender/SplashBidNoticeAbstractUI.aspx?menuIndex=3&amp;refID=7075238&amp;Result=3","7075238")</f>
        <v>0</v>
      </c>
      <c r="B8026" t="s">
        <v>2381</v>
      </c>
      <c r="C8026" t="s">
        <v>11174</v>
      </c>
      <c r="D8026" t="s">
        <v>18120</v>
      </c>
      <c r="E8026" t="s">
        <v>25257</v>
      </c>
      <c r="F8026" t="s">
        <v>31362</v>
      </c>
      <c r="G8026" t="s">
        <v>31369</v>
      </c>
      <c r="H8026" t="s">
        <v>31378</v>
      </c>
      <c r="I8026" t="s">
        <v>31386</v>
      </c>
      <c r="J8026" t="s">
        <v>36415</v>
      </c>
      <c r="K8026" t="s">
        <v>40662</v>
      </c>
      <c r="M8026" t="s">
        <v>43530</v>
      </c>
      <c r="N8026" t="s">
        <v>44905</v>
      </c>
      <c r="O8026" t="s">
        <v>44906</v>
      </c>
      <c r="P8026">
        <v>0</v>
      </c>
      <c r="Q8026">
        <v>0</v>
      </c>
      <c r="R8026" t="s">
        <v>44910</v>
      </c>
      <c r="S8026" t="s">
        <v>45076</v>
      </c>
      <c r="T8026" t="s">
        <v>46419</v>
      </c>
      <c r="U8026" t="s">
        <v>53386</v>
      </c>
      <c r="W8026" t="s">
        <v>43530</v>
      </c>
      <c r="X8026" t="s">
        <v>44911</v>
      </c>
    </row>
    <row r="8027" spans="1:24">
      <c r="A8027">
        <f>HYPERLINK("https://www.philgeps.gov.ph/GEPSNONPILOT/Tender/SplashBidNoticeAbstractUI.aspx?menuIndex=3&amp;refID=7075216&amp;Result=3","7075216")</f>
        <v>0</v>
      </c>
      <c r="B8027" t="s">
        <v>45</v>
      </c>
      <c r="C8027" t="s">
        <v>11175</v>
      </c>
      <c r="D8027" t="s">
        <v>18114</v>
      </c>
      <c r="E8027" t="s">
        <v>25258</v>
      </c>
      <c r="F8027" t="s">
        <v>31362</v>
      </c>
      <c r="G8027" t="s">
        <v>31369</v>
      </c>
      <c r="H8027" t="s">
        <v>15799</v>
      </c>
      <c r="I8027" t="s">
        <v>31450</v>
      </c>
      <c r="J8027" t="s">
        <v>36416</v>
      </c>
      <c r="K8027" t="s">
        <v>40665</v>
      </c>
      <c r="M8027" t="s">
        <v>41024</v>
      </c>
      <c r="N8027" t="s">
        <v>44905</v>
      </c>
      <c r="O8027" t="s">
        <v>44906</v>
      </c>
      <c r="P8027">
        <v>0</v>
      </c>
      <c r="Q8027">
        <v>1</v>
      </c>
      <c r="R8027" t="s">
        <v>44910</v>
      </c>
      <c r="S8027" t="s">
        <v>45076</v>
      </c>
      <c r="T8027" t="s">
        <v>46504</v>
      </c>
      <c r="U8027" t="s">
        <v>53232</v>
      </c>
      <c r="W8027" t="s">
        <v>41024</v>
      </c>
      <c r="X8027" t="s">
        <v>44911</v>
      </c>
    </row>
    <row r="8028" spans="1:24">
      <c r="A8028">
        <f>HYPERLINK("https://www.philgeps.gov.ph/GEPSNONPILOT/Tender/SplashBidNoticeAbstractUI.aspx?menuIndex=3&amp;refID=7075118&amp;Result=3","7075118")</f>
        <v>0</v>
      </c>
      <c r="B8028" t="s">
        <v>908</v>
      </c>
      <c r="C8028" t="s">
        <v>11176</v>
      </c>
      <c r="D8028" t="s">
        <v>18155</v>
      </c>
      <c r="E8028" t="s">
        <v>25219</v>
      </c>
      <c r="F8028" t="s">
        <v>31362</v>
      </c>
      <c r="G8028" t="s">
        <v>31368</v>
      </c>
      <c r="H8028" t="s">
        <v>15799</v>
      </c>
      <c r="I8028" t="s">
        <v>31410</v>
      </c>
      <c r="J8028" t="s">
        <v>36417</v>
      </c>
      <c r="K8028" t="s">
        <v>40666</v>
      </c>
      <c r="M8028" t="s">
        <v>41979</v>
      </c>
      <c r="N8028" t="s">
        <v>44905</v>
      </c>
      <c r="O8028" t="s">
        <v>44906</v>
      </c>
      <c r="P8028">
        <v>0</v>
      </c>
      <c r="Q8028">
        <v>3</v>
      </c>
      <c r="R8028" t="s">
        <v>44910</v>
      </c>
      <c r="S8028" t="s">
        <v>45076</v>
      </c>
      <c r="T8028" t="s">
        <v>46467</v>
      </c>
      <c r="U8028" t="s">
        <v>53387</v>
      </c>
      <c r="W8028" t="s">
        <v>41979</v>
      </c>
      <c r="X8028" t="s">
        <v>44911</v>
      </c>
    </row>
    <row r="8029" spans="1:24">
      <c r="A8029">
        <f>HYPERLINK("https://www.philgeps.gov.ph/GEPSNONPILOT/Tender/SplashBidNoticeAbstractUI.aspx?menuIndex=3&amp;refID=7075215&amp;Result=3","7075215")</f>
        <v>0</v>
      </c>
      <c r="B8029" t="s">
        <v>321</v>
      </c>
      <c r="C8029" t="s">
        <v>11177</v>
      </c>
      <c r="D8029" t="s">
        <v>18114</v>
      </c>
      <c r="E8029" t="s">
        <v>25259</v>
      </c>
      <c r="F8029" t="s">
        <v>31362</v>
      </c>
      <c r="G8029" t="s">
        <v>31369</v>
      </c>
      <c r="H8029" t="s">
        <v>31379</v>
      </c>
      <c r="I8029" t="s">
        <v>31421</v>
      </c>
      <c r="J8029" t="s">
        <v>36418</v>
      </c>
      <c r="K8029" t="s">
        <v>40679</v>
      </c>
      <c r="M8029" t="s">
        <v>41267</v>
      </c>
      <c r="N8029" t="s">
        <v>44905</v>
      </c>
      <c r="O8029" t="s">
        <v>44906</v>
      </c>
      <c r="P8029">
        <v>0</v>
      </c>
      <c r="Q8029">
        <v>5</v>
      </c>
      <c r="R8029" t="s">
        <v>44910</v>
      </c>
      <c r="S8029" t="s">
        <v>45076</v>
      </c>
      <c r="T8029" t="s">
        <v>46511</v>
      </c>
      <c r="U8029" t="s">
        <v>47466</v>
      </c>
      <c r="V8029" t="s">
        <v>59148</v>
      </c>
      <c r="W8029" t="s">
        <v>41267</v>
      </c>
      <c r="X8029" t="s">
        <v>44911</v>
      </c>
    </row>
    <row r="8030" spans="1:24">
      <c r="A8030">
        <f>HYPERLINK("https://www.philgeps.gov.ph/GEPSNONPILOT/Tender/SplashBidNoticeAbstractUI.aspx?menuIndex=3&amp;refID=7075227&amp;Result=3","7075227")</f>
        <v>0</v>
      </c>
      <c r="B8030" t="s">
        <v>248</v>
      </c>
      <c r="C8030" t="s">
        <v>11178</v>
      </c>
      <c r="D8030" t="s">
        <v>18133</v>
      </c>
      <c r="E8030" t="s">
        <v>25260</v>
      </c>
      <c r="F8030" t="s">
        <v>31362</v>
      </c>
      <c r="G8030" t="s">
        <v>31370</v>
      </c>
      <c r="H8030" t="s">
        <v>31378</v>
      </c>
      <c r="I8030" t="s">
        <v>31386</v>
      </c>
      <c r="J8030" t="s">
        <v>36419</v>
      </c>
      <c r="K8030" t="s">
        <v>40661</v>
      </c>
      <c r="M8030" t="s">
        <v>41187</v>
      </c>
      <c r="N8030" t="s">
        <v>44905</v>
      </c>
      <c r="O8030" t="s">
        <v>44906</v>
      </c>
      <c r="P8030">
        <v>0</v>
      </c>
      <c r="Q8030">
        <v>0</v>
      </c>
      <c r="R8030" t="s">
        <v>44910</v>
      </c>
      <c r="S8030" t="s">
        <v>45076</v>
      </c>
      <c r="T8030" t="s">
        <v>46393</v>
      </c>
      <c r="U8030" t="s">
        <v>53388</v>
      </c>
      <c r="W8030" t="s">
        <v>41187</v>
      </c>
      <c r="X8030" t="s">
        <v>44911</v>
      </c>
    </row>
    <row r="8031" spans="1:24">
      <c r="A8031">
        <f>HYPERLINK("https://www.philgeps.gov.ph/GEPSNONPILOT/Tender/SplashBidNoticeAbstractUI.aspx?menuIndex=3&amp;refID=7075213&amp;Result=3","7075213")</f>
        <v>0</v>
      </c>
      <c r="B8031" t="s">
        <v>983</v>
      </c>
      <c r="C8031" t="s">
        <v>11179</v>
      </c>
      <c r="D8031" t="s">
        <v>18108</v>
      </c>
      <c r="E8031" t="s">
        <v>25261</v>
      </c>
      <c r="F8031" t="s">
        <v>31362</v>
      </c>
      <c r="G8031" t="s">
        <v>31369</v>
      </c>
      <c r="H8031" t="s">
        <v>15799</v>
      </c>
      <c r="I8031" t="s">
        <v>3815</v>
      </c>
      <c r="J8031" t="s">
        <v>36420</v>
      </c>
      <c r="K8031" t="s">
        <v>40662</v>
      </c>
      <c r="M8031" t="s">
        <v>41975</v>
      </c>
      <c r="N8031" t="s">
        <v>44905</v>
      </c>
      <c r="O8031" t="s">
        <v>44906</v>
      </c>
      <c r="P8031">
        <v>0</v>
      </c>
      <c r="Q8031">
        <v>0</v>
      </c>
      <c r="R8031" t="s">
        <v>44910</v>
      </c>
      <c r="S8031" t="s">
        <v>45076</v>
      </c>
      <c r="T8031" t="s">
        <v>46685</v>
      </c>
      <c r="U8031" t="s">
        <v>53389</v>
      </c>
      <c r="W8031" t="s">
        <v>41975</v>
      </c>
      <c r="X8031" t="s">
        <v>44911</v>
      </c>
    </row>
    <row r="8032" spans="1:24">
      <c r="A8032">
        <f>HYPERLINK("https://www.philgeps.gov.ph/GEPSNONPILOT/Tender/SplashBidNoticeAbstractUI.aspx?menuIndex=3&amp;refID=7075221&amp;Result=3","7075221")</f>
        <v>0</v>
      </c>
      <c r="B8032" t="s">
        <v>682</v>
      </c>
      <c r="C8032" t="s">
        <v>11180</v>
      </c>
      <c r="E8032" t="s">
        <v>25262</v>
      </c>
      <c r="F8032" t="s">
        <v>31362</v>
      </c>
      <c r="G8032" t="s">
        <v>31368</v>
      </c>
      <c r="H8032" t="s">
        <v>15799</v>
      </c>
      <c r="I8032" t="s">
        <v>7090</v>
      </c>
      <c r="J8032" t="s">
        <v>31545</v>
      </c>
      <c r="K8032" t="s">
        <v>40670</v>
      </c>
      <c r="M8032" t="s">
        <v>41644</v>
      </c>
      <c r="N8032" t="s">
        <v>44905</v>
      </c>
      <c r="O8032" t="s">
        <v>44906</v>
      </c>
      <c r="P8032">
        <v>0</v>
      </c>
      <c r="Q8032">
        <v>1</v>
      </c>
      <c r="R8032" t="s">
        <v>44910</v>
      </c>
      <c r="S8032" t="s">
        <v>45076</v>
      </c>
      <c r="T8032" t="s">
        <v>46506</v>
      </c>
      <c r="U8032" t="s">
        <v>53390</v>
      </c>
      <c r="V8032" t="s">
        <v>59829</v>
      </c>
      <c r="W8032" t="s">
        <v>41644</v>
      </c>
      <c r="X8032" t="s">
        <v>44911</v>
      </c>
    </row>
    <row r="8033" spans="1:24">
      <c r="A8033">
        <f>HYPERLINK("https://www.philgeps.gov.ph/GEPSNONPILOT/Tender/SplashBidNoticeAbstractUI.aspx?menuIndex=3&amp;refID=7075272&amp;Result=3","7075272")</f>
        <v>0</v>
      </c>
      <c r="B8033" t="s">
        <v>672</v>
      </c>
      <c r="C8033" t="s">
        <v>11181</v>
      </c>
      <c r="D8033" t="s">
        <v>18103</v>
      </c>
      <c r="E8033" t="s">
        <v>25263</v>
      </c>
      <c r="F8033" t="s">
        <v>31362</v>
      </c>
      <c r="G8033" t="s">
        <v>31369</v>
      </c>
      <c r="H8033" t="s">
        <v>31378</v>
      </c>
      <c r="I8033" t="s">
        <v>31386</v>
      </c>
      <c r="J8033" t="s">
        <v>32006</v>
      </c>
      <c r="K8033" t="s">
        <v>40679</v>
      </c>
      <c r="M8033" t="s">
        <v>41634</v>
      </c>
      <c r="N8033" t="s">
        <v>44905</v>
      </c>
      <c r="O8033" t="s">
        <v>44906</v>
      </c>
      <c r="P8033">
        <v>0</v>
      </c>
      <c r="Q8033">
        <v>3</v>
      </c>
      <c r="R8033" t="s">
        <v>44910</v>
      </c>
      <c r="S8033" t="s">
        <v>45076</v>
      </c>
      <c r="T8033" t="s">
        <v>46433</v>
      </c>
      <c r="U8033" t="s">
        <v>53336</v>
      </c>
      <c r="W8033" t="s">
        <v>60863</v>
      </c>
      <c r="X8033" t="s">
        <v>44911</v>
      </c>
    </row>
    <row r="8034" spans="1:24">
      <c r="A8034">
        <f>HYPERLINK("https://www.philgeps.gov.ph/GEPSNONPILOT/Tender/SplashBidNoticeAbstractUI.aspx?menuIndex=3&amp;refID=7075217&amp;Result=3","7075217")</f>
        <v>0</v>
      </c>
      <c r="B8034" t="s">
        <v>2261</v>
      </c>
      <c r="C8034" t="s">
        <v>11182</v>
      </c>
      <c r="D8034" t="s">
        <v>18162</v>
      </c>
      <c r="E8034" t="s">
        <v>25264</v>
      </c>
      <c r="F8034" t="s">
        <v>31362</v>
      </c>
      <c r="G8034" t="s">
        <v>31369</v>
      </c>
      <c r="H8034" t="s">
        <v>31378</v>
      </c>
      <c r="I8034" t="s">
        <v>31386</v>
      </c>
      <c r="J8034" t="s">
        <v>36421</v>
      </c>
      <c r="K8034" t="s">
        <v>40679</v>
      </c>
      <c r="M8034" t="s">
        <v>43400</v>
      </c>
      <c r="N8034" t="s">
        <v>44905</v>
      </c>
      <c r="O8034" t="s">
        <v>44906</v>
      </c>
      <c r="P8034">
        <v>0</v>
      </c>
      <c r="Q8034">
        <v>0</v>
      </c>
      <c r="R8034" t="s">
        <v>44910</v>
      </c>
      <c r="S8034" t="s">
        <v>45076</v>
      </c>
      <c r="T8034" t="s">
        <v>46511</v>
      </c>
      <c r="U8034" t="s">
        <v>53391</v>
      </c>
      <c r="W8034" t="s">
        <v>43400</v>
      </c>
      <c r="X8034" t="s">
        <v>44911</v>
      </c>
    </row>
    <row r="8035" spans="1:24">
      <c r="A8035">
        <f>HYPERLINK("https://www.philgeps.gov.ph/GEPSNONPILOT/Tender/SplashBidNoticeAbstractUI.aspx?menuIndex=3&amp;refID=7075280&amp;Result=3","7075280")</f>
        <v>0</v>
      </c>
      <c r="B8035" t="s">
        <v>2393</v>
      </c>
      <c r="C8035" t="s">
        <v>11183</v>
      </c>
      <c r="D8035" t="s">
        <v>18131</v>
      </c>
      <c r="E8035" t="s">
        <v>11183</v>
      </c>
      <c r="F8035" t="s">
        <v>31362</v>
      </c>
      <c r="G8035" t="s">
        <v>31369</v>
      </c>
      <c r="H8035" t="s">
        <v>15799</v>
      </c>
      <c r="I8035" t="s">
        <v>31392</v>
      </c>
      <c r="J8035" t="s">
        <v>31712</v>
      </c>
      <c r="K8035" t="s">
        <v>40662</v>
      </c>
      <c r="M8035" t="s">
        <v>43542</v>
      </c>
      <c r="N8035" t="s">
        <v>44905</v>
      </c>
      <c r="O8035" t="s">
        <v>44906</v>
      </c>
      <c r="P8035">
        <v>0</v>
      </c>
      <c r="Q8035">
        <v>7</v>
      </c>
      <c r="R8035" t="s">
        <v>44910</v>
      </c>
      <c r="S8035" t="s">
        <v>45076</v>
      </c>
      <c r="T8035" t="s">
        <v>46770</v>
      </c>
      <c r="U8035" t="s">
        <v>53392</v>
      </c>
      <c r="W8035" t="s">
        <v>43542</v>
      </c>
      <c r="X8035" t="s">
        <v>44911</v>
      </c>
    </row>
    <row r="8036" spans="1:24">
      <c r="A8036">
        <f>HYPERLINK("https://www.philgeps.gov.ph/GEPSNONPILOT/Tender/SplashBidNoticeAbstractUI.aspx?menuIndex=3&amp;refID=7075281&amp;Result=3","7075281")</f>
        <v>0</v>
      </c>
      <c r="B8036" t="s">
        <v>672</v>
      </c>
      <c r="C8036" t="s">
        <v>11184</v>
      </c>
      <c r="D8036" t="s">
        <v>18103</v>
      </c>
      <c r="E8036" t="s">
        <v>25265</v>
      </c>
      <c r="F8036" t="s">
        <v>31362</v>
      </c>
      <c r="G8036" t="s">
        <v>31369</v>
      </c>
      <c r="H8036" t="s">
        <v>31378</v>
      </c>
      <c r="I8036" t="s">
        <v>31386</v>
      </c>
      <c r="J8036" t="s">
        <v>32965</v>
      </c>
      <c r="K8036" t="s">
        <v>40675</v>
      </c>
      <c r="M8036" t="s">
        <v>41634</v>
      </c>
      <c r="N8036" t="s">
        <v>44905</v>
      </c>
      <c r="O8036" t="s">
        <v>44906</v>
      </c>
      <c r="P8036">
        <v>0</v>
      </c>
      <c r="Q8036">
        <v>3</v>
      </c>
      <c r="R8036" t="s">
        <v>44910</v>
      </c>
      <c r="S8036" t="s">
        <v>45076</v>
      </c>
      <c r="T8036" t="s">
        <v>46433</v>
      </c>
      <c r="U8036" t="s">
        <v>53336</v>
      </c>
      <c r="W8036" t="s">
        <v>60863</v>
      </c>
      <c r="X8036" t="s">
        <v>44911</v>
      </c>
    </row>
    <row r="8037" spans="1:24">
      <c r="A8037">
        <f>HYPERLINK("https://www.philgeps.gov.ph/GEPSNONPILOT/Tender/SplashBidNoticeAbstractUI.aspx?menuIndex=3&amp;refID=7075242&amp;Result=3","7075242")</f>
        <v>0</v>
      </c>
      <c r="B8037" t="s">
        <v>2391</v>
      </c>
      <c r="C8037" t="s">
        <v>11185</v>
      </c>
      <c r="D8037" t="s">
        <v>18106</v>
      </c>
      <c r="E8037" t="s">
        <v>25266</v>
      </c>
      <c r="F8037" t="s">
        <v>31362</v>
      </c>
      <c r="G8037" t="s">
        <v>31369</v>
      </c>
      <c r="H8037" t="s">
        <v>31378</v>
      </c>
      <c r="I8037" t="s">
        <v>31386</v>
      </c>
      <c r="J8037" t="s">
        <v>36422</v>
      </c>
      <c r="K8037" t="s">
        <v>40837</v>
      </c>
      <c r="M8037" t="s">
        <v>43543</v>
      </c>
      <c r="N8037" t="s">
        <v>44905</v>
      </c>
      <c r="O8037" t="s">
        <v>44906</v>
      </c>
      <c r="P8037">
        <v>0</v>
      </c>
      <c r="Q8037">
        <v>0</v>
      </c>
      <c r="R8037" t="s">
        <v>44910</v>
      </c>
      <c r="S8037" t="s">
        <v>45076</v>
      </c>
      <c r="T8037" t="s">
        <v>46616</v>
      </c>
      <c r="U8037" t="s">
        <v>53393</v>
      </c>
      <c r="V8037" t="s">
        <v>59844</v>
      </c>
      <c r="W8037" t="s">
        <v>43543</v>
      </c>
      <c r="X8037" t="s">
        <v>44911</v>
      </c>
    </row>
    <row r="8038" spans="1:24">
      <c r="A8038">
        <f>HYPERLINK("https://www.philgeps.gov.ph/GEPSNONPILOT/Tender/SplashBidNoticeAbstractUI.aspx?menuIndex=3&amp;refID=7075275&amp;Result=3","7075275")</f>
        <v>0</v>
      </c>
      <c r="B8038" t="s">
        <v>185</v>
      </c>
      <c r="C8038" t="s">
        <v>11186</v>
      </c>
      <c r="D8038" t="s">
        <v>18153</v>
      </c>
      <c r="E8038" t="s">
        <v>25267</v>
      </c>
      <c r="F8038" t="s">
        <v>31365</v>
      </c>
      <c r="G8038" t="s">
        <v>31368</v>
      </c>
      <c r="H8038" t="s">
        <v>15799</v>
      </c>
      <c r="I8038" t="s">
        <v>31419</v>
      </c>
      <c r="J8038" t="s">
        <v>36423</v>
      </c>
      <c r="K8038" t="s">
        <v>40666</v>
      </c>
      <c r="M8038" t="s">
        <v>41123</v>
      </c>
      <c r="N8038" t="s">
        <v>44905</v>
      </c>
      <c r="O8038" t="s">
        <v>44906</v>
      </c>
      <c r="P8038">
        <v>0</v>
      </c>
      <c r="Q8038">
        <v>2</v>
      </c>
      <c r="R8038" t="s">
        <v>44910</v>
      </c>
      <c r="S8038" t="s">
        <v>45076</v>
      </c>
      <c r="T8038" t="s">
        <v>46410</v>
      </c>
      <c r="U8038" t="s">
        <v>53394</v>
      </c>
      <c r="W8038" t="s">
        <v>41123</v>
      </c>
      <c r="X8038" t="s">
        <v>44911</v>
      </c>
    </row>
    <row r="8039" spans="1:24">
      <c r="A8039">
        <f>HYPERLINK("https://www.philgeps.gov.ph/GEPSNONPILOT/Tender/SplashBidNoticeAbstractUI.aspx?menuIndex=3&amp;refID=7075273&amp;Result=3","7075273")</f>
        <v>0</v>
      </c>
      <c r="B8039" t="s">
        <v>2261</v>
      </c>
      <c r="C8039" t="s">
        <v>11187</v>
      </c>
      <c r="D8039" t="s">
        <v>18162</v>
      </c>
      <c r="E8039" t="s">
        <v>25268</v>
      </c>
      <c r="F8039" t="s">
        <v>31362</v>
      </c>
      <c r="G8039" t="s">
        <v>31369</v>
      </c>
      <c r="H8039" t="s">
        <v>15799</v>
      </c>
      <c r="I8039" t="s">
        <v>31404</v>
      </c>
      <c r="J8039" t="s">
        <v>36424</v>
      </c>
      <c r="K8039" t="s">
        <v>40665</v>
      </c>
      <c r="M8039" t="s">
        <v>43400</v>
      </c>
      <c r="N8039" t="s">
        <v>44905</v>
      </c>
      <c r="O8039" t="s">
        <v>44906</v>
      </c>
      <c r="P8039">
        <v>0</v>
      </c>
      <c r="Q8039">
        <v>0</v>
      </c>
      <c r="R8039" t="s">
        <v>44910</v>
      </c>
      <c r="S8039" t="s">
        <v>45076</v>
      </c>
      <c r="T8039" t="s">
        <v>46425</v>
      </c>
      <c r="U8039" t="s">
        <v>53395</v>
      </c>
      <c r="W8039" t="s">
        <v>43400</v>
      </c>
      <c r="X8039" t="s">
        <v>44911</v>
      </c>
    </row>
    <row r="8040" spans="1:24">
      <c r="A8040">
        <f>HYPERLINK("https://www.philgeps.gov.ph/GEPSNONPILOT/Tender/SplashBidNoticeAbstractUI.aspx?menuIndex=3&amp;refID=7075278&amp;Result=3","7075278")</f>
        <v>0</v>
      </c>
      <c r="B8040" t="s">
        <v>2394</v>
      </c>
      <c r="C8040" t="s">
        <v>11188</v>
      </c>
      <c r="D8040" t="s">
        <v>18107</v>
      </c>
      <c r="E8040" t="s">
        <v>25269</v>
      </c>
      <c r="F8040" t="s">
        <v>31362</v>
      </c>
      <c r="G8040" t="s">
        <v>31369</v>
      </c>
      <c r="H8040" t="s">
        <v>31378</v>
      </c>
      <c r="I8040" t="s">
        <v>31386</v>
      </c>
      <c r="J8040" t="s">
        <v>36425</v>
      </c>
      <c r="K8040" t="s">
        <v>40679</v>
      </c>
      <c r="M8040" t="s">
        <v>43544</v>
      </c>
      <c r="N8040" t="s">
        <v>44905</v>
      </c>
      <c r="O8040" t="s">
        <v>44906</v>
      </c>
      <c r="P8040">
        <v>0</v>
      </c>
      <c r="Q8040">
        <v>0</v>
      </c>
      <c r="R8040" t="s">
        <v>44910</v>
      </c>
      <c r="S8040" t="s">
        <v>45076</v>
      </c>
      <c r="T8040" t="s">
        <v>46425</v>
      </c>
      <c r="U8040" t="s">
        <v>53396</v>
      </c>
      <c r="W8040" t="s">
        <v>43544</v>
      </c>
      <c r="X8040" t="s">
        <v>44911</v>
      </c>
    </row>
    <row r="8041" spans="1:24">
      <c r="A8041">
        <f>HYPERLINK("https://www.philgeps.gov.ph/GEPSNONPILOT/Tender/SplashBidNoticeAbstractUI.aspx?menuIndex=3&amp;refID=7075261&amp;Result=3","7075261")</f>
        <v>0</v>
      </c>
      <c r="B8041" t="s">
        <v>2395</v>
      </c>
      <c r="C8041" t="s">
        <v>11189</v>
      </c>
      <c r="D8041" t="s">
        <v>18131</v>
      </c>
      <c r="E8041" t="s">
        <v>25270</v>
      </c>
      <c r="F8041" t="s">
        <v>31362</v>
      </c>
      <c r="G8041" t="s">
        <v>31372</v>
      </c>
      <c r="H8041" t="s">
        <v>31378</v>
      </c>
      <c r="I8041" t="s">
        <v>31386</v>
      </c>
      <c r="J8041" t="s">
        <v>36426</v>
      </c>
      <c r="K8041" t="s">
        <v>40662</v>
      </c>
      <c r="M8041" t="s">
        <v>43545</v>
      </c>
      <c r="N8041" t="s">
        <v>44905</v>
      </c>
      <c r="O8041" t="s">
        <v>44906</v>
      </c>
      <c r="P8041">
        <v>0</v>
      </c>
      <c r="Q8041">
        <v>1</v>
      </c>
      <c r="R8041" t="s">
        <v>44910</v>
      </c>
      <c r="S8041" t="s">
        <v>45076</v>
      </c>
      <c r="T8041" t="s">
        <v>46438</v>
      </c>
      <c r="U8041" t="s">
        <v>53397</v>
      </c>
      <c r="W8041" t="s">
        <v>43545</v>
      </c>
      <c r="X8041" t="s">
        <v>44911</v>
      </c>
    </row>
    <row r="8042" spans="1:24">
      <c r="A8042">
        <f>HYPERLINK("https://www.philgeps.gov.ph/GEPSNONPILOT/Tender/SplashBidNoticeAbstractUI.aspx?menuIndex=3&amp;refID=7075276&amp;Result=3","7075276")</f>
        <v>0</v>
      </c>
      <c r="B8042" t="s">
        <v>2396</v>
      </c>
      <c r="C8042" t="s">
        <v>11190</v>
      </c>
      <c r="D8042" t="s">
        <v>18143</v>
      </c>
      <c r="E8042" t="s">
        <v>23684</v>
      </c>
      <c r="F8042" t="s">
        <v>31362</v>
      </c>
      <c r="G8042" t="s">
        <v>31369</v>
      </c>
      <c r="H8042" t="s">
        <v>31378</v>
      </c>
      <c r="I8042" t="s">
        <v>31386</v>
      </c>
      <c r="J8042" t="s">
        <v>36427</v>
      </c>
      <c r="K8042" t="s">
        <v>40756</v>
      </c>
      <c r="M8042" t="s">
        <v>43546</v>
      </c>
      <c r="N8042" t="s">
        <v>44905</v>
      </c>
      <c r="O8042" t="s">
        <v>44906</v>
      </c>
      <c r="P8042">
        <v>0</v>
      </c>
      <c r="Q8042">
        <v>0</v>
      </c>
      <c r="R8042" t="s">
        <v>44910</v>
      </c>
      <c r="S8042" t="s">
        <v>45076</v>
      </c>
      <c r="T8042" t="s">
        <v>46605</v>
      </c>
      <c r="U8042" t="s">
        <v>53398</v>
      </c>
      <c r="W8042" t="s">
        <v>60932</v>
      </c>
      <c r="X8042" t="s">
        <v>44911</v>
      </c>
    </row>
    <row r="8043" spans="1:24">
      <c r="A8043">
        <f>HYPERLINK("https://www.philgeps.gov.ph/GEPSNONPILOT/Tender/SplashBidNoticeAbstractUI.aspx?menuIndex=3&amp;refID=7075268&amp;Result=3","7075268")</f>
        <v>0</v>
      </c>
      <c r="B8043" t="s">
        <v>675</v>
      </c>
      <c r="C8043" t="s">
        <v>11191</v>
      </c>
      <c r="D8043" t="s">
        <v>18111</v>
      </c>
      <c r="E8043" t="s">
        <v>25271</v>
      </c>
      <c r="F8043" t="s">
        <v>31362</v>
      </c>
      <c r="G8043" t="s">
        <v>31368</v>
      </c>
      <c r="H8043" t="s">
        <v>15799</v>
      </c>
      <c r="I8043" t="s">
        <v>31430</v>
      </c>
      <c r="J8043" t="s">
        <v>36428</v>
      </c>
      <c r="K8043" t="s">
        <v>40662</v>
      </c>
      <c r="M8043" t="s">
        <v>41637</v>
      </c>
      <c r="N8043" t="s">
        <v>44905</v>
      </c>
      <c r="O8043" t="s">
        <v>44906</v>
      </c>
      <c r="P8043">
        <v>0</v>
      </c>
      <c r="Q8043">
        <v>2</v>
      </c>
      <c r="R8043" t="s">
        <v>44910</v>
      </c>
      <c r="S8043" t="s">
        <v>45076</v>
      </c>
      <c r="T8043" t="s">
        <v>46483</v>
      </c>
      <c r="U8043" t="s">
        <v>49915</v>
      </c>
      <c r="W8043" t="s">
        <v>41637</v>
      </c>
      <c r="X8043" t="s">
        <v>44911</v>
      </c>
    </row>
    <row r="8044" spans="1:24">
      <c r="A8044">
        <f>HYPERLINK("https://www.philgeps.gov.ph/GEPSNONPILOT/Tender/SplashBidNoticeAbstractUI.aspx?menuIndex=3&amp;refID=7075121&amp;Result=3","7075121")</f>
        <v>0</v>
      </c>
      <c r="B8044" t="s">
        <v>586</v>
      </c>
      <c r="C8044" t="s">
        <v>11192</v>
      </c>
      <c r="D8044" t="s">
        <v>18121</v>
      </c>
      <c r="E8044" t="s">
        <v>25272</v>
      </c>
      <c r="F8044" t="s">
        <v>31362</v>
      </c>
      <c r="G8044" t="s">
        <v>31374</v>
      </c>
      <c r="H8044" t="s">
        <v>15799</v>
      </c>
      <c r="I8044" t="s">
        <v>4057</v>
      </c>
      <c r="J8044" t="s">
        <v>31531</v>
      </c>
      <c r="K8044" t="s">
        <v>40661</v>
      </c>
      <c r="M8044" t="s">
        <v>41543</v>
      </c>
      <c r="N8044" t="s">
        <v>44905</v>
      </c>
      <c r="O8044" t="s">
        <v>44906</v>
      </c>
      <c r="P8044">
        <v>0</v>
      </c>
      <c r="Q8044">
        <v>0</v>
      </c>
      <c r="R8044" t="s">
        <v>44910</v>
      </c>
      <c r="S8044" t="s">
        <v>45076</v>
      </c>
      <c r="T8044" t="s">
        <v>46438</v>
      </c>
      <c r="U8044" t="s">
        <v>53399</v>
      </c>
      <c r="W8044" t="s">
        <v>41543</v>
      </c>
      <c r="X8044" t="s">
        <v>44911</v>
      </c>
    </row>
    <row r="8045" spans="1:24">
      <c r="A8045">
        <f>HYPERLINK("https://www.philgeps.gov.ph/GEPSNONPILOT/Tender/SplashBidNoticeAbstractUI.aspx?menuIndex=3&amp;refID=7075250&amp;Result=3","7075250")</f>
        <v>0</v>
      </c>
      <c r="B8045" t="s">
        <v>2261</v>
      </c>
      <c r="C8045" t="s">
        <v>11193</v>
      </c>
      <c r="D8045" t="s">
        <v>18162</v>
      </c>
      <c r="E8045" t="s">
        <v>25273</v>
      </c>
      <c r="F8045" t="s">
        <v>31362</v>
      </c>
      <c r="G8045" t="s">
        <v>31369</v>
      </c>
      <c r="H8045" t="s">
        <v>31378</v>
      </c>
      <c r="I8045" t="s">
        <v>31386</v>
      </c>
      <c r="J8045" t="s">
        <v>31910</v>
      </c>
      <c r="K8045" t="s">
        <v>40675</v>
      </c>
      <c r="M8045" t="s">
        <v>43400</v>
      </c>
      <c r="N8045" t="s">
        <v>44905</v>
      </c>
      <c r="O8045" t="s">
        <v>44906</v>
      </c>
      <c r="P8045">
        <v>0</v>
      </c>
      <c r="Q8045">
        <v>0</v>
      </c>
      <c r="R8045" t="s">
        <v>44910</v>
      </c>
      <c r="S8045" t="s">
        <v>45076</v>
      </c>
      <c r="T8045" t="s">
        <v>46425</v>
      </c>
      <c r="U8045" t="s">
        <v>53400</v>
      </c>
      <c r="W8045" t="s">
        <v>43400</v>
      </c>
      <c r="X8045" t="s">
        <v>44911</v>
      </c>
    </row>
    <row r="8046" spans="1:24">
      <c r="A8046">
        <f>HYPERLINK("https://www.philgeps.gov.ph/GEPSNONPILOT/Tender/SplashBidNoticeAbstractUI.aspx?menuIndex=3&amp;refID=7075265&amp;Result=3","7075265")</f>
        <v>0</v>
      </c>
      <c r="B8046" t="s">
        <v>2397</v>
      </c>
      <c r="C8046" t="s">
        <v>11194</v>
      </c>
      <c r="D8046" t="s">
        <v>18162</v>
      </c>
      <c r="E8046" t="s">
        <v>20783</v>
      </c>
      <c r="F8046" t="s">
        <v>31362</v>
      </c>
      <c r="G8046" t="s">
        <v>31372</v>
      </c>
      <c r="H8046" t="s">
        <v>31378</v>
      </c>
      <c r="I8046" t="s">
        <v>31386</v>
      </c>
      <c r="J8046" t="s">
        <v>36429</v>
      </c>
      <c r="K8046" t="s">
        <v>40679</v>
      </c>
      <c r="M8046" t="s">
        <v>43547</v>
      </c>
      <c r="N8046" t="s">
        <v>44905</v>
      </c>
      <c r="O8046" t="s">
        <v>44906</v>
      </c>
      <c r="P8046">
        <v>0</v>
      </c>
      <c r="Q8046">
        <v>0</v>
      </c>
      <c r="R8046" t="s">
        <v>44910</v>
      </c>
      <c r="S8046" t="s">
        <v>45076</v>
      </c>
      <c r="T8046" t="s">
        <v>46393</v>
      </c>
      <c r="U8046" t="s">
        <v>53401</v>
      </c>
      <c r="W8046" t="s">
        <v>43547</v>
      </c>
      <c r="X8046" t="s">
        <v>44911</v>
      </c>
    </row>
    <row r="8047" spans="1:24">
      <c r="A8047">
        <f>HYPERLINK("https://www.philgeps.gov.ph/GEPSNONPILOT/Tender/SplashBidNoticeAbstractUI.aspx?menuIndex=3&amp;refID=7075249&amp;Result=3","7075249")</f>
        <v>0</v>
      </c>
      <c r="B8047" t="s">
        <v>2224</v>
      </c>
      <c r="C8047" t="s">
        <v>11195</v>
      </c>
      <c r="D8047" t="s">
        <v>18136</v>
      </c>
      <c r="E8047" t="s">
        <v>25274</v>
      </c>
      <c r="F8047" t="s">
        <v>31362</v>
      </c>
      <c r="G8047" t="s">
        <v>31369</v>
      </c>
      <c r="H8047" t="s">
        <v>15799</v>
      </c>
      <c r="I8047" t="s">
        <v>31430</v>
      </c>
      <c r="J8047" t="s">
        <v>31634</v>
      </c>
      <c r="K8047" t="s">
        <v>40665</v>
      </c>
      <c r="M8047" t="s">
        <v>43358</v>
      </c>
      <c r="N8047" t="s">
        <v>44905</v>
      </c>
      <c r="O8047" t="s">
        <v>44906</v>
      </c>
      <c r="P8047">
        <v>0</v>
      </c>
      <c r="Q8047">
        <v>3</v>
      </c>
      <c r="R8047" t="s">
        <v>44910</v>
      </c>
      <c r="S8047" t="s">
        <v>45076</v>
      </c>
      <c r="T8047" t="s">
        <v>46449</v>
      </c>
      <c r="U8047" t="s">
        <v>53402</v>
      </c>
      <c r="V8047" t="s">
        <v>59845</v>
      </c>
      <c r="W8047" t="s">
        <v>43358</v>
      </c>
      <c r="X8047" t="s">
        <v>44911</v>
      </c>
    </row>
    <row r="8048" spans="1:24">
      <c r="A8048">
        <f>HYPERLINK("https://www.philgeps.gov.ph/GEPSNONPILOT/Tender/SplashBidNoticeAbstractUI.aspx?menuIndex=3&amp;refID=7075247&amp;Result=3","7075247")</f>
        <v>0</v>
      </c>
      <c r="B8048" t="s">
        <v>1150</v>
      </c>
      <c r="C8048" t="s">
        <v>11196</v>
      </c>
      <c r="E8048" t="s">
        <v>25275</v>
      </c>
      <c r="F8048" t="s">
        <v>31362</v>
      </c>
      <c r="G8048" t="s">
        <v>31372</v>
      </c>
      <c r="H8048" t="s">
        <v>15799</v>
      </c>
      <c r="I8048" t="s">
        <v>13635</v>
      </c>
      <c r="J8048" t="s">
        <v>36430</v>
      </c>
      <c r="K8048" t="s">
        <v>40662</v>
      </c>
      <c r="M8048" t="s">
        <v>42159</v>
      </c>
      <c r="N8048" t="s">
        <v>44905</v>
      </c>
      <c r="O8048" t="s">
        <v>44906</v>
      </c>
      <c r="P8048">
        <v>0</v>
      </c>
      <c r="Q8048">
        <v>2</v>
      </c>
      <c r="R8048" t="s">
        <v>44910</v>
      </c>
      <c r="S8048" t="s">
        <v>45076</v>
      </c>
      <c r="T8048" t="s">
        <v>46435</v>
      </c>
      <c r="U8048" t="s">
        <v>53403</v>
      </c>
      <c r="W8048" t="s">
        <v>42159</v>
      </c>
      <c r="X8048" t="s">
        <v>44911</v>
      </c>
    </row>
    <row r="8049" spans="1:24">
      <c r="A8049">
        <f>HYPERLINK("https://www.philgeps.gov.ph/GEPSNONPILOT/Tender/SplashBidNoticeAbstractUI.aspx?menuIndex=3&amp;refID=7075245&amp;Result=3","7075245")</f>
        <v>0</v>
      </c>
      <c r="B8049" t="s">
        <v>2276</v>
      </c>
      <c r="C8049" t="s">
        <v>11197</v>
      </c>
      <c r="D8049" t="s">
        <v>18132</v>
      </c>
      <c r="E8049" t="s">
        <v>25276</v>
      </c>
      <c r="F8049" t="s">
        <v>31362</v>
      </c>
      <c r="G8049" t="s">
        <v>31369</v>
      </c>
      <c r="H8049" t="s">
        <v>31378</v>
      </c>
      <c r="I8049" t="s">
        <v>31386</v>
      </c>
      <c r="J8049" t="s">
        <v>36431</v>
      </c>
      <c r="K8049" t="s">
        <v>40679</v>
      </c>
      <c r="M8049" t="s">
        <v>43415</v>
      </c>
      <c r="N8049" t="s">
        <v>44905</v>
      </c>
      <c r="O8049" t="s">
        <v>44906</v>
      </c>
      <c r="P8049">
        <v>0</v>
      </c>
      <c r="Q8049">
        <v>0</v>
      </c>
      <c r="R8049" t="s">
        <v>44910</v>
      </c>
      <c r="S8049" t="s">
        <v>45076</v>
      </c>
      <c r="T8049" t="s">
        <v>46696</v>
      </c>
      <c r="U8049" t="s">
        <v>53031</v>
      </c>
      <c r="W8049" t="s">
        <v>43415</v>
      </c>
      <c r="X8049" t="s">
        <v>44911</v>
      </c>
    </row>
    <row r="8050" spans="1:24">
      <c r="A8050">
        <f>HYPERLINK("https://www.philgeps.gov.ph/GEPSNONPILOT/Tender/SplashBidNoticeAbstractUI.aspx?menuIndex=3&amp;refID=7075244&amp;Result=3","7075244")</f>
        <v>0</v>
      </c>
      <c r="B8050" t="s">
        <v>1725</v>
      </c>
      <c r="C8050" t="s">
        <v>11198</v>
      </c>
      <c r="D8050" t="s">
        <v>18108</v>
      </c>
      <c r="E8050" t="s">
        <v>25277</v>
      </c>
      <c r="F8050" t="s">
        <v>31362</v>
      </c>
      <c r="G8050" t="s">
        <v>31368</v>
      </c>
      <c r="H8050" t="s">
        <v>15799</v>
      </c>
      <c r="I8050" t="s">
        <v>31400</v>
      </c>
      <c r="J8050" t="s">
        <v>31577</v>
      </c>
      <c r="K8050" t="s">
        <v>40662</v>
      </c>
      <c r="M8050" t="s">
        <v>43548</v>
      </c>
      <c r="N8050" t="s">
        <v>44905</v>
      </c>
      <c r="O8050" t="s">
        <v>44906</v>
      </c>
      <c r="Q8050">
        <v>7</v>
      </c>
      <c r="R8050" t="s">
        <v>44910</v>
      </c>
      <c r="S8050" t="s">
        <v>45113</v>
      </c>
      <c r="T8050" t="s">
        <v>46447</v>
      </c>
      <c r="U8050" t="s">
        <v>47898</v>
      </c>
      <c r="V8050" t="s">
        <v>59846</v>
      </c>
      <c r="W8050" t="s">
        <v>43548</v>
      </c>
      <c r="X8050" t="s">
        <v>44911</v>
      </c>
    </row>
    <row r="8051" spans="1:24">
      <c r="A8051">
        <f>HYPERLINK("https://www.philgeps.gov.ph/GEPSNONPILOT/Tender/SplashBidNoticeAbstractUI.aspx?menuIndex=3&amp;refID=7075258&amp;Result=3","7075258")</f>
        <v>0</v>
      </c>
      <c r="B8051" t="s">
        <v>1091</v>
      </c>
      <c r="C8051" t="s">
        <v>11199</v>
      </c>
      <c r="D8051" t="s">
        <v>18177</v>
      </c>
      <c r="E8051" t="s">
        <v>25278</v>
      </c>
      <c r="F8051" t="s">
        <v>31362</v>
      </c>
      <c r="G8051" t="s">
        <v>31369</v>
      </c>
      <c r="H8051" t="s">
        <v>15799</v>
      </c>
      <c r="I8051" t="s">
        <v>31387</v>
      </c>
      <c r="J8051" t="s">
        <v>36432</v>
      </c>
      <c r="K8051" t="s">
        <v>40666</v>
      </c>
      <c r="M8051" t="s">
        <v>42096</v>
      </c>
      <c r="N8051" t="s">
        <v>44905</v>
      </c>
      <c r="O8051" t="s">
        <v>44906</v>
      </c>
      <c r="P8051">
        <v>0</v>
      </c>
      <c r="Q8051">
        <v>0</v>
      </c>
      <c r="R8051" t="s">
        <v>44910</v>
      </c>
      <c r="S8051" t="s">
        <v>45076</v>
      </c>
      <c r="T8051" t="s">
        <v>46462</v>
      </c>
      <c r="U8051" t="s">
        <v>53404</v>
      </c>
      <c r="W8051" t="s">
        <v>42096</v>
      </c>
      <c r="X8051" t="s">
        <v>44911</v>
      </c>
    </row>
    <row r="8052" spans="1:24">
      <c r="A8052">
        <f>HYPERLINK("https://www.philgeps.gov.ph/GEPSNONPILOT/Tender/SplashBidNoticeAbstractUI.aspx?menuIndex=3&amp;refID=7075314&amp;Result=3","7075314")</f>
        <v>0</v>
      </c>
      <c r="B8052" t="s">
        <v>2379</v>
      </c>
      <c r="C8052" t="s">
        <v>11200</v>
      </c>
      <c r="D8052" t="s">
        <v>18146</v>
      </c>
      <c r="E8052" t="s">
        <v>25279</v>
      </c>
      <c r="F8052" t="s">
        <v>31362</v>
      </c>
      <c r="G8052" t="s">
        <v>31369</v>
      </c>
      <c r="H8052" t="s">
        <v>31378</v>
      </c>
      <c r="I8052" t="s">
        <v>31386</v>
      </c>
      <c r="J8052" t="s">
        <v>31570</v>
      </c>
      <c r="K8052" t="s">
        <v>40666</v>
      </c>
      <c r="M8052" t="s">
        <v>43527</v>
      </c>
      <c r="N8052" t="s">
        <v>44905</v>
      </c>
      <c r="O8052" t="s">
        <v>44906</v>
      </c>
      <c r="P8052">
        <v>0</v>
      </c>
      <c r="Q8052">
        <v>0</v>
      </c>
      <c r="R8052" t="s">
        <v>44910</v>
      </c>
      <c r="S8052" t="s">
        <v>45076</v>
      </c>
      <c r="T8052" t="s">
        <v>46467</v>
      </c>
      <c r="U8052" t="s">
        <v>53405</v>
      </c>
      <c r="W8052" t="s">
        <v>43527</v>
      </c>
      <c r="X8052" t="s">
        <v>44911</v>
      </c>
    </row>
    <row r="8053" spans="1:24">
      <c r="A8053">
        <f>HYPERLINK("https://www.philgeps.gov.ph/GEPSNONPILOT/Tender/SplashBidNoticeAbstractUI.aspx?menuIndex=3&amp;refID=7075254&amp;Result=3","7075254")</f>
        <v>0</v>
      </c>
      <c r="B8053" t="s">
        <v>672</v>
      </c>
      <c r="C8053" t="s">
        <v>11201</v>
      </c>
      <c r="D8053" t="s">
        <v>18103</v>
      </c>
      <c r="E8053" t="s">
        <v>25280</v>
      </c>
      <c r="F8053" t="s">
        <v>31362</v>
      </c>
      <c r="G8053" t="s">
        <v>31369</v>
      </c>
      <c r="H8053" t="s">
        <v>31378</v>
      </c>
      <c r="I8053" t="s">
        <v>31386</v>
      </c>
      <c r="J8053" t="s">
        <v>36377</v>
      </c>
      <c r="K8053" t="s">
        <v>40682</v>
      </c>
      <c r="M8053" t="s">
        <v>41634</v>
      </c>
      <c r="N8053" t="s">
        <v>44905</v>
      </c>
      <c r="O8053" t="s">
        <v>44906</v>
      </c>
      <c r="P8053">
        <v>0</v>
      </c>
      <c r="Q8053">
        <v>3</v>
      </c>
      <c r="R8053" t="s">
        <v>44910</v>
      </c>
      <c r="S8053" t="s">
        <v>45076</v>
      </c>
      <c r="T8053" t="s">
        <v>46433</v>
      </c>
      <c r="U8053" t="s">
        <v>53336</v>
      </c>
      <c r="W8053" t="s">
        <v>60863</v>
      </c>
      <c r="X8053" t="s">
        <v>44911</v>
      </c>
    </row>
    <row r="8054" spans="1:24">
      <c r="A8054">
        <f>HYPERLINK("https://www.philgeps.gov.ph/GEPSNONPILOT/Tender/SplashBidNoticeAbstractUI.aspx?menuIndex=3&amp;refID=7075324&amp;Result=3","7075324")</f>
        <v>0</v>
      </c>
      <c r="B8054" t="s">
        <v>2398</v>
      </c>
      <c r="C8054" t="s">
        <v>11202</v>
      </c>
      <c r="D8054" t="s">
        <v>18138</v>
      </c>
      <c r="E8054" t="s">
        <v>25281</v>
      </c>
      <c r="F8054" t="s">
        <v>31362</v>
      </c>
      <c r="G8054" t="s">
        <v>31369</v>
      </c>
      <c r="H8054" t="s">
        <v>31378</v>
      </c>
      <c r="I8054" t="s">
        <v>31386</v>
      </c>
      <c r="J8054" t="s">
        <v>36433</v>
      </c>
      <c r="K8054" t="s">
        <v>40686</v>
      </c>
      <c r="M8054" t="s">
        <v>43549</v>
      </c>
      <c r="N8054" t="s">
        <v>44905</v>
      </c>
      <c r="O8054" t="s">
        <v>44906</v>
      </c>
      <c r="P8054">
        <v>0</v>
      </c>
      <c r="Q8054">
        <v>6</v>
      </c>
      <c r="R8054" t="s">
        <v>44910</v>
      </c>
      <c r="S8054" t="s">
        <v>45076</v>
      </c>
      <c r="T8054" t="s">
        <v>46696</v>
      </c>
      <c r="U8054" t="s">
        <v>53406</v>
      </c>
      <c r="V8054" t="s">
        <v>59382</v>
      </c>
      <c r="W8054" t="s">
        <v>43549</v>
      </c>
      <c r="X8054" t="s">
        <v>44911</v>
      </c>
    </row>
    <row r="8055" spans="1:24">
      <c r="A8055">
        <f>HYPERLINK("https://www.philgeps.gov.ph/GEPSNONPILOT/Tender/SplashBidNoticeAbstractUI.aspx?menuIndex=3&amp;refID=7075323&amp;Result=3","7075323")</f>
        <v>0</v>
      </c>
      <c r="B8055" t="s">
        <v>2399</v>
      </c>
      <c r="C8055" t="s">
        <v>11203</v>
      </c>
      <c r="D8055" t="s">
        <v>18117</v>
      </c>
      <c r="E8055" t="s">
        <v>25282</v>
      </c>
      <c r="F8055" t="s">
        <v>31362</v>
      </c>
      <c r="G8055" t="s">
        <v>31368</v>
      </c>
      <c r="H8055" t="s">
        <v>15799</v>
      </c>
      <c r="I8055" t="s">
        <v>31393</v>
      </c>
      <c r="J8055" t="s">
        <v>36434</v>
      </c>
      <c r="K8055" t="s">
        <v>40662</v>
      </c>
      <c r="M8055" t="s">
        <v>43550</v>
      </c>
      <c r="N8055" t="s">
        <v>44905</v>
      </c>
      <c r="O8055" t="s">
        <v>44906</v>
      </c>
      <c r="P8055">
        <v>0</v>
      </c>
      <c r="Q8055">
        <v>0</v>
      </c>
      <c r="R8055" t="s">
        <v>44910</v>
      </c>
      <c r="S8055" t="s">
        <v>45076</v>
      </c>
      <c r="T8055" t="s">
        <v>46454</v>
      </c>
      <c r="U8055" t="s">
        <v>53407</v>
      </c>
      <c r="W8055" t="s">
        <v>43550</v>
      </c>
      <c r="X8055" t="s">
        <v>44911</v>
      </c>
    </row>
    <row r="8056" spans="1:24">
      <c r="A8056">
        <f>HYPERLINK("https://www.philgeps.gov.ph/GEPSNONPILOT/Tender/SplashBidNoticeAbstractUI.aspx?menuIndex=3&amp;refID=7075246&amp;Result=3","7075246")</f>
        <v>0</v>
      </c>
      <c r="B8056" t="s">
        <v>2400</v>
      </c>
      <c r="C8056" t="s">
        <v>11204</v>
      </c>
      <c r="D8056" t="s">
        <v>18108</v>
      </c>
      <c r="E8056" t="s">
        <v>24723</v>
      </c>
      <c r="F8056" t="s">
        <v>31362</v>
      </c>
      <c r="G8056" t="s">
        <v>31369</v>
      </c>
      <c r="H8056" t="s">
        <v>15799</v>
      </c>
      <c r="I8056" t="s">
        <v>7090</v>
      </c>
      <c r="J8056" t="s">
        <v>31806</v>
      </c>
      <c r="K8056" t="s">
        <v>40672</v>
      </c>
      <c r="M8056" t="s">
        <v>43551</v>
      </c>
      <c r="N8056" t="s">
        <v>44905</v>
      </c>
      <c r="O8056" t="s">
        <v>44906</v>
      </c>
      <c r="P8056">
        <v>0</v>
      </c>
      <c r="Q8056">
        <v>3</v>
      </c>
      <c r="R8056" t="s">
        <v>44910</v>
      </c>
      <c r="S8056" t="s">
        <v>45076</v>
      </c>
      <c r="T8056" t="s">
        <v>46410</v>
      </c>
      <c r="U8056" t="s">
        <v>53408</v>
      </c>
      <c r="W8056" t="s">
        <v>43551</v>
      </c>
      <c r="X8056" t="s">
        <v>44911</v>
      </c>
    </row>
    <row r="8057" spans="1:24">
      <c r="A8057">
        <f>HYPERLINK("https://www.philgeps.gov.ph/GEPSNONPILOT/Tender/SplashBidNoticeAbstractUI.aspx?menuIndex=3&amp;refID=7075315&amp;Result=3","7075315")</f>
        <v>0</v>
      </c>
      <c r="B8057" t="s">
        <v>2333</v>
      </c>
      <c r="C8057" t="s">
        <v>11205</v>
      </c>
      <c r="D8057" t="s">
        <v>18132</v>
      </c>
      <c r="E8057" t="s">
        <v>24870</v>
      </c>
      <c r="F8057" t="s">
        <v>31362</v>
      </c>
      <c r="G8057" t="s">
        <v>31369</v>
      </c>
      <c r="H8057" t="s">
        <v>31378</v>
      </c>
      <c r="I8057" t="s">
        <v>31386</v>
      </c>
      <c r="J8057" t="s">
        <v>36435</v>
      </c>
      <c r="K8057" t="s">
        <v>40679</v>
      </c>
      <c r="M8057" t="s">
        <v>43473</v>
      </c>
      <c r="N8057" t="s">
        <v>44905</v>
      </c>
      <c r="O8057" t="s">
        <v>44906</v>
      </c>
      <c r="P8057">
        <v>0</v>
      </c>
      <c r="Q8057">
        <v>0</v>
      </c>
      <c r="R8057" t="s">
        <v>44910</v>
      </c>
      <c r="S8057" t="s">
        <v>45076</v>
      </c>
      <c r="T8057" t="s">
        <v>46419</v>
      </c>
      <c r="U8057" t="s">
        <v>53409</v>
      </c>
      <c r="W8057" t="s">
        <v>43473</v>
      </c>
      <c r="X8057" t="s">
        <v>44911</v>
      </c>
    </row>
    <row r="8058" spans="1:24">
      <c r="A8058">
        <f>HYPERLINK("https://www.philgeps.gov.ph/GEPSNONPILOT/Tender/SplashBidNoticeAbstractUI.aspx?menuIndex=3&amp;refID=7075151&amp;Result=3","7075151")</f>
        <v>0</v>
      </c>
      <c r="B8058" t="s">
        <v>180</v>
      </c>
      <c r="C8058" t="s">
        <v>11206</v>
      </c>
      <c r="D8058" t="s">
        <v>18112</v>
      </c>
      <c r="E8058" t="s">
        <v>25283</v>
      </c>
      <c r="F8058" t="s">
        <v>31362</v>
      </c>
      <c r="G8058" t="s">
        <v>31368</v>
      </c>
      <c r="H8058" t="s">
        <v>15799</v>
      </c>
      <c r="I8058" t="s">
        <v>6240</v>
      </c>
      <c r="J8058" t="s">
        <v>36436</v>
      </c>
      <c r="K8058" t="s">
        <v>40680</v>
      </c>
      <c r="M8058" t="s">
        <v>41118</v>
      </c>
      <c r="N8058" t="s">
        <v>44905</v>
      </c>
      <c r="O8058" t="s">
        <v>44906</v>
      </c>
      <c r="P8058">
        <v>0</v>
      </c>
      <c r="Q8058">
        <v>0</v>
      </c>
      <c r="R8058" t="s">
        <v>44910</v>
      </c>
      <c r="S8058" t="s">
        <v>45076</v>
      </c>
      <c r="T8058" t="s">
        <v>46410</v>
      </c>
      <c r="U8058" t="s">
        <v>53410</v>
      </c>
      <c r="W8058" t="s">
        <v>41118</v>
      </c>
      <c r="X8058" t="s">
        <v>44911</v>
      </c>
    </row>
    <row r="8059" spans="1:24">
      <c r="A8059">
        <f>HYPERLINK("https://www.philgeps.gov.ph/GEPSNONPILOT/Tender/SplashBidNoticeAbstractUI.aspx?menuIndex=3&amp;refID=7075287&amp;Result=3","7075287")</f>
        <v>0</v>
      </c>
      <c r="B8059" t="s">
        <v>682</v>
      </c>
      <c r="C8059" t="s">
        <v>11207</v>
      </c>
      <c r="E8059" t="s">
        <v>25284</v>
      </c>
      <c r="F8059" t="s">
        <v>31362</v>
      </c>
      <c r="G8059" t="s">
        <v>31368</v>
      </c>
      <c r="H8059" t="s">
        <v>15799</v>
      </c>
      <c r="I8059" t="s">
        <v>3815</v>
      </c>
      <c r="J8059" t="s">
        <v>36437</v>
      </c>
      <c r="K8059" t="s">
        <v>40670</v>
      </c>
      <c r="M8059" t="s">
        <v>41644</v>
      </c>
      <c r="N8059" t="s">
        <v>44905</v>
      </c>
      <c r="O8059" t="s">
        <v>44906</v>
      </c>
      <c r="P8059">
        <v>0</v>
      </c>
      <c r="Q8059">
        <v>2</v>
      </c>
      <c r="R8059" t="s">
        <v>44910</v>
      </c>
      <c r="S8059" t="s">
        <v>45076</v>
      </c>
      <c r="T8059" t="s">
        <v>46506</v>
      </c>
      <c r="U8059" t="s">
        <v>53411</v>
      </c>
      <c r="V8059" t="s">
        <v>59829</v>
      </c>
      <c r="W8059" t="s">
        <v>41644</v>
      </c>
      <c r="X8059" t="s">
        <v>44911</v>
      </c>
    </row>
    <row r="8060" spans="1:24">
      <c r="A8060">
        <f>HYPERLINK("https://www.philgeps.gov.ph/GEPSNONPILOT/Tender/SplashBidNoticeAbstractUI.aspx?menuIndex=3&amp;refID=7075313&amp;Result=3","7075313")</f>
        <v>0</v>
      </c>
      <c r="B8060" t="s">
        <v>908</v>
      </c>
      <c r="C8060" t="s">
        <v>11208</v>
      </c>
      <c r="D8060" t="s">
        <v>18155</v>
      </c>
      <c r="E8060" t="s">
        <v>25219</v>
      </c>
      <c r="F8060" t="s">
        <v>31362</v>
      </c>
      <c r="G8060" t="s">
        <v>31368</v>
      </c>
      <c r="H8060" t="s">
        <v>15799</v>
      </c>
      <c r="I8060" t="s">
        <v>31397</v>
      </c>
      <c r="J8060" t="s">
        <v>36438</v>
      </c>
      <c r="K8060" t="s">
        <v>40666</v>
      </c>
      <c r="M8060" t="s">
        <v>41979</v>
      </c>
      <c r="N8060" t="s">
        <v>44905</v>
      </c>
      <c r="O8060" t="s">
        <v>44906</v>
      </c>
      <c r="P8060">
        <v>0</v>
      </c>
      <c r="Q8060">
        <v>1</v>
      </c>
      <c r="R8060" t="s">
        <v>44910</v>
      </c>
      <c r="S8060" t="s">
        <v>45076</v>
      </c>
      <c r="T8060" t="s">
        <v>46416</v>
      </c>
      <c r="U8060" t="s">
        <v>53412</v>
      </c>
      <c r="W8060" t="s">
        <v>41979</v>
      </c>
      <c r="X8060" t="s">
        <v>44911</v>
      </c>
    </row>
    <row r="8061" spans="1:24">
      <c r="A8061">
        <f>HYPERLINK("https://www.philgeps.gov.ph/GEPSNONPILOT/Tender/SplashBidNoticeAbstractUI.aspx?menuIndex=3&amp;refID=7075308&amp;Result=3","7075308")</f>
        <v>0</v>
      </c>
      <c r="B8061" t="s">
        <v>2261</v>
      </c>
      <c r="C8061" t="s">
        <v>11209</v>
      </c>
      <c r="D8061" t="s">
        <v>18162</v>
      </c>
      <c r="E8061" t="s">
        <v>25285</v>
      </c>
      <c r="F8061" t="s">
        <v>31362</v>
      </c>
      <c r="G8061" t="s">
        <v>31369</v>
      </c>
      <c r="H8061" t="s">
        <v>15799</v>
      </c>
      <c r="I8061" t="s">
        <v>6240</v>
      </c>
      <c r="J8061" t="s">
        <v>31570</v>
      </c>
      <c r="K8061" t="s">
        <v>40666</v>
      </c>
      <c r="M8061" t="s">
        <v>43400</v>
      </c>
      <c r="N8061" t="s">
        <v>44905</v>
      </c>
      <c r="O8061" t="s">
        <v>44906</v>
      </c>
      <c r="P8061">
        <v>0</v>
      </c>
      <c r="Q8061">
        <v>1</v>
      </c>
      <c r="R8061" t="s">
        <v>44910</v>
      </c>
      <c r="S8061" t="s">
        <v>45076</v>
      </c>
      <c r="T8061" t="s">
        <v>46425</v>
      </c>
      <c r="U8061" t="s">
        <v>53413</v>
      </c>
      <c r="W8061" t="s">
        <v>43400</v>
      </c>
      <c r="X8061" t="s">
        <v>44911</v>
      </c>
    </row>
    <row r="8062" spans="1:24">
      <c r="A8062">
        <f>HYPERLINK("https://www.philgeps.gov.ph/GEPSNONPILOT/Tender/SplashBidNoticeAbstractUI.aspx?menuIndex=3&amp;refID=7075317&amp;Result=3","7075317")</f>
        <v>0</v>
      </c>
      <c r="B8062" t="s">
        <v>1261</v>
      </c>
      <c r="C8062" t="s">
        <v>11210</v>
      </c>
      <c r="D8062" t="s">
        <v>18113</v>
      </c>
      <c r="E8062" t="s">
        <v>11210</v>
      </c>
      <c r="F8062" t="s">
        <v>31362</v>
      </c>
      <c r="G8062" t="s">
        <v>31369</v>
      </c>
      <c r="H8062" t="s">
        <v>15799</v>
      </c>
      <c r="I8062" t="s">
        <v>7188</v>
      </c>
      <c r="J8062" t="s">
        <v>32065</v>
      </c>
      <c r="K8062" t="s">
        <v>40665</v>
      </c>
      <c r="M8062" t="s">
        <v>42277</v>
      </c>
      <c r="N8062" t="s">
        <v>44905</v>
      </c>
      <c r="O8062" t="s">
        <v>44906</v>
      </c>
      <c r="P8062">
        <v>0</v>
      </c>
      <c r="Q8062">
        <v>0</v>
      </c>
      <c r="R8062" t="s">
        <v>44910</v>
      </c>
      <c r="S8062" t="s">
        <v>45076</v>
      </c>
      <c r="T8062" t="s">
        <v>46493</v>
      </c>
      <c r="U8062" t="s">
        <v>53414</v>
      </c>
      <c r="W8062" t="s">
        <v>42277</v>
      </c>
      <c r="X8062" t="s">
        <v>44911</v>
      </c>
    </row>
    <row r="8063" spans="1:24">
      <c r="A8063">
        <f>HYPERLINK("https://www.philgeps.gov.ph/GEPSNONPILOT/Tender/SplashBidNoticeAbstractUI.aspx?menuIndex=3&amp;refID=7075304&amp;Result=3","7075304")</f>
        <v>0</v>
      </c>
      <c r="B8063" t="s">
        <v>672</v>
      </c>
      <c r="C8063" t="s">
        <v>11211</v>
      </c>
      <c r="D8063" t="s">
        <v>18103</v>
      </c>
      <c r="E8063" t="s">
        <v>25286</v>
      </c>
      <c r="F8063" t="s">
        <v>31362</v>
      </c>
      <c r="G8063" t="s">
        <v>31369</v>
      </c>
      <c r="H8063" t="s">
        <v>31378</v>
      </c>
      <c r="I8063" t="s">
        <v>31386</v>
      </c>
      <c r="J8063" t="s">
        <v>31726</v>
      </c>
      <c r="K8063" t="s">
        <v>40682</v>
      </c>
      <c r="M8063" t="s">
        <v>41634</v>
      </c>
      <c r="N8063" t="s">
        <v>44905</v>
      </c>
      <c r="O8063" t="s">
        <v>44906</v>
      </c>
      <c r="P8063">
        <v>0</v>
      </c>
      <c r="Q8063">
        <v>3</v>
      </c>
      <c r="R8063" t="s">
        <v>44910</v>
      </c>
      <c r="S8063" t="s">
        <v>45076</v>
      </c>
      <c r="T8063" t="s">
        <v>46433</v>
      </c>
      <c r="U8063" t="s">
        <v>53336</v>
      </c>
      <c r="W8063" t="s">
        <v>60863</v>
      </c>
      <c r="X8063" t="s">
        <v>44911</v>
      </c>
    </row>
    <row r="8064" spans="1:24">
      <c r="A8064">
        <f>HYPERLINK("https://www.philgeps.gov.ph/GEPSNONPILOT/Tender/SplashBidNoticeAbstractUI.aspx?menuIndex=3&amp;refID=7075301&amp;Result=3","7075301")</f>
        <v>0</v>
      </c>
      <c r="B8064" t="s">
        <v>2401</v>
      </c>
      <c r="C8064" t="s">
        <v>11212</v>
      </c>
      <c r="D8064" t="s">
        <v>18134</v>
      </c>
      <c r="E8064" t="s">
        <v>25287</v>
      </c>
      <c r="F8064" t="s">
        <v>31362</v>
      </c>
      <c r="G8064" t="s">
        <v>31369</v>
      </c>
      <c r="H8064" t="s">
        <v>15799</v>
      </c>
      <c r="I8064" t="s">
        <v>31436</v>
      </c>
      <c r="J8064" t="s">
        <v>36439</v>
      </c>
      <c r="K8064" t="s">
        <v>40669</v>
      </c>
      <c r="M8064" t="s">
        <v>43552</v>
      </c>
      <c r="N8064" t="s">
        <v>44905</v>
      </c>
      <c r="O8064" t="s">
        <v>44906</v>
      </c>
      <c r="P8064">
        <v>0</v>
      </c>
      <c r="Q8064">
        <v>1</v>
      </c>
      <c r="R8064" t="s">
        <v>44910</v>
      </c>
      <c r="S8064" t="s">
        <v>45076</v>
      </c>
      <c r="T8064" t="s">
        <v>46419</v>
      </c>
      <c r="U8064" t="s">
        <v>53415</v>
      </c>
      <c r="W8064" t="s">
        <v>43552</v>
      </c>
      <c r="X8064" t="s">
        <v>44911</v>
      </c>
    </row>
    <row r="8065" spans="1:24">
      <c r="A8065">
        <f>HYPERLINK("https://www.philgeps.gov.ph/GEPSNONPILOT/Tender/SplashBidNoticeAbstractUI.aspx?menuIndex=3&amp;refID=7075295&amp;Result=3","7075295")</f>
        <v>0</v>
      </c>
      <c r="B8065" t="s">
        <v>2398</v>
      </c>
      <c r="C8065" t="s">
        <v>11213</v>
      </c>
      <c r="D8065" t="s">
        <v>18138</v>
      </c>
      <c r="E8065" t="s">
        <v>25288</v>
      </c>
      <c r="F8065" t="s">
        <v>31362</v>
      </c>
      <c r="G8065" t="s">
        <v>31369</v>
      </c>
      <c r="H8065" t="s">
        <v>31378</v>
      </c>
      <c r="I8065" t="s">
        <v>31386</v>
      </c>
      <c r="J8065" t="s">
        <v>36433</v>
      </c>
      <c r="K8065" t="s">
        <v>40686</v>
      </c>
      <c r="M8065" t="s">
        <v>43549</v>
      </c>
      <c r="N8065" t="s">
        <v>44905</v>
      </c>
      <c r="O8065" t="s">
        <v>44906</v>
      </c>
      <c r="P8065">
        <v>0</v>
      </c>
      <c r="Q8065">
        <v>5</v>
      </c>
      <c r="R8065" t="s">
        <v>44910</v>
      </c>
      <c r="S8065" t="s">
        <v>45076</v>
      </c>
      <c r="T8065" t="s">
        <v>46696</v>
      </c>
      <c r="U8065" t="s">
        <v>53406</v>
      </c>
      <c r="V8065" t="s">
        <v>59382</v>
      </c>
      <c r="W8065" t="s">
        <v>43549</v>
      </c>
      <c r="X8065" t="s">
        <v>44911</v>
      </c>
    </row>
    <row r="8066" spans="1:24">
      <c r="A8066">
        <f>HYPERLINK("https://www.philgeps.gov.ph/GEPSNONPILOT/Tender/SplashBidNoticeAbstractUI.aspx?menuIndex=3&amp;refID=7075309&amp;Result=3","7075309")</f>
        <v>0</v>
      </c>
      <c r="B8066" t="s">
        <v>2381</v>
      </c>
      <c r="C8066" t="s">
        <v>11214</v>
      </c>
      <c r="D8066" t="s">
        <v>18120</v>
      </c>
      <c r="E8066" t="s">
        <v>25289</v>
      </c>
      <c r="F8066" t="s">
        <v>31362</v>
      </c>
      <c r="G8066" t="s">
        <v>31369</v>
      </c>
      <c r="H8066" t="s">
        <v>31378</v>
      </c>
      <c r="I8066" t="s">
        <v>31386</v>
      </c>
      <c r="J8066" t="s">
        <v>36440</v>
      </c>
      <c r="K8066" t="s">
        <v>40662</v>
      </c>
      <c r="M8066" t="s">
        <v>43530</v>
      </c>
      <c r="N8066" t="s">
        <v>44905</v>
      </c>
      <c r="O8066" t="s">
        <v>44906</v>
      </c>
      <c r="P8066">
        <v>0</v>
      </c>
      <c r="Q8066">
        <v>0</v>
      </c>
      <c r="R8066" t="s">
        <v>44910</v>
      </c>
      <c r="S8066" t="s">
        <v>45076</v>
      </c>
      <c r="T8066" t="s">
        <v>46419</v>
      </c>
      <c r="U8066" t="s">
        <v>53386</v>
      </c>
      <c r="W8066" t="s">
        <v>43530</v>
      </c>
      <c r="X8066" t="s">
        <v>44911</v>
      </c>
    </row>
    <row r="8067" spans="1:24">
      <c r="A8067">
        <f>HYPERLINK("https://www.philgeps.gov.ph/GEPSNONPILOT/Tender/SplashBidNoticeAbstractUI.aspx?menuIndex=3&amp;refID=7075293&amp;Result=3","7075293")</f>
        <v>0</v>
      </c>
      <c r="B8067" t="s">
        <v>2261</v>
      </c>
      <c r="C8067" t="s">
        <v>11215</v>
      </c>
      <c r="D8067" t="s">
        <v>18162</v>
      </c>
      <c r="E8067" t="s">
        <v>25290</v>
      </c>
      <c r="F8067" t="s">
        <v>31362</v>
      </c>
      <c r="G8067" t="s">
        <v>31369</v>
      </c>
      <c r="H8067" t="s">
        <v>15799</v>
      </c>
      <c r="I8067" t="s">
        <v>31399</v>
      </c>
      <c r="J8067" t="s">
        <v>36441</v>
      </c>
      <c r="K8067" t="s">
        <v>40686</v>
      </c>
      <c r="M8067" t="s">
        <v>43400</v>
      </c>
      <c r="N8067" t="s">
        <v>44905</v>
      </c>
      <c r="O8067" t="s">
        <v>44906</v>
      </c>
      <c r="P8067">
        <v>0</v>
      </c>
      <c r="Q8067">
        <v>4</v>
      </c>
      <c r="R8067" t="s">
        <v>44910</v>
      </c>
      <c r="S8067" t="s">
        <v>45076</v>
      </c>
      <c r="T8067" t="s">
        <v>46511</v>
      </c>
      <c r="U8067" t="s">
        <v>53416</v>
      </c>
      <c r="W8067" t="s">
        <v>43400</v>
      </c>
      <c r="X8067" t="s">
        <v>44911</v>
      </c>
    </row>
    <row r="8068" spans="1:24">
      <c r="A8068">
        <f>HYPERLINK("https://www.philgeps.gov.ph/GEPSNONPILOT/Tender/SplashBidNoticeAbstractUI.aspx?menuIndex=3&amp;refID=7075305&amp;Result=3","7075305")</f>
        <v>0</v>
      </c>
      <c r="B8068" t="s">
        <v>1985</v>
      </c>
      <c r="C8068" t="s">
        <v>11216</v>
      </c>
      <c r="D8068" t="s">
        <v>18168</v>
      </c>
      <c r="E8068" t="s">
        <v>25291</v>
      </c>
      <c r="F8068" t="s">
        <v>31362</v>
      </c>
      <c r="G8068" t="s">
        <v>31368</v>
      </c>
      <c r="H8068" t="s">
        <v>31378</v>
      </c>
      <c r="I8068" t="s">
        <v>31386</v>
      </c>
      <c r="J8068" t="s">
        <v>36442</v>
      </c>
      <c r="K8068" t="s">
        <v>40665</v>
      </c>
      <c r="M8068" t="s">
        <v>43094</v>
      </c>
      <c r="N8068" t="s">
        <v>44905</v>
      </c>
      <c r="O8068" t="s">
        <v>44906</v>
      </c>
      <c r="P8068">
        <v>0</v>
      </c>
      <c r="Q8068">
        <v>0</v>
      </c>
      <c r="R8068" t="s">
        <v>44910</v>
      </c>
      <c r="S8068" t="s">
        <v>45076</v>
      </c>
      <c r="T8068" t="s">
        <v>46415</v>
      </c>
      <c r="U8068" t="s">
        <v>53417</v>
      </c>
      <c r="W8068" t="s">
        <v>43094</v>
      </c>
      <c r="X8068" t="s">
        <v>44911</v>
      </c>
    </row>
    <row r="8069" spans="1:24">
      <c r="A8069">
        <f>HYPERLINK("https://www.philgeps.gov.ph/GEPSNONPILOT/Tender/SplashBidNoticeAbstractUI.aspx?menuIndex=3&amp;refID=7075290&amp;Result=3","7075290")</f>
        <v>0</v>
      </c>
      <c r="B8069" t="s">
        <v>2396</v>
      </c>
      <c r="C8069" t="s">
        <v>11217</v>
      </c>
      <c r="D8069" t="s">
        <v>18143</v>
      </c>
      <c r="E8069" t="s">
        <v>20889</v>
      </c>
      <c r="F8069" t="s">
        <v>31362</v>
      </c>
      <c r="G8069" t="s">
        <v>31369</v>
      </c>
      <c r="H8069" t="s">
        <v>31378</v>
      </c>
      <c r="I8069" t="s">
        <v>31386</v>
      </c>
      <c r="J8069" t="s">
        <v>36443</v>
      </c>
      <c r="K8069" t="s">
        <v>40694</v>
      </c>
      <c r="M8069" t="s">
        <v>43546</v>
      </c>
      <c r="N8069" t="s">
        <v>44905</v>
      </c>
      <c r="O8069" t="s">
        <v>44906</v>
      </c>
      <c r="P8069">
        <v>0</v>
      </c>
      <c r="Q8069">
        <v>0</v>
      </c>
      <c r="R8069" t="s">
        <v>44910</v>
      </c>
      <c r="S8069" t="s">
        <v>45076</v>
      </c>
      <c r="T8069" t="s">
        <v>46474</v>
      </c>
      <c r="U8069" t="s">
        <v>53418</v>
      </c>
      <c r="W8069" t="s">
        <v>60932</v>
      </c>
      <c r="X8069" t="s">
        <v>44911</v>
      </c>
    </row>
    <row r="8070" spans="1:24">
      <c r="A8070">
        <f>HYPERLINK("https://www.philgeps.gov.ph/GEPSNONPILOT/Tender/SplashBidNoticeAbstractUI.aspx?menuIndex=3&amp;refID=7075288&amp;Result=3","7075288")</f>
        <v>0</v>
      </c>
      <c r="B8070" t="s">
        <v>604</v>
      </c>
      <c r="C8070" t="s">
        <v>11218</v>
      </c>
      <c r="D8070" t="s">
        <v>18122</v>
      </c>
      <c r="E8070" t="s">
        <v>25292</v>
      </c>
      <c r="F8070" t="s">
        <v>31362</v>
      </c>
      <c r="G8070" t="s">
        <v>31373</v>
      </c>
      <c r="H8070" t="s">
        <v>31378</v>
      </c>
      <c r="I8070" t="s">
        <v>31386</v>
      </c>
      <c r="J8070" t="s">
        <v>36444</v>
      </c>
      <c r="K8070" t="s">
        <v>40725</v>
      </c>
      <c r="M8070" t="s">
        <v>41562</v>
      </c>
      <c r="N8070" t="s">
        <v>44905</v>
      </c>
      <c r="O8070" t="s">
        <v>44906</v>
      </c>
      <c r="P8070">
        <v>0</v>
      </c>
      <c r="Q8070">
        <v>6</v>
      </c>
      <c r="R8070" t="s">
        <v>44910</v>
      </c>
      <c r="S8070" t="s">
        <v>45076</v>
      </c>
      <c r="T8070" t="s">
        <v>46419</v>
      </c>
      <c r="U8070" t="s">
        <v>53419</v>
      </c>
      <c r="V8070" t="s">
        <v>59212</v>
      </c>
      <c r="W8070" t="s">
        <v>41562</v>
      </c>
      <c r="X8070" t="s">
        <v>44911</v>
      </c>
    </row>
    <row r="8071" spans="1:24">
      <c r="A8071">
        <f>HYPERLINK("https://www.philgeps.gov.ph/GEPSNONPILOT/Tender/SplashBidNoticeAbstractUI.aspx?menuIndex=3&amp;refID=7075286&amp;Result=3","7075286")</f>
        <v>0</v>
      </c>
      <c r="B8071" t="s">
        <v>2395</v>
      </c>
      <c r="C8071" t="s">
        <v>11219</v>
      </c>
      <c r="D8071" t="s">
        <v>18131</v>
      </c>
      <c r="E8071" t="s">
        <v>25293</v>
      </c>
      <c r="F8071" t="s">
        <v>31362</v>
      </c>
      <c r="G8071" t="s">
        <v>31372</v>
      </c>
      <c r="H8071" t="s">
        <v>31378</v>
      </c>
      <c r="I8071" t="s">
        <v>31386</v>
      </c>
      <c r="J8071" t="s">
        <v>36426</v>
      </c>
      <c r="K8071" t="s">
        <v>40662</v>
      </c>
      <c r="M8071" t="s">
        <v>43545</v>
      </c>
      <c r="N8071" t="s">
        <v>44905</v>
      </c>
      <c r="O8071" t="s">
        <v>44906</v>
      </c>
      <c r="P8071">
        <v>0</v>
      </c>
      <c r="Q8071">
        <v>1</v>
      </c>
      <c r="R8071" t="s">
        <v>44910</v>
      </c>
      <c r="S8071" t="s">
        <v>45076</v>
      </c>
      <c r="T8071" t="s">
        <v>46438</v>
      </c>
      <c r="U8071" t="s">
        <v>53420</v>
      </c>
      <c r="W8071" t="s">
        <v>43545</v>
      </c>
      <c r="X8071" t="s">
        <v>44911</v>
      </c>
    </row>
    <row r="8072" spans="1:24">
      <c r="A8072">
        <f>HYPERLINK("https://www.philgeps.gov.ph/GEPSNONPILOT/Tender/SplashBidNoticeAbstractUI.aspx?menuIndex=3&amp;refID=7075298&amp;Result=3","7075298")</f>
        <v>0</v>
      </c>
      <c r="B8072" t="s">
        <v>2402</v>
      </c>
      <c r="C8072" t="s">
        <v>9263</v>
      </c>
      <c r="D8072" t="s">
        <v>18116</v>
      </c>
      <c r="E8072" t="s">
        <v>24872</v>
      </c>
      <c r="F8072" t="s">
        <v>31362</v>
      </c>
      <c r="G8072" t="s">
        <v>31369</v>
      </c>
      <c r="H8072" t="s">
        <v>15799</v>
      </c>
      <c r="I8072" t="s">
        <v>4283</v>
      </c>
      <c r="J8072" t="s">
        <v>31530</v>
      </c>
      <c r="K8072" t="s">
        <v>40670</v>
      </c>
      <c r="M8072" t="s">
        <v>43553</v>
      </c>
      <c r="N8072" t="s">
        <v>44905</v>
      </c>
      <c r="O8072" t="s">
        <v>44906</v>
      </c>
      <c r="P8072">
        <v>0</v>
      </c>
      <c r="Q8072">
        <v>0</v>
      </c>
      <c r="R8072" t="s">
        <v>44910</v>
      </c>
      <c r="S8072" t="s">
        <v>45076</v>
      </c>
      <c r="T8072" t="s">
        <v>46410</v>
      </c>
      <c r="U8072" t="s">
        <v>53421</v>
      </c>
      <c r="W8072" t="s">
        <v>43553</v>
      </c>
      <c r="X8072" t="s">
        <v>44911</v>
      </c>
    </row>
    <row r="8073" spans="1:24">
      <c r="A8073">
        <f>HYPERLINK("https://www.philgeps.gov.ph/GEPSNONPILOT/Tender/SplashBidNoticeAbstractUI.aspx?menuIndex=3&amp;refID=7075212&amp;Result=3","7075212")</f>
        <v>0</v>
      </c>
      <c r="B8073" t="s">
        <v>672</v>
      </c>
      <c r="C8073" t="s">
        <v>11220</v>
      </c>
      <c r="D8073" t="s">
        <v>18103</v>
      </c>
      <c r="E8073" t="s">
        <v>25294</v>
      </c>
      <c r="F8073" t="s">
        <v>31362</v>
      </c>
      <c r="G8073" t="s">
        <v>31369</v>
      </c>
      <c r="H8073" t="s">
        <v>31378</v>
      </c>
      <c r="I8073" t="s">
        <v>31386</v>
      </c>
      <c r="J8073" t="s">
        <v>36377</v>
      </c>
      <c r="K8073" t="s">
        <v>40682</v>
      </c>
      <c r="M8073" t="s">
        <v>41634</v>
      </c>
      <c r="N8073" t="s">
        <v>44905</v>
      </c>
      <c r="O8073" t="s">
        <v>44906</v>
      </c>
      <c r="P8073">
        <v>0</v>
      </c>
      <c r="Q8073">
        <v>3</v>
      </c>
      <c r="R8073" t="s">
        <v>44910</v>
      </c>
      <c r="S8073" t="s">
        <v>45076</v>
      </c>
      <c r="T8073" t="s">
        <v>46433</v>
      </c>
      <c r="U8073" t="s">
        <v>53336</v>
      </c>
      <c r="W8073" t="s">
        <v>60863</v>
      </c>
      <c r="X8073" t="s">
        <v>44911</v>
      </c>
    </row>
    <row r="8074" spans="1:24">
      <c r="A8074">
        <f>HYPERLINK("https://www.philgeps.gov.ph/GEPSNONPILOT/Tender/SplashBidNoticeAbstractUI.aspx?menuIndex=3&amp;refID=7075206&amp;Result=3","7075206")</f>
        <v>0</v>
      </c>
      <c r="B8074" t="s">
        <v>776</v>
      </c>
      <c r="C8074" t="s">
        <v>11221</v>
      </c>
      <c r="D8074" t="s">
        <v>18108</v>
      </c>
      <c r="E8074" t="s">
        <v>23520</v>
      </c>
      <c r="F8074" t="s">
        <v>31362</v>
      </c>
      <c r="G8074" t="s">
        <v>31368</v>
      </c>
      <c r="H8074" t="s">
        <v>15799</v>
      </c>
      <c r="I8074" t="s">
        <v>31402</v>
      </c>
      <c r="J8074" t="s">
        <v>32406</v>
      </c>
      <c r="K8074" t="s">
        <v>40662</v>
      </c>
      <c r="M8074" t="s">
        <v>41744</v>
      </c>
      <c r="N8074" t="s">
        <v>44905</v>
      </c>
      <c r="O8074" t="s">
        <v>44906</v>
      </c>
      <c r="P8074">
        <v>0</v>
      </c>
      <c r="Q8074">
        <v>2</v>
      </c>
      <c r="R8074" t="s">
        <v>44910</v>
      </c>
      <c r="S8074" t="s">
        <v>45076</v>
      </c>
      <c r="T8074" t="s">
        <v>46586</v>
      </c>
      <c r="U8074" t="s">
        <v>53422</v>
      </c>
      <c r="W8074" t="s">
        <v>41744</v>
      </c>
      <c r="X8074" t="s">
        <v>44911</v>
      </c>
    </row>
    <row r="8075" spans="1:24">
      <c r="A8075">
        <f>HYPERLINK("https://www.philgeps.gov.ph/GEPSNONPILOT/Tender/SplashBidNoticeAbstractUI.aspx?menuIndex=3&amp;refID=7075361&amp;Result=3","7075361")</f>
        <v>0</v>
      </c>
      <c r="B8075" t="s">
        <v>682</v>
      </c>
      <c r="C8075" t="s">
        <v>11222</v>
      </c>
      <c r="E8075" t="s">
        <v>25295</v>
      </c>
      <c r="F8075" t="s">
        <v>31362</v>
      </c>
      <c r="G8075" t="s">
        <v>31368</v>
      </c>
      <c r="H8075" t="s">
        <v>15799</v>
      </c>
      <c r="I8075" t="s">
        <v>31393</v>
      </c>
      <c r="J8075" t="s">
        <v>31806</v>
      </c>
      <c r="K8075" t="s">
        <v>40670</v>
      </c>
      <c r="M8075" t="s">
        <v>41644</v>
      </c>
      <c r="N8075" t="s">
        <v>44905</v>
      </c>
      <c r="O8075" t="s">
        <v>44906</v>
      </c>
      <c r="P8075">
        <v>0</v>
      </c>
      <c r="Q8075">
        <v>2</v>
      </c>
      <c r="R8075" t="s">
        <v>44910</v>
      </c>
      <c r="S8075" t="s">
        <v>45076</v>
      </c>
      <c r="T8075" t="s">
        <v>46506</v>
      </c>
      <c r="U8075" t="s">
        <v>53423</v>
      </c>
      <c r="V8075" t="s">
        <v>59829</v>
      </c>
      <c r="W8075" t="s">
        <v>41644</v>
      </c>
      <c r="X8075" t="s">
        <v>44911</v>
      </c>
    </row>
    <row r="8076" spans="1:24">
      <c r="A8076">
        <f>HYPERLINK("https://www.philgeps.gov.ph/GEPSNONPILOT/Tender/SplashBidNoticeAbstractUI.aspx?menuIndex=3&amp;refID=7075306&amp;Result=3","7075306")</f>
        <v>0</v>
      </c>
      <c r="B8076" t="s">
        <v>2394</v>
      </c>
      <c r="C8076" t="s">
        <v>11223</v>
      </c>
      <c r="D8076" t="s">
        <v>18107</v>
      </c>
      <c r="E8076" t="s">
        <v>25296</v>
      </c>
      <c r="F8076" t="s">
        <v>31362</v>
      </c>
      <c r="G8076" t="s">
        <v>31369</v>
      </c>
      <c r="H8076" t="s">
        <v>31378</v>
      </c>
      <c r="I8076" t="s">
        <v>31386</v>
      </c>
      <c r="J8076" t="s">
        <v>36445</v>
      </c>
      <c r="K8076" t="s">
        <v>40679</v>
      </c>
      <c r="M8076" t="s">
        <v>43544</v>
      </c>
      <c r="N8076" t="s">
        <v>44905</v>
      </c>
      <c r="O8076" t="s">
        <v>44906</v>
      </c>
      <c r="P8076">
        <v>0</v>
      </c>
      <c r="Q8076">
        <v>0</v>
      </c>
      <c r="R8076" t="s">
        <v>44910</v>
      </c>
      <c r="S8076" t="s">
        <v>45076</v>
      </c>
      <c r="T8076" t="s">
        <v>46400</v>
      </c>
      <c r="U8076" t="s">
        <v>53424</v>
      </c>
      <c r="W8076" t="s">
        <v>43544</v>
      </c>
      <c r="X8076" t="s">
        <v>44911</v>
      </c>
    </row>
    <row r="8077" spans="1:24">
      <c r="A8077">
        <f>HYPERLINK("https://www.philgeps.gov.ph/GEPSNONPILOT/Tender/SplashBidNoticeAbstractUI.aspx?menuIndex=3&amp;refID=7075358&amp;Result=3","7075358")</f>
        <v>0</v>
      </c>
      <c r="B8077" t="s">
        <v>1261</v>
      </c>
      <c r="C8077" t="s">
        <v>11224</v>
      </c>
      <c r="D8077" t="s">
        <v>18113</v>
      </c>
      <c r="E8077" t="s">
        <v>11224</v>
      </c>
      <c r="F8077" t="s">
        <v>31362</v>
      </c>
      <c r="G8077" t="s">
        <v>31369</v>
      </c>
      <c r="H8077" t="s">
        <v>15799</v>
      </c>
      <c r="I8077" t="s">
        <v>31414</v>
      </c>
      <c r="J8077" t="s">
        <v>36446</v>
      </c>
      <c r="K8077" t="s">
        <v>40665</v>
      </c>
      <c r="M8077" t="s">
        <v>42277</v>
      </c>
      <c r="N8077" t="s">
        <v>44905</v>
      </c>
      <c r="O8077" t="s">
        <v>44906</v>
      </c>
      <c r="P8077">
        <v>0</v>
      </c>
      <c r="Q8077">
        <v>1</v>
      </c>
      <c r="R8077" t="s">
        <v>44910</v>
      </c>
      <c r="S8077" t="s">
        <v>45076</v>
      </c>
      <c r="T8077" t="s">
        <v>46493</v>
      </c>
      <c r="U8077" t="s">
        <v>53425</v>
      </c>
      <c r="W8077" t="s">
        <v>42277</v>
      </c>
      <c r="X8077" t="s">
        <v>44911</v>
      </c>
    </row>
    <row r="8078" spans="1:24">
      <c r="A8078">
        <f>HYPERLINK("https://www.philgeps.gov.ph/GEPSNONPILOT/Tender/SplashBidNoticeAbstractUI.aspx?menuIndex=3&amp;refID=7075355&amp;Result=3","7075355")</f>
        <v>0</v>
      </c>
      <c r="B8078" t="s">
        <v>2399</v>
      </c>
      <c r="C8078" t="s">
        <v>11225</v>
      </c>
      <c r="D8078" t="s">
        <v>18117</v>
      </c>
      <c r="E8078" t="s">
        <v>25297</v>
      </c>
      <c r="F8078" t="s">
        <v>31362</v>
      </c>
      <c r="G8078" t="s">
        <v>31368</v>
      </c>
      <c r="H8078" t="s">
        <v>15799</v>
      </c>
      <c r="I8078" t="s">
        <v>31393</v>
      </c>
      <c r="J8078" t="s">
        <v>36447</v>
      </c>
      <c r="K8078" t="s">
        <v>40662</v>
      </c>
      <c r="M8078" t="s">
        <v>43550</v>
      </c>
      <c r="N8078" t="s">
        <v>44905</v>
      </c>
      <c r="O8078" t="s">
        <v>44906</v>
      </c>
      <c r="P8078">
        <v>0</v>
      </c>
      <c r="Q8078">
        <v>0</v>
      </c>
      <c r="R8078" t="s">
        <v>44910</v>
      </c>
      <c r="S8078" t="s">
        <v>45076</v>
      </c>
      <c r="T8078" t="s">
        <v>46454</v>
      </c>
      <c r="U8078" t="s">
        <v>53426</v>
      </c>
      <c r="W8078" t="s">
        <v>43550</v>
      </c>
      <c r="X8078" t="s">
        <v>44911</v>
      </c>
    </row>
    <row r="8079" spans="1:24">
      <c r="A8079">
        <f>HYPERLINK("https://www.philgeps.gov.ph/GEPSNONPILOT/Tender/SplashBidNoticeAbstractUI.aspx?menuIndex=3&amp;refID=7075352&amp;Result=3","7075352")</f>
        <v>0</v>
      </c>
      <c r="B8079" t="s">
        <v>958</v>
      </c>
      <c r="C8079" t="s">
        <v>11226</v>
      </c>
      <c r="D8079" t="s">
        <v>18141</v>
      </c>
      <c r="E8079" t="s">
        <v>25298</v>
      </c>
      <c r="F8079" t="s">
        <v>31362</v>
      </c>
      <c r="G8079" t="s">
        <v>31369</v>
      </c>
      <c r="H8079" t="s">
        <v>15799</v>
      </c>
      <c r="I8079" t="s">
        <v>31396</v>
      </c>
      <c r="J8079" t="s">
        <v>35968</v>
      </c>
      <c r="K8079" t="s">
        <v>40665</v>
      </c>
      <c r="M8079" t="s">
        <v>43554</v>
      </c>
      <c r="N8079" t="s">
        <v>44905</v>
      </c>
      <c r="O8079" t="s">
        <v>44906</v>
      </c>
      <c r="P8079">
        <v>0</v>
      </c>
      <c r="Q8079">
        <v>22</v>
      </c>
      <c r="R8079" t="s">
        <v>44910</v>
      </c>
      <c r="S8079" t="s">
        <v>45076</v>
      </c>
      <c r="T8079" t="s">
        <v>46464</v>
      </c>
      <c r="U8079" t="s">
        <v>53427</v>
      </c>
      <c r="W8079" t="s">
        <v>43554</v>
      </c>
      <c r="X8079" t="s">
        <v>44911</v>
      </c>
    </row>
    <row r="8080" spans="1:24">
      <c r="A8080">
        <f>HYPERLINK("https://www.philgeps.gov.ph/GEPSNONPILOT/Tender/SplashBidNoticeAbstractUI.aspx?menuIndex=3&amp;refID=7075350&amp;Result=3","7075350")</f>
        <v>0</v>
      </c>
      <c r="B8080" t="s">
        <v>1706</v>
      </c>
      <c r="C8080" t="s">
        <v>11227</v>
      </c>
      <c r="D8080" t="s">
        <v>18112</v>
      </c>
      <c r="E8080" t="s">
        <v>25299</v>
      </c>
      <c r="F8080" t="s">
        <v>31362</v>
      </c>
      <c r="G8080" t="s">
        <v>31369</v>
      </c>
      <c r="H8080" t="s">
        <v>15799</v>
      </c>
      <c r="I8080" t="s">
        <v>31392</v>
      </c>
      <c r="J8080" t="s">
        <v>36448</v>
      </c>
      <c r="K8080" t="s">
        <v>40675</v>
      </c>
      <c r="M8080" t="s">
        <v>42773</v>
      </c>
      <c r="N8080" t="s">
        <v>44905</v>
      </c>
      <c r="O8080" t="s">
        <v>44906</v>
      </c>
      <c r="P8080">
        <v>0</v>
      </c>
      <c r="Q8080">
        <v>4</v>
      </c>
      <c r="R8080" t="s">
        <v>44910</v>
      </c>
      <c r="S8080" t="s">
        <v>45076</v>
      </c>
      <c r="T8080" t="s">
        <v>46588</v>
      </c>
      <c r="U8080" t="s">
        <v>53428</v>
      </c>
      <c r="V8080" t="s">
        <v>59557</v>
      </c>
      <c r="W8080" t="s">
        <v>42773</v>
      </c>
      <c r="X8080" t="s">
        <v>44911</v>
      </c>
    </row>
    <row r="8081" spans="1:24">
      <c r="A8081">
        <f>HYPERLINK("https://www.philgeps.gov.ph/GEPSNONPILOT/Tender/SplashBidNoticeAbstractUI.aspx?menuIndex=3&amp;refID=7075349&amp;Result=3","7075349")</f>
        <v>0</v>
      </c>
      <c r="B8081" t="s">
        <v>2403</v>
      </c>
      <c r="C8081" t="s">
        <v>11228</v>
      </c>
      <c r="D8081" t="s">
        <v>18102</v>
      </c>
      <c r="E8081" t="s">
        <v>25300</v>
      </c>
      <c r="F8081" t="s">
        <v>31362</v>
      </c>
      <c r="G8081" t="s">
        <v>31369</v>
      </c>
      <c r="H8081" t="s">
        <v>15799</v>
      </c>
      <c r="I8081" t="s">
        <v>31400</v>
      </c>
      <c r="J8081" t="s">
        <v>36449</v>
      </c>
      <c r="K8081" t="s">
        <v>40665</v>
      </c>
      <c r="M8081" t="s">
        <v>43555</v>
      </c>
      <c r="N8081" t="s">
        <v>44905</v>
      </c>
      <c r="O8081" t="s">
        <v>44906</v>
      </c>
      <c r="P8081">
        <v>0</v>
      </c>
      <c r="Q8081">
        <v>1</v>
      </c>
      <c r="R8081" t="s">
        <v>44910</v>
      </c>
      <c r="S8081" t="s">
        <v>45076</v>
      </c>
      <c r="T8081" t="s">
        <v>46435</v>
      </c>
      <c r="U8081" t="s">
        <v>53429</v>
      </c>
      <c r="W8081" t="s">
        <v>43555</v>
      </c>
      <c r="X8081" t="s">
        <v>44911</v>
      </c>
    </row>
    <row r="8082" spans="1:24">
      <c r="A8082">
        <f>HYPERLINK("https://www.philgeps.gov.ph/GEPSNONPILOT/Tender/SplashBidNoticeAbstractUI.aspx?menuIndex=3&amp;refID=7075348&amp;Result=3","7075348")</f>
        <v>0</v>
      </c>
      <c r="B8082" t="s">
        <v>2404</v>
      </c>
      <c r="C8082" t="s">
        <v>11229</v>
      </c>
      <c r="D8082" t="s">
        <v>18141</v>
      </c>
      <c r="E8082" t="s">
        <v>24865</v>
      </c>
      <c r="F8082" t="s">
        <v>31362</v>
      </c>
      <c r="G8082" t="s">
        <v>31369</v>
      </c>
      <c r="H8082" t="s">
        <v>15799</v>
      </c>
      <c r="I8082" t="s">
        <v>3815</v>
      </c>
      <c r="J8082" t="s">
        <v>36450</v>
      </c>
      <c r="K8082" t="s">
        <v>40665</v>
      </c>
      <c r="M8082" t="s">
        <v>43556</v>
      </c>
      <c r="N8082" t="s">
        <v>44905</v>
      </c>
      <c r="O8082" t="s">
        <v>44906</v>
      </c>
      <c r="P8082">
        <v>0</v>
      </c>
      <c r="Q8082">
        <v>1</v>
      </c>
      <c r="R8082" t="s">
        <v>44910</v>
      </c>
      <c r="S8082" t="s">
        <v>45076</v>
      </c>
      <c r="T8082" t="s">
        <v>46393</v>
      </c>
      <c r="U8082" t="s">
        <v>53430</v>
      </c>
      <c r="W8082" t="s">
        <v>43556</v>
      </c>
      <c r="X8082" t="s">
        <v>44911</v>
      </c>
    </row>
    <row r="8083" spans="1:24">
      <c r="A8083">
        <f>HYPERLINK("https://www.philgeps.gov.ph/GEPSNONPILOT/Tender/SplashBidNoticeAbstractUI.aspx?menuIndex=3&amp;refID=7075347&amp;Result=3","7075347")</f>
        <v>0</v>
      </c>
      <c r="B8083" t="s">
        <v>1150</v>
      </c>
      <c r="C8083" t="s">
        <v>11230</v>
      </c>
      <c r="E8083" t="s">
        <v>25301</v>
      </c>
      <c r="F8083" t="s">
        <v>31362</v>
      </c>
      <c r="G8083" t="s">
        <v>31372</v>
      </c>
      <c r="H8083" t="s">
        <v>15799</v>
      </c>
      <c r="I8083" t="s">
        <v>31382</v>
      </c>
      <c r="J8083" t="s">
        <v>36451</v>
      </c>
      <c r="K8083" t="s">
        <v>40662</v>
      </c>
      <c r="M8083" t="s">
        <v>42159</v>
      </c>
      <c r="N8083" t="s">
        <v>44905</v>
      </c>
      <c r="O8083" t="s">
        <v>44906</v>
      </c>
      <c r="P8083">
        <v>0</v>
      </c>
      <c r="Q8083">
        <v>7</v>
      </c>
      <c r="R8083" t="s">
        <v>44910</v>
      </c>
      <c r="S8083" t="s">
        <v>45076</v>
      </c>
      <c r="T8083" t="s">
        <v>46435</v>
      </c>
      <c r="U8083" t="s">
        <v>53431</v>
      </c>
      <c r="W8083" t="s">
        <v>42159</v>
      </c>
      <c r="X8083" t="s">
        <v>44911</v>
      </c>
    </row>
    <row r="8084" spans="1:24">
      <c r="A8084">
        <f>HYPERLINK("https://www.philgeps.gov.ph/GEPSNONPILOT/Tender/SplashBidNoticeAbstractUI.aspx?menuIndex=3&amp;refID=7075318&amp;Result=3","7075318")</f>
        <v>0</v>
      </c>
      <c r="B8084" t="s">
        <v>45</v>
      </c>
      <c r="C8084" t="s">
        <v>11231</v>
      </c>
      <c r="D8084" t="s">
        <v>18114</v>
      </c>
      <c r="E8084" t="s">
        <v>25302</v>
      </c>
      <c r="F8084" t="s">
        <v>31362</v>
      </c>
      <c r="G8084" t="s">
        <v>31369</v>
      </c>
      <c r="H8084" t="s">
        <v>15799</v>
      </c>
      <c r="I8084" t="s">
        <v>31450</v>
      </c>
      <c r="J8084" t="s">
        <v>36452</v>
      </c>
      <c r="K8084" t="s">
        <v>40665</v>
      </c>
      <c r="M8084" t="s">
        <v>41024</v>
      </c>
      <c r="N8084" t="s">
        <v>44905</v>
      </c>
      <c r="O8084" t="s">
        <v>44906</v>
      </c>
      <c r="P8084">
        <v>0</v>
      </c>
      <c r="Q8084">
        <v>2</v>
      </c>
      <c r="R8084" t="s">
        <v>44910</v>
      </c>
      <c r="S8084" t="s">
        <v>45076</v>
      </c>
      <c r="T8084" t="s">
        <v>46504</v>
      </c>
      <c r="U8084" t="s">
        <v>53232</v>
      </c>
      <c r="W8084" t="s">
        <v>41024</v>
      </c>
      <c r="X8084" t="s">
        <v>44911</v>
      </c>
    </row>
    <row r="8085" spans="1:24">
      <c r="A8085">
        <f>HYPERLINK("https://www.philgeps.gov.ph/GEPSNONPILOT/Tender/SplashBidNoticeAbstractUI.aspx?menuIndex=3&amp;refID=7075346&amp;Result=3","7075346")</f>
        <v>0</v>
      </c>
      <c r="B8085" t="s">
        <v>1073</v>
      </c>
      <c r="C8085" t="s">
        <v>11232</v>
      </c>
      <c r="D8085" t="s">
        <v>18121</v>
      </c>
      <c r="E8085" t="s">
        <v>25303</v>
      </c>
      <c r="F8085" t="s">
        <v>31362</v>
      </c>
      <c r="G8085" t="s">
        <v>31369</v>
      </c>
      <c r="H8085" t="s">
        <v>31378</v>
      </c>
      <c r="I8085" t="s">
        <v>31386</v>
      </c>
      <c r="J8085" t="s">
        <v>36453</v>
      </c>
      <c r="K8085" t="s">
        <v>40679</v>
      </c>
      <c r="M8085" t="s">
        <v>42075</v>
      </c>
      <c r="N8085" t="s">
        <v>44905</v>
      </c>
      <c r="O8085" t="s">
        <v>44906</v>
      </c>
      <c r="P8085">
        <v>0</v>
      </c>
      <c r="Q8085">
        <v>26</v>
      </c>
      <c r="R8085" t="s">
        <v>44910</v>
      </c>
      <c r="S8085" t="s">
        <v>45076</v>
      </c>
      <c r="T8085" t="s">
        <v>46419</v>
      </c>
      <c r="U8085" t="s">
        <v>53432</v>
      </c>
      <c r="W8085" t="s">
        <v>42075</v>
      </c>
      <c r="X8085" t="s">
        <v>44911</v>
      </c>
    </row>
    <row r="8086" spans="1:24">
      <c r="A8086">
        <f>HYPERLINK("https://www.philgeps.gov.ph/GEPSNONPILOT/Tender/SplashBidNoticeAbstractUI.aspx?menuIndex=3&amp;refID=7075344&amp;Result=3","7075344")</f>
        <v>0</v>
      </c>
      <c r="B8086" t="s">
        <v>45</v>
      </c>
      <c r="C8086" t="s">
        <v>11233</v>
      </c>
      <c r="D8086" t="s">
        <v>18114</v>
      </c>
      <c r="E8086" t="s">
        <v>25304</v>
      </c>
      <c r="F8086" t="s">
        <v>31362</v>
      </c>
      <c r="G8086" t="s">
        <v>31369</v>
      </c>
      <c r="H8086" t="s">
        <v>15799</v>
      </c>
      <c r="I8086" t="s">
        <v>31450</v>
      </c>
      <c r="J8086" t="s">
        <v>36454</v>
      </c>
      <c r="K8086" t="s">
        <v>40665</v>
      </c>
      <c r="M8086" t="s">
        <v>41024</v>
      </c>
      <c r="N8086" t="s">
        <v>44905</v>
      </c>
      <c r="O8086" t="s">
        <v>44906</v>
      </c>
      <c r="P8086">
        <v>0</v>
      </c>
      <c r="Q8086">
        <v>2</v>
      </c>
      <c r="R8086" t="s">
        <v>44910</v>
      </c>
      <c r="S8086" t="s">
        <v>45076</v>
      </c>
      <c r="T8086" t="s">
        <v>46504</v>
      </c>
      <c r="U8086" t="s">
        <v>53232</v>
      </c>
      <c r="W8086" t="s">
        <v>41024</v>
      </c>
      <c r="X8086" t="s">
        <v>44911</v>
      </c>
    </row>
    <row r="8087" spans="1:24">
      <c r="A8087">
        <f>HYPERLINK("https://www.philgeps.gov.ph/GEPSNONPILOT/Tender/SplashBidNoticeAbstractUI.aspx?menuIndex=3&amp;refID=7075343&amp;Result=3","7075343")</f>
        <v>0</v>
      </c>
      <c r="B8087" t="s">
        <v>716</v>
      </c>
      <c r="C8087" t="s">
        <v>11234</v>
      </c>
      <c r="D8087" t="s">
        <v>18160</v>
      </c>
      <c r="E8087" t="s">
        <v>25305</v>
      </c>
      <c r="F8087" t="s">
        <v>31362</v>
      </c>
      <c r="G8087" t="s">
        <v>31369</v>
      </c>
      <c r="H8087" t="s">
        <v>31378</v>
      </c>
      <c r="I8087" t="s">
        <v>31386</v>
      </c>
      <c r="J8087" t="s">
        <v>36455</v>
      </c>
      <c r="K8087" t="s">
        <v>40838</v>
      </c>
      <c r="M8087" t="s">
        <v>43557</v>
      </c>
      <c r="N8087" t="s">
        <v>44905</v>
      </c>
      <c r="O8087" t="s">
        <v>44906</v>
      </c>
      <c r="P8087">
        <v>0</v>
      </c>
      <c r="Q8087">
        <v>6</v>
      </c>
      <c r="R8087" t="s">
        <v>44910</v>
      </c>
      <c r="S8087" t="s">
        <v>45076</v>
      </c>
      <c r="T8087" t="s">
        <v>46696</v>
      </c>
      <c r="U8087" t="s">
        <v>53433</v>
      </c>
      <c r="W8087" t="s">
        <v>60933</v>
      </c>
      <c r="X8087" t="s">
        <v>44911</v>
      </c>
    </row>
    <row r="8088" spans="1:24">
      <c r="A8088">
        <f>HYPERLINK("https://www.philgeps.gov.ph/GEPSNONPILOT/Tender/SplashBidNoticeAbstractUI.aspx?menuIndex=3&amp;refID=7075340&amp;Result=3","7075340")</f>
        <v>0</v>
      </c>
      <c r="B8088" t="s">
        <v>2261</v>
      </c>
      <c r="C8088" t="s">
        <v>11235</v>
      </c>
      <c r="D8088" t="s">
        <v>18162</v>
      </c>
      <c r="E8088" t="s">
        <v>25306</v>
      </c>
      <c r="F8088" t="s">
        <v>31362</v>
      </c>
      <c r="G8088" t="s">
        <v>31368</v>
      </c>
      <c r="H8088" t="s">
        <v>15799</v>
      </c>
      <c r="I8088" t="s">
        <v>31430</v>
      </c>
      <c r="J8088" t="s">
        <v>36456</v>
      </c>
      <c r="K8088" t="s">
        <v>40666</v>
      </c>
      <c r="M8088" t="s">
        <v>43400</v>
      </c>
      <c r="N8088" t="s">
        <v>44905</v>
      </c>
      <c r="O8088" t="s">
        <v>44906</v>
      </c>
      <c r="P8088">
        <v>0</v>
      </c>
      <c r="Q8088">
        <v>1</v>
      </c>
      <c r="R8088" t="s">
        <v>44910</v>
      </c>
      <c r="S8088" t="s">
        <v>45076</v>
      </c>
      <c r="T8088" t="s">
        <v>46432</v>
      </c>
      <c r="U8088" t="s">
        <v>53434</v>
      </c>
      <c r="W8088" t="s">
        <v>43400</v>
      </c>
      <c r="X8088" t="s">
        <v>44911</v>
      </c>
    </row>
    <row r="8089" spans="1:24">
      <c r="A8089">
        <f>HYPERLINK("https://www.philgeps.gov.ph/GEPSNONPILOT/Tender/SplashBidNoticeAbstractUI.aspx?menuIndex=3&amp;refID=7075364&amp;Result=3","7075364")</f>
        <v>0</v>
      </c>
      <c r="B8089" t="s">
        <v>2333</v>
      </c>
      <c r="C8089" t="s">
        <v>11236</v>
      </c>
      <c r="D8089" t="s">
        <v>18132</v>
      </c>
      <c r="E8089" t="s">
        <v>24870</v>
      </c>
      <c r="F8089" t="s">
        <v>31362</v>
      </c>
      <c r="G8089" t="s">
        <v>31369</v>
      </c>
      <c r="H8089" t="s">
        <v>31378</v>
      </c>
      <c r="I8089" t="s">
        <v>31386</v>
      </c>
      <c r="J8089" t="s">
        <v>36457</v>
      </c>
      <c r="K8089" t="s">
        <v>40678</v>
      </c>
      <c r="M8089" t="s">
        <v>43473</v>
      </c>
      <c r="N8089" t="s">
        <v>44905</v>
      </c>
      <c r="O8089" t="s">
        <v>44906</v>
      </c>
      <c r="P8089">
        <v>0</v>
      </c>
      <c r="Q8089">
        <v>0</v>
      </c>
      <c r="R8089" t="s">
        <v>44910</v>
      </c>
      <c r="S8089" t="s">
        <v>45076</v>
      </c>
      <c r="T8089" t="s">
        <v>46419</v>
      </c>
      <c r="U8089" t="s">
        <v>53435</v>
      </c>
      <c r="W8089" t="s">
        <v>43473</v>
      </c>
      <c r="X8089" t="s">
        <v>44911</v>
      </c>
    </row>
    <row r="8090" spans="1:24">
      <c r="A8090">
        <f>HYPERLINK("https://www.philgeps.gov.ph/GEPSNONPILOT/Tender/SplashBidNoticeAbstractUI.aspx?menuIndex=3&amp;refID=7075210&amp;Result=3","7075210")</f>
        <v>0</v>
      </c>
      <c r="B8090" t="s">
        <v>604</v>
      </c>
      <c r="C8090" t="s">
        <v>11237</v>
      </c>
      <c r="D8090" t="s">
        <v>18122</v>
      </c>
      <c r="E8090" t="s">
        <v>25307</v>
      </c>
      <c r="F8090" t="s">
        <v>31362</v>
      </c>
      <c r="G8090" t="s">
        <v>31373</v>
      </c>
      <c r="H8090" t="s">
        <v>31378</v>
      </c>
      <c r="I8090" t="s">
        <v>31386</v>
      </c>
      <c r="J8090" t="s">
        <v>36458</v>
      </c>
      <c r="K8090" t="s">
        <v>40725</v>
      </c>
      <c r="M8090" t="s">
        <v>41562</v>
      </c>
      <c r="N8090" t="s">
        <v>44905</v>
      </c>
      <c r="O8090" t="s">
        <v>44906</v>
      </c>
      <c r="P8090">
        <v>0</v>
      </c>
      <c r="Q8090">
        <v>4</v>
      </c>
      <c r="R8090" t="s">
        <v>44910</v>
      </c>
      <c r="S8090" t="s">
        <v>45076</v>
      </c>
      <c r="T8090" t="s">
        <v>46419</v>
      </c>
      <c r="U8090" t="s">
        <v>53436</v>
      </c>
      <c r="V8090" t="s">
        <v>59212</v>
      </c>
      <c r="W8090" t="s">
        <v>41562</v>
      </c>
      <c r="X8090" t="s">
        <v>44911</v>
      </c>
    </row>
    <row r="8091" spans="1:24">
      <c r="A8091">
        <f>HYPERLINK("https://www.philgeps.gov.ph/GEPSNONPILOT/Tender/SplashBidNoticeAbstractUI.aspx?menuIndex=3&amp;refID=7075406&amp;Result=3","7075406")</f>
        <v>0</v>
      </c>
      <c r="B8091" t="s">
        <v>1366</v>
      </c>
      <c r="C8091" t="s">
        <v>11238</v>
      </c>
      <c r="D8091" t="s">
        <v>18138</v>
      </c>
      <c r="E8091" t="s">
        <v>25308</v>
      </c>
      <c r="F8091" t="s">
        <v>31362</v>
      </c>
      <c r="G8091" t="s">
        <v>31368</v>
      </c>
      <c r="H8091" t="s">
        <v>15799</v>
      </c>
      <c r="I8091" t="s">
        <v>31400</v>
      </c>
      <c r="J8091" t="s">
        <v>33064</v>
      </c>
      <c r="K8091" t="s">
        <v>40665</v>
      </c>
      <c r="M8091" t="s">
        <v>42387</v>
      </c>
      <c r="N8091" t="s">
        <v>44905</v>
      </c>
      <c r="O8091" t="s">
        <v>44906</v>
      </c>
      <c r="P8091">
        <v>0</v>
      </c>
      <c r="Q8091">
        <v>1</v>
      </c>
      <c r="R8091" t="s">
        <v>44910</v>
      </c>
      <c r="S8091" t="s">
        <v>45076</v>
      </c>
      <c r="T8091" t="s">
        <v>46416</v>
      </c>
      <c r="U8091" t="s">
        <v>53437</v>
      </c>
      <c r="W8091" t="s">
        <v>42387</v>
      </c>
      <c r="X8091" t="s">
        <v>44911</v>
      </c>
    </row>
    <row r="8092" spans="1:24">
      <c r="A8092">
        <f>HYPERLINK("https://www.philgeps.gov.ph/GEPSNONPILOT/Tender/SplashBidNoticeAbstractUI.aspx?menuIndex=3&amp;refID=7075263&amp;Result=3","7075263")</f>
        <v>0</v>
      </c>
      <c r="B8092" t="s">
        <v>586</v>
      </c>
      <c r="C8092" t="s">
        <v>4808</v>
      </c>
      <c r="D8092" t="s">
        <v>18121</v>
      </c>
      <c r="E8092" t="s">
        <v>25309</v>
      </c>
      <c r="F8092" t="s">
        <v>31362</v>
      </c>
      <c r="G8092" t="s">
        <v>31374</v>
      </c>
      <c r="H8092" t="s">
        <v>15799</v>
      </c>
      <c r="I8092" t="s">
        <v>31380</v>
      </c>
      <c r="J8092" t="s">
        <v>31536</v>
      </c>
      <c r="K8092" t="s">
        <v>40661</v>
      </c>
      <c r="M8092" t="s">
        <v>41543</v>
      </c>
      <c r="N8092" t="s">
        <v>44905</v>
      </c>
      <c r="O8092" t="s">
        <v>44906</v>
      </c>
      <c r="P8092">
        <v>0</v>
      </c>
      <c r="Q8092">
        <v>2</v>
      </c>
      <c r="R8092" t="s">
        <v>44910</v>
      </c>
      <c r="S8092" t="s">
        <v>45076</v>
      </c>
      <c r="T8092" t="s">
        <v>46438</v>
      </c>
      <c r="U8092" t="s">
        <v>53438</v>
      </c>
      <c r="W8092" t="s">
        <v>41543</v>
      </c>
      <c r="X8092" t="s">
        <v>44911</v>
      </c>
    </row>
    <row r="8093" spans="1:24">
      <c r="A8093">
        <f>HYPERLINK("https://www.philgeps.gov.ph/GEPSNONPILOT/Tender/SplashBidNoticeAbstractUI.aspx?menuIndex=3&amp;refID=7075404&amp;Result=3","7075404")</f>
        <v>0</v>
      </c>
      <c r="B8093" t="s">
        <v>516</v>
      </c>
      <c r="C8093" t="s">
        <v>11239</v>
      </c>
      <c r="D8093" t="s">
        <v>18175</v>
      </c>
      <c r="E8093" t="s">
        <v>25310</v>
      </c>
      <c r="F8093" t="s">
        <v>31362</v>
      </c>
      <c r="G8093" t="s">
        <v>31371</v>
      </c>
      <c r="H8093" t="s">
        <v>15799</v>
      </c>
      <c r="I8093" t="s">
        <v>7090</v>
      </c>
      <c r="J8093" t="s">
        <v>36459</v>
      </c>
      <c r="K8093" t="s">
        <v>40682</v>
      </c>
      <c r="M8093" t="s">
        <v>43558</v>
      </c>
      <c r="N8093" t="s">
        <v>44905</v>
      </c>
      <c r="O8093" t="s">
        <v>44906</v>
      </c>
      <c r="P8093">
        <v>0</v>
      </c>
      <c r="Q8093">
        <v>4</v>
      </c>
      <c r="R8093" t="s">
        <v>44910</v>
      </c>
      <c r="S8093" t="s">
        <v>45076</v>
      </c>
      <c r="T8093" t="s">
        <v>46411</v>
      </c>
      <c r="U8093" t="s">
        <v>53439</v>
      </c>
      <c r="W8093" t="s">
        <v>43558</v>
      </c>
      <c r="X8093" t="s">
        <v>44911</v>
      </c>
    </row>
    <row r="8094" spans="1:24">
      <c r="A8094">
        <f>HYPERLINK("https://www.philgeps.gov.ph/GEPSNONPILOT/Tender/SplashBidNoticeAbstractUI.aspx?menuIndex=3&amp;refID=7075403&amp;Result=3","7075403")</f>
        <v>0</v>
      </c>
      <c r="B8094" t="s">
        <v>1706</v>
      </c>
      <c r="C8094" t="s">
        <v>11240</v>
      </c>
      <c r="D8094" t="s">
        <v>18112</v>
      </c>
      <c r="E8094" t="s">
        <v>25311</v>
      </c>
      <c r="F8094" t="s">
        <v>31362</v>
      </c>
      <c r="G8094" t="s">
        <v>31369</v>
      </c>
      <c r="H8094" t="s">
        <v>15799</v>
      </c>
      <c r="I8094" t="s">
        <v>31392</v>
      </c>
      <c r="J8094" t="s">
        <v>36460</v>
      </c>
      <c r="K8094" t="s">
        <v>40675</v>
      </c>
      <c r="M8094" t="s">
        <v>42773</v>
      </c>
      <c r="N8094" t="s">
        <v>44905</v>
      </c>
      <c r="O8094" t="s">
        <v>44906</v>
      </c>
      <c r="P8094">
        <v>0</v>
      </c>
      <c r="Q8094">
        <v>5</v>
      </c>
      <c r="R8094" t="s">
        <v>44910</v>
      </c>
      <c r="S8094" t="s">
        <v>45076</v>
      </c>
      <c r="T8094" t="s">
        <v>46588</v>
      </c>
      <c r="U8094" t="s">
        <v>53440</v>
      </c>
      <c r="V8094" t="s">
        <v>59557</v>
      </c>
      <c r="W8094" t="s">
        <v>42773</v>
      </c>
      <c r="X8094" t="s">
        <v>44911</v>
      </c>
    </row>
    <row r="8095" spans="1:24">
      <c r="A8095">
        <f>HYPERLINK("https://www.philgeps.gov.ph/GEPSNONPILOT/Tender/SplashBidNoticeAbstractUI.aspx?menuIndex=3&amp;refID=7075399&amp;Result=3","7075399")</f>
        <v>0</v>
      </c>
      <c r="B8095" t="s">
        <v>2381</v>
      </c>
      <c r="C8095" t="s">
        <v>11241</v>
      </c>
      <c r="D8095" t="s">
        <v>18120</v>
      </c>
      <c r="E8095" t="s">
        <v>25312</v>
      </c>
      <c r="F8095" t="s">
        <v>31362</v>
      </c>
      <c r="G8095" t="s">
        <v>31369</v>
      </c>
      <c r="H8095" t="s">
        <v>31378</v>
      </c>
      <c r="I8095" t="s">
        <v>31386</v>
      </c>
      <c r="J8095" t="s">
        <v>33446</v>
      </c>
      <c r="K8095" t="s">
        <v>40662</v>
      </c>
      <c r="M8095" t="s">
        <v>43530</v>
      </c>
      <c r="N8095" t="s">
        <v>44905</v>
      </c>
      <c r="O8095" t="s">
        <v>44906</v>
      </c>
      <c r="P8095">
        <v>0</v>
      </c>
      <c r="Q8095">
        <v>0</v>
      </c>
      <c r="R8095" t="s">
        <v>44910</v>
      </c>
      <c r="S8095" t="s">
        <v>45076</v>
      </c>
      <c r="T8095" t="s">
        <v>46419</v>
      </c>
      <c r="U8095" t="s">
        <v>53386</v>
      </c>
      <c r="W8095" t="s">
        <v>43530</v>
      </c>
      <c r="X8095" t="s">
        <v>44911</v>
      </c>
    </row>
    <row r="8096" spans="1:24">
      <c r="A8096">
        <f>HYPERLINK("https://www.philgeps.gov.ph/GEPSNONPILOT/Tender/SplashBidNoticeAbstractUI.aspx?menuIndex=3&amp;refID=7075338&amp;Result=3","7075338")</f>
        <v>0</v>
      </c>
      <c r="B8096" t="s">
        <v>1261</v>
      </c>
      <c r="C8096" t="s">
        <v>11242</v>
      </c>
      <c r="D8096" t="s">
        <v>18113</v>
      </c>
      <c r="E8096" t="s">
        <v>25313</v>
      </c>
      <c r="F8096" t="s">
        <v>31362</v>
      </c>
      <c r="G8096" t="s">
        <v>31369</v>
      </c>
      <c r="H8096" t="s">
        <v>15799</v>
      </c>
      <c r="I8096" t="s">
        <v>31402</v>
      </c>
      <c r="J8096" t="s">
        <v>36461</v>
      </c>
      <c r="K8096" t="s">
        <v>40662</v>
      </c>
      <c r="M8096" t="s">
        <v>42277</v>
      </c>
      <c r="N8096" t="s">
        <v>44905</v>
      </c>
      <c r="O8096" t="s">
        <v>44906</v>
      </c>
      <c r="P8096">
        <v>0</v>
      </c>
      <c r="Q8096">
        <v>0</v>
      </c>
      <c r="R8096" t="s">
        <v>44910</v>
      </c>
      <c r="S8096" t="s">
        <v>45076</v>
      </c>
      <c r="T8096" t="s">
        <v>46493</v>
      </c>
      <c r="U8096" t="s">
        <v>53441</v>
      </c>
      <c r="W8096" t="s">
        <v>42277</v>
      </c>
      <c r="X8096" t="s">
        <v>44911</v>
      </c>
    </row>
    <row r="8097" spans="1:24">
      <c r="A8097">
        <f>HYPERLINK("https://www.philgeps.gov.ph/GEPSNONPILOT/Tender/SplashBidNoticeAbstractUI.aspx?menuIndex=3&amp;refID=7075394&amp;Result=3","7075394")</f>
        <v>0</v>
      </c>
      <c r="B8097" t="s">
        <v>2405</v>
      </c>
      <c r="C8097" t="s">
        <v>11243</v>
      </c>
      <c r="D8097" t="s">
        <v>18101</v>
      </c>
      <c r="E8097" t="s">
        <v>25314</v>
      </c>
      <c r="F8097" t="s">
        <v>31362</v>
      </c>
      <c r="G8097" t="s">
        <v>31369</v>
      </c>
      <c r="H8097" t="s">
        <v>15799</v>
      </c>
      <c r="I8097" t="s">
        <v>31445</v>
      </c>
      <c r="J8097" t="s">
        <v>31634</v>
      </c>
      <c r="K8097" t="s">
        <v>40665</v>
      </c>
      <c r="M8097" t="s">
        <v>43559</v>
      </c>
      <c r="N8097" t="s">
        <v>44905</v>
      </c>
      <c r="O8097" t="s">
        <v>44906</v>
      </c>
      <c r="P8097">
        <v>0</v>
      </c>
      <c r="Q8097">
        <v>6</v>
      </c>
      <c r="R8097" t="s">
        <v>44910</v>
      </c>
      <c r="S8097" t="s">
        <v>45076</v>
      </c>
      <c r="T8097" t="s">
        <v>46696</v>
      </c>
      <c r="U8097" t="s">
        <v>53442</v>
      </c>
      <c r="W8097" t="s">
        <v>43559</v>
      </c>
      <c r="X8097" t="s">
        <v>44911</v>
      </c>
    </row>
    <row r="8098" spans="1:24">
      <c r="A8098">
        <f>HYPERLINK("https://www.philgeps.gov.ph/GEPSNONPILOT/Tender/SplashBidNoticeAbstractUI.aspx?menuIndex=3&amp;refID=7075160&amp;Result=3","7075160")</f>
        <v>0</v>
      </c>
      <c r="B8098" t="s">
        <v>2384</v>
      </c>
      <c r="C8098" t="s">
        <v>11244</v>
      </c>
      <c r="D8098" t="s">
        <v>18104</v>
      </c>
      <c r="E8098" t="s">
        <v>25315</v>
      </c>
      <c r="F8098" t="s">
        <v>31363</v>
      </c>
      <c r="G8098" t="s">
        <v>31368</v>
      </c>
      <c r="H8098" t="s">
        <v>15799</v>
      </c>
      <c r="I8098" t="s">
        <v>31385</v>
      </c>
      <c r="J8098" t="s">
        <v>31551</v>
      </c>
      <c r="K8098" t="s">
        <v>40661</v>
      </c>
      <c r="M8098" t="s">
        <v>43533</v>
      </c>
      <c r="N8098" t="s">
        <v>44905</v>
      </c>
      <c r="O8098" t="s">
        <v>44906</v>
      </c>
      <c r="P8098">
        <v>0</v>
      </c>
      <c r="Q8098">
        <v>2</v>
      </c>
      <c r="R8098" t="s">
        <v>44910</v>
      </c>
      <c r="S8098" t="s">
        <v>45076</v>
      </c>
      <c r="T8098" t="s">
        <v>46416</v>
      </c>
      <c r="U8098" t="s">
        <v>53443</v>
      </c>
      <c r="W8098" t="s">
        <v>43533</v>
      </c>
      <c r="X8098" t="s">
        <v>44911</v>
      </c>
    </row>
    <row r="8099" spans="1:24">
      <c r="A8099">
        <f>HYPERLINK("https://www.philgeps.gov.ph/GEPSNONPILOT/Tender/SplashBidNoticeAbstractUI.aspx?menuIndex=3&amp;refID=7075393&amp;Result=3","7075393")</f>
        <v>0</v>
      </c>
      <c r="B8099" t="s">
        <v>268</v>
      </c>
      <c r="C8099" t="s">
        <v>11245</v>
      </c>
      <c r="D8099" t="s">
        <v>18165</v>
      </c>
      <c r="E8099" t="s">
        <v>25316</v>
      </c>
      <c r="F8099" t="s">
        <v>31362</v>
      </c>
      <c r="G8099" t="s">
        <v>31369</v>
      </c>
      <c r="H8099" t="s">
        <v>15799</v>
      </c>
      <c r="I8099" t="s">
        <v>6240</v>
      </c>
      <c r="J8099" t="s">
        <v>36462</v>
      </c>
      <c r="K8099" t="s">
        <v>40661</v>
      </c>
      <c r="M8099" t="s">
        <v>41210</v>
      </c>
      <c r="N8099" t="s">
        <v>44905</v>
      </c>
      <c r="O8099" t="s">
        <v>44906</v>
      </c>
      <c r="P8099">
        <v>0</v>
      </c>
      <c r="Q8099">
        <v>1</v>
      </c>
      <c r="R8099" t="s">
        <v>44910</v>
      </c>
      <c r="S8099" t="s">
        <v>45076</v>
      </c>
      <c r="T8099" t="s">
        <v>46431</v>
      </c>
      <c r="U8099" t="s">
        <v>53444</v>
      </c>
      <c r="V8099" t="s">
        <v>59847</v>
      </c>
      <c r="W8099" t="s">
        <v>41210</v>
      </c>
      <c r="X8099" t="s">
        <v>44911</v>
      </c>
    </row>
    <row r="8100" spans="1:24">
      <c r="A8100">
        <f>HYPERLINK("https://www.philgeps.gov.ph/GEPSNONPILOT/Tender/SplashBidNoticeAbstractUI.aspx?menuIndex=3&amp;refID=7075405&amp;Result=3","7075405")</f>
        <v>0</v>
      </c>
      <c r="B8100" t="s">
        <v>2406</v>
      </c>
      <c r="C8100" t="s">
        <v>11246</v>
      </c>
      <c r="D8100" t="s">
        <v>18116</v>
      </c>
      <c r="E8100" t="s">
        <v>25317</v>
      </c>
      <c r="F8100" t="s">
        <v>31362</v>
      </c>
      <c r="G8100" t="s">
        <v>31369</v>
      </c>
      <c r="H8100" t="s">
        <v>31378</v>
      </c>
      <c r="I8100" t="s">
        <v>31386</v>
      </c>
      <c r="J8100" t="s">
        <v>36463</v>
      </c>
      <c r="K8100" t="s">
        <v>40666</v>
      </c>
      <c r="M8100" t="s">
        <v>43560</v>
      </c>
      <c r="N8100" t="s">
        <v>44905</v>
      </c>
      <c r="O8100" t="s">
        <v>44906</v>
      </c>
      <c r="P8100">
        <v>0</v>
      </c>
      <c r="Q8100">
        <v>0</v>
      </c>
      <c r="R8100" t="s">
        <v>44910</v>
      </c>
      <c r="S8100" t="s">
        <v>45076</v>
      </c>
      <c r="T8100" t="s">
        <v>46771</v>
      </c>
      <c r="U8100" t="s">
        <v>53445</v>
      </c>
      <c r="W8100" t="s">
        <v>43560</v>
      </c>
      <c r="X8100" t="s">
        <v>44911</v>
      </c>
    </row>
    <row r="8101" spans="1:24">
      <c r="A8101">
        <f>HYPERLINK("https://www.philgeps.gov.ph/GEPSNONPILOT/Tender/SplashBidNoticeAbstractUI.aspx?menuIndex=3&amp;refID=7075386&amp;Result=3","7075386")</f>
        <v>0</v>
      </c>
      <c r="B8101" t="s">
        <v>682</v>
      </c>
      <c r="C8101" t="s">
        <v>11247</v>
      </c>
      <c r="E8101" t="s">
        <v>25318</v>
      </c>
      <c r="F8101" t="s">
        <v>31362</v>
      </c>
      <c r="G8101" t="s">
        <v>31368</v>
      </c>
      <c r="H8101" t="s">
        <v>15799</v>
      </c>
      <c r="I8101" t="s">
        <v>31393</v>
      </c>
      <c r="J8101" t="s">
        <v>32016</v>
      </c>
      <c r="K8101" t="s">
        <v>40670</v>
      </c>
      <c r="M8101" t="s">
        <v>41644</v>
      </c>
      <c r="N8101" t="s">
        <v>44905</v>
      </c>
      <c r="O8101" t="s">
        <v>44906</v>
      </c>
      <c r="P8101">
        <v>0</v>
      </c>
      <c r="Q8101">
        <v>1</v>
      </c>
      <c r="R8101" t="s">
        <v>44910</v>
      </c>
      <c r="S8101" t="s">
        <v>45076</v>
      </c>
      <c r="T8101" t="s">
        <v>46506</v>
      </c>
      <c r="U8101" t="s">
        <v>53446</v>
      </c>
      <c r="V8101" t="s">
        <v>59829</v>
      </c>
      <c r="W8101" t="s">
        <v>41644</v>
      </c>
      <c r="X8101" t="s">
        <v>44911</v>
      </c>
    </row>
    <row r="8102" spans="1:24">
      <c r="A8102">
        <f>HYPERLINK("https://www.philgeps.gov.ph/GEPSNONPILOT/Tender/SplashBidNoticeAbstractUI.aspx?menuIndex=3&amp;refID=7075398&amp;Result=3","7075398")</f>
        <v>0</v>
      </c>
      <c r="B8102" t="s">
        <v>1073</v>
      </c>
      <c r="C8102" t="s">
        <v>11248</v>
      </c>
      <c r="D8102" t="s">
        <v>18121</v>
      </c>
      <c r="E8102" t="s">
        <v>25319</v>
      </c>
      <c r="F8102" t="s">
        <v>31362</v>
      </c>
      <c r="G8102" t="s">
        <v>31369</v>
      </c>
      <c r="H8102" t="s">
        <v>31378</v>
      </c>
      <c r="I8102" t="s">
        <v>31386</v>
      </c>
      <c r="J8102" t="s">
        <v>36464</v>
      </c>
      <c r="K8102" t="s">
        <v>40679</v>
      </c>
      <c r="M8102" t="s">
        <v>42075</v>
      </c>
      <c r="N8102" t="s">
        <v>44905</v>
      </c>
      <c r="O8102" t="s">
        <v>44906</v>
      </c>
      <c r="P8102">
        <v>0</v>
      </c>
      <c r="Q8102">
        <v>26</v>
      </c>
      <c r="R8102" t="s">
        <v>44910</v>
      </c>
      <c r="S8102" t="s">
        <v>45076</v>
      </c>
      <c r="T8102" t="s">
        <v>46419</v>
      </c>
      <c r="U8102" t="s">
        <v>53447</v>
      </c>
      <c r="W8102" t="s">
        <v>42075</v>
      </c>
      <c r="X8102" t="s">
        <v>44911</v>
      </c>
    </row>
    <row r="8103" spans="1:24">
      <c r="A8103">
        <f>HYPERLINK("https://www.philgeps.gov.ph/GEPSNONPILOT/Tender/SplashBidNoticeAbstractUI.aspx?menuIndex=3&amp;refID=7075211&amp;Result=3","7075211")</f>
        <v>0</v>
      </c>
      <c r="B8103" t="s">
        <v>1091</v>
      </c>
      <c r="C8103" t="s">
        <v>11249</v>
      </c>
      <c r="D8103" t="s">
        <v>18177</v>
      </c>
      <c r="E8103" t="s">
        <v>20191</v>
      </c>
      <c r="F8103" t="s">
        <v>31362</v>
      </c>
      <c r="G8103" t="s">
        <v>31369</v>
      </c>
      <c r="H8103" t="s">
        <v>15799</v>
      </c>
      <c r="I8103" t="s">
        <v>31397</v>
      </c>
      <c r="J8103" t="s">
        <v>36465</v>
      </c>
      <c r="K8103" t="s">
        <v>40666</v>
      </c>
      <c r="M8103" t="s">
        <v>42096</v>
      </c>
      <c r="N8103" t="s">
        <v>44905</v>
      </c>
      <c r="O8103" t="s">
        <v>44906</v>
      </c>
      <c r="P8103">
        <v>0</v>
      </c>
      <c r="Q8103">
        <v>1</v>
      </c>
      <c r="R8103" t="s">
        <v>44910</v>
      </c>
      <c r="S8103" t="s">
        <v>45076</v>
      </c>
      <c r="T8103" t="s">
        <v>46462</v>
      </c>
      <c r="U8103" t="s">
        <v>53448</v>
      </c>
      <c r="W8103" t="s">
        <v>42096</v>
      </c>
      <c r="X8103" t="s">
        <v>44911</v>
      </c>
    </row>
    <row r="8104" spans="1:24">
      <c r="A8104">
        <f>HYPERLINK("https://www.philgeps.gov.ph/GEPSNONPILOT/Tender/SplashBidNoticeAbstractUI.aspx?menuIndex=3&amp;refID=7075369&amp;Result=3","7075369")</f>
        <v>0</v>
      </c>
      <c r="B8104" t="s">
        <v>45</v>
      </c>
      <c r="C8104" t="s">
        <v>11250</v>
      </c>
      <c r="D8104" t="s">
        <v>18114</v>
      </c>
      <c r="E8104" t="s">
        <v>25320</v>
      </c>
      <c r="F8104" t="s">
        <v>31362</v>
      </c>
      <c r="G8104" t="s">
        <v>31369</v>
      </c>
      <c r="H8104" t="s">
        <v>15799</v>
      </c>
      <c r="I8104" t="s">
        <v>31450</v>
      </c>
      <c r="J8104" t="s">
        <v>36466</v>
      </c>
      <c r="K8104" t="s">
        <v>40665</v>
      </c>
      <c r="M8104" t="s">
        <v>41024</v>
      </c>
      <c r="N8104" t="s">
        <v>44905</v>
      </c>
      <c r="O8104" t="s">
        <v>44906</v>
      </c>
      <c r="P8104">
        <v>0</v>
      </c>
      <c r="Q8104">
        <v>1</v>
      </c>
      <c r="R8104" t="s">
        <v>44910</v>
      </c>
      <c r="S8104" t="s">
        <v>45076</v>
      </c>
      <c r="T8104" t="s">
        <v>46504</v>
      </c>
      <c r="U8104" t="s">
        <v>53232</v>
      </c>
      <c r="W8104" t="s">
        <v>41024</v>
      </c>
      <c r="X8104" t="s">
        <v>44911</v>
      </c>
    </row>
    <row r="8105" spans="1:24">
      <c r="A8105">
        <f>HYPERLINK("https://www.philgeps.gov.ph/GEPSNONPILOT/Tender/SplashBidNoticeAbstractUI.aspx?menuIndex=3&amp;refID=7075439&amp;Result=3","7075439")</f>
        <v>0</v>
      </c>
      <c r="B8105" t="s">
        <v>682</v>
      </c>
      <c r="C8105" t="s">
        <v>11251</v>
      </c>
      <c r="E8105" t="s">
        <v>25321</v>
      </c>
      <c r="F8105" t="s">
        <v>31362</v>
      </c>
      <c r="G8105" t="s">
        <v>31368</v>
      </c>
      <c r="H8105" t="s">
        <v>15799</v>
      </c>
      <c r="I8105" t="s">
        <v>3815</v>
      </c>
      <c r="J8105" t="s">
        <v>36467</v>
      </c>
      <c r="K8105" t="s">
        <v>40670</v>
      </c>
      <c r="M8105" t="s">
        <v>41644</v>
      </c>
      <c r="N8105" t="s">
        <v>44905</v>
      </c>
      <c r="O8105" t="s">
        <v>44906</v>
      </c>
      <c r="P8105">
        <v>0</v>
      </c>
      <c r="Q8105">
        <v>1</v>
      </c>
      <c r="R8105" t="s">
        <v>44910</v>
      </c>
      <c r="S8105" t="s">
        <v>45076</v>
      </c>
      <c r="T8105" t="s">
        <v>46506</v>
      </c>
      <c r="U8105" t="s">
        <v>53449</v>
      </c>
      <c r="V8105" t="s">
        <v>59829</v>
      </c>
      <c r="W8105" t="s">
        <v>41644</v>
      </c>
      <c r="X8105" t="s">
        <v>44911</v>
      </c>
    </row>
    <row r="8106" spans="1:24">
      <c r="A8106">
        <f>HYPERLINK("https://www.philgeps.gov.ph/GEPSNONPILOT/Tender/SplashBidNoticeAbstractUI.aspx?menuIndex=3&amp;refID=7075392&amp;Result=3","7075392")</f>
        <v>0</v>
      </c>
      <c r="B8106" t="s">
        <v>672</v>
      </c>
      <c r="C8106" t="s">
        <v>11252</v>
      </c>
      <c r="D8106" t="s">
        <v>18103</v>
      </c>
      <c r="E8106" t="s">
        <v>25322</v>
      </c>
      <c r="F8106" t="s">
        <v>31362</v>
      </c>
      <c r="G8106" t="s">
        <v>31369</v>
      </c>
      <c r="H8106" t="s">
        <v>31378</v>
      </c>
      <c r="I8106" t="s">
        <v>31386</v>
      </c>
      <c r="J8106" t="s">
        <v>32673</v>
      </c>
      <c r="K8106" t="s">
        <v>40679</v>
      </c>
      <c r="M8106" t="s">
        <v>41634</v>
      </c>
      <c r="N8106" t="s">
        <v>44905</v>
      </c>
      <c r="O8106" t="s">
        <v>44906</v>
      </c>
      <c r="P8106">
        <v>0</v>
      </c>
      <c r="Q8106">
        <v>3</v>
      </c>
      <c r="R8106" t="s">
        <v>44910</v>
      </c>
      <c r="S8106" t="s">
        <v>45076</v>
      </c>
      <c r="T8106" t="s">
        <v>46433</v>
      </c>
      <c r="U8106" t="s">
        <v>53336</v>
      </c>
      <c r="W8106" t="s">
        <v>60863</v>
      </c>
      <c r="X8106" t="s">
        <v>44911</v>
      </c>
    </row>
    <row r="8107" spans="1:24">
      <c r="A8107">
        <f>HYPERLINK("https://www.philgeps.gov.ph/GEPSNONPILOT/Tender/SplashBidNoticeAbstractUI.aspx?menuIndex=3&amp;refID=7075446&amp;Result=3","7075446")</f>
        <v>0</v>
      </c>
      <c r="B8107" t="s">
        <v>1073</v>
      </c>
      <c r="C8107" t="s">
        <v>11253</v>
      </c>
      <c r="D8107" t="s">
        <v>18121</v>
      </c>
      <c r="E8107" t="s">
        <v>25323</v>
      </c>
      <c r="F8107" t="s">
        <v>31362</v>
      </c>
      <c r="G8107" t="s">
        <v>31369</v>
      </c>
      <c r="H8107" t="s">
        <v>31378</v>
      </c>
      <c r="I8107" t="s">
        <v>31386</v>
      </c>
      <c r="J8107" t="s">
        <v>36468</v>
      </c>
      <c r="K8107" t="s">
        <v>40679</v>
      </c>
      <c r="M8107" t="s">
        <v>42075</v>
      </c>
      <c r="N8107" t="s">
        <v>44905</v>
      </c>
      <c r="O8107" t="s">
        <v>44906</v>
      </c>
      <c r="P8107">
        <v>0</v>
      </c>
      <c r="Q8107">
        <v>27</v>
      </c>
      <c r="R8107" t="s">
        <v>44910</v>
      </c>
      <c r="S8107" t="s">
        <v>45076</v>
      </c>
      <c r="T8107" t="s">
        <v>46419</v>
      </c>
      <c r="U8107" t="s">
        <v>53450</v>
      </c>
      <c r="W8107" t="s">
        <v>42075</v>
      </c>
      <c r="X8107" t="s">
        <v>44911</v>
      </c>
    </row>
    <row r="8108" spans="1:24">
      <c r="A8108">
        <f>HYPERLINK("https://www.philgeps.gov.ph/GEPSNONPILOT/Tender/SplashBidNoticeAbstractUI.aspx?menuIndex=3&amp;refID=7075354&amp;Result=3","7075354")</f>
        <v>0</v>
      </c>
      <c r="B8108" t="s">
        <v>952</v>
      </c>
      <c r="C8108" t="s">
        <v>11254</v>
      </c>
      <c r="D8108" t="s">
        <v>18100</v>
      </c>
      <c r="E8108" t="s">
        <v>25324</v>
      </c>
      <c r="F8108" t="s">
        <v>31362</v>
      </c>
      <c r="G8108" t="s">
        <v>31369</v>
      </c>
      <c r="H8108" t="s">
        <v>15799</v>
      </c>
      <c r="I8108" t="s">
        <v>3815</v>
      </c>
      <c r="J8108" t="s">
        <v>36469</v>
      </c>
      <c r="K8108" t="s">
        <v>40662</v>
      </c>
      <c r="M8108" t="s">
        <v>41940</v>
      </c>
      <c r="N8108" t="s">
        <v>44905</v>
      </c>
      <c r="O8108" t="s">
        <v>44906</v>
      </c>
      <c r="P8108">
        <v>0</v>
      </c>
      <c r="Q8108">
        <v>2</v>
      </c>
      <c r="R8108" t="s">
        <v>44910</v>
      </c>
      <c r="S8108" t="s">
        <v>45076</v>
      </c>
      <c r="T8108" t="s">
        <v>46507</v>
      </c>
      <c r="U8108" t="s">
        <v>53451</v>
      </c>
      <c r="V8108" t="s">
        <v>59311</v>
      </c>
      <c r="W8108" t="s">
        <v>41940</v>
      </c>
      <c r="X8108" t="s">
        <v>44911</v>
      </c>
    </row>
    <row r="8109" spans="1:24">
      <c r="A8109">
        <f>HYPERLINK("https://www.philgeps.gov.ph/GEPSNONPILOT/Tender/SplashBidNoticeAbstractUI.aspx?menuIndex=3&amp;refID=7075445&amp;Result=3","7075445")</f>
        <v>0</v>
      </c>
      <c r="B8109" t="s">
        <v>516</v>
      </c>
      <c r="C8109" t="s">
        <v>11255</v>
      </c>
      <c r="D8109" t="s">
        <v>18175</v>
      </c>
      <c r="E8109" t="s">
        <v>25325</v>
      </c>
      <c r="F8109" t="s">
        <v>31362</v>
      </c>
      <c r="G8109" t="s">
        <v>31371</v>
      </c>
      <c r="H8109" t="s">
        <v>15799</v>
      </c>
      <c r="I8109" t="s">
        <v>7090</v>
      </c>
      <c r="J8109" t="s">
        <v>36470</v>
      </c>
      <c r="K8109" t="s">
        <v>40682</v>
      </c>
      <c r="M8109" t="s">
        <v>43558</v>
      </c>
      <c r="N8109" t="s">
        <v>44905</v>
      </c>
      <c r="O8109" t="s">
        <v>44906</v>
      </c>
      <c r="P8109">
        <v>0</v>
      </c>
      <c r="Q8109">
        <v>3</v>
      </c>
      <c r="R8109" t="s">
        <v>44910</v>
      </c>
      <c r="S8109" t="s">
        <v>45076</v>
      </c>
      <c r="T8109" t="s">
        <v>46411</v>
      </c>
      <c r="U8109" t="s">
        <v>53439</v>
      </c>
      <c r="W8109" t="s">
        <v>43558</v>
      </c>
      <c r="X8109" t="s">
        <v>44911</v>
      </c>
    </row>
    <row r="8110" spans="1:24">
      <c r="A8110">
        <f>HYPERLINK("https://www.philgeps.gov.ph/GEPSNONPILOT/Tender/SplashBidNoticeAbstractUI.aspx?menuIndex=3&amp;refID=7075391&amp;Result=3","7075391")</f>
        <v>0</v>
      </c>
      <c r="B8110" t="s">
        <v>2407</v>
      </c>
      <c r="C8110" t="s">
        <v>11256</v>
      </c>
      <c r="D8110" t="s">
        <v>18104</v>
      </c>
      <c r="E8110" t="s">
        <v>25326</v>
      </c>
      <c r="F8110" t="s">
        <v>31365</v>
      </c>
      <c r="G8110" t="s">
        <v>31370</v>
      </c>
      <c r="H8110" t="s">
        <v>15799</v>
      </c>
      <c r="I8110" t="s">
        <v>6373</v>
      </c>
      <c r="J8110" t="s">
        <v>36471</v>
      </c>
      <c r="K8110" t="s">
        <v>40697</v>
      </c>
      <c r="L8110" t="s">
        <v>2407</v>
      </c>
      <c r="M8110" t="s">
        <v>43561</v>
      </c>
      <c r="N8110" t="s">
        <v>44905</v>
      </c>
      <c r="O8110" t="s">
        <v>44906</v>
      </c>
      <c r="P8110">
        <v>0</v>
      </c>
      <c r="Q8110">
        <v>0</v>
      </c>
      <c r="R8110" t="s">
        <v>44910</v>
      </c>
      <c r="S8110" t="s">
        <v>45076</v>
      </c>
      <c r="T8110" t="s">
        <v>46416</v>
      </c>
      <c r="U8110" t="s">
        <v>53452</v>
      </c>
      <c r="W8110" t="s">
        <v>43561</v>
      </c>
      <c r="X8110" t="s">
        <v>44911</v>
      </c>
    </row>
    <row r="8111" spans="1:24">
      <c r="A8111">
        <f>HYPERLINK("https://www.philgeps.gov.ph/GEPSNONPILOT/Tender/SplashBidNoticeAbstractUI.aspx?menuIndex=3&amp;refID=7075374&amp;Result=3","7075374")</f>
        <v>0</v>
      </c>
      <c r="B8111" t="s">
        <v>2408</v>
      </c>
      <c r="C8111" t="s">
        <v>11257</v>
      </c>
      <c r="D8111" t="s">
        <v>18172</v>
      </c>
      <c r="E8111" t="s">
        <v>19844</v>
      </c>
      <c r="F8111" t="s">
        <v>31362</v>
      </c>
      <c r="G8111" t="s">
        <v>31369</v>
      </c>
      <c r="H8111" t="s">
        <v>15799</v>
      </c>
      <c r="I8111" t="s">
        <v>3815</v>
      </c>
      <c r="J8111" t="s">
        <v>36472</v>
      </c>
      <c r="K8111" t="s">
        <v>40666</v>
      </c>
      <c r="M8111" t="s">
        <v>43562</v>
      </c>
      <c r="N8111" t="s">
        <v>44905</v>
      </c>
      <c r="O8111" t="s">
        <v>44906</v>
      </c>
      <c r="P8111">
        <v>0</v>
      </c>
      <c r="Q8111">
        <v>0</v>
      </c>
      <c r="R8111" t="s">
        <v>44910</v>
      </c>
      <c r="S8111" t="s">
        <v>45076</v>
      </c>
      <c r="T8111" t="s">
        <v>46447</v>
      </c>
      <c r="U8111" t="s">
        <v>53453</v>
      </c>
      <c r="W8111" t="s">
        <v>43562</v>
      </c>
      <c r="X8111" t="s">
        <v>44911</v>
      </c>
    </row>
    <row r="8112" spans="1:24">
      <c r="A8112">
        <f>HYPERLINK("https://www.philgeps.gov.ph/GEPSNONPILOT/Tender/SplashBidNoticeAbstractUI.aspx?menuIndex=3&amp;refID=7075385&amp;Result=3","7075385")</f>
        <v>0</v>
      </c>
      <c r="B8112" t="s">
        <v>2380</v>
      </c>
      <c r="C8112" t="s">
        <v>11258</v>
      </c>
      <c r="D8112" t="s">
        <v>18112</v>
      </c>
      <c r="E8112" t="s">
        <v>25327</v>
      </c>
      <c r="F8112" t="s">
        <v>31362</v>
      </c>
      <c r="G8112" t="s">
        <v>31369</v>
      </c>
      <c r="H8112" t="s">
        <v>31378</v>
      </c>
      <c r="I8112" t="s">
        <v>31386</v>
      </c>
      <c r="J8112" t="s">
        <v>36473</v>
      </c>
      <c r="K8112" t="s">
        <v>40686</v>
      </c>
      <c r="M8112" t="s">
        <v>43529</v>
      </c>
      <c r="N8112" t="s">
        <v>44905</v>
      </c>
      <c r="O8112" t="s">
        <v>44906</v>
      </c>
      <c r="P8112">
        <v>0</v>
      </c>
      <c r="Q8112">
        <v>0</v>
      </c>
      <c r="R8112" t="s">
        <v>44910</v>
      </c>
      <c r="S8112" t="s">
        <v>45076</v>
      </c>
      <c r="T8112" t="s">
        <v>46429</v>
      </c>
      <c r="U8112" t="s">
        <v>53454</v>
      </c>
      <c r="V8112" t="s">
        <v>59848</v>
      </c>
      <c r="W8112" t="s">
        <v>43529</v>
      </c>
      <c r="X8112" t="s">
        <v>44911</v>
      </c>
    </row>
    <row r="8113" spans="1:24">
      <c r="A8113">
        <f>HYPERLINK("https://www.philgeps.gov.ph/GEPSNONPILOT/Tender/SplashBidNoticeAbstractUI.aspx?menuIndex=3&amp;refID=7075441&amp;Result=3","7075441")</f>
        <v>0</v>
      </c>
      <c r="B8113" t="s">
        <v>2381</v>
      </c>
      <c r="C8113" t="s">
        <v>11259</v>
      </c>
      <c r="D8113" t="s">
        <v>18120</v>
      </c>
      <c r="E8113" t="s">
        <v>25328</v>
      </c>
      <c r="F8113" t="s">
        <v>31362</v>
      </c>
      <c r="G8113" t="s">
        <v>31369</v>
      </c>
      <c r="H8113" t="s">
        <v>31378</v>
      </c>
      <c r="I8113" t="s">
        <v>31386</v>
      </c>
      <c r="J8113" t="s">
        <v>31634</v>
      </c>
      <c r="K8113" t="s">
        <v>40662</v>
      </c>
      <c r="M8113" t="s">
        <v>43530</v>
      </c>
      <c r="N8113" t="s">
        <v>44905</v>
      </c>
      <c r="O8113" t="s">
        <v>44906</v>
      </c>
      <c r="P8113">
        <v>0</v>
      </c>
      <c r="Q8113">
        <v>0</v>
      </c>
      <c r="R8113" t="s">
        <v>44910</v>
      </c>
      <c r="S8113" t="s">
        <v>45076</v>
      </c>
      <c r="T8113" t="s">
        <v>46419</v>
      </c>
      <c r="U8113" t="s">
        <v>53386</v>
      </c>
      <c r="W8113" t="s">
        <v>43530</v>
      </c>
      <c r="X8113" t="s">
        <v>44911</v>
      </c>
    </row>
    <row r="8114" spans="1:24">
      <c r="A8114">
        <f>HYPERLINK("https://www.philgeps.gov.ph/GEPSNONPILOT/Tender/SplashBidNoticeAbstractUI.aspx?menuIndex=3&amp;refID=7075438&amp;Result=3","7075438")</f>
        <v>0</v>
      </c>
      <c r="B8114" t="s">
        <v>2333</v>
      </c>
      <c r="C8114" t="s">
        <v>11260</v>
      </c>
      <c r="D8114" t="s">
        <v>18132</v>
      </c>
      <c r="E8114" t="s">
        <v>25329</v>
      </c>
      <c r="F8114" t="s">
        <v>31362</v>
      </c>
      <c r="G8114" t="s">
        <v>31369</v>
      </c>
      <c r="H8114" t="s">
        <v>15799</v>
      </c>
      <c r="I8114" t="s">
        <v>31464</v>
      </c>
      <c r="J8114" t="s">
        <v>33271</v>
      </c>
      <c r="K8114" t="s">
        <v>40665</v>
      </c>
      <c r="M8114" t="s">
        <v>43473</v>
      </c>
      <c r="N8114" t="s">
        <v>44905</v>
      </c>
      <c r="O8114" t="s">
        <v>44906</v>
      </c>
      <c r="P8114">
        <v>0</v>
      </c>
      <c r="Q8114">
        <v>1</v>
      </c>
      <c r="R8114" t="s">
        <v>44910</v>
      </c>
      <c r="S8114" t="s">
        <v>45076</v>
      </c>
      <c r="T8114" t="s">
        <v>46419</v>
      </c>
      <c r="U8114" t="s">
        <v>53455</v>
      </c>
      <c r="W8114" t="s">
        <v>43473</v>
      </c>
      <c r="X8114" t="s">
        <v>44911</v>
      </c>
    </row>
    <row r="8115" spans="1:24">
      <c r="A8115">
        <f>HYPERLINK("https://www.philgeps.gov.ph/GEPSNONPILOT/Tender/SplashBidNoticeAbstractUI.aspx?menuIndex=3&amp;refID=7075433&amp;Result=3","7075433")</f>
        <v>0</v>
      </c>
      <c r="B8115" t="s">
        <v>268</v>
      </c>
      <c r="C8115" t="s">
        <v>11261</v>
      </c>
      <c r="D8115" t="s">
        <v>18165</v>
      </c>
      <c r="E8115" t="s">
        <v>25330</v>
      </c>
      <c r="F8115" t="s">
        <v>31362</v>
      </c>
      <c r="G8115" t="s">
        <v>31369</v>
      </c>
      <c r="H8115" t="s">
        <v>15799</v>
      </c>
      <c r="I8115" t="s">
        <v>31380</v>
      </c>
      <c r="J8115" t="s">
        <v>36474</v>
      </c>
      <c r="K8115" t="s">
        <v>40661</v>
      </c>
      <c r="M8115" t="s">
        <v>41210</v>
      </c>
      <c r="N8115" t="s">
        <v>44905</v>
      </c>
      <c r="O8115" t="s">
        <v>44906</v>
      </c>
      <c r="P8115">
        <v>0</v>
      </c>
      <c r="Q8115">
        <v>3</v>
      </c>
      <c r="R8115" t="s">
        <v>44910</v>
      </c>
      <c r="S8115" t="s">
        <v>45076</v>
      </c>
      <c r="T8115" t="s">
        <v>46410</v>
      </c>
      <c r="U8115" t="s">
        <v>53456</v>
      </c>
      <c r="V8115" t="s">
        <v>59849</v>
      </c>
      <c r="W8115" t="s">
        <v>41210</v>
      </c>
      <c r="X8115" t="s">
        <v>44911</v>
      </c>
    </row>
    <row r="8116" spans="1:24">
      <c r="A8116">
        <f>HYPERLINK("https://www.philgeps.gov.ph/GEPSNONPILOT/Tender/SplashBidNoticeAbstractUI.aspx?menuIndex=3&amp;refID=7075431&amp;Result=3","7075431")</f>
        <v>0</v>
      </c>
      <c r="B8116" t="s">
        <v>672</v>
      </c>
      <c r="C8116" t="s">
        <v>11262</v>
      </c>
      <c r="D8116" t="s">
        <v>18103</v>
      </c>
      <c r="E8116" t="s">
        <v>25331</v>
      </c>
      <c r="F8116" t="s">
        <v>31362</v>
      </c>
      <c r="G8116" t="s">
        <v>31369</v>
      </c>
      <c r="H8116" t="s">
        <v>31378</v>
      </c>
      <c r="I8116" t="s">
        <v>31386</v>
      </c>
      <c r="J8116" t="s">
        <v>36377</v>
      </c>
      <c r="K8116" t="s">
        <v>40665</v>
      </c>
      <c r="M8116" t="s">
        <v>41634</v>
      </c>
      <c r="N8116" t="s">
        <v>44905</v>
      </c>
      <c r="O8116" t="s">
        <v>44906</v>
      </c>
      <c r="P8116">
        <v>0</v>
      </c>
      <c r="Q8116">
        <v>3</v>
      </c>
      <c r="R8116" t="s">
        <v>44910</v>
      </c>
      <c r="S8116" t="s">
        <v>45076</v>
      </c>
      <c r="T8116" t="s">
        <v>46433</v>
      </c>
      <c r="U8116" t="s">
        <v>53336</v>
      </c>
      <c r="W8116" t="s">
        <v>60863</v>
      </c>
      <c r="X8116" t="s">
        <v>44911</v>
      </c>
    </row>
    <row r="8117" spans="1:24">
      <c r="A8117">
        <f>HYPERLINK("https://www.philgeps.gov.ph/GEPSNONPILOT/Tender/SplashBidNoticeAbstractUI.aspx?menuIndex=3&amp;refID=7075424&amp;Result=3","7075424")</f>
        <v>0</v>
      </c>
      <c r="B8117" t="s">
        <v>672</v>
      </c>
      <c r="C8117" t="s">
        <v>11263</v>
      </c>
      <c r="D8117" t="s">
        <v>18103</v>
      </c>
      <c r="E8117" t="s">
        <v>25332</v>
      </c>
      <c r="F8117" t="s">
        <v>31362</v>
      </c>
      <c r="G8117" t="s">
        <v>31369</v>
      </c>
      <c r="H8117" t="s">
        <v>31378</v>
      </c>
      <c r="I8117" t="s">
        <v>31386</v>
      </c>
      <c r="J8117" t="s">
        <v>34224</v>
      </c>
      <c r="K8117" t="s">
        <v>40665</v>
      </c>
      <c r="M8117" t="s">
        <v>41634</v>
      </c>
      <c r="N8117" t="s">
        <v>44905</v>
      </c>
      <c r="O8117" t="s">
        <v>44906</v>
      </c>
      <c r="P8117">
        <v>0</v>
      </c>
      <c r="Q8117">
        <v>3</v>
      </c>
      <c r="R8117" t="s">
        <v>44910</v>
      </c>
      <c r="S8117" t="s">
        <v>45076</v>
      </c>
      <c r="T8117" t="s">
        <v>46433</v>
      </c>
      <c r="U8117" t="s">
        <v>53336</v>
      </c>
      <c r="W8117" t="s">
        <v>60863</v>
      </c>
      <c r="X8117" t="s">
        <v>44911</v>
      </c>
    </row>
    <row r="8118" spans="1:24">
      <c r="A8118">
        <f>HYPERLINK("https://www.philgeps.gov.ph/GEPSNONPILOT/Tender/SplashBidNoticeAbstractUI.aspx?menuIndex=3&amp;refID=7075421&amp;Result=3","7075421")</f>
        <v>0</v>
      </c>
      <c r="B8118" t="s">
        <v>1033</v>
      </c>
      <c r="C8118" t="s">
        <v>11264</v>
      </c>
      <c r="D8118" t="s">
        <v>18162</v>
      </c>
      <c r="E8118" t="s">
        <v>25333</v>
      </c>
      <c r="F8118" t="s">
        <v>31362</v>
      </c>
      <c r="G8118" t="s">
        <v>31369</v>
      </c>
      <c r="H8118" t="s">
        <v>15799</v>
      </c>
      <c r="I8118" t="s">
        <v>3815</v>
      </c>
      <c r="J8118" t="s">
        <v>36475</v>
      </c>
      <c r="K8118" t="s">
        <v>40670</v>
      </c>
      <c r="M8118" t="s">
        <v>43563</v>
      </c>
      <c r="N8118" t="s">
        <v>44905</v>
      </c>
      <c r="O8118" t="s">
        <v>44906</v>
      </c>
      <c r="P8118">
        <v>0</v>
      </c>
      <c r="Q8118">
        <v>2</v>
      </c>
      <c r="R8118" t="s">
        <v>44910</v>
      </c>
      <c r="S8118" t="s">
        <v>45076</v>
      </c>
      <c r="T8118" t="s">
        <v>46480</v>
      </c>
      <c r="U8118" t="s">
        <v>53457</v>
      </c>
      <c r="W8118" t="s">
        <v>43563</v>
      </c>
      <c r="X8118" t="s">
        <v>44911</v>
      </c>
    </row>
    <row r="8119" spans="1:24">
      <c r="A8119">
        <f>HYPERLINK("https://www.philgeps.gov.ph/GEPSNONPILOT/Tender/SplashBidNoticeAbstractUI.aspx?menuIndex=3&amp;refID=7075443&amp;Result=3","7075443")</f>
        <v>0</v>
      </c>
      <c r="B8119" t="s">
        <v>1033</v>
      </c>
      <c r="C8119" t="s">
        <v>11265</v>
      </c>
      <c r="D8119" t="s">
        <v>18162</v>
      </c>
      <c r="E8119" t="s">
        <v>25334</v>
      </c>
      <c r="F8119" t="s">
        <v>31362</v>
      </c>
      <c r="G8119" t="s">
        <v>31369</v>
      </c>
      <c r="H8119" t="s">
        <v>15799</v>
      </c>
      <c r="I8119" t="s">
        <v>3815</v>
      </c>
      <c r="J8119" t="s">
        <v>36476</v>
      </c>
      <c r="K8119" t="s">
        <v>40670</v>
      </c>
      <c r="M8119" t="s">
        <v>43563</v>
      </c>
      <c r="N8119" t="s">
        <v>44905</v>
      </c>
      <c r="O8119" t="s">
        <v>44906</v>
      </c>
      <c r="P8119">
        <v>0</v>
      </c>
      <c r="Q8119">
        <v>1</v>
      </c>
      <c r="R8119" t="s">
        <v>44910</v>
      </c>
      <c r="S8119" t="s">
        <v>45076</v>
      </c>
      <c r="T8119" t="s">
        <v>46480</v>
      </c>
      <c r="U8119" t="s">
        <v>53458</v>
      </c>
      <c r="W8119" t="s">
        <v>43563</v>
      </c>
      <c r="X8119" t="s">
        <v>44911</v>
      </c>
    </row>
    <row r="8120" spans="1:24">
      <c r="A8120">
        <f>HYPERLINK("https://www.philgeps.gov.ph/GEPSNONPILOT/Tender/SplashBidNoticeAbstractUI.aspx?menuIndex=3&amp;refID=7075442&amp;Result=3","7075442")</f>
        <v>0</v>
      </c>
      <c r="B8120" t="s">
        <v>908</v>
      </c>
      <c r="C8120" t="s">
        <v>11266</v>
      </c>
      <c r="D8120" t="s">
        <v>18155</v>
      </c>
      <c r="E8120" t="s">
        <v>25335</v>
      </c>
      <c r="F8120" t="s">
        <v>31362</v>
      </c>
      <c r="G8120" t="s">
        <v>31368</v>
      </c>
      <c r="H8120" t="s">
        <v>15799</v>
      </c>
      <c r="I8120" t="s">
        <v>31424</v>
      </c>
      <c r="J8120" t="s">
        <v>33562</v>
      </c>
      <c r="K8120" t="s">
        <v>40666</v>
      </c>
      <c r="M8120" t="s">
        <v>41979</v>
      </c>
      <c r="N8120" t="s">
        <v>44905</v>
      </c>
      <c r="O8120" t="s">
        <v>44906</v>
      </c>
      <c r="P8120">
        <v>0</v>
      </c>
      <c r="Q8120">
        <v>3</v>
      </c>
      <c r="R8120" t="s">
        <v>44910</v>
      </c>
      <c r="S8120" t="s">
        <v>45076</v>
      </c>
      <c r="T8120" t="s">
        <v>46416</v>
      </c>
      <c r="U8120" t="s">
        <v>53459</v>
      </c>
      <c r="W8120" t="s">
        <v>41979</v>
      </c>
      <c r="X8120" t="s">
        <v>44911</v>
      </c>
    </row>
    <row r="8121" spans="1:24">
      <c r="A8121">
        <f>HYPERLINK("https://www.philgeps.gov.ph/GEPSNONPILOT/Tender/SplashBidNoticeAbstractUI.aspx?menuIndex=3&amp;refID=7075418&amp;Result=3","7075418")</f>
        <v>0</v>
      </c>
      <c r="B8121" t="s">
        <v>682</v>
      </c>
      <c r="C8121" t="s">
        <v>11267</v>
      </c>
      <c r="E8121" t="s">
        <v>25336</v>
      </c>
      <c r="F8121" t="s">
        <v>31362</v>
      </c>
      <c r="G8121" t="s">
        <v>31368</v>
      </c>
      <c r="H8121" t="s">
        <v>15799</v>
      </c>
      <c r="I8121" t="s">
        <v>3815</v>
      </c>
      <c r="J8121" t="s">
        <v>36477</v>
      </c>
      <c r="K8121" t="s">
        <v>40670</v>
      </c>
      <c r="M8121" t="s">
        <v>41644</v>
      </c>
      <c r="N8121" t="s">
        <v>44905</v>
      </c>
      <c r="O8121" t="s">
        <v>44906</v>
      </c>
      <c r="P8121">
        <v>0</v>
      </c>
      <c r="Q8121">
        <v>1</v>
      </c>
      <c r="R8121" t="s">
        <v>44910</v>
      </c>
      <c r="S8121" t="s">
        <v>45076</v>
      </c>
      <c r="T8121" t="s">
        <v>46506</v>
      </c>
      <c r="U8121" t="s">
        <v>53460</v>
      </c>
      <c r="V8121" t="s">
        <v>59829</v>
      </c>
      <c r="W8121" t="s">
        <v>41644</v>
      </c>
      <c r="X8121" t="s">
        <v>44911</v>
      </c>
    </row>
    <row r="8122" spans="1:24">
      <c r="A8122">
        <f>HYPERLINK("https://www.philgeps.gov.ph/GEPSNONPILOT/Tender/SplashBidNoticeAbstractUI.aspx?menuIndex=3&amp;refID=7075417&amp;Result=3","7075417")</f>
        <v>0</v>
      </c>
      <c r="B8122" t="s">
        <v>2409</v>
      </c>
      <c r="C8122" t="s">
        <v>11268</v>
      </c>
      <c r="D8122" t="s">
        <v>18140</v>
      </c>
      <c r="E8122" t="s">
        <v>25337</v>
      </c>
      <c r="F8122" t="s">
        <v>31362</v>
      </c>
      <c r="G8122" t="s">
        <v>31369</v>
      </c>
      <c r="H8122" t="s">
        <v>15799</v>
      </c>
      <c r="I8122" t="s">
        <v>4942</v>
      </c>
      <c r="J8122" t="s">
        <v>31530</v>
      </c>
      <c r="K8122" t="s">
        <v>40666</v>
      </c>
      <c r="M8122" t="s">
        <v>43564</v>
      </c>
      <c r="N8122" t="s">
        <v>44905</v>
      </c>
      <c r="O8122" t="s">
        <v>44906</v>
      </c>
      <c r="P8122">
        <v>0</v>
      </c>
      <c r="Q8122">
        <v>2</v>
      </c>
      <c r="R8122" t="s">
        <v>44910</v>
      </c>
      <c r="S8122" t="s">
        <v>45076</v>
      </c>
      <c r="T8122" t="s">
        <v>46589</v>
      </c>
      <c r="U8122" t="s">
        <v>53461</v>
      </c>
      <c r="V8122" t="s">
        <v>59850</v>
      </c>
      <c r="W8122" t="s">
        <v>43564</v>
      </c>
      <c r="X8122" t="s">
        <v>44911</v>
      </c>
    </row>
    <row r="8123" spans="1:24">
      <c r="A8123">
        <f>HYPERLINK("https://www.philgeps.gov.ph/GEPSNONPILOT/Tender/SplashBidNoticeAbstractUI.aspx?menuIndex=3&amp;refID=7075408&amp;Result=3","7075408")</f>
        <v>0</v>
      </c>
      <c r="B8123" t="s">
        <v>1919</v>
      </c>
      <c r="C8123" t="s">
        <v>11269</v>
      </c>
      <c r="D8123" t="s">
        <v>18125</v>
      </c>
      <c r="E8123" t="s">
        <v>25338</v>
      </c>
      <c r="F8123" t="s">
        <v>31362</v>
      </c>
      <c r="G8123" t="s">
        <v>31372</v>
      </c>
      <c r="H8123" t="s">
        <v>15799</v>
      </c>
      <c r="I8123" t="s">
        <v>31380</v>
      </c>
      <c r="J8123" t="s">
        <v>33736</v>
      </c>
      <c r="K8123" t="s">
        <v>40666</v>
      </c>
      <c r="M8123" t="s">
        <v>43016</v>
      </c>
      <c r="N8123" t="s">
        <v>44905</v>
      </c>
      <c r="O8123" t="s">
        <v>44906</v>
      </c>
      <c r="P8123">
        <v>0</v>
      </c>
      <c r="Q8123">
        <v>2</v>
      </c>
      <c r="R8123" t="s">
        <v>44910</v>
      </c>
      <c r="S8123" t="s">
        <v>45076</v>
      </c>
      <c r="T8123" t="s">
        <v>46549</v>
      </c>
      <c r="U8123" t="s">
        <v>53462</v>
      </c>
      <c r="W8123" t="s">
        <v>43016</v>
      </c>
      <c r="X8123" t="s">
        <v>44911</v>
      </c>
    </row>
    <row r="8124" spans="1:24">
      <c r="A8124">
        <f>HYPERLINK("https://www.philgeps.gov.ph/GEPSNONPILOT/Tender/SplashBidNoticeAbstractUI.aspx?menuIndex=3&amp;refID=7075410&amp;Result=3","7075410")</f>
        <v>0</v>
      </c>
      <c r="B8124" t="s">
        <v>672</v>
      </c>
      <c r="C8124" t="s">
        <v>11270</v>
      </c>
      <c r="D8124" t="s">
        <v>18103</v>
      </c>
      <c r="E8124" t="s">
        <v>25339</v>
      </c>
      <c r="F8124" t="s">
        <v>31362</v>
      </c>
      <c r="G8124" t="s">
        <v>31369</v>
      </c>
      <c r="H8124" t="s">
        <v>31378</v>
      </c>
      <c r="I8124" t="s">
        <v>31386</v>
      </c>
      <c r="J8124" t="s">
        <v>31625</v>
      </c>
      <c r="K8124" t="s">
        <v>40675</v>
      </c>
      <c r="M8124" t="s">
        <v>41634</v>
      </c>
      <c r="N8124" t="s">
        <v>44905</v>
      </c>
      <c r="O8124" t="s">
        <v>44906</v>
      </c>
      <c r="P8124">
        <v>0</v>
      </c>
      <c r="Q8124">
        <v>3</v>
      </c>
      <c r="R8124" t="s">
        <v>44910</v>
      </c>
      <c r="S8124" t="s">
        <v>45076</v>
      </c>
      <c r="T8124" t="s">
        <v>46433</v>
      </c>
      <c r="U8124" t="s">
        <v>53336</v>
      </c>
      <c r="W8124" t="s">
        <v>60863</v>
      </c>
      <c r="X8124" t="s">
        <v>44911</v>
      </c>
    </row>
    <row r="8125" spans="1:24">
      <c r="A8125">
        <f>HYPERLINK("https://www.philgeps.gov.ph/GEPSNONPILOT/Tender/SplashBidNoticeAbstractUI.aspx?menuIndex=3&amp;refID=7075368&amp;Result=3","7075368")</f>
        <v>0</v>
      </c>
      <c r="B8125" t="s">
        <v>908</v>
      </c>
      <c r="C8125" t="s">
        <v>11271</v>
      </c>
      <c r="D8125" t="s">
        <v>18155</v>
      </c>
      <c r="E8125" t="s">
        <v>25219</v>
      </c>
      <c r="F8125" t="s">
        <v>31362</v>
      </c>
      <c r="G8125" t="s">
        <v>31368</v>
      </c>
      <c r="H8125" t="s">
        <v>15799</v>
      </c>
      <c r="I8125" t="s">
        <v>31455</v>
      </c>
      <c r="J8125" t="s">
        <v>31689</v>
      </c>
      <c r="K8125" t="s">
        <v>40666</v>
      </c>
      <c r="M8125" t="s">
        <v>41979</v>
      </c>
      <c r="N8125" t="s">
        <v>44905</v>
      </c>
      <c r="O8125" t="s">
        <v>44906</v>
      </c>
      <c r="P8125">
        <v>0</v>
      </c>
      <c r="Q8125">
        <v>0</v>
      </c>
      <c r="R8125" t="s">
        <v>44910</v>
      </c>
      <c r="S8125" t="s">
        <v>45076</v>
      </c>
      <c r="T8125" t="s">
        <v>46467</v>
      </c>
      <c r="U8125" t="s">
        <v>53463</v>
      </c>
      <c r="W8125" t="s">
        <v>41979</v>
      </c>
      <c r="X8125" t="s">
        <v>44911</v>
      </c>
    </row>
    <row r="8126" spans="1:24">
      <c r="A8126">
        <f>HYPERLINK("https://www.philgeps.gov.ph/GEPSNONPILOT/Tender/SplashBidNoticeAbstractUI.aspx?menuIndex=3&amp;refID=7075366&amp;Result=3","7075366")</f>
        <v>0</v>
      </c>
      <c r="B8126" t="s">
        <v>516</v>
      </c>
      <c r="C8126" t="s">
        <v>11272</v>
      </c>
      <c r="D8126" t="s">
        <v>18127</v>
      </c>
      <c r="E8126" t="s">
        <v>25340</v>
      </c>
      <c r="F8126" t="s">
        <v>31362</v>
      </c>
      <c r="G8126" t="s">
        <v>31368</v>
      </c>
      <c r="H8126" t="s">
        <v>15799</v>
      </c>
      <c r="I8126" t="s">
        <v>7090</v>
      </c>
      <c r="J8126" t="s">
        <v>36478</v>
      </c>
      <c r="K8126" t="s">
        <v>40682</v>
      </c>
      <c r="M8126" t="s">
        <v>43558</v>
      </c>
      <c r="N8126" t="s">
        <v>44905</v>
      </c>
      <c r="O8126" t="s">
        <v>44906</v>
      </c>
      <c r="P8126">
        <v>0</v>
      </c>
      <c r="Q8126">
        <v>8</v>
      </c>
      <c r="R8126" t="s">
        <v>44910</v>
      </c>
      <c r="S8126" t="s">
        <v>45076</v>
      </c>
      <c r="T8126" t="s">
        <v>46411</v>
      </c>
      <c r="U8126" t="s">
        <v>53439</v>
      </c>
      <c r="W8126" t="s">
        <v>43558</v>
      </c>
      <c r="X8126" t="s">
        <v>44911</v>
      </c>
    </row>
    <row r="8127" spans="1:24">
      <c r="A8127">
        <f>HYPERLINK("https://www.philgeps.gov.ph/GEPSNONPILOT/Tender/SplashBidNoticeAbstractUI.aspx?menuIndex=3&amp;refID=7075444&amp;Result=3","7075444")</f>
        <v>0</v>
      </c>
      <c r="B8127" t="s">
        <v>2410</v>
      </c>
      <c r="C8127" t="s">
        <v>11273</v>
      </c>
      <c r="D8127" t="s">
        <v>18103</v>
      </c>
      <c r="E8127" t="s">
        <v>25341</v>
      </c>
      <c r="F8127" t="s">
        <v>31362</v>
      </c>
      <c r="G8127" t="s">
        <v>31369</v>
      </c>
      <c r="H8127" t="s">
        <v>15799</v>
      </c>
      <c r="I8127" t="s">
        <v>31422</v>
      </c>
      <c r="J8127" t="s">
        <v>36479</v>
      </c>
      <c r="K8127" t="s">
        <v>40666</v>
      </c>
      <c r="M8127" t="s">
        <v>43565</v>
      </c>
      <c r="N8127" t="s">
        <v>44905</v>
      </c>
      <c r="O8127" t="s">
        <v>44906</v>
      </c>
      <c r="P8127">
        <v>0</v>
      </c>
      <c r="Q8127">
        <v>3</v>
      </c>
      <c r="R8127" t="s">
        <v>44910</v>
      </c>
      <c r="S8127" t="s">
        <v>45076</v>
      </c>
      <c r="T8127" t="s">
        <v>46665</v>
      </c>
      <c r="U8127" t="s">
        <v>53464</v>
      </c>
      <c r="V8127" t="s">
        <v>59851</v>
      </c>
      <c r="W8127" t="s">
        <v>43565</v>
      </c>
      <c r="X8127" t="s">
        <v>44911</v>
      </c>
    </row>
    <row r="8128" spans="1:24">
      <c r="A8128">
        <f>HYPERLINK("https://www.philgeps.gov.ph/GEPSNONPILOT/Tender/SplashBidNoticeAbstractUI.aspx?menuIndex=3&amp;refID=7075365&amp;Result=3","7075365")</f>
        <v>0</v>
      </c>
      <c r="B8128" t="s">
        <v>2398</v>
      </c>
      <c r="C8128" t="s">
        <v>11274</v>
      </c>
      <c r="D8128" t="s">
        <v>18138</v>
      </c>
      <c r="E8128" t="s">
        <v>25342</v>
      </c>
      <c r="F8128" t="s">
        <v>31362</v>
      </c>
      <c r="G8128" t="s">
        <v>31369</v>
      </c>
      <c r="H8128" t="s">
        <v>31378</v>
      </c>
      <c r="I8128" t="s">
        <v>31386</v>
      </c>
      <c r="J8128" t="s">
        <v>36433</v>
      </c>
      <c r="K8128" t="s">
        <v>40686</v>
      </c>
      <c r="M8128" t="s">
        <v>43549</v>
      </c>
      <c r="N8128" t="s">
        <v>44905</v>
      </c>
      <c r="O8128" t="s">
        <v>44906</v>
      </c>
      <c r="P8128">
        <v>0</v>
      </c>
      <c r="Q8128">
        <v>5</v>
      </c>
      <c r="R8128" t="s">
        <v>44910</v>
      </c>
      <c r="S8128" t="s">
        <v>45076</v>
      </c>
      <c r="T8128" t="s">
        <v>46696</v>
      </c>
      <c r="U8128" t="s">
        <v>53406</v>
      </c>
      <c r="V8128" t="s">
        <v>59382</v>
      </c>
      <c r="W8128" t="s">
        <v>43549</v>
      </c>
      <c r="X8128" t="s">
        <v>44911</v>
      </c>
    </row>
    <row r="8129" spans="1:24">
      <c r="A8129">
        <f>HYPERLINK("https://www.philgeps.gov.ph/GEPSNONPILOT/Tender/SplashBidNoticeAbstractUI.aspx?menuIndex=3&amp;refID=7075420&amp;Result=3","7075420")</f>
        <v>0</v>
      </c>
      <c r="B8129" t="s">
        <v>2308</v>
      </c>
      <c r="C8129" t="s">
        <v>11275</v>
      </c>
      <c r="D8129" t="s">
        <v>18101</v>
      </c>
      <c r="E8129" t="s">
        <v>25343</v>
      </c>
      <c r="F8129" t="s">
        <v>31362</v>
      </c>
      <c r="G8129" t="s">
        <v>31369</v>
      </c>
      <c r="H8129" t="s">
        <v>15799</v>
      </c>
      <c r="I8129" t="s">
        <v>3815</v>
      </c>
      <c r="J8129" t="s">
        <v>36480</v>
      </c>
      <c r="K8129" t="s">
        <v>40666</v>
      </c>
      <c r="M8129" t="s">
        <v>43448</v>
      </c>
      <c r="N8129" t="s">
        <v>44905</v>
      </c>
      <c r="O8129" t="s">
        <v>44906</v>
      </c>
      <c r="P8129">
        <v>0</v>
      </c>
      <c r="Q8129">
        <v>0</v>
      </c>
      <c r="R8129" t="s">
        <v>44910</v>
      </c>
      <c r="S8129" t="s">
        <v>45076</v>
      </c>
      <c r="T8129" t="s">
        <v>46483</v>
      </c>
      <c r="U8129" t="s">
        <v>53465</v>
      </c>
      <c r="W8129" t="s">
        <v>43448</v>
      </c>
      <c r="X8129" t="s">
        <v>44911</v>
      </c>
    </row>
    <row r="8130" spans="1:24">
      <c r="A8130">
        <f>HYPERLINK("https://www.philgeps.gov.ph/GEPSNONPILOT/Tender/SplashBidNoticeAbstractUI.aspx?menuIndex=3&amp;refID=7075335&amp;Result=3","7075335")</f>
        <v>0</v>
      </c>
      <c r="B8130" t="s">
        <v>2411</v>
      </c>
      <c r="C8130" t="s">
        <v>11276</v>
      </c>
      <c r="D8130" t="s">
        <v>18131</v>
      </c>
      <c r="E8130" t="s">
        <v>25344</v>
      </c>
      <c r="F8130" t="s">
        <v>31362</v>
      </c>
      <c r="G8130" t="s">
        <v>31372</v>
      </c>
      <c r="H8130" t="s">
        <v>31378</v>
      </c>
      <c r="I8130" t="s">
        <v>31386</v>
      </c>
      <c r="J8130" t="s">
        <v>36481</v>
      </c>
      <c r="K8130" t="s">
        <v>40662</v>
      </c>
      <c r="M8130" t="s">
        <v>43566</v>
      </c>
      <c r="N8130" t="s">
        <v>44905</v>
      </c>
      <c r="O8130" t="s">
        <v>44906</v>
      </c>
      <c r="P8130">
        <v>0</v>
      </c>
      <c r="Q8130">
        <v>1</v>
      </c>
      <c r="R8130" t="s">
        <v>44910</v>
      </c>
      <c r="S8130" t="s">
        <v>45076</v>
      </c>
      <c r="T8130" t="s">
        <v>46438</v>
      </c>
      <c r="U8130" t="s">
        <v>53466</v>
      </c>
      <c r="W8130" t="s">
        <v>43566</v>
      </c>
      <c r="X8130" t="s">
        <v>44911</v>
      </c>
    </row>
    <row r="8131" spans="1:24">
      <c r="A8131">
        <f>HYPERLINK("https://www.philgeps.gov.ph/GEPSNONPILOT/Tender/SplashBidNoticeAbstractUI.aspx?menuIndex=3&amp;refID=7075450&amp;Result=3","7075450")</f>
        <v>0</v>
      </c>
      <c r="B8131" t="s">
        <v>672</v>
      </c>
      <c r="C8131" t="s">
        <v>11277</v>
      </c>
      <c r="D8131" t="s">
        <v>18103</v>
      </c>
      <c r="E8131" t="s">
        <v>25345</v>
      </c>
      <c r="F8131" t="s">
        <v>31362</v>
      </c>
      <c r="G8131" t="s">
        <v>31369</v>
      </c>
      <c r="H8131" t="s">
        <v>31378</v>
      </c>
      <c r="I8131" t="s">
        <v>31386</v>
      </c>
      <c r="J8131" t="s">
        <v>36377</v>
      </c>
      <c r="K8131" t="s">
        <v>40675</v>
      </c>
      <c r="M8131" t="s">
        <v>41634</v>
      </c>
      <c r="N8131" t="s">
        <v>44905</v>
      </c>
      <c r="O8131" t="s">
        <v>44906</v>
      </c>
      <c r="P8131">
        <v>0</v>
      </c>
      <c r="Q8131">
        <v>3</v>
      </c>
      <c r="R8131" t="s">
        <v>44910</v>
      </c>
      <c r="S8131" t="s">
        <v>45076</v>
      </c>
      <c r="T8131" t="s">
        <v>46433</v>
      </c>
      <c r="U8131" t="s">
        <v>53336</v>
      </c>
      <c r="W8131" t="s">
        <v>60863</v>
      </c>
      <c r="X8131" t="s">
        <v>44911</v>
      </c>
    </row>
    <row r="8132" spans="1:24">
      <c r="A8132">
        <f>HYPERLINK("https://www.philgeps.gov.ph/GEPSNONPILOT/Tender/SplashBidNoticeAbstractUI.aspx?menuIndex=3&amp;refID=7075395&amp;Result=3","7075395")</f>
        <v>0</v>
      </c>
      <c r="B8132" t="s">
        <v>2398</v>
      </c>
      <c r="C8132" t="s">
        <v>11278</v>
      </c>
      <c r="D8132" t="s">
        <v>18138</v>
      </c>
      <c r="E8132" t="s">
        <v>25346</v>
      </c>
      <c r="F8132" t="s">
        <v>31362</v>
      </c>
      <c r="G8132" t="s">
        <v>31369</v>
      </c>
      <c r="H8132" t="s">
        <v>31378</v>
      </c>
      <c r="I8132" t="s">
        <v>31386</v>
      </c>
      <c r="J8132" t="s">
        <v>36433</v>
      </c>
      <c r="K8132" t="s">
        <v>40686</v>
      </c>
      <c r="M8132" t="s">
        <v>43549</v>
      </c>
      <c r="N8132" t="s">
        <v>44905</v>
      </c>
      <c r="O8132" t="s">
        <v>44906</v>
      </c>
      <c r="P8132">
        <v>0</v>
      </c>
      <c r="Q8132">
        <v>5</v>
      </c>
      <c r="R8132" t="s">
        <v>44910</v>
      </c>
      <c r="S8132" t="s">
        <v>45076</v>
      </c>
      <c r="T8132" t="s">
        <v>46696</v>
      </c>
      <c r="U8132" t="s">
        <v>53406</v>
      </c>
      <c r="V8132" t="s">
        <v>59382</v>
      </c>
      <c r="W8132" t="s">
        <v>43549</v>
      </c>
      <c r="X8132" t="s">
        <v>44911</v>
      </c>
    </row>
    <row r="8133" spans="1:24">
      <c r="A8133">
        <f>HYPERLINK("https://www.philgeps.gov.ph/GEPSNONPILOT/Tender/SplashBidNoticeAbstractUI.aspx?menuIndex=3&amp;refID=7075337&amp;Result=3","7075337")</f>
        <v>0</v>
      </c>
      <c r="B8133" t="s">
        <v>2387</v>
      </c>
      <c r="C8133" t="s">
        <v>11279</v>
      </c>
      <c r="E8133" t="s">
        <v>25347</v>
      </c>
      <c r="F8133" t="s">
        <v>31362</v>
      </c>
      <c r="G8133" t="s">
        <v>31369</v>
      </c>
      <c r="H8133" t="s">
        <v>15799</v>
      </c>
      <c r="I8133" t="s">
        <v>31413</v>
      </c>
      <c r="J8133" t="s">
        <v>36482</v>
      </c>
      <c r="K8133" t="s">
        <v>40686</v>
      </c>
      <c r="M8133" t="s">
        <v>43536</v>
      </c>
      <c r="N8133" t="s">
        <v>44905</v>
      </c>
      <c r="O8133" t="s">
        <v>44906</v>
      </c>
      <c r="P8133">
        <v>0</v>
      </c>
      <c r="Q8133">
        <v>12</v>
      </c>
      <c r="R8133" t="s">
        <v>44910</v>
      </c>
      <c r="S8133" t="s">
        <v>45076</v>
      </c>
      <c r="T8133" t="s">
        <v>46537</v>
      </c>
      <c r="U8133" t="s">
        <v>53467</v>
      </c>
      <c r="W8133" t="s">
        <v>60931</v>
      </c>
      <c r="X8133" t="s">
        <v>44911</v>
      </c>
    </row>
    <row r="8134" spans="1:24">
      <c r="A8134">
        <f>HYPERLINK("https://www.philgeps.gov.ph/GEPSNONPILOT/Tender/SplashBidNoticeAbstractUI.aspx?menuIndex=3&amp;refID=7075437&amp;Result=3","7075437")</f>
        <v>0</v>
      </c>
      <c r="B8134" t="s">
        <v>2377</v>
      </c>
      <c r="C8134" t="s">
        <v>11280</v>
      </c>
      <c r="D8134" t="s">
        <v>18119</v>
      </c>
      <c r="E8134" t="s">
        <v>25348</v>
      </c>
      <c r="F8134" t="s">
        <v>31362</v>
      </c>
      <c r="G8134" t="s">
        <v>31369</v>
      </c>
      <c r="H8134" t="s">
        <v>31378</v>
      </c>
      <c r="I8134" t="s">
        <v>31386</v>
      </c>
      <c r="J8134" t="s">
        <v>31591</v>
      </c>
      <c r="K8134" t="s">
        <v>40682</v>
      </c>
      <c r="M8134" t="s">
        <v>43525</v>
      </c>
      <c r="N8134" t="s">
        <v>44905</v>
      </c>
      <c r="O8134" t="s">
        <v>44906</v>
      </c>
      <c r="P8134">
        <v>0</v>
      </c>
      <c r="Q8134">
        <v>0</v>
      </c>
      <c r="R8134" t="s">
        <v>44910</v>
      </c>
      <c r="S8134" t="s">
        <v>45076</v>
      </c>
      <c r="T8134" t="s">
        <v>46435</v>
      </c>
      <c r="U8134" t="s">
        <v>53468</v>
      </c>
      <c r="W8134" t="s">
        <v>43525</v>
      </c>
      <c r="X8134" t="s">
        <v>44911</v>
      </c>
    </row>
    <row r="8135" spans="1:24">
      <c r="A8135">
        <f>HYPERLINK("https://www.philgeps.gov.ph/GEPSNONPILOT/Tender/SplashBidNoticeAbstractUI.aspx?menuIndex=3&amp;refID=7075495&amp;Result=3","7075495")</f>
        <v>0</v>
      </c>
      <c r="B8135" t="s">
        <v>2412</v>
      </c>
      <c r="C8135" t="s">
        <v>11281</v>
      </c>
      <c r="D8135" t="s">
        <v>18114</v>
      </c>
      <c r="E8135" t="s">
        <v>25349</v>
      </c>
      <c r="F8135" t="s">
        <v>31362</v>
      </c>
      <c r="G8135" t="s">
        <v>31368</v>
      </c>
      <c r="H8135" t="s">
        <v>15799</v>
      </c>
      <c r="I8135" t="s">
        <v>31422</v>
      </c>
      <c r="J8135" t="s">
        <v>36483</v>
      </c>
      <c r="K8135" t="s">
        <v>40662</v>
      </c>
      <c r="M8135" t="s">
        <v>43567</v>
      </c>
      <c r="N8135" t="s">
        <v>44905</v>
      </c>
      <c r="O8135" t="s">
        <v>44906</v>
      </c>
      <c r="P8135">
        <v>0</v>
      </c>
      <c r="Q8135">
        <v>1</v>
      </c>
      <c r="R8135" t="s">
        <v>44910</v>
      </c>
      <c r="S8135" t="s">
        <v>45076</v>
      </c>
      <c r="T8135" t="s">
        <v>46454</v>
      </c>
      <c r="U8135" t="s">
        <v>53469</v>
      </c>
      <c r="V8135" t="s">
        <v>59852</v>
      </c>
      <c r="W8135" t="s">
        <v>43567</v>
      </c>
      <c r="X8135" t="s">
        <v>44911</v>
      </c>
    </row>
    <row r="8136" spans="1:24">
      <c r="A8136">
        <f>HYPERLINK("https://www.philgeps.gov.ph/GEPSNONPILOT/Tender/SplashBidNoticeAbstractUI.aspx?menuIndex=3&amp;refID=7075491&amp;Result=3","7075491")</f>
        <v>0</v>
      </c>
      <c r="B8136" t="s">
        <v>682</v>
      </c>
      <c r="C8136" t="s">
        <v>11282</v>
      </c>
      <c r="E8136" t="s">
        <v>25350</v>
      </c>
      <c r="F8136" t="s">
        <v>31362</v>
      </c>
      <c r="G8136" t="s">
        <v>31368</v>
      </c>
      <c r="H8136" t="s">
        <v>15799</v>
      </c>
      <c r="I8136" t="s">
        <v>3815</v>
      </c>
      <c r="J8136" t="s">
        <v>36484</v>
      </c>
      <c r="K8136" t="s">
        <v>40670</v>
      </c>
      <c r="M8136" t="s">
        <v>41644</v>
      </c>
      <c r="N8136" t="s">
        <v>44905</v>
      </c>
      <c r="O8136" t="s">
        <v>44906</v>
      </c>
      <c r="P8136">
        <v>0</v>
      </c>
      <c r="Q8136">
        <v>1</v>
      </c>
      <c r="R8136" t="s">
        <v>44910</v>
      </c>
      <c r="S8136" t="s">
        <v>45076</v>
      </c>
      <c r="T8136" t="s">
        <v>46506</v>
      </c>
      <c r="U8136" t="s">
        <v>53470</v>
      </c>
      <c r="V8136" t="s">
        <v>59829</v>
      </c>
      <c r="W8136" t="s">
        <v>41644</v>
      </c>
      <c r="X8136" t="s">
        <v>44911</v>
      </c>
    </row>
    <row r="8137" spans="1:24">
      <c r="A8137">
        <f>HYPERLINK("https://www.philgeps.gov.ph/GEPSNONPILOT/Tender/SplashBidNoticeAbstractUI.aspx?menuIndex=3&amp;refID=7075362&amp;Result=3","7075362")</f>
        <v>0</v>
      </c>
      <c r="B8137" t="s">
        <v>2381</v>
      </c>
      <c r="C8137" t="s">
        <v>11283</v>
      </c>
      <c r="D8137" t="s">
        <v>18120</v>
      </c>
      <c r="E8137" t="s">
        <v>25351</v>
      </c>
      <c r="F8137" t="s">
        <v>31362</v>
      </c>
      <c r="G8137" t="s">
        <v>31369</v>
      </c>
      <c r="H8137" t="s">
        <v>31378</v>
      </c>
      <c r="I8137" t="s">
        <v>31386</v>
      </c>
      <c r="J8137" t="s">
        <v>31591</v>
      </c>
      <c r="K8137" t="s">
        <v>40662</v>
      </c>
      <c r="M8137" t="s">
        <v>43530</v>
      </c>
      <c r="N8137" t="s">
        <v>44905</v>
      </c>
      <c r="O8137" t="s">
        <v>44906</v>
      </c>
      <c r="P8137">
        <v>0</v>
      </c>
      <c r="Q8137">
        <v>0</v>
      </c>
      <c r="R8137" t="s">
        <v>44910</v>
      </c>
      <c r="S8137" t="s">
        <v>45076</v>
      </c>
      <c r="T8137" t="s">
        <v>46419</v>
      </c>
      <c r="U8137" t="s">
        <v>53386</v>
      </c>
      <c r="W8137" t="s">
        <v>43530</v>
      </c>
      <c r="X8137" t="s">
        <v>44911</v>
      </c>
    </row>
    <row r="8138" spans="1:24">
      <c r="A8138">
        <f>HYPERLINK("https://www.philgeps.gov.ph/GEPSNONPILOT/Tender/SplashBidNoticeAbstractUI.aspx?menuIndex=3&amp;refID=7075486&amp;Result=3","7075486")</f>
        <v>0</v>
      </c>
      <c r="B8138" t="s">
        <v>1073</v>
      </c>
      <c r="C8138" t="s">
        <v>11284</v>
      </c>
      <c r="D8138" t="s">
        <v>18121</v>
      </c>
      <c r="E8138" t="s">
        <v>25352</v>
      </c>
      <c r="F8138" t="s">
        <v>31362</v>
      </c>
      <c r="G8138" t="s">
        <v>31369</v>
      </c>
      <c r="H8138" t="s">
        <v>31378</v>
      </c>
      <c r="I8138" t="s">
        <v>31386</v>
      </c>
      <c r="J8138" t="s">
        <v>36485</v>
      </c>
      <c r="K8138" t="s">
        <v>40679</v>
      </c>
      <c r="M8138" t="s">
        <v>42075</v>
      </c>
      <c r="N8138" t="s">
        <v>44905</v>
      </c>
      <c r="O8138" t="s">
        <v>44906</v>
      </c>
      <c r="P8138">
        <v>0</v>
      </c>
      <c r="Q8138">
        <v>26</v>
      </c>
      <c r="R8138" t="s">
        <v>44910</v>
      </c>
      <c r="S8138" t="s">
        <v>45076</v>
      </c>
      <c r="T8138" t="s">
        <v>46419</v>
      </c>
      <c r="U8138" t="s">
        <v>53471</v>
      </c>
      <c r="W8138" t="s">
        <v>42075</v>
      </c>
      <c r="X8138" t="s">
        <v>44911</v>
      </c>
    </row>
    <row r="8139" spans="1:24">
      <c r="A8139">
        <f>HYPERLINK("https://www.philgeps.gov.ph/GEPSNONPILOT/Tender/SplashBidNoticeAbstractUI.aspx?menuIndex=3&amp;refID=7075334&amp;Result=3","7075334")</f>
        <v>0</v>
      </c>
      <c r="B8139" t="s">
        <v>1091</v>
      </c>
      <c r="C8139" t="s">
        <v>11285</v>
      </c>
      <c r="D8139" t="s">
        <v>18177</v>
      </c>
      <c r="E8139" t="s">
        <v>25353</v>
      </c>
      <c r="F8139" t="s">
        <v>31362</v>
      </c>
      <c r="G8139" t="s">
        <v>31369</v>
      </c>
      <c r="H8139" t="s">
        <v>15799</v>
      </c>
      <c r="I8139" t="s">
        <v>31409</v>
      </c>
      <c r="J8139" t="s">
        <v>31625</v>
      </c>
      <c r="K8139" t="s">
        <v>40666</v>
      </c>
      <c r="M8139" t="s">
        <v>42096</v>
      </c>
      <c r="N8139" t="s">
        <v>44905</v>
      </c>
      <c r="O8139" t="s">
        <v>44906</v>
      </c>
      <c r="P8139">
        <v>0</v>
      </c>
      <c r="Q8139">
        <v>0</v>
      </c>
      <c r="R8139" t="s">
        <v>44910</v>
      </c>
      <c r="S8139" t="s">
        <v>45076</v>
      </c>
      <c r="T8139" t="s">
        <v>46462</v>
      </c>
      <c r="U8139" t="s">
        <v>53472</v>
      </c>
      <c r="W8139" t="s">
        <v>42096</v>
      </c>
      <c r="X8139" t="s">
        <v>44911</v>
      </c>
    </row>
    <row r="8140" spans="1:24">
      <c r="A8140">
        <f>HYPERLINK("https://www.philgeps.gov.ph/GEPSNONPILOT/Tender/SplashBidNoticeAbstractUI.aspx?menuIndex=3&amp;refID=7075494&amp;Result=3","7075494")</f>
        <v>0</v>
      </c>
      <c r="B8140" t="s">
        <v>403</v>
      </c>
      <c r="C8140" t="s">
        <v>11286</v>
      </c>
      <c r="E8140" t="s">
        <v>23275</v>
      </c>
      <c r="F8140" t="s">
        <v>31362</v>
      </c>
      <c r="G8140" t="s">
        <v>31369</v>
      </c>
      <c r="H8140" t="s">
        <v>31378</v>
      </c>
      <c r="I8140" t="s">
        <v>3815</v>
      </c>
      <c r="J8140" t="s">
        <v>31591</v>
      </c>
      <c r="K8140" t="s">
        <v>40662</v>
      </c>
      <c r="M8140" t="s">
        <v>41353</v>
      </c>
      <c r="N8140" t="s">
        <v>44905</v>
      </c>
      <c r="O8140" t="s">
        <v>44906</v>
      </c>
      <c r="P8140">
        <v>0</v>
      </c>
      <c r="Q8140">
        <v>1</v>
      </c>
      <c r="R8140" t="s">
        <v>44910</v>
      </c>
      <c r="S8140" t="s">
        <v>45076</v>
      </c>
      <c r="T8140" t="s">
        <v>46396</v>
      </c>
      <c r="U8140" t="s">
        <v>53473</v>
      </c>
      <c r="W8140" t="s">
        <v>41353</v>
      </c>
      <c r="X8140" t="s">
        <v>44911</v>
      </c>
    </row>
    <row r="8141" spans="1:24">
      <c r="A8141">
        <f>HYPERLINK("https://www.philgeps.gov.ph/GEPSNONPILOT/Tender/SplashBidNoticeAbstractUI.aspx?menuIndex=3&amp;refID=7075483&amp;Result=3","7075483")</f>
        <v>0</v>
      </c>
      <c r="B8141" t="s">
        <v>1381</v>
      </c>
      <c r="C8141" t="s">
        <v>11287</v>
      </c>
      <c r="D8141" t="s">
        <v>18123</v>
      </c>
      <c r="E8141" t="s">
        <v>25354</v>
      </c>
      <c r="F8141" t="s">
        <v>31362</v>
      </c>
      <c r="G8141" t="s">
        <v>31369</v>
      </c>
      <c r="H8141" t="s">
        <v>15799</v>
      </c>
      <c r="I8141" t="s">
        <v>31386</v>
      </c>
      <c r="J8141" t="s">
        <v>36486</v>
      </c>
      <c r="K8141" t="s">
        <v>40679</v>
      </c>
      <c r="M8141" t="s">
        <v>42405</v>
      </c>
      <c r="N8141" t="s">
        <v>44905</v>
      </c>
      <c r="O8141" t="s">
        <v>44906</v>
      </c>
      <c r="P8141">
        <v>0</v>
      </c>
      <c r="Q8141">
        <v>0</v>
      </c>
      <c r="R8141" t="s">
        <v>44910</v>
      </c>
      <c r="S8141" t="s">
        <v>45076</v>
      </c>
      <c r="T8141" t="s">
        <v>46772</v>
      </c>
      <c r="U8141" t="s">
        <v>50030</v>
      </c>
      <c r="V8141" t="s">
        <v>59437</v>
      </c>
      <c r="W8141" t="s">
        <v>42405</v>
      </c>
      <c r="X8141" t="s">
        <v>44911</v>
      </c>
    </row>
    <row r="8142" spans="1:24">
      <c r="A8142">
        <f>HYPERLINK("https://www.philgeps.gov.ph/GEPSNONPILOT/Tender/SplashBidNoticeAbstractUI.aspx?menuIndex=3&amp;refID=7075423&amp;Result=3","7075423")</f>
        <v>0</v>
      </c>
      <c r="B8142" t="s">
        <v>45</v>
      </c>
      <c r="C8142" t="s">
        <v>11288</v>
      </c>
      <c r="D8142" t="s">
        <v>18114</v>
      </c>
      <c r="E8142" t="s">
        <v>25355</v>
      </c>
      <c r="F8142" t="s">
        <v>31362</v>
      </c>
      <c r="G8142" t="s">
        <v>31369</v>
      </c>
      <c r="H8142" t="s">
        <v>15799</v>
      </c>
      <c r="I8142" t="s">
        <v>31450</v>
      </c>
      <c r="J8142" t="s">
        <v>36487</v>
      </c>
      <c r="K8142" t="s">
        <v>40665</v>
      </c>
      <c r="M8142" t="s">
        <v>41024</v>
      </c>
      <c r="N8142" t="s">
        <v>44905</v>
      </c>
      <c r="O8142" t="s">
        <v>44906</v>
      </c>
      <c r="P8142">
        <v>0</v>
      </c>
      <c r="Q8142">
        <v>1</v>
      </c>
      <c r="R8142" t="s">
        <v>44910</v>
      </c>
      <c r="S8142" t="s">
        <v>45076</v>
      </c>
      <c r="T8142" t="s">
        <v>46504</v>
      </c>
      <c r="U8142" t="s">
        <v>53232</v>
      </c>
      <c r="W8142" t="s">
        <v>41024</v>
      </c>
      <c r="X8142" t="s">
        <v>44911</v>
      </c>
    </row>
    <row r="8143" spans="1:24">
      <c r="A8143">
        <f>HYPERLINK("https://www.philgeps.gov.ph/GEPSNONPILOT/Tender/SplashBidNoticeAbstractUI.aspx?menuIndex=3&amp;refID=7075476&amp;Result=3","7075476")</f>
        <v>0</v>
      </c>
      <c r="B8143" t="s">
        <v>1033</v>
      </c>
      <c r="C8143" t="s">
        <v>11289</v>
      </c>
      <c r="D8143" t="s">
        <v>18162</v>
      </c>
      <c r="E8143" t="s">
        <v>25356</v>
      </c>
      <c r="F8143" t="s">
        <v>31362</v>
      </c>
      <c r="G8143" t="s">
        <v>31369</v>
      </c>
      <c r="H8143" t="s">
        <v>15799</v>
      </c>
      <c r="I8143" t="s">
        <v>31404</v>
      </c>
      <c r="J8143" t="s">
        <v>36488</v>
      </c>
      <c r="K8143" t="s">
        <v>40670</v>
      </c>
      <c r="M8143" t="s">
        <v>43563</v>
      </c>
      <c r="N8143" t="s">
        <v>44905</v>
      </c>
      <c r="O8143" t="s">
        <v>44906</v>
      </c>
      <c r="P8143">
        <v>0</v>
      </c>
      <c r="Q8143">
        <v>0</v>
      </c>
      <c r="R8143" t="s">
        <v>44910</v>
      </c>
      <c r="S8143" t="s">
        <v>45076</v>
      </c>
      <c r="T8143" t="s">
        <v>46480</v>
      </c>
      <c r="U8143" t="s">
        <v>53474</v>
      </c>
      <c r="W8143" t="s">
        <v>43563</v>
      </c>
      <c r="X8143" t="s">
        <v>44911</v>
      </c>
    </row>
    <row r="8144" spans="1:24">
      <c r="A8144">
        <f>HYPERLINK("https://www.philgeps.gov.ph/GEPSNONPILOT/Tender/SplashBidNoticeAbstractUI.aspx?menuIndex=3&amp;refID=7075470&amp;Result=3","7075470")</f>
        <v>0</v>
      </c>
      <c r="B8144" t="s">
        <v>2381</v>
      </c>
      <c r="C8144" t="s">
        <v>11290</v>
      </c>
      <c r="D8144" t="s">
        <v>18120</v>
      </c>
      <c r="E8144" t="s">
        <v>25357</v>
      </c>
      <c r="F8144" t="s">
        <v>31362</v>
      </c>
      <c r="G8144" t="s">
        <v>31369</v>
      </c>
      <c r="H8144" t="s">
        <v>31378</v>
      </c>
      <c r="I8144" t="s">
        <v>31386</v>
      </c>
      <c r="J8144" t="s">
        <v>35695</v>
      </c>
      <c r="K8144" t="s">
        <v>40662</v>
      </c>
      <c r="M8144" t="s">
        <v>43530</v>
      </c>
      <c r="N8144" t="s">
        <v>44905</v>
      </c>
      <c r="O8144" t="s">
        <v>44906</v>
      </c>
      <c r="P8144">
        <v>0</v>
      </c>
      <c r="Q8144">
        <v>0</v>
      </c>
      <c r="R8144" t="s">
        <v>44910</v>
      </c>
      <c r="S8144" t="s">
        <v>45076</v>
      </c>
      <c r="T8144" t="s">
        <v>46419</v>
      </c>
      <c r="U8144" t="s">
        <v>53475</v>
      </c>
      <c r="W8144" t="s">
        <v>43530</v>
      </c>
      <c r="X8144" t="s">
        <v>44911</v>
      </c>
    </row>
    <row r="8145" spans="1:24">
      <c r="A8145">
        <f>HYPERLINK("https://www.philgeps.gov.ph/GEPSNONPILOT/Tender/SplashBidNoticeAbstractUI.aspx?menuIndex=3&amp;refID=7075409&amp;Result=3","7075409")</f>
        <v>0</v>
      </c>
      <c r="B8145" t="s">
        <v>2413</v>
      </c>
      <c r="C8145" t="s">
        <v>11291</v>
      </c>
      <c r="E8145" t="s">
        <v>25358</v>
      </c>
      <c r="F8145" t="s">
        <v>31362</v>
      </c>
      <c r="G8145" t="s">
        <v>31369</v>
      </c>
      <c r="H8145" t="s">
        <v>31378</v>
      </c>
      <c r="I8145" t="s">
        <v>31386</v>
      </c>
      <c r="J8145" t="s">
        <v>36489</v>
      </c>
      <c r="K8145" t="s">
        <v>40665</v>
      </c>
      <c r="M8145" t="s">
        <v>43568</v>
      </c>
      <c r="N8145" t="s">
        <v>44905</v>
      </c>
      <c r="O8145" t="s">
        <v>44906</v>
      </c>
      <c r="P8145">
        <v>0</v>
      </c>
      <c r="Q8145">
        <v>1</v>
      </c>
      <c r="R8145" t="s">
        <v>44910</v>
      </c>
      <c r="S8145" t="s">
        <v>45076</v>
      </c>
      <c r="T8145" t="s">
        <v>46447</v>
      </c>
      <c r="U8145" t="s">
        <v>53476</v>
      </c>
      <c r="W8145" t="s">
        <v>43568</v>
      </c>
      <c r="X8145" t="s">
        <v>44911</v>
      </c>
    </row>
    <row r="8146" spans="1:24">
      <c r="A8146">
        <f>HYPERLINK("https://www.philgeps.gov.ph/GEPSNONPILOT/Tender/SplashBidNoticeAbstractUI.aspx?menuIndex=3&amp;refID=7075492&amp;Result=3","7075492")</f>
        <v>0</v>
      </c>
      <c r="B8146" t="s">
        <v>908</v>
      </c>
      <c r="C8146" t="s">
        <v>11292</v>
      </c>
      <c r="D8146" t="s">
        <v>18155</v>
      </c>
      <c r="E8146" t="s">
        <v>25359</v>
      </c>
      <c r="F8146" t="s">
        <v>31362</v>
      </c>
      <c r="G8146" t="s">
        <v>31368</v>
      </c>
      <c r="H8146" t="s">
        <v>15799</v>
      </c>
      <c r="I8146" t="s">
        <v>31409</v>
      </c>
      <c r="J8146" t="s">
        <v>36490</v>
      </c>
      <c r="K8146" t="s">
        <v>40666</v>
      </c>
      <c r="M8146" t="s">
        <v>41979</v>
      </c>
      <c r="N8146" t="s">
        <v>44905</v>
      </c>
      <c r="O8146" t="s">
        <v>44906</v>
      </c>
      <c r="P8146">
        <v>0</v>
      </c>
      <c r="Q8146">
        <v>1</v>
      </c>
      <c r="R8146" t="s">
        <v>44910</v>
      </c>
      <c r="S8146" t="s">
        <v>45076</v>
      </c>
      <c r="T8146" t="s">
        <v>46467</v>
      </c>
      <c r="U8146" t="s">
        <v>53477</v>
      </c>
      <c r="W8146" t="s">
        <v>41979</v>
      </c>
      <c r="X8146" t="s">
        <v>44911</v>
      </c>
    </row>
    <row r="8147" spans="1:24">
      <c r="A8147">
        <f>HYPERLINK("https://www.philgeps.gov.ph/GEPSNONPILOT/Tender/SplashBidNoticeAbstractUI.aspx?menuIndex=3&amp;refID=7075464&amp;Result=3","7075464")</f>
        <v>0</v>
      </c>
      <c r="B8147" t="s">
        <v>2414</v>
      </c>
      <c r="C8147" t="s">
        <v>11293</v>
      </c>
      <c r="D8147" t="s">
        <v>18105</v>
      </c>
      <c r="E8147" t="s">
        <v>18548</v>
      </c>
      <c r="F8147" t="s">
        <v>31362</v>
      </c>
      <c r="G8147" t="s">
        <v>31369</v>
      </c>
      <c r="H8147" t="s">
        <v>31378</v>
      </c>
      <c r="I8147" t="s">
        <v>31386</v>
      </c>
      <c r="J8147" t="s">
        <v>36491</v>
      </c>
      <c r="K8147" t="s">
        <v>40665</v>
      </c>
      <c r="M8147" t="s">
        <v>43569</v>
      </c>
      <c r="N8147" t="s">
        <v>44905</v>
      </c>
      <c r="O8147" t="s">
        <v>44906</v>
      </c>
      <c r="P8147">
        <v>0</v>
      </c>
      <c r="Q8147">
        <v>0</v>
      </c>
      <c r="R8147" t="s">
        <v>44910</v>
      </c>
      <c r="S8147" t="s">
        <v>45076</v>
      </c>
      <c r="T8147" t="s">
        <v>46461</v>
      </c>
      <c r="U8147" t="s">
        <v>53478</v>
      </c>
      <c r="W8147" t="s">
        <v>43569</v>
      </c>
      <c r="X8147" t="s">
        <v>44911</v>
      </c>
    </row>
    <row r="8148" spans="1:24">
      <c r="A8148">
        <f>HYPERLINK("https://www.philgeps.gov.ph/GEPSNONPILOT/Tender/SplashBidNoticeAbstractUI.aspx?menuIndex=3&amp;refID=7075462&amp;Result=3","7075462")</f>
        <v>0</v>
      </c>
      <c r="B8148" t="s">
        <v>1919</v>
      </c>
      <c r="C8148" t="s">
        <v>11294</v>
      </c>
      <c r="D8148" t="s">
        <v>18125</v>
      </c>
      <c r="E8148" t="s">
        <v>25360</v>
      </c>
      <c r="F8148" t="s">
        <v>31362</v>
      </c>
      <c r="G8148" t="s">
        <v>31369</v>
      </c>
      <c r="H8148" t="s">
        <v>15799</v>
      </c>
      <c r="I8148" t="s">
        <v>31413</v>
      </c>
      <c r="J8148" t="s">
        <v>36492</v>
      </c>
      <c r="K8148" t="s">
        <v>40666</v>
      </c>
      <c r="M8148" t="s">
        <v>43016</v>
      </c>
      <c r="N8148" t="s">
        <v>44905</v>
      </c>
      <c r="O8148" t="s">
        <v>44906</v>
      </c>
      <c r="P8148">
        <v>0</v>
      </c>
      <c r="Q8148">
        <v>1</v>
      </c>
      <c r="R8148" t="s">
        <v>44910</v>
      </c>
      <c r="S8148" t="s">
        <v>45076</v>
      </c>
      <c r="T8148" t="s">
        <v>46549</v>
      </c>
      <c r="U8148" t="s">
        <v>53479</v>
      </c>
      <c r="W8148" t="s">
        <v>43016</v>
      </c>
      <c r="X8148" t="s">
        <v>44911</v>
      </c>
    </row>
    <row r="8149" spans="1:24">
      <c r="A8149">
        <f>HYPERLINK("https://www.philgeps.gov.ph/GEPSNONPILOT/Tender/SplashBidNoticeAbstractUI.aspx?menuIndex=3&amp;refID=7075460&amp;Result=3","7075460")</f>
        <v>0</v>
      </c>
      <c r="B8149" t="s">
        <v>1985</v>
      </c>
      <c r="C8149" t="s">
        <v>11295</v>
      </c>
      <c r="D8149" t="s">
        <v>18168</v>
      </c>
      <c r="E8149" t="s">
        <v>25361</v>
      </c>
      <c r="F8149" t="s">
        <v>31362</v>
      </c>
      <c r="G8149" t="s">
        <v>31368</v>
      </c>
      <c r="H8149" t="s">
        <v>31378</v>
      </c>
      <c r="I8149" t="s">
        <v>31386</v>
      </c>
      <c r="J8149" t="s">
        <v>36493</v>
      </c>
      <c r="K8149" t="s">
        <v>40665</v>
      </c>
      <c r="M8149" t="s">
        <v>43094</v>
      </c>
      <c r="N8149" t="s">
        <v>44905</v>
      </c>
      <c r="O8149" t="s">
        <v>44906</v>
      </c>
      <c r="P8149">
        <v>0</v>
      </c>
      <c r="Q8149">
        <v>0</v>
      </c>
      <c r="R8149" t="s">
        <v>44910</v>
      </c>
      <c r="S8149" t="s">
        <v>45076</v>
      </c>
      <c r="T8149" t="s">
        <v>46415</v>
      </c>
      <c r="U8149" t="s">
        <v>53480</v>
      </c>
      <c r="W8149" t="s">
        <v>43094</v>
      </c>
      <c r="X8149" t="s">
        <v>44911</v>
      </c>
    </row>
    <row r="8150" spans="1:24">
      <c r="A8150">
        <f>HYPERLINK("https://www.philgeps.gov.ph/GEPSNONPILOT/Tender/SplashBidNoticeAbstractUI.aspx?menuIndex=3&amp;refID=7075485&amp;Result=3","7075485")</f>
        <v>0</v>
      </c>
      <c r="B8150" t="s">
        <v>440</v>
      </c>
      <c r="C8150" t="s">
        <v>11296</v>
      </c>
      <c r="D8150" t="s">
        <v>18154</v>
      </c>
      <c r="E8150" t="s">
        <v>25362</v>
      </c>
      <c r="F8150" t="s">
        <v>31362</v>
      </c>
      <c r="G8150" t="s">
        <v>31369</v>
      </c>
      <c r="H8150" t="s">
        <v>15799</v>
      </c>
      <c r="I8150" t="s">
        <v>3815</v>
      </c>
      <c r="J8150" t="s">
        <v>36494</v>
      </c>
      <c r="K8150" t="s">
        <v>40662</v>
      </c>
      <c r="M8150" t="s">
        <v>41604</v>
      </c>
      <c r="N8150" t="s">
        <v>44905</v>
      </c>
      <c r="O8150" t="s">
        <v>44906</v>
      </c>
      <c r="P8150">
        <v>0</v>
      </c>
      <c r="Q8150">
        <v>0</v>
      </c>
      <c r="R8150" t="s">
        <v>44910</v>
      </c>
      <c r="S8150" t="s">
        <v>45076</v>
      </c>
      <c r="T8150" t="s">
        <v>46433</v>
      </c>
      <c r="U8150" t="s">
        <v>53481</v>
      </c>
      <c r="W8150" t="s">
        <v>41604</v>
      </c>
      <c r="X8150" t="s">
        <v>44911</v>
      </c>
    </row>
    <row r="8151" spans="1:24">
      <c r="A8151">
        <f>HYPERLINK("https://www.philgeps.gov.ph/GEPSNONPILOT/Tender/SplashBidNoticeAbstractUI.aspx?menuIndex=3&amp;refID=7075473&amp;Result=3","7075473")</f>
        <v>0</v>
      </c>
      <c r="B8151" t="s">
        <v>2308</v>
      </c>
      <c r="C8151" t="s">
        <v>11297</v>
      </c>
      <c r="D8151" t="s">
        <v>18101</v>
      </c>
      <c r="E8151" t="s">
        <v>25363</v>
      </c>
      <c r="F8151" t="s">
        <v>31362</v>
      </c>
      <c r="G8151" t="s">
        <v>31369</v>
      </c>
      <c r="H8151" t="s">
        <v>31378</v>
      </c>
      <c r="I8151" t="s">
        <v>31386</v>
      </c>
      <c r="J8151" t="s">
        <v>36495</v>
      </c>
      <c r="K8151" t="s">
        <v>40686</v>
      </c>
      <c r="M8151" t="s">
        <v>43448</v>
      </c>
      <c r="N8151" t="s">
        <v>44905</v>
      </c>
      <c r="O8151" t="s">
        <v>44906</v>
      </c>
      <c r="P8151">
        <v>0</v>
      </c>
      <c r="Q8151">
        <v>0</v>
      </c>
      <c r="R8151" t="s">
        <v>44910</v>
      </c>
      <c r="S8151" t="s">
        <v>45076</v>
      </c>
      <c r="T8151" t="s">
        <v>46483</v>
      </c>
      <c r="U8151" t="s">
        <v>53465</v>
      </c>
      <c r="W8151" t="s">
        <v>43448</v>
      </c>
      <c r="X8151" t="s">
        <v>44911</v>
      </c>
    </row>
    <row r="8152" spans="1:24">
      <c r="A8152">
        <f>HYPERLINK("https://www.philgeps.gov.ph/GEPSNONPILOT/Tender/SplashBidNoticeAbstractUI.aspx?menuIndex=3&amp;refID=7075453&amp;Result=3","7075453")</f>
        <v>0</v>
      </c>
      <c r="B8152" t="s">
        <v>2288</v>
      </c>
      <c r="C8152" t="s">
        <v>11298</v>
      </c>
      <c r="D8152" t="s">
        <v>18145</v>
      </c>
      <c r="E8152" t="s">
        <v>25364</v>
      </c>
      <c r="F8152" t="s">
        <v>31362</v>
      </c>
      <c r="G8152" t="s">
        <v>31369</v>
      </c>
      <c r="H8152" t="s">
        <v>15799</v>
      </c>
      <c r="I8152" t="s">
        <v>31408</v>
      </c>
      <c r="J8152" t="s">
        <v>36496</v>
      </c>
      <c r="K8152" t="s">
        <v>40679</v>
      </c>
      <c r="M8152" t="s">
        <v>43428</v>
      </c>
      <c r="N8152" t="s">
        <v>44905</v>
      </c>
      <c r="O8152" t="s">
        <v>44906</v>
      </c>
      <c r="P8152">
        <v>0</v>
      </c>
      <c r="Q8152">
        <v>1</v>
      </c>
      <c r="R8152" t="s">
        <v>44910</v>
      </c>
      <c r="S8152" t="s">
        <v>45076</v>
      </c>
      <c r="T8152" t="s">
        <v>46431</v>
      </c>
      <c r="U8152" t="s">
        <v>53482</v>
      </c>
      <c r="W8152" t="s">
        <v>43428</v>
      </c>
      <c r="X8152" t="s">
        <v>44911</v>
      </c>
    </row>
    <row r="8153" spans="1:24">
      <c r="A8153">
        <f>HYPERLINK("https://www.philgeps.gov.ph/GEPSNONPILOT/Tender/SplashBidNoticeAbstractUI.aspx?menuIndex=3&amp;refID=7075471&amp;Result=3","7075471")</f>
        <v>0</v>
      </c>
      <c r="B8153" t="s">
        <v>1784</v>
      </c>
      <c r="C8153" t="s">
        <v>8738</v>
      </c>
      <c r="D8153" t="s">
        <v>18177</v>
      </c>
      <c r="E8153" t="s">
        <v>25365</v>
      </c>
      <c r="F8153" t="s">
        <v>31362</v>
      </c>
      <c r="G8153" t="s">
        <v>31368</v>
      </c>
      <c r="H8153" t="s">
        <v>15799</v>
      </c>
      <c r="I8153" t="s">
        <v>31408</v>
      </c>
      <c r="J8153" t="s">
        <v>32022</v>
      </c>
      <c r="K8153" t="s">
        <v>40661</v>
      </c>
      <c r="M8153" t="s">
        <v>42864</v>
      </c>
      <c r="N8153" t="s">
        <v>44905</v>
      </c>
      <c r="O8153" t="s">
        <v>44906</v>
      </c>
      <c r="P8153">
        <v>0</v>
      </c>
      <c r="Q8153">
        <v>2</v>
      </c>
      <c r="R8153" t="s">
        <v>44910</v>
      </c>
      <c r="S8153" t="s">
        <v>45076</v>
      </c>
      <c r="T8153" t="s">
        <v>46467</v>
      </c>
      <c r="U8153" t="s">
        <v>53483</v>
      </c>
      <c r="W8153" t="s">
        <v>42864</v>
      </c>
      <c r="X8153" t="s">
        <v>44911</v>
      </c>
    </row>
    <row r="8154" spans="1:24">
      <c r="A8154">
        <f>HYPERLINK("https://www.philgeps.gov.ph/GEPSNONPILOT/Tender/SplashBidNoticeAbstractUI.aspx?menuIndex=3&amp;refID=7075327&amp;Result=3","7075327")</f>
        <v>0</v>
      </c>
      <c r="B8154" t="s">
        <v>1468</v>
      </c>
      <c r="C8154" t="s">
        <v>11299</v>
      </c>
      <c r="D8154" t="s">
        <v>18134</v>
      </c>
      <c r="E8154" t="s">
        <v>25366</v>
      </c>
      <c r="F8154" t="s">
        <v>31362</v>
      </c>
      <c r="G8154" t="s">
        <v>31370</v>
      </c>
      <c r="H8154" t="s">
        <v>15799</v>
      </c>
      <c r="I8154" t="s">
        <v>31404</v>
      </c>
      <c r="J8154" t="s">
        <v>36497</v>
      </c>
      <c r="K8154" t="s">
        <v>40666</v>
      </c>
      <c r="M8154" t="s">
        <v>42501</v>
      </c>
      <c r="N8154" t="s">
        <v>44905</v>
      </c>
      <c r="O8154" t="s">
        <v>44906</v>
      </c>
      <c r="P8154">
        <v>0</v>
      </c>
      <c r="Q8154">
        <v>2</v>
      </c>
      <c r="R8154" t="s">
        <v>44910</v>
      </c>
      <c r="S8154" t="s">
        <v>45076</v>
      </c>
      <c r="T8154" t="s">
        <v>46393</v>
      </c>
      <c r="U8154" t="s">
        <v>53484</v>
      </c>
      <c r="W8154" t="s">
        <v>42501</v>
      </c>
      <c r="X8154" t="s">
        <v>44911</v>
      </c>
    </row>
    <row r="8155" spans="1:24">
      <c r="A8155">
        <f>HYPERLINK("https://www.philgeps.gov.ph/GEPSNONPILOT/Tender/SplashBidNoticeAbstractUI.aspx?menuIndex=3&amp;refID=7075326&amp;Result=3","7075326")</f>
        <v>0</v>
      </c>
      <c r="B8155" t="s">
        <v>672</v>
      </c>
      <c r="C8155" t="s">
        <v>11300</v>
      </c>
      <c r="D8155" t="s">
        <v>18103</v>
      </c>
      <c r="E8155" t="s">
        <v>25367</v>
      </c>
      <c r="F8155" t="s">
        <v>31362</v>
      </c>
      <c r="G8155" t="s">
        <v>31369</v>
      </c>
      <c r="H8155" t="s">
        <v>31378</v>
      </c>
      <c r="I8155" t="s">
        <v>31386</v>
      </c>
      <c r="J8155" t="s">
        <v>31726</v>
      </c>
      <c r="K8155" t="s">
        <v>40682</v>
      </c>
      <c r="M8155" t="s">
        <v>41634</v>
      </c>
      <c r="N8155" t="s">
        <v>44905</v>
      </c>
      <c r="O8155" t="s">
        <v>44906</v>
      </c>
      <c r="P8155">
        <v>0</v>
      </c>
      <c r="Q8155">
        <v>3</v>
      </c>
      <c r="R8155" t="s">
        <v>44910</v>
      </c>
      <c r="S8155" t="s">
        <v>45076</v>
      </c>
      <c r="T8155" t="s">
        <v>46433</v>
      </c>
      <c r="U8155" t="s">
        <v>53336</v>
      </c>
      <c r="W8155" t="s">
        <v>60863</v>
      </c>
      <c r="X8155" t="s">
        <v>44911</v>
      </c>
    </row>
    <row r="8156" spans="1:24">
      <c r="A8156">
        <f>HYPERLINK("https://www.philgeps.gov.ph/GEPSNONPILOT/Tender/SplashBidNoticeAbstractUI.aspx?menuIndex=3&amp;refID=7075500&amp;Result=3","7075500")</f>
        <v>0</v>
      </c>
      <c r="B8156" t="s">
        <v>1706</v>
      </c>
      <c r="C8156" t="s">
        <v>11301</v>
      </c>
      <c r="D8156" t="s">
        <v>18112</v>
      </c>
      <c r="E8156" t="s">
        <v>25368</v>
      </c>
      <c r="F8156" t="s">
        <v>31362</v>
      </c>
      <c r="G8156" t="s">
        <v>31369</v>
      </c>
      <c r="H8156" t="s">
        <v>31378</v>
      </c>
      <c r="I8156" t="s">
        <v>31386</v>
      </c>
      <c r="J8156" t="s">
        <v>36498</v>
      </c>
      <c r="K8156" t="s">
        <v>40839</v>
      </c>
      <c r="M8156" t="s">
        <v>42773</v>
      </c>
      <c r="N8156" t="s">
        <v>44905</v>
      </c>
      <c r="O8156" t="s">
        <v>44906</v>
      </c>
      <c r="P8156">
        <v>0</v>
      </c>
      <c r="Q8156">
        <v>0</v>
      </c>
      <c r="R8156" t="s">
        <v>44910</v>
      </c>
      <c r="S8156" t="s">
        <v>45076</v>
      </c>
      <c r="T8156" t="s">
        <v>46588</v>
      </c>
      <c r="U8156" t="s">
        <v>53485</v>
      </c>
      <c r="V8156" t="s">
        <v>59557</v>
      </c>
      <c r="W8156" t="s">
        <v>42773</v>
      </c>
      <c r="X8156" t="s">
        <v>44911</v>
      </c>
    </row>
    <row r="8157" spans="1:24">
      <c r="A8157">
        <f>HYPERLINK("https://www.philgeps.gov.ph/GEPSNONPILOT/Tender/SplashBidNoticeAbstractUI.aspx?menuIndex=3&amp;refID=7075466&amp;Result=3","7075466")</f>
        <v>0</v>
      </c>
      <c r="B8157" t="s">
        <v>2415</v>
      </c>
      <c r="C8157" t="s">
        <v>11302</v>
      </c>
      <c r="D8157" t="s">
        <v>18180</v>
      </c>
      <c r="E8157" t="s">
        <v>25369</v>
      </c>
      <c r="F8157" t="s">
        <v>31362</v>
      </c>
      <c r="G8157" t="s">
        <v>31369</v>
      </c>
      <c r="H8157" t="s">
        <v>31378</v>
      </c>
      <c r="I8157" t="s">
        <v>31386</v>
      </c>
      <c r="J8157" t="s">
        <v>36499</v>
      </c>
      <c r="K8157" t="s">
        <v>40662</v>
      </c>
      <c r="M8157" t="s">
        <v>43570</v>
      </c>
      <c r="N8157" t="s">
        <v>44905</v>
      </c>
      <c r="O8157" t="s">
        <v>44906</v>
      </c>
      <c r="P8157">
        <v>0</v>
      </c>
      <c r="Q8157">
        <v>0</v>
      </c>
      <c r="R8157" t="s">
        <v>44910</v>
      </c>
      <c r="S8157" t="s">
        <v>45076</v>
      </c>
      <c r="T8157" t="s">
        <v>46419</v>
      </c>
      <c r="U8157" t="s">
        <v>53486</v>
      </c>
      <c r="W8157" t="s">
        <v>43570</v>
      </c>
      <c r="X8157" t="s">
        <v>44911</v>
      </c>
    </row>
    <row r="8158" spans="1:24">
      <c r="A8158">
        <f>HYPERLINK("https://www.philgeps.gov.ph/GEPSNONPILOT/Tender/SplashBidNoticeAbstractUI.aspx?menuIndex=3&amp;refID=7075499&amp;Result=3","7075499")</f>
        <v>0</v>
      </c>
      <c r="B8158" t="s">
        <v>1985</v>
      </c>
      <c r="C8158" t="s">
        <v>11303</v>
      </c>
      <c r="D8158" t="s">
        <v>18168</v>
      </c>
      <c r="E8158" t="s">
        <v>25370</v>
      </c>
      <c r="F8158" t="s">
        <v>31362</v>
      </c>
      <c r="G8158" t="s">
        <v>31368</v>
      </c>
      <c r="H8158" t="s">
        <v>31378</v>
      </c>
      <c r="I8158" t="s">
        <v>31386</v>
      </c>
      <c r="J8158" t="s">
        <v>35591</v>
      </c>
      <c r="K8158" t="s">
        <v>40665</v>
      </c>
      <c r="M8158" t="s">
        <v>43094</v>
      </c>
      <c r="N8158" t="s">
        <v>44905</v>
      </c>
      <c r="O8158" t="s">
        <v>44906</v>
      </c>
      <c r="P8158">
        <v>0</v>
      </c>
      <c r="Q8158">
        <v>0</v>
      </c>
      <c r="R8158" t="s">
        <v>44910</v>
      </c>
      <c r="S8158" t="s">
        <v>45076</v>
      </c>
      <c r="T8158" t="s">
        <v>46415</v>
      </c>
      <c r="U8158" t="s">
        <v>53487</v>
      </c>
      <c r="W8158" t="s">
        <v>43094</v>
      </c>
      <c r="X8158" t="s">
        <v>44911</v>
      </c>
    </row>
    <row r="8159" spans="1:24">
      <c r="A8159">
        <f>HYPERLINK("https://www.philgeps.gov.ph/GEPSNONPILOT/Tender/SplashBidNoticeAbstractUI.aspx?menuIndex=3&amp;refID=7075498&amp;Result=3","7075498")</f>
        <v>0</v>
      </c>
      <c r="B8159" t="s">
        <v>2409</v>
      </c>
      <c r="C8159" t="s">
        <v>11304</v>
      </c>
      <c r="D8159" t="s">
        <v>18140</v>
      </c>
      <c r="E8159" t="s">
        <v>25371</v>
      </c>
      <c r="F8159" t="s">
        <v>31362</v>
      </c>
      <c r="G8159" t="s">
        <v>31369</v>
      </c>
      <c r="H8159" t="s">
        <v>15799</v>
      </c>
      <c r="I8159" t="s">
        <v>31452</v>
      </c>
      <c r="J8159" t="s">
        <v>31564</v>
      </c>
      <c r="K8159" t="s">
        <v>40666</v>
      </c>
      <c r="M8159" t="s">
        <v>43564</v>
      </c>
      <c r="N8159" t="s">
        <v>44905</v>
      </c>
      <c r="O8159" t="s">
        <v>44906</v>
      </c>
      <c r="P8159">
        <v>0</v>
      </c>
      <c r="Q8159">
        <v>2</v>
      </c>
      <c r="R8159" t="s">
        <v>44910</v>
      </c>
      <c r="S8159" t="s">
        <v>45076</v>
      </c>
      <c r="T8159" t="s">
        <v>46589</v>
      </c>
      <c r="U8159" t="s">
        <v>53488</v>
      </c>
      <c r="V8159" t="s">
        <v>59853</v>
      </c>
      <c r="W8159" t="s">
        <v>43564</v>
      </c>
      <c r="X8159" t="s">
        <v>44911</v>
      </c>
    </row>
    <row r="8160" spans="1:24">
      <c r="A8160">
        <f>HYPERLINK("https://www.philgeps.gov.ph/GEPSNONPILOT/Tender/SplashBidNoticeAbstractUI.aspx?menuIndex=3&amp;refID=7075458&amp;Result=3","7075458")</f>
        <v>0</v>
      </c>
      <c r="B8160" t="s">
        <v>1033</v>
      </c>
      <c r="C8160" t="s">
        <v>11305</v>
      </c>
      <c r="D8160" t="s">
        <v>18162</v>
      </c>
      <c r="E8160" t="s">
        <v>25333</v>
      </c>
      <c r="F8160" t="s">
        <v>31362</v>
      </c>
      <c r="G8160" t="s">
        <v>31369</v>
      </c>
      <c r="H8160" t="s">
        <v>15799</v>
      </c>
      <c r="I8160" t="s">
        <v>31404</v>
      </c>
      <c r="J8160" t="s">
        <v>36500</v>
      </c>
      <c r="K8160" t="s">
        <v>40670</v>
      </c>
      <c r="M8160" t="s">
        <v>43563</v>
      </c>
      <c r="N8160" t="s">
        <v>44905</v>
      </c>
      <c r="O8160" t="s">
        <v>44906</v>
      </c>
      <c r="P8160">
        <v>0</v>
      </c>
      <c r="Q8160">
        <v>0</v>
      </c>
      <c r="R8160" t="s">
        <v>44910</v>
      </c>
      <c r="S8160" t="s">
        <v>45076</v>
      </c>
      <c r="T8160" t="s">
        <v>46480</v>
      </c>
      <c r="U8160" t="s">
        <v>53489</v>
      </c>
      <c r="W8160" t="s">
        <v>43563</v>
      </c>
      <c r="X8160" t="s">
        <v>44911</v>
      </c>
    </row>
    <row r="8161" spans="1:24">
      <c r="A8161">
        <f>HYPERLINK("https://www.philgeps.gov.ph/GEPSNONPILOT/Tender/SplashBidNoticeAbstractUI.aspx?menuIndex=3&amp;refID=7075545&amp;Result=3","7075545")</f>
        <v>0</v>
      </c>
      <c r="B8161" t="s">
        <v>1073</v>
      </c>
      <c r="C8161" t="s">
        <v>11306</v>
      </c>
      <c r="D8161" t="s">
        <v>18121</v>
      </c>
      <c r="E8161" t="s">
        <v>25372</v>
      </c>
      <c r="F8161" t="s">
        <v>31362</v>
      </c>
      <c r="G8161" t="s">
        <v>31369</v>
      </c>
      <c r="H8161" t="s">
        <v>31378</v>
      </c>
      <c r="I8161" t="s">
        <v>31386</v>
      </c>
      <c r="J8161" t="s">
        <v>36501</v>
      </c>
      <c r="K8161" t="s">
        <v>40679</v>
      </c>
      <c r="M8161" t="s">
        <v>42075</v>
      </c>
      <c r="N8161" t="s">
        <v>44905</v>
      </c>
      <c r="O8161" t="s">
        <v>44906</v>
      </c>
      <c r="P8161">
        <v>0</v>
      </c>
      <c r="Q8161">
        <v>26</v>
      </c>
      <c r="R8161" t="s">
        <v>44910</v>
      </c>
      <c r="S8161" t="s">
        <v>45076</v>
      </c>
      <c r="T8161" t="s">
        <v>46419</v>
      </c>
      <c r="U8161" t="s">
        <v>53490</v>
      </c>
      <c r="W8161" t="s">
        <v>42075</v>
      </c>
      <c r="X8161" t="s">
        <v>44911</v>
      </c>
    </row>
    <row r="8162" spans="1:24">
      <c r="A8162">
        <f>HYPERLINK("https://www.philgeps.gov.ph/GEPSNONPILOT/Tender/SplashBidNoticeAbstractUI.aspx?menuIndex=3&amp;refID=7075332&amp;Result=3","7075332")</f>
        <v>0</v>
      </c>
      <c r="B8162" t="s">
        <v>682</v>
      </c>
      <c r="C8162" t="s">
        <v>11307</v>
      </c>
      <c r="E8162" t="s">
        <v>25373</v>
      </c>
      <c r="F8162" t="s">
        <v>31362</v>
      </c>
      <c r="G8162" t="s">
        <v>31368</v>
      </c>
      <c r="H8162" t="s">
        <v>15799</v>
      </c>
      <c r="I8162" t="s">
        <v>7188</v>
      </c>
      <c r="J8162" t="s">
        <v>31806</v>
      </c>
      <c r="K8162" t="s">
        <v>40670</v>
      </c>
      <c r="M8162" t="s">
        <v>41644</v>
      </c>
      <c r="N8162" t="s">
        <v>44905</v>
      </c>
      <c r="O8162" t="s">
        <v>44906</v>
      </c>
      <c r="P8162">
        <v>0</v>
      </c>
      <c r="Q8162">
        <v>1</v>
      </c>
      <c r="R8162" t="s">
        <v>44910</v>
      </c>
      <c r="S8162" t="s">
        <v>45076</v>
      </c>
      <c r="T8162" t="s">
        <v>46506</v>
      </c>
      <c r="U8162" t="s">
        <v>53491</v>
      </c>
      <c r="V8162" t="s">
        <v>59829</v>
      </c>
      <c r="W8162" t="s">
        <v>41644</v>
      </c>
      <c r="X8162" t="s">
        <v>44911</v>
      </c>
    </row>
    <row r="8163" spans="1:24">
      <c r="A8163">
        <f>HYPERLINK("https://www.philgeps.gov.ph/GEPSNONPILOT/Tender/SplashBidNoticeAbstractUI.aspx?menuIndex=3&amp;refID=7075542&amp;Result=3","7075542")</f>
        <v>0</v>
      </c>
      <c r="B8163" t="s">
        <v>701</v>
      </c>
      <c r="C8163" t="s">
        <v>11308</v>
      </c>
      <c r="D8163" t="s">
        <v>18172</v>
      </c>
      <c r="E8163" t="s">
        <v>25374</v>
      </c>
      <c r="F8163" t="s">
        <v>31362</v>
      </c>
      <c r="G8163" t="s">
        <v>31372</v>
      </c>
      <c r="H8163" t="s">
        <v>15799</v>
      </c>
      <c r="I8163" t="s">
        <v>31440</v>
      </c>
      <c r="J8163" t="s">
        <v>31578</v>
      </c>
      <c r="K8163" t="s">
        <v>40666</v>
      </c>
      <c r="M8163" t="s">
        <v>41666</v>
      </c>
      <c r="N8163" t="s">
        <v>44905</v>
      </c>
      <c r="O8163" t="s">
        <v>44906</v>
      </c>
      <c r="P8163">
        <v>0</v>
      </c>
      <c r="Q8163">
        <v>2</v>
      </c>
      <c r="R8163" t="s">
        <v>44910</v>
      </c>
      <c r="S8163" t="s">
        <v>45076</v>
      </c>
      <c r="T8163" t="s">
        <v>46410</v>
      </c>
      <c r="U8163" t="s">
        <v>53492</v>
      </c>
      <c r="W8163" t="s">
        <v>41666</v>
      </c>
      <c r="X8163" t="s">
        <v>44911</v>
      </c>
    </row>
    <row r="8164" spans="1:24">
      <c r="A8164">
        <f>HYPERLINK("https://www.philgeps.gov.ph/GEPSNONPILOT/Tender/SplashBidNoticeAbstractUI.aspx?menuIndex=3&amp;refID=7075539&amp;Result=3","7075539")</f>
        <v>0</v>
      </c>
      <c r="B8164" t="s">
        <v>321</v>
      </c>
      <c r="C8164" t="s">
        <v>11309</v>
      </c>
      <c r="D8164" t="s">
        <v>18114</v>
      </c>
      <c r="E8164" t="s">
        <v>25375</v>
      </c>
      <c r="F8164" t="s">
        <v>31362</v>
      </c>
      <c r="G8164" t="s">
        <v>31369</v>
      </c>
      <c r="H8164" t="s">
        <v>31379</v>
      </c>
      <c r="I8164" t="s">
        <v>31450</v>
      </c>
      <c r="J8164" t="s">
        <v>36502</v>
      </c>
      <c r="K8164" t="s">
        <v>40682</v>
      </c>
      <c r="M8164" t="s">
        <v>41267</v>
      </c>
      <c r="N8164" t="s">
        <v>44905</v>
      </c>
      <c r="O8164" t="s">
        <v>44906</v>
      </c>
      <c r="P8164">
        <v>0</v>
      </c>
      <c r="Q8164">
        <v>6</v>
      </c>
      <c r="R8164" t="s">
        <v>44910</v>
      </c>
      <c r="S8164" t="s">
        <v>45076</v>
      </c>
      <c r="T8164" t="s">
        <v>46511</v>
      </c>
      <c r="U8164" t="s">
        <v>47466</v>
      </c>
      <c r="V8164" t="s">
        <v>59148</v>
      </c>
      <c r="W8164" t="s">
        <v>41267</v>
      </c>
      <c r="X8164" t="s">
        <v>44911</v>
      </c>
    </row>
    <row r="8165" spans="1:24">
      <c r="A8165">
        <f>HYPERLINK("https://www.philgeps.gov.ph/GEPSNONPILOT/Tender/SplashBidNoticeAbstractUI.aspx?menuIndex=3&amp;refID=7075537&amp;Result=3","7075537")</f>
        <v>0</v>
      </c>
      <c r="B8165" t="s">
        <v>2288</v>
      </c>
      <c r="C8165" t="s">
        <v>11310</v>
      </c>
      <c r="D8165" t="s">
        <v>18145</v>
      </c>
      <c r="E8165" t="s">
        <v>25376</v>
      </c>
      <c r="F8165" t="s">
        <v>31362</v>
      </c>
      <c r="G8165" t="s">
        <v>31369</v>
      </c>
      <c r="H8165" t="s">
        <v>31377</v>
      </c>
      <c r="I8165" t="s">
        <v>31377</v>
      </c>
      <c r="J8165" t="s">
        <v>36503</v>
      </c>
      <c r="K8165" t="s">
        <v>40800</v>
      </c>
      <c r="M8165" t="s">
        <v>43428</v>
      </c>
      <c r="N8165" t="s">
        <v>44905</v>
      </c>
      <c r="O8165" t="s">
        <v>44906</v>
      </c>
      <c r="Q8165">
        <v>9</v>
      </c>
      <c r="R8165" t="s">
        <v>44910</v>
      </c>
      <c r="S8165" t="s">
        <v>45114</v>
      </c>
      <c r="T8165" t="s">
        <v>46483</v>
      </c>
      <c r="U8165" t="s">
        <v>53493</v>
      </c>
      <c r="W8165" t="s">
        <v>43428</v>
      </c>
      <c r="X8165" t="s">
        <v>44911</v>
      </c>
    </row>
    <row r="8166" spans="1:24">
      <c r="A8166">
        <f>HYPERLINK("https://www.philgeps.gov.ph/GEPSNONPILOT/Tender/SplashBidNoticeAbstractUI.aspx?menuIndex=3&amp;refID=7075536&amp;Result=3","7075536")</f>
        <v>0</v>
      </c>
      <c r="B8166" t="s">
        <v>2414</v>
      </c>
      <c r="C8166" t="s">
        <v>11311</v>
      </c>
      <c r="D8166" t="s">
        <v>18105</v>
      </c>
      <c r="E8166" t="s">
        <v>18476</v>
      </c>
      <c r="F8166" t="s">
        <v>31362</v>
      </c>
      <c r="G8166" t="s">
        <v>31369</v>
      </c>
      <c r="H8166" t="s">
        <v>31378</v>
      </c>
      <c r="I8166" t="s">
        <v>31386</v>
      </c>
      <c r="J8166" t="s">
        <v>32391</v>
      </c>
      <c r="K8166" t="s">
        <v>40665</v>
      </c>
      <c r="M8166" t="s">
        <v>43569</v>
      </c>
      <c r="N8166" t="s">
        <v>44905</v>
      </c>
      <c r="O8166" t="s">
        <v>44906</v>
      </c>
      <c r="P8166">
        <v>0</v>
      </c>
      <c r="Q8166">
        <v>0</v>
      </c>
      <c r="R8166" t="s">
        <v>44910</v>
      </c>
      <c r="S8166" t="s">
        <v>45076</v>
      </c>
      <c r="T8166" t="s">
        <v>46461</v>
      </c>
      <c r="U8166" t="s">
        <v>53494</v>
      </c>
      <c r="W8166" t="s">
        <v>43569</v>
      </c>
      <c r="X8166" t="s">
        <v>44911</v>
      </c>
    </row>
    <row r="8167" spans="1:24">
      <c r="A8167">
        <f>HYPERLINK("https://www.philgeps.gov.ph/GEPSNONPILOT/Tender/SplashBidNoticeAbstractUI.aspx?menuIndex=3&amp;refID=7075538&amp;Result=3","7075538")</f>
        <v>0</v>
      </c>
      <c r="B8167" t="s">
        <v>2416</v>
      </c>
      <c r="C8167" t="s">
        <v>11312</v>
      </c>
      <c r="D8167" t="s">
        <v>18153</v>
      </c>
      <c r="E8167" t="s">
        <v>25010</v>
      </c>
      <c r="F8167" t="s">
        <v>31362</v>
      </c>
      <c r="G8167" t="s">
        <v>31369</v>
      </c>
      <c r="H8167" t="s">
        <v>15799</v>
      </c>
      <c r="I8167" t="s">
        <v>3815</v>
      </c>
      <c r="J8167" t="s">
        <v>36504</v>
      </c>
      <c r="K8167" t="s">
        <v>40666</v>
      </c>
      <c r="M8167" t="s">
        <v>43571</v>
      </c>
      <c r="N8167" t="s">
        <v>44905</v>
      </c>
      <c r="O8167" t="s">
        <v>44906</v>
      </c>
      <c r="P8167">
        <v>0</v>
      </c>
      <c r="Q8167">
        <v>0</v>
      </c>
      <c r="R8167" t="s">
        <v>44910</v>
      </c>
      <c r="S8167" t="s">
        <v>45076</v>
      </c>
      <c r="T8167" t="s">
        <v>46435</v>
      </c>
      <c r="U8167" t="s">
        <v>53495</v>
      </c>
      <c r="W8167" t="s">
        <v>43571</v>
      </c>
      <c r="X8167" t="s">
        <v>44911</v>
      </c>
    </row>
    <row r="8168" spans="1:24">
      <c r="A8168">
        <f>HYPERLINK("https://www.philgeps.gov.ph/GEPSNONPILOT/Tender/SplashBidNoticeAbstractUI.aspx?menuIndex=3&amp;refID=7075528&amp;Result=3","7075528")</f>
        <v>0</v>
      </c>
      <c r="B8168" t="s">
        <v>2417</v>
      </c>
      <c r="C8168" t="s">
        <v>11313</v>
      </c>
      <c r="D8168" t="s">
        <v>18155</v>
      </c>
      <c r="E8168" t="s">
        <v>25377</v>
      </c>
      <c r="F8168" t="s">
        <v>31362</v>
      </c>
      <c r="G8168" t="s">
        <v>31371</v>
      </c>
      <c r="H8168" t="s">
        <v>15799</v>
      </c>
      <c r="I8168" t="s">
        <v>31385</v>
      </c>
      <c r="J8168" t="s">
        <v>36505</v>
      </c>
      <c r="K8168" t="s">
        <v>40666</v>
      </c>
      <c r="M8168" t="s">
        <v>43572</v>
      </c>
      <c r="N8168" t="s">
        <v>44905</v>
      </c>
      <c r="O8168" t="s">
        <v>44906</v>
      </c>
      <c r="P8168">
        <v>0</v>
      </c>
      <c r="Q8168">
        <v>4</v>
      </c>
      <c r="R8168" t="s">
        <v>44910</v>
      </c>
      <c r="S8168" t="s">
        <v>45076</v>
      </c>
      <c r="T8168" t="s">
        <v>46435</v>
      </c>
      <c r="U8168" t="s">
        <v>53496</v>
      </c>
      <c r="W8168" t="s">
        <v>43572</v>
      </c>
      <c r="X8168" t="s">
        <v>44911</v>
      </c>
    </row>
    <row r="8169" spans="1:24">
      <c r="A8169">
        <f>HYPERLINK("https://www.philgeps.gov.ph/GEPSNONPILOT/Tender/SplashBidNoticeAbstractUI.aspx?menuIndex=3&amp;refID=7075523&amp;Result=3","7075523")</f>
        <v>0</v>
      </c>
      <c r="B8169" t="s">
        <v>1073</v>
      </c>
      <c r="C8169" t="s">
        <v>11314</v>
      </c>
      <c r="D8169" t="s">
        <v>18121</v>
      </c>
      <c r="E8169" t="s">
        <v>25378</v>
      </c>
      <c r="F8169" t="s">
        <v>31362</v>
      </c>
      <c r="G8169" t="s">
        <v>31369</v>
      </c>
      <c r="H8169" t="s">
        <v>31378</v>
      </c>
      <c r="I8169" t="s">
        <v>31386</v>
      </c>
      <c r="J8169" t="s">
        <v>36506</v>
      </c>
      <c r="K8169" t="s">
        <v>40679</v>
      </c>
      <c r="M8169" t="s">
        <v>42075</v>
      </c>
      <c r="N8169" t="s">
        <v>44905</v>
      </c>
      <c r="O8169" t="s">
        <v>44906</v>
      </c>
      <c r="P8169">
        <v>0</v>
      </c>
      <c r="Q8169">
        <v>24</v>
      </c>
      <c r="R8169" t="s">
        <v>44910</v>
      </c>
      <c r="S8169" t="s">
        <v>45076</v>
      </c>
      <c r="T8169" t="s">
        <v>46465</v>
      </c>
      <c r="U8169" t="s">
        <v>53497</v>
      </c>
      <c r="W8169" t="s">
        <v>42075</v>
      </c>
      <c r="X8169" t="s">
        <v>44911</v>
      </c>
    </row>
    <row r="8170" spans="1:24">
      <c r="A8170">
        <f>HYPERLINK("https://www.philgeps.gov.ph/GEPSNONPILOT/Tender/SplashBidNoticeAbstractUI.aspx?menuIndex=3&amp;refID=7075518&amp;Result=3","7075518")</f>
        <v>0</v>
      </c>
      <c r="B8170" t="s">
        <v>682</v>
      </c>
      <c r="C8170" t="s">
        <v>11315</v>
      </c>
      <c r="E8170" t="s">
        <v>25379</v>
      </c>
      <c r="F8170" t="s">
        <v>31362</v>
      </c>
      <c r="G8170" t="s">
        <v>31368</v>
      </c>
      <c r="H8170" t="s">
        <v>15799</v>
      </c>
      <c r="I8170" t="s">
        <v>3815</v>
      </c>
      <c r="J8170" t="s">
        <v>36507</v>
      </c>
      <c r="K8170" t="s">
        <v>40670</v>
      </c>
      <c r="M8170" t="s">
        <v>41644</v>
      </c>
      <c r="N8170" t="s">
        <v>44905</v>
      </c>
      <c r="O8170" t="s">
        <v>44906</v>
      </c>
      <c r="P8170">
        <v>0</v>
      </c>
      <c r="Q8170">
        <v>1</v>
      </c>
      <c r="R8170" t="s">
        <v>44910</v>
      </c>
      <c r="S8170" t="s">
        <v>45076</v>
      </c>
      <c r="T8170" t="s">
        <v>46506</v>
      </c>
      <c r="U8170" t="s">
        <v>53498</v>
      </c>
      <c r="V8170" t="s">
        <v>59829</v>
      </c>
      <c r="W8170" t="s">
        <v>41644</v>
      </c>
      <c r="X8170" t="s">
        <v>44911</v>
      </c>
    </row>
    <row r="8171" spans="1:24">
      <c r="A8171">
        <f>HYPERLINK("https://www.philgeps.gov.ph/GEPSNONPILOT/Tender/SplashBidNoticeAbstractUI.aspx?menuIndex=3&amp;refID=7075516&amp;Result=3","7075516")</f>
        <v>0</v>
      </c>
      <c r="B8171" t="s">
        <v>908</v>
      </c>
      <c r="C8171" t="s">
        <v>11316</v>
      </c>
      <c r="D8171" t="s">
        <v>18155</v>
      </c>
      <c r="E8171" t="s">
        <v>25380</v>
      </c>
      <c r="F8171" t="s">
        <v>31362</v>
      </c>
      <c r="G8171" t="s">
        <v>31368</v>
      </c>
      <c r="H8171" t="s">
        <v>15799</v>
      </c>
      <c r="I8171" t="s">
        <v>7719</v>
      </c>
      <c r="J8171" t="s">
        <v>36508</v>
      </c>
      <c r="K8171" t="s">
        <v>40666</v>
      </c>
      <c r="M8171" t="s">
        <v>41979</v>
      </c>
      <c r="N8171" t="s">
        <v>44905</v>
      </c>
      <c r="O8171" t="s">
        <v>44906</v>
      </c>
      <c r="P8171">
        <v>0</v>
      </c>
      <c r="Q8171">
        <v>20</v>
      </c>
      <c r="R8171" t="s">
        <v>44910</v>
      </c>
      <c r="S8171" t="s">
        <v>45076</v>
      </c>
      <c r="T8171" t="s">
        <v>46467</v>
      </c>
      <c r="U8171" t="s">
        <v>53499</v>
      </c>
      <c r="W8171" t="s">
        <v>41979</v>
      </c>
      <c r="X8171" t="s">
        <v>44911</v>
      </c>
    </row>
    <row r="8172" spans="1:24">
      <c r="A8172">
        <f>HYPERLINK("https://www.philgeps.gov.ph/GEPSNONPILOT/Tender/SplashBidNoticeAbstractUI.aspx?menuIndex=3&amp;refID=7075205&amp;Result=3","7075205")</f>
        <v>0</v>
      </c>
      <c r="B8172" t="s">
        <v>2374</v>
      </c>
      <c r="C8172" t="s">
        <v>11317</v>
      </c>
      <c r="D8172" t="s">
        <v>18134</v>
      </c>
      <c r="E8172" t="s">
        <v>25381</v>
      </c>
      <c r="F8172" t="s">
        <v>31362</v>
      </c>
      <c r="G8172" t="s">
        <v>31368</v>
      </c>
      <c r="H8172" t="s">
        <v>15799</v>
      </c>
      <c r="I8172" t="s">
        <v>31436</v>
      </c>
      <c r="J8172" t="s">
        <v>31536</v>
      </c>
      <c r="K8172" t="s">
        <v>40729</v>
      </c>
      <c r="M8172" t="s">
        <v>43521</v>
      </c>
      <c r="N8172" t="s">
        <v>44905</v>
      </c>
      <c r="O8172" t="s">
        <v>44906</v>
      </c>
      <c r="P8172">
        <v>0</v>
      </c>
      <c r="Q8172">
        <v>1</v>
      </c>
      <c r="R8172" t="s">
        <v>44910</v>
      </c>
      <c r="S8172" t="s">
        <v>45076</v>
      </c>
      <c r="T8172" t="s">
        <v>46432</v>
      </c>
      <c r="U8172" t="s">
        <v>53334</v>
      </c>
      <c r="V8172" t="s">
        <v>59854</v>
      </c>
      <c r="W8172" t="s">
        <v>43521</v>
      </c>
      <c r="X8172" t="s">
        <v>44911</v>
      </c>
    </row>
    <row r="8173" spans="1:24">
      <c r="A8173">
        <f>HYPERLINK("https://www.philgeps.gov.ph/GEPSNONPILOT/Tender/SplashBidNoticeAbstractUI.aspx?menuIndex=3&amp;refID=7075541&amp;Result=3","7075541")</f>
        <v>0</v>
      </c>
      <c r="B8173" t="s">
        <v>682</v>
      </c>
      <c r="C8173" t="s">
        <v>11318</v>
      </c>
      <c r="E8173" t="s">
        <v>25382</v>
      </c>
      <c r="F8173" t="s">
        <v>31362</v>
      </c>
      <c r="G8173" t="s">
        <v>31368</v>
      </c>
      <c r="H8173" t="s">
        <v>15799</v>
      </c>
      <c r="I8173" t="s">
        <v>3815</v>
      </c>
      <c r="J8173" t="s">
        <v>36509</v>
      </c>
      <c r="K8173" t="s">
        <v>40670</v>
      </c>
      <c r="M8173" t="s">
        <v>41644</v>
      </c>
      <c r="N8173" t="s">
        <v>44905</v>
      </c>
      <c r="O8173" t="s">
        <v>44906</v>
      </c>
      <c r="P8173">
        <v>0</v>
      </c>
      <c r="Q8173">
        <v>1</v>
      </c>
      <c r="R8173" t="s">
        <v>44910</v>
      </c>
      <c r="S8173" t="s">
        <v>45076</v>
      </c>
      <c r="T8173" t="s">
        <v>46506</v>
      </c>
      <c r="U8173" t="s">
        <v>53500</v>
      </c>
      <c r="V8173" t="s">
        <v>59829</v>
      </c>
      <c r="W8173" t="s">
        <v>41644</v>
      </c>
      <c r="X8173" t="s">
        <v>44911</v>
      </c>
    </row>
    <row r="8174" spans="1:24">
      <c r="A8174">
        <f>HYPERLINK("https://www.philgeps.gov.ph/GEPSNONPILOT/Tender/SplashBidNoticeAbstractUI.aspx?menuIndex=3&amp;refID=7075507&amp;Result=3","7075507")</f>
        <v>0</v>
      </c>
      <c r="B8174" t="s">
        <v>1033</v>
      </c>
      <c r="C8174" t="s">
        <v>11319</v>
      </c>
      <c r="D8174" t="s">
        <v>18162</v>
      </c>
      <c r="E8174" t="s">
        <v>25383</v>
      </c>
      <c r="F8174" t="s">
        <v>31362</v>
      </c>
      <c r="G8174" t="s">
        <v>31369</v>
      </c>
      <c r="H8174" t="s">
        <v>15799</v>
      </c>
      <c r="I8174" t="s">
        <v>3815</v>
      </c>
      <c r="J8174" t="s">
        <v>36510</v>
      </c>
      <c r="K8174" t="s">
        <v>40670</v>
      </c>
      <c r="M8174" t="s">
        <v>43563</v>
      </c>
      <c r="N8174" t="s">
        <v>44905</v>
      </c>
      <c r="O8174" t="s">
        <v>44906</v>
      </c>
      <c r="P8174">
        <v>0</v>
      </c>
      <c r="Q8174">
        <v>2</v>
      </c>
      <c r="R8174" t="s">
        <v>44910</v>
      </c>
      <c r="S8174" t="s">
        <v>45076</v>
      </c>
      <c r="T8174" t="s">
        <v>46480</v>
      </c>
      <c r="U8174" t="s">
        <v>53501</v>
      </c>
      <c r="W8174" t="s">
        <v>43563</v>
      </c>
      <c r="X8174" t="s">
        <v>44911</v>
      </c>
    </row>
    <row r="8175" spans="1:24">
      <c r="A8175">
        <f>HYPERLINK("https://www.philgeps.gov.ph/GEPSNONPILOT/Tender/SplashBidNoticeAbstractUI.aspx?menuIndex=3&amp;refID=7075505&amp;Result=3","7075505")</f>
        <v>0</v>
      </c>
      <c r="B8175" t="s">
        <v>2042</v>
      </c>
      <c r="C8175" t="s">
        <v>11320</v>
      </c>
      <c r="D8175" t="s">
        <v>18101</v>
      </c>
      <c r="E8175" t="s">
        <v>25384</v>
      </c>
      <c r="F8175" t="s">
        <v>31362</v>
      </c>
      <c r="G8175" t="s">
        <v>31369</v>
      </c>
      <c r="H8175" t="s">
        <v>15799</v>
      </c>
      <c r="I8175" t="s">
        <v>7188</v>
      </c>
      <c r="J8175" t="s">
        <v>36511</v>
      </c>
      <c r="K8175" t="s">
        <v>40666</v>
      </c>
      <c r="M8175" t="s">
        <v>43161</v>
      </c>
      <c r="N8175" t="s">
        <v>44905</v>
      </c>
      <c r="O8175" t="s">
        <v>44906</v>
      </c>
      <c r="P8175">
        <v>0</v>
      </c>
      <c r="Q8175">
        <v>9</v>
      </c>
      <c r="R8175" t="s">
        <v>44910</v>
      </c>
      <c r="S8175" t="s">
        <v>45076</v>
      </c>
      <c r="T8175" t="s">
        <v>46626</v>
      </c>
      <c r="U8175" t="s">
        <v>53502</v>
      </c>
      <c r="W8175" t="s">
        <v>43161</v>
      </c>
      <c r="X8175" t="s">
        <v>44911</v>
      </c>
    </row>
    <row r="8176" spans="1:24">
      <c r="A8176">
        <f>HYPERLINK("https://www.philgeps.gov.ph/GEPSNONPILOT/Tender/SplashBidNoticeAbstractUI.aspx?menuIndex=3&amp;refID=7075481&amp;Result=3","7075481")</f>
        <v>0</v>
      </c>
      <c r="B8176" t="s">
        <v>1676</v>
      </c>
      <c r="C8176" t="s">
        <v>11321</v>
      </c>
      <c r="D8176" t="s">
        <v>18139</v>
      </c>
      <c r="E8176" t="s">
        <v>25385</v>
      </c>
      <c r="F8176" t="s">
        <v>31362</v>
      </c>
      <c r="G8176" t="s">
        <v>31376</v>
      </c>
      <c r="H8176" t="s">
        <v>31377</v>
      </c>
      <c r="I8176" t="s">
        <v>31377</v>
      </c>
      <c r="J8176" t="s">
        <v>36512</v>
      </c>
      <c r="K8176" t="s">
        <v>40675</v>
      </c>
      <c r="M8176" t="s">
        <v>42741</v>
      </c>
      <c r="N8176" t="s">
        <v>44905</v>
      </c>
      <c r="O8176" t="s">
        <v>44906</v>
      </c>
      <c r="P8176">
        <v>0</v>
      </c>
      <c r="Q8176">
        <v>3</v>
      </c>
      <c r="R8176" t="s">
        <v>44910</v>
      </c>
      <c r="S8176" t="s">
        <v>45076</v>
      </c>
      <c r="T8176" t="s">
        <v>46449</v>
      </c>
      <c r="U8176" t="s">
        <v>53503</v>
      </c>
      <c r="V8176" t="s">
        <v>59855</v>
      </c>
      <c r="W8176" t="s">
        <v>60921</v>
      </c>
      <c r="X8176" t="s">
        <v>44911</v>
      </c>
    </row>
    <row r="8177" spans="1:24">
      <c r="A8177">
        <f>HYPERLINK("https://www.philgeps.gov.ph/GEPSNONPILOT/Tender/SplashBidNoticeAbstractUI.aspx?menuIndex=3&amp;refID=7075501&amp;Result=3","7075501")</f>
        <v>0</v>
      </c>
      <c r="B8177" t="s">
        <v>2381</v>
      </c>
      <c r="C8177" t="s">
        <v>11322</v>
      </c>
      <c r="D8177" t="s">
        <v>18120</v>
      </c>
      <c r="E8177" t="s">
        <v>25386</v>
      </c>
      <c r="F8177" t="s">
        <v>31362</v>
      </c>
      <c r="G8177" t="s">
        <v>31369</v>
      </c>
      <c r="H8177" t="s">
        <v>31378</v>
      </c>
      <c r="I8177" t="s">
        <v>31386</v>
      </c>
      <c r="J8177" t="s">
        <v>35695</v>
      </c>
      <c r="K8177" t="s">
        <v>40662</v>
      </c>
      <c r="M8177" t="s">
        <v>43530</v>
      </c>
      <c r="N8177" t="s">
        <v>44905</v>
      </c>
      <c r="O8177" t="s">
        <v>44906</v>
      </c>
      <c r="P8177">
        <v>0</v>
      </c>
      <c r="Q8177">
        <v>0</v>
      </c>
      <c r="R8177" t="s">
        <v>44910</v>
      </c>
      <c r="S8177" t="s">
        <v>45076</v>
      </c>
      <c r="T8177" t="s">
        <v>46419</v>
      </c>
      <c r="U8177" t="s">
        <v>53475</v>
      </c>
      <c r="W8177" t="s">
        <v>43530</v>
      </c>
      <c r="X8177" t="s">
        <v>44911</v>
      </c>
    </row>
    <row r="8178" spans="1:24">
      <c r="A8178">
        <f>HYPERLINK("https://www.philgeps.gov.ph/GEPSNONPILOT/Tender/SplashBidNoticeAbstractUI.aspx?menuIndex=3&amp;refID=7075461&amp;Result=3","7075461")</f>
        <v>0</v>
      </c>
      <c r="B8178" t="s">
        <v>682</v>
      </c>
      <c r="C8178" t="s">
        <v>11323</v>
      </c>
      <c r="E8178" t="s">
        <v>25387</v>
      </c>
      <c r="F8178" t="s">
        <v>31362</v>
      </c>
      <c r="G8178" t="s">
        <v>31368</v>
      </c>
      <c r="H8178" t="s">
        <v>15799</v>
      </c>
      <c r="I8178" t="s">
        <v>3815</v>
      </c>
      <c r="J8178" t="s">
        <v>36513</v>
      </c>
      <c r="K8178" t="s">
        <v>40670</v>
      </c>
      <c r="M8178" t="s">
        <v>41644</v>
      </c>
      <c r="N8178" t="s">
        <v>44905</v>
      </c>
      <c r="O8178" t="s">
        <v>44906</v>
      </c>
      <c r="P8178">
        <v>0</v>
      </c>
      <c r="Q8178">
        <v>1</v>
      </c>
      <c r="R8178" t="s">
        <v>44910</v>
      </c>
      <c r="S8178" t="s">
        <v>45076</v>
      </c>
      <c r="T8178" t="s">
        <v>46506</v>
      </c>
      <c r="U8178" t="s">
        <v>53504</v>
      </c>
      <c r="V8178" t="s">
        <v>59829</v>
      </c>
      <c r="W8178" t="s">
        <v>41644</v>
      </c>
      <c r="X8178" t="s">
        <v>44911</v>
      </c>
    </row>
    <row r="8179" spans="1:24">
      <c r="A8179">
        <f>HYPERLINK("https://www.philgeps.gov.ph/GEPSNONPILOT/Tender/SplashBidNoticeAbstractUI.aspx?menuIndex=3&amp;refID=7075525&amp;Result=3","7075525")</f>
        <v>0</v>
      </c>
      <c r="B8179" t="s">
        <v>1047</v>
      </c>
      <c r="C8179" t="s">
        <v>11324</v>
      </c>
      <c r="D8179" t="s">
        <v>18108</v>
      </c>
      <c r="E8179" t="s">
        <v>25388</v>
      </c>
      <c r="F8179" t="s">
        <v>31362</v>
      </c>
      <c r="G8179" t="s">
        <v>31370</v>
      </c>
      <c r="H8179" t="s">
        <v>31379</v>
      </c>
      <c r="I8179" t="s">
        <v>31431</v>
      </c>
      <c r="J8179" t="s">
        <v>31806</v>
      </c>
      <c r="K8179" t="s">
        <v>40661</v>
      </c>
      <c r="M8179" t="s">
        <v>42047</v>
      </c>
      <c r="N8179" t="s">
        <v>44905</v>
      </c>
      <c r="O8179" t="s">
        <v>44906</v>
      </c>
      <c r="P8179">
        <v>0</v>
      </c>
      <c r="Q8179">
        <v>4</v>
      </c>
      <c r="R8179" t="s">
        <v>44910</v>
      </c>
      <c r="S8179" t="s">
        <v>45076</v>
      </c>
      <c r="T8179" t="s">
        <v>46586</v>
      </c>
      <c r="U8179" t="s">
        <v>53505</v>
      </c>
      <c r="W8179" t="s">
        <v>42047</v>
      </c>
      <c r="X8179" t="s">
        <v>44911</v>
      </c>
    </row>
    <row r="8180" spans="1:24">
      <c r="A8180">
        <f>HYPERLINK("https://www.philgeps.gov.ph/GEPSNONPILOT/Tender/SplashBidNoticeAbstractUI.aspx?menuIndex=3&amp;refID=7075562&amp;Result=3","7075562")</f>
        <v>0</v>
      </c>
      <c r="B8180" t="s">
        <v>1985</v>
      </c>
      <c r="C8180" t="s">
        <v>11325</v>
      </c>
      <c r="D8180" t="s">
        <v>18168</v>
      </c>
      <c r="E8180" t="s">
        <v>25389</v>
      </c>
      <c r="F8180" t="s">
        <v>31362</v>
      </c>
      <c r="G8180" t="s">
        <v>31368</v>
      </c>
      <c r="H8180" t="s">
        <v>15799</v>
      </c>
      <c r="I8180" t="s">
        <v>7719</v>
      </c>
      <c r="J8180" t="s">
        <v>36514</v>
      </c>
      <c r="K8180" t="s">
        <v>40665</v>
      </c>
      <c r="M8180" t="s">
        <v>43094</v>
      </c>
      <c r="N8180" t="s">
        <v>44905</v>
      </c>
      <c r="O8180" t="s">
        <v>44906</v>
      </c>
      <c r="P8180">
        <v>0</v>
      </c>
      <c r="Q8180">
        <v>1</v>
      </c>
      <c r="R8180" t="s">
        <v>44910</v>
      </c>
      <c r="S8180" t="s">
        <v>45076</v>
      </c>
      <c r="T8180" t="s">
        <v>46415</v>
      </c>
      <c r="U8180" t="s">
        <v>53506</v>
      </c>
      <c r="W8180" t="s">
        <v>43094</v>
      </c>
      <c r="X8180" t="s">
        <v>44911</v>
      </c>
    </row>
    <row r="8181" spans="1:24">
      <c r="A8181">
        <f>HYPERLINK("https://www.philgeps.gov.ph/GEPSNONPILOT/Tender/SplashBidNoticeAbstractUI.aspx?menuIndex=3&amp;refID=7075521&amp;Result=3","7075521")</f>
        <v>0</v>
      </c>
      <c r="B8181" t="s">
        <v>1919</v>
      </c>
      <c r="C8181" t="s">
        <v>11326</v>
      </c>
      <c r="D8181" t="s">
        <v>18125</v>
      </c>
      <c r="E8181" t="s">
        <v>25390</v>
      </c>
      <c r="F8181" t="s">
        <v>31362</v>
      </c>
      <c r="G8181" t="s">
        <v>31369</v>
      </c>
      <c r="H8181" t="s">
        <v>15799</v>
      </c>
      <c r="I8181" t="s">
        <v>31430</v>
      </c>
      <c r="J8181" t="s">
        <v>36515</v>
      </c>
      <c r="K8181" t="s">
        <v>40666</v>
      </c>
      <c r="M8181" t="s">
        <v>43016</v>
      </c>
      <c r="N8181" t="s">
        <v>44905</v>
      </c>
      <c r="O8181" t="s">
        <v>44906</v>
      </c>
      <c r="P8181">
        <v>0</v>
      </c>
      <c r="Q8181">
        <v>0</v>
      </c>
      <c r="R8181" t="s">
        <v>44910</v>
      </c>
      <c r="S8181" t="s">
        <v>45076</v>
      </c>
      <c r="T8181" t="s">
        <v>46549</v>
      </c>
      <c r="U8181" t="s">
        <v>53507</v>
      </c>
      <c r="W8181" t="s">
        <v>43016</v>
      </c>
      <c r="X8181" t="s">
        <v>44911</v>
      </c>
    </row>
    <row r="8182" spans="1:24">
      <c r="A8182">
        <f>HYPERLINK("https://www.philgeps.gov.ph/GEPSNONPILOT/Tender/SplashBidNoticeAbstractUI.aspx?menuIndex=3&amp;refID=7075570&amp;Result=3","7075570")</f>
        <v>0</v>
      </c>
      <c r="B8182" t="s">
        <v>1033</v>
      </c>
      <c r="C8182" t="s">
        <v>11327</v>
      </c>
      <c r="D8182" t="s">
        <v>18162</v>
      </c>
      <c r="E8182" t="s">
        <v>25391</v>
      </c>
      <c r="F8182" t="s">
        <v>31362</v>
      </c>
      <c r="G8182" t="s">
        <v>31369</v>
      </c>
      <c r="H8182" t="s">
        <v>15799</v>
      </c>
      <c r="I8182" t="s">
        <v>3815</v>
      </c>
      <c r="J8182" t="s">
        <v>36516</v>
      </c>
      <c r="K8182" t="s">
        <v>40670</v>
      </c>
      <c r="M8182" t="s">
        <v>43563</v>
      </c>
      <c r="N8182" t="s">
        <v>44905</v>
      </c>
      <c r="O8182" t="s">
        <v>44906</v>
      </c>
      <c r="P8182">
        <v>0</v>
      </c>
      <c r="Q8182">
        <v>0</v>
      </c>
      <c r="R8182" t="s">
        <v>44910</v>
      </c>
      <c r="S8182" t="s">
        <v>45076</v>
      </c>
      <c r="T8182" t="s">
        <v>46480</v>
      </c>
      <c r="U8182" t="s">
        <v>53508</v>
      </c>
      <c r="W8182" t="s">
        <v>43563</v>
      </c>
      <c r="X8182" t="s">
        <v>44911</v>
      </c>
    </row>
    <row r="8183" spans="1:24">
      <c r="A8183">
        <f>HYPERLINK("https://www.philgeps.gov.ph/GEPSNONPILOT/Tender/SplashBidNoticeAbstractUI.aspx?menuIndex=3&amp;refID=7075564&amp;Result=3","7075564")</f>
        <v>0</v>
      </c>
      <c r="B8183" t="s">
        <v>1786</v>
      </c>
      <c r="C8183" t="s">
        <v>11328</v>
      </c>
      <c r="D8183" t="s">
        <v>18133</v>
      </c>
      <c r="E8183" t="s">
        <v>25392</v>
      </c>
      <c r="F8183" t="s">
        <v>31362</v>
      </c>
      <c r="G8183" t="s">
        <v>31369</v>
      </c>
      <c r="H8183" t="s">
        <v>15799</v>
      </c>
      <c r="I8183" t="s">
        <v>31427</v>
      </c>
      <c r="J8183" t="s">
        <v>36517</v>
      </c>
      <c r="K8183" t="s">
        <v>40665</v>
      </c>
      <c r="M8183" t="s">
        <v>42867</v>
      </c>
      <c r="N8183" t="s">
        <v>44905</v>
      </c>
      <c r="O8183" t="s">
        <v>44906</v>
      </c>
      <c r="P8183">
        <v>0</v>
      </c>
      <c r="Q8183">
        <v>1</v>
      </c>
      <c r="R8183" t="s">
        <v>44910</v>
      </c>
      <c r="S8183" t="s">
        <v>45076</v>
      </c>
      <c r="T8183" t="s">
        <v>46585</v>
      </c>
      <c r="U8183" t="s">
        <v>53509</v>
      </c>
      <c r="W8183" t="s">
        <v>42867</v>
      </c>
      <c r="X8183" t="s">
        <v>44911</v>
      </c>
    </row>
    <row r="8184" spans="1:24">
      <c r="A8184">
        <f>HYPERLINK("https://www.philgeps.gov.ph/GEPSNONPILOT/Tender/SplashBidNoticeAbstractUI.aspx?menuIndex=3&amp;refID=7075576&amp;Result=3","7075576")</f>
        <v>0</v>
      </c>
      <c r="B8184" t="s">
        <v>1073</v>
      </c>
      <c r="C8184" t="s">
        <v>11329</v>
      </c>
      <c r="D8184" t="s">
        <v>18121</v>
      </c>
      <c r="E8184" t="s">
        <v>25393</v>
      </c>
      <c r="F8184" t="s">
        <v>31362</v>
      </c>
      <c r="G8184" t="s">
        <v>31369</v>
      </c>
      <c r="H8184" t="s">
        <v>31378</v>
      </c>
      <c r="I8184" t="s">
        <v>31386</v>
      </c>
      <c r="J8184" t="s">
        <v>36518</v>
      </c>
      <c r="K8184" t="s">
        <v>40679</v>
      </c>
      <c r="M8184" t="s">
        <v>42075</v>
      </c>
      <c r="N8184" t="s">
        <v>44905</v>
      </c>
      <c r="O8184" t="s">
        <v>44906</v>
      </c>
      <c r="P8184">
        <v>0</v>
      </c>
      <c r="Q8184">
        <v>25</v>
      </c>
      <c r="R8184" t="s">
        <v>44910</v>
      </c>
      <c r="S8184" t="s">
        <v>45076</v>
      </c>
      <c r="T8184" t="s">
        <v>46419</v>
      </c>
      <c r="U8184" t="s">
        <v>53510</v>
      </c>
      <c r="W8184" t="s">
        <v>42075</v>
      </c>
      <c r="X8184" t="s">
        <v>44911</v>
      </c>
    </row>
    <row r="8185" spans="1:24">
      <c r="A8185">
        <f>HYPERLINK("https://www.philgeps.gov.ph/GEPSNONPILOT/Tender/SplashBidNoticeAbstractUI.aspx?menuIndex=3&amp;refID=7075580&amp;Result=3","7075580")</f>
        <v>0</v>
      </c>
      <c r="B8185" t="s">
        <v>682</v>
      </c>
      <c r="C8185" t="s">
        <v>11330</v>
      </c>
      <c r="E8185" t="s">
        <v>25394</v>
      </c>
      <c r="F8185" t="s">
        <v>31362</v>
      </c>
      <c r="G8185" t="s">
        <v>31368</v>
      </c>
      <c r="H8185" t="s">
        <v>15799</v>
      </c>
      <c r="I8185" t="s">
        <v>3815</v>
      </c>
      <c r="J8185" t="s">
        <v>36519</v>
      </c>
      <c r="K8185" t="s">
        <v>40670</v>
      </c>
      <c r="M8185" t="s">
        <v>41644</v>
      </c>
      <c r="N8185" t="s">
        <v>44905</v>
      </c>
      <c r="O8185" t="s">
        <v>44906</v>
      </c>
      <c r="P8185">
        <v>0</v>
      </c>
      <c r="Q8185">
        <v>0</v>
      </c>
      <c r="R8185" t="s">
        <v>44910</v>
      </c>
      <c r="S8185" t="s">
        <v>45076</v>
      </c>
      <c r="T8185" t="s">
        <v>46506</v>
      </c>
      <c r="U8185" t="s">
        <v>53511</v>
      </c>
      <c r="V8185" t="s">
        <v>59829</v>
      </c>
      <c r="W8185" t="s">
        <v>41644</v>
      </c>
      <c r="X8185" t="s">
        <v>44911</v>
      </c>
    </row>
    <row r="8186" spans="1:24">
      <c r="A8186">
        <f>HYPERLINK("https://www.philgeps.gov.ph/GEPSNONPILOT/Tender/SplashBidNoticeAbstractUI.aspx?menuIndex=3&amp;refID=7075572&amp;Result=3","7075572")</f>
        <v>0</v>
      </c>
      <c r="B8186" t="s">
        <v>348</v>
      </c>
      <c r="C8186" t="s">
        <v>11331</v>
      </c>
      <c r="D8186" t="s">
        <v>18122</v>
      </c>
      <c r="E8186" t="s">
        <v>25395</v>
      </c>
      <c r="F8186" t="s">
        <v>31362</v>
      </c>
      <c r="G8186" t="s">
        <v>31368</v>
      </c>
      <c r="H8186" t="s">
        <v>15799</v>
      </c>
      <c r="I8186" t="s">
        <v>31471</v>
      </c>
      <c r="J8186" t="s">
        <v>31531</v>
      </c>
      <c r="K8186" t="s">
        <v>40665</v>
      </c>
      <c r="M8186" t="s">
        <v>41294</v>
      </c>
      <c r="N8186" t="s">
        <v>44905</v>
      </c>
      <c r="O8186" t="s">
        <v>44906</v>
      </c>
      <c r="P8186">
        <v>0</v>
      </c>
      <c r="Q8186">
        <v>2</v>
      </c>
      <c r="R8186" t="s">
        <v>44910</v>
      </c>
      <c r="S8186" t="s">
        <v>45076</v>
      </c>
      <c r="T8186" t="s">
        <v>46403</v>
      </c>
      <c r="U8186" t="s">
        <v>53512</v>
      </c>
      <c r="W8186" t="s">
        <v>41294</v>
      </c>
      <c r="X8186" t="s">
        <v>44911</v>
      </c>
    </row>
    <row r="8187" spans="1:24">
      <c r="A8187">
        <f>HYPERLINK("https://www.philgeps.gov.ph/GEPSNONPILOT/Tender/SplashBidNoticeAbstractUI.aspx?menuIndex=3&amp;refID=7075560&amp;Result=3","7075560")</f>
        <v>0</v>
      </c>
      <c r="B8187" t="s">
        <v>1047</v>
      </c>
      <c r="C8187" t="s">
        <v>11332</v>
      </c>
      <c r="D8187" t="s">
        <v>18108</v>
      </c>
      <c r="E8187" t="s">
        <v>25396</v>
      </c>
      <c r="F8187" t="s">
        <v>31362</v>
      </c>
      <c r="G8187" t="s">
        <v>31370</v>
      </c>
      <c r="H8187" t="s">
        <v>15799</v>
      </c>
      <c r="I8187" t="s">
        <v>3815</v>
      </c>
      <c r="J8187" t="s">
        <v>31536</v>
      </c>
      <c r="K8187" t="s">
        <v>40661</v>
      </c>
      <c r="M8187" t="s">
        <v>42047</v>
      </c>
      <c r="N8187" t="s">
        <v>44905</v>
      </c>
      <c r="O8187" t="s">
        <v>44906</v>
      </c>
      <c r="P8187">
        <v>0</v>
      </c>
      <c r="Q8187">
        <v>0</v>
      </c>
      <c r="R8187" t="s">
        <v>44910</v>
      </c>
      <c r="S8187" t="s">
        <v>45076</v>
      </c>
      <c r="T8187" t="s">
        <v>46454</v>
      </c>
      <c r="U8187" t="s">
        <v>53513</v>
      </c>
      <c r="W8187" t="s">
        <v>42047</v>
      </c>
      <c r="X8187" t="s">
        <v>44911</v>
      </c>
    </row>
    <row r="8188" spans="1:24">
      <c r="A8188">
        <f>HYPERLINK("https://www.philgeps.gov.ph/GEPSNONPILOT/Tender/SplashBidNoticeAbstractUI.aspx?menuIndex=3&amp;refID=7075558&amp;Result=3","7075558")</f>
        <v>0</v>
      </c>
      <c r="B8188" t="s">
        <v>284</v>
      </c>
      <c r="C8188" t="s">
        <v>11333</v>
      </c>
      <c r="D8188" t="s">
        <v>18126</v>
      </c>
      <c r="E8188" t="s">
        <v>25397</v>
      </c>
      <c r="F8188" t="s">
        <v>31362</v>
      </c>
      <c r="G8188" t="s">
        <v>31369</v>
      </c>
      <c r="H8188" t="s">
        <v>31378</v>
      </c>
      <c r="I8188" t="s">
        <v>31386</v>
      </c>
      <c r="J8188" t="s">
        <v>36520</v>
      </c>
      <c r="K8188" t="s">
        <v>40742</v>
      </c>
      <c r="M8188" t="s">
        <v>43031</v>
      </c>
      <c r="N8188" t="s">
        <v>44905</v>
      </c>
      <c r="O8188" t="s">
        <v>44906</v>
      </c>
      <c r="P8188">
        <v>0</v>
      </c>
      <c r="Q8188">
        <v>4</v>
      </c>
      <c r="R8188" t="s">
        <v>44910</v>
      </c>
      <c r="S8188" t="s">
        <v>45076</v>
      </c>
      <c r="T8188" t="s">
        <v>46419</v>
      </c>
      <c r="U8188" t="s">
        <v>53514</v>
      </c>
      <c r="W8188" t="s">
        <v>43031</v>
      </c>
      <c r="X8188" t="s">
        <v>44911</v>
      </c>
    </row>
    <row r="8189" spans="1:24">
      <c r="A8189">
        <f>HYPERLINK("https://www.philgeps.gov.ph/GEPSNONPILOT/Tender/SplashBidNoticeAbstractUI.aspx?menuIndex=3&amp;refID=7075556&amp;Result=3","7075556")</f>
        <v>0</v>
      </c>
      <c r="B8189" t="s">
        <v>1381</v>
      </c>
      <c r="C8189" t="s">
        <v>11334</v>
      </c>
      <c r="D8189" t="s">
        <v>18123</v>
      </c>
      <c r="E8189" t="s">
        <v>25398</v>
      </c>
      <c r="F8189" t="s">
        <v>31362</v>
      </c>
      <c r="G8189" t="s">
        <v>31369</v>
      </c>
      <c r="H8189" t="s">
        <v>31378</v>
      </c>
      <c r="I8189" t="s">
        <v>31386</v>
      </c>
      <c r="J8189" t="s">
        <v>36521</v>
      </c>
      <c r="K8189" t="s">
        <v>40679</v>
      </c>
      <c r="M8189" t="s">
        <v>42405</v>
      </c>
      <c r="N8189" t="s">
        <v>44905</v>
      </c>
      <c r="O8189" t="s">
        <v>44906</v>
      </c>
      <c r="P8189">
        <v>0</v>
      </c>
      <c r="Q8189">
        <v>0</v>
      </c>
      <c r="R8189" t="s">
        <v>44910</v>
      </c>
      <c r="S8189" t="s">
        <v>45076</v>
      </c>
      <c r="T8189" t="s">
        <v>46772</v>
      </c>
      <c r="U8189" t="s">
        <v>50030</v>
      </c>
      <c r="V8189" t="s">
        <v>59437</v>
      </c>
      <c r="W8189" t="s">
        <v>42405</v>
      </c>
      <c r="X8189" t="s">
        <v>44911</v>
      </c>
    </row>
    <row r="8190" spans="1:24">
      <c r="A8190">
        <f>HYPERLINK("https://www.philgeps.gov.ph/GEPSNONPILOT/Tender/SplashBidNoticeAbstractUI.aspx?menuIndex=3&amp;refID=7075563&amp;Result=3","7075563")</f>
        <v>0</v>
      </c>
      <c r="B8190" t="s">
        <v>81</v>
      </c>
      <c r="C8190" t="s">
        <v>11335</v>
      </c>
      <c r="E8190" t="s">
        <v>25399</v>
      </c>
      <c r="F8190" t="s">
        <v>31362</v>
      </c>
      <c r="G8190" t="s">
        <v>31369</v>
      </c>
      <c r="H8190" t="s">
        <v>31378</v>
      </c>
      <c r="I8190" t="s">
        <v>31386</v>
      </c>
      <c r="J8190" t="s">
        <v>36522</v>
      </c>
      <c r="K8190" t="s">
        <v>40662</v>
      </c>
      <c r="M8190" t="s">
        <v>41999</v>
      </c>
      <c r="N8190" t="s">
        <v>44905</v>
      </c>
      <c r="O8190" t="s">
        <v>44906</v>
      </c>
      <c r="Q8190">
        <v>0</v>
      </c>
      <c r="R8190" t="s">
        <v>44910</v>
      </c>
      <c r="S8190" t="s">
        <v>45115</v>
      </c>
      <c r="T8190" t="s">
        <v>46696</v>
      </c>
      <c r="U8190" t="s">
        <v>53515</v>
      </c>
      <c r="W8190" t="s">
        <v>41999</v>
      </c>
      <c r="X8190" t="s">
        <v>44911</v>
      </c>
    </row>
    <row r="8191" spans="1:24">
      <c r="A8191">
        <f>HYPERLINK("https://www.philgeps.gov.ph/GEPSNONPILOT/Tender/SplashBidNoticeAbstractUI.aspx?menuIndex=3&amp;refID=7075553&amp;Result=3","7075553")</f>
        <v>0</v>
      </c>
      <c r="B8191" t="s">
        <v>1970</v>
      </c>
      <c r="C8191" t="s">
        <v>11336</v>
      </c>
      <c r="D8191" t="s">
        <v>18106</v>
      </c>
      <c r="E8191" t="s">
        <v>25400</v>
      </c>
      <c r="F8191" t="s">
        <v>31362</v>
      </c>
      <c r="G8191" t="s">
        <v>31371</v>
      </c>
      <c r="H8191" t="s">
        <v>15799</v>
      </c>
      <c r="I8191" t="s">
        <v>31385</v>
      </c>
      <c r="J8191" t="s">
        <v>36523</v>
      </c>
      <c r="K8191" t="s">
        <v>40672</v>
      </c>
      <c r="M8191" t="s">
        <v>43077</v>
      </c>
      <c r="N8191" t="s">
        <v>44905</v>
      </c>
      <c r="O8191" t="s">
        <v>44906</v>
      </c>
      <c r="P8191">
        <v>0</v>
      </c>
      <c r="Q8191">
        <v>2</v>
      </c>
      <c r="R8191" t="s">
        <v>44910</v>
      </c>
      <c r="S8191" t="s">
        <v>45076</v>
      </c>
      <c r="T8191" t="s">
        <v>46454</v>
      </c>
      <c r="U8191" t="s">
        <v>53516</v>
      </c>
      <c r="W8191" t="s">
        <v>43077</v>
      </c>
      <c r="X8191" t="s">
        <v>44911</v>
      </c>
    </row>
    <row r="8192" spans="1:24">
      <c r="A8192">
        <f>HYPERLINK("https://www.philgeps.gov.ph/GEPSNONPILOT/Tender/SplashBidNoticeAbstractUI.aspx?menuIndex=3&amp;refID=7075513&amp;Result=3","7075513")</f>
        <v>0</v>
      </c>
      <c r="B8192" t="s">
        <v>2416</v>
      </c>
      <c r="C8192" t="s">
        <v>11337</v>
      </c>
      <c r="D8192" t="s">
        <v>18153</v>
      </c>
      <c r="E8192" t="s">
        <v>24906</v>
      </c>
      <c r="F8192" t="s">
        <v>31362</v>
      </c>
      <c r="G8192" t="s">
        <v>31369</v>
      </c>
      <c r="H8192" t="s">
        <v>15799</v>
      </c>
      <c r="I8192" t="s">
        <v>3815</v>
      </c>
      <c r="J8192" t="s">
        <v>36524</v>
      </c>
      <c r="K8192" t="s">
        <v>40666</v>
      </c>
      <c r="M8192" t="s">
        <v>43571</v>
      </c>
      <c r="N8192" t="s">
        <v>44905</v>
      </c>
      <c r="O8192" t="s">
        <v>44906</v>
      </c>
      <c r="P8192">
        <v>0</v>
      </c>
      <c r="Q8192">
        <v>0</v>
      </c>
      <c r="R8192" t="s">
        <v>44910</v>
      </c>
      <c r="S8192" t="s">
        <v>45076</v>
      </c>
      <c r="T8192" t="s">
        <v>46435</v>
      </c>
      <c r="U8192" t="s">
        <v>53517</v>
      </c>
      <c r="W8192" t="s">
        <v>43571</v>
      </c>
      <c r="X8192" t="s">
        <v>44911</v>
      </c>
    </row>
    <row r="8193" spans="1:24">
      <c r="A8193">
        <f>HYPERLINK("https://www.philgeps.gov.ph/GEPSNONPILOT/Tender/SplashBidNoticeAbstractUI.aspx?menuIndex=3&amp;refID=7075623&amp;Result=3","7075623")</f>
        <v>0</v>
      </c>
      <c r="B8193" t="s">
        <v>908</v>
      </c>
      <c r="C8193" t="s">
        <v>11338</v>
      </c>
      <c r="D8193" t="s">
        <v>18132</v>
      </c>
      <c r="E8193" t="s">
        <v>25401</v>
      </c>
      <c r="F8193" t="s">
        <v>31362</v>
      </c>
      <c r="G8193" t="s">
        <v>31368</v>
      </c>
      <c r="H8193" t="s">
        <v>15799</v>
      </c>
      <c r="I8193" t="s">
        <v>31424</v>
      </c>
      <c r="J8193" t="s">
        <v>36525</v>
      </c>
      <c r="K8193" t="s">
        <v>40666</v>
      </c>
      <c r="M8193" t="s">
        <v>41979</v>
      </c>
      <c r="N8193" t="s">
        <v>44905</v>
      </c>
      <c r="O8193" t="s">
        <v>44906</v>
      </c>
      <c r="P8193">
        <v>0</v>
      </c>
      <c r="Q8193">
        <v>1</v>
      </c>
      <c r="R8193" t="s">
        <v>44910</v>
      </c>
      <c r="S8193" t="s">
        <v>45076</v>
      </c>
      <c r="T8193" t="s">
        <v>46467</v>
      </c>
      <c r="U8193" t="s">
        <v>53518</v>
      </c>
      <c r="W8193" t="s">
        <v>41979</v>
      </c>
      <c r="X8193" t="s">
        <v>44911</v>
      </c>
    </row>
    <row r="8194" spans="1:24">
      <c r="A8194">
        <f>HYPERLINK("https://www.philgeps.gov.ph/GEPSNONPILOT/Tender/SplashBidNoticeAbstractUI.aspx?menuIndex=3&amp;refID=7075567&amp;Result=3","7075567")</f>
        <v>0</v>
      </c>
      <c r="B8194" t="s">
        <v>908</v>
      </c>
      <c r="C8194" t="s">
        <v>11339</v>
      </c>
      <c r="D8194" t="s">
        <v>18155</v>
      </c>
      <c r="E8194" t="s">
        <v>25401</v>
      </c>
      <c r="F8194" t="s">
        <v>31362</v>
      </c>
      <c r="G8194" t="s">
        <v>31368</v>
      </c>
      <c r="H8194" t="s">
        <v>15799</v>
      </c>
      <c r="I8194" t="s">
        <v>31409</v>
      </c>
      <c r="J8194" t="s">
        <v>31536</v>
      </c>
      <c r="K8194" t="s">
        <v>40666</v>
      </c>
      <c r="M8194" t="s">
        <v>41979</v>
      </c>
      <c r="N8194" t="s">
        <v>44905</v>
      </c>
      <c r="O8194" t="s">
        <v>44906</v>
      </c>
      <c r="P8194">
        <v>0</v>
      </c>
      <c r="Q8194">
        <v>1</v>
      </c>
      <c r="R8194" t="s">
        <v>44910</v>
      </c>
      <c r="S8194" t="s">
        <v>45076</v>
      </c>
      <c r="T8194" t="s">
        <v>46467</v>
      </c>
      <c r="U8194" t="s">
        <v>53519</v>
      </c>
      <c r="W8194" t="s">
        <v>41979</v>
      </c>
      <c r="X8194" t="s">
        <v>44911</v>
      </c>
    </row>
    <row r="8195" spans="1:24">
      <c r="A8195">
        <f>HYPERLINK("https://www.philgeps.gov.ph/GEPSNONPILOT/Tender/SplashBidNoticeAbstractUI.aspx?menuIndex=3&amp;refID=7075559&amp;Result=3","7075559")</f>
        <v>0</v>
      </c>
      <c r="B8195" t="s">
        <v>2415</v>
      </c>
      <c r="C8195" t="s">
        <v>11340</v>
      </c>
      <c r="D8195" t="s">
        <v>18180</v>
      </c>
      <c r="E8195" t="s">
        <v>25402</v>
      </c>
      <c r="F8195" t="s">
        <v>31362</v>
      </c>
      <c r="G8195" t="s">
        <v>31369</v>
      </c>
      <c r="H8195" t="s">
        <v>31378</v>
      </c>
      <c r="I8195" t="s">
        <v>31386</v>
      </c>
      <c r="J8195" t="s">
        <v>36526</v>
      </c>
      <c r="K8195" t="s">
        <v>40662</v>
      </c>
      <c r="M8195" t="s">
        <v>43570</v>
      </c>
      <c r="N8195" t="s">
        <v>44905</v>
      </c>
      <c r="O8195" t="s">
        <v>44906</v>
      </c>
      <c r="P8195">
        <v>0</v>
      </c>
      <c r="Q8195">
        <v>0</v>
      </c>
      <c r="R8195" t="s">
        <v>44910</v>
      </c>
      <c r="S8195" t="s">
        <v>45076</v>
      </c>
      <c r="T8195" t="s">
        <v>46419</v>
      </c>
      <c r="U8195" t="s">
        <v>53520</v>
      </c>
      <c r="W8195" t="s">
        <v>43570</v>
      </c>
      <c r="X8195" t="s">
        <v>44911</v>
      </c>
    </row>
    <row r="8196" spans="1:24">
      <c r="A8196">
        <f>HYPERLINK("https://www.philgeps.gov.ph/GEPSNONPILOT/Tender/SplashBidNoticeAbstractUI.aspx?menuIndex=3&amp;refID=7075557&amp;Result=3","7075557")</f>
        <v>0</v>
      </c>
      <c r="B8196" t="s">
        <v>2042</v>
      </c>
      <c r="C8196" t="s">
        <v>11341</v>
      </c>
      <c r="D8196" t="s">
        <v>18101</v>
      </c>
      <c r="E8196" t="s">
        <v>25403</v>
      </c>
      <c r="F8196" t="s">
        <v>31362</v>
      </c>
      <c r="G8196" t="s">
        <v>31369</v>
      </c>
      <c r="H8196" t="s">
        <v>15799</v>
      </c>
      <c r="I8196" t="s">
        <v>31484</v>
      </c>
      <c r="J8196" t="s">
        <v>34017</v>
      </c>
      <c r="K8196" t="s">
        <v>40666</v>
      </c>
      <c r="M8196" t="s">
        <v>43161</v>
      </c>
      <c r="N8196" t="s">
        <v>44905</v>
      </c>
      <c r="O8196" t="s">
        <v>44906</v>
      </c>
      <c r="P8196">
        <v>0</v>
      </c>
      <c r="Q8196">
        <v>1</v>
      </c>
      <c r="R8196" t="s">
        <v>44910</v>
      </c>
      <c r="S8196" t="s">
        <v>45076</v>
      </c>
      <c r="T8196" t="s">
        <v>46626</v>
      </c>
      <c r="U8196" t="s">
        <v>53521</v>
      </c>
      <c r="W8196" t="s">
        <v>43161</v>
      </c>
      <c r="X8196" t="s">
        <v>44911</v>
      </c>
    </row>
    <row r="8197" spans="1:24">
      <c r="A8197">
        <f>HYPERLINK("https://www.philgeps.gov.ph/GEPSNONPILOT/Tender/SplashBidNoticeAbstractUI.aspx?menuIndex=3&amp;refID=7075555&amp;Result=3","7075555")</f>
        <v>0</v>
      </c>
      <c r="B8197" t="s">
        <v>635</v>
      </c>
      <c r="C8197" t="s">
        <v>11342</v>
      </c>
      <c r="D8197" t="s">
        <v>18108</v>
      </c>
      <c r="E8197" t="s">
        <v>25404</v>
      </c>
      <c r="F8197" t="s">
        <v>31362</v>
      </c>
      <c r="G8197" t="s">
        <v>31369</v>
      </c>
      <c r="H8197" t="s">
        <v>31378</v>
      </c>
      <c r="I8197" t="s">
        <v>31386</v>
      </c>
      <c r="J8197" t="s">
        <v>31709</v>
      </c>
      <c r="K8197" t="s">
        <v>40679</v>
      </c>
      <c r="M8197" t="s">
        <v>41595</v>
      </c>
      <c r="N8197" t="s">
        <v>44905</v>
      </c>
      <c r="O8197" t="s">
        <v>44906</v>
      </c>
      <c r="P8197">
        <v>0</v>
      </c>
      <c r="Q8197">
        <v>3</v>
      </c>
      <c r="R8197" t="s">
        <v>44910</v>
      </c>
      <c r="S8197" t="s">
        <v>45076</v>
      </c>
      <c r="T8197" t="s">
        <v>46773</v>
      </c>
      <c r="U8197" t="s">
        <v>53522</v>
      </c>
      <c r="V8197" t="s">
        <v>59856</v>
      </c>
      <c r="W8197" t="s">
        <v>41595</v>
      </c>
      <c r="X8197" t="s">
        <v>44911</v>
      </c>
    </row>
    <row r="8198" spans="1:24">
      <c r="A8198">
        <f>HYPERLINK("https://www.philgeps.gov.ph/GEPSNONPILOT/Tender/SplashBidNoticeAbstractUI.aspx?menuIndex=3&amp;refID=7075617&amp;Result=3","7075617")</f>
        <v>0</v>
      </c>
      <c r="B8198" t="s">
        <v>2418</v>
      </c>
      <c r="C8198" t="s">
        <v>11343</v>
      </c>
      <c r="E8198" t="s">
        <v>25405</v>
      </c>
      <c r="F8198" t="s">
        <v>31362</v>
      </c>
      <c r="G8198" t="s">
        <v>31369</v>
      </c>
      <c r="H8198" t="s">
        <v>15799</v>
      </c>
      <c r="I8198" t="s">
        <v>31409</v>
      </c>
      <c r="J8198" t="s">
        <v>35450</v>
      </c>
      <c r="K8198" t="s">
        <v>40662</v>
      </c>
      <c r="M8198" t="s">
        <v>43573</v>
      </c>
      <c r="N8198" t="s">
        <v>44905</v>
      </c>
      <c r="O8198" t="s">
        <v>44906</v>
      </c>
      <c r="P8198">
        <v>0</v>
      </c>
      <c r="Q8198">
        <v>5</v>
      </c>
      <c r="R8198" t="s">
        <v>44910</v>
      </c>
      <c r="S8198" t="s">
        <v>45076</v>
      </c>
      <c r="T8198" t="s">
        <v>46465</v>
      </c>
      <c r="U8198" t="s">
        <v>53523</v>
      </c>
      <c r="W8198" t="s">
        <v>43573</v>
      </c>
      <c r="X8198" t="s">
        <v>44911</v>
      </c>
    </row>
    <row r="8199" spans="1:24">
      <c r="A8199">
        <f>HYPERLINK("https://www.philgeps.gov.ph/GEPSNONPILOT/Tender/SplashBidNoticeAbstractUI.aspx?menuIndex=3&amp;refID=7075614&amp;Result=3","7075614")</f>
        <v>0</v>
      </c>
      <c r="B8199" t="s">
        <v>984</v>
      </c>
      <c r="C8199" t="s">
        <v>11344</v>
      </c>
      <c r="D8199" t="s">
        <v>18119</v>
      </c>
      <c r="E8199" t="s">
        <v>25406</v>
      </c>
      <c r="F8199" t="s">
        <v>31362</v>
      </c>
      <c r="G8199" t="s">
        <v>31369</v>
      </c>
      <c r="H8199" t="s">
        <v>31378</v>
      </c>
      <c r="I8199" t="s">
        <v>31386</v>
      </c>
      <c r="J8199" t="s">
        <v>36527</v>
      </c>
      <c r="K8199" t="s">
        <v>40682</v>
      </c>
      <c r="M8199" t="s">
        <v>41976</v>
      </c>
      <c r="N8199" t="s">
        <v>44905</v>
      </c>
      <c r="O8199" t="s">
        <v>44906</v>
      </c>
      <c r="P8199">
        <v>0</v>
      </c>
      <c r="Q8199">
        <v>1</v>
      </c>
      <c r="R8199" t="s">
        <v>44910</v>
      </c>
      <c r="S8199" t="s">
        <v>45076</v>
      </c>
      <c r="T8199" t="s">
        <v>46671</v>
      </c>
      <c r="U8199" t="s">
        <v>53524</v>
      </c>
      <c r="W8199" t="s">
        <v>41976</v>
      </c>
      <c r="X8199" t="s">
        <v>44911</v>
      </c>
    </row>
    <row r="8200" spans="1:24">
      <c r="A8200">
        <f>HYPERLINK("https://www.philgeps.gov.ph/GEPSNONPILOT/Tender/SplashBidNoticeAbstractUI.aspx?menuIndex=3&amp;refID=7075546&amp;Result=3","7075546")</f>
        <v>0</v>
      </c>
      <c r="B8200" t="s">
        <v>908</v>
      </c>
      <c r="C8200" t="s">
        <v>11345</v>
      </c>
      <c r="D8200" t="s">
        <v>18142</v>
      </c>
      <c r="E8200" t="s">
        <v>25401</v>
      </c>
      <c r="F8200" t="s">
        <v>31362</v>
      </c>
      <c r="G8200" t="s">
        <v>31368</v>
      </c>
      <c r="H8200" t="s">
        <v>15799</v>
      </c>
      <c r="I8200" t="s">
        <v>31424</v>
      </c>
      <c r="J8200" t="s">
        <v>36528</v>
      </c>
      <c r="K8200" t="s">
        <v>40666</v>
      </c>
      <c r="M8200" t="s">
        <v>41979</v>
      </c>
      <c r="N8200" t="s">
        <v>44905</v>
      </c>
      <c r="O8200" t="s">
        <v>44906</v>
      </c>
      <c r="P8200">
        <v>0</v>
      </c>
      <c r="Q8200">
        <v>1</v>
      </c>
      <c r="R8200" t="s">
        <v>44910</v>
      </c>
      <c r="S8200" t="s">
        <v>45076</v>
      </c>
      <c r="T8200" t="s">
        <v>46467</v>
      </c>
      <c r="U8200" t="s">
        <v>53525</v>
      </c>
      <c r="W8200" t="s">
        <v>41979</v>
      </c>
      <c r="X8200" t="s">
        <v>44911</v>
      </c>
    </row>
    <row r="8201" spans="1:24">
      <c r="A8201">
        <f>HYPERLINK("https://www.philgeps.gov.ph/GEPSNONPILOT/Tender/SplashBidNoticeAbstractUI.aspx?menuIndex=3&amp;refID=7075606&amp;Result=3","7075606")</f>
        <v>0</v>
      </c>
      <c r="B8201" t="s">
        <v>2416</v>
      </c>
      <c r="C8201" t="s">
        <v>11346</v>
      </c>
      <c r="D8201" t="s">
        <v>18153</v>
      </c>
      <c r="E8201" t="s">
        <v>25407</v>
      </c>
      <c r="F8201" t="s">
        <v>31362</v>
      </c>
      <c r="G8201" t="s">
        <v>31369</v>
      </c>
      <c r="H8201" t="s">
        <v>15799</v>
      </c>
      <c r="I8201" t="s">
        <v>3815</v>
      </c>
      <c r="J8201" t="s">
        <v>36529</v>
      </c>
      <c r="K8201" t="s">
        <v>40666</v>
      </c>
      <c r="M8201" t="s">
        <v>43571</v>
      </c>
      <c r="N8201" t="s">
        <v>44905</v>
      </c>
      <c r="O8201" t="s">
        <v>44906</v>
      </c>
      <c r="P8201">
        <v>0</v>
      </c>
      <c r="Q8201">
        <v>0</v>
      </c>
      <c r="R8201" t="s">
        <v>44910</v>
      </c>
      <c r="S8201" t="s">
        <v>45076</v>
      </c>
      <c r="T8201" t="s">
        <v>46435</v>
      </c>
      <c r="U8201" t="s">
        <v>53526</v>
      </c>
      <c r="W8201" t="s">
        <v>43571</v>
      </c>
      <c r="X8201" t="s">
        <v>44911</v>
      </c>
    </row>
    <row r="8202" spans="1:24">
      <c r="A8202">
        <f>HYPERLINK("https://www.philgeps.gov.ph/GEPSNONPILOT/Tender/SplashBidNoticeAbstractUI.aspx?menuIndex=3&amp;refID=7075622&amp;Result=3","7075622")</f>
        <v>0</v>
      </c>
      <c r="B8202" t="s">
        <v>2419</v>
      </c>
      <c r="C8202" t="s">
        <v>11347</v>
      </c>
      <c r="D8202" t="s">
        <v>18146</v>
      </c>
      <c r="E8202" t="s">
        <v>25408</v>
      </c>
      <c r="F8202" t="s">
        <v>31362</v>
      </c>
      <c r="G8202" t="s">
        <v>31369</v>
      </c>
      <c r="H8202" t="s">
        <v>31378</v>
      </c>
      <c r="I8202" t="s">
        <v>31386</v>
      </c>
      <c r="J8202" t="s">
        <v>31536</v>
      </c>
      <c r="K8202" t="s">
        <v>40666</v>
      </c>
      <c r="M8202" t="s">
        <v>43574</v>
      </c>
      <c r="N8202" t="s">
        <v>44905</v>
      </c>
      <c r="O8202" t="s">
        <v>44906</v>
      </c>
      <c r="P8202">
        <v>0</v>
      </c>
      <c r="Q8202">
        <v>0</v>
      </c>
      <c r="R8202" t="s">
        <v>44910</v>
      </c>
      <c r="S8202" t="s">
        <v>45076</v>
      </c>
      <c r="T8202" t="s">
        <v>46435</v>
      </c>
      <c r="U8202" t="s">
        <v>53527</v>
      </c>
      <c r="V8202" t="s">
        <v>59857</v>
      </c>
      <c r="W8202" t="s">
        <v>43574</v>
      </c>
      <c r="X8202" t="s">
        <v>44911</v>
      </c>
    </row>
    <row r="8203" spans="1:24">
      <c r="A8203">
        <f>HYPERLINK("https://www.philgeps.gov.ph/GEPSNONPILOT/Tender/SplashBidNoticeAbstractUI.aspx?menuIndex=3&amp;refID=7075609&amp;Result=3","7075609")</f>
        <v>0</v>
      </c>
      <c r="B8203" t="s">
        <v>908</v>
      </c>
      <c r="C8203" t="s">
        <v>11348</v>
      </c>
      <c r="D8203" t="s">
        <v>18180</v>
      </c>
      <c r="E8203" t="s">
        <v>25401</v>
      </c>
      <c r="F8203" t="s">
        <v>31362</v>
      </c>
      <c r="G8203" t="s">
        <v>31368</v>
      </c>
      <c r="H8203" t="s">
        <v>15799</v>
      </c>
      <c r="I8203" t="s">
        <v>31424</v>
      </c>
      <c r="J8203" t="s">
        <v>31991</v>
      </c>
      <c r="K8203" t="s">
        <v>40666</v>
      </c>
      <c r="M8203" t="s">
        <v>41979</v>
      </c>
      <c r="N8203" t="s">
        <v>44905</v>
      </c>
      <c r="O8203" t="s">
        <v>44906</v>
      </c>
      <c r="P8203">
        <v>0</v>
      </c>
      <c r="Q8203">
        <v>1</v>
      </c>
      <c r="R8203" t="s">
        <v>44910</v>
      </c>
      <c r="S8203" t="s">
        <v>45076</v>
      </c>
      <c r="T8203" t="s">
        <v>46467</v>
      </c>
      <c r="U8203" t="s">
        <v>53528</v>
      </c>
      <c r="W8203" t="s">
        <v>41979</v>
      </c>
      <c r="X8203" t="s">
        <v>44911</v>
      </c>
    </row>
    <row r="8204" spans="1:24">
      <c r="A8204">
        <f>HYPERLINK("https://www.philgeps.gov.ph/GEPSNONPILOT/Tender/SplashBidNoticeAbstractUI.aspx?menuIndex=3&amp;refID=7075561&amp;Result=3","7075561")</f>
        <v>0</v>
      </c>
      <c r="B8204" t="s">
        <v>2392</v>
      </c>
      <c r="C8204" t="s">
        <v>11349</v>
      </c>
      <c r="D8204" t="s">
        <v>18155</v>
      </c>
      <c r="E8204" t="s">
        <v>25409</v>
      </c>
      <c r="F8204" t="s">
        <v>31362</v>
      </c>
      <c r="G8204" t="s">
        <v>31369</v>
      </c>
      <c r="H8204" t="s">
        <v>31378</v>
      </c>
      <c r="I8204" t="s">
        <v>31386</v>
      </c>
      <c r="J8204" t="s">
        <v>31591</v>
      </c>
      <c r="K8204" t="s">
        <v>40773</v>
      </c>
      <c r="M8204" t="s">
        <v>43575</v>
      </c>
      <c r="N8204" t="s">
        <v>44905</v>
      </c>
      <c r="O8204" t="s">
        <v>44906</v>
      </c>
      <c r="P8204">
        <v>0</v>
      </c>
      <c r="Q8204">
        <v>0</v>
      </c>
      <c r="R8204" t="s">
        <v>44910</v>
      </c>
      <c r="S8204" t="s">
        <v>45076</v>
      </c>
      <c r="T8204" t="s">
        <v>46499</v>
      </c>
      <c r="U8204" t="s">
        <v>53529</v>
      </c>
      <c r="V8204" t="s">
        <v>59858</v>
      </c>
      <c r="W8204" t="s">
        <v>43575</v>
      </c>
      <c r="X8204" t="s">
        <v>44911</v>
      </c>
    </row>
    <row r="8205" spans="1:24">
      <c r="A8205">
        <f>HYPERLINK("https://www.philgeps.gov.ph/GEPSNONPILOT/Tender/SplashBidNoticeAbstractUI.aspx?menuIndex=3&amp;refID=7075605&amp;Result=3","7075605")</f>
        <v>0</v>
      </c>
      <c r="B8205" t="s">
        <v>1970</v>
      </c>
      <c r="C8205" t="s">
        <v>11350</v>
      </c>
      <c r="D8205" t="s">
        <v>18106</v>
      </c>
      <c r="E8205" t="s">
        <v>25410</v>
      </c>
      <c r="F8205" t="s">
        <v>31362</v>
      </c>
      <c r="G8205" t="s">
        <v>31368</v>
      </c>
      <c r="H8205" t="s">
        <v>15799</v>
      </c>
      <c r="I8205" t="s">
        <v>31400</v>
      </c>
      <c r="J8205" t="s">
        <v>32347</v>
      </c>
      <c r="K8205" t="s">
        <v>40670</v>
      </c>
      <c r="M8205" t="s">
        <v>43077</v>
      </c>
      <c r="N8205" t="s">
        <v>44905</v>
      </c>
      <c r="O8205" t="s">
        <v>44906</v>
      </c>
      <c r="P8205">
        <v>0</v>
      </c>
      <c r="Q8205">
        <v>1</v>
      </c>
      <c r="R8205" t="s">
        <v>44910</v>
      </c>
      <c r="S8205" t="s">
        <v>45076</v>
      </c>
      <c r="T8205" t="s">
        <v>46454</v>
      </c>
      <c r="U8205" t="s">
        <v>53530</v>
      </c>
      <c r="W8205" t="s">
        <v>43077</v>
      </c>
      <c r="X8205" t="s">
        <v>44911</v>
      </c>
    </row>
    <row r="8206" spans="1:24">
      <c r="A8206">
        <f>HYPERLINK("https://www.philgeps.gov.ph/GEPSNONPILOT/Tender/SplashBidNoticeAbstractUI.aspx?menuIndex=3&amp;refID=7075600&amp;Result=3","7075600")</f>
        <v>0</v>
      </c>
      <c r="B8206" t="s">
        <v>348</v>
      </c>
      <c r="C8206" t="s">
        <v>11351</v>
      </c>
      <c r="D8206" t="s">
        <v>18175</v>
      </c>
      <c r="E8206" t="s">
        <v>25411</v>
      </c>
      <c r="F8206" t="s">
        <v>31362</v>
      </c>
      <c r="G8206" t="s">
        <v>31368</v>
      </c>
      <c r="H8206" t="s">
        <v>31378</v>
      </c>
      <c r="I8206" t="s">
        <v>31386</v>
      </c>
      <c r="J8206" t="s">
        <v>31604</v>
      </c>
      <c r="K8206" t="s">
        <v>40675</v>
      </c>
      <c r="M8206" t="s">
        <v>41294</v>
      </c>
      <c r="N8206" t="s">
        <v>44905</v>
      </c>
      <c r="O8206" t="s">
        <v>44906</v>
      </c>
      <c r="P8206">
        <v>0</v>
      </c>
      <c r="Q8206">
        <v>2</v>
      </c>
      <c r="R8206" t="s">
        <v>44910</v>
      </c>
      <c r="S8206" t="s">
        <v>45076</v>
      </c>
      <c r="T8206" t="s">
        <v>46403</v>
      </c>
      <c r="U8206" t="s">
        <v>53531</v>
      </c>
      <c r="W8206" t="s">
        <v>41294</v>
      </c>
      <c r="X8206" t="s">
        <v>44911</v>
      </c>
    </row>
    <row r="8207" spans="1:24">
      <c r="A8207">
        <f>HYPERLINK("https://www.philgeps.gov.ph/GEPSNONPILOT/Tender/SplashBidNoticeAbstractUI.aspx?menuIndex=3&amp;refID=7075595&amp;Result=3","7075595")</f>
        <v>0</v>
      </c>
      <c r="B8207" t="s">
        <v>1985</v>
      </c>
      <c r="C8207" t="s">
        <v>11352</v>
      </c>
      <c r="D8207" t="s">
        <v>18168</v>
      </c>
      <c r="E8207" t="s">
        <v>25412</v>
      </c>
      <c r="F8207" t="s">
        <v>31362</v>
      </c>
      <c r="G8207" t="s">
        <v>31368</v>
      </c>
      <c r="H8207" t="s">
        <v>31378</v>
      </c>
      <c r="I8207" t="s">
        <v>31386</v>
      </c>
      <c r="J8207" t="s">
        <v>36530</v>
      </c>
      <c r="K8207" t="s">
        <v>40814</v>
      </c>
      <c r="M8207" t="s">
        <v>43094</v>
      </c>
      <c r="N8207" t="s">
        <v>44905</v>
      </c>
      <c r="O8207" t="s">
        <v>44906</v>
      </c>
      <c r="P8207">
        <v>0</v>
      </c>
      <c r="Q8207">
        <v>0</v>
      </c>
      <c r="R8207" t="s">
        <v>44910</v>
      </c>
      <c r="S8207" t="s">
        <v>45076</v>
      </c>
      <c r="T8207" t="s">
        <v>46415</v>
      </c>
      <c r="U8207" t="s">
        <v>53532</v>
      </c>
      <c r="W8207" t="s">
        <v>43094</v>
      </c>
      <c r="X8207" t="s">
        <v>44911</v>
      </c>
    </row>
    <row r="8208" spans="1:24">
      <c r="A8208">
        <f>HYPERLINK("https://www.philgeps.gov.ph/GEPSNONPILOT/Tender/SplashBidNoticeAbstractUI.aspx?menuIndex=3&amp;refID=7075594&amp;Result=3","7075594")</f>
        <v>0</v>
      </c>
      <c r="B8208" t="s">
        <v>2420</v>
      </c>
      <c r="C8208" t="s">
        <v>11353</v>
      </c>
      <c r="D8208" t="s">
        <v>18115</v>
      </c>
      <c r="E8208" t="s">
        <v>20367</v>
      </c>
      <c r="F8208" t="s">
        <v>31362</v>
      </c>
      <c r="G8208" t="s">
        <v>31368</v>
      </c>
      <c r="H8208" t="s">
        <v>15799</v>
      </c>
      <c r="I8208" t="s">
        <v>31427</v>
      </c>
      <c r="J8208" t="s">
        <v>36531</v>
      </c>
      <c r="K8208" t="s">
        <v>40666</v>
      </c>
      <c r="M8208" t="s">
        <v>43576</v>
      </c>
      <c r="N8208" t="s">
        <v>44905</v>
      </c>
      <c r="O8208" t="s">
        <v>44906</v>
      </c>
      <c r="P8208">
        <v>0</v>
      </c>
      <c r="Q8208">
        <v>9</v>
      </c>
      <c r="R8208" t="s">
        <v>44910</v>
      </c>
      <c r="S8208" t="s">
        <v>45076</v>
      </c>
      <c r="T8208" t="s">
        <v>46774</v>
      </c>
      <c r="U8208" t="s">
        <v>53533</v>
      </c>
      <c r="W8208" t="s">
        <v>43576</v>
      </c>
      <c r="X8208" t="s">
        <v>44911</v>
      </c>
    </row>
    <row r="8209" spans="1:24">
      <c r="A8209">
        <f>HYPERLINK("https://www.philgeps.gov.ph/GEPSNONPILOT/Tender/SplashBidNoticeAbstractUI.aspx?menuIndex=3&amp;refID=7075643&amp;Result=3","7075643")</f>
        <v>0</v>
      </c>
      <c r="B8209" t="s">
        <v>1268</v>
      </c>
      <c r="C8209" t="s">
        <v>11354</v>
      </c>
      <c r="E8209" t="s">
        <v>25413</v>
      </c>
      <c r="F8209" t="s">
        <v>31362</v>
      </c>
      <c r="G8209" t="s">
        <v>31369</v>
      </c>
      <c r="H8209" t="s">
        <v>15799</v>
      </c>
      <c r="I8209" t="s">
        <v>31456</v>
      </c>
      <c r="J8209" t="s">
        <v>36532</v>
      </c>
      <c r="K8209" t="s">
        <v>40662</v>
      </c>
      <c r="M8209" t="s">
        <v>42285</v>
      </c>
      <c r="N8209" t="s">
        <v>44905</v>
      </c>
      <c r="O8209" t="s">
        <v>44906</v>
      </c>
      <c r="Q8209">
        <v>1</v>
      </c>
      <c r="R8209" t="s">
        <v>44910</v>
      </c>
      <c r="S8209" t="s">
        <v>45116</v>
      </c>
      <c r="T8209" t="s">
        <v>46393</v>
      </c>
      <c r="U8209" t="s">
        <v>53534</v>
      </c>
      <c r="V8209" t="s">
        <v>59859</v>
      </c>
      <c r="W8209" t="s">
        <v>42285</v>
      </c>
      <c r="X8209" t="s">
        <v>44911</v>
      </c>
    </row>
    <row r="8210" spans="1:24">
      <c r="A8210">
        <f>HYPERLINK("https://www.philgeps.gov.ph/GEPSNONPILOT/Tender/SplashBidNoticeAbstractUI.aspx?menuIndex=3&amp;refID=7075665&amp;Result=3","7075665")</f>
        <v>0</v>
      </c>
      <c r="B8210" t="s">
        <v>1446</v>
      </c>
      <c r="C8210" t="s">
        <v>11355</v>
      </c>
      <c r="D8210" t="s">
        <v>18108</v>
      </c>
      <c r="E8210" t="s">
        <v>25414</v>
      </c>
      <c r="F8210" t="s">
        <v>31362</v>
      </c>
      <c r="G8210" t="s">
        <v>31369</v>
      </c>
      <c r="H8210" t="s">
        <v>15799</v>
      </c>
      <c r="I8210" t="s">
        <v>31409</v>
      </c>
      <c r="J8210" t="s">
        <v>36533</v>
      </c>
      <c r="K8210" t="s">
        <v>40662</v>
      </c>
      <c r="M8210" t="s">
        <v>43577</v>
      </c>
      <c r="N8210" t="s">
        <v>44905</v>
      </c>
      <c r="O8210" t="s">
        <v>44906</v>
      </c>
      <c r="Q8210">
        <v>3</v>
      </c>
      <c r="R8210" t="s">
        <v>44910</v>
      </c>
      <c r="S8210" t="s">
        <v>45117</v>
      </c>
      <c r="T8210" t="s">
        <v>46690</v>
      </c>
      <c r="U8210" t="s">
        <v>53535</v>
      </c>
      <c r="W8210" t="s">
        <v>43577</v>
      </c>
      <c r="X8210" t="s">
        <v>44911</v>
      </c>
    </row>
    <row r="8211" spans="1:24">
      <c r="A8211">
        <f>HYPERLINK("https://www.philgeps.gov.ph/GEPSNONPILOT/Tender/SplashBidNoticeAbstractUI.aspx?menuIndex=3&amp;refID=7075597&amp;Result=3","7075597")</f>
        <v>0</v>
      </c>
      <c r="B8211" t="s">
        <v>2421</v>
      </c>
      <c r="C8211" t="s">
        <v>11356</v>
      </c>
      <c r="D8211" t="s">
        <v>18100</v>
      </c>
      <c r="E8211" t="s">
        <v>25415</v>
      </c>
      <c r="F8211" t="s">
        <v>31362</v>
      </c>
      <c r="G8211" t="s">
        <v>31369</v>
      </c>
      <c r="H8211" t="s">
        <v>15799</v>
      </c>
      <c r="I8211" t="s">
        <v>31409</v>
      </c>
      <c r="J8211" t="s">
        <v>36534</v>
      </c>
      <c r="K8211" t="s">
        <v>40662</v>
      </c>
      <c r="M8211" t="s">
        <v>43578</v>
      </c>
      <c r="N8211" t="s">
        <v>44905</v>
      </c>
      <c r="O8211" t="s">
        <v>44906</v>
      </c>
      <c r="P8211">
        <v>0</v>
      </c>
      <c r="Q8211">
        <v>8</v>
      </c>
      <c r="R8211" t="s">
        <v>44910</v>
      </c>
      <c r="S8211" t="s">
        <v>45076</v>
      </c>
      <c r="T8211" t="s">
        <v>46775</v>
      </c>
      <c r="U8211" t="s">
        <v>53536</v>
      </c>
      <c r="W8211" t="s">
        <v>43578</v>
      </c>
      <c r="X8211" t="s">
        <v>44911</v>
      </c>
    </row>
    <row r="8212" spans="1:24">
      <c r="A8212">
        <f>HYPERLINK("https://www.philgeps.gov.ph/GEPSNONPILOT/Tender/SplashBidNoticeAbstractUI.aspx?menuIndex=3&amp;refID=7075593&amp;Result=3","7075593")</f>
        <v>0</v>
      </c>
      <c r="B8212" t="s">
        <v>2422</v>
      </c>
      <c r="C8212" t="s">
        <v>11357</v>
      </c>
      <c r="D8212" t="s">
        <v>18164</v>
      </c>
      <c r="E8212" t="s">
        <v>25416</v>
      </c>
      <c r="F8212" t="s">
        <v>31362</v>
      </c>
      <c r="G8212" t="s">
        <v>31369</v>
      </c>
      <c r="H8212" t="s">
        <v>15799</v>
      </c>
      <c r="I8212" t="s">
        <v>31409</v>
      </c>
      <c r="J8212" t="s">
        <v>31637</v>
      </c>
      <c r="K8212" t="s">
        <v>40679</v>
      </c>
      <c r="M8212" t="s">
        <v>43579</v>
      </c>
      <c r="N8212" t="s">
        <v>44905</v>
      </c>
      <c r="O8212" t="s">
        <v>44906</v>
      </c>
      <c r="P8212">
        <v>0</v>
      </c>
      <c r="Q8212">
        <v>4</v>
      </c>
      <c r="R8212" t="s">
        <v>44910</v>
      </c>
      <c r="S8212" t="s">
        <v>45076</v>
      </c>
      <c r="T8212" t="s">
        <v>46671</v>
      </c>
      <c r="U8212" t="s">
        <v>53537</v>
      </c>
      <c r="V8212" t="s">
        <v>59860</v>
      </c>
      <c r="W8212" t="s">
        <v>43579</v>
      </c>
      <c r="X8212" t="s">
        <v>44911</v>
      </c>
    </row>
    <row r="8213" spans="1:24">
      <c r="A8213">
        <f>HYPERLINK("https://www.philgeps.gov.ph/GEPSNONPILOT/Tender/SplashBidNoticeAbstractUI.aspx?menuIndex=3&amp;refID=7075599&amp;Result=3","7075599")</f>
        <v>0</v>
      </c>
      <c r="B8213" t="s">
        <v>2423</v>
      </c>
      <c r="C8213" t="s">
        <v>11358</v>
      </c>
      <c r="D8213" t="s">
        <v>18153</v>
      </c>
      <c r="E8213" t="s">
        <v>25417</v>
      </c>
      <c r="F8213" t="s">
        <v>31362</v>
      </c>
      <c r="G8213" t="s">
        <v>31368</v>
      </c>
      <c r="H8213" t="s">
        <v>15799</v>
      </c>
      <c r="I8213" t="s">
        <v>3582</v>
      </c>
      <c r="J8213" t="s">
        <v>36535</v>
      </c>
      <c r="K8213" t="s">
        <v>40666</v>
      </c>
      <c r="M8213" t="s">
        <v>43580</v>
      </c>
      <c r="N8213" t="s">
        <v>44905</v>
      </c>
      <c r="O8213" t="s">
        <v>44906</v>
      </c>
      <c r="P8213">
        <v>0</v>
      </c>
      <c r="Q8213">
        <v>0</v>
      </c>
      <c r="R8213" t="s">
        <v>44910</v>
      </c>
      <c r="S8213" t="s">
        <v>45076</v>
      </c>
      <c r="T8213" t="s">
        <v>46399</v>
      </c>
      <c r="U8213" t="s">
        <v>53538</v>
      </c>
      <c r="W8213" t="s">
        <v>43580</v>
      </c>
      <c r="X8213" t="s">
        <v>44911</v>
      </c>
    </row>
    <row r="8214" spans="1:24">
      <c r="A8214">
        <f>HYPERLINK("https://www.philgeps.gov.ph/GEPSNONPILOT/Tender/SplashBidNoticeAbstractUI.aspx?menuIndex=3&amp;refID=7075653&amp;Result=3","7075653")</f>
        <v>0</v>
      </c>
      <c r="B8214" t="s">
        <v>2424</v>
      </c>
      <c r="C8214" t="s">
        <v>6247</v>
      </c>
      <c r="D8214" t="s">
        <v>18131</v>
      </c>
      <c r="E8214" t="s">
        <v>25418</v>
      </c>
      <c r="F8214" t="s">
        <v>31362</v>
      </c>
      <c r="G8214" t="s">
        <v>31372</v>
      </c>
      <c r="H8214" t="s">
        <v>31378</v>
      </c>
      <c r="I8214" t="s">
        <v>31386</v>
      </c>
      <c r="J8214" t="s">
        <v>36536</v>
      </c>
      <c r="K8214" t="s">
        <v>40662</v>
      </c>
      <c r="M8214" t="s">
        <v>43581</v>
      </c>
      <c r="N8214" t="s">
        <v>44905</v>
      </c>
      <c r="O8214" t="s">
        <v>44906</v>
      </c>
      <c r="P8214">
        <v>0</v>
      </c>
      <c r="Q8214">
        <v>1</v>
      </c>
      <c r="R8214" t="s">
        <v>44910</v>
      </c>
      <c r="S8214" t="s">
        <v>45076</v>
      </c>
      <c r="T8214" t="s">
        <v>46438</v>
      </c>
      <c r="U8214" t="s">
        <v>53539</v>
      </c>
      <c r="W8214" t="s">
        <v>43581</v>
      </c>
      <c r="X8214" t="s">
        <v>44911</v>
      </c>
    </row>
    <row r="8215" spans="1:24">
      <c r="A8215">
        <f>HYPERLINK("https://www.philgeps.gov.ph/GEPSNONPILOT/Tender/SplashBidNoticeAbstractUI.aspx?menuIndex=3&amp;refID=7075651&amp;Result=3","7075651")</f>
        <v>0</v>
      </c>
      <c r="B8215" t="s">
        <v>984</v>
      </c>
      <c r="C8215" t="s">
        <v>11359</v>
      </c>
      <c r="D8215" t="s">
        <v>18119</v>
      </c>
      <c r="E8215" t="s">
        <v>25419</v>
      </c>
      <c r="F8215" t="s">
        <v>31362</v>
      </c>
      <c r="G8215" t="s">
        <v>31369</v>
      </c>
      <c r="H8215" t="s">
        <v>31378</v>
      </c>
      <c r="I8215" t="s">
        <v>31386</v>
      </c>
      <c r="J8215" t="s">
        <v>36537</v>
      </c>
      <c r="K8215" t="s">
        <v>40686</v>
      </c>
      <c r="M8215" t="s">
        <v>41976</v>
      </c>
      <c r="N8215" t="s">
        <v>44905</v>
      </c>
      <c r="O8215" t="s">
        <v>44906</v>
      </c>
      <c r="P8215">
        <v>0</v>
      </c>
      <c r="Q8215">
        <v>2</v>
      </c>
      <c r="R8215" t="s">
        <v>44910</v>
      </c>
      <c r="S8215" t="s">
        <v>45076</v>
      </c>
      <c r="T8215" t="s">
        <v>46671</v>
      </c>
      <c r="U8215" t="s">
        <v>53540</v>
      </c>
      <c r="W8215" t="s">
        <v>41976</v>
      </c>
      <c r="X8215" t="s">
        <v>44911</v>
      </c>
    </row>
    <row r="8216" spans="1:24">
      <c r="A8216">
        <f>HYPERLINK("https://www.philgeps.gov.ph/GEPSNONPILOT/Tender/SplashBidNoticeAbstractUI.aspx?menuIndex=3&amp;refID=7075648&amp;Result=3","7075648")</f>
        <v>0</v>
      </c>
      <c r="B8216" t="s">
        <v>321</v>
      </c>
      <c r="C8216" t="s">
        <v>11360</v>
      </c>
      <c r="D8216" t="s">
        <v>18114</v>
      </c>
      <c r="E8216" t="s">
        <v>25420</v>
      </c>
      <c r="F8216" t="s">
        <v>31362</v>
      </c>
      <c r="G8216" t="s">
        <v>31369</v>
      </c>
      <c r="H8216" t="s">
        <v>31379</v>
      </c>
      <c r="I8216" t="s">
        <v>31421</v>
      </c>
      <c r="J8216" t="s">
        <v>36538</v>
      </c>
      <c r="K8216" t="s">
        <v>40686</v>
      </c>
      <c r="M8216" t="s">
        <v>41267</v>
      </c>
      <c r="N8216" t="s">
        <v>44905</v>
      </c>
      <c r="O8216" t="s">
        <v>44906</v>
      </c>
      <c r="P8216">
        <v>0</v>
      </c>
      <c r="Q8216">
        <v>3</v>
      </c>
      <c r="R8216" t="s">
        <v>44910</v>
      </c>
      <c r="S8216" t="s">
        <v>45076</v>
      </c>
      <c r="T8216" t="s">
        <v>46511</v>
      </c>
      <c r="U8216" t="s">
        <v>47466</v>
      </c>
      <c r="V8216" t="s">
        <v>59148</v>
      </c>
      <c r="W8216" t="s">
        <v>41267</v>
      </c>
      <c r="X8216" t="s">
        <v>44911</v>
      </c>
    </row>
    <row r="8217" spans="1:24">
      <c r="A8217">
        <f>HYPERLINK("https://www.philgeps.gov.ph/GEPSNONPILOT/Tender/SplashBidNoticeAbstractUI.aspx?menuIndex=3&amp;refID=7075620&amp;Result=3","7075620")</f>
        <v>0</v>
      </c>
      <c r="B8217" t="s">
        <v>130</v>
      </c>
      <c r="C8217" t="s">
        <v>11361</v>
      </c>
      <c r="D8217" t="s">
        <v>18109</v>
      </c>
      <c r="E8217" t="s">
        <v>11361</v>
      </c>
      <c r="F8217" t="s">
        <v>31362</v>
      </c>
      <c r="G8217" t="s">
        <v>31369</v>
      </c>
      <c r="H8217" t="s">
        <v>31378</v>
      </c>
      <c r="I8217" t="s">
        <v>31449</v>
      </c>
      <c r="J8217" t="s">
        <v>36539</v>
      </c>
      <c r="K8217" t="s">
        <v>40662</v>
      </c>
      <c r="M8217" t="s">
        <v>41472</v>
      </c>
      <c r="N8217" t="s">
        <v>44905</v>
      </c>
      <c r="O8217" t="s">
        <v>44906</v>
      </c>
      <c r="P8217">
        <v>0</v>
      </c>
      <c r="Q8217">
        <v>0</v>
      </c>
      <c r="R8217" t="s">
        <v>44910</v>
      </c>
      <c r="S8217" t="s">
        <v>45076</v>
      </c>
      <c r="T8217" t="s">
        <v>46697</v>
      </c>
      <c r="U8217" t="s">
        <v>53541</v>
      </c>
      <c r="W8217" t="s">
        <v>41472</v>
      </c>
      <c r="X8217" t="s">
        <v>44911</v>
      </c>
    </row>
    <row r="8218" spans="1:24">
      <c r="A8218">
        <f>HYPERLINK("https://www.philgeps.gov.ph/GEPSNONPILOT/Tender/SplashBidNoticeAbstractUI.aspx?menuIndex=3&amp;refID=7075647&amp;Result=3","7075647")</f>
        <v>0</v>
      </c>
      <c r="B8218" t="s">
        <v>2425</v>
      </c>
      <c r="C8218" t="s">
        <v>11362</v>
      </c>
      <c r="D8218" t="s">
        <v>18143</v>
      </c>
      <c r="E8218" t="s">
        <v>22675</v>
      </c>
      <c r="F8218" t="s">
        <v>31362</v>
      </c>
      <c r="G8218" t="s">
        <v>31368</v>
      </c>
      <c r="H8218" t="s">
        <v>15799</v>
      </c>
      <c r="I8218" t="s">
        <v>7188</v>
      </c>
      <c r="J8218" t="s">
        <v>31545</v>
      </c>
      <c r="K8218" t="s">
        <v>40671</v>
      </c>
      <c r="L8218" t="s">
        <v>2425</v>
      </c>
      <c r="M8218" t="s">
        <v>43582</v>
      </c>
      <c r="N8218" t="s">
        <v>44905</v>
      </c>
      <c r="O8218" t="s">
        <v>44906</v>
      </c>
      <c r="P8218">
        <v>0</v>
      </c>
      <c r="Q8218">
        <v>1</v>
      </c>
      <c r="R8218" t="s">
        <v>44910</v>
      </c>
      <c r="S8218" t="s">
        <v>45076</v>
      </c>
      <c r="T8218" t="s">
        <v>46498</v>
      </c>
      <c r="U8218" t="s">
        <v>53542</v>
      </c>
      <c r="W8218" t="s">
        <v>43582</v>
      </c>
      <c r="X8218" t="s">
        <v>44911</v>
      </c>
    </row>
    <row r="8219" spans="1:24">
      <c r="A8219">
        <f>HYPERLINK("https://www.philgeps.gov.ph/GEPSNONPILOT/Tender/SplashBidNoticeAbstractUI.aspx?menuIndex=3&amp;refID=7075646&amp;Result=3","7075646")</f>
        <v>0</v>
      </c>
      <c r="B8219" t="s">
        <v>1985</v>
      </c>
      <c r="C8219" t="s">
        <v>11363</v>
      </c>
      <c r="D8219" t="s">
        <v>18168</v>
      </c>
      <c r="E8219" t="s">
        <v>25421</v>
      </c>
      <c r="F8219" t="s">
        <v>31362</v>
      </c>
      <c r="G8219" t="s">
        <v>31368</v>
      </c>
      <c r="H8219" t="s">
        <v>15799</v>
      </c>
      <c r="I8219" t="s">
        <v>31386</v>
      </c>
      <c r="J8219" t="s">
        <v>36540</v>
      </c>
      <c r="K8219" t="s">
        <v>40665</v>
      </c>
      <c r="M8219" t="s">
        <v>43094</v>
      </c>
      <c r="N8219" t="s">
        <v>44905</v>
      </c>
      <c r="O8219" t="s">
        <v>44906</v>
      </c>
      <c r="P8219">
        <v>0</v>
      </c>
      <c r="Q8219">
        <v>0</v>
      </c>
      <c r="R8219" t="s">
        <v>44910</v>
      </c>
      <c r="S8219" t="s">
        <v>45076</v>
      </c>
      <c r="T8219" t="s">
        <v>46415</v>
      </c>
      <c r="U8219" t="s">
        <v>53543</v>
      </c>
      <c r="W8219" t="s">
        <v>43094</v>
      </c>
      <c r="X8219" t="s">
        <v>44911</v>
      </c>
    </row>
    <row r="8220" spans="1:24">
      <c r="A8220">
        <f>HYPERLINK("https://www.philgeps.gov.ph/GEPSNONPILOT/Tender/SplashBidNoticeAbstractUI.aspx?menuIndex=3&amp;refID=7075645&amp;Result=3","7075645")</f>
        <v>0</v>
      </c>
      <c r="B8220" t="s">
        <v>1464</v>
      </c>
      <c r="C8220" t="s">
        <v>11364</v>
      </c>
      <c r="D8220" t="s">
        <v>18116</v>
      </c>
      <c r="E8220" t="s">
        <v>25422</v>
      </c>
      <c r="F8220" t="s">
        <v>31362</v>
      </c>
      <c r="G8220" t="s">
        <v>31370</v>
      </c>
      <c r="H8220" t="s">
        <v>31379</v>
      </c>
      <c r="I8220" t="s">
        <v>31427</v>
      </c>
      <c r="J8220" t="s">
        <v>31564</v>
      </c>
      <c r="K8220" t="s">
        <v>40661</v>
      </c>
      <c r="M8220" t="s">
        <v>42495</v>
      </c>
      <c r="N8220" t="s">
        <v>44905</v>
      </c>
      <c r="O8220" t="s">
        <v>44906</v>
      </c>
      <c r="P8220">
        <v>0</v>
      </c>
      <c r="Q8220">
        <v>2</v>
      </c>
      <c r="R8220" t="s">
        <v>44910</v>
      </c>
      <c r="S8220" t="s">
        <v>45076</v>
      </c>
      <c r="T8220" t="s">
        <v>46434</v>
      </c>
      <c r="U8220" t="s">
        <v>53544</v>
      </c>
      <c r="W8220" t="s">
        <v>42495</v>
      </c>
      <c r="X8220" t="s">
        <v>44911</v>
      </c>
    </row>
    <row r="8221" spans="1:24">
      <c r="A8221">
        <f>HYPERLINK("https://www.philgeps.gov.ph/GEPSNONPILOT/Tender/SplashBidNoticeAbstractUI.aspx?menuIndex=3&amp;refID=7075636&amp;Result=3","7075636")</f>
        <v>0</v>
      </c>
      <c r="B8221" t="s">
        <v>2426</v>
      </c>
      <c r="C8221" t="s">
        <v>11365</v>
      </c>
      <c r="D8221" t="s">
        <v>18131</v>
      </c>
      <c r="E8221" t="s">
        <v>25423</v>
      </c>
      <c r="F8221" t="s">
        <v>31362</v>
      </c>
      <c r="G8221" t="s">
        <v>31372</v>
      </c>
      <c r="H8221" t="s">
        <v>31378</v>
      </c>
      <c r="I8221" t="s">
        <v>31386</v>
      </c>
      <c r="J8221" t="s">
        <v>31531</v>
      </c>
      <c r="K8221" t="s">
        <v>40662</v>
      </c>
      <c r="M8221" t="s">
        <v>43583</v>
      </c>
      <c r="N8221" t="s">
        <v>44905</v>
      </c>
      <c r="O8221" t="s">
        <v>44906</v>
      </c>
      <c r="P8221">
        <v>0</v>
      </c>
      <c r="Q8221">
        <v>1</v>
      </c>
      <c r="R8221" t="s">
        <v>44910</v>
      </c>
      <c r="S8221" t="s">
        <v>45076</v>
      </c>
      <c r="T8221" t="s">
        <v>46438</v>
      </c>
      <c r="U8221" t="s">
        <v>53545</v>
      </c>
      <c r="W8221" t="s">
        <v>43583</v>
      </c>
      <c r="X8221" t="s">
        <v>44911</v>
      </c>
    </row>
    <row r="8222" spans="1:24">
      <c r="A8222">
        <f>HYPERLINK("https://www.philgeps.gov.ph/GEPSNONPILOT/Tender/SplashBidNoticeAbstractUI.aspx?menuIndex=3&amp;refID=7075608&amp;Result=3","7075608")</f>
        <v>0</v>
      </c>
      <c r="B8222" t="s">
        <v>2042</v>
      </c>
      <c r="C8222" t="s">
        <v>11366</v>
      </c>
      <c r="D8222" t="s">
        <v>18101</v>
      </c>
      <c r="E8222" t="s">
        <v>25424</v>
      </c>
      <c r="F8222" t="s">
        <v>31362</v>
      </c>
      <c r="G8222" t="s">
        <v>31369</v>
      </c>
      <c r="H8222" t="s">
        <v>15799</v>
      </c>
      <c r="I8222" t="s">
        <v>31390</v>
      </c>
      <c r="J8222" t="s">
        <v>31625</v>
      </c>
      <c r="K8222" t="s">
        <v>40665</v>
      </c>
      <c r="M8222" t="s">
        <v>43161</v>
      </c>
      <c r="N8222" t="s">
        <v>44905</v>
      </c>
      <c r="O8222" t="s">
        <v>44906</v>
      </c>
      <c r="P8222">
        <v>0</v>
      </c>
      <c r="Q8222">
        <v>2</v>
      </c>
      <c r="R8222" t="s">
        <v>44910</v>
      </c>
      <c r="S8222" t="s">
        <v>45076</v>
      </c>
      <c r="T8222" t="s">
        <v>46626</v>
      </c>
      <c r="U8222" t="s">
        <v>53546</v>
      </c>
      <c r="W8222" t="s">
        <v>43161</v>
      </c>
      <c r="X8222" t="s">
        <v>44911</v>
      </c>
    </row>
    <row r="8223" spans="1:24">
      <c r="A8223">
        <f>HYPERLINK("https://www.philgeps.gov.ph/GEPSNONPILOT/Tender/SplashBidNoticeAbstractUI.aspx?menuIndex=3&amp;refID=7075650&amp;Result=3","7075650")</f>
        <v>0</v>
      </c>
      <c r="B8223" t="s">
        <v>660</v>
      </c>
      <c r="C8223" t="s">
        <v>11367</v>
      </c>
      <c r="D8223" t="s">
        <v>18116</v>
      </c>
      <c r="E8223" t="s">
        <v>25425</v>
      </c>
      <c r="F8223" t="s">
        <v>31362</v>
      </c>
      <c r="G8223" t="s">
        <v>31369</v>
      </c>
      <c r="H8223" t="s">
        <v>31378</v>
      </c>
      <c r="I8223" t="s">
        <v>31386</v>
      </c>
      <c r="J8223" t="s">
        <v>35702</v>
      </c>
      <c r="K8223" t="s">
        <v>40840</v>
      </c>
      <c r="M8223" t="s">
        <v>41622</v>
      </c>
      <c r="N8223" t="s">
        <v>44905</v>
      </c>
      <c r="O8223" t="s">
        <v>44906</v>
      </c>
      <c r="P8223">
        <v>0</v>
      </c>
      <c r="Q8223">
        <v>10</v>
      </c>
      <c r="R8223" t="s">
        <v>44910</v>
      </c>
      <c r="S8223" t="s">
        <v>45076</v>
      </c>
      <c r="T8223" t="s">
        <v>46464</v>
      </c>
      <c r="U8223" t="s">
        <v>53547</v>
      </c>
      <c r="W8223" t="s">
        <v>41622</v>
      </c>
      <c r="X8223" t="s">
        <v>44911</v>
      </c>
    </row>
    <row r="8224" spans="1:24">
      <c r="A8224">
        <f>HYPERLINK("https://www.philgeps.gov.ph/GEPSNONPILOT/Tender/SplashBidNoticeAbstractUI.aspx?menuIndex=3&amp;refID=7075657&amp;Result=3","7075657")</f>
        <v>0</v>
      </c>
      <c r="B8224" t="s">
        <v>979</v>
      </c>
      <c r="C8224" t="s">
        <v>11368</v>
      </c>
      <c r="D8224" t="s">
        <v>18123</v>
      </c>
      <c r="E8224" t="s">
        <v>25426</v>
      </c>
      <c r="F8224" t="s">
        <v>31362</v>
      </c>
      <c r="G8224" t="s">
        <v>31368</v>
      </c>
      <c r="H8224" t="s">
        <v>15799</v>
      </c>
      <c r="I8224" t="s">
        <v>4942</v>
      </c>
      <c r="J8224" t="s">
        <v>32165</v>
      </c>
      <c r="K8224" t="s">
        <v>40672</v>
      </c>
      <c r="M8224" t="s">
        <v>41971</v>
      </c>
      <c r="N8224" t="s">
        <v>44905</v>
      </c>
      <c r="O8224" t="s">
        <v>44906</v>
      </c>
      <c r="P8224">
        <v>0</v>
      </c>
      <c r="Q8224">
        <v>0</v>
      </c>
      <c r="R8224" t="s">
        <v>44910</v>
      </c>
      <c r="S8224" t="s">
        <v>45076</v>
      </c>
      <c r="T8224" t="s">
        <v>46432</v>
      </c>
      <c r="U8224" t="s">
        <v>49011</v>
      </c>
      <c r="W8224" t="s">
        <v>41971</v>
      </c>
      <c r="X8224" t="s">
        <v>44911</v>
      </c>
    </row>
    <row r="8225" spans="1:24">
      <c r="A8225">
        <f>HYPERLINK("https://www.philgeps.gov.ph/GEPSNONPILOT/Tender/SplashBidNoticeAbstractUI.aspx?menuIndex=3&amp;refID=7075709&amp;Result=3","7075709")</f>
        <v>0</v>
      </c>
      <c r="B8225" t="s">
        <v>1625</v>
      </c>
      <c r="C8225" t="s">
        <v>11369</v>
      </c>
      <c r="D8225" t="s">
        <v>18108</v>
      </c>
      <c r="E8225" t="s">
        <v>25427</v>
      </c>
      <c r="F8225" t="s">
        <v>31362</v>
      </c>
      <c r="G8225" t="s">
        <v>31368</v>
      </c>
      <c r="H8225" t="s">
        <v>15799</v>
      </c>
      <c r="I8225" t="s">
        <v>31393</v>
      </c>
      <c r="J8225" t="s">
        <v>36541</v>
      </c>
      <c r="K8225" t="s">
        <v>40662</v>
      </c>
      <c r="M8225" t="s">
        <v>42684</v>
      </c>
      <c r="N8225" t="s">
        <v>44905</v>
      </c>
      <c r="O8225" t="s">
        <v>44906</v>
      </c>
      <c r="P8225">
        <v>0</v>
      </c>
      <c r="Q8225">
        <v>3</v>
      </c>
      <c r="R8225" t="s">
        <v>44910</v>
      </c>
      <c r="S8225" t="s">
        <v>45076</v>
      </c>
      <c r="T8225" t="s">
        <v>46412</v>
      </c>
      <c r="U8225" t="s">
        <v>53548</v>
      </c>
      <c r="V8225" t="s">
        <v>59861</v>
      </c>
      <c r="W8225" t="s">
        <v>42684</v>
      </c>
      <c r="X8225" t="s">
        <v>44911</v>
      </c>
    </row>
    <row r="8226" spans="1:24">
      <c r="A8226">
        <f>HYPERLINK("https://www.philgeps.gov.ph/GEPSNONPILOT/Tender/SplashBidNoticeAbstractUI.aspx?menuIndex=3&amp;refID=7075707&amp;Result=3","7075707")</f>
        <v>0</v>
      </c>
      <c r="B8226" t="s">
        <v>644</v>
      </c>
      <c r="C8226" t="s">
        <v>11370</v>
      </c>
      <c r="D8226" t="s">
        <v>18164</v>
      </c>
      <c r="E8226" t="s">
        <v>25428</v>
      </c>
      <c r="F8226" t="s">
        <v>31362</v>
      </c>
      <c r="G8226" t="s">
        <v>31369</v>
      </c>
      <c r="H8226" t="s">
        <v>31378</v>
      </c>
      <c r="I8226" t="s">
        <v>31386</v>
      </c>
      <c r="J8226" t="s">
        <v>36542</v>
      </c>
      <c r="K8226" t="s">
        <v>40718</v>
      </c>
      <c r="M8226" t="s">
        <v>41605</v>
      </c>
      <c r="N8226" t="s">
        <v>44905</v>
      </c>
      <c r="O8226" t="s">
        <v>44906</v>
      </c>
      <c r="P8226">
        <v>0</v>
      </c>
      <c r="Q8226">
        <v>0</v>
      </c>
      <c r="R8226" t="s">
        <v>44910</v>
      </c>
      <c r="S8226" t="s">
        <v>45076</v>
      </c>
      <c r="T8226" t="s">
        <v>46419</v>
      </c>
      <c r="U8226" t="s">
        <v>53549</v>
      </c>
      <c r="W8226" t="s">
        <v>41605</v>
      </c>
      <c r="X8226" t="s">
        <v>44911</v>
      </c>
    </row>
    <row r="8227" spans="1:24">
      <c r="A8227">
        <f>HYPERLINK("https://www.philgeps.gov.ph/GEPSNONPILOT/Tender/SplashBidNoticeAbstractUI.aspx?menuIndex=3&amp;refID=7075702&amp;Result=3","7075702")</f>
        <v>0</v>
      </c>
      <c r="B8227" t="s">
        <v>301</v>
      </c>
      <c r="C8227" t="s">
        <v>11371</v>
      </c>
      <c r="D8227" t="s">
        <v>18164</v>
      </c>
      <c r="E8227" t="s">
        <v>25429</v>
      </c>
      <c r="F8227" t="s">
        <v>31362</v>
      </c>
      <c r="G8227" t="s">
        <v>31369</v>
      </c>
      <c r="H8227" t="s">
        <v>31378</v>
      </c>
      <c r="I8227" t="s">
        <v>31386</v>
      </c>
      <c r="J8227" t="s">
        <v>36543</v>
      </c>
      <c r="K8227" t="s">
        <v>40841</v>
      </c>
      <c r="M8227" t="s">
        <v>41244</v>
      </c>
      <c r="N8227" t="s">
        <v>44905</v>
      </c>
      <c r="O8227" t="s">
        <v>44906</v>
      </c>
      <c r="P8227">
        <v>0</v>
      </c>
      <c r="Q8227">
        <v>0</v>
      </c>
      <c r="R8227" t="s">
        <v>44910</v>
      </c>
      <c r="S8227" t="s">
        <v>45076</v>
      </c>
      <c r="T8227" t="s">
        <v>46447</v>
      </c>
      <c r="U8227" t="s">
        <v>53550</v>
      </c>
      <c r="V8227" t="s">
        <v>56092</v>
      </c>
      <c r="W8227" t="s">
        <v>41244</v>
      </c>
      <c r="X8227" t="s">
        <v>44911</v>
      </c>
    </row>
    <row r="8228" spans="1:24">
      <c r="A8228">
        <f>HYPERLINK("https://www.philgeps.gov.ph/GEPSNONPILOT/Tender/SplashBidNoticeAbstractUI.aspx?menuIndex=3&amp;refID=7075701&amp;Result=3","7075701")</f>
        <v>0</v>
      </c>
      <c r="B8228" t="s">
        <v>1985</v>
      </c>
      <c r="C8228" t="s">
        <v>11372</v>
      </c>
      <c r="D8228" t="s">
        <v>18168</v>
      </c>
      <c r="E8228" t="s">
        <v>25430</v>
      </c>
      <c r="F8228" t="s">
        <v>31362</v>
      </c>
      <c r="G8228" t="s">
        <v>31368</v>
      </c>
      <c r="H8228" t="s">
        <v>15799</v>
      </c>
      <c r="I8228" t="s">
        <v>31393</v>
      </c>
      <c r="J8228" t="s">
        <v>35149</v>
      </c>
      <c r="K8228" t="s">
        <v>40665</v>
      </c>
      <c r="M8228" t="s">
        <v>43094</v>
      </c>
      <c r="N8228" t="s">
        <v>44905</v>
      </c>
      <c r="O8228" t="s">
        <v>44906</v>
      </c>
      <c r="P8228">
        <v>0</v>
      </c>
      <c r="Q8228">
        <v>4</v>
      </c>
      <c r="R8228" t="s">
        <v>44910</v>
      </c>
      <c r="S8228" t="s">
        <v>45076</v>
      </c>
      <c r="T8228" t="s">
        <v>46410</v>
      </c>
      <c r="U8228" t="s">
        <v>53551</v>
      </c>
      <c r="W8228" t="s">
        <v>43094</v>
      </c>
      <c r="X8228" t="s">
        <v>44911</v>
      </c>
    </row>
    <row r="8229" spans="1:24">
      <c r="A8229">
        <f>HYPERLINK("https://www.philgeps.gov.ph/GEPSNONPILOT/Tender/SplashBidNoticeAbstractUI.aspx?menuIndex=3&amp;refID=7075700&amp;Result=3","7075700")</f>
        <v>0</v>
      </c>
      <c r="B8229" t="s">
        <v>2427</v>
      </c>
      <c r="C8229" t="s">
        <v>11373</v>
      </c>
      <c r="D8229" t="s">
        <v>18100</v>
      </c>
      <c r="E8229" t="s">
        <v>25431</v>
      </c>
      <c r="F8229" t="s">
        <v>31362</v>
      </c>
      <c r="G8229" t="s">
        <v>31369</v>
      </c>
      <c r="H8229" t="s">
        <v>15799</v>
      </c>
      <c r="I8229" t="s">
        <v>7090</v>
      </c>
      <c r="J8229" t="s">
        <v>31536</v>
      </c>
      <c r="K8229" t="s">
        <v>40736</v>
      </c>
      <c r="M8229" t="s">
        <v>43584</v>
      </c>
      <c r="N8229" t="s">
        <v>44905</v>
      </c>
      <c r="O8229" t="s">
        <v>44906</v>
      </c>
      <c r="P8229">
        <v>0</v>
      </c>
      <c r="Q8229">
        <v>1</v>
      </c>
      <c r="R8229" t="s">
        <v>44910</v>
      </c>
      <c r="S8229" t="s">
        <v>45076</v>
      </c>
      <c r="T8229" t="s">
        <v>46464</v>
      </c>
      <c r="U8229" t="s">
        <v>53552</v>
      </c>
      <c r="W8229" t="s">
        <v>43584</v>
      </c>
      <c r="X8229" t="s">
        <v>44911</v>
      </c>
    </row>
    <row r="8230" spans="1:24">
      <c r="A8230">
        <f>HYPERLINK("https://www.philgeps.gov.ph/GEPSNONPILOT/Tender/SplashBidNoticeAbstractUI.aspx?menuIndex=3&amp;refID=7075712&amp;Result=3","7075712")</f>
        <v>0</v>
      </c>
      <c r="B8230" t="s">
        <v>523</v>
      </c>
      <c r="C8230" t="s">
        <v>11374</v>
      </c>
      <c r="D8230" t="s">
        <v>18108</v>
      </c>
      <c r="E8230" t="s">
        <v>25432</v>
      </c>
      <c r="F8230" t="s">
        <v>31362</v>
      </c>
      <c r="G8230" t="s">
        <v>31369</v>
      </c>
      <c r="H8230" t="s">
        <v>15799</v>
      </c>
      <c r="I8230" t="s">
        <v>31382</v>
      </c>
      <c r="J8230" t="s">
        <v>36544</v>
      </c>
      <c r="K8230" t="s">
        <v>40662</v>
      </c>
      <c r="M8230" t="s">
        <v>41535</v>
      </c>
      <c r="N8230" t="s">
        <v>44905</v>
      </c>
      <c r="O8230" t="s">
        <v>44906</v>
      </c>
      <c r="P8230">
        <v>0</v>
      </c>
      <c r="Q8230">
        <v>21</v>
      </c>
      <c r="R8230" t="s">
        <v>44910</v>
      </c>
      <c r="S8230" t="s">
        <v>45076</v>
      </c>
      <c r="T8230" t="s">
        <v>46690</v>
      </c>
      <c r="U8230" t="s">
        <v>53553</v>
      </c>
      <c r="W8230" t="s">
        <v>41535</v>
      </c>
      <c r="X8230" t="s">
        <v>44911</v>
      </c>
    </row>
    <row r="8231" spans="1:24">
      <c r="A8231">
        <f>HYPERLINK("https://www.philgeps.gov.ph/GEPSNONPILOT/Tender/SplashBidNoticeAbstractUI.aspx?menuIndex=3&amp;refID=7075693&amp;Result=3","7075693")</f>
        <v>0</v>
      </c>
      <c r="B8231" t="s">
        <v>644</v>
      </c>
      <c r="C8231" t="s">
        <v>11375</v>
      </c>
      <c r="D8231" t="s">
        <v>18164</v>
      </c>
      <c r="E8231" t="s">
        <v>25433</v>
      </c>
      <c r="F8231" t="s">
        <v>31362</v>
      </c>
      <c r="G8231" t="s">
        <v>31369</v>
      </c>
      <c r="H8231" t="s">
        <v>31378</v>
      </c>
      <c r="I8231" t="s">
        <v>31386</v>
      </c>
      <c r="J8231" t="s">
        <v>36545</v>
      </c>
      <c r="K8231" t="s">
        <v>40752</v>
      </c>
      <c r="M8231" t="s">
        <v>41605</v>
      </c>
      <c r="N8231" t="s">
        <v>44905</v>
      </c>
      <c r="O8231" t="s">
        <v>44906</v>
      </c>
      <c r="P8231">
        <v>0</v>
      </c>
      <c r="Q8231">
        <v>0</v>
      </c>
      <c r="R8231" t="s">
        <v>44910</v>
      </c>
      <c r="S8231" t="s">
        <v>45076</v>
      </c>
      <c r="T8231" t="s">
        <v>46419</v>
      </c>
      <c r="U8231" t="s">
        <v>53554</v>
      </c>
      <c r="W8231" t="s">
        <v>41605</v>
      </c>
      <c r="X8231" t="s">
        <v>44911</v>
      </c>
    </row>
    <row r="8232" spans="1:24">
      <c r="A8232">
        <f>HYPERLINK("https://www.philgeps.gov.ph/GEPSNONPILOT/Tender/SplashBidNoticeAbstractUI.aspx?menuIndex=3&amp;refID=7075689&amp;Result=3","7075689")</f>
        <v>0</v>
      </c>
      <c r="B8232" t="s">
        <v>370</v>
      </c>
      <c r="C8232" t="s">
        <v>11376</v>
      </c>
      <c r="E8232" t="s">
        <v>25434</v>
      </c>
      <c r="F8232" t="s">
        <v>31362</v>
      </c>
      <c r="G8232" t="s">
        <v>31369</v>
      </c>
      <c r="H8232" t="s">
        <v>15799</v>
      </c>
      <c r="I8232" t="s">
        <v>31382</v>
      </c>
      <c r="J8232" t="s">
        <v>35450</v>
      </c>
      <c r="K8232" t="s">
        <v>40662</v>
      </c>
      <c r="M8232" t="s">
        <v>43585</v>
      </c>
      <c r="N8232" t="s">
        <v>44905</v>
      </c>
      <c r="O8232" t="s">
        <v>44906</v>
      </c>
      <c r="Q8232">
        <v>12</v>
      </c>
      <c r="R8232" t="s">
        <v>44910</v>
      </c>
      <c r="S8232" t="s">
        <v>45118</v>
      </c>
      <c r="T8232" t="s">
        <v>46401</v>
      </c>
      <c r="U8232" t="s">
        <v>53555</v>
      </c>
      <c r="V8232" t="s">
        <v>59862</v>
      </c>
      <c r="W8232" t="s">
        <v>43585</v>
      </c>
      <c r="X8232" t="s">
        <v>44911</v>
      </c>
    </row>
    <row r="8233" spans="1:24">
      <c r="A8233">
        <f>HYPERLINK("https://www.philgeps.gov.ph/GEPSNONPILOT/Tender/SplashBidNoticeAbstractUI.aspx?menuIndex=3&amp;refID=7075688&amp;Result=3","7075688")</f>
        <v>0</v>
      </c>
      <c r="B8233" t="s">
        <v>2428</v>
      </c>
      <c r="C8233" t="s">
        <v>11377</v>
      </c>
      <c r="D8233" t="s">
        <v>18131</v>
      </c>
      <c r="E8233" t="s">
        <v>25435</v>
      </c>
      <c r="F8233" t="s">
        <v>31362</v>
      </c>
      <c r="G8233" t="s">
        <v>31369</v>
      </c>
      <c r="H8233" t="s">
        <v>31378</v>
      </c>
      <c r="I8233" t="s">
        <v>31386</v>
      </c>
      <c r="J8233" t="s">
        <v>36546</v>
      </c>
      <c r="K8233" t="s">
        <v>40662</v>
      </c>
      <c r="M8233" t="s">
        <v>43586</v>
      </c>
      <c r="N8233" t="s">
        <v>44905</v>
      </c>
      <c r="O8233" t="s">
        <v>44906</v>
      </c>
      <c r="P8233">
        <v>0</v>
      </c>
      <c r="Q8233">
        <v>1</v>
      </c>
      <c r="R8233" t="s">
        <v>44910</v>
      </c>
      <c r="S8233" t="s">
        <v>45076</v>
      </c>
      <c r="T8233" t="s">
        <v>46438</v>
      </c>
      <c r="U8233" t="s">
        <v>53556</v>
      </c>
      <c r="V8233" t="s">
        <v>59380</v>
      </c>
      <c r="W8233" t="s">
        <v>43586</v>
      </c>
      <c r="X8233" t="s">
        <v>44911</v>
      </c>
    </row>
    <row r="8234" spans="1:24">
      <c r="A8234">
        <f>HYPERLINK("https://www.philgeps.gov.ph/GEPSNONPILOT/Tender/SplashBidNoticeAbstractUI.aspx?menuIndex=3&amp;refID=7075658&amp;Result=3","7075658")</f>
        <v>0</v>
      </c>
      <c r="B8234" t="s">
        <v>2429</v>
      </c>
      <c r="C8234" t="s">
        <v>11378</v>
      </c>
      <c r="D8234" t="s">
        <v>18127</v>
      </c>
      <c r="E8234" t="s">
        <v>25436</v>
      </c>
      <c r="F8234" t="s">
        <v>31362</v>
      </c>
      <c r="G8234" t="s">
        <v>31369</v>
      </c>
      <c r="H8234" t="s">
        <v>31378</v>
      </c>
      <c r="I8234" t="s">
        <v>31386</v>
      </c>
      <c r="J8234" t="s">
        <v>36547</v>
      </c>
      <c r="K8234" t="s">
        <v>40662</v>
      </c>
      <c r="M8234" t="s">
        <v>43587</v>
      </c>
      <c r="N8234" t="s">
        <v>44905</v>
      </c>
      <c r="O8234" t="s">
        <v>44906</v>
      </c>
      <c r="P8234">
        <v>0</v>
      </c>
      <c r="Q8234">
        <v>0</v>
      </c>
      <c r="R8234" t="s">
        <v>44910</v>
      </c>
      <c r="S8234" t="s">
        <v>45076</v>
      </c>
      <c r="T8234" t="s">
        <v>46393</v>
      </c>
      <c r="U8234" t="s">
        <v>53557</v>
      </c>
      <c r="W8234" t="s">
        <v>43587</v>
      </c>
      <c r="X8234" t="s">
        <v>44911</v>
      </c>
    </row>
    <row r="8235" spans="1:24">
      <c r="A8235">
        <f>HYPERLINK("https://www.philgeps.gov.ph/GEPSNONPILOT/Tender/SplashBidNoticeAbstractUI.aspx?menuIndex=3&amp;refID=7075695&amp;Result=3","7075695")</f>
        <v>0</v>
      </c>
      <c r="B8235" t="s">
        <v>2430</v>
      </c>
      <c r="C8235" t="s">
        <v>11379</v>
      </c>
      <c r="D8235" t="s">
        <v>18108</v>
      </c>
      <c r="E8235" t="s">
        <v>25437</v>
      </c>
      <c r="F8235" t="s">
        <v>31362</v>
      </c>
      <c r="G8235" t="s">
        <v>31369</v>
      </c>
      <c r="H8235" t="s">
        <v>31378</v>
      </c>
      <c r="I8235" t="s">
        <v>31386</v>
      </c>
      <c r="J8235" t="s">
        <v>36548</v>
      </c>
      <c r="K8235" t="s">
        <v>40725</v>
      </c>
      <c r="M8235" t="s">
        <v>43588</v>
      </c>
      <c r="N8235" t="s">
        <v>44905</v>
      </c>
      <c r="O8235" t="s">
        <v>44906</v>
      </c>
      <c r="P8235">
        <v>0</v>
      </c>
      <c r="Q8235">
        <v>5</v>
      </c>
      <c r="R8235" t="s">
        <v>44910</v>
      </c>
      <c r="S8235" t="s">
        <v>45076</v>
      </c>
      <c r="T8235" t="s">
        <v>46419</v>
      </c>
      <c r="U8235" t="s">
        <v>53558</v>
      </c>
      <c r="W8235" t="s">
        <v>43588</v>
      </c>
      <c r="X8235" t="s">
        <v>44911</v>
      </c>
    </row>
    <row r="8236" spans="1:24">
      <c r="A8236">
        <f>HYPERLINK("https://www.philgeps.gov.ph/GEPSNONPILOT/Tender/SplashBidNoticeAbstractUI.aspx?menuIndex=3&amp;refID=7075708&amp;Result=3","7075708")</f>
        <v>0</v>
      </c>
      <c r="B8236" t="s">
        <v>2431</v>
      </c>
      <c r="C8236" t="s">
        <v>11380</v>
      </c>
      <c r="D8236" t="s">
        <v>18117</v>
      </c>
      <c r="E8236" t="s">
        <v>25438</v>
      </c>
      <c r="F8236" t="s">
        <v>31362</v>
      </c>
      <c r="G8236" t="s">
        <v>31369</v>
      </c>
      <c r="H8236" t="s">
        <v>15799</v>
      </c>
      <c r="I8236" t="s">
        <v>3815</v>
      </c>
      <c r="J8236" t="s">
        <v>36549</v>
      </c>
      <c r="K8236" t="s">
        <v>40670</v>
      </c>
      <c r="M8236" t="s">
        <v>43589</v>
      </c>
      <c r="N8236" t="s">
        <v>44905</v>
      </c>
      <c r="O8236" t="s">
        <v>44906</v>
      </c>
      <c r="P8236">
        <v>0</v>
      </c>
      <c r="Q8236">
        <v>0</v>
      </c>
      <c r="R8236" t="s">
        <v>44910</v>
      </c>
      <c r="S8236" t="s">
        <v>45076</v>
      </c>
      <c r="T8236" t="s">
        <v>46447</v>
      </c>
      <c r="U8236" t="s">
        <v>53559</v>
      </c>
      <c r="W8236" t="s">
        <v>43589</v>
      </c>
      <c r="X8236" t="s">
        <v>44911</v>
      </c>
    </row>
    <row r="8237" spans="1:24">
      <c r="A8237">
        <f>HYPERLINK("https://www.philgeps.gov.ph/GEPSNONPILOT/Tender/SplashBidNoticeAbstractUI.aspx?menuIndex=3&amp;refID=7075681&amp;Result=3","7075681")</f>
        <v>0</v>
      </c>
      <c r="B8237" t="s">
        <v>523</v>
      </c>
      <c r="C8237" t="s">
        <v>11381</v>
      </c>
      <c r="D8237" t="s">
        <v>18108</v>
      </c>
      <c r="E8237" t="s">
        <v>25439</v>
      </c>
      <c r="F8237" t="s">
        <v>31362</v>
      </c>
      <c r="G8237" t="s">
        <v>31369</v>
      </c>
      <c r="H8237" t="s">
        <v>15799</v>
      </c>
      <c r="I8237" t="s">
        <v>31382</v>
      </c>
      <c r="J8237" t="s">
        <v>31542</v>
      </c>
      <c r="K8237" t="s">
        <v>40662</v>
      </c>
      <c r="M8237" t="s">
        <v>41535</v>
      </c>
      <c r="N8237" t="s">
        <v>44905</v>
      </c>
      <c r="O8237" t="s">
        <v>44906</v>
      </c>
      <c r="P8237">
        <v>0</v>
      </c>
      <c r="Q8237">
        <v>12</v>
      </c>
      <c r="R8237" t="s">
        <v>44910</v>
      </c>
      <c r="S8237" t="s">
        <v>45076</v>
      </c>
      <c r="T8237" t="s">
        <v>46591</v>
      </c>
      <c r="U8237" t="s">
        <v>53560</v>
      </c>
      <c r="W8237" t="s">
        <v>41535</v>
      </c>
      <c r="X8237" t="s">
        <v>44911</v>
      </c>
    </row>
    <row r="8238" spans="1:24">
      <c r="A8238">
        <f>HYPERLINK("https://www.philgeps.gov.ph/GEPSNONPILOT/Tender/SplashBidNoticeAbstractUI.aspx?menuIndex=3&amp;refID=7075680&amp;Result=3","7075680")</f>
        <v>0</v>
      </c>
      <c r="B8238" t="s">
        <v>301</v>
      </c>
      <c r="C8238" t="s">
        <v>11382</v>
      </c>
      <c r="D8238" t="s">
        <v>18164</v>
      </c>
      <c r="E8238" t="s">
        <v>25440</v>
      </c>
      <c r="F8238" t="s">
        <v>31362</v>
      </c>
      <c r="G8238" t="s">
        <v>31369</v>
      </c>
      <c r="H8238" t="s">
        <v>15799</v>
      </c>
      <c r="I8238" t="s">
        <v>31422</v>
      </c>
      <c r="J8238" t="s">
        <v>36550</v>
      </c>
      <c r="K8238" t="s">
        <v>40666</v>
      </c>
      <c r="M8238" t="s">
        <v>41244</v>
      </c>
      <c r="N8238" t="s">
        <v>44905</v>
      </c>
      <c r="O8238" t="s">
        <v>44906</v>
      </c>
      <c r="P8238">
        <v>0</v>
      </c>
      <c r="Q8238">
        <v>4</v>
      </c>
      <c r="R8238" t="s">
        <v>44910</v>
      </c>
      <c r="S8238" t="s">
        <v>45076</v>
      </c>
      <c r="T8238" t="s">
        <v>46447</v>
      </c>
      <c r="U8238" t="s">
        <v>53561</v>
      </c>
      <c r="V8238" t="s">
        <v>56092</v>
      </c>
      <c r="W8238" t="s">
        <v>41244</v>
      </c>
      <c r="X8238" t="s">
        <v>44911</v>
      </c>
    </row>
    <row r="8239" spans="1:24">
      <c r="A8239">
        <f>HYPERLINK("https://www.philgeps.gov.ph/GEPSNONPILOT/Tender/SplashBidNoticeAbstractUI.aspx?menuIndex=3&amp;refID=7075692&amp;Result=3","7075692")</f>
        <v>0</v>
      </c>
      <c r="B8239" t="s">
        <v>979</v>
      </c>
      <c r="C8239" t="s">
        <v>11368</v>
      </c>
      <c r="D8239" t="s">
        <v>18123</v>
      </c>
      <c r="E8239" t="s">
        <v>25441</v>
      </c>
      <c r="F8239" t="s">
        <v>31362</v>
      </c>
      <c r="G8239" t="s">
        <v>31368</v>
      </c>
      <c r="H8239" t="s">
        <v>15799</v>
      </c>
      <c r="I8239" t="s">
        <v>31394</v>
      </c>
      <c r="J8239" t="s">
        <v>36551</v>
      </c>
      <c r="K8239" t="s">
        <v>40672</v>
      </c>
      <c r="M8239" t="s">
        <v>41971</v>
      </c>
      <c r="N8239" t="s">
        <v>44905</v>
      </c>
      <c r="O8239" t="s">
        <v>44906</v>
      </c>
      <c r="P8239">
        <v>0</v>
      </c>
      <c r="Q8239">
        <v>1</v>
      </c>
      <c r="R8239" t="s">
        <v>44910</v>
      </c>
      <c r="S8239" t="s">
        <v>45076</v>
      </c>
      <c r="T8239" t="s">
        <v>46414</v>
      </c>
      <c r="U8239" t="s">
        <v>49011</v>
      </c>
      <c r="W8239" t="s">
        <v>41971</v>
      </c>
      <c r="X8239" t="s">
        <v>44911</v>
      </c>
    </row>
    <row r="8240" spans="1:24">
      <c r="A8240">
        <f>HYPERLINK("https://www.philgeps.gov.ph/GEPSNONPILOT/Tender/SplashBidNoticeAbstractUI.aspx?menuIndex=3&amp;refID=7075687&amp;Result=3","7075687")</f>
        <v>0</v>
      </c>
      <c r="B8240" t="s">
        <v>1985</v>
      </c>
      <c r="C8240" t="s">
        <v>11383</v>
      </c>
      <c r="D8240" t="s">
        <v>18168</v>
      </c>
      <c r="E8240" t="s">
        <v>25442</v>
      </c>
      <c r="F8240" t="s">
        <v>31362</v>
      </c>
      <c r="G8240" t="s">
        <v>31368</v>
      </c>
      <c r="H8240" t="s">
        <v>15799</v>
      </c>
      <c r="I8240" t="s">
        <v>3815</v>
      </c>
      <c r="J8240" t="s">
        <v>36552</v>
      </c>
      <c r="K8240" t="s">
        <v>40665</v>
      </c>
      <c r="M8240" t="s">
        <v>43094</v>
      </c>
      <c r="N8240" t="s">
        <v>44905</v>
      </c>
      <c r="O8240" t="s">
        <v>44906</v>
      </c>
      <c r="P8240">
        <v>0</v>
      </c>
      <c r="Q8240">
        <v>0</v>
      </c>
      <c r="R8240" t="s">
        <v>44910</v>
      </c>
      <c r="S8240" t="s">
        <v>45076</v>
      </c>
      <c r="T8240" t="s">
        <v>46415</v>
      </c>
      <c r="U8240" t="s">
        <v>53562</v>
      </c>
      <c r="W8240" t="s">
        <v>43094</v>
      </c>
      <c r="X8240" t="s">
        <v>44911</v>
      </c>
    </row>
    <row r="8241" spans="1:24">
      <c r="A8241">
        <f>HYPERLINK("https://www.philgeps.gov.ph/GEPSNONPILOT/Tender/SplashBidNoticeAbstractUI.aspx?menuIndex=3&amp;refID=7075619&amp;Result=3","7075619")</f>
        <v>0</v>
      </c>
      <c r="B8241" t="s">
        <v>516</v>
      </c>
      <c r="C8241" t="s">
        <v>11384</v>
      </c>
      <c r="D8241" t="s">
        <v>18175</v>
      </c>
      <c r="E8241" t="s">
        <v>25443</v>
      </c>
      <c r="F8241" t="s">
        <v>31362</v>
      </c>
      <c r="G8241" t="s">
        <v>31371</v>
      </c>
      <c r="H8241" t="s">
        <v>15799</v>
      </c>
      <c r="I8241" t="s">
        <v>7090</v>
      </c>
      <c r="J8241" t="s">
        <v>36015</v>
      </c>
      <c r="K8241" t="s">
        <v>40682</v>
      </c>
      <c r="M8241" t="s">
        <v>43558</v>
      </c>
      <c r="N8241" t="s">
        <v>44905</v>
      </c>
      <c r="O8241" t="s">
        <v>44906</v>
      </c>
      <c r="P8241">
        <v>0</v>
      </c>
      <c r="Q8241">
        <v>4</v>
      </c>
      <c r="R8241" t="s">
        <v>44910</v>
      </c>
      <c r="S8241" t="s">
        <v>45076</v>
      </c>
      <c r="T8241" t="s">
        <v>46411</v>
      </c>
      <c r="U8241" t="s">
        <v>53439</v>
      </c>
      <c r="W8241" t="s">
        <v>43558</v>
      </c>
      <c r="X8241" t="s">
        <v>44911</v>
      </c>
    </row>
    <row r="8242" spans="1:24">
      <c r="A8242">
        <f>HYPERLINK("https://www.philgeps.gov.ph/GEPSNONPILOT/Tender/SplashBidNoticeAbstractUI.aspx?menuIndex=3&amp;refID=7075685&amp;Result=3","7075685")</f>
        <v>0</v>
      </c>
      <c r="B8242" t="s">
        <v>1513</v>
      </c>
      <c r="C8242" t="s">
        <v>11385</v>
      </c>
      <c r="D8242" t="s">
        <v>18143</v>
      </c>
      <c r="E8242" t="s">
        <v>25444</v>
      </c>
      <c r="F8242" t="s">
        <v>31362</v>
      </c>
      <c r="G8242" t="s">
        <v>31369</v>
      </c>
      <c r="H8242" t="s">
        <v>31378</v>
      </c>
      <c r="I8242" t="s">
        <v>31386</v>
      </c>
      <c r="J8242" t="s">
        <v>36553</v>
      </c>
      <c r="K8242" t="s">
        <v>40684</v>
      </c>
      <c r="L8242" t="s">
        <v>1513</v>
      </c>
      <c r="M8242" t="s">
        <v>42556</v>
      </c>
      <c r="N8242" t="s">
        <v>44905</v>
      </c>
      <c r="O8242" t="s">
        <v>44906</v>
      </c>
      <c r="P8242">
        <v>0</v>
      </c>
      <c r="Q8242">
        <v>0</v>
      </c>
      <c r="R8242" t="s">
        <v>44910</v>
      </c>
      <c r="S8242" t="s">
        <v>45076</v>
      </c>
      <c r="T8242" t="s">
        <v>46419</v>
      </c>
      <c r="U8242" t="s">
        <v>53563</v>
      </c>
      <c r="V8242" t="s">
        <v>59863</v>
      </c>
      <c r="W8242" t="s">
        <v>42556</v>
      </c>
      <c r="X8242" t="s">
        <v>44911</v>
      </c>
    </row>
    <row r="8243" spans="1:24">
      <c r="A8243">
        <f>HYPERLINK("https://www.philgeps.gov.ph/GEPSNONPILOT/Tender/SplashBidNoticeAbstractUI.aspx?menuIndex=3&amp;refID=7075669&amp;Result=3","7075669")</f>
        <v>0</v>
      </c>
      <c r="B8243" t="s">
        <v>1995</v>
      </c>
      <c r="C8243" t="s">
        <v>11386</v>
      </c>
      <c r="D8243" t="s">
        <v>18117</v>
      </c>
      <c r="E8243" t="s">
        <v>25445</v>
      </c>
      <c r="F8243" t="s">
        <v>31363</v>
      </c>
      <c r="G8243" t="s">
        <v>31368</v>
      </c>
      <c r="H8243" t="s">
        <v>31378</v>
      </c>
      <c r="I8243" t="s">
        <v>31386</v>
      </c>
      <c r="J8243" t="s">
        <v>35475</v>
      </c>
      <c r="K8243" t="s">
        <v>40665</v>
      </c>
      <c r="M8243" t="s">
        <v>43106</v>
      </c>
      <c r="N8243" t="s">
        <v>44905</v>
      </c>
      <c r="O8243" t="s">
        <v>44906</v>
      </c>
      <c r="P8243">
        <v>0</v>
      </c>
      <c r="Q8243">
        <v>1</v>
      </c>
      <c r="R8243" t="s">
        <v>44910</v>
      </c>
      <c r="S8243" t="s">
        <v>45076</v>
      </c>
      <c r="T8243" t="s">
        <v>46435</v>
      </c>
      <c r="U8243" t="s">
        <v>53564</v>
      </c>
      <c r="V8243" t="s">
        <v>59864</v>
      </c>
      <c r="W8243" t="s">
        <v>43106</v>
      </c>
      <c r="X8243" t="s">
        <v>44911</v>
      </c>
    </row>
    <row r="8244" spans="1:24">
      <c r="A8244">
        <f>HYPERLINK("https://www.philgeps.gov.ph/GEPSNONPILOT/Tender/SplashBidNoticeAbstractUI.aspx?menuIndex=3&amp;refID=7075633&amp;Result=3","7075633")</f>
        <v>0</v>
      </c>
      <c r="B8244" t="s">
        <v>1985</v>
      </c>
      <c r="C8244" t="s">
        <v>11387</v>
      </c>
      <c r="D8244" t="s">
        <v>18168</v>
      </c>
      <c r="E8244" t="s">
        <v>25446</v>
      </c>
      <c r="F8244" t="s">
        <v>31362</v>
      </c>
      <c r="G8244" t="s">
        <v>31368</v>
      </c>
      <c r="H8244" t="s">
        <v>15799</v>
      </c>
      <c r="I8244" t="s">
        <v>3815</v>
      </c>
      <c r="J8244" t="s">
        <v>36554</v>
      </c>
      <c r="K8244" t="s">
        <v>40665</v>
      </c>
      <c r="M8244" t="s">
        <v>43094</v>
      </c>
      <c r="N8244" t="s">
        <v>44905</v>
      </c>
      <c r="O8244" t="s">
        <v>44906</v>
      </c>
      <c r="P8244">
        <v>0</v>
      </c>
      <c r="Q8244">
        <v>0</v>
      </c>
      <c r="R8244" t="s">
        <v>44910</v>
      </c>
      <c r="S8244" t="s">
        <v>45076</v>
      </c>
      <c r="T8244" t="s">
        <v>46415</v>
      </c>
      <c r="U8244" t="s">
        <v>53565</v>
      </c>
      <c r="W8244" t="s">
        <v>43094</v>
      </c>
      <c r="X8244" t="s">
        <v>44911</v>
      </c>
    </row>
    <row r="8245" spans="1:24">
      <c r="A8245">
        <f>HYPERLINK("https://www.philgeps.gov.ph/GEPSNONPILOT/Tender/SplashBidNoticeAbstractUI.aspx?menuIndex=3&amp;refID=7075753&amp;Result=3","7075753")</f>
        <v>0</v>
      </c>
      <c r="B8245" t="s">
        <v>523</v>
      </c>
      <c r="C8245" t="s">
        <v>11388</v>
      </c>
      <c r="D8245" t="s">
        <v>18108</v>
      </c>
      <c r="E8245" t="s">
        <v>25447</v>
      </c>
      <c r="F8245" t="s">
        <v>31362</v>
      </c>
      <c r="G8245" t="s">
        <v>31369</v>
      </c>
      <c r="H8245" t="s">
        <v>15799</v>
      </c>
      <c r="I8245" t="s">
        <v>31382</v>
      </c>
      <c r="J8245" t="s">
        <v>36555</v>
      </c>
      <c r="K8245" t="s">
        <v>40662</v>
      </c>
      <c r="M8245" t="s">
        <v>41535</v>
      </c>
      <c r="N8245" t="s">
        <v>44905</v>
      </c>
      <c r="O8245" t="s">
        <v>44906</v>
      </c>
      <c r="P8245">
        <v>0</v>
      </c>
      <c r="Q8245">
        <v>22</v>
      </c>
      <c r="R8245" t="s">
        <v>44910</v>
      </c>
      <c r="S8245" t="s">
        <v>45076</v>
      </c>
      <c r="T8245" t="s">
        <v>46715</v>
      </c>
      <c r="U8245" t="s">
        <v>53566</v>
      </c>
      <c r="W8245" t="s">
        <v>41535</v>
      </c>
      <c r="X8245" t="s">
        <v>44911</v>
      </c>
    </row>
    <row r="8246" spans="1:24">
      <c r="A8246">
        <f>HYPERLINK("https://www.philgeps.gov.ph/GEPSNONPILOT/Tender/SplashBidNoticeAbstractUI.aspx?menuIndex=3&amp;refID=7075656&amp;Result=3","7075656")</f>
        <v>0</v>
      </c>
      <c r="B8246" t="s">
        <v>1985</v>
      </c>
      <c r="C8246" t="s">
        <v>11389</v>
      </c>
      <c r="D8246" t="s">
        <v>18168</v>
      </c>
      <c r="E8246" t="s">
        <v>25448</v>
      </c>
      <c r="F8246" t="s">
        <v>31362</v>
      </c>
      <c r="G8246" t="s">
        <v>31368</v>
      </c>
      <c r="H8246" t="s">
        <v>15799</v>
      </c>
      <c r="I8246" t="s">
        <v>3815</v>
      </c>
      <c r="J8246" t="s">
        <v>36556</v>
      </c>
      <c r="K8246" t="s">
        <v>40665</v>
      </c>
      <c r="M8246" t="s">
        <v>43094</v>
      </c>
      <c r="N8246" t="s">
        <v>44905</v>
      </c>
      <c r="O8246" t="s">
        <v>44906</v>
      </c>
      <c r="P8246">
        <v>0</v>
      </c>
      <c r="Q8246">
        <v>0</v>
      </c>
      <c r="R8246" t="s">
        <v>44910</v>
      </c>
      <c r="S8246" t="s">
        <v>45076</v>
      </c>
      <c r="T8246" t="s">
        <v>46415</v>
      </c>
      <c r="U8246" t="s">
        <v>53567</v>
      </c>
      <c r="W8246" t="s">
        <v>43094</v>
      </c>
      <c r="X8246" t="s">
        <v>44911</v>
      </c>
    </row>
    <row r="8247" spans="1:24">
      <c r="A8247">
        <f>HYPERLINK("https://www.philgeps.gov.ph/GEPSNONPILOT/Tender/SplashBidNoticeAbstractUI.aspx?menuIndex=3&amp;refID=7075750&amp;Result=3","7075750")</f>
        <v>0</v>
      </c>
      <c r="B8247" t="s">
        <v>2432</v>
      </c>
      <c r="C8247" t="s">
        <v>11390</v>
      </c>
      <c r="D8247" t="s">
        <v>18107</v>
      </c>
      <c r="E8247" t="s">
        <v>25449</v>
      </c>
      <c r="F8247" t="s">
        <v>31362</v>
      </c>
      <c r="G8247" t="s">
        <v>31369</v>
      </c>
      <c r="H8247" t="s">
        <v>31378</v>
      </c>
      <c r="I8247" t="s">
        <v>31439</v>
      </c>
      <c r="J8247" t="s">
        <v>36557</v>
      </c>
      <c r="K8247" t="s">
        <v>40683</v>
      </c>
      <c r="M8247" t="s">
        <v>43590</v>
      </c>
      <c r="N8247" t="s">
        <v>44905</v>
      </c>
      <c r="O8247" t="s">
        <v>44906</v>
      </c>
      <c r="P8247">
        <v>0</v>
      </c>
      <c r="Q8247">
        <v>0</v>
      </c>
      <c r="R8247" t="s">
        <v>44910</v>
      </c>
      <c r="S8247" t="s">
        <v>45076</v>
      </c>
      <c r="T8247" t="s">
        <v>46511</v>
      </c>
      <c r="U8247" t="s">
        <v>53568</v>
      </c>
      <c r="W8247" t="s">
        <v>43590</v>
      </c>
      <c r="X8247" t="s">
        <v>44911</v>
      </c>
    </row>
    <row r="8248" spans="1:24">
      <c r="A8248">
        <f>HYPERLINK("https://www.philgeps.gov.ph/GEPSNONPILOT/Tender/SplashBidNoticeAbstractUI.aspx?menuIndex=3&amp;refID=7075746&amp;Result=3","7075746")</f>
        <v>0</v>
      </c>
      <c r="B8248" t="s">
        <v>199</v>
      </c>
      <c r="C8248" t="s">
        <v>11391</v>
      </c>
      <c r="D8248" t="s">
        <v>18107</v>
      </c>
      <c r="E8248" t="s">
        <v>25450</v>
      </c>
      <c r="F8248" t="s">
        <v>31362</v>
      </c>
      <c r="G8248" t="s">
        <v>31369</v>
      </c>
      <c r="H8248" t="s">
        <v>15799</v>
      </c>
      <c r="I8248" t="s">
        <v>31388</v>
      </c>
      <c r="J8248" t="s">
        <v>36558</v>
      </c>
      <c r="K8248" t="s">
        <v>40661</v>
      </c>
      <c r="M8248" t="s">
        <v>43591</v>
      </c>
      <c r="N8248" t="s">
        <v>44905</v>
      </c>
      <c r="O8248" t="s">
        <v>44906</v>
      </c>
      <c r="P8248">
        <v>0</v>
      </c>
      <c r="Q8248">
        <v>5</v>
      </c>
      <c r="R8248" t="s">
        <v>44910</v>
      </c>
      <c r="S8248" t="s">
        <v>45076</v>
      </c>
      <c r="T8248" t="s">
        <v>46620</v>
      </c>
      <c r="U8248" t="s">
        <v>53569</v>
      </c>
      <c r="W8248" t="s">
        <v>43591</v>
      </c>
      <c r="X8248" t="s">
        <v>44911</v>
      </c>
    </row>
    <row r="8249" spans="1:24">
      <c r="A8249">
        <f>HYPERLINK("https://www.philgeps.gov.ph/GEPSNONPILOT/Tender/SplashBidNoticeAbstractUI.aspx?menuIndex=3&amp;refID=7075744&amp;Result=3","7075744")</f>
        <v>0</v>
      </c>
      <c r="B8249" t="s">
        <v>832</v>
      </c>
      <c r="C8249" t="s">
        <v>11392</v>
      </c>
      <c r="E8249" t="s">
        <v>25451</v>
      </c>
      <c r="F8249" t="s">
        <v>31362</v>
      </c>
      <c r="G8249" t="s">
        <v>31369</v>
      </c>
      <c r="H8249" t="s">
        <v>15799</v>
      </c>
      <c r="I8249" t="s">
        <v>31399</v>
      </c>
      <c r="J8249" t="s">
        <v>31634</v>
      </c>
      <c r="K8249" t="s">
        <v>40662</v>
      </c>
      <c r="M8249" t="s">
        <v>41806</v>
      </c>
      <c r="N8249" t="s">
        <v>44905</v>
      </c>
      <c r="O8249" t="s">
        <v>44906</v>
      </c>
      <c r="P8249">
        <v>0</v>
      </c>
      <c r="Q8249">
        <v>20</v>
      </c>
      <c r="R8249" t="s">
        <v>44910</v>
      </c>
      <c r="S8249" t="s">
        <v>45076</v>
      </c>
      <c r="T8249" t="s">
        <v>46626</v>
      </c>
      <c r="U8249" t="s">
        <v>53570</v>
      </c>
      <c r="W8249" t="s">
        <v>41806</v>
      </c>
      <c r="X8249" t="s">
        <v>44911</v>
      </c>
    </row>
    <row r="8250" spans="1:24">
      <c r="A8250">
        <f>HYPERLINK("https://www.philgeps.gov.ph/GEPSNONPILOT/Tender/SplashBidNoticeAbstractUI.aspx?menuIndex=3&amp;refID=7075742&amp;Result=3","7075742")</f>
        <v>0</v>
      </c>
      <c r="B8250" t="s">
        <v>1985</v>
      </c>
      <c r="C8250" t="s">
        <v>11393</v>
      </c>
      <c r="D8250" t="s">
        <v>18168</v>
      </c>
      <c r="E8250" t="s">
        <v>25452</v>
      </c>
      <c r="F8250" t="s">
        <v>31362</v>
      </c>
      <c r="G8250" t="s">
        <v>31368</v>
      </c>
      <c r="H8250" t="s">
        <v>15799</v>
      </c>
      <c r="I8250" t="s">
        <v>31380</v>
      </c>
      <c r="J8250" t="s">
        <v>31531</v>
      </c>
      <c r="K8250" t="s">
        <v>40665</v>
      </c>
      <c r="M8250" t="s">
        <v>43094</v>
      </c>
      <c r="N8250" t="s">
        <v>44905</v>
      </c>
      <c r="O8250" t="s">
        <v>44906</v>
      </c>
      <c r="P8250">
        <v>0</v>
      </c>
      <c r="Q8250">
        <v>1</v>
      </c>
      <c r="R8250" t="s">
        <v>44910</v>
      </c>
      <c r="S8250" t="s">
        <v>45076</v>
      </c>
      <c r="T8250" t="s">
        <v>46410</v>
      </c>
      <c r="U8250" t="s">
        <v>53571</v>
      </c>
      <c r="W8250" t="s">
        <v>43094</v>
      </c>
      <c r="X8250" t="s">
        <v>44911</v>
      </c>
    </row>
    <row r="8251" spans="1:24">
      <c r="A8251">
        <f>HYPERLINK("https://www.philgeps.gov.ph/GEPSNONPILOT/Tender/SplashBidNoticeAbstractUI.aspx?menuIndex=3&amp;refID=7075741&amp;Result=3","7075741")</f>
        <v>0</v>
      </c>
      <c r="B8251" t="s">
        <v>2433</v>
      </c>
      <c r="C8251" t="s">
        <v>10946</v>
      </c>
      <c r="D8251" t="s">
        <v>18131</v>
      </c>
      <c r="E8251" t="s">
        <v>25453</v>
      </c>
      <c r="F8251" t="s">
        <v>31362</v>
      </c>
      <c r="G8251" t="s">
        <v>31369</v>
      </c>
      <c r="H8251" t="s">
        <v>31378</v>
      </c>
      <c r="I8251" t="s">
        <v>31386</v>
      </c>
      <c r="J8251" t="s">
        <v>36559</v>
      </c>
      <c r="K8251" t="s">
        <v>40662</v>
      </c>
      <c r="M8251" t="s">
        <v>43592</v>
      </c>
      <c r="N8251" t="s">
        <v>44905</v>
      </c>
      <c r="O8251" t="s">
        <v>44906</v>
      </c>
      <c r="P8251">
        <v>0</v>
      </c>
      <c r="Q8251">
        <v>3</v>
      </c>
      <c r="R8251" t="s">
        <v>44910</v>
      </c>
      <c r="S8251" t="s">
        <v>45076</v>
      </c>
      <c r="T8251" t="s">
        <v>46438</v>
      </c>
      <c r="U8251" t="s">
        <v>53572</v>
      </c>
      <c r="V8251" t="s">
        <v>59718</v>
      </c>
      <c r="W8251" t="s">
        <v>43592</v>
      </c>
      <c r="X8251" t="s">
        <v>44911</v>
      </c>
    </row>
    <row r="8252" spans="1:24">
      <c r="A8252">
        <f>HYPERLINK("https://www.philgeps.gov.ph/GEPSNONPILOT/Tender/SplashBidNoticeAbstractUI.aspx?menuIndex=3&amp;refID=7075738&amp;Result=3","7075738")</f>
        <v>0</v>
      </c>
      <c r="B8252" t="s">
        <v>2433</v>
      </c>
      <c r="C8252" t="s">
        <v>6247</v>
      </c>
      <c r="D8252" t="s">
        <v>18131</v>
      </c>
      <c r="E8252" t="s">
        <v>25454</v>
      </c>
      <c r="F8252" t="s">
        <v>31362</v>
      </c>
      <c r="G8252" t="s">
        <v>31369</v>
      </c>
      <c r="H8252" t="s">
        <v>31378</v>
      </c>
      <c r="I8252" t="s">
        <v>31386</v>
      </c>
      <c r="J8252" t="s">
        <v>34359</v>
      </c>
      <c r="K8252" t="s">
        <v>40662</v>
      </c>
      <c r="M8252" t="s">
        <v>43592</v>
      </c>
      <c r="N8252" t="s">
        <v>44905</v>
      </c>
      <c r="O8252" t="s">
        <v>44906</v>
      </c>
      <c r="P8252">
        <v>0</v>
      </c>
      <c r="Q8252">
        <v>3</v>
      </c>
      <c r="R8252" t="s">
        <v>44910</v>
      </c>
      <c r="S8252" t="s">
        <v>45076</v>
      </c>
      <c r="T8252" t="s">
        <v>46438</v>
      </c>
      <c r="U8252" t="s">
        <v>53573</v>
      </c>
      <c r="V8252" t="s">
        <v>59367</v>
      </c>
      <c r="W8252" t="s">
        <v>43592</v>
      </c>
      <c r="X8252" t="s">
        <v>44911</v>
      </c>
    </row>
    <row r="8253" spans="1:24">
      <c r="A8253">
        <f>HYPERLINK("https://www.philgeps.gov.ph/GEPSNONPILOT/Tender/SplashBidNoticeAbstractUI.aspx?menuIndex=3&amp;refID=7075737&amp;Result=3","7075737")</f>
        <v>0</v>
      </c>
      <c r="B8253" t="s">
        <v>1985</v>
      </c>
      <c r="C8253" t="s">
        <v>11394</v>
      </c>
      <c r="D8253" t="s">
        <v>18168</v>
      </c>
      <c r="E8253" t="s">
        <v>25455</v>
      </c>
      <c r="F8253" t="s">
        <v>31362</v>
      </c>
      <c r="G8253" t="s">
        <v>31368</v>
      </c>
      <c r="H8253" t="s">
        <v>15799</v>
      </c>
      <c r="I8253" t="s">
        <v>7719</v>
      </c>
      <c r="J8253" t="s">
        <v>36560</v>
      </c>
      <c r="K8253" t="s">
        <v>40665</v>
      </c>
      <c r="M8253" t="s">
        <v>43094</v>
      </c>
      <c r="N8253" t="s">
        <v>44905</v>
      </c>
      <c r="O8253" t="s">
        <v>44906</v>
      </c>
      <c r="P8253">
        <v>0</v>
      </c>
      <c r="Q8253">
        <v>2</v>
      </c>
      <c r="R8253" t="s">
        <v>44910</v>
      </c>
      <c r="S8253" t="s">
        <v>45076</v>
      </c>
      <c r="T8253" t="s">
        <v>46410</v>
      </c>
      <c r="U8253" t="s">
        <v>53574</v>
      </c>
      <c r="W8253" t="s">
        <v>43094</v>
      </c>
      <c r="X8253" t="s">
        <v>44911</v>
      </c>
    </row>
    <row r="8254" spans="1:24">
      <c r="A8254">
        <f>HYPERLINK("https://www.philgeps.gov.ph/GEPSNONPILOT/Tender/SplashBidNoticeAbstractUI.aspx?menuIndex=3&amp;refID=7075735&amp;Result=3","7075735")</f>
        <v>0</v>
      </c>
      <c r="B8254" t="s">
        <v>2434</v>
      </c>
      <c r="C8254" t="s">
        <v>11395</v>
      </c>
      <c r="D8254" t="s">
        <v>18100</v>
      </c>
      <c r="E8254" t="s">
        <v>25456</v>
      </c>
      <c r="F8254" t="s">
        <v>31362</v>
      </c>
      <c r="G8254" t="s">
        <v>31369</v>
      </c>
      <c r="H8254" t="s">
        <v>15799</v>
      </c>
      <c r="I8254" t="s">
        <v>31476</v>
      </c>
      <c r="J8254" t="s">
        <v>36561</v>
      </c>
      <c r="K8254" t="s">
        <v>40665</v>
      </c>
      <c r="M8254" t="s">
        <v>43593</v>
      </c>
      <c r="N8254" t="s">
        <v>44905</v>
      </c>
      <c r="O8254" t="s">
        <v>44906</v>
      </c>
      <c r="P8254">
        <v>0</v>
      </c>
      <c r="Q8254">
        <v>23</v>
      </c>
      <c r="R8254" t="s">
        <v>44910</v>
      </c>
      <c r="S8254" t="s">
        <v>45076</v>
      </c>
      <c r="T8254" t="s">
        <v>46433</v>
      </c>
      <c r="U8254" t="s">
        <v>53575</v>
      </c>
      <c r="W8254" t="s">
        <v>43593</v>
      </c>
      <c r="X8254" t="s">
        <v>44911</v>
      </c>
    </row>
    <row r="8255" spans="1:24">
      <c r="A8255">
        <f>HYPERLINK("https://www.philgeps.gov.ph/GEPSNONPILOT/Tender/SplashBidNoticeAbstractUI.aspx?menuIndex=3&amp;refID=7075730&amp;Result=3","7075730")</f>
        <v>0</v>
      </c>
      <c r="B8255" t="s">
        <v>660</v>
      </c>
      <c r="C8255" t="s">
        <v>11396</v>
      </c>
      <c r="D8255" t="s">
        <v>18116</v>
      </c>
      <c r="E8255" t="s">
        <v>25457</v>
      </c>
      <c r="F8255" t="s">
        <v>31362</v>
      </c>
      <c r="G8255" t="s">
        <v>31369</v>
      </c>
      <c r="H8255" t="s">
        <v>31378</v>
      </c>
      <c r="I8255" t="s">
        <v>31386</v>
      </c>
      <c r="J8255" t="s">
        <v>35695</v>
      </c>
      <c r="K8255" t="s">
        <v>40842</v>
      </c>
      <c r="M8255" t="s">
        <v>41622</v>
      </c>
      <c r="N8255" t="s">
        <v>44905</v>
      </c>
      <c r="O8255" t="s">
        <v>44906</v>
      </c>
      <c r="P8255">
        <v>0</v>
      </c>
      <c r="Q8255">
        <v>2</v>
      </c>
      <c r="R8255" t="s">
        <v>44910</v>
      </c>
      <c r="S8255" t="s">
        <v>45076</v>
      </c>
      <c r="T8255" t="s">
        <v>46464</v>
      </c>
      <c r="U8255" t="s">
        <v>53576</v>
      </c>
      <c r="W8255" t="s">
        <v>41622</v>
      </c>
      <c r="X8255" t="s">
        <v>44911</v>
      </c>
    </row>
    <row r="8256" spans="1:24">
      <c r="A8256">
        <f>HYPERLINK("https://www.philgeps.gov.ph/GEPSNONPILOT/Tender/SplashBidNoticeAbstractUI.aspx?menuIndex=3&amp;refID=7075683&amp;Result=3","7075683")</f>
        <v>0</v>
      </c>
      <c r="B8256" t="s">
        <v>1513</v>
      </c>
      <c r="C8256" t="s">
        <v>11397</v>
      </c>
      <c r="D8256" t="s">
        <v>18143</v>
      </c>
      <c r="E8256" t="s">
        <v>25458</v>
      </c>
      <c r="F8256" t="s">
        <v>31362</v>
      </c>
      <c r="G8256" t="s">
        <v>31369</v>
      </c>
      <c r="H8256" t="s">
        <v>31378</v>
      </c>
      <c r="I8256" t="s">
        <v>31386</v>
      </c>
      <c r="J8256" t="s">
        <v>36553</v>
      </c>
      <c r="K8256" t="s">
        <v>40684</v>
      </c>
      <c r="L8256" t="s">
        <v>1513</v>
      </c>
      <c r="M8256" t="s">
        <v>42556</v>
      </c>
      <c r="N8256" t="s">
        <v>44905</v>
      </c>
      <c r="O8256" t="s">
        <v>44906</v>
      </c>
      <c r="P8256">
        <v>0</v>
      </c>
      <c r="Q8256">
        <v>0</v>
      </c>
      <c r="R8256" t="s">
        <v>44910</v>
      </c>
      <c r="S8256" t="s">
        <v>45076</v>
      </c>
      <c r="T8256" t="s">
        <v>46419</v>
      </c>
      <c r="U8256" t="s">
        <v>53577</v>
      </c>
      <c r="V8256" t="s">
        <v>59865</v>
      </c>
      <c r="W8256" t="s">
        <v>42556</v>
      </c>
      <c r="X8256" t="s">
        <v>44911</v>
      </c>
    </row>
    <row r="8257" spans="1:24">
      <c r="A8257">
        <f>HYPERLINK("https://www.philgeps.gov.ph/GEPSNONPILOT/Tender/SplashBidNoticeAbstractUI.aspx?menuIndex=3&amp;refID=7075727&amp;Result=3","7075727")</f>
        <v>0</v>
      </c>
      <c r="B8257" t="s">
        <v>1985</v>
      </c>
      <c r="C8257" t="s">
        <v>11398</v>
      </c>
      <c r="D8257" t="s">
        <v>18168</v>
      </c>
      <c r="E8257" t="s">
        <v>25430</v>
      </c>
      <c r="F8257" t="s">
        <v>31362</v>
      </c>
      <c r="G8257" t="s">
        <v>31368</v>
      </c>
      <c r="H8257" t="s">
        <v>15799</v>
      </c>
      <c r="I8257" t="s">
        <v>7188</v>
      </c>
      <c r="J8257" t="s">
        <v>34304</v>
      </c>
      <c r="K8257" t="s">
        <v>40665</v>
      </c>
      <c r="M8257" t="s">
        <v>43094</v>
      </c>
      <c r="N8257" t="s">
        <v>44905</v>
      </c>
      <c r="O8257" t="s">
        <v>44906</v>
      </c>
      <c r="P8257">
        <v>0</v>
      </c>
      <c r="Q8257">
        <v>8</v>
      </c>
      <c r="R8257" t="s">
        <v>44910</v>
      </c>
      <c r="S8257" t="s">
        <v>45076</v>
      </c>
      <c r="T8257" t="s">
        <v>46410</v>
      </c>
      <c r="U8257" t="s">
        <v>53578</v>
      </c>
      <c r="W8257" t="s">
        <v>43094</v>
      </c>
      <c r="X8257" t="s">
        <v>44911</v>
      </c>
    </row>
    <row r="8258" spans="1:24">
      <c r="A8258">
        <f>HYPERLINK("https://www.philgeps.gov.ph/GEPSNONPILOT/Tender/SplashBidNoticeAbstractUI.aspx?menuIndex=3&amp;refID=7075725&amp;Result=3","7075725")</f>
        <v>0</v>
      </c>
      <c r="B8258" t="s">
        <v>2431</v>
      </c>
      <c r="C8258" t="s">
        <v>11399</v>
      </c>
      <c r="D8258" t="s">
        <v>18117</v>
      </c>
      <c r="E8258" t="s">
        <v>25459</v>
      </c>
      <c r="F8258" t="s">
        <v>31362</v>
      </c>
      <c r="G8258" t="s">
        <v>31369</v>
      </c>
      <c r="H8258" t="s">
        <v>31378</v>
      </c>
      <c r="I8258" t="s">
        <v>31386</v>
      </c>
      <c r="J8258" t="s">
        <v>36562</v>
      </c>
      <c r="K8258" t="s">
        <v>40768</v>
      </c>
      <c r="M8258" t="s">
        <v>43589</v>
      </c>
      <c r="N8258" t="s">
        <v>44905</v>
      </c>
      <c r="O8258" t="s">
        <v>44906</v>
      </c>
      <c r="P8258">
        <v>0</v>
      </c>
      <c r="Q8258">
        <v>4</v>
      </c>
      <c r="R8258" t="s">
        <v>44910</v>
      </c>
      <c r="S8258" t="s">
        <v>45076</v>
      </c>
      <c r="T8258" t="s">
        <v>46433</v>
      </c>
      <c r="U8258" t="s">
        <v>53579</v>
      </c>
      <c r="W8258" t="s">
        <v>43589</v>
      </c>
      <c r="X8258" t="s">
        <v>44911</v>
      </c>
    </row>
    <row r="8259" spans="1:24">
      <c r="A8259">
        <f>HYPERLINK("https://www.philgeps.gov.ph/GEPSNONPILOT/Tender/SplashBidNoticeAbstractUI.aspx?menuIndex=3&amp;refID=7075722&amp;Result=3","7075722")</f>
        <v>0</v>
      </c>
      <c r="B8259" t="s">
        <v>644</v>
      </c>
      <c r="C8259" t="s">
        <v>11400</v>
      </c>
      <c r="D8259" t="s">
        <v>18164</v>
      </c>
      <c r="E8259" t="s">
        <v>25460</v>
      </c>
      <c r="F8259" t="s">
        <v>31362</v>
      </c>
      <c r="G8259" t="s">
        <v>31369</v>
      </c>
      <c r="H8259" t="s">
        <v>15799</v>
      </c>
      <c r="I8259" t="s">
        <v>31386</v>
      </c>
      <c r="J8259" t="s">
        <v>36563</v>
      </c>
      <c r="K8259" t="s">
        <v>40679</v>
      </c>
      <c r="M8259" t="s">
        <v>41605</v>
      </c>
      <c r="N8259" t="s">
        <v>44905</v>
      </c>
      <c r="O8259" t="s">
        <v>44906</v>
      </c>
      <c r="P8259">
        <v>0</v>
      </c>
      <c r="Q8259">
        <v>0</v>
      </c>
      <c r="R8259" t="s">
        <v>44910</v>
      </c>
      <c r="S8259" t="s">
        <v>45076</v>
      </c>
      <c r="T8259" t="s">
        <v>46419</v>
      </c>
      <c r="U8259" t="s">
        <v>53580</v>
      </c>
      <c r="W8259" t="s">
        <v>41605</v>
      </c>
      <c r="X8259" t="s">
        <v>44911</v>
      </c>
    </row>
    <row r="8260" spans="1:24">
      <c r="A8260">
        <f>HYPERLINK("https://www.philgeps.gov.ph/GEPSNONPILOT/Tender/SplashBidNoticeAbstractUI.aspx?menuIndex=3&amp;refID=7075719&amp;Result=3","7075719")</f>
        <v>0</v>
      </c>
      <c r="B8260" t="s">
        <v>2435</v>
      </c>
      <c r="C8260" t="s">
        <v>11401</v>
      </c>
      <c r="D8260" t="s">
        <v>18131</v>
      </c>
      <c r="E8260" t="s">
        <v>25461</v>
      </c>
      <c r="F8260" t="s">
        <v>31362</v>
      </c>
      <c r="G8260" t="s">
        <v>31369</v>
      </c>
      <c r="H8260" t="s">
        <v>31378</v>
      </c>
      <c r="I8260" t="s">
        <v>31386</v>
      </c>
      <c r="J8260" t="s">
        <v>31545</v>
      </c>
      <c r="K8260" t="s">
        <v>40662</v>
      </c>
      <c r="M8260" t="s">
        <v>43594</v>
      </c>
      <c r="N8260" t="s">
        <v>44905</v>
      </c>
      <c r="O8260" t="s">
        <v>44906</v>
      </c>
      <c r="P8260">
        <v>0</v>
      </c>
      <c r="Q8260">
        <v>2</v>
      </c>
      <c r="R8260" t="s">
        <v>44910</v>
      </c>
      <c r="S8260" t="s">
        <v>45076</v>
      </c>
      <c r="T8260" t="s">
        <v>46438</v>
      </c>
      <c r="U8260" t="s">
        <v>53581</v>
      </c>
      <c r="V8260" t="s">
        <v>59367</v>
      </c>
      <c r="W8260" t="s">
        <v>43594</v>
      </c>
      <c r="X8260" t="s">
        <v>44911</v>
      </c>
    </row>
    <row r="8261" spans="1:24">
      <c r="A8261">
        <f>HYPERLINK("https://www.philgeps.gov.ph/GEPSNONPILOT/Tender/SplashBidNoticeAbstractUI.aspx?menuIndex=3&amp;refID=7075672&amp;Result=3","7075672")</f>
        <v>0</v>
      </c>
      <c r="B8261" t="s">
        <v>2436</v>
      </c>
      <c r="C8261" t="s">
        <v>11402</v>
      </c>
      <c r="D8261" t="s">
        <v>18131</v>
      </c>
      <c r="E8261" t="s">
        <v>25462</v>
      </c>
      <c r="F8261" t="s">
        <v>31362</v>
      </c>
      <c r="G8261" t="s">
        <v>31369</v>
      </c>
      <c r="H8261" t="s">
        <v>31378</v>
      </c>
      <c r="I8261" t="s">
        <v>31386</v>
      </c>
      <c r="J8261" t="s">
        <v>36564</v>
      </c>
      <c r="K8261" t="s">
        <v>40662</v>
      </c>
      <c r="M8261" t="s">
        <v>43595</v>
      </c>
      <c r="N8261" t="s">
        <v>44905</v>
      </c>
      <c r="O8261" t="s">
        <v>44906</v>
      </c>
      <c r="P8261">
        <v>0</v>
      </c>
      <c r="Q8261">
        <v>1</v>
      </c>
      <c r="R8261" t="s">
        <v>44910</v>
      </c>
      <c r="S8261" t="s">
        <v>45076</v>
      </c>
      <c r="T8261" t="s">
        <v>46438</v>
      </c>
      <c r="U8261" t="s">
        <v>53582</v>
      </c>
      <c r="V8261" t="s">
        <v>59866</v>
      </c>
      <c r="W8261" t="s">
        <v>43595</v>
      </c>
      <c r="X8261" t="s">
        <v>44911</v>
      </c>
    </row>
    <row r="8262" spans="1:24">
      <c r="A8262">
        <f>HYPERLINK("https://www.philgeps.gov.ph/GEPSNONPILOT/Tender/SplashBidNoticeAbstractUI.aspx?menuIndex=3&amp;refID=7075717&amp;Result=3","7075717")</f>
        <v>0</v>
      </c>
      <c r="B8262" t="s">
        <v>1985</v>
      </c>
      <c r="C8262" t="s">
        <v>11403</v>
      </c>
      <c r="D8262" t="s">
        <v>18168</v>
      </c>
      <c r="E8262" t="s">
        <v>25463</v>
      </c>
      <c r="F8262" t="s">
        <v>31362</v>
      </c>
      <c r="G8262" t="s">
        <v>31368</v>
      </c>
      <c r="H8262" t="s">
        <v>15799</v>
      </c>
      <c r="I8262" t="s">
        <v>31393</v>
      </c>
      <c r="J8262" t="s">
        <v>31545</v>
      </c>
      <c r="K8262" t="s">
        <v>40665</v>
      </c>
      <c r="M8262" t="s">
        <v>43094</v>
      </c>
      <c r="N8262" t="s">
        <v>44905</v>
      </c>
      <c r="O8262" t="s">
        <v>44906</v>
      </c>
      <c r="P8262">
        <v>0</v>
      </c>
      <c r="Q8262">
        <v>1</v>
      </c>
      <c r="R8262" t="s">
        <v>44910</v>
      </c>
      <c r="S8262" t="s">
        <v>45076</v>
      </c>
      <c r="T8262" t="s">
        <v>46410</v>
      </c>
      <c r="U8262" t="s">
        <v>53583</v>
      </c>
      <c r="W8262" t="s">
        <v>43094</v>
      </c>
      <c r="X8262" t="s">
        <v>44911</v>
      </c>
    </row>
    <row r="8263" spans="1:24">
      <c r="A8263">
        <f>HYPERLINK("https://www.philgeps.gov.ph/GEPSNONPILOT/Tender/SplashBidNoticeAbstractUI.aspx?menuIndex=3&amp;refID=7075734&amp;Result=3","7075734")</f>
        <v>0</v>
      </c>
      <c r="B8263" t="s">
        <v>1985</v>
      </c>
      <c r="C8263" t="s">
        <v>11404</v>
      </c>
      <c r="D8263" t="s">
        <v>18168</v>
      </c>
      <c r="E8263" t="s">
        <v>25464</v>
      </c>
      <c r="F8263" t="s">
        <v>31362</v>
      </c>
      <c r="G8263" t="s">
        <v>31368</v>
      </c>
      <c r="H8263" t="s">
        <v>15799</v>
      </c>
      <c r="I8263" t="s">
        <v>7719</v>
      </c>
      <c r="J8263" t="s">
        <v>36565</v>
      </c>
      <c r="K8263" t="s">
        <v>40665</v>
      </c>
      <c r="M8263" t="s">
        <v>43094</v>
      </c>
      <c r="N8263" t="s">
        <v>44905</v>
      </c>
      <c r="O8263" t="s">
        <v>44906</v>
      </c>
      <c r="P8263">
        <v>0</v>
      </c>
      <c r="Q8263">
        <v>3</v>
      </c>
      <c r="R8263" t="s">
        <v>44910</v>
      </c>
      <c r="S8263" t="s">
        <v>45076</v>
      </c>
      <c r="T8263" t="s">
        <v>46410</v>
      </c>
      <c r="U8263" t="s">
        <v>53584</v>
      </c>
      <c r="W8263" t="s">
        <v>43094</v>
      </c>
      <c r="X8263" t="s">
        <v>44911</v>
      </c>
    </row>
    <row r="8264" spans="1:24">
      <c r="A8264">
        <f>HYPERLINK("https://www.philgeps.gov.ph/GEPSNONPILOT/Tender/SplashBidNoticeAbstractUI.aspx?menuIndex=3&amp;refID=7075713&amp;Result=3","7075713")</f>
        <v>0</v>
      </c>
      <c r="B8264" t="s">
        <v>2435</v>
      </c>
      <c r="C8264" t="s">
        <v>6247</v>
      </c>
      <c r="D8264" t="s">
        <v>18131</v>
      </c>
      <c r="E8264" t="s">
        <v>25465</v>
      </c>
      <c r="F8264" t="s">
        <v>31362</v>
      </c>
      <c r="G8264" t="s">
        <v>31369</v>
      </c>
      <c r="H8264" t="s">
        <v>31378</v>
      </c>
      <c r="I8264" t="s">
        <v>31386</v>
      </c>
      <c r="J8264" t="s">
        <v>36566</v>
      </c>
      <c r="K8264" t="s">
        <v>40662</v>
      </c>
      <c r="M8264" t="s">
        <v>43594</v>
      </c>
      <c r="N8264" t="s">
        <v>44905</v>
      </c>
      <c r="O8264" t="s">
        <v>44906</v>
      </c>
      <c r="P8264">
        <v>0</v>
      </c>
      <c r="Q8264">
        <v>2</v>
      </c>
      <c r="R8264" t="s">
        <v>44910</v>
      </c>
      <c r="S8264" t="s">
        <v>45076</v>
      </c>
      <c r="T8264" t="s">
        <v>46438</v>
      </c>
      <c r="U8264" t="s">
        <v>53585</v>
      </c>
      <c r="V8264" t="s">
        <v>59367</v>
      </c>
      <c r="W8264" t="s">
        <v>43594</v>
      </c>
      <c r="X8264" t="s">
        <v>44911</v>
      </c>
    </row>
    <row r="8265" spans="1:24">
      <c r="A8265">
        <f>HYPERLINK("https://www.philgeps.gov.ph/GEPSNONPILOT/Tender/SplashBidNoticeAbstractUI.aspx?menuIndex=3&amp;refID=7075720&amp;Result=3","7075720")</f>
        <v>0</v>
      </c>
      <c r="B8265" t="s">
        <v>2427</v>
      </c>
      <c r="C8265" t="s">
        <v>11405</v>
      </c>
      <c r="D8265" t="s">
        <v>18100</v>
      </c>
      <c r="E8265" t="s">
        <v>25466</v>
      </c>
      <c r="F8265" t="s">
        <v>31362</v>
      </c>
      <c r="G8265" t="s">
        <v>31369</v>
      </c>
      <c r="H8265" t="s">
        <v>15799</v>
      </c>
      <c r="I8265" t="s">
        <v>7090</v>
      </c>
      <c r="J8265" t="s">
        <v>33356</v>
      </c>
      <c r="K8265" t="s">
        <v>40736</v>
      </c>
      <c r="M8265" t="s">
        <v>43584</v>
      </c>
      <c r="N8265" t="s">
        <v>44905</v>
      </c>
      <c r="O8265" t="s">
        <v>44906</v>
      </c>
      <c r="P8265">
        <v>0</v>
      </c>
      <c r="Q8265">
        <v>0</v>
      </c>
      <c r="R8265" t="s">
        <v>44910</v>
      </c>
      <c r="S8265" t="s">
        <v>45076</v>
      </c>
      <c r="T8265" t="s">
        <v>46464</v>
      </c>
      <c r="U8265" t="s">
        <v>53586</v>
      </c>
      <c r="W8265" t="s">
        <v>43584</v>
      </c>
      <c r="X8265" t="s">
        <v>44911</v>
      </c>
    </row>
    <row r="8266" spans="1:24">
      <c r="A8266">
        <f>HYPERLINK("https://www.philgeps.gov.ph/GEPSNONPILOT/Tender/SplashBidNoticeAbstractUI.aspx?menuIndex=3&amp;refID=7075627&amp;Result=3","7075627")</f>
        <v>0</v>
      </c>
      <c r="B8266" t="s">
        <v>2437</v>
      </c>
      <c r="C8266" t="s">
        <v>11406</v>
      </c>
      <c r="D8266" t="s">
        <v>18145</v>
      </c>
      <c r="E8266" t="s">
        <v>20346</v>
      </c>
      <c r="F8266" t="s">
        <v>31362</v>
      </c>
      <c r="G8266" t="s">
        <v>31369</v>
      </c>
      <c r="H8266" t="s">
        <v>15799</v>
      </c>
      <c r="I8266" t="s">
        <v>31409</v>
      </c>
      <c r="J8266" t="s">
        <v>36347</v>
      </c>
      <c r="K8266" t="s">
        <v>40670</v>
      </c>
      <c r="M8266" t="s">
        <v>43596</v>
      </c>
      <c r="N8266" t="s">
        <v>44905</v>
      </c>
      <c r="O8266" t="s">
        <v>44906</v>
      </c>
      <c r="P8266">
        <v>0</v>
      </c>
      <c r="Q8266">
        <v>8</v>
      </c>
      <c r="R8266" t="s">
        <v>44910</v>
      </c>
      <c r="S8266" t="s">
        <v>45076</v>
      </c>
      <c r="T8266" t="s">
        <v>46591</v>
      </c>
      <c r="U8266" t="s">
        <v>53587</v>
      </c>
      <c r="V8266" t="s">
        <v>59867</v>
      </c>
      <c r="W8266" t="s">
        <v>43596</v>
      </c>
      <c r="X8266" t="s">
        <v>44911</v>
      </c>
    </row>
    <row r="8267" spans="1:24">
      <c r="A8267">
        <f>HYPERLINK("https://www.philgeps.gov.ph/GEPSNONPILOT/Tender/SplashBidNoticeAbstractUI.aspx?menuIndex=3&amp;refID=7075626&amp;Result=3","7075626")</f>
        <v>0</v>
      </c>
      <c r="B8267" t="s">
        <v>301</v>
      </c>
      <c r="C8267" t="s">
        <v>11407</v>
      </c>
      <c r="D8267" t="s">
        <v>18164</v>
      </c>
      <c r="E8267" t="s">
        <v>25467</v>
      </c>
      <c r="F8267" t="s">
        <v>31362</v>
      </c>
      <c r="G8267" t="s">
        <v>31368</v>
      </c>
      <c r="H8267" t="s">
        <v>15799</v>
      </c>
      <c r="I8267" t="s">
        <v>3815</v>
      </c>
      <c r="J8267" t="s">
        <v>36567</v>
      </c>
      <c r="K8267" t="s">
        <v>40670</v>
      </c>
      <c r="M8267" t="s">
        <v>41244</v>
      </c>
      <c r="N8267" t="s">
        <v>44905</v>
      </c>
      <c r="O8267" t="s">
        <v>44906</v>
      </c>
      <c r="P8267">
        <v>0</v>
      </c>
      <c r="Q8267">
        <v>0</v>
      </c>
      <c r="R8267" t="s">
        <v>44910</v>
      </c>
      <c r="S8267" t="s">
        <v>45076</v>
      </c>
      <c r="T8267" t="s">
        <v>46409</v>
      </c>
      <c r="U8267" t="s">
        <v>53588</v>
      </c>
      <c r="V8267" t="s">
        <v>56092</v>
      </c>
      <c r="W8267" t="s">
        <v>41244</v>
      </c>
      <c r="X8267" t="s">
        <v>44911</v>
      </c>
    </row>
    <row r="8268" spans="1:24">
      <c r="A8268">
        <f>HYPERLINK("https://www.philgeps.gov.ph/GEPSNONPILOT/Tender/SplashBidNoticeAbstractUI.aspx?menuIndex=3&amp;refID=7075625&amp;Result=3","7075625")</f>
        <v>0</v>
      </c>
      <c r="B8268" t="s">
        <v>321</v>
      </c>
      <c r="C8268" t="s">
        <v>11408</v>
      </c>
      <c r="D8268" t="s">
        <v>18114</v>
      </c>
      <c r="E8268" t="s">
        <v>25420</v>
      </c>
      <c r="F8268" t="s">
        <v>31362</v>
      </c>
      <c r="G8268" t="s">
        <v>31369</v>
      </c>
      <c r="H8268" t="s">
        <v>31379</v>
      </c>
      <c r="I8268" t="s">
        <v>31421</v>
      </c>
      <c r="J8268" t="s">
        <v>36568</v>
      </c>
      <c r="K8268" t="s">
        <v>40686</v>
      </c>
      <c r="M8268" t="s">
        <v>41267</v>
      </c>
      <c r="N8268" t="s">
        <v>44905</v>
      </c>
      <c r="O8268" t="s">
        <v>44906</v>
      </c>
      <c r="P8268">
        <v>0</v>
      </c>
      <c r="Q8268">
        <v>3</v>
      </c>
      <c r="R8268" t="s">
        <v>44910</v>
      </c>
      <c r="S8268" t="s">
        <v>45076</v>
      </c>
      <c r="T8268" t="s">
        <v>46511</v>
      </c>
      <c r="U8268" t="s">
        <v>47466</v>
      </c>
      <c r="V8268" t="s">
        <v>59133</v>
      </c>
      <c r="W8268" t="s">
        <v>41267</v>
      </c>
      <c r="X8268" t="s">
        <v>44911</v>
      </c>
    </row>
    <row r="8269" spans="1:24">
      <c r="A8269">
        <f>HYPERLINK("https://www.philgeps.gov.ph/GEPSNONPILOT/Tender/SplashBidNoticeAbstractUI.aspx?menuIndex=3&amp;refID=7075585&amp;Result=3","7075585")</f>
        <v>0</v>
      </c>
      <c r="B8269" t="s">
        <v>410</v>
      </c>
      <c r="C8269" t="s">
        <v>11409</v>
      </c>
      <c r="D8269" t="s">
        <v>18179</v>
      </c>
      <c r="E8269" t="s">
        <v>25468</v>
      </c>
      <c r="F8269" t="s">
        <v>31362</v>
      </c>
      <c r="G8269" t="s">
        <v>31368</v>
      </c>
      <c r="H8269" t="s">
        <v>15799</v>
      </c>
      <c r="I8269" t="s">
        <v>31400</v>
      </c>
      <c r="J8269" t="s">
        <v>31869</v>
      </c>
      <c r="K8269" t="s">
        <v>40662</v>
      </c>
      <c r="M8269" t="s">
        <v>41360</v>
      </c>
      <c r="N8269" t="s">
        <v>44905</v>
      </c>
      <c r="O8269" t="s">
        <v>44906</v>
      </c>
      <c r="P8269">
        <v>0</v>
      </c>
      <c r="Q8269">
        <v>0</v>
      </c>
      <c r="R8269" t="s">
        <v>44910</v>
      </c>
      <c r="S8269" t="s">
        <v>45076</v>
      </c>
      <c r="T8269" t="s">
        <v>46409</v>
      </c>
      <c r="U8269" t="s">
        <v>47654</v>
      </c>
      <c r="W8269" t="s">
        <v>41360</v>
      </c>
      <c r="X8269" t="s">
        <v>44911</v>
      </c>
    </row>
    <row r="8270" spans="1:24">
      <c r="A8270">
        <f>HYPERLINK("https://www.philgeps.gov.ph/GEPSNONPILOT/Tender/SplashBidNoticeAbstractUI.aspx?menuIndex=3&amp;refID=7075584&amp;Result=3","7075584")</f>
        <v>0</v>
      </c>
      <c r="B8270" t="s">
        <v>2416</v>
      </c>
      <c r="C8270" t="s">
        <v>11410</v>
      </c>
      <c r="D8270" t="s">
        <v>18153</v>
      </c>
      <c r="E8270" t="s">
        <v>19375</v>
      </c>
      <c r="F8270" t="s">
        <v>31362</v>
      </c>
      <c r="G8270" t="s">
        <v>31369</v>
      </c>
      <c r="H8270" t="s">
        <v>15799</v>
      </c>
      <c r="I8270" t="s">
        <v>3815</v>
      </c>
      <c r="J8270" t="s">
        <v>36569</v>
      </c>
      <c r="K8270" t="s">
        <v>40666</v>
      </c>
      <c r="M8270" t="s">
        <v>43571</v>
      </c>
      <c r="N8270" t="s">
        <v>44905</v>
      </c>
      <c r="O8270" t="s">
        <v>44906</v>
      </c>
      <c r="P8270">
        <v>0</v>
      </c>
      <c r="Q8270">
        <v>0</v>
      </c>
      <c r="R8270" t="s">
        <v>44910</v>
      </c>
      <c r="S8270" t="s">
        <v>45076</v>
      </c>
      <c r="T8270" t="s">
        <v>46435</v>
      </c>
      <c r="U8270" t="s">
        <v>53589</v>
      </c>
      <c r="W8270" t="s">
        <v>43571</v>
      </c>
      <c r="X8270" t="s">
        <v>44911</v>
      </c>
    </row>
    <row r="8271" spans="1:24">
      <c r="A8271">
        <f>HYPERLINK("https://www.philgeps.gov.ph/GEPSNONPILOT/Tender/SplashBidNoticeAbstractUI.aspx?menuIndex=3&amp;refID=7075582&amp;Result=3","7075582")</f>
        <v>0</v>
      </c>
      <c r="B8271" t="s">
        <v>1706</v>
      </c>
      <c r="C8271" t="s">
        <v>11411</v>
      </c>
      <c r="D8271" t="s">
        <v>18112</v>
      </c>
      <c r="E8271" t="s">
        <v>25469</v>
      </c>
      <c r="F8271" t="s">
        <v>31362</v>
      </c>
      <c r="G8271" t="s">
        <v>31369</v>
      </c>
      <c r="H8271" t="s">
        <v>31378</v>
      </c>
      <c r="I8271" t="s">
        <v>31386</v>
      </c>
      <c r="J8271" t="s">
        <v>36570</v>
      </c>
      <c r="K8271" t="s">
        <v>40686</v>
      </c>
      <c r="M8271" t="s">
        <v>42773</v>
      </c>
      <c r="N8271" t="s">
        <v>44905</v>
      </c>
      <c r="O8271" t="s">
        <v>44906</v>
      </c>
      <c r="P8271">
        <v>0</v>
      </c>
      <c r="Q8271">
        <v>1</v>
      </c>
      <c r="R8271" t="s">
        <v>44910</v>
      </c>
      <c r="S8271" t="s">
        <v>45076</v>
      </c>
      <c r="T8271" t="s">
        <v>46588</v>
      </c>
      <c r="U8271" t="s">
        <v>53590</v>
      </c>
      <c r="V8271" t="s">
        <v>59557</v>
      </c>
      <c r="W8271" t="s">
        <v>42773</v>
      </c>
      <c r="X8271" t="s">
        <v>44911</v>
      </c>
    </row>
    <row r="8272" spans="1:24">
      <c r="A8272">
        <f>HYPERLINK("https://www.philgeps.gov.ph/GEPSNONPILOT/Tender/SplashBidNoticeAbstractUI.aspx?menuIndex=3&amp;refID=7075552&amp;Result=3","7075552")</f>
        <v>0</v>
      </c>
      <c r="B8272" t="s">
        <v>1919</v>
      </c>
      <c r="C8272" t="s">
        <v>11412</v>
      </c>
      <c r="D8272" t="s">
        <v>18125</v>
      </c>
      <c r="E8272" t="s">
        <v>25470</v>
      </c>
      <c r="F8272" t="s">
        <v>31362</v>
      </c>
      <c r="G8272" t="s">
        <v>31369</v>
      </c>
      <c r="H8272" t="s">
        <v>15799</v>
      </c>
      <c r="I8272" t="s">
        <v>7090</v>
      </c>
      <c r="J8272" t="s">
        <v>31625</v>
      </c>
      <c r="K8272" t="s">
        <v>40666</v>
      </c>
      <c r="M8272" t="s">
        <v>43016</v>
      </c>
      <c r="N8272" t="s">
        <v>44905</v>
      </c>
      <c r="O8272" t="s">
        <v>44906</v>
      </c>
      <c r="P8272">
        <v>0</v>
      </c>
      <c r="Q8272">
        <v>4</v>
      </c>
      <c r="R8272" t="s">
        <v>44910</v>
      </c>
      <c r="S8272" t="s">
        <v>45076</v>
      </c>
      <c r="T8272" t="s">
        <v>46549</v>
      </c>
      <c r="U8272" t="s">
        <v>53591</v>
      </c>
      <c r="W8272" t="s">
        <v>43016</v>
      </c>
      <c r="X8272" t="s">
        <v>44911</v>
      </c>
    </row>
    <row r="8273" spans="1:24">
      <c r="A8273">
        <f>HYPERLINK("https://www.philgeps.gov.ph/GEPSNONPILOT/Tender/SplashBidNoticeAbstractUI.aspx?menuIndex=3&amp;refID=7075628&amp;Result=3","7075628")</f>
        <v>0</v>
      </c>
      <c r="B8273" t="s">
        <v>1786</v>
      </c>
      <c r="C8273" t="s">
        <v>11413</v>
      </c>
      <c r="D8273" t="s">
        <v>18133</v>
      </c>
      <c r="E8273" t="s">
        <v>25471</v>
      </c>
      <c r="F8273" t="s">
        <v>31362</v>
      </c>
      <c r="G8273" t="s">
        <v>31369</v>
      </c>
      <c r="H8273" t="s">
        <v>31378</v>
      </c>
      <c r="I8273" t="s">
        <v>31386</v>
      </c>
      <c r="J8273" t="s">
        <v>36571</v>
      </c>
      <c r="K8273" t="s">
        <v>40735</v>
      </c>
      <c r="M8273" t="s">
        <v>42867</v>
      </c>
      <c r="N8273" t="s">
        <v>44905</v>
      </c>
      <c r="O8273" t="s">
        <v>44906</v>
      </c>
      <c r="P8273">
        <v>0</v>
      </c>
      <c r="Q8273">
        <v>1</v>
      </c>
      <c r="R8273" t="s">
        <v>44910</v>
      </c>
      <c r="S8273" t="s">
        <v>45076</v>
      </c>
      <c r="T8273" t="s">
        <v>46538</v>
      </c>
      <c r="U8273" t="s">
        <v>53592</v>
      </c>
      <c r="W8273" t="s">
        <v>42867</v>
      </c>
      <c r="X8273" t="s">
        <v>44911</v>
      </c>
    </row>
    <row r="8274" spans="1:24">
      <c r="A8274">
        <f>HYPERLINK("https://www.philgeps.gov.ph/GEPSNONPILOT/Tender/SplashBidNoticeAbstractUI.aspx?menuIndex=3&amp;refID=7075671&amp;Result=3","7075671")</f>
        <v>0</v>
      </c>
      <c r="B8274" t="s">
        <v>1985</v>
      </c>
      <c r="C8274" t="s">
        <v>11414</v>
      </c>
      <c r="D8274" t="s">
        <v>18168</v>
      </c>
      <c r="E8274" t="s">
        <v>25472</v>
      </c>
      <c r="F8274" t="s">
        <v>31362</v>
      </c>
      <c r="G8274" t="s">
        <v>31368</v>
      </c>
      <c r="H8274" t="s">
        <v>15799</v>
      </c>
      <c r="I8274" t="s">
        <v>3815</v>
      </c>
      <c r="J8274" t="s">
        <v>36572</v>
      </c>
      <c r="K8274" t="s">
        <v>40665</v>
      </c>
      <c r="M8274" t="s">
        <v>43094</v>
      </c>
      <c r="N8274" t="s">
        <v>44905</v>
      </c>
      <c r="O8274" t="s">
        <v>44906</v>
      </c>
      <c r="P8274">
        <v>0</v>
      </c>
      <c r="Q8274">
        <v>0</v>
      </c>
      <c r="R8274" t="s">
        <v>44910</v>
      </c>
      <c r="S8274" t="s">
        <v>45076</v>
      </c>
      <c r="T8274" t="s">
        <v>46415</v>
      </c>
      <c r="U8274" t="s">
        <v>53593</v>
      </c>
      <c r="W8274" t="s">
        <v>43094</v>
      </c>
      <c r="X8274" t="s">
        <v>44911</v>
      </c>
    </row>
    <row r="8275" spans="1:24">
      <c r="A8275">
        <f>HYPERLINK("https://www.philgeps.gov.ph/GEPSNONPILOT/Tender/SplashBidNoticeAbstractUI.aspx?menuIndex=3&amp;refID=7075754&amp;Result=3","7075754")</f>
        <v>0</v>
      </c>
      <c r="B8275" t="s">
        <v>843</v>
      </c>
      <c r="C8275" t="s">
        <v>11415</v>
      </c>
      <c r="D8275" t="s">
        <v>18108</v>
      </c>
      <c r="E8275" t="s">
        <v>25473</v>
      </c>
      <c r="F8275" t="s">
        <v>31362</v>
      </c>
      <c r="G8275" t="s">
        <v>31368</v>
      </c>
      <c r="H8275" t="s">
        <v>31378</v>
      </c>
      <c r="I8275" t="s">
        <v>31386</v>
      </c>
      <c r="J8275" t="s">
        <v>36573</v>
      </c>
      <c r="K8275" t="s">
        <v>40666</v>
      </c>
      <c r="M8275" t="s">
        <v>41818</v>
      </c>
      <c r="N8275" t="s">
        <v>44905</v>
      </c>
      <c r="O8275" t="s">
        <v>44906</v>
      </c>
      <c r="P8275">
        <v>0</v>
      </c>
      <c r="Q8275">
        <v>3</v>
      </c>
      <c r="R8275" t="s">
        <v>44910</v>
      </c>
      <c r="S8275" t="s">
        <v>45076</v>
      </c>
      <c r="T8275" t="s">
        <v>46414</v>
      </c>
      <c r="U8275" t="s">
        <v>53594</v>
      </c>
      <c r="V8275" t="s">
        <v>59868</v>
      </c>
      <c r="W8275" t="s">
        <v>41818</v>
      </c>
      <c r="X8275" t="s">
        <v>44911</v>
      </c>
    </row>
    <row r="8276" spans="1:24">
      <c r="A8276">
        <f>HYPERLINK("https://www.philgeps.gov.ph/GEPSNONPILOT/Tender/SplashBidNoticeAbstractUI.aspx?menuIndex=3&amp;refID=7075631&amp;Result=3","7075631")</f>
        <v>0</v>
      </c>
      <c r="B8276" t="s">
        <v>516</v>
      </c>
      <c r="C8276" t="s">
        <v>11416</v>
      </c>
      <c r="D8276" t="s">
        <v>18136</v>
      </c>
      <c r="E8276" t="s">
        <v>25474</v>
      </c>
      <c r="F8276" t="s">
        <v>31362</v>
      </c>
      <c r="G8276" t="s">
        <v>31371</v>
      </c>
      <c r="H8276" t="s">
        <v>15799</v>
      </c>
      <c r="I8276" t="s">
        <v>7090</v>
      </c>
      <c r="J8276" t="s">
        <v>36574</v>
      </c>
      <c r="K8276" t="s">
        <v>40665</v>
      </c>
      <c r="M8276" t="s">
        <v>43558</v>
      </c>
      <c r="N8276" t="s">
        <v>44905</v>
      </c>
      <c r="O8276" t="s">
        <v>44906</v>
      </c>
      <c r="P8276">
        <v>0</v>
      </c>
      <c r="Q8276">
        <v>4</v>
      </c>
      <c r="R8276" t="s">
        <v>44910</v>
      </c>
      <c r="S8276" t="s">
        <v>45076</v>
      </c>
      <c r="T8276" t="s">
        <v>46411</v>
      </c>
      <c r="U8276" t="s">
        <v>53439</v>
      </c>
      <c r="W8276" t="s">
        <v>43558</v>
      </c>
      <c r="X8276" t="s">
        <v>44911</v>
      </c>
    </row>
    <row r="8277" spans="1:24">
      <c r="A8277">
        <f>HYPERLINK("https://www.philgeps.gov.ph/GEPSNONPILOT/Tender/SplashBidNoticeAbstractUI.aspx?menuIndex=3&amp;refID=7075581&amp;Result=3","7075581")</f>
        <v>0</v>
      </c>
      <c r="B8277" t="s">
        <v>908</v>
      </c>
      <c r="C8277" t="s">
        <v>11417</v>
      </c>
      <c r="D8277" t="s">
        <v>18144</v>
      </c>
      <c r="E8277" t="s">
        <v>25401</v>
      </c>
      <c r="F8277" t="s">
        <v>31362</v>
      </c>
      <c r="G8277" t="s">
        <v>31368</v>
      </c>
      <c r="H8277" t="s">
        <v>15799</v>
      </c>
      <c r="I8277" t="s">
        <v>31424</v>
      </c>
      <c r="J8277" t="s">
        <v>36575</v>
      </c>
      <c r="K8277" t="s">
        <v>40666</v>
      </c>
      <c r="M8277" t="s">
        <v>41979</v>
      </c>
      <c r="N8277" t="s">
        <v>44905</v>
      </c>
      <c r="O8277" t="s">
        <v>44906</v>
      </c>
      <c r="P8277">
        <v>0</v>
      </c>
      <c r="Q8277">
        <v>1</v>
      </c>
      <c r="R8277" t="s">
        <v>44910</v>
      </c>
      <c r="S8277" t="s">
        <v>45076</v>
      </c>
      <c r="T8277" t="s">
        <v>46467</v>
      </c>
      <c r="U8277" t="s">
        <v>53595</v>
      </c>
      <c r="W8277" t="s">
        <v>41979</v>
      </c>
      <c r="X8277" t="s">
        <v>44911</v>
      </c>
    </row>
    <row r="8278" spans="1:24">
      <c r="A8278">
        <f>HYPERLINK("https://www.philgeps.gov.ph/GEPSNONPILOT/Tender/SplashBidNoticeAbstractUI.aspx?menuIndex=3&amp;refID=7075551&amp;Result=3","7075551")</f>
        <v>0</v>
      </c>
      <c r="B8278" t="s">
        <v>410</v>
      </c>
      <c r="C8278" t="s">
        <v>11418</v>
      </c>
      <c r="D8278" t="s">
        <v>18179</v>
      </c>
      <c r="E8278" t="s">
        <v>25475</v>
      </c>
      <c r="F8278" t="s">
        <v>31362</v>
      </c>
      <c r="G8278" t="s">
        <v>31368</v>
      </c>
      <c r="H8278" t="s">
        <v>15799</v>
      </c>
      <c r="I8278" t="s">
        <v>3815</v>
      </c>
      <c r="J8278" t="s">
        <v>36576</v>
      </c>
      <c r="K8278" t="s">
        <v>40662</v>
      </c>
      <c r="M8278" t="s">
        <v>41360</v>
      </c>
      <c r="N8278" t="s">
        <v>44905</v>
      </c>
      <c r="O8278" t="s">
        <v>44906</v>
      </c>
      <c r="P8278">
        <v>0</v>
      </c>
      <c r="Q8278">
        <v>0</v>
      </c>
      <c r="R8278" t="s">
        <v>44910</v>
      </c>
      <c r="S8278" t="s">
        <v>45076</v>
      </c>
      <c r="T8278" t="s">
        <v>46409</v>
      </c>
      <c r="U8278" t="s">
        <v>47654</v>
      </c>
      <c r="W8278" t="s">
        <v>41360</v>
      </c>
      <c r="X8278" t="s">
        <v>44911</v>
      </c>
    </row>
    <row r="8279" spans="1:24">
      <c r="A8279">
        <f>HYPERLINK("https://www.philgeps.gov.ph/GEPSNONPILOT/Tender/SplashBidNoticeAbstractUI.aspx?menuIndex=3&amp;refID=7075783&amp;Result=3","7075783")</f>
        <v>0</v>
      </c>
      <c r="B8279" t="s">
        <v>2438</v>
      </c>
      <c r="C8279" t="s">
        <v>11419</v>
      </c>
      <c r="D8279" t="s">
        <v>18109</v>
      </c>
      <c r="E8279" t="s">
        <v>25476</v>
      </c>
      <c r="F8279" t="s">
        <v>31362</v>
      </c>
      <c r="G8279" t="s">
        <v>31369</v>
      </c>
      <c r="H8279" t="s">
        <v>31378</v>
      </c>
      <c r="I8279" t="s">
        <v>31386</v>
      </c>
      <c r="J8279" t="s">
        <v>36577</v>
      </c>
      <c r="K8279" t="s">
        <v>40662</v>
      </c>
      <c r="L8279" t="s">
        <v>2438</v>
      </c>
      <c r="M8279" t="s">
        <v>43597</v>
      </c>
      <c r="N8279" t="s">
        <v>44905</v>
      </c>
      <c r="O8279" t="s">
        <v>44906</v>
      </c>
      <c r="Q8279">
        <v>0</v>
      </c>
      <c r="R8279" t="s">
        <v>44910</v>
      </c>
      <c r="S8279" t="s">
        <v>45119</v>
      </c>
      <c r="T8279" t="s">
        <v>46573</v>
      </c>
      <c r="U8279" t="s">
        <v>53596</v>
      </c>
      <c r="V8279" t="s">
        <v>59869</v>
      </c>
      <c r="W8279" t="s">
        <v>43597</v>
      </c>
      <c r="X8279" t="s">
        <v>44911</v>
      </c>
    </row>
    <row r="8280" spans="1:24">
      <c r="A8280">
        <f>HYPERLINK("https://www.philgeps.gov.ph/GEPSNONPILOT/Tender/SplashBidNoticeAbstractUI.aspx?menuIndex=3&amp;refID=7075782&amp;Result=3","7075782")</f>
        <v>0</v>
      </c>
      <c r="B8280" t="s">
        <v>2439</v>
      </c>
      <c r="C8280" t="s">
        <v>11420</v>
      </c>
      <c r="D8280" t="s">
        <v>18100</v>
      </c>
      <c r="E8280" t="s">
        <v>25477</v>
      </c>
      <c r="F8280" t="s">
        <v>31362</v>
      </c>
      <c r="G8280" t="s">
        <v>31369</v>
      </c>
      <c r="H8280" t="s">
        <v>15799</v>
      </c>
      <c r="I8280" t="s">
        <v>6155</v>
      </c>
      <c r="J8280" t="s">
        <v>31866</v>
      </c>
      <c r="K8280" t="s">
        <v>40693</v>
      </c>
      <c r="M8280" t="s">
        <v>43598</v>
      </c>
      <c r="N8280" t="s">
        <v>44905</v>
      </c>
      <c r="O8280" t="s">
        <v>44906</v>
      </c>
      <c r="P8280">
        <v>0</v>
      </c>
      <c r="Q8280">
        <v>0</v>
      </c>
      <c r="R8280" t="s">
        <v>44910</v>
      </c>
      <c r="S8280" t="s">
        <v>45076</v>
      </c>
      <c r="T8280" t="s">
        <v>46461</v>
      </c>
      <c r="U8280" t="s">
        <v>53597</v>
      </c>
      <c r="W8280" t="s">
        <v>43598</v>
      </c>
      <c r="X8280" t="s">
        <v>44911</v>
      </c>
    </row>
    <row r="8281" spans="1:24">
      <c r="A8281">
        <f>HYPERLINK("https://www.philgeps.gov.ph/GEPSNONPILOT/Tender/SplashBidNoticeAbstractUI.aspx?menuIndex=3&amp;refID=7075723&amp;Result=3","7075723")</f>
        <v>0</v>
      </c>
      <c r="B8281" t="s">
        <v>2430</v>
      </c>
      <c r="C8281" t="s">
        <v>11421</v>
      </c>
      <c r="D8281" t="s">
        <v>18108</v>
      </c>
      <c r="E8281" t="s">
        <v>25478</v>
      </c>
      <c r="F8281" t="s">
        <v>31362</v>
      </c>
      <c r="G8281" t="s">
        <v>31369</v>
      </c>
      <c r="H8281" t="s">
        <v>15799</v>
      </c>
      <c r="I8281" t="s">
        <v>7719</v>
      </c>
      <c r="J8281" t="s">
        <v>33446</v>
      </c>
      <c r="K8281" t="s">
        <v>40662</v>
      </c>
      <c r="M8281" t="s">
        <v>43588</v>
      </c>
      <c r="N8281" t="s">
        <v>44905</v>
      </c>
      <c r="O8281" t="s">
        <v>44906</v>
      </c>
      <c r="P8281">
        <v>0</v>
      </c>
      <c r="Q8281">
        <v>13</v>
      </c>
      <c r="R8281" t="s">
        <v>44910</v>
      </c>
      <c r="S8281" t="s">
        <v>45076</v>
      </c>
      <c r="T8281" t="s">
        <v>46626</v>
      </c>
      <c r="U8281" t="s">
        <v>53598</v>
      </c>
      <c r="W8281" t="s">
        <v>43588</v>
      </c>
      <c r="X8281" t="s">
        <v>44911</v>
      </c>
    </row>
    <row r="8282" spans="1:24">
      <c r="A8282">
        <f>HYPERLINK("https://www.philgeps.gov.ph/GEPSNONPILOT/Tender/SplashBidNoticeAbstractUI.aspx?menuIndex=3&amp;refID=7075776&amp;Result=3","7075776")</f>
        <v>0</v>
      </c>
      <c r="B8282" t="s">
        <v>2440</v>
      </c>
      <c r="C8282" t="s">
        <v>3815</v>
      </c>
      <c r="D8282" t="s">
        <v>18106</v>
      </c>
      <c r="E8282" t="s">
        <v>25479</v>
      </c>
      <c r="F8282" t="s">
        <v>31362</v>
      </c>
      <c r="G8282" t="s">
        <v>31369</v>
      </c>
      <c r="H8282" t="s">
        <v>15799</v>
      </c>
      <c r="I8282" t="s">
        <v>3815</v>
      </c>
      <c r="J8282" t="s">
        <v>31578</v>
      </c>
      <c r="K8282" t="s">
        <v>40661</v>
      </c>
      <c r="M8282" t="s">
        <v>43599</v>
      </c>
      <c r="N8282" t="s">
        <v>44905</v>
      </c>
      <c r="O8282" t="s">
        <v>44906</v>
      </c>
      <c r="P8282">
        <v>0</v>
      </c>
      <c r="Q8282">
        <v>1</v>
      </c>
      <c r="R8282" t="s">
        <v>44910</v>
      </c>
      <c r="S8282" t="s">
        <v>45076</v>
      </c>
      <c r="T8282" t="s">
        <v>46416</v>
      </c>
      <c r="U8282" t="s">
        <v>53599</v>
      </c>
      <c r="W8282" t="s">
        <v>43599</v>
      </c>
      <c r="X8282" t="s">
        <v>44911</v>
      </c>
    </row>
    <row r="8283" spans="1:24">
      <c r="A8283">
        <f>HYPERLINK("https://www.philgeps.gov.ph/GEPSNONPILOT/Tender/SplashBidNoticeAbstractUI.aspx?menuIndex=3&amp;refID=7075774&amp;Result=3","7075774")</f>
        <v>0</v>
      </c>
      <c r="B8283" t="s">
        <v>523</v>
      </c>
      <c r="C8283" t="s">
        <v>11422</v>
      </c>
      <c r="D8283" t="s">
        <v>18108</v>
      </c>
      <c r="E8283" t="s">
        <v>25480</v>
      </c>
      <c r="F8283" t="s">
        <v>31362</v>
      </c>
      <c r="G8283" t="s">
        <v>31369</v>
      </c>
      <c r="H8283" t="s">
        <v>15799</v>
      </c>
      <c r="I8283" t="s">
        <v>31382</v>
      </c>
      <c r="J8283" t="s">
        <v>32594</v>
      </c>
      <c r="K8283" t="s">
        <v>40662</v>
      </c>
      <c r="M8283" t="s">
        <v>41535</v>
      </c>
      <c r="N8283" t="s">
        <v>44905</v>
      </c>
      <c r="O8283" t="s">
        <v>44906</v>
      </c>
      <c r="P8283">
        <v>0</v>
      </c>
      <c r="Q8283">
        <v>20</v>
      </c>
      <c r="R8283" t="s">
        <v>44910</v>
      </c>
      <c r="S8283" t="s">
        <v>45076</v>
      </c>
      <c r="T8283" t="s">
        <v>46776</v>
      </c>
      <c r="U8283" t="s">
        <v>53600</v>
      </c>
      <c r="W8283" t="s">
        <v>41535</v>
      </c>
      <c r="X8283" t="s">
        <v>44911</v>
      </c>
    </row>
    <row r="8284" spans="1:24">
      <c r="A8284">
        <f>HYPERLINK("https://www.philgeps.gov.ph/GEPSNONPILOT/Tender/SplashBidNoticeAbstractUI.aspx?menuIndex=3&amp;refID=7075772&amp;Result=3","7075772")</f>
        <v>0</v>
      </c>
      <c r="B8284" t="s">
        <v>2441</v>
      </c>
      <c r="C8284" t="s">
        <v>11423</v>
      </c>
      <c r="D8284" t="s">
        <v>18117</v>
      </c>
      <c r="E8284" t="s">
        <v>25481</v>
      </c>
      <c r="F8284" t="s">
        <v>31362</v>
      </c>
      <c r="G8284" t="s">
        <v>31369</v>
      </c>
      <c r="H8284" t="s">
        <v>15799</v>
      </c>
      <c r="I8284" t="s">
        <v>7188</v>
      </c>
      <c r="J8284" t="s">
        <v>36578</v>
      </c>
      <c r="K8284" t="s">
        <v>40665</v>
      </c>
      <c r="M8284" t="s">
        <v>43600</v>
      </c>
      <c r="N8284" t="s">
        <v>44905</v>
      </c>
      <c r="O8284" t="s">
        <v>44906</v>
      </c>
      <c r="P8284">
        <v>0</v>
      </c>
      <c r="Q8284">
        <v>8</v>
      </c>
      <c r="R8284" t="s">
        <v>44910</v>
      </c>
      <c r="S8284" t="s">
        <v>45076</v>
      </c>
      <c r="T8284" t="s">
        <v>46530</v>
      </c>
      <c r="U8284" t="s">
        <v>53601</v>
      </c>
      <c r="W8284" t="s">
        <v>43600</v>
      </c>
      <c r="X8284" t="s">
        <v>44911</v>
      </c>
    </row>
    <row r="8285" spans="1:24">
      <c r="A8285">
        <f>HYPERLINK("https://www.philgeps.gov.ph/GEPSNONPILOT/Tender/SplashBidNoticeAbstractUI.aspx?menuIndex=3&amp;refID=7075770&amp;Result=3","7075770")</f>
        <v>0</v>
      </c>
      <c r="B8285" t="s">
        <v>2442</v>
      </c>
      <c r="C8285" t="s">
        <v>11424</v>
      </c>
      <c r="D8285" t="s">
        <v>18108</v>
      </c>
      <c r="E8285" t="s">
        <v>25482</v>
      </c>
      <c r="F8285" t="s">
        <v>31362</v>
      </c>
      <c r="G8285" t="s">
        <v>31368</v>
      </c>
      <c r="H8285" t="s">
        <v>31377</v>
      </c>
      <c r="I8285" t="s">
        <v>31377</v>
      </c>
      <c r="J8285" t="s">
        <v>31724</v>
      </c>
      <c r="K8285" t="s">
        <v>40662</v>
      </c>
      <c r="M8285" t="s">
        <v>43601</v>
      </c>
      <c r="N8285" t="s">
        <v>44905</v>
      </c>
      <c r="O8285" t="s">
        <v>44906</v>
      </c>
      <c r="Q8285">
        <v>3</v>
      </c>
      <c r="R8285" t="s">
        <v>44910</v>
      </c>
      <c r="S8285" t="s">
        <v>45120</v>
      </c>
      <c r="T8285" t="s">
        <v>46682</v>
      </c>
      <c r="U8285" t="s">
        <v>53602</v>
      </c>
      <c r="V8285" t="s">
        <v>59870</v>
      </c>
      <c r="W8285" t="s">
        <v>43601</v>
      </c>
      <c r="X8285" t="s">
        <v>44911</v>
      </c>
    </row>
    <row r="8286" spans="1:24">
      <c r="A8286">
        <f>HYPERLINK("https://www.philgeps.gov.ph/GEPSNONPILOT/Tender/SplashBidNoticeAbstractUI.aspx?menuIndex=3&amp;refID=7075769&amp;Result=3","7075769")</f>
        <v>0</v>
      </c>
      <c r="B8286" t="s">
        <v>1549</v>
      </c>
      <c r="C8286" t="s">
        <v>11425</v>
      </c>
      <c r="D8286" t="s">
        <v>18113</v>
      </c>
      <c r="E8286" t="s">
        <v>25483</v>
      </c>
      <c r="F8286" t="s">
        <v>31362</v>
      </c>
      <c r="G8286" t="s">
        <v>31369</v>
      </c>
      <c r="H8286" t="s">
        <v>15799</v>
      </c>
      <c r="I8286" t="s">
        <v>6240</v>
      </c>
      <c r="J8286" t="s">
        <v>36579</v>
      </c>
      <c r="K8286" t="s">
        <v>40665</v>
      </c>
      <c r="L8286" t="s">
        <v>1549</v>
      </c>
      <c r="M8286" t="s">
        <v>42597</v>
      </c>
      <c r="N8286" t="s">
        <v>44905</v>
      </c>
      <c r="O8286" t="s">
        <v>44906</v>
      </c>
      <c r="P8286">
        <v>0</v>
      </c>
      <c r="Q8286">
        <v>0</v>
      </c>
      <c r="R8286" t="s">
        <v>44910</v>
      </c>
      <c r="S8286" t="s">
        <v>45076</v>
      </c>
      <c r="T8286" t="s">
        <v>46498</v>
      </c>
      <c r="U8286" t="s">
        <v>53603</v>
      </c>
      <c r="W8286" t="s">
        <v>42597</v>
      </c>
      <c r="X8286" t="s">
        <v>44911</v>
      </c>
    </row>
    <row r="8287" spans="1:24">
      <c r="A8287">
        <f>HYPERLINK("https://www.philgeps.gov.ph/GEPSNONPILOT/Tender/SplashBidNoticeAbstractUI.aspx?menuIndex=3&amp;refID=7075549&amp;Result=3","7075549")</f>
        <v>0</v>
      </c>
      <c r="B8287" t="s">
        <v>2392</v>
      </c>
      <c r="C8287" t="s">
        <v>11426</v>
      </c>
      <c r="D8287" t="s">
        <v>18155</v>
      </c>
      <c r="E8287" t="s">
        <v>25484</v>
      </c>
      <c r="F8287" t="s">
        <v>31362</v>
      </c>
      <c r="G8287" t="s">
        <v>31369</v>
      </c>
      <c r="H8287" t="s">
        <v>31378</v>
      </c>
      <c r="I8287" t="s">
        <v>31386</v>
      </c>
      <c r="J8287" t="s">
        <v>31591</v>
      </c>
      <c r="K8287" t="s">
        <v>40665</v>
      </c>
      <c r="M8287" t="s">
        <v>43541</v>
      </c>
      <c r="N8287" t="s">
        <v>44905</v>
      </c>
      <c r="O8287" t="s">
        <v>44906</v>
      </c>
      <c r="P8287">
        <v>0</v>
      </c>
      <c r="Q8287">
        <v>0</v>
      </c>
      <c r="R8287" t="s">
        <v>44910</v>
      </c>
      <c r="S8287" t="s">
        <v>45076</v>
      </c>
      <c r="T8287" t="s">
        <v>46499</v>
      </c>
      <c r="U8287" t="s">
        <v>53604</v>
      </c>
      <c r="V8287" t="s">
        <v>59843</v>
      </c>
      <c r="W8287" t="s">
        <v>43541</v>
      </c>
      <c r="X8287" t="s">
        <v>44911</v>
      </c>
    </row>
    <row r="8288" spans="1:24">
      <c r="A8288">
        <f>HYPERLINK("https://www.philgeps.gov.ph/GEPSNONPILOT/Tender/SplashBidNoticeAbstractUI.aspx?menuIndex=3&amp;refID=7075768&amp;Result=3","7075768")</f>
        <v>0</v>
      </c>
      <c r="B8288" t="s">
        <v>2440</v>
      </c>
      <c r="C8288" t="s">
        <v>3815</v>
      </c>
      <c r="D8288" t="s">
        <v>18106</v>
      </c>
      <c r="E8288" t="s">
        <v>25485</v>
      </c>
      <c r="F8288" t="s">
        <v>31362</v>
      </c>
      <c r="G8288" t="s">
        <v>31369</v>
      </c>
      <c r="H8288" t="s">
        <v>15799</v>
      </c>
      <c r="I8288" t="s">
        <v>3815</v>
      </c>
      <c r="J8288" t="s">
        <v>31578</v>
      </c>
      <c r="K8288" t="s">
        <v>40661</v>
      </c>
      <c r="M8288" t="s">
        <v>43599</v>
      </c>
      <c r="N8288" t="s">
        <v>44905</v>
      </c>
      <c r="O8288" t="s">
        <v>44906</v>
      </c>
      <c r="P8288">
        <v>0</v>
      </c>
      <c r="Q8288">
        <v>1</v>
      </c>
      <c r="R8288" t="s">
        <v>44910</v>
      </c>
      <c r="S8288" t="s">
        <v>45076</v>
      </c>
      <c r="T8288" t="s">
        <v>46416</v>
      </c>
      <c r="U8288" t="s">
        <v>53605</v>
      </c>
      <c r="W8288" t="s">
        <v>43599</v>
      </c>
      <c r="X8288" t="s">
        <v>44911</v>
      </c>
    </row>
    <row r="8289" spans="1:24">
      <c r="A8289">
        <f>HYPERLINK("https://www.philgeps.gov.ph/GEPSNONPILOT/Tender/SplashBidNoticeAbstractUI.aspx?menuIndex=3&amp;refID=7075764&amp;Result=3","7075764")</f>
        <v>0</v>
      </c>
      <c r="B8289" t="s">
        <v>1549</v>
      </c>
      <c r="C8289" t="s">
        <v>11427</v>
      </c>
      <c r="D8289" t="s">
        <v>18113</v>
      </c>
      <c r="E8289" t="s">
        <v>25486</v>
      </c>
      <c r="F8289" t="s">
        <v>31362</v>
      </c>
      <c r="G8289" t="s">
        <v>31369</v>
      </c>
      <c r="H8289" t="s">
        <v>15799</v>
      </c>
      <c r="I8289" t="s">
        <v>31415</v>
      </c>
      <c r="J8289" t="s">
        <v>36580</v>
      </c>
      <c r="K8289" t="s">
        <v>40666</v>
      </c>
      <c r="L8289" t="s">
        <v>1549</v>
      </c>
      <c r="M8289" t="s">
        <v>42597</v>
      </c>
      <c r="N8289" t="s">
        <v>44905</v>
      </c>
      <c r="O8289" t="s">
        <v>44906</v>
      </c>
      <c r="P8289">
        <v>0</v>
      </c>
      <c r="Q8289">
        <v>0</v>
      </c>
      <c r="R8289" t="s">
        <v>44910</v>
      </c>
      <c r="S8289" t="s">
        <v>45076</v>
      </c>
      <c r="T8289" t="s">
        <v>46498</v>
      </c>
      <c r="U8289" t="s">
        <v>53606</v>
      </c>
      <c r="W8289" t="s">
        <v>42597</v>
      </c>
      <c r="X8289" t="s">
        <v>44911</v>
      </c>
    </row>
    <row r="8290" spans="1:24">
      <c r="A8290">
        <f>HYPERLINK("https://www.philgeps.gov.ph/GEPSNONPILOT/Tender/SplashBidNoticeAbstractUI.aspx?menuIndex=3&amp;refID=7075773&amp;Result=3","7075773")</f>
        <v>0</v>
      </c>
      <c r="B8290" t="s">
        <v>2438</v>
      </c>
      <c r="C8290" t="s">
        <v>11428</v>
      </c>
      <c r="D8290" t="s">
        <v>18109</v>
      </c>
      <c r="E8290" t="s">
        <v>25487</v>
      </c>
      <c r="F8290" t="s">
        <v>31362</v>
      </c>
      <c r="G8290" t="s">
        <v>31369</v>
      </c>
      <c r="H8290" t="s">
        <v>31378</v>
      </c>
      <c r="I8290" t="s">
        <v>31386</v>
      </c>
      <c r="J8290" t="s">
        <v>36149</v>
      </c>
      <c r="K8290" t="s">
        <v>40662</v>
      </c>
      <c r="L8290" t="s">
        <v>2438</v>
      </c>
      <c r="M8290" t="s">
        <v>43597</v>
      </c>
      <c r="N8290" t="s">
        <v>44905</v>
      </c>
      <c r="O8290" t="s">
        <v>44906</v>
      </c>
      <c r="Q8290">
        <v>1</v>
      </c>
      <c r="R8290" t="s">
        <v>44910</v>
      </c>
      <c r="S8290" t="s">
        <v>45121</v>
      </c>
      <c r="T8290" t="s">
        <v>46573</v>
      </c>
      <c r="U8290" t="s">
        <v>53596</v>
      </c>
      <c r="V8290" t="s">
        <v>59869</v>
      </c>
      <c r="W8290" t="s">
        <v>43597</v>
      </c>
      <c r="X8290" t="s">
        <v>44911</v>
      </c>
    </row>
    <row r="8291" spans="1:24">
      <c r="A8291">
        <f>HYPERLINK("https://www.philgeps.gov.ph/GEPSNONPILOT/Tender/SplashBidNoticeAbstractUI.aspx?menuIndex=3&amp;refID=7075822&amp;Result=3","7075822")</f>
        <v>0</v>
      </c>
      <c r="B8291" t="s">
        <v>2438</v>
      </c>
      <c r="C8291" t="s">
        <v>11429</v>
      </c>
      <c r="D8291" t="s">
        <v>18109</v>
      </c>
      <c r="E8291" t="s">
        <v>25488</v>
      </c>
      <c r="F8291" t="s">
        <v>31362</v>
      </c>
      <c r="G8291" t="s">
        <v>31369</v>
      </c>
      <c r="H8291" t="s">
        <v>31378</v>
      </c>
      <c r="I8291" t="s">
        <v>31386</v>
      </c>
      <c r="J8291" t="s">
        <v>34312</v>
      </c>
      <c r="K8291" t="s">
        <v>40662</v>
      </c>
      <c r="L8291" t="s">
        <v>2438</v>
      </c>
      <c r="M8291" t="s">
        <v>43597</v>
      </c>
      <c r="N8291" t="s">
        <v>44905</v>
      </c>
      <c r="O8291" t="s">
        <v>44906</v>
      </c>
      <c r="P8291">
        <v>0</v>
      </c>
      <c r="Q8291">
        <v>0</v>
      </c>
      <c r="R8291" t="s">
        <v>44910</v>
      </c>
      <c r="S8291" t="s">
        <v>45076</v>
      </c>
      <c r="T8291" t="s">
        <v>46433</v>
      </c>
      <c r="U8291" t="s">
        <v>53596</v>
      </c>
      <c r="V8291" t="s">
        <v>59869</v>
      </c>
      <c r="W8291" t="s">
        <v>43597</v>
      </c>
      <c r="X8291" t="s">
        <v>44911</v>
      </c>
    </row>
    <row r="8292" spans="1:24">
      <c r="A8292">
        <f>HYPERLINK("https://www.philgeps.gov.ph/GEPSNONPILOT/Tender/SplashBidNoticeAbstractUI.aspx?menuIndex=3&amp;refID=7075813&amp;Result=3","7075813")</f>
        <v>0</v>
      </c>
      <c r="B8292" t="s">
        <v>672</v>
      </c>
      <c r="C8292" t="s">
        <v>11430</v>
      </c>
      <c r="D8292" t="s">
        <v>18103</v>
      </c>
      <c r="E8292" t="s">
        <v>25489</v>
      </c>
      <c r="F8292" t="s">
        <v>31362</v>
      </c>
      <c r="G8292" t="s">
        <v>31369</v>
      </c>
      <c r="H8292" t="s">
        <v>31378</v>
      </c>
      <c r="I8292" t="s">
        <v>31386</v>
      </c>
      <c r="J8292" t="s">
        <v>36377</v>
      </c>
      <c r="K8292" t="s">
        <v>40682</v>
      </c>
      <c r="M8292" t="s">
        <v>41634</v>
      </c>
      <c r="N8292" t="s">
        <v>44905</v>
      </c>
      <c r="O8292" t="s">
        <v>44906</v>
      </c>
      <c r="P8292">
        <v>0</v>
      </c>
      <c r="Q8292">
        <v>3</v>
      </c>
      <c r="R8292" t="s">
        <v>44910</v>
      </c>
      <c r="S8292" t="s">
        <v>45076</v>
      </c>
      <c r="T8292" t="s">
        <v>46433</v>
      </c>
      <c r="U8292" t="s">
        <v>53336</v>
      </c>
      <c r="W8292" t="s">
        <v>60863</v>
      </c>
      <c r="X8292" t="s">
        <v>44911</v>
      </c>
    </row>
    <row r="8293" spans="1:24">
      <c r="A8293">
        <f>HYPERLINK("https://www.philgeps.gov.ph/GEPSNONPILOT/Tender/SplashBidNoticeAbstractUI.aspx?menuIndex=3&amp;refID=7075821&amp;Result=3","7075821")</f>
        <v>0</v>
      </c>
      <c r="B8293" t="s">
        <v>672</v>
      </c>
      <c r="C8293" t="s">
        <v>11431</v>
      </c>
      <c r="D8293" t="s">
        <v>18103</v>
      </c>
      <c r="E8293" t="s">
        <v>25490</v>
      </c>
      <c r="F8293" t="s">
        <v>31362</v>
      </c>
      <c r="G8293" t="s">
        <v>31369</v>
      </c>
      <c r="H8293" t="s">
        <v>31378</v>
      </c>
      <c r="I8293" t="s">
        <v>31386</v>
      </c>
      <c r="J8293" t="s">
        <v>32673</v>
      </c>
      <c r="K8293" t="s">
        <v>40682</v>
      </c>
      <c r="M8293" t="s">
        <v>41634</v>
      </c>
      <c r="N8293" t="s">
        <v>44905</v>
      </c>
      <c r="O8293" t="s">
        <v>44906</v>
      </c>
      <c r="P8293">
        <v>0</v>
      </c>
      <c r="Q8293">
        <v>3</v>
      </c>
      <c r="R8293" t="s">
        <v>44910</v>
      </c>
      <c r="S8293" t="s">
        <v>45076</v>
      </c>
      <c r="T8293" t="s">
        <v>46433</v>
      </c>
      <c r="U8293" t="s">
        <v>53336</v>
      </c>
      <c r="W8293" t="s">
        <v>60863</v>
      </c>
      <c r="X8293" t="s">
        <v>44911</v>
      </c>
    </row>
    <row r="8294" spans="1:24">
      <c r="A8294">
        <f>HYPERLINK("https://www.philgeps.gov.ph/GEPSNONPILOT/Tender/SplashBidNoticeAbstractUI.aspx?menuIndex=3&amp;refID=7075788&amp;Result=3","7075788")</f>
        <v>0</v>
      </c>
      <c r="B8294" t="s">
        <v>2438</v>
      </c>
      <c r="C8294" t="s">
        <v>11432</v>
      </c>
      <c r="D8294" t="s">
        <v>18109</v>
      </c>
      <c r="E8294" t="s">
        <v>25491</v>
      </c>
      <c r="F8294" t="s">
        <v>31362</v>
      </c>
      <c r="G8294" t="s">
        <v>31369</v>
      </c>
      <c r="H8294" t="s">
        <v>31378</v>
      </c>
      <c r="I8294" t="s">
        <v>31386</v>
      </c>
      <c r="J8294" t="s">
        <v>32877</v>
      </c>
      <c r="K8294" t="s">
        <v>40662</v>
      </c>
      <c r="L8294" t="s">
        <v>2438</v>
      </c>
      <c r="M8294" t="s">
        <v>43597</v>
      </c>
      <c r="N8294" t="s">
        <v>44905</v>
      </c>
      <c r="O8294" t="s">
        <v>44906</v>
      </c>
      <c r="P8294">
        <v>0</v>
      </c>
      <c r="Q8294">
        <v>0</v>
      </c>
      <c r="R8294" t="s">
        <v>44910</v>
      </c>
      <c r="S8294" t="s">
        <v>45076</v>
      </c>
      <c r="T8294" t="s">
        <v>46433</v>
      </c>
      <c r="U8294" t="s">
        <v>53596</v>
      </c>
      <c r="V8294" t="s">
        <v>59869</v>
      </c>
      <c r="W8294" t="s">
        <v>43597</v>
      </c>
      <c r="X8294" t="s">
        <v>44911</v>
      </c>
    </row>
    <row r="8295" spans="1:24">
      <c r="A8295">
        <f>HYPERLINK("https://www.philgeps.gov.ph/GEPSNONPILOT/Tender/SplashBidNoticeAbstractUI.aspx?menuIndex=3&amp;refID=7075815&amp;Result=3","7075815")</f>
        <v>0</v>
      </c>
      <c r="B8295" t="s">
        <v>853</v>
      </c>
      <c r="C8295" t="s">
        <v>11433</v>
      </c>
      <c r="D8295" t="s">
        <v>18108</v>
      </c>
      <c r="E8295" t="s">
        <v>23447</v>
      </c>
      <c r="F8295" t="s">
        <v>31362</v>
      </c>
      <c r="G8295" t="s">
        <v>31368</v>
      </c>
      <c r="H8295" t="s">
        <v>31379</v>
      </c>
      <c r="I8295" t="s">
        <v>3582</v>
      </c>
      <c r="J8295" t="s">
        <v>32391</v>
      </c>
      <c r="K8295" t="s">
        <v>40661</v>
      </c>
      <c r="M8295" t="s">
        <v>41829</v>
      </c>
      <c r="N8295" t="s">
        <v>44905</v>
      </c>
      <c r="O8295" t="s">
        <v>44906</v>
      </c>
      <c r="P8295">
        <v>0</v>
      </c>
      <c r="Q8295">
        <v>2</v>
      </c>
      <c r="R8295" t="s">
        <v>44910</v>
      </c>
      <c r="S8295" t="s">
        <v>45076</v>
      </c>
      <c r="T8295" t="s">
        <v>46409</v>
      </c>
      <c r="U8295" t="s">
        <v>48735</v>
      </c>
      <c r="W8295" t="s">
        <v>41829</v>
      </c>
      <c r="X8295" t="s">
        <v>44911</v>
      </c>
    </row>
    <row r="8296" spans="1:24">
      <c r="A8296">
        <f>HYPERLINK("https://www.philgeps.gov.ph/GEPSNONPILOT/Tender/SplashBidNoticeAbstractUI.aspx?menuIndex=3&amp;refID=7075632&amp;Result=3","7075632")</f>
        <v>0</v>
      </c>
      <c r="B8296" t="s">
        <v>635</v>
      </c>
      <c r="C8296" t="s">
        <v>11434</v>
      </c>
      <c r="D8296" t="s">
        <v>18108</v>
      </c>
      <c r="E8296" t="s">
        <v>25492</v>
      </c>
      <c r="F8296" t="s">
        <v>31362</v>
      </c>
      <c r="G8296" t="s">
        <v>31369</v>
      </c>
      <c r="H8296" t="s">
        <v>31378</v>
      </c>
      <c r="I8296" t="s">
        <v>31386</v>
      </c>
      <c r="J8296" t="s">
        <v>31615</v>
      </c>
      <c r="K8296" t="s">
        <v>40679</v>
      </c>
      <c r="M8296" t="s">
        <v>41595</v>
      </c>
      <c r="N8296" t="s">
        <v>44905</v>
      </c>
      <c r="O8296" t="s">
        <v>44906</v>
      </c>
      <c r="P8296">
        <v>0</v>
      </c>
      <c r="Q8296">
        <v>2</v>
      </c>
      <c r="R8296" t="s">
        <v>44910</v>
      </c>
      <c r="S8296" t="s">
        <v>45076</v>
      </c>
      <c r="T8296" t="s">
        <v>46777</v>
      </c>
      <c r="U8296" t="s">
        <v>53607</v>
      </c>
      <c r="V8296" t="s">
        <v>59871</v>
      </c>
      <c r="W8296" t="s">
        <v>41595</v>
      </c>
      <c r="X8296" t="s">
        <v>44911</v>
      </c>
    </row>
    <row r="8297" spans="1:24">
      <c r="A8297">
        <f>HYPERLINK("https://www.philgeps.gov.ph/GEPSNONPILOT/Tender/SplashBidNoticeAbstractUI.aspx?menuIndex=3&amp;refID=7075814&amp;Result=3","7075814")</f>
        <v>0</v>
      </c>
      <c r="B8297" t="s">
        <v>2443</v>
      </c>
      <c r="C8297" t="s">
        <v>11435</v>
      </c>
      <c r="D8297" t="s">
        <v>18108</v>
      </c>
      <c r="E8297" t="s">
        <v>25493</v>
      </c>
      <c r="F8297" t="s">
        <v>31362</v>
      </c>
      <c r="G8297" t="s">
        <v>31368</v>
      </c>
      <c r="H8297" t="s">
        <v>15799</v>
      </c>
      <c r="I8297" t="s">
        <v>31466</v>
      </c>
      <c r="J8297" t="s">
        <v>36581</v>
      </c>
      <c r="K8297" t="s">
        <v>40670</v>
      </c>
      <c r="M8297" t="s">
        <v>43602</v>
      </c>
      <c r="N8297" t="s">
        <v>44905</v>
      </c>
      <c r="O8297" t="s">
        <v>44906</v>
      </c>
      <c r="P8297">
        <v>0</v>
      </c>
      <c r="Q8297">
        <v>3</v>
      </c>
      <c r="R8297" t="s">
        <v>44910</v>
      </c>
      <c r="S8297" t="s">
        <v>45076</v>
      </c>
      <c r="T8297" t="s">
        <v>46438</v>
      </c>
      <c r="U8297" t="s">
        <v>53608</v>
      </c>
      <c r="V8297" t="s">
        <v>59872</v>
      </c>
      <c r="W8297" t="s">
        <v>43602</v>
      </c>
      <c r="X8297" t="s">
        <v>44911</v>
      </c>
    </row>
    <row r="8298" spans="1:24">
      <c r="A8298">
        <f>HYPERLINK("https://www.philgeps.gov.ph/GEPSNONPILOT/Tender/SplashBidNoticeAbstractUI.aspx?menuIndex=3&amp;refID=7075811&amp;Result=3","7075811")</f>
        <v>0</v>
      </c>
      <c r="B8298" t="s">
        <v>2444</v>
      </c>
      <c r="C8298" t="s">
        <v>11436</v>
      </c>
      <c r="D8298" t="s">
        <v>18102</v>
      </c>
      <c r="E8298" t="s">
        <v>25494</v>
      </c>
      <c r="F8298" t="s">
        <v>31362</v>
      </c>
      <c r="G8298" t="s">
        <v>31369</v>
      </c>
      <c r="H8298" t="s">
        <v>31378</v>
      </c>
      <c r="I8298" t="s">
        <v>31386</v>
      </c>
      <c r="J8298" t="s">
        <v>36067</v>
      </c>
      <c r="K8298" t="s">
        <v>40678</v>
      </c>
      <c r="M8298" t="s">
        <v>43603</v>
      </c>
      <c r="N8298" t="s">
        <v>44905</v>
      </c>
      <c r="O8298" t="s">
        <v>44906</v>
      </c>
      <c r="P8298">
        <v>0</v>
      </c>
      <c r="Q8298">
        <v>0</v>
      </c>
      <c r="R8298" t="s">
        <v>44910</v>
      </c>
      <c r="S8298" t="s">
        <v>45076</v>
      </c>
      <c r="T8298" t="s">
        <v>46416</v>
      </c>
      <c r="U8298" t="s">
        <v>53609</v>
      </c>
      <c r="W8298" t="s">
        <v>43603</v>
      </c>
      <c r="X8298" t="s">
        <v>44911</v>
      </c>
    </row>
    <row r="8299" spans="1:24">
      <c r="A8299">
        <f>HYPERLINK("https://www.philgeps.gov.ph/GEPSNONPILOT/Tender/SplashBidNoticeAbstractUI.aspx?menuIndex=3&amp;refID=7075810&amp;Result=3","7075810")</f>
        <v>0</v>
      </c>
      <c r="B8299" t="s">
        <v>660</v>
      </c>
      <c r="C8299" t="s">
        <v>11437</v>
      </c>
      <c r="D8299" t="s">
        <v>18116</v>
      </c>
      <c r="E8299" t="s">
        <v>25495</v>
      </c>
      <c r="F8299" t="s">
        <v>31362</v>
      </c>
      <c r="G8299" t="s">
        <v>31369</v>
      </c>
      <c r="H8299" t="s">
        <v>31378</v>
      </c>
      <c r="I8299" t="s">
        <v>31386</v>
      </c>
      <c r="J8299" t="s">
        <v>35695</v>
      </c>
      <c r="K8299" t="s">
        <v>40843</v>
      </c>
      <c r="M8299" t="s">
        <v>41622</v>
      </c>
      <c r="N8299" t="s">
        <v>44905</v>
      </c>
      <c r="O8299" t="s">
        <v>44906</v>
      </c>
      <c r="P8299">
        <v>0</v>
      </c>
      <c r="Q8299">
        <v>2</v>
      </c>
      <c r="R8299" t="s">
        <v>44910</v>
      </c>
      <c r="S8299" t="s">
        <v>45076</v>
      </c>
      <c r="T8299" t="s">
        <v>46464</v>
      </c>
      <c r="U8299" t="s">
        <v>53547</v>
      </c>
      <c r="W8299" t="s">
        <v>41622</v>
      </c>
      <c r="X8299" t="s">
        <v>44911</v>
      </c>
    </row>
    <row r="8300" spans="1:24">
      <c r="A8300">
        <f>HYPERLINK("https://www.philgeps.gov.ph/GEPSNONPILOT/Tender/SplashBidNoticeAbstractUI.aspx?menuIndex=3&amp;refID=7075807&amp;Result=3","7075807")</f>
        <v>0</v>
      </c>
      <c r="B8300" t="s">
        <v>2429</v>
      </c>
      <c r="C8300" t="s">
        <v>11438</v>
      </c>
      <c r="D8300" t="s">
        <v>18127</v>
      </c>
      <c r="E8300" t="s">
        <v>24784</v>
      </c>
      <c r="F8300" t="s">
        <v>31362</v>
      </c>
      <c r="G8300" t="s">
        <v>31369</v>
      </c>
      <c r="H8300" t="s">
        <v>15799</v>
      </c>
      <c r="I8300" t="s">
        <v>3815</v>
      </c>
      <c r="J8300" t="s">
        <v>31604</v>
      </c>
      <c r="K8300" t="s">
        <v>40662</v>
      </c>
      <c r="M8300" t="s">
        <v>43587</v>
      </c>
      <c r="N8300" t="s">
        <v>44905</v>
      </c>
      <c r="O8300" t="s">
        <v>44906</v>
      </c>
      <c r="P8300">
        <v>0</v>
      </c>
      <c r="Q8300">
        <v>0</v>
      </c>
      <c r="R8300" t="s">
        <v>44910</v>
      </c>
      <c r="S8300" t="s">
        <v>45076</v>
      </c>
      <c r="T8300" t="s">
        <v>46393</v>
      </c>
      <c r="U8300" t="s">
        <v>53610</v>
      </c>
      <c r="W8300" t="s">
        <v>43587</v>
      </c>
      <c r="X8300" t="s">
        <v>44911</v>
      </c>
    </row>
    <row r="8301" spans="1:24">
      <c r="A8301">
        <f>HYPERLINK("https://www.philgeps.gov.ph/GEPSNONPILOT/Tender/SplashBidNoticeAbstractUI.aspx?menuIndex=3&amp;refID=7075805&amp;Result=3","7075805")</f>
        <v>0</v>
      </c>
      <c r="B8301" t="s">
        <v>117</v>
      </c>
      <c r="C8301" t="s">
        <v>11439</v>
      </c>
      <c r="D8301" t="s">
        <v>18104</v>
      </c>
      <c r="E8301" t="s">
        <v>25496</v>
      </c>
      <c r="F8301" t="s">
        <v>31362</v>
      </c>
      <c r="G8301" t="s">
        <v>31370</v>
      </c>
      <c r="H8301" t="s">
        <v>15799</v>
      </c>
      <c r="I8301" t="s">
        <v>4942</v>
      </c>
      <c r="J8301" t="s">
        <v>36582</v>
      </c>
      <c r="K8301" t="s">
        <v>40662</v>
      </c>
      <c r="M8301" t="s">
        <v>41054</v>
      </c>
      <c r="N8301" t="s">
        <v>44905</v>
      </c>
      <c r="O8301" t="s">
        <v>44906</v>
      </c>
      <c r="P8301">
        <v>0</v>
      </c>
      <c r="Q8301">
        <v>0</v>
      </c>
      <c r="R8301" t="s">
        <v>44910</v>
      </c>
      <c r="S8301" t="s">
        <v>45076</v>
      </c>
      <c r="T8301" t="s">
        <v>46467</v>
      </c>
      <c r="U8301" t="s">
        <v>53611</v>
      </c>
      <c r="W8301" t="s">
        <v>41054</v>
      </c>
      <c r="X8301" t="s">
        <v>44911</v>
      </c>
    </row>
    <row r="8302" spans="1:24">
      <c r="A8302">
        <f>HYPERLINK("https://www.philgeps.gov.ph/GEPSNONPILOT/Tender/SplashBidNoticeAbstractUI.aspx?menuIndex=3&amp;refID=7075804&amp;Result=3","7075804")</f>
        <v>0</v>
      </c>
      <c r="B8302" t="s">
        <v>2438</v>
      </c>
      <c r="C8302" t="s">
        <v>11440</v>
      </c>
      <c r="D8302" t="s">
        <v>18109</v>
      </c>
      <c r="E8302" t="s">
        <v>25497</v>
      </c>
      <c r="F8302" t="s">
        <v>31362</v>
      </c>
      <c r="G8302" t="s">
        <v>31369</v>
      </c>
      <c r="H8302" t="s">
        <v>31378</v>
      </c>
      <c r="I8302" t="s">
        <v>31386</v>
      </c>
      <c r="J8302" t="s">
        <v>35702</v>
      </c>
      <c r="K8302" t="s">
        <v>40662</v>
      </c>
      <c r="L8302" t="s">
        <v>2438</v>
      </c>
      <c r="M8302" t="s">
        <v>43597</v>
      </c>
      <c r="N8302" t="s">
        <v>44905</v>
      </c>
      <c r="O8302" t="s">
        <v>44906</v>
      </c>
      <c r="Q8302">
        <v>2</v>
      </c>
      <c r="R8302" t="s">
        <v>44910</v>
      </c>
      <c r="S8302" t="s">
        <v>45122</v>
      </c>
      <c r="T8302" t="s">
        <v>46573</v>
      </c>
      <c r="U8302" t="s">
        <v>53596</v>
      </c>
      <c r="V8302" t="s">
        <v>59869</v>
      </c>
      <c r="W8302" t="s">
        <v>43597</v>
      </c>
      <c r="X8302" t="s">
        <v>44911</v>
      </c>
    </row>
    <row r="8303" spans="1:24">
      <c r="A8303">
        <f>HYPERLINK("https://www.philgeps.gov.ph/GEPSNONPILOT/Tender/SplashBidNoticeAbstractUI.aspx?menuIndex=3&amp;refID=7075801&amp;Result=3","7075801")</f>
        <v>0</v>
      </c>
      <c r="B8303" t="s">
        <v>853</v>
      </c>
      <c r="C8303" t="s">
        <v>6054</v>
      </c>
      <c r="D8303" t="s">
        <v>18108</v>
      </c>
      <c r="E8303" t="s">
        <v>25498</v>
      </c>
      <c r="F8303" t="s">
        <v>31362</v>
      </c>
      <c r="G8303" t="s">
        <v>31368</v>
      </c>
      <c r="H8303" t="s">
        <v>15799</v>
      </c>
      <c r="I8303" t="s">
        <v>7719</v>
      </c>
      <c r="J8303" t="s">
        <v>36583</v>
      </c>
      <c r="K8303" t="s">
        <v>40662</v>
      </c>
      <c r="M8303" t="s">
        <v>41829</v>
      </c>
      <c r="N8303" t="s">
        <v>44905</v>
      </c>
      <c r="O8303" t="s">
        <v>44906</v>
      </c>
      <c r="P8303">
        <v>0</v>
      </c>
      <c r="Q8303">
        <v>19</v>
      </c>
      <c r="R8303" t="s">
        <v>44910</v>
      </c>
      <c r="S8303" t="s">
        <v>45076</v>
      </c>
      <c r="T8303" t="s">
        <v>46409</v>
      </c>
      <c r="U8303" t="s">
        <v>48735</v>
      </c>
      <c r="W8303" t="s">
        <v>41829</v>
      </c>
      <c r="X8303" t="s">
        <v>44911</v>
      </c>
    </row>
    <row r="8304" spans="1:24">
      <c r="A8304">
        <f>HYPERLINK("https://www.philgeps.gov.ph/GEPSNONPILOT/Tender/SplashBidNoticeAbstractUI.aspx?menuIndex=3&amp;refID=7075799&amp;Result=3","7075799")</f>
        <v>0</v>
      </c>
      <c r="B8304" t="s">
        <v>2438</v>
      </c>
      <c r="C8304" t="s">
        <v>11441</v>
      </c>
      <c r="D8304" t="s">
        <v>18109</v>
      </c>
      <c r="E8304" t="s">
        <v>25499</v>
      </c>
      <c r="F8304" t="s">
        <v>31362</v>
      </c>
      <c r="G8304" t="s">
        <v>31369</v>
      </c>
      <c r="H8304" t="s">
        <v>31378</v>
      </c>
      <c r="I8304" t="s">
        <v>31386</v>
      </c>
      <c r="J8304" t="s">
        <v>36584</v>
      </c>
      <c r="K8304" t="s">
        <v>40662</v>
      </c>
      <c r="L8304" t="s">
        <v>2438</v>
      </c>
      <c r="M8304" t="s">
        <v>43597</v>
      </c>
      <c r="N8304" t="s">
        <v>44905</v>
      </c>
      <c r="O8304" t="s">
        <v>44906</v>
      </c>
      <c r="Q8304">
        <v>0</v>
      </c>
      <c r="R8304" t="s">
        <v>44910</v>
      </c>
      <c r="S8304" t="s">
        <v>45119</v>
      </c>
      <c r="T8304" t="s">
        <v>46573</v>
      </c>
      <c r="U8304" t="s">
        <v>53596</v>
      </c>
      <c r="V8304" t="s">
        <v>59869</v>
      </c>
      <c r="W8304" t="s">
        <v>43597</v>
      </c>
      <c r="X8304" t="s">
        <v>44911</v>
      </c>
    </row>
    <row r="8305" spans="1:24">
      <c r="A8305">
        <f>HYPERLINK("https://www.philgeps.gov.ph/GEPSNONPILOT/Tender/SplashBidNoticeAbstractUI.aspx?menuIndex=3&amp;refID=7075797&amp;Result=3","7075797")</f>
        <v>0</v>
      </c>
      <c r="B8305" t="s">
        <v>2445</v>
      </c>
      <c r="C8305" t="s">
        <v>11442</v>
      </c>
      <c r="D8305" t="s">
        <v>18108</v>
      </c>
      <c r="E8305" t="s">
        <v>25500</v>
      </c>
      <c r="F8305" t="s">
        <v>31362</v>
      </c>
      <c r="G8305" t="s">
        <v>31369</v>
      </c>
      <c r="H8305" t="s">
        <v>31377</v>
      </c>
      <c r="I8305" t="s">
        <v>31485</v>
      </c>
      <c r="J8305" t="s">
        <v>31545</v>
      </c>
      <c r="K8305" t="s">
        <v>40661</v>
      </c>
      <c r="M8305" t="s">
        <v>43604</v>
      </c>
      <c r="N8305" t="s">
        <v>44905</v>
      </c>
      <c r="O8305" t="s">
        <v>44906</v>
      </c>
      <c r="P8305">
        <v>0</v>
      </c>
      <c r="Q8305">
        <v>0</v>
      </c>
      <c r="R8305" t="s">
        <v>44910</v>
      </c>
      <c r="S8305" t="s">
        <v>45076</v>
      </c>
      <c r="T8305" t="s">
        <v>46470</v>
      </c>
      <c r="U8305" t="s">
        <v>53612</v>
      </c>
      <c r="W8305" t="s">
        <v>43604</v>
      </c>
      <c r="X8305" t="s">
        <v>44911</v>
      </c>
    </row>
    <row r="8306" spans="1:24">
      <c r="A8306">
        <f>HYPERLINK("https://www.philgeps.gov.ph/GEPSNONPILOT/Tender/SplashBidNoticeAbstractUI.aspx?menuIndex=3&amp;refID=7075809&amp;Result=3","7075809")</f>
        <v>0</v>
      </c>
      <c r="B8306" t="s">
        <v>2446</v>
      </c>
      <c r="C8306" t="s">
        <v>11443</v>
      </c>
      <c r="E8306" t="s">
        <v>25501</v>
      </c>
      <c r="F8306" t="s">
        <v>31362</v>
      </c>
      <c r="G8306" t="s">
        <v>31368</v>
      </c>
      <c r="H8306" t="s">
        <v>31378</v>
      </c>
      <c r="I8306" t="s">
        <v>3582</v>
      </c>
      <c r="J8306" t="s">
        <v>36585</v>
      </c>
      <c r="K8306" t="s">
        <v>40682</v>
      </c>
      <c r="M8306" t="s">
        <v>43605</v>
      </c>
      <c r="N8306" t="s">
        <v>44905</v>
      </c>
      <c r="O8306" t="s">
        <v>44906</v>
      </c>
      <c r="P8306">
        <v>0</v>
      </c>
      <c r="Q8306">
        <v>0</v>
      </c>
      <c r="R8306" t="s">
        <v>44910</v>
      </c>
      <c r="S8306" t="s">
        <v>45076</v>
      </c>
      <c r="T8306" t="s">
        <v>46560</v>
      </c>
      <c r="U8306" t="s">
        <v>53613</v>
      </c>
      <c r="W8306" t="s">
        <v>60934</v>
      </c>
      <c r="X8306" t="s">
        <v>44911</v>
      </c>
    </row>
    <row r="8307" spans="1:24">
      <c r="A8307">
        <f>HYPERLINK("https://www.philgeps.gov.ph/GEPSNONPILOT/Tender/SplashBidNoticeAbstractUI.aspx?menuIndex=3&amp;refID=7075792&amp;Result=3","7075792")</f>
        <v>0</v>
      </c>
      <c r="B8307" t="s">
        <v>2447</v>
      </c>
      <c r="C8307" t="s">
        <v>11444</v>
      </c>
      <c r="D8307" t="s">
        <v>18108</v>
      </c>
      <c r="E8307" t="s">
        <v>19229</v>
      </c>
      <c r="F8307" t="s">
        <v>31362</v>
      </c>
      <c r="G8307" t="s">
        <v>31368</v>
      </c>
      <c r="H8307" t="s">
        <v>31379</v>
      </c>
      <c r="I8307" t="s">
        <v>31480</v>
      </c>
      <c r="J8307" t="s">
        <v>33046</v>
      </c>
      <c r="K8307" t="s">
        <v>40844</v>
      </c>
      <c r="M8307" t="s">
        <v>43606</v>
      </c>
      <c r="N8307" t="s">
        <v>44905</v>
      </c>
      <c r="O8307" t="s">
        <v>44906</v>
      </c>
      <c r="P8307">
        <v>0</v>
      </c>
      <c r="Q8307">
        <v>0</v>
      </c>
      <c r="R8307" t="s">
        <v>44910</v>
      </c>
      <c r="S8307" t="s">
        <v>45076</v>
      </c>
      <c r="T8307" t="s">
        <v>46416</v>
      </c>
      <c r="U8307" t="s">
        <v>53614</v>
      </c>
      <c r="W8307" t="s">
        <v>43606</v>
      </c>
      <c r="X8307" t="s">
        <v>44911</v>
      </c>
    </row>
    <row r="8308" spans="1:24">
      <c r="A8308">
        <f>HYPERLINK("https://www.philgeps.gov.ph/GEPSNONPILOT/Tender/SplashBidNoticeAbstractUI.aspx?menuIndex=3&amp;refID=7075816&amp;Result=3","7075816")</f>
        <v>0</v>
      </c>
      <c r="B8308" t="s">
        <v>672</v>
      </c>
      <c r="C8308" t="s">
        <v>11445</v>
      </c>
      <c r="D8308" t="s">
        <v>18103</v>
      </c>
      <c r="E8308" t="s">
        <v>25502</v>
      </c>
      <c r="F8308" t="s">
        <v>31362</v>
      </c>
      <c r="G8308" t="s">
        <v>31369</v>
      </c>
      <c r="H8308" t="s">
        <v>31378</v>
      </c>
      <c r="I8308" t="s">
        <v>31386</v>
      </c>
      <c r="J8308" t="s">
        <v>36377</v>
      </c>
      <c r="K8308" t="s">
        <v>40665</v>
      </c>
      <c r="M8308" t="s">
        <v>41634</v>
      </c>
      <c r="N8308" t="s">
        <v>44905</v>
      </c>
      <c r="O8308" t="s">
        <v>44906</v>
      </c>
      <c r="P8308">
        <v>0</v>
      </c>
      <c r="Q8308">
        <v>3</v>
      </c>
      <c r="R8308" t="s">
        <v>44910</v>
      </c>
      <c r="S8308" t="s">
        <v>45076</v>
      </c>
      <c r="T8308" t="s">
        <v>46433</v>
      </c>
      <c r="U8308" t="s">
        <v>53336</v>
      </c>
      <c r="W8308" t="s">
        <v>60863</v>
      </c>
      <c r="X8308" t="s">
        <v>44911</v>
      </c>
    </row>
    <row r="8309" spans="1:24">
      <c r="A8309">
        <f>HYPERLINK("https://www.philgeps.gov.ph/GEPSNONPILOT/Tender/SplashBidNoticeAbstractUI.aspx?menuIndex=3&amp;refID=7075763&amp;Result=3","7075763")</f>
        <v>0</v>
      </c>
      <c r="B8309" t="s">
        <v>2440</v>
      </c>
      <c r="C8309" t="s">
        <v>3815</v>
      </c>
      <c r="D8309" t="s">
        <v>18106</v>
      </c>
      <c r="E8309" t="s">
        <v>25503</v>
      </c>
      <c r="F8309" t="s">
        <v>31362</v>
      </c>
      <c r="G8309" t="s">
        <v>31369</v>
      </c>
      <c r="H8309" t="s">
        <v>15799</v>
      </c>
      <c r="I8309" t="s">
        <v>3815</v>
      </c>
      <c r="J8309" t="s">
        <v>31578</v>
      </c>
      <c r="K8309" t="s">
        <v>40661</v>
      </c>
      <c r="M8309" t="s">
        <v>43599</v>
      </c>
      <c r="N8309" t="s">
        <v>44905</v>
      </c>
      <c r="O8309" t="s">
        <v>44906</v>
      </c>
      <c r="P8309">
        <v>0</v>
      </c>
      <c r="Q8309">
        <v>1</v>
      </c>
      <c r="R8309" t="s">
        <v>44910</v>
      </c>
      <c r="S8309" t="s">
        <v>45076</v>
      </c>
      <c r="T8309" t="s">
        <v>46416</v>
      </c>
      <c r="U8309" t="s">
        <v>53615</v>
      </c>
      <c r="W8309" t="s">
        <v>43599</v>
      </c>
      <c r="X8309" t="s">
        <v>44911</v>
      </c>
    </row>
    <row r="8310" spans="1:24">
      <c r="A8310">
        <f>HYPERLINK("https://www.philgeps.gov.ph/GEPSNONPILOT/Tender/SplashBidNoticeAbstractUI.aspx?menuIndex=3&amp;refID=7075791&amp;Result=3","7075791")</f>
        <v>0</v>
      </c>
      <c r="B8310" t="s">
        <v>2438</v>
      </c>
      <c r="C8310" t="s">
        <v>11446</v>
      </c>
      <c r="D8310" t="s">
        <v>18109</v>
      </c>
      <c r="E8310" t="s">
        <v>25504</v>
      </c>
      <c r="F8310" t="s">
        <v>31362</v>
      </c>
      <c r="G8310" t="s">
        <v>31369</v>
      </c>
      <c r="H8310" t="s">
        <v>31378</v>
      </c>
      <c r="I8310" t="s">
        <v>31386</v>
      </c>
      <c r="J8310" t="s">
        <v>35106</v>
      </c>
      <c r="K8310" t="s">
        <v>40662</v>
      </c>
      <c r="L8310" t="s">
        <v>2438</v>
      </c>
      <c r="M8310" t="s">
        <v>43597</v>
      </c>
      <c r="N8310" t="s">
        <v>44905</v>
      </c>
      <c r="O8310" t="s">
        <v>44906</v>
      </c>
      <c r="P8310">
        <v>0</v>
      </c>
      <c r="Q8310">
        <v>0</v>
      </c>
      <c r="R8310" t="s">
        <v>44910</v>
      </c>
      <c r="S8310" t="s">
        <v>45076</v>
      </c>
      <c r="T8310" t="s">
        <v>46433</v>
      </c>
      <c r="U8310" t="s">
        <v>53596</v>
      </c>
      <c r="V8310" t="s">
        <v>59869</v>
      </c>
      <c r="W8310" t="s">
        <v>43597</v>
      </c>
      <c r="X8310" t="s">
        <v>44911</v>
      </c>
    </row>
    <row r="8311" spans="1:24">
      <c r="A8311">
        <f>HYPERLINK("https://www.philgeps.gov.ph/GEPSNONPILOT/Tender/SplashBidNoticeAbstractUI.aspx?menuIndex=3&amp;refID=7075761&amp;Result=3","7075761")</f>
        <v>0</v>
      </c>
      <c r="B8311" t="s">
        <v>660</v>
      </c>
      <c r="C8311" t="s">
        <v>11447</v>
      </c>
      <c r="D8311" t="s">
        <v>18116</v>
      </c>
      <c r="E8311" t="s">
        <v>25505</v>
      </c>
      <c r="F8311" t="s">
        <v>31362</v>
      </c>
      <c r="G8311" t="s">
        <v>31369</v>
      </c>
      <c r="H8311" t="s">
        <v>31378</v>
      </c>
      <c r="I8311" t="s">
        <v>31386</v>
      </c>
      <c r="J8311" t="s">
        <v>36586</v>
      </c>
      <c r="K8311" t="s">
        <v>40843</v>
      </c>
      <c r="M8311" t="s">
        <v>41622</v>
      </c>
      <c r="N8311" t="s">
        <v>44905</v>
      </c>
      <c r="O8311" t="s">
        <v>44906</v>
      </c>
      <c r="P8311">
        <v>0</v>
      </c>
      <c r="Q8311">
        <v>4</v>
      </c>
      <c r="R8311" t="s">
        <v>44910</v>
      </c>
      <c r="S8311" t="s">
        <v>45076</v>
      </c>
      <c r="T8311" t="s">
        <v>46464</v>
      </c>
      <c r="U8311" t="s">
        <v>53616</v>
      </c>
      <c r="W8311" t="s">
        <v>41622</v>
      </c>
      <c r="X8311" t="s">
        <v>44911</v>
      </c>
    </row>
    <row r="8312" spans="1:24">
      <c r="A8312">
        <f>HYPERLINK("https://www.philgeps.gov.ph/GEPSNONPILOT/Tender/SplashBidNoticeAbstractUI.aspx?menuIndex=3&amp;refID=7075812&amp;Result=3","7075812")</f>
        <v>0</v>
      </c>
      <c r="B8312" t="s">
        <v>672</v>
      </c>
      <c r="C8312" t="s">
        <v>11448</v>
      </c>
      <c r="D8312" t="s">
        <v>18103</v>
      </c>
      <c r="E8312" t="s">
        <v>25506</v>
      </c>
      <c r="F8312" t="s">
        <v>31362</v>
      </c>
      <c r="G8312" t="s">
        <v>31369</v>
      </c>
      <c r="H8312" t="s">
        <v>31378</v>
      </c>
      <c r="I8312" t="s">
        <v>31386</v>
      </c>
      <c r="J8312" t="s">
        <v>36377</v>
      </c>
      <c r="K8312" t="s">
        <v>40682</v>
      </c>
      <c r="M8312" t="s">
        <v>41634</v>
      </c>
      <c r="N8312" t="s">
        <v>44905</v>
      </c>
      <c r="O8312" t="s">
        <v>44906</v>
      </c>
      <c r="P8312">
        <v>0</v>
      </c>
      <c r="Q8312">
        <v>3</v>
      </c>
      <c r="R8312" t="s">
        <v>44910</v>
      </c>
      <c r="S8312" t="s">
        <v>45076</v>
      </c>
      <c r="T8312" t="s">
        <v>46433</v>
      </c>
      <c r="U8312" t="s">
        <v>53336</v>
      </c>
      <c r="W8312" t="s">
        <v>60863</v>
      </c>
      <c r="X8312" t="s">
        <v>44911</v>
      </c>
    </row>
    <row r="8313" spans="1:24">
      <c r="A8313">
        <f>HYPERLINK("https://www.philgeps.gov.ph/GEPSNONPILOT/Tender/SplashBidNoticeAbstractUI.aspx?menuIndex=3&amp;refID=7075864&amp;Result=3","7075864")</f>
        <v>0</v>
      </c>
      <c r="B8313" t="s">
        <v>999</v>
      </c>
      <c r="C8313" t="s">
        <v>11449</v>
      </c>
      <c r="D8313" t="s">
        <v>18103</v>
      </c>
      <c r="E8313" t="s">
        <v>25507</v>
      </c>
      <c r="F8313" t="s">
        <v>31362</v>
      </c>
      <c r="G8313" t="s">
        <v>31370</v>
      </c>
      <c r="H8313" t="s">
        <v>15799</v>
      </c>
      <c r="I8313" t="s">
        <v>31400</v>
      </c>
      <c r="J8313" t="s">
        <v>36587</v>
      </c>
      <c r="K8313" t="s">
        <v>40662</v>
      </c>
      <c r="M8313" t="s">
        <v>41995</v>
      </c>
      <c r="N8313" t="s">
        <v>44905</v>
      </c>
      <c r="O8313" t="s">
        <v>44906</v>
      </c>
      <c r="P8313">
        <v>0</v>
      </c>
      <c r="Q8313">
        <v>2</v>
      </c>
      <c r="R8313" t="s">
        <v>44910</v>
      </c>
      <c r="S8313" t="s">
        <v>45076</v>
      </c>
      <c r="T8313" t="s">
        <v>46446</v>
      </c>
      <c r="U8313" t="s">
        <v>53617</v>
      </c>
      <c r="V8313" t="s">
        <v>59339</v>
      </c>
      <c r="W8313" t="s">
        <v>41995</v>
      </c>
      <c r="X8313" t="s">
        <v>44911</v>
      </c>
    </row>
    <row r="8314" spans="1:24">
      <c r="A8314">
        <f>HYPERLINK("https://www.philgeps.gov.ph/GEPSNONPILOT/Tender/SplashBidNoticeAbstractUI.aspx?menuIndex=3&amp;refID=7075771&amp;Result=3","7075771")</f>
        <v>0</v>
      </c>
      <c r="B8314" t="s">
        <v>2448</v>
      </c>
      <c r="C8314" t="s">
        <v>11450</v>
      </c>
      <c r="D8314" t="s">
        <v>18108</v>
      </c>
      <c r="E8314" t="s">
        <v>25508</v>
      </c>
      <c r="F8314" t="s">
        <v>31362</v>
      </c>
      <c r="G8314" t="s">
        <v>31369</v>
      </c>
      <c r="H8314" t="s">
        <v>31378</v>
      </c>
      <c r="I8314" t="s">
        <v>31386</v>
      </c>
      <c r="J8314" t="s">
        <v>36588</v>
      </c>
      <c r="K8314" t="s">
        <v>40679</v>
      </c>
      <c r="M8314" t="s">
        <v>43607</v>
      </c>
      <c r="N8314" t="s">
        <v>44905</v>
      </c>
      <c r="O8314" t="s">
        <v>44906</v>
      </c>
      <c r="P8314">
        <v>0</v>
      </c>
      <c r="Q8314">
        <v>4</v>
      </c>
      <c r="R8314" t="s">
        <v>44910</v>
      </c>
      <c r="S8314" t="s">
        <v>45076</v>
      </c>
      <c r="T8314" t="s">
        <v>46596</v>
      </c>
      <c r="U8314" t="s">
        <v>53618</v>
      </c>
      <c r="V8314" t="s">
        <v>59873</v>
      </c>
      <c r="W8314" t="s">
        <v>43607</v>
      </c>
      <c r="X8314" t="s">
        <v>44911</v>
      </c>
    </row>
    <row r="8315" spans="1:24">
      <c r="A8315">
        <f>HYPERLINK("https://www.philgeps.gov.ph/GEPSNONPILOT/Tender/SplashBidNoticeAbstractUI.aspx?menuIndex=3&amp;refID=7075863&amp;Result=3","7075863")</f>
        <v>0</v>
      </c>
      <c r="B8315" t="s">
        <v>1928</v>
      </c>
      <c r="C8315" t="s">
        <v>11451</v>
      </c>
      <c r="D8315" t="s">
        <v>18117</v>
      </c>
      <c r="E8315" t="s">
        <v>25509</v>
      </c>
      <c r="F8315" t="s">
        <v>31362</v>
      </c>
      <c r="G8315" t="s">
        <v>31368</v>
      </c>
      <c r="H8315" t="s">
        <v>15799</v>
      </c>
      <c r="I8315" t="s">
        <v>31380</v>
      </c>
      <c r="J8315" t="s">
        <v>36589</v>
      </c>
      <c r="K8315" t="s">
        <v>40665</v>
      </c>
      <c r="M8315" t="s">
        <v>43026</v>
      </c>
      <c r="N8315" t="s">
        <v>44905</v>
      </c>
      <c r="O8315" t="s">
        <v>44906</v>
      </c>
      <c r="P8315">
        <v>0</v>
      </c>
      <c r="Q8315">
        <v>10</v>
      </c>
      <c r="R8315" t="s">
        <v>44910</v>
      </c>
      <c r="S8315" t="s">
        <v>45076</v>
      </c>
      <c r="T8315" t="s">
        <v>46438</v>
      </c>
      <c r="U8315" t="s">
        <v>53619</v>
      </c>
      <c r="W8315" t="s">
        <v>43026</v>
      </c>
      <c r="X8315" t="s">
        <v>44911</v>
      </c>
    </row>
    <row r="8316" spans="1:24">
      <c r="A8316">
        <f>HYPERLINK("https://www.philgeps.gov.ph/GEPSNONPILOT/Tender/SplashBidNoticeAbstractUI.aspx?menuIndex=3&amp;refID=7075861&amp;Result=3","7075861")</f>
        <v>0</v>
      </c>
      <c r="B8316" t="s">
        <v>2439</v>
      </c>
      <c r="C8316" t="s">
        <v>11452</v>
      </c>
      <c r="D8316" t="s">
        <v>18100</v>
      </c>
      <c r="E8316" t="s">
        <v>25510</v>
      </c>
      <c r="F8316" t="s">
        <v>31362</v>
      </c>
      <c r="G8316" t="s">
        <v>31373</v>
      </c>
      <c r="H8316" t="s">
        <v>31379</v>
      </c>
      <c r="I8316" t="s">
        <v>31406</v>
      </c>
      <c r="J8316" t="s">
        <v>33437</v>
      </c>
      <c r="K8316" t="s">
        <v>40693</v>
      </c>
      <c r="M8316" t="s">
        <v>43598</v>
      </c>
      <c r="N8316" t="s">
        <v>44905</v>
      </c>
      <c r="O8316" t="s">
        <v>44906</v>
      </c>
      <c r="P8316">
        <v>0</v>
      </c>
      <c r="Q8316">
        <v>1</v>
      </c>
      <c r="R8316" t="s">
        <v>44910</v>
      </c>
      <c r="S8316" t="s">
        <v>45076</v>
      </c>
      <c r="T8316" t="s">
        <v>46461</v>
      </c>
      <c r="U8316" t="s">
        <v>53620</v>
      </c>
      <c r="W8316" t="s">
        <v>43598</v>
      </c>
      <c r="X8316" t="s">
        <v>44911</v>
      </c>
    </row>
    <row r="8317" spans="1:24">
      <c r="A8317">
        <f>HYPERLINK("https://www.philgeps.gov.ph/GEPSNONPILOT/Tender/SplashBidNoticeAbstractUI.aspx?menuIndex=3&amp;refID=7075860&amp;Result=3","7075860")</f>
        <v>0</v>
      </c>
      <c r="B8317" t="s">
        <v>2449</v>
      </c>
      <c r="C8317" t="s">
        <v>11453</v>
      </c>
      <c r="D8317" t="s">
        <v>18117</v>
      </c>
      <c r="E8317" t="s">
        <v>25010</v>
      </c>
      <c r="F8317" t="s">
        <v>31362</v>
      </c>
      <c r="G8317" t="s">
        <v>31369</v>
      </c>
      <c r="H8317" t="s">
        <v>15799</v>
      </c>
      <c r="I8317" t="s">
        <v>31409</v>
      </c>
      <c r="J8317" t="s">
        <v>32006</v>
      </c>
      <c r="K8317" t="s">
        <v>40686</v>
      </c>
      <c r="M8317" t="s">
        <v>43608</v>
      </c>
      <c r="N8317" t="s">
        <v>44905</v>
      </c>
      <c r="O8317" t="s">
        <v>44906</v>
      </c>
      <c r="P8317">
        <v>0</v>
      </c>
      <c r="Q8317">
        <v>3</v>
      </c>
      <c r="R8317" t="s">
        <v>44910</v>
      </c>
      <c r="S8317" t="s">
        <v>45076</v>
      </c>
      <c r="T8317" t="s">
        <v>46449</v>
      </c>
      <c r="U8317" t="s">
        <v>53621</v>
      </c>
      <c r="V8317" t="s">
        <v>59874</v>
      </c>
      <c r="W8317" t="s">
        <v>43608</v>
      </c>
      <c r="X8317" t="s">
        <v>44911</v>
      </c>
    </row>
    <row r="8318" spans="1:24">
      <c r="A8318">
        <f>HYPERLINK("https://www.philgeps.gov.ph/GEPSNONPILOT/Tender/SplashBidNoticeAbstractUI.aspx?menuIndex=3&amp;refID=7075823&amp;Result=3","7075823")</f>
        <v>0</v>
      </c>
      <c r="B8318" t="s">
        <v>672</v>
      </c>
      <c r="C8318" t="s">
        <v>11454</v>
      </c>
      <c r="D8318" t="s">
        <v>18103</v>
      </c>
      <c r="E8318" t="s">
        <v>25511</v>
      </c>
      <c r="F8318" t="s">
        <v>31362</v>
      </c>
      <c r="G8318" t="s">
        <v>31369</v>
      </c>
      <c r="H8318" t="s">
        <v>31378</v>
      </c>
      <c r="I8318" t="s">
        <v>31386</v>
      </c>
      <c r="J8318" t="s">
        <v>35968</v>
      </c>
      <c r="K8318" t="s">
        <v>40679</v>
      </c>
      <c r="M8318" t="s">
        <v>41634</v>
      </c>
      <c r="N8318" t="s">
        <v>44905</v>
      </c>
      <c r="O8318" t="s">
        <v>44906</v>
      </c>
      <c r="P8318">
        <v>0</v>
      </c>
      <c r="Q8318">
        <v>3</v>
      </c>
      <c r="R8318" t="s">
        <v>44910</v>
      </c>
      <c r="S8318" t="s">
        <v>45076</v>
      </c>
      <c r="T8318" t="s">
        <v>46433</v>
      </c>
      <c r="U8318" t="s">
        <v>53336</v>
      </c>
      <c r="W8318" t="s">
        <v>60863</v>
      </c>
      <c r="X8318" t="s">
        <v>44911</v>
      </c>
    </row>
    <row r="8319" spans="1:24">
      <c r="A8319">
        <f>HYPERLINK("https://www.philgeps.gov.ph/GEPSNONPILOT/Tender/SplashBidNoticeAbstractUI.aspx?menuIndex=3&amp;refID=7075855&amp;Result=3","7075855")</f>
        <v>0</v>
      </c>
      <c r="B8319" t="s">
        <v>2450</v>
      </c>
      <c r="C8319" t="s">
        <v>11455</v>
      </c>
      <c r="D8319" t="s">
        <v>18168</v>
      </c>
      <c r="E8319" t="s">
        <v>25512</v>
      </c>
      <c r="F8319" t="s">
        <v>31362</v>
      </c>
      <c r="G8319" t="s">
        <v>31368</v>
      </c>
      <c r="H8319" t="s">
        <v>31378</v>
      </c>
      <c r="I8319" t="s">
        <v>31386</v>
      </c>
      <c r="J8319" t="s">
        <v>31591</v>
      </c>
      <c r="K8319" t="s">
        <v>40677</v>
      </c>
      <c r="M8319" t="s">
        <v>43609</v>
      </c>
      <c r="N8319" t="s">
        <v>44905</v>
      </c>
      <c r="O8319" t="s">
        <v>44906</v>
      </c>
      <c r="P8319">
        <v>0</v>
      </c>
      <c r="Q8319">
        <v>1</v>
      </c>
      <c r="R8319" t="s">
        <v>44910</v>
      </c>
      <c r="S8319" t="s">
        <v>45076</v>
      </c>
      <c r="T8319" t="s">
        <v>46447</v>
      </c>
      <c r="U8319" t="s">
        <v>53622</v>
      </c>
      <c r="V8319" t="s">
        <v>59875</v>
      </c>
      <c r="W8319" t="s">
        <v>43609</v>
      </c>
      <c r="X8319" t="s">
        <v>44911</v>
      </c>
    </row>
    <row r="8320" spans="1:24">
      <c r="A8320">
        <f>HYPERLINK("https://www.philgeps.gov.ph/GEPSNONPILOT/Tender/SplashBidNoticeAbstractUI.aspx?menuIndex=3&amp;refID=7075794&amp;Result=3","7075794")</f>
        <v>0</v>
      </c>
      <c r="B8320" t="s">
        <v>2448</v>
      </c>
      <c r="C8320" t="s">
        <v>11456</v>
      </c>
      <c r="D8320" t="s">
        <v>18108</v>
      </c>
      <c r="E8320" t="s">
        <v>25513</v>
      </c>
      <c r="F8320" t="s">
        <v>31362</v>
      </c>
      <c r="G8320" t="s">
        <v>31369</v>
      </c>
      <c r="H8320" t="s">
        <v>31378</v>
      </c>
      <c r="I8320" t="s">
        <v>31386</v>
      </c>
      <c r="J8320" t="s">
        <v>36590</v>
      </c>
      <c r="K8320" t="s">
        <v>40679</v>
      </c>
      <c r="M8320" t="s">
        <v>43607</v>
      </c>
      <c r="N8320" t="s">
        <v>44905</v>
      </c>
      <c r="O8320" t="s">
        <v>44906</v>
      </c>
      <c r="P8320">
        <v>0</v>
      </c>
      <c r="Q8320">
        <v>3</v>
      </c>
      <c r="R8320" t="s">
        <v>44910</v>
      </c>
      <c r="S8320" t="s">
        <v>45076</v>
      </c>
      <c r="T8320" t="s">
        <v>46570</v>
      </c>
      <c r="U8320" t="s">
        <v>53623</v>
      </c>
      <c r="V8320" t="s">
        <v>59873</v>
      </c>
      <c r="W8320" t="s">
        <v>43607</v>
      </c>
      <c r="X8320" t="s">
        <v>44911</v>
      </c>
    </row>
    <row r="8321" spans="1:24">
      <c r="A8321">
        <f>HYPERLINK("https://www.philgeps.gov.ph/GEPSNONPILOT/Tender/SplashBidNoticeAbstractUI.aspx?menuIndex=3&amp;refID=7075853&amp;Result=3","7075853")</f>
        <v>0</v>
      </c>
      <c r="B8321" t="s">
        <v>853</v>
      </c>
      <c r="C8321" t="s">
        <v>11457</v>
      </c>
      <c r="D8321" t="s">
        <v>18108</v>
      </c>
      <c r="E8321" t="s">
        <v>25514</v>
      </c>
      <c r="F8321" t="s">
        <v>31362</v>
      </c>
      <c r="G8321" t="s">
        <v>31368</v>
      </c>
      <c r="H8321" t="s">
        <v>15799</v>
      </c>
      <c r="I8321" t="s">
        <v>7719</v>
      </c>
      <c r="J8321" t="s">
        <v>31577</v>
      </c>
      <c r="K8321" t="s">
        <v>40662</v>
      </c>
      <c r="M8321" t="s">
        <v>41829</v>
      </c>
      <c r="N8321" t="s">
        <v>44905</v>
      </c>
      <c r="O8321" t="s">
        <v>44906</v>
      </c>
      <c r="P8321">
        <v>0</v>
      </c>
      <c r="Q8321">
        <v>3</v>
      </c>
      <c r="R8321" t="s">
        <v>44910</v>
      </c>
      <c r="S8321" t="s">
        <v>45076</v>
      </c>
      <c r="T8321" t="s">
        <v>46409</v>
      </c>
      <c r="U8321" t="s">
        <v>48735</v>
      </c>
      <c r="W8321" t="s">
        <v>41829</v>
      </c>
      <c r="X8321" t="s">
        <v>44911</v>
      </c>
    </row>
    <row r="8322" spans="1:24">
      <c r="A8322">
        <f>HYPERLINK("https://www.philgeps.gov.ph/GEPSNONPILOT/Tender/SplashBidNoticeAbstractUI.aspx?menuIndex=3&amp;refID=7075851&amp;Result=3","7075851")</f>
        <v>0</v>
      </c>
      <c r="B8322" t="s">
        <v>1928</v>
      </c>
      <c r="C8322" t="s">
        <v>11458</v>
      </c>
      <c r="D8322" t="s">
        <v>18117</v>
      </c>
      <c r="E8322" t="s">
        <v>25515</v>
      </c>
      <c r="F8322" t="s">
        <v>31362</v>
      </c>
      <c r="G8322" t="s">
        <v>31369</v>
      </c>
      <c r="H8322" t="s">
        <v>31379</v>
      </c>
      <c r="I8322" t="s">
        <v>31436</v>
      </c>
      <c r="J8322" t="s">
        <v>36591</v>
      </c>
      <c r="K8322" t="s">
        <v>40739</v>
      </c>
      <c r="M8322" t="s">
        <v>43026</v>
      </c>
      <c r="N8322" t="s">
        <v>44905</v>
      </c>
      <c r="O8322" t="s">
        <v>44906</v>
      </c>
      <c r="P8322">
        <v>0</v>
      </c>
      <c r="Q8322">
        <v>1</v>
      </c>
      <c r="R8322" t="s">
        <v>44910</v>
      </c>
      <c r="S8322" t="s">
        <v>45076</v>
      </c>
      <c r="T8322" t="s">
        <v>46464</v>
      </c>
      <c r="U8322" t="s">
        <v>53624</v>
      </c>
      <c r="W8322" t="s">
        <v>43026</v>
      </c>
      <c r="X8322" t="s">
        <v>44911</v>
      </c>
    </row>
    <row r="8323" spans="1:24">
      <c r="A8323">
        <f>HYPERLINK("https://www.philgeps.gov.ph/GEPSNONPILOT/Tender/SplashBidNoticeAbstractUI.aspx?menuIndex=3&amp;refID=7075845&amp;Result=3","7075845")</f>
        <v>0</v>
      </c>
      <c r="B8323" t="s">
        <v>853</v>
      </c>
      <c r="C8323" t="s">
        <v>6054</v>
      </c>
      <c r="D8323" t="s">
        <v>18108</v>
      </c>
      <c r="E8323" t="s">
        <v>23718</v>
      </c>
      <c r="F8323" t="s">
        <v>31362</v>
      </c>
      <c r="G8323" t="s">
        <v>31368</v>
      </c>
      <c r="H8323" t="s">
        <v>15799</v>
      </c>
      <c r="I8323" t="s">
        <v>7719</v>
      </c>
      <c r="J8323" t="s">
        <v>31940</v>
      </c>
      <c r="K8323" t="s">
        <v>40662</v>
      </c>
      <c r="M8323" t="s">
        <v>41829</v>
      </c>
      <c r="N8323" t="s">
        <v>44905</v>
      </c>
      <c r="O8323" t="s">
        <v>44906</v>
      </c>
      <c r="P8323">
        <v>0</v>
      </c>
      <c r="Q8323">
        <v>13</v>
      </c>
      <c r="R8323" t="s">
        <v>44910</v>
      </c>
      <c r="S8323" t="s">
        <v>45076</v>
      </c>
      <c r="T8323" t="s">
        <v>46409</v>
      </c>
      <c r="U8323" t="s">
        <v>48735</v>
      </c>
      <c r="W8323" t="s">
        <v>41829</v>
      </c>
      <c r="X8323" t="s">
        <v>44911</v>
      </c>
    </row>
    <row r="8324" spans="1:24">
      <c r="A8324">
        <f>HYPERLINK("https://www.philgeps.gov.ph/GEPSNONPILOT/Tender/SplashBidNoticeAbstractUI.aspx?menuIndex=3&amp;refID=7075859&amp;Result=3","7075859")</f>
        <v>0</v>
      </c>
      <c r="B8324" t="s">
        <v>2410</v>
      </c>
      <c r="C8324" t="s">
        <v>11459</v>
      </c>
      <c r="D8324" t="s">
        <v>18103</v>
      </c>
      <c r="E8324" t="s">
        <v>25516</v>
      </c>
      <c r="F8324" t="s">
        <v>31362</v>
      </c>
      <c r="G8324" t="s">
        <v>31369</v>
      </c>
      <c r="H8324" t="s">
        <v>15799</v>
      </c>
      <c r="I8324" t="s">
        <v>31422</v>
      </c>
      <c r="J8324" t="s">
        <v>36592</v>
      </c>
      <c r="K8324" t="s">
        <v>40666</v>
      </c>
      <c r="L8324" t="s">
        <v>2410</v>
      </c>
      <c r="M8324" t="s">
        <v>43565</v>
      </c>
      <c r="N8324" t="s">
        <v>44905</v>
      </c>
      <c r="O8324" t="s">
        <v>44906</v>
      </c>
      <c r="P8324">
        <v>0</v>
      </c>
      <c r="Q8324">
        <v>1</v>
      </c>
      <c r="R8324" t="s">
        <v>44910</v>
      </c>
      <c r="S8324" t="s">
        <v>45076</v>
      </c>
      <c r="T8324" t="s">
        <v>46665</v>
      </c>
      <c r="U8324" t="s">
        <v>53625</v>
      </c>
      <c r="V8324" t="s">
        <v>59851</v>
      </c>
      <c r="W8324" t="s">
        <v>43565</v>
      </c>
      <c r="X8324" t="s">
        <v>44911</v>
      </c>
    </row>
    <row r="8325" spans="1:24">
      <c r="A8325">
        <f>HYPERLINK("https://www.philgeps.gov.ph/GEPSNONPILOT/Tender/SplashBidNoticeAbstractUI.aspx?menuIndex=3&amp;refID=7075856&amp;Result=3","7075856")</f>
        <v>0</v>
      </c>
      <c r="B8325" t="s">
        <v>2448</v>
      </c>
      <c r="C8325" t="s">
        <v>11460</v>
      </c>
      <c r="D8325" t="s">
        <v>18108</v>
      </c>
      <c r="E8325" t="s">
        <v>25517</v>
      </c>
      <c r="F8325" t="s">
        <v>31362</v>
      </c>
      <c r="G8325" t="s">
        <v>31369</v>
      </c>
      <c r="H8325" t="s">
        <v>31378</v>
      </c>
      <c r="I8325" t="s">
        <v>31433</v>
      </c>
      <c r="J8325" t="s">
        <v>36593</v>
      </c>
      <c r="K8325" t="s">
        <v>40669</v>
      </c>
      <c r="M8325" t="s">
        <v>43607</v>
      </c>
      <c r="N8325" t="s">
        <v>44905</v>
      </c>
      <c r="O8325" t="s">
        <v>44906</v>
      </c>
      <c r="P8325">
        <v>0</v>
      </c>
      <c r="Q8325">
        <v>2</v>
      </c>
      <c r="R8325" t="s">
        <v>44910</v>
      </c>
      <c r="S8325" t="s">
        <v>45076</v>
      </c>
      <c r="T8325" t="s">
        <v>46402</v>
      </c>
      <c r="U8325" t="s">
        <v>53626</v>
      </c>
      <c r="V8325" t="s">
        <v>59873</v>
      </c>
      <c r="W8325" t="s">
        <v>43607</v>
      </c>
      <c r="X8325" t="s">
        <v>44911</v>
      </c>
    </row>
    <row r="8326" spans="1:24">
      <c r="A8326">
        <f>HYPERLINK("https://www.philgeps.gov.ph/GEPSNONPILOT/Tender/SplashBidNoticeAbstractUI.aspx?menuIndex=3&amp;refID=7075838&amp;Result=3","7075838")</f>
        <v>0</v>
      </c>
      <c r="B8326" t="s">
        <v>853</v>
      </c>
      <c r="C8326" t="s">
        <v>6054</v>
      </c>
      <c r="D8326" t="s">
        <v>18108</v>
      </c>
      <c r="E8326" t="s">
        <v>25518</v>
      </c>
      <c r="F8326" t="s">
        <v>31362</v>
      </c>
      <c r="G8326" t="s">
        <v>31368</v>
      </c>
      <c r="H8326" t="s">
        <v>15799</v>
      </c>
      <c r="I8326" t="s">
        <v>7719</v>
      </c>
      <c r="J8326" t="s">
        <v>36594</v>
      </c>
      <c r="K8326" t="s">
        <v>40662</v>
      </c>
      <c r="M8326" t="s">
        <v>41829</v>
      </c>
      <c r="N8326" t="s">
        <v>44905</v>
      </c>
      <c r="O8326" t="s">
        <v>44906</v>
      </c>
      <c r="P8326">
        <v>0</v>
      </c>
      <c r="Q8326">
        <v>18</v>
      </c>
      <c r="R8326" t="s">
        <v>44910</v>
      </c>
      <c r="S8326" t="s">
        <v>45076</v>
      </c>
      <c r="T8326" t="s">
        <v>46409</v>
      </c>
      <c r="U8326" t="s">
        <v>48735</v>
      </c>
      <c r="W8326" t="s">
        <v>41829</v>
      </c>
      <c r="X8326" t="s">
        <v>44911</v>
      </c>
    </row>
    <row r="8327" spans="1:24">
      <c r="A8327">
        <f>HYPERLINK("https://www.philgeps.gov.ph/GEPSNONPILOT/Tender/SplashBidNoticeAbstractUI.aspx?menuIndex=3&amp;refID=7075835&amp;Result=3","7075835")</f>
        <v>0</v>
      </c>
      <c r="B8327" t="s">
        <v>2451</v>
      </c>
      <c r="C8327" t="s">
        <v>10022</v>
      </c>
      <c r="D8327" t="s">
        <v>18114</v>
      </c>
      <c r="E8327" t="s">
        <v>19844</v>
      </c>
      <c r="F8327" t="s">
        <v>31362</v>
      </c>
      <c r="G8327" t="s">
        <v>31368</v>
      </c>
      <c r="H8327" t="s">
        <v>15799</v>
      </c>
      <c r="I8327" t="s">
        <v>3815</v>
      </c>
      <c r="J8327" t="s">
        <v>32263</v>
      </c>
      <c r="K8327" t="s">
        <v>40693</v>
      </c>
      <c r="M8327" t="s">
        <v>43610</v>
      </c>
      <c r="N8327" t="s">
        <v>44905</v>
      </c>
      <c r="O8327" t="s">
        <v>44906</v>
      </c>
      <c r="P8327">
        <v>0</v>
      </c>
      <c r="Q8327">
        <v>0</v>
      </c>
      <c r="R8327" t="s">
        <v>44910</v>
      </c>
      <c r="S8327" t="s">
        <v>45076</v>
      </c>
      <c r="T8327" t="s">
        <v>46438</v>
      </c>
      <c r="U8327" t="s">
        <v>53627</v>
      </c>
      <c r="W8327" t="s">
        <v>43610</v>
      </c>
      <c r="X8327" t="s">
        <v>44911</v>
      </c>
    </row>
    <row r="8328" spans="1:24">
      <c r="A8328">
        <f>HYPERLINK("https://www.philgeps.gov.ph/GEPSNONPILOT/Tender/SplashBidNoticeAbstractUI.aspx?menuIndex=3&amp;refID=7075818&amp;Result=3","7075818")</f>
        <v>0</v>
      </c>
      <c r="B8328" t="s">
        <v>672</v>
      </c>
      <c r="C8328" t="s">
        <v>11461</v>
      </c>
      <c r="D8328" t="s">
        <v>18103</v>
      </c>
      <c r="E8328" t="s">
        <v>25519</v>
      </c>
      <c r="F8328" t="s">
        <v>31362</v>
      </c>
      <c r="G8328" t="s">
        <v>31369</v>
      </c>
      <c r="H8328" t="s">
        <v>31378</v>
      </c>
      <c r="I8328" t="s">
        <v>31386</v>
      </c>
      <c r="J8328" t="s">
        <v>33670</v>
      </c>
      <c r="K8328" t="s">
        <v>40679</v>
      </c>
      <c r="M8328" t="s">
        <v>41634</v>
      </c>
      <c r="N8328" t="s">
        <v>44905</v>
      </c>
      <c r="O8328" t="s">
        <v>44906</v>
      </c>
      <c r="P8328">
        <v>0</v>
      </c>
      <c r="Q8328">
        <v>3</v>
      </c>
      <c r="R8328" t="s">
        <v>44910</v>
      </c>
      <c r="S8328" t="s">
        <v>45076</v>
      </c>
      <c r="T8328" t="s">
        <v>46433</v>
      </c>
      <c r="U8328" t="s">
        <v>53336</v>
      </c>
      <c r="W8328" t="s">
        <v>60863</v>
      </c>
      <c r="X8328" t="s">
        <v>44911</v>
      </c>
    </row>
    <row r="8329" spans="1:24">
      <c r="A8329">
        <f>HYPERLINK("https://www.philgeps.gov.ph/GEPSNONPILOT/Tender/SplashBidNoticeAbstractUI.aspx?menuIndex=3&amp;refID=7075833&amp;Result=3","7075833")</f>
        <v>0</v>
      </c>
      <c r="B8329" t="s">
        <v>2452</v>
      </c>
      <c r="C8329" t="s">
        <v>11462</v>
      </c>
      <c r="D8329" t="s">
        <v>18101</v>
      </c>
      <c r="E8329" t="s">
        <v>25520</v>
      </c>
      <c r="F8329" t="s">
        <v>31362</v>
      </c>
      <c r="G8329" t="s">
        <v>31369</v>
      </c>
      <c r="H8329" t="s">
        <v>15799</v>
      </c>
      <c r="I8329" t="s">
        <v>3815</v>
      </c>
      <c r="J8329" t="s">
        <v>32158</v>
      </c>
      <c r="K8329" t="s">
        <v>40670</v>
      </c>
      <c r="M8329" t="s">
        <v>43611</v>
      </c>
      <c r="N8329" t="s">
        <v>44905</v>
      </c>
      <c r="O8329" t="s">
        <v>44906</v>
      </c>
      <c r="P8329">
        <v>0</v>
      </c>
      <c r="Q8329">
        <v>0</v>
      </c>
      <c r="R8329" t="s">
        <v>44910</v>
      </c>
      <c r="S8329" t="s">
        <v>45076</v>
      </c>
      <c r="T8329" t="s">
        <v>46393</v>
      </c>
      <c r="U8329" t="s">
        <v>53628</v>
      </c>
      <c r="W8329" t="s">
        <v>43611</v>
      </c>
      <c r="X8329" t="s">
        <v>44911</v>
      </c>
    </row>
    <row r="8330" spans="1:24">
      <c r="A8330">
        <f>HYPERLINK("https://www.philgeps.gov.ph/GEPSNONPILOT/Tender/SplashBidNoticeAbstractUI.aspx?menuIndex=3&amp;refID=7075832&amp;Result=3","7075832")</f>
        <v>0</v>
      </c>
      <c r="B8330" t="s">
        <v>2453</v>
      </c>
      <c r="C8330" t="s">
        <v>11463</v>
      </c>
      <c r="D8330" t="s">
        <v>18102</v>
      </c>
      <c r="E8330" t="s">
        <v>25521</v>
      </c>
      <c r="F8330" t="s">
        <v>31362</v>
      </c>
      <c r="G8330" t="s">
        <v>31369</v>
      </c>
      <c r="H8330" t="s">
        <v>15799</v>
      </c>
      <c r="I8330" t="s">
        <v>3815</v>
      </c>
      <c r="J8330" t="s">
        <v>36595</v>
      </c>
      <c r="K8330" t="s">
        <v>40665</v>
      </c>
      <c r="M8330" t="s">
        <v>43612</v>
      </c>
      <c r="N8330" t="s">
        <v>44905</v>
      </c>
      <c r="O8330" t="s">
        <v>44906</v>
      </c>
      <c r="P8330">
        <v>0</v>
      </c>
      <c r="Q8330">
        <v>3</v>
      </c>
      <c r="R8330" t="s">
        <v>44910</v>
      </c>
      <c r="S8330" t="s">
        <v>45076</v>
      </c>
      <c r="T8330" t="s">
        <v>46559</v>
      </c>
      <c r="U8330" t="s">
        <v>53629</v>
      </c>
      <c r="W8330" t="s">
        <v>43612</v>
      </c>
      <c r="X8330" t="s">
        <v>44911</v>
      </c>
    </row>
    <row r="8331" spans="1:24">
      <c r="A8331">
        <f>HYPERLINK("https://www.philgeps.gov.ph/GEPSNONPILOT/Tender/SplashBidNoticeAbstractUI.aspx?menuIndex=3&amp;refID=7075826&amp;Result=3","7075826")</f>
        <v>0</v>
      </c>
      <c r="B8331" t="s">
        <v>853</v>
      </c>
      <c r="C8331" t="s">
        <v>6054</v>
      </c>
      <c r="D8331" t="s">
        <v>18108</v>
      </c>
      <c r="E8331" t="s">
        <v>25522</v>
      </c>
      <c r="F8331" t="s">
        <v>31362</v>
      </c>
      <c r="G8331" t="s">
        <v>31368</v>
      </c>
      <c r="H8331" t="s">
        <v>15799</v>
      </c>
      <c r="I8331" t="s">
        <v>7719</v>
      </c>
      <c r="J8331" t="s">
        <v>36596</v>
      </c>
      <c r="K8331" t="s">
        <v>40662</v>
      </c>
      <c r="M8331" t="s">
        <v>41829</v>
      </c>
      <c r="N8331" t="s">
        <v>44905</v>
      </c>
      <c r="O8331" t="s">
        <v>44906</v>
      </c>
      <c r="P8331">
        <v>0</v>
      </c>
      <c r="Q8331">
        <v>22</v>
      </c>
      <c r="R8331" t="s">
        <v>44910</v>
      </c>
      <c r="S8331" t="s">
        <v>45076</v>
      </c>
      <c r="T8331" t="s">
        <v>46409</v>
      </c>
      <c r="U8331" t="s">
        <v>48735</v>
      </c>
      <c r="W8331" t="s">
        <v>41829</v>
      </c>
      <c r="X8331" t="s">
        <v>44911</v>
      </c>
    </row>
    <row r="8332" spans="1:24">
      <c r="A8332">
        <f>HYPERLINK("https://www.philgeps.gov.ph/GEPSNONPILOT/Tender/SplashBidNoticeAbstractUI.aspx?menuIndex=3&amp;refID=7075842&amp;Result=3","7075842")</f>
        <v>0</v>
      </c>
      <c r="B8332" t="s">
        <v>2454</v>
      </c>
      <c r="C8332" t="s">
        <v>11464</v>
      </c>
      <c r="D8332" t="s">
        <v>18164</v>
      </c>
      <c r="E8332" t="s">
        <v>25523</v>
      </c>
      <c r="F8332" t="s">
        <v>31362</v>
      </c>
      <c r="G8332" t="s">
        <v>31369</v>
      </c>
      <c r="H8332" t="s">
        <v>15799</v>
      </c>
      <c r="I8332" t="s">
        <v>3815</v>
      </c>
      <c r="J8332" t="s">
        <v>36597</v>
      </c>
      <c r="K8332" t="s">
        <v>40662</v>
      </c>
      <c r="M8332" t="s">
        <v>43613</v>
      </c>
      <c r="N8332" t="s">
        <v>44905</v>
      </c>
      <c r="O8332" t="s">
        <v>44906</v>
      </c>
      <c r="P8332">
        <v>0</v>
      </c>
      <c r="Q8332">
        <v>1</v>
      </c>
      <c r="R8332" t="s">
        <v>44910</v>
      </c>
      <c r="S8332" t="s">
        <v>45076</v>
      </c>
      <c r="T8332" t="s">
        <v>46427</v>
      </c>
      <c r="U8332" t="s">
        <v>53630</v>
      </c>
      <c r="W8332" t="s">
        <v>43613</v>
      </c>
      <c r="X8332" t="s">
        <v>44911</v>
      </c>
    </row>
    <row r="8333" spans="1:24">
      <c r="A8333">
        <f>HYPERLINK("https://www.philgeps.gov.ph/GEPSNONPILOT/Tender/SplashBidNoticeAbstractUI.aspx?menuIndex=3&amp;refID=7075840&amp;Result=3","7075840")</f>
        <v>0</v>
      </c>
      <c r="B8333" t="s">
        <v>2455</v>
      </c>
      <c r="C8333" t="s">
        <v>8036</v>
      </c>
      <c r="D8333" t="s">
        <v>18101</v>
      </c>
      <c r="E8333" t="s">
        <v>25524</v>
      </c>
      <c r="F8333" t="s">
        <v>31362</v>
      </c>
      <c r="G8333" t="s">
        <v>31369</v>
      </c>
      <c r="H8333" t="s">
        <v>31378</v>
      </c>
      <c r="I8333" t="s">
        <v>31386</v>
      </c>
      <c r="J8333" t="s">
        <v>36598</v>
      </c>
      <c r="K8333" t="s">
        <v>40783</v>
      </c>
      <c r="M8333" t="s">
        <v>43614</v>
      </c>
      <c r="N8333" t="s">
        <v>44905</v>
      </c>
      <c r="O8333" t="s">
        <v>44906</v>
      </c>
      <c r="P8333">
        <v>0</v>
      </c>
      <c r="Q8333">
        <v>1</v>
      </c>
      <c r="R8333" t="s">
        <v>44910</v>
      </c>
      <c r="S8333" t="s">
        <v>45076</v>
      </c>
      <c r="T8333" t="s">
        <v>46504</v>
      </c>
      <c r="U8333" t="s">
        <v>53631</v>
      </c>
      <c r="W8333" t="s">
        <v>43614</v>
      </c>
      <c r="X8333" t="s">
        <v>44911</v>
      </c>
    </row>
    <row r="8334" spans="1:24">
      <c r="A8334">
        <f>HYPERLINK("https://www.philgeps.gov.ph/GEPSNONPILOT/Tender/SplashBidNoticeAbstractUI.aspx?menuIndex=3&amp;refID=7075903&amp;Result=3","7075903")</f>
        <v>0</v>
      </c>
      <c r="B8334" t="s">
        <v>370</v>
      </c>
      <c r="C8334" t="s">
        <v>11465</v>
      </c>
      <c r="E8334" t="s">
        <v>25525</v>
      </c>
      <c r="F8334" t="s">
        <v>31362</v>
      </c>
      <c r="G8334" t="s">
        <v>31369</v>
      </c>
      <c r="H8334" t="s">
        <v>15799</v>
      </c>
      <c r="I8334" t="s">
        <v>31382</v>
      </c>
      <c r="J8334" t="s">
        <v>32594</v>
      </c>
      <c r="K8334" t="s">
        <v>40662</v>
      </c>
      <c r="M8334" t="s">
        <v>43585</v>
      </c>
      <c r="N8334" t="s">
        <v>44905</v>
      </c>
      <c r="O8334" t="s">
        <v>44906</v>
      </c>
      <c r="Q8334">
        <v>20</v>
      </c>
      <c r="R8334" t="s">
        <v>44910</v>
      </c>
      <c r="S8334" t="s">
        <v>45123</v>
      </c>
      <c r="T8334" t="s">
        <v>46401</v>
      </c>
      <c r="U8334" t="s">
        <v>53555</v>
      </c>
      <c r="V8334" t="s">
        <v>59862</v>
      </c>
      <c r="W8334" t="s">
        <v>43585</v>
      </c>
      <c r="X8334" t="s">
        <v>44911</v>
      </c>
    </row>
    <row r="8335" spans="1:24">
      <c r="A8335">
        <f>HYPERLINK("https://www.philgeps.gov.ph/GEPSNONPILOT/Tender/SplashBidNoticeAbstractUI.aspx?menuIndex=3&amp;refID=7075900&amp;Result=3","7075900")</f>
        <v>0</v>
      </c>
      <c r="B8335" t="s">
        <v>2416</v>
      </c>
      <c r="C8335" t="s">
        <v>11466</v>
      </c>
      <c r="D8335" t="s">
        <v>18153</v>
      </c>
      <c r="E8335" t="s">
        <v>22103</v>
      </c>
      <c r="F8335" t="s">
        <v>31362</v>
      </c>
      <c r="G8335" t="s">
        <v>31369</v>
      </c>
      <c r="H8335" t="s">
        <v>15799</v>
      </c>
      <c r="I8335" t="s">
        <v>31386</v>
      </c>
      <c r="J8335" t="s">
        <v>31637</v>
      </c>
      <c r="K8335" t="s">
        <v>40683</v>
      </c>
      <c r="M8335" t="s">
        <v>43571</v>
      </c>
      <c r="N8335" t="s">
        <v>44905</v>
      </c>
      <c r="O8335" t="s">
        <v>44906</v>
      </c>
      <c r="P8335">
        <v>0</v>
      </c>
      <c r="Q8335">
        <v>1</v>
      </c>
      <c r="R8335" t="s">
        <v>44910</v>
      </c>
      <c r="S8335" t="s">
        <v>45076</v>
      </c>
      <c r="T8335" t="s">
        <v>46419</v>
      </c>
      <c r="U8335" t="s">
        <v>53632</v>
      </c>
      <c r="V8335" t="s">
        <v>59876</v>
      </c>
      <c r="W8335" t="s">
        <v>43571</v>
      </c>
      <c r="X8335" t="s">
        <v>44911</v>
      </c>
    </row>
    <row r="8336" spans="1:24">
      <c r="A8336">
        <f>HYPERLINK("https://www.philgeps.gov.ph/GEPSNONPILOT/Tender/SplashBidNoticeAbstractUI.aspx?menuIndex=3&amp;refID=7075899&amp;Result=3","7075899")</f>
        <v>0</v>
      </c>
      <c r="B8336" t="s">
        <v>2456</v>
      </c>
      <c r="C8336" t="s">
        <v>11467</v>
      </c>
      <c r="D8336" t="s">
        <v>18138</v>
      </c>
      <c r="E8336" t="s">
        <v>25526</v>
      </c>
      <c r="F8336" t="s">
        <v>31362</v>
      </c>
      <c r="G8336" t="s">
        <v>31369</v>
      </c>
      <c r="H8336" t="s">
        <v>31378</v>
      </c>
      <c r="I8336" t="s">
        <v>31386</v>
      </c>
      <c r="J8336" t="s">
        <v>32669</v>
      </c>
      <c r="K8336" t="s">
        <v>40662</v>
      </c>
      <c r="M8336" t="s">
        <v>43615</v>
      </c>
      <c r="N8336" t="s">
        <v>44905</v>
      </c>
      <c r="O8336" t="s">
        <v>44906</v>
      </c>
      <c r="P8336">
        <v>0</v>
      </c>
      <c r="Q8336">
        <v>1</v>
      </c>
      <c r="R8336" t="s">
        <v>44910</v>
      </c>
      <c r="S8336" t="s">
        <v>45076</v>
      </c>
      <c r="T8336" t="s">
        <v>46652</v>
      </c>
      <c r="U8336" t="s">
        <v>53633</v>
      </c>
      <c r="W8336" t="s">
        <v>43615</v>
      </c>
      <c r="X8336" t="s">
        <v>44911</v>
      </c>
    </row>
    <row r="8337" spans="1:24">
      <c r="A8337">
        <f>HYPERLINK("https://www.philgeps.gov.ph/GEPSNONPILOT/Tender/SplashBidNoticeAbstractUI.aspx?menuIndex=3&amp;refID=7075896&amp;Result=3","7075896")</f>
        <v>0</v>
      </c>
      <c r="B8337" t="s">
        <v>716</v>
      </c>
      <c r="C8337" t="s">
        <v>11468</v>
      </c>
      <c r="D8337" t="s">
        <v>18160</v>
      </c>
      <c r="E8337" t="s">
        <v>25527</v>
      </c>
      <c r="F8337" t="s">
        <v>31362</v>
      </c>
      <c r="G8337" t="s">
        <v>31369</v>
      </c>
      <c r="H8337" t="s">
        <v>31378</v>
      </c>
      <c r="I8337" t="s">
        <v>31377</v>
      </c>
      <c r="J8337" t="s">
        <v>36599</v>
      </c>
      <c r="K8337" t="s">
        <v>40764</v>
      </c>
      <c r="M8337" t="s">
        <v>43557</v>
      </c>
      <c r="N8337" t="s">
        <v>44905</v>
      </c>
      <c r="O8337" t="s">
        <v>44906</v>
      </c>
      <c r="P8337">
        <v>0</v>
      </c>
      <c r="Q8337">
        <v>4</v>
      </c>
      <c r="R8337" t="s">
        <v>44910</v>
      </c>
      <c r="S8337" t="s">
        <v>45076</v>
      </c>
      <c r="T8337" t="s">
        <v>46696</v>
      </c>
      <c r="U8337" t="s">
        <v>53433</v>
      </c>
      <c r="W8337" t="s">
        <v>60933</v>
      </c>
      <c r="X8337" t="s">
        <v>44911</v>
      </c>
    </row>
    <row r="8338" spans="1:24">
      <c r="A8338">
        <f>HYPERLINK("https://www.philgeps.gov.ph/GEPSNONPILOT/Tender/SplashBidNoticeAbstractUI.aspx?menuIndex=3&amp;refID=7075827&amp;Result=3","7075827")</f>
        <v>0</v>
      </c>
      <c r="B8338" t="s">
        <v>672</v>
      </c>
      <c r="C8338" t="s">
        <v>11469</v>
      </c>
      <c r="D8338" t="s">
        <v>18103</v>
      </c>
      <c r="E8338" t="s">
        <v>25528</v>
      </c>
      <c r="F8338" t="s">
        <v>31362</v>
      </c>
      <c r="G8338" t="s">
        <v>31369</v>
      </c>
      <c r="H8338" t="s">
        <v>31378</v>
      </c>
      <c r="I8338" t="s">
        <v>31386</v>
      </c>
      <c r="J8338" t="s">
        <v>32187</v>
      </c>
      <c r="K8338" t="s">
        <v>40692</v>
      </c>
      <c r="M8338" t="s">
        <v>41634</v>
      </c>
      <c r="N8338" t="s">
        <v>44905</v>
      </c>
      <c r="O8338" t="s">
        <v>44906</v>
      </c>
      <c r="P8338">
        <v>0</v>
      </c>
      <c r="Q8338">
        <v>3</v>
      </c>
      <c r="R8338" t="s">
        <v>44910</v>
      </c>
      <c r="S8338" t="s">
        <v>45076</v>
      </c>
      <c r="T8338" t="s">
        <v>46433</v>
      </c>
      <c r="U8338" t="s">
        <v>53336</v>
      </c>
      <c r="W8338" t="s">
        <v>60863</v>
      </c>
      <c r="X8338" t="s">
        <v>44911</v>
      </c>
    </row>
    <row r="8339" spans="1:24">
      <c r="A8339">
        <f>HYPERLINK("https://www.philgeps.gov.ph/GEPSNONPILOT/Tender/SplashBidNoticeAbstractUI.aspx?menuIndex=3&amp;refID=7075760&amp;Result=3","7075760")</f>
        <v>0</v>
      </c>
      <c r="B8339" t="s">
        <v>1600</v>
      </c>
      <c r="C8339" t="s">
        <v>11470</v>
      </c>
      <c r="D8339" t="s">
        <v>18108</v>
      </c>
      <c r="E8339" t="s">
        <v>25529</v>
      </c>
      <c r="F8339" t="s">
        <v>31362</v>
      </c>
      <c r="G8339" t="s">
        <v>31369</v>
      </c>
      <c r="H8339" t="s">
        <v>15799</v>
      </c>
      <c r="I8339" t="s">
        <v>31417</v>
      </c>
      <c r="J8339" t="s">
        <v>36600</v>
      </c>
      <c r="K8339" t="s">
        <v>40675</v>
      </c>
      <c r="M8339" t="s">
        <v>42659</v>
      </c>
      <c r="N8339" t="s">
        <v>44905</v>
      </c>
      <c r="O8339" t="s">
        <v>44906</v>
      </c>
      <c r="P8339">
        <v>0</v>
      </c>
      <c r="Q8339">
        <v>4</v>
      </c>
      <c r="R8339" t="s">
        <v>44910</v>
      </c>
      <c r="S8339" t="s">
        <v>45076</v>
      </c>
      <c r="T8339" t="s">
        <v>46557</v>
      </c>
      <c r="U8339" t="s">
        <v>53634</v>
      </c>
      <c r="W8339" t="s">
        <v>42659</v>
      </c>
      <c r="X8339" t="s">
        <v>44911</v>
      </c>
    </row>
    <row r="8340" spans="1:24">
      <c r="A8340">
        <f>HYPERLINK("https://www.philgeps.gov.ph/GEPSNONPILOT/Tender/SplashBidNoticeAbstractUI.aspx?menuIndex=3&amp;refID=7075895&amp;Result=3","7075895")</f>
        <v>0</v>
      </c>
      <c r="B8340" t="s">
        <v>370</v>
      </c>
      <c r="C8340" t="s">
        <v>11471</v>
      </c>
      <c r="E8340" t="s">
        <v>25530</v>
      </c>
      <c r="F8340" t="s">
        <v>31362</v>
      </c>
      <c r="G8340" t="s">
        <v>31369</v>
      </c>
      <c r="H8340" t="s">
        <v>15799</v>
      </c>
      <c r="I8340" t="s">
        <v>31382</v>
      </c>
      <c r="J8340" t="s">
        <v>33868</v>
      </c>
      <c r="K8340" t="s">
        <v>40662</v>
      </c>
      <c r="M8340" t="s">
        <v>43585</v>
      </c>
      <c r="N8340" t="s">
        <v>44905</v>
      </c>
      <c r="O8340" t="s">
        <v>44906</v>
      </c>
      <c r="Q8340">
        <v>11</v>
      </c>
      <c r="R8340" t="s">
        <v>44910</v>
      </c>
      <c r="S8340" t="s">
        <v>45124</v>
      </c>
      <c r="T8340" t="s">
        <v>46401</v>
      </c>
      <c r="U8340" t="s">
        <v>53555</v>
      </c>
      <c r="V8340" t="s">
        <v>59862</v>
      </c>
      <c r="W8340" t="s">
        <v>43585</v>
      </c>
      <c r="X8340" t="s">
        <v>44911</v>
      </c>
    </row>
    <row r="8341" spans="1:24">
      <c r="A8341">
        <f>HYPERLINK("https://www.philgeps.gov.ph/GEPSNONPILOT/Tender/SplashBidNoticeAbstractUI.aspx?menuIndex=3&amp;refID=7075893&amp;Result=3","7075893")</f>
        <v>0</v>
      </c>
      <c r="B8341" t="s">
        <v>2449</v>
      </c>
      <c r="C8341" t="s">
        <v>11472</v>
      </c>
      <c r="D8341" t="s">
        <v>18117</v>
      </c>
      <c r="E8341" t="s">
        <v>25010</v>
      </c>
      <c r="F8341" t="s">
        <v>31362</v>
      </c>
      <c r="G8341" t="s">
        <v>31368</v>
      </c>
      <c r="H8341" t="s">
        <v>15799</v>
      </c>
      <c r="I8341" t="s">
        <v>31422</v>
      </c>
      <c r="J8341" t="s">
        <v>31912</v>
      </c>
      <c r="K8341" t="s">
        <v>40666</v>
      </c>
      <c r="M8341" t="s">
        <v>43608</v>
      </c>
      <c r="N8341" t="s">
        <v>44905</v>
      </c>
      <c r="O8341" t="s">
        <v>44906</v>
      </c>
      <c r="P8341">
        <v>0</v>
      </c>
      <c r="Q8341">
        <v>0</v>
      </c>
      <c r="R8341" t="s">
        <v>44910</v>
      </c>
      <c r="S8341" t="s">
        <v>45076</v>
      </c>
      <c r="T8341" t="s">
        <v>46409</v>
      </c>
      <c r="U8341" t="s">
        <v>53635</v>
      </c>
      <c r="V8341" t="s">
        <v>59877</v>
      </c>
      <c r="W8341" t="s">
        <v>43608</v>
      </c>
      <c r="X8341" t="s">
        <v>44911</v>
      </c>
    </row>
    <row r="8342" spans="1:24">
      <c r="A8342">
        <f>HYPERLINK("https://www.philgeps.gov.ph/GEPSNONPILOT/Tender/SplashBidNoticeAbstractUI.aspx?menuIndex=3&amp;refID=7075884&amp;Result=3","7075884")</f>
        <v>0</v>
      </c>
      <c r="B8342" t="s">
        <v>370</v>
      </c>
      <c r="C8342" t="s">
        <v>11473</v>
      </c>
      <c r="E8342" t="s">
        <v>25531</v>
      </c>
      <c r="F8342" t="s">
        <v>31362</v>
      </c>
      <c r="G8342" t="s">
        <v>31369</v>
      </c>
      <c r="H8342" t="s">
        <v>15799</v>
      </c>
      <c r="I8342" t="s">
        <v>31382</v>
      </c>
      <c r="J8342" t="s">
        <v>31606</v>
      </c>
      <c r="K8342" t="s">
        <v>40662</v>
      </c>
      <c r="M8342" t="s">
        <v>43585</v>
      </c>
      <c r="N8342" t="s">
        <v>44905</v>
      </c>
      <c r="O8342" t="s">
        <v>44906</v>
      </c>
      <c r="Q8342">
        <v>10</v>
      </c>
      <c r="R8342" t="s">
        <v>44910</v>
      </c>
      <c r="S8342" t="s">
        <v>45125</v>
      </c>
      <c r="T8342" t="s">
        <v>46401</v>
      </c>
      <c r="U8342" t="s">
        <v>53555</v>
      </c>
      <c r="V8342" t="s">
        <v>59862</v>
      </c>
      <c r="W8342" t="s">
        <v>43585</v>
      </c>
      <c r="X8342" t="s">
        <v>44911</v>
      </c>
    </row>
    <row r="8343" spans="1:24">
      <c r="A8343">
        <f>HYPERLINK("https://www.philgeps.gov.ph/GEPSNONPILOT/Tender/SplashBidNoticeAbstractUI.aspx?menuIndex=3&amp;refID=7075882&amp;Result=3","7075882")</f>
        <v>0</v>
      </c>
      <c r="B8343" t="s">
        <v>999</v>
      </c>
      <c r="C8343" t="s">
        <v>11474</v>
      </c>
      <c r="D8343" t="s">
        <v>18103</v>
      </c>
      <c r="E8343" t="s">
        <v>25532</v>
      </c>
      <c r="F8343" t="s">
        <v>31362</v>
      </c>
      <c r="G8343" t="s">
        <v>31370</v>
      </c>
      <c r="H8343" t="s">
        <v>15799</v>
      </c>
      <c r="I8343" t="s">
        <v>31380</v>
      </c>
      <c r="J8343" t="s">
        <v>36601</v>
      </c>
      <c r="K8343" t="s">
        <v>40662</v>
      </c>
      <c r="M8343" t="s">
        <v>41995</v>
      </c>
      <c r="N8343" t="s">
        <v>44905</v>
      </c>
      <c r="O8343" t="s">
        <v>44906</v>
      </c>
      <c r="P8343">
        <v>0</v>
      </c>
      <c r="Q8343">
        <v>17</v>
      </c>
      <c r="R8343" t="s">
        <v>44910</v>
      </c>
      <c r="S8343" t="s">
        <v>45076</v>
      </c>
      <c r="T8343" t="s">
        <v>46446</v>
      </c>
      <c r="U8343" t="s">
        <v>53636</v>
      </c>
      <c r="V8343" t="s">
        <v>59339</v>
      </c>
      <c r="W8343" t="s">
        <v>41995</v>
      </c>
      <c r="X8343" t="s">
        <v>44911</v>
      </c>
    </row>
    <row r="8344" spans="1:24">
      <c r="A8344">
        <f>HYPERLINK("https://www.philgeps.gov.ph/GEPSNONPILOT/Tender/SplashBidNoticeAbstractUI.aspx?menuIndex=3&amp;refID=7075846&amp;Result=3","7075846")</f>
        <v>0</v>
      </c>
      <c r="B8344" t="s">
        <v>2439</v>
      </c>
      <c r="C8344" t="s">
        <v>11475</v>
      </c>
      <c r="D8344" t="s">
        <v>18100</v>
      </c>
      <c r="E8344" t="s">
        <v>25533</v>
      </c>
      <c r="F8344" t="s">
        <v>31362</v>
      </c>
      <c r="G8344" t="s">
        <v>31373</v>
      </c>
      <c r="H8344" t="s">
        <v>31379</v>
      </c>
      <c r="I8344" t="s">
        <v>31380</v>
      </c>
      <c r="J8344" t="s">
        <v>31720</v>
      </c>
      <c r="K8344" t="s">
        <v>40693</v>
      </c>
      <c r="M8344" t="s">
        <v>43598</v>
      </c>
      <c r="N8344" t="s">
        <v>44905</v>
      </c>
      <c r="O8344" t="s">
        <v>44906</v>
      </c>
      <c r="P8344">
        <v>0</v>
      </c>
      <c r="Q8344">
        <v>5</v>
      </c>
      <c r="R8344" t="s">
        <v>44910</v>
      </c>
      <c r="S8344" t="s">
        <v>45076</v>
      </c>
      <c r="T8344" t="s">
        <v>46461</v>
      </c>
      <c r="U8344" t="s">
        <v>53637</v>
      </c>
      <c r="W8344" t="s">
        <v>43598</v>
      </c>
      <c r="X8344" t="s">
        <v>44911</v>
      </c>
    </row>
    <row r="8345" spans="1:24">
      <c r="A8345">
        <f>HYPERLINK("https://www.philgeps.gov.ph/GEPSNONPILOT/Tender/SplashBidNoticeAbstractUI.aspx?menuIndex=3&amp;refID=7075879&amp;Result=3","7075879")</f>
        <v>0</v>
      </c>
      <c r="B8345" t="s">
        <v>716</v>
      </c>
      <c r="C8345" t="s">
        <v>11476</v>
      </c>
      <c r="D8345" t="s">
        <v>18160</v>
      </c>
      <c r="E8345" t="s">
        <v>25534</v>
      </c>
      <c r="F8345" t="s">
        <v>31362</v>
      </c>
      <c r="G8345" t="s">
        <v>31369</v>
      </c>
      <c r="H8345" t="s">
        <v>31378</v>
      </c>
      <c r="I8345" t="s">
        <v>31386</v>
      </c>
      <c r="J8345" t="s">
        <v>36602</v>
      </c>
      <c r="K8345" t="s">
        <v>40794</v>
      </c>
      <c r="M8345" t="s">
        <v>43557</v>
      </c>
      <c r="N8345" t="s">
        <v>44905</v>
      </c>
      <c r="O8345" t="s">
        <v>44906</v>
      </c>
      <c r="P8345">
        <v>0</v>
      </c>
      <c r="Q8345">
        <v>4</v>
      </c>
      <c r="R8345" t="s">
        <v>44910</v>
      </c>
      <c r="S8345" t="s">
        <v>45076</v>
      </c>
      <c r="T8345" t="s">
        <v>46585</v>
      </c>
      <c r="U8345" t="s">
        <v>53638</v>
      </c>
      <c r="W8345" t="s">
        <v>60933</v>
      </c>
      <c r="X8345" t="s">
        <v>44911</v>
      </c>
    </row>
    <row r="8346" spans="1:24">
      <c r="A8346">
        <f>HYPERLINK("https://www.philgeps.gov.ph/GEPSNONPILOT/Tender/SplashBidNoticeAbstractUI.aspx?menuIndex=3&amp;refID=7075877&amp;Result=3","7075877")</f>
        <v>0</v>
      </c>
      <c r="B8346" t="s">
        <v>999</v>
      </c>
      <c r="C8346" t="s">
        <v>11477</v>
      </c>
      <c r="D8346" t="s">
        <v>18103</v>
      </c>
      <c r="E8346" t="s">
        <v>25535</v>
      </c>
      <c r="F8346" t="s">
        <v>31362</v>
      </c>
      <c r="G8346" t="s">
        <v>31370</v>
      </c>
      <c r="H8346" t="s">
        <v>15799</v>
      </c>
      <c r="I8346" t="s">
        <v>4283</v>
      </c>
      <c r="J8346" t="s">
        <v>36603</v>
      </c>
      <c r="K8346" t="s">
        <v>40662</v>
      </c>
      <c r="M8346" t="s">
        <v>41995</v>
      </c>
      <c r="N8346" t="s">
        <v>44905</v>
      </c>
      <c r="O8346" t="s">
        <v>44906</v>
      </c>
      <c r="P8346">
        <v>0</v>
      </c>
      <c r="Q8346">
        <v>13</v>
      </c>
      <c r="R8346" t="s">
        <v>44910</v>
      </c>
      <c r="S8346" t="s">
        <v>45076</v>
      </c>
      <c r="T8346" t="s">
        <v>46446</v>
      </c>
      <c r="U8346" t="s">
        <v>53639</v>
      </c>
      <c r="V8346" t="s">
        <v>59339</v>
      </c>
      <c r="W8346" t="s">
        <v>41995</v>
      </c>
      <c r="X8346" t="s">
        <v>44911</v>
      </c>
    </row>
    <row r="8347" spans="1:24">
      <c r="A8347">
        <f>HYPERLINK("https://www.philgeps.gov.ph/GEPSNONPILOT/Tender/SplashBidNoticeAbstractUI.aspx?menuIndex=3&amp;refID=7075874&amp;Result=3","7075874")</f>
        <v>0</v>
      </c>
      <c r="B8347" t="s">
        <v>2439</v>
      </c>
      <c r="C8347" t="s">
        <v>11478</v>
      </c>
      <c r="D8347" t="s">
        <v>18100</v>
      </c>
      <c r="E8347" t="s">
        <v>25536</v>
      </c>
      <c r="F8347" t="s">
        <v>31362</v>
      </c>
      <c r="G8347" t="s">
        <v>31373</v>
      </c>
      <c r="H8347" t="s">
        <v>31379</v>
      </c>
      <c r="I8347" t="s">
        <v>31385</v>
      </c>
      <c r="J8347" t="s">
        <v>36604</v>
      </c>
      <c r="K8347" t="s">
        <v>40729</v>
      </c>
      <c r="M8347" t="s">
        <v>43598</v>
      </c>
      <c r="N8347" t="s">
        <v>44905</v>
      </c>
      <c r="O8347" t="s">
        <v>44906</v>
      </c>
      <c r="P8347">
        <v>0</v>
      </c>
      <c r="Q8347">
        <v>1</v>
      </c>
      <c r="R8347" t="s">
        <v>44910</v>
      </c>
      <c r="S8347" t="s">
        <v>45076</v>
      </c>
      <c r="T8347" t="s">
        <v>46461</v>
      </c>
      <c r="U8347" t="s">
        <v>53640</v>
      </c>
      <c r="W8347" t="s">
        <v>43598</v>
      </c>
      <c r="X8347" t="s">
        <v>44911</v>
      </c>
    </row>
    <row r="8348" spans="1:24">
      <c r="A8348">
        <f>HYPERLINK("https://www.philgeps.gov.ph/GEPSNONPILOT/Tender/SplashBidNoticeAbstractUI.aspx?menuIndex=3&amp;refID=7075875&amp;Result=3","7075875")</f>
        <v>0</v>
      </c>
      <c r="B8348" t="s">
        <v>370</v>
      </c>
      <c r="C8348" t="s">
        <v>11479</v>
      </c>
      <c r="E8348" t="s">
        <v>25537</v>
      </c>
      <c r="F8348" t="s">
        <v>31362</v>
      </c>
      <c r="G8348" t="s">
        <v>31369</v>
      </c>
      <c r="H8348" t="s">
        <v>15799</v>
      </c>
      <c r="I8348" t="s">
        <v>31382</v>
      </c>
      <c r="J8348" t="s">
        <v>33393</v>
      </c>
      <c r="K8348" t="s">
        <v>40662</v>
      </c>
      <c r="M8348" t="s">
        <v>43585</v>
      </c>
      <c r="N8348" t="s">
        <v>44905</v>
      </c>
      <c r="O8348" t="s">
        <v>44906</v>
      </c>
      <c r="Q8348">
        <v>12</v>
      </c>
      <c r="R8348" t="s">
        <v>44910</v>
      </c>
      <c r="S8348" t="s">
        <v>45126</v>
      </c>
      <c r="T8348" t="s">
        <v>46401</v>
      </c>
      <c r="U8348" t="s">
        <v>53555</v>
      </c>
      <c r="V8348" t="s">
        <v>59862</v>
      </c>
      <c r="W8348" t="s">
        <v>43585</v>
      </c>
      <c r="X8348" t="s">
        <v>44911</v>
      </c>
    </row>
    <row r="8349" spans="1:24">
      <c r="A8349">
        <f>HYPERLINK("https://www.philgeps.gov.ph/GEPSNONPILOT/Tender/SplashBidNoticeAbstractUI.aspx?menuIndex=3&amp;refID=7075873&amp;Result=3","7075873")</f>
        <v>0</v>
      </c>
      <c r="B8349" t="s">
        <v>999</v>
      </c>
      <c r="C8349" t="s">
        <v>11480</v>
      </c>
      <c r="D8349" t="s">
        <v>18103</v>
      </c>
      <c r="E8349" t="s">
        <v>25538</v>
      </c>
      <c r="F8349" t="s">
        <v>31362</v>
      </c>
      <c r="G8349" t="s">
        <v>31370</v>
      </c>
      <c r="H8349" t="s">
        <v>15799</v>
      </c>
      <c r="I8349" t="s">
        <v>31396</v>
      </c>
      <c r="J8349" t="s">
        <v>36605</v>
      </c>
      <c r="K8349" t="s">
        <v>40662</v>
      </c>
      <c r="M8349" t="s">
        <v>41995</v>
      </c>
      <c r="N8349" t="s">
        <v>44905</v>
      </c>
      <c r="O8349" t="s">
        <v>44906</v>
      </c>
      <c r="P8349">
        <v>0</v>
      </c>
      <c r="Q8349">
        <v>2</v>
      </c>
      <c r="R8349" t="s">
        <v>44910</v>
      </c>
      <c r="S8349" t="s">
        <v>45076</v>
      </c>
      <c r="T8349" t="s">
        <v>46446</v>
      </c>
      <c r="U8349" t="s">
        <v>53641</v>
      </c>
      <c r="V8349" t="s">
        <v>59339</v>
      </c>
      <c r="W8349" t="s">
        <v>41995</v>
      </c>
      <c r="X8349" t="s">
        <v>44911</v>
      </c>
    </row>
    <row r="8350" spans="1:24">
      <c r="A8350">
        <f>HYPERLINK("https://www.philgeps.gov.ph/GEPSNONPILOT/Tender/SplashBidNoticeAbstractUI.aspx?menuIndex=3&amp;refID=7075872&amp;Result=3","7075872")</f>
        <v>0</v>
      </c>
      <c r="B8350" t="s">
        <v>2448</v>
      </c>
      <c r="C8350" t="s">
        <v>11481</v>
      </c>
      <c r="D8350" t="s">
        <v>18108</v>
      </c>
      <c r="E8350" t="s">
        <v>25539</v>
      </c>
      <c r="F8350" t="s">
        <v>31362</v>
      </c>
      <c r="G8350" t="s">
        <v>31369</v>
      </c>
      <c r="H8350" t="s">
        <v>31378</v>
      </c>
      <c r="I8350" t="s">
        <v>31386</v>
      </c>
      <c r="J8350" t="s">
        <v>36606</v>
      </c>
      <c r="K8350" t="s">
        <v>40678</v>
      </c>
      <c r="M8350" t="s">
        <v>43607</v>
      </c>
      <c r="N8350" t="s">
        <v>44905</v>
      </c>
      <c r="O8350" t="s">
        <v>44906</v>
      </c>
      <c r="P8350">
        <v>0</v>
      </c>
      <c r="Q8350">
        <v>9</v>
      </c>
      <c r="R8350" t="s">
        <v>44910</v>
      </c>
      <c r="S8350" t="s">
        <v>45076</v>
      </c>
      <c r="T8350" t="s">
        <v>46573</v>
      </c>
      <c r="U8350" t="s">
        <v>53642</v>
      </c>
      <c r="V8350" t="s">
        <v>59873</v>
      </c>
      <c r="W8350" t="s">
        <v>43607</v>
      </c>
      <c r="X8350" t="s">
        <v>44911</v>
      </c>
    </row>
    <row r="8351" spans="1:24">
      <c r="A8351">
        <f>HYPERLINK("https://www.philgeps.gov.ph/GEPSNONPILOT/Tender/SplashBidNoticeAbstractUI.aspx?menuIndex=3&amp;refID=7075868&amp;Result=3","7075868")</f>
        <v>0</v>
      </c>
      <c r="B8351" t="s">
        <v>1786</v>
      </c>
      <c r="C8351" t="s">
        <v>11482</v>
      </c>
      <c r="D8351" t="s">
        <v>18133</v>
      </c>
      <c r="E8351" t="s">
        <v>25540</v>
      </c>
      <c r="F8351" t="s">
        <v>31362</v>
      </c>
      <c r="G8351" t="s">
        <v>31369</v>
      </c>
      <c r="H8351" t="s">
        <v>31378</v>
      </c>
      <c r="I8351" t="s">
        <v>31386</v>
      </c>
      <c r="J8351" t="s">
        <v>36607</v>
      </c>
      <c r="K8351" t="s">
        <v>40810</v>
      </c>
      <c r="M8351" t="s">
        <v>42867</v>
      </c>
      <c r="N8351" t="s">
        <v>44905</v>
      </c>
      <c r="O8351" t="s">
        <v>44906</v>
      </c>
      <c r="P8351">
        <v>0</v>
      </c>
      <c r="Q8351">
        <v>1</v>
      </c>
      <c r="R8351" t="s">
        <v>44910</v>
      </c>
      <c r="S8351" t="s">
        <v>45076</v>
      </c>
      <c r="T8351" t="s">
        <v>46538</v>
      </c>
      <c r="U8351" t="s">
        <v>53643</v>
      </c>
      <c r="W8351" t="s">
        <v>42867</v>
      </c>
      <c r="X8351" t="s">
        <v>44911</v>
      </c>
    </row>
    <row r="8352" spans="1:24">
      <c r="A8352">
        <f>HYPERLINK("https://www.philgeps.gov.ph/GEPSNONPILOT/Tender/SplashBidNoticeAbstractUI.aspx?menuIndex=3&amp;refID=7075897&amp;Result=3","7075897")</f>
        <v>0</v>
      </c>
      <c r="B8352" t="s">
        <v>2457</v>
      </c>
      <c r="C8352" t="s">
        <v>11483</v>
      </c>
      <c r="D8352" t="s">
        <v>18131</v>
      </c>
      <c r="E8352" t="s">
        <v>25541</v>
      </c>
      <c r="F8352" t="s">
        <v>31362</v>
      </c>
      <c r="G8352" t="s">
        <v>31369</v>
      </c>
      <c r="H8352" t="s">
        <v>15799</v>
      </c>
      <c r="I8352" t="s">
        <v>31392</v>
      </c>
      <c r="J8352" t="s">
        <v>36608</v>
      </c>
      <c r="K8352" t="s">
        <v>40670</v>
      </c>
      <c r="M8352" t="s">
        <v>43616</v>
      </c>
      <c r="N8352" t="s">
        <v>44905</v>
      </c>
      <c r="O8352" t="s">
        <v>44906</v>
      </c>
      <c r="P8352">
        <v>0</v>
      </c>
      <c r="Q8352">
        <v>3</v>
      </c>
      <c r="R8352" t="s">
        <v>44910</v>
      </c>
      <c r="S8352" t="s">
        <v>45076</v>
      </c>
      <c r="T8352" t="s">
        <v>46416</v>
      </c>
      <c r="U8352" t="s">
        <v>47920</v>
      </c>
      <c r="W8352" t="s">
        <v>43616</v>
      </c>
      <c r="X8352" t="s">
        <v>44911</v>
      </c>
    </row>
    <row r="8353" spans="1:24">
      <c r="A8353">
        <f>HYPERLINK("https://www.philgeps.gov.ph/GEPSNONPILOT/Tender/SplashBidNoticeAbstractUI.aspx?menuIndex=3&amp;refID=7075762&amp;Result=3","7075762")</f>
        <v>0</v>
      </c>
      <c r="B8353" t="s">
        <v>2458</v>
      </c>
      <c r="C8353" t="s">
        <v>11484</v>
      </c>
      <c r="D8353" t="s">
        <v>18116</v>
      </c>
      <c r="E8353" t="s">
        <v>25542</v>
      </c>
      <c r="F8353" t="s">
        <v>31362</v>
      </c>
      <c r="G8353" t="s">
        <v>31369</v>
      </c>
      <c r="H8353" t="s">
        <v>15799</v>
      </c>
      <c r="I8353" t="s">
        <v>31380</v>
      </c>
      <c r="J8353" t="s">
        <v>36609</v>
      </c>
      <c r="K8353" t="s">
        <v>40666</v>
      </c>
      <c r="M8353" t="s">
        <v>43617</v>
      </c>
      <c r="N8353" t="s">
        <v>44905</v>
      </c>
      <c r="O8353" t="s">
        <v>44906</v>
      </c>
      <c r="P8353">
        <v>0</v>
      </c>
      <c r="Q8353">
        <v>0</v>
      </c>
      <c r="R8353" t="s">
        <v>44910</v>
      </c>
      <c r="S8353" t="s">
        <v>45076</v>
      </c>
      <c r="T8353" t="s">
        <v>46498</v>
      </c>
      <c r="U8353" t="s">
        <v>53644</v>
      </c>
      <c r="W8353" t="s">
        <v>43617</v>
      </c>
      <c r="X8353" t="s">
        <v>44911</v>
      </c>
    </row>
    <row r="8354" spans="1:24">
      <c r="A8354">
        <f>HYPERLINK("https://www.philgeps.gov.ph/GEPSNONPILOT/Tender/SplashBidNoticeAbstractUI.aspx?menuIndex=3&amp;refID=7075757&amp;Result=3","7075757")</f>
        <v>0</v>
      </c>
      <c r="B8354" t="s">
        <v>2438</v>
      </c>
      <c r="C8354" t="s">
        <v>11485</v>
      </c>
      <c r="D8354" t="s">
        <v>18109</v>
      </c>
      <c r="E8354" t="s">
        <v>25543</v>
      </c>
      <c r="F8354" t="s">
        <v>31362</v>
      </c>
      <c r="G8354" t="s">
        <v>31369</v>
      </c>
      <c r="H8354" t="s">
        <v>31378</v>
      </c>
      <c r="I8354" t="s">
        <v>31386</v>
      </c>
      <c r="J8354" t="s">
        <v>34023</v>
      </c>
      <c r="K8354" t="s">
        <v>40662</v>
      </c>
      <c r="L8354" t="s">
        <v>2438</v>
      </c>
      <c r="M8354" t="s">
        <v>43597</v>
      </c>
      <c r="N8354" t="s">
        <v>44905</v>
      </c>
      <c r="O8354" t="s">
        <v>44906</v>
      </c>
      <c r="Q8354">
        <v>0</v>
      </c>
      <c r="R8354" t="s">
        <v>44910</v>
      </c>
      <c r="S8354" t="s">
        <v>45127</v>
      </c>
      <c r="T8354" t="s">
        <v>46573</v>
      </c>
      <c r="U8354" t="s">
        <v>53596</v>
      </c>
      <c r="V8354" t="s">
        <v>59869</v>
      </c>
      <c r="W8354" t="s">
        <v>43597</v>
      </c>
      <c r="X8354" t="s">
        <v>44911</v>
      </c>
    </row>
    <row r="8355" spans="1:24">
      <c r="A8355">
        <f>HYPERLINK("https://www.philgeps.gov.ph/GEPSNONPILOT/Tender/SplashBidNoticeAbstractUI.aspx?menuIndex=3&amp;refID=7075890&amp;Result=3","7075890")</f>
        <v>0</v>
      </c>
      <c r="B8355" t="s">
        <v>1786</v>
      </c>
      <c r="C8355" t="s">
        <v>11486</v>
      </c>
      <c r="D8355" t="s">
        <v>18133</v>
      </c>
      <c r="E8355" t="s">
        <v>25544</v>
      </c>
      <c r="F8355" t="s">
        <v>31362</v>
      </c>
      <c r="G8355" t="s">
        <v>31369</v>
      </c>
      <c r="H8355" t="s">
        <v>31378</v>
      </c>
      <c r="I8355" t="s">
        <v>31386</v>
      </c>
      <c r="J8355" t="s">
        <v>36610</v>
      </c>
      <c r="K8355" t="s">
        <v>40759</v>
      </c>
      <c r="M8355" t="s">
        <v>42867</v>
      </c>
      <c r="N8355" t="s">
        <v>44905</v>
      </c>
      <c r="O8355" t="s">
        <v>44906</v>
      </c>
      <c r="P8355">
        <v>0</v>
      </c>
      <c r="Q8355">
        <v>1</v>
      </c>
      <c r="R8355" t="s">
        <v>44910</v>
      </c>
      <c r="S8355" t="s">
        <v>45076</v>
      </c>
      <c r="T8355" t="s">
        <v>46585</v>
      </c>
      <c r="U8355" t="s">
        <v>53645</v>
      </c>
      <c r="W8355" t="s">
        <v>42867</v>
      </c>
      <c r="X8355" t="s">
        <v>44911</v>
      </c>
    </row>
    <row r="8356" spans="1:24">
      <c r="A8356">
        <f>HYPERLINK("https://www.philgeps.gov.ph/GEPSNONPILOT/Tender/SplashBidNoticeAbstractUI.aspx?menuIndex=3&amp;refID=7075870&amp;Result=3","7075870")</f>
        <v>0</v>
      </c>
      <c r="B8356" t="s">
        <v>2456</v>
      </c>
      <c r="C8356" t="s">
        <v>11487</v>
      </c>
      <c r="D8356" t="s">
        <v>18138</v>
      </c>
      <c r="E8356" t="s">
        <v>25545</v>
      </c>
      <c r="F8356" t="s">
        <v>31362</v>
      </c>
      <c r="G8356" t="s">
        <v>31369</v>
      </c>
      <c r="H8356" t="s">
        <v>15799</v>
      </c>
      <c r="I8356" t="s">
        <v>3815</v>
      </c>
      <c r="J8356" t="s">
        <v>36611</v>
      </c>
      <c r="K8356" t="s">
        <v>40662</v>
      </c>
      <c r="M8356" t="s">
        <v>43615</v>
      </c>
      <c r="N8356" t="s">
        <v>44905</v>
      </c>
      <c r="O8356" t="s">
        <v>44906</v>
      </c>
      <c r="P8356">
        <v>0</v>
      </c>
      <c r="Q8356">
        <v>0</v>
      </c>
      <c r="R8356" t="s">
        <v>44910</v>
      </c>
      <c r="S8356" t="s">
        <v>45076</v>
      </c>
      <c r="T8356" t="s">
        <v>46460</v>
      </c>
      <c r="U8356" t="s">
        <v>53646</v>
      </c>
      <c r="W8356" t="s">
        <v>43615</v>
      </c>
      <c r="X8356" t="s">
        <v>44911</v>
      </c>
    </row>
    <row r="8357" spans="1:24">
      <c r="A8357">
        <f>HYPERLINK("https://www.philgeps.gov.ph/GEPSNONPILOT/Tender/SplashBidNoticeAbstractUI.aspx?menuIndex=3&amp;refID=7075931&amp;Result=3","7075931")</f>
        <v>0</v>
      </c>
      <c r="B8357" t="s">
        <v>2459</v>
      </c>
      <c r="C8357" t="s">
        <v>11488</v>
      </c>
      <c r="D8357" t="s">
        <v>18168</v>
      </c>
      <c r="E8357" t="s">
        <v>25546</v>
      </c>
      <c r="F8357" t="s">
        <v>31362</v>
      </c>
      <c r="G8357" t="s">
        <v>31369</v>
      </c>
      <c r="H8357" t="s">
        <v>31378</v>
      </c>
      <c r="I8357" t="s">
        <v>31441</v>
      </c>
      <c r="J8357" t="s">
        <v>36612</v>
      </c>
      <c r="K8357" t="s">
        <v>40682</v>
      </c>
      <c r="M8357" t="s">
        <v>43618</v>
      </c>
      <c r="N8357" t="s">
        <v>44905</v>
      </c>
      <c r="O8357" t="s">
        <v>44906</v>
      </c>
      <c r="P8357">
        <v>0</v>
      </c>
      <c r="Q8357">
        <v>0</v>
      </c>
      <c r="R8357" t="s">
        <v>44910</v>
      </c>
      <c r="S8357" t="s">
        <v>45076</v>
      </c>
      <c r="T8357" t="s">
        <v>46502</v>
      </c>
      <c r="U8357" t="s">
        <v>53647</v>
      </c>
      <c r="W8357" t="s">
        <v>43618</v>
      </c>
      <c r="X8357" t="s">
        <v>44911</v>
      </c>
    </row>
    <row r="8358" spans="1:24">
      <c r="A8358">
        <f>HYPERLINK("https://www.philgeps.gov.ph/GEPSNONPILOT/Tender/SplashBidNoticeAbstractUI.aspx?menuIndex=3&amp;refID=7075758&amp;Result=3","7075758")</f>
        <v>0</v>
      </c>
      <c r="B8358" t="s">
        <v>2315</v>
      </c>
      <c r="C8358" t="s">
        <v>11489</v>
      </c>
      <c r="D8358" t="s">
        <v>18108</v>
      </c>
      <c r="E8358" t="s">
        <v>25547</v>
      </c>
      <c r="F8358" t="s">
        <v>31362</v>
      </c>
      <c r="G8358" t="s">
        <v>31369</v>
      </c>
      <c r="H8358" t="s">
        <v>31379</v>
      </c>
      <c r="I8358" t="s">
        <v>31388</v>
      </c>
      <c r="J8358" t="s">
        <v>36613</v>
      </c>
      <c r="K8358" t="s">
        <v>40739</v>
      </c>
      <c r="M8358" t="s">
        <v>43455</v>
      </c>
      <c r="N8358" t="s">
        <v>44905</v>
      </c>
      <c r="O8358" t="s">
        <v>44906</v>
      </c>
      <c r="P8358">
        <v>0</v>
      </c>
      <c r="Q8358">
        <v>2</v>
      </c>
      <c r="R8358" t="s">
        <v>44910</v>
      </c>
      <c r="S8358" t="s">
        <v>45076</v>
      </c>
      <c r="T8358" t="s">
        <v>46648</v>
      </c>
      <c r="U8358" t="s">
        <v>53648</v>
      </c>
      <c r="W8358" t="s">
        <v>43455</v>
      </c>
      <c r="X8358" t="s">
        <v>44911</v>
      </c>
    </row>
    <row r="8359" spans="1:24">
      <c r="A8359">
        <f>HYPERLINK("https://www.philgeps.gov.ph/GEPSNONPILOT/Tender/SplashBidNoticeAbstractUI.aspx?menuIndex=3&amp;refID=7075928&amp;Result=3","7075928")</f>
        <v>0</v>
      </c>
      <c r="B8359" t="s">
        <v>370</v>
      </c>
      <c r="C8359" t="s">
        <v>11490</v>
      </c>
      <c r="E8359" t="s">
        <v>25548</v>
      </c>
      <c r="F8359" t="s">
        <v>31362</v>
      </c>
      <c r="G8359" t="s">
        <v>31369</v>
      </c>
      <c r="H8359" t="s">
        <v>15799</v>
      </c>
      <c r="I8359" t="s">
        <v>31382</v>
      </c>
      <c r="J8359" t="s">
        <v>36614</v>
      </c>
      <c r="K8359" t="s">
        <v>40662</v>
      </c>
      <c r="M8359" t="s">
        <v>43619</v>
      </c>
      <c r="N8359" t="s">
        <v>44905</v>
      </c>
      <c r="O8359" t="s">
        <v>44906</v>
      </c>
      <c r="Q8359">
        <v>10</v>
      </c>
      <c r="R8359" t="s">
        <v>44910</v>
      </c>
      <c r="S8359" t="s">
        <v>45077</v>
      </c>
      <c r="T8359" t="s">
        <v>46555</v>
      </c>
      <c r="U8359" t="s">
        <v>53555</v>
      </c>
      <c r="V8359" t="s">
        <v>59862</v>
      </c>
      <c r="W8359" t="s">
        <v>43619</v>
      </c>
      <c r="X8359" t="s">
        <v>44911</v>
      </c>
    </row>
    <row r="8360" spans="1:24">
      <c r="A8360">
        <f>HYPERLINK("https://www.philgeps.gov.ph/GEPSNONPILOT/Tender/SplashBidNoticeAbstractUI.aspx?menuIndex=3&amp;refID=7075922&amp;Result=3","7075922")</f>
        <v>0</v>
      </c>
      <c r="B8360" t="s">
        <v>370</v>
      </c>
      <c r="C8360" t="s">
        <v>11491</v>
      </c>
      <c r="E8360" t="s">
        <v>25549</v>
      </c>
      <c r="F8360" t="s">
        <v>31362</v>
      </c>
      <c r="G8360" t="s">
        <v>31369</v>
      </c>
      <c r="H8360" t="s">
        <v>15799</v>
      </c>
      <c r="I8360" t="s">
        <v>31382</v>
      </c>
      <c r="J8360" t="s">
        <v>36615</v>
      </c>
      <c r="K8360" t="s">
        <v>40662</v>
      </c>
      <c r="M8360" t="s">
        <v>43619</v>
      </c>
      <c r="N8360" t="s">
        <v>44905</v>
      </c>
      <c r="O8360" t="s">
        <v>44906</v>
      </c>
      <c r="Q8360">
        <v>11</v>
      </c>
      <c r="R8360" t="s">
        <v>44910</v>
      </c>
      <c r="S8360" t="s">
        <v>45078</v>
      </c>
      <c r="T8360" t="s">
        <v>46555</v>
      </c>
      <c r="U8360" t="s">
        <v>53555</v>
      </c>
      <c r="V8360" t="s">
        <v>59862</v>
      </c>
      <c r="W8360" t="s">
        <v>43619</v>
      </c>
      <c r="X8360" t="s">
        <v>44911</v>
      </c>
    </row>
    <row r="8361" spans="1:24">
      <c r="A8361">
        <f>HYPERLINK("https://www.philgeps.gov.ph/GEPSNONPILOT/Tender/SplashBidNoticeAbstractUI.aspx?menuIndex=3&amp;refID=7075904&amp;Result=3","7075904")</f>
        <v>0</v>
      </c>
      <c r="B8361" t="s">
        <v>2460</v>
      </c>
      <c r="C8361" t="s">
        <v>11492</v>
      </c>
      <c r="D8361" t="s">
        <v>18172</v>
      </c>
      <c r="E8361" t="s">
        <v>25550</v>
      </c>
      <c r="F8361" t="s">
        <v>31362</v>
      </c>
      <c r="G8361" t="s">
        <v>31368</v>
      </c>
      <c r="H8361" t="s">
        <v>15799</v>
      </c>
      <c r="I8361" t="s">
        <v>31427</v>
      </c>
      <c r="J8361" t="s">
        <v>36616</v>
      </c>
      <c r="K8361" t="s">
        <v>40693</v>
      </c>
      <c r="M8361" t="s">
        <v>43620</v>
      </c>
      <c r="N8361" t="s">
        <v>44905</v>
      </c>
      <c r="O8361" t="s">
        <v>44906</v>
      </c>
      <c r="P8361">
        <v>0</v>
      </c>
      <c r="Q8361">
        <v>2</v>
      </c>
      <c r="R8361" t="s">
        <v>44910</v>
      </c>
      <c r="S8361" t="s">
        <v>45076</v>
      </c>
      <c r="T8361" t="s">
        <v>46410</v>
      </c>
      <c r="U8361" t="s">
        <v>53649</v>
      </c>
      <c r="W8361" t="s">
        <v>43620</v>
      </c>
      <c r="X8361" t="s">
        <v>44911</v>
      </c>
    </row>
    <row r="8362" spans="1:24">
      <c r="A8362">
        <f>HYPERLINK("https://www.philgeps.gov.ph/GEPSNONPILOT/Tender/SplashBidNoticeAbstractUI.aspx?menuIndex=3&amp;refID=7075886&amp;Result=3","7075886")</f>
        <v>0</v>
      </c>
      <c r="B8362" t="s">
        <v>2459</v>
      </c>
      <c r="C8362" t="s">
        <v>11493</v>
      </c>
      <c r="D8362" t="s">
        <v>18168</v>
      </c>
      <c r="E8362" t="s">
        <v>25551</v>
      </c>
      <c r="F8362" t="s">
        <v>31362</v>
      </c>
      <c r="G8362" t="s">
        <v>31369</v>
      </c>
      <c r="H8362" t="s">
        <v>31378</v>
      </c>
      <c r="I8362" t="s">
        <v>31441</v>
      </c>
      <c r="J8362" t="s">
        <v>36617</v>
      </c>
      <c r="K8362" t="s">
        <v>40707</v>
      </c>
      <c r="M8362" t="s">
        <v>43618</v>
      </c>
      <c r="N8362" t="s">
        <v>44905</v>
      </c>
      <c r="O8362" t="s">
        <v>44906</v>
      </c>
      <c r="P8362">
        <v>0</v>
      </c>
      <c r="Q8362">
        <v>0</v>
      </c>
      <c r="R8362" t="s">
        <v>44910</v>
      </c>
      <c r="S8362" t="s">
        <v>45076</v>
      </c>
      <c r="T8362" t="s">
        <v>46523</v>
      </c>
      <c r="U8362" t="s">
        <v>53650</v>
      </c>
      <c r="W8362" t="s">
        <v>43618</v>
      </c>
      <c r="X8362" t="s">
        <v>44911</v>
      </c>
    </row>
    <row r="8363" spans="1:24">
      <c r="A8363">
        <f>HYPERLINK("https://www.philgeps.gov.ph/GEPSNONPILOT/Tender/SplashBidNoticeAbstractUI.aspx?menuIndex=3&amp;refID=7075920&amp;Result=3","7075920")</f>
        <v>0</v>
      </c>
      <c r="B8363" t="s">
        <v>2461</v>
      </c>
      <c r="C8363" t="s">
        <v>11494</v>
      </c>
      <c r="D8363" t="s">
        <v>18101</v>
      </c>
      <c r="E8363" t="s">
        <v>19844</v>
      </c>
      <c r="F8363" t="s">
        <v>31362</v>
      </c>
      <c r="G8363" t="s">
        <v>31369</v>
      </c>
      <c r="H8363" t="s">
        <v>15799</v>
      </c>
      <c r="I8363" t="s">
        <v>3815</v>
      </c>
      <c r="J8363" t="s">
        <v>36618</v>
      </c>
      <c r="K8363" t="s">
        <v>40666</v>
      </c>
      <c r="M8363" t="s">
        <v>43621</v>
      </c>
      <c r="N8363" t="s">
        <v>44905</v>
      </c>
      <c r="O8363" t="s">
        <v>44906</v>
      </c>
      <c r="P8363">
        <v>0</v>
      </c>
      <c r="Q8363">
        <v>1</v>
      </c>
      <c r="R8363" t="s">
        <v>44910</v>
      </c>
      <c r="S8363" t="s">
        <v>45076</v>
      </c>
      <c r="T8363" t="s">
        <v>46600</v>
      </c>
      <c r="U8363" t="s">
        <v>53651</v>
      </c>
      <c r="W8363" t="s">
        <v>43621</v>
      </c>
      <c r="X8363" t="s">
        <v>44911</v>
      </c>
    </row>
    <row r="8364" spans="1:24">
      <c r="A8364">
        <f>HYPERLINK("https://www.philgeps.gov.ph/GEPSNONPILOT/Tender/SplashBidNoticeAbstractUI.aspx?menuIndex=3&amp;refID=7075924&amp;Result=3","7075924")</f>
        <v>0</v>
      </c>
      <c r="B8364" t="s">
        <v>2456</v>
      </c>
      <c r="C8364" t="s">
        <v>11495</v>
      </c>
      <c r="D8364" t="s">
        <v>18138</v>
      </c>
      <c r="E8364" t="s">
        <v>25552</v>
      </c>
      <c r="F8364" t="s">
        <v>31362</v>
      </c>
      <c r="G8364" t="s">
        <v>31369</v>
      </c>
      <c r="H8364" t="s">
        <v>15799</v>
      </c>
      <c r="I8364" t="s">
        <v>3815</v>
      </c>
      <c r="J8364" t="s">
        <v>36619</v>
      </c>
      <c r="K8364" t="s">
        <v>40662</v>
      </c>
      <c r="M8364" t="s">
        <v>43615</v>
      </c>
      <c r="N8364" t="s">
        <v>44905</v>
      </c>
      <c r="O8364" t="s">
        <v>44906</v>
      </c>
      <c r="P8364">
        <v>0</v>
      </c>
      <c r="Q8364">
        <v>1</v>
      </c>
      <c r="R8364" t="s">
        <v>44910</v>
      </c>
      <c r="S8364" t="s">
        <v>45076</v>
      </c>
      <c r="T8364" t="s">
        <v>46460</v>
      </c>
      <c r="U8364" t="s">
        <v>53652</v>
      </c>
      <c r="W8364" t="s">
        <v>43615</v>
      </c>
      <c r="X8364" t="s">
        <v>44911</v>
      </c>
    </row>
    <row r="8365" spans="1:24">
      <c r="A8365">
        <f>HYPERLINK("https://www.philgeps.gov.ph/GEPSNONPILOT/Tender/SplashBidNoticeAbstractUI.aspx?menuIndex=3&amp;refID=7075916&amp;Result=3","7075916")</f>
        <v>0</v>
      </c>
      <c r="B8365" t="s">
        <v>370</v>
      </c>
      <c r="C8365" t="s">
        <v>11496</v>
      </c>
      <c r="E8365" t="s">
        <v>25553</v>
      </c>
      <c r="F8365" t="s">
        <v>31362</v>
      </c>
      <c r="G8365" t="s">
        <v>31369</v>
      </c>
      <c r="H8365" t="s">
        <v>15799</v>
      </c>
      <c r="I8365" t="s">
        <v>31382</v>
      </c>
      <c r="J8365" t="s">
        <v>36067</v>
      </c>
      <c r="K8365" t="s">
        <v>40662</v>
      </c>
      <c r="M8365" t="s">
        <v>43619</v>
      </c>
      <c r="N8365" t="s">
        <v>44905</v>
      </c>
      <c r="O8365" t="s">
        <v>44906</v>
      </c>
      <c r="Q8365">
        <v>14</v>
      </c>
      <c r="R8365" t="s">
        <v>44910</v>
      </c>
      <c r="S8365" t="s">
        <v>45128</v>
      </c>
      <c r="T8365" t="s">
        <v>46555</v>
      </c>
      <c r="U8365" t="s">
        <v>53555</v>
      </c>
      <c r="V8365" t="s">
        <v>59878</v>
      </c>
      <c r="W8365" t="s">
        <v>43619</v>
      </c>
      <c r="X8365" t="s">
        <v>44911</v>
      </c>
    </row>
    <row r="8366" spans="1:24">
      <c r="A8366">
        <f>HYPERLINK("https://www.philgeps.gov.ph/GEPSNONPILOT/Tender/SplashBidNoticeAbstractUI.aspx?menuIndex=3&amp;refID=7075751&amp;Result=3","7075751")</f>
        <v>0</v>
      </c>
      <c r="B8366" t="s">
        <v>2438</v>
      </c>
      <c r="C8366" t="s">
        <v>11497</v>
      </c>
      <c r="D8366" t="s">
        <v>18109</v>
      </c>
      <c r="E8366" t="s">
        <v>25554</v>
      </c>
      <c r="F8366" t="s">
        <v>31362</v>
      </c>
      <c r="G8366" t="s">
        <v>31369</v>
      </c>
      <c r="H8366" t="s">
        <v>31378</v>
      </c>
      <c r="I8366" t="s">
        <v>31386</v>
      </c>
      <c r="J8366" t="s">
        <v>36620</v>
      </c>
      <c r="K8366" t="s">
        <v>40662</v>
      </c>
      <c r="L8366" t="s">
        <v>2438</v>
      </c>
      <c r="M8366" t="s">
        <v>43597</v>
      </c>
      <c r="N8366" t="s">
        <v>44905</v>
      </c>
      <c r="O8366" t="s">
        <v>44906</v>
      </c>
      <c r="Q8366">
        <v>1</v>
      </c>
      <c r="R8366" t="s">
        <v>44910</v>
      </c>
      <c r="S8366" t="s">
        <v>45129</v>
      </c>
      <c r="T8366" t="s">
        <v>46573</v>
      </c>
      <c r="U8366" t="s">
        <v>53596</v>
      </c>
      <c r="V8366" t="s">
        <v>59869</v>
      </c>
      <c r="W8366" t="s">
        <v>43597</v>
      </c>
      <c r="X8366" t="s">
        <v>44911</v>
      </c>
    </row>
    <row r="8367" spans="1:24">
      <c r="A8367">
        <f>HYPERLINK("https://www.philgeps.gov.ph/GEPSNONPILOT/Tender/SplashBidNoticeAbstractUI.aspx?menuIndex=3&amp;refID=7075919&amp;Result=3","7075919")</f>
        <v>0</v>
      </c>
      <c r="B8367" t="s">
        <v>2415</v>
      </c>
      <c r="C8367" t="s">
        <v>11498</v>
      </c>
      <c r="D8367" t="s">
        <v>18180</v>
      </c>
      <c r="E8367" t="s">
        <v>25555</v>
      </c>
      <c r="F8367" t="s">
        <v>31362</v>
      </c>
      <c r="G8367" t="s">
        <v>31369</v>
      </c>
      <c r="H8367" t="s">
        <v>31378</v>
      </c>
      <c r="I8367" t="s">
        <v>31386</v>
      </c>
      <c r="J8367" t="s">
        <v>36621</v>
      </c>
      <c r="K8367" t="s">
        <v>40662</v>
      </c>
      <c r="M8367" t="s">
        <v>43570</v>
      </c>
      <c r="N8367" t="s">
        <v>44905</v>
      </c>
      <c r="O8367" t="s">
        <v>44906</v>
      </c>
      <c r="P8367">
        <v>0</v>
      </c>
      <c r="Q8367">
        <v>0</v>
      </c>
      <c r="R8367" t="s">
        <v>44910</v>
      </c>
      <c r="S8367" t="s">
        <v>45076</v>
      </c>
      <c r="T8367" t="s">
        <v>46419</v>
      </c>
      <c r="U8367" t="s">
        <v>53520</v>
      </c>
      <c r="W8367" t="s">
        <v>43570</v>
      </c>
      <c r="X8367" t="s">
        <v>44911</v>
      </c>
    </row>
    <row r="8368" spans="1:24">
      <c r="A8368">
        <f>HYPERLINK("https://www.philgeps.gov.ph/GEPSNONPILOT/Tender/SplashBidNoticeAbstractUI.aspx?menuIndex=3&amp;refID=7075918&amp;Result=3","7075918")</f>
        <v>0</v>
      </c>
      <c r="B8368" t="s">
        <v>122</v>
      </c>
      <c r="C8368" t="s">
        <v>11499</v>
      </c>
      <c r="D8368" t="s">
        <v>18126</v>
      </c>
      <c r="E8368" t="s">
        <v>25556</v>
      </c>
      <c r="F8368" t="s">
        <v>31362</v>
      </c>
      <c r="G8368" t="s">
        <v>31369</v>
      </c>
      <c r="H8368" t="s">
        <v>31378</v>
      </c>
      <c r="I8368" t="s">
        <v>31386</v>
      </c>
      <c r="J8368" t="s">
        <v>36622</v>
      </c>
      <c r="K8368" t="s">
        <v>40679</v>
      </c>
      <c r="M8368" t="s">
        <v>41059</v>
      </c>
      <c r="N8368" t="s">
        <v>44905</v>
      </c>
      <c r="O8368" t="s">
        <v>44906</v>
      </c>
      <c r="Q8368">
        <v>4</v>
      </c>
      <c r="R8368" t="s">
        <v>44910</v>
      </c>
      <c r="S8368" t="s">
        <v>45130</v>
      </c>
      <c r="T8368" t="s">
        <v>46690</v>
      </c>
      <c r="U8368" t="s">
        <v>53653</v>
      </c>
      <c r="V8368" t="s">
        <v>59879</v>
      </c>
      <c r="W8368" t="s">
        <v>41059</v>
      </c>
      <c r="X8368" t="s">
        <v>44911</v>
      </c>
    </row>
    <row r="8369" spans="1:24">
      <c r="A8369">
        <f>HYPERLINK("https://www.philgeps.gov.ph/GEPSNONPILOT/Tender/SplashBidNoticeAbstractUI.aspx?menuIndex=3&amp;refID=7075912&amp;Result=3","7075912")</f>
        <v>0</v>
      </c>
      <c r="B8369" t="s">
        <v>1905</v>
      </c>
      <c r="C8369" t="s">
        <v>11500</v>
      </c>
      <c r="D8369" t="s">
        <v>18116</v>
      </c>
      <c r="E8369" t="s">
        <v>25557</v>
      </c>
      <c r="F8369" t="s">
        <v>31362</v>
      </c>
      <c r="G8369" t="s">
        <v>31373</v>
      </c>
      <c r="H8369" t="s">
        <v>15799</v>
      </c>
      <c r="I8369" t="s">
        <v>31411</v>
      </c>
      <c r="J8369" t="s">
        <v>33735</v>
      </c>
      <c r="K8369" t="s">
        <v>40679</v>
      </c>
      <c r="M8369" t="s">
        <v>43622</v>
      </c>
      <c r="N8369" t="s">
        <v>44905</v>
      </c>
      <c r="O8369" t="s">
        <v>44906</v>
      </c>
      <c r="P8369">
        <v>0</v>
      </c>
      <c r="Q8369">
        <v>20</v>
      </c>
      <c r="R8369" t="s">
        <v>44910</v>
      </c>
      <c r="S8369" t="s">
        <v>45076</v>
      </c>
      <c r="T8369" t="s">
        <v>46465</v>
      </c>
      <c r="U8369" t="s">
        <v>53654</v>
      </c>
      <c r="W8369" t="s">
        <v>43622</v>
      </c>
      <c r="X8369" t="s">
        <v>44911</v>
      </c>
    </row>
    <row r="8370" spans="1:24">
      <c r="A8370">
        <f>HYPERLINK("https://www.philgeps.gov.ph/GEPSNONPILOT/Tender/SplashBidNoticeAbstractUI.aspx?menuIndex=3&amp;refID=7075954&amp;Result=3","7075954")</f>
        <v>0</v>
      </c>
      <c r="B8370" t="s">
        <v>2459</v>
      </c>
      <c r="C8370" t="s">
        <v>11501</v>
      </c>
      <c r="D8370" t="s">
        <v>18168</v>
      </c>
      <c r="E8370" t="s">
        <v>25558</v>
      </c>
      <c r="F8370" t="s">
        <v>31362</v>
      </c>
      <c r="G8370" t="s">
        <v>31369</v>
      </c>
      <c r="H8370" t="s">
        <v>31378</v>
      </c>
      <c r="I8370" t="s">
        <v>31441</v>
      </c>
      <c r="J8370" t="s">
        <v>36623</v>
      </c>
      <c r="K8370" t="s">
        <v>40682</v>
      </c>
      <c r="M8370" t="s">
        <v>43618</v>
      </c>
      <c r="N8370" t="s">
        <v>44905</v>
      </c>
      <c r="O8370" t="s">
        <v>44906</v>
      </c>
      <c r="P8370">
        <v>0</v>
      </c>
      <c r="Q8370">
        <v>0</v>
      </c>
      <c r="R8370" t="s">
        <v>44910</v>
      </c>
      <c r="S8370" t="s">
        <v>45076</v>
      </c>
      <c r="T8370" t="s">
        <v>46458</v>
      </c>
      <c r="U8370" t="s">
        <v>53655</v>
      </c>
      <c r="W8370" t="s">
        <v>43618</v>
      </c>
      <c r="X8370" t="s">
        <v>44911</v>
      </c>
    </row>
    <row r="8371" spans="1:24">
      <c r="A8371">
        <f>HYPERLINK("https://www.philgeps.gov.ph/GEPSNONPILOT/Tender/SplashBidNoticeAbstractUI.aspx?menuIndex=3&amp;refID=7075925&amp;Result=3","7075925")</f>
        <v>0</v>
      </c>
      <c r="B8371" t="s">
        <v>122</v>
      </c>
      <c r="C8371" t="s">
        <v>11502</v>
      </c>
      <c r="D8371" t="s">
        <v>18145</v>
      </c>
      <c r="E8371" t="s">
        <v>25559</v>
      </c>
      <c r="F8371" t="s">
        <v>31362</v>
      </c>
      <c r="G8371" t="s">
        <v>31369</v>
      </c>
      <c r="H8371" t="s">
        <v>15799</v>
      </c>
      <c r="I8371" t="s">
        <v>31426</v>
      </c>
      <c r="J8371" t="s">
        <v>36624</v>
      </c>
      <c r="K8371" t="s">
        <v>40679</v>
      </c>
      <c r="M8371" t="s">
        <v>41059</v>
      </c>
      <c r="N8371" t="s">
        <v>44905</v>
      </c>
      <c r="O8371" t="s">
        <v>44906</v>
      </c>
      <c r="P8371">
        <v>0</v>
      </c>
      <c r="Q8371">
        <v>8</v>
      </c>
      <c r="R8371" t="s">
        <v>44910</v>
      </c>
      <c r="S8371" t="s">
        <v>45076</v>
      </c>
      <c r="T8371" t="s">
        <v>46690</v>
      </c>
      <c r="U8371" t="s">
        <v>53653</v>
      </c>
      <c r="V8371" t="s">
        <v>59880</v>
      </c>
      <c r="W8371" t="s">
        <v>41059</v>
      </c>
      <c r="X8371" t="s">
        <v>44911</v>
      </c>
    </row>
    <row r="8372" spans="1:24">
      <c r="A8372">
        <f>HYPERLINK("https://www.philgeps.gov.ph/GEPSNONPILOT/Tender/SplashBidNoticeAbstractUI.aspx?menuIndex=3&amp;refID=7075966&amp;Result=3","7075966")</f>
        <v>0</v>
      </c>
      <c r="B8372" t="s">
        <v>288</v>
      </c>
      <c r="C8372" t="s">
        <v>11503</v>
      </c>
      <c r="D8372" t="s">
        <v>18102</v>
      </c>
      <c r="E8372" t="s">
        <v>25560</v>
      </c>
      <c r="F8372" t="s">
        <v>31362</v>
      </c>
      <c r="G8372" t="s">
        <v>31373</v>
      </c>
      <c r="H8372" t="s">
        <v>31378</v>
      </c>
      <c r="I8372" t="s">
        <v>31386</v>
      </c>
      <c r="J8372" t="s">
        <v>36625</v>
      </c>
      <c r="K8372" t="s">
        <v>40683</v>
      </c>
      <c r="M8372" t="s">
        <v>41231</v>
      </c>
      <c r="N8372" t="s">
        <v>44905</v>
      </c>
      <c r="O8372" t="s">
        <v>44906</v>
      </c>
      <c r="P8372">
        <v>0</v>
      </c>
      <c r="Q8372">
        <v>21</v>
      </c>
      <c r="R8372" t="s">
        <v>44910</v>
      </c>
      <c r="S8372" t="s">
        <v>45076</v>
      </c>
      <c r="T8372" t="s">
        <v>46433</v>
      </c>
      <c r="U8372" t="s">
        <v>53656</v>
      </c>
      <c r="V8372" t="s">
        <v>59881</v>
      </c>
      <c r="W8372" t="s">
        <v>41231</v>
      </c>
      <c r="X8372" t="s">
        <v>44911</v>
      </c>
    </row>
    <row r="8373" spans="1:24">
      <c r="A8373">
        <f>HYPERLINK("https://www.philgeps.gov.ph/GEPSNONPILOT/Tender/SplashBidNoticeAbstractUI.aspx?menuIndex=3&amp;refID=7075964&amp;Result=3","7075964")</f>
        <v>0</v>
      </c>
      <c r="B8373" t="s">
        <v>438</v>
      </c>
      <c r="C8373" t="s">
        <v>11504</v>
      </c>
      <c r="D8373" t="s">
        <v>18159</v>
      </c>
      <c r="E8373" t="s">
        <v>25561</v>
      </c>
      <c r="F8373" t="s">
        <v>31362</v>
      </c>
      <c r="G8373" t="s">
        <v>31369</v>
      </c>
      <c r="H8373" t="s">
        <v>31378</v>
      </c>
      <c r="I8373" t="s">
        <v>31386</v>
      </c>
      <c r="J8373" t="s">
        <v>36626</v>
      </c>
      <c r="K8373" t="s">
        <v>40824</v>
      </c>
      <c r="M8373" t="s">
        <v>41390</v>
      </c>
      <c r="N8373" t="s">
        <v>44905</v>
      </c>
      <c r="O8373" t="s">
        <v>44906</v>
      </c>
      <c r="P8373">
        <v>0</v>
      </c>
      <c r="Q8373">
        <v>0</v>
      </c>
      <c r="R8373" t="s">
        <v>44910</v>
      </c>
      <c r="S8373" t="s">
        <v>45076</v>
      </c>
      <c r="T8373" t="s">
        <v>46559</v>
      </c>
      <c r="U8373" t="s">
        <v>53657</v>
      </c>
      <c r="W8373" t="s">
        <v>41390</v>
      </c>
      <c r="X8373" t="s">
        <v>44911</v>
      </c>
    </row>
    <row r="8374" spans="1:24">
      <c r="A8374">
        <f>HYPERLINK("https://www.philgeps.gov.ph/GEPSNONPILOT/Tender/SplashBidNoticeAbstractUI.aspx?menuIndex=3&amp;refID=7075960&amp;Result=3","7075960")</f>
        <v>0</v>
      </c>
      <c r="B8374" t="s">
        <v>660</v>
      </c>
      <c r="C8374" t="s">
        <v>11505</v>
      </c>
      <c r="D8374" t="s">
        <v>18116</v>
      </c>
      <c r="E8374" t="s">
        <v>25562</v>
      </c>
      <c r="F8374" t="s">
        <v>31362</v>
      </c>
      <c r="G8374" t="s">
        <v>31369</v>
      </c>
      <c r="H8374" t="s">
        <v>31378</v>
      </c>
      <c r="I8374" t="s">
        <v>31386</v>
      </c>
      <c r="J8374" t="s">
        <v>36627</v>
      </c>
      <c r="K8374" t="s">
        <v>40845</v>
      </c>
      <c r="M8374" t="s">
        <v>41622</v>
      </c>
      <c r="N8374" t="s">
        <v>44905</v>
      </c>
      <c r="O8374" t="s">
        <v>44906</v>
      </c>
      <c r="P8374">
        <v>0</v>
      </c>
      <c r="Q8374">
        <v>10</v>
      </c>
      <c r="R8374" t="s">
        <v>44910</v>
      </c>
      <c r="S8374" t="s">
        <v>45076</v>
      </c>
      <c r="T8374" t="s">
        <v>46464</v>
      </c>
      <c r="U8374" t="s">
        <v>53658</v>
      </c>
      <c r="W8374" t="s">
        <v>41622</v>
      </c>
      <c r="X8374" t="s">
        <v>44911</v>
      </c>
    </row>
    <row r="8375" spans="1:24">
      <c r="A8375">
        <f>HYPERLINK("https://www.philgeps.gov.ph/GEPSNONPILOT/Tender/SplashBidNoticeAbstractUI.aspx?menuIndex=3&amp;refID=7075956&amp;Result=3","7075956")</f>
        <v>0</v>
      </c>
      <c r="B8375" t="s">
        <v>2462</v>
      </c>
      <c r="C8375" t="s">
        <v>11506</v>
      </c>
      <c r="D8375" t="s">
        <v>18177</v>
      </c>
      <c r="E8375" t="s">
        <v>25563</v>
      </c>
      <c r="F8375" t="s">
        <v>31362</v>
      </c>
      <c r="G8375" t="s">
        <v>31368</v>
      </c>
      <c r="H8375" t="s">
        <v>15799</v>
      </c>
      <c r="I8375" t="s">
        <v>31385</v>
      </c>
      <c r="J8375" t="s">
        <v>36628</v>
      </c>
      <c r="K8375" t="s">
        <v>40665</v>
      </c>
      <c r="M8375" t="s">
        <v>43623</v>
      </c>
      <c r="N8375" t="s">
        <v>44905</v>
      </c>
      <c r="O8375" t="s">
        <v>44906</v>
      </c>
      <c r="P8375">
        <v>0</v>
      </c>
      <c r="Q8375">
        <v>4</v>
      </c>
      <c r="R8375" t="s">
        <v>44910</v>
      </c>
      <c r="S8375" t="s">
        <v>45076</v>
      </c>
      <c r="T8375" t="s">
        <v>46583</v>
      </c>
      <c r="U8375" t="s">
        <v>53659</v>
      </c>
      <c r="W8375" t="s">
        <v>43623</v>
      </c>
      <c r="X8375" t="s">
        <v>44911</v>
      </c>
    </row>
    <row r="8376" spans="1:24">
      <c r="A8376">
        <f>HYPERLINK("https://www.philgeps.gov.ph/GEPSNONPILOT/Tender/SplashBidNoticeAbstractUI.aspx?menuIndex=3&amp;refID=7075953&amp;Result=3","7075953")</f>
        <v>0</v>
      </c>
      <c r="B8376" t="s">
        <v>1786</v>
      </c>
      <c r="C8376" t="s">
        <v>11507</v>
      </c>
      <c r="D8376" t="s">
        <v>18133</v>
      </c>
      <c r="E8376" t="s">
        <v>25564</v>
      </c>
      <c r="F8376" t="s">
        <v>31362</v>
      </c>
      <c r="G8376" t="s">
        <v>31369</v>
      </c>
      <c r="H8376" t="s">
        <v>31378</v>
      </c>
      <c r="I8376" t="s">
        <v>31386</v>
      </c>
      <c r="J8376" t="s">
        <v>36629</v>
      </c>
      <c r="K8376" t="s">
        <v>40846</v>
      </c>
      <c r="M8376" t="s">
        <v>42867</v>
      </c>
      <c r="N8376" t="s">
        <v>44905</v>
      </c>
      <c r="O8376" t="s">
        <v>44906</v>
      </c>
      <c r="P8376">
        <v>0</v>
      </c>
      <c r="Q8376">
        <v>1</v>
      </c>
      <c r="R8376" t="s">
        <v>44910</v>
      </c>
      <c r="S8376" t="s">
        <v>45076</v>
      </c>
      <c r="T8376" t="s">
        <v>46585</v>
      </c>
      <c r="U8376" t="s">
        <v>53660</v>
      </c>
      <c r="W8376" t="s">
        <v>42867</v>
      </c>
      <c r="X8376" t="s">
        <v>44911</v>
      </c>
    </row>
    <row r="8377" spans="1:24">
      <c r="A8377">
        <f>HYPERLINK("https://www.philgeps.gov.ph/GEPSNONPILOT/Tender/SplashBidNoticeAbstractUI.aspx?menuIndex=3&amp;refID=7075951&amp;Result=3","7075951")</f>
        <v>0</v>
      </c>
      <c r="B8377" t="s">
        <v>2463</v>
      </c>
      <c r="C8377" t="s">
        <v>11508</v>
      </c>
      <c r="D8377" t="s">
        <v>18116</v>
      </c>
      <c r="E8377" t="s">
        <v>25565</v>
      </c>
      <c r="F8377" t="s">
        <v>31362</v>
      </c>
      <c r="G8377" t="s">
        <v>31369</v>
      </c>
      <c r="H8377" t="s">
        <v>15799</v>
      </c>
      <c r="I8377" t="s">
        <v>31393</v>
      </c>
      <c r="J8377" t="s">
        <v>36630</v>
      </c>
      <c r="K8377" t="s">
        <v>40662</v>
      </c>
      <c r="L8377" t="s">
        <v>2463</v>
      </c>
      <c r="M8377" t="s">
        <v>43624</v>
      </c>
      <c r="N8377" t="s">
        <v>44905</v>
      </c>
      <c r="O8377" t="s">
        <v>44906</v>
      </c>
      <c r="P8377">
        <v>0</v>
      </c>
      <c r="Q8377">
        <v>10</v>
      </c>
      <c r="R8377" t="s">
        <v>44910</v>
      </c>
      <c r="S8377" t="s">
        <v>45076</v>
      </c>
      <c r="T8377" t="s">
        <v>46559</v>
      </c>
      <c r="U8377" t="s">
        <v>53661</v>
      </c>
      <c r="W8377" t="s">
        <v>43624</v>
      </c>
      <c r="X8377" t="s">
        <v>44911</v>
      </c>
    </row>
    <row r="8378" spans="1:24">
      <c r="A8378">
        <f>HYPERLINK("https://www.philgeps.gov.ph/GEPSNONPILOT/Tender/SplashBidNoticeAbstractUI.aspx?menuIndex=3&amp;refID=7075914&amp;Result=3","7075914")</f>
        <v>0</v>
      </c>
      <c r="B8378" t="s">
        <v>2464</v>
      </c>
      <c r="C8378" t="s">
        <v>11509</v>
      </c>
      <c r="D8378" t="s">
        <v>18101</v>
      </c>
      <c r="E8378" t="s">
        <v>20783</v>
      </c>
      <c r="F8378" t="s">
        <v>31362</v>
      </c>
      <c r="G8378" t="s">
        <v>31369</v>
      </c>
      <c r="H8378" t="s">
        <v>15799</v>
      </c>
      <c r="I8378" t="s">
        <v>3815</v>
      </c>
      <c r="J8378" t="s">
        <v>36631</v>
      </c>
      <c r="K8378" t="s">
        <v>40670</v>
      </c>
      <c r="M8378" t="s">
        <v>43625</v>
      </c>
      <c r="N8378" t="s">
        <v>44905</v>
      </c>
      <c r="O8378" t="s">
        <v>44906</v>
      </c>
      <c r="P8378">
        <v>0</v>
      </c>
      <c r="Q8378">
        <v>0</v>
      </c>
      <c r="R8378" t="s">
        <v>44910</v>
      </c>
      <c r="S8378" t="s">
        <v>45076</v>
      </c>
      <c r="T8378" t="s">
        <v>46503</v>
      </c>
      <c r="U8378" t="s">
        <v>53662</v>
      </c>
      <c r="W8378" t="s">
        <v>43625</v>
      </c>
      <c r="X8378" t="s">
        <v>44911</v>
      </c>
    </row>
    <row r="8379" spans="1:24">
      <c r="A8379">
        <f>HYPERLINK("https://www.philgeps.gov.ph/GEPSNONPILOT/Tender/SplashBidNoticeAbstractUI.aspx?menuIndex=3&amp;refID=7075950&amp;Result=3","7075950")</f>
        <v>0</v>
      </c>
      <c r="B8379" t="s">
        <v>2465</v>
      </c>
      <c r="C8379" t="s">
        <v>11510</v>
      </c>
      <c r="D8379" t="s">
        <v>18123</v>
      </c>
      <c r="E8379" t="s">
        <v>25566</v>
      </c>
      <c r="F8379" t="s">
        <v>31362</v>
      </c>
      <c r="G8379" t="s">
        <v>31369</v>
      </c>
      <c r="H8379" t="s">
        <v>31378</v>
      </c>
      <c r="I8379" t="s">
        <v>31386</v>
      </c>
      <c r="J8379" t="s">
        <v>36632</v>
      </c>
      <c r="K8379" t="s">
        <v>40722</v>
      </c>
      <c r="M8379" t="s">
        <v>43626</v>
      </c>
      <c r="N8379" t="s">
        <v>44905</v>
      </c>
      <c r="O8379" t="s">
        <v>44906</v>
      </c>
      <c r="P8379">
        <v>0</v>
      </c>
      <c r="Q8379">
        <v>1</v>
      </c>
      <c r="R8379" t="s">
        <v>44910</v>
      </c>
      <c r="S8379" t="s">
        <v>45076</v>
      </c>
      <c r="T8379" t="s">
        <v>46449</v>
      </c>
      <c r="U8379" t="s">
        <v>53663</v>
      </c>
      <c r="W8379" t="s">
        <v>43626</v>
      </c>
      <c r="X8379" t="s">
        <v>44911</v>
      </c>
    </row>
    <row r="8380" spans="1:24">
      <c r="A8380">
        <f>HYPERLINK("https://www.philgeps.gov.ph/GEPSNONPILOT/Tender/SplashBidNoticeAbstractUI.aspx?menuIndex=3&amp;refID=7075949&amp;Result=3","7075949")</f>
        <v>0</v>
      </c>
      <c r="B8380" t="s">
        <v>2456</v>
      </c>
      <c r="C8380" t="s">
        <v>11511</v>
      </c>
      <c r="D8380" t="s">
        <v>18138</v>
      </c>
      <c r="E8380" t="s">
        <v>25567</v>
      </c>
      <c r="F8380" t="s">
        <v>31362</v>
      </c>
      <c r="G8380" t="s">
        <v>31369</v>
      </c>
      <c r="H8380" t="s">
        <v>15799</v>
      </c>
      <c r="I8380" t="s">
        <v>3815</v>
      </c>
      <c r="J8380" t="s">
        <v>36633</v>
      </c>
      <c r="K8380" t="s">
        <v>40662</v>
      </c>
      <c r="M8380" t="s">
        <v>43615</v>
      </c>
      <c r="N8380" t="s">
        <v>44905</v>
      </c>
      <c r="O8380" t="s">
        <v>44906</v>
      </c>
      <c r="P8380">
        <v>0</v>
      </c>
      <c r="Q8380">
        <v>0</v>
      </c>
      <c r="R8380" t="s">
        <v>44910</v>
      </c>
      <c r="S8380" t="s">
        <v>45076</v>
      </c>
      <c r="T8380" t="s">
        <v>46460</v>
      </c>
      <c r="U8380" t="s">
        <v>53664</v>
      </c>
      <c r="W8380" t="s">
        <v>43615</v>
      </c>
      <c r="X8380" t="s">
        <v>44911</v>
      </c>
    </row>
    <row r="8381" spans="1:24">
      <c r="A8381">
        <f>HYPERLINK("https://www.philgeps.gov.ph/GEPSNONPILOT/Tender/SplashBidNoticeAbstractUI.aspx?menuIndex=3&amp;refID=7075946&amp;Result=3","7075946")</f>
        <v>0</v>
      </c>
      <c r="B8381" t="s">
        <v>122</v>
      </c>
      <c r="C8381" t="s">
        <v>11512</v>
      </c>
      <c r="D8381" t="s">
        <v>18145</v>
      </c>
      <c r="E8381" t="s">
        <v>25568</v>
      </c>
      <c r="F8381" t="s">
        <v>31362</v>
      </c>
      <c r="G8381" t="s">
        <v>31369</v>
      </c>
      <c r="H8381" t="s">
        <v>15799</v>
      </c>
      <c r="I8381" t="s">
        <v>31426</v>
      </c>
      <c r="J8381" t="s">
        <v>36634</v>
      </c>
      <c r="K8381" t="s">
        <v>40679</v>
      </c>
      <c r="M8381" t="s">
        <v>41059</v>
      </c>
      <c r="N8381" t="s">
        <v>44905</v>
      </c>
      <c r="O8381" t="s">
        <v>44906</v>
      </c>
      <c r="P8381">
        <v>0</v>
      </c>
      <c r="Q8381">
        <v>6</v>
      </c>
      <c r="R8381" t="s">
        <v>44910</v>
      </c>
      <c r="S8381" t="s">
        <v>45076</v>
      </c>
      <c r="T8381" t="s">
        <v>46690</v>
      </c>
      <c r="U8381" t="s">
        <v>53653</v>
      </c>
      <c r="V8381" t="s">
        <v>59880</v>
      </c>
      <c r="W8381" t="s">
        <v>41059</v>
      </c>
      <c r="X8381" t="s">
        <v>44911</v>
      </c>
    </row>
    <row r="8382" spans="1:24">
      <c r="A8382">
        <f>HYPERLINK("https://www.philgeps.gov.ph/GEPSNONPILOT/Tender/SplashBidNoticeAbstractUI.aspx?menuIndex=3&amp;refID=7075915&amp;Result=3","7075915")</f>
        <v>0</v>
      </c>
      <c r="B8382" t="s">
        <v>122</v>
      </c>
      <c r="C8382" t="s">
        <v>11513</v>
      </c>
      <c r="D8382" t="s">
        <v>18145</v>
      </c>
      <c r="E8382" t="s">
        <v>25569</v>
      </c>
      <c r="F8382" t="s">
        <v>31362</v>
      </c>
      <c r="G8382" t="s">
        <v>31369</v>
      </c>
      <c r="H8382" t="s">
        <v>15799</v>
      </c>
      <c r="I8382" t="s">
        <v>31426</v>
      </c>
      <c r="J8382" t="s">
        <v>36635</v>
      </c>
      <c r="K8382" t="s">
        <v>40679</v>
      </c>
      <c r="M8382" t="s">
        <v>41059</v>
      </c>
      <c r="N8382" t="s">
        <v>44905</v>
      </c>
      <c r="O8382" t="s">
        <v>44906</v>
      </c>
      <c r="P8382">
        <v>0</v>
      </c>
      <c r="Q8382">
        <v>6</v>
      </c>
      <c r="R8382" t="s">
        <v>44910</v>
      </c>
      <c r="S8382" t="s">
        <v>45076</v>
      </c>
      <c r="T8382" t="s">
        <v>46690</v>
      </c>
      <c r="U8382" t="s">
        <v>53653</v>
      </c>
      <c r="V8382" t="s">
        <v>59880</v>
      </c>
      <c r="W8382" t="s">
        <v>41059</v>
      </c>
      <c r="X8382" t="s">
        <v>44911</v>
      </c>
    </row>
    <row r="8383" spans="1:24">
      <c r="A8383">
        <f>HYPERLINK("https://www.philgeps.gov.ph/GEPSNONPILOT/Tender/SplashBidNoticeAbstractUI.aspx?menuIndex=3&amp;refID=7075943&amp;Result=3","7075943")</f>
        <v>0</v>
      </c>
      <c r="B8383" t="s">
        <v>555</v>
      </c>
      <c r="C8383" t="s">
        <v>11514</v>
      </c>
      <c r="D8383" t="s">
        <v>18148</v>
      </c>
      <c r="E8383" t="s">
        <v>25570</v>
      </c>
      <c r="F8383" t="s">
        <v>31362</v>
      </c>
      <c r="G8383" t="s">
        <v>31369</v>
      </c>
      <c r="H8383" t="s">
        <v>31378</v>
      </c>
      <c r="I8383" t="s">
        <v>31386</v>
      </c>
      <c r="J8383" t="s">
        <v>36636</v>
      </c>
      <c r="K8383" t="s">
        <v>40686</v>
      </c>
      <c r="M8383" t="s">
        <v>43627</v>
      </c>
      <c r="N8383" t="s">
        <v>44905</v>
      </c>
      <c r="O8383" t="s">
        <v>44906</v>
      </c>
      <c r="P8383">
        <v>0</v>
      </c>
      <c r="Q8383">
        <v>0</v>
      </c>
      <c r="R8383" t="s">
        <v>44910</v>
      </c>
      <c r="S8383" t="s">
        <v>45076</v>
      </c>
      <c r="T8383" t="s">
        <v>46671</v>
      </c>
      <c r="U8383" t="s">
        <v>53665</v>
      </c>
      <c r="W8383" t="s">
        <v>43627</v>
      </c>
      <c r="X8383" t="s">
        <v>44911</v>
      </c>
    </row>
    <row r="8384" spans="1:24">
      <c r="A8384">
        <f>HYPERLINK("https://www.philgeps.gov.ph/GEPSNONPILOT/Tender/SplashBidNoticeAbstractUI.aspx?menuIndex=3&amp;refID=7075942&amp;Result=3","7075942")</f>
        <v>0</v>
      </c>
      <c r="B8384" t="s">
        <v>716</v>
      </c>
      <c r="C8384" t="s">
        <v>11515</v>
      </c>
      <c r="D8384" t="s">
        <v>18160</v>
      </c>
      <c r="E8384" t="s">
        <v>25571</v>
      </c>
      <c r="F8384" t="s">
        <v>31362</v>
      </c>
      <c r="G8384" t="s">
        <v>31369</v>
      </c>
      <c r="H8384" t="s">
        <v>15799</v>
      </c>
      <c r="I8384" t="s">
        <v>31393</v>
      </c>
      <c r="J8384" t="s">
        <v>34265</v>
      </c>
      <c r="K8384" t="s">
        <v>40677</v>
      </c>
      <c r="M8384" t="s">
        <v>43557</v>
      </c>
      <c r="N8384" t="s">
        <v>44905</v>
      </c>
      <c r="O8384" t="s">
        <v>44906</v>
      </c>
      <c r="P8384">
        <v>0</v>
      </c>
      <c r="Q8384">
        <v>3</v>
      </c>
      <c r="R8384" t="s">
        <v>44910</v>
      </c>
      <c r="S8384" t="s">
        <v>45076</v>
      </c>
      <c r="T8384" t="s">
        <v>46585</v>
      </c>
      <c r="U8384" t="s">
        <v>53666</v>
      </c>
      <c r="W8384" t="s">
        <v>60933</v>
      </c>
      <c r="X8384" t="s">
        <v>44911</v>
      </c>
    </row>
    <row r="8385" spans="1:24">
      <c r="A8385">
        <f>HYPERLINK("https://www.philgeps.gov.ph/GEPSNONPILOT/Tender/SplashBidNoticeAbstractUI.aspx?menuIndex=3&amp;refID=7075940&amp;Result=3","7075940")</f>
        <v>0</v>
      </c>
      <c r="B8385" t="s">
        <v>2456</v>
      </c>
      <c r="C8385" t="s">
        <v>11516</v>
      </c>
      <c r="D8385" t="s">
        <v>18138</v>
      </c>
      <c r="E8385" t="s">
        <v>25572</v>
      </c>
      <c r="F8385" t="s">
        <v>31362</v>
      </c>
      <c r="G8385" t="s">
        <v>31369</v>
      </c>
      <c r="H8385" t="s">
        <v>15799</v>
      </c>
      <c r="I8385" t="s">
        <v>3815</v>
      </c>
      <c r="J8385" t="s">
        <v>36637</v>
      </c>
      <c r="K8385" t="s">
        <v>40662</v>
      </c>
      <c r="M8385" t="s">
        <v>43615</v>
      </c>
      <c r="N8385" t="s">
        <v>44905</v>
      </c>
      <c r="O8385" t="s">
        <v>44906</v>
      </c>
      <c r="P8385">
        <v>0</v>
      </c>
      <c r="Q8385">
        <v>0</v>
      </c>
      <c r="R8385" t="s">
        <v>44910</v>
      </c>
      <c r="S8385" t="s">
        <v>45076</v>
      </c>
      <c r="T8385" t="s">
        <v>46460</v>
      </c>
      <c r="U8385" t="s">
        <v>53667</v>
      </c>
      <c r="W8385" t="s">
        <v>43615</v>
      </c>
      <c r="X8385" t="s">
        <v>44911</v>
      </c>
    </row>
    <row r="8386" spans="1:24">
      <c r="A8386">
        <f>HYPERLINK("https://www.philgeps.gov.ph/GEPSNONPILOT/Tender/SplashBidNoticeAbstractUI.aspx?menuIndex=3&amp;refID=7075930&amp;Result=3","7075930")</f>
        <v>0</v>
      </c>
      <c r="B8386" t="s">
        <v>1905</v>
      </c>
      <c r="C8386" t="s">
        <v>11517</v>
      </c>
      <c r="D8386" t="s">
        <v>18116</v>
      </c>
      <c r="E8386" t="s">
        <v>20907</v>
      </c>
      <c r="F8386" t="s">
        <v>31362</v>
      </c>
      <c r="G8386" t="s">
        <v>31373</v>
      </c>
      <c r="H8386" t="s">
        <v>15799</v>
      </c>
      <c r="I8386" t="s">
        <v>31393</v>
      </c>
      <c r="J8386" t="s">
        <v>36638</v>
      </c>
      <c r="K8386" t="s">
        <v>40666</v>
      </c>
      <c r="M8386" t="s">
        <v>43622</v>
      </c>
      <c r="N8386" t="s">
        <v>44905</v>
      </c>
      <c r="O8386" t="s">
        <v>44906</v>
      </c>
      <c r="P8386">
        <v>0</v>
      </c>
      <c r="Q8386">
        <v>10</v>
      </c>
      <c r="R8386" t="s">
        <v>44910</v>
      </c>
      <c r="S8386" t="s">
        <v>45076</v>
      </c>
      <c r="T8386" t="s">
        <v>46466</v>
      </c>
      <c r="U8386" t="s">
        <v>53668</v>
      </c>
      <c r="W8386" t="s">
        <v>43622</v>
      </c>
      <c r="X8386" t="s">
        <v>44911</v>
      </c>
    </row>
    <row r="8387" spans="1:24">
      <c r="A8387">
        <f>HYPERLINK("https://www.philgeps.gov.ph/GEPSNONPILOT/Tender/SplashBidNoticeAbstractUI.aspx?menuIndex=3&amp;refID=7075991&amp;Result=3","7075991")</f>
        <v>0</v>
      </c>
      <c r="B8387" t="s">
        <v>2466</v>
      </c>
      <c r="C8387" t="s">
        <v>11518</v>
      </c>
      <c r="D8387" t="s">
        <v>18102</v>
      </c>
      <c r="E8387" t="s">
        <v>22841</v>
      </c>
      <c r="F8387" t="s">
        <v>31362</v>
      </c>
      <c r="G8387" t="s">
        <v>31369</v>
      </c>
      <c r="H8387" t="s">
        <v>31378</v>
      </c>
      <c r="I8387" t="s">
        <v>31386</v>
      </c>
      <c r="J8387" t="s">
        <v>36639</v>
      </c>
      <c r="K8387" t="s">
        <v>40662</v>
      </c>
      <c r="M8387" t="s">
        <v>43628</v>
      </c>
      <c r="N8387" t="s">
        <v>44905</v>
      </c>
      <c r="O8387" t="s">
        <v>44906</v>
      </c>
      <c r="P8387">
        <v>0</v>
      </c>
      <c r="Q8387">
        <v>0</v>
      </c>
      <c r="R8387" t="s">
        <v>44910</v>
      </c>
      <c r="S8387" t="s">
        <v>45076</v>
      </c>
      <c r="T8387" t="s">
        <v>46447</v>
      </c>
      <c r="U8387" t="s">
        <v>53669</v>
      </c>
      <c r="W8387" t="s">
        <v>43628</v>
      </c>
      <c r="X8387" t="s">
        <v>44911</v>
      </c>
    </row>
    <row r="8388" spans="1:24">
      <c r="A8388">
        <f>HYPERLINK("https://www.philgeps.gov.ph/GEPSNONPILOT/Tender/SplashBidNoticeAbstractUI.aspx?menuIndex=3&amp;refID=7075959&amp;Result=3","7075959")</f>
        <v>0</v>
      </c>
      <c r="B8388" t="s">
        <v>1967</v>
      </c>
      <c r="C8388" t="s">
        <v>11519</v>
      </c>
      <c r="D8388" t="s">
        <v>18108</v>
      </c>
      <c r="E8388" t="s">
        <v>25573</v>
      </c>
      <c r="F8388" t="s">
        <v>31362</v>
      </c>
      <c r="G8388" t="s">
        <v>31369</v>
      </c>
      <c r="H8388" t="s">
        <v>15799</v>
      </c>
      <c r="I8388" t="s">
        <v>31385</v>
      </c>
      <c r="J8388" t="s">
        <v>36640</v>
      </c>
      <c r="K8388" t="s">
        <v>40682</v>
      </c>
      <c r="M8388" t="s">
        <v>43073</v>
      </c>
      <c r="N8388" t="s">
        <v>44905</v>
      </c>
      <c r="O8388" t="s">
        <v>44906</v>
      </c>
      <c r="P8388">
        <v>0</v>
      </c>
      <c r="Q8388">
        <v>0</v>
      </c>
      <c r="R8388" t="s">
        <v>44910</v>
      </c>
      <c r="S8388" t="s">
        <v>45076</v>
      </c>
      <c r="T8388" t="s">
        <v>46616</v>
      </c>
      <c r="U8388" t="s">
        <v>53670</v>
      </c>
      <c r="W8388" t="s">
        <v>43073</v>
      </c>
      <c r="X8388" t="s">
        <v>44911</v>
      </c>
    </row>
    <row r="8389" spans="1:24">
      <c r="A8389">
        <f>HYPERLINK("https://www.philgeps.gov.ph/GEPSNONPILOT/Tender/SplashBidNoticeAbstractUI.aspx?menuIndex=3&amp;refID=7075990&amp;Result=3","7075990")</f>
        <v>0</v>
      </c>
      <c r="B8389" t="s">
        <v>2456</v>
      </c>
      <c r="C8389" t="s">
        <v>11520</v>
      </c>
      <c r="D8389" t="s">
        <v>18138</v>
      </c>
      <c r="E8389" t="s">
        <v>25574</v>
      </c>
      <c r="F8389" t="s">
        <v>31362</v>
      </c>
      <c r="G8389" t="s">
        <v>31369</v>
      </c>
      <c r="H8389" t="s">
        <v>15799</v>
      </c>
      <c r="I8389" t="s">
        <v>3815</v>
      </c>
      <c r="J8389" t="s">
        <v>36641</v>
      </c>
      <c r="K8389" t="s">
        <v>40662</v>
      </c>
      <c r="M8389" t="s">
        <v>43615</v>
      </c>
      <c r="N8389" t="s">
        <v>44905</v>
      </c>
      <c r="O8389" t="s">
        <v>44906</v>
      </c>
      <c r="P8389">
        <v>0</v>
      </c>
      <c r="Q8389">
        <v>0</v>
      </c>
      <c r="R8389" t="s">
        <v>44910</v>
      </c>
      <c r="S8389" t="s">
        <v>45076</v>
      </c>
      <c r="T8389" t="s">
        <v>46460</v>
      </c>
      <c r="U8389" t="s">
        <v>53671</v>
      </c>
      <c r="W8389" t="s">
        <v>43615</v>
      </c>
      <c r="X8389" t="s">
        <v>44911</v>
      </c>
    </row>
    <row r="8390" spans="1:24">
      <c r="A8390">
        <f>HYPERLINK("https://www.philgeps.gov.ph/GEPSNONPILOT/Tender/SplashBidNoticeAbstractUI.aspx?menuIndex=3&amp;refID=7075865&amp;Result=3","7075865")</f>
        <v>0</v>
      </c>
      <c r="B8390" t="s">
        <v>2467</v>
      </c>
      <c r="C8390" t="s">
        <v>11521</v>
      </c>
      <c r="D8390" t="s">
        <v>18134</v>
      </c>
      <c r="E8390" t="s">
        <v>25575</v>
      </c>
      <c r="F8390" t="s">
        <v>31362</v>
      </c>
      <c r="G8390" t="s">
        <v>31368</v>
      </c>
      <c r="H8390" t="s">
        <v>15799</v>
      </c>
      <c r="I8390" t="s">
        <v>31387</v>
      </c>
      <c r="J8390" t="s">
        <v>36642</v>
      </c>
      <c r="K8390" t="s">
        <v>40665</v>
      </c>
      <c r="M8390" t="s">
        <v>43629</v>
      </c>
      <c r="N8390" t="s">
        <v>44905</v>
      </c>
      <c r="O8390" t="s">
        <v>44906</v>
      </c>
      <c r="P8390">
        <v>0</v>
      </c>
      <c r="Q8390">
        <v>3</v>
      </c>
      <c r="R8390" t="s">
        <v>44910</v>
      </c>
      <c r="S8390" t="s">
        <v>45076</v>
      </c>
      <c r="T8390" t="s">
        <v>46432</v>
      </c>
      <c r="U8390" t="s">
        <v>53334</v>
      </c>
      <c r="W8390" t="s">
        <v>43629</v>
      </c>
      <c r="X8390" t="s">
        <v>44911</v>
      </c>
    </row>
    <row r="8391" spans="1:24">
      <c r="A8391">
        <f>HYPERLINK("https://www.philgeps.gov.ph/GEPSNONPILOT/Tender/SplashBidNoticeAbstractUI.aspx?menuIndex=3&amp;refID=7075962&amp;Result=3","7075962")</f>
        <v>0</v>
      </c>
      <c r="B8391" t="s">
        <v>2463</v>
      </c>
      <c r="C8391" t="s">
        <v>11522</v>
      </c>
      <c r="D8391" t="s">
        <v>18116</v>
      </c>
      <c r="E8391" t="s">
        <v>25576</v>
      </c>
      <c r="F8391" t="s">
        <v>31362</v>
      </c>
      <c r="G8391" t="s">
        <v>31369</v>
      </c>
      <c r="H8391" t="s">
        <v>15799</v>
      </c>
      <c r="I8391" t="s">
        <v>31393</v>
      </c>
      <c r="J8391" t="s">
        <v>36643</v>
      </c>
      <c r="K8391" t="s">
        <v>40662</v>
      </c>
      <c r="L8391" t="s">
        <v>2463</v>
      </c>
      <c r="M8391" t="s">
        <v>43624</v>
      </c>
      <c r="N8391" t="s">
        <v>44905</v>
      </c>
      <c r="O8391" t="s">
        <v>44906</v>
      </c>
      <c r="P8391">
        <v>0</v>
      </c>
      <c r="Q8391">
        <v>12</v>
      </c>
      <c r="R8391" t="s">
        <v>44910</v>
      </c>
      <c r="S8391" t="s">
        <v>45076</v>
      </c>
      <c r="T8391" t="s">
        <v>46559</v>
      </c>
      <c r="U8391" t="s">
        <v>53672</v>
      </c>
      <c r="W8391" t="s">
        <v>43624</v>
      </c>
      <c r="X8391" t="s">
        <v>44911</v>
      </c>
    </row>
    <row r="8392" spans="1:24">
      <c r="A8392">
        <f>HYPERLINK("https://www.philgeps.gov.ph/GEPSNONPILOT/Tender/SplashBidNoticeAbstractUI.aspx?menuIndex=3&amp;refID=7075985&amp;Result=3","7075985")</f>
        <v>0</v>
      </c>
      <c r="B8392" t="s">
        <v>370</v>
      </c>
      <c r="C8392" t="s">
        <v>11523</v>
      </c>
      <c r="E8392" t="s">
        <v>25577</v>
      </c>
      <c r="F8392" t="s">
        <v>31362</v>
      </c>
      <c r="G8392" t="s">
        <v>31369</v>
      </c>
      <c r="H8392" t="s">
        <v>15799</v>
      </c>
      <c r="I8392" t="s">
        <v>31382</v>
      </c>
      <c r="J8392" t="s">
        <v>36644</v>
      </c>
      <c r="K8392" t="s">
        <v>40662</v>
      </c>
      <c r="M8392" t="s">
        <v>43630</v>
      </c>
      <c r="N8392" t="s">
        <v>44905</v>
      </c>
      <c r="O8392" t="s">
        <v>44906</v>
      </c>
      <c r="Q8392">
        <v>12</v>
      </c>
      <c r="R8392" t="s">
        <v>44910</v>
      </c>
      <c r="S8392" t="s">
        <v>45131</v>
      </c>
      <c r="T8392" t="s">
        <v>46398</v>
      </c>
      <c r="U8392" t="s">
        <v>53555</v>
      </c>
      <c r="V8392" t="s">
        <v>59862</v>
      </c>
      <c r="W8392" t="s">
        <v>43630</v>
      </c>
      <c r="X8392" t="s">
        <v>44911</v>
      </c>
    </row>
    <row r="8393" spans="1:24">
      <c r="A8393">
        <f>HYPERLINK("https://www.philgeps.gov.ph/GEPSNONPILOT/Tender/SplashBidNoticeAbstractUI.aspx?menuIndex=3&amp;refID=7075993&amp;Result=3","7075993")</f>
        <v>0</v>
      </c>
      <c r="B8393" t="s">
        <v>370</v>
      </c>
      <c r="C8393" t="s">
        <v>11524</v>
      </c>
      <c r="E8393" t="s">
        <v>25578</v>
      </c>
      <c r="F8393" t="s">
        <v>31362</v>
      </c>
      <c r="G8393" t="s">
        <v>31369</v>
      </c>
      <c r="H8393" t="s">
        <v>15799</v>
      </c>
      <c r="I8393" t="s">
        <v>31382</v>
      </c>
      <c r="J8393" t="s">
        <v>36645</v>
      </c>
      <c r="K8393" t="s">
        <v>40662</v>
      </c>
      <c r="M8393" t="s">
        <v>43630</v>
      </c>
      <c r="N8393" t="s">
        <v>44905</v>
      </c>
      <c r="O8393" t="s">
        <v>44906</v>
      </c>
      <c r="Q8393">
        <v>12</v>
      </c>
      <c r="R8393" t="s">
        <v>44910</v>
      </c>
      <c r="S8393" t="s">
        <v>45132</v>
      </c>
      <c r="T8393" t="s">
        <v>46398</v>
      </c>
      <c r="U8393" t="s">
        <v>53555</v>
      </c>
      <c r="V8393" t="s">
        <v>59862</v>
      </c>
      <c r="W8393" t="s">
        <v>43630</v>
      </c>
      <c r="X8393" t="s">
        <v>44911</v>
      </c>
    </row>
    <row r="8394" spans="1:24">
      <c r="A8394">
        <f>HYPERLINK("https://www.philgeps.gov.ph/GEPSNONPILOT/Tender/SplashBidNoticeAbstractUI.aspx?menuIndex=3&amp;refID=7075983&amp;Result=3","7075983")</f>
        <v>0</v>
      </c>
      <c r="B8394" t="s">
        <v>2468</v>
      </c>
      <c r="C8394" t="s">
        <v>11525</v>
      </c>
      <c r="D8394" t="s">
        <v>18125</v>
      </c>
      <c r="E8394" t="s">
        <v>18415</v>
      </c>
      <c r="F8394" t="s">
        <v>31363</v>
      </c>
      <c r="G8394" t="s">
        <v>31369</v>
      </c>
      <c r="H8394" t="s">
        <v>15799</v>
      </c>
      <c r="I8394" t="s">
        <v>3815</v>
      </c>
      <c r="J8394" t="s">
        <v>33841</v>
      </c>
      <c r="K8394" t="s">
        <v>40670</v>
      </c>
      <c r="M8394" t="s">
        <v>43631</v>
      </c>
      <c r="N8394" t="s">
        <v>44905</v>
      </c>
      <c r="O8394" t="s">
        <v>44906</v>
      </c>
      <c r="P8394">
        <v>0</v>
      </c>
      <c r="Q8394">
        <v>1</v>
      </c>
      <c r="R8394" t="s">
        <v>44910</v>
      </c>
      <c r="S8394" t="s">
        <v>45076</v>
      </c>
      <c r="T8394" t="s">
        <v>46462</v>
      </c>
      <c r="U8394" t="s">
        <v>53673</v>
      </c>
      <c r="W8394" t="s">
        <v>43631</v>
      </c>
      <c r="X8394" t="s">
        <v>44911</v>
      </c>
    </row>
    <row r="8395" spans="1:24">
      <c r="A8395">
        <f>HYPERLINK("https://www.philgeps.gov.ph/GEPSNONPILOT/Tender/SplashBidNoticeAbstractUI.aspx?menuIndex=3&amp;refID=7075917&amp;Result=3","7075917")</f>
        <v>0</v>
      </c>
      <c r="B8395" t="s">
        <v>2456</v>
      </c>
      <c r="C8395" t="s">
        <v>11526</v>
      </c>
      <c r="D8395" t="s">
        <v>18138</v>
      </c>
      <c r="E8395" t="s">
        <v>25579</v>
      </c>
      <c r="F8395" t="s">
        <v>31362</v>
      </c>
      <c r="G8395" t="s">
        <v>31369</v>
      </c>
      <c r="H8395" t="s">
        <v>15799</v>
      </c>
      <c r="I8395" t="s">
        <v>3815</v>
      </c>
      <c r="J8395" t="s">
        <v>36646</v>
      </c>
      <c r="K8395" t="s">
        <v>40662</v>
      </c>
      <c r="M8395" t="s">
        <v>43615</v>
      </c>
      <c r="N8395" t="s">
        <v>44905</v>
      </c>
      <c r="O8395" t="s">
        <v>44906</v>
      </c>
      <c r="P8395">
        <v>0</v>
      </c>
      <c r="Q8395">
        <v>1</v>
      </c>
      <c r="R8395" t="s">
        <v>44910</v>
      </c>
      <c r="S8395" t="s">
        <v>45076</v>
      </c>
      <c r="T8395" t="s">
        <v>46460</v>
      </c>
      <c r="U8395" t="s">
        <v>53674</v>
      </c>
      <c r="W8395" t="s">
        <v>43615</v>
      </c>
      <c r="X8395" t="s">
        <v>44911</v>
      </c>
    </row>
    <row r="8396" spans="1:24">
      <c r="A8396">
        <f>HYPERLINK("https://www.philgeps.gov.ph/GEPSNONPILOT/Tender/SplashBidNoticeAbstractUI.aspx?menuIndex=3&amp;refID=7075981&amp;Result=3","7075981")</f>
        <v>0</v>
      </c>
      <c r="B8396" t="s">
        <v>2152</v>
      </c>
      <c r="C8396" t="s">
        <v>11527</v>
      </c>
      <c r="D8396" t="s">
        <v>18101</v>
      </c>
      <c r="E8396" t="s">
        <v>25580</v>
      </c>
      <c r="F8396" t="s">
        <v>31362</v>
      </c>
      <c r="G8396" t="s">
        <v>31369</v>
      </c>
      <c r="H8396" t="s">
        <v>15799</v>
      </c>
      <c r="I8396" t="s">
        <v>31479</v>
      </c>
      <c r="J8396" t="s">
        <v>36647</v>
      </c>
      <c r="K8396" t="s">
        <v>40682</v>
      </c>
      <c r="M8396" t="s">
        <v>43282</v>
      </c>
      <c r="N8396" t="s">
        <v>44905</v>
      </c>
      <c r="O8396" t="s">
        <v>44906</v>
      </c>
      <c r="P8396">
        <v>0</v>
      </c>
      <c r="Q8396">
        <v>0</v>
      </c>
      <c r="R8396" t="s">
        <v>44910</v>
      </c>
      <c r="S8396" t="s">
        <v>45076</v>
      </c>
      <c r="T8396" t="s">
        <v>46493</v>
      </c>
      <c r="U8396" t="s">
        <v>52655</v>
      </c>
      <c r="W8396" t="s">
        <v>43282</v>
      </c>
      <c r="X8396" t="s">
        <v>44911</v>
      </c>
    </row>
    <row r="8397" spans="1:24">
      <c r="A8397">
        <f>HYPERLINK("https://www.philgeps.gov.ph/GEPSNONPILOT/Tender/SplashBidNoticeAbstractUI.aspx?menuIndex=3&amp;refID=7075980&amp;Result=3","7075980")</f>
        <v>0</v>
      </c>
      <c r="B8397" t="s">
        <v>555</v>
      </c>
      <c r="C8397" t="s">
        <v>11528</v>
      </c>
      <c r="D8397" t="s">
        <v>18148</v>
      </c>
      <c r="E8397" t="s">
        <v>25581</v>
      </c>
      <c r="F8397" t="s">
        <v>31362</v>
      </c>
      <c r="G8397" t="s">
        <v>31369</v>
      </c>
      <c r="H8397" t="s">
        <v>31378</v>
      </c>
      <c r="I8397" t="s">
        <v>31386</v>
      </c>
      <c r="J8397" t="s">
        <v>36648</v>
      </c>
      <c r="K8397" t="s">
        <v>40675</v>
      </c>
      <c r="M8397" t="s">
        <v>43627</v>
      </c>
      <c r="N8397" t="s">
        <v>44905</v>
      </c>
      <c r="O8397" t="s">
        <v>44906</v>
      </c>
      <c r="P8397">
        <v>0</v>
      </c>
      <c r="Q8397">
        <v>0</v>
      </c>
      <c r="R8397" t="s">
        <v>44910</v>
      </c>
      <c r="S8397" t="s">
        <v>45076</v>
      </c>
      <c r="T8397" t="s">
        <v>46671</v>
      </c>
      <c r="U8397" t="s">
        <v>53665</v>
      </c>
      <c r="W8397" t="s">
        <v>43627</v>
      </c>
      <c r="X8397" t="s">
        <v>44911</v>
      </c>
    </row>
    <row r="8398" spans="1:24">
      <c r="A8398">
        <f>HYPERLINK("https://www.philgeps.gov.ph/GEPSNONPILOT/Tender/SplashBidNoticeAbstractUI.aspx?menuIndex=3&amp;refID=7075979&amp;Result=3","7075979")</f>
        <v>0</v>
      </c>
      <c r="B8398" t="s">
        <v>2456</v>
      </c>
      <c r="C8398" t="s">
        <v>11529</v>
      </c>
      <c r="D8398" t="s">
        <v>18138</v>
      </c>
      <c r="E8398" t="s">
        <v>25582</v>
      </c>
      <c r="F8398" t="s">
        <v>31362</v>
      </c>
      <c r="G8398" t="s">
        <v>31369</v>
      </c>
      <c r="H8398" t="s">
        <v>15799</v>
      </c>
      <c r="I8398" t="s">
        <v>3815</v>
      </c>
      <c r="J8398" t="s">
        <v>36649</v>
      </c>
      <c r="K8398" t="s">
        <v>40662</v>
      </c>
      <c r="M8398" t="s">
        <v>43615</v>
      </c>
      <c r="N8398" t="s">
        <v>44905</v>
      </c>
      <c r="O8398" t="s">
        <v>44906</v>
      </c>
      <c r="P8398">
        <v>0</v>
      </c>
      <c r="Q8398">
        <v>2</v>
      </c>
      <c r="R8398" t="s">
        <v>44910</v>
      </c>
      <c r="S8398" t="s">
        <v>45076</v>
      </c>
      <c r="T8398" t="s">
        <v>46652</v>
      </c>
      <c r="U8398" t="s">
        <v>53675</v>
      </c>
      <c r="W8398" t="s">
        <v>43615</v>
      </c>
      <c r="X8398" t="s">
        <v>44911</v>
      </c>
    </row>
    <row r="8399" spans="1:24">
      <c r="A8399">
        <f>HYPERLINK("https://www.philgeps.gov.ph/GEPSNONPILOT/Tender/SplashBidNoticeAbstractUI.aspx?menuIndex=3&amp;refID=7075977&amp;Result=3","7075977")</f>
        <v>0</v>
      </c>
      <c r="B8399" t="s">
        <v>370</v>
      </c>
      <c r="C8399" t="s">
        <v>11530</v>
      </c>
      <c r="E8399" t="s">
        <v>25583</v>
      </c>
      <c r="F8399" t="s">
        <v>31362</v>
      </c>
      <c r="G8399" t="s">
        <v>31369</v>
      </c>
      <c r="H8399" t="s">
        <v>15799</v>
      </c>
      <c r="I8399" t="s">
        <v>31382</v>
      </c>
      <c r="J8399" t="s">
        <v>31625</v>
      </c>
      <c r="K8399" t="s">
        <v>40662</v>
      </c>
      <c r="M8399" t="s">
        <v>43619</v>
      </c>
      <c r="N8399" t="s">
        <v>44905</v>
      </c>
      <c r="O8399" t="s">
        <v>44906</v>
      </c>
      <c r="Q8399">
        <v>7</v>
      </c>
      <c r="R8399" t="s">
        <v>44910</v>
      </c>
      <c r="S8399" t="s">
        <v>45133</v>
      </c>
      <c r="T8399" t="s">
        <v>46555</v>
      </c>
      <c r="U8399" t="s">
        <v>53555</v>
      </c>
      <c r="V8399" t="s">
        <v>59862</v>
      </c>
      <c r="W8399" t="s">
        <v>43619</v>
      </c>
      <c r="X8399" t="s">
        <v>44911</v>
      </c>
    </row>
    <row r="8400" spans="1:24">
      <c r="A8400">
        <f>HYPERLINK("https://www.philgeps.gov.ph/GEPSNONPILOT/Tender/SplashBidNoticeAbstractUI.aspx?menuIndex=3&amp;refID=7075987&amp;Result=3","7075987")</f>
        <v>0</v>
      </c>
      <c r="B8400" t="s">
        <v>1967</v>
      </c>
      <c r="C8400" t="s">
        <v>11531</v>
      </c>
      <c r="D8400" t="s">
        <v>18108</v>
      </c>
      <c r="E8400" t="s">
        <v>25584</v>
      </c>
      <c r="F8400" t="s">
        <v>31362</v>
      </c>
      <c r="G8400" t="s">
        <v>31369</v>
      </c>
      <c r="H8400" t="s">
        <v>15799</v>
      </c>
      <c r="I8400" t="s">
        <v>31385</v>
      </c>
      <c r="J8400" t="s">
        <v>36650</v>
      </c>
      <c r="K8400" t="s">
        <v>40682</v>
      </c>
      <c r="M8400" t="s">
        <v>43073</v>
      </c>
      <c r="N8400" t="s">
        <v>44905</v>
      </c>
      <c r="O8400" t="s">
        <v>44906</v>
      </c>
      <c r="P8400">
        <v>0</v>
      </c>
      <c r="Q8400">
        <v>1</v>
      </c>
      <c r="R8400" t="s">
        <v>44910</v>
      </c>
      <c r="S8400" t="s">
        <v>45076</v>
      </c>
      <c r="T8400" t="s">
        <v>46616</v>
      </c>
      <c r="U8400" t="s">
        <v>53676</v>
      </c>
      <c r="W8400" t="s">
        <v>43073</v>
      </c>
      <c r="X8400" t="s">
        <v>44911</v>
      </c>
    </row>
    <row r="8401" spans="1:24">
      <c r="A8401">
        <f>HYPERLINK("https://www.philgeps.gov.ph/GEPSNONPILOT/Tender/SplashBidNoticeAbstractUI.aspx?menuIndex=3&amp;refID=7076019&amp;Result=3","7076019")</f>
        <v>0</v>
      </c>
      <c r="B8401" t="s">
        <v>2469</v>
      </c>
      <c r="C8401" t="s">
        <v>11532</v>
      </c>
      <c r="D8401" t="s">
        <v>18108</v>
      </c>
      <c r="E8401" t="s">
        <v>18548</v>
      </c>
      <c r="F8401" t="s">
        <v>31362</v>
      </c>
      <c r="G8401" t="s">
        <v>31368</v>
      </c>
      <c r="H8401" t="s">
        <v>15799</v>
      </c>
      <c r="I8401" t="s">
        <v>31390</v>
      </c>
      <c r="J8401" t="s">
        <v>31987</v>
      </c>
      <c r="K8401" t="s">
        <v>40661</v>
      </c>
      <c r="M8401" t="s">
        <v>43632</v>
      </c>
      <c r="N8401" t="s">
        <v>44905</v>
      </c>
      <c r="O8401" t="s">
        <v>44906</v>
      </c>
      <c r="P8401">
        <v>0</v>
      </c>
      <c r="Q8401">
        <v>2</v>
      </c>
      <c r="R8401" t="s">
        <v>44910</v>
      </c>
      <c r="S8401" t="s">
        <v>45076</v>
      </c>
      <c r="T8401" t="s">
        <v>46434</v>
      </c>
      <c r="U8401" t="s">
        <v>53677</v>
      </c>
      <c r="V8401" t="s">
        <v>59882</v>
      </c>
      <c r="W8401" t="s">
        <v>43632</v>
      </c>
      <c r="X8401" t="s">
        <v>44911</v>
      </c>
    </row>
    <row r="8402" spans="1:24">
      <c r="A8402">
        <f>HYPERLINK("https://www.philgeps.gov.ph/GEPSNONPILOT/Tender/SplashBidNoticeAbstractUI.aspx?menuIndex=3&amp;refID=7075948&amp;Result=3","7075948")</f>
        <v>0</v>
      </c>
      <c r="B8402" t="s">
        <v>2449</v>
      </c>
      <c r="C8402" t="s">
        <v>11533</v>
      </c>
      <c r="D8402" t="s">
        <v>18117</v>
      </c>
      <c r="E8402" t="s">
        <v>25585</v>
      </c>
      <c r="F8402" t="s">
        <v>31362</v>
      </c>
      <c r="G8402" t="s">
        <v>31368</v>
      </c>
      <c r="H8402" t="s">
        <v>15799</v>
      </c>
      <c r="I8402" t="s">
        <v>31422</v>
      </c>
      <c r="J8402" t="s">
        <v>31541</v>
      </c>
      <c r="K8402" t="s">
        <v>40666</v>
      </c>
      <c r="M8402" t="s">
        <v>43608</v>
      </c>
      <c r="N8402" t="s">
        <v>44905</v>
      </c>
      <c r="O8402" t="s">
        <v>44906</v>
      </c>
      <c r="P8402">
        <v>0</v>
      </c>
      <c r="Q8402">
        <v>0</v>
      </c>
      <c r="R8402" t="s">
        <v>44910</v>
      </c>
      <c r="S8402" t="s">
        <v>45076</v>
      </c>
      <c r="T8402" t="s">
        <v>46597</v>
      </c>
      <c r="U8402" t="s">
        <v>53678</v>
      </c>
      <c r="V8402" t="s">
        <v>59883</v>
      </c>
      <c r="W8402" t="s">
        <v>43608</v>
      </c>
      <c r="X8402" t="s">
        <v>44911</v>
      </c>
    </row>
    <row r="8403" spans="1:24">
      <c r="A8403">
        <f>HYPERLINK("https://www.philgeps.gov.ph/GEPSNONPILOT/Tender/SplashBidNoticeAbstractUI.aspx?menuIndex=3&amp;refID=7076018&amp;Result=3","7076018")</f>
        <v>0</v>
      </c>
      <c r="B8403" t="s">
        <v>2152</v>
      </c>
      <c r="C8403" t="s">
        <v>11534</v>
      </c>
      <c r="D8403" t="s">
        <v>18101</v>
      </c>
      <c r="E8403" t="s">
        <v>25586</v>
      </c>
      <c r="F8403" t="s">
        <v>31362</v>
      </c>
      <c r="G8403" t="s">
        <v>31369</v>
      </c>
      <c r="H8403" t="s">
        <v>31378</v>
      </c>
      <c r="I8403" t="s">
        <v>31386</v>
      </c>
      <c r="J8403" t="s">
        <v>36651</v>
      </c>
      <c r="K8403" t="s">
        <v>40671</v>
      </c>
      <c r="M8403" t="s">
        <v>43282</v>
      </c>
      <c r="N8403" t="s">
        <v>44905</v>
      </c>
      <c r="O8403" t="s">
        <v>44906</v>
      </c>
      <c r="P8403">
        <v>0</v>
      </c>
      <c r="Q8403">
        <v>2</v>
      </c>
      <c r="R8403" t="s">
        <v>44910</v>
      </c>
      <c r="S8403" t="s">
        <v>45076</v>
      </c>
      <c r="T8403" t="s">
        <v>46493</v>
      </c>
      <c r="U8403" t="s">
        <v>53679</v>
      </c>
      <c r="W8403" t="s">
        <v>43282</v>
      </c>
      <c r="X8403" t="s">
        <v>44911</v>
      </c>
    </row>
    <row r="8404" spans="1:24">
      <c r="A8404">
        <f>HYPERLINK("https://www.philgeps.gov.ph/GEPSNONPILOT/Tender/SplashBidNoticeAbstractUI.aspx?menuIndex=3&amp;refID=7076014&amp;Result=3","7076014")</f>
        <v>0</v>
      </c>
      <c r="B8404" t="s">
        <v>2123</v>
      </c>
      <c r="C8404" t="s">
        <v>11535</v>
      </c>
      <c r="D8404" t="s">
        <v>18136</v>
      </c>
      <c r="E8404" t="s">
        <v>25587</v>
      </c>
      <c r="F8404" t="s">
        <v>31362</v>
      </c>
      <c r="G8404" t="s">
        <v>31369</v>
      </c>
      <c r="H8404" t="s">
        <v>15799</v>
      </c>
      <c r="I8404" t="s">
        <v>3815</v>
      </c>
      <c r="J8404" t="s">
        <v>36652</v>
      </c>
      <c r="K8404" t="s">
        <v>40665</v>
      </c>
      <c r="M8404" t="s">
        <v>43251</v>
      </c>
      <c r="N8404" t="s">
        <v>44905</v>
      </c>
      <c r="O8404" t="s">
        <v>44906</v>
      </c>
      <c r="P8404">
        <v>0</v>
      </c>
      <c r="Q8404">
        <v>0</v>
      </c>
      <c r="R8404" t="s">
        <v>44910</v>
      </c>
      <c r="S8404" t="s">
        <v>45076</v>
      </c>
      <c r="T8404" t="s">
        <v>46671</v>
      </c>
      <c r="U8404" t="s">
        <v>52573</v>
      </c>
      <c r="W8404" t="s">
        <v>43251</v>
      </c>
      <c r="X8404" t="s">
        <v>44911</v>
      </c>
    </row>
    <row r="8405" spans="1:24">
      <c r="A8405">
        <f>HYPERLINK("https://www.philgeps.gov.ph/GEPSNONPILOT/Tender/SplashBidNoticeAbstractUI.aspx?menuIndex=3&amp;refID=7075976&amp;Result=3","7075976")</f>
        <v>0</v>
      </c>
      <c r="B8405" t="s">
        <v>2463</v>
      </c>
      <c r="C8405" t="s">
        <v>11536</v>
      </c>
      <c r="D8405" t="s">
        <v>18116</v>
      </c>
      <c r="E8405" t="s">
        <v>25588</v>
      </c>
      <c r="F8405" t="s">
        <v>31362</v>
      </c>
      <c r="G8405" t="s">
        <v>31369</v>
      </c>
      <c r="H8405" t="s">
        <v>15799</v>
      </c>
      <c r="I8405" t="s">
        <v>31393</v>
      </c>
      <c r="J8405" t="s">
        <v>31709</v>
      </c>
      <c r="K8405" t="s">
        <v>40662</v>
      </c>
      <c r="L8405" t="s">
        <v>2463</v>
      </c>
      <c r="M8405" t="s">
        <v>43624</v>
      </c>
      <c r="N8405" t="s">
        <v>44905</v>
      </c>
      <c r="O8405" t="s">
        <v>44906</v>
      </c>
      <c r="P8405">
        <v>0</v>
      </c>
      <c r="Q8405">
        <v>12</v>
      </c>
      <c r="R8405" t="s">
        <v>44910</v>
      </c>
      <c r="S8405" t="s">
        <v>45076</v>
      </c>
      <c r="T8405" t="s">
        <v>46559</v>
      </c>
      <c r="U8405" t="s">
        <v>53680</v>
      </c>
      <c r="W8405" t="s">
        <v>43624</v>
      </c>
      <c r="X8405" t="s">
        <v>44911</v>
      </c>
    </row>
    <row r="8406" spans="1:24">
      <c r="A8406">
        <f>HYPERLINK("https://www.philgeps.gov.ph/GEPSNONPILOT/Tender/SplashBidNoticeAbstractUI.aspx?menuIndex=3&amp;refID=7075986&amp;Result=3","7075986")</f>
        <v>0</v>
      </c>
      <c r="B8406" t="s">
        <v>555</v>
      </c>
      <c r="C8406" t="s">
        <v>11537</v>
      </c>
      <c r="D8406" t="s">
        <v>18148</v>
      </c>
      <c r="E8406" t="s">
        <v>25589</v>
      </c>
      <c r="F8406" t="s">
        <v>31362</v>
      </c>
      <c r="G8406" t="s">
        <v>31369</v>
      </c>
      <c r="H8406" t="s">
        <v>31378</v>
      </c>
      <c r="I8406" t="s">
        <v>31386</v>
      </c>
      <c r="J8406" t="s">
        <v>36653</v>
      </c>
      <c r="K8406" t="s">
        <v>40711</v>
      </c>
      <c r="M8406" t="s">
        <v>43627</v>
      </c>
      <c r="N8406" t="s">
        <v>44905</v>
      </c>
      <c r="O8406" t="s">
        <v>44906</v>
      </c>
      <c r="P8406">
        <v>0</v>
      </c>
      <c r="Q8406">
        <v>0</v>
      </c>
      <c r="R8406" t="s">
        <v>44910</v>
      </c>
      <c r="S8406" t="s">
        <v>45076</v>
      </c>
      <c r="T8406" t="s">
        <v>46671</v>
      </c>
      <c r="U8406" t="s">
        <v>53665</v>
      </c>
      <c r="W8406" t="s">
        <v>43627</v>
      </c>
      <c r="X8406" t="s">
        <v>44911</v>
      </c>
    </row>
    <row r="8407" spans="1:24">
      <c r="A8407">
        <f>HYPERLINK("https://www.philgeps.gov.ph/GEPSNONPILOT/Tender/SplashBidNoticeAbstractUI.aspx?menuIndex=3&amp;refID=7076011&amp;Result=3","7076011")</f>
        <v>0</v>
      </c>
      <c r="B8407" t="s">
        <v>2152</v>
      </c>
      <c r="C8407" t="s">
        <v>11538</v>
      </c>
      <c r="D8407" t="s">
        <v>18101</v>
      </c>
      <c r="E8407" t="s">
        <v>25590</v>
      </c>
      <c r="F8407" t="s">
        <v>31362</v>
      </c>
      <c r="G8407" t="s">
        <v>31369</v>
      </c>
      <c r="H8407" t="s">
        <v>15799</v>
      </c>
      <c r="I8407" t="s">
        <v>3815</v>
      </c>
      <c r="J8407" t="s">
        <v>36654</v>
      </c>
      <c r="K8407" t="s">
        <v>40665</v>
      </c>
      <c r="M8407" t="s">
        <v>43282</v>
      </c>
      <c r="N8407" t="s">
        <v>44905</v>
      </c>
      <c r="O8407" t="s">
        <v>44906</v>
      </c>
      <c r="P8407">
        <v>0</v>
      </c>
      <c r="Q8407">
        <v>1</v>
      </c>
      <c r="R8407" t="s">
        <v>44910</v>
      </c>
      <c r="S8407" t="s">
        <v>45076</v>
      </c>
      <c r="T8407" t="s">
        <v>46493</v>
      </c>
      <c r="U8407" t="s">
        <v>52655</v>
      </c>
      <c r="W8407" t="s">
        <v>43282</v>
      </c>
      <c r="X8407" t="s">
        <v>44911</v>
      </c>
    </row>
    <row r="8408" spans="1:24">
      <c r="A8408">
        <f>HYPERLINK("https://www.philgeps.gov.ph/GEPSNONPILOT/Tender/SplashBidNoticeAbstractUI.aspx?menuIndex=3&amp;refID=7076008&amp;Result=3","7076008")</f>
        <v>0</v>
      </c>
      <c r="B8408" t="s">
        <v>2456</v>
      </c>
      <c r="C8408" t="s">
        <v>11539</v>
      </c>
      <c r="D8408" t="s">
        <v>18138</v>
      </c>
      <c r="E8408" t="s">
        <v>25591</v>
      </c>
      <c r="F8408" t="s">
        <v>31362</v>
      </c>
      <c r="G8408" t="s">
        <v>31369</v>
      </c>
      <c r="H8408" t="s">
        <v>31378</v>
      </c>
      <c r="I8408" t="s">
        <v>31386</v>
      </c>
      <c r="J8408" t="s">
        <v>31634</v>
      </c>
      <c r="K8408" t="s">
        <v>40662</v>
      </c>
      <c r="M8408" t="s">
        <v>43615</v>
      </c>
      <c r="N8408" t="s">
        <v>44905</v>
      </c>
      <c r="O8408" t="s">
        <v>44906</v>
      </c>
      <c r="P8408">
        <v>0</v>
      </c>
      <c r="Q8408">
        <v>1</v>
      </c>
      <c r="R8408" t="s">
        <v>44910</v>
      </c>
      <c r="S8408" t="s">
        <v>45076</v>
      </c>
      <c r="T8408" t="s">
        <v>46652</v>
      </c>
      <c r="U8408" t="s">
        <v>53681</v>
      </c>
      <c r="W8408" t="s">
        <v>43615</v>
      </c>
      <c r="X8408" t="s">
        <v>44911</v>
      </c>
    </row>
    <row r="8409" spans="1:24">
      <c r="A8409">
        <f>HYPERLINK("https://www.philgeps.gov.ph/GEPSNONPILOT/Tender/SplashBidNoticeAbstractUI.aspx?menuIndex=3&amp;refID=7076007&amp;Result=3","7076007")</f>
        <v>0</v>
      </c>
      <c r="B8409" t="s">
        <v>555</v>
      </c>
      <c r="C8409" t="s">
        <v>11540</v>
      </c>
      <c r="D8409" t="s">
        <v>18148</v>
      </c>
      <c r="E8409" t="s">
        <v>25592</v>
      </c>
      <c r="F8409" t="s">
        <v>31362</v>
      </c>
      <c r="G8409" t="s">
        <v>31369</v>
      </c>
      <c r="H8409" t="s">
        <v>31378</v>
      </c>
      <c r="I8409" t="s">
        <v>31386</v>
      </c>
      <c r="J8409" t="s">
        <v>36655</v>
      </c>
      <c r="K8409" t="s">
        <v>40682</v>
      </c>
      <c r="M8409" t="s">
        <v>43627</v>
      </c>
      <c r="N8409" t="s">
        <v>44905</v>
      </c>
      <c r="O8409" t="s">
        <v>44906</v>
      </c>
      <c r="P8409">
        <v>0</v>
      </c>
      <c r="Q8409">
        <v>0</v>
      </c>
      <c r="R8409" t="s">
        <v>44910</v>
      </c>
      <c r="S8409" t="s">
        <v>45076</v>
      </c>
      <c r="T8409" t="s">
        <v>46671</v>
      </c>
      <c r="U8409" t="s">
        <v>53665</v>
      </c>
      <c r="W8409" t="s">
        <v>43627</v>
      </c>
      <c r="X8409" t="s">
        <v>44911</v>
      </c>
    </row>
    <row r="8410" spans="1:24">
      <c r="A8410">
        <f>HYPERLINK("https://www.philgeps.gov.ph/GEPSNONPILOT/Tender/SplashBidNoticeAbstractUI.aspx?menuIndex=3&amp;refID=7076004&amp;Result=3","7076004")</f>
        <v>0</v>
      </c>
      <c r="B8410" t="s">
        <v>2470</v>
      </c>
      <c r="C8410" t="s">
        <v>11541</v>
      </c>
      <c r="D8410" t="s">
        <v>18131</v>
      </c>
      <c r="E8410" t="s">
        <v>19844</v>
      </c>
      <c r="F8410" t="s">
        <v>31362</v>
      </c>
      <c r="G8410" t="s">
        <v>31369</v>
      </c>
      <c r="H8410" t="s">
        <v>15799</v>
      </c>
      <c r="I8410" t="s">
        <v>3815</v>
      </c>
      <c r="J8410" t="s">
        <v>36656</v>
      </c>
      <c r="K8410" t="s">
        <v>40672</v>
      </c>
      <c r="M8410" t="s">
        <v>43633</v>
      </c>
      <c r="N8410" t="s">
        <v>44905</v>
      </c>
      <c r="O8410" t="s">
        <v>44906</v>
      </c>
      <c r="P8410">
        <v>0</v>
      </c>
      <c r="Q8410">
        <v>2</v>
      </c>
      <c r="R8410" t="s">
        <v>44910</v>
      </c>
      <c r="S8410" t="s">
        <v>45076</v>
      </c>
      <c r="T8410" t="s">
        <v>46612</v>
      </c>
      <c r="U8410" t="s">
        <v>53682</v>
      </c>
      <c r="W8410" t="s">
        <v>43633</v>
      </c>
      <c r="X8410" t="s">
        <v>44911</v>
      </c>
    </row>
    <row r="8411" spans="1:24">
      <c r="A8411">
        <f>HYPERLINK("https://www.philgeps.gov.ph/GEPSNONPILOT/Tender/SplashBidNoticeAbstractUI.aspx?menuIndex=3&amp;refID=7076002&amp;Result=3","7076002")</f>
        <v>0</v>
      </c>
      <c r="B8411" t="s">
        <v>775</v>
      </c>
      <c r="C8411" t="s">
        <v>11542</v>
      </c>
      <c r="D8411" t="s">
        <v>18138</v>
      </c>
      <c r="E8411" t="s">
        <v>21524</v>
      </c>
      <c r="F8411" t="s">
        <v>31362</v>
      </c>
      <c r="G8411" t="s">
        <v>31369</v>
      </c>
      <c r="H8411" t="s">
        <v>15799</v>
      </c>
      <c r="I8411" t="s">
        <v>3815</v>
      </c>
      <c r="J8411" t="s">
        <v>36657</v>
      </c>
      <c r="K8411" t="s">
        <v>40670</v>
      </c>
      <c r="M8411" t="s">
        <v>41743</v>
      </c>
      <c r="N8411" t="s">
        <v>44905</v>
      </c>
      <c r="O8411" t="s">
        <v>44906</v>
      </c>
      <c r="P8411">
        <v>0</v>
      </c>
      <c r="Q8411">
        <v>1</v>
      </c>
      <c r="R8411" t="s">
        <v>44910</v>
      </c>
      <c r="S8411" t="s">
        <v>45076</v>
      </c>
      <c r="T8411" t="s">
        <v>46616</v>
      </c>
      <c r="U8411" t="s">
        <v>53683</v>
      </c>
      <c r="W8411" t="s">
        <v>41743</v>
      </c>
      <c r="X8411" t="s">
        <v>44911</v>
      </c>
    </row>
    <row r="8412" spans="1:24">
      <c r="A8412">
        <f>HYPERLINK("https://www.philgeps.gov.ph/GEPSNONPILOT/Tender/SplashBidNoticeAbstractUI.aspx?menuIndex=3&amp;refID=7076010&amp;Result=3","7076010")</f>
        <v>0</v>
      </c>
      <c r="B8412" t="s">
        <v>370</v>
      </c>
      <c r="C8412" t="s">
        <v>11543</v>
      </c>
      <c r="E8412" t="s">
        <v>25593</v>
      </c>
      <c r="F8412" t="s">
        <v>31362</v>
      </c>
      <c r="G8412" t="s">
        <v>31369</v>
      </c>
      <c r="H8412" t="s">
        <v>15799</v>
      </c>
      <c r="I8412" t="s">
        <v>31382</v>
      </c>
      <c r="J8412" t="s">
        <v>31625</v>
      </c>
      <c r="K8412" t="s">
        <v>40662</v>
      </c>
      <c r="M8412" t="s">
        <v>43630</v>
      </c>
      <c r="N8412" t="s">
        <v>44905</v>
      </c>
      <c r="O8412" t="s">
        <v>44906</v>
      </c>
      <c r="Q8412">
        <v>8</v>
      </c>
      <c r="R8412" t="s">
        <v>44910</v>
      </c>
      <c r="S8412" t="s">
        <v>45134</v>
      </c>
      <c r="T8412" t="s">
        <v>46398</v>
      </c>
      <c r="U8412" t="s">
        <v>53555</v>
      </c>
      <c r="V8412" t="s">
        <v>59862</v>
      </c>
      <c r="W8412" t="s">
        <v>43630</v>
      </c>
      <c r="X8412" t="s">
        <v>44911</v>
      </c>
    </row>
    <row r="8413" spans="1:24">
      <c r="A8413">
        <f>HYPERLINK("https://www.philgeps.gov.ph/GEPSNONPILOT/Tender/SplashBidNoticeAbstractUI.aspx?menuIndex=3&amp;refID=7076003&amp;Result=3","7076003")</f>
        <v>0</v>
      </c>
      <c r="B8413" t="s">
        <v>370</v>
      </c>
      <c r="C8413" t="s">
        <v>11544</v>
      </c>
      <c r="E8413" t="s">
        <v>25594</v>
      </c>
      <c r="F8413" t="s">
        <v>31362</v>
      </c>
      <c r="G8413" t="s">
        <v>31369</v>
      </c>
      <c r="H8413" t="s">
        <v>15799</v>
      </c>
      <c r="I8413" t="s">
        <v>31382</v>
      </c>
      <c r="J8413" t="s">
        <v>34187</v>
      </c>
      <c r="K8413" t="s">
        <v>40662</v>
      </c>
      <c r="M8413" t="s">
        <v>43630</v>
      </c>
      <c r="N8413" t="s">
        <v>44905</v>
      </c>
      <c r="O8413" t="s">
        <v>44906</v>
      </c>
      <c r="Q8413">
        <v>15</v>
      </c>
      <c r="R8413" t="s">
        <v>44910</v>
      </c>
      <c r="S8413" t="s">
        <v>45135</v>
      </c>
      <c r="T8413" t="s">
        <v>46398</v>
      </c>
      <c r="U8413" t="s">
        <v>53555</v>
      </c>
      <c r="V8413" t="s">
        <v>59862</v>
      </c>
      <c r="W8413" t="s">
        <v>43630</v>
      </c>
      <c r="X8413" t="s">
        <v>44911</v>
      </c>
    </row>
    <row r="8414" spans="1:24">
      <c r="A8414">
        <f>HYPERLINK("https://www.philgeps.gov.ph/GEPSNONPILOT/Tender/SplashBidNoticeAbstractUI.aspx?menuIndex=3&amp;refID=7076013&amp;Result=3","7076013")</f>
        <v>0</v>
      </c>
      <c r="B8414" t="s">
        <v>555</v>
      </c>
      <c r="C8414" t="s">
        <v>11545</v>
      </c>
      <c r="D8414" t="s">
        <v>18148</v>
      </c>
      <c r="E8414" t="s">
        <v>25595</v>
      </c>
      <c r="F8414" t="s">
        <v>31362</v>
      </c>
      <c r="G8414" t="s">
        <v>31369</v>
      </c>
      <c r="H8414" t="s">
        <v>15799</v>
      </c>
      <c r="I8414" t="s">
        <v>7188</v>
      </c>
      <c r="J8414" t="s">
        <v>36658</v>
      </c>
      <c r="K8414" t="s">
        <v>40665</v>
      </c>
      <c r="M8414" t="s">
        <v>43627</v>
      </c>
      <c r="N8414" t="s">
        <v>44905</v>
      </c>
      <c r="O8414" t="s">
        <v>44906</v>
      </c>
      <c r="P8414">
        <v>0</v>
      </c>
      <c r="Q8414">
        <v>7</v>
      </c>
      <c r="R8414" t="s">
        <v>44910</v>
      </c>
      <c r="S8414" t="s">
        <v>45076</v>
      </c>
      <c r="T8414" t="s">
        <v>46671</v>
      </c>
      <c r="U8414" t="s">
        <v>53665</v>
      </c>
      <c r="W8414" t="s">
        <v>43627</v>
      </c>
      <c r="X8414" t="s">
        <v>44911</v>
      </c>
    </row>
    <row r="8415" spans="1:24">
      <c r="A8415">
        <f>HYPERLINK("https://www.philgeps.gov.ph/GEPSNONPILOT/Tender/SplashBidNoticeAbstractUI.aspx?menuIndex=3&amp;refID=7076012&amp;Result=3","7076012")</f>
        <v>0</v>
      </c>
      <c r="B8415" t="s">
        <v>2471</v>
      </c>
      <c r="C8415" t="s">
        <v>11546</v>
      </c>
      <c r="E8415" t="s">
        <v>25596</v>
      </c>
      <c r="F8415" t="s">
        <v>31362</v>
      </c>
      <c r="G8415" t="s">
        <v>31369</v>
      </c>
      <c r="H8415" t="s">
        <v>15799</v>
      </c>
      <c r="I8415" t="s">
        <v>3815</v>
      </c>
      <c r="J8415" t="s">
        <v>31591</v>
      </c>
      <c r="K8415" t="s">
        <v>40665</v>
      </c>
      <c r="M8415" t="s">
        <v>43634</v>
      </c>
      <c r="N8415" t="s">
        <v>44905</v>
      </c>
      <c r="O8415" t="s">
        <v>44906</v>
      </c>
      <c r="P8415">
        <v>0</v>
      </c>
      <c r="Q8415">
        <v>0</v>
      </c>
      <c r="R8415" t="s">
        <v>44910</v>
      </c>
      <c r="S8415" t="s">
        <v>45076</v>
      </c>
      <c r="T8415" t="s">
        <v>46692</v>
      </c>
      <c r="U8415" t="s">
        <v>53684</v>
      </c>
      <c r="V8415" t="s">
        <v>59884</v>
      </c>
      <c r="W8415" t="s">
        <v>43634</v>
      </c>
      <c r="X8415" t="s">
        <v>44911</v>
      </c>
    </row>
    <row r="8416" spans="1:24">
      <c r="A8416">
        <f>HYPERLINK("https://www.philgeps.gov.ph/GEPSNONPILOT/Tender/SplashBidNoticeAbstractUI.aspx?menuIndex=3&amp;refID=7075999&amp;Result=3","7075999")</f>
        <v>0</v>
      </c>
      <c r="B8416" t="s">
        <v>2456</v>
      </c>
      <c r="C8416" t="s">
        <v>11547</v>
      </c>
      <c r="D8416" t="s">
        <v>18138</v>
      </c>
      <c r="E8416" t="s">
        <v>25597</v>
      </c>
      <c r="F8416" t="s">
        <v>31362</v>
      </c>
      <c r="G8416" t="s">
        <v>31369</v>
      </c>
      <c r="H8416" t="s">
        <v>15799</v>
      </c>
      <c r="I8416" t="s">
        <v>3815</v>
      </c>
      <c r="J8416" t="s">
        <v>36659</v>
      </c>
      <c r="K8416" t="s">
        <v>40662</v>
      </c>
      <c r="M8416" t="s">
        <v>43615</v>
      </c>
      <c r="N8416" t="s">
        <v>44905</v>
      </c>
      <c r="O8416" t="s">
        <v>44906</v>
      </c>
      <c r="P8416">
        <v>0</v>
      </c>
      <c r="Q8416">
        <v>1</v>
      </c>
      <c r="R8416" t="s">
        <v>44910</v>
      </c>
      <c r="S8416" t="s">
        <v>45076</v>
      </c>
      <c r="T8416" t="s">
        <v>46460</v>
      </c>
      <c r="U8416" t="s">
        <v>53685</v>
      </c>
      <c r="W8416" t="s">
        <v>43615</v>
      </c>
      <c r="X8416" t="s">
        <v>44911</v>
      </c>
    </row>
    <row r="8417" spans="1:24">
      <c r="A8417">
        <f>HYPERLINK("https://www.philgeps.gov.ph/GEPSNONPILOT/Tender/SplashBidNoticeAbstractUI.aspx?menuIndex=3&amp;refID=7075998&amp;Result=3","7075998")</f>
        <v>0</v>
      </c>
      <c r="B8417" t="s">
        <v>370</v>
      </c>
      <c r="C8417" t="s">
        <v>11548</v>
      </c>
      <c r="E8417" t="s">
        <v>25598</v>
      </c>
      <c r="F8417" t="s">
        <v>31362</v>
      </c>
      <c r="G8417" t="s">
        <v>31369</v>
      </c>
      <c r="H8417" t="s">
        <v>15799</v>
      </c>
      <c r="I8417" t="s">
        <v>31382</v>
      </c>
      <c r="J8417" t="s">
        <v>33188</v>
      </c>
      <c r="K8417" t="s">
        <v>40662</v>
      </c>
      <c r="M8417" t="s">
        <v>43630</v>
      </c>
      <c r="N8417" t="s">
        <v>44905</v>
      </c>
      <c r="O8417" t="s">
        <v>44906</v>
      </c>
      <c r="Q8417">
        <v>7</v>
      </c>
      <c r="R8417" t="s">
        <v>44910</v>
      </c>
      <c r="S8417" t="s">
        <v>45132</v>
      </c>
      <c r="T8417" t="s">
        <v>46398</v>
      </c>
      <c r="U8417" t="s">
        <v>53555</v>
      </c>
      <c r="V8417" t="s">
        <v>59862</v>
      </c>
      <c r="W8417" t="s">
        <v>43630</v>
      </c>
      <c r="X8417" t="s">
        <v>44911</v>
      </c>
    </row>
    <row r="8418" spans="1:24">
      <c r="A8418">
        <f>HYPERLINK("https://www.philgeps.gov.ph/GEPSNONPILOT/Tender/SplashBidNoticeAbstractUI.aspx?menuIndex=3&amp;refID=7075997&amp;Result=3","7075997")</f>
        <v>0</v>
      </c>
      <c r="B8418" t="s">
        <v>2471</v>
      </c>
      <c r="C8418" t="s">
        <v>11549</v>
      </c>
      <c r="D8418" t="s">
        <v>18123</v>
      </c>
      <c r="E8418" t="s">
        <v>25596</v>
      </c>
      <c r="F8418" t="s">
        <v>31362</v>
      </c>
      <c r="G8418" t="s">
        <v>31369</v>
      </c>
      <c r="H8418" t="s">
        <v>15799</v>
      </c>
      <c r="I8418" t="s">
        <v>3815</v>
      </c>
      <c r="J8418" t="s">
        <v>36660</v>
      </c>
      <c r="K8418" t="s">
        <v>40661</v>
      </c>
      <c r="M8418" t="s">
        <v>43634</v>
      </c>
      <c r="N8418" t="s">
        <v>44905</v>
      </c>
      <c r="O8418" t="s">
        <v>44906</v>
      </c>
      <c r="Q8418">
        <v>0</v>
      </c>
      <c r="R8418" t="s">
        <v>44910</v>
      </c>
      <c r="S8418" t="s">
        <v>45136</v>
      </c>
      <c r="T8418" t="s">
        <v>46692</v>
      </c>
      <c r="U8418" t="s">
        <v>53686</v>
      </c>
      <c r="V8418" t="s">
        <v>59884</v>
      </c>
      <c r="W8418" t="s">
        <v>43634</v>
      </c>
      <c r="X8418" t="s">
        <v>44911</v>
      </c>
    </row>
    <row r="8419" spans="1:24">
      <c r="A8419">
        <f>HYPERLINK("https://www.philgeps.gov.ph/GEPSNONPILOT/Tender/SplashBidNoticeAbstractUI.aspx?menuIndex=3&amp;refID=7075996&amp;Result=3","7075996")</f>
        <v>0</v>
      </c>
      <c r="B8419" t="s">
        <v>2466</v>
      </c>
      <c r="C8419" t="s">
        <v>11550</v>
      </c>
      <c r="D8419" t="s">
        <v>18102</v>
      </c>
      <c r="E8419" t="s">
        <v>25599</v>
      </c>
      <c r="F8419" t="s">
        <v>31362</v>
      </c>
      <c r="G8419" t="s">
        <v>31369</v>
      </c>
      <c r="H8419" t="s">
        <v>31378</v>
      </c>
      <c r="I8419" t="s">
        <v>31386</v>
      </c>
      <c r="J8419" t="s">
        <v>36661</v>
      </c>
      <c r="K8419" t="s">
        <v>40662</v>
      </c>
      <c r="M8419" t="s">
        <v>43628</v>
      </c>
      <c r="N8419" t="s">
        <v>44905</v>
      </c>
      <c r="O8419" t="s">
        <v>44906</v>
      </c>
      <c r="P8419">
        <v>0</v>
      </c>
      <c r="Q8419">
        <v>0</v>
      </c>
      <c r="R8419" t="s">
        <v>44910</v>
      </c>
      <c r="S8419" t="s">
        <v>45076</v>
      </c>
      <c r="T8419" t="s">
        <v>46447</v>
      </c>
      <c r="U8419" t="s">
        <v>53687</v>
      </c>
      <c r="W8419" t="s">
        <v>43628</v>
      </c>
      <c r="X8419" t="s">
        <v>44911</v>
      </c>
    </row>
    <row r="8420" spans="1:24">
      <c r="A8420">
        <f>HYPERLINK("https://www.philgeps.gov.ph/GEPSNONPILOT/Tender/SplashBidNoticeAbstractUI.aspx?menuIndex=3&amp;refID=7076022&amp;Result=3","7076022")</f>
        <v>0</v>
      </c>
      <c r="B8420" t="s">
        <v>716</v>
      </c>
      <c r="C8420" t="s">
        <v>11551</v>
      </c>
      <c r="D8420" t="s">
        <v>18160</v>
      </c>
      <c r="E8420" t="s">
        <v>25534</v>
      </c>
      <c r="F8420" t="s">
        <v>31362</v>
      </c>
      <c r="G8420" t="s">
        <v>31369</v>
      </c>
      <c r="H8420" t="s">
        <v>15799</v>
      </c>
      <c r="I8420" t="s">
        <v>31409</v>
      </c>
      <c r="J8420" t="s">
        <v>36662</v>
      </c>
      <c r="K8420" t="s">
        <v>40675</v>
      </c>
      <c r="M8420" t="s">
        <v>43557</v>
      </c>
      <c r="N8420" t="s">
        <v>44905</v>
      </c>
      <c r="O8420" t="s">
        <v>44906</v>
      </c>
      <c r="P8420">
        <v>0</v>
      </c>
      <c r="Q8420">
        <v>7</v>
      </c>
      <c r="R8420" t="s">
        <v>44910</v>
      </c>
      <c r="S8420" t="s">
        <v>45076</v>
      </c>
      <c r="T8420" t="s">
        <v>46696</v>
      </c>
      <c r="U8420" t="s">
        <v>53666</v>
      </c>
      <c r="W8420" t="s">
        <v>60933</v>
      </c>
      <c r="X8420" t="s">
        <v>44911</v>
      </c>
    </row>
    <row r="8421" spans="1:24">
      <c r="A8421">
        <f>HYPERLINK("https://www.philgeps.gov.ph/GEPSNONPILOT/Tender/SplashBidNoticeAbstractUI.aspx?menuIndex=3&amp;refID=7076001&amp;Result=3","7076001")</f>
        <v>0</v>
      </c>
      <c r="B8421" t="s">
        <v>2472</v>
      </c>
      <c r="C8421" t="s">
        <v>11552</v>
      </c>
      <c r="D8421" t="s">
        <v>18125</v>
      </c>
      <c r="E8421" t="s">
        <v>25600</v>
      </c>
      <c r="F8421" t="s">
        <v>31363</v>
      </c>
      <c r="G8421" t="s">
        <v>31369</v>
      </c>
      <c r="H8421" t="s">
        <v>15799</v>
      </c>
      <c r="I8421" t="s">
        <v>3815</v>
      </c>
      <c r="J8421" t="s">
        <v>33226</v>
      </c>
      <c r="K8421" t="s">
        <v>40682</v>
      </c>
      <c r="M8421" t="s">
        <v>43635</v>
      </c>
      <c r="N8421" t="s">
        <v>44905</v>
      </c>
      <c r="O8421" t="s">
        <v>44906</v>
      </c>
      <c r="P8421">
        <v>0</v>
      </c>
      <c r="Q8421">
        <v>1</v>
      </c>
      <c r="R8421" t="s">
        <v>44910</v>
      </c>
      <c r="S8421" t="s">
        <v>45076</v>
      </c>
      <c r="T8421" t="s">
        <v>46569</v>
      </c>
      <c r="U8421" t="s">
        <v>53688</v>
      </c>
      <c r="W8421" t="s">
        <v>43635</v>
      </c>
      <c r="X8421" t="s">
        <v>44911</v>
      </c>
    </row>
    <row r="8422" spans="1:24">
      <c r="A8422">
        <f>HYPERLINK("https://www.philgeps.gov.ph/GEPSNONPILOT/Tender/SplashBidNoticeAbstractUI.aspx?menuIndex=3&amp;refID=7076049&amp;Result=3","7076049")</f>
        <v>0</v>
      </c>
      <c r="B8422" t="s">
        <v>775</v>
      </c>
      <c r="C8422" t="s">
        <v>11553</v>
      </c>
      <c r="D8422" t="s">
        <v>18138</v>
      </c>
      <c r="E8422" t="s">
        <v>25054</v>
      </c>
      <c r="F8422" t="s">
        <v>31362</v>
      </c>
      <c r="G8422" t="s">
        <v>31369</v>
      </c>
      <c r="H8422" t="s">
        <v>31378</v>
      </c>
      <c r="I8422" t="s">
        <v>31386</v>
      </c>
      <c r="J8422" t="s">
        <v>36663</v>
      </c>
      <c r="K8422" t="s">
        <v>40679</v>
      </c>
      <c r="M8422" t="s">
        <v>41743</v>
      </c>
      <c r="N8422" t="s">
        <v>44905</v>
      </c>
      <c r="O8422" t="s">
        <v>44906</v>
      </c>
      <c r="Q8422">
        <v>0</v>
      </c>
      <c r="R8422" t="s">
        <v>44910</v>
      </c>
      <c r="S8422" t="s">
        <v>45137</v>
      </c>
      <c r="T8422" t="s">
        <v>46616</v>
      </c>
      <c r="U8422" t="s">
        <v>53689</v>
      </c>
      <c r="W8422" t="s">
        <v>41743</v>
      </c>
      <c r="X8422" t="s">
        <v>44911</v>
      </c>
    </row>
    <row r="8423" spans="1:24">
      <c r="A8423">
        <f>HYPERLINK("https://www.philgeps.gov.ph/GEPSNONPILOT/Tender/SplashBidNoticeAbstractUI.aspx?menuIndex=3&amp;refID=7075988&amp;Result=3","7075988")</f>
        <v>0</v>
      </c>
      <c r="B8423" t="s">
        <v>2473</v>
      </c>
      <c r="C8423" t="s">
        <v>11554</v>
      </c>
      <c r="D8423" t="s">
        <v>18114</v>
      </c>
      <c r="E8423" t="s">
        <v>25601</v>
      </c>
      <c r="F8423" t="s">
        <v>31362</v>
      </c>
      <c r="G8423" t="s">
        <v>31369</v>
      </c>
      <c r="H8423" t="s">
        <v>31378</v>
      </c>
      <c r="I8423" t="s">
        <v>31386</v>
      </c>
      <c r="J8423" t="s">
        <v>36664</v>
      </c>
      <c r="K8423" t="s">
        <v>40680</v>
      </c>
      <c r="M8423" t="s">
        <v>43636</v>
      </c>
      <c r="N8423" t="s">
        <v>44905</v>
      </c>
      <c r="O8423" t="s">
        <v>44906</v>
      </c>
      <c r="P8423">
        <v>0</v>
      </c>
      <c r="Q8423">
        <v>4</v>
      </c>
      <c r="R8423" t="s">
        <v>44910</v>
      </c>
      <c r="S8423" t="s">
        <v>45076</v>
      </c>
      <c r="T8423" t="s">
        <v>46416</v>
      </c>
      <c r="U8423" t="s">
        <v>53690</v>
      </c>
      <c r="W8423" t="s">
        <v>43636</v>
      </c>
      <c r="X8423" t="s">
        <v>44911</v>
      </c>
    </row>
    <row r="8424" spans="1:24">
      <c r="A8424">
        <f>HYPERLINK("https://www.philgeps.gov.ph/GEPSNONPILOT/Tender/SplashBidNoticeAbstractUI.aspx?menuIndex=3&amp;refID=7076047&amp;Result=3","7076047")</f>
        <v>0</v>
      </c>
      <c r="B8424" t="s">
        <v>1621</v>
      </c>
      <c r="C8424" t="s">
        <v>11555</v>
      </c>
      <c r="E8424" t="s">
        <v>25602</v>
      </c>
      <c r="F8424" t="s">
        <v>31362</v>
      </c>
      <c r="G8424" t="s">
        <v>31368</v>
      </c>
      <c r="H8424" t="s">
        <v>15799</v>
      </c>
      <c r="I8424" t="s">
        <v>4283</v>
      </c>
      <c r="J8424" t="s">
        <v>36665</v>
      </c>
      <c r="K8424" t="s">
        <v>40662</v>
      </c>
      <c r="M8424" t="s">
        <v>42680</v>
      </c>
      <c r="N8424" t="s">
        <v>44905</v>
      </c>
      <c r="O8424" t="s">
        <v>44906</v>
      </c>
      <c r="P8424">
        <v>0</v>
      </c>
      <c r="Q8424">
        <v>1</v>
      </c>
      <c r="R8424" t="s">
        <v>44910</v>
      </c>
      <c r="S8424" t="s">
        <v>45076</v>
      </c>
      <c r="T8424" t="s">
        <v>46411</v>
      </c>
      <c r="U8424" t="s">
        <v>53691</v>
      </c>
      <c r="W8424" t="s">
        <v>42680</v>
      </c>
      <c r="X8424" t="s">
        <v>44911</v>
      </c>
    </row>
    <row r="8425" spans="1:24">
      <c r="A8425">
        <f>HYPERLINK("https://www.philgeps.gov.ph/GEPSNONPILOT/Tender/SplashBidNoticeAbstractUI.aspx?menuIndex=3&amp;refID=7076046&amp;Result=3","7076046")</f>
        <v>0</v>
      </c>
      <c r="B8425" t="s">
        <v>2123</v>
      </c>
      <c r="C8425" t="s">
        <v>11556</v>
      </c>
      <c r="D8425" t="s">
        <v>18136</v>
      </c>
      <c r="E8425" t="s">
        <v>25603</v>
      </c>
      <c r="F8425" t="s">
        <v>31362</v>
      </c>
      <c r="G8425" t="s">
        <v>31369</v>
      </c>
      <c r="H8425" t="s">
        <v>15799</v>
      </c>
      <c r="I8425" t="s">
        <v>3815</v>
      </c>
      <c r="J8425" t="s">
        <v>36666</v>
      </c>
      <c r="K8425" t="s">
        <v>40665</v>
      </c>
      <c r="M8425" t="s">
        <v>43251</v>
      </c>
      <c r="N8425" t="s">
        <v>44905</v>
      </c>
      <c r="O8425" t="s">
        <v>44906</v>
      </c>
      <c r="P8425">
        <v>0</v>
      </c>
      <c r="Q8425">
        <v>0</v>
      </c>
      <c r="R8425" t="s">
        <v>44910</v>
      </c>
      <c r="S8425" t="s">
        <v>45076</v>
      </c>
      <c r="T8425" t="s">
        <v>46671</v>
      </c>
      <c r="U8425" t="s">
        <v>52573</v>
      </c>
      <c r="W8425" t="s">
        <v>43251</v>
      </c>
      <c r="X8425" t="s">
        <v>44911</v>
      </c>
    </row>
    <row r="8426" spans="1:24">
      <c r="A8426">
        <f>HYPERLINK("https://www.philgeps.gov.ph/GEPSNONPILOT/Tender/SplashBidNoticeAbstractUI.aspx?menuIndex=3&amp;refID=7076044&amp;Result=3","7076044")</f>
        <v>0</v>
      </c>
      <c r="B8426" t="s">
        <v>2474</v>
      </c>
      <c r="C8426" t="s">
        <v>11557</v>
      </c>
      <c r="D8426" t="s">
        <v>18107</v>
      </c>
      <c r="E8426" t="s">
        <v>25604</v>
      </c>
      <c r="F8426" t="s">
        <v>31362</v>
      </c>
      <c r="G8426" t="s">
        <v>31370</v>
      </c>
      <c r="H8426" t="s">
        <v>15799</v>
      </c>
      <c r="I8426" t="s">
        <v>7188</v>
      </c>
      <c r="J8426" t="s">
        <v>31897</v>
      </c>
      <c r="K8426" t="s">
        <v>40665</v>
      </c>
      <c r="M8426" t="s">
        <v>43637</v>
      </c>
      <c r="N8426" t="s">
        <v>44905</v>
      </c>
      <c r="O8426" t="s">
        <v>44906</v>
      </c>
      <c r="P8426">
        <v>0</v>
      </c>
      <c r="Q8426">
        <v>1</v>
      </c>
      <c r="R8426" t="s">
        <v>44910</v>
      </c>
      <c r="S8426" t="s">
        <v>45076</v>
      </c>
      <c r="T8426" t="s">
        <v>46447</v>
      </c>
      <c r="U8426" t="s">
        <v>53692</v>
      </c>
      <c r="W8426" t="s">
        <v>43637</v>
      </c>
      <c r="X8426" t="s">
        <v>44911</v>
      </c>
    </row>
    <row r="8427" spans="1:24">
      <c r="A8427">
        <f>HYPERLINK("https://www.philgeps.gov.ph/GEPSNONPILOT/Tender/SplashBidNoticeAbstractUI.aspx?menuIndex=3&amp;refID=7075994&amp;Result=3","7075994")</f>
        <v>0</v>
      </c>
      <c r="B8427" t="s">
        <v>555</v>
      </c>
      <c r="C8427" t="s">
        <v>11558</v>
      </c>
      <c r="D8427" t="s">
        <v>18148</v>
      </c>
      <c r="E8427" t="s">
        <v>25605</v>
      </c>
      <c r="F8427" t="s">
        <v>31362</v>
      </c>
      <c r="G8427" t="s">
        <v>31369</v>
      </c>
      <c r="H8427" t="s">
        <v>31378</v>
      </c>
      <c r="I8427" t="s">
        <v>31386</v>
      </c>
      <c r="J8427" t="s">
        <v>36667</v>
      </c>
      <c r="K8427" t="s">
        <v>40694</v>
      </c>
      <c r="M8427" t="s">
        <v>43627</v>
      </c>
      <c r="N8427" t="s">
        <v>44905</v>
      </c>
      <c r="O8427" t="s">
        <v>44906</v>
      </c>
      <c r="P8427">
        <v>0</v>
      </c>
      <c r="Q8427">
        <v>1</v>
      </c>
      <c r="R8427" t="s">
        <v>44910</v>
      </c>
      <c r="S8427" t="s">
        <v>45076</v>
      </c>
      <c r="T8427" t="s">
        <v>46671</v>
      </c>
      <c r="U8427" t="s">
        <v>53665</v>
      </c>
      <c r="W8427" t="s">
        <v>43627</v>
      </c>
      <c r="X8427" t="s">
        <v>44911</v>
      </c>
    </row>
    <row r="8428" spans="1:24">
      <c r="A8428">
        <f>HYPERLINK("https://www.philgeps.gov.ph/GEPSNONPILOT/Tender/SplashBidNoticeAbstractUI.aspx?menuIndex=3&amp;refID=7076017&amp;Result=3","7076017")</f>
        <v>0</v>
      </c>
      <c r="B8428" t="s">
        <v>2123</v>
      </c>
      <c r="C8428" t="s">
        <v>11559</v>
      </c>
      <c r="D8428" t="s">
        <v>18136</v>
      </c>
      <c r="E8428" t="s">
        <v>25606</v>
      </c>
      <c r="F8428" t="s">
        <v>31362</v>
      </c>
      <c r="G8428" t="s">
        <v>31369</v>
      </c>
      <c r="H8428" t="s">
        <v>15799</v>
      </c>
      <c r="I8428" t="s">
        <v>3815</v>
      </c>
      <c r="J8428" t="s">
        <v>36668</v>
      </c>
      <c r="K8428" t="s">
        <v>40665</v>
      </c>
      <c r="M8428" t="s">
        <v>43251</v>
      </c>
      <c r="N8428" t="s">
        <v>44905</v>
      </c>
      <c r="O8428" t="s">
        <v>44906</v>
      </c>
      <c r="P8428">
        <v>0</v>
      </c>
      <c r="Q8428">
        <v>0</v>
      </c>
      <c r="R8428" t="s">
        <v>44910</v>
      </c>
      <c r="S8428" t="s">
        <v>45076</v>
      </c>
      <c r="T8428" t="s">
        <v>46671</v>
      </c>
      <c r="U8428" t="s">
        <v>52573</v>
      </c>
      <c r="W8428" t="s">
        <v>43251</v>
      </c>
      <c r="X8428" t="s">
        <v>44911</v>
      </c>
    </row>
    <row r="8429" spans="1:24">
      <c r="A8429">
        <f>HYPERLINK("https://www.philgeps.gov.ph/GEPSNONPILOT/Tender/SplashBidNoticeAbstractUI.aspx?menuIndex=3&amp;refID=7076039&amp;Result=3","7076039")</f>
        <v>0</v>
      </c>
      <c r="B8429" t="s">
        <v>775</v>
      </c>
      <c r="C8429" t="s">
        <v>11560</v>
      </c>
      <c r="D8429" t="s">
        <v>18138</v>
      </c>
      <c r="E8429" t="s">
        <v>21819</v>
      </c>
      <c r="F8429" t="s">
        <v>31362</v>
      </c>
      <c r="G8429" t="s">
        <v>31369</v>
      </c>
      <c r="H8429" t="s">
        <v>15799</v>
      </c>
      <c r="I8429" t="s">
        <v>3815</v>
      </c>
      <c r="J8429" t="s">
        <v>36669</v>
      </c>
      <c r="K8429" t="s">
        <v>40670</v>
      </c>
      <c r="M8429" t="s">
        <v>41743</v>
      </c>
      <c r="N8429" t="s">
        <v>44905</v>
      </c>
      <c r="O8429" t="s">
        <v>44906</v>
      </c>
      <c r="P8429">
        <v>0</v>
      </c>
      <c r="Q8429">
        <v>0</v>
      </c>
      <c r="R8429" t="s">
        <v>44910</v>
      </c>
      <c r="S8429" t="s">
        <v>45076</v>
      </c>
      <c r="T8429" t="s">
        <v>46616</v>
      </c>
      <c r="U8429" t="s">
        <v>53683</v>
      </c>
      <c r="W8429" t="s">
        <v>41743</v>
      </c>
      <c r="X8429" t="s">
        <v>44911</v>
      </c>
    </row>
    <row r="8430" spans="1:24">
      <c r="A8430">
        <f>HYPERLINK("https://www.philgeps.gov.ph/GEPSNONPILOT/Tender/SplashBidNoticeAbstractUI.aspx?menuIndex=3&amp;refID=7076048&amp;Result=3","7076048")</f>
        <v>0</v>
      </c>
      <c r="B8430" t="s">
        <v>2474</v>
      </c>
      <c r="C8430" t="s">
        <v>11561</v>
      </c>
      <c r="D8430" t="s">
        <v>18107</v>
      </c>
      <c r="E8430" t="s">
        <v>25607</v>
      </c>
      <c r="F8430" t="s">
        <v>31362</v>
      </c>
      <c r="G8430" t="s">
        <v>31370</v>
      </c>
      <c r="H8430" t="s">
        <v>15799</v>
      </c>
      <c r="I8430" t="s">
        <v>7188</v>
      </c>
      <c r="J8430" t="s">
        <v>32143</v>
      </c>
      <c r="K8430" t="s">
        <v>40665</v>
      </c>
      <c r="M8430" t="s">
        <v>43637</v>
      </c>
      <c r="N8430" t="s">
        <v>44905</v>
      </c>
      <c r="O8430" t="s">
        <v>44906</v>
      </c>
      <c r="P8430">
        <v>0</v>
      </c>
      <c r="Q8430">
        <v>2</v>
      </c>
      <c r="R8430" t="s">
        <v>44910</v>
      </c>
      <c r="S8430" t="s">
        <v>45076</v>
      </c>
      <c r="T8430" t="s">
        <v>46447</v>
      </c>
      <c r="U8430" t="s">
        <v>53693</v>
      </c>
      <c r="W8430" t="s">
        <v>43637</v>
      </c>
      <c r="X8430" t="s">
        <v>44911</v>
      </c>
    </row>
    <row r="8431" spans="1:24">
      <c r="A8431">
        <f>HYPERLINK("https://www.philgeps.gov.ph/GEPSNONPILOT/Tender/SplashBidNoticeAbstractUI.aspx?menuIndex=3&amp;refID=7076036&amp;Result=3","7076036")</f>
        <v>0</v>
      </c>
      <c r="B8431" t="s">
        <v>2474</v>
      </c>
      <c r="C8431" t="s">
        <v>11562</v>
      </c>
      <c r="D8431" t="s">
        <v>18107</v>
      </c>
      <c r="E8431" t="s">
        <v>25608</v>
      </c>
      <c r="F8431" t="s">
        <v>31362</v>
      </c>
      <c r="G8431" t="s">
        <v>31370</v>
      </c>
      <c r="H8431" t="s">
        <v>15799</v>
      </c>
      <c r="I8431" t="s">
        <v>31427</v>
      </c>
      <c r="J8431" t="s">
        <v>36670</v>
      </c>
      <c r="K8431" t="s">
        <v>40665</v>
      </c>
      <c r="M8431" t="s">
        <v>43637</v>
      </c>
      <c r="N8431" t="s">
        <v>44905</v>
      </c>
      <c r="O8431" t="s">
        <v>44906</v>
      </c>
      <c r="P8431">
        <v>0</v>
      </c>
      <c r="Q8431">
        <v>0</v>
      </c>
      <c r="R8431" t="s">
        <v>44910</v>
      </c>
      <c r="S8431" t="s">
        <v>45076</v>
      </c>
      <c r="T8431" t="s">
        <v>46447</v>
      </c>
      <c r="U8431" t="s">
        <v>53694</v>
      </c>
      <c r="W8431" t="s">
        <v>43637</v>
      </c>
      <c r="X8431" t="s">
        <v>44911</v>
      </c>
    </row>
    <row r="8432" spans="1:24">
      <c r="A8432">
        <f>HYPERLINK("https://www.philgeps.gov.ph/GEPSNONPILOT/Tender/SplashBidNoticeAbstractUI.aspx?menuIndex=3&amp;refID=7075984&amp;Result=3","7075984")</f>
        <v>0</v>
      </c>
      <c r="B8432" t="s">
        <v>882</v>
      </c>
      <c r="C8432" t="s">
        <v>11563</v>
      </c>
      <c r="D8432" t="s">
        <v>18135</v>
      </c>
      <c r="E8432" t="s">
        <v>22664</v>
      </c>
      <c r="F8432" t="s">
        <v>31362</v>
      </c>
      <c r="G8432" t="s">
        <v>31369</v>
      </c>
      <c r="H8432" t="s">
        <v>15799</v>
      </c>
      <c r="I8432" t="s">
        <v>31386</v>
      </c>
      <c r="J8432" t="s">
        <v>36671</v>
      </c>
      <c r="K8432" t="s">
        <v>40675</v>
      </c>
      <c r="M8432" t="s">
        <v>41859</v>
      </c>
      <c r="N8432" t="s">
        <v>44905</v>
      </c>
      <c r="O8432" t="s">
        <v>44906</v>
      </c>
      <c r="P8432">
        <v>0</v>
      </c>
      <c r="Q8432">
        <v>5</v>
      </c>
      <c r="R8432" t="s">
        <v>44910</v>
      </c>
      <c r="S8432" t="s">
        <v>45076</v>
      </c>
      <c r="T8432" t="s">
        <v>46447</v>
      </c>
      <c r="U8432" t="s">
        <v>53695</v>
      </c>
      <c r="W8432" t="s">
        <v>60872</v>
      </c>
      <c r="X8432" t="s">
        <v>44911</v>
      </c>
    </row>
    <row r="8433" spans="1:24">
      <c r="A8433">
        <f>HYPERLINK("https://www.philgeps.gov.ph/GEPSNONPILOT/Tender/SplashBidNoticeAbstractUI.aspx?menuIndex=3&amp;refID=7076043&amp;Result=3","7076043")</f>
        <v>0</v>
      </c>
      <c r="B8433" t="s">
        <v>1621</v>
      </c>
      <c r="C8433" t="s">
        <v>11564</v>
      </c>
      <c r="E8433" t="s">
        <v>25609</v>
      </c>
      <c r="F8433" t="s">
        <v>31362</v>
      </c>
      <c r="G8433" t="s">
        <v>31368</v>
      </c>
      <c r="H8433" t="s">
        <v>15799</v>
      </c>
      <c r="I8433" t="s">
        <v>31433</v>
      </c>
      <c r="J8433" t="s">
        <v>32189</v>
      </c>
      <c r="K8433" t="s">
        <v>40662</v>
      </c>
      <c r="M8433" t="s">
        <v>42680</v>
      </c>
      <c r="N8433" t="s">
        <v>44905</v>
      </c>
      <c r="O8433" t="s">
        <v>44906</v>
      </c>
      <c r="Q8433">
        <v>6</v>
      </c>
      <c r="R8433" t="s">
        <v>44910</v>
      </c>
      <c r="S8433" t="s">
        <v>45138</v>
      </c>
      <c r="T8433" t="s">
        <v>46411</v>
      </c>
      <c r="U8433" t="s">
        <v>53696</v>
      </c>
      <c r="W8433" t="s">
        <v>42680</v>
      </c>
      <c r="X8433" t="s">
        <v>44911</v>
      </c>
    </row>
    <row r="8434" spans="1:24">
      <c r="A8434">
        <f>HYPERLINK("https://www.philgeps.gov.ph/GEPSNONPILOT/Tender/SplashBidNoticeAbstractUI.aspx?menuIndex=3&amp;refID=7076032&amp;Result=3","7076032")</f>
        <v>0</v>
      </c>
      <c r="B8434" t="s">
        <v>775</v>
      </c>
      <c r="C8434" t="s">
        <v>11565</v>
      </c>
      <c r="D8434" t="s">
        <v>18138</v>
      </c>
      <c r="E8434" t="s">
        <v>25054</v>
      </c>
      <c r="F8434" t="s">
        <v>31362</v>
      </c>
      <c r="G8434" t="s">
        <v>31369</v>
      </c>
      <c r="H8434" t="s">
        <v>15799</v>
      </c>
      <c r="I8434" t="s">
        <v>3815</v>
      </c>
      <c r="J8434" t="s">
        <v>36672</v>
      </c>
      <c r="K8434" t="s">
        <v>40677</v>
      </c>
      <c r="M8434" t="s">
        <v>41743</v>
      </c>
      <c r="N8434" t="s">
        <v>44905</v>
      </c>
      <c r="O8434" t="s">
        <v>44906</v>
      </c>
      <c r="P8434">
        <v>0</v>
      </c>
      <c r="Q8434">
        <v>2</v>
      </c>
      <c r="R8434" t="s">
        <v>44910</v>
      </c>
      <c r="S8434" t="s">
        <v>45076</v>
      </c>
      <c r="T8434" t="s">
        <v>46616</v>
      </c>
      <c r="U8434" t="s">
        <v>53683</v>
      </c>
      <c r="W8434" t="s">
        <v>41743</v>
      </c>
      <c r="X8434" t="s">
        <v>44911</v>
      </c>
    </row>
    <row r="8435" spans="1:24">
      <c r="A8435">
        <f>HYPERLINK("https://www.philgeps.gov.ph/GEPSNONPILOT/Tender/SplashBidNoticeAbstractUI.aspx?menuIndex=3&amp;refID=7076055&amp;Result=3","7076055")</f>
        <v>0</v>
      </c>
      <c r="B8435" t="s">
        <v>2474</v>
      </c>
      <c r="C8435" t="s">
        <v>11566</v>
      </c>
      <c r="D8435" t="s">
        <v>18107</v>
      </c>
      <c r="E8435" t="s">
        <v>25610</v>
      </c>
      <c r="F8435" t="s">
        <v>31362</v>
      </c>
      <c r="G8435" t="s">
        <v>31370</v>
      </c>
      <c r="H8435" t="s">
        <v>15799</v>
      </c>
      <c r="I8435" t="s">
        <v>3815</v>
      </c>
      <c r="J8435" t="s">
        <v>36673</v>
      </c>
      <c r="K8435" t="s">
        <v>40665</v>
      </c>
      <c r="M8435" t="s">
        <v>43637</v>
      </c>
      <c r="N8435" t="s">
        <v>44905</v>
      </c>
      <c r="O8435" t="s">
        <v>44906</v>
      </c>
      <c r="P8435">
        <v>0</v>
      </c>
      <c r="Q8435">
        <v>0</v>
      </c>
      <c r="R8435" t="s">
        <v>44910</v>
      </c>
      <c r="S8435" t="s">
        <v>45076</v>
      </c>
      <c r="T8435" t="s">
        <v>46447</v>
      </c>
      <c r="U8435" t="s">
        <v>53697</v>
      </c>
      <c r="W8435" t="s">
        <v>43637</v>
      </c>
      <c r="X8435" t="s">
        <v>44911</v>
      </c>
    </row>
    <row r="8436" spans="1:24">
      <c r="A8436">
        <f>HYPERLINK("https://www.philgeps.gov.ph/GEPSNONPILOT/Tender/SplashBidNoticeAbstractUI.aspx?menuIndex=3&amp;refID=7076000&amp;Result=3","7076000")</f>
        <v>0</v>
      </c>
      <c r="B8436" t="s">
        <v>555</v>
      </c>
      <c r="C8436" t="s">
        <v>11567</v>
      </c>
      <c r="D8436" t="s">
        <v>18148</v>
      </c>
      <c r="E8436" t="s">
        <v>25611</v>
      </c>
      <c r="F8436" t="s">
        <v>31362</v>
      </c>
      <c r="G8436" t="s">
        <v>31369</v>
      </c>
      <c r="H8436" t="s">
        <v>31378</v>
      </c>
      <c r="I8436" t="s">
        <v>31386</v>
      </c>
      <c r="J8436" t="s">
        <v>36674</v>
      </c>
      <c r="K8436" t="s">
        <v>40682</v>
      </c>
      <c r="M8436" t="s">
        <v>43627</v>
      </c>
      <c r="N8436" t="s">
        <v>44905</v>
      </c>
      <c r="O8436" t="s">
        <v>44906</v>
      </c>
      <c r="P8436">
        <v>0</v>
      </c>
      <c r="Q8436">
        <v>0</v>
      </c>
      <c r="R8436" t="s">
        <v>44910</v>
      </c>
      <c r="S8436" t="s">
        <v>45076</v>
      </c>
      <c r="T8436" t="s">
        <v>46671</v>
      </c>
      <c r="U8436" t="s">
        <v>53665</v>
      </c>
      <c r="W8436" t="s">
        <v>43627</v>
      </c>
      <c r="X8436" t="s">
        <v>44911</v>
      </c>
    </row>
    <row r="8437" spans="1:24">
      <c r="A8437">
        <f>HYPERLINK("https://www.philgeps.gov.ph/GEPSNONPILOT/Tender/SplashBidNoticeAbstractUI.aspx?menuIndex=3&amp;refID=7076035&amp;Result=3","7076035")</f>
        <v>0</v>
      </c>
      <c r="B8437" t="s">
        <v>1621</v>
      </c>
      <c r="C8437" t="s">
        <v>11568</v>
      </c>
      <c r="E8437" t="s">
        <v>25612</v>
      </c>
      <c r="F8437" t="s">
        <v>31362</v>
      </c>
      <c r="G8437" t="s">
        <v>31369</v>
      </c>
      <c r="H8437" t="s">
        <v>15799</v>
      </c>
      <c r="I8437" t="s">
        <v>7188</v>
      </c>
      <c r="J8437" t="s">
        <v>36675</v>
      </c>
      <c r="K8437" t="s">
        <v>40662</v>
      </c>
      <c r="M8437" t="s">
        <v>42680</v>
      </c>
      <c r="N8437" t="s">
        <v>44905</v>
      </c>
      <c r="O8437" t="s">
        <v>44906</v>
      </c>
      <c r="P8437">
        <v>0</v>
      </c>
      <c r="Q8437">
        <v>9</v>
      </c>
      <c r="R8437" t="s">
        <v>44910</v>
      </c>
      <c r="S8437" t="s">
        <v>45076</v>
      </c>
      <c r="T8437" t="s">
        <v>46410</v>
      </c>
      <c r="U8437" t="s">
        <v>53698</v>
      </c>
      <c r="W8437" t="s">
        <v>42680</v>
      </c>
      <c r="X8437" t="s">
        <v>44911</v>
      </c>
    </row>
    <row r="8438" spans="1:24">
      <c r="A8438">
        <f>HYPERLINK("https://www.philgeps.gov.ph/GEPSNONPILOT/Tender/SplashBidNoticeAbstractUI.aspx?menuIndex=3&amp;refID=7076034&amp;Result=3","7076034")</f>
        <v>0</v>
      </c>
      <c r="B8438" t="s">
        <v>2470</v>
      </c>
      <c r="C8438" t="s">
        <v>11569</v>
      </c>
      <c r="D8438" t="s">
        <v>18131</v>
      </c>
      <c r="E8438" t="s">
        <v>19255</v>
      </c>
      <c r="F8438" t="s">
        <v>31362</v>
      </c>
      <c r="G8438" t="s">
        <v>31369</v>
      </c>
      <c r="H8438" t="s">
        <v>15799</v>
      </c>
      <c r="I8438" t="s">
        <v>3815</v>
      </c>
      <c r="J8438" t="s">
        <v>36676</v>
      </c>
      <c r="K8438" t="s">
        <v>40672</v>
      </c>
      <c r="M8438" t="s">
        <v>43633</v>
      </c>
      <c r="N8438" t="s">
        <v>44905</v>
      </c>
      <c r="O8438" t="s">
        <v>44906</v>
      </c>
      <c r="P8438">
        <v>0</v>
      </c>
      <c r="Q8438">
        <v>2</v>
      </c>
      <c r="R8438" t="s">
        <v>44910</v>
      </c>
      <c r="S8438" t="s">
        <v>45076</v>
      </c>
      <c r="T8438" t="s">
        <v>46612</v>
      </c>
      <c r="U8438" t="s">
        <v>53699</v>
      </c>
      <c r="W8438" t="s">
        <v>43633</v>
      </c>
      <c r="X8438" t="s">
        <v>44911</v>
      </c>
    </row>
    <row r="8439" spans="1:24">
      <c r="A8439">
        <f>HYPERLINK("https://www.philgeps.gov.ph/GEPSNONPILOT/Tender/SplashBidNoticeAbstractUI.aspx?menuIndex=3&amp;refID=7076040&amp;Result=3","7076040")</f>
        <v>0</v>
      </c>
      <c r="B8439" t="s">
        <v>2470</v>
      </c>
      <c r="C8439" t="s">
        <v>11570</v>
      </c>
      <c r="D8439" t="s">
        <v>18131</v>
      </c>
      <c r="E8439" t="s">
        <v>20367</v>
      </c>
      <c r="F8439" t="s">
        <v>31362</v>
      </c>
      <c r="G8439" t="s">
        <v>31369</v>
      </c>
      <c r="H8439" t="s">
        <v>15799</v>
      </c>
      <c r="I8439" t="s">
        <v>3815</v>
      </c>
      <c r="J8439" t="s">
        <v>36677</v>
      </c>
      <c r="K8439" t="s">
        <v>40672</v>
      </c>
      <c r="M8439" t="s">
        <v>43633</v>
      </c>
      <c r="N8439" t="s">
        <v>44905</v>
      </c>
      <c r="O8439" t="s">
        <v>44906</v>
      </c>
      <c r="P8439">
        <v>0</v>
      </c>
      <c r="Q8439">
        <v>2</v>
      </c>
      <c r="R8439" t="s">
        <v>44910</v>
      </c>
      <c r="S8439" t="s">
        <v>45076</v>
      </c>
      <c r="T8439" t="s">
        <v>46612</v>
      </c>
      <c r="U8439" t="s">
        <v>52839</v>
      </c>
      <c r="W8439" t="s">
        <v>43633</v>
      </c>
      <c r="X8439" t="s">
        <v>44911</v>
      </c>
    </row>
    <row r="8440" spans="1:24">
      <c r="A8440">
        <f>HYPERLINK("https://www.philgeps.gov.ph/GEPSNONPILOT/Tender/SplashBidNoticeAbstractUI.aspx?menuIndex=3&amp;refID=7076085&amp;Result=3","7076085")</f>
        <v>0</v>
      </c>
      <c r="B8440" t="s">
        <v>2122</v>
      </c>
      <c r="C8440" t="s">
        <v>11571</v>
      </c>
      <c r="D8440" t="s">
        <v>18100</v>
      </c>
      <c r="E8440" t="s">
        <v>25613</v>
      </c>
      <c r="F8440" t="s">
        <v>31362</v>
      </c>
      <c r="G8440" t="s">
        <v>31369</v>
      </c>
      <c r="H8440" t="s">
        <v>15799</v>
      </c>
      <c r="I8440" t="s">
        <v>3815</v>
      </c>
      <c r="J8440" t="s">
        <v>32143</v>
      </c>
      <c r="K8440" t="s">
        <v>40693</v>
      </c>
      <c r="M8440" t="s">
        <v>43250</v>
      </c>
      <c r="N8440" t="s">
        <v>44905</v>
      </c>
      <c r="O8440" t="s">
        <v>44906</v>
      </c>
      <c r="P8440">
        <v>0</v>
      </c>
      <c r="Q8440">
        <v>0</v>
      </c>
      <c r="R8440" t="s">
        <v>44910</v>
      </c>
      <c r="S8440" t="s">
        <v>45076</v>
      </c>
      <c r="T8440" t="s">
        <v>46464</v>
      </c>
      <c r="U8440" t="s">
        <v>53700</v>
      </c>
      <c r="W8440" t="s">
        <v>43250</v>
      </c>
      <c r="X8440" t="s">
        <v>44911</v>
      </c>
    </row>
    <row r="8441" spans="1:24">
      <c r="A8441">
        <f>HYPERLINK("https://www.philgeps.gov.ph/GEPSNONPILOT/Tender/SplashBidNoticeAbstractUI.aspx?menuIndex=3&amp;refID=7076083&amp;Result=3","7076083")</f>
        <v>0</v>
      </c>
      <c r="B8441" t="s">
        <v>367</v>
      </c>
      <c r="C8441" t="s">
        <v>11572</v>
      </c>
      <c r="D8441" t="s">
        <v>18134</v>
      </c>
      <c r="E8441" t="s">
        <v>25614</v>
      </c>
      <c r="F8441" t="s">
        <v>31362</v>
      </c>
      <c r="G8441" t="s">
        <v>31368</v>
      </c>
      <c r="H8441" t="s">
        <v>15799</v>
      </c>
      <c r="I8441" t="s">
        <v>31430</v>
      </c>
      <c r="J8441" t="s">
        <v>36678</v>
      </c>
      <c r="K8441" t="s">
        <v>40677</v>
      </c>
      <c r="M8441" t="s">
        <v>41314</v>
      </c>
      <c r="N8441" t="s">
        <v>44905</v>
      </c>
      <c r="O8441" t="s">
        <v>44906</v>
      </c>
      <c r="P8441">
        <v>0</v>
      </c>
      <c r="Q8441">
        <v>0</v>
      </c>
      <c r="R8441" t="s">
        <v>44910</v>
      </c>
      <c r="S8441" t="s">
        <v>45076</v>
      </c>
      <c r="T8441" t="s">
        <v>46447</v>
      </c>
      <c r="U8441" t="s">
        <v>53701</v>
      </c>
      <c r="W8441" t="s">
        <v>41314</v>
      </c>
      <c r="X8441" t="s">
        <v>44911</v>
      </c>
    </row>
    <row r="8442" spans="1:24">
      <c r="A8442">
        <f>HYPERLINK("https://www.philgeps.gov.ph/GEPSNONPILOT/Tender/SplashBidNoticeAbstractUI.aspx?menuIndex=3&amp;refID=7076082&amp;Result=3","7076082")</f>
        <v>0</v>
      </c>
      <c r="B8442" t="s">
        <v>2122</v>
      </c>
      <c r="C8442" t="s">
        <v>11573</v>
      </c>
      <c r="D8442" t="s">
        <v>18100</v>
      </c>
      <c r="E8442" t="s">
        <v>25615</v>
      </c>
      <c r="F8442" t="s">
        <v>31362</v>
      </c>
      <c r="G8442" t="s">
        <v>31369</v>
      </c>
      <c r="H8442" t="s">
        <v>31379</v>
      </c>
      <c r="I8442" t="s">
        <v>3815</v>
      </c>
      <c r="J8442" t="s">
        <v>32143</v>
      </c>
      <c r="K8442" t="s">
        <v>40693</v>
      </c>
      <c r="M8442" t="s">
        <v>43250</v>
      </c>
      <c r="N8442" t="s">
        <v>44905</v>
      </c>
      <c r="O8442" t="s">
        <v>44906</v>
      </c>
      <c r="P8442">
        <v>0</v>
      </c>
      <c r="Q8442">
        <v>0</v>
      </c>
      <c r="R8442" t="s">
        <v>44910</v>
      </c>
      <c r="S8442" t="s">
        <v>45076</v>
      </c>
      <c r="T8442" t="s">
        <v>46464</v>
      </c>
      <c r="U8442" t="s">
        <v>53702</v>
      </c>
      <c r="W8442" t="s">
        <v>43250</v>
      </c>
      <c r="X8442" t="s">
        <v>44911</v>
      </c>
    </row>
    <row r="8443" spans="1:24">
      <c r="A8443">
        <f>HYPERLINK("https://www.philgeps.gov.ph/GEPSNONPILOT/Tender/SplashBidNoticeAbstractUI.aspx?menuIndex=3&amp;refID=7076080&amp;Result=3","7076080")</f>
        <v>0</v>
      </c>
      <c r="B8443" t="s">
        <v>2475</v>
      </c>
      <c r="C8443" t="s">
        <v>11574</v>
      </c>
      <c r="E8443" t="s">
        <v>25616</v>
      </c>
      <c r="F8443" t="s">
        <v>31362</v>
      </c>
      <c r="G8443" t="s">
        <v>31369</v>
      </c>
      <c r="H8443" t="s">
        <v>31378</v>
      </c>
      <c r="I8443" t="s">
        <v>31449</v>
      </c>
      <c r="J8443" t="s">
        <v>36679</v>
      </c>
      <c r="K8443" t="s">
        <v>40666</v>
      </c>
      <c r="M8443" t="s">
        <v>43638</v>
      </c>
      <c r="N8443" t="s">
        <v>44905</v>
      </c>
      <c r="O8443" t="s">
        <v>44906</v>
      </c>
      <c r="P8443">
        <v>0</v>
      </c>
      <c r="Q8443">
        <v>0</v>
      </c>
      <c r="R8443" t="s">
        <v>44910</v>
      </c>
      <c r="S8443" t="s">
        <v>45076</v>
      </c>
      <c r="T8443" t="s">
        <v>46447</v>
      </c>
      <c r="U8443" t="s">
        <v>53703</v>
      </c>
      <c r="W8443" t="s">
        <v>43638</v>
      </c>
      <c r="X8443" t="s">
        <v>44911</v>
      </c>
    </row>
    <row r="8444" spans="1:24">
      <c r="A8444">
        <f>HYPERLINK("https://www.philgeps.gov.ph/GEPSNONPILOT/Tender/SplashBidNoticeAbstractUI.aspx?menuIndex=3&amp;refID=7076072&amp;Result=3","7076072")</f>
        <v>0</v>
      </c>
      <c r="B8444" t="s">
        <v>2448</v>
      </c>
      <c r="C8444" t="s">
        <v>11575</v>
      </c>
      <c r="D8444" t="s">
        <v>18108</v>
      </c>
      <c r="E8444" t="s">
        <v>25617</v>
      </c>
      <c r="F8444" t="s">
        <v>31362</v>
      </c>
      <c r="G8444" t="s">
        <v>31369</v>
      </c>
      <c r="H8444" t="s">
        <v>31378</v>
      </c>
      <c r="I8444" t="s">
        <v>31386</v>
      </c>
      <c r="J8444" t="s">
        <v>36680</v>
      </c>
      <c r="K8444" t="s">
        <v>40682</v>
      </c>
      <c r="M8444" t="s">
        <v>43607</v>
      </c>
      <c r="N8444" t="s">
        <v>44905</v>
      </c>
      <c r="O8444" t="s">
        <v>44906</v>
      </c>
      <c r="P8444">
        <v>0</v>
      </c>
      <c r="Q8444">
        <v>3</v>
      </c>
      <c r="R8444" t="s">
        <v>44910</v>
      </c>
      <c r="S8444" t="s">
        <v>45076</v>
      </c>
      <c r="T8444" t="s">
        <v>46429</v>
      </c>
      <c r="U8444" t="s">
        <v>53704</v>
      </c>
      <c r="V8444" t="s">
        <v>59873</v>
      </c>
      <c r="W8444" t="s">
        <v>43607</v>
      </c>
      <c r="X8444" t="s">
        <v>44911</v>
      </c>
    </row>
    <row r="8445" spans="1:24">
      <c r="A8445">
        <f>HYPERLINK("https://www.philgeps.gov.ph/GEPSNONPILOT/Tender/SplashBidNoticeAbstractUI.aspx?menuIndex=3&amp;refID=6781805&amp;Result=3","6781805")</f>
        <v>0</v>
      </c>
      <c r="B8445" t="s">
        <v>2476</v>
      </c>
      <c r="C8445" t="s">
        <v>11576</v>
      </c>
      <c r="D8445" t="s">
        <v>18177</v>
      </c>
      <c r="E8445" t="s">
        <v>22749</v>
      </c>
      <c r="F8445" t="s">
        <v>31362</v>
      </c>
      <c r="G8445" t="s">
        <v>31369</v>
      </c>
      <c r="H8445" t="s">
        <v>15799</v>
      </c>
      <c r="I8445" t="s">
        <v>3815</v>
      </c>
      <c r="J8445" t="s">
        <v>33584</v>
      </c>
      <c r="K8445" t="s">
        <v>40665</v>
      </c>
      <c r="M8445" t="s">
        <v>43639</v>
      </c>
      <c r="N8445" t="s">
        <v>44905</v>
      </c>
      <c r="O8445" t="s">
        <v>44906</v>
      </c>
      <c r="P8445">
        <v>0</v>
      </c>
      <c r="Q8445">
        <v>0</v>
      </c>
      <c r="R8445" t="s">
        <v>44911</v>
      </c>
      <c r="S8445" t="s">
        <v>45139</v>
      </c>
      <c r="T8445" t="s">
        <v>46573</v>
      </c>
      <c r="U8445" t="s">
        <v>53705</v>
      </c>
      <c r="W8445" t="s">
        <v>43639</v>
      </c>
      <c r="X8445" t="s">
        <v>60984</v>
      </c>
    </row>
    <row r="8446" spans="1:24">
      <c r="A8446">
        <f>HYPERLINK("https://www.philgeps.gov.ph/GEPSNONPILOT/Tender/SplashBidNoticeAbstractUI.aspx?menuIndex=3&amp;refID=7076066&amp;Result=3","7076066")</f>
        <v>0</v>
      </c>
      <c r="B8446" t="s">
        <v>2122</v>
      </c>
      <c r="C8446" t="s">
        <v>11577</v>
      </c>
      <c r="D8446" t="s">
        <v>18100</v>
      </c>
      <c r="E8446" t="s">
        <v>22076</v>
      </c>
      <c r="F8446" t="s">
        <v>31362</v>
      </c>
      <c r="G8446" t="s">
        <v>31369</v>
      </c>
      <c r="H8446" t="s">
        <v>31379</v>
      </c>
      <c r="I8446" t="s">
        <v>31385</v>
      </c>
      <c r="J8446" t="s">
        <v>36681</v>
      </c>
      <c r="K8446" t="s">
        <v>40693</v>
      </c>
      <c r="M8446" t="s">
        <v>43250</v>
      </c>
      <c r="N8446" t="s">
        <v>44905</v>
      </c>
      <c r="O8446" t="s">
        <v>44906</v>
      </c>
      <c r="P8446">
        <v>0</v>
      </c>
      <c r="Q8446">
        <v>0</v>
      </c>
      <c r="R8446" t="s">
        <v>44910</v>
      </c>
      <c r="S8446" t="s">
        <v>45076</v>
      </c>
      <c r="T8446" t="s">
        <v>46464</v>
      </c>
      <c r="U8446" t="s">
        <v>53706</v>
      </c>
      <c r="W8446" t="s">
        <v>43250</v>
      </c>
      <c r="X8446" t="s">
        <v>44911</v>
      </c>
    </row>
    <row r="8447" spans="1:24">
      <c r="A8447">
        <f>HYPERLINK("https://www.philgeps.gov.ph/GEPSNONPILOT/Tender/SplashBidNoticeAbstractUI.aspx?menuIndex=3&amp;refID=7076065&amp;Result=3","7076065")</f>
        <v>0</v>
      </c>
      <c r="B8447" t="s">
        <v>775</v>
      </c>
      <c r="C8447" t="s">
        <v>11578</v>
      </c>
      <c r="D8447" t="s">
        <v>18138</v>
      </c>
      <c r="E8447" t="s">
        <v>25618</v>
      </c>
      <c r="F8447" t="s">
        <v>31362</v>
      </c>
      <c r="G8447" t="s">
        <v>31369</v>
      </c>
      <c r="H8447" t="s">
        <v>31378</v>
      </c>
      <c r="I8447" t="s">
        <v>31386</v>
      </c>
      <c r="J8447" t="s">
        <v>36682</v>
      </c>
      <c r="K8447" t="s">
        <v>40686</v>
      </c>
      <c r="M8447" t="s">
        <v>41743</v>
      </c>
      <c r="N8447" t="s">
        <v>44905</v>
      </c>
      <c r="O8447" t="s">
        <v>44906</v>
      </c>
      <c r="P8447">
        <v>0</v>
      </c>
      <c r="Q8447">
        <v>2</v>
      </c>
      <c r="R8447" t="s">
        <v>44910</v>
      </c>
      <c r="S8447" t="s">
        <v>45076</v>
      </c>
      <c r="T8447" t="s">
        <v>46616</v>
      </c>
      <c r="U8447" t="s">
        <v>53689</v>
      </c>
      <c r="W8447" t="s">
        <v>41743</v>
      </c>
      <c r="X8447" t="s">
        <v>44911</v>
      </c>
    </row>
    <row r="8448" spans="1:24">
      <c r="A8448">
        <f>HYPERLINK("https://www.philgeps.gov.ph/GEPSNONPILOT/Tender/SplashBidNoticeAbstractUI.aspx?menuIndex=3&amp;refID=7076064&amp;Result=3","7076064")</f>
        <v>0</v>
      </c>
      <c r="B8448" t="s">
        <v>2123</v>
      </c>
      <c r="C8448" t="s">
        <v>11579</v>
      </c>
      <c r="D8448" t="s">
        <v>18136</v>
      </c>
      <c r="E8448" t="s">
        <v>25619</v>
      </c>
      <c r="F8448" t="s">
        <v>31362</v>
      </c>
      <c r="G8448" t="s">
        <v>31369</v>
      </c>
      <c r="H8448" t="s">
        <v>15799</v>
      </c>
      <c r="I8448" t="s">
        <v>3815</v>
      </c>
      <c r="J8448" t="s">
        <v>36683</v>
      </c>
      <c r="K8448" t="s">
        <v>40665</v>
      </c>
      <c r="M8448" t="s">
        <v>43251</v>
      </c>
      <c r="N8448" t="s">
        <v>44905</v>
      </c>
      <c r="O8448" t="s">
        <v>44906</v>
      </c>
      <c r="P8448">
        <v>0</v>
      </c>
      <c r="Q8448">
        <v>0</v>
      </c>
      <c r="R8448" t="s">
        <v>44910</v>
      </c>
      <c r="S8448" t="s">
        <v>45076</v>
      </c>
      <c r="T8448" t="s">
        <v>46465</v>
      </c>
      <c r="U8448" t="s">
        <v>52573</v>
      </c>
      <c r="W8448" t="s">
        <v>43251</v>
      </c>
      <c r="X8448" t="s">
        <v>44911</v>
      </c>
    </row>
    <row r="8449" spans="1:24">
      <c r="A8449">
        <f>HYPERLINK("https://www.philgeps.gov.ph/GEPSNONPILOT/Tender/SplashBidNoticeAbstractUI.aspx?menuIndex=3&amp;refID=7076028&amp;Result=3","7076028")</f>
        <v>0</v>
      </c>
      <c r="B8449" t="s">
        <v>2456</v>
      </c>
      <c r="C8449" t="s">
        <v>11580</v>
      </c>
      <c r="D8449" t="s">
        <v>18138</v>
      </c>
      <c r="E8449" t="s">
        <v>25620</v>
      </c>
      <c r="F8449" t="s">
        <v>31362</v>
      </c>
      <c r="G8449" t="s">
        <v>31369</v>
      </c>
      <c r="H8449" t="s">
        <v>31378</v>
      </c>
      <c r="I8449" t="s">
        <v>31386</v>
      </c>
      <c r="J8449" t="s">
        <v>36684</v>
      </c>
      <c r="K8449" t="s">
        <v>40662</v>
      </c>
      <c r="M8449" t="s">
        <v>43615</v>
      </c>
      <c r="N8449" t="s">
        <v>44905</v>
      </c>
      <c r="O8449" t="s">
        <v>44906</v>
      </c>
      <c r="P8449">
        <v>0</v>
      </c>
      <c r="Q8449">
        <v>2</v>
      </c>
      <c r="R8449" t="s">
        <v>44910</v>
      </c>
      <c r="S8449" t="s">
        <v>45076</v>
      </c>
      <c r="T8449" t="s">
        <v>46652</v>
      </c>
      <c r="U8449" t="s">
        <v>53707</v>
      </c>
      <c r="W8449" t="s">
        <v>43615</v>
      </c>
      <c r="X8449" t="s">
        <v>44911</v>
      </c>
    </row>
    <row r="8450" spans="1:24">
      <c r="A8450">
        <f>HYPERLINK("https://www.philgeps.gov.ph/GEPSNONPILOT/Tender/SplashBidNoticeAbstractUI.aspx?menuIndex=3&amp;refID=7076061&amp;Result=3","7076061")</f>
        <v>0</v>
      </c>
      <c r="B8450" t="s">
        <v>2122</v>
      </c>
      <c r="C8450" t="s">
        <v>11581</v>
      </c>
      <c r="D8450" t="s">
        <v>18100</v>
      </c>
      <c r="E8450" t="s">
        <v>21992</v>
      </c>
      <c r="F8450" t="s">
        <v>31362</v>
      </c>
      <c r="G8450" t="s">
        <v>31369</v>
      </c>
      <c r="H8450" t="s">
        <v>31379</v>
      </c>
      <c r="I8450" t="s">
        <v>31385</v>
      </c>
      <c r="J8450" t="s">
        <v>31916</v>
      </c>
      <c r="K8450" t="s">
        <v>40693</v>
      </c>
      <c r="M8450" t="s">
        <v>43250</v>
      </c>
      <c r="N8450" t="s">
        <v>44905</v>
      </c>
      <c r="O8450" t="s">
        <v>44906</v>
      </c>
      <c r="P8450">
        <v>0</v>
      </c>
      <c r="Q8450">
        <v>0</v>
      </c>
      <c r="R8450" t="s">
        <v>44910</v>
      </c>
      <c r="S8450" t="s">
        <v>45076</v>
      </c>
      <c r="T8450" t="s">
        <v>46464</v>
      </c>
      <c r="U8450" t="s">
        <v>53708</v>
      </c>
      <c r="W8450" t="s">
        <v>43250</v>
      </c>
      <c r="X8450" t="s">
        <v>44911</v>
      </c>
    </row>
    <row r="8451" spans="1:24">
      <c r="A8451">
        <f>HYPERLINK("https://www.philgeps.gov.ph/GEPSNONPILOT/Tender/SplashBidNoticeAbstractUI.aspx?menuIndex=3&amp;refID=7076071&amp;Result=3","7076071")</f>
        <v>0</v>
      </c>
      <c r="B8451" t="s">
        <v>2477</v>
      </c>
      <c r="C8451" t="s">
        <v>11582</v>
      </c>
      <c r="D8451" t="s">
        <v>18139</v>
      </c>
      <c r="E8451" t="s">
        <v>19083</v>
      </c>
      <c r="F8451" t="s">
        <v>31362</v>
      </c>
      <c r="G8451" t="s">
        <v>31369</v>
      </c>
      <c r="H8451" t="s">
        <v>31379</v>
      </c>
      <c r="I8451" t="s">
        <v>31457</v>
      </c>
      <c r="J8451" t="s">
        <v>31637</v>
      </c>
      <c r="K8451" t="s">
        <v>40723</v>
      </c>
      <c r="M8451" t="s">
        <v>43640</v>
      </c>
      <c r="N8451" t="s">
        <v>44905</v>
      </c>
      <c r="O8451" t="s">
        <v>44906</v>
      </c>
      <c r="P8451">
        <v>0</v>
      </c>
      <c r="Q8451">
        <v>1</v>
      </c>
      <c r="R8451" t="s">
        <v>44910</v>
      </c>
      <c r="S8451" t="s">
        <v>45076</v>
      </c>
      <c r="T8451" t="s">
        <v>46438</v>
      </c>
      <c r="U8451" t="s">
        <v>53709</v>
      </c>
      <c r="V8451" t="s">
        <v>59885</v>
      </c>
      <c r="W8451" t="s">
        <v>60935</v>
      </c>
      <c r="X8451" t="s">
        <v>44911</v>
      </c>
    </row>
    <row r="8452" spans="1:24">
      <c r="A8452">
        <f>HYPERLINK("https://www.philgeps.gov.ph/GEPSNONPILOT/Tender/SplashBidNoticeAbstractUI.aspx?menuIndex=3&amp;refID=6469261&amp;Result=3","6469261")</f>
        <v>0</v>
      </c>
      <c r="B8452" t="s">
        <v>2476</v>
      </c>
      <c r="C8452" t="s">
        <v>11583</v>
      </c>
      <c r="D8452" t="s">
        <v>18177</v>
      </c>
      <c r="E8452" t="s">
        <v>18203</v>
      </c>
      <c r="F8452" t="s">
        <v>31362</v>
      </c>
      <c r="G8452" t="s">
        <v>31369</v>
      </c>
      <c r="H8452" t="s">
        <v>15799</v>
      </c>
      <c r="I8452" t="s">
        <v>3815</v>
      </c>
      <c r="J8452" t="s">
        <v>33024</v>
      </c>
      <c r="K8452" t="s">
        <v>40665</v>
      </c>
      <c r="M8452" t="s">
        <v>43639</v>
      </c>
      <c r="N8452" t="s">
        <v>44905</v>
      </c>
      <c r="O8452" t="s">
        <v>44906</v>
      </c>
      <c r="P8452">
        <v>0</v>
      </c>
      <c r="Q8452">
        <v>0</v>
      </c>
      <c r="R8452" t="s">
        <v>44911</v>
      </c>
      <c r="S8452" t="s">
        <v>45139</v>
      </c>
      <c r="T8452" t="s">
        <v>46573</v>
      </c>
      <c r="U8452" t="s">
        <v>53710</v>
      </c>
      <c r="W8452" t="s">
        <v>43639</v>
      </c>
      <c r="X8452" t="s">
        <v>60985</v>
      </c>
    </row>
    <row r="8453" spans="1:24">
      <c r="A8453">
        <f>HYPERLINK("https://www.philgeps.gov.ph/GEPSNONPILOT/Tender/SplashBidNoticeAbstractUI.aspx?menuIndex=3&amp;refID=7076058&amp;Result=3","7076058")</f>
        <v>0</v>
      </c>
      <c r="B8453" t="s">
        <v>2474</v>
      </c>
      <c r="C8453" t="s">
        <v>11584</v>
      </c>
      <c r="D8453" t="s">
        <v>18107</v>
      </c>
      <c r="E8453" t="s">
        <v>25621</v>
      </c>
      <c r="F8453" t="s">
        <v>31362</v>
      </c>
      <c r="G8453" t="s">
        <v>31370</v>
      </c>
      <c r="H8453" t="s">
        <v>15799</v>
      </c>
      <c r="I8453" t="s">
        <v>7188</v>
      </c>
      <c r="J8453" t="s">
        <v>36685</v>
      </c>
      <c r="K8453" t="s">
        <v>40665</v>
      </c>
      <c r="M8453" t="s">
        <v>43637</v>
      </c>
      <c r="N8453" t="s">
        <v>44905</v>
      </c>
      <c r="O8453" t="s">
        <v>44906</v>
      </c>
      <c r="P8453">
        <v>0</v>
      </c>
      <c r="Q8453">
        <v>3</v>
      </c>
      <c r="R8453" t="s">
        <v>44910</v>
      </c>
      <c r="S8453" t="s">
        <v>45076</v>
      </c>
      <c r="T8453" t="s">
        <v>46447</v>
      </c>
      <c r="U8453" t="s">
        <v>53711</v>
      </c>
      <c r="W8453" t="s">
        <v>43637</v>
      </c>
      <c r="X8453" t="s">
        <v>44911</v>
      </c>
    </row>
    <row r="8454" spans="1:24">
      <c r="A8454">
        <f>HYPERLINK("https://www.philgeps.gov.ph/GEPSNONPILOT/Tender/SplashBidNoticeAbstractUI.aspx?menuIndex=3&amp;refID=7076068&amp;Result=3","7076068")</f>
        <v>0</v>
      </c>
      <c r="B8454" t="s">
        <v>68</v>
      </c>
      <c r="C8454" t="s">
        <v>11585</v>
      </c>
      <c r="D8454" t="s">
        <v>18117</v>
      </c>
      <c r="E8454" t="s">
        <v>25622</v>
      </c>
      <c r="F8454" t="s">
        <v>31362</v>
      </c>
      <c r="G8454" t="s">
        <v>31369</v>
      </c>
      <c r="H8454" t="s">
        <v>15799</v>
      </c>
      <c r="I8454" t="s">
        <v>31380</v>
      </c>
      <c r="J8454" t="s">
        <v>36686</v>
      </c>
      <c r="K8454" t="s">
        <v>40662</v>
      </c>
      <c r="M8454" t="s">
        <v>41004</v>
      </c>
      <c r="N8454" t="s">
        <v>44905</v>
      </c>
      <c r="O8454" t="s">
        <v>44906</v>
      </c>
      <c r="P8454">
        <v>0</v>
      </c>
      <c r="Q8454">
        <v>15</v>
      </c>
      <c r="R8454" t="s">
        <v>44910</v>
      </c>
      <c r="S8454" t="s">
        <v>45076</v>
      </c>
      <c r="T8454" t="s">
        <v>46419</v>
      </c>
      <c r="U8454" t="s">
        <v>53712</v>
      </c>
      <c r="W8454" t="s">
        <v>41004</v>
      </c>
      <c r="X8454" t="s">
        <v>44911</v>
      </c>
    </row>
    <row r="8455" spans="1:24">
      <c r="A8455">
        <f>HYPERLINK("https://www.philgeps.gov.ph/GEPSNONPILOT/Tender/SplashBidNoticeAbstractUI.aspx?menuIndex=3&amp;refID=7076054&amp;Result=3","7076054")</f>
        <v>0</v>
      </c>
      <c r="B8455" t="s">
        <v>572</v>
      </c>
      <c r="C8455" t="s">
        <v>11586</v>
      </c>
      <c r="E8455" t="s">
        <v>25623</v>
      </c>
      <c r="F8455" t="s">
        <v>31362</v>
      </c>
      <c r="G8455" t="s">
        <v>31368</v>
      </c>
      <c r="H8455" t="s">
        <v>15799</v>
      </c>
      <c r="I8455" t="s">
        <v>31383</v>
      </c>
      <c r="J8455" t="s">
        <v>36687</v>
      </c>
      <c r="K8455" t="s">
        <v>40662</v>
      </c>
      <c r="M8455" t="s">
        <v>41886</v>
      </c>
      <c r="N8455" t="s">
        <v>44905</v>
      </c>
      <c r="O8455" t="s">
        <v>44906</v>
      </c>
      <c r="P8455">
        <v>0</v>
      </c>
      <c r="Q8455">
        <v>15</v>
      </c>
      <c r="R8455" t="s">
        <v>44910</v>
      </c>
      <c r="S8455" t="s">
        <v>45076</v>
      </c>
      <c r="T8455" t="s">
        <v>46409</v>
      </c>
      <c r="U8455" t="s">
        <v>53713</v>
      </c>
      <c r="W8455" t="s">
        <v>60860</v>
      </c>
      <c r="X8455" t="s">
        <v>44911</v>
      </c>
    </row>
    <row r="8456" spans="1:24">
      <c r="A8456">
        <f>HYPERLINK("https://www.philgeps.gov.ph/GEPSNONPILOT/Tender/SplashBidNoticeAbstractUI.aspx?menuIndex=3&amp;refID=7076037&amp;Result=3","7076037")</f>
        <v>0</v>
      </c>
      <c r="B8456" t="s">
        <v>370</v>
      </c>
      <c r="C8456" t="s">
        <v>11587</v>
      </c>
      <c r="E8456" t="s">
        <v>25624</v>
      </c>
      <c r="F8456" t="s">
        <v>31362</v>
      </c>
      <c r="G8456" t="s">
        <v>31369</v>
      </c>
      <c r="H8456" t="s">
        <v>15799</v>
      </c>
      <c r="I8456" t="s">
        <v>31382</v>
      </c>
      <c r="J8456" t="s">
        <v>32239</v>
      </c>
      <c r="K8456" t="s">
        <v>40662</v>
      </c>
      <c r="M8456" t="s">
        <v>43630</v>
      </c>
      <c r="N8456" t="s">
        <v>44905</v>
      </c>
      <c r="O8456" t="s">
        <v>44906</v>
      </c>
      <c r="Q8456">
        <v>12</v>
      </c>
      <c r="R8456" t="s">
        <v>44910</v>
      </c>
      <c r="S8456" t="s">
        <v>45140</v>
      </c>
      <c r="T8456" t="s">
        <v>46398</v>
      </c>
      <c r="U8456" t="s">
        <v>53555</v>
      </c>
      <c r="V8456" t="s">
        <v>59862</v>
      </c>
      <c r="W8456" t="s">
        <v>43630</v>
      </c>
      <c r="X8456" t="s">
        <v>44911</v>
      </c>
    </row>
    <row r="8457" spans="1:24">
      <c r="A8457">
        <f>HYPERLINK("https://www.philgeps.gov.ph/GEPSNONPILOT/Tender/SplashBidNoticeAbstractUI.aspx?menuIndex=3&amp;refID=7076025&amp;Result=3","7076025")</f>
        <v>0</v>
      </c>
      <c r="B8457" t="s">
        <v>2478</v>
      </c>
      <c r="C8457" t="s">
        <v>11588</v>
      </c>
      <c r="D8457" t="s">
        <v>18133</v>
      </c>
      <c r="E8457" t="s">
        <v>25625</v>
      </c>
      <c r="F8457" t="s">
        <v>31362</v>
      </c>
      <c r="G8457" t="s">
        <v>31369</v>
      </c>
      <c r="H8457" t="s">
        <v>31379</v>
      </c>
      <c r="I8457" t="s">
        <v>31392</v>
      </c>
      <c r="J8457" t="s">
        <v>36688</v>
      </c>
      <c r="K8457" t="s">
        <v>40661</v>
      </c>
      <c r="L8457" t="s">
        <v>2478</v>
      </c>
      <c r="M8457" t="s">
        <v>43641</v>
      </c>
      <c r="N8457" t="s">
        <v>44905</v>
      </c>
      <c r="O8457" t="s">
        <v>44906</v>
      </c>
      <c r="P8457">
        <v>0</v>
      </c>
      <c r="Q8457">
        <v>0</v>
      </c>
      <c r="R8457" t="s">
        <v>44910</v>
      </c>
      <c r="S8457" t="s">
        <v>45076</v>
      </c>
      <c r="T8457" t="s">
        <v>46447</v>
      </c>
      <c r="U8457" t="s">
        <v>53714</v>
      </c>
      <c r="W8457" t="s">
        <v>43641</v>
      </c>
      <c r="X8457" t="s">
        <v>44911</v>
      </c>
    </row>
    <row r="8458" spans="1:24">
      <c r="A8458">
        <f>HYPERLINK("https://www.philgeps.gov.ph/GEPSNONPILOT/Tender/SplashBidNoticeAbstractUI.aspx?menuIndex=3&amp;refID=7076062&amp;Result=3","7076062")</f>
        <v>0</v>
      </c>
      <c r="B8458" t="s">
        <v>1625</v>
      </c>
      <c r="C8458" t="s">
        <v>11589</v>
      </c>
      <c r="D8458" t="s">
        <v>18178</v>
      </c>
      <c r="E8458" t="s">
        <v>25626</v>
      </c>
      <c r="F8458" t="s">
        <v>31362</v>
      </c>
      <c r="G8458" t="s">
        <v>31370</v>
      </c>
      <c r="H8458" t="s">
        <v>15799</v>
      </c>
      <c r="I8458" t="s">
        <v>31388</v>
      </c>
      <c r="J8458" t="s">
        <v>33370</v>
      </c>
      <c r="K8458" t="s">
        <v>40662</v>
      </c>
      <c r="M8458" t="s">
        <v>43642</v>
      </c>
      <c r="N8458" t="s">
        <v>44905</v>
      </c>
      <c r="O8458" t="s">
        <v>44906</v>
      </c>
      <c r="P8458">
        <v>0</v>
      </c>
      <c r="Q8458">
        <v>0</v>
      </c>
      <c r="R8458" t="s">
        <v>44910</v>
      </c>
      <c r="S8458" t="s">
        <v>45076</v>
      </c>
      <c r="T8458" t="s">
        <v>46414</v>
      </c>
      <c r="U8458" t="s">
        <v>53715</v>
      </c>
      <c r="V8458" t="s">
        <v>59886</v>
      </c>
      <c r="W8458" t="s">
        <v>43642</v>
      </c>
      <c r="X8458" t="s">
        <v>44911</v>
      </c>
    </row>
    <row r="8459" spans="1:24">
      <c r="A8459">
        <f>HYPERLINK("https://www.philgeps.gov.ph/GEPSNONPILOT/Tender/SplashBidNoticeAbstractUI.aspx?menuIndex=3&amp;refID=7076060&amp;Result=3","7076060")</f>
        <v>0</v>
      </c>
      <c r="B8459" t="s">
        <v>775</v>
      </c>
      <c r="C8459" t="s">
        <v>11590</v>
      </c>
      <c r="D8459" t="s">
        <v>18138</v>
      </c>
      <c r="E8459" t="s">
        <v>20617</v>
      </c>
      <c r="F8459" t="s">
        <v>31362</v>
      </c>
      <c r="G8459" t="s">
        <v>31369</v>
      </c>
      <c r="H8459" t="s">
        <v>31378</v>
      </c>
      <c r="I8459" t="s">
        <v>31386</v>
      </c>
      <c r="J8459" t="s">
        <v>36689</v>
      </c>
      <c r="K8459" t="s">
        <v>40679</v>
      </c>
      <c r="M8459" t="s">
        <v>41743</v>
      </c>
      <c r="N8459" t="s">
        <v>44905</v>
      </c>
      <c r="O8459" t="s">
        <v>44906</v>
      </c>
      <c r="P8459">
        <v>0</v>
      </c>
      <c r="Q8459">
        <v>1</v>
      </c>
      <c r="R8459" t="s">
        <v>44910</v>
      </c>
      <c r="S8459" t="s">
        <v>45076</v>
      </c>
      <c r="T8459" t="s">
        <v>46616</v>
      </c>
      <c r="U8459" t="s">
        <v>53689</v>
      </c>
      <c r="W8459" t="s">
        <v>41743</v>
      </c>
      <c r="X8459" t="s">
        <v>44911</v>
      </c>
    </row>
    <row r="8460" spans="1:24">
      <c r="A8460">
        <f>HYPERLINK("https://www.philgeps.gov.ph/GEPSNONPILOT/Tender/SplashBidNoticeAbstractUI.aspx?menuIndex=3&amp;refID=7076057&amp;Result=3","7076057")</f>
        <v>0</v>
      </c>
      <c r="B8460" t="s">
        <v>234</v>
      </c>
      <c r="C8460" t="s">
        <v>11591</v>
      </c>
      <c r="D8460" t="s">
        <v>18108</v>
      </c>
      <c r="E8460" t="s">
        <v>25627</v>
      </c>
      <c r="F8460" t="s">
        <v>31362</v>
      </c>
      <c r="G8460" t="s">
        <v>31368</v>
      </c>
      <c r="H8460" t="s">
        <v>15799</v>
      </c>
      <c r="I8460" t="s">
        <v>31409</v>
      </c>
      <c r="J8460" t="s">
        <v>36690</v>
      </c>
      <c r="K8460" t="s">
        <v>40665</v>
      </c>
      <c r="M8460" t="s">
        <v>41617</v>
      </c>
      <c r="N8460" t="s">
        <v>44905</v>
      </c>
      <c r="O8460" t="s">
        <v>44906</v>
      </c>
      <c r="P8460">
        <v>0</v>
      </c>
      <c r="Q8460">
        <v>1</v>
      </c>
      <c r="R8460" t="s">
        <v>44910</v>
      </c>
      <c r="S8460" t="s">
        <v>45076</v>
      </c>
      <c r="T8460" t="s">
        <v>46498</v>
      </c>
      <c r="U8460" t="s">
        <v>53716</v>
      </c>
      <c r="W8460" t="s">
        <v>41617</v>
      </c>
      <c r="X8460" t="s">
        <v>44911</v>
      </c>
    </row>
    <row r="8461" spans="1:24">
      <c r="A8461">
        <f>HYPERLINK("https://www.philgeps.gov.ph/GEPSNONPILOT/Tender/SplashBidNoticeAbstractUI.aspx?menuIndex=3&amp;refID=7076042&amp;Result=3","7076042")</f>
        <v>0</v>
      </c>
      <c r="B8461" t="s">
        <v>775</v>
      </c>
      <c r="C8461" t="s">
        <v>11592</v>
      </c>
      <c r="D8461" t="s">
        <v>18138</v>
      </c>
      <c r="E8461" t="s">
        <v>21524</v>
      </c>
      <c r="F8461" t="s">
        <v>31362</v>
      </c>
      <c r="G8461" t="s">
        <v>31369</v>
      </c>
      <c r="H8461" t="s">
        <v>31378</v>
      </c>
      <c r="I8461" t="s">
        <v>31386</v>
      </c>
      <c r="J8461" t="s">
        <v>36691</v>
      </c>
      <c r="K8461" t="s">
        <v>40679</v>
      </c>
      <c r="M8461" t="s">
        <v>41743</v>
      </c>
      <c r="N8461" t="s">
        <v>44905</v>
      </c>
      <c r="O8461" t="s">
        <v>44906</v>
      </c>
      <c r="P8461">
        <v>0</v>
      </c>
      <c r="Q8461">
        <v>1</v>
      </c>
      <c r="R8461" t="s">
        <v>44910</v>
      </c>
      <c r="S8461" t="s">
        <v>45076</v>
      </c>
      <c r="T8461" t="s">
        <v>46616</v>
      </c>
      <c r="U8461" t="s">
        <v>53689</v>
      </c>
      <c r="W8461" t="s">
        <v>41743</v>
      </c>
      <c r="X8461" t="s">
        <v>44911</v>
      </c>
    </row>
    <row r="8462" spans="1:24">
      <c r="A8462">
        <f>HYPERLINK("https://www.philgeps.gov.ph/GEPSNONPILOT/Tender/SplashBidNoticeAbstractUI.aspx?menuIndex=3&amp;refID=7058177&amp;Result=3","7058177")</f>
        <v>0</v>
      </c>
      <c r="B8462" t="s">
        <v>396</v>
      </c>
      <c r="C8462" t="s">
        <v>11593</v>
      </c>
      <c r="D8462" t="s">
        <v>18155</v>
      </c>
      <c r="E8462" t="s">
        <v>25628</v>
      </c>
      <c r="F8462" t="s">
        <v>31362</v>
      </c>
      <c r="G8462" t="s">
        <v>31369</v>
      </c>
      <c r="H8462" t="s">
        <v>31378</v>
      </c>
      <c r="I8462" t="s">
        <v>31386</v>
      </c>
      <c r="J8462" t="s">
        <v>36692</v>
      </c>
      <c r="K8462" t="s">
        <v>40717</v>
      </c>
      <c r="M8462" t="s">
        <v>43643</v>
      </c>
      <c r="N8462" t="s">
        <v>44905</v>
      </c>
      <c r="O8462" t="s">
        <v>44906</v>
      </c>
      <c r="P8462">
        <v>0</v>
      </c>
      <c r="Q8462">
        <v>0</v>
      </c>
      <c r="R8462" t="s">
        <v>44911</v>
      </c>
      <c r="S8462" t="s">
        <v>45139</v>
      </c>
      <c r="T8462" t="s">
        <v>46454</v>
      </c>
      <c r="U8462" t="s">
        <v>53717</v>
      </c>
      <c r="W8462" t="s">
        <v>43643</v>
      </c>
      <c r="X8462" t="s">
        <v>44920</v>
      </c>
    </row>
    <row r="8463" spans="1:24">
      <c r="A8463">
        <f>HYPERLINK("https://www.philgeps.gov.ph/GEPSNONPILOT/Tender/SplashBidNoticeAbstractUI.aspx?menuIndex=3&amp;refID=7076056&amp;Result=3","7076056")</f>
        <v>0</v>
      </c>
      <c r="B8463" t="s">
        <v>775</v>
      </c>
      <c r="C8463" t="s">
        <v>11594</v>
      </c>
      <c r="D8463" t="s">
        <v>18138</v>
      </c>
      <c r="E8463" t="s">
        <v>21819</v>
      </c>
      <c r="F8463" t="s">
        <v>31362</v>
      </c>
      <c r="G8463" t="s">
        <v>31369</v>
      </c>
      <c r="H8463" t="s">
        <v>31378</v>
      </c>
      <c r="I8463" t="s">
        <v>31386</v>
      </c>
      <c r="J8463" t="s">
        <v>36693</v>
      </c>
      <c r="K8463" t="s">
        <v>40759</v>
      </c>
      <c r="M8463" t="s">
        <v>41743</v>
      </c>
      <c r="N8463" t="s">
        <v>44905</v>
      </c>
      <c r="O8463" t="s">
        <v>44906</v>
      </c>
      <c r="P8463">
        <v>0</v>
      </c>
      <c r="Q8463">
        <v>2</v>
      </c>
      <c r="R8463" t="s">
        <v>44910</v>
      </c>
      <c r="S8463" t="s">
        <v>45076</v>
      </c>
      <c r="T8463" t="s">
        <v>46616</v>
      </c>
      <c r="U8463" t="s">
        <v>53689</v>
      </c>
      <c r="W8463" t="s">
        <v>41743</v>
      </c>
      <c r="X8463" t="s">
        <v>44911</v>
      </c>
    </row>
    <row r="8464" spans="1:24">
      <c r="A8464">
        <f>HYPERLINK("https://www.philgeps.gov.ph/GEPSNONPILOT/Tender/SplashBidNoticeAbstractUI.aspx?menuIndex=3&amp;refID=7058169&amp;Result=3","7058169")</f>
        <v>0</v>
      </c>
      <c r="B8464" t="s">
        <v>396</v>
      </c>
      <c r="C8464" t="s">
        <v>11595</v>
      </c>
      <c r="D8464" t="s">
        <v>18155</v>
      </c>
      <c r="E8464" t="s">
        <v>25629</v>
      </c>
      <c r="F8464" t="s">
        <v>31362</v>
      </c>
      <c r="G8464" t="s">
        <v>31369</v>
      </c>
      <c r="H8464" t="s">
        <v>31378</v>
      </c>
      <c r="I8464" t="s">
        <v>31386</v>
      </c>
      <c r="J8464" t="s">
        <v>31586</v>
      </c>
      <c r="K8464" t="s">
        <v>40665</v>
      </c>
      <c r="M8464" t="s">
        <v>43643</v>
      </c>
      <c r="N8464" t="s">
        <v>44905</v>
      </c>
      <c r="O8464" t="s">
        <v>44906</v>
      </c>
      <c r="P8464">
        <v>0</v>
      </c>
      <c r="Q8464">
        <v>0</v>
      </c>
      <c r="R8464" t="s">
        <v>44911</v>
      </c>
      <c r="S8464" t="s">
        <v>45139</v>
      </c>
      <c r="T8464" t="s">
        <v>46454</v>
      </c>
      <c r="U8464" t="s">
        <v>53717</v>
      </c>
      <c r="W8464" t="s">
        <v>43643</v>
      </c>
      <c r="X8464" t="s">
        <v>44920</v>
      </c>
    </row>
    <row r="8465" spans="1:24">
      <c r="A8465">
        <f>HYPERLINK("https://www.philgeps.gov.ph/GEPSNONPILOT/Tender/SplashBidNoticeAbstractUI.aspx?menuIndex=3&amp;refID=7058163&amp;Result=3","7058163")</f>
        <v>0</v>
      </c>
      <c r="B8465" t="s">
        <v>396</v>
      </c>
      <c r="C8465" t="s">
        <v>11596</v>
      </c>
      <c r="D8465" t="s">
        <v>18155</v>
      </c>
      <c r="E8465" t="s">
        <v>25630</v>
      </c>
      <c r="F8465" t="s">
        <v>31362</v>
      </c>
      <c r="G8465" t="s">
        <v>31369</v>
      </c>
      <c r="H8465" t="s">
        <v>31378</v>
      </c>
      <c r="I8465" t="s">
        <v>31386</v>
      </c>
      <c r="J8465" t="s">
        <v>31602</v>
      </c>
      <c r="K8465" t="s">
        <v>40792</v>
      </c>
      <c r="M8465" t="s">
        <v>43643</v>
      </c>
      <c r="N8465" t="s">
        <v>44905</v>
      </c>
      <c r="O8465" t="s">
        <v>44906</v>
      </c>
      <c r="P8465">
        <v>0</v>
      </c>
      <c r="Q8465">
        <v>1</v>
      </c>
      <c r="R8465" t="s">
        <v>44911</v>
      </c>
      <c r="S8465" t="s">
        <v>45139</v>
      </c>
      <c r="T8465" t="s">
        <v>46454</v>
      </c>
      <c r="U8465" t="s">
        <v>53717</v>
      </c>
      <c r="W8465" t="s">
        <v>43643</v>
      </c>
      <c r="X8465" t="s">
        <v>44920</v>
      </c>
    </row>
    <row r="8466" spans="1:24">
      <c r="A8466">
        <f>HYPERLINK("https://www.philgeps.gov.ph/GEPSNONPILOT/Tender/SplashBidNoticeAbstractUI.aspx?menuIndex=3&amp;refID=7058154&amp;Result=3","7058154")</f>
        <v>0</v>
      </c>
      <c r="B8466" t="s">
        <v>396</v>
      </c>
      <c r="C8466" t="s">
        <v>11597</v>
      </c>
      <c r="D8466" t="s">
        <v>18155</v>
      </c>
      <c r="E8466" t="s">
        <v>25631</v>
      </c>
      <c r="F8466" t="s">
        <v>31362</v>
      </c>
      <c r="G8466" t="s">
        <v>31369</v>
      </c>
      <c r="H8466" t="s">
        <v>31378</v>
      </c>
      <c r="I8466" t="s">
        <v>31386</v>
      </c>
      <c r="J8466" t="s">
        <v>36694</v>
      </c>
      <c r="K8466" t="s">
        <v>40676</v>
      </c>
      <c r="M8466" t="s">
        <v>43643</v>
      </c>
      <c r="N8466" t="s">
        <v>44905</v>
      </c>
      <c r="O8466" t="s">
        <v>44906</v>
      </c>
      <c r="P8466">
        <v>0</v>
      </c>
      <c r="Q8466">
        <v>0</v>
      </c>
      <c r="R8466" t="s">
        <v>44911</v>
      </c>
      <c r="S8466" t="s">
        <v>45139</v>
      </c>
      <c r="T8466" t="s">
        <v>46454</v>
      </c>
      <c r="U8466" t="s">
        <v>53718</v>
      </c>
      <c r="W8466" t="s">
        <v>43643</v>
      </c>
      <c r="X8466" t="s">
        <v>44920</v>
      </c>
    </row>
    <row r="8467" spans="1:24">
      <c r="A8467">
        <f>HYPERLINK("https://www.philgeps.gov.ph/GEPSNONPILOT/Tender/SplashBidNoticeAbstractUI.aspx?menuIndex=3&amp;refID=7058152&amp;Result=3","7058152")</f>
        <v>0</v>
      </c>
      <c r="B8467" t="s">
        <v>396</v>
      </c>
      <c r="C8467" t="s">
        <v>11598</v>
      </c>
      <c r="D8467" t="s">
        <v>18155</v>
      </c>
      <c r="E8467" t="s">
        <v>25632</v>
      </c>
      <c r="F8467" t="s">
        <v>31362</v>
      </c>
      <c r="G8467" t="s">
        <v>31369</v>
      </c>
      <c r="H8467" t="s">
        <v>31378</v>
      </c>
      <c r="I8467" t="s">
        <v>31386</v>
      </c>
      <c r="J8467" t="s">
        <v>32837</v>
      </c>
      <c r="K8467" t="s">
        <v>40665</v>
      </c>
      <c r="M8467" t="s">
        <v>43643</v>
      </c>
      <c r="N8467" t="s">
        <v>44905</v>
      </c>
      <c r="O8467" t="s">
        <v>44906</v>
      </c>
      <c r="P8467">
        <v>0</v>
      </c>
      <c r="Q8467">
        <v>1</v>
      </c>
      <c r="R8467" t="s">
        <v>44911</v>
      </c>
      <c r="S8467" t="s">
        <v>45139</v>
      </c>
      <c r="T8467" t="s">
        <v>46454</v>
      </c>
      <c r="U8467" t="s">
        <v>53717</v>
      </c>
      <c r="W8467" t="s">
        <v>43643</v>
      </c>
      <c r="X8467" t="s">
        <v>44920</v>
      </c>
    </row>
    <row r="8468" spans="1:24">
      <c r="A8468">
        <f>HYPERLINK("https://www.philgeps.gov.ph/GEPSNONPILOT/Tender/SplashBidNoticeAbstractUI.aspx?menuIndex=3&amp;refID=7055512&amp;Result=3","7055512")</f>
        <v>0</v>
      </c>
      <c r="B8468" t="s">
        <v>2479</v>
      </c>
      <c r="C8468" t="s">
        <v>11599</v>
      </c>
      <c r="D8468" t="s">
        <v>18112</v>
      </c>
      <c r="E8468" t="s">
        <v>18203</v>
      </c>
      <c r="F8468" t="s">
        <v>31362</v>
      </c>
      <c r="G8468" t="s">
        <v>31368</v>
      </c>
      <c r="H8468" t="s">
        <v>15799</v>
      </c>
      <c r="I8468" t="s">
        <v>6373</v>
      </c>
      <c r="J8468" t="s">
        <v>31997</v>
      </c>
      <c r="K8468" t="s">
        <v>40672</v>
      </c>
      <c r="M8468" t="s">
        <v>43644</v>
      </c>
      <c r="N8468" t="s">
        <v>44905</v>
      </c>
      <c r="O8468" t="s">
        <v>44906</v>
      </c>
      <c r="P8468">
        <v>0</v>
      </c>
      <c r="Q8468">
        <v>2</v>
      </c>
      <c r="R8468" t="s">
        <v>44911</v>
      </c>
      <c r="S8468" t="s">
        <v>45139</v>
      </c>
      <c r="T8468" t="s">
        <v>46454</v>
      </c>
      <c r="U8468" t="s">
        <v>53719</v>
      </c>
      <c r="V8468" t="s">
        <v>59887</v>
      </c>
      <c r="W8468" t="s">
        <v>43644</v>
      </c>
      <c r="X8468" t="s">
        <v>44922</v>
      </c>
    </row>
    <row r="8469" spans="1:24">
      <c r="A8469">
        <f>HYPERLINK("https://www.philgeps.gov.ph/GEPSNONPILOT/Tender/SplashBidNoticeAbstractUI.aspx?menuIndex=3&amp;refID=7058174&amp;Result=3","7058174")</f>
        <v>0</v>
      </c>
      <c r="B8469" t="s">
        <v>396</v>
      </c>
      <c r="C8469" t="s">
        <v>11600</v>
      </c>
      <c r="D8469" t="s">
        <v>18155</v>
      </c>
      <c r="E8469" t="s">
        <v>25633</v>
      </c>
      <c r="F8469" t="s">
        <v>31362</v>
      </c>
      <c r="G8469" t="s">
        <v>31369</v>
      </c>
      <c r="H8469" t="s">
        <v>31378</v>
      </c>
      <c r="I8469" t="s">
        <v>31386</v>
      </c>
      <c r="J8469" t="s">
        <v>31734</v>
      </c>
      <c r="K8469" t="s">
        <v>40817</v>
      </c>
      <c r="M8469" t="s">
        <v>43643</v>
      </c>
      <c r="N8469" t="s">
        <v>44905</v>
      </c>
      <c r="O8469" t="s">
        <v>44906</v>
      </c>
      <c r="P8469">
        <v>0</v>
      </c>
      <c r="Q8469">
        <v>0</v>
      </c>
      <c r="R8469" t="s">
        <v>44911</v>
      </c>
      <c r="S8469" t="s">
        <v>45139</v>
      </c>
      <c r="T8469" t="s">
        <v>46454</v>
      </c>
      <c r="U8469" t="s">
        <v>53717</v>
      </c>
      <c r="W8469" t="s">
        <v>43643</v>
      </c>
      <c r="X8469" t="s">
        <v>44920</v>
      </c>
    </row>
    <row r="8470" spans="1:24">
      <c r="A8470">
        <f>HYPERLINK("https://www.philgeps.gov.ph/GEPSNONPILOT/Tender/SplashBidNoticeAbstractUI.aspx?menuIndex=3&amp;refID=7076026&amp;Result=3","7076026")</f>
        <v>0</v>
      </c>
      <c r="B8470" t="s">
        <v>2480</v>
      </c>
      <c r="C8470" t="s">
        <v>11601</v>
      </c>
      <c r="D8470" t="s">
        <v>18137</v>
      </c>
      <c r="E8470" t="s">
        <v>18514</v>
      </c>
      <c r="F8470" t="s">
        <v>31362</v>
      </c>
      <c r="G8470" t="s">
        <v>31369</v>
      </c>
      <c r="H8470" t="s">
        <v>15799</v>
      </c>
      <c r="I8470" t="s">
        <v>3815</v>
      </c>
      <c r="J8470" t="s">
        <v>36695</v>
      </c>
      <c r="K8470" t="s">
        <v>40661</v>
      </c>
      <c r="M8470" t="s">
        <v>43645</v>
      </c>
      <c r="N8470" t="s">
        <v>44905</v>
      </c>
      <c r="O8470" t="s">
        <v>44906</v>
      </c>
      <c r="P8470">
        <v>0</v>
      </c>
      <c r="Q8470">
        <v>0</v>
      </c>
      <c r="R8470" t="s">
        <v>44910</v>
      </c>
      <c r="S8470" t="s">
        <v>45076</v>
      </c>
      <c r="T8470" t="s">
        <v>46447</v>
      </c>
      <c r="U8470" t="s">
        <v>53720</v>
      </c>
      <c r="W8470" t="s">
        <v>43645</v>
      </c>
      <c r="X8470" t="s">
        <v>44911</v>
      </c>
    </row>
    <row r="8471" spans="1:24">
      <c r="A8471">
        <f>HYPERLINK("https://www.philgeps.gov.ph/GEPSNONPILOT/Tender/SplashBidNoticeAbstractUI.aspx?menuIndex=3&amp;refID=7052583&amp;Result=3","7052583")</f>
        <v>0</v>
      </c>
      <c r="B8471" t="s">
        <v>2481</v>
      </c>
      <c r="C8471" t="s">
        <v>11602</v>
      </c>
      <c r="D8471" t="s">
        <v>18112</v>
      </c>
      <c r="E8471" t="s">
        <v>21658</v>
      </c>
      <c r="F8471" t="s">
        <v>31362</v>
      </c>
      <c r="G8471" t="s">
        <v>31369</v>
      </c>
      <c r="H8471" t="s">
        <v>15799</v>
      </c>
      <c r="I8471" t="s">
        <v>31385</v>
      </c>
      <c r="J8471" t="s">
        <v>36696</v>
      </c>
      <c r="K8471" t="s">
        <v>40672</v>
      </c>
      <c r="M8471" t="s">
        <v>43646</v>
      </c>
      <c r="N8471" t="s">
        <v>44905</v>
      </c>
      <c r="O8471" t="s">
        <v>44906</v>
      </c>
      <c r="P8471">
        <v>0</v>
      </c>
      <c r="Q8471">
        <v>1</v>
      </c>
      <c r="R8471" t="s">
        <v>44911</v>
      </c>
      <c r="S8471" t="s">
        <v>45139</v>
      </c>
      <c r="T8471" t="s">
        <v>46438</v>
      </c>
      <c r="U8471" t="s">
        <v>53721</v>
      </c>
      <c r="W8471" t="s">
        <v>43646</v>
      </c>
      <c r="X8471" t="s">
        <v>44923</v>
      </c>
    </row>
    <row r="8472" spans="1:24">
      <c r="A8472">
        <f>HYPERLINK("https://www.philgeps.gov.ph/GEPSNONPILOT/Tender/SplashBidNoticeAbstractUI.aspx?menuIndex=3&amp;refID=7058157&amp;Result=3","7058157")</f>
        <v>0</v>
      </c>
      <c r="B8472" t="s">
        <v>396</v>
      </c>
      <c r="C8472" t="s">
        <v>11603</v>
      </c>
      <c r="D8472" t="s">
        <v>18155</v>
      </c>
      <c r="E8472" t="s">
        <v>25634</v>
      </c>
      <c r="F8472" t="s">
        <v>31362</v>
      </c>
      <c r="G8472" t="s">
        <v>31369</v>
      </c>
      <c r="H8472" t="s">
        <v>31378</v>
      </c>
      <c r="I8472" t="s">
        <v>31386</v>
      </c>
      <c r="J8472" t="s">
        <v>36697</v>
      </c>
      <c r="K8472" t="s">
        <v>40711</v>
      </c>
      <c r="M8472" t="s">
        <v>43643</v>
      </c>
      <c r="N8472" t="s">
        <v>44905</v>
      </c>
      <c r="O8472" t="s">
        <v>44906</v>
      </c>
      <c r="P8472">
        <v>0</v>
      </c>
      <c r="Q8472">
        <v>0</v>
      </c>
      <c r="R8472" t="s">
        <v>44911</v>
      </c>
      <c r="S8472" t="s">
        <v>45139</v>
      </c>
      <c r="T8472" t="s">
        <v>46454</v>
      </c>
      <c r="U8472" t="s">
        <v>53717</v>
      </c>
      <c r="W8472" t="s">
        <v>43643</v>
      </c>
      <c r="X8472" t="s">
        <v>44920</v>
      </c>
    </row>
    <row r="8473" spans="1:24">
      <c r="A8473">
        <f>HYPERLINK("https://www.philgeps.gov.ph/GEPSNONPILOT/Tender/SplashBidNoticeAbstractUI.aspx?menuIndex=3&amp;refID=7044009&amp;Result=3","7044009")</f>
        <v>0</v>
      </c>
      <c r="B8473" t="s">
        <v>183</v>
      </c>
      <c r="C8473" t="s">
        <v>11604</v>
      </c>
      <c r="D8473" t="s">
        <v>18129</v>
      </c>
      <c r="E8473" t="s">
        <v>25635</v>
      </c>
      <c r="F8473" t="s">
        <v>31362</v>
      </c>
      <c r="G8473" t="s">
        <v>31369</v>
      </c>
      <c r="H8473" t="s">
        <v>31378</v>
      </c>
      <c r="I8473" t="s">
        <v>31386</v>
      </c>
      <c r="J8473" t="s">
        <v>31625</v>
      </c>
      <c r="K8473" t="s">
        <v>40694</v>
      </c>
      <c r="M8473" t="s">
        <v>41121</v>
      </c>
      <c r="N8473" t="s">
        <v>44905</v>
      </c>
      <c r="O8473" t="s">
        <v>44906</v>
      </c>
      <c r="P8473">
        <v>0</v>
      </c>
      <c r="Q8473">
        <v>0</v>
      </c>
      <c r="R8473" t="s">
        <v>44911</v>
      </c>
      <c r="S8473" t="s">
        <v>45139</v>
      </c>
      <c r="T8473" t="s">
        <v>46433</v>
      </c>
      <c r="U8473" t="s">
        <v>53722</v>
      </c>
      <c r="W8473" t="s">
        <v>41121</v>
      </c>
      <c r="X8473" t="s">
        <v>44926</v>
      </c>
    </row>
    <row r="8474" spans="1:24">
      <c r="A8474">
        <f>HYPERLINK("https://www.philgeps.gov.ph/GEPSNONPILOT/Tender/SplashBidNoticeAbstractUI.aspx?menuIndex=3&amp;refID=7044007&amp;Result=3","7044007")</f>
        <v>0</v>
      </c>
      <c r="B8474" t="s">
        <v>183</v>
      </c>
      <c r="C8474" t="s">
        <v>11605</v>
      </c>
      <c r="D8474" t="s">
        <v>18129</v>
      </c>
      <c r="E8474" t="s">
        <v>25636</v>
      </c>
      <c r="F8474" t="s">
        <v>31362</v>
      </c>
      <c r="G8474" t="s">
        <v>31369</v>
      </c>
      <c r="H8474" t="s">
        <v>31378</v>
      </c>
      <c r="I8474" t="s">
        <v>31386</v>
      </c>
      <c r="J8474" t="s">
        <v>31606</v>
      </c>
      <c r="K8474" t="s">
        <v>40679</v>
      </c>
      <c r="M8474" t="s">
        <v>41121</v>
      </c>
      <c r="N8474" t="s">
        <v>44905</v>
      </c>
      <c r="O8474" t="s">
        <v>44906</v>
      </c>
      <c r="P8474">
        <v>0</v>
      </c>
      <c r="Q8474">
        <v>0</v>
      </c>
      <c r="R8474" t="s">
        <v>44911</v>
      </c>
      <c r="S8474" t="s">
        <v>45139</v>
      </c>
      <c r="T8474" t="s">
        <v>46433</v>
      </c>
      <c r="U8474" t="s">
        <v>53723</v>
      </c>
      <c r="W8474" t="s">
        <v>41121</v>
      </c>
      <c r="X8474" t="s">
        <v>44926</v>
      </c>
    </row>
    <row r="8475" spans="1:24">
      <c r="A8475">
        <f>HYPERLINK("https://www.philgeps.gov.ph/GEPSNONPILOT/Tender/SplashBidNoticeAbstractUI.aspx?menuIndex=3&amp;refID=7053593&amp;Result=3","7053593")</f>
        <v>0</v>
      </c>
      <c r="B8475" t="s">
        <v>2482</v>
      </c>
      <c r="C8475" t="s">
        <v>11606</v>
      </c>
      <c r="D8475" t="s">
        <v>18139</v>
      </c>
      <c r="E8475" t="s">
        <v>25637</v>
      </c>
      <c r="F8475" t="s">
        <v>31362</v>
      </c>
      <c r="G8475" t="s">
        <v>31369</v>
      </c>
      <c r="H8475" t="s">
        <v>15799</v>
      </c>
      <c r="I8475" t="s">
        <v>3815</v>
      </c>
      <c r="J8475" t="s">
        <v>36698</v>
      </c>
      <c r="K8475" t="s">
        <v>40670</v>
      </c>
      <c r="M8475" t="s">
        <v>43647</v>
      </c>
      <c r="N8475" t="s">
        <v>44905</v>
      </c>
      <c r="O8475" t="s">
        <v>44906</v>
      </c>
      <c r="P8475">
        <v>0</v>
      </c>
      <c r="Q8475">
        <v>3</v>
      </c>
      <c r="R8475" t="s">
        <v>44911</v>
      </c>
      <c r="S8475" t="s">
        <v>45139</v>
      </c>
      <c r="T8475" t="s">
        <v>46778</v>
      </c>
      <c r="U8475" t="s">
        <v>53724</v>
      </c>
      <c r="V8475" t="s">
        <v>59888</v>
      </c>
      <c r="W8475" t="s">
        <v>43647</v>
      </c>
      <c r="X8475" t="s">
        <v>44922</v>
      </c>
    </row>
    <row r="8476" spans="1:24">
      <c r="A8476">
        <f>HYPERLINK("https://www.philgeps.gov.ph/GEPSNONPILOT/Tender/SplashBidNoticeAbstractUI.aspx?menuIndex=3&amp;refID=7044012&amp;Result=3","7044012")</f>
        <v>0</v>
      </c>
      <c r="B8476" t="s">
        <v>183</v>
      </c>
      <c r="C8476" t="s">
        <v>11607</v>
      </c>
      <c r="D8476" t="s">
        <v>18129</v>
      </c>
      <c r="E8476" t="s">
        <v>25638</v>
      </c>
      <c r="F8476" t="s">
        <v>31362</v>
      </c>
      <c r="G8476" t="s">
        <v>31369</v>
      </c>
      <c r="H8476" t="s">
        <v>31378</v>
      </c>
      <c r="I8476" t="s">
        <v>31386</v>
      </c>
      <c r="J8476" t="s">
        <v>31625</v>
      </c>
      <c r="K8476" t="s">
        <v>40694</v>
      </c>
      <c r="M8476" t="s">
        <v>41121</v>
      </c>
      <c r="N8476" t="s">
        <v>44905</v>
      </c>
      <c r="O8476" t="s">
        <v>44906</v>
      </c>
      <c r="P8476">
        <v>0</v>
      </c>
      <c r="Q8476">
        <v>0</v>
      </c>
      <c r="R8476" t="s">
        <v>44911</v>
      </c>
      <c r="S8476" t="s">
        <v>45139</v>
      </c>
      <c r="T8476" t="s">
        <v>46433</v>
      </c>
      <c r="U8476" t="s">
        <v>53725</v>
      </c>
      <c r="W8476" t="s">
        <v>41121</v>
      </c>
      <c r="X8476" t="s">
        <v>44926</v>
      </c>
    </row>
    <row r="8477" spans="1:24">
      <c r="A8477">
        <f>HYPERLINK("https://www.philgeps.gov.ph/GEPSNONPILOT/Tender/SplashBidNoticeAbstractUI.aspx?menuIndex=3&amp;refID=7030076&amp;Result=3","7030076")</f>
        <v>0</v>
      </c>
      <c r="B8477" t="s">
        <v>246</v>
      </c>
      <c r="C8477" t="s">
        <v>11608</v>
      </c>
      <c r="D8477" t="s">
        <v>18104</v>
      </c>
      <c r="E8477" t="s">
        <v>25639</v>
      </c>
      <c r="F8477" t="s">
        <v>31362</v>
      </c>
      <c r="G8477" t="s">
        <v>31369</v>
      </c>
      <c r="H8477" t="s">
        <v>15799</v>
      </c>
      <c r="I8477" t="s">
        <v>31409</v>
      </c>
      <c r="J8477" t="s">
        <v>36699</v>
      </c>
      <c r="K8477" t="s">
        <v>40675</v>
      </c>
      <c r="M8477" t="s">
        <v>41185</v>
      </c>
      <c r="N8477" t="s">
        <v>44905</v>
      </c>
      <c r="O8477" t="s">
        <v>44906</v>
      </c>
      <c r="P8477">
        <v>0</v>
      </c>
      <c r="Q8477">
        <v>8</v>
      </c>
      <c r="R8477" t="s">
        <v>44911</v>
      </c>
      <c r="S8477" t="s">
        <v>45139</v>
      </c>
      <c r="T8477" t="s">
        <v>46411</v>
      </c>
      <c r="U8477" t="s">
        <v>53726</v>
      </c>
      <c r="W8477" t="s">
        <v>60841</v>
      </c>
      <c r="X8477" t="s">
        <v>44935</v>
      </c>
    </row>
    <row r="8478" spans="1:24">
      <c r="A8478">
        <f>HYPERLINK("https://www.philgeps.gov.ph/GEPSNONPILOT/Tender/SplashBidNoticeAbstractUI.aspx?menuIndex=3&amp;refID=6987014&amp;Result=3","6987014")</f>
        <v>0</v>
      </c>
      <c r="B8478" t="s">
        <v>1311</v>
      </c>
      <c r="C8478" t="s">
        <v>11609</v>
      </c>
      <c r="D8478" t="s">
        <v>18156</v>
      </c>
      <c r="E8478" t="s">
        <v>19465</v>
      </c>
      <c r="F8478" t="s">
        <v>31362</v>
      </c>
      <c r="G8478" t="s">
        <v>31369</v>
      </c>
      <c r="H8478" t="s">
        <v>15799</v>
      </c>
      <c r="I8478" t="s">
        <v>4283</v>
      </c>
      <c r="J8478" t="s">
        <v>36700</v>
      </c>
      <c r="K8478" t="s">
        <v>40666</v>
      </c>
      <c r="M8478" t="s">
        <v>42329</v>
      </c>
      <c r="N8478" t="s">
        <v>44905</v>
      </c>
      <c r="O8478" t="s">
        <v>44906</v>
      </c>
      <c r="P8478">
        <v>0</v>
      </c>
      <c r="Q8478">
        <v>14</v>
      </c>
      <c r="R8478" t="s">
        <v>44911</v>
      </c>
      <c r="S8478" t="s">
        <v>45139</v>
      </c>
      <c r="T8478" t="s">
        <v>46671</v>
      </c>
      <c r="U8478" t="s">
        <v>53727</v>
      </c>
      <c r="V8478" t="s">
        <v>59889</v>
      </c>
      <c r="W8478" t="s">
        <v>42329</v>
      </c>
      <c r="X8478" t="s">
        <v>44951</v>
      </c>
    </row>
    <row r="8479" spans="1:24">
      <c r="A8479">
        <f>HYPERLINK("https://www.philgeps.gov.ph/GEPSNONPILOT/Tender/SplashBidNoticeAbstractUI.aspx?menuIndex=3&amp;refID=7076020&amp;Result=3","7076020")</f>
        <v>0</v>
      </c>
      <c r="B8479" t="s">
        <v>555</v>
      </c>
      <c r="C8479" t="s">
        <v>11610</v>
      </c>
      <c r="D8479" t="s">
        <v>18148</v>
      </c>
      <c r="E8479" t="s">
        <v>25640</v>
      </c>
      <c r="F8479" t="s">
        <v>31362</v>
      </c>
      <c r="G8479" t="s">
        <v>31369</v>
      </c>
      <c r="H8479" t="s">
        <v>15799</v>
      </c>
      <c r="I8479" t="s">
        <v>31422</v>
      </c>
      <c r="J8479" t="s">
        <v>36701</v>
      </c>
      <c r="K8479" t="s">
        <v>40665</v>
      </c>
      <c r="M8479" t="s">
        <v>43627</v>
      </c>
      <c r="N8479" t="s">
        <v>44905</v>
      </c>
      <c r="O8479" t="s">
        <v>44906</v>
      </c>
      <c r="P8479">
        <v>0</v>
      </c>
      <c r="Q8479">
        <v>7</v>
      </c>
      <c r="R8479" t="s">
        <v>44910</v>
      </c>
      <c r="S8479" t="s">
        <v>45076</v>
      </c>
      <c r="T8479" t="s">
        <v>46671</v>
      </c>
      <c r="U8479" t="s">
        <v>53665</v>
      </c>
      <c r="W8479" t="s">
        <v>43627</v>
      </c>
      <c r="X8479" t="s">
        <v>44911</v>
      </c>
    </row>
    <row r="8480" spans="1:24">
      <c r="A8480">
        <f>HYPERLINK("https://www.philgeps.gov.ph/GEPSNONPILOT/Tender/SplashBidNoticeAbstractUI.aspx?menuIndex=3&amp;refID=7009730&amp;Result=3","7009730")</f>
        <v>0</v>
      </c>
      <c r="B8480" t="s">
        <v>2476</v>
      </c>
      <c r="C8480" t="s">
        <v>11611</v>
      </c>
      <c r="D8480" t="s">
        <v>18177</v>
      </c>
      <c r="E8480" t="s">
        <v>18203</v>
      </c>
      <c r="F8480" t="s">
        <v>31362</v>
      </c>
      <c r="G8480" t="s">
        <v>31369</v>
      </c>
      <c r="H8480" t="s">
        <v>15799</v>
      </c>
      <c r="I8480" t="s">
        <v>3815</v>
      </c>
      <c r="J8480" t="s">
        <v>36702</v>
      </c>
      <c r="K8480" t="s">
        <v>40665</v>
      </c>
      <c r="M8480" t="s">
        <v>43639</v>
      </c>
      <c r="N8480" t="s">
        <v>44905</v>
      </c>
      <c r="O8480" t="s">
        <v>44906</v>
      </c>
      <c r="P8480">
        <v>0</v>
      </c>
      <c r="Q8480">
        <v>0</v>
      </c>
      <c r="R8480" t="s">
        <v>44911</v>
      </c>
      <c r="S8480" t="s">
        <v>45139</v>
      </c>
      <c r="T8480" t="s">
        <v>46573</v>
      </c>
      <c r="U8480" t="s">
        <v>53728</v>
      </c>
      <c r="W8480" t="s">
        <v>43639</v>
      </c>
      <c r="X8480" t="s">
        <v>44944</v>
      </c>
    </row>
    <row r="8481" spans="1:24">
      <c r="A8481">
        <f>HYPERLINK("https://www.philgeps.gov.ph/GEPSNONPILOT/Tender/SplashBidNoticeAbstractUI.aspx?menuIndex=3&amp;refID=7075974&amp;Result=3","7075974")</f>
        <v>0</v>
      </c>
      <c r="B8481" t="s">
        <v>1967</v>
      </c>
      <c r="C8481" t="s">
        <v>11612</v>
      </c>
      <c r="D8481" t="s">
        <v>18108</v>
      </c>
      <c r="E8481" t="s">
        <v>25641</v>
      </c>
      <c r="F8481" t="s">
        <v>31362</v>
      </c>
      <c r="G8481" t="s">
        <v>31369</v>
      </c>
      <c r="H8481" t="s">
        <v>15799</v>
      </c>
      <c r="I8481" t="s">
        <v>31393</v>
      </c>
      <c r="J8481" t="s">
        <v>36703</v>
      </c>
      <c r="K8481" t="s">
        <v>40682</v>
      </c>
      <c r="M8481" t="s">
        <v>43073</v>
      </c>
      <c r="N8481" t="s">
        <v>44905</v>
      </c>
      <c r="O8481" t="s">
        <v>44906</v>
      </c>
      <c r="P8481">
        <v>0</v>
      </c>
      <c r="Q8481">
        <v>11</v>
      </c>
      <c r="R8481" t="s">
        <v>44910</v>
      </c>
      <c r="S8481" t="s">
        <v>45076</v>
      </c>
      <c r="T8481" t="s">
        <v>46616</v>
      </c>
      <c r="U8481" t="s">
        <v>53729</v>
      </c>
      <c r="W8481" t="s">
        <v>43073</v>
      </c>
      <c r="X8481" t="s">
        <v>44911</v>
      </c>
    </row>
    <row r="8482" spans="1:24">
      <c r="A8482">
        <f>HYPERLINK("https://www.philgeps.gov.ph/GEPSNONPILOT/Tender/SplashBidNoticeAbstractUI.aspx?menuIndex=3&amp;refID=7075972&amp;Result=3","7075972")</f>
        <v>0</v>
      </c>
      <c r="B8482" t="s">
        <v>370</v>
      </c>
      <c r="C8482" t="s">
        <v>11613</v>
      </c>
      <c r="E8482" t="s">
        <v>25642</v>
      </c>
      <c r="F8482" t="s">
        <v>31362</v>
      </c>
      <c r="G8482" t="s">
        <v>31369</v>
      </c>
      <c r="H8482" t="s">
        <v>15799</v>
      </c>
      <c r="I8482" t="s">
        <v>31382</v>
      </c>
      <c r="J8482" t="s">
        <v>31606</v>
      </c>
      <c r="K8482" t="s">
        <v>40662</v>
      </c>
      <c r="M8482" t="s">
        <v>43619</v>
      </c>
      <c r="N8482" t="s">
        <v>44905</v>
      </c>
      <c r="O8482" t="s">
        <v>44906</v>
      </c>
      <c r="Q8482">
        <v>3</v>
      </c>
      <c r="R8482" t="s">
        <v>44910</v>
      </c>
      <c r="S8482" t="s">
        <v>45077</v>
      </c>
      <c r="T8482" t="s">
        <v>46555</v>
      </c>
      <c r="U8482" t="s">
        <v>53555</v>
      </c>
      <c r="V8482" t="s">
        <v>59862</v>
      </c>
      <c r="W8482" t="s">
        <v>43619</v>
      </c>
      <c r="X8482" t="s">
        <v>44911</v>
      </c>
    </row>
    <row r="8483" spans="1:24">
      <c r="A8483">
        <f>HYPERLINK("https://www.philgeps.gov.ph/GEPSNONPILOT/Tender/SplashBidNoticeAbstractUI.aspx?menuIndex=3&amp;refID=7053195&amp;Result=3","7053195")</f>
        <v>0</v>
      </c>
      <c r="B8483" t="s">
        <v>2483</v>
      </c>
      <c r="C8483" t="s">
        <v>3545</v>
      </c>
      <c r="D8483" t="s">
        <v>18105</v>
      </c>
      <c r="E8483" t="s">
        <v>25643</v>
      </c>
      <c r="F8483" t="s">
        <v>31362</v>
      </c>
      <c r="G8483" t="s">
        <v>31369</v>
      </c>
      <c r="H8483" t="s">
        <v>31378</v>
      </c>
      <c r="I8483" t="s">
        <v>31386</v>
      </c>
      <c r="J8483" t="s">
        <v>32423</v>
      </c>
      <c r="K8483" t="s">
        <v>40667</v>
      </c>
      <c r="M8483" t="s">
        <v>43648</v>
      </c>
      <c r="N8483" t="s">
        <v>44905</v>
      </c>
      <c r="O8483" t="s">
        <v>44906</v>
      </c>
      <c r="P8483">
        <v>0</v>
      </c>
      <c r="Q8483">
        <v>0</v>
      </c>
      <c r="R8483" t="s">
        <v>44911</v>
      </c>
      <c r="S8483" t="s">
        <v>45139</v>
      </c>
      <c r="T8483" t="s">
        <v>46409</v>
      </c>
      <c r="U8483" t="s">
        <v>53730</v>
      </c>
      <c r="W8483" t="s">
        <v>43648</v>
      </c>
      <c r="X8483" t="s">
        <v>44922</v>
      </c>
    </row>
    <row r="8484" spans="1:24">
      <c r="A8484">
        <f>HYPERLINK("https://www.philgeps.gov.ph/GEPSNONPILOT/Tender/SplashBidNoticeAbstractUI.aspx?menuIndex=3&amp;refID=7075971&amp;Result=3","7075971")</f>
        <v>0</v>
      </c>
      <c r="B8484" t="s">
        <v>438</v>
      </c>
      <c r="C8484" t="s">
        <v>11614</v>
      </c>
      <c r="D8484" t="s">
        <v>18159</v>
      </c>
      <c r="E8484" t="s">
        <v>25644</v>
      </c>
      <c r="F8484" t="s">
        <v>31362</v>
      </c>
      <c r="G8484" t="s">
        <v>31369</v>
      </c>
      <c r="H8484" t="s">
        <v>31378</v>
      </c>
      <c r="I8484" t="s">
        <v>31386</v>
      </c>
      <c r="J8484" t="s">
        <v>36704</v>
      </c>
      <c r="K8484" t="s">
        <v>40665</v>
      </c>
      <c r="M8484" t="s">
        <v>41390</v>
      </c>
      <c r="N8484" t="s">
        <v>44905</v>
      </c>
      <c r="O8484" t="s">
        <v>44906</v>
      </c>
      <c r="P8484">
        <v>0</v>
      </c>
      <c r="Q8484">
        <v>0</v>
      </c>
      <c r="R8484" t="s">
        <v>44910</v>
      </c>
      <c r="S8484" t="s">
        <v>45076</v>
      </c>
      <c r="T8484" t="s">
        <v>46559</v>
      </c>
      <c r="U8484" t="s">
        <v>53731</v>
      </c>
      <c r="W8484" t="s">
        <v>41390</v>
      </c>
      <c r="X8484" t="s">
        <v>44911</v>
      </c>
    </row>
    <row r="8485" spans="1:24">
      <c r="A8485">
        <f>HYPERLINK("https://www.philgeps.gov.ph/GEPSNONPILOT/Tender/SplashBidNoticeAbstractUI.aspx?menuIndex=3&amp;refID=7075967&amp;Result=3","7075967")</f>
        <v>0</v>
      </c>
      <c r="B8485" t="s">
        <v>555</v>
      </c>
      <c r="C8485" t="s">
        <v>11615</v>
      </c>
      <c r="D8485" t="s">
        <v>18148</v>
      </c>
      <c r="E8485" t="s">
        <v>25645</v>
      </c>
      <c r="F8485" t="s">
        <v>31362</v>
      </c>
      <c r="G8485" t="s">
        <v>31369</v>
      </c>
      <c r="H8485" t="s">
        <v>31378</v>
      </c>
      <c r="I8485" t="s">
        <v>31386</v>
      </c>
      <c r="J8485" t="s">
        <v>36705</v>
      </c>
      <c r="K8485" t="s">
        <v>40691</v>
      </c>
      <c r="M8485" t="s">
        <v>43627</v>
      </c>
      <c r="N8485" t="s">
        <v>44905</v>
      </c>
      <c r="O8485" t="s">
        <v>44906</v>
      </c>
      <c r="P8485">
        <v>0</v>
      </c>
      <c r="Q8485">
        <v>1</v>
      </c>
      <c r="R8485" t="s">
        <v>44910</v>
      </c>
      <c r="S8485" t="s">
        <v>45076</v>
      </c>
      <c r="T8485" t="s">
        <v>46671</v>
      </c>
      <c r="U8485" t="s">
        <v>53665</v>
      </c>
      <c r="W8485" t="s">
        <v>43627</v>
      </c>
      <c r="X8485" t="s">
        <v>44911</v>
      </c>
    </row>
    <row r="8486" spans="1:24">
      <c r="A8486">
        <f>HYPERLINK("https://www.philgeps.gov.ph/GEPSNONPILOT/Tender/SplashBidNoticeAbstractUI.aspx?menuIndex=3&amp;refID=7075975&amp;Result=3","7075975")</f>
        <v>0</v>
      </c>
      <c r="B8486" t="s">
        <v>555</v>
      </c>
      <c r="C8486" t="s">
        <v>11616</v>
      </c>
      <c r="D8486" t="s">
        <v>18148</v>
      </c>
      <c r="E8486" t="s">
        <v>25646</v>
      </c>
      <c r="F8486" t="s">
        <v>31362</v>
      </c>
      <c r="G8486" t="s">
        <v>31369</v>
      </c>
      <c r="H8486" t="s">
        <v>31378</v>
      </c>
      <c r="I8486" t="s">
        <v>31386</v>
      </c>
      <c r="J8486" t="s">
        <v>36706</v>
      </c>
      <c r="K8486" t="s">
        <v>40679</v>
      </c>
      <c r="M8486" t="s">
        <v>43627</v>
      </c>
      <c r="N8486" t="s">
        <v>44905</v>
      </c>
      <c r="O8486" t="s">
        <v>44906</v>
      </c>
      <c r="P8486">
        <v>0</v>
      </c>
      <c r="Q8486">
        <v>1</v>
      </c>
      <c r="R8486" t="s">
        <v>44910</v>
      </c>
      <c r="S8486" t="s">
        <v>45076</v>
      </c>
      <c r="T8486" t="s">
        <v>46671</v>
      </c>
      <c r="U8486" t="s">
        <v>53665</v>
      </c>
      <c r="W8486" t="s">
        <v>43627</v>
      </c>
      <c r="X8486" t="s">
        <v>44911</v>
      </c>
    </row>
    <row r="8487" spans="1:24">
      <c r="A8487">
        <f>HYPERLINK("https://www.philgeps.gov.ph/GEPSNONPILOT/Tender/SplashBidNoticeAbstractUI.aspx?menuIndex=3&amp;refID=7058176&amp;Result=3","7058176")</f>
        <v>0</v>
      </c>
      <c r="B8487" t="s">
        <v>396</v>
      </c>
      <c r="C8487" t="s">
        <v>11617</v>
      </c>
      <c r="D8487" t="s">
        <v>18155</v>
      </c>
      <c r="E8487" t="s">
        <v>25647</v>
      </c>
      <c r="F8487" t="s">
        <v>31362</v>
      </c>
      <c r="G8487" t="s">
        <v>31369</v>
      </c>
      <c r="H8487" t="s">
        <v>31378</v>
      </c>
      <c r="I8487" t="s">
        <v>31386</v>
      </c>
      <c r="J8487" t="s">
        <v>36707</v>
      </c>
      <c r="K8487" t="s">
        <v>40676</v>
      </c>
      <c r="M8487" t="s">
        <v>43643</v>
      </c>
      <c r="N8487" t="s">
        <v>44905</v>
      </c>
      <c r="O8487" t="s">
        <v>44906</v>
      </c>
      <c r="P8487">
        <v>0</v>
      </c>
      <c r="Q8487">
        <v>0</v>
      </c>
      <c r="R8487" t="s">
        <v>44911</v>
      </c>
      <c r="S8487" t="s">
        <v>45139</v>
      </c>
      <c r="T8487" t="s">
        <v>46454</v>
      </c>
      <c r="U8487" t="s">
        <v>53717</v>
      </c>
      <c r="W8487" t="s">
        <v>43643</v>
      </c>
      <c r="X8487" t="s">
        <v>44920</v>
      </c>
    </row>
    <row r="8488" spans="1:24">
      <c r="A8488">
        <f>HYPERLINK("https://www.philgeps.gov.ph/GEPSNONPILOT/Tender/SplashBidNoticeAbstractUI.aspx?menuIndex=3&amp;refID=7075936&amp;Result=3","7075936")</f>
        <v>0</v>
      </c>
      <c r="B8488" t="s">
        <v>2456</v>
      </c>
      <c r="C8488" t="s">
        <v>11618</v>
      </c>
      <c r="D8488" t="s">
        <v>18138</v>
      </c>
      <c r="E8488" t="s">
        <v>25648</v>
      </c>
      <c r="F8488" t="s">
        <v>31362</v>
      </c>
      <c r="G8488" t="s">
        <v>31369</v>
      </c>
      <c r="H8488" t="s">
        <v>15799</v>
      </c>
      <c r="I8488" t="s">
        <v>3815</v>
      </c>
      <c r="J8488" t="s">
        <v>36708</v>
      </c>
      <c r="K8488" t="s">
        <v>40662</v>
      </c>
      <c r="M8488" t="s">
        <v>43615</v>
      </c>
      <c r="N8488" t="s">
        <v>44905</v>
      </c>
      <c r="O8488" t="s">
        <v>44906</v>
      </c>
      <c r="P8488">
        <v>0</v>
      </c>
      <c r="Q8488">
        <v>0</v>
      </c>
      <c r="R8488" t="s">
        <v>44910</v>
      </c>
      <c r="S8488" t="s">
        <v>45076</v>
      </c>
      <c r="T8488" t="s">
        <v>46460</v>
      </c>
      <c r="U8488" t="s">
        <v>53732</v>
      </c>
      <c r="W8488" t="s">
        <v>43615</v>
      </c>
      <c r="X8488" t="s">
        <v>44911</v>
      </c>
    </row>
    <row r="8489" spans="1:24">
      <c r="A8489">
        <f>HYPERLINK("https://www.philgeps.gov.ph/GEPSNONPILOT/Tender/SplashBidNoticeAbstractUI.aspx?menuIndex=3&amp;refID=7075935&amp;Result=3","7075935")</f>
        <v>0</v>
      </c>
      <c r="B8489" t="s">
        <v>2415</v>
      </c>
      <c r="C8489" t="s">
        <v>11619</v>
      </c>
      <c r="D8489" t="s">
        <v>18180</v>
      </c>
      <c r="E8489" t="s">
        <v>25649</v>
      </c>
      <c r="F8489" t="s">
        <v>31362</v>
      </c>
      <c r="G8489" t="s">
        <v>31369</v>
      </c>
      <c r="H8489" t="s">
        <v>31378</v>
      </c>
      <c r="I8489" t="s">
        <v>31386</v>
      </c>
      <c r="J8489" t="s">
        <v>36709</v>
      </c>
      <c r="K8489" t="s">
        <v>40662</v>
      </c>
      <c r="M8489" t="s">
        <v>43570</v>
      </c>
      <c r="N8489" t="s">
        <v>44905</v>
      </c>
      <c r="O8489" t="s">
        <v>44906</v>
      </c>
      <c r="P8489">
        <v>0</v>
      </c>
      <c r="Q8489">
        <v>0</v>
      </c>
      <c r="R8489" t="s">
        <v>44910</v>
      </c>
      <c r="S8489" t="s">
        <v>45076</v>
      </c>
      <c r="T8489" t="s">
        <v>46419</v>
      </c>
      <c r="U8489" t="s">
        <v>53520</v>
      </c>
      <c r="W8489" t="s">
        <v>43570</v>
      </c>
      <c r="X8489" t="s">
        <v>44911</v>
      </c>
    </row>
    <row r="8490" spans="1:24">
      <c r="A8490">
        <f>HYPERLINK("https://www.philgeps.gov.ph/GEPSNONPILOT/Tender/SplashBidNoticeAbstractUI.aspx?menuIndex=3&amp;refID=7076024&amp;Result=3","7076024")</f>
        <v>0</v>
      </c>
      <c r="B8490" t="s">
        <v>555</v>
      </c>
      <c r="C8490" t="s">
        <v>11620</v>
      </c>
      <c r="D8490" t="s">
        <v>18148</v>
      </c>
      <c r="E8490" t="s">
        <v>25650</v>
      </c>
      <c r="F8490" t="s">
        <v>31362</v>
      </c>
      <c r="G8490" t="s">
        <v>31369</v>
      </c>
      <c r="H8490" t="s">
        <v>15799</v>
      </c>
      <c r="I8490" t="s">
        <v>31390</v>
      </c>
      <c r="J8490" t="s">
        <v>36710</v>
      </c>
      <c r="K8490" t="s">
        <v>40665</v>
      </c>
      <c r="M8490" t="s">
        <v>43627</v>
      </c>
      <c r="N8490" t="s">
        <v>44905</v>
      </c>
      <c r="O8490" t="s">
        <v>44906</v>
      </c>
      <c r="P8490">
        <v>0</v>
      </c>
      <c r="Q8490">
        <v>0</v>
      </c>
      <c r="R8490" t="s">
        <v>44910</v>
      </c>
      <c r="S8490" t="s">
        <v>45076</v>
      </c>
      <c r="T8490" t="s">
        <v>46671</v>
      </c>
      <c r="U8490" t="s">
        <v>53665</v>
      </c>
      <c r="W8490" t="s">
        <v>43627</v>
      </c>
      <c r="X8490" t="s">
        <v>44911</v>
      </c>
    </row>
    <row r="8491" spans="1:24">
      <c r="A8491">
        <f>HYPERLINK("https://www.philgeps.gov.ph/GEPSNONPILOT/Tender/SplashBidNoticeAbstractUI.aspx?menuIndex=3&amp;refID=7075933&amp;Result=3","7075933")</f>
        <v>0</v>
      </c>
      <c r="B8491" t="s">
        <v>2460</v>
      </c>
      <c r="C8491" t="s">
        <v>11621</v>
      </c>
      <c r="D8491" t="s">
        <v>18172</v>
      </c>
      <c r="E8491" t="s">
        <v>25651</v>
      </c>
      <c r="F8491" t="s">
        <v>31362</v>
      </c>
      <c r="G8491" t="s">
        <v>31368</v>
      </c>
      <c r="H8491" t="s">
        <v>15799</v>
      </c>
      <c r="I8491" t="s">
        <v>3815</v>
      </c>
      <c r="J8491" t="s">
        <v>36711</v>
      </c>
      <c r="K8491" t="s">
        <v>40693</v>
      </c>
      <c r="M8491" t="s">
        <v>43620</v>
      </c>
      <c r="N8491" t="s">
        <v>44905</v>
      </c>
      <c r="O8491" t="s">
        <v>44906</v>
      </c>
      <c r="P8491">
        <v>0</v>
      </c>
      <c r="Q8491">
        <v>0</v>
      </c>
      <c r="R8491" t="s">
        <v>44910</v>
      </c>
      <c r="S8491" t="s">
        <v>45076</v>
      </c>
      <c r="T8491" t="s">
        <v>46410</v>
      </c>
      <c r="U8491" t="s">
        <v>53733</v>
      </c>
      <c r="W8491" t="s">
        <v>43620</v>
      </c>
      <c r="X8491" t="s">
        <v>44911</v>
      </c>
    </row>
    <row r="8492" spans="1:24">
      <c r="A8492">
        <f>HYPERLINK("https://www.philgeps.gov.ph/GEPSNONPILOT/Tender/SplashBidNoticeAbstractUI.aspx?menuIndex=3&amp;refID=7075910&amp;Result=3","7075910")</f>
        <v>0</v>
      </c>
      <c r="B8492" t="s">
        <v>2456</v>
      </c>
      <c r="C8492" t="s">
        <v>11622</v>
      </c>
      <c r="D8492" t="s">
        <v>18138</v>
      </c>
      <c r="E8492" t="s">
        <v>25652</v>
      </c>
      <c r="F8492" t="s">
        <v>31362</v>
      </c>
      <c r="G8492" t="s">
        <v>31369</v>
      </c>
      <c r="H8492" t="s">
        <v>15799</v>
      </c>
      <c r="I8492" t="s">
        <v>31427</v>
      </c>
      <c r="J8492" t="s">
        <v>32016</v>
      </c>
      <c r="K8492" t="s">
        <v>40662</v>
      </c>
      <c r="M8492" t="s">
        <v>43615</v>
      </c>
      <c r="N8492" t="s">
        <v>44905</v>
      </c>
      <c r="O8492" t="s">
        <v>44906</v>
      </c>
      <c r="P8492">
        <v>0</v>
      </c>
      <c r="Q8492">
        <v>0</v>
      </c>
      <c r="R8492" t="s">
        <v>44910</v>
      </c>
      <c r="S8492" t="s">
        <v>45076</v>
      </c>
      <c r="T8492" t="s">
        <v>46460</v>
      </c>
      <c r="U8492" t="s">
        <v>53734</v>
      </c>
      <c r="W8492" t="s">
        <v>43615</v>
      </c>
      <c r="X8492" t="s">
        <v>44911</v>
      </c>
    </row>
    <row r="8493" spans="1:24">
      <c r="A8493">
        <f>HYPERLINK("https://www.philgeps.gov.ph/GEPSNONPILOT/Tender/SplashBidNoticeAbstractUI.aspx?menuIndex=3&amp;refID=7075907&amp;Result=3","7075907")</f>
        <v>0</v>
      </c>
      <c r="B8493" t="s">
        <v>1786</v>
      </c>
      <c r="C8493" t="s">
        <v>11623</v>
      </c>
      <c r="D8493" t="s">
        <v>18133</v>
      </c>
      <c r="E8493" t="s">
        <v>25653</v>
      </c>
      <c r="F8493" t="s">
        <v>31362</v>
      </c>
      <c r="G8493" t="s">
        <v>31369</v>
      </c>
      <c r="H8493" t="s">
        <v>31378</v>
      </c>
      <c r="I8493" t="s">
        <v>31386</v>
      </c>
      <c r="J8493" t="s">
        <v>36712</v>
      </c>
      <c r="K8493" t="s">
        <v>40847</v>
      </c>
      <c r="M8493" t="s">
        <v>42867</v>
      </c>
      <c r="N8493" t="s">
        <v>44905</v>
      </c>
      <c r="O8493" t="s">
        <v>44906</v>
      </c>
      <c r="P8493">
        <v>0</v>
      </c>
      <c r="Q8493">
        <v>1</v>
      </c>
      <c r="R8493" t="s">
        <v>44910</v>
      </c>
      <c r="S8493" t="s">
        <v>45076</v>
      </c>
      <c r="T8493" t="s">
        <v>46585</v>
      </c>
      <c r="U8493" t="s">
        <v>53660</v>
      </c>
      <c r="W8493" t="s">
        <v>42867</v>
      </c>
      <c r="X8493" t="s">
        <v>44911</v>
      </c>
    </row>
    <row r="8494" spans="1:24">
      <c r="A8494">
        <f>HYPERLINK("https://www.philgeps.gov.ph/GEPSNONPILOT/Tender/SplashBidNoticeAbstractUI.aspx?menuIndex=3&amp;refID=7075906&amp;Result=3","7075906")</f>
        <v>0</v>
      </c>
      <c r="B8494" t="s">
        <v>2416</v>
      </c>
      <c r="C8494" t="s">
        <v>11466</v>
      </c>
      <c r="D8494" t="s">
        <v>18153</v>
      </c>
      <c r="E8494" t="s">
        <v>19632</v>
      </c>
      <c r="F8494" t="s">
        <v>31362</v>
      </c>
      <c r="G8494" t="s">
        <v>31369</v>
      </c>
      <c r="H8494" t="s">
        <v>15799</v>
      </c>
      <c r="I8494" t="s">
        <v>31386</v>
      </c>
      <c r="J8494" t="s">
        <v>31637</v>
      </c>
      <c r="K8494" t="s">
        <v>40683</v>
      </c>
      <c r="M8494" t="s">
        <v>43571</v>
      </c>
      <c r="N8494" t="s">
        <v>44905</v>
      </c>
      <c r="O8494" t="s">
        <v>44906</v>
      </c>
      <c r="P8494">
        <v>0</v>
      </c>
      <c r="Q8494">
        <v>0</v>
      </c>
      <c r="R8494" t="s">
        <v>44910</v>
      </c>
      <c r="S8494" t="s">
        <v>45076</v>
      </c>
      <c r="T8494" t="s">
        <v>46419</v>
      </c>
      <c r="U8494" t="s">
        <v>53735</v>
      </c>
      <c r="V8494" t="s">
        <v>59890</v>
      </c>
      <c r="W8494" t="s">
        <v>43571</v>
      </c>
      <c r="X8494" t="s">
        <v>44911</v>
      </c>
    </row>
    <row r="8495" spans="1:24">
      <c r="A8495">
        <f>HYPERLINK("https://www.philgeps.gov.ph/GEPSNONPILOT/Tender/SplashBidNoticeAbstractUI.aspx?menuIndex=3&amp;refID=7075905&amp;Result=3","7075905")</f>
        <v>0</v>
      </c>
      <c r="B8495" t="s">
        <v>2484</v>
      </c>
      <c r="C8495" t="s">
        <v>11624</v>
      </c>
      <c r="D8495" t="s">
        <v>18110</v>
      </c>
      <c r="E8495" t="s">
        <v>25654</v>
      </c>
      <c r="F8495" t="s">
        <v>31362</v>
      </c>
      <c r="G8495" t="s">
        <v>31369</v>
      </c>
      <c r="H8495" t="s">
        <v>15799</v>
      </c>
      <c r="I8495" t="s">
        <v>4283</v>
      </c>
      <c r="J8495" t="s">
        <v>31536</v>
      </c>
      <c r="K8495" t="s">
        <v>40697</v>
      </c>
      <c r="M8495" t="s">
        <v>43649</v>
      </c>
      <c r="N8495" t="s">
        <v>44905</v>
      </c>
      <c r="O8495" t="s">
        <v>44906</v>
      </c>
      <c r="P8495">
        <v>0</v>
      </c>
      <c r="Q8495">
        <v>0</v>
      </c>
      <c r="R8495" t="s">
        <v>44910</v>
      </c>
      <c r="S8495" t="s">
        <v>45076</v>
      </c>
      <c r="T8495" t="s">
        <v>46416</v>
      </c>
      <c r="U8495" t="s">
        <v>53736</v>
      </c>
      <c r="W8495" t="s">
        <v>43649</v>
      </c>
      <c r="X8495" t="s">
        <v>44911</v>
      </c>
    </row>
    <row r="8496" spans="1:24">
      <c r="A8496">
        <f>HYPERLINK("https://www.philgeps.gov.ph/GEPSNONPILOT/Tender/SplashBidNoticeAbstractUI.aspx?menuIndex=3&amp;refID=7035276&amp;Result=3","7035276")</f>
        <v>0</v>
      </c>
      <c r="B8496" t="s">
        <v>2485</v>
      </c>
      <c r="C8496" t="s">
        <v>11625</v>
      </c>
      <c r="D8496" t="s">
        <v>18104</v>
      </c>
      <c r="E8496" t="s">
        <v>25655</v>
      </c>
      <c r="F8496" t="s">
        <v>31362</v>
      </c>
      <c r="G8496" t="s">
        <v>31369</v>
      </c>
      <c r="H8496" t="s">
        <v>15799</v>
      </c>
      <c r="I8496" t="s">
        <v>31508</v>
      </c>
      <c r="J8496" t="s">
        <v>36713</v>
      </c>
      <c r="K8496" t="s">
        <v>40686</v>
      </c>
      <c r="M8496" t="s">
        <v>43650</v>
      </c>
      <c r="N8496" t="s">
        <v>44905</v>
      </c>
      <c r="O8496" t="s">
        <v>44906</v>
      </c>
      <c r="P8496">
        <v>0</v>
      </c>
      <c r="Q8496">
        <v>6</v>
      </c>
      <c r="R8496" t="s">
        <v>44911</v>
      </c>
      <c r="S8496" t="s">
        <v>45139</v>
      </c>
      <c r="T8496" t="s">
        <v>46690</v>
      </c>
      <c r="U8496" t="s">
        <v>53737</v>
      </c>
      <c r="V8496" t="s">
        <v>59891</v>
      </c>
      <c r="W8496" t="s">
        <v>43650</v>
      </c>
      <c r="X8496" t="s">
        <v>44932</v>
      </c>
    </row>
    <row r="8497" spans="1:24">
      <c r="A8497">
        <f>HYPERLINK("https://www.philgeps.gov.ph/GEPSNONPILOT/Tender/SplashBidNoticeAbstractUI.aspx?menuIndex=3&amp;refID=7075970&amp;Result=3","7075970")</f>
        <v>0</v>
      </c>
      <c r="B8497" t="s">
        <v>288</v>
      </c>
      <c r="C8497" t="s">
        <v>11626</v>
      </c>
      <c r="D8497" t="s">
        <v>18102</v>
      </c>
      <c r="E8497" t="s">
        <v>25656</v>
      </c>
      <c r="F8497" t="s">
        <v>31362</v>
      </c>
      <c r="G8497" t="s">
        <v>31373</v>
      </c>
      <c r="H8497" t="s">
        <v>31378</v>
      </c>
      <c r="I8497" t="s">
        <v>31386</v>
      </c>
      <c r="J8497" t="s">
        <v>36714</v>
      </c>
      <c r="K8497" t="s">
        <v>40848</v>
      </c>
      <c r="M8497" t="s">
        <v>41231</v>
      </c>
      <c r="N8497" t="s">
        <v>44905</v>
      </c>
      <c r="O8497" t="s">
        <v>44906</v>
      </c>
      <c r="P8497">
        <v>0</v>
      </c>
      <c r="Q8497">
        <v>10</v>
      </c>
      <c r="R8497" t="s">
        <v>44910</v>
      </c>
      <c r="S8497" t="s">
        <v>45076</v>
      </c>
      <c r="T8497" t="s">
        <v>46433</v>
      </c>
      <c r="U8497" t="s">
        <v>53738</v>
      </c>
      <c r="V8497" t="s">
        <v>59892</v>
      </c>
      <c r="W8497" t="s">
        <v>41231</v>
      </c>
      <c r="X8497" t="s">
        <v>44911</v>
      </c>
    </row>
    <row r="8498" spans="1:24">
      <c r="A8498">
        <f>HYPERLINK("https://www.philgeps.gov.ph/GEPSNONPILOT/Tender/SplashBidNoticeAbstractUI.aspx?menuIndex=3&amp;refID=7075909&amp;Result=3","7075909")</f>
        <v>0</v>
      </c>
      <c r="B8498" t="s">
        <v>370</v>
      </c>
      <c r="C8498" t="s">
        <v>11627</v>
      </c>
      <c r="E8498" t="s">
        <v>25657</v>
      </c>
      <c r="F8498" t="s">
        <v>31362</v>
      </c>
      <c r="G8498" t="s">
        <v>31369</v>
      </c>
      <c r="H8498" t="s">
        <v>15799</v>
      </c>
      <c r="I8498" t="s">
        <v>31382</v>
      </c>
      <c r="J8498" t="s">
        <v>36662</v>
      </c>
      <c r="K8498" t="s">
        <v>40662</v>
      </c>
      <c r="M8498" t="s">
        <v>43619</v>
      </c>
      <c r="N8498" t="s">
        <v>44905</v>
      </c>
      <c r="O8498" t="s">
        <v>44906</v>
      </c>
      <c r="Q8498">
        <v>2</v>
      </c>
      <c r="R8498" t="s">
        <v>44910</v>
      </c>
      <c r="S8498" t="s">
        <v>45081</v>
      </c>
      <c r="T8498" t="s">
        <v>46555</v>
      </c>
      <c r="U8498" t="s">
        <v>53555</v>
      </c>
      <c r="V8498" t="s">
        <v>59862</v>
      </c>
      <c r="W8498" t="s">
        <v>43619</v>
      </c>
      <c r="X8498" t="s">
        <v>44911</v>
      </c>
    </row>
    <row r="8499" spans="1:24">
      <c r="A8499">
        <f>HYPERLINK("https://www.philgeps.gov.ph/GEPSNONPILOT/Tender/SplashBidNoticeAbstractUI.aspx?menuIndex=3&amp;refID=7075938&amp;Result=3","7075938")</f>
        <v>0</v>
      </c>
      <c r="B8499" t="s">
        <v>122</v>
      </c>
      <c r="C8499" t="s">
        <v>11628</v>
      </c>
      <c r="D8499" t="s">
        <v>18145</v>
      </c>
      <c r="E8499" t="s">
        <v>25658</v>
      </c>
      <c r="F8499" t="s">
        <v>31362</v>
      </c>
      <c r="G8499" t="s">
        <v>31369</v>
      </c>
      <c r="H8499" t="s">
        <v>15799</v>
      </c>
      <c r="I8499" t="s">
        <v>31426</v>
      </c>
      <c r="J8499" t="s">
        <v>36715</v>
      </c>
      <c r="K8499" t="s">
        <v>40679</v>
      </c>
      <c r="M8499" t="s">
        <v>41059</v>
      </c>
      <c r="N8499" t="s">
        <v>44905</v>
      </c>
      <c r="O8499" t="s">
        <v>44906</v>
      </c>
      <c r="P8499">
        <v>0</v>
      </c>
      <c r="Q8499">
        <v>9</v>
      </c>
      <c r="R8499" t="s">
        <v>44910</v>
      </c>
      <c r="S8499" t="s">
        <v>45076</v>
      </c>
      <c r="T8499" t="s">
        <v>46690</v>
      </c>
      <c r="U8499" t="s">
        <v>53653</v>
      </c>
      <c r="V8499" t="s">
        <v>59880</v>
      </c>
      <c r="W8499" t="s">
        <v>41059</v>
      </c>
      <c r="X8499" t="s">
        <v>44911</v>
      </c>
    </row>
    <row r="8500" spans="1:24">
      <c r="A8500">
        <f>HYPERLINK("https://www.philgeps.gov.ph/GEPSNONPILOT/Tender/SplashBidNoticeAbstractUI.aspx?menuIndex=3&amp;refID=7075755&amp;Result=3","7075755")</f>
        <v>0</v>
      </c>
      <c r="B8500" t="s">
        <v>2438</v>
      </c>
      <c r="C8500" t="s">
        <v>11629</v>
      </c>
      <c r="D8500" t="s">
        <v>18109</v>
      </c>
      <c r="E8500" t="s">
        <v>25659</v>
      </c>
      <c r="F8500" t="s">
        <v>31362</v>
      </c>
      <c r="G8500" t="s">
        <v>31369</v>
      </c>
      <c r="H8500" t="s">
        <v>31378</v>
      </c>
      <c r="I8500" t="s">
        <v>31386</v>
      </c>
      <c r="J8500" t="s">
        <v>36716</v>
      </c>
      <c r="K8500" t="s">
        <v>40662</v>
      </c>
      <c r="L8500" t="s">
        <v>2438</v>
      </c>
      <c r="M8500" t="s">
        <v>43597</v>
      </c>
      <c r="N8500" t="s">
        <v>44905</v>
      </c>
      <c r="O8500" t="s">
        <v>44906</v>
      </c>
      <c r="Q8500">
        <v>0</v>
      </c>
      <c r="R8500" t="s">
        <v>44910</v>
      </c>
      <c r="S8500" t="s">
        <v>45129</v>
      </c>
      <c r="T8500" t="s">
        <v>46573</v>
      </c>
      <c r="U8500" t="s">
        <v>53596</v>
      </c>
      <c r="V8500" t="s">
        <v>59869</v>
      </c>
      <c r="W8500" t="s">
        <v>43597</v>
      </c>
      <c r="X8500" t="s">
        <v>44911</v>
      </c>
    </row>
    <row r="8501" spans="1:24">
      <c r="A8501">
        <f>HYPERLINK("https://www.philgeps.gov.ph/GEPSNONPILOT/Tender/SplashBidNoticeAbstractUI.aspx?menuIndex=3&amp;refID=7062824&amp;Result=3","7062824")</f>
        <v>0</v>
      </c>
      <c r="B8501" t="s">
        <v>2486</v>
      </c>
      <c r="C8501" t="s">
        <v>11630</v>
      </c>
      <c r="D8501" t="s">
        <v>18108</v>
      </c>
      <c r="E8501" t="s">
        <v>25660</v>
      </c>
      <c r="F8501" t="s">
        <v>31362</v>
      </c>
      <c r="G8501" t="s">
        <v>31369</v>
      </c>
      <c r="H8501" t="s">
        <v>15799</v>
      </c>
      <c r="I8501" t="s">
        <v>7090</v>
      </c>
      <c r="J8501" t="s">
        <v>31578</v>
      </c>
      <c r="K8501" t="s">
        <v>40672</v>
      </c>
      <c r="M8501" t="s">
        <v>43651</v>
      </c>
      <c r="N8501" t="s">
        <v>44905</v>
      </c>
      <c r="O8501" t="s">
        <v>44906</v>
      </c>
      <c r="P8501">
        <v>0</v>
      </c>
      <c r="Q8501">
        <v>0</v>
      </c>
      <c r="R8501" t="s">
        <v>44911</v>
      </c>
      <c r="S8501" t="s">
        <v>45139</v>
      </c>
      <c r="T8501" t="s">
        <v>46454</v>
      </c>
      <c r="U8501" t="s">
        <v>53739</v>
      </c>
      <c r="W8501" t="s">
        <v>43651</v>
      </c>
      <c r="X8501" t="s">
        <v>44917</v>
      </c>
    </row>
    <row r="8502" spans="1:24">
      <c r="A8502">
        <f>HYPERLINK("https://www.philgeps.gov.ph/GEPSNONPILOT/Tender/SplashBidNoticeAbstractUI.aspx?menuIndex=3&amp;refID=7058181&amp;Result=3","7058181")</f>
        <v>0</v>
      </c>
      <c r="B8502" t="s">
        <v>396</v>
      </c>
      <c r="C8502" t="s">
        <v>11631</v>
      </c>
      <c r="D8502" t="s">
        <v>18155</v>
      </c>
      <c r="E8502" t="s">
        <v>25661</v>
      </c>
      <c r="F8502" t="s">
        <v>31362</v>
      </c>
      <c r="G8502" t="s">
        <v>31369</v>
      </c>
      <c r="H8502" t="s">
        <v>31378</v>
      </c>
      <c r="I8502" t="s">
        <v>31386</v>
      </c>
      <c r="J8502" t="s">
        <v>36717</v>
      </c>
      <c r="K8502" t="s">
        <v>40711</v>
      </c>
      <c r="M8502" t="s">
        <v>43643</v>
      </c>
      <c r="N8502" t="s">
        <v>44905</v>
      </c>
      <c r="O8502" t="s">
        <v>44906</v>
      </c>
      <c r="P8502">
        <v>0</v>
      </c>
      <c r="Q8502">
        <v>0</v>
      </c>
      <c r="R8502" t="s">
        <v>44911</v>
      </c>
      <c r="S8502" t="s">
        <v>45139</v>
      </c>
      <c r="T8502" t="s">
        <v>46454</v>
      </c>
      <c r="U8502" t="s">
        <v>53717</v>
      </c>
      <c r="W8502" t="s">
        <v>43643</v>
      </c>
      <c r="X8502" t="s">
        <v>44920</v>
      </c>
    </row>
    <row r="8503" spans="1:24">
      <c r="A8503">
        <f>HYPERLINK("https://www.philgeps.gov.ph/GEPSNONPILOT/Tender/SplashBidNoticeAbstractUI.aspx?menuIndex=3&amp;refID=7062812&amp;Result=3","7062812")</f>
        <v>0</v>
      </c>
      <c r="B8503" t="s">
        <v>2487</v>
      </c>
      <c r="C8503" t="s">
        <v>11632</v>
      </c>
      <c r="D8503" t="s">
        <v>18108</v>
      </c>
      <c r="E8503" t="s">
        <v>25662</v>
      </c>
      <c r="F8503" t="s">
        <v>31362</v>
      </c>
      <c r="G8503" t="s">
        <v>31369</v>
      </c>
      <c r="H8503" t="s">
        <v>15799</v>
      </c>
      <c r="I8503" t="s">
        <v>7090</v>
      </c>
      <c r="J8503" t="s">
        <v>36718</v>
      </c>
      <c r="K8503" t="s">
        <v>40672</v>
      </c>
      <c r="M8503" t="s">
        <v>43652</v>
      </c>
      <c r="N8503" t="s">
        <v>44905</v>
      </c>
      <c r="O8503" t="s">
        <v>44906</v>
      </c>
      <c r="P8503">
        <v>0</v>
      </c>
      <c r="Q8503">
        <v>1</v>
      </c>
      <c r="R8503" t="s">
        <v>44911</v>
      </c>
      <c r="S8503" t="s">
        <v>45139</v>
      </c>
      <c r="T8503" t="s">
        <v>46454</v>
      </c>
      <c r="U8503" t="s">
        <v>53740</v>
      </c>
      <c r="W8503" t="s">
        <v>43652</v>
      </c>
      <c r="X8503" t="s">
        <v>44917</v>
      </c>
    </row>
    <row r="8504" spans="1:24">
      <c r="A8504">
        <f>HYPERLINK("https://www.philgeps.gov.ph/GEPSNONPILOT/Tender/SplashBidNoticeAbstractUI.aspx?menuIndex=3&amp;refID=7062722&amp;Result=3","7062722")</f>
        <v>0</v>
      </c>
      <c r="B8504" t="s">
        <v>2488</v>
      </c>
      <c r="C8504" t="s">
        <v>11633</v>
      </c>
      <c r="D8504" t="s">
        <v>18108</v>
      </c>
      <c r="E8504" t="s">
        <v>25663</v>
      </c>
      <c r="F8504" t="s">
        <v>31362</v>
      </c>
      <c r="G8504" t="s">
        <v>31369</v>
      </c>
      <c r="H8504" t="s">
        <v>15799</v>
      </c>
      <c r="I8504" t="s">
        <v>7090</v>
      </c>
      <c r="J8504" t="s">
        <v>31604</v>
      </c>
      <c r="K8504" t="s">
        <v>40672</v>
      </c>
      <c r="M8504" t="s">
        <v>43653</v>
      </c>
      <c r="N8504" t="s">
        <v>44905</v>
      </c>
      <c r="O8504" t="s">
        <v>44906</v>
      </c>
      <c r="P8504">
        <v>0</v>
      </c>
      <c r="Q8504">
        <v>1</v>
      </c>
      <c r="R8504" t="s">
        <v>44911</v>
      </c>
      <c r="S8504" t="s">
        <v>45139</v>
      </c>
      <c r="T8504" t="s">
        <v>46454</v>
      </c>
      <c r="U8504" t="s">
        <v>53741</v>
      </c>
      <c r="W8504" t="s">
        <v>43653</v>
      </c>
      <c r="X8504" t="s">
        <v>44917</v>
      </c>
    </row>
    <row r="8505" spans="1:24">
      <c r="A8505">
        <f>HYPERLINK("https://www.philgeps.gov.ph/GEPSNONPILOT/Tender/SplashBidNoticeAbstractUI.aspx?menuIndex=3&amp;refID=7062765&amp;Result=3","7062765")</f>
        <v>0</v>
      </c>
      <c r="B8505" t="s">
        <v>2489</v>
      </c>
      <c r="C8505" t="s">
        <v>11634</v>
      </c>
      <c r="D8505" t="s">
        <v>18108</v>
      </c>
      <c r="E8505" t="s">
        <v>25664</v>
      </c>
      <c r="F8505" t="s">
        <v>31362</v>
      </c>
      <c r="G8505" t="s">
        <v>31369</v>
      </c>
      <c r="H8505" t="s">
        <v>15799</v>
      </c>
      <c r="I8505" t="s">
        <v>7090</v>
      </c>
      <c r="J8505" t="s">
        <v>31722</v>
      </c>
      <c r="K8505" t="s">
        <v>40672</v>
      </c>
      <c r="M8505" t="s">
        <v>43654</v>
      </c>
      <c r="N8505" t="s">
        <v>44905</v>
      </c>
      <c r="O8505" t="s">
        <v>44906</v>
      </c>
      <c r="P8505">
        <v>0</v>
      </c>
      <c r="Q8505">
        <v>0</v>
      </c>
      <c r="R8505" t="s">
        <v>44911</v>
      </c>
      <c r="S8505" t="s">
        <v>45139</v>
      </c>
      <c r="T8505" t="s">
        <v>46454</v>
      </c>
      <c r="U8505" t="s">
        <v>53742</v>
      </c>
      <c r="W8505" t="s">
        <v>43654</v>
      </c>
      <c r="X8505" t="s">
        <v>44917</v>
      </c>
    </row>
    <row r="8506" spans="1:24">
      <c r="A8506">
        <f>HYPERLINK("https://www.philgeps.gov.ph/GEPSNONPILOT/Tender/SplashBidNoticeAbstractUI.aspx?menuIndex=3&amp;refID=7062700&amp;Result=3","7062700")</f>
        <v>0</v>
      </c>
      <c r="B8506" t="s">
        <v>2490</v>
      </c>
      <c r="C8506" t="s">
        <v>11630</v>
      </c>
      <c r="D8506" t="s">
        <v>18108</v>
      </c>
      <c r="E8506" t="s">
        <v>25665</v>
      </c>
      <c r="F8506" t="s">
        <v>31362</v>
      </c>
      <c r="G8506" t="s">
        <v>31369</v>
      </c>
      <c r="H8506" t="s">
        <v>15799</v>
      </c>
      <c r="I8506" t="s">
        <v>31409</v>
      </c>
      <c r="J8506" t="s">
        <v>31722</v>
      </c>
      <c r="K8506" t="s">
        <v>40672</v>
      </c>
      <c r="M8506" t="s">
        <v>43655</v>
      </c>
      <c r="N8506" t="s">
        <v>44905</v>
      </c>
      <c r="O8506" t="s">
        <v>44906</v>
      </c>
      <c r="P8506">
        <v>0</v>
      </c>
      <c r="Q8506">
        <v>3</v>
      </c>
      <c r="R8506" t="s">
        <v>44911</v>
      </c>
      <c r="S8506" t="s">
        <v>45139</v>
      </c>
      <c r="T8506" t="s">
        <v>46454</v>
      </c>
      <c r="U8506" t="s">
        <v>53743</v>
      </c>
      <c r="W8506" t="s">
        <v>43655</v>
      </c>
      <c r="X8506" t="s">
        <v>44917</v>
      </c>
    </row>
    <row r="8507" spans="1:24">
      <c r="A8507">
        <f>HYPERLINK("https://www.philgeps.gov.ph/GEPSNONPILOT/Tender/SplashBidNoticeAbstractUI.aspx?menuIndex=3&amp;refID=7061552&amp;Result=3","7061552")</f>
        <v>0</v>
      </c>
      <c r="B8507" t="s">
        <v>246</v>
      </c>
      <c r="C8507" t="s">
        <v>11635</v>
      </c>
      <c r="D8507" t="s">
        <v>18104</v>
      </c>
      <c r="E8507" t="s">
        <v>25666</v>
      </c>
      <c r="F8507" t="s">
        <v>31362</v>
      </c>
      <c r="G8507" t="s">
        <v>31369</v>
      </c>
      <c r="H8507" t="s">
        <v>31378</v>
      </c>
      <c r="I8507" t="s">
        <v>31386</v>
      </c>
      <c r="J8507" t="s">
        <v>36719</v>
      </c>
      <c r="K8507" t="s">
        <v>40679</v>
      </c>
      <c r="M8507" t="s">
        <v>41185</v>
      </c>
      <c r="N8507" t="s">
        <v>44905</v>
      </c>
      <c r="O8507" t="s">
        <v>44906</v>
      </c>
      <c r="P8507">
        <v>0</v>
      </c>
      <c r="Q8507">
        <v>1</v>
      </c>
      <c r="R8507" t="s">
        <v>44911</v>
      </c>
      <c r="S8507" t="s">
        <v>45139</v>
      </c>
      <c r="T8507" t="s">
        <v>46410</v>
      </c>
      <c r="U8507" t="s">
        <v>53744</v>
      </c>
      <c r="W8507" t="s">
        <v>41185</v>
      </c>
      <c r="X8507" t="s">
        <v>44918</v>
      </c>
    </row>
    <row r="8508" spans="1:24">
      <c r="A8508">
        <f>HYPERLINK("https://www.philgeps.gov.ph/GEPSNONPILOT/Tender/SplashBidNoticeAbstractUI.aspx?menuIndex=3&amp;refID=7058191&amp;Result=3","7058191")</f>
        <v>0</v>
      </c>
      <c r="B8508" t="s">
        <v>396</v>
      </c>
      <c r="C8508" t="s">
        <v>11636</v>
      </c>
      <c r="D8508" t="s">
        <v>18155</v>
      </c>
      <c r="E8508" t="s">
        <v>25667</v>
      </c>
      <c r="F8508" t="s">
        <v>31362</v>
      </c>
      <c r="G8508" t="s">
        <v>31369</v>
      </c>
      <c r="H8508" t="s">
        <v>31378</v>
      </c>
      <c r="I8508" t="s">
        <v>31386</v>
      </c>
      <c r="J8508" t="s">
        <v>31586</v>
      </c>
      <c r="K8508" t="s">
        <v>40746</v>
      </c>
      <c r="M8508" t="s">
        <v>43643</v>
      </c>
      <c r="N8508" t="s">
        <v>44905</v>
      </c>
      <c r="O8508" t="s">
        <v>44906</v>
      </c>
      <c r="P8508">
        <v>0</v>
      </c>
      <c r="Q8508">
        <v>0</v>
      </c>
      <c r="R8508" t="s">
        <v>44911</v>
      </c>
      <c r="S8508" t="s">
        <v>45139</v>
      </c>
      <c r="T8508" t="s">
        <v>46454</v>
      </c>
      <c r="U8508" t="s">
        <v>53717</v>
      </c>
      <c r="W8508" t="s">
        <v>43643</v>
      </c>
      <c r="X8508" t="s">
        <v>44920</v>
      </c>
    </row>
    <row r="8509" spans="1:24">
      <c r="A8509">
        <f>HYPERLINK("https://www.philgeps.gov.ph/GEPSNONPILOT/Tender/SplashBidNoticeAbstractUI.aspx?menuIndex=3&amp;refID=7061310&amp;Result=3","7061310")</f>
        <v>0</v>
      </c>
      <c r="B8509" t="s">
        <v>2341</v>
      </c>
      <c r="C8509" t="s">
        <v>11637</v>
      </c>
      <c r="D8509" t="s">
        <v>18154</v>
      </c>
      <c r="E8509" t="s">
        <v>19978</v>
      </c>
      <c r="F8509" t="s">
        <v>31362</v>
      </c>
      <c r="G8509" t="s">
        <v>31369</v>
      </c>
      <c r="H8509" t="s">
        <v>31378</v>
      </c>
      <c r="I8509" t="s">
        <v>31386</v>
      </c>
      <c r="J8509" t="s">
        <v>36720</v>
      </c>
      <c r="K8509" t="s">
        <v>40762</v>
      </c>
      <c r="M8509" t="s">
        <v>43483</v>
      </c>
      <c r="N8509" t="s">
        <v>44905</v>
      </c>
      <c r="O8509" t="s">
        <v>44906</v>
      </c>
      <c r="P8509">
        <v>0</v>
      </c>
      <c r="Q8509">
        <v>0</v>
      </c>
      <c r="R8509" t="s">
        <v>44911</v>
      </c>
      <c r="S8509" t="s">
        <v>45139</v>
      </c>
      <c r="T8509" t="s">
        <v>46531</v>
      </c>
      <c r="U8509" t="s">
        <v>53745</v>
      </c>
      <c r="W8509" t="s">
        <v>43483</v>
      </c>
      <c r="X8509" t="s">
        <v>44918</v>
      </c>
    </row>
    <row r="8510" spans="1:24">
      <c r="A8510">
        <f>HYPERLINK("https://www.philgeps.gov.ph/GEPSNONPILOT/Tender/SplashBidNoticeAbstractUI.aspx?menuIndex=3&amp;refID=7062942&amp;Result=3","7062942")</f>
        <v>0</v>
      </c>
      <c r="B8510" t="s">
        <v>1173</v>
      </c>
      <c r="C8510" t="s">
        <v>11638</v>
      </c>
      <c r="D8510" t="s">
        <v>18174</v>
      </c>
      <c r="E8510" t="s">
        <v>25668</v>
      </c>
      <c r="F8510" t="s">
        <v>31362</v>
      </c>
      <c r="G8510" t="s">
        <v>31368</v>
      </c>
      <c r="H8510" t="s">
        <v>15799</v>
      </c>
      <c r="I8510" t="s">
        <v>6373</v>
      </c>
      <c r="J8510" t="s">
        <v>36721</v>
      </c>
      <c r="K8510" t="s">
        <v>40661</v>
      </c>
      <c r="M8510" t="s">
        <v>42183</v>
      </c>
      <c r="N8510" t="s">
        <v>44905</v>
      </c>
      <c r="O8510" t="s">
        <v>44906</v>
      </c>
      <c r="P8510">
        <v>0</v>
      </c>
      <c r="Q8510">
        <v>0</v>
      </c>
      <c r="R8510" t="s">
        <v>44911</v>
      </c>
      <c r="S8510" t="s">
        <v>45139</v>
      </c>
      <c r="T8510" t="s">
        <v>46454</v>
      </c>
      <c r="U8510" t="s">
        <v>53746</v>
      </c>
      <c r="W8510" t="s">
        <v>42183</v>
      </c>
      <c r="X8510" t="s">
        <v>44917</v>
      </c>
    </row>
    <row r="8511" spans="1:24">
      <c r="A8511">
        <f>HYPERLINK("https://www.philgeps.gov.ph/GEPSNONPILOT/Tender/SplashBidNoticeAbstractUI.aspx?menuIndex=3&amp;refID=7061300&amp;Result=3","7061300")</f>
        <v>0</v>
      </c>
      <c r="B8511" t="s">
        <v>2341</v>
      </c>
      <c r="C8511" t="s">
        <v>11639</v>
      </c>
      <c r="D8511" t="s">
        <v>18154</v>
      </c>
      <c r="E8511" t="s">
        <v>25669</v>
      </c>
      <c r="F8511" t="s">
        <v>31362</v>
      </c>
      <c r="G8511" t="s">
        <v>31369</v>
      </c>
      <c r="H8511" t="s">
        <v>31378</v>
      </c>
      <c r="I8511" t="s">
        <v>31386</v>
      </c>
      <c r="J8511" t="s">
        <v>36722</v>
      </c>
      <c r="K8511" t="s">
        <v>40711</v>
      </c>
      <c r="M8511" t="s">
        <v>43483</v>
      </c>
      <c r="N8511" t="s">
        <v>44905</v>
      </c>
      <c r="O8511" t="s">
        <v>44906</v>
      </c>
      <c r="Q8511">
        <v>0</v>
      </c>
      <c r="R8511" t="s">
        <v>44911</v>
      </c>
      <c r="S8511" t="s">
        <v>45141</v>
      </c>
      <c r="T8511" t="s">
        <v>46395</v>
      </c>
      <c r="U8511" t="s">
        <v>53747</v>
      </c>
      <c r="W8511" t="s">
        <v>43483</v>
      </c>
      <c r="X8511" t="s">
        <v>44918</v>
      </c>
    </row>
    <row r="8512" spans="1:24">
      <c r="A8512">
        <f>HYPERLINK("https://www.philgeps.gov.ph/GEPSNONPILOT/Tender/SplashBidNoticeAbstractUI.aspx?menuIndex=3&amp;refID=7064371&amp;Result=3","7064371")</f>
        <v>0</v>
      </c>
      <c r="B8512" t="s">
        <v>2491</v>
      </c>
      <c r="C8512" t="s">
        <v>11640</v>
      </c>
      <c r="D8512" t="s">
        <v>18109</v>
      </c>
      <c r="E8512" t="s">
        <v>20194</v>
      </c>
      <c r="F8512" t="s">
        <v>31362</v>
      </c>
      <c r="G8512" t="s">
        <v>31370</v>
      </c>
      <c r="H8512" t="s">
        <v>15799</v>
      </c>
      <c r="I8512" t="s">
        <v>7090</v>
      </c>
      <c r="J8512" t="s">
        <v>36723</v>
      </c>
      <c r="K8512" t="s">
        <v>40666</v>
      </c>
      <c r="M8512" t="s">
        <v>43656</v>
      </c>
      <c r="N8512" t="s">
        <v>44905</v>
      </c>
      <c r="O8512" t="s">
        <v>44906</v>
      </c>
      <c r="P8512">
        <v>0</v>
      </c>
      <c r="Q8512">
        <v>1</v>
      </c>
      <c r="R8512" t="s">
        <v>44911</v>
      </c>
      <c r="S8512" t="s">
        <v>45139</v>
      </c>
      <c r="T8512" t="s">
        <v>46471</v>
      </c>
      <c r="U8512" t="s">
        <v>50883</v>
      </c>
      <c r="W8512" t="s">
        <v>43656</v>
      </c>
      <c r="X8512" t="s">
        <v>44917</v>
      </c>
    </row>
    <row r="8513" spans="1:24">
      <c r="A8513">
        <f>HYPERLINK("https://www.philgeps.gov.ph/GEPSNONPILOT/Tender/SplashBidNoticeAbstractUI.aspx?menuIndex=3&amp;refID=7061540&amp;Result=3","7061540")</f>
        <v>0</v>
      </c>
      <c r="B8513" t="s">
        <v>246</v>
      </c>
      <c r="C8513" t="s">
        <v>11641</v>
      </c>
      <c r="D8513" t="s">
        <v>18104</v>
      </c>
      <c r="E8513" t="s">
        <v>25670</v>
      </c>
      <c r="F8513" t="s">
        <v>31362</v>
      </c>
      <c r="G8513" t="s">
        <v>31369</v>
      </c>
      <c r="H8513" t="s">
        <v>31378</v>
      </c>
      <c r="I8513" t="s">
        <v>31386</v>
      </c>
      <c r="J8513" t="s">
        <v>36724</v>
      </c>
      <c r="K8513" t="s">
        <v>40682</v>
      </c>
      <c r="M8513" t="s">
        <v>41185</v>
      </c>
      <c r="N8513" t="s">
        <v>44905</v>
      </c>
      <c r="O8513" t="s">
        <v>44906</v>
      </c>
      <c r="P8513">
        <v>0</v>
      </c>
      <c r="Q8513">
        <v>0</v>
      </c>
      <c r="R8513" t="s">
        <v>44911</v>
      </c>
      <c r="S8513" t="s">
        <v>45139</v>
      </c>
      <c r="T8513" t="s">
        <v>46410</v>
      </c>
      <c r="U8513" t="s">
        <v>53748</v>
      </c>
      <c r="W8513" t="s">
        <v>41185</v>
      </c>
      <c r="X8513" t="s">
        <v>44918</v>
      </c>
    </row>
    <row r="8514" spans="1:24">
      <c r="A8514">
        <f>HYPERLINK("https://www.philgeps.gov.ph/GEPSNONPILOT/Tender/SplashBidNoticeAbstractUI.aspx?menuIndex=3&amp;refID=7063687&amp;Result=3","7063687")</f>
        <v>0</v>
      </c>
      <c r="B8514" t="s">
        <v>2492</v>
      </c>
      <c r="C8514" t="s">
        <v>11642</v>
      </c>
      <c r="D8514" t="s">
        <v>18106</v>
      </c>
      <c r="E8514" t="s">
        <v>25671</v>
      </c>
      <c r="F8514" t="s">
        <v>31362</v>
      </c>
      <c r="G8514" t="s">
        <v>31369</v>
      </c>
      <c r="H8514" t="s">
        <v>31378</v>
      </c>
      <c r="I8514" t="s">
        <v>31386</v>
      </c>
      <c r="J8514" t="s">
        <v>36725</v>
      </c>
      <c r="K8514" t="s">
        <v>40662</v>
      </c>
      <c r="M8514" t="s">
        <v>43657</v>
      </c>
      <c r="N8514" t="s">
        <v>44905</v>
      </c>
      <c r="O8514" t="s">
        <v>44906</v>
      </c>
      <c r="P8514">
        <v>0</v>
      </c>
      <c r="Q8514">
        <v>4</v>
      </c>
      <c r="R8514" t="s">
        <v>44911</v>
      </c>
      <c r="S8514" t="s">
        <v>45139</v>
      </c>
      <c r="T8514" t="s">
        <v>46478</v>
      </c>
      <c r="U8514" t="s">
        <v>53749</v>
      </c>
      <c r="V8514" t="s">
        <v>59893</v>
      </c>
      <c r="W8514" t="s">
        <v>43657</v>
      </c>
      <c r="X8514" t="s">
        <v>44917</v>
      </c>
    </row>
    <row r="8515" spans="1:24">
      <c r="A8515">
        <f>HYPERLINK("https://www.philgeps.gov.ph/GEPSNONPILOT/Tender/SplashBidNoticeAbstractUI.aspx?menuIndex=3&amp;refID=7063569&amp;Result=3","7063569")</f>
        <v>0</v>
      </c>
      <c r="B8515" t="s">
        <v>2492</v>
      </c>
      <c r="C8515" t="s">
        <v>11643</v>
      </c>
      <c r="D8515" t="s">
        <v>18106</v>
      </c>
      <c r="E8515" t="s">
        <v>25672</v>
      </c>
      <c r="F8515" t="s">
        <v>31362</v>
      </c>
      <c r="G8515" t="s">
        <v>31369</v>
      </c>
      <c r="H8515" t="s">
        <v>31378</v>
      </c>
      <c r="I8515" t="s">
        <v>31386</v>
      </c>
      <c r="J8515" t="s">
        <v>36726</v>
      </c>
      <c r="K8515" t="s">
        <v>40662</v>
      </c>
      <c r="M8515" t="s">
        <v>43657</v>
      </c>
      <c r="N8515" t="s">
        <v>44905</v>
      </c>
      <c r="O8515" t="s">
        <v>44906</v>
      </c>
      <c r="P8515">
        <v>0</v>
      </c>
      <c r="Q8515">
        <v>3</v>
      </c>
      <c r="R8515" t="s">
        <v>44911</v>
      </c>
      <c r="S8515" t="s">
        <v>45139</v>
      </c>
      <c r="T8515" t="s">
        <v>46478</v>
      </c>
      <c r="U8515" t="s">
        <v>53750</v>
      </c>
      <c r="V8515" t="s">
        <v>59894</v>
      </c>
      <c r="W8515" t="s">
        <v>43657</v>
      </c>
      <c r="X8515" t="s">
        <v>44917</v>
      </c>
    </row>
    <row r="8516" spans="1:24">
      <c r="A8516">
        <f>HYPERLINK("https://www.philgeps.gov.ph/GEPSNONPILOT/Tender/SplashBidNoticeAbstractUI.aspx?menuIndex=3&amp;refID=7058251&amp;Result=3","7058251")</f>
        <v>0</v>
      </c>
      <c r="B8516" t="s">
        <v>396</v>
      </c>
      <c r="C8516" t="s">
        <v>11644</v>
      </c>
      <c r="D8516" t="s">
        <v>18155</v>
      </c>
      <c r="E8516" t="s">
        <v>25673</v>
      </c>
      <c r="F8516" t="s">
        <v>31362</v>
      </c>
      <c r="G8516" t="s">
        <v>31369</v>
      </c>
      <c r="H8516" t="s">
        <v>31378</v>
      </c>
      <c r="I8516" t="s">
        <v>31386</v>
      </c>
      <c r="J8516" t="s">
        <v>36727</v>
      </c>
      <c r="K8516" t="s">
        <v>40825</v>
      </c>
      <c r="M8516" t="s">
        <v>43643</v>
      </c>
      <c r="N8516" t="s">
        <v>44905</v>
      </c>
      <c r="O8516" t="s">
        <v>44906</v>
      </c>
      <c r="P8516">
        <v>0</v>
      </c>
      <c r="Q8516">
        <v>3</v>
      </c>
      <c r="R8516" t="s">
        <v>44911</v>
      </c>
      <c r="S8516" t="s">
        <v>45139</v>
      </c>
      <c r="T8516" t="s">
        <v>46577</v>
      </c>
      <c r="U8516" t="s">
        <v>53717</v>
      </c>
      <c r="W8516" t="s">
        <v>43643</v>
      </c>
      <c r="X8516" t="s">
        <v>44920</v>
      </c>
    </row>
    <row r="8517" spans="1:24">
      <c r="A8517">
        <f>HYPERLINK("https://www.philgeps.gov.ph/GEPSNONPILOT/Tender/SplashBidNoticeAbstractUI.aspx?menuIndex=3&amp;refID=7067830&amp;Result=3","7067830")</f>
        <v>0</v>
      </c>
      <c r="B8517" t="s">
        <v>1417</v>
      </c>
      <c r="C8517" t="s">
        <v>11645</v>
      </c>
      <c r="E8517" t="s">
        <v>25674</v>
      </c>
      <c r="F8517" t="s">
        <v>31362</v>
      </c>
      <c r="G8517" t="s">
        <v>31368</v>
      </c>
      <c r="H8517" t="s">
        <v>15799</v>
      </c>
      <c r="I8517" t="s">
        <v>6240</v>
      </c>
      <c r="J8517" t="s">
        <v>31897</v>
      </c>
      <c r="K8517" t="s">
        <v>40677</v>
      </c>
      <c r="M8517" t="s">
        <v>43658</v>
      </c>
      <c r="N8517" t="s">
        <v>44905</v>
      </c>
      <c r="O8517" t="s">
        <v>44906</v>
      </c>
      <c r="P8517">
        <v>0</v>
      </c>
      <c r="Q8517">
        <v>0</v>
      </c>
      <c r="R8517" t="s">
        <v>44911</v>
      </c>
      <c r="S8517" t="s">
        <v>45139</v>
      </c>
      <c r="T8517" t="s">
        <v>46411</v>
      </c>
      <c r="U8517" t="s">
        <v>53751</v>
      </c>
      <c r="W8517" t="s">
        <v>43658</v>
      </c>
      <c r="X8517" t="s">
        <v>44915</v>
      </c>
    </row>
    <row r="8518" spans="1:24">
      <c r="A8518">
        <f>HYPERLINK("https://www.philgeps.gov.ph/GEPSNONPILOT/Tender/SplashBidNoticeAbstractUI.aspx?menuIndex=3&amp;refID=7064783&amp;Result=3","7064783")</f>
        <v>0</v>
      </c>
      <c r="B8518" t="s">
        <v>358</v>
      </c>
      <c r="C8518" t="s">
        <v>11646</v>
      </c>
      <c r="D8518" t="s">
        <v>18109</v>
      </c>
      <c r="E8518" t="s">
        <v>19877</v>
      </c>
      <c r="F8518" t="s">
        <v>31362</v>
      </c>
      <c r="G8518" t="s">
        <v>31369</v>
      </c>
      <c r="H8518" t="s">
        <v>31378</v>
      </c>
      <c r="I8518" t="s">
        <v>31386</v>
      </c>
      <c r="J8518" t="s">
        <v>36728</v>
      </c>
      <c r="K8518" t="s">
        <v>40682</v>
      </c>
      <c r="M8518" t="s">
        <v>41305</v>
      </c>
      <c r="N8518" t="s">
        <v>44905</v>
      </c>
      <c r="O8518" t="s">
        <v>44906</v>
      </c>
      <c r="P8518">
        <v>0</v>
      </c>
      <c r="Q8518">
        <v>0</v>
      </c>
      <c r="R8518" t="s">
        <v>44911</v>
      </c>
      <c r="S8518" t="s">
        <v>45139</v>
      </c>
      <c r="T8518" t="s">
        <v>46411</v>
      </c>
      <c r="U8518" t="s">
        <v>53752</v>
      </c>
      <c r="W8518" t="s">
        <v>41305</v>
      </c>
      <c r="X8518" t="s">
        <v>44916</v>
      </c>
    </row>
    <row r="8519" spans="1:24">
      <c r="A8519">
        <f>HYPERLINK("https://www.philgeps.gov.ph/GEPSNONPILOT/Tender/SplashBidNoticeAbstractUI.aspx?menuIndex=3&amp;refID=7063710&amp;Result=3","7063710")</f>
        <v>0</v>
      </c>
      <c r="B8519" t="s">
        <v>2492</v>
      </c>
      <c r="C8519" t="s">
        <v>11647</v>
      </c>
      <c r="D8519" t="s">
        <v>18106</v>
      </c>
      <c r="E8519" t="s">
        <v>25675</v>
      </c>
      <c r="F8519" t="s">
        <v>31362</v>
      </c>
      <c r="G8519" t="s">
        <v>31369</v>
      </c>
      <c r="H8519" t="s">
        <v>31378</v>
      </c>
      <c r="I8519" t="s">
        <v>31386</v>
      </c>
      <c r="J8519" t="s">
        <v>36729</v>
      </c>
      <c r="K8519" t="s">
        <v>40662</v>
      </c>
      <c r="M8519" t="s">
        <v>43657</v>
      </c>
      <c r="N8519" t="s">
        <v>44905</v>
      </c>
      <c r="O8519" t="s">
        <v>44906</v>
      </c>
      <c r="P8519">
        <v>0</v>
      </c>
      <c r="Q8519">
        <v>4</v>
      </c>
      <c r="R8519" t="s">
        <v>44911</v>
      </c>
      <c r="S8519" t="s">
        <v>45139</v>
      </c>
      <c r="T8519" t="s">
        <v>46478</v>
      </c>
      <c r="U8519" t="s">
        <v>53753</v>
      </c>
      <c r="V8519" t="s">
        <v>59895</v>
      </c>
      <c r="W8519" t="s">
        <v>43657</v>
      </c>
      <c r="X8519" t="s">
        <v>44917</v>
      </c>
    </row>
    <row r="8520" spans="1:24">
      <c r="A8520">
        <f>HYPERLINK("https://www.philgeps.gov.ph/GEPSNONPILOT/Tender/SplashBidNoticeAbstractUI.aspx?menuIndex=3&amp;refID=7067810&amp;Result=3","7067810")</f>
        <v>0</v>
      </c>
      <c r="B8520" t="s">
        <v>1089</v>
      </c>
      <c r="C8520" t="s">
        <v>11648</v>
      </c>
      <c r="D8520" t="s">
        <v>18106</v>
      </c>
      <c r="E8520" t="s">
        <v>25676</v>
      </c>
      <c r="F8520" t="s">
        <v>31362</v>
      </c>
      <c r="G8520" t="s">
        <v>31369</v>
      </c>
      <c r="H8520" t="s">
        <v>15799</v>
      </c>
      <c r="I8520" t="s">
        <v>4283</v>
      </c>
      <c r="J8520" t="s">
        <v>36730</v>
      </c>
      <c r="K8520" t="s">
        <v>40665</v>
      </c>
      <c r="M8520" t="s">
        <v>42094</v>
      </c>
      <c r="N8520" t="s">
        <v>44905</v>
      </c>
      <c r="O8520" t="s">
        <v>44906</v>
      </c>
      <c r="P8520">
        <v>0</v>
      </c>
      <c r="Q8520">
        <v>1</v>
      </c>
      <c r="R8520" t="s">
        <v>44911</v>
      </c>
      <c r="S8520" t="s">
        <v>45139</v>
      </c>
      <c r="T8520" t="s">
        <v>46411</v>
      </c>
      <c r="U8520" t="s">
        <v>53754</v>
      </c>
      <c r="W8520" t="s">
        <v>42094</v>
      </c>
      <c r="X8520" t="s">
        <v>44915</v>
      </c>
    </row>
    <row r="8521" spans="1:24">
      <c r="A8521">
        <f>HYPERLINK("https://www.philgeps.gov.ph/GEPSNONPILOT/Tender/SplashBidNoticeAbstractUI.aspx?menuIndex=3&amp;refID=7058187&amp;Result=3","7058187")</f>
        <v>0</v>
      </c>
      <c r="B8521" t="s">
        <v>396</v>
      </c>
      <c r="C8521" t="s">
        <v>11649</v>
      </c>
      <c r="D8521" t="s">
        <v>18155</v>
      </c>
      <c r="E8521" t="s">
        <v>25677</v>
      </c>
      <c r="F8521" t="s">
        <v>31362</v>
      </c>
      <c r="G8521" t="s">
        <v>31369</v>
      </c>
      <c r="H8521" t="s">
        <v>31378</v>
      </c>
      <c r="I8521" t="s">
        <v>31386</v>
      </c>
      <c r="J8521" t="s">
        <v>36731</v>
      </c>
      <c r="K8521" t="s">
        <v>40681</v>
      </c>
      <c r="M8521" t="s">
        <v>43643</v>
      </c>
      <c r="N8521" t="s">
        <v>44905</v>
      </c>
      <c r="O8521" t="s">
        <v>44906</v>
      </c>
      <c r="P8521">
        <v>0</v>
      </c>
      <c r="Q8521">
        <v>0</v>
      </c>
      <c r="R8521" t="s">
        <v>44911</v>
      </c>
      <c r="S8521" t="s">
        <v>45139</v>
      </c>
      <c r="T8521" t="s">
        <v>46454</v>
      </c>
      <c r="U8521" t="s">
        <v>53717</v>
      </c>
      <c r="W8521" t="s">
        <v>43643</v>
      </c>
      <c r="X8521" t="s">
        <v>44920</v>
      </c>
    </row>
    <row r="8522" spans="1:24">
      <c r="A8522">
        <f>HYPERLINK("https://www.philgeps.gov.ph/GEPSNONPILOT/Tender/SplashBidNoticeAbstractUI.aspx?menuIndex=3&amp;refID=7067520&amp;Result=3","7067520")</f>
        <v>0</v>
      </c>
      <c r="B8522" t="s">
        <v>2493</v>
      </c>
      <c r="C8522" t="s">
        <v>11650</v>
      </c>
      <c r="D8522" t="s">
        <v>18148</v>
      </c>
      <c r="E8522" t="s">
        <v>25678</v>
      </c>
      <c r="F8522" t="s">
        <v>31362</v>
      </c>
      <c r="G8522" t="s">
        <v>31369</v>
      </c>
      <c r="H8522" t="s">
        <v>15799</v>
      </c>
      <c r="I8522" t="s">
        <v>31380</v>
      </c>
      <c r="J8522" t="s">
        <v>36732</v>
      </c>
      <c r="K8522" t="s">
        <v>40682</v>
      </c>
      <c r="M8522" t="s">
        <v>43659</v>
      </c>
      <c r="N8522" t="s">
        <v>44905</v>
      </c>
      <c r="O8522" t="s">
        <v>44906</v>
      </c>
      <c r="P8522">
        <v>0</v>
      </c>
      <c r="Q8522">
        <v>5</v>
      </c>
      <c r="R8522" t="s">
        <v>44911</v>
      </c>
      <c r="S8522" t="s">
        <v>45139</v>
      </c>
      <c r="T8522" t="s">
        <v>46443</v>
      </c>
      <c r="U8522" t="s">
        <v>53755</v>
      </c>
      <c r="W8522" t="s">
        <v>43659</v>
      </c>
      <c r="X8522" t="s">
        <v>44915</v>
      </c>
    </row>
    <row r="8523" spans="1:24">
      <c r="A8523">
        <f>HYPERLINK("https://www.philgeps.gov.ph/GEPSNONPILOT/Tender/SplashBidNoticeAbstractUI.aspx?menuIndex=3&amp;refID=7067000&amp;Result=3","7067000")</f>
        <v>0</v>
      </c>
      <c r="B8523" t="s">
        <v>663</v>
      </c>
      <c r="C8523" t="s">
        <v>11651</v>
      </c>
      <c r="D8523" t="s">
        <v>18103</v>
      </c>
      <c r="E8523" t="s">
        <v>25679</v>
      </c>
      <c r="F8523" t="s">
        <v>31362</v>
      </c>
      <c r="G8523" t="s">
        <v>31370</v>
      </c>
      <c r="H8523" t="s">
        <v>31378</v>
      </c>
      <c r="I8523" t="s">
        <v>31386</v>
      </c>
      <c r="J8523" t="s">
        <v>36733</v>
      </c>
      <c r="K8523" t="s">
        <v>40661</v>
      </c>
      <c r="M8523" t="s">
        <v>41625</v>
      </c>
      <c r="N8523" t="s">
        <v>44905</v>
      </c>
      <c r="O8523" t="s">
        <v>44906</v>
      </c>
      <c r="P8523">
        <v>0</v>
      </c>
      <c r="Q8523">
        <v>0</v>
      </c>
      <c r="R8523" t="s">
        <v>44911</v>
      </c>
      <c r="S8523" t="s">
        <v>45139</v>
      </c>
      <c r="T8523" t="s">
        <v>46411</v>
      </c>
      <c r="U8523" t="s">
        <v>53756</v>
      </c>
      <c r="W8523" t="s">
        <v>41625</v>
      </c>
      <c r="X8523" t="s">
        <v>44916</v>
      </c>
    </row>
    <row r="8524" spans="1:24">
      <c r="A8524">
        <f>HYPERLINK("https://www.philgeps.gov.ph/GEPSNONPILOT/Tender/SplashBidNoticeAbstractUI.aspx?menuIndex=3&amp;refID=7058185&amp;Result=3","7058185")</f>
        <v>0</v>
      </c>
      <c r="B8524" t="s">
        <v>396</v>
      </c>
      <c r="C8524" t="s">
        <v>11652</v>
      </c>
      <c r="D8524" t="s">
        <v>18155</v>
      </c>
      <c r="E8524" t="s">
        <v>25680</v>
      </c>
      <c r="F8524" t="s">
        <v>31362</v>
      </c>
      <c r="G8524" t="s">
        <v>31369</v>
      </c>
      <c r="H8524" t="s">
        <v>31378</v>
      </c>
      <c r="I8524" t="s">
        <v>31386</v>
      </c>
      <c r="J8524" t="s">
        <v>36734</v>
      </c>
      <c r="K8524" t="s">
        <v>40708</v>
      </c>
      <c r="M8524" t="s">
        <v>43643</v>
      </c>
      <c r="N8524" t="s">
        <v>44905</v>
      </c>
      <c r="O8524" t="s">
        <v>44906</v>
      </c>
      <c r="P8524">
        <v>0</v>
      </c>
      <c r="Q8524">
        <v>0</v>
      </c>
      <c r="R8524" t="s">
        <v>44911</v>
      </c>
      <c r="S8524" t="s">
        <v>45139</v>
      </c>
      <c r="T8524" t="s">
        <v>46454</v>
      </c>
      <c r="U8524" t="s">
        <v>53717</v>
      </c>
      <c r="W8524" t="s">
        <v>43643</v>
      </c>
      <c r="X8524" t="s">
        <v>44920</v>
      </c>
    </row>
    <row r="8525" spans="1:24">
      <c r="A8525">
        <f>HYPERLINK("https://www.philgeps.gov.ph/GEPSNONPILOT/Tender/SplashBidNoticeAbstractUI.aspx?menuIndex=3&amp;refID=7067525&amp;Result=3","7067525")</f>
        <v>0</v>
      </c>
      <c r="B8525" t="s">
        <v>424</v>
      </c>
      <c r="C8525" t="s">
        <v>11653</v>
      </c>
      <c r="D8525" t="s">
        <v>18168</v>
      </c>
      <c r="E8525" t="s">
        <v>25681</v>
      </c>
      <c r="F8525" t="s">
        <v>31362</v>
      </c>
      <c r="G8525" t="s">
        <v>31370</v>
      </c>
      <c r="H8525" t="s">
        <v>15799</v>
      </c>
      <c r="I8525" t="s">
        <v>31392</v>
      </c>
      <c r="J8525" t="s">
        <v>32022</v>
      </c>
      <c r="K8525" t="s">
        <v>40682</v>
      </c>
      <c r="M8525" t="s">
        <v>43660</v>
      </c>
      <c r="N8525" t="s">
        <v>44905</v>
      </c>
      <c r="O8525" t="s">
        <v>44906</v>
      </c>
      <c r="P8525">
        <v>0</v>
      </c>
      <c r="Q8525">
        <v>3</v>
      </c>
      <c r="R8525" t="s">
        <v>44911</v>
      </c>
      <c r="S8525" t="s">
        <v>45139</v>
      </c>
      <c r="T8525" t="s">
        <v>46409</v>
      </c>
      <c r="U8525" t="s">
        <v>53757</v>
      </c>
      <c r="V8525" t="s">
        <v>59896</v>
      </c>
      <c r="W8525" t="s">
        <v>43660</v>
      </c>
      <c r="X8525" t="s">
        <v>44915</v>
      </c>
    </row>
    <row r="8526" spans="1:24">
      <c r="A8526">
        <f>HYPERLINK("https://www.philgeps.gov.ph/GEPSNONPILOT/Tender/SplashBidNoticeAbstractUI.aspx?menuIndex=3&amp;refID=7068108&amp;Result=3","7068108")</f>
        <v>0</v>
      </c>
      <c r="B8526" t="s">
        <v>2494</v>
      </c>
      <c r="C8526" t="s">
        <v>11654</v>
      </c>
      <c r="D8526" t="s">
        <v>18117</v>
      </c>
      <c r="E8526" t="s">
        <v>25682</v>
      </c>
      <c r="F8526" t="s">
        <v>31362</v>
      </c>
      <c r="G8526" t="s">
        <v>31369</v>
      </c>
      <c r="H8526" t="s">
        <v>15799</v>
      </c>
      <c r="I8526" t="s">
        <v>31419</v>
      </c>
      <c r="J8526" t="s">
        <v>31983</v>
      </c>
      <c r="K8526" t="s">
        <v>40662</v>
      </c>
      <c r="M8526" t="s">
        <v>43661</v>
      </c>
      <c r="N8526" t="s">
        <v>44905</v>
      </c>
      <c r="O8526" t="s">
        <v>44906</v>
      </c>
      <c r="P8526">
        <v>0</v>
      </c>
      <c r="Q8526">
        <v>1</v>
      </c>
      <c r="R8526" t="s">
        <v>44911</v>
      </c>
      <c r="S8526" t="s">
        <v>45139</v>
      </c>
      <c r="T8526" t="s">
        <v>46393</v>
      </c>
      <c r="U8526" t="s">
        <v>53758</v>
      </c>
      <c r="V8526" t="s">
        <v>59897</v>
      </c>
      <c r="W8526" t="s">
        <v>43661</v>
      </c>
      <c r="X8526" t="s">
        <v>44915</v>
      </c>
    </row>
    <row r="8527" spans="1:24">
      <c r="A8527">
        <f>HYPERLINK("https://www.philgeps.gov.ph/GEPSNONPILOT/Tender/SplashBidNoticeAbstractUI.aspx?menuIndex=3&amp;refID=7068059&amp;Result=3","7068059")</f>
        <v>0</v>
      </c>
      <c r="B8527" t="s">
        <v>2494</v>
      </c>
      <c r="C8527" t="s">
        <v>11655</v>
      </c>
      <c r="D8527" t="s">
        <v>18117</v>
      </c>
      <c r="E8527" t="s">
        <v>25585</v>
      </c>
      <c r="F8527" t="s">
        <v>31362</v>
      </c>
      <c r="G8527" t="s">
        <v>31369</v>
      </c>
      <c r="H8527" t="s">
        <v>15799</v>
      </c>
      <c r="I8527" t="s">
        <v>31419</v>
      </c>
      <c r="J8527" t="s">
        <v>31536</v>
      </c>
      <c r="K8527" t="s">
        <v>40662</v>
      </c>
      <c r="M8527" t="s">
        <v>43661</v>
      </c>
      <c r="N8527" t="s">
        <v>44905</v>
      </c>
      <c r="O8527" t="s">
        <v>44906</v>
      </c>
      <c r="P8527">
        <v>0</v>
      </c>
      <c r="Q8527">
        <v>1</v>
      </c>
      <c r="R8527" t="s">
        <v>44911</v>
      </c>
      <c r="S8527" t="s">
        <v>45139</v>
      </c>
      <c r="T8527" t="s">
        <v>46393</v>
      </c>
      <c r="U8527" t="s">
        <v>53759</v>
      </c>
      <c r="V8527" t="s">
        <v>59898</v>
      </c>
      <c r="W8527" t="s">
        <v>43661</v>
      </c>
      <c r="X8527" t="s">
        <v>44915</v>
      </c>
    </row>
    <row r="8528" spans="1:24">
      <c r="A8528">
        <f>HYPERLINK("https://www.philgeps.gov.ph/GEPSNONPILOT/Tender/SplashBidNoticeAbstractUI.aspx?menuIndex=3&amp;refID=7067862&amp;Result=3","7067862")</f>
        <v>0</v>
      </c>
      <c r="B8528" t="s">
        <v>1417</v>
      </c>
      <c r="C8528" t="s">
        <v>11656</v>
      </c>
      <c r="E8528" t="s">
        <v>25683</v>
      </c>
      <c r="F8528" t="s">
        <v>31362</v>
      </c>
      <c r="G8528" t="s">
        <v>31368</v>
      </c>
      <c r="H8528" t="s">
        <v>15799</v>
      </c>
      <c r="I8528" t="s">
        <v>6373</v>
      </c>
      <c r="J8528" t="s">
        <v>36735</v>
      </c>
      <c r="K8528" t="s">
        <v>40661</v>
      </c>
      <c r="M8528" t="s">
        <v>43658</v>
      </c>
      <c r="N8528" t="s">
        <v>44905</v>
      </c>
      <c r="O8528" t="s">
        <v>44906</v>
      </c>
      <c r="P8528">
        <v>0</v>
      </c>
      <c r="Q8528">
        <v>10</v>
      </c>
      <c r="R8528" t="s">
        <v>44911</v>
      </c>
      <c r="S8528" t="s">
        <v>45139</v>
      </c>
      <c r="T8528" t="s">
        <v>46411</v>
      </c>
      <c r="U8528" t="s">
        <v>53751</v>
      </c>
      <c r="W8528" t="s">
        <v>43658</v>
      </c>
      <c r="X8528" t="s">
        <v>44915</v>
      </c>
    </row>
    <row r="8529" spans="1:24">
      <c r="A8529">
        <f>HYPERLINK("https://www.philgeps.gov.ph/GEPSNONPILOT/Tender/SplashBidNoticeAbstractUI.aspx?menuIndex=3&amp;refID=7067832&amp;Result=3","7067832")</f>
        <v>0</v>
      </c>
      <c r="B8529" t="s">
        <v>1089</v>
      </c>
      <c r="C8529" t="s">
        <v>11657</v>
      </c>
      <c r="D8529" t="s">
        <v>18106</v>
      </c>
      <c r="E8529" t="s">
        <v>25684</v>
      </c>
      <c r="F8529" t="s">
        <v>31362</v>
      </c>
      <c r="G8529" t="s">
        <v>31369</v>
      </c>
      <c r="H8529" t="s">
        <v>15799</v>
      </c>
      <c r="I8529" t="s">
        <v>4283</v>
      </c>
      <c r="J8529" t="s">
        <v>36736</v>
      </c>
      <c r="K8529" t="s">
        <v>40665</v>
      </c>
      <c r="M8529" t="s">
        <v>42094</v>
      </c>
      <c r="N8529" t="s">
        <v>44905</v>
      </c>
      <c r="O8529" t="s">
        <v>44906</v>
      </c>
      <c r="P8529">
        <v>0</v>
      </c>
      <c r="Q8529">
        <v>1</v>
      </c>
      <c r="R8529" t="s">
        <v>44911</v>
      </c>
      <c r="S8529" t="s">
        <v>45139</v>
      </c>
      <c r="T8529" t="s">
        <v>46779</v>
      </c>
      <c r="U8529" t="s">
        <v>53754</v>
      </c>
      <c r="W8529" t="s">
        <v>42094</v>
      </c>
      <c r="X8529" t="s">
        <v>44915</v>
      </c>
    </row>
    <row r="8530" spans="1:24">
      <c r="A8530">
        <f>HYPERLINK("https://www.philgeps.gov.ph/GEPSNONPILOT/Tender/SplashBidNoticeAbstractUI.aspx?menuIndex=3&amp;refID=7066990&amp;Result=3","7066990")</f>
        <v>0</v>
      </c>
      <c r="B8530" t="s">
        <v>663</v>
      </c>
      <c r="C8530" t="s">
        <v>11658</v>
      </c>
      <c r="D8530" t="s">
        <v>18103</v>
      </c>
      <c r="E8530" t="s">
        <v>18408</v>
      </c>
      <c r="F8530" t="s">
        <v>31362</v>
      </c>
      <c r="G8530" t="s">
        <v>31370</v>
      </c>
      <c r="H8530" t="s">
        <v>15799</v>
      </c>
      <c r="I8530" t="s">
        <v>31390</v>
      </c>
      <c r="J8530" t="s">
        <v>31733</v>
      </c>
      <c r="K8530" t="s">
        <v>40661</v>
      </c>
      <c r="M8530" t="s">
        <v>41625</v>
      </c>
      <c r="N8530" t="s">
        <v>44905</v>
      </c>
      <c r="O8530" t="s">
        <v>44906</v>
      </c>
      <c r="P8530">
        <v>0</v>
      </c>
      <c r="Q8530">
        <v>6</v>
      </c>
      <c r="R8530" t="s">
        <v>44911</v>
      </c>
      <c r="S8530" t="s">
        <v>45139</v>
      </c>
      <c r="T8530" t="s">
        <v>46411</v>
      </c>
      <c r="U8530" t="s">
        <v>53760</v>
      </c>
      <c r="W8530" t="s">
        <v>41625</v>
      </c>
      <c r="X8530" t="s">
        <v>44916</v>
      </c>
    </row>
    <row r="8531" spans="1:24">
      <c r="A8531">
        <f>HYPERLINK("https://www.philgeps.gov.ph/GEPSNONPILOT/Tender/SplashBidNoticeAbstractUI.aspx?menuIndex=3&amp;refID=7066712&amp;Result=3","7066712")</f>
        <v>0</v>
      </c>
      <c r="B8531" t="s">
        <v>2492</v>
      </c>
      <c r="C8531" t="s">
        <v>11659</v>
      </c>
      <c r="D8531" t="s">
        <v>18106</v>
      </c>
      <c r="E8531" t="s">
        <v>25685</v>
      </c>
      <c r="F8531" t="s">
        <v>31362</v>
      </c>
      <c r="G8531" t="s">
        <v>31369</v>
      </c>
      <c r="H8531" t="s">
        <v>31378</v>
      </c>
      <c r="I8531" t="s">
        <v>31386</v>
      </c>
      <c r="J8531" t="s">
        <v>31606</v>
      </c>
      <c r="K8531" t="s">
        <v>40662</v>
      </c>
      <c r="M8531" t="s">
        <v>43657</v>
      </c>
      <c r="N8531" t="s">
        <v>44905</v>
      </c>
      <c r="O8531" t="s">
        <v>44906</v>
      </c>
      <c r="P8531">
        <v>0</v>
      </c>
      <c r="Q8531">
        <v>5</v>
      </c>
      <c r="R8531" t="s">
        <v>44911</v>
      </c>
      <c r="S8531" t="s">
        <v>45139</v>
      </c>
      <c r="T8531" t="s">
        <v>46478</v>
      </c>
      <c r="U8531" t="s">
        <v>53761</v>
      </c>
      <c r="V8531" t="s">
        <v>59899</v>
      </c>
      <c r="W8531" t="s">
        <v>43657</v>
      </c>
      <c r="X8531" t="s">
        <v>44916</v>
      </c>
    </row>
    <row r="8532" spans="1:24">
      <c r="A8532">
        <f>HYPERLINK("https://www.philgeps.gov.ph/GEPSNONPILOT/Tender/SplashBidNoticeAbstractUI.aspx?menuIndex=3&amp;refID=7066602&amp;Result=3","7066602")</f>
        <v>0</v>
      </c>
      <c r="B8532" t="s">
        <v>1183</v>
      </c>
      <c r="C8532" t="s">
        <v>11660</v>
      </c>
      <c r="D8532" t="s">
        <v>18118</v>
      </c>
      <c r="E8532" t="s">
        <v>24957</v>
      </c>
      <c r="F8532" t="s">
        <v>31362</v>
      </c>
      <c r="G8532" t="s">
        <v>31369</v>
      </c>
      <c r="H8532" t="s">
        <v>15799</v>
      </c>
      <c r="I8532" t="s">
        <v>31404</v>
      </c>
      <c r="J8532" t="s">
        <v>36737</v>
      </c>
      <c r="K8532" t="s">
        <v>40661</v>
      </c>
      <c r="M8532" t="s">
        <v>42195</v>
      </c>
      <c r="N8532" t="s">
        <v>44905</v>
      </c>
      <c r="O8532" t="s">
        <v>44906</v>
      </c>
      <c r="P8532">
        <v>0</v>
      </c>
      <c r="Q8532">
        <v>0</v>
      </c>
      <c r="R8532" t="s">
        <v>44911</v>
      </c>
      <c r="S8532" t="s">
        <v>45139</v>
      </c>
      <c r="T8532" t="s">
        <v>46780</v>
      </c>
      <c r="U8532" t="s">
        <v>53762</v>
      </c>
      <c r="V8532" t="s">
        <v>59185</v>
      </c>
      <c r="W8532" t="s">
        <v>42195</v>
      </c>
      <c r="X8532" t="s">
        <v>44916</v>
      </c>
    </row>
    <row r="8533" spans="1:24">
      <c r="A8533">
        <f>HYPERLINK("https://www.philgeps.gov.ph/GEPSNONPILOT/Tender/SplashBidNoticeAbstractUI.aspx?menuIndex=3&amp;refID=7067460&amp;Result=3","7067460")</f>
        <v>0</v>
      </c>
      <c r="B8533" t="s">
        <v>2493</v>
      </c>
      <c r="C8533" t="s">
        <v>11661</v>
      </c>
      <c r="D8533" t="s">
        <v>18148</v>
      </c>
      <c r="E8533" t="s">
        <v>25686</v>
      </c>
      <c r="F8533" t="s">
        <v>31362</v>
      </c>
      <c r="G8533" t="s">
        <v>31369</v>
      </c>
      <c r="H8533" t="s">
        <v>15799</v>
      </c>
      <c r="I8533" t="s">
        <v>31382</v>
      </c>
      <c r="J8533" t="s">
        <v>35993</v>
      </c>
      <c r="K8533" t="s">
        <v>40682</v>
      </c>
      <c r="M8533" t="s">
        <v>43659</v>
      </c>
      <c r="N8533" t="s">
        <v>44905</v>
      </c>
      <c r="O8533" t="s">
        <v>44906</v>
      </c>
      <c r="P8533">
        <v>0</v>
      </c>
      <c r="Q8533">
        <v>9</v>
      </c>
      <c r="R8533" t="s">
        <v>44911</v>
      </c>
      <c r="S8533" t="s">
        <v>45139</v>
      </c>
      <c r="T8533" t="s">
        <v>46443</v>
      </c>
      <c r="U8533" t="s">
        <v>53763</v>
      </c>
      <c r="W8533" t="s">
        <v>43659</v>
      </c>
      <c r="X8533" t="s">
        <v>44915</v>
      </c>
    </row>
    <row r="8534" spans="1:24">
      <c r="A8534">
        <f>HYPERLINK("https://www.philgeps.gov.ph/GEPSNONPILOT/Tender/SplashBidNoticeAbstractUI.aspx?menuIndex=3&amp;refID=7067879&amp;Result=3","7067879")</f>
        <v>0</v>
      </c>
      <c r="B8534" t="s">
        <v>1417</v>
      </c>
      <c r="C8534" t="s">
        <v>11662</v>
      </c>
      <c r="E8534" t="s">
        <v>25687</v>
      </c>
      <c r="F8534" t="s">
        <v>31362</v>
      </c>
      <c r="G8534" t="s">
        <v>31368</v>
      </c>
      <c r="H8534" t="s">
        <v>15799</v>
      </c>
      <c r="I8534" t="s">
        <v>3815</v>
      </c>
      <c r="J8534" t="s">
        <v>34265</v>
      </c>
      <c r="K8534" t="s">
        <v>40661</v>
      </c>
      <c r="M8534" t="s">
        <v>43658</v>
      </c>
      <c r="N8534" t="s">
        <v>44905</v>
      </c>
      <c r="O8534" t="s">
        <v>44906</v>
      </c>
      <c r="P8534">
        <v>0</v>
      </c>
      <c r="Q8534">
        <v>2</v>
      </c>
      <c r="R8534" t="s">
        <v>44911</v>
      </c>
      <c r="S8534" t="s">
        <v>45139</v>
      </c>
      <c r="T8534" t="s">
        <v>46411</v>
      </c>
      <c r="U8534" t="s">
        <v>53751</v>
      </c>
      <c r="W8534" t="s">
        <v>43658</v>
      </c>
      <c r="X8534" t="s">
        <v>44915</v>
      </c>
    </row>
    <row r="8535" spans="1:24">
      <c r="A8535">
        <f>HYPERLINK("https://www.philgeps.gov.ph/GEPSNONPILOT/Tender/SplashBidNoticeAbstractUI.aspx?menuIndex=3&amp;refID=7065483&amp;Result=3","7065483")</f>
        <v>0</v>
      </c>
      <c r="B8535" t="s">
        <v>2495</v>
      </c>
      <c r="C8535" t="s">
        <v>11663</v>
      </c>
      <c r="D8535" t="s">
        <v>18127</v>
      </c>
      <c r="E8535" t="s">
        <v>19253</v>
      </c>
      <c r="F8535" t="s">
        <v>31362</v>
      </c>
      <c r="G8535" t="s">
        <v>31369</v>
      </c>
      <c r="H8535" t="s">
        <v>31378</v>
      </c>
      <c r="I8535" t="s">
        <v>31386</v>
      </c>
      <c r="J8535" t="s">
        <v>31606</v>
      </c>
      <c r="K8535" t="s">
        <v>40679</v>
      </c>
      <c r="M8535" t="s">
        <v>43662</v>
      </c>
      <c r="N8535" t="s">
        <v>44905</v>
      </c>
      <c r="O8535" t="s">
        <v>44906</v>
      </c>
      <c r="P8535">
        <v>0</v>
      </c>
      <c r="Q8535">
        <v>0</v>
      </c>
      <c r="R8535" t="s">
        <v>44911</v>
      </c>
      <c r="S8535" t="s">
        <v>45139</v>
      </c>
      <c r="T8535" t="s">
        <v>46419</v>
      </c>
      <c r="U8535" t="s">
        <v>53764</v>
      </c>
      <c r="V8535" t="s">
        <v>59900</v>
      </c>
      <c r="W8535" t="s">
        <v>43662</v>
      </c>
      <c r="X8535" t="s">
        <v>44916</v>
      </c>
    </row>
    <row r="8536" spans="1:24">
      <c r="A8536">
        <f>HYPERLINK("https://www.philgeps.gov.ph/GEPSNONPILOT/Tender/SplashBidNoticeAbstractUI.aspx?menuIndex=3&amp;refID=7065564&amp;Result=3","7065564")</f>
        <v>0</v>
      </c>
      <c r="B8536" t="s">
        <v>2496</v>
      </c>
      <c r="C8536" t="s">
        <v>11664</v>
      </c>
      <c r="D8536" t="s">
        <v>18151</v>
      </c>
      <c r="E8536" t="s">
        <v>25688</v>
      </c>
      <c r="F8536" t="s">
        <v>31362</v>
      </c>
      <c r="G8536" t="s">
        <v>31369</v>
      </c>
      <c r="H8536" t="s">
        <v>15799</v>
      </c>
      <c r="I8536" t="s">
        <v>3815</v>
      </c>
      <c r="J8536" t="s">
        <v>36738</v>
      </c>
      <c r="K8536" t="s">
        <v>40670</v>
      </c>
      <c r="M8536" t="s">
        <v>43663</v>
      </c>
      <c r="N8536" t="s">
        <v>44905</v>
      </c>
      <c r="O8536" t="s">
        <v>44906</v>
      </c>
      <c r="P8536">
        <v>0</v>
      </c>
      <c r="Q8536">
        <v>1</v>
      </c>
      <c r="R8536" t="s">
        <v>44911</v>
      </c>
      <c r="S8536" t="s">
        <v>45139</v>
      </c>
      <c r="T8536" t="s">
        <v>46411</v>
      </c>
      <c r="U8536" t="s">
        <v>53765</v>
      </c>
      <c r="V8536" t="s">
        <v>59901</v>
      </c>
      <c r="W8536" t="s">
        <v>43663</v>
      </c>
      <c r="X8536" t="s">
        <v>44916</v>
      </c>
    </row>
    <row r="8537" spans="1:24">
      <c r="A8537">
        <f>HYPERLINK("https://www.philgeps.gov.ph/GEPSNONPILOT/Tender/SplashBidNoticeAbstractUI.aspx?menuIndex=3&amp;refID=7068295&amp;Result=3","7068295")</f>
        <v>0</v>
      </c>
      <c r="B8537" t="s">
        <v>2497</v>
      </c>
      <c r="C8537" t="s">
        <v>11665</v>
      </c>
      <c r="D8537" t="s">
        <v>18125</v>
      </c>
      <c r="E8537" t="s">
        <v>25689</v>
      </c>
      <c r="F8537" t="s">
        <v>31362</v>
      </c>
      <c r="G8537" t="s">
        <v>31369</v>
      </c>
      <c r="H8537" t="s">
        <v>15799</v>
      </c>
      <c r="I8537" t="s">
        <v>31393</v>
      </c>
      <c r="J8537" t="s">
        <v>36739</v>
      </c>
      <c r="K8537" t="s">
        <v>40679</v>
      </c>
      <c r="M8537" t="s">
        <v>43664</v>
      </c>
      <c r="N8537" t="s">
        <v>44905</v>
      </c>
      <c r="O8537" t="s">
        <v>44906</v>
      </c>
      <c r="P8537">
        <v>0</v>
      </c>
      <c r="Q8537">
        <v>5</v>
      </c>
      <c r="R8537" t="s">
        <v>44911</v>
      </c>
      <c r="S8537" t="s">
        <v>45139</v>
      </c>
      <c r="T8537" t="s">
        <v>46400</v>
      </c>
      <c r="U8537" t="s">
        <v>53766</v>
      </c>
      <c r="W8537" t="s">
        <v>43664</v>
      </c>
      <c r="X8537" t="s">
        <v>44915</v>
      </c>
    </row>
    <row r="8538" spans="1:24">
      <c r="A8538">
        <f>HYPERLINK("https://www.philgeps.gov.ph/GEPSNONPILOT/Tender/SplashBidNoticeAbstractUI.aspx?menuIndex=3&amp;refID=7044005&amp;Result=3","7044005")</f>
        <v>0</v>
      </c>
      <c r="B8538" t="s">
        <v>183</v>
      </c>
      <c r="C8538" t="s">
        <v>11666</v>
      </c>
      <c r="D8538" t="s">
        <v>18129</v>
      </c>
      <c r="E8538" t="s">
        <v>25690</v>
      </c>
      <c r="F8538" t="s">
        <v>31362</v>
      </c>
      <c r="G8538" t="s">
        <v>31369</v>
      </c>
      <c r="H8538" t="s">
        <v>31378</v>
      </c>
      <c r="I8538" t="s">
        <v>31386</v>
      </c>
      <c r="J8538" t="s">
        <v>31606</v>
      </c>
      <c r="K8538" t="s">
        <v>40679</v>
      </c>
      <c r="M8538" t="s">
        <v>41121</v>
      </c>
      <c r="N8538" t="s">
        <v>44905</v>
      </c>
      <c r="O8538" t="s">
        <v>44906</v>
      </c>
      <c r="P8538">
        <v>0</v>
      </c>
      <c r="Q8538">
        <v>0</v>
      </c>
      <c r="R8538" t="s">
        <v>44911</v>
      </c>
      <c r="S8538" t="s">
        <v>45139</v>
      </c>
      <c r="T8538" t="s">
        <v>46433</v>
      </c>
      <c r="U8538" t="s">
        <v>53767</v>
      </c>
      <c r="W8538" t="s">
        <v>41121</v>
      </c>
      <c r="X8538" t="s">
        <v>44926</v>
      </c>
    </row>
    <row r="8539" spans="1:24">
      <c r="A8539">
        <f>HYPERLINK("https://www.philgeps.gov.ph/GEPSNONPILOT/Tender/SplashBidNoticeAbstractUI.aspx?menuIndex=3&amp;refID=7067481&amp;Result=3","7067481")</f>
        <v>0</v>
      </c>
      <c r="B8539" t="s">
        <v>2493</v>
      </c>
      <c r="C8539" t="s">
        <v>11667</v>
      </c>
      <c r="D8539" t="s">
        <v>18148</v>
      </c>
      <c r="E8539" t="s">
        <v>25691</v>
      </c>
      <c r="F8539" t="s">
        <v>31362</v>
      </c>
      <c r="G8539" t="s">
        <v>31369</v>
      </c>
      <c r="H8539" t="s">
        <v>15799</v>
      </c>
      <c r="I8539" t="s">
        <v>4283</v>
      </c>
      <c r="J8539" t="s">
        <v>34906</v>
      </c>
      <c r="K8539" t="s">
        <v>40682</v>
      </c>
      <c r="M8539" t="s">
        <v>43659</v>
      </c>
      <c r="N8539" t="s">
        <v>44905</v>
      </c>
      <c r="O8539" t="s">
        <v>44906</v>
      </c>
      <c r="P8539">
        <v>0</v>
      </c>
      <c r="Q8539">
        <v>3</v>
      </c>
      <c r="R8539" t="s">
        <v>44911</v>
      </c>
      <c r="S8539" t="s">
        <v>45139</v>
      </c>
      <c r="T8539" t="s">
        <v>46443</v>
      </c>
      <c r="U8539" t="s">
        <v>53768</v>
      </c>
      <c r="W8539" t="s">
        <v>43659</v>
      </c>
      <c r="X8539" t="s">
        <v>44915</v>
      </c>
    </row>
    <row r="8540" spans="1:24">
      <c r="A8540">
        <f>HYPERLINK("https://www.philgeps.gov.ph/GEPSNONPILOT/Tender/SplashBidNoticeAbstractUI.aspx?menuIndex=3&amp;refID=7065416&amp;Result=3","7065416")</f>
        <v>0</v>
      </c>
      <c r="B8540" t="s">
        <v>2495</v>
      </c>
      <c r="C8540" t="s">
        <v>11668</v>
      </c>
      <c r="D8540" t="s">
        <v>18127</v>
      </c>
      <c r="E8540" t="s">
        <v>25692</v>
      </c>
      <c r="F8540" t="s">
        <v>31362</v>
      </c>
      <c r="G8540" t="s">
        <v>31369</v>
      </c>
      <c r="H8540" t="s">
        <v>31378</v>
      </c>
      <c r="I8540" t="s">
        <v>31386</v>
      </c>
      <c r="J8540" t="s">
        <v>31637</v>
      </c>
      <c r="K8540" t="s">
        <v>40686</v>
      </c>
      <c r="M8540" t="s">
        <v>43662</v>
      </c>
      <c r="N8540" t="s">
        <v>44905</v>
      </c>
      <c r="O8540" t="s">
        <v>44906</v>
      </c>
      <c r="P8540">
        <v>0</v>
      </c>
      <c r="Q8540">
        <v>0</v>
      </c>
      <c r="R8540" t="s">
        <v>44911</v>
      </c>
      <c r="S8540" t="s">
        <v>45139</v>
      </c>
      <c r="T8540" t="s">
        <v>46464</v>
      </c>
      <c r="U8540" t="s">
        <v>49253</v>
      </c>
      <c r="V8540" t="s">
        <v>59900</v>
      </c>
      <c r="W8540" t="s">
        <v>43662</v>
      </c>
      <c r="X8540" t="s">
        <v>44916</v>
      </c>
    </row>
    <row r="8541" spans="1:24">
      <c r="A8541">
        <f>HYPERLINK("https://www.philgeps.gov.ph/GEPSNONPILOT/Tender/SplashBidNoticeAbstractUI.aspx?menuIndex=3&amp;refID=7068808&amp;Result=3","7068808")</f>
        <v>0</v>
      </c>
      <c r="B8541" t="s">
        <v>2498</v>
      </c>
      <c r="C8541" t="s">
        <v>11669</v>
      </c>
      <c r="D8541" t="s">
        <v>18142</v>
      </c>
      <c r="E8541" t="s">
        <v>25693</v>
      </c>
      <c r="F8541" t="s">
        <v>31362</v>
      </c>
      <c r="G8541" t="s">
        <v>31369</v>
      </c>
      <c r="H8541" t="s">
        <v>31378</v>
      </c>
      <c r="I8541" t="s">
        <v>31386</v>
      </c>
      <c r="J8541" t="s">
        <v>36740</v>
      </c>
      <c r="K8541" t="s">
        <v>40770</v>
      </c>
      <c r="M8541" t="s">
        <v>43665</v>
      </c>
      <c r="N8541" t="s">
        <v>44905</v>
      </c>
      <c r="O8541" t="s">
        <v>44906</v>
      </c>
      <c r="P8541">
        <v>0</v>
      </c>
      <c r="Q8541">
        <v>0</v>
      </c>
      <c r="R8541" t="s">
        <v>44911</v>
      </c>
      <c r="S8541" t="s">
        <v>45139</v>
      </c>
      <c r="T8541" t="s">
        <v>46434</v>
      </c>
      <c r="U8541" t="s">
        <v>53769</v>
      </c>
      <c r="V8541" t="s">
        <v>59902</v>
      </c>
      <c r="W8541" t="s">
        <v>43665</v>
      </c>
      <c r="X8541" t="s">
        <v>44915</v>
      </c>
    </row>
    <row r="8542" spans="1:24">
      <c r="A8542">
        <f>HYPERLINK("https://www.philgeps.gov.ph/GEPSNONPILOT/Tender/SplashBidNoticeAbstractUI.aspx?menuIndex=3&amp;refID=7068750&amp;Result=3","7068750")</f>
        <v>0</v>
      </c>
      <c r="B8542" t="s">
        <v>2494</v>
      </c>
      <c r="C8542" t="s">
        <v>11670</v>
      </c>
      <c r="E8542" t="s">
        <v>24957</v>
      </c>
      <c r="F8542" t="s">
        <v>31362</v>
      </c>
      <c r="G8542" t="s">
        <v>31369</v>
      </c>
      <c r="H8542" t="s">
        <v>15799</v>
      </c>
      <c r="I8542" t="s">
        <v>31445</v>
      </c>
      <c r="J8542" t="s">
        <v>31634</v>
      </c>
      <c r="K8542" t="s">
        <v>40662</v>
      </c>
      <c r="M8542" t="s">
        <v>43661</v>
      </c>
      <c r="N8542" t="s">
        <v>44905</v>
      </c>
      <c r="O8542" t="s">
        <v>44906</v>
      </c>
      <c r="P8542">
        <v>0</v>
      </c>
      <c r="Q8542">
        <v>1</v>
      </c>
      <c r="R8542" t="s">
        <v>44911</v>
      </c>
      <c r="S8542" t="s">
        <v>45139</v>
      </c>
      <c r="T8542" t="s">
        <v>46511</v>
      </c>
      <c r="U8542" t="s">
        <v>53770</v>
      </c>
      <c r="V8542" t="s">
        <v>59903</v>
      </c>
      <c r="W8542" t="s">
        <v>43661</v>
      </c>
      <c r="X8542" t="s">
        <v>44915</v>
      </c>
    </row>
    <row r="8543" spans="1:24">
      <c r="A8543">
        <f>HYPERLINK("https://www.philgeps.gov.ph/GEPSNONPILOT/Tender/SplashBidNoticeAbstractUI.aspx?menuIndex=3&amp;refID=7068595&amp;Result=3","7068595")</f>
        <v>0</v>
      </c>
      <c r="B8543" t="s">
        <v>1183</v>
      </c>
      <c r="C8543" t="s">
        <v>11671</v>
      </c>
      <c r="D8543" t="s">
        <v>18118</v>
      </c>
      <c r="E8543" t="s">
        <v>23531</v>
      </c>
      <c r="F8543" t="s">
        <v>31362</v>
      </c>
      <c r="G8543" t="s">
        <v>31369</v>
      </c>
      <c r="H8543" t="s">
        <v>15799</v>
      </c>
      <c r="I8543" t="s">
        <v>31404</v>
      </c>
      <c r="J8543" t="s">
        <v>36741</v>
      </c>
      <c r="K8543" t="s">
        <v>40661</v>
      </c>
      <c r="M8543" t="s">
        <v>42195</v>
      </c>
      <c r="N8543" t="s">
        <v>44905</v>
      </c>
      <c r="O8543" t="s">
        <v>44906</v>
      </c>
      <c r="P8543">
        <v>0</v>
      </c>
      <c r="Q8543">
        <v>0</v>
      </c>
      <c r="R8543" t="s">
        <v>44911</v>
      </c>
      <c r="S8543" t="s">
        <v>45139</v>
      </c>
      <c r="T8543" t="s">
        <v>46781</v>
      </c>
      <c r="U8543" t="s">
        <v>53771</v>
      </c>
      <c r="V8543" t="s">
        <v>59904</v>
      </c>
      <c r="W8543" t="s">
        <v>42195</v>
      </c>
      <c r="X8543" t="s">
        <v>44915</v>
      </c>
    </row>
    <row r="8544" spans="1:24">
      <c r="A8544">
        <f>HYPERLINK("https://www.philgeps.gov.ph/GEPSNONPILOT/Tender/SplashBidNoticeAbstractUI.aspx?menuIndex=3&amp;refID=7068423&amp;Result=3","7068423")</f>
        <v>0</v>
      </c>
      <c r="B8544" t="s">
        <v>2494</v>
      </c>
      <c r="C8544" t="s">
        <v>11672</v>
      </c>
      <c r="D8544" t="s">
        <v>18117</v>
      </c>
      <c r="E8544" t="s">
        <v>25694</v>
      </c>
      <c r="F8544" t="s">
        <v>31362</v>
      </c>
      <c r="G8544" t="s">
        <v>31369</v>
      </c>
      <c r="H8544" t="s">
        <v>15799</v>
      </c>
      <c r="I8544" t="s">
        <v>31422</v>
      </c>
      <c r="J8544" t="s">
        <v>36742</v>
      </c>
      <c r="K8544" t="s">
        <v>40662</v>
      </c>
      <c r="M8544" t="s">
        <v>43661</v>
      </c>
      <c r="N8544" t="s">
        <v>44905</v>
      </c>
      <c r="O8544" t="s">
        <v>44906</v>
      </c>
      <c r="P8544">
        <v>0</v>
      </c>
      <c r="Q8544">
        <v>7</v>
      </c>
      <c r="R8544" t="s">
        <v>44911</v>
      </c>
      <c r="S8544" t="s">
        <v>45139</v>
      </c>
      <c r="T8544" t="s">
        <v>46511</v>
      </c>
      <c r="U8544" t="s">
        <v>53772</v>
      </c>
      <c r="V8544" t="s">
        <v>59905</v>
      </c>
      <c r="W8544" t="s">
        <v>43661</v>
      </c>
      <c r="X8544" t="s">
        <v>44915</v>
      </c>
    </row>
    <row r="8545" spans="1:24">
      <c r="A8545">
        <f>HYPERLINK("https://www.philgeps.gov.ph/GEPSNONPILOT/Tender/SplashBidNoticeAbstractUI.aspx?menuIndex=3&amp;refID=7068558&amp;Result=3","7068558")</f>
        <v>0</v>
      </c>
      <c r="B8545" t="s">
        <v>88</v>
      </c>
      <c r="C8545" t="s">
        <v>11673</v>
      </c>
      <c r="D8545" t="s">
        <v>18135</v>
      </c>
      <c r="E8545" t="s">
        <v>25695</v>
      </c>
      <c r="F8545" t="s">
        <v>31364</v>
      </c>
      <c r="G8545" t="s">
        <v>31370</v>
      </c>
      <c r="H8545" t="s">
        <v>15799</v>
      </c>
      <c r="I8545" t="s">
        <v>31409</v>
      </c>
      <c r="J8545" t="s">
        <v>31785</v>
      </c>
      <c r="K8545" t="s">
        <v>40682</v>
      </c>
      <c r="M8545" t="s">
        <v>41025</v>
      </c>
      <c r="N8545" t="s">
        <v>44905</v>
      </c>
      <c r="O8545" t="s">
        <v>44906</v>
      </c>
      <c r="Q8545">
        <v>6</v>
      </c>
      <c r="R8545" t="s">
        <v>44911</v>
      </c>
      <c r="S8545" t="s">
        <v>45142</v>
      </c>
      <c r="T8545" t="s">
        <v>46453</v>
      </c>
      <c r="U8545" t="s">
        <v>53773</v>
      </c>
      <c r="W8545" t="s">
        <v>41025</v>
      </c>
      <c r="X8545" t="s">
        <v>44915</v>
      </c>
    </row>
    <row r="8546" spans="1:24">
      <c r="A8546">
        <f>HYPERLINK("https://www.philgeps.gov.ph/GEPSNONPILOT/Tender/SplashBidNoticeAbstractUI.aspx?menuIndex=3&amp;refID=7068531&amp;Result=3","7068531")</f>
        <v>0</v>
      </c>
      <c r="B8546" t="s">
        <v>182</v>
      </c>
      <c r="C8546" t="s">
        <v>11674</v>
      </c>
      <c r="D8546" t="s">
        <v>18101</v>
      </c>
      <c r="E8546" t="s">
        <v>25696</v>
      </c>
      <c r="F8546" t="s">
        <v>31362</v>
      </c>
      <c r="G8546" t="s">
        <v>31372</v>
      </c>
      <c r="H8546" t="s">
        <v>15799</v>
      </c>
      <c r="I8546" t="s">
        <v>4283</v>
      </c>
      <c r="J8546" t="s">
        <v>36743</v>
      </c>
      <c r="K8546" t="s">
        <v>40662</v>
      </c>
      <c r="M8546" t="s">
        <v>41120</v>
      </c>
      <c r="N8546" t="s">
        <v>44905</v>
      </c>
      <c r="O8546" t="s">
        <v>44906</v>
      </c>
      <c r="P8546">
        <v>0</v>
      </c>
      <c r="Q8546">
        <v>2</v>
      </c>
      <c r="R8546" t="s">
        <v>44911</v>
      </c>
      <c r="S8546" t="s">
        <v>45139</v>
      </c>
      <c r="T8546" t="s">
        <v>46434</v>
      </c>
      <c r="U8546" t="s">
        <v>53774</v>
      </c>
      <c r="W8546" t="s">
        <v>60840</v>
      </c>
      <c r="X8546" t="s">
        <v>44915</v>
      </c>
    </row>
    <row r="8547" spans="1:24">
      <c r="A8547">
        <f>HYPERLINK("https://www.philgeps.gov.ph/GEPSNONPILOT/Tender/SplashBidNoticeAbstractUI.aspx?menuIndex=3&amp;refID=7068493&amp;Result=3","7068493")</f>
        <v>0</v>
      </c>
      <c r="B8547" t="s">
        <v>2494</v>
      </c>
      <c r="C8547" t="s">
        <v>11675</v>
      </c>
      <c r="E8547" t="s">
        <v>24311</v>
      </c>
      <c r="F8547" t="s">
        <v>31362</v>
      </c>
      <c r="G8547" t="s">
        <v>31369</v>
      </c>
      <c r="H8547" t="s">
        <v>15799</v>
      </c>
      <c r="I8547" t="s">
        <v>6373</v>
      </c>
      <c r="J8547" t="s">
        <v>31531</v>
      </c>
      <c r="K8547" t="s">
        <v>40662</v>
      </c>
      <c r="M8547" t="s">
        <v>43661</v>
      </c>
      <c r="N8547" t="s">
        <v>44905</v>
      </c>
      <c r="O8547" t="s">
        <v>44906</v>
      </c>
      <c r="P8547">
        <v>0</v>
      </c>
      <c r="Q8547">
        <v>1</v>
      </c>
      <c r="R8547" t="s">
        <v>44911</v>
      </c>
      <c r="S8547" t="s">
        <v>45139</v>
      </c>
      <c r="T8547" t="s">
        <v>46393</v>
      </c>
      <c r="U8547" t="s">
        <v>53775</v>
      </c>
      <c r="V8547" t="s">
        <v>59906</v>
      </c>
      <c r="W8547" t="s">
        <v>43661</v>
      </c>
      <c r="X8547" t="s">
        <v>44915</v>
      </c>
    </row>
    <row r="8548" spans="1:24">
      <c r="A8548">
        <f>HYPERLINK("https://www.philgeps.gov.ph/GEPSNONPILOT/Tender/SplashBidNoticeAbstractUI.aspx?menuIndex=3&amp;refID=7068476&amp;Result=3","7068476")</f>
        <v>0</v>
      </c>
      <c r="B8548" t="s">
        <v>182</v>
      </c>
      <c r="C8548" t="s">
        <v>11676</v>
      </c>
      <c r="D8548" t="s">
        <v>18101</v>
      </c>
      <c r="E8548" t="s">
        <v>25697</v>
      </c>
      <c r="F8548" t="s">
        <v>31362</v>
      </c>
      <c r="G8548" t="s">
        <v>31372</v>
      </c>
      <c r="H8548" t="s">
        <v>15799</v>
      </c>
      <c r="I8548" t="s">
        <v>6155</v>
      </c>
      <c r="J8548" t="s">
        <v>31734</v>
      </c>
      <c r="K8548" t="s">
        <v>40662</v>
      </c>
      <c r="M8548" t="s">
        <v>41120</v>
      </c>
      <c r="N8548" t="s">
        <v>44905</v>
      </c>
      <c r="O8548" t="s">
        <v>44906</v>
      </c>
      <c r="P8548">
        <v>0</v>
      </c>
      <c r="Q8548">
        <v>10</v>
      </c>
      <c r="R8548" t="s">
        <v>44911</v>
      </c>
      <c r="S8548" t="s">
        <v>45139</v>
      </c>
      <c r="T8548" t="s">
        <v>46434</v>
      </c>
      <c r="U8548" t="s">
        <v>53776</v>
      </c>
      <c r="W8548" t="s">
        <v>60840</v>
      </c>
      <c r="X8548" t="s">
        <v>44915</v>
      </c>
    </row>
    <row r="8549" spans="1:24">
      <c r="A8549">
        <f>HYPERLINK("https://www.philgeps.gov.ph/GEPSNONPILOT/Tender/SplashBidNoticeAbstractUI.aspx?menuIndex=3&amp;refID=7068511&amp;Result=3","7068511")</f>
        <v>0</v>
      </c>
      <c r="B8549" t="s">
        <v>2494</v>
      </c>
      <c r="C8549" t="s">
        <v>11677</v>
      </c>
      <c r="E8549" t="s">
        <v>24938</v>
      </c>
      <c r="F8549" t="s">
        <v>31362</v>
      </c>
      <c r="G8549" t="s">
        <v>31369</v>
      </c>
      <c r="H8549" t="s">
        <v>15799</v>
      </c>
      <c r="I8549" t="s">
        <v>31453</v>
      </c>
      <c r="J8549" t="s">
        <v>34265</v>
      </c>
      <c r="K8549" t="s">
        <v>40662</v>
      </c>
      <c r="M8549" t="s">
        <v>43661</v>
      </c>
      <c r="N8549" t="s">
        <v>44905</v>
      </c>
      <c r="O8549" t="s">
        <v>44906</v>
      </c>
      <c r="P8549">
        <v>0</v>
      </c>
      <c r="Q8549">
        <v>2</v>
      </c>
      <c r="R8549" t="s">
        <v>44911</v>
      </c>
      <c r="S8549" t="s">
        <v>45139</v>
      </c>
      <c r="T8549" t="s">
        <v>46511</v>
      </c>
      <c r="U8549" t="s">
        <v>53777</v>
      </c>
      <c r="V8549" t="s">
        <v>59907</v>
      </c>
      <c r="W8549" t="s">
        <v>43661</v>
      </c>
      <c r="X8549" t="s">
        <v>44915</v>
      </c>
    </row>
    <row r="8550" spans="1:24">
      <c r="A8550">
        <f>HYPERLINK("https://www.philgeps.gov.ph/GEPSNONPILOT/Tender/SplashBidNoticeAbstractUI.aspx?menuIndex=3&amp;refID=7068488&amp;Result=3","7068488")</f>
        <v>0</v>
      </c>
      <c r="B8550" t="s">
        <v>182</v>
      </c>
      <c r="C8550" t="s">
        <v>11678</v>
      </c>
      <c r="D8550" t="s">
        <v>18101</v>
      </c>
      <c r="E8550" t="s">
        <v>25698</v>
      </c>
      <c r="F8550" t="s">
        <v>31362</v>
      </c>
      <c r="G8550" t="s">
        <v>31372</v>
      </c>
      <c r="H8550" t="s">
        <v>15799</v>
      </c>
      <c r="I8550" t="s">
        <v>31409</v>
      </c>
      <c r="J8550" t="s">
        <v>32204</v>
      </c>
      <c r="K8550" t="s">
        <v>40662</v>
      </c>
      <c r="M8550" t="s">
        <v>41120</v>
      </c>
      <c r="N8550" t="s">
        <v>44905</v>
      </c>
      <c r="O8550" t="s">
        <v>44906</v>
      </c>
      <c r="P8550">
        <v>0</v>
      </c>
      <c r="Q8550">
        <v>2</v>
      </c>
      <c r="R8550" t="s">
        <v>44911</v>
      </c>
      <c r="S8550" t="s">
        <v>45139</v>
      </c>
      <c r="T8550" t="s">
        <v>46434</v>
      </c>
      <c r="U8550" t="s">
        <v>53778</v>
      </c>
      <c r="W8550" t="s">
        <v>60840</v>
      </c>
      <c r="X8550" t="s">
        <v>44915</v>
      </c>
    </row>
    <row r="8551" spans="1:24">
      <c r="A8551">
        <f>HYPERLINK("https://www.philgeps.gov.ph/GEPSNONPILOT/Tender/SplashBidNoticeAbstractUI.aspx?menuIndex=3&amp;refID=7068459&amp;Result=3","7068459")</f>
        <v>0</v>
      </c>
      <c r="B8551" t="s">
        <v>2494</v>
      </c>
      <c r="C8551" t="s">
        <v>11679</v>
      </c>
      <c r="E8551" t="s">
        <v>25699</v>
      </c>
      <c r="F8551" t="s">
        <v>31362</v>
      </c>
      <c r="G8551" t="s">
        <v>31369</v>
      </c>
      <c r="H8551" t="s">
        <v>15799</v>
      </c>
      <c r="I8551" t="s">
        <v>31418</v>
      </c>
      <c r="J8551" t="s">
        <v>36744</v>
      </c>
      <c r="K8551" t="s">
        <v>40662</v>
      </c>
      <c r="M8551" t="s">
        <v>43661</v>
      </c>
      <c r="N8551" t="s">
        <v>44905</v>
      </c>
      <c r="O8551" t="s">
        <v>44906</v>
      </c>
      <c r="P8551">
        <v>0</v>
      </c>
      <c r="Q8551">
        <v>0</v>
      </c>
      <c r="R8551" t="s">
        <v>44911</v>
      </c>
      <c r="S8551" t="s">
        <v>45139</v>
      </c>
      <c r="T8551" t="s">
        <v>46511</v>
      </c>
      <c r="U8551" t="s">
        <v>53779</v>
      </c>
      <c r="V8551" t="s">
        <v>59908</v>
      </c>
      <c r="W8551" t="s">
        <v>43661</v>
      </c>
      <c r="X8551" t="s">
        <v>44915</v>
      </c>
    </row>
    <row r="8552" spans="1:24">
      <c r="A8552">
        <f>HYPERLINK("https://www.philgeps.gov.ph/GEPSNONPILOT/Tender/SplashBidNoticeAbstractUI.aspx?menuIndex=3&amp;refID=7068448&amp;Result=3","7068448")</f>
        <v>0</v>
      </c>
      <c r="B8552" t="s">
        <v>2494</v>
      </c>
      <c r="C8552" t="s">
        <v>11680</v>
      </c>
      <c r="D8552" t="s">
        <v>18117</v>
      </c>
      <c r="E8552" t="s">
        <v>25700</v>
      </c>
      <c r="F8552" t="s">
        <v>31362</v>
      </c>
      <c r="G8552" t="s">
        <v>31369</v>
      </c>
      <c r="H8552" t="s">
        <v>15799</v>
      </c>
      <c r="I8552" t="s">
        <v>31393</v>
      </c>
      <c r="J8552" t="s">
        <v>32171</v>
      </c>
      <c r="K8552" t="s">
        <v>40662</v>
      </c>
      <c r="M8552" t="s">
        <v>43661</v>
      </c>
      <c r="N8552" t="s">
        <v>44905</v>
      </c>
      <c r="O8552" t="s">
        <v>44906</v>
      </c>
      <c r="P8552">
        <v>0</v>
      </c>
      <c r="Q8552">
        <v>4</v>
      </c>
      <c r="R8552" t="s">
        <v>44911</v>
      </c>
      <c r="S8552" t="s">
        <v>45139</v>
      </c>
      <c r="T8552" t="s">
        <v>46511</v>
      </c>
      <c r="U8552" t="s">
        <v>53780</v>
      </c>
      <c r="V8552" t="s">
        <v>59909</v>
      </c>
      <c r="W8552" t="s">
        <v>43661</v>
      </c>
      <c r="X8552" t="s">
        <v>44915</v>
      </c>
    </row>
    <row r="8553" spans="1:24">
      <c r="A8553">
        <f>HYPERLINK("https://www.philgeps.gov.ph/GEPSNONPILOT/Tender/SplashBidNoticeAbstractUI.aspx?menuIndex=3&amp;refID=7068466&amp;Result=3","7068466")</f>
        <v>0</v>
      </c>
      <c r="B8553" t="s">
        <v>182</v>
      </c>
      <c r="C8553" t="s">
        <v>11681</v>
      </c>
      <c r="D8553" t="s">
        <v>18101</v>
      </c>
      <c r="E8553" t="s">
        <v>21508</v>
      </c>
      <c r="F8553" t="s">
        <v>31362</v>
      </c>
      <c r="G8553" t="s">
        <v>31372</v>
      </c>
      <c r="H8553" t="s">
        <v>15799</v>
      </c>
      <c r="I8553" t="s">
        <v>31393</v>
      </c>
      <c r="J8553" t="s">
        <v>36745</v>
      </c>
      <c r="K8553" t="s">
        <v>40662</v>
      </c>
      <c r="M8553" t="s">
        <v>41120</v>
      </c>
      <c r="N8553" t="s">
        <v>44905</v>
      </c>
      <c r="O8553" t="s">
        <v>44906</v>
      </c>
      <c r="P8553">
        <v>0</v>
      </c>
      <c r="Q8553">
        <v>1</v>
      </c>
      <c r="R8553" t="s">
        <v>44911</v>
      </c>
      <c r="S8553" t="s">
        <v>45139</v>
      </c>
      <c r="T8553" t="s">
        <v>46434</v>
      </c>
      <c r="U8553" t="s">
        <v>53781</v>
      </c>
      <c r="W8553" t="s">
        <v>60840</v>
      </c>
      <c r="X8553" t="s">
        <v>44915</v>
      </c>
    </row>
    <row r="8554" spans="1:24">
      <c r="A8554">
        <f>HYPERLINK("https://www.philgeps.gov.ph/GEPSNONPILOT/Tender/SplashBidNoticeAbstractUI.aspx?menuIndex=3&amp;refID=7066032&amp;Result=3","7066032")</f>
        <v>0</v>
      </c>
      <c r="B8554" t="s">
        <v>2499</v>
      </c>
      <c r="C8554" t="s">
        <v>11682</v>
      </c>
      <c r="D8554" t="s">
        <v>18112</v>
      </c>
      <c r="E8554" t="s">
        <v>25701</v>
      </c>
      <c r="F8554" t="s">
        <v>31362</v>
      </c>
      <c r="G8554" t="s">
        <v>31369</v>
      </c>
      <c r="H8554" t="s">
        <v>15799</v>
      </c>
      <c r="I8554" t="s">
        <v>31427</v>
      </c>
      <c r="J8554" t="s">
        <v>36746</v>
      </c>
      <c r="K8554" t="s">
        <v>40675</v>
      </c>
      <c r="M8554" t="s">
        <v>43666</v>
      </c>
      <c r="N8554" t="s">
        <v>44905</v>
      </c>
      <c r="O8554" t="s">
        <v>44906</v>
      </c>
      <c r="P8554">
        <v>0</v>
      </c>
      <c r="Q8554">
        <v>7</v>
      </c>
      <c r="R8554" t="s">
        <v>44911</v>
      </c>
      <c r="S8554" t="s">
        <v>45139</v>
      </c>
      <c r="T8554" t="s">
        <v>46438</v>
      </c>
      <c r="U8554" t="s">
        <v>53782</v>
      </c>
      <c r="W8554" t="s">
        <v>43666</v>
      </c>
      <c r="X8554" t="s">
        <v>44916</v>
      </c>
    </row>
    <row r="8555" spans="1:24">
      <c r="A8555">
        <f>HYPERLINK("https://www.philgeps.gov.ph/GEPSNONPILOT/Tender/SplashBidNoticeAbstractUI.aspx?menuIndex=3&amp;refID=7068499&amp;Result=3","7068499")</f>
        <v>0</v>
      </c>
      <c r="B8555" t="s">
        <v>2500</v>
      </c>
      <c r="C8555" t="s">
        <v>11683</v>
      </c>
      <c r="E8555" t="s">
        <v>22946</v>
      </c>
      <c r="F8555" t="s">
        <v>31362</v>
      </c>
      <c r="G8555" t="s">
        <v>31369</v>
      </c>
      <c r="H8555" t="s">
        <v>15799</v>
      </c>
      <c r="I8555" t="s">
        <v>4942</v>
      </c>
      <c r="J8555" t="s">
        <v>36747</v>
      </c>
      <c r="K8555" t="s">
        <v>40662</v>
      </c>
      <c r="M8555" t="s">
        <v>43667</v>
      </c>
      <c r="N8555" t="s">
        <v>44905</v>
      </c>
      <c r="O8555" t="s">
        <v>44906</v>
      </c>
      <c r="P8555">
        <v>0</v>
      </c>
      <c r="Q8555">
        <v>3</v>
      </c>
      <c r="R8555" t="s">
        <v>44911</v>
      </c>
      <c r="S8555" t="s">
        <v>45139</v>
      </c>
      <c r="T8555" t="s">
        <v>46419</v>
      </c>
      <c r="U8555" t="s">
        <v>52025</v>
      </c>
      <c r="W8555" t="s">
        <v>60936</v>
      </c>
      <c r="X8555" t="s">
        <v>44915</v>
      </c>
    </row>
    <row r="8556" spans="1:24">
      <c r="A8556">
        <f>HYPERLINK("https://www.philgeps.gov.ph/GEPSNONPILOT/Tender/SplashBidNoticeAbstractUI.aspx?menuIndex=3&amp;refID=7068519&amp;Result=3","7068519")</f>
        <v>0</v>
      </c>
      <c r="B8556" t="s">
        <v>182</v>
      </c>
      <c r="C8556" t="s">
        <v>11684</v>
      </c>
      <c r="D8556" t="s">
        <v>18101</v>
      </c>
      <c r="E8556" t="s">
        <v>25702</v>
      </c>
      <c r="F8556" t="s">
        <v>31362</v>
      </c>
      <c r="G8556" t="s">
        <v>31372</v>
      </c>
      <c r="H8556" t="s">
        <v>15799</v>
      </c>
      <c r="I8556" t="s">
        <v>31384</v>
      </c>
      <c r="J8556" t="s">
        <v>36748</v>
      </c>
      <c r="K8556" t="s">
        <v>40662</v>
      </c>
      <c r="M8556" t="s">
        <v>41120</v>
      </c>
      <c r="N8556" t="s">
        <v>44905</v>
      </c>
      <c r="O8556" t="s">
        <v>44906</v>
      </c>
      <c r="P8556">
        <v>0</v>
      </c>
      <c r="Q8556">
        <v>4</v>
      </c>
      <c r="R8556" t="s">
        <v>44911</v>
      </c>
      <c r="S8556" t="s">
        <v>45139</v>
      </c>
      <c r="T8556" t="s">
        <v>46434</v>
      </c>
      <c r="U8556" t="s">
        <v>53783</v>
      </c>
      <c r="W8556" t="s">
        <v>60840</v>
      </c>
      <c r="X8556" t="s">
        <v>44915</v>
      </c>
    </row>
    <row r="8557" spans="1:24">
      <c r="A8557">
        <f>HYPERLINK("https://www.philgeps.gov.ph/GEPSNONPILOT/Tender/SplashBidNoticeAbstractUI.aspx?menuIndex=3&amp;refID=7068438&amp;Result=3","7068438")</f>
        <v>0</v>
      </c>
      <c r="B8557" t="s">
        <v>2494</v>
      </c>
      <c r="C8557" t="s">
        <v>11685</v>
      </c>
      <c r="D8557" t="s">
        <v>18117</v>
      </c>
      <c r="E8557" t="s">
        <v>24169</v>
      </c>
      <c r="F8557" t="s">
        <v>31362</v>
      </c>
      <c r="G8557" t="s">
        <v>31369</v>
      </c>
      <c r="H8557" t="s">
        <v>15799</v>
      </c>
      <c r="I8557" t="s">
        <v>7090</v>
      </c>
      <c r="J8557" t="s">
        <v>36749</v>
      </c>
      <c r="K8557" t="s">
        <v>40662</v>
      </c>
      <c r="M8557" t="s">
        <v>43661</v>
      </c>
      <c r="N8557" t="s">
        <v>44905</v>
      </c>
      <c r="O8557" t="s">
        <v>44906</v>
      </c>
      <c r="P8557">
        <v>0</v>
      </c>
      <c r="Q8557">
        <v>9</v>
      </c>
      <c r="R8557" t="s">
        <v>44911</v>
      </c>
      <c r="S8557" t="s">
        <v>45139</v>
      </c>
      <c r="T8557" t="s">
        <v>46511</v>
      </c>
      <c r="U8557" t="s">
        <v>53784</v>
      </c>
      <c r="V8557" t="s">
        <v>59910</v>
      </c>
      <c r="W8557" t="s">
        <v>43661</v>
      </c>
      <c r="X8557" t="s">
        <v>44915</v>
      </c>
    </row>
    <row r="8558" spans="1:24">
      <c r="A8558">
        <f>HYPERLINK("https://www.philgeps.gov.ph/GEPSNONPILOT/Tender/SplashBidNoticeAbstractUI.aspx?menuIndex=3&amp;refID=7069717&amp;Result=3","7069717")</f>
        <v>0</v>
      </c>
      <c r="B8558" t="s">
        <v>1183</v>
      </c>
      <c r="C8558" t="s">
        <v>11686</v>
      </c>
      <c r="D8558" t="s">
        <v>18118</v>
      </c>
      <c r="E8558" t="s">
        <v>21732</v>
      </c>
      <c r="F8558" t="s">
        <v>31362</v>
      </c>
      <c r="G8558" t="s">
        <v>31369</v>
      </c>
      <c r="H8558" t="s">
        <v>15799</v>
      </c>
      <c r="I8558" t="s">
        <v>31386</v>
      </c>
      <c r="J8558" t="s">
        <v>36750</v>
      </c>
      <c r="K8558" t="s">
        <v>40661</v>
      </c>
      <c r="M8558" t="s">
        <v>42195</v>
      </c>
      <c r="N8558" t="s">
        <v>44905</v>
      </c>
      <c r="O8558" t="s">
        <v>44906</v>
      </c>
      <c r="P8558">
        <v>0</v>
      </c>
      <c r="Q8558">
        <v>0</v>
      </c>
      <c r="R8558" t="s">
        <v>44911</v>
      </c>
      <c r="S8558" t="s">
        <v>45139</v>
      </c>
      <c r="T8558" t="s">
        <v>46782</v>
      </c>
      <c r="U8558" t="s">
        <v>53785</v>
      </c>
      <c r="V8558" t="s">
        <v>59904</v>
      </c>
      <c r="W8558" t="s">
        <v>42195</v>
      </c>
      <c r="X8558" t="s">
        <v>44915</v>
      </c>
    </row>
    <row r="8559" spans="1:24">
      <c r="A8559">
        <f>HYPERLINK("https://www.philgeps.gov.ph/GEPSNONPILOT/Tender/SplashBidNoticeAbstractUI.aspx?menuIndex=3&amp;refID=7069655&amp;Result=3","7069655")</f>
        <v>0</v>
      </c>
      <c r="B8559" t="s">
        <v>115</v>
      </c>
      <c r="C8559" t="s">
        <v>11687</v>
      </c>
      <c r="D8559" t="s">
        <v>18112</v>
      </c>
      <c r="E8559" t="s">
        <v>25703</v>
      </c>
      <c r="F8559" t="s">
        <v>31362</v>
      </c>
      <c r="G8559" t="s">
        <v>31368</v>
      </c>
      <c r="H8559" t="s">
        <v>31377</v>
      </c>
      <c r="I8559" t="s">
        <v>31377</v>
      </c>
      <c r="J8559" t="s">
        <v>36751</v>
      </c>
      <c r="K8559" t="s">
        <v>40662</v>
      </c>
      <c r="L8559" t="s">
        <v>115</v>
      </c>
      <c r="M8559" t="s">
        <v>41052</v>
      </c>
      <c r="N8559" t="s">
        <v>44905</v>
      </c>
      <c r="O8559" t="s">
        <v>44906</v>
      </c>
      <c r="P8559">
        <v>0</v>
      </c>
      <c r="Q8559">
        <v>1</v>
      </c>
      <c r="R8559" t="s">
        <v>44911</v>
      </c>
      <c r="S8559" t="s">
        <v>45139</v>
      </c>
      <c r="T8559" t="s">
        <v>46411</v>
      </c>
      <c r="U8559" t="s">
        <v>53786</v>
      </c>
      <c r="W8559" t="s">
        <v>41052</v>
      </c>
      <c r="X8559" t="s">
        <v>44915</v>
      </c>
    </row>
    <row r="8560" spans="1:24">
      <c r="A8560">
        <f>HYPERLINK("https://www.philgeps.gov.ph/GEPSNONPILOT/Tender/SplashBidNoticeAbstractUI.aspx?menuIndex=3&amp;refID=7069651&amp;Result=3","7069651")</f>
        <v>0</v>
      </c>
      <c r="B8560" t="s">
        <v>1183</v>
      </c>
      <c r="C8560" t="s">
        <v>11688</v>
      </c>
      <c r="D8560" t="s">
        <v>18118</v>
      </c>
      <c r="E8560" t="s">
        <v>21360</v>
      </c>
      <c r="F8560" t="s">
        <v>31362</v>
      </c>
      <c r="G8560" t="s">
        <v>31369</v>
      </c>
      <c r="H8560" t="s">
        <v>31378</v>
      </c>
      <c r="I8560" t="s">
        <v>31386</v>
      </c>
      <c r="J8560" t="s">
        <v>36752</v>
      </c>
      <c r="K8560" t="s">
        <v>40718</v>
      </c>
      <c r="M8560" t="s">
        <v>42195</v>
      </c>
      <c r="N8560" t="s">
        <v>44905</v>
      </c>
      <c r="O8560" t="s">
        <v>44906</v>
      </c>
      <c r="P8560">
        <v>0</v>
      </c>
      <c r="Q8560">
        <v>0</v>
      </c>
      <c r="R8560" t="s">
        <v>44911</v>
      </c>
      <c r="S8560" t="s">
        <v>45139</v>
      </c>
      <c r="T8560" t="s">
        <v>46783</v>
      </c>
      <c r="U8560" t="s">
        <v>53787</v>
      </c>
      <c r="V8560" t="s">
        <v>59904</v>
      </c>
      <c r="W8560" t="s">
        <v>42195</v>
      </c>
      <c r="X8560" t="s">
        <v>44915</v>
      </c>
    </row>
    <row r="8561" spans="1:24">
      <c r="A8561">
        <f>HYPERLINK("https://www.philgeps.gov.ph/GEPSNONPILOT/Tender/SplashBidNoticeAbstractUI.aspx?menuIndex=3&amp;refID=7068453&amp;Result=3","7068453")</f>
        <v>0</v>
      </c>
      <c r="B8561" t="s">
        <v>182</v>
      </c>
      <c r="C8561" t="s">
        <v>11689</v>
      </c>
      <c r="D8561" t="s">
        <v>18101</v>
      </c>
      <c r="E8561" t="s">
        <v>25704</v>
      </c>
      <c r="F8561" t="s">
        <v>31362</v>
      </c>
      <c r="G8561" t="s">
        <v>31372</v>
      </c>
      <c r="H8561" t="s">
        <v>15799</v>
      </c>
      <c r="I8561" t="s">
        <v>31419</v>
      </c>
      <c r="J8561" t="s">
        <v>36753</v>
      </c>
      <c r="K8561" t="s">
        <v>40662</v>
      </c>
      <c r="M8561" t="s">
        <v>41120</v>
      </c>
      <c r="N8561" t="s">
        <v>44905</v>
      </c>
      <c r="O8561" t="s">
        <v>44906</v>
      </c>
      <c r="P8561">
        <v>0</v>
      </c>
      <c r="Q8561">
        <v>5</v>
      </c>
      <c r="R8561" t="s">
        <v>44911</v>
      </c>
      <c r="S8561" t="s">
        <v>45139</v>
      </c>
      <c r="T8561" t="s">
        <v>46434</v>
      </c>
      <c r="U8561" t="s">
        <v>53788</v>
      </c>
      <c r="W8561" t="s">
        <v>60840</v>
      </c>
      <c r="X8561" t="s">
        <v>44915</v>
      </c>
    </row>
    <row r="8562" spans="1:24">
      <c r="A8562">
        <f>HYPERLINK("https://www.philgeps.gov.ph/GEPSNONPILOT/Tender/SplashBidNoticeAbstractUI.aspx?menuIndex=3&amp;refID=7068539&amp;Result=3","7068539")</f>
        <v>0</v>
      </c>
      <c r="B8562" t="s">
        <v>182</v>
      </c>
      <c r="C8562" t="s">
        <v>11690</v>
      </c>
      <c r="D8562" t="s">
        <v>18101</v>
      </c>
      <c r="E8562" t="s">
        <v>25705</v>
      </c>
      <c r="F8562" t="s">
        <v>31362</v>
      </c>
      <c r="G8562" t="s">
        <v>31372</v>
      </c>
      <c r="H8562" t="s">
        <v>15799</v>
      </c>
      <c r="I8562" t="s">
        <v>31409</v>
      </c>
      <c r="J8562" t="s">
        <v>32204</v>
      </c>
      <c r="K8562" t="s">
        <v>40662</v>
      </c>
      <c r="M8562" t="s">
        <v>41120</v>
      </c>
      <c r="N8562" t="s">
        <v>44905</v>
      </c>
      <c r="O8562" t="s">
        <v>44906</v>
      </c>
      <c r="P8562">
        <v>0</v>
      </c>
      <c r="Q8562">
        <v>1</v>
      </c>
      <c r="R8562" t="s">
        <v>44911</v>
      </c>
      <c r="S8562" t="s">
        <v>45139</v>
      </c>
      <c r="T8562" t="s">
        <v>46434</v>
      </c>
      <c r="U8562" t="s">
        <v>53778</v>
      </c>
      <c r="W8562" t="s">
        <v>60840</v>
      </c>
      <c r="X8562" t="s">
        <v>44915</v>
      </c>
    </row>
    <row r="8563" spans="1:24">
      <c r="A8563">
        <f>HYPERLINK("https://www.philgeps.gov.ph/GEPSNONPILOT/Tender/SplashBidNoticeAbstractUI.aspx?menuIndex=3&amp;refID=7069740&amp;Result=3","7069740")</f>
        <v>0</v>
      </c>
      <c r="B8563" t="s">
        <v>640</v>
      </c>
      <c r="C8563" t="s">
        <v>11691</v>
      </c>
      <c r="D8563" t="s">
        <v>18156</v>
      </c>
      <c r="E8563" t="s">
        <v>25706</v>
      </c>
      <c r="F8563" t="s">
        <v>31362</v>
      </c>
      <c r="G8563" t="s">
        <v>31369</v>
      </c>
      <c r="H8563" t="s">
        <v>31378</v>
      </c>
      <c r="I8563" t="s">
        <v>31386</v>
      </c>
      <c r="J8563" t="s">
        <v>36754</v>
      </c>
      <c r="K8563" t="s">
        <v>40752</v>
      </c>
      <c r="M8563" t="s">
        <v>43668</v>
      </c>
      <c r="N8563" t="s">
        <v>44905</v>
      </c>
      <c r="O8563" t="s">
        <v>44906</v>
      </c>
      <c r="P8563">
        <v>0</v>
      </c>
      <c r="Q8563">
        <v>1</v>
      </c>
      <c r="R8563" t="s">
        <v>44911</v>
      </c>
      <c r="S8563" t="s">
        <v>45139</v>
      </c>
      <c r="T8563" t="s">
        <v>46490</v>
      </c>
      <c r="U8563" t="s">
        <v>53789</v>
      </c>
      <c r="W8563" t="s">
        <v>43668</v>
      </c>
      <c r="X8563" t="s">
        <v>44915</v>
      </c>
    </row>
    <row r="8564" spans="1:24">
      <c r="A8564">
        <f>HYPERLINK("https://www.philgeps.gov.ph/GEPSNONPILOT/Tender/SplashBidNoticeAbstractUI.aspx?menuIndex=3&amp;refID=7069569&amp;Result=3","7069569")</f>
        <v>0</v>
      </c>
      <c r="B8564" t="s">
        <v>640</v>
      </c>
      <c r="C8564" t="s">
        <v>11692</v>
      </c>
      <c r="D8564" t="s">
        <v>18156</v>
      </c>
      <c r="E8564" t="s">
        <v>25707</v>
      </c>
      <c r="F8564" t="s">
        <v>31362</v>
      </c>
      <c r="G8564" t="s">
        <v>31369</v>
      </c>
      <c r="H8564" t="s">
        <v>31378</v>
      </c>
      <c r="I8564" t="s">
        <v>31386</v>
      </c>
      <c r="J8564" t="s">
        <v>36755</v>
      </c>
      <c r="K8564" t="s">
        <v>40759</v>
      </c>
      <c r="M8564" t="s">
        <v>43668</v>
      </c>
      <c r="N8564" t="s">
        <v>44905</v>
      </c>
      <c r="O8564" t="s">
        <v>44906</v>
      </c>
      <c r="P8564">
        <v>0</v>
      </c>
      <c r="Q8564">
        <v>1</v>
      </c>
      <c r="R8564" t="s">
        <v>44911</v>
      </c>
      <c r="S8564" t="s">
        <v>45139</v>
      </c>
      <c r="T8564" t="s">
        <v>46490</v>
      </c>
      <c r="U8564" t="s">
        <v>53790</v>
      </c>
      <c r="W8564" t="s">
        <v>43668</v>
      </c>
      <c r="X8564" t="s">
        <v>44915</v>
      </c>
    </row>
    <row r="8565" spans="1:24">
      <c r="A8565">
        <f>HYPERLINK("https://www.philgeps.gov.ph/GEPSNONPILOT/Tender/SplashBidNoticeAbstractUI.aspx?menuIndex=3&amp;refID=7069502&amp;Result=3","7069502")</f>
        <v>0</v>
      </c>
      <c r="B8565" t="s">
        <v>640</v>
      </c>
      <c r="C8565" t="s">
        <v>11693</v>
      </c>
      <c r="D8565" t="s">
        <v>18156</v>
      </c>
      <c r="E8565" t="s">
        <v>25708</v>
      </c>
      <c r="F8565" t="s">
        <v>31362</v>
      </c>
      <c r="G8565" t="s">
        <v>31369</v>
      </c>
      <c r="H8565" t="s">
        <v>31378</v>
      </c>
      <c r="I8565" t="s">
        <v>31386</v>
      </c>
      <c r="J8565" t="s">
        <v>36756</v>
      </c>
      <c r="K8565" t="s">
        <v>40780</v>
      </c>
      <c r="M8565" t="s">
        <v>43668</v>
      </c>
      <c r="N8565" t="s">
        <v>44905</v>
      </c>
      <c r="O8565" t="s">
        <v>44906</v>
      </c>
      <c r="P8565">
        <v>0</v>
      </c>
      <c r="Q8565">
        <v>0</v>
      </c>
      <c r="R8565" t="s">
        <v>44911</v>
      </c>
      <c r="S8565" t="s">
        <v>45139</v>
      </c>
      <c r="T8565" t="s">
        <v>46490</v>
      </c>
      <c r="U8565" t="s">
        <v>53791</v>
      </c>
      <c r="W8565" t="s">
        <v>43668</v>
      </c>
      <c r="X8565" t="s">
        <v>44915</v>
      </c>
    </row>
    <row r="8566" spans="1:24">
      <c r="A8566">
        <f>HYPERLINK("https://www.philgeps.gov.ph/GEPSNONPILOT/Tender/SplashBidNoticeAbstractUI.aspx?menuIndex=3&amp;refID=7069464&amp;Result=3","7069464")</f>
        <v>0</v>
      </c>
      <c r="B8566" t="s">
        <v>1923</v>
      </c>
      <c r="C8566" t="s">
        <v>11694</v>
      </c>
      <c r="D8566" t="s">
        <v>18113</v>
      </c>
      <c r="E8566" t="s">
        <v>18232</v>
      </c>
      <c r="F8566" t="s">
        <v>31362</v>
      </c>
      <c r="G8566" t="s">
        <v>31369</v>
      </c>
      <c r="H8566" t="s">
        <v>15799</v>
      </c>
      <c r="I8566" t="s">
        <v>31443</v>
      </c>
      <c r="J8566" t="s">
        <v>36757</v>
      </c>
      <c r="K8566" t="s">
        <v>40675</v>
      </c>
      <c r="M8566" t="s">
        <v>43020</v>
      </c>
      <c r="N8566" t="s">
        <v>44905</v>
      </c>
      <c r="O8566" t="s">
        <v>44906</v>
      </c>
      <c r="P8566">
        <v>0</v>
      </c>
      <c r="Q8566">
        <v>4</v>
      </c>
      <c r="R8566" t="s">
        <v>44911</v>
      </c>
      <c r="S8566" t="s">
        <v>45139</v>
      </c>
      <c r="T8566" t="s">
        <v>46648</v>
      </c>
      <c r="U8566" t="s">
        <v>53792</v>
      </c>
      <c r="V8566" t="s">
        <v>59911</v>
      </c>
      <c r="W8566" t="s">
        <v>43020</v>
      </c>
      <c r="X8566" t="s">
        <v>44915</v>
      </c>
    </row>
    <row r="8567" spans="1:24">
      <c r="A8567">
        <f>HYPERLINK("https://www.philgeps.gov.ph/GEPSNONPILOT/Tender/SplashBidNoticeAbstractUI.aspx?menuIndex=3&amp;refID=7069421&amp;Result=3","7069421")</f>
        <v>0</v>
      </c>
      <c r="B8567" t="s">
        <v>640</v>
      </c>
      <c r="C8567" t="s">
        <v>11695</v>
      </c>
      <c r="D8567" t="s">
        <v>18156</v>
      </c>
      <c r="E8567" t="s">
        <v>25709</v>
      </c>
      <c r="F8567" t="s">
        <v>31362</v>
      </c>
      <c r="G8567" t="s">
        <v>31369</v>
      </c>
      <c r="H8567" t="s">
        <v>31378</v>
      </c>
      <c r="I8567" t="s">
        <v>31386</v>
      </c>
      <c r="J8567" t="s">
        <v>36758</v>
      </c>
      <c r="K8567" t="s">
        <v>40678</v>
      </c>
      <c r="M8567" t="s">
        <v>43668</v>
      </c>
      <c r="N8567" t="s">
        <v>44905</v>
      </c>
      <c r="O8567" t="s">
        <v>44906</v>
      </c>
      <c r="P8567">
        <v>0</v>
      </c>
      <c r="Q8567">
        <v>0</v>
      </c>
      <c r="R8567" t="s">
        <v>44911</v>
      </c>
      <c r="S8567" t="s">
        <v>45139</v>
      </c>
      <c r="T8567" t="s">
        <v>46490</v>
      </c>
      <c r="U8567" t="s">
        <v>53793</v>
      </c>
      <c r="W8567" t="s">
        <v>43668</v>
      </c>
      <c r="X8567" t="s">
        <v>44915</v>
      </c>
    </row>
    <row r="8568" spans="1:24">
      <c r="A8568">
        <f>HYPERLINK("https://www.philgeps.gov.ph/GEPSNONPILOT/Tender/SplashBidNoticeAbstractUI.aspx?menuIndex=3&amp;refID=7069374&amp;Result=3","7069374")</f>
        <v>0</v>
      </c>
      <c r="B8568" t="s">
        <v>2501</v>
      </c>
      <c r="C8568" t="s">
        <v>11696</v>
      </c>
      <c r="E8568" t="s">
        <v>19313</v>
      </c>
      <c r="F8568" t="s">
        <v>31364</v>
      </c>
      <c r="G8568" t="s">
        <v>31369</v>
      </c>
      <c r="H8568" t="s">
        <v>15799</v>
      </c>
      <c r="I8568" t="s">
        <v>31390</v>
      </c>
      <c r="J8568" t="s">
        <v>31785</v>
      </c>
      <c r="K8568" t="s">
        <v>40662</v>
      </c>
      <c r="M8568" t="s">
        <v>43669</v>
      </c>
      <c r="N8568" t="s">
        <v>44905</v>
      </c>
      <c r="O8568" t="s">
        <v>44906</v>
      </c>
      <c r="P8568">
        <v>0</v>
      </c>
      <c r="Q8568">
        <v>1</v>
      </c>
      <c r="R8568" t="s">
        <v>44911</v>
      </c>
      <c r="S8568" t="s">
        <v>45139</v>
      </c>
      <c r="T8568" t="s">
        <v>46452</v>
      </c>
      <c r="U8568" t="s">
        <v>53794</v>
      </c>
      <c r="W8568" t="s">
        <v>43669</v>
      </c>
      <c r="X8568" t="s">
        <v>44915</v>
      </c>
    </row>
    <row r="8569" spans="1:24">
      <c r="A8569">
        <f>HYPERLINK("https://www.philgeps.gov.ph/GEPSNONPILOT/Tender/SplashBidNoticeAbstractUI.aspx?menuIndex=3&amp;refID=7069648&amp;Result=3","7069648")</f>
        <v>0</v>
      </c>
      <c r="B8569" t="s">
        <v>640</v>
      </c>
      <c r="C8569" t="s">
        <v>11697</v>
      </c>
      <c r="D8569" t="s">
        <v>18156</v>
      </c>
      <c r="E8569" t="s">
        <v>25710</v>
      </c>
      <c r="F8569" t="s">
        <v>31362</v>
      </c>
      <c r="G8569" t="s">
        <v>31369</v>
      </c>
      <c r="H8569" t="s">
        <v>31378</v>
      </c>
      <c r="I8569" t="s">
        <v>31386</v>
      </c>
      <c r="J8569" t="s">
        <v>36759</v>
      </c>
      <c r="K8569" t="s">
        <v>40735</v>
      </c>
      <c r="M8569" t="s">
        <v>43668</v>
      </c>
      <c r="N8569" t="s">
        <v>44905</v>
      </c>
      <c r="O8569" t="s">
        <v>44906</v>
      </c>
      <c r="P8569">
        <v>0</v>
      </c>
      <c r="Q8569">
        <v>1</v>
      </c>
      <c r="R8569" t="s">
        <v>44911</v>
      </c>
      <c r="S8569" t="s">
        <v>45139</v>
      </c>
      <c r="T8569" t="s">
        <v>46490</v>
      </c>
      <c r="U8569" t="s">
        <v>53795</v>
      </c>
      <c r="W8569" t="s">
        <v>43668</v>
      </c>
      <c r="X8569" t="s">
        <v>44915</v>
      </c>
    </row>
    <row r="8570" spans="1:24">
      <c r="A8570">
        <f>HYPERLINK("https://www.philgeps.gov.ph/GEPSNONPILOT/Tender/SplashBidNoticeAbstractUI.aspx?menuIndex=3&amp;refID=7065735&amp;Result=3","7065735")</f>
        <v>0</v>
      </c>
      <c r="B8570" t="s">
        <v>1417</v>
      </c>
      <c r="C8570" t="s">
        <v>11698</v>
      </c>
      <c r="E8570" t="s">
        <v>25711</v>
      </c>
      <c r="F8570" t="s">
        <v>31362</v>
      </c>
      <c r="G8570" t="s">
        <v>31368</v>
      </c>
      <c r="H8570" t="s">
        <v>15799</v>
      </c>
      <c r="I8570" t="s">
        <v>6240</v>
      </c>
      <c r="J8570" t="s">
        <v>36760</v>
      </c>
      <c r="K8570" t="s">
        <v>40677</v>
      </c>
      <c r="M8570" t="s">
        <v>43658</v>
      </c>
      <c r="N8570" t="s">
        <v>44905</v>
      </c>
      <c r="O8570" t="s">
        <v>44906</v>
      </c>
      <c r="P8570">
        <v>0</v>
      </c>
      <c r="Q8570">
        <v>1</v>
      </c>
      <c r="R8570" t="s">
        <v>44911</v>
      </c>
      <c r="S8570" t="s">
        <v>45139</v>
      </c>
      <c r="T8570" t="s">
        <v>46411</v>
      </c>
      <c r="U8570" t="s">
        <v>53751</v>
      </c>
      <c r="W8570" t="s">
        <v>43658</v>
      </c>
      <c r="X8570" t="s">
        <v>44916</v>
      </c>
    </row>
    <row r="8571" spans="1:24">
      <c r="A8571">
        <f>HYPERLINK("https://www.philgeps.gov.ph/GEPSNONPILOT/Tender/SplashBidNoticeAbstractUI.aspx?menuIndex=3&amp;refID=7069744&amp;Result=3","7069744")</f>
        <v>0</v>
      </c>
      <c r="B8571" t="s">
        <v>2502</v>
      </c>
      <c r="C8571" t="s">
        <v>11699</v>
      </c>
      <c r="E8571" t="s">
        <v>25211</v>
      </c>
      <c r="F8571" t="s">
        <v>31362</v>
      </c>
      <c r="G8571" t="s">
        <v>31373</v>
      </c>
      <c r="H8571" t="s">
        <v>15799</v>
      </c>
      <c r="I8571" t="s">
        <v>7090</v>
      </c>
      <c r="J8571" t="s">
        <v>36761</v>
      </c>
      <c r="K8571" t="s">
        <v>40662</v>
      </c>
      <c r="M8571" t="s">
        <v>43670</v>
      </c>
      <c r="N8571" t="s">
        <v>44905</v>
      </c>
      <c r="O8571" t="s">
        <v>44906</v>
      </c>
      <c r="P8571">
        <v>0</v>
      </c>
      <c r="Q8571">
        <v>7</v>
      </c>
      <c r="R8571" t="s">
        <v>44911</v>
      </c>
      <c r="S8571" t="s">
        <v>45139</v>
      </c>
      <c r="T8571" t="s">
        <v>46697</v>
      </c>
      <c r="U8571" t="s">
        <v>53796</v>
      </c>
      <c r="W8571" t="s">
        <v>43670</v>
      </c>
      <c r="X8571" t="s">
        <v>44915</v>
      </c>
    </row>
    <row r="8572" spans="1:24">
      <c r="A8572">
        <f>HYPERLINK("https://www.philgeps.gov.ph/GEPSNONPILOT/Tender/SplashBidNoticeAbstractUI.aspx?menuIndex=3&amp;refID=7069618&amp;Result=3","7069618")</f>
        <v>0</v>
      </c>
      <c r="B8572" t="s">
        <v>640</v>
      </c>
      <c r="C8572" t="s">
        <v>11700</v>
      </c>
      <c r="D8572" t="s">
        <v>18156</v>
      </c>
      <c r="E8572" t="s">
        <v>25712</v>
      </c>
      <c r="F8572" t="s">
        <v>31362</v>
      </c>
      <c r="G8572" t="s">
        <v>31369</v>
      </c>
      <c r="H8572" t="s">
        <v>31378</v>
      </c>
      <c r="I8572" t="s">
        <v>31386</v>
      </c>
      <c r="J8572" t="s">
        <v>36762</v>
      </c>
      <c r="K8572" t="s">
        <v>40849</v>
      </c>
      <c r="M8572" t="s">
        <v>43668</v>
      </c>
      <c r="N8572" t="s">
        <v>44905</v>
      </c>
      <c r="O8572" t="s">
        <v>44906</v>
      </c>
      <c r="P8572">
        <v>0</v>
      </c>
      <c r="Q8572">
        <v>0</v>
      </c>
      <c r="R8572" t="s">
        <v>44911</v>
      </c>
      <c r="S8572" t="s">
        <v>45139</v>
      </c>
      <c r="T8572" t="s">
        <v>46490</v>
      </c>
      <c r="U8572" t="s">
        <v>53797</v>
      </c>
      <c r="W8572" t="s">
        <v>43668</v>
      </c>
      <c r="X8572" t="s">
        <v>44915</v>
      </c>
    </row>
    <row r="8573" spans="1:24">
      <c r="A8573">
        <f>HYPERLINK("https://www.philgeps.gov.ph/GEPSNONPILOT/Tender/SplashBidNoticeAbstractUI.aspx?menuIndex=3&amp;refID=7070399&amp;Result=3","7070399")</f>
        <v>0</v>
      </c>
      <c r="B8573" t="s">
        <v>1173</v>
      </c>
      <c r="C8573" t="s">
        <v>11701</v>
      </c>
      <c r="D8573" t="s">
        <v>18174</v>
      </c>
      <c r="E8573" t="s">
        <v>25713</v>
      </c>
      <c r="F8573" t="s">
        <v>31362</v>
      </c>
      <c r="G8573" t="s">
        <v>31368</v>
      </c>
      <c r="H8573" t="s">
        <v>15799</v>
      </c>
      <c r="I8573" t="s">
        <v>6373</v>
      </c>
      <c r="J8573" t="s">
        <v>36763</v>
      </c>
      <c r="K8573" t="s">
        <v>40661</v>
      </c>
      <c r="M8573" t="s">
        <v>42183</v>
      </c>
      <c r="N8573" t="s">
        <v>44905</v>
      </c>
      <c r="O8573" t="s">
        <v>44906</v>
      </c>
      <c r="P8573">
        <v>0</v>
      </c>
      <c r="Q8573">
        <v>3</v>
      </c>
      <c r="R8573" t="s">
        <v>44911</v>
      </c>
      <c r="S8573" t="s">
        <v>45139</v>
      </c>
      <c r="T8573" t="s">
        <v>46411</v>
      </c>
      <c r="U8573" t="s">
        <v>53746</v>
      </c>
      <c r="W8573" t="s">
        <v>42183</v>
      </c>
      <c r="X8573" t="s">
        <v>44914</v>
      </c>
    </row>
    <row r="8574" spans="1:24">
      <c r="A8574">
        <f>HYPERLINK("https://www.philgeps.gov.ph/GEPSNONPILOT/Tender/SplashBidNoticeAbstractUI.aspx?menuIndex=3&amp;refID=7069678&amp;Result=3","7069678")</f>
        <v>0</v>
      </c>
      <c r="B8574" t="s">
        <v>640</v>
      </c>
      <c r="C8574" t="s">
        <v>11702</v>
      </c>
      <c r="D8574" t="s">
        <v>18156</v>
      </c>
      <c r="E8574" t="s">
        <v>25714</v>
      </c>
      <c r="F8574" t="s">
        <v>31362</v>
      </c>
      <c r="G8574" t="s">
        <v>31369</v>
      </c>
      <c r="H8574" t="s">
        <v>31378</v>
      </c>
      <c r="I8574" t="s">
        <v>31386</v>
      </c>
      <c r="J8574" t="s">
        <v>36764</v>
      </c>
      <c r="K8574" t="s">
        <v>40686</v>
      </c>
      <c r="M8574" t="s">
        <v>43668</v>
      </c>
      <c r="N8574" t="s">
        <v>44905</v>
      </c>
      <c r="O8574" t="s">
        <v>44906</v>
      </c>
      <c r="P8574">
        <v>0</v>
      </c>
      <c r="Q8574">
        <v>1</v>
      </c>
      <c r="R8574" t="s">
        <v>44911</v>
      </c>
      <c r="S8574" t="s">
        <v>45139</v>
      </c>
      <c r="T8574" t="s">
        <v>46490</v>
      </c>
      <c r="U8574" t="s">
        <v>53798</v>
      </c>
      <c r="W8574" t="s">
        <v>43668</v>
      </c>
      <c r="X8574" t="s">
        <v>44915</v>
      </c>
    </row>
    <row r="8575" spans="1:24">
      <c r="A8575">
        <f>HYPERLINK("https://www.philgeps.gov.ph/GEPSNONPILOT/Tender/SplashBidNoticeAbstractUI.aspx?menuIndex=3&amp;refID=7070390&amp;Result=3","7070390")</f>
        <v>0</v>
      </c>
      <c r="B8575" t="s">
        <v>2493</v>
      </c>
      <c r="C8575" t="s">
        <v>11703</v>
      </c>
      <c r="D8575" t="s">
        <v>18148</v>
      </c>
      <c r="E8575" t="s">
        <v>25715</v>
      </c>
      <c r="F8575" t="s">
        <v>31362</v>
      </c>
      <c r="G8575" t="s">
        <v>31369</v>
      </c>
      <c r="H8575" t="s">
        <v>15799</v>
      </c>
      <c r="I8575" t="s">
        <v>3815</v>
      </c>
      <c r="J8575" t="s">
        <v>36765</v>
      </c>
      <c r="K8575" t="s">
        <v>40682</v>
      </c>
      <c r="M8575" t="s">
        <v>43659</v>
      </c>
      <c r="N8575" t="s">
        <v>44905</v>
      </c>
      <c r="O8575" t="s">
        <v>44906</v>
      </c>
      <c r="P8575">
        <v>0</v>
      </c>
      <c r="Q8575">
        <v>1</v>
      </c>
      <c r="R8575" t="s">
        <v>44911</v>
      </c>
      <c r="S8575" t="s">
        <v>45139</v>
      </c>
      <c r="T8575" t="s">
        <v>46443</v>
      </c>
      <c r="U8575" t="s">
        <v>53799</v>
      </c>
      <c r="W8575" t="s">
        <v>43659</v>
      </c>
      <c r="X8575" t="s">
        <v>44914</v>
      </c>
    </row>
    <row r="8576" spans="1:24">
      <c r="A8576">
        <f>HYPERLINK("https://www.philgeps.gov.ph/GEPSNONPILOT/Tender/SplashBidNoticeAbstractUI.aspx?menuIndex=3&amp;refID=7070379&amp;Result=3","7070379")</f>
        <v>0</v>
      </c>
      <c r="B8576" t="s">
        <v>2493</v>
      </c>
      <c r="C8576" t="s">
        <v>11704</v>
      </c>
      <c r="D8576" t="s">
        <v>18148</v>
      </c>
      <c r="E8576" t="s">
        <v>25716</v>
      </c>
      <c r="F8576" t="s">
        <v>31362</v>
      </c>
      <c r="G8576" t="s">
        <v>31369</v>
      </c>
      <c r="H8576" t="s">
        <v>15799</v>
      </c>
      <c r="I8576" t="s">
        <v>31461</v>
      </c>
      <c r="J8576" t="s">
        <v>36766</v>
      </c>
      <c r="K8576" t="s">
        <v>40682</v>
      </c>
      <c r="M8576" t="s">
        <v>43659</v>
      </c>
      <c r="N8576" t="s">
        <v>44905</v>
      </c>
      <c r="O8576" t="s">
        <v>44906</v>
      </c>
      <c r="P8576">
        <v>0</v>
      </c>
      <c r="Q8576">
        <v>0</v>
      </c>
      <c r="R8576" t="s">
        <v>44911</v>
      </c>
      <c r="S8576" t="s">
        <v>45139</v>
      </c>
      <c r="T8576" t="s">
        <v>46443</v>
      </c>
      <c r="U8576" t="s">
        <v>53800</v>
      </c>
      <c r="W8576" t="s">
        <v>43659</v>
      </c>
      <c r="X8576" t="s">
        <v>44914</v>
      </c>
    </row>
    <row r="8577" spans="1:24">
      <c r="A8577">
        <f>HYPERLINK("https://www.philgeps.gov.ph/GEPSNONPILOT/Tender/SplashBidNoticeAbstractUI.aspx?menuIndex=3&amp;refID=7070364&amp;Result=3","7070364")</f>
        <v>0</v>
      </c>
      <c r="B8577" t="s">
        <v>2493</v>
      </c>
      <c r="C8577" t="s">
        <v>11705</v>
      </c>
      <c r="D8577" t="s">
        <v>18148</v>
      </c>
      <c r="E8577" t="s">
        <v>25717</v>
      </c>
      <c r="F8577" t="s">
        <v>31362</v>
      </c>
      <c r="G8577" t="s">
        <v>31369</v>
      </c>
      <c r="H8577" t="s">
        <v>15799</v>
      </c>
      <c r="I8577" t="s">
        <v>4283</v>
      </c>
      <c r="J8577" t="s">
        <v>33444</v>
      </c>
      <c r="K8577" t="s">
        <v>40682</v>
      </c>
      <c r="M8577" t="s">
        <v>43659</v>
      </c>
      <c r="N8577" t="s">
        <v>44905</v>
      </c>
      <c r="O8577" t="s">
        <v>44906</v>
      </c>
      <c r="P8577">
        <v>0</v>
      </c>
      <c r="Q8577">
        <v>3</v>
      </c>
      <c r="R8577" t="s">
        <v>44911</v>
      </c>
      <c r="S8577" t="s">
        <v>45139</v>
      </c>
      <c r="T8577" t="s">
        <v>46443</v>
      </c>
      <c r="U8577" t="s">
        <v>53801</v>
      </c>
      <c r="W8577" t="s">
        <v>43659</v>
      </c>
      <c r="X8577" t="s">
        <v>44914</v>
      </c>
    </row>
    <row r="8578" spans="1:24">
      <c r="A8578">
        <f>HYPERLINK("https://www.philgeps.gov.ph/GEPSNONPILOT/Tender/SplashBidNoticeAbstractUI.aspx?menuIndex=3&amp;refID=7069339&amp;Result=3","7069339")</f>
        <v>0</v>
      </c>
      <c r="B8578" t="s">
        <v>640</v>
      </c>
      <c r="C8578" t="s">
        <v>11706</v>
      </c>
      <c r="D8578" t="s">
        <v>18156</v>
      </c>
      <c r="E8578" t="s">
        <v>25718</v>
      </c>
      <c r="F8578" t="s">
        <v>31362</v>
      </c>
      <c r="G8578" t="s">
        <v>31369</v>
      </c>
      <c r="H8578" t="s">
        <v>31378</v>
      </c>
      <c r="I8578" t="s">
        <v>31386</v>
      </c>
      <c r="J8578" t="s">
        <v>36767</v>
      </c>
      <c r="K8578" t="s">
        <v>40725</v>
      </c>
      <c r="M8578" t="s">
        <v>43668</v>
      </c>
      <c r="N8578" t="s">
        <v>44905</v>
      </c>
      <c r="O8578" t="s">
        <v>44906</v>
      </c>
      <c r="P8578">
        <v>0</v>
      </c>
      <c r="Q8578">
        <v>2</v>
      </c>
      <c r="R8578" t="s">
        <v>44911</v>
      </c>
      <c r="S8578" t="s">
        <v>45139</v>
      </c>
      <c r="T8578" t="s">
        <v>46490</v>
      </c>
      <c r="U8578" t="s">
        <v>53802</v>
      </c>
      <c r="W8578" t="s">
        <v>43668</v>
      </c>
      <c r="X8578" t="s">
        <v>44915</v>
      </c>
    </row>
    <row r="8579" spans="1:24">
      <c r="A8579">
        <f>HYPERLINK("https://www.philgeps.gov.ph/GEPSNONPILOT/Tender/SplashBidNoticeAbstractUI.aspx?menuIndex=3&amp;refID=7070357&amp;Result=3","7070357")</f>
        <v>0</v>
      </c>
      <c r="B8579" t="s">
        <v>179</v>
      </c>
      <c r="C8579" t="s">
        <v>11707</v>
      </c>
      <c r="E8579" t="s">
        <v>25719</v>
      </c>
      <c r="F8579" t="s">
        <v>31362</v>
      </c>
      <c r="G8579" t="s">
        <v>31368</v>
      </c>
      <c r="H8579" t="s">
        <v>15799</v>
      </c>
      <c r="I8579" t="s">
        <v>31393</v>
      </c>
      <c r="J8579" t="s">
        <v>31886</v>
      </c>
      <c r="K8579" t="s">
        <v>40665</v>
      </c>
      <c r="M8579" t="s">
        <v>41117</v>
      </c>
      <c r="N8579" t="s">
        <v>44905</v>
      </c>
      <c r="O8579" t="s">
        <v>44906</v>
      </c>
      <c r="P8579">
        <v>0</v>
      </c>
      <c r="Q8579">
        <v>2</v>
      </c>
      <c r="R8579" t="s">
        <v>44911</v>
      </c>
      <c r="S8579" t="s">
        <v>45139</v>
      </c>
      <c r="T8579" t="s">
        <v>46583</v>
      </c>
      <c r="U8579" t="s">
        <v>53803</v>
      </c>
      <c r="V8579" t="s">
        <v>59912</v>
      </c>
      <c r="W8579" t="s">
        <v>41209</v>
      </c>
      <c r="X8579" t="s">
        <v>44914</v>
      </c>
    </row>
    <row r="8580" spans="1:24">
      <c r="A8580">
        <f>HYPERLINK("https://www.philgeps.gov.ph/GEPSNONPILOT/Tender/SplashBidNoticeAbstractUI.aspx?menuIndex=3&amp;refID=7070354&amp;Result=3","7070354")</f>
        <v>0</v>
      </c>
      <c r="B8580" t="s">
        <v>2503</v>
      </c>
      <c r="C8580" t="s">
        <v>11708</v>
      </c>
      <c r="D8580" t="s">
        <v>18158</v>
      </c>
      <c r="E8580" t="s">
        <v>25720</v>
      </c>
      <c r="F8580" t="s">
        <v>31362</v>
      </c>
      <c r="G8580" t="s">
        <v>31368</v>
      </c>
      <c r="H8580" t="s">
        <v>15799</v>
      </c>
      <c r="I8580" t="s">
        <v>31443</v>
      </c>
      <c r="J8580" t="s">
        <v>36768</v>
      </c>
      <c r="K8580" t="s">
        <v>40665</v>
      </c>
      <c r="M8580" t="s">
        <v>43671</v>
      </c>
      <c r="N8580" t="s">
        <v>44905</v>
      </c>
      <c r="O8580" t="s">
        <v>44906</v>
      </c>
      <c r="P8580">
        <v>0</v>
      </c>
      <c r="Q8580">
        <v>3</v>
      </c>
      <c r="R8580" t="s">
        <v>44911</v>
      </c>
      <c r="S8580" t="s">
        <v>45139</v>
      </c>
      <c r="T8580" t="s">
        <v>46417</v>
      </c>
      <c r="U8580" t="s">
        <v>53804</v>
      </c>
      <c r="W8580" t="s">
        <v>43671</v>
      </c>
      <c r="X8580" t="s">
        <v>44914</v>
      </c>
    </row>
    <row r="8581" spans="1:24">
      <c r="A8581">
        <f>HYPERLINK("https://www.philgeps.gov.ph/GEPSNONPILOT/Tender/SplashBidNoticeAbstractUI.aspx?menuIndex=3&amp;refID=7070334&amp;Result=3","7070334")</f>
        <v>0</v>
      </c>
      <c r="B8581" t="s">
        <v>1316</v>
      </c>
      <c r="C8581" t="s">
        <v>11709</v>
      </c>
      <c r="D8581" t="s">
        <v>18123</v>
      </c>
      <c r="E8581" t="s">
        <v>21360</v>
      </c>
      <c r="F8581" t="s">
        <v>31362</v>
      </c>
      <c r="G8581" t="s">
        <v>31369</v>
      </c>
      <c r="H8581" t="s">
        <v>15799</v>
      </c>
      <c r="I8581" t="s">
        <v>31388</v>
      </c>
      <c r="J8581" t="s">
        <v>36769</v>
      </c>
      <c r="K8581" t="s">
        <v>40666</v>
      </c>
      <c r="M8581" t="s">
        <v>42334</v>
      </c>
      <c r="N8581" t="s">
        <v>44905</v>
      </c>
      <c r="O8581" t="s">
        <v>44906</v>
      </c>
      <c r="P8581">
        <v>0</v>
      </c>
      <c r="Q8581">
        <v>0</v>
      </c>
      <c r="R8581" t="s">
        <v>44911</v>
      </c>
      <c r="S8581" t="s">
        <v>45139</v>
      </c>
      <c r="T8581" t="s">
        <v>46419</v>
      </c>
      <c r="U8581" t="s">
        <v>53805</v>
      </c>
      <c r="V8581" t="s">
        <v>59913</v>
      </c>
      <c r="W8581" t="s">
        <v>42334</v>
      </c>
      <c r="X8581" t="s">
        <v>44914</v>
      </c>
    </row>
    <row r="8582" spans="1:24">
      <c r="A8582">
        <f>HYPERLINK("https://www.philgeps.gov.ph/GEPSNONPILOT/Tender/SplashBidNoticeAbstractUI.aspx?menuIndex=3&amp;refID=7070378&amp;Result=3","7070378")</f>
        <v>0</v>
      </c>
      <c r="B8582" t="s">
        <v>2504</v>
      </c>
      <c r="C8582" t="s">
        <v>3545</v>
      </c>
      <c r="D8582" t="s">
        <v>18105</v>
      </c>
      <c r="E8582" t="s">
        <v>25721</v>
      </c>
      <c r="F8582" t="s">
        <v>31362</v>
      </c>
      <c r="G8582" t="s">
        <v>31369</v>
      </c>
      <c r="H8582" t="s">
        <v>31378</v>
      </c>
      <c r="I8582" t="s">
        <v>31386</v>
      </c>
      <c r="J8582" t="s">
        <v>31531</v>
      </c>
      <c r="K8582" t="s">
        <v>40761</v>
      </c>
      <c r="M8582" t="s">
        <v>43672</v>
      </c>
      <c r="N8582" t="s">
        <v>44905</v>
      </c>
      <c r="O8582" t="s">
        <v>44906</v>
      </c>
      <c r="P8582">
        <v>0</v>
      </c>
      <c r="Q8582">
        <v>0</v>
      </c>
      <c r="R8582" t="s">
        <v>44911</v>
      </c>
      <c r="S8582" t="s">
        <v>45139</v>
      </c>
      <c r="T8582" t="s">
        <v>46409</v>
      </c>
      <c r="U8582" t="s">
        <v>53806</v>
      </c>
      <c r="W8582" t="s">
        <v>43672</v>
      </c>
      <c r="X8582" t="s">
        <v>44914</v>
      </c>
    </row>
    <row r="8583" spans="1:24">
      <c r="A8583">
        <f>HYPERLINK("https://www.philgeps.gov.ph/GEPSNONPILOT/Tender/SplashBidNoticeAbstractUI.aspx?menuIndex=3&amp;refID=7070306&amp;Result=3","7070306")</f>
        <v>0</v>
      </c>
      <c r="B8583" t="s">
        <v>2505</v>
      </c>
      <c r="C8583" t="s">
        <v>11710</v>
      </c>
      <c r="D8583" t="s">
        <v>18102</v>
      </c>
      <c r="E8583" t="s">
        <v>22841</v>
      </c>
      <c r="F8583" t="s">
        <v>31362</v>
      </c>
      <c r="G8583" t="s">
        <v>31369</v>
      </c>
      <c r="H8583" t="s">
        <v>31378</v>
      </c>
      <c r="I8583" t="s">
        <v>31386</v>
      </c>
      <c r="J8583" t="s">
        <v>36770</v>
      </c>
      <c r="K8583" t="s">
        <v>40662</v>
      </c>
      <c r="M8583" t="s">
        <v>43673</v>
      </c>
      <c r="N8583" t="s">
        <v>44905</v>
      </c>
      <c r="O8583" t="s">
        <v>44906</v>
      </c>
      <c r="P8583">
        <v>0</v>
      </c>
      <c r="Q8583">
        <v>0</v>
      </c>
      <c r="R8583" t="s">
        <v>44911</v>
      </c>
      <c r="S8583" t="s">
        <v>45139</v>
      </c>
      <c r="T8583" t="s">
        <v>46409</v>
      </c>
      <c r="U8583" t="s">
        <v>53807</v>
      </c>
      <c r="W8583" t="s">
        <v>43673</v>
      </c>
      <c r="X8583" t="s">
        <v>44914</v>
      </c>
    </row>
    <row r="8584" spans="1:24">
      <c r="A8584">
        <f>HYPERLINK("https://www.philgeps.gov.ph/GEPSNONPILOT/Tender/SplashBidNoticeAbstractUI.aspx?menuIndex=3&amp;refID=7069978&amp;Result=3","7069978")</f>
        <v>0</v>
      </c>
      <c r="B8584" t="s">
        <v>640</v>
      </c>
      <c r="C8584" t="s">
        <v>11711</v>
      </c>
      <c r="D8584" t="s">
        <v>18156</v>
      </c>
      <c r="E8584" t="s">
        <v>25722</v>
      </c>
      <c r="F8584" t="s">
        <v>31362</v>
      </c>
      <c r="G8584" t="s">
        <v>31369</v>
      </c>
      <c r="H8584" t="s">
        <v>31378</v>
      </c>
      <c r="I8584" t="s">
        <v>31386</v>
      </c>
      <c r="J8584" t="s">
        <v>36771</v>
      </c>
      <c r="K8584" t="s">
        <v>40752</v>
      </c>
      <c r="M8584" t="s">
        <v>43668</v>
      </c>
      <c r="N8584" t="s">
        <v>44905</v>
      </c>
      <c r="O8584" t="s">
        <v>44906</v>
      </c>
      <c r="P8584">
        <v>0</v>
      </c>
      <c r="Q8584">
        <v>1</v>
      </c>
      <c r="R8584" t="s">
        <v>44911</v>
      </c>
      <c r="S8584" t="s">
        <v>45139</v>
      </c>
      <c r="T8584" t="s">
        <v>46490</v>
      </c>
      <c r="U8584" t="s">
        <v>53808</v>
      </c>
      <c r="W8584" t="s">
        <v>43668</v>
      </c>
      <c r="X8584" t="s">
        <v>44915</v>
      </c>
    </row>
    <row r="8585" spans="1:24">
      <c r="A8585">
        <f>HYPERLINK("https://www.philgeps.gov.ph/GEPSNONPILOT/Tender/SplashBidNoticeAbstractUI.aspx?menuIndex=3&amp;refID=7069594&amp;Result=3","7069594")</f>
        <v>0</v>
      </c>
      <c r="B8585" t="s">
        <v>115</v>
      </c>
      <c r="C8585" t="s">
        <v>11712</v>
      </c>
      <c r="D8585" t="s">
        <v>18138</v>
      </c>
      <c r="E8585" t="s">
        <v>25723</v>
      </c>
      <c r="F8585" t="s">
        <v>31362</v>
      </c>
      <c r="G8585" t="s">
        <v>31368</v>
      </c>
      <c r="H8585" t="s">
        <v>31377</v>
      </c>
      <c r="I8585" t="s">
        <v>31377</v>
      </c>
      <c r="J8585" t="s">
        <v>36772</v>
      </c>
      <c r="K8585" t="s">
        <v>40662</v>
      </c>
      <c r="L8585" t="s">
        <v>115</v>
      </c>
      <c r="M8585" t="s">
        <v>41052</v>
      </c>
      <c r="N8585" t="s">
        <v>44905</v>
      </c>
      <c r="O8585" t="s">
        <v>44906</v>
      </c>
      <c r="P8585">
        <v>0</v>
      </c>
      <c r="Q8585">
        <v>1</v>
      </c>
      <c r="R8585" t="s">
        <v>44911</v>
      </c>
      <c r="S8585" t="s">
        <v>45139</v>
      </c>
      <c r="T8585" t="s">
        <v>46411</v>
      </c>
      <c r="U8585" t="s">
        <v>53809</v>
      </c>
      <c r="W8585" t="s">
        <v>41052</v>
      </c>
      <c r="X8585" t="s">
        <v>44915</v>
      </c>
    </row>
    <row r="8586" spans="1:24">
      <c r="A8586">
        <f>HYPERLINK("https://www.philgeps.gov.ph/GEPSNONPILOT/Tender/SplashBidNoticeAbstractUI.aspx?menuIndex=3&amp;refID=7069959&amp;Result=3","7069959")</f>
        <v>0</v>
      </c>
      <c r="B8586" t="s">
        <v>640</v>
      </c>
      <c r="C8586" t="s">
        <v>11713</v>
      </c>
      <c r="D8586" t="s">
        <v>18156</v>
      </c>
      <c r="E8586" t="s">
        <v>25724</v>
      </c>
      <c r="F8586" t="s">
        <v>31362</v>
      </c>
      <c r="G8586" t="s">
        <v>31369</v>
      </c>
      <c r="H8586" t="s">
        <v>31378</v>
      </c>
      <c r="I8586" t="s">
        <v>31386</v>
      </c>
      <c r="J8586" t="s">
        <v>36773</v>
      </c>
      <c r="K8586" t="s">
        <v>40801</v>
      </c>
      <c r="M8586" t="s">
        <v>43668</v>
      </c>
      <c r="N8586" t="s">
        <v>44905</v>
      </c>
      <c r="O8586" t="s">
        <v>44906</v>
      </c>
      <c r="P8586">
        <v>0</v>
      </c>
      <c r="Q8586">
        <v>1</v>
      </c>
      <c r="R8586" t="s">
        <v>44911</v>
      </c>
      <c r="S8586" t="s">
        <v>45139</v>
      </c>
      <c r="T8586" t="s">
        <v>46490</v>
      </c>
      <c r="U8586" t="s">
        <v>53810</v>
      </c>
      <c r="W8586" t="s">
        <v>43668</v>
      </c>
      <c r="X8586" t="s">
        <v>44915</v>
      </c>
    </row>
    <row r="8587" spans="1:24">
      <c r="A8587">
        <f>HYPERLINK("https://www.philgeps.gov.ph/GEPSNONPILOT/Tender/SplashBidNoticeAbstractUI.aspx?menuIndex=3&amp;refID=7069693&amp;Result=3","7069693")</f>
        <v>0</v>
      </c>
      <c r="B8587" t="s">
        <v>115</v>
      </c>
      <c r="C8587" t="s">
        <v>11714</v>
      </c>
      <c r="D8587" t="s">
        <v>18138</v>
      </c>
      <c r="E8587" t="s">
        <v>25725</v>
      </c>
      <c r="F8587" t="s">
        <v>31362</v>
      </c>
      <c r="G8587" t="s">
        <v>31368</v>
      </c>
      <c r="H8587" t="s">
        <v>31377</v>
      </c>
      <c r="I8587" t="s">
        <v>31377</v>
      </c>
      <c r="J8587" t="s">
        <v>36774</v>
      </c>
      <c r="K8587" t="s">
        <v>40662</v>
      </c>
      <c r="L8587" t="s">
        <v>115</v>
      </c>
      <c r="M8587" t="s">
        <v>41052</v>
      </c>
      <c r="N8587" t="s">
        <v>44905</v>
      </c>
      <c r="O8587" t="s">
        <v>44906</v>
      </c>
      <c r="P8587">
        <v>0</v>
      </c>
      <c r="Q8587">
        <v>1</v>
      </c>
      <c r="R8587" t="s">
        <v>44911</v>
      </c>
      <c r="S8587" t="s">
        <v>45139</v>
      </c>
      <c r="T8587" t="s">
        <v>46409</v>
      </c>
      <c r="U8587" t="s">
        <v>53786</v>
      </c>
      <c r="W8587" t="s">
        <v>41052</v>
      </c>
      <c r="X8587" t="s">
        <v>44915</v>
      </c>
    </row>
    <row r="8588" spans="1:24">
      <c r="A8588">
        <f>HYPERLINK("https://www.philgeps.gov.ph/GEPSNONPILOT/Tender/SplashBidNoticeAbstractUI.aspx?menuIndex=3&amp;refID=7070340&amp;Result=3","7070340")</f>
        <v>0</v>
      </c>
      <c r="B8588" t="s">
        <v>2506</v>
      </c>
      <c r="C8588" t="s">
        <v>6403</v>
      </c>
      <c r="D8588" t="s">
        <v>18116</v>
      </c>
      <c r="E8588" t="s">
        <v>20809</v>
      </c>
      <c r="F8588" t="s">
        <v>31362</v>
      </c>
      <c r="G8588" t="s">
        <v>31369</v>
      </c>
      <c r="H8588" t="s">
        <v>15799</v>
      </c>
      <c r="I8588" t="s">
        <v>7090</v>
      </c>
      <c r="J8588" t="s">
        <v>31806</v>
      </c>
      <c r="K8588" t="s">
        <v>40662</v>
      </c>
      <c r="M8588" t="s">
        <v>43674</v>
      </c>
      <c r="N8588" t="s">
        <v>44905</v>
      </c>
      <c r="O8588" t="s">
        <v>44906</v>
      </c>
      <c r="P8588">
        <v>0</v>
      </c>
      <c r="Q8588">
        <v>0</v>
      </c>
      <c r="R8588" t="s">
        <v>44911</v>
      </c>
      <c r="S8588" t="s">
        <v>45139</v>
      </c>
      <c r="T8588" t="s">
        <v>46399</v>
      </c>
      <c r="U8588" t="s">
        <v>53811</v>
      </c>
      <c r="W8588" t="s">
        <v>43674</v>
      </c>
      <c r="X8588" t="s">
        <v>44914</v>
      </c>
    </row>
    <row r="8589" spans="1:24">
      <c r="A8589">
        <f>HYPERLINK("https://www.philgeps.gov.ph/GEPSNONPILOT/Tender/SplashBidNoticeAbstractUI.aspx?menuIndex=3&amp;refID=7069972&amp;Result=3","7069972")</f>
        <v>0</v>
      </c>
      <c r="B8589" t="s">
        <v>640</v>
      </c>
      <c r="C8589" t="s">
        <v>11715</v>
      </c>
      <c r="D8589" t="s">
        <v>18156</v>
      </c>
      <c r="E8589" t="s">
        <v>25726</v>
      </c>
      <c r="F8589" t="s">
        <v>31362</v>
      </c>
      <c r="G8589" t="s">
        <v>31369</v>
      </c>
      <c r="H8589" t="s">
        <v>31378</v>
      </c>
      <c r="I8589" t="s">
        <v>31386</v>
      </c>
      <c r="J8589" t="s">
        <v>36775</v>
      </c>
      <c r="K8589" t="s">
        <v>40774</v>
      </c>
      <c r="M8589" t="s">
        <v>43668</v>
      </c>
      <c r="N8589" t="s">
        <v>44905</v>
      </c>
      <c r="O8589" t="s">
        <v>44906</v>
      </c>
      <c r="P8589">
        <v>0</v>
      </c>
      <c r="Q8589">
        <v>1</v>
      </c>
      <c r="R8589" t="s">
        <v>44911</v>
      </c>
      <c r="S8589" t="s">
        <v>45139</v>
      </c>
      <c r="T8589" t="s">
        <v>46490</v>
      </c>
      <c r="U8589" t="s">
        <v>53812</v>
      </c>
      <c r="W8589" t="s">
        <v>43668</v>
      </c>
      <c r="X8589" t="s">
        <v>44915</v>
      </c>
    </row>
    <row r="8590" spans="1:24">
      <c r="A8590">
        <f>HYPERLINK("https://www.philgeps.gov.ph/GEPSNONPILOT/Tender/SplashBidNoticeAbstractUI.aspx?menuIndex=3&amp;refID=7069943&amp;Result=3","7069943")</f>
        <v>0</v>
      </c>
      <c r="B8590" t="s">
        <v>640</v>
      </c>
      <c r="C8590" t="s">
        <v>11716</v>
      </c>
      <c r="D8590" t="s">
        <v>18156</v>
      </c>
      <c r="E8590" t="s">
        <v>25727</v>
      </c>
      <c r="F8590" t="s">
        <v>31362</v>
      </c>
      <c r="G8590" t="s">
        <v>31369</v>
      </c>
      <c r="H8590" t="s">
        <v>31378</v>
      </c>
      <c r="I8590" t="s">
        <v>31386</v>
      </c>
      <c r="J8590" t="s">
        <v>36776</v>
      </c>
      <c r="K8590" t="s">
        <v>40735</v>
      </c>
      <c r="M8590" t="s">
        <v>43668</v>
      </c>
      <c r="N8590" t="s">
        <v>44905</v>
      </c>
      <c r="O8590" t="s">
        <v>44906</v>
      </c>
      <c r="P8590">
        <v>0</v>
      </c>
      <c r="Q8590">
        <v>1</v>
      </c>
      <c r="R8590" t="s">
        <v>44911</v>
      </c>
      <c r="S8590" t="s">
        <v>45139</v>
      </c>
      <c r="T8590" t="s">
        <v>46490</v>
      </c>
      <c r="U8590" t="s">
        <v>53813</v>
      </c>
      <c r="W8590" t="s">
        <v>43668</v>
      </c>
      <c r="X8590" t="s">
        <v>44915</v>
      </c>
    </row>
    <row r="8591" spans="1:24">
      <c r="A8591">
        <f>HYPERLINK("https://www.philgeps.gov.ph/GEPSNONPILOT/Tender/SplashBidNoticeAbstractUI.aspx?menuIndex=3&amp;refID=7069058&amp;Result=3","7069058")</f>
        <v>0</v>
      </c>
      <c r="B8591" t="s">
        <v>1183</v>
      </c>
      <c r="C8591" t="s">
        <v>11717</v>
      </c>
      <c r="D8591" t="s">
        <v>18118</v>
      </c>
      <c r="E8591" t="s">
        <v>19648</v>
      </c>
      <c r="F8591" t="s">
        <v>31362</v>
      </c>
      <c r="G8591" t="s">
        <v>31369</v>
      </c>
      <c r="H8591" t="s">
        <v>15799</v>
      </c>
      <c r="I8591" t="s">
        <v>31404</v>
      </c>
      <c r="J8591" t="s">
        <v>36777</v>
      </c>
      <c r="K8591" t="s">
        <v>40661</v>
      </c>
      <c r="M8591" t="s">
        <v>42195</v>
      </c>
      <c r="N8591" t="s">
        <v>44905</v>
      </c>
      <c r="O8591" t="s">
        <v>44906</v>
      </c>
      <c r="P8591">
        <v>0</v>
      </c>
      <c r="Q8591">
        <v>0</v>
      </c>
      <c r="R8591" t="s">
        <v>44911</v>
      </c>
      <c r="S8591" t="s">
        <v>45139</v>
      </c>
      <c r="T8591" t="s">
        <v>46784</v>
      </c>
      <c r="U8591" t="s">
        <v>53771</v>
      </c>
      <c r="V8591" t="s">
        <v>59904</v>
      </c>
      <c r="W8591" t="s">
        <v>42195</v>
      </c>
      <c r="X8591" t="s">
        <v>44915</v>
      </c>
    </row>
    <row r="8592" spans="1:24">
      <c r="A8592">
        <f>HYPERLINK("https://www.philgeps.gov.ph/GEPSNONPILOT/Tender/SplashBidNoticeAbstractUI.aspx?menuIndex=3&amp;refID=7069835&amp;Result=3","7069835")</f>
        <v>0</v>
      </c>
      <c r="B8592" t="s">
        <v>640</v>
      </c>
      <c r="C8592" t="s">
        <v>11718</v>
      </c>
      <c r="D8592" t="s">
        <v>18156</v>
      </c>
      <c r="E8592" t="s">
        <v>25728</v>
      </c>
      <c r="F8592" t="s">
        <v>31362</v>
      </c>
      <c r="G8592" t="s">
        <v>31369</v>
      </c>
      <c r="H8592" t="s">
        <v>31378</v>
      </c>
      <c r="I8592" t="s">
        <v>31386</v>
      </c>
      <c r="J8592" t="s">
        <v>36778</v>
      </c>
      <c r="K8592" t="s">
        <v>40801</v>
      </c>
      <c r="M8592" t="s">
        <v>43668</v>
      </c>
      <c r="N8592" t="s">
        <v>44905</v>
      </c>
      <c r="O8592" t="s">
        <v>44906</v>
      </c>
      <c r="P8592">
        <v>0</v>
      </c>
      <c r="Q8592">
        <v>1</v>
      </c>
      <c r="R8592" t="s">
        <v>44911</v>
      </c>
      <c r="S8592" t="s">
        <v>45139</v>
      </c>
      <c r="T8592" t="s">
        <v>46490</v>
      </c>
      <c r="U8592" t="s">
        <v>53814</v>
      </c>
      <c r="W8592" t="s">
        <v>43668</v>
      </c>
      <c r="X8592" t="s">
        <v>44915</v>
      </c>
    </row>
    <row r="8593" spans="1:24">
      <c r="A8593">
        <f>HYPERLINK("https://www.philgeps.gov.ph/GEPSNONPILOT/Tender/SplashBidNoticeAbstractUI.aspx?menuIndex=3&amp;refID=7068881&amp;Result=3","7068881")</f>
        <v>0</v>
      </c>
      <c r="B8593" t="s">
        <v>2494</v>
      </c>
      <c r="C8593" t="s">
        <v>11719</v>
      </c>
      <c r="E8593" t="s">
        <v>21360</v>
      </c>
      <c r="F8593" t="s">
        <v>31362</v>
      </c>
      <c r="G8593" t="s">
        <v>31369</v>
      </c>
      <c r="H8593" t="s">
        <v>15799</v>
      </c>
      <c r="I8593" t="s">
        <v>7090</v>
      </c>
      <c r="J8593" t="s">
        <v>31591</v>
      </c>
      <c r="K8593" t="s">
        <v>40662</v>
      </c>
      <c r="M8593" t="s">
        <v>43661</v>
      </c>
      <c r="N8593" t="s">
        <v>44905</v>
      </c>
      <c r="O8593" t="s">
        <v>44906</v>
      </c>
      <c r="P8593">
        <v>0</v>
      </c>
      <c r="Q8593">
        <v>3</v>
      </c>
      <c r="R8593" t="s">
        <v>44911</v>
      </c>
      <c r="S8593" t="s">
        <v>45139</v>
      </c>
      <c r="T8593" t="s">
        <v>46511</v>
      </c>
      <c r="U8593" t="s">
        <v>53815</v>
      </c>
      <c r="V8593" t="s">
        <v>59914</v>
      </c>
      <c r="W8593" t="s">
        <v>43661</v>
      </c>
      <c r="X8593" t="s">
        <v>44915</v>
      </c>
    </row>
    <row r="8594" spans="1:24">
      <c r="A8594">
        <f>HYPERLINK("https://www.philgeps.gov.ph/GEPSNONPILOT/Tender/SplashBidNoticeAbstractUI.aspx?menuIndex=3&amp;refID=7069829&amp;Result=3","7069829")</f>
        <v>0</v>
      </c>
      <c r="B8594" t="s">
        <v>1230</v>
      </c>
      <c r="C8594" t="s">
        <v>11720</v>
      </c>
      <c r="D8594" t="s">
        <v>18106</v>
      </c>
      <c r="E8594" t="s">
        <v>21151</v>
      </c>
      <c r="F8594" t="s">
        <v>31362</v>
      </c>
      <c r="G8594" t="s">
        <v>31369</v>
      </c>
      <c r="H8594" t="s">
        <v>15799</v>
      </c>
      <c r="I8594" t="s">
        <v>31414</v>
      </c>
      <c r="J8594" t="s">
        <v>36779</v>
      </c>
      <c r="K8594" t="s">
        <v>40682</v>
      </c>
      <c r="M8594" t="s">
        <v>42244</v>
      </c>
      <c r="N8594" t="s">
        <v>44905</v>
      </c>
      <c r="O8594" t="s">
        <v>44906</v>
      </c>
      <c r="P8594">
        <v>0</v>
      </c>
      <c r="Q8594">
        <v>2</v>
      </c>
      <c r="R8594" t="s">
        <v>44911</v>
      </c>
      <c r="S8594" t="s">
        <v>45139</v>
      </c>
      <c r="T8594" t="s">
        <v>46414</v>
      </c>
      <c r="U8594" t="s">
        <v>53816</v>
      </c>
      <c r="W8594" t="s">
        <v>42244</v>
      </c>
      <c r="X8594" t="s">
        <v>44915</v>
      </c>
    </row>
    <row r="8595" spans="1:24">
      <c r="A8595">
        <f>HYPERLINK("https://www.philgeps.gov.ph/GEPSNONPILOT/Tender/SplashBidNoticeAbstractUI.aspx?menuIndex=3&amp;refID=7070526&amp;Result=3","7070526")</f>
        <v>0</v>
      </c>
      <c r="B8595" t="s">
        <v>1037</v>
      </c>
      <c r="C8595" t="s">
        <v>11721</v>
      </c>
      <c r="D8595" t="s">
        <v>18146</v>
      </c>
      <c r="E8595" t="s">
        <v>25729</v>
      </c>
      <c r="F8595" t="s">
        <v>31362</v>
      </c>
      <c r="G8595" t="s">
        <v>31369</v>
      </c>
      <c r="H8595" t="s">
        <v>31378</v>
      </c>
      <c r="I8595" t="s">
        <v>31386</v>
      </c>
      <c r="J8595" t="s">
        <v>36780</v>
      </c>
      <c r="K8595" t="s">
        <v>40761</v>
      </c>
      <c r="M8595" t="s">
        <v>43675</v>
      </c>
      <c r="N8595" t="s">
        <v>44905</v>
      </c>
      <c r="O8595" t="s">
        <v>44906</v>
      </c>
      <c r="P8595">
        <v>0</v>
      </c>
      <c r="Q8595">
        <v>0</v>
      </c>
      <c r="R8595" t="s">
        <v>44911</v>
      </c>
      <c r="S8595" t="s">
        <v>45139</v>
      </c>
      <c r="T8595" t="s">
        <v>46483</v>
      </c>
      <c r="U8595" t="s">
        <v>53817</v>
      </c>
      <c r="V8595" t="s">
        <v>59915</v>
      </c>
      <c r="W8595" t="s">
        <v>43675</v>
      </c>
      <c r="X8595" t="s">
        <v>44914</v>
      </c>
    </row>
    <row r="8596" spans="1:24">
      <c r="A8596">
        <f>HYPERLINK("https://www.philgeps.gov.ph/GEPSNONPILOT/Tender/SplashBidNoticeAbstractUI.aspx?menuIndex=3&amp;refID=7070281&amp;Result=3","7070281")</f>
        <v>0</v>
      </c>
      <c r="B8596" t="s">
        <v>2507</v>
      </c>
      <c r="C8596" t="s">
        <v>11722</v>
      </c>
      <c r="D8596" t="s">
        <v>18106</v>
      </c>
      <c r="E8596" t="s">
        <v>25730</v>
      </c>
      <c r="F8596" t="s">
        <v>31362</v>
      </c>
      <c r="G8596" t="s">
        <v>31369</v>
      </c>
      <c r="H8596" t="s">
        <v>31378</v>
      </c>
      <c r="I8596" t="s">
        <v>31392</v>
      </c>
      <c r="J8596" t="s">
        <v>36781</v>
      </c>
      <c r="K8596" t="s">
        <v>40672</v>
      </c>
      <c r="M8596" t="s">
        <v>43676</v>
      </c>
      <c r="N8596" t="s">
        <v>44905</v>
      </c>
      <c r="O8596" t="s">
        <v>44906</v>
      </c>
      <c r="P8596">
        <v>0</v>
      </c>
      <c r="Q8596">
        <v>1</v>
      </c>
      <c r="R8596" t="s">
        <v>44911</v>
      </c>
      <c r="S8596" t="s">
        <v>45139</v>
      </c>
      <c r="T8596" t="s">
        <v>46434</v>
      </c>
      <c r="U8596" t="s">
        <v>53818</v>
      </c>
      <c r="W8596" t="s">
        <v>43676</v>
      </c>
      <c r="X8596" t="s">
        <v>44914</v>
      </c>
    </row>
    <row r="8597" spans="1:24">
      <c r="A8597">
        <f>HYPERLINK("https://www.philgeps.gov.ph/GEPSNONPILOT/Tender/SplashBidNoticeAbstractUI.aspx?menuIndex=3&amp;refID=7070523&amp;Result=3","7070523")</f>
        <v>0</v>
      </c>
      <c r="B8597" t="s">
        <v>549</v>
      </c>
      <c r="C8597" t="s">
        <v>11723</v>
      </c>
      <c r="D8597" t="s">
        <v>18111</v>
      </c>
      <c r="E8597" t="s">
        <v>25731</v>
      </c>
      <c r="F8597" t="s">
        <v>31362</v>
      </c>
      <c r="G8597" t="s">
        <v>31370</v>
      </c>
      <c r="H8597" t="s">
        <v>15799</v>
      </c>
      <c r="I8597" t="s">
        <v>3815</v>
      </c>
      <c r="J8597" t="s">
        <v>33310</v>
      </c>
      <c r="K8597" t="s">
        <v>40673</v>
      </c>
      <c r="M8597" t="s">
        <v>41505</v>
      </c>
      <c r="N8597" t="s">
        <v>44905</v>
      </c>
      <c r="O8597" t="s">
        <v>44906</v>
      </c>
      <c r="P8597">
        <v>0</v>
      </c>
      <c r="Q8597">
        <v>2</v>
      </c>
      <c r="R8597" t="s">
        <v>44911</v>
      </c>
      <c r="S8597" t="s">
        <v>45139</v>
      </c>
      <c r="T8597" t="s">
        <v>46454</v>
      </c>
      <c r="U8597" t="s">
        <v>53819</v>
      </c>
      <c r="W8597" t="s">
        <v>41505</v>
      </c>
      <c r="X8597" t="s">
        <v>44914</v>
      </c>
    </row>
    <row r="8598" spans="1:24">
      <c r="A8598">
        <f>HYPERLINK("https://www.philgeps.gov.ph/GEPSNONPILOT/Tender/SplashBidNoticeAbstractUI.aspx?menuIndex=3&amp;refID=7069796&amp;Result=3","7069796")</f>
        <v>0</v>
      </c>
      <c r="B8598" t="s">
        <v>640</v>
      </c>
      <c r="C8598" t="s">
        <v>11724</v>
      </c>
      <c r="D8598" t="s">
        <v>18156</v>
      </c>
      <c r="E8598" t="s">
        <v>25732</v>
      </c>
      <c r="F8598" t="s">
        <v>31362</v>
      </c>
      <c r="G8598" t="s">
        <v>31369</v>
      </c>
      <c r="H8598" t="s">
        <v>31378</v>
      </c>
      <c r="I8598" t="s">
        <v>31386</v>
      </c>
      <c r="J8598" t="s">
        <v>36782</v>
      </c>
      <c r="K8598" t="s">
        <v>40682</v>
      </c>
      <c r="M8598" t="s">
        <v>43668</v>
      </c>
      <c r="N8598" t="s">
        <v>44905</v>
      </c>
      <c r="O8598" t="s">
        <v>44906</v>
      </c>
      <c r="P8598">
        <v>0</v>
      </c>
      <c r="Q8598">
        <v>1</v>
      </c>
      <c r="R8598" t="s">
        <v>44911</v>
      </c>
      <c r="S8598" t="s">
        <v>45139</v>
      </c>
      <c r="T8598" t="s">
        <v>46490</v>
      </c>
      <c r="U8598" t="s">
        <v>53820</v>
      </c>
      <c r="W8598" t="s">
        <v>43668</v>
      </c>
      <c r="X8598" t="s">
        <v>44915</v>
      </c>
    </row>
    <row r="8599" spans="1:24">
      <c r="A8599">
        <f>HYPERLINK("https://www.philgeps.gov.ph/GEPSNONPILOT/Tender/SplashBidNoticeAbstractUI.aspx?menuIndex=3&amp;refID=7070374&amp;Result=3","7070374")</f>
        <v>0</v>
      </c>
      <c r="B8599" t="s">
        <v>179</v>
      </c>
      <c r="C8599" t="s">
        <v>11725</v>
      </c>
      <c r="E8599" t="s">
        <v>25733</v>
      </c>
      <c r="F8599" t="s">
        <v>31362</v>
      </c>
      <c r="G8599" t="s">
        <v>31368</v>
      </c>
      <c r="H8599" t="s">
        <v>15799</v>
      </c>
      <c r="I8599" t="s">
        <v>31393</v>
      </c>
      <c r="J8599" t="s">
        <v>31578</v>
      </c>
      <c r="K8599" t="s">
        <v>40665</v>
      </c>
      <c r="M8599" t="s">
        <v>41117</v>
      </c>
      <c r="N8599" t="s">
        <v>44905</v>
      </c>
      <c r="O8599" t="s">
        <v>44906</v>
      </c>
      <c r="P8599">
        <v>0</v>
      </c>
      <c r="Q8599">
        <v>5</v>
      </c>
      <c r="R8599" t="s">
        <v>44911</v>
      </c>
      <c r="S8599" t="s">
        <v>45139</v>
      </c>
      <c r="T8599" t="s">
        <v>46583</v>
      </c>
      <c r="U8599" t="s">
        <v>53821</v>
      </c>
      <c r="V8599" t="s">
        <v>59912</v>
      </c>
      <c r="W8599" t="s">
        <v>41209</v>
      </c>
      <c r="X8599" t="s">
        <v>44914</v>
      </c>
    </row>
    <row r="8600" spans="1:24">
      <c r="A8600">
        <f>HYPERLINK("https://www.philgeps.gov.ph/GEPSNONPILOT/Tender/SplashBidNoticeAbstractUI.aspx?menuIndex=3&amp;refID=7070513&amp;Result=3","7070513")</f>
        <v>0</v>
      </c>
      <c r="B8600" t="s">
        <v>2508</v>
      </c>
      <c r="C8600" t="s">
        <v>11726</v>
      </c>
      <c r="D8600" t="s">
        <v>18177</v>
      </c>
      <c r="E8600" t="s">
        <v>18203</v>
      </c>
      <c r="F8600" t="s">
        <v>31362</v>
      </c>
      <c r="G8600" t="s">
        <v>31369</v>
      </c>
      <c r="H8600" t="s">
        <v>31378</v>
      </c>
      <c r="I8600" t="s">
        <v>31386</v>
      </c>
      <c r="J8600" t="s">
        <v>36783</v>
      </c>
      <c r="K8600" t="s">
        <v>40665</v>
      </c>
      <c r="M8600" t="s">
        <v>43677</v>
      </c>
      <c r="N8600" t="s">
        <v>44905</v>
      </c>
      <c r="O8600" t="s">
        <v>44906</v>
      </c>
      <c r="P8600">
        <v>0</v>
      </c>
      <c r="Q8600">
        <v>0</v>
      </c>
      <c r="R8600" t="s">
        <v>44911</v>
      </c>
      <c r="S8600" t="s">
        <v>45139</v>
      </c>
      <c r="T8600" t="s">
        <v>46402</v>
      </c>
      <c r="U8600" t="s">
        <v>53822</v>
      </c>
      <c r="W8600" t="s">
        <v>43677</v>
      </c>
      <c r="X8600" t="s">
        <v>44914</v>
      </c>
    </row>
    <row r="8601" spans="1:24">
      <c r="A8601">
        <f>HYPERLINK("https://www.philgeps.gov.ph/GEPSNONPILOT/Tender/SplashBidNoticeAbstractUI.aspx?menuIndex=3&amp;refID=7068861&amp;Result=3","7068861")</f>
        <v>0</v>
      </c>
      <c r="B8601" t="s">
        <v>2494</v>
      </c>
      <c r="C8601" t="s">
        <v>11727</v>
      </c>
      <c r="E8601" t="s">
        <v>19648</v>
      </c>
      <c r="F8601" t="s">
        <v>31362</v>
      </c>
      <c r="G8601" t="s">
        <v>31369</v>
      </c>
      <c r="H8601" t="s">
        <v>15799</v>
      </c>
      <c r="I8601" t="s">
        <v>31422</v>
      </c>
      <c r="J8601" t="s">
        <v>31545</v>
      </c>
      <c r="K8601" t="s">
        <v>40662</v>
      </c>
      <c r="M8601" t="s">
        <v>43661</v>
      </c>
      <c r="N8601" t="s">
        <v>44905</v>
      </c>
      <c r="O8601" t="s">
        <v>44906</v>
      </c>
      <c r="P8601">
        <v>0</v>
      </c>
      <c r="Q8601">
        <v>3</v>
      </c>
      <c r="R8601" t="s">
        <v>44911</v>
      </c>
      <c r="S8601" t="s">
        <v>45139</v>
      </c>
      <c r="T8601" t="s">
        <v>46393</v>
      </c>
      <c r="U8601" t="s">
        <v>53823</v>
      </c>
      <c r="V8601" t="s">
        <v>59916</v>
      </c>
      <c r="W8601" t="s">
        <v>43661</v>
      </c>
      <c r="X8601" t="s">
        <v>44915</v>
      </c>
    </row>
    <row r="8602" spans="1:24">
      <c r="A8602">
        <f>HYPERLINK("https://www.philgeps.gov.ph/GEPSNONPILOT/Tender/SplashBidNoticeAbstractUI.aspx?menuIndex=3&amp;refID=7070524&amp;Result=3","7070524")</f>
        <v>0</v>
      </c>
      <c r="B8602" t="s">
        <v>2509</v>
      </c>
      <c r="C8602" t="s">
        <v>11728</v>
      </c>
      <c r="D8602" t="s">
        <v>18136</v>
      </c>
      <c r="E8602" t="s">
        <v>25734</v>
      </c>
      <c r="F8602" t="s">
        <v>31362</v>
      </c>
      <c r="G8602" t="s">
        <v>31369</v>
      </c>
      <c r="H8602" t="s">
        <v>15799</v>
      </c>
      <c r="I8602" t="s">
        <v>31427</v>
      </c>
      <c r="J8602" t="s">
        <v>36784</v>
      </c>
      <c r="K8602" t="s">
        <v>40731</v>
      </c>
      <c r="M8602" t="s">
        <v>43678</v>
      </c>
      <c r="N8602" t="s">
        <v>44905</v>
      </c>
      <c r="O8602" t="s">
        <v>44906</v>
      </c>
      <c r="P8602">
        <v>0</v>
      </c>
      <c r="Q8602">
        <v>1</v>
      </c>
      <c r="R8602" t="s">
        <v>44911</v>
      </c>
      <c r="S8602" t="s">
        <v>45139</v>
      </c>
      <c r="T8602" t="s">
        <v>46464</v>
      </c>
      <c r="U8602" t="s">
        <v>53824</v>
      </c>
      <c r="V8602" t="s">
        <v>59917</v>
      </c>
      <c r="W8602" t="s">
        <v>43678</v>
      </c>
      <c r="X8602" t="s">
        <v>44914</v>
      </c>
    </row>
    <row r="8603" spans="1:24">
      <c r="A8603">
        <f>HYPERLINK("https://www.philgeps.gov.ph/GEPSNONPILOT/Tender/SplashBidNoticeAbstractUI.aspx?menuIndex=3&amp;refID=7069378&amp;Result=3","7069378")</f>
        <v>0</v>
      </c>
      <c r="B8603" t="s">
        <v>640</v>
      </c>
      <c r="C8603" t="s">
        <v>11729</v>
      </c>
      <c r="D8603" t="s">
        <v>18156</v>
      </c>
      <c r="E8603" t="s">
        <v>25735</v>
      </c>
      <c r="F8603" t="s">
        <v>31362</v>
      </c>
      <c r="G8603" t="s">
        <v>31369</v>
      </c>
      <c r="H8603" t="s">
        <v>31378</v>
      </c>
      <c r="I8603" t="s">
        <v>31386</v>
      </c>
      <c r="J8603" t="s">
        <v>36785</v>
      </c>
      <c r="K8603" t="s">
        <v>40725</v>
      </c>
      <c r="M8603" t="s">
        <v>43668</v>
      </c>
      <c r="N8603" t="s">
        <v>44905</v>
      </c>
      <c r="O8603" t="s">
        <v>44906</v>
      </c>
      <c r="P8603">
        <v>0</v>
      </c>
      <c r="Q8603">
        <v>1</v>
      </c>
      <c r="R8603" t="s">
        <v>44911</v>
      </c>
      <c r="S8603" t="s">
        <v>45139</v>
      </c>
      <c r="T8603" t="s">
        <v>46490</v>
      </c>
      <c r="U8603" t="s">
        <v>53825</v>
      </c>
      <c r="W8603" t="s">
        <v>43668</v>
      </c>
      <c r="X8603" t="s">
        <v>44915</v>
      </c>
    </row>
    <row r="8604" spans="1:24">
      <c r="A8604">
        <f>HYPERLINK("https://www.philgeps.gov.ph/GEPSNONPILOT/Tender/SplashBidNoticeAbstractUI.aspx?menuIndex=3&amp;refID=7070510&amp;Result=3","7070510")</f>
        <v>0</v>
      </c>
      <c r="B8604" t="s">
        <v>2510</v>
      </c>
      <c r="C8604" t="s">
        <v>11730</v>
      </c>
      <c r="D8604" t="s">
        <v>18117</v>
      </c>
      <c r="E8604" t="s">
        <v>20134</v>
      </c>
      <c r="F8604" t="s">
        <v>31362</v>
      </c>
      <c r="G8604" t="s">
        <v>31369</v>
      </c>
      <c r="H8604" t="s">
        <v>15799</v>
      </c>
      <c r="I8604" t="s">
        <v>31409</v>
      </c>
      <c r="J8604" t="s">
        <v>33068</v>
      </c>
      <c r="K8604" t="s">
        <v>40665</v>
      </c>
      <c r="M8604" t="s">
        <v>43679</v>
      </c>
      <c r="N8604" t="s">
        <v>44905</v>
      </c>
      <c r="O8604" t="s">
        <v>44906</v>
      </c>
      <c r="P8604">
        <v>0</v>
      </c>
      <c r="Q8604">
        <v>2</v>
      </c>
      <c r="R8604" t="s">
        <v>44911</v>
      </c>
      <c r="S8604" t="s">
        <v>45139</v>
      </c>
      <c r="T8604" t="s">
        <v>46554</v>
      </c>
      <c r="U8604" t="s">
        <v>53826</v>
      </c>
      <c r="W8604" t="s">
        <v>43679</v>
      </c>
      <c r="X8604" t="s">
        <v>44914</v>
      </c>
    </row>
    <row r="8605" spans="1:24">
      <c r="A8605">
        <f>HYPERLINK("https://www.philgeps.gov.ph/GEPSNONPILOT/Tender/SplashBidNoticeAbstractUI.aspx?menuIndex=3&amp;refID=7070400&amp;Result=3","7070400")</f>
        <v>0</v>
      </c>
      <c r="B8605" t="s">
        <v>2511</v>
      </c>
      <c r="C8605" t="s">
        <v>11731</v>
      </c>
      <c r="D8605" t="s">
        <v>18140</v>
      </c>
      <c r="E8605" t="s">
        <v>19844</v>
      </c>
      <c r="F8605" t="s">
        <v>31362</v>
      </c>
      <c r="G8605" t="s">
        <v>31369</v>
      </c>
      <c r="H8605" t="s">
        <v>31378</v>
      </c>
      <c r="I8605" t="s">
        <v>31386</v>
      </c>
      <c r="J8605" t="s">
        <v>36786</v>
      </c>
      <c r="K8605" t="s">
        <v>40662</v>
      </c>
      <c r="M8605" t="s">
        <v>43680</v>
      </c>
      <c r="N8605" t="s">
        <v>44905</v>
      </c>
      <c r="O8605" t="s">
        <v>44906</v>
      </c>
      <c r="P8605">
        <v>0</v>
      </c>
      <c r="Q8605">
        <v>0</v>
      </c>
      <c r="R8605" t="s">
        <v>44911</v>
      </c>
      <c r="S8605" t="s">
        <v>45139</v>
      </c>
      <c r="T8605" t="s">
        <v>46414</v>
      </c>
      <c r="U8605" t="s">
        <v>47766</v>
      </c>
      <c r="W8605" t="s">
        <v>43680</v>
      </c>
      <c r="X8605" t="s">
        <v>44914</v>
      </c>
    </row>
    <row r="8606" spans="1:24">
      <c r="A8606">
        <f>HYPERLINK("https://www.philgeps.gov.ph/GEPSNONPILOT/Tender/SplashBidNoticeAbstractUI.aspx?menuIndex=3&amp;refID=7070459&amp;Result=3","7070459")</f>
        <v>0</v>
      </c>
      <c r="B8606" t="s">
        <v>543</v>
      </c>
      <c r="C8606" t="s">
        <v>11732</v>
      </c>
      <c r="D8606" t="s">
        <v>18138</v>
      </c>
      <c r="E8606" t="s">
        <v>25736</v>
      </c>
      <c r="F8606" t="s">
        <v>31362</v>
      </c>
      <c r="G8606" t="s">
        <v>31368</v>
      </c>
      <c r="H8606" t="s">
        <v>15799</v>
      </c>
      <c r="I8606" t="s">
        <v>31439</v>
      </c>
      <c r="J8606" t="s">
        <v>36787</v>
      </c>
      <c r="K8606" t="s">
        <v>40670</v>
      </c>
      <c r="M8606" t="s">
        <v>41499</v>
      </c>
      <c r="N8606" t="s">
        <v>44905</v>
      </c>
      <c r="O8606" t="s">
        <v>44906</v>
      </c>
      <c r="P8606">
        <v>0</v>
      </c>
      <c r="Q8606">
        <v>0</v>
      </c>
      <c r="R8606" t="s">
        <v>44911</v>
      </c>
      <c r="S8606" t="s">
        <v>45139</v>
      </c>
      <c r="T8606" t="s">
        <v>46534</v>
      </c>
      <c r="U8606" t="s">
        <v>53827</v>
      </c>
      <c r="W8606" t="s">
        <v>41499</v>
      </c>
      <c r="X8606" t="s">
        <v>44914</v>
      </c>
    </row>
    <row r="8607" spans="1:24">
      <c r="A8607">
        <f>HYPERLINK("https://www.philgeps.gov.ph/GEPSNONPILOT/Tender/SplashBidNoticeAbstractUI.aspx?menuIndex=3&amp;refID=7070486&amp;Result=3","7070486")</f>
        <v>0</v>
      </c>
      <c r="B8607" t="s">
        <v>2512</v>
      </c>
      <c r="C8607" t="s">
        <v>6507</v>
      </c>
      <c r="D8607" t="s">
        <v>18116</v>
      </c>
      <c r="E8607" t="s">
        <v>20935</v>
      </c>
      <c r="F8607" t="s">
        <v>31362</v>
      </c>
      <c r="G8607" t="s">
        <v>31369</v>
      </c>
      <c r="H8607" t="s">
        <v>15799</v>
      </c>
      <c r="I8607" t="s">
        <v>7090</v>
      </c>
      <c r="J8607" t="s">
        <v>31531</v>
      </c>
      <c r="K8607" t="s">
        <v>40662</v>
      </c>
      <c r="M8607" t="s">
        <v>43681</v>
      </c>
      <c r="N8607" t="s">
        <v>44905</v>
      </c>
      <c r="O8607" t="s">
        <v>44906</v>
      </c>
      <c r="P8607">
        <v>0</v>
      </c>
      <c r="Q8607">
        <v>2</v>
      </c>
      <c r="R8607" t="s">
        <v>44911</v>
      </c>
      <c r="S8607" t="s">
        <v>45139</v>
      </c>
      <c r="T8607" t="s">
        <v>46549</v>
      </c>
      <c r="U8607" t="s">
        <v>53828</v>
      </c>
      <c r="W8607" t="s">
        <v>43681</v>
      </c>
      <c r="X8607" t="s">
        <v>44914</v>
      </c>
    </row>
    <row r="8608" spans="1:24">
      <c r="A8608">
        <f>HYPERLINK("https://www.philgeps.gov.ph/GEPSNONPILOT/Tender/SplashBidNoticeAbstractUI.aspx?menuIndex=3&amp;refID=7070436&amp;Result=3","7070436")</f>
        <v>0</v>
      </c>
      <c r="B8608" t="s">
        <v>2493</v>
      </c>
      <c r="C8608" t="s">
        <v>11733</v>
      </c>
      <c r="D8608" t="s">
        <v>18148</v>
      </c>
      <c r="E8608" t="s">
        <v>25737</v>
      </c>
      <c r="F8608" t="s">
        <v>31362</v>
      </c>
      <c r="G8608" t="s">
        <v>31369</v>
      </c>
      <c r="H8608" t="s">
        <v>15799</v>
      </c>
      <c r="I8608" t="s">
        <v>3815</v>
      </c>
      <c r="J8608" t="s">
        <v>36788</v>
      </c>
      <c r="K8608" t="s">
        <v>40682</v>
      </c>
      <c r="M8608" t="s">
        <v>43659</v>
      </c>
      <c r="N8608" t="s">
        <v>44905</v>
      </c>
      <c r="O8608" t="s">
        <v>44906</v>
      </c>
      <c r="P8608">
        <v>0</v>
      </c>
      <c r="Q8608">
        <v>1</v>
      </c>
      <c r="R8608" t="s">
        <v>44911</v>
      </c>
      <c r="S8608" t="s">
        <v>45139</v>
      </c>
      <c r="T8608" t="s">
        <v>46443</v>
      </c>
      <c r="U8608" t="s">
        <v>53799</v>
      </c>
      <c r="W8608" t="s">
        <v>43659</v>
      </c>
      <c r="X8608" t="s">
        <v>44914</v>
      </c>
    </row>
    <row r="8609" spans="1:24">
      <c r="A8609">
        <f>HYPERLINK("https://www.philgeps.gov.ph/GEPSNONPILOT/Tender/SplashBidNoticeAbstractUI.aspx?menuIndex=3&amp;refID=7070434&amp;Result=3","7070434")</f>
        <v>0</v>
      </c>
      <c r="B8609" t="s">
        <v>2513</v>
      </c>
      <c r="C8609" t="s">
        <v>11734</v>
      </c>
      <c r="D8609" t="s">
        <v>18140</v>
      </c>
      <c r="E8609" t="s">
        <v>19844</v>
      </c>
      <c r="F8609" t="s">
        <v>31362</v>
      </c>
      <c r="G8609" t="s">
        <v>31369</v>
      </c>
      <c r="H8609" t="s">
        <v>31378</v>
      </c>
      <c r="I8609" t="s">
        <v>31386</v>
      </c>
      <c r="J8609" t="s">
        <v>36789</v>
      </c>
      <c r="K8609" t="s">
        <v>40662</v>
      </c>
      <c r="M8609" t="s">
        <v>43682</v>
      </c>
      <c r="N8609" t="s">
        <v>44905</v>
      </c>
      <c r="O8609" t="s">
        <v>44906</v>
      </c>
      <c r="P8609">
        <v>0</v>
      </c>
      <c r="Q8609">
        <v>0</v>
      </c>
      <c r="R8609" t="s">
        <v>44911</v>
      </c>
      <c r="S8609" t="s">
        <v>45139</v>
      </c>
      <c r="T8609" t="s">
        <v>46414</v>
      </c>
      <c r="U8609" t="s">
        <v>47766</v>
      </c>
      <c r="W8609" t="s">
        <v>43682</v>
      </c>
      <c r="X8609" t="s">
        <v>44914</v>
      </c>
    </row>
    <row r="8610" spans="1:24">
      <c r="A8610">
        <f>HYPERLINK("https://www.philgeps.gov.ph/GEPSNONPILOT/Tender/SplashBidNoticeAbstractUI.aspx?menuIndex=3&amp;refID=7070427&amp;Result=3","7070427")</f>
        <v>0</v>
      </c>
      <c r="B8610" t="s">
        <v>2509</v>
      </c>
      <c r="C8610" t="s">
        <v>8967</v>
      </c>
      <c r="D8610" t="s">
        <v>18136</v>
      </c>
      <c r="E8610" t="s">
        <v>25738</v>
      </c>
      <c r="F8610" t="s">
        <v>31362</v>
      </c>
      <c r="G8610" t="s">
        <v>31369</v>
      </c>
      <c r="H8610" t="s">
        <v>15799</v>
      </c>
      <c r="I8610" t="s">
        <v>31393</v>
      </c>
      <c r="J8610" t="s">
        <v>36790</v>
      </c>
      <c r="K8610" t="s">
        <v>40731</v>
      </c>
      <c r="M8610" t="s">
        <v>43678</v>
      </c>
      <c r="N8610" t="s">
        <v>44905</v>
      </c>
      <c r="O8610" t="s">
        <v>44906</v>
      </c>
      <c r="P8610">
        <v>0</v>
      </c>
      <c r="Q8610">
        <v>1</v>
      </c>
      <c r="R8610" t="s">
        <v>44911</v>
      </c>
      <c r="S8610" t="s">
        <v>45139</v>
      </c>
      <c r="T8610" t="s">
        <v>46432</v>
      </c>
      <c r="U8610" t="s">
        <v>53829</v>
      </c>
      <c r="V8610" t="s">
        <v>59917</v>
      </c>
      <c r="W8610" t="s">
        <v>43678</v>
      </c>
      <c r="X8610" t="s">
        <v>44914</v>
      </c>
    </row>
    <row r="8611" spans="1:24">
      <c r="A8611">
        <f>HYPERLINK("https://www.philgeps.gov.ph/GEPSNONPILOT/Tender/SplashBidNoticeAbstractUI.aspx?menuIndex=3&amp;refID=7070481&amp;Result=3","7070481")</f>
        <v>0</v>
      </c>
      <c r="B8611" t="s">
        <v>1939</v>
      </c>
      <c r="C8611" t="s">
        <v>11735</v>
      </c>
      <c r="D8611" t="s">
        <v>18141</v>
      </c>
      <c r="E8611" t="s">
        <v>25739</v>
      </c>
      <c r="F8611" t="s">
        <v>31362</v>
      </c>
      <c r="G8611" t="s">
        <v>31369</v>
      </c>
      <c r="H8611" t="s">
        <v>31378</v>
      </c>
      <c r="I8611" t="s">
        <v>31386</v>
      </c>
      <c r="J8611" t="s">
        <v>31872</v>
      </c>
      <c r="K8611" t="s">
        <v>40696</v>
      </c>
      <c r="M8611" t="s">
        <v>43044</v>
      </c>
      <c r="N8611" t="s">
        <v>44905</v>
      </c>
      <c r="O8611" t="s">
        <v>44906</v>
      </c>
      <c r="P8611">
        <v>0</v>
      </c>
      <c r="Q8611">
        <v>0</v>
      </c>
      <c r="R8611" t="s">
        <v>44911</v>
      </c>
      <c r="S8611" t="s">
        <v>45139</v>
      </c>
      <c r="T8611" t="s">
        <v>46416</v>
      </c>
      <c r="U8611" t="s">
        <v>53830</v>
      </c>
      <c r="V8611" t="s">
        <v>59918</v>
      </c>
      <c r="W8611" t="s">
        <v>43044</v>
      </c>
      <c r="X8611" t="s">
        <v>44914</v>
      </c>
    </row>
    <row r="8612" spans="1:24">
      <c r="A8612">
        <f>HYPERLINK("https://www.philgeps.gov.ph/GEPSNONPILOT/Tender/SplashBidNoticeAbstractUI.aspx?menuIndex=3&amp;refID=7070478&amp;Result=3","7070478")</f>
        <v>0</v>
      </c>
      <c r="B8612" t="s">
        <v>2514</v>
      </c>
      <c r="C8612" t="s">
        <v>3545</v>
      </c>
      <c r="D8612" t="s">
        <v>18105</v>
      </c>
      <c r="E8612" t="s">
        <v>25740</v>
      </c>
      <c r="F8612" t="s">
        <v>31362</v>
      </c>
      <c r="G8612" t="s">
        <v>31369</v>
      </c>
      <c r="H8612" t="s">
        <v>31378</v>
      </c>
      <c r="I8612" t="s">
        <v>31386</v>
      </c>
      <c r="J8612" t="s">
        <v>31531</v>
      </c>
      <c r="K8612" t="s">
        <v>40674</v>
      </c>
      <c r="M8612" t="s">
        <v>43683</v>
      </c>
      <c r="N8612" t="s">
        <v>44905</v>
      </c>
      <c r="O8612" t="s">
        <v>44906</v>
      </c>
      <c r="P8612">
        <v>0</v>
      </c>
      <c r="Q8612">
        <v>0</v>
      </c>
      <c r="R8612" t="s">
        <v>44911</v>
      </c>
      <c r="S8612" t="s">
        <v>45139</v>
      </c>
      <c r="T8612" t="s">
        <v>46409</v>
      </c>
      <c r="U8612" t="s">
        <v>53831</v>
      </c>
      <c r="W8612" t="s">
        <v>43683</v>
      </c>
      <c r="X8612" t="s">
        <v>44914</v>
      </c>
    </row>
    <row r="8613" spans="1:24">
      <c r="A8613">
        <f>HYPERLINK("https://www.philgeps.gov.ph/GEPSNONPILOT/Tender/SplashBidNoticeAbstractUI.aspx?menuIndex=3&amp;refID=7070405&amp;Result=3","7070405")</f>
        <v>0</v>
      </c>
      <c r="B8613" t="s">
        <v>2515</v>
      </c>
      <c r="C8613" t="s">
        <v>3545</v>
      </c>
      <c r="D8613" t="s">
        <v>18105</v>
      </c>
      <c r="E8613" t="s">
        <v>25741</v>
      </c>
      <c r="F8613" t="s">
        <v>31362</v>
      </c>
      <c r="G8613" t="s">
        <v>31369</v>
      </c>
      <c r="H8613" t="s">
        <v>31378</v>
      </c>
      <c r="I8613" t="s">
        <v>31386</v>
      </c>
      <c r="J8613" t="s">
        <v>31578</v>
      </c>
      <c r="K8613" t="s">
        <v>40687</v>
      </c>
      <c r="M8613" t="s">
        <v>43684</v>
      </c>
      <c r="N8613" t="s">
        <v>44905</v>
      </c>
      <c r="O8613" t="s">
        <v>44906</v>
      </c>
      <c r="P8613">
        <v>0</v>
      </c>
      <c r="Q8613">
        <v>0</v>
      </c>
      <c r="R8613" t="s">
        <v>44911</v>
      </c>
      <c r="S8613" t="s">
        <v>45139</v>
      </c>
      <c r="T8613" t="s">
        <v>46409</v>
      </c>
      <c r="U8613" t="s">
        <v>53832</v>
      </c>
      <c r="W8613" t="s">
        <v>43684</v>
      </c>
      <c r="X8613" t="s">
        <v>44914</v>
      </c>
    </row>
    <row r="8614" spans="1:24">
      <c r="A8614">
        <f>HYPERLINK("https://www.philgeps.gov.ph/GEPSNONPILOT/Tender/SplashBidNoticeAbstractUI.aspx?menuIndex=3&amp;refID=7070404&amp;Result=3","7070404")</f>
        <v>0</v>
      </c>
      <c r="B8614" t="s">
        <v>179</v>
      </c>
      <c r="C8614" t="s">
        <v>11736</v>
      </c>
      <c r="E8614" t="s">
        <v>25742</v>
      </c>
      <c r="F8614" t="s">
        <v>31362</v>
      </c>
      <c r="G8614" t="s">
        <v>31369</v>
      </c>
      <c r="H8614" t="s">
        <v>15799</v>
      </c>
      <c r="I8614" t="s">
        <v>31433</v>
      </c>
      <c r="J8614" t="s">
        <v>31634</v>
      </c>
      <c r="K8614" t="s">
        <v>40675</v>
      </c>
      <c r="M8614" t="s">
        <v>41117</v>
      </c>
      <c r="N8614" t="s">
        <v>44905</v>
      </c>
      <c r="O8614" t="s">
        <v>44906</v>
      </c>
      <c r="P8614">
        <v>0</v>
      </c>
      <c r="Q8614">
        <v>1</v>
      </c>
      <c r="R8614" t="s">
        <v>44911</v>
      </c>
      <c r="S8614" t="s">
        <v>45139</v>
      </c>
      <c r="T8614" t="s">
        <v>46591</v>
      </c>
      <c r="U8614" t="s">
        <v>53833</v>
      </c>
      <c r="W8614" t="s">
        <v>41209</v>
      </c>
      <c r="X8614" t="s">
        <v>44914</v>
      </c>
    </row>
    <row r="8615" spans="1:24">
      <c r="A8615">
        <f>HYPERLINK("https://www.philgeps.gov.ph/GEPSNONPILOT/Tender/SplashBidNoticeAbstractUI.aspx?menuIndex=3&amp;refID=7070463&amp;Result=3","7070463")</f>
        <v>0</v>
      </c>
      <c r="B8615" t="s">
        <v>2509</v>
      </c>
      <c r="C8615" t="s">
        <v>8678</v>
      </c>
      <c r="D8615" t="s">
        <v>18136</v>
      </c>
      <c r="E8615" t="s">
        <v>25743</v>
      </c>
      <c r="F8615" t="s">
        <v>31362</v>
      </c>
      <c r="G8615" t="s">
        <v>31369</v>
      </c>
      <c r="H8615" t="s">
        <v>15799</v>
      </c>
      <c r="I8615" t="s">
        <v>6240</v>
      </c>
      <c r="J8615" t="s">
        <v>36791</v>
      </c>
      <c r="K8615" t="s">
        <v>40720</v>
      </c>
      <c r="M8615" t="s">
        <v>43678</v>
      </c>
      <c r="N8615" t="s">
        <v>44905</v>
      </c>
      <c r="O8615" t="s">
        <v>44906</v>
      </c>
      <c r="P8615">
        <v>0</v>
      </c>
      <c r="Q8615">
        <v>0</v>
      </c>
      <c r="R8615" t="s">
        <v>44911</v>
      </c>
      <c r="S8615" t="s">
        <v>45139</v>
      </c>
      <c r="T8615" t="s">
        <v>46432</v>
      </c>
      <c r="U8615" t="s">
        <v>53834</v>
      </c>
      <c r="V8615" t="s">
        <v>59917</v>
      </c>
      <c r="W8615" t="s">
        <v>43678</v>
      </c>
      <c r="X8615" t="s">
        <v>44914</v>
      </c>
    </row>
    <row r="8616" spans="1:24">
      <c r="A8616">
        <f>HYPERLINK("https://www.philgeps.gov.ph/GEPSNONPILOT/Tender/SplashBidNoticeAbstractUI.aspx?menuIndex=3&amp;refID=7068829&amp;Result=3","7068829")</f>
        <v>0</v>
      </c>
      <c r="B8616" t="s">
        <v>2494</v>
      </c>
      <c r="C8616" t="s">
        <v>11737</v>
      </c>
      <c r="E8616" t="s">
        <v>23531</v>
      </c>
      <c r="F8616" t="s">
        <v>31362</v>
      </c>
      <c r="G8616" t="s">
        <v>31369</v>
      </c>
      <c r="H8616" t="s">
        <v>15799</v>
      </c>
      <c r="I8616" t="s">
        <v>31413</v>
      </c>
      <c r="J8616" t="s">
        <v>34944</v>
      </c>
      <c r="K8616" t="s">
        <v>40662</v>
      </c>
      <c r="M8616" t="s">
        <v>43661</v>
      </c>
      <c r="N8616" t="s">
        <v>44905</v>
      </c>
      <c r="O8616" t="s">
        <v>44906</v>
      </c>
      <c r="P8616">
        <v>0</v>
      </c>
      <c r="Q8616">
        <v>5</v>
      </c>
      <c r="R8616" t="s">
        <v>44911</v>
      </c>
      <c r="S8616" t="s">
        <v>45139</v>
      </c>
      <c r="T8616" t="s">
        <v>46511</v>
      </c>
      <c r="U8616" t="s">
        <v>53835</v>
      </c>
      <c r="V8616" t="s">
        <v>59919</v>
      </c>
      <c r="W8616" t="s">
        <v>43661</v>
      </c>
      <c r="X8616" t="s">
        <v>44915</v>
      </c>
    </row>
    <row r="8617" spans="1:24">
      <c r="A8617">
        <f>HYPERLINK("https://www.philgeps.gov.ph/GEPSNONPILOT/Tender/SplashBidNoticeAbstractUI.aspx?menuIndex=3&amp;refID=7068432&amp;Result=3","7068432")</f>
        <v>0</v>
      </c>
      <c r="B8617" t="s">
        <v>2494</v>
      </c>
      <c r="C8617" t="s">
        <v>11738</v>
      </c>
      <c r="E8617" t="s">
        <v>22228</v>
      </c>
      <c r="F8617" t="s">
        <v>31362</v>
      </c>
      <c r="G8617" t="s">
        <v>31369</v>
      </c>
      <c r="H8617" t="s">
        <v>15799</v>
      </c>
      <c r="I8617" t="s">
        <v>31418</v>
      </c>
      <c r="J8617" t="s">
        <v>32158</v>
      </c>
      <c r="K8617" t="s">
        <v>40662</v>
      </c>
      <c r="M8617" t="s">
        <v>43661</v>
      </c>
      <c r="N8617" t="s">
        <v>44905</v>
      </c>
      <c r="O8617" t="s">
        <v>44906</v>
      </c>
      <c r="P8617">
        <v>0</v>
      </c>
      <c r="Q8617">
        <v>0</v>
      </c>
      <c r="R8617" t="s">
        <v>44911</v>
      </c>
      <c r="S8617" t="s">
        <v>45139</v>
      </c>
      <c r="T8617" t="s">
        <v>46511</v>
      </c>
      <c r="U8617" t="s">
        <v>53836</v>
      </c>
      <c r="V8617" t="s">
        <v>59920</v>
      </c>
      <c r="W8617" t="s">
        <v>43661</v>
      </c>
      <c r="X8617" t="s">
        <v>44915</v>
      </c>
    </row>
    <row r="8618" spans="1:24">
      <c r="A8618">
        <f>HYPERLINK("https://www.philgeps.gov.ph/GEPSNONPILOT/Tender/SplashBidNoticeAbstractUI.aspx?menuIndex=3&amp;refID=7070433&amp;Result=3","7070433")</f>
        <v>0</v>
      </c>
      <c r="B8618" t="s">
        <v>640</v>
      </c>
      <c r="C8618" t="s">
        <v>11739</v>
      </c>
      <c r="D8618" t="s">
        <v>18156</v>
      </c>
      <c r="E8618" t="s">
        <v>25744</v>
      </c>
      <c r="F8618" t="s">
        <v>31362</v>
      </c>
      <c r="G8618" t="s">
        <v>31369</v>
      </c>
      <c r="H8618" t="s">
        <v>31378</v>
      </c>
      <c r="I8618" t="s">
        <v>31386</v>
      </c>
      <c r="J8618" t="s">
        <v>36792</v>
      </c>
      <c r="K8618" t="s">
        <v>40831</v>
      </c>
      <c r="M8618" t="s">
        <v>43668</v>
      </c>
      <c r="N8618" t="s">
        <v>44905</v>
      </c>
      <c r="O8618" t="s">
        <v>44906</v>
      </c>
      <c r="P8618">
        <v>0</v>
      </c>
      <c r="Q8618">
        <v>1</v>
      </c>
      <c r="R8618" t="s">
        <v>44911</v>
      </c>
      <c r="S8618" t="s">
        <v>45139</v>
      </c>
      <c r="T8618" t="s">
        <v>46490</v>
      </c>
      <c r="U8618" t="s">
        <v>53837</v>
      </c>
      <c r="W8618" t="s">
        <v>43668</v>
      </c>
      <c r="X8618" t="s">
        <v>44914</v>
      </c>
    </row>
    <row r="8619" spans="1:24">
      <c r="A8619">
        <f>HYPERLINK("https://www.philgeps.gov.ph/GEPSNONPILOT/Tender/SplashBidNoticeAbstractUI.aspx?menuIndex=3&amp;refID=7070426&amp;Result=3","7070426")</f>
        <v>0</v>
      </c>
      <c r="B8619" t="s">
        <v>640</v>
      </c>
      <c r="C8619" t="s">
        <v>11740</v>
      </c>
      <c r="D8619" t="s">
        <v>18156</v>
      </c>
      <c r="E8619" t="s">
        <v>25745</v>
      </c>
      <c r="F8619" t="s">
        <v>31362</v>
      </c>
      <c r="G8619" t="s">
        <v>31369</v>
      </c>
      <c r="H8619" t="s">
        <v>31378</v>
      </c>
      <c r="I8619" t="s">
        <v>31386</v>
      </c>
      <c r="J8619" t="s">
        <v>36793</v>
      </c>
      <c r="K8619" t="s">
        <v>40725</v>
      </c>
      <c r="M8619" t="s">
        <v>43668</v>
      </c>
      <c r="N8619" t="s">
        <v>44905</v>
      </c>
      <c r="O8619" t="s">
        <v>44906</v>
      </c>
      <c r="P8619">
        <v>0</v>
      </c>
      <c r="Q8619">
        <v>0</v>
      </c>
      <c r="R8619" t="s">
        <v>44911</v>
      </c>
      <c r="S8619" t="s">
        <v>45139</v>
      </c>
      <c r="T8619" t="s">
        <v>46490</v>
      </c>
      <c r="U8619" t="s">
        <v>53838</v>
      </c>
      <c r="W8619" t="s">
        <v>43668</v>
      </c>
      <c r="X8619" t="s">
        <v>44914</v>
      </c>
    </row>
    <row r="8620" spans="1:24">
      <c r="A8620">
        <f>HYPERLINK("https://www.philgeps.gov.ph/GEPSNONPILOT/Tender/SplashBidNoticeAbstractUI.aspx?menuIndex=3&amp;refID=7070499&amp;Result=3","7070499")</f>
        <v>0</v>
      </c>
      <c r="B8620" t="s">
        <v>1939</v>
      </c>
      <c r="C8620" t="s">
        <v>11741</v>
      </c>
      <c r="D8620" t="s">
        <v>18141</v>
      </c>
      <c r="E8620" t="s">
        <v>25746</v>
      </c>
      <c r="F8620" t="s">
        <v>31362</v>
      </c>
      <c r="G8620" t="s">
        <v>31369</v>
      </c>
      <c r="H8620" t="s">
        <v>31378</v>
      </c>
      <c r="I8620" t="s">
        <v>31386</v>
      </c>
      <c r="J8620" t="s">
        <v>33890</v>
      </c>
      <c r="K8620" t="s">
        <v>40687</v>
      </c>
      <c r="M8620" t="s">
        <v>43044</v>
      </c>
      <c r="N8620" t="s">
        <v>44905</v>
      </c>
      <c r="O8620" t="s">
        <v>44906</v>
      </c>
      <c r="P8620">
        <v>0</v>
      </c>
      <c r="Q8620">
        <v>0</v>
      </c>
      <c r="R8620" t="s">
        <v>44911</v>
      </c>
      <c r="S8620" t="s">
        <v>45139</v>
      </c>
      <c r="T8620" t="s">
        <v>46416</v>
      </c>
      <c r="U8620" t="s">
        <v>53839</v>
      </c>
      <c r="V8620" t="s">
        <v>59918</v>
      </c>
      <c r="W8620" t="s">
        <v>43044</v>
      </c>
      <c r="X8620" t="s">
        <v>44914</v>
      </c>
    </row>
    <row r="8621" spans="1:24">
      <c r="A8621">
        <f>HYPERLINK("https://www.philgeps.gov.ph/GEPSNONPILOT/Tender/SplashBidNoticeAbstractUI.aspx?menuIndex=3&amp;refID=7070415&amp;Result=3","7070415")</f>
        <v>0</v>
      </c>
      <c r="B8621" t="s">
        <v>2493</v>
      </c>
      <c r="C8621" t="s">
        <v>11742</v>
      </c>
      <c r="D8621" t="s">
        <v>18148</v>
      </c>
      <c r="E8621" t="s">
        <v>25747</v>
      </c>
      <c r="F8621" t="s">
        <v>31362</v>
      </c>
      <c r="G8621" t="s">
        <v>31369</v>
      </c>
      <c r="H8621" t="s">
        <v>15799</v>
      </c>
      <c r="I8621" t="s">
        <v>3815</v>
      </c>
      <c r="J8621" t="s">
        <v>36794</v>
      </c>
      <c r="K8621" t="s">
        <v>40682</v>
      </c>
      <c r="M8621" t="s">
        <v>43659</v>
      </c>
      <c r="N8621" t="s">
        <v>44905</v>
      </c>
      <c r="O8621" t="s">
        <v>44906</v>
      </c>
      <c r="P8621">
        <v>0</v>
      </c>
      <c r="Q8621">
        <v>1</v>
      </c>
      <c r="R8621" t="s">
        <v>44911</v>
      </c>
      <c r="S8621" t="s">
        <v>45139</v>
      </c>
      <c r="T8621" t="s">
        <v>46443</v>
      </c>
      <c r="U8621" t="s">
        <v>53799</v>
      </c>
      <c r="W8621" t="s">
        <v>43659</v>
      </c>
      <c r="X8621" t="s">
        <v>44914</v>
      </c>
    </row>
    <row r="8622" spans="1:24">
      <c r="A8622">
        <f>HYPERLINK("https://www.philgeps.gov.ph/GEPSNONPILOT/Tender/SplashBidNoticeAbstractUI.aspx?menuIndex=3&amp;refID=7070535&amp;Result=3","7070535")</f>
        <v>0</v>
      </c>
      <c r="B8622" t="s">
        <v>2516</v>
      </c>
      <c r="C8622" t="s">
        <v>11743</v>
      </c>
      <c r="D8622" t="s">
        <v>18104</v>
      </c>
      <c r="E8622" t="s">
        <v>19313</v>
      </c>
      <c r="F8622" t="s">
        <v>31362</v>
      </c>
      <c r="G8622" t="s">
        <v>31368</v>
      </c>
      <c r="H8622" t="s">
        <v>15799</v>
      </c>
      <c r="I8622" t="s">
        <v>31419</v>
      </c>
      <c r="J8622" t="s">
        <v>31564</v>
      </c>
      <c r="K8622" t="s">
        <v>40661</v>
      </c>
      <c r="M8622" t="s">
        <v>43685</v>
      </c>
      <c r="N8622" t="s">
        <v>44905</v>
      </c>
      <c r="O8622" t="s">
        <v>44906</v>
      </c>
      <c r="P8622">
        <v>0</v>
      </c>
      <c r="Q8622">
        <v>1</v>
      </c>
      <c r="R8622" t="s">
        <v>44911</v>
      </c>
      <c r="S8622" t="s">
        <v>45139</v>
      </c>
      <c r="T8622" t="s">
        <v>46425</v>
      </c>
      <c r="U8622" t="s">
        <v>53840</v>
      </c>
      <c r="W8622" t="s">
        <v>43685</v>
      </c>
      <c r="X8622" t="s">
        <v>44914</v>
      </c>
    </row>
    <row r="8623" spans="1:24">
      <c r="A8623">
        <f>HYPERLINK("https://www.philgeps.gov.ph/GEPSNONPILOT/Tender/SplashBidNoticeAbstractUI.aspx?menuIndex=3&amp;refID=7070543&amp;Result=3","7070543")</f>
        <v>0</v>
      </c>
      <c r="B8623" t="s">
        <v>2517</v>
      </c>
      <c r="C8623" t="s">
        <v>11744</v>
      </c>
      <c r="D8623" t="s">
        <v>18164</v>
      </c>
      <c r="E8623" t="s">
        <v>20638</v>
      </c>
      <c r="F8623" t="s">
        <v>31362</v>
      </c>
      <c r="G8623" t="s">
        <v>31369</v>
      </c>
      <c r="H8623" t="s">
        <v>15799</v>
      </c>
      <c r="I8623" t="s">
        <v>3815</v>
      </c>
      <c r="J8623" t="s">
        <v>36795</v>
      </c>
      <c r="K8623" t="s">
        <v>40665</v>
      </c>
      <c r="M8623" t="s">
        <v>43686</v>
      </c>
      <c r="N8623" t="s">
        <v>44905</v>
      </c>
      <c r="O8623" t="s">
        <v>44906</v>
      </c>
      <c r="P8623">
        <v>0</v>
      </c>
      <c r="Q8623">
        <v>1</v>
      </c>
      <c r="R8623" t="s">
        <v>44911</v>
      </c>
      <c r="S8623" t="s">
        <v>45139</v>
      </c>
      <c r="T8623" t="s">
        <v>46425</v>
      </c>
      <c r="U8623" t="s">
        <v>53841</v>
      </c>
      <c r="W8623" t="s">
        <v>43686</v>
      </c>
      <c r="X8623" t="s">
        <v>44914</v>
      </c>
    </row>
    <row r="8624" spans="1:24">
      <c r="A8624">
        <f>HYPERLINK("https://www.philgeps.gov.ph/GEPSNONPILOT/Tender/SplashBidNoticeAbstractUI.aspx?menuIndex=3&amp;refID=7070590&amp;Result=3","7070590")</f>
        <v>0</v>
      </c>
      <c r="B8624" t="s">
        <v>94</v>
      </c>
      <c r="C8624" t="s">
        <v>11745</v>
      </c>
      <c r="D8624" t="s">
        <v>18116</v>
      </c>
      <c r="E8624" t="s">
        <v>25748</v>
      </c>
      <c r="F8624" t="s">
        <v>31362</v>
      </c>
      <c r="G8624" t="s">
        <v>31368</v>
      </c>
      <c r="H8624" t="s">
        <v>15799</v>
      </c>
      <c r="I8624" t="s">
        <v>31428</v>
      </c>
      <c r="J8624" t="s">
        <v>31530</v>
      </c>
      <c r="K8624" t="s">
        <v>40665</v>
      </c>
      <c r="M8624" t="s">
        <v>41031</v>
      </c>
      <c r="N8624" t="s">
        <v>44905</v>
      </c>
      <c r="O8624" t="s">
        <v>44906</v>
      </c>
      <c r="P8624">
        <v>0</v>
      </c>
      <c r="Q8624">
        <v>2</v>
      </c>
      <c r="R8624" t="s">
        <v>44911</v>
      </c>
      <c r="S8624" t="s">
        <v>45139</v>
      </c>
      <c r="T8624" t="s">
        <v>46454</v>
      </c>
      <c r="U8624" t="s">
        <v>53842</v>
      </c>
      <c r="W8624" t="s">
        <v>41031</v>
      </c>
      <c r="X8624" t="s">
        <v>44914</v>
      </c>
    </row>
    <row r="8625" spans="1:24">
      <c r="A8625">
        <f>HYPERLINK("https://www.philgeps.gov.ph/GEPSNONPILOT/Tender/SplashBidNoticeAbstractUI.aspx?menuIndex=3&amp;refID=7070670&amp;Result=3","7070670")</f>
        <v>0</v>
      </c>
      <c r="B8625" t="s">
        <v>2516</v>
      </c>
      <c r="C8625" t="s">
        <v>11746</v>
      </c>
      <c r="D8625" t="s">
        <v>18104</v>
      </c>
      <c r="E8625" t="s">
        <v>21404</v>
      </c>
      <c r="F8625" t="s">
        <v>31362</v>
      </c>
      <c r="G8625" t="s">
        <v>31368</v>
      </c>
      <c r="H8625" t="s">
        <v>15799</v>
      </c>
      <c r="I8625" t="s">
        <v>31391</v>
      </c>
      <c r="J8625" t="s">
        <v>32065</v>
      </c>
      <c r="K8625" t="s">
        <v>40661</v>
      </c>
      <c r="M8625" t="s">
        <v>43685</v>
      </c>
      <c r="N8625" t="s">
        <v>44905</v>
      </c>
      <c r="O8625" t="s">
        <v>44906</v>
      </c>
      <c r="P8625">
        <v>0</v>
      </c>
      <c r="Q8625">
        <v>1</v>
      </c>
      <c r="R8625" t="s">
        <v>44911</v>
      </c>
      <c r="S8625" t="s">
        <v>45139</v>
      </c>
      <c r="T8625" t="s">
        <v>46400</v>
      </c>
      <c r="U8625" t="s">
        <v>53843</v>
      </c>
      <c r="W8625" t="s">
        <v>43685</v>
      </c>
      <c r="X8625" t="s">
        <v>44914</v>
      </c>
    </row>
    <row r="8626" spans="1:24">
      <c r="A8626">
        <f>HYPERLINK("https://www.philgeps.gov.ph/GEPSNONPILOT/Tender/SplashBidNoticeAbstractUI.aspx?menuIndex=3&amp;refID=7070654&amp;Result=3","7070654")</f>
        <v>0</v>
      </c>
      <c r="B8626" t="s">
        <v>1037</v>
      </c>
      <c r="C8626" t="s">
        <v>11747</v>
      </c>
      <c r="D8626" t="s">
        <v>18146</v>
      </c>
      <c r="E8626" t="s">
        <v>25749</v>
      </c>
      <c r="F8626" t="s">
        <v>31362</v>
      </c>
      <c r="G8626" t="s">
        <v>31369</v>
      </c>
      <c r="H8626" t="s">
        <v>31378</v>
      </c>
      <c r="I8626" t="s">
        <v>31386</v>
      </c>
      <c r="J8626" t="s">
        <v>36796</v>
      </c>
      <c r="K8626" t="s">
        <v>40670</v>
      </c>
      <c r="M8626" t="s">
        <v>43675</v>
      </c>
      <c r="N8626" t="s">
        <v>44905</v>
      </c>
      <c r="O8626" t="s">
        <v>44906</v>
      </c>
      <c r="P8626">
        <v>0</v>
      </c>
      <c r="Q8626">
        <v>0</v>
      </c>
      <c r="R8626" t="s">
        <v>44911</v>
      </c>
      <c r="S8626" t="s">
        <v>45139</v>
      </c>
      <c r="T8626" t="s">
        <v>46483</v>
      </c>
      <c r="U8626" t="s">
        <v>53844</v>
      </c>
      <c r="V8626" t="s">
        <v>59921</v>
      </c>
      <c r="W8626" t="s">
        <v>43675</v>
      </c>
      <c r="X8626" t="s">
        <v>44914</v>
      </c>
    </row>
    <row r="8627" spans="1:24">
      <c r="A8627">
        <f>HYPERLINK("https://www.philgeps.gov.ph/GEPSNONPILOT/Tender/SplashBidNoticeAbstractUI.aspx?menuIndex=3&amp;refID=7070589&amp;Result=3","7070589")</f>
        <v>0</v>
      </c>
      <c r="B8627" t="s">
        <v>2516</v>
      </c>
      <c r="C8627" t="s">
        <v>4048</v>
      </c>
      <c r="D8627" t="s">
        <v>18104</v>
      </c>
      <c r="E8627" t="s">
        <v>19977</v>
      </c>
      <c r="F8627" t="s">
        <v>31362</v>
      </c>
      <c r="G8627" t="s">
        <v>31368</v>
      </c>
      <c r="H8627" t="s">
        <v>15799</v>
      </c>
      <c r="I8627" t="s">
        <v>31385</v>
      </c>
      <c r="J8627" t="s">
        <v>31577</v>
      </c>
      <c r="K8627" t="s">
        <v>40661</v>
      </c>
      <c r="M8627" t="s">
        <v>43685</v>
      </c>
      <c r="N8627" t="s">
        <v>44905</v>
      </c>
      <c r="O8627" t="s">
        <v>44906</v>
      </c>
      <c r="P8627">
        <v>0</v>
      </c>
      <c r="Q8627">
        <v>1</v>
      </c>
      <c r="R8627" t="s">
        <v>44911</v>
      </c>
      <c r="S8627" t="s">
        <v>45139</v>
      </c>
      <c r="T8627" t="s">
        <v>46425</v>
      </c>
      <c r="U8627" t="s">
        <v>53845</v>
      </c>
      <c r="W8627" t="s">
        <v>43685</v>
      </c>
      <c r="X8627" t="s">
        <v>44914</v>
      </c>
    </row>
    <row r="8628" spans="1:24">
      <c r="A8628">
        <f>HYPERLINK("https://www.philgeps.gov.ph/GEPSNONPILOT/Tender/SplashBidNoticeAbstractUI.aspx?menuIndex=3&amp;refID=7070579&amp;Result=3","7070579")</f>
        <v>0</v>
      </c>
      <c r="B8628" t="s">
        <v>2493</v>
      </c>
      <c r="C8628" t="s">
        <v>11748</v>
      </c>
      <c r="D8628" t="s">
        <v>18148</v>
      </c>
      <c r="E8628" t="s">
        <v>25750</v>
      </c>
      <c r="F8628" t="s">
        <v>31362</v>
      </c>
      <c r="G8628" t="s">
        <v>31369</v>
      </c>
      <c r="H8628" t="s">
        <v>15799</v>
      </c>
      <c r="I8628" t="s">
        <v>3815</v>
      </c>
      <c r="J8628" t="s">
        <v>36797</v>
      </c>
      <c r="K8628" t="s">
        <v>40682</v>
      </c>
      <c r="M8628" t="s">
        <v>43659</v>
      </c>
      <c r="N8628" t="s">
        <v>44905</v>
      </c>
      <c r="O8628" t="s">
        <v>44906</v>
      </c>
      <c r="P8628">
        <v>0</v>
      </c>
      <c r="Q8628">
        <v>1</v>
      </c>
      <c r="R8628" t="s">
        <v>44911</v>
      </c>
      <c r="S8628" t="s">
        <v>45139</v>
      </c>
      <c r="T8628" t="s">
        <v>46443</v>
      </c>
      <c r="U8628" t="s">
        <v>53799</v>
      </c>
      <c r="W8628" t="s">
        <v>43659</v>
      </c>
      <c r="X8628" t="s">
        <v>44914</v>
      </c>
    </row>
    <row r="8629" spans="1:24">
      <c r="A8629">
        <f>HYPERLINK("https://www.philgeps.gov.ph/GEPSNONPILOT/Tender/SplashBidNoticeAbstractUI.aspx?menuIndex=3&amp;refID=7070632&amp;Result=3","7070632")</f>
        <v>0</v>
      </c>
      <c r="B8629" t="s">
        <v>94</v>
      </c>
      <c r="C8629" t="s">
        <v>11749</v>
      </c>
      <c r="D8629" t="s">
        <v>18116</v>
      </c>
      <c r="E8629" t="s">
        <v>25751</v>
      </c>
      <c r="F8629" t="s">
        <v>31362</v>
      </c>
      <c r="G8629" t="s">
        <v>31368</v>
      </c>
      <c r="H8629" t="s">
        <v>15799</v>
      </c>
      <c r="I8629" t="s">
        <v>31419</v>
      </c>
      <c r="J8629" t="s">
        <v>32278</v>
      </c>
      <c r="K8629" t="s">
        <v>40665</v>
      </c>
      <c r="M8629" t="s">
        <v>41031</v>
      </c>
      <c r="N8629" t="s">
        <v>44905</v>
      </c>
      <c r="O8629" t="s">
        <v>44906</v>
      </c>
      <c r="P8629">
        <v>0</v>
      </c>
      <c r="Q8629">
        <v>11</v>
      </c>
      <c r="R8629" t="s">
        <v>44911</v>
      </c>
      <c r="S8629" t="s">
        <v>45139</v>
      </c>
      <c r="T8629" t="s">
        <v>46454</v>
      </c>
      <c r="U8629" t="s">
        <v>53846</v>
      </c>
      <c r="W8629" t="s">
        <v>41031</v>
      </c>
      <c r="X8629" t="s">
        <v>44914</v>
      </c>
    </row>
    <row r="8630" spans="1:24">
      <c r="A8630">
        <f>HYPERLINK("https://www.philgeps.gov.ph/GEPSNONPILOT/Tender/SplashBidNoticeAbstractUI.aspx?menuIndex=3&amp;refID=7070630&amp;Result=3","7070630")</f>
        <v>0</v>
      </c>
      <c r="B8630" t="s">
        <v>2516</v>
      </c>
      <c r="C8630" t="s">
        <v>7404</v>
      </c>
      <c r="D8630" t="s">
        <v>18104</v>
      </c>
      <c r="E8630" t="s">
        <v>7404</v>
      </c>
      <c r="F8630" t="s">
        <v>31362</v>
      </c>
      <c r="G8630" t="s">
        <v>31368</v>
      </c>
      <c r="H8630" t="s">
        <v>15799</v>
      </c>
      <c r="I8630" t="s">
        <v>31380</v>
      </c>
      <c r="J8630" t="s">
        <v>31564</v>
      </c>
      <c r="K8630" t="s">
        <v>40661</v>
      </c>
      <c r="M8630" t="s">
        <v>43685</v>
      </c>
      <c r="N8630" t="s">
        <v>44905</v>
      </c>
      <c r="O8630" t="s">
        <v>44906</v>
      </c>
      <c r="P8630">
        <v>0</v>
      </c>
      <c r="Q8630">
        <v>0</v>
      </c>
      <c r="R8630" t="s">
        <v>44911</v>
      </c>
      <c r="S8630" t="s">
        <v>45139</v>
      </c>
      <c r="T8630" t="s">
        <v>46400</v>
      </c>
      <c r="U8630" t="s">
        <v>53847</v>
      </c>
      <c r="W8630" t="s">
        <v>43685</v>
      </c>
      <c r="X8630" t="s">
        <v>44914</v>
      </c>
    </row>
    <row r="8631" spans="1:24">
      <c r="A8631">
        <f>HYPERLINK("https://www.philgeps.gov.ph/GEPSNONPILOT/Tender/SplashBidNoticeAbstractUI.aspx?menuIndex=3&amp;refID=7070621&amp;Result=3","7070621")</f>
        <v>0</v>
      </c>
      <c r="B8631" t="s">
        <v>2137</v>
      </c>
      <c r="C8631" t="s">
        <v>11750</v>
      </c>
      <c r="D8631" t="s">
        <v>18101</v>
      </c>
      <c r="E8631" t="s">
        <v>24402</v>
      </c>
      <c r="F8631" t="s">
        <v>31363</v>
      </c>
      <c r="G8631" t="s">
        <v>31369</v>
      </c>
      <c r="H8631" t="s">
        <v>31378</v>
      </c>
      <c r="I8631" t="s">
        <v>31386</v>
      </c>
      <c r="J8631" t="s">
        <v>35838</v>
      </c>
      <c r="K8631" t="s">
        <v>40770</v>
      </c>
      <c r="L8631" t="s">
        <v>2137</v>
      </c>
      <c r="M8631" t="s">
        <v>43266</v>
      </c>
      <c r="N8631" t="s">
        <v>44905</v>
      </c>
      <c r="O8631" t="s">
        <v>44906</v>
      </c>
      <c r="P8631">
        <v>0</v>
      </c>
      <c r="Q8631">
        <v>0</v>
      </c>
      <c r="R8631" t="s">
        <v>44911</v>
      </c>
      <c r="S8631" t="s">
        <v>45139</v>
      </c>
      <c r="T8631" t="s">
        <v>46419</v>
      </c>
      <c r="U8631" t="s">
        <v>53848</v>
      </c>
      <c r="W8631" t="s">
        <v>43266</v>
      </c>
      <c r="X8631" t="s">
        <v>44914</v>
      </c>
    </row>
    <row r="8632" spans="1:24">
      <c r="A8632">
        <f>HYPERLINK("https://www.philgeps.gov.ph/GEPSNONPILOT/Tender/SplashBidNoticeAbstractUI.aspx?menuIndex=3&amp;refID=7070637&amp;Result=3","7070637")</f>
        <v>0</v>
      </c>
      <c r="B8632" t="s">
        <v>2493</v>
      </c>
      <c r="C8632" t="s">
        <v>11751</v>
      </c>
      <c r="D8632" t="s">
        <v>18148</v>
      </c>
      <c r="E8632" t="s">
        <v>25752</v>
      </c>
      <c r="F8632" t="s">
        <v>31362</v>
      </c>
      <c r="G8632" t="s">
        <v>31369</v>
      </c>
      <c r="H8632" t="s">
        <v>15799</v>
      </c>
      <c r="I8632" t="s">
        <v>3815</v>
      </c>
      <c r="J8632" t="s">
        <v>36798</v>
      </c>
      <c r="K8632" t="s">
        <v>40682</v>
      </c>
      <c r="M8632" t="s">
        <v>43659</v>
      </c>
      <c r="N8632" t="s">
        <v>44905</v>
      </c>
      <c r="O8632" t="s">
        <v>44906</v>
      </c>
      <c r="P8632">
        <v>0</v>
      </c>
      <c r="Q8632">
        <v>1</v>
      </c>
      <c r="R8632" t="s">
        <v>44911</v>
      </c>
      <c r="S8632" t="s">
        <v>45139</v>
      </c>
      <c r="T8632" t="s">
        <v>46443</v>
      </c>
      <c r="U8632" t="s">
        <v>53799</v>
      </c>
      <c r="W8632" t="s">
        <v>43659</v>
      </c>
      <c r="X8632" t="s">
        <v>44914</v>
      </c>
    </row>
    <row r="8633" spans="1:24">
      <c r="A8633">
        <f>HYPERLINK("https://www.philgeps.gov.ph/GEPSNONPILOT/Tender/SplashBidNoticeAbstractUI.aspx?menuIndex=3&amp;refID=7070609&amp;Result=3","7070609")</f>
        <v>0</v>
      </c>
      <c r="B8633" t="s">
        <v>1276</v>
      </c>
      <c r="C8633" t="s">
        <v>11752</v>
      </c>
      <c r="D8633" t="s">
        <v>18118</v>
      </c>
      <c r="E8633" t="s">
        <v>22049</v>
      </c>
      <c r="F8633" t="s">
        <v>31362</v>
      </c>
      <c r="G8633" t="s">
        <v>31368</v>
      </c>
      <c r="H8633" t="s">
        <v>15799</v>
      </c>
      <c r="I8633" t="s">
        <v>3815</v>
      </c>
      <c r="J8633" t="s">
        <v>36799</v>
      </c>
      <c r="K8633" t="s">
        <v>40697</v>
      </c>
      <c r="M8633" t="s">
        <v>42293</v>
      </c>
      <c r="N8633" t="s">
        <v>44905</v>
      </c>
      <c r="O8633" t="s">
        <v>44906</v>
      </c>
      <c r="P8633">
        <v>0</v>
      </c>
      <c r="Q8633">
        <v>0</v>
      </c>
      <c r="R8633" t="s">
        <v>44911</v>
      </c>
      <c r="S8633" t="s">
        <v>45139</v>
      </c>
      <c r="T8633" t="s">
        <v>46470</v>
      </c>
      <c r="U8633" t="s">
        <v>53849</v>
      </c>
      <c r="W8633" t="s">
        <v>42293</v>
      </c>
      <c r="X8633" t="s">
        <v>44914</v>
      </c>
    </row>
    <row r="8634" spans="1:24">
      <c r="A8634">
        <f>HYPERLINK("https://www.philgeps.gov.ph/GEPSNONPILOT/Tender/SplashBidNoticeAbstractUI.aspx?menuIndex=3&amp;refID=7070597&amp;Result=3","7070597")</f>
        <v>0</v>
      </c>
      <c r="B8634" t="s">
        <v>2493</v>
      </c>
      <c r="C8634" t="s">
        <v>11753</v>
      </c>
      <c r="D8634" t="s">
        <v>18148</v>
      </c>
      <c r="E8634" t="s">
        <v>25753</v>
      </c>
      <c r="F8634" t="s">
        <v>31362</v>
      </c>
      <c r="G8634" t="s">
        <v>31369</v>
      </c>
      <c r="H8634" t="s">
        <v>15799</v>
      </c>
      <c r="I8634" t="s">
        <v>3815</v>
      </c>
      <c r="J8634" t="s">
        <v>36800</v>
      </c>
      <c r="K8634" t="s">
        <v>40682</v>
      </c>
      <c r="M8634" t="s">
        <v>43659</v>
      </c>
      <c r="N8634" t="s">
        <v>44905</v>
      </c>
      <c r="O8634" t="s">
        <v>44906</v>
      </c>
      <c r="P8634">
        <v>0</v>
      </c>
      <c r="Q8634">
        <v>1</v>
      </c>
      <c r="R8634" t="s">
        <v>44911</v>
      </c>
      <c r="S8634" t="s">
        <v>45139</v>
      </c>
      <c r="T8634" t="s">
        <v>46443</v>
      </c>
      <c r="U8634" t="s">
        <v>53799</v>
      </c>
      <c r="W8634" t="s">
        <v>43659</v>
      </c>
      <c r="X8634" t="s">
        <v>44914</v>
      </c>
    </row>
    <row r="8635" spans="1:24">
      <c r="A8635">
        <f>HYPERLINK("https://www.philgeps.gov.ph/GEPSNONPILOT/Tender/SplashBidNoticeAbstractUI.aspx?menuIndex=3&amp;refID=7070596&amp;Result=3","7070596")</f>
        <v>0</v>
      </c>
      <c r="B8635" t="s">
        <v>179</v>
      </c>
      <c r="C8635" t="s">
        <v>11754</v>
      </c>
      <c r="E8635" t="s">
        <v>25754</v>
      </c>
      <c r="F8635" t="s">
        <v>31362</v>
      </c>
      <c r="G8635" t="s">
        <v>31369</v>
      </c>
      <c r="H8635" t="s">
        <v>15799</v>
      </c>
      <c r="I8635" t="s">
        <v>31433</v>
      </c>
      <c r="J8635" t="s">
        <v>31602</v>
      </c>
      <c r="K8635" t="s">
        <v>40675</v>
      </c>
      <c r="M8635" t="s">
        <v>41117</v>
      </c>
      <c r="N8635" t="s">
        <v>44905</v>
      </c>
      <c r="O8635" t="s">
        <v>44906</v>
      </c>
      <c r="P8635">
        <v>0</v>
      </c>
      <c r="Q8635">
        <v>0</v>
      </c>
      <c r="R8635" t="s">
        <v>44911</v>
      </c>
      <c r="S8635" t="s">
        <v>45139</v>
      </c>
      <c r="T8635" t="s">
        <v>46591</v>
      </c>
      <c r="U8635" t="s">
        <v>53850</v>
      </c>
      <c r="W8635" t="s">
        <v>41209</v>
      </c>
      <c r="X8635" t="s">
        <v>44914</v>
      </c>
    </row>
    <row r="8636" spans="1:24">
      <c r="A8636">
        <f>HYPERLINK("https://www.philgeps.gov.ph/GEPSNONPILOT/Tender/SplashBidNoticeAbstractUI.aspx?menuIndex=3&amp;refID=7070672&amp;Result=3","7070672")</f>
        <v>0</v>
      </c>
      <c r="B8636" t="s">
        <v>1037</v>
      </c>
      <c r="C8636" t="s">
        <v>11755</v>
      </c>
      <c r="D8636" t="s">
        <v>18146</v>
      </c>
      <c r="E8636" t="s">
        <v>25755</v>
      </c>
      <c r="F8636" t="s">
        <v>31362</v>
      </c>
      <c r="G8636" t="s">
        <v>31369</v>
      </c>
      <c r="H8636" t="s">
        <v>31378</v>
      </c>
      <c r="I8636" t="s">
        <v>31386</v>
      </c>
      <c r="J8636" t="s">
        <v>36801</v>
      </c>
      <c r="K8636" t="s">
        <v>40761</v>
      </c>
      <c r="M8636" t="s">
        <v>43675</v>
      </c>
      <c r="N8636" t="s">
        <v>44905</v>
      </c>
      <c r="O8636" t="s">
        <v>44906</v>
      </c>
      <c r="P8636">
        <v>0</v>
      </c>
      <c r="Q8636">
        <v>1</v>
      </c>
      <c r="R8636" t="s">
        <v>44911</v>
      </c>
      <c r="S8636" t="s">
        <v>45139</v>
      </c>
      <c r="T8636" t="s">
        <v>46483</v>
      </c>
      <c r="U8636" t="s">
        <v>53851</v>
      </c>
      <c r="V8636" t="s">
        <v>59922</v>
      </c>
      <c r="W8636" t="s">
        <v>43675</v>
      </c>
      <c r="X8636" t="s">
        <v>44914</v>
      </c>
    </row>
    <row r="8637" spans="1:24">
      <c r="A8637">
        <f>HYPERLINK("https://www.philgeps.gov.ph/GEPSNONPILOT/Tender/SplashBidNoticeAbstractUI.aspx?menuIndex=3&amp;refID=7070745&amp;Result=3","7070745")</f>
        <v>0</v>
      </c>
      <c r="B8637" t="s">
        <v>1037</v>
      </c>
      <c r="C8637" t="s">
        <v>11756</v>
      </c>
      <c r="D8637" t="s">
        <v>18146</v>
      </c>
      <c r="E8637" t="s">
        <v>25756</v>
      </c>
      <c r="F8637" t="s">
        <v>31362</v>
      </c>
      <c r="G8637" t="s">
        <v>31369</v>
      </c>
      <c r="H8637" t="s">
        <v>31378</v>
      </c>
      <c r="I8637" t="s">
        <v>31386</v>
      </c>
      <c r="J8637" t="s">
        <v>31591</v>
      </c>
      <c r="K8637" t="s">
        <v>40794</v>
      </c>
      <c r="M8637" t="s">
        <v>43675</v>
      </c>
      <c r="N8637" t="s">
        <v>44905</v>
      </c>
      <c r="O8637" t="s">
        <v>44906</v>
      </c>
      <c r="P8637">
        <v>0</v>
      </c>
      <c r="Q8637">
        <v>0</v>
      </c>
      <c r="R8637" t="s">
        <v>44911</v>
      </c>
      <c r="S8637" t="s">
        <v>45139</v>
      </c>
      <c r="T8637" t="s">
        <v>46483</v>
      </c>
      <c r="U8637" t="s">
        <v>53852</v>
      </c>
      <c r="V8637" t="s">
        <v>59923</v>
      </c>
      <c r="W8637" t="s">
        <v>43675</v>
      </c>
      <c r="X8637" t="s">
        <v>44914</v>
      </c>
    </row>
    <row r="8638" spans="1:24">
      <c r="A8638">
        <f>HYPERLINK("https://www.philgeps.gov.ph/GEPSNONPILOT/Tender/SplashBidNoticeAbstractUI.aspx?menuIndex=3&amp;refID=7070744&amp;Result=3","7070744")</f>
        <v>0</v>
      </c>
      <c r="B8638" t="s">
        <v>2518</v>
      </c>
      <c r="C8638" t="s">
        <v>11757</v>
      </c>
      <c r="D8638" t="s">
        <v>18135</v>
      </c>
      <c r="E8638" t="s">
        <v>25757</v>
      </c>
      <c r="F8638" t="s">
        <v>31363</v>
      </c>
      <c r="G8638" t="s">
        <v>31368</v>
      </c>
      <c r="H8638" t="s">
        <v>15799</v>
      </c>
      <c r="I8638" t="s">
        <v>31383</v>
      </c>
      <c r="J8638" t="s">
        <v>31890</v>
      </c>
      <c r="K8638" t="s">
        <v>40661</v>
      </c>
      <c r="L8638" t="s">
        <v>2518</v>
      </c>
      <c r="M8638" t="s">
        <v>43687</v>
      </c>
      <c r="N8638" t="s">
        <v>44905</v>
      </c>
      <c r="O8638" t="s">
        <v>44906</v>
      </c>
      <c r="P8638">
        <v>0</v>
      </c>
      <c r="Q8638">
        <v>0</v>
      </c>
      <c r="R8638" t="s">
        <v>44911</v>
      </c>
      <c r="S8638" t="s">
        <v>45139</v>
      </c>
      <c r="T8638" t="s">
        <v>46520</v>
      </c>
      <c r="U8638" t="s">
        <v>53853</v>
      </c>
      <c r="W8638" t="s">
        <v>43687</v>
      </c>
      <c r="X8638" t="s">
        <v>44914</v>
      </c>
    </row>
    <row r="8639" spans="1:24">
      <c r="A8639">
        <f>HYPERLINK("https://www.philgeps.gov.ph/GEPSNONPILOT/Tender/SplashBidNoticeAbstractUI.aspx?menuIndex=3&amp;refID=7070620&amp;Result=3","7070620")</f>
        <v>0</v>
      </c>
      <c r="B8639" t="s">
        <v>2518</v>
      </c>
      <c r="C8639" t="s">
        <v>11758</v>
      </c>
      <c r="D8639" t="s">
        <v>18135</v>
      </c>
      <c r="E8639" t="s">
        <v>25758</v>
      </c>
      <c r="F8639" t="s">
        <v>31363</v>
      </c>
      <c r="G8639" t="s">
        <v>31369</v>
      </c>
      <c r="H8639" t="s">
        <v>15799</v>
      </c>
      <c r="I8639" t="s">
        <v>7188</v>
      </c>
      <c r="J8639" t="s">
        <v>36802</v>
      </c>
      <c r="K8639" t="s">
        <v>40661</v>
      </c>
      <c r="L8639" t="s">
        <v>2518</v>
      </c>
      <c r="M8639" t="s">
        <v>43687</v>
      </c>
      <c r="N8639" t="s">
        <v>44905</v>
      </c>
      <c r="O8639" t="s">
        <v>44906</v>
      </c>
      <c r="P8639">
        <v>0</v>
      </c>
      <c r="Q8639">
        <v>0</v>
      </c>
      <c r="R8639" t="s">
        <v>44911</v>
      </c>
      <c r="S8639" t="s">
        <v>45139</v>
      </c>
      <c r="T8639" t="s">
        <v>46785</v>
      </c>
      <c r="U8639" t="s">
        <v>53854</v>
      </c>
      <c r="W8639" t="s">
        <v>43687</v>
      </c>
      <c r="X8639" t="s">
        <v>44914</v>
      </c>
    </row>
    <row r="8640" spans="1:24">
      <c r="A8640">
        <f>HYPERLINK("https://www.philgeps.gov.ph/GEPSNONPILOT/Tender/SplashBidNoticeAbstractUI.aspx?menuIndex=3&amp;refID=7070731&amp;Result=3","7070731")</f>
        <v>0</v>
      </c>
      <c r="B8640" t="s">
        <v>1037</v>
      </c>
      <c r="C8640" t="s">
        <v>11759</v>
      </c>
      <c r="D8640" t="s">
        <v>18146</v>
      </c>
      <c r="E8640" t="s">
        <v>25759</v>
      </c>
      <c r="F8640" t="s">
        <v>31362</v>
      </c>
      <c r="G8640" t="s">
        <v>31369</v>
      </c>
      <c r="H8640" t="s">
        <v>31378</v>
      </c>
      <c r="I8640" t="s">
        <v>31386</v>
      </c>
      <c r="J8640" t="s">
        <v>36803</v>
      </c>
      <c r="K8640" t="s">
        <v>40668</v>
      </c>
      <c r="M8640" t="s">
        <v>43675</v>
      </c>
      <c r="N8640" t="s">
        <v>44905</v>
      </c>
      <c r="O8640" t="s">
        <v>44906</v>
      </c>
      <c r="P8640">
        <v>0</v>
      </c>
      <c r="Q8640">
        <v>0</v>
      </c>
      <c r="R8640" t="s">
        <v>44911</v>
      </c>
      <c r="S8640" t="s">
        <v>45139</v>
      </c>
      <c r="T8640" t="s">
        <v>46483</v>
      </c>
      <c r="U8640" t="s">
        <v>53855</v>
      </c>
      <c r="V8640" t="s">
        <v>59924</v>
      </c>
      <c r="W8640" t="s">
        <v>43675</v>
      </c>
      <c r="X8640" t="s">
        <v>44914</v>
      </c>
    </row>
    <row r="8641" spans="1:24">
      <c r="A8641">
        <f>HYPERLINK("https://www.philgeps.gov.ph/GEPSNONPILOT/Tender/SplashBidNoticeAbstractUI.aspx?menuIndex=3&amp;refID=7070720&amp;Result=3","7070720")</f>
        <v>0</v>
      </c>
      <c r="B8641" t="s">
        <v>2493</v>
      </c>
      <c r="C8641" t="s">
        <v>11760</v>
      </c>
      <c r="D8641" t="s">
        <v>18148</v>
      </c>
      <c r="E8641" t="s">
        <v>25760</v>
      </c>
      <c r="F8641" t="s">
        <v>31362</v>
      </c>
      <c r="G8641" t="s">
        <v>31369</v>
      </c>
      <c r="H8641" t="s">
        <v>15799</v>
      </c>
      <c r="I8641" t="s">
        <v>31422</v>
      </c>
      <c r="J8641" t="s">
        <v>36804</v>
      </c>
      <c r="K8641" t="s">
        <v>40682</v>
      </c>
      <c r="M8641" t="s">
        <v>43659</v>
      </c>
      <c r="N8641" t="s">
        <v>44905</v>
      </c>
      <c r="O8641" t="s">
        <v>44906</v>
      </c>
      <c r="P8641">
        <v>0</v>
      </c>
      <c r="Q8641">
        <v>3</v>
      </c>
      <c r="R8641" t="s">
        <v>44911</v>
      </c>
      <c r="S8641" t="s">
        <v>45139</v>
      </c>
      <c r="T8641" t="s">
        <v>46443</v>
      </c>
      <c r="U8641" t="s">
        <v>53856</v>
      </c>
      <c r="W8641" t="s">
        <v>43659</v>
      </c>
      <c r="X8641" t="s">
        <v>44914</v>
      </c>
    </row>
    <row r="8642" spans="1:24">
      <c r="A8642">
        <f>HYPERLINK("https://www.philgeps.gov.ph/GEPSNONPILOT/Tender/SplashBidNoticeAbstractUI.aspx?menuIndex=3&amp;refID=7070707&amp;Result=3","7070707")</f>
        <v>0</v>
      </c>
      <c r="B8642" t="s">
        <v>2516</v>
      </c>
      <c r="C8642" t="s">
        <v>11761</v>
      </c>
      <c r="D8642" t="s">
        <v>18104</v>
      </c>
      <c r="E8642" t="s">
        <v>21820</v>
      </c>
      <c r="F8642" t="s">
        <v>31362</v>
      </c>
      <c r="G8642" t="s">
        <v>31368</v>
      </c>
      <c r="H8642" t="s">
        <v>15799</v>
      </c>
      <c r="I8642" t="s">
        <v>31383</v>
      </c>
      <c r="J8642" t="s">
        <v>31564</v>
      </c>
      <c r="K8642" t="s">
        <v>40661</v>
      </c>
      <c r="M8642" t="s">
        <v>43685</v>
      </c>
      <c r="N8642" t="s">
        <v>44905</v>
      </c>
      <c r="O8642" t="s">
        <v>44906</v>
      </c>
      <c r="P8642">
        <v>0</v>
      </c>
      <c r="Q8642">
        <v>1</v>
      </c>
      <c r="R8642" t="s">
        <v>44911</v>
      </c>
      <c r="S8642" t="s">
        <v>45139</v>
      </c>
      <c r="T8642" t="s">
        <v>46425</v>
      </c>
      <c r="U8642" t="s">
        <v>53857</v>
      </c>
      <c r="W8642" t="s">
        <v>43685</v>
      </c>
      <c r="X8642" t="s">
        <v>44914</v>
      </c>
    </row>
    <row r="8643" spans="1:24">
      <c r="A8643">
        <f>HYPERLINK("https://www.philgeps.gov.ph/GEPSNONPILOT/Tender/SplashBidNoticeAbstractUI.aspx?menuIndex=3&amp;refID=7070629&amp;Result=3","7070629")</f>
        <v>0</v>
      </c>
      <c r="B8643" t="s">
        <v>1037</v>
      </c>
      <c r="C8643" t="s">
        <v>11762</v>
      </c>
      <c r="D8643" t="s">
        <v>18146</v>
      </c>
      <c r="E8643" t="s">
        <v>25761</v>
      </c>
      <c r="F8643" t="s">
        <v>31362</v>
      </c>
      <c r="G8643" t="s">
        <v>31369</v>
      </c>
      <c r="H8643" t="s">
        <v>31378</v>
      </c>
      <c r="I8643" t="s">
        <v>31386</v>
      </c>
      <c r="J8643" t="s">
        <v>36805</v>
      </c>
      <c r="K8643" t="s">
        <v>40687</v>
      </c>
      <c r="M8643" t="s">
        <v>43675</v>
      </c>
      <c r="N8643" t="s">
        <v>44905</v>
      </c>
      <c r="O8643" t="s">
        <v>44906</v>
      </c>
      <c r="P8643">
        <v>0</v>
      </c>
      <c r="Q8643">
        <v>0</v>
      </c>
      <c r="R8643" t="s">
        <v>44911</v>
      </c>
      <c r="S8643" t="s">
        <v>45139</v>
      </c>
      <c r="T8643" t="s">
        <v>46483</v>
      </c>
      <c r="U8643" t="s">
        <v>53858</v>
      </c>
      <c r="V8643" t="s">
        <v>59925</v>
      </c>
      <c r="W8643" t="s">
        <v>43675</v>
      </c>
      <c r="X8643" t="s">
        <v>44914</v>
      </c>
    </row>
    <row r="8644" spans="1:24">
      <c r="A8644">
        <f>HYPERLINK("https://www.philgeps.gov.ph/GEPSNONPILOT/Tender/SplashBidNoticeAbstractUI.aspx?menuIndex=3&amp;refID=7070736&amp;Result=3","7070736")</f>
        <v>0</v>
      </c>
      <c r="B8644" t="s">
        <v>2493</v>
      </c>
      <c r="C8644" t="s">
        <v>11763</v>
      </c>
      <c r="D8644" t="s">
        <v>18148</v>
      </c>
      <c r="E8644" t="s">
        <v>25762</v>
      </c>
      <c r="F8644" t="s">
        <v>31362</v>
      </c>
      <c r="G8644" t="s">
        <v>31369</v>
      </c>
      <c r="H8644" t="s">
        <v>15799</v>
      </c>
      <c r="I8644" t="s">
        <v>31422</v>
      </c>
      <c r="J8644" t="s">
        <v>31575</v>
      </c>
      <c r="K8644" t="s">
        <v>40682</v>
      </c>
      <c r="M8644" t="s">
        <v>43659</v>
      </c>
      <c r="N8644" t="s">
        <v>44905</v>
      </c>
      <c r="O8644" t="s">
        <v>44906</v>
      </c>
      <c r="P8644">
        <v>0</v>
      </c>
      <c r="Q8644">
        <v>3</v>
      </c>
      <c r="R8644" t="s">
        <v>44911</v>
      </c>
      <c r="S8644" t="s">
        <v>45139</v>
      </c>
      <c r="T8644" t="s">
        <v>46443</v>
      </c>
      <c r="U8644" t="s">
        <v>53856</v>
      </c>
      <c r="W8644" t="s">
        <v>43659</v>
      </c>
      <c r="X8644" t="s">
        <v>44914</v>
      </c>
    </row>
    <row r="8645" spans="1:24">
      <c r="A8645">
        <f>HYPERLINK("https://www.philgeps.gov.ph/GEPSNONPILOT/Tender/SplashBidNoticeAbstractUI.aspx?menuIndex=3&amp;refID=7070760&amp;Result=3","7070760")</f>
        <v>0</v>
      </c>
      <c r="B8645" t="s">
        <v>1956</v>
      </c>
      <c r="C8645" t="s">
        <v>11764</v>
      </c>
      <c r="D8645" t="s">
        <v>18102</v>
      </c>
      <c r="E8645" t="s">
        <v>25763</v>
      </c>
      <c r="F8645" t="s">
        <v>31362</v>
      </c>
      <c r="G8645" t="s">
        <v>31370</v>
      </c>
      <c r="H8645" t="s">
        <v>15799</v>
      </c>
      <c r="I8645" t="s">
        <v>31469</v>
      </c>
      <c r="J8645" t="s">
        <v>31687</v>
      </c>
      <c r="K8645" t="s">
        <v>40670</v>
      </c>
      <c r="M8645" t="s">
        <v>43061</v>
      </c>
      <c r="N8645" t="s">
        <v>44905</v>
      </c>
      <c r="O8645" t="s">
        <v>44906</v>
      </c>
      <c r="P8645">
        <v>0</v>
      </c>
      <c r="Q8645">
        <v>12</v>
      </c>
      <c r="R8645" t="s">
        <v>44911</v>
      </c>
      <c r="S8645" t="s">
        <v>45139</v>
      </c>
      <c r="T8645" t="s">
        <v>46447</v>
      </c>
      <c r="U8645" t="s">
        <v>53859</v>
      </c>
      <c r="W8645" t="s">
        <v>43061</v>
      </c>
      <c r="X8645" t="s">
        <v>44914</v>
      </c>
    </row>
    <row r="8646" spans="1:24">
      <c r="A8646">
        <f>HYPERLINK("https://www.philgeps.gov.ph/GEPSNONPILOT/Tender/SplashBidNoticeAbstractUI.aspx?menuIndex=3&amp;refID=7070764&amp;Result=3","7070764")</f>
        <v>0</v>
      </c>
      <c r="B8646" t="s">
        <v>2519</v>
      </c>
      <c r="C8646" t="s">
        <v>11765</v>
      </c>
      <c r="D8646" t="s">
        <v>18176</v>
      </c>
      <c r="E8646" t="s">
        <v>25764</v>
      </c>
      <c r="F8646" t="s">
        <v>31364</v>
      </c>
      <c r="G8646" t="s">
        <v>31369</v>
      </c>
      <c r="H8646" t="s">
        <v>15799</v>
      </c>
      <c r="I8646" t="s">
        <v>31455</v>
      </c>
      <c r="J8646" t="s">
        <v>36806</v>
      </c>
      <c r="K8646" t="s">
        <v>40665</v>
      </c>
      <c r="M8646" t="s">
        <v>43688</v>
      </c>
      <c r="N8646" t="s">
        <v>44905</v>
      </c>
      <c r="O8646" t="s">
        <v>44906</v>
      </c>
      <c r="P8646">
        <v>0</v>
      </c>
      <c r="Q8646">
        <v>0</v>
      </c>
      <c r="R8646" t="s">
        <v>44911</v>
      </c>
      <c r="S8646" t="s">
        <v>45139</v>
      </c>
      <c r="T8646" t="s">
        <v>46419</v>
      </c>
      <c r="U8646" t="s">
        <v>53860</v>
      </c>
      <c r="W8646" t="s">
        <v>43688</v>
      </c>
      <c r="X8646" t="s">
        <v>44914</v>
      </c>
    </row>
    <row r="8647" spans="1:24">
      <c r="A8647">
        <f>HYPERLINK("https://www.philgeps.gov.ph/GEPSNONPILOT/Tender/SplashBidNoticeAbstractUI.aspx?menuIndex=3&amp;refID=7070750&amp;Result=3","7070750")</f>
        <v>0</v>
      </c>
      <c r="B8647" t="s">
        <v>94</v>
      </c>
      <c r="C8647" t="s">
        <v>11766</v>
      </c>
      <c r="D8647" t="s">
        <v>18116</v>
      </c>
      <c r="E8647" t="s">
        <v>23665</v>
      </c>
      <c r="F8647" t="s">
        <v>31362</v>
      </c>
      <c r="G8647" t="s">
        <v>31368</v>
      </c>
      <c r="H8647" t="s">
        <v>15799</v>
      </c>
      <c r="I8647" t="s">
        <v>31422</v>
      </c>
      <c r="J8647" t="s">
        <v>36807</v>
      </c>
      <c r="K8647" t="s">
        <v>40665</v>
      </c>
      <c r="M8647" t="s">
        <v>41031</v>
      </c>
      <c r="N8647" t="s">
        <v>44905</v>
      </c>
      <c r="O8647" t="s">
        <v>44906</v>
      </c>
      <c r="P8647">
        <v>0</v>
      </c>
      <c r="Q8647">
        <v>6</v>
      </c>
      <c r="R8647" t="s">
        <v>44911</v>
      </c>
      <c r="S8647" t="s">
        <v>45139</v>
      </c>
      <c r="T8647" t="s">
        <v>46454</v>
      </c>
      <c r="U8647" t="s">
        <v>53861</v>
      </c>
      <c r="W8647" t="s">
        <v>41031</v>
      </c>
      <c r="X8647" t="s">
        <v>44914</v>
      </c>
    </row>
    <row r="8648" spans="1:24">
      <c r="A8648">
        <f>HYPERLINK("https://www.philgeps.gov.ph/GEPSNONPILOT/Tender/SplashBidNoticeAbstractUI.aspx?menuIndex=3&amp;refID=7070714&amp;Result=3","7070714")</f>
        <v>0</v>
      </c>
      <c r="B8648" t="s">
        <v>1037</v>
      </c>
      <c r="C8648" t="s">
        <v>11767</v>
      </c>
      <c r="D8648" t="s">
        <v>18146</v>
      </c>
      <c r="E8648" t="s">
        <v>25765</v>
      </c>
      <c r="F8648" t="s">
        <v>31362</v>
      </c>
      <c r="G8648" t="s">
        <v>31369</v>
      </c>
      <c r="H8648" t="s">
        <v>31378</v>
      </c>
      <c r="I8648" t="s">
        <v>31386</v>
      </c>
      <c r="J8648" t="s">
        <v>36808</v>
      </c>
      <c r="K8648" t="s">
        <v>40695</v>
      </c>
      <c r="M8648" t="s">
        <v>43675</v>
      </c>
      <c r="N8648" t="s">
        <v>44905</v>
      </c>
      <c r="O8648" t="s">
        <v>44906</v>
      </c>
      <c r="P8648">
        <v>0</v>
      </c>
      <c r="Q8648">
        <v>0</v>
      </c>
      <c r="R8648" t="s">
        <v>44911</v>
      </c>
      <c r="S8648" t="s">
        <v>45139</v>
      </c>
      <c r="T8648" t="s">
        <v>46483</v>
      </c>
      <c r="U8648" t="s">
        <v>53862</v>
      </c>
      <c r="V8648" t="s">
        <v>59926</v>
      </c>
      <c r="W8648" t="s">
        <v>43675</v>
      </c>
      <c r="X8648" t="s">
        <v>44914</v>
      </c>
    </row>
    <row r="8649" spans="1:24">
      <c r="A8649">
        <f>HYPERLINK("https://www.philgeps.gov.ph/GEPSNONPILOT/Tender/SplashBidNoticeAbstractUI.aspx?menuIndex=3&amp;refID=7070748&amp;Result=3","7070748")</f>
        <v>0</v>
      </c>
      <c r="B8649" t="s">
        <v>2493</v>
      </c>
      <c r="C8649" t="s">
        <v>11768</v>
      </c>
      <c r="D8649" t="s">
        <v>18148</v>
      </c>
      <c r="E8649" t="s">
        <v>25766</v>
      </c>
      <c r="F8649" t="s">
        <v>31362</v>
      </c>
      <c r="G8649" t="s">
        <v>31369</v>
      </c>
      <c r="H8649" t="s">
        <v>15799</v>
      </c>
      <c r="I8649" t="s">
        <v>31393</v>
      </c>
      <c r="J8649" t="s">
        <v>31545</v>
      </c>
      <c r="K8649" t="s">
        <v>40682</v>
      </c>
      <c r="M8649" t="s">
        <v>43659</v>
      </c>
      <c r="N8649" t="s">
        <v>44905</v>
      </c>
      <c r="O8649" t="s">
        <v>44906</v>
      </c>
      <c r="P8649">
        <v>0</v>
      </c>
      <c r="Q8649">
        <v>5</v>
      </c>
      <c r="R8649" t="s">
        <v>44911</v>
      </c>
      <c r="S8649" t="s">
        <v>45139</v>
      </c>
      <c r="T8649" t="s">
        <v>46443</v>
      </c>
      <c r="U8649" t="s">
        <v>53856</v>
      </c>
      <c r="W8649" t="s">
        <v>43659</v>
      </c>
      <c r="X8649" t="s">
        <v>44914</v>
      </c>
    </row>
    <row r="8650" spans="1:24">
      <c r="A8650">
        <f>HYPERLINK("https://www.philgeps.gov.ph/GEPSNONPILOT/Tender/SplashBidNoticeAbstractUI.aspx?menuIndex=3&amp;refID=7070694&amp;Result=3","7070694")</f>
        <v>0</v>
      </c>
      <c r="B8650" t="s">
        <v>94</v>
      </c>
      <c r="C8650" t="s">
        <v>11769</v>
      </c>
      <c r="D8650" t="s">
        <v>18116</v>
      </c>
      <c r="E8650" t="s">
        <v>25767</v>
      </c>
      <c r="F8650" t="s">
        <v>31362</v>
      </c>
      <c r="G8650" t="s">
        <v>31368</v>
      </c>
      <c r="H8650" t="s">
        <v>15799</v>
      </c>
      <c r="I8650" t="s">
        <v>31422</v>
      </c>
      <c r="J8650" t="s">
        <v>36809</v>
      </c>
      <c r="K8650" t="s">
        <v>40665</v>
      </c>
      <c r="M8650" t="s">
        <v>41031</v>
      </c>
      <c r="N8650" t="s">
        <v>44905</v>
      </c>
      <c r="O8650" t="s">
        <v>44906</v>
      </c>
      <c r="P8650">
        <v>0</v>
      </c>
      <c r="Q8650">
        <v>3</v>
      </c>
      <c r="R8650" t="s">
        <v>44911</v>
      </c>
      <c r="S8650" t="s">
        <v>45139</v>
      </c>
      <c r="T8650" t="s">
        <v>46454</v>
      </c>
      <c r="U8650" t="s">
        <v>53863</v>
      </c>
      <c r="W8650" t="s">
        <v>41031</v>
      </c>
      <c r="X8650" t="s">
        <v>44914</v>
      </c>
    </row>
    <row r="8651" spans="1:24">
      <c r="A8651">
        <f>HYPERLINK("https://www.philgeps.gov.ph/GEPSNONPILOT/Tender/SplashBidNoticeAbstractUI.aspx?menuIndex=3&amp;refID=7070692&amp;Result=3","7070692")</f>
        <v>0</v>
      </c>
      <c r="B8651" t="s">
        <v>1037</v>
      </c>
      <c r="C8651" t="s">
        <v>11770</v>
      </c>
      <c r="D8651" t="s">
        <v>18146</v>
      </c>
      <c r="E8651" t="s">
        <v>25768</v>
      </c>
      <c r="F8651" t="s">
        <v>31362</v>
      </c>
      <c r="G8651" t="s">
        <v>31369</v>
      </c>
      <c r="H8651" t="s">
        <v>31378</v>
      </c>
      <c r="I8651" t="s">
        <v>31386</v>
      </c>
      <c r="J8651" t="s">
        <v>36810</v>
      </c>
      <c r="K8651" t="s">
        <v>40709</v>
      </c>
      <c r="M8651" t="s">
        <v>43675</v>
      </c>
      <c r="N8651" t="s">
        <v>44905</v>
      </c>
      <c r="O8651" t="s">
        <v>44906</v>
      </c>
      <c r="P8651">
        <v>0</v>
      </c>
      <c r="Q8651">
        <v>0</v>
      </c>
      <c r="R8651" t="s">
        <v>44911</v>
      </c>
      <c r="S8651" t="s">
        <v>45139</v>
      </c>
      <c r="T8651" t="s">
        <v>46483</v>
      </c>
      <c r="U8651" t="s">
        <v>53864</v>
      </c>
      <c r="V8651" t="s">
        <v>59927</v>
      </c>
      <c r="W8651" t="s">
        <v>43675</v>
      </c>
      <c r="X8651" t="s">
        <v>44914</v>
      </c>
    </row>
    <row r="8652" spans="1:24">
      <c r="A8652">
        <f>HYPERLINK("https://www.philgeps.gov.ph/GEPSNONPILOT/Tender/SplashBidNoticeAbstractUI.aspx?menuIndex=3&amp;refID=7070690&amp;Result=3","7070690")</f>
        <v>0</v>
      </c>
      <c r="B8652" t="s">
        <v>2516</v>
      </c>
      <c r="C8652" t="s">
        <v>11771</v>
      </c>
      <c r="D8652" t="s">
        <v>18104</v>
      </c>
      <c r="E8652" t="s">
        <v>25769</v>
      </c>
      <c r="F8652" t="s">
        <v>31362</v>
      </c>
      <c r="G8652" t="s">
        <v>31368</v>
      </c>
      <c r="H8652" t="s">
        <v>15799</v>
      </c>
      <c r="I8652" t="s">
        <v>31391</v>
      </c>
      <c r="J8652" t="s">
        <v>31983</v>
      </c>
      <c r="K8652" t="s">
        <v>40661</v>
      </c>
      <c r="M8652" t="s">
        <v>43685</v>
      </c>
      <c r="N8652" t="s">
        <v>44905</v>
      </c>
      <c r="O8652" t="s">
        <v>44906</v>
      </c>
      <c r="P8652">
        <v>0</v>
      </c>
      <c r="Q8652">
        <v>1</v>
      </c>
      <c r="R8652" t="s">
        <v>44911</v>
      </c>
      <c r="S8652" t="s">
        <v>45139</v>
      </c>
      <c r="T8652" t="s">
        <v>46425</v>
      </c>
      <c r="U8652" t="s">
        <v>53865</v>
      </c>
      <c r="W8652" t="s">
        <v>43685</v>
      </c>
      <c r="X8652" t="s">
        <v>44914</v>
      </c>
    </row>
    <row r="8653" spans="1:24">
      <c r="A8653">
        <f>HYPERLINK("https://www.philgeps.gov.ph/GEPSNONPILOT/Tender/SplashBidNoticeAbstractUI.aspx?menuIndex=3&amp;refID=7070758&amp;Result=3","7070758")</f>
        <v>0</v>
      </c>
      <c r="B8653" t="s">
        <v>2493</v>
      </c>
      <c r="C8653" t="s">
        <v>11772</v>
      </c>
      <c r="D8653" t="s">
        <v>18148</v>
      </c>
      <c r="E8653" t="s">
        <v>25770</v>
      </c>
      <c r="F8653" t="s">
        <v>31362</v>
      </c>
      <c r="G8653" t="s">
        <v>31369</v>
      </c>
      <c r="H8653" t="s">
        <v>15799</v>
      </c>
      <c r="I8653" t="s">
        <v>31393</v>
      </c>
      <c r="J8653" t="s">
        <v>31545</v>
      </c>
      <c r="K8653" t="s">
        <v>40682</v>
      </c>
      <c r="M8653" t="s">
        <v>43659</v>
      </c>
      <c r="N8653" t="s">
        <v>44905</v>
      </c>
      <c r="O8653" t="s">
        <v>44906</v>
      </c>
      <c r="P8653">
        <v>0</v>
      </c>
      <c r="Q8653">
        <v>2</v>
      </c>
      <c r="R8653" t="s">
        <v>44911</v>
      </c>
      <c r="S8653" t="s">
        <v>45139</v>
      </c>
      <c r="T8653" t="s">
        <v>46443</v>
      </c>
      <c r="U8653" t="s">
        <v>53856</v>
      </c>
      <c r="W8653" t="s">
        <v>43659</v>
      </c>
      <c r="X8653" t="s">
        <v>44914</v>
      </c>
    </row>
    <row r="8654" spans="1:24">
      <c r="A8654">
        <f>HYPERLINK("https://www.philgeps.gov.ph/GEPSNONPILOT/Tender/SplashBidNoticeAbstractUI.aspx?menuIndex=3&amp;refID=7070688&amp;Result=3","7070688")</f>
        <v>0</v>
      </c>
      <c r="B8654" t="s">
        <v>676</v>
      </c>
      <c r="C8654" t="s">
        <v>11773</v>
      </c>
      <c r="D8654" t="s">
        <v>18134</v>
      </c>
      <c r="E8654" t="s">
        <v>25771</v>
      </c>
      <c r="F8654" t="s">
        <v>31362</v>
      </c>
      <c r="G8654" t="s">
        <v>31369</v>
      </c>
      <c r="H8654" t="s">
        <v>15799</v>
      </c>
      <c r="I8654" t="s">
        <v>31393</v>
      </c>
      <c r="J8654" t="s">
        <v>36811</v>
      </c>
      <c r="K8654" t="s">
        <v>40665</v>
      </c>
      <c r="M8654" t="s">
        <v>41638</v>
      </c>
      <c r="N8654" t="s">
        <v>44905</v>
      </c>
      <c r="O8654" t="s">
        <v>44906</v>
      </c>
      <c r="P8654">
        <v>0</v>
      </c>
      <c r="Q8654">
        <v>9</v>
      </c>
      <c r="R8654" t="s">
        <v>44911</v>
      </c>
      <c r="S8654" t="s">
        <v>45139</v>
      </c>
      <c r="T8654" t="s">
        <v>46526</v>
      </c>
      <c r="U8654" t="s">
        <v>53866</v>
      </c>
      <c r="W8654" t="s">
        <v>41638</v>
      </c>
      <c r="X8654" t="s">
        <v>44914</v>
      </c>
    </row>
    <row r="8655" spans="1:24">
      <c r="A8655">
        <f>HYPERLINK("https://www.philgeps.gov.ph/GEPSNONPILOT/Tender/SplashBidNoticeAbstractUI.aspx?menuIndex=3&amp;refID=7070682&amp;Result=3","7070682")</f>
        <v>0</v>
      </c>
      <c r="B8655" t="s">
        <v>2493</v>
      </c>
      <c r="C8655" t="s">
        <v>11774</v>
      </c>
      <c r="D8655" t="s">
        <v>18148</v>
      </c>
      <c r="E8655" t="s">
        <v>25772</v>
      </c>
      <c r="F8655" t="s">
        <v>31362</v>
      </c>
      <c r="G8655" t="s">
        <v>31369</v>
      </c>
      <c r="H8655" t="s">
        <v>15799</v>
      </c>
      <c r="I8655" t="s">
        <v>31384</v>
      </c>
      <c r="J8655" t="s">
        <v>36812</v>
      </c>
      <c r="K8655" t="s">
        <v>40682</v>
      </c>
      <c r="M8655" t="s">
        <v>43659</v>
      </c>
      <c r="N8655" t="s">
        <v>44905</v>
      </c>
      <c r="O8655" t="s">
        <v>44906</v>
      </c>
      <c r="P8655">
        <v>0</v>
      </c>
      <c r="Q8655">
        <v>3</v>
      </c>
      <c r="R8655" t="s">
        <v>44911</v>
      </c>
      <c r="S8655" t="s">
        <v>45139</v>
      </c>
      <c r="T8655" t="s">
        <v>46443</v>
      </c>
      <c r="U8655" t="s">
        <v>53867</v>
      </c>
      <c r="W8655" t="s">
        <v>43659</v>
      </c>
      <c r="X8655" t="s">
        <v>44914</v>
      </c>
    </row>
    <row r="8656" spans="1:24">
      <c r="A8656">
        <f>HYPERLINK("https://www.philgeps.gov.ph/GEPSNONPILOT/Tender/SplashBidNoticeAbstractUI.aspx?menuIndex=3&amp;refID=7070775&amp;Result=3","7070775")</f>
        <v>0</v>
      </c>
      <c r="B8656" t="s">
        <v>2509</v>
      </c>
      <c r="C8656" t="s">
        <v>11775</v>
      </c>
      <c r="D8656" t="s">
        <v>18136</v>
      </c>
      <c r="E8656" t="s">
        <v>25773</v>
      </c>
      <c r="F8656" t="s">
        <v>31362</v>
      </c>
      <c r="G8656" t="s">
        <v>31369</v>
      </c>
      <c r="H8656" t="s">
        <v>15799</v>
      </c>
      <c r="I8656" t="s">
        <v>31430</v>
      </c>
      <c r="J8656" t="s">
        <v>36813</v>
      </c>
      <c r="K8656" t="s">
        <v>40729</v>
      </c>
      <c r="M8656" t="s">
        <v>43678</v>
      </c>
      <c r="N8656" t="s">
        <v>44905</v>
      </c>
      <c r="O8656" t="s">
        <v>44906</v>
      </c>
      <c r="P8656">
        <v>0</v>
      </c>
      <c r="Q8656">
        <v>0</v>
      </c>
      <c r="R8656" t="s">
        <v>44911</v>
      </c>
      <c r="S8656" t="s">
        <v>45139</v>
      </c>
      <c r="T8656" t="s">
        <v>46432</v>
      </c>
      <c r="U8656" t="s">
        <v>53868</v>
      </c>
      <c r="V8656" t="s">
        <v>59917</v>
      </c>
      <c r="W8656" t="s">
        <v>43678</v>
      </c>
      <c r="X8656" t="s">
        <v>44914</v>
      </c>
    </row>
    <row r="8657" spans="1:24">
      <c r="A8657">
        <f>HYPERLINK("https://www.philgeps.gov.ph/GEPSNONPILOT/Tender/SplashBidNoticeAbstractUI.aspx?menuIndex=3&amp;refID=7070765&amp;Result=3","7070765")</f>
        <v>0</v>
      </c>
      <c r="B8657" t="s">
        <v>1579</v>
      </c>
      <c r="C8657" t="s">
        <v>11776</v>
      </c>
      <c r="D8657" t="s">
        <v>18117</v>
      </c>
      <c r="E8657" t="s">
        <v>25774</v>
      </c>
      <c r="F8657" t="s">
        <v>31362</v>
      </c>
      <c r="G8657" t="s">
        <v>31368</v>
      </c>
      <c r="H8657" t="s">
        <v>15799</v>
      </c>
      <c r="I8657" t="s">
        <v>6373</v>
      </c>
      <c r="J8657" t="s">
        <v>36814</v>
      </c>
      <c r="K8657" t="s">
        <v>40666</v>
      </c>
      <c r="M8657" t="s">
        <v>42633</v>
      </c>
      <c r="N8657" t="s">
        <v>44905</v>
      </c>
      <c r="O8657" t="s">
        <v>44906</v>
      </c>
      <c r="P8657">
        <v>0</v>
      </c>
      <c r="Q8657">
        <v>6</v>
      </c>
      <c r="R8657" t="s">
        <v>44911</v>
      </c>
      <c r="S8657" t="s">
        <v>45139</v>
      </c>
      <c r="T8657" t="s">
        <v>46394</v>
      </c>
      <c r="U8657" t="s">
        <v>53869</v>
      </c>
      <c r="W8657" t="s">
        <v>42633</v>
      </c>
      <c r="X8657" t="s">
        <v>44914</v>
      </c>
    </row>
    <row r="8658" spans="1:24">
      <c r="A8658">
        <f>HYPERLINK("https://www.philgeps.gov.ph/GEPSNONPILOT/Tender/SplashBidNoticeAbstractUI.aspx?menuIndex=3&amp;refID=7070833&amp;Result=3","7070833")</f>
        <v>0</v>
      </c>
      <c r="B8658" t="s">
        <v>2520</v>
      </c>
      <c r="C8658" t="s">
        <v>11777</v>
      </c>
      <c r="D8658" t="s">
        <v>18107</v>
      </c>
      <c r="E8658" t="s">
        <v>25775</v>
      </c>
      <c r="F8658" t="s">
        <v>31362</v>
      </c>
      <c r="G8658" t="s">
        <v>31369</v>
      </c>
      <c r="H8658" t="s">
        <v>15799</v>
      </c>
      <c r="I8658" t="s">
        <v>31411</v>
      </c>
      <c r="J8658" t="s">
        <v>36815</v>
      </c>
      <c r="K8658" t="s">
        <v>40665</v>
      </c>
      <c r="M8658" t="s">
        <v>43689</v>
      </c>
      <c r="N8658" t="s">
        <v>44905</v>
      </c>
      <c r="O8658" t="s">
        <v>44906</v>
      </c>
      <c r="P8658">
        <v>0</v>
      </c>
      <c r="Q8658">
        <v>6</v>
      </c>
      <c r="R8658" t="s">
        <v>44911</v>
      </c>
      <c r="S8658" t="s">
        <v>45139</v>
      </c>
      <c r="T8658" t="s">
        <v>46717</v>
      </c>
      <c r="U8658" t="s">
        <v>53870</v>
      </c>
      <c r="V8658" t="s">
        <v>59928</v>
      </c>
      <c r="W8658" t="s">
        <v>43689</v>
      </c>
      <c r="X8658" t="s">
        <v>44914</v>
      </c>
    </row>
    <row r="8659" spans="1:24">
      <c r="A8659">
        <f>HYPERLINK("https://www.philgeps.gov.ph/GEPSNONPILOT/Tender/SplashBidNoticeAbstractUI.aspx?menuIndex=3&amp;refID=7070829&amp;Result=3","7070829")</f>
        <v>0</v>
      </c>
      <c r="B8659" t="s">
        <v>2509</v>
      </c>
      <c r="C8659" t="s">
        <v>11778</v>
      </c>
      <c r="D8659" t="s">
        <v>18136</v>
      </c>
      <c r="E8659" t="s">
        <v>25776</v>
      </c>
      <c r="F8659" t="s">
        <v>31362</v>
      </c>
      <c r="G8659" t="s">
        <v>31369</v>
      </c>
      <c r="H8659" t="s">
        <v>15799</v>
      </c>
      <c r="I8659" t="s">
        <v>3815</v>
      </c>
      <c r="J8659" t="s">
        <v>36816</v>
      </c>
      <c r="K8659" t="s">
        <v>40731</v>
      </c>
      <c r="M8659" t="s">
        <v>43678</v>
      </c>
      <c r="N8659" t="s">
        <v>44905</v>
      </c>
      <c r="O8659" t="s">
        <v>44906</v>
      </c>
      <c r="P8659">
        <v>0</v>
      </c>
      <c r="Q8659">
        <v>0</v>
      </c>
      <c r="R8659" t="s">
        <v>44911</v>
      </c>
      <c r="S8659" t="s">
        <v>45139</v>
      </c>
      <c r="T8659" t="s">
        <v>46464</v>
      </c>
      <c r="U8659" t="s">
        <v>53871</v>
      </c>
      <c r="V8659" t="s">
        <v>59917</v>
      </c>
      <c r="W8659" t="s">
        <v>43678</v>
      </c>
      <c r="X8659" t="s">
        <v>44914</v>
      </c>
    </row>
    <row r="8660" spans="1:24">
      <c r="A8660">
        <f>HYPERLINK("https://www.philgeps.gov.ph/GEPSNONPILOT/Tender/SplashBidNoticeAbstractUI.aspx?menuIndex=3&amp;refID=7070860&amp;Result=3","7070860")</f>
        <v>0</v>
      </c>
      <c r="B8660" t="s">
        <v>1116</v>
      </c>
      <c r="C8660" t="s">
        <v>11779</v>
      </c>
      <c r="D8660" t="s">
        <v>18153</v>
      </c>
      <c r="E8660" t="s">
        <v>25777</v>
      </c>
      <c r="F8660" t="s">
        <v>31362</v>
      </c>
      <c r="G8660" t="s">
        <v>31370</v>
      </c>
      <c r="H8660" t="s">
        <v>15799</v>
      </c>
      <c r="I8660" t="s">
        <v>7188</v>
      </c>
      <c r="J8660" t="s">
        <v>36817</v>
      </c>
      <c r="K8660" t="s">
        <v>40662</v>
      </c>
      <c r="M8660" t="s">
        <v>42122</v>
      </c>
      <c r="N8660" t="s">
        <v>44905</v>
      </c>
      <c r="O8660" t="s">
        <v>44906</v>
      </c>
      <c r="P8660">
        <v>0</v>
      </c>
      <c r="Q8660">
        <v>0</v>
      </c>
      <c r="R8660" t="s">
        <v>44911</v>
      </c>
      <c r="S8660" t="s">
        <v>45139</v>
      </c>
      <c r="T8660" t="s">
        <v>46409</v>
      </c>
      <c r="U8660" t="s">
        <v>53872</v>
      </c>
      <c r="W8660" t="s">
        <v>60882</v>
      </c>
      <c r="X8660" t="s">
        <v>44914</v>
      </c>
    </row>
    <row r="8661" spans="1:24">
      <c r="A8661">
        <f>HYPERLINK("https://www.philgeps.gov.ph/GEPSNONPILOT/Tender/SplashBidNoticeAbstractUI.aspx?menuIndex=3&amp;refID=7070846&amp;Result=3","7070846")</f>
        <v>0</v>
      </c>
      <c r="B8661" t="s">
        <v>94</v>
      </c>
      <c r="C8661" t="s">
        <v>11780</v>
      </c>
      <c r="E8661" t="s">
        <v>25778</v>
      </c>
      <c r="F8661" t="s">
        <v>31362</v>
      </c>
      <c r="G8661" t="s">
        <v>31368</v>
      </c>
      <c r="H8661" t="s">
        <v>15799</v>
      </c>
      <c r="I8661" t="s">
        <v>31388</v>
      </c>
      <c r="J8661" t="s">
        <v>36818</v>
      </c>
      <c r="K8661" t="s">
        <v>40665</v>
      </c>
      <c r="M8661" t="s">
        <v>41031</v>
      </c>
      <c r="N8661" t="s">
        <v>44905</v>
      </c>
      <c r="O8661" t="s">
        <v>44906</v>
      </c>
      <c r="P8661">
        <v>0</v>
      </c>
      <c r="Q8661">
        <v>4</v>
      </c>
      <c r="R8661" t="s">
        <v>44911</v>
      </c>
      <c r="S8661" t="s">
        <v>45139</v>
      </c>
      <c r="T8661" t="s">
        <v>46454</v>
      </c>
      <c r="U8661" t="s">
        <v>53873</v>
      </c>
      <c r="W8661" t="s">
        <v>41031</v>
      </c>
      <c r="X8661" t="s">
        <v>44914</v>
      </c>
    </row>
    <row r="8662" spans="1:24">
      <c r="A8662">
        <f>HYPERLINK("https://www.philgeps.gov.ph/GEPSNONPILOT/Tender/SplashBidNoticeAbstractUI.aspx?menuIndex=3&amp;refID=7070700&amp;Result=3","7070700")</f>
        <v>0</v>
      </c>
      <c r="B8662" t="s">
        <v>1361</v>
      </c>
      <c r="C8662" t="s">
        <v>11781</v>
      </c>
      <c r="D8662" t="s">
        <v>18140</v>
      </c>
      <c r="E8662" t="s">
        <v>25779</v>
      </c>
      <c r="F8662" t="s">
        <v>31362</v>
      </c>
      <c r="G8662" t="s">
        <v>31369</v>
      </c>
      <c r="H8662" t="s">
        <v>31378</v>
      </c>
      <c r="I8662" t="s">
        <v>31386</v>
      </c>
      <c r="J8662" t="s">
        <v>36819</v>
      </c>
      <c r="K8662" t="s">
        <v>40813</v>
      </c>
      <c r="M8662" t="s">
        <v>42382</v>
      </c>
      <c r="N8662" t="s">
        <v>44905</v>
      </c>
      <c r="O8662" t="s">
        <v>44906</v>
      </c>
      <c r="P8662">
        <v>0</v>
      </c>
      <c r="Q8662">
        <v>1</v>
      </c>
      <c r="R8662" t="s">
        <v>44911</v>
      </c>
      <c r="S8662" t="s">
        <v>45139</v>
      </c>
      <c r="T8662" t="s">
        <v>46419</v>
      </c>
      <c r="U8662" t="s">
        <v>53874</v>
      </c>
      <c r="W8662" t="s">
        <v>42382</v>
      </c>
      <c r="X8662" t="s">
        <v>44914</v>
      </c>
    </row>
    <row r="8663" spans="1:24">
      <c r="A8663">
        <f>HYPERLINK("https://www.philgeps.gov.ph/GEPSNONPILOT/Tender/SplashBidNoticeAbstractUI.aspx?menuIndex=3&amp;refID=7070844&amp;Result=3","7070844")</f>
        <v>0</v>
      </c>
      <c r="B8663" t="s">
        <v>1116</v>
      </c>
      <c r="C8663" t="s">
        <v>11782</v>
      </c>
      <c r="D8663" t="s">
        <v>18153</v>
      </c>
      <c r="E8663" t="s">
        <v>25113</v>
      </c>
      <c r="F8663" t="s">
        <v>31362</v>
      </c>
      <c r="G8663" t="s">
        <v>31370</v>
      </c>
      <c r="H8663" t="s">
        <v>15799</v>
      </c>
      <c r="I8663" t="s">
        <v>31404</v>
      </c>
      <c r="J8663" t="s">
        <v>31734</v>
      </c>
      <c r="K8663" t="s">
        <v>40662</v>
      </c>
      <c r="M8663" t="s">
        <v>42122</v>
      </c>
      <c r="N8663" t="s">
        <v>44905</v>
      </c>
      <c r="O8663" t="s">
        <v>44906</v>
      </c>
      <c r="P8663">
        <v>0</v>
      </c>
      <c r="Q8663">
        <v>0</v>
      </c>
      <c r="R8663" t="s">
        <v>44911</v>
      </c>
      <c r="S8663" t="s">
        <v>45139</v>
      </c>
      <c r="T8663" t="s">
        <v>46409</v>
      </c>
      <c r="U8663" t="s">
        <v>53875</v>
      </c>
      <c r="W8663" t="s">
        <v>60882</v>
      </c>
      <c r="X8663" t="s">
        <v>44914</v>
      </c>
    </row>
    <row r="8664" spans="1:24">
      <c r="A8664">
        <f>HYPERLINK("https://www.philgeps.gov.ph/GEPSNONPILOT/Tender/SplashBidNoticeAbstractUI.aspx?menuIndex=3&amp;refID=7070691&amp;Result=3","7070691")</f>
        <v>0</v>
      </c>
      <c r="B8664" t="s">
        <v>179</v>
      </c>
      <c r="C8664" t="s">
        <v>11783</v>
      </c>
      <c r="E8664" t="s">
        <v>25780</v>
      </c>
      <c r="F8664" t="s">
        <v>31362</v>
      </c>
      <c r="G8664" t="s">
        <v>31369</v>
      </c>
      <c r="H8664" t="s">
        <v>15799</v>
      </c>
      <c r="I8664" t="s">
        <v>3815</v>
      </c>
      <c r="J8664" t="s">
        <v>36820</v>
      </c>
      <c r="K8664" t="s">
        <v>40665</v>
      </c>
      <c r="M8664" t="s">
        <v>41117</v>
      </c>
      <c r="N8664" t="s">
        <v>44905</v>
      </c>
      <c r="O8664" t="s">
        <v>44906</v>
      </c>
      <c r="P8664">
        <v>0</v>
      </c>
      <c r="Q8664">
        <v>2</v>
      </c>
      <c r="R8664" t="s">
        <v>44911</v>
      </c>
      <c r="S8664" t="s">
        <v>45139</v>
      </c>
      <c r="T8664" t="s">
        <v>46591</v>
      </c>
      <c r="U8664" t="s">
        <v>53876</v>
      </c>
      <c r="W8664" t="s">
        <v>41209</v>
      </c>
      <c r="X8664" t="s">
        <v>44914</v>
      </c>
    </row>
    <row r="8665" spans="1:24">
      <c r="A8665">
        <f>HYPERLINK("https://www.philgeps.gov.ph/GEPSNONPILOT/Tender/SplashBidNoticeAbstractUI.aspx?menuIndex=3&amp;refID=7070547&amp;Result=3","7070547")</f>
        <v>0</v>
      </c>
      <c r="B8665" t="s">
        <v>1037</v>
      </c>
      <c r="C8665" t="s">
        <v>11784</v>
      </c>
      <c r="D8665" t="s">
        <v>18146</v>
      </c>
      <c r="E8665" t="s">
        <v>25781</v>
      </c>
      <c r="F8665" t="s">
        <v>31362</v>
      </c>
      <c r="G8665" t="s">
        <v>31369</v>
      </c>
      <c r="H8665" t="s">
        <v>31378</v>
      </c>
      <c r="I8665" t="s">
        <v>31386</v>
      </c>
      <c r="J8665" t="s">
        <v>31591</v>
      </c>
      <c r="K8665" t="s">
        <v>40762</v>
      </c>
      <c r="M8665" t="s">
        <v>43675</v>
      </c>
      <c r="N8665" t="s">
        <v>44905</v>
      </c>
      <c r="O8665" t="s">
        <v>44906</v>
      </c>
      <c r="P8665">
        <v>0</v>
      </c>
      <c r="Q8665">
        <v>0</v>
      </c>
      <c r="R8665" t="s">
        <v>44911</v>
      </c>
      <c r="S8665" t="s">
        <v>45139</v>
      </c>
      <c r="T8665" t="s">
        <v>46483</v>
      </c>
      <c r="U8665" t="s">
        <v>53877</v>
      </c>
      <c r="V8665" t="s">
        <v>59929</v>
      </c>
      <c r="W8665" t="s">
        <v>43675</v>
      </c>
      <c r="X8665" t="s">
        <v>44914</v>
      </c>
    </row>
    <row r="8666" spans="1:24">
      <c r="A8666">
        <f>HYPERLINK("https://www.philgeps.gov.ph/GEPSNONPILOT/Tender/SplashBidNoticeAbstractUI.aspx?menuIndex=3&amp;refID=7070835&amp;Result=3","7070835")</f>
        <v>0</v>
      </c>
      <c r="B8666" t="s">
        <v>2476</v>
      </c>
      <c r="C8666" t="s">
        <v>11785</v>
      </c>
      <c r="D8666" t="s">
        <v>18177</v>
      </c>
      <c r="E8666" t="s">
        <v>18217</v>
      </c>
      <c r="F8666" t="s">
        <v>31362</v>
      </c>
      <c r="G8666" t="s">
        <v>31369</v>
      </c>
      <c r="H8666" t="s">
        <v>15799</v>
      </c>
      <c r="I8666" t="s">
        <v>3815</v>
      </c>
      <c r="J8666" t="s">
        <v>31843</v>
      </c>
      <c r="K8666" t="s">
        <v>40665</v>
      </c>
      <c r="M8666" t="s">
        <v>43639</v>
      </c>
      <c r="N8666" t="s">
        <v>44905</v>
      </c>
      <c r="O8666" t="s">
        <v>44906</v>
      </c>
      <c r="P8666">
        <v>0</v>
      </c>
      <c r="Q8666">
        <v>0</v>
      </c>
      <c r="R8666" t="s">
        <v>44911</v>
      </c>
      <c r="S8666" t="s">
        <v>45139</v>
      </c>
      <c r="T8666" t="s">
        <v>46573</v>
      </c>
      <c r="U8666" t="s">
        <v>53878</v>
      </c>
      <c r="W8666" t="s">
        <v>43639</v>
      </c>
      <c r="X8666" t="s">
        <v>44914</v>
      </c>
    </row>
    <row r="8667" spans="1:24">
      <c r="A8667">
        <f>HYPERLINK("https://www.philgeps.gov.ph/GEPSNONPILOT/Tender/SplashBidNoticeAbstractUI.aspx?menuIndex=3&amp;refID=7070820&amp;Result=3","7070820")</f>
        <v>0</v>
      </c>
      <c r="B8667" t="s">
        <v>2476</v>
      </c>
      <c r="C8667" t="s">
        <v>11786</v>
      </c>
      <c r="D8667" t="s">
        <v>18177</v>
      </c>
      <c r="E8667" t="s">
        <v>18201</v>
      </c>
      <c r="F8667" t="s">
        <v>31362</v>
      </c>
      <c r="G8667" t="s">
        <v>31369</v>
      </c>
      <c r="H8667" t="s">
        <v>15799</v>
      </c>
      <c r="I8667" t="s">
        <v>3815</v>
      </c>
      <c r="J8667" t="s">
        <v>33854</v>
      </c>
      <c r="K8667" t="s">
        <v>40665</v>
      </c>
      <c r="M8667" t="s">
        <v>43639</v>
      </c>
      <c r="N8667" t="s">
        <v>44905</v>
      </c>
      <c r="O8667" t="s">
        <v>44906</v>
      </c>
      <c r="P8667">
        <v>0</v>
      </c>
      <c r="Q8667">
        <v>0</v>
      </c>
      <c r="R8667" t="s">
        <v>44911</v>
      </c>
      <c r="S8667" t="s">
        <v>45139</v>
      </c>
      <c r="T8667" t="s">
        <v>46573</v>
      </c>
      <c r="U8667" t="s">
        <v>53879</v>
      </c>
      <c r="W8667" t="s">
        <v>43639</v>
      </c>
      <c r="X8667" t="s">
        <v>44914</v>
      </c>
    </row>
    <row r="8668" spans="1:24">
      <c r="A8668">
        <f>HYPERLINK("https://www.philgeps.gov.ph/GEPSNONPILOT/Tender/SplashBidNoticeAbstractUI.aspx?menuIndex=3&amp;refID=7070815&amp;Result=3","7070815")</f>
        <v>0</v>
      </c>
      <c r="B8668" t="s">
        <v>2476</v>
      </c>
      <c r="C8668" t="s">
        <v>11787</v>
      </c>
      <c r="D8668" t="s">
        <v>18177</v>
      </c>
      <c r="E8668" t="s">
        <v>18203</v>
      </c>
      <c r="F8668" t="s">
        <v>31362</v>
      </c>
      <c r="G8668" t="s">
        <v>31369</v>
      </c>
      <c r="H8668" t="s">
        <v>15799</v>
      </c>
      <c r="I8668" t="s">
        <v>3815</v>
      </c>
      <c r="J8668" t="s">
        <v>33584</v>
      </c>
      <c r="K8668" t="s">
        <v>40665</v>
      </c>
      <c r="M8668" t="s">
        <v>43639</v>
      </c>
      <c r="N8668" t="s">
        <v>44905</v>
      </c>
      <c r="O8668" t="s">
        <v>44906</v>
      </c>
      <c r="P8668">
        <v>0</v>
      </c>
      <c r="Q8668">
        <v>0</v>
      </c>
      <c r="R8668" t="s">
        <v>44911</v>
      </c>
      <c r="S8668" t="s">
        <v>45139</v>
      </c>
      <c r="T8668" t="s">
        <v>46573</v>
      </c>
      <c r="U8668" t="s">
        <v>53880</v>
      </c>
      <c r="W8668" t="s">
        <v>43639</v>
      </c>
      <c r="X8668" t="s">
        <v>44914</v>
      </c>
    </row>
    <row r="8669" spans="1:24">
      <c r="A8669">
        <f>HYPERLINK("https://www.philgeps.gov.ph/GEPSNONPILOT/Tender/SplashBidNoticeAbstractUI.aspx?menuIndex=3&amp;refID=7070804&amp;Result=3","7070804")</f>
        <v>0</v>
      </c>
      <c r="B8669" t="s">
        <v>2521</v>
      </c>
      <c r="C8669" t="s">
        <v>11788</v>
      </c>
      <c r="D8669" t="s">
        <v>18128</v>
      </c>
      <c r="E8669" t="s">
        <v>25782</v>
      </c>
      <c r="F8669" t="s">
        <v>31362</v>
      </c>
      <c r="G8669" t="s">
        <v>31369</v>
      </c>
      <c r="H8669" t="s">
        <v>15799</v>
      </c>
      <c r="I8669" t="s">
        <v>31387</v>
      </c>
      <c r="J8669" t="s">
        <v>36821</v>
      </c>
      <c r="K8669" t="s">
        <v>40665</v>
      </c>
      <c r="M8669" t="s">
        <v>43690</v>
      </c>
      <c r="N8669" t="s">
        <v>44905</v>
      </c>
      <c r="O8669" t="s">
        <v>44906</v>
      </c>
      <c r="P8669">
        <v>0</v>
      </c>
      <c r="Q8669">
        <v>0</v>
      </c>
      <c r="R8669" t="s">
        <v>44911</v>
      </c>
      <c r="S8669" t="s">
        <v>45139</v>
      </c>
      <c r="T8669" t="s">
        <v>46609</v>
      </c>
      <c r="U8669" t="s">
        <v>52727</v>
      </c>
      <c r="V8669" t="s">
        <v>59930</v>
      </c>
      <c r="W8669" t="s">
        <v>43690</v>
      </c>
      <c r="X8669" t="s">
        <v>44914</v>
      </c>
    </row>
    <row r="8670" spans="1:24">
      <c r="A8670">
        <f>HYPERLINK("https://www.philgeps.gov.ph/GEPSNONPILOT/Tender/SplashBidNoticeAbstractUI.aspx?menuIndex=3&amp;refID=7070795&amp;Result=3","7070795")</f>
        <v>0</v>
      </c>
      <c r="B8670" t="s">
        <v>179</v>
      </c>
      <c r="C8670" t="s">
        <v>11789</v>
      </c>
      <c r="E8670" t="s">
        <v>25783</v>
      </c>
      <c r="F8670" t="s">
        <v>31362</v>
      </c>
      <c r="G8670" t="s">
        <v>31368</v>
      </c>
      <c r="H8670" t="s">
        <v>15799</v>
      </c>
      <c r="I8670" t="s">
        <v>31384</v>
      </c>
      <c r="J8670" t="s">
        <v>34304</v>
      </c>
      <c r="K8670" t="s">
        <v>40680</v>
      </c>
      <c r="M8670" t="s">
        <v>41117</v>
      </c>
      <c r="N8670" t="s">
        <v>44905</v>
      </c>
      <c r="O8670" t="s">
        <v>44906</v>
      </c>
      <c r="P8670">
        <v>0</v>
      </c>
      <c r="Q8670">
        <v>4</v>
      </c>
      <c r="R8670" t="s">
        <v>44911</v>
      </c>
      <c r="S8670" t="s">
        <v>45139</v>
      </c>
      <c r="T8670" t="s">
        <v>46583</v>
      </c>
      <c r="U8670" t="s">
        <v>53881</v>
      </c>
      <c r="V8670" t="s">
        <v>59931</v>
      </c>
      <c r="W8670" t="s">
        <v>41209</v>
      </c>
      <c r="X8670" t="s">
        <v>44914</v>
      </c>
    </row>
    <row r="8671" spans="1:24">
      <c r="A8671">
        <f>HYPERLINK("https://www.philgeps.gov.ph/GEPSNONPILOT/Tender/SplashBidNoticeAbstractUI.aspx?menuIndex=3&amp;refID=7070792&amp;Result=3","7070792")</f>
        <v>0</v>
      </c>
      <c r="B8671" t="s">
        <v>2522</v>
      </c>
      <c r="C8671" t="s">
        <v>11790</v>
      </c>
      <c r="D8671" t="s">
        <v>18123</v>
      </c>
      <c r="E8671" t="s">
        <v>25784</v>
      </c>
      <c r="F8671" t="s">
        <v>31362</v>
      </c>
      <c r="G8671" t="s">
        <v>31369</v>
      </c>
      <c r="H8671" t="s">
        <v>15799</v>
      </c>
      <c r="I8671" t="s">
        <v>7090</v>
      </c>
      <c r="J8671" t="s">
        <v>36822</v>
      </c>
      <c r="K8671" t="s">
        <v>40670</v>
      </c>
      <c r="M8671" t="s">
        <v>43691</v>
      </c>
      <c r="N8671" t="s">
        <v>44905</v>
      </c>
      <c r="O8671" t="s">
        <v>44906</v>
      </c>
      <c r="P8671">
        <v>0</v>
      </c>
      <c r="Q8671">
        <v>0</v>
      </c>
      <c r="R8671" t="s">
        <v>44911</v>
      </c>
      <c r="S8671" t="s">
        <v>45139</v>
      </c>
      <c r="T8671" t="s">
        <v>46498</v>
      </c>
      <c r="U8671" t="s">
        <v>53882</v>
      </c>
      <c r="W8671" t="s">
        <v>43691</v>
      </c>
      <c r="X8671" t="s">
        <v>44914</v>
      </c>
    </row>
    <row r="8672" spans="1:24">
      <c r="A8672">
        <f>HYPERLINK("https://www.philgeps.gov.ph/GEPSNONPILOT/Tender/SplashBidNoticeAbstractUI.aspx?menuIndex=3&amp;refID=7070888&amp;Result=3","7070888")</f>
        <v>0</v>
      </c>
      <c r="B8672" t="s">
        <v>2493</v>
      </c>
      <c r="C8672" t="s">
        <v>11791</v>
      </c>
      <c r="D8672" t="s">
        <v>18148</v>
      </c>
      <c r="E8672" t="s">
        <v>25785</v>
      </c>
      <c r="F8672" t="s">
        <v>31362</v>
      </c>
      <c r="G8672" t="s">
        <v>31369</v>
      </c>
      <c r="H8672" t="s">
        <v>15799</v>
      </c>
      <c r="I8672" t="s">
        <v>31397</v>
      </c>
      <c r="J8672" t="s">
        <v>33736</v>
      </c>
      <c r="K8672" t="s">
        <v>40682</v>
      </c>
      <c r="M8672" t="s">
        <v>43659</v>
      </c>
      <c r="N8672" t="s">
        <v>44905</v>
      </c>
      <c r="O8672" t="s">
        <v>44906</v>
      </c>
      <c r="P8672">
        <v>0</v>
      </c>
      <c r="Q8672">
        <v>0</v>
      </c>
      <c r="R8672" t="s">
        <v>44911</v>
      </c>
      <c r="S8672" t="s">
        <v>45139</v>
      </c>
      <c r="T8672" t="s">
        <v>46443</v>
      </c>
      <c r="U8672" t="s">
        <v>53883</v>
      </c>
      <c r="W8672" t="s">
        <v>43659</v>
      </c>
      <c r="X8672" t="s">
        <v>44914</v>
      </c>
    </row>
    <row r="8673" spans="1:24">
      <c r="A8673">
        <f>HYPERLINK("https://www.philgeps.gov.ph/GEPSNONPILOT/Tender/SplashBidNoticeAbstractUI.aspx?menuIndex=3&amp;refID=7071101&amp;Result=3","7071101")</f>
        <v>0</v>
      </c>
      <c r="B8673" t="s">
        <v>658</v>
      </c>
      <c r="C8673" t="s">
        <v>11792</v>
      </c>
      <c r="D8673" t="s">
        <v>18108</v>
      </c>
      <c r="E8673" t="s">
        <v>25786</v>
      </c>
      <c r="F8673" t="s">
        <v>31362</v>
      </c>
      <c r="G8673" t="s">
        <v>31368</v>
      </c>
      <c r="H8673" t="s">
        <v>15799</v>
      </c>
      <c r="I8673" t="s">
        <v>3815</v>
      </c>
      <c r="J8673" t="s">
        <v>36823</v>
      </c>
      <c r="K8673" t="s">
        <v>40662</v>
      </c>
      <c r="M8673" t="s">
        <v>41912</v>
      </c>
      <c r="N8673" t="s">
        <v>44905</v>
      </c>
      <c r="O8673" t="s">
        <v>44906</v>
      </c>
      <c r="P8673">
        <v>0</v>
      </c>
      <c r="Q8673">
        <v>0</v>
      </c>
      <c r="R8673" t="s">
        <v>44911</v>
      </c>
      <c r="S8673" t="s">
        <v>45139</v>
      </c>
      <c r="T8673" t="s">
        <v>46432</v>
      </c>
      <c r="U8673" t="s">
        <v>53884</v>
      </c>
      <c r="W8673" t="s">
        <v>41912</v>
      </c>
      <c r="X8673" t="s">
        <v>44914</v>
      </c>
    </row>
    <row r="8674" spans="1:24">
      <c r="A8674">
        <f>HYPERLINK("https://www.philgeps.gov.ph/GEPSNONPILOT/Tender/SplashBidNoticeAbstractUI.aspx?menuIndex=3&amp;refID=7070555&amp;Result=3","7070555")</f>
        <v>0</v>
      </c>
      <c r="B8674" t="s">
        <v>2523</v>
      </c>
      <c r="C8674" t="s">
        <v>11793</v>
      </c>
      <c r="D8674" t="s">
        <v>18133</v>
      </c>
      <c r="E8674" t="s">
        <v>25787</v>
      </c>
      <c r="F8674" t="s">
        <v>31362</v>
      </c>
      <c r="G8674" t="s">
        <v>31369</v>
      </c>
      <c r="H8674" t="s">
        <v>31378</v>
      </c>
      <c r="I8674" t="s">
        <v>31386</v>
      </c>
      <c r="J8674" t="s">
        <v>36824</v>
      </c>
      <c r="K8674" t="s">
        <v>40795</v>
      </c>
      <c r="M8674" t="s">
        <v>43692</v>
      </c>
      <c r="N8674" t="s">
        <v>44905</v>
      </c>
      <c r="O8674" t="s">
        <v>44906</v>
      </c>
      <c r="P8674">
        <v>0</v>
      </c>
      <c r="Q8674">
        <v>0</v>
      </c>
      <c r="R8674" t="s">
        <v>44911</v>
      </c>
      <c r="S8674" t="s">
        <v>45139</v>
      </c>
      <c r="T8674" t="s">
        <v>46744</v>
      </c>
      <c r="U8674" t="s">
        <v>53885</v>
      </c>
      <c r="W8674" t="s">
        <v>43692</v>
      </c>
      <c r="X8674" t="s">
        <v>44914</v>
      </c>
    </row>
    <row r="8675" spans="1:24">
      <c r="A8675">
        <f>HYPERLINK("https://www.philgeps.gov.ph/GEPSNONPILOT/Tender/SplashBidNoticeAbstractUI.aspx?menuIndex=3&amp;refID=7071095&amp;Result=3","7071095")</f>
        <v>0</v>
      </c>
      <c r="B8675" t="s">
        <v>658</v>
      </c>
      <c r="C8675" t="s">
        <v>11794</v>
      </c>
      <c r="D8675" t="s">
        <v>18108</v>
      </c>
      <c r="E8675" t="s">
        <v>25788</v>
      </c>
      <c r="F8675" t="s">
        <v>31362</v>
      </c>
      <c r="G8675" t="s">
        <v>31368</v>
      </c>
      <c r="H8675" t="s">
        <v>15799</v>
      </c>
      <c r="I8675" t="s">
        <v>31406</v>
      </c>
      <c r="J8675" t="s">
        <v>32589</v>
      </c>
      <c r="K8675" t="s">
        <v>40662</v>
      </c>
      <c r="M8675" t="s">
        <v>41912</v>
      </c>
      <c r="N8675" t="s">
        <v>44905</v>
      </c>
      <c r="O8675" t="s">
        <v>44906</v>
      </c>
      <c r="P8675">
        <v>0</v>
      </c>
      <c r="Q8675">
        <v>2</v>
      </c>
      <c r="R8675" t="s">
        <v>44911</v>
      </c>
      <c r="S8675" t="s">
        <v>45139</v>
      </c>
      <c r="T8675" t="s">
        <v>46432</v>
      </c>
      <c r="U8675" t="s">
        <v>53886</v>
      </c>
      <c r="W8675" t="s">
        <v>41912</v>
      </c>
      <c r="X8675" t="s">
        <v>44914</v>
      </c>
    </row>
    <row r="8676" spans="1:24">
      <c r="A8676">
        <f>HYPERLINK("https://www.philgeps.gov.ph/GEPSNONPILOT/Tender/SplashBidNoticeAbstractUI.aspx?menuIndex=3&amp;refID=7071085&amp;Result=3","7071085")</f>
        <v>0</v>
      </c>
      <c r="B8676" t="s">
        <v>2524</v>
      </c>
      <c r="C8676" t="s">
        <v>11795</v>
      </c>
      <c r="D8676" t="s">
        <v>18108</v>
      </c>
      <c r="E8676" t="s">
        <v>25789</v>
      </c>
      <c r="F8676" t="s">
        <v>31362</v>
      </c>
      <c r="G8676" t="s">
        <v>31369</v>
      </c>
      <c r="H8676" t="s">
        <v>15799</v>
      </c>
      <c r="I8676" t="s">
        <v>6373</v>
      </c>
      <c r="J8676" t="s">
        <v>36825</v>
      </c>
      <c r="K8676" t="s">
        <v>40662</v>
      </c>
      <c r="M8676" t="s">
        <v>43693</v>
      </c>
      <c r="N8676" t="s">
        <v>44905</v>
      </c>
      <c r="O8676" t="s">
        <v>44906</v>
      </c>
      <c r="P8676">
        <v>0</v>
      </c>
      <c r="Q8676">
        <v>9</v>
      </c>
      <c r="R8676" t="s">
        <v>44911</v>
      </c>
      <c r="S8676" t="s">
        <v>45139</v>
      </c>
      <c r="T8676" t="s">
        <v>46433</v>
      </c>
      <c r="U8676" t="s">
        <v>53887</v>
      </c>
      <c r="V8676" t="s">
        <v>59932</v>
      </c>
      <c r="W8676" t="s">
        <v>43693</v>
      </c>
      <c r="X8676" t="s">
        <v>44914</v>
      </c>
    </row>
    <row r="8677" spans="1:24">
      <c r="A8677">
        <f>HYPERLINK("https://www.philgeps.gov.ph/GEPSNONPILOT/Tender/SplashBidNoticeAbstractUI.aspx?menuIndex=3&amp;refID=7071070&amp;Result=3","7071070")</f>
        <v>0</v>
      </c>
      <c r="B8677" t="s">
        <v>1676</v>
      </c>
      <c r="C8677" t="s">
        <v>11796</v>
      </c>
      <c r="D8677" t="s">
        <v>18139</v>
      </c>
      <c r="E8677" t="s">
        <v>25790</v>
      </c>
      <c r="F8677" t="s">
        <v>31362</v>
      </c>
      <c r="G8677" t="s">
        <v>31376</v>
      </c>
      <c r="H8677" t="s">
        <v>31377</v>
      </c>
      <c r="I8677" t="s">
        <v>31377</v>
      </c>
      <c r="J8677" t="s">
        <v>35413</v>
      </c>
      <c r="K8677" t="s">
        <v>40694</v>
      </c>
      <c r="M8677" t="s">
        <v>42741</v>
      </c>
      <c r="N8677" t="s">
        <v>44905</v>
      </c>
      <c r="O8677" t="s">
        <v>44906</v>
      </c>
      <c r="P8677">
        <v>0</v>
      </c>
      <c r="Q8677">
        <v>5</v>
      </c>
      <c r="R8677" t="s">
        <v>44911</v>
      </c>
      <c r="S8677" t="s">
        <v>45139</v>
      </c>
      <c r="T8677" t="s">
        <v>46433</v>
      </c>
      <c r="U8677" t="s">
        <v>53888</v>
      </c>
      <c r="V8677" t="s">
        <v>59933</v>
      </c>
      <c r="W8677" t="s">
        <v>60921</v>
      </c>
      <c r="X8677" t="s">
        <v>44914</v>
      </c>
    </row>
    <row r="8678" spans="1:24">
      <c r="A8678">
        <f>HYPERLINK("https://www.philgeps.gov.ph/GEPSNONPILOT/Tender/SplashBidNoticeAbstractUI.aspx?menuIndex=3&amp;refID=7071035&amp;Result=3","7071035")</f>
        <v>0</v>
      </c>
      <c r="B8678" t="s">
        <v>2509</v>
      </c>
      <c r="C8678" t="s">
        <v>11797</v>
      </c>
      <c r="D8678" t="s">
        <v>18136</v>
      </c>
      <c r="E8678" t="s">
        <v>25791</v>
      </c>
      <c r="F8678" t="s">
        <v>31362</v>
      </c>
      <c r="G8678" t="s">
        <v>31369</v>
      </c>
      <c r="H8678" t="s">
        <v>31378</v>
      </c>
      <c r="I8678" t="s">
        <v>31386</v>
      </c>
      <c r="J8678" t="s">
        <v>31606</v>
      </c>
      <c r="K8678" t="s">
        <v>40776</v>
      </c>
      <c r="M8678" t="s">
        <v>43678</v>
      </c>
      <c r="N8678" t="s">
        <v>44905</v>
      </c>
      <c r="O8678" t="s">
        <v>44906</v>
      </c>
      <c r="P8678">
        <v>0</v>
      </c>
      <c r="Q8678">
        <v>0</v>
      </c>
      <c r="R8678" t="s">
        <v>44911</v>
      </c>
      <c r="S8678" t="s">
        <v>45139</v>
      </c>
      <c r="T8678" t="s">
        <v>46464</v>
      </c>
      <c r="U8678" t="s">
        <v>53889</v>
      </c>
      <c r="V8678" t="s">
        <v>59917</v>
      </c>
      <c r="W8678" t="s">
        <v>43678</v>
      </c>
      <c r="X8678" t="s">
        <v>44914</v>
      </c>
    </row>
    <row r="8679" spans="1:24">
      <c r="A8679">
        <f>HYPERLINK("https://www.philgeps.gov.ph/GEPSNONPILOT/Tender/SplashBidNoticeAbstractUI.aspx?menuIndex=3&amp;refID=7070805&amp;Result=3","7070805")</f>
        <v>0</v>
      </c>
      <c r="B8679" t="s">
        <v>2493</v>
      </c>
      <c r="C8679" t="s">
        <v>11798</v>
      </c>
      <c r="D8679" t="s">
        <v>18148</v>
      </c>
      <c r="E8679" t="s">
        <v>25792</v>
      </c>
      <c r="F8679" t="s">
        <v>31362</v>
      </c>
      <c r="G8679" t="s">
        <v>31369</v>
      </c>
      <c r="H8679" t="s">
        <v>15799</v>
      </c>
      <c r="I8679" t="s">
        <v>31433</v>
      </c>
      <c r="J8679" t="s">
        <v>31578</v>
      </c>
      <c r="K8679" t="s">
        <v>40682</v>
      </c>
      <c r="M8679" t="s">
        <v>43659</v>
      </c>
      <c r="N8679" t="s">
        <v>44905</v>
      </c>
      <c r="O8679" t="s">
        <v>44906</v>
      </c>
      <c r="P8679">
        <v>0</v>
      </c>
      <c r="Q8679">
        <v>1</v>
      </c>
      <c r="R8679" t="s">
        <v>44911</v>
      </c>
      <c r="S8679" t="s">
        <v>45139</v>
      </c>
      <c r="T8679" t="s">
        <v>46443</v>
      </c>
      <c r="U8679" t="s">
        <v>53890</v>
      </c>
      <c r="W8679" t="s">
        <v>43659</v>
      </c>
      <c r="X8679" t="s">
        <v>44914</v>
      </c>
    </row>
    <row r="8680" spans="1:24">
      <c r="A8680">
        <f>HYPERLINK("https://www.philgeps.gov.ph/GEPSNONPILOT/Tender/SplashBidNoticeAbstractUI.aspx?menuIndex=3&amp;refID=7071023&amp;Result=3","7071023")</f>
        <v>0</v>
      </c>
      <c r="B8680" t="s">
        <v>2199</v>
      </c>
      <c r="C8680" t="s">
        <v>11799</v>
      </c>
      <c r="D8680" t="s">
        <v>18123</v>
      </c>
      <c r="E8680" t="s">
        <v>25793</v>
      </c>
      <c r="F8680" t="s">
        <v>31362</v>
      </c>
      <c r="G8680" t="s">
        <v>31368</v>
      </c>
      <c r="H8680" t="s">
        <v>15799</v>
      </c>
      <c r="I8680" t="s">
        <v>31466</v>
      </c>
      <c r="J8680" t="s">
        <v>36826</v>
      </c>
      <c r="K8680" t="s">
        <v>40662</v>
      </c>
      <c r="M8680" t="s">
        <v>43330</v>
      </c>
      <c r="N8680" t="s">
        <v>44905</v>
      </c>
      <c r="O8680" t="s">
        <v>44906</v>
      </c>
      <c r="P8680">
        <v>0</v>
      </c>
      <c r="Q8680">
        <v>3</v>
      </c>
      <c r="R8680" t="s">
        <v>44911</v>
      </c>
      <c r="S8680" t="s">
        <v>45139</v>
      </c>
      <c r="T8680" t="s">
        <v>46416</v>
      </c>
      <c r="U8680" t="s">
        <v>52797</v>
      </c>
      <c r="W8680" t="s">
        <v>43330</v>
      </c>
      <c r="X8680" t="s">
        <v>44914</v>
      </c>
    </row>
    <row r="8681" spans="1:24">
      <c r="A8681">
        <f>HYPERLINK("https://www.philgeps.gov.ph/GEPSNONPILOT/Tender/SplashBidNoticeAbstractUI.aspx?menuIndex=3&amp;refID=7070980&amp;Result=3","7070980")</f>
        <v>0</v>
      </c>
      <c r="B8681" t="s">
        <v>2509</v>
      </c>
      <c r="C8681" t="s">
        <v>11800</v>
      </c>
      <c r="D8681" t="s">
        <v>18136</v>
      </c>
      <c r="E8681" t="s">
        <v>25794</v>
      </c>
      <c r="F8681" t="s">
        <v>31362</v>
      </c>
      <c r="G8681" t="s">
        <v>31369</v>
      </c>
      <c r="H8681" t="s">
        <v>31378</v>
      </c>
      <c r="I8681" t="s">
        <v>31386</v>
      </c>
      <c r="J8681" t="s">
        <v>31606</v>
      </c>
      <c r="K8681" t="s">
        <v>40776</v>
      </c>
      <c r="M8681" t="s">
        <v>43678</v>
      </c>
      <c r="N8681" t="s">
        <v>44905</v>
      </c>
      <c r="O8681" t="s">
        <v>44906</v>
      </c>
      <c r="P8681">
        <v>0</v>
      </c>
      <c r="Q8681">
        <v>2</v>
      </c>
      <c r="R8681" t="s">
        <v>44911</v>
      </c>
      <c r="S8681" t="s">
        <v>45139</v>
      </c>
      <c r="T8681" t="s">
        <v>46464</v>
      </c>
      <c r="U8681" t="s">
        <v>53891</v>
      </c>
      <c r="V8681" t="s">
        <v>59917</v>
      </c>
      <c r="W8681" t="s">
        <v>43678</v>
      </c>
      <c r="X8681" t="s">
        <v>44914</v>
      </c>
    </row>
    <row r="8682" spans="1:24">
      <c r="A8682">
        <f>HYPERLINK("https://www.philgeps.gov.ph/GEPSNONPILOT/Tender/SplashBidNoticeAbstractUI.aspx?menuIndex=3&amp;refID=7071108&amp;Result=3","7071108")</f>
        <v>0</v>
      </c>
      <c r="B8682" t="s">
        <v>658</v>
      </c>
      <c r="C8682" t="s">
        <v>11801</v>
      </c>
      <c r="D8682" t="s">
        <v>18108</v>
      </c>
      <c r="E8682" t="s">
        <v>24395</v>
      </c>
      <c r="F8682" t="s">
        <v>31362</v>
      </c>
      <c r="G8682" t="s">
        <v>31368</v>
      </c>
      <c r="H8682" t="s">
        <v>15799</v>
      </c>
      <c r="I8682" t="s">
        <v>7090</v>
      </c>
      <c r="J8682" t="s">
        <v>36827</v>
      </c>
      <c r="K8682" t="s">
        <v>40662</v>
      </c>
      <c r="M8682" t="s">
        <v>41912</v>
      </c>
      <c r="N8682" t="s">
        <v>44905</v>
      </c>
      <c r="O8682" t="s">
        <v>44906</v>
      </c>
      <c r="P8682">
        <v>0</v>
      </c>
      <c r="Q8682">
        <v>0</v>
      </c>
      <c r="R8682" t="s">
        <v>44911</v>
      </c>
      <c r="S8682" t="s">
        <v>45139</v>
      </c>
      <c r="T8682" t="s">
        <v>46432</v>
      </c>
      <c r="U8682" t="s">
        <v>53892</v>
      </c>
      <c r="W8682" t="s">
        <v>41912</v>
      </c>
      <c r="X8682" t="s">
        <v>44914</v>
      </c>
    </row>
    <row r="8683" spans="1:24">
      <c r="A8683">
        <f>HYPERLINK("https://www.philgeps.gov.ph/GEPSNONPILOT/Tender/SplashBidNoticeAbstractUI.aspx?menuIndex=3&amp;refID=7070955&amp;Result=3","7070955")</f>
        <v>0</v>
      </c>
      <c r="B8683" t="s">
        <v>2525</v>
      </c>
      <c r="C8683" t="s">
        <v>11802</v>
      </c>
      <c r="D8683" t="s">
        <v>18112</v>
      </c>
      <c r="E8683" t="s">
        <v>21820</v>
      </c>
      <c r="F8683" t="s">
        <v>31362</v>
      </c>
      <c r="G8683" t="s">
        <v>31369</v>
      </c>
      <c r="H8683" t="s">
        <v>15799</v>
      </c>
      <c r="I8683" t="s">
        <v>3815</v>
      </c>
      <c r="J8683" t="s">
        <v>36828</v>
      </c>
      <c r="K8683" t="s">
        <v>40665</v>
      </c>
      <c r="M8683" t="s">
        <v>43694</v>
      </c>
      <c r="N8683" t="s">
        <v>44905</v>
      </c>
      <c r="O8683" t="s">
        <v>44906</v>
      </c>
      <c r="P8683">
        <v>0</v>
      </c>
      <c r="Q8683">
        <v>2</v>
      </c>
      <c r="R8683" t="s">
        <v>44911</v>
      </c>
      <c r="S8683" t="s">
        <v>45139</v>
      </c>
      <c r="T8683" t="s">
        <v>46499</v>
      </c>
      <c r="U8683" t="s">
        <v>53893</v>
      </c>
      <c r="W8683" t="s">
        <v>43694</v>
      </c>
      <c r="X8683" t="s">
        <v>44914</v>
      </c>
    </row>
    <row r="8684" spans="1:24">
      <c r="A8684">
        <f>HYPERLINK("https://www.philgeps.gov.ph/GEPSNONPILOT/Tender/SplashBidNoticeAbstractUI.aspx?menuIndex=3&amp;refID=7071116&amp;Result=3","7071116")</f>
        <v>0</v>
      </c>
      <c r="B8684" t="s">
        <v>2526</v>
      </c>
      <c r="C8684" t="s">
        <v>11803</v>
      </c>
      <c r="E8684" t="s">
        <v>19313</v>
      </c>
      <c r="F8684" t="s">
        <v>31362</v>
      </c>
      <c r="G8684" t="s">
        <v>31369</v>
      </c>
      <c r="H8684" t="s">
        <v>15799</v>
      </c>
      <c r="I8684" t="s">
        <v>3815</v>
      </c>
      <c r="J8684" t="s">
        <v>36829</v>
      </c>
      <c r="K8684" t="s">
        <v>40662</v>
      </c>
      <c r="M8684" t="s">
        <v>43695</v>
      </c>
      <c r="N8684" t="s">
        <v>44905</v>
      </c>
      <c r="O8684" t="s">
        <v>44906</v>
      </c>
      <c r="P8684">
        <v>0</v>
      </c>
      <c r="Q8684">
        <v>0</v>
      </c>
      <c r="R8684" t="s">
        <v>44911</v>
      </c>
      <c r="S8684" t="s">
        <v>45139</v>
      </c>
      <c r="T8684" t="s">
        <v>46786</v>
      </c>
      <c r="U8684" t="s">
        <v>53894</v>
      </c>
      <c r="W8684" t="s">
        <v>43695</v>
      </c>
      <c r="X8684" t="s">
        <v>44914</v>
      </c>
    </row>
    <row r="8685" spans="1:24">
      <c r="A8685">
        <f>HYPERLINK("https://www.philgeps.gov.ph/GEPSNONPILOT/Tender/SplashBidNoticeAbstractUI.aspx?menuIndex=3&amp;refID=7070985&amp;Result=3","7070985")</f>
        <v>0</v>
      </c>
      <c r="B8685" t="s">
        <v>1579</v>
      </c>
      <c r="C8685" t="s">
        <v>11804</v>
      </c>
      <c r="D8685" t="s">
        <v>18117</v>
      </c>
      <c r="E8685" t="s">
        <v>25795</v>
      </c>
      <c r="F8685" t="s">
        <v>31362</v>
      </c>
      <c r="G8685" t="s">
        <v>31368</v>
      </c>
      <c r="H8685" t="s">
        <v>15799</v>
      </c>
      <c r="I8685" t="s">
        <v>7090</v>
      </c>
      <c r="J8685" t="s">
        <v>31545</v>
      </c>
      <c r="K8685" t="s">
        <v>40666</v>
      </c>
      <c r="M8685" t="s">
        <v>42633</v>
      </c>
      <c r="N8685" t="s">
        <v>44905</v>
      </c>
      <c r="O8685" t="s">
        <v>44906</v>
      </c>
      <c r="P8685">
        <v>0</v>
      </c>
      <c r="Q8685">
        <v>3</v>
      </c>
      <c r="R8685" t="s">
        <v>44911</v>
      </c>
      <c r="S8685" t="s">
        <v>45139</v>
      </c>
      <c r="T8685" t="s">
        <v>46394</v>
      </c>
      <c r="U8685" t="s">
        <v>53895</v>
      </c>
      <c r="W8685" t="s">
        <v>42633</v>
      </c>
      <c r="X8685" t="s">
        <v>44914</v>
      </c>
    </row>
    <row r="8686" spans="1:24">
      <c r="A8686">
        <f>HYPERLINK("https://www.philgeps.gov.ph/GEPSNONPILOT/Tender/SplashBidNoticeAbstractUI.aspx?menuIndex=3&amp;refID=7070856&amp;Result=3","7070856")</f>
        <v>0</v>
      </c>
      <c r="B8686" t="s">
        <v>2493</v>
      </c>
      <c r="C8686" t="s">
        <v>11805</v>
      </c>
      <c r="D8686" t="s">
        <v>18148</v>
      </c>
      <c r="E8686" t="s">
        <v>25796</v>
      </c>
      <c r="F8686" t="s">
        <v>31362</v>
      </c>
      <c r="G8686" t="s">
        <v>31369</v>
      </c>
      <c r="H8686" t="s">
        <v>15799</v>
      </c>
      <c r="I8686" t="s">
        <v>31414</v>
      </c>
      <c r="J8686" t="s">
        <v>36830</v>
      </c>
      <c r="K8686" t="s">
        <v>40682</v>
      </c>
      <c r="M8686" t="s">
        <v>43659</v>
      </c>
      <c r="N8686" t="s">
        <v>44905</v>
      </c>
      <c r="O8686" t="s">
        <v>44906</v>
      </c>
      <c r="P8686">
        <v>0</v>
      </c>
      <c r="Q8686">
        <v>2</v>
      </c>
      <c r="R8686" t="s">
        <v>44911</v>
      </c>
      <c r="S8686" t="s">
        <v>45139</v>
      </c>
      <c r="T8686" t="s">
        <v>46443</v>
      </c>
      <c r="U8686" t="s">
        <v>53896</v>
      </c>
      <c r="W8686" t="s">
        <v>43659</v>
      </c>
      <c r="X8686" t="s">
        <v>44914</v>
      </c>
    </row>
    <row r="8687" spans="1:24">
      <c r="A8687">
        <f>HYPERLINK("https://www.philgeps.gov.ph/GEPSNONPILOT/Tender/SplashBidNoticeAbstractUI.aspx?menuIndex=3&amp;refID=7071356&amp;Result=3","7071356")</f>
        <v>0</v>
      </c>
      <c r="B8687" t="s">
        <v>2527</v>
      </c>
      <c r="C8687" t="s">
        <v>11806</v>
      </c>
      <c r="D8687" t="s">
        <v>18162</v>
      </c>
      <c r="E8687" t="s">
        <v>25797</v>
      </c>
      <c r="F8687" t="s">
        <v>31362</v>
      </c>
      <c r="G8687" t="s">
        <v>31370</v>
      </c>
      <c r="H8687" t="s">
        <v>15799</v>
      </c>
      <c r="I8687" t="s">
        <v>31427</v>
      </c>
      <c r="J8687" t="s">
        <v>33814</v>
      </c>
      <c r="K8687" t="s">
        <v>40665</v>
      </c>
      <c r="M8687" t="s">
        <v>43696</v>
      </c>
      <c r="N8687" t="s">
        <v>44905</v>
      </c>
      <c r="O8687" t="s">
        <v>44906</v>
      </c>
      <c r="P8687">
        <v>0</v>
      </c>
      <c r="Q8687">
        <v>8</v>
      </c>
      <c r="R8687" t="s">
        <v>44911</v>
      </c>
      <c r="S8687" t="s">
        <v>45139</v>
      </c>
      <c r="T8687" t="s">
        <v>46394</v>
      </c>
      <c r="U8687" t="s">
        <v>53897</v>
      </c>
      <c r="W8687" t="s">
        <v>43696</v>
      </c>
      <c r="X8687" t="s">
        <v>44914</v>
      </c>
    </row>
    <row r="8688" spans="1:24">
      <c r="A8688">
        <f>HYPERLINK("https://www.philgeps.gov.ph/GEPSNONPILOT/Tender/SplashBidNoticeAbstractUI.aspx?menuIndex=3&amp;refID=7071350&amp;Result=3","7071350")</f>
        <v>0</v>
      </c>
      <c r="B8688" t="s">
        <v>2509</v>
      </c>
      <c r="C8688" t="s">
        <v>11778</v>
      </c>
      <c r="D8688" t="s">
        <v>18136</v>
      </c>
      <c r="E8688" t="s">
        <v>25798</v>
      </c>
      <c r="F8688" t="s">
        <v>31362</v>
      </c>
      <c r="G8688" t="s">
        <v>31369</v>
      </c>
      <c r="H8688" t="s">
        <v>15799</v>
      </c>
      <c r="I8688" t="s">
        <v>3815</v>
      </c>
      <c r="J8688" t="s">
        <v>36831</v>
      </c>
      <c r="K8688" t="s">
        <v>40731</v>
      </c>
      <c r="M8688" t="s">
        <v>43678</v>
      </c>
      <c r="N8688" t="s">
        <v>44905</v>
      </c>
      <c r="O8688" t="s">
        <v>44906</v>
      </c>
      <c r="P8688">
        <v>0</v>
      </c>
      <c r="Q8688">
        <v>1</v>
      </c>
      <c r="R8688" t="s">
        <v>44911</v>
      </c>
      <c r="S8688" t="s">
        <v>45139</v>
      </c>
      <c r="T8688" t="s">
        <v>46432</v>
      </c>
      <c r="U8688" t="s">
        <v>53898</v>
      </c>
      <c r="V8688" t="s">
        <v>59917</v>
      </c>
      <c r="W8688" t="s">
        <v>43678</v>
      </c>
      <c r="X8688" t="s">
        <v>44914</v>
      </c>
    </row>
    <row r="8689" spans="1:24">
      <c r="A8689">
        <f>HYPERLINK("https://www.philgeps.gov.ph/GEPSNONPILOT/Tender/SplashBidNoticeAbstractUI.aspx?menuIndex=3&amp;refID=7071327&amp;Result=3","7071327")</f>
        <v>0</v>
      </c>
      <c r="B8689" t="s">
        <v>2528</v>
      </c>
      <c r="C8689" t="s">
        <v>11807</v>
      </c>
      <c r="D8689" t="s">
        <v>18116</v>
      </c>
      <c r="E8689" t="s">
        <v>18440</v>
      </c>
      <c r="F8689" t="s">
        <v>31362</v>
      </c>
      <c r="G8689" t="s">
        <v>31369</v>
      </c>
      <c r="H8689" t="s">
        <v>15799</v>
      </c>
      <c r="I8689" t="s">
        <v>31392</v>
      </c>
      <c r="J8689" t="s">
        <v>31578</v>
      </c>
      <c r="K8689" t="s">
        <v>40665</v>
      </c>
      <c r="M8689" t="s">
        <v>43697</v>
      </c>
      <c r="N8689" t="s">
        <v>44905</v>
      </c>
      <c r="O8689" t="s">
        <v>44906</v>
      </c>
      <c r="P8689">
        <v>0</v>
      </c>
      <c r="Q8689">
        <v>1</v>
      </c>
      <c r="R8689" t="s">
        <v>44911</v>
      </c>
      <c r="S8689" t="s">
        <v>45139</v>
      </c>
      <c r="T8689" t="s">
        <v>46414</v>
      </c>
      <c r="U8689" t="s">
        <v>53899</v>
      </c>
      <c r="W8689" t="s">
        <v>43697</v>
      </c>
      <c r="X8689" t="s">
        <v>44914</v>
      </c>
    </row>
    <row r="8690" spans="1:24">
      <c r="A8690">
        <f>HYPERLINK("https://www.philgeps.gov.ph/GEPSNONPILOT/Tender/SplashBidNoticeAbstractUI.aspx?menuIndex=3&amp;refID=7071325&amp;Result=3","7071325")</f>
        <v>0</v>
      </c>
      <c r="B8690" t="s">
        <v>506</v>
      </c>
      <c r="C8690" t="s">
        <v>11808</v>
      </c>
      <c r="D8690" t="s">
        <v>18110</v>
      </c>
      <c r="E8690" t="s">
        <v>25799</v>
      </c>
      <c r="F8690" t="s">
        <v>31362</v>
      </c>
      <c r="G8690" t="s">
        <v>31369</v>
      </c>
      <c r="H8690" t="s">
        <v>15799</v>
      </c>
      <c r="I8690" t="s">
        <v>31437</v>
      </c>
      <c r="J8690" t="s">
        <v>31919</v>
      </c>
      <c r="K8690" t="s">
        <v>40697</v>
      </c>
      <c r="M8690" t="s">
        <v>41461</v>
      </c>
      <c r="N8690" t="s">
        <v>44905</v>
      </c>
      <c r="O8690" t="s">
        <v>44906</v>
      </c>
      <c r="P8690">
        <v>0</v>
      </c>
      <c r="Q8690">
        <v>1</v>
      </c>
      <c r="R8690" t="s">
        <v>44911</v>
      </c>
      <c r="S8690" t="s">
        <v>45139</v>
      </c>
      <c r="T8690" t="s">
        <v>46447</v>
      </c>
      <c r="U8690" t="s">
        <v>47899</v>
      </c>
      <c r="W8690" t="s">
        <v>41461</v>
      </c>
      <c r="X8690" t="s">
        <v>44914</v>
      </c>
    </row>
    <row r="8691" spans="1:24">
      <c r="A8691">
        <f>HYPERLINK("https://www.philgeps.gov.ph/GEPSNONPILOT/Tender/SplashBidNoticeAbstractUI.aspx?menuIndex=3&amp;refID=7070951&amp;Result=3","7070951")</f>
        <v>0</v>
      </c>
      <c r="B8691" t="s">
        <v>2493</v>
      </c>
      <c r="C8691" t="s">
        <v>11809</v>
      </c>
      <c r="D8691" t="s">
        <v>18148</v>
      </c>
      <c r="E8691" t="s">
        <v>25800</v>
      </c>
      <c r="F8691" t="s">
        <v>31362</v>
      </c>
      <c r="G8691" t="s">
        <v>31369</v>
      </c>
      <c r="H8691" t="s">
        <v>15799</v>
      </c>
      <c r="I8691" t="s">
        <v>3815</v>
      </c>
      <c r="J8691" t="s">
        <v>36832</v>
      </c>
      <c r="K8691" t="s">
        <v>40682</v>
      </c>
      <c r="M8691" t="s">
        <v>43659</v>
      </c>
      <c r="N8691" t="s">
        <v>44905</v>
      </c>
      <c r="O8691" t="s">
        <v>44906</v>
      </c>
      <c r="P8691">
        <v>0</v>
      </c>
      <c r="Q8691">
        <v>1</v>
      </c>
      <c r="R8691" t="s">
        <v>44911</v>
      </c>
      <c r="S8691" t="s">
        <v>45139</v>
      </c>
      <c r="T8691" t="s">
        <v>46414</v>
      </c>
      <c r="U8691" t="s">
        <v>53799</v>
      </c>
      <c r="W8691" t="s">
        <v>43659</v>
      </c>
      <c r="X8691" t="s">
        <v>44914</v>
      </c>
    </row>
    <row r="8692" spans="1:24">
      <c r="A8692">
        <f>HYPERLINK("https://www.philgeps.gov.ph/GEPSNONPILOT/Tender/SplashBidNoticeAbstractUI.aspx?menuIndex=3&amp;refID=7071309&amp;Result=3","7071309")</f>
        <v>0</v>
      </c>
      <c r="B8692" t="s">
        <v>2529</v>
      </c>
      <c r="C8692" t="s">
        <v>9617</v>
      </c>
      <c r="D8692" t="s">
        <v>18112</v>
      </c>
      <c r="E8692" t="s">
        <v>19844</v>
      </c>
      <c r="F8692" t="s">
        <v>31362</v>
      </c>
      <c r="G8692" t="s">
        <v>31370</v>
      </c>
      <c r="H8692" t="s">
        <v>15799</v>
      </c>
      <c r="I8692" t="s">
        <v>6373</v>
      </c>
      <c r="J8692" t="s">
        <v>36833</v>
      </c>
      <c r="K8692" t="s">
        <v>40662</v>
      </c>
      <c r="M8692" t="s">
        <v>43698</v>
      </c>
      <c r="N8692" t="s">
        <v>44905</v>
      </c>
      <c r="O8692" t="s">
        <v>44906</v>
      </c>
      <c r="P8692">
        <v>0</v>
      </c>
      <c r="Q8692">
        <v>2</v>
      </c>
      <c r="R8692" t="s">
        <v>44911</v>
      </c>
      <c r="S8692" t="s">
        <v>45139</v>
      </c>
      <c r="T8692" t="s">
        <v>46434</v>
      </c>
      <c r="U8692" t="s">
        <v>53900</v>
      </c>
      <c r="W8692" t="s">
        <v>43698</v>
      </c>
      <c r="X8692" t="s">
        <v>44914</v>
      </c>
    </row>
    <row r="8693" spans="1:24">
      <c r="A8693">
        <f>HYPERLINK("https://www.philgeps.gov.ph/GEPSNONPILOT/Tender/SplashBidNoticeAbstractUI.aspx?menuIndex=3&amp;refID=7070967&amp;Result=3","7070967")</f>
        <v>0</v>
      </c>
      <c r="B8693" t="s">
        <v>1822</v>
      </c>
      <c r="C8693" t="s">
        <v>11810</v>
      </c>
      <c r="D8693" t="s">
        <v>18131</v>
      </c>
      <c r="E8693" t="s">
        <v>25801</v>
      </c>
      <c r="F8693" t="s">
        <v>31362</v>
      </c>
      <c r="G8693" t="s">
        <v>31368</v>
      </c>
      <c r="H8693" t="s">
        <v>15799</v>
      </c>
      <c r="I8693" t="s">
        <v>31414</v>
      </c>
      <c r="J8693" t="s">
        <v>31886</v>
      </c>
      <c r="K8693" t="s">
        <v>40665</v>
      </c>
      <c r="M8693" t="s">
        <v>42906</v>
      </c>
      <c r="N8693" t="s">
        <v>44905</v>
      </c>
      <c r="O8693" t="s">
        <v>44906</v>
      </c>
      <c r="P8693">
        <v>0</v>
      </c>
      <c r="Q8693">
        <v>2</v>
      </c>
      <c r="R8693" t="s">
        <v>44911</v>
      </c>
      <c r="S8693" t="s">
        <v>45139</v>
      </c>
      <c r="T8693" t="s">
        <v>46454</v>
      </c>
      <c r="U8693" t="s">
        <v>53901</v>
      </c>
      <c r="W8693" t="s">
        <v>42906</v>
      </c>
      <c r="X8693" t="s">
        <v>44914</v>
      </c>
    </row>
    <row r="8694" spans="1:24">
      <c r="A8694">
        <f>HYPERLINK("https://www.philgeps.gov.ph/GEPSNONPILOT/Tender/SplashBidNoticeAbstractUI.aspx?menuIndex=3&amp;refID=7070563&amp;Result=3","7070563")</f>
        <v>0</v>
      </c>
      <c r="B8694" t="s">
        <v>115</v>
      </c>
      <c r="C8694" t="s">
        <v>11811</v>
      </c>
      <c r="D8694" t="s">
        <v>18112</v>
      </c>
      <c r="E8694" t="s">
        <v>25802</v>
      </c>
      <c r="F8694" t="s">
        <v>31362</v>
      </c>
      <c r="G8694" t="s">
        <v>31373</v>
      </c>
      <c r="H8694" t="s">
        <v>31377</v>
      </c>
      <c r="I8694" t="s">
        <v>31377</v>
      </c>
      <c r="J8694" t="s">
        <v>36834</v>
      </c>
      <c r="K8694" t="s">
        <v>40662</v>
      </c>
      <c r="L8694" t="s">
        <v>115</v>
      </c>
      <c r="M8694" t="s">
        <v>41052</v>
      </c>
      <c r="N8694" t="s">
        <v>44905</v>
      </c>
      <c r="O8694" t="s">
        <v>44906</v>
      </c>
      <c r="P8694">
        <v>0</v>
      </c>
      <c r="Q8694">
        <v>4</v>
      </c>
      <c r="R8694" t="s">
        <v>44911</v>
      </c>
      <c r="S8694" t="s">
        <v>45139</v>
      </c>
      <c r="T8694" t="s">
        <v>46748</v>
      </c>
      <c r="U8694" t="s">
        <v>53902</v>
      </c>
      <c r="W8694" t="s">
        <v>41052</v>
      </c>
      <c r="X8694" t="s">
        <v>44914</v>
      </c>
    </row>
    <row r="8695" spans="1:24">
      <c r="A8695">
        <f>HYPERLINK("https://www.philgeps.gov.ph/GEPSNONPILOT/Tender/SplashBidNoticeAbstractUI.aspx?menuIndex=3&amp;refID=7071333&amp;Result=3","7071333")</f>
        <v>0</v>
      </c>
      <c r="B8695" t="s">
        <v>66</v>
      </c>
      <c r="C8695" t="s">
        <v>11812</v>
      </c>
      <c r="D8695" t="s">
        <v>18122</v>
      </c>
      <c r="E8695" t="s">
        <v>25803</v>
      </c>
      <c r="F8695" t="s">
        <v>31362</v>
      </c>
      <c r="G8695" t="s">
        <v>31369</v>
      </c>
      <c r="H8695" t="s">
        <v>15799</v>
      </c>
      <c r="I8695" t="s">
        <v>7090</v>
      </c>
      <c r="J8695" t="s">
        <v>36835</v>
      </c>
      <c r="K8695" t="s">
        <v>40662</v>
      </c>
      <c r="M8695" t="s">
        <v>41002</v>
      </c>
      <c r="N8695" t="s">
        <v>44905</v>
      </c>
      <c r="O8695" t="s">
        <v>44906</v>
      </c>
      <c r="P8695">
        <v>0</v>
      </c>
      <c r="Q8695">
        <v>0</v>
      </c>
      <c r="R8695" t="s">
        <v>44911</v>
      </c>
      <c r="S8695" t="s">
        <v>45139</v>
      </c>
      <c r="T8695" t="s">
        <v>46740</v>
      </c>
      <c r="U8695" t="s">
        <v>47019</v>
      </c>
      <c r="W8695" t="s">
        <v>41002</v>
      </c>
      <c r="X8695" t="s">
        <v>44914</v>
      </c>
    </row>
    <row r="8696" spans="1:24">
      <c r="A8696">
        <f>HYPERLINK("https://www.philgeps.gov.ph/GEPSNONPILOT/Tender/SplashBidNoticeAbstractUI.aspx?menuIndex=3&amp;refID=7071253&amp;Result=3","7071253")</f>
        <v>0</v>
      </c>
      <c r="B8696" t="s">
        <v>519</v>
      </c>
      <c r="C8696" t="s">
        <v>11813</v>
      </c>
      <c r="D8696" t="s">
        <v>18104</v>
      </c>
      <c r="E8696" t="s">
        <v>25804</v>
      </c>
      <c r="F8696" t="s">
        <v>31362</v>
      </c>
      <c r="G8696" t="s">
        <v>31369</v>
      </c>
      <c r="H8696" t="s">
        <v>15799</v>
      </c>
      <c r="I8696" t="s">
        <v>7719</v>
      </c>
      <c r="J8696" t="s">
        <v>36836</v>
      </c>
      <c r="K8696" t="s">
        <v>40665</v>
      </c>
      <c r="M8696" t="s">
        <v>41475</v>
      </c>
      <c r="N8696" t="s">
        <v>44905</v>
      </c>
      <c r="O8696" t="s">
        <v>44906</v>
      </c>
      <c r="Q8696">
        <v>29</v>
      </c>
      <c r="R8696" t="s">
        <v>44911</v>
      </c>
      <c r="S8696" t="s">
        <v>45143</v>
      </c>
      <c r="T8696" t="s">
        <v>46690</v>
      </c>
      <c r="U8696" t="s">
        <v>53903</v>
      </c>
      <c r="W8696" t="s">
        <v>41475</v>
      </c>
      <c r="X8696" t="s">
        <v>44914</v>
      </c>
    </row>
    <row r="8697" spans="1:24">
      <c r="A8697">
        <f>HYPERLINK("https://www.philgeps.gov.ph/GEPSNONPILOT/Tender/SplashBidNoticeAbstractUI.aspx?menuIndex=3&amp;refID=7071053&amp;Result=3","7071053")</f>
        <v>0</v>
      </c>
      <c r="B8697" t="s">
        <v>1425</v>
      </c>
      <c r="C8697" t="s">
        <v>11814</v>
      </c>
      <c r="D8697" t="s">
        <v>18100</v>
      </c>
      <c r="E8697" t="s">
        <v>25805</v>
      </c>
      <c r="F8697" t="s">
        <v>31362</v>
      </c>
      <c r="G8697" t="s">
        <v>31369</v>
      </c>
      <c r="H8697" t="s">
        <v>15799</v>
      </c>
      <c r="I8697" t="s">
        <v>31430</v>
      </c>
      <c r="J8697" t="s">
        <v>36837</v>
      </c>
      <c r="K8697" t="s">
        <v>40665</v>
      </c>
      <c r="M8697" t="s">
        <v>42452</v>
      </c>
      <c r="N8697" t="s">
        <v>44905</v>
      </c>
      <c r="O8697" t="s">
        <v>44906</v>
      </c>
      <c r="P8697">
        <v>0</v>
      </c>
      <c r="Q8697">
        <v>1</v>
      </c>
      <c r="R8697" t="s">
        <v>44911</v>
      </c>
      <c r="S8697" t="s">
        <v>45139</v>
      </c>
      <c r="T8697" t="s">
        <v>46409</v>
      </c>
      <c r="U8697" t="s">
        <v>53904</v>
      </c>
      <c r="W8697" t="s">
        <v>42452</v>
      </c>
      <c r="X8697" t="s">
        <v>44914</v>
      </c>
    </row>
    <row r="8698" spans="1:24">
      <c r="A8698">
        <f>HYPERLINK("https://www.philgeps.gov.ph/GEPSNONPILOT/Tender/SplashBidNoticeAbstractUI.aspx?menuIndex=3&amp;refID=7071246&amp;Result=3","7071246")</f>
        <v>0</v>
      </c>
      <c r="B8698" t="s">
        <v>2530</v>
      </c>
      <c r="C8698" t="s">
        <v>11815</v>
      </c>
      <c r="D8698" t="s">
        <v>18123</v>
      </c>
      <c r="E8698" t="s">
        <v>25806</v>
      </c>
      <c r="F8698" t="s">
        <v>31362</v>
      </c>
      <c r="G8698" t="s">
        <v>31368</v>
      </c>
      <c r="H8698" t="s">
        <v>15799</v>
      </c>
      <c r="I8698" t="s">
        <v>4057</v>
      </c>
      <c r="J8698" t="s">
        <v>32101</v>
      </c>
      <c r="K8698" t="s">
        <v>40666</v>
      </c>
      <c r="M8698" t="s">
        <v>43699</v>
      </c>
      <c r="N8698" t="s">
        <v>44905</v>
      </c>
      <c r="O8698" t="s">
        <v>44906</v>
      </c>
      <c r="P8698">
        <v>0</v>
      </c>
      <c r="Q8698">
        <v>0</v>
      </c>
      <c r="R8698" t="s">
        <v>44911</v>
      </c>
      <c r="S8698" t="s">
        <v>45139</v>
      </c>
      <c r="T8698" t="s">
        <v>46414</v>
      </c>
      <c r="U8698" t="s">
        <v>53905</v>
      </c>
      <c r="V8698" t="s">
        <v>59934</v>
      </c>
      <c r="W8698" t="s">
        <v>43699</v>
      </c>
      <c r="X8698" t="s">
        <v>44914</v>
      </c>
    </row>
    <row r="8699" spans="1:24">
      <c r="A8699">
        <f>HYPERLINK("https://www.philgeps.gov.ph/GEPSNONPILOT/Tender/SplashBidNoticeAbstractUI.aspx?menuIndex=3&amp;refID=7071314&amp;Result=3","7071314")</f>
        <v>0</v>
      </c>
      <c r="B8699" t="s">
        <v>2509</v>
      </c>
      <c r="C8699" t="s">
        <v>11778</v>
      </c>
      <c r="D8699" t="s">
        <v>18136</v>
      </c>
      <c r="E8699" t="s">
        <v>25807</v>
      </c>
      <c r="F8699" t="s">
        <v>31362</v>
      </c>
      <c r="G8699" t="s">
        <v>31369</v>
      </c>
      <c r="H8699" t="s">
        <v>15799</v>
      </c>
      <c r="I8699" t="s">
        <v>3815</v>
      </c>
      <c r="J8699" t="s">
        <v>36838</v>
      </c>
      <c r="K8699" t="s">
        <v>40731</v>
      </c>
      <c r="M8699" t="s">
        <v>43678</v>
      </c>
      <c r="N8699" t="s">
        <v>44905</v>
      </c>
      <c r="O8699" t="s">
        <v>44906</v>
      </c>
      <c r="P8699">
        <v>0</v>
      </c>
      <c r="Q8699">
        <v>1</v>
      </c>
      <c r="R8699" t="s">
        <v>44911</v>
      </c>
      <c r="S8699" t="s">
        <v>45139</v>
      </c>
      <c r="T8699" t="s">
        <v>46432</v>
      </c>
      <c r="U8699" t="s">
        <v>53906</v>
      </c>
      <c r="V8699" t="s">
        <v>59917</v>
      </c>
      <c r="W8699" t="s">
        <v>43678</v>
      </c>
      <c r="X8699" t="s">
        <v>44914</v>
      </c>
    </row>
    <row r="8700" spans="1:24">
      <c r="A8700">
        <f>HYPERLINK("https://www.philgeps.gov.ph/GEPSNONPILOT/Tender/SplashBidNoticeAbstractUI.aspx?menuIndex=3&amp;refID=7071203&amp;Result=3","7071203")</f>
        <v>0</v>
      </c>
      <c r="B8700" t="s">
        <v>2531</v>
      </c>
      <c r="C8700" t="s">
        <v>5130</v>
      </c>
      <c r="D8700" t="s">
        <v>18117</v>
      </c>
      <c r="E8700" t="s">
        <v>25808</v>
      </c>
      <c r="F8700" t="s">
        <v>31362</v>
      </c>
      <c r="G8700" t="s">
        <v>31369</v>
      </c>
      <c r="H8700" t="s">
        <v>15799</v>
      </c>
      <c r="I8700" t="s">
        <v>31452</v>
      </c>
      <c r="J8700" t="s">
        <v>31536</v>
      </c>
      <c r="K8700" t="s">
        <v>40661</v>
      </c>
      <c r="M8700" t="s">
        <v>43700</v>
      </c>
      <c r="N8700" t="s">
        <v>44905</v>
      </c>
      <c r="O8700" t="s">
        <v>44906</v>
      </c>
      <c r="P8700">
        <v>0</v>
      </c>
      <c r="Q8700">
        <v>0</v>
      </c>
      <c r="R8700" t="s">
        <v>44911</v>
      </c>
      <c r="S8700" t="s">
        <v>45139</v>
      </c>
      <c r="T8700" t="s">
        <v>46454</v>
      </c>
      <c r="U8700" t="s">
        <v>53907</v>
      </c>
      <c r="W8700" t="s">
        <v>43700</v>
      </c>
      <c r="X8700" t="s">
        <v>44914</v>
      </c>
    </row>
    <row r="8701" spans="1:24">
      <c r="A8701">
        <f>HYPERLINK("https://www.philgeps.gov.ph/GEPSNONPILOT/Tender/SplashBidNoticeAbstractUI.aspx?menuIndex=3&amp;refID=7071379&amp;Result=3","7071379")</f>
        <v>0</v>
      </c>
      <c r="B8701" t="s">
        <v>2509</v>
      </c>
      <c r="C8701" t="s">
        <v>11816</v>
      </c>
      <c r="D8701" t="s">
        <v>18136</v>
      </c>
      <c r="E8701" t="s">
        <v>25809</v>
      </c>
      <c r="F8701" t="s">
        <v>31362</v>
      </c>
      <c r="G8701" t="s">
        <v>31369</v>
      </c>
      <c r="H8701" t="s">
        <v>15799</v>
      </c>
      <c r="I8701" t="s">
        <v>31397</v>
      </c>
      <c r="J8701" t="s">
        <v>31591</v>
      </c>
      <c r="K8701" t="s">
        <v>40731</v>
      </c>
      <c r="M8701" t="s">
        <v>43678</v>
      </c>
      <c r="N8701" t="s">
        <v>44905</v>
      </c>
      <c r="O8701" t="s">
        <v>44906</v>
      </c>
      <c r="P8701">
        <v>0</v>
      </c>
      <c r="Q8701">
        <v>1</v>
      </c>
      <c r="R8701" t="s">
        <v>44911</v>
      </c>
      <c r="S8701" t="s">
        <v>45139</v>
      </c>
      <c r="T8701" t="s">
        <v>46432</v>
      </c>
      <c r="U8701" t="s">
        <v>53908</v>
      </c>
      <c r="V8701" t="s">
        <v>59917</v>
      </c>
      <c r="W8701" t="s">
        <v>43678</v>
      </c>
      <c r="X8701" t="s">
        <v>44914</v>
      </c>
    </row>
    <row r="8702" spans="1:24">
      <c r="A8702">
        <f>HYPERLINK("https://www.philgeps.gov.ph/GEPSNONPILOT/Tender/SplashBidNoticeAbstractUI.aspx?menuIndex=3&amp;refID=7071493&amp;Result=3","7071493")</f>
        <v>0</v>
      </c>
      <c r="B8702" t="s">
        <v>2532</v>
      </c>
      <c r="C8702" t="s">
        <v>11817</v>
      </c>
      <c r="D8702" t="s">
        <v>18117</v>
      </c>
      <c r="E8702" t="s">
        <v>25810</v>
      </c>
      <c r="F8702" t="s">
        <v>31363</v>
      </c>
      <c r="G8702" t="s">
        <v>31370</v>
      </c>
      <c r="H8702" t="s">
        <v>15799</v>
      </c>
      <c r="I8702" t="s">
        <v>31385</v>
      </c>
      <c r="J8702" t="s">
        <v>36839</v>
      </c>
      <c r="K8702" t="s">
        <v>40661</v>
      </c>
      <c r="M8702" t="s">
        <v>43701</v>
      </c>
      <c r="N8702" t="s">
        <v>44905</v>
      </c>
      <c r="O8702" t="s">
        <v>44906</v>
      </c>
      <c r="P8702">
        <v>0</v>
      </c>
      <c r="Q8702">
        <v>2</v>
      </c>
      <c r="R8702" t="s">
        <v>44911</v>
      </c>
      <c r="S8702" t="s">
        <v>45139</v>
      </c>
      <c r="T8702" t="s">
        <v>46416</v>
      </c>
      <c r="U8702" t="s">
        <v>53909</v>
      </c>
      <c r="W8702" t="s">
        <v>43701</v>
      </c>
      <c r="X8702" t="s">
        <v>44914</v>
      </c>
    </row>
    <row r="8703" spans="1:24">
      <c r="A8703">
        <f>HYPERLINK("https://www.philgeps.gov.ph/GEPSNONPILOT/Tender/SplashBidNoticeAbstractUI.aspx?menuIndex=3&amp;refID=7071305&amp;Result=3","7071305")</f>
        <v>0</v>
      </c>
      <c r="B8703" t="s">
        <v>2528</v>
      </c>
      <c r="C8703" t="s">
        <v>6807</v>
      </c>
      <c r="D8703" t="s">
        <v>18116</v>
      </c>
      <c r="E8703" t="s">
        <v>18440</v>
      </c>
      <c r="F8703" t="s">
        <v>31362</v>
      </c>
      <c r="G8703" t="s">
        <v>31369</v>
      </c>
      <c r="H8703" t="s">
        <v>31378</v>
      </c>
      <c r="I8703" t="s">
        <v>31386</v>
      </c>
      <c r="J8703" t="s">
        <v>31987</v>
      </c>
      <c r="K8703" t="s">
        <v>40675</v>
      </c>
      <c r="M8703" t="s">
        <v>43697</v>
      </c>
      <c r="N8703" t="s">
        <v>44905</v>
      </c>
      <c r="O8703" t="s">
        <v>44906</v>
      </c>
      <c r="P8703">
        <v>0</v>
      </c>
      <c r="Q8703">
        <v>0</v>
      </c>
      <c r="R8703" t="s">
        <v>44911</v>
      </c>
      <c r="S8703" t="s">
        <v>45139</v>
      </c>
      <c r="T8703" t="s">
        <v>46478</v>
      </c>
      <c r="U8703" t="s">
        <v>53910</v>
      </c>
      <c r="W8703" t="s">
        <v>43697</v>
      </c>
      <c r="X8703" t="s">
        <v>44914</v>
      </c>
    </row>
    <row r="8704" spans="1:24">
      <c r="A8704">
        <f>HYPERLINK("https://www.philgeps.gov.ph/GEPSNONPILOT/Tender/SplashBidNoticeAbstractUI.aspx?menuIndex=3&amp;refID=7071556&amp;Result=3","7071556")</f>
        <v>0</v>
      </c>
      <c r="B8704" t="s">
        <v>663</v>
      </c>
      <c r="C8704" t="s">
        <v>11818</v>
      </c>
      <c r="D8704" t="s">
        <v>18103</v>
      </c>
      <c r="E8704" t="s">
        <v>25811</v>
      </c>
      <c r="F8704" t="s">
        <v>31362</v>
      </c>
      <c r="G8704" t="s">
        <v>31370</v>
      </c>
      <c r="H8704" t="s">
        <v>15799</v>
      </c>
      <c r="I8704" t="s">
        <v>7188</v>
      </c>
      <c r="J8704" t="s">
        <v>32189</v>
      </c>
      <c r="K8704" t="s">
        <v>40661</v>
      </c>
      <c r="M8704" t="s">
        <v>41625</v>
      </c>
      <c r="N8704" t="s">
        <v>44905</v>
      </c>
      <c r="O8704" t="s">
        <v>44906</v>
      </c>
      <c r="P8704">
        <v>0</v>
      </c>
      <c r="Q8704">
        <v>5</v>
      </c>
      <c r="R8704" t="s">
        <v>44911</v>
      </c>
      <c r="S8704" t="s">
        <v>45139</v>
      </c>
      <c r="T8704" t="s">
        <v>46411</v>
      </c>
      <c r="U8704" t="s">
        <v>53911</v>
      </c>
      <c r="W8704" t="s">
        <v>41625</v>
      </c>
      <c r="X8704" t="s">
        <v>44914</v>
      </c>
    </row>
    <row r="8705" spans="1:24">
      <c r="A8705">
        <f>HYPERLINK("https://www.philgeps.gov.ph/GEPSNONPILOT/Tender/SplashBidNoticeAbstractUI.aspx?menuIndex=3&amp;refID=7071554&amp;Result=3","7071554")</f>
        <v>0</v>
      </c>
      <c r="B8705" t="s">
        <v>2533</v>
      </c>
      <c r="C8705" t="s">
        <v>11819</v>
      </c>
      <c r="D8705" t="s">
        <v>18151</v>
      </c>
      <c r="E8705" t="s">
        <v>21878</v>
      </c>
      <c r="F8705" t="s">
        <v>31362</v>
      </c>
      <c r="G8705" t="s">
        <v>31369</v>
      </c>
      <c r="H8705" t="s">
        <v>31378</v>
      </c>
      <c r="I8705" t="s">
        <v>31386</v>
      </c>
      <c r="J8705" t="s">
        <v>31821</v>
      </c>
      <c r="K8705" t="s">
        <v>40682</v>
      </c>
      <c r="M8705" t="s">
        <v>43702</v>
      </c>
      <c r="N8705" t="s">
        <v>44905</v>
      </c>
      <c r="O8705" t="s">
        <v>44906</v>
      </c>
      <c r="P8705">
        <v>0</v>
      </c>
      <c r="Q8705">
        <v>2</v>
      </c>
      <c r="R8705" t="s">
        <v>44911</v>
      </c>
      <c r="S8705" t="s">
        <v>45139</v>
      </c>
      <c r="T8705" t="s">
        <v>46626</v>
      </c>
      <c r="U8705" t="s">
        <v>53912</v>
      </c>
      <c r="V8705" t="s">
        <v>59935</v>
      </c>
      <c r="W8705" t="s">
        <v>43702</v>
      </c>
      <c r="X8705" t="s">
        <v>44914</v>
      </c>
    </row>
    <row r="8706" spans="1:24">
      <c r="A8706">
        <f>HYPERLINK("https://www.philgeps.gov.ph/GEPSNONPILOT/Tender/SplashBidNoticeAbstractUI.aspx?menuIndex=3&amp;refID=7071534&amp;Result=3","7071534")</f>
        <v>0</v>
      </c>
      <c r="B8706" t="s">
        <v>2534</v>
      </c>
      <c r="C8706" t="s">
        <v>11820</v>
      </c>
      <c r="D8706" t="s">
        <v>18155</v>
      </c>
      <c r="E8706" t="s">
        <v>25812</v>
      </c>
      <c r="F8706" t="s">
        <v>31362</v>
      </c>
      <c r="G8706" t="s">
        <v>31369</v>
      </c>
      <c r="H8706" t="s">
        <v>31378</v>
      </c>
      <c r="I8706" t="s">
        <v>31386</v>
      </c>
      <c r="J8706" t="s">
        <v>36840</v>
      </c>
      <c r="K8706" t="s">
        <v>40735</v>
      </c>
      <c r="M8706" t="s">
        <v>43703</v>
      </c>
      <c r="N8706" t="s">
        <v>44905</v>
      </c>
      <c r="O8706" t="s">
        <v>44906</v>
      </c>
      <c r="P8706">
        <v>0</v>
      </c>
      <c r="Q8706">
        <v>0</v>
      </c>
      <c r="R8706" t="s">
        <v>44911</v>
      </c>
      <c r="S8706" t="s">
        <v>45139</v>
      </c>
      <c r="T8706" t="s">
        <v>46712</v>
      </c>
      <c r="U8706" t="s">
        <v>53913</v>
      </c>
      <c r="V8706" t="s">
        <v>59936</v>
      </c>
      <c r="W8706" t="s">
        <v>43703</v>
      </c>
      <c r="X8706" t="s">
        <v>44914</v>
      </c>
    </row>
    <row r="8707" spans="1:24">
      <c r="A8707">
        <f>HYPERLINK("https://www.philgeps.gov.ph/GEPSNONPILOT/Tender/SplashBidNoticeAbstractUI.aspx?menuIndex=3&amp;refID=7071521&amp;Result=3","7071521")</f>
        <v>0</v>
      </c>
      <c r="B8707" t="s">
        <v>2535</v>
      </c>
      <c r="C8707" t="s">
        <v>11821</v>
      </c>
      <c r="D8707" t="s">
        <v>18107</v>
      </c>
      <c r="E8707" t="s">
        <v>19255</v>
      </c>
      <c r="F8707" t="s">
        <v>31362</v>
      </c>
      <c r="G8707" t="s">
        <v>31369</v>
      </c>
      <c r="H8707" t="s">
        <v>31378</v>
      </c>
      <c r="I8707" t="s">
        <v>31439</v>
      </c>
      <c r="J8707" t="s">
        <v>36841</v>
      </c>
      <c r="K8707" t="s">
        <v>40683</v>
      </c>
      <c r="M8707" t="s">
        <v>43704</v>
      </c>
      <c r="N8707" t="s">
        <v>44905</v>
      </c>
      <c r="O8707" t="s">
        <v>44906</v>
      </c>
      <c r="Q8707">
        <v>0</v>
      </c>
      <c r="R8707" t="s">
        <v>44911</v>
      </c>
      <c r="S8707" t="s">
        <v>45144</v>
      </c>
      <c r="T8707" t="s">
        <v>46696</v>
      </c>
      <c r="U8707" t="s">
        <v>53914</v>
      </c>
      <c r="W8707" t="s">
        <v>43704</v>
      </c>
      <c r="X8707" t="s">
        <v>44914</v>
      </c>
    </row>
    <row r="8708" spans="1:24">
      <c r="A8708">
        <f>HYPERLINK("https://www.philgeps.gov.ph/GEPSNONPILOT/Tender/SplashBidNoticeAbstractUI.aspx?menuIndex=3&amp;refID=7071235&amp;Result=3","7071235")</f>
        <v>0</v>
      </c>
      <c r="B8708" t="s">
        <v>2528</v>
      </c>
      <c r="C8708" t="s">
        <v>11822</v>
      </c>
      <c r="D8708" t="s">
        <v>18116</v>
      </c>
      <c r="E8708" t="s">
        <v>18440</v>
      </c>
      <c r="F8708" t="s">
        <v>31362</v>
      </c>
      <c r="G8708" t="s">
        <v>31369</v>
      </c>
      <c r="H8708" t="s">
        <v>31378</v>
      </c>
      <c r="I8708" t="s">
        <v>31386</v>
      </c>
      <c r="J8708" t="s">
        <v>31578</v>
      </c>
      <c r="K8708" t="s">
        <v>40665</v>
      </c>
      <c r="M8708" t="s">
        <v>43697</v>
      </c>
      <c r="N8708" t="s">
        <v>44905</v>
      </c>
      <c r="O8708" t="s">
        <v>44906</v>
      </c>
      <c r="P8708">
        <v>0</v>
      </c>
      <c r="Q8708">
        <v>0</v>
      </c>
      <c r="R8708" t="s">
        <v>44911</v>
      </c>
      <c r="S8708" t="s">
        <v>45139</v>
      </c>
      <c r="T8708" t="s">
        <v>46478</v>
      </c>
      <c r="U8708" t="s">
        <v>53915</v>
      </c>
      <c r="W8708" t="s">
        <v>43697</v>
      </c>
      <c r="X8708" t="s">
        <v>44914</v>
      </c>
    </row>
    <row r="8709" spans="1:24">
      <c r="A8709">
        <f>HYPERLINK("https://www.philgeps.gov.ph/GEPSNONPILOT/Tender/SplashBidNoticeAbstractUI.aspx?menuIndex=3&amp;refID=7071503&amp;Result=3","7071503")</f>
        <v>0</v>
      </c>
      <c r="B8709" t="s">
        <v>1895</v>
      </c>
      <c r="C8709" t="s">
        <v>11823</v>
      </c>
      <c r="D8709" t="s">
        <v>18151</v>
      </c>
      <c r="E8709" t="s">
        <v>25813</v>
      </c>
      <c r="F8709" t="s">
        <v>31362</v>
      </c>
      <c r="G8709" t="s">
        <v>31369</v>
      </c>
      <c r="H8709" t="s">
        <v>15799</v>
      </c>
      <c r="I8709" t="s">
        <v>31404</v>
      </c>
      <c r="J8709" t="s">
        <v>31591</v>
      </c>
      <c r="K8709" t="s">
        <v>40679</v>
      </c>
      <c r="M8709" t="s">
        <v>42990</v>
      </c>
      <c r="N8709" t="s">
        <v>44905</v>
      </c>
      <c r="O8709" t="s">
        <v>44906</v>
      </c>
      <c r="P8709">
        <v>0</v>
      </c>
      <c r="Q8709">
        <v>0</v>
      </c>
      <c r="R8709" t="s">
        <v>44911</v>
      </c>
      <c r="S8709" t="s">
        <v>45139</v>
      </c>
      <c r="T8709" t="s">
        <v>46435</v>
      </c>
      <c r="U8709" t="s">
        <v>53916</v>
      </c>
      <c r="W8709" t="s">
        <v>42990</v>
      </c>
      <c r="X8709" t="s">
        <v>44914</v>
      </c>
    </row>
    <row r="8710" spans="1:24">
      <c r="A8710">
        <f>HYPERLINK("https://www.philgeps.gov.ph/GEPSNONPILOT/Tender/SplashBidNoticeAbstractUI.aspx?menuIndex=3&amp;refID=7071494&amp;Result=3","7071494")</f>
        <v>0</v>
      </c>
      <c r="B8710" t="s">
        <v>2534</v>
      </c>
      <c r="C8710" t="s">
        <v>11824</v>
      </c>
      <c r="D8710" t="s">
        <v>18155</v>
      </c>
      <c r="E8710" t="s">
        <v>25814</v>
      </c>
      <c r="F8710" t="s">
        <v>31362</v>
      </c>
      <c r="G8710" t="s">
        <v>31369</v>
      </c>
      <c r="H8710" t="s">
        <v>31378</v>
      </c>
      <c r="I8710" t="s">
        <v>31386</v>
      </c>
      <c r="J8710" t="s">
        <v>34906</v>
      </c>
      <c r="K8710" t="s">
        <v>40682</v>
      </c>
      <c r="M8710" t="s">
        <v>43703</v>
      </c>
      <c r="N8710" t="s">
        <v>44905</v>
      </c>
      <c r="O8710" t="s">
        <v>44906</v>
      </c>
      <c r="P8710">
        <v>0</v>
      </c>
      <c r="Q8710">
        <v>0</v>
      </c>
      <c r="R8710" t="s">
        <v>44911</v>
      </c>
      <c r="S8710" t="s">
        <v>45139</v>
      </c>
      <c r="T8710" t="s">
        <v>46712</v>
      </c>
      <c r="U8710" t="s">
        <v>53917</v>
      </c>
      <c r="V8710" t="s">
        <v>59936</v>
      </c>
      <c r="W8710" t="s">
        <v>43703</v>
      </c>
      <c r="X8710" t="s">
        <v>44914</v>
      </c>
    </row>
    <row r="8711" spans="1:24">
      <c r="A8711">
        <f>HYPERLINK("https://www.philgeps.gov.ph/GEPSNONPILOT/Tender/SplashBidNoticeAbstractUI.aspx?menuIndex=3&amp;refID=7071456&amp;Result=3","7071456")</f>
        <v>0</v>
      </c>
      <c r="B8711" t="s">
        <v>2523</v>
      </c>
      <c r="C8711" t="s">
        <v>11825</v>
      </c>
      <c r="D8711" t="s">
        <v>18133</v>
      </c>
      <c r="E8711" t="s">
        <v>25815</v>
      </c>
      <c r="F8711" t="s">
        <v>31362</v>
      </c>
      <c r="G8711" t="s">
        <v>31369</v>
      </c>
      <c r="H8711" t="s">
        <v>31378</v>
      </c>
      <c r="I8711" t="s">
        <v>31386</v>
      </c>
      <c r="J8711" t="s">
        <v>36842</v>
      </c>
      <c r="K8711" t="s">
        <v>40774</v>
      </c>
      <c r="M8711" t="s">
        <v>43692</v>
      </c>
      <c r="N8711" t="s">
        <v>44905</v>
      </c>
      <c r="O8711" t="s">
        <v>44906</v>
      </c>
      <c r="P8711">
        <v>0</v>
      </c>
      <c r="Q8711">
        <v>1</v>
      </c>
      <c r="R8711" t="s">
        <v>44911</v>
      </c>
      <c r="S8711" t="s">
        <v>45139</v>
      </c>
      <c r="T8711" t="s">
        <v>46744</v>
      </c>
      <c r="U8711" t="s">
        <v>53918</v>
      </c>
      <c r="W8711" t="s">
        <v>43692</v>
      </c>
      <c r="X8711" t="s">
        <v>44914</v>
      </c>
    </row>
    <row r="8712" spans="1:24">
      <c r="A8712">
        <f>HYPERLINK("https://www.philgeps.gov.ph/GEPSNONPILOT/Tender/SplashBidNoticeAbstractUI.aspx?menuIndex=3&amp;refID=7071199&amp;Result=3","7071199")</f>
        <v>0</v>
      </c>
      <c r="B8712" t="s">
        <v>1625</v>
      </c>
      <c r="C8712" t="s">
        <v>11826</v>
      </c>
      <c r="D8712" t="s">
        <v>18108</v>
      </c>
      <c r="E8712" t="s">
        <v>25816</v>
      </c>
      <c r="F8712" t="s">
        <v>31362</v>
      </c>
      <c r="G8712" t="s">
        <v>31369</v>
      </c>
      <c r="H8712" t="s">
        <v>15799</v>
      </c>
      <c r="I8712" t="s">
        <v>31474</v>
      </c>
      <c r="J8712" t="s">
        <v>35993</v>
      </c>
      <c r="K8712" t="s">
        <v>40662</v>
      </c>
      <c r="M8712" t="s">
        <v>42684</v>
      </c>
      <c r="N8712" t="s">
        <v>44905</v>
      </c>
      <c r="O8712" t="s">
        <v>44906</v>
      </c>
      <c r="Q8712">
        <v>11</v>
      </c>
      <c r="R8712" t="s">
        <v>44911</v>
      </c>
      <c r="S8712" t="s">
        <v>45145</v>
      </c>
      <c r="T8712" t="s">
        <v>46419</v>
      </c>
      <c r="U8712" t="s">
        <v>53919</v>
      </c>
      <c r="V8712" t="s">
        <v>59937</v>
      </c>
      <c r="W8712" t="s">
        <v>42684</v>
      </c>
      <c r="X8712" t="s">
        <v>44914</v>
      </c>
    </row>
    <row r="8713" spans="1:24">
      <c r="A8713">
        <f>HYPERLINK("https://www.philgeps.gov.ph/GEPSNONPILOT/Tender/SplashBidNoticeAbstractUI.aspx?menuIndex=3&amp;refID=7070569&amp;Result=3","7070569")</f>
        <v>0</v>
      </c>
      <c r="B8713" t="s">
        <v>1037</v>
      </c>
      <c r="C8713" t="s">
        <v>11827</v>
      </c>
      <c r="D8713" t="s">
        <v>18146</v>
      </c>
      <c r="E8713" t="s">
        <v>25817</v>
      </c>
      <c r="F8713" t="s">
        <v>31362</v>
      </c>
      <c r="G8713" t="s">
        <v>31369</v>
      </c>
      <c r="H8713" t="s">
        <v>31378</v>
      </c>
      <c r="I8713" t="s">
        <v>31386</v>
      </c>
      <c r="J8713" t="s">
        <v>36843</v>
      </c>
      <c r="K8713" t="s">
        <v>40687</v>
      </c>
      <c r="M8713" t="s">
        <v>43675</v>
      </c>
      <c r="N8713" t="s">
        <v>44905</v>
      </c>
      <c r="O8713" t="s">
        <v>44906</v>
      </c>
      <c r="P8713">
        <v>0</v>
      </c>
      <c r="Q8713">
        <v>0</v>
      </c>
      <c r="R8713" t="s">
        <v>44911</v>
      </c>
      <c r="S8713" t="s">
        <v>45139</v>
      </c>
      <c r="T8713" t="s">
        <v>46483</v>
      </c>
      <c r="U8713" t="s">
        <v>53920</v>
      </c>
      <c r="V8713" t="s">
        <v>59938</v>
      </c>
      <c r="W8713" t="s">
        <v>43675</v>
      </c>
      <c r="X8713" t="s">
        <v>44914</v>
      </c>
    </row>
    <row r="8714" spans="1:24">
      <c r="A8714">
        <f>HYPERLINK("https://www.philgeps.gov.ph/GEPSNONPILOT/Tender/SplashBidNoticeAbstractUI.aspx?menuIndex=3&amp;refID=7071445&amp;Result=3","7071445")</f>
        <v>0</v>
      </c>
      <c r="B8714" t="s">
        <v>2534</v>
      </c>
      <c r="C8714" t="s">
        <v>11828</v>
      </c>
      <c r="D8714" t="s">
        <v>18155</v>
      </c>
      <c r="E8714" t="s">
        <v>25818</v>
      </c>
      <c r="F8714" t="s">
        <v>31362</v>
      </c>
      <c r="G8714" t="s">
        <v>31369</v>
      </c>
      <c r="H8714" t="s">
        <v>15799</v>
      </c>
      <c r="I8714" t="s">
        <v>31409</v>
      </c>
      <c r="J8714" t="s">
        <v>33653</v>
      </c>
      <c r="K8714" t="s">
        <v>40696</v>
      </c>
      <c r="M8714" t="s">
        <v>43703</v>
      </c>
      <c r="N8714" t="s">
        <v>44905</v>
      </c>
      <c r="O8714" t="s">
        <v>44906</v>
      </c>
      <c r="P8714">
        <v>0</v>
      </c>
      <c r="Q8714">
        <v>4</v>
      </c>
      <c r="R8714" t="s">
        <v>44911</v>
      </c>
      <c r="S8714" t="s">
        <v>45139</v>
      </c>
      <c r="T8714" t="s">
        <v>46577</v>
      </c>
      <c r="U8714" t="s">
        <v>53921</v>
      </c>
      <c r="V8714" t="s">
        <v>59936</v>
      </c>
      <c r="W8714" t="s">
        <v>43703</v>
      </c>
      <c r="X8714" t="s">
        <v>44914</v>
      </c>
    </row>
    <row r="8715" spans="1:24">
      <c r="A8715">
        <f>HYPERLINK("https://www.philgeps.gov.ph/GEPSNONPILOT/Tender/SplashBidNoticeAbstractUI.aspx?menuIndex=3&amp;refID=7071278&amp;Result=3","7071278")</f>
        <v>0</v>
      </c>
      <c r="B8715" t="s">
        <v>2509</v>
      </c>
      <c r="C8715" t="s">
        <v>8967</v>
      </c>
      <c r="D8715" t="s">
        <v>18136</v>
      </c>
      <c r="E8715" t="s">
        <v>25819</v>
      </c>
      <c r="F8715" t="s">
        <v>31362</v>
      </c>
      <c r="G8715" t="s">
        <v>31369</v>
      </c>
      <c r="H8715" t="s">
        <v>15799</v>
      </c>
      <c r="I8715" t="s">
        <v>31393</v>
      </c>
      <c r="J8715" t="s">
        <v>36844</v>
      </c>
      <c r="K8715" t="s">
        <v>40731</v>
      </c>
      <c r="M8715" t="s">
        <v>43678</v>
      </c>
      <c r="N8715" t="s">
        <v>44905</v>
      </c>
      <c r="O8715" t="s">
        <v>44906</v>
      </c>
      <c r="P8715">
        <v>0</v>
      </c>
      <c r="Q8715">
        <v>1</v>
      </c>
      <c r="R8715" t="s">
        <v>44911</v>
      </c>
      <c r="S8715" t="s">
        <v>45139</v>
      </c>
      <c r="T8715" t="s">
        <v>46432</v>
      </c>
      <c r="U8715" t="s">
        <v>53922</v>
      </c>
      <c r="V8715" t="s">
        <v>59917</v>
      </c>
      <c r="W8715" t="s">
        <v>43678</v>
      </c>
      <c r="X8715" t="s">
        <v>44914</v>
      </c>
    </row>
    <row r="8716" spans="1:24">
      <c r="A8716">
        <f>HYPERLINK("https://www.philgeps.gov.ph/GEPSNONPILOT/Tender/SplashBidNoticeAbstractUI.aspx?menuIndex=3&amp;refID=7071412&amp;Result=3","7071412")</f>
        <v>0</v>
      </c>
      <c r="B8716" t="s">
        <v>2509</v>
      </c>
      <c r="C8716" t="s">
        <v>5147</v>
      </c>
      <c r="D8716" t="s">
        <v>18136</v>
      </c>
      <c r="E8716" t="s">
        <v>25820</v>
      </c>
      <c r="F8716" t="s">
        <v>31362</v>
      </c>
      <c r="G8716" t="s">
        <v>31369</v>
      </c>
      <c r="H8716" t="s">
        <v>15799</v>
      </c>
      <c r="I8716" t="s">
        <v>7090</v>
      </c>
      <c r="J8716" t="s">
        <v>36845</v>
      </c>
      <c r="K8716" t="s">
        <v>40731</v>
      </c>
      <c r="M8716" t="s">
        <v>43678</v>
      </c>
      <c r="N8716" t="s">
        <v>44905</v>
      </c>
      <c r="O8716" t="s">
        <v>44906</v>
      </c>
      <c r="P8716">
        <v>0</v>
      </c>
      <c r="Q8716">
        <v>0</v>
      </c>
      <c r="R8716" t="s">
        <v>44911</v>
      </c>
      <c r="S8716" t="s">
        <v>45139</v>
      </c>
      <c r="T8716" t="s">
        <v>46432</v>
      </c>
      <c r="U8716" t="s">
        <v>53923</v>
      </c>
      <c r="V8716" t="s">
        <v>59917</v>
      </c>
      <c r="W8716" t="s">
        <v>43678</v>
      </c>
      <c r="X8716" t="s">
        <v>44914</v>
      </c>
    </row>
    <row r="8717" spans="1:24">
      <c r="A8717">
        <f>HYPERLINK("https://www.philgeps.gov.ph/GEPSNONPILOT/Tender/SplashBidNoticeAbstractUI.aspx?menuIndex=3&amp;refID=7071408&amp;Result=3","7071408")</f>
        <v>0</v>
      </c>
      <c r="B8717" t="s">
        <v>2536</v>
      </c>
      <c r="C8717" t="s">
        <v>11829</v>
      </c>
      <c r="D8717" t="s">
        <v>18152</v>
      </c>
      <c r="E8717" t="s">
        <v>25821</v>
      </c>
      <c r="F8717" t="s">
        <v>31362</v>
      </c>
      <c r="G8717" t="s">
        <v>31368</v>
      </c>
      <c r="H8717" t="s">
        <v>15799</v>
      </c>
      <c r="I8717" t="s">
        <v>3815</v>
      </c>
      <c r="J8717" t="s">
        <v>36846</v>
      </c>
      <c r="K8717" t="s">
        <v>40696</v>
      </c>
      <c r="M8717" t="s">
        <v>43705</v>
      </c>
      <c r="N8717" t="s">
        <v>44905</v>
      </c>
      <c r="O8717" t="s">
        <v>44906</v>
      </c>
      <c r="P8717">
        <v>0</v>
      </c>
      <c r="Q8717">
        <v>0</v>
      </c>
      <c r="R8717" t="s">
        <v>44911</v>
      </c>
      <c r="S8717" t="s">
        <v>45139</v>
      </c>
      <c r="T8717" t="s">
        <v>46403</v>
      </c>
      <c r="U8717" t="s">
        <v>53924</v>
      </c>
      <c r="W8717" t="s">
        <v>43705</v>
      </c>
      <c r="X8717" t="s">
        <v>44914</v>
      </c>
    </row>
    <row r="8718" spans="1:24">
      <c r="A8718">
        <f>HYPERLINK("https://www.philgeps.gov.ph/GEPSNONPILOT/Tender/SplashBidNoticeAbstractUI.aspx?menuIndex=3&amp;refID=7071397&amp;Result=3","7071397")</f>
        <v>0</v>
      </c>
      <c r="B8718" t="s">
        <v>2537</v>
      </c>
      <c r="C8718" t="s">
        <v>11830</v>
      </c>
      <c r="D8718" t="s">
        <v>18132</v>
      </c>
      <c r="E8718" t="s">
        <v>25822</v>
      </c>
      <c r="F8718" t="s">
        <v>31362</v>
      </c>
      <c r="G8718" t="s">
        <v>31369</v>
      </c>
      <c r="H8718" t="s">
        <v>31378</v>
      </c>
      <c r="I8718" t="s">
        <v>31386</v>
      </c>
      <c r="J8718" t="s">
        <v>36847</v>
      </c>
      <c r="K8718" t="s">
        <v>40683</v>
      </c>
      <c r="M8718" t="s">
        <v>43706</v>
      </c>
      <c r="N8718" t="s">
        <v>44905</v>
      </c>
      <c r="O8718" t="s">
        <v>44906</v>
      </c>
      <c r="P8718">
        <v>0</v>
      </c>
      <c r="Q8718">
        <v>0</v>
      </c>
      <c r="R8718" t="s">
        <v>44911</v>
      </c>
      <c r="S8718" t="s">
        <v>45139</v>
      </c>
      <c r="T8718" t="s">
        <v>46787</v>
      </c>
      <c r="U8718" t="s">
        <v>53925</v>
      </c>
      <c r="W8718" t="s">
        <v>43706</v>
      </c>
      <c r="X8718" t="s">
        <v>44914</v>
      </c>
    </row>
    <row r="8719" spans="1:24">
      <c r="A8719">
        <f>HYPERLINK("https://www.philgeps.gov.ph/GEPSNONPILOT/Tender/SplashBidNoticeAbstractUI.aspx?menuIndex=3&amp;refID=7071481&amp;Result=3","7071481")</f>
        <v>0</v>
      </c>
      <c r="B8719" t="s">
        <v>531</v>
      </c>
      <c r="C8719" t="s">
        <v>11831</v>
      </c>
      <c r="D8719" t="s">
        <v>18172</v>
      </c>
      <c r="E8719" t="s">
        <v>25823</v>
      </c>
      <c r="F8719" t="s">
        <v>31362</v>
      </c>
      <c r="G8719" t="s">
        <v>31368</v>
      </c>
      <c r="H8719" t="s">
        <v>15799</v>
      </c>
      <c r="I8719" t="s">
        <v>3815</v>
      </c>
      <c r="J8719" t="s">
        <v>36848</v>
      </c>
      <c r="K8719" t="s">
        <v>40670</v>
      </c>
      <c r="M8719" t="s">
        <v>41487</v>
      </c>
      <c r="N8719" t="s">
        <v>44905</v>
      </c>
      <c r="O8719" t="s">
        <v>44906</v>
      </c>
      <c r="P8719">
        <v>0</v>
      </c>
      <c r="Q8719">
        <v>0</v>
      </c>
      <c r="R8719" t="s">
        <v>44911</v>
      </c>
      <c r="S8719" t="s">
        <v>45139</v>
      </c>
      <c r="T8719" t="s">
        <v>46416</v>
      </c>
      <c r="U8719" t="s">
        <v>53926</v>
      </c>
      <c r="W8719" t="s">
        <v>41487</v>
      </c>
      <c r="X8719" t="s">
        <v>44914</v>
      </c>
    </row>
    <row r="8720" spans="1:24">
      <c r="A8720">
        <f>HYPERLINK("https://www.philgeps.gov.ph/GEPSNONPILOT/Tender/SplashBidNoticeAbstractUI.aspx?menuIndex=3&amp;refID=7071197&amp;Result=3","7071197")</f>
        <v>0</v>
      </c>
      <c r="B8720" t="s">
        <v>2509</v>
      </c>
      <c r="C8720" t="s">
        <v>11832</v>
      </c>
      <c r="D8720" t="s">
        <v>18136</v>
      </c>
      <c r="E8720" t="s">
        <v>25824</v>
      </c>
      <c r="F8720" t="s">
        <v>31362</v>
      </c>
      <c r="G8720" t="s">
        <v>31369</v>
      </c>
      <c r="H8720" t="s">
        <v>31378</v>
      </c>
      <c r="I8720" t="s">
        <v>31386</v>
      </c>
      <c r="J8720" t="s">
        <v>34854</v>
      </c>
      <c r="K8720" t="s">
        <v>40679</v>
      </c>
      <c r="M8720" t="s">
        <v>43678</v>
      </c>
      <c r="N8720" t="s">
        <v>44905</v>
      </c>
      <c r="O8720" t="s">
        <v>44906</v>
      </c>
      <c r="P8720">
        <v>0</v>
      </c>
      <c r="Q8720">
        <v>1</v>
      </c>
      <c r="R8720" t="s">
        <v>44911</v>
      </c>
      <c r="S8720" t="s">
        <v>45139</v>
      </c>
      <c r="T8720" t="s">
        <v>46464</v>
      </c>
      <c r="U8720" t="s">
        <v>53927</v>
      </c>
      <c r="V8720" t="s">
        <v>59917</v>
      </c>
      <c r="W8720" t="s">
        <v>43678</v>
      </c>
      <c r="X8720" t="s">
        <v>44914</v>
      </c>
    </row>
    <row r="8721" spans="1:24">
      <c r="A8721">
        <f>HYPERLINK("https://www.philgeps.gov.ph/GEPSNONPILOT/Tender/SplashBidNoticeAbstractUI.aspx?menuIndex=3&amp;refID=7071173&amp;Result=3","7071173")</f>
        <v>0</v>
      </c>
      <c r="B8721" t="s">
        <v>2538</v>
      </c>
      <c r="C8721" t="s">
        <v>11833</v>
      </c>
      <c r="D8721" t="s">
        <v>18122</v>
      </c>
      <c r="E8721" t="s">
        <v>19313</v>
      </c>
      <c r="F8721" t="s">
        <v>31362</v>
      </c>
      <c r="G8721" t="s">
        <v>31368</v>
      </c>
      <c r="H8721" t="s">
        <v>15799</v>
      </c>
      <c r="I8721" t="s">
        <v>6373</v>
      </c>
      <c r="J8721" t="s">
        <v>36849</v>
      </c>
      <c r="K8721" t="s">
        <v>40661</v>
      </c>
      <c r="M8721" t="s">
        <v>43707</v>
      </c>
      <c r="N8721" t="s">
        <v>44905</v>
      </c>
      <c r="O8721" t="s">
        <v>44906</v>
      </c>
      <c r="P8721">
        <v>0</v>
      </c>
      <c r="Q8721">
        <v>1</v>
      </c>
      <c r="R8721" t="s">
        <v>44911</v>
      </c>
      <c r="S8721" t="s">
        <v>45139</v>
      </c>
      <c r="T8721" t="s">
        <v>46400</v>
      </c>
      <c r="U8721" t="s">
        <v>53928</v>
      </c>
      <c r="W8721" t="s">
        <v>43707</v>
      </c>
      <c r="X8721" t="s">
        <v>44914</v>
      </c>
    </row>
    <row r="8722" spans="1:24">
      <c r="A8722">
        <f>HYPERLINK("https://www.philgeps.gov.ph/GEPSNONPILOT/Tender/SplashBidNoticeAbstractUI.aspx?menuIndex=3&amp;refID=7071165&amp;Result=3","7071165")</f>
        <v>0</v>
      </c>
      <c r="B8722" t="s">
        <v>2509</v>
      </c>
      <c r="C8722" t="s">
        <v>11834</v>
      </c>
      <c r="D8722" t="s">
        <v>18136</v>
      </c>
      <c r="E8722" t="s">
        <v>25825</v>
      </c>
      <c r="F8722" t="s">
        <v>31362</v>
      </c>
      <c r="G8722" t="s">
        <v>31369</v>
      </c>
      <c r="H8722" t="s">
        <v>31378</v>
      </c>
      <c r="I8722" t="s">
        <v>31386</v>
      </c>
      <c r="J8722" t="s">
        <v>33653</v>
      </c>
      <c r="K8722" t="s">
        <v>40776</v>
      </c>
      <c r="M8722" t="s">
        <v>43678</v>
      </c>
      <c r="N8722" t="s">
        <v>44905</v>
      </c>
      <c r="O8722" t="s">
        <v>44906</v>
      </c>
      <c r="P8722">
        <v>0</v>
      </c>
      <c r="Q8722">
        <v>0</v>
      </c>
      <c r="R8722" t="s">
        <v>44911</v>
      </c>
      <c r="S8722" t="s">
        <v>45139</v>
      </c>
      <c r="T8722" t="s">
        <v>46464</v>
      </c>
      <c r="U8722" t="s">
        <v>53929</v>
      </c>
      <c r="V8722" t="s">
        <v>59917</v>
      </c>
      <c r="W8722" t="s">
        <v>43678</v>
      </c>
      <c r="X8722" t="s">
        <v>44914</v>
      </c>
    </row>
    <row r="8723" spans="1:24">
      <c r="A8723">
        <f>HYPERLINK("https://www.philgeps.gov.ph/GEPSNONPILOT/Tender/SplashBidNoticeAbstractUI.aspx?menuIndex=3&amp;refID=7071431&amp;Result=3","7071431")</f>
        <v>0</v>
      </c>
      <c r="B8723" t="s">
        <v>2539</v>
      </c>
      <c r="C8723" t="s">
        <v>11835</v>
      </c>
      <c r="D8723" t="s">
        <v>18108</v>
      </c>
      <c r="E8723" t="s">
        <v>25826</v>
      </c>
      <c r="F8723" t="s">
        <v>31362</v>
      </c>
      <c r="G8723" t="s">
        <v>31368</v>
      </c>
      <c r="H8723" t="s">
        <v>15799</v>
      </c>
      <c r="I8723" t="s">
        <v>31380</v>
      </c>
      <c r="J8723" t="s">
        <v>31987</v>
      </c>
      <c r="K8723" t="s">
        <v>40672</v>
      </c>
      <c r="M8723" t="s">
        <v>43708</v>
      </c>
      <c r="N8723" t="s">
        <v>44905</v>
      </c>
      <c r="O8723" t="s">
        <v>44906</v>
      </c>
      <c r="P8723">
        <v>0</v>
      </c>
      <c r="Q8723">
        <v>8</v>
      </c>
      <c r="R8723" t="s">
        <v>44911</v>
      </c>
      <c r="S8723" t="s">
        <v>45139</v>
      </c>
      <c r="T8723" t="s">
        <v>46414</v>
      </c>
      <c r="U8723" t="s">
        <v>53930</v>
      </c>
      <c r="W8723" t="s">
        <v>43708</v>
      </c>
      <c r="X8723" t="s">
        <v>44914</v>
      </c>
    </row>
    <row r="8724" spans="1:24">
      <c r="A8724">
        <f>HYPERLINK("https://www.philgeps.gov.ph/GEPSNONPILOT/Tender/SplashBidNoticeAbstractUI.aspx?menuIndex=3&amp;refID=7071109&amp;Result=3","7071109")</f>
        <v>0</v>
      </c>
      <c r="B8724" t="s">
        <v>805</v>
      </c>
      <c r="C8724" t="s">
        <v>11836</v>
      </c>
      <c r="D8724" t="s">
        <v>18107</v>
      </c>
      <c r="E8724" t="s">
        <v>25827</v>
      </c>
      <c r="F8724" t="s">
        <v>31362</v>
      </c>
      <c r="G8724" t="s">
        <v>31369</v>
      </c>
      <c r="H8724" t="s">
        <v>15799</v>
      </c>
      <c r="I8724" t="s">
        <v>31409</v>
      </c>
      <c r="J8724" t="s">
        <v>36850</v>
      </c>
      <c r="K8724" t="s">
        <v>40679</v>
      </c>
      <c r="M8724" t="s">
        <v>41776</v>
      </c>
      <c r="N8724" t="s">
        <v>44905</v>
      </c>
      <c r="O8724" t="s">
        <v>44906</v>
      </c>
      <c r="P8724">
        <v>0</v>
      </c>
      <c r="Q8724">
        <v>19</v>
      </c>
      <c r="R8724" t="s">
        <v>44911</v>
      </c>
      <c r="S8724" t="s">
        <v>45139</v>
      </c>
      <c r="T8724" t="s">
        <v>46402</v>
      </c>
      <c r="U8724" t="s">
        <v>53931</v>
      </c>
      <c r="W8724" t="s">
        <v>41776</v>
      </c>
      <c r="X8724" t="s">
        <v>44914</v>
      </c>
    </row>
    <row r="8725" spans="1:24">
      <c r="A8725">
        <f>HYPERLINK("https://www.philgeps.gov.ph/GEPSNONPILOT/Tender/SplashBidNoticeAbstractUI.aspx?menuIndex=3&amp;refID=7070912&amp;Result=3","7070912")</f>
        <v>0</v>
      </c>
      <c r="B8725" t="s">
        <v>1579</v>
      </c>
      <c r="C8725" t="s">
        <v>11837</v>
      </c>
      <c r="D8725" t="s">
        <v>18191</v>
      </c>
      <c r="E8725" t="s">
        <v>25828</v>
      </c>
      <c r="F8725" t="s">
        <v>31362</v>
      </c>
      <c r="G8725" t="s">
        <v>31368</v>
      </c>
      <c r="H8725" t="s">
        <v>15799</v>
      </c>
      <c r="I8725" t="s">
        <v>31397</v>
      </c>
      <c r="J8725" t="s">
        <v>36851</v>
      </c>
      <c r="K8725" t="s">
        <v>40665</v>
      </c>
      <c r="M8725" t="s">
        <v>42633</v>
      </c>
      <c r="N8725" t="s">
        <v>44905</v>
      </c>
      <c r="O8725" t="s">
        <v>44906</v>
      </c>
      <c r="Q8725">
        <v>1</v>
      </c>
      <c r="R8725" t="s">
        <v>44911</v>
      </c>
      <c r="S8725" t="s">
        <v>45146</v>
      </c>
      <c r="T8725" t="s">
        <v>46551</v>
      </c>
      <c r="U8725" t="s">
        <v>53932</v>
      </c>
      <c r="W8725" t="s">
        <v>42633</v>
      </c>
      <c r="X8725" t="s">
        <v>44914</v>
      </c>
    </row>
    <row r="8726" spans="1:24">
      <c r="A8726">
        <f>HYPERLINK("https://www.philgeps.gov.ph/GEPSNONPILOT/Tender/SplashBidNoticeAbstractUI.aspx?menuIndex=3&amp;refID=7071384&amp;Result=3","7071384")</f>
        <v>0</v>
      </c>
      <c r="B8726" t="s">
        <v>558</v>
      </c>
      <c r="C8726" t="s">
        <v>11838</v>
      </c>
      <c r="D8726" t="s">
        <v>18107</v>
      </c>
      <c r="E8726" t="s">
        <v>20130</v>
      </c>
      <c r="F8726" t="s">
        <v>31362</v>
      </c>
      <c r="G8726" t="s">
        <v>31370</v>
      </c>
      <c r="H8726" t="s">
        <v>15799</v>
      </c>
      <c r="I8726" t="s">
        <v>31466</v>
      </c>
      <c r="J8726" t="s">
        <v>33888</v>
      </c>
      <c r="K8726" t="s">
        <v>40665</v>
      </c>
      <c r="M8726" t="s">
        <v>41514</v>
      </c>
      <c r="N8726" t="s">
        <v>44905</v>
      </c>
      <c r="O8726" t="s">
        <v>44906</v>
      </c>
      <c r="P8726">
        <v>0</v>
      </c>
      <c r="Q8726">
        <v>0</v>
      </c>
      <c r="R8726" t="s">
        <v>44911</v>
      </c>
      <c r="S8726" t="s">
        <v>45139</v>
      </c>
      <c r="T8726" t="s">
        <v>46597</v>
      </c>
      <c r="U8726" t="s">
        <v>53933</v>
      </c>
      <c r="W8726" t="s">
        <v>41514</v>
      </c>
      <c r="X8726" t="s">
        <v>44914</v>
      </c>
    </row>
    <row r="8727" spans="1:24">
      <c r="A8727">
        <f>HYPERLINK("https://www.philgeps.gov.ph/GEPSNONPILOT/Tender/SplashBidNoticeAbstractUI.aspx?menuIndex=3&amp;refID=7070909&amp;Result=3","7070909")</f>
        <v>0</v>
      </c>
      <c r="B8727" t="s">
        <v>2493</v>
      </c>
      <c r="C8727" t="s">
        <v>11839</v>
      </c>
      <c r="D8727" t="s">
        <v>18148</v>
      </c>
      <c r="E8727" t="s">
        <v>25829</v>
      </c>
      <c r="F8727" t="s">
        <v>31362</v>
      </c>
      <c r="G8727" t="s">
        <v>31369</v>
      </c>
      <c r="H8727" t="s">
        <v>15799</v>
      </c>
      <c r="I8727" t="s">
        <v>31461</v>
      </c>
      <c r="J8727" t="s">
        <v>36852</v>
      </c>
      <c r="K8727" t="s">
        <v>40682</v>
      </c>
      <c r="M8727" t="s">
        <v>43659</v>
      </c>
      <c r="N8727" t="s">
        <v>44905</v>
      </c>
      <c r="O8727" t="s">
        <v>44906</v>
      </c>
      <c r="P8727">
        <v>0</v>
      </c>
      <c r="Q8727">
        <v>0</v>
      </c>
      <c r="R8727" t="s">
        <v>44911</v>
      </c>
      <c r="S8727" t="s">
        <v>45139</v>
      </c>
      <c r="T8727" t="s">
        <v>46443</v>
      </c>
      <c r="U8727" t="s">
        <v>53934</v>
      </c>
      <c r="W8727" t="s">
        <v>43659</v>
      </c>
      <c r="X8727" t="s">
        <v>44914</v>
      </c>
    </row>
    <row r="8728" spans="1:24">
      <c r="A8728">
        <f>HYPERLINK("https://www.philgeps.gov.ph/GEPSNONPILOT/Tender/SplashBidNoticeAbstractUI.aspx?menuIndex=3&amp;refID=7071422&amp;Result=3","7071422")</f>
        <v>0</v>
      </c>
      <c r="B8728" t="s">
        <v>531</v>
      </c>
      <c r="C8728" t="s">
        <v>11840</v>
      </c>
      <c r="D8728" t="s">
        <v>18172</v>
      </c>
      <c r="E8728" t="s">
        <v>25830</v>
      </c>
      <c r="F8728" t="s">
        <v>31362</v>
      </c>
      <c r="G8728" t="s">
        <v>31369</v>
      </c>
      <c r="H8728" t="s">
        <v>15799</v>
      </c>
      <c r="I8728" t="s">
        <v>3815</v>
      </c>
      <c r="J8728" t="s">
        <v>36853</v>
      </c>
      <c r="K8728" t="s">
        <v>40670</v>
      </c>
      <c r="M8728" t="s">
        <v>41487</v>
      </c>
      <c r="N8728" t="s">
        <v>44905</v>
      </c>
      <c r="O8728" t="s">
        <v>44906</v>
      </c>
      <c r="P8728">
        <v>0</v>
      </c>
      <c r="Q8728">
        <v>0</v>
      </c>
      <c r="R8728" t="s">
        <v>44911</v>
      </c>
      <c r="S8728" t="s">
        <v>45139</v>
      </c>
      <c r="T8728" t="s">
        <v>46447</v>
      </c>
      <c r="U8728" t="s">
        <v>53935</v>
      </c>
      <c r="W8728" t="s">
        <v>41487</v>
      </c>
      <c r="X8728" t="s">
        <v>44914</v>
      </c>
    </row>
    <row r="8729" spans="1:24">
      <c r="A8729">
        <f>HYPERLINK("https://www.philgeps.gov.ph/GEPSNONPILOT/Tender/SplashBidNoticeAbstractUI.aspx?menuIndex=3&amp;refID=7071117&amp;Result=3","7071117")</f>
        <v>0</v>
      </c>
      <c r="B8729" t="s">
        <v>526</v>
      </c>
      <c r="C8729" t="s">
        <v>11841</v>
      </c>
      <c r="D8729" t="s">
        <v>18101</v>
      </c>
      <c r="E8729" t="s">
        <v>25831</v>
      </c>
      <c r="F8729" t="s">
        <v>31362</v>
      </c>
      <c r="G8729" t="s">
        <v>31369</v>
      </c>
      <c r="H8729" t="s">
        <v>15799</v>
      </c>
      <c r="I8729" t="s">
        <v>31409</v>
      </c>
      <c r="J8729" t="s">
        <v>36854</v>
      </c>
      <c r="K8729" t="s">
        <v>40679</v>
      </c>
      <c r="M8729" t="s">
        <v>41482</v>
      </c>
      <c r="N8729" t="s">
        <v>44905</v>
      </c>
      <c r="O8729" t="s">
        <v>44906</v>
      </c>
      <c r="P8729">
        <v>0</v>
      </c>
      <c r="Q8729">
        <v>6</v>
      </c>
      <c r="R8729" t="s">
        <v>44911</v>
      </c>
      <c r="S8729" t="s">
        <v>45139</v>
      </c>
      <c r="T8729" t="s">
        <v>46413</v>
      </c>
      <c r="U8729" t="s">
        <v>53936</v>
      </c>
      <c r="W8729" t="s">
        <v>41482</v>
      </c>
      <c r="X8729" t="s">
        <v>44914</v>
      </c>
    </row>
    <row r="8730" spans="1:24">
      <c r="A8730">
        <f>HYPERLINK("https://www.philgeps.gov.ph/GEPSNONPILOT/Tender/SplashBidNoticeAbstractUI.aspx?menuIndex=3&amp;refID=7070931&amp;Result=3","7070931")</f>
        <v>0</v>
      </c>
      <c r="B8730" t="s">
        <v>2509</v>
      </c>
      <c r="C8730" t="s">
        <v>8967</v>
      </c>
      <c r="D8730" t="s">
        <v>18136</v>
      </c>
      <c r="E8730" t="s">
        <v>25832</v>
      </c>
      <c r="F8730" t="s">
        <v>31362</v>
      </c>
      <c r="G8730" t="s">
        <v>31369</v>
      </c>
      <c r="H8730" t="s">
        <v>15799</v>
      </c>
      <c r="I8730" t="s">
        <v>31393</v>
      </c>
      <c r="J8730" t="s">
        <v>36855</v>
      </c>
      <c r="K8730" t="s">
        <v>40731</v>
      </c>
      <c r="M8730" t="s">
        <v>43678</v>
      </c>
      <c r="N8730" t="s">
        <v>44905</v>
      </c>
      <c r="O8730" t="s">
        <v>44906</v>
      </c>
      <c r="P8730">
        <v>0</v>
      </c>
      <c r="Q8730">
        <v>0</v>
      </c>
      <c r="R8730" t="s">
        <v>44911</v>
      </c>
      <c r="S8730" t="s">
        <v>45139</v>
      </c>
      <c r="T8730" t="s">
        <v>46432</v>
      </c>
      <c r="U8730" t="s">
        <v>53937</v>
      </c>
      <c r="V8730" t="s">
        <v>59917</v>
      </c>
      <c r="W8730" t="s">
        <v>43678</v>
      </c>
      <c r="X8730" t="s">
        <v>44914</v>
      </c>
    </row>
    <row r="8731" spans="1:24">
      <c r="A8731">
        <f>HYPERLINK("https://www.philgeps.gov.ph/GEPSNONPILOT/Tender/SplashBidNoticeAbstractUI.aspx?menuIndex=3&amp;refID=7071581&amp;Result=3","7071581")</f>
        <v>0</v>
      </c>
      <c r="B8731" t="s">
        <v>663</v>
      </c>
      <c r="C8731" t="s">
        <v>11842</v>
      </c>
      <c r="D8731" t="s">
        <v>18103</v>
      </c>
      <c r="E8731" t="s">
        <v>25833</v>
      </c>
      <c r="F8731" t="s">
        <v>31362</v>
      </c>
      <c r="G8731" t="s">
        <v>31370</v>
      </c>
      <c r="H8731" t="s">
        <v>15799</v>
      </c>
      <c r="I8731" t="s">
        <v>6155</v>
      </c>
      <c r="J8731" t="s">
        <v>31806</v>
      </c>
      <c r="K8731" t="s">
        <v>40661</v>
      </c>
      <c r="M8731" t="s">
        <v>41625</v>
      </c>
      <c r="N8731" t="s">
        <v>44905</v>
      </c>
      <c r="O8731" t="s">
        <v>44906</v>
      </c>
      <c r="P8731">
        <v>0</v>
      </c>
      <c r="Q8731">
        <v>7</v>
      </c>
      <c r="R8731" t="s">
        <v>44911</v>
      </c>
      <c r="S8731" t="s">
        <v>45139</v>
      </c>
      <c r="T8731" t="s">
        <v>46410</v>
      </c>
      <c r="U8731" t="s">
        <v>53938</v>
      </c>
      <c r="W8731" t="s">
        <v>41625</v>
      </c>
      <c r="X8731" t="s">
        <v>44914</v>
      </c>
    </row>
    <row r="8732" spans="1:24">
      <c r="A8732">
        <f>HYPERLINK("https://www.philgeps.gov.ph/GEPSNONPILOT/Tender/SplashBidNoticeAbstractUI.aspx?menuIndex=3&amp;refID=7071404&amp;Result=3","7071404")</f>
        <v>0</v>
      </c>
      <c r="B8732" t="s">
        <v>1895</v>
      </c>
      <c r="C8732" t="s">
        <v>11843</v>
      </c>
      <c r="D8732" t="s">
        <v>18151</v>
      </c>
      <c r="E8732" t="s">
        <v>25834</v>
      </c>
      <c r="F8732" t="s">
        <v>31362</v>
      </c>
      <c r="G8732" t="s">
        <v>31369</v>
      </c>
      <c r="H8732" t="s">
        <v>15799</v>
      </c>
      <c r="I8732" t="s">
        <v>31404</v>
      </c>
      <c r="J8732" t="s">
        <v>36856</v>
      </c>
      <c r="K8732" t="s">
        <v>40679</v>
      </c>
      <c r="M8732" t="s">
        <v>42990</v>
      </c>
      <c r="N8732" t="s">
        <v>44905</v>
      </c>
      <c r="O8732" t="s">
        <v>44906</v>
      </c>
      <c r="P8732">
        <v>0</v>
      </c>
      <c r="Q8732">
        <v>0</v>
      </c>
      <c r="R8732" t="s">
        <v>44911</v>
      </c>
      <c r="S8732" t="s">
        <v>45139</v>
      </c>
      <c r="T8732" t="s">
        <v>46419</v>
      </c>
      <c r="U8732" t="s">
        <v>53939</v>
      </c>
      <c r="W8732" t="s">
        <v>42990</v>
      </c>
      <c r="X8732" t="s">
        <v>44914</v>
      </c>
    </row>
    <row r="8733" spans="1:24">
      <c r="A8733">
        <f>HYPERLINK("https://www.philgeps.gov.ph/GEPSNONPILOT/Tender/SplashBidNoticeAbstractUI.aspx?menuIndex=3&amp;refID=7071862&amp;Result=3","7071862")</f>
        <v>0</v>
      </c>
      <c r="B8733" t="s">
        <v>2540</v>
      </c>
      <c r="C8733" t="s">
        <v>11844</v>
      </c>
      <c r="D8733" t="s">
        <v>18167</v>
      </c>
      <c r="E8733" t="s">
        <v>21292</v>
      </c>
      <c r="F8733" t="s">
        <v>31362</v>
      </c>
      <c r="G8733" t="s">
        <v>31373</v>
      </c>
      <c r="H8733" t="s">
        <v>15799</v>
      </c>
      <c r="I8733" t="s">
        <v>3815</v>
      </c>
      <c r="J8733" t="s">
        <v>36857</v>
      </c>
      <c r="K8733" t="s">
        <v>40666</v>
      </c>
      <c r="M8733" t="s">
        <v>43709</v>
      </c>
      <c r="N8733" t="s">
        <v>44905</v>
      </c>
      <c r="O8733" t="s">
        <v>44906</v>
      </c>
      <c r="P8733">
        <v>0</v>
      </c>
      <c r="Q8733">
        <v>0</v>
      </c>
      <c r="R8733" t="s">
        <v>44911</v>
      </c>
      <c r="S8733" t="s">
        <v>45139</v>
      </c>
      <c r="T8733" t="s">
        <v>46392</v>
      </c>
      <c r="U8733" t="s">
        <v>53940</v>
      </c>
      <c r="W8733" t="s">
        <v>43709</v>
      </c>
      <c r="X8733" t="s">
        <v>44914</v>
      </c>
    </row>
    <row r="8734" spans="1:24">
      <c r="A8734">
        <f>HYPERLINK("https://www.philgeps.gov.ph/GEPSNONPILOT/Tender/SplashBidNoticeAbstractUI.aspx?menuIndex=3&amp;refID=7071845&amp;Result=3","7071845")</f>
        <v>0</v>
      </c>
      <c r="B8734" t="s">
        <v>558</v>
      </c>
      <c r="C8734" t="s">
        <v>11845</v>
      </c>
      <c r="D8734" t="s">
        <v>18107</v>
      </c>
      <c r="E8734" t="s">
        <v>20160</v>
      </c>
      <c r="F8734" t="s">
        <v>31362</v>
      </c>
      <c r="G8734" t="s">
        <v>31369</v>
      </c>
      <c r="H8734" t="s">
        <v>15799</v>
      </c>
      <c r="I8734" t="s">
        <v>31466</v>
      </c>
      <c r="J8734" t="s">
        <v>36858</v>
      </c>
      <c r="K8734" t="s">
        <v>40665</v>
      </c>
      <c r="M8734" t="s">
        <v>41514</v>
      </c>
      <c r="N8734" t="s">
        <v>44905</v>
      </c>
      <c r="O8734" t="s">
        <v>44906</v>
      </c>
      <c r="P8734">
        <v>0</v>
      </c>
      <c r="Q8734">
        <v>0</v>
      </c>
      <c r="R8734" t="s">
        <v>44911</v>
      </c>
      <c r="S8734" t="s">
        <v>45139</v>
      </c>
      <c r="T8734" t="s">
        <v>46530</v>
      </c>
      <c r="U8734" t="s">
        <v>53941</v>
      </c>
      <c r="W8734" t="s">
        <v>41514</v>
      </c>
      <c r="X8734" t="s">
        <v>44914</v>
      </c>
    </row>
    <row r="8735" spans="1:24">
      <c r="A8735">
        <f>HYPERLINK("https://www.philgeps.gov.ph/GEPSNONPILOT/Tender/SplashBidNoticeAbstractUI.aspx?menuIndex=3&amp;refID=7071788&amp;Result=3","7071788")</f>
        <v>0</v>
      </c>
      <c r="B8735" t="s">
        <v>1333</v>
      </c>
      <c r="C8735" t="s">
        <v>11846</v>
      </c>
      <c r="D8735" t="s">
        <v>18139</v>
      </c>
      <c r="E8735" t="s">
        <v>25835</v>
      </c>
      <c r="F8735" t="s">
        <v>31362</v>
      </c>
      <c r="G8735" t="s">
        <v>31368</v>
      </c>
      <c r="H8735" t="s">
        <v>15799</v>
      </c>
      <c r="I8735" t="s">
        <v>3815</v>
      </c>
      <c r="J8735" t="s">
        <v>36859</v>
      </c>
      <c r="K8735" t="s">
        <v>40661</v>
      </c>
      <c r="M8735" t="s">
        <v>42351</v>
      </c>
      <c r="N8735" t="s">
        <v>44905</v>
      </c>
      <c r="O8735" t="s">
        <v>44906</v>
      </c>
      <c r="P8735">
        <v>0</v>
      </c>
      <c r="Q8735">
        <v>0</v>
      </c>
      <c r="R8735" t="s">
        <v>44911</v>
      </c>
      <c r="S8735" t="s">
        <v>45139</v>
      </c>
      <c r="T8735" t="s">
        <v>46411</v>
      </c>
      <c r="U8735" t="s">
        <v>49870</v>
      </c>
      <c r="W8735" t="s">
        <v>42351</v>
      </c>
      <c r="X8735" t="s">
        <v>44914</v>
      </c>
    </row>
    <row r="8736" spans="1:24">
      <c r="A8736">
        <f>HYPERLINK("https://www.philgeps.gov.ph/GEPSNONPILOT/Tender/SplashBidNoticeAbstractUI.aspx?menuIndex=3&amp;refID=7071839&amp;Result=3","7071839")</f>
        <v>0</v>
      </c>
      <c r="B8736" t="s">
        <v>377</v>
      </c>
      <c r="C8736" t="s">
        <v>11847</v>
      </c>
      <c r="D8736" t="s">
        <v>18108</v>
      </c>
      <c r="E8736" t="s">
        <v>25836</v>
      </c>
      <c r="F8736" t="s">
        <v>31362</v>
      </c>
      <c r="G8736" t="s">
        <v>31369</v>
      </c>
      <c r="H8736" t="s">
        <v>15799</v>
      </c>
      <c r="I8736" t="s">
        <v>31393</v>
      </c>
      <c r="J8736" t="s">
        <v>36860</v>
      </c>
      <c r="K8736" t="s">
        <v>40675</v>
      </c>
      <c r="M8736" t="s">
        <v>43710</v>
      </c>
      <c r="N8736" t="s">
        <v>44905</v>
      </c>
      <c r="O8736" t="s">
        <v>44906</v>
      </c>
      <c r="P8736">
        <v>0</v>
      </c>
      <c r="Q8736">
        <v>8</v>
      </c>
      <c r="R8736" t="s">
        <v>44911</v>
      </c>
      <c r="S8736" t="s">
        <v>45139</v>
      </c>
      <c r="T8736" t="s">
        <v>46671</v>
      </c>
      <c r="U8736" t="s">
        <v>53942</v>
      </c>
      <c r="W8736" t="s">
        <v>43710</v>
      </c>
      <c r="X8736" t="s">
        <v>44914</v>
      </c>
    </row>
    <row r="8737" spans="1:24">
      <c r="A8737">
        <f>HYPERLINK("https://www.philgeps.gov.ph/GEPSNONPILOT/Tender/SplashBidNoticeAbstractUI.aspx?menuIndex=3&amp;refID=7071783&amp;Result=3","7071783")</f>
        <v>0</v>
      </c>
      <c r="B8737" t="s">
        <v>2541</v>
      </c>
      <c r="C8737" t="s">
        <v>11848</v>
      </c>
      <c r="D8737" t="s">
        <v>18154</v>
      </c>
      <c r="E8737" t="s">
        <v>25837</v>
      </c>
      <c r="F8737" t="s">
        <v>31362</v>
      </c>
      <c r="G8737" t="s">
        <v>31370</v>
      </c>
      <c r="H8737" t="s">
        <v>15799</v>
      </c>
      <c r="I8737" t="s">
        <v>13635</v>
      </c>
      <c r="J8737" t="s">
        <v>36861</v>
      </c>
      <c r="K8737" t="s">
        <v>40666</v>
      </c>
      <c r="M8737" t="s">
        <v>43711</v>
      </c>
      <c r="N8737" t="s">
        <v>44905</v>
      </c>
      <c r="O8737" t="s">
        <v>44906</v>
      </c>
      <c r="P8737">
        <v>0</v>
      </c>
      <c r="Q8737">
        <v>0</v>
      </c>
      <c r="R8737" t="s">
        <v>44911</v>
      </c>
      <c r="S8737" t="s">
        <v>45139</v>
      </c>
      <c r="T8737" t="s">
        <v>46432</v>
      </c>
      <c r="U8737" t="s">
        <v>53943</v>
      </c>
      <c r="W8737" t="s">
        <v>43711</v>
      </c>
      <c r="X8737" t="s">
        <v>44914</v>
      </c>
    </row>
    <row r="8738" spans="1:24">
      <c r="A8738">
        <f>HYPERLINK("https://www.philgeps.gov.ph/GEPSNONPILOT/Tender/SplashBidNoticeAbstractUI.aspx?menuIndex=3&amp;refID=7071535&amp;Result=3","7071535")</f>
        <v>0</v>
      </c>
      <c r="B8738" t="s">
        <v>663</v>
      </c>
      <c r="C8738" t="s">
        <v>11849</v>
      </c>
      <c r="D8738" t="s">
        <v>18103</v>
      </c>
      <c r="E8738" t="s">
        <v>21736</v>
      </c>
      <c r="F8738" t="s">
        <v>31362</v>
      </c>
      <c r="G8738" t="s">
        <v>31370</v>
      </c>
      <c r="H8738" t="s">
        <v>15799</v>
      </c>
      <c r="I8738" t="s">
        <v>31427</v>
      </c>
      <c r="J8738" t="s">
        <v>31541</v>
      </c>
      <c r="K8738" t="s">
        <v>40661</v>
      </c>
      <c r="M8738" t="s">
        <v>41625</v>
      </c>
      <c r="N8738" t="s">
        <v>44905</v>
      </c>
      <c r="O8738" t="s">
        <v>44906</v>
      </c>
      <c r="P8738">
        <v>0</v>
      </c>
      <c r="Q8738">
        <v>1</v>
      </c>
      <c r="R8738" t="s">
        <v>44911</v>
      </c>
      <c r="S8738" t="s">
        <v>45139</v>
      </c>
      <c r="T8738" t="s">
        <v>46411</v>
      </c>
      <c r="U8738" t="s">
        <v>53944</v>
      </c>
      <c r="W8738" t="s">
        <v>41625</v>
      </c>
      <c r="X8738" t="s">
        <v>44914</v>
      </c>
    </row>
    <row r="8739" spans="1:24">
      <c r="A8739">
        <f>HYPERLINK("https://www.philgeps.gov.ph/GEPSNONPILOT/Tender/SplashBidNoticeAbstractUI.aspx?menuIndex=3&amp;refID=7071849&amp;Result=3","7071849")</f>
        <v>0</v>
      </c>
      <c r="B8739" t="s">
        <v>1579</v>
      </c>
      <c r="C8739" t="s">
        <v>11776</v>
      </c>
      <c r="D8739" t="s">
        <v>18117</v>
      </c>
      <c r="E8739" t="s">
        <v>25838</v>
      </c>
      <c r="F8739" t="s">
        <v>31362</v>
      </c>
      <c r="G8739" t="s">
        <v>31368</v>
      </c>
      <c r="H8739" t="s">
        <v>15799</v>
      </c>
      <c r="I8739" t="s">
        <v>6373</v>
      </c>
      <c r="J8739" t="s">
        <v>34990</v>
      </c>
      <c r="K8739" t="s">
        <v>40666</v>
      </c>
      <c r="M8739" t="s">
        <v>42633</v>
      </c>
      <c r="N8739" t="s">
        <v>44905</v>
      </c>
      <c r="O8739" t="s">
        <v>44906</v>
      </c>
      <c r="P8739">
        <v>0</v>
      </c>
      <c r="Q8739">
        <v>5</v>
      </c>
      <c r="R8739" t="s">
        <v>44911</v>
      </c>
      <c r="S8739" t="s">
        <v>45139</v>
      </c>
      <c r="T8739" t="s">
        <v>46394</v>
      </c>
      <c r="U8739" t="s">
        <v>53945</v>
      </c>
      <c r="W8739" t="s">
        <v>42633</v>
      </c>
      <c r="X8739" t="s">
        <v>44914</v>
      </c>
    </row>
    <row r="8740" spans="1:24">
      <c r="A8740">
        <f>HYPERLINK("https://www.philgeps.gov.ph/GEPSNONPILOT/Tender/SplashBidNoticeAbstractUI.aspx?menuIndex=3&amp;refID=7071740&amp;Result=3","7071740")</f>
        <v>0</v>
      </c>
      <c r="B8740" t="s">
        <v>2542</v>
      </c>
      <c r="C8740" t="s">
        <v>11850</v>
      </c>
      <c r="D8740" t="s">
        <v>18109</v>
      </c>
      <c r="E8740" t="s">
        <v>25839</v>
      </c>
      <c r="F8740" t="s">
        <v>31362</v>
      </c>
      <c r="G8740" t="s">
        <v>31370</v>
      </c>
      <c r="H8740" t="s">
        <v>15799</v>
      </c>
      <c r="I8740" t="s">
        <v>31406</v>
      </c>
      <c r="J8740" t="s">
        <v>36862</v>
      </c>
      <c r="K8740" t="s">
        <v>40670</v>
      </c>
      <c r="M8740" t="s">
        <v>43712</v>
      </c>
      <c r="N8740" t="s">
        <v>44905</v>
      </c>
      <c r="O8740" t="s">
        <v>44906</v>
      </c>
      <c r="P8740">
        <v>0</v>
      </c>
      <c r="Q8740">
        <v>2</v>
      </c>
      <c r="R8740" t="s">
        <v>44911</v>
      </c>
      <c r="S8740" t="s">
        <v>45139</v>
      </c>
      <c r="T8740" t="s">
        <v>46408</v>
      </c>
      <c r="U8740" t="s">
        <v>53946</v>
      </c>
      <c r="V8740" t="s">
        <v>59939</v>
      </c>
      <c r="W8740" t="s">
        <v>43712</v>
      </c>
      <c r="X8740" t="s">
        <v>44914</v>
      </c>
    </row>
    <row r="8741" spans="1:24">
      <c r="A8741">
        <f>HYPERLINK("https://www.philgeps.gov.ph/GEPSNONPILOT/Tender/SplashBidNoticeAbstractUI.aspx?menuIndex=3&amp;refID=7071471&amp;Result=3","7071471")</f>
        <v>0</v>
      </c>
      <c r="B8741" t="s">
        <v>2543</v>
      </c>
      <c r="C8741" t="s">
        <v>11851</v>
      </c>
      <c r="D8741" t="s">
        <v>18164</v>
      </c>
      <c r="E8741" t="s">
        <v>11851</v>
      </c>
      <c r="F8741" t="s">
        <v>31362</v>
      </c>
      <c r="G8741" t="s">
        <v>31368</v>
      </c>
      <c r="H8741" t="s">
        <v>15799</v>
      </c>
      <c r="I8741" t="s">
        <v>31430</v>
      </c>
      <c r="J8741" t="s">
        <v>36863</v>
      </c>
      <c r="K8741" t="s">
        <v>40666</v>
      </c>
      <c r="M8741" t="s">
        <v>43713</v>
      </c>
      <c r="N8741" t="s">
        <v>44905</v>
      </c>
      <c r="O8741" t="s">
        <v>44906</v>
      </c>
      <c r="P8741">
        <v>0</v>
      </c>
      <c r="Q8741">
        <v>0</v>
      </c>
      <c r="R8741" t="s">
        <v>44911</v>
      </c>
      <c r="S8741" t="s">
        <v>45139</v>
      </c>
      <c r="T8741" t="s">
        <v>46411</v>
      </c>
      <c r="U8741" t="s">
        <v>53947</v>
      </c>
      <c r="W8741" t="s">
        <v>43713</v>
      </c>
      <c r="X8741" t="s">
        <v>44914</v>
      </c>
    </row>
    <row r="8742" spans="1:24">
      <c r="A8742">
        <f>HYPERLINK("https://www.philgeps.gov.ph/GEPSNONPILOT/Tender/SplashBidNoticeAbstractUI.aspx?menuIndex=3&amp;refID=7071856&amp;Result=3","7071856")</f>
        <v>0</v>
      </c>
      <c r="B8742" t="s">
        <v>377</v>
      </c>
      <c r="C8742" t="s">
        <v>11852</v>
      </c>
      <c r="D8742" t="s">
        <v>18108</v>
      </c>
      <c r="E8742" t="s">
        <v>25840</v>
      </c>
      <c r="F8742" t="s">
        <v>31362</v>
      </c>
      <c r="G8742" t="s">
        <v>31369</v>
      </c>
      <c r="H8742" t="s">
        <v>15799</v>
      </c>
      <c r="I8742" t="s">
        <v>31430</v>
      </c>
      <c r="J8742" t="s">
        <v>36864</v>
      </c>
      <c r="K8742" t="s">
        <v>40665</v>
      </c>
      <c r="M8742" t="s">
        <v>43710</v>
      </c>
      <c r="N8742" t="s">
        <v>44905</v>
      </c>
      <c r="O8742" t="s">
        <v>44906</v>
      </c>
      <c r="P8742">
        <v>0</v>
      </c>
      <c r="Q8742">
        <v>2</v>
      </c>
      <c r="R8742" t="s">
        <v>44911</v>
      </c>
      <c r="S8742" t="s">
        <v>45139</v>
      </c>
      <c r="T8742" t="s">
        <v>46671</v>
      </c>
      <c r="U8742" t="s">
        <v>53948</v>
      </c>
      <c r="W8742" t="s">
        <v>43710</v>
      </c>
      <c r="X8742" t="s">
        <v>44914</v>
      </c>
    </row>
    <row r="8743" spans="1:24">
      <c r="A8743">
        <f>HYPERLINK("https://www.philgeps.gov.ph/GEPSNONPILOT/Tender/SplashBidNoticeAbstractUI.aspx?menuIndex=3&amp;refID=7071705&amp;Result=3","7071705")</f>
        <v>0</v>
      </c>
      <c r="B8743" t="s">
        <v>2544</v>
      </c>
      <c r="C8743" t="s">
        <v>11853</v>
      </c>
      <c r="D8743" t="s">
        <v>18157</v>
      </c>
      <c r="E8743" t="s">
        <v>25841</v>
      </c>
      <c r="F8743" t="s">
        <v>31362</v>
      </c>
      <c r="G8743" t="s">
        <v>31369</v>
      </c>
      <c r="H8743" t="s">
        <v>15799</v>
      </c>
      <c r="I8743" t="s">
        <v>3815</v>
      </c>
      <c r="J8743" t="s">
        <v>36865</v>
      </c>
      <c r="K8743" t="s">
        <v>40665</v>
      </c>
      <c r="M8743" t="s">
        <v>43714</v>
      </c>
      <c r="N8743" t="s">
        <v>44905</v>
      </c>
      <c r="O8743" t="s">
        <v>44906</v>
      </c>
      <c r="P8743">
        <v>0</v>
      </c>
      <c r="Q8743">
        <v>0</v>
      </c>
      <c r="R8743" t="s">
        <v>44911</v>
      </c>
      <c r="S8743" t="s">
        <v>45139</v>
      </c>
      <c r="T8743" t="s">
        <v>46434</v>
      </c>
      <c r="U8743" t="s">
        <v>53949</v>
      </c>
      <c r="V8743" t="s">
        <v>59248</v>
      </c>
      <c r="W8743" t="s">
        <v>43714</v>
      </c>
      <c r="X8743" t="s">
        <v>44914</v>
      </c>
    </row>
    <row r="8744" spans="1:24">
      <c r="A8744">
        <f>HYPERLINK("https://www.philgeps.gov.ph/GEPSNONPILOT/Tender/SplashBidNoticeAbstractUI.aspx?menuIndex=3&amp;refID=7071758&amp;Result=3","7071758")</f>
        <v>0</v>
      </c>
      <c r="B8744" t="s">
        <v>217</v>
      </c>
      <c r="C8744" t="s">
        <v>11854</v>
      </c>
      <c r="D8744" t="s">
        <v>18108</v>
      </c>
      <c r="E8744" t="s">
        <v>11854</v>
      </c>
      <c r="F8744" t="s">
        <v>31362</v>
      </c>
      <c r="G8744" t="s">
        <v>31369</v>
      </c>
      <c r="H8744" t="s">
        <v>15799</v>
      </c>
      <c r="I8744" t="s">
        <v>31477</v>
      </c>
      <c r="J8744" t="s">
        <v>33868</v>
      </c>
      <c r="K8744" t="s">
        <v>40720</v>
      </c>
      <c r="M8744" t="s">
        <v>43715</v>
      </c>
      <c r="N8744" t="s">
        <v>44905</v>
      </c>
      <c r="O8744" t="s">
        <v>44906</v>
      </c>
      <c r="P8744">
        <v>0</v>
      </c>
      <c r="Q8744">
        <v>17</v>
      </c>
      <c r="R8744" t="s">
        <v>44911</v>
      </c>
      <c r="S8744" t="s">
        <v>45139</v>
      </c>
      <c r="T8744" t="s">
        <v>46690</v>
      </c>
      <c r="U8744" t="s">
        <v>53950</v>
      </c>
      <c r="V8744" t="s">
        <v>59940</v>
      </c>
      <c r="W8744" t="s">
        <v>43715</v>
      </c>
      <c r="X8744" t="s">
        <v>44914</v>
      </c>
    </row>
    <row r="8745" spans="1:24">
      <c r="A8745">
        <f>HYPERLINK("https://www.philgeps.gov.ph/GEPSNONPILOT/Tender/SplashBidNoticeAbstractUI.aspx?menuIndex=3&amp;refID=7070900&amp;Result=3","7070900")</f>
        <v>0</v>
      </c>
      <c r="B8745" t="s">
        <v>2525</v>
      </c>
      <c r="C8745" t="s">
        <v>11855</v>
      </c>
      <c r="D8745" t="s">
        <v>18112</v>
      </c>
      <c r="E8745" t="s">
        <v>25769</v>
      </c>
      <c r="F8745" t="s">
        <v>31362</v>
      </c>
      <c r="G8745" t="s">
        <v>31369</v>
      </c>
      <c r="H8745" t="s">
        <v>15799</v>
      </c>
      <c r="I8745" t="s">
        <v>31400</v>
      </c>
      <c r="J8745" t="s">
        <v>31530</v>
      </c>
      <c r="K8745" t="s">
        <v>40665</v>
      </c>
      <c r="M8745" t="s">
        <v>43694</v>
      </c>
      <c r="N8745" t="s">
        <v>44905</v>
      </c>
      <c r="O8745" t="s">
        <v>44906</v>
      </c>
      <c r="P8745">
        <v>0</v>
      </c>
      <c r="Q8745">
        <v>0</v>
      </c>
      <c r="R8745" t="s">
        <v>44911</v>
      </c>
      <c r="S8745" t="s">
        <v>45139</v>
      </c>
      <c r="T8745" t="s">
        <v>46499</v>
      </c>
      <c r="U8745" t="s">
        <v>53951</v>
      </c>
      <c r="W8745" t="s">
        <v>43694</v>
      </c>
      <c r="X8745" t="s">
        <v>44914</v>
      </c>
    </row>
    <row r="8746" spans="1:24">
      <c r="A8746">
        <f>HYPERLINK("https://www.philgeps.gov.ph/GEPSNONPILOT/Tender/SplashBidNoticeAbstractUI.aspx?menuIndex=3&amp;refID=7071654&amp;Result=3","7071654")</f>
        <v>0</v>
      </c>
      <c r="B8746" t="s">
        <v>2520</v>
      </c>
      <c r="C8746" t="s">
        <v>11856</v>
      </c>
      <c r="D8746" t="s">
        <v>18107</v>
      </c>
      <c r="E8746" t="s">
        <v>25842</v>
      </c>
      <c r="F8746" t="s">
        <v>31362</v>
      </c>
      <c r="G8746" t="s">
        <v>31369</v>
      </c>
      <c r="H8746" t="s">
        <v>15799</v>
      </c>
      <c r="I8746" t="s">
        <v>31484</v>
      </c>
      <c r="J8746" t="s">
        <v>36866</v>
      </c>
      <c r="K8746" t="s">
        <v>40661</v>
      </c>
      <c r="M8746" t="s">
        <v>43689</v>
      </c>
      <c r="N8746" t="s">
        <v>44905</v>
      </c>
      <c r="O8746" t="s">
        <v>44906</v>
      </c>
      <c r="P8746">
        <v>0</v>
      </c>
      <c r="Q8746">
        <v>3</v>
      </c>
      <c r="R8746" t="s">
        <v>44911</v>
      </c>
      <c r="S8746" t="s">
        <v>45139</v>
      </c>
      <c r="T8746" t="s">
        <v>46593</v>
      </c>
      <c r="U8746" t="s">
        <v>53952</v>
      </c>
      <c r="W8746" t="s">
        <v>43689</v>
      </c>
      <c r="X8746" t="s">
        <v>44914</v>
      </c>
    </row>
    <row r="8747" spans="1:24">
      <c r="A8747">
        <f>HYPERLINK("https://www.philgeps.gov.ph/GEPSNONPILOT/Tender/SplashBidNoticeAbstractUI.aspx?menuIndex=3&amp;refID=7071606&amp;Result=3","7071606")</f>
        <v>0</v>
      </c>
      <c r="B8747" t="s">
        <v>663</v>
      </c>
      <c r="C8747" t="s">
        <v>11857</v>
      </c>
      <c r="D8747" t="s">
        <v>18103</v>
      </c>
      <c r="E8747" t="s">
        <v>25843</v>
      </c>
      <c r="F8747" t="s">
        <v>31362</v>
      </c>
      <c r="G8747" t="s">
        <v>31370</v>
      </c>
      <c r="H8747" t="s">
        <v>15799</v>
      </c>
      <c r="I8747" t="s">
        <v>31464</v>
      </c>
      <c r="J8747" t="s">
        <v>31688</v>
      </c>
      <c r="K8747" t="s">
        <v>40661</v>
      </c>
      <c r="M8747" t="s">
        <v>41625</v>
      </c>
      <c r="N8747" t="s">
        <v>44905</v>
      </c>
      <c r="O8747" t="s">
        <v>44906</v>
      </c>
      <c r="P8747">
        <v>0</v>
      </c>
      <c r="Q8747">
        <v>3</v>
      </c>
      <c r="R8747" t="s">
        <v>44911</v>
      </c>
      <c r="S8747" t="s">
        <v>45139</v>
      </c>
      <c r="T8747" t="s">
        <v>46410</v>
      </c>
      <c r="U8747" t="s">
        <v>53953</v>
      </c>
      <c r="W8747" t="s">
        <v>41625</v>
      </c>
      <c r="X8747" t="s">
        <v>44914</v>
      </c>
    </row>
    <row r="8748" spans="1:24">
      <c r="A8748">
        <f>HYPERLINK("https://www.philgeps.gov.ph/GEPSNONPILOT/Tender/SplashBidNoticeAbstractUI.aspx?menuIndex=3&amp;refID=7071772&amp;Result=3","7071772")</f>
        <v>0</v>
      </c>
      <c r="B8748" t="s">
        <v>2545</v>
      </c>
      <c r="C8748" t="s">
        <v>11858</v>
      </c>
      <c r="D8748" t="s">
        <v>18102</v>
      </c>
      <c r="E8748" t="s">
        <v>18496</v>
      </c>
      <c r="F8748" t="s">
        <v>31363</v>
      </c>
      <c r="G8748" t="s">
        <v>31369</v>
      </c>
      <c r="H8748" t="s">
        <v>31378</v>
      </c>
      <c r="I8748" t="s">
        <v>31386</v>
      </c>
      <c r="J8748" t="s">
        <v>36867</v>
      </c>
      <c r="K8748" t="s">
        <v>40666</v>
      </c>
      <c r="M8748" t="s">
        <v>43716</v>
      </c>
      <c r="N8748" t="s">
        <v>44905</v>
      </c>
      <c r="O8748" t="s">
        <v>44906</v>
      </c>
      <c r="P8748">
        <v>0</v>
      </c>
      <c r="Q8748">
        <v>0</v>
      </c>
      <c r="R8748" t="s">
        <v>44911</v>
      </c>
      <c r="S8748" t="s">
        <v>45139</v>
      </c>
      <c r="T8748" t="s">
        <v>46626</v>
      </c>
      <c r="U8748" t="s">
        <v>53954</v>
      </c>
      <c r="V8748" t="s">
        <v>59231</v>
      </c>
      <c r="W8748" t="s">
        <v>43716</v>
      </c>
      <c r="X8748" t="s">
        <v>44914</v>
      </c>
    </row>
    <row r="8749" spans="1:24">
      <c r="A8749">
        <f>HYPERLINK("https://www.philgeps.gov.ph/GEPSNONPILOT/Tender/SplashBidNoticeAbstractUI.aspx?menuIndex=3&amp;refID=7071707&amp;Result=3","7071707")</f>
        <v>0</v>
      </c>
      <c r="B8749" t="s">
        <v>2546</v>
      </c>
      <c r="C8749" t="s">
        <v>11859</v>
      </c>
      <c r="D8749" t="s">
        <v>18101</v>
      </c>
      <c r="E8749" t="s">
        <v>25844</v>
      </c>
      <c r="F8749" t="s">
        <v>31362</v>
      </c>
      <c r="G8749" t="s">
        <v>31369</v>
      </c>
      <c r="H8749" t="s">
        <v>15799</v>
      </c>
      <c r="I8749" t="s">
        <v>7188</v>
      </c>
      <c r="J8749" t="s">
        <v>36868</v>
      </c>
      <c r="K8749" t="s">
        <v>40665</v>
      </c>
      <c r="M8749" t="s">
        <v>43717</v>
      </c>
      <c r="N8749" t="s">
        <v>44905</v>
      </c>
      <c r="O8749" t="s">
        <v>44906</v>
      </c>
      <c r="P8749">
        <v>0</v>
      </c>
      <c r="Q8749">
        <v>1</v>
      </c>
      <c r="R8749" t="s">
        <v>44911</v>
      </c>
      <c r="S8749" t="s">
        <v>45139</v>
      </c>
      <c r="T8749" t="s">
        <v>46779</v>
      </c>
      <c r="U8749" t="s">
        <v>53955</v>
      </c>
      <c r="W8749" t="s">
        <v>43717</v>
      </c>
      <c r="X8749" t="s">
        <v>44914</v>
      </c>
    </row>
    <row r="8750" spans="1:24">
      <c r="A8750">
        <f>HYPERLINK("https://www.philgeps.gov.ph/GEPSNONPILOT/Tender/SplashBidNoticeAbstractUI.aspx?menuIndex=3&amp;refID=7072039&amp;Result=3","7072039")</f>
        <v>0</v>
      </c>
      <c r="B8750" t="s">
        <v>245</v>
      </c>
      <c r="C8750" t="s">
        <v>11860</v>
      </c>
      <c r="D8750" t="s">
        <v>18108</v>
      </c>
      <c r="E8750" t="s">
        <v>25845</v>
      </c>
      <c r="F8750" t="s">
        <v>31362</v>
      </c>
      <c r="G8750" t="s">
        <v>31369</v>
      </c>
      <c r="H8750" t="s">
        <v>15799</v>
      </c>
      <c r="I8750" t="s">
        <v>31377</v>
      </c>
      <c r="J8750" t="s">
        <v>36869</v>
      </c>
      <c r="K8750" t="s">
        <v>40686</v>
      </c>
      <c r="M8750" t="s">
        <v>41184</v>
      </c>
      <c r="N8750" t="s">
        <v>44905</v>
      </c>
      <c r="O8750" t="s">
        <v>44906</v>
      </c>
      <c r="Q8750">
        <v>6</v>
      </c>
      <c r="R8750" t="s">
        <v>44911</v>
      </c>
      <c r="S8750" t="s">
        <v>45147</v>
      </c>
      <c r="T8750" t="s">
        <v>46788</v>
      </c>
      <c r="U8750" t="s">
        <v>53956</v>
      </c>
      <c r="V8750" t="s">
        <v>59941</v>
      </c>
      <c r="W8750" t="s">
        <v>41184</v>
      </c>
      <c r="X8750" t="s">
        <v>44914</v>
      </c>
    </row>
    <row r="8751" spans="1:24">
      <c r="A8751">
        <f>HYPERLINK("https://www.philgeps.gov.ph/GEPSNONPILOT/Tender/SplashBidNoticeAbstractUI.aspx?menuIndex=3&amp;refID=7072031&amp;Result=3","7072031")</f>
        <v>0</v>
      </c>
      <c r="B8751" t="s">
        <v>558</v>
      </c>
      <c r="C8751" t="s">
        <v>11861</v>
      </c>
      <c r="D8751" t="s">
        <v>18107</v>
      </c>
      <c r="E8751" t="s">
        <v>19322</v>
      </c>
      <c r="F8751" t="s">
        <v>31362</v>
      </c>
      <c r="G8751" t="s">
        <v>31370</v>
      </c>
      <c r="H8751" t="s">
        <v>15799</v>
      </c>
      <c r="I8751" t="s">
        <v>31380</v>
      </c>
      <c r="J8751" t="s">
        <v>31897</v>
      </c>
      <c r="K8751" t="s">
        <v>40661</v>
      </c>
      <c r="M8751" t="s">
        <v>41514</v>
      </c>
      <c r="N8751" t="s">
        <v>44905</v>
      </c>
      <c r="O8751" t="s">
        <v>44906</v>
      </c>
      <c r="P8751">
        <v>0</v>
      </c>
      <c r="Q8751">
        <v>0</v>
      </c>
      <c r="R8751" t="s">
        <v>44911</v>
      </c>
      <c r="S8751" t="s">
        <v>45139</v>
      </c>
      <c r="T8751" t="s">
        <v>46434</v>
      </c>
      <c r="U8751" t="s">
        <v>53957</v>
      </c>
      <c r="W8751" t="s">
        <v>41514</v>
      </c>
      <c r="X8751" t="s">
        <v>44914</v>
      </c>
    </row>
    <row r="8752" spans="1:24">
      <c r="A8752">
        <f>HYPERLINK("https://www.philgeps.gov.ph/GEPSNONPILOT/Tender/SplashBidNoticeAbstractUI.aspx?menuIndex=3&amp;refID=7071988&amp;Result=3","7071988")</f>
        <v>0</v>
      </c>
      <c r="B8752" t="s">
        <v>123</v>
      </c>
      <c r="C8752" t="s">
        <v>11862</v>
      </c>
      <c r="D8752" t="s">
        <v>18127</v>
      </c>
      <c r="E8752" t="s">
        <v>25846</v>
      </c>
      <c r="F8752" t="s">
        <v>31362</v>
      </c>
      <c r="G8752" t="s">
        <v>31368</v>
      </c>
      <c r="H8752" t="s">
        <v>15799</v>
      </c>
      <c r="I8752" t="s">
        <v>31391</v>
      </c>
      <c r="J8752" t="s">
        <v>34777</v>
      </c>
      <c r="K8752" t="s">
        <v>40665</v>
      </c>
      <c r="M8752" t="s">
        <v>43119</v>
      </c>
      <c r="N8752" t="s">
        <v>44905</v>
      </c>
      <c r="O8752" t="s">
        <v>44906</v>
      </c>
      <c r="P8752">
        <v>0</v>
      </c>
      <c r="Q8752">
        <v>8</v>
      </c>
      <c r="R8752" t="s">
        <v>44911</v>
      </c>
      <c r="S8752" t="s">
        <v>45139</v>
      </c>
      <c r="T8752" t="s">
        <v>46740</v>
      </c>
      <c r="U8752" t="s">
        <v>53958</v>
      </c>
      <c r="V8752" t="s">
        <v>49349</v>
      </c>
      <c r="W8752" t="s">
        <v>43119</v>
      </c>
      <c r="X8752" t="s">
        <v>44914</v>
      </c>
    </row>
    <row r="8753" spans="1:24">
      <c r="A8753">
        <f>HYPERLINK("https://www.philgeps.gov.ph/GEPSNONPILOT/Tender/SplashBidNoticeAbstractUI.aspx?menuIndex=3&amp;refID=7071610&amp;Result=3","7071610")</f>
        <v>0</v>
      </c>
      <c r="B8753" t="s">
        <v>2547</v>
      </c>
      <c r="C8753" t="s">
        <v>11863</v>
      </c>
      <c r="D8753" t="s">
        <v>18117</v>
      </c>
      <c r="E8753" t="s">
        <v>25847</v>
      </c>
      <c r="F8753" t="s">
        <v>31362</v>
      </c>
      <c r="G8753" t="s">
        <v>31369</v>
      </c>
      <c r="H8753" t="s">
        <v>15799</v>
      </c>
      <c r="I8753" t="s">
        <v>3815</v>
      </c>
      <c r="J8753" t="s">
        <v>36870</v>
      </c>
      <c r="K8753" t="s">
        <v>40665</v>
      </c>
      <c r="M8753" t="s">
        <v>43718</v>
      </c>
      <c r="N8753" t="s">
        <v>44905</v>
      </c>
      <c r="O8753" t="s">
        <v>44906</v>
      </c>
      <c r="P8753">
        <v>0</v>
      </c>
      <c r="Q8753">
        <v>0</v>
      </c>
      <c r="R8753" t="s">
        <v>44911</v>
      </c>
      <c r="S8753" t="s">
        <v>45139</v>
      </c>
      <c r="T8753" t="s">
        <v>46789</v>
      </c>
      <c r="U8753" t="s">
        <v>53959</v>
      </c>
      <c r="V8753" t="s">
        <v>59942</v>
      </c>
      <c r="W8753" t="s">
        <v>43718</v>
      </c>
      <c r="X8753" t="s">
        <v>44914</v>
      </c>
    </row>
    <row r="8754" spans="1:24">
      <c r="A8754">
        <f>HYPERLINK("https://www.philgeps.gov.ph/GEPSNONPILOT/Tender/SplashBidNoticeAbstractUI.aspx?menuIndex=3&amp;refID=7071982&amp;Result=3","7071982")</f>
        <v>0</v>
      </c>
      <c r="B8754" t="s">
        <v>246</v>
      </c>
      <c r="C8754" t="s">
        <v>11864</v>
      </c>
      <c r="D8754" t="s">
        <v>18104</v>
      </c>
      <c r="E8754" t="s">
        <v>25848</v>
      </c>
      <c r="F8754" t="s">
        <v>31362</v>
      </c>
      <c r="G8754" t="s">
        <v>31369</v>
      </c>
      <c r="H8754" t="s">
        <v>15799</v>
      </c>
      <c r="I8754" t="s">
        <v>7090</v>
      </c>
      <c r="J8754" t="s">
        <v>36871</v>
      </c>
      <c r="K8754" t="s">
        <v>40662</v>
      </c>
      <c r="M8754" t="s">
        <v>43719</v>
      </c>
      <c r="N8754" t="s">
        <v>44905</v>
      </c>
      <c r="O8754" t="s">
        <v>44906</v>
      </c>
      <c r="P8754">
        <v>0</v>
      </c>
      <c r="Q8754">
        <v>0</v>
      </c>
      <c r="R8754" t="s">
        <v>44911</v>
      </c>
      <c r="S8754" t="s">
        <v>45139</v>
      </c>
      <c r="T8754" t="s">
        <v>46681</v>
      </c>
      <c r="U8754" t="s">
        <v>53960</v>
      </c>
      <c r="W8754" t="s">
        <v>43719</v>
      </c>
      <c r="X8754" t="s">
        <v>44914</v>
      </c>
    </row>
    <row r="8755" spans="1:24">
      <c r="A8755">
        <f>HYPERLINK("https://www.philgeps.gov.ph/GEPSNONPILOT/Tender/SplashBidNoticeAbstractUI.aspx?menuIndex=3&amp;refID=7071768&amp;Result=3","7071768")</f>
        <v>0</v>
      </c>
      <c r="B8755" t="s">
        <v>1333</v>
      </c>
      <c r="C8755" t="s">
        <v>11865</v>
      </c>
      <c r="D8755" t="s">
        <v>18139</v>
      </c>
      <c r="E8755" t="s">
        <v>25849</v>
      </c>
      <c r="F8755" t="s">
        <v>31362</v>
      </c>
      <c r="G8755" t="s">
        <v>31368</v>
      </c>
      <c r="H8755" t="s">
        <v>15799</v>
      </c>
      <c r="I8755" t="s">
        <v>3815</v>
      </c>
      <c r="J8755" t="s">
        <v>36872</v>
      </c>
      <c r="K8755" t="s">
        <v>40661</v>
      </c>
      <c r="M8755" t="s">
        <v>42351</v>
      </c>
      <c r="N8755" t="s">
        <v>44905</v>
      </c>
      <c r="O8755" t="s">
        <v>44906</v>
      </c>
      <c r="P8755">
        <v>0</v>
      </c>
      <c r="Q8755">
        <v>0</v>
      </c>
      <c r="R8755" t="s">
        <v>44911</v>
      </c>
      <c r="S8755" t="s">
        <v>45139</v>
      </c>
      <c r="T8755" t="s">
        <v>46411</v>
      </c>
      <c r="U8755" t="s">
        <v>49870</v>
      </c>
      <c r="W8755" t="s">
        <v>42351</v>
      </c>
      <c r="X8755" t="s">
        <v>44914</v>
      </c>
    </row>
    <row r="8756" spans="1:24">
      <c r="A8756">
        <f>HYPERLINK("https://www.philgeps.gov.ph/GEPSNONPILOT/Tender/SplashBidNoticeAbstractUI.aspx?menuIndex=3&amp;refID=7072008&amp;Result=3","7072008")</f>
        <v>0</v>
      </c>
      <c r="B8756" t="s">
        <v>123</v>
      </c>
      <c r="C8756" t="s">
        <v>11866</v>
      </c>
      <c r="D8756" t="s">
        <v>18127</v>
      </c>
      <c r="E8756" t="s">
        <v>25850</v>
      </c>
      <c r="F8756" t="s">
        <v>31362</v>
      </c>
      <c r="G8756" t="s">
        <v>31368</v>
      </c>
      <c r="H8756" t="s">
        <v>15799</v>
      </c>
      <c r="I8756" t="s">
        <v>31408</v>
      </c>
      <c r="J8756" t="s">
        <v>31753</v>
      </c>
      <c r="K8756" t="s">
        <v>40665</v>
      </c>
      <c r="M8756" t="s">
        <v>43119</v>
      </c>
      <c r="N8756" t="s">
        <v>44905</v>
      </c>
      <c r="O8756" t="s">
        <v>44906</v>
      </c>
      <c r="P8756">
        <v>0</v>
      </c>
      <c r="Q8756">
        <v>2</v>
      </c>
      <c r="R8756" t="s">
        <v>44911</v>
      </c>
      <c r="S8756" t="s">
        <v>45139</v>
      </c>
      <c r="T8756" t="s">
        <v>46414</v>
      </c>
      <c r="U8756" t="s">
        <v>53961</v>
      </c>
      <c r="V8756" t="s">
        <v>49349</v>
      </c>
      <c r="W8756" t="s">
        <v>43119</v>
      </c>
      <c r="X8756" t="s">
        <v>44914</v>
      </c>
    </row>
    <row r="8757" spans="1:24">
      <c r="A8757">
        <f>HYPERLINK("https://www.philgeps.gov.ph/GEPSNONPILOT/Tender/SplashBidNoticeAbstractUI.aspx?menuIndex=3&amp;refID=7071961&amp;Result=3","7071961")</f>
        <v>0</v>
      </c>
      <c r="B8757" t="s">
        <v>1134</v>
      </c>
      <c r="C8757" t="s">
        <v>11867</v>
      </c>
      <c r="D8757" t="s">
        <v>18134</v>
      </c>
      <c r="E8757" t="s">
        <v>25851</v>
      </c>
      <c r="F8757" t="s">
        <v>31362</v>
      </c>
      <c r="G8757" t="s">
        <v>31369</v>
      </c>
      <c r="H8757" t="s">
        <v>15799</v>
      </c>
      <c r="I8757" t="s">
        <v>4283</v>
      </c>
      <c r="J8757" t="s">
        <v>36873</v>
      </c>
      <c r="K8757" t="s">
        <v>40665</v>
      </c>
      <c r="M8757" t="s">
        <v>42483</v>
      </c>
      <c r="N8757" t="s">
        <v>44905</v>
      </c>
      <c r="O8757" t="s">
        <v>44906</v>
      </c>
      <c r="P8757">
        <v>0</v>
      </c>
      <c r="Q8757">
        <v>4</v>
      </c>
      <c r="R8757" t="s">
        <v>44911</v>
      </c>
      <c r="S8757" t="s">
        <v>45139</v>
      </c>
      <c r="T8757" t="s">
        <v>46559</v>
      </c>
      <c r="U8757" t="s">
        <v>53962</v>
      </c>
      <c r="W8757" t="s">
        <v>42483</v>
      </c>
      <c r="X8757" t="s">
        <v>44914</v>
      </c>
    </row>
    <row r="8758" spans="1:24">
      <c r="A8758">
        <f>HYPERLINK("https://www.philgeps.gov.ph/GEPSNONPILOT/Tender/SplashBidNoticeAbstractUI.aspx?menuIndex=3&amp;refID=7071957&amp;Result=3","7071957")</f>
        <v>0</v>
      </c>
      <c r="B8758" t="s">
        <v>1579</v>
      </c>
      <c r="C8758" t="s">
        <v>11868</v>
      </c>
      <c r="D8758" t="s">
        <v>18117</v>
      </c>
      <c r="E8758" t="s">
        <v>25852</v>
      </c>
      <c r="F8758" t="s">
        <v>31362</v>
      </c>
      <c r="G8758" t="s">
        <v>31369</v>
      </c>
      <c r="H8758" t="s">
        <v>31379</v>
      </c>
      <c r="I8758" t="s">
        <v>6155</v>
      </c>
      <c r="J8758" t="s">
        <v>36874</v>
      </c>
      <c r="K8758" t="s">
        <v>40679</v>
      </c>
      <c r="M8758" t="s">
        <v>42956</v>
      </c>
      <c r="N8758" t="s">
        <v>44905</v>
      </c>
      <c r="O8758" t="s">
        <v>44906</v>
      </c>
      <c r="P8758">
        <v>0</v>
      </c>
      <c r="Q8758">
        <v>11</v>
      </c>
      <c r="R8758" t="s">
        <v>44911</v>
      </c>
      <c r="S8758" t="s">
        <v>45139</v>
      </c>
      <c r="T8758" t="s">
        <v>46696</v>
      </c>
      <c r="U8758" t="s">
        <v>53963</v>
      </c>
      <c r="W8758" t="s">
        <v>42956</v>
      </c>
      <c r="X8758" t="s">
        <v>44914</v>
      </c>
    </row>
    <row r="8759" spans="1:24">
      <c r="A8759">
        <f>HYPERLINK("https://www.philgeps.gov.ph/GEPSNONPILOT/Tender/SplashBidNoticeAbstractUI.aspx?menuIndex=3&amp;refID=7071932&amp;Result=3","7071932")</f>
        <v>0</v>
      </c>
      <c r="B8759" t="s">
        <v>1579</v>
      </c>
      <c r="C8759" t="s">
        <v>11869</v>
      </c>
      <c r="D8759" t="s">
        <v>18192</v>
      </c>
      <c r="E8759" t="s">
        <v>25853</v>
      </c>
      <c r="F8759" t="s">
        <v>31362</v>
      </c>
      <c r="G8759" t="s">
        <v>31369</v>
      </c>
      <c r="H8759" t="s">
        <v>15799</v>
      </c>
      <c r="I8759" t="s">
        <v>31459</v>
      </c>
      <c r="J8759" t="s">
        <v>36875</v>
      </c>
      <c r="K8759" t="s">
        <v>40682</v>
      </c>
      <c r="M8759" t="s">
        <v>42956</v>
      </c>
      <c r="N8759" t="s">
        <v>44905</v>
      </c>
      <c r="O8759" t="s">
        <v>44906</v>
      </c>
      <c r="P8759">
        <v>0</v>
      </c>
      <c r="Q8759">
        <v>2</v>
      </c>
      <c r="R8759" t="s">
        <v>44911</v>
      </c>
      <c r="S8759" t="s">
        <v>45139</v>
      </c>
      <c r="T8759" t="s">
        <v>46696</v>
      </c>
      <c r="U8759" t="s">
        <v>53964</v>
      </c>
      <c r="W8759" t="s">
        <v>42956</v>
      </c>
      <c r="X8759" t="s">
        <v>44914</v>
      </c>
    </row>
    <row r="8760" spans="1:24">
      <c r="A8760">
        <f>HYPERLINK("https://www.philgeps.gov.ph/GEPSNONPILOT/Tender/SplashBidNoticeAbstractUI.aspx?menuIndex=3&amp;refID=7071929&amp;Result=3","7071929")</f>
        <v>0</v>
      </c>
      <c r="B8760" t="s">
        <v>2548</v>
      </c>
      <c r="C8760" t="s">
        <v>11870</v>
      </c>
      <c r="D8760" t="s">
        <v>18114</v>
      </c>
      <c r="E8760" t="s">
        <v>25854</v>
      </c>
      <c r="F8760" t="s">
        <v>31362</v>
      </c>
      <c r="G8760" t="s">
        <v>31369</v>
      </c>
      <c r="H8760" t="s">
        <v>15799</v>
      </c>
      <c r="I8760" t="s">
        <v>4057</v>
      </c>
      <c r="J8760" t="s">
        <v>36876</v>
      </c>
      <c r="K8760" t="s">
        <v>40662</v>
      </c>
      <c r="M8760" t="s">
        <v>43720</v>
      </c>
      <c r="N8760" t="s">
        <v>44905</v>
      </c>
      <c r="O8760" t="s">
        <v>44906</v>
      </c>
      <c r="P8760">
        <v>0</v>
      </c>
      <c r="Q8760">
        <v>1</v>
      </c>
      <c r="R8760" t="s">
        <v>44911</v>
      </c>
      <c r="S8760" t="s">
        <v>45139</v>
      </c>
      <c r="T8760" t="s">
        <v>46411</v>
      </c>
      <c r="U8760" t="s">
        <v>53965</v>
      </c>
      <c r="W8760" t="s">
        <v>43720</v>
      </c>
      <c r="X8760" t="s">
        <v>44914</v>
      </c>
    </row>
    <row r="8761" spans="1:24">
      <c r="A8761">
        <f>HYPERLINK("https://www.philgeps.gov.ph/GEPSNONPILOT/Tender/SplashBidNoticeAbstractUI.aspx?menuIndex=3&amp;refID=7071927&amp;Result=3","7071927")</f>
        <v>0</v>
      </c>
      <c r="B8761" t="s">
        <v>2549</v>
      </c>
      <c r="C8761" t="s">
        <v>11871</v>
      </c>
      <c r="D8761" t="s">
        <v>18117</v>
      </c>
      <c r="E8761" t="s">
        <v>21820</v>
      </c>
      <c r="F8761" t="s">
        <v>31362</v>
      </c>
      <c r="G8761" t="s">
        <v>31369</v>
      </c>
      <c r="H8761" t="s">
        <v>31378</v>
      </c>
      <c r="I8761" t="s">
        <v>31386</v>
      </c>
      <c r="J8761" t="s">
        <v>36877</v>
      </c>
      <c r="K8761" t="s">
        <v>40665</v>
      </c>
      <c r="M8761" t="s">
        <v>43721</v>
      </c>
      <c r="N8761" t="s">
        <v>44905</v>
      </c>
      <c r="O8761" t="s">
        <v>44906</v>
      </c>
      <c r="P8761">
        <v>0</v>
      </c>
      <c r="Q8761">
        <v>0</v>
      </c>
      <c r="R8761" t="s">
        <v>44911</v>
      </c>
      <c r="S8761" t="s">
        <v>45139</v>
      </c>
      <c r="T8761" t="s">
        <v>46447</v>
      </c>
      <c r="U8761" t="s">
        <v>53966</v>
      </c>
      <c r="V8761" t="s">
        <v>59943</v>
      </c>
      <c r="W8761" t="s">
        <v>43721</v>
      </c>
      <c r="X8761" t="s">
        <v>44914</v>
      </c>
    </row>
    <row r="8762" spans="1:24">
      <c r="A8762">
        <f>HYPERLINK("https://www.philgeps.gov.ph/GEPSNONPILOT/Tender/SplashBidNoticeAbstractUI.aspx?menuIndex=3&amp;refID=7071778&amp;Result=3","7071778")</f>
        <v>0</v>
      </c>
      <c r="B8762" t="s">
        <v>377</v>
      </c>
      <c r="C8762" t="s">
        <v>11872</v>
      </c>
      <c r="D8762" t="s">
        <v>18108</v>
      </c>
      <c r="E8762" t="s">
        <v>25855</v>
      </c>
      <c r="F8762" t="s">
        <v>31362</v>
      </c>
      <c r="G8762" t="s">
        <v>31369</v>
      </c>
      <c r="H8762" t="s">
        <v>15799</v>
      </c>
      <c r="I8762" t="s">
        <v>31413</v>
      </c>
      <c r="J8762" t="s">
        <v>36878</v>
      </c>
      <c r="K8762" t="s">
        <v>40665</v>
      </c>
      <c r="M8762" t="s">
        <v>43710</v>
      </c>
      <c r="N8762" t="s">
        <v>44905</v>
      </c>
      <c r="O8762" t="s">
        <v>44906</v>
      </c>
      <c r="P8762">
        <v>0</v>
      </c>
      <c r="Q8762">
        <v>2</v>
      </c>
      <c r="R8762" t="s">
        <v>44911</v>
      </c>
      <c r="S8762" t="s">
        <v>45139</v>
      </c>
      <c r="T8762" t="s">
        <v>46465</v>
      </c>
      <c r="U8762" t="s">
        <v>53967</v>
      </c>
      <c r="W8762" t="s">
        <v>43710</v>
      </c>
      <c r="X8762" t="s">
        <v>44914</v>
      </c>
    </row>
    <row r="8763" spans="1:24">
      <c r="A8763">
        <f>HYPERLINK("https://www.philgeps.gov.ph/GEPSNONPILOT/Tender/SplashBidNoticeAbstractUI.aspx?menuIndex=3&amp;refID=7071918&amp;Result=3","7071918")</f>
        <v>0</v>
      </c>
      <c r="B8763" t="s">
        <v>766</v>
      </c>
      <c r="C8763" t="s">
        <v>11873</v>
      </c>
      <c r="D8763" t="s">
        <v>18176</v>
      </c>
      <c r="E8763" t="s">
        <v>25856</v>
      </c>
      <c r="F8763" t="s">
        <v>31362</v>
      </c>
      <c r="G8763" t="s">
        <v>31369</v>
      </c>
      <c r="H8763" t="s">
        <v>15799</v>
      </c>
      <c r="I8763" t="s">
        <v>31396</v>
      </c>
      <c r="J8763" t="s">
        <v>33046</v>
      </c>
      <c r="K8763" t="s">
        <v>40675</v>
      </c>
      <c r="M8763" t="s">
        <v>41734</v>
      </c>
      <c r="N8763" t="s">
        <v>44905</v>
      </c>
      <c r="O8763" t="s">
        <v>44906</v>
      </c>
      <c r="P8763">
        <v>0</v>
      </c>
      <c r="Q8763">
        <v>12</v>
      </c>
      <c r="R8763" t="s">
        <v>44911</v>
      </c>
      <c r="S8763" t="s">
        <v>45139</v>
      </c>
      <c r="T8763" t="s">
        <v>46433</v>
      </c>
      <c r="U8763" t="s">
        <v>53968</v>
      </c>
      <c r="W8763" t="s">
        <v>41734</v>
      </c>
      <c r="X8763" t="s">
        <v>44914</v>
      </c>
    </row>
    <row r="8764" spans="1:24">
      <c r="A8764">
        <f>HYPERLINK("https://www.philgeps.gov.ph/GEPSNONPILOT/Tender/SplashBidNoticeAbstractUI.aspx?menuIndex=3&amp;refID=7071971&amp;Result=3","7071971")</f>
        <v>0</v>
      </c>
      <c r="B8764" t="s">
        <v>123</v>
      </c>
      <c r="C8764" t="s">
        <v>11874</v>
      </c>
      <c r="D8764" t="s">
        <v>18127</v>
      </c>
      <c r="E8764" t="s">
        <v>25857</v>
      </c>
      <c r="F8764" t="s">
        <v>31362</v>
      </c>
      <c r="G8764" t="s">
        <v>31368</v>
      </c>
      <c r="H8764" t="s">
        <v>15799</v>
      </c>
      <c r="I8764" t="s">
        <v>31397</v>
      </c>
      <c r="J8764" t="s">
        <v>33272</v>
      </c>
      <c r="K8764" t="s">
        <v>40665</v>
      </c>
      <c r="M8764" t="s">
        <v>43119</v>
      </c>
      <c r="N8764" t="s">
        <v>44905</v>
      </c>
      <c r="O8764" t="s">
        <v>44906</v>
      </c>
      <c r="P8764">
        <v>0</v>
      </c>
      <c r="Q8764">
        <v>4</v>
      </c>
      <c r="R8764" t="s">
        <v>44911</v>
      </c>
      <c r="S8764" t="s">
        <v>45139</v>
      </c>
      <c r="T8764" t="s">
        <v>46740</v>
      </c>
      <c r="U8764" t="s">
        <v>53969</v>
      </c>
      <c r="V8764" t="s">
        <v>49349</v>
      </c>
      <c r="W8764" t="s">
        <v>43119</v>
      </c>
      <c r="X8764" t="s">
        <v>44914</v>
      </c>
    </row>
    <row r="8765" spans="1:24">
      <c r="A8765">
        <f>HYPERLINK("https://www.philgeps.gov.ph/GEPSNONPILOT/Tender/SplashBidNoticeAbstractUI.aspx?menuIndex=3&amp;refID=7071915&amp;Result=3","7071915")</f>
        <v>0</v>
      </c>
      <c r="B8765" t="s">
        <v>377</v>
      </c>
      <c r="C8765" t="s">
        <v>11875</v>
      </c>
      <c r="D8765" t="s">
        <v>18108</v>
      </c>
      <c r="E8765" t="s">
        <v>25858</v>
      </c>
      <c r="F8765" t="s">
        <v>31362</v>
      </c>
      <c r="G8765" t="s">
        <v>31369</v>
      </c>
      <c r="H8765" t="s">
        <v>15799</v>
      </c>
      <c r="I8765" t="s">
        <v>31450</v>
      </c>
      <c r="J8765" t="s">
        <v>36879</v>
      </c>
      <c r="K8765" t="s">
        <v>40666</v>
      </c>
      <c r="M8765" t="s">
        <v>43710</v>
      </c>
      <c r="N8765" t="s">
        <v>44905</v>
      </c>
      <c r="O8765" t="s">
        <v>44906</v>
      </c>
      <c r="P8765">
        <v>0</v>
      </c>
      <c r="Q8765">
        <v>5</v>
      </c>
      <c r="R8765" t="s">
        <v>44911</v>
      </c>
      <c r="S8765" t="s">
        <v>45139</v>
      </c>
      <c r="T8765" t="s">
        <v>46671</v>
      </c>
      <c r="U8765" t="s">
        <v>53970</v>
      </c>
      <c r="W8765" t="s">
        <v>43710</v>
      </c>
      <c r="X8765" t="s">
        <v>44914</v>
      </c>
    </row>
    <row r="8766" spans="1:24">
      <c r="A8766">
        <f>HYPERLINK("https://www.philgeps.gov.ph/GEPSNONPILOT/Tender/SplashBidNoticeAbstractUI.aspx?menuIndex=3&amp;refID=7071905&amp;Result=3","7071905")</f>
        <v>0</v>
      </c>
      <c r="B8766" t="s">
        <v>1579</v>
      </c>
      <c r="C8766" t="s">
        <v>11876</v>
      </c>
      <c r="D8766" t="s">
        <v>18193</v>
      </c>
      <c r="E8766" t="s">
        <v>25859</v>
      </c>
      <c r="F8766" t="s">
        <v>31362</v>
      </c>
      <c r="G8766" t="s">
        <v>31369</v>
      </c>
      <c r="H8766" t="s">
        <v>15799</v>
      </c>
      <c r="I8766" t="s">
        <v>31397</v>
      </c>
      <c r="J8766" t="s">
        <v>36555</v>
      </c>
      <c r="K8766" t="s">
        <v>40665</v>
      </c>
      <c r="M8766" t="s">
        <v>42956</v>
      </c>
      <c r="N8766" t="s">
        <v>44905</v>
      </c>
      <c r="O8766" t="s">
        <v>44906</v>
      </c>
      <c r="P8766">
        <v>0</v>
      </c>
      <c r="Q8766">
        <v>1</v>
      </c>
      <c r="R8766" t="s">
        <v>44911</v>
      </c>
      <c r="S8766" t="s">
        <v>45139</v>
      </c>
      <c r="T8766" t="s">
        <v>46696</v>
      </c>
      <c r="U8766" t="s">
        <v>53971</v>
      </c>
      <c r="W8766" t="s">
        <v>42956</v>
      </c>
      <c r="X8766" t="s">
        <v>44914</v>
      </c>
    </row>
    <row r="8767" spans="1:24">
      <c r="A8767">
        <f>HYPERLINK("https://www.philgeps.gov.ph/GEPSNONPILOT/Tender/SplashBidNoticeAbstractUI.aspx?menuIndex=3&amp;refID=7071901&amp;Result=3","7071901")</f>
        <v>0</v>
      </c>
      <c r="B8767" t="s">
        <v>396</v>
      </c>
      <c r="C8767" t="s">
        <v>11877</v>
      </c>
      <c r="D8767" t="s">
        <v>18155</v>
      </c>
      <c r="E8767" t="s">
        <v>25860</v>
      </c>
      <c r="F8767" t="s">
        <v>31362</v>
      </c>
      <c r="G8767" t="s">
        <v>31369</v>
      </c>
      <c r="H8767" t="s">
        <v>31378</v>
      </c>
      <c r="I8767" t="s">
        <v>31386</v>
      </c>
      <c r="J8767" t="s">
        <v>36880</v>
      </c>
      <c r="K8767" t="s">
        <v>40691</v>
      </c>
      <c r="M8767" t="s">
        <v>43643</v>
      </c>
      <c r="N8767" t="s">
        <v>44905</v>
      </c>
      <c r="O8767" t="s">
        <v>44906</v>
      </c>
      <c r="P8767">
        <v>0</v>
      </c>
      <c r="Q8767">
        <v>3</v>
      </c>
      <c r="R8767" t="s">
        <v>44911</v>
      </c>
      <c r="S8767" t="s">
        <v>45139</v>
      </c>
      <c r="T8767" t="s">
        <v>46577</v>
      </c>
      <c r="U8767" t="s">
        <v>53717</v>
      </c>
      <c r="W8767" t="s">
        <v>43643</v>
      </c>
      <c r="X8767" t="s">
        <v>44914</v>
      </c>
    </row>
    <row r="8768" spans="1:24">
      <c r="A8768">
        <f>HYPERLINK("https://www.philgeps.gov.ph/GEPSNONPILOT/Tender/SplashBidNoticeAbstractUI.aspx?menuIndex=3&amp;refID=7072027&amp;Result=3","7072027")</f>
        <v>0</v>
      </c>
      <c r="B8768" t="s">
        <v>123</v>
      </c>
      <c r="C8768" t="s">
        <v>11878</v>
      </c>
      <c r="D8768" t="s">
        <v>18127</v>
      </c>
      <c r="E8768" t="s">
        <v>25861</v>
      </c>
      <c r="F8768" t="s">
        <v>31362</v>
      </c>
      <c r="G8768" t="s">
        <v>31368</v>
      </c>
      <c r="H8768" t="s">
        <v>15799</v>
      </c>
      <c r="I8768" t="s">
        <v>31429</v>
      </c>
      <c r="J8768" t="s">
        <v>36881</v>
      </c>
      <c r="K8768" t="s">
        <v>40666</v>
      </c>
      <c r="M8768" t="s">
        <v>43119</v>
      </c>
      <c r="N8768" t="s">
        <v>44905</v>
      </c>
      <c r="O8768" t="s">
        <v>44906</v>
      </c>
      <c r="P8768">
        <v>0</v>
      </c>
      <c r="Q8768">
        <v>4</v>
      </c>
      <c r="R8768" t="s">
        <v>44911</v>
      </c>
      <c r="S8768" t="s">
        <v>45139</v>
      </c>
      <c r="T8768" t="s">
        <v>46740</v>
      </c>
      <c r="U8768" t="s">
        <v>53972</v>
      </c>
      <c r="V8768" t="s">
        <v>49349</v>
      </c>
      <c r="W8768" t="s">
        <v>43119</v>
      </c>
      <c r="X8768" t="s">
        <v>44914</v>
      </c>
    </row>
    <row r="8769" spans="1:24">
      <c r="A8769">
        <f>HYPERLINK("https://www.philgeps.gov.ph/GEPSNONPILOT/Tender/SplashBidNoticeAbstractUI.aspx?menuIndex=3&amp;refID=7071898&amp;Result=3","7071898")</f>
        <v>0</v>
      </c>
      <c r="B8769" t="s">
        <v>966</v>
      </c>
      <c r="C8769" t="s">
        <v>11879</v>
      </c>
      <c r="D8769" t="s">
        <v>18103</v>
      </c>
      <c r="E8769" t="s">
        <v>25862</v>
      </c>
      <c r="F8769" t="s">
        <v>31362</v>
      </c>
      <c r="G8769" t="s">
        <v>31369</v>
      </c>
      <c r="H8769" t="s">
        <v>15799</v>
      </c>
      <c r="I8769" t="s">
        <v>31393</v>
      </c>
      <c r="J8769" t="s">
        <v>36882</v>
      </c>
      <c r="K8769" t="s">
        <v>40682</v>
      </c>
      <c r="M8769" t="s">
        <v>41956</v>
      </c>
      <c r="N8769" t="s">
        <v>44905</v>
      </c>
      <c r="O8769" t="s">
        <v>44906</v>
      </c>
      <c r="P8769">
        <v>0</v>
      </c>
      <c r="Q8769">
        <v>18</v>
      </c>
      <c r="R8769" t="s">
        <v>44911</v>
      </c>
      <c r="S8769" t="s">
        <v>45139</v>
      </c>
      <c r="T8769" t="s">
        <v>46419</v>
      </c>
      <c r="U8769" t="s">
        <v>53973</v>
      </c>
      <c r="V8769" t="s">
        <v>59753</v>
      </c>
      <c r="W8769" t="s">
        <v>41956</v>
      </c>
      <c r="X8769" t="s">
        <v>44914</v>
      </c>
    </row>
    <row r="8770" spans="1:24">
      <c r="A8770">
        <f>HYPERLINK("https://www.philgeps.gov.ph/GEPSNONPILOT/Tender/SplashBidNoticeAbstractUI.aspx?menuIndex=3&amp;refID=7072317&amp;Result=3","7072317")</f>
        <v>0</v>
      </c>
      <c r="B8770" t="s">
        <v>2550</v>
      </c>
      <c r="C8770" t="s">
        <v>11880</v>
      </c>
      <c r="D8770" t="s">
        <v>18141</v>
      </c>
      <c r="E8770" t="s">
        <v>25863</v>
      </c>
      <c r="F8770" t="s">
        <v>31362</v>
      </c>
      <c r="G8770" t="s">
        <v>31369</v>
      </c>
      <c r="H8770" t="s">
        <v>31378</v>
      </c>
      <c r="I8770" t="s">
        <v>31392</v>
      </c>
      <c r="J8770" t="s">
        <v>33446</v>
      </c>
      <c r="K8770" t="s">
        <v>40675</v>
      </c>
      <c r="M8770" t="s">
        <v>43722</v>
      </c>
      <c r="N8770" t="s">
        <v>44905</v>
      </c>
      <c r="O8770" t="s">
        <v>44906</v>
      </c>
      <c r="P8770">
        <v>0</v>
      </c>
      <c r="Q8770">
        <v>3</v>
      </c>
      <c r="R8770" t="s">
        <v>44911</v>
      </c>
      <c r="S8770" t="s">
        <v>45139</v>
      </c>
      <c r="T8770" t="s">
        <v>46464</v>
      </c>
      <c r="U8770" t="s">
        <v>53974</v>
      </c>
      <c r="W8770" t="s">
        <v>43722</v>
      </c>
      <c r="X8770" t="s">
        <v>44913</v>
      </c>
    </row>
    <row r="8771" spans="1:24">
      <c r="A8771">
        <f>HYPERLINK("https://www.philgeps.gov.ph/GEPSNONPILOT/Tender/SplashBidNoticeAbstractUI.aspx?menuIndex=3&amp;refID=7072333&amp;Result=3","7072333")</f>
        <v>0</v>
      </c>
      <c r="B8771" t="s">
        <v>2551</v>
      </c>
      <c r="C8771" t="s">
        <v>11881</v>
      </c>
      <c r="D8771" t="s">
        <v>18135</v>
      </c>
      <c r="E8771" t="s">
        <v>25864</v>
      </c>
      <c r="F8771" t="s">
        <v>31365</v>
      </c>
      <c r="G8771" t="s">
        <v>31372</v>
      </c>
      <c r="H8771" t="s">
        <v>15799</v>
      </c>
      <c r="I8771" t="s">
        <v>31426</v>
      </c>
      <c r="J8771" t="s">
        <v>33390</v>
      </c>
      <c r="K8771" t="s">
        <v>40670</v>
      </c>
      <c r="M8771" t="s">
        <v>43723</v>
      </c>
      <c r="N8771" t="s">
        <v>44905</v>
      </c>
      <c r="O8771" t="s">
        <v>44906</v>
      </c>
      <c r="P8771">
        <v>0</v>
      </c>
      <c r="Q8771">
        <v>1</v>
      </c>
      <c r="R8771" t="s">
        <v>44911</v>
      </c>
      <c r="S8771" t="s">
        <v>45139</v>
      </c>
      <c r="T8771" t="s">
        <v>46434</v>
      </c>
      <c r="U8771" t="s">
        <v>53975</v>
      </c>
      <c r="W8771" t="s">
        <v>43723</v>
      </c>
      <c r="X8771" t="s">
        <v>44913</v>
      </c>
    </row>
    <row r="8772" spans="1:24">
      <c r="A8772">
        <f>HYPERLINK("https://www.philgeps.gov.ph/GEPSNONPILOT/Tender/SplashBidNoticeAbstractUI.aspx?menuIndex=3&amp;refID=7072327&amp;Result=3","7072327")</f>
        <v>0</v>
      </c>
      <c r="B8772" t="s">
        <v>645</v>
      </c>
      <c r="C8772" t="s">
        <v>11882</v>
      </c>
      <c r="D8772" t="s">
        <v>18112</v>
      </c>
      <c r="E8772" t="s">
        <v>25865</v>
      </c>
      <c r="F8772" t="s">
        <v>31362</v>
      </c>
      <c r="G8772" t="s">
        <v>31369</v>
      </c>
      <c r="H8772" t="s">
        <v>31378</v>
      </c>
      <c r="I8772" t="s">
        <v>31440</v>
      </c>
      <c r="J8772" t="s">
        <v>36883</v>
      </c>
      <c r="K8772" t="s">
        <v>40684</v>
      </c>
      <c r="M8772" t="s">
        <v>41606</v>
      </c>
      <c r="N8772" t="s">
        <v>44905</v>
      </c>
      <c r="O8772" t="s">
        <v>44906</v>
      </c>
      <c r="P8772">
        <v>0</v>
      </c>
      <c r="Q8772">
        <v>2</v>
      </c>
      <c r="R8772" t="s">
        <v>44911</v>
      </c>
      <c r="S8772" t="s">
        <v>45139</v>
      </c>
      <c r="T8772" t="s">
        <v>46690</v>
      </c>
      <c r="U8772" t="s">
        <v>53976</v>
      </c>
      <c r="W8772" t="s">
        <v>41606</v>
      </c>
      <c r="X8772" t="s">
        <v>44913</v>
      </c>
    </row>
    <row r="8773" spans="1:24">
      <c r="A8773">
        <f>HYPERLINK("https://www.philgeps.gov.ph/GEPSNONPILOT/Tender/SplashBidNoticeAbstractUI.aspx?menuIndex=3&amp;refID=7072305&amp;Result=3","7072305")</f>
        <v>0</v>
      </c>
      <c r="B8773" t="s">
        <v>875</v>
      </c>
      <c r="C8773" t="s">
        <v>11883</v>
      </c>
      <c r="D8773" t="s">
        <v>18154</v>
      </c>
      <c r="E8773" t="s">
        <v>25866</v>
      </c>
      <c r="F8773" t="s">
        <v>31362</v>
      </c>
      <c r="G8773" t="s">
        <v>31373</v>
      </c>
      <c r="H8773" t="s">
        <v>15799</v>
      </c>
      <c r="I8773" t="s">
        <v>31409</v>
      </c>
      <c r="J8773" t="s">
        <v>36884</v>
      </c>
      <c r="K8773" t="s">
        <v>40665</v>
      </c>
      <c r="M8773" t="s">
        <v>41851</v>
      </c>
      <c r="N8773" t="s">
        <v>44905</v>
      </c>
      <c r="O8773" t="s">
        <v>44906</v>
      </c>
      <c r="P8773">
        <v>0</v>
      </c>
      <c r="Q8773">
        <v>4</v>
      </c>
      <c r="R8773" t="s">
        <v>44911</v>
      </c>
      <c r="S8773" t="s">
        <v>45139</v>
      </c>
      <c r="T8773" t="s">
        <v>46454</v>
      </c>
      <c r="U8773" t="s">
        <v>53977</v>
      </c>
      <c r="V8773" t="s">
        <v>59944</v>
      </c>
      <c r="W8773" t="s">
        <v>41851</v>
      </c>
      <c r="X8773" t="s">
        <v>44913</v>
      </c>
    </row>
    <row r="8774" spans="1:24">
      <c r="A8774">
        <f>HYPERLINK("https://www.philgeps.gov.ph/GEPSNONPILOT/Tender/SplashBidNoticeAbstractUI.aspx?menuIndex=3&amp;refID=7072302&amp;Result=3","7072302")</f>
        <v>0</v>
      </c>
      <c r="B8774" t="s">
        <v>875</v>
      </c>
      <c r="C8774" t="s">
        <v>11884</v>
      </c>
      <c r="D8774" t="s">
        <v>18138</v>
      </c>
      <c r="E8774" t="s">
        <v>25867</v>
      </c>
      <c r="F8774" t="s">
        <v>31362</v>
      </c>
      <c r="G8774" t="s">
        <v>31373</v>
      </c>
      <c r="H8774" t="s">
        <v>15799</v>
      </c>
      <c r="I8774" t="s">
        <v>31433</v>
      </c>
      <c r="J8774" t="s">
        <v>35450</v>
      </c>
      <c r="K8774" t="s">
        <v>40665</v>
      </c>
      <c r="M8774" t="s">
        <v>41851</v>
      </c>
      <c r="N8774" t="s">
        <v>44905</v>
      </c>
      <c r="O8774" t="s">
        <v>44906</v>
      </c>
      <c r="P8774">
        <v>0</v>
      </c>
      <c r="Q8774">
        <v>4</v>
      </c>
      <c r="R8774" t="s">
        <v>44911</v>
      </c>
      <c r="S8774" t="s">
        <v>45139</v>
      </c>
      <c r="T8774" t="s">
        <v>46454</v>
      </c>
      <c r="U8774" t="s">
        <v>53978</v>
      </c>
      <c r="V8774" t="s">
        <v>59945</v>
      </c>
      <c r="W8774" t="s">
        <v>41851</v>
      </c>
      <c r="X8774" t="s">
        <v>44913</v>
      </c>
    </row>
    <row r="8775" spans="1:24">
      <c r="A8775">
        <f>HYPERLINK("https://www.philgeps.gov.ph/GEPSNONPILOT/Tender/SplashBidNoticeAbstractUI.aspx?menuIndex=3&amp;refID=7072248&amp;Result=3","7072248")</f>
        <v>0</v>
      </c>
      <c r="B8775" t="s">
        <v>2552</v>
      </c>
      <c r="C8775" t="s">
        <v>11885</v>
      </c>
      <c r="D8775" t="s">
        <v>18160</v>
      </c>
      <c r="E8775" t="s">
        <v>18548</v>
      </c>
      <c r="F8775" t="s">
        <v>31362</v>
      </c>
      <c r="G8775" t="s">
        <v>31369</v>
      </c>
      <c r="H8775" t="s">
        <v>31378</v>
      </c>
      <c r="I8775" t="s">
        <v>31386</v>
      </c>
      <c r="J8775" t="s">
        <v>36200</v>
      </c>
      <c r="K8775" t="s">
        <v>40666</v>
      </c>
      <c r="M8775" t="s">
        <v>43724</v>
      </c>
      <c r="N8775" t="s">
        <v>44905</v>
      </c>
      <c r="O8775" t="s">
        <v>44906</v>
      </c>
      <c r="P8775">
        <v>0</v>
      </c>
      <c r="Q8775">
        <v>0</v>
      </c>
      <c r="R8775" t="s">
        <v>44911</v>
      </c>
      <c r="S8775" t="s">
        <v>45139</v>
      </c>
      <c r="T8775" t="s">
        <v>46416</v>
      </c>
      <c r="U8775" t="s">
        <v>53979</v>
      </c>
      <c r="W8775" t="s">
        <v>43724</v>
      </c>
      <c r="X8775" t="s">
        <v>44914</v>
      </c>
    </row>
    <row r="8776" spans="1:24">
      <c r="A8776">
        <f>HYPERLINK("https://www.philgeps.gov.ph/GEPSNONPILOT/Tender/SplashBidNoticeAbstractUI.aspx?menuIndex=3&amp;refID=7071706&amp;Result=3","7071706")</f>
        <v>0</v>
      </c>
      <c r="B8776" t="s">
        <v>396</v>
      </c>
      <c r="C8776" t="s">
        <v>11886</v>
      </c>
      <c r="D8776" t="s">
        <v>18155</v>
      </c>
      <c r="E8776" t="s">
        <v>25868</v>
      </c>
      <c r="F8776" t="s">
        <v>31362</v>
      </c>
      <c r="G8776" t="s">
        <v>31369</v>
      </c>
      <c r="H8776" t="s">
        <v>31378</v>
      </c>
      <c r="I8776" t="s">
        <v>31386</v>
      </c>
      <c r="J8776" t="s">
        <v>31606</v>
      </c>
      <c r="K8776" t="s">
        <v>40711</v>
      </c>
      <c r="M8776" t="s">
        <v>43643</v>
      </c>
      <c r="N8776" t="s">
        <v>44905</v>
      </c>
      <c r="O8776" t="s">
        <v>44906</v>
      </c>
      <c r="P8776">
        <v>0</v>
      </c>
      <c r="Q8776">
        <v>2</v>
      </c>
      <c r="R8776" t="s">
        <v>44911</v>
      </c>
      <c r="S8776" t="s">
        <v>45139</v>
      </c>
      <c r="T8776" t="s">
        <v>46577</v>
      </c>
      <c r="U8776" t="s">
        <v>53717</v>
      </c>
      <c r="W8776" t="s">
        <v>43643</v>
      </c>
      <c r="X8776" t="s">
        <v>44914</v>
      </c>
    </row>
    <row r="8777" spans="1:24">
      <c r="A8777">
        <f>HYPERLINK("https://www.philgeps.gov.ph/GEPSNONPILOT/Tender/SplashBidNoticeAbstractUI.aspx?menuIndex=3&amp;refID=7071910&amp;Result=3","7071910")</f>
        <v>0</v>
      </c>
      <c r="B8777" t="s">
        <v>966</v>
      </c>
      <c r="C8777" t="s">
        <v>11887</v>
      </c>
      <c r="D8777" t="s">
        <v>18103</v>
      </c>
      <c r="E8777" t="s">
        <v>25869</v>
      </c>
      <c r="F8777" t="s">
        <v>31362</v>
      </c>
      <c r="G8777" t="s">
        <v>31369</v>
      </c>
      <c r="H8777" t="s">
        <v>15799</v>
      </c>
      <c r="I8777" t="s">
        <v>31400</v>
      </c>
      <c r="J8777" t="s">
        <v>36885</v>
      </c>
      <c r="K8777" t="s">
        <v>40665</v>
      </c>
      <c r="M8777" t="s">
        <v>41956</v>
      </c>
      <c r="N8777" t="s">
        <v>44905</v>
      </c>
      <c r="O8777" t="s">
        <v>44906</v>
      </c>
      <c r="P8777">
        <v>0</v>
      </c>
      <c r="Q8777">
        <v>15</v>
      </c>
      <c r="R8777" t="s">
        <v>44911</v>
      </c>
      <c r="S8777" t="s">
        <v>45139</v>
      </c>
      <c r="T8777" t="s">
        <v>46671</v>
      </c>
      <c r="U8777" t="s">
        <v>53980</v>
      </c>
      <c r="V8777" t="s">
        <v>59753</v>
      </c>
      <c r="W8777" t="s">
        <v>41956</v>
      </c>
      <c r="X8777" t="s">
        <v>44914</v>
      </c>
    </row>
    <row r="8778" spans="1:24">
      <c r="A8778">
        <f>HYPERLINK("https://www.philgeps.gov.ph/GEPSNONPILOT/Tender/SplashBidNoticeAbstractUI.aspx?menuIndex=3&amp;refID=7072246&amp;Result=3","7072246")</f>
        <v>0</v>
      </c>
      <c r="B8778" t="s">
        <v>1709</v>
      </c>
      <c r="C8778" t="s">
        <v>11888</v>
      </c>
      <c r="D8778" t="s">
        <v>18136</v>
      </c>
      <c r="E8778" t="s">
        <v>25870</v>
      </c>
      <c r="F8778" t="s">
        <v>31362</v>
      </c>
      <c r="G8778" t="s">
        <v>31369</v>
      </c>
      <c r="H8778" t="s">
        <v>31378</v>
      </c>
      <c r="I8778" t="s">
        <v>31386</v>
      </c>
      <c r="J8778" t="s">
        <v>33046</v>
      </c>
      <c r="K8778" t="s">
        <v>40678</v>
      </c>
      <c r="M8778" t="s">
        <v>42777</v>
      </c>
      <c r="N8778" t="s">
        <v>44905</v>
      </c>
      <c r="O8778" t="s">
        <v>44906</v>
      </c>
      <c r="P8778">
        <v>0</v>
      </c>
      <c r="Q8778">
        <v>2</v>
      </c>
      <c r="R8778" t="s">
        <v>44911</v>
      </c>
      <c r="S8778" t="s">
        <v>45139</v>
      </c>
      <c r="T8778" t="s">
        <v>46671</v>
      </c>
      <c r="U8778" t="s">
        <v>53981</v>
      </c>
      <c r="W8778" t="s">
        <v>42777</v>
      </c>
      <c r="X8778" t="s">
        <v>44914</v>
      </c>
    </row>
    <row r="8779" spans="1:24">
      <c r="A8779">
        <f>HYPERLINK("https://www.philgeps.gov.ph/GEPSNONPILOT/Tender/SplashBidNoticeAbstractUI.aspx?menuIndex=3&amp;refID=7072236&amp;Result=3","7072236")</f>
        <v>0</v>
      </c>
      <c r="B8779" t="s">
        <v>1709</v>
      </c>
      <c r="C8779" t="s">
        <v>11889</v>
      </c>
      <c r="D8779" t="s">
        <v>18136</v>
      </c>
      <c r="E8779" t="s">
        <v>25871</v>
      </c>
      <c r="F8779" t="s">
        <v>31362</v>
      </c>
      <c r="G8779" t="s">
        <v>31369</v>
      </c>
      <c r="H8779" t="s">
        <v>15799</v>
      </c>
      <c r="I8779" t="s">
        <v>3815</v>
      </c>
      <c r="J8779" t="s">
        <v>36886</v>
      </c>
      <c r="K8779" t="s">
        <v>40665</v>
      </c>
      <c r="M8779" t="s">
        <v>42777</v>
      </c>
      <c r="N8779" t="s">
        <v>44905</v>
      </c>
      <c r="O8779" t="s">
        <v>44906</v>
      </c>
      <c r="P8779">
        <v>0</v>
      </c>
      <c r="Q8779">
        <v>0</v>
      </c>
      <c r="R8779" t="s">
        <v>44911</v>
      </c>
      <c r="S8779" t="s">
        <v>45139</v>
      </c>
      <c r="T8779" t="s">
        <v>46549</v>
      </c>
      <c r="U8779" t="s">
        <v>53982</v>
      </c>
      <c r="W8779" t="s">
        <v>42777</v>
      </c>
      <c r="X8779" t="s">
        <v>44914</v>
      </c>
    </row>
    <row r="8780" spans="1:24">
      <c r="A8780">
        <f>HYPERLINK("https://www.philgeps.gov.ph/GEPSNONPILOT/Tender/SplashBidNoticeAbstractUI.aspx?menuIndex=3&amp;refID=7072231&amp;Result=3","7072231")</f>
        <v>0</v>
      </c>
      <c r="B8780" t="s">
        <v>1709</v>
      </c>
      <c r="C8780" t="s">
        <v>11890</v>
      </c>
      <c r="D8780" t="s">
        <v>18136</v>
      </c>
      <c r="E8780" t="s">
        <v>25872</v>
      </c>
      <c r="F8780" t="s">
        <v>31362</v>
      </c>
      <c r="G8780" t="s">
        <v>31369</v>
      </c>
      <c r="H8780" t="s">
        <v>15799</v>
      </c>
      <c r="I8780" t="s">
        <v>31430</v>
      </c>
      <c r="J8780" t="s">
        <v>36887</v>
      </c>
      <c r="K8780" t="s">
        <v>40665</v>
      </c>
      <c r="M8780" t="s">
        <v>42777</v>
      </c>
      <c r="N8780" t="s">
        <v>44905</v>
      </c>
      <c r="O8780" t="s">
        <v>44906</v>
      </c>
      <c r="P8780">
        <v>0</v>
      </c>
      <c r="Q8780">
        <v>0</v>
      </c>
      <c r="R8780" t="s">
        <v>44911</v>
      </c>
      <c r="S8780" t="s">
        <v>45139</v>
      </c>
      <c r="T8780" t="s">
        <v>46549</v>
      </c>
      <c r="U8780" t="s">
        <v>53983</v>
      </c>
      <c r="W8780" t="s">
        <v>42777</v>
      </c>
      <c r="X8780" t="s">
        <v>44914</v>
      </c>
    </row>
    <row r="8781" spans="1:24">
      <c r="A8781">
        <f>HYPERLINK("https://www.philgeps.gov.ph/GEPSNONPILOT/Tender/SplashBidNoticeAbstractUI.aspx?menuIndex=3&amp;refID=7072208&amp;Result=3","7072208")</f>
        <v>0</v>
      </c>
      <c r="B8781" t="s">
        <v>1535</v>
      </c>
      <c r="C8781" t="s">
        <v>11891</v>
      </c>
      <c r="D8781" t="s">
        <v>18178</v>
      </c>
      <c r="E8781" t="s">
        <v>25873</v>
      </c>
      <c r="F8781" t="s">
        <v>31362</v>
      </c>
      <c r="G8781" t="s">
        <v>31369</v>
      </c>
      <c r="H8781" t="s">
        <v>31378</v>
      </c>
      <c r="I8781" t="s">
        <v>31386</v>
      </c>
      <c r="J8781" t="s">
        <v>36888</v>
      </c>
      <c r="K8781" t="s">
        <v>40705</v>
      </c>
      <c r="M8781" t="s">
        <v>42582</v>
      </c>
      <c r="N8781" t="s">
        <v>44905</v>
      </c>
      <c r="O8781" t="s">
        <v>44906</v>
      </c>
      <c r="P8781">
        <v>0</v>
      </c>
      <c r="Q8781">
        <v>0</v>
      </c>
      <c r="R8781" t="s">
        <v>44911</v>
      </c>
      <c r="S8781" t="s">
        <v>45139</v>
      </c>
      <c r="T8781" t="s">
        <v>46755</v>
      </c>
      <c r="U8781" t="s">
        <v>53984</v>
      </c>
      <c r="W8781" t="s">
        <v>42582</v>
      </c>
      <c r="X8781" t="s">
        <v>44914</v>
      </c>
    </row>
    <row r="8782" spans="1:24">
      <c r="A8782">
        <f>HYPERLINK("https://www.philgeps.gov.ph/GEPSNONPILOT/Tender/SplashBidNoticeAbstractUI.aspx?menuIndex=3&amp;refID=7072253&amp;Result=3","7072253")</f>
        <v>0</v>
      </c>
      <c r="B8782" t="s">
        <v>706</v>
      </c>
      <c r="C8782" t="s">
        <v>11892</v>
      </c>
      <c r="D8782" t="s">
        <v>18169</v>
      </c>
      <c r="E8782" t="s">
        <v>25874</v>
      </c>
      <c r="F8782" t="s">
        <v>31362</v>
      </c>
      <c r="G8782" t="s">
        <v>31369</v>
      </c>
      <c r="H8782" t="s">
        <v>31378</v>
      </c>
      <c r="I8782" t="s">
        <v>31386</v>
      </c>
      <c r="J8782" t="s">
        <v>33758</v>
      </c>
      <c r="K8782" t="s">
        <v>40683</v>
      </c>
      <c r="M8782" t="s">
        <v>41671</v>
      </c>
      <c r="N8782" t="s">
        <v>44905</v>
      </c>
      <c r="O8782" t="s">
        <v>44906</v>
      </c>
      <c r="P8782">
        <v>0</v>
      </c>
      <c r="Q8782">
        <v>3</v>
      </c>
      <c r="R8782" t="s">
        <v>44911</v>
      </c>
      <c r="S8782" t="s">
        <v>45139</v>
      </c>
      <c r="T8782" t="s">
        <v>46412</v>
      </c>
      <c r="U8782" t="s">
        <v>53985</v>
      </c>
      <c r="W8782" t="s">
        <v>41671</v>
      </c>
      <c r="X8782" t="s">
        <v>44914</v>
      </c>
    </row>
    <row r="8783" spans="1:24">
      <c r="A8783">
        <f>HYPERLINK("https://www.philgeps.gov.ph/GEPSNONPILOT/Tender/SplashBidNoticeAbstractUI.aspx?menuIndex=3&amp;refID=7072203&amp;Result=3","7072203")</f>
        <v>0</v>
      </c>
      <c r="B8783" t="s">
        <v>2553</v>
      </c>
      <c r="C8783" t="s">
        <v>11893</v>
      </c>
      <c r="D8783" t="s">
        <v>18114</v>
      </c>
      <c r="E8783" t="s">
        <v>25875</v>
      </c>
      <c r="F8783" t="s">
        <v>31362</v>
      </c>
      <c r="G8783" t="s">
        <v>31368</v>
      </c>
      <c r="H8783" t="s">
        <v>15799</v>
      </c>
      <c r="I8783" t="s">
        <v>31386</v>
      </c>
      <c r="J8783" t="s">
        <v>36889</v>
      </c>
      <c r="K8783" t="s">
        <v>40742</v>
      </c>
      <c r="M8783" t="s">
        <v>43725</v>
      </c>
      <c r="N8783" t="s">
        <v>44905</v>
      </c>
      <c r="O8783" t="s">
        <v>44906</v>
      </c>
      <c r="P8783">
        <v>0</v>
      </c>
      <c r="Q8783">
        <v>2</v>
      </c>
      <c r="R8783" t="s">
        <v>44911</v>
      </c>
      <c r="S8783" t="s">
        <v>45139</v>
      </c>
      <c r="T8783" t="s">
        <v>46454</v>
      </c>
      <c r="U8783" t="s">
        <v>53986</v>
      </c>
      <c r="V8783" t="s">
        <v>59946</v>
      </c>
      <c r="W8783" t="s">
        <v>43725</v>
      </c>
      <c r="X8783" t="s">
        <v>44914</v>
      </c>
    </row>
    <row r="8784" spans="1:24">
      <c r="A8784">
        <f>HYPERLINK("https://www.philgeps.gov.ph/GEPSNONPILOT/Tender/SplashBidNoticeAbstractUI.aspx?menuIndex=3&amp;refID=7072184&amp;Result=3","7072184")</f>
        <v>0</v>
      </c>
      <c r="B8784" t="s">
        <v>1535</v>
      </c>
      <c r="C8784" t="s">
        <v>11894</v>
      </c>
      <c r="D8784" t="s">
        <v>18178</v>
      </c>
      <c r="E8784" t="s">
        <v>25876</v>
      </c>
      <c r="F8784" t="s">
        <v>31362</v>
      </c>
      <c r="G8784" t="s">
        <v>31369</v>
      </c>
      <c r="H8784" t="s">
        <v>31378</v>
      </c>
      <c r="I8784" t="s">
        <v>31386</v>
      </c>
      <c r="J8784" t="s">
        <v>36890</v>
      </c>
      <c r="K8784" t="s">
        <v>40830</v>
      </c>
      <c r="M8784" t="s">
        <v>42582</v>
      </c>
      <c r="N8784" t="s">
        <v>44905</v>
      </c>
      <c r="O8784" t="s">
        <v>44906</v>
      </c>
      <c r="P8784">
        <v>0</v>
      </c>
      <c r="Q8784">
        <v>0</v>
      </c>
      <c r="R8784" t="s">
        <v>44911</v>
      </c>
      <c r="S8784" t="s">
        <v>45139</v>
      </c>
      <c r="T8784" t="s">
        <v>46755</v>
      </c>
      <c r="U8784" t="s">
        <v>53987</v>
      </c>
      <c r="W8784" t="s">
        <v>42582</v>
      </c>
      <c r="X8784" t="s">
        <v>44914</v>
      </c>
    </row>
    <row r="8785" spans="1:24">
      <c r="A8785">
        <f>HYPERLINK("https://www.philgeps.gov.ph/GEPSNONPILOT/Tender/SplashBidNoticeAbstractUI.aspx?menuIndex=3&amp;refID=7072108&amp;Result=3","7072108")</f>
        <v>0</v>
      </c>
      <c r="B8785" t="s">
        <v>1983</v>
      </c>
      <c r="C8785" t="s">
        <v>11895</v>
      </c>
      <c r="D8785" t="s">
        <v>18100</v>
      </c>
      <c r="E8785" t="s">
        <v>25877</v>
      </c>
      <c r="F8785" t="s">
        <v>31362</v>
      </c>
      <c r="G8785" t="s">
        <v>31369</v>
      </c>
      <c r="H8785" t="s">
        <v>15799</v>
      </c>
      <c r="I8785" t="s">
        <v>3815</v>
      </c>
      <c r="J8785" t="s">
        <v>36891</v>
      </c>
      <c r="K8785" t="s">
        <v>40686</v>
      </c>
      <c r="M8785" t="s">
        <v>43091</v>
      </c>
      <c r="N8785" t="s">
        <v>44905</v>
      </c>
      <c r="O8785" t="s">
        <v>44906</v>
      </c>
      <c r="P8785">
        <v>0</v>
      </c>
      <c r="Q8785">
        <v>2</v>
      </c>
      <c r="R8785" t="s">
        <v>44911</v>
      </c>
      <c r="S8785" t="s">
        <v>45139</v>
      </c>
      <c r="T8785" t="s">
        <v>46433</v>
      </c>
      <c r="U8785" t="s">
        <v>53988</v>
      </c>
      <c r="V8785" t="s">
        <v>59947</v>
      </c>
      <c r="W8785" t="s">
        <v>43091</v>
      </c>
      <c r="X8785" t="s">
        <v>44914</v>
      </c>
    </row>
    <row r="8786" spans="1:24">
      <c r="A8786">
        <f>HYPERLINK("https://www.philgeps.gov.ph/GEPSNONPILOT/Tender/SplashBidNoticeAbstractUI.aspx?menuIndex=3&amp;refID=7072244&amp;Result=3","7072244")</f>
        <v>0</v>
      </c>
      <c r="B8786" t="s">
        <v>1709</v>
      </c>
      <c r="C8786" t="s">
        <v>11896</v>
      </c>
      <c r="D8786" t="s">
        <v>18136</v>
      </c>
      <c r="E8786" t="s">
        <v>25878</v>
      </c>
      <c r="F8786" t="s">
        <v>31362</v>
      </c>
      <c r="G8786" t="s">
        <v>31369</v>
      </c>
      <c r="H8786" t="s">
        <v>15799</v>
      </c>
      <c r="I8786" t="s">
        <v>7090</v>
      </c>
      <c r="J8786" t="s">
        <v>36892</v>
      </c>
      <c r="K8786" t="s">
        <v>40665</v>
      </c>
      <c r="M8786" t="s">
        <v>42777</v>
      </c>
      <c r="N8786" t="s">
        <v>44905</v>
      </c>
      <c r="O8786" t="s">
        <v>44906</v>
      </c>
      <c r="P8786">
        <v>0</v>
      </c>
      <c r="Q8786">
        <v>0</v>
      </c>
      <c r="R8786" t="s">
        <v>44911</v>
      </c>
      <c r="S8786" t="s">
        <v>45139</v>
      </c>
      <c r="T8786" t="s">
        <v>46549</v>
      </c>
      <c r="U8786" t="s">
        <v>53989</v>
      </c>
      <c r="W8786" t="s">
        <v>42777</v>
      </c>
      <c r="X8786" t="s">
        <v>44914</v>
      </c>
    </row>
    <row r="8787" spans="1:24">
      <c r="A8787">
        <f>HYPERLINK("https://www.philgeps.gov.ph/GEPSNONPILOT/Tender/SplashBidNoticeAbstractUI.aspx?menuIndex=3&amp;refID=7072061&amp;Result=3","7072061")</f>
        <v>0</v>
      </c>
      <c r="B8787" t="s">
        <v>2554</v>
      </c>
      <c r="C8787" t="s">
        <v>11897</v>
      </c>
      <c r="D8787" t="s">
        <v>18109</v>
      </c>
      <c r="E8787" t="s">
        <v>25879</v>
      </c>
      <c r="F8787" t="s">
        <v>31362</v>
      </c>
      <c r="G8787" t="s">
        <v>31369</v>
      </c>
      <c r="H8787" t="s">
        <v>31379</v>
      </c>
      <c r="I8787" t="s">
        <v>31464</v>
      </c>
      <c r="J8787" t="s">
        <v>36893</v>
      </c>
      <c r="K8787" t="s">
        <v>40712</v>
      </c>
      <c r="M8787" t="s">
        <v>43726</v>
      </c>
      <c r="N8787" t="s">
        <v>44905</v>
      </c>
      <c r="O8787" t="s">
        <v>44906</v>
      </c>
      <c r="P8787">
        <v>0</v>
      </c>
      <c r="Q8787">
        <v>1</v>
      </c>
      <c r="R8787" t="s">
        <v>44911</v>
      </c>
      <c r="S8787" t="s">
        <v>45139</v>
      </c>
      <c r="T8787" t="s">
        <v>46464</v>
      </c>
      <c r="U8787" t="s">
        <v>53990</v>
      </c>
      <c r="W8787" t="s">
        <v>43726</v>
      </c>
      <c r="X8787" t="s">
        <v>44914</v>
      </c>
    </row>
    <row r="8788" spans="1:24">
      <c r="A8788">
        <f>HYPERLINK("https://www.philgeps.gov.ph/GEPSNONPILOT/Tender/SplashBidNoticeAbstractUI.aspx?menuIndex=3&amp;refID=7071569&amp;Result=3","7071569")</f>
        <v>0</v>
      </c>
      <c r="B8788" t="s">
        <v>2534</v>
      </c>
      <c r="C8788" t="s">
        <v>11898</v>
      </c>
      <c r="D8788" t="s">
        <v>18155</v>
      </c>
      <c r="E8788" t="s">
        <v>25880</v>
      </c>
      <c r="F8788" t="s">
        <v>31362</v>
      </c>
      <c r="G8788" t="s">
        <v>31369</v>
      </c>
      <c r="H8788" t="s">
        <v>31378</v>
      </c>
      <c r="I8788" t="s">
        <v>31386</v>
      </c>
      <c r="J8788" t="s">
        <v>31693</v>
      </c>
      <c r="K8788" t="s">
        <v>40682</v>
      </c>
      <c r="M8788" t="s">
        <v>43703</v>
      </c>
      <c r="N8788" t="s">
        <v>44905</v>
      </c>
      <c r="O8788" t="s">
        <v>44906</v>
      </c>
      <c r="P8788">
        <v>0</v>
      </c>
      <c r="Q8788">
        <v>1</v>
      </c>
      <c r="R8788" t="s">
        <v>44911</v>
      </c>
      <c r="S8788" t="s">
        <v>45139</v>
      </c>
      <c r="T8788" t="s">
        <v>46712</v>
      </c>
      <c r="U8788" t="s">
        <v>53991</v>
      </c>
      <c r="V8788" t="s">
        <v>59936</v>
      </c>
      <c r="W8788" t="s">
        <v>43703</v>
      </c>
      <c r="X8788" t="s">
        <v>44914</v>
      </c>
    </row>
    <row r="8789" spans="1:24">
      <c r="A8789">
        <f>HYPERLINK("https://www.philgeps.gov.ph/GEPSNONPILOT/Tender/SplashBidNoticeAbstractUI.aspx?menuIndex=3&amp;refID=7070863&amp;Result=3","7070863")</f>
        <v>0</v>
      </c>
      <c r="B8789" t="s">
        <v>179</v>
      </c>
      <c r="C8789" t="s">
        <v>11899</v>
      </c>
      <c r="E8789" t="s">
        <v>25881</v>
      </c>
      <c r="F8789" t="s">
        <v>31362</v>
      </c>
      <c r="G8789" t="s">
        <v>31368</v>
      </c>
      <c r="H8789" t="s">
        <v>15799</v>
      </c>
      <c r="I8789" t="s">
        <v>31393</v>
      </c>
      <c r="J8789" t="s">
        <v>31530</v>
      </c>
      <c r="K8789" t="s">
        <v>40665</v>
      </c>
      <c r="M8789" t="s">
        <v>41117</v>
      </c>
      <c r="N8789" t="s">
        <v>44905</v>
      </c>
      <c r="O8789" t="s">
        <v>44906</v>
      </c>
      <c r="P8789">
        <v>0</v>
      </c>
      <c r="Q8789">
        <v>1</v>
      </c>
      <c r="R8789" t="s">
        <v>44911</v>
      </c>
      <c r="S8789" t="s">
        <v>45139</v>
      </c>
      <c r="T8789" t="s">
        <v>46583</v>
      </c>
      <c r="U8789" t="s">
        <v>53992</v>
      </c>
      <c r="V8789" t="s">
        <v>59948</v>
      </c>
      <c r="W8789" t="s">
        <v>41209</v>
      </c>
      <c r="X8789" t="s">
        <v>44914</v>
      </c>
    </row>
    <row r="8790" spans="1:24">
      <c r="A8790">
        <f>HYPERLINK("https://www.philgeps.gov.ph/GEPSNONPILOT/Tender/SplashBidNoticeAbstractUI.aspx?menuIndex=3&amp;refID=7072331&amp;Result=3","7072331")</f>
        <v>0</v>
      </c>
      <c r="B8790" t="s">
        <v>2551</v>
      </c>
      <c r="C8790" t="s">
        <v>11900</v>
      </c>
      <c r="D8790" t="s">
        <v>18135</v>
      </c>
      <c r="E8790" t="s">
        <v>25882</v>
      </c>
      <c r="F8790" t="s">
        <v>31365</v>
      </c>
      <c r="G8790" t="s">
        <v>31372</v>
      </c>
      <c r="H8790" t="s">
        <v>15799</v>
      </c>
      <c r="I8790" t="s">
        <v>31422</v>
      </c>
      <c r="J8790" t="s">
        <v>32143</v>
      </c>
      <c r="K8790" t="s">
        <v>40670</v>
      </c>
      <c r="M8790" t="s">
        <v>43723</v>
      </c>
      <c r="N8790" t="s">
        <v>44905</v>
      </c>
      <c r="O8790" t="s">
        <v>44906</v>
      </c>
      <c r="P8790">
        <v>0</v>
      </c>
      <c r="Q8790">
        <v>0</v>
      </c>
      <c r="R8790" t="s">
        <v>44911</v>
      </c>
      <c r="S8790" t="s">
        <v>45139</v>
      </c>
      <c r="T8790" t="s">
        <v>46434</v>
      </c>
      <c r="U8790" t="s">
        <v>53993</v>
      </c>
      <c r="W8790" t="s">
        <v>43723</v>
      </c>
      <c r="X8790" t="s">
        <v>44913</v>
      </c>
    </row>
    <row r="8791" spans="1:24">
      <c r="A8791">
        <f>HYPERLINK("https://www.philgeps.gov.ph/GEPSNONPILOT/Tender/SplashBidNoticeAbstractUI.aspx?menuIndex=3&amp;refID=7072112&amp;Result=3","7072112")</f>
        <v>0</v>
      </c>
      <c r="B8791" t="s">
        <v>805</v>
      </c>
      <c r="C8791" t="s">
        <v>11901</v>
      </c>
      <c r="D8791" t="s">
        <v>18107</v>
      </c>
      <c r="E8791" t="s">
        <v>25883</v>
      </c>
      <c r="F8791" t="s">
        <v>31362</v>
      </c>
      <c r="G8791" t="s">
        <v>31370</v>
      </c>
      <c r="H8791" t="s">
        <v>15799</v>
      </c>
      <c r="I8791" t="s">
        <v>31427</v>
      </c>
      <c r="J8791" t="s">
        <v>32037</v>
      </c>
      <c r="K8791" t="s">
        <v>40665</v>
      </c>
      <c r="M8791" t="s">
        <v>41776</v>
      </c>
      <c r="N8791" t="s">
        <v>44905</v>
      </c>
      <c r="O8791" t="s">
        <v>44906</v>
      </c>
      <c r="P8791">
        <v>0</v>
      </c>
      <c r="Q8791">
        <v>0</v>
      </c>
      <c r="R8791" t="s">
        <v>44911</v>
      </c>
      <c r="S8791" t="s">
        <v>45139</v>
      </c>
      <c r="T8791" t="s">
        <v>46409</v>
      </c>
      <c r="U8791" t="s">
        <v>53994</v>
      </c>
      <c r="W8791" t="s">
        <v>41776</v>
      </c>
      <c r="X8791" t="s">
        <v>44914</v>
      </c>
    </row>
    <row r="8792" spans="1:24">
      <c r="A8792">
        <f>HYPERLINK("https://www.philgeps.gov.ph/GEPSNONPILOT/Tender/SplashBidNoticeAbstractUI.aspx?menuIndex=3&amp;refID=7070786&amp;Result=3","7070786")</f>
        <v>0</v>
      </c>
      <c r="B8792" t="s">
        <v>2520</v>
      </c>
      <c r="C8792" t="s">
        <v>11902</v>
      </c>
      <c r="D8792" t="s">
        <v>18107</v>
      </c>
      <c r="E8792" t="s">
        <v>25884</v>
      </c>
      <c r="F8792" t="s">
        <v>31362</v>
      </c>
      <c r="G8792" t="s">
        <v>31369</v>
      </c>
      <c r="H8792" t="s">
        <v>15799</v>
      </c>
      <c r="I8792" t="s">
        <v>7090</v>
      </c>
      <c r="J8792" t="s">
        <v>32204</v>
      </c>
      <c r="K8792" t="s">
        <v>40661</v>
      </c>
      <c r="M8792" t="s">
        <v>43689</v>
      </c>
      <c r="N8792" t="s">
        <v>44905</v>
      </c>
      <c r="O8792" t="s">
        <v>44906</v>
      </c>
      <c r="P8792">
        <v>0</v>
      </c>
      <c r="Q8792">
        <v>1</v>
      </c>
      <c r="R8792" t="s">
        <v>44911</v>
      </c>
      <c r="S8792" t="s">
        <v>45139</v>
      </c>
      <c r="T8792" t="s">
        <v>46549</v>
      </c>
      <c r="U8792" t="s">
        <v>53995</v>
      </c>
      <c r="W8792" t="s">
        <v>43689</v>
      </c>
      <c r="X8792" t="s">
        <v>44914</v>
      </c>
    </row>
    <row r="8793" spans="1:24">
      <c r="A8793">
        <f>HYPERLINK("https://www.philgeps.gov.ph/GEPSNONPILOT/Tender/SplashBidNoticeAbstractUI.aspx?menuIndex=3&amp;refID=7072229&amp;Result=3","7072229")</f>
        <v>0</v>
      </c>
      <c r="B8793" t="s">
        <v>658</v>
      </c>
      <c r="C8793" t="s">
        <v>11903</v>
      </c>
      <c r="D8793" t="s">
        <v>18108</v>
      </c>
      <c r="E8793" t="s">
        <v>18759</v>
      </c>
      <c r="F8793" t="s">
        <v>31362</v>
      </c>
      <c r="G8793" t="s">
        <v>31368</v>
      </c>
      <c r="H8793" t="s">
        <v>15799</v>
      </c>
      <c r="I8793" t="s">
        <v>31402</v>
      </c>
      <c r="J8793" t="s">
        <v>31531</v>
      </c>
      <c r="K8793" t="s">
        <v>40662</v>
      </c>
      <c r="M8793" t="s">
        <v>41986</v>
      </c>
      <c r="N8793" t="s">
        <v>44905</v>
      </c>
      <c r="O8793" t="s">
        <v>44906</v>
      </c>
      <c r="P8793">
        <v>0</v>
      </c>
      <c r="Q8793">
        <v>7</v>
      </c>
      <c r="R8793" t="s">
        <v>44911</v>
      </c>
      <c r="S8793" t="s">
        <v>45139</v>
      </c>
      <c r="T8793" t="s">
        <v>46432</v>
      </c>
      <c r="U8793" t="s">
        <v>53996</v>
      </c>
      <c r="V8793" t="s">
        <v>59331</v>
      </c>
      <c r="W8793" t="s">
        <v>41986</v>
      </c>
      <c r="X8793" t="s">
        <v>44914</v>
      </c>
    </row>
    <row r="8794" spans="1:24">
      <c r="A8794">
        <f>HYPERLINK("https://www.philgeps.gov.ph/GEPSNONPILOT/Tender/SplashBidNoticeAbstractUI.aspx?menuIndex=3&amp;refID=7070783&amp;Result=3","7070783")</f>
        <v>0</v>
      </c>
      <c r="B8794" t="s">
        <v>212</v>
      </c>
      <c r="C8794" t="s">
        <v>11904</v>
      </c>
      <c r="D8794" t="s">
        <v>18162</v>
      </c>
      <c r="E8794" t="s">
        <v>25885</v>
      </c>
      <c r="F8794" t="s">
        <v>31362</v>
      </c>
      <c r="G8794" t="s">
        <v>31369</v>
      </c>
      <c r="H8794" t="s">
        <v>31378</v>
      </c>
      <c r="I8794" t="s">
        <v>31386</v>
      </c>
      <c r="J8794" t="s">
        <v>36894</v>
      </c>
      <c r="K8794" t="s">
        <v>40679</v>
      </c>
      <c r="M8794" t="s">
        <v>41151</v>
      </c>
      <c r="N8794" t="s">
        <v>44905</v>
      </c>
      <c r="O8794" t="s">
        <v>44906</v>
      </c>
      <c r="P8794">
        <v>0</v>
      </c>
      <c r="Q8794">
        <v>0</v>
      </c>
      <c r="R8794" t="s">
        <v>44911</v>
      </c>
      <c r="S8794" t="s">
        <v>45139</v>
      </c>
      <c r="T8794" t="s">
        <v>46790</v>
      </c>
      <c r="U8794" t="s">
        <v>53997</v>
      </c>
      <c r="V8794" t="s">
        <v>59949</v>
      </c>
      <c r="W8794" t="s">
        <v>41151</v>
      </c>
      <c r="X8794" t="s">
        <v>44914</v>
      </c>
    </row>
    <row r="8795" spans="1:24">
      <c r="A8795">
        <f>HYPERLINK("https://www.philgeps.gov.ph/GEPSNONPILOT/Tender/SplashBidNoticeAbstractUI.aspx?menuIndex=3&amp;refID=7070877&amp;Result=3","7070877")</f>
        <v>0</v>
      </c>
      <c r="B8795" t="s">
        <v>1116</v>
      </c>
      <c r="C8795" t="s">
        <v>11782</v>
      </c>
      <c r="D8795" t="s">
        <v>18153</v>
      </c>
      <c r="E8795" t="s">
        <v>25886</v>
      </c>
      <c r="F8795" t="s">
        <v>31362</v>
      </c>
      <c r="G8795" t="s">
        <v>31370</v>
      </c>
      <c r="H8795" t="s">
        <v>15799</v>
      </c>
      <c r="I8795" t="s">
        <v>31404</v>
      </c>
      <c r="J8795" t="s">
        <v>31734</v>
      </c>
      <c r="K8795" t="s">
        <v>40662</v>
      </c>
      <c r="M8795" t="s">
        <v>42122</v>
      </c>
      <c r="N8795" t="s">
        <v>44905</v>
      </c>
      <c r="O8795" t="s">
        <v>44906</v>
      </c>
      <c r="P8795">
        <v>0</v>
      </c>
      <c r="Q8795">
        <v>0</v>
      </c>
      <c r="R8795" t="s">
        <v>44911</v>
      </c>
      <c r="S8795" t="s">
        <v>45139</v>
      </c>
      <c r="T8795" t="s">
        <v>46409</v>
      </c>
      <c r="U8795" t="s">
        <v>53875</v>
      </c>
      <c r="W8795" t="s">
        <v>60882</v>
      </c>
      <c r="X8795" t="s">
        <v>44914</v>
      </c>
    </row>
    <row r="8796" spans="1:24">
      <c r="A8796">
        <f>HYPERLINK("https://www.philgeps.gov.ph/GEPSNONPILOT/Tender/SplashBidNoticeAbstractUI.aspx?menuIndex=3&amp;refID=7072394&amp;Result=3","7072394")</f>
        <v>0</v>
      </c>
      <c r="B8796" t="s">
        <v>245</v>
      </c>
      <c r="C8796" t="s">
        <v>11860</v>
      </c>
      <c r="D8796" t="s">
        <v>18108</v>
      </c>
      <c r="E8796" t="s">
        <v>25887</v>
      </c>
      <c r="F8796" t="s">
        <v>31362</v>
      </c>
      <c r="G8796" t="s">
        <v>31369</v>
      </c>
      <c r="H8796" t="s">
        <v>15799</v>
      </c>
      <c r="I8796" t="s">
        <v>31377</v>
      </c>
      <c r="J8796" t="s">
        <v>36869</v>
      </c>
      <c r="K8796" t="s">
        <v>40686</v>
      </c>
      <c r="M8796" t="s">
        <v>41184</v>
      </c>
      <c r="N8796" t="s">
        <v>44905</v>
      </c>
      <c r="O8796" t="s">
        <v>44906</v>
      </c>
      <c r="Q8796">
        <v>2</v>
      </c>
      <c r="R8796" t="s">
        <v>44911</v>
      </c>
      <c r="S8796" t="s">
        <v>45148</v>
      </c>
      <c r="T8796" t="s">
        <v>46788</v>
      </c>
      <c r="U8796" t="s">
        <v>53998</v>
      </c>
      <c r="V8796" t="s">
        <v>59950</v>
      </c>
      <c r="W8796" t="s">
        <v>41184</v>
      </c>
      <c r="X8796" t="s">
        <v>44913</v>
      </c>
    </row>
    <row r="8797" spans="1:24">
      <c r="A8797">
        <f>HYPERLINK("https://www.philgeps.gov.ph/GEPSNONPILOT/Tender/SplashBidNoticeAbstractUI.aspx?menuIndex=3&amp;refID=7072385&amp;Result=3","7072385")</f>
        <v>0</v>
      </c>
      <c r="B8797" t="s">
        <v>245</v>
      </c>
      <c r="C8797" t="s">
        <v>11905</v>
      </c>
      <c r="D8797" t="s">
        <v>18108</v>
      </c>
      <c r="E8797" t="s">
        <v>25888</v>
      </c>
      <c r="F8797" t="s">
        <v>31362</v>
      </c>
      <c r="G8797" t="s">
        <v>31369</v>
      </c>
      <c r="H8797" t="s">
        <v>15799</v>
      </c>
      <c r="I8797" t="s">
        <v>31377</v>
      </c>
      <c r="J8797" t="s">
        <v>36869</v>
      </c>
      <c r="K8797" t="s">
        <v>40686</v>
      </c>
      <c r="M8797" t="s">
        <v>41184</v>
      </c>
      <c r="N8797" t="s">
        <v>44905</v>
      </c>
      <c r="O8797" t="s">
        <v>44906</v>
      </c>
      <c r="Q8797">
        <v>2</v>
      </c>
      <c r="R8797" t="s">
        <v>44911</v>
      </c>
      <c r="S8797" t="s">
        <v>45149</v>
      </c>
      <c r="T8797" t="s">
        <v>46788</v>
      </c>
      <c r="U8797" t="s">
        <v>53999</v>
      </c>
      <c r="V8797" t="s">
        <v>59950</v>
      </c>
      <c r="W8797" t="s">
        <v>41184</v>
      </c>
      <c r="X8797" t="s">
        <v>44913</v>
      </c>
    </row>
    <row r="8798" spans="1:24">
      <c r="A8798">
        <f>HYPERLINK("https://www.philgeps.gov.ph/GEPSNONPILOT/Tender/SplashBidNoticeAbstractUI.aspx?menuIndex=3&amp;refID=7072379&amp;Result=3","7072379")</f>
        <v>0</v>
      </c>
      <c r="B8798" t="s">
        <v>2553</v>
      </c>
      <c r="C8798" t="s">
        <v>11906</v>
      </c>
      <c r="D8798" t="s">
        <v>18114</v>
      </c>
      <c r="E8798" t="s">
        <v>25889</v>
      </c>
      <c r="F8798" t="s">
        <v>31362</v>
      </c>
      <c r="G8798" t="s">
        <v>31370</v>
      </c>
      <c r="H8798" t="s">
        <v>15799</v>
      </c>
      <c r="I8798" t="s">
        <v>31385</v>
      </c>
      <c r="J8798" t="s">
        <v>36895</v>
      </c>
      <c r="K8798" t="s">
        <v>40666</v>
      </c>
      <c r="M8798" t="s">
        <v>43725</v>
      </c>
      <c r="N8798" t="s">
        <v>44905</v>
      </c>
      <c r="O8798" t="s">
        <v>44906</v>
      </c>
      <c r="P8798">
        <v>0</v>
      </c>
      <c r="Q8798">
        <v>7</v>
      </c>
      <c r="R8798" t="s">
        <v>44911</v>
      </c>
      <c r="S8798" t="s">
        <v>45139</v>
      </c>
      <c r="T8798" t="s">
        <v>46454</v>
      </c>
      <c r="U8798" t="s">
        <v>54000</v>
      </c>
      <c r="V8798" t="s">
        <v>59946</v>
      </c>
      <c r="W8798" t="s">
        <v>43725</v>
      </c>
      <c r="X8798" t="s">
        <v>44913</v>
      </c>
    </row>
    <row r="8799" spans="1:24">
      <c r="A8799">
        <f>HYPERLINK("https://www.philgeps.gov.ph/GEPSNONPILOT/Tender/SplashBidNoticeAbstractUI.aspx?menuIndex=3&amp;refID=7072378&amp;Result=3","7072378")</f>
        <v>0</v>
      </c>
      <c r="B8799" t="s">
        <v>396</v>
      </c>
      <c r="C8799" t="s">
        <v>11907</v>
      </c>
      <c r="D8799" t="s">
        <v>18155</v>
      </c>
      <c r="E8799" t="s">
        <v>25890</v>
      </c>
      <c r="F8799" t="s">
        <v>31362</v>
      </c>
      <c r="G8799" t="s">
        <v>31369</v>
      </c>
      <c r="H8799" t="s">
        <v>31378</v>
      </c>
      <c r="I8799" t="s">
        <v>31386</v>
      </c>
      <c r="J8799" t="s">
        <v>36896</v>
      </c>
      <c r="K8799" t="s">
        <v>40725</v>
      </c>
      <c r="M8799" t="s">
        <v>43643</v>
      </c>
      <c r="N8799" t="s">
        <v>44905</v>
      </c>
      <c r="O8799" t="s">
        <v>44906</v>
      </c>
      <c r="P8799">
        <v>0</v>
      </c>
      <c r="Q8799">
        <v>1</v>
      </c>
      <c r="R8799" t="s">
        <v>44911</v>
      </c>
      <c r="S8799" t="s">
        <v>45139</v>
      </c>
      <c r="T8799" t="s">
        <v>46577</v>
      </c>
      <c r="U8799" t="s">
        <v>53717</v>
      </c>
      <c r="W8799" t="s">
        <v>43643</v>
      </c>
      <c r="X8799" t="s">
        <v>44913</v>
      </c>
    </row>
    <row r="8800" spans="1:24">
      <c r="A8800">
        <f>HYPERLINK("https://www.philgeps.gov.ph/GEPSNONPILOT/Tender/SplashBidNoticeAbstractUI.aspx?menuIndex=3&amp;refID=7072377&amp;Result=3","7072377")</f>
        <v>0</v>
      </c>
      <c r="B8800" t="s">
        <v>2553</v>
      </c>
      <c r="C8800" t="s">
        <v>11908</v>
      </c>
      <c r="D8800" t="s">
        <v>18114</v>
      </c>
      <c r="E8800" t="s">
        <v>25891</v>
      </c>
      <c r="F8800" t="s">
        <v>31362</v>
      </c>
      <c r="G8800" t="s">
        <v>31370</v>
      </c>
      <c r="H8800" t="s">
        <v>15799</v>
      </c>
      <c r="I8800" t="s">
        <v>7188</v>
      </c>
      <c r="J8800" t="s">
        <v>31575</v>
      </c>
      <c r="K8800" t="s">
        <v>40666</v>
      </c>
      <c r="M8800" t="s">
        <v>43725</v>
      </c>
      <c r="N8800" t="s">
        <v>44905</v>
      </c>
      <c r="O8800" t="s">
        <v>44906</v>
      </c>
      <c r="P8800">
        <v>0</v>
      </c>
      <c r="Q8800">
        <v>4</v>
      </c>
      <c r="R8800" t="s">
        <v>44911</v>
      </c>
      <c r="S8800" t="s">
        <v>45139</v>
      </c>
      <c r="T8800" t="s">
        <v>46454</v>
      </c>
      <c r="U8800" t="s">
        <v>54001</v>
      </c>
      <c r="V8800" t="s">
        <v>59946</v>
      </c>
      <c r="W8800" t="s">
        <v>43725</v>
      </c>
      <c r="X8800" t="s">
        <v>44913</v>
      </c>
    </row>
    <row r="8801" spans="1:24">
      <c r="A8801">
        <f>HYPERLINK("https://www.philgeps.gov.ph/GEPSNONPILOT/Tender/SplashBidNoticeAbstractUI.aspx?menuIndex=3&amp;refID=7072376&amp;Result=3","7072376")</f>
        <v>0</v>
      </c>
      <c r="B8801" t="s">
        <v>2555</v>
      </c>
      <c r="C8801" t="s">
        <v>7980</v>
      </c>
      <c r="D8801" t="s">
        <v>18111</v>
      </c>
      <c r="E8801" t="s">
        <v>25892</v>
      </c>
      <c r="F8801" t="s">
        <v>31362</v>
      </c>
      <c r="G8801" t="s">
        <v>31370</v>
      </c>
      <c r="H8801" t="s">
        <v>15799</v>
      </c>
      <c r="I8801" t="s">
        <v>6373</v>
      </c>
      <c r="J8801" t="s">
        <v>36897</v>
      </c>
      <c r="K8801" t="s">
        <v>40661</v>
      </c>
      <c r="M8801" t="s">
        <v>43727</v>
      </c>
      <c r="N8801" t="s">
        <v>44905</v>
      </c>
      <c r="O8801" t="s">
        <v>44906</v>
      </c>
      <c r="P8801">
        <v>0</v>
      </c>
      <c r="Q8801">
        <v>3</v>
      </c>
      <c r="R8801" t="s">
        <v>44911</v>
      </c>
      <c r="S8801" t="s">
        <v>45139</v>
      </c>
      <c r="T8801" t="s">
        <v>46416</v>
      </c>
      <c r="U8801" t="s">
        <v>54002</v>
      </c>
      <c r="W8801" t="s">
        <v>43727</v>
      </c>
      <c r="X8801" t="s">
        <v>44913</v>
      </c>
    </row>
    <row r="8802" spans="1:24">
      <c r="A8802">
        <f>HYPERLINK("https://www.philgeps.gov.ph/GEPSNONPILOT/Tender/SplashBidNoticeAbstractUI.aspx?menuIndex=3&amp;refID=7072375&amp;Result=3","7072375")</f>
        <v>0</v>
      </c>
      <c r="B8802" t="s">
        <v>245</v>
      </c>
      <c r="C8802" t="s">
        <v>11909</v>
      </c>
      <c r="D8802" t="s">
        <v>18108</v>
      </c>
      <c r="E8802" t="s">
        <v>25893</v>
      </c>
      <c r="F8802" t="s">
        <v>31362</v>
      </c>
      <c r="G8802" t="s">
        <v>31369</v>
      </c>
      <c r="H8802" t="s">
        <v>15799</v>
      </c>
      <c r="I8802" t="s">
        <v>31377</v>
      </c>
      <c r="J8802" t="s">
        <v>36869</v>
      </c>
      <c r="K8802" t="s">
        <v>40686</v>
      </c>
      <c r="M8802" t="s">
        <v>41184</v>
      </c>
      <c r="N8802" t="s">
        <v>44905</v>
      </c>
      <c r="O8802" t="s">
        <v>44906</v>
      </c>
      <c r="Q8802">
        <v>2</v>
      </c>
      <c r="R8802" t="s">
        <v>44911</v>
      </c>
      <c r="S8802" t="s">
        <v>45150</v>
      </c>
      <c r="T8802" t="s">
        <v>46788</v>
      </c>
      <c r="U8802" t="s">
        <v>54003</v>
      </c>
      <c r="V8802" t="s">
        <v>59950</v>
      </c>
      <c r="W8802" t="s">
        <v>41184</v>
      </c>
      <c r="X8802" t="s">
        <v>44913</v>
      </c>
    </row>
    <row r="8803" spans="1:24">
      <c r="A8803">
        <f>HYPERLINK("https://www.philgeps.gov.ph/GEPSNONPILOT/Tender/SplashBidNoticeAbstractUI.aspx?menuIndex=3&amp;refID=7072334&amp;Result=3","7072334")</f>
        <v>0</v>
      </c>
      <c r="B8803" t="s">
        <v>2556</v>
      </c>
      <c r="C8803" t="s">
        <v>9217</v>
      </c>
      <c r="D8803" t="s">
        <v>18118</v>
      </c>
      <c r="E8803" t="s">
        <v>23516</v>
      </c>
      <c r="F8803" t="s">
        <v>31362</v>
      </c>
      <c r="G8803" t="s">
        <v>31369</v>
      </c>
      <c r="H8803" t="s">
        <v>15799</v>
      </c>
      <c r="I8803" t="s">
        <v>31444</v>
      </c>
      <c r="J8803" t="s">
        <v>32394</v>
      </c>
      <c r="K8803" t="s">
        <v>40661</v>
      </c>
      <c r="M8803" t="s">
        <v>43728</v>
      </c>
      <c r="N8803" t="s">
        <v>44905</v>
      </c>
      <c r="O8803" t="s">
        <v>44906</v>
      </c>
      <c r="P8803">
        <v>0</v>
      </c>
      <c r="Q8803">
        <v>1</v>
      </c>
      <c r="R8803" t="s">
        <v>44911</v>
      </c>
      <c r="S8803" t="s">
        <v>45139</v>
      </c>
      <c r="T8803" t="s">
        <v>46447</v>
      </c>
      <c r="U8803" t="s">
        <v>54004</v>
      </c>
      <c r="W8803" t="s">
        <v>43728</v>
      </c>
      <c r="X8803" t="s">
        <v>44913</v>
      </c>
    </row>
    <row r="8804" spans="1:24">
      <c r="A8804">
        <f>HYPERLINK("https://www.philgeps.gov.ph/GEPSNONPILOT/Tender/SplashBidNoticeAbstractUI.aspx?menuIndex=3&amp;refID=7072374&amp;Result=3","7072374")</f>
        <v>0</v>
      </c>
      <c r="B8804" t="s">
        <v>2553</v>
      </c>
      <c r="C8804" t="s">
        <v>11910</v>
      </c>
      <c r="D8804" t="s">
        <v>18114</v>
      </c>
      <c r="E8804" t="s">
        <v>25894</v>
      </c>
      <c r="F8804" t="s">
        <v>31362</v>
      </c>
      <c r="G8804" t="s">
        <v>31370</v>
      </c>
      <c r="H8804" t="s">
        <v>15799</v>
      </c>
      <c r="I8804" t="s">
        <v>3815</v>
      </c>
      <c r="J8804" t="s">
        <v>36898</v>
      </c>
      <c r="K8804" t="s">
        <v>40666</v>
      </c>
      <c r="M8804" t="s">
        <v>43725</v>
      </c>
      <c r="N8804" t="s">
        <v>44905</v>
      </c>
      <c r="O8804" t="s">
        <v>44906</v>
      </c>
      <c r="P8804">
        <v>0</v>
      </c>
      <c r="Q8804">
        <v>3</v>
      </c>
      <c r="R8804" t="s">
        <v>44911</v>
      </c>
      <c r="S8804" t="s">
        <v>45139</v>
      </c>
      <c r="T8804" t="s">
        <v>46454</v>
      </c>
      <c r="U8804" t="s">
        <v>54005</v>
      </c>
      <c r="V8804" t="s">
        <v>59946</v>
      </c>
      <c r="W8804" t="s">
        <v>43725</v>
      </c>
      <c r="X8804" t="s">
        <v>44913</v>
      </c>
    </row>
    <row r="8805" spans="1:24">
      <c r="A8805">
        <f>HYPERLINK("https://www.philgeps.gov.ph/GEPSNONPILOT/Tender/SplashBidNoticeAbstractUI.aspx?menuIndex=3&amp;refID=7072373&amp;Result=3","7072373")</f>
        <v>0</v>
      </c>
      <c r="B8805" t="s">
        <v>2555</v>
      </c>
      <c r="C8805" t="s">
        <v>7980</v>
      </c>
      <c r="D8805" t="s">
        <v>18111</v>
      </c>
      <c r="E8805" t="s">
        <v>25895</v>
      </c>
      <c r="F8805" t="s">
        <v>31362</v>
      </c>
      <c r="G8805" t="s">
        <v>31370</v>
      </c>
      <c r="H8805" t="s">
        <v>15799</v>
      </c>
      <c r="I8805" t="s">
        <v>6373</v>
      </c>
      <c r="J8805" t="s">
        <v>36899</v>
      </c>
      <c r="K8805" t="s">
        <v>40661</v>
      </c>
      <c r="M8805" t="s">
        <v>43727</v>
      </c>
      <c r="N8805" t="s">
        <v>44905</v>
      </c>
      <c r="O8805" t="s">
        <v>44906</v>
      </c>
      <c r="P8805">
        <v>0</v>
      </c>
      <c r="Q8805">
        <v>3</v>
      </c>
      <c r="R8805" t="s">
        <v>44911</v>
      </c>
      <c r="S8805" t="s">
        <v>45139</v>
      </c>
      <c r="T8805" t="s">
        <v>46416</v>
      </c>
      <c r="U8805" t="s">
        <v>54006</v>
      </c>
      <c r="W8805" t="s">
        <v>43727</v>
      </c>
      <c r="X8805" t="s">
        <v>44913</v>
      </c>
    </row>
    <row r="8806" spans="1:24">
      <c r="A8806">
        <f>HYPERLINK("https://www.philgeps.gov.ph/GEPSNONPILOT/Tender/SplashBidNoticeAbstractUI.aspx?menuIndex=3&amp;refID=7072359&amp;Result=3","7072359")</f>
        <v>0</v>
      </c>
      <c r="B8806" t="s">
        <v>245</v>
      </c>
      <c r="C8806" t="s">
        <v>11909</v>
      </c>
      <c r="D8806" t="s">
        <v>18108</v>
      </c>
      <c r="E8806" t="s">
        <v>25893</v>
      </c>
      <c r="F8806" t="s">
        <v>31362</v>
      </c>
      <c r="G8806" t="s">
        <v>31369</v>
      </c>
      <c r="H8806" t="s">
        <v>15799</v>
      </c>
      <c r="I8806" t="s">
        <v>31377</v>
      </c>
      <c r="J8806" t="s">
        <v>36869</v>
      </c>
      <c r="K8806" t="s">
        <v>40686</v>
      </c>
      <c r="M8806" t="s">
        <v>41184</v>
      </c>
      <c r="N8806" t="s">
        <v>44905</v>
      </c>
      <c r="O8806" t="s">
        <v>44906</v>
      </c>
      <c r="Q8806">
        <v>3</v>
      </c>
      <c r="R8806" t="s">
        <v>44911</v>
      </c>
      <c r="S8806" t="s">
        <v>45151</v>
      </c>
      <c r="T8806" t="s">
        <v>46788</v>
      </c>
      <c r="U8806" t="s">
        <v>54007</v>
      </c>
      <c r="V8806" t="s">
        <v>59950</v>
      </c>
      <c r="W8806" t="s">
        <v>41184</v>
      </c>
      <c r="X8806" t="s">
        <v>44913</v>
      </c>
    </row>
    <row r="8807" spans="1:24">
      <c r="A8807">
        <f>HYPERLINK("https://www.philgeps.gov.ph/GEPSNONPILOT/Tender/SplashBidNoticeAbstractUI.aspx?menuIndex=3&amp;refID=7072357&amp;Result=3","7072357")</f>
        <v>0</v>
      </c>
      <c r="B8807" t="s">
        <v>2557</v>
      </c>
      <c r="C8807" t="s">
        <v>7980</v>
      </c>
      <c r="D8807" t="s">
        <v>18111</v>
      </c>
      <c r="E8807" t="s">
        <v>25896</v>
      </c>
      <c r="F8807" t="s">
        <v>31362</v>
      </c>
      <c r="G8807" t="s">
        <v>31370</v>
      </c>
      <c r="H8807" t="s">
        <v>15799</v>
      </c>
      <c r="I8807" t="s">
        <v>6373</v>
      </c>
      <c r="J8807" t="s">
        <v>35603</v>
      </c>
      <c r="K8807" t="s">
        <v>40672</v>
      </c>
      <c r="M8807" t="s">
        <v>43729</v>
      </c>
      <c r="N8807" t="s">
        <v>44905</v>
      </c>
      <c r="O8807" t="s">
        <v>44906</v>
      </c>
      <c r="P8807">
        <v>0</v>
      </c>
      <c r="Q8807">
        <v>2</v>
      </c>
      <c r="R8807" t="s">
        <v>44911</v>
      </c>
      <c r="S8807" t="s">
        <v>45139</v>
      </c>
      <c r="T8807" t="s">
        <v>46416</v>
      </c>
      <c r="U8807" t="s">
        <v>54008</v>
      </c>
      <c r="W8807" t="s">
        <v>43729</v>
      </c>
      <c r="X8807" t="s">
        <v>44913</v>
      </c>
    </row>
    <row r="8808" spans="1:24">
      <c r="A8808">
        <f>HYPERLINK("https://www.philgeps.gov.ph/GEPSNONPILOT/Tender/SplashBidNoticeAbstractUI.aspx?menuIndex=3&amp;refID=7072355&amp;Result=3","7072355")</f>
        <v>0</v>
      </c>
      <c r="B8808" t="s">
        <v>2553</v>
      </c>
      <c r="C8808" t="s">
        <v>11911</v>
      </c>
      <c r="D8808" t="s">
        <v>18114</v>
      </c>
      <c r="E8808" t="s">
        <v>25897</v>
      </c>
      <c r="F8808" t="s">
        <v>31362</v>
      </c>
      <c r="G8808" t="s">
        <v>31370</v>
      </c>
      <c r="H8808" t="s">
        <v>15799</v>
      </c>
      <c r="I8808" t="s">
        <v>31393</v>
      </c>
      <c r="J8808" t="s">
        <v>33248</v>
      </c>
      <c r="K8808" t="s">
        <v>40666</v>
      </c>
      <c r="M8808" t="s">
        <v>43725</v>
      </c>
      <c r="N8808" t="s">
        <v>44905</v>
      </c>
      <c r="O8808" t="s">
        <v>44906</v>
      </c>
      <c r="P8808">
        <v>0</v>
      </c>
      <c r="Q8808">
        <v>10</v>
      </c>
      <c r="R8808" t="s">
        <v>44911</v>
      </c>
      <c r="S8808" t="s">
        <v>45139</v>
      </c>
      <c r="T8808" t="s">
        <v>46454</v>
      </c>
      <c r="U8808" t="s">
        <v>54009</v>
      </c>
      <c r="V8808" t="s">
        <v>59946</v>
      </c>
      <c r="W8808" t="s">
        <v>43725</v>
      </c>
      <c r="X8808" t="s">
        <v>44913</v>
      </c>
    </row>
    <row r="8809" spans="1:24">
      <c r="A8809">
        <f>HYPERLINK("https://www.philgeps.gov.ph/GEPSNONPILOT/Tender/SplashBidNoticeAbstractUI.aspx?menuIndex=3&amp;refID=7072364&amp;Result=3","7072364")</f>
        <v>0</v>
      </c>
      <c r="B8809" t="s">
        <v>213</v>
      </c>
      <c r="C8809" t="s">
        <v>11912</v>
      </c>
      <c r="D8809" t="s">
        <v>18121</v>
      </c>
      <c r="E8809" t="s">
        <v>25898</v>
      </c>
      <c r="F8809" t="s">
        <v>31362</v>
      </c>
      <c r="G8809" t="s">
        <v>31369</v>
      </c>
      <c r="H8809" t="s">
        <v>15799</v>
      </c>
      <c r="I8809" t="s">
        <v>31400</v>
      </c>
      <c r="J8809" t="s">
        <v>32391</v>
      </c>
      <c r="K8809" t="s">
        <v>40677</v>
      </c>
      <c r="M8809" t="s">
        <v>41152</v>
      </c>
      <c r="N8809" t="s">
        <v>44905</v>
      </c>
      <c r="O8809" t="s">
        <v>44906</v>
      </c>
      <c r="P8809">
        <v>0</v>
      </c>
      <c r="Q8809">
        <v>0</v>
      </c>
      <c r="R8809" t="s">
        <v>44911</v>
      </c>
      <c r="S8809" t="s">
        <v>45139</v>
      </c>
      <c r="T8809" t="s">
        <v>46406</v>
      </c>
      <c r="U8809" t="s">
        <v>54010</v>
      </c>
      <c r="V8809" t="s">
        <v>59951</v>
      </c>
      <c r="W8809" t="s">
        <v>41152</v>
      </c>
      <c r="X8809" t="s">
        <v>44913</v>
      </c>
    </row>
    <row r="8810" spans="1:24">
      <c r="A8810">
        <f>HYPERLINK("https://www.philgeps.gov.ph/GEPSNONPILOT/Tender/SplashBidNoticeAbstractUI.aspx?menuIndex=3&amp;refID=7072348&amp;Result=3","7072348")</f>
        <v>0</v>
      </c>
      <c r="B8810" t="s">
        <v>2558</v>
      </c>
      <c r="C8810" t="s">
        <v>7980</v>
      </c>
      <c r="D8810" t="s">
        <v>18111</v>
      </c>
      <c r="E8810" t="s">
        <v>25899</v>
      </c>
      <c r="F8810" t="s">
        <v>31362</v>
      </c>
      <c r="G8810" t="s">
        <v>31370</v>
      </c>
      <c r="H8810" t="s">
        <v>15799</v>
      </c>
      <c r="I8810" t="s">
        <v>6373</v>
      </c>
      <c r="J8810" t="s">
        <v>36900</v>
      </c>
      <c r="K8810" t="s">
        <v>40661</v>
      </c>
      <c r="M8810" t="s">
        <v>43730</v>
      </c>
      <c r="N8810" t="s">
        <v>44905</v>
      </c>
      <c r="O8810" t="s">
        <v>44906</v>
      </c>
      <c r="P8810">
        <v>0</v>
      </c>
      <c r="Q8810">
        <v>2</v>
      </c>
      <c r="R8810" t="s">
        <v>44911</v>
      </c>
      <c r="S8810" t="s">
        <v>45139</v>
      </c>
      <c r="T8810" t="s">
        <v>46416</v>
      </c>
      <c r="U8810" t="s">
        <v>54011</v>
      </c>
      <c r="W8810" t="s">
        <v>43730</v>
      </c>
      <c r="X8810" t="s">
        <v>44913</v>
      </c>
    </row>
    <row r="8811" spans="1:24">
      <c r="A8811">
        <f>HYPERLINK("https://www.philgeps.gov.ph/GEPSNONPILOT/Tender/SplashBidNoticeAbstractUI.aspx?menuIndex=3&amp;refID=7072346&amp;Result=3","7072346")</f>
        <v>0</v>
      </c>
      <c r="B8811" t="s">
        <v>2558</v>
      </c>
      <c r="C8811" t="s">
        <v>7980</v>
      </c>
      <c r="D8811" t="s">
        <v>18111</v>
      </c>
      <c r="E8811" t="s">
        <v>25900</v>
      </c>
      <c r="F8811" t="s">
        <v>31362</v>
      </c>
      <c r="G8811" t="s">
        <v>31370</v>
      </c>
      <c r="H8811" t="s">
        <v>15799</v>
      </c>
      <c r="I8811" t="s">
        <v>3815</v>
      </c>
      <c r="J8811" t="s">
        <v>36500</v>
      </c>
      <c r="K8811" t="s">
        <v>40661</v>
      </c>
      <c r="M8811" t="s">
        <v>43730</v>
      </c>
      <c r="N8811" t="s">
        <v>44905</v>
      </c>
      <c r="O8811" t="s">
        <v>44906</v>
      </c>
      <c r="P8811">
        <v>0</v>
      </c>
      <c r="Q8811">
        <v>1</v>
      </c>
      <c r="R8811" t="s">
        <v>44911</v>
      </c>
      <c r="S8811" t="s">
        <v>45139</v>
      </c>
      <c r="T8811" t="s">
        <v>46416</v>
      </c>
      <c r="U8811" t="s">
        <v>54012</v>
      </c>
      <c r="W8811" t="s">
        <v>43730</v>
      </c>
      <c r="X8811" t="s">
        <v>44913</v>
      </c>
    </row>
    <row r="8812" spans="1:24">
      <c r="A8812">
        <f>HYPERLINK("https://www.philgeps.gov.ph/GEPSNONPILOT/Tender/SplashBidNoticeAbstractUI.aspx?menuIndex=3&amp;refID=7072343&amp;Result=3","7072343")</f>
        <v>0</v>
      </c>
      <c r="B8812" t="s">
        <v>2558</v>
      </c>
      <c r="C8812" t="s">
        <v>7980</v>
      </c>
      <c r="D8812" t="s">
        <v>18111</v>
      </c>
      <c r="E8812" t="s">
        <v>25901</v>
      </c>
      <c r="F8812" t="s">
        <v>31362</v>
      </c>
      <c r="G8812" t="s">
        <v>31370</v>
      </c>
      <c r="H8812" t="s">
        <v>15799</v>
      </c>
      <c r="I8812" t="s">
        <v>3815</v>
      </c>
      <c r="J8812" t="s">
        <v>36901</v>
      </c>
      <c r="K8812" t="s">
        <v>40661</v>
      </c>
      <c r="M8812" t="s">
        <v>43730</v>
      </c>
      <c r="N8812" t="s">
        <v>44905</v>
      </c>
      <c r="O8812" t="s">
        <v>44906</v>
      </c>
      <c r="P8812">
        <v>0</v>
      </c>
      <c r="Q8812">
        <v>1</v>
      </c>
      <c r="R8812" t="s">
        <v>44911</v>
      </c>
      <c r="S8812" t="s">
        <v>45139</v>
      </c>
      <c r="T8812" t="s">
        <v>46416</v>
      </c>
      <c r="U8812" t="s">
        <v>54013</v>
      </c>
      <c r="W8812" t="s">
        <v>43730</v>
      </c>
      <c r="X8812" t="s">
        <v>44913</v>
      </c>
    </row>
    <row r="8813" spans="1:24">
      <c r="A8813">
        <f>HYPERLINK("https://www.philgeps.gov.ph/GEPSNONPILOT/Tender/SplashBidNoticeAbstractUI.aspx?menuIndex=3&amp;refID=7072342&amp;Result=3","7072342")</f>
        <v>0</v>
      </c>
      <c r="B8813" t="s">
        <v>2553</v>
      </c>
      <c r="C8813" t="s">
        <v>11913</v>
      </c>
      <c r="D8813" t="s">
        <v>18114</v>
      </c>
      <c r="E8813" t="s">
        <v>25902</v>
      </c>
      <c r="F8813" t="s">
        <v>31362</v>
      </c>
      <c r="G8813" t="s">
        <v>31370</v>
      </c>
      <c r="H8813" t="s">
        <v>15799</v>
      </c>
      <c r="I8813" t="s">
        <v>3815</v>
      </c>
      <c r="J8813" t="s">
        <v>36902</v>
      </c>
      <c r="K8813" t="s">
        <v>40666</v>
      </c>
      <c r="M8813" t="s">
        <v>43725</v>
      </c>
      <c r="N8813" t="s">
        <v>44905</v>
      </c>
      <c r="O8813" t="s">
        <v>44906</v>
      </c>
      <c r="P8813">
        <v>0</v>
      </c>
      <c r="Q8813">
        <v>4</v>
      </c>
      <c r="R8813" t="s">
        <v>44911</v>
      </c>
      <c r="S8813" t="s">
        <v>45139</v>
      </c>
      <c r="T8813" t="s">
        <v>46454</v>
      </c>
      <c r="U8813" t="s">
        <v>54014</v>
      </c>
      <c r="V8813" t="s">
        <v>59946</v>
      </c>
      <c r="W8813" t="s">
        <v>43725</v>
      </c>
      <c r="X8813" t="s">
        <v>44913</v>
      </c>
    </row>
    <row r="8814" spans="1:24">
      <c r="A8814">
        <f>HYPERLINK("https://www.philgeps.gov.ph/GEPSNONPILOT/Tender/SplashBidNoticeAbstractUI.aspx?menuIndex=3&amp;refID=7072366&amp;Result=3","7072366")</f>
        <v>0</v>
      </c>
      <c r="B8814" t="s">
        <v>2553</v>
      </c>
      <c r="C8814" t="s">
        <v>11914</v>
      </c>
      <c r="D8814" t="s">
        <v>18114</v>
      </c>
      <c r="E8814" t="s">
        <v>25903</v>
      </c>
      <c r="F8814" t="s">
        <v>31362</v>
      </c>
      <c r="G8814" t="s">
        <v>31368</v>
      </c>
      <c r="H8814" t="s">
        <v>15799</v>
      </c>
      <c r="I8814" t="s">
        <v>31386</v>
      </c>
      <c r="J8814" t="s">
        <v>36903</v>
      </c>
      <c r="K8814" t="s">
        <v>40694</v>
      </c>
      <c r="M8814" t="s">
        <v>43725</v>
      </c>
      <c r="N8814" t="s">
        <v>44905</v>
      </c>
      <c r="O8814" t="s">
        <v>44906</v>
      </c>
      <c r="P8814">
        <v>0</v>
      </c>
      <c r="Q8814">
        <v>2</v>
      </c>
      <c r="R8814" t="s">
        <v>44911</v>
      </c>
      <c r="S8814" t="s">
        <v>45139</v>
      </c>
      <c r="T8814" t="s">
        <v>46454</v>
      </c>
      <c r="U8814" t="s">
        <v>54015</v>
      </c>
      <c r="V8814" t="s">
        <v>59946</v>
      </c>
      <c r="W8814" t="s">
        <v>43725</v>
      </c>
      <c r="X8814" t="s">
        <v>44913</v>
      </c>
    </row>
    <row r="8815" spans="1:24">
      <c r="A8815">
        <f>HYPERLINK("https://www.philgeps.gov.ph/GEPSNONPILOT/Tender/SplashBidNoticeAbstractUI.aspx?menuIndex=3&amp;refID=7070778&amp;Result=3","7070778")</f>
        <v>0</v>
      </c>
      <c r="B8815" t="s">
        <v>387</v>
      </c>
      <c r="C8815" t="s">
        <v>11915</v>
      </c>
      <c r="D8815" t="s">
        <v>18152</v>
      </c>
      <c r="E8815" t="s">
        <v>25904</v>
      </c>
      <c r="F8815" t="s">
        <v>31362</v>
      </c>
      <c r="G8815" t="s">
        <v>31369</v>
      </c>
      <c r="H8815" t="s">
        <v>15799</v>
      </c>
      <c r="I8815" t="s">
        <v>31431</v>
      </c>
      <c r="J8815" t="s">
        <v>36904</v>
      </c>
      <c r="K8815" t="s">
        <v>40665</v>
      </c>
      <c r="M8815" t="s">
        <v>41915</v>
      </c>
      <c r="N8815" t="s">
        <v>44905</v>
      </c>
      <c r="O8815" t="s">
        <v>44906</v>
      </c>
      <c r="P8815">
        <v>0</v>
      </c>
      <c r="Q8815">
        <v>2</v>
      </c>
      <c r="R8815" t="s">
        <v>44911</v>
      </c>
      <c r="S8815" t="s">
        <v>45139</v>
      </c>
      <c r="T8815" t="s">
        <v>46393</v>
      </c>
      <c r="U8815" t="s">
        <v>47597</v>
      </c>
      <c r="V8815" t="s">
        <v>59153</v>
      </c>
      <c r="W8815" t="s">
        <v>41915</v>
      </c>
      <c r="X8815" t="s">
        <v>44914</v>
      </c>
    </row>
    <row r="8816" spans="1:24">
      <c r="A8816">
        <f>HYPERLINK("https://www.philgeps.gov.ph/GEPSNONPILOT/Tender/SplashBidNoticeAbstractUI.aspx?menuIndex=3&amp;refID=7070789&amp;Result=3","7070789")</f>
        <v>0</v>
      </c>
      <c r="B8816" t="s">
        <v>2493</v>
      </c>
      <c r="C8816" t="s">
        <v>11916</v>
      </c>
      <c r="D8816" t="s">
        <v>18148</v>
      </c>
      <c r="E8816" t="s">
        <v>25905</v>
      </c>
      <c r="F8816" t="s">
        <v>31362</v>
      </c>
      <c r="G8816" t="s">
        <v>31369</v>
      </c>
      <c r="H8816" t="s">
        <v>15799</v>
      </c>
      <c r="I8816" t="s">
        <v>31421</v>
      </c>
      <c r="J8816" t="s">
        <v>31536</v>
      </c>
      <c r="K8816" t="s">
        <v>40682</v>
      </c>
      <c r="M8816" t="s">
        <v>43659</v>
      </c>
      <c r="N8816" t="s">
        <v>44905</v>
      </c>
      <c r="O8816" t="s">
        <v>44906</v>
      </c>
      <c r="P8816">
        <v>0</v>
      </c>
      <c r="Q8816">
        <v>2</v>
      </c>
      <c r="R8816" t="s">
        <v>44911</v>
      </c>
      <c r="S8816" t="s">
        <v>45139</v>
      </c>
      <c r="T8816" t="s">
        <v>46443</v>
      </c>
      <c r="U8816" t="s">
        <v>54016</v>
      </c>
      <c r="W8816" t="s">
        <v>43659</v>
      </c>
      <c r="X8816" t="s">
        <v>44914</v>
      </c>
    </row>
    <row r="8817" spans="1:24">
      <c r="A8817">
        <f>HYPERLINK("https://www.philgeps.gov.ph/GEPSNONPILOT/Tender/SplashBidNoticeAbstractUI.aspx?menuIndex=3&amp;refID=7072401&amp;Result=3","7072401")</f>
        <v>0</v>
      </c>
      <c r="B8817" t="s">
        <v>182</v>
      </c>
      <c r="C8817" t="s">
        <v>11917</v>
      </c>
      <c r="D8817" t="s">
        <v>18101</v>
      </c>
      <c r="E8817" t="s">
        <v>21519</v>
      </c>
      <c r="F8817" t="s">
        <v>31362</v>
      </c>
      <c r="G8817" t="s">
        <v>31369</v>
      </c>
      <c r="H8817" t="s">
        <v>15799</v>
      </c>
      <c r="I8817" t="s">
        <v>31393</v>
      </c>
      <c r="J8817" t="s">
        <v>36905</v>
      </c>
      <c r="K8817" t="s">
        <v>40662</v>
      </c>
      <c r="M8817" t="s">
        <v>41120</v>
      </c>
      <c r="N8817" t="s">
        <v>44905</v>
      </c>
      <c r="O8817" t="s">
        <v>44906</v>
      </c>
      <c r="P8817">
        <v>0</v>
      </c>
      <c r="Q8817">
        <v>4</v>
      </c>
      <c r="R8817" t="s">
        <v>44911</v>
      </c>
      <c r="S8817" t="s">
        <v>45139</v>
      </c>
      <c r="T8817" t="s">
        <v>46434</v>
      </c>
      <c r="U8817" t="s">
        <v>54017</v>
      </c>
      <c r="W8817" t="s">
        <v>60840</v>
      </c>
      <c r="X8817" t="s">
        <v>44913</v>
      </c>
    </row>
    <row r="8818" spans="1:24">
      <c r="A8818">
        <f>HYPERLINK("https://www.philgeps.gov.ph/GEPSNONPILOT/Tender/SplashBidNoticeAbstractUI.aspx?menuIndex=3&amp;refID=7072427&amp;Result=3","7072427")</f>
        <v>0</v>
      </c>
      <c r="B8818" t="s">
        <v>182</v>
      </c>
      <c r="C8818" t="s">
        <v>11918</v>
      </c>
      <c r="D8818" t="s">
        <v>18101</v>
      </c>
      <c r="E8818" t="s">
        <v>25906</v>
      </c>
      <c r="F8818" t="s">
        <v>31362</v>
      </c>
      <c r="G8818" t="s">
        <v>31369</v>
      </c>
      <c r="H8818" t="s">
        <v>15799</v>
      </c>
      <c r="I8818" t="s">
        <v>6373</v>
      </c>
      <c r="J8818" t="s">
        <v>36906</v>
      </c>
      <c r="K8818" t="s">
        <v>40662</v>
      </c>
      <c r="M8818" t="s">
        <v>41120</v>
      </c>
      <c r="N8818" t="s">
        <v>44905</v>
      </c>
      <c r="O8818" t="s">
        <v>44906</v>
      </c>
      <c r="P8818">
        <v>0</v>
      </c>
      <c r="Q8818">
        <v>0</v>
      </c>
      <c r="R8818" t="s">
        <v>44911</v>
      </c>
      <c r="S8818" t="s">
        <v>45139</v>
      </c>
      <c r="T8818" t="s">
        <v>46434</v>
      </c>
      <c r="U8818" t="s">
        <v>54018</v>
      </c>
      <c r="W8818" t="s">
        <v>60840</v>
      </c>
      <c r="X8818" t="s">
        <v>44913</v>
      </c>
    </row>
    <row r="8819" spans="1:24">
      <c r="A8819">
        <f>HYPERLINK("https://www.philgeps.gov.ph/GEPSNONPILOT/Tender/SplashBidNoticeAbstractUI.aspx?menuIndex=3&amp;refID=7072426&amp;Result=3","7072426")</f>
        <v>0</v>
      </c>
      <c r="B8819" t="s">
        <v>2559</v>
      </c>
      <c r="C8819" t="s">
        <v>11919</v>
      </c>
      <c r="D8819" t="s">
        <v>18114</v>
      </c>
      <c r="E8819" t="s">
        <v>25907</v>
      </c>
      <c r="F8819" t="s">
        <v>31362</v>
      </c>
      <c r="G8819" t="s">
        <v>31369</v>
      </c>
      <c r="H8819" t="s">
        <v>15799</v>
      </c>
      <c r="I8819" t="s">
        <v>31380</v>
      </c>
      <c r="J8819" t="s">
        <v>36907</v>
      </c>
      <c r="K8819" t="s">
        <v>40673</v>
      </c>
      <c r="M8819" t="s">
        <v>43731</v>
      </c>
      <c r="N8819" t="s">
        <v>44905</v>
      </c>
      <c r="O8819" t="s">
        <v>44906</v>
      </c>
      <c r="P8819">
        <v>0</v>
      </c>
      <c r="Q8819">
        <v>1</v>
      </c>
      <c r="R8819" t="s">
        <v>44911</v>
      </c>
      <c r="S8819" t="s">
        <v>45139</v>
      </c>
      <c r="T8819" t="s">
        <v>46414</v>
      </c>
      <c r="U8819" t="s">
        <v>54019</v>
      </c>
      <c r="W8819" t="s">
        <v>43731</v>
      </c>
      <c r="X8819" t="s">
        <v>44913</v>
      </c>
    </row>
    <row r="8820" spans="1:24">
      <c r="A8820">
        <f>HYPERLINK("https://www.philgeps.gov.ph/GEPSNONPILOT/Tender/SplashBidNoticeAbstractUI.aspx?menuIndex=3&amp;refID=7072424&amp;Result=3","7072424")</f>
        <v>0</v>
      </c>
      <c r="B8820" t="s">
        <v>182</v>
      </c>
      <c r="C8820" t="s">
        <v>11920</v>
      </c>
      <c r="D8820" t="s">
        <v>18101</v>
      </c>
      <c r="E8820" t="s">
        <v>25908</v>
      </c>
      <c r="F8820" t="s">
        <v>31362</v>
      </c>
      <c r="G8820" t="s">
        <v>31369</v>
      </c>
      <c r="H8820" t="s">
        <v>15799</v>
      </c>
      <c r="I8820" t="s">
        <v>4057</v>
      </c>
      <c r="J8820" t="s">
        <v>32739</v>
      </c>
      <c r="K8820" t="s">
        <v>40662</v>
      </c>
      <c r="M8820" t="s">
        <v>41120</v>
      </c>
      <c r="N8820" t="s">
        <v>44905</v>
      </c>
      <c r="O8820" t="s">
        <v>44906</v>
      </c>
      <c r="P8820">
        <v>0</v>
      </c>
      <c r="Q8820">
        <v>0</v>
      </c>
      <c r="R8820" t="s">
        <v>44911</v>
      </c>
      <c r="S8820" t="s">
        <v>45139</v>
      </c>
      <c r="T8820" t="s">
        <v>46434</v>
      </c>
      <c r="U8820" t="s">
        <v>54020</v>
      </c>
      <c r="W8820" t="s">
        <v>60840</v>
      </c>
      <c r="X8820" t="s">
        <v>44913</v>
      </c>
    </row>
    <row r="8821" spans="1:24">
      <c r="A8821">
        <f>HYPERLINK("https://www.philgeps.gov.ph/GEPSNONPILOT/Tender/SplashBidNoticeAbstractUI.aspx?menuIndex=3&amp;refID=7072422&amp;Result=3","7072422")</f>
        <v>0</v>
      </c>
      <c r="B8821" t="s">
        <v>182</v>
      </c>
      <c r="C8821" t="s">
        <v>11921</v>
      </c>
      <c r="D8821" t="s">
        <v>18101</v>
      </c>
      <c r="E8821" t="s">
        <v>19717</v>
      </c>
      <c r="F8821" t="s">
        <v>31362</v>
      </c>
      <c r="G8821" t="s">
        <v>31369</v>
      </c>
      <c r="H8821" t="s">
        <v>15799</v>
      </c>
      <c r="I8821" t="s">
        <v>31430</v>
      </c>
      <c r="J8821" t="s">
        <v>31530</v>
      </c>
      <c r="K8821" t="s">
        <v>40662</v>
      </c>
      <c r="M8821" t="s">
        <v>41120</v>
      </c>
      <c r="N8821" t="s">
        <v>44905</v>
      </c>
      <c r="O8821" t="s">
        <v>44906</v>
      </c>
      <c r="P8821">
        <v>0</v>
      </c>
      <c r="Q8821">
        <v>0</v>
      </c>
      <c r="R8821" t="s">
        <v>44911</v>
      </c>
      <c r="S8821" t="s">
        <v>45139</v>
      </c>
      <c r="T8821" t="s">
        <v>46434</v>
      </c>
      <c r="U8821" t="s">
        <v>54021</v>
      </c>
      <c r="W8821" t="s">
        <v>60840</v>
      </c>
      <c r="X8821" t="s">
        <v>44913</v>
      </c>
    </row>
    <row r="8822" spans="1:24">
      <c r="A8822">
        <f>HYPERLINK("https://www.philgeps.gov.ph/GEPSNONPILOT/Tender/SplashBidNoticeAbstractUI.aspx?menuIndex=3&amp;refID=7072420&amp;Result=3","7072420")</f>
        <v>0</v>
      </c>
      <c r="B8822" t="s">
        <v>182</v>
      </c>
      <c r="C8822" t="s">
        <v>11922</v>
      </c>
      <c r="D8822" t="s">
        <v>18101</v>
      </c>
      <c r="E8822" t="s">
        <v>19905</v>
      </c>
      <c r="F8822" t="s">
        <v>31362</v>
      </c>
      <c r="G8822" t="s">
        <v>31369</v>
      </c>
      <c r="H8822" t="s">
        <v>15799</v>
      </c>
      <c r="I8822" t="s">
        <v>31411</v>
      </c>
      <c r="J8822" t="s">
        <v>36908</v>
      </c>
      <c r="K8822" t="s">
        <v>40662</v>
      </c>
      <c r="M8822" t="s">
        <v>41120</v>
      </c>
      <c r="N8822" t="s">
        <v>44905</v>
      </c>
      <c r="O8822" t="s">
        <v>44906</v>
      </c>
      <c r="P8822">
        <v>0</v>
      </c>
      <c r="Q8822">
        <v>5</v>
      </c>
      <c r="R8822" t="s">
        <v>44911</v>
      </c>
      <c r="S8822" t="s">
        <v>45139</v>
      </c>
      <c r="T8822" t="s">
        <v>46434</v>
      </c>
      <c r="U8822" t="s">
        <v>54022</v>
      </c>
      <c r="W8822" t="s">
        <v>60840</v>
      </c>
      <c r="X8822" t="s">
        <v>44913</v>
      </c>
    </row>
    <row r="8823" spans="1:24">
      <c r="A8823">
        <f>HYPERLINK("https://www.philgeps.gov.ph/GEPSNONPILOT/Tender/SplashBidNoticeAbstractUI.aspx?menuIndex=3&amp;refID=7072417&amp;Result=3","7072417")</f>
        <v>0</v>
      </c>
      <c r="B8823" t="s">
        <v>182</v>
      </c>
      <c r="C8823" t="s">
        <v>11923</v>
      </c>
      <c r="D8823" t="s">
        <v>18101</v>
      </c>
      <c r="E8823" t="s">
        <v>21346</v>
      </c>
      <c r="F8823" t="s">
        <v>31362</v>
      </c>
      <c r="G8823" t="s">
        <v>31369</v>
      </c>
      <c r="H8823" t="s">
        <v>15799</v>
      </c>
      <c r="I8823" t="s">
        <v>31415</v>
      </c>
      <c r="J8823" t="s">
        <v>36909</v>
      </c>
      <c r="K8823" t="s">
        <v>40662</v>
      </c>
      <c r="M8823" t="s">
        <v>41120</v>
      </c>
      <c r="N8823" t="s">
        <v>44905</v>
      </c>
      <c r="O8823" t="s">
        <v>44906</v>
      </c>
      <c r="P8823">
        <v>0</v>
      </c>
      <c r="Q8823">
        <v>1</v>
      </c>
      <c r="R8823" t="s">
        <v>44911</v>
      </c>
      <c r="S8823" t="s">
        <v>45139</v>
      </c>
      <c r="T8823" t="s">
        <v>46434</v>
      </c>
      <c r="U8823" t="s">
        <v>54023</v>
      </c>
      <c r="W8823" t="s">
        <v>60840</v>
      </c>
      <c r="X8823" t="s">
        <v>44913</v>
      </c>
    </row>
    <row r="8824" spans="1:24">
      <c r="A8824">
        <f>HYPERLINK("https://www.philgeps.gov.ph/GEPSNONPILOT/Tender/SplashBidNoticeAbstractUI.aspx?menuIndex=3&amp;refID=7072449&amp;Result=3","7072449")</f>
        <v>0</v>
      </c>
      <c r="B8824" t="s">
        <v>182</v>
      </c>
      <c r="C8824" t="s">
        <v>11924</v>
      </c>
      <c r="D8824" t="s">
        <v>18101</v>
      </c>
      <c r="E8824" t="s">
        <v>25909</v>
      </c>
      <c r="F8824" t="s">
        <v>31362</v>
      </c>
      <c r="G8824" t="s">
        <v>31369</v>
      </c>
      <c r="H8824" t="s">
        <v>15799</v>
      </c>
      <c r="I8824" t="s">
        <v>31394</v>
      </c>
      <c r="J8824" t="s">
        <v>36910</v>
      </c>
      <c r="K8824" t="s">
        <v>40662</v>
      </c>
      <c r="M8824" t="s">
        <v>41120</v>
      </c>
      <c r="N8824" t="s">
        <v>44905</v>
      </c>
      <c r="O8824" t="s">
        <v>44906</v>
      </c>
      <c r="P8824">
        <v>0</v>
      </c>
      <c r="Q8824">
        <v>1</v>
      </c>
      <c r="R8824" t="s">
        <v>44911</v>
      </c>
      <c r="S8824" t="s">
        <v>45139</v>
      </c>
      <c r="T8824" t="s">
        <v>46434</v>
      </c>
      <c r="U8824" t="s">
        <v>54024</v>
      </c>
      <c r="W8824" t="s">
        <v>60840</v>
      </c>
      <c r="X8824" t="s">
        <v>44913</v>
      </c>
    </row>
    <row r="8825" spans="1:24">
      <c r="A8825">
        <f>HYPERLINK("https://www.philgeps.gov.ph/GEPSNONPILOT/Tender/SplashBidNoticeAbstractUI.aspx?menuIndex=3&amp;refID=7070776&amp;Result=3","7070776")</f>
        <v>0</v>
      </c>
      <c r="B8825" t="s">
        <v>2521</v>
      </c>
      <c r="C8825" t="s">
        <v>11925</v>
      </c>
      <c r="D8825" t="s">
        <v>18128</v>
      </c>
      <c r="E8825" t="s">
        <v>24517</v>
      </c>
      <c r="F8825" t="s">
        <v>31362</v>
      </c>
      <c r="G8825" t="s">
        <v>31369</v>
      </c>
      <c r="H8825" t="s">
        <v>15799</v>
      </c>
      <c r="I8825" t="s">
        <v>31387</v>
      </c>
      <c r="J8825" t="s">
        <v>36911</v>
      </c>
      <c r="K8825" t="s">
        <v>40665</v>
      </c>
      <c r="M8825" t="s">
        <v>43690</v>
      </c>
      <c r="N8825" t="s">
        <v>44905</v>
      </c>
      <c r="O8825" t="s">
        <v>44906</v>
      </c>
      <c r="P8825">
        <v>0</v>
      </c>
      <c r="Q8825">
        <v>0</v>
      </c>
      <c r="R8825" t="s">
        <v>44911</v>
      </c>
      <c r="S8825" t="s">
        <v>45139</v>
      </c>
      <c r="T8825" t="s">
        <v>46609</v>
      </c>
      <c r="U8825" t="s">
        <v>52727</v>
      </c>
      <c r="V8825" t="s">
        <v>59952</v>
      </c>
      <c r="W8825" t="s">
        <v>43690</v>
      </c>
      <c r="X8825" t="s">
        <v>44914</v>
      </c>
    </row>
    <row r="8826" spans="1:24">
      <c r="A8826">
        <f>HYPERLINK("https://www.philgeps.gov.ph/GEPSNONPILOT/Tender/SplashBidNoticeAbstractUI.aspx?menuIndex=3&amp;refID=7072444&amp;Result=3","7072444")</f>
        <v>0</v>
      </c>
      <c r="B8826" t="s">
        <v>182</v>
      </c>
      <c r="C8826" t="s">
        <v>11926</v>
      </c>
      <c r="D8826" t="s">
        <v>18101</v>
      </c>
      <c r="E8826" t="s">
        <v>25910</v>
      </c>
      <c r="F8826" t="s">
        <v>31362</v>
      </c>
      <c r="G8826" t="s">
        <v>31369</v>
      </c>
      <c r="H8826" t="s">
        <v>15799</v>
      </c>
      <c r="I8826" t="s">
        <v>31384</v>
      </c>
      <c r="J8826" t="s">
        <v>36912</v>
      </c>
      <c r="K8826" t="s">
        <v>40662</v>
      </c>
      <c r="M8826" t="s">
        <v>41120</v>
      </c>
      <c r="N8826" t="s">
        <v>44905</v>
      </c>
      <c r="O8826" t="s">
        <v>44906</v>
      </c>
      <c r="Q8826">
        <v>4</v>
      </c>
      <c r="R8826" t="s">
        <v>44911</v>
      </c>
      <c r="S8826" t="s">
        <v>45152</v>
      </c>
      <c r="T8826" t="s">
        <v>46434</v>
      </c>
      <c r="U8826" t="s">
        <v>54025</v>
      </c>
      <c r="W8826" t="s">
        <v>60840</v>
      </c>
      <c r="X8826" t="s">
        <v>44913</v>
      </c>
    </row>
    <row r="8827" spans="1:24">
      <c r="A8827">
        <f>HYPERLINK("https://www.philgeps.gov.ph/GEPSNONPILOT/Tender/SplashBidNoticeAbstractUI.aspx?menuIndex=3&amp;refID=7072437&amp;Result=3","7072437")</f>
        <v>0</v>
      </c>
      <c r="B8827" t="s">
        <v>182</v>
      </c>
      <c r="C8827" t="s">
        <v>11927</v>
      </c>
      <c r="D8827" t="s">
        <v>18101</v>
      </c>
      <c r="E8827" t="s">
        <v>25360</v>
      </c>
      <c r="F8827" t="s">
        <v>31362</v>
      </c>
      <c r="G8827" t="s">
        <v>31369</v>
      </c>
      <c r="H8827" t="s">
        <v>15799</v>
      </c>
      <c r="I8827" t="s">
        <v>31385</v>
      </c>
      <c r="J8827" t="s">
        <v>36913</v>
      </c>
      <c r="K8827" t="s">
        <v>40662</v>
      </c>
      <c r="M8827" t="s">
        <v>41120</v>
      </c>
      <c r="N8827" t="s">
        <v>44905</v>
      </c>
      <c r="O8827" t="s">
        <v>44906</v>
      </c>
      <c r="P8827">
        <v>0</v>
      </c>
      <c r="Q8827">
        <v>1</v>
      </c>
      <c r="R8827" t="s">
        <v>44911</v>
      </c>
      <c r="S8827" t="s">
        <v>45139</v>
      </c>
      <c r="T8827" t="s">
        <v>46434</v>
      </c>
      <c r="U8827" t="s">
        <v>54026</v>
      </c>
      <c r="W8827" t="s">
        <v>60840</v>
      </c>
      <c r="X8827" t="s">
        <v>44913</v>
      </c>
    </row>
    <row r="8828" spans="1:24">
      <c r="A8828">
        <f>HYPERLINK("https://www.philgeps.gov.ph/GEPSNONPILOT/Tender/SplashBidNoticeAbstractUI.aspx?menuIndex=3&amp;refID=7071972&amp;Result=3","7071972")</f>
        <v>0</v>
      </c>
      <c r="B8828" t="s">
        <v>2549</v>
      </c>
      <c r="C8828" t="s">
        <v>11928</v>
      </c>
      <c r="D8828" t="s">
        <v>18117</v>
      </c>
      <c r="E8828" t="s">
        <v>24322</v>
      </c>
      <c r="F8828" t="s">
        <v>31362</v>
      </c>
      <c r="G8828" t="s">
        <v>31369</v>
      </c>
      <c r="H8828" t="s">
        <v>31378</v>
      </c>
      <c r="I8828" t="s">
        <v>31386</v>
      </c>
      <c r="J8828" t="s">
        <v>31530</v>
      </c>
      <c r="K8828" t="s">
        <v>40666</v>
      </c>
      <c r="M8828" t="s">
        <v>43721</v>
      </c>
      <c r="N8828" t="s">
        <v>44905</v>
      </c>
      <c r="O8828" t="s">
        <v>44906</v>
      </c>
      <c r="P8828">
        <v>0</v>
      </c>
      <c r="Q8828">
        <v>0</v>
      </c>
      <c r="R8828" t="s">
        <v>44911</v>
      </c>
      <c r="S8828" t="s">
        <v>45139</v>
      </c>
      <c r="T8828" t="s">
        <v>46447</v>
      </c>
      <c r="U8828" t="s">
        <v>54027</v>
      </c>
      <c r="V8828" t="s">
        <v>59943</v>
      </c>
      <c r="W8828" t="s">
        <v>43721</v>
      </c>
      <c r="X8828" t="s">
        <v>44914</v>
      </c>
    </row>
    <row r="8829" spans="1:24">
      <c r="A8829">
        <f>HYPERLINK("https://www.philgeps.gov.ph/GEPSNONPILOT/Tender/SplashBidNoticeAbstractUI.aspx?menuIndex=3&amp;refID=7072434&amp;Result=3","7072434")</f>
        <v>0</v>
      </c>
      <c r="B8829" t="s">
        <v>182</v>
      </c>
      <c r="C8829" t="s">
        <v>11929</v>
      </c>
      <c r="D8829" t="s">
        <v>18101</v>
      </c>
      <c r="E8829" t="s">
        <v>25338</v>
      </c>
      <c r="F8829" t="s">
        <v>31362</v>
      </c>
      <c r="G8829" t="s">
        <v>31369</v>
      </c>
      <c r="H8829" t="s">
        <v>15799</v>
      </c>
      <c r="I8829" t="s">
        <v>31393</v>
      </c>
      <c r="J8829" t="s">
        <v>36914</v>
      </c>
      <c r="K8829" t="s">
        <v>40662</v>
      </c>
      <c r="M8829" t="s">
        <v>41120</v>
      </c>
      <c r="N8829" t="s">
        <v>44905</v>
      </c>
      <c r="O8829" t="s">
        <v>44906</v>
      </c>
      <c r="P8829">
        <v>0</v>
      </c>
      <c r="Q8829">
        <v>0</v>
      </c>
      <c r="R8829" t="s">
        <v>44911</v>
      </c>
      <c r="S8829" t="s">
        <v>45139</v>
      </c>
      <c r="T8829" t="s">
        <v>46434</v>
      </c>
      <c r="U8829" t="s">
        <v>54028</v>
      </c>
      <c r="W8829" t="s">
        <v>60840</v>
      </c>
      <c r="X8829" t="s">
        <v>44913</v>
      </c>
    </row>
    <row r="8830" spans="1:24">
      <c r="A8830">
        <f>HYPERLINK("https://www.philgeps.gov.ph/GEPSNONPILOT/Tender/SplashBidNoticeAbstractUI.aspx?menuIndex=3&amp;refID=7072431&amp;Result=3","7072431")</f>
        <v>0</v>
      </c>
      <c r="B8830" t="s">
        <v>182</v>
      </c>
      <c r="C8830" t="s">
        <v>11930</v>
      </c>
      <c r="D8830" t="s">
        <v>18101</v>
      </c>
      <c r="E8830" t="s">
        <v>25911</v>
      </c>
      <c r="F8830" t="s">
        <v>31362</v>
      </c>
      <c r="G8830" t="s">
        <v>31369</v>
      </c>
      <c r="H8830" t="s">
        <v>15799</v>
      </c>
      <c r="I8830" t="s">
        <v>31385</v>
      </c>
      <c r="J8830" t="s">
        <v>36915</v>
      </c>
      <c r="K8830" t="s">
        <v>40662</v>
      </c>
      <c r="M8830" t="s">
        <v>41120</v>
      </c>
      <c r="N8830" t="s">
        <v>44905</v>
      </c>
      <c r="O8830" t="s">
        <v>44906</v>
      </c>
      <c r="P8830">
        <v>0</v>
      </c>
      <c r="Q8830">
        <v>0</v>
      </c>
      <c r="R8830" t="s">
        <v>44911</v>
      </c>
      <c r="S8830" t="s">
        <v>45139</v>
      </c>
      <c r="T8830" t="s">
        <v>46434</v>
      </c>
      <c r="U8830" t="s">
        <v>54029</v>
      </c>
      <c r="W8830" t="s">
        <v>60840</v>
      </c>
      <c r="X8830" t="s">
        <v>44913</v>
      </c>
    </row>
    <row r="8831" spans="1:24">
      <c r="A8831">
        <f>HYPERLINK("https://www.philgeps.gov.ph/GEPSNONPILOT/Tender/SplashBidNoticeAbstractUI.aspx?menuIndex=3&amp;refID=7072429&amp;Result=3","7072429")</f>
        <v>0</v>
      </c>
      <c r="B8831" t="s">
        <v>182</v>
      </c>
      <c r="C8831" t="s">
        <v>11931</v>
      </c>
      <c r="D8831" t="s">
        <v>18101</v>
      </c>
      <c r="E8831" t="s">
        <v>25912</v>
      </c>
      <c r="F8831" t="s">
        <v>31362</v>
      </c>
      <c r="G8831" t="s">
        <v>31369</v>
      </c>
      <c r="H8831" t="s">
        <v>15799</v>
      </c>
      <c r="I8831" t="s">
        <v>31387</v>
      </c>
      <c r="J8831" t="s">
        <v>36916</v>
      </c>
      <c r="K8831" t="s">
        <v>40662</v>
      </c>
      <c r="M8831" t="s">
        <v>41120</v>
      </c>
      <c r="N8831" t="s">
        <v>44905</v>
      </c>
      <c r="O8831" t="s">
        <v>44906</v>
      </c>
      <c r="P8831">
        <v>0</v>
      </c>
      <c r="Q8831">
        <v>1</v>
      </c>
      <c r="R8831" t="s">
        <v>44911</v>
      </c>
      <c r="S8831" t="s">
        <v>45139</v>
      </c>
      <c r="T8831" t="s">
        <v>46434</v>
      </c>
      <c r="U8831" t="s">
        <v>54030</v>
      </c>
      <c r="W8831" t="s">
        <v>60840</v>
      </c>
      <c r="X8831" t="s">
        <v>44913</v>
      </c>
    </row>
    <row r="8832" spans="1:24">
      <c r="A8832">
        <f>HYPERLINK("https://www.philgeps.gov.ph/GEPSNONPILOT/Tender/SplashBidNoticeAbstractUI.aspx?menuIndex=3&amp;refID=7072412&amp;Result=3","7072412")</f>
        <v>0</v>
      </c>
      <c r="B8832" t="s">
        <v>182</v>
      </c>
      <c r="C8832" t="s">
        <v>11932</v>
      </c>
      <c r="D8832" t="s">
        <v>18101</v>
      </c>
      <c r="E8832" t="s">
        <v>25913</v>
      </c>
      <c r="F8832" t="s">
        <v>31362</v>
      </c>
      <c r="G8832" t="s">
        <v>31369</v>
      </c>
      <c r="H8832" t="s">
        <v>15799</v>
      </c>
      <c r="I8832" t="s">
        <v>31415</v>
      </c>
      <c r="J8832" t="s">
        <v>36917</v>
      </c>
      <c r="K8832" t="s">
        <v>40662</v>
      </c>
      <c r="M8832" t="s">
        <v>41120</v>
      </c>
      <c r="N8832" t="s">
        <v>44905</v>
      </c>
      <c r="O8832" t="s">
        <v>44906</v>
      </c>
      <c r="P8832">
        <v>0</v>
      </c>
      <c r="Q8832">
        <v>0</v>
      </c>
      <c r="R8832" t="s">
        <v>44911</v>
      </c>
      <c r="S8832" t="s">
        <v>45139</v>
      </c>
      <c r="T8832" t="s">
        <v>46434</v>
      </c>
      <c r="U8832" t="s">
        <v>54031</v>
      </c>
      <c r="W8832" t="s">
        <v>60840</v>
      </c>
      <c r="X8832" t="s">
        <v>44913</v>
      </c>
    </row>
    <row r="8833" spans="1:24">
      <c r="A8833">
        <f>HYPERLINK("https://www.philgeps.gov.ph/GEPSNONPILOT/Tender/SplashBidNoticeAbstractUI.aspx?menuIndex=3&amp;refID=7072120&amp;Result=3","7072120")</f>
        <v>0</v>
      </c>
      <c r="B8833" t="s">
        <v>1568</v>
      </c>
      <c r="C8833" t="s">
        <v>11933</v>
      </c>
      <c r="D8833" t="s">
        <v>18127</v>
      </c>
      <c r="E8833" t="s">
        <v>25914</v>
      </c>
      <c r="F8833" t="s">
        <v>31362</v>
      </c>
      <c r="G8833" t="s">
        <v>31368</v>
      </c>
      <c r="H8833" t="s">
        <v>15799</v>
      </c>
      <c r="I8833" t="s">
        <v>31464</v>
      </c>
      <c r="J8833" t="s">
        <v>31687</v>
      </c>
      <c r="K8833" t="s">
        <v>40666</v>
      </c>
      <c r="M8833" t="s">
        <v>42620</v>
      </c>
      <c r="N8833" t="s">
        <v>44905</v>
      </c>
      <c r="O8833" t="s">
        <v>44906</v>
      </c>
      <c r="P8833">
        <v>0</v>
      </c>
      <c r="Q8833">
        <v>1</v>
      </c>
      <c r="R8833" t="s">
        <v>44911</v>
      </c>
      <c r="S8833" t="s">
        <v>45139</v>
      </c>
      <c r="T8833" t="s">
        <v>46447</v>
      </c>
      <c r="U8833" t="s">
        <v>54032</v>
      </c>
      <c r="W8833" t="s">
        <v>60899</v>
      </c>
      <c r="X8833" t="s">
        <v>44914</v>
      </c>
    </row>
    <row r="8834" spans="1:24">
      <c r="A8834">
        <f>HYPERLINK("https://www.philgeps.gov.ph/GEPSNONPILOT/Tender/SplashBidNoticeAbstractUI.aspx?menuIndex=3&amp;refID=7072446&amp;Result=3","7072446")</f>
        <v>0</v>
      </c>
      <c r="B8834" t="s">
        <v>182</v>
      </c>
      <c r="C8834" t="s">
        <v>11934</v>
      </c>
      <c r="D8834" t="s">
        <v>18101</v>
      </c>
      <c r="E8834" t="s">
        <v>25915</v>
      </c>
      <c r="F8834" t="s">
        <v>31362</v>
      </c>
      <c r="G8834" t="s">
        <v>31369</v>
      </c>
      <c r="H8834" t="s">
        <v>15799</v>
      </c>
      <c r="I8834" t="s">
        <v>31393</v>
      </c>
      <c r="J8834" t="s">
        <v>36918</v>
      </c>
      <c r="K8834" t="s">
        <v>40662</v>
      </c>
      <c r="M8834" t="s">
        <v>41120</v>
      </c>
      <c r="N8834" t="s">
        <v>44905</v>
      </c>
      <c r="O8834" t="s">
        <v>44906</v>
      </c>
      <c r="P8834">
        <v>0</v>
      </c>
      <c r="Q8834">
        <v>0</v>
      </c>
      <c r="R8834" t="s">
        <v>44911</v>
      </c>
      <c r="S8834" t="s">
        <v>45139</v>
      </c>
      <c r="T8834" t="s">
        <v>46434</v>
      </c>
      <c r="U8834" t="s">
        <v>54033</v>
      </c>
      <c r="W8834" t="s">
        <v>60840</v>
      </c>
      <c r="X8834" t="s">
        <v>44913</v>
      </c>
    </row>
    <row r="8835" spans="1:24">
      <c r="A8835">
        <f>HYPERLINK("https://www.philgeps.gov.ph/GEPSNONPILOT/Tender/SplashBidNoticeAbstractUI.aspx?menuIndex=3&amp;refID=7072409&amp;Result=3","7072409")</f>
        <v>0</v>
      </c>
      <c r="B8835" t="s">
        <v>245</v>
      </c>
      <c r="C8835" t="s">
        <v>11935</v>
      </c>
      <c r="D8835" t="s">
        <v>18108</v>
      </c>
      <c r="E8835" t="s">
        <v>25916</v>
      </c>
      <c r="F8835" t="s">
        <v>31362</v>
      </c>
      <c r="G8835" t="s">
        <v>31369</v>
      </c>
      <c r="H8835" t="s">
        <v>15799</v>
      </c>
      <c r="I8835" t="s">
        <v>31377</v>
      </c>
      <c r="J8835" t="s">
        <v>36869</v>
      </c>
      <c r="K8835" t="s">
        <v>40686</v>
      </c>
      <c r="M8835" t="s">
        <v>41184</v>
      </c>
      <c r="N8835" t="s">
        <v>44905</v>
      </c>
      <c r="O8835" t="s">
        <v>44906</v>
      </c>
      <c r="Q8835">
        <v>2</v>
      </c>
      <c r="R8835" t="s">
        <v>44911</v>
      </c>
      <c r="S8835" t="s">
        <v>45153</v>
      </c>
      <c r="T8835" t="s">
        <v>46788</v>
      </c>
      <c r="U8835" t="s">
        <v>54034</v>
      </c>
      <c r="V8835" t="s">
        <v>59953</v>
      </c>
      <c r="W8835" t="s">
        <v>41184</v>
      </c>
      <c r="X8835" t="s">
        <v>44913</v>
      </c>
    </row>
    <row r="8836" spans="1:24">
      <c r="A8836">
        <f>HYPERLINK("https://www.philgeps.gov.ph/GEPSNONPILOT/Tender/SplashBidNoticeAbstractUI.aspx?menuIndex=3&amp;refID=7072403&amp;Result=3","7072403")</f>
        <v>0</v>
      </c>
      <c r="B8836" t="s">
        <v>182</v>
      </c>
      <c r="C8836" t="s">
        <v>11936</v>
      </c>
      <c r="D8836" t="s">
        <v>18101</v>
      </c>
      <c r="E8836" t="s">
        <v>25917</v>
      </c>
      <c r="F8836" t="s">
        <v>31362</v>
      </c>
      <c r="G8836" t="s">
        <v>31369</v>
      </c>
      <c r="H8836" t="s">
        <v>15799</v>
      </c>
      <c r="I8836" t="s">
        <v>31409</v>
      </c>
      <c r="J8836" t="s">
        <v>36882</v>
      </c>
      <c r="K8836" t="s">
        <v>40662</v>
      </c>
      <c r="M8836" t="s">
        <v>41120</v>
      </c>
      <c r="N8836" t="s">
        <v>44905</v>
      </c>
      <c r="O8836" t="s">
        <v>44906</v>
      </c>
      <c r="P8836">
        <v>0</v>
      </c>
      <c r="Q8836">
        <v>4</v>
      </c>
      <c r="R8836" t="s">
        <v>44911</v>
      </c>
      <c r="S8836" t="s">
        <v>45139</v>
      </c>
      <c r="T8836" t="s">
        <v>46434</v>
      </c>
      <c r="U8836" t="s">
        <v>54035</v>
      </c>
      <c r="W8836" t="s">
        <v>60840</v>
      </c>
      <c r="X8836" t="s">
        <v>44913</v>
      </c>
    </row>
    <row r="8837" spans="1:24">
      <c r="A8837">
        <f>HYPERLINK("https://www.philgeps.gov.ph/GEPSNONPILOT/Tender/SplashBidNoticeAbstractUI.aspx?menuIndex=3&amp;refID=7072415&amp;Result=3","7072415")</f>
        <v>0</v>
      </c>
      <c r="B8837" t="s">
        <v>2560</v>
      </c>
      <c r="C8837" t="s">
        <v>11937</v>
      </c>
      <c r="D8837" t="s">
        <v>18114</v>
      </c>
      <c r="E8837" t="s">
        <v>25918</v>
      </c>
      <c r="F8837" t="s">
        <v>31362</v>
      </c>
      <c r="G8837" t="s">
        <v>31369</v>
      </c>
      <c r="H8837" t="s">
        <v>15799</v>
      </c>
      <c r="I8837" t="s">
        <v>31380</v>
      </c>
      <c r="J8837" t="s">
        <v>32047</v>
      </c>
      <c r="K8837" t="s">
        <v>40673</v>
      </c>
      <c r="M8837" t="s">
        <v>43732</v>
      </c>
      <c r="N8837" t="s">
        <v>44905</v>
      </c>
      <c r="O8837" t="s">
        <v>44906</v>
      </c>
      <c r="P8837">
        <v>0</v>
      </c>
      <c r="Q8837">
        <v>1</v>
      </c>
      <c r="R8837" t="s">
        <v>44911</v>
      </c>
      <c r="S8837" t="s">
        <v>45139</v>
      </c>
      <c r="T8837" t="s">
        <v>46414</v>
      </c>
      <c r="U8837" t="s">
        <v>54036</v>
      </c>
      <c r="W8837" t="s">
        <v>43732</v>
      </c>
      <c r="X8837" t="s">
        <v>44913</v>
      </c>
    </row>
    <row r="8838" spans="1:24">
      <c r="A8838">
        <f>HYPERLINK("https://www.philgeps.gov.ph/GEPSNONPILOT/Tender/SplashBidNoticeAbstractUI.aspx?menuIndex=3&amp;refID=7072414&amp;Result=3","7072414")</f>
        <v>0</v>
      </c>
      <c r="B8838" t="s">
        <v>182</v>
      </c>
      <c r="C8838" t="s">
        <v>11938</v>
      </c>
      <c r="D8838" t="s">
        <v>18101</v>
      </c>
      <c r="E8838" t="s">
        <v>25919</v>
      </c>
      <c r="F8838" t="s">
        <v>31362</v>
      </c>
      <c r="G8838" t="s">
        <v>31369</v>
      </c>
      <c r="H8838" t="s">
        <v>15799</v>
      </c>
      <c r="I8838" t="s">
        <v>31387</v>
      </c>
      <c r="J8838" t="s">
        <v>36919</v>
      </c>
      <c r="K8838" t="s">
        <v>40662</v>
      </c>
      <c r="M8838" t="s">
        <v>41120</v>
      </c>
      <c r="N8838" t="s">
        <v>44905</v>
      </c>
      <c r="O8838" t="s">
        <v>44906</v>
      </c>
      <c r="P8838">
        <v>0</v>
      </c>
      <c r="Q8838">
        <v>0</v>
      </c>
      <c r="R8838" t="s">
        <v>44911</v>
      </c>
      <c r="S8838" t="s">
        <v>45139</v>
      </c>
      <c r="T8838" t="s">
        <v>46434</v>
      </c>
      <c r="U8838" t="s">
        <v>54037</v>
      </c>
      <c r="W8838" t="s">
        <v>60840</v>
      </c>
      <c r="X8838" t="s">
        <v>44913</v>
      </c>
    </row>
    <row r="8839" spans="1:24">
      <c r="A8839">
        <f>HYPERLINK("https://www.philgeps.gov.ph/GEPSNONPILOT/Tender/SplashBidNoticeAbstractUI.aspx?menuIndex=3&amp;refID=7072350&amp;Result=3","7072350")</f>
        <v>0</v>
      </c>
      <c r="B8839" t="s">
        <v>2553</v>
      </c>
      <c r="C8839" t="s">
        <v>11939</v>
      </c>
      <c r="D8839" t="s">
        <v>18114</v>
      </c>
      <c r="E8839" t="s">
        <v>25920</v>
      </c>
      <c r="F8839" t="s">
        <v>31362</v>
      </c>
      <c r="G8839" t="s">
        <v>31370</v>
      </c>
      <c r="H8839" t="s">
        <v>15799</v>
      </c>
      <c r="I8839" t="s">
        <v>3815</v>
      </c>
      <c r="J8839" t="s">
        <v>36920</v>
      </c>
      <c r="K8839" t="s">
        <v>40666</v>
      </c>
      <c r="M8839" t="s">
        <v>43725</v>
      </c>
      <c r="N8839" t="s">
        <v>44905</v>
      </c>
      <c r="O8839" t="s">
        <v>44906</v>
      </c>
      <c r="P8839">
        <v>0</v>
      </c>
      <c r="Q8839">
        <v>5</v>
      </c>
      <c r="R8839" t="s">
        <v>44911</v>
      </c>
      <c r="S8839" t="s">
        <v>45139</v>
      </c>
      <c r="T8839" t="s">
        <v>46454</v>
      </c>
      <c r="U8839" t="s">
        <v>54038</v>
      </c>
      <c r="V8839" t="s">
        <v>59946</v>
      </c>
      <c r="W8839" t="s">
        <v>43725</v>
      </c>
      <c r="X8839" t="s">
        <v>44913</v>
      </c>
    </row>
    <row r="8840" spans="1:24">
      <c r="A8840">
        <f>HYPERLINK("https://www.philgeps.gov.ph/GEPSNONPILOT/Tender/SplashBidNoticeAbstractUI.aspx?menuIndex=3&amp;refID=7072407&amp;Result=3","7072407")</f>
        <v>0</v>
      </c>
      <c r="B8840" t="s">
        <v>182</v>
      </c>
      <c r="C8840" t="s">
        <v>11940</v>
      </c>
      <c r="D8840" t="s">
        <v>18101</v>
      </c>
      <c r="E8840" t="s">
        <v>25921</v>
      </c>
      <c r="F8840" t="s">
        <v>31362</v>
      </c>
      <c r="G8840" t="s">
        <v>31369</v>
      </c>
      <c r="H8840" t="s">
        <v>15799</v>
      </c>
      <c r="I8840" t="s">
        <v>31415</v>
      </c>
      <c r="J8840" t="s">
        <v>36921</v>
      </c>
      <c r="K8840" t="s">
        <v>40662</v>
      </c>
      <c r="M8840" t="s">
        <v>41120</v>
      </c>
      <c r="N8840" t="s">
        <v>44905</v>
      </c>
      <c r="O8840" t="s">
        <v>44906</v>
      </c>
      <c r="P8840">
        <v>0</v>
      </c>
      <c r="Q8840">
        <v>0</v>
      </c>
      <c r="R8840" t="s">
        <v>44911</v>
      </c>
      <c r="S8840" t="s">
        <v>45139</v>
      </c>
      <c r="T8840" t="s">
        <v>46434</v>
      </c>
      <c r="U8840" t="s">
        <v>54039</v>
      </c>
      <c r="W8840" t="s">
        <v>60840</v>
      </c>
      <c r="X8840" t="s">
        <v>44913</v>
      </c>
    </row>
    <row r="8841" spans="1:24">
      <c r="A8841">
        <f>HYPERLINK("https://www.philgeps.gov.ph/GEPSNONPILOT/Tender/SplashBidNoticeAbstractUI.aspx?menuIndex=3&amp;refID=7071940&amp;Result=3","7071940")</f>
        <v>0</v>
      </c>
      <c r="B8841" t="s">
        <v>2561</v>
      </c>
      <c r="C8841" t="s">
        <v>11941</v>
      </c>
      <c r="D8841" t="s">
        <v>18164</v>
      </c>
      <c r="E8841" t="s">
        <v>25922</v>
      </c>
      <c r="F8841" t="s">
        <v>31362</v>
      </c>
      <c r="G8841" t="s">
        <v>31369</v>
      </c>
      <c r="H8841" t="s">
        <v>15799</v>
      </c>
      <c r="I8841" t="s">
        <v>3815</v>
      </c>
      <c r="J8841" t="s">
        <v>36922</v>
      </c>
      <c r="K8841" t="s">
        <v>40665</v>
      </c>
      <c r="M8841" t="s">
        <v>43733</v>
      </c>
      <c r="N8841" t="s">
        <v>44905</v>
      </c>
      <c r="O8841" t="s">
        <v>44906</v>
      </c>
      <c r="P8841">
        <v>0</v>
      </c>
      <c r="Q8841">
        <v>0</v>
      </c>
      <c r="R8841" t="s">
        <v>44911</v>
      </c>
      <c r="S8841" t="s">
        <v>45139</v>
      </c>
      <c r="T8841" t="s">
        <v>46400</v>
      </c>
      <c r="U8841" t="s">
        <v>54040</v>
      </c>
      <c r="W8841" t="s">
        <v>43733</v>
      </c>
      <c r="X8841" t="s">
        <v>44914</v>
      </c>
    </row>
    <row r="8842" spans="1:24">
      <c r="A8842">
        <f>HYPERLINK("https://www.philgeps.gov.ph/GEPSNONPILOT/Tender/SplashBidNoticeAbstractUI.aspx?menuIndex=3&amp;refID=7072451&amp;Result=3","7072451")</f>
        <v>0</v>
      </c>
      <c r="B8842" t="s">
        <v>182</v>
      </c>
      <c r="C8842" t="s">
        <v>11942</v>
      </c>
      <c r="D8842" t="s">
        <v>18101</v>
      </c>
      <c r="E8842" t="s">
        <v>25923</v>
      </c>
      <c r="F8842" t="s">
        <v>31362</v>
      </c>
      <c r="G8842" t="s">
        <v>31369</v>
      </c>
      <c r="H8842" t="s">
        <v>15799</v>
      </c>
      <c r="I8842" t="s">
        <v>31384</v>
      </c>
      <c r="J8842" t="s">
        <v>36923</v>
      </c>
      <c r="K8842" t="s">
        <v>40662</v>
      </c>
      <c r="M8842" t="s">
        <v>41120</v>
      </c>
      <c r="N8842" t="s">
        <v>44905</v>
      </c>
      <c r="O8842" t="s">
        <v>44906</v>
      </c>
      <c r="P8842">
        <v>0</v>
      </c>
      <c r="Q8842">
        <v>3</v>
      </c>
      <c r="R8842" t="s">
        <v>44911</v>
      </c>
      <c r="S8842" t="s">
        <v>45139</v>
      </c>
      <c r="T8842" t="s">
        <v>46434</v>
      </c>
      <c r="U8842" t="s">
        <v>54041</v>
      </c>
      <c r="W8842" t="s">
        <v>60840</v>
      </c>
      <c r="X8842" t="s">
        <v>44913</v>
      </c>
    </row>
    <row r="8843" spans="1:24">
      <c r="A8843">
        <f>HYPERLINK("https://www.philgeps.gov.ph/GEPSNONPILOT/Tender/SplashBidNoticeAbstractUI.aspx?menuIndex=3&amp;refID=7072514&amp;Result=3","7072514")</f>
        <v>0</v>
      </c>
      <c r="B8843" t="s">
        <v>2390</v>
      </c>
      <c r="C8843" t="s">
        <v>11943</v>
      </c>
      <c r="D8843" t="s">
        <v>18108</v>
      </c>
      <c r="E8843" t="s">
        <v>20721</v>
      </c>
      <c r="F8843" t="s">
        <v>31362</v>
      </c>
      <c r="G8843" t="s">
        <v>31369</v>
      </c>
      <c r="H8843" t="s">
        <v>31379</v>
      </c>
      <c r="I8843" t="s">
        <v>31436</v>
      </c>
      <c r="J8843" t="s">
        <v>33482</v>
      </c>
      <c r="K8843" t="s">
        <v>40669</v>
      </c>
      <c r="M8843" t="s">
        <v>43539</v>
      </c>
      <c r="N8843" t="s">
        <v>44905</v>
      </c>
      <c r="O8843" t="s">
        <v>44906</v>
      </c>
      <c r="P8843">
        <v>0</v>
      </c>
      <c r="Q8843">
        <v>8</v>
      </c>
      <c r="R8843" t="s">
        <v>44911</v>
      </c>
      <c r="S8843" t="s">
        <v>45139</v>
      </c>
      <c r="T8843" t="s">
        <v>46604</v>
      </c>
      <c r="U8843" t="s">
        <v>54042</v>
      </c>
      <c r="V8843" t="s">
        <v>59954</v>
      </c>
      <c r="W8843" t="s">
        <v>43539</v>
      </c>
      <c r="X8843" t="s">
        <v>44913</v>
      </c>
    </row>
    <row r="8844" spans="1:24">
      <c r="A8844">
        <f>HYPERLINK("https://www.philgeps.gov.ph/GEPSNONPILOT/Tender/SplashBidNoticeAbstractUI.aspx?menuIndex=3&amp;refID=7072501&amp;Result=3","7072501")</f>
        <v>0</v>
      </c>
      <c r="B8844" t="s">
        <v>396</v>
      </c>
      <c r="C8844" t="s">
        <v>11944</v>
      </c>
      <c r="D8844" t="s">
        <v>18155</v>
      </c>
      <c r="E8844" t="s">
        <v>25924</v>
      </c>
      <c r="F8844" t="s">
        <v>31362</v>
      </c>
      <c r="G8844" t="s">
        <v>31369</v>
      </c>
      <c r="H8844" t="s">
        <v>15799</v>
      </c>
      <c r="I8844" t="s">
        <v>31408</v>
      </c>
      <c r="J8844" t="s">
        <v>31591</v>
      </c>
      <c r="K8844" t="s">
        <v>40677</v>
      </c>
      <c r="M8844" t="s">
        <v>41344</v>
      </c>
      <c r="N8844" t="s">
        <v>44905</v>
      </c>
      <c r="O8844" t="s">
        <v>44906</v>
      </c>
      <c r="P8844">
        <v>0</v>
      </c>
      <c r="Q8844">
        <v>3</v>
      </c>
      <c r="R8844" t="s">
        <v>44911</v>
      </c>
      <c r="S8844" t="s">
        <v>45139</v>
      </c>
      <c r="T8844" t="s">
        <v>46432</v>
      </c>
      <c r="U8844" t="s">
        <v>54043</v>
      </c>
      <c r="W8844" t="s">
        <v>41344</v>
      </c>
      <c r="X8844" t="s">
        <v>44913</v>
      </c>
    </row>
    <row r="8845" spans="1:24">
      <c r="A8845">
        <f>HYPERLINK("https://www.philgeps.gov.ph/GEPSNONPILOT/Tender/SplashBidNoticeAbstractUI.aspx?menuIndex=3&amp;refID=7072497&amp;Result=3","7072497")</f>
        <v>0</v>
      </c>
      <c r="B8845" t="s">
        <v>396</v>
      </c>
      <c r="C8845" t="s">
        <v>11945</v>
      </c>
      <c r="D8845" t="s">
        <v>18155</v>
      </c>
      <c r="E8845" t="s">
        <v>25925</v>
      </c>
      <c r="F8845" t="s">
        <v>31362</v>
      </c>
      <c r="G8845" t="s">
        <v>31369</v>
      </c>
      <c r="H8845" t="s">
        <v>15799</v>
      </c>
      <c r="I8845" t="s">
        <v>31387</v>
      </c>
      <c r="J8845" t="s">
        <v>36924</v>
      </c>
      <c r="K8845" t="s">
        <v>40670</v>
      </c>
      <c r="M8845" t="s">
        <v>41344</v>
      </c>
      <c r="N8845" t="s">
        <v>44905</v>
      </c>
      <c r="O8845" t="s">
        <v>44906</v>
      </c>
      <c r="P8845">
        <v>0</v>
      </c>
      <c r="Q8845">
        <v>1</v>
      </c>
      <c r="R8845" t="s">
        <v>44911</v>
      </c>
      <c r="S8845" t="s">
        <v>45139</v>
      </c>
      <c r="T8845" t="s">
        <v>46432</v>
      </c>
      <c r="U8845" t="s">
        <v>54043</v>
      </c>
      <c r="W8845" t="s">
        <v>41344</v>
      </c>
      <c r="X8845" t="s">
        <v>44913</v>
      </c>
    </row>
    <row r="8846" spans="1:24">
      <c r="A8846">
        <f>HYPERLINK("https://www.philgeps.gov.ph/GEPSNONPILOT/Tender/SplashBidNoticeAbstractUI.aspx?menuIndex=3&amp;refID=7072486&amp;Result=3","7072486")</f>
        <v>0</v>
      </c>
      <c r="B8846" t="s">
        <v>1007</v>
      </c>
      <c r="C8846" t="s">
        <v>11946</v>
      </c>
      <c r="D8846" t="s">
        <v>18109</v>
      </c>
      <c r="E8846" t="s">
        <v>25926</v>
      </c>
      <c r="F8846" t="s">
        <v>31362</v>
      </c>
      <c r="G8846" t="s">
        <v>31369</v>
      </c>
      <c r="H8846" t="s">
        <v>31378</v>
      </c>
      <c r="I8846" t="s">
        <v>31386</v>
      </c>
      <c r="J8846" t="s">
        <v>31591</v>
      </c>
      <c r="K8846" t="s">
        <v>40675</v>
      </c>
      <c r="L8846" t="s">
        <v>1007</v>
      </c>
      <c r="M8846" t="s">
        <v>42004</v>
      </c>
      <c r="N8846" t="s">
        <v>44905</v>
      </c>
      <c r="O8846" t="s">
        <v>44906</v>
      </c>
      <c r="P8846">
        <v>0</v>
      </c>
      <c r="Q8846">
        <v>0</v>
      </c>
      <c r="R8846" t="s">
        <v>44911</v>
      </c>
      <c r="S8846" t="s">
        <v>45139</v>
      </c>
      <c r="T8846" t="s">
        <v>46403</v>
      </c>
      <c r="U8846" t="s">
        <v>49077</v>
      </c>
      <c r="V8846" t="s">
        <v>59342</v>
      </c>
      <c r="W8846" t="s">
        <v>42004</v>
      </c>
      <c r="X8846" t="s">
        <v>44913</v>
      </c>
    </row>
    <row r="8847" spans="1:24">
      <c r="A8847">
        <f>HYPERLINK("https://www.philgeps.gov.ph/GEPSNONPILOT/Tender/SplashBidNoticeAbstractUI.aspx?menuIndex=3&amp;refID=7072482&amp;Result=3","7072482")</f>
        <v>0</v>
      </c>
      <c r="B8847" t="s">
        <v>1007</v>
      </c>
      <c r="C8847" t="s">
        <v>11947</v>
      </c>
      <c r="D8847" t="s">
        <v>18109</v>
      </c>
      <c r="E8847" t="s">
        <v>25927</v>
      </c>
      <c r="F8847" t="s">
        <v>31362</v>
      </c>
      <c r="G8847" t="s">
        <v>31369</v>
      </c>
      <c r="H8847" t="s">
        <v>31378</v>
      </c>
      <c r="I8847" t="s">
        <v>31386</v>
      </c>
      <c r="J8847" t="s">
        <v>31531</v>
      </c>
      <c r="K8847" t="s">
        <v>40675</v>
      </c>
      <c r="L8847" t="s">
        <v>1007</v>
      </c>
      <c r="M8847" t="s">
        <v>42004</v>
      </c>
      <c r="N8847" t="s">
        <v>44905</v>
      </c>
      <c r="O8847" t="s">
        <v>44906</v>
      </c>
      <c r="P8847">
        <v>0</v>
      </c>
      <c r="Q8847">
        <v>0</v>
      </c>
      <c r="R8847" t="s">
        <v>44911</v>
      </c>
      <c r="S8847" t="s">
        <v>45139</v>
      </c>
      <c r="T8847" t="s">
        <v>46403</v>
      </c>
      <c r="U8847" t="s">
        <v>54044</v>
      </c>
      <c r="V8847" t="s">
        <v>59342</v>
      </c>
      <c r="W8847" t="s">
        <v>42004</v>
      </c>
      <c r="X8847" t="s">
        <v>44913</v>
      </c>
    </row>
    <row r="8848" spans="1:24">
      <c r="A8848">
        <f>HYPERLINK("https://www.philgeps.gov.ph/GEPSNONPILOT/Tender/SplashBidNoticeAbstractUI.aspx?menuIndex=3&amp;refID=7072518&amp;Result=3","7072518")</f>
        <v>0</v>
      </c>
      <c r="B8848" t="s">
        <v>1579</v>
      </c>
      <c r="C8848" t="s">
        <v>11948</v>
      </c>
      <c r="D8848" t="s">
        <v>18117</v>
      </c>
      <c r="E8848" t="s">
        <v>25928</v>
      </c>
      <c r="F8848" t="s">
        <v>31362</v>
      </c>
      <c r="G8848" t="s">
        <v>31368</v>
      </c>
      <c r="H8848" t="s">
        <v>15799</v>
      </c>
      <c r="I8848" t="s">
        <v>31459</v>
      </c>
      <c r="J8848" t="s">
        <v>31578</v>
      </c>
      <c r="K8848" t="s">
        <v>40666</v>
      </c>
      <c r="M8848" t="s">
        <v>42633</v>
      </c>
      <c r="N8848" t="s">
        <v>44905</v>
      </c>
      <c r="O8848" t="s">
        <v>44906</v>
      </c>
      <c r="P8848">
        <v>0</v>
      </c>
      <c r="Q8848">
        <v>0</v>
      </c>
      <c r="R8848" t="s">
        <v>44911</v>
      </c>
      <c r="S8848" t="s">
        <v>45139</v>
      </c>
      <c r="T8848" t="s">
        <v>46394</v>
      </c>
      <c r="U8848" t="s">
        <v>54045</v>
      </c>
      <c r="W8848" t="s">
        <v>42633</v>
      </c>
      <c r="X8848" t="s">
        <v>44913</v>
      </c>
    </row>
    <row r="8849" spans="1:24">
      <c r="A8849">
        <f>HYPERLINK("https://www.philgeps.gov.ph/GEPSNONPILOT/Tender/SplashBidNoticeAbstractUI.aspx?menuIndex=3&amp;refID=7072477&amp;Result=3","7072477")</f>
        <v>0</v>
      </c>
      <c r="B8849" t="s">
        <v>1007</v>
      </c>
      <c r="C8849" t="s">
        <v>11949</v>
      </c>
      <c r="D8849" t="s">
        <v>18109</v>
      </c>
      <c r="E8849" t="s">
        <v>25929</v>
      </c>
      <c r="F8849" t="s">
        <v>31362</v>
      </c>
      <c r="G8849" t="s">
        <v>31369</v>
      </c>
      <c r="H8849" t="s">
        <v>31378</v>
      </c>
      <c r="I8849" t="s">
        <v>31386</v>
      </c>
      <c r="J8849" t="s">
        <v>31591</v>
      </c>
      <c r="K8849" t="s">
        <v>40682</v>
      </c>
      <c r="L8849" t="s">
        <v>1007</v>
      </c>
      <c r="M8849" t="s">
        <v>42004</v>
      </c>
      <c r="N8849" t="s">
        <v>44905</v>
      </c>
      <c r="O8849" t="s">
        <v>44906</v>
      </c>
      <c r="P8849">
        <v>0</v>
      </c>
      <c r="Q8849">
        <v>0</v>
      </c>
      <c r="R8849" t="s">
        <v>44911</v>
      </c>
      <c r="S8849" t="s">
        <v>45139</v>
      </c>
      <c r="T8849" t="s">
        <v>46403</v>
      </c>
      <c r="U8849" t="s">
        <v>54046</v>
      </c>
      <c r="V8849" t="s">
        <v>59342</v>
      </c>
      <c r="W8849" t="s">
        <v>42004</v>
      </c>
      <c r="X8849" t="s">
        <v>44913</v>
      </c>
    </row>
    <row r="8850" spans="1:24">
      <c r="A8850">
        <f>HYPERLINK("https://www.philgeps.gov.ph/GEPSNONPILOT/Tender/SplashBidNoticeAbstractUI.aspx?menuIndex=3&amp;refID=7072470&amp;Result=3","7072470")</f>
        <v>0</v>
      </c>
      <c r="B8850" t="s">
        <v>658</v>
      </c>
      <c r="C8850" t="s">
        <v>11950</v>
      </c>
      <c r="D8850" t="s">
        <v>18108</v>
      </c>
      <c r="E8850" t="s">
        <v>23626</v>
      </c>
      <c r="F8850" t="s">
        <v>31362</v>
      </c>
      <c r="G8850" t="s">
        <v>31368</v>
      </c>
      <c r="H8850" t="s">
        <v>15799</v>
      </c>
      <c r="I8850" t="s">
        <v>31385</v>
      </c>
      <c r="J8850" t="s">
        <v>36925</v>
      </c>
      <c r="K8850" t="s">
        <v>40662</v>
      </c>
      <c r="M8850" t="s">
        <v>41620</v>
      </c>
      <c r="N8850" t="s">
        <v>44905</v>
      </c>
      <c r="O8850" t="s">
        <v>44906</v>
      </c>
      <c r="P8850">
        <v>0</v>
      </c>
      <c r="Q8850">
        <v>1</v>
      </c>
      <c r="R8850" t="s">
        <v>44911</v>
      </c>
      <c r="S8850" t="s">
        <v>45139</v>
      </c>
      <c r="T8850" t="s">
        <v>46432</v>
      </c>
      <c r="U8850" t="s">
        <v>54047</v>
      </c>
      <c r="W8850" t="s">
        <v>41620</v>
      </c>
      <c r="X8850" t="s">
        <v>44913</v>
      </c>
    </row>
    <row r="8851" spans="1:24">
      <c r="A8851">
        <f>HYPERLINK("https://www.philgeps.gov.ph/GEPSNONPILOT/Tender/SplashBidNoticeAbstractUI.aspx?menuIndex=3&amp;refID=7072502&amp;Result=3","7072502")</f>
        <v>0</v>
      </c>
      <c r="B8851" t="s">
        <v>1579</v>
      </c>
      <c r="C8851" t="s">
        <v>11951</v>
      </c>
      <c r="D8851" t="s">
        <v>18117</v>
      </c>
      <c r="E8851" t="s">
        <v>25930</v>
      </c>
      <c r="F8851" t="s">
        <v>31362</v>
      </c>
      <c r="G8851" t="s">
        <v>31368</v>
      </c>
      <c r="H8851" t="s">
        <v>15799</v>
      </c>
      <c r="I8851" t="s">
        <v>31414</v>
      </c>
      <c r="J8851" t="s">
        <v>36926</v>
      </c>
      <c r="K8851" t="s">
        <v>40666</v>
      </c>
      <c r="M8851" t="s">
        <v>42633</v>
      </c>
      <c r="N8851" t="s">
        <v>44905</v>
      </c>
      <c r="O8851" t="s">
        <v>44906</v>
      </c>
      <c r="P8851">
        <v>0</v>
      </c>
      <c r="Q8851">
        <v>3</v>
      </c>
      <c r="R8851" t="s">
        <v>44911</v>
      </c>
      <c r="S8851" t="s">
        <v>45139</v>
      </c>
      <c r="T8851" t="s">
        <v>46394</v>
      </c>
      <c r="U8851" t="s">
        <v>54048</v>
      </c>
      <c r="W8851" t="s">
        <v>42633</v>
      </c>
      <c r="X8851" t="s">
        <v>44913</v>
      </c>
    </row>
    <row r="8852" spans="1:24">
      <c r="A8852">
        <f>HYPERLINK("https://www.philgeps.gov.ph/GEPSNONPILOT/Tender/SplashBidNoticeAbstractUI.aspx?menuIndex=3&amp;refID=7072549&amp;Result=3","7072549")</f>
        <v>0</v>
      </c>
      <c r="B8852" t="s">
        <v>1561</v>
      </c>
      <c r="C8852" t="s">
        <v>11952</v>
      </c>
      <c r="D8852" t="s">
        <v>18117</v>
      </c>
      <c r="E8852" t="s">
        <v>25931</v>
      </c>
      <c r="F8852" t="s">
        <v>31362</v>
      </c>
      <c r="G8852" t="s">
        <v>31369</v>
      </c>
      <c r="H8852" t="s">
        <v>15799</v>
      </c>
      <c r="I8852" t="s">
        <v>3815</v>
      </c>
      <c r="J8852" t="s">
        <v>36927</v>
      </c>
      <c r="K8852" t="s">
        <v>40665</v>
      </c>
      <c r="M8852" t="s">
        <v>42612</v>
      </c>
      <c r="N8852" t="s">
        <v>44905</v>
      </c>
      <c r="O8852" t="s">
        <v>44906</v>
      </c>
      <c r="Q8852">
        <v>0</v>
      </c>
      <c r="R8852" t="s">
        <v>44911</v>
      </c>
      <c r="S8852" t="s">
        <v>45154</v>
      </c>
      <c r="T8852" t="s">
        <v>46396</v>
      </c>
      <c r="U8852" t="s">
        <v>54049</v>
      </c>
      <c r="V8852" t="s">
        <v>59955</v>
      </c>
      <c r="W8852" t="s">
        <v>42612</v>
      </c>
      <c r="X8852" t="s">
        <v>44913</v>
      </c>
    </row>
    <row r="8853" spans="1:24">
      <c r="A8853">
        <f>HYPERLINK("https://www.philgeps.gov.ph/GEPSNONPILOT/Tender/SplashBidNoticeAbstractUI.aspx?menuIndex=3&amp;refID=7072535&amp;Result=3","7072535")</f>
        <v>0</v>
      </c>
      <c r="B8853" t="s">
        <v>658</v>
      </c>
      <c r="C8853" t="s">
        <v>11953</v>
      </c>
      <c r="D8853" t="s">
        <v>18108</v>
      </c>
      <c r="E8853" t="s">
        <v>22663</v>
      </c>
      <c r="F8853" t="s">
        <v>31362</v>
      </c>
      <c r="G8853" t="s">
        <v>31372</v>
      </c>
      <c r="H8853" t="s">
        <v>15799</v>
      </c>
      <c r="I8853" t="s">
        <v>31422</v>
      </c>
      <c r="J8853" t="s">
        <v>33068</v>
      </c>
      <c r="K8853" t="s">
        <v>40662</v>
      </c>
      <c r="M8853" t="s">
        <v>43489</v>
      </c>
      <c r="N8853" t="s">
        <v>44905</v>
      </c>
      <c r="O8853" t="s">
        <v>44906</v>
      </c>
      <c r="P8853">
        <v>0</v>
      </c>
      <c r="Q8853">
        <v>5</v>
      </c>
      <c r="R8853" t="s">
        <v>44911</v>
      </c>
      <c r="S8853" t="s">
        <v>45139</v>
      </c>
      <c r="T8853" t="s">
        <v>46432</v>
      </c>
      <c r="U8853" t="s">
        <v>54050</v>
      </c>
      <c r="W8853" t="s">
        <v>43489</v>
      </c>
      <c r="X8853" t="s">
        <v>44913</v>
      </c>
    </row>
    <row r="8854" spans="1:24">
      <c r="A8854">
        <f>HYPERLINK("https://www.philgeps.gov.ph/GEPSNONPILOT/Tender/SplashBidNoticeAbstractUI.aspx?menuIndex=3&amp;refID=7072499&amp;Result=3","7072499")</f>
        <v>0</v>
      </c>
      <c r="B8854" t="s">
        <v>396</v>
      </c>
      <c r="C8854" t="s">
        <v>11954</v>
      </c>
      <c r="D8854" t="s">
        <v>18155</v>
      </c>
      <c r="E8854" t="s">
        <v>25932</v>
      </c>
      <c r="F8854" t="s">
        <v>31362</v>
      </c>
      <c r="G8854" t="s">
        <v>31369</v>
      </c>
      <c r="H8854" t="s">
        <v>15799</v>
      </c>
      <c r="I8854" t="s">
        <v>31409</v>
      </c>
      <c r="J8854" t="s">
        <v>36928</v>
      </c>
      <c r="K8854" t="s">
        <v>40675</v>
      </c>
      <c r="M8854" t="s">
        <v>41344</v>
      </c>
      <c r="N8854" t="s">
        <v>44905</v>
      </c>
      <c r="O8854" t="s">
        <v>44906</v>
      </c>
      <c r="P8854">
        <v>0</v>
      </c>
      <c r="Q8854">
        <v>4</v>
      </c>
      <c r="R8854" t="s">
        <v>44911</v>
      </c>
      <c r="S8854" t="s">
        <v>45139</v>
      </c>
      <c r="T8854" t="s">
        <v>46432</v>
      </c>
      <c r="U8854" t="s">
        <v>54043</v>
      </c>
      <c r="W8854" t="s">
        <v>41344</v>
      </c>
      <c r="X8854" t="s">
        <v>44913</v>
      </c>
    </row>
    <row r="8855" spans="1:24">
      <c r="A8855">
        <f>HYPERLINK("https://www.philgeps.gov.ph/GEPSNONPILOT/Tender/SplashBidNoticeAbstractUI.aspx?menuIndex=3&amp;refID=7072531&amp;Result=3","7072531")</f>
        <v>0</v>
      </c>
      <c r="B8855" t="s">
        <v>110</v>
      </c>
      <c r="C8855" t="s">
        <v>11955</v>
      </c>
      <c r="D8855" t="s">
        <v>18119</v>
      </c>
      <c r="E8855" t="s">
        <v>25933</v>
      </c>
      <c r="F8855" t="s">
        <v>31362</v>
      </c>
      <c r="G8855" t="s">
        <v>31369</v>
      </c>
      <c r="H8855" t="s">
        <v>15799</v>
      </c>
      <c r="I8855" t="s">
        <v>7719</v>
      </c>
      <c r="J8855" t="s">
        <v>36929</v>
      </c>
      <c r="K8855" t="s">
        <v>40670</v>
      </c>
      <c r="M8855" t="s">
        <v>43734</v>
      </c>
      <c r="N8855" t="s">
        <v>44905</v>
      </c>
      <c r="O8855" t="s">
        <v>44906</v>
      </c>
      <c r="P8855">
        <v>0</v>
      </c>
      <c r="Q8855">
        <v>17</v>
      </c>
      <c r="R8855" t="s">
        <v>44911</v>
      </c>
      <c r="S8855" t="s">
        <v>45139</v>
      </c>
      <c r="T8855" t="s">
        <v>46433</v>
      </c>
      <c r="U8855" t="s">
        <v>54051</v>
      </c>
      <c r="W8855" t="s">
        <v>43734</v>
      </c>
      <c r="X8855" t="s">
        <v>44913</v>
      </c>
    </row>
    <row r="8856" spans="1:24">
      <c r="A8856">
        <f>HYPERLINK("https://www.philgeps.gov.ph/GEPSNONPILOT/Tender/SplashBidNoticeAbstractUI.aspx?menuIndex=3&amp;refID=7072555&amp;Result=3","7072555")</f>
        <v>0</v>
      </c>
      <c r="B8856" t="s">
        <v>1561</v>
      </c>
      <c r="C8856" t="s">
        <v>11956</v>
      </c>
      <c r="D8856" t="s">
        <v>18117</v>
      </c>
      <c r="E8856" t="s">
        <v>25934</v>
      </c>
      <c r="F8856" t="s">
        <v>31362</v>
      </c>
      <c r="G8856" t="s">
        <v>31369</v>
      </c>
      <c r="H8856" t="s">
        <v>15799</v>
      </c>
      <c r="I8856" t="s">
        <v>6373</v>
      </c>
      <c r="J8856" t="s">
        <v>36930</v>
      </c>
      <c r="K8856" t="s">
        <v>40665</v>
      </c>
      <c r="M8856" t="s">
        <v>42612</v>
      </c>
      <c r="N8856" t="s">
        <v>44905</v>
      </c>
      <c r="O8856" t="s">
        <v>44906</v>
      </c>
      <c r="Q8856">
        <v>4</v>
      </c>
      <c r="R8856" t="s">
        <v>44911</v>
      </c>
      <c r="S8856" t="s">
        <v>45155</v>
      </c>
      <c r="T8856" t="s">
        <v>46490</v>
      </c>
      <c r="U8856" t="s">
        <v>54052</v>
      </c>
      <c r="V8856" t="s">
        <v>59956</v>
      </c>
      <c r="W8856" t="s">
        <v>42612</v>
      </c>
      <c r="X8856" t="s">
        <v>44913</v>
      </c>
    </row>
    <row r="8857" spans="1:24">
      <c r="A8857">
        <f>HYPERLINK("https://www.philgeps.gov.ph/GEPSNONPILOT/Tender/SplashBidNoticeAbstractUI.aspx?menuIndex=3&amp;refID=7072527&amp;Result=3","7072527")</f>
        <v>0</v>
      </c>
      <c r="B8857" t="s">
        <v>110</v>
      </c>
      <c r="C8857" t="s">
        <v>11957</v>
      </c>
      <c r="D8857" t="s">
        <v>18119</v>
      </c>
      <c r="E8857" t="s">
        <v>25935</v>
      </c>
      <c r="F8857" t="s">
        <v>31362</v>
      </c>
      <c r="G8857" t="s">
        <v>31369</v>
      </c>
      <c r="H8857" t="s">
        <v>15799</v>
      </c>
      <c r="I8857" t="s">
        <v>4283</v>
      </c>
      <c r="J8857" t="s">
        <v>36931</v>
      </c>
      <c r="K8857" t="s">
        <v>40670</v>
      </c>
      <c r="M8857" t="s">
        <v>43734</v>
      </c>
      <c r="N8857" t="s">
        <v>44905</v>
      </c>
      <c r="O8857" t="s">
        <v>44906</v>
      </c>
      <c r="P8857">
        <v>0</v>
      </c>
      <c r="Q8857">
        <v>10</v>
      </c>
      <c r="R8857" t="s">
        <v>44911</v>
      </c>
      <c r="S8857" t="s">
        <v>45139</v>
      </c>
      <c r="T8857" t="s">
        <v>46433</v>
      </c>
      <c r="U8857" t="s">
        <v>54053</v>
      </c>
      <c r="W8857" t="s">
        <v>43734</v>
      </c>
      <c r="X8857" t="s">
        <v>44913</v>
      </c>
    </row>
    <row r="8858" spans="1:24">
      <c r="A8858">
        <f>HYPERLINK("https://www.philgeps.gov.ph/GEPSNONPILOT/Tender/SplashBidNoticeAbstractUI.aspx?menuIndex=3&amp;refID=7072613&amp;Result=3","7072613")</f>
        <v>0</v>
      </c>
      <c r="B8858" t="s">
        <v>2562</v>
      </c>
      <c r="C8858" t="s">
        <v>11958</v>
      </c>
      <c r="E8858" t="s">
        <v>25936</v>
      </c>
      <c r="F8858" t="s">
        <v>31362</v>
      </c>
      <c r="G8858" t="s">
        <v>31369</v>
      </c>
      <c r="H8858" t="s">
        <v>15799</v>
      </c>
      <c r="I8858" t="s">
        <v>3815</v>
      </c>
      <c r="J8858" t="s">
        <v>36932</v>
      </c>
      <c r="K8858" t="s">
        <v>40662</v>
      </c>
      <c r="M8858" t="s">
        <v>43735</v>
      </c>
      <c r="N8858" t="s">
        <v>44905</v>
      </c>
      <c r="O8858" t="s">
        <v>44906</v>
      </c>
      <c r="P8858">
        <v>0</v>
      </c>
      <c r="Q8858">
        <v>1</v>
      </c>
      <c r="R8858" t="s">
        <v>44911</v>
      </c>
      <c r="S8858" t="s">
        <v>45139</v>
      </c>
      <c r="T8858" t="s">
        <v>46432</v>
      </c>
      <c r="U8858" t="s">
        <v>54054</v>
      </c>
      <c r="W8858" t="s">
        <v>43735</v>
      </c>
      <c r="X8858" t="s">
        <v>44913</v>
      </c>
    </row>
    <row r="8859" spans="1:24">
      <c r="A8859">
        <f>HYPERLINK("https://www.philgeps.gov.ph/GEPSNONPILOT/Tender/SplashBidNoticeAbstractUI.aspx?menuIndex=3&amp;refID=7072548&amp;Result=3","7072548")</f>
        <v>0</v>
      </c>
      <c r="B8859" t="s">
        <v>1560</v>
      </c>
      <c r="C8859" t="s">
        <v>11959</v>
      </c>
      <c r="D8859" t="s">
        <v>18108</v>
      </c>
      <c r="E8859" t="s">
        <v>25937</v>
      </c>
      <c r="F8859" t="s">
        <v>31362</v>
      </c>
      <c r="G8859" t="s">
        <v>31368</v>
      </c>
      <c r="H8859" t="s">
        <v>31377</v>
      </c>
      <c r="I8859" t="s">
        <v>31377</v>
      </c>
      <c r="J8859" t="s">
        <v>32127</v>
      </c>
      <c r="K8859" t="s">
        <v>40739</v>
      </c>
      <c r="M8859" t="s">
        <v>42611</v>
      </c>
      <c r="N8859" t="s">
        <v>44905</v>
      </c>
      <c r="O8859" t="s">
        <v>44906</v>
      </c>
      <c r="P8859">
        <v>0</v>
      </c>
      <c r="Q8859">
        <v>8</v>
      </c>
      <c r="R8859" t="s">
        <v>44911</v>
      </c>
      <c r="S8859" t="s">
        <v>45139</v>
      </c>
      <c r="T8859" t="s">
        <v>46454</v>
      </c>
      <c r="U8859" t="s">
        <v>54055</v>
      </c>
      <c r="W8859" t="s">
        <v>42611</v>
      </c>
      <c r="X8859" t="s">
        <v>44913</v>
      </c>
    </row>
    <row r="8860" spans="1:24">
      <c r="A8860">
        <f>HYPERLINK("https://www.philgeps.gov.ph/GEPSNONPILOT/Tender/SplashBidNoticeAbstractUI.aspx?menuIndex=3&amp;refID=7072608&amp;Result=3","7072608")</f>
        <v>0</v>
      </c>
      <c r="B8860" t="s">
        <v>2563</v>
      </c>
      <c r="C8860" t="s">
        <v>11960</v>
      </c>
      <c r="D8860" t="s">
        <v>18107</v>
      </c>
      <c r="E8860" t="s">
        <v>25938</v>
      </c>
      <c r="F8860" t="s">
        <v>31362</v>
      </c>
      <c r="G8860" t="s">
        <v>31370</v>
      </c>
      <c r="H8860" t="s">
        <v>15799</v>
      </c>
      <c r="I8860" t="s">
        <v>31386</v>
      </c>
      <c r="J8860" t="s">
        <v>33178</v>
      </c>
      <c r="K8860" t="s">
        <v>40661</v>
      </c>
      <c r="M8860" t="s">
        <v>43736</v>
      </c>
      <c r="N8860" t="s">
        <v>44905</v>
      </c>
      <c r="O8860" t="s">
        <v>44906</v>
      </c>
      <c r="P8860">
        <v>0</v>
      </c>
      <c r="Q8860">
        <v>3</v>
      </c>
      <c r="R8860" t="s">
        <v>44911</v>
      </c>
      <c r="S8860" t="s">
        <v>45139</v>
      </c>
      <c r="T8860" t="s">
        <v>46411</v>
      </c>
      <c r="U8860" t="s">
        <v>54056</v>
      </c>
      <c r="W8860" t="s">
        <v>43736</v>
      </c>
      <c r="X8860" t="s">
        <v>44913</v>
      </c>
    </row>
    <row r="8861" spans="1:24">
      <c r="A8861">
        <f>HYPERLINK("https://www.philgeps.gov.ph/GEPSNONPILOT/Tender/SplashBidNoticeAbstractUI.aspx?menuIndex=3&amp;refID=7072589&amp;Result=3","7072589")</f>
        <v>0</v>
      </c>
      <c r="B8861" t="s">
        <v>2564</v>
      </c>
      <c r="C8861" t="s">
        <v>11961</v>
      </c>
      <c r="D8861" t="s">
        <v>18109</v>
      </c>
      <c r="E8861" t="s">
        <v>25939</v>
      </c>
      <c r="F8861" t="s">
        <v>31365</v>
      </c>
      <c r="G8861" t="s">
        <v>31369</v>
      </c>
      <c r="H8861" t="s">
        <v>15799</v>
      </c>
      <c r="I8861" t="s">
        <v>31409</v>
      </c>
      <c r="J8861" t="s">
        <v>34763</v>
      </c>
      <c r="K8861" t="s">
        <v>40665</v>
      </c>
      <c r="M8861" t="s">
        <v>43737</v>
      </c>
      <c r="N8861" t="s">
        <v>44905</v>
      </c>
      <c r="O8861" t="s">
        <v>44906</v>
      </c>
      <c r="P8861">
        <v>0</v>
      </c>
      <c r="Q8861">
        <v>3</v>
      </c>
      <c r="R8861" t="s">
        <v>44911</v>
      </c>
      <c r="S8861" t="s">
        <v>45139</v>
      </c>
      <c r="T8861" t="s">
        <v>46560</v>
      </c>
      <c r="U8861" t="s">
        <v>54057</v>
      </c>
      <c r="V8861" t="s">
        <v>59957</v>
      </c>
      <c r="W8861" t="s">
        <v>43737</v>
      </c>
      <c r="X8861" t="s">
        <v>44913</v>
      </c>
    </row>
    <row r="8862" spans="1:24">
      <c r="A8862">
        <f>HYPERLINK("https://www.philgeps.gov.ph/GEPSNONPILOT/Tender/SplashBidNoticeAbstractUI.aspx?menuIndex=3&amp;refID=7072551&amp;Result=3","7072551")</f>
        <v>0</v>
      </c>
      <c r="B8862" t="s">
        <v>1561</v>
      </c>
      <c r="C8862" t="s">
        <v>11962</v>
      </c>
      <c r="D8862" t="s">
        <v>18117</v>
      </c>
      <c r="E8862" t="s">
        <v>25940</v>
      </c>
      <c r="F8862" t="s">
        <v>31362</v>
      </c>
      <c r="G8862" t="s">
        <v>31369</v>
      </c>
      <c r="H8862" t="s">
        <v>15799</v>
      </c>
      <c r="I8862" t="s">
        <v>6373</v>
      </c>
      <c r="J8862" t="s">
        <v>36933</v>
      </c>
      <c r="K8862" t="s">
        <v>40665</v>
      </c>
      <c r="M8862" t="s">
        <v>42612</v>
      </c>
      <c r="N8862" t="s">
        <v>44905</v>
      </c>
      <c r="O8862" t="s">
        <v>44906</v>
      </c>
      <c r="Q8862">
        <v>2</v>
      </c>
      <c r="R8862" t="s">
        <v>44911</v>
      </c>
      <c r="S8862" t="s">
        <v>45156</v>
      </c>
      <c r="T8862" t="s">
        <v>46471</v>
      </c>
      <c r="U8862" t="s">
        <v>54058</v>
      </c>
      <c r="V8862" t="s">
        <v>59958</v>
      </c>
      <c r="W8862" t="s">
        <v>42612</v>
      </c>
      <c r="X8862" t="s">
        <v>44913</v>
      </c>
    </row>
    <row r="8863" spans="1:24">
      <c r="A8863">
        <f>HYPERLINK("https://www.philgeps.gov.ph/GEPSNONPILOT/Tender/SplashBidNoticeAbstractUI.aspx?menuIndex=3&amp;refID=7072616&amp;Result=3","7072616")</f>
        <v>0</v>
      </c>
      <c r="B8863" t="s">
        <v>2565</v>
      </c>
      <c r="C8863" t="s">
        <v>11963</v>
      </c>
      <c r="D8863" t="s">
        <v>18111</v>
      </c>
      <c r="E8863" t="s">
        <v>18548</v>
      </c>
      <c r="F8863" t="s">
        <v>31362</v>
      </c>
      <c r="G8863" t="s">
        <v>31369</v>
      </c>
      <c r="H8863" t="s">
        <v>15799</v>
      </c>
      <c r="I8863" t="s">
        <v>3815</v>
      </c>
      <c r="J8863" t="s">
        <v>36934</v>
      </c>
      <c r="K8863" t="s">
        <v>40662</v>
      </c>
      <c r="M8863" t="s">
        <v>43738</v>
      </c>
      <c r="N8863" t="s">
        <v>44905</v>
      </c>
      <c r="O8863" t="s">
        <v>44906</v>
      </c>
      <c r="P8863">
        <v>0</v>
      </c>
      <c r="Q8863">
        <v>5</v>
      </c>
      <c r="R8863" t="s">
        <v>44911</v>
      </c>
      <c r="S8863" t="s">
        <v>45139</v>
      </c>
      <c r="T8863" t="s">
        <v>46671</v>
      </c>
      <c r="U8863" t="s">
        <v>54059</v>
      </c>
      <c r="W8863" t="s">
        <v>43738</v>
      </c>
      <c r="X8863" t="s">
        <v>44913</v>
      </c>
    </row>
    <row r="8864" spans="1:24">
      <c r="A8864">
        <f>HYPERLINK("https://www.philgeps.gov.ph/GEPSNONPILOT/Tender/SplashBidNoticeAbstractUI.aspx?menuIndex=3&amp;refID=7072654&amp;Result=3","7072654")</f>
        <v>0</v>
      </c>
      <c r="B8864" t="s">
        <v>246</v>
      </c>
      <c r="C8864" t="s">
        <v>11964</v>
      </c>
      <c r="D8864" t="s">
        <v>18104</v>
      </c>
      <c r="E8864" t="s">
        <v>25941</v>
      </c>
      <c r="F8864" t="s">
        <v>31362</v>
      </c>
      <c r="G8864" t="s">
        <v>31369</v>
      </c>
      <c r="H8864" t="s">
        <v>31378</v>
      </c>
      <c r="I8864" t="s">
        <v>31386</v>
      </c>
      <c r="J8864" t="s">
        <v>36935</v>
      </c>
      <c r="K8864" t="s">
        <v>40686</v>
      </c>
      <c r="M8864" t="s">
        <v>41185</v>
      </c>
      <c r="N8864" t="s">
        <v>44905</v>
      </c>
      <c r="O8864" t="s">
        <v>44906</v>
      </c>
      <c r="P8864">
        <v>0</v>
      </c>
      <c r="Q8864">
        <v>1</v>
      </c>
      <c r="R8864" t="s">
        <v>44911</v>
      </c>
      <c r="S8864" t="s">
        <v>45139</v>
      </c>
      <c r="T8864" t="s">
        <v>46410</v>
      </c>
      <c r="U8864" t="s">
        <v>54060</v>
      </c>
      <c r="W8864" t="s">
        <v>41185</v>
      </c>
      <c r="X8864" t="s">
        <v>44913</v>
      </c>
    </row>
    <row r="8865" spans="1:24">
      <c r="A8865">
        <f>HYPERLINK("https://www.philgeps.gov.ph/GEPSNONPILOT/Tender/SplashBidNoticeAbstractUI.aspx?menuIndex=3&amp;refID=7072507&amp;Result=3","7072507")</f>
        <v>0</v>
      </c>
      <c r="B8865" t="s">
        <v>396</v>
      </c>
      <c r="C8865" t="s">
        <v>11965</v>
      </c>
      <c r="D8865" t="s">
        <v>18155</v>
      </c>
      <c r="E8865" t="s">
        <v>25942</v>
      </c>
      <c r="F8865" t="s">
        <v>31362</v>
      </c>
      <c r="G8865" t="s">
        <v>31369</v>
      </c>
      <c r="H8865" t="s">
        <v>15799</v>
      </c>
      <c r="I8865" t="s">
        <v>31409</v>
      </c>
      <c r="J8865" t="s">
        <v>31542</v>
      </c>
      <c r="K8865" t="s">
        <v>40675</v>
      </c>
      <c r="M8865" t="s">
        <v>41344</v>
      </c>
      <c r="N8865" t="s">
        <v>44905</v>
      </c>
      <c r="O8865" t="s">
        <v>44906</v>
      </c>
      <c r="P8865">
        <v>0</v>
      </c>
      <c r="Q8865">
        <v>4</v>
      </c>
      <c r="R8865" t="s">
        <v>44911</v>
      </c>
      <c r="S8865" t="s">
        <v>45139</v>
      </c>
      <c r="T8865" t="s">
        <v>46432</v>
      </c>
      <c r="U8865" t="s">
        <v>54043</v>
      </c>
      <c r="W8865" t="s">
        <v>41344</v>
      </c>
      <c r="X8865" t="s">
        <v>44913</v>
      </c>
    </row>
    <row r="8866" spans="1:24">
      <c r="A8866">
        <f>HYPERLINK("https://www.philgeps.gov.ph/GEPSNONPILOT/Tender/SplashBidNoticeAbstractUI.aspx?menuIndex=3&amp;refID=7072651&amp;Result=3","7072651")</f>
        <v>0</v>
      </c>
      <c r="B8866" t="s">
        <v>2566</v>
      </c>
      <c r="C8866" t="s">
        <v>11966</v>
      </c>
      <c r="D8866" t="s">
        <v>18138</v>
      </c>
      <c r="E8866" t="s">
        <v>25943</v>
      </c>
      <c r="F8866" t="s">
        <v>31363</v>
      </c>
      <c r="G8866" t="s">
        <v>31368</v>
      </c>
      <c r="H8866" t="s">
        <v>15799</v>
      </c>
      <c r="I8866" t="s">
        <v>31385</v>
      </c>
      <c r="J8866" t="s">
        <v>36936</v>
      </c>
      <c r="K8866" t="s">
        <v>40665</v>
      </c>
      <c r="M8866" t="s">
        <v>43739</v>
      </c>
      <c r="N8866" t="s">
        <v>44905</v>
      </c>
      <c r="O8866" t="s">
        <v>44906</v>
      </c>
      <c r="P8866">
        <v>0</v>
      </c>
      <c r="Q8866">
        <v>1</v>
      </c>
      <c r="R8866" t="s">
        <v>44911</v>
      </c>
      <c r="S8866" t="s">
        <v>45139</v>
      </c>
      <c r="T8866" t="s">
        <v>46575</v>
      </c>
      <c r="U8866" t="s">
        <v>54061</v>
      </c>
      <c r="W8866" t="s">
        <v>43739</v>
      </c>
      <c r="X8866" t="s">
        <v>44913</v>
      </c>
    </row>
    <row r="8867" spans="1:24">
      <c r="A8867">
        <f>HYPERLINK("https://www.philgeps.gov.ph/GEPSNONPILOT/Tender/SplashBidNoticeAbstractUI.aspx?menuIndex=3&amp;refID=7072597&amp;Result=3","7072597")</f>
        <v>0</v>
      </c>
      <c r="B8867" t="s">
        <v>2567</v>
      </c>
      <c r="C8867" t="s">
        <v>11967</v>
      </c>
      <c r="D8867" t="s">
        <v>18123</v>
      </c>
      <c r="E8867" t="s">
        <v>19255</v>
      </c>
      <c r="F8867" t="s">
        <v>31362</v>
      </c>
      <c r="G8867" t="s">
        <v>31369</v>
      </c>
      <c r="H8867" t="s">
        <v>31378</v>
      </c>
      <c r="I8867" t="s">
        <v>31386</v>
      </c>
      <c r="J8867" t="s">
        <v>33064</v>
      </c>
      <c r="K8867" t="s">
        <v>40666</v>
      </c>
      <c r="M8867" t="s">
        <v>43740</v>
      </c>
      <c r="N8867" t="s">
        <v>44905</v>
      </c>
      <c r="O8867" t="s">
        <v>44906</v>
      </c>
      <c r="P8867">
        <v>0</v>
      </c>
      <c r="Q8867">
        <v>0</v>
      </c>
      <c r="R8867" t="s">
        <v>44911</v>
      </c>
      <c r="S8867" t="s">
        <v>45139</v>
      </c>
      <c r="T8867" t="s">
        <v>46638</v>
      </c>
      <c r="U8867" t="s">
        <v>54062</v>
      </c>
      <c r="W8867" t="s">
        <v>43740</v>
      </c>
      <c r="X8867" t="s">
        <v>44913</v>
      </c>
    </row>
    <row r="8868" spans="1:24">
      <c r="A8868">
        <f>HYPERLINK("https://www.philgeps.gov.ph/GEPSNONPILOT/Tender/SplashBidNoticeAbstractUI.aspx?menuIndex=3&amp;refID=7072591&amp;Result=3","7072591")</f>
        <v>0</v>
      </c>
      <c r="B8868" t="s">
        <v>2568</v>
      </c>
      <c r="C8868" t="s">
        <v>4954</v>
      </c>
      <c r="D8868" t="s">
        <v>18116</v>
      </c>
      <c r="E8868" t="s">
        <v>25944</v>
      </c>
      <c r="F8868" t="s">
        <v>31362</v>
      </c>
      <c r="G8868" t="s">
        <v>31369</v>
      </c>
      <c r="H8868" t="s">
        <v>15799</v>
      </c>
      <c r="I8868" t="s">
        <v>31426</v>
      </c>
      <c r="J8868" t="s">
        <v>33409</v>
      </c>
      <c r="K8868" t="s">
        <v>40666</v>
      </c>
      <c r="M8868" t="s">
        <v>43741</v>
      </c>
      <c r="N8868" t="s">
        <v>44905</v>
      </c>
      <c r="O8868" t="s">
        <v>44906</v>
      </c>
      <c r="P8868">
        <v>0</v>
      </c>
      <c r="Q8868">
        <v>6</v>
      </c>
      <c r="R8868" t="s">
        <v>44911</v>
      </c>
      <c r="S8868" t="s">
        <v>45139</v>
      </c>
      <c r="T8868" t="s">
        <v>46791</v>
      </c>
      <c r="U8868" t="s">
        <v>54063</v>
      </c>
      <c r="W8868" t="s">
        <v>43741</v>
      </c>
      <c r="X8868" t="s">
        <v>44913</v>
      </c>
    </row>
    <row r="8869" spans="1:24">
      <c r="A8869">
        <f>HYPERLINK("https://www.philgeps.gov.ph/GEPSNONPILOT/Tender/SplashBidNoticeAbstractUI.aspx?menuIndex=3&amp;refID=7072642&amp;Result=3","7072642")</f>
        <v>0</v>
      </c>
      <c r="B8869" t="s">
        <v>246</v>
      </c>
      <c r="C8869" t="s">
        <v>11968</v>
      </c>
      <c r="D8869" t="s">
        <v>18104</v>
      </c>
      <c r="E8869" t="s">
        <v>25945</v>
      </c>
      <c r="F8869" t="s">
        <v>31362</v>
      </c>
      <c r="G8869" t="s">
        <v>31369</v>
      </c>
      <c r="H8869" t="s">
        <v>31378</v>
      </c>
      <c r="I8869" t="s">
        <v>31386</v>
      </c>
      <c r="J8869" t="s">
        <v>36937</v>
      </c>
      <c r="K8869" t="s">
        <v>40675</v>
      </c>
      <c r="M8869" t="s">
        <v>41185</v>
      </c>
      <c r="N8869" t="s">
        <v>44905</v>
      </c>
      <c r="O8869" t="s">
        <v>44906</v>
      </c>
      <c r="P8869">
        <v>0</v>
      </c>
      <c r="Q8869">
        <v>0</v>
      </c>
      <c r="R8869" t="s">
        <v>44911</v>
      </c>
      <c r="S8869" t="s">
        <v>45139</v>
      </c>
      <c r="T8869" t="s">
        <v>46411</v>
      </c>
      <c r="U8869" t="s">
        <v>54064</v>
      </c>
      <c r="W8869" t="s">
        <v>41185</v>
      </c>
      <c r="X8869" t="s">
        <v>44913</v>
      </c>
    </row>
    <row r="8870" spans="1:24">
      <c r="A8870">
        <f>HYPERLINK("https://www.philgeps.gov.ph/GEPSNONPILOT/Tender/SplashBidNoticeAbstractUI.aspx?menuIndex=3&amp;refID=7072641&amp;Result=3","7072641")</f>
        <v>0</v>
      </c>
      <c r="B8870" t="s">
        <v>2569</v>
      </c>
      <c r="C8870" t="s">
        <v>11969</v>
      </c>
      <c r="D8870" t="s">
        <v>18109</v>
      </c>
      <c r="E8870" t="s">
        <v>25946</v>
      </c>
      <c r="F8870" t="s">
        <v>31362</v>
      </c>
      <c r="G8870" t="s">
        <v>31369</v>
      </c>
      <c r="H8870" t="s">
        <v>31378</v>
      </c>
      <c r="I8870" t="s">
        <v>31386</v>
      </c>
      <c r="J8870" t="s">
        <v>31591</v>
      </c>
      <c r="K8870" t="s">
        <v>40665</v>
      </c>
      <c r="M8870" t="s">
        <v>43742</v>
      </c>
      <c r="N8870" t="s">
        <v>44905</v>
      </c>
      <c r="O8870" t="s">
        <v>44906</v>
      </c>
      <c r="P8870">
        <v>0</v>
      </c>
      <c r="Q8870">
        <v>3</v>
      </c>
      <c r="R8870" t="s">
        <v>44911</v>
      </c>
      <c r="S8870" t="s">
        <v>45139</v>
      </c>
      <c r="T8870" t="s">
        <v>46401</v>
      </c>
      <c r="U8870" t="s">
        <v>54065</v>
      </c>
      <c r="W8870" t="s">
        <v>43742</v>
      </c>
      <c r="X8870" t="s">
        <v>44913</v>
      </c>
    </row>
    <row r="8871" spans="1:24">
      <c r="A8871">
        <f>HYPERLINK("https://www.philgeps.gov.ph/GEPSNONPILOT/Tender/SplashBidNoticeAbstractUI.aspx?menuIndex=3&amp;refID=7072637&amp;Result=3","7072637")</f>
        <v>0</v>
      </c>
      <c r="B8871" t="s">
        <v>246</v>
      </c>
      <c r="C8871" t="s">
        <v>11970</v>
      </c>
      <c r="D8871" t="s">
        <v>18104</v>
      </c>
      <c r="E8871" t="s">
        <v>25947</v>
      </c>
      <c r="F8871" t="s">
        <v>31362</v>
      </c>
      <c r="G8871" t="s">
        <v>31369</v>
      </c>
      <c r="H8871" t="s">
        <v>31378</v>
      </c>
      <c r="I8871" t="s">
        <v>31386</v>
      </c>
      <c r="J8871" t="s">
        <v>36938</v>
      </c>
      <c r="K8871" t="s">
        <v>40675</v>
      </c>
      <c r="M8871" t="s">
        <v>41185</v>
      </c>
      <c r="N8871" t="s">
        <v>44905</v>
      </c>
      <c r="O8871" t="s">
        <v>44906</v>
      </c>
      <c r="P8871">
        <v>0</v>
      </c>
      <c r="Q8871">
        <v>0</v>
      </c>
      <c r="R8871" t="s">
        <v>44911</v>
      </c>
      <c r="S8871" t="s">
        <v>45139</v>
      </c>
      <c r="T8871" t="s">
        <v>46411</v>
      </c>
      <c r="U8871" t="s">
        <v>54066</v>
      </c>
      <c r="W8871" t="s">
        <v>41185</v>
      </c>
      <c r="X8871" t="s">
        <v>44913</v>
      </c>
    </row>
    <row r="8872" spans="1:24">
      <c r="A8872">
        <f>HYPERLINK("https://www.philgeps.gov.ph/GEPSNONPILOT/Tender/SplashBidNoticeAbstractUI.aspx?menuIndex=3&amp;refID=7072583&amp;Result=3","7072583")</f>
        <v>0</v>
      </c>
      <c r="B8872" t="s">
        <v>2567</v>
      </c>
      <c r="C8872" t="s">
        <v>11971</v>
      </c>
      <c r="D8872" t="s">
        <v>18123</v>
      </c>
      <c r="E8872" t="s">
        <v>19844</v>
      </c>
      <c r="F8872" t="s">
        <v>31362</v>
      </c>
      <c r="G8872" t="s">
        <v>31369</v>
      </c>
      <c r="H8872" t="s">
        <v>31378</v>
      </c>
      <c r="I8872" t="s">
        <v>31386</v>
      </c>
      <c r="J8872" t="s">
        <v>31578</v>
      </c>
      <c r="K8872" t="s">
        <v>40666</v>
      </c>
      <c r="M8872" t="s">
        <v>43740</v>
      </c>
      <c r="N8872" t="s">
        <v>44905</v>
      </c>
      <c r="O8872" t="s">
        <v>44906</v>
      </c>
      <c r="P8872">
        <v>0</v>
      </c>
      <c r="Q8872">
        <v>0</v>
      </c>
      <c r="R8872" t="s">
        <v>44911</v>
      </c>
      <c r="S8872" t="s">
        <v>45139</v>
      </c>
      <c r="T8872" t="s">
        <v>46638</v>
      </c>
      <c r="U8872" t="s">
        <v>54067</v>
      </c>
      <c r="W8872" t="s">
        <v>43740</v>
      </c>
      <c r="X8872" t="s">
        <v>44913</v>
      </c>
    </row>
    <row r="8873" spans="1:24">
      <c r="A8873">
        <f>HYPERLINK("https://www.philgeps.gov.ph/GEPSNONPILOT/Tender/SplashBidNoticeAbstractUI.aspx?menuIndex=3&amp;refID=7072581&amp;Result=3","7072581")</f>
        <v>0</v>
      </c>
      <c r="B8873" t="s">
        <v>2495</v>
      </c>
      <c r="C8873" t="s">
        <v>11972</v>
      </c>
      <c r="D8873" t="s">
        <v>18127</v>
      </c>
      <c r="E8873" t="s">
        <v>20762</v>
      </c>
      <c r="F8873" t="s">
        <v>31362</v>
      </c>
      <c r="G8873" t="s">
        <v>31369</v>
      </c>
      <c r="H8873" t="s">
        <v>31379</v>
      </c>
      <c r="I8873" t="s">
        <v>31422</v>
      </c>
      <c r="J8873" t="s">
        <v>36939</v>
      </c>
      <c r="K8873" t="s">
        <v>40675</v>
      </c>
      <c r="M8873" t="s">
        <v>43662</v>
      </c>
      <c r="N8873" t="s">
        <v>44905</v>
      </c>
      <c r="O8873" t="s">
        <v>44906</v>
      </c>
      <c r="P8873">
        <v>0</v>
      </c>
      <c r="Q8873">
        <v>6</v>
      </c>
      <c r="R8873" t="s">
        <v>44911</v>
      </c>
      <c r="S8873" t="s">
        <v>45139</v>
      </c>
      <c r="T8873" t="s">
        <v>46466</v>
      </c>
      <c r="U8873" t="s">
        <v>54068</v>
      </c>
      <c r="V8873" t="s">
        <v>59900</v>
      </c>
      <c r="W8873" t="s">
        <v>43662</v>
      </c>
      <c r="X8873" t="s">
        <v>44913</v>
      </c>
    </row>
    <row r="8874" spans="1:24">
      <c r="A8874">
        <f>HYPERLINK("https://www.philgeps.gov.ph/GEPSNONPILOT/Tender/SplashBidNoticeAbstractUI.aspx?menuIndex=3&amp;refID=7072650&amp;Result=3","7072650")</f>
        <v>0</v>
      </c>
      <c r="B8874" t="s">
        <v>2569</v>
      </c>
      <c r="C8874" t="s">
        <v>11973</v>
      </c>
      <c r="D8874" t="s">
        <v>18109</v>
      </c>
      <c r="E8874" t="s">
        <v>25948</v>
      </c>
      <c r="F8874" t="s">
        <v>31362</v>
      </c>
      <c r="G8874" t="s">
        <v>31369</v>
      </c>
      <c r="H8874" t="s">
        <v>31378</v>
      </c>
      <c r="I8874" t="s">
        <v>31386</v>
      </c>
      <c r="J8874" t="s">
        <v>36940</v>
      </c>
      <c r="K8874" t="s">
        <v>40692</v>
      </c>
      <c r="M8874" t="s">
        <v>43742</v>
      </c>
      <c r="N8874" t="s">
        <v>44905</v>
      </c>
      <c r="O8874" t="s">
        <v>44906</v>
      </c>
      <c r="P8874">
        <v>0</v>
      </c>
      <c r="Q8874">
        <v>0</v>
      </c>
      <c r="R8874" t="s">
        <v>44911</v>
      </c>
      <c r="S8874" t="s">
        <v>45139</v>
      </c>
      <c r="T8874" t="s">
        <v>46401</v>
      </c>
      <c r="U8874" t="s">
        <v>54069</v>
      </c>
      <c r="W8874" t="s">
        <v>43742</v>
      </c>
      <c r="X8874" t="s">
        <v>44913</v>
      </c>
    </row>
    <row r="8875" spans="1:24">
      <c r="A8875">
        <f>HYPERLINK("https://www.philgeps.gov.ph/GEPSNONPILOT/Tender/SplashBidNoticeAbstractUI.aspx?menuIndex=3&amp;refID=7072646&amp;Result=3","7072646")</f>
        <v>0</v>
      </c>
      <c r="B8875" t="s">
        <v>2569</v>
      </c>
      <c r="C8875" t="s">
        <v>11974</v>
      </c>
      <c r="D8875" t="s">
        <v>18109</v>
      </c>
      <c r="E8875" t="s">
        <v>25949</v>
      </c>
      <c r="F8875" t="s">
        <v>31362</v>
      </c>
      <c r="G8875" t="s">
        <v>31369</v>
      </c>
      <c r="H8875" t="s">
        <v>31378</v>
      </c>
      <c r="I8875" t="s">
        <v>31386</v>
      </c>
      <c r="J8875" t="s">
        <v>36941</v>
      </c>
      <c r="K8875" t="s">
        <v>40746</v>
      </c>
      <c r="M8875" t="s">
        <v>43742</v>
      </c>
      <c r="N8875" t="s">
        <v>44905</v>
      </c>
      <c r="O8875" t="s">
        <v>44906</v>
      </c>
      <c r="P8875">
        <v>0</v>
      </c>
      <c r="Q8875">
        <v>0</v>
      </c>
      <c r="R8875" t="s">
        <v>44911</v>
      </c>
      <c r="S8875" t="s">
        <v>45139</v>
      </c>
      <c r="T8875" t="s">
        <v>46401</v>
      </c>
      <c r="U8875" t="s">
        <v>54070</v>
      </c>
      <c r="W8875" t="s">
        <v>43742</v>
      </c>
      <c r="X8875" t="s">
        <v>44913</v>
      </c>
    </row>
    <row r="8876" spans="1:24">
      <c r="A8876">
        <f>HYPERLINK("https://www.philgeps.gov.ph/GEPSNONPILOT/Tender/SplashBidNoticeAbstractUI.aspx?menuIndex=3&amp;refID=7072567&amp;Result=3","7072567")</f>
        <v>0</v>
      </c>
      <c r="B8876" t="s">
        <v>803</v>
      </c>
      <c r="C8876" t="s">
        <v>11975</v>
      </c>
      <c r="D8876" t="s">
        <v>18122</v>
      </c>
      <c r="E8876" t="s">
        <v>25950</v>
      </c>
      <c r="F8876" t="s">
        <v>31362</v>
      </c>
      <c r="G8876" t="s">
        <v>31369</v>
      </c>
      <c r="H8876" t="s">
        <v>15799</v>
      </c>
      <c r="I8876" t="s">
        <v>31395</v>
      </c>
      <c r="J8876" t="s">
        <v>36942</v>
      </c>
      <c r="K8876" t="s">
        <v>40739</v>
      </c>
      <c r="M8876" t="s">
        <v>41773</v>
      </c>
      <c r="N8876" t="s">
        <v>44905</v>
      </c>
      <c r="O8876" t="s">
        <v>44906</v>
      </c>
      <c r="Q8876">
        <v>5</v>
      </c>
      <c r="R8876" t="s">
        <v>44911</v>
      </c>
      <c r="S8876" t="s">
        <v>45157</v>
      </c>
      <c r="T8876" t="s">
        <v>46559</v>
      </c>
      <c r="U8876" t="s">
        <v>54071</v>
      </c>
      <c r="V8876" t="s">
        <v>59959</v>
      </c>
      <c r="W8876" t="s">
        <v>41773</v>
      </c>
      <c r="X8876" t="s">
        <v>44913</v>
      </c>
    </row>
    <row r="8877" spans="1:24">
      <c r="A8877">
        <f>HYPERLINK("https://www.philgeps.gov.ph/GEPSNONPILOT/Tender/SplashBidNoticeAbstractUI.aspx?menuIndex=3&amp;refID=7072760&amp;Result=3","7072760")</f>
        <v>0</v>
      </c>
      <c r="B8877" t="s">
        <v>2570</v>
      </c>
      <c r="C8877" t="s">
        <v>11976</v>
      </c>
      <c r="D8877" t="s">
        <v>18100</v>
      </c>
      <c r="E8877" t="s">
        <v>18805</v>
      </c>
      <c r="F8877" t="s">
        <v>31362</v>
      </c>
      <c r="G8877" t="s">
        <v>31369</v>
      </c>
      <c r="H8877" t="s">
        <v>15799</v>
      </c>
      <c r="I8877" t="s">
        <v>31464</v>
      </c>
      <c r="J8877" t="s">
        <v>33026</v>
      </c>
      <c r="K8877" t="s">
        <v>40693</v>
      </c>
      <c r="M8877" t="s">
        <v>43743</v>
      </c>
      <c r="N8877" t="s">
        <v>44905</v>
      </c>
      <c r="O8877" t="s">
        <v>44906</v>
      </c>
      <c r="P8877">
        <v>0</v>
      </c>
      <c r="Q8877">
        <v>0</v>
      </c>
      <c r="R8877" t="s">
        <v>44911</v>
      </c>
      <c r="S8877" t="s">
        <v>45139</v>
      </c>
      <c r="T8877" t="s">
        <v>46792</v>
      </c>
      <c r="U8877" t="s">
        <v>54072</v>
      </c>
      <c r="W8877" t="s">
        <v>43743</v>
      </c>
      <c r="X8877" t="s">
        <v>44913</v>
      </c>
    </row>
    <row r="8878" spans="1:24">
      <c r="A8878">
        <f>HYPERLINK("https://www.philgeps.gov.ph/GEPSNONPILOT/Tender/SplashBidNoticeAbstractUI.aspx?menuIndex=3&amp;refID=7072658&amp;Result=3","7072658")</f>
        <v>0</v>
      </c>
      <c r="B8878" t="s">
        <v>246</v>
      </c>
      <c r="C8878" t="s">
        <v>11977</v>
      </c>
      <c r="D8878" t="s">
        <v>18104</v>
      </c>
      <c r="E8878" t="s">
        <v>25951</v>
      </c>
      <c r="F8878" t="s">
        <v>31362</v>
      </c>
      <c r="G8878" t="s">
        <v>31369</v>
      </c>
      <c r="H8878" t="s">
        <v>31378</v>
      </c>
      <c r="I8878" t="s">
        <v>31386</v>
      </c>
      <c r="J8878" t="s">
        <v>36943</v>
      </c>
      <c r="K8878" t="s">
        <v>40686</v>
      </c>
      <c r="M8878" t="s">
        <v>41185</v>
      </c>
      <c r="N8878" t="s">
        <v>44905</v>
      </c>
      <c r="O8878" t="s">
        <v>44906</v>
      </c>
      <c r="P8878">
        <v>0</v>
      </c>
      <c r="Q8878">
        <v>2</v>
      </c>
      <c r="R8878" t="s">
        <v>44911</v>
      </c>
      <c r="S8878" t="s">
        <v>45139</v>
      </c>
      <c r="T8878" t="s">
        <v>46410</v>
      </c>
      <c r="U8878" t="s">
        <v>54073</v>
      </c>
      <c r="W8878" t="s">
        <v>41185</v>
      </c>
      <c r="X8878" t="s">
        <v>44913</v>
      </c>
    </row>
    <row r="8879" spans="1:24">
      <c r="A8879">
        <f>HYPERLINK("https://www.philgeps.gov.ph/GEPSNONPILOT/Tender/SplashBidNoticeAbstractUI.aspx?menuIndex=3&amp;refID=7072755&amp;Result=3","7072755")</f>
        <v>0</v>
      </c>
      <c r="B8879" t="s">
        <v>2570</v>
      </c>
      <c r="C8879" t="s">
        <v>11978</v>
      </c>
      <c r="D8879" t="s">
        <v>18100</v>
      </c>
      <c r="E8879" t="s">
        <v>18754</v>
      </c>
      <c r="F8879" t="s">
        <v>31362</v>
      </c>
      <c r="G8879" t="s">
        <v>31369</v>
      </c>
      <c r="H8879" t="s">
        <v>15799</v>
      </c>
      <c r="I8879" t="s">
        <v>31427</v>
      </c>
      <c r="J8879" t="s">
        <v>32252</v>
      </c>
      <c r="K8879" t="s">
        <v>40693</v>
      </c>
      <c r="M8879" t="s">
        <v>43743</v>
      </c>
      <c r="N8879" t="s">
        <v>44905</v>
      </c>
      <c r="O8879" t="s">
        <v>44906</v>
      </c>
      <c r="P8879">
        <v>0</v>
      </c>
      <c r="Q8879">
        <v>0</v>
      </c>
      <c r="R8879" t="s">
        <v>44911</v>
      </c>
      <c r="S8879" t="s">
        <v>45139</v>
      </c>
      <c r="T8879" t="s">
        <v>46793</v>
      </c>
      <c r="U8879" t="s">
        <v>54074</v>
      </c>
      <c r="W8879" t="s">
        <v>43743</v>
      </c>
      <c r="X8879" t="s">
        <v>44913</v>
      </c>
    </row>
    <row r="8880" spans="1:24">
      <c r="A8880">
        <f>HYPERLINK("https://www.philgeps.gov.ph/GEPSNONPILOT/Tender/SplashBidNoticeAbstractUI.aspx?menuIndex=3&amp;refID=7072754&amp;Result=3","7072754")</f>
        <v>0</v>
      </c>
      <c r="B8880" t="s">
        <v>2570</v>
      </c>
      <c r="C8880" t="s">
        <v>11979</v>
      </c>
      <c r="D8880" t="s">
        <v>18100</v>
      </c>
      <c r="E8880" t="s">
        <v>22101</v>
      </c>
      <c r="F8880" t="s">
        <v>31362</v>
      </c>
      <c r="G8880" t="s">
        <v>31369</v>
      </c>
      <c r="H8880" t="s">
        <v>15799</v>
      </c>
      <c r="I8880" t="s">
        <v>31390</v>
      </c>
      <c r="J8880" t="s">
        <v>36944</v>
      </c>
      <c r="K8880" t="s">
        <v>40693</v>
      </c>
      <c r="M8880" t="s">
        <v>43743</v>
      </c>
      <c r="N8880" t="s">
        <v>44905</v>
      </c>
      <c r="O8880" t="s">
        <v>44906</v>
      </c>
      <c r="P8880">
        <v>0</v>
      </c>
      <c r="Q8880">
        <v>1</v>
      </c>
      <c r="R8880" t="s">
        <v>44911</v>
      </c>
      <c r="S8880" t="s">
        <v>45139</v>
      </c>
      <c r="T8880" t="s">
        <v>46793</v>
      </c>
      <c r="U8880" t="s">
        <v>54075</v>
      </c>
      <c r="W8880" t="s">
        <v>43743</v>
      </c>
      <c r="X8880" t="s">
        <v>44913</v>
      </c>
    </row>
    <row r="8881" spans="1:24">
      <c r="A8881">
        <f>HYPERLINK("https://www.philgeps.gov.ph/GEPSNONPILOT/Tender/SplashBidNoticeAbstractUI.aspx?menuIndex=3&amp;refID=7072746&amp;Result=3","7072746")</f>
        <v>0</v>
      </c>
      <c r="B8881" t="s">
        <v>2570</v>
      </c>
      <c r="C8881" t="s">
        <v>11980</v>
      </c>
      <c r="D8881" t="s">
        <v>18100</v>
      </c>
      <c r="E8881" t="s">
        <v>21950</v>
      </c>
      <c r="F8881" t="s">
        <v>31362</v>
      </c>
      <c r="G8881" t="s">
        <v>31369</v>
      </c>
      <c r="H8881" t="s">
        <v>15799</v>
      </c>
      <c r="I8881" t="s">
        <v>6373</v>
      </c>
      <c r="J8881" t="s">
        <v>36945</v>
      </c>
      <c r="K8881" t="s">
        <v>40693</v>
      </c>
      <c r="M8881" t="s">
        <v>43743</v>
      </c>
      <c r="N8881" t="s">
        <v>44905</v>
      </c>
      <c r="O8881" t="s">
        <v>44906</v>
      </c>
      <c r="P8881">
        <v>0</v>
      </c>
      <c r="Q8881">
        <v>2</v>
      </c>
      <c r="R8881" t="s">
        <v>44911</v>
      </c>
      <c r="S8881" t="s">
        <v>45139</v>
      </c>
      <c r="T8881" t="s">
        <v>46793</v>
      </c>
      <c r="U8881" t="s">
        <v>54075</v>
      </c>
      <c r="W8881" t="s">
        <v>43743</v>
      </c>
      <c r="X8881" t="s">
        <v>44913</v>
      </c>
    </row>
    <row r="8882" spans="1:24">
      <c r="A8882">
        <f>HYPERLINK("https://www.philgeps.gov.ph/GEPSNONPILOT/Tender/SplashBidNoticeAbstractUI.aspx?menuIndex=3&amp;refID=7072737&amp;Result=3","7072737")</f>
        <v>0</v>
      </c>
      <c r="B8882" t="s">
        <v>110</v>
      </c>
      <c r="C8882" t="s">
        <v>11981</v>
      </c>
      <c r="D8882" t="s">
        <v>18119</v>
      </c>
      <c r="E8882" t="s">
        <v>25952</v>
      </c>
      <c r="F8882" t="s">
        <v>31362</v>
      </c>
      <c r="G8882" t="s">
        <v>31369</v>
      </c>
      <c r="H8882" t="s">
        <v>15799</v>
      </c>
      <c r="I8882" t="s">
        <v>31409</v>
      </c>
      <c r="J8882" t="s">
        <v>36946</v>
      </c>
      <c r="K8882" t="s">
        <v>40665</v>
      </c>
      <c r="M8882" t="s">
        <v>43734</v>
      </c>
      <c r="N8882" t="s">
        <v>44905</v>
      </c>
      <c r="O8882" t="s">
        <v>44906</v>
      </c>
      <c r="P8882">
        <v>0</v>
      </c>
      <c r="Q8882">
        <v>1</v>
      </c>
      <c r="R8882" t="s">
        <v>44911</v>
      </c>
      <c r="S8882" t="s">
        <v>45139</v>
      </c>
      <c r="T8882" t="s">
        <v>46433</v>
      </c>
      <c r="U8882" t="s">
        <v>54076</v>
      </c>
      <c r="W8882" t="s">
        <v>43734</v>
      </c>
      <c r="X8882" t="s">
        <v>44913</v>
      </c>
    </row>
    <row r="8883" spans="1:24">
      <c r="A8883">
        <f>HYPERLINK("https://www.philgeps.gov.ph/GEPSNONPILOT/Tender/SplashBidNoticeAbstractUI.aspx?menuIndex=3&amp;refID=7072730&amp;Result=3","7072730")</f>
        <v>0</v>
      </c>
      <c r="B8883" t="s">
        <v>234</v>
      </c>
      <c r="C8883" t="s">
        <v>11982</v>
      </c>
      <c r="D8883" t="s">
        <v>18108</v>
      </c>
      <c r="E8883" t="s">
        <v>25953</v>
      </c>
      <c r="F8883" t="s">
        <v>31362</v>
      </c>
      <c r="G8883" t="s">
        <v>31372</v>
      </c>
      <c r="H8883" t="s">
        <v>31379</v>
      </c>
      <c r="I8883" t="s">
        <v>31451</v>
      </c>
      <c r="J8883" t="s">
        <v>36947</v>
      </c>
      <c r="K8883" t="s">
        <v>40712</v>
      </c>
      <c r="M8883" t="s">
        <v>43744</v>
      </c>
      <c r="N8883" t="s">
        <v>44905</v>
      </c>
      <c r="O8883" t="s">
        <v>44906</v>
      </c>
      <c r="P8883">
        <v>0</v>
      </c>
      <c r="Q8883">
        <v>3</v>
      </c>
      <c r="R8883" t="s">
        <v>44911</v>
      </c>
      <c r="S8883" t="s">
        <v>45139</v>
      </c>
      <c r="T8883" t="s">
        <v>46409</v>
      </c>
      <c r="U8883" t="s">
        <v>54077</v>
      </c>
      <c r="W8883" t="s">
        <v>43744</v>
      </c>
      <c r="X8883" t="s">
        <v>44913</v>
      </c>
    </row>
    <row r="8884" spans="1:24">
      <c r="A8884">
        <f>HYPERLINK("https://www.philgeps.gov.ph/GEPSNONPILOT/Tender/SplashBidNoticeAbstractUI.aspx?menuIndex=3&amp;refID=7072704&amp;Result=3","7072704")</f>
        <v>0</v>
      </c>
      <c r="B8884" t="s">
        <v>1534</v>
      </c>
      <c r="C8884" t="s">
        <v>11983</v>
      </c>
      <c r="D8884" t="s">
        <v>18180</v>
      </c>
      <c r="E8884" t="s">
        <v>25694</v>
      </c>
      <c r="F8884" t="s">
        <v>31362</v>
      </c>
      <c r="G8884" t="s">
        <v>31369</v>
      </c>
      <c r="H8884" t="s">
        <v>31378</v>
      </c>
      <c r="I8884" t="s">
        <v>31386</v>
      </c>
      <c r="J8884" t="s">
        <v>36948</v>
      </c>
      <c r="K8884" t="s">
        <v>40757</v>
      </c>
      <c r="M8884" t="s">
        <v>42580</v>
      </c>
      <c r="N8884" t="s">
        <v>44905</v>
      </c>
      <c r="O8884" t="s">
        <v>44906</v>
      </c>
      <c r="P8884">
        <v>0</v>
      </c>
      <c r="Q8884">
        <v>0</v>
      </c>
      <c r="R8884" t="s">
        <v>44911</v>
      </c>
      <c r="S8884" t="s">
        <v>45139</v>
      </c>
      <c r="T8884" t="s">
        <v>46419</v>
      </c>
      <c r="U8884" t="s">
        <v>54078</v>
      </c>
      <c r="W8884" t="s">
        <v>42580</v>
      </c>
      <c r="X8884" t="s">
        <v>44913</v>
      </c>
    </row>
    <row r="8885" spans="1:24">
      <c r="A8885">
        <f>HYPERLINK("https://www.philgeps.gov.ph/GEPSNONPILOT/Tender/SplashBidNoticeAbstractUI.aspx?menuIndex=3&amp;refID=7072762&amp;Result=3","7072762")</f>
        <v>0</v>
      </c>
      <c r="B8885" t="s">
        <v>2571</v>
      </c>
      <c r="C8885" t="s">
        <v>11984</v>
      </c>
      <c r="D8885" t="s">
        <v>18116</v>
      </c>
      <c r="E8885" t="s">
        <v>19313</v>
      </c>
      <c r="F8885" t="s">
        <v>31362</v>
      </c>
      <c r="G8885" t="s">
        <v>31369</v>
      </c>
      <c r="H8885" t="s">
        <v>15799</v>
      </c>
      <c r="I8885" t="s">
        <v>3815</v>
      </c>
      <c r="J8885" t="s">
        <v>36949</v>
      </c>
      <c r="K8885" t="s">
        <v>40666</v>
      </c>
      <c r="M8885" t="s">
        <v>43745</v>
      </c>
      <c r="N8885" t="s">
        <v>44905</v>
      </c>
      <c r="O8885" t="s">
        <v>44906</v>
      </c>
      <c r="P8885">
        <v>0</v>
      </c>
      <c r="Q8885">
        <v>1</v>
      </c>
      <c r="R8885" t="s">
        <v>44911</v>
      </c>
      <c r="S8885" t="s">
        <v>45139</v>
      </c>
      <c r="T8885" t="s">
        <v>46447</v>
      </c>
      <c r="U8885" t="s">
        <v>54079</v>
      </c>
      <c r="W8885" t="s">
        <v>43745</v>
      </c>
      <c r="X8885" t="s">
        <v>44913</v>
      </c>
    </row>
    <row r="8886" spans="1:24">
      <c r="A8886">
        <f>HYPERLINK("https://www.philgeps.gov.ph/GEPSNONPILOT/Tender/SplashBidNoticeAbstractUI.aspx?menuIndex=3&amp;refID=7072633&amp;Result=3","7072633")</f>
        <v>0</v>
      </c>
      <c r="B8886" t="s">
        <v>2569</v>
      </c>
      <c r="C8886" t="s">
        <v>11985</v>
      </c>
      <c r="D8886" t="s">
        <v>18109</v>
      </c>
      <c r="E8886" t="s">
        <v>25954</v>
      </c>
      <c r="F8886" t="s">
        <v>31362</v>
      </c>
      <c r="G8886" t="s">
        <v>31369</v>
      </c>
      <c r="H8886" t="s">
        <v>31378</v>
      </c>
      <c r="I8886" t="s">
        <v>31386</v>
      </c>
      <c r="J8886" t="s">
        <v>36950</v>
      </c>
      <c r="K8886" t="s">
        <v>40664</v>
      </c>
      <c r="M8886" t="s">
        <v>43742</v>
      </c>
      <c r="N8886" t="s">
        <v>44905</v>
      </c>
      <c r="O8886" t="s">
        <v>44906</v>
      </c>
      <c r="P8886">
        <v>0</v>
      </c>
      <c r="Q8886">
        <v>0</v>
      </c>
      <c r="R8886" t="s">
        <v>44911</v>
      </c>
      <c r="S8886" t="s">
        <v>45139</v>
      </c>
      <c r="T8886" t="s">
        <v>46401</v>
      </c>
      <c r="U8886" t="s">
        <v>54080</v>
      </c>
      <c r="W8886" t="s">
        <v>43742</v>
      </c>
      <c r="X8886" t="s">
        <v>44913</v>
      </c>
    </row>
    <row r="8887" spans="1:24">
      <c r="A8887">
        <f>HYPERLINK("https://www.philgeps.gov.ph/GEPSNONPILOT/Tender/SplashBidNoticeAbstractUI.aspx?menuIndex=3&amp;refID=7072703&amp;Result=3","7072703")</f>
        <v>0</v>
      </c>
      <c r="B8887" t="s">
        <v>2572</v>
      </c>
      <c r="C8887" t="s">
        <v>11986</v>
      </c>
      <c r="D8887" t="s">
        <v>18180</v>
      </c>
      <c r="E8887" t="s">
        <v>18475</v>
      </c>
      <c r="F8887" t="s">
        <v>31362</v>
      </c>
      <c r="G8887" t="s">
        <v>31369</v>
      </c>
      <c r="H8887" t="s">
        <v>15799</v>
      </c>
      <c r="I8887" t="s">
        <v>3815</v>
      </c>
      <c r="J8887" t="s">
        <v>36951</v>
      </c>
      <c r="K8887" t="s">
        <v>40665</v>
      </c>
      <c r="M8887" t="s">
        <v>43746</v>
      </c>
      <c r="N8887" t="s">
        <v>44905</v>
      </c>
      <c r="O8887" t="s">
        <v>44906</v>
      </c>
      <c r="P8887">
        <v>0</v>
      </c>
      <c r="Q8887">
        <v>0</v>
      </c>
      <c r="R8887" t="s">
        <v>44911</v>
      </c>
      <c r="S8887" t="s">
        <v>45139</v>
      </c>
      <c r="T8887" t="s">
        <v>46409</v>
      </c>
      <c r="U8887" t="s">
        <v>54081</v>
      </c>
      <c r="W8887" t="s">
        <v>43746</v>
      </c>
      <c r="X8887" t="s">
        <v>44913</v>
      </c>
    </row>
    <row r="8888" spans="1:24">
      <c r="A8888">
        <f>HYPERLINK("https://www.philgeps.gov.ph/GEPSNONPILOT/Tender/SplashBidNoticeAbstractUI.aspx?menuIndex=3&amp;refID=7072779&amp;Result=3","7072779")</f>
        <v>0</v>
      </c>
      <c r="B8888" t="s">
        <v>2573</v>
      </c>
      <c r="C8888" t="s">
        <v>11987</v>
      </c>
      <c r="D8888" t="s">
        <v>18144</v>
      </c>
      <c r="E8888" t="s">
        <v>25955</v>
      </c>
      <c r="F8888" t="s">
        <v>31362</v>
      </c>
      <c r="G8888" t="s">
        <v>31368</v>
      </c>
      <c r="H8888" t="s">
        <v>15799</v>
      </c>
      <c r="I8888" t="s">
        <v>31393</v>
      </c>
      <c r="J8888" t="s">
        <v>36952</v>
      </c>
      <c r="K8888" t="s">
        <v>40662</v>
      </c>
      <c r="M8888" t="s">
        <v>43747</v>
      </c>
      <c r="N8888" t="s">
        <v>44905</v>
      </c>
      <c r="O8888" t="s">
        <v>44906</v>
      </c>
      <c r="P8888">
        <v>0</v>
      </c>
      <c r="Q8888">
        <v>0</v>
      </c>
      <c r="R8888" t="s">
        <v>44911</v>
      </c>
      <c r="S8888" t="s">
        <v>45139</v>
      </c>
      <c r="T8888" t="s">
        <v>46443</v>
      </c>
      <c r="U8888" t="s">
        <v>54082</v>
      </c>
      <c r="W8888" t="s">
        <v>43747</v>
      </c>
      <c r="X8888" t="s">
        <v>44913</v>
      </c>
    </row>
    <row r="8889" spans="1:24">
      <c r="A8889">
        <f>HYPERLINK("https://www.philgeps.gov.ph/GEPSNONPILOT/Tender/SplashBidNoticeAbstractUI.aspx?menuIndex=3&amp;refID=7072645&amp;Result=3","7072645")</f>
        <v>0</v>
      </c>
      <c r="B8889" t="s">
        <v>246</v>
      </c>
      <c r="C8889" t="s">
        <v>11988</v>
      </c>
      <c r="D8889" t="s">
        <v>18104</v>
      </c>
      <c r="E8889" t="s">
        <v>25956</v>
      </c>
      <c r="F8889" t="s">
        <v>31362</v>
      </c>
      <c r="G8889" t="s">
        <v>31369</v>
      </c>
      <c r="H8889" t="s">
        <v>31378</v>
      </c>
      <c r="I8889" t="s">
        <v>31386</v>
      </c>
      <c r="J8889" t="s">
        <v>36953</v>
      </c>
      <c r="K8889" t="s">
        <v>40682</v>
      </c>
      <c r="M8889" t="s">
        <v>41185</v>
      </c>
      <c r="N8889" t="s">
        <v>44905</v>
      </c>
      <c r="O8889" t="s">
        <v>44906</v>
      </c>
      <c r="P8889">
        <v>0</v>
      </c>
      <c r="Q8889">
        <v>0</v>
      </c>
      <c r="R8889" t="s">
        <v>44911</v>
      </c>
      <c r="S8889" t="s">
        <v>45139</v>
      </c>
      <c r="T8889" t="s">
        <v>46411</v>
      </c>
      <c r="U8889" t="s">
        <v>54083</v>
      </c>
      <c r="W8889" t="s">
        <v>41185</v>
      </c>
      <c r="X8889" t="s">
        <v>44913</v>
      </c>
    </row>
    <row r="8890" spans="1:24">
      <c r="A8890">
        <f>HYPERLINK("https://www.philgeps.gov.ph/GEPSNONPILOT/Tender/SplashBidNoticeAbstractUI.aspx?menuIndex=3&amp;refID=7072768&amp;Result=3","7072768")</f>
        <v>0</v>
      </c>
      <c r="B8890" t="s">
        <v>110</v>
      </c>
      <c r="C8890" t="s">
        <v>11989</v>
      </c>
      <c r="D8890" t="s">
        <v>18119</v>
      </c>
      <c r="E8890" t="s">
        <v>25957</v>
      </c>
      <c r="F8890" t="s">
        <v>31362</v>
      </c>
      <c r="G8890" t="s">
        <v>31369</v>
      </c>
      <c r="H8890" t="s">
        <v>31378</v>
      </c>
      <c r="I8890" t="s">
        <v>31386</v>
      </c>
      <c r="J8890" t="s">
        <v>36954</v>
      </c>
      <c r="K8890" t="s">
        <v>40682</v>
      </c>
      <c r="M8890" t="s">
        <v>43734</v>
      </c>
      <c r="N8890" t="s">
        <v>44905</v>
      </c>
      <c r="O8890" t="s">
        <v>44906</v>
      </c>
      <c r="P8890">
        <v>0</v>
      </c>
      <c r="Q8890">
        <v>0</v>
      </c>
      <c r="R8890" t="s">
        <v>44911</v>
      </c>
      <c r="S8890" t="s">
        <v>45139</v>
      </c>
      <c r="T8890" t="s">
        <v>46433</v>
      </c>
      <c r="U8890" t="s">
        <v>54084</v>
      </c>
      <c r="W8890" t="s">
        <v>43734</v>
      </c>
      <c r="X8890" t="s">
        <v>44913</v>
      </c>
    </row>
    <row r="8891" spans="1:24">
      <c r="A8891">
        <f>HYPERLINK("https://www.philgeps.gov.ph/GEPSNONPILOT/Tender/SplashBidNoticeAbstractUI.aspx?menuIndex=3&amp;refID=7072565&amp;Result=3","7072565")</f>
        <v>0</v>
      </c>
      <c r="B8891" t="s">
        <v>2574</v>
      </c>
      <c r="C8891" t="s">
        <v>11990</v>
      </c>
      <c r="D8891" t="s">
        <v>18138</v>
      </c>
      <c r="E8891" t="s">
        <v>18203</v>
      </c>
      <c r="F8891" t="s">
        <v>31362</v>
      </c>
      <c r="G8891" t="s">
        <v>31369</v>
      </c>
      <c r="H8891" t="s">
        <v>15799</v>
      </c>
      <c r="I8891" t="s">
        <v>3815</v>
      </c>
      <c r="J8891" t="s">
        <v>36955</v>
      </c>
      <c r="K8891" t="s">
        <v>40662</v>
      </c>
      <c r="M8891" t="s">
        <v>43748</v>
      </c>
      <c r="N8891" t="s">
        <v>44905</v>
      </c>
      <c r="O8891" t="s">
        <v>44906</v>
      </c>
      <c r="P8891">
        <v>0</v>
      </c>
      <c r="Q8891">
        <v>1</v>
      </c>
      <c r="R8891" t="s">
        <v>44911</v>
      </c>
      <c r="S8891" t="s">
        <v>45139</v>
      </c>
      <c r="T8891" t="s">
        <v>46412</v>
      </c>
      <c r="U8891" t="s">
        <v>54085</v>
      </c>
      <c r="V8891" t="s">
        <v>59960</v>
      </c>
      <c r="W8891" t="s">
        <v>43748</v>
      </c>
      <c r="X8891" t="s">
        <v>44913</v>
      </c>
    </row>
    <row r="8892" spans="1:24">
      <c r="A8892">
        <f>HYPERLINK("https://www.philgeps.gov.ph/GEPSNONPILOT/Tender/SplashBidNoticeAbstractUI.aspx?menuIndex=3&amp;refID=7072723&amp;Result=3","7072723")</f>
        <v>0</v>
      </c>
      <c r="B8892" t="s">
        <v>2570</v>
      </c>
      <c r="C8892" t="s">
        <v>11991</v>
      </c>
      <c r="D8892" t="s">
        <v>18100</v>
      </c>
      <c r="E8892" t="s">
        <v>21698</v>
      </c>
      <c r="F8892" t="s">
        <v>31362</v>
      </c>
      <c r="G8892" t="s">
        <v>31369</v>
      </c>
      <c r="H8892" t="s">
        <v>15799</v>
      </c>
      <c r="I8892" t="s">
        <v>6373</v>
      </c>
      <c r="J8892" t="s">
        <v>32144</v>
      </c>
      <c r="K8892" t="s">
        <v>40693</v>
      </c>
      <c r="M8892" t="s">
        <v>43743</v>
      </c>
      <c r="N8892" t="s">
        <v>44905</v>
      </c>
      <c r="O8892" t="s">
        <v>44906</v>
      </c>
      <c r="P8892">
        <v>0</v>
      </c>
      <c r="Q8892">
        <v>3</v>
      </c>
      <c r="R8892" t="s">
        <v>44911</v>
      </c>
      <c r="S8892" t="s">
        <v>45139</v>
      </c>
      <c r="T8892" t="s">
        <v>46793</v>
      </c>
      <c r="U8892" t="s">
        <v>54086</v>
      </c>
      <c r="W8892" t="s">
        <v>43743</v>
      </c>
      <c r="X8892" t="s">
        <v>44913</v>
      </c>
    </row>
    <row r="8893" spans="1:24">
      <c r="A8893">
        <f>HYPERLINK("https://www.philgeps.gov.ph/GEPSNONPILOT/Tender/SplashBidNoticeAbstractUI.aspx?menuIndex=3&amp;refID=7072765&amp;Result=3","7072765")</f>
        <v>0</v>
      </c>
      <c r="B8893" t="s">
        <v>110</v>
      </c>
      <c r="C8893" t="s">
        <v>11992</v>
      </c>
      <c r="D8893" t="s">
        <v>18119</v>
      </c>
      <c r="E8893" t="s">
        <v>25958</v>
      </c>
      <c r="F8893" t="s">
        <v>31362</v>
      </c>
      <c r="G8893" t="s">
        <v>31369</v>
      </c>
      <c r="H8893" t="s">
        <v>31378</v>
      </c>
      <c r="I8893" t="s">
        <v>31386</v>
      </c>
      <c r="J8893" t="s">
        <v>36956</v>
      </c>
      <c r="K8893" t="s">
        <v>40683</v>
      </c>
      <c r="M8893" t="s">
        <v>43734</v>
      </c>
      <c r="N8893" t="s">
        <v>44905</v>
      </c>
      <c r="O8893" t="s">
        <v>44906</v>
      </c>
      <c r="P8893">
        <v>0</v>
      </c>
      <c r="Q8893">
        <v>0</v>
      </c>
      <c r="R8893" t="s">
        <v>44911</v>
      </c>
      <c r="S8893" t="s">
        <v>45139</v>
      </c>
      <c r="T8893" t="s">
        <v>46433</v>
      </c>
      <c r="U8893" t="s">
        <v>54087</v>
      </c>
      <c r="W8893" t="s">
        <v>43734</v>
      </c>
      <c r="X8893" t="s">
        <v>44913</v>
      </c>
    </row>
    <row r="8894" spans="1:24">
      <c r="A8894">
        <f>HYPERLINK("https://www.philgeps.gov.ph/GEPSNONPILOT/Tender/SplashBidNoticeAbstractUI.aspx?menuIndex=3&amp;refID=7072764&amp;Result=3","7072764")</f>
        <v>0</v>
      </c>
      <c r="B8894" t="s">
        <v>428</v>
      </c>
      <c r="C8894" t="s">
        <v>11993</v>
      </c>
      <c r="D8894" t="s">
        <v>18148</v>
      </c>
      <c r="E8894" t="s">
        <v>25959</v>
      </c>
      <c r="F8894" t="s">
        <v>31362</v>
      </c>
      <c r="G8894" t="s">
        <v>31369</v>
      </c>
      <c r="H8894" t="s">
        <v>15799</v>
      </c>
      <c r="I8894" t="s">
        <v>31400</v>
      </c>
      <c r="J8894" t="s">
        <v>31536</v>
      </c>
      <c r="K8894" t="s">
        <v>40666</v>
      </c>
      <c r="M8894" t="s">
        <v>41379</v>
      </c>
      <c r="N8894" t="s">
        <v>44905</v>
      </c>
      <c r="O8894" t="s">
        <v>44906</v>
      </c>
      <c r="P8894">
        <v>0</v>
      </c>
      <c r="Q8894">
        <v>4</v>
      </c>
      <c r="R8894" t="s">
        <v>44911</v>
      </c>
      <c r="S8894" t="s">
        <v>45139</v>
      </c>
      <c r="T8894" t="s">
        <v>46409</v>
      </c>
      <c r="U8894" t="s">
        <v>54088</v>
      </c>
      <c r="W8894" t="s">
        <v>41379</v>
      </c>
      <c r="X8894" t="s">
        <v>44913</v>
      </c>
    </row>
    <row r="8895" spans="1:24">
      <c r="A8895">
        <f>HYPERLINK("https://www.philgeps.gov.ph/GEPSNONPILOT/Tender/SplashBidNoticeAbstractUI.aspx?menuIndex=3&amp;refID=7072694&amp;Result=3","7072694")</f>
        <v>0</v>
      </c>
      <c r="B8895" t="s">
        <v>2575</v>
      </c>
      <c r="C8895" t="s">
        <v>11994</v>
      </c>
      <c r="D8895" t="s">
        <v>18108</v>
      </c>
      <c r="E8895" t="s">
        <v>18476</v>
      </c>
      <c r="F8895" t="s">
        <v>31362</v>
      </c>
      <c r="G8895" t="s">
        <v>31369</v>
      </c>
      <c r="H8895" t="s">
        <v>15799</v>
      </c>
      <c r="I8895" t="s">
        <v>31387</v>
      </c>
      <c r="J8895" t="s">
        <v>31578</v>
      </c>
      <c r="K8895" t="s">
        <v>40672</v>
      </c>
      <c r="M8895" t="s">
        <v>43749</v>
      </c>
      <c r="N8895" t="s">
        <v>44905</v>
      </c>
      <c r="O8895" t="s">
        <v>44906</v>
      </c>
      <c r="P8895">
        <v>0</v>
      </c>
      <c r="Q8895">
        <v>0</v>
      </c>
      <c r="R8895" t="s">
        <v>44911</v>
      </c>
      <c r="S8895" t="s">
        <v>45139</v>
      </c>
      <c r="T8895" t="s">
        <v>46434</v>
      </c>
      <c r="U8895" t="s">
        <v>54089</v>
      </c>
      <c r="V8895" t="s">
        <v>59756</v>
      </c>
      <c r="W8895" t="s">
        <v>43749</v>
      </c>
      <c r="X8895" t="s">
        <v>44913</v>
      </c>
    </row>
    <row r="8896" spans="1:24">
      <c r="A8896">
        <f>HYPERLINK("https://www.philgeps.gov.ph/GEPSNONPILOT/Tender/SplashBidNoticeAbstractUI.aspx?menuIndex=3&amp;refID=7072689&amp;Result=3","7072689")</f>
        <v>0</v>
      </c>
      <c r="B8896" t="s">
        <v>2576</v>
      </c>
      <c r="C8896" t="s">
        <v>11995</v>
      </c>
      <c r="D8896" t="s">
        <v>18108</v>
      </c>
      <c r="E8896" t="s">
        <v>18548</v>
      </c>
      <c r="F8896" t="s">
        <v>31362</v>
      </c>
      <c r="G8896" t="s">
        <v>31369</v>
      </c>
      <c r="H8896" t="s">
        <v>15799</v>
      </c>
      <c r="I8896" t="s">
        <v>31409</v>
      </c>
      <c r="J8896" t="s">
        <v>31578</v>
      </c>
      <c r="K8896" t="s">
        <v>40672</v>
      </c>
      <c r="M8896" t="s">
        <v>43750</v>
      </c>
      <c r="N8896" t="s">
        <v>44905</v>
      </c>
      <c r="O8896" t="s">
        <v>44906</v>
      </c>
      <c r="P8896">
        <v>0</v>
      </c>
      <c r="Q8896">
        <v>3</v>
      </c>
      <c r="R8896" t="s">
        <v>44911</v>
      </c>
      <c r="S8896" t="s">
        <v>45139</v>
      </c>
      <c r="T8896" t="s">
        <v>46409</v>
      </c>
      <c r="U8896" t="s">
        <v>54090</v>
      </c>
      <c r="V8896" t="s">
        <v>59756</v>
      </c>
      <c r="W8896" t="s">
        <v>43750</v>
      </c>
      <c r="X8896" t="s">
        <v>44913</v>
      </c>
    </row>
    <row r="8897" spans="1:24">
      <c r="A8897">
        <f>HYPERLINK("https://www.philgeps.gov.ph/GEPSNONPILOT/Tender/SplashBidNoticeAbstractUI.aspx?menuIndex=3&amp;refID=7072781&amp;Result=3","7072781")</f>
        <v>0</v>
      </c>
      <c r="B8897" t="s">
        <v>2577</v>
      </c>
      <c r="C8897" t="s">
        <v>11996</v>
      </c>
      <c r="D8897" t="s">
        <v>18153</v>
      </c>
      <c r="E8897" t="s">
        <v>25960</v>
      </c>
      <c r="F8897" t="s">
        <v>31362</v>
      </c>
      <c r="G8897" t="s">
        <v>31369</v>
      </c>
      <c r="H8897" t="s">
        <v>15799</v>
      </c>
      <c r="I8897" t="s">
        <v>31455</v>
      </c>
      <c r="J8897" t="s">
        <v>36957</v>
      </c>
      <c r="K8897" t="s">
        <v>40665</v>
      </c>
      <c r="M8897" t="s">
        <v>43751</v>
      </c>
      <c r="N8897" t="s">
        <v>44905</v>
      </c>
      <c r="O8897" t="s">
        <v>44906</v>
      </c>
      <c r="P8897">
        <v>0</v>
      </c>
      <c r="Q8897">
        <v>1</v>
      </c>
      <c r="R8897" t="s">
        <v>44911</v>
      </c>
      <c r="S8897" t="s">
        <v>45139</v>
      </c>
      <c r="T8897" t="s">
        <v>46671</v>
      </c>
      <c r="U8897" t="s">
        <v>54091</v>
      </c>
      <c r="V8897" t="s">
        <v>59961</v>
      </c>
      <c r="W8897" t="s">
        <v>43751</v>
      </c>
      <c r="X8897" t="s">
        <v>44913</v>
      </c>
    </row>
    <row r="8898" spans="1:24">
      <c r="A8898">
        <f>HYPERLINK("https://www.philgeps.gov.ph/GEPSNONPILOT/Tender/SplashBidNoticeAbstractUI.aspx?menuIndex=3&amp;refID=7072832&amp;Result=3","7072832")</f>
        <v>0</v>
      </c>
      <c r="B8898" t="s">
        <v>110</v>
      </c>
      <c r="C8898" t="s">
        <v>11997</v>
      </c>
      <c r="D8898" t="s">
        <v>18119</v>
      </c>
      <c r="E8898" t="s">
        <v>25961</v>
      </c>
      <c r="F8898" t="s">
        <v>31362</v>
      </c>
      <c r="G8898" t="s">
        <v>31369</v>
      </c>
      <c r="H8898" t="s">
        <v>31378</v>
      </c>
      <c r="I8898" t="s">
        <v>31386</v>
      </c>
      <c r="J8898" t="s">
        <v>36958</v>
      </c>
      <c r="K8898" t="s">
        <v>40665</v>
      </c>
      <c r="M8898" t="s">
        <v>43734</v>
      </c>
      <c r="N8898" t="s">
        <v>44905</v>
      </c>
      <c r="O8898" t="s">
        <v>44906</v>
      </c>
      <c r="P8898">
        <v>0</v>
      </c>
      <c r="Q8898">
        <v>2</v>
      </c>
      <c r="R8898" t="s">
        <v>44911</v>
      </c>
      <c r="S8898" t="s">
        <v>45139</v>
      </c>
      <c r="T8898" t="s">
        <v>46433</v>
      </c>
      <c r="U8898" t="s">
        <v>54092</v>
      </c>
      <c r="W8898" t="s">
        <v>43734</v>
      </c>
      <c r="X8898" t="s">
        <v>44912</v>
      </c>
    </row>
    <row r="8899" spans="1:24">
      <c r="A8899">
        <f>HYPERLINK("https://www.philgeps.gov.ph/GEPSNONPILOT/Tender/SplashBidNoticeAbstractUI.aspx?menuIndex=3&amp;refID=7072828&amp;Result=3","7072828")</f>
        <v>0</v>
      </c>
      <c r="B8899" t="s">
        <v>110</v>
      </c>
      <c r="C8899" t="s">
        <v>11998</v>
      </c>
      <c r="D8899" t="s">
        <v>18119</v>
      </c>
      <c r="E8899" t="s">
        <v>25962</v>
      </c>
      <c r="F8899" t="s">
        <v>31362</v>
      </c>
      <c r="G8899" t="s">
        <v>31369</v>
      </c>
      <c r="H8899" t="s">
        <v>31378</v>
      </c>
      <c r="I8899" t="s">
        <v>31386</v>
      </c>
      <c r="J8899" t="s">
        <v>33653</v>
      </c>
      <c r="K8899" t="s">
        <v>40675</v>
      </c>
      <c r="M8899" t="s">
        <v>43734</v>
      </c>
      <c r="N8899" t="s">
        <v>44905</v>
      </c>
      <c r="O8899" t="s">
        <v>44906</v>
      </c>
      <c r="P8899">
        <v>0</v>
      </c>
      <c r="Q8899">
        <v>1</v>
      </c>
      <c r="R8899" t="s">
        <v>44911</v>
      </c>
      <c r="S8899" t="s">
        <v>45139</v>
      </c>
      <c r="T8899" t="s">
        <v>46433</v>
      </c>
      <c r="U8899" t="s">
        <v>54093</v>
      </c>
      <c r="W8899" t="s">
        <v>43734</v>
      </c>
      <c r="X8899" t="s">
        <v>44912</v>
      </c>
    </row>
    <row r="8900" spans="1:24">
      <c r="A8900">
        <f>HYPERLINK("https://www.philgeps.gov.ph/GEPSNONPILOT/Tender/SplashBidNoticeAbstractUI.aspx?menuIndex=3&amp;refID=7072504&amp;Result=3","7072504")</f>
        <v>0</v>
      </c>
      <c r="B8900" t="s">
        <v>396</v>
      </c>
      <c r="C8900" t="s">
        <v>11999</v>
      </c>
      <c r="D8900" t="s">
        <v>18155</v>
      </c>
      <c r="E8900" t="s">
        <v>25963</v>
      </c>
      <c r="F8900" t="s">
        <v>31362</v>
      </c>
      <c r="G8900" t="s">
        <v>31369</v>
      </c>
      <c r="H8900" t="s">
        <v>15799</v>
      </c>
      <c r="I8900" t="s">
        <v>31389</v>
      </c>
      <c r="J8900" t="s">
        <v>31608</v>
      </c>
      <c r="K8900" t="s">
        <v>40666</v>
      </c>
      <c r="M8900" t="s">
        <v>41344</v>
      </c>
      <c r="N8900" t="s">
        <v>44905</v>
      </c>
      <c r="O8900" t="s">
        <v>44906</v>
      </c>
      <c r="P8900">
        <v>0</v>
      </c>
      <c r="Q8900">
        <v>12</v>
      </c>
      <c r="R8900" t="s">
        <v>44911</v>
      </c>
      <c r="S8900" t="s">
        <v>45139</v>
      </c>
      <c r="T8900" t="s">
        <v>46432</v>
      </c>
      <c r="U8900" t="s">
        <v>54043</v>
      </c>
      <c r="W8900" t="s">
        <v>41344</v>
      </c>
      <c r="X8900" t="s">
        <v>44913</v>
      </c>
    </row>
    <row r="8901" spans="1:24">
      <c r="A8901">
        <f>HYPERLINK("https://www.philgeps.gov.ph/GEPSNONPILOT/Tender/SplashBidNoticeAbstractUI.aspx?menuIndex=3&amp;refID=7072766&amp;Result=3","7072766")</f>
        <v>0</v>
      </c>
      <c r="B8901" t="s">
        <v>482</v>
      </c>
      <c r="C8901" t="s">
        <v>12000</v>
      </c>
      <c r="D8901" t="s">
        <v>18108</v>
      </c>
      <c r="E8901" t="s">
        <v>23182</v>
      </c>
      <c r="F8901" t="s">
        <v>31362</v>
      </c>
      <c r="G8901" t="s">
        <v>31369</v>
      </c>
      <c r="H8901" t="s">
        <v>15799</v>
      </c>
      <c r="I8901" t="s">
        <v>7090</v>
      </c>
      <c r="J8901" t="s">
        <v>36959</v>
      </c>
      <c r="K8901" t="s">
        <v>40675</v>
      </c>
      <c r="M8901" t="s">
        <v>41436</v>
      </c>
      <c r="N8901" t="s">
        <v>44905</v>
      </c>
      <c r="O8901" t="s">
        <v>44906</v>
      </c>
      <c r="P8901">
        <v>0</v>
      </c>
      <c r="Q8901">
        <v>14</v>
      </c>
      <c r="R8901" t="s">
        <v>44911</v>
      </c>
      <c r="S8901" t="s">
        <v>45139</v>
      </c>
      <c r="T8901" t="s">
        <v>46511</v>
      </c>
      <c r="U8901" t="s">
        <v>54094</v>
      </c>
      <c r="W8901" t="s">
        <v>41436</v>
      </c>
      <c r="X8901" t="s">
        <v>44913</v>
      </c>
    </row>
    <row r="8902" spans="1:24">
      <c r="A8902">
        <f>HYPERLINK("https://www.philgeps.gov.ph/GEPSNONPILOT/Tender/SplashBidNoticeAbstractUI.aspx?menuIndex=3&amp;refID=7072825&amp;Result=3","7072825")</f>
        <v>0</v>
      </c>
      <c r="B8902" t="s">
        <v>1628</v>
      </c>
      <c r="C8902" t="s">
        <v>12001</v>
      </c>
      <c r="D8902" t="s">
        <v>18109</v>
      </c>
      <c r="E8902" t="s">
        <v>25964</v>
      </c>
      <c r="F8902" t="s">
        <v>31362</v>
      </c>
      <c r="G8902" t="s">
        <v>31368</v>
      </c>
      <c r="H8902" t="s">
        <v>15799</v>
      </c>
      <c r="I8902" t="s">
        <v>31388</v>
      </c>
      <c r="J8902" t="s">
        <v>36960</v>
      </c>
      <c r="K8902" t="s">
        <v>40677</v>
      </c>
      <c r="M8902" t="s">
        <v>43485</v>
      </c>
      <c r="N8902" t="s">
        <v>44905</v>
      </c>
      <c r="O8902" t="s">
        <v>44906</v>
      </c>
      <c r="P8902">
        <v>0</v>
      </c>
      <c r="Q8902">
        <v>0</v>
      </c>
      <c r="R8902" t="s">
        <v>44911</v>
      </c>
      <c r="S8902" t="s">
        <v>45139</v>
      </c>
      <c r="T8902" t="s">
        <v>46409</v>
      </c>
      <c r="U8902" t="s">
        <v>54095</v>
      </c>
      <c r="W8902" t="s">
        <v>43485</v>
      </c>
      <c r="X8902" t="s">
        <v>44912</v>
      </c>
    </row>
    <row r="8903" spans="1:24">
      <c r="A8903">
        <f>HYPERLINK("https://www.philgeps.gov.ph/GEPSNONPILOT/Tender/SplashBidNoticeAbstractUI.aspx?menuIndex=3&amp;refID=7072824&amp;Result=3","7072824")</f>
        <v>0</v>
      </c>
      <c r="B8903" t="s">
        <v>2578</v>
      </c>
      <c r="C8903" t="s">
        <v>12002</v>
      </c>
      <c r="D8903" t="s">
        <v>18143</v>
      </c>
      <c r="E8903" t="s">
        <v>25965</v>
      </c>
      <c r="F8903" t="s">
        <v>31362</v>
      </c>
      <c r="G8903" t="s">
        <v>31369</v>
      </c>
      <c r="H8903" t="s">
        <v>31378</v>
      </c>
      <c r="I8903" t="s">
        <v>31386</v>
      </c>
      <c r="J8903" t="s">
        <v>36961</v>
      </c>
      <c r="K8903" t="s">
        <v>40662</v>
      </c>
      <c r="M8903" t="s">
        <v>43752</v>
      </c>
      <c r="N8903" t="s">
        <v>44905</v>
      </c>
      <c r="O8903" t="s">
        <v>44906</v>
      </c>
      <c r="P8903">
        <v>0</v>
      </c>
      <c r="Q8903">
        <v>0</v>
      </c>
      <c r="R8903" t="s">
        <v>44911</v>
      </c>
      <c r="S8903" t="s">
        <v>45139</v>
      </c>
      <c r="T8903" t="s">
        <v>46397</v>
      </c>
      <c r="U8903" t="s">
        <v>54096</v>
      </c>
      <c r="W8903" t="s">
        <v>43752</v>
      </c>
      <c r="X8903" t="s">
        <v>44912</v>
      </c>
    </row>
    <row r="8904" spans="1:24">
      <c r="A8904">
        <f>HYPERLINK("https://www.philgeps.gov.ph/GEPSNONPILOT/Tender/SplashBidNoticeAbstractUI.aspx?menuIndex=3&amp;refID=7072680&amp;Result=3","7072680")</f>
        <v>0</v>
      </c>
      <c r="B8904" t="s">
        <v>2579</v>
      </c>
      <c r="C8904" t="s">
        <v>12003</v>
      </c>
      <c r="D8904" t="s">
        <v>18127</v>
      </c>
      <c r="E8904" t="s">
        <v>25966</v>
      </c>
      <c r="F8904" t="s">
        <v>31362</v>
      </c>
      <c r="G8904" t="s">
        <v>31372</v>
      </c>
      <c r="H8904" t="s">
        <v>15799</v>
      </c>
      <c r="I8904" t="s">
        <v>31409</v>
      </c>
      <c r="J8904" t="s">
        <v>33735</v>
      </c>
      <c r="K8904" t="s">
        <v>40665</v>
      </c>
      <c r="M8904" t="s">
        <v>43753</v>
      </c>
      <c r="N8904" t="s">
        <v>44905</v>
      </c>
      <c r="O8904" t="s">
        <v>44906</v>
      </c>
      <c r="P8904">
        <v>0</v>
      </c>
      <c r="Q8904">
        <v>3</v>
      </c>
      <c r="R8904" t="s">
        <v>44911</v>
      </c>
      <c r="S8904" t="s">
        <v>45139</v>
      </c>
      <c r="T8904" t="s">
        <v>46432</v>
      </c>
      <c r="U8904" t="s">
        <v>48012</v>
      </c>
      <c r="W8904" t="s">
        <v>43753</v>
      </c>
      <c r="X8904" t="s">
        <v>44913</v>
      </c>
    </row>
    <row r="8905" spans="1:24">
      <c r="A8905">
        <f>HYPERLINK("https://www.philgeps.gov.ph/GEPSNONPILOT/Tender/SplashBidNoticeAbstractUI.aspx?menuIndex=3&amp;refID=7072820&amp;Result=3","7072820")</f>
        <v>0</v>
      </c>
      <c r="B8905" t="s">
        <v>482</v>
      </c>
      <c r="C8905" t="s">
        <v>12004</v>
      </c>
      <c r="D8905" t="s">
        <v>18108</v>
      </c>
      <c r="E8905" t="s">
        <v>25967</v>
      </c>
      <c r="F8905" t="s">
        <v>31362</v>
      </c>
      <c r="G8905" t="s">
        <v>31369</v>
      </c>
      <c r="H8905" t="s">
        <v>15799</v>
      </c>
      <c r="I8905" t="s">
        <v>7719</v>
      </c>
      <c r="J8905" t="s">
        <v>36962</v>
      </c>
      <c r="K8905" t="s">
        <v>40679</v>
      </c>
      <c r="M8905" t="s">
        <v>43754</v>
      </c>
      <c r="N8905" t="s">
        <v>44905</v>
      </c>
      <c r="O8905" t="s">
        <v>44906</v>
      </c>
      <c r="P8905">
        <v>0</v>
      </c>
      <c r="Q8905">
        <v>10</v>
      </c>
      <c r="R8905" t="s">
        <v>44911</v>
      </c>
      <c r="S8905" t="s">
        <v>45139</v>
      </c>
      <c r="T8905" t="s">
        <v>46401</v>
      </c>
      <c r="U8905" t="s">
        <v>54097</v>
      </c>
      <c r="W8905" t="s">
        <v>43754</v>
      </c>
      <c r="X8905" t="s">
        <v>44912</v>
      </c>
    </row>
    <row r="8906" spans="1:24">
      <c r="A8906">
        <f>HYPERLINK("https://www.philgeps.gov.ph/GEPSNONPILOT/Tender/SplashBidNoticeAbstractUI.aspx?menuIndex=3&amp;refID=7072513&amp;Result=3","7072513")</f>
        <v>0</v>
      </c>
      <c r="B8906" t="s">
        <v>396</v>
      </c>
      <c r="C8906" t="s">
        <v>12005</v>
      </c>
      <c r="D8906" t="s">
        <v>18155</v>
      </c>
      <c r="E8906" t="s">
        <v>25968</v>
      </c>
      <c r="F8906" t="s">
        <v>31362</v>
      </c>
      <c r="G8906" t="s">
        <v>31369</v>
      </c>
      <c r="H8906" t="s">
        <v>15799</v>
      </c>
      <c r="I8906" t="s">
        <v>31409</v>
      </c>
      <c r="J8906" t="s">
        <v>32333</v>
      </c>
      <c r="K8906" t="s">
        <v>40675</v>
      </c>
      <c r="M8906" t="s">
        <v>41344</v>
      </c>
      <c r="N8906" t="s">
        <v>44905</v>
      </c>
      <c r="O8906" t="s">
        <v>44906</v>
      </c>
      <c r="P8906">
        <v>0</v>
      </c>
      <c r="Q8906">
        <v>4</v>
      </c>
      <c r="R8906" t="s">
        <v>44911</v>
      </c>
      <c r="S8906" t="s">
        <v>45139</v>
      </c>
      <c r="T8906" t="s">
        <v>46432</v>
      </c>
      <c r="U8906" t="s">
        <v>54043</v>
      </c>
      <c r="W8906" t="s">
        <v>41344</v>
      </c>
      <c r="X8906" t="s">
        <v>44913</v>
      </c>
    </row>
    <row r="8907" spans="1:24">
      <c r="A8907">
        <f>HYPERLINK("https://www.philgeps.gov.ph/GEPSNONPILOT/Tender/SplashBidNoticeAbstractUI.aspx?menuIndex=3&amp;refID=7072870&amp;Result=3","7072870")</f>
        <v>0</v>
      </c>
      <c r="B8907" t="s">
        <v>2580</v>
      </c>
      <c r="C8907" t="s">
        <v>12006</v>
      </c>
      <c r="D8907" t="s">
        <v>18138</v>
      </c>
      <c r="E8907" t="s">
        <v>25969</v>
      </c>
      <c r="F8907" t="s">
        <v>31362</v>
      </c>
      <c r="G8907" t="s">
        <v>31369</v>
      </c>
      <c r="H8907" t="s">
        <v>15799</v>
      </c>
      <c r="I8907" t="s">
        <v>31392</v>
      </c>
      <c r="J8907" t="s">
        <v>31542</v>
      </c>
      <c r="K8907" t="s">
        <v>40665</v>
      </c>
      <c r="M8907" t="s">
        <v>43755</v>
      </c>
      <c r="N8907" t="s">
        <v>44905</v>
      </c>
      <c r="O8907" t="s">
        <v>44906</v>
      </c>
      <c r="P8907">
        <v>0</v>
      </c>
      <c r="Q8907">
        <v>7</v>
      </c>
      <c r="R8907" t="s">
        <v>44911</v>
      </c>
      <c r="S8907" t="s">
        <v>45139</v>
      </c>
      <c r="T8907" t="s">
        <v>46525</v>
      </c>
      <c r="U8907" t="s">
        <v>54098</v>
      </c>
      <c r="W8907" t="s">
        <v>43755</v>
      </c>
      <c r="X8907" t="s">
        <v>44912</v>
      </c>
    </row>
    <row r="8908" spans="1:24">
      <c r="A8908">
        <f>HYPERLINK("https://www.philgeps.gov.ph/GEPSNONPILOT/Tender/SplashBidNoticeAbstractUI.aspx?menuIndex=3&amp;refID=7072826&amp;Result=3","7072826")</f>
        <v>0</v>
      </c>
      <c r="B8908" t="s">
        <v>1628</v>
      </c>
      <c r="C8908" t="s">
        <v>12007</v>
      </c>
      <c r="D8908" t="s">
        <v>18109</v>
      </c>
      <c r="E8908" t="s">
        <v>25970</v>
      </c>
      <c r="F8908" t="s">
        <v>31362</v>
      </c>
      <c r="G8908" t="s">
        <v>31369</v>
      </c>
      <c r="H8908" t="s">
        <v>15799</v>
      </c>
      <c r="I8908" t="s">
        <v>3815</v>
      </c>
      <c r="J8908" t="s">
        <v>36963</v>
      </c>
      <c r="K8908" t="s">
        <v>40665</v>
      </c>
      <c r="M8908" t="s">
        <v>43485</v>
      </c>
      <c r="N8908" t="s">
        <v>44905</v>
      </c>
      <c r="O8908" t="s">
        <v>44906</v>
      </c>
      <c r="P8908">
        <v>0</v>
      </c>
      <c r="Q8908">
        <v>1</v>
      </c>
      <c r="R8908" t="s">
        <v>44911</v>
      </c>
      <c r="S8908" t="s">
        <v>45139</v>
      </c>
      <c r="T8908" t="s">
        <v>46447</v>
      </c>
      <c r="U8908" t="s">
        <v>54099</v>
      </c>
      <c r="W8908" t="s">
        <v>43485</v>
      </c>
      <c r="X8908" t="s">
        <v>44912</v>
      </c>
    </row>
    <row r="8909" spans="1:24">
      <c r="A8909">
        <f>HYPERLINK("https://www.philgeps.gov.ph/GEPSNONPILOT/Tender/SplashBidNoticeAbstractUI.aspx?menuIndex=3&amp;refID=7072866&amp;Result=3","7072866")</f>
        <v>0</v>
      </c>
      <c r="B8909" t="s">
        <v>262</v>
      </c>
      <c r="C8909" t="s">
        <v>12008</v>
      </c>
      <c r="D8909" t="s">
        <v>18127</v>
      </c>
      <c r="E8909" t="s">
        <v>25971</v>
      </c>
      <c r="F8909" t="s">
        <v>31362</v>
      </c>
      <c r="G8909" t="s">
        <v>31369</v>
      </c>
      <c r="H8909" t="s">
        <v>15799</v>
      </c>
      <c r="I8909" t="s">
        <v>31430</v>
      </c>
      <c r="J8909" t="s">
        <v>36964</v>
      </c>
      <c r="K8909" t="s">
        <v>40665</v>
      </c>
      <c r="M8909" t="s">
        <v>42051</v>
      </c>
      <c r="N8909" t="s">
        <v>44905</v>
      </c>
      <c r="O8909" t="s">
        <v>44906</v>
      </c>
      <c r="P8909">
        <v>0</v>
      </c>
      <c r="Q8909">
        <v>3</v>
      </c>
      <c r="R8909" t="s">
        <v>44911</v>
      </c>
      <c r="S8909" t="s">
        <v>45139</v>
      </c>
      <c r="T8909" t="s">
        <v>46511</v>
      </c>
      <c r="U8909" t="s">
        <v>54100</v>
      </c>
      <c r="W8909" t="s">
        <v>42051</v>
      </c>
      <c r="X8909" t="s">
        <v>44912</v>
      </c>
    </row>
    <row r="8910" spans="1:24">
      <c r="A8910">
        <f>HYPERLINK("https://www.philgeps.gov.ph/GEPSNONPILOT/Tender/SplashBidNoticeAbstractUI.aspx?menuIndex=3&amp;refID=7072864&amp;Result=3","7072864")</f>
        <v>0</v>
      </c>
      <c r="B8910" t="s">
        <v>2580</v>
      </c>
      <c r="C8910" t="s">
        <v>12009</v>
      </c>
      <c r="D8910" t="s">
        <v>18138</v>
      </c>
      <c r="E8910" t="s">
        <v>25972</v>
      </c>
      <c r="F8910" t="s">
        <v>31362</v>
      </c>
      <c r="G8910" t="s">
        <v>31369</v>
      </c>
      <c r="H8910" t="s">
        <v>15799</v>
      </c>
      <c r="I8910" t="s">
        <v>31380</v>
      </c>
      <c r="J8910" t="s">
        <v>36965</v>
      </c>
      <c r="K8910" t="s">
        <v>40665</v>
      </c>
      <c r="M8910" t="s">
        <v>43755</v>
      </c>
      <c r="N8910" t="s">
        <v>44905</v>
      </c>
      <c r="O8910" t="s">
        <v>44906</v>
      </c>
      <c r="P8910">
        <v>0</v>
      </c>
      <c r="Q8910">
        <v>4</v>
      </c>
      <c r="R8910" t="s">
        <v>44911</v>
      </c>
      <c r="S8910" t="s">
        <v>45139</v>
      </c>
      <c r="T8910" t="s">
        <v>46525</v>
      </c>
      <c r="U8910" t="s">
        <v>54101</v>
      </c>
      <c r="W8910" t="s">
        <v>43755</v>
      </c>
      <c r="X8910" t="s">
        <v>44912</v>
      </c>
    </row>
    <row r="8911" spans="1:24">
      <c r="A8911">
        <f>HYPERLINK("https://www.philgeps.gov.ph/GEPSNONPILOT/Tender/SplashBidNoticeAbstractUI.aspx?menuIndex=3&amp;refID=7072817&amp;Result=3","7072817")</f>
        <v>0</v>
      </c>
      <c r="B8911" t="s">
        <v>1719</v>
      </c>
      <c r="C8911" t="s">
        <v>12010</v>
      </c>
      <c r="D8911" t="s">
        <v>18108</v>
      </c>
      <c r="E8911" t="s">
        <v>25973</v>
      </c>
      <c r="F8911" t="s">
        <v>31362</v>
      </c>
      <c r="G8911" t="s">
        <v>31369</v>
      </c>
      <c r="H8911" t="s">
        <v>15799</v>
      </c>
      <c r="I8911" t="s">
        <v>31404</v>
      </c>
      <c r="J8911" t="s">
        <v>36966</v>
      </c>
      <c r="K8911" t="s">
        <v>40712</v>
      </c>
      <c r="M8911" t="s">
        <v>43756</v>
      </c>
      <c r="N8911" t="s">
        <v>44905</v>
      </c>
      <c r="O8911" t="s">
        <v>44906</v>
      </c>
      <c r="P8911">
        <v>0</v>
      </c>
      <c r="Q8911">
        <v>1</v>
      </c>
      <c r="R8911" t="s">
        <v>44911</v>
      </c>
      <c r="S8911" t="s">
        <v>45139</v>
      </c>
      <c r="T8911" t="s">
        <v>46401</v>
      </c>
      <c r="U8911" t="s">
        <v>54102</v>
      </c>
      <c r="V8911" t="s">
        <v>59962</v>
      </c>
      <c r="W8911" t="s">
        <v>43756</v>
      </c>
      <c r="X8911" t="s">
        <v>44912</v>
      </c>
    </row>
    <row r="8912" spans="1:24">
      <c r="A8912">
        <f>HYPERLINK("https://www.philgeps.gov.ph/GEPSNONPILOT/Tender/SplashBidNoticeAbstractUI.aspx?menuIndex=3&amp;refID=7072816&amp;Result=3","7072816")</f>
        <v>0</v>
      </c>
      <c r="B8912" t="s">
        <v>512</v>
      </c>
      <c r="C8912" t="s">
        <v>12011</v>
      </c>
      <c r="D8912" t="s">
        <v>18108</v>
      </c>
      <c r="E8912" t="s">
        <v>25974</v>
      </c>
      <c r="F8912" t="s">
        <v>31362</v>
      </c>
      <c r="G8912" t="s">
        <v>31369</v>
      </c>
      <c r="H8912" t="s">
        <v>31379</v>
      </c>
      <c r="I8912" t="s">
        <v>31484</v>
      </c>
      <c r="J8912" t="s">
        <v>34497</v>
      </c>
      <c r="K8912" t="s">
        <v>40686</v>
      </c>
      <c r="M8912" t="s">
        <v>43757</v>
      </c>
      <c r="N8912" t="s">
        <v>44905</v>
      </c>
      <c r="O8912" t="s">
        <v>44906</v>
      </c>
      <c r="P8912">
        <v>0</v>
      </c>
      <c r="Q8912">
        <v>5</v>
      </c>
      <c r="R8912" t="s">
        <v>44911</v>
      </c>
      <c r="S8912" t="s">
        <v>45139</v>
      </c>
      <c r="T8912" t="s">
        <v>46511</v>
      </c>
      <c r="U8912" t="s">
        <v>54103</v>
      </c>
      <c r="W8912" t="s">
        <v>60937</v>
      </c>
      <c r="X8912" t="s">
        <v>44912</v>
      </c>
    </row>
    <row r="8913" spans="1:24">
      <c r="A8913">
        <f>HYPERLINK("https://www.philgeps.gov.ph/GEPSNONPILOT/Tender/SplashBidNoticeAbstractUI.aspx?menuIndex=3&amp;refID=7072793&amp;Result=3","7072793")</f>
        <v>0</v>
      </c>
      <c r="B8913" t="s">
        <v>110</v>
      </c>
      <c r="C8913" t="s">
        <v>12012</v>
      </c>
      <c r="D8913" t="s">
        <v>18119</v>
      </c>
      <c r="E8913" t="s">
        <v>25975</v>
      </c>
      <c r="F8913" t="s">
        <v>31362</v>
      </c>
      <c r="G8913" t="s">
        <v>31369</v>
      </c>
      <c r="H8913" t="s">
        <v>31378</v>
      </c>
      <c r="I8913" t="s">
        <v>31386</v>
      </c>
      <c r="J8913" t="s">
        <v>31615</v>
      </c>
      <c r="K8913" t="s">
        <v>40675</v>
      </c>
      <c r="M8913" t="s">
        <v>43734</v>
      </c>
      <c r="N8913" t="s">
        <v>44905</v>
      </c>
      <c r="O8913" t="s">
        <v>44906</v>
      </c>
      <c r="P8913">
        <v>0</v>
      </c>
      <c r="Q8913">
        <v>0</v>
      </c>
      <c r="R8913" t="s">
        <v>44911</v>
      </c>
      <c r="S8913" t="s">
        <v>45139</v>
      </c>
      <c r="T8913" t="s">
        <v>46433</v>
      </c>
      <c r="U8913" t="s">
        <v>54104</v>
      </c>
      <c r="W8913" t="s">
        <v>43734</v>
      </c>
      <c r="X8913" t="s">
        <v>44913</v>
      </c>
    </row>
    <row r="8914" spans="1:24">
      <c r="A8914">
        <f>HYPERLINK("https://www.philgeps.gov.ph/GEPSNONPILOT/Tender/SplashBidNoticeAbstractUI.aspx?menuIndex=3&amp;refID=7072830&amp;Result=3","7072830")</f>
        <v>0</v>
      </c>
      <c r="B8914" t="s">
        <v>110</v>
      </c>
      <c r="C8914" t="s">
        <v>12013</v>
      </c>
      <c r="D8914" t="s">
        <v>18119</v>
      </c>
      <c r="E8914" t="s">
        <v>25976</v>
      </c>
      <c r="F8914" t="s">
        <v>31362</v>
      </c>
      <c r="G8914" t="s">
        <v>31369</v>
      </c>
      <c r="H8914" t="s">
        <v>31378</v>
      </c>
      <c r="I8914" t="s">
        <v>31386</v>
      </c>
      <c r="J8914" t="s">
        <v>36967</v>
      </c>
      <c r="K8914" t="s">
        <v>40665</v>
      </c>
      <c r="M8914" t="s">
        <v>43734</v>
      </c>
      <c r="N8914" t="s">
        <v>44905</v>
      </c>
      <c r="O8914" t="s">
        <v>44906</v>
      </c>
      <c r="P8914">
        <v>0</v>
      </c>
      <c r="Q8914">
        <v>0</v>
      </c>
      <c r="R8914" t="s">
        <v>44911</v>
      </c>
      <c r="S8914" t="s">
        <v>45139</v>
      </c>
      <c r="T8914" t="s">
        <v>46433</v>
      </c>
      <c r="U8914" t="s">
        <v>54105</v>
      </c>
      <c r="W8914" t="s">
        <v>43734</v>
      </c>
      <c r="X8914" t="s">
        <v>44912</v>
      </c>
    </row>
    <row r="8915" spans="1:24">
      <c r="A8915">
        <f>HYPERLINK("https://www.philgeps.gov.ph/GEPSNONPILOT/Tender/SplashBidNoticeAbstractUI.aspx?menuIndex=3&amp;refID=7072784&amp;Result=3","7072784")</f>
        <v>0</v>
      </c>
      <c r="B8915" t="s">
        <v>2577</v>
      </c>
      <c r="C8915" t="s">
        <v>12014</v>
      </c>
      <c r="D8915" t="s">
        <v>18153</v>
      </c>
      <c r="E8915" t="s">
        <v>25977</v>
      </c>
      <c r="F8915" t="s">
        <v>31362</v>
      </c>
      <c r="G8915" t="s">
        <v>31369</v>
      </c>
      <c r="H8915" t="s">
        <v>15799</v>
      </c>
      <c r="I8915" t="s">
        <v>31409</v>
      </c>
      <c r="J8915" t="s">
        <v>31637</v>
      </c>
      <c r="K8915" t="s">
        <v>40665</v>
      </c>
      <c r="M8915" t="s">
        <v>43751</v>
      </c>
      <c r="N8915" t="s">
        <v>44905</v>
      </c>
      <c r="O8915" t="s">
        <v>44906</v>
      </c>
      <c r="P8915">
        <v>0</v>
      </c>
      <c r="Q8915">
        <v>4</v>
      </c>
      <c r="R8915" t="s">
        <v>44911</v>
      </c>
      <c r="S8915" t="s">
        <v>45139</v>
      </c>
      <c r="T8915" t="s">
        <v>46671</v>
      </c>
      <c r="U8915" t="s">
        <v>54106</v>
      </c>
      <c r="V8915" t="s">
        <v>59961</v>
      </c>
      <c r="W8915" t="s">
        <v>43751</v>
      </c>
      <c r="X8915" t="s">
        <v>44913</v>
      </c>
    </row>
    <row r="8916" spans="1:24">
      <c r="A8916">
        <f>HYPERLINK("https://www.philgeps.gov.ph/GEPSNONPILOT/Tender/SplashBidNoticeAbstractUI.aspx?menuIndex=3&amp;refID=7072862&amp;Result=3","7072862")</f>
        <v>0</v>
      </c>
      <c r="B8916" t="s">
        <v>2581</v>
      </c>
      <c r="C8916" t="s">
        <v>12015</v>
      </c>
      <c r="D8916" t="s">
        <v>18106</v>
      </c>
      <c r="E8916" t="s">
        <v>25978</v>
      </c>
      <c r="F8916" t="s">
        <v>31362</v>
      </c>
      <c r="G8916" t="s">
        <v>31369</v>
      </c>
      <c r="H8916" t="s">
        <v>15799</v>
      </c>
      <c r="I8916" t="s">
        <v>31398</v>
      </c>
      <c r="J8916" t="s">
        <v>32026</v>
      </c>
      <c r="K8916" t="s">
        <v>40661</v>
      </c>
      <c r="M8916" t="s">
        <v>43758</v>
      </c>
      <c r="N8916" t="s">
        <v>44905</v>
      </c>
      <c r="O8916" t="s">
        <v>44906</v>
      </c>
      <c r="P8916">
        <v>0</v>
      </c>
      <c r="Q8916">
        <v>0</v>
      </c>
      <c r="R8916" t="s">
        <v>44911</v>
      </c>
      <c r="S8916" t="s">
        <v>45139</v>
      </c>
      <c r="T8916" t="s">
        <v>46409</v>
      </c>
      <c r="U8916" t="s">
        <v>54107</v>
      </c>
      <c r="W8916" t="s">
        <v>43758</v>
      </c>
      <c r="X8916" t="s">
        <v>44912</v>
      </c>
    </row>
    <row r="8917" spans="1:24">
      <c r="A8917">
        <f>HYPERLINK("https://www.philgeps.gov.ph/GEPSNONPILOT/Tender/SplashBidNoticeAbstractUI.aspx?menuIndex=3&amp;refID=7072833&amp;Result=3","7072833")</f>
        <v>0</v>
      </c>
      <c r="B8917" t="s">
        <v>1628</v>
      </c>
      <c r="C8917" t="s">
        <v>12016</v>
      </c>
      <c r="D8917" t="s">
        <v>18109</v>
      </c>
      <c r="E8917" t="s">
        <v>25979</v>
      </c>
      <c r="F8917" t="s">
        <v>31362</v>
      </c>
      <c r="G8917" t="s">
        <v>31369</v>
      </c>
      <c r="H8917" t="s">
        <v>15799</v>
      </c>
      <c r="I8917" t="s">
        <v>3815</v>
      </c>
      <c r="J8917" t="s">
        <v>36968</v>
      </c>
      <c r="K8917" t="s">
        <v>40665</v>
      </c>
      <c r="M8917" t="s">
        <v>43485</v>
      </c>
      <c r="N8917" t="s">
        <v>44905</v>
      </c>
      <c r="O8917" t="s">
        <v>44906</v>
      </c>
      <c r="P8917">
        <v>0</v>
      </c>
      <c r="Q8917">
        <v>1</v>
      </c>
      <c r="R8917" t="s">
        <v>44911</v>
      </c>
      <c r="S8917" t="s">
        <v>45139</v>
      </c>
      <c r="T8917" t="s">
        <v>46419</v>
      </c>
      <c r="U8917" t="s">
        <v>54108</v>
      </c>
      <c r="W8917" t="s">
        <v>43485</v>
      </c>
      <c r="X8917" t="s">
        <v>44912</v>
      </c>
    </row>
    <row r="8918" spans="1:24">
      <c r="A8918">
        <f>HYPERLINK("https://www.philgeps.gov.ph/GEPSNONPILOT/Tender/SplashBidNoticeAbstractUI.aspx?menuIndex=3&amp;refID=7072845&amp;Result=3","7072845")</f>
        <v>0</v>
      </c>
      <c r="B8918" t="s">
        <v>2582</v>
      </c>
      <c r="C8918" t="s">
        <v>12017</v>
      </c>
      <c r="D8918" t="s">
        <v>18177</v>
      </c>
      <c r="E8918" t="s">
        <v>25980</v>
      </c>
      <c r="F8918" t="s">
        <v>31362</v>
      </c>
      <c r="G8918" t="s">
        <v>31369</v>
      </c>
      <c r="H8918" t="s">
        <v>31378</v>
      </c>
      <c r="I8918" t="s">
        <v>31386</v>
      </c>
      <c r="J8918" t="s">
        <v>36969</v>
      </c>
      <c r="K8918" t="s">
        <v>40686</v>
      </c>
      <c r="M8918" t="s">
        <v>43759</v>
      </c>
      <c r="N8918" t="s">
        <v>44905</v>
      </c>
      <c r="O8918" t="s">
        <v>44906</v>
      </c>
      <c r="P8918">
        <v>0</v>
      </c>
      <c r="Q8918">
        <v>2</v>
      </c>
      <c r="R8918" t="s">
        <v>44911</v>
      </c>
      <c r="S8918" t="s">
        <v>45139</v>
      </c>
      <c r="T8918" t="s">
        <v>46433</v>
      </c>
      <c r="U8918" t="s">
        <v>54109</v>
      </c>
      <c r="W8918" t="s">
        <v>43759</v>
      </c>
      <c r="X8918" t="s">
        <v>44912</v>
      </c>
    </row>
    <row r="8919" spans="1:24">
      <c r="A8919">
        <f>HYPERLINK("https://www.philgeps.gov.ph/GEPSNONPILOT/Tender/SplashBidNoticeAbstractUI.aspx?menuIndex=3&amp;refID=7072886&amp;Result=3","7072886")</f>
        <v>0</v>
      </c>
      <c r="B8919" t="s">
        <v>2583</v>
      </c>
      <c r="C8919" t="s">
        <v>9916</v>
      </c>
      <c r="D8919" t="s">
        <v>18177</v>
      </c>
      <c r="E8919" t="s">
        <v>25981</v>
      </c>
      <c r="F8919" t="s">
        <v>31362</v>
      </c>
      <c r="G8919" t="s">
        <v>31369</v>
      </c>
      <c r="H8919" t="s">
        <v>31378</v>
      </c>
      <c r="I8919" t="s">
        <v>31386</v>
      </c>
      <c r="J8919" t="s">
        <v>36970</v>
      </c>
      <c r="K8919" t="s">
        <v>40679</v>
      </c>
      <c r="M8919" t="s">
        <v>43760</v>
      </c>
      <c r="N8919" t="s">
        <v>44905</v>
      </c>
      <c r="O8919" t="s">
        <v>44906</v>
      </c>
      <c r="P8919">
        <v>0</v>
      </c>
      <c r="Q8919">
        <v>0</v>
      </c>
      <c r="R8919" t="s">
        <v>44911</v>
      </c>
      <c r="S8919" t="s">
        <v>45139</v>
      </c>
      <c r="T8919" t="s">
        <v>46433</v>
      </c>
      <c r="U8919" t="s">
        <v>54110</v>
      </c>
      <c r="W8919" t="s">
        <v>43760</v>
      </c>
      <c r="X8919" t="s">
        <v>44912</v>
      </c>
    </row>
    <row r="8920" spans="1:24">
      <c r="A8920">
        <f>HYPERLINK("https://www.philgeps.gov.ph/GEPSNONPILOT/Tender/SplashBidNoticeAbstractUI.aspx?menuIndex=3&amp;refID=7072940&amp;Result=3","7072940")</f>
        <v>0</v>
      </c>
      <c r="B8920" t="s">
        <v>1410</v>
      </c>
      <c r="C8920" t="s">
        <v>12018</v>
      </c>
      <c r="D8920" t="s">
        <v>18108</v>
      </c>
      <c r="E8920" t="s">
        <v>25982</v>
      </c>
      <c r="F8920" t="s">
        <v>31362</v>
      </c>
      <c r="G8920" t="s">
        <v>31369</v>
      </c>
      <c r="H8920" t="s">
        <v>31378</v>
      </c>
      <c r="I8920" t="s">
        <v>31426</v>
      </c>
      <c r="J8920" t="s">
        <v>36971</v>
      </c>
      <c r="K8920" t="s">
        <v>40679</v>
      </c>
      <c r="M8920" t="s">
        <v>43761</v>
      </c>
      <c r="N8920" t="s">
        <v>44905</v>
      </c>
      <c r="O8920" t="s">
        <v>44906</v>
      </c>
      <c r="P8920">
        <v>0</v>
      </c>
      <c r="Q8920">
        <v>11</v>
      </c>
      <c r="R8920" t="s">
        <v>44911</v>
      </c>
      <c r="S8920" t="s">
        <v>45139</v>
      </c>
      <c r="T8920" t="s">
        <v>46626</v>
      </c>
      <c r="U8920" t="s">
        <v>54111</v>
      </c>
      <c r="W8920" t="s">
        <v>43761</v>
      </c>
      <c r="X8920" t="s">
        <v>44912</v>
      </c>
    </row>
    <row r="8921" spans="1:24">
      <c r="A8921">
        <f>HYPERLINK("https://www.philgeps.gov.ph/GEPSNONPILOT/Tender/SplashBidNoticeAbstractUI.aspx?menuIndex=3&amp;refID=7072954&amp;Result=3","7072954")</f>
        <v>0</v>
      </c>
      <c r="B8921" t="s">
        <v>2570</v>
      </c>
      <c r="C8921" t="s">
        <v>11980</v>
      </c>
      <c r="D8921" t="s">
        <v>18100</v>
      </c>
      <c r="E8921" t="s">
        <v>19097</v>
      </c>
      <c r="F8921" t="s">
        <v>31362</v>
      </c>
      <c r="G8921" t="s">
        <v>31369</v>
      </c>
      <c r="H8921" t="s">
        <v>15799</v>
      </c>
      <c r="I8921" t="s">
        <v>6373</v>
      </c>
      <c r="J8921" t="s">
        <v>36972</v>
      </c>
      <c r="K8921" t="s">
        <v>40693</v>
      </c>
      <c r="M8921" t="s">
        <v>43743</v>
      </c>
      <c r="N8921" t="s">
        <v>44905</v>
      </c>
      <c r="O8921" t="s">
        <v>44906</v>
      </c>
      <c r="P8921">
        <v>0</v>
      </c>
      <c r="Q8921">
        <v>4</v>
      </c>
      <c r="R8921" t="s">
        <v>44911</v>
      </c>
      <c r="S8921" t="s">
        <v>45139</v>
      </c>
      <c r="T8921" t="s">
        <v>46793</v>
      </c>
      <c r="U8921" t="s">
        <v>54112</v>
      </c>
      <c r="W8921" t="s">
        <v>43743</v>
      </c>
      <c r="X8921" t="s">
        <v>44912</v>
      </c>
    </row>
    <row r="8922" spans="1:24">
      <c r="A8922">
        <f>HYPERLINK("https://www.philgeps.gov.ph/GEPSNONPILOT/Tender/SplashBidNoticeAbstractUI.aspx?menuIndex=3&amp;refID=7072785&amp;Result=3","7072785")</f>
        <v>0</v>
      </c>
      <c r="B8922" t="s">
        <v>2577</v>
      </c>
      <c r="C8922" t="s">
        <v>12019</v>
      </c>
      <c r="D8922" t="s">
        <v>18153</v>
      </c>
      <c r="E8922" t="s">
        <v>25983</v>
      </c>
      <c r="F8922" t="s">
        <v>31362</v>
      </c>
      <c r="G8922" t="s">
        <v>31369</v>
      </c>
      <c r="H8922" t="s">
        <v>31378</v>
      </c>
      <c r="I8922" t="s">
        <v>31386</v>
      </c>
      <c r="J8922" t="s">
        <v>36973</v>
      </c>
      <c r="K8922" t="s">
        <v>40686</v>
      </c>
      <c r="M8922" t="s">
        <v>43751</v>
      </c>
      <c r="N8922" t="s">
        <v>44905</v>
      </c>
      <c r="O8922" t="s">
        <v>44906</v>
      </c>
      <c r="P8922">
        <v>0</v>
      </c>
      <c r="Q8922">
        <v>0</v>
      </c>
      <c r="R8922" t="s">
        <v>44911</v>
      </c>
      <c r="S8922" t="s">
        <v>45139</v>
      </c>
      <c r="T8922" t="s">
        <v>46671</v>
      </c>
      <c r="U8922" t="s">
        <v>54113</v>
      </c>
      <c r="V8922" t="s">
        <v>59963</v>
      </c>
      <c r="W8922" t="s">
        <v>43751</v>
      </c>
      <c r="X8922" t="s">
        <v>44913</v>
      </c>
    </row>
    <row r="8923" spans="1:24">
      <c r="A8923">
        <f>HYPERLINK("https://www.philgeps.gov.ph/GEPSNONPILOT/Tender/SplashBidNoticeAbstractUI.aspx?menuIndex=3&amp;refID=7072950&amp;Result=3","7072950")</f>
        <v>0</v>
      </c>
      <c r="B8923" t="s">
        <v>2570</v>
      </c>
      <c r="C8923" t="s">
        <v>12020</v>
      </c>
      <c r="D8923" t="s">
        <v>18100</v>
      </c>
      <c r="E8923" t="s">
        <v>18890</v>
      </c>
      <c r="F8923" t="s">
        <v>31362</v>
      </c>
      <c r="G8923" t="s">
        <v>31369</v>
      </c>
      <c r="H8923" t="s">
        <v>15799</v>
      </c>
      <c r="I8923" t="s">
        <v>6155</v>
      </c>
      <c r="J8923" t="s">
        <v>36974</v>
      </c>
      <c r="K8923" t="s">
        <v>40693</v>
      </c>
      <c r="M8923" t="s">
        <v>43743</v>
      </c>
      <c r="N8923" t="s">
        <v>44905</v>
      </c>
      <c r="O8923" t="s">
        <v>44906</v>
      </c>
      <c r="P8923">
        <v>0</v>
      </c>
      <c r="Q8923">
        <v>1</v>
      </c>
      <c r="R8923" t="s">
        <v>44911</v>
      </c>
      <c r="S8923" t="s">
        <v>45139</v>
      </c>
      <c r="T8923" t="s">
        <v>46793</v>
      </c>
      <c r="U8923" t="s">
        <v>54114</v>
      </c>
      <c r="W8923" t="s">
        <v>43743</v>
      </c>
      <c r="X8923" t="s">
        <v>44912</v>
      </c>
    </row>
    <row r="8924" spans="1:24">
      <c r="A8924">
        <f>HYPERLINK("https://www.philgeps.gov.ph/GEPSNONPILOT/Tender/SplashBidNoticeAbstractUI.aspx?menuIndex=3&amp;refID=7072834&amp;Result=3","7072834")</f>
        <v>0</v>
      </c>
      <c r="B8924" t="s">
        <v>110</v>
      </c>
      <c r="C8924" t="s">
        <v>12021</v>
      </c>
      <c r="D8924" t="s">
        <v>18119</v>
      </c>
      <c r="E8924" t="s">
        <v>25984</v>
      </c>
      <c r="F8924" t="s">
        <v>31362</v>
      </c>
      <c r="G8924" t="s">
        <v>31369</v>
      </c>
      <c r="H8924" t="s">
        <v>31378</v>
      </c>
      <c r="I8924" t="s">
        <v>31386</v>
      </c>
      <c r="J8924" t="s">
        <v>36975</v>
      </c>
      <c r="K8924" t="s">
        <v>40677</v>
      </c>
      <c r="M8924" t="s">
        <v>43734</v>
      </c>
      <c r="N8924" t="s">
        <v>44905</v>
      </c>
      <c r="O8924" t="s">
        <v>44906</v>
      </c>
      <c r="P8924">
        <v>0</v>
      </c>
      <c r="Q8924">
        <v>0</v>
      </c>
      <c r="R8924" t="s">
        <v>44911</v>
      </c>
      <c r="S8924" t="s">
        <v>45139</v>
      </c>
      <c r="T8924" t="s">
        <v>46433</v>
      </c>
      <c r="U8924" t="s">
        <v>54115</v>
      </c>
      <c r="W8924" t="s">
        <v>43734</v>
      </c>
      <c r="X8924" t="s">
        <v>44912</v>
      </c>
    </row>
    <row r="8925" spans="1:24">
      <c r="A8925">
        <f>HYPERLINK("https://www.philgeps.gov.ph/GEPSNONPILOT/Tender/SplashBidNoticeAbstractUI.aspx?menuIndex=3&amp;refID=7072935&amp;Result=3","7072935")</f>
        <v>0</v>
      </c>
      <c r="B8925" t="s">
        <v>1410</v>
      </c>
      <c r="C8925" t="s">
        <v>12022</v>
      </c>
      <c r="D8925" t="s">
        <v>18108</v>
      </c>
      <c r="E8925" t="s">
        <v>25985</v>
      </c>
      <c r="F8925" t="s">
        <v>31362</v>
      </c>
      <c r="G8925" t="s">
        <v>31369</v>
      </c>
      <c r="H8925" t="s">
        <v>31378</v>
      </c>
      <c r="I8925" t="s">
        <v>31443</v>
      </c>
      <c r="J8925" t="s">
        <v>36976</v>
      </c>
      <c r="K8925" t="s">
        <v>40678</v>
      </c>
      <c r="M8925" t="s">
        <v>43761</v>
      </c>
      <c r="N8925" t="s">
        <v>44905</v>
      </c>
      <c r="O8925" t="s">
        <v>44906</v>
      </c>
      <c r="P8925">
        <v>0</v>
      </c>
      <c r="Q8925">
        <v>10</v>
      </c>
      <c r="R8925" t="s">
        <v>44911</v>
      </c>
      <c r="S8925" t="s">
        <v>45139</v>
      </c>
      <c r="T8925" t="s">
        <v>46626</v>
      </c>
      <c r="U8925" t="s">
        <v>54111</v>
      </c>
      <c r="W8925" t="s">
        <v>43761</v>
      </c>
      <c r="X8925" t="s">
        <v>44912</v>
      </c>
    </row>
    <row r="8926" spans="1:24">
      <c r="A8926">
        <f>HYPERLINK("https://www.philgeps.gov.ph/GEPSNONPILOT/Tender/SplashBidNoticeAbstractUI.aspx?menuIndex=3&amp;refID=7072932&amp;Result=3","7072932")</f>
        <v>0</v>
      </c>
      <c r="B8926" t="s">
        <v>2584</v>
      </c>
      <c r="C8926" t="s">
        <v>12023</v>
      </c>
      <c r="D8926" t="s">
        <v>18170</v>
      </c>
      <c r="E8926" t="s">
        <v>25615</v>
      </c>
      <c r="F8926" t="s">
        <v>31362</v>
      </c>
      <c r="G8926" t="s">
        <v>31369</v>
      </c>
      <c r="H8926" t="s">
        <v>15799</v>
      </c>
      <c r="I8926" t="s">
        <v>31393</v>
      </c>
      <c r="J8926" t="s">
        <v>31849</v>
      </c>
      <c r="K8926" t="s">
        <v>40665</v>
      </c>
      <c r="M8926" t="s">
        <v>43762</v>
      </c>
      <c r="N8926" t="s">
        <v>44905</v>
      </c>
      <c r="O8926" t="s">
        <v>44906</v>
      </c>
      <c r="P8926">
        <v>0</v>
      </c>
      <c r="Q8926">
        <v>4</v>
      </c>
      <c r="R8926" t="s">
        <v>44911</v>
      </c>
      <c r="S8926" t="s">
        <v>45139</v>
      </c>
      <c r="T8926" t="s">
        <v>46690</v>
      </c>
      <c r="U8926" t="s">
        <v>54116</v>
      </c>
      <c r="W8926" t="s">
        <v>43762</v>
      </c>
      <c r="X8926" t="s">
        <v>44912</v>
      </c>
    </row>
    <row r="8927" spans="1:24">
      <c r="A8927">
        <f>HYPERLINK("https://www.philgeps.gov.ph/GEPSNONPILOT/Tender/SplashBidNoticeAbstractUI.aspx?menuIndex=3&amp;refID=7072929&amp;Result=3","7072929")</f>
        <v>0</v>
      </c>
      <c r="B8927" t="s">
        <v>345</v>
      </c>
      <c r="C8927" t="s">
        <v>12024</v>
      </c>
      <c r="D8927" t="s">
        <v>18149</v>
      </c>
      <c r="E8927" t="s">
        <v>25986</v>
      </c>
      <c r="F8927" t="s">
        <v>31362</v>
      </c>
      <c r="G8927" t="s">
        <v>31369</v>
      </c>
      <c r="H8927" t="s">
        <v>31378</v>
      </c>
      <c r="I8927" t="s">
        <v>31386</v>
      </c>
      <c r="J8927" t="s">
        <v>31591</v>
      </c>
      <c r="K8927" t="s">
        <v>40675</v>
      </c>
      <c r="M8927" t="s">
        <v>41291</v>
      </c>
      <c r="N8927" t="s">
        <v>44905</v>
      </c>
      <c r="O8927" t="s">
        <v>44906</v>
      </c>
      <c r="P8927">
        <v>0</v>
      </c>
      <c r="Q8927">
        <v>0</v>
      </c>
      <c r="R8927" t="s">
        <v>44911</v>
      </c>
      <c r="S8927" t="s">
        <v>45139</v>
      </c>
      <c r="T8927" t="s">
        <v>46448</v>
      </c>
      <c r="U8927" t="s">
        <v>47513</v>
      </c>
      <c r="W8927" t="s">
        <v>41291</v>
      </c>
      <c r="X8927" t="s">
        <v>44912</v>
      </c>
    </row>
    <row r="8928" spans="1:24">
      <c r="A8928">
        <f>HYPERLINK("https://www.philgeps.gov.ph/GEPSNONPILOT/Tender/SplashBidNoticeAbstractUI.aspx?menuIndex=3&amp;refID=7072924&amp;Result=3","7072924")</f>
        <v>0</v>
      </c>
      <c r="B8928" t="s">
        <v>233</v>
      </c>
      <c r="C8928" t="s">
        <v>12025</v>
      </c>
      <c r="D8928" t="s">
        <v>18108</v>
      </c>
      <c r="E8928" t="s">
        <v>25987</v>
      </c>
      <c r="F8928" t="s">
        <v>31362</v>
      </c>
      <c r="G8928" t="s">
        <v>31369</v>
      </c>
      <c r="H8928" t="s">
        <v>15799</v>
      </c>
      <c r="I8928" t="s">
        <v>31421</v>
      </c>
      <c r="J8928" t="s">
        <v>36977</v>
      </c>
      <c r="K8928" t="s">
        <v>40699</v>
      </c>
      <c r="M8928" t="s">
        <v>43763</v>
      </c>
      <c r="N8928" t="s">
        <v>44905</v>
      </c>
      <c r="O8928" t="s">
        <v>44906</v>
      </c>
      <c r="P8928">
        <v>0</v>
      </c>
      <c r="Q8928">
        <v>4</v>
      </c>
      <c r="R8928" t="s">
        <v>44911</v>
      </c>
      <c r="S8928" t="s">
        <v>45139</v>
      </c>
      <c r="T8928" t="s">
        <v>46696</v>
      </c>
      <c r="U8928" t="s">
        <v>54117</v>
      </c>
      <c r="W8928" t="s">
        <v>43763</v>
      </c>
      <c r="X8928" t="s">
        <v>44912</v>
      </c>
    </row>
    <row r="8929" spans="1:24">
      <c r="A8929">
        <f>HYPERLINK("https://www.philgeps.gov.ph/GEPSNONPILOT/Tender/SplashBidNoticeAbstractUI.aspx?menuIndex=3&amp;refID=7072951&amp;Result=3","7072951")</f>
        <v>0</v>
      </c>
      <c r="B8929" t="s">
        <v>2585</v>
      </c>
      <c r="C8929" t="s">
        <v>12026</v>
      </c>
      <c r="D8929" t="s">
        <v>18122</v>
      </c>
      <c r="E8929" t="s">
        <v>20367</v>
      </c>
      <c r="F8929" t="s">
        <v>31362</v>
      </c>
      <c r="G8929" t="s">
        <v>31369</v>
      </c>
      <c r="H8929" t="s">
        <v>15799</v>
      </c>
      <c r="I8929" t="s">
        <v>3815</v>
      </c>
      <c r="J8929" t="s">
        <v>36978</v>
      </c>
      <c r="K8929" t="s">
        <v>40665</v>
      </c>
      <c r="M8929" t="s">
        <v>43764</v>
      </c>
      <c r="N8929" t="s">
        <v>44905</v>
      </c>
      <c r="O8929" t="s">
        <v>44906</v>
      </c>
      <c r="P8929">
        <v>0</v>
      </c>
      <c r="Q8929">
        <v>0</v>
      </c>
      <c r="R8929" t="s">
        <v>44911</v>
      </c>
      <c r="S8929" t="s">
        <v>45139</v>
      </c>
      <c r="T8929" t="s">
        <v>46404</v>
      </c>
      <c r="U8929" t="s">
        <v>54118</v>
      </c>
      <c r="W8929" t="s">
        <v>43764</v>
      </c>
      <c r="X8929" t="s">
        <v>44912</v>
      </c>
    </row>
    <row r="8930" spans="1:24">
      <c r="A8930">
        <f>HYPERLINK("https://www.philgeps.gov.ph/GEPSNONPILOT/Tender/SplashBidNoticeAbstractUI.aspx?menuIndex=3&amp;refID=7072914&amp;Result=3","7072914")</f>
        <v>0</v>
      </c>
      <c r="B8930" t="s">
        <v>2586</v>
      </c>
      <c r="C8930" t="s">
        <v>12027</v>
      </c>
      <c r="E8930" t="s">
        <v>18514</v>
      </c>
      <c r="F8930" t="s">
        <v>31362</v>
      </c>
      <c r="G8930" t="s">
        <v>31369</v>
      </c>
      <c r="H8930" t="s">
        <v>15799</v>
      </c>
      <c r="I8930" t="s">
        <v>31393</v>
      </c>
      <c r="J8930" t="s">
        <v>36979</v>
      </c>
      <c r="K8930" t="s">
        <v>40662</v>
      </c>
      <c r="M8930" t="s">
        <v>43765</v>
      </c>
      <c r="N8930" t="s">
        <v>44905</v>
      </c>
      <c r="O8930" t="s">
        <v>44906</v>
      </c>
      <c r="P8930">
        <v>0</v>
      </c>
      <c r="Q8930">
        <v>16</v>
      </c>
      <c r="R8930" t="s">
        <v>44911</v>
      </c>
      <c r="S8930" t="s">
        <v>45139</v>
      </c>
      <c r="T8930" t="s">
        <v>46763</v>
      </c>
      <c r="U8930" t="s">
        <v>54119</v>
      </c>
      <c r="W8930" t="s">
        <v>43765</v>
      </c>
      <c r="X8930" t="s">
        <v>44912</v>
      </c>
    </row>
    <row r="8931" spans="1:24">
      <c r="A8931">
        <f>HYPERLINK("https://www.philgeps.gov.ph/GEPSNONPILOT/Tender/SplashBidNoticeAbstractUI.aspx?menuIndex=3&amp;refID=7072895&amp;Result=3","7072895")</f>
        <v>0</v>
      </c>
      <c r="B8931" t="s">
        <v>2587</v>
      </c>
      <c r="C8931" t="s">
        <v>12028</v>
      </c>
      <c r="D8931" t="s">
        <v>18125</v>
      </c>
      <c r="E8931" t="s">
        <v>18421</v>
      </c>
      <c r="F8931" t="s">
        <v>31363</v>
      </c>
      <c r="G8931" t="s">
        <v>31374</v>
      </c>
      <c r="H8931" t="s">
        <v>15799</v>
      </c>
      <c r="I8931" t="s">
        <v>3815</v>
      </c>
      <c r="J8931" t="s">
        <v>34355</v>
      </c>
      <c r="K8931" t="s">
        <v>40661</v>
      </c>
      <c r="M8931" t="s">
        <v>43766</v>
      </c>
      <c r="N8931" t="s">
        <v>44905</v>
      </c>
      <c r="O8931" t="s">
        <v>44906</v>
      </c>
      <c r="P8931">
        <v>0</v>
      </c>
      <c r="Q8931">
        <v>0</v>
      </c>
      <c r="R8931" t="s">
        <v>44911</v>
      </c>
      <c r="S8931" t="s">
        <v>45139</v>
      </c>
      <c r="T8931" t="s">
        <v>46499</v>
      </c>
      <c r="U8931" t="s">
        <v>54120</v>
      </c>
      <c r="W8931" t="s">
        <v>43766</v>
      </c>
      <c r="X8931" t="s">
        <v>44912</v>
      </c>
    </row>
    <row r="8932" spans="1:24">
      <c r="A8932">
        <f>HYPERLINK("https://www.philgeps.gov.ph/GEPSNONPILOT/Tender/SplashBidNoticeAbstractUI.aspx?menuIndex=3&amp;refID=7072905&amp;Result=3","7072905")</f>
        <v>0</v>
      </c>
      <c r="B8932" t="s">
        <v>2588</v>
      </c>
      <c r="C8932" t="s">
        <v>12029</v>
      </c>
      <c r="D8932" t="s">
        <v>18177</v>
      </c>
      <c r="E8932" t="s">
        <v>25988</v>
      </c>
      <c r="F8932" t="s">
        <v>31362</v>
      </c>
      <c r="G8932" t="s">
        <v>31369</v>
      </c>
      <c r="H8932" t="s">
        <v>31378</v>
      </c>
      <c r="I8932" t="s">
        <v>31386</v>
      </c>
      <c r="J8932" t="s">
        <v>36980</v>
      </c>
      <c r="K8932" t="s">
        <v>40675</v>
      </c>
      <c r="M8932" t="s">
        <v>43767</v>
      </c>
      <c r="N8932" t="s">
        <v>44905</v>
      </c>
      <c r="O8932" t="s">
        <v>44906</v>
      </c>
      <c r="P8932">
        <v>0</v>
      </c>
      <c r="Q8932">
        <v>2</v>
      </c>
      <c r="R8932" t="s">
        <v>44911</v>
      </c>
      <c r="S8932" t="s">
        <v>45139</v>
      </c>
      <c r="T8932" t="s">
        <v>46419</v>
      </c>
      <c r="U8932" t="s">
        <v>54121</v>
      </c>
      <c r="W8932" t="s">
        <v>43767</v>
      </c>
      <c r="X8932" t="s">
        <v>44912</v>
      </c>
    </row>
    <row r="8933" spans="1:24">
      <c r="A8933">
        <f>HYPERLINK("https://www.philgeps.gov.ph/GEPSNONPILOT/Tender/SplashBidNoticeAbstractUI.aspx?menuIndex=3&amp;refID=7072903&amp;Result=3","7072903")</f>
        <v>0</v>
      </c>
      <c r="B8933" t="s">
        <v>2589</v>
      </c>
      <c r="C8933" t="s">
        <v>9916</v>
      </c>
      <c r="D8933" t="s">
        <v>18177</v>
      </c>
      <c r="E8933" t="s">
        <v>25989</v>
      </c>
      <c r="F8933" t="s">
        <v>31362</v>
      </c>
      <c r="G8933" t="s">
        <v>31369</v>
      </c>
      <c r="H8933" t="s">
        <v>31378</v>
      </c>
      <c r="I8933" t="s">
        <v>31386</v>
      </c>
      <c r="J8933" t="s">
        <v>36981</v>
      </c>
      <c r="K8933" t="s">
        <v>40679</v>
      </c>
      <c r="M8933" t="s">
        <v>43768</v>
      </c>
      <c r="N8933" t="s">
        <v>44905</v>
      </c>
      <c r="O8933" t="s">
        <v>44906</v>
      </c>
      <c r="P8933">
        <v>0</v>
      </c>
      <c r="Q8933">
        <v>1</v>
      </c>
      <c r="R8933" t="s">
        <v>44911</v>
      </c>
      <c r="S8933" t="s">
        <v>45139</v>
      </c>
      <c r="T8933" t="s">
        <v>46419</v>
      </c>
      <c r="U8933" t="s">
        <v>54122</v>
      </c>
      <c r="W8933" t="s">
        <v>43768</v>
      </c>
      <c r="X8933" t="s">
        <v>44912</v>
      </c>
    </row>
    <row r="8934" spans="1:24">
      <c r="A8934">
        <f>HYPERLINK("https://www.philgeps.gov.ph/GEPSNONPILOT/Tender/SplashBidNoticeAbstractUI.aspx?menuIndex=3&amp;refID=7072887&amp;Result=3","7072887")</f>
        <v>0</v>
      </c>
      <c r="B8934" t="s">
        <v>2590</v>
      </c>
      <c r="C8934" t="s">
        <v>12030</v>
      </c>
      <c r="D8934" t="s">
        <v>18164</v>
      </c>
      <c r="E8934" t="s">
        <v>25990</v>
      </c>
      <c r="F8934" t="s">
        <v>31362</v>
      </c>
      <c r="G8934" t="s">
        <v>31369</v>
      </c>
      <c r="H8934" t="s">
        <v>15799</v>
      </c>
      <c r="I8934" t="s">
        <v>3815</v>
      </c>
      <c r="J8934" t="s">
        <v>36982</v>
      </c>
      <c r="K8934" t="s">
        <v>40665</v>
      </c>
      <c r="M8934" t="s">
        <v>43769</v>
      </c>
      <c r="N8934" t="s">
        <v>44905</v>
      </c>
      <c r="O8934" t="s">
        <v>44906</v>
      </c>
      <c r="P8934">
        <v>0</v>
      </c>
      <c r="Q8934">
        <v>0</v>
      </c>
      <c r="R8934" t="s">
        <v>44911</v>
      </c>
      <c r="S8934" t="s">
        <v>45139</v>
      </c>
      <c r="T8934" t="s">
        <v>46690</v>
      </c>
      <c r="U8934" t="s">
        <v>54123</v>
      </c>
      <c r="W8934" t="s">
        <v>43769</v>
      </c>
      <c r="X8934" t="s">
        <v>44912</v>
      </c>
    </row>
    <row r="8935" spans="1:24">
      <c r="A8935">
        <f>HYPERLINK("https://www.philgeps.gov.ph/GEPSNONPILOT/Tender/SplashBidNoticeAbstractUI.aspx?menuIndex=3&amp;refID=7072899&amp;Result=3","7072899")</f>
        <v>0</v>
      </c>
      <c r="B8935" t="s">
        <v>684</v>
      </c>
      <c r="C8935" t="s">
        <v>12031</v>
      </c>
      <c r="D8935" t="s">
        <v>18146</v>
      </c>
      <c r="E8935" t="s">
        <v>25991</v>
      </c>
      <c r="F8935" t="s">
        <v>31362</v>
      </c>
      <c r="G8935" t="s">
        <v>31369</v>
      </c>
      <c r="H8935" t="s">
        <v>15799</v>
      </c>
      <c r="I8935" t="s">
        <v>3815</v>
      </c>
      <c r="J8935" t="s">
        <v>36983</v>
      </c>
      <c r="K8935" t="s">
        <v>40661</v>
      </c>
      <c r="M8935" t="s">
        <v>41646</v>
      </c>
      <c r="N8935" t="s">
        <v>44905</v>
      </c>
      <c r="O8935" t="s">
        <v>44906</v>
      </c>
      <c r="P8935">
        <v>0</v>
      </c>
      <c r="Q8935">
        <v>0</v>
      </c>
      <c r="R8935" t="s">
        <v>44911</v>
      </c>
      <c r="S8935" t="s">
        <v>45139</v>
      </c>
      <c r="T8935" t="s">
        <v>46409</v>
      </c>
      <c r="U8935" t="s">
        <v>54124</v>
      </c>
      <c r="W8935" t="s">
        <v>41646</v>
      </c>
      <c r="X8935" t="s">
        <v>44912</v>
      </c>
    </row>
    <row r="8936" spans="1:24">
      <c r="A8936">
        <f>HYPERLINK("https://www.philgeps.gov.ph/GEPSNONPILOT/Tender/SplashBidNoticeAbstractUI.aspx?menuIndex=3&amp;refID=7072898&amp;Result=3","7072898")</f>
        <v>0</v>
      </c>
      <c r="B8936" t="s">
        <v>2591</v>
      </c>
      <c r="C8936" t="s">
        <v>12032</v>
      </c>
      <c r="D8936" t="s">
        <v>18108</v>
      </c>
      <c r="E8936" t="s">
        <v>25992</v>
      </c>
      <c r="F8936" t="s">
        <v>31362</v>
      </c>
      <c r="G8936" t="s">
        <v>31369</v>
      </c>
      <c r="H8936" t="s">
        <v>15799</v>
      </c>
      <c r="I8936" t="s">
        <v>31444</v>
      </c>
      <c r="J8936" t="s">
        <v>33433</v>
      </c>
      <c r="K8936" t="s">
        <v>40661</v>
      </c>
      <c r="M8936" t="s">
        <v>43770</v>
      </c>
      <c r="N8936" t="s">
        <v>44905</v>
      </c>
      <c r="O8936" t="s">
        <v>44906</v>
      </c>
      <c r="P8936">
        <v>0</v>
      </c>
      <c r="Q8936">
        <v>3</v>
      </c>
      <c r="R8936" t="s">
        <v>44911</v>
      </c>
      <c r="S8936" t="s">
        <v>45139</v>
      </c>
      <c r="T8936" t="s">
        <v>46412</v>
      </c>
      <c r="U8936" t="s">
        <v>54125</v>
      </c>
      <c r="W8936" t="s">
        <v>43770</v>
      </c>
      <c r="X8936" t="s">
        <v>44912</v>
      </c>
    </row>
    <row r="8937" spans="1:24">
      <c r="A8937">
        <f>HYPERLINK("https://www.philgeps.gov.ph/GEPSNONPILOT/Tender/SplashBidNoticeAbstractUI.aspx?menuIndex=3&amp;refID=7072896&amp;Result=3","7072896")</f>
        <v>0</v>
      </c>
      <c r="B8937" t="s">
        <v>1535</v>
      </c>
      <c r="C8937" t="s">
        <v>12033</v>
      </c>
      <c r="D8937" t="s">
        <v>18178</v>
      </c>
      <c r="E8937" t="s">
        <v>25993</v>
      </c>
      <c r="F8937" t="s">
        <v>31362</v>
      </c>
      <c r="G8937" t="s">
        <v>31369</v>
      </c>
      <c r="H8937" t="s">
        <v>31378</v>
      </c>
      <c r="I8937" t="s">
        <v>31386</v>
      </c>
      <c r="J8937" t="s">
        <v>36984</v>
      </c>
      <c r="K8937" t="s">
        <v>40766</v>
      </c>
      <c r="M8937" t="s">
        <v>42582</v>
      </c>
      <c r="N8937" t="s">
        <v>44905</v>
      </c>
      <c r="O8937" t="s">
        <v>44906</v>
      </c>
      <c r="P8937">
        <v>0</v>
      </c>
      <c r="Q8937">
        <v>0</v>
      </c>
      <c r="R8937" t="s">
        <v>44911</v>
      </c>
      <c r="S8937" t="s">
        <v>45139</v>
      </c>
      <c r="T8937" t="s">
        <v>46755</v>
      </c>
      <c r="U8937" t="s">
        <v>54126</v>
      </c>
      <c r="W8937" t="s">
        <v>42582</v>
      </c>
      <c r="X8937" t="s">
        <v>44912</v>
      </c>
    </row>
    <row r="8938" spans="1:24">
      <c r="A8938">
        <f>HYPERLINK("https://www.philgeps.gov.ph/GEPSNONPILOT/Tender/SplashBidNoticeAbstractUI.aspx?menuIndex=3&amp;refID=7072917&amp;Result=3","7072917")</f>
        <v>0</v>
      </c>
      <c r="B8938" t="s">
        <v>345</v>
      </c>
      <c r="C8938" t="s">
        <v>12034</v>
      </c>
      <c r="D8938" t="s">
        <v>18149</v>
      </c>
      <c r="E8938" t="s">
        <v>25994</v>
      </c>
      <c r="F8938" t="s">
        <v>31362</v>
      </c>
      <c r="G8938" t="s">
        <v>31369</v>
      </c>
      <c r="H8938" t="s">
        <v>31378</v>
      </c>
      <c r="I8938" t="s">
        <v>31386</v>
      </c>
      <c r="J8938" t="s">
        <v>31591</v>
      </c>
      <c r="K8938" t="s">
        <v>40675</v>
      </c>
      <c r="M8938" t="s">
        <v>41291</v>
      </c>
      <c r="N8938" t="s">
        <v>44905</v>
      </c>
      <c r="O8938" t="s">
        <v>44906</v>
      </c>
      <c r="P8938">
        <v>0</v>
      </c>
      <c r="Q8938">
        <v>0</v>
      </c>
      <c r="R8938" t="s">
        <v>44911</v>
      </c>
      <c r="S8938" t="s">
        <v>45139</v>
      </c>
      <c r="T8938" t="s">
        <v>46448</v>
      </c>
      <c r="U8938" t="s">
        <v>47513</v>
      </c>
      <c r="W8938" t="s">
        <v>41291</v>
      </c>
      <c r="X8938" t="s">
        <v>44912</v>
      </c>
    </row>
    <row r="8939" spans="1:24">
      <c r="A8939">
        <f>HYPERLINK("https://www.philgeps.gov.ph/GEPSNONPILOT/Tender/SplashBidNoticeAbstractUI.aspx?menuIndex=3&amp;refID=7072939&amp;Result=3","7072939")</f>
        <v>0</v>
      </c>
      <c r="B8939" t="s">
        <v>2592</v>
      </c>
      <c r="C8939" t="s">
        <v>12035</v>
      </c>
      <c r="D8939" t="s">
        <v>18148</v>
      </c>
      <c r="E8939" t="s">
        <v>18466</v>
      </c>
      <c r="F8939" t="s">
        <v>31365</v>
      </c>
      <c r="G8939" t="s">
        <v>31369</v>
      </c>
      <c r="H8939" t="s">
        <v>15799</v>
      </c>
      <c r="I8939" t="s">
        <v>7188</v>
      </c>
      <c r="J8939" t="s">
        <v>33797</v>
      </c>
      <c r="K8939" t="s">
        <v>40661</v>
      </c>
      <c r="M8939" t="s">
        <v>43771</v>
      </c>
      <c r="N8939" t="s">
        <v>44905</v>
      </c>
      <c r="O8939" t="s">
        <v>44906</v>
      </c>
      <c r="P8939">
        <v>0</v>
      </c>
      <c r="Q8939">
        <v>4</v>
      </c>
      <c r="R8939" t="s">
        <v>44911</v>
      </c>
      <c r="S8939" t="s">
        <v>45139</v>
      </c>
      <c r="T8939" t="s">
        <v>46413</v>
      </c>
      <c r="U8939" t="s">
        <v>54127</v>
      </c>
      <c r="V8939" t="s">
        <v>59964</v>
      </c>
      <c r="W8939" t="s">
        <v>43771</v>
      </c>
      <c r="X8939" t="s">
        <v>44912</v>
      </c>
    </row>
    <row r="8940" spans="1:24">
      <c r="A8940">
        <f>HYPERLINK("https://www.philgeps.gov.ph/GEPSNONPILOT/Tender/SplashBidNoticeAbstractUI.aspx?menuIndex=3&amp;refID=7072902&amp;Result=3","7072902")</f>
        <v>0</v>
      </c>
      <c r="B8940" t="s">
        <v>684</v>
      </c>
      <c r="C8940" t="s">
        <v>12036</v>
      </c>
      <c r="D8940" t="s">
        <v>18146</v>
      </c>
      <c r="E8940" t="s">
        <v>25995</v>
      </c>
      <c r="F8940" t="s">
        <v>31362</v>
      </c>
      <c r="G8940" t="s">
        <v>31369</v>
      </c>
      <c r="H8940" t="s">
        <v>15799</v>
      </c>
      <c r="I8940" t="s">
        <v>3815</v>
      </c>
      <c r="J8940" t="s">
        <v>36985</v>
      </c>
      <c r="K8940" t="s">
        <v>40661</v>
      </c>
      <c r="M8940" t="s">
        <v>41646</v>
      </c>
      <c r="N8940" t="s">
        <v>44905</v>
      </c>
      <c r="O8940" t="s">
        <v>44906</v>
      </c>
      <c r="P8940">
        <v>0</v>
      </c>
      <c r="Q8940">
        <v>0</v>
      </c>
      <c r="R8940" t="s">
        <v>44911</v>
      </c>
      <c r="S8940" t="s">
        <v>45139</v>
      </c>
      <c r="T8940" t="s">
        <v>46409</v>
      </c>
      <c r="U8940" t="s">
        <v>54128</v>
      </c>
      <c r="W8940" t="s">
        <v>41646</v>
      </c>
      <c r="X8940" t="s">
        <v>44912</v>
      </c>
    </row>
    <row r="8941" spans="1:24">
      <c r="A8941">
        <f>HYPERLINK("https://www.philgeps.gov.ph/GEPSNONPILOT/Tender/SplashBidNoticeAbstractUI.aspx?menuIndex=3&amp;refID=7072958&amp;Result=3","7072958")</f>
        <v>0</v>
      </c>
      <c r="B8941" t="s">
        <v>249</v>
      </c>
      <c r="C8941" t="s">
        <v>12037</v>
      </c>
      <c r="D8941" t="s">
        <v>18110</v>
      </c>
      <c r="E8941" t="s">
        <v>25996</v>
      </c>
      <c r="F8941" t="s">
        <v>31362</v>
      </c>
      <c r="G8941" t="s">
        <v>31369</v>
      </c>
      <c r="H8941" t="s">
        <v>15799</v>
      </c>
      <c r="I8941" t="s">
        <v>31400</v>
      </c>
      <c r="J8941" t="s">
        <v>36986</v>
      </c>
      <c r="K8941" t="s">
        <v>40665</v>
      </c>
      <c r="M8941" t="s">
        <v>42701</v>
      </c>
      <c r="N8941" t="s">
        <v>44905</v>
      </c>
      <c r="O8941" t="s">
        <v>44906</v>
      </c>
      <c r="P8941">
        <v>0</v>
      </c>
      <c r="Q8941">
        <v>7</v>
      </c>
      <c r="R8941" t="s">
        <v>44911</v>
      </c>
      <c r="S8941" t="s">
        <v>45139</v>
      </c>
      <c r="T8941" t="s">
        <v>46626</v>
      </c>
      <c r="U8941" t="s">
        <v>54129</v>
      </c>
      <c r="W8941" t="s">
        <v>42701</v>
      </c>
      <c r="X8941" t="s">
        <v>44912</v>
      </c>
    </row>
    <row r="8942" spans="1:24">
      <c r="A8942">
        <f>HYPERLINK("https://www.philgeps.gov.ph/GEPSNONPILOT/Tender/SplashBidNoticeAbstractUI.aspx?menuIndex=3&amp;refID=7073016&amp;Result=3","7073016")</f>
        <v>0</v>
      </c>
      <c r="B8942" t="s">
        <v>2593</v>
      </c>
      <c r="C8942" t="s">
        <v>12038</v>
      </c>
      <c r="D8942" t="s">
        <v>18108</v>
      </c>
      <c r="E8942" t="s">
        <v>19498</v>
      </c>
      <c r="F8942" t="s">
        <v>31362</v>
      </c>
      <c r="G8942" t="s">
        <v>31369</v>
      </c>
      <c r="H8942" t="s">
        <v>15799</v>
      </c>
      <c r="I8942" t="s">
        <v>7090</v>
      </c>
      <c r="J8942" t="s">
        <v>32900</v>
      </c>
      <c r="K8942" t="s">
        <v>40666</v>
      </c>
      <c r="M8942" t="s">
        <v>43772</v>
      </c>
      <c r="N8942" t="s">
        <v>44905</v>
      </c>
      <c r="O8942" t="s">
        <v>44906</v>
      </c>
      <c r="P8942">
        <v>0</v>
      </c>
      <c r="Q8942">
        <v>2</v>
      </c>
      <c r="R8942" t="s">
        <v>44911</v>
      </c>
      <c r="S8942" t="s">
        <v>45139</v>
      </c>
      <c r="T8942" t="s">
        <v>46415</v>
      </c>
      <c r="U8942" t="s">
        <v>54130</v>
      </c>
      <c r="V8942" t="s">
        <v>59965</v>
      </c>
      <c r="W8942" t="s">
        <v>43772</v>
      </c>
      <c r="X8942" t="s">
        <v>44912</v>
      </c>
    </row>
    <row r="8943" spans="1:24">
      <c r="A8943">
        <f>HYPERLINK("https://www.philgeps.gov.ph/GEPSNONPILOT/Tender/SplashBidNoticeAbstractUI.aspx?menuIndex=3&amp;refID=7072987&amp;Result=3","7072987")</f>
        <v>0</v>
      </c>
      <c r="B8943" t="s">
        <v>2594</v>
      </c>
      <c r="C8943" t="s">
        <v>12039</v>
      </c>
      <c r="D8943" t="s">
        <v>18177</v>
      </c>
      <c r="E8943" t="s">
        <v>25997</v>
      </c>
      <c r="F8943" t="s">
        <v>31362</v>
      </c>
      <c r="G8943" t="s">
        <v>31369</v>
      </c>
      <c r="H8943" t="s">
        <v>31378</v>
      </c>
      <c r="I8943" t="s">
        <v>31386</v>
      </c>
      <c r="J8943" t="s">
        <v>36987</v>
      </c>
      <c r="K8943" t="s">
        <v>40686</v>
      </c>
      <c r="M8943" t="s">
        <v>43773</v>
      </c>
      <c r="N8943" t="s">
        <v>44905</v>
      </c>
      <c r="O8943" t="s">
        <v>44906</v>
      </c>
      <c r="Q8943">
        <v>1</v>
      </c>
      <c r="R8943" t="s">
        <v>44911</v>
      </c>
      <c r="S8943" t="s">
        <v>45158</v>
      </c>
      <c r="T8943" t="s">
        <v>46433</v>
      </c>
      <c r="U8943" t="s">
        <v>54131</v>
      </c>
      <c r="W8943" t="s">
        <v>43773</v>
      </c>
      <c r="X8943" t="s">
        <v>44912</v>
      </c>
    </row>
    <row r="8944" spans="1:24">
      <c r="A8944">
        <f>HYPERLINK("https://www.philgeps.gov.ph/GEPSNONPILOT/Tender/SplashBidNoticeAbstractUI.aspx?menuIndex=3&amp;refID=7072772&amp;Result=3","7072772")</f>
        <v>0</v>
      </c>
      <c r="B8944" t="s">
        <v>110</v>
      </c>
      <c r="C8944" t="s">
        <v>12040</v>
      </c>
      <c r="D8944" t="s">
        <v>18119</v>
      </c>
      <c r="E8944" t="s">
        <v>25998</v>
      </c>
      <c r="F8944" t="s">
        <v>31362</v>
      </c>
      <c r="G8944" t="s">
        <v>31369</v>
      </c>
      <c r="H8944" t="s">
        <v>31378</v>
      </c>
      <c r="I8944" t="s">
        <v>31386</v>
      </c>
      <c r="J8944" t="s">
        <v>31637</v>
      </c>
      <c r="K8944" t="s">
        <v>40675</v>
      </c>
      <c r="M8944" t="s">
        <v>43734</v>
      </c>
      <c r="N8944" t="s">
        <v>44905</v>
      </c>
      <c r="O8944" t="s">
        <v>44906</v>
      </c>
      <c r="P8944">
        <v>0</v>
      </c>
      <c r="Q8944">
        <v>0</v>
      </c>
      <c r="R8944" t="s">
        <v>44911</v>
      </c>
      <c r="S8944" t="s">
        <v>45139</v>
      </c>
      <c r="T8944" t="s">
        <v>46433</v>
      </c>
      <c r="U8944" t="s">
        <v>54132</v>
      </c>
      <c r="W8944" t="s">
        <v>43734</v>
      </c>
      <c r="X8944" t="s">
        <v>44913</v>
      </c>
    </row>
    <row r="8945" spans="1:24">
      <c r="A8945">
        <f>HYPERLINK("https://www.philgeps.gov.ph/GEPSNONPILOT/Tender/SplashBidNoticeAbstractUI.aspx?menuIndex=3&amp;refID=7072984&amp;Result=3","7072984")</f>
        <v>0</v>
      </c>
      <c r="B8945" t="s">
        <v>2595</v>
      </c>
      <c r="C8945" t="s">
        <v>12041</v>
      </c>
      <c r="D8945" t="s">
        <v>18101</v>
      </c>
      <c r="E8945" t="s">
        <v>20634</v>
      </c>
      <c r="F8945" t="s">
        <v>31362</v>
      </c>
      <c r="G8945" t="s">
        <v>31369</v>
      </c>
      <c r="H8945" t="s">
        <v>31378</v>
      </c>
      <c r="I8945" t="s">
        <v>31386</v>
      </c>
      <c r="J8945" t="s">
        <v>36988</v>
      </c>
      <c r="K8945" t="s">
        <v>40680</v>
      </c>
      <c r="M8945" t="s">
        <v>43774</v>
      </c>
      <c r="N8945" t="s">
        <v>44905</v>
      </c>
      <c r="O8945" t="s">
        <v>44906</v>
      </c>
      <c r="P8945">
        <v>0</v>
      </c>
      <c r="Q8945">
        <v>0</v>
      </c>
      <c r="R8945" t="s">
        <v>44911</v>
      </c>
      <c r="S8945" t="s">
        <v>45139</v>
      </c>
      <c r="T8945" t="s">
        <v>46409</v>
      </c>
      <c r="U8945" t="s">
        <v>54133</v>
      </c>
      <c r="W8945" t="s">
        <v>43774</v>
      </c>
      <c r="X8945" t="s">
        <v>44912</v>
      </c>
    </row>
    <row r="8946" spans="1:24">
      <c r="A8946">
        <f>HYPERLINK("https://www.philgeps.gov.ph/GEPSNONPILOT/Tender/SplashBidNoticeAbstractUI.aspx?menuIndex=3&amp;refID=7072974&amp;Result=3","7072974")</f>
        <v>0</v>
      </c>
      <c r="B8946" t="s">
        <v>2596</v>
      </c>
      <c r="C8946" t="s">
        <v>12042</v>
      </c>
      <c r="D8946" t="s">
        <v>18109</v>
      </c>
      <c r="E8946" t="s">
        <v>25999</v>
      </c>
      <c r="F8946" t="s">
        <v>31362</v>
      </c>
      <c r="G8946" t="s">
        <v>31370</v>
      </c>
      <c r="H8946" t="s">
        <v>15799</v>
      </c>
      <c r="I8946" t="s">
        <v>7090</v>
      </c>
      <c r="J8946" t="s">
        <v>36989</v>
      </c>
      <c r="K8946" t="s">
        <v>40672</v>
      </c>
      <c r="M8946" t="s">
        <v>43775</v>
      </c>
      <c r="N8946" t="s">
        <v>44905</v>
      </c>
      <c r="O8946" t="s">
        <v>44906</v>
      </c>
      <c r="P8946">
        <v>0</v>
      </c>
      <c r="Q8946">
        <v>0</v>
      </c>
      <c r="R8946" t="s">
        <v>44911</v>
      </c>
      <c r="S8946" t="s">
        <v>45139</v>
      </c>
      <c r="T8946" t="s">
        <v>46416</v>
      </c>
      <c r="U8946" t="s">
        <v>54134</v>
      </c>
      <c r="W8946" t="s">
        <v>43775</v>
      </c>
      <c r="X8946" t="s">
        <v>44912</v>
      </c>
    </row>
    <row r="8947" spans="1:24">
      <c r="A8947">
        <f>HYPERLINK("https://www.philgeps.gov.ph/GEPSNONPILOT/Tender/SplashBidNoticeAbstractUI.aspx?menuIndex=3&amp;refID=7072994&amp;Result=3","7072994")</f>
        <v>0</v>
      </c>
      <c r="B8947" t="s">
        <v>2597</v>
      </c>
      <c r="C8947" t="s">
        <v>10068</v>
      </c>
      <c r="D8947" t="s">
        <v>18116</v>
      </c>
      <c r="E8947" t="s">
        <v>24878</v>
      </c>
      <c r="F8947" t="s">
        <v>31362</v>
      </c>
      <c r="G8947" t="s">
        <v>31369</v>
      </c>
      <c r="H8947" t="s">
        <v>15799</v>
      </c>
      <c r="I8947" t="s">
        <v>31409</v>
      </c>
      <c r="J8947" t="s">
        <v>31634</v>
      </c>
      <c r="K8947" t="s">
        <v>40677</v>
      </c>
      <c r="M8947" t="s">
        <v>43776</v>
      </c>
      <c r="N8947" t="s">
        <v>44905</v>
      </c>
      <c r="O8947" t="s">
        <v>44906</v>
      </c>
      <c r="P8947">
        <v>0</v>
      </c>
      <c r="Q8947">
        <v>4</v>
      </c>
      <c r="R8947" t="s">
        <v>44911</v>
      </c>
      <c r="S8947" t="s">
        <v>45139</v>
      </c>
      <c r="T8947" t="s">
        <v>46397</v>
      </c>
      <c r="U8947" t="s">
        <v>54135</v>
      </c>
      <c r="W8947" t="s">
        <v>43776</v>
      </c>
      <c r="X8947" t="s">
        <v>44912</v>
      </c>
    </row>
    <row r="8948" spans="1:24">
      <c r="A8948">
        <f>HYPERLINK("https://www.philgeps.gov.ph/GEPSNONPILOT/Tender/SplashBidNoticeAbstractUI.aspx?menuIndex=3&amp;refID=7072981&amp;Result=3","7072981")</f>
        <v>0</v>
      </c>
      <c r="B8948" t="s">
        <v>2598</v>
      </c>
      <c r="C8948" t="s">
        <v>12043</v>
      </c>
      <c r="D8948" t="s">
        <v>18133</v>
      </c>
      <c r="E8948" t="s">
        <v>19977</v>
      </c>
      <c r="F8948" t="s">
        <v>31362</v>
      </c>
      <c r="G8948" t="s">
        <v>31369</v>
      </c>
      <c r="H8948" t="s">
        <v>15799</v>
      </c>
      <c r="I8948" t="s">
        <v>31414</v>
      </c>
      <c r="J8948" t="s">
        <v>31536</v>
      </c>
      <c r="K8948" t="s">
        <v>40661</v>
      </c>
      <c r="M8948" t="s">
        <v>43777</v>
      </c>
      <c r="N8948" t="s">
        <v>44905</v>
      </c>
      <c r="O8948" t="s">
        <v>44906</v>
      </c>
      <c r="P8948">
        <v>0</v>
      </c>
      <c r="Q8948">
        <v>1</v>
      </c>
      <c r="R8948" t="s">
        <v>44911</v>
      </c>
      <c r="S8948" t="s">
        <v>45139</v>
      </c>
      <c r="T8948" t="s">
        <v>46794</v>
      </c>
      <c r="U8948" t="s">
        <v>54136</v>
      </c>
      <c r="W8948" t="s">
        <v>43777</v>
      </c>
      <c r="X8948" t="s">
        <v>44912</v>
      </c>
    </row>
    <row r="8949" spans="1:24">
      <c r="A8949">
        <f>HYPERLINK("https://www.philgeps.gov.ph/GEPSNONPILOT/Tender/SplashBidNoticeAbstractUI.aspx?menuIndex=3&amp;refID=7073010&amp;Result=3","7073010")</f>
        <v>0</v>
      </c>
      <c r="B8949" t="s">
        <v>2593</v>
      </c>
      <c r="C8949" t="s">
        <v>12044</v>
      </c>
      <c r="D8949" t="s">
        <v>18108</v>
      </c>
      <c r="E8949" t="s">
        <v>20367</v>
      </c>
      <c r="F8949" t="s">
        <v>31362</v>
      </c>
      <c r="G8949" t="s">
        <v>31369</v>
      </c>
      <c r="H8949" t="s">
        <v>15799</v>
      </c>
      <c r="I8949" t="s">
        <v>7090</v>
      </c>
      <c r="J8949" t="s">
        <v>31531</v>
      </c>
      <c r="K8949" t="s">
        <v>40661</v>
      </c>
      <c r="M8949" t="s">
        <v>43772</v>
      </c>
      <c r="N8949" t="s">
        <v>44905</v>
      </c>
      <c r="O8949" t="s">
        <v>44906</v>
      </c>
      <c r="P8949">
        <v>0</v>
      </c>
      <c r="Q8949">
        <v>3</v>
      </c>
      <c r="R8949" t="s">
        <v>44911</v>
      </c>
      <c r="S8949" t="s">
        <v>45139</v>
      </c>
      <c r="T8949" t="s">
        <v>46415</v>
      </c>
      <c r="U8949" t="s">
        <v>54137</v>
      </c>
      <c r="V8949" t="s">
        <v>59966</v>
      </c>
      <c r="W8949" t="s">
        <v>43772</v>
      </c>
      <c r="X8949" t="s">
        <v>44912</v>
      </c>
    </row>
    <row r="8950" spans="1:24">
      <c r="A8950">
        <f>HYPERLINK("https://www.philgeps.gov.ph/GEPSNONPILOT/Tender/SplashBidNoticeAbstractUI.aspx?menuIndex=3&amp;refID=7073044&amp;Result=3","7073044")</f>
        <v>0</v>
      </c>
      <c r="B8950" t="s">
        <v>2599</v>
      </c>
      <c r="C8950" t="s">
        <v>12045</v>
      </c>
      <c r="D8950" t="s">
        <v>18133</v>
      </c>
      <c r="E8950" t="s">
        <v>19977</v>
      </c>
      <c r="F8950" t="s">
        <v>31362</v>
      </c>
      <c r="G8950" t="s">
        <v>31369</v>
      </c>
      <c r="H8950" t="s">
        <v>15799</v>
      </c>
      <c r="I8950" t="s">
        <v>31414</v>
      </c>
      <c r="J8950" t="s">
        <v>31577</v>
      </c>
      <c r="K8950" t="s">
        <v>40661</v>
      </c>
      <c r="M8950" t="s">
        <v>43778</v>
      </c>
      <c r="N8950" t="s">
        <v>44905</v>
      </c>
      <c r="O8950" t="s">
        <v>44906</v>
      </c>
      <c r="P8950">
        <v>0</v>
      </c>
      <c r="Q8950">
        <v>1</v>
      </c>
      <c r="R8950" t="s">
        <v>44911</v>
      </c>
      <c r="S8950" t="s">
        <v>45139</v>
      </c>
      <c r="T8950" t="s">
        <v>46795</v>
      </c>
      <c r="U8950" t="s">
        <v>54138</v>
      </c>
      <c r="W8950" t="s">
        <v>43778</v>
      </c>
      <c r="X8950" t="s">
        <v>44912</v>
      </c>
    </row>
    <row r="8951" spans="1:24">
      <c r="A8951">
        <f>HYPERLINK("https://www.philgeps.gov.ph/GEPSNONPILOT/Tender/SplashBidNoticeAbstractUI.aspx?menuIndex=3&amp;refID=7073033&amp;Result=3","7073033")</f>
        <v>0</v>
      </c>
      <c r="B8951" t="s">
        <v>2599</v>
      </c>
      <c r="C8951" t="s">
        <v>8686</v>
      </c>
      <c r="D8951" t="s">
        <v>18133</v>
      </c>
      <c r="E8951" t="s">
        <v>19977</v>
      </c>
      <c r="F8951" t="s">
        <v>31362</v>
      </c>
      <c r="G8951" t="s">
        <v>31369</v>
      </c>
      <c r="H8951" t="s">
        <v>31378</v>
      </c>
      <c r="I8951" t="s">
        <v>3815</v>
      </c>
      <c r="J8951" t="s">
        <v>36990</v>
      </c>
      <c r="K8951" t="s">
        <v>40661</v>
      </c>
      <c r="M8951" t="s">
        <v>43778</v>
      </c>
      <c r="N8951" t="s">
        <v>44905</v>
      </c>
      <c r="O8951" t="s">
        <v>44906</v>
      </c>
      <c r="P8951">
        <v>0</v>
      </c>
      <c r="Q8951">
        <v>0</v>
      </c>
      <c r="R8951" t="s">
        <v>44911</v>
      </c>
      <c r="S8951" t="s">
        <v>45139</v>
      </c>
      <c r="T8951" t="s">
        <v>46598</v>
      </c>
      <c r="U8951" t="s">
        <v>54139</v>
      </c>
      <c r="W8951" t="s">
        <v>43778</v>
      </c>
      <c r="X8951" t="s">
        <v>44912</v>
      </c>
    </row>
    <row r="8952" spans="1:24">
      <c r="A8952">
        <f>HYPERLINK("https://www.philgeps.gov.ph/GEPSNONPILOT/Tender/SplashBidNoticeAbstractUI.aspx?menuIndex=3&amp;refID=7072967&amp;Result=3","7072967")</f>
        <v>0</v>
      </c>
      <c r="B8952" t="s">
        <v>658</v>
      </c>
      <c r="C8952" t="s">
        <v>12046</v>
      </c>
      <c r="D8952" t="s">
        <v>18108</v>
      </c>
      <c r="E8952" t="s">
        <v>26000</v>
      </c>
      <c r="F8952" t="s">
        <v>31362</v>
      </c>
      <c r="G8952" t="s">
        <v>31372</v>
      </c>
      <c r="H8952" t="s">
        <v>15799</v>
      </c>
      <c r="I8952" t="s">
        <v>3582</v>
      </c>
      <c r="J8952" t="s">
        <v>36991</v>
      </c>
      <c r="K8952" t="s">
        <v>40662</v>
      </c>
      <c r="M8952" t="s">
        <v>43779</v>
      </c>
      <c r="N8952" t="s">
        <v>44905</v>
      </c>
      <c r="O8952" t="s">
        <v>44906</v>
      </c>
      <c r="P8952">
        <v>0</v>
      </c>
      <c r="Q8952">
        <v>0</v>
      </c>
      <c r="R8952" t="s">
        <v>44911</v>
      </c>
      <c r="S8952" t="s">
        <v>45139</v>
      </c>
      <c r="T8952" t="s">
        <v>46432</v>
      </c>
      <c r="U8952" t="s">
        <v>54140</v>
      </c>
      <c r="W8952" t="s">
        <v>43779</v>
      </c>
      <c r="X8952" t="s">
        <v>44912</v>
      </c>
    </row>
    <row r="8953" spans="1:24">
      <c r="A8953">
        <f>HYPERLINK("https://www.philgeps.gov.ph/GEPSNONPILOT/Tender/SplashBidNoticeAbstractUI.aspx?menuIndex=3&amp;refID=7073031&amp;Result=3","7073031")</f>
        <v>0</v>
      </c>
      <c r="B8953" t="s">
        <v>2600</v>
      </c>
      <c r="C8953" t="s">
        <v>12047</v>
      </c>
      <c r="D8953" t="s">
        <v>18116</v>
      </c>
      <c r="E8953" t="s">
        <v>20853</v>
      </c>
      <c r="F8953" t="s">
        <v>31362</v>
      </c>
      <c r="G8953" t="s">
        <v>31369</v>
      </c>
      <c r="H8953" t="s">
        <v>31378</v>
      </c>
      <c r="I8953" t="s">
        <v>31386</v>
      </c>
      <c r="J8953" t="s">
        <v>36992</v>
      </c>
      <c r="K8953" t="s">
        <v>40665</v>
      </c>
      <c r="M8953" t="s">
        <v>43780</v>
      </c>
      <c r="N8953" t="s">
        <v>44905</v>
      </c>
      <c r="O8953" t="s">
        <v>44906</v>
      </c>
      <c r="P8953">
        <v>0</v>
      </c>
      <c r="Q8953">
        <v>0</v>
      </c>
      <c r="R8953" t="s">
        <v>44911</v>
      </c>
      <c r="S8953" t="s">
        <v>45139</v>
      </c>
      <c r="T8953" t="s">
        <v>46434</v>
      </c>
      <c r="U8953" t="s">
        <v>54141</v>
      </c>
      <c r="W8953" t="s">
        <v>43780</v>
      </c>
      <c r="X8953" t="s">
        <v>44912</v>
      </c>
    </row>
    <row r="8954" spans="1:24">
      <c r="A8954">
        <f>HYPERLINK("https://www.philgeps.gov.ph/GEPSNONPILOT/Tender/SplashBidNoticeAbstractUI.aspx?menuIndex=3&amp;refID=7073029&amp;Result=3","7073029")</f>
        <v>0</v>
      </c>
      <c r="B8954" t="s">
        <v>2593</v>
      </c>
      <c r="C8954" t="s">
        <v>12048</v>
      </c>
      <c r="D8954" t="s">
        <v>18108</v>
      </c>
      <c r="E8954" t="s">
        <v>18440</v>
      </c>
      <c r="F8954" t="s">
        <v>31362</v>
      </c>
      <c r="G8954" t="s">
        <v>31369</v>
      </c>
      <c r="H8954" t="s">
        <v>15799</v>
      </c>
      <c r="I8954" t="s">
        <v>6373</v>
      </c>
      <c r="J8954" t="s">
        <v>33143</v>
      </c>
      <c r="K8954" t="s">
        <v>40666</v>
      </c>
      <c r="M8954" t="s">
        <v>43772</v>
      </c>
      <c r="N8954" t="s">
        <v>44905</v>
      </c>
      <c r="O8954" t="s">
        <v>44906</v>
      </c>
      <c r="P8954">
        <v>0</v>
      </c>
      <c r="Q8954">
        <v>4</v>
      </c>
      <c r="R8954" t="s">
        <v>44911</v>
      </c>
      <c r="S8954" t="s">
        <v>45139</v>
      </c>
      <c r="T8954" t="s">
        <v>46415</v>
      </c>
      <c r="U8954" t="s">
        <v>54142</v>
      </c>
      <c r="V8954" t="s">
        <v>59965</v>
      </c>
      <c r="W8954" t="s">
        <v>43772</v>
      </c>
      <c r="X8954" t="s">
        <v>44912</v>
      </c>
    </row>
    <row r="8955" spans="1:24">
      <c r="A8955">
        <f>HYPERLINK("https://www.philgeps.gov.ph/GEPSNONPILOT/Tender/SplashBidNoticeAbstractUI.aspx?menuIndex=3&amp;refID=7073022&amp;Result=3","7073022")</f>
        <v>0</v>
      </c>
      <c r="B8955" t="s">
        <v>2593</v>
      </c>
      <c r="C8955" t="s">
        <v>12049</v>
      </c>
      <c r="D8955" t="s">
        <v>18108</v>
      </c>
      <c r="E8955" t="s">
        <v>18466</v>
      </c>
      <c r="F8955" t="s">
        <v>31362</v>
      </c>
      <c r="G8955" t="s">
        <v>31369</v>
      </c>
      <c r="H8955" t="s">
        <v>15799</v>
      </c>
      <c r="I8955" t="s">
        <v>31384</v>
      </c>
      <c r="J8955" t="s">
        <v>32312</v>
      </c>
      <c r="K8955" t="s">
        <v>40666</v>
      </c>
      <c r="M8955" t="s">
        <v>43772</v>
      </c>
      <c r="N8955" t="s">
        <v>44905</v>
      </c>
      <c r="O8955" t="s">
        <v>44906</v>
      </c>
      <c r="P8955">
        <v>0</v>
      </c>
      <c r="Q8955">
        <v>4</v>
      </c>
      <c r="R8955" t="s">
        <v>44911</v>
      </c>
      <c r="S8955" t="s">
        <v>45139</v>
      </c>
      <c r="T8955" t="s">
        <v>46415</v>
      </c>
      <c r="U8955" t="s">
        <v>54143</v>
      </c>
      <c r="V8955" t="s">
        <v>59965</v>
      </c>
      <c r="W8955" t="s">
        <v>43772</v>
      </c>
      <c r="X8955" t="s">
        <v>44912</v>
      </c>
    </row>
    <row r="8956" spans="1:24">
      <c r="A8956">
        <f>HYPERLINK("https://www.philgeps.gov.ph/GEPSNONPILOT/Tender/SplashBidNoticeAbstractUI.aspx?menuIndex=3&amp;refID=7073048&amp;Result=3","7073048")</f>
        <v>0</v>
      </c>
      <c r="B8956" t="s">
        <v>2601</v>
      </c>
      <c r="C8956" t="s">
        <v>12050</v>
      </c>
      <c r="D8956" t="s">
        <v>18108</v>
      </c>
      <c r="E8956" t="s">
        <v>26001</v>
      </c>
      <c r="F8956" t="s">
        <v>31362</v>
      </c>
      <c r="G8956" t="s">
        <v>31369</v>
      </c>
      <c r="H8956" t="s">
        <v>15799</v>
      </c>
      <c r="I8956" t="s">
        <v>13635</v>
      </c>
      <c r="J8956" t="s">
        <v>31765</v>
      </c>
      <c r="K8956" t="s">
        <v>40670</v>
      </c>
      <c r="M8956" t="s">
        <v>43781</v>
      </c>
      <c r="N8956" t="s">
        <v>44905</v>
      </c>
      <c r="O8956" t="s">
        <v>44906</v>
      </c>
      <c r="P8956">
        <v>0</v>
      </c>
      <c r="Q8956">
        <v>6</v>
      </c>
      <c r="R8956" t="s">
        <v>44911</v>
      </c>
      <c r="S8956" t="s">
        <v>45139</v>
      </c>
      <c r="T8956" t="s">
        <v>46409</v>
      </c>
      <c r="U8956" t="s">
        <v>54144</v>
      </c>
      <c r="W8956" t="s">
        <v>43781</v>
      </c>
      <c r="X8956" t="s">
        <v>44912</v>
      </c>
    </row>
    <row r="8957" spans="1:24">
      <c r="A8957">
        <f>HYPERLINK("https://www.philgeps.gov.ph/GEPSNONPILOT/Tender/SplashBidNoticeAbstractUI.aspx?menuIndex=3&amp;refID=7072998&amp;Result=3","7072998")</f>
        <v>0</v>
      </c>
      <c r="B8957" t="s">
        <v>2593</v>
      </c>
      <c r="C8957" t="s">
        <v>12051</v>
      </c>
      <c r="D8957" t="s">
        <v>18108</v>
      </c>
      <c r="E8957" t="s">
        <v>19844</v>
      </c>
      <c r="F8957" t="s">
        <v>31362</v>
      </c>
      <c r="G8957" t="s">
        <v>31369</v>
      </c>
      <c r="H8957" t="s">
        <v>15799</v>
      </c>
      <c r="I8957" t="s">
        <v>7090</v>
      </c>
      <c r="J8957" t="s">
        <v>32278</v>
      </c>
      <c r="K8957" t="s">
        <v>40661</v>
      </c>
      <c r="M8957" t="s">
        <v>43772</v>
      </c>
      <c r="N8957" t="s">
        <v>44905</v>
      </c>
      <c r="O8957" t="s">
        <v>44906</v>
      </c>
      <c r="P8957">
        <v>0</v>
      </c>
      <c r="Q8957">
        <v>2</v>
      </c>
      <c r="R8957" t="s">
        <v>44911</v>
      </c>
      <c r="S8957" t="s">
        <v>45139</v>
      </c>
      <c r="T8957" t="s">
        <v>46415</v>
      </c>
      <c r="U8957" t="s">
        <v>54145</v>
      </c>
      <c r="V8957" t="s">
        <v>59966</v>
      </c>
      <c r="W8957" t="s">
        <v>43772</v>
      </c>
      <c r="X8957" t="s">
        <v>44912</v>
      </c>
    </row>
    <row r="8958" spans="1:24">
      <c r="A8958">
        <f>HYPERLINK("https://www.philgeps.gov.ph/GEPSNONPILOT/Tender/SplashBidNoticeAbstractUI.aspx?menuIndex=3&amp;refID=7073078&amp;Result=3","7073078")</f>
        <v>0</v>
      </c>
      <c r="B8958" t="s">
        <v>2602</v>
      </c>
      <c r="C8958" t="s">
        <v>12052</v>
      </c>
      <c r="D8958" t="s">
        <v>18134</v>
      </c>
      <c r="E8958" t="s">
        <v>26002</v>
      </c>
      <c r="F8958" t="s">
        <v>31362</v>
      </c>
      <c r="G8958" t="s">
        <v>31368</v>
      </c>
      <c r="H8958" t="s">
        <v>15799</v>
      </c>
      <c r="I8958" t="s">
        <v>7188</v>
      </c>
      <c r="J8958" t="s">
        <v>31688</v>
      </c>
      <c r="K8958" t="s">
        <v>40666</v>
      </c>
      <c r="M8958" t="s">
        <v>43782</v>
      </c>
      <c r="N8958" t="s">
        <v>44905</v>
      </c>
      <c r="O8958" t="s">
        <v>44906</v>
      </c>
      <c r="P8958">
        <v>0</v>
      </c>
      <c r="Q8958">
        <v>1</v>
      </c>
      <c r="R8958" t="s">
        <v>44911</v>
      </c>
      <c r="S8958" t="s">
        <v>45139</v>
      </c>
      <c r="T8958" t="s">
        <v>46432</v>
      </c>
      <c r="U8958" t="s">
        <v>54146</v>
      </c>
      <c r="W8958" t="s">
        <v>43782</v>
      </c>
      <c r="X8958" t="s">
        <v>44912</v>
      </c>
    </row>
    <row r="8959" spans="1:24">
      <c r="A8959">
        <f>HYPERLINK("https://www.philgeps.gov.ph/GEPSNONPILOT/Tender/SplashBidNoticeAbstractUI.aspx?menuIndex=3&amp;refID=7073073&amp;Result=3","7073073")</f>
        <v>0</v>
      </c>
      <c r="B8959" t="s">
        <v>2603</v>
      </c>
      <c r="C8959" t="s">
        <v>12039</v>
      </c>
      <c r="D8959" t="s">
        <v>18177</v>
      </c>
      <c r="E8959" t="s">
        <v>26003</v>
      </c>
      <c r="F8959" t="s">
        <v>31362</v>
      </c>
      <c r="G8959" t="s">
        <v>31369</v>
      </c>
      <c r="H8959" t="s">
        <v>31378</v>
      </c>
      <c r="I8959" t="s">
        <v>31386</v>
      </c>
      <c r="J8959" t="s">
        <v>36993</v>
      </c>
      <c r="K8959" t="s">
        <v>40686</v>
      </c>
      <c r="M8959" t="s">
        <v>43783</v>
      </c>
      <c r="N8959" t="s">
        <v>44905</v>
      </c>
      <c r="O8959" t="s">
        <v>44906</v>
      </c>
      <c r="P8959">
        <v>0</v>
      </c>
      <c r="Q8959">
        <v>0</v>
      </c>
      <c r="R8959" t="s">
        <v>44911</v>
      </c>
      <c r="S8959" t="s">
        <v>45139</v>
      </c>
      <c r="T8959" t="s">
        <v>46696</v>
      </c>
      <c r="U8959" t="s">
        <v>54147</v>
      </c>
      <c r="W8959" t="s">
        <v>43783</v>
      </c>
      <c r="X8959" t="s">
        <v>44912</v>
      </c>
    </row>
    <row r="8960" spans="1:24">
      <c r="A8960">
        <f>HYPERLINK("https://www.philgeps.gov.ph/GEPSNONPILOT/Tender/SplashBidNoticeAbstractUI.aspx?menuIndex=3&amp;refID=7073023&amp;Result=3","7073023")</f>
        <v>0</v>
      </c>
      <c r="B8960" t="s">
        <v>934</v>
      </c>
      <c r="C8960" t="s">
        <v>12053</v>
      </c>
      <c r="D8960" t="s">
        <v>18172</v>
      </c>
      <c r="E8960" t="s">
        <v>18475</v>
      </c>
      <c r="F8960" t="s">
        <v>31362</v>
      </c>
      <c r="G8960" t="s">
        <v>31369</v>
      </c>
      <c r="H8960" t="s">
        <v>31378</v>
      </c>
      <c r="I8960" t="s">
        <v>31386</v>
      </c>
      <c r="J8960" t="s">
        <v>36994</v>
      </c>
      <c r="K8960" t="s">
        <v>40665</v>
      </c>
      <c r="M8960" t="s">
        <v>41921</v>
      </c>
      <c r="N8960" t="s">
        <v>44905</v>
      </c>
      <c r="O8960" t="s">
        <v>44906</v>
      </c>
      <c r="P8960">
        <v>0</v>
      </c>
      <c r="Q8960">
        <v>1</v>
      </c>
      <c r="R8960" t="s">
        <v>44911</v>
      </c>
      <c r="S8960" t="s">
        <v>45139</v>
      </c>
      <c r="T8960" t="s">
        <v>46690</v>
      </c>
      <c r="U8960" t="s">
        <v>54148</v>
      </c>
      <c r="W8960" t="s">
        <v>41921</v>
      </c>
      <c r="X8960" t="s">
        <v>44912</v>
      </c>
    </row>
    <row r="8961" spans="1:24">
      <c r="A8961">
        <f>HYPERLINK("https://www.philgeps.gov.ph/GEPSNONPILOT/Tender/SplashBidNoticeAbstractUI.aspx?menuIndex=3&amp;refID=7073118&amp;Result=3","7073118")</f>
        <v>0</v>
      </c>
      <c r="B8961" t="s">
        <v>2604</v>
      </c>
      <c r="C8961" t="s">
        <v>12054</v>
      </c>
      <c r="D8961" t="s">
        <v>18101</v>
      </c>
      <c r="E8961" t="s">
        <v>26004</v>
      </c>
      <c r="F8961" t="s">
        <v>31362</v>
      </c>
      <c r="G8961" t="s">
        <v>31369</v>
      </c>
      <c r="H8961" t="s">
        <v>31378</v>
      </c>
      <c r="I8961" t="s">
        <v>31386</v>
      </c>
      <c r="J8961" t="s">
        <v>36995</v>
      </c>
      <c r="K8961" t="s">
        <v>40670</v>
      </c>
      <c r="M8961" t="s">
        <v>43784</v>
      </c>
      <c r="N8961" t="s">
        <v>44905</v>
      </c>
      <c r="O8961" t="s">
        <v>44906</v>
      </c>
      <c r="P8961">
        <v>0</v>
      </c>
      <c r="Q8961">
        <v>0</v>
      </c>
      <c r="R8961" t="s">
        <v>44911</v>
      </c>
      <c r="S8961" t="s">
        <v>45139</v>
      </c>
      <c r="T8961" t="s">
        <v>46416</v>
      </c>
      <c r="U8961" t="s">
        <v>54149</v>
      </c>
      <c r="V8961" t="s">
        <v>59967</v>
      </c>
      <c r="W8961" t="s">
        <v>43784</v>
      </c>
      <c r="X8961" t="s">
        <v>44912</v>
      </c>
    </row>
    <row r="8962" spans="1:24">
      <c r="A8962">
        <f>HYPERLINK("https://www.philgeps.gov.ph/GEPSNONPILOT/Tender/SplashBidNoticeAbstractUI.aspx?menuIndex=3&amp;refID=7073047&amp;Result=3","7073047")</f>
        <v>0</v>
      </c>
      <c r="B8962" t="s">
        <v>2601</v>
      </c>
      <c r="C8962" t="s">
        <v>12055</v>
      </c>
      <c r="D8962" t="s">
        <v>18108</v>
      </c>
      <c r="E8962" t="s">
        <v>26005</v>
      </c>
      <c r="F8962" t="s">
        <v>31362</v>
      </c>
      <c r="G8962" t="s">
        <v>31369</v>
      </c>
      <c r="H8962" t="s">
        <v>15799</v>
      </c>
      <c r="I8962" t="s">
        <v>31399</v>
      </c>
      <c r="J8962" t="s">
        <v>36996</v>
      </c>
      <c r="K8962" t="s">
        <v>40670</v>
      </c>
      <c r="M8962" t="s">
        <v>43781</v>
      </c>
      <c r="N8962" t="s">
        <v>44905</v>
      </c>
      <c r="O8962" t="s">
        <v>44906</v>
      </c>
      <c r="P8962">
        <v>0</v>
      </c>
      <c r="Q8962">
        <v>7</v>
      </c>
      <c r="R8962" t="s">
        <v>44911</v>
      </c>
      <c r="S8962" t="s">
        <v>45139</v>
      </c>
      <c r="T8962" t="s">
        <v>46409</v>
      </c>
      <c r="U8962" t="s">
        <v>54144</v>
      </c>
      <c r="W8962" t="s">
        <v>43781</v>
      </c>
      <c r="X8962" t="s">
        <v>44912</v>
      </c>
    </row>
    <row r="8963" spans="1:24">
      <c r="A8963">
        <f>HYPERLINK("https://www.philgeps.gov.ph/GEPSNONPILOT/Tender/SplashBidNoticeAbstractUI.aspx?menuIndex=3&amp;refID=7073115&amp;Result=3","7073115")</f>
        <v>0</v>
      </c>
      <c r="B8963" t="s">
        <v>2605</v>
      </c>
      <c r="C8963" t="s">
        <v>12056</v>
      </c>
      <c r="D8963" t="s">
        <v>18134</v>
      </c>
      <c r="E8963" t="s">
        <v>26006</v>
      </c>
      <c r="F8963" t="s">
        <v>31362</v>
      </c>
      <c r="G8963" t="s">
        <v>31369</v>
      </c>
      <c r="H8963" t="s">
        <v>15799</v>
      </c>
      <c r="I8963" t="s">
        <v>3815</v>
      </c>
      <c r="J8963" t="s">
        <v>36997</v>
      </c>
      <c r="K8963" t="s">
        <v>40666</v>
      </c>
      <c r="M8963" t="s">
        <v>43785</v>
      </c>
      <c r="N8963" t="s">
        <v>44905</v>
      </c>
      <c r="O8963" t="s">
        <v>44906</v>
      </c>
      <c r="P8963">
        <v>0</v>
      </c>
      <c r="Q8963">
        <v>0</v>
      </c>
      <c r="R8963" t="s">
        <v>44911</v>
      </c>
      <c r="S8963" t="s">
        <v>45139</v>
      </c>
      <c r="T8963" t="s">
        <v>46411</v>
      </c>
      <c r="U8963" t="s">
        <v>54150</v>
      </c>
      <c r="W8963" t="s">
        <v>43785</v>
      </c>
      <c r="X8963" t="s">
        <v>44912</v>
      </c>
    </row>
    <row r="8964" spans="1:24">
      <c r="A8964">
        <f>HYPERLINK("https://www.philgeps.gov.ph/GEPSNONPILOT/Tender/SplashBidNoticeAbstractUI.aspx?menuIndex=3&amp;refID=7073109&amp;Result=3","7073109")</f>
        <v>0</v>
      </c>
      <c r="B8964" t="s">
        <v>2606</v>
      </c>
      <c r="C8964" t="s">
        <v>12057</v>
      </c>
      <c r="D8964" t="s">
        <v>18115</v>
      </c>
      <c r="E8964" t="s">
        <v>26007</v>
      </c>
      <c r="F8964" t="s">
        <v>31362</v>
      </c>
      <c r="G8964" t="s">
        <v>31369</v>
      </c>
      <c r="H8964" t="s">
        <v>15799</v>
      </c>
      <c r="I8964" t="s">
        <v>31444</v>
      </c>
      <c r="J8964" t="s">
        <v>33410</v>
      </c>
      <c r="K8964" t="s">
        <v>40666</v>
      </c>
      <c r="M8964" t="s">
        <v>43786</v>
      </c>
      <c r="N8964" t="s">
        <v>44905</v>
      </c>
      <c r="O8964" t="s">
        <v>44906</v>
      </c>
      <c r="P8964">
        <v>0</v>
      </c>
      <c r="Q8964">
        <v>9</v>
      </c>
      <c r="R8964" t="s">
        <v>44911</v>
      </c>
      <c r="S8964" t="s">
        <v>45139</v>
      </c>
      <c r="T8964" t="s">
        <v>46511</v>
      </c>
      <c r="U8964" t="s">
        <v>54151</v>
      </c>
      <c r="V8964" t="s">
        <v>59185</v>
      </c>
      <c r="W8964" t="s">
        <v>43786</v>
      </c>
      <c r="X8964" t="s">
        <v>44912</v>
      </c>
    </row>
    <row r="8965" spans="1:24">
      <c r="A8965">
        <f>HYPERLINK("https://www.philgeps.gov.ph/GEPSNONPILOT/Tender/SplashBidNoticeAbstractUI.aspx?menuIndex=3&amp;refID=7073069&amp;Result=3","7073069")</f>
        <v>0</v>
      </c>
      <c r="B8965" t="s">
        <v>27</v>
      </c>
      <c r="C8965" t="s">
        <v>12058</v>
      </c>
      <c r="D8965" t="s">
        <v>18101</v>
      </c>
      <c r="E8965" t="s">
        <v>26008</v>
      </c>
      <c r="F8965" t="s">
        <v>31362</v>
      </c>
      <c r="G8965" t="s">
        <v>31369</v>
      </c>
      <c r="H8965" t="s">
        <v>31378</v>
      </c>
      <c r="I8965" t="s">
        <v>31386</v>
      </c>
      <c r="J8965" t="s">
        <v>36998</v>
      </c>
      <c r="K8965" t="s">
        <v>40850</v>
      </c>
      <c r="M8965" t="s">
        <v>40961</v>
      </c>
      <c r="N8965" t="s">
        <v>44905</v>
      </c>
      <c r="O8965" t="s">
        <v>44906</v>
      </c>
      <c r="P8965">
        <v>0</v>
      </c>
      <c r="Q8965">
        <v>3</v>
      </c>
      <c r="R8965" t="s">
        <v>44911</v>
      </c>
      <c r="S8965" t="s">
        <v>45139</v>
      </c>
      <c r="T8965" t="s">
        <v>46479</v>
      </c>
      <c r="U8965" t="s">
        <v>54152</v>
      </c>
      <c r="W8965" t="s">
        <v>40961</v>
      </c>
      <c r="X8965" t="s">
        <v>44912</v>
      </c>
    </row>
    <row r="8966" spans="1:24">
      <c r="A8966">
        <f>HYPERLINK("https://www.philgeps.gov.ph/GEPSNONPILOT/Tender/SplashBidNoticeAbstractUI.aspx?menuIndex=3&amp;refID=7073100&amp;Result=3","7073100")</f>
        <v>0</v>
      </c>
      <c r="B8966" t="s">
        <v>2607</v>
      </c>
      <c r="C8966" t="s">
        <v>12059</v>
      </c>
      <c r="D8966" t="s">
        <v>18100</v>
      </c>
      <c r="E8966" t="s">
        <v>26009</v>
      </c>
      <c r="F8966" t="s">
        <v>31362</v>
      </c>
      <c r="G8966" t="s">
        <v>31369</v>
      </c>
      <c r="H8966" t="s">
        <v>15799</v>
      </c>
      <c r="I8966" t="s">
        <v>6373</v>
      </c>
      <c r="J8966" t="s">
        <v>36999</v>
      </c>
      <c r="K8966" t="s">
        <v>40693</v>
      </c>
      <c r="M8966" t="s">
        <v>43787</v>
      </c>
      <c r="N8966" t="s">
        <v>44905</v>
      </c>
      <c r="O8966" t="s">
        <v>44906</v>
      </c>
      <c r="P8966">
        <v>0</v>
      </c>
      <c r="Q8966">
        <v>2</v>
      </c>
      <c r="R8966" t="s">
        <v>44911</v>
      </c>
      <c r="S8966" t="s">
        <v>45139</v>
      </c>
      <c r="T8966" t="s">
        <v>46521</v>
      </c>
      <c r="U8966" t="s">
        <v>54153</v>
      </c>
      <c r="V8966" t="s">
        <v>59968</v>
      </c>
      <c r="W8966" t="s">
        <v>43787</v>
      </c>
      <c r="X8966" t="s">
        <v>44912</v>
      </c>
    </row>
    <row r="8967" spans="1:24">
      <c r="A8967">
        <f>HYPERLINK("https://www.philgeps.gov.ph/GEPSNONPILOT/Tender/SplashBidNoticeAbstractUI.aspx?menuIndex=3&amp;refID=7073067&amp;Result=3","7073067")</f>
        <v>0</v>
      </c>
      <c r="B8967" t="s">
        <v>2602</v>
      </c>
      <c r="C8967" t="s">
        <v>12060</v>
      </c>
      <c r="D8967" t="s">
        <v>18134</v>
      </c>
      <c r="E8967" t="s">
        <v>26010</v>
      </c>
      <c r="F8967" t="s">
        <v>31362</v>
      </c>
      <c r="G8967" t="s">
        <v>31370</v>
      </c>
      <c r="H8967" t="s">
        <v>15799</v>
      </c>
      <c r="I8967" t="s">
        <v>31465</v>
      </c>
      <c r="J8967" t="s">
        <v>31997</v>
      </c>
      <c r="K8967" t="s">
        <v>40666</v>
      </c>
      <c r="M8967" t="s">
        <v>43782</v>
      </c>
      <c r="N8967" t="s">
        <v>44905</v>
      </c>
      <c r="O8967" t="s">
        <v>44906</v>
      </c>
      <c r="P8967">
        <v>0</v>
      </c>
      <c r="Q8967">
        <v>3</v>
      </c>
      <c r="R8967" t="s">
        <v>44911</v>
      </c>
      <c r="S8967" t="s">
        <v>45139</v>
      </c>
      <c r="T8967" t="s">
        <v>46432</v>
      </c>
      <c r="U8967" t="s">
        <v>54154</v>
      </c>
      <c r="W8967" t="s">
        <v>43782</v>
      </c>
      <c r="X8967" t="s">
        <v>44912</v>
      </c>
    </row>
    <row r="8968" spans="1:24">
      <c r="A8968">
        <f>HYPERLINK("https://www.philgeps.gov.ph/GEPSNONPILOT/Tender/SplashBidNoticeAbstractUI.aspx?menuIndex=3&amp;refID=7073099&amp;Result=3","7073099")</f>
        <v>0</v>
      </c>
      <c r="B8968" t="s">
        <v>985</v>
      </c>
      <c r="C8968" t="s">
        <v>12061</v>
      </c>
      <c r="D8968" t="s">
        <v>18107</v>
      </c>
      <c r="E8968" t="s">
        <v>26011</v>
      </c>
      <c r="F8968" t="s">
        <v>31362</v>
      </c>
      <c r="G8968" t="s">
        <v>31369</v>
      </c>
      <c r="H8968" t="s">
        <v>31378</v>
      </c>
      <c r="I8968" t="s">
        <v>31386</v>
      </c>
      <c r="J8968" t="s">
        <v>32673</v>
      </c>
      <c r="K8968" t="s">
        <v>40679</v>
      </c>
      <c r="M8968" t="s">
        <v>41977</v>
      </c>
      <c r="N8968" t="s">
        <v>44905</v>
      </c>
      <c r="O8968" t="s">
        <v>44906</v>
      </c>
      <c r="P8968">
        <v>0</v>
      </c>
      <c r="Q8968">
        <v>0</v>
      </c>
      <c r="R8968" t="s">
        <v>44911</v>
      </c>
      <c r="S8968" t="s">
        <v>45139</v>
      </c>
      <c r="T8968" t="s">
        <v>46490</v>
      </c>
      <c r="U8968" t="s">
        <v>49021</v>
      </c>
      <c r="W8968" t="s">
        <v>41977</v>
      </c>
      <c r="X8968" t="s">
        <v>44912</v>
      </c>
    </row>
    <row r="8969" spans="1:24">
      <c r="A8969">
        <f>HYPERLINK("https://www.philgeps.gov.ph/GEPSNONPILOT/Tender/SplashBidNoticeAbstractUI.aspx?menuIndex=3&amp;refID=7073059&amp;Result=3","7073059")</f>
        <v>0</v>
      </c>
      <c r="B8969" t="s">
        <v>2608</v>
      </c>
      <c r="C8969" t="s">
        <v>8554</v>
      </c>
      <c r="D8969" t="s">
        <v>18133</v>
      </c>
      <c r="E8969" t="s">
        <v>19977</v>
      </c>
      <c r="F8969" t="s">
        <v>31362</v>
      </c>
      <c r="G8969" t="s">
        <v>31369</v>
      </c>
      <c r="H8969" t="s">
        <v>31378</v>
      </c>
      <c r="I8969" t="s">
        <v>3815</v>
      </c>
      <c r="J8969" t="s">
        <v>37000</v>
      </c>
      <c r="K8969" t="s">
        <v>40661</v>
      </c>
      <c r="M8969" t="s">
        <v>43788</v>
      </c>
      <c r="N8969" t="s">
        <v>44905</v>
      </c>
      <c r="O8969" t="s">
        <v>44906</v>
      </c>
      <c r="P8969">
        <v>0</v>
      </c>
      <c r="Q8969">
        <v>0</v>
      </c>
      <c r="R8969" t="s">
        <v>44911</v>
      </c>
      <c r="S8969" t="s">
        <v>45139</v>
      </c>
      <c r="T8969" t="s">
        <v>46486</v>
      </c>
      <c r="U8969" t="s">
        <v>54155</v>
      </c>
      <c r="W8969" t="s">
        <v>43788</v>
      </c>
      <c r="X8969" t="s">
        <v>44912</v>
      </c>
    </row>
    <row r="8970" spans="1:24">
      <c r="A8970">
        <f>HYPERLINK("https://www.philgeps.gov.ph/GEPSNONPILOT/Tender/SplashBidNoticeAbstractUI.aspx?menuIndex=3&amp;refID=7073058&amp;Result=3","7073058")</f>
        <v>0</v>
      </c>
      <c r="B8970" t="s">
        <v>27</v>
      </c>
      <c r="C8970" t="s">
        <v>12062</v>
      </c>
      <c r="D8970" t="s">
        <v>18101</v>
      </c>
      <c r="E8970" t="s">
        <v>26012</v>
      </c>
      <c r="F8970" t="s">
        <v>31362</v>
      </c>
      <c r="G8970" t="s">
        <v>31369</v>
      </c>
      <c r="H8970" t="s">
        <v>31378</v>
      </c>
      <c r="I8970" t="s">
        <v>31386</v>
      </c>
      <c r="J8970" t="s">
        <v>36584</v>
      </c>
      <c r="K8970" t="s">
        <v>40806</v>
      </c>
      <c r="M8970" t="s">
        <v>40961</v>
      </c>
      <c r="N8970" t="s">
        <v>44905</v>
      </c>
      <c r="O8970" t="s">
        <v>44906</v>
      </c>
      <c r="P8970">
        <v>0</v>
      </c>
      <c r="Q8970">
        <v>3</v>
      </c>
      <c r="R8970" t="s">
        <v>44911</v>
      </c>
      <c r="S8970" t="s">
        <v>45139</v>
      </c>
      <c r="T8970" t="s">
        <v>46479</v>
      </c>
      <c r="U8970" t="s">
        <v>54152</v>
      </c>
      <c r="W8970" t="s">
        <v>40961</v>
      </c>
      <c r="X8970" t="s">
        <v>44912</v>
      </c>
    </row>
    <row r="8971" spans="1:24">
      <c r="A8971">
        <f>HYPERLINK("https://www.philgeps.gov.ph/GEPSNONPILOT/Tender/SplashBidNoticeAbstractUI.aspx?menuIndex=3&amp;refID=7073055&amp;Result=3","7073055")</f>
        <v>0</v>
      </c>
      <c r="B8971" t="s">
        <v>2609</v>
      </c>
      <c r="C8971" t="s">
        <v>12063</v>
      </c>
      <c r="D8971" t="s">
        <v>18116</v>
      </c>
      <c r="E8971" t="s">
        <v>18440</v>
      </c>
      <c r="F8971" t="s">
        <v>31362</v>
      </c>
      <c r="G8971" t="s">
        <v>31369</v>
      </c>
      <c r="H8971" t="s">
        <v>31378</v>
      </c>
      <c r="I8971" t="s">
        <v>31386</v>
      </c>
      <c r="J8971" t="s">
        <v>31578</v>
      </c>
      <c r="K8971" t="s">
        <v>40677</v>
      </c>
      <c r="M8971" t="s">
        <v>43789</v>
      </c>
      <c r="N8971" t="s">
        <v>44905</v>
      </c>
      <c r="O8971" t="s">
        <v>44906</v>
      </c>
      <c r="P8971">
        <v>0</v>
      </c>
      <c r="Q8971">
        <v>0</v>
      </c>
      <c r="R8971" t="s">
        <v>44911</v>
      </c>
      <c r="S8971" t="s">
        <v>45139</v>
      </c>
      <c r="T8971" t="s">
        <v>46434</v>
      </c>
      <c r="U8971" t="s">
        <v>54156</v>
      </c>
      <c r="W8971" t="s">
        <v>43789</v>
      </c>
      <c r="X8971" t="s">
        <v>44912</v>
      </c>
    </row>
    <row r="8972" spans="1:24">
      <c r="A8972">
        <f>HYPERLINK("https://www.philgeps.gov.ph/GEPSNONPILOT/Tender/SplashBidNoticeAbstractUI.aspx?menuIndex=3&amp;refID=7073054&amp;Result=3","7073054")</f>
        <v>0</v>
      </c>
      <c r="B8972" t="s">
        <v>27</v>
      </c>
      <c r="C8972" t="s">
        <v>12064</v>
      </c>
      <c r="D8972" t="s">
        <v>18101</v>
      </c>
      <c r="E8972" t="s">
        <v>26013</v>
      </c>
      <c r="F8972" t="s">
        <v>31362</v>
      </c>
      <c r="G8972" t="s">
        <v>31369</v>
      </c>
      <c r="H8972" t="s">
        <v>31378</v>
      </c>
      <c r="I8972" t="s">
        <v>31386</v>
      </c>
      <c r="J8972" t="s">
        <v>37001</v>
      </c>
      <c r="K8972" t="s">
        <v>40679</v>
      </c>
      <c r="M8972" t="s">
        <v>40961</v>
      </c>
      <c r="N8972" t="s">
        <v>44905</v>
      </c>
      <c r="O8972" t="s">
        <v>44906</v>
      </c>
      <c r="P8972">
        <v>0</v>
      </c>
      <c r="Q8972">
        <v>2</v>
      </c>
      <c r="R8972" t="s">
        <v>44911</v>
      </c>
      <c r="S8972" t="s">
        <v>45139</v>
      </c>
      <c r="T8972" t="s">
        <v>46479</v>
      </c>
      <c r="U8972" t="s">
        <v>54152</v>
      </c>
      <c r="W8972" t="s">
        <v>40961</v>
      </c>
      <c r="X8972" t="s">
        <v>44912</v>
      </c>
    </row>
    <row r="8973" spans="1:24">
      <c r="A8973">
        <f>HYPERLINK("https://www.philgeps.gov.ph/GEPSNONPILOT/Tender/SplashBidNoticeAbstractUI.aspx?menuIndex=3&amp;refID=7073119&amp;Result=3","7073119")</f>
        <v>0</v>
      </c>
      <c r="B8973" t="s">
        <v>886</v>
      </c>
      <c r="C8973" t="s">
        <v>12065</v>
      </c>
      <c r="E8973" t="s">
        <v>26014</v>
      </c>
      <c r="F8973" t="s">
        <v>31362</v>
      </c>
      <c r="G8973" t="s">
        <v>31372</v>
      </c>
      <c r="H8973" t="s">
        <v>15799</v>
      </c>
      <c r="I8973" t="s">
        <v>7188</v>
      </c>
      <c r="J8973" t="s">
        <v>37002</v>
      </c>
      <c r="K8973" t="s">
        <v>40662</v>
      </c>
      <c r="M8973" t="s">
        <v>41970</v>
      </c>
      <c r="N8973" t="s">
        <v>44905</v>
      </c>
      <c r="O8973" t="s">
        <v>44906</v>
      </c>
      <c r="P8973">
        <v>0</v>
      </c>
      <c r="Q8973">
        <v>16</v>
      </c>
      <c r="R8973" t="s">
        <v>44911</v>
      </c>
      <c r="S8973" t="s">
        <v>45139</v>
      </c>
      <c r="T8973" t="s">
        <v>46493</v>
      </c>
      <c r="U8973" t="s">
        <v>49008</v>
      </c>
      <c r="W8973" t="s">
        <v>41970</v>
      </c>
      <c r="X8973" t="s">
        <v>44912</v>
      </c>
    </row>
    <row r="8974" spans="1:24">
      <c r="A8974">
        <f>HYPERLINK("https://www.philgeps.gov.ph/GEPSNONPILOT/Tender/SplashBidNoticeAbstractUI.aspx?menuIndex=3&amp;refID=7073063&amp;Result=3","7073063")</f>
        <v>0</v>
      </c>
      <c r="B8974" t="s">
        <v>27</v>
      </c>
      <c r="C8974" t="s">
        <v>12066</v>
      </c>
      <c r="D8974" t="s">
        <v>18101</v>
      </c>
      <c r="E8974" t="s">
        <v>26015</v>
      </c>
      <c r="F8974" t="s">
        <v>31362</v>
      </c>
      <c r="G8974" t="s">
        <v>31369</v>
      </c>
      <c r="H8974" t="s">
        <v>31378</v>
      </c>
      <c r="I8974" t="s">
        <v>31386</v>
      </c>
      <c r="J8974" t="s">
        <v>36130</v>
      </c>
      <c r="K8974" t="s">
        <v>40691</v>
      </c>
      <c r="M8974" t="s">
        <v>40961</v>
      </c>
      <c r="N8974" t="s">
        <v>44905</v>
      </c>
      <c r="O8974" t="s">
        <v>44906</v>
      </c>
      <c r="P8974">
        <v>0</v>
      </c>
      <c r="Q8974">
        <v>3</v>
      </c>
      <c r="R8974" t="s">
        <v>44911</v>
      </c>
      <c r="S8974" t="s">
        <v>45139</v>
      </c>
      <c r="T8974" t="s">
        <v>46479</v>
      </c>
      <c r="U8974" t="s">
        <v>54152</v>
      </c>
      <c r="W8974" t="s">
        <v>40961</v>
      </c>
      <c r="X8974" t="s">
        <v>44912</v>
      </c>
    </row>
    <row r="8975" spans="1:24">
      <c r="A8975">
        <f>HYPERLINK("https://www.philgeps.gov.ph/GEPSNONPILOT/Tender/SplashBidNoticeAbstractUI.aspx?menuIndex=3&amp;refID=7073157&amp;Result=3","7073157")</f>
        <v>0</v>
      </c>
      <c r="B8975" t="s">
        <v>2610</v>
      </c>
      <c r="C8975" t="s">
        <v>12067</v>
      </c>
      <c r="D8975" t="s">
        <v>18108</v>
      </c>
      <c r="E8975" t="s">
        <v>26016</v>
      </c>
      <c r="F8975" t="s">
        <v>31362</v>
      </c>
      <c r="G8975" t="s">
        <v>31368</v>
      </c>
      <c r="H8975" t="s">
        <v>15799</v>
      </c>
      <c r="I8975" t="s">
        <v>31422</v>
      </c>
      <c r="J8975" t="s">
        <v>37003</v>
      </c>
      <c r="K8975" t="s">
        <v>40661</v>
      </c>
      <c r="M8975" t="s">
        <v>43790</v>
      </c>
      <c r="N8975" t="s">
        <v>44905</v>
      </c>
      <c r="O8975" t="s">
        <v>44906</v>
      </c>
      <c r="P8975">
        <v>0</v>
      </c>
      <c r="Q8975">
        <v>7</v>
      </c>
      <c r="R8975" t="s">
        <v>44911</v>
      </c>
      <c r="S8975" t="s">
        <v>45139</v>
      </c>
      <c r="T8975" t="s">
        <v>46454</v>
      </c>
      <c r="U8975" t="s">
        <v>54157</v>
      </c>
      <c r="V8975" t="s">
        <v>59969</v>
      </c>
      <c r="W8975" t="s">
        <v>43790</v>
      </c>
      <c r="X8975" t="s">
        <v>44912</v>
      </c>
    </row>
    <row r="8976" spans="1:24">
      <c r="A8976">
        <f>HYPERLINK("https://www.philgeps.gov.ph/GEPSNONPILOT/Tender/SplashBidNoticeAbstractUI.aspx?menuIndex=3&amp;refID=7073105&amp;Result=3","7073105")</f>
        <v>0</v>
      </c>
      <c r="B8976" t="s">
        <v>2605</v>
      </c>
      <c r="C8976" t="s">
        <v>12068</v>
      </c>
      <c r="E8976" t="s">
        <v>26017</v>
      </c>
      <c r="F8976" t="s">
        <v>31362</v>
      </c>
      <c r="G8976" t="s">
        <v>31369</v>
      </c>
      <c r="H8976" t="s">
        <v>15799</v>
      </c>
      <c r="I8976" t="s">
        <v>3815</v>
      </c>
      <c r="J8976" t="s">
        <v>37004</v>
      </c>
      <c r="K8976" t="s">
        <v>40666</v>
      </c>
      <c r="M8976" t="s">
        <v>43785</v>
      </c>
      <c r="N8976" t="s">
        <v>44905</v>
      </c>
      <c r="O8976" t="s">
        <v>44906</v>
      </c>
      <c r="P8976">
        <v>0</v>
      </c>
      <c r="Q8976">
        <v>0</v>
      </c>
      <c r="R8976" t="s">
        <v>44911</v>
      </c>
      <c r="S8976" t="s">
        <v>45139</v>
      </c>
      <c r="T8976" t="s">
        <v>46411</v>
      </c>
      <c r="U8976" t="s">
        <v>54158</v>
      </c>
      <c r="W8976" t="s">
        <v>43785</v>
      </c>
      <c r="X8976" t="s">
        <v>44912</v>
      </c>
    </row>
    <row r="8977" spans="1:24">
      <c r="A8977">
        <f>HYPERLINK("https://www.philgeps.gov.ph/GEPSNONPILOT/Tender/SplashBidNoticeAbstractUI.aspx?menuIndex=3&amp;refID=7073154&amp;Result=3","7073154")</f>
        <v>0</v>
      </c>
      <c r="B8977" t="s">
        <v>2611</v>
      </c>
      <c r="C8977" t="s">
        <v>12069</v>
      </c>
      <c r="D8977" t="s">
        <v>18140</v>
      </c>
      <c r="E8977" t="s">
        <v>22937</v>
      </c>
      <c r="F8977" t="s">
        <v>31362</v>
      </c>
      <c r="G8977" t="s">
        <v>31369</v>
      </c>
      <c r="H8977" t="s">
        <v>15799</v>
      </c>
      <c r="I8977" t="s">
        <v>3815</v>
      </c>
      <c r="J8977" t="s">
        <v>37005</v>
      </c>
      <c r="K8977" t="s">
        <v>40666</v>
      </c>
      <c r="M8977" t="s">
        <v>43791</v>
      </c>
      <c r="N8977" t="s">
        <v>44905</v>
      </c>
      <c r="O8977" t="s">
        <v>44906</v>
      </c>
      <c r="P8977">
        <v>0</v>
      </c>
      <c r="Q8977">
        <v>1</v>
      </c>
      <c r="R8977" t="s">
        <v>44911</v>
      </c>
      <c r="S8977" t="s">
        <v>45139</v>
      </c>
      <c r="T8977" t="s">
        <v>46414</v>
      </c>
      <c r="U8977" t="s">
        <v>54159</v>
      </c>
      <c r="W8977" t="s">
        <v>43791</v>
      </c>
      <c r="X8977" t="s">
        <v>44912</v>
      </c>
    </row>
    <row r="8978" spans="1:24">
      <c r="A8978">
        <f>HYPERLINK("https://www.philgeps.gov.ph/GEPSNONPILOT/Tender/SplashBidNoticeAbstractUI.aspx?menuIndex=3&amp;refID=7073152&amp;Result=3","7073152")</f>
        <v>0</v>
      </c>
      <c r="B8978" t="s">
        <v>2606</v>
      </c>
      <c r="C8978" t="s">
        <v>12070</v>
      </c>
      <c r="D8978" t="s">
        <v>18115</v>
      </c>
      <c r="E8978" t="s">
        <v>26018</v>
      </c>
      <c r="F8978" t="s">
        <v>31362</v>
      </c>
      <c r="G8978" t="s">
        <v>31369</v>
      </c>
      <c r="H8978" t="s">
        <v>15799</v>
      </c>
      <c r="I8978" t="s">
        <v>31384</v>
      </c>
      <c r="J8978" t="s">
        <v>34409</v>
      </c>
      <c r="K8978" t="s">
        <v>40665</v>
      </c>
      <c r="M8978" t="s">
        <v>43786</v>
      </c>
      <c r="N8978" t="s">
        <v>44905</v>
      </c>
      <c r="O8978" t="s">
        <v>44906</v>
      </c>
      <c r="P8978">
        <v>0</v>
      </c>
      <c r="Q8978">
        <v>11</v>
      </c>
      <c r="R8978" t="s">
        <v>44911</v>
      </c>
      <c r="S8978" t="s">
        <v>45139</v>
      </c>
      <c r="T8978" t="s">
        <v>46511</v>
      </c>
      <c r="U8978" t="s">
        <v>54160</v>
      </c>
      <c r="V8978" t="s">
        <v>59185</v>
      </c>
      <c r="W8978" t="s">
        <v>43786</v>
      </c>
      <c r="X8978" t="s">
        <v>44912</v>
      </c>
    </row>
    <row r="8979" spans="1:24">
      <c r="A8979">
        <f>HYPERLINK("https://www.philgeps.gov.ph/GEPSNONPILOT/Tender/SplashBidNoticeAbstractUI.aspx?menuIndex=3&amp;refID=7073065&amp;Result=3","7073065")</f>
        <v>0</v>
      </c>
      <c r="B8979" t="s">
        <v>27</v>
      </c>
      <c r="C8979" t="s">
        <v>12071</v>
      </c>
      <c r="D8979" t="s">
        <v>18101</v>
      </c>
      <c r="E8979" t="s">
        <v>26019</v>
      </c>
      <c r="F8979" t="s">
        <v>31362</v>
      </c>
      <c r="G8979" t="s">
        <v>31369</v>
      </c>
      <c r="H8979" t="s">
        <v>31378</v>
      </c>
      <c r="I8979" t="s">
        <v>31386</v>
      </c>
      <c r="J8979" t="s">
        <v>37006</v>
      </c>
      <c r="K8979" t="s">
        <v>40725</v>
      </c>
      <c r="M8979" t="s">
        <v>40961</v>
      </c>
      <c r="N8979" t="s">
        <v>44905</v>
      </c>
      <c r="O8979" t="s">
        <v>44906</v>
      </c>
      <c r="P8979">
        <v>0</v>
      </c>
      <c r="Q8979">
        <v>3</v>
      </c>
      <c r="R8979" t="s">
        <v>44911</v>
      </c>
      <c r="S8979" t="s">
        <v>45139</v>
      </c>
      <c r="T8979" t="s">
        <v>46479</v>
      </c>
      <c r="U8979" t="s">
        <v>54152</v>
      </c>
      <c r="W8979" t="s">
        <v>40961</v>
      </c>
      <c r="X8979" t="s">
        <v>44912</v>
      </c>
    </row>
    <row r="8980" spans="1:24">
      <c r="A8980">
        <f>HYPERLINK("https://www.philgeps.gov.ph/GEPSNONPILOT/Tender/SplashBidNoticeAbstractUI.aspx?menuIndex=3&amp;refID=7073009&amp;Result=3","7073009")</f>
        <v>0</v>
      </c>
      <c r="B8980" t="s">
        <v>2597</v>
      </c>
      <c r="C8980" t="s">
        <v>12072</v>
      </c>
      <c r="D8980" t="s">
        <v>18116</v>
      </c>
      <c r="E8980" t="s">
        <v>20328</v>
      </c>
      <c r="F8980" t="s">
        <v>31362</v>
      </c>
      <c r="G8980" t="s">
        <v>31369</v>
      </c>
      <c r="H8980" t="s">
        <v>31378</v>
      </c>
      <c r="I8980" t="s">
        <v>31386</v>
      </c>
      <c r="J8980" t="s">
        <v>31578</v>
      </c>
      <c r="K8980" t="s">
        <v>40665</v>
      </c>
      <c r="M8980" t="s">
        <v>43776</v>
      </c>
      <c r="N8980" t="s">
        <v>44905</v>
      </c>
      <c r="O8980" t="s">
        <v>44906</v>
      </c>
      <c r="P8980">
        <v>0</v>
      </c>
      <c r="Q8980">
        <v>0</v>
      </c>
      <c r="R8980" t="s">
        <v>44911</v>
      </c>
      <c r="S8980" t="s">
        <v>45139</v>
      </c>
      <c r="T8980" t="s">
        <v>46434</v>
      </c>
      <c r="U8980" t="s">
        <v>54135</v>
      </c>
      <c r="W8980" t="s">
        <v>43776</v>
      </c>
      <c r="X8980" t="s">
        <v>44912</v>
      </c>
    </row>
    <row r="8981" spans="1:24">
      <c r="A8981">
        <f>HYPERLINK("https://www.philgeps.gov.ph/GEPSNONPILOT/Tender/SplashBidNoticeAbstractUI.aspx?menuIndex=3&amp;refID=7073150&amp;Result=3","7073150")</f>
        <v>0</v>
      </c>
      <c r="B8981" t="s">
        <v>2612</v>
      </c>
      <c r="C8981" t="s">
        <v>12073</v>
      </c>
      <c r="D8981" t="s">
        <v>18108</v>
      </c>
      <c r="E8981" t="s">
        <v>26020</v>
      </c>
      <c r="F8981" t="s">
        <v>31362</v>
      </c>
      <c r="G8981" t="s">
        <v>31369</v>
      </c>
      <c r="H8981" t="s">
        <v>15799</v>
      </c>
      <c r="I8981" t="s">
        <v>7090</v>
      </c>
      <c r="J8981" t="s">
        <v>37007</v>
      </c>
      <c r="K8981" t="s">
        <v>40672</v>
      </c>
      <c r="M8981" t="s">
        <v>43792</v>
      </c>
      <c r="N8981" t="s">
        <v>44905</v>
      </c>
      <c r="O8981" t="s">
        <v>44906</v>
      </c>
      <c r="P8981">
        <v>0</v>
      </c>
      <c r="Q8981">
        <v>4</v>
      </c>
      <c r="R8981" t="s">
        <v>44911</v>
      </c>
      <c r="S8981" t="s">
        <v>45139</v>
      </c>
      <c r="T8981" t="s">
        <v>46447</v>
      </c>
      <c r="U8981" t="s">
        <v>54161</v>
      </c>
      <c r="V8981" t="s">
        <v>59970</v>
      </c>
      <c r="W8981" t="s">
        <v>43792</v>
      </c>
      <c r="X8981" t="s">
        <v>44912</v>
      </c>
    </row>
    <row r="8982" spans="1:24">
      <c r="A8982">
        <f>HYPERLINK("https://www.philgeps.gov.ph/GEPSNONPILOT/Tender/SplashBidNoticeAbstractUI.aspx?menuIndex=3&amp;refID=7073145&amp;Result=3","7073145")</f>
        <v>0</v>
      </c>
      <c r="B8982" t="s">
        <v>2606</v>
      </c>
      <c r="C8982" t="s">
        <v>12074</v>
      </c>
      <c r="D8982" t="s">
        <v>18115</v>
      </c>
      <c r="E8982" t="s">
        <v>26021</v>
      </c>
      <c r="F8982" t="s">
        <v>31362</v>
      </c>
      <c r="G8982" t="s">
        <v>31369</v>
      </c>
      <c r="H8982" t="s">
        <v>15799</v>
      </c>
      <c r="I8982" t="s">
        <v>31391</v>
      </c>
      <c r="J8982" t="s">
        <v>37008</v>
      </c>
      <c r="K8982" t="s">
        <v>40711</v>
      </c>
      <c r="M8982" t="s">
        <v>43786</v>
      </c>
      <c r="N8982" t="s">
        <v>44905</v>
      </c>
      <c r="O8982" t="s">
        <v>44906</v>
      </c>
      <c r="P8982">
        <v>0</v>
      </c>
      <c r="Q8982">
        <v>5</v>
      </c>
      <c r="R8982" t="s">
        <v>44911</v>
      </c>
      <c r="S8982" t="s">
        <v>45139</v>
      </c>
      <c r="T8982" t="s">
        <v>46511</v>
      </c>
      <c r="U8982" t="s">
        <v>54162</v>
      </c>
      <c r="V8982" t="s">
        <v>59185</v>
      </c>
      <c r="W8982" t="s">
        <v>43786</v>
      </c>
      <c r="X8982" t="s">
        <v>44912</v>
      </c>
    </row>
    <row r="8983" spans="1:24">
      <c r="A8983">
        <f>HYPERLINK("https://www.philgeps.gov.ph/GEPSNONPILOT/Tender/SplashBidNoticeAbstractUI.aspx?menuIndex=3&amp;refID=7073148&amp;Result=3","7073148")</f>
        <v>0</v>
      </c>
      <c r="B8983" t="s">
        <v>2613</v>
      </c>
      <c r="C8983" t="s">
        <v>12075</v>
      </c>
      <c r="D8983" t="s">
        <v>18100</v>
      </c>
      <c r="E8983" t="s">
        <v>26022</v>
      </c>
      <c r="F8983" t="s">
        <v>31362</v>
      </c>
      <c r="G8983" t="s">
        <v>31368</v>
      </c>
      <c r="H8983" t="s">
        <v>15799</v>
      </c>
      <c r="I8983" t="s">
        <v>31385</v>
      </c>
      <c r="J8983" t="s">
        <v>37009</v>
      </c>
      <c r="K8983" t="s">
        <v>40697</v>
      </c>
      <c r="M8983" t="s">
        <v>43793</v>
      </c>
      <c r="N8983" t="s">
        <v>44905</v>
      </c>
      <c r="O8983" t="s">
        <v>44906</v>
      </c>
      <c r="P8983">
        <v>0</v>
      </c>
      <c r="Q8983">
        <v>0</v>
      </c>
      <c r="R8983" t="s">
        <v>44911</v>
      </c>
      <c r="S8983" t="s">
        <v>45139</v>
      </c>
      <c r="T8983" t="s">
        <v>46443</v>
      </c>
      <c r="U8983" t="s">
        <v>54163</v>
      </c>
      <c r="W8983" t="s">
        <v>43793</v>
      </c>
      <c r="X8983" t="s">
        <v>44912</v>
      </c>
    </row>
    <row r="8984" spans="1:24">
      <c r="A8984">
        <f>HYPERLINK("https://www.philgeps.gov.ph/GEPSNONPILOT/Tender/SplashBidNoticeAbstractUI.aspx?menuIndex=3&amp;refID=7073144&amp;Result=3","7073144")</f>
        <v>0</v>
      </c>
      <c r="B8984" t="s">
        <v>838</v>
      </c>
      <c r="C8984" t="s">
        <v>12076</v>
      </c>
      <c r="D8984" t="s">
        <v>18162</v>
      </c>
      <c r="E8984" t="s">
        <v>26023</v>
      </c>
      <c r="F8984" t="s">
        <v>31362</v>
      </c>
      <c r="G8984" t="s">
        <v>31369</v>
      </c>
      <c r="H8984" t="s">
        <v>31378</v>
      </c>
      <c r="I8984" t="s">
        <v>31386</v>
      </c>
      <c r="J8984" t="s">
        <v>32239</v>
      </c>
      <c r="K8984" t="s">
        <v>40662</v>
      </c>
      <c r="M8984" t="s">
        <v>41813</v>
      </c>
      <c r="N8984" t="s">
        <v>44905</v>
      </c>
      <c r="O8984" t="s">
        <v>44906</v>
      </c>
      <c r="P8984">
        <v>0</v>
      </c>
      <c r="Q8984">
        <v>0</v>
      </c>
      <c r="R8984" t="s">
        <v>44911</v>
      </c>
      <c r="S8984" t="s">
        <v>45139</v>
      </c>
      <c r="T8984" t="s">
        <v>46403</v>
      </c>
      <c r="U8984" t="s">
        <v>54164</v>
      </c>
      <c r="W8984" t="s">
        <v>41813</v>
      </c>
      <c r="X8984" t="s">
        <v>44912</v>
      </c>
    </row>
    <row r="8985" spans="1:24">
      <c r="A8985">
        <f>HYPERLINK("https://www.philgeps.gov.ph/GEPSNONPILOT/Tender/SplashBidNoticeAbstractUI.aspx?menuIndex=3&amp;refID=7073143&amp;Result=3","7073143")</f>
        <v>0</v>
      </c>
      <c r="B8985" t="s">
        <v>1468</v>
      </c>
      <c r="C8985" t="s">
        <v>12077</v>
      </c>
      <c r="E8985" t="s">
        <v>26024</v>
      </c>
      <c r="F8985" t="s">
        <v>31362</v>
      </c>
      <c r="G8985" t="s">
        <v>31370</v>
      </c>
      <c r="H8985" t="s">
        <v>15799</v>
      </c>
      <c r="I8985" t="s">
        <v>31385</v>
      </c>
      <c r="J8985" t="s">
        <v>31872</v>
      </c>
      <c r="K8985" t="s">
        <v>40666</v>
      </c>
      <c r="M8985" t="s">
        <v>42501</v>
      </c>
      <c r="N8985" t="s">
        <v>44905</v>
      </c>
      <c r="O8985" t="s">
        <v>44906</v>
      </c>
      <c r="P8985">
        <v>0</v>
      </c>
      <c r="Q8985">
        <v>1</v>
      </c>
      <c r="R8985" t="s">
        <v>44911</v>
      </c>
      <c r="S8985" t="s">
        <v>45139</v>
      </c>
      <c r="T8985" t="s">
        <v>46409</v>
      </c>
      <c r="U8985" t="s">
        <v>54165</v>
      </c>
      <c r="W8985" t="s">
        <v>42501</v>
      </c>
      <c r="X8985" t="s">
        <v>44912</v>
      </c>
    </row>
    <row r="8986" spans="1:24">
      <c r="A8986">
        <f>HYPERLINK("https://www.philgeps.gov.ph/GEPSNONPILOT/Tender/SplashBidNoticeAbstractUI.aspx?menuIndex=3&amp;refID=7073158&amp;Result=3","7073158")</f>
        <v>0</v>
      </c>
      <c r="B8986" t="s">
        <v>2614</v>
      </c>
      <c r="C8986" t="s">
        <v>12078</v>
      </c>
      <c r="E8986" t="s">
        <v>26025</v>
      </c>
      <c r="F8986" t="s">
        <v>31362</v>
      </c>
      <c r="G8986" t="s">
        <v>31369</v>
      </c>
      <c r="H8986" t="s">
        <v>31378</v>
      </c>
      <c r="I8986" t="s">
        <v>31386</v>
      </c>
      <c r="J8986" t="s">
        <v>37010</v>
      </c>
      <c r="K8986" t="s">
        <v>40758</v>
      </c>
      <c r="M8986" t="s">
        <v>43794</v>
      </c>
      <c r="N8986" t="s">
        <v>44905</v>
      </c>
      <c r="O8986" t="s">
        <v>44906</v>
      </c>
      <c r="P8986">
        <v>0</v>
      </c>
      <c r="Q8986">
        <v>1</v>
      </c>
      <c r="R8986" t="s">
        <v>44911</v>
      </c>
      <c r="S8986" t="s">
        <v>45139</v>
      </c>
      <c r="T8986" t="s">
        <v>46410</v>
      </c>
      <c r="U8986" t="s">
        <v>54166</v>
      </c>
      <c r="W8986" t="s">
        <v>43794</v>
      </c>
      <c r="X8986" t="s">
        <v>44912</v>
      </c>
    </row>
    <row r="8987" spans="1:24">
      <c r="A8987">
        <f>HYPERLINK("https://www.philgeps.gov.ph/GEPSNONPILOT/Tender/SplashBidNoticeAbstractUI.aspx?menuIndex=3&amp;refID=7073008&amp;Result=3","7073008")</f>
        <v>0</v>
      </c>
      <c r="B8987" t="s">
        <v>2615</v>
      </c>
      <c r="C8987" t="s">
        <v>12079</v>
      </c>
      <c r="D8987" t="s">
        <v>18147</v>
      </c>
      <c r="E8987" t="s">
        <v>26026</v>
      </c>
      <c r="F8987" t="s">
        <v>31362</v>
      </c>
      <c r="G8987" t="s">
        <v>31369</v>
      </c>
      <c r="H8987" t="s">
        <v>31378</v>
      </c>
      <c r="I8987" t="s">
        <v>31386</v>
      </c>
      <c r="J8987" t="s">
        <v>37011</v>
      </c>
      <c r="K8987" t="s">
        <v>40665</v>
      </c>
      <c r="M8987" t="s">
        <v>43795</v>
      </c>
      <c r="N8987" t="s">
        <v>44905</v>
      </c>
      <c r="O8987" t="s">
        <v>44906</v>
      </c>
      <c r="P8987">
        <v>0</v>
      </c>
      <c r="Q8987">
        <v>0</v>
      </c>
      <c r="R8987" t="s">
        <v>44911</v>
      </c>
      <c r="S8987" t="s">
        <v>45139</v>
      </c>
      <c r="T8987" t="s">
        <v>46796</v>
      </c>
      <c r="U8987" t="s">
        <v>54167</v>
      </c>
      <c r="W8987" t="s">
        <v>43795</v>
      </c>
      <c r="X8987" t="s">
        <v>44912</v>
      </c>
    </row>
    <row r="8988" spans="1:24">
      <c r="A8988">
        <f>HYPERLINK("https://www.philgeps.gov.ph/GEPSNONPILOT/Tender/SplashBidNoticeAbstractUI.aspx?menuIndex=3&amp;refID=7073155&amp;Result=3","7073155")</f>
        <v>0</v>
      </c>
      <c r="B8988" t="s">
        <v>1468</v>
      </c>
      <c r="C8988" t="s">
        <v>12080</v>
      </c>
      <c r="D8988" t="s">
        <v>18134</v>
      </c>
      <c r="E8988" t="s">
        <v>26027</v>
      </c>
      <c r="F8988" t="s">
        <v>31362</v>
      </c>
      <c r="G8988" t="s">
        <v>31370</v>
      </c>
      <c r="H8988" t="s">
        <v>15799</v>
      </c>
      <c r="I8988" t="s">
        <v>31385</v>
      </c>
      <c r="J8988" t="s">
        <v>31727</v>
      </c>
      <c r="K8988" t="s">
        <v>40666</v>
      </c>
      <c r="M8988" t="s">
        <v>42501</v>
      </c>
      <c r="N8988" t="s">
        <v>44905</v>
      </c>
      <c r="O8988" t="s">
        <v>44906</v>
      </c>
      <c r="P8988">
        <v>0</v>
      </c>
      <c r="Q8988">
        <v>1</v>
      </c>
      <c r="R8988" t="s">
        <v>44911</v>
      </c>
      <c r="S8988" t="s">
        <v>45139</v>
      </c>
      <c r="T8988" t="s">
        <v>46409</v>
      </c>
      <c r="U8988" t="s">
        <v>54165</v>
      </c>
      <c r="W8988" t="s">
        <v>42501</v>
      </c>
      <c r="X8988" t="s">
        <v>44912</v>
      </c>
    </row>
    <row r="8989" spans="1:24">
      <c r="A8989">
        <f>HYPERLINK("https://www.philgeps.gov.ph/GEPSNONPILOT/Tender/SplashBidNoticeAbstractUI.aspx?menuIndex=3&amp;refID=7073221&amp;Result=3","7073221")</f>
        <v>0</v>
      </c>
      <c r="B8989" t="s">
        <v>2616</v>
      </c>
      <c r="C8989" t="s">
        <v>12081</v>
      </c>
      <c r="D8989" t="s">
        <v>18114</v>
      </c>
      <c r="E8989" t="s">
        <v>26028</v>
      </c>
      <c r="F8989" t="s">
        <v>31362</v>
      </c>
      <c r="G8989" t="s">
        <v>31369</v>
      </c>
      <c r="H8989" t="s">
        <v>31378</v>
      </c>
      <c r="I8989" t="s">
        <v>31386</v>
      </c>
      <c r="J8989" t="s">
        <v>37012</v>
      </c>
      <c r="K8989" t="s">
        <v>40677</v>
      </c>
      <c r="M8989" t="s">
        <v>43796</v>
      </c>
      <c r="N8989" t="s">
        <v>44905</v>
      </c>
      <c r="O8989" t="s">
        <v>44906</v>
      </c>
      <c r="P8989">
        <v>0</v>
      </c>
      <c r="Q8989">
        <v>1</v>
      </c>
      <c r="R8989" t="s">
        <v>44911</v>
      </c>
      <c r="S8989" t="s">
        <v>45139</v>
      </c>
      <c r="T8989" t="s">
        <v>46411</v>
      </c>
      <c r="U8989" t="s">
        <v>54168</v>
      </c>
      <c r="W8989" t="s">
        <v>43796</v>
      </c>
      <c r="X8989" t="s">
        <v>44912</v>
      </c>
    </row>
    <row r="8990" spans="1:24">
      <c r="A8990">
        <f>HYPERLINK("https://www.philgeps.gov.ph/GEPSNONPILOT/Tender/SplashBidNoticeAbstractUI.aspx?menuIndex=3&amp;refID=7073146&amp;Result=3","7073146")</f>
        <v>0</v>
      </c>
      <c r="B8990" t="s">
        <v>2617</v>
      </c>
      <c r="C8990" t="s">
        <v>12082</v>
      </c>
      <c r="D8990" t="s">
        <v>18140</v>
      </c>
      <c r="E8990" t="s">
        <v>19255</v>
      </c>
      <c r="F8990" t="s">
        <v>31362</v>
      </c>
      <c r="G8990" t="s">
        <v>31369</v>
      </c>
      <c r="H8990" t="s">
        <v>15799</v>
      </c>
      <c r="I8990" t="s">
        <v>31387</v>
      </c>
      <c r="J8990" t="s">
        <v>37013</v>
      </c>
      <c r="K8990" t="s">
        <v>40666</v>
      </c>
      <c r="M8990" t="s">
        <v>43797</v>
      </c>
      <c r="N8990" t="s">
        <v>44905</v>
      </c>
      <c r="O8990" t="s">
        <v>44906</v>
      </c>
      <c r="P8990">
        <v>0</v>
      </c>
      <c r="Q8990">
        <v>1</v>
      </c>
      <c r="R8990" t="s">
        <v>44911</v>
      </c>
      <c r="S8990" t="s">
        <v>45139</v>
      </c>
      <c r="T8990" t="s">
        <v>46414</v>
      </c>
      <c r="U8990" t="s">
        <v>54169</v>
      </c>
      <c r="W8990" t="s">
        <v>43797</v>
      </c>
      <c r="X8990" t="s">
        <v>44912</v>
      </c>
    </row>
    <row r="8991" spans="1:24">
      <c r="A8991">
        <f>HYPERLINK("https://www.philgeps.gov.ph/GEPSNONPILOT/Tender/SplashBidNoticeAbstractUI.aspx?menuIndex=3&amp;refID=7073214&amp;Result=3","7073214")</f>
        <v>0</v>
      </c>
      <c r="B8991" t="s">
        <v>2618</v>
      </c>
      <c r="C8991" t="s">
        <v>12083</v>
      </c>
      <c r="D8991" t="s">
        <v>18109</v>
      </c>
      <c r="E8991" t="s">
        <v>26029</v>
      </c>
      <c r="F8991" t="s">
        <v>31362</v>
      </c>
      <c r="G8991" t="s">
        <v>31369</v>
      </c>
      <c r="H8991" t="s">
        <v>15799</v>
      </c>
      <c r="I8991" t="s">
        <v>31409</v>
      </c>
      <c r="J8991" t="s">
        <v>31686</v>
      </c>
      <c r="K8991" t="s">
        <v>40666</v>
      </c>
      <c r="M8991" t="s">
        <v>43798</v>
      </c>
      <c r="N8991" t="s">
        <v>44905</v>
      </c>
      <c r="O8991" t="s">
        <v>44906</v>
      </c>
      <c r="P8991">
        <v>0</v>
      </c>
      <c r="Q8991">
        <v>1</v>
      </c>
      <c r="R8991" t="s">
        <v>44911</v>
      </c>
      <c r="S8991" t="s">
        <v>45139</v>
      </c>
      <c r="T8991" t="s">
        <v>46416</v>
      </c>
      <c r="U8991" t="s">
        <v>54170</v>
      </c>
      <c r="W8991" t="s">
        <v>43798</v>
      </c>
      <c r="X8991" t="s">
        <v>44912</v>
      </c>
    </row>
    <row r="8992" spans="1:24">
      <c r="A8992">
        <f>HYPERLINK("https://www.philgeps.gov.ph/GEPSNONPILOT/Tender/SplashBidNoticeAbstractUI.aspx?menuIndex=3&amp;refID=7073151&amp;Result=3","7073151")</f>
        <v>0</v>
      </c>
      <c r="B8992" t="s">
        <v>2619</v>
      </c>
      <c r="C8992" t="s">
        <v>12084</v>
      </c>
      <c r="E8992" t="s">
        <v>26030</v>
      </c>
      <c r="F8992" t="s">
        <v>31362</v>
      </c>
      <c r="G8992" t="s">
        <v>31369</v>
      </c>
      <c r="H8992" t="s">
        <v>31378</v>
      </c>
      <c r="I8992" t="s">
        <v>31386</v>
      </c>
      <c r="J8992" t="s">
        <v>37014</v>
      </c>
      <c r="K8992" t="s">
        <v>40758</v>
      </c>
      <c r="M8992" t="s">
        <v>43799</v>
      </c>
      <c r="N8992" t="s">
        <v>44905</v>
      </c>
      <c r="O8992" t="s">
        <v>44906</v>
      </c>
      <c r="P8992">
        <v>0</v>
      </c>
      <c r="Q8992">
        <v>1</v>
      </c>
      <c r="R8992" t="s">
        <v>44911</v>
      </c>
      <c r="S8992" t="s">
        <v>45139</v>
      </c>
      <c r="T8992" t="s">
        <v>46497</v>
      </c>
      <c r="U8992" t="s">
        <v>54171</v>
      </c>
      <c r="W8992" t="s">
        <v>43799</v>
      </c>
      <c r="X8992" t="s">
        <v>44912</v>
      </c>
    </row>
    <row r="8993" spans="1:24">
      <c r="A8993">
        <f>HYPERLINK("https://www.philgeps.gov.ph/GEPSNONPILOT/Tender/SplashBidNoticeAbstractUI.aspx?menuIndex=3&amp;refID=7073201&amp;Result=3","7073201")</f>
        <v>0</v>
      </c>
      <c r="B8993" t="s">
        <v>900</v>
      </c>
      <c r="C8993" t="s">
        <v>12085</v>
      </c>
      <c r="D8993" t="s">
        <v>18123</v>
      </c>
      <c r="E8993" t="s">
        <v>26031</v>
      </c>
      <c r="F8993" t="s">
        <v>31362</v>
      </c>
      <c r="G8993" t="s">
        <v>31369</v>
      </c>
      <c r="H8993" t="s">
        <v>15799</v>
      </c>
      <c r="I8993" t="s">
        <v>31404</v>
      </c>
      <c r="J8993" t="s">
        <v>37015</v>
      </c>
      <c r="K8993" t="s">
        <v>40679</v>
      </c>
      <c r="M8993" t="s">
        <v>41881</v>
      </c>
      <c r="N8993" t="s">
        <v>44905</v>
      </c>
      <c r="O8993" t="s">
        <v>44906</v>
      </c>
      <c r="P8993">
        <v>0</v>
      </c>
      <c r="Q8993">
        <v>0</v>
      </c>
      <c r="R8993" t="s">
        <v>44911</v>
      </c>
      <c r="S8993" t="s">
        <v>45139</v>
      </c>
      <c r="T8993" t="s">
        <v>46509</v>
      </c>
      <c r="U8993" t="s">
        <v>54172</v>
      </c>
      <c r="W8993" t="s">
        <v>60873</v>
      </c>
      <c r="X8993" t="s">
        <v>44912</v>
      </c>
    </row>
    <row r="8994" spans="1:24">
      <c r="A8994">
        <f>HYPERLINK("https://www.philgeps.gov.ph/GEPSNONPILOT/Tender/SplashBidNoticeAbstractUI.aspx?menuIndex=3&amp;refID=7073190&amp;Result=3","7073190")</f>
        <v>0</v>
      </c>
      <c r="B8994" t="s">
        <v>822</v>
      </c>
      <c r="C8994" t="s">
        <v>12086</v>
      </c>
      <c r="D8994" t="s">
        <v>18157</v>
      </c>
      <c r="E8994" t="s">
        <v>26032</v>
      </c>
      <c r="F8994" t="s">
        <v>31362</v>
      </c>
      <c r="G8994" t="s">
        <v>31368</v>
      </c>
      <c r="H8994" t="s">
        <v>15799</v>
      </c>
      <c r="I8994" t="s">
        <v>13635</v>
      </c>
      <c r="J8994" t="s">
        <v>33680</v>
      </c>
      <c r="K8994" t="s">
        <v>40679</v>
      </c>
      <c r="M8994" t="s">
        <v>41795</v>
      </c>
      <c r="N8994" t="s">
        <v>44905</v>
      </c>
      <c r="O8994" t="s">
        <v>44906</v>
      </c>
      <c r="P8994">
        <v>0</v>
      </c>
      <c r="Q8994">
        <v>5</v>
      </c>
      <c r="R8994" t="s">
        <v>44911</v>
      </c>
      <c r="S8994" t="s">
        <v>45139</v>
      </c>
      <c r="T8994" t="s">
        <v>46409</v>
      </c>
      <c r="U8994" t="s">
        <v>54173</v>
      </c>
      <c r="V8994" t="s">
        <v>59259</v>
      </c>
      <c r="W8994" t="s">
        <v>41795</v>
      </c>
      <c r="X8994" t="s">
        <v>44912</v>
      </c>
    </row>
    <row r="8995" spans="1:24">
      <c r="A8995">
        <f>HYPERLINK("https://www.philgeps.gov.ph/GEPSNONPILOT/Tender/SplashBidNoticeAbstractUI.aspx?menuIndex=3&amp;refID=7073213&amp;Result=3","7073213")</f>
        <v>0</v>
      </c>
      <c r="B8995" t="s">
        <v>900</v>
      </c>
      <c r="C8995" t="s">
        <v>12087</v>
      </c>
      <c r="D8995" t="s">
        <v>18123</v>
      </c>
      <c r="E8995" t="s">
        <v>26033</v>
      </c>
      <c r="F8995" t="s">
        <v>31362</v>
      </c>
      <c r="G8995" t="s">
        <v>31369</v>
      </c>
      <c r="H8995" t="s">
        <v>15799</v>
      </c>
      <c r="I8995" t="s">
        <v>31476</v>
      </c>
      <c r="J8995" t="s">
        <v>37016</v>
      </c>
      <c r="K8995" t="s">
        <v>40666</v>
      </c>
      <c r="M8995" t="s">
        <v>41881</v>
      </c>
      <c r="N8995" t="s">
        <v>44905</v>
      </c>
      <c r="O8995" t="s">
        <v>44906</v>
      </c>
      <c r="P8995">
        <v>0</v>
      </c>
      <c r="Q8995">
        <v>9</v>
      </c>
      <c r="R8995" t="s">
        <v>44911</v>
      </c>
      <c r="S8995" t="s">
        <v>45139</v>
      </c>
      <c r="T8995" t="s">
        <v>46466</v>
      </c>
      <c r="U8995" t="s">
        <v>54174</v>
      </c>
      <c r="W8995" t="s">
        <v>60873</v>
      </c>
      <c r="X8995" t="s">
        <v>44912</v>
      </c>
    </row>
    <row r="8996" spans="1:24">
      <c r="A8996">
        <f>HYPERLINK("https://www.philgeps.gov.ph/GEPSNONPILOT/Tender/SplashBidNoticeAbstractUI.aspx?menuIndex=3&amp;refID=7073180&amp;Result=3","7073180")</f>
        <v>0</v>
      </c>
      <c r="B8996" t="s">
        <v>2620</v>
      </c>
      <c r="C8996" t="s">
        <v>9062</v>
      </c>
      <c r="D8996" t="s">
        <v>18140</v>
      </c>
      <c r="E8996" t="s">
        <v>20853</v>
      </c>
      <c r="F8996" t="s">
        <v>31362</v>
      </c>
      <c r="G8996" t="s">
        <v>31369</v>
      </c>
      <c r="H8996" t="s">
        <v>15799</v>
      </c>
      <c r="I8996" t="s">
        <v>7188</v>
      </c>
      <c r="J8996" t="s">
        <v>34071</v>
      </c>
      <c r="K8996" t="s">
        <v>40666</v>
      </c>
      <c r="M8996" t="s">
        <v>43800</v>
      </c>
      <c r="N8996" t="s">
        <v>44905</v>
      </c>
      <c r="O8996" t="s">
        <v>44906</v>
      </c>
      <c r="P8996">
        <v>0</v>
      </c>
      <c r="Q8996">
        <v>6</v>
      </c>
      <c r="R8996" t="s">
        <v>44911</v>
      </c>
      <c r="S8996" t="s">
        <v>45139</v>
      </c>
      <c r="T8996" t="s">
        <v>46414</v>
      </c>
      <c r="U8996" t="s">
        <v>54175</v>
      </c>
      <c r="W8996" t="s">
        <v>43800</v>
      </c>
      <c r="X8996" t="s">
        <v>44912</v>
      </c>
    </row>
    <row r="8997" spans="1:24">
      <c r="A8997">
        <f>HYPERLINK("https://www.philgeps.gov.ph/GEPSNONPILOT/Tender/SplashBidNoticeAbstractUI.aspx?menuIndex=3&amp;refID=7073198&amp;Result=3","7073198")</f>
        <v>0</v>
      </c>
      <c r="B8997" t="s">
        <v>1134</v>
      </c>
      <c r="C8997" t="s">
        <v>12088</v>
      </c>
      <c r="D8997" t="s">
        <v>18134</v>
      </c>
      <c r="E8997" t="s">
        <v>26034</v>
      </c>
      <c r="F8997" t="s">
        <v>31362</v>
      </c>
      <c r="G8997" t="s">
        <v>31369</v>
      </c>
      <c r="H8997" t="s">
        <v>15799</v>
      </c>
      <c r="I8997" t="s">
        <v>31397</v>
      </c>
      <c r="J8997" t="s">
        <v>37017</v>
      </c>
      <c r="K8997" t="s">
        <v>40665</v>
      </c>
      <c r="M8997" t="s">
        <v>42483</v>
      </c>
      <c r="N8997" t="s">
        <v>44905</v>
      </c>
      <c r="O8997" t="s">
        <v>44906</v>
      </c>
      <c r="P8997">
        <v>0</v>
      </c>
      <c r="Q8997">
        <v>2</v>
      </c>
      <c r="R8997" t="s">
        <v>44911</v>
      </c>
      <c r="S8997" t="s">
        <v>45139</v>
      </c>
      <c r="T8997" t="s">
        <v>46559</v>
      </c>
      <c r="U8997" t="s">
        <v>54176</v>
      </c>
      <c r="W8997" t="s">
        <v>42483</v>
      </c>
      <c r="X8997" t="s">
        <v>44912</v>
      </c>
    </row>
    <row r="8998" spans="1:24">
      <c r="A8998">
        <f>HYPERLINK("https://www.philgeps.gov.ph/GEPSNONPILOT/Tender/SplashBidNoticeAbstractUI.aspx?menuIndex=3&amp;refID=7073156&amp;Result=3","7073156")</f>
        <v>0</v>
      </c>
      <c r="B8998" t="s">
        <v>2621</v>
      </c>
      <c r="C8998" t="s">
        <v>12089</v>
      </c>
      <c r="E8998" t="s">
        <v>9160</v>
      </c>
      <c r="F8998" t="s">
        <v>31362</v>
      </c>
      <c r="G8998" t="s">
        <v>31371</v>
      </c>
      <c r="H8998" t="s">
        <v>15799</v>
      </c>
      <c r="I8998" t="s">
        <v>3815</v>
      </c>
      <c r="J8998" t="s">
        <v>37018</v>
      </c>
      <c r="K8998" t="s">
        <v>40697</v>
      </c>
      <c r="N8998" t="s">
        <v>44905</v>
      </c>
      <c r="O8998" t="s">
        <v>44906</v>
      </c>
      <c r="P8998">
        <v>0</v>
      </c>
      <c r="Q8998">
        <v>0</v>
      </c>
      <c r="R8998" t="s">
        <v>44911</v>
      </c>
      <c r="S8998" t="s">
        <v>45139</v>
      </c>
      <c r="T8998" t="s">
        <v>46400</v>
      </c>
      <c r="U8998" t="s">
        <v>54177</v>
      </c>
      <c r="V8998" t="s">
        <v>59971</v>
      </c>
      <c r="W8998" t="s">
        <v>60938</v>
      </c>
      <c r="X8998" t="s">
        <v>44912</v>
      </c>
    </row>
    <row r="8999" spans="1:24">
      <c r="A8999">
        <f>HYPERLINK("https://www.philgeps.gov.ph/GEPSNONPILOT/Tender/SplashBidNoticeAbstractUI.aspx?menuIndex=3&amp;refID=7073178&amp;Result=3","7073178")</f>
        <v>0</v>
      </c>
      <c r="B8999" t="s">
        <v>900</v>
      </c>
      <c r="C8999" t="s">
        <v>12090</v>
      </c>
      <c r="D8999" t="s">
        <v>18123</v>
      </c>
      <c r="E8999" t="s">
        <v>26035</v>
      </c>
      <c r="F8999" t="s">
        <v>31362</v>
      </c>
      <c r="G8999" t="s">
        <v>31369</v>
      </c>
      <c r="H8999" t="s">
        <v>15799</v>
      </c>
      <c r="I8999" t="s">
        <v>4283</v>
      </c>
      <c r="J8999" t="s">
        <v>37019</v>
      </c>
      <c r="K8999" t="s">
        <v>40666</v>
      </c>
      <c r="M8999" t="s">
        <v>41881</v>
      </c>
      <c r="N8999" t="s">
        <v>44905</v>
      </c>
      <c r="O8999" t="s">
        <v>44906</v>
      </c>
      <c r="P8999">
        <v>0</v>
      </c>
      <c r="Q8999">
        <v>4</v>
      </c>
      <c r="R8999" t="s">
        <v>44911</v>
      </c>
      <c r="S8999" t="s">
        <v>45139</v>
      </c>
      <c r="T8999" t="s">
        <v>46509</v>
      </c>
      <c r="U8999" t="s">
        <v>54178</v>
      </c>
      <c r="W8999" t="s">
        <v>60873</v>
      </c>
      <c r="X8999" t="s">
        <v>44912</v>
      </c>
    </row>
    <row r="9000" spans="1:24">
      <c r="A9000">
        <f>HYPERLINK("https://www.philgeps.gov.ph/GEPSNONPILOT/Tender/SplashBidNoticeAbstractUI.aspx?menuIndex=3&amp;refID=7073172&amp;Result=3","7073172")</f>
        <v>0</v>
      </c>
      <c r="B9000" t="s">
        <v>900</v>
      </c>
      <c r="C9000" t="s">
        <v>12091</v>
      </c>
      <c r="D9000" t="s">
        <v>18123</v>
      </c>
      <c r="E9000" t="s">
        <v>26036</v>
      </c>
      <c r="F9000" t="s">
        <v>31362</v>
      </c>
      <c r="G9000" t="s">
        <v>31369</v>
      </c>
      <c r="H9000" t="s">
        <v>15799</v>
      </c>
      <c r="I9000" t="s">
        <v>4283</v>
      </c>
      <c r="J9000" t="s">
        <v>37020</v>
      </c>
      <c r="K9000" t="s">
        <v>40666</v>
      </c>
      <c r="M9000" t="s">
        <v>41881</v>
      </c>
      <c r="N9000" t="s">
        <v>44905</v>
      </c>
      <c r="O9000" t="s">
        <v>44906</v>
      </c>
      <c r="P9000">
        <v>0</v>
      </c>
      <c r="Q9000">
        <v>3</v>
      </c>
      <c r="R9000" t="s">
        <v>44911</v>
      </c>
      <c r="S9000" t="s">
        <v>45139</v>
      </c>
      <c r="T9000" t="s">
        <v>46509</v>
      </c>
      <c r="U9000" t="s">
        <v>54179</v>
      </c>
      <c r="W9000" t="s">
        <v>60873</v>
      </c>
      <c r="X9000" t="s">
        <v>44912</v>
      </c>
    </row>
    <row r="9001" spans="1:24">
      <c r="A9001">
        <f>HYPERLINK("https://www.philgeps.gov.ph/GEPSNONPILOT/Tender/SplashBidNoticeAbstractUI.aspx?menuIndex=3&amp;refID=7073225&amp;Result=3","7073225")</f>
        <v>0</v>
      </c>
      <c r="B9001" t="s">
        <v>2622</v>
      </c>
      <c r="C9001" t="s">
        <v>12092</v>
      </c>
      <c r="D9001" t="s">
        <v>18130</v>
      </c>
      <c r="E9001" t="s">
        <v>26037</v>
      </c>
      <c r="F9001" t="s">
        <v>31362</v>
      </c>
      <c r="G9001" t="s">
        <v>31369</v>
      </c>
      <c r="H9001" t="s">
        <v>15799</v>
      </c>
      <c r="I9001" t="s">
        <v>31431</v>
      </c>
      <c r="J9001" t="s">
        <v>37021</v>
      </c>
      <c r="K9001" t="s">
        <v>40666</v>
      </c>
      <c r="M9001" t="s">
        <v>43801</v>
      </c>
      <c r="N9001" t="s">
        <v>44905</v>
      </c>
      <c r="O9001" t="s">
        <v>44906</v>
      </c>
      <c r="P9001">
        <v>0</v>
      </c>
      <c r="Q9001">
        <v>1</v>
      </c>
      <c r="R9001" t="s">
        <v>44911</v>
      </c>
      <c r="S9001" t="s">
        <v>45139</v>
      </c>
      <c r="T9001" t="s">
        <v>46507</v>
      </c>
      <c r="U9001" t="s">
        <v>54180</v>
      </c>
      <c r="W9001" t="s">
        <v>43801</v>
      </c>
      <c r="X9001" t="s">
        <v>44912</v>
      </c>
    </row>
    <row r="9002" spans="1:24">
      <c r="A9002">
        <f>HYPERLINK("https://www.philgeps.gov.ph/GEPSNONPILOT/Tender/SplashBidNoticeAbstractUI.aspx?menuIndex=3&amp;refID=7073005&amp;Result=3","7073005")</f>
        <v>0</v>
      </c>
      <c r="B9002" t="s">
        <v>2593</v>
      </c>
      <c r="C9002" t="s">
        <v>12093</v>
      </c>
      <c r="D9002" t="s">
        <v>18108</v>
      </c>
      <c r="E9002" t="s">
        <v>19255</v>
      </c>
      <c r="F9002" t="s">
        <v>31362</v>
      </c>
      <c r="G9002" t="s">
        <v>31369</v>
      </c>
      <c r="H9002" t="s">
        <v>15799</v>
      </c>
      <c r="I9002" t="s">
        <v>7090</v>
      </c>
      <c r="J9002" t="s">
        <v>31578</v>
      </c>
      <c r="K9002" t="s">
        <v>40661</v>
      </c>
      <c r="M9002" t="s">
        <v>43772</v>
      </c>
      <c r="N9002" t="s">
        <v>44905</v>
      </c>
      <c r="O9002" t="s">
        <v>44906</v>
      </c>
      <c r="P9002">
        <v>0</v>
      </c>
      <c r="Q9002">
        <v>1</v>
      </c>
      <c r="R9002" t="s">
        <v>44911</v>
      </c>
      <c r="S9002" t="s">
        <v>45139</v>
      </c>
      <c r="T9002" t="s">
        <v>46415</v>
      </c>
      <c r="U9002" t="s">
        <v>54181</v>
      </c>
      <c r="V9002" t="s">
        <v>59972</v>
      </c>
      <c r="W9002" t="s">
        <v>43772</v>
      </c>
      <c r="X9002" t="s">
        <v>44912</v>
      </c>
    </row>
    <row r="9003" spans="1:24">
      <c r="A9003">
        <f>HYPERLINK("https://www.philgeps.gov.ph/GEPSNONPILOT/Tender/SplashBidNoticeAbstractUI.aspx?menuIndex=3&amp;refID=7073211&amp;Result=3","7073211")</f>
        <v>0</v>
      </c>
      <c r="B9003" t="s">
        <v>2623</v>
      </c>
      <c r="C9003" t="s">
        <v>12094</v>
      </c>
      <c r="D9003" t="s">
        <v>18108</v>
      </c>
      <c r="E9003" t="s">
        <v>26038</v>
      </c>
      <c r="F9003" t="s">
        <v>31362</v>
      </c>
      <c r="G9003" t="s">
        <v>31369</v>
      </c>
      <c r="H9003" t="s">
        <v>31379</v>
      </c>
      <c r="I9003" t="s">
        <v>4283</v>
      </c>
      <c r="J9003" t="s">
        <v>31578</v>
      </c>
      <c r="K9003" t="s">
        <v>40665</v>
      </c>
      <c r="M9003" t="s">
        <v>43802</v>
      </c>
      <c r="N9003" t="s">
        <v>44905</v>
      </c>
      <c r="O9003" t="s">
        <v>44906</v>
      </c>
      <c r="P9003">
        <v>0</v>
      </c>
      <c r="Q9003">
        <v>3</v>
      </c>
      <c r="R9003" t="s">
        <v>44911</v>
      </c>
      <c r="S9003" t="s">
        <v>45139</v>
      </c>
      <c r="T9003" t="s">
        <v>46396</v>
      </c>
      <c r="U9003" t="s">
        <v>54182</v>
      </c>
      <c r="V9003" t="s">
        <v>59973</v>
      </c>
      <c r="W9003" t="s">
        <v>43802</v>
      </c>
      <c r="X9003" t="s">
        <v>44912</v>
      </c>
    </row>
    <row r="9004" spans="1:24">
      <c r="A9004">
        <f>HYPERLINK("https://www.philgeps.gov.ph/GEPSNONPILOT/Tender/SplashBidNoticeAbstractUI.aspx?menuIndex=3&amp;refID=7065199&amp;Result=3","7065199")</f>
        <v>0</v>
      </c>
      <c r="B9004" t="s">
        <v>2624</v>
      </c>
      <c r="C9004" t="s">
        <v>12095</v>
      </c>
      <c r="D9004" t="s">
        <v>18175</v>
      </c>
      <c r="E9004" t="s">
        <v>26039</v>
      </c>
      <c r="F9004" t="s">
        <v>31362</v>
      </c>
      <c r="G9004" t="s">
        <v>31369</v>
      </c>
      <c r="H9004" t="s">
        <v>31378</v>
      </c>
      <c r="I9004" t="s">
        <v>31386</v>
      </c>
      <c r="J9004" t="s">
        <v>31915</v>
      </c>
      <c r="K9004" t="s">
        <v>40682</v>
      </c>
      <c r="M9004" t="s">
        <v>43803</v>
      </c>
      <c r="N9004" t="s">
        <v>44905</v>
      </c>
      <c r="O9004" t="s">
        <v>44906</v>
      </c>
      <c r="P9004">
        <v>0</v>
      </c>
      <c r="Q9004">
        <v>0</v>
      </c>
      <c r="R9004" t="s">
        <v>44912</v>
      </c>
      <c r="S9004" t="s">
        <v>45159</v>
      </c>
      <c r="T9004" t="s">
        <v>46411</v>
      </c>
      <c r="U9004" t="s">
        <v>54183</v>
      </c>
      <c r="W9004" t="s">
        <v>43803</v>
      </c>
      <c r="X9004" t="s">
        <v>44916</v>
      </c>
    </row>
    <row r="9005" spans="1:24">
      <c r="A9005">
        <f>HYPERLINK("https://www.philgeps.gov.ph/GEPSNONPILOT/Tender/SplashBidNoticeAbstractUI.aspx?menuIndex=3&amp;refID=7073173&amp;Result=3","7073173")</f>
        <v>0</v>
      </c>
      <c r="B9005" t="s">
        <v>900</v>
      </c>
      <c r="C9005" t="s">
        <v>12096</v>
      </c>
      <c r="D9005" t="s">
        <v>18123</v>
      </c>
      <c r="E9005" t="s">
        <v>26040</v>
      </c>
      <c r="F9005" t="s">
        <v>31362</v>
      </c>
      <c r="G9005" t="s">
        <v>31369</v>
      </c>
      <c r="H9005" t="s">
        <v>15799</v>
      </c>
      <c r="I9005" t="s">
        <v>31380</v>
      </c>
      <c r="J9005" t="s">
        <v>37022</v>
      </c>
      <c r="K9005" t="s">
        <v>40666</v>
      </c>
      <c r="M9005" t="s">
        <v>41881</v>
      </c>
      <c r="N9005" t="s">
        <v>44905</v>
      </c>
      <c r="O9005" t="s">
        <v>44906</v>
      </c>
      <c r="P9005">
        <v>0</v>
      </c>
      <c r="Q9005">
        <v>16</v>
      </c>
      <c r="R9005" t="s">
        <v>44911</v>
      </c>
      <c r="S9005" t="s">
        <v>45139</v>
      </c>
      <c r="T9005" t="s">
        <v>46466</v>
      </c>
      <c r="U9005" t="s">
        <v>54184</v>
      </c>
      <c r="W9005" t="s">
        <v>60873</v>
      </c>
      <c r="X9005" t="s">
        <v>44912</v>
      </c>
    </row>
    <row r="9006" spans="1:24">
      <c r="A9006">
        <f>HYPERLINK("https://www.philgeps.gov.ph/GEPSNONPILOT/Tender/SplashBidNoticeAbstractUI.aspx?menuIndex=3&amp;refID=7063881&amp;Result=3","7063881")</f>
        <v>0</v>
      </c>
      <c r="B9006" t="s">
        <v>1571</v>
      </c>
      <c r="C9006" t="s">
        <v>12097</v>
      </c>
      <c r="D9006" t="s">
        <v>18153</v>
      </c>
      <c r="E9006" t="s">
        <v>26041</v>
      </c>
      <c r="F9006" t="s">
        <v>31362</v>
      </c>
      <c r="G9006" t="s">
        <v>31369</v>
      </c>
      <c r="H9006" t="s">
        <v>15799</v>
      </c>
      <c r="I9006" t="s">
        <v>31387</v>
      </c>
      <c r="J9006" t="s">
        <v>37023</v>
      </c>
      <c r="K9006" t="s">
        <v>40670</v>
      </c>
      <c r="M9006" t="s">
        <v>42623</v>
      </c>
      <c r="N9006" t="s">
        <v>44905</v>
      </c>
      <c r="O9006" t="s">
        <v>44906</v>
      </c>
      <c r="P9006">
        <v>0</v>
      </c>
      <c r="Q9006">
        <v>1</v>
      </c>
      <c r="R9006" t="s">
        <v>44912</v>
      </c>
      <c r="S9006" t="s">
        <v>45159</v>
      </c>
      <c r="T9006" t="s">
        <v>46454</v>
      </c>
      <c r="U9006" t="s">
        <v>54185</v>
      </c>
      <c r="V9006" t="s">
        <v>59974</v>
      </c>
      <c r="W9006" t="s">
        <v>42623</v>
      </c>
      <c r="X9006" t="s">
        <v>44917</v>
      </c>
    </row>
    <row r="9007" spans="1:24">
      <c r="A9007">
        <f>HYPERLINK("https://www.philgeps.gov.ph/GEPSNONPILOT/Tender/SplashBidNoticeAbstractUI.aspx?menuIndex=3&amp;refID=7063862&amp;Result=3","7063862")</f>
        <v>0</v>
      </c>
      <c r="B9007" t="s">
        <v>1571</v>
      </c>
      <c r="C9007" t="s">
        <v>12098</v>
      </c>
      <c r="D9007" t="s">
        <v>18153</v>
      </c>
      <c r="E9007" t="s">
        <v>26042</v>
      </c>
      <c r="F9007" t="s">
        <v>31362</v>
      </c>
      <c r="G9007" t="s">
        <v>31369</v>
      </c>
      <c r="H9007" t="s">
        <v>15799</v>
      </c>
      <c r="I9007" t="s">
        <v>31387</v>
      </c>
      <c r="J9007" t="s">
        <v>37024</v>
      </c>
      <c r="K9007" t="s">
        <v>40670</v>
      </c>
      <c r="M9007" t="s">
        <v>42623</v>
      </c>
      <c r="N9007" t="s">
        <v>44905</v>
      </c>
      <c r="O9007" t="s">
        <v>44906</v>
      </c>
      <c r="P9007">
        <v>0</v>
      </c>
      <c r="Q9007">
        <v>1</v>
      </c>
      <c r="R9007" t="s">
        <v>44912</v>
      </c>
      <c r="S9007" t="s">
        <v>45159</v>
      </c>
      <c r="T9007" t="s">
        <v>46454</v>
      </c>
      <c r="U9007" t="s">
        <v>54186</v>
      </c>
      <c r="V9007" t="s">
        <v>59974</v>
      </c>
      <c r="W9007" t="s">
        <v>42623</v>
      </c>
      <c r="X9007" t="s">
        <v>44917</v>
      </c>
    </row>
    <row r="9008" spans="1:24">
      <c r="A9008">
        <f>HYPERLINK("https://www.philgeps.gov.ph/GEPSNONPILOT/Tender/SplashBidNoticeAbstractUI.aspx?menuIndex=3&amp;refID=7062384&amp;Result=3","7062384")</f>
        <v>0</v>
      </c>
      <c r="B9008" t="s">
        <v>916</v>
      </c>
      <c r="C9008" t="s">
        <v>12099</v>
      </c>
      <c r="D9008" t="s">
        <v>18101</v>
      </c>
      <c r="E9008" t="s">
        <v>26043</v>
      </c>
      <c r="F9008" t="s">
        <v>31362</v>
      </c>
      <c r="G9008" t="s">
        <v>31369</v>
      </c>
      <c r="H9008" t="s">
        <v>15799</v>
      </c>
      <c r="I9008" t="s">
        <v>31380</v>
      </c>
      <c r="J9008" t="s">
        <v>37025</v>
      </c>
      <c r="K9008" t="s">
        <v>40665</v>
      </c>
      <c r="M9008" t="s">
        <v>43804</v>
      </c>
      <c r="N9008" t="s">
        <v>44905</v>
      </c>
      <c r="O9008" t="s">
        <v>44906</v>
      </c>
      <c r="Q9008">
        <v>0</v>
      </c>
      <c r="R9008" t="s">
        <v>44912</v>
      </c>
      <c r="S9008" t="s">
        <v>45160</v>
      </c>
      <c r="T9008" t="s">
        <v>46419</v>
      </c>
      <c r="U9008" t="s">
        <v>54187</v>
      </c>
      <c r="V9008" t="s">
        <v>59975</v>
      </c>
      <c r="W9008" t="s">
        <v>43804</v>
      </c>
      <c r="X9008" t="s">
        <v>44917</v>
      </c>
    </row>
    <row r="9009" spans="1:24">
      <c r="A9009">
        <f>HYPERLINK("https://www.philgeps.gov.ph/GEPSNONPILOT/Tender/SplashBidNoticeAbstractUI.aspx?menuIndex=3&amp;refID=7073169&amp;Result=3","7073169")</f>
        <v>0</v>
      </c>
      <c r="B9009" t="s">
        <v>900</v>
      </c>
      <c r="C9009" t="s">
        <v>12100</v>
      </c>
      <c r="D9009" t="s">
        <v>18123</v>
      </c>
      <c r="E9009" t="s">
        <v>26044</v>
      </c>
      <c r="F9009" t="s">
        <v>31362</v>
      </c>
      <c r="G9009" t="s">
        <v>31369</v>
      </c>
      <c r="H9009" t="s">
        <v>15799</v>
      </c>
      <c r="I9009" t="s">
        <v>31413</v>
      </c>
      <c r="J9009" t="s">
        <v>37026</v>
      </c>
      <c r="K9009" t="s">
        <v>40666</v>
      </c>
      <c r="M9009" t="s">
        <v>41881</v>
      </c>
      <c r="N9009" t="s">
        <v>44905</v>
      </c>
      <c r="O9009" t="s">
        <v>44906</v>
      </c>
      <c r="P9009">
        <v>0</v>
      </c>
      <c r="Q9009">
        <v>1</v>
      </c>
      <c r="R9009" t="s">
        <v>44911</v>
      </c>
      <c r="S9009" t="s">
        <v>45139</v>
      </c>
      <c r="T9009" t="s">
        <v>46509</v>
      </c>
      <c r="U9009" t="s">
        <v>54188</v>
      </c>
      <c r="W9009" t="s">
        <v>60873</v>
      </c>
      <c r="X9009" t="s">
        <v>44912</v>
      </c>
    </row>
    <row r="9010" spans="1:24">
      <c r="A9010">
        <f>HYPERLINK("https://www.philgeps.gov.ph/GEPSNONPILOT/Tender/SplashBidNoticeAbstractUI.aspx?menuIndex=3&amp;refID=7062326&amp;Result=3","7062326")</f>
        <v>0</v>
      </c>
      <c r="B9010" t="s">
        <v>916</v>
      </c>
      <c r="C9010" t="s">
        <v>12101</v>
      </c>
      <c r="D9010" t="s">
        <v>18101</v>
      </c>
      <c r="E9010" t="s">
        <v>26045</v>
      </c>
      <c r="F9010" t="s">
        <v>31362</v>
      </c>
      <c r="G9010" t="s">
        <v>31369</v>
      </c>
      <c r="H9010" t="s">
        <v>15799</v>
      </c>
      <c r="I9010" t="s">
        <v>4283</v>
      </c>
      <c r="J9010" t="s">
        <v>37027</v>
      </c>
      <c r="K9010" t="s">
        <v>40665</v>
      </c>
      <c r="M9010" t="s">
        <v>43804</v>
      </c>
      <c r="N9010" t="s">
        <v>44905</v>
      </c>
      <c r="O9010" t="s">
        <v>44906</v>
      </c>
      <c r="P9010">
        <v>0</v>
      </c>
      <c r="Q9010">
        <v>4</v>
      </c>
      <c r="R9010" t="s">
        <v>44912</v>
      </c>
      <c r="S9010" t="s">
        <v>45159</v>
      </c>
      <c r="T9010" t="s">
        <v>46419</v>
      </c>
      <c r="U9010" t="s">
        <v>54189</v>
      </c>
      <c r="V9010" t="s">
        <v>59976</v>
      </c>
      <c r="W9010" t="s">
        <v>43804</v>
      </c>
      <c r="X9010" t="s">
        <v>44917</v>
      </c>
    </row>
    <row r="9011" spans="1:24">
      <c r="A9011">
        <f>HYPERLINK("https://www.philgeps.gov.ph/GEPSNONPILOT/Tender/SplashBidNoticeAbstractUI.aspx?menuIndex=3&amp;refID=7065243&amp;Result=3","7065243")</f>
        <v>0</v>
      </c>
      <c r="B9011" t="s">
        <v>2624</v>
      </c>
      <c r="C9011" t="s">
        <v>12102</v>
      </c>
      <c r="D9011" t="s">
        <v>18175</v>
      </c>
      <c r="E9011" t="s">
        <v>26046</v>
      </c>
      <c r="F9011" t="s">
        <v>31362</v>
      </c>
      <c r="G9011" t="s">
        <v>31369</v>
      </c>
      <c r="H9011" t="s">
        <v>15799</v>
      </c>
      <c r="I9011" t="s">
        <v>31426</v>
      </c>
      <c r="J9011" t="s">
        <v>33058</v>
      </c>
      <c r="K9011" t="s">
        <v>40665</v>
      </c>
      <c r="M9011" t="s">
        <v>43803</v>
      </c>
      <c r="N9011" t="s">
        <v>44905</v>
      </c>
      <c r="O9011" t="s">
        <v>44906</v>
      </c>
      <c r="P9011">
        <v>0</v>
      </c>
      <c r="Q9011">
        <v>3</v>
      </c>
      <c r="R9011" t="s">
        <v>44912</v>
      </c>
      <c r="S9011" t="s">
        <v>45159</v>
      </c>
      <c r="T9011" t="s">
        <v>46411</v>
      </c>
      <c r="U9011" t="s">
        <v>54190</v>
      </c>
      <c r="W9011" t="s">
        <v>43803</v>
      </c>
      <c r="X9011" t="s">
        <v>44916</v>
      </c>
    </row>
    <row r="9012" spans="1:24">
      <c r="A9012">
        <f>HYPERLINK("https://www.philgeps.gov.ph/GEPSNONPILOT/Tender/SplashBidNoticeAbstractUI.aspx?menuIndex=3&amp;refID=7062264&amp;Result=3","7062264")</f>
        <v>0</v>
      </c>
      <c r="B9012" t="s">
        <v>2625</v>
      </c>
      <c r="C9012" t="s">
        <v>12103</v>
      </c>
      <c r="D9012" t="s">
        <v>18134</v>
      </c>
      <c r="E9012" t="s">
        <v>26047</v>
      </c>
      <c r="F9012" t="s">
        <v>31362</v>
      </c>
      <c r="G9012" t="s">
        <v>31369</v>
      </c>
      <c r="H9012" t="s">
        <v>31378</v>
      </c>
      <c r="I9012" t="s">
        <v>31386</v>
      </c>
      <c r="J9012" t="s">
        <v>37028</v>
      </c>
      <c r="K9012" t="s">
        <v>40666</v>
      </c>
      <c r="M9012" t="s">
        <v>43805</v>
      </c>
      <c r="N9012" t="s">
        <v>44905</v>
      </c>
      <c r="O9012" t="s">
        <v>44906</v>
      </c>
      <c r="P9012">
        <v>0</v>
      </c>
      <c r="Q9012">
        <v>0</v>
      </c>
      <c r="R9012" t="s">
        <v>44912</v>
      </c>
      <c r="S9012" t="s">
        <v>45159</v>
      </c>
      <c r="T9012" t="s">
        <v>46443</v>
      </c>
      <c r="U9012" t="s">
        <v>54191</v>
      </c>
      <c r="W9012" t="s">
        <v>43805</v>
      </c>
      <c r="X9012" t="s">
        <v>44917</v>
      </c>
    </row>
    <row r="9013" spans="1:24">
      <c r="A9013">
        <f>HYPERLINK("https://www.philgeps.gov.ph/GEPSNONPILOT/Tender/SplashBidNoticeAbstractUI.aspx?menuIndex=3&amp;refID=7065219&amp;Result=3","7065219")</f>
        <v>0</v>
      </c>
      <c r="B9013" t="s">
        <v>2624</v>
      </c>
      <c r="C9013" t="s">
        <v>12104</v>
      </c>
      <c r="D9013" t="s">
        <v>18175</v>
      </c>
      <c r="E9013" t="s">
        <v>26048</v>
      </c>
      <c r="F9013" t="s">
        <v>31362</v>
      </c>
      <c r="G9013" t="s">
        <v>31369</v>
      </c>
      <c r="H9013" t="s">
        <v>31378</v>
      </c>
      <c r="I9013" t="s">
        <v>31386</v>
      </c>
      <c r="J9013" t="s">
        <v>32549</v>
      </c>
      <c r="K9013" t="s">
        <v>40679</v>
      </c>
      <c r="M9013" t="s">
        <v>43803</v>
      </c>
      <c r="N9013" t="s">
        <v>44905</v>
      </c>
      <c r="O9013" t="s">
        <v>44906</v>
      </c>
      <c r="P9013">
        <v>0</v>
      </c>
      <c r="Q9013">
        <v>0</v>
      </c>
      <c r="R9013" t="s">
        <v>44912</v>
      </c>
      <c r="S9013" t="s">
        <v>45159</v>
      </c>
      <c r="T9013" t="s">
        <v>46411</v>
      </c>
      <c r="U9013" t="s">
        <v>54192</v>
      </c>
      <c r="W9013" t="s">
        <v>43803</v>
      </c>
      <c r="X9013" t="s">
        <v>44916</v>
      </c>
    </row>
    <row r="9014" spans="1:24">
      <c r="A9014">
        <f>HYPERLINK("https://www.philgeps.gov.ph/GEPSNONPILOT/Tender/SplashBidNoticeAbstractUI.aspx?menuIndex=3&amp;refID=7060133&amp;Result=3","7060133")</f>
        <v>0</v>
      </c>
      <c r="B9014" t="s">
        <v>916</v>
      </c>
      <c r="C9014" t="s">
        <v>12105</v>
      </c>
      <c r="D9014" t="s">
        <v>18101</v>
      </c>
      <c r="E9014" t="s">
        <v>26049</v>
      </c>
      <c r="F9014" t="s">
        <v>31362</v>
      </c>
      <c r="G9014" t="s">
        <v>31369</v>
      </c>
      <c r="H9014" t="s">
        <v>15799</v>
      </c>
      <c r="I9014" t="s">
        <v>31380</v>
      </c>
      <c r="J9014" t="s">
        <v>37029</v>
      </c>
      <c r="K9014" t="s">
        <v>40665</v>
      </c>
      <c r="M9014" t="s">
        <v>43804</v>
      </c>
      <c r="N9014" t="s">
        <v>44905</v>
      </c>
      <c r="O9014" t="s">
        <v>44906</v>
      </c>
      <c r="Q9014">
        <v>0</v>
      </c>
      <c r="R9014" t="s">
        <v>44912</v>
      </c>
      <c r="S9014" t="s">
        <v>45161</v>
      </c>
      <c r="T9014" t="s">
        <v>46419</v>
      </c>
      <c r="U9014" t="s">
        <v>54193</v>
      </c>
      <c r="V9014" t="s">
        <v>59975</v>
      </c>
      <c r="W9014" t="s">
        <v>43804</v>
      </c>
      <c r="X9014" t="s">
        <v>44918</v>
      </c>
    </row>
    <row r="9015" spans="1:24">
      <c r="A9015">
        <f>HYPERLINK("https://www.philgeps.gov.ph/GEPSNONPILOT/Tender/SplashBidNoticeAbstractUI.aspx?menuIndex=3&amp;refID=7073196&amp;Result=3","7073196")</f>
        <v>0</v>
      </c>
      <c r="B9015" t="s">
        <v>900</v>
      </c>
      <c r="C9015" t="s">
        <v>12106</v>
      </c>
      <c r="D9015" t="s">
        <v>18123</v>
      </c>
      <c r="E9015" t="s">
        <v>26050</v>
      </c>
      <c r="F9015" t="s">
        <v>31362</v>
      </c>
      <c r="G9015" t="s">
        <v>31369</v>
      </c>
      <c r="H9015" t="s">
        <v>15799</v>
      </c>
      <c r="I9015" t="s">
        <v>31414</v>
      </c>
      <c r="J9015" t="s">
        <v>37030</v>
      </c>
      <c r="K9015" t="s">
        <v>40665</v>
      </c>
      <c r="M9015" t="s">
        <v>41881</v>
      </c>
      <c r="N9015" t="s">
        <v>44905</v>
      </c>
      <c r="O9015" t="s">
        <v>44906</v>
      </c>
      <c r="P9015">
        <v>0</v>
      </c>
      <c r="Q9015">
        <v>9</v>
      </c>
      <c r="R9015" t="s">
        <v>44911</v>
      </c>
      <c r="S9015" t="s">
        <v>45139</v>
      </c>
      <c r="T9015" t="s">
        <v>46509</v>
      </c>
      <c r="U9015" t="s">
        <v>54194</v>
      </c>
      <c r="W9015" t="s">
        <v>60873</v>
      </c>
      <c r="X9015" t="s">
        <v>44912</v>
      </c>
    </row>
    <row r="9016" spans="1:24">
      <c r="A9016">
        <f>HYPERLINK("https://www.philgeps.gov.ph/GEPSNONPILOT/Tender/SplashBidNoticeAbstractUI.aspx?menuIndex=3&amp;refID=7057450&amp;Result=3","7057450")</f>
        <v>0</v>
      </c>
      <c r="B9016" t="s">
        <v>1863</v>
      </c>
      <c r="C9016" t="s">
        <v>12107</v>
      </c>
      <c r="D9016" t="s">
        <v>18122</v>
      </c>
      <c r="E9016" t="s">
        <v>18203</v>
      </c>
      <c r="F9016" t="s">
        <v>31362</v>
      </c>
      <c r="G9016" t="s">
        <v>31369</v>
      </c>
      <c r="H9016" t="s">
        <v>15799</v>
      </c>
      <c r="I9016" t="s">
        <v>3815</v>
      </c>
      <c r="J9016" t="s">
        <v>37031</v>
      </c>
      <c r="K9016" t="s">
        <v>40665</v>
      </c>
      <c r="M9016" t="s">
        <v>42953</v>
      </c>
      <c r="N9016" t="s">
        <v>44905</v>
      </c>
      <c r="O9016" t="s">
        <v>44906</v>
      </c>
      <c r="P9016">
        <v>0</v>
      </c>
      <c r="Q9016">
        <v>3</v>
      </c>
      <c r="R9016" t="s">
        <v>44912</v>
      </c>
      <c r="S9016" t="s">
        <v>45159</v>
      </c>
      <c r="T9016" t="s">
        <v>46628</v>
      </c>
      <c r="U9016" t="s">
        <v>54195</v>
      </c>
      <c r="W9016" t="s">
        <v>42953</v>
      </c>
      <c r="X9016" t="s">
        <v>44921</v>
      </c>
    </row>
    <row r="9017" spans="1:24">
      <c r="A9017">
        <f>HYPERLINK("https://www.philgeps.gov.ph/GEPSNONPILOT/Tender/SplashBidNoticeAbstractUI.aspx?menuIndex=3&amp;refID=7063788&amp;Result=3","7063788")</f>
        <v>0</v>
      </c>
      <c r="B9017" t="s">
        <v>2626</v>
      </c>
      <c r="C9017" t="s">
        <v>12108</v>
      </c>
      <c r="D9017" t="s">
        <v>18118</v>
      </c>
      <c r="E9017" t="s">
        <v>26051</v>
      </c>
      <c r="F9017" t="s">
        <v>31362</v>
      </c>
      <c r="G9017" t="s">
        <v>31369</v>
      </c>
      <c r="H9017" t="s">
        <v>15799</v>
      </c>
      <c r="I9017" t="s">
        <v>31409</v>
      </c>
      <c r="J9017" t="s">
        <v>31641</v>
      </c>
      <c r="K9017" t="s">
        <v>40682</v>
      </c>
      <c r="M9017" t="s">
        <v>43806</v>
      </c>
      <c r="N9017" t="s">
        <v>44905</v>
      </c>
      <c r="O9017" t="s">
        <v>44906</v>
      </c>
      <c r="P9017">
        <v>0</v>
      </c>
      <c r="Q9017">
        <v>5</v>
      </c>
      <c r="R9017" t="s">
        <v>44912</v>
      </c>
      <c r="S9017" t="s">
        <v>45159</v>
      </c>
      <c r="T9017" t="s">
        <v>46413</v>
      </c>
      <c r="U9017" t="s">
        <v>54196</v>
      </c>
      <c r="W9017" t="s">
        <v>43806</v>
      </c>
      <c r="X9017" t="s">
        <v>44917</v>
      </c>
    </row>
    <row r="9018" spans="1:24">
      <c r="A9018">
        <f>HYPERLINK("https://www.philgeps.gov.ph/GEPSNONPILOT/Tender/SplashBidNoticeAbstractUI.aspx?menuIndex=3&amp;refID=7072057&amp;Result=3","7072057")</f>
        <v>0</v>
      </c>
      <c r="B9018" t="s">
        <v>2627</v>
      </c>
      <c r="C9018" t="s">
        <v>12109</v>
      </c>
      <c r="D9018" t="s">
        <v>18105</v>
      </c>
      <c r="E9018" t="s">
        <v>26052</v>
      </c>
      <c r="F9018" t="s">
        <v>31362</v>
      </c>
      <c r="G9018" t="s">
        <v>31369</v>
      </c>
      <c r="H9018" t="s">
        <v>31378</v>
      </c>
      <c r="I9018" t="s">
        <v>31386</v>
      </c>
      <c r="J9018" t="s">
        <v>37032</v>
      </c>
      <c r="K9018" t="s">
        <v>40692</v>
      </c>
      <c r="M9018" t="s">
        <v>43807</v>
      </c>
      <c r="N9018" t="s">
        <v>44905</v>
      </c>
      <c r="O9018" t="s">
        <v>44906</v>
      </c>
      <c r="P9018">
        <v>0</v>
      </c>
      <c r="Q9018">
        <v>0</v>
      </c>
      <c r="R9018" t="s">
        <v>44912</v>
      </c>
      <c r="S9018" t="s">
        <v>45159</v>
      </c>
      <c r="T9018" t="s">
        <v>46793</v>
      </c>
      <c r="U9018" t="s">
        <v>54197</v>
      </c>
      <c r="W9018" t="s">
        <v>43807</v>
      </c>
      <c r="X9018" t="s">
        <v>44914</v>
      </c>
    </row>
    <row r="9019" spans="1:24">
      <c r="A9019">
        <f>HYPERLINK("https://www.philgeps.gov.ph/GEPSNONPILOT/Tender/SplashBidNoticeAbstractUI.aspx?menuIndex=3&amp;refID=7062363&amp;Result=3","7062363")</f>
        <v>0</v>
      </c>
      <c r="B9019" t="s">
        <v>916</v>
      </c>
      <c r="C9019" t="s">
        <v>12110</v>
      </c>
      <c r="D9019" t="s">
        <v>18101</v>
      </c>
      <c r="E9019" t="s">
        <v>26053</v>
      </c>
      <c r="F9019" t="s">
        <v>31362</v>
      </c>
      <c r="G9019" t="s">
        <v>31369</v>
      </c>
      <c r="H9019" t="s">
        <v>15799</v>
      </c>
      <c r="I9019" t="s">
        <v>31380</v>
      </c>
      <c r="J9019" t="s">
        <v>37033</v>
      </c>
      <c r="K9019" t="s">
        <v>40665</v>
      </c>
      <c r="M9019" t="s">
        <v>43804</v>
      </c>
      <c r="N9019" t="s">
        <v>44905</v>
      </c>
      <c r="O9019" t="s">
        <v>44906</v>
      </c>
      <c r="Q9019">
        <v>1</v>
      </c>
      <c r="R9019" t="s">
        <v>44912</v>
      </c>
      <c r="S9019" t="s">
        <v>45162</v>
      </c>
      <c r="T9019" t="s">
        <v>46419</v>
      </c>
      <c r="U9019" t="s">
        <v>54198</v>
      </c>
      <c r="V9019" t="s">
        <v>59975</v>
      </c>
      <c r="W9019" t="s">
        <v>43804</v>
      </c>
      <c r="X9019" t="s">
        <v>44917</v>
      </c>
    </row>
    <row r="9020" spans="1:24">
      <c r="A9020">
        <f>HYPERLINK("https://www.philgeps.gov.ph/GEPSNONPILOT/Tender/SplashBidNoticeAbstractUI.aspx?menuIndex=3&amp;refID=7071888&amp;Result=3","7071888")</f>
        <v>0</v>
      </c>
      <c r="B9020" t="s">
        <v>2628</v>
      </c>
      <c r="C9020" t="s">
        <v>12111</v>
      </c>
      <c r="D9020" t="s">
        <v>18152</v>
      </c>
      <c r="E9020" t="s">
        <v>26054</v>
      </c>
      <c r="F9020" t="s">
        <v>31362</v>
      </c>
      <c r="G9020" t="s">
        <v>31369</v>
      </c>
      <c r="H9020" t="s">
        <v>31378</v>
      </c>
      <c r="I9020" t="s">
        <v>3815</v>
      </c>
      <c r="J9020" t="s">
        <v>31687</v>
      </c>
      <c r="K9020" t="s">
        <v>40681</v>
      </c>
      <c r="M9020" t="s">
        <v>43808</v>
      </c>
      <c r="N9020" t="s">
        <v>44905</v>
      </c>
      <c r="O9020" t="s">
        <v>44906</v>
      </c>
      <c r="P9020">
        <v>0</v>
      </c>
      <c r="Q9020">
        <v>2</v>
      </c>
      <c r="R9020" t="s">
        <v>44912</v>
      </c>
      <c r="S9020" t="s">
        <v>45159</v>
      </c>
      <c r="T9020" t="s">
        <v>46434</v>
      </c>
      <c r="U9020" t="s">
        <v>54199</v>
      </c>
      <c r="W9020" t="s">
        <v>43808</v>
      </c>
      <c r="X9020" t="s">
        <v>44914</v>
      </c>
    </row>
    <row r="9021" spans="1:24">
      <c r="A9021">
        <f>HYPERLINK("https://www.philgeps.gov.ph/GEPSNONPILOT/Tender/SplashBidNoticeAbstractUI.aspx?menuIndex=3&amp;refID=7071854&amp;Result=3","7071854")</f>
        <v>0</v>
      </c>
      <c r="B9021" t="s">
        <v>1280</v>
      </c>
      <c r="C9021" t="s">
        <v>12112</v>
      </c>
      <c r="D9021" t="s">
        <v>18152</v>
      </c>
      <c r="E9021" t="s">
        <v>26055</v>
      </c>
      <c r="F9021" t="s">
        <v>31362</v>
      </c>
      <c r="G9021" t="s">
        <v>31369</v>
      </c>
      <c r="H9021" t="s">
        <v>15799</v>
      </c>
      <c r="I9021" t="s">
        <v>31380</v>
      </c>
      <c r="J9021" t="s">
        <v>32480</v>
      </c>
      <c r="K9021" t="s">
        <v>40662</v>
      </c>
      <c r="M9021" t="s">
        <v>42297</v>
      </c>
      <c r="N9021" t="s">
        <v>44905</v>
      </c>
      <c r="O9021" t="s">
        <v>44906</v>
      </c>
      <c r="P9021">
        <v>0</v>
      </c>
      <c r="Q9021">
        <v>0</v>
      </c>
      <c r="R9021" t="s">
        <v>44912</v>
      </c>
      <c r="S9021" t="s">
        <v>45159</v>
      </c>
      <c r="T9021" t="s">
        <v>46507</v>
      </c>
      <c r="U9021" t="s">
        <v>54200</v>
      </c>
      <c r="W9021" t="s">
        <v>42297</v>
      </c>
      <c r="X9021" t="s">
        <v>44914</v>
      </c>
    </row>
    <row r="9022" spans="1:24">
      <c r="A9022">
        <f>HYPERLINK("https://www.philgeps.gov.ph/GEPSNONPILOT/Tender/SplashBidNoticeAbstractUI.aspx?menuIndex=3&amp;refID=7071676&amp;Result=3","7071676")</f>
        <v>0</v>
      </c>
      <c r="B9022" t="s">
        <v>2629</v>
      </c>
      <c r="C9022" t="s">
        <v>12113</v>
      </c>
      <c r="D9022" t="s">
        <v>18175</v>
      </c>
      <c r="E9022" t="s">
        <v>26056</v>
      </c>
      <c r="F9022" t="s">
        <v>31362</v>
      </c>
      <c r="G9022" t="s">
        <v>31369</v>
      </c>
      <c r="H9022" t="s">
        <v>31378</v>
      </c>
      <c r="I9022" t="s">
        <v>31386</v>
      </c>
      <c r="J9022" t="s">
        <v>37034</v>
      </c>
      <c r="K9022" t="s">
        <v>40686</v>
      </c>
      <c r="M9022" t="s">
        <v>43809</v>
      </c>
      <c r="N9022" t="s">
        <v>44905</v>
      </c>
      <c r="O9022" t="s">
        <v>44906</v>
      </c>
      <c r="P9022">
        <v>0</v>
      </c>
      <c r="Q9022">
        <v>0</v>
      </c>
      <c r="R9022" t="s">
        <v>44912</v>
      </c>
      <c r="S9022" t="s">
        <v>45159</v>
      </c>
      <c r="T9022" t="s">
        <v>46419</v>
      </c>
      <c r="U9022" t="s">
        <v>54201</v>
      </c>
      <c r="W9022" t="s">
        <v>43809</v>
      </c>
      <c r="X9022" t="s">
        <v>44914</v>
      </c>
    </row>
    <row r="9023" spans="1:24">
      <c r="A9023">
        <f>HYPERLINK("https://www.philgeps.gov.ph/GEPSNONPILOT/Tender/SplashBidNoticeAbstractUI.aspx?menuIndex=3&amp;refID=7071822&amp;Result=3","7071822")</f>
        <v>0</v>
      </c>
      <c r="B9023" t="s">
        <v>2630</v>
      </c>
      <c r="C9023" t="s">
        <v>12114</v>
      </c>
      <c r="D9023" t="s">
        <v>18148</v>
      </c>
      <c r="E9023" t="s">
        <v>26057</v>
      </c>
      <c r="F9023" t="s">
        <v>31362</v>
      </c>
      <c r="G9023" t="s">
        <v>31369</v>
      </c>
      <c r="H9023" t="s">
        <v>31378</v>
      </c>
      <c r="I9023" t="s">
        <v>3815</v>
      </c>
      <c r="J9023" t="s">
        <v>37035</v>
      </c>
      <c r="K9023" t="s">
        <v>40666</v>
      </c>
      <c r="M9023" t="s">
        <v>43810</v>
      </c>
      <c r="N9023" t="s">
        <v>44905</v>
      </c>
      <c r="O9023" t="s">
        <v>44906</v>
      </c>
      <c r="P9023">
        <v>0</v>
      </c>
      <c r="Q9023">
        <v>0</v>
      </c>
      <c r="R9023" t="s">
        <v>44912</v>
      </c>
      <c r="S9023" t="s">
        <v>45159</v>
      </c>
      <c r="T9023" t="s">
        <v>46396</v>
      </c>
      <c r="U9023" t="s">
        <v>54202</v>
      </c>
      <c r="V9023" t="s">
        <v>59977</v>
      </c>
      <c r="W9023" t="s">
        <v>43810</v>
      </c>
      <c r="X9023" t="s">
        <v>44914</v>
      </c>
    </row>
    <row r="9024" spans="1:24">
      <c r="A9024">
        <f>HYPERLINK("https://www.philgeps.gov.ph/GEPSNONPILOT/Tender/SplashBidNoticeAbstractUI.aspx?menuIndex=3&amp;refID=7071616&amp;Result=3","7071616")</f>
        <v>0</v>
      </c>
      <c r="B9024" t="s">
        <v>1571</v>
      </c>
      <c r="C9024" t="s">
        <v>12115</v>
      </c>
      <c r="D9024" t="s">
        <v>18153</v>
      </c>
      <c r="E9024" t="s">
        <v>26058</v>
      </c>
      <c r="F9024" t="s">
        <v>31362</v>
      </c>
      <c r="G9024" t="s">
        <v>31369</v>
      </c>
      <c r="H9024" t="s">
        <v>15799</v>
      </c>
      <c r="I9024" t="s">
        <v>7188</v>
      </c>
      <c r="J9024" t="s">
        <v>37036</v>
      </c>
      <c r="K9024" t="s">
        <v>40670</v>
      </c>
      <c r="M9024" t="s">
        <v>42623</v>
      </c>
      <c r="N9024" t="s">
        <v>44905</v>
      </c>
      <c r="O9024" t="s">
        <v>44906</v>
      </c>
      <c r="P9024">
        <v>0</v>
      </c>
      <c r="Q9024">
        <v>7</v>
      </c>
      <c r="R9024" t="s">
        <v>44912</v>
      </c>
      <c r="S9024" t="s">
        <v>45159</v>
      </c>
      <c r="T9024" t="s">
        <v>46454</v>
      </c>
      <c r="U9024" t="s">
        <v>54203</v>
      </c>
      <c r="V9024" t="s">
        <v>59974</v>
      </c>
      <c r="W9024" t="s">
        <v>42623</v>
      </c>
      <c r="X9024" t="s">
        <v>44914</v>
      </c>
    </row>
    <row r="9025" spans="1:24">
      <c r="A9025">
        <f>HYPERLINK("https://www.philgeps.gov.ph/GEPSNONPILOT/Tender/SplashBidNoticeAbstractUI.aspx?menuIndex=3&amp;refID=7070480&amp;Result=3","7070480")</f>
        <v>0</v>
      </c>
      <c r="B9025" t="s">
        <v>1948</v>
      </c>
      <c r="C9025" t="s">
        <v>12116</v>
      </c>
      <c r="E9025" t="s">
        <v>26059</v>
      </c>
      <c r="F9025" t="s">
        <v>31362</v>
      </c>
      <c r="G9025" t="s">
        <v>31369</v>
      </c>
      <c r="H9025" t="s">
        <v>15799</v>
      </c>
      <c r="I9025" t="s">
        <v>31384</v>
      </c>
      <c r="J9025" t="s">
        <v>37037</v>
      </c>
      <c r="K9025" t="s">
        <v>40665</v>
      </c>
      <c r="M9025" t="s">
        <v>43811</v>
      </c>
      <c r="N9025" t="s">
        <v>44905</v>
      </c>
      <c r="O9025" t="s">
        <v>44906</v>
      </c>
      <c r="Q9025">
        <v>5</v>
      </c>
      <c r="R9025" t="s">
        <v>44912</v>
      </c>
      <c r="S9025" t="s">
        <v>45163</v>
      </c>
      <c r="T9025" t="s">
        <v>46419</v>
      </c>
      <c r="U9025" t="s">
        <v>51909</v>
      </c>
      <c r="W9025" t="s">
        <v>43811</v>
      </c>
      <c r="X9025" t="s">
        <v>44914</v>
      </c>
    </row>
    <row r="9026" spans="1:24">
      <c r="A9026">
        <f>HYPERLINK("https://www.philgeps.gov.ph/GEPSNONPILOT/Tender/SplashBidNoticeAbstractUI.aspx?menuIndex=3&amp;refID=7068703&amp;Result=3","7068703")</f>
        <v>0</v>
      </c>
      <c r="B9026" t="s">
        <v>916</v>
      </c>
      <c r="C9026" t="s">
        <v>12117</v>
      </c>
      <c r="D9026" t="s">
        <v>18101</v>
      </c>
      <c r="E9026" t="s">
        <v>26060</v>
      </c>
      <c r="F9026" t="s">
        <v>31362</v>
      </c>
      <c r="G9026" t="s">
        <v>31369</v>
      </c>
      <c r="H9026" t="s">
        <v>15799</v>
      </c>
      <c r="I9026" t="s">
        <v>31414</v>
      </c>
      <c r="J9026" t="s">
        <v>31931</v>
      </c>
      <c r="K9026" t="s">
        <v>40665</v>
      </c>
      <c r="M9026" t="s">
        <v>43804</v>
      </c>
      <c r="N9026" t="s">
        <v>44905</v>
      </c>
      <c r="O9026" t="s">
        <v>44906</v>
      </c>
      <c r="P9026">
        <v>0</v>
      </c>
      <c r="Q9026">
        <v>0</v>
      </c>
      <c r="R9026" t="s">
        <v>44912</v>
      </c>
      <c r="S9026" t="s">
        <v>45159</v>
      </c>
      <c r="T9026" t="s">
        <v>46409</v>
      </c>
      <c r="U9026" t="s">
        <v>54204</v>
      </c>
      <c r="V9026" t="s">
        <v>59978</v>
      </c>
      <c r="W9026" t="s">
        <v>43804</v>
      </c>
      <c r="X9026" t="s">
        <v>44915</v>
      </c>
    </row>
    <row r="9027" spans="1:24">
      <c r="A9027">
        <f>HYPERLINK("https://www.philgeps.gov.ph/GEPSNONPILOT/Tender/SplashBidNoticeAbstractUI.aspx?menuIndex=3&amp;refID=7068600&amp;Result=3","7068600")</f>
        <v>0</v>
      </c>
      <c r="B9027" t="s">
        <v>916</v>
      </c>
      <c r="C9027" t="s">
        <v>12118</v>
      </c>
      <c r="D9027" t="s">
        <v>18101</v>
      </c>
      <c r="E9027" t="s">
        <v>26061</v>
      </c>
      <c r="F9027" t="s">
        <v>31362</v>
      </c>
      <c r="G9027" t="s">
        <v>31369</v>
      </c>
      <c r="H9027" t="s">
        <v>15799</v>
      </c>
      <c r="I9027" t="s">
        <v>31414</v>
      </c>
      <c r="J9027" t="s">
        <v>37038</v>
      </c>
      <c r="K9027" t="s">
        <v>40665</v>
      </c>
      <c r="M9027" t="s">
        <v>43804</v>
      </c>
      <c r="N9027" t="s">
        <v>44905</v>
      </c>
      <c r="O9027" t="s">
        <v>44906</v>
      </c>
      <c r="P9027">
        <v>0</v>
      </c>
      <c r="Q9027">
        <v>0</v>
      </c>
      <c r="R9027" t="s">
        <v>44912</v>
      </c>
      <c r="S9027" t="s">
        <v>45159</v>
      </c>
      <c r="T9027" t="s">
        <v>46409</v>
      </c>
      <c r="U9027" t="s">
        <v>54205</v>
      </c>
      <c r="V9027" t="s">
        <v>59978</v>
      </c>
      <c r="W9027" t="s">
        <v>43804</v>
      </c>
      <c r="X9027" t="s">
        <v>44915</v>
      </c>
    </row>
    <row r="9028" spans="1:24">
      <c r="A9028">
        <f>HYPERLINK("https://www.philgeps.gov.ph/GEPSNONPILOT/Tender/SplashBidNoticeAbstractUI.aspx?menuIndex=3&amp;refID=7068560&amp;Result=3","7068560")</f>
        <v>0</v>
      </c>
      <c r="B9028" t="s">
        <v>916</v>
      </c>
      <c r="C9028" t="s">
        <v>12119</v>
      </c>
      <c r="D9028" t="s">
        <v>18101</v>
      </c>
      <c r="E9028" t="s">
        <v>26062</v>
      </c>
      <c r="F9028" t="s">
        <v>31362</v>
      </c>
      <c r="G9028" t="s">
        <v>31369</v>
      </c>
      <c r="H9028" t="s">
        <v>15799</v>
      </c>
      <c r="I9028" t="s">
        <v>31459</v>
      </c>
      <c r="J9028" t="s">
        <v>37039</v>
      </c>
      <c r="K9028" t="s">
        <v>40665</v>
      </c>
      <c r="M9028" t="s">
        <v>43804</v>
      </c>
      <c r="N9028" t="s">
        <v>44905</v>
      </c>
      <c r="O9028" t="s">
        <v>44906</v>
      </c>
      <c r="P9028">
        <v>0</v>
      </c>
      <c r="Q9028">
        <v>1</v>
      </c>
      <c r="R9028" t="s">
        <v>44912</v>
      </c>
      <c r="S9028" t="s">
        <v>45159</v>
      </c>
      <c r="T9028" t="s">
        <v>46409</v>
      </c>
      <c r="U9028" t="s">
        <v>54206</v>
      </c>
      <c r="V9028" t="s">
        <v>59978</v>
      </c>
      <c r="W9028" t="s">
        <v>43804</v>
      </c>
      <c r="X9028" t="s">
        <v>44915</v>
      </c>
    </row>
    <row r="9029" spans="1:24">
      <c r="A9029">
        <f>HYPERLINK("https://www.philgeps.gov.ph/GEPSNONPILOT/Tender/SplashBidNoticeAbstractUI.aspx?menuIndex=3&amp;refID=7068507&amp;Result=3","7068507")</f>
        <v>0</v>
      </c>
      <c r="B9029" t="s">
        <v>916</v>
      </c>
      <c r="C9029" t="s">
        <v>12120</v>
      </c>
      <c r="D9029" t="s">
        <v>18101</v>
      </c>
      <c r="E9029" t="s">
        <v>26063</v>
      </c>
      <c r="F9029" t="s">
        <v>31362</v>
      </c>
      <c r="G9029" t="s">
        <v>31369</v>
      </c>
      <c r="H9029" t="s">
        <v>15799</v>
      </c>
      <c r="I9029" t="s">
        <v>31459</v>
      </c>
      <c r="J9029" t="s">
        <v>37040</v>
      </c>
      <c r="K9029" t="s">
        <v>40665</v>
      </c>
      <c r="M9029" t="s">
        <v>43804</v>
      </c>
      <c r="N9029" t="s">
        <v>44905</v>
      </c>
      <c r="O9029" t="s">
        <v>44906</v>
      </c>
      <c r="P9029">
        <v>0</v>
      </c>
      <c r="Q9029">
        <v>1</v>
      </c>
      <c r="R9029" t="s">
        <v>44912</v>
      </c>
      <c r="S9029" t="s">
        <v>45159</v>
      </c>
      <c r="T9029" t="s">
        <v>46409</v>
      </c>
      <c r="U9029" t="s">
        <v>54207</v>
      </c>
      <c r="V9029" t="s">
        <v>59978</v>
      </c>
      <c r="W9029" t="s">
        <v>43804</v>
      </c>
      <c r="X9029" t="s">
        <v>44915</v>
      </c>
    </row>
    <row r="9030" spans="1:24">
      <c r="A9030">
        <f>HYPERLINK("https://www.philgeps.gov.ph/GEPSNONPILOT/Tender/SplashBidNoticeAbstractUI.aspx?menuIndex=3&amp;refID=7068319&amp;Result=3","7068319")</f>
        <v>0</v>
      </c>
      <c r="B9030" t="s">
        <v>916</v>
      </c>
      <c r="C9030" t="s">
        <v>12121</v>
      </c>
      <c r="D9030" t="s">
        <v>18101</v>
      </c>
      <c r="E9030" t="s">
        <v>26064</v>
      </c>
      <c r="F9030" t="s">
        <v>31362</v>
      </c>
      <c r="G9030" t="s">
        <v>31369</v>
      </c>
      <c r="H9030" t="s">
        <v>15799</v>
      </c>
      <c r="I9030" t="s">
        <v>31414</v>
      </c>
      <c r="J9030" t="s">
        <v>37041</v>
      </c>
      <c r="K9030" t="s">
        <v>40665</v>
      </c>
      <c r="M9030" t="s">
        <v>43804</v>
      </c>
      <c r="N9030" t="s">
        <v>44905</v>
      </c>
      <c r="O9030" t="s">
        <v>44906</v>
      </c>
      <c r="P9030">
        <v>0</v>
      </c>
      <c r="Q9030">
        <v>2</v>
      </c>
      <c r="R9030" t="s">
        <v>44912</v>
      </c>
      <c r="S9030" t="s">
        <v>45159</v>
      </c>
      <c r="T9030" t="s">
        <v>46409</v>
      </c>
      <c r="U9030" t="s">
        <v>54208</v>
      </c>
      <c r="V9030" t="s">
        <v>59978</v>
      </c>
      <c r="W9030" t="s">
        <v>43804</v>
      </c>
      <c r="X9030" t="s">
        <v>44915</v>
      </c>
    </row>
    <row r="9031" spans="1:24">
      <c r="A9031">
        <f>HYPERLINK("https://www.philgeps.gov.ph/GEPSNONPILOT/Tender/SplashBidNoticeAbstractUI.aspx?menuIndex=3&amp;refID=7068671&amp;Result=3","7068671")</f>
        <v>0</v>
      </c>
      <c r="B9031" t="s">
        <v>916</v>
      </c>
      <c r="C9031" t="s">
        <v>12122</v>
      </c>
      <c r="D9031" t="s">
        <v>18101</v>
      </c>
      <c r="E9031" t="s">
        <v>26065</v>
      </c>
      <c r="F9031" t="s">
        <v>31362</v>
      </c>
      <c r="G9031" t="s">
        <v>31369</v>
      </c>
      <c r="H9031" t="s">
        <v>15799</v>
      </c>
      <c r="I9031" t="s">
        <v>31397</v>
      </c>
      <c r="J9031" t="s">
        <v>37042</v>
      </c>
      <c r="K9031" t="s">
        <v>40665</v>
      </c>
      <c r="M9031" t="s">
        <v>43804</v>
      </c>
      <c r="N9031" t="s">
        <v>44905</v>
      </c>
      <c r="O9031" t="s">
        <v>44906</v>
      </c>
      <c r="P9031">
        <v>0</v>
      </c>
      <c r="Q9031">
        <v>2</v>
      </c>
      <c r="R9031" t="s">
        <v>44912</v>
      </c>
      <c r="S9031" t="s">
        <v>45159</v>
      </c>
      <c r="T9031" t="s">
        <v>46409</v>
      </c>
      <c r="U9031" t="s">
        <v>54209</v>
      </c>
      <c r="V9031" t="s">
        <v>59978</v>
      </c>
      <c r="W9031" t="s">
        <v>43804</v>
      </c>
      <c r="X9031" t="s">
        <v>44915</v>
      </c>
    </row>
    <row r="9032" spans="1:24">
      <c r="A9032">
        <f>HYPERLINK("https://www.philgeps.gov.ph/GEPSNONPILOT/Tender/SplashBidNoticeAbstractUI.aspx?menuIndex=3&amp;refID=7068445&amp;Result=3","7068445")</f>
        <v>0</v>
      </c>
      <c r="B9032" t="s">
        <v>916</v>
      </c>
      <c r="C9032" t="s">
        <v>12123</v>
      </c>
      <c r="D9032" t="s">
        <v>18101</v>
      </c>
      <c r="E9032" t="s">
        <v>26066</v>
      </c>
      <c r="F9032" t="s">
        <v>31362</v>
      </c>
      <c r="G9032" t="s">
        <v>31369</v>
      </c>
      <c r="H9032" t="s">
        <v>15799</v>
      </c>
      <c r="I9032" t="s">
        <v>31431</v>
      </c>
      <c r="J9032" t="s">
        <v>37043</v>
      </c>
      <c r="K9032" t="s">
        <v>40665</v>
      </c>
      <c r="M9032" t="s">
        <v>43804</v>
      </c>
      <c r="N9032" t="s">
        <v>44905</v>
      </c>
      <c r="O9032" t="s">
        <v>44906</v>
      </c>
      <c r="P9032">
        <v>0</v>
      </c>
      <c r="Q9032">
        <v>0</v>
      </c>
      <c r="R9032" t="s">
        <v>44912</v>
      </c>
      <c r="S9032" t="s">
        <v>45159</v>
      </c>
      <c r="T9032" t="s">
        <v>46409</v>
      </c>
      <c r="U9032" t="s">
        <v>54210</v>
      </c>
      <c r="V9032" t="s">
        <v>59978</v>
      </c>
      <c r="W9032" t="s">
        <v>43804</v>
      </c>
      <c r="X9032" t="s">
        <v>44915</v>
      </c>
    </row>
    <row r="9033" spans="1:24">
      <c r="A9033">
        <f>HYPERLINK("https://www.philgeps.gov.ph/GEPSNONPILOT/Tender/SplashBidNoticeAbstractUI.aspx?menuIndex=3&amp;refID=7062206&amp;Result=3","7062206")</f>
        <v>0</v>
      </c>
      <c r="B9033" t="s">
        <v>2625</v>
      </c>
      <c r="C9033" t="s">
        <v>12124</v>
      </c>
      <c r="D9033" t="s">
        <v>18134</v>
      </c>
      <c r="E9033" t="s">
        <v>26067</v>
      </c>
      <c r="F9033" t="s">
        <v>31362</v>
      </c>
      <c r="G9033" t="s">
        <v>31369</v>
      </c>
      <c r="H9033" t="s">
        <v>31378</v>
      </c>
      <c r="I9033" t="s">
        <v>31386</v>
      </c>
      <c r="J9033" t="s">
        <v>31531</v>
      </c>
      <c r="K9033" t="s">
        <v>40665</v>
      </c>
      <c r="M9033" t="s">
        <v>43805</v>
      </c>
      <c r="N9033" t="s">
        <v>44905</v>
      </c>
      <c r="O9033" t="s">
        <v>44906</v>
      </c>
      <c r="P9033">
        <v>0</v>
      </c>
      <c r="Q9033">
        <v>0</v>
      </c>
      <c r="R9033" t="s">
        <v>44912</v>
      </c>
      <c r="S9033" t="s">
        <v>45159</v>
      </c>
      <c r="T9033" t="s">
        <v>46443</v>
      </c>
      <c r="U9033" t="s">
        <v>54211</v>
      </c>
      <c r="W9033" t="s">
        <v>43805</v>
      </c>
      <c r="X9033" t="s">
        <v>44917</v>
      </c>
    </row>
    <row r="9034" spans="1:24">
      <c r="A9034">
        <f>HYPERLINK("https://www.philgeps.gov.ph/GEPSNONPILOT/Tender/SplashBidNoticeAbstractUI.aspx?menuIndex=3&amp;refID=7065257&amp;Result=3","7065257")</f>
        <v>0</v>
      </c>
      <c r="B9034" t="s">
        <v>2624</v>
      </c>
      <c r="C9034" t="s">
        <v>12125</v>
      </c>
      <c r="D9034" t="s">
        <v>18175</v>
      </c>
      <c r="E9034" t="s">
        <v>26068</v>
      </c>
      <c r="F9034" t="s">
        <v>31362</v>
      </c>
      <c r="G9034" t="s">
        <v>31369</v>
      </c>
      <c r="H9034" t="s">
        <v>15799</v>
      </c>
      <c r="I9034" t="s">
        <v>31426</v>
      </c>
      <c r="J9034" t="s">
        <v>31734</v>
      </c>
      <c r="K9034" t="s">
        <v>40665</v>
      </c>
      <c r="M9034" t="s">
        <v>43803</v>
      </c>
      <c r="N9034" t="s">
        <v>44905</v>
      </c>
      <c r="O9034" t="s">
        <v>44906</v>
      </c>
      <c r="P9034">
        <v>0</v>
      </c>
      <c r="Q9034">
        <v>1</v>
      </c>
      <c r="R9034" t="s">
        <v>44912</v>
      </c>
      <c r="S9034" t="s">
        <v>45159</v>
      </c>
      <c r="T9034" t="s">
        <v>46411</v>
      </c>
      <c r="U9034" t="s">
        <v>54212</v>
      </c>
      <c r="W9034" t="s">
        <v>43803</v>
      </c>
      <c r="X9034" t="s">
        <v>44916</v>
      </c>
    </row>
    <row r="9035" spans="1:24">
      <c r="A9035">
        <f>HYPERLINK("https://www.philgeps.gov.ph/GEPSNONPILOT/Tender/SplashBidNoticeAbstractUI.aspx?menuIndex=3&amp;refID=7071584&amp;Result=3","7071584")</f>
        <v>0</v>
      </c>
      <c r="B9035" t="s">
        <v>1571</v>
      </c>
      <c r="C9035" t="s">
        <v>12126</v>
      </c>
      <c r="D9035" t="s">
        <v>18153</v>
      </c>
      <c r="E9035" t="s">
        <v>26069</v>
      </c>
      <c r="F9035" t="s">
        <v>31362</v>
      </c>
      <c r="G9035" t="s">
        <v>31369</v>
      </c>
      <c r="H9035" t="s">
        <v>15799</v>
      </c>
      <c r="I9035" t="s">
        <v>31430</v>
      </c>
      <c r="J9035" t="s">
        <v>32478</v>
      </c>
      <c r="K9035" t="s">
        <v>40670</v>
      </c>
      <c r="M9035" t="s">
        <v>42623</v>
      </c>
      <c r="N9035" t="s">
        <v>44905</v>
      </c>
      <c r="O9035" t="s">
        <v>44906</v>
      </c>
      <c r="P9035">
        <v>0</v>
      </c>
      <c r="Q9035">
        <v>2</v>
      </c>
      <c r="R9035" t="s">
        <v>44912</v>
      </c>
      <c r="S9035" t="s">
        <v>45159</v>
      </c>
      <c r="T9035" t="s">
        <v>46454</v>
      </c>
      <c r="U9035" t="s">
        <v>54213</v>
      </c>
      <c r="V9035" t="s">
        <v>59974</v>
      </c>
      <c r="W9035" t="s">
        <v>42623</v>
      </c>
      <c r="X9035" t="s">
        <v>44914</v>
      </c>
    </row>
    <row r="9036" spans="1:24">
      <c r="A9036">
        <f>HYPERLINK("https://www.philgeps.gov.ph/GEPSNONPILOT/Tender/SplashBidNoticeAbstractUI.aspx?menuIndex=3&amp;refID=7056121&amp;Result=3","7056121")</f>
        <v>0</v>
      </c>
      <c r="B9036" t="s">
        <v>916</v>
      </c>
      <c r="C9036" t="s">
        <v>12127</v>
      </c>
      <c r="D9036" t="s">
        <v>18101</v>
      </c>
      <c r="E9036" t="s">
        <v>26070</v>
      </c>
      <c r="F9036" t="s">
        <v>31362</v>
      </c>
      <c r="G9036" t="s">
        <v>31369</v>
      </c>
      <c r="H9036" t="s">
        <v>15799</v>
      </c>
      <c r="I9036" t="s">
        <v>31385</v>
      </c>
      <c r="J9036" t="s">
        <v>36779</v>
      </c>
      <c r="K9036" t="s">
        <v>40665</v>
      </c>
      <c r="M9036" t="s">
        <v>43804</v>
      </c>
      <c r="N9036" t="s">
        <v>44905</v>
      </c>
      <c r="O9036" t="s">
        <v>44906</v>
      </c>
      <c r="P9036">
        <v>0</v>
      </c>
      <c r="Q9036">
        <v>0</v>
      </c>
      <c r="R9036" t="s">
        <v>44912</v>
      </c>
      <c r="S9036" t="s">
        <v>45159</v>
      </c>
      <c r="T9036" t="s">
        <v>46409</v>
      </c>
      <c r="U9036" t="s">
        <v>54214</v>
      </c>
      <c r="V9036" t="s">
        <v>59979</v>
      </c>
      <c r="W9036" t="s">
        <v>43804</v>
      </c>
      <c r="X9036" t="s">
        <v>44921</v>
      </c>
    </row>
    <row r="9037" spans="1:24">
      <c r="A9037">
        <f>HYPERLINK("https://www.philgeps.gov.ph/GEPSNONPILOT/Tender/SplashBidNoticeAbstractUI.aspx?menuIndex=3&amp;refID=7023994-2&amp;Result=3","7023994-2")</f>
        <v>0</v>
      </c>
      <c r="B9037" t="s">
        <v>907</v>
      </c>
      <c r="C9037" t="s">
        <v>12128</v>
      </c>
      <c r="E9037" t="s">
        <v>26071</v>
      </c>
      <c r="F9037" t="s">
        <v>31362</v>
      </c>
      <c r="G9037" t="s">
        <v>31369</v>
      </c>
      <c r="H9037" t="s">
        <v>31377</v>
      </c>
      <c r="I9037" t="s">
        <v>31377</v>
      </c>
      <c r="J9037" t="s">
        <v>32594</v>
      </c>
      <c r="K9037" t="s">
        <v>40739</v>
      </c>
      <c r="M9037" t="s">
        <v>41897</v>
      </c>
      <c r="N9037" t="s">
        <v>44905</v>
      </c>
      <c r="O9037" t="s">
        <v>44906</v>
      </c>
      <c r="Q9037">
        <v>1</v>
      </c>
      <c r="R9037" t="s">
        <v>44912</v>
      </c>
      <c r="S9037" t="s">
        <v>45164</v>
      </c>
      <c r="T9037" t="s">
        <v>46614</v>
      </c>
      <c r="U9037" t="s">
        <v>54215</v>
      </c>
      <c r="W9037" t="s">
        <v>41897</v>
      </c>
      <c r="X9037" t="s">
        <v>44913</v>
      </c>
    </row>
    <row r="9038" spans="1:24">
      <c r="A9038">
        <f>HYPERLINK("https://www.philgeps.gov.ph/GEPSNONPILOT/Tender/SplashBidNoticeAbstractUI.aspx?menuIndex=3&amp;refID=7062329&amp;Result=3","7062329")</f>
        <v>0</v>
      </c>
      <c r="B9038" t="s">
        <v>2625</v>
      </c>
      <c r="C9038" t="s">
        <v>12129</v>
      </c>
      <c r="D9038" t="s">
        <v>18134</v>
      </c>
      <c r="E9038" t="s">
        <v>26072</v>
      </c>
      <c r="F9038" t="s">
        <v>31362</v>
      </c>
      <c r="G9038" t="s">
        <v>31369</v>
      </c>
      <c r="H9038" t="s">
        <v>31378</v>
      </c>
      <c r="I9038" t="s">
        <v>31386</v>
      </c>
      <c r="J9038" t="s">
        <v>32837</v>
      </c>
      <c r="K9038" t="s">
        <v>40665</v>
      </c>
      <c r="M9038" t="s">
        <v>43805</v>
      </c>
      <c r="N9038" t="s">
        <v>44905</v>
      </c>
      <c r="O9038" t="s">
        <v>44906</v>
      </c>
      <c r="P9038">
        <v>0</v>
      </c>
      <c r="Q9038">
        <v>0</v>
      </c>
      <c r="R9038" t="s">
        <v>44912</v>
      </c>
      <c r="S9038" t="s">
        <v>45159</v>
      </c>
      <c r="T9038" t="s">
        <v>46443</v>
      </c>
      <c r="U9038" t="s">
        <v>54216</v>
      </c>
      <c r="W9038" t="s">
        <v>43805</v>
      </c>
      <c r="X9038" t="s">
        <v>44917</v>
      </c>
    </row>
    <row r="9039" spans="1:24">
      <c r="A9039">
        <f>HYPERLINK("https://www.philgeps.gov.ph/GEPSNONPILOT/Tender/SplashBidNoticeAbstractUI.aspx?menuIndex=3&amp;refID=7068431&amp;Result=3","7068431")</f>
        <v>0</v>
      </c>
      <c r="B9039" t="s">
        <v>916</v>
      </c>
      <c r="C9039" t="s">
        <v>12130</v>
      </c>
      <c r="D9039" t="s">
        <v>18101</v>
      </c>
      <c r="E9039" t="s">
        <v>26073</v>
      </c>
      <c r="F9039" t="s">
        <v>31362</v>
      </c>
      <c r="G9039" t="s">
        <v>31369</v>
      </c>
      <c r="H9039" t="s">
        <v>15799</v>
      </c>
      <c r="I9039" t="s">
        <v>31459</v>
      </c>
      <c r="J9039" t="s">
        <v>37044</v>
      </c>
      <c r="K9039" t="s">
        <v>40665</v>
      </c>
      <c r="M9039" t="s">
        <v>43804</v>
      </c>
      <c r="N9039" t="s">
        <v>44905</v>
      </c>
      <c r="O9039" t="s">
        <v>44906</v>
      </c>
      <c r="P9039">
        <v>0</v>
      </c>
      <c r="Q9039">
        <v>1</v>
      </c>
      <c r="R9039" t="s">
        <v>44912</v>
      </c>
      <c r="S9039" t="s">
        <v>45159</v>
      </c>
      <c r="T9039" t="s">
        <v>46409</v>
      </c>
      <c r="U9039" t="s">
        <v>54217</v>
      </c>
      <c r="V9039" t="s">
        <v>59978</v>
      </c>
      <c r="W9039" t="s">
        <v>43804</v>
      </c>
      <c r="X9039" t="s">
        <v>44915</v>
      </c>
    </row>
    <row r="9040" spans="1:24">
      <c r="A9040">
        <f>HYPERLINK("https://www.philgeps.gov.ph/GEPSNONPILOT/Tender/SplashBidNoticeAbstractUI.aspx?menuIndex=3&amp;refID=7073234&amp;Result=3","7073234")</f>
        <v>0</v>
      </c>
      <c r="B9040" t="s">
        <v>2631</v>
      </c>
      <c r="C9040" t="s">
        <v>12131</v>
      </c>
      <c r="D9040" t="s">
        <v>18109</v>
      </c>
      <c r="E9040" t="s">
        <v>26074</v>
      </c>
      <c r="F9040" t="s">
        <v>31362</v>
      </c>
      <c r="G9040" t="s">
        <v>31368</v>
      </c>
      <c r="H9040" t="s">
        <v>15799</v>
      </c>
      <c r="I9040" t="s">
        <v>3815</v>
      </c>
      <c r="J9040" t="s">
        <v>31531</v>
      </c>
      <c r="K9040" t="s">
        <v>40662</v>
      </c>
      <c r="M9040" t="s">
        <v>43812</v>
      </c>
      <c r="N9040" t="s">
        <v>44905</v>
      </c>
      <c r="O9040" t="s">
        <v>44906</v>
      </c>
      <c r="P9040">
        <v>0</v>
      </c>
      <c r="Q9040">
        <v>0</v>
      </c>
      <c r="R9040" t="s">
        <v>44911</v>
      </c>
      <c r="S9040" t="s">
        <v>45139</v>
      </c>
      <c r="T9040" t="s">
        <v>46409</v>
      </c>
      <c r="U9040" t="s">
        <v>54218</v>
      </c>
      <c r="W9040" t="s">
        <v>43812</v>
      </c>
      <c r="X9040" t="s">
        <v>44912</v>
      </c>
    </row>
    <row r="9041" spans="1:24">
      <c r="A9041">
        <f>HYPERLINK("https://www.philgeps.gov.ph/GEPSNONPILOT/Tender/SplashBidNoticeAbstractUI.aspx?menuIndex=3&amp;refID=7072329&amp;Result=3","7072329")</f>
        <v>0</v>
      </c>
      <c r="B9041" t="s">
        <v>2632</v>
      </c>
      <c r="C9041" t="s">
        <v>12132</v>
      </c>
      <c r="D9041" t="s">
        <v>18104</v>
      </c>
      <c r="E9041" t="s">
        <v>26075</v>
      </c>
      <c r="F9041" t="s">
        <v>31362</v>
      </c>
      <c r="G9041" t="s">
        <v>31368</v>
      </c>
      <c r="H9041" t="s">
        <v>31377</v>
      </c>
      <c r="I9041" t="s">
        <v>31377</v>
      </c>
      <c r="J9041" t="s">
        <v>31969</v>
      </c>
      <c r="K9041" t="s">
        <v>40712</v>
      </c>
      <c r="M9041" t="s">
        <v>43813</v>
      </c>
      <c r="N9041" t="s">
        <v>44905</v>
      </c>
      <c r="O9041" t="s">
        <v>44906</v>
      </c>
      <c r="P9041">
        <v>0</v>
      </c>
      <c r="Q9041">
        <v>0</v>
      </c>
      <c r="R9041" t="s">
        <v>44912</v>
      </c>
      <c r="S9041" t="s">
        <v>45159</v>
      </c>
      <c r="T9041" t="s">
        <v>46454</v>
      </c>
      <c r="U9041" t="s">
        <v>54219</v>
      </c>
      <c r="V9041" t="s">
        <v>59980</v>
      </c>
      <c r="W9041" t="s">
        <v>43813</v>
      </c>
      <c r="X9041" t="s">
        <v>44913</v>
      </c>
    </row>
    <row r="9042" spans="1:24">
      <c r="A9042">
        <f>HYPERLINK("https://www.philgeps.gov.ph/GEPSNONPILOT/Tender/SplashBidNoticeAbstractUI.aspx?menuIndex=3&amp;refID=7068406&amp;Result=3","7068406")</f>
        <v>0</v>
      </c>
      <c r="B9042" t="s">
        <v>916</v>
      </c>
      <c r="C9042" t="s">
        <v>12133</v>
      </c>
      <c r="D9042" t="s">
        <v>18101</v>
      </c>
      <c r="E9042" t="s">
        <v>26076</v>
      </c>
      <c r="F9042" t="s">
        <v>31362</v>
      </c>
      <c r="G9042" t="s">
        <v>31369</v>
      </c>
      <c r="H9042" t="s">
        <v>15799</v>
      </c>
      <c r="I9042" t="s">
        <v>31414</v>
      </c>
      <c r="J9042" t="s">
        <v>37045</v>
      </c>
      <c r="K9042" t="s">
        <v>40665</v>
      </c>
      <c r="M9042" t="s">
        <v>43804</v>
      </c>
      <c r="N9042" t="s">
        <v>44905</v>
      </c>
      <c r="O9042" t="s">
        <v>44906</v>
      </c>
      <c r="P9042">
        <v>0</v>
      </c>
      <c r="Q9042">
        <v>3</v>
      </c>
      <c r="R9042" t="s">
        <v>44912</v>
      </c>
      <c r="S9042" t="s">
        <v>45159</v>
      </c>
      <c r="T9042" t="s">
        <v>46409</v>
      </c>
      <c r="U9042" t="s">
        <v>54220</v>
      </c>
      <c r="V9042" t="s">
        <v>59978</v>
      </c>
      <c r="W9042" t="s">
        <v>43804</v>
      </c>
      <c r="X9042" t="s">
        <v>44915</v>
      </c>
    </row>
    <row r="9043" spans="1:24">
      <c r="A9043">
        <f>HYPERLINK("https://www.philgeps.gov.ph/GEPSNONPILOT/Tender/SplashBidNoticeAbstractUI.aspx?menuIndex=3&amp;refID=7072400&amp;Result=3","7072400")</f>
        <v>0</v>
      </c>
      <c r="B9043" t="s">
        <v>345</v>
      </c>
      <c r="C9043" t="s">
        <v>12134</v>
      </c>
      <c r="D9043" t="s">
        <v>18149</v>
      </c>
      <c r="E9043" t="s">
        <v>26077</v>
      </c>
      <c r="F9043" t="s">
        <v>31362</v>
      </c>
      <c r="G9043" t="s">
        <v>31369</v>
      </c>
      <c r="H9043" t="s">
        <v>31378</v>
      </c>
      <c r="I9043" t="s">
        <v>31386</v>
      </c>
      <c r="J9043" t="s">
        <v>31591</v>
      </c>
      <c r="K9043" t="s">
        <v>40675</v>
      </c>
      <c r="M9043" t="s">
        <v>41291</v>
      </c>
      <c r="N9043" t="s">
        <v>44905</v>
      </c>
      <c r="O9043" t="s">
        <v>44906</v>
      </c>
      <c r="P9043">
        <v>0</v>
      </c>
      <c r="Q9043">
        <v>0</v>
      </c>
      <c r="R9043" t="s">
        <v>44912</v>
      </c>
      <c r="S9043" t="s">
        <v>45159</v>
      </c>
      <c r="T9043" t="s">
        <v>46715</v>
      </c>
      <c r="U9043" t="s">
        <v>47513</v>
      </c>
      <c r="W9043" t="s">
        <v>41291</v>
      </c>
      <c r="X9043" t="s">
        <v>44913</v>
      </c>
    </row>
    <row r="9044" spans="1:24">
      <c r="A9044">
        <f>HYPERLINK("https://www.philgeps.gov.ph/GEPSNONPILOT/Tender/SplashBidNoticeAbstractUI.aspx?menuIndex=3&amp;refID=7068485&amp;Result=3","7068485")</f>
        <v>0</v>
      </c>
      <c r="B9044" t="s">
        <v>916</v>
      </c>
      <c r="C9044" t="s">
        <v>12135</v>
      </c>
      <c r="D9044" t="s">
        <v>18101</v>
      </c>
      <c r="E9044" t="s">
        <v>26078</v>
      </c>
      <c r="F9044" t="s">
        <v>31362</v>
      </c>
      <c r="G9044" t="s">
        <v>31369</v>
      </c>
      <c r="H9044" t="s">
        <v>15799</v>
      </c>
      <c r="I9044" t="s">
        <v>31397</v>
      </c>
      <c r="J9044" t="s">
        <v>31578</v>
      </c>
      <c r="K9044" t="s">
        <v>40665</v>
      </c>
      <c r="M9044" t="s">
        <v>43804</v>
      </c>
      <c r="N9044" t="s">
        <v>44905</v>
      </c>
      <c r="O9044" t="s">
        <v>44906</v>
      </c>
      <c r="P9044">
        <v>0</v>
      </c>
      <c r="Q9044">
        <v>0</v>
      </c>
      <c r="R9044" t="s">
        <v>44912</v>
      </c>
      <c r="S9044" t="s">
        <v>45159</v>
      </c>
      <c r="T9044" t="s">
        <v>46409</v>
      </c>
      <c r="U9044" t="s">
        <v>54221</v>
      </c>
      <c r="V9044" t="s">
        <v>59978</v>
      </c>
      <c r="W9044" t="s">
        <v>43804</v>
      </c>
      <c r="X9044" t="s">
        <v>44915</v>
      </c>
    </row>
    <row r="9045" spans="1:24">
      <c r="A9045">
        <f>HYPERLINK("https://www.philgeps.gov.ph/GEPSNONPILOT/Tender/SplashBidNoticeAbstractUI.aspx?menuIndex=3&amp;refID=7072323&amp;Result=3","7072323")</f>
        <v>0</v>
      </c>
      <c r="B9045" t="s">
        <v>2633</v>
      </c>
      <c r="C9045" t="s">
        <v>12136</v>
      </c>
      <c r="D9045" t="s">
        <v>18143</v>
      </c>
      <c r="E9045" t="s">
        <v>24207</v>
      </c>
      <c r="F9045" t="s">
        <v>31362</v>
      </c>
      <c r="G9045" t="s">
        <v>31369</v>
      </c>
      <c r="H9045" t="s">
        <v>15799</v>
      </c>
      <c r="I9045" t="s">
        <v>3815</v>
      </c>
      <c r="J9045" t="s">
        <v>37046</v>
      </c>
      <c r="K9045" t="s">
        <v>40661</v>
      </c>
      <c r="M9045" t="s">
        <v>43814</v>
      </c>
      <c r="N9045" t="s">
        <v>44905</v>
      </c>
      <c r="O9045" t="s">
        <v>44906</v>
      </c>
      <c r="P9045">
        <v>0</v>
      </c>
      <c r="Q9045">
        <v>0</v>
      </c>
      <c r="R9045" t="s">
        <v>44912</v>
      </c>
      <c r="S9045" t="s">
        <v>45159</v>
      </c>
      <c r="T9045" t="s">
        <v>46447</v>
      </c>
      <c r="U9045" t="s">
        <v>54222</v>
      </c>
      <c r="W9045" t="s">
        <v>43814</v>
      </c>
      <c r="X9045" t="s">
        <v>44913</v>
      </c>
    </row>
    <row r="9046" spans="1:24">
      <c r="A9046">
        <f>HYPERLINK("https://www.philgeps.gov.ph/GEPSNONPILOT/Tender/SplashBidNoticeAbstractUI.aspx?menuIndex=3&amp;refID=7072322&amp;Result=3","7072322")</f>
        <v>0</v>
      </c>
      <c r="B9046" t="s">
        <v>2634</v>
      </c>
      <c r="C9046" t="s">
        <v>12137</v>
      </c>
      <c r="D9046" t="s">
        <v>18143</v>
      </c>
      <c r="E9046" t="s">
        <v>24265</v>
      </c>
      <c r="F9046" t="s">
        <v>31362</v>
      </c>
      <c r="G9046" t="s">
        <v>31369</v>
      </c>
      <c r="H9046" t="s">
        <v>15799</v>
      </c>
      <c r="I9046" t="s">
        <v>3815</v>
      </c>
      <c r="J9046" t="s">
        <v>37047</v>
      </c>
      <c r="K9046" t="s">
        <v>40661</v>
      </c>
      <c r="M9046" t="s">
        <v>43815</v>
      </c>
      <c r="N9046" t="s">
        <v>44905</v>
      </c>
      <c r="O9046" t="s">
        <v>44906</v>
      </c>
      <c r="P9046">
        <v>0</v>
      </c>
      <c r="Q9046">
        <v>0</v>
      </c>
      <c r="R9046" t="s">
        <v>44912</v>
      </c>
      <c r="S9046" t="s">
        <v>45159</v>
      </c>
      <c r="T9046" t="s">
        <v>46410</v>
      </c>
      <c r="U9046" t="s">
        <v>54223</v>
      </c>
      <c r="W9046" t="s">
        <v>43815</v>
      </c>
      <c r="X9046" t="s">
        <v>44913</v>
      </c>
    </row>
    <row r="9047" spans="1:24">
      <c r="A9047">
        <f>HYPERLINK("https://www.philgeps.gov.ph/GEPSNONPILOT/Tender/SplashBidNoticeAbstractUI.aspx?menuIndex=3&amp;refID=7072391&amp;Result=3","7072391")</f>
        <v>0</v>
      </c>
      <c r="B9047" t="s">
        <v>1144</v>
      </c>
      <c r="C9047" t="s">
        <v>12138</v>
      </c>
      <c r="D9047" t="s">
        <v>18154</v>
      </c>
      <c r="E9047" t="s">
        <v>26079</v>
      </c>
      <c r="F9047" t="s">
        <v>31362</v>
      </c>
      <c r="G9047" t="s">
        <v>31369</v>
      </c>
      <c r="H9047" t="s">
        <v>15799</v>
      </c>
      <c r="I9047" t="s">
        <v>31393</v>
      </c>
      <c r="J9047" t="s">
        <v>31637</v>
      </c>
      <c r="K9047" t="s">
        <v>40662</v>
      </c>
      <c r="M9047" t="s">
        <v>42153</v>
      </c>
      <c r="N9047" t="s">
        <v>44905</v>
      </c>
      <c r="O9047" t="s">
        <v>44906</v>
      </c>
      <c r="P9047">
        <v>0</v>
      </c>
      <c r="Q9047">
        <v>7</v>
      </c>
      <c r="R9047" t="s">
        <v>44912</v>
      </c>
      <c r="S9047" t="s">
        <v>45159</v>
      </c>
      <c r="T9047" t="s">
        <v>46419</v>
      </c>
      <c r="U9047" t="s">
        <v>54224</v>
      </c>
      <c r="W9047" t="s">
        <v>42153</v>
      </c>
      <c r="X9047" t="s">
        <v>44913</v>
      </c>
    </row>
    <row r="9048" spans="1:24">
      <c r="A9048">
        <f>HYPERLINK("https://www.philgeps.gov.ph/GEPSNONPILOT/Tender/SplashBidNoticeAbstractUI.aspx?menuIndex=3&amp;refID=7072292&amp;Result=3","7072292")</f>
        <v>0</v>
      </c>
      <c r="B9048" t="s">
        <v>2635</v>
      </c>
      <c r="C9048" t="s">
        <v>12139</v>
      </c>
      <c r="D9048" t="s">
        <v>18118</v>
      </c>
      <c r="E9048" t="s">
        <v>10823</v>
      </c>
      <c r="F9048" t="s">
        <v>31362</v>
      </c>
      <c r="G9048" t="s">
        <v>31369</v>
      </c>
      <c r="H9048" t="s">
        <v>15799</v>
      </c>
      <c r="I9048" t="s">
        <v>3815</v>
      </c>
      <c r="J9048" t="s">
        <v>37048</v>
      </c>
      <c r="K9048" t="s">
        <v>40661</v>
      </c>
      <c r="M9048" t="s">
        <v>43816</v>
      </c>
      <c r="N9048" t="s">
        <v>44905</v>
      </c>
      <c r="O9048" t="s">
        <v>44906</v>
      </c>
      <c r="P9048">
        <v>0</v>
      </c>
      <c r="Q9048">
        <v>0</v>
      </c>
      <c r="R9048" t="s">
        <v>44912</v>
      </c>
      <c r="S9048" t="s">
        <v>45159</v>
      </c>
      <c r="T9048" t="s">
        <v>46409</v>
      </c>
      <c r="U9048" t="s">
        <v>54225</v>
      </c>
      <c r="V9048" t="s">
        <v>59981</v>
      </c>
      <c r="W9048" t="s">
        <v>43816</v>
      </c>
      <c r="X9048" t="s">
        <v>44914</v>
      </c>
    </row>
    <row r="9049" spans="1:24">
      <c r="A9049">
        <f>HYPERLINK("https://www.philgeps.gov.ph/GEPSNONPILOT/Tender/SplashBidNoticeAbstractUI.aspx?menuIndex=3&amp;refID=7072315&amp;Result=3","7072315")</f>
        <v>0</v>
      </c>
      <c r="B9049" t="s">
        <v>2636</v>
      </c>
      <c r="C9049" t="s">
        <v>12140</v>
      </c>
      <c r="D9049" t="s">
        <v>18167</v>
      </c>
      <c r="E9049" t="s">
        <v>18473</v>
      </c>
      <c r="F9049" t="s">
        <v>31362</v>
      </c>
      <c r="G9049" t="s">
        <v>31373</v>
      </c>
      <c r="H9049" t="s">
        <v>15799</v>
      </c>
      <c r="I9049" t="s">
        <v>31404</v>
      </c>
      <c r="J9049" t="s">
        <v>31734</v>
      </c>
      <c r="K9049" t="s">
        <v>40665</v>
      </c>
      <c r="M9049" t="s">
        <v>43817</v>
      </c>
      <c r="N9049" t="s">
        <v>44905</v>
      </c>
      <c r="O9049" t="s">
        <v>44906</v>
      </c>
      <c r="P9049">
        <v>0</v>
      </c>
      <c r="Q9049">
        <v>0</v>
      </c>
      <c r="R9049" t="s">
        <v>44912</v>
      </c>
      <c r="S9049" t="s">
        <v>45159</v>
      </c>
      <c r="T9049" t="s">
        <v>46779</v>
      </c>
      <c r="U9049" t="s">
        <v>54226</v>
      </c>
      <c r="V9049" t="s">
        <v>59982</v>
      </c>
      <c r="W9049" t="s">
        <v>43817</v>
      </c>
      <c r="X9049" t="s">
        <v>44913</v>
      </c>
    </row>
    <row r="9050" spans="1:24">
      <c r="A9050">
        <f>HYPERLINK("https://www.philgeps.gov.ph/GEPSNONPILOT/Tender/SplashBidNoticeAbstractUI.aspx?menuIndex=3&amp;refID=7072319&amp;Result=3","7072319")</f>
        <v>0</v>
      </c>
      <c r="B9050" t="s">
        <v>687</v>
      </c>
      <c r="C9050" t="s">
        <v>12141</v>
      </c>
      <c r="E9050" t="s">
        <v>26080</v>
      </c>
      <c r="F9050" t="s">
        <v>31362</v>
      </c>
      <c r="G9050" t="s">
        <v>31369</v>
      </c>
      <c r="H9050" t="s">
        <v>15799</v>
      </c>
      <c r="I9050" t="s">
        <v>31464</v>
      </c>
      <c r="J9050" t="s">
        <v>37049</v>
      </c>
      <c r="K9050" t="s">
        <v>40662</v>
      </c>
      <c r="M9050" t="s">
        <v>41649</v>
      </c>
      <c r="N9050" t="s">
        <v>44905</v>
      </c>
      <c r="O9050" t="s">
        <v>44906</v>
      </c>
      <c r="P9050">
        <v>0</v>
      </c>
      <c r="Q9050">
        <v>2</v>
      </c>
      <c r="R9050" t="s">
        <v>44912</v>
      </c>
      <c r="S9050" t="s">
        <v>45159</v>
      </c>
      <c r="T9050" t="s">
        <v>46511</v>
      </c>
      <c r="U9050" t="s">
        <v>54227</v>
      </c>
      <c r="W9050" t="s">
        <v>41649</v>
      </c>
      <c r="X9050" t="s">
        <v>44913</v>
      </c>
    </row>
    <row r="9051" spans="1:24">
      <c r="A9051">
        <f>HYPERLINK("https://www.philgeps.gov.ph/GEPSNONPILOT/Tender/SplashBidNoticeAbstractUI.aspx?menuIndex=3&amp;refID=7072308&amp;Result=3","7072308")</f>
        <v>0</v>
      </c>
      <c r="B9051" t="s">
        <v>2636</v>
      </c>
      <c r="C9051" t="s">
        <v>12142</v>
      </c>
      <c r="D9051" t="s">
        <v>18167</v>
      </c>
      <c r="E9051" t="s">
        <v>26081</v>
      </c>
      <c r="F9051" t="s">
        <v>31362</v>
      </c>
      <c r="G9051" t="s">
        <v>31370</v>
      </c>
      <c r="H9051" t="s">
        <v>15799</v>
      </c>
      <c r="I9051" t="s">
        <v>3815</v>
      </c>
      <c r="J9051" t="s">
        <v>37050</v>
      </c>
      <c r="K9051" t="s">
        <v>40666</v>
      </c>
      <c r="M9051" t="s">
        <v>43817</v>
      </c>
      <c r="N9051" t="s">
        <v>44905</v>
      </c>
      <c r="O9051" t="s">
        <v>44906</v>
      </c>
      <c r="P9051">
        <v>0</v>
      </c>
      <c r="Q9051">
        <v>0</v>
      </c>
      <c r="R9051" t="s">
        <v>44912</v>
      </c>
      <c r="S9051" t="s">
        <v>45159</v>
      </c>
      <c r="T9051" t="s">
        <v>46779</v>
      </c>
      <c r="U9051" t="s">
        <v>54228</v>
      </c>
      <c r="V9051" t="s">
        <v>59982</v>
      </c>
      <c r="W9051" t="s">
        <v>43817</v>
      </c>
      <c r="X9051" t="s">
        <v>44913</v>
      </c>
    </row>
    <row r="9052" spans="1:24">
      <c r="A9052">
        <f>HYPERLINK("https://www.philgeps.gov.ph/GEPSNONPILOT/Tender/SplashBidNoticeAbstractUI.aspx?menuIndex=3&amp;refID=7072306&amp;Result=3","7072306")</f>
        <v>0</v>
      </c>
      <c r="B9052" t="s">
        <v>2636</v>
      </c>
      <c r="C9052" t="s">
        <v>12143</v>
      </c>
      <c r="D9052" t="s">
        <v>18167</v>
      </c>
      <c r="E9052" t="s">
        <v>22614</v>
      </c>
      <c r="F9052" t="s">
        <v>31362</v>
      </c>
      <c r="G9052" t="s">
        <v>31373</v>
      </c>
      <c r="H9052" t="s">
        <v>15799</v>
      </c>
      <c r="I9052" t="s">
        <v>3815</v>
      </c>
      <c r="J9052" t="s">
        <v>37051</v>
      </c>
      <c r="K9052" t="s">
        <v>40665</v>
      </c>
      <c r="M9052" t="s">
        <v>43817</v>
      </c>
      <c r="N9052" t="s">
        <v>44905</v>
      </c>
      <c r="O9052" t="s">
        <v>44906</v>
      </c>
      <c r="P9052">
        <v>0</v>
      </c>
      <c r="Q9052">
        <v>0</v>
      </c>
      <c r="R9052" t="s">
        <v>44912</v>
      </c>
      <c r="S9052" t="s">
        <v>45159</v>
      </c>
      <c r="T9052" t="s">
        <v>46779</v>
      </c>
      <c r="U9052" t="s">
        <v>54229</v>
      </c>
      <c r="V9052" t="s">
        <v>59982</v>
      </c>
      <c r="W9052" t="s">
        <v>43817</v>
      </c>
      <c r="X9052" t="s">
        <v>44913</v>
      </c>
    </row>
    <row r="9053" spans="1:24">
      <c r="A9053">
        <f>HYPERLINK("https://www.philgeps.gov.ph/GEPSNONPILOT/Tender/SplashBidNoticeAbstractUI.aspx?menuIndex=3&amp;refID=7072310&amp;Result=3","7072310")</f>
        <v>0</v>
      </c>
      <c r="B9053" t="s">
        <v>2636</v>
      </c>
      <c r="C9053" t="s">
        <v>12144</v>
      </c>
      <c r="D9053" t="s">
        <v>18167</v>
      </c>
      <c r="E9053" t="s">
        <v>26082</v>
      </c>
      <c r="F9053" t="s">
        <v>31362</v>
      </c>
      <c r="G9053" t="s">
        <v>31369</v>
      </c>
      <c r="H9053" t="s">
        <v>15799</v>
      </c>
      <c r="I9053" t="s">
        <v>3815</v>
      </c>
      <c r="J9053" t="s">
        <v>37052</v>
      </c>
      <c r="K9053" t="s">
        <v>40682</v>
      </c>
      <c r="M9053" t="s">
        <v>43817</v>
      </c>
      <c r="N9053" t="s">
        <v>44905</v>
      </c>
      <c r="O9053" t="s">
        <v>44906</v>
      </c>
      <c r="P9053">
        <v>0</v>
      </c>
      <c r="Q9053">
        <v>1</v>
      </c>
      <c r="R9053" t="s">
        <v>44912</v>
      </c>
      <c r="S9053" t="s">
        <v>45159</v>
      </c>
      <c r="T9053" t="s">
        <v>46797</v>
      </c>
      <c r="U9053" t="s">
        <v>54230</v>
      </c>
      <c r="V9053" t="s">
        <v>59982</v>
      </c>
      <c r="W9053" t="s">
        <v>43817</v>
      </c>
      <c r="X9053" t="s">
        <v>44913</v>
      </c>
    </row>
    <row r="9054" spans="1:24">
      <c r="A9054">
        <f>HYPERLINK("https://www.philgeps.gov.ph/GEPSNONPILOT/Tender/SplashBidNoticeAbstractUI.aspx?menuIndex=3&amp;refID=7072303&amp;Result=3","7072303")</f>
        <v>0</v>
      </c>
      <c r="B9054" t="s">
        <v>146</v>
      </c>
      <c r="C9054" t="s">
        <v>12145</v>
      </c>
      <c r="D9054" t="s">
        <v>18112</v>
      </c>
      <c r="E9054" t="s">
        <v>26083</v>
      </c>
      <c r="F9054" t="s">
        <v>31362</v>
      </c>
      <c r="G9054" t="s">
        <v>31371</v>
      </c>
      <c r="H9054" t="s">
        <v>15799</v>
      </c>
      <c r="I9054" t="s">
        <v>31422</v>
      </c>
      <c r="J9054" t="s">
        <v>37053</v>
      </c>
      <c r="K9054" t="s">
        <v>40665</v>
      </c>
      <c r="M9054" t="s">
        <v>41084</v>
      </c>
      <c r="N9054" t="s">
        <v>44905</v>
      </c>
      <c r="O9054" t="s">
        <v>44906</v>
      </c>
      <c r="P9054">
        <v>0</v>
      </c>
      <c r="Q9054">
        <v>4</v>
      </c>
      <c r="R9054" t="s">
        <v>44912</v>
      </c>
      <c r="S9054" t="s">
        <v>45159</v>
      </c>
      <c r="T9054" t="s">
        <v>46409</v>
      </c>
      <c r="U9054" t="s">
        <v>47170</v>
      </c>
      <c r="W9054" t="s">
        <v>41084</v>
      </c>
      <c r="X9054" t="s">
        <v>44913</v>
      </c>
    </row>
    <row r="9055" spans="1:24">
      <c r="A9055">
        <f>HYPERLINK("https://www.philgeps.gov.ph/GEPSNONPILOT/Tender/SplashBidNoticeAbstractUI.aspx?menuIndex=3&amp;refID=7072300&amp;Result=3","7072300")</f>
        <v>0</v>
      </c>
      <c r="B9055" t="s">
        <v>2637</v>
      </c>
      <c r="C9055" t="s">
        <v>12146</v>
      </c>
      <c r="D9055" t="s">
        <v>18109</v>
      </c>
      <c r="E9055" t="s">
        <v>26084</v>
      </c>
      <c r="F9055" t="s">
        <v>31362</v>
      </c>
      <c r="G9055" t="s">
        <v>31369</v>
      </c>
      <c r="H9055" t="s">
        <v>15799</v>
      </c>
      <c r="I9055" t="s">
        <v>31421</v>
      </c>
      <c r="J9055" t="s">
        <v>31915</v>
      </c>
      <c r="K9055" t="s">
        <v>40666</v>
      </c>
      <c r="M9055" t="s">
        <v>43818</v>
      </c>
      <c r="N9055" t="s">
        <v>44905</v>
      </c>
      <c r="O9055" t="s">
        <v>44906</v>
      </c>
      <c r="P9055">
        <v>0</v>
      </c>
      <c r="Q9055">
        <v>4</v>
      </c>
      <c r="R9055" t="s">
        <v>44912</v>
      </c>
      <c r="S9055" t="s">
        <v>45159</v>
      </c>
      <c r="T9055" t="s">
        <v>46524</v>
      </c>
      <c r="U9055" t="s">
        <v>54231</v>
      </c>
      <c r="V9055" t="s">
        <v>59983</v>
      </c>
      <c r="W9055" t="s">
        <v>43818</v>
      </c>
      <c r="X9055" t="s">
        <v>44913</v>
      </c>
    </row>
    <row r="9056" spans="1:24">
      <c r="A9056">
        <f>HYPERLINK("https://www.philgeps.gov.ph/GEPSNONPILOT/Tender/SplashBidNoticeAbstractUI.aspx?menuIndex=3&amp;refID=7072397&amp;Result=3","7072397")</f>
        <v>0</v>
      </c>
      <c r="B9056" t="s">
        <v>125</v>
      </c>
      <c r="C9056" t="s">
        <v>12147</v>
      </c>
      <c r="D9056" t="s">
        <v>18104</v>
      </c>
      <c r="E9056" t="s">
        <v>26085</v>
      </c>
      <c r="F9056" t="s">
        <v>31362</v>
      </c>
      <c r="G9056" t="s">
        <v>31369</v>
      </c>
      <c r="H9056" t="s">
        <v>15799</v>
      </c>
      <c r="I9056" t="s">
        <v>31409</v>
      </c>
      <c r="J9056" t="s">
        <v>34763</v>
      </c>
      <c r="K9056" t="s">
        <v>40675</v>
      </c>
      <c r="M9056" t="s">
        <v>41062</v>
      </c>
      <c r="N9056" t="s">
        <v>44905</v>
      </c>
      <c r="O9056" t="s">
        <v>44906</v>
      </c>
      <c r="P9056">
        <v>0</v>
      </c>
      <c r="Q9056">
        <v>3</v>
      </c>
      <c r="R9056" t="s">
        <v>44912</v>
      </c>
      <c r="S9056" t="s">
        <v>45159</v>
      </c>
      <c r="T9056" t="s">
        <v>46626</v>
      </c>
      <c r="U9056" t="s">
        <v>54232</v>
      </c>
      <c r="W9056" t="s">
        <v>41062</v>
      </c>
      <c r="X9056" t="s">
        <v>44913</v>
      </c>
    </row>
    <row r="9057" spans="1:24">
      <c r="A9057">
        <f>HYPERLINK("https://www.philgeps.gov.ph/GEPSNONPILOT/Tender/SplashBidNoticeAbstractUI.aspx?menuIndex=3&amp;refID=7072336&amp;Result=3","7072336")</f>
        <v>0</v>
      </c>
      <c r="B9057" t="s">
        <v>2638</v>
      </c>
      <c r="C9057" t="s">
        <v>12148</v>
      </c>
      <c r="E9057" t="s">
        <v>26086</v>
      </c>
      <c r="F9057" t="s">
        <v>31362</v>
      </c>
      <c r="G9057" t="s">
        <v>31369</v>
      </c>
      <c r="H9057" t="s">
        <v>15799</v>
      </c>
      <c r="I9057" t="s">
        <v>31404</v>
      </c>
      <c r="J9057" t="s">
        <v>32275</v>
      </c>
      <c r="K9057" t="s">
        <v>40662</v>
      </c>
      <c r="M9057" t="s">
        <v>43819</v>
      </c>
      <c r="N9057" t="s">
        <v>44905</v>
      </c>
      <c r="O9057" t="s">
        <v>44906</v>
      </c>
      <c r="P9057">
        <v>0</v>
      </c>
      <c r="Q9057">
        <v>0</v>
      </c>
      <c r="R9057" t="s">
        <v>44912</v>
      </c>
      <c r="S9057" t="s">
        <v>45159</v>
      </c>
      <c r="T9057" t="s">
        <v>46434</v>
      </c>
      <c r="U9057" t="s">
        <v>54233</v>
      </c>
      <c r="W9057" t="s">
        <v>43819</v>
      </c>
      <c r="X9057" t="s">
        <v>44913</v>
      </c>
    </row>
    <row r="9058" spans="1:24">
      <c r="A9058">
        <f>HYPERLINK("https://www.philgeps.gov.ph/GEPSNONPILOT/Tender/SplashBidNoticeAbstractUI.aspx?menuIndex=3&amp;refID=7072298&amp;Result=3","7072298")</f>
        <v>0</v>
      </c>
      <c r="B9058" t="s">
        <v>2637</v>
      </c>
      <c r="C9058" t="s">
        <v>12149</v>
      </c>
      <c r="D9058" t="s">
        <v>18109</v>
      </c>
      <c r="E9058" t="s">
        <v>26087</v>
      </c>
      <c r="F9058" t="s">
        <v>31362</v>
      </c>
      <c r="G9058" t="s">
        <v>31369</v>
      </c>
      <c r="H9058" t="s">
        <v>15799</v>
      </c>
      <c r="I9058" t="s">
        <v>31384</v>
      </c>
      <c r="J9058" t="s">
        <v>31969</v>
      </c>
      <c r="K9058" t="s">
        <v>40666</v>
      </c>
      <c r="M9058" t="s">
        <v>43818</v>
      </c>
      <c r="N9058" t="s">
        <v>44905</v>
      </c>
      <c r="O9058" t="s">
        <v>44906</v>
      </c>
      <c r="P9058">
        <v>0</v>
      </c>
      <c r="Q9058">
        <v>6</v>
      </c>
      <c r="R9058" t="s">
        <v>44912</v>
      </c>
      <c r="S9058" t="s">
        <v>45159</v>
      </c>
      <c r="T9058" t="s">
        <v>46524</v>
      </c>
      <c r="U9058" t="s">
        <v>54234</v>
      </c>
      <c r="V9058" t="s">
        <v>59983</v>
      </c>
      <c r="W9058" t="s">
        <v>43818</v>
      </c>
      <c r="X9058" t="s">
        <v>44913</v>
      </c>
    </row>
    <row r="9059" spans="1:24">
      <c r="A9059">
        <f>HYPERLINK("https://www.philgeps.gov.ph/GEPSNONPILOT/Tender/SplashBidNoticeAbstractUI.aspx?menuIndex=3&amp;refID=7072145&amp;Result=3","7072145")</f>
        <v>0</v>
      </c>
      <c r="B9059" t="s">
        <v>2630</v>
      </c>
      <c r="C9059" t="s">
        <v>12150</v>
      </c>
      <c r="D9059" t="s">
        <v>18148</v>
      </c>
      <c r="E9059" t="s">
        <v>26088</v>
      </c>
      <c r="F9059" t="s">
        <v>31362</v>
      </c>
      <c r="G9059" t="s">
        <v>31369</v>
      </c>
      <c r="H9059" t="s">
        <v>15799</v>
      </c>
      <c r="I9059" t="s">
        <v>31392</v>
      </c>
      <c r="J9059" t="s">
        <v>32581</v>
      </c>
      <c r="K9059" t="s">
        <v>40666</v>
      </c>
      <c r="M9059" t="s">
        <v>43810</v>
      </c>
      <c r="N9059" t="s">
        <v>44905</v>
      </c>
      <c r="O9059" t="s">
        <v>44906</v>
      </c>
      <c r="P9059">
        <v>0</v>
      </c>
      <c r="Q9059">
        <v>0</v>
      </c>
      <c r="R9059" t="s">
        <v>44912</v>
      </c>
      <c r="S9059" t="s">
        <v>45159</v>
      </c>
      <c r="T9059" t="s">
        <v>46502</v>
      </c>
      <c r="U9059" t="s">
        <v>54235</v>
      </c>
      <c r="V9059" t="s">
        <v>59977</v>
      </c>
      <c r="W9059" t="s">
        <v>43810</v>
      </c>
      <c r="X9059" t="s">
        <v>44914</v>
      </c>
    </row>
    <row r="9060" spans="1:24">
      <c r="A9060">
        <f>HYPERLINK("https://www.philgeps.gov.ph/GEPSNONPILOT/Tender/SplashBidNoticeAbstractUI.aspx?menuIndex=3&amp;refID=7073228&amp;Result=3","7073228")</f>
        <v>0</v>
      </c>
      <c r="B9060" t="s">
        <v>2622</v>
      </c>
      <c r="C9060" t="s">
        <v>12151</v>
      </c>
      <c r="D9060" t="s">
        <v>18130</v>
      </c>
      <c r="E9060" t="s">
        <v>26089</v>
      </c>
      <c r="F9060" t="s">
        <v>31362</v>
      </c>
      <c r="G9060" t="s">
        <v>31369</v>
      </c>
      <c r="H9060" t="s">
        <v>15799</v>
      </c>
      <c r="I9060" t="s">
        <v>7090</v>
      </c>
      <c r="J9060" t="s">
        <v>37054</v>
      </c>
      <c r="K9060" t="s">
        <v>40666</v>
      </c>
      <c r="M9060" t="s">
        <v>43801</v>
      </c>
      <c r="N9060" t="s">
        <v>44905</v>
      </c>
      <c r="O9060" t="s">
        <v>44906</v>
      </c>
      <c r="P9060">
        <v>0</v>
      </c>
      <c r="Q9060">
        <v>0</v>
      </c>
      <c r="R9060" t="s">
        <v>44911</v>
      </c>
      <c r="S9060" t="s">
        <v>45139</v>
      </c>
      <c r="T9060" t="s">
        <v>46507</v>
      </c>
      <c r="U9060" t="s">
        <v>54236</v>
      </c>
      <c r="W9060" t="s">
        <v>43801</v>
      </c>
      <c r="X9060" t="s">
        <v>44912</v>
      </c>
    </row>
    <row r="9061" spans="1:24">
      <c r="A9061">
        <f>HYPERLINK("https://www.philgeps.gov.ph/GEPSNONPILOT/Tender/SplashBidNoticeAbstractUI.aspx?menuIndex=3&amp;refID=7073224&amp;Result=3","7073224")</f>
        <v>0</v>
      </c>
      <c r="B9061" t="s">
        <v>2622</v>
      </c>
      <c r="C9061" t="s">
        <v>12152</v>
      </c>
      <c r="D9061" t="s">
        <v>18130</v>
      </c>
      <c r="E9061" t="s">
        <v>26037</v>
      </c>
      <c r="F9061" t="s">
        <v>31362</v>
      </c>
      <c r="G9061" t="s">
        <v>31369</v>
      </c>
      <c r="H9061" t="s">
        <v>15799</v>
      </c>
      <c r="I9061" t="s">
        <v>31385</v>
      </c>
      <c r="J9061" t="s">
        <v>37055</v>
      </c>
      <c r="K9061" t="s">
        <v>40666</v>
      </c>
      <c r="M9061" t="s">
        <v>43801</v>
      </c>
      <c r="N9061" t="s">
        <v>44905</v>
      </c>
      <c r="O9061" t="s">
        <v>44906</v>
      </c>
      <c r="P9061">
        <v>0</v>
      </c>
      <c r="Q9061">
        <v>1</v>
      </c>
      <c r="R9061" t="s">
        <v>44911</v>
      </c>
      <c r="S9061" t="s">
        <v>45139</v>
      </c>
      <c r="T9061" t="s">
        <v>46507</v>
      </c>
      <c r="U9061" t="s">
        <v>54237</v>
      </c>
      <c r="W9061" t="s">
        <v>43801</v>
      </c>
      <c r="X9061" t="s">
        <v>44912</v>
      </c>
    </row>
    <row r="9062" spans="1:24">
      <c r="A9062">
        <f>HYPERLINK("https://www.philgeps.gov.ph/GEPSNONPILOT/Tender/SplashBidNoticeAbstractUI.aspx?menuIndex=3&amp;refID=7072301&amp;Result=3","7072301")</f>
        <v>0</v>
      </c>
      <c r="B9062" t="s">
        <v>2639</v>
      </c>
      <c r="C9062" t="s">
        <v>12153</v>
      </c>
      <c r="D9062" t="s">
        <v>18129</v>
      </c>
      <c r="E9062" t="s">
        <v>26090</v>
      </c>
      <c r="F9062" t="s">
        <v>31362</v>
      </c>
      <c r="G9062" t="s">
        <v>31368</v>
      </c>
      <c r="H9062" t="s">
        <v>31379</v>
      </c>
      <c r="I9062" t="s">
        <v>31451</v>
      </c>
      <c r="J9062" t="s">
        <v>31724</v>
      </c>
      <c r="K9062" t="s">
        <v>40666</v>
      </c>
      <c r="M9062" t="s">
        <v>43820</v>
      </c>
      <c r="N9062" t="s">
        <v>44905</v>
      </c>
      <c r="O9062" t="s">
        <v>44906</v>
      </c>
      <c r="P9062">
        <v>0</v>
      </c>
      <c r="Q9062">
        <v>0</v>
      </c>
      <c r="R9062" t="s">
        <v>44912</v>
      </c>
      <c r="S9062" t="s">
        <v>45159</v>
      </c>
      <c r="T9062" t="s">
        <v>46414</v>
      </c>
      <c r="U9062" t="s">
        <v>54238</v>
      </c>
      <c r="W9062" t="s">
        <v>43820</v>
      </c>
      <c r="X9062" t="s">
        <v>44913</v>
      </c>
    </row>
    <row r="9063" spans="1:24">
      <c r="A9063">
        <f>HYPERLINK("https://www.philgeps.gov.ph/GEPSNONPILOT/Tender/SplashBidNoticeAbstractUI.aspx?menuIndex=3&amp;refID=7073164&amp;Result=3","7073164")</f>
        <v>0</v>
      </c>
      <c r="B9063" t="s">
        <v>2640</v>
      </c>
      <c r="C9063" t="s">
        <v>12154</v>
      </c>
      <c r="D9063" t="s">
        <v>18140</v>
      </c>
      <c r="E9063" t="s">
        <v>26091</v>
      </c>
      <c r="F9063" t="s">
        <v>31362</v>
      </c>
      <c r="G9063" t="s">
        <v>31369</v>
      </c>
      <c r="H9063" t="s">
        <v>15799</v>
      </c>
      <c r="I9063" t="s">
        <v>31387</v>
      </c>
      <c r="J9063" t="s">
        <v>37056</v>
      </c>
      <c r="K9063" t="s">
        <v>40666</v>
      </c>
      <c r="M9063" t="s">
        <v>43821</v>
      </c>
      <c r="N9063" t="s">
        <v>44905</v>
      </c>
      <c r="O9063" t="s">
        <v>44906</v>
      </c>
      <c r="P9063">
        <v>0</v>
      </c>
      <c r="Q9063">
        <v>1</v>
      </c>
      <c r="R9063" t="s">
        <v>44911</v>
      </c>
      <c r="S9063" t="s">
        <v>45139</v>
      </c>
      <c r="T9063" t="s">
        <v>46414</v>
      </c>
      <c r="U9063" t="s">
        <v>54239</v>
      </c>
      <c r="W9063" t="s">
        <v>43821</v>
      </c>
      <c r="X9063" t="s">
        <v>44912</v>
      </c>
    </row>
    <row r="9064" spans="1:24">
      <c r="A9064">
        <f>HYPERLINK("https://www.philgeps.gov.ph/GEPSNONPILOT/Tender/SplashBidNoticeAbstractUI.aspx?menuIndex=3&amp;refID=7072296&amp;Result=3","7072296")</f>
        <v>0</v>
      </c>
      <c r="B9064" t="s">
        <v>2641</v>
      </c>
      <c r="C9064" t="s">
        <v>12155</v>
      </c>
      <c r="D9064" t="s">
        <v>18100</v>
      </c>
      <c r="E9064" t="s">
        <v>20328</v>
      </c>
      <c r="F9064" t="s">
        <v>31362</v>
      </c>
      <c r="G9064" t="s">
        <v>31368</v>
      </c>
      <c r="H9064" t="s">
        <v>15799</v>
      </c>
      <c r="I9064" t="s">
        <v>31380</v>
      </c>
      <c r="J9064" t="s">
        <v>32480</v>
      </c>
      <c r="K9064" t="s">
        <v>40665</v>
      </c>
      <c r="M9064" t="s">
        <v>43822</v>
      </c>
      <c r="N9064" t="s">
        <v>44905</v>
      </c>
      <c r="O9064" t="s">
        <v>44906</v>
      </c>
      <c r="P9064">
        <v>0</v>
      </c>
      <c r="Q9064">
        <v>5</v>
      </c>
      <c r="R9064" t="s">
        <v>44912</v>
      </c>
      <c r="S9064" t="s">
        <v>45159</v>
      </c>
      <c r="T9064" t="s">
        <v>46414</v>
      </c>
      <c r="U9064" t="s">
        <v>54240</v>
      </c>
      <c r="V9064" t="s">
        <v>59984</v>
      </c>
      <c r="W9064" t="s">
        <v>43822</v>
      </c>
      <c r="X9064" t="s">
        <v>44913</v>
      </c>
    </row>
    <row r="9065" spans="1:24">
      <c r="A9065">
        <f>HYPERLINK("https://www.philgeps.gov.ph/GEPSNONPILOT/Tender/SplashBidNoticeAbstractUI.aspx?menuIndex=3&amp;refID=7073163&amp;Result=3","7073163")</f>
        <v>0</v>
      </c>
      <c r="B9065" t="s">
        <v>1468</v>
      </c>
      <c r="C9065" t="s">
        <v>12156</v>
      </c>
      <c r="D9065" t="s">
        <v>18134</v>
      </c>
      <c r="E9065" t="s">
        <v>26092</v>
      </c>
      <c r="F9065" t="s">
        <v>31362</v>
      </c>
      <c r="G9065" t="s">
        <v>31370</v>
      </c>
      <c r="H9065" t="s">
        <v>15799</v>
      </c>
      <c r="I9065" t="s">
        <v>31430</v>
      </c>
      <c r="J9065" t="s">
        <v>37057</v>
      </c>
      <c r="K9065" t="s">
        <v>40666</v>
      </c>
      <c r="M9065" t="s">
        <v>42501</v>
      </c>
      <c r="N9065" t="s">
        <v>44905</v>
      </c>
      <c r="O9065" t="s">
        <v>44906</v>
      </c>
      <c r="P9065">
        <v>0</v>
      </c>
      <c r="Q9065">
        <v>2</v>
      </c>
      <c r="R9065" t="s">
        <v>44911</v>
      </c>
      <c r="S9065" t="s">
        <v>45139</v>
      </c>
      <c r="T9065" t="s">
        <v>46409</v>
      </c>
      <c r="U9065" t="s">
        <v>54165</v>
      </c>
      <c r="W9065" t="s">
        <v>42501</v>
      </c>
      <c r="X9065" t="s">
        <v>44912</v>
      </c>
    </row>
    <row r="9066" spans="1:24">
      <c r="A9066">
        <f>HYPERLINK("https://www.philgeps.gov.ph/GEPSNONPILOT/Tender/SplashBidNoticeAbstractUI.aspx?menuIndex=3&amp;refID=7073162&amp;Result=3","7073162")</f>
        <v>0</v>
      </c>
      <c r="B9066" t="s">
        <v>2642</v>
      </c>
      <c r="C9066" t="s">
        <v>12157</v>
      </c>
      <c r="D9066" t="s">
        <v>18170</v>
      </c>
      <c r="E9066" t="s">
        <v>10823</v>
      </c>
      <c r="F9066" t="s">
        <v>31362</v>
      </c>
      <c r="G9066" t="s">
        <v>31369</v>
      </c>
      <c r="H9066" t="s">
        <v>15799</v>
      </c>
      <c r="I9066" t="s">
        <v>31381</v>
      </c>
      <c r="J9066" t="s">
        <v>31530</v>
      </c>
      <c r="K9066" t="s">
        <v>40672</v>
      </c>
      <c r="M9066" t="s">
        <v>43823</v>
      </c>
      <c r="N9066" t="s">
        <v>44905</v>
      </c>
      <c r="O9066" t="s">
        <v>44906</v>
      </c>
      <c r="P9066">
        <v>0</v>
      </c>
      <c r="Q9066">
        <v>1</v>
      </c>
      <c r="R9066" t="s">
        <v>44911</v>
      </c>
      <c r="S9066" t="s">
        <v>45139</v>
      </c>
      <c r="T9066" t="s">
        <v>46432</v>
      </c>
      <c r="U9066" t="s">
        <v>54241</v>
      </c>
      <c r="W9066" t="s">
        <v>43823</v>
      </c>
      <c r="X9066" t="s">
        <v>44912</v>
      </c>
    </row>
    <row r="9067" spans="1:24">
      <c r="A9067">
        <f>HYPERLINK("https://www.philgeps.gov.ph/GEPSNONPILOT/Tender/SplashBidNoticeAbstractUI.aspx?menuIndex=3&amp;refID=7068412&amp;Result=3","7068412")</f>
        <v>0</v>
      </c>
      <c r="B9067" t="s">
        <v>916</v>
      </c>
      <c r="C9067" t="s">
        <v>12158</v>
      </c>
      <c r="D9067" t="s">
        <v>18101</v>
      </c>
      <c r="E9067" t="s">
        <v>26093</v>
      </c>
      <c r="F9067" t="s">
        <v>31362</v>
      </c>
      <c r="G9067" t="s">
        <v>31369</v>
      </c>
      <c r="H9067" t="s">
        <v>15799</v>
      </c>
      <c r="I9067" t="s">
        <v>31414</v>
      </c>
      <c r="J9067" t="s">
        <v>37058</v>
      </c>
      <c r="K9067" t="s">
        <v>40665</v>
      </c>
      <c r="M9067" t="s">
        <v>43804</v>
      </c>
      <c r="N9067" t="s">
        <v>44905</v>
      </c>
      <c r="O9067" t="s">
        <v>44906</v>
      </c>
      <c r="P9067">
        <v>0</v>
      </c>
      <c r="Q9067">
        <v>3</v>
      </c>
      <c r="R9067" t="s">
        <v>44912</v>
      </c>
      <c r="S9067" t="s">
        <v>45159</v>
      </c>
      <c r="T9067" t="s">
        <v>46409</v>
      </c>
      <c r="U9067" t="s">
        <v>54242</v>
      </c>
      <c r="V9067" t="s">
        <v>59978</v>
      </c>
      <c r="W9067" t="s">
        <v>43804</v>
      </c>
      <c r="X9067" t="s">
        <v>44915</v>
      </c>
    </row>
    <row r="9068" spans="1:24">
      <c r="A9068">
        <f>HYPERLINK("https://www.philgeps.gov.ph/GEPSNONPILOT/Tender/SplashBidNoticeAbstractUI.aspx?menuIndex=3&amp;refID=7073142&amp;Result=3","7073142")</f>
        <v>0</v>
      </c>
      <c r="B9068" t="s">
        <v>233</v>
      </c>
      <c r="C9068" t="s">
        <v>12159</v>
      </c>
      <c r="D9068" t="s">
        <v>18108</v>
      </c>
      <c r="E9068" t="s">
        <v>26094</v>
      </c>
      <c r="F9068" t="s">
        <v>31362</v>
      </c>
      <c r="G9068" t="s">
        <v>31369</v>
      </c>
      <c r="H9068" t="s">
        <v>31379</v>
      </c>
      <c r="I9068" t="s">
        <v>31430</v>
      </c>
      <c r="J9068" t="s">
        <v>33097</v>
      </c>
      <c r="K9068" t="s">
        <v>40686</v>
      </c>
      <c r="M9068" t="s">
        <v>42627</v>
      </c>
      <c r="N9068" t="s">
        <v>44905</v>
      </c>
      <c r="O9068" t="s">
        <v>44906</v>
      </c>
      <c r="Q9068">
        <v>2</v>
      </c>
      <c r="R9068" t="s">
        <v>44911</v>
      </c>
      <c r="S9068" t="s">
        <v>45165</v>
      </c>
      <c r="T9068" t="s">
        <v>46696</v>
      </c>
      <c r="U9068" t="s">
        <v>50752</v>
      </c>
      <c r="W9068" t="s">
        <v>42627</v>
      </c>
      <c r="X9068" t="s">
        <v>44912</v>
      </c>
    </row>
    <row r="9069" spans="1:24">
      <c r="A9069">
        <f>HYPERLINK("https://www.philgeps.gov.ph/GEPSNONPILOT/Tender/SplashBidNoticeAbstractUI.aspx?menuIndex=3&amp;refID=7073141&amp;Result=3","7073141")</f>
        <v>0</v>
      </c>
      <c r="B9069" t="s">
        <v>2643</v>
      </c>
      <c r="C9069" t="s">
        <v>12160</v>
      </c>
      <c r="E9069" t="s">
        <v>26095</v>
      </c>
      <c r="F9069" t="s">
        <v>31365</v>
      </c>
      <c r="G9069" t="s">
        <v>31369</v>
      </c>
      <c r="H9069" t="s">
        <v>15799</v>
      </c>
      <c r="I9069" t="s">
        <v>31409</v>
      </c>
      <c r="J9069" t="s">
        <v>31724</v>
      </c>
      <c r="K9069" t="s">
        <v>40665</v>
      </c>
      <c r="M9069" t="s">
        <v>43824</v>
      </c>
      <c r="N9069" t="s">
        <v>44905</v>
      </c>
      <c r="O9069" t="s">
        <v>44906</v>
      </c>
      <c r="P9069">
        <v>0</v>
      </c>
      <c r="Q9069">
        <v>0</v>
      </c>
      <c r="R9069" t="s">
        <v>44911</v>
      </c>
      <c r="S9069" t="s">
        <v>45139</v>
      </c>
      <c r="T9069" t="s">
        <v>46560</v>
      </c>
      <c r="U9069" t="s">
        <v>54243</v>
      </c>
      <c r="W9069" t="s">
        <v>43824</v>
      </c>
      <c r="X9069" t="s">
        <v>44912</v>
      </c>
    </row>
    <row r="9070" spans="1:24">
      <c r="A9070">
        <f>HYPERLINK("https://www.philgeps.gov.ph/GEPSNONPILOT/Tender/SplashBidNoticeAbstractUI.aspx?menuIndex=3&amp;refID=7073137&amp;Result=3","7073137")</f>
        <v>0</v>
      </c>
      <c r="B9070" t="s">
        <v>2273</v>
      </c>
      <c r="C9070" t="s">
        <v>12161</v>
      </c>
      <c r="D9070" t="s">
        <v>18160</v>
      </c>
      <c r="E9070" t="s">
        <v>26096</v>
      </c>
      <c r="F9070" t="s">
        <v>31362</v>
      </c>
      <c r="G9070" t="s">
        <v>31369</v>
      </c>
      <c r="H9070" t="s">
        <v>15799</v>
      </c>
      <c r="I9070" t="s">
        <v>6373</v>
      </c>
      <c r="J9070" t="s">
        <v>37059</v>
      </c>
      <c r="K9070" t="s">
        <v>40665</v>
      </c>
      <c r="M9070" t="s">
        <v>43412</v>
      </c>
      <c r="N9070" t="s">
        <v>44905</v>
      </c>
      <c r="O9070" t="s">
        <v>44906</v>
      </c>
      <c r="Q9070">
        <v>4</v>
      </c>
      <c r="R9070" t="s">
        <v>44911</v>
      </c>
      <c r="S9070" t="s">
        <v>45166</v>
      </c>
      <c r="T9070" t="s">
        <v>46428</v>
      </c>
      <c r="U9070" t="s">
        <v>54244</v>
      </c>
      <c r="W9070" t="s">
        <v>43412</v>
      </c>
      <c r="X9070" t="s">
        <v>44912</v>
      </c>
    </row>
    <row r="9071" spans="1:24">
      <c r="A9071">
        <f>HYPERLINK("https://www.philgeps.gov.ph/GEPSNONPILOT/Tender/SplashBidNoticeAbstractUI.aspx?menuIndex=3&amp;refID=7072299&amp;Result=3","7072299")</f>
        <v>0</v>
      </c>
      <c r="B9071" t="s">
        <v>2644</v>
      </c>
      <c r="C9071" t="s">
        <v>12162</v>
      </c>
      <c r="D9071" t="s">
        <v>18103</v>
      </c>
      <c r="E9071" t="s">
        <v>26097</v>
      </c>
      <c r="F9071" t="s">
        <v>31362</v>
      </c>
      <c r="G9071" t="s">
        <v>31369</v>
      </c>
      <c r="H9071" t="s">
        <v>31379</v>
      </c>
      <c r="I9071" t="s">
        <v>31427</v>
      </c>
      <c r="J9071" t="s">
        <v>37060</v>
      </c>
      <c r="K9071" t="s">
        <v>40679</v>
      </c>
      <c r="M9071" t="s">
        <v>43825</v>
      </c>
      <c r="N9071" t="s">
        <v>44905</v>
      </c>
      <c r="O9071" t="s">
        <v>44906</v>
      </c>
      <c r="P9071">
        <v>0</v>
      </c>
      <c r="Q9071">
        <v>2</v>
      </c>
      <c r="R9071" t="s">
        <v>44912</v>
      </c>
      <c r="S9071" t="s">
        <v>45159</v>
      </c>
      <c r="T9071" t="s">
        <v>46432</v>
      </c>
      <c r="U9071" t="s">
        <v>54245</v>
      </c>
      <c r="W9071" t="s">
        <v>43825</v>
      </c>
      <c r="X9071" t="s">
        <v>44913</v>
      </c>
    </row>
    <row r="9072" spans="1:24">
      <c r="A9072">
        <f>HYPERLINK("https://www.philgeps.gov.ph/GEPSNONPILOT/Tender/SplashBidNoticeAbstractUI.aspx?menuIndex=3&amp;refID=7073129&amp;Result=3","7073129")</f>
        <v>0</v>
      </c>
      <c r="B9072" t="s">
        <v>2273</v>
      </c>
      <c r="C9072" t="s">
        <v>12163</v>
      </c>
      <c r="D9072" t="s">
        <v>18160</v>
      </c>
      <c r="E9072" t="s">
        <v>26098</v>
      </c>
      <c r="F9072" t="s">
        <v>31362</v>
      </c>
      <c r="G9072" t="s">
        <v>31369</v>
      </c>
      <c r="H9072" t="s">
        <v>15799</v>
      </c>
      <c r="I9072" t="s">
        <v>31422</v>
      </c>
      <c r="J9072" t="s">
        <v>37061</v>
      </c>
      <c r="K9072" t="s">
        <v>40665</v>
      </c>
      <c r="M9072" t="s">
        <v>43412</v>
      </c>
      <c r="N9072" t="s">
        <v>44905</v>
      </c>
      <c r="O9072" t="s">
        <v>44906</v>
      </c>
      <c r="Q9072">
        <v>5</v>
      </c>
      <c r="R9072" t="s">
        <v>44911</v>
      </c>
      <c r="S9072" t="s">
        <v>45167</v>
      </c>
      <c r="T9072" t="s">
        <v>46428</v>
      </c>
      <c r="U9072" t="s">
        <v>54244</v>
      </c>
      <c r="W9072" t="s">
        <v>43412</v>
      </c>
      <c r="X9072" t="s">
        <v>44912</v>
      </c>
    </row>
    <row r="9073" spans="1:24">
      <c r="A9073">
        <f>HYPERLINK("https://www.philgeps.gov.ph/GEPSNONPILOT/Tender/SplashBidNoticeAbstractUI.aspx?menuIndex=3&amp;refID=7073120&amp;Result=3","7073120")</f>
        <v>0</v>
      </c>
      <c r="B9073" t="s">
        <v>2645</v>
      </c>
      <c r="C9073" t="s">
        <v>12164</v>
      </c>
      <c r="D9073" t="s">
        <v>18109</v>
      </c>
      <c r="E9073" t="s">
        <v>25839</v>
      </c>
      <c r="F9073" t="s">
        <v>31362</v>
      </c>
      <c r="G9073" t="s">
        <v>31370</v>
      </c>
      <c r="H9073" t="s">
        <v>15799</v>
      </c>
      <c r="I9073" t="s">
        <v>4283</v>
      </c>
      <c r="J9073" t="s">
        <v>37062</v>
      </c>
      <c r="K9073" t="s">
        <v>40670</v>
      </c>
      <c r="M9073" t="s">
        <v>43826</v>
      </c>
      <c r="N9073" t="s">
        <v>44905</v>
      </c>
      <c r="O9073" t="s">
        <v>44906</v>
      </c>
      <c r="P9073">
        <v>0</v>
      </c>
      <c r="Q9073">
        <v>0</v>
      </c>
      <c r="R9073" t="s">
        <v>44911</v>
      </c>
      <c r="S9073" t="s">
        <v>45139</v>
      </c>
      <c r="T9073" t="s">
        <v>46798</v>
      </c>
      <c r="U9073" t="s">
        <v>54246</v>
      </c>
      <c r="W9073" t="s">
        <v>43826</v>
      </c>
      <c r="X9073" t="s">
        <v>44912</v>
      </c>
    </row>
    <row r="9074" spans="1:24">
      <c r="A9074">
        <f>HYPERLINK("https://www.philgeps.gov.ph/GEPSNONPILOT/Tender/SplashBidNoticeAbstractUI.aspx?menuIndex=3&amp;refID=7073053&amp;Result=3","7073053")</f>
        <v>0</v>
      </c>
      <c r="B9074" t="s">
        <v>2609</v>
      </c>
      <c r="C9074" t="s">
        <v>12165</v>
      </c>
      <c r="D9074" t="s">
        <v>18116</v>
      </c>
      <c r="E9074" t="s">
        <v>19064</v>
      </c>
      <c r="F9074" t="s">
        <v>31362</v>
      </c>
      <c r="G9074" t="s">
        <v>31369</v>
      </c>
      <c r="H9074" t="s">
        <v>31378</v>
      </c>
      <c r="I9074" t="s">
        <v>31386</v>
      </c>
      <c r="J9074" t="s">
        <v>31578</v>
      </c>
      <c r="K9074" t="s">
        <v>40677</v>
      </c>
      <c r="M9074" t="s">
        <v>43789</v>
      </c>
      <c r="N9074" t="s">
        <v>44905</v>
      </c>
      <c r="O9074" t="s">
        <v>44906</v>
      </c>
      <c r="P9074">
        <v>0</v>
      </c>
      <c r="Q9074">
        <v>0</v>
      </c>
      <c r="R9074" t="s">
        <v>44911</v>
      </c>
      <c r="S9074" t="s">
        <v>45139</v>
      </c>
      <c r="T9074" t="s">
        <v>46434</v>
      </c>
      <c r="U9074" t="s">
        <v>54156</v>
      </c>
      <c r="W9074" t="s">
        <v>43789</v>
      </c>
      <c r="X9074" t="s">
        <v>44912</v>
      </c>
    </row>
    <row r="9075" spans="1:24">
      <c r="A9075">
        <f>HYPERLINK("https://www.philgeps.gov.ph/GEPSNONPILOT/Tender/SplashBidNoticeAbstractUI.aspx?menuIndex=3&amp;refID=7073230&amp;Result=3","7073230")</f>
        <v>0</v>
      </c>
      <c r="B9075" t="s">
        <v>2631</v>
      </c>
      <c r="C9075" t="s">
        <v>12166</v>
      </c>
      <c r="D9075" t="s">
        <v>18109</v>
      </c>
      <c r="E9075" t="s">
        <v>26099</v>
      </c>
      <c r="F9075" t="s">
        <v>31362</v>
      </c>
      <c r="G9075" t="s">
        <v>31368</v>
      </c>
      <c r="H9075" t="s">
        <v>15799</v>
      </c>
      <c r="I9075" t="s">
        <v>31414</v>
      </c>
      <c r="J9075" t="s">
        <v>31806</v>
      </c>
      <c r="K9075" t="s">
        <v>40662</v>
      </c>
      <c r="M9075" t="s">
        <v>43812</v>
      </c>
      <c r="N9075" t="s">
        <v>44905</v>
      </c>
      <c r="O9075" t="s">
        <v>44906</v>
      </c>
      <c r="P9075">
        <v>0</v>
      </c>
      <c r="Q9075">
        <v>4</v>
      </c>
      <c r="R9075" t="s">
        <v>44911</v>
      </c>
      <c r="S9075" t="s">
        <v>45139</v>
      </c>
      <c r="T9075" t="s">
        <v>46409</v>
      </c>
      <c r="U9075" t="s">
        <v>54247</v>
      </c>
      <c r="W9075" t="s">
        <v>43812</v>
      </c>
      <c r="X9075" t="s">
        <v>44912</v>
      </c>
    </row>
    <row r="9076" spans="1:24">
      <c r="A9076">
        <f>HYPERLINK("https://www.philgeps.gov.ph/GEPSNONPILOT/Tender/SplashBidNoticeAbstractUI.aspx?menuIndex=3&amp;refID=7073140&amp;Result=3","7073140")</f>
        <v>0</v>
      </c>
      <c r="B9076" t="s">
        <v>1134</v>
      </c>
      <c r="C9076" t="s">
        <v>12167</v>
      </c>
      <c r="D9076" t="s">
        <v>18134</v>
      </c>
      <c r="E9076" t="s">
        <v>26100</v>
      </c>
      <c r="F9076" t="s">
        <v>31362</v>
      </c>
      <c r="G9076" t="s">
        <v>31369</v>
      </c>
      <c r="H9076" t="s">
        <v>31378</v>
      </c>
      <c r="I9076" t="s">
        <v>31386</v>
      </c>
      <c r="J9076" t="s">
        <v>37063</v>
      </c>
      <c r="K9076" t="s">
        <v>40682</v>
      </c>
      <c r="M9076" t="s">
        <v>42483</v>
      </c>
      <c r="N9076" t="s">
        <v>44905</v>
      </c>
      <c r="O9076" t="s">
        <v>44906</v>
      </c>
      <c r="P9076">
        <v>0</v>
      </c>
      <c r="Q9076">
        <v>4</v>
      </c>
      <c r="R9076" t="s">
        <v>44911</v>
      </c>
      <c r="S9076" t="s">
        <v>45139</v>
      </c>
      <c r="T9076" t="s">
        <v>46559</v>
      </c>
      <c r="U9076" t="s">
        <v>54248</v>
      </c>
      <c r="W9076" t="s">
        <v>42483</v>
      </c>
      <c r="X9076" t="s">
        <v>44912</v>
      </c>
    </row>
    <row r="9077" spans="1:24">
      <c r="A9077">
        <f>HYPERLINK("https://www.philgeps.gov.ph/GEPSNONPILOT/Tender/SplashBidNoticeAbstractUI.aspx?menuIndex=3&amp;refID=7073167&amp;Result=3","7073167")</f>
        <v>0</v>
      </c>
      <c r="B9077" t="s">
        <v>1468</v>
      </c>
      <c r="C9077" t="s">
        <v>12168</v>
      </c>
      <c r="D9077" t="s">
        <v>18134</v>
      </c>
      <c r="E9077" t="s">
        <v>26101</v>
      </c>
      <c r="F9077" t="s">
        <v>31362</v>
      </c>
      <c r="G9077" t="s">
        <v>31370</v>
      </c>
      <c r="H9077" t="s">
        <v>15799</v>
      </c>
      <c r="I9077" t="s">
        <v>31404</v>
      </c>
      <c r="J9077" t="s">
        <v>37064</v>
      </c>
      <c r="K9077" t="s">
        <v>40679</v>
      </c>
      <c r="M9077" t="s">
        <v>42501</v>
      </c>
      <c r="N9077" t="s">
        <v>44905</v>
      </c>
      <c r="O9077" t="s">
        <v>44906</v>
      </c>
      <c r="P9077">
        <v>0</v>
      </c>
      <c r="Q9077">
        <v>1</v>
      </c>
      <c r="R9077" t="s">
        <v>44911</v>
      </c>
      <c r="S9077" t="s">
        <v>45139</v>
      </c>
      <c r="T9077" t="s">
        <v>46409</v>
      </c>
      <c r="U9077" t="s">
        <v>54165</v>
      </c>
      <c r="W9077" t="s">
        <v>42501</v>
      </c>
      <c r="X9077" t="s">
        <v>44912</v>
      </c>
    </row>
    <row r="9078" spans="1:24">
      <c r="A9078">
        <f>HYPERLINK("https://www.philgeps.gov.ph/GEPSNONPILOT/Tender/SplashBidNoticeAbstractUI.aspx?menuIndex=3&amp;refID=7073050&amp;Result=3","7073050")</f>
        <v>0</v>
      </c>
      <c r="B9078" t="s">
        <v>2646</v>
      </c>
      <c r="C9078" t="s">
        <v>12169</v>
      </c>
      <c r="D9078" t="s">
        <v>18109</v>
      </c>
      <c r="E9078" t="s">
        <v>26102</v>
      </c>
      <c r="F9078" t="s">
        <v>31362</v>
      </c>
      <c r="G9078" t="s">
        <v>31373</v>
      </c>
      <c r="H9078" t="s">
        <v>15799</v>
      </c>
      <c r="I9078" t="s">
        <v>31395</v>
      </c>
      <c r="J9078" t="s">
        <v>37065</v>
      </c>
      <c r="K9078" t="s">
        <v>40665</v>
      </c>
      <c r="M9078" t="s">
        <v>43827</v>
      </c>
      <c r="N9078" t="s">
        <v>44905</v>
      </c>
      <c r="O9078" t="s">
        <v>44906</v>
      </c>
      <c r="P9078">
        <v>0</v>
      </c>
      <c r="Q9078">
        <v>1</v>
      </c>
      <c r="R9078" t="s">
        <v>44911</v>
      </c>
      <c r="S9078" t="s">
        <v>45139</v>
      </c>
      <c r="T9078" t="s">
        <v>46697</v>
      </c>
      <c r="U9078" t="s">
        <v>54249</v>
      </c>
      <c r="W9078" t="s">
        <v>43827</v>
      </c>
      <c r="X9078" t="s">
        <v>44912</v>
      </c>
    </row>
    <row r="9079" spans="1:24">
      <c r="A9079">
        <f>HYPERLINK("https://www.philgeps.gov.ph/GEPSNONPILOT/Tender/SplashBidNoticeAbstractUI.aspx?menuIndex=3&amp;refID=7073049&amp;Result=3","7073049")</f>
        <v>0</v>
      </c>
      <c r="B9079" t="s">
        <v>2647</v>
      </c>
      <c r="C9079" t="s">
        <v>5673</v>
      </c>
      <c r="D9079" t="s">
        <v>18116</v>
      </c>
      <c r="E9079" t="s">
        <v>24863</v>
      </c>
      <c r="F9079" t="s">
        <v>31362</v>
      </c>
      <c r="G9079" t="s">
        <v>31369</v>
      </c>
      <c r="H9079" t="s">
        <v>31378</v>
      </c>
      <c r="I9079" t="s">
        <v>31392</v>
      </c>
      <c r="J9079" t="s">
        <v>37066</v>
      </c>
      <c r="K9079" t="s">
        <v>40677</v>
      </c>
      <c r="M9079" t="s">
        <v>43828</v>
      </c>
      <c r="N9079" t="s">
        <v>44905</v>
      </c>
      <c r="O9079" t="s">
        <v>44906</v>
      </c>
      <c r="P9079">
        <v>0</v>
      </c>
      <c r="Q9079">
        <v>0</v>
      </c>
      <c r="R9079" t="s">
        <v>44911</v>
      </c>
      <c r="S9079" t="s">
        <v>45139</v>
      </c>
      <c r="T9079" t="s">
        <v>46434</v>
      </c>
      <c r="U9079" t="s">
        <v>54250</v>
      </c>
      <c r="W9079" t="s">
        <v>43828</v>
      </c>
      <c r="X9079" t="s">
        <v>44912</v>
      </c>
    </row>
    <row r="9080" spans="1:24">
      <c r="A9080">
        <f>HYPERLINK("https://www.philgeps.gov.ph/GEPSNONPILOT/Tender/SplashBidNoticeAbstractUI.aspx?menuIndex=3&amp;refID=7072411&amp;Result=3","7072411")</f>
        <v>0</v>
      </c>
      <c r="B9080" t="s">
        <v>1144</v>
      </c>
      <c r="C9080" t="s">
        <v>12170</v>
      </c>
      <c r="D9080" t="s">
        <v>18154</v>
      </c>
      <c r="E9080" t="s">
        <v>26103</v>
      </c>
      <c r="F9080" t="s">
        <v>31362</v>
      </c>
      <c r="G9080" t="s">
        <v>31372</v>
      </c>
      <c r="H9080" t="s">
        <v>15799</v>
      </c>
      <c r="I9080" t="s">
        <v>31509</v>
      </c>
      <c r="J9080" t="s">
        <v>37067</v>
      </c>
      <c r="K9080" t="s">
        <v>40662</v>
      </c>
      <c r="M9080" t="s">
        <v>42153</v>
      </c>
      <c r="N9080" t="s">
        <v>44905</v>
      </c>
      <c r="O9080" t="s">
        <v>44906</v>
      </c>
      <c r="Q9080">
        <v>5</v>
      </c>
      <c r="R9080" t="s">
        <v>44912</v>
      </c>
      <c r="S9080" t="s">
        <v>45168</v>
      </c>
      <c r="T9080" t="s">
        <v>46466</v>
      </c>
      <c r="U9080" t="s">
        <v>54251</v>
      </c>
      <c r="W9080" t="s">
        <v>42153</v>
      </c>
      <c r="X9080" t="s">
        <v>44913</v>
      </c>
    </row>
    <row r="9081" spans="1:24">
      <c r="A9081">
        <f>HYPERLINK("https://www.philgeps.gov.ph/GEPSNONPILOT/Tender/SplashBidNoticeAbstractUI.aspx?menuIndex=3&amp;refID=7072505&amp;Result=3","7072505")</f>
        <v>0</v>
      </c>
      <c r="B9081" t="s">
        <v>1280</v>
      </c>
      <c r="C9081" t="s">
        <v>12171</v>
      </c>
      <c r="D9081" t="s">
        <v>18152</v>
      </c>
      <c r="E9081" t="s">
        <v>26104</v>
      </c>
      <c r="F9081" t="s">
        <v>31362</v>
      </c>
      <c r="G9081" t="s">
        <v>31368</v>
      </c>
      <c r="H9081" t="s">
        <v>15799</v>
      </c>
      <c r="I9081" t="s">
        <v>4057</v>
      </c>
      <c r="J9081" t="s">
        <v>32264</v>
      </c>
      <c r="K9081" t="s">
        <v>40662</v>
      </c>
      <c r="M9081" t="s">
        <v>42297</v>
      </c>
      <c r="N9081" t="s">
        <v>44905</v>
      </c>
      <c r="O9081" t="s">
        <v>44906</v>
      </c>
      <c r="P9081">
        <v>0</v>
      </c>
      <c r="Q9081">
        <v>0</v>
      </c>
      <c r="R9081" t="s">
        <v>44912</v>
      </c>
      <c r="S9081" t="s">
        <v>45159</v>
      </c>
      <c r="T9081" t="s">
        <v>46507</v>
      </c>
      <c r="U9081" t="s">
        <v>49728</v>
      </c>
      <c r="W9081" t="s">
        <v>42297</v>
      </c>
      <c r="X9081" t="s">
        <v>44913</v>
      </c>
    </row>
    <row r="9082" spans="1:24">
      <c r="A9082">
        <f>HYPERLINK("https://www.philgeps.gov.ph/GEPSNONPILOT/Tender/SplashBidNoticeAbstractUI.aspx?menuIndex=3&amp;refID=7073168&amp;Result=3","7073168")</f>
        <v>0</v>
      </c>
      <c r="B9082" t="s">
        <v>900</v>
      </c>
      <c r="C9082" t="s">
        <v>12172</v>
      </c>
      <c r="D9082" t="s">
        <v>18123</v>
      </c>
      <c r="E9082" t="s">
        <v>26105</v>
      </c>
      <c r="F9082" t="s">
        <v>31362</v>
      </c>
      <c r="G9082" t="s">
        <v>31369</v>
      </c>
      <c r="H9082" t="s">
        <v>15799</v>
      </c>
      <c r="I9082" t="s">
        <v>31455</v>
      </c>
      <c r="J9082" t="s">
        <v>31542</v>
      </c>
      <c r="K9082" t="s">
        <v>40666</v>
      </c>
      <c r="M9082" t="s">
        <v>41881</v>
      </c>
      <c r="N9082" t="s">
        <v>44905</v>
      </c>
      <c r="O9082" t="s">
        <v>44906</v>
      </c>
      <c r="P9082">
        <v>0</v>
      </c>
      <c r="Q9082">
        <v>3</v>
      </c>
      <c r="R9082" t="s">
        <v>44911</v>
      </c>
      <c r="S9082" t="s">
        <v>45139</v>
      </c>
      <c r="T9082" t="s">
        <v>46466</v>
      </c>
      <c r="U9082" t="s">
        <v>54252</v>
      </c>
      <c r="W9082" t="s">
        <v>60873</v>
      </c>
      <c r="X9082" t="s">
        <v>44912</v>
      </c>
    </row>
    <row r="9083" spans="1:24">
      <c r="A9083">
        <f>HYPERLINK("https://www.philgeps.gov.ph/GEPSNONPILOT/Tender/SplashBidNoticeAbstractUI.aspx?menuIndex=3&amp;refID=7072487&amp;Result=3","7072487")</f>
        <v>0</v>
      </c>
      <c r="B9083" t="s">
        <v>1280</v>
      </c>
      <c r="C9083" t="s">
        <v>12173</v>
      </c>
      <c r="D9083" t="s">
        <v>18152</v>
      </c>
      <c r="E9083" t="s">
        <v>26106</v>
      </c>
      <c r="F9083" t="s">
        <v>31362</v>
      </c>
      <c r="G9083" t="s">
        <v>31369</v>
      </c>
      <c r="H9083" t="s">
        <v>15799</v>
      </c>
      <c r="I9083" t="s">
        <v>13635</v>
      </c>
      <c r="J9083" t="s">
        <v>37068</v>
      </c>
      <c r="K9083" t="s">
        <v>40662</v>
      </c>
      <c r="M9083" t="s">
        <v>42297</v>
      </c>
      <c r="N9083" t="s">
        <v>44905</v>
      </c>
      <c r="O9083" t="s">
        <v>44906</v>
      </c>
      <c r="P9083">
        <v>0</v>
      </c>
      <c r="Q9083">
        <v>1</v>
      </c>
      <c r="R9083" t="s">
        <v>44912</v>
      </c>
      <c r="S9083" t="s">
        <v>45159</v>
      </c>
      <c r="T9083" t="s">
        <v>46507</v>
      </c>
      <c r="U9083" t="s">
        <v>54253</v>
      </c>
      <c r="W9083" t="s">
        <v>42297</v>
      </c>
      <c r="X9083" t="s">
        <v>44913</v>
      </c>
    </row>
    <row r="9084" spans="1:24">
      <c r="A9084">
        <f>HYPERLINK("https://www.philgeps.gov.ph/GEPSNONPILOT/Tender/SplashBidNoticeAbstractUI.aspx?menuIndex=3&amp;refID=7072488&amp;Result=3","7072488")</f>
        <v>0</v>
      </c>
      <c r="B9084" t="s">
        <v>1280</v>
      </c>
      <c r="C9084" t="s">
        <v>12174</v>
      </c>
      <c r="D9084" t="s">
        <v>18152</v>
      </c>
      <c r="E9084" t="s">
        <v>26107</v>
      </c>
      <c r="F9084" t="s">
        <v>31362</v>
      </c>
      <c r="G9084" t="s">
        <v>31369</v>
      </c>
      <c r="H9084" t="s">
        <v>15799</v>
      </c>
      <c r="I9084" t="s">
        <v>7090</v>
      </c>
      <c r="J9084" t="s">
        <v>31536</v>
      </c>
      <c r="K9084" t="s">
        <v>40662</v>
      </c>
      <c r="M9084" t="s">
        <v>42297</v>
      </c>
      <c r="N9084" t="s">
        <v>44905</v>
      </c>
      <c r="O9084" t="s">
        <v>44906</v>
      </c>
      <c r="P9084">
        <v>0</v>
      </c>
      <c r="Q9084">
        <v>1</v>
      </c>
      <c r="R9084" t="s">
        <v>44912</v>
      </c>
      <c r="S9084" t="s">
        <v>45159</v>
      </c>
      <c r="T9084" t="s">
        <v>46507</v>
      </c>
      <c r="U9084" t="s">
        <v>54253</v>
      </c>
      <c r="W9084" t="s">
        <v>42297</v>
      </c>
      <c r="X9084" t="s">
        <v>44913</v>
      </c>
    </row>
    <row r="9085" spans="1:24">
      <c r="A9085">
        <f>HYPERLINK("https://www.philgeps.gov.ph/GEPSNONPILOT/Tender/SplashBidNoticeAbstractUI.aspx?menuIndex=3&amp;refID=7072485&amp;Result=3","7072485")</f>
        <v>0</v>
      </c>
      <c r="B9085" t="s">
        <v>1280</v>
      </c>
      <c r="C9085" t="s">
        <v>12175</v>
      </c>
      <c r="D9085" t="s">
        <v>18152</v>
      </c>
      <c r="E9085" t="s">
        <v>26108</v>
      </c>
      <c r="F9085" t="s">
        <v>31362</v>
      </c>
      <c r="G9085" t="s">
        <v>31369</v>
      </c>
      <c r="H9085" t="s">
        <v>15799</v>
      </c>
      <c r="I9085" t="s">
        <v>7090</v>
      </c>
      <c r="J9085" t="s">
        <v>31530</v>
      </c>
      <c r="K9085" t="s">
        <v>40662</v>
      </c>
      <c r="M9085" t="s">
        <v>42297</v>
      </c>
      <c r="N9085" t="s">
        <v>44905</v>
      </c>
      <c r="O9085" t="s">
        <v>44906</v>
      </c>
      <c r="P9085">
        <v>0</v>
      </c>
      <c r="Q9085">
        <v>1</v>
      </c>
      <c r="R9085" t="s">
        <v>44912</v>
      </c>
      <c r="S9085" t="s">
        <v>45159</v>
      </c>
      <c r="T9085" t="s">
        <v>46507</v>
      </c>
      <c r="U9085" t="s">
        <v>54253</v>
      </c>
      <c r="W9085" t="s">
        <v>42297</v>
      </c>
      <c r="X9085" t="s">
        <v>44913</v>
      </c>
    </row>
    <row r="9086" spans="1:24">
      <c r="A9086">
        <f>HYPERLINK("https://www.philgeps.gov.ph/GEPSNONPILOT/Tender/SplashBidNoticeAbstractUI.aspx?menuIndex=3&amp;refID=7072509&amp;Result=3","7072509")</f>
        <v>0</v>
      </c>
      <c r="B9086" t="s">
        <v>1863</v>
      </c>
      <c r="C9086" t="s">
        <v>12176</v>
      </c>
      <c r="D9086" t="s">
        <v>18122</v>
      </c>
      <c r="E9086" t="s">
        <v>18201</v>
      </c>
      <c r="F9086" t="s">
        <v>31362</v>
      </c>
      <c r="G9086" t="s">
        <v>31369</v>
      </c>
      <c r="H9086" t="s">
        <v>15799</v>
      </c>
      <c r="I9086" t="s">
        <v>3815</v>
      </c>
      <c r="J9086" t="s">
        <v>37069</v>
      </c>
      <c r="K9086" t="s">
        <v>40665</v>
      </c>
      <c r="M9086" t="s">
        <v>42953</v>
      </c>
      <c r="N9086" t="s">
        <v>44905</v>
      </c>
      <c r="O9086" t="s">
        <v>44906</v>
      </c>
      <c r="P9086">
        <v>0</v>
      </c>
      <c r="Q9086">
        <v>3</v>
      </c>
      <c r="R9086" t="s">
        <v>44912</v>
      </c>
      <c r="S9086" t="s">
        <v>45159</v>
      </c>
      <c r="T9086" t="s">
        <v>46409</v>
      </c>
      <c r="U9086" t="s">
        <v>54254</v>
      </c>
      <c r="W9086" t="s">
        <v>42953</v>
      </c>
      <c r="X9086" t="s">
        <v>44913</v>
      </c>
    </row>
    <row r="9087" spans="1:24">
      <c r="A9087">
        <f>HYPERLINK("https://www.philgeps.gov.ph/GEPSNONPILOT/Tender/SplashBidNoticeAbstractUI.aspx?menuIndex=3&amp;refID=7072483&amp;Result=3","7072483")</f>
        <v>0</v>
      </c>
      <c r="B9087" t="s">
        <v>1280</v>
      </c>
      <c r="C9087" t="s">
        <v>12177</v>
      </c>
      <c r="D9087" t="s">
        <v>18152</v>
      </c>
      <c r="E9087" t="s">
        <v>26109</v>
      </c>
      <c r="F9087" t="s">
        <v>31362</v>
      </c>
      <c r="G9087" t="s">
        <v>31369</v>
      </c>
      <c r="H9087" t="s">
        <v>15799</v>
      </c>
      <c r="I9087" t="s">
        <v>31393</v>
      </c>
      <c r="J9087" t="s">
        <v>32207</v>
      </c>
      <c r="K9087" t="s">
        <v>40662</v>
      </c>
      <c r="M9087" t="s">
        <v>42297</v>
      </c>
      <c r="N9087" t="s">
        <v>44905</v>
      </c>
      <c r="O9087" t="s">
        <v>44906</v>
      </c>
      <c r="P9087">
        <v>0</v>
      </c>
      <c r="Q9087">
        <v>1</v>
      </c>
      <c r="R9087" t="s">
        <v>44912</v>
      </c>
      <c r="S9087" t="s">
        <v>45159</v>
      </c>
      <c r="T9087" t="s">
        <v>46507</v>
      </c>
      <c r="U9087" t="s">
        <v>54253</v>
      </c>
      <c r="W9087" t="s">
        <v>42297</v>
      </c>
      <c r="X9087" t="s">
        <v>44913</v>
      </c>
    </row>
    <row r="9088" spans="1:24">
      <c r="A9088">
        <f>HYPERLINK("https://www.philgeps.gov.ph/GEPSNONPILOT/Tender/SplashBidNoticeAbstractUI.aspx?menuIndex=3&amp;refID=7072402&amp;Result=3","7072402")</f>
        <v>0</v>
      </c>
      <c r="B9088" t="s">
        <v>125</v>
      </c>
      <c r="C9088" t="s">
        <v>12178</v>
      </c>
      <c r="D9088" t="s">
        <v>18104</v>
      </c>
      <c r="E9088" t="s">
        <v>26110</v>
      </c>
      <c r="F9088" t="s">
        <v>31362</v>
      </c>
      <c r="G9088" t="s">
        <v>31369</v>
      </c>
      <c r="H9088" t="s">
        <v>15799</v>
      </c>
      <c r="I9088" t="s">
        <v>31409</v>
      </c>
      <c r="J9088" t="s">
        <v>37070</v>
      </c>
      <c r="K9088" t="s">
        <v>40675</v>
      </c>
      <c r="M9088" t="s">
        <v>41062</v>
      </c>
      <c r="N9088" t="s">
        <v>44905</v>
      </c>
      <c r="O9088" t="s">
        <v>44906</v>
      </c>
      <c r="P9088">
        <v>0</v>
      </c>
      <c r="Q9088">
        <v>2</v>
      </c>
      <c r="R9088" t="s">
        <v>44912</v>
      </c>
      <c r="S9088" t="s">
        <v>45159</v>
      </c>
      <c r="T9088" t="s">
        <v>46626</v>
      </c>
      <c r="U9088" t="s">
        <v>54255</v>
      </c>
      <c r="W9088" t="s">
        <v>41062</v>
      </c>
      <c r="X9088" t="s">
        <v>44913</v>
      </c>
    </row>
    <row r="9089" spans="1:24">
      <c r="A9089">
        <f>HYPERLINK("https://www.philgeps.gov.ph/GEPSNONPILOT/Tender/SplashBidNoticeAbstractUI.aspx?menuIndex=3&amp;refID=7072493&amp;Result=3","7072493")</f>
        <v>0</v>
      </c>
      <c r="B9089" t="s">
        <v>1280</v>
      </c>
      <c r="C9089" t="s">
        <v>12179</v>
      </c>
      <c r="D9089" t="s">
        <v>18152</v>
      </c>
      <c r="E9089" t="s">
        <v>26111</v>
      </c>
      <c r="F9089" t="s">
        <v>31362</v>
      </c>
      <c r="G9089" t="s">
        <v>31369</v>
      </c>
      <c r="H9089" t="s">
        <v>15799</v>
      </c>
      <c r="I9089" t="s">
        <v>31393</v>
      </c>
      <c r="J9089" t="s">
        <v>32143</v>
      </c>
      <c r="K9089" t="s">
        <v>40662</v>
      </c>
      <c r="M9089" t="s">
        <v>42297</v>
      </c>
      <c r="N9089" t="s">
        <v>44905</v>
      </c>
      <c r="O9089" t="s">
        <v>44906</v>
      </c>
      <c r="P9089">
        <v>0</v>
      </c>
      <c r="Q9089">
        <v>1</v>
      </c>
      <c r="R9089" t="s">
        <v>44912</v>
      </c>
      <c r="S9089" t="s">
        <v>45159</v>
      </c>
      <c r="T9089" t="s">
        <v>46507</v>
      </c>
      <c r="U9089" t="s">
        <v>54253</v>
      </c>
      <c r="W9089" t="s">
        <v>42297</v>
      </c>
      <c r="X9089" t="s">
        <v>44913</v>
      </c>
    </row>
    <row r="9090" spans="1:24">
      <c r="A9090">
        <f>HYPERLINK("https://www.philgeps.gov.ph/GEPSNONPILOT/Tender/SplashBidNoticeAbstractUI.aspx?menuIndex=3&amp;refID=7072490&amp;Result=3","7072490")</f>
        <v>0</v>
      </c>
      <c r="B9090" t="s">
        <v>1280</v>
      </c>
      <c r="C9090" t="s">
        <v>12180</v>
      </c>
      <c r="D9090" t="s">
        <v>18152</v>
      </c>
      <c r="E9090" t="s">
        <v>26112</v>
      </c>
      <c r="F9090" t="s">
        <v>31362</v>
      </c>
      <c r="G9090" t="s">
        <v>31369</v>
      </c>
      <c r="H9090" t="s">
        <v>15799</v>
      </c>
      <c r="I9090" t="s">
        <v>7188</v>
      </c>
      <c r="J9090" t="s">
        <v>37071</v>
      </c>
      <c r="K9090" t="s">
        <v>40662</v>
      </c>
      <c r="M9090" t="s">
        <v>42297</v>
      </c>
      <c r="N9090" t="s">
        <v>44905</v>
      </c>
      <c r="O9090" t="s">
        <v>44906</v>
      </c>
      <c r="P9090">
        <v>0</v>
      </c>
      <c r="Q9090">
        <v>1</v>
      </c>
      <c r="R9090" t="s">
        <v>44912</v>
      </c>
      <c r="S9090" t="s">
        <v>45159</v>
      </c>
      <c r="T9090" t="s">
        <v>46507</v>
      </c>
      <c r="U9090" t="s">
        <v>54253</v>
      </c>
      <c r="W9090" t="s">
        <v>42297</v>
      </c>
      <c r="X9090" t="s">
        <v>44913</v>
      </c>
    </row>
    <row r="9091" spans="1:24">
      <c r="A9091">
        <f>HYPERLINK("https://www.philgeps.gov.ph/GEPSNONPILOT/Tender/SplashBidNoticeAbstractUI.aspx?menuIndex=3&amp;refID=7072476&amp;Result=3","7072476")</f>
        <v>0</v>
      </c>
      <c r="B9091" t="s">
        <v>1991</v>
      </c>
      <c r="C9091" t="s">
        <v>12181</v>
      </c>
      <c r="D9091" t="s">
        <v>18112</v>
      </c>
      <c r="E9091" t="s">
        <v>26113</v>
      </c>
      <c r="F9091" t="s">
        <v>31362</v>
      </c>
      <c r="G9091" t="s">
        <v>31369</v>
      </c>
      <c r="H9091" t="s">
        <v>31378</v>
      </c>
      <c r="I9091" t="s">
        <v>31386</v>
      </c>
      <c r="J9091" t="s">
        <v>37072</v>
      </c>
      <c r="K9091" t="s">
        <v>40735</v>
      </c>
      <c r="M9091" t="s">
        <v>43829</v>
      </c>
      <c r="N9091" t="s">
        <v>44905</v>
      </c>
      <c r="O9091" t="s">
        <v>44906</v>
      </c>
      <c r="P9091">
        <v>0</v>
      </c>
      <c r="Q9091">
        <v>7</v>
      </c>
      <c r="R9091" t="s">
        <v>44912</v>
      </c>
      <c r="S9091" t="s">
        <v>45159</v>
      </c>
      <c r="T9091" t="s">
        <v>46433</v>
      </c>
      <c r="U9091" t="s">
        <v>54256</v>
      </c>
      <c r="W9091" t="s">
        <v>43829</v>
      </c>
      <c r="X9091" t="s">
        <v>44913</v>
      </c>
    </row>
    <row r="9092" spans="1:24">
      <c r="A9092">
        <f>HYPERLINK("https://www.philgeps.gov.ph/GEPSNONPILOT/Tender/SplashBidNoticeAbstractUI.aspx?menuIndex=3&amp;refID=7072512&amp;Result=3","7072512")</f>
        <v>0</v>
      </c>
      <c r="B9092" t="s">
        <v>1280</v>
      </c>
      <c r="C9092" t="s">
        <v>12182</v>
      </c>
      <c r="D9092" t="s">
        <v>18152</v>
      </c>
      <c r="E9092" t="s">
        <v>26114</v>
      </c>
      <c r="F9092" t="s">
        <v>31362</v>
      </c>
      <c r="G9092" t="s">
        <v>31368</v>
      </c>
      <c r="H9092" t="s">
        <v>15799</v>
      </c>
      <c r="I9092" t="s">
        <v>31385</v>
      </c>
      <c r="J9092" t="s">
        <v>37073</v>
      </c>
      <c r="K9092" t="s">
        <v>40662</v>
      </c>
      <c r="M9092" t="s">
        <v>42297</v>
      </c>
      <c r="N9092" t="s">
        <v>44905</v>
      </c>
      <c r="O9092" t="s">
        <v>44906</v>
      </c>
      <c r="P9092">
        <v>0</v>
      </c>
      <c r="Q9092">
        <v>1</v>
      </c>
      <c r="R9092" t="s">
        <v>44912</v>
      </c>
      <c r="S9092" t="s">
        <v>45159</v>
      </c>
      <c r="T9092" t="s">
        <v>46507</v>
      </c>
      <c r="U9092" t="s">
        <v>49728</v>
      </c>
      <c r="W9092" t="s">
        <v>42297</v>
      </c>
      <c r="X9092" t="s">
        <v>44913</v>
      </c>
    </row>
    <row r="9093" spans="1:24">
      <c r="A9093">
        <f>HYPERLINK("https://www.philgeps.gov.ph/GEPSNONPILOT/Tender/SplashBidNoticeAbstractUI.aspx?menuIndex=3&amp;refID=7072472&amp;Result=3","7072472")</f>
        <v>0</v>
      </c>
      <c r="B9093" t="s">
        <v>345</v>
      </c>
      <c r="C9093" t="s">
        <v>12183</v>
      </c>
      <c r="D9093" t="s">
        <v>18149</v>
      </c>
      <c r="E9093" t="s">
        <v>26115</v>
      </c>
      <c r="F9093" t="s">
        <v>31362</v>
      </c>
      <c r="G9093" t="s">
        <v>31369</v>
      </c>
      <c r="H9093" t="s">
        <v>31378</v>
      </c>
      <c r="I9093" t="s">
        <v>31386</v>
      </c>
      <c r="J9093" t="s">
        <v>31591</v>
      </c>
      <c r="K9093" t="s">
        <v>40675</v>
      </c>
      <c r="M9093" t="s">
        <v>41291</v>
      </c>
      <c r="N9093" t="s">
        <v>44905</v>
      </c>
      <c r="O9093" t="s">
        <v>44906</v>
      </c>
      <c r="P9093">
        <v>0</v>
      </c>
      <c r="Q9093">
        <v>0</v>
      </c>
      <c r="R9093" t="s">
        <v>44912</v>
      </c>
      <c r="S9093" t="s">
        <v>45159</v>
      </c>
      <c r="T9093" t="s">
        <v>46715</v>
      </c>
      <c r="U9093" t="s">
        <v>47513</v>
      </c>
      <c r="W9093" t="s">
        <v>41291</v>
      </c>
      <c r="X9093" t="s">
        <v>44913</v>
      </c>
    </row>
    <row r="9094" spans="1:24">
      <c r="A9094">
        <f>HYPERLINK("https://www.philgeps.gov.ph/GEPSNONPILOT/Tender/SplashBidNoticeAbstractUI.aspx?menuIndex=3&amp;refID=7073139&amp;Result=3","7073139")</f>
        <v>0</v>
      </c>
      <c r="B9094" t="s">
        <v>565</v>
      </c>
      <c r="C9094" t="s">
        <v>12184</v>
      </c>
      <c r="D9094" t="s">
        <v>18124</v>
      </c>
      <c r="E9094" t="s">
        <v>26116</v>
      </c>
      <c r="F9094" t="s">
        <v>31362</v>
      </c>
      <c r="G9094" t="s">
        <v>31369</v>
      </c>
      <c r="H9094" t="s">
        <v>15799</v>
      </c>
      <c r="I9094" t="s">
        <v>31461</v>
      </c>
      <c r="J9094" t="s">
        <v>31545</v>
      </c>
      <c r="K9094" t="s">
        <v>40672</v>
      </c>
      <c r="M9094" t="s">
        <v>41521</v>
      </c>
      <c r="N9094" t="s">
        <v>44905</v>
      </c>
      <c r="O9094" t="s">
        <v>44906</v>
      </c>
      <c r="P9094">
        <v>0</v>
      </c>
      <c r="Q9094">
        <v>1</v>
      </c>
      <c r="R9094" t="s">
        <v>44911</v>
      </c>
      <c r="S9094" t="s">
        <v>45139</v>
      </c>
      <c r="T9094" t="s">
        <v>46409</v>
      </c>
      <c r="U9094" t="s">
        <v>54257</v>
      </c>
      <c r="W9094" t="s">
        <v>41521</v>
      </c>
      <c r="X9094" t="s">
        <v>44912</v>
      </c>
    </row>
    <row r="9095" spans="1:24">
      <c r="A9095">
        <f>HYPERLINK("https://www.philgeps.gov.ph/GEPSNONPILOT/Tender/SplashBidNoticeAbstractUI.aspx?menuIndex=3&amp;refID=7072653&amp;Result=3","7072653")</f>
        <v>0</v>
      </c>
      <c r="B9095" t="s">
        <v>2648</v>
      </c>
      <c r="C9095" t="s">
        <v>12185</v>
      </c>
      <c r="D9095" t="s">
        <v>18158</v>
      </c>
      <c r="E9095" t="s">
        <v>26117</v>
      </c>
      <c r="F9095" t="s">
        <v>31362</v>
      </c>
      <c r="G9095" t="s">
        <v>31369</v>
      </c>
      <c r="H9095" t="s">
        <v>31378</v>
      </c>
      <c r="I9095" t="s">
        <v>31386</v>
      </c>
      <c r="J9095" t="s">
        <v>31734</v>
      </c>
      <c r="K9095" t="s">
        <v>40677</v>
      </c>
      <c r="M9095" t="s">
        <v>43830</v>
      </c>
      <c r="N9095" t="s">
        <v>44905</v>
      </c>
      <c r="O9095" t="s">
        <v>44906</v>
      </c>
      <c r="P9095">
        <v>0</v>
      </c>
      <c r="Q9095">
        <v>0</v>
      </c>
      <c r="R9095" t="s">
        <v>44912</v>
      </c>
      <c r="S9095" t="s">
        <v>45159</v>
      </c>
      <c r="T9095" t="s">
        <v>46409</v>
      </c>
      <c r="U9095" t="s">
        <v>54258</v>
      </c>
      <c r="W9095" t="s">
        <v>43830</v>
      </c>
      <c r="X9095" t="s">
        <v>44913</v>
      </c>
    </row>
    <row r="9096" spans="1:24">
      <c r="A9096">
        <f>HYPERLINK("https://www.philgeps.gov.ph/GEPSNONPILOT/Tender/SplashBidNoticeAbstractUI.aspx?menuIndex=3&amp;refID=7072640&amp;Result=3","7072640")</f>
        <v>0</v>
      </c>
      <c r="B9096" t="s">
        <v>2648</v>
      </c>
      <c r="C9096" t="s">
        <v>12186</v>
      </c>
      <c r="D9096" t="s">
        <v>18158</v>
      </c>
      <c r="E9096" t="s">
        <v>20764</v>
      </c>
      <c r="F9096" t="s">
        <v>31362</v>
      </c>
      <c r="G9096" t="s">
        <v>31369</v>
      </c>
      <c r="H9096" t="s">
        <v>31378</v>
      </c>
      <c r="I9096" t="s">
        <v>31386</v>
      </c>
      <c r="J9096" t="s">
        <v>31734</v>
      </c>
      <c r="K9096" t="s">
        <v>40666</v>
      </c>
      <c r="M9096" t="s">
        <v>43830</v>
      </c>
      <c r="N9096" t="s">
        <v>44905</v>
      </c>
      <c r="O9096" t="s">
        <v>44906</v>
      </c>
      <c r="P9096">
        <v>0</v>
      </c>
      <c r="Q9096">
        <v>0</v>
      </c>
      <c r="R9096" t="s">
        <v>44912</v>
      </c>
      <c r="S9096" t="s">
        <v>45159</v>
      </c>
      <c r="T9096" t="s">
        <v>46409</v>
      </c>
      <c r="U9096" t="s">
        <v>54259</v>
      </c>
      <c r="W9096" t="s">
        <v>43830</v>
      </c>
      <c r="X9096" t="s">
        <v>44913</v>
      </c>
    </row>
    <row r="9097" spans="1:24">
      <c r="A9097">
        <f>HYPERLINK("https://www.philgeps.gov.ph/GEPSNONPILOT/Tender/SplashBidNoticeAbstractUI.aspx?menuIndex=3&amp;refID=7072606&amp;Result=3","7072606")</f>
        <v>0</v>
      </c>
      <c r="B9097" t="s">
        <v>2649</v>
      </c>
      <c r="C9097" t="s">
        <v>12187</v>
      </c>
      <c r="D9097" t="s">
        <v>18177</v>
      </c>
      <c r="E9097" t="s">
        <v>26118</v>
      </c>
      <c r="F9097" t="s">
        <v>31362</v>
      </c>
      <c r="G9097" t="s">
        <v>31368</v>
      </c>
      <c r="H9097" t="s">
        <v>15799</v>
      </c>
      <c r="I9097" t="s">
        <v>31430</v>
      </c>
      <c r="J9097" t="s">
        <v>37074</v>
      </c>
      <c r="K9097" t="s">
        <v>40665</v>
      </c>
      <c r="M9097" t="s">
        <v>43831</v>
      </c>
      <c r="N9097" t="s">
        <v>44905</v>
      </c>
      <c r="O9097" t="s">
        <v>44906</v>
      </c>
      <c r="P9097">
        <v>0</v>
      </c>
      <c r="Q9097">
        <v>0</v>
      </c>
      <c r="R9097" t="s">
        <v>44912</v>
      </c>
      <c r="S9097" t="s">
        <v>45159</v>
      </c>
      <c r="T9097" t="s">
        <v>46432</v>
      </c>
      <c r="U9097" t="s">
        <v>54260</v>
      </c>
      <c r="W9097" t="s">
        <v>43831</v>
      </c>
      <c r="X9097" t="s">
        <v>44913</v>
      </c>
    </row>
    <row r="9098" spans="1:24">
      <c r="A9098">
        <f>HYPERLINK("https://www.philgeps.gov.ph/GEPSNONPILOT/Tender/SplashBidNoticeAbstractUI.aspx?menuIndex=3&amp;refID=7072484&amp;Result=3","7072484")</f>
        <v>0</v>
      </c>
      <c r="B9098" t="s">
        <v>2187</v>
      </c>
      <c r="C9098" t="s">
        <v>12188</v>
      </c>
      <c r="D9098" t="s">
        <v>18108</v>
      </c>
      <c r="E9098" t="s">
        <v>26119</v>
      </c>
      <c r="F9098" t="s">
        <v>31362</v>
      </c>
      <c r="G9098" t="s">
        <v>31369</v>
      </c>
      <c r="H9098" t="s">
        <v>31378</v>
      </c>
      <c r="I9098" t="s">
        <v>31386</v>
      </c>
      <c r="J9098" t="s">
        <v>37075</v>
      </c>
      <c r="K9098" t="s">
        <v>40678</v>
      </c>
      <c r="M9098" t="s">
        <v>43832</v>
      </c>
      <c r="N9098" t="s">
        <v>44905</v>
      </c>
      <c r="O9098" t="s">
        <v>44906</v>
      </c>
      <c r="P9098">
        <v>0</v>
      </c>
      <c r="Q9098">
        <v>64</v>
      </c>
      <c r="R9098" t="s">
        <v>44912</v>
      </c>
      <c r="S9098" t="s">
        <v>45159</v>
      </c>
      <c r="T9098" t="s">
        <v>46471</v>
      </c>
      <c r="U9098" t="s">
        <v>54261</v>
      </c>
      <c r="V9098" t="s">
        <v>59985</v>
      </c>
      <c r="W9098" t="s">
        <v>43832</v>
      </c>
      <c r="X9098" t="s">
        <v>44913</v>
      </c>
    </row>
    <row r="9099" spans="1:24">
      <c r="A9099">
        <f>HYPERLINK("https://www.philgeps.gov.ph/GEPSNONPILOT/Tender/SplashBidNoticeAbstractUI.aspx?menuIndex=3&amp;refID=7072663&amp;Result=3","7072663")</f>
        <v>0</v>
      </c>
      <c r="B9099" t="s">
        <v>2648</v>
      </c>
      <c r="C9099" t="s">
        <v>12189</v>
      </c>
      <c r="D9099" t="s">
        <v>18158</v>
      </c>
      <c r="E9099" t="s">
        <v>26120</v>
      </c>
      <c r="F9099" t="s">
        <v>31362</v>
      </c>
      <c r="G9099" t="s">
        <v>31369</v>
      </c>
      <c r="H9099" t="s">
        <v>31378</v>
      </c>
      <c r="I9099" t="s">
        <v>31386</v>
      </c>
      <c r="J9099" t="s">
        <v>31734</v>
      </c>
      <c r="K9099" t="s">
        <v>40666</v>
      </c>
      <c r="M9099" t="s">
        <v>43830</v>
      </c>
      <c r="N9099" t="s">
        <v>44905</v>
      </c>
      <c r="O9099" t="s">
        <v>44906</v>
      </c>
      <c r="P9099">
        <v>0</v>
      </c>
      <c r="Q9099">
        <v>0</v>
      </c>
      <c r="R9099" t="s">
        <v>44912</v>
      </c>
      <c r="S9099" t="s">
        <v>45159</v>
      </c>
      <c r="T9099" t="s">
        <v>46409</v>
      </c>
      <c r="U9099" t="s">
        <v>54262</v>
      </c>
      <c r="W9099" t="s">
        <v>43830</v>
      </c>
      <c r="X9099" t="s">
        <v>44913</v>
      </c>
    </row>
    <row r="9100" spans="1:24">
      <c r="A9100">
        <f>HYPERLINK("https://www.philgeps.gov.ph/GEPSNONPILOT/Tender/SplashBidNoticeAbstractUI.aspx?menuIndex=3&amp;refID=7072643&amp;Result=3","7072643")</f>
        <v>0</v>
      </c>
      <c r="B9100" t="s">
        <v>2650</v>
      </c>
      <c r="C9100" t="s">
        <v>12190</v>
      </c>
      <c r="D9100" t="s">
        <v>18106</v>
      </c>
      <c r="E9100" t="s">
        <v>26121</v>
      </c>
      <c r="F9100" t="s">
        <v>31362</v>
      </c>
      <c r="G9100" t="s">
        <v>31369</v>
      </c>
      <c r="H9100" t="s">
        <v>15799</v>
      </c>
      <c r="I9100" t="s">
        <v>31395</v>
      </c>
      <c r="J9100" t="s">
        <v>31586</v>
      </c>
      <c r="K9100" t="s">
        <v>40662</v>
      </c>
      <c r="M9100" t="s">
        <v>43833</v>
      </c>
      <c r="N9100" t="s">
        <v>44905</v>
      </c>
      <c r="O9100" t="s">
        <v>44906</v>
      </c>
      <c r="P9100">
        <v>0</v>
      </c>
      <c r="Q9100">
        <v>3</v>
      </c>
      <c r="R9100" t="s">
        <v>44912</v>
      </c>
      <c r="S9100" t="s">
        <v>45159</v>
      </c>
      <c r="T9100" t="s">
        <v>46438</v>
      </c>
      <c r="U9100" t="s">
        <v>54263</v>
      </c>
      <c r="W9100" t="s">
        <v>43833</v>
      </c>
      <c r="X9100" t="s">
        <v>44913</v>
      </c>
    </row>
    <row r="9101" spans="1:24">
      <c r="A9101">
        <f>HYPERLINK("https://www.philgeps.gov.ph/GEPSNONPILOT/Tender/SplashBidNoticeAbstractUI.aspx?menuIndex=3&amp;refID=7072554&amp;Result=3","7072554")</f>
        <v>0</v>
      </c>
      <c r="B9101" t="s">
        <v>2285</v>
      </c>
      <c r="C9101" t="s">
        <v>12191</v>
      </c>
      <c r="E9101" t="s">
        <v>26122</v>
      </c>
      <c r="F9101" t="s">
        <v>31362</v>
      </c>
      <c r="G9101" t="s">
        <v>31369</v>
      </c>
      <c r="H9101" t="s">
        <v>15799</v>
      </c>
      <c r="I9101" t="s">
        <v>31422</v>
      </c>
      <c r="J9101" t="s">
        <v>37076</v>
      </c>
      <c r="K9101" t="s">
        <v>40662</v>
      </c>
      <c r="M9101" t="s">
        <v>43424</v>
      </c>
      <c r="N9101" t="s">
        <v>44905</v>
      </c>
      <c r="O9101" t="s">
        <v>44906</v>
      </c>
      <c r="Q9101">
        <v>7</v>
      </c>
      <c r="R9101" t="s">
        <v>44912</v>
      </c>
      <c r="S9101" t="s">
        <v>45169</v>
      </c>
      <c r="T9101" t="s">
        <v>46624</v>
      </c>
      <c r="U9101" t="s">
        <v>54264</v>
      </c>
      <c r="W9101" t="s">
        <v>43424</v>
      </c>
      <c r="X9101" t="s">
        <v>44913</v>
      </c>
    </row>
    <row r="9102" spans="1:24">
      <c r="A9102">
        <f>HYPERLINK("https://www.philgeps.gov.ph/GEPSNONPILOT/Tender/SplashBidNoticeAbstractUI.aspx?menuIndex=3&amp;refID=7072480&amp;Result=3","7072480")</f>
        <v>0</v>
      </c>
      <c r="B9102" t="s">
        <v>2187</v>
      </c>
      <c r="C9102" t="s">
        <v>12192</v>
      </c>
      <c r="D9102" t="s">
        <v>18108</v>
      </c>
      <c r="E9102" t="s">
        <v>26123</v>
      </c>
      <c r="F9102" t="s">
        <v>31362</v>
      </c>
      <c r="G9102" t="s">
        <v>31369</v>
      </c>
      <c r="H9102" t="s">
        <v>31378</v>
      </c>
      <c r="I9102" t="s">
        <v>31386</v>
      </c>
      <c r="J9102" t="s">
        <v>37077</v>
      </c>
      <c r="K9102" t="s">
        <v>40678</v>
      </c>
      <c r="M9102" t="s">
        <v>43832</v>
      </c>
      <c r="N9102" t="s">
        <v>44905</v>
      </c>
      <c r="O9102" t="s">
        <v>44906</v>
      </c>
      <c r="P9102">
        <v>0</v>
      </c>
      <c r="Q9102">
        <v>76</v>
      </c>
      <c r="R9102" t="s">
        <v>44912</v>
      </c>
      <c r="S9102" t="s">
        <v>45159</v>
      </c>
      <c r="T9102" t="s">
        <v>46471</v>
      </c>
      <c r="U9102" t="s">
        <v>54265</v>
      </c>
      <c r="V9102" t="s">
        <v>59986</v>
      </c>
      <c r="W9102" t="s">
        <v>43832</v>
      </c>
      <c r="X9102" t="s">
        <v>44913</v>
      </c>
    </row>
    <row r="9103" spans="1:24">
      <c r="A9103">
        <f>HYPERLINK("https://www.philgeps.gov.ph/GEPSNONPILOT/Tender/SplashBidNoticeAbstractUI.aspx?menuIndex=3&amp;refID=7072552&amp;Result=3","7072552")</f>
        <v>0</v>
      </c>
      <c r="B9103" t="s">
        <v>2651</v>
      </c>
      <c r="C9103" t="s">
        <v>12193</v>
      </c>
      <c r="D9103" t="s">
        <v>18126</v>
      </c>
      <c r="E9103" t="s">
        <v>22289</v>
      </c>
      <c r="F9103" t="s">
        <v>31363</v>
      </c>
      <c r="G9103" t="s">
        <v>31371</v>
      </c>
      <c r="H9103" t="s">
        <v>15799</v>
      </c>
      <c r="I9103" t="s">
        <v>31380</v>
      </c>
      <c r="J9103" t="s">
        <v>37078</v>
      </c>
      <c r="K9103" t="s">
        <v>40693</v>
      </c>
      <c r="L9103" t="s">
        <v>2651</v>
      </c>
      <c r="M9103" t="s">
        <v>43834</v>
      </c>
      <c r="N9103" t="s">
        <v>44905</v>
      </c>
      <c r="O9103" t="s">
        <v>44906</v>
      </c>
      <c r="P9103">
        <v>0</v>
      </c>
      <c r="Q9103">
        <v>3</v>
      </c>
      <c r="R9103" t="s">
        <v>44912</v>
      </c>
      <c r="S9103" t="s">
        <v>45159</v>
      </c>
      <c r="T9103" t="s">
        <v>46414</v>
      </c>
      <c r="U9103" t="s">
        <v>54266</v>
      </c>
      <c r="W9103" t="s">
        <v>43834</v>
      </c>
      <c r="X9103" t="s">
        <v>44913</v>
      </c>
    </row>
    <row r="9104" spans="1:24">
      <c r="A9104">
        <f>HYPERLINK("https://www.philgeps.gov.ph/GEPSNONPILOT/Tender/SplashBidNoticeAbstractUI.aspx?menuIndex=3&amp;refID=7072544&amp;Result=3","7072544")</f>
        <v>0</v>
      </c>
      <c r="B9104" t="s">
        <v>2652</v>
      </c>
      <c r="C9104" t="s">
        <v>12194</v>
      </c>
      <c r="D9104" t="s">
        <v>18101</v>
      </c>
      <c r="E9104" t="s">
        <v>18227</v>
      </c>
      <c r="F9104" t="s">
        <v>31362</v>
      </c>
      <c r="G9104" t="s">
        <v>31369</v>
      </c>
      <c r="H9104" t="s">
        <v>15799</v>
      </c>
      <c r="I9104" t="s">
        <v>3815</v>
      </c>
      <c r="J9104" t="s">
        <v>31574</v>
      </c>
      <c r="K9104" t="s">
        <v>40670</v>
      </c>
      <c r="M9104" t="s">
        <v>43835</v>
      </c>
      <c r="N9104" t="s">
        <v>44905</v>
      </c>
      <c r="O9104" t="s">
        <v>44906</v>
      </c>
      <c r="P9104">
        <v>0</v>
      </c>
      <c r="Q9104">
        <v>0</v>
      </c>
      <c r="R9104" t="s">
        <v>44912</v>
      </c>
      <c r="S9104" t="s">
        <v>45159</v>
      </c>
      <c r="T9104" t="s">
        <v>46411</v>
      </c>
      <c r="U9104" t="s">
        <v>54267</v>
      </c>
      <c r="W9104" t="s">
        <v>43835</v>
      </c>
      <c r="X9104" t="s">
        <v>44913</v>
      </c>
    </row>
    <row r="9105" spans="1:24">
      <c r="A9105">
        <f>HYPERLINK("https://www.philgeps.gov.ph/GEPSNONPILOT/Tender/SplashBidNoticeAbstractUI.aspx?menuIndex=3&amp;refID=7072586&amp;Result=3","7072586")</f>
        <v>0</v>
      </c>
      <c r="B9105" t="s">
        <v>2653</v>
      </c>
      <c r="C9105" t="s">
        <v>12195</v>
      </c>
      <c r="D9105" t="s">
        <v>18102</v>
      </c>
      <c r="E9105" t="s">
        <v>26124</v>
      </c>
      <c r="F9105" t="s">
        <v>31362</v>
      </c>
      <c r="G9105" t="s">
        <v>31369</v>
      </c>
      <c r="H9105" t="s">
        <v>15799</v>
      </c>
      <c r="I9105" t="s">
        <v>31431</v>
      </c>
      <c r="J9105" t="s">
        <v>37079</v>
      </c>
      <c r="K9105" t="s">
        <v>40666</v>
      </c>
      <c r="M9105" t="s">
        <v>43836</v>
      </c>
      <c r="N9105" t="s">
        <v>44905</v>
      </c>
      <c r="O9105" t="s">
        <v>44906</v>
      </c>
      <c r="P9105">
        <v>0</v>
      </c>
      <c r="Q9105">
        <v>2</v>
      </c>
      <c r="R9105" t="s">
        <v>44912</v>
      </c>
      <c r="S9105" t="s">
        <v>45159</v>
      </c>
      <c r="T9105" t="s">
        <v>46414</v>
      </c>
      <c r="U9105" t="s">
        <v>54268</v>
      </c>
      <c r="W9105" t="s">
        <v>43836</v>
      </c>
      <c r="X9105" t="s">
        <v>44913</v>
      </c>
    </row>
    <row r="9106" spans="1:24">
      <c r="A9106">
        <f>HYPERLINK("https://www.philgeps.gov.ph/GEPSNONPILOT/Tender/SplashBidNoticeAbstractUI.aspx?menuIndex=3&amp;refID=7072540&amp;Result=3","7072540")</f>
        <v>0</v>
      </c>
      <c r="B9106" t="s">
        <v>1863</v>
      </c>
      <c r="C9106" t="s">
        <v>12196</v>
      </c>
      <c r="D9106" t="s">
        <v>18122</v>
      </c>
      <c r="E9106" t="s">
        <v>21898</v>
      </c>
      <c r="F9106" t="s">
        <v>31362</v>
      </c>
      <c r="G9106" t="s">
        <v>31369</v>
      </c>
      <c r="H9106" t="s">
        <v>15799</v>
      </c>
      <c r="I9106" t="s">
        <v>3815</v>
      </c>
      <c r="J9106" t="s">
        <v>34451</v>
      </c>
      <c r="K9106" t="s">
        <v>40665</v>
      </c>
      <c r="M9106" t="s">
        <v>42953</v>
      </c>
      <c r="N9106" t="s">
        <v>44905</v>
      </c>
      <c r="O9106" t="s">
        <v>44906</v>
      </c>
      <c r="P9106">
        <v>0</v>
      </c>
      <c r="Q9106">
        <v>3</v>
      </c>
      <c r="R9106" t="s">
        <v>44912</v>
      </c>
      <c r="S9106" t="s">
        <v>45159</v>
      </c>
      <c r="T9106" t="s">
        <v>46414</v>
      </c>
      <c r="U9106" t="s">
        <v>54269</v>
      </c>
      <c r="W9106" t="s">
        <v>42953</v>
      </c>
      <c r="X9106" t="s">
        <v>44913</v>
      </c>
    </row>
    <row r="9107" spans="1:24">
      <c r="A9107">
        <f>HYPERLINK("https://www.philgeps.gov.ph/GEPSNONPILOT/Tender/SplashBidNoticeAbstractUI.aspx?menuIndex=3&amp;refID=7072536&amp;Result=3","7072536")</f>
        <v>0</v>
      </c>
      <c r="B9107" t="s">
        <v>1191</v>
      </c>
      <c r="C9107" t="s">
        <v>12197</v>
      </c>
      <c r="D9107" t="s">
        <v>18106</v>
      </c>
      <c r="E9107" t="s">
        <v>26125</v>
      </c>
      <c r="F9107" t="s">
        <v>31362</v>
      </c>
      <c r="G9107" t="s">
        <v>31369</v>
      </c>
      <c r="H9107" t="s">
        <v>31378</v>
      </c>
      <c r="I9107" t="s">
        <v>31386</v>
      </c>
      <c r="J9107" t="s">
        <v>37080</v>
      </c>
      <c r="K9107" t="s">
        <v>40661</v>
      </c>
      <c r="M9107" t="s">
        <v>42203</v>
      </c>
      <c r="N9107" t="s">
        <v>44905</v>
      </c>
      <c r="O9107" t="s">
        <v>44906</v>
      </c>
      <c r="P9107">
        <v>0</v>
      </c>
      <c r="Q9107">
        <v>0</v>
      </c>
      <c r="R9107" t="s">
        <v>44912</v>
      </c>
      <c r="S9107" t="s">
        <v>45159</v>
      </c>
      <c r="T9107" t="s">
        <v>46443</v>
      </c>
      <c r="U9107" t="s">
        <v>54270</v>
      </c>
      <c r="W9107" t="s">
        <v>42203</v>
      </c>
      <c r="X9107" t="s">
        <v>44913</v>
      </c>
    </row>
    <row r="9108" spans="1:24">
      <c r="A9108">
        <f>HYPERLINK("https://www.philgeps.gov.ph/GEPSNONPILOT/Tender/SplashBidNoticeAbstractUI.aspx?menuIndex=3&amp;refID=7072534&amp;Result=3","7072534")</f>
        <v>0</v>
      </c>
      <c r="B9108" t="s">
        <v>1863</v>
      </c>
      <c r="C9108" t="s">
        <v>12198</v>
      </c>
      <c r="D9108" t="s">
        <v>18122</v>
      </c>
      <c r="E9108" t="s">
        <v>21549</v>
      </c>
      <c r="F9108" t="s">
        <v>31362</v>
      </c>
      <c r="G9108" t="s">
        <v>31369</v>
      </c>
      <c r="H9108" t="s">
        <v>15799</v>
      </c>
      <c r="I9108" t="s">
        <v>3815</v>
      </c>
      <c r="J9108" t="s">
        <v>37081</v>
      </c>
      <c r="K9108" t="s">
        <v>40665</v>
      </c>
      <c r="M9108" t="s">
        <v>42953</v>
      </c>
      <c r="N9108" t="s">
        <v>44905</v>
      </c>
      <c r="O9108" t="s">
        <v>44906</v>
      </c>
      <c r="P9108">
        <v>0</v>
      </c>
      <c r="Q9108">
        <v>2</v>
      </c>
      <c r="R9108" t="s">
        <v>44912</v>
      </c>
      <c r="S9108" t="s">
        <v>45159</v>
      </c>
      <c r="T9108" t="s">
        <v>46414</v>
      </c>
      <c r="U9108" t="s">
        <v>54271</v>
      </c>
      <c r="W9108" t="s">
        <v>42953</v>
      </c>
      <c r="X9108" t="s">
        <v>44913</v>
      </c>
    </row>
    <row r="9109" spans="1:24">
      <c r="A9109">
        <f>HYPERLINK("https://www.philgeps.gov.ph/GEPSNONPILOT/Tender/SplashBidNoticeAbstractUI.aspx?menuIndex=3&amp;refID=7072767&amp;Result=3","7072767")</f>
        <v>0</v>
      </c>
      <c r="B9109" t="s">
        <v>2654</v>
      </c>
      <c r="C9109" t="s">
        <v>12199</v>
      </c>
      <c r="E9109" t="s">
        <v>26126</v>
      </c>
      <c r="F9109" t="s">
        <v>31362</v>
      </c>
      <c r="G9109" t="s">
        <v>31369</v>
      </c>
      <c r="H9109" t="s">
        <v>31378</v>
      </c>
      <c r="I9109" t="s">
        <v>31386</v>
      </c>
      <c r="J9109" t="s">
        <v>37082</v>
      </c>
      <c r="K9109" t="s">
        <v>40665</v>
      </c>
      <c r="M9109" t="s">
        <v>43837</v>
      </c>
      <c r="N9109" t="s">
        <v>44905</v>
      </c>
      <c r="O9109" t="s">
        <v>44906</v>
      </c>
      <c r="P9109">
        <v>0</v>
      </c>
      <c r="Q9109">
        <v>0</v>
      </c>
      <c r="R9109" t="s">
        <v>44912</v>
      </c>
      <c r="S9109" t="s">
        <v>45159</v>
      </c>
      <c r="T9109" t="s">
        <v>46585</v>
      </c>
      <c r="U9109" t="s">
        <v>54272</v>
      </c>
      <c r="W9109" t="s">
        <v>43837</v>
      </c>
      <c r="X9109" t="s">
        <v>44913</v>
      </c>
    </row>
    <row r="9110" spans="1:24">
      <c r="A9110">
        <f>HYPERLINK("https://www.philgeps.gov.ph/GEPSNONPILOT/Tender/SplashBidNoticeAbstractUI.aspx?menuIndex=3&amp;refID=7072582&amp;Result=3","7072582")</f>
        <v>0</v>
      </c>
      <c r="B9110" t="s">
        <v>2653</v>
      </c>
      <c r="C9110" t="s">
        <v>3839</v>
      </c>
      <c r="D9110" t="s">
        <v>18102</v>
      </c>
      <c r="E9110" t="s">
        <v>26127</v>
      </c>
      <c r="F9110" t="s">
        <v>31362</v>
      </c>
      <c r="G9110" t="s">
        <v>31369</v>
      </c>
      <c r="H9110" t="s">
        <v>15799</v>
      </c>
      <c r="I9110" t="s">
        <v>31385</v>
      </c>
      <c r="J9110" t="s">
        <v>37083</v>
      </c>
      <c r="K9110" t="s">
        <v>40666</v>
      </c>
      <c r="M9110" t="s">
        <v>43836</v>
      </c>
      <c r="N9110" t="s">
        <v>44905</v>
      </c>
      <c r="O9110" t="s">
        <v>44906</v>
      </c>
      <c r="P9110">
        <v>0</v>
      </c>
      <c r="Q9110">
        <v>3</v>
      </c>
      <c r="R9110" t="s">
        <v>44912</v>
      </c>
      <c r="S9110" t="s">
        <v>45159</v>
      </c>
      <c r="T9110" t="s">
        <v>46414</v>
      </c>
      <c r="U9110" t="s">
        <v>54268</v>
      </c>
      <c r="W9110" t="s">
        <v>43836</v>
      </c>
      <c r="X9110" t="s">
        <v>44913</v>
      </c>
    </row>
    <row r="9111" spans="1:24">
      <c r="A9111">
        <f>HYPERLINK("https://www.philgeps.gov.ph/GEPSNONPILOT/Tender/SplashBidNoticeAbstractUI.aspx?menuIndex=3&amp;refID=7072763&amp;Result=3","7072763")</f>
        <v>0</v>
      </c>
      <c r="B9111" t="s">
        <v>2654</v>
      </c>
      <c r="C9111" t="s">
        <v>12200</v>
      </c>
      <c r="E9111" t="s">
        <v>26128</v>
      </c>
      <c r="F9111" t="s">
        <v>31362</v>
      </c>
      <c r="G9111" t="s">
        <v>31369</v>
      </c>
      <c r="H9111" t="s">
        <v>31378</v>
      </c>
      <c r="I9111" t="s">
        <v>31386</v>
      </c>
      <c r="J9111" t="s">
        <v>37084</v>
      </c>
      <c r="K9111" t="s">
        <v>40665</v>
      </c>
      <c r="M9111" t="s">
        <v>43837</v>
      </c>
      <c r="N9111" t="s">
        <v>44905</v>
      </c>
      <c r="O9111" t="s">
        <v>44906</v>
      </c>
      <c r="P9111">
        <v>0</v>
      </c>
      <c r="Q9111">
        <v>0</v>
      </c>
      <c r="R9111" t="s">
        <v>44912</v>
      </c>
      <c r="S9111" t="s">
        <v>45159</v>
      </c>
      <c r="T9111" t="s">
        <v>46585</v>
      </c>
      <c r="U9111" t="s">
        <v>54273</v>
      </c>
      <c r="W9111" t="s">
        <v>43837</v>
      </c>
      <c r="X9111" t="s">
        <v>44913</v>
      </c>
    </row>
    <row r="9112" spans="1:24">
      <c r="A9112">
        <f>HYPERLINK("https://www.philgeps.gov.ph/GEPSNONPILOT/Tender/SplashBidNoticeAbstractUI.aspx?menuIndex=3&amp;refID=7072545&amp;Result=3","7072545")</f>
        <v>0</v>
      </c>
      <c r="B9112" t="s">
        <v>707</v>
      </c>
      <c r="C9112" t="s">
        <v>12201</v>
      </c>
      <c r="D9112" t="s">
        <v>18114</v>
      </c>
      <c r="E9112" t="s">
        <v>26129</v>
      </c>
      <c r="F9112" t="s">
        <v>31362</v>
      </c>
      <c r="G9112" t="s">
        <v>31369</v>
      </c>
      <c r="H9112" t="s">
        <v>31378</v>
      </c>
      <c r="I9112" t="s">
        <v>31386</v>
      </c>
      <c r="J9112" t="s">
        <v>33300</v>
      </c>
      <c r="K9112" t="s">
        <v>40662</v>
      </c>
      <c r="M9112" t="s">
        <v>41672</v>
      </c>
      <c r="N9112" t="s">
        <v>44905</v>
      </c>
      <c r="O9112" t="s">
        <v>44906</v>
      </c>
      <c r="P9112">
        <v>0</v>
      </c>
      <c r="Q9112">
        <v>3</v>
      </c>
      <c r="R9112" t="s">
        <v>44912</v>
      </c>
      <c r="S9112" t="s">
        <v>45159</v>
      </c>
      <c r="T9112" t="s">
        <v>46504</v>
      </c>
      <c r="U9112" t="s">
        <v>54274</v>
      </c>
      <c r="W9112" t="s">
        <v>41672</v>
      </c>
      <c r="X9112" t="s">
        <v>44913</v>
      </c>
    </row>
    <row r="9113" spans="1:24">
      <c r="A9113">
        <f>HYPERLINK("https://www.philgeps.gov.ph/GEPSNONPILOT/Tender/SplashBidNoticeAbstractUI.aspx?menuIndex=3&amp;refID=7072751&amp;Result=3","7072751")</f>
        <v>0</v>
      </c>
      <c r="B9113" t="s">
        <v>1678</v>
      </c>
      <c r="C9113" t="s">
        <v>12202</v>
      </c>
      <c r="D9113" t="s">
        <v>18109</v>
      </c>
      <c r="E9113" t="s">
        <v>19942</v>
      </c>
      <c r="F9113" t="s">
        <v>31362</v>
      </c>
      <c r="G9113" t="s">
        <v>31369</v>
      </c>
      <c r="H9113" t="s">
        <v>31378</v>
      </c>
      <c r="I9113" t="s">
        <v>31386</v>
      </c>
      <c r="J9113" t="s">
        <v>37085</v>
      </c>
      <c r="K9113" t="s">
        <v>40665</v>
      </c>
      <c r="M9113" t="s">
        <v>42743</v>
      </c>
      <c r="N9113" t="s">
        <v>44905</v>
      </c>
      <c r="O9113" t="s">
        <v>44906</v>
      </c>
      <c r="P9113">
        <v>0</v>
      </c>
      <c r="Q9113">
        <v>0</v>
      </c>
      <c r="R9113" t="s">
        <v>44912</v>
      </c>
      <c r="S9113" t="s">
        <v>45159</v>
      </c>
      <c r="T9113" t="s">
        <v>46410</v>
      </c>
      <c r="U9113" t="s">
        <v>54275</v>
      </c>
      <c r="W9113" t="s">
        <v>42743</v>
      </c>
      <c r="X9113" t="s">
        <v>44913</v>
      </c>
    </row>
    <row r="9114" spans="1:24">
      <c r="A9114">
        <f>HYPERLINK("https://www.philgeps.gov.ph/GEPSNONPILOT/Tender/SplashBidNoticeAbstractUI.aspx?menuIndex=3&amp;refID=7072749&amp;Result=3","7072749")</f>
        <v>0</v>
      </c>
      <c r="B9114" t="s">
        <v>284</v>
      </c>
      <c r="C9114" t="s">
        <v>12203</v>
      </c>
      <c r="D9114" t="s">
        <v>18114</v>
      </c>
      <c r="E9114" t="s">
        <v>26130</v>
      </c>
      <c r="F9114" t="s">
        <v>31362</v>
      </c>
      <c r="G9114" t="s">
        <v>31369</v>
      </c>
      <c r="H9114" t="s">
        <v>15799</v>
      </c>
      <c r="I9114" t="s">
        <v>31449</v>
      </c>
      <c r="J9114" t="s">
        <v>37086</v>
      </c>
      <c r="K9114" t="s">
        <v>40676</v>
      </c>
      <c r="M9114" t="s">
        <v>43838</v>
      </c>
      <c r="N9114" t="s">
        <v>44905</v>
      </c>
      <c r="O9114" t="s">
        <v>44906</v>
      </c>
      <c r="P9114">
        <v>0</v>
      </c>
      <c r="Q9114">
        <v>1</v>
      </c>
      <c r="R9114" t="s">
        <v>44912</v>
      </c>
      <c r="S9114" t="s">
        <v>45159</v>
      </c>
      <c r="T9114" t="s">
        <v>46411</v>
      </c>
      <c r="U9114" t="s">
        <v>54276</v>
      </c>
      <c r="V9114" t="s">
        <v>59987</v>
      </c>
      <c r="W9114" t="s">
        <v>43838</v>
      </c>
      <c r="X9114" t="s">
        <v>44913</v>
      </c>
    </row>
    <row r="9115" spans="1:24">
      <c r="A9115">
        <f>HYPERLINK("https://www.philgeps.gov.ph/GEPSNONPILOT/Tender/SplashBidNoticeAbstractUI.aspx?menuIndex=3&amp;refID=7072741&amp;Result=3","7072741")</f>
        <v>0</v>
      </c>
      <c r="B9115" t="s">
        <v>2654</v>
      </c>
      <c r="C9115" t="s">
        <v>12204</v>
      </c>
      <c r="E9115" t="s">
        <v>26131</v>
      </c>
      <c r="F9115" t="s">
        <v>31362</v>
      </c>
      <c r="G9115" t="s">
        <v>31369</v>
      </c>
      <c r="H9115" t="s">
        <v>31378</v>
      </c>
      <c r="I9115" t="s">
        <v>31386</v>
      </c>
      <c r="J9115" t="s">
        <v>37087</v>
      </c>
      <c r="K9115" t="s">
        <v>40665</v>
      </c>
      <c r="M9115" t="s">
        <v>43837</v>
      </c>
      <c r="N9115" t="s">
        <v>44905</v>
      </c>
      <c r="O9115" t="s">
        <v>44906</v>
      </c>
      <c r="P9115">
        <v>0</v>
      </c>
      <c r="Q9115">
        <v>0</v>
      </c>
      <c r="R9115" t="s">
        <v>44912</v>
      </c>
      <c r="S9115" t="s">
        <v>45159</v>
      </c>
      <c r="T9115" t="s">
        <v>46585</v>
      </c>
      <c r="U9115" t="s">
        <v>54277</v>
      </c>
      <c r="W9115" t="s">
        <v>43837</v>
      </c>
      <c r="X9115" t="s">
        <v>44913</v>
      </c>
    </row>
    <row r="9116" spans="1:24">
      <c r="A9116">
        <f>HYPERLINK("https://www.philgeps.gov.ph/GEPSNONPILOT/Tender/SplashBidNoticeAbstractUI.aspx?menuIndex=3&amp;refID=7072739&amp;Result=3","7072739")</f>
        <v>0</v>
      </c>
      <c r="B9116" t="s">
        <v>2655</v>
      </c>
      <c r="C9116" t="s">
        <v>12205</v>
      </c>
      <c r="D9116" t="s">
        <v>18163</v>
      </c>
      <c r="E9116" t="s">
        <v>26132</v>
      </c>
      <c r="F9116" t="s">
        <v>31362</v>
      </c>
      <c r="G9116" t="s">
        <v>31369</v>
      </c>
      <c r="H9116" t="s">
        <v>31378</v>
      </c>
      <c r="I9116" t="s">
        <v>31386</v>
      </c>
      <c r="J9116" t="s">
        <v>37088</v>
      </c>
      <c r="K9116" t="s">
        <v>40683</v>
      </c>
      <c r="L9116" t="s">
        <v>2655</v>
      </c>
      <c r="M9116" t="s">
        <v>43839</v>
      </c>
      <c r="N9116" t="s">
        <v>44905</v>
      </c>
      <c r="O9116" t="s">
        <v>44906</v>
      </c>
      <c r="P9116">
        <v>0</v>
      </c>
      <c r="Q9116">
        <v>1</v>
      </c>
      <c r="R9116" t="s">
        <v>44912</v>
      </c>
      <c r="S9116" t="s">
        <v>45159</v>
      </c>
      <c r="T9116" t="s">
        <v>46620</v>
      </c>
      <c r="U9116" t="s">
        <v>54278</v>
      </c>
      <c r="W9116" t="s">
        <v>43839</v>
      </c>
      <c r="X9116" t="s">
        <v>44913</v>
      </c>
    </row>
    <row r="9117" spans="1:24">
      <c r="A9117">
        <f>HYPERLINK("https://www.philgeps.gov.ph/GEPSNONPILOT/Tender/SplashBidNoticeAbstractUI.aspx?menuIndex=3&amp;refID=7072761&amp;Result=3","7072761")</f>
        <v>0</v>
      </c>
      <c r="B9117" t="s">
        <v>2654</v>
      </c>
      <c r="C9117" t="s">
        <v>12206</v>
      </c>
      <c r="E9117" t="s">
        <v>26133</v>
      </c>
      <c r="F9117" t="s">
        <v>31362</v>
      </c>
      <c r="G9117" t="s">
        <v>31369</v>
      </c>
      <c r="H9117" t="s">
        <v>31378</v>
      </c>
      <c r="I9117" t="s">
        <v>31386</v>
      </c>
      <c r="J9117" t="s">
        <v>37089</v>
      </c>
      <c r="K9117" t="s">
        <v>40665</v>
      </c>
      <c r="M9117" t="s">
        <v>43837</v>
      </c>
      <c r="N9117" t="s">
        <v>44905</v>
      </c>
      <c r="O9117" t="s">
        <v>44906</v>
      </c>
      <c r="P9117">
        <v>0</v>
      </c>
      <c r="Q9117">
        <v>0</v>
      </c>
      <c r="R9117" t="s">
        <v>44912</v>
      </c>
      <c r="S9117" t="s">
        <v>45159</v>
      </c>
      <c r="T9117" t="s">
        <v>46585</v>
      </c>
      <c r="U9117" t="s">
        <v>54279</v>
      </c>
      <c r="W9117" t="s">
        <v>43837</v>
      </c>
      <c r="X9117" t="s">
        <v>44913</v>
      </c>
    </row>
    <row r="9118" spans="1:24">
      <c r="A9118">
        <f>HYPERLINK("https://www.philgeps.gov.ph/GEPSNONPILOT/Tender/SplashBidNoticeAbstractUI.aspx?menuIndex=3&amp;refID=7072734&amp;Result=3","7072734")</f>
        <v>0</v>
      </c>
      <c r="B9118" t="s">
        <v>2656</v>
      </c>
      <c r="C9118" t="s">
        <v>12207</v>
      </c>
      <c r="D9118" t="s">
        <v>18109</v>
      </c>
      <c r="E9118" t="s">
        <v>26134</v>
      </c>
      <c r="F9118" t="s">
        <v>31362</v>
      </c>
      <c r="G9118" t="s">
        <v>31369</v>
      </c>
      <c r="H9118" t="s">
        <v>31378</v>
      </c>
      <c r="I9118" t="s">
        <v>31386</v>
      </c>
      <c r="J9118" t="s">
        <v>37090</v>
      </c>
      <c r="K9118" t="s">
        <v>40725</v>
      </c>
      <c r="M9118" t="s">
        <v>43840</v>
      </c>
      <c r="N9118" t="s">
        <v>44905</v>
      </c>
      <c r="O9118" t="s">
        <v>44906</v>
      </c>
      <c r="P9118">
        <v>0</v>
      </c>
      <c r="Q9118">
        <v>0</v>
      </c>
      <c r="R9118" t="s">
        <v>44912</v>
      </c>
      <c r="S9118" t="s">
        <v>45159</v>
      </c>
      <c r="T9118" t="s">
        <v>46416</v>
      </c>
      <c r="U9118" t="s">
        <v>54280</v>
      </c>
      <c r="W9118" t="s">
        <v>43840</v>
      </c>
      <c r="X9118" t="s">
        <v>44913</v>
      </c>
    </row>
    <row r="9119" spans="1:24">
      <c r="A9119">
        <f>HYPERLINK("https://www.philgeps.gov.ph/GEPSNONPILOT/Tender/SplashBidNoticeAbstractUI.aspx?menuIndex=3&amp;refID=7072753&amp;Result=3","7072753")</f>
        <v>0</v>
      </c>
      <c r="B9119" t="s">
        <v>2654</v>
      </c>
      <c r="C9119" t="s">
        <v>12208</v>
      </c>
      <c r="E9119" t="s">
        <v>26135</v>
      </c>
      <c r="F9119" t="s">
        <v>31362</v>
      </c>
      <c r="G9119" t="s">
        <v>31369</v>
      </c>
      <c r="H9119" t="s">
        <v>31378</v>
      </c>
      <c r="I9119" t="s">
        <v>31386</v>
      </c>
      <c r="J9119" t="s">
        <v>37091</v>
      </c>
      <c r="K9119" t="s">
        <v>40665</v>
      </c>
      <c r="M9119" t="s">
        <v>43837</v>
      </c>
      <c r="N9119" t="s">
        <v>44905</v>
      </c>
      <c r="O9119" t="s">
        <v>44906</v>
      </c>
      <c r="P9119">
        <v>0</v>
      </c>
      <c r="Q9119">
        <v>0</v>
      </c>
      <c r="R9119" t="s">
        <v>44912</v>
      </c>
      <c r="S9119" t="s">
        <v>45159</v>
      </c>
      <c r="T9119" t="s">
        <v>46585</v>
      </c>
      <c r="U9119" t="s">
        <v>54281</v>
      </c>
      <c r="W9119" t="s">
        <v>43837</v>
      </c>
      <c r="X9119" t="s">
        <v>44913</v>
      </c>
    </row>
    <row r="9120" spans="1:24">
      <c r="A9120">
        <f>HYPERLINK("https://www.philgeps.gov.ph/GEPSNONPILOT/Tender/SplashBidNoticeAbstractUI.aspx?menuIndex=3&amp;refID=7072732&amp;Result=3","7072732")</f>
        <v>0</v>
      </c>
      <c r="B9120" t="s">
        <v>2654</v>
      </c>
      <c r="C9120" t="s">
        <v>12209</v>
      </c>
      <c r="E9120" t="s">
        <v>26136</v>
      </c>
      <c r="F9120" t="s">
        <v>31362</v>
      </c>
      <c r="G9120" t="s">
        <v>31369</v>
      </c>
      <c r="H9120" t="s">
        <v>31378</v>
      </c>
      <c r="I9120" t="s">
        <v>31386</v>
      </c>
      <c r="J9120" t="s">
        <v>37092</v>
      </c>
      <c r="K9120" t="s">
        <v>40682</v>
      </c>
      <c r="M9120" t="s">
        <v>43837</v>
      </c>
      <c r="N9120" t="s">
        <v>44905</v>
      </c>
      <c r="O9120" t="s">
        <v>44906</v>
      </c>
      <c r="P9120">
        <v>0</v>
      </c>
      <c r="Q9120">
        <v>0</v>
      </c>
      <c r="R9120" t="s">
        <v>44912</v>
      </c>
      <c r="S9120" t="s">
        <v>45159</v>
      </c>
      <c r="T9120" t="s">
        <v>46585</v>
      </c>
      <c r="U9120" t="s">
        <v>54282</v>
      </c>
      <c r="W9120" t="s">
        <v>43837</v>
      </c>
      <c r="X9120" t="s">
        <v>44913</v>
      </c>
    </row>
    <row r="9121" spans="1:24">
      <c r="A9121">
        <f>HYPERLINK("https://www.philgeps.gov.ph/GEPSNONPILOT/Tender/SplashBidNoticeAbstractUI.aspx?menuIndex=3&amp;refID=7072727&amp;Result=3","7072727")</f>
        <v>0</v>
      </c>
      <c r="B9121" t="s">
        <v>838</v>
      </c>
      <c r="C9121" t="s">
        <v>12210</v>
      </c>
      <c r="D9121" t="s">
        <v>18162</v>
      </c>
      <c r="E9121" t="s">
        <v>26137</v>
      </c>
      <c r="F9121" t="s">
        <v>31362</v>
      </c>
      <c r="G9121" t="s">
        <v>31369</v>
      </c>
      <c r="H9121" t="s">
        <v>15799</v>
      </c>
      <c r="I9121" t="s">
        <v>31469</v>
      </c>
      <c r="J9121" t="s">
        <v>37093</v>
      </c>
      <c r="K9121" t="s">
        <v>40662</v>
      </c>
      <c r="M9121" t="s">
        <v>41813</v>
      </c>
      <c r="N9121" t="s">
        <v>44905</v>
      </c>
      <c r="O9121" t="s">
        <v>44906</v>
      </c>
      <c r="P9121">
        <v>0</v>
      </c>
      <c r="Q9121">
        <v>2</v>
      </c>
      <c r="R9121" t="s">
        <v>44912</v>
      </c>
      <c r="S9121" t="s">
        <v>45159</v>
      </c>
      <c r="T9121" t="s">
        <v>46403</v>
      </c>
      <c r="U9121" t="s">
        <v>54283</v>
      </c>
      <c r="W9121" t="s">
        <v>41813</v>
      </c>
      <c r="X9121" t="s">
        <v>44913</v>
      </c>
    </row>
    <row r="9122" spans="1:24">
      <c r="A9122">
        <f>HYPERLINK("https://www.philgeps.gov.ph/GEPSNONPILOT/Tender/SplashBidNoticeAbstractUI.aspx?menuIndex=3&amp;refID=7072791&amp;Result=3","7072791")</f>
        <v>0</v>
      </c>
      <c r="B9122" t="s">
        <v>2657</v>
      </c>
      <c r="C9122" t="s">
        <v>12211</v>
      </c>
      <c r="D9122" t="s">
        <v>18136</v>
      </c>
      <c r="E9122" t="s">
        <v>23643</v>
      </c>
      <c r="F9122" t="s">
        <v>31362</v>
      </c>
      <c r="G9122" t="s">
        <v>31369</v>
      </c>
      <c r="H9122" t="s">
        <v>15799</v>
      </c>
      <c r="I9122" t="s">
        <v>3815</v>
      </c>
      <c r="J9122" t="s">
        <v>31536</v>
      </c>
      <c r="K9122" t="s">
        <v>40665</v>
      </c>
      <c r="M9122" t="s">
        <v>43841</v>
      </c>
      <c r="N9122" t="s">
        <v>44905</v>
      </c>
      <c r="O9122" t="s">
        <v>44906</v>
      </c>
      <c r="P9122">
        <v>0</v>
      </c>
      <c r="Q9122">
        <v>0</v>
      </c>
      <c r="R9122" t="s">
        <v>44912</v>
      </c>
      <c r="S9122" t="s">
        <v>45159</v>
      </c>
      <c r="T9122" t="s">
        <v>46549</v>
      </c>
      <c r="U9122" t="s">
        <v>54284</v>
      </c>
      <c r="W9122" t="s">
        <v>43841</v>
      </c>
      <c r="X9122" t="s">
        <v>44913</v>
      </c>
    </row>
    <row r="9123" spans="1:24">
      <c r="A9123">
        <f>HYPERLINK("https://www.philgeps.gov.ph/GEPSNONPILOT/Tender/SplashBidNoticeAbstractUI.aspx?menuIndex=3&amp;refID=7072770&amp;Result=3","7072770")</f>
        <v>0</v>
      </c>
      <c r="B9123" t="s">
        <v>2654</v>
      </c>
      <c r="C9123" t="s">
        <v>12212</v>
      </c>
      <c r="E9123" t="s">
        <v>26138</v>
      </c>
      <c r="F9123" t="s">
        <v>31362</v>
      </c>
      <c r="G9123" t="s">
        <v>31369</v>
      </c>
      <c r="H9123" t="s">
        <v>31378</v>
      </c>
      <c r="I9123" t="s">
        <v>31386</v>
      </c>
      <c r="J9123" t="s">
        <v>37094</v>
      </c>
      <c r="K9123" t="s">
        <v>40762</v>
      </c>
      <c r="M9123" t="s">
        <v>43837</v>
      </c>
      <c r="N9123" t="s">
        <v>44905</v>
      </c>
      <c r="O9123" t="s">
        <v>44906</v>
      </c>
      <c r="P9123">
        <v>0</v>
      </c>
      <c r="Q9123">
        <v>0</v>
      </c>
      <c r="R9123" t="s">
        <v>44912</v>
      </c>
      <c r="S9123" t="s">
        <v>45159</v>
      </c>
      <c r="T9123" t="s">
        <v>46585</v>
      </c>
      <c r="U9123" t="s">
        <v>54285</v>
      </c>
      <c r="W9123" t="s">
        <v>43837</v>
      </c>
      <c r="X9123" t="s">
        <v>44913</v>
      </c>
    </row>
    <row r="9124" spans="1:24">
      <c r="A9124">
        <f>HYPERLINK("https://www.philgeps.gov.ph/GEPSNONPILOT/Tender/SplashBidNoticeAbstractUI.aspx?menuIndex=3&amp;refID=7072593&amp;Result=3","7072593")</f>
        <v>0</v>
      </c>
      <c r="B9124" t="s">
        <v>2653</v>
      </c>
      <c r="C9124" t="s">
        <v>12213</v>
      </c>
      <c r="D9124" t="s">
        <v>18102</v>
      </c>
      <c r="E9124" t="s">
        <v>26139</v>
      </c>
      <c r="F9124" t="s">
        <v>31362</v>
      </c>
      <c r="G9124" t="s">
        <v>31369</v>
      </c>
      <c r="H9124" t="s">
        <v>15799</v>
      </c>
      <c r="I9124" t="s">
        <v>7188</v>
      </c>
      <c r="J9124" t="s">
        <v>37095</v>
      </c>
      <c r="K9124" t="s">
        <v>40666</v>
      </c>
      <c r="M9124" t="s">
        <v>43836</v>
      </c>
      <c r="N9124" t="s">
        <v>44905</v>
      </c>
      <c r="O9124" t="s">
        <v>44906</v>
      </c>
      <c r="P9124">
        <v>0</v>
      </c>
      <c r="Q9124">
        <v>6</v>
      </c>
      <c r="R9124" t="s">
        <v>44912</v>
      </c>
      <c r="S9124" t="s">
        <v>45159</v>
      </c>
      <c r="T9124" t="s">
        <v>46414</v>
      </c>
      <c r="U9124" t="s">
        <v>54268</v>
      </c>
      <c r="W9124" t="s">
        <v>43836</v>
      </c>
      <c r="X9124" t="s">
        <v>44913</v>
      </c>
    </row>
    <row r="9125" spans="1:24">
      <c r="A9125">
        <f>HYPERLINK("https://www.philgeps.gov.ph/GEPSNONPILOT/Tender/SplashBidNoticeAbstractUI.aspx?menuIndex=3&amp;refID=7069480&amp;Result=3","7069480")</f>
        <v>0</v>
      </c>
      <c r="B9125" t="s">
        <v>2638</v>
      </c>
      <c r="C9125" t="s">
        <v>12214</v>
      </c>
      <c r="E9125" t="s">
        <v>26140</v>
      </c>
      <c r="F9125" t="s">
        <v>31362</v>
      </c>
      <c r="G9125" t="s">
        <v>31369</v>
      </c>
      <c r="H9125" t="s">
        <v>15799</v>
      </c>
      <c r="I9125" t="s">
        <v>6240</v>
      </c>
      <c r="J9125" t="s">
        <v>37096</v>
      </c>
      <c r="K9125" t="s">
        <v>40662</v>
      </c>
      <c r="M9125" t="s">
        <v>43819</v>
      </c>
      <c r="N9125" t="s">
        <v>44905</v>
      </c>
      <c r="O9125" t="s">
        <v>44906</v>
      </c>
      <c r="P9125">
        <v>0</v>
      </c>
      <c r="Q9125">
        <v>0</v>
      </c>
      <c r="R9125" t="s">
        <v>44913</v>
      </c>
      <c r="S9125" t="s">
        <v>45170</v>
      </c>
      <c r="T9125" t="s">
        <v>46434</v>
      </c>
      <c r="U9125" t="s">
        <v>54233</v>
      </c>
      <c r="W9125" t="s">
        <v>43819</v>
      </c>
      <c r="X9125" t="s">
        <v>44915</v>
      </c>
    </row>
    <row r="9126" spans="1:24">
      <c r="A9126">
        <f>HYPERLINK("https://www.philgeps.gov.ph/GEPSNONPILOT/Tender/SplashBidNoticeAbstractUI.aspx?menuIndex=3&amp;refID=7069137&amp;Result=3","7069137")</f>
        <v>0</v>
      </c>
      <c r="B9126" t="s">
        <v>2658</v>
      </c>
      <c r="C9126" t="s">
        <v>12215</v>
      </c>
      <c r="D9126" t="s">
        <v>18100</v>
      </c>
      <c r="E9126" t="s">
        <v>26141</v>
      </c>
      <c r="F9126" t="s">
        <v>31362</v>
      </c>
      <c r="G9126" t="s">
        <v>31368</v>
      </c>
      <c r="H9126" t="s">
        <v>15799</v>
      </c>
      <c r="I9126" t="s">
        <v>13635</v>
      </c>
      <c r="J9126" t="s">
        <v>37097</v>
      </c>
      <c r="K9126" t="s">
        <v>40665</v>
      </c>
      <c r="M9126" t="s">
        <v>43842</v>
      </c>
      <c r="N9126" t="s">
        <v>44905</v>
      </c>
      <c r="O9126" t="s">
        <v>44906</v>
      </c>
      <c r="P9126">
        <v>0</v>
      </c>
      <c r="Q9126">
        <v>3</v>
      </c>
      <c r="R9126" t="s">
        <v>44913</v>
      </c>
      <c r="S9126" t="s">
        <v>45170</v>
      </c>
      <c r="T9126" t="s">
        <v>46454</v>
      </c>
      <c r="U9126" t="s">
        <v>54286</v>
      </c>
      <c r="W9126" t="s">
        <v>43842</v>
      </c>
      <c r="X9126" t="s">
        <v>44915</v>
      </c>
    </row>
    <row r="9127" spans="1:24">
      <c r="A9127">
        <f>HYPERLINK("https://www.philgeps.gov.ph/GEPSNONPILOT/Tender/SplashBidNoticeAbstractUI.aspx?menuIndex=3&amp;refID=7068404&amp;Result=3","7068404")</f>
        <v>0</v>
      </c>
      <c r="B9127" t="s">
        <v>2659</v>
      </c>
      <c r="C9127" t="s">
        <v>12216</v>
      </c>
      <c r="D9127" t="s">
        <v>18148</v>
      </c>
      <c r="E9127" t="s">
        <v>26142</v>
      </c>
      <c r="F9127" t="s">
        <v>31362</v>
      </c>
      <c r="G9127" t="s">
        <v>31369</v>
      </c>
      <c r="H9127" t="s">
        <v>15799</v>
      </c>
      <c r="I9127" t="s">
        <v>31422</v>
      </c>
      <c r="J9127" t="s">
        <v>32597</v>
      </c>
      <c r="K9127" t="s">
        <v>40675</v>
      </c>
      <c r="M9127" t="s">
        <v>43843</v>
      </c>
      <c r="N9127" t="s">
        <v>44905</v>
      </c>
      <c r="O9127" t="s">
        <v>44906</v>
      </c>
      <c r="Q9127">
        <v>10</v>
      </c>
      <c r="R9127" t="s">
        <v>44913</v>
      </c>
      <c r="S9127" t="s">
        <v>45171</v>
      </c>
      <c r="T9127" t="s">
        <v>46466</v>
      </c>
      <c r="U9127" t="s">
        <v>54287</v>
      </c>
      <c r="W9127" t="s">
        <v>43843</v>
      </c>
      <c r="X9127" t="s">
        <v>44915</v>
      </c>
    </row>
    <row r="9128" spans="1:24">
      <c r="A9128">
        <f>HYPERLINK("https://www.philgeps.gov.ph/GEPSNONPILOT/Tender/SplashBidNoticeAbstractUI.aspx?menuIndex=3&amp;refID=7068397&amp;Result=3","7068397")</f>
        <v>0</v>
      </c>
      <c r="B9128" t="s">
        <v>2659</v>
      </c>
      <c r="C9128" t="s">
        <v>12217</v>
      </c>
      <c r="D9128" t="s">
        <v>18148</v>
      </c>
      <c r="E9128" t="s">
        <v>26143</v>
      </c>
      <c r="F9128" t="s">
        <v>31362</v>
      </c>
      <c r="G9128" t="s">
        <v>31369</v>
      </c>
      <c r="H9128" t="s">
        <v>15799</v>
      </c>
      <c r="I9128" t="s">
        <v>31393</v>
      </c>
      <c r="J9128" t="s">
        <v>37098</v>
      </c>
      <c r="K9128" t="s">
        <v>40675</v>
      </c>
      <c r="M9128" t="s">
        <v>43843</v>
      </c>
      <c r="N9128" t="s">
        <v>44905</v>
      </c>
      <c r="O9128" t="s">
        <v>44906</v>
      </c>
      <c r="Q9128">
        <v>10</v>
      </c>
      <c r="R9128" t="s">
        <v>44913</v>
      </c>
      <c r="S9128" t="s">
        <v>45172</v>
      </c>
      <c r="T9128" t="s">
        <v>46419</v>
      </c>
      <c r="U9128" t="s">
        <v>54288</v>
      </c>
      <c r="W9128" t="s">
        <v>43843</v>
      </c>
      <c r="X9128" t="s">
        <v>44915</v>
      </c>
    </row>
    <row r="9129" spans="1:24">
      <c r="A9129">
        <f>HYPERLINK("https://www.philgeps.gov.ph/GEPSNONPILOT/Tender/SplashBidNoticeAbstractUI.aspx?menuIndex=3&amp;refID=7068292&amp;Result=3","7068292")</f>
        <v>0</v>
      </c>
      <c r="B9129" t="s">
        <v>2660</v>
      </c>
      <c r="C9129" t="s">
        <v>12218</v>
      </c>
      <c r="D9129" t="s">
        <v>18138</v>
      </c>
      <c r="E9129" t="s">
        <v>24146</v>
      </c>
      <c r="F9129" t="s">
        <v>31362</v>
      </c>
      <c r="G9129" t="s">
        <v>31372</v>
      </c>
      <c r="H9129" t="s">
        <v>15799</v>
      </c>
      <c r="I9129" t="s">
        <v>31445</v>
      </c>
      <c r="J9129" t="s">
        <v>37099</v>
      </c>
      <c r="K9129" t="s">
        <v>40665</v>
      </c>
      <c r="M9129" t="s">
        <v>43844</v>
      </c>
      <c r="N9129" t="s">
        <v>44905</v>
      </c>
      <c r="O9129" t="s">
        <v>44906</v>
      </c>
      <c r="P9129">
        <v>0</v>
      </c>
      <c r="Q9129">
        <v>2</v>
      </c>
      <c r="R9129" t="s">
        <v>44913</v>
      </c>
      <c r="S9129" t="s">
        <v>45170</v>
      </c>
      <c r="T9129" t="s">
        <v>46428</v>
      </c>
      <c r="U9129" t="s">
        <v>54289</v>
      </c>
      <c r="V9129" t="s">
        <v>59988</v>
      </c>
      <c r="W9129" t="s">
        <v>43844</v>
      </c>
      <c r="X9129" t="s">
        <v>44915</v>
      </c>
    </row>
    <row r="9130" spans="1:24">
      <c r="A9130">
        <f>HYPERLINK("https://www.philgeps.gov.ph/GEPSNONPILOT/Tender/SplashBidNoticeAbstractUI.aspx?menuIndex=3&amp;refID=7072722&amp;Result=3","7072722")</f>
        <v>0</v>
      </c>
      <c r="B9130" t="s">
        <v>2661</v>
      </c>
      <c r="C9130" t="s">
        <v>12219</v>
      </c>
      <c r="D9130" t="s">
        <v>18114</v>
      </c>
      <c r="E9130" t="s">
        <v>18217</v>
      </c>
      <c r="F9130" t="s">
        <v>31362</v>
      </c>
      <c r="G9130" t="s">
        <v>31369</v>
      </c>
      <c r="H9130" t="s">
        <v>15799</v>
      </c>
      <c r="I9130" t="s">
        <v>31422</v>
      </c>
      <c r="J9130" t="s">
        <v>32261</v>
      </c>
      <c r="K9130" t="s">
        <v>40665</v>
      </c>
      <c r="M9130" t="s">
        <v>43845</v>
      </c>
      <c r="N9130" t="s">
        <v>44905</v>
      </c>
      <c r="O9130" t="s">
        <v>44906</v>
      </c>
      <c r="P9130">
        <v>0</v>
      </c>
      <c r="Q9130">
        <v>1</v>
      </c>
      <c r="R9130" t="s">
        <v>44912</v>
      </c>
      <c r="S9130" t="s">
        <v>45159</v>
      </c>
      <c r="T9130" t="s">
        <v>46519</v>
      </c>
      <c r="U9130" t="s">
        <v>54290</v>
      </c>
      <c r="W9130" t="s">
        <v>43845</v>
      </c>
      <c r="X9130" t="s">
        <v>44913</v>
      </c>
    </row>
    <row r="9131" spans="1:24">
      <c r="A9131">
        <f>HYPERLINK("https://www.philgeps.gov.ph/GEPSNONPILOT/Tender/SplashBidNoticeAbstractUI.aspx?menuIndex=3&amp;refID=7068063&amp;Result=3","7068063")</f>
        <v>0</v>
      </c>
      <c r="B9131" t="s">
        <v>2662</v>
      </c>
      <c r="C9131" t="s">
        <v>12220</v>
      </c>
      <c r="D9131" t="s">
        <v>18148</v>
      </c>
      <c r="E9131" t="s">
        <v>12220</v>
      </c>
      <c r="F9131" t="s">
        <v>31363</v>
      </c>
      <c r="G9131" t="s">
        <v>31370</v>
      </c>
      <c r="H9131" t="s">
        <v>15799</v>
      </c>
      <c r="I9131" t="s">
        <v>13635</v>
      </c>
      <c r="J9131" t="s">
        <v>31646</v>
      </c>
      <c r="K9131" t="s">
        <v>40666</v>
      </c>
      <c r="M9131" t="s">
        <v>43846</v>
      </c>
      <c r="N9131" t="s">
        <v>44905</v>
      </c>
      <c r="O9131" t="s">
        <v>44906</v>
      </c>
      <c r="P9131">
        <v>0</v>
      </c>
      <c r="Q9131">
        <v>1</v>
      </c>
      <c r="R9131" t="s">
        <v>44913</v>
      </c>
      <c r="S9131" t="s">
        <v>45170</v>
      </c>
      <c r="T9131" t="s">
        <v>46688</v>
      </c>
      <c r="U9131" t="s">
        <v>54291</v>
      </c>
      <c r="W9131" t="s">
        <v>43846</v>
      </c>
      <c r="X9131" t="s">
        <v>44915</v>
      </c>
    </row>
    <row r="9132" spans="1:24">
      <c r="A9132">
        <f>HYPERLINK("https://www.philgeps.gov.ph/GEPSNONPILOT/Tender/SplashBidNoticeAbstractUI.aspx?menuIndex=3&amp;refID=7068030&amp;Result=3","7068030")</f>
        <v>0</v>
      </c>
      <c r="B9132" t="s">
        <v>2662</v>
      </c>
      <c r="C9132" t="s">
        <v>12221</v>
      </c>
      <c r="D9132" t="s">
        <v>18148</v>
      </c>
      <c r="E9132" t="s">
        <v>12221</v>
      </c>
      <c r="F9132" t="s">
        <v>31363</v>
      </c>
      <c r="G9132" t="s">
        <v>31369</v>
      </c>
      <c r="H9132" t="s">
        <v>15799</v>
      </c>
      <c r="I9132" t="s">
        <v>31409</v>
      </c>
      <c r="J9132" t="s">
        <v>31606</v>
      </c>
      <c r="K9132" t="s">
        <v>40666</v>
      </c>
      <c r="M9132" t="s">
        <v>43846</v>
      </c>
      <c r="N9132" t="s">
        <v>44905</v>
      </c>
      <c r="O9132" t="s">
        <v>44906</v>
      </c>
      <c r="P9132">
        <v>0</v>
      </c>
      <c r="Q9132">
        <v>4</v>
      </c>
      <c r="R9132" t="s">
        <v>44913</v>
      </c>
      <c r="S9132" t="s">
        <v>45170</v>
      </c>
      <c r="T9132" t="s">
        <v>46688</v>
      </c>
      <c r="U9132" t="s">
        <v>54292</v>
      </c>
      <c r="W9132" t="s">
        <v>43846</v>
      </c>
      <c r="X9132" t="s">
        <v>44915</v>
      </c>
    </row>
    <row r="9133" spans="1:24">
      <c r="A9133">
        <f>HYPERLINK("https://www.philgeps.gov.ph/GEPSNONPILOT/Tender/SplashBidNoticeAbstractUI.aspx?menuIndex=3&amp;refID=7066043&amp;Result=3","7066043")</f>
        <v>0</v>
      </c>
      <c r="B9133" t="s">
        <v>2663</v>
      </c>
      <c r="C9133" t="s">
        <v>12222</v>
      </c>
      <c r="D9133" t="s">
        <v>18109</v>
      </c>
      <c r="E9133" t="s">
        <v>26144</v>
      </c>
      <c r="F9133" t="s">
        <v>31362</v>
      </c>
      <c r="G9133" t="s">
        <v>31369</v>
      </c>
      <c r="H9133" t="s">
        <v>31379</v>
      </c>
      <c r="I9133" t="s">
        <v>31503</v>
      </c>
      <c r="J9133" t="s">
        <v>37100</v>
      </c>
      <c r="K9133" t="s">
        <v>40675</v>
      </c>
      <c r="M9133" t="s">
        <v>43847</v>
      </c>
      <c r="N9133" t="s">
        <v>44905</v>
      </c>
      <c r="O9133" t="s">
        <v>44906</v>
      </c>
      <c r="Q9133">
        <v>3</v>
      </c>
      <c r="R9133" t="s">
        <v>44913</v>
      </c>
      <c r="S9133" t="s">
        <v>45173</v>
      </c>
      <c r="T9133" t="s">
        <v>46511</v>
      </c>
      <c r="U9133" t="s">
        <v>54293</v>
      </c>
      <c r="V9133" t="s">
        <v>59989</v>
      </c>
      <c r="W9133" t="s">
        <v>43847</v>
      </c>
      <c r="X9133" t="s">
        <v>44916</v>
      </c>
    </row>
    <row r="9134" spans="1:24">
      <c r="A9134">
        <f>HYPERLINK("https://www.philgeps.gov.ph/GEPSNONPILOT/Tender/SplashBidNoticeAbstractUI.aspx?menuIndex=3&amp;refID=7072748&amp;Result=3","7072748")</f>
        <v>0</v>
      </c>
      <c r="B9134" t="s">
        <v>2654</v>
      </c>
      <c r="C9134" t="s">
        <v>12223</v>
      </c>
      <c r="E9134" t="s">
        <v>26145</v>
      </c>
      <c r="F9134" t="s">
        <v>31362</v>
      </c>
      <c r="G9134" t="s">
        <v>31369</v>
      </c>
      <c r="H9134" t="s">
        <v>31378</v>
      </c>
      <c r="I9134" t="s">
        <v>31386</v>
      </c>
      <c r="J9134" t="s">
        <v>37101</v>
      </c>
      <c r="K9134" t="s">
        <v>40665</v>
      </c>
      <c r="M9134" t="s">
        <v>43837</v>
      </c>
      <c r="N9134" t="s">
        <v>44905</v>
      </c>
      <c r="O9134" t="s">
        <v>44906</v>
      </c>
      <c r="P9134">
        <v>0</v>
      </c>
      <c r="Q9134">
        <v>0</v>
      </c>
      <c r="R9134" t="s">
        <v>44912</v>
      </c>
      <c r="S9134" t="s">
        <v>45159</v>
      </c>
      <c r="T9134" t="s">
        <v>46585</v>
      </c>
      <c r="U9134" t="s">
        <v>54294</v>
      </c>
      <c r="W9134" t="s">
        <v>43837</v>
      </c>
      <c r="X9134" t="s">
        <v>44913</v>
      </c>
    </row>
    <row r="9135" spans="1:24">
      <c r="A9135">
        <f>HYPERLINK("https://www.philgeps.gov.ph/GEPSNONPILOT/Tender/SplashBidNoticeAbstractUI.aspx?menuIndex=3&amp;refID=7067557&amp;Result=3","7067557")</f>
        <v>0</v>
      </c>
      <c r="B9135" t="s">
        <v>2664</v>
      </c>
      <c r="C9135" t="s">
        <v>12224</v>
      </c>
      <c r="D9135" t="s">
        <v>18101</v>
      </c>
      <c r="E9135" t="s">
        <v>20617</v>
      </c>
      <c r="F9135" t="s">
        <v>31365</v>
      </c>
      <c r="G9135" t="s">
        <v>31369</v>
      </c>
      <c r="H9135" t="s">
        <v>31378</v>
      </c>
      <c r="I9135" t="s">
        <v>31386</v>
      </c>
      <c r="J9135" t="s">
        <v>37102</v>
      </c>
      <c r="K9135" t="s">
        <v>40681</v>
      </c>
      <c r="M9135" t="s">
        <v>43848</v>
      </c>
      <c r="N9135" t="s">
        <v>44905</v>
      </c>
      <c r="O9135" t="s">
        <v>44906</v>
      </c>
      <c r="P9135">
        <v>0</v>
      </c>
      <c r="Q9135">
        <v>0</v>
      </c>
      <c r="R9135" t="s">
        <v>44913</v>
      </c>
      <c r="S9135" t="s">
        <v>45170</v>
      </c>
      <c r="T9135" t="s">
        <v>46499</v>
      </c>
      <c r="U9135" t="s">
        <v>54295</v>
      </c>
      <c r="W9135" t="s">
        <v>43848</v>
      </c>
      <c r="X9135" t="s">
        <v>44915</v>
      </c>
    </row>
    <row r="9136" spans="1:24">
      <c r="A9136">
        <f>HYPERLINK("https://www.philgeps.gov.ph/GEPSNONPILOT/Tender/SplashBidNoticeAbstractUI.aspx?menuIndex=3&amp;refID=7065030&amp;Result=3","7065030")</f>
        <v>0</v>
      </c>
      <c r="B9136" t="s">
        <v>2665</v>
      </c>
      <c r="C9136" t="s">
        <v>12225</v>
      </c>
      <c r="D9136" t="s">
        <v>18105</v>
      </c>
      <c r="E9136" t="s">
        <v>26146</v>
      </c>
      <c r="F9136" t="s">
        <v>31362</v>
      </c>
      <c r="G9136" t="s">
        <v>31369</v>
      </c>
      <c r="H9136" t="s">
        <v>31378</v>
      </c>
      <c r="I9136" t="s">
        <v>31386</v>
      </c>
      <c r="J9136" t="s">
        <v>31530</v>
      </c>
      <c r="K9136" t="s">
        <v>40667</v>
      </c>
      <c r="M9136" t="s">
        <v>43849</v>
      </c>
      <c r="N9136" t="s">
        <v>44905</v>
      </c>
      <c r="O9136" t="s">
        <v>44906</v>
      </c>
      <c r="P9136">
        <v>0</v>
      </c>
      <c r="Q9136">
        <v>0</v>
      </c>
      <c r="R9136" t="s">
        <v>44913</v>
      </c>
      <c r="S9136" t="s">
        <v>45170</v>
      </c>
      <c r="T9136" t="s">
        <v>46793</v>
      </c>
      <c r="U9136" t="s">
        <v>54296</v>
      </c>
      <c r="W9136" t="s">
        <v>43849</v>
      </c>
      <c r="X9136" t="s">
        <v>44916</v>
      </c>
    </row>
    <row r="9137" spans="1:24">
      <c r="A9137">
        <f>HYPERLINK("https://www.philgeps.gov.ph/GEPSNONPILOT/Tender/SplashBidNoticeAbstractUI.aspx?menuIndex=3&amp;refID=7047734&amp;Result=3","7047734")</f>
        <v>0</v>
      </c>
      <c r="B9137" t="s">
        <v>2666</v>
      </c>
      <c r="C9137" t="s">
        <v>12226</v>
      </c>
      <c r="D9137" t="s">
        <v>18107</v>
      </c>
      <c r="E9137" t="s">
        <v>26147</v>
      </c>
      <c r="F9137" t="s">
        <v>31362</v>
      </c>
      <c r="G9137" t="s">
        <v>31369</v>
      </c>
      <c r="H9137" t="s">
        <v>15799</v>
      </c>
      <c r="I9137" t="s">
        <v>7719</v>
      </c>
      <c r="J9137" t="s">
        <v>31641</v>
      </c>
      <c r="K9137" t="s">
        <v>40665</v>
      </c>
      <c r="M9137" t="s">
        <v>43850</v>
      </c>
      <c r="N9137" t="s">
        <v>44905</v>
      </c>
      <c r="O9137" t="s">
        <v>44906</v>
      </c>
      <c r="P9137">
        <v>0</v>
      </c>
      <c r="Q9137">
        <v>17</v>
      </c>
      <c r="R9137" t="s">
        <v>44913</v>
      </c>
      <c r="S9137" t="s">
        <v>45170</v>
      </c>
      <c r="T9137" t="s">
        <v>46577</v>
      </c>
      <c r="U9137" t="s">
        <v>54297</v>
      </c>
      <c r="V9137" t="s">
        <v>59990</v>
      </c>
      <c r="W9137" t="s">
        <v>43850</v>
      </c>
      <c r="X9137" t="s">
        <v>44924</v>
      </c>
    </row>
    <row r="9138" spans="1:24">
      <c r="A9138">
        <f>HYPERLINK("https://www.philgeps.gov.ph/GEPSNONPILOT/Tender/SplashBidNoticeAbstractUI.aspx?menuIndex=3&amp;refID=7063568&amp;Result=3","7063568")</f>
        <v>0</v>
      </c>
      <c r="B9138" t="s">
        <v>2664</v>
      </c>
      <c r="C9138" t="s">
        <v>6071</v>
      </c>
      <c r="D9138" t="s">
        <v>18101</v>
      </c>
      <c r="E9138" t="s">
        <v>21819</v>
      </c>
      <c r="F9138" t="s">
        <v>31365</v>
      </c>
      <c r="G9138" t="s">
        <v>31369</v>
      </c>
      <c r="H9138" t="s">
        <v>31378</v>
      </c>
      <c r="I9138" t="s">
        <v>31386</v>
      </c>
      <c r="J9138" t="s">
        <v>31531</v>
      </c>
      <c r="K9138" t="s">
        <v>40665</v>
      </c>
      <c r="M9138" t="s">
        <v>43848</v>
      </c>
      <c r="N9138" t="s">
        <v>44905</v>
      </c>
      <c r="O9138" t="s">
        <v>44906</v>
      </c>
      <c r="P9138">
        <v>0</v>
      </c>
      <c r="Q9138">
        <v>0</v>
      </c>
      <c r="R9138" t="s">
        <v>44913</v>
      </c>
      <c r="S9138" t="s">
        <v>45170</v>
      </c>
      <c r="T9138" t="s">
        <v>46499</v>
      </c>
      <c r="U9138" t="s">
        <v>54295</v>
      </c>
      <c r="W9138" t="s">
        <v>43848</v>
      </c>
      <c r="X9138" t="s">
        <v>44917</v>
      </c>
    </row>
    <row r="9139" spans="1:24">
      <c r="A9139">
        <f>HYPERLINK("https://www.philgeps.gov.ph/GEPSNONPILOT/Tender/SplashBidNoticeAbstractUI.aspx?menuIndex=3&amp;refID=7043167-2&amp;Result=3","7043167-2")</f>
        <v>0</v>
      </c>
      <c r="B9139" t="s">
        <v>750</v>
      </c>
      <c r="C9139" t="s">
        <v>12227</v>
      </c>
      <c r="E9139" t="s">
        <v>26148</v>
      </c>
      <c r="F9139" t="s">
        <v>31362</v>
      </c>
      <c r="G9139" t="s">
        <v>31369</v>
      </c>
      <c r="H9139" t="s">
        <v>31377</v>
      </c>
      <c r="I9139" t="s">
        <v>31386</v>
      </c>
      <c r="J9139" t="s">
        <v>31847</v>
      </c>
      <c r="K9139" t="s">
        <v>40662</v>
      </c>
      <c r="M9139" t="s">
        <v>41717</v>
      </c>
      <c r="N9139" t="s">
        <v>44905</v>
      </c>
      <c r="O9139" t="s">
        <v>44906</v>
      </c>
      <c r="P9139">
        <v>0</v>
      </c>
      <c r="Q9139">
        <v>1</v>
      </c>
      <c r="R9139" t="s">
        <v>44913</v>
      </c>
      <c r="S9139" t="s">
        <v>45170</v>
      </c>
      <c r="T9139" t="s">
        <v>46481</v>
      </c>
      <c r="U9139" t="s">
        <v>54298</v>
      </c>
      <c r="V9139" t="s">
        <v>59991</v>
      </c>
      <c r="W9139" t="s">
        <v>44867</v>
      </c>
      <c r="X9139" t="s">
        <v>44914</v>
      </c>
    </row>
    <row r="9140" spans="1:24">
      <c r="A9140">
        <f>HYPERLINK("https://www.philgeps.gov.ph/GEPSNONPILOT/Tender/SplashBidNoticeAbstractUI.aspx?menuIndex=3&amp;refID=7043161-2&amp;Result=3","7043161-2")</f>
        <v>0</v>
      </c>
      <c r="B9140" t="s">
        <v>750</v>
      </c>
      <c r="C9140" t="s">
        <v>12228</v>
      </c>
      <c r="E9140" t="s">
        <v>26149</v>
      </c>
      <c r="F9140" t="s">
        <v>31362</v>
      </c>
      <c r="G9140" t="s">
        <v>31369</v>
      </c>
      <c r="H9140" t="s">
        <v>31377</v>
      </c>
      <c r="I9140" t="s">
        <v>31377</v>
      </c>
      <c r="J9140" t="s">
        <v>36744</v>
      </c>
      <c r="K9140" t="s">
        <v>40662</v>
      </c>
      <c r="M9140" t="s">
        <v>41717</v>
      </c>
      <c r="N9140" t="s">
        <v>44905</v>
      </c>
      <c r="O9140" t="s">
        <v>44906</v>
      </c>
      <c r="P9140">
        <v>0</v>
      </c>
      <c r="Q9140">
        <v>1</v>
      </c>
      <c r="R9140" t="s">
        <v>44913</v>
      </c>
      <c r="S9140" t="s">
        <v>45170</v>
      </c>
      <c r="T9140" t="s">
        <v>46481</v>
      </c>
      <c r="U9140" t="s">
        <v>54298</v>
      </c>
      <c r="V9140" t="s">
        <v>59992</v>
      </c>
      <c r="W9140" t="s">
        <v>44867</v>
      </c>
      <c r="X9140" t="s">
        <v>44914</v>
      </c>
    </row>
    <row r="9141" spans="1:24">
      <c r="A9141">
        <f>HYPERLINK("https://www.philgeps.gov.ph/GEPSNONPILOT/Tender/SplashBidNoticeAbstractUI.aspx?menuIndex=3&amp;refID=6941585-2&amp;Result=3","6941585-2")</f>
        <v>0</v>
      </c>
      <c r="B9141" t="s">
        <v>750</v>
      </c>
      <c r="C9141" t="s">
        <v>12229</v>
      </c>
      <c r="E9141" t="s">
        <v>26150</v>
      </c>
      <c r="F9141" t="s">
        <v>31362</v>
      </c>
      <c r="G9141" t="s">
        <v>31369</v>
      </c>
      <c r="H9141" t="s">
        <v>31377</v>
      </c>
      <c r="I9141" t="s">
        <v>31386</v>
      </c>
      <c r="J9141" t="s">
        <v>37103</v>
      </c>
      <c r="K9141" t="s">
        <v>40662</v>
      </c>
      <c r="M9141" t="s">
        <v>41717</v>
      </c>
      <c r="N9141" t="s">
        <v>44905</v>
      </c>
      <c r="O9141" t="s">
        <v>44906</v>
      </c>
      <c r="P9141">
        <v>0</v>
      </c>
      <c r="Q9141">
        <v>2</v>
      </c>
      <c r="R9141" t="s">
        <v>44913</v>
      </c>
      <c r="S9141" t="s">
        <v>45170</v>
      </c>
      <c r="T9141" t="s">
        <v>46481</v>
      </c>
      <c r="U9141" t="s">
        <v>54299</v>
      </c>
      <c r="V9141" t="s">
        <v>59993</v>
      </c>
      <c r="W9141" t="s">
        <v>44867</v>
      </c>
      <c r="X9141" t="s">
        <v>44914</v>
      </c>
    </row>
    <row r="9142" spans="1:24">
      <c r="A9142">
        <f>HYPERLINK("https://www.philgeps.gov.ph/GEPSNONPILOT/Tender/SplashBidNoticeAbstractUI.aspx?menuIndex=3&amp;refID=7072794&amp;Result=3","7072794")</f>
        <v>0</v>
      </c>
      <c r="B9142" t="s">
        <v>2657</v>
      </c>
      <c r="C9142" t="s">
        <v>12230</v>
      </c>
      <c r="D9142" t="s">
        <v>18136</v>
      </c>
      <c r="E9142" t="s">
        <v>11036</v>
      </c>
      <c r="F9142" t="s">
        <v>31362</v>
      </c>
      <c r="G9142" t="s">
        <v>31369</v>
      </c>
      <c r="H9142" t="s">
        <v>15799</v>
      </c>
      <c r="I9142" t="s">
        <v>3815</v>
      </c>
      <c r="J9142" t="s">
        <v>31536</v>
      </c>
      <c r="K9142" t="s">
        <v>40665</v>
      </c>
      <c r="M9142" t="s">
        <v>43841</v>
      </c>
      <c r="N9142" t="s">
        <v>44905</v>
      </c>
      <c r="O9142" t="s">
        <v>44906</v>
      </c>
      <c r="P9142">
        <v>0</v>
      </c>
      <c r="Q9142">
        <v>0</v>
      </c>
      <c r="R9142" t="s">
        <v>44912</v>
      </c>
      <c r="S9142" t="s">
        <v>45159</v>
      </c>
      <c r="T9142" t="s">
        <v>46549</v>
      </c>
      <c r="U9142" t="s">
        <v>54300</v>
      </c>
      <c r="W9142" t="s">
        <v>43841</v>
      </c>
      <c r="X9142" t="s">
        <v>44913</v>
      </c>
    </row>
    <row r="9143" spans="1:24">
      <c r="A9143">
        <f>HYPERLINK("https://www.philgeps.gov.ph/GEPSNONPILOT/Tender/SplashBidNoticeAbstractUI.aspx?menuIndex=3&amp;refID=7072720&amp;Result=3","7072720")</f>
        <v>0</v>
      </c>
      <c r="B9143" t="s">
        <v>2667</v>
      </c>
      <c r="C9143" t="s">
        <v>12231</v>
      </c>
      <c r="D9143" t="s">
        <v>18128</v>
      </c>
      <c r="E9143" t="s">
        <v>24207</v>
      </c>
      <c r="F9143" t="s">
        <v>31362</v>
      </c>
      <c r="G9143" t="s">
        <v>31369</v>
      </c>
      <c r="H9143" t="s">
        <v>15799</v>
      </c>
      <c r="I9143" t="s">
        <v>3815</v>
      </c>
      <c r="J9143" t="s">
        <v>33427</v>
      </c>
      <c r="K9143" t="s">
        <v>40665</v>
      </c>
      <c r="M9143" t="s">
        <v>43851</v>
      </c>
      <c r="N9143" t="s">
        <v>44905</v>
      </c>
      <c r="O9143" t="s">
        <v>44906</v>
      </c>
      <c r="P9143">
        <v>0</v>
      </c>
      <c r="Q9143">
        <v>0</v>
      </c>
      <c r="R9143" t="s">
        <v>44912</v>
      </c>
      <c r="S9143" t="s">
        <v>45159</v>
      </c>
      <c r="T9143" t="s">
        <v>46509</v>
      </c>
      <c r="U9143" t="s">
        <v>54301</v>
      </c>
      <c r="W9143" t="s">
        <v>43851</v>
      </c>
      <c r="X9143" t="s">
        <v>44913</v>
      </c>
    </row>
    <row r="9144" spans="1:24">
      <c r="A9144">
        <f>HYPERLINK("https://www.philgeps.gov.ph/GEPSNONPILOT/Tender/SplashBidNoticeAbstractUI.aspx?menuIndex=3&amp;refID=7070301&amp;Result=3","7070301")</f>
        <v>0</v>
      </c>
      <c r="B9144" t="s">
        <v>2668</v>
      </c>
      <c r="C9144" t="s">
        <v>12232</v>
      </c>
      <c r="D9144" t="s">
        <v>18177</v>
      </c>
      <c r="E9144" t="s">
        <v>26151</v>
      </c>
      <c r="F9144" t="s">
        <v>31362</v>
      </c>
      <c r="G9144" t="s">
        <v>31369</v>
      </c>
      <c r="H9144" t="s">
        <v>31378</v>
      </c>
      <c r="I9144" t="s">
        <v>31386</v>
      </c>
      <c r="J9144" t="s">
        <v>37006</v>
      </c>
      <c r="K9144" t="s">
        <v>40694</v>
      </c>
      <c r="M9144" t="s">
        <v>43852</v>
      </c>
      <c r="N9144" t="s">
        <v>44905</v>
      </c>
      <c r="O9144" t="s">
        <v>44906</v>
      </c>
      <c r="P9144">
        <v>0</v>
      </c>
      <c r="Q9144">
        <v>0</v>
      </c>
      <c r="R9144" t="s">
        <v>44913</v>
      </c>
      <c r="S9144" t="s">
        <v>45170</v>
      </c>
      <c r="T9144" t="s">
        <v>46618</v>
      </c>
      <c r="U9144" t="s">
        <v>54302</v>
      </c>
      <c r="W9144" t="s">
        <v>43852</v>
      </c>
      <c r="X9144" t="s">
        <v>44914</v>
      </c>
    </row>
    <row r="9145" spans="1:24">
      <c r="A9145">
        <f>HYPERLINK("https://www.philgeps.gov.ph/GEPSNONPILOT/Tender/SplashBidNoticeAbstractUI.aspx?menuIndex=3&amp;refID=7045988-2&amp;Result=3","7045988-2")</f>
        <v>0</v>
      </c>
      <c r="B9145" t="s">
        <v>1213</v>
      </c>
      <c r="C9145" t="s">
        <v>12233</v>
      </c>
      <c r="D9145" t="s">
        <v>18158</v>
      </c>
      <c r="E9145" t="s">
        <v>26152</v>
      </c>
      <c r="F9145" t="s">
        <v>31362</v>
      </c>
      <c r="G9145" t="s">
        <v>31368</v>
      </c>
      <c r="H9145" t="s">
        <v>31377</v>
      </c>
      <c r="I9145" t="s">
        <v>31377</v>
      </c>
      <c r="J9145" t="s">
        <v>36576</v>
      </c>
      <c r="K9145" t="s">
        <v>40712</v>
      </c>
      <c r="M9145" t="s">
        <v>42226</v>
      </c>
      <c r="N9145" t="s">
        <v>44905</v>
      </c>
      <c r="O9145" t="s">
        <v>44906</v>
      </c>
      <c r="P9145">
        <v>0</v>
      </c>
      <c r="Q9145">
        <v>1</v>
      </c>
      <c r="R9145" t="s">
        <v>44913</v>
      </c>
      <c r="S9145" t="s">
        <v>45170</v>
      </c>
      <c r="T9145" t="s">
        <v>46534</v>
      </c>
      <c r="U9145" t="s">
        <v>54303</v>
      </c>
      <c r="W9145" t="s">
        <v>42226</v>
      </c>
      <c r="X9145" t="s">
        <v>44914</v>
      </c>
    </row>
    <row r="9146" spans="1:24">
      <c r="A9146">
        <f>HYPERLINK("https://www.philgeps.gov.ph/GEPSNONPILOT/Tender/SplashBidNoticeAbstractUI.aspx?menuIndex=3&amp;refID=7062864&amp;Result=3","7062864")</f>
        <v>0</v>
      </c>
      <c r="B9146" t="s">
        <v>2663</v>
      </c>
      <c r="C9146" t="s">
        <v>12234</v>
      </c>
      <c r="D9146" t="s">
        <v>18109</v>
      </c>
      <c r="E9146" t="s">
        <v>26153</v>
      </c>
      <c r="F9146" t="s">
        <v>31362</v>
      </c>
      <c r="G9146" t="s">
        <v>31369</v>
      </c>
      <c r="H9146" t="s">
        <v>31379</v>
      </c>
      <c r="I9146" t="s">
        <v>31417</v>
      </c>
      <c r="J9146" t="s">
        <v>37100</v>
      </c>
      <c r="K9146" t="s">
        <v>40675</v>
      </c>
      <c r="M9146" t="s">
        <v>43847</v>
      </c>
      <c r="N9146" t="s">
        <v>44905</v>
      </c>
      <c r="O9146" t="s">
        <v>44906</v>
      </c>
      <c r="Q9146">
        <v>1</v>
      </c>
      <c r="R9146" t="s">
        <v>44913</v>
      </c>
      <c r="S9146" t="s">
        <v>45174</v>
      </c>
      <c r="T9146" t="s">
        <v>46511</v>
      </c>
      <c r="U9146" t="s">
        <v>54304</v>
      </c>
      <c r="V9146" t="s">
        <v>59994</v>
      </c>
      <c r="W9146" t="s">
        <v>43847</v>
      </c>
      <c r="X9146" t="s">
        <v>44917</v>
      </c>
    </row>
    <row r="9147" spans="1:24">
      <c r="A9147">
        <f>HYPERLINK("https://www.philgeps.gov.ph/GEPSNONPILOT/Tender/SplashBidNoticeAbstractUI.aspx?menuIndex=3&amp;refID=7070351&amp;Result=3","7070351")</f>
        <v>0</v>
      </c>
      <c r="B9147" t="s">
        <v>2669</v>
      </c>
      <c r="C9147" t="s">
        <v>12235</v>
      </c>
      <c r="D9147" t="s">
        <v>18152</v>
      </c>
      <c r="E9147" t="s">
        <v>26154</v>
      </c>
      <c r="F9147" t="s">
        <v>31362</v>
      </c>
      <c r="G9147" t="s">
        <v>31369</v>
      </c>
      <c r="H9147" t="s">
        <v>15799</v>
      </c>
      <c r="I9147" t="s">
        <v>31393</v>
      </c>
      <c r="J9147" t="s">
        <v>31727</v>
      </c>
      <c r="K9147" t="s">
        <v>40665</v>
      </c>
      <c r="M9147" t="s">
        <v>43853</v>
      </c>
      <c r="N9147" t="s">
        <v>44905</v>
      </c>
      <c r="O9147" t="s">
        <v>44906</v>
      </c>
      <c r="P9147">
        <v>0</v>
      </c>
      <c r="Q9147">
        <v>0</v>
      </c>
      <c r="R9147" t="s">
        <v>44913</v>
      </c>
      <c r="S9147" t="s">
        <v>45170</v>
      </c>
      <c r="T9147" t="s">
        <v>46403</v>
      </c>
      <c r="U9147" t="s">
        <v>54305</v>
      </c>
      <c r="W9147" t="s">
        <v>43853</v>
      </c>
      <c r="X9147" t="s">
        <v>44914</v>
      </c>
    </row>
    <row r="9148" spans="1:24">
      <c r="A9148">
        <f>HYPERLINK("https://www.philgeps.gov.ph/GEPSNONPILOT/Tender/SplashBidNoticeAbstractUI.aspx?menuIndex=3&amp;refID=7070328&amp;Result=3","7070328")</f>
        <v>0</v>
      </c>
      <c r="B9148" t="s">
        <v>122</v>
      </c>
      <c r="C9148" t="s">
        <v>12236</v>
      </c>
      <c r="D9148" t="s">
        <v>18110</v>
      </c>
      <c r="E9148" t="s">
        <v>26155</v>
      </c>
      <c r="F9148" t="s">
        <v>31362</v>
      </c>
      <c r="G9148" t="s">
        <v>31371</v>
      </c>
      <c r="H9148" t="s">
        <v>15799</v>
      </c>
      <c r="I9148" t="s">
        <v>7090</v>
      </c>
      <c r="J9148" t="s">
        <v>37104</v>
      </c>
      <c r="K9148" t="s">
        <v>40677</v>
      </c>
      <c r="M9148" t="s">
        <v>43854</v>
      </c>
      <c r="N9148" t="s">
        <v>44905</v>
      </c>
      <c r="O9148" t="s">
        <v>44906</v>
      </c>
      <c r="P9148">
        <v>0</v>
      </c>
      <c r="Q9148">
        <v>10</v>
      </c>
      <c r="R9148" t="s">
        <v>44913</v>
      </c>
      <c r="S9148" t="s">
        <v>45170</v>
      </c>
      <c r="T9148" t="s">
        <v>46411</v>
      </c>
      <c r="U9148" t="s">
        <v>54306</v>
      </c>
      <c r="V9148" t="s">
        <v>59995</v>
      </c>
      <c r="W9148" t="s">
        <v>43854</v>
      </c>
      <c r="X9148" t="s">
        <v>44914</v>
      </c>
    </row>
    <row r="9149" spans="1:24">
      <c r="A9149">
        <f>HYPERLINK("https://www.philgeps.gov.ph/GEPSNONPILOT/Tender/SplashBidNoticeAbstractUI.aspx?menuIndex=3&amp;refID=7072479&amp;Result=3","7072479")</f>
        <v>0</v>
      </c>
      <c r="B9149" t="s">
        <v>1991</v>
      </c>
      <c r="C9149" t="s">
        <v>12237</v>
      </c>
      <c r="E9149" t="s">
        <v>26156</v>
      </c>
      <c r="F9149" t="s">
        <v>31362</v>
      </c>
      <c r="G9149" t="s">
        <v>31369</v>
      </c>
      <c r="H9149" t="s">
        <v>31378</v>
      </c>
      <c r="I9149" t="s">
        <v>31386</v>
      </c>
      <c r="J9149" t="s">
        <v>36614</v>
      </c>
      <c r="K9149" t="s">
        <v>40781</v>
      </c>
      <c r="M9149" t="s">
        <v>43829</v>
      </c>
      <c r="N9149" t="s">
        <v>44905</v>
      </c>
      <c r="O9149" t="s">
        <v>44906</v>
      </c>
      <c r="P9149">
        <v>0</v>
      </c>
      <c r="Q9149">
        <v>5</v>
      </c>
      <c r="R9149" t="s">
        <v>44912</v>
      </c>
      <c r="S9149" t="s">
        <v>45159</v>
      </c>
      <c r="T9149" t="s">
        <v>46627</v>
      </c>
      <c r="U9149" t="s">
        <v>54307</v>
      </c>
      <c r="W9149" t="s">
        <v>43829</v>
      </c>
      <c r="X9149" t="s">
        <v>44913</v>
      </c>
    </row>
    <row r="9150" spans="1:24">
      <c r="A9150">
        <f>HYPERLINK("https://www.philgeps.gov.ph/GEPSNONPILOT/Tender/SplashBidNoticeAbstractUI.aspx?menuIndex=3&amp;refID=7072721&amp;Result=3","7072721")</f>
        <v>0</v>
      </c>
      <c r="B9150" t="s">
        <v>838</v>
      </c>
      <c r="C9150" t="s">
        <v>12238</v>
      </c>
      <c r="D9150" t="s">
        <v>18162</v>
      </c>
      <c r="E9150" t="s">
        <v>26157</v>
      </c>
      <c r="F9150" t="s">
        <v>31362</v>
      </c>
      <c r="G9150" t="s">
        <v>31369</v>
      </c>
      <c r="H9150" t="s">
        <v>31378</v>
      </c>
      <c r="I9150" t="s">
        <v>31386</v>
      </c>
      <c r="J9150" t="s">
        <v>31606</v>
      </c>
      <c r="K9150" t="s">
        <v>40662</v>
      </c>
      <c r="M9150" t="s">
        <v>41813</v>
      </c>
      <c r="N9150" t="s">
        <v>44905</v>
      </c>
      <c r="O9150" t="s">
        <v>44906</v>
      </c>
      <c r="P9150">
        <v>0</v>
      </c>
      <c r="Q9150">
        <v>0</v>
      </c>
      <c r="R9150" t="s">
        <v>44912</v>
      </c>
      <c r="S9150" t="s">
        <v>45159</v>
      </c>
      <c r="T9150" t="s">
        <v>46511</v>
      </c>
      <c r="U9150" t="s">
        <v>54308</v>
      </c>
      <c r="W9150" t="s">
        <v>41813</v>
      </c>
      <c r="X9150" t="s">
        <v>44913</v>
      </c>
    </row>
    <row r="9151" spans="1:24">
      <c r="A9151">
        <f>HYPERLINK("https://www.philgeps.gov.ph/GEPSNONPILOT/Tender/SplashBidNoticeAbstractUI.aspx?menuIndex=3&amp;refID=7070322&amp;Result=3","7070322")</f>
        <v>0</v>
      </c>
      <c r="B9151" t="s">
        <v>1297</v>
      </c>
      <c r="C9151" t="s">
        <v>12239</v>
      </c>
      <c r="D9151" t="s">
        <v>18125</v>
      </c>
      <c r="E9151" t="s">
        <v>26158</v>
      </c>
      <c r="F9151" t="s">
        <v>31362</v>
      </c>
      <c r="G9151" t="s">
        <v>31369</v>
      </c>
      <c r="H9151" t="s">
        <v>31378</v>
      </c>
      <c r="I9151" t="s">
        <v>31386</v>
      </c>
      <c r="J9151" t="s">
        <v>31625</v>
      </c>
      <c r="K9151" t="s">
        <v>40682</v>
      </c>
      <c r="M9151" t="s">
        <v>42315</v>
      </c>
      <c r="N9151" t="s">
        <v>44905</v>
      </c>
      <c r="O9151" t="s">
        <v>44906</v>
      </c>
      <c r="Q9151">
        <v>0</v>
      </c>
      <c r="R9151" t="s">
        <v>44913</v>
      </c>
      <c r="S9151" t="s">
        <v>45175</v>
      </c>
      <c r="T9151" t="s">
        <v>46626</v>
      </c>
      <c r="U9151" t="s">
        <v>49768</v>
      </c>
      <c r="W9151" t="s">
        <v>42315</v>
      </c>
      <c r="X9151" t="s">
        <v>44914</v>
      </c>
    </row>
    <row r="9152" spans="1:24">
      <c r="A9152">
        <f>HYPERLINK("https://www.philgeps.gov.ph/GEPSNONPILOT/Tender/SplashBidNoticeAbstractUI.aspx?menuIndex=3&amp;refID=7070302&amp;Result=3","7070302")</f>
        <v>0</v>
      </c>
      <c r="B9152" t="s">
        <v>2668</v>
      </c>
      <c r="C9152" t="s">
        <v>12240</v>
      </c>
      <c r="D9152" t="s">
        <v>18177</v>
      </c>
      <c r="E9152" t="s">
        <v>26159</v>
      </c>
      <c r="F9152" t="s">
        <v>31362</v>
      </c>
      <c r="G9152" t="s">
        <v>31369</v>
      </c>
      <c r="H9152" t="s">
        <v>31378</v>
      </c>
      <c r="I9152" t="s">
        <v>31386</v>
      </c>
      <c r="J9152" t="s">
        <v>32673</v>
      </c>
      <c r="K9152" t="s">
        <v>40686</v>
      </c>
      <c r="M9152" t="s">
        <v>43852</v>
      </c>
      <c r="N9152" t="s">
        <v>44905</v>
      </c>
      <c r="O9152" t="s">
        <v>44906</v>
      </c>
      <c r="P9152">
        <v>0</v>
      </c>
      <c r="Q9152">
        <v>0</v>
      </c>
      <c r="R9152" t="s">
        <v>44913</v>
      </c>
      <c r="S9152" t="s">
        <v>45170</v>
      </c>
      <c r="T9152" t="s">
        <v>46618</v>
      </c>
      <c r="U9152" t="s">
        <v>54302</v>
      </c>
      <c r="W9152" t="s">
        <v>43852</v>
      </c>
      <c r="X9152" t="s">
        <v>44914</v>
      </c>
    </row>
    <row r="9153" spans="1:24">
      <c r="A9153">
        <f>HYPERLINK("https://www.philgeps.gov.ph/GEPSNONPILOT/Tender/SplashBidNoticeAbstractUI.aspx?menuIndex=3&amp;refID=7070353&amp;Result=3","7070353")</f>
        <v>0</v>
      </c>
      <c r="B9153" t="s">
        <v>1297</v>
      </c>
      <c r="C9153" t="s">
        <v>12241</v>
      </c>
      <c r="D9153" t="s">
        <v>18125</v>
      </c>
      <c r="E9153" t="s">
        <v>26160</v>
      </c>
      <c r="F9153" t="s">
        <v>31362</v>
      </c>
      <c r="G9153" t="s">
        <v>31369</v>
      </c>
      <c r="H9153" t="s">
        <v>31378</v>
      </c>
      <c r="I9153" t="s">
        <v>31386</v>
      </c>
      <c r="J9153" t="s">
        <v>37105</v>
      </c>
      <c r="K9153" t="s">
        <v>40682</v>
      </c>
      <c r="M9153" t="s">
        <v>42315</v>
      </c>
      <c r="N9153" t="s">
        <v>44905</v>
      </c>
      <c r="O9153" t="s">
        <v>44906</v>
      </c>
      <c r="P9153">
        <v>0</v>
      </c>
      <c r="Q9153">
        <v>0</v>
      </c>
      <c r="R9153" t="s">
        <v>44913</v>
      </c>
      <c r="S9153" t="s">
        <v>45170</v>
      </c>
      <c r="T9153" t="s">
        <v>46797</v>
      </c>
      <c r="U9153" t="s">
        <v>49768</v>
      </c>
      <c r="W9153" t="s">
        <v>42315</v>
      </c>
      <c r="X9153" t="s">
        <v>44914</v>
      </c>
    </row>
    <row r="9154" spans="1:24">
      <c r="A9154">
        <f>HYPERLINK("https://www.philgeps.gov.ph/GEPSNONPILOT/Tender/SplashBidNoticeAbstractUI.aspx?menuIndex=3&amp;refID=7070291&amp;Result=3","7070291")</f>
        <v>0</v>
      </c>
      <c r="B9154" t="s">
        <v>1937</v>
      </c>
      <c r="C9154" t="s">
        <v>12242</v>
      </c>
      <c r="D9154" t="s">
        <v>18155</v>
      </c>
      <c r="E9154" t="s">
        <v>26161</v>
      </c>
      <c r="F9154" t="s">
        <v>31362</v>
      </c>
      <c r="G9154" t="s">
        <v>31372</v>
      </c>
      <c r="H9154" t="s">
        <v>31378</v>
      </c>
      <c r="I9154" t="s">
        <v>31386</v>
      </c>
      <c r="J9154" t="s">
        <v>37106</v>
      </c>
      <c r="K9154" t="s">
        <v>40679</v>
      </c>
      <c r="M9154" t="s">
        <v>43855</v>
      </c>
      <c r="N9154" t="s">
        <v>44905</v>
      </c>
      <c r="O9154" t="s">
        <v>44906</v>
      </c>
      <c r="P9154">
        <v>0</v>
      </c>
      <c r="Q9154">
        <v>1</v>
      </c>
      <c r="R9154" t="s">
        <v>44913</v>
      </c>
      <c r="S9154" t="s">
        <v>45170</v>
      </c>
      <c r="T9154" t="s">
        <v>46447</v>
      </c>
      <c r="U9154" t="s">
        <v>54309</v>
      </c>
      <c r="W9154" t="s">
        <v>43855</v>
      </c>
      <c r="X9154" t="s">
        <v>44914</v>
      </c>
    </row>
    <row r="9155" spans="1:24">
      <c r="A9155">
        <f>HYPERLINK("https://www.philgeps.gov.ph/GEPSNONPILOT/Tender/SplashBidNoticeAbstractUI.aspx?menuIndex=3&amp;refID=7047990&amp;Result=3","7047990")</f>
        <v>0</v>
      </c>
      <c r="B9155" t="s">
        <v>2666</v>
      </c>
      <c r="C9155" t="s">
        <v>12243</v>
      </c>
      <c r="D9155" t="s">
        <v>18107</v>
      </c>
      <c r="E9155" t="s">
        <v>26162</v>
      </c>
      <c r="F9155" t="s">
        <v>31362</v>
      </c>
      <c r="G9155" t="s">
        <v>31369</v>
      </c>
      <c r="H9155" t="s">
        <v>15799</v>
      </c>
      <c r="I9155" t="s">
        <v>7719</v>
      </c>
      <c r="J9155" t="s">
        <v>32891</v>
      </c>
      <c r="K9155" t="s">
        <v>40665</v>
      </c>
      <c r="M9155" t="s">
        <v>43850</v>
      </c>
      <c r="N9155" t="s">
        <v>44905</v>
      </c>
      <c r="O9155" t="s">
        <v>44906</v>
      </c>
      <c r="P9155">
        <v>0</v>
      </c>
      <c r="Q9155">
        <v>10</v>
      </c>
      <c r="R9155" t="s">
        <v>44913</v>
      </c>
      <c r="S9155" t="s">
        <v>45170</v>
      </c>
      <c r="T9155" t="s">
        <v>46577</v>
      </c>
      <c r="U9155" t="s">
        <v>54310</v>
      </c>
      <c r="V9155" t="s">
        <v>59990</v>
      </c>
      <c r="W9155" t="s">
        <v>43850</v>
      </c>
      <c r="X9155" t="s">
        <v>44924</v>
      </c>
    </row>
    <row r="9156" spans="1:24">
      <c r="A9156">
        <f>HYPERLINK("https://www.philgeps.gov.ph/GEPSNONPILOT/Tender/SplashBidNoticeAbstractUI.aspx?menuIndex=3&amp;refID=7070311&amp;Result=3","7070311")</f>
        <v>0</v>
      </c>
      <c r="B9156" t="s">
        <v>2668</v>
      </c>
      <c r="C9156" t="s">
        <v>12244</v>
      </c>
      <c r="D9156" t="s">
        <v>18177</v>
      </c>
      <c r="E9156" t="s">
        <v>26163</v>
      </c>
      <c r="F9156" t="s">
        <v>31362</v>
      </c>
      <c r="G9156" t="s">
        <v>31369</v>
      </c>
      <c r="H9156" t="s">
        <v>31378</v>
      </c>
      <c r="I9156" t="s">
        <v>31386</v>
      </c>
      <c r="J9156" t="s">
        <v>32673</v>
      </c>
      <c r="K9156" t="s">
        <v>40686</v>
      </c>
      <c r="M9156" t="s">
        <v>43852</v>
      </c>
      <c r="N9156" t="s">
        <v>44905</v>
      </c>
      <c r="O9156" t="s">
        <v>44906</v>
      </c>
      <c r="P9156">
        <v>0</v>
      </c>
      <c r="Q9156">
        <v>0</v>
      </c>
      <c r="R9156" t="s">
        <v>44913</v>
      </c>
      <c r="S9156" t="s">
        <v>45170</v>
      </c>
      <c r="T9156" t="s">
        <v>46618</v>
      </c>
      <c r="U9156" t="s">
        <v>54302</v>
      </c>
      <c r="W9156" t="s">
        <v>43852</v>
      </c>
      <c r="X9156" t="s">
        <v>44914</v>
      </c>
    </row>
    <row r="9157" spans="1:24">
      <c r="A9157">
        <f>HYPERLINK("https://www.philgeps.gov.ph/GEPSNONPILOT/Tender/SplashBidNoticeAbstractUI.aspx?menuIndex=3&amp;refID=7070286&amp;Result=3","7070286")</f>
        <v>0</v>
      </c>
      <c r="B9157" t="s">
        <v>1937</v>
      </c>
      <c r="C9157" t="s">
        <v>12245</v>
      </c>
      <c r="D9157" t="s">
        <v>18155</v>
      </c>
      <c r="E9157" t="s">
        <v>26164</v>
      </c>
      <c r="F9157" t="s">
        <v>31362</v>
      </c>
      <c r="G9157" t="s">
        <v>31369</v>
      </c>
      <c r="H9157" t="s">
        <v>31378</v>
      </c>
      <c r="I9157" t="s">
        <v>31386</v>
      </c>
      <c r="J9157" t="s">
        <v>37107</v>
      </c>
      <c r="K9157" t="s">
        <v>40679</v>
      </c>
      <c r="M9157" t="s">
        <v>43855</v>
      </c>
      <c r="N9157" t="s">
        <v>44905</v>
      </c>
      <c r="O9157" t="s">
        <v>44906</v>
      </c>
      <c r="P9157">
        <v>0</v>
      </c>
      <c r="Q9157">
        <v>0</v>
      </c>
      <c r="R9157" t="s">
        <v>44913</v>
      </c>
      <c r="S9157" t="s">
        <v>45170</v>
      </c>
      <c r="T9157" t="s">
        <v>46392</v>
      </c>
      <c r="U9157" t="s">
        <v>54311</v>
      </c>
      <c r="W9157" t="s">
        <v>43855</v>
      </c>
      <c r="X9157" t="s">
        <v>44914</v>
      </c>
    </row>
    <row r="9158" spans="1:24">
      <c r="A9158">
        <f>HYPERLINK("https://www.philgeps.gov.ph/GEPSNONPILOT/Tender/SplashBidNoticeAbstractUI.aspx?menuIndex=3&amp;refID=7070300&amp;Result=3","7070300")</f>
        <v>0</v>
      </c>
      <c r="B9158" t="s">
        <v>2670</v>
      </c>
      <c r="C9158" t="s">
        <v>12246</v>
      </c>
      <c r="D9158" t="s">
        <v>18131</v>
      </c>
      <c r="E9158" t="s">
        <v>26165</v>
      </c>
      <c r="F9158" t="s">
        <v>31362</v>
      </c>
      <c r="G9158" t="s">
        <v>31369</v>
      </c>
      <c r="H9158" t="s">
        <v>15799</v>
      </c>
      <c r="I9158" t="s">
        <v>31387</v>
      </c>
      <c r="J9158" t="s">
        <v>37108</v>
      </c>
      <c r="K9158" t="s">
        <v>40661</v>
      </c>
      <c r="M9158" t="s">
        <v>43856</v>
      </c>
      <c r="N9158" t="s">
        <v>44905</v>
      </c>
      <c r="O9158" t="s">
        <v>44906</v>
      </c>
      <c r="P9158">
        <v>0</v>
      </c>
      <c r="Q9158">
        <v>1</v>
      </c>
      <c r="R9158" t="s">
        <v>44913</v>
      </c>
      <c r="S9158" t="s">
        <v>45170</v>
      </c>
      <c r="T9158" t="s">
        <v>46409</v>
      </c>
      <c r="U9158" t="s">
        <v>54312</v>
      </c>
      <c r="W9158" t="s">
        <v>43856</v>
      </c>
      <c r="X9158" t="s">
        <v>44914</v>
      </c>
    </row>
    <row r="9159" spans="1:24">
      <c r="A9159">
        <f>HYPERLINK("https://www.philgeps.gov.ph/GEPSNONPILOT/Tender/SplashBidNoticeAbstractUI.aspx?menuIndex=3&amp;refID=7070384&amp;Result=3","7070384")</f>
        <v>0</v>
      </c>
      <c r="B9159" t="s">
        <v>2671</v>
      </c>
      <c r="C9159" t="s">
        <v>12247</v>
      </c>
      <c r="D9159" t="s">
        <v>18139</v>
      </c>
      <c r="E9159" t="s">
        <v>26166</v>
      </c>
      <c r="F9159" t="s">
        <v>31362</v>
      </c>
      <c r="G9159" t="s">
        <v>31369</v>
      </c>
      <c r="H9159" t="s">
        <v>15799</v>
      </c>
      <c r="I9159" t="s">
        <v>31384</v>
      </c>
      <c r="J9159" t="s">
        <v>31855</v>
      </c>
      <c r="K9159" t="s">
        <v>40670</v>
      </c>
      <c r="M9159" t="s">
        <v>43857</v>
      </c>
      <c r="N9159" t="s">
        <v>44905</v>
      </c>
      <c r="O9159" t="s">
        <v>44906</v>
      </c>
      <c r="P9159">
        <v>0</v>
      </c>
      <c r="Q9159">
        <v>0</v>
      </c>
      <c r="R9159" t="s">
        <v>44913</v>
      </c>
      <c r="S9159" t="s">
        <v>45170</v>
      </c>
      <c r="T9159" t="s">
        <v>46409</v>
      </c>
      <c r="U9159" t="s">
        <v>54313</v>
      </c>
      <c r="W9159" t="s">
        <v>43857</v>
      </c>
      <c r="X9159" t="s">
        <v>44914</v>
      </c>
    </row>
    <row r="9160" spans="1:24">
      <c r="A9160">
        <f>HYPERLINK("https://www.philgeps.gov.ph/GEPSNONPILOT/Tender/SplashBidNoticeAbstractUI.aspx?menuIndex=3&amp;refID=7070278&amp;Result=3","7070278")</f>
        <v>0</v>
      </c>
      <c r="B9160" t="s">
        <v>2672</v>
      </c>
      <c r="C9160" t="s">
        <v>12248</v>
      </c>
      <c r="D9160" t="s">
        <v>18116</v>
      </c>
      <c r="E9160" t="s">
        <v>26167</v>
      </c>
      <c r="F9160" t="s">
        <v>31362</v>
      </c>
      <c r="G9160" t="s">
        <v>31369</v>
      </c>
      <c r="H9160" t="s">
        <v>31378</v>
      </c>
      <c r="I9160" t="s">
        <v>31386</v>
      </c>
      <c r="J9160" t="s">
        <v>31765</v>
      </c>
      <c r="K9160" t="s">
        <v>40708</v>
      </c>
      <c r="M9160" t="s">
        <v>43858</v>
      </c>
      <c r="N9160" t="s">
        <v>44905</v>
      </c>
      <c r="O9160" t="s">
        <v>44906</v>
      </c>
      <c r="P9160">
        <v>0</v>
      </c>
      <c r="Q9160">
        <v>0</v>
      </c>
      <c r="R9160" t="s">
        <v>44913</v>
      </c>
      <c r="S9160" t="s">
        <v>45170</v>
      </c>
      <c r="T9160" t="s">
        <v>46411</v>
      </c>
      <c r="U9160" t="s">
        <v>54314</v>
      </c>
      <c r="W9160" t="s">
        <v>43858</v>
      </c>
      <c r="X9160" t="s">
        <v>44914</v>
      </c>
    </row>
    <row r="9161" spans="1:24">
      <c r="A9161">
        <f>HYPERLINK("https://www.philgeps.gov.ph/GEPSNONPILOT/Tender/SplashBidNoticeAbstractUI.aspx?menuIndex=3&amp;refID=7070299&amp;Result=3","7070299")</f>
        <v>0</v>
      </c>
      <c r="B9161" t="s">
        <v>2673</v>
      </c>
      <c r="C9161" t="s">
        <v>12249</v>
      </c>
      <c r="D9161" t="s">
        <v>18127</v>
      </c>
      <c r="E9161" t="s">
        <v>21584</v>
      </c>
      <c r="F9161" t="s">
        <v>31362</v>
      </c>
      <c r="G9161" t="s">
        <v>31369</v>
      </c>
      <c r="H9161" t="s">
        <v>15799</v>
      </c>
      <c r="I9161" t="s">
        <v>3815</v>
      </c>
      <c r="J9161" t="s">
        <v>37109</v>
      </c>
      <c r="K9161" t="s">
        <v>40665</v>
      </c>
      <c r="M9161" t="s">
        <v>43859</v>
      </c>
      <c r="N9161" t="s">
        <v>44905</v>
      </c>
      <c r="O9161" t="s">
        <v>44906</v>
      </c>
      <c r="P9161">
        <v>0</v>
      </c>
      <c r="Q9161">
        <v>1</v>
      </c>
      <c r="R9161" t="s">
        <v>44913</v>
      </c>
      <c r="S9161" t="s">
        <v>45170</v>
      </c>
      <c r="T9161" t="s">
        <v>46799</v>
      </c>
      <c r="U9161" t="s">
        <v>54315</v>
      </c>
      <c r="W9161" t="s">
        <v>43859</v>
      </c>
      <c r="X9161" t="s">
        <v>44914</v>
      </c>
    </row>
    <row r="9162" spans="1:24">
      <c r="A9162">
        <f>HYPERLINK("https://www.philgeps.gov.ph/GEPSNONPILOT/Tender/SplashBidNoticeAbstractUI.aspx?menuIndex=3&amp;refID=7072478&amp;Result=3","7072478")</f>
        <v>0</v>
      </c>
      <c r="B9162" t="s">
        <v>1991</v>
      </c>
      <c r="C9162" t="s">
        <v>12250</v>
      </c>
      <c r="D9162" t="s">
        <v>18112</v>
      </c>
      <c r="E9162" t="s">
        <v>26168</v>
      </c>
      <c r="F9162" t="s">
        <v>31362</v>
      </c>
      <c r="G9162" t="s">
        <v>31369</v>
      </c>
      <c r="H9162" t="s">
        <v>31378</v>
      </c>
      <c r="I9162" t="s">
        <v>31386</v>
      </c>
      <c r="J9162" t="s">
        <v>36614</v>
      </c>
      <c r="K9162" t="s">
        <v>40781</v>
      </c>
      <c r="M9162" t="s">
        <v>43829</v>
      </c>
      <c r="N9162" t="s">
        <v>44905</v>
      </c>
      <c r="O9162" t="s">
        <v>44906</v>
      </c>
      <c r="P9162">
        <v>0</v>
      </c>
      <c r="Q9162">
        <v>5</v>
      </c>
      <c r="R9162" t="s">
        <v>44912</v>
      </c>
      <c r="S9162" t="s">
        <v>45159</v>
      </c>
      <c r="T9162" t="s">
        <v>46433</v>
      </c>
      <c r="U9162" t="s">
        <v>54316</v>
      </c>
      <c r="W9162" t="s">
        <v>43829</v>
      </c>
      <c r="X9162" t="s">
        <v>44913</v>
      </c>
    </row>
    <row r="9163" spans="1:24">
      <c r="A9163">
        <f>HYPERLINK("https://www.philgeps.gov.ph/GEPSNONPILOT/Tender/SplashBidNoticeAbstractUI.aspx?menuIndex=3&amp;refID=7070452&amp;Result=3","7070452")</f>
        <v>0</v>
      </c>
      <c r="B9163" t="s">
        <v>2658</v>
      </c>
      <c r="C9163" t="s">
        <v>12251</v>
      </c>
      <c r="D9163" t="s">
        <v>18100</v>
      </c>
      <c r="E9163" t="s">
        <v>26169</v>
      </c>
      <c r="F9163" t="s">
        <v>31362</v>
      </c>
      <c r="G9163" t="s">
        <v>31369</v>
      </c>
      <c r="H9163" t="s">
        <v>15799</v>
      </c>
      <c r="I9163" t="s">
        <v>31459</v>
      </c>
      <c r="J9163" t="s">
        <v>37110</v>
      </c>
      <c r="K9163" t="s">
        <v>40665</v>
      </c>
      <c r="M9163" t="s">
        <v>43842</v>
      </c>
      <c r="N9163" t="s">
        <v>44905</v>
      </c>
      <c r="O9163" t="s">
        <v>44906</v>
      </c>
      <c r="P9163">
        <v>0</v>
      </c>
      <c r="Q9163">
        <v>3</v>
      </c>
      <c r="R9163" t="s">
        <v>44913</v>
      </c>
      <c r="S9163" t="s">
        <v>45170</v>
      </c>
      <c r="T9163" t="s">
        <v>46465</v>
      </c>
      <c r="U9163" t="s">
        <v>54317</v>
      </c>
      <c r="W9163" t="s">
        <v>43842</v>
      </c>
      <c r="X9163" t="s">
        <v>44914</v>
      </c>
    </row>
    <row r="9164" spans="1:24">
      <c r="A9164">
        <f>HYPERLINK("https://www.philgeps.gov.ph/GEPSNONPILOT/Tender/SplashBidNoticeAbstractUI.aspx?menuIndex=3&amp;refID=7070279&amp;Result=3","7070279")</f>
        <v>0</v>
      </c>
      <c r="B9164" t="s">
        <v>2674</v>
      </c>
      <c r="C9164" t="s">
        <v>12252</v>
      </c>
      <c r="D9164" t="s">
        <v>18133</v>
      </c>
      <c r="E9164" t="s">
        <v>23740</v>
      </c>
      <c r="F9164" t="s">
        <v>31362</v>
      </c>
      <c r="G9164" t="s">
        <v>31369</v>
      </c>
      <c r="H9164" t="s">
        <v>15799</v>
      </c>
      <c r="I9164" t="s">
        <v>31409</v>
      </c>
      <c r="J9164" t="s">
        <v>31577</v>
      </c>
      <c r="K9164" t="s">
        <v>40661</v>
      </c>
      <c r="M9164" t="s">
        <v>43860</v>
      </c>
      <c r="N9164" t="s">
        <v>44905</v>
      </c>
      <c r="O9164" t="s">
        <v>44906</v>
      </c>
      <c r="P9164">
        <v>0</v>
      </c>
      <c r="Q9164">
        <v>2</v>
      </c>
      <c r="R9164" t="s">
        <v>44913</v>
      </c>
      <c r="S9164" t="s">
        <v>45170</v>
      </c>
      <c r="T9164" t="s">
        <v>46672</v>
      </c>
      <c r="U9164" t="s">
        <v>54318</v>
      </c>
      <c r="W9164" t="s">
        <v>43860</v>
      </c>
      <c r="X9164" t="s">
        <v>44914</v>
      </c>
    </row>
    <row r="9165" spans="1:24">
      <c r="A9165">
        <f>HYPERLINK("https://www.philgeps.gov.ph/GEPSNONPILOT/Tender/SplashBidNoticeAbstractUI.aspx?menuIndex=3&amp;refID=7070321&amp;Result=3","7070321")</f>
        <v>0</v>
      </c>
      <c r="B9165" t="s">
        <v>2669</v>
      </c>
      <c r="C9165" t="s">
        <v>12253</v>
      </c>
      <c r="D9165" t="s">
        <v>18152</v>
      </c>
      <c r="E9165" t="s">
        <v>26170</v>
      </c>
      <c r="F9165" t="s">
        <v>31362</v>
      </c>
      <c r="G9165" t="s">
        <v>31368</v>
      </c>
      <c r="H9165" t="s">
        <v>15799</v>
      </c>
      <c r="I9165" t="s">
        <v>3815</v>
      </c>
      <c r="J9165" t="s">
        <v>37111</v>
      </c>
      <c r="K9165" t="s">
        <v>40681</v>
      </c>
      <c r="M9165" t="s">
        <v>43853</v>
      </c>
      <c r="N9165" t="s">
        <v>44905</v>
      </c>
      <c r="O9165" t="s">
        <v>44906</v>
      </c>
      <c r="Q9165">
        <v>0</v>
      </c>
      <c r="R9165" t="s">
        <v>44913</v>
      </c>
      <c r="S9165" t="s">
        <v>45176</v>
      </c>
      <c r="T9165" t="s">
        <v>46432</v>
      </c>
      <c r="U9165" t="s">
        <v>54319</v>
      </c>
      <c r="W9165" t="s">
        <v>43853</v>
      </c>
      <c r="X9165" t="s">
        <v>44914</v>
      </c>
    </row>
    <row r="9166" spans="1:24">
      <c r="A9166">
        <f>HYPERLINK("https://www.philgeps.gov.ph/GEPSNONPILOT/Tender/SplashBidNoticeAbstractUI.aspx?menuIndex=3&amp;refID=7070456&amp;Result=3","7070456")</f>
        <v>0</v>
      </c>
      <c r="B9166" t="s">
        <v>2675</v>
      </c>
      <c r="C9166" t="s">
        <v>12254</v>
      </c>
      <c r="D9166" t="s">
        <v>18124</v>
      </c>
      <c r="E9166" t="s">
        <v>26171</v>
      </c>
      <c r="F9166" t="s">
        <v>31362</v>
      </c>
      <c r="G9166" t="s">
        <v>31369</v>
      </c>
      <c r="H9166" t="s">
        <v>15799</v>
      </c>
      <c r="I9166" t="s">
        <v>4942</v>
      </c>
      <c r="J9166" t="s">
        <v>37112</v>
      </c>
      <c r="K9166" t="s">
        <v>40666</v>
      </c>
      <c r="M9166" t="s">
        <v>43861</v>
      </c>
      <c r="N9166" t="s">
        <v>44905</v>
      </c>
      <c r="O9166" t="s">
        <v>44906</v>
      </c>
      <c r="P9166">
        <v>0</v>
      </c>
      <c r="Q9166">
        <v>0</v>
      </c>
      <c r="R9166" t="s">
        <v>44913</v>
      </c>
      <c r="S9166" t="s">
        <v>45170</v>
      </c>
      <c r="T9166" t="s">
        <v>46478</v>
      </c>
      <c r="U9166" t="s">
        <v>54320</v>
      </c>
      <c r="W9166" t="s">
        <v>43861</v>
      </c>
      <c r="X9166" t="s">
        <v>44914</v>
      </c>
    </row>
    <row r="9167" spans="1:24">
      <c r="A9167">
        <f>HYPERLINK("https://www.philgeps.gov.ph/GEPSNONPILOT/Tender/SplashBidNoticeAbstractUI.aspx?menuIndex=3&amp;refID=7070371&amp;Result=3","7070371")</f>
        <v>0</v>
      </c>
      <c r="B9167" t="s">
        <v>377</v>
      </c>
      <c r="C9167" t="s">
        <v>12255</v>
      </c>
      <c r="D9167" t="s">
        <v>18108</v>
      </c>
      <c r="E9167" t="s">
        <v>26172</v>
      </c>
      <c r="F9167" t="s">
        <v>31362</v>
      </c>
      <c r="G9167" t="s">
        <v>31368</v>
      </c>
      <c r="H9167" t="s">
        <v>15799</v>
      </c>
      <c r="I9167" t="s">
        <v>31422</v>
      </c>
      <c r="J9167" t="s">
        <v>37113</v>
      </c>
      <c r="K9167" t="s">
        <v>40665</v>
      </c>
      <c r="M9167" t="s">
        <v>41324</v>
      </c>
      <c r="N9167" t="s">
        <v>44905</v>
      </c>
      <c r="O9167" t="s">
        <v>44906</v>
      </c>
      <c r="P9167">
        <v>0</v>
      </c>
      <c r="Q9167">
        <v>12</v>
      </c>
      <c r="R9167" t="s">
        <v>44913</v>
      </c>
      <c r="S9167" t="s">
        <v>45170</v>
      </c>
      <c r="T9167" t="s">
        <v>46478</v>
      </c>
      <c r="U9167" t="s">
        <v>54321</v>
      </c>
      <c r="W9167" t="s">
        <v>41324</v>
      </c>
      <c r="X9167" t="s">
        <v>44914</v>
      </c>
    </row>
    <row r="9168" spans="1:24">
      <c r="A9168">
        <f>HYPERLINK("https://www.philgeps.gov.ph/GEPSNONPILOT/Tender/SplashBidNoticeAbstractUI.aspx?menuIndex=3&amp;refID=7070490&amp;Result=3","7070490")</f>
        <v>0</v>
      </c>
      <c r="B9168" t="s">
        <v>1033</v>
      </c>
      <c r="C9168" t="s">
        <v>12256</v>
      </c>
      <c r="D9168" t="s">
        <v>18162</v>
      </c>
      <c r="E9168" t="s">
        <v>26173</v>
      </c>
      <c r="F9168" t="s">
        <v>31362</v>
      </c>
      <c r="G9168" t="s">
        <v>31369</v>
      </c>
      <c r="H9168" t="s">
        <v>15799</v>
      </c>
      <c r="I9168" t="s">
        <v>31431</v>
      </c>
      <c r="J9168" t="s">
        <v>37114</v>
      </c>
      <c r="K9168" t="s">
        <v>40670</v>
      </c>
      <c r="M9168" t="s">
        <v>42032</v>
      </c>
      <c r="N9168" t="s">
        <v>44905</v>
      </c>
      <c r="O9168" t="s">
        <v>44906</v>
      </c>
      <c r="P9168">
        <v>0</v>
      </c>
      <c r="Q9168">
        <v>0</v>
      </c>
      <c r="R9168" t="s">
        <v>44913</v>
      </c>
      <c r="S9168" t="s">
        <v>45170</v>
      </c>
      <c r="T9168" t="s">
        <v>46509</v>
      </c>
      <c r="U9168" t="s">
        <v>54322</v>
      </c>
      <c r="W9168" t="s">
        <v>42032</v>
      </c>
      <c r="X9168" t="s">
        <v>44914</v>
      </c>
    </row>
    <row r="9169" spans="1:24">
      <c r="A9169">
        <f>HYPERLINK("https://www.philgeps.gov.ph/GEPSNONPILOT/Tender/SplashBidNoticeAbstractUI.aspx?menuIndex=3&amp;refID=7070442&amp;Result=3","7070442")</f>
        <v>0</v>
      </c>
      <c r="B9169" t="s">
        <v>1930</v>
      </c>
      <c r="C9169" t="s">
        <v>12257</v>
      </c>
      <c r="D9169" t="s">
        <v>18154</v>
      </c>
      <c r="E9169" t="s">
        <v>26174</v>
      </c>
      <c r="F9169" t="s">
        <v>31363</v>
      </c>
      <c r="G9169" t="s">
        <v>31369</v>
      </c>
      <c r="H9169" t="s">
        <v>15799</v>
      </c>
      <c r="I9169" t="s">
        <v>31399</v>
      </c>
      <c r="J9169" t="s">
        <v>31738</v>
      </c>
      <c r="K9169" t="s">
        <v>40665</v>
      </c>
      <c r="M9169" t="s">
        <v>43030</v>
      </c>
      <c r="N9169" t="s">
        <v>44905</v>
      </c>
      <c r="O9169" t="s">
        <v>44906</v>
      </c>
      <c r="P9169">
        <v>0</v>
      </c>
      <c r="Q9169">
        <v>4</v>
      </c>
      <c r="R9169" t="s">
        <v>44913</v>
      </c>
      <c r="S9169" t="s">
        <v>45170</v>
      </c>
      <c r="T9169" t="s">
        <v>46481</v>
      </c>
      <c r="U9169" t="s">
        <v>54323</v>
      </c>
      <c r="W9169" t="s">
        <v>43030</v>
      </c>
      <c r="X9169" t="s">
        <v>44914</v>
      </c>
    </row>
    <row r="9170" spans="1:24">
      <c r="A9170">
        <f>HYPERLINK("https://www.philgeps.gov.ph/GEPSNONPILOT/Tender/SplashBidNoticeAbstractUI.aspx?menuIndex=3&amp;refID=7070360&amp;Result=3","7070360")</f>
        <v>0</v>
      </c>
      <c r="B9170" t="s">
        <v>1153</v>
      </c>
      <c r="C9170" t="s">
        <v>12258</v>
      </c>
      <c r="D9170" t="s">
        <v>18122</v>
      </c>
      <c r="E9170" t="s">
        <v>26175</v>
      </c>
      <c r="F9170" t="s">
        <v>31362</v>
      </c>
      <c r="G9170" t="s">
        <v>31369</v>
      </c>
      <c r="H9170" t="s">
        <v>15799</v>
      </c>
      <c r="I9170" t="s">
        <v>31404</v>
      </c>
      <c r="J9170" t="s">
        <v>37115</v>
      </c>
      <c r="K9170" t="s">
        <v>40665</v>
      </c>
      <c r="M9170" t="s">
        <v>42162</v>
      </c>
      <c r="N9170" t="s">
        <v>44905</v>
      </c>
      <c r="O9170" t="s">
        <v>44906</v>
      </c>
      <c r="P9170">
        <v>0</v>
      </c>
      <c r="Q9170">
        <v>0</v>
      </c>
      <c r="R9170" t="s">
        <v>44913</v>
      </c>
      <c r="S9170" t="s">
        <v>45170</v>
      </c>
      <c r="T9170" t="s">
        <v>46583</v>
      </c>
      <c r="U9170" t="s">
        <v>54324</v>
      </c>
      <c r="W9170" t="s">
        <v>42162</v>
      </c>
      <c r="X9170" t="s">
        <v>44914</v>
      </c>
    </row>
    <row r="9171" spans="1:24">
      <c r="A9171">
        <f>HYPERLINK("https://www.philgeps.gov.ph/GEPSNONPILOT/Tender/SplashBidNoticeAbstractUI.aspx?menuIndex=3&amp;refID=7070413&amp;Result=3","7070413")</f>
        <v>0</v>
      </c>
      <c r="B9171" t="s">
        <v>450</v>
      </c>
      <c r="C9171" t="s">
        <v>12259</v>
      </c>
      <c r="D9171" t="s">
        <v>18128</v>
      </c>
      <c r="E9171" t="s">
        <v>26176</v>
      </c>
      <c r="F9171" t="s">
        <v>31362</v>
      </c>
      <c r="G9171" t="s">
        <v>31368</v>
      </c>
      <c r="H9171" t="s">
        <v>15799</v>
      </c>
      <c r="I9171" t="s">
        <v>31404</v>
      </c>
      <c r="J9171" t="s">
        <v>37116</v>
      </c>
      <c r="K9171" t="s">
        <v>40665</v>
      </c>
      <c r="M9171" t="s">
        <v>41404</v>
      </c>
      <c r="N9171" t="s">
        <v>44905</v>
      </c>
      <c r="O9171" t="s">
        <v>44906</v>
      </c>
      <c r="P9171">
        <v>0</v>
      </c>
      <c r="Q9171">
        <v>0</v>
      </c>
      <c r="R9171" t="s">
        <v>44913</v>
      </c>
      <c r="S9171" t="s">
        <v>45170</v>
      </c>
      <c r="T9171" t="s">
        <v>46426</v>
      </c>
      <c r="U9171" t="s">
        <v>54325</v>
      </c>
      <c r="V9171" t="s">
        <v>59996</v>
      </c>
      <c r="W9171" t="s">
        <v>41404</v>
      </c>
      <c r="X9171" t="s">
        <v>44914</v>
      </c>
    </row>
    <row r="9172" spans="1:24">
      <c r="A9172">
        <f>HYPERLINK("https://www.philgeps.gov.ph/GEPSNONPILOT/Tender/SplashBidNoticeAbstractUI.aspx?menuIndex=3&amp;refID=7070469&amp;Result=3","7070469")</f>
        <v>0</v>
      </c>
      <c r="B9172" t="s">
        <v>1153</v>
      </c>
      <c r="C9172" t="s">
        <v>12260</v>
      </c>
      <c r="D9172" t="s">
        <v>18122</v>
      </c>
      <c r="E9172" t="s">
        <v>26177</v>
      </c>
      <c r="F9172" t="s">
        <v>31362</v>
      </c>
      <c r="G9172" t="s">
        <v>31369</v>
      </c>
      <c r="H9172" t="s">
        <v>31378</v>
      </c>
      <c r="I9172" t="s">
        <v>31392</v>
      </c>
      <c r="J9172" t="s">
        <v>37117</v>
      </c>
      <c r="K9172" t="s">
        <v>40679</v>
      </c>
      <c r="M9172" t="s">
        <v>42162</v>
      </c>
      <c r="N9172" t="s">
        <v>44905</v>
      </c>
      <c r="O9172" t="s">
        <v>44906</v>
      </c>
      <c r="P9172">
        <v>0</v>
      </c>
      <c r="Q9172">
        <v>5</v>
      </c>
      <c r="R9172" t="s">
        <v>44913</v>
      </c>
      <c r="S9172" t="s">
        <v>45170</v>
      </c>
      <c r="T9172" t="s">
        <v>46591</v>
      </c>
      <c r="U9172" t="s">
        <v>54326</v>
      </c>
      <c r="W9172" t="s">
        <v>42162</v>
      </c>
      <c r="X9172" t="s">
        <v>44914</v>
      </c>
    </row>
    <row r="9173" spans="1:24">
      <c r="A9173">
        <f>HYPERLINK("https://www.philgeps.gov.ph/GEPSNONPILOT/Tender/SplashBidNoticeAbstractUI.aspx?menuIndex=3&amp;refID=7070491&amp;Result=3","7070491")</f>
        <v>0</v>
      </c>
      <c r="B9173" t="s">
        <v>2676</v>
      </c>
      <c r="C9173" t="s">
        <v>12261</v>
      </c>
      <c r="D9173" t="s">
        <v>18170</v>
      </c>
      <c r="E9173" t="s">
        <v>26178</v>
      </c>
      <c r="F9173" t="s">
        <v>31362</v>
      </c>
      <c r="G9173" t="s">
        <v>31369</v>
      </c>
      <c r="H9173" t="s">
        <v>15799</v>
      </c>
      <c r="I9173" t="s">
        <v>31459</v>
      </c>
      <c r="J9173" t="s">
        <v>37118</v>
      </c>
      <c r="K9173" t="s">
        <v>40666</v>
      </c>
      <c r="M9173" t="s">
        <v>43862</v>
      </c>
      <c r="N9173" t="s">
        <v>44905</v>
      </c>
      <c r="O9173" t="s">
        <v>44906</v>
      </c>
      <c r="P9173">
        <v>0</v>
      </c>
      <c r="Q9173">
        <v>2</v>
      </c>
      <c r="R9173" t="s">
        <v>44913</v>
      </c>
      <c r="S9173" t="s">
        <v>45170</v>
      </c>
      <c r="T9173" t="s">
        <v>46464</v>
      </c>
      <c r="U9173" t="s">
        <v>54327</v>
      </c>
      <c r="W9173" t="s">
        <v>43862</v>
      </c>
      <c r="X9173" t="s">
        <v>44914</v>
      </c>
    </row>
    <row r="9174" spans="1:24">
      <c r="A9174">
        <f>HYPERLINK("https://www.philgeps.gov.ph/GEPSNONPILOT/Tender/SplashBidNoticeAbstractUI.aspx?menuIndex=3&amp;refID=7070406&amp;Result=3","7070406")</f>
        <v>0</v>
      </c>
      <c r="B9174" t="s">
        <v>986</v>
      </c>
      <c r="C9174" t="s">
        <v>12262</v>
      </c>
      <c r="D9174" t="s">
        <v>18100</v>
      </c>
      <c r="E9174" t="s">
        <v>26179</v>
      </c>
      <c r="F9174" t="s">
        <v>31363</v>
      </c>
      <c r="G9174" t="s">
        <v>31368</v>
      </c>
      <c r="H9174" t="s">
        <v>31379</v>
      </c>
      <c r="I9174" t="s">
        <v>31488</v>
      </c>
      <c r="J9174" t="s">
        <v>31792</v>
      </c>
      <c r="K9174" t="s">
        <v>40666</v>
      </c>
      <c r="M9174" t="s">
        <v>41980</v>
      </c>
      <c r="N9174" t="s">
        <v>44905</v>
      </c>
      <c r="O9174" t="s">
        <v>44906</v>
      </c>
      <c r="P9174">
        <v>0</v>
      </c>
      <c r="Q9174">
        <v>0</v>
      </c>
      <c r="R9174" t="s">
        <v>44913</v>
      </c>
      <c r="S9174" t="s">
        <v>45170</v>
      </c>
      <c r="T9174" t="s">
        <v>46414</v>
      </c>
      <c r="U9174" t="s">
        <v>54328</v>
      </c>
      <c r="W9174" t="s">
        <v>41980</v>
      </c>
      <c r="X9174" t="s">
        <v>44914</v>
      </c>
    </row>
    <row r="9175" spans="1:24">
      <c r="A9175">
        <f>HYPERLINK("https://www.philgeps.gov.ph/GEPSNONPILOT/Tender/SplashBidNoticeAbstractUI.aspx?menuIndex=3&amp;refID=7070389&amp;Result=3","7070389")</f>
        <v>0</v>
      </c>
      <c r="B9175" t="s">
        <v>466</v>
      </c>
      <c r="C9175" t="s">
        <v>12263</v>
      </c>
      <c r="D9175" t="s">
        <v>18155</v>
      </c>
      <c r="E9175" t="s">
        <v>26180</v>
      </c>
      <c r="F9175" t="s">
        <v>31362</v>
      </c>
      <c r="G9175" t="s">
        <v>31368</v>
      </c>
      <c r="H9175" t="s">
        <v>15799</v>
      </c>
      <c r="I9175" t="s">
        <v>31385</v>
      </c>
      <c r="J9175" t="s">
        <v>37119</v>
      </c>
      <c r="K9175" t="s">
        <v>40666</v>
      </c>
      <c r="M9175" t="s">
        <v>41420</v>
      </c>
      <c r="N9175" t="s">
        <v>44905</v>
      </c>
      <c r="O9175" t="s">
        <v>44906</v>
      </c>
      <c r="P9175">
        <v>0</v>
      </c>
      <c r="Q9175">
        <v>4</v>
      </c>
      <c r="R9175" t="s">
        <v>44913</v>
      </c>
      <c r="S9175" t="s">
        <v>45170</v>
      </c>
      <c r="T9175" t="s">
        <v>46438</v>
      </c>
      <c r="U9175" t="s">
        <v>54329</v>
      </c>
      <c r="W9175" t="s">
        <v>41420</v>
      </c>
      <c r="X9175" t="s">
        <v>44914</v>
      </c>
    </row>
    <row r="9176" spans="1:24">
      <c r="A9176">
        <f>HYPERLINK("https://www.philgeps.gov.ph/GEPSNONPILOT/Tender/SplashBidNoticeAbstractUI.aspx?menuIndex=3&amp;refID=7070407&amp;Result=3","7070407")</f>
        <v>0</v>
      </c>
      <c r="B9176" t="s">
        <v>377</v>
      </c>
      <c r="C9176" t="s">
        <v>12264</v>
      </c>
      <c r="D9176" t="s">
        <v>18108</v>
      </c>
      <c r="E9176" t="s">
        <v>26181</v>
      </c>
      <c r="F9176" t="s">
        <v>31362</v>
      </c>
      <c r="G9176" t="s">
        <v>31368</v>
      </c>
      <c r="H9176" t="s">
        <v>15799</v>
      </c>
      <c r="I9176" t="s">
        <v>31450</v>
      </c>
      <c r="J9176" t="s">
        <v>35169</v>
      </c>
      <c r="K9176" t="s">
        <v>40661</v>
      </c>
      <c r="M9176" t="s">
        <v>41324</v>
      </c>
      <c r="N9176" t="s">
        <v>44905</v>
      </c>
      <c r="O9176" t="s">
        <v>44906</v>
      </c>
      <c r="P9176">
        <v>0</v>
      </c>
      <c r="Q9176">
        <v>1</v>
      </c>
      <c r="R9176" t="s">
        <v>44913</v>
      </c>
      <c r="S9176" t="s">
        <v>45170</v>
      </c>
      <c r="T9176" t="s">
        <v>46478</v>
      </c>
      <c r="U9176" t="s">
        <v>54321</v>
      </c>
      <c r="W9176" t="s">
        <v>41324</v>
      </c>
      <c r="X9176" t="s">
        <v>44914</v>
      </c>
    </row>
    <row r="9177" spans="1:24">
      <c r="A9177">
        <f>HYPERLINK("https://www.philgeps.gov.ph/GEPSNONPILOT/Tender/SplashBidNoticeAbstractUI.aspx?menuIndex=3&amp;refID=7070387&amp;Result=3","7070387")</f>
        <v>0</v>
      </c>
      <c r="B9177" t="s">
        <v>377</v>
      </c>
      <c r="C9177" t="s">
        <v>12265</v>
      </c>
      <c r="D9177" t="s">
        <v>18108</v>
      </c>
      <c r="E9177" t="s">
        <v>26182</v>
      </c>
      <c r="F9177" t="s">
        <v>31362</v>
      </c>
      <c r="G9177" t="s">
        <v>31368</v>
      </c>
      <c r="H9177" t="s">
        <v>15799</v>
      </c>
      <c r="I9177" t="s">
        <v>31450</v>
      </c>
      <c r="J9177" t="s">
        <v>32229</v>
      </c>
      <c r="K9177" t="s">
        <v>40661</v>
      </c>
      <c r="M9177" t="s">
        <v>41324</v>
      </c>
      <c r="N9177" t="s">
        <v>44905</v>
      </c>
      <c r="O9177" t="s">
        <v>44906</v>
      </c>
      <c r="P9177">
        <v>0</v>
      </c>
      <c r="Q9177">
        <v>3</v>
      </c>
      <c r="R9177" t="s">
        <v>44913</v>
      </c>
      <c r="S9177" t="s">
        <v>45170</v>
      </c>
      <c r="T9177" t="s">
        <v>46478</v>
      </c>
      <c r="U9177" t="s">
        <v>54321</v>
      </c>
      <c r="W9177" t="s">
        <v>41324</v>
      </c>
      <c r="X9177" t="s">
        <v>44914</v>
      </c>
    </row>
    <row r="9178" spans="1:24">
      <c r="A9178">
        <f>HYPERLINK("https://www.philgeps.gov.ph/GEPSNONPILOT/Tender/SplashBidNoticeAbstractUI.aspx?menuIndex=3&amp;refID=7070277&amp;Result=3","7070277")</f>
        <v>0</v>
      </c>
      <c r="B9178" t="s">
        <v>2677</v>
      </c>
      <c r="C9178" t="s">
        <v>12252</v>
      </c>
      <c r="D9178" t="s">
        <v>18133</v>
      </c>
      <c r="E9178" t="s">
        <v>23740</v>
      </c>
      <c r="F9178" t="s">
        <v>31362</v>
      </c>
      <c r="G9178" t="s">
        <v>31369</v>
      </c>
      <c r="H9178" t="s">
        <v>15799</v>
      </c>
      <c r="I9178" t="s">
        <v>31409</v>
      </c>
      <c r="J9178" t="s">
        <v>31577</v>
      </c>
      <c r="K9178" t="s">
        <v>40661</v>
      </c>
      <c r="M9178" t="s">
        <v>43863</v>
      </c>
      <c r="N9178" t="s">
        <v>44905</v>
      </c>
      <c r="O9178" t="s">
        <v>44906</v>
      </c>
      <c r="P9178">
        <v>0</v>
      </c>
      <c r="Q9178">
        <v>3</v>
      </c>
      <c r="R9178" t="s">
        <v>44913</v>
      </c>
      <c r="S9178" t="s">
        <v>45170</v>
      </c>
      <c r="T9178" t="s">
        <v>46793</v>
      </c>
      <c r="U9178" t="s">
        <v>54330</v>
      </c>
      <c r="W9178" t="s">
        <v>43863</v>
      </c>
      <c r="X9178" t="s">
        <v>44914</v>
      </c>
    </row>
    <row r="9179" spans="1:24">
      <c r="A9179">
        <f>HYPERLINK("https://www.philgeps.gov.ph/GEPSNONPILOT/Tender/SplashBidNoticeAbstractUI.aspx?menuIndex=3&amp;refID=7070410&amp;Result=3","7070410")</f>
        <v>0</v>
      </c>
      <c r="B9179" t="s">
        <v>2678</v>
      </c>
      <c r="C9179" t="s">
        <v>12266</v>
      </c>
      <c r="E9179" t="s">
        <v>26183</v>
      </c>
      <c r="F9179" t="s">
        <v>31362</v>
      </c>
      <c r="G9179" t="s">
        <v>31369</v>
      </c>
      <c r="H9179" t="s">
        <v>15799</v>
      </c>
      <c r="I9179" t="s">
        <v>3815</v>
      </c>
      <c r="J9179" t="s">
        <v>37120</v>
      </c>
      <c r="K9179" t="s">
        <v>40662</v>
      </c>
      <c r="M9179" t="s">
        <v>43864</v>
      </c>
      <c r="N9179" t="s">
        <v>44905</v>
      </c>
      <c r="O9179" t="s">
        <v>44906</v>
      </c>
      <c r="P9179">
        <v>0</v>
      </c>
      <c r="Q9179">
        <v>1</v>
      </c>
      <c r="R9179" t="s">
        <v>44913</v>
      </c>
      <c r="S9179" t="s">
        <v>45170</v>
      </c>
      <c r="T9179" t="s">
        <v>46479</v>
      </c>
      <c r="U9179" t="s">
        <v>54331</v>
      </c>
      <c r="W9179" t="s">
        <v>43864</v>
      </c>
      <c r="X9179" t="s">
        <v>44914</v>
      </c>
    </row>
    <row r="9180" spans="1:24">
      <c r="A9180">
        <f>HYPERLINK("https://www.philgeps.gov.ph/GEPSNONPILOT/Tender/SplashBidNoticeAbstractUI.aspx?menuIndex=3&amp;refID=7070479&amp;Result=3","7070479")</f>
        <v>0</v>
      </c>
      <c r="B9180" t="s">
        <v>2679</v>
      </c>
      <c r="C9180" t="s">
        <v>12267</v>
      </c>
      <c r="D9180" t="s">
        <v>18120</v>
      </c>
      <c r="E9180" t="s">
        <v>12267</v>
      </c>
      <c r="F9180" t="s">
        <v>31362</v>
      </c>
      <c r="G9180" t="s">
        <v>31368</v>
      </c>
      <c r="H9180" t="s">
        <v>31379</v>
      </c>
      <c r="I9180" t="s">
        <v>31398</v>
      </c>
      <c r="J9180" t="s">
        <v>32105</v>
      </c>
      <c r="K9180" t="s">
        <v>40682</v>
      </c>
      <c r="M9180" t="s">
        <v>43865</v>
      </c>
      <c r="N9180" t="s">
        <v>44905</v>
      </c>
      <c r="O9180" t="s">
        <v>44906</v>
      </c>
      <c r="P9180">
        <v>0</v>
      </c>
      <c r="Q9180">
        <v>1</v>
      </c>
      <c r="R9180" t="s">
        <v>44913</v>
      </c>
      <c r="S9180" t="s">
        <v>45170</v>
      </c>
      <c r="T9180" t="s">
        <v>46432</v>
      </c>
      <c r="U9180" t="s">
        <v>54332</v>
      </c>
      <c r="W9180" t="s">
        <v>43865</v>
      </c>
      <c r="X9180" t="s">
        <v>44914</v>
      </c>
    </row>
    <row r="9181" spans="1:24">
      <c r="A9181">
        <f>HYPERLINK("https://www.philgeps.gov.ph/GEPSNONPILOT/Tender/SplashBidNoticeAbstractUI.aspx?menuIndex=3&amp;refID=7070274&amp;Result=3","7070274")</f>
        <v>0</v>
      </c>
      <c r="B9181" t="s">
        <v>2680</v>
      </c>
      <c r="C9181" t="s">
        <v>12268</v>
      </c>
      <c r="D9181" t="s">
        <v>18147</v>
      </c>
      <c r="E9181" t="s">
        <v>19456</v>
      </c>
      <c r="F9181" t="s">
        <v>31362</v>
      </c>
      <c r="G9181" t="s">
        <v>31369</v>
      </c>
      <c r="H9181" t="s">
        <v>31378</v>
      </c>
      <c r="I9181" t="s">
        <v>31386</v>
      </c>
      <c r="J9181" t="s">
        <v>37121</v>
      </c>
      <c r="K9181" t="s">
        <v>40683</v>
      </c>
      <c r="M9181" t="s">
        <v>43866</v>
      </c>
      <c r="N9181" t="s">
        <v>44905</v>
      </c>
      <c r="O9181" t="s">
        <v>44906</v>
      </c>
      <c r="P9181">
        <v>0</v>
      </c>
      <c r="Q9181">
        <v>0</v>
      </c>
      <c r="R9181" t="s">
        <v>44913</v>
      </c>
      <c r="S9181" t="s">
        <v>45170</v>
      </c>
      <c r="T9181" t="s">
        <v>46479</v>
      </c>
      <c r="U9181" t="s">
        <v>54333</v>
      </c>
      <c r="W9181" t="s">
        <v>43866</v>
      </c>
      <c r="X9181" t="s">
        <v>44914</v>
      </c>
    </row>
    <row r="9182" spans="1:24">
      <c r="A9182">
        <f>HYPERLINK("https://www.philgeps.gov.ph/GEPSNONPILOT/Tender/SplashBidNoticeAbstractUI.aspx?menuIndex=3&amp;refID=7070271&amp;Result=3","7070271")</f>
        <v>0</v>
      </c>
      <c r="B9182" t="s">
        <v>2637</v>
      </c>
      <c r="C9182" t="s">
        <v>12269</v>
      </c>
      <c r="D9182" t="s">
        <v>18109</v>
      </c>
      <c r="E9182" t="s">
        <v>26184</v>
      </c>
      <c r="F9182" t="s">
        <v>31362</v>
      </c>
      <c r="G9182" t="s">
        <v>31369</v>
      </c>
      <c r="H9182" t="s">
        <v>15799</v>
      </c>
      <c r="I9182" t="s">
        <v>31409</v>
      </c>
      <c r="J9182" t="s">
        <v>31734</v>
      </c>
      <c r="K9182" t="s">
        <v>40666</v>
      </c>
      <c r="M9182" t="s">
        <v>43818</v>
      </c>
      <c r="N9182" t="s">
        <v>44905</v>
      </c>
      <c r="O9182" t="s">
        <v>44906</v>
      </c>
      <c r="P9182">
        <v>0</v>
      </c>
      <c r="Q9182">
        <v>2</v>
      </c>
      <c r="R9182" t="s">
        <v>44913</v>
      </c>
      <c r="S9182" t="s">
        <v>45170</v>
      </c>
      <c r="T9182" t="s">
        <v>46524</v>
      </c>
      <c r="U9182" t="s">
        <v>54334</v>
      </c>
      <c r="V9182" t="s">
        <v>59997</v>
      </c>
      <c r="W9182" t="s">
        <v>43818</v>
      </c>
      <c r="X9182" t="s">
        <v>44915</v>
      </c>
    </row>
    <row r="9183" spans="1:24">
      <c r="A9183">
        <f>HYPERLINK("https://www.philgeps.gov.ph/GEPSNONPILOT/Tender/SplashBidNoticeAbstractUI.aspx?menuIndex=3&amp;refID=7072715&amp;Result=3","7072715")</f>
        <v>0</v>
      </c>
      <c r="B9183" t="s">
        <v>2638</v>
      </c>
      <c r="C9183" t="s">
        <v>12270</v>
      </c>
      <c r="E9183" t="s">
        <v>26185</v>
      </c>
      <c r="F9183" t="s">
        <v>31362</v>
      </c>
      <c r="G9183" t="s">
        <v>31369</v>
      </c>
      <c r="H9183" t="s">
        <v>15799</v>
      </c>
      <c r="I9183" t="s">
        <v>31385</v>
      </c>
      <c r="J9183" t="s">
        <v>37122</v>
      </c>
      <c r="K9183" t="s">
        <v>40662</v>
      </c>
      <c r="M9183" t="s">
        <v>43819</v>
      </c>
      <c r="N9183" t="s">
        <v>44905</v>
      </c>
      <c r="O9183" t="s">
        <v>44906</v>
      </c>
      <c r="P9183">
        <v>0</v>
      </c>
      <c r="Q9183">
        <v>0</v>
      </c>
      <c r="R9183" t="s">
        <v>44912</v>
      </c>
      <c r="S9183" t="s">
        <v>45159</v>
      </c>
      <c r="T9183" t="s">
        <v>46434</v>
      </c>
      <c r="U9183" t="s">
        <v>54233</v>
      </c>
      <c r="W9183" t="s">
        <v>43819</v>
      </c>
      <c r="X9183" t="s">
        <v>44913</v>
      </c>
    </row>
    <row r="9184" spans="1:24">
      <c r="A9184">
        <f>HYPERLINK("https://www.philgeps.gov.ph/GEPSNONPILOT/Tender/SplashBidNoticeAbstractUI.aspx?menuIndex=3&amp;refID=7070385&amp;Result=3","7070385")</f>
        <v>0</v>
      </c>
      <c r="B9184" t="s">
        <v>1314</v>
      </c>
      <c r="C9184" t="s">
        <v>12271</v>
      </c>
      <c r="D9184" t="s">
        <v>18134</v>
      </c>
      <c r="E9184" t="s">
        <v>26186</v>
      </c>
      <c r="F9184" t="s">
        <v>31362</v>
      </c>
      <c r="G9184" t="s">
        <v>31369</v>
      </c>
      <c r="H9184" t="s">
        <v>15799</v>
      </c>
      <c r="I9184" t="s">
        <v>7090</v>
      </c>
      <c r="J9184" t="s">
        <v>37123</v>
      </c>
      <c r="K9184" t="s">
        <v>40670</v>
      </c>
      <c r="M9184" t="s">
        <v>42332</v>
      </c>
      <c r="N9184" t="s">
        <v>44905</v>
      </c>
      <c r="O9184" t="s">
        <v>44906</v>
      </c>
      <c r="P9184">
        <v>0</v>
      </c>
      <c r="Q9184">
        <v>0</v>
      </c>
      <c r="R9184" t="s">
        <v>44913</v>
      </c>
      <c r="S9184" t="s">
        <v>45170</v>
      </c>
      <c r="T9184" t="s">
        <v>46671</v>
      </c>
      <c r="U9184" t="s">
        <v>54335</v>
      </c>
      <c r="W9184" t="s">
        <v>42332</v>
      </c>
      <c r="X9184" t="s">
        <v>44914</v>
      </c>
    </row>
    <row r="9185" spans="1:24">
      <c r="A9185">
        <f>HYPERLINK("https://www.philgeps.gov.ph/GEPSNONPILOT/Tender/SplashBidNoticeAbstractUI.aspx?menuIndex=3&amp;refID=7070583&amp;Result=3","7070583")</f>
        <v>0</v>
      </c>
      <c r="B9185" t="s">
        <v>2197</v>
      </c>
      <c r="C9185" t="s">
        <v>12272</v>
      </c>
      <c r="D9185" t="s">
        <v>18109</v>
      </c>
      <c r="E9185" t="s">
        <v>26187</v>
      </c>
      <c r="F9185" t="s">
        <v>31362</v>
      </c>
      <c r="G9185" t="s">
        <v>31368</v>
      </c>
      <c r="H9185" t="s">
        <v>15799</v>
      </c>
      <c r="I9185" t="s">
        <v>4057</v>
      </c>
      <c r="J9185" t="s">
        <v>37124</v>
      </c>
      <c r="K9185" t="s">
        <v>40662</v>
      </c>
      <c r="M9185" t="s">
        <v>43328</v>
      </c>
      <c r="N9185" t="s">
        <v>44905</v>
      </c>
      <c r="O9185" t="s">
        <v>44906</v>
      </c>
      <c r="P9185">
        <v>0</v>
      </c>
      <c r="Q9185">
        <v>0</v>
      </c>
      <c r="R9185" t="s">
        <v>44913</v>
      </c>
      <c r="S9185" t="s">
        <v>45170</v>
      </c>
      <c r="T9185" t="s">
        <v>46532</v>
      </c>
      <c r="U9185" t="s">
        <v>52794</v>
      </c>
      <c r="W9185" t="s">
        <v>43328</v>
      </c>
      <c r="X9185" t="s">
        <v>44914</v>
      </c>
    </row>
    <row r="9186" spans="1:24">
      <c r="A9186">
        <f>HYPERLINK("https://www.philgeps.gov.ph/GEPSNONPILOT/Tender/SplashBidNoticeAbstractUI.aspx?menuIndex=3&amp;refID=7070391&amp;Result=3","7070391")</f>
        <v>0</v>
      </c>
      <c r="B9186" t="s">
        <v>1153</v>
      </c>
      <c r="C9186" t="s">
        <v>12273</v>
      </c>
      <c r="D9186" t="s">
        <v>18122</v>
      </c>
      <c r="E9186" t="s">
        <v>26188</v>
      </c>
      <c r="F9186" t="s">
        <v>31362</v>
      </c>
      <c r="G9186" t="s">
        <v>31369</v>
      </c>
      <c r="H9186" t="s">
        <v>15799</v>
      </c>
      <c r="I9186" t="s">
        <v>31394</v>
      </c>
      <c r="J9186" t="s">
        <v>32935</v>
      </c>
      <c r="K9186" t="s">
        <v>40665</v>
      </c>
      <c r="M9186" t="s">
        <v>42162</v>
      </c>
      <c r="N9186" t="s">
        <v>44905</v>
      </c>
      <c r="O9186" t="s">
        <v>44906</v>
      </c>
      <c r="P9186">
        <v>0</v>
      </c>
      <c r="Q9186">
        <v>4</v>
      </c>
      <c r="R9186" t="s">
        <v>44913</v>
      </c>
      <c r="S9186" t="s">
        <v>45170</v>
      </c>
      <c r="T9186" t="s">
        <v>46583</v>
      </c>
      <c r="U9186" t="s">
        <v>54336</v>
      </c>
      <c r="W9186" t="s">
        <v>42162</v>
      </c>
      <c r="X9186" t="s">
        <v>44914</v>
      </c>
    </row>
    <row r="9187" spans="1:24">
      <c r="A9187">
        <f>HYPERLINK("https://www.philgeps.gov.ph/GEPSNONPILOT/Tender/SplashBidNoticeAbstractUI.aspx?menuIndex=3&amp;refID=7070453&amp;Result=3","7070453")</f>
        <v>0</v>
      </c>
      <c r="B9187" t="s">
        <v>1314</v>
      </c>
      <c r="C9187" t="s">
        <v>12274</v>
      </c>
      <c r="D9187" t="s">
        <v>18134</v>
      </c>
      <c r="E9187" t="s">
        <v>26189</v>
      </c>
      <c r="F9187" t="s">
        <v>31362</v>
      </c>
      <c r="G9187" t="s">
        <v>31369</v>
      </c>
      <c r="H9187" t="s">
        <v>15799</v>
      </c>
      <c r="I9187" t="s">
        <v>7090</v>
      </c>
      <c r="J9187" t="s">
        <v>37125</v>
      </c>
      <c r="K9187" t="s">
        <v>40670</v>
      </c>
      <c r="M9187" t="s">
        <v>42332</v>
      </c>
      <c r="N9187" t="s">
        <v>44905</v>
      </c>
      <c r="O9187" t="s">
        <v>44906</v>
      </c>
      <c r="P9187">
        <v>0</v>
      </c>
      <c r="Q9187">
        <v>0</v>
      </c>
      <c r="R9187" t="s">
        <v>44913</v>
      </c>
      <c r="S9187" t="s">
        <v>45170</v>
      </c>
      <c r="T9187" t="s">
        <v>46671</v>
      </c>
      <c r="U9187" t="s">
        <v>54337</v>
      </c>
      <c r="W9187" t="s">
        <v>42332</v>
      </c>
      <c r="X9187" t="s">
        <v>44914</v>
      </c>
    </row>
    <row r="9188" spans="1:24">
      <c r="A9188">
        <f>HYPERLINK("https://www.philgeps.gov.ph/GEPSNONPILOT/Tender/SplashBidNoticeAbstractUI.aspx?menuIndex=3&amp;refID=7070581&amp;Result=3","7070581")</f>
        <v>0</v>
      </c>
      <c r="B9188" t="s">
        <v>1033</v>
      </c>
      <c r="C9188" t="s">
        <v>12275</v>
      </c>
      <c r="D9188" t="s">
        <v>18162</v>
      </c>
      <c r="E9188" t="s">
        <v>26190</v>
      </c>
      <c r="F9188" t="s">
        <v>31362</v>
      </c>
      <c r="G9188" t="s">
        <v>31369</v>
      </c>
      <c r="H9188" t="s">
        <v>15799</v>
      </c>
      <c r="I9188" t="s">
        <v>31385</v>
      </c>
      <c r="J9188" t="s">
        <v>37126</v>
      </c>
      <c r="K9188" t="s">
        <v>40670</v>
      </c>
      <c r="M9188" t="s">
        <v>42032</v>
      </c>
      <c r="N9188" t="s">
        <v>44905</v>
      </c>
      <c r="O9188" t="s">
        <v>44906</v>
      </c>
      <c r="P9188">
        <v>0</v>
      </c>
      <c r="Q9188">
        <v>0</v>
      </c>
      <c r="R9188" t="s">
        <v>44913</v>
      </c>
      <c r="S9188" t="s">
        <v>45170</v>
      </c>
      <c r="T9188" t="s">
        <v>46509</v>
      </c>
      <c r="U9188" t="s">
        <v>54338</v>
      </c>
      <c r="W9188" t="s">
        <v>42032</v>
      </c>
      <c r="X9188" t="s">
        <v>44914</v>
      </c>
    </row>
    <row r="9189" spans="1:24">
      <c r="A9189">
        <f>HYPERLINK("https://www.philgeps.gov.ph/GEPSNONPILOT/Tender/SplashBidNoticeAbstractUI.aspx?menuIndex=3&amp;refID=7070578&amp;Result=3","7070578")</f>
        <v>0</v>
      </c>
      <c r="B9189" t="s">
        <v>1314</v>
      </c>
      <c r="C9189" t="s">
        <v>12276</v>
      </c>
      <c r="D9189" t="s">
        <v>18134</v>
      </c>
      <c r="E9189" t="s">
        <v>26191</v>
      </c>
      <c r="F9189" t="s">
        <v>31362</v>
      </c>
      <c r="G9189" t="s">
        <v>31369</v>
      </c>
      <c r="H9189" t="s">
        <v>15799</v>
      </c>
      <c r="I9189" t="s">
        <v>31384</v>
      </c>
      <c r="J9189" t="s">
        <v>31843</v>
      </c>
      <c r="K9189" t="s">
        <v>40665</v>
      </c>
      <c r="M9189" t="s">
        <v>42332</v>
      </c>
      <c r="N9189" t="s">
        <v>44905</v>
      </c>
      <c r="O9189" t="s">
        <v>44906</v>
      </c>
      <c r="P9189">
        <v>0</v>
      </c>
      <c r="Q9189">
        <v>3</v>
      </c>
      <c r="R9189" t="s">
        <v>44913</v>
      </c>
      <c r="S9189" t="s">
        <v>45170</v>
      </c>
      <c r="T9189" t="s">
        <v>46671</v>
      </c>
      <c r="U9189" t="s">
        <v>54339</v>
      </c>
      <c r="W9189" t="s">
        <v>42332</v>
      </c>
      <c r="X9189" t="s">
        <v>44914</v>
      </c>
    </row>
    <row r="9190" spans="1:24">
      <c r="A9190">
        <f>HYPERLINK("https://www.philgeps.gov.ph/GEPSNONPILOT/Tender/SplashBidNoticeAbstractUI.aspx?menuIndex=3&amp;refID=7070570&amp;Result=3","7070570")</f>
        <v>0</v>
      </c>
      <c r="B9190" t="s">
        <v>2681</v>
      </c>
      <c r="C9190" t="s">
        <v>12277</v>
      </c>
      <c r="D9190" t="s">
        <v>18155</v>
      </c>
      <c r="E9190" t="s">
        <v>26192</v>
      </c>
      <c r="F9190" t="s">
        <v>31362</v>
      </c>
      <c r="G9190" t="s">
        <v>31369</v>
      </c>
      <c r="H9190" t="s">
        <v>15799</v>
      </c>
      <c r="I9190" t="s">
        <v>4942</v>
      </c>
      <c r="J9190" t="s">
        <v>37127</v>
      </c>
      <c r="K9190" t="s">
        <v>40662</v>
      </c>
      <c r="M9190" t="s">
        <v>43867</v>
      </c>
      <c r="N9190" t="s">
        <v>44905</v>
      </c>
      <c r="O9190" t="s">
        <v>44906</v>
      </c>
      <c r="P9190">
        <v>0</v>
      </c>
      <c r="Q9190">
        <v>0</v>
      </c>
      <c r="R9190" t="s">
        <v>44913</v>
      </c>
      <c r="S9190" t="s">
        <v>45170</v>
      </c>
      <c r="T9190" t="s">
        <v>46397</v>
      </c>
      <c r="U9190" t="s">
        <v>54340</v>
      </c>
      <c r="V9190" t="s">
        <v>59998</v>
      </c>
      <c r="W9190" t="s">
        <v>43867</v>
      </c>
      <c r="X9190" t="s">
        <v>44914</v>
      </c>
    </row>
    <row r="9191" spans="1:24">
      <c r="A9191">
        <f>HYPERLINK("https://www.philgeps.gov.ph/GEPSNONPILOT/Tender/SplashBidNoticeAbstractUI.aspx?menuIndex=3&amp;refID=7069841&amp;Result=3","7069841")</f>
        <v>0</v>
      </c>
      <c r="B9191" t="s">
        <v>1033</v>
      </c>
      <c r="C9191" t="s">
        <v>12278</v>
      </c>
      <c r="D9191" t="s">
        <v>18162</v>
      </c>
      <c r="E9191" t="s">
        <v>26193</v>
      </c>
      <c r="F9191" t="s">
        <v>31362</v>
      </c>
      <c r="G9191" t="s">
        <v>31369</v>
      </c>
      <c r="H9191" t="s">
        <v>15799</v>
      </c>
      <c r="I9191" t="s">
        <v>31431</v>
      </c>
      <c r="J9191" t="s">
        <v>37128</v>
      </c>
      <c r="K9191" t="s">
        <v>40670</v>
      </c>
      <c r="M9191" t="s">
        <v>42032</v>
      </c>
      <c r="N9191" t="s">
        <v>44905</v>
      </c>
      <c r="O9191" t="s">
        <v>44906</v>
      </c>
      <c r="P9191">
        <v>0</v>
      </c>
      <c r="Q9191">
        <v>0</v>
      </c>
      <c r="R9191" t="s">
        <v>44913</v>
      </c>
      <c r="S9191" t="s">
        <v>45170</v>
      </c>
      <c r="T9191" t="s">
        <v>46509</v>
      </c>
      <c r="U9191" t="s">
        <v>54341</v>
      </c>
      <c r="W9191" t="s">
        <v>42032</v>
      </c>
      <c r="X9191" t="s">
        <v>44915</v>
      </c>
    </row>
    <row r="9192" spans="1:24">
      <c r="A9192">
        <f>HYPERLINK("https://www.philgeps.gov.ph/GEPSNONPILOT/Tender/SplashBidNoticeAbstractUI.aspx?menuIndex=3&amp;refID=7070562&amp;Result=3","7070562")</f>
        <v>0</v>
      </c>
      <c r="B9192" t="s">
        <v>2197</v>
      </c>
      <c r="C9192" t="s">
        <v>12272</v>
      </c>
      <c r="D9192" t="s">
        <v>18109</v>
      </c>
      <c r="E9192" t="s">
        <v>26194</v>
      </c>
      <c r="F9192" t="s">
        <v>31362</v>
      </c>
      <c r="G9192" t="s">
        <v>31368</v>
      </c>
      <c r="H9192" t="s">
        <v>15799</v>
      </c>
      <c r="I9192" t="s">
        <v>4057</v>
      </c>
      <c r="J9192" t="s">
        <v>37124</v>
      </c>
      <c r="K9192" t="s">
        <v>40662</v>
      </c>
      <c r="M9192" t="s">
        <v>43328</v>
      </c>
      <c r="N9192" t="s">
        <v>44905</v>
      </c>
      <c r="O9192" t="s">
        <v>44906</v>
      </c>
      <c r="P9192">
        <v>0</v>
      </c>
      <c r="Q9192">
        <v>1</v>
      </c>
      <c r="R9192" t="s">
        <v>44913</v>
      </c>
      <c r="S9192" t="s">
        <v>45170</v>
      </c>
      <c r="T9192" t="s">
        <v>46532</v>
      </c>
      <c r="U9192" t="s">
        <v>52794</v>
      </c>
      <c r="W9192" t="s">
        <v>43328</v>
      </c>
      <c r="X9192" t="s">
        <v>44914</v>
      </c>
    </row>
    <row r="9193" spans="1:24">
      <c r="A9193">
        <f>HYPERLINK("https://www.philgeps.gov.ph/GEPSNONPILOT/Tender/SplashBidNoticeAbstractUI.aspx?menuIndex=3&amp;refID=7070444&amp;Result=3","7070444")</f>
        <v>0</v>
      </c>
      <c r="B9193" t="s">
        <v>2682</v>
      </c>
      <c r="C9193" t="s">
        <v>12279</v>
      </c>
      <c r="D9193" t="s">
        <v>18101</v>
      </c>
      <c r="E9193" t="s">
        <v>19255</v>
      </c>
      <c r="F9193" t="s">
        <v>31362</v>
      </c>
      <c r="G9193" t="s">
        <v>31369</v>
      </c>
      <c r="H9193" t="s">
        <v>15799</v>
      </c>
      <c r="I9193" t="s">
        <v>3815</v>
      </c>
      <c r="J9193" t="s">
        <v>32223</v>
      </c>
      <c r="K9193" t="s">
        <v>40661</v>
      </c>
      <c r="M9193" t="s">
        <v>43868</v>
      </c>
      <c r="N9193" t="s">
        <v>44905</v>
      </c>
      <c r="O9193" t="s">
        <v>44906</v>
      </c>
      <c r="P9193">
        <v>0</v>
      </c>
      <c r="Q9193">
        <v>0</v>
      </c>
      <c r="R9193" t="s">
        <v>44913</v>
      </c>
      <c r="S9193" t="s">
        <v>45170</v>
      </c>
      <c r="T9193" t="s">
        <v>46443</v>
      </c>
      <c r="U9193" t="s">
        <v>54342</v>
      </c>
      <c r="W9193" t="s">
        <v>43868</v>
      </c>
      <c r="X9193" t="s">
        <v>44914</v>
      </c>
    </row>
    <row r="9194" spans="1:24">
      <c r="A9194">
        <f>HYPERLINK("https://www.philgeps.gov.ph/GEPSNONPILOT/Tender/SplashBidNoticeAbstractUI.aspx?menuIndex=3&amp;refID=7070546&amp;Result=3","7070546")</f>
        <v>0</v>
      </c>
      <c r="B9194" t="s">
        <v>2658</v>
      </c>
      <c r="C9194" t="s">
        <v>12280</v>
      </c>
      <c r="D9194" t="s">
        <v>18100</v>
      </c>
      <c r="E9194" t="s">
        <v>26169</v>
      </c>
      <c r="F9194" t="s">
        <v>31362</v>
      </c>
      <c r="G9194" t="s">
        <v>31368</v>
      </c>
      <c r="H9194" t="s">
        <v>15799</v>
      </c>
      <c r="I9194" t="s">
        <v>7188</v>
      </c>
      <c r="J9194" t="s">
        <v>33584</v>
      </c>
      <c r="K9194" t="s">
        <v>40665</v>
      </c>
      <c r="M9194" t="s">
        <v>43842</v>
      </c>
      <c r="N9194" t="s">
        <v>44905</v>
      </c>
      <c r="O9194" t="s">
        <v>44906</v>
      </c>
      <c r="P9194">
        <v>0</v>
      </c>
      <c r="Q9194">
        <v>1</v>
      </c>
      <c r="R9194" t="s">
        <v>44913</v>
      </c>
      <c r="S9194" t="s">
        <v>45170</v>
      </c>
      <c r="T9194" t="s">
        <v>46454</v>
      </c>
      <c r="U9194" t="s">
        <v>54343</v>
      </c>
      <c r="W9194" t="s">
        <v>43842</v>
      </c>
      <c r="X9194" t="s">
        <v>44914</v>
      </c>
    </row>
    <row r="9195" spans="1:24">
      <c r="A9195">
        <f>HYPERLINK("https://www.philgeps.gov.ph/GEPSNONPILOT/Tender/SplashBidNoticeAbstractUI.aspx?menuIndex=3&amp;refID=7070536&amp;Result=3","7070536")</f>
        <v>0</v>
      </c>
      <c r="B9195" t="s">
        <v>2683</v>
      </c>
      <c r="C9195" t="s">
        <v>4466</v>
      </c>
      <c r="E9195" t="s">
        <v>26195</v>
      </c>
      <c r="F9195" t="s">
        <v>31362</v>
      </c>
      <c r="G9195" t="s">
        <v>31369</v>
      </c>
      <c r="H9195" t="s">
        <v>31378</v>
      </c>
      <c r="I9195" t="s">
        <v>31386</v>
      </c>
      <c r="J9195" t="s">
        <v>31531</v>
      </c>
      <c r="K9195" t="s">
        <v>40674</v>
      </c>
      <c r="M9195" t="s">
        <v>43869</v>
      </c>
      <c r="N9195" t="s">
        <v>44905</v>
      </c>
      <c r="O9195" t="s">
        <v>44906</v>
      </c>
      <c r="P9195">
        <v>0</v>
      </c>
      <c r="Q9195">
        <v>0</v>
      </c>
      <c r="R9195" t="s">
        <v>44913</v>
      </c>
      <c r="S9195" t="s">
        <v>45170</v>
      </c>
      <c r="T9195" t="s">
        <v>46443</v>
      </c>
      <c r="U9195" t="s">
        <v>54344</v>
      </c>
      <c r="W9195" t="s">
        <v>43869</v>
      </c>
      <c r="X9195" t="s">
        <v>44914</v>
      </c>
    </row>
    <row r="9196" spans="1:24">
      <c r="A9196">
        <f>HYPERLINK("https://www.philgeps.gov.ph/GEPSNONPILOT/Tender/SplashBidNoticeAbstractUI.aspx?menuIndex=3&amp;refID=7070224&amp;Result=3","7070224")</f>
        <v>0</v>
      </c>
      <c r="B9196" t="s">
        <v>93</v>
      </c>
      <c r="C9196" t="s">
        <v>12281</v>
      </c>
      <c r="D9196" t="s">
        <v>18108</v>
      </c>
      <c r="E9196" t="s">
        <v>26196</v>
      </c>
      <c r="F9196" t="s">
        <v>31362</v>
      </c>
      <c r="G9196" t="s">
        <v>31369</v>
      </c>
      <c r="H9196" t="s">
        <v>15799</v>
      </c>
      <c r="I9196" t="s">
        <v>31393</v>
      </c>
      <c r="J9196" t="s">
        <v>37129</v>
      </c>
      <c r="K9196" t="s">
        <v>40682</v>
      </c>
      <c r="M9196" t="s">
        <v>41030</v>
      </c>
      <c r="N9196" t="s">
        <v>44905</v>
      </c>
      <c r="O9196" t="s">
        <v>44906</v>
      </c>
      <c r="P9196">
        <v>0</v>
      </c>
      <c r="Q9196">
        <v>16</v>
      </c>
      <c r="R9196" t="s">
        <v>44913</v>
      </c>
      <c r="S9196" t="s">
        <v>45170</v>
      </c>
      <c r="T9196" t="s">
        <v>46688</v>
      </c>
      <c r="U9196" t="s">
        <v>54345</v>
      </c>
      <c r="W9196" t="s">
        <v>41030</v>
      </c>
      <c r="X9196" t="s">
        <v>44915</v>
      </c>
    </row>
    <row r="9197" spans="1:24">
      <c r="A9197">
        <f>HYPERLINK("https://www.philgeps.gov.ph/GEPSNONPILOT/Tender/SplashBidNoticeAbstractUI.aspx?menuIndex=3&amp;refID=7070557&amp;Result=3","7070557")</f>
        <v>0</v>
      </c>
      <c r="B9197" t="s">
        <v>2203</v>
      </c>
      <c r="C9197" t="s">
        <v>12282</v>
      </c>
      <c r="D9197" t="s">
        <v>18104</v>
      </c>
      <c r="E9197" t="s">
        <v>26197</v>
      </c>
      <c r="F9197" t="s">
        <v>31362</v>
      </c>
      <c r="G9197" t="s">
        <v>31368</v>
      </c>
      <c r="H9197" t="s">
        <v>15799</v>
      </c>
      <c r="I9197" t="s">
        <v>31392</v>
      </c>
      <c r="J9197" t="s">
        <v>37130</v>
      </c>
      <c r="K9197" t="s">
        <v>40661</v>
      </c>
      <c r="M9197" t="s">
        <v>43334</v>
      </c>
      <c r="N9197" t="s">
        <v>44905</v>
      </c>
      <c r="O9197" t="s">
        <v>44906</v>
      </c>
      <c r="P9197">
        <v>0</v>
      </c>
      <c r="Q9197">
        <v>1</v>
      </c>
      <c r="R9197" t="s">
        <v>44913</v>
      </c>
      <c r="S9197" t="s">
        <v>45170</v>
      </c>
      <c r="T9197" t="s">
        <v>46467</v>
      </c>
      <c r="U9197" t="s">
        <v>54346</v>
      </c>
      <c r="W9197" t="s">
        <v>43334</v>
      </c>
      <c r="X9197" t="s">
        <v>44914</v>
      </c>
    </row>
    <row r="9198" spans="1:24">
      <c r="A9198">
        <f>HYPERLINK("https://www.philgeps.gov.ph/GEPSNONPILOT/Tender/SplashBidNoticeAbstractUI.aspx?menuIndex=3&amp;refID=7070553&amp;Result=3","7070553")</f>
        <v>0</v>
      </c>
      <c r="B9198" t="s">
        <v>362</v>
      </c>
      <c r="C9198" t="s">
        <v>12283</v>
      </c>
      <c r="D9198" t="s">
        <v>18103</v>
      </c>
      <c r="E9198" t="s">
        <v>26198</v>
      </c>
      <c r="F9198" t="s">
        <v>31362</v>
      </c>
      <c r="G9198" t="s">
        <v>31369</v>
      </c>
      <c r="H9198" t="s">
        <v>31378</v>
      </c>
      <c r="I9198" t="s">
        <v>31386</v>
      </c>
      <c r="J9198" t="s">
        <v>31637</v>
      </c>
      <c r="K9198" t="s">
        <v>40682</v>
      </c>
      <c r="M9198" t="s">
        <v>43080</v>
      </c>
      <c r="N9198" t="s">
        <v>44905</v>
      </c>
      <c r="O9198" t="s">
        <v>44906</v>
      </c>
      <c r="P9198">
        <v>0</v>
      </c>
      <c r="Q9198">
        <v>17</v>
      </c>
      <c r="R9198" t="s">
        <v>44913</v>
      </c>
      <c r="S9198" t="s">
        <v>45170</v>
      </c>
      <c r="T9198" t="s">
        <v>46607</v>
      </c>
      <c r="U9198" t="s">
        <v>54347</v>
      </c>
      <c r="V9198" t="s">
        <v>59999</v>
      </c>
      <c r="W9198" t="s">
        <v>60886</v>
      </c>
      <c r="X9198" t="s">
        <v>44914</v>
      </c>
    </row>
    <row r="9199" spans="1:24">
      <c r="A9199">
        <f>HYPERLINK("https://www.philgeps.gov.ph/GEPSNONPILOT/Tender/SplashBidNoticeAbstractUI.aspx?menuIndex=3&amp;refID=7070521&amp;Result=3","7070521")</f>
        <v>0</v>
      </c>
      <c r="B9199" t="s">
        <v>1033</v>
      </c>
      <c r="C9199" t="s">
        <v>12284</v>
      </c>
      <c r="D9199" t="s">
        <v>18162</v>
      </c>
      <c r="E9199" t="s">
        <v>26199</v>
      </c>
      <c r="F9199" t="s">
        <v>31362</v>
      </c>
      <c r="G9199" t="s">
        <v>31369</v>
      </c>
      <c r="H9199" t="s">
        <v>15799</v>
      </c>
      <c r="I9199" t="s">
        <v>31385</v>
      </c>
      <c r="J9199" t="s">
        <v>37131</v>
      </c>
      <c r="K9199" t="s">
        <v>40670</v>
      </c>
      <c r="M9199" t="s">
        <v>42032</v>
      </c>
      <c r="N9199" t="s">
        <v>44905</v>
      </c>
      <c r="O9199" t="s">
        <v>44906</v>
      </c>
      <c r="P9199">
        <v>0</v>
      </c>
      <c r="Q9199">
        <v>0</v>
      </c>
      <c r="R9199" t="s">
        <v>44913</v>
      </c>
      <c r="S9199" t="s">
        <v>45170</v>
      </c>
      <c r="T9199" t="s">
        <v>46509</v>
      </c>
      <c r="U9199" t="s">
        <v>54348</v>
      </c>
      <c r="W9199" t="s">
        <v>42032</v>
      </c>
      <c r="X9199" t="s">
        <v>44914</v>
      </c>
    </row>
    <row r="9200" spans="1:24">
      <c r="A9200">
        <f>HYPERLINK("https://www.philgeps.gov.ph/GEPSNONPILOT/Tender/SplashBidNoticeAbstractUI.aspx?menuIndex=3&amp;refID=7070512&amp;Result=3","7070512")</f>
        <v>0</v>
      </c>
      <c r="B9200" t="s">
        <v>2679</v>
      </c>
      <c r="C9200" t="s">
        <v>12285</v>
      </c>
      <c r="D9200" t="s">
        <v>18120</v>
      </c>
      <c r="E9200" t="s">
        <v>12285</v>
      </c>
      <c r="F9200" t="s">
        <v>31362</v>
      </c>
      <c r="G9200" t="s">
        <v>31368</v>
      </c>
      <c r="H9200" t="s">
        <v>15799</v>
      </c>
      <c r="I9200" t="s">
        <v>31430</v>
      </c>
      <c r="J9200" t="s">
        <v>37132</v>
      </c>
      <c r="K9200" t="s">
        <v>40682</v>
      </c>
      <c r="M9200" t="s">
        <v>43865</v>
      </c>
      <c r="N9200" t="s">
        <v>44905</v>
      </c>
      <c r="O9200" t="s">
        <v>44906</v>
      </c>
      <c r="P9200">
        <v>0</v>
      </c>
      <c r="Q9200">
        <v>0</v>
      </c>
      <c r="R9200" t="s">
        <v>44913</v>
      </c>
      <c r="S9200" t="s">
        <v>45170</v>
      </c>
      <c r="T9200" t="s">
        <v>46409</v>
      </c>
      <c r="U9200" t="s">
        <v>54332</v>
      </c>
      <c r="W9200" t="s">
        <v>43865</v>
      </c>
      <c r="X9200" t="s">
        <v>44914</v>
      </c>
    </row>
    <row r="9201" spans="1:24">
      <c r="A9201">
        <f>HYPERLINK("https://www.philgeps.gov.ph/GEPSNONPILOT/Tender/SplashBidNoticeAbstractUI.aspx?menuIndex=3&amp;refID=7070507&amp;Result=3","7070507")</f>
        <v>0</v>
      </c>
      <c r="B9201" t="s">
        <v>1033</v>
      </c>
      <c r="C9201" t="s">
        <v>12286</v>
      </c>
      <c r="D9201" t="s">
        <v>18162</v>
      </c>
      <c r="E9201" t="s">
        <v>26200</v>
      </c>
      <c r="F9201" t="s">
        <v>31362</v>
      </c>
      <c r="G9201" t="s">
        <v>31369</v>
      </c>
      <c r="H9201" t="s">
        <v>15799</v>
      </c>
      <c r="I9201" t="s">
        <v>7188</v>
      </c>
      <c r="J9201" t="s">
        <v>36356</v>
      </c>
      <c r="K9201" t="s">
        <v>40670</v>
      </c>
      <c r="M9201" t="s">
        <v>42032</v>
      </c>
      <c r="N9201" t="s">
        <v>44905</v>
      </c>
      <c r="O9201" t="s">
        <v>44906</v>
      </c>
      <c r="P9201">
        <v>0</v>
      </c>
      <c r="Q9201">
        <v>0</v>
      </c>
      <c r="R9201" t="s">
        <v>44913</v>
      </c>
      <c r="S9201" t="s">
        <v>45170</v>
      </c>
      <c r="T9201" t="s">
        <v>46509</v>
      </c>
      <c r="U9201" t="s">
        <v>54349</v>
      </c>
      <c r="W9201" t="s">
        <v>42032</v>
      </c>
      <c r="X9201" t="s">
        <v>44914</v>
      </c>
    </row>
    <row r="9202" spans="1:24">
      <c r="A9202">
        <f>HYPERLINK("https://www.philgeps.gov.ph/GEPSNONPILOT/Tender/SplashBidNoticeAbstractUI.aspx?menuIndex=3&amp;refID=7070530&amp;Result=3","7070530")</f>
        <v>0</v>
      </c>
      <c r="B9202" t="s">
        <v>2684</v>
      </c>
      <c r="C9202" t="s">
        <v>12287</v>
      </c>
      <c r="D9202" t="s">
        <v>18134</v>
      </c>
      <c r="E9202" t="s">
        <v>26201</v>
      </c>
      <c r="F9202" t="s">
        <v>31362</v>
      </c>
      <c r="G9202" t="s">
        <v>31369</v>
      </c>
      <c r="H9202" t="s">
        <v>31378</v>
      </c>
      <c r="I9202" t="s">
        <v>31386</v>
      </c>
      <c r="J9202" t="s">
        <v>37133</v>
      </c>
      <c r="K9202" t="s">
        <v>40814</v>
      </c>
      <c r="M9202" t="s">
        <v>43870</v>
      </c>
      <c r="N9202" t="s">
        <v>44905</v>
      </c>
      <c r="O9202" t="s">
        <v>44906</v>
      </c>
      <c r="P9202">
        <v>0</v>
      </c>
      <c r="Q9202">
        <v>0</v>
      </c>
      <c r="R9202" t="s">
        <v>44913</v>
      </c>
      <c r="S9202" t="s">
        <v>45170</v>
      </c>
      <c r="T9202" t="s">
        <v>46609</v>
      </c>
      <c r="U9202" t="s">
        <v>54350</v>
      </c>
      <c r="V9202" t="s">
        <v>60000</v>
      </c>
      <c r="W9202" t="s">
        <v>43870</v>
      </c>
      <c r="X9202" t="s">
        <v>44914</v>
      </c>
    </row>
    <row r="9203" spans="1:24">
      <c r="A9203">
        <f>HYPERLINK("https://www.philgeps.gov.ph/GEPSNONPILOT/Tender/SplashBidNoticeAbstractUI.aspx?menuIndex=3&amp;refID=7070639&amp;Result=3","7070639")</f>
        <v>0</v>
      </c>
      <c r="B9203" t="s">
        <v>346</v>
      </c>
      <c r="C9203" t="s">
        <v>12288</v>
      </c>
      <c r="D9203" t="s">
        <v>18152</v>
      </c>
      <c r="E9203" t="s">
        <v>26202</v>
      </c>
      <c r="F9203" t="s">
        <v>31362</v>
      </c>
      <c r="G9203" t="s">
        <v>31368</v>
      </c>
      <c r="H9203" t="s">
        <v>15799</v>
      </c>
      <c r="I9203" t="s">
        <v>7188</v>
      </c>
      <c r="J9203" t="s">
        <v>31723</v>
      </c>
      <c r="K9203" t="s">
        <v>40665</v>
      </c>
      <c r="L9203" t="s">
        <v>346</v>
      </c>
      <c r="M9203" t="s">
        <v>41292</v>
      </c>
      <c r="N9203" t="s">
        <v>44905</v>
      </c>
      <c r="O9203" t="s">
        <v>44906</v>
      </c>
      <c r="P9203">
        <v>0</v>
      </c>
      <c r="Q9203">
        <v>1</v>
      </c>
      <c r="R9203" t="s">
        <v>44913</v>
      </c>
      <c r="S9203" t="s">
        <v>45170</v>
      </c>
      <c r="T9203" t="s">
        <v>46393</v>
      </c>
      <c r="U9203" t="s">
        <v>54351</v>
      </c>
      <c r="V9203" t="s">
        <v>59139</v>
      </c>
      <c r="W9203" t="s">
        <v>41292</v>
      </c>
      <c r="X9203" t="s">
        <v>44914</v>
      </c>
    </row>
    <row r="9204" spans="1:24">
      <c r="A9204">
        <f>HYPERLINK("https://www.philgeps.gov.ph/GEPSNONPILOT/Tender/SplashBidNoticeAbstractUI.aspx?menuIndex=3&amp;refID=7070656&amp;Result=3","7070656")</f>
        <v>0</v>
      </c>
      <c r="B9204" t="s">
        <v>362</v>
      </c>
      <c r="C9204" t="s">
        <v>12289</v>
      </c>
      <c r="D9204" t="s">
        <v>18103</v>
      </c>
      <c r="E9204" t="s">
        <v>26203</v>
      </c>
      <c r="F9204" t="s">
        <v>31362</v>
      </c>
      <c r="G9204" t="s">
        <v>31369</v>
      </c>
      <c r="H9204" t="s">
        <v>31378</v>
      </c>
      <c r="I9204" t="s">
        <v>31386</v>
      </c>
      <c r="J9204" t="s">
        <v>32594</v>
      </c>
      <c r="K9204" t="s">
        <v>40686</v>
      </c>
      <c r="M9204" t="s">
        <v>43093</v>
      </c>
      <c r="N9204" t="s">
        <v>44905</v>
      </c>
      <c r="O9204" t="s">
        <v>44906</v>
      </c>
      <c r="P9204">
        <v>0</v>
      </c>
      <c r="Q9204">
        <v>15</v>
      </c>
      <c r="R9204" t="s">
        <v>44913</v>
      </c>
      <c r="S9204" t="s">
        <v>45170</v>
      </c>
      <c r="T9204" t="s">
        <v>46607</v>
      </c>
      <c r="U9204" t="s">
        <v>54347</v>
      </c>
      <c r="V9204" t="s">
        <v>59999</v>
      </c>
      <c r="W9204" t="s">
        <v>60886</v>
      </c>
      <c r="X9204" t="s">
        <v>44914</v>
      </c>
    </row>
    <row r="9205" spans="1:24">
      <c r="A9205">
        <f>HYPERLINK("https://www.philgeps.gov.ph/GEPSNONPILOT/Tender/SplashBidNoticeAbstractUI.aspx?menuIndex=3&amp;refID=7070564&amp;Result=3","7070564")</f>
        <v>0</v>
      </c>
      <c r="B9205" t="s">
        <v>2685</v>
      </c>
      <c r="C9205" t="s">
        <v>12290</v>
      </c>
      <c r="E9205" t="s">
        <v>26204</v>
      </c>
      <c r="F9205" t="s">
        <v>31362</v>
      </c>
      <c r="G9205" t="s">
        <v>31369</v>
      </c>
      <c r="H9205" t="s">
        <v>31378</v>
      </c>
      <c r="I9205" t="s">
        <v>31386</v>
      </c>
      <c r="J9205" t="s">
        <v>32549</v>
      </c>
      <c r="K9205" t="s">
        <v>40711</v>
      </c>
      <c r="M9205" t="s">
        <v>43871</v>
      </c>
      <c r="N9205" t="s">
        <v>44905</v>
      </c>
      <c r="O9205" t="s">
        <v>44906</v>
      </c>
      <c r="P9205">
        <v>0</v>
      </c>
      <c r="Q9205">
        <v>1</v>
      </c>
      <c r="R9205" t="s">
        <v>44913</v>
      </c>
      <c r="S9205" t="s">
        <v>45170</v>
      </c>
      <c r="T9205" t="s">
        <v>46478</v>
      </c>
      <c r="U9205" t="s">
        <v>54352</v>
      </c>
      <c r="W9205" t="s">
        <v>43871</v>
      </c>
      <c r="X9205" t="s">
        <v>44914</v>
      </c>
    </row>
    <row r="9206" spans="1:24">
      <c r="A9206">
        <f>HYPERLINK("https://www.philgeps.gov.ph/GEPSNONPILOT/Tender/SplashBidNoticeAbstractUI.aspx?menuIndex=3&amp;refID=7070653&amp;Result=3","7070653")</f>
        <v>0</v>
      </c>
      <c r="B9206" t="s">
        <v>1153</v>
      </c>
      <c r="C9206" t="s">
        <v>12291</v>
      </c>
      <c r="D9206" t="s">
        <v>18122</v>
      </c>
      <c r="E9206" t="s">
        <v>26205</v>
      </c>
      <c r="F9206" t="s">
        <v>31362</v>
      </c>
      <c r="G9206" t="s">
        <v>31369</v>
      </c>
      <c r="H9206" t="s">
        <v>15799</v>
      </c>
      <c r="I9206" t="s">
        <v>4057</v>
      </c>
      <c r="J9206" t="s">
        <v>37134</v>
      </c>
      <c r="K9206" t="s">
        <v>40665</v>
      </c>
      <c r="M9206" t="s">
        <v>42162</v>
      </c>
      <c r="N9206" t="s">
        <v>44905</v>
      </c>
      <c r="O9206" t="s">
        <v>44906</v>
      </c>
      <c r="P9206">
        <v>0</v>
      </c>
      <c r="Q9206">
        <v>0</v>
      </c>
      <c r="R9206" t="s">
        <v>44913</v>
      </c>
      <c r="S9206" t="s">
        <v>45170</v>
      </c>
      <c r="T9206" t="s">
        <v>46583</v>
      </c>
      <c r="U9206" t="s">
        <v>54353</v>
      </c>
      <c r="W9206" t="s">
        <v>42162</v>
      </c>
      <c r="X9206" t="s">
        <v>44914</v>
      </c>
    </row>
    <row r="9207" spans="1:24">
      <c r="A9207">
        <f>HYPERLINK("https://www.philgeps.gov.ph/GEPSNONPILOT/Tender/SplashBidNoticeAbstractUI.aspx?menuIndex=3&amp;refID=7070651&amp;Result=3","7070651")</f>
        <v>0</v>
      </c>
      <c r="B9207" t="s">
        <v>375</v>
      </c>
      <c r="C9207" t="s">
        <v>12292</v>
      </c>
      <c r="D9207" t="s">
        <v>18177</v>
      </c>
      <c r="E9207" t="s">
        <v>26206</v>
      </c>
      <c r="F9207" t="s">
        <v>31362</v>
      </c>
      <c r="G9207" t="s">
        <v>31369</v>
      </c>
      <c r="H9207" t="s">
        <v>15799</v>
      </c>
      <c r="I9207" t="s">
        <v>31415</v>
      </c>
      <c r="J9207" t="s">
        <v>37135</v>
      </c>
      <c r="K9207" t="s">
        <v>40665</v>
      </c>
      <c r="M9207" t="s">
        <v>41322</v>
      </c>
      <c r="N9207" t="s">
        <v>44905</v>
      </c>
      <c r="O9207" t="s">
        <v>44906</v>
      </c>
      <c r="P9207">
        <v>0</v>
      </c>
      <c r="Q9207">
        <v>1</v>
      </c>
      <c r="R9207" t="s">
        <v>44913</v>
      </c>
      <c r="S9207" t="s">
        <v>45170</v>
      </c>
      <c r="T9207" t="s">
        <v>46462</v>
      </c>
      <c r="U9207" t="s">
        <v>54354</v>
      </c>
      <c r="W9207" t="s">
        <v>41322</v>
      </c>
      <c r="X9207" t="s">
        <v>44914</v>
      </c>
    </row>
    <row r="9208" spans="1:24">
      <c r="A9208">
        <f>HYPERLINK("https://www.philgeps.gov.ph/GEPSNONPILOT/Tender/SplashBidNoticeAbstractUI.aspx?menuIndex=3&amp;refID=7070650&amp;Result=3","7070650")</f>
        <v>0</v>
      </c>
      <c r="B9208" t="s">
        <v>2197</v>
      </c>
      <c r="C9208" t="s">
        <v>12293</v>
      </c>
      <c r="D9208" t="s">
        <v>18109</v>
      </c>
      <c r="E9208" t="s">
        <v>26207</v>
      </c>
      <c r="F9208" t="s">
        <v>31362</v>
      </c>
      <c r="G9208" t="s">
        <v>31370</v>
      </c>
      <c r="H9208" t="s">
        <v>15799</v>
      </c>
      <c r="I9208" t="s">
        <v>31385</v>
      </c>
      <c r="J9208" t="s">
        <v>37136</v>
      </c>
      <c r="K9208" t="s">
        <v>40662</v>
      </c>
      <c r="M9208" t="s">
        <v>43328</v>
      </c>
      <c r="N9208" t="s">
        <v>44905</v>
      </c>
      <c r="O9208" t="s">
        <v>44906</v>
      </c>
      <c r="P9208">
        <v>0</v>
      </c>
      <c r="Q9208">
        <v>2</v>
      </c>
      <c r="R9208" t="s">
        <v>44913</v>
      </c>
      <c r="S9208" t="s">
        <v>45170</v>
      </c>
      <c r="T9208" t="s">
        <v>46532</v>
      </c>
      <c r="U9208" t="s">
        <v>52794</v>
      </c>
      <c r="W9208" t="s">
        <v>43328</v>
      </c>
      <c r="X9208" t="s">
        <v>44914</v>
      </c>
    </row>
    <row r="9209" spans="1:24">
      <c r="A9209">
        <f>HYPERLINK("https://www.philgeps.gov.ph/GEPSNONPILOT/Tender/SplashBidNoticeAbstractUI.aspx?menuIndex=3&amp;refID=7070657&amp;Result=3","7070657")</f>
        <v>0</v>
      </c>
      <c r="B9209" t="s">
        <v>1033</v>
      </c>
      <c r="C9209" t="s">
        <v>12294</v>
      </c>
      <c r="D9209" t="s">
        <v>18162</v>
      </c>
      <c r="E9209" t="s">
        <v>26208</v>
      </c>
      <c r="F9209" t="s">
        <v>31362</v>
      </c>
      <c r="G9209" t="s">
        <v>31369</v>
      </c>
      <c r="H9209" t="s">
        <v>15799</v>
      </c>
      <c r="I9209" t="s">
        <v>31385</v>
      </c>
      <c r="J9209" t="s">
        <v>37137</v>
      </c>
      <c r="K9209" t="s">
        <v>40670</v>
      </c>
      <c r="M9209" t="s">
        <v>42032</v>
      </c>
      <c r="N9209" t="s">
        <v>44905</v>
      </c>
      <c r="O9209" t="s">
        <v>44906</v>
      </c>
      <c r="P9209">
        <v>0</v>
      </c>
      <c r="Q9209">
        <v>0</v>
      </c>
      <c r="R9209" t="s">
        <v>44913</v>
      </c>
      <c r="S9209" t="s">
        <v>45170</v>
      </c>
      <c r="T9209" t="s">
        <v>46509</v>
      </c>
      <c r="U9209" t="s">
        <v>54355</v>
      </c>
      <c r="W9209" t="s">
        <v>42032</v>
      </c>
      <c r="X9209" t="s">
        <v>44914</v>
      </c>
    </row>
    <row r="9210" spans="1:24">
      <c r="A9210">
        <f>HYPERLINK("https://www.philgeps.gov.ph/GEPSNONPILOT/Tender/SplashBidNoticeAbstractUI.aspx?menuIndex=3&amp;refID=7070643&amp;Result=3","7070643")</f>
        <v>0</v>
      </c>
      <c r="B9210" t="s">
        <v>2234</v>
      </c>
      <c r="C9210" t="s">
        <v>12295</v>
      </c>
      <c r="D9210" t="s">
        <v>18109</v>
      </c>
      <c r="E9210" t="s">
        <v>19313</v>
      </c>
      <c r="F9210" t="s">
        <v>31362</v>
      </c>
      <c r="G9210" t="s">
        <v>31369</v>
      </c>
      <c r="H9210" t="s">
        <v>15799</v>
      </c>
      <c r="I9210" t="s">
        <v>31409</v>
      </c>
      <c r="J9210" t="s">
        <v>37138</v>
      </c>
      <c r="K9210" t="s">
        <v>40672</v>
      </c>
      <c r="M9210" t="s">
        <v>43371</v>
      </c>
      <c r="N9210" t="s">
        <v>44905</v>
      </c>
      <c r="O9210" t="s">
        <v>44906</v>
      </c>
      <c r="P9210">
        <v>0</v>
      </c>
      <c r="Q9210">
        <v>5</v>
      </c>
      <c r="R9210" t="s">
        <v>44913</v>
      </c>
      <c r="S9210" t="s">
        <v>45170</v>
      </c>
      <c r="T9210" t="s">
        <v>46447</v>
      </c>
      <c r="U9210" t="s">
        <v>54356</v>
      </c>
      <c r="V9210" t="s">
        <v>60001</v>
      </c>
      <c r="W9210" t="s">
        <v>43371</v>
      </c>
      <c r="X9210" t="s">
        <v>44914</v>
      </c>
    </row>
    <row r="9211" spans="1:24">
      <c r="A9211">
        <f>HYPERLINK("https://www.philgeps.gov.ph/GEPSNONPILOT/Tender/SplashBidNoticeAbstractUI.aspx?menuIndex=3&amp;refID=7070424&amp;Result=3","7070424")</f>
        <v>0</v>
      </c>
      <c r="B9211" t="s">
        <v>2679</v>
      </c>
      <c r="C9211" t="s">
        <v>12296</v>
      </c>
      <c r="D9211" t="s">
        <v>18120</v>
      </c>
      <c r="E9211" t="s">
        <v>12296</v>
      </c>
      <c r="F9211" t="s">
        <v>31362</v>
      </c>
      <c r="G9211" t="s">
        <v>31368</v>
      </c>
      <c r="H9211" t="s">
        <v>31379</v>
      </c>
      <c r="I9211" t="s">
        <v>7188</v>
      </c>
      <c r="J9211" t="s">
        <v>37139</v>
      </c>
      <c r="K9211" t="s">
        <v>40682</v>
      </c>
      <c r="M9211" t="s">
        <v>43865</v>
      </c>
      <c r="N9211" t="s">
        <v>44905</v>
      </c>
      <c r="O9211" t="s">
        <v>44906</v>
      </c>
      <c r="P9211">
        <v>0</v>
      </c>
      <c r="Q9211">
        <v>1</v>
      </c>
      <c r="R9211" t="s">
        <v>44913</v>
      </c>
      <c r="S9211" t="s">
        <v>45170</v>
      </c>
      <c r="T9211" t="s">
        <v>46432</v>
      </c>
      <c r="U9211" t="s">
        <v>54332</v>
      </c>
      <c r="W9211" t="s">
        <v>43865</v>
      </c>
      <c r="X9211" t="s">
        <v>44914</v>
      </c>
    </row>
    <row r="9212" spans="1:24">
      <c r="A9212">
        <f>HYPERLINK("https://www.philgeps.gov.ph/GEPSNONPILOT/Tender/SplashBidNoticeAbstractUI.aspx?menuIndex=3&amp;refID=7070636&amp;Result=3","7070636")</f>
        <v>0</v>
      </c>
      <c r="B9212" t="s">
        <v>450</v>
      </c>
      <c r="C9212" t="s">
        <v>4449</v>
      </c>
      <c r="D9212" t="s">
        <v>18128</v>
      </c>
      <c r="E9212" t="s">
        <v>18811</v>
      </c>
      <c r="F9212" t="s">
        <v>31362</v>
      </c>
      <c r="G9212" t="s">
        <v>31368</v>
      </c>
      <c r="H9212" t="s">
        <v>15799</v>
      </c>
      <c r="I9212" t="s">
        <v>31385</v>
      </c>
      <c r="J9212" t="s">
        <v>37140</v>
      </c>
      <c r="K9212" t="s">
        <v>40665</v>
      </c>
      <c r="M9212" t="s">
        <v>41404</v>
      </c>
      <c r="N9212" t="s">
        <v>44905</v>
      </c>
      <c r="O9212" t="s">
        <v>44906</v>
      </c>
      <c r="P9212">
        <v>0</v>
      </c>
      <c r="Q9212">
        <v>0</v>
      </c>
      <c r="R9212" t="s">
        <v>44913</v>
      </c>
      <c r="S9212" t="s">
        <v>45170</v>
      </c>
      <c r="T9212" t="s">
        <v>46426</v>
      </c>
      <c r="U9212" t="s">
        <v>47749</v>
      </c>
      <c r="V9212" t="s">
        <v>59996</v>
      </c>
      <c r="W9212" t="s">
        <v>41404</v>
      </c>
      <c r="X9212" t="s">
        <v>44914</v>
      </c>
    </row>
    <row r="9213" spans="1:24">
      <c r="A9213">
        <f>HYPERLINK("https://www.philgeps.gov.ph/GEPSNONPILOT/Tender/SplashBidNoticeAbstractUI.aspx?menuIndex=3&amp;refID=7070623&amp;Result=3","7070623")</f>
        <v>0</v>
      </c>
      <c r="B9213" t="s">
        <v>362</v>
      </c>
      <c r="C9213" t="s">
        <v>12297</v>
      </c>
      <c r="D9213" t="s">
        <v>18103</v>
      </c>
      <c r="E9213" t="s">
        <v>26209</v>
      </c>
      <c r="F9213" t="s">
        <v>31362</v>
      </c>
      <c r="G9213" t="s">
        <v>31369</v>
      </c>
      <c r="H9213" t="s">
        <v>31378</v>
      </c>
      <c r="I9213" t="s">
        <v>31386</v>
      </c>
      <c r="J9213" t="s">
        <v>31709</v>
      </c>
      <c r="K9213" t="s">
        <v>40725</v>
      </c>
      <c r="M9213" t="s">
        <v>43062</v>
      </c>
      <c r="N9213" t="s">
        <v>44905</v>
      </c>
      <c r="O9213" t="s">
        <v>44906</v>
      </c>
      <c r="P9213">
        <v>0</v>
      </c>
      <c r="Q9213">
        <v>16</v>
      </c>
      <c r="R9213" t="s">
        <v>44913</v>
      </c>
      <c r="S9213" t="s">
        <v>45170</v>
      </c>
      <c r="T9213" t="s">
        <v>46607</v>
      </c>
      <c r="U9213" t="s">
        <v>54347</v>
      </c>
      <c r="V9213" t="s">
        <v>59999</v>
      </c>
      <c r="W9213" t="s">
        <v>60886</v>
      </c>
      <c r="X9213" t="s">
        <v>44914</v>
      </c>
    </row>
    <row r="9214" spans="1:24">
      <c r="A9214">
        <f>HYPERLINK("https://www.philgeps.gov.ph/GEPSNONPILOT/Tender/SplashBidNoticeAbstractUI.aspx?menuIndex=3&amp;refID=7070616&amp;Result=3","7070616")</f>
        <v>0</v>
      </c>
      <c r="B9214" t="s">
        <v>2679</v>
      </c>
      <c r="C9214" t="s">
        <v>12298</v>
      </c>
      <c r="D9214" t="s">
        <v>18120</v>
      </c>
      <c r="E9214" t="s">
        <v>12298</v>
      </c>
      <c r="F9214" t="s">
        <v>31362</v>
      </c>
      <c r="G9214" t="s">
        <v>31368</v>
      </c>
      <c r="H9214" t="s">
        <v>15799</v>
      </c>
      <c r="I9214" t="s">
        <v>31430</v>
      </c>
      <c r="J9214" t="s">
        <v>31806</v>
      </c>
      <c r="K9214" t="s">
        <v>40682</v>
      </c>
      <c r="M9214" t="s">
        <v>43865</v>
      </c>
      <c r="N9214" t="s">
        <v>44905</v>
      </c>
      <c r="O9214" t="s">
        <v>44906</v>
      </c>
      <c r="P9214">
        <v>0</v>
      </c>
      <c r="Q9214">
        <v>0</v>
      </c>
      <c r="R9214" t="s">
        <v>44913</v>
      </c>
      <c r="S9214" t="s">
        <v>45170</v>
      </c>
      <c r="T9214" t="s">
        <v>46432</v>
      </c>
      <c r="U9214" t="s">
        <v>54332</v>
      </c>
      <c r="W9214" t="s">
        <v>43865</v>
      </c>
      <c r="X9214" t="s">
        <v>44914</v>
      </c>
    </row>
    <row r="9215" spans="1:24">
      <c r="A9215">
        <f>HYPERLINK("https://www.philgeps.gov.ph/GEPSNONPILOT/Tender/SplashBidNoticeAbstractUI.aspx?menuIndex=3&amp;refID=7070612&amp;Result=3","7070612")</f>
        <v>0</v>
      </c>
      <c r="B9215" t="s">
        <v>2686</v>
      </c>
      <c r="C9215" t="s">
        <v>12299</v>
      </c>
      <c r="D9215" t="s">
        <v>18160</v>
      </c>
      <c r="E9215" t="s">
        <v>19519</v>
      </c>
      <c r="F9215" t="s">
        <v>31362</v>
      </c>
      <c r="G9215" t="s">
        <v>31369</v>
      </c>
      <c r="H9215" t="s">
        <v>31378</v>
      </c>
      <c r="I9215" t="s">
        <v>31386</v>
      </c>
      <c r="J9215" t="s">
        <v>31591</v>
      </c>
      <c r="K9215" t="s">
        <v>40662</v>
      </c>
      <c r="M9215" t="s">
        <v>43872</v>
      </c>
      <c r="N9215" t="s">
        <v>44905</v>
      </c>
      <c r="O9215" t="s">
        <v>44906</v>
      </c>
      <c r="P9215">
        <v>0</v>
      </c>
      <c r="Q9215">
        <v>0</v>
      </c>
      <c r="R9215" t="s">
        <v>44913</v>
      </c>
      <c r="S9215" t="s">
        <v>45170</v>
      </c>
      <c r="T9215" t="s">
        <v>46432</v>
      </c>
      <c r="U9215" t="s">
        <v>54357</v>
      </c>
      <c r="W9215" t="s">
        <v>43872</v>
      </c>
      <c r="X9215" t="s">
        <v>44914</v>
      </c>
    </row>
    <row r="9216" spans="1:24">
      <c r="A9216">
        <f>HYPERLINK("https://www.philgeps.gov.ph/GEPSNONPILOT/Tender/SplashBidNoticeAbstractUI.aspx?menuIndex=3&amp;refID=7070539&amp;Result=3","7070539")</f>
        <v>0</v>
      </c>
      <c r="B9216" t="s">
        <v>2679</v>
      </c>
      <c r="C9216" t="s">
        <v>12300</v>
      </c>
      <c r="D9216" t="s">
        <v>18120</v>
      </c>
      <c r="E9216" t="s">
        <v>12300</v>
      </c>
      <c r="F9216" t="s">
        <v>31362</v>
      </c>
      <c r="G9216" t="s">
        <v>31368</v>
      </c>
      <c r="H9216" t="s">
        <v>15799</v>
      </c>
      <c r="I9216" t="s">
        <v>31430</v>
      </c>
      <c r="J9216" t="s">
        <v>32662</v>
      </c>
      <c r="K9216" t="s">
        <v>40682</v>
      </c>
      <c r="M9216" t="s">
        <v>43865</v>
      </c>
      <c r="N9216" t="s">
        <v>44905</v>
      </c>
      <c r="O9216" t="s">
        <v>44906</v>
      </c>
      <c r="P9216">
        <v>0</v>
      </c>
      <c r="Q9216">
        <v>0</v>
      </c>
      <c r="R9216" t="s">
        <v>44913</v>
      </c>
      <c r="S9216" t="s">
        <v>45170</v>
      </c>
      <c r="T9216" t="s">
        <v>46432</v>
      </c>
      <c r="U9216" t="s">
        <v>54332</v>
      </c>
      <c r="W9216" t="s">
        <v>43865</v>
      </c>
      <c r="X9216" t="s">
        <v>44914</v>
      </c>
    </row>
    <row r="9217" spans="1:24">
      <c r="A9217">
        <f>HYPERLINK("https://www.philgeps.gov.ph/GEPSNONPILOT/Tender/SplashBidNoticeAbstractUI.aspx?menuIndex=3&amp;refID=7070602&amp;Result=3","7070602")</f>
        <v>0</v>
      </c>
      <c r="B9217" t="s">
        <v>362</v>
      </c>
      <c r="C9217" t="s">
        <v>12301</v>
      </c>
      <c r="D9217" t="s">
        <v>18103</v>
      </c>
      <c r="E9217" t="s">
        <v>26210</v>
      </c>
      <c r="F9217" t="s">
        <v>31362</v>
      </c>
      <c r="G9217" t="s">
        <v>31369</v>
      </c>
      <c r="H9217" t="s">
        <v>31378</v>
      </c>
      <c r="I9217" t="s">
        <v>31386</v>
      </c>
      <c r="J9217" t="s">
        <v>33482</v>
      </c>
      <c r="K9217" t="s">
        <v>40725</v>
      </c>
      <c r="M9217" t="s">
        <v>43080</v>
      </c>
      <c r="N9217" t="s">
        <v>44905</v>
      </c>
      <c r="O9217" t="s">
        <v>44906</v>
      </c>
      <c r="P9217">
        <v>0</v>
      </c>
      <c r="Q9217">
        <v>14</v>
      </c>
      <c r="R9217" t="s">
        <v>44913</v>
      </c>
      <c r="S9217" t="s">
        <v>45170</v>
      </c>
      <c r="T9217" t="s">
        <v>46607</v>
      </c>
      <c r="U9217" t="s">
        <v>54347</v>
      </c>
      <c r="V9217" t="s">
        <v>59999</v>
      </c>
      <c r="W9217" t="s">
        <v>60886</v>
      </c>
      <c r="X9217" t="s">
        <v>44914</v>
      </c>
    </row>
    <row r="9218" spans="1:24">
      <c r="A9218">
        <f>HYPERLINK("https://www.philgeps.gov.ph/GEPSNONPILOT/Tender/SplashBidNoticeAbstractUI.aspx?menuIndex=3&amp;refID=7070566&amp;Result=3","7070566")</f>
        <v>0</v>
      </c>
      <c r="B9218" t="s">
        <v>2658</v>
      </c>
      <c r="C9218" t="s">
        <v>12302</v>
      </c>
      <c r="D9218" t="s">
        <v>18100</v>
      </c>
      <c r="E9218" t="s">
        <v>26211</v>
      </c>
      <c r="F9218" t="s">
        <v>31362</v>
      </c>
      <c r="G9218" t="s">
        <v>31368</v>
      </c>
      <c r="H9218" t="s">
        <v>15799</v>
      </c>
      <c r="I9218" t="s">
        <v>7188</v>
      </c>
      <c r="J9218" t="s">
        <v>31535</v>
      </c>
      <c r="K9218" t="s">
        <v>40665</v>
      </c>
      <c r="M9218" t="s">
        <v>43842</v>
      </c>
      <c r="N9218" t="s">
        <v>44905</v>
      </c>
      <c r="O9218" t="s">
        <v>44906</v>
      </c>
      <c r="P9218">
        <v>0</v>
      </c>
      <c r="Q9218">
        <v>2</v>
      </c>
      <c r="R9218" t="s">
        <v>44913</v>
      </c>
      <c r="S9218" t="s">
        <v>45170</v>
      </c>
      <c r="T9218" t="s">
        <v>46454</v>
      </c>
      <c r="U9218" t="s">
        <v>54358</v>
      </c>
      <c r="W9218" t="s">
        <v>43842</v>
      </c>
      <c r="X9218" t="s">
        <v>44914</v>
      </c>
    </row>
    <row r="9219" spans="1:24">
      <c r="A9219">
        <f>HYPERLINK("https://www.philgeps.gov.ph/GEPSNONPILOT/Tender/SplashBidNoticeAbstractUI.aspx?menuIndex=3&amp;refID=7070594&amp;Result=3","7070594")</f>
        <v>0</v>
      </c>
      <c r="B9219" t="s">
        <v>2679</v>
      </c>
      <c r="C9219" t="s">
        <v>12303</v>
      </c>
      <c r="D9219" t="s">
        <v>18120</v>
      </c>
      <c r="E9219" t="s">
        <v>12303</v>
      </c>
      <c r="F9219" t="s">
        <v>31362</v>
      </c>
      <c r="G9219" t="s">
        <v>31368</v>
      </c>
      <c r="H9219" t="s">
        <v>15799</v>
      </c>
      <c r="I9219" t="s">
        <v>31430</v>
      </c>
      <c r="J9219" t="s">
        <v>37141</v>
      </c>
      <c r="K9219" t="s">
        <v>40682</v>
      </c>
      <c r="M9219" t="s">
        <v>43865</v>
      </c>
      <c r="N9219" t="s">
        <v>44905</v>
      </c>
      <c r="O9219" t="s">
        <v>44906</v>
      </c>
      <c r="P9219">
        <v>0</v>
      </c>
      <c r="Q9219">
        <v>0</v>
      </c>
      <c r="R9219" t="s">
        <v>44913</v>
      </c>
      <c r="S9219" t="s">
        <v>45170</v>
      </c>
      <c r="T9219" t="s">
        <v>46432</v>
      </c>
      <c r="U9219" t="s">
        <v>54332</v>
      </c>
      <c r="W9219" t="s">
        <v>43865</v>
      </c>
      <c r="X9219" t="s">
        <v>44914</v>
      </c>
    </row>
    <row r="9220" spans="1:24">
      <c r="A9220">
        <f>HYPERLINK("https://www.philgeps.gov.ph/GEPSNONPILOT/Tender/SplashBidNoticeAbstractUI.aspx?menuIndex=3&amp;refID=7070638&amp;Result=3","7070638")</f>
        <v>0</v>
      </c>
      <c r="B9220" t="s">
        <v>2679</v>
      </c>
      <c r="C9220" t="s">
        <v>12304</v>
      </c>
      <c r="D9220" t="s">
        <v>18120</v>
      </c>
      <c r="E9220" t="s">
        <v>12304</v>
      </c>
      <c r="F9220" t="s">
        <v>31362</v>
      </c>
      <c r="G9220" t="s">
        <v>31368</v>
      </c>
      <c r="H9220" t="s">
        <v>15799</v>
      </c>
      <c r="I9220" t="s">
        <v>31430</v>
      </c>
      <c r="J9220" t="s">
        <v>37142</v>
      </c>
      <c r="K9220" t="s">
        <v>40682</v>
      </c>
      <c r="M9220" t="s">
        <v>43865</v>
      </c>
      <c r="N9220" t="s">
        <v>44905</v>
      </c>
      <c r="O9220" t="s">
        <v>44906</v>
      </c>
      <c r="P9220">
        <v>0</v>
      </c>
      <c r="Q9220">
        <v>0</v>
      </c>
      <c r="R9220" t="s">
        <v>44913</v>
      </c>
      <c r="S9220" t="s">
        <v>45170</v>
      </c>
      <c r="T9220" t="s">
        <v>46432</v>
      </c>
      <c r="U9220" t="s">
        <v>54332</v>
      </c>
      <c r="W9220" t="s">
        <v>43865</v>
      </c>
      <c r="X9220" t="s">
        <v>44914</v>
      </c>
    </row>
    <row r="9221" spans="1:24">
      <c r="A9221">
        <f>HYPERLINK("https://www.philgeps.gov.ph/GEPSNONPILOT/Tender/SplashBidNoticeAbstractUI.aspx?menuIndex=3&amp;refID=7070591&amp;Result=3","7070591")</f>
        <v>0</v>
      </c>
      <c r="B9221" t="s">
        <v>2686</v>
      </c>
      <c r="C9221" t="s">
        <v>12305</v>
      </c>
      <c r="D9221" t="s">
        <v>18160</v>
      </c>
      <c r="E9221" t="s">
        <v>22819</v>
      </c>
      <c r="F9221" t="s">
        <v>31362</v>
      </c>
      <c r="G9221" t="s">
        <v>31369</v>
      </c>
      <c r="H9221" t="s">
        <v>31378</v>
      </c>
      <c r="I9221" t="s">
        <v>31386</v>
      </c>
      <c r="J9221" t="s">
        <v>31591</v>
      </c>
      <c r="K9221" t="s">
        <v>40662</v>
      </c>
      <c r="M9221" t="s">
        <v>43872</v>
      </c>
      <c r="N9221" t="s">
        <v>44905</v>
      </c>
      <c r="O9221" t="s">
        <v>44906</v>
      </c>
      <c r="P9221">
        <v>0</v>
      </c>
      <c r="Q9221">
        <v>0</v>
      </c>
      <c r="R9221" t="s">
        <v>44913</v>
      </c>
      <c r="S9221" t="s">
        <v>45170</v>
      </c>
      <c r="T9221" t="s">
        <v>46432</v>
      </c>
      <c r="U9221" t="s">
        <v>54359</v>
      </c>
      <c r="W9221" t="s">
        <v>43872</v>
      </c>
      <c r="X9221" t="s">
        <v>44914</v>
      </c>
    </row>
    <row r="9222" spans="1:24">
      <c r="A9222">
        <f>HYPERLINK("https://www.philgeps.gov.ph/GEPSNONPILOT/Tender/SplashBidNoticeAbstractUI.aspx?menuIndex=3&amp;refID=7070614&amp;Result=3","7070614")</f>
        <v>0</v>
      </c>
      <c r="B9222" t="s">
        <v>450</v>
      </c>
      <c r="C9222" t="s">
        <v>12306</v>
      </c>
      <c r="D9222" t="s">
        <v>18128</v>
      </c>
      <c r="E9222" t="s">
        <v>26212</v>
      </c>
      <c r="F9222" t="s">
        <v>31362</v>
      </c>
      <c r="G9222" t="s">
        <v>31368</v>
      </c>
      <c r="H9222" t="s">
        <v>15799</v>
      </c>
      <c r="I9222" t="s">
        <v>31385</v>
      </c>
      <c r="J9222" t="s">
        <v>37143</v>
      </c>
      <c r="K9222" t="s">
        <v>40665</v>
      </c>
      <c r="M9222" t="s">
        <v>41404</v>
      </c>
      <c r="N9222" t="s">
        <v>44905</v>
      </c>
      <c r="O9222" t="s">
        <v>44906</v>
      </c>
      <c r="P9222">
        <v>0</v>
      </c>
      <c r="Q9222">
        <v>0</v>
      </c>
      <c r="R9222" t="s">
        <v>44913</v>
      </c>
      <c r="S9222" t="s">
        <v>45170</v>
      </c>
      <c r="T9222" t="s">
        <v>46426</v>
      </c>
      <c r="U9222" t="s">
        <v>47749</v>
      </c>
      <c r="V9222" t="s">
        <v>59996</v>
      </c>
      <c r="W9222" t="s">
        <v>41404</v>
      </c>
      <c r="X9222" t="s">
        <v>44914</v>
      </c>
    </row>
    <row r="9223" spans="1:24">
      <c r="A9223">
        <f>HYPERLINK("https://www.philgeps.gov.ph/GEPSNONPILOT/Tender/SplashBidNoticeAbstractUI.aspx?menuIndex=3&amp;refID=7070529&amp;Result=3","7070529")</f>
        <v>0</v>
      </c>
      <c r="B9223" t="s">
        <v>1153</v>
      </c>
      <c r="C9223" t="s">
        <v>12307</v>
      </c>
      <c r="D9223" t="s">
        <v>18122</v>
      </c>
      <c r="E9223" t="s">
        <v>26213</v>
      </c>
      <c r="F9223" t="s">
        <v>31362</v>
      </c>
      <c r="G9223" t="s">
        <v>31369</v>
      </c>
      <c r="H9223" t="s">
        <v>15799</v>
      </c>
      <c r="I9223" t="s">
        <v>4942</v>
      </c>
      <c r="J9223" t="s">
        <v>37144</v>
      </c>
      <c r="K9223" t="s">
        <v>40665</v>
      </c>
      <c r="M9223" t="s">
        <v>42162</v>
      </c>
      <c r="N9223" t="s">
        <v>44905</v>
      </c>
      <c r="O9223" t="s">
        <v>44906</v>
      </c>
      <c r="P9223">
        <v>0</v>
      </c>
      <c r="Q9223">
        <v>1</v>
      </c>
      <c r="R9223" t="s">
        <v>44913</v>
      </c>
      <c r="S9223" t="s">
        <v>45170</v>
      </c>
      <c r="T9223" t="s">
        <v>46583</v>
      </c>
      <c r="U9223" t="s">
        <v>54360</v>
      </c>
      <c r="W9223" t="s">
        <v>42162</v>
      </c>
      <c r="X9223" t="s">
        <v>44914</v>
      </c>
    </row>
    <row r="9224" spans="1:24">
      <c r="A9224">
        <f>HYPERLINK("https://www.philgeps.gov.ph/GEPSNONPILOT/Tender/SplashBidNoticeAbstractUI.aspx?menuIndex=3&amp;refID=7070503&amp;Result=3","7070503")</f>
        <v>0</v>
      </c>
      <c r="B9224" t="s">
        <v>1037</v>
      </c>
      <c r="C9224" t="s">
        <v>12308</v>
      </c>
      <c r="D9224" t="s">
        <v>18146</v>
      </c>
      <c r="E9224" t="s">
        <v>26214</v>
      </c>
      <c r="F9224" t="s">
        <v>31362</v>
      </c>
      <c r="G9224" t="s">
        <v>31369</v>
      </c>
      <c r="H9224" t="s">
        <v>31378</v>
      </c>
      <c r="I9224" t="s">
        <v>31386</v>
      </c>
      <c r="J9224" t="s">
        <v>37145</v>
      </c>
      <c r="K9224" t="s">
        <v>40696</v>
      </c>
      <c r="M9224" t="s">
        <v>43675</v>
      </c>
      <c r="N9224" t="s">
        <v>44905</v>
      </c>
      <c r="O9224" t="s">
        <v>44906</v>
      </c>
      <c r="P9224">
        <v>0</v>
      </c>
      <c r="Q9224">
        <v>0</v>
      </c>
      <c r="R9224" t="s">
        <v>44913</v>
      </c>
      <c r="S9224" t="s">
        <v>45170</v>
      </c>
      <c r="T9224" t="s">
        <v>46483</v>
      </c>
      <c r="U9224" t="s">
        <v>54361</v>
      </c>
      <c r="V9224" t="s">
        <v>60002</v>
      </c>
      <c r="W9224" t="s">
        <v>43675</v>
      </c>
      <c r="X9224" t="s">
        <v>44914</v>
      </c>
    </row>
    <row r="9225" spans="1:24">
      <c r="A9225">
        <f>HYPERLINK("https://www.philgeps.gov.ph/GEPSNONPILOT/Tender/SplashBidNoticeAbstractUI.aspx?menuIndex=3&amp;refID=7072713&amp;Result=3","7072713")</f>
        <v>0</v>
      </c>
      <c r="B9225" t="s">
        <v>2638</v>
      </c>
      <c r="C9225" t="s">
        <v>12309</v>
      </c>
      <c r="E9225" t="s">
        <v>26215</v>
      </c>
      <c r="F9225" t="s">
        <v>31362</v>
      </c>
      <c r="G9225" t="s">
        <v>31369</v>
      </c>
      <c r="H9225" t="s">
        <v>15799</v>
      </c>
      <c r="I9225" t="s">
        <v>31385</v>
      </c>
      <c r="J9225" t="s">
        <v>37146</v>
      </c>
      <c r="K9225" t="s">
        <v>40662</v>
      </c>
      <c r="M9225" t="s">
        <v>43819</v>
      </c>
      <c r="N9225" t="s">
        <v>44905</v>
      </c>
      <c r="O9225" t="s">
        <v>44906</v>
      </c>
      <c r="P9225">
        <v>0</v>
      </c>
      <c r="Q9225">
        <v>3</v>
      </c>
      <c r="R9225" t="s">
        <v>44912</v>
      </c>
      <c r="S9225" t="s">
        <v>45159</v>
      </c>
      <c r="T9225" t="s">
        <v>46434</v>
      </c>
      <c r="U9225" t="s">
        <v>54233</v>
      </c>
      <c r="W9225" t="s">
        <v>43819</v>
      </c>
      <c r="X9225" t="s">
        <v>44913</v>
      </c>
    </row>
    <row r="9226" spans="1:24">
      <c r="A9226">
        <f>HYPERLINK("https://www.philgeps.gov.ph/GEPSNONPILOT/Tender/SplashBidNoticeAbstractUI.aspx?menuIndex=3&amp;refID=7070502&amp;Result=3","7070502")</f>
        <v>0</v>
      </c>
      <c r="B9226" t="s">
        <v>393</v>
      </c>
      <c r="C9226" t="s">
        <v>12310</v>
      </c>
      <c r="E9226" t="s">
        <v>26216</v>
      </c>
      <c r="F9226" t="s">
        <v>31362</v>
      </c>
      <c r="G9226" t="s">
        <v>31369</v>
      </c>
      <c r="H9226" t="s">
        <v>15799</v>
      </c>
      <c r="I9226" t="s">
        <v>31435</v>
      </c>
      <c r="J9226" t="s">
        <v>37147</v>
      </c>
      <c r="K9226" t="s">
        <v>40666</v>
      </c>
      <c r="M9226" t="s">
        <v>41341</v>
      </c>
      <c r="N9226" t="s">
        <v>44905</v>
      </c>
      <c r="O9226" t="s">
        <v>44906</v>
      </c>
      <c r="P9226">
        <v>0</v>
      </c>
      <c r="Q9226">
        <v>1</v>
      </c>
      <c r="R9226" t="s">
        <v>44913</v>
      </c>
      <c r="S9226" t="s">
        <v>45170</v>
      </c>
      <c r="T9226" t="s">
        <v>46409</v>
      </c>
      <c r="U9226" t="s">
        <v>54362</v>
      </c>
      <c r="W9226" t="s">
        <v>41341</v>
      </c>
      <c r="X9226" t="s">
        <v>44914</v>
      </c>
    </row>
    <row r="9227" spans="1:24">
      <c r="A9227">
        <f>HYPERLINK("https://www.philgeps.gov.ph/GEPSNONPILOT/Tender/SplashBidNoticeAbstractUI.aspx?menuIndex=3&amp;refID=7070752&amp;Result=3","7070752")</f>
        <v>0</v>
      </c>
      <c r="B9227" t="s">
        <v>2197</v>
      </c>
      <c r="C9227" t="s">
        <v>12311</v>
      </c>
      <c r="D9227" t="s">
        <v>18109</v>
      </c>
      <c r="E9227" t="s">
        <v>26217</v>
      </c>
      <c r="F9227" t="s">
        <v>31362</v>
      </c>
      <c r="G9227" t="s">
        <v>31370</v>
      </c>
      <c r="H9227" t="s">
        <v>15799</v>
      </c>
      <c r="I9227" t="s">
        <v>31385</v>
      </c>
      <c r="J9227" t="s">
        <v>37148</v>
      </c>
      <c r="K9227" t="s">
        <v>40662</v>
      </c>
      <c r="M9227" t="s">
        <v>43328</v>
      </c>
      <c r="N9227" t="s">
        <v>44905</v>
      </c>
      <c r="O9227" t="s">
        <v>44906</v>
      </c>
      <c r="P9227">
        <v>0</v>
      </c>
      <c r="Q9227">
        <v>1</v>
      </c>
      <c r="R9227" t="s">
        <v>44913</v>
      </c>
      <c r="S9227" t="s">
        <v>45170</v>
      </c>
      <c r="T9227" t="s">
        <v>46532</v>
      </c>
      <c r="U9227" t="s">
        <v>52794</v>
      </c>
      <c r="W9227" t="s">
        <v>43328</v>
      </c>
      <c r="X9227" t="s">
        <v>44914</v>
      </c>
    </row>
    <row r="9228" spans="1:24">
      <c r="A9228">
        <f>HYPERLINK("https://www.philgeps.gov.ph/GEPSNONPILOT/Tender/SplashBidNoticeAbstractUI.aspx?menuIndex=3&amp;refID=7070601&amp;Result=3","7070601")</f>
        <v>0</v>
      </c>
      <c r="B9228" t="s">
        <v>1153</v>
      </c>
      <c r="C9228" t="s">
        <v>12312</v>
      </c>
      <c r="D9228" t="s">
        <v>18122</v>
      </c>
      <c r="E9228" t="s">
        <v>26218</v>
      </c>
      <c r="F9228" t="s">
        <v>31362</v>
      </c>
      <c r="G9228" t="s">
        <v>31369</v>
      </c>
      <c r="H9228" t="s">
        <v>15799</v>
      </c>
      <c r="I9228" t="s">
        <v>7090</v>
      </c>
      <c r="J9228" t="s">
        <v>37149</v>
      </c>
      <c r="K9228" t="s">
        <v>40665</v>
      </c>
      <c r="M9228" t="s">
        <v>42162</v>
      </c>
      <c r="N9228" t="s">
        <v>44905</v>
      </c>
      <c r="O9228" t="s">
        <v>44906</v>
      </c>
      <c r="P9228">
        <v>0</v>
      </c>
      <c r="Q9228">
        <v>3</v>
      </c>
      <c r="R9228" t="s">
        <v>44913</v>
      </c>
      <c r="S9228" t="s">
        <v>45170</v>
      </c>
      <c r="T9228" t="s">
        <v>46583</v>
      </c>
      <c r="U9228" t="s">
        <v>54363</v>
      </c>
      <c r="W9228" t="s">
        <v>42162</v>
      </c>
      <c r="X9228" t="s">
        <v>44914</v>
      </c>
    </row>
    <row r="9229" spans="1:24">
      <c r="A9229">
        <f>HYPERLINK("https://www.philgeps.gov.ph/GEPSNONPILOT/Tender/SplashBidNoticeAbstractUI.aspx?menuIndex=3&amp;refID=7070588&amp;Result=3","7070588")</f>
        <v>0</v>
      </c>
      <c r="B9229" t="s">
        <v>2685</v>
      </c>
      <c r="C9229" t="s">
        <v>12313</v>
      </c>
      <c r="E9229" t="s">
        <v>26219</v>
      </c>
      <c r="F9229" t="s">
        <v>31362</v>
      </c>
      <c r="G9229" t="s">
        <v>31369</v>
      </c>
      <c r="H9229" t="s">
        <v>31378</v>
      </c>
      <c r="I9229" t="s">
        <v>31386</v>
      </c>
      <c r="J9229" t="s">
        <v>31530</v>
      </c>
      <c r="K9229" t="s">
        <v>40770</v>
      </c>
      <c r="M9229" t="s">
        <v>43871</v>
      </c>
      <c r="N9229" t="s">
        <v>44905</v>
      </c>
      <c r="O9229" t="s">
        <v>44906</v>
      </c>
      <c r="P9229">
        <v>0</v>
      </c>
      <c r="Q9229">
        <v>1</v>
      </c>
      <c r="R9229" t="s">
        <v>44913</v>
      </c>
      <c r="S9229" t="s">
        <v>45170</v>
      </c>
      <c r="T9229" t="s">
        <v>46478</v>
      </c>
      <c r="U9229" t="s">
        <v>54364</v>
      </c>
      <c r="W9229" t="s">
        <v>43871</v>
      </c>
      <c r="X9229" t="s">
        <v>44914</v>
      </c>
    </row>
    <row r="9230" spans="1:24">
      <c r="A9230">
        <f>HYPERLINK("https://www.philgeps.gov.ph/GEPSNONPILOT/Tender/SplashBidNoticeAbstractUI.aspx?menuIndex=3&amp;refID=7070771&amp;Result=3","7070771")</f>
        <v>0</v>
      </c>
      <c r="B9230" t="s">
        <v>2687</v>
      </c>
      <c r="C9230" t="s">
        <v>12314</v>
      </c>
      <c r="D9230" t="s">
        <v>18108</v>
      </c>
      <c r="E9230" t="s">
        <v>26220</v>
      </c>
      <c r="F9230" t="s">
        <v>31362</v>
      </c>
      <c r="G9230" t="s">
        <v>31369</v>
      </c>
      <c r="H9230" t="s">
        <v>15799</v>
      </c>
      <c r="I9230" t="s">
        <v>4283</v>
      </c>
      <c r="J9230" t="s">
        <v>36744</v>
      </c>
      <c r="K9230" t="s">
        <v>40680</v>
      </c>
      <c r="M9230" t="s">
        <v>43873</v>
      </c>
      <c r="N9230" t="s">
        <v>44905</v>
      </c>
      <c r="O9230" t="s">
        <v>44906</v>
      </c>
      <c r="Q9230">
        <v>4</v>
      </c>
      <c r="R9230" t="s">
        <v>44913</v>
      </c>
      <c r="S9230" t="s">
        <v>45177</v>
      </c>
      <c r="T9230" t="s">
        <v>46464</v>
      </c>
      <c r="U9230" t="s">
        <v>54365</v>
      </c>
      <c r="W9230" t="s">
        <v>43873</v>
      </c>
      <c r="X9230" t="s">
        <v>44914</v>
      </c>
    </row>
    <row r="9231" spans="1:24">
      <c r="A9231">
        <f>HYPERLINK("https://www.philgeps.gov.ph/GEPSNONPILOT/Tender/SplashBidNoticeAbstractUI.aspx?menuIndex=3&amp;refID=7070747&amp;Result=3","7070747")</f>
        <v>0</v>
      </c>
      <c r="B9231" t="s">
        <v>1033</v>
      </c>
      <c r="C9231" t="s">
        <v>12315</v>
      </c>
      <c r="D9231" t="s">
        <v>18162</v>
      </c>
      <c r="E9231" t="s">
        <v>26221</v>
      </c>
      <c r="F9231" t="s">
        <v>31362</v>
      </c>
      <c r="G9231" t="s">
        <v>31369</v>
      </c>
      <c r="H9231" t="s">
        <v>15799</v>
      </c>
      <c r="I9231" t="s">
        <v>31385</v>
      </c>
      <c r="J9231" t="s">
        <v>31768</v>
      </c>
      <c r="K9231" t="s">
        <v>40670</v>
      </c>
      <c r="M9231" t="s">
        <v>42032</v>
      </c>
      <c r="N9231" t="s">
        <v>44905</v>
      </c>
      <c r="O9231" t="s">
        <v>44906</v>
      </c>
      <c r="P9231">
        <v>0</v>
      </c>
      <c r="Q9231">
        <v>0</v>
      </c>
      <c r="R9231" t="s">
        <v>44913</v>
      </c>
      <c r="S9231" t="s">
        <v>45170</v>
      </c>
      <c r="T9231" t="s">
        <v>46509</v>
      </c>
      <c r="U9231" t="s">
        <v>54366</v>
      </c>
      <c r="W9231" t="s">
        <v>42032</v>
      </c>
      <c r="X9231" t="s">
        <v>44914</v>
      </c>
    </row>
    <row r="9232" spans="1:24">
      <c r="A9232">
        <f>HYPERLINK("https://www.philgeps.gov.ph/GEPSNONPILOT/Tender/SplashBidNoticeAbstractUI.aspx?menuIndex=3&amp;refID=7072702&amp;Result=3","7072702")</f>
        <v>0</v>
      </c>
      <c r="B9232" t="s">
        <v>2688</v>
      </c>
      <c r="C9232" t="s">
        <v>11967</v>
      </c>
      <c r="D9232" t="s">
        <v>18101</v>
      </c>
      <c r="E9232" t="s">
        <v>18227</v>
      </c>
      <c r="F9232" t="s">
        <v>31362</v>
      </c>
      <c r="G9232" t="s">
        <v>31369</v>
      </c>
      <c r="H9232" t="s">
        <v>15799</v>
      </c>
      <c r="I9232" t="s">
        <v>3815</v>
      </c>
      <c r="J9232" t="s">
        <v>37150</v>
      </c>
      <c r="K9232" t="s">
        <v>40670</v>
      </c>
      <c r="M9232" t="s">
        <v>43874</v>
      </c>
      <c r="N9232" t="s">
        <v>44905</v>
      </c>
      <c r="O9232" t="s">
        <v>44906</v>
      </c>
      <c r="P9232">
        <v>0</v>
      </c>
      <c r="Q9232">
        <v>0</v>
      </c>
      <c r="R9232" t="s">
        <v>44912</v>
      </c>
      <c r="S9232" t="s">
        <v>45159</v>
      </c>
      <c r="T9232" t="s">
        <v>46411</v>
      </c>
      <c r="U9232" t="s">
        <v>54367</v>
      </c>
      <c r="W9232" t="s">
        <v>43874</v>
      </c>
      <c r="X9232" t="s">
        <v>44913</v>
      </c>
    </row>
    <row r="9233" spans="1:24">
      <c r="A9233">
        <f>HYPERLINK("https://www.philgeps.gov.ph/GEPSNONPILOT/Tender/SplashBidNoticeAbstractUI.aspx?menuIndex=3&amp;refID=7070740&amp;Result=3","7070740")</f>
        <v>0</v>
      </c>
      <c r="B9233" t="s">
        <v>2689</v>
      </c>
      <c r="C9233" t="s">
        <v>12316</v>
      </c>
      <c r="D9233" t="s">
        <v>18105</v>
      </c>
      <c r="E9233" t="s">
        <v>26222</v>
      </c>
      <c r="F9233" t="s">
        <v>31362</v>
      </c>
      <c r="G9233" t="s">
        <v>31369</v>
      </c>
      <c r="H9233" t="s">
        <v>31378</v>
      </c>
      <c r="I9233" t="s">
        <v>31386</v>
      </c>
      <c r="J9233" t="s">
        <v>31734</v>
      </c>
      <c r="K9233" t="s">
        <v>40686</v>
      </c>
      <c r="M9233" t="s">
        <v>43875</v>
      </c>
      <c r="N9233" t="s">
        <v>44905</v>
      </c>
      <c r="O9233" t="s">
        <v>44906</v>
      </c>
      <c r="P9233">
        <v>0</v>
      </c>
      <c r="Q9233">
        <v>1</v>
      </c>
      <c r="R9233" t="s">
        <v>44913</v>
      </c>
      <c r="S9233" t="s">
        <v>45170</v>
      </c>
      <c r="T9233" t="s">
        <v>46623</v>
      </c>
      <c r="U9233" t="s">
        <v>54368</v>
      </c>
      <c r="W9233" t="s">
        <v>43875</v>
      </c>
      <c r="X9233" t="s">
        <v>44914</v>
      </c>
    </row>
    <row r="9234" spans="1:24">
      <c r="A9234">
        <f>HYPERLINK("https://www.philgeps.gov.ph/GEPSNONPILOT/Tender/SplashBidNoticeAbstractUI.aspx?menuIndex=3&amp;refID=7070726&amp;Result=3","7070726")</f>
        <v>0</v>
      </c>
      <c r="B9234" t="s">
        <v>1033</v>
      </c>
      <c r="C9234" t="s">
        <v>12317</v>
      </c>
      <c r="D9234" t="s">
        <v>18162</v>
      </c>
      <c r="E9234" t="s">
        <v>26223</v>
      </c>
      <c r="F9234" t="s">
        <v>31362</v>
      </c>
      <c r="G9234" t="s">
        <v>31369</v>
      </c>
      <c r="H9234" t="s">
        <v>15799</v>
      </c>
      <c r="I9234" t="s">
        <v>31385</v>
      </c>
      <c r="J9234" t="s">
        <v>37151</v>
      </c>
      <c r="K9234" t="s">
        <v>40670</v>
      </c>
      <c r="M9234" t="s">
        <v>42032</v>
      </c>
      <c r="N9234" t="s">
        <v>44905</v>
      </c>
      <c r="O9234" t="s">
        <v>44906</v>
      </c>
      <c r="P9234">
        <v>0</v>
      </c>
      <c r="Q9234">
        <v>0</v>
      </c>
      <c r="R9234" t="s">
        <v>44913</v>
      </c>
      <c r="S9234" t="s">
        <v>45170</v>
      </c>
      <c r="T9234" t="s">
        <v>46509</v>
      </c>
      <c r="U9234" t="s">
        <v>54369</v>
      </c>
      <c r="W9234" t="s">
        <v>42032</v>
      </c>
      <c r="X9234" t="s">
        <v>44914</v>
      </c>
    </row>
    <row r="9235" spans="1:24">
      <c r="A9235">
        <f>HYPERLINK("https://www.philgeps.gov.ph/GEPSNONPILOT/Tender/SplashBidNoticeAbstractUI.aspx?menuIndex=3&amp;refID=7070725&amp;Result=3","7070725")</f>
        <v>0</v>
      </c>
      <c r="B9235" t="s">
        <v>2690</v>
      </c>
      <c r="C9235" t="s">
        <v>12318</v>
      </c>
      <c r="D9235" t="s">
        <v>18136</v>
      </c>
      <c r="E9235" t="s">
        <v>26224</v>
      </c>
      <c r="F9235" t="s">
        <v>31362</v>
      </c>
      <c r="G9235" t="s">
        <v>31370</v>
      </c>
      <c r="H9235" t="s">
        <v>15799</v>
      </c>
      <c r="I9235" t="s">
        <v>7090</v>
      </c>
      <c r="J9235" t="s">
        <v>34426</v>
      </c>
      <c r="K9235" t="s">
        <v>40665</v>
      </c>
      <c r="M9235" t="s">
        <v>43876</v>
      </c>
      <c r="N9235" t="s">
        <v>44905</v>
      </c>
      <c r="O9235" t="s">
        <v>44906</v>
      </c>
      <c r="Q9235">
        <v>3</v>
      </c>
      <c r="R9235" t="s">
        <v>44913</v>
      </c>
      <c r="S9235" t="s">
        <v>45178</v>
      </c>
      <c r="T9235" t="s">
        <v>46396</v>
      </c>
      <c r="U9235" t="s">
        <v>54370</v>
      </c>
      <c r="V9235" t="s">
        <v>60003</v>
      </c>
      <c r="W9235" t="s">
        <v>43876</v>
      </c>
      <c r="X9235" t="s">
        <v>44914</v>
      </c>
    </row>
    <row r="9236" spans="1:24">
      <c r="A9236">
        <f>HYPERLINK("https://www.philgeps.gov.ph/GEPSNONPILOT/Tender/SplashBidNoticeAbstractUI.aspx?menuIndex=3&amp;refID=7070723&amp;Result=3","7070723")</f>
        <v>0</v>
      </c>
      <c r="B9236" t="s">
        <v>2679</v>
      </c>
      <c r="C9236" t="s">
        <v>12319</v>
      </c>
      <c r="D9236" t="s">
        <v>18120</v>
      </c>
      <c r="E9236" t="s">
        <v>12319</v>
      </c>
      <c r="F9236" t="s">
        <v>31362</v>
      </c>
      <c r="G9236" t="s">
        <v>31368</v>
      </c>
      <c r="H9236" t="s">
        <v>15799</v>
      </c>
      <c r="I9236" t="s">
        <v>31430</v>
      </c>
      <c r="J9236" t="s">
        <v>37152</v>
      </c>
      <c r="K9236" t="s">
        <v>40682</v>
      </c>
      <c r="M9236" t="s">
        <v>43865</v>
      </c>
      <c r="N9236" t="s">
        <v>44905</v>
      </c>
      <c r="O9236" t="s">
        <v>44906</v>
      </c>
      <c r="P9236">
        <v>0</v>
      </c>
      <c r="Q9236">
        <v>0</v>
      </c>
      <c r="R9236" t="s">
        <v>44913</v>
      </c>
      <c r="S9236" t="s">
        <v>45170</v>
      </c>
      <c r="T9236" t="s">
        <v>46432</v>
      </c>
      <c r="U9236" t="s">
        <v>54332</v>
      </c>
      <c r="W9236" t="s">
        <v>43865</v>
      </c>
      <c r="X9236" t="s">
        <v>44914</v>
      </c>
    </row>
    <row r="9237" spans="1:24">
      <c r="A9237">
        <f>HYPERLINK("https://www.philgeps.gov.ph/GEPSNONPILOT/Tender/SplashBidNoticeAbstractUI.aspx?menuIndex=3&amp;refID=7070718&amp;Result=3","7070718")</f>
        <v>0</v>
      </c>
      <c r="B9237" t="s">
        <v>362</v>
      </c>
      <c r="C9237" t="s">
        <v>12320</v>
      </c>
      <c r="D9237" t="s">
        <v>18103</v>
      </c>
      <c r="E9237" t="s">
        <v>26225</v>
      </c>
      <c r="F9237" t="s">
        <v>31362</v>
      </c>
      <c r="G9237" t="s">
        <v>31369</v>
      </c>
      <c r="H9237" t="s">
        <v>31378</v>
      </c>
      <c r="I9237" t="s">
        <v>31386</v>
      </c>
      <c r="J9237" t="s">
        <v>33735</v>
      </c>
      <c r="K9237" t="s">
        <v>40679</v>
      </c>
      <c r="M9237" t="s">
        <v>43062</v>
      </c>
      <c r="N9237" t="s">
        <v>44905</v>
      </c>
      <c r="O9237" t="s">
        <v>44906</v>
      </c>
      <c r="P9237">
        <v>0</v>
      </c>
      <c r="Q9237">
        <v>16</v>
      </c>
      <c r="R9237" t="s">
        <v>44913</v>
      </c>
      <c r="S9237" t="s">
        <v>45170</v>
      </c>
      <c r="T9237" t="s">
        <v>46607</v>
      </c>
      <c r="U9237" t="s">
        <v>54347</v>
      </c>
      <c r="V9237" t="s">
        <v>59999</v>
      </c>
      <c r="W9237" t="s">
        <v>60886</v>
      </c>
      <c r="X9237" t="s">
        <v>44914</v>
      </c>
    </row>
    <row r="9238" spans="1:24">
      <c r="A9238">
        <f>HYPERLINK("https://www.philgeps.gov.ph/GEPSNONPILOT/Tender/SplashBidNoticeAbstractUI.aspx?menuIndex=3&amp;refID=7070706&amp;Result=3","7070706")</f>
        <v>0</v>
      </c>
      <c r="B9238" t="s">
        <v>450</v>
      </c>
      <c r="C9238" t="s">
        <v>12321</v>
      </c>
      <c r="D9238" t="s">
        <v>18128</v>
      </c>
      <c r="E9238" t="s">
        <v>18509</v>
      </c>
      <c r="F9238" t="s">
        <v>31362</v>
      </c>
      <c r="G9238" t="s">
        <v>31368</v>
      </c>
      <c r="H9238" t="s">
        <v>15799</v>
      </c>
      <c r="I9238" t="s">
        <v>31394</v>
      </c>
      <c r="J9238" t="s">
        <v>37153</v>
      </c>
      <c r="K9238" t="s">
        <v>40665</v>
      </c>
      <c r="M9238" t="s">
        <v>41404</v>
      </c>
      <c r="N9238" t="s">
        <v>44905</v>
      </c>
      <c r="O9238" t="s">
        <v>44906</v>
      </c>
      <c r="P9238">
        <v>0</v>
      </c>
      <c r="Q9238">
        <v>2</v>
      </c>
      <c r="R9238" t="s">
        <v>44913</v>
      </c>
      <c r="S9238" t="s">
        <v>45170</v>
      </c>
      <c r="T9238" t="s">
        <v>46426</v>
      </c>
      <c r="U9238" t="s">
        <v>54371</v>
      </c>
      <c r="V9238" t="s">
        <v>59996</v>
      </c>
      <c r="W9238" t="s">
        <v>41404</v>
      </c>
      <c r="X9238" t="s">
        <v>44914</v>
      </c>
    </row>
    <row r="9239" spans="1:24">
      <c r="A9239">
        <f>HYPERLINK("https://www.philgeps.gov.ph/GEPSNONPILOT/Tender/SplashBidNoticeAbstractUI.aspx?menuIndex=3&amp;refID=7070703&amp;Result=3","7070703")</f>
        <v>0</v>
      </c>
      <c r="B9239" t="s">
        <v>2638</v>
      </c>
      <c r="C9239" t="s">
        <v>12322</v>
      </c>
      <c r="E9239" t="s">
        <v>26226</v>
      </c>
      <c r="F9239" t="s">
        <v>31362</v>
      </c>
      <c r="G9239" t="s">
        <v>31369</v>
      </c>
      <c r="H9239" t="s">
        <v>15799</v>
      </c>
      <c r="I9239" t="s">
        <v>31402</v>
      </c>
      <c r="J9239" t="s">
        <v>37154</v>
      </c>
      <c r="K9239" t="s">
        <v>40662</v>
      </c>
      <c r="M9239" t="s">
        <v>43819</v>
      </c>
      <c r="N9239" t="s">
        <v>44905</v>
      </c>
      <c r="O9239" t="s">
        <v>44906</v>
      </c>
      <c r="P9239">
        <v>0</v>
      </c>
      <c r="Q9239">
        <v>1</v>
      </c>
      <c r="R9239" t="s">
        <v>44913</v>
      </c>
      <c r="S9239" t="s">
        <v>45170</v>
      </c>
      <c r="T9239" t="s">
        <v>46434</v>
      </c>
      <c r="U9239" t="s">
        <v>54233</v>
      </c>
      <c r="W9239" t="s">
        <v>43819</v>
      </c>
      <c r="X9239" t="s">
        <v>44914</v>
      </c>
    </row>
    <row r="9240" spans="1:24">
      <c r="A9240">
        <f>HYPERLINK("https://www.philgeps.gov.ph/GEPSNONPILOT/Tender/SplashBidNoticeAbstractUI.aspx?menuIndex=3&amp;refID=7070770&amp;Result=3","7070770")</f>
        <v>0</v>
      </c>
      <c r="B9240" t="s">
        <v>1033</v>
      </c>
      <c r="C9240" t="s">
        <v>12323</v>
      </c>
      <c r="D9240" t="s">
        <v>18162</v>
      </c>
      <c r="E9240" t="s">
        <v>26227</v>
      </c>
      <c r="F9240" t="s">
        <v>31362</v>
      </c>
      <c r="G9240" t="s">
        <v>31369</v>
      </c>
      <c r="H9240" t="s">
        <v>15799</v>
      </c>
      <c r="I9240" t="s">
        <v>31431</v>
      </c>
      <c r="J9240" t="s">
        <v>37155</v>
      </c>
      <c r="K9240" t="s">
        <v>40670</v>
      </c>
      <c r="M9240" t="s">
        <v>42032</v>
      </c>
      <c r="N9240" t="s">
        <v>44905</v>
      </c>
      <c r="O9240" t="s">
        <v>44906</v>
      </c>
      <c r="P9240">
        <v>0</v>
      </c>
      <c r="Q9240">
        <v>1</v>
      </c>
      <c r="R9240" t="s">
        <v>44913</v>
      </c>
      <c r="S9240" t="s">
        <v>45170</v>
      </c>
      <c r="T9240" t="s">
        <v>46509</v>
      </c>
      <c r="U9240" t="s">
        <v>54372</v>
      </c>
      <c r="W9240" t="s">
        <v>42032</v>
      </c>
      <c r="X9240" t="s">
        <v>44914</v>
      </c>
    </row>
    <row r="9241" spans="1:24">
      <c r="A9241">
        <f>HYPERLINK("https://www.philgeps.gov.ph/GEPSNONPILOT/Tender/SplashBidNoticeAbstractUI.aspx?menuIndex=3&amp;refID=7070699&amp;Result=3","7070699")</f>
        <v>0</v>
      </c>
      <c r="B9241" t="s">
        <v>1033</v>
      </c>
      <c r="C9241" t="s">
        <v>12324</v>
      </c>
      <c r="D9241" t="s">
        <v>18162</v>
      </c>
      <c r="E9241" t="s">
        <v>26228</v>
      </c>
      <c r="F9241" t="s">
        <v>31362</v>
      </c>
      <c r="G9241" t="s">
        <v>31369</v>
      </c>
      <c r="H9241" t="s">
        <v>15799</v>
      </c>
      <c r="I9241" t="s">
        <v>31385</v>
      </c>
      <c r="J9241" t="s">
        <v>37156</v>
      </c>
      <c r="K9241" t="s">
        <v>40670</v>
      </c>
      <c r="M9241" t="s">
        <v>42032</v>
      </c>
      <c r="N9241" t="s">
        <v>44905</v>
      </c>
      <c r="O9241" t="s">
        <v>44906</v>
      </c>
      <c r="P9241">
        <v>0</v>
      </c>
      <c r="Q9241">
        <v>0</v>
      </c>
      <c r="R9241" t="s">
        <v>44913</v>
      </c>
      <c r="S9241" t="s">
        <v>45170</v>
      </c>
      <c r="T9241" t="s">
        <v>46509</v>
      </c>
      <c r="U9241" t="s">
        <v>54373</v>
      </c>
      <c r="W9241" t="s">
        <v>42032</v>
      </c>
      <c r="X9241" t="s">
        <v>44914</v>
      </c>
    </row>
    <row r="9242" spans="1:24">
      <c r="A9242">
        <f>HYPERLINK("https://www.philgeps.gov.ph/GEPSNONPILOT/Tender/SplashBidNoticeAbstractUI.aspx?menuIndex=3&amp;refID=7070883&amp;Result=3","7070883")</f>
        <v>0</v>
      </c>
      <c r="B9242" t="s">
        <v>292</v>
      </c>
      <c r="C9242" t="s">
        <v>12325</v>
      </c>
      <c r="D9242" t="s">
        <v>18143</v>
      </c>
      <c r="E9242" t="s">
        <v>26229</v>
      </c>
      <c r="F9242" t="s">
        <v>31362</v>
      </c>
      <c r="G9242" t="s">
        <v>31368</v>
      </c>
      <c r="H9242" t="s">
        <v>31379</v>
      </c>
      <c r="I9242" t="s">
        <v>6240</v>
      </c>
      <c r="J9242" t="s">
        <v>37157</v>
      </c>
      <c r="K9242" t="s">
        <v>40670</v>
      </c>
      <c r="M9242" t="s">
        <v>41235</v>
      </c>
      <c r="N9242" t="s">
        <v>44905</v>
      </c>
      <c r="O9242" t="s">
        <v>44906</v>
      </c>
      <c r="P9242">
        <v>0</v>
      </c>
      <c r="Q9242">
        <v>0</v>
      </c>
      <c r="R9242" t="s">
        <v>44913</v>
      </c>
      <c r="S9242" t="s">
        <v>45170</v>
      </c>
      <c r="T9242" t="s">
        <v>46411</v>
      </c>
      <c r="U9242" t="s">
        <v>54374</v>
      </c>
      <c r="W9242" t="s">
        <v>41235</v>
      </c>
      <c r="X9242" t="s">
        <v>44914</v>
      </c>
    </row>
    <row r="9243" spans="1:24">
      <c r="A9243">
        <f>HYPERLINK("https://www.philgeps.gov.ph/GEPSNONPILOT/Tender/SplashBidNoticeAbstractUI.aspx?menuIndex=3&amp;refID=7070881&amp;Result=3","7070881")</f>
        <v>0</v>
      </c>
      <c r="B9243" t="s">
        <v>362</v>
      </c>
      <c r="C9243" t="s">
        <v>12326</v>
      </c>
      <c r="D9243" t="s">
        <v>18103</v>
      </c>
      <c r="E9243" t="s">
        <v>26230</v>
      </c>
      <c r="F9243" t="s">
        <v>31362</v>
      </c>
      <c r="G9243" t="s">
        <v>31369</v>
      </c>
      <c r="H9243" t="s">
        <v>31378</v>
      </c>
      <c r="I9243" t="s">
        <v>31386</v>
      </c>
      <c r="J9243" t="s">
        <v>31709</v>
      </c>
      <c r="K9243" t="s">
        <v>40735</v>
      </c>
      <c r="M9243" t="s">
        <v>43093</v>
      </c>
      <c r="N9243" t="s">
        <v>44905</v>
      </c>
      <c r="O9243" t="s">
        <v>44906</v>
      </c>
      <c r="P9243">
        <v>0</v>
      </c>
      <c r="Q9243">
        <v>12</v>
      </c>
      <c r="R9243" t="s">
        <v>44913</v>
      </c>
      <c r="S9243" t="s">
        <v>45170</v>
      </c>
      <c r="T9243" t="s">
        <v>46607</v>
      </c>
      <c r="U9243" t="s">
        <v>54347</v>
      </c>
      <c r="V9243" t="s">
        <v>59999</v>
      </c>
      <c r="W9243" t="s">
        <v>60886</v>
      </c>
      <c r="X9243" t="s">
        <v>44914</v>
      </c>
    </row>
    <row r="9244" spans="1:24">
      <c r="A9244">
        <f>HYPERLINK("https://www.philgeps.gov.ph/GEPSNONPILOT/Tender/SplashBidNoticeAbstractUI.aspx?menuIndex=3&amp;refID=7070879&amp;Result=3","7070879")</f>
        <v>0</v>
      </c>
      <c r="B9244" t="s">
        <v>2197</v>
      </c>
      <c r="C9244" t="s">
        <v>12327</v>
      </c>
      <c r="D9244" t="s">
        <v>18109</v>
      </c>
      <c r="E9244" t="s">
        <v>26231</v>
      </c>
      <c r="F9244" t="s">
        <v>31362</v>
      </c>
      <c r="G9244" t="s">
        <v>31370</v>
      </c>
      <c r="H9244" t="s">
        <v>15799</v>
      </c>
      <c r="I9244" t="s">
        <v>31385</v>
      </c>
      <c r="J9244" t="s">
        <v>32731</v>
      </c>
      <c r="K9244" t="s">
        <v>40662</v>
      </c>
      <c r="M9244" t="s">
        <v>43328</v>
      </c>
      <c r="N9244" t="s">
        <v>44905</v>
      </c>
      <c r="O9244" t="s">
        <v>44906</v>
      </c>
      <c r="P9244">
        <v>0</v>
      </c>
      <c r="Q9244">
        <v>0</v>
      </c>
      <c r="R9244" t="s">
        <v>44913</v>
      </c>
      <c r="S9244" t="s">
        <v>45170</v>
      </c>
      <c r="T9244" t="s">
        <v>46532</v>
      </c>
      <c r="U9244" t="s">
        <v>52794</v>
      </c>
      <c r="W9244" t="s">
        <v>43328</v>
      </c>
      <c r="X9244" t="s">
        <v>44914</v>
      </c>
    </row>
    <row r="9245" spans="1:24">
      <c r="A9245">
        <f>HYPERLINK("https://www.philgeps.gov.ph/GEPSNONPILOT/Tender/SplashBidNoticeAbstractUI.aspx?menuIndex=3&amp;refID=7070766&amp;Result=3","7070766")</f>
        <v>0</v>
      </c>
      <c r="B9245" t="s">
        <v>367</v>
      </c>
      <c r="C9245" t="s">
        <v>12328</v>
      </c>
      <c r="D9245" t="s">
        <v>18134</v>
      </c>
      <c r="E9245" t="s">
        <v>26232</v>
      </c>
      <c r="F9245" t="s">
        <v>31362</v>
      </c>
      <c r="G9245" t="s">
        <v>31368</v>
      </c>
      <c r="H9245" t="s">
        <v>31379</v>
      </c>
      <c r="I9245" t="s">
        <v>4057</v>
      </c>
      <c r="J9245" t="s">
        <v>31575</v>
      </c>
      <c r="K9245" t="s">
        <v>40693</v>
      </c>
      <c r="M9245" t="s">
        <v>41314</v>
      </c>
      <c r="N9245" t="s">
        <v>44905</v>
      </c>
      <c r="O9245" t="s">
        <v>44906</v>
      </c>
      <c r="P9245">
        <v>0</v>
      </c>
      <c r="Q9245">
        <v>1</v>
      </c>
      <c r="R9245" t="s">
        <v>44913</v>
      </c>
      <c r="S9245" t="s">
        <v>45170</v>
      </c>
      <c r="T9245" t="s">
        <v>46447</v>
      </c>
      <c r="U9245" t="s">
        <v>54375</v>
      </c>
      <c r="W9245" t="s">
        <v>41314</v>
      </c>
      <c r="X9245" t="s">
        <v>44914</v>
      </c>
    </row>
    <row r="9246" spans="1:24">
      <c r="A9246">
        <f>HYPERLINK("https://www.philgeps.gov.ph/GEPSNONPILOT/Tender/SplashBidNoticeAbstractUI.aspx?menuIndex=3&amp;refID=7070791&amp;Result=3","7070791")</f>
        <v>0</v>
      </c>
      <c r="B9246" t="s">
        <v>1250</v>
      </c>
      <c r="C9246" t="s">
        <v>12329</v>
      </c>
      <c r="D9246" t="s">
        <v>18158</v>
      </c>
      <c r="E9246" t="s">
        <v>21206</v>
      </c>
      <c r="F9246" t="s">
        <v>31362</v>
      </c>
      <c r="G9246" t="s">
        <v>31369</v>
      </c>
      <c r="H9246" t="s">
        <v>15799</v>
      </c>
      <c r="I9246" t="s">
        <v>3815</v>
      </c>
      <c r="J9246" t="s">
        <v>31575</v>
      </c>
      <c r="K9246" t="s">
        <v>40670</v>
      </c>
      <c r="M9246" t="s">
        <v>42266</v>
      </c>
      <c r="N9246" t="s">
        <v>44905</v>
      </c>
      <c r="O9246" t="s">
        <v>44906</v>
      </c>
      <c r="P9246">
        <v>0</v>
      </c>
      <c r="Q9246">
        <v>0</v>
      </c>
      <c r="R9246" t="s">
        <v>44913</v>
      </c>
      <c r="S9246" t="s">
        <v>45170</v>
      </c>
      <c r="T9246" t="s">
        <v>46481</v>
      </c>
      <c r="U9246" t="s">
        <v>54376</v>
      </c>
      <c r="W9246" t="s">
        <v>42266</v>
      </c>
      <c r="X9246" t="s">
        <v>44914</v>
      </c>
    </row>
    <row r="9247" spans="1:24">
      <c r="A9247">
        <f>HYPERLINK("https://www.philgeps.gov.ph/GEPSNONPILOT/Tender/SplashBidNoticeAbstractUI.aspx?menuIndex=3&amp;refID=7070867&amp;Result=3","7070867")</f>
        <v>0</v>
      </c>
      <c r="B9247" t="s">
        <v>2687</v>
      </c>
      <c r="C9247" t="s">
        <v>12330</v>
      </c>
      <c r="D9247" t="s">
        <v>18108</v>
      </c>
      <c r="E9247" t="s">
        <v>23070</v>
      </c>
      <c r="F9247" t="s">
        <v>31362</v>
      </c>
      <c r="G9247" t="s">
        <v>31369</v>
      </c>
      <c r="H9247" t="s">
        <v>15799</v>
      </c>
      <c r="I9247" t="s">
        <v>4283</v>
      </c>
      <c r="J9247" t="s">
        <v>37158</v>
      </c>
      <c r="K9247" t="s">
        <v>40680</v>
      </c>
      <c r="M9247" t="s">
        <v>43873</v>
      </c>
      <c r="N9247" t="s">
        <v>44905</v>
      </c>
      <c r="O9247" t="s">
        <v>44906</v>
      </c>
      <c r="P9247">
        <v>0</v>
      </c>
      <c r="Q9247">
        <v>5</v>
      </c>
      <c r="R9247" t="s">
        <v>44913</v>
      </c>
      <c r="S9247" t="s">
        <v>45170</v>
      </c>
      <c r="T9247" t="s">
        <v>46464</v>
      </c>
      <c r="U9247" t="s">
        <v>54377</v>
      </c>
      <c r="W9247" t="s">
        <v>43873</v>
      </c>
      <c r="X9247" t="s">
        <v>44914</v>
      </c>
    </row>
    <row r="9248" spans="1:24">
      <c r="A9248">
        <f>HYPERLINK("https://www.philgeps.gov.ph/GEPSNONPILOT/Tender/SplashBidNoticeAbstractUI.aspx?menuIndex=3&amp;refID=7070859&amp;Result=3","7070859")</f>
        <v>0</v>
      </c>
      <c r="B9248" t="s">
        <v>2687</v>
      </c>
      <c r="C9248" t="s">
        <v>12331</v>
      </c>
      <c r="D9248" t="s">
        <v>18108</v>
      </c>
      <c r="E9248" t="s">
        <v>18240</v>
      </c>
      <c r="F9248" t="s">
        <v>31362</v>
      </c>
      <c r="G9248" t="s">
        <v>31369</v>
      </c>
      <c r="H9248" t="s">
        <v>15799</v>
      </c>
      <c r="I9248" t="s">
        <v>4283</v>
      </c>
      <c r="J9248" t="s">
        <v>37159</v>
      </c>
      <c r="K9248" t="s">
        <v>40680</v>
      </c>
      <c r="M9248" t="s">
        <v>43873</v>
      </c>
      <c r="N9248" t="s">
        <v>44905</v>
      </c>
      <c r="O9248" t="s">
        <v>44906</v>
      </c>
      <c r="P9248">
        <v>0</v>
      </c>
      <c r="Q9248">
        <v>3</v>
      </c>
      <c r="R9248" t="s">
        <v>44913</v>
      </c>
      <c r="S9248" t="s">
        <v>45170</v>
      </c>
      <c r="T9248" t="s">
        <v>46432</v>
      </c>
      <c r="U9248" t="s">
        <v>54378</v>
      </c>
      <c r="W9248" t="s">
        <v>43873</v>
      </c>
      <c r="X9248" t="s">
        <v>44914</v>
      </c>
    </row>
    <row r="9249" spans="1:24">
      <c r="A9249">
        <f>HYPERLINK("https://www.philgeps.gov.ph/GEPSNONPILOT/Tender/SplashBidNoticeAbstractUI.aspx?menuIndex=3&amp;refID=7070857&amp;Result=3","7070857")</f>
        <v>0</v>
      </c>
      <c r="B9249" t="s">
        <v>1250</v>
      </c>
      <c r="C9249" t="s">
        <v>12332</v>
      </c>
      <c r="D9249" t="s">
        <v>18158</v>
      </c>
      <c r="E9249" t="s">
        <v>21206</v>
      </c>
      <c r="F9249" t="s">
        <v>31362</v>
      </c>
      <c r="G9249" t="s">
        <v>31369</v>
      </c>
      <c r="H9249" t="s">
        <v>15799</v>
      </c>
      <c r="I9249" t="s">
        <v>3815</v>
      </c>
      <c r="J9249" t="s">
        <v>37160</v>
      </c>
      <c r="K9249" t="s">
        <v>40670</v>
      </c>
      <c r="L9249" t="s">
        <v>1250</v>
      </c>
      <c r="M9249" t="s">
        <v>42266</v>
      </c>
      <c r="N9249" t="s">
        <v>44905</v>
      </c>
      <c r="O9249" t="s">
        <v>44906</v>
      </c>
      <c r="P9249">
        <v>0</v>
      </c>
      <c r="Q9249">
        <v>0</v>
      </c>
      <c r="R9249" t="s">
        <v>44913</v>
      </c>
      <c r="S9249" t="s">
        <v>45170</v>
      </c>
      <c r="T9249" t="s">
        <v>46499</v>
      </c>
      <c r="U9249" t="s">
        <v>54379</v>
      </c>
      <c r="W9249" t="s">
        <v>42266</v>
      </c>
      <c r="X9249" t="s">
        <v>44914</v>
      </c>
    </row>
    <row r="9250" spans="1:24">
      <c r="A9250">
        <f>HYPERLINK("https://www.philgeps.gov.ph/GEPSNONPILOT/Tender/SplashBidNoticeAbstractUI.aspx?menuIndex=3&amp;refID=7070788&amp;Result=3","7070788")</f>
        <v>0</v>
      </c>
      <c r="B9250" t="s">
        <v>2691</v>
      </c>
      <c r="C9250" t="s">
        <v>12333</v>
      </c>
      <c r="D9250" t="s">
        <v>18105</v>
      </c>
      <c r="E9250" t="s">
        <v>18548</v>
      </c>
      <c r="F9250" t="s">
        <v>31362</v>
      </c>
      <c r="G9250" t="s">
        <v>31369</v>
      </c>
      <c r="H9250" t="s">
        <v>31378</v>
      </c>
      <c r="I9250" t="s">
        <v>31386</v>
      </c>
      <c r="J9250" t="s">
        <v>31578</v>
      </c>
      <c r="K9250" t="s">
        <v>40665</v>
      </c>
      <c r="M9250" t="s">
        <v>43877</v>
      </c>
      <c r="N9250" t="s">
        <v>44905</v>
      </c>
      <c r="O9250" t="s">
        <v>44906</v>
      </c>
      <c r="P9250">
        <v>0</v>
      </c>
      <c r="Q9250">
        <v>1</v>
      </c>
      <c r="R9250" t="s">
        <v>44913</v>
      </c>
      <c r="S9250" t="s">
        <v>45170</v>
      </c>
      <c r="T9250" t="s">
        <v>46623</v>
      </c>
      <c r="U9250" t="s">
        <v>54380</v>
      </c>
      <c r="W9250" t="s">
        <v>43877</v>
      </c>
      <c r="X9250" t="s">
        <v>44914</v>
      </c>
    </row>
    <row r="9251" spans="1:24">
      <c r="A9251">
        <f>HYPERLINK("https://www.philgeps.gov.ph/GEPSNONPILOT/Tender/SplashBidNoticeAbstractUI.aspx?menuIndex=3&amp;refID=7070849&amp;Result=3","7070849")</f>
        <v>0</v>
      </c>
      <c r="B9251" t="s">
        <v>1033</v>
      </c>
      <c r="C9251" t="s">
        <v>12334</v>
      </c>
      <c r="D9251" t="s">
        <v>18162</v>
      </c>
      <c r="E9251" t="s">
        <v>26233</v>
      </c>
      <c r="F9251" t="s">
        <v>31362</v>
      </c>
      <c r="G9251" t="s">
        <v>31369</v>
      </c>
      <c r="H9251" t="s">
        <v>15799</v>
      </c>
      <c r="I9251" t="s">
        <v>7188</v>
      </c>
      <c r="J9251" t="s">
        <v>32143</v>
      </c>
      <c r="K9251" t="s">
        <v>40670</v>
      </c>
      <c r="M9251" t="s">
        <v>42032</v>
      </c>
      <c r="N9251" t="s">
        <v>44905</v>
      </c>
      <c r="O9251" t="s">
        <v>44906</v>
      </c>
      <c r="P9251">
        <v>0</v>
      </c>
      <c r="Q9251">
        <v>1</v>
      </c>
      <c r="R9251" t="s">
        <v>44913</v>
      </c>
      <c r="S9251" t="s">
        <v>45170</v>
      </c>
      <c r="T9251" t="s">
        <v>46509</v>
      </c>
      <c r="U9251" t="s">
        <v>54381</v>
      </c>
      <c r="W9251" t="s">
        <v>42032</v>
      </c>
      <c r="X9251" t="s">
        <v>44914</v>
      </c>
    </row>
    <row r="9252" spans="1:24">
      <c r="A9252">
        <f>HYPERLINK("https://www.philgeps.gov.ph/GEPSNONPILOT/Tender/SplashBidNoticeAbstractUI.aspx?menuIndex=3&amp;refID=7070839&amp;Result=3","7070839")</f>
        <v>0</v>
      </c>
      <c r="B9252" t="s">
        <v>494</v>
      </c>
      <c r="C9252" t="s">
        <v>12335</v>
      </c>
      <c r="D9252" t="s">
        <v>18115</v>
      </c>
      <c r="E9252" t="s">
        <v>26234</v>
      </c>
      <c r="F9252" t="s">
        <v>31362</v>
      </c>
      <c r="G9252" t="s">
        <v>31369</v>
      </c>
      <c r="H9252" t="s">
        <v>31378</v>
      </c>
      <c r="I9252" t="s">
        <v>31386</v>
      </c>
      <c r="J9252" t="s">
        <v>31577</v>
      </c>
      <c r="K9252" t="s">
        <v>40661</v>
      </c>
      <c r="M9252" t="s">
        <v>41449</v>
      </c>
      <c r="N9252" t="s">
        <v>44905</v>
      </c>
      <c r="O9252" t="s">
        <v>44906</v>
      </c>
      <c r="P9252">
        <v>0</v>
      </c>
      <c r="Q9252">
        <v>4</v>
      </c>
      <c r="R9252" t="s">
        <v>44913</v>
      </c>
      <c r="S9252" t="s">
        <v>45170</v>
      </c>
      <c r="T9252" t="s">
        <v>46409</v>
      </c>
      <c r="U9252" t="s">
        <v>54382</v>
      </c>
      <c r="V9252" t="s">
        <v>60004</v>
      </c>
      <c r="W9252" t="s">
        <v>41449</v>
      </c>
      <c r="X9252" t="s">
        <v>44914</v>
      </c>
    </row>
    <row r="9253" spans="1:24">
      <c r="A9253">
        <f>HYPERLINK("https://www.philgeps.gov.ph/GEPSNONPILOT/Tender/SplashBidNoticeAbstractUI.aspx?menuIndex=3&amp;refID=7070837&amp;Result=3","7070837")</f>
        <v>0</v>
      </c>
      <c r="B9253" t="s">
        <v>2692</v>
      </c>
      <c r="C9253" t="s">
        <v>12336</v>
      </c>
      <c r="D9253" t="s">
        <v>18106</v>
      </c>
      <c r="E9253" t="s">
        <v>20596</v>
      </c>
      <c r="F9253" t="s">
        <v>31362</v>
      </c>
      <c r="G9253" t="s">
        <v>31369</v>
      </c>
      <c r="H9253" t="s">
        <v>31378</v>
      </c>
      <c r="I9253" t="s">
        <v>31392</v>
      </c>
      <c r="J9253" t="s">
        <v>31709</v>
      </c>
      <c r="K9253" t="s">
        <v>40686</v>
      </c>
      <c r="M9253" t="s">
        <v>43878</v>
      </c>
      <c r="N9253" t="s">
        <v>44905</v>
      </c>
      <c r="O9253" t="s">
        <v>44906</v>
      </c>
      <c r="P9253">
        <v>0</v>
      </c>
      <c r="Q9253">
        <v>4</v>
      </c>
      <c r="R9253" t="s">
        <v>44913</v>
      </c>
      <c r="S9253" t="s">
        <v>45170</v>
      </c>
      <c r="T9253" t="s">
        <v>46490</v>
      </c>
      <c r="U9253" t="s">
        <v>54383</v>
      </c>
      <c r="V9253" t="s">
        <v>60005</v>
      </c>
      <c r="W9253" t="s">
        <v>43878</v>
      </c>
      <c r="X9253" t="s">
        <v>44914</v>
      </c>
    </row>
    <row r="9254" spans="1:24">
      <c r="A9254">
        <f>HYPERLINK("https://www.philgeps.gov.ph/GEPSNONPILOT/Tender/SplashBidNoticeAbstractUI.aspx?menuIndex=3&amp;refID=7070606&amp;Result=3","7070606")</f>
        <v>0</v>
      </c>
      <c r="B9254" t="s">
        <v>2197</v>
      </c>
      <c r="C9254" t="s">
        <v>12337</v>
      </c>
      <c r="D9254" t="s">
        <v>18109</v>
      </c>
      <c r="E9254" t="s">
        <v>26235</v>
      </c>
      <c r="F9254" t="s">
        <v>31362</v>
      </c>
      <c r="G9254" t="s">
        <v>31368</v>
      </c>
      <c r="H9254" t="s">
        <v>15799</v>
      </c>
      <c r="I9254" t="s">
        <v>31394</v>
      </c>
      <c r="J9254" t="s">
        <v>32165</v>
      </c>
      <c r="K9254" t="s">
        <v>40662</v>
      </c>
      <c r="M9254" t="s">
        <v>43328</v>
      </c>
      <c r="N9254" t="s">
        <v>44905</v>
      </c>
      <c r="O9254" t="s">
        <v>44906</v>
      </c>
      <c r="P9254">
        <v>0</v>
      </c>
      <c r="Q9254">
        <v>3</v>
      </c>
      <c r="R9254" t="s">
        <v>44913</v>
      </c>
      <c r="S9254" t="s">
        <v>45170</v>
      </c>
      <c r="T9254" t="s">
        <v>46532</v>
      </c>
      <c r="U9254" t="s">
        <v>52794</v>
      </c>
      <c r="W9254" t="s">
        <v>43328</v>
      </c>
      <c r="X9254" t="s">
        <v>44914</v>
      </c>
    </row>
    <row r="9255" spans="1:24">
      <c r="A9255">
        <f>HYPERLINK("https://www.philgeps.gov.ph/GEPSNONPILOT/Tender/SplashBidNoticeAbstractUI.aspx?menuIndex=3&amp;refID=7070834&amp;Result=3","7070834")</f>
        <v>0</v>
      </c>
      <c r="B9255" t="s">
        <v>2693</v>
      </c>
      <c r="C9255" t="s">
        <v>12338</v>
      </c>
      <c r="D9255" t="s">
        <v>18100</v>
      </c>
      <c r="E9255" t="s">
        <v>23537</v>
      </c>
      <c r="F9255" t="s">
        <v>31362</v>
      </c>
      <c r="G9255" t="s">
        <v>31369</v>
      </c>
      <c r="H9255" t="s">
        <v>15799</v>
      </c>
      <c r="I9255" t="s">
        <v>31385</v>
      </c>
      <c r="J9255" t="s">
        <v>37161</v>
      </c>
      <c r="K9255" t="s">
        <v>40693</v>
      </c>
      <c r="M9255" t="s">
        <v>43879</v>
      </c>
      <c r="N9255" t="s">
        <v>44905</v>
      </c>
      <c r="O9255" t="s">
        <v>44906</v>
      </c>
      <c r="P9255">
        <v>0</v>
      </c>
      <c r="Q9255">
        <v>0</v>
      </c>
      <c r="R9255" t="s">
        <v>44913</v>
      </c>
      <c r="S9255" t="s">
        <v>45170</v>
      </c>
      <c r="T9255" t="s">
        <v>46461</v>
      </c>
      <c r="U9255" t="s">
        <v>54384</v>
      </c>
      <c r="W9255" t="s">
        <v>43879</v>
      </c>
      <c r="X9255" t="s">
        <v>44914</v>
      </c>
    </row>
    <row r="9256" spans="1:24">
      <c r="A9256">
        <f>HYPERLINK("https://www.philgeps.gov.ph/GEPSNONPILOT/Tender/SplashBidNoticeAbstractUI.aspx?menuIndex=3&amp;refID=7070823&amp;Result=3","7070823")</f>
        <v>0</v>
      </c>
      <c r="B9256" t="s">
        <v>1033</v>
      </c>
      <c r="C9256" t="s">
        <v>12339</v>
      </c>
      <c r="D9256" t="s">
        <v>18162</v>
      </c>
      <c r="E9256" t="s">
        <v>26236</v>
      </c>
      <c r="F9256" t="s">
        <v>31362</v>
      </c>
      <c r="G9256" t="s">
        <v>31369</v>
      </c>
      <c r="H9256" t="s">
        <v>15799</v>
      </c>
      <c r="I9256" t="s">
        <v>6373</v>
      </c>
      <c r="J9256" t="s">
        <v>31983</v>
      </c>
      <c r="K9256" t="s">
        <v>40670</v>
      </c>
      <c r="M9256" t="s">
        <v>42032</v>
      </c>
      <c r="N9256" t="s">
        <v>44905</v>
      </c>
      <c r="O9256" t="s">
        <v>44906</v>
      </c>
      <c r="P9256">
        <v>0</v>
      </c>
      <c r="Q9256">
        <v>1</v>
      </c>
      <c r="R9256" t="s">
        <v>44913</v>
      </c>
      <c r="S9256" t="s">
        <v>45170</v>
      </c>
      <c r="T9256" t="s">
        <v>46509</v>
      </c>
      <c r="U9256" t="s">
        <v>54385</v>
      </c>
      <c r="W9256" t="s">
        <v>42032</v>
      </c>
      <c r="X9256" t="s">
        <v>44914</v>
      </c>
    </row>
    <row r="9257" spans="1:24">
      <c r="A9257">
        <f>HYPERLINK("https://www.philgeps.gov.ph/GEPSNONPILOT/Tender/SplashBidNoticeAbstractUI.aspx?menuIndex=3&amp;refID=7070868&amp;Result=3","7070868")</f>
        <v>0</v>
      </c>
      <c r="B9257" t="s">
        <v>292</v>
      </c>
      <c r="C9257" t="s">
        <v>12340</v>
      </c>
      <c r="D9257" t="s">
        <v>18143</v>
      </c>
      <c r="E9257" t="s">
        <v>26237</v>
      </c>
      <c r="F9257" t="s">
        <v>31362</v>
      </c>
      <c r="G9257" t="s">
        <v>31368</v>
      </c>
      <c r="H9257" t="s">
        <v>15799</v>
      </c>
      <c r="I9257" t="s">
        <v>6240</v>
      </c>
      <c r="J9257" t="s">
        <v>37162</v>
      </c>
      <c r="K9257" t="s">
        <v>40661</v>
      </c>
      <c r="M9257" t="s">
        <v>41235</v>
      </c>
      <c r="N9257" t="s">
        <v>44905</v>
      </c>
      <c r="O9257" t="s">
        <v>44906</v>
      </c>
      <c r="P9257">
        <v>0</v>
      </c>
      <c r="Q9257">
        <v>0</v>
      </c>
      <c r="R9257" t="s">
        <v>44913</v>
      </c>
      <c r="S9257" t="s">
        <v>45170</v>
      </c>
      <c r="T9257" t="s">
        <v>46411</v>
      </c>
      <c r="U9257" t="s">
        <v>54386</v>
      </c>
      <c r="W9257" t="s">
        <v>41235</v>
      </c>
      <c r="X9257" t="s">
        <v>44914</v>
      </c>
    </row>
    <row r="9258" spans="1:24">
      <c r="A9258">
        <f>HYPERLINK("https://www.philgeps.gov.ph/GEPSNONPILOT/Tender/SplashBidNoticeAbstractUI.aspx?menuIndex=3&amp;refID=7070505&amp;Result=3","7070505")</f>
        <v>0</v>
      </c>
      <c r="B9258" t="s">
        <v>211</v>
      </c>
      <c r="C9258" t="s">
        <v>12341</v>
      </c>
      <c r="D9258" t="s">
        <v>18161</v>
      </c>
      <c r="E9258" t="s">
        <v>26238</v>
      </c>
      <c r="F9258" t="s">
        <v>31362</v>
      </c>
      <c r="G9258" t="s">
        <v>31370</v>
      </c>
      <c r="H9258" t="s">
        <v>15799</v>
      </c>
      <c r="I9258" t="s">
        <v>31385</v>
      </c>
      <c r="J9258" t="s">
        <v>37163</v>
      </c>
      <c r="K9258" t="s">
        <v>40666</v>
      </c>
      <c r="M9258" t="s">
        <v>41150</v>
      </c>
      <c r="N9258" t="s">
        <v>44905</v>
      </c>
      <c r="O9258" t="s">
        <v>44906</v>
      </c>
      <c r="P9258">
        <v>0</v>
      </c>
      <c r="Q9258">
        <v>9</v>
      </c>
      <c r="R9258" t="s">
        <v>44913</v>
      </c>
      <c r="S9258" t="s">
        <v>45170</v>
      </c>
      <c r="T9258" t="s">
        <v>46396</v>
      </c>
      <c r="U9258" t="s">
        <v>54387</v>
      </c>
      <c r="W9258" t="s">
        <v>41150</v>
      </c>
      <c r="X9258" t="s">
        <v>44914</v>
      </c>
    </row>
    <row r="9259" spans="1:24">
      <c r="A9259">
        <f>HYPERLINK("https://www.philgeps.gov.ph/GEPSNONPILOT/Tender/SplashBidNoticeAbstractUI.aspx?menuIndex=3&amp;refID=7071010&amp;Result=3","7071010")</f>
        <v>0</v>
      </c>
      <c r="B9259" t="s">
        <v>2694</v>
      </c>
      <c r="C9259" t="s">
        <v>12342</v>
      </c>
      <c r="D9259" t="s">
        <v>18122</v>
      </c>
      <c r="E9259" t="s">
        <v>26239</v>
      </c>
      <c r="F9259" t="s">
        <v>31362</v>
      </c>
      <c r="G9259" t="s">
        <v>31368</v>
      </c>
      <c r="H9259" t="s">
        <v>31378</v>
      </c>
      <c r="I9259" t="s">
        <v>31386</v>
      </c>
      <c r="J9259" t="s">
        <v>37164</v>
      </c>
      <c r="K9259" t="s">
        <v>40666</v>
      </c>
      <c r="M9259" t="s">
        <v>43880</v>
      </c>
      <c r="N9259" t="s">
        <v>44905</v>
      </c>
      <c r="O9259" t="s">
        <v>44906</v>
      </c>
      <c r="P9259">
        <v>0</v>
      </c>
      <c r="Q9259">
        <v>0</v>
      </c>
      <c r="R9259" t="s">
        <v>44913</v>
      </c>
      <c r="S9259" t="s">
        <v>45170</v>
      </c>
      <c r="T9259" t="s">
        <v>46443</v>
      </c>
      <c r="U9259" t="s">
        <v>54388</v>
      </c>
      <c r="V9259" t="s">
        <v>60006</v>
      </c>
      <c r="W9259" t="s">
        <v>43880</v>
      </c>
      <c r="X9259" t="s">
        <v>44914</v>
      </c>
    </row>
    <row r="9260" spans="1:24">
      <c r="A9260">
        <f>HYPERLINK("https://www.philgeps.gov.ph/GEPSNONPILOT/Tender/SplashBidNoticeAbstractUI.aspx?menuIndex=3&amp;refID=7071009&amp;Result=3","7071009")</f>
        <v>0</v>
      </c>
      <c r="B9260" t="s">
        <v>2687</v>
      </c>
      <c r="C9260" t="s">
        <v>12343</v>
      </c>
      <c r="D9260" t="s">
        <v>18108</v>
      </c>
      <c r="E9260" t="s">
        <v>23718</v>
      </c>
      <c r="F9260" t="s">
        <v>31362</v>
      </c>
      <c r="G9260" t="s">
        <v>31369</v>
      </c>
      <c r="H9260" t="s">
        <v>15799</v>
      </c>
      <c r="I9260" t="s">
        <v>31398</v>
      </c>
      <c r="J9260" t="s">
        <v>31886</v>
      </c>
      <c r="K9260" t="s">
        <v>40665</v>
      </c>
      <c r="M9260" t="s">
        <v>43873</v>
      </c>
      <c r="N9260" t="s">
        <v>44905</v>
      </c>
      <c r="O9260" t="s">
        <v>44906</v>
      </c>
      <c r="P9260">
        <v>0</v>
      </c>
      <c r="Q9260">
        <v>5</v>
      </c>
      <c r="R9260" t="s">
        <v>44913</v>
      </c>
      <c r="S9260" t="s">
        <v>45170</v>
      </c>
      <c r="T9260" t="s">
        <v>46670</v>
      </c>
      <c r="U9260" t="s">
        <v>54389</v>
      </c>
      <c r="W9260" t="s">
        <v>43873</v>
      </c>
      <c r="X9260" t="s">
        <v>44914</v>
      </c>
    </row>
    <row r="9261" spans="1:24">
      <c r="A9261">
        <f>HYPERLINK("https://www.philgeps.gov.ph/GEPSNONPILOT/Tender/SplashBidNoticeAbstractUI.aspx?menuIndex=3&amp;refID=7070848&amp;Result=3","7070848")</f>
        <v>0</v>
      </c>
      <c r="B9261" t="s">
        <v>2638</v>
      </c>
      <c r="C9261" t="s">
        <v>12344</v>
      </c>
      <c r="E9261" t="s">
        <v>26240</v>
      </c>
      <c r="F9261" t="s">
        <v>31362</v>
      </c>
      <c r="G9261" t="s">
        <v>31369</v>
      </c>
      <c r="H9261" t="s">
        <v>15799</v>
      </c>
      <c r="I9261" t="s">
        <v>31384</v>
      </c>
      <c r="J9261" t="s">
        <v>37165</v>
      </c>
      <c r="K9261" t="s">
        <v>40662</v>
      </c>
      <c r="M9261" t="s">
        <v>43819</v>
      </c>
      <c r="N9261" t="s">
        <v>44905</v>
      </c>
      <c r="O9261" t="s">
        <v>44906</v>
      </c>
      <c r="P9261">
        <v>0</v>
      </c>
      <c r="Q9261">
        <v>1</v>
      </c>
      <c r="R9261" t="s">
        <v>44913</v>
      </c>
      <c r="S9261" t="s">
        <v>45170</v>
      </c>
      <c r="T9261" t="s">
        <v>46434</v>
      </c>
      <c r="U9261" t="s">
        <v>54233</v>
      </c>
      <c r="W9261" t="s">
        <v>43819</v>
      </c>
      <c r="X9261" t="s">
        <v>44914</v>
      </c>
    </row>
    <row r="9262" spans="1:24">
      <c r="A9262">
        <f>HYPERLINK("https://www.philgeps.gov.ph/GEPSNONPILOT/Tender/SplashBidNoticeAbstractUI.aspx?menuIndex=3&amp;refID=7071008&amp;Result=3","7071008")</f>
        <v>0</v>
      </c>
      <c r="B9262" t="s">
        <v>2695</v>
      </c>
      <c r="C9262" t="s">
        <v>12345</v>
      </c>
      <c r="D9262" t="s">
        <v>18133</v>
      </c>
      <c r="E9262" t="s">
        <v>26241</v>
      </c>
      <c r="F9262" t="s">
        <v>31362</v>
      </c>
      <c r="G9262" t="s">
        <v>31369</v>
      </c>
      <c r="H9262" t="s">
        <v>15799</v>
      </c>
      <c r="I9262" t="s">
        <v>3815</v>
      </c>
      <c r="J9262" t="s">
        <v>37166</v>
      </c>
      <c r="K9262" t="s">
        <v>40661</v>
      </c>
      <c r="M9262" t="s">
        <v>43881</v>
      </c>
      <c r="N9262" t="s">
        <v>44905</v>
      </c>
      <c r="O9262" t="s">
        <v>44906</v>
      </c>
      <c r="P9262">
        <v>0</v>
      </c>
      <c r="Q9262">
        <v>0</v>
      </c>
      <c r="R9262" t="s">
        <v>44913</v>
      </c>
      <c r="S9262" t="s">
        <v>45170</v>
      </c>
      <c r="T9262" t="s">
        <v>46411</v>
      </c>
      <c r="U9262" t="s">
        <v>54390</v>
      </c>
      <c r="W9262" t="s">
        <v>43881</v>
      </c>
      <c r="X9262" t="s">
        <v>44914</v>
      </c>
    </row>
    <row r="9263" spans="1:24">
      <c r="A9263">
        <f>HYPERLINK("https://www.philgeps.gov.ph/GEPSNONPILOT/Tender/SplashBidNoticeAbstractUI.aspx?menuIndex=3&amp;refID=7071004&amp;Result=3","7071004")</f>
        <v>0</v>
      </c>
      <c r="B9263" t="s">
        <v>2696</v>
      </c>
      <c r="C9263" t="s">
        <v>12346</v>
      </c>
      <c r="D9263" t="s">
        <v>18131</v>
      </c>
      <c r="E9263" t="s">
        <v>18440</v>
      </c>
      <c r="F9263" t="s">
        <v>31362</v>
      </c>
      <c r="G9263" t="s">
        <v>31369</v>
      </c>
      <c r="H9263" t="s">
        <v>31378</v>
      </c>
      <c r="I9263" t="s">
        <v>3815</v>
      </c>
      <c r="J9263" t="s">
        <v>31530</v>
      </c>
      <c r="K9263" t="s">
        <v>40661</v>
      </c>
      <c r="M9263" t="s">
        <v>43882</v>
      </c>
      <c r="N9263" t="s">
        <v>44905</v>
      </c>
      <c r="O9263" t="s">
        <v>44906</v>
      </c>
      <c r="P9263">
        <v>0</v>
      </c>
      <c r="Q9263">
        <v>2</v>
      </c>
      <c r="R9263" t="s">
        <v>44913</v>
      </c>
      <c r="S9263" t="s">
        <v>45170</v>
      </c>
      <c r="T9263" t="s">
        <v>46414</v>
      </c>
      <c r="U9263" t="s">
        <v>54391</v>
      </c>
      <c r="W9263" t="s">
        <v>43882</v>
      </c>
      <c r="X9263" t="s">
        <v>44914</v>
      </c>
    </row>
    <row r="9264" spans="1:24">
      <c r="A9264">
        <f>HYPERLINK("https://www.philgeps.gov.ph/GEPSNONPILOT/Tender/SplashBidNoticeAbstractUI.aspx?menuIndex=3&amp;refID=7070989&amp;Result=3","7070989")</f>
        <v>0</v>
      </c>
      <c r="B9264" t="s">
        <v>2687</v>
      </c>
      <c r="C9264" t="s">
        <v>12347</v>
      </c>
      <c r="D9264" t="s">
        <v>18108</v>
      </c>
      <c r="E9264" t="s">
        <v>25518</v>
      </c>
      <c r="F9264" t="s">
        <v>31362</v>
      </c>
      <c r="G9264" t="s">
        <v>31369</v>
      </c>
      <c r="H9264" t="s">
        <v>15799</v>
      </c>
      <c r="I9264" t="s">
        <v>31399</v>
      </c>
      <c r="J9264" t="s">
        <v>37167</v>
      </c>
      <c r="K9264" t="s">
        <v>40665</v>
      </c>
      <c r="M9264" t="s">
        <v>43873</v>
      </c>
      <c r="N9264" t="s">
        <v>44905</v>
      </c>
      <c r="O9264" t="s">
        <v>44906</v>
      </c>
      <c r="P9264">
        <v>0</v>
      </c>
      <c r="Q9264">
        <v>5</v>
      </c>
      <c r="R9264" t="s">
        <v>44913</v>
      </c>
      <c r="S9264" t="s">
        <v>45170</v>
      </c>
      <c r="T9264" t="s">
        <v>46670</v>
      </c>
      <c r="U9264" t="s">
        <v>54392</v>
      </c>
      <c r="W9264" t="s">
        <v>43873</v>
      </c>
      <c r="X9264" t="s">
        <v>44914</v>
      </c>
    </row>
    <row r="9265" spans="1:24">
      <c r="A9265">
        <f>HYPERLINK("https://www.philgeps.gov.ph/GEPSNONPILOT/Tender/SplashBidNoticeAbstractUI.aspx?menuIndex=3&amp;refID=7070874&amp;Result=3","7070874")</f>
        <v>0</v>
      </c>
      <c r="B9265" t="s">
        <v>1033</v>
      </c>
      <c r="C9265" t="s">
        <v>12348</v>
      </c>
      <c r="D9265" t="s">
        <v>18162</v>
      </c>
      <c r="E9265" t="s">
        <v>26242</v>
      </c>
      <c r="F9265" t="s">
        <v>31362</v>
      </c>
      <c r="G9265" t="s">
        <v>31369</v>
      </c>
      <c r="H9265" t="s">
        <v>15799</v>
      </c>
      <c r="I9265" t="s">
        <v>31385</v>
      </c>
      <c r="J9265" t="s">
        <v>37168</v>
      </c>
      <c r="K9265" t="s">
        <v>40670</v>
      </c>
      <c r="M9265" t="s">
        <v>42032</v>
      </c>
      <c r="N9265" t="s">
        <v>44905</v>
      </c>
      <c r="O9265" t="s">
        <v>44906</v>
      </c>
      <c r="P9265">
        <v>0</v>
      </c>
      <c r="Q9265">
        <v>0</v>
      </c>
      <c r="R9265" t="s">
        <v>44913</v>
      </c>
      <c r="S9265" t="s">
        <v>45170</v>
      </c>
      <c r="T9265" t="s">
        <v>46509</v>
      </c>
      <c r="U9265" t="s">
        <v>54393</v>
      </c>
      <c r="W9265" t="s">
        <v>42032</v>
      </c>
      <c r="X9265" t="s">
        <v>44914</v>
      </c>
    </row>
    <row r="9266" spans="1:24">
      <c r="A9266">
        <f>HYPERLINK("https://www.philgeps.gov.ph/GEPSNONPILOT/Tender/SplashBidNoticeAbstractUI.aspx?menuIndex=3&amp;refID=7070982&amp;Result=3","7070982")</f>
        <v>0</v>
      </c>
      <c r="B9266" t="s">
        <v>346</v>
      </c>
      <c r="C9266" t="s">
        <v>12349</v>
      </c>
      <c r="D9266" t="s">
        <v>18152</v>
      </c>
      <c r="E9266" t="s">
        <v>26243</v>
      </c>
      <c r="F9266" t="s">
        <v>31362</v>
      </c>
      <c r="G9266" t="s">
        <v>31369</v>
      </c>
      <c r="H9266" t="s">
        <v>15799</v>
      </c>
      <c r="I9266" t="s">
        <v>4942</v>
      </c>
      <c r="J9266" t="s">
        <v>32959</v>
      </c>
      <c r="K9266" t="s">
        <v>40665</v>
      </c>
      <c r="L9266" t="s">
        <v>346</v>
      </c>
      <c r="M9266" t="s">
        <v>41292</v>
      </c>
      <c r="N9266" t="s">
        <v>44905</v>
      </c>
      <c r="O9266" t="s">
        <v>44906</v>
      </c>
      <c r="P9266">
        <v>0</v>
      </c>
      <c r="Q9266">
        <v>0</v>
      </c>
      <c r="R9266" t="s">
        <v>44913</v>
      </c>
      <c r="S9266" t="s">
        <v>45170</v>
      </c>
      <c r="T9266" t="s">
        <v>46393</v>
      </c>
      <c r="U9266" t="s">
        <v>54394</v>
      </c>
      <c r="V9266" t="s">
        <v>59139</v>
      </c>
      <c r="W9266" t="s">
        <v>41292</v>
      </c>
      <c r="X9266" t="s">
        <v>44914</v>
      </c>
    </row>
    <row r="9267" spans="1:24">
      <c r="A9267">
        <f>HYPERLINK("https://www.philgeps.gov.ph/GEPSNONPILOT/Tender/SplashBidNoticeAbstractUI.aspx?menuIndex=3&amp;refID=7070939&amp;Result=3","7070939")</f>
        <v>0</v>
      </c>
      <c r="B9267" t="s">
        <v>213</v>
      </c>
      <c r="C9267" t="s">
        <v>12350</v>
      </c>
      <c r="D9267" t="s">
        <v>18121</v>
      </c>
      <c r="E9267" t="s">
        <v>26244</v>
      </c>
      <c r="F9267" t="s">
        <v>31362</v>
      </c>
      <c r="G9267" t="s">
        <v>31368</v>
      </c>
      <c r="H9267" t="s">
        <v>31378</v>
      </c>
      <c r="I9267" t="s">
        <v>31386</v>
      </c>
      <c r="J9267" t="s">
        <v>37169</v>
      </c>
      <c r="K9267" t="s">
        <v>40770</v>
      </c>
      <c r="M9267" t="s">
        <v>41152</v>
      </c>
      <c r="N9267" t="s">
        <v>44905</v>
      </c>
      <c r="O9267" t="s">
        <v>44906</v>
      </c>
      <c r="P9267">
        <v>0</v>
      </c>
      <c r="Q9267">
        <v>0</v>
      </c>
      <c r="R9267" t="s">
        <v>44913</v>
      </c>
      <c r="S9267" t="s">
        <v>45170</v>
      </c>
      <c r="T9267" t="s">
        <v>46409</v>
      </c>
      <c r="U9267" t="s">
        <v>54395</v>
      </c>
      <c r="V9267" t="s">
        <v>60007</v>
      </c>
      <c r="W9267" t="s">
        <v>41152</v>
      </c>
      <c r="X9267" t="s">
        <v>44914</v>
      </c>
    </row>
    <row r="9268" spans="1:24">
      <c r="A9268">
        <f>HYPERLINK("https://www.philgeps.gov.ph/GEPSNONPILOT/Tender/SplashBidNoticeAbstractUI.aspx?menuIndex=3&amp;refID=7070933&amp;Result=3","7070933")</f>
        <v>0</v>
      </c>
      <c r="B9268" t="s">
        <v>2697</v>
      </c>
      <c r="C9268" t="s">
        <v>12351</v>
      </c>
      <c r="D9268" t="s">
        <v>18122</v>
      </c>
      <c r="E9268" t="s">
        <v>26245</v>
      </c>
      <c r="F9268" t="s">
        <v>31362</v>
      </c>
      <c r="G9268" t="s">
        <v>31369</v>
      </c>
      <c r="H9268" t="s">
        <v>15799</v>
      </c>
      <c r="I9268" t="s">
        <v>31387</v>
      </c>
      <c r="J9268" t="s">
        <v>37170</v>
      </c>
      <c r="K9268" t="s">
        <v>40665</v>
      </c>
      <c r="M9268" t="s">
        <v>43883</v>
      </c>
      <c r="N9268" t="s">
        <v>44905</v>
      </c>
      <c r="O9268" t="s">
        <v>44906</v>
      </c>
      <c r="P9268">
        <v>0</v>
      </c>
      <c r="Q9268">
        <v>1</v>
      </c>
      <c r="R9268" t="s">
        <v>44913</v>
      </c>
      <c r="S9268" t="s">
        <v>45170</v>
      </c>
      <c r="T9268" t="s">
        <v>46443</v>
      </c>
      <c r="U9268" t="s">
        <v>54396</v>
      </c>
      <c r="V9268" t="s">
        <v>60008</v>
      </c>
      <c r="W9268" t="s">
        <v>43883</v>
      </c>
      <c r="X9268" t="s">
        <v>44914</v>
      </c>
    </row>
    <row r="9269" spans="1:24">
      <c r="A9269">
        <f>HYPERLINK("https://www.philgeps.gov.ph/GEPSNONPILOT/Tender/SplashBidNoticeAbstractUI.aspx?menuIndex=3&amp;refID=7070996&amp;Result=3","7070996")</f>
        <v>0</v>
      </c>
      <c r="B9269" t="s">
        <v>2698</v>
      </c>
      <c r="C9269" t="s">
        <v>12352</v>
      </c>
      <c r="D9269" t="s">
        <v>18130</v>
      </c>
      <c r="E9269" t="s">
        <v>18227</v>
      </c>
      <c r="F9269" t="s">
        <v>31362</v>
      </c>
      <c r="G9269" t="s">
        <v>31369</v>
      </c>
      <c r="H9269" t="s">
        <v>15799</v>
      </c>
      <c r="I9269" t="s">
        <v>3815</v>
      </c>
      <c r="J9269" t="s">
        <v>31536</v>
      </c>
      <c r="K9269" t="s">
        <v>40665</v>
      </c>
      <c r="M9269" t="s">
        <v>43884</v>
      </c>
      <c r="N9269" t="s">
        <v>44905</v>
      </c>
      <c r="O9269" t="s">
        <v>44906</v>
      </c>
      <c r="P9269">
        <v>0</v>
      </c>
      <c r="Q9269">
        <v>0</v>
      </c>
      <c r="R9269" t="s">
        <v>44913</v>
      </c>
      <c r="S9269" t="s">
        <v>45170</v>
      </c>
      <c r="T9269" t="s">
        <v>46411</v>
      </c>
      <c r="U9269" t="s">
        <v>54397</v>
      </c>
      <c r="W9269" t="s">
        <v>43884</v>
      </c>
      <c r="X9269" t="s">
        <v>44914</v>
      </c>
    </row>
    <row r="9270" spans="1:24">
      <c r="A9270">
        <f>HYPERLINK("https://www.philgeps.gov.ph/GEPSNONPILOT/Tender/SplashBidNoticeAbstractUI.aspx?menuIndex=3&amp;refID=7070615&amp;Result=3","7070615")</f>
        <v>0</v>
      </c>
      <c r="B9270" t="s">
        <v>1033</v>
      </c>
      <c r="C9270" t="s">
        <v>12353</v>
      </c>
      <c r="D9270" t="s">
        <v>18162</v>
      </c>
      <c r="E9270" t="s">
        <v>26246</v>
      </c>
      <c r="F9270" t="s">
        <v>31362</v>
      </c>
      <c r="G9270" t="s">
        <v>31369</v>
      </c>
      <c r="H9270" t="s">
        <v>15799</v>
      </c>
      <c r="I9270" t="s">
        <v>7188</v>
      </c>
      <c r="J9270" t="s">
        <v>32065</v>
      </c>
      <c r="K9270" t="s">
        <v>40670</v>
      </c>
      <c r="M9270" t="s">
        <v>42032</v>
      </c>
      <c r="N9270" t="s">
        <v>44905</v>
      </c>
      <c r="O9270" t="s">
        <v>44906</v>
      </c>
      <c r="P9270">
        <v>0</v>
      </c>
      <c r="Q9270">
        <v>0</v>
      </c>
      <c r="R9270" t="s">
        <v>44913</v>
      </c>
      <c r="S9270" t="s">
        <v>45170</v>
      </c>
      <c r="T9270" t="s">
        <v>46509</v>
      </c>
      <c r="U9270" t="s">
        <v>54398</v>
      </c>
      <c r="W9270" t="s">
        <v>42032</v>
      </c>
      <c r="X9270" t="s">
        <v>44914</v>
      </c>
    </row>
    <row r="9271" spans="1:24">
      <c r="A9271">
        <f>HYPERLINK("https://www.philgeps.gov.ph/GEPSNONPILOT/Tender/SplashBidNoticeAbstractUI.aspx?menuIndex=3&amp;refID=7070911&amp;Result=3","7070911")</f>
        <v>0</v>
      </c>
      <c r="B9271" t="s">
        <v>1319</v>
      </c>
      <c r="C9271" t="s">
        <v>11003</v>
      </c>
      <c r="D9271" t="s">
        <v>18131</v>
      </c>
      <c r="E9271" t="s">
        <v>26247</v>
      </c>
      <c r="F9271" t="s">
        <v>31362</v>
      </c>
      <c r="G9271" t="s">
        <v>31369</v>
      </c>
      <c r="H9271" t="s">
        <v>15799</v>
      </c>
      <c r="I9271" t="s">
        <v>31436</v>
      </c>
      <c r="J9271" t="s">
        <v>32113</v>
      </c>
      <c r="K9271" t="s">
        <v>40712</v>
      </c>
      <c r="M9271" t="s">
        <v>42337</v>
      </c>
      <c r="N9271" t="s">
        <v>44905</v>
      </c>
      <c r="O9271" t="s">
        <v>44906</v>
      </c>
      <c r="P9271">
        <v>0</v>
      </c>
      <c r="Q9271">
        <v>1</v>
      </c>
      <c r="R9271" t="s">
        <v>44913</v>
      </c>
      <c r="S9271" t="s">
        <v>45170</v>
      </c>
      <c r="T9271" t="s">
        <v>46503</v>
      </c>
      <c r="U9271" t="s">
        <v>54399</v>
      </c>
      <c r="W9271" t="s">
        <v>42337</v>
      </c>
      <c r="X9271" t="s">
        <v>44914</v>
      </c>
    </row>
    <row r="9272" spans="1:24">
      <c r="A9272">
        <f>HYPERLINK("https://www.philgeps.gov.ph/GEPSNONPILOT/Tender/SplashBidNoticeAbstractUI.aspx?menuIndex=3&amp;refID=7070969&amp;Result=3","7070969")</f>
        <v>0</v>
      </c>
      <c r="B9272" t="s">
        <v>2658</v>
      </c>
      <c r="C9272" t="s">
        <v>12354</v>
      </c>
      <c r="D9272" t="s">
        <v>18100</v>
      </c>
      <c r="E9272" t="s">
        <v>26248</v>
      </c>
      <c r="F9272" t="s">
        <v>31362</v>
      </c>
      <c r="G9272" t="s">
        <v>31368</v>
      </c>
      <c r="H9272" t="s">
        <v>15799</v>
      </c>
      <c r="I9272" t="s">
        <v>7090</v>
      </c>
      <c r="J9272" t="s">
        <v>35321</v>
      </c>
      <c r="K9272" t="s">
        <v>40665</v>
      </c>
      <c r="M9272" t="s">
        <v>43842</v>
      </c>
      <c r="N9272" t="s">
        <v>44905</v>
      </c>
      <c r="O9272" t="s">
        <v>44906</v>
      </c>
      <c r="P9272">
        <v>0</v>
      </c>
      <c r="Q9272">
        <v>1</v>
      </c>
      <c r="R9272" t="s">
        <v>44913</v>
      </c>
      <c r="S9272" t="s">
        <v>45170</v>
      </c>
      <c r="T9272" t="s">
        <v>46454</v>
      </c>
      <c r="U9272" t="s">
        <v>54400</v>
      </c>
      <c r="W9272" t="s">
        <v>43842</v>
      </c>
      <c r="X9272" t="s">
        <v>44914</v>
      </c>
    </row>
    <row r="9273" spans="1:24">
      <c r="A9273">
        <f>HYPERLINK("https://www.philgeps.gov.ph/GEPSNONPILOT/Tender/SplashBidNoticeAbstractUI.aspx?menuIndex=3&amp;refID=7070902&amp;Result=3","7070902")</f>
        <v>0</v>
      </c>
      <c r="B9273" t="s">
        <v>2699</v>
      </c>
      <c r="C9273" t="s">
        <v>12355</v>
      </c>
      <c r="E9273" t="s">
        <v>20853</v>
      </c>
      <c r="F9273" t="s">
        <v>31362</v>
      </c>
      <c r="G9273" t="s">
        <v>31369</v>
      </c>
      <c r="H9273" t="s">
        <v>31378</v>
      </c>
      <c r="I9273" t="s">
        <v>31386</v>
      </c>
      <c r="J9273" t="s">
        <v>31531</v>
      </c>
      <c r="K9273" t="s">
        <v>40662</v>
      </c>
      <c r="M9273" t="s">
        <v>43885</v>
      </c>
      <c r="N9273" t="s">
        <v>44905</v>
      </c>
      <c r="O9273" t="s">
        <v>44906</v>
      </c>
      <c r="P9273">
        <v>0</v>
      </c>
      <c r="Q9273">
        <v>0</v>
      </c>
      <c r="R9273" t="s">
        <v>44913</v>
      </c>
      <c r="S9273" t="s">
        <v>45170</v>
      </c>
      <c r="T9273" t="s">
        <v>46393</v>
      </c>
      <c r="U9273" t="s">
        <v>54401</v>
      </c>
      <c r="W9273" t="s">
        <v>43885</v>
      </c>
      <c r="X9273" t="s">
        <v>44914</v>
      </c>
    </row>
    <row r="9274" spans="1:24">
      <c r="A9274">
        <f>HYPERLINK("https://www.philgeps.gov.ph/GEPSNONPILOT/Tender/SplashBidNoticeAbstractUI.aspx?menuIndex=3&amp;refID=7070894&amp;Result=3","7070894")</f>
        <v>0</v>
      </c>
      <c r="B9274" t="s">
        <v>2658</v>
      </c>
      <c r="C9274" t="s">
        <v>12356</v>
      </c>
      <c r="D9274" t="s">
        <v>18100</v>
      </c>
      <c r="E9274" t="s">
        <v>26249</v>
      </c>
      <c r="F9274" t="s">
        <v>31362</v>
      </c>
      <c r="G9274" t="s">
        <v>31368</v>
      </c>
      <c r="H9274" t="s">
        <v>15799</v>
      </c>
      <c r="I9274" t="s">
        <v>7188</v>
      </c>
      <c r="J9274" t="s">
        <v>31536</v>
      </c>
      <c r="K9274" t="s">
        <v>40665</v>
      </c>
      <c r="M9274" t="s">
        <v>43842</v>
      </c>
      <c r="N9274" t="s">
        <v>44905</v>
      </c>
      <c r="O9274" t="s">
        <v>44906</v>
      </c>
      <c r="P9274">
        <v>0</v>
      </c>
      <c r="Q9274">
        <v>1</v>
      </c>
      <c r="R9274" t="s">
        <v>44913</v>
      </c>
      <c r="S9274" t="s">
        <v>45170</v>
      </c>
      <c r="T9274" t="s">
        <v>46454</v>
      </c>
      <c r="U9274" t="s">
        <v>54402</v>
      </c>
      <c r="W9274" t="s">
        <v>43842</v>
      </c>
      <c r="X9274" t="s">
        <v>44914</v>
      </c>
    </row>
    <row r="9275" spans="1:24">
      <c r="A9275">
        <f>HYPERLINK("https://www.philgeps.gov.ph/GEPSNONPILOT/Tender/SplashBidNoticeAbstractUI.aspx?menuIndex=3&amp;refID=7070892&amp;Result=3","7070892")</f>
        <v>0</v>
      </c>
      <c r="B9275" t="s">
        <v>1033</v>
      </c>
      <c r="C9275" t="s">
        <v>12357</v>
      </c>
      <c r="D9275" t="s">
        <v>18162</v>
      </c>
      <c r="E9275" t="s">
        <v>26250</v>
      </c>
      <c r="F9275" t="s">
        <v>31362</v>
      </c>
      <c r="G9275" t="s">
        <v>31369</v>
      </c>
      <c r="H9275" t="s">
        <v>15799</v>
      </c>
      <c r="I9275" t="s">
        <v>7188</v>
      </c>
      <c r="J9275" t="s">
        <v>31722</v>
      </c>
      <c r="K9275" t="s">
        <v>40670</v>
      </c>
      <c r="M9275" t="s">
        <v>42032</v>
      </c>
      <c r="N9275" t="s">
        <v>44905</v>
      </c>
      <c r="O9275" t="s">
        <v>44906</v>
      </c>
      <c r="P9275">
        <v>0</v>
      </c>
      <c r="Q9275">
        <v>2</v>
      </c>
      <c r="R9275" t="s">
        <v>44913</v>
      </c>
      <c r="S9275" t="s">
        <v>45170</v>
      </c>
      <c r="T9275" t="s">
        <v>46509</v>
      </c>
      <c r="U9275" t="s">
        <v>54403</v>
      </c>
      <c r="W9275" t="s">
        <v>42032</v>
      </c>
      <c r="X9275" t="s">
        <v>44914</v>
      </c>
    </row>
    <row r="9276" spans="1:24">
      <c r="A9276">
        <f>HYPERLINK("https://www.philgeps.gov.ph/GEPSNONPILOT/Tender/SplashBidNoticeAbstractUI.aspx?menuIndex=3&amp;refID=7070818&amp;Result=3","7070818")</f>
        <v>0</v>
      </c>
      <c r="B9276" t="s">
        <v>2700</v>
      </c>
      <c r="C9276" t="s">
        <v>12358</v>
      </c>
      <c r="D9276" t="s">
        <v>18100</v>
      </c>
      <c r="E9276" t="s">
        <v>26251</v>
      </c>
      <c r="F9276" t="s">
        <v>31362</v>
      </c>
      <c r="G9276" t="s">
        <v>31369</v>
      </c>
      <c r="H9276" t="s">
        <v>31378</v>
      </c>
      <c r="I9276" t="s">
        <v>31386</v>
      </c>
      <c r="J9276" t="s">
        <v>35628</v>
      </c>
      <c r="K9276" t="s">
        <v>40686</v>
      </c>
      <c r="M9276" t="s">
        <v>43886</v>
      </c>
      <c r="N9276" t="s">
        <v>44905</v>
      </c>
      <c r="O9276" t="s">
        <v>44906</v>
      </c>
      <c r="P9276">
        <v>0</v>
      </c>
      <c r="Q9276">
        <v>0</v>
      </c>
      <c r="R9276" t="s">
        <v>44913</v>
      </c>
      <c r="S9276" t="s">
        <v>45170</v>
      </c>
      <c r="T9276" t="s">
        <v>46463</v>
      </c>
      <c r="U9276" t="s">
        <v>54404</v>
      </c>
      <c r="W9276" t="s">
        <v>43886</v>
      </c>
      <c r="X9276" t="s">
        <v>44914</v>
      </c>
    </row>
    <row r="9277" spans="1:24">
      <c r="A9277">
        <f>HYPERLINK("https://www.philgeps.gov.ph/GEPSNONPILOT/Tender/SplashBidNoticeAbstractUI.aspx?menuIndex=3&amp;refID=7070983&amp;Result=3","7070983")</f>
        <v>0</v>
      </c>
      <c r="B9277" t="s">
        <v>2658</v>
      </c>
      <c r="C9277" t="s">
        <v>12359</v>
      </c>
      <c r="D9277" t="s">
        <v>18100</v>
      </c>
      <c r="E9277" t="s">
        <v>26252</v>
      </c>
      <c r="F9277" t="s">
        <v>31362</v>
      </c>
      <c r="G9277" t="s">
        <v>31368</v>
      </c>
      <c r="H9277" t="s">
        <v>15799</v>
      </c>
      <c r="I9277" t="s">
        <v>7188</v>
      </c>
      <c r="J9277" t="s">
        <v>31536</v>
      </c>
      <c r="K9277" t="s">
        <v>40665</v>
      </c>
      <c r="M9277" t="s">
        <v>43842</v>
      </c>
      <c r="N9277" t="s">
        <v>44905</v>
      </c>
      <c r="O9277" t="s">
        <v>44906</v>
      </c>
      <c r="P9277">
        <v>0</v>
      </c>
      <c r="Q9277">
        <v>1</v>
      </c>
      <c r="R9277" t="s">
        <v>44913</v>
      </c>
      <c r="S9277" t="s">
        <v>45170</v>
      </c>
      <c r="T9277" t="s">
        <v>46454</v>
      </c>
      <c r="U9277" t="s">
        <v>54405</v>
      </c>
      <c r="W9277" t="s">
        <v>43842</v>
      </c>
      <c r="X9277" t="s">
        <v>44914</v>
      </c>
    </row>
    <row r="9278" spans="1:24">
      <c r="A9278">
        <f>HYPERLINK("https://www.philgeps.gov.ph/GEPSNONPILOT/Tender/SplashBidNoticeAbstractUI.aspx?menuIndex=3&amp;refID=7070812&amp;Result=3","7070812")</f>
        <v>0</v>
      </c>
      <c r="B9278" t="s">
        <v>494</v>
      </c>
      <c r="C9278" t="s">
        <v>12360</v>
      </c>
      <c r="D9278" t="s">
        <v>18115</v>
      </c>
      <c r="E9278" t="s">
        <v>26253</v>
      </c>
      <c r="F9278" t="s">
        <v>31362</v>
      </c>
      <c r="G9278" t="s">
        <v>31369</v>
      </c>
      <c r="H9278" t="s">
        <v>31378</v>
      </c>
      <c r="I9278" t="s">
        <v>31386</v>
      </c>
      <c r="J9278" t="s">
        <v>37171</v>
      </c>
      <c r="K9278" t="s">
        <v>40661</v>
      </c>
      <c r="M9278" t="s">
        <v>41449</v>
      </c>
      <c r="N9278" t="s">
        <v>44905</v>
      </c>
      <c r="O9278" t="s">
        <v>44906</v>
      </c>
      <c r="P9278">
        <v>0</v>
      </c>
      <c r="Q9278">
        <v>4</v>
      </c>
      <c r="R9278" t="s">
        <v>44913</v>
      </c>
      <c r="S9278" t="s">
        <v>45170</v>
      </c>
      <c r="T9278" t="s">
        <v>46409</v>
      </c>
      <c r="U9278" t="s">
        <v>54406</v>
      </c>
      <c r="V9278" t="s">
        <v>60009</v>
      </c>
      <c r="W9278" t="s">
        <v>41449</v>
      </c>
      <c r="X9278" t="s">
        <v>44914</v>
      </c>
    </row>
    <row r="9279" spans="1:24">
      <c r="A9279">
        <f>HYPERLINK("https://www.philgeps.gov.ph/GEPSNONPILOT/Tender/SplashBidNoticeAbstractUI.aspx?menuIndex=3&amp;refID=7070806&amp;Result=3","7070806")</f>
        <v>0</v>
      </c>
      <c r="B9279" t="s">
        <v>795</v>
      </c>
      <c r="C9279" t="s">
        <v>12361</v>
      </c>
      <c r="D9279" t="s">
        <v>18138</v>
      </c>
      <c r="E9279" t="s">
        <v>26254</v>
      </c>
      <c r="F9279" t="s">
        <v>31362</v>
      </c>
      <c r="G9279" t="s">
        <v>31369</v>
      </c>
      <c r="H9279" t="s">
        <v>15799</v>
      </c>
      <c r="I9279" t="s">
        <v>31409</v>
      </c>
      <c r="J9279" t="s">
        <v>31591</v>
      </c>
      <c r="K9279" t="s">
        <v>40675</v>
      </c>
      <c r="M9279" t="s">
        <v>41765</v>
      </c>
      <c r="N9279" t="s">
        <v>44905</v>
      </c>
      <c r="O9279" t="s">
        <v>44906</v>
      </c>
      <c r="P9279">
        <v>0</v>
      </c>
      <c r="Q9279">
        <v>3</v>
      </c>
      <c r="R9279" t="s">
        <v>44913</v>
      </c>
      <c r="S9279" t="s">
        <v>45170</v>
      </c>
      <c r="T9279" t="s">
        <v>46488</v>
      </c>
      <c r="U9279" t="s">
        <v>54407</v>
      </c>
      <c r="W9279" t="s">
        <v>41765</v>
      </c>
      <c r="X9279" t="s">
        <v>44914</v>
      </c>
    </row>
    <row r="9280" spans="1:24">
      <c r="A9280">
        <f>HYPERLINK("https://www.philgeps.gov.ph/GEPSNONPILOT/Tender/SplashBidNoticeAbstractUI.aspx?menuIndex=3&amp;refID=7070798&amp;Result=3","7070798")</f>
        <v>0</v>
      </c>
      <c r="B9280" t="s">
        <v>362</v>
      </c>
      <c r="C9280" t="s">
        <v>12320</v>
      </c>
      <c r="D9280" t="s">
        <v>18103</v>
      </c>
      <c r="E9280" t="s">
        <v>26230</v>
      </c>
      <c r="F9280" t="s">
        <v>31362</v>
      </c>
      <c r="G9280" t="s">
        <v>31369</v>
      </c>
      <c r="H9280" t="s">
        <v>31378</v>
      </c>
      <c r="I9280" t="s">
        <v>31386</v>
      </c>
      <c r="J9280" t="s">
        <v>31709</v>
      </c>
      <c r="K9280" t="s">
        <v>40735</v>
      </c>
      <c r="M9280" t="s">
        <v>43093</v>
      </c>
      <c r="N9280" t="s">
        <v>44905</v>
      </c>
      <c r="O9280" t="s">
        <v>44906</v>
      </c>
      <c r="P9280">
        <v>0</v>
      </c>
      <c r="Q9280">
        <v>15</v>
      </c>
      <c r="R9280" t="s">
        <v>44913</v>
      </c>
      <c r="S9280" t="s">
        <v>45170</v>
      </c>
      <c r="T9280" t="s">
        <v>46607</v>
      </c>
      <c r="U9280" t="s">
        <v>54347</v>
      </c>
      <c r="V9280" t="s">
        <v>59999</v>
      </c>
      <c r="W9280" t="s">
        <v>60886</v>
      </c>
      <c r="X9280" t="s">
        <v>44914</v>
      </c>
    </row>
    <row r="9281" spans="1:24">
      <c r="A9281">
        <f>HYPERLINK("https://www.philgeps.gov.ph/GEPSNONPILOT/Tender/SplashBidNoticeAbstractUI.aspx?menuIndex=3&amp;refID=7070962&amp;Result=3","7070962")</f>
        <v>0</v>
      </c>
      <c r="B9281" t="s">
        <v>2701</v>
      </c>
      <c r="C9281" t="s">
        <v>12362</v>
      </c>
      <c r="D9281" t="s">
        <v>18155</v>
      </c>
      <c r="E9281" t="s">
        <v>19326</v>
      </c>
      <c r="F9281" t="s">
        <v>31362</v>
      </c>
      <c r="G9281" t="s">
        <v>31369</v>
      </c>
      <c r="H9281" t="s">
        <v>31378</v>
      </c>
      <c r="I9281" t="s">
        <v>31386</v>
      </c>
      <c r="J9281" t="s">
        <v>31591</v>
      </c>
      <c r="K9281" t="s">
        <v>40708</v>
      </c>
      <c r="M9281" t="s">
        <v>43887</v>
      </c>
      <c r="N9281" t="s">
        <v>44905</v>
      </c>
      <c r="O9281" t="s">
        <v>44906</v>
      </c>
      <c r="P9281">
        <v>0</v>
      </c>
      <c r="Q9281">
        <v>0</v>
      </c>
      <c r="R9281" t="s">
        <v>44913</v>
      </c>
      <c r="S9281" t="s">
        <v>45170</v>
      </c>
      <c r="T9281" t="s">
        <v>46454</v>
      </c>
      <c r="U9281" t="s">
        <v>54408</v>
      </c>
      <c r="W9281" t="s">
        <v>43887</v>
      </c>
      <c r="X9281" t="s">
        <v>44914</v>
      </c>
    </row>
    <row r="9282" spans="1:24">
      <c r="A9282">
        <f>HYPERLINK("https://www.philgeps.gov.ph/GEPSNONPILOT/Tender/SplashBidNoticeAbstractUI.aspx?menuIndex=3&amp;refID=7071016&amp;Result=3","7071016")</f>
        <v>0</v>
      </c>
      <c r="B9282" t="s">
        <v>213</v>
      </c>
      <c r="C9282" t="s">
        <v>12363</v>
      </c>
      <c r="D9282" t="s">
        <v>18121</v>
      </c>
      <c r="E9282" t="s">
        <v>26255</v>
      </c>
      <c r="F9282" t="s">
        <v>31362</v>
      </c>
      <c r="G9282" t="s">
        <v>31369</v>
      </c>
      <c r="H9282" t="s">
        <v>31378</v>
      </c>
      <c r="I9282" t="s">
        <v>31386</v>
      </c>
      <c r="J9282" t="s">
        <v>31536</v>
      </c>
      <c r="K9282" t="s">
        <v>40665</v>
      </c>
      <c r="M9282" t="s">
        <v>41152</v>
      </c>
      <c r="N9282" t="s">
        <v>44905</v>
      </c>
      <c r="O9282" t="s">
        <v>44906</v>
      </c>
      <c r="P9282">
        <v>0</v>
      </c>
      <c r="Q9282">
        <v>0</v>
      </c>
      <c r="R9282" t="s">
        <v>44913</v>
      </c>
      <c r="S9282" t="s">
        <v>45170</v>
      </c>
      <c r="T9282" t="s">
        <v>46432</v>
      </c>
      <c r="U9282" t="s">
        <v>54409</v>
      </c>
      <c r="V9282" t="s">
        <v>60010</v>
      </c>
      <c r="W9282" t="s">
        <v>41152</v>
      </c>
      <c r="X9282" t="s">
        <v>44914</v>
      </c>
    </row>
    <row r="9283" spans="1:24">
      <c r="A9283">
        <f>HYPERLINK("https://www.philgeps.gov.ph/GEPSNONPILOT/Tender/SplashBidNoticeAbstractUI.aspx?menuIndex=3&amp;refID=7070697&amp;Result=3","7070697")</f>
        <v>0</v>
      </c>
      <c r="B9283" t="s">
        <v>2679</v>
      </c>
      <c r="C9283" t="s">
        <v>12364</v>
      </c>
      <c r="D9283" t="s">
        <v>18120</v>
      </c>
      <c r="E9283" t="s">
        <v>12364</v>
      </c>
      <c r="F9283" t="s">
        <v>31362</v>
      </c>
      <c r="G9283" t="s">
        <v>31368</v>
      </c>
      <c r="H9283" t="s">
        <v>15799</v>
      </c>
      <c r="I9283" t="s">
        <v>31430</v>
      </c>
      <c r="J9283" t="s">
        <v>33707</v>
      </c>
      <c r="K9283" t="s">
        <v>40682</v>
      </c>
      <c r="M9283" t="s">
        <v>43865</v>
      </c>
      <c r="N9283" t="s">
        <v>44905</v>
      </c>
      <c r="O9283" t="s">
        <v>44906</v>
      </c>
      <c r="P9283">
        <v>0</v>
      </c>
      <c r="Q9283">
        <v>0</v>
      </c>
      <c r="R9283" t="s">
        <v>44913</v>
      </c>
      <c r="S9283" t="s">
        <v>45170</v>
      </c>
      <c r="T9283" t="s">
        <v>46432</v>
      </c>
      <c r="U9283" t="s">
        <v>54332</v>
      </c>
      <c r="W9283" t="s">
        <v>43865</v>
      </c>
      <c r="X9283" t="s">
        <v>44914</v>
      </c>
    </row>
    <row r="9284" spans="1:24">
      <c r="A9284">
        <f>HYPERLINK("https://www.philgeps.gov.ph/GEPSNONPILOT/Tender/SplashBidNoticeAbstractUI.aspx?menuIndex=3&amp;refID=7070684&amp;Result=3","7070684")</f>
        <v>0</v>
      </c>
      <c r="B9284" t="s">
        <v>450</v>
      </c>
      <c r="C9284" t="s">
        <v>12365</v>
      </c>
      <c r="D9284" t="s">
        <v>18128</v>
      </c>
      <c r="E9284" t="s">
        <v>18724</v>
      </c>
      <c r="F9284" t="s">
        <v>31362</v>
      </c>
      <c r="G9284" t="s">
        <v>31368</v>
      </c>
      <c r="H9284" t="s">
        <v>15799</v>
      </c>
      <c r="I9284" t="s">
        <v>31387</v>
      </c>
      <c r="J9284" t="s">
        <v>37172</v>
      </c>
      <c r="K9284" t="s">
        <v>40665</v>
      </c>
      <c r="M9284" t="s">
        <v>41404</v>
      </c>
      <c r="N9284" t="s">
        <v>44905</v>
      </c>
      <c r="O9284" t="s">
        <v>44906</v>
      </c>
      <c r="P9284">
        <v>0</v>
      </c>
      <c r="Q9284">
        <v>0</v>
      </c>
      <c r="R9284" t="s">
        <v>44913</v>
      </c>
      <c r="S9284" t="s">
        <v>45170</v>
      </c>
      <c r="T9284" t="s">
        <v>46426</v>
      </c>
      <c r="U9284" t="s">
        <v>54410</v>
      </c>
      <c r="V9284" t="s">
        <v>59996</v>
      </c>
      <c r="W9284" t="s">
        <v>41404</v>
      </c>
      <c r="X9284" t="s">
        <v>44914</v>
      </c>
    </row>
    <row r="9285" spans="1:24">
      <c r="A9285">
        <f>HYPERLINK("https://www.philgeps.gov.ph/GEPSNONPILOT/Tender/SplashBidNoticeAbstractUI.aspx?menuIndex=3&amp;refID=7070887&amp;Result=3","7070887")</f>
        <v>0</v>
      </c>
      <c r="B9285" t="s">
        <v>118</v>
      </c>
      <c r="C9285" t="s">
        <v>12366</v>
      </c>
      <c r="D9285" t="s">
        <v>18142</v>
      </c>
      <c r="E9285" t="s">
        <v>26256</v>
      </c>
      <c r="F9285" t="s">
        <v>31362</v>
      </c>
      <c r="G9285" t="s">
        <v>31369</v>
      </c>
      <c r="H9285" t="s">
        <v>15799</v>
      </c>
      <c r="I9285" t="s">
        <v>7090</v>
      </c>
      <c r="J9285" t="s">
        <v>37173</v>
      </c>
      <c r="K9285" t="s">
        <v>40677</v>
      </c>
      <c r="M9285" t="s">
        <v>41055</v>
      </c>
      <c r="N9285" t="s">
        <v>44905</v>
      </c>
      <c r="O9285" t="s">
        <v>44906</v>
      </c>
      <c r="P9285">
        <v>0</v>
      </c>
      <c r="Q9285">
        <v>2</v>
      </c>
      <c r="R9285" t="s">
        <v>44913</v>
      </c>
      <c r="S9285" t="s">
        <v>45170</v>
      </c>
      <c r="T9285" t="s">
        <v>46394</v>
      </c>
      <c r="U9285" t="s">
        <v>54411</v>
      </c>
      <c r="W9285" t="s">
        <v>41055</v>
      </c>
      <c r="X9285" t="s">
        <v>44914</v>
      </c>
    </row>
    <row r="9286" spans="1:24">
      <c r="A9286">
        <f>HYPERLINK("https://www.philgeps.gov.ph/GEPSNONPILOT/Tender/SplashBidNoticeAbstractUI.aspx?menuIndex=3&amp;refID=7070677&amp;Result=3","7070677")</f>
        <v>0</v>
      </c>
      <c r="B9286" t="s">
        <v>2702</v>
      </c>
      <c r="C9286" t="s">
        <v>3795</v>
      </c>
      <c r="D9286" t="s">
        <v>18108</v>
      </c>
      <c r="E9286" t="s">
        <v>26257</v>
      </c>
      <c r="F9286" t="s">
        <v>31362</v>
      </c>
      <c r="G9286" t="s">
        <v>31369</v>
      </c>
      <c r="H9286" t="s">
        <v>15799</v>
      </c>
      <c r="I9286" t="s">
        <v>31385</v>
      </c>
      <c r="J9286" t="s">
        <v>31578</v>
      </c>
      <c r="K9286" t="s">
        <v>40697</v>
      </c>
      <c r="M9286" t="s">
        <v>43888</v>
      </c>
      <c r="N9286" t="s">
        <v>44905</v>
      </c>
      <c r="O9286" t="s">
        <v>44906</v>
      </c>
      <c r="P9286">
        <v>0</v>
      </c>
      <c r="Q9286">
        <v>0</v>
      </c>
      <c r="R9286" t="s">
        <v>44913</v>
      </c>
      <c r="S9286" t="s">
        <v>45170</v>
      </c>
      <c r="T9286" t="s">
        <v>46454</v>
      </c>
      <c r="U9286" t="s">
        <v>54412</v>
      </c>
      <c r="W9286" t="s">
        <v>43888</v>
      </c>
      <c r="X9286" t="s">
        <v>44914</v>
      </c>
    </row>
    <row r="9287" spans="1:24">
      <c r="A9287">
        <f>HYPERLINK("https://www.philgeps.gov.ph/GEPSNONPILOT/Tender/SplashBidNoticeAbstractUI.aspx?menuIndex=3&amp;refID=7070668&amp;Result=3","7070668")</f>
        <v>0</v>
      </c>
      <c r="B9287" t="s">
        <v>2638</v>
      </c>
      <c r="C9287" t="s">
        <v>12367</v>
      </c>
      <c r="E9287" t="s">
        <v>26258</v>
      </c>
      <c r="F9287" t="s">
        <v>31362</v>
      </c>
      <c r="G9287" t="s">
        <v>31369</v>
      </c>
      <c r="H9287" t="s">
        <v>15799</v>
      </c>
      <c r="I9287" t="s">
        <v>6240</v>
      </c>
      <c r="J9287" t="s">
        <v>37174</v>
      </c>
      <c r="K9287" t="s">
        <v>40662</v>
      </c>
      <c r="M9287" t="s">
        <v>43819</v>
      </c>
      <c r="N9287" t="s">
        <v>44905</v>
      </c>
      <c r="O9287" t="s">
        <v>44906</v>
      </c>
      <c r="P9287">
        <v>0</v>
      </c>
      <c r="Q9287">
        <v>0</v>
      </c>
      <c r="R9287" t="s">
        <v>44913</v>
      </c>
      <c r="S9287" t="s">
        <v>45170</v>
      </c>
      <c r="T9287" t="s">
        <v>46434</v>
      </c>
      <c r="U9287" t="s">
        <v>54233</v>
      </c>
      <c r="W9287" t="s">
        <v>43819</v>
      </c>
      <c r="X9287" t="s">
        <v>44914</v>
      </c>
    </row>
    <row r="9288" spans="1:24">
      <c r="A9288">
        <f>HYPERLINK("https://www.philgeps.gov.ph/GEPSNONPILOT/Tender/SplashBidNoticeAbstractUI.aspx?menuIndex=3&amp;refID=7070667&amp;Result=3","7070667")</f>
        <v>0</v>
      </c>
      <c r="B9288" t="s">
        <v>2679</v>
      </c>
      <c r="C9288" t="s">
        <v>12368</v>
      </c>
      <c r="D9288" t="s">
        <v>18120</v>
      </c>
      <c r="E9288" t="s">
        <v>12368</v>
      </c>
      <c r="F9288" t="s">
        <v>31362</v>
      </c>
      <c r="G9288" t="s">
        <v>31368</v>
      </c>
      <c r="H9288" t="s">
        <v>15799</v>
      </c>
      <c r="I9288" t="s">
        <v>31430</v>
      </c>
      <c r="J9288" t="s">
        <v>31937</v>
      </c>
      <c r="K9288" t="s">
        <v>40682</v>
      </c>
      <c r="M9288" t="s">
        <v>43865</v>
      </c>
      <c r="N9288" t="s">
        <v>44905</v>
      </c>
      <c r="O9288" t="s">
        <v>44906</v>
      </c>
      <c r="P9288">
        <v>0</v>
      </c>
      <c r="Q9288">
        <v>0</v>
      </c>
      <c r="R9288" t="s">
        <v>44913</v>
      </c>
      <c r="S9288" t="s">
        <v>45170</v>
      </c>
      <c r="T9288" t="s">
        <v>46432</v>
      </c>
      <c r="U9288" t="s">
        <v>54332</v>
      </c>
      <c r="W9288" t="s">
        <v>43865</v>
      </c>
      <c r="X9288" t="s">
        <v>44914</v>
      </c>
    </row>
    <row r="9289" spans="1:24">
      <c r="A9289">
        <f>HYPERLINK("https://www.philgeps.gov.ph/GEPSNONPILOT/Tender/SplashBidNoticeAbstractUI.aspx?menuIndex=3&amp;refID=7071125&amp;Result=3","7071125")</f>
        <v>0</v>
      </c>
      <c r="B9289" t="s">
        <v>2703</v>
      </c>
      <c r="C9289" t="s">
        <v>12369</v>
      </c>
      <c r="D9289" t="s">
        <v>18175</v>
      </c>
      <c r="E9289" t="s">
        <v>26259</v>
      </c>
      <c r="F9289" t="s">
        <v>31362</v>
      </c>
      <c r="G9289" t="s">
        <v>31369</v>
      </c>
      <c r="H9289" t="s">
        <v>31378</v>
      </c>
      <c r="I9289" t="s">
        <v>3815</v>
      </c>
      <c r="J9289" t="s">
        <v>31530</v>
      </c>
      <c r="K9289" t="s">
        <v>40661</v>
      </c>
      <c r="M9289" t="s">
        <v>43889</v>
      </c>
      <c r="N9289" t="s">
        <v>44905</v>
      </c>
      <c r="O9289" t="s">
        <v>44906</v>
      </c>
      <c r="P9289">
        <v>0</v>
      </c>
      <c r="Q9289">
        <v>0</v>
      </c>
      <c r="R9289" t="s">
        <v>44913</v>
      </c>
      <c r="S9289" t="s">
        <v>45170</v>
      </c>
      <c r="T9289" t="s">
        <v>46766</v>
      </c>
      <c r="U9289" t="s">
        <v>54413</v>
      </c>
      <c r="W9289" t="s">
        <v>43889</v>
      </c>
      <c r="X9289" t="s">
        <v>44914</v>
      </c>
    </row>
    <row r="9290" spans="1:24">
      <c r="A9290">
        <f>HYPERLINK("https://www.philgeps.gov.ph/GEPSNONPILOT/Tender/SplashBidNoticeAbstractUI.aspx?menuIndex=3&amp;refID=7071088&amp;Result=3","7071088")</f>
        <v>0</v>
      </c>
      <c r="B9290" t="s">
        <v>213</v>
      </c>
      <c r="C9290" t="s">
        <v>12370</v>
      </c>
      <c r="D9290" t="s">
        <v>18121</v>
      </c>
      <c r="E9290" t="s">
        <v>26260</v>
      </c>
      <c r="F9290" t="s">
        <v>31362</v>
      </c>
      <c r="G9290" t="s">
        <v>31369</v>
      </c>
      <c r="H9290" t="s">
        <v>31378</v>
      </c>
      <c r="I9290" t="s">
        <v>31386</v>
      </c>
      <c r="J9290" t="s">
        <v>31536</v>
      </c>
      <c r="K9290" t="s">
        <v>40666</v>
      </c>
      <c r="M9290" t="s">
        <v>41152</v>
      </c>
      <c r="N9290" t="s">
        <v>44905</v>
      </c>
      <c r="O9290" t="s">
        <v>44906</v>
      </c>
      <c r="P9290">
        <v>0</v>
      </c>
      <c r="Q9290">
        <v>0</v>
      </c>
      <c r="R9290" t="s">
        <v>44913</v>
      </c>
      <c r="S9290" t="s">
        <v>45170</v>
      </c>
      <c r="T9290" t="s">
        <v>46443</v>
      </c>
      <c r="U9290" t="s">
        <v>54414</v>
      </c>
      <c r="V9290" t="s">
        <v>60011</v>
      </c>
      <c r="W9290" t="s">
        <v>41152</v>
      </c>
      <c r="X9290" t="s">
        <v>44914</v>
      </c>
    </row>
    <row r="9291" spans="1:24">
      <c r="A9291">
        <f>HYPERLINK("https://www.philgeps.gov.ph/GEPSNONPILOT/Tender/SplashBidNoticeAbstractUI.aspx?menuIndex=3&amp;refID=7071107&amp;Result=3","7071107")</f>
        <v>0</v>
      </c>
      <c r="B9291" t="s">
        <v>180</v>
      </c>
      <c r="C9291" t="s">
        <v>12371</v>
      </c>
      <c r="D9291" t="s">
        <v>18112</v>
      </c>
      <c r="E9291" t="s">
        <v>26261</v>
      </c>
      <c r="F9291" t="s">
        <v>31362</v>
      </c>
      <c r="G9291" t="s">
        <v>31368</v>
      </c>
      <c r="H9291" t="s">
        <v>15799</v>
      </c>
      <c r="I9291" t="s">
        <v>6240</v>
      </c>
      <c r="J9291" t="s">
        <v>37175</v>
      </c>
      <c r="K9291" t="s">
        <v>40680</v>
      </c>
      <c r="M9291" t="s">
        <v>41118</v>
      </c>
      <c r="N9291" t="s">
        <v>44905</v>
      </c>
      <c r="O9291" t="s">
        <v>44906</v>
      </c>
      <c r="P9291">
        <v>0</v>
      </c>
      <c r="Q9291">
        <v>0</v>
      </c>
      <c r="R9291" t="s">
        <v>44913</v>
      </c>
      <c r="S9291" t="s">
        <v>45170</v>
      </c>
      <c r="T9291" t="s">
        <v>46411</v>
      </c>
      <c r="U9291" t="s">
        <v>54415</v>
      </c>
      <c r="W9291" t="s">
        <v>41118</v>
      </c>
      <c r="X9291" t="s">
        <v>44914</v>
      </c>
    </row>
    <row r="9292" spans="1:24">
      <c r="A9292">
        <f>HYPERLINK("https://www.philgeps.gov.ph/GEPSNONPILOT/Tender/SplashBidNoticeAbstractUI.aspx?menuIndex=3&amp;refID=7070929&amp;Result=3","7070929")</f>
        <v>0</v>
      </c>
      <c r="B9292" t="s">
        <v>362</v>
      </c>
      <c r="C9292" t="s">
        <v>12372</v>
      </c>
      <c r="D9292" t="s">
        <v>18103</v>
      </c>
      <c r="E9292" t="s">
        <v>26262</v>
      </c>
      <c r="F9292" t="s">
        <v>31362</v>
      </c>
      <c r="G9292" t="s">
        <v>31369</v>
      </c>
      <c r="H9292" t="s">
        <v>15799</v>
      </c>
      <c r="I9292" t="s">
        <v>31385</v>
      </c>
      <c r="J9292" t="s">
        <v>37176</v>
      </c>
      <c r="K9292" t="s">
        <v>40665</v>
      </c>
      <c r="M9292" t="s">
        <v>43080</v>
      </c>
      <c r="N9292" t="s">
        <v>44905</v>
      </c>
      <c r="O9292" t="s">
        <v>44906</v>
      </c>
      <c r="P9292">
        <v>0</v>
      </c>
      <c r="Q9292">
        <v>6</v>
      </c>
      <c r="R9292" t="s">
        <v>44913</v>
      </c>
      <c r="S9292" t="s">
        <v>45170</v>
      </c>
      <c r="T9292" t="s">
        <v>46607</v>
      </c>
      <c r="U9292" t="s">
        <v>54347</v>
      </c>
      <c r="V9292" t="s">
        <v>59999</v>
      </c>
      <c r="W9292" t="s">
        <v>60886</v>
      </c>
      <c r="X9292" t="s">
        <v>44914</v>
      </c>
    </row>
    <row r="9293" spans="1:24">
      <c r="A9293">
        <f>HYPERLINK("https://www.philgeps.gov.ph/GEPSNONPILOT/Tender/SplashBidNoticeAbstractUI.aspx?menuIndex=3&amp;refID=7071099&amp;Result=3","7071099")</f>
        <v>0</v>
      </c>
      <c r="B9293" t="s">
        <v>180</v>
      </c>
      <c r="C9293" t="s">
        <v>12373</v>
      </c>
      <c r="D9293" t="s">
        <v>18112</v>
      </c>
      <c r="E9293" t="s">
        <v>26263</v>
      </c>
      <c r="F9293" t="s">
        <v>31362</v>
      </c>
      <c r="G9293" t="s">
        <v>31368</v>
      </c>
      <c r="H9293" t="s">
        <v>15799</v>
      </c>
      <c r="I9293" t="s">
        <v>6240</v>
      </c>
      <c r="J9293" t="s">
        <v>37177</v>
      </c>
      <c r="K9293" t="s">
        <v>40680</v>
      </c>
      <c r="M9293" t="s">
        <v>41118</v>
      </c>
      <c r="N9293" t="s">
        <v>44905</v>
      </c>
      <c r="O9293" t="s">
        <v>44906</v>
      </c>
      <c r="P9293">
        <v>0</v>
      </c>
      <c r="Q9293">
        <v>0</v>
      </c>
      <c r="R9293" t="s">
        <v>44913</v>
      </c>
      <c r="S9293" t="s">
        <v>45170</v>
      </c>
      <c r="T9293" t="s">
        <v>46411</v>
      </c>
      <c r="U9293" t="s">
        <v>54416</v>
      </c>
      <c r="W9293" t="s">
        <v>41118</v>
      </c>
      <c r="X9293" t="s">
        <v>44914</v>
      </c>
    </row>
    <row r="9294" spans="1:24">
      <c r="A9294">
        <f>HYPERLINK("https://www.philgeps.gov.ph/GEPSNONPILOT/Tender/SplashBidNoticeAbstractUI.aspx?menuIndex=3&amp;refID=7070799&amp;Result=3","7070799")</f>
        <v>0</v>
      </c>
      <c r="B9294" t="s">
        <v>2704</v>
      </c>
      <c r="C9294" t="s">
        <v>5725</v>
      </c>
      <c r="D9294" t="s">
        <v>18148</v>
      </c>
      <c r="E9294" t="s">
        <v>26264</v>
      </c>
      <c r="F9294" t="s">
        <v>31362</v>
      </c>
      <c r="G9294" t="s">
        <v>31369</v>
      </c>
      <c r="H9294" t="s">
        <v>31378</v>
      </c>
      <c r="I9294" t="s">
        <v>31386</v>
      </c>
      <c r="J9294" t="s">
        <v>37178</v>
      </c>
      <c r="K9294" t="s">
        <v>40675</v>
      </c>
      <c r="M9294" t="s">
        <v>43890</v>
      </c>
      <c r="N9294" t="s">
        <v>44905</v>
      </c>
      <c r="O9294" t="s">
        <v>44906</v>
      </c>
      <c r="P9294">
        <v>0</v>
      </c>
      <c r="Q9294">
        <v>0</v>
      </c>
      <c r="R9294" t="s">
        <v>44913</v>
      </c>
      <c r="S9294" t="s">
        <v>45170</v>
      </c>
      <c r="T9294" t="s">
        <v>46504</v>
      </c>
      <c r="U9294" t="s">
        <v>54417</v>
      </c>
      <c r="W9294" t="s">
        <v>43890</v>
      </c>
      <c r="X9294" t="s">
        <v>44914</v>
      </c>
    </row>
    <row r="9295" spans="1:24">
      <c r="A9295">
        <f>HYPERLINK("https://www.philgeps.gov.ph/GEPSNONPILOT/Tender/SplashBidNoticeAbstractUI.aspx?menuIndex=3&amp;refID=7071093&amp;Result=3","7071093")</f>
        <v>0</v>
      </c>
      <c r="B9295" t="s">
        <v>180</v>
      </c>
      <c r="C9295" t="s">
        <v>12374</v>
      </c>
      <c r="D9295" t="s">
        <v>18112</v>
      </c>
      <c r="E9295" t="s">
        <v>26265</v>
      </c>
      <c r="F9295" t="s">
        <v>31362</v>
      </c>
      <c r="G9295" t="s">
        <v>31368</v>
      </c>
      <c r="H9295" t="s">
        <v>15799</v>
      </c>
      <c r="I9295" t="s">
        <v>31430</v>
      </c>
      <c r="J9295" t="s">
        <v>35784</v>
      </c>
      <c r="K9295" t="s">
        <v>40680</v>
      </c>
      <c r="M9295" t="s">
        <v>41118</v>
      </c>
      <c r="N9295" t="s">
        <v>44905</v>
      </c>
      <c r="O9295" t="s">
        <v>44906</v>
      </c>
      <c r="P9295">
        <v>0</v>
      </c>
      <c r="Q9295">
        <v>1</v>
      </c>
      <c r="R9295" t="s">
        <v>44913</v>
      </c>
      <c r="S9295" t="s">
        <v>45170</v>
      </c>
      <c r="T9295" t="s">
        <v>46414</v>
      </c>
      <c r="U9295" t="s">
        <v>54418</v>
      </c>
      <c r="W9295" t="s">
        <v>41118</v>
      </c>
      <c r="X9295" t="s">
        <v>44914</v>
      </c>
    </row>
    <row r="9296" spans="1:24">
      <c r="A9296">
        <f>HYPERLINK("https://www.philgeps.gov.ph/GEPSNONPILOT/Tender/SplashBidNoticeAbstractUI.aspx?menuIndex=3&amp;refID=7071091&amp;Result=3","7071091")</f>
        <v>0</v>
      </c>
      <c r="B9296" t="s">
        <v>2300</v>
      </c>
      <c r="C9296" t="s">
        <v>12375</v>
      </c>
      <c r="D9296" t="s">
        <v>18148</v>
      </c>
      <c r="E9296" t="s">
        <v>26266</v>
      </c>
      <c r="F9296" t="s">
        <v>31362</v>
      </c>
      <c r="G9296" t="s">
        <v>31369</v>
      </c>
      <c r="H9296" t="s">
        <v>15799</v>
      </c>
      <c r="I9296" t="s">
        <v>31426</v>
      </c>
      <c r="J9296" t="s">
        <v>37179</v>
      </c>
      <c r="K9296" t="s">
        <v>40679</v>
      </c>
      <c r="M9296" t="s">
        <v>43515</v>
      </c>
      <c r="N9296" t="s">
        <v>44905</v>
      </c>
      <c r="O9296" t="s">
        <v>44906</v>
      </c>
      <c r="P9296">
        <v>0</v>
      </c>
      <c r="Q9296">
        <v>6</v>
      </c>
      <c r="R9296" t="s">
        <v>44913</v>
      </c>
      <c r="S9296" t="s">
        <v>45170</v>
      </c>
      <c r="T9296" t="s">
        <v>46450</v>
      </c>
      <c r="U9296" t="s">
        <v>54419</v>
      </c>
      <c r="W9296" t="s">
        <v>43515</v>
      </c>
      <c r="X9296" t="s">
        <v>44914</v>
      </c>
    </row>
    <row r="9297" spans="1:24">
      <c r="A9297">
        <f>HYPERLINK("https://www.philgeps.gov.ph/GEPSNONPILOT/Tender/SplashBidNoticeAbstractUI.aspx?menuIndex=3&amp;refID=7071083&amp;Result=3","7071083")</f>
        <v>0</v>
      </c>
      <c r="B9297" t="s">
        <v>2705</v>
      </c>
      <c r="C9297" t="s">
        <v>12376</v>
      </c>
      <c r="D9297" t="s">
        <v>18100</v>
      </c>
      <c r="E9297" t="s">
        <v>25810</v>
      </c>
      <c r="F9297" t="s">
        <v>31362</v>
      </c>
      <c r="G9297" t="s">
        <v>31369</v>
      </c>
      <c r="H9297" t="s">
        <v>15799</v>
      </c>
      <c r="I9297" t="s">
        <v>6373</v>
      </c>
      <c r="J9297" t="s">
        <v>37180</v>
      </c>
      <c r="K9297" t="s">
        <v>40693</v>
      </c>
      <c r="M9297" t="s">
        <v>43891</v>
      </c>
      <c r="N9297" t="s">
        <v>44905</v>
      </c>
      <c r="O9297" t="s">
        <v>44906</v>
      </c>
      <c r="P9297">
        <v>0</v>
      </c>
      <c r="Q9297">
        <v>3</v>
      </c>
      <c r="R9297" t="s">
        <v>44913</v>
      </c>
      <c r="S9297" t="s">
        <v>45170</v>
      </c>
      <c r="T9297" t="s">
        <v>46432</v>
      </c>
      <c r="U9297" t="s">
        <v>54420</v>
      </c>
      <c r="W9297" t="s">
        <v>43891</v>
      </c>
      <c r="X9297" t="s">
        <v>44914</v>
      </c>
    </row>
    <row r="9298" spans="1:24">
      <c r="A9298">
        <f>HYPERLINK("https://www.philgeps.gov.ph/GEPSNONPILOT/Tender/SplashBidNoticeAbstractUI.aspx?menuIndex=3&amp;refID=7071073&amp;Result=3","7071073")</f>
        <v>0</v>
      </c>
      <c r="B9298" t="s">
        <v>2421</v>
      </c>
      <c r="C9298" t="s">
        <v>12377</v>
      </c>
      <c r="D9298" t="s">
        <v>18100</v>
      </c>
      <c r="E9298" t="s">
        <v>26267</v>
      </c>
      <c r="F9298" t="s">
        <v>31362</v>
      </c>
      <c r="G9298" t="s">
        <v>31369</v>
      </c>
      <c r="H9298" t="s">
        <v>15799</v>
      </c>
      <c r="I9298" t="s">
        <v>3815</v>
      </c>
      <c r="J9298" t="s">
        <v>37181</v>
      </c>
      <c r="K9298" t="s">
        <v>40662</v>
      </c>
      <c r="M9298" t="s">
        <v>43578</v>
      </c>
      <c r="N9298" t="s">
        <v>44905</v>
      </c>
      <c r="O9298" t="s">
        <v>44906</v>
      </c>
      <c r="P9298">
        <v>0</v>
      </c>
      <c r="Q9298">
        <v>0</v>
      </c>
      <c r="R9298" t="s">
        <v>44913</v>
      </c>
      <c r="S9298" t="s">
        <v>45170</v>
      </c>
      <c r="T9298" t="s">
        <v>46744</v>
      </c>
      <c r="U9298" t="s">
        <v>54421</v>
      </c>
      <c r="W9298" t="s">
        <v>43578</v>
      </c>
      <c r="X9298" t="s">
        <v>44914</v>
      </c>
    </row>
    <row r="9299" spans="1:24">
      <c r="A9299">
        <f>HYPERLINK("https://www.philgeps.gov.ph/GEPSNONPILOT/Tender/SplashBidNoticeAbstractUI.aspx?menuIndex=3&amp;refID=7071062&amp;Result=3","7071062")</f>
        <v>0</v>
      </c>
      <c r="B9299" t="s">
        <v>2197</v>
      </c>
      <c r="C9299" t="s">
        <v>12378</v>
      </c>
      <c r="D9299" t="s">
        <v>18109</v>
      </c>
      <c r="E9299" t="s">
        <v>26268</v>
      </c>
      <c r="F9299" t="s">
        <v>31362</v>
      </c>
      <c r="G9299" t="s">
        <v>31370</v>
      </c>
      <c r="H9299" t="s">
        <v>15799</v>
      </c>
      <c r="I9299" t="s">
        <v>31385</v>
      </c>
      <c r="J9299" t="s">
        <v>37182</v>
      </c>
      <c r="K9299" t="s">
        <v>40662</v>
      </c>
      <c r="M9299" t="s">
        <v>43328</v>
      </c>
      <c r="N9299" t="s">
        <v>44905</v>
      </c>
      <c r="O9299" t="s">
        <v>44906</v>
      </c>
      <c r="P9299">
        <v>0</v>
      </c>
      <c r="Q9299">
        <v>0</v>
      </c>
      <c r="R9299" t="s">
        <v>44913</v>
      </c>
      <c r="S9299" t="s">
        <v>45170</v>
      </c>
      <c r="T9299" t="s">
        <v>46532</v>
      </c>
      <c r="U9299" t="s">
        <v>52794</v>
      </c>
      <c r="W9299" t="s">
        <v>43328</v>
      </c>
      <c r="X9299" t="s">
        <v>44914</v>
      </c>
    </row>
    <row r="9300" spans="1:24">
      <c r="A9300">
        <f>HYPERLINK("https://www.philgeps.gov.ph/GEPSNONPILOT/Tender/SplashBidNoticeAbstractUI.aspx?menuIndex=3&amp;refID=7071114&amp;Result=3","7071114")</f>
        <v>0</v>
      </c>
      <c r="B9300" t="s">
        <v>2706</v>
      </c>
      <c r="C9300" t="s">
        <v>12379</v>
      </c>
      <c r="D9300" t="s">
        <v>18104</v>
      </c>
      <c r="E9300" t="s">
        <v>20465</v>
      </c>
      <c r="F9300" t="s">
        <v>31363</v>
      </c>
      <c r="G9300" t="s">
        <v>31371</v>
      </c>
      <c r="H9300" t="s">
        <v>15799</v>
      </c>
      <c r="I9300" t="s">
        <v>31438</v>
      </c>
      <c r="J9300" t="s">
        <v>37183</v>
      </c>
      <c r="K9300" t="s">
        <v>40697</v>
      </c>
      <c r="M9300" t="s">
        <v>43892</v>
      </c>
      <c r="N9300" t="s">
        <v>44905</v>
      </c>
      <c r="O9300" t="s">
        <v>44906</v>
      </c>
      <c r="P9300">
        <v>0</v>
      </c>
      <c r="Q9300">
        <v>4</v>
      </c>
      <c r="R9300" t="s">
        <v>44913</v>
      </c>
      <c r="S9300" t="s">
        <v>45170</v>
      </c>
      <c r="T9300" t="s">
        <v>46409</v>
      </c>
      <c r="U9300" t="s">
        <v>54422</v>
      </c>
      <c r="V9300" t="s">
        <v>60012</v>
      </c>
      <c r="W9300" t="s">
        <v>43892</v>
      </c>
      <c r="X9300" t="s">
        <v>44914</v>
      </c>
    </row>
    <row r="9301" spans="1:24">
      <c r="A9301">
        <f>HYPERLINK("https://www.philgeps.gov.ph/GEPSNONPILOT/Tender/SplashBidNoticeAbstractUI.aspx?menuIndex=3&amp;refID=7071059&amp;Result=3","7071059")</f>
        <v>0</v>
      </c>
      <c r="B9301" t="s">
        <v>2421</v>
      </c>
      <c r="C9301" t="s">
        <v>12380</v>
      </c>
      <c r="D9301" t="s">
        <v>18100</v>
      </c>
      <c r="E9301" t="s">
        <v>26269</v>
      </c>
      <c r="F9301" t="s">
        <v>31362</v>
      </c>
      <c r="G9301" t="s">
        <v>31369</v>
      </c>
      <c r="H9301" t="s">
        <v>15799</v>
      </c>
      <c r="I9301" t="s">
        <v>4283</v>
      </c>
      <c r="J9301" t="s">
        <v>32837</v>
      </c>
      <c r="K9301" t="s">
        <v>40662</v>
      </c>
      <c r="M9301" t="s">
        <v>43578</v>
      </c>
      <c r="N9301" t="s">
        <v>44905</v>
      </c>
      <c r="O9301" t="s">
        <v>44906</v>
      </c>
      <c r="P9301">
        <v>0</v>
      </c>
      <c r="Q9301">
        <v>12</v>
      </c>
      <c r="R9301" t="s">
        <v>44913</v>
      </c>
      <c r="S9301" t="s">
        <v>45170</v>
      </c>
      <c r="T9301" t="s">
        <v>46744</v>
      </c>
      <c r="U9301" t="s">
        <v>54423</v>
      </c>
      <c r="W9301" t="s">
        <v>43578</v>
      </c>
      <c r="X9301" t="s">
        <v>44914</v>
      </c>
    </row>
    <row r="9302" spans="1:24">
      <c r="A9302">
        <f>HYPERLINK("https://www.philgeps.gov.ph/GEPSNONPILOT/Tender/SplashBidNoticeAbstractUI.aspx?menuIndex=3&amp;refID=7071058&amp;Result=3","7071058")</f>
        <v>0</v>
      </c>
      <c r="B9302" t="s">
        <v>1079</v>
      </c>
      <c r="C9302" t="s">
        <v>12381</v>
      </c>
      <c r="D9302" t="s">
        <v>18100</v>
      </c>
      <c r="E9302" t="s">
        <v>26270</v>
      </c>
      <c r="F9302" t="s">
        <v>31362</v>
      </c>
      <c r="G9302" t="s">
        <v>31368</v>
      </c>
      <c r="H9302" t="s">
        <v>15799</v>
      </c>
      <c r="I9302" t="s">
        <v>31422</v>
      </c>
      <c r="J9302" t="s">
        <v>31545</v>
      </c>
      <c r="K9302" t="s">
        <v>40666</v>
      </c>
      <c r="M9302" t="s">
        <v>42081</v>
      </c>
      <c r="N9302" t="s">
        <v>44905</v>
      </c>
      <c r="O9302" t="s">
        <v>44906</v>
      </c>
      <c r="P9302">
        <v>0</v>
      </c>
      <c r="Q9302">
        <v>3</v>
      </c>
      <c r="R9302" t="s">
        <v>44913</v>
      </c>
      <c r="S9302" t="s">
        <v>45170</v>
      </c>
      <c r="T9302" t="s">
        <v>46703</v>
      </c>
      <c r="U9302" t="s">
        <v>54424</v>
      </c>
      <c r="W9302" t="s">
        <v>42081</v>
      </c>
      <c r="X9302" t="s">
        <v>44914</v>
      </c>
    </row>
    <row r="9303" spans="1:24">
      <c r="A9303">
        <f>HYPERLINK("https://www.philgeps.gov.ph/GEPSNONPILOT/Tender/SplashBidNoticeAbstractUI.aspx?menuIndex=3&amp;refID=7071103&amp;Result=3","7071103")</f>
        <v>0</v>
      </c>
      <c r="B9303" t="s">
        <v>2300</v>
      </c>
      <c r="C9303" t="s">
        <v>12382</v>
      </c>
      <c r="D9303" t="s">
        <v>18148</v>
      </c>
      <c r="E9303" t="s">
        <v>26271</v>
      </c>
      <c r="F9303" t="s">
        <v>31362</v>
      </c>
      <c r="G9303" t="s">
        <v>31369</v>
      </c>
      <c r="H9303" t="s">
        <v>15799</v>
      </c>
      <c r="I9303" t="s">
        <v>31426</v>
      </c>
      <c r="J9303" t="s">
        <v>37184</v>
      </c>
      <c r="K9303" t="s">
        <v>40679</v>
      </c>
      <c r="M9303" t="s">
        <v>43515</v>
      </c>
      <c r="N9303" t="s">
        <v>44905</v>
      </c>
      <c r="O9303" t="s">
        <v>44906</v>
      </c>
      <c r="P9303">
        <v>0</v>
      </c>
      <c r="Q9303">
        <v>8</v>
      </c>
      <c r="R9303" t="s">
        <v>44913</v>
      </c>
      <c r="S9303" t="s">
        <v>45170</v>
      </c>
      <c r="T9303" t="s">
        <v>46450</v>
      </c>
      <c r="U9303" t="s">
        <v>54419</v>
      </c>
      <c r="W9303" t="s">
        <v>43515</v>
      </c>
      <c r="X9303" t="s">
        <v>44914</v>
      </c>
    </row>
    <row r="9304" spans="1:24">
      <c r="A9304">
        <f>HYPERLINK("https://www.philgeps.gov.ph/GEPSNONPILOT/Tender/SplashBidNoticeAbstractUI.aspx?menuIndex=3&amp;refID=7071052&amp;Result=3","7071052")</f>
        <v>0</v>
      </c>
      <c r="B9304" t="s">
        <v>55</v>
      </c>
      <c r="C9304" t="s">
        <v>12383</v>
      </c>
      <c r="D9304" t="s">
        <v>18120</v>
      </c>
      <c r="E9304" t="s">
        <v>26272</v>
      </c>
      <c r="F9304" t="s">
        <v>31362</v>
      </c>
      <c r="G9304" t="s">
        <v>31370</v>
      </c>
      <c r="H9304" t="s">
        <v>15799</v>
      </c>
      <c r="I9304" t="s">
        <v>31422</v>
      </c>
      <c r="J9304" t="s">
        <v>31806</v>
      </c>
      <c r="K9304" t="s">
        <v>40665</v>
      </c>
      <c r="M9304" t="s">
        <v>40989</v>
      </c>
      <c r="N9304" t="s">
        <v>44905</v>
      </c>
      <c r="O9304" t="s">
        <v>44906</v>
      </c>
      <c r="P9304">
        <v>0</v>
      </c>
      <c r="Q9304">
        <v>6</v>
      </c>
      <c r="R9304" t="s">
        <v>44913</v>
      </c>
      <c r="S9304" t="s">
        <v>45170</v>
      </c>
      <c r="T9304" t="s">
        <v>46417</v>
      </c>
      <c r="U9304" t="s">
        <v>54425</v>
      </c>
      <c r="W9304" t="s">
        <v>40989</v>
      </c>
      <c r="X9304" t="s">
        <v>44914</v>
      </c>
    </row>
    <row r="9305" spans="1:24">
      <c r="A9305">
        <f>HYPERLINK("https://www.philgeps.gov.ph/GEPSNONPILOT/Tender/SplashBidNoticeAbstractUI.aspx?menuIndex=3&amp;refID=7071042&amp;Result=3","7071042")</f>
        <v>0</v>
      </c>
      <c r="B9305" t="s">
        <v>2421</v>
      </c>
      <c r="C9305" t="s">
        <v>12384</v>
      </c>
      <c r="D9305" t="s">
        <v>18100</v>
      </c>
      <c r="E9305" t="s">
        <v>26273</v>
      </c>
      <c r="F9305" t="s">
        <v>31362</v>
      </c>
      <c r="G9305" t="s">
        <v>31369</v>
      </c>
      <c r="H9305" t="s">
        <v>15799</v>
      </c>
      <c r="I9305" t="s">
        <v>7188</v>
      </c>
      <c r="J9305" t="s">
        <v>31942</v>
      </c>
      <c r="K9305" t="s">
        <v>40662</v>
      </c>
      <c r="M9305" t="s">
        <v>43578</v>
      </c>
      <c r="N9305" t="s">
        <v>44905</v>
      </c>
      <c r="O9305" t="s">
        <v>44906</v>
      </c>
      <c r="P9305">
        <v>0</v>
      </c>
      <c r="Q9305">
        <v>2</v>
      </c>
      <c r="R9305" t="s">
        <v>44913</v>
      </c>
      <c r="S9305" t="s">
        <v>45170</v>
      </c>
      <c r="T9305" t="s">
        <v>46744</v>
      </c>
      <c r="U9305" t="s">
        <v>54426</v>
      </c>
      <c r="W9305" t="s">
        <v>43578</v>
      </c>
      <c r="X9305" t="s">
        <v>44914</v>
      </c>
    </row>
    <row r="9306" spans="1:24">
      <c r="A9306">
        <f>HYPERLINK("https://www.philgeps.gov.ph/GEPSNONPILOT/Tender/SplashBidNoticeAbstractUI.aspx?menuIndex=3&amp;refID=7070663&amp;Result=3","7070663")</f>
        <v>0</v>
      </c>
      <c r="B9306" t="s">
        <v>1314</v>
      </c>
      <c r="C9306" t="s">
        <v>4043</v>
      </c>
      <c r="D9306" t="s">
        <v>18134</v>
      </c>
      <c r="E9306" t="s">
        <v>26274</v>
      </c>
      <c r="F9306" t="s">
        <v>31362</v>
      </c>
      <c r="G9306" t="s">
        <v>31369</v>
      </c>
      <c r="H9306" t="s">
        <v>15799</v>
      </c>
      <c r="I9306" t="s">
        <v>31385</v>
      </c>
      <c r="J9306" t="s">
        <v>37185</v>
      </c>
      <c r="K9306" t="s">
        <v>40670</v>
      </c>
      <c r="M9306" t="s">
        <v>42332</v>
      </c>
      <c r="N9306" t="s">
        <v>44905</v>
      </c>
      <c r="O9306" t="s">
        <v>44906</v>
      </c>
      <c r="P9306">
        <v>0</v>
      </c>
      <c r="Q9306">
        <v>1</v>
      </c>
      <c r="R9306" t="s">
        <v>44913</v>
      </c>
      <c r="S9306" t="s">
        <v>45170</v>
      </c>
      <c r="T9306" t="s">
        <v>46671</v>
      </c>
      <c r="U9306" t="s">
        <v>54427</v>
      </c>
      <c r="W9306" t="s">
        <v>42332</v>
      </c>
      <c r="X9306" t="s">
        <v>44914</v>
      </c>
    </row>
    <row r="9307" spans="1:24">
      <c r="A9307">
        <f>HYPERLINK("https://www.philgeps.gov.ph/GEPSNONPILOT/Tender/SplashBidNoticeAbstractUI.aspx?menuIndex=3&amp;refID=7071082&amp;Result=3","7071082")</f>
        <v>0</v>
      </c>
      <c r="B9307" t="s">
        <v>1180</v>
      </c>
      <c r="C9307" t="s">
        <v>12385</v>
      </c>
      <c r="D9307" t="s">
        <v>18109</v>
      </c>
      <c r="E9307" t="s">
        <v>26275</v>
      </c>
      <c r="F9307" t="s">
        <v>31367</v>
      </c>
      <c r="G9307" t="s">
        <v>31369</v>
      </c>
      <c r="H9307" t="s">
        <v>31377</v>
      </c>
      <c r="I9307" t="s">
        <v>31412</v>
      </c>
      <c r="J9307" t="s">
        <v>37186</v>
      </c>
      <c r="K9307" t="s">
        <v>40662</v>
      </c>
      <c r="M9307" t="s">
        <v>42192</v>
      </c>
      <c r="N9307" t="s">
        <v>44905</v>
      </c>
      <c r="O9307" t="s">
        <v>44906</v>
      </c>
      <c r="P9307">
        <v>0</v>
      </c>
      <c r="Q9307">
        <v>6</v>
      </c>
      <c r="R9307" t="s">
        <v>44913</v>
      </c>
      <c r="S9307" t="s">
        <v>45170</v>
      </c>
      <c r="T9307" t="s">
        <v>46464</v>
      </c>
      <c r="U9307" t="s">
        <v>54428</v>
      </c>
      <c r="W9307" t="s">
        <v>42192</v>
      </c>
      <c r="X9307" t="s">
        <v>44914</v>
      </c>
    </row>
    <row r="9308" spans="1:24">
      <c r="A9308">
        <f>HYPERLINK("https://www.philgeps.gov.ph/GEPSNONPILOT/Tender/SplashBidNoticeAbstractUI.aspx?menuIndex=3&amp;refID=7071227&amp;Result=3","7071227")</f>
        <v>0</v>
      </c>
      <c r="B9308" t="s">
        <v>732</v>
      </c>
      <c r="C9308" t="s">
        <v>12386</v>
      </c>
      <c r="D9308" t="s">
        <v>18125</v>
      </c>
      <c r="E9308" t="s">
        <v>26276</v>
      </c>
      <c r="F9308" t="s">
        <v>31362</v>
      </c>
      <c r="G9308" t="s">
        <v>31368</v>
      </c>
      <c r="H9308" t="s">
        <v>15799</v>
      </c>
      <c r="I9308" t="s">
        <v>4057</v>
      </c>
      <c r="J9308" t="s">
        <v>31793</v>
      </c>
      <c r="K9308" t="s">
        <v>40712</v>
      </c>
      <c r="M9308" t="s">
        <v>41699</v>
      </c>
      <c r="N9308" t="s">
        <v>44905</v>
      </c>
      <c r="O9308" t="s">
        <v>44906</v>
      </c>
      <c r="P9308">
        <v>0</v>
      </c>
      <c r="Q9308">
        <v>3</v>
      </c>
      <c r="R9308" t="s">
        <v>44913</v>
      </c>
      <c r="S9308" t="s">
        <v>45170</v>
      </c>
      <c r="T9308" t="s">
        <v>46411</v>
      </c>
      <c r="U9308" t="s">
        <v>54429</v>
      </c>
      <c r="W9308" t="s">
        <v>41699</v>
      </c>
      <c r="X9308" t="s">
        <v>44914</v>
      </c>
    </row>
    <row r="9309" spans="1:24">
      <c r="A9309">
        <f>HYPERLINK("https://www.philgeps.gov.ph/GEPSNONPILOT/Tender/SplashBidNoticeAbstractUI.aspx?menuIndex=3&amp;refID=7071222&amp;Result=3","7071222")</f>
        <v>0</v>
      </c>
      <c r="B9309" t="s">
        <v>1919</v>
      </c>
      <c r="C9309" t="s">
        <v>12387</v>
      </c>
      <c r="D9309" t="s">
        <v>18125</v>
      </c>
      <c r="E9309" t="s">
        <v>26277</v>
      </c>
      <c r="F9309" t="s">
        <v>31362</v>
      </c>
      <c r="G9309" t="s">
        <v>31369</v>
      </c>
      <c r="H9309" t="s">
        <v>31378</v>
      </c>
      <c r="I9309" t="s">
        <v>31386</v>
      </c>
      <c r="J9309" t="s">
        <v>37187</v>
      </c>
      <c r="K9309" t="s">
        <v>40677</v>
      </c>
      <c r="M9309" t="s">
        <v>43016</v>
      </c>
      <c r="N9309" t="s">
        <v>44905</v>
      </c>
      <c r="O9309" t="s">
        <v>44906</v>
      </c>
      <c r="P9309">
        <v>0</v>
      </c>
      <c r="Q9309">
        <v>0</v>
      </c>
      <c r="R9309" t="s">
        <v>44913</v>
      </c>
      <c r="S9309" t="s">
        <v>45170</v>
      </c>
      <c r="T9309" t="s">
        <v>46411</v>
      </c>
      <c r="U9309" t="s">
        <v>54430</v>
      </c>
      <c r="W9309" t="s">
        <v>43016</v>
      </c>
      <c r="X9309" t="s">
        <v>44914</v>
      </c>
    </row>
    <row r="9310" spans="1:24">
      <c r="A9310">
        <f>HYPERLINK("https://www.philgeps.gov.ph/GEPSNONPILOT/Tender/SplashBidNoticeAbstractUI.aspx?menuIndex=3&amp;refID=7071212&amp;Result=3","7071212")</f>
        <v>0</v>
      </c>
      <c r="B9310" t="s">
        <v>642</v>
      </c>
      <c r="C9310" t="s">
        <v>12388</v>
      </c>
      <c r="D9310" t="s">
        <v>18168</v>
      </c>
      <c r="E9310" t="s">
        <v>26278</v>
      </c>
      <c r="F9310" t="s">
        <v>31362</v>
      </c>
      <c r="G9310" t="s">
        <v>31369</v>
      </c>
      <c r="H9310" t="s">
        <v>15799</v>
      </c>
      <c r="I9310" t="s">
        <v>31410</v>
      </c>
      <c r="J9310" t="s">
        <v>37188</v>
      </c>
      <c r="K9310" t="s">
        <v>40712</v>
      </c>
      <c r="M9310" t="s">
        <v>41602</v>
      </c>
      <c r="N9310" t="s">
        <v>44905</v>
      </c>
      <c r="O9310" t="s">
        <v>44906</v>
      </c>
      <c r="P9310">
        <v>0</v>
      </c>
      <c r="Q9310">
        <v>1</v>
      </c>
      <c r="R9310" t="s">
        <v>44913</v>
      </c>
      <c r="S9310" t="s">
        <v>45170</v>
      </c>
      <c r="T9310" t="s">
        <v>46800</v>
      </c>
      <c r="U9310" t="s">
        <v>48153</v>
      </c>
      <c r="W9310" t="s">
        <v>41602</v>
      </c>
      <c r="X9310" t="s">
        <v>44914</v>
      </c>
    </row>
    <row r="9311" spans="1:24">
      <c r="A9311">
        <f>HYPERLINK("https://www.philgeps.gov.ph/GEPSNONPILOT/Tender/SplashBidNoticeAbstractUI.aspx?menuIndex=3&amp;refID=7071210&amp;Result=3","7071210")</f>
        <v>0</v>
      </c>
      <c r="B9311" t="s">
        <v>1427</v>
      </c>
      <c r="C9311" t="s">
        <v>12389</v>
      </c>
      <c r="D9311" t="s">
        <v>18127</v>
      </c>
      <c r="E9311" t="s">
        <v>12389</v>
      </c>
      <c r="F9311" t="s">
        <v>31362</v>
      </c>
      <c r="G9311" t="s">
        <v>31369</v>
      </c>
      <c r="H9311" t="s">
        <v>15799</v>
      </c>
      <c r="I9311" t="s">
        <v>31382</v>
      </c>
      <c r="J9311" t="s">
        <v>37189</v>
      </c>
      <c r="K9311" t="s">
        <v>40662</v>
      </c>
      <c r="M9311" t="s">
        <v>42455</v>
      </c>
      <c r="N9311" t="s">
        <v>44905</v>
      </c>
      <c r="O9311" t="s">
        <v>44906</v>
      </c>
      <c r="P9311">
        <v>0</v>
      </c>
      <c r="Q9311">
        <v>30</v>
      </c>
      <c r="R9311" t="s">
        <v>44913</v>
      </c>
      <c r="S9311" t="s">
        <v>45170</v>
      </c>
      <c r="T9311" t="s">
        <v>46511</v>
      </c>
      <c r="U9311" t="s">
        <v>54431</v>
      </c>
      <c r="V9311" t="s">
        <v>60013</v>
      </c>
      <c r="W9311" t="s">
        <v>42455</v>
      </c>
      <c r="X9311" t="s">
        <v>44914</v>
      </c>
    </row>
    <row r="9312" spans="1:24">
      <c r="A9312">
        <f>HYPERLINK("https://www.philgeps.gov.ph/GEPSNONPILOT/Tender/SplashBidNoticeAbstractUI.aspx?menuIndex=3&amp;refID=7071105&amp;Result=3","7071105")</f>
        <v>0</v>
      </c>
      <c r="B9312" t="s">
        <v>1902</v>
      </c>
      <c r="C9312" t="s">
        <v>12390</v>
      </c>
      <c r="D9312" t="s">
        <v>18122</v>
      </c>
      <c r="E9312" t="s">
        <v>26279</v>
      </c>
      <c r="F9312" t="s">
        <v>31362</v>
      </c>
      <c r="G9312" t="s">
        <v>31369</v>
      </c>
      <c r="H9312" t="s">
        <v>31378</v>
      </c>
      <c r="I9312" t="s">
        <v>31386</v>
      </c>
      <c r="J9312" t="s">
        <v>37190</v>
      </c>
      <c r="K9312" t="s">
        <v>40686</v>
      </c>
      <c r="M9312" t="s">
        <v>42997</v>
      </c>
      <c r="N9312" t="s">
        <v>44905</v>
      </c>
      <c r="O9312" t="s">
        <v>44906</v>
      </c>
      <c r="P9312">
        <v>0</v>
      </c>
      <c r="Q9312">
        <v>29</v>
      </c>
      <c r="R9312" t="s">
        <v>44913</v>
      </c>
      <c r="S9312" t="s">
        <v>45170</v>
      </c>
      <c r="T9312" t="s">
        <v>46612</v>
      </c>
      <c r="U9312" t="s">
        <v>54432</v>
      </c>
      <c r="W9312" t="s">
        <v>42997</v>
      </c>
      <c r="X9312" t="s">
        <v>44914</v>
      </c>
    </row>
    <row r="9313" spans="1:24">
      <c r="A9313">
        <f>HYPERLINK("https://www.philgeps.gov.ph/GEPSNONPILOT/Tender/SplashBidNoticeAbstractUI.aspx?menuIndex=3&amp;refID=7071198&amp;Result=3","7071198")</f>
        <v>0</v>
      </c>
      <c r="B9313" t="s">
        <v>450</v>
      </c>
      <c r="C9313" t="s">
        <v>12391</v>
      </c>
      <c r="D9313" t="s">
        <v>18128</v>
      </c>
      <c r="E9313" t="s">
        <v>26280</v>
      </c>
      <c r="F9313" t="s">
        <v>31362</v>
      </c>
      <c r="G9313" t="s">
        <v>31369</v>
      </c>
      <c r="H9313" t="s">
        <v>15799</v>
      </c>
      <c r="I9313" t="s">
        <v>6373</v>
      </c>
      <c r="J9313" t="s">
        <v>37191</v>
      </c>
      <c r="K9313" t="s">
        <v>40665</v>
      </c>
      <c r="M9313" t="s">
        <v>41404</v>
      </c>
      <c r="N9313" t="s">
        <v>44905</v>
      </c>
      <c r="O9313" t="s">
        <v>44906</v>
      </c>
      <c r="P9313">
        <v>0</v>
      </c>
      <c r="Q9313">
        <v>3</v>
      </c>
      <c r="R9313" t="s">
        <v>44913</v>
      </c>
      <c r="S9313" t="s">
        <v>45170</v>
      </c>
      <c r="T9313" t="s">
        <v>46511</v>
      </c>
      <c r="U9313" t="s">
        <v>54433</v>
      </c>
      <c r="V9313" t="s">
        <v>59996</v>
      </c>
      <c r="W9313" t="s">
        <v>41404</v>
      </c>
      <c r="X9313" t="s">
        <v>44914</v>
      </c>
    </row>
    <row r="9314" spans="1:24">
      <c r="A9314">
        <f>HYPERLINK("https://www.philgeps.gov.ph/GEPSNONPILOT/Tender/SplashBidNoticeAbstractUI.aspx?menuIndex=3&amp;refID=7071043&amp;Result=3","7071043")</f>
        <v>0</v>
      </c>
      <c r="B9314" t="s">
        <v>2300</v>
      </c>
      <c r="C9314" t="s">
        <v>12392</v>
      </c>
      <c r="D9314" t="s">
        <v>18148</v>
      </c>
      <c r="E9314" t="s">
        <v>26281</v>
      </c>
      <c r="F9314" t="s">
        <v>31362</v>
      </c>
      <c r="G9314" t="s">
        <v>31369</v>
      </c>
      <c r="H9314" t="s">
        <v>15799</v>
      </c>
      <c r="I9314" t="s">
        <v>31426</v>
      </c>
      <c r="J9314" t="s">
        <v>37192</v>
      </c>
      <c r="K9314" t="s">
        <v>40679</v>
      </c>
      <c r="M9314" t="s">
        <v>43515</v>
      </c>
      <c r="N9314" t="s">
        <v>44905</v>
      </c>
      <c r="O9314" t="s">
        <v>44906</v>
      </c>
      <c r="P9314">
        <v>0</v>
      </c>
      <c r="Q9314">
        <v>8</v>
      </c>
      <c r="R9314" t="s">
        <v>44913</v>
      </c>
      <c r="S9314" t="s">
        <v>45170</v>
      </c>
      <c r="T9314" t="s">
        <v>46450</v>
      </c>
      <c r="U9314" t="s">
        <v>54419</v>
      </c>
      <c r="W9314" t="s">
        <v>43515</v>
      </c>
      <c r="X9314" t="s">
        <v>44914</v>
      </c>
    </row>
    <row r="9315" spans="1:24">
      <c r="A9315">
        <f>HYPERLINK("https://www.philgeps.gov.ph/GEPSNONPILOT/Tender/SplashBidNoticeAbstractUI.aspx?menuIndex=3&amp;refID=7071187&amp;Result=3","7071187")</f>
        <v>0</v>
      </c>
      <c r="B9315" t="s">
        <v>553</v>
      </c>
      <c r="C9315" t="s">
        <v>12393</v>
      </c>
      <c r="D9315" t="s">
        <v>18143</v>
      </c>
      <c r="E9315" t="s">
        <v>26282</v>
      </c>
      <c r="F9315" t="s">
        <v>31362</v>
      </c>
      <c r="G9315" t="s">
        <v>31369</v>
      </c>
      <c r="H9315" t="s">
        <v>15799</v>
      </c>
      <c r="I9315" t="s">
        <v>31384</v>
      </c>
      <c r="J9315" t="s">
        <v>37193</v>
      </c>
      <c r="K9315" t="s">
        <v>40665</v>
      </c>
      <c r="M9315" t="s">
        <v>41509</v>
      </c>
      <c r="N9315" t="s">
        <v>44905</v>
      </c>
      <c r="O9315" t="s">
        <v>44906</v>
      </c>
      <c r="P9315">
        <v>0</v>
      </c>
      <c r="Q9315">
        <v>5</v>
      </c>
      <c r="R9315" t="s">
        <v>44913</v>
      </c>
      <c r="S9315" t="s">
        <v>45170</v>
      </c>
      <c r="T9315" t="s">
        <v>46503</v>
      </c>
      <c r="U9315" t="s">
        <v>54434</v>
      </c>
      <c r="W9315" t="s">
        <v>41509</v>
      </c>
      <c r="X9315" t="s">
        <v>44914</v>
      </c>
    </row>
    <row r="9316" spans="1:24">
      <c r="A9316">
        <f>HYPERLINK("https://www.philgeps.gov.ph/GEPSNONPILOT/Tender/SplashBidNoticeAbstractUI.aspx?menuIndex=3&amp;refID=7071031&amp;Result=3","7071031")</f>
        <v>0</v>
      </c>
      <c r="B9316" t="s">
        <v>2687</v>
      </c>
      <c r="C9316" t="s">
        <v>12394</v>
      </c>
      <c r="D9316" t="s">
        <v>18108</v>
      </c>
      <c r="E9316" t="s">
        <v>25498</v>
      </c>
      <c r="F9316" t="s">
        <v>31362</v>
      </c>
      <c r="G9316" t="s">
        <v>31369</v>
      </c>
      <c r="H9316" t="s">
        <v>15799</v>
      </c>
      <c r="I9316" t="s">
        <v>31426</v>
      </c>
      <c r="J9316" t="s">
        <v>32165</v>
      </c>
      <c r="K9316" t="s">
        <v>40665</v>
      </c>
      <c r="M9316" t="s">
        <v>43873</v>
      </c>
      <c r="N9316" t="s">
        <v>44905</v>
      </c>
      <c r="O9316" t="s">
        <v>44906</v>
      </c>
      <c r="P9316">
        <v>0</v>
      </c>
      <c r="Q9316">
        <v>5</v>
      </c>
      <c r="R9316" t="s">
        <v>44913</v>
      </c>
      <c r="S9316" t="s">
        <v>45170</v>
      </c>
      <c r="T9316" t="s">
        <v>46409</v>
      </c>
      <c r="U9316" t="s">
        <v>54435</v>
      </c>
      <c r="W9316" t="s">
        <v>43873</v>
      </c>
      <c r="X9316" t="s">
        <v>44914</v>
      </c>
    </row>
    <row r="9317" spans="1:24">
      <c r="A9317">
        <f>HYPERLINK("https://www.philgeps.gov.ph/GEPSNONPILOT/Tender/SplashBidNoticeAbstractUI.aspx?menuIndex=3&amp;refID=7071164&amp;Result=3","7071164")</f>
        <v>0</v>
      </c>
      <c r="B9317" t="s">
        <v>553</v>
      </c>
      <c r="C9317" t="s">
        <v>12395</v>
      </c>
      <c r="D9317" t="s">
        <v>18143</v>
      </c>
      <c r="E9317" t="s">
        <v>26283</v>
      </c>
      <c r="F9317" t="s">
        <v>31362</v>
      </c>
      <c r="G9317" t="s">
        <v>31369</v>
      </c>
      <c r="H9317" t="s">
        <v>15799</v>
      </c>
      <c r="I9317" t="s">
        <v>3815</v>
      </c>
      <c r="J9317" t="s">
        <v>37194</v>
      </c>
      <c r="K9317" t="s">
        <v>40665</v>
      </c>
      <c r="M9317" t="s">
        <v>41509</v>
      </c>
      <c r="N9317" t="s">
        <v>44905</v>
      </c>
      <c r="O9317" t="s">
        <v>44906</v>
      </c>
      <c r="P9317">
        <v>0</v>
      </c>
      <c r="Q9317">
        <v>0</v>
      </c>
      <c r="R9317" t="s">
        <v>44913</v>
      </c>
      <c r="S9317" t="s">
        <v>45170</v>
      </c>
      <c r="T9317" t="s">
        <v>46503</v>
      </c>
      <c r="U9317" t="s">
        <v>54436</v>
      </c>
      <c r="W9317" t="s">
        <v>41509</v>
      </c>
      <c r="X9317" t="s">
        <v>44914</v>
      </c>
    </row>
    <row r="9318" spans="1:24">
      <c r="A9318">
        <f>HYPERLINK("https://www.philgeps.gov.ph/GEPSNONPILOT/Tender/SplashBidNoticeAbstractUI.aspx?menuIndex=3&amp;refID=7071213&amp;Result=3","7071213")</f>
        <v>0</v>
      </c>
      <c r="B9318" t="s">
        <v>1527</v>
      </c>
      <c r="C9318" t="s">
        <v>12396</v>
      </c>
      <c r="D9318" t="s">
        <v>18148</v>
      </c>
      <c r="E9318" t="s">
        <v>26284</v>
      </c>
      <c r="F9318" t="s">
        <v>31362</v>
      </c>
      <c r="G9318" t="s">
        <v>31369</v>
      </c>
      <c r="H9318" t="s">
        <v>15799</v>
      </c>
      <c r="I9318" t="s">
        <v>31407</v>
      </c>
      <c r="J9318" t="s">
        <v>31886</v>
      </c>
      <c r="K9318" t="s">
        <v>40661</v>
      </c>
      <c r="M9318" t="s">
        <v>42572</v>
      </c>
      <c r="N9318" t="s">
        <v>44905</v>
      </c>
      <c r="O9318" t="s">
        <v>44906</v>
      </c>
      <c r="P9318">
        <v>0</v>
      </c>
      <c r="Q9318">
        <v>0</v>
      </c>
      <c r="R9318" t="s">
        <v>44913</v>
      </c>
      <c r="S9318" t="s">
        <v>45170</v>
      </c>
      <c r="T9318" t="s">
        <v>46549</v>
      </c>
      <c r="U9318" t="s">
        <v>54437</v>
      </c>
      <c r="V9318" t="s">
        <v>59480</v>
      </c>
      <c r="W9318" t="s">
        <v>42572</v>
      </c>
      <c r="X9318" t="s">
        <v>44914</v>
      </c>
    </row>
    <row r="9319" spans="1:24">
      <c r="A9319">
        <f>HYPERLINK("https://www.philgeps.gov.ph/GEPSNONPILOT/Tender/SplashBidNoticeAbstractUI.aspx?menuIndex=3&amp;refID=7071162&amp;Result=3","7071162")</f>
        <v>0</v>
      </c>
      <c r="B9319" t="s">
        <v>450</v>
      </c>
      <c r="C9319" t="s">
        <v>12397</v>
      </c>
      <c r="D9319" t="s">
        <v>18128</v>
      </c>
      <c r="E9319" t="s">
        <v>26285</v>
      </c>
      <c r="F9319" t="s">
        <v>31362</v>
      </c>
      <c r="G9319" t="s">
        <v>31369</v>
      </c>
      <c r="H9319" t="s">
        <v>15799</v>
      </c>
      <c r="I9319" t="s">
        <v>4942</v>
      </c>
      <c r="J9319" t="s">
        <v>37195</v>
      </c>
      <c r="K9319" t="s">
        <v>40675</v>
      </c>
      <c r="M9319" t="s">
        <v>41404</v>
      </c>
      <c r="N9319" t="s">
        <v>44905</v>
      </c>
      <c r="O9319" t="s">
        <v>44906</v>
      </c>
      <c r="P9319">
        <v>0</v>
      </c>
      <c r="Q9319">
        <v>0</v>
      </c>
      <c r="R9319" t="s">
        <v>44913</v>
      </c>
      <c r="S9319" t="s">
        <v>45170</v>
      </c>
      <c r="T9319" t="s">
        <v>46511</v>
      </c>
      <c r="U9319" t="s">
        <v>54438</v>
      </c>
      <c r="V9319" t="s">
        <v>59996</v>
      </c>
      <c r="W9319" t="s">
        <v>41404</v>
      </c>
      <c r="X9319" t="s">
        <v>44914</v>
      </c>
    </row>
    <row r="9320" spans="1:24">
      <c r="A9320">
        <f>HYPERLINK("https://www.philgeps.gov.ph/GEPSNONPILOT/Tender/SplashBidNoticeAbstractUI.aspx?menuIndex=3&amp;refID=7071156&amp;Result=3","7071156")</f>
        <v>0</v>
      </c>
      <c r="B9320" t="s">
        <v>553</v>
      </c>
      <c r="C9320" t="s">
        <v>12398</v>
      </c>
      <c r="D9320" t="s">
        <v>18143</v>
      </c>
      <c r="E9320" t="s">
        <v>26286</v>
      </c>
      <c r="F9320" t="s">
        <v>31362</v>
      </c>
      <c r="G9320" t="s">
        <v>31369</v>
      </c>
      <c r="H9320" t="s">
        <v>15799</v>
      </c>
      <c r="I9320" t="s">
        <v>7090</v>
      </c>
      <c r="J9320" t="s">
        <v>36469</v>
      </c>
      <c r="K9320" t="s">
        <v>40665</v>
      </c>
      <c r="M9320" t="s">
        <v>41509</v>
      </c>
      <c r="N9320" t="s">
        <v>44905</v>
      </c>
      <c r="O9320" t="s">
        <v>44906</v>
      </c>
      <c r="P9320">
        <v>0</v>
      </c>
      <c r="Q9320">
        <v>1</v>
      </c>
      <c r="R9320" t="s">
        <v>44913</v>
      </c>
      <c r="S9320" t="s">
        <v>45170</v>
      </c>
      <c r="T9320" t="s">
        <v>46503</v>
      </c>
      <c r="U9320" t="s">
        <v>54439</v>
      </c>
      <c r="W9320" t="s">
        <v>41509</v>
      </c>
      <c r="X9320" t="s">
        <v>44914</v>
      </c>
    </row>
    <row r="9321" spans="1:24">
      <c r="A9321">
        <f>HYPERLINK("https://www.philgeps.gov.ph/GEPSNONPILOT/Tender/SplashBidNoticeAbstractUI.aspx?menuIndex=3&amp;refID=7071260&amp;Result=3","7071260")</f>
        <v>0</v>
      </c>
      <c r="B9321" t="s">
        <v>2687</v>
      </c>
      <c r="C9321" t="s">
        <v>12399</v>
      </c>
      <c r="D9321" t="s">
        <v>18108</v>
      </c>
      <c r="E9321" t="s">
        <v>23459</v>
      </c>
      <c r="F9321" t="s">
        <v>31362</v>
      </c>
      <c r="G9321" t="s">
        <v>31369</v>
      </c>
      <c r="H9321" t="s">
        <v>15799</v>
      </c>
      <c r="I9321" t="s">
        <v>31409</v>
      </c>
      <c r="J9321" t="s">
        <v>31738</v>
      </c>
      <c r="K9321" t="s">
        <v>40665</v>
      </c>
      <c r="M9321" t="s">
        <v>43873</v>
      </c>
      <c r="N9321" t="s">
        <v>44905</v>
      </c>
      <c r="O9321" t="s">
        <v>44906</v>
      </c>
      <c r="P9321">
        <v>0</v>
      </c>
      <c r="Q9321">
        <v>2</v>
      </c>
      <c r="R9321" t="s">
        <v>44913</v>
      </c>
      <c r="S9321" t="s">
        <v>45170</v>
      </c>
      <c r="T9321" t="s">
        <v>46409</v>
      </c>
      <c r="U9321" t="s">
        <v>54440</v>
      </c>
      <c r="W9321" t="s">
        <v>43873</v>
      </c>
      <c r="X9321" t="s">
        <v>44914</v>
      </c>
    </row>
    <row r="9322" spans="1:24">
      <c r="A9322">
        <f>HYPERLINK("https://www.philgeps.gov.ph/GEPSNONPILOT/Tender/SplashBidNoticeAbstractUI.aspx?menuIndex=3&amp;refID=7071339&amp;Result=3","7071339")</f>
        <v>0</v>
      </c>
      <c r="B9322" t="s">
        <v>362</v>
      </c>
      <c r="C9322" t="s">
        <v>12400</v>
      </c>
      <c r="D9322" t="s">
        <v>18103</v>
      </c>
      <c r="E9322" t="s">
        <v>26287</v>
      </c>
      <c r="F9322" t="s">
        <v>31362</v>
      </c>
      <c r="G9322" t="s">
        <v>31369</v>
      </c>
      <c r="H9322" t="s">
        <v>31378</v>
      </c>
      <c r="I9322" t="s">
        <v>31386</v>
      </c>
      <c r="J9322" t="s">
        <v>37196</v>
      </c>
      <c r="K9322" t="s">
        <v>40675</v>
      </c>
      <c r="M9322" t="s">
        <v>43093</v>
      </c>
      <c r="N9322" t="s">
        <v>44905</v>
      </c>
      <c r="O9322" t="s">
        <v>44906</v>
      </c>
      <c r="P9322">
        <v>0</v>
      </c>
      <c r="Q9322">
        <v>6</v>
      </c>
      <c r="R9322" t="s">
        <v>44913</v>
      </c>
      <c r="S9322" t="s">
        <v>45170</v>
      </c>
      <c r="T9322" t="s">
        <v>46447</v>
      </c>
      <c r="U9322" t="s">
        <v>47543</v>
      </c>
      <c r="V9322" t="s">
        <v>59658</v>
      </c>
      <c r="W9322" t="s">
        <v>60849</v>
      </c>
      <c r="X9322" t="s">
        <v>44914</v>
      </c>
    </row>
    <row r="9323" spans="1:24">
      <c r="A9323">
        <f>HYPERLINK("https://www.philgeps.gov.ph/GEPSNONPILOT/Tender/SplashBidNoticeAbstractUI.aspx?menuIndex=3&amp;refID=7071330&amp;Result=3","7071330")</f>
        <v>0</v>
      </c>
      <c r="B9323" t="s">
        <v>2366</v>
      </c>
      <c r="C9323" t="s">
        <v>12401</v>
      </c>
      <c r="E9323" t="s">
        <v>26288</v>
      </c>
      <c r="F9323" t="s">
        <v>31362</v>
      </c>
      <c r="G9323" t="s">
        <v>31369</v>
      </c>
      <c r="H9323" t="s">
        <v>31378</v>
      </c>
      <c r="I9323" t="s">
        <v>31386</v>
      </c>
      <c r="J9323" t="s">
        <v>37197</v>
      </c>
      <c r="K9323" t="s">
        <v>40662</v>
      </c>
      <c r="M9323" t="s">
        <v>43512</v>
      </c>
      <c r="N9323" t="s">
        <v>44905</v>
      </c>
      <c r="O9323" t="s">
        <v>44906</v>
      </c>
      <c r="P9323">
        <v>0</v>
      </c>
      <c r="Q9323">
        <v>6</v>
      </c>
      <c r="R9323" t="s">
        <v>44913</v>
      </c>
      <c r="S9323" t="s">
        <v>45170</v>
      </c>
      <c r="T9323" t="s">
        <v>46801</v>
      </c>
      <c r="U9323" t="s">
        <v>54441</v>
      </c>
      <c r="V9323" t="s">
        <v>60014</v>
      </c>
      <c r="W9323" t="s">
        <v>43512</v>
      </c>
      <c r="X9323" t="s">
        <v>44914</v>
      </c>
    </row>
    <row r="9324" spans="1:24">
      <c r="A9324">
        <f>HYPERLINK("https://www.philgeps.gov.ph/GEPSNONPILOT/Tender/SplashBidNoticeAbstractUI.aspx?menuIndex=3&amp;refID=7071178&amp;Result=3","7071178")</f>
        <v>0</v>
      </c>
      <c r="B9324" t="s">
        <v>2707</v>
      </c>
      <c r="C9324" t="s">
        <v>12402</v>
      </c>
      <c r="D9324" t="s">
        <v>18108</v>
      </c>
      <c r="E9324" t="s">
        <v>26289</v>
      </c>
      <c r="F9324" t="s">
        <v>31362</v>
      </c>
      <c r="G9324" t="s">
        <v>31369</v>
      </c>
      <c r="H9324" t="s">
        <v>15799</v>
      </c>
      <c r="I9324" t="s">
        <v>7090</v>
      </c>
      <c r="J9324" t="s">
        <v>37198</v>
      </c>
      <c r="K9324" t="s">
        <v>40661</v>
      </c>
      <c r="M9324" t="s">
        <v>43893</v>
      </c>
      <c r="N9324" t="s">
        <v>44905</v>
      </c>
      <c r="O9324" t="s">
        <v>44906</v>
      </c>
      <c r="P9324">
        <v>0</v>
      </c>
      <c r="Q9324">
        <v>3</v>
      </c>
      <c r="R9324" t="s">
        <v>44913</v>
      </c>
      <c r="S9324" t="s">
        <v>45170</v>
      </c>
      <c r="T9324" t="s">
        <v>46802</v>
      </c>
      <c r="U9324" t="s">
        <v>54442</v>
      </c>
      <c r="W9324" t="s">
        <v>43893</v>
      </c>
      <c r="X9324" t="s">
        <v>44914</v>
      </c>
    </row>
    <row r="9325" spans="1:24">
      <c r="A9325">
        <f>HYPERLINK("https://www.philgeps.gov.ph/GEPSNONPILOT/Tender/SplashBidNoticeAbstractUI.aspx?menuIndex=3&amp;refID=7071181&amp;Result=3","7071181")</f>
        <v>0</v>
      </c>
      <c r="B9325" t="s">
        <v>2708</v>
      </c>
      <c r="C9325" t="s">
        <v>12403</v>
      </c>
      <c r="D9325" t="s">
        <v>18131</v>
      </c>
      <c r="E9325" t="s">
        <v>24898</v>
      </c>
      <c r="F9325" t="s">
        <v>31362</v>
      </c>
      <c r="G9325" t="s">
        <v>31369</v>
      </c>
      <c r="H9325" t="s">
        <v>15799</v>
      </c>
      <c r="I9325" t="s">
        <v>31409</v>
      </c>
      <c r="J9325" t="s">
        <v>31542</v>
      </c>
      <c r="K9325" t="s">
        <v>40666</v>
      </c>
      <c r="M9325" t="s">
        <v>43894</v>
      </c>
      <c r="N9325" t="s">
        <v>44905</v>
      </c>
      <c r="O9325" t="s">
        <v>44906</v>
      </c>
      <c r="P9325">
        <v>0</v>
      </c>
      <c r="Q9325">
        <v>4</v>
      </c>
      <c r="R9325" t="s">
        <v>44913</v>
      </c>
      <c r="S9325" t="s">
        <v>45170</v>
      </c>
      <c r="T9325" t="s">
        <v>46409</v>
      </c>
      <c r="U9325" t="s">
        <v>54443</v>
      </c>
      <c r="W9325" t="s">
        <v>43894</v>
      </c>
      <c r="X9325" t="s">
        <v>44914</v>
      </c>
    </row>
    <row r="9326" spans="1:24">
      <c r="A9326">
        <f>HYPERLINK("https://www.philgeps.gov.ph/GEPSNONPILOT/Tender/SplashBidNoticeAbstractUI.aspx?menuIndex=3&amp;refID=7071297&amp;Result=3","7071297")</f>
        <v>0</v>
      </c>
      <c r="B9326" t="s">
        <v>2709</v>
      </c>
      <c r="C9326" t="s">
        <v>12404</v>
      </c>
      <c r="D9326" t="s">
        <v>18131</v>
      </c>
      <c r="E9326" t="s">
        <v>26290</v>
      </c>
      <c r="F9326" t="s">
        <v>31362</v>
      </c>
      <c r="G9326" t="s">
        <v>31368</v>
      </c>
      <c r="H9326" t="s">
        <v>31378</v>
      </c>
      <c r="I9326" t="s">
        <v>31439</v>
      </c>
      <c r="J9326" t="s">
        <v>31586</v>
      </c>
      <c r="K9326" t="s">
        <v>40661</v>
      </c>
      <c r="M9326" t="s">
        <v>43895</v>
      </c>
      <c r="N9326" t="s">
        <v>44905</v>
      </c>
      <c r="O9326" t="s">
        <v>44906</v>
      </c>
      <c r="P9326">
        <v>0</v>
      </c>
      <c r="Q9326">
        <v>1</v>
      </c>
      <c r="R9326" t="s">
        <v>44913</v>
      </c>
      <c r="S9326" t="s">
        <v>45170</v>
      </c>
      <c r="T9326" t="s">
        <v>46467</v>
      </c>
      <c r="U9326" t="s">
        <v>54444</v>
      </c>
      <c r="W9326" t="s">
        <v>43895</v>
      </c>
      <c r="X9326" t="s">
        <v>44914</v>
      </c>
    </row>
    <row r="9327" spans="1:24">
      <c r="A9327">
        <f>HYPERLINK("https://www.philgeps.gov.ph/GEPSNONPILOT/Tender/SplashBidNoticeAbstractUI.aspx?menuIndex=3&amp;refID=7070895&amp;Result=3","7070895")</f>
        <v>0</v>
      </c>
      <c r="B9327" t="s">
        <v>292</v>
      </c>
      <c r="C9327" t="s">
        <v>12405</v>
      </c>
      <c r="D9327" t="s">
        <v>18143</v>
      </c>
      <c r="E9327" t="s">
        <v>26291</v>
      </c>
      <c r="F9327" t="s">
        <v>31362</v>
      </c>
      <c r="G9327" t="s">
        <v>31368</v>
      </c>
      <c r="H9327" t="s">
        <v>31379</v>
      </c>
      <c r="I9327" t="s">
        <v>6240</v>
      </c>
      <c r="J9327" t="s">
        <v>37199</v>
      </c>
      <c r="K9327" t="s">
        <v>40670</v>
      </c>
      <c r="M9327" t="s">
        <v>41235</v>
      </c>
      <c r="N9327" t="s">
        <v>44905</v>
      </c>
      <c r="O9327" t="s">
        <v>44906</v>
      </c>
      <c r="P9327">
        <v>0</v>
      </c>
      <c r="Q9327">
        <v>1</v>
      </c>
      <c r="R9327" t="s">
        <v>44913</v>
      </c>
      <c r="S9327" t="s">
        <v>45170</v>
      </c>
      <c r="T9327" t="s">
        <v>46411</v>
      </c>
      <c r="U9327" t="s">
        <v>54445</v>
      </c>
      <c r="W9327" t="s">
        <v>41235</v>
      </c>
      <c r="X9327" t="s">
        <v>44914</v>
      </c>
    </row>
    <row r="9328" spans="1:24">
      <c r="A9328">
        <f>HYPERLINK("https://www.philgeps.gov.ph/GEPSNONPILOT/Tender/SplashBidNoticeAbstractUI.aspx?menuIndex=3&amp;refID=7071295&amp;Result=3","7071295")</f>
        <v>0</v>
      </c>
      <c r="B9328" t="s">
        <v>717</v>
      </c>
      <c r="C9328" t="s">
        <v>12406</v>
      </c>
      <c r="D9328" t="s">
        <v>18167</v>
      </c>
      <c r="E9328" t="s">
        <v>26292</v>
      </c>
      <c r="F9328" t="s">
        <v>31362</v>
      </c>
      <c r="G9328" t="s">
        <v>31369</v>
      </c>
      <c r="H9328" t="s">
        <v>15799</v>
      </c>
      <c r="I9328" t="s">
        <v>31404</v>
      </c>
      <c r="J9328" t="s">
        <v>31981</v>
      </c>
      <c r="K9328" t="s">
        <v>40679</v>
      </c>
      <c r="M9328" t="s">
        <v>41682</v>
      </c>
      <c r="N9328" t="s">
        <v>44905</v>
      </c>
      <c r="O9328" t="s">
        <v>44906</v>
      </c>
      <c r="P9328">
        <v>0</v>
      </c>
      <c r="Q9328">
        <v>0</v>
      </c>
      <c r="R9328" t="s">
        <v>44913</v>
      </c>
      <c r="S9328" t="s">
        <v>45170</v>
      </c>
      <c r="T9328" t="s">
        <v>46419</v>
      </c>
      <c r="U9328" t="s">
        <v>51232</v>
      </c>
      <c r="W9328" t="s">
        <v>41682</v>
      </c>
      <c r="X9328" t="s">
        <v>44914</v>
      </c>
    </row>
    <row r="9329" spans="1:24">
      <c r="A9329">
        <f>HYPERLINK("https://www.philgeps.gov.ph/GEPSNONPILOT/Tender/SplashBidNoticeAbstractUI.aspx?menuIndex=3&amp;refID=7071288&amp;Result=3","7071288")</f>
        <v>0</v>
      </c>
      <c r="B9329" t="s">
        <v>2300</v>
      </c>
      <c r="C9329" t="s">
        <v>12407</v>
      </c>
      <c r="D9329" t="s">
        <v>18148</v>
      </c>
      <c r="E9329" t="s">
        <v>26293</v>
      </c>
      <c r="F9329" t="s">
        <v>31362</v>
      </c>
      <c r="G9329" t="s">
        <v>31369</v>
      </c>
      <c r="H9329" t="s">
        <v>15799</v>
      </c>
      <c r="I9329" t="s">
        <v>31426</v>
      </c>
      <c r="J9329" t="s">
        <v>37200</v>
      </c>
      <c r="K9329" t="s">
        <v>40679</v>
      </c>
      <c r="M9329" t="s">
        <v>43515</v>
      </c>
      <c r="N9329" t="s">
        <v>44905</v>
      </c>
      <c r="O9329" t="s">
        <v>44906</v>
      </c>
      <c r="P9329">
        <v>0</v>
      </c>
      <c r="Q9329">
        <v>7</v>
      </c>
      <c r="R9329" t="s">
        <v>44913</v>
      </c>
      <c r="S9329" t="s">
        <v>45170</v>
      </c>
      <c r="T9329" t="s">
        <v>46450</v>
      </c>
      <c r="U9329" t="s">
        <v>54419</v>
      </c>
      <c r="W9329" t="s">
        <v>43515</v>
      </c>
      <c r="X9329" t="s">
        <v>44914</v>
      </c>
    </row>
    <row r="9330" spans="1:24">
      <c r="A9330">
        <f>HYPERLINK("https://www.philgeps.gov.ph/GEPSNONPILOT/Tender/SplashBidNoticeAbstractUI.aspx?menuIndex=3&amp;refID=7071285&amp;Result=3","7071285")</f>
        <v>0</v>
      </c>
      <c r="B9330" t="s">
        <v>2687</v>
      </c>
      <c r="C9330" t="s">
        <v>12408</v>
      </c>
      <c r="D9330" t="s">
        <v>18108</v>
      </c>
      <c r="E9330" t="s">
        <v>25514</v>
      </c>
      <c r="F9330" t="s">
        <v>31362</v>
      </c>
      <c r="G9330" t="s">
        <v>31369</v>
      </c>
      <c r="H9330" t="s">
        <v>15799</v>
      </c>
      <c r="I9330" t="s">
        <v>31387</v>
      </c>
      <c r="J9330" t="s">
        <v>35162</v>
      </c>
      <c r="K9330" t="s">
        <v>40666</v>
      </c>
      <c r="M9330" t="s">
        <v>43873</v>
      </c>
      <c r="N9330" t="s">
        <v>44905</v>
      </c>
      <c r="O9330" t="s">
        <v>44906</v>
      </c>
      <c r="P9330">
        <v>0</v>
      </c>
      <c r="Q9330">
        <v>1</v>
      </c>
      <c r="R9330" t="s">
        <v>44913</v>
      </c>
      <c r="S9330" t="s">
        <v>45170</v>
      </c>
      <c r="T9330" t="s">
        <v>46409</v>
      </c>
      <c r="U9330" t="s">
        <v>54446</v>
      </c>
      <c r="W9330" t="s">
        <v>43873</v>
      </c>
      <c r="X9330" t="s">
        <v>44914</v>
      </c>
    </row>
    <row r="9331" spans="1:24">
      <c r="A9331">
        <f>HYPERLINK("https://www.philgeps.gov.ph/GEPSNONPILOT/Tender/SplashBidNoticeAbstractUI.aspx?menuIndex=3&amp;refID=7071316&amp;Result=3","7071316")</f>
        <v>0</v>
      </c>
      <c r="B9331" t="s">
        <v>362</v>
      </c>
      <c r="C9331" t="s">
        <v>12409</v>
      </c>
      <c r="D9331" t="s">
        <v>18103</v>
      </c>
      <c r="E9331" t="s">
        <v>26294</v>
      </c>
      <c r="F9331" t="s">
        <v>31362</v>
      </c>
      <c r="G9331" t="s">
        <v>31369</v>
      </c>
      <c r="H9331" t="s">
        <v>15799</v>
      </c>
      <c r="I9331" t="s">
        <v>4283</v>
      </c>
      <c r="J9331" t="s">
        <v>37201</v>
      </c>
      <c r="K9331" t="s">
        <v>40677</v>
      </c>
      <c r="M9331" t="s">
        <v>43062</v>
      </c>
      <c r="N9331" t="s">
        <v>44905</v>
      </c>
      <c r="O9331" t="s">
        <v>44906</v>
      </c>
      <c r="P9331">
        <v>0</v>
      </c>
      <c r="Q9331">
        <v>9</v>
      </c>
      <c r="R9331" t="s">
        <v>44913</v>
      </c>
      <c r="S9331" t="s">
        <v>45170</v>
      </c>
      <c r="T9331" t="s">
        <v>46467</v>
      </c>
      <c r="U9331" t="s">
        <v>47543</v>
      </c>
      <c r="V9331" t="s">
        <v>59658</v>
      </c>
      <c r="W9331" t="s">
        <v>60849</v>
      </c>
      <c r="X9331" t="s">
        <v>44914</v>
      </c>
    </row>
    <row r="9332" spans="1:24">
      <c r="A9332">
        <f>HYPERLINK("https://www.philgeps.gov.ph/GEPSNONPILOT/Tender/SplashBidNoticeAbstractUI.aspx?menuIndex=3&amp;refID=7071283&amp;Result=3","7071283")</f>
        <v>0</v>
      </c>
      <c r="B9332" t="s">
        <v>124</v>
      </c>
      <c r="C9332" t="s">
        <v>12410</v>
      </c>
      <c r="D9332" t="s">
        <v>18146</v>
      </c>
      <c r="E9332" t="s">
        <v>26295</v>
      </c>
      <c r="F9332" t="s">
        <v>31362</v>
      </c>
      <c r="G9332" t="s">
        <v>31372</v>
      </c>
      <c r="H9332" t="s">
        <v>15799</v>
      </c>
      <c r="I9332" t="s">
        <v>31380</v>
      </c>
      <c r="J9332" t="s">
        <v>37202</v>
      </c>
      <c r="K9332" t="s">
        <v>40670</v>
      </c>
      <c r="M9332" t="s">
        <v>42570</v>
      </c>
      <c r="N9332" t="s">
        <v>44905</v>
      </c>
      <c r="O9332" t="s">
        <v>44906</v>
      </c>
      <c r="P9332">
        <v>0</v>
      </c>
      <c r="Q9332">
        <v>7</v>
      </c>
      <c r="R9332" t="s">
        <v>44913</v>
      </c>
      <c r="S9332" t="s">
        <v>45170</v>
      </c>
      <c r="T9332" t="s">
        <v>46560</v>
      </c>
      <c r="U9332" t="s">
        <v>54447</v>
      </c>
      <c r="V9332" t="s">
        <v>60015</v>
      </c>
      <c r="W9332" t="s">
        <v>42570</v>
      </c>
      <c r="X9332" t="s">
        <v>44914</v>
      </c>
    </row>
    <row r="9333" spans="1:24">
      <c r="A9333">
        <f>HYPERLINK("https://www.philgeps.gov.ph/GEPSNONPILOT/Tender/SplashBidNoticeAbstractUI.aspx?menuIndex=3&amp;refID=7071280&amp;Result=3","7071280")</f>
        <v>0</v>
      </c>
      <c r="B9333" t="s">
        <v>2710</v>
      </c>
      <c r="C9333" t="s">
        <v>12411</v>
      </c>
      <c r="D9333" t="s">
        <v>18116</v>
      </c>
      <c r="E9333" t="s">
        <v>26296</v>
      </c>
      <c r="F9333" t="s">
        <v>31362</v>
      </c>
      <c r="G9333" t="s">
        <v>31369</v>
      </c>
      <c r="H9333" t="s">
        <v>15799</v>
      </c>
      <c r="I9333" t="s">
        <v>31394</v>
      </c>
      <c r="J9333" t="s">
        <v>31536</v>
      </c>
      <c r="K9333" t="s">
        <v>40662</v>
      </c>
      <c r="M9333" t="s">
        <v>43896</v>
      </c>
      <c r="N9333" t="s">
        <v>44905</v>
      </c>
      <c r="O9333" t="s">
        <v>44906</v>
      </c>
      <c r="P9333">
        <v>0</v>
      </c>
      <c r="Q9333">
        <v>4</v>
      </c>
      <c r="R9333" t="s">
        <v>44913</v>
      </c>
      <c r="S9333" t="s">
        <v>45170</v>
      </c>
      <c r="T9333" t="s">
        <v>46414</v>
      </c>
      <c r="U9333" t="s">
        <v>54448</v>
      </c>
      <c r="W9333" t="s">
        <v>43896</v>
      </c>
      <c r="X9333" t="s">
        <v>44914</v>
      </c>
    </row>
    <row r="9334" spans="1:24">
      <c r="A9334">
        <f>HYPERLINK("https://www.philgeps.gov.ph/GEPSNONPILOT/Tender/SplashBidNoticeAbstractUI.aspx?menuIndex=3&amp;refID=7071300&amp;Result=3","7071300")</f>
        <v>0</v>
      </c>
      <c r="B9334" t="s">
        <v>756</v>
      </c>
      <c r="C9334" t="s">
        <v>12412</v>
      </c>
      <c r="D9334" t="s">
        <v>18123</v>
      </c>
      <c r="E9334" t="s">
        <v>26297</v>
      </c>
      <c r="F9334" t="s">
        <v>31362</v>
      </c>
      <c r="G9334" t="s">
        <v>31369</v>
      </c>
      <c r="H9334" t="s">
        <v>15799</v>
      </c>
      <c r="I9334" t="s">
        <v>31433</v>
      </c>
      <c r="J9334" t="s">
        <v>37203</v>
      </c>
      <c r="K9334" t="s">
        <v>40670</v>
      </c>
      <c r="M9334" t="s">
        <v>41724</v>
      </c>
      <c r="N9334" t="s">
        <v>44905</v>
      </c>
      <c r="O9334" t="s">
        <v>44906</v>
      </c>
      <c r="P9334">
        <v>0</v>
      </c>
      <c r="Q9334">
        <v>1</v>
      </c>
      <c r="R9334" t="s">
        <v>44913</v>
      </c>
      <c r="S9334" t="s">
        <v>45170</v>
      </c>
      <c r="T9334" t="s">
        <v>46409</v>
      </c>
      <c r="U9334" t="s">
        <v>54449</v>
      </c>
      <c r="W9334" t="s">
        <v>41724</v>
      </c>
      <c r="X9334" t="s">
        <v>44914</v>
      </c>
    </row>
    <row r="9335" spans="1:24">
      <c r="A9335">
        <f>HYPERLINK("https://www.philgeps.gov.ph/GEPSNONPILOT/Tender/SplashBidNoticeAbstractUI.aspx?menuIndex=3&amp;refID=7071267&amp;Result=3","7071267")</f>
        <v>0</v>
      </c>
      <c r="B9335" t="s">
        <v>2711</v>
      </c>
      <c r="C9335" t="s">
        <v>12413</v>
      </c>
      <c r="D9335" t="s">
        <v>18137</v>
      </c>
      <c r="E9335" t="s">
        <v>26298</v>
      </c>
      <c r="F9335" t="s">
        <v>31362</v>
      </c>
      <c r="G9335" t="s">
        <v>31369</v>
      </c>
      <c r="H9335" t="s">
        <v>31378</v>
      </c>
      <c r="I9335" t="s">
        <v>31386</v>
      </c>
      <c r="J9335" t="s">
        <v>37204</v>
      </c>
      <c r="K9335" t="s">
        <v>40678</v>
      </c>
      <c r="M9335" t="s">
        <v>43897</v>
      </c>
      <c r="N9335" t="s">
        <v>44905</v>
      </c>
      <c r="O9335" t="s">
        <v>44906</v>
      </c>
      <c r="P9335">
        <v>0</v>
      </c>
      <c r="Q9335">
        <v>3</v>
      </c>
      <c r="R9335" t="s">
        <v>44913</v>
      </c>
      <c r="S9335" t="s">
        <v>45170</v>
      </c>
      <c r="T9335" t="s">
        <v>46419</v>
      </c>
      <c r="U9335" t="s">
        <v>49920</v>
      </c>
      <c r="W9335" t="s">
        <v>43897</v>
      </c>
      <c r="X9335" t="s">
        <v>44914</v>
      </c>
    </row>
    <row r="9336" spans="1:24">
      <c r="A9336">
        <f>HYPERLINK("https://www.philgeps.gov.ph/GEPSNONPILOT/Tender/SplashBidNoticeAbstractUI.aspx?menuIndex=3&amp;refID=7071263&amp;Result=3","7071263")</f>
        <v>0</v>
      </c>
      <c r="B9336" t="s">
        <v>2712</v>
      </c>
      <c r="C9336" t="s">
        <v>12414</v>
      </c>
      <c r="D9336" t="s">
        <v>18130</v>
      </c>
      <c r="E9336" t="s">
        <v>26299</v>
      </c>
      <c r="F9336" t="s">
        <v>31362</v>
      </c>
      <c r="G9336" t="s">
        <v>31369</v>
      </c>
      <c r="H9336" t="s">
        <v>15799</v>
      </c>
      <c r="I9336" t="s">
        <v>31427</v>
      </c>
      <c r="J9336" t="s">
        <v>37205</v>
      </c>
      <c r="K9336" t="s">
        <v>40665</v>
      </c>
      <c r="M9336" t="s">
        <v>43898</v>
      </c>
      <c r="N9336" t="s">
        <v>44905</v>
      </c>
      <c r="O9336" t="s">
        <v>44906</v>
      </c>
      <c r="P9336">
        <v>0</v>
      </c>
      <c r="Q9336">
        <v>14</v>
      </c>
      <c r="R9336" t="s">
        <v>44913</v>
      </c>
      <c r="S9336" t="s">
        <v>45170</v>
      </c>
      <c r="T9336" t="s">
        <v>46559</v>
      </c>
      <c r="U9336" t="s">
        <v>54450</v>
      </c>
      <c r="W9336" t="s">
        <v>43898</v>
      </c>
      <c r="X9336" t="s">
        <v>44914</v>
      </c>
    </row>
    <row r="9337" spans="1:24">
      <c r="A9337">
        <f>HYPERLINK("https://www.philgeps.gov.ph/GEPSNONPILOT/Tender/SplashBidNoticeAbstractUI.aspx?menuIndex=3&amp;refID=7071256&amp;Result=3","7071256")</f>
        <v>0</v>
      </c>
      <c r="B9337" t="s">
        <v>2300</v>
      </c>
      <c r="C9337" t="s">
        <v>12415</v>
      </c>
      <c r="D9337" t="s">
        <v>18148</v>
      </c>
      <c r="E9337" t="s">
        <v>26300</v>
      </c>
      <c r="F9337" t="s">
        <v>31362</v>
      </c>
      <c r="G9337" t="s">
        <v>31369</v>
      </c>
      <c r="H9337" t="s">
        <v>15799</v>
      </c>
      <c r="I9337" t="s">
        <v>31426</v>
      </c>
      <c r="J9337" t="s">
        <v>37206</v>
      </c>
      <c r="K9337" t="s">
        <v>40679</v>
      </c>
      <c r="M9337" t="s">
        <v>43515</v>
      </c>
      <c r="N9337" t="s">
        <v>44905</v>
      </c>
      <c r="O9337" t="s">
        <v>44906</v>
      </c>
      <c r="P9337">
        <v>0</v>
      </c>
      <c r="Q9337">
        <v>5</v>
      </c>
      <c r="R9337" t="s">
        <v>44913</v>
      </c>
      <c r="S9337" t="s">
        <v>45170</v>
      </c>
      <c r="T9337" t="s">
        <v>46450</v>
      </c>
      <c r="U9337" t="s">
        <v>54419</v>
      </c>
      <c r="W9337" t="s">
        <v>43515</v>
      </c>
      <c r="X9337" t="s">
        <v>44914</v>
      </c>
    </row>
    <row r="9338" spans="1:24">
      <c r="A9338">
        <f>HYPERLINK("https://www.philgeps.gov.ph/GEPSNONPILOT/Tender/SplashBidNoticeAbstractUI.aspx?menuIndex=3&amp;refID=7071304&amp;Result=3","7071304")</f>
        <v>0</v>
      </c>
      <c r="B9338" t="s">
        <v>2713</v>
      </c>
      <c r="C9338" t="s">
        <v>12416</v>
      </c>
      <c r="D9338" t="s">
        <v>18165</v>
      </c>
      <c r="E9338" t="s">
        <v>26301</v>
      </c>
      <c r="F9338" t="s">
        <v>31362</v>
      </c>
      <c r="G9338" t="s">
        <v>31369</v>
      </c>
      <c r="H9338" t="s">
        <v>15799</v>
      </c>
      <c r="I9338" t="s">
        <v>31392</v>
      </c>
      <c r="J9338" t="s">
        <v>31530</v>
      </c>
      <c r="K9338" t="s">
        <v>40666</v>
      </c>
      <c r="M9338" t="s">
        <v>43899</v>
      </c>
      <c r="N9338" t="s">
        <v>44905</v>
      </c>
      <c r="O9338" t="s">
        <v>44906</v>
      </c>
      <c r="P9338">
        <v>0</v>
      </c>
      <c r="Q9338">
        <v>0</v>
      </c>
      <c r="R9338" t="s">
        <v>44913</v>
      </c>
      <c r="S9338" t="s">
        <v>45170</v>
      </c>
      <c r="T9338" t="s">
        <v>46411</v>
      </c>
      <c r="U9338" t="s">
        <v>54451</v>
      </c>
      <c r="W9338" t="s">
        <v>43899</v>
      </c>
      <c r="X9338" t="s">
        <v>44914</v>
      </c>
    </row>
    <row r="9339" spans="1:24">
      <c r="A9339">
        <f>HYPERLINK("https://www.philgeps.gov.ph/GEPSNONPILOT/Tender/SplashBidNoticeAbstractUI.aspx?menuIndex=3&amp;refID=7071270&amp;Result=3","7071270")</f>
        <v>0</v>
      </c>
      <c r="B9339" t="s">
        <v>2714</v>
      </c>
      <c r="C9339" t="s">
        <v>12417</v>
      </c>
      <c r="D9339" t="s">
        <v>18116</v>
      </c>
      <c r="E9339" t="s">
        <v>26302</v>
      </c>
      <c r="F9339" t="s">
        <v>31362</v>
      </c>
      <c r="G9339" t="s">
        <v>31369</v>
      </c>
      <c r="H9339" t="s">
        <v>15799</v>
      </c>
      <c r="I9339" t="s">
        <v>31393</v>
      </c>
      <c r="J9339" t="s">
        <v>31545</v>
      </c>
      <c r="K9339" t="s">
        <v>40666</v>
      </c>
      <c r="M9339" t="s">
        <v>43900</v>
      </c>
      <c r="N9339" t="s">
        <v>44905</v>
      </c>
      <c r="O9339" t="s">
        <v>44906</v>
      </c>
      <c r="P9339">
        <v>0</v>
      </c>
      <c r="Q9339">
        <v>0</v>
      </c>
      <c r="R9339" t="s">
        <v>44913</v>
      </c>
      <c r="S9339" t="s">
        <v>45170</v>
      </c>
      <c r="T9339" t="s">
        <v>46414</v>
      </c>
      <c r="U9339" t="s">
        <v>54452</v>
      </c>
      <c r="V9339" t="s">
        <v>60016</v>
      </c>
      <c r="W9339" t="s">
        <v>43900</v>
      </c>
      <c r="X9339" t="s">
        <v>44914</v>
      </c>
    </row>
    <row r="9340" spans="1:24">
      <c r="A9340">
        <f>HYPERLINK("https://www.philgeps.gov.ph/GEPSNONPILOT/Tender/SplashBidNoticeAbstractUI.aspx?menuIndex=3&amp;refID=7071233&amp;Result=3","7071233")</f>
        <v>0</v>
      </c>
      <c r="B9340" t="s">
        <v>2366</v>
      </c>
      <c r="C9340" t="s">
        <v>12418</v>
      </c>
      <c r="E9340" t="s">
        <v>26303</v>
      </c>
      <c r="F9340" t="s">
        <v>31362</v>
      </c>
      <c r="G9340" t="s">
        <v>31369</v>
      </c>
      <c r="H9340" t="s">
        <v>31378</v>
      </c>
      <c r="I9340" t="s">
        <v>31386</v>
      </c>
      <c r="J9340" t="s">
        <v>37207</v>
      </c>
      <c r="K9340" t="s">
        <v>40662</v>
      </c>
      <c r="M9340" t="s">
        <v>43512</v>
      </c>
      <c r="N9340" t="s">
        <v>44905</v>
      </c>
      <c r="O9340" t="s">
        <v>44906</v>
      </c>
      <c r="P9340">
        <v>0</v>
      </c>
      <c r="Q9340">
        <v>7</v>
      </c>
      <c r="R9340" t="s">
        <v>44913</v>
      </c>
      <c r="S9340" t="s">
        <v>45170</v>
      </c>
      <c r="T9340" t="s">
        <v>46801</v>
      </c>
      <c r="U9340" t="s">
        <v>54441</v>
      </c>
      <c r="V9340" t="s">
        <v>60017</v>
      </c>
      <c r="W9340" t="s">
        <v>43512</v>
      </c>
      <c r="X9340" t="s">
        <v>44914</v>
      </c>
    </row>
    <row r="9341" spans="1:24">
      <c r="A9341">
        <f>HYPERLINK("https://www.philgeps.gov.ph/GEPSNONPILOT/Tender/SplashBidNoticeAbstractUI.aspx?menuIndex=3&amp;refID=7071084&amp;Result=3","7071084")</f>
        <v>0</v>
      </c>
      <c r="B9341" t="s">
        <v>55</v>
      </c>
      <c r="C9341" t="s">
        <v>12419</v>
      </c>
      <c r="D9341" t="s">
        <v>18120</v>
      </c>
      <c r="E9341" t="s">
        <v>26304</v>
      </c>
      <c r="F9341" t="s">
        <v>31362</v>
      </c>
      <c r="G9341" t="s">
        <v>31370</v>
      </c>
      <c r="H9341" t="s">
        <v>15799</v>
      </c>
      <c r="I9341" t="s">
        <v>31426</v>
      </c>
      <c r="J9341" t="s">
        <v>37208</v>
      </c>
      <c r="K9341" t="s">
        <v>40665</v>
      </c>
      <c r="M9341" t="s">
        <v>40989</v>
      </c>
      <c r="N9341" t="s">
        <v>44905</v>
      </c>
      <c r="O9341" t="s">
        <v>44906</v>
      </c>
      <c r="P9341">
        <v>0</v>
      </c>
      <c r="Q9341">
        <v>7</v>
      </c>
      <c r="R9341" t="s">
        <v>44913</v>
      </c>
      <c r="S9341" t="s">
        <v>45170</v>
      </c>
      <c r="T9341" t="s">
        <v>46417</v>
      </c>
      <c r="U9341" t="s">
        <v>54453</v>
      </c>
      <c r="W9341" t="s">
        <v>40989</v>
      </c>
      <c r="X9341" t="s">
        <v>44914</v>
      </c>
    </row>
    <row r="9342" spans="1:24">
      <c r="A9342">
        <f>HYPERLINK("https://www.philgeps.gov.ph/GEPSNONPILOT/Tender/SplashBidNoticeAbstractUI.aspx?menuIndex=3&amp;refID=7071148&amp;Result=3","7071148")</f>
        <v>0</v>
      </c>
      <c r="B9342" t="s">
        <v>805</v>
      </c>
      <c r="C9342" t="s">
        <v>12420</v>
      </c>
      <c r="D9342" t="s">
        <v>18107</v>
      </c>
      <c r="E9342" t="s">
        <v>26305</v>
      </c>
      <c r="F9342" t="s">
        <v>31362</v>
      </c>
      <c r="G9342" t="s">
        <v>31369</v>
      </c>
      <c r="H9342" t="s">
        <v>31378</v>
      </c>
      <c r="I9342" t="s">
        <v>31386</v>
      </c>
      <c r="J9342" t="s">
        <v>37209</v>
      </c>
      <c r="K9342" t="s">
        <v>40686</v>
      </c>
      <c r="M9342" t="s">
        <v>41776</v>
      </c>
      <c r="N9342" t="s">
        <v>44905</v>
      </c>
      <c r="O9342" t="s">
        <v>44906</v>
      </c>
      <c r="P9342">
        <v>0</v>
      </c>
      <c r="Q9342">
        <v>0</v>
      </c>
      <c r="R9342" t="s">
        <v>44913</v>
      </c>
      <c r="S9342" t="s">
        <v>45170</v>
      </c>
      <c r="T9342" t="s">
        <v>46419</v>
      </c>
      <c r="U9342" t="s">
        <v>54454</v>
      </c>
      <c r="W9342" t="s">
        <v>41776</v>
      </c>
      <c r="X9342" t="s">
        <v>44914</v>
      </c>
    </row>
    <row r="9343" spans="1:24">
      <c r="A9343">
        <f>HYPERLINK("https://www.philgeps.gov.ph/GEPSNONPILOT/Tender/SplashBidNoticeAbstractUI.aspx?menuIndex=3&amp;refID=7071139&amp;Result=3","7071139")</f>
        <v>0</v>
      </c>
      <c r="B9343" t="s">
        <v>805</v>
      </c>
      <c r="C9343" t="s">
        <v>12421</v>
      </c>
      <c r="D9343" t="s">
        <v>18107</v>
      </c>
      <c r="E9343" t="s">
        <v>26306</v>
      </c>
      <c r="F9343" t="s">
        <v>31362</v>
      </c>
      <c r="G9343" t="s">
        <v>31369</v>
      </c>
      <c r="H9343" t="s">
        <v>31378</v>
      </c>
      <c r="I9343" t="s">
        <v>31386</v>
      </c>
      <c r="J9343" t="s">
        <v>37210</v>
      </c>
      <c r="K9343" t="s">
        <v>40661</v>
      </c>
      <c r="M9343" t="s">
        <v>41776</v>
      </c>
      <c r="N9343" t="s">
        <v>44905</v>
      </c>
      <c r="O9343" t="s">
        <v>44906</v>
      </c>
      <c r="P9343">
        <v>0</v>
      </c>
      <c r="Q9343">
        <v>0</v>
      </c>
      <c r="R9343" t="s">
        <v>44913</v>
      </c>
      <c r="S9343" t="s">
        <v>45170</v>
      </c>
      <c r="T9343" t="s">
        <v>46419</v>
      </c>
      <c r="U9343" t="s">
        <v>54455</v>
      </c>
      <c r="W9343" t="s">
        <v>41776</v>
      </c>
      <c r="X9343" t="s">
        <v>44914</v>
      </c>
    </row>
    <row r="9344" spans="1:24">
      <c r="A9344">
        <f>HYPERLINK("https://www.philgeps.gov.ph/GEPSNONPILOT/Tender/SplashBidNoticeAbstractUI.aspx?menuIndex=3&amp;refID=7071137&amp;Result=3","7071137")</f>
        <v>0</v>
      </c>
      <c r="B9344" t="s">
        <v>1902</v>
      </c>
      <c r="C9344" t="s">
        <v>12422</v>
      </c>
      <c r="D9344" t="s">
        <v>18122</v>
      </c>
      <c r="E9344" t="s">
        <v>26307</v>
      </c>
      <c r="F9344" t="s">
        <v>31362</v>
      </c>
      <c r="G9344" t="s">
        <v>31369</v>
      </c>
      <c r="H9344" t="s">
        <v>31378</v>
      </c>
      <c r="I9344" t="s">
        <v>31386</v>
      </c>
      <c r="J9344" t="s">
        <v>37211</v>
      </c>
      <c r="K9344" t="s">
        <v>40690</v>
      </c>
      <c r="M9344" t="s">
        <v>42997</v>
      </c>
      <c r="N9344" t="s">
        <v>44905</v>
      </c>
      <c r="O9344" t="s">
        <v>44906</v>
      </c>
      <c r="P9344">
        <v>0</v>
      </c>
      <c r="Q9344">
        <v>15</v>
      </c>
      <c r="R9344" t="s">
        <v>44913</v>
      </c>
      <c r="S9344" t="s">
        <v>45170</v>
      </c>
      <c r="T9344" t="s">
        <v>46612</v>
      </c>
      <c r="U9344" t="s">
        <v>54432</v>
      </c>
      <c r="W9344" t="s">
        <v>42997</v>
      </c>
      <c r="X9344" t="s">
        <v>44914</v>
      </c>
    </row>
    <row r="9345" spans="1:24">
      <c r="A9345">
        <f>HYPERLINK("https://www.philgeps.gov.ph/GEPSNONPILOT/Tender/SplashBidNoticeAbstractUI.aspx?menuIndex=3&amp;refID=7071132&amp;Result=3","7071132")</f>
        <v>0</v>
      </c>
      <c r="B9345" t="s">
        <v>805</v>
      </c>
      <c r="C9345" t="s">
        <v>12423</v>
      </c>
      <c r="D9345" t="s">
        <v>18107</v>
      </c>
      <c r="E9345" t="s">
        <v>26308</v>
      </c>
      <c r="F9345" t="s">
        <v>31362</v>
      </c>
      <c r="G9345" t="s">
        <v>31369</v>
      </c>
      <c r="H9345" t="s">
        <v>31378</v>
      </c>
      <c r="I9345" t="s">
        <v>31386</v>
      </c>
      <c r="J9345" t="s">
        <v>37212</v>
      </c>
      <c r="K9345" t="s">
        <v>40851</v>
      </c>
      <c r="M9345" t="s">
        <v>41776</v>
      </c>
      <c r="N9345" t="s">
        <v>44905</v>
      </c>
      <c r="O9345" t="s">
        <v>44906</v>
      </c>
      <c r="P9345">
        <v>0</v>
      </c>
      <c r="Q9345">
        <v>0</v>
      </c>
      <c r="R9345" t="s">
        <v>44913</v>
      </c>
      <c r="S9345" t="s">
        <v>45170</v>
      </c>
      <c r="T9345" t="s">
        <v>46419</v>
      </c>
      <c r="U9345" t="s">
        <v>54456</v>
      </c>
      <c r="W9345" t="s">
        <v>41776</v>
      </c>
      <c r="X9345" t="s">
        <v>44914</v>
      </c>
    </row>
    <row r="9346" spans="1:24">
      <c r="A9346">
        <f>HYPERLINK("https://www.philgeps.gov.ph/GEPSNONPILOT/Tender/SplashBidNoticeAbstractUI.aspx?menuIndex=3&amp;refID=7071131&amp;Result=3","7071131")</f>
        <v>0</v>
      </c>
      <c r="B9346" t="s">
        <v>213</v>
      </c>
      <c r="C9346" t="s">
        <v>12424</v>
      </c>
      <c r="D9346" t="s">
        <v>18121</v>
      </c>
      <c r="E9346" t="s">
        <v>26309</v>
      </c>
      <c r="F9346" t="s">
        <v>31362</v>
      </c>
      <c r="G9346" t="s">
        <v>31369</v>
      </c>
      <c r="H9346" t="s">
        <v>31378</v>
      </c>
      <c r="I9346" t="s">
        <v>31386</v>
      </c>
      <c r="J9346" t="s">
        <v>31536</v>
      </c>
      <c r="K9346" t="s">
        <v>40666</v>
      </c>
      <c r="M9346" t="s">
        <v>41152</v>
      </c>
      <c r="N9346" t="s">
        <v>44905</v>
      </c>
      <c r="O9346" t="s">
        <v>44906</v>
      </c>
      <c r="P9346">
        <v>0</v>
      </c>
      <c r="Q9346">
        <v>0</v>
      </c>
      <c r="R9346" t="s">
        <v>44913</v>
      </c>
      <c r="S9346" t="s">
        <v>45170</v>
      </c>
      <c r="T9346" t="s">
        <v>46409</v>
      </c>
      <c r="U9346" t="s">
        <v>54457</v>
      </c>
      <c r="V9346" t="s">
        <v>60018</v>
      </c>
      <c r="W9346" t="s">
        <v>41152</v>
      </c>
      <c r="X9346" t="s">
        <v>44914</v>
      </c>
    </row>
    <row r="9347" spans="1:24">
      <c r="A9347">
        <f>HYPERLINK("https://www.philgeps.gov.ph/GEPSNONPILOT/Tender/SplashBidNoticeAbstractUI.aspx?menuIndex=3&amp;refID=7071245&amp;Result=3","7071245")</f>
        <v>0</v>
      </c>
      <c r="B9347" t="s">
        <v>2715</v>
      </c>
      <c r="C9347" t="s">
        <v>12425</v>
      </c>
      <c r="D9347" t="s">
        <v>18116</v>
      </c>
      <c r="E9347" t="s">
        <v>26310</v>
      </c>
      <c r="F9347" t="s">
        <v>31362</v>
      </c>
      <c r="G9347" t="s">
        <v>31369</v>
      </c>
      <c r="H9347" t="s">
        <v>31378</v>
      </c>
      <c r="I9347" t="s">
        <v>31386</v>
      </c>
      <c r="J9347" t="s">
        <v>37213</v>
      </c>
      <c r="K9347" t="s">
        <v>40682</v>
      </c>
      <c r="M9347" t="s">
        <v>43901</v>
      </c>
      <c r="N9347" t="s">
        <v>44905</v>
      </c>
      <c r="O9347" t="s">
        <v>44906</v>
      </c>
      <c r="P9347">
        <v>0</v>
      </c>
      <c r="Q9347">
        <v>0</v>
      </c>
      <c r="R9347" t="s">
        <v>44913</v>
      </c>
      <c r="S9347" t="s">
        <v>45170</v>
      </c>
      <c r="T9347" t="s">
        <v>46478</v>
      </c>
      <c r="U9347" t="s">
        <v>54458</v>
      </c>
      <c r="W9347" t="s">
        <v>43901</v>
      </c>
      <c r="X9347" t="s">
        <v>44914</v>
      </c>
    </row>
    <row r="9348" spans="1:24">
      <c r="A9348">
        <f>HYPERLINK("https://www.philgeps.gov.ph/GEPSNONPILOT/Tender/SplashBidNoticeAbstractUI.aspx?menuIndex=3&amp;refID=7072673&amp;Result=3","7072673")</f>
        <v>0</v>
      </c>
      <c r="B9348" t="s">
        <v>2648</v>
      </c>
      <c r="C9348" t="s">
        <v>12426</v>
      </c>
      <c r="D9348" t="s">
        <v>18158</v>
      </c>
      <c r="E9348" t="s">
        <v>26311</v>
      </c>
      <c r="F9348" t="s">
        <v>31362</v>
      </c>
      <c r="G9348" t="s">
        <v>31372</v>
      </c>
      <c r="H9348" t="s">
        <v>15799</v>
      </c>
      <c r="I9348" t="s">
        <v>31385</v>
      </c>
      <c r="J9348" t="s">
        <v>37214</v>
      </c>
      <c r="K9348" t="s">
        <v>40665</v>
      </c>
      <c r="M9348" t="s">
        <v>43830</v>
      </c>
      <c r="N9348" t="s">
        <v>44905</v>
      </c>
      <c r="O9348" t="s">
        <v>44906</v>
      </c>
      <c r="P9348">
        <v>0</v>
      </c>
      <c r="Q9348">
        <v>0</v>
      </c>
      <c r="R9348" t="s">
        <v>44912</v>
      </c>
      <c r="S9348" t="s">
        <v>45159</v>
      </c>
      <c r="T9348" t="s">
        <v>46409</v>
      </c>
      <c r="U9348" t="s">
        <v>54459</v>
      </c>
      <c r="W9348" t="s">
        <v>43830</v>
      </c>
      <c r="X9348" t="s">
        <v>44913</v>
      </c>
    </row>
    <row r="9349" spans="1:24">
      <c r="A9349">
        <f>HYPERLINK("https://www.philgeps.gov.ph/GEPSNONPILOT/Tender/SplashBidNoticeAbstractUI.aspx?menuIndex=3&amp;refID=7072532&amp;Result=3","7072532")</f>
        <v>0</v>
      </c>
      <c r="B9349" t="s">
        <v>1191</v>
      </c>
      <c r="C9349" t="s">
        <v>12427</v>
      </c>
      <c r="D9349" t="s">
        <v>18106</v>
      </c>
      <c r="E9349" t="s">
        <v>26312</v>
      </c>
      <c r="F9349" t="s">
        <v>31362</v>
      </c>
      <c r="G9349" t="s">
        <v>31369</v>
      </c>
      <c r="H9349" t="s">
        <v>31378</v>
      </c>
      <c r="I9349" t="s">
        <v>31386</v>
      </c>
      <c r="J9349" t="s">
        <v>37215</v>
      </c>
      <c r="K9349" t="s">
        <v>40661</v>
      </c>
      <c r="M9349" t="s">
        <v>42203</v>
      </c>
      <c r="N9349" t="s">
        <v>44905</v>
      </c>
      <c r="O9349" t="s">
        <v>44906</v>
      </c>
      <c r="P9349">
        <v>0</v>
      </c>
      <c r="Q9349">
        <v>0</v>
      </c>
      <c r="R9349" t="s">
        <v>44912</v>
      </c>
      <c r="S9349" t="s">
        <v>45159</v>
      </c>
      <c r="T9349" t="s">
        <v>46443</v>
      </c>
      <c r="U9349" t="s">
        <v>54460</v>
      </c>
      <c r="W9349" t="s">
        <v>42203</v>
      </c>
      <c r="X9349" t="s">
        <v>44913</v>
      </c>
    </row>
    <row r="9350" spans="1:24">
      <c r="A9350">
        <f>HYPERLINK("https://www.philgeps.gov.ph/GEPSNONPILOT/Tender/SplashBidNoticeAbstractUI.aspx?menuIndex=3&amp;refID=7071348&amp;Result=3","7071348")</f>
        <v>0</v>
      </c>
      <c r="B9350" t="s">
        <v>2690</v>
      </c>
      <c r="C9350" t="s">
        <v>12428</v>
      </c>
      <c r="D9350" t="s">
        <v>18136</v>
      </c>
      <c r="E9350" t="s">
        <v>26313</v>
      </c>
      <c r="F9350" t="s">
        <v>31362</v>
      </c>
      <c r="G9350" t="s">
        <v>31370</v>
      </c>
      <c r="H9350" t="s">
        <v>15799</v>
      </c>
      <c r="I9350" t="s">
        <v>7090</v>
      </c>
      <c r="J9350" t="s">
        <v>31564</v>
      </c>
      <c r="K9350" t="s">
        <v>40665</v>
      </c>
      <c r="M9350" t="s">
        <v>43876</v>
      </c>
      <c r="N9350" t="s">
        <v>44905</v>
      </c>
      <c r="O9350" t="s">
        <v>44906</v>
      </c>
      <c r="Q9350">
        <v>4</v>
      </c>
      <c r="R9350" t="s">
        <v>44913</v>
      </c>
      <c r="S9350" t="s">
        <v>45179</v>
      </c>
      <c r="T9350" t="s">
        <v>46396</v>
      </c>
      <c r="U9350" t="s">
        <v>54461</v>
      </c>
      <c r="V9350" t="s">
        <v>60003</v>
      </c>
      <c r="W9350" t="s">
        <v>43876</v>
      </c>
      <c r="X9350" t="s">
        <v>44914</v>
      </c>
    </row>
    <row r="9351" spans="1:24">
      <c r="A9351">
        <f>HYPERLINK("https://www.philgeps.gov.ph/GEPSNONPILOT/Tender/SplashBidNoticeAbstractUI.aspx?menuIndex=3&amp;refID=7071149&amp;Result=3","7071149")</f>
        <v>0</v>
      </c>
      <c r="B9351" t="s">
        <v>2409</v>
      </c>
      <c r="C9351" t="s">
        <v>12429</v>
      </c>
      <c r="D9351" t="s">
        <v>18140</v>
      </c>
      <c r="E9351" t="s">
        <v>22841</v>
      </c>
      <c r="F9351" t="s">
        <v>31362</v>
      </c>
      <c r="G9351" t="s">
        <v>31369</v>
      </c>
      <c r="H9351" t="s">
        <v>31378</v>
      </c>
      <c r="I9351" t="s">
        <v>31386</v>
      </c>
      <c r="J9351" t="s">
        <v>37216</v>
      </c>
      <c r="K9351" t="s">
        <v>40706</v>
      </c>
      <c r="M9351" t="s">
        <v>43564</v>
      </c>
      <c r="N9351" t="s">
        <v>44905</v>
      </c>
      <c r="O9351" t="s">
        <v>44906</v>
      </c>
      <c r="P9351">
        <v>0</v>
      </c>
      <c r="Q9351">
        <v>2</v>
      </c>
      <c r="R9351" t="s">
        <v>44913</v>
      </c>
      <c r="S9351" t="s">
        <v>45170</v>
      </c>
      <c r="T9351" t="s">
        <v>46419</v>
      </c>
      <c r="U9351" t="s">
        <v>54462</v>
      </c>
      <c r="W9351" t="s">
        <v>43564</v>
      </c>
      <c r="X9351" t="s">
        <v>44914</v>
      </c>
    </row>
    <row r="9352" spans="1:24">
      <c r="A9352">
        <f>HYPERLINK("https://www.philgeps.gov.ph/GEPSNONPILOT/Tender/SplashBidNoticeAbstractUI.aspx?menuIndex=3&amp;refID=7071502&amp;Result=3","7071502")</f>
        <v>0</v>
      </c>
      <c r="B9352" t="s">
        <v>999</v>
      </c>
      <c r="C9352" t="s">
        <v>12430</v>
      </c>
      <c r="D9352" t="s">
        <v>18103</v>
      </c>
      <c r="E9352" t="s">
        <v>26314</v>
      </c>
      <c r="F9352" t="s">
        <v>31362</v>
      </c>
      <c r="G9352" t="s">
        <v>31370</v>
      </c>
      <c r="H9352" t="s">
        <v>15799</v>
      </c>
      <c r="I9352" t="s">
        <v>4283</v>
      </c>
      <c r="J9352" t="s">
        <v>37217</v>
      </c>
      <c r="K9352" t="s">
        <v>40662</v>
      </c>
      <c r="M9352" t="s">
        <v>41995</v>
      </c>
      <c r="N9352" t="s">
        <v>44905</v>
      </c>
      <c r="O9352" t="s">
        <v>44906</v>
      </c>
      <c r="P9352">
        <v>0</v>
      </c>
      <c r="Q9352">
        <v>8</v>
      </c>
      <c r="R9352" t="s">
        <v>44913</v>
      </c>
      <c r="S9352" t="s">
        <v>45170</v>
      </c>
      <c r="T9352" t="s">
        <v>46443</v>
      </c>
      <c r="U9352" t="s">
        <v>54463</v>
      </c>
      <c r="V9352" t="s">
        <v>59339</v>
      </c>
      <c r="W9352" t="s">
        <v>41995</v>
      </c>
      <c r="X9352" t="s">
        <v>44914</v>
      </c>
    </row>
    <row r="9353" spans="1:24">
      <c r="A9353">
        <f>HYPERLINK("https://www.philgeps.gov.ph/GEPSNONPILOT/Tender/SplashBidNoticeAbstractUI.aspx?menuIndex=3&amp;refID=7071170&amp;Result=3","7071170")</f>
        <v>0</v>
      </c>
      <c r="B9353" t="s">
        <v>553</v>
      </c>
      <c r="C9353" t="s">
        <v>12431</v>
      </c>
      <c r="D9353" t="s">
        <v>18143</v>
      </c>
      <c r="E9353" t="s">
        <v>26315</v>
      </c>
      <c r="F9353" t="s">
        <v>31362</v>
      </c>
      <c r="G9353" t="s">
        <v>31369</v>
      </c>
      <c r="H9353" t="s">
        <v>15799</v>
      </c>
      <c r="I9353" t="s">
        <v>7090</v>
      </c>
      <c r="J9353" t="s">
        <v>34652</v>
      </c>
      <c r="K9353" t="s">
        <v>40665</v>
      </c>
      <c r="M9353" t="s">
        <v>41509</v>
      </c>
      <c r="N9353" t="s">
        <v>44905</v>
      </c>
      <c r="O9353" t="s">
        <v>44906</v>
      </c>
      <c r="P9353">
        <v>0</v>
      </c>
      <c r="Q9353">
        <v>1</v>
      </c>
      <c r="R9353" t="s">
        <v>44913</v>
      </c>
      <c r="S9353" t="s">
        <v>45170</v>
      </c>
      <c r="T9353" t="s">
        <v>46503</v>
      </c>
      <c r="U9353" t="s">
        <v>54464</v>
      </c>
      <c r="W9353" t="s">
        <v>41509</v>
      </c>
      <c r="X9353" t="s">
        <v>44914</v>
      </c>
    </row>
    <row r="9354" spans="1:24">
      <c r="A9354">
        <f>HYPERLINK("https://www.philgeps.gov.ph/GEPSNONPILOT/Tender/SplashBidNoticeAbstractUI.aspx?menuIndex=3&amp;refID=7071276&amp;Result=3","7071276")</f>
        <v>0</v>
      </c>
      <c r="B9354" t="s">
        <v>565</v>
      </c>
      <c r="C9354" t="s">
        <v>12432</v>
      </c>
      <c r="D9354" t="s">
        <v>18124</v>
      </c>
      <c r="E9354" t="s">
        <v>26316</v>
      </c>
      <c r="F9354" t="s">
        <v>31362</v>
      </c>
      <c r="G9354" t="s">
        <v>31369</v>
      </c>
      <c r="H9354" t="s">
        <v>15799</v>
      </c>
      <c r="I9354" t="s">
        <v>31400</v>
      </c>
      <c r="J9354" t="s">
        <v>31536</v>
      </c>
      <c r="K9354" t="s">
        <v>40661</v>
      </c>
      <c r="M9354" t="s">
        <v>41521</v>
      </c>
      <c r="N9354" t="s">
        <v>44905</v>
      </c>
      <c r="O9354" t="s">
        <v>44906</v>
      </c>
      <c r="P9354">
        <v>0</v>
      </c>
      <c r="Q9354">
        <v>0</v>
      </c>
      <c r="R9354" t="s">
        <v>44913</v>
      </c>
      <c r="S9354" t="s">
        <v>45170</v>
      </c>
      <c r="T9354" t="s">
        <v>46409</v>
      </c>
      <c r="U9354" t="s">
        <v>54465</v>
      </c>
      <c r="W9354" t="s">
        <v>41521</v>
      </c>
      <c r="X9354" t="s">
        <v>44914</v>
      </c>
    </row>
    <row r="9355" spans="1:24">
      <c r="A9355">
        <f>HYPERLINK("https://www.philgeps.gov.ph/GEPSNONPILOT/Tender/SplashBidNoticeAbstractUI.aspx?menuIndex=3&amp;refID=7071488&amp;Result=3","7071488")</f>
        <v>0</v>
      </c>
      <c r="B9355" t="s">
        <v>584</v>
      </c>
      <c r="C9355" t="s">
        <v>12433</v>
      </c>
      <c r="D9355" t="s">
        <v>18158</v>
      </c>
      <c r="E9355" t="s">
        <v>26317</v>
      </c>
      <c r="F9355" t="s">
        <v>31362</v>
      </c>
      <c r="G9355" t="s">
        <v>31369</v>
      </c>
      <c r="H9355" t="s">
        <v>31378</v>
      </c>
      <c r="I9355" t="s">
        <v>31386</v>
      </c>
      <c r="J9355" t="s">
        <v>35544</v>
      </c>
      <c r="K9355" t="s">
        <v>40852</v>
      </c>
      <c r="M9355" t="s">
        <v>41541</v>
      </c>
      <c r="N9355" t="s">
        <v>44905</v>
      </c>
      <c r="O9355" t="s">
        <v>44906</v>
      </c>
      <c r="P9355">
        <v>0</v>
      </c>
      <c r="Q9355">
        <v>2</v>
      </c>
      <c r="R9355" t="s">
        <v>44913</v>
      </c>
      <c r="S9355" t="s">
        <v>45170</v>
      </c>
      <c r="T9355" t="s">
        <v>46524</v>
      </c>
      <c r="U9355" t="s">
        <v>48048</v>
      </c>
      <c r="W9355" t="s">
        <v>41541</v>
      </c>
      <c r="X9355" t="s">
        <v>44914</v>
      </c>
    </row>
    <row r="9356" spans="1:24">
      <c r="A9356">
        <f>HYPERLINK("https://www.philgeps.gov.ph/GEPSNONPILOT/Tender/SplashBidNoticeAbstractUI.aspx?menuIndex=3&amp;refID=7071473&amp;Result=3","7071473")</f>
        <v>0</v>
      </c>
      <c r="B9356" t="s">
        <v>999</v>
      </c>
      <c r="C9356" t="s">
        <v>12434</v>
      </c>
      <c r="D9356" t="s">
        <v>18103</v>
      </c>
      <c r="E9356" t="s">
        <v>26318</v>
      </c>
      <c r="F9356" t="s">
        <v>31362</v>
      </c>
      <c r="G9356" t="s">
        <v>31370</v>
      </c>
      <c r="H9356" t="s">
        <v>15799</v>
      </c>
      <c r="I9356" t="s">
        <v>31384</v>
      </c>
      <c r="J9356" t="s">
        <v>31723</v>
      </c>
      <c r="K9356" t="s">
        <v>40662</v>
      </c>
      <c r="M9356" t="s">
        <v>41995</v>
      </c>
      <c r="N9356" t="s">
        <v>44905</v>
      </c>
      <c r="O9356" t="s">
        <v>44906</v>
      </c>
      <c r="P9356">
        <v>0</v>
      </c>
      <c r="Q9356">
        <v>7</v>
      </c>
      <c r="R9356" t="s">
        <v>44913</v>
      </c>
      <c r="S9356" t="s">
        <v>45170</v>
      </c>
      <c r="T9356" t="s">
        <v>46443</v>
      </c>
      <c r="U9356" t="s">
        <v>54466</v>
      </c>
      <c r="V9356" t="s">
        <v>59339</v>
      </c>
      <c r="W9356" t="s">
        <v>41995</v>
      </c>
      <c r="X9356" t="s">
        <v>44914</v>
      </c>
    </row>
    <row r="9357" spans="1:24">
      <c r="A9357">
        <f>HYPERLINK("https://www.philgeps.gov.ph/GEPSNONPILOT/Tender/SplashBidNoticeAbstractUI.aspx?menuIndex=3&amp;refID=7071467&amp;Result=3","7071467")</f>
        <v>0</v>
      </c>
      <c r="B9357" t="s">
        <v>124</v>
      </c>
      <c r="C9357" t="s">
        <v>12435</v>
      </c>
      <c r="D9357" t="s">
        <v>18146</v>
      </c>
      <c r="E9357" t="s">
        <v>26319</v>
      </c>
      <c r="F9357" t="s">
        <v>31362</v>
      </c>
      <c r="G9357" t="s">
        <v>31372</v>
      </c>
      <c r="H9357" t="s">
        <v>15799</v>
      </c>
      <c r="I9357" t="s">
        <v>4283</v>
      </c>
      <c r="J9357" t="s">
        <v>37218</v>
      </c>
      <c r="K9357" t="s">
        <v>40670</v>
      </c>
      <c r="M9357" t="s">
        <v>42570</v>
      </c>
      <c r="N9357" t="s">
        <v>44905</v>
      </c>
      <c r="O9357" t="s">
        <v>44906</v>
      </c>
      <c r="P9357">
        <v>0</v>
      </c>
      <c r="Q9357">
        <v>9</v>
      </c>
      <c r="R9357" t="s">
        <v>44913</v>
      </c>
      <c r="S9357" t="s">
        <v>45170</v>
      </c>
      <c r="T9357" t="s">
        <v>46649</v>
      </c>
      <c r="U9357" t="s">
        <v>54467</v>
      </c>
      <c r="V9357" t="s">
        <v>60015</v>
      </c>
      <c r="W9357" t="s">
        <v>42570</v>
      </c>
      <c r="X9357" t="s">
        <v>44914</v>
      </c>
    </row>
    <row r="9358" spans="1:24">
      <c r="A9358">
        <f>HYPERLINK("https://www.philgeps.gov.ph/GEPSNONPILOT/Tender/SplashBidNoticeAbstractUI.aspx?menuIndex=3&amp;refID=7071465&amp;Result=3","7071465")</f>
        <v>0</v>
      </c>
      <c r="B9358" t="s">
        <v>2716</v>
      </c>
      <c r="C9358" t="s">
        <v>12436</v>
      </c>
      <c r="D9358" t="s">
        <v>18140</v>
      </c>
      <c r="E9358" t="s">
        <v>26320</v>
      </c>
      <c r="F9358" t="s">
        <v>31362</v>
      </c>
      <c r="G9358" t="s">
        <v>31372</v>
      </c>
      <c r="H9358" t="s">
        <v>31378</v>
      </c>
      <c r="I9358" t="s">
        <v>31386</v>
      </c>
      <c r="J9358" t="s">
        <v>37219</v>
      </c>
      <c r="K9358" t="s">
        <v>40678</v>
      </c>
      <c r="M9358" t="s">
        <v>43902</v>
      </c>
      <c r="N9358" t="s">
        <v>44905</v>
      </c>
      <c r="O9358" t="s">
        <v>44906</v>
      </c>
      <c r="P9358">
        <v>0</v>
      </c>
      <c r="Q9358">
        <v>5</v>
      </c>
      <c r="R9358" t="s">
        <v>44913</v>
      </c>
      <c r="S9358" t="s">
        <v>45170</v>
      </c>
      <c r="T9358" t="s">
        <v>46411</v>
      </c>
      <c r="U9358" t="s">
        <v>54468</v>
      </c>
      <c r="W9358" t="s">
        <v>43902</v>
      </c>
      <c r="X9358" t="s">
        <v>44914</v>
      </c>
    </row>
    <row r="9359" spans="1:24">
      <c r="A9359">
        <f>HYPERLINK("https://www.philgeps.gov.ph/GEPSNONPILOT/Tender/SplashBidNoticeAbstractUI.aspx?menuIndex=3&amp;refID=7072533&amp;Result=3","7072533")</f>
        <v>0</v>
      </c>
      <c r="B9359" t="s">
        <v>2717</v>
      </c>
      <c r="C9359" t="s">
        <v>12437</v>
      </c>
      <c r="D9359" t="s">
        <v>18101</v>
      </c>
      <c r="E9359" t="s">
        <v>18227</v>
      </c>
      <c r="F9359" t="s">
        <v>31362</v>
      </c>
      <c r="G9359" t="s">
        <v>31369</v>
      </c>
      <c r="H9359" t="s">
        <v>15799</v>
      </c>
      <c r="I9359" t="s">
        <v>3815</v>
      </c>
      <c r="J9359" t="s">
        <v>37220</v>
      </c>
      <c r="K9359" t="s">
        <v>40670</v>
      </c>
      <c r="M9359" t="s">
        <v>43903</v>
      </c>
      <c r="N9359" t="s">
        <v>44905</v>
      </c>
      <c r="O9359" t="s">
        <v>44906</v>
      </c>
      <c r="P9359">
        <v>0</v>
      </c>
      <c r="Q9359">
        <v>0</v>
      </c>
      <c r="R9359" t="s">
        <v>44912</v>
      </c>
      <c r="S9359" t="s">
        <v>45159</v>
      </c>
      <c r="T9359" t="s">
        <v>46411</v>
      </c>
      <c r="U9359" t="s">
        <v>54469</v>
      </c>
      <c r="W9359" t="s">
        <v>43903</v>
      </c>
      <c r="X9359" t="s">
        <v>44913</v>
      </c>
    </row>
    <row r="9360" spans="1:24">
      <c r="A9360">
        <f>HYPERLINK("https://www.philgeps.gov.ph/GEPSNONPILOT/Tender/SplashBidNoticeAbstractUI.aspx?menuIndex=3&amp;refID=7071435&amp;Result=3","7071435")</f>
        <v>0</v>
      </c>
      <c r="B9360" t="s">
        <v>311</v>
      </c>
      <c r="C9360" t="s">
        <v>12438</v>
      </c>
      <c r="D9360" t="s">
        <v>18154</v>
      </c>
      <c r="E9360" t="s">
        <v>26321</v>
      </c>
      <c r="F9360" t="s">
        <v>31362</v>
      </c>
      <c r="G9360" t="s">
        <v>31369</v>
      </c>
      <c r="H9360" t="s">
        <v>15799</v>
      </c>
      <c r="I9360" t="s">
        <v>31380</v>
      </c>
      <c r="J9360" t="s">
        <v>37221</v>
      </c>
      <c r="K9360" t="s">
        <v>40665</v>
      </c>
      <c r="M9360" t="s">
        <v>41256</v>
      </c>
      <c r="N9360" t="s">
        <v>44905</v>
      </c>
      <c r="O9360" t="s">
        <v>44906</v>
      </c>
      <c r="P9360">
        <v>0</v>
      </c>
      <c r="Q9360">
        <v>4</v>
      </c>
      <c r="R9360" t="s">
        <v>44913</v>
      </c>
      <c r="S9360" t="s">
        <v>45170</v>
      </c>
      <c r="T9360" t="s">
        <v>46575</v>
      </c>
      <c r="U9360" t="s">
        <v>54470</v>
      </c>
      <c r="V9360" t="s">
        <v>59599</v>
      </c>
      <c r="W9360" t="s">
        <v>41256</v>
      </c>
      <c r="X9360" t="s">
        <v>44914</v>
      </c>
    </row>
    <row r="9361" spans="1:24">
      <c r="A9361">
        <f>HYPERLINK("https://www.philgeps.gov.ph/GEPSNONPILOT/Tender/SplashBidNoticeAbstractUI.aspx?menuIndex=3&amp;refID=7071491&amp;Result=3","7071491")</f>
        <v>0</v>
      </c>
      <c r="B9361" t="s">
        <v>2690</v>
      </c>
      <c r="C9361" t="s">
        <v>12439</v>
      </c>
      <c r="D9361" t="s">
        <v>18136</v>
      </c>
      <c r="E9361" t="s">
        <v>26322</v>
      </c>
      <c r="F9361" t="s">
        <v>31362</v>
      </c>
      <c r="G9361" t="s">
        <v>31370</v>
      </c>
      <c r="H9361" t="s">
        <v>15799</v>
      </c>
      <c r="I9361" t="s">
        <v>31387</v>
      </c>
      <c r="J9361" t="s">
        <v>37222</v>
      </c>
      <c r="K9361" t="s">
        <v>40665</v>
      </c>
      <c r="M9361" t="s">
        <v>43876</v>
      </c>
      <c r="N9361" t="s">
        <v>44905</v>
      </c>
      <c r="O9361" t="s">
        <v>44906</v>
      </c>
      <c r="Q9361">
        <v>4</v>
      </c>
      <c r="R9361" t="s">
        <v>44913</v>
      </c>
      <c r="S9361" t="s">
        <v>45180</v>
      </c>
      <c r="T9361" t="s">
        <v>46396</v>
      </c>
      <c r="U9361" t="s">
        <v>54471</v>
      </c>
      <c r="V9361" t="s">
        <v>60003</v>
      </c>
      <c r="W9361" t="s">
        <v>43876</v>
      </c>
      <c r="X9361" t="s">
        <v>44914</v>
      </c>
    </row>
    <row r="9362" spans="1:24">
      <c r="A9362">
        <f>HYPERLINK("https://www.philgeps.gov.ph/GEPSNONPILOT/Tender/SplashBidNoticeAbstractUI.aspx?menuIndex=3&amp;refID=7071402&amp;Result=3","7071402")</f>
        <v>0</v>
      </c>
      <c r="B9362" t="s">
        <v>756</v>
      </c>
      <c r="C9362" t="s">
        <v>12440</v>
      </c>
      <c r="D9362" t="s">
        <v>18123</v>
      </c>
      <c r="E9362" t="s">
        <v>26323</v>
      </c>
      <c r="F9362" t="s">
        <v>31362</v>
      </c>
      <c r="G9362" t="s">
        <v>31369</v>
      </c>
      <c r="H9362" t="s">
        <v>15799</v>
      </c>
      <c r="I9362" t="s">
        <v>31433</v>
      </c>
      <c r="J9362" t="s">
        <v>37203</v>
      </c>
      <c r="K9362" t="s">
        <v>40670</v>
      </c>
      <c r="M9362" t="s">
        <v>41724</v>
      </c>
      <c r="N9362" t="s">
        <v>44905</v>
      </c>
      <c r="O9362" t="s">
        <v>44906</v>
      </c>
      <c r="P9362">
        <v>0</v>
      </c>
      <c r="Q9362">
        <v>0</v>
      </c>
      <c r="R9362" t="s">
        <v>44913</v>
      </c>
      <c r="S9362" t="s">
        <v>45170</v>
      </c>
      <c r="T9362" t="s">
        <v>46409</v>
      </c>
      <c r="U9362" t="s">
        <v>54472</v>
      </c>
      <c r="W9362" t="s">
        <v>41724</v>
      </c>
      <c r="X9362" t="s">
        <v>44914</v>
      </c>
    </row>
    <row r="9363" spans="1:24">
      <c r="A9363">
        <f>HYPERLINK("https://www.philgeps.gov.ph/GEPSNONPILOT/Tender/SplashBidNoticeAbstractUI.aspx?menuIndex=3&amp;refID=7071396&amp;Result=3","7071396")</f>
        <v>0</v>
      </c>
      <c r="B9363" t="s">
        <v>584</v>
      </c>
      <c r="C9363" t="s">
        <v>12441</v>
      </c>
      <c r="D9363" t="s">
        <v>18158</v>
      </c>
      <c r="E9363" t="s">
        <v>26324</v>
      </c>
      <c r="F9363" t="s">
        <v>31362</v>
      </c>
      <c r="G9363" t="s">
        <v>31369</v>
      </c>
      <c r="H9363" t="s">
        <v>31378</v>
      </c>
      <c r="I9363" t="s">
        <v>31386</v>
      </c>
      <c r="J9363" t="s">
        <v>35544</v>
      </c>
      <c r="K9363" t="s">
        <v>40851</v>
      </c>
      <c r="M9363" t="s">
        <v>41541</v>
      </c>
      <c r="N9363" t="s">
        <v>44905</v>
      </c>
      <c r="O9363" t="s">
        <v>44906</v>
      </c>
      <c r="P9363">
        <v>0</v>
      </c>
      <c r="Q9363">
        <v>0</v>
      </c>
      <c r="R9363" t="s">
        <v>44913</v>
      </c>
      <c r="S9363" t="s">
        <v>45170</v>
      </c>
      <c r="T9363" t="s">
        <v>46524</v>
      </c>
      <c r="U9363" t="s">
        <v>54473</v>
      </c>
      <c r="W9363" t="s">
        <v>41541</v>
      </c>
      <c r="X9363" t="s">
        <v>44914</v>
      </c>
    </row>
    <row r="9364" spans="1:24">
      <c r="A9364">
        <f>HYPERLINK("https://www.philgeps.gov.ph/GEPSNONPILOT/Tender/SplashBidNoticeAbstractUI.aspx?menuIndex=3&amp;refID=7071153&amp;Result=3","7071153")</f>
        <v>0</v>
      </c>
      <c r="B9364" t="s">
        <v>553</v>
      </c>
      <c r="C9364" t="s">
        <v>12442</v>
      </c>
      <c r="D9364" t="s">
        <v>18143</v>
      </c>
      <c r="E9364" t="s">
        <v>21982</v>
      </c>
      <c r="F9364" t="s">
        <v>31362</v>
      </c>
      <c r="G9364" t="s">
        <v>31369</v>
      </c>
      <c r="H9364" t="s">
        <v>15799</v>
      </c>
      <c r="I9364" t="s">
        <v>31414</v>
      </c>
      <c r="J9364" t="s">
        <v>37223</v>
      </c>
      <c r="K9364" t="s">
        <v>40665</v>
      </c>
      <c r="M9364" t="s">
        <v>41509</v>
      </c>
      <c r="N9364" t="s">
        <v>44905</v>
      </c>
      <c r="O9364" t="s">
        <v>44906</v>
      </c>
      <c r="P9364">
        <v>0</v>
      </c>
      <c r="Q9364">
        <v>4</v>
      </c>
      <c r="R9364" t="s">
        <v>44913</v>
      </c>
      <c r="S9364" t="s">
        <v>45170</v>
      </c>
      <c r="T9364" t="s">
        <v>46638</v>
      </c>
      <c r="U9364" t="s">
        <v>54474</v>
      </c>
      <c r="W9364" t="s">
        <v>41509</v>
      </c>
      <c r="X9364" t="s">
        <v>44914</v>
      </c>
    </row>
    <row r="9365" spans="1:24">
      <c r="A9365">
        <f>HYPERLINK("https://www.philgeps.gov.ph/GEPSNONPILOT/Tender/SplashBidNoticeAbstractUI.aspx?menuIndex=3&amp;refID=7071371&amp;Result=3","7071371")</f>
        <v>0</v>
      </c>
      <c r="B9365" t="s">
        <v>393</v>
      </c>
      <c r="C9365" t="s">
        <v>12443</v>
      </c>
      <c r="D9365" t="s">
        <v>18122</v>
      </c>
      <c r="E9365" t="s">
        <v>26325</v>
      </c>
      <c r="F9365" t="s">
        <v>31362</v>
      </c>
      <c r="G9365" t="s">
        <v>31368</v>
      </c>
      <c r="H9365" t="s">
        <v>31379</v>
      </c>
      <c r="I9365" t="s">
        <v>3582</v>
      </c>
      <c r="J9365" t="s">
        <v>37224</v>
      </c>
      <c r="K9365" t="s">
        <v>40666</v>
      </c>
      <c r="M9365" t="s">
        <v>41341</v>
      </c>
      <c r="N9365" t="s">
        <v>44905</v>
      </c>
      <c r="O9365" t="s">
        <v>44906</v>
      </c>
      <c r="P9365">
        <v>0</v>
      </c>
      <c r="Q9365">
        <v>0</v>
      </c>
      <c r="R9365" t="s">
        <v>44913</v>
      </c>
      <c r="S9365" t="s">
        <v>45170</v>
      </c>
      <c r="T9365" t="s">
        <v>46409</v>
      </c>
      <c r="U9365" t="s">
        <v>54475</v>
      </c>
      <c r="W9365" t="s">
        <v>41341</v>
      </c>
      <c r="X9365" t="s">
        <v>44914</v>
      </c>
    </row>
    <row r="9366" spans="1:24">
      <c r="A9366">
        <f>HYPERLINK("https://www.philgeps.gov.ph/GEPSNONPILOT/Tender/SplashBidNoticeAbstractUI.aspx?menuIndex=3&amp;refID=7071365&amp;Result=3","7071365")</f>
        <v>0</v>
      </c>
      <c r="B9366" t="s">
        <v>756</v>
      </c>
      <c r="C9366" t="s">
        <v>12444</v>
      </c>
      <c r="D9366" t="s">
        <v>18123</v>
      </c>
      <c r="E9366" t="s">
        <v>26326</v>
      </c>
      <c r="F9366" t="s">
        <v>31362</v>
      </c>
      <c r="G9366" t="s">
        <v>31369</v>
      </c>
      <c r="H9366" t="s">
        <v>15799</v>
      </c>
      <c r="I9366" t="s">
        <v>31433</v>
      </c>
      <c r="J9366" t="s">
        <v>37203</v>
      </c>
      <c r="K9366" t="s">
        <v>40670</v>
      </c>
      <c r="M9366" t="s">
        <v>41724</v>
      </c>
      <c r="N9366" t="s">
        <v>44905</v>
      </c>
      <c r="O9366" t="s">
        <v>44906</v>
      </c>
      <c r="P9366">
        <v>0</v>
      </c>
      <c r="Q9366">
        <v>1</v>
      </c>
      <c r="R9366" t="s">
        <v>44913</v>
      </c>
      <c r="S9366" t="s">
        <v>45170</v>
      </c>
      <c r="T9366" t="s">
        <v>46409</v>
      </c>
      <c r="U9366" t="s">
        <v>54472</v>
      </c>
      <c r="W9366" t="s">
        <v>41724</v>
      </c>
      <c r="X9366" t="s">
        <v>44914</v>
      </c>
    </row>
    <row r="9367" spans="1:24">
      <c r="A9367">
        <f>HYPERLINK("https://www.philgeps.gov.ph/GEPSNONPILOT/Tender/SplashBidNoticeAbstractUI.aspx?menuIndex=3&amp;refID=7071357&amp;Result=3","7071357")</f>
        <v>0</v>
      </c>
      <c r="B9367" t="s">
        <v>2709</v>
      </c>
      <c r="C9367" t="s">
        <v>12445</v>
      </c>
      <c r="D9367" t="s">
        <v>18131</v>
      </c>
      <c r="E9367" t="s">
        <v>26327</v>
      </c>
      <c r="F9367" t="s">
        <v>31362</v>
      </c>
      <c r="G9367" t="s">
        <v>31368</v>
      </c>
      <c r="H9367" t="s">
        <v>31379</v>
      </c>
      <c r="I9367" t="s">
        <v>31439</v>
      </c>
      <c r="J9367" t="s">
        <v>32278</v>
      </c>
      <c r="K9367" t="s">
        <v>40682</v>
      </c>
      <c r="M9367" t="s">
        <v>43895</v>
      </c>
      <c r="N9367" t="s">
        <v>44905</v>
      </c>
      <c r="O9367" t="s">
        <v>44906</v>
      </c>
      <c r="P9367">
        <v>0</v>
      </c>
      <c r="Q9367">
        <v>1</v>
      </c>
      <c r="R9367" t="s">
        <v>44913</v>
      </c>
      <c r="S9367" t="s">
        <v>45170</v>
      </c>
      <c r="T9367" t="s">
        <v>46467</v>
      </c>
      <c r="U9367" t="s">
        <v>54476</v>
      </c>
      <c r="W9367" t="s">
        <v>43895</v>
      </c>
      <c r="X9367" t="s">
        <v>44914</v>
      </c>
    </row>
    <row r="9368" spans="1:24">
      <c r="A9368">
        <f>HYPERLINK("https://www.philgeps.gov.ph/GEPSNONPILOT/Tender/SplashBidNoticeAbstractUI.aspx?menuIndex=3&amp;refID=7071620&amp;Result=3","7071620")</f>
        <v>0</v>
      </c>
      <c r="B9368" t="s">
        <v>1336</v>
      </c>
      <c r="C9368" t="s">
        <v>12446</v>
      </c>
      <c r="D9368" t="s">
        <v>18154</v>
      </c>
      <c r="E9368" t="s">
        <v>26328</v>
      </c>
      <c r="F9368" t="s">
        <v>31362</v>
      </c>
      <c r="G9368" t="s">
        <v>31369</v>
      </c>
      <c r="H9368" t="s">
        <v>15799</v>
      </c>
      <c r="I9368" t="s">
        <v>31385</v>
      </c>
      <c r="J9368" t="s">
        <v>37225</v>
      </c>
      <c r="K9368" t="s">
        <v>40662</v>
      </c>
      <c r="M9368" t="s">
        <v>42354</v>
      </c>
      <c r="N9368" t="s">
        <v>44905</v>
      </c>
      <c r="O9368" t="s">
        <v>44906</v>
      </c>
      <c r="P9368">
        <v>0</v>
      </c>
      <c r="Q9368">
        <v>0</v>
      </c>
      <c r="R9368" t="s">
        <v>44913</v>
      </c>
      <c r="S9368" t="s">
        <v>45170</v>
      </c>
      <c r="T9368" t="s">
        <v>46411</v>
      </c>
      <c r="U9368" t="s">
        <v>49880</v>
      </c>
      <c r="W9368" t="s">
        <v>42354</v>
      </c>
      <c r="X9368" t="s">
        <v>44914</v>
      </c>
    </row>
    <row r="9369" spans="1:24">
      <c r="A9369">
        <f>HYPERLINK("https://www.philgeps.gov.ph/GEPSNONPILOT/Tender/SplashBidNoticeAbstractUI.aspx?menuIndex=3&amp;refID=7071618&amp;Result=3","7071618")</f>
        <v>0</v>
      </c>
      <c r="B9369" t="s">
        <v>2300</v>
      </c>
      <c r="C9369" t="s">
        <v>12447</v>
      </c>
      <c r="D9369" t="s">
        <v>18148</v>
      </c>
      <c r="E9369" t="s">
        <v>26329</v>
      </c>
      <c r="F9369" t="s">
        <v>31362</v>
      </c>
      <c r="G9369" t="s">
        <v>31369</v>
      </c>
      <c r="H9369" t="s">
        <v>15799</v>
      </c>
      <c r="I9369" t="s">
        <v>31426</v>
      </c>
      <c r="J9369" t="s">
        <v>37226</v>
      </c>
      <c r="K9369" t="s">
        <v>40679</v>
      </c>
      <c r="M9369" t="s">
        <v>43515</v>
      </c>
      <c r="N9369" t="s">
        <v>44905</v>
      </c>
      <c r="O9369" t="s">
        <v>44906</v>
      </c>
      <c r="P9369">
        <v>0</v>
      </c>
      <c r="Q9369">
        <v>7</v>
      </c>
      <c r="R9369" t="s">
        <v>44913</v>
      </c>
      <c r="S9369" t="s">
        <v>45170</v>
      </c>
      <c r="T9369" t="s">
        <v>46450</v>
      </c>
      <c r="U9369" t="s">
        <v>54419</v>
      </c>
      <c r="W9369" t="s">
        <v>43515</v>
      </c>
      <c r="X9369" t="s">
        <v>44914</v>
      </c>
    </row>
    <row r="9370" spans="1:24">
      <c r="A9370">
        <f>HYPERLINK("https://www.philgeps.gov.ph/GEPSNONPILOT/Tender/SplashBidNoticeAbstractUI.aspx?menuIndex=3&amp;refID=7071453&amp;Result=3","7071453")</f>
        <v>0</v>
      </c>
      <c r="B9370" t="s">
        <v>2352</v>
      </c>
      <c r="C9370" t="s">
        <v>12448</v>
      </c>
      <c r="D9370" t="s">
        <v>18148</v>
      </c>
      <c r="E9370" t="s">
        <v>26330</v>
      </c>
      <c r="F9370" t="s">
        <v>31363</v>
      </c>
      <c r="G9370" t="s">
        <v>31369</v>
      </c>
      <c r="H9370" t="s">
        <v>15799</v>
      </c>
      <c r="I9370" t="s">
        <v>7090</v>
      </c>
      <c r="J9370" t="s">
        <v>36183</v>
      </c>
      <c r="K9370" t="s">
        <v>40662</v>
      </c>
      <c r="M9370" t="s">
        <v>43497</v>
      </c>
      <c r="N9370" t="s">
        <v>44905</v>
      </c>
      <c r="O9370" t="s">
        <v>44906</v>
      </c>
      <c r="P9370">
        <v>0</v>
      </c>
      <c r="Q9370">
        <v>0</v>
      </c>
      <c r="R9370" t="s">
        <v>44913</v>
      </c>
      <c r="S9370" t="s">
        <v>45170</v>
      </c>
      <c r="T9370" t="s">
        <v>46696</v>
      </c>
      <c r="U9370" t="s">
        <v>54477</v>
      </c>
      <c r="W9370" t="s">
        <v>43497</v>
      </c>
      <c r="X9370" t="s">
        <v>44914</v>
      </c>
    </row>
    <row r="9371" spans="1:24">
      <c r="A9371">
        <f>HYPERLINK("https://www.philgeps.gov.ph/GEPSNONPILOT/Tender/SplashBidNoticeAbstractUI.aspx?menuIndex=3&amp;refID=7071617&amp;Result=3","7071617")</f>
        <v>0</v>
      </c>
      <c r="B9371" t="s">
        <v>2718</v>
      </c>
      <c r="C9371" t="s">
        <v>12449</v>
      </c>
      <c r="D9371" t="s">
        <v>18106</v>
      </c>
      <c r="E9371" t="s">
        <v>26331</v>
      </c>
      <c r="F9371" t="s">
        <v>31362</v>
      </c>
      <c r="G9371" t="s">
        <v>31368</v>
      </c>
      <c r="H9371" t="s">
        <v>15799</v>
      </c>
      <c r="I9371" t="s">
        <v>31404</v>
      </c>
      <c r="J9371" t="s">
        <v>31626</v>
      </c>
      <c r="K9371" t="s">
        <v>40672</v>
      </c>
      <c r="M9371" t="s">
        <v>43904</v>
      </c>
      <c r="N9371" t="s">
        <v>44905</v>
      </c>
      <c r="O9371" t="s">
        <v>44906</v>
      </c>
      <c r="P9371">
        <v>0</v>
      </c>
      <c r="Q9371">
        <v>0</v>
      </c>
      <c r="R9371" t="s">
        <v>44913</v>
      </c>
      <c r="S9371" t="s">
        <v>45170</v>
      </c>
      <c r="T9371" t="s">
        <v>46443</v>
      </c>
      <c r="U9371" t="s">
        <v>54478</v>
      </c>
      <c r="W9371" t="s">
        <v>43904</v>
      </c>
      <c r="X9371" t="s">
        <v>44914</v>
      </c>
    </row>
    <row r="9372" spans="1:24">
      <c r="A9372">
        <f>HYPERLINK("https://www.philgeps.gov.ph/GEPSNONPILOT/Tender/SplashBidNoticeAbstractUI.aspx?menuIndex=3&amp;refID=7071609&amp;Result=3","7071609")</f>
        <v>0</v>
      </c>
      <c r="B9372" t="s">
        <v>1373</v>
      </c>
      <c r="C9372" t="s">
        <v>12450</v>
      </c>
      <c r="D9372" t="s">
        <v>18109</v>
      </c>
      <c r="E9372" t="s">
        <v>26332</v>
      </c>
      <c r="F9372" t="s">
        <v>31362</v>
      </c>
      <c r="G9372" t="s">
        <v>31370</v>
      </c>
      <c r="H9372" t="s">
        <v>15799</v>
      </c>
      <c r="I9372" t="s">
        <v>31393</v>
      </c>
      <c r="J9372" t="s">
        <v>31591</v>
      </c>
      <c r="K9372" t="s">
        <v>40662</v>
      </c>
      <c r="M9372" t="s">
        <v>42396</v>
      </c>
      <c r="N9372" t="s">
        <v>44905</v>
      </c>
      <c r="O9372" t="s">
        <v>44906</v>
      </c>
      <c r="Q9372">
        <v>11</v>
      </c>
      <c r="R9372" t="s">
        <v>44913</v>
      </c>
      <c r="S9372" t="s">
        <v>45181</v>
      </c>
      <c r="T9372" t="s">
        <v>46454</v>
      </c>
      <c r="U9372" t="s">
        <v>49998</v>
      </c>
      <c r="W9372" t="s">
        <v>42396</v>
      </c>
      <c r="X9372" t="s">
        <v>44914</v>
      </c>
    </row>
    <row r="9373" spans="1:24">
      <c r="A9373">
        <f>HYPERLINK("https://www.philgeps.gov.ph/GEPSNONPILOT/Tender/SplashBidNoticeAbstractUI.aspx?menuIndex=3&amp;refID=7071600&amp;Result=3","7071600")</f>
        <v>0</v>
      </c>
      <c r="B9373" t="s">
        <v>2719</v>
      </c>
      <c r="C9373" t="s">
        <v>12451</v>
      </c>
      <c r="D9373" t="s">
        <v>18128</v>
      </c>
      <c r="E9373" t="s">
        <v>26333</v>
      </c>
      <c r="F9373" t="s">
        <v>31362</v>
      </c>
      <c r="G9373" t="s">
        <v>31369</v>
      </c>
      <c r="H9373" t="s">
        <v>31378</v>
      </c>
      <c r="I9373" t="s">
        <v>31386</v>
      </c>
      <c r="J9373" t="s">
        <v>37227</v>
      </c>
      <c r="K9373" t="s">
        <v>40682</v>
      </c>
      <c r="M9373" t="s">
        <v>43905</v>
      </c>
      <c r="N9373" t="s">
        <v>44905</v>
      </c>
      <c r="O9373" t="s">
        <v>44906</v>
      </c>
      <c r="P9373">
        <v>0</v>
      </c>
      <c r="Q9373">
        <v>1</v>
      </c>
      <c r="R9373" t="s">
        <v>44913</v>
      </c>
      <c r="S9373" t="s">
        <v>45170</v>
      </c>
      <c r="T9373" t="s">
        <v>46561</v>
      </c>
      <c r="U9373" t="s">
        <v>54479</v>
      </c>
      <c r="V9373" t="s">
        <v>60019</v>
      </c>
      <c r="W9373" t="s">
        <v>43905</v>
      </c>
      <c r="X9373" t="s">
        <v>44914</v>
      </c>
    </row>
    <row r="9374" spans="1:24">
      <c r="A9374">
        <f>HYPERLINK("https://www.philgeps.gov.ph/GEPSNONPILOT/Tender/SplashBidNoticeAbstractUI.aspx?menuIndex=3&amp;refID=7071595&amp;Result=3","7071595")</f>
        <v>0</v>
      </c>
      <c r="B9374" t="s">
        <v>311</v>
      </c>
      <c r="C9374" t="s">
        <v>12452</v>
      </c>
      <c r="D9374" t="s">
        <v>18154</v>
      </c>
      <c r="E9374" t="s">
        <v>26334</v>
      </c>
      <c r="F9374" t="s">
        <v>31362</v>
      </c>
      <c r="G9374" t="s">
        <v>31369</v>
      </c>
      <c r="H9374" t="s">
        <v>15799</v>
      </c>
      <c r="I9374" t="s">
        <v>31380</v>
      </c>
      <c r="J9374" t="s">
        <v>37228</v>
      </c>
      <c r="K9374" t="s">
        <v>40665</v>
      </c>
      <c r="M9374" t="s">
        <v>41256</v>
      </c>
      <c r="N9374" t="s">
        <v>44905</v>
      </c>
      <c r="O9374" t="s">
        <v>44906</v>
      </c>
      <c r="P9374">
        <v>0</v>
      </c>
      <c r="Q9374">
        <v>3</v>
      </c>
      <c r="R9374" t="s">
        <v>44913</v>
      </c>
      <c r="S9374" t="s">
        <v>45170</v>
      </c>
      <c r="T9374" t="s">
        <v>46575</v>
      </c>
      <c r="U9374" t="s">
        <v>54480</v>
      </c>
      <c r="V9374" t="s">
        <v>59599</v>
      </c>
      <c r="W9374" t="s">
        <v>41256</v>
      </c>
      <c r="X9374" t="s">
        <v>44914</v>
      </c>
    </row>
    <row r="9375" spans="1:24">
      <c r="A9375">
        <f>HYPERLINK("https://www.philgeps.gov.ph/GEPSNONPILOT/Tender/SplashBidNoticeAbstractUI.aspx?menuIndex=3&amp;refID=7071594&amp;Result=3","7071594")</f>
        <v>0</v>
      </c>
      <c r="B9375" t="s">
        <v>1911</v>
      </c>
      <c r="C9375" t="s">
        <v>12453</v>
      </c>
      <c r="D9375" t="s">
        <v>18176</v>
      </c>
      <c r="E9375" t="s">
        <v>26335</v>
      </c>
      <c r="F9375" t="s">
        <v>31362</v>
      </c>
      <c r="G9375" t="s">
        <v>31369</v>
      </c>
      <c r="H9375" t="s">
        <v>15799</v>
      </c>
      <c r="I9375" t="s">
        <v>3815</v>
      </c>
      <c r="J9375" t="s">
        <v>37229</v>
      </c>
      <c r="K9375" t="s">
        <v>40670</v>
      </c>
      <c r="M9375" t="s">
        <v>43007</v>
      </c>
      <c r="N9375" t="s">
        <v>44905</v>
      </c>
      <c r="O9375" t="s">
        <v>44906</v>
      </c>
      <c r="P9375">
        <v>0</v>
      </c>
      <c r="Q9375">
        <v>0</v>
      </c>
      <c r="R9375" t="s">
        <v>44913</v>
      </c>
      <c r="S9375" t="s">
        <v>45170</v>
      </c>
      <c r="T9375" t="s">
        <v>46409</v>
      </c>
      <c r="U9375" t="s">
        <v>54481</v>
      </c>
      <c r="V9375" t="s">
        <v>60020</v>
      </c>
      <c r="W9375" t="s">
        <v>43007</v>
      </c>
      <c r="X9375" t="s">
        <v>44914</v>
      </c>
    </row>
    <row r="9376" spans="1:24">
      <c r="A9376">
        <f>HYPERLINK("https://www.philgeps.gov.ph/GEPSNONPILOT/Tender/SplashBidNoticeAbstractUI.aspx?menuIndex=3&amp;refID=7071592&amp;Result=3","7071592")</f>
        <v>0</v>
      </c>
      <c r="B9376" t="s">
        <v>2715</v>
      </c>
      <c r="C9376" t="s">
        <v>12454</v>
      </c>
      <c r="D9376" t="s">
        <v>18116</v>
      </c>
      <c r="E9376" t="s">
        <v>26336</v>
      </c>
      <c r="F9376" t="s">
        <v>31362</v>
      </c>
      <c r="G9376" t="s">
        <v>31369</v>
      </c>
      <c r="H9376" t="s">
        <v>31378</v>
      </c>
      <c r="I9376" t="s">
        <v>31386</v>
      </c>
      <c r="J9376" t="s">
        <v>37230</v>
      </c>
      <c r="K9376" t="s">
        <v>40665</v>
      </c>
      <c r="M9376" t="s">
        <v>43901</v>
      </c>
      <c r="N9376" t="s">
        <v>44905</v>
      </c>
      <c r="O9376" t="s">
        <v>44906</v>
      </c>
      <c r="P9376">
        <v>0</v>
      </c>
      <c r="Q9376">
        <v>0</v>
      </c>
      <c r="R9376" t="s">
        <v>44913</v>
      </c>
      <c r="S9376" t="s">
        <v>45170</v>
      </c>
      <c r="T9376" t="s">
        <v>46478</v>
      </c>
      <c r="U9376" t="s">
        <v>54482</v>
      </c>
      <c r="W9376" t="s">
        <v>43901</v>
      </c>
      <c r="X9376" t="s">
        <v>44914</v>
      </c>
    </row>
    <row r="9377" spans="1:24">
      <c r="A9377">
        <f>HYPERLINK("https://www.philgeps.gov.ph/GEPSNONPILOT/Tender/SplashBidNoticeAbstractUI.aspx?menuIndex=3&amp;refID=7071469&amp;Result=3","7071469")</f>
        <v>0</v>
      </c>
      <c r="B9377" t="s">
        <v>487</v>
      </c>
      <c r="C9377" t="s">
        <v>12455</v>
      </c>
      <c r="E9377" t="s">
        <v>26337</v>
      </c>
      <c r="F9377" t="s">
        <v>31362</v>
      </c>
      <c r="G9377" t="s">
        <v>31369</v>
      </c>
      <c r="H9377" t="s">
        <v>15799</v>
      </c>
      <c r="I9377" t="s">
        <v>31414</v>
      </c>
      <c r="J9377" t="s">
        <v>37231</v>
      </c>
      <c r="K9377" t="s">
        <v>40662</v>
      </c>
      <c r="M9377" t="s">
        <v>41442</v>
      </c>
      <c r="N9377" t="s">
        <v>44905</v>
      </c>
      <c r="O9377" t="s">
        <v>44906</v>
      </c>
      <c r="P9377">
        <v>0</v>
      </c>
      <c r="Q9377">
        <v>6</v>
      </c>
      <c r="R9377" t="s">
        <v>44913</v>
      </c>
      <c r="S9377" t="s">
        <v>45170</v>
      </c>
      <c r="T9377" t="s">
        <v>46561</v>
      </c>
      <c r="U9377" t="s">
        <v>54483</v>
      </c>
      <c r="W9377" t="s">
        <v>41442</v>
      </c>
      <c r="X9377" t="s">
        <v>44914</v>
      </c>
    </row>
    <row r="9378" spans="1:24">
      <c r="A9378">
        <f>HYPERLINK("https://www.philgeps.gov.ph/GEPSNONPILOT/Tender/SplashBidNoticeAbstractUI.aspx?menuIndex=3&amp;refID=7071579&amp;Result=3","7071579")</f>
        <v>0</v>
      </c>
      <c r="B9378" t="s">
        <v>2720</v>
      </c>
      <c r="C9378" t="s">
        <v>12456</v>
      </c>
      <c r="D9378" t="s">
        <v>18149</v>
      </c>
      <c r="E9378" t="s">
        <v>25999</v>
      </c>
      <c r="F9378" t="s">
        <v>31362</v>
      </c>
      <c r="G9378" t="s">
        <v>31369</v>
      </c>
      <c r="H9378" t="s">
        <v>15799</v>
      </c>
      <c r="I9378" t="s">
        <v>31409</v>
      </c>
      <c r="J9378" t="s">
        <v>31536</v>
      </c>
      <c r="K9378" t="s">
        <v>40665</v>
      </c>
      <c r="M9378" t="s">
        <v>43906</v>
      </c>
      <c r="N9378" t="s">
        <v>44905</v>
      </c>
      <c r="O9378" t="s">
        <v>44906</v>
      </c>
      <c r="P9378">
        <v>0</v>
      </c>
      <c r="Q9378">
        <v>1</v>
      </c>
      <c r="R9378" t="s">
        <v>44913</v>
      </c>
      <c r="S9378" t="s">
        <v>45170</v>
      </c>
      <c r="T9378" t="s">
        <v>46671</v>
      </c>
      <c r="U9378" t="s">
        <v>54484</v>
      </c>
      <c r="W9378" t="s">
        <v>43906</v>
      </c>
      <c r="X9378" t="s">
        <v>44914</v>
      </c>
    </row>
    <row r="9379" spans="1:24">
      <c r="A9379">
        <f>HYPERLINK("https://www.philgeps.gov.ph/GEPSNONPILOT/Tender/SplashBidNoticeAbstractUI.aspx?menuIndex=3&amp;refID=7071571&amp;Result=3","7071571")</f>
        <v>0</v>
      </c>
      <c r="B9379" t="s">
        <v>756</v>
      </c>
      <c r="C9379" t="s">
        <v>12457</v>
      </c>
      <c r="D9379" t="s">
        <v>18123</v>
      </c>
      <c r="E9379" t="s">
        <v>26338</v>
      </c>
      <c r="F9379" t="s">
        <v>31362</v>
      </c>
      <c r="G9379" t="s">
        <v>31369</v>
      </c>
      <c r="H9379" t="s">
        <v>15799</v>
      </c>
      <c r="I9379" t="s">
        <v>31433</v>
      </c>
      <c r="J9379" t="s">
        <v>37203</v>
      </c>
      <c r="K9379" t="s">
        <v>40670</v>
      </c>
      <c r="M9379" t="s">
        <v>41724</v>
      </c>
      <c r="N9379" t="s">
        <v>44905</v>
      </c>
      <c r="O9379" t="s">
        <v>44906</v>
      </c>
      <c r="P9379">
        <v>0</v>
      </c>
      <c r="Q9379">
        <v>0</v>
      </c>
      <c r="R9379" t="s">
        <v>44913</v>
      </c>
      <c r="S9379" t="s">
        <v>45170</v>
      </c>
      <c r="T9379" t="s">
        <v>46409</v>
      </c>
      <c r="U9379" t="s">
        <v>54485</v>
      </c>
      <c r="W9379" t="s">
        <v>41724</v>
      </c>
      <c r="X9379" t="s">
        <v>44914</v>
      </c>
    </row>
    <row r="9380" spans="1:24">
      <c r="A9380">
        <f>HYPERLINK("https://www.philgeps.gov.ph/GEPSNONPILOT/Tender/SplashBidNoticeAbstractUI.aspx?menuIndex=3&amp;refID=7071558&amp;Result=3","7071558")</f>
        <v>0</v>
      </c>
      <c r="B9380" t="s">
        <v>2690</v>
      </c>
      <c r="C9380" t="s">
        <v>12458</v>
      </c>
      <c r="D9380" t="s">
        <v>18136</v>
      </c>
      <c r="E9380" t="s">
        <v>26339</v>
      </c>
      <c r="F9380" t="s">
        <v>31362</v>
      </c>
      <c r="G9380" t="s">
        <v>31368</v>
      </c>
      <c r="H9380" t="s">
        <v>31379</v>
      </c>
      <c r="I9380" t="s">
        <v>3582</v>
      </c>
      <c r="J9380" t="s">
        <v>31536</v>
      </c>
      <c r="K9380" t="s">
        <v>40665</v>
      </c>
      <c r="M9380" t="s">
        <v>43876</v>
      </c>
      <c r="N9380" t="s">
        <v>44905</v>
      </c>
      <c r="O9380" t="s">
        <v>44906</v>
      </c>
      <c r="Q9380">
        <v>1</v>
      </c>
      <c r="R9380" t="s">
        <v>44913</v>
      </c>
      <c r="S9380" t="s">
        <v>45182</v>
      </c>
      <c r="T9380" t="s">
        <v>46396</v>
      </c>
      <c r="U9380" t="s">
        <v>54486</v>
      </c>
      <c r="V9380" t="s">
        <v>60003</v>
      </c>
      <c r="W9380" t="s">
        <v>43876</v>
      </c>
      <c r="X9380" t="s">
        <v>44914</v>
      </c>
    </row>
    <row r="9381" spans="1:24">
      <c r="A9381">
        <f>HYPERLINK("https://www.philgeps.gov.ph/GEPSNONPILOT/Tender/SplashBidNoticeAbstractUI.aspx?menuIndex=3&amp;refID=7071555&amp;Result=3","7071555")</f>
        <v>0</v>
      </c>
      <c r="B9381" t="s">
        <v>2300</v>
      </c>
      <c r="C9381" t="s">
        <v>12459</v>
      </c>
      <c r="D9381" t="s">
        <v>18148</v>
      </c>
      <c r="E9381" t="s">
        <v>26340</v>
      </c>
      <c r="F9381" t="s">
        <v>31362</v>
      </c>
      <c r="G9381" t="s">
        <v>31369</v>
      </c>
      <c r="H9381" t="s">
        <v>15799</v>
      </c>
      <c r="I9381" t="s">
        <v>31426</v>
      </c>
      <c r="J9381" t="s">
        <v>37232</v>
      </c>
      <c r="K9381" t="s">
        <v>40679</v>
      </c>
      <c r="M9381" t="s">
        <v>43515</v>
      </c>
      <c r="N9381" t="s">
        <v>44905</v>
      </c>
      <c r="O9381" t="s">
        <v>44906</v>
      </c>
      <c r="P9381">
        <v>0</v>
      </c>
      <c r="Q9381">
        <v>5</v>
      </c>
      <c r="R9381" t="s">
        <v>44913</v>
      </c>
      <c r="S9381" t="s">
        <v>45170</v>
      </c>
      <c r="T9381" t="s">
        <v>46450</v>
      </c>
      <c r="U9381" t="s">
        <v>54419</v>
      </c>
      <c r="W9381" t="s">
        <v>43515</v>
      </c>
      <c r="X9381" t="s">
        <v>44914</v>
      </c>
    </row>
    <row r="9382" spans="1:24">
      <c r="A9382">
        <f>HYPERLINK("https://www.philgeps.gov.ph/GEPSNONPILOT/Tender/SplashBidNoticeAbstractUI.aspx?menuIndex=3&amp;refID=7071539&amp;Result=3","7071539")</f>
        <v>0</v>
      </c>
      <c r="B9382" t="s">
        <v>756</v>
      </c>
      <c r="C9382" t="s">
        <v>12460</v>
      </c>
      <c r="D9382" t="s">
        <v>18123</v>
      </c>
      <c r="E9382" t="s">
        <v>26341</v>
      </c>
      <c r="F9382" t="s">
        <v>31362</v>
      </c>
      <c r="G9382" t="s">
        <v>31369</v>
      </c>
      <c r="H9382" t="s">
        <v>15799</v>
      </c>
      <c r="I9382" t="s">
        <v>31433</v>
      </c>
      <c r="J9382" t="s">
        <v>37203</v>
      </c>
      <c r="K9382" t="s">
        <v>40670</v>
      </c>
      <c r="M9382" t="s">
        <v>41724</v>
      </c>
      <c r="N9382" t="s">
        <v>44905</v>
      </c>
      <c r="O9382" t="s">
        <v>44906</v>
      </c>
      <c r="P9382">
        <v>0</v>
      </c>
      <c r="Q9382">
        <v>1</v>
      </c>
      <c r="R9382" t="s">
        <v>44913</v>
      </c>
      <c r="S9382" t="s">
        <v>45170</v>
      </c>
      <c r="T9382" t="s">
        <v>46409</v>
      </c>
      <c r="U9382" t="s">
        <v>54472</v>
      </c>
      <c r="W9382" t="s">
        <v>41724</v>
      </c>
      <c r="X9382" t="s">
        <v>44914</v>
      </c>
    </row>
    <row r="9383" spans="1:24">
      <c r="A9383">
        <f>HYPERLINK("https://www.philgeps.gov.ph/GEPSNONPILOT/Tender/SplashBidNoticeAbstractUI.aspx?menuIndex=3&amp;refID=7071524&amp;Result=3","7071524")</f>
        <v>0</v>
      </c>
      <c r="B9383" t="s">
        <v>2690</v>
      </c>
      <c r="C9383" t="s">
        <v>12461</v>
      </c>
      <c r="D9383" t="s">
        <v>18136</v>
      </c>
      <c r="E9383" t="s">
        <v>26342</v>
      </c>
      <c r="F9383" t="s">
        <v>31362</v>
      </c>
      <c r="G9383" t="s">
        <v>31368</v>
      </c>
      <c r="H9383" t="s">
        <v>31379</v>
      </c>
      <c r="I9383" t="s">
        <v>31473</v>
      </c>
      <c r="J9383" t="s">
        <v>37233</v>
      </c>
      <c r="K9383" t="s">
        <v>40682</v>
      </c>
      <c r="M9383" t="s">
        <v>43876</v>
      </c>
      <c r="N9383" t="s">
        <v>44905</v>
      </c>
      <c r="O9383" t="s">
        <v>44906</v>
      </c>
      <c r="Q9383">
        <v>1</v>
      </c>
      <c r="R9383" t="s">
        <v>44913</v>
      </c>
      <c r="S9383" t="s">
        <v>45183</v>
      </c>
      <c r="T9383" t="s">
        <v>46396</v>
      </c>
      <c r="U9383" t="s">
        <v>54487</v>
      </c>
      <c r="V9383" t="s">
        <v>60003</v>
      </c>
      <c r="W9383" t="s">
        <v>43876</v>
      </c>
      <c r="X9383" t="s">
        <v>44914</v>
      </c>
    </row>
    <row r="9384" spans="1:24">
      <c r="A9384">
        <f>HYPERLINK("https://www.philgeps.gov.ph/GEPSNONPILOT/Tender/SplashBidNoticeAbstractUI.aspx?menuIndex=3&amp;refID=7071516&amp;Result=3","7071516")</f>
        <v>0</v>
      </c>
      <c r="B9384" t="s">
        <v>2721</v>
      </c>
      <c r="C9384" t="s">
        <v>12462</v>
      </c>
      <c r="D9384" t="s">
        <v>18117</v>
      </c>
      <c r="E9384" t="s">
        <v>24192</v>
      </c>
      <c r="F9384" t="s">
        <v>31362</v>
      </c>
      <c r="G9384" t="s">
        <v>31369</v>
      </c>
      <c r="H9384" t="s">
        <v>15799</v>
      </c>
      <c r="I9384" t="s">
        <v>4942</v>
      </c>
      <c r="J9384" t="s">
        <v>31578</v>
      </c>
      <c r="K9384" t="s">
        <v>40682</v>
      </c>
      <c r="M9384" t="s">
        <v>43907</v>
      </c>
      <c r="N9384" t="s">
        <v>44905</v>
      </c>
      <c r="O9384" t="s">
        <v>44906</v>
      </c>
      <c r="P9384">
        <v>0</v>
      </c>
      <c r="Q9384">
        <v>0</v>
      </c>
      <c r="R9384" t="s">
        <v>44913</v>
      </c>
      <c r="S9384" t="s">
        <v>45170</v>
      </c>
      <c r="T9384" t="s">
        <v>46478</v>
      </c>
      <c r="U9384" t="s">
        <v>54488</v>
      </c>
      <c r="W9384" t="s">
        <v>43907</v>
      </c>
      <c r="X9384" t="s">
        <v>44914</v>
      </c>
    </row>
    <row r="9385" spans="1:24">
      <c r="A9385">
        <f>HYPERLINK("https://www.philgeps.gov.ph/GEPSNONPILOT/Tender/SplashBidNoticeAbstractUI.aspx?menuIndex=3&amp;refID=7071515&amp;Result=3","7071515")</f>
        <v>0</v>
      </c>
      <c r="B9385" t="s">
        <v>756</v>
      </c>
      <c r="C9385" t="s">
        <v>12463</v>
      </c>
      <c r="D9385" t="s">
        <v>18123</v>
      </c>
      <c r="E9385" t="s">
        <v>26343</v>
      </c>
      <c r="F9385" t="s">
        <v>31362</v>
      </c>
      <c r="G9385" t="s">
        <v>31369</v>
      </c>
      <c r="H9385" t="s">
        <v>15799</v>
      </c>
      <c r="I9385" t="s">
        <v>31433</v>
      </c>
      <c r="J9385" t="s">
        <v>37203</v>
      </c>
      <c r="K9385" t="s">
        <v>40670</v>
      </c>
      <c r="M9385" t="s">
        <v>41724</v>
      </c>
      <c r="N9385" t="s">
        <v>44905</v>
      </c>
      <c r="O9385" t="s">
        <v>44906</v>
      </c>
      <c r="P9385">
        <v>0</v>
      </c>
      <c r="Q9385">
        <v>0</v>
      </c>
      <c r="R9385" t="s">
        <v>44913</v>
      </c>
      <c r="S9385" t="s">
        <v>45170</v>
      </c>
      <c r="T9385" t="s">
        <v>46409</v>
      </c>
      <c r="U9385" t="s">
        <v>54472</v>
      </c>
      <c r="W9385" t="s">
        <v>41724</v>
      </c>
      <c r="X9385" t="s">
        <v>44914</v>
      </c>
    </row>
    <row r="9386" spans="1:24">
      <c r="A9386">
        <f>HYPERLINK("https://www.philgeps.gov.ph/GEPSNONPILOT/Tender/SplashBidNoticeAbstractUI.aspx?menuIndex=3&amp;refID=7071405&amp;Result=3","7071405")</f>
        <v>0</v>
      </c>
      <c r="B9386" t="s">
        <v>2300</v>
      </c>
      <c r="C9386" t="s">
        <v>12464</v>
      </c>
      <c r="D9386" t="s">
        <v>18148</v>
      </c>
      <c r="E9386" t="s">
        <v>26344</v>
      </c>
      <c r="F9386" t="s">
        <v>31362</v>
      </c>
      <c r="G9386" t="s">
        <v>31369</v>
      </c>
      <c r="H9386" t="s">
        <v>15799</v>
      </c>
      <c r="I9386" t="s">
        <v>31426</v>
      </c>
      <c r="J9386" t="s">
        <v>37234</v>
      </c>
      <c r="K9386" t="s">
        <v>40679</v>
      </c>
      <c r="M9386" t="s">
        <v>43515</v>
      </c>
      <c r="N9386" t="s">
        <v>44905</v>
      </c>
      <c r="O9386" t="s">
        <v>44906</v>
      </c>
      <c r="P9386">
        <v>0</v>
      </c>
      <c r="Q9386">
        <v>7</v>
      </c>
      <c r="R9386" t="s">
        <v>44913</v>
      </c>
      <c r="S9386" t="s">
        <v>45170</v>
      </c>
      <c r="T9386" t="s">
        <v>46450</v>
      </c>
      <c r="U9386" t="s">
        <v>54419</v>
      </c>
      <c r="W9386" t="s">
        <v>43515</v>
      </c>
      <c r="X9386" t="s">
        <v>44914</v>
      </c>
    </row>
    <row r="9387" spans="1:24">
      <c r="A9387">
        <f>HYPERLINK("https://www.philgeps.gov.ph/GEPSNONPILOT/Tender/SplashBidNoticeAbstractUI.aspx?menuIndex=3&amp;refID=7071560&amp;Result=3","7071560")</f>
        <v>0</v>
      </c>
      <c r="B9387" t="s">
        <v>367</v>
      </c>
      <c r="C9387" t="s">
        <v>12465</v>
      </c>
      <c r="D9387" t="s">
        <v>18134</v>
      </c>
      <c r="E9387" t="s">
        <v>26345</v>
      </c>
      <c r="F9387" t="s">
        <v>31362</v>
      </c>
      <c r="G9387" t="s">
        <v>31368</v>
      </c>
      <c r="H9387" t="s">
        <v>15799</v>
      </c>
      <c r="I9387" t="s">
        <v>31385</v>
      </c>
      <c r="J9387" t="s">
        <v>37235</v>
      </c>
      <c r="K9387" t="s">
        <v>40677</v>
      </c>
      <c r="M9387" t="s">
        <v>41314</v>
      </c>
      <c r="N9387" t="s">
        <v>44905</v>
      </c>
      <c r="O9387" t="s">
        <v>44906</v>
      </c>
      <c r="P9387">
        <v>0</v>
      </c>
      <c r="Q9387">
        <v>0</v>
      </c>
      <c r="R9387" t="s">
        <v>44913</v>
      </c>
      <c r="S9387" t="s">
        <v>45170</v>
      </c>
      <c r="T9387" t="s">
        <v>46447</v>
      </c>
      <c r="U9387" t="s">
        <v>54489</v>
      </c>
      <c r="W9387" t="s">
        <v>41314</v>
      </c>
      <c r="X9387" t="s">
        <v>44914</v>
      </c>
    </row>
    <row r="9388" spans="1:24">
      <c r="A9388">
        <f>HYPERLINK("https://www.philgeps.gov.ph/GEPSNONPILOT/Tender/SplashBidNoticeAbstractUI.aspx?menuIndex=3&amp;refID=7071602&amp;Result=3","7071602")</f>
        <v>0</v>
      </c>
      <c r="B9388" t="s">
        <v>756</v>
      </c>
      <c r="C9388" t="s">
        <v>12466</v>
      </c>
      <c r="D9388" t="s">
        <v>18123</v>
      </c>
      <c r="E9388" t="s">
        <v>26346</v>
      </c>
      <c r="F9388" t="s">
        <v>31362</v>
      </c>
      <c r="G9388" t="s">
        <v>31369</v>
      </c>
      <c r="H9388" t="s">
        <v>15799</v>
      </c>
      <c r="I9388" t="s">
        <v>31433</v>
      </c>
      <c r="J9388" t="s">
        <v>37236</v>
      </c>
      <c r="K9388" t="s">
        <v>40687</v>
      </c>
      <c r="M9388" t="s">
        <v>41724</v>
      </c>
      <c r="N9388" t="s">
        <v>44905</v>
      </c>
      <c r="O9388" t="s">
        <v>44906</v>
      </c>
      <c r="P9388">
        <v>0</v>
      </c>
      <c r="Q9388">
        <v>1</v>
      </c>
      <c r="R9388" t="s">
        <v>44913</v>
      </c>
      <c r="S9388" t="s">
        <v>45170</v>
      </c>
      <c r="T9388" t="s">
        <v>46409</v>
      </c>
      <c r="U9388" t="s">
        <v>54490</v>
      </c>
      <c r="W9388" t="s">
        <v>41724</v>
      </c>
      <c r="X9388" t="s">
        <v>44914</v>
      </c>
    </row>
    <row r="9389" spans="1:24">
      <c r="A9389">
        <f>HYPERLINK("https://www.philgeps.gov.ph/GEPSNONPILOT/Tender/SplashBidNoticeAbstractUI.aspx?menuIndex=3&amp;refID=7071355&amp;Result=3","7071355")</f>
        <v>0</v>
      </c>
      <c r="B9389" t="s">
        <v>2300</v>
      </c>
      <c r="C9389" t="s">
        <v>12467</v>
      </c>
      <c r="D9389" t="s">
        <v>18148</v>
      </c>
      <c r="E9389" t="s">
        <v>26347</v>
      </c>
      <c r="F9389" t="s">
        <v>31362</v>
      </c>
      <c r="G9389" t="s">
        <v>31369</v>
      </c>
      <c r="H9389" t="s">
        <v>15799</v>
      </c>
      <c r="I9389" t="s">
        <v>31426</v>
      </c>
      <c r="J9389" t="s">
        <v>37237</v>
      </c>
      <c r="K9389" t="s">
        <v>40679</v>
      </c>
      <c r="M9389" t="s">
        <v>43515</v>
      </c>
      <c r="N9389" t="s">
        <v>44905</v>
      </c>
      <c r="O9389" t="s">
        <v>44906</v>
      </c>
      <c r="P9389">
        <v>0</v>
      </c>
      <c r="Q9389">
        <v>6</v>
      </c>
      <c r="R9389" t="s">
        <v>44913</v>
      </c>
      <c r="S9389" t="s">
        <v>45170</v>
      </c>
      <c r="T9389" t="s">
        <v>46450</v>
      </c>
      <c r="U9389" t="s">
        <v>54419</v>
      </c>
      <c r="W9389" t="s">
        <v>43515</v>
      </c>
      <c r="X9389" t="s">
        <v>44914</v>
      </c>
    </row>
    <row r="9390" spans="1:24">
      <c r="A9390">
        <f>HYPERLINK("https://www.philgeps.gov.ph/GEPSNONPILOT/Tender/SplashBidNoticeAbstractUI.aspx?menuIndex=3&amp;refID=7071354&amp;Result=3","7071354")</f>
        <v>0</v>
      </c>
      <c r="B9390" t="s">
        <v>2722</v>
      </c>
      <c r="C9390" t="s">
        <v>12468</v>
      </c>
      <c r="D9390" t="s">
        <v>18152</v>
      </c>
      <c r="E9390" t="s">
        <v>26348</v>
      </c>
      <c r="F9390" t="s">
        <v>31363</v>
      </c>
      <c r="G9390" t="s">
        <v>31369</v>
      </c>
      <c r="H9390" t="s">
        <v>15799</v>
      </c>
      <c r="I9390" t="s">
        <v>31427</v>
      </c>
      <c r="J9390" t="s">
        <v>37238</v>
      </c>
      <c r="K9390" t="s">
        <v>40665</v>
      </c>
      <c r="M9390" t="s">
        <v>43908</v>
      </c>
      <c r="N9390" t="s">
        <v>44905</v>
      </c>
      <c r="O9390" t="s">
        <v>44906</v>
      </c>
      <c r="P9390">
        <v>0</v>
      </c>
      <c r="Q9390">
        <v>10</v>
      </c>
      <c r="R9390" t="s">
        <v>44913</v>
      </c>
      <c r="S9390" t="s">
        <v>45170</v>
      </c>
      <c r="T9390" t="s">
        <v>46560</v>
      </c>
      <c r="U9390" t="s">
        <v>54491</v>
      </c>
      <c r="V9390" t="s">
        <v>60021</v>
      </c>
      <c r="W9390" t="s">
        <v>60939</v>
      </c>
      <c r="X9390" t="s">
        <v>44914</v>
      </c>
    </row>
    <row r="9391" spans="1:24">
      <c r="A9391">
        <f>HYPERLINK("https://www.philgeps.gov.ph/GEPSNONPILOT/Tender/SplashBidNoticeAbstractUI.aspx?menuIndex=3&amp;refID=7071343&amp;Result=3","7071343")</f>
        <v>0</v>
      </c>
      <c r="B9391" t="s">
        <v>358</v>
      </c>
      <c r="C9391" t="s">
        <v>12469</v>
      </c>
      <c r="D9391" t="s">
        <v>18109</v>
      </c>
      <c r="E9391" t="s">
        <v>24784</v>
      </c>
      <c r="F9391" t="s">
        <v>31362</v>
      </c>
      <c r="G9391" t="s">
        <v>31369</v>
      </c>
      <c r="H9391" t="s">
        <v>31378</v>
      </c>
      <c r="I9391" t="s">
        <v>31386</v>
      </c>
      <c r="J9391" t="s">
        <v>37239</v>
      </c>
      <c r="K9391" t="s">
        <v>40679</v>
      </c>
      <c r="M9391" t="s">
        <v>41305</v>
      </c>
      <c r="N9391" t="s">
        <v>44905</v>
      </c>
      <c r="O9391" t="s">
        <v>44906</v>
      </c>
      <c r="P9391">
        <v>0</v>
      </c>
      <c r="Q9391">
        <v>0</v>
      </c>
      <c r="R9391" t="s">
        <v>44913</v>
      </c>
      <c r="S9391" t="s">
        <v>45170</v>
      </c>
      <c r="T9391" t="s">
        <v>46671</v>
      </c>
      <c r="U9391" t="s">
        <v>54492</v>
      </c>
      <c r="W9391" t="s">
        <v>41305</v>
      </c>
      <c r="X9391" t="s">
        <v>44914</v>
      </c>
    </row>
    <row r="9392" spans="1:24">
      <c r="A9392">
        <f>HYPERLINK("https://www.philgeps.gov.ph/GEPSNONPILOT/Tender/SplashBidNoticeAbstractUI.aspx?menuIndex=3&amp;refID=7072520&amp;Result=3","7072520")</f>
        <v>0</v>
      </c>
      <c r="B9392" t="s">
        <v>496</v>
      </c>
      <c r="C9392" t="s">
        <v>12470</v>
      </c>
      <c r="D9392" t="s">
        <v>18137</v>
      </c>
      <c r="E9392" t="s">
        <v>26349</v>
      </c>
      <c r="F9392" t="s">
        <v>31362</v>
      </c>
      <c r="G9392" t="s">
        <v>31369</v>
      </c>
      <c r="H9392" t="s">
        <v>15799</v>
      </c>
      <c r="I9392" t="s">
        <v>31409</v>
      </c>
      <c r="J9392" t="s">
        <v>31637</v>
      </c>
      <c r="K9392" t="s">
        <v>40661</v>
      </c>
      <c r="M9392" t="s">
        <v>41451</v>
      </c>
      <c r="N9392" t="s">
        <v>44905</v>
      </c>
      <c r="O9392" t="s">
        <v>44906</v>
      </c>
      <c r="P9392">
        <v>0</v>
      </c>
      <c r="Q9392">
        <v>6</v>
      </c>
      <c r="R9392" t="s">
        <v>44912</v>
      </c>
      <c r="S9392" t="s">
        <v>45159</v>
      </c>
      <c r="T9392" t="s">
        <v>46612</v>
      </c>
      <c r="U9392" t="s">
        <v>54493</v>
      </c>
      <c r="V9392" t="s">
        <v>60022</v>
      </c>
      <c r="W9392" t="s">
        <v>41451</v>
      </c>
      <c r="X9392" t="s">
        <v>44913</v>
      </c>
    </row>
    <row r="9393" spans="1:24">
      <c r="A9393">
        <f>HYPERLINK("https://www.philgeps.gov.ph/GEPSNONPILOT/Tender/SplashBidNoticeAbstractUI.aspx?menuIndex=3&amp;refID=7072516&amp;Result=3","7072516")</f>
        <v>0</v>
      </c>
      <c r="B9393" t="s">
        <v>1280</v>
      </c>
      <c r="C9393" t="s">
        <v>12471</v>
      </c>
      <c r="D9393" t="s">
        <v>18152</v>
      </c>
      <c r="E9393" t="s">
        <v>21273</v>
      </c>
      <c r="F9393" t="s">
        <v>31362</v>
      </c>
      <c r="G9393" t="s">
        <v>31368</v>
      </c>
      <c r="H9393" t="s">
        <v>15799</v>
      </c>
      <c r="I9393" t="s">
        <v>31510</v>
      </c>
      <c r="J9393" t="s">
        <v>31975</v>
      </c>
      <c r="K9393" t="s">
        <v>40662</v>
      </c>
      <c r="M9393" t="s">
        <v>42297</v>
      </c>
      <c r="N9393" t="s">
        <v>44905</v>
      </c>
      <c r="O9393" t="s">
        <v>44906</v>
      </c>
      <c r="P9393">
        <v>0</v>
      </c>
      <c r="Q9393">
        <v>1</v>
      </c>
      <c r="R9393" t="s">
        <v>44912</v>
      </c>
      <c r="S9393" t="s">
        <v>45159</v>
      </c>
      <c r="T9393" t="s">
        <v>46507</v>
      </c>
      <c r="U9393" t="s">
        <v>49728</v>
      </c>
      <c r="W9393" t="s">
        <v>42297</v>
      </c>
      <c r="X9393" t="s">
        <v>44913</v>
      </c>
    </row>
    <row r="9394" spans="1:24">
      <c r="A9394">
        <f>HYPERLINK("https://www.philgeps.gov.ph/GEPSNONPILOT/Tender/SplashBidNoticeAbstractUI.aspx?menuIndex=3&amp;refID=7072467&amp;Result=3","7072467")</f>
        <v>0</v>
      </c>
      <c r="B9394" t="s">
        <v>2723</v>
      </c>
      <c r="C9394" t="s">
        <v>12472</v>
      </c>
      <c r="D9394" t="s">
        <v>18116</v>
      </c>
      <c r="E9394" t="s">
        <v>18548</v>
      </c>
      <c r="F9394" t="s">
        <v>31362</v>
      </c>
      <c r="G9394" t="s">
        <v>31369</v>
      </c>
      <c r="H9394" t="s">
        <v>31378</v>
      </c>
      <c r="I9394" t="s">
        <v>31386</v>
      </c>
      <c r="J9394" t="s">
        <v>37240</v>
      </c>
      <c r="K9394" t="s">
        <v>40696</v>
      </c>
      <c r="M9394" t="s">
        <v>43909</v>
      </c>
      <c r="N9394" t="s">
        <v>44905</v>
      </c>
      <c r="O9394" t="s">
        <v>44906</v>
      </c>
      <c r="P9394">
        <v>0</v>
      </c>
      <c r="Q9394">
        <v>0</v>
      </c>
      <c r="R9394" t="s">
        <v>44912</v>
      </c>
      <c r="S9394" t="s">
        <v>45159</v>
      </c>
      <c r="T9394" t="s">
        <v>46434</v>
      </c>
      <c r="U9394" t="s">
        <v>54494</v>
      </c>
      <c r="W9394" t="s">
        <v>43909</v>
      </c>
      <c r="X9394" t="s">
        <v>44913</v>
      </c>
    </row>
    <row r="9395" spans="1:24">
      <c r="A9395">
        <f>HYPERLINK("https://www.philgeps.gov.ph/GEPSNONPILOT/Tender/SplashBidNoticeAbstractUI.aspx?menuIndex=3&amp;refID=7071511&amp;Result=3","7071511")</f>
        <v>0</v>
      </c>
      <c r="B9395" t="s">
        <v>2724</v>
      </c>
      <c r="C9395" t="s">
        <v>12473</v>
      </c>
      <c r="D9395" t="s">
        <v>18168</v>
      </c>
      <c r="E9395" t="s">
        <v>26350</v>
      </c>
      <c r="F9395" t="s">
        <v>31362</v>
      </c>
      <c r="G9395" t="s">
        <v>31369</v>
      </c>
      <c r="H9395" t="s">
        <v>15799</v>
      </c>
      <c r="I9395" t="s">
        <v>3815</v>
      </c>
      <c r="J9395" t="s">
        <v>32239</v>
      </c>
      <c r="K9395" t="s">
        <v>40661</v>
      </c>
      <c r="L9395" t="s">
        <v>2724</v>
      </c>
      <c r="M9395" t="s">
        <v>43910</v>
      </c>
      <c r="N9395" t="s">
        <v>44905</v>
      </c>
      <c r="O9395" t="s">
        <v>44906</v>
      </c>
      <c r="P9395">
        <v>0</v>
      </c>
      <c r="Q9395">
        <v>0</v>
      </c>
      <c r="R9395" t="s">
        <v>44913</v>
      </c>
      <c r="S9395" t="s">
        <v>45170</v>
      </c>
      <c r="T9395" t="s">
        <v>46410</v>
      </c>
      <c r="U9395" t="s">
        <v>54495</v>
      </c>
      <c r="W9395" t="s">
        <v>43910</v>
      </c>
      <c r="X9395" t="s">
        <v>44914</v>
      </c>
    </row>
    <row r="9396" spans="1:24">
      <c r="A9396">
        <f>HYPERLINK("https://www.philgeps.gov.ph/GEPSNONPILOT/Tender/SplashBidNoticeAbstractUI.aspx?menuIndex=3&amp;refID=7072416&amp;Result=3","7072416")</f>
        <v>0</v>
      </c>
      <c r="B9396" t="s">
        <v>2725</v>
      </c>
      <c r="C9396" t="s">
        <v>12474</v>
      </c>
      <c r="D9396" t="s">
        <v>18108</v>
      </c>
      <c r="E9396" t="s">
        <v>26351</v>
      </c>
      <c r="F9396" t="s">
        <v>31362</v>
      </c>
      <c r="G9396" t="s">
        <v>31369</v>
      </c>
      <c r="H9396" t="s">
        <v>15799</v>
      </c>
      <c r="I9396" t="s">
        <v>7090</v>
      </c>
      <c r="J9396" t="s">
        <v>37241</v>
      </c>
      <c r="K9396" t="s">
        <v>40697</v>
      </c>
      <c r="M9396" t="s">
        <v>43911</v>
      </c>
      <c r="N9396" t="s">
        <v>44905</v>
      </c>
      <c r="O9396" t="s">
        <v>44906</v>
      </c>
      <c r="P9396">
        <v>0</v>
      </c>
      <c r="Q9396">
        <v>0</v>
      </c>
      <c r="R9396" t="s">
        <v>44912</v>
      </c>
      <c r="S9396" t="s">
        <v>45159</v>
      </c>
      <c r="T9396" t="s">
        <v>46454</v>
      </c>
      <c r="U9396" t="s">
        <v>54496</v>
      </c>
      <c r="W9396" t="s">
        <v>43911</v>
      </c>
      <c r="X9396" t="s">
        <v>44913</v>
      </c>
    </row>
    <row r="9397" spans="1:24">
      <c r="A9397">
        <f>HYPERLINK("https://www.philgeps.gov.ph/GEPSNONPILOT/Tender/SplashBidNoticeAbstractUI.aspx?menuIndex=3&amp;refID=7072528&amp;Result=3","7072528")</f>
        <v>0</v>
      </c>
      <c r="B9397" t="s">
        <v>1863</v>
      </c>
      <c r="C9397" t="s">
        <v>12475</v>
      </c>
      <c r="D9397" t="s">
        <v>18122</v>
      </c>
      <c r="E9397" t="s">
        <v>18217</v>
      </c>
      <c r="F9397" t="s">
        <v>31362</v>
      </c>
      <c r="G9397" t="s">
        <v>31369</v>
      </c>
      <c r="H9397" t="s">
        <v>15799</v>
      </c>
      <c r="I9397" t="s">
        <v>3815</v>
      </c>
      <c r="J9397" t="s">
        <v>31570</v>
      </c>
      <c r="K9397" t="s">
        <v>40665</v>
      </c>
      <c r="M9397" t="s">
        <v>42953</v>
      </c>
      <c r="N9397" t="s">
        <v>44905</v>
      </c>
      <c r="O9397" t="s">
        <v>44906</v>
      </c>
      <c r="P9397">
        <v>0</v>
      </c>
      <c r="Q9397">
        <v>2</v>
      </c>
      <c r="R9397" t="s">
        <v>44912</v>
      </c>
      <c r="S9397" t="s">
        <v>45159</v>
      </c>
      <c r="T9397" t="s">
        <v>46414</v>
      </c>
      <c r="U9397" t="s">
        <v>54497</v>
      </c>
      <c r="W9397" t="s">
        <v>42953</v>
      </c>
      <c r="X9397" t="s">
        <v>44913</v>
      </c>
    </row>
    <row r="9398" spans="1:24">
      <c r="A9398">
        <f>HYPERLINK("https://www.philgeps.gov.ph/GEPSNONPILOT/Tender/SplashBidNoticeAbstractUI.aspx?menuIndex=3&amp;refID=7071504&amp;Result=3","7071504")</f>
        <v>0</v>
      </c>
      <c r="B9398" t="s">
        <v>2726</v>
      </c>
      <c r="C9398" t="s">
        <v>12476</v>
      </c>
      <c r="D9398" t="s">
        <v>18127</v>
      </c>
      <c r="E9398" t="s">
        <v>26352</v>
      </c>
      <c r="F9398" t="s">
        <v>31362</v>
      </c>
      <c r="G9398" t="s">
        <v>31368</v>
      </c>
      <c r="H9398" t="s">
        <v>15799</v>
      </c>
      <c r="I9398" t="s">
        <v>31417</v>
      </c>
      <c r="J9398" t="s">
        <v>37242</v>
      </c>
      <c r="K9398" t="s">
        <v>40677</v>
      </c>
      <c r="M9398" t="s">
        <v>43912</v>
      </c>
      <c r="N9398" t="s">
        <v>44905</v>
      </c>
      <c r="O9398" t="s">
        <v>44906</v>
      </c>
      <c r="P9398">
        <v>0</v>
      </c>
      <c r="Q9398">
        <v>2</v>
      </c>
      <c r="R9398" t="s">
        <v>44913</v>
      </c>
      <c r="S9398" t="s">
        <v>45170</v>
      </c>
      <c r="T9398" t="s">
        <v>46432</v>
      </c>
      <c r="U9398" t="s">
        <v>54498</v>
      </c>
      <c r="W9398" t="s">
        <v>43912</v>
      </c>
      <c r="X9398" t="s">
        <v>44914</v>
      </c>
    </row>
    <row r="9399" spans="1:24">
      <c r="A9399">
        <f>HYPERLINK("https://www.philgeps.gov.ph/GEPSNONPILOT/Tender/SplashBidNoticeAbstractUI.aspx?menuIndex=3&amp;refID=7072440&amp;Result=3","7072440")</f>
        <v>0</v>
      </c>
      <c r="B9399" t="s">
        <v>579</v>
      </c>
      <c r="C9399" t="s">
        <v>12477</v>
      </c>
      <c r="D9399" t="s">
        <v>18112</v>
      </c>
      <c r="E9399" t="s">
        <v>26353</v>
      </c>
      <c r="F9399" t="s">
        <v>31362</v>
      </c>
      <c r="G9399" t="s">
        <v>31368</v>
      </c>
      <c r="H9399" t="s">
        <v>15799</v>
      </c>
      <c r="I9399" t="s">
        <v>31396</v>
      </c>
      <c r="J9399" t="s">
        <v>37243</v>
      </c>
      <c r="K9399" t="s">
        <v>40666</v>
      </c>
      <c r="M9399" t="s">
        <v>43913</v>
      </c>
      <c r="N9399" t="s">
        <v>44905</v>
      </c>
      <c r="O9399" t="s">
        <v>44906</v>
      </c>
      <c r="Q9399">
        <v>41</v>
      </c>
      <c r="R9399" t="s">
        <v>44912</v>
      </c>
      <c r="S9399" t="s">
        <v>45184</v>
      </c>
      <c r="T9399" t="s">
        <v>46447</v>
      </c>
      <c r="U9399" t="s">
        <v>54499</v>
      </c>
      <c r="V9399" t="s">
        <v>60023</v>
      </c>
      <c r="W9399" t="s">
        <v>43913</v>
      </c>
      <c r="X9399" t="s">
        <v>44913</v>
      </c>
    </row>
    <row r="9400" spans="1:24">
      <c r="A9400">
        <f>HYPERLINK("https://www.philgeps.gov.ph/GEPSNONPILOT/Tender/SplashBidNoticeAbstractUI.aspx?menuIndex=3&amp;refID=7071677&amp;Result=3","7071677")</f>
        <v>0</v>
      </c>
      <c r="B9400" t="s">
        <v>2727</v>
      </c>
      <c r="C9400" t="s">
        <v>12478</v>
      </c>
      <c r="D9400" t="s">
        <v>18117</v>
      </c>
      <c r="E9400" t="s">
        <v>26354</v>
      </c>
      <c r="F9400" t="s">
        <v>31362</v>
      </c>
      <c r="G9400" t="s">
        <v>31371</v>
      </c>
      <c r="H9400" t="s">
        <v>15799</v>
      </c>
      <c r="I9400" t="s">
        <v>31385</v>
      </c>
      <c r="J9400" t="s">
        <v>37244</v>
      </c>
      <c r="K9400" t="s">
        <v>40672</v>
      </c>
      <c r="M9400" t="s">
        <v>43914</v>
      </c>
      <c r="N9400" t="s">
        <v>44905</v>
      </c>
      <c r="O9400" t="s">
        <v>44906</v>
      </c>
      <c r="P9400">
        <v>0</v>
      </c>
      <c r="Q9400">
        <v>3</v>
      </c>
      <c r="R9400" t="s">
        <v>44913</v>
      </c>
      <c r="S9400" t="s">
        <v>45170</v>
      </c>
      <c r="T9400" t="s">
        <v>46478</v>
      </c>
      <c r="U9400" t="s">
        <v>54500</v>
      </c>
      <c r="W9400" t="s">
        <v>43914</v>
      </c>
      <c r="X9400" t="s">
        <v>44914</v>
      </c>
    </row>
    <row r="9401" spans="1:24">
      <c r="A9401">
        <f>HYPERLINK("https://www.philgeps.gov.ph/GEPSNONPILOT/Tender/SplashBidNoticeAbstractUI.aspx?menuIndex=3&amp;refID=7071621&amp;Result=3","7071621")</f>
        <v>0</v>
      </c>
      <c r="B9401" t="s">
        <v>2728</v>
      </c>
      <c r="C9401" t="s">
        <v>12479</v>
      </c>
      <c r="D9401" t="s">
        <v>18124</v>
      </c>
      <c r="E9401" t="s">
        <v>26355</v>
      </c>
      <c r="F9401" t="s">
        <v>31362</v>
      </c>
      <c r="G9401" t="s">
        <v>31369</v>
      </c>
      <c r="H9401" t="s">
        <v>15799</v>
      </c>
      <c r="I9401" t="s">
        <v>31386</v>
      </c>
      <c r="J9401" t="s">
        <v>37245</v>
      </c>
      <c r="K9401" t="s">
        <v>40662</v>
      </c>
      <c r="M9401" t="s">
        <v>43915</v>
      </c>
      <c r="N9401" t="s">
        <v>44905</v>
      </c>
      <c r="O9401" t="s">
        <v>44906</v>
      </c>
      <c r="P9401">
        <v>0</v>
      </c>
      <c r="Q9401">
        <v>0</v>
      </c>
      <c r="R9401" t="s">
        <v>44913</v>
      </c>
      <c r="S9401" t="s">
        <v>45170</v>
      </c>
      <c r="T9401" t="s">
        <v>46432</v>
      </c>
      <c r="U9401" t="s">
        <v>54501</v>
      </c>
      <c r="W9401" t="s">
        <v>43915</v>
      </c>
      <c r="X9401" t="s">
        <v>44914</v>
      </c>
    </row>
    <row r="9402" spans="1:24">
      <c r="A9402">
        <f>HYPERLINK("https://www.philgeps.gov.ph/GEPSNONPILOT/Tender/SplashBidNoticeAbstractUI.aspx?menuIndex=3&amp;refID=7071675&amp;Result=3","7071675")</f>
        <v>0</v>
      </c>
      <c r="B9402" t="s">
        <v>1373</v>
      </c>
      <c r="C9402" t="s">
        <v>12480</v>
      </c>
      <c r="D9402" t="s">
        <v>18109</v>
      </c>
      <c r="E9402" t="s">
        <v>26356</v>
      </c>
      <c r="F9402" t="s">
        <v>31362</v>
      </c>
      <c r="G9402" t="s">
        <v>31370</v>
      </c>
      <c r="H9402" t="s">
        <v>15799</v>
      </c>
      <c r="I9402" t="s">
        <v>7719</v>
      </c>
      <c r="J9402" t="s">
        <v>32553</v>
      </c>
      <c r="K9402" t="s">
        <v>40682</v>
      </c>
      <c r="M9402" t="s">
        <v>42396</v>
      </c>
      <c r="N9402" t="s">
        <v>44905</v>
      </c>
      <c r="O9402" t="s">
        <v>44906</v>
      </c>
      <c r="Q9402">
        <v>22</v>
      </c>
      <c r="R9402" t="s">
        <v>44913</v>
      </c>
      <c r="S9402" t="s">
        <v>45185</v>
      </c>
      <c r="T9402" t="s">
        <v>46454</v>
      </c>
      <c r="U9402" t="s">
        <v>49998</v>
      </c>
      <c r="W9402" t="s">
        <v>42396</v>
      </c>
      <c r="X9402" t="s">
        <v>44914</v>
      </c>
    </row>
    <row r="9403" spans="1:24">
      <c r="A9403">
        <f>HYPERLINK("https://www.philgeps.gov.ph/GEPSNONPILOT/Tender/SplashBidNoticeAbstractUI.aspx?menuIndex=3&amp;refID=7071495&amp;Result=3","7071495")</f>
        <v>0</v>
      </c>
      <c r="B9403" t="s">
        <v>2710</v>
      </c>
      <c r="C9403" t="s">
        <v>12481</v>
      </c>
      <c r="D9403" t="s">
        <v>18116</v>
      </c>
      <c r="E9403" t="s">
        <v>26357</v>
      </c>
      <c r="F9403" t="s">
        <v>31362</v>
      </c>
      <c r="G9403" t="s">
        <v>31369</v>
      </c>
      <c r="H9403" t="s">
        <v>15799</v>
      </c>
      <c r="I9403" t="s">
        <v>31466</v>
      </c>
      <c r="J9403" t="s">
        <v>37246</v>
      </c>
      <c r="K9403" t="s">
        <v>40662</v>
      </c>
      <c r="M9403" t="s">
        <v>43896</v>
      </c>
      <c r="N9403" t="s">
        <v>44905</v>
      </c>
      <c r="O9403" t="s">
        <v>44906</v>
      </c>
      <c r="P9403">
        <v>0</v>
      </c>
      <c r="Q9403">
        <v>3</v>
      </c>
      <c r="R9403" t="s">
        <v>44913</v>
      </c>
      <c r="S9403" t="s">
        <v>45170</v>
      </c>
      <c r="T9403" t="s">
        <v>46414</v>
      </c>
      <c r="U9403" t="s">
        <v>54448</v>
      </c>
      <c r="W9403" t="s">
        <v>43896</v>
      </c>
      <c r="X9403" t="s">
        <v>44914</v>
      </c>
    </row>
    <row r="9404" spans="1:24">
      <c r="A9404">
        <f>HYPERLINK("https://www.philgeps.gov.ph/GEPSNONPILOT/Tender/SplashBidNoticeAbstractUI.aspx?menuIndex=3&amp;refID=7071657&amp;Result=3","7071657")</f>
        <v>0</v>
      </c>
      <c r="B9404" t="s">
        <v>1373</v>
      </c>
      <c r="C9404" t="s">
        <v>12482</v>
      </c>
      <c r="D9404" t="s">
        <v>18109</v>
      </c>
      <c r="E9404" t="s">
        <v>26358</v>
      </c>
      <c r="F9404" t="s">
        <v>31362</v>
      </c>
      <c r="G9404" t="s">
        <v>31370</v>
      </c>
      <c r="H9404" t="s">
        <v>15799</v>
      </c>
      <c r="I9404" t="s">
        <v>7719</v>
      </c>
      <c r="J9404" t="s">
        <v>32913</v>
      </c>
      <c r="K9404" t="s">
        <v>40675</v>
      </c>
      <c r="M9404" t="s">
        <v>42396</v>
      </c>
      <c r="N9404" t="s">
        <v>44905</v>
      </c>
      <c r="O9404" t="s">
        <v>44906</v>
      </c>
      <c r="Q9404">
        <v>17</v>
      </c>
      <c r="R9404" t="s">
        <v>44913</v>
      </c>
      <c r="S9404" t="s">
        <v>45185</v>
      </c>
      <c r="T9404" t="s">
        <v>46454</v>
      </c>
      <c r="U9404" t="s">
        <v>49998</v>
      </c>
      <c r="W9404" t="s">
        <v>42396</v>
      </c>
      <c r="X9404" t="s">
        <v>44914</v>
      </c>
    </row>
    <row r="9405" spans="1:24">
      <c r="A9405">
        <f>HYPERLINK("https://www.philgeps.gov.ph/GEPSNONPILOT/Tender/SplashBidNoticeAbstractUI.aspx?menuIndex=3&amp;refID=7071647&amp;Result=3","7071647")</f>
        <v>0</v>
      </c>
      <c r="B9405" t="s">
        <v>1402</v>
      </c>
      <c r="C9405" t="s">
        <v>12483</v>
      </c>
      <c r="D9405" t="s">
        <v>18119</v>
      </c>
      <c r="E9405" t="s">
        <v>23047</v>
      </c>
      <c r="F9405" t="s">
        <v>31362</v>
      </c>
      <c r="G9405" t="s">
        <v>31369</v>
      </c>
      <c r="H9405" t="s">
        <v>15799</v>
      </c>
      <c r="I9405" t="s">
        <v>31409</v>
      </c>
      <c r="J9405" t="s">
        <v>32891</v>
      </c>
      <c r="K9405" t="s">
        <v>40662</v>
      </c>
      <c r="M9405" t="s">
        <v>42427</v>
      </c>
      <c r="N9405" t="s">
        <v>44905</v>
      </c>
      <c r="O9405" t="s">
        <v>44906</v>
      </c>
      <c r="P9405">
        <v>0</v>
      </c>
      <c r="Q9405">
        <v>3</v>
      </c>
      <c r="R9405" t="s">
        <v>44913</v>
      </c>
      <c r="S9405" t="s">
        <v>45170</v>
      </c>
      <c r="T9405" t="s">
        <v>46419</v>
      </c>
      <c r="U9405" t="s">
        <v>54502</v>
      </c>
      <c r="V9405" t="s">
        <v>60024</v>
      </c>
      <c r="W9405" t="s">
        <v>42427</v>
      </c>
      <c r="X9405" t="s">
        <v>44914</v>
      </c>
    </row>
    <row r="9406" spans="1:24">
      <c r="A9406">
        <f>HYPERLINK("https://www.philgeps.gov.ph/GEPSNONPILOT/Tender/SplashBidNoticeAbstractUI.aspx?menuIndex=3&amp;refID=7071636&amp;Result=3","7071636")</f>
        <v>0</v>
      </c>
      <c r="B9406" t="s">
        <v>1336</v>
      </c>
      <c r="C9406" t="s">
        <v>12484</v>
      </c>
      <c r="D9406" t="s">
        <v>18154</v>
      </c>
      <c r="E9406" t="s">
        <v>26359</v>
      </c>
      <c r="F9406" t="s">
        <v>31362</v>
      </c>
      <c r="G9406" t="s">
        <v>31369</v>
      </c>
      <c r="H9406" t="s">
        <v>15799</v>
      </c>
      <c r="I9406" t="s">
        <v>31385</v>
      </c>
      <c r="J9406" t="s">
        <v>32234</v>
      </c>
      <c r="K9406" t="s">
        <v>40662</v>
      </c>
      <c r="M9406" t="s">
        <v>42354</v>
      </c>
      <c r="N9406" t="s">
        <v>44905</v>
      </c>
      <c r="O9406" t="s">
        <v>44906</v>
      </c>
      <c r="P9406">
        <v>0</v>
      </c>
      <c r="Q9406">
        <v>0</v>
      </c>
      <c r="R9406" t="s">
        <v>44913</v>
      </c>
      <c r="S9406" t="s">
        <v>45170</v>
      </c>
      <c r="T9406" t="s">
        <v>46411</v>
      </c>
      <c r="U9406" t="s">
        <v>49880</v>
      </c>
      <c r="W9406" t="s">
        <v>42354</v>
      </c>
      <c r="X9406" t="s">
        <v>44914</v>
      </c>
    </row>
    <row r="9407" spans="1:24">
      <c r="A9407">
        <f>HYPERLINK("https://www.philgeps.gov.ph/GEPSNONPILOT/Tender/SplashBidNoticeAbstractUI.aspx?menuIndex=3&amp;refID=7071635&amp;Result=3","7071635")</f>
        <v>0</v>
      </c>
      <c r="B9407" t="s">
        <v>756</v>
      </c>
      <c r="C9407" t="s">
        <v>12485</v>
      </c>
      <c r="D9407" t="s">
        <v>18123</v>
      </c>
      <c r="E9407" t="s">
        <v>26360</v>
      </c>
      <c r="F9407" t="s">
        <v>31362</v>
      </c>
      <c r="G9407" t="s">
        <v>31369</v>
      </c>
      <c r="H9407" t="s">
        <v>15799</v>
      </c>
      <c r="I9407" t="s">
        <v>31433</v>
      </c>
      <c r="J9407" t="s">
        <v>37247</v>
      </c>
      <c r="K9407" t="s">
        <v>40687</v>
      </c>
      <c r="M9407" t="s">
        <v>41724</v>
      </c>
      <c r="N9407" t="s">
        <v>44905</v>
      </c>
      <c r="O9407" t="s">
        <v>44906</v>
      </c>
      <c r="P9407">
        <v>0</v>
      </c>
      <c r="Q9407">
        <v>1</v>
      </c>
      <c r="R9407" t="s">
        <v>44913</v>
      </c>
      <c r="S9407" t="s">
        <v>45170</v>
      </c>
      <c r="T9407" t="s">
        <v>46409</v>
      </c>
      <c r="U9407" t="s">
        <v>54490</v>
      </c>
      <c r="W9407" t="s">
        <v>41724</v>
      </c>
      <c r="X9407" t="s">
        <v>44914</v>
      </c>
    </row>
    <row r="9408" spans="1:24">
      <c r="A9408">
        <f>HYPERLINK("https://www.philgeps.gov.ph/GEPSNONPILOT/Tender/SplashBidNoticeAbstractUI.aspx?menuIndex=3&amp;refID=7071680&amp;Result=3","7071680")</f>
        <v>0</v>
      </c>
      <c r="B9408" t="s">
        <v>756</v>
      </c>
      <c r="C9408" t="s">
        <v>12486</v>
      </c>
      <c r="D9408" t="s">
        <v>18123</v>
      </c>
      <c r="E9408" t="s">
        <v>26361</v>
      </c>
      <c r="F9408" t="s">
        <v>31362</v>
      </c>
      <c r="G9408" t="s">
        <v>31369</v>
      </c>
      <c r="H9408" t="s">
        <v>15799</v>
      </c>
      <c r="I9408" t="s">
        <v>31433</v>
      </c>
      <c r="J9408" t="s">
        <v>37248</v>
      </c>
      <c r="K9408" t="s">
        <v>40680</v>
      </c>
      <c r="M9408" t="s">
        <v>41724</v>
      </c>
      <c r="N9408" t="s">
        <v>44905</v>
      </c>
      <c r="O9408" t="s">
        <v>44906</v>
      </c>
      <c r="P9408">
        <v>0</v>
      </c>
      <c r="Q9408">
        <v>0</v>
      </c>
      <c r="R9408" t="s">
        <v>44913</v>
      </c>
      <c r="S9408" t="s">
        <v>45170</v>
      </c>
      <c r="T9408" t="s">
        <v>46409</v>
      </c>
      <c r="U9408" t="s">
        <v>54490</v>
      </c>
      <c r="W9408" t="s">
        <v>41724</v>
      </c>
      <c r="X9408" t="s">
        <v>44914</v>
      </c>
    </row>
    <row r="9409" spans="1:24">
      <c r="A9409">
        <f>HYPERLINK("https://www.philgeps.gov.ph/GEPSNONPILOT/Tender/SplashBidNoticeAbstractUI.aspx?menuIndex=3&amp;refID=7071623&amp;Result=3","7071623")</f>
        <v>0</v>
      </c>
      <c r="B9409" t="s">
        <v>1952</v>
      </c>
      <c r="C9409" t="s">
        <v>12487</v>
      </c>
      <c r="D9409" t="s">
        <v>18114</v>
      </c>
      <c r="E9409" t="s">
        <v>26362</v>
      </c>
      <c r="F9409" t="s">
        <v>31362</v>
      </c>
      <c r="G9409" t="s">
        <v>31369</v>
      </c>
      <c r="H9409" t="s">
        <v>31378</v>
      </c>
      <c r="I9409" t="s">
        <v>31386</v>
      </c>
      <c r="J9409" t="s">
        <v>37249</v>
      </c>
      <c r="K9409" t="s">
        <v>40686</v>
      </c>
      <c r="M9409" t="s">
        <v>43057</v>
      </c>
      <c r="N9409" t="s">
        <v>44905</v>
      </c>
      <c r="O9409" t="s">
        <v>44906</v>
      </c>
      <c r="P9409">
        <v>0</v>
      </c>
      <c r="Q9409">
        <v>22</v>
      </c>
      <c r="R9409" t="s">
        <v>44913</v>
      </c>
      <c r="S9409" t="s">
        <v>45170</v>
      </c>
      <c r="T9409" t="s">
        <v>46504</v>
      </c>
      <c r="U9409" t="s">
        <v>51916</v>
      </c>
      <c r="V9409" t="s">
        <v>59409</v>
      </c>
      <c r="W9409" t="s">
        <v>43057</v>
      </c>
      <c r="X9409" t="s">
        <v>44914</v>
      </c>
    </row>
    <row r="9410" spans="1:24">
      <c r="A9410">
        <f>HYPERLINK("https://www.philgeps.gov.ph/GEPSNONPILOT/Tender/SplashBidNoticeAbstractUI.aspx?menuIndex=3&amp;refID=7071275&amp;Result=3","7071275")</f>
        <v>0</v>
      </c>
      <c r="B9410" t="s">
        <v>2296</v>
      </c>
      <c r="C9410" t="s">
        <v>12488</v>
      </c>
      <c r="D9410" t="s">
        <v>18113</v>
      </c>
      <c r="E9410" t="s">
        <v>25863</v>
      </c>
      <c r="F9410" t="s">
        <v>31362</v>
      </c>
      <c r="G9410" t="s">
        <v>31369</v>
      </c>
      <c r="H9410" t="s">
        <v>31378</v>
      </c>
      <c r="I9410" t="s">
        <v>31386</v>
      </c>
      <c r="J9410" t="s">
        <v>37250</v>
      </c>
      <c r="K9410" t="s">
        <v>40676</v>
      </c>
      <c r="L9410" t="s">
        <v>2296</v>
      </c>
      <c r="M9410" t="s">
        <v>43436</v>
      </c>
      <c r="N9410" t="s">
        <v>44905</v>
      </c>
      <c r="O9410" t="s">
        <v>44906</v>
      </c>
      <c r="P9410">
        <v>0</v>
      </c>
      <c r="Q9410">
        <v>0</v>
      </c>
      <c r="R9410" t="s">
        <v>44913</v>
      </c>
      <c r="S9410" t="s">
        <v>45170</v>
      </c>
      <c r="T9410" t="s">
        <v>46392</v>
      </c>
      <c r="U9410" t="s">
        <v>54503</v>
      </c>
      <c r="V9410" t="s">
        <v>60025</v>
      </c>
      <c r="W9410" t="s">
        <v>43436</v>
      </c>
      <c r="X9410" t="s">
        <v>44914</v>
      </c>
    </row>
    <row r="9411" spans="1:24">
      <c r="A9411">
        <f>HYPERLINK("https://www.philgeps.gov.ph/GEPSNONPILOT/Tender/SplashBidNoticeAbstractUI.aspx?menuIndex=3&amp;refID=7071714&amp;Result=3","7071714")</f>
        <v>0</v>
      </c>
      <c r="B9411" t="s">
        <v>1952</v>
      </c>
      <c r="C9411" t="s">
        <v>12489</v>
      </c>
      <c r="D9411" t="s">
        <v>18114</v>
      </c>
      <c r="E9411" t="s">
        <v>26363</v>
      </c>
      <c r="F9411" t="s">
        <v>31362</v>
      </c>
      <c r="G9411" t="s">
        <v>31369</v>
      </c>
      <c r="H9411" t="s">
        <v>31378</v>
      </c>
      <c r="I9411" t="s">
        <v>31386</v>
      </c>
      <c r="J9411" t="s">
        <v>37251</v>
      </c>
      <c r="K9411" t="s">
        <v>40679</v>
      </c>
      <c r="M9411" t="s">
        <v>43057</v>
      </c>
      <c r="N9411" t="s">
        <v>44905</v>
      </c>
      <c r="O9411" t="s">
        <v>44906</v>
      </c>
      <c r="P9411">
        <v>0</v>
      </c>
      <c r="Q9411">
        <v>27</v>
      </c>
      <c r="R9411" t="s">
        <v>44913</v>
      </c>
      <c r="S9411" t="s">
        <v>45170</v>
      </c>
      <c r="T9411" t="s">
        <v>46504</v>
      </c>
      <c r="U9411" t="s">
        <v>54504</v>
      </c>
      <c r="V9411" t="s">
        <v>60026</v>
      </c>
      <c r="W9411" t="s">
        <v>43057</v>
      </c>
      <c r="X9411" t="s">
        <v>44914</v>
      </c>
    </row>
    <row r="9412" spans="1:24">
      <c r="A9412">
        <f>HYPERLINK("https://www.philgeps.gov.ph/GEPSNONPILOT/Tender/SplashBidNoticeAbstractUI.aspx?menuIndex=3&amp;refID=7071656&amp;Result=3","7071656")</f>
        <v>0</v>
      </c>
      <c r="B9412" t="s">
        <v>1336</v>
      </c>
      <c r="C9412" t="s">
        <v>12490</v>
      </c>
      <c r="D9412" t="s">
        <v>18154</v>
      </c>
      <c r="E9412" t="s">
        <v>26364</v>
      </c>
      <c r="F9412" t="s">
        <v>31362</v>
      </c>
      <c r="G9412" t="s">
        <v>31369</v>
      </c>
      <c r="H9412" t="s">
        <v>15799</v>
      </c>
      <c r="I9412" t="s">
        <v>31385</v>
      </c>
      <c r="J9412" t="s">
        <v>37252</v>
      </c>
      <c r="K9412" t="s">
        <v>40662</v>
      </c>
      <c r="M9412" t="s">
        <v>42354</v>
      </c>
      <c r="N9412" t="s">
        <v>44905</v>
      </c>
      <c r="O9412" t="s">
        <v>44906</v>
      </c>
      <c r="P9412">
        <v>0</v>
      </c>
      <c r="Q9412">
        <v>0</v>
      </c>
      <c r="R9412" t="s">
        <v>44913</v>
      </c>
      <c r="S9412" t="s">
        <v>45170</v>
      </c>
      <c r="T9412" t="s">
        <v>46411</v>
      </c>
      <c r="U9412" t="s">
        <v>49880</v>
      </c>
      <c r="W9412" t="s">
        <v>42354</v>
      </c>
      <c r="X9412" t="s">
        <v>44914</v>
      </c>
    </row>
    <row r="9413" spans="1:24">
      <c r="A9413">
        <f>HYPERLINK("https://www.philgeps.gov.ph/GEPSNONPILOT/Tender/SplashBidNoticeAbstractUI.aspx?menuIndex=3&amp;refID=7071702&amp;Result=3","7071702")</f>
        <v>0</v>
      </c>
      <c r="B9413" t="s">
        <v>756</v>
      </c>
      <c r="C9413" t="s">
        <v>12491</v>
      </c>
      <c r="D9413" t="s">
        <v>18123</v>
      </c>
      <c r="E9413" t="s">
        <v>26365</v>
      </c>
      <c r="F9413" t="s">
        <v>31362</v>
      </c>
      <c r="G9413" t="s">
        <v>31369</v>
      </c>
      <c r="H9413" t="s">
        <v>15799</v>
      </c>
      <c r="I9413" t="s">
        <v>31433</v>
      </c>
      <c r="J9413" t="s">
        <v>37253</v>
      </c>
      <c r="K9413" t="s">
        <v>40670</v>
      </c>
      <c r="M9413" t="s">
        <v>41724</v>
      </c>
      <c r="N9413" t="s">
        <v>44905</v>
      </c>
      <c r="O9413" t="s">
        <v>44906</v>
      </c>
      <c r="P9413">
        <v>0</v>
      </c>
      <c r="Q9413">
        <v>0</v>
      </c>
      <c r="R9413" t="s">
        <v>44913</v>
      </c>
      <c r="S9413" t="s">
        <v>45170</v>
      </c>
      <c r="T9413" t="s">
        <v>46409</v>
      </c>
      <c r="U9413" t="s">
        <v>54490</v>
      </c>
      <c r="W9413" t="s">
        <v>41724</v>
      </c>
      <c r="X9413" t="s">
        <v>44914</v>
      </c>
    </row>
    <row r="9414" spans="1:24">
      <c r="A9414">
        <f>HYPERLINK("https://www.philgeps.gov.ph/GEPSNONPILOT/Tender/SplashBidNoticeAbstractUI.aspx?menuIndex=3&amp;refID=7071691&amp;Result=3","7071691")</f>
        <v>0</v>
      </c>
      <c r="B9414" t="s">
        <v>2729</v>
      </c>
      <c r="C9414" t="s">
        <v>12492</v>
      </c>
      <c r="D9414" t="s">
        <v>18119</v>
      </c>
      <c r="E9414" t="s">
        <v>26366</v>
      </c>
      <c r="F9414" t="s">
        <v>31362</v>
      </c>
      <c r="G9414" t="s">
        <v>31369</v>
      </c>
      <c r="H9414" t="s">
        <v>31378</v>
      </c>
      <c r="I9414" t="s">
        <v>31386</v>
      </c>
      <c r="J9414" t="s">
        <v>37254</v>
      </c>
      <c r="K9414" t="s">
        <v>40846</v>
      </c>
      <c r="L9414" t="s">
        <v>2729</v>
      </c>
      <c r="M9414" t="s">
        <v>43916</v>
      </c>
      <c r="N9414" t="s">
        <v>44905</v>
      </c>
      <c r="O9414" t="s">
        <v>44906</v>
      </c>
      <c r="P9414">
        <v>0</v>
      </c>
      <c r="Q9414">
        <v>13</v>
      </c>
      <c r="R9414" t="s">
        <v>44913</v>
      </c>
      <c r="S9414" t="s">
        <v>45170</v>
      </c>
      <c r="T9414" t="s">
        <v>46740</v>
      </c>
      <c r="U9414" t="s">
        <v>54505</v>
      </c>
      <c r="W9414" t="s">
        <v>43916</v>
      </c>
      <c r="X9414" t="s">
        <v>44914</v>
      </c>
    </row>
    <row r="9415" spans="1:24">
      <c r="A9415">
        <f>HYPERLINK("https://www.philgeps.gov.ph/GEPSNONPILOT/Tender/SplashBidNoticeAbstractUI.aspx?menuIndex=3&amp;refID=7071688&amp;Result=3","7071688")</f>
        <v>0</v>
      </c>
      <c r="B9415" t="s">
        <v>2730</v>
      </c>
      <c r="C9415" t="s">
        <v>12493</v>
      </c>
      <c r="D9415" t="s">
        <v>18139</v>
      </c>
      <c r="E9415" t="s">
        <v>26367</v>
      </c>
      <c r="F9415" t="s">
        <v>31362</v>
      </c>
      <c r="G9415" t="s">
        <v>31369</v>
      </c>
      <c r="H9415" t="s">
        <v>15799</v>
      </c>
      <c r="I9415" t="s">
        <v>7188</v>
      </c>
      <c r="J9415" t="s">
        <v>37255</v>
      </c>
      <c r="K9415" t="s">
        <v>40665</v>
      </c>
      <c r="M9415" t="s">
        <v>43917</v>
      </c>
      <c r="N9415" t="s">
        <v>44905</v>
      </c>
      <c r="O9415" t="s">
        <v>44906</v>
      </c>
      <c r="P9415">
        <v>0</v>
      </c>
      <c r="Q9415">
        <v>0</v>
      </c>
      <c r="R9415" t="s">
        <v>44913</v>
      </c>
      <c r="S9415" t="s">
        <v>45170</v>
      </c>
      <c r="T9415" t="s">
        <v>46443</v>
      </c>
      <c r="U9415" t="s">
        <v>54506</v>
      </c>
      <c r="W9415" t="s">
        <v>43917</v>
      </c>
      <c r="X9415" t="s">
        <v>44914</v>
      </c>
    </row>
    <row r="9416" spans="1:24">
      <c r="A9416">
        <f>HYPERLINK("https://www.philgeps.gov.ph/GEPSNONPILOT/Tender/SplashBidNoticeAbstractUI.aspx?menuIndex=3&amp;refID=7071625&amp;Result=3","7071625")</f>
        <v>0</v>
      </c>
      <c r="B9416" t="s">
        <v>1373</v>
      </c>
      <c r="C9416" t="s">
        <v>12494</v>
      </c>
      <c r="D9416" t="s">
        <v>18109</v>
      </c>
      <c r="E9416" t="s">
        <v>26368</v>
      </c>
      <c r="F9416" t="s">
        <v>31362</v>
      </c>
      <c r="G9416" t="s">
        <v>31370</v>
      </c>
      <c r="H9416" t="s">
        <v>15799</v>
      </c>
      <c r="I9416" t="s">
        <v>31398</v>
      </c>
      <c r="J9416" t="s">
        <v>31577</v>
      </c>
      <c r="K9416" t="s">
        <v>40665</v>
      </c>
      <c r="M9416" t="s">
        <v>42396</v>
      </c>
      <c r="N9416" t="s">
        <v>44905</v>
      </c>
      <c r="O9416" t="s">
        <v>44906</v>
      </c>
      <c r="Q9416">
        <v>4</v>
      </c>
      <c r="R9416" t="s">
        <v>44913</v>
      </c>
      <c r="S9416" t="s">
        <v>45186</v>
      </c>
      <c r="T9416" t="s">
        <v>46454</v>
      </c>
      <c r="U9416" t="s">
        <v>49998</v>
      </c>
      <c r="W9416" t="s">
        <v>42396</v>
      </c>
      <c r="X9416" t="s">
        <v>44914</v>
      </c>
    </row>
    <row r="9417" spans="1:24">
      <c r="A9417">
        <f>HYPERLINK("https://www.philgeps.gov.ph/GEPSNONPILOT/Tender/SplashBidNoticeAbstractUI.aspx?menuIndex=3&amp;refID=7071715&amp;Result=3","7071715")</f>
        <v>0</v>
      </c>
      <c r="B9417" t="s">
        <v>268</v>
      </c>
      <c r="C9417" t="s">
        <v>12495</v>
      </c>
      <c r="D9417" t="s">
        <v>18165</v>
      </c>
      <c r="E9417" t="s">
        <v>26369</v>
      </c>
      <c r="F9417" t="s">
        <v>31362</v>
      </c>
      <c r="G9417" t="s">
        <v>31369</v>
      </c>
      <c r="H9417" t="s">
        <v>15799</v>
      </c>
      <c r="I9417" t="s">
        <v>31387</v>
      </c>
      <c r="J9417" t="s">
        <v>37256</v>
      </c>
      <c r="K9417" t="s">
        <v>40661</v>
      </c>
      <c r="M9417" t="s">
        <v>41210</v>
      </c>
      <c r="N9417" t="s">
        <v>44905</v>
      </c>
      <c r="O9417" t="s">
        <v>44906</v>
      </c>
      <c r="P9417">
        <v>0</v>
      </c>
      <c r="Q9417">
        <v>0</v>
      </c>
      <c r="R9417" t="s">
        <v>44913</v>
      </c>
      <c r="S9417" t="s">
        <v>45170</v>
      </c>
      <c r="T9417" t="s">
        <v>46411</v>
      </c>
      <c r="U9417" t="s">
        <v>54507</v>
      </c>
      <c r="V9417" t="s">
        <v>60027</v>
      </c>
      <c r="W9417" t="s">
        <v>41210</v>
      </c>
      <c r="X9417" t="s">
        <v>44914</v>
      </c>
    </row>
    <row r="9418" spans="1:24">
      <c r="A9418">
        <f>HYPERLINK("https://www.philgeps.gov.ph/GEPSNONPILOT/Tender/SplashBidNoticeAbstractUI.aspx?menuIndex=3&amp;refID=7071756&amp;Result=3","7071756")</f>
        <v>0</v>
      </c>
      <c r="B9418" t="s">
        <v>623</v>
      </c>
      <c r="C9418" t="s">
        <v>12496</v>
      </c>
      <c r="D9418" t="s">
        <v>18146</v>
      </c>
      <c r="E9418" t="s">
        <v>26370</v>
      </c>
      <c r="F9418" t="s">
        <v>31362</v>
      </c>
      <c r="G9418" t="s">
        <v>31369</v>
      </c>
      <c r="H9418" t="s">
        <v>15799</v>
      </c>
      <c r="I9418" t="s">
        <v>7090</v>
      </c>
      <c r="J9418" t="s">
        <v>31625</v>
      </c>
      <c r="K9418" t="s">
        <v>40679</v>
      </c>
      <c r="M9418" t="s">
        <v>41582</v>
      </c>
      <c r="N9418" t="s">
        <v>44905</v>
      </c>
      <c r="O9418" t="s">
        <v>44906</v>
      </c>
      <c r="P9418">
        <v>0</v>
      </c>
      <c r="Q9418">
        <v>1</v>
      </c>
      <c r="R9418" t="s">
        <v>44913</v>
      </c>
      <c r="S9418" t="s">
        <v>45170</v>
      </c>
      <c r="T9418" t="s">
        <v>46671</v>
      </c>
      <c r="U9418" t="s">
        <v>54508</v>
      </c>
      <c r="V9418" t="s">
        <v>59216</v>
      </c>
      <c r="W9418" t="s">
        <v>41582</v>
      </c>
      <c r="X9418" t="s">
        <v>44914</v>
      </c>
    </row>
    <row r="9419" spans="1:24">
      <c r="A9419">
        <f>HYPERLINK("https://www.philgeps.gov.ph/GEPSNONPILOT/Tender/SplashBidNoticeAbstractUI.aspx?menuIndex=3&amp;refID=7071748&amp;Result=3","7071748")</f>
        <v>0</v>
      </c>
      <c r="B9419" t="s">
        <v>2024</v>
      </c>
      <c r="C9419" t="s">
        <v>12497</v>
      </c>
      <c r="D9419" t="s">
        <v>18108</v>
      </c>
      <c r="E9419" t="s">
        <v>26371</v>
      </c>
      <c r="F9419" t="s">
        <v>31362</v>
      </c>
      <c r="G9419" t="s">
        <v>31368</v>
      </c>
      <c r="H9419" t="s">
        <v>15799</v>
      </c>
      <c r="I9419" t="s">
        <v>31408</v>
      </c>
      <c r="J9419" t="s">
        <v>37257</v>
      </c>
      <c r="K9419" t="s">
        <v>40682</v>
      </c>
      <c r="M9419" t="s">
        <v>43918</v>
      </c>
      <c r="N9419" t="s">
        <v>44905</v>
      </c>
      <c r="O9419" t="s">
        <v>44906</v>
      </c>
      <c r="P9419">
        <v>0</v>
      </c>
      <c r="Q9419">
        <v>6</v>
      </c>
      <c r="R9419" t="s">
        <v>44913</v>
      </c>
      <c r="S9419" t="s">
        <v>45170</v>
      </c>
      <c r="T9419" t="s">
        <v>46434</v>
      </c>
      <c r="U9419" t="s">
        <v>46933</v>
      </c>
      <c r="W9419" t="s">
        <v>43918</v>
      </c>
      <c r="X9419" t="s">
        <v>44914</v>
      </c>
    </row>
    <row r="9420" spans="1:24">
      <c r="A9420">
        <f>HYPERLINK("https://www.philgeps.gov.ph/GEPSNONPILOT/Tender/SplashBidNoticeAbstractUI.aspx?menuIndex=3&amp;refID=7071747&amp;Result=3","7071747")</f>
        <v>0</v>
      </c>
      <c r="B9420" t="s">
        <v>756</v>
      </c>
      <c r="C9420" t="s">
        <v>12498</v>
      </c>
      <c r="D9420" t="s">
        <v>18123</v>
      </c>
      <c r="E9420" t="s">
        <v>26372</v>
      </c>
      <c r="F9420" t="s">
        <v>31362</v>
      </c>
      <c r="G9420" t="s">
        <v>31369</v>
      </c>
      <c r="H9420" t="s">
        <v>15799</v>
      </c>
      <c r="I9420" t="s">
        <v>31385</v>
      </c>
      <c r="J9420" t="s">
        <v>37258</v>
      </c>
      <c r="K9420" t="s">
        <v>40666</v>
      </c>
      <c r="M9420" t="s">
        <v>41724</v>
      </c>
      <c r="N9420" t="s">
        <v>44905</v>
      </c>
      <c r="O9420" t="s">
        <v>44906</v>
      </c>
      <c r="P9420">
        <v>0</v>
      </c>
      <c r="Q9420">
        <v>4</v>
      </c>
      <c r="R9420" t="s">
        <v>44913</v>
      </c>
      <c r="S9420" t="s">
        <v>45170</v>
      </c>
      <c r="T9420" t="s">
        <v>46409</v>
      </c>
      <c r="U9420" t="s">
        <v>47749</v>
      </c>
      <c r="W9420" t="s">
        <v>41724</v>
      </c>
      <c r="X9420" t="s">
        <v>44914</v>
      </c>
    </row>
    <row r="9421" spans="1:24">
      <c r="A9421">
        <f>HYPERLINK("https://www.philgeps.gov.ph/GEPSNONPILOT/Tender/SplashBidNoticeAbstractUI.aspx?menuIndex=3&amp;refID=7071746&amp;Result=3","7071746")</f>
        <v>0</v>
      </c>
      <c r="B9421" t="s">
        <v>2731</v>
      </c>
      <c r="C9421" t="s">
        <v>12499</v>
      </c>
      <c r="D9421" t="s">
        <v>18117</v>
      </c>
      <c r="E9421" t="s">
        <v>26373</v>
      </c>
      <c r="F9421" t="s">
        <v>31362</v>
      </c>
      <c r="G9421" t="s">
        <v>31369</v>
      </c>
      <c r="H9421" t="s">
        <v>15799</v>
      </c>
      <c r="I9421" t="s">
        <v>31386</v>
      </c>
      <c r="J9421" t="s">
        <v>37259</v>
      </c>
      <c r="K9421" t="s">
        <v>40665</v>
      </c>
      <c r="M9421" t="s">
        <v>43919</v>
      </c>
      <c r="N9421" t="s">
        <v>44905</v>
      </c>
      <c r="O9421" t="s">
        <v>44906</v>
      </c>
      <c r="P9421">
        <v>0</v>
      </c>
      <c r="Q9421">
        <v>1</v>
      </c>
      <c r="R9421" t="s">
        <v>44913</v>
      </c>
      <c r="S9421" t="s">
        <v>45170</v>
      </c>
      <c r="T9421" t="s">
        <v>46447</v>
      </c>
      <c r="U9421" t="s">
        <v>54509</v>
      </c>
      <c r="V9421" t="s">
        <v>60028</v>
      </c>
      <c r="W9421" t="s">
        <v>43919</v>
      </c>
      <c r="X9421" t="s">
        <v>44914</v>
      </c>
    </row>
    <row r="9422" spans="1:24">
      <c r="A9422">
        <f>HYPERLINK("https://www.philgeps.gov.ph/GEPSNONPILOT/Tender/SplashBidNoticeAbstractUI.aspx?menuIndex=3&amp;refID=7071734&amp;Result=3","7071734")</f>
        <v>0</v>
      </c>
      <c r="B9422" t="s">
        <v>2730</v>
      </c>
      <c r="C9422" t="s">
        <v>12500</v>
      </c>
      <c r="D9422" t="s">
        <v>18139</v>
      </c>
      <c r="E9422" t="s">
        <v>26367</v>
      </c>
      <c r="F9422" t="s">
        <v>31362</v>
      </c>
      <c r="G9422" t="s">
        <v>31369</v>
      </c>
      <c r="H9422" t="s">
        <v>15799</v>
      </c>
      <c r="I9422" t="s">
        <v>31396</v>
      </c>
      <c r="J9422" t="s">
        <v>31734</v>
      </c>
      <c r="K9422" t="s">
        <v>40666</v>
      </c>
      <c r="M9422" t="s">
        <v>43917</v>
      </c>
      <c r="N9422" t="s">
        <v>44905</v>
      </c>
      <c r="O9422" t="s">
        <v>44906</v>
      </c>
      <c r="P9422">
        <v>0</v>
      </c>
      <c r="Q9422">
        <v>2</v>
      </c>
      <c r="R9422" t="s">
        <v>44913</v>
      </c>
      <c r="S9422" t="s">
        <v>45170</v>
      </c>
      <c r="T9422" t="s">
        <v>46443</v>
      </c>
      <c r="U9422" t="s">
        <v>54510</v>
      </c>
      <c r="W9422" t="s">
        <v>43917</v>
      </c>
      <c r="X9422" t="s">
        <v>44914</v>
      </c>
    </row>
    <row r="9423" spans="1:24">
      <c r="A9423">
        <f>HYPERLINK("https://www.philgeps.gov.ph/GEPSNONPILOT/Tender/SplashBidNoticeAbstractUI.aspx?menuIndex=3&amp;refID=7071733&amp;Result=3","7071733")</f>
        <v>0</v>
      </c>
      <c r="B9423" t="s">
        <v>1373</v>
      </c>
      <c r="C9423" t="s">
        <v>12501</v>
      </c>
      <c r="D9423" t="s">
        <v>18109</v>
      </c>
      <c r="E9423" t="s">
        <v>26374</v>
      </c>
      <c r="F9423" t="s">
        <v>31362</v>
      </c>
      <c r="G9423" t="s">
        <v>31368</v>
      </c>
      <c r="H9423" t="s">
        <v>15799</v>
      </c>
      <c r="I9423" t="s">
        <v>31511</v>
      </c>
      <c r="J9423" t="s">
        <v>31536</v>
      </c>
      <c r="K9423" t="s">
        <v>40662</v>
      </c>
      <c r="M9423" t="s">
        <v>42396</v>
      </c>
      <c r="N9423" t="s">
        <v>44905</v>
      </c>
      <c r="O9423" t="s">
        <v>44906</v>
      </c>
      <c r="Q9423">
        <v>0</v>
      </c>
      <c r="R9423" t="s">
        <v>44913</v>
      </c>
      <c r="S9423" t="s">
        <v>45187</v>
      </c>
      <c r="T9423" t="s">
        <v>46454</v>
      </c>
      <c r="U9423" t="s">
        <v>49998</v>
      </c>
      <c r="W9423" t="s">
        <v>42396</v>
      </c>
      <c r="X9423" t="s">
        <v>44914</v>
      </c>
    </row>
    <row r="9424" spans="1:24">
      <c r="A9424">
        <f>HYPERLINK("https://www.philgeps.gov.ph/GEPSNONPILOT/Tender/SplashBidNoticeAbstractUI.aspx?menuIndex=3&amp;refID=7071699&amp;Result=3","7071699")</f>
        <v>0</v>
      </c>
      <c r="B9424" t="s">
        <v>2732</v>
      </c>
      <c r="C9424" t="s">
        <v>12502</v>
      </c>
      <c r="D9424" t="s">
        <v>18148</v>
      </c>
      <c r="E9424" t="s">
        <v>26375</v>
      </c>
      <c r="F9424" t="s">
        <v>31362</v>
      </c>
      <c r="G9424" t="s">
        <v>31369</v>
      </c>
      <c r="H9424" t="s">
        <v>15799</v>
      </c>
      <c r="I9424" t="s">
        <v>31464</v>
      </c>
      <c r="J9424" t="s">
        <v>37260</v>
      </c>
      <c r="K9424" t="s">
        <v>40666</v>
      </c>
      <c r="M9424" t="s">
        <v>43920</v>
      </c>
      <c r="N9424" t="s">
        <v>44905</v>
      </c>
      <c r="O9424" t="s">
        <v>44906</v>
      </c>
      <c r="P9424">
        <v>0</v>
      </c>
      <c r="Q9424">
        <v>1</v>
      </c>
      <c r="R9424" t="s">
        <v>44913</v>
      </c>
      <c r="S9424" t="s">
        <v>45170</v>
      </c>
      <c r="T9424" t="s">
        <v>46554</v>
      </c>
      <c r="U9424" t="s">
        <v>54511</v>
      </c>
      <c r="W9424" t="s">
        <v>43920</v>
      </c>
      <c r="X9424" t="s">
        <v>44914</v>
      </c>
    </row>
    <row r="9425" spans="1:24">
      <c r="A9425">
        <f>HYPERLINK("https://www.philgeps.gov.ph/GEPSNONPILOT/Tender/SplashBidNoticeAbstractUI.aspx?menuIndex=3&amp;refID=7071810&amp;Result=3","7071810")</f>
        <v>0</v>
      </c>
      <c r="B9425" t="s">
        <v>2733</v>
      </c>
      <c r="C9425" t="s">
        <v>12503</v>
      </c>
      <c r="E9425" t="s">
        <v>26376</v>
      </c>
      <c r="F9425" t="s">
        <v>31362</v>
      </c>
      <c r="G9425" t="s">
        <v>31369</v>
      </c>
      <c r="H9425" t="s">
        <v>15799</v>
      </c>
      <c r="I9425" t="s">
        <v>6155</v>
      </c>
      <c r="J9425" t="s">
        <v>31983</v>
      </c>
      <c r="K9425" t="s">
        <v>40662</v>
      </c>
      <c r="M9425" t="s">
        <v>43921</v>
      </c>
      <c r="N9425" t="s">
        <v>44905</v>
      </c>
      <c r="O9425" t="s">
        <v>44906</v>
      </c>
      <c r="P9425">
        <v>0</v>
      </c>
      <c r="Q9425">
        <v>3</v>
      </c>
      <c r="R9425" t="s">
        <v>44913</v>
      </c>
      <c r="S9425" t="s">
        <v>45170</v>
      </c>
      <c r="T9425" t="s">
        <v>46625</v>
      </c>
      <c r="U9425" t="s">
        <v>54512</v>
      </c>
      <c r="W9425" t="s">
        <v>43921</v>
      </c>
      <c r="X9425" t="s">
        <v>44914</v>
      </c>
    </row>
    <row r="9426" spans="1:24">
      <c r="A9426">
        <f>HYPERLINK("https://www.philgeps.gov.ph/GEPSNONPILOT/Tender/SplashBidNoticeAbstractUI.aspx?menuIndex=3&amp;refID=7071682&amp;Result=3","7071682")</f>
        <v>0</v>
      </c>
      <c r="B9426" t="s">
        <v>2734</v>
      </c>
      <c r="C9426" t="s">
        <v>12504</v>
      </c>
      <c r="D9426" t="s">
        <v>18104</v>
      </c>
      <c r="E9426" t="s">
        <v>26377</v>
      </c>
      <c r="F9426" t="s">
        <v>31362</v>
      </c>
      <c r="G9426" t="s">
        <v>31369</v>
      </c>
      <c r="H9426" t="s">
        <v>15799</v>
      </c>
      <c r="I9426" t="s">
        <v>3815</v>
      </c>
      <c r="J9426" t="s">
        <v>37261</v>
      </c>
      <c r="K9426" t="s">
        <v>40662</v>
      </c>
      <c r="M9426" t="s">
        <v>43922</v>
      </c>
      <c r="N9426" t="s">
        <v>44905</v>
      </c>
      <c r="O9426" t="s">
        <v>44906</v>
      </c>
      <c r="P9426">
        <v>0</v>
      </c>
      <c r="Q9426">
        <v>0</v>
      </c>
      <c r="R9426" t="s">
        <v>44913</v>
      </c>
      <c r="S9426" t="s">
        <v>45170</v>
      </c>
      <c r="T9426" t="s">
        <v>46626</v>
      </c>
      <c r="U9426" t="s">
        <v>54513</v>
      </c>
      <c r="W9426" t="s">
        <v>43922</v>
      </c>
      <c r="X9426" t="s">
        <v>44914</v>
      </c>
    </row>
    <row r="9427" spans="1:24">
      <c r="A9427">
        <f>HYPERLINK("https://www.philgeps.gov.ph/GEPSNONPILOT/Tender/SplashBidNoticeAbstractUI.aspx?menuIndex=3&amp;refID=7071784&amp;Result=3","7071784")</f>
        <v>0</v>
      </c>
      <c r="B9427" t="s">
        <v>2735</v>
      </c>
      <c r="C9427" t="s">
        <v>12499</v>
      </c>
      <c r="D9427" t="s">
        <v>18117</v>
      </c>
      <c r="E9427" t="s">
        <v>26378</v>
      </c>
      <c r="F9427" t="s">
        <v>31362</v>
      </c>
      <c r="G9427" t="s">
        <v>31369</v>
      </c>
      <c r="H9427" t="s">
        <v>31378</v>
      </c>
      <c r="I9427" t="s">
        <v>31386</v>
      </c>
      <c r="J9427" t="s">
        <v>37262</v>
      </c>
      <c r="K9427" t="s">
        <v>40665</v>
      </c>
      <c r="M9427" t="s">
        <v>43923</v>
      </c>
      <c r="N9427" t="s">
        <v>44905</v>
      </c>
      <c r="O9427" t="s">
        <v>44906</v>
      </c>
      <c r="P9427">
        <v>0</v>
      </c>
      <c r="Q9427">
        <v>1</v>
      </c>
      <c r="R9427" t="s">
        <v>44913</v>
      </c>
      <c r="S9427" t="s">
        <v>45170</v>
      </c>
      <c r="T9427" t="s">
        <v>46435</v>
      </c>
      <c r="U9427" t="s">
        <v>54509</v>
      </c>
      <c r="V9427" t="s">
        <v>60029</v>
      </c>
      <c r="W9427" t="s">
        <v>43923</v>
      </c>
      <c r="X9427" t="s">
        <v>44914</v>
      </c>
    </row>
    <row r="9428" spans="1:24">
      <c r="A9428">
        <f>HYPERLINK("https://www.philgeps.gov.ph/GEPSNONPILOT/Tender/SplashBidNoticeAbstractUI.aspx?menuIndex=3&amp;refID=7071703&amp;Result=3","7071703")</f>
        <v>0</v>
      </c>
      <c r="B9428" t="s">
        <v>1886</v>
      </c>
      <c r="C9428" t="s">
        <v>12505</v>
      </c>
      <c r="D9428" t="s">
        <v>18174</v>
      </c>
      <c r="E9428" t="s">
        <v>26379</v>
      </c>
      <c r="F9428" t="s">
        <v>31362</v>
      </c>
      <c r="G9428" t="s">
        <v>31369</v>
      </c>
      <c r="H9428" t="s">
        <v>15799</v>
      </c>
      <c r="I9428" t="s">
        <v>7090</v>
      </c>
      <c r="J9428" t="s">
        <v>37263</v>
      </c>
      <c r="K9428" t="s">
        <v>40662</v>
      </c>
      <c r="M9428" t="s">
        <v>42980</v>
      </c>
      <c r="N9428" t="s">
        <v>44905</v>
      </c>
      <c r="O9428" t="s">
        <v>44906</v>
      </c>
      <c r="P9428">
        <v>0</v>
      </c>
      <c r="Q9428">
        <v>0</v>
      </c>
      <c r="R9428" t="s">
        <v>44913</v>
      </c>
      <c r="S9428" t="s">
        <v>45170</v>
      </c>
      <c r="T9428" t="s">
        <v>46428</v>
      </c>
      <c r="U9428" t="s">
        <v>54514</v>
      </c>
      <c r="W9428" t="s">
        <v>42980</v>
      </c>
      <c r="X9428" t="s">
        <v>44914</v>
      </c>
    </row>
    <row r="9429" spans="1:24">
      <c r="A9429">
        <f>HYPERLINK("https://www.philgeps.gov.ph/GEPSNONPILOT/Tender/SplashBidNoticeAbstractUI.aspx?menuIndex=3&amp;refID=7071782&amp;Result=3","7071782")</f>
        <v>0</v>
      </c>
      <c r="B9429" t="s">
        <v>2734</v>
      </c>
      <c r="C9429" t="s">
        <v>12506</v>
      </c>
      <c r="D9429" t="s">
        <v>18104</v>
      </c>
      <c r="E9429" t="s">
        <v>26380</v>
      </c>
      <c r="F9429" t="s">
        <v>31362</v>
      </c>
      <c r="G9429" t="s">
        <v>31369</v>
      </c>
      <c r="H9429" t="s">
        <v>15799</v>
      </c>
      <c r="I9429" t="s">
        <v>31396</v>
      </c>
      <c r="J9429" t="s">
        <v>31734</v>
      </c>
      <c r="K9429" t="s">
        <v>40662</v>
      </c>
      <c r="M9429" t="s">
        <v>43922</v>
      </c>
      <c r="N9429" t="s">
        <v>44905</v>
      </c>
      <c r="O9429" t="s">
        <v>44906</v>
      </c>
      <c r="P9429">
        <v>0</v>
      </c>
      <c r="Q9429">
        <v>7</v>
      </c>
      <c r="R9429" t="s">
        <v>44913</v>
      </c>
      <c r="S9429" t="s">
        <v>45170</v>
      </c>
      <c r="T9429" t="s">
        <v>46626</v>
      </c>
      <c r="U9429" t="s">
        <v>54515</v>
      </c>
      <c r="W9429" t="s">
        <v>43922</v>
      </c>
      <c r="X9429" t="s">
        <v>44914</v>
      </c>
    </row>
    <row r="9430" spans="1:24">
      <c r="A9430">
        <f>HYPERLINK("https://www.philgeps.gov.ph/GEPSNONPILOT/Tender/SplashBidNoticeAbstractUI.aspx?menuIndex=3&amp;refID=7071736&amp;Result=3","7071736")</f>
        <v>0</v>
      </c>
      <c r="B9430" t="s">
        <v>1336</v>
      </c>
      <c r="C9430" t="s">
        <v>12507</v>
      </c>
      <c r="D9430" t="s">
        <v>18154</v>
      </c>
      <c r="E9430" t="s">
        <v>26381</v>
      </c>
      <c r="F9430" t="s">
        <v>31362</v>
      </c>
      <c r="G9430" t="s">
        <v>31369</v>
      </c>
      <c r="H9430" t="s">
        <v>15799</v>
      </c>
      <c r="I9430" t="s">
        <v>7188</v>
      </c>
      <c r="J9430" t="s">
        <v>31564</v>
      </c>
      <c r="K9430" t="s">
        <v>40662</v>
      </c>
      <c r="M9430" t="s">
        <v>42354</v>
      </c>
      <c r="N9430" t="s">
        <v>44905</v>
      </c>
      <c r="O9430" t="s">
        <v>44906</v>
      </c>
      <c r="P9430">
        <v>0</v>
      </c>
      <c r="Q9430">
        <v>1</v>
      </c>
      <c r="R9430" t="s">
        <v>44913</v>
      </c>
      <c r="S9430" t="s">
        <v>45170</v>
      </c>
      <c r="T9430" t="s">
        <v>46411</v>
      </c>
      <c r="U9430" t="s">
        <v>49880</v>
      </c>
      <c r="W9430" t="s">
        <v>42354</v>
      </c>
      <c r="X9430" t="s">
        <v>44914</v>
      </c>
    </row>
    <row r="9431" spans="1:24">
      <c r="A9431">
        <f>HYPERLINK("https://www.philgeps.gov.ph/GEPSNONPILOT/Tender/SplashBidNoticeAbstractUI.aspx?menuIndex=3&amp;refID=7071730&amp;Result=3","7071730")</f>
        <v>0</v>
      </c>
      <c r="B9431" t="s">
        <v>122</v>
      </c>
      <c r="C9431" t="s">
        <v>12508</v>
      </c>
      <c r="D9431" t="s">
        <v>18108</v>
      </c>
      <c r="E9431" t="s">
        <v>26382</v>
      </c>
      <c r="F9431" t="s">
        <v>31362</v>
      </c>
      <c r="G9431" t="s">
        <v>31371</v>
      </c>
      <c r="H9431" t="s">
        <v>15799</v>
      </c>
      <c r="I9431" t="s">
        <v>31476</v>
      </c>
      <c r="J9431" t="s">
        <v>31890</v>
      </c>
      <c r="K9431" t="s">
        <v>40666</v>
      </c>
      <c r="M9431" t="s">
        <v>43854</v>
      </c>
      <c r="N9431" t="s">
        <v>44905</v>
      </c>
      <c r="O9431" t="s">
        <v>44906</v>
      </c>
      <c r="P9431">
        <v>0</v>
      </c>
      <c r="Q9431">
        <v>8</v>
      </c>
      <c r="R9431" t="s">
        <v>44913</v>
      </c>
      <c r="S9431" t="s">
        <v>45170</v>
      </c>
      <c r="T9431" t="s">
        <v>46410</v>
      </c>
      <c r="U9431" t="s">
        <v>54306</v>
      </c>
      <c r="V9431" t="s">
        <v>59995</v>
      </c>
      <c r="W9431" t="s">
        <v>43854</v>
      </c>
      <c r="X9431" t="s">
        <v>44914</v>
      </c>
    </row>
    <row r="9432" spans="1:24">
      <c r="A9432">
        <f>HYPERLINK("https://www.philgeps.gov.ph/GEPSNONPILOT/Tender/SplashBidNoticeAbstractUI.aspx?menuIndex=3&amp;refID=7071724&amp;Result=3","7071724")</f>
        <v>0</v>
      </c>
      <c r="B9432" t="s">
        <v>2300</v>
      </c>
      <c r="C9432" t="s">
        <v>12509</v>
      </c>
      <c r="D9432" t="s">
        <v>18148</v>
      </c>
      <c r="E9432" t="s">
        <v>26383</v>
      </c>
      <c r="F9432" t="s">
        <v>31362</v>
      </c>
      <c r="G9432" t="s">
        <v>31369</v>
      </c>
      <c r="H9432" t="s">
        <v>15799</v>
      </c>
      <c r="I9432" t="s">
        <v>31426</v>
      </c>
      <c r="J9432" t="s">
        <v>37264</v>
      </c>
      <c r="K9432" t="s">
        <v>40679</v>
      </c>
      <c r="M9432" t="s">
        <v>43515</v>
      </c>
      <c r="N9432" t="s">
        <v>44905</v>
      </c>
      <c r="O9432" t="s">
        <v>44906</v>
      </c>
      <c r="P9432">
        <v>0</v>
      </c>
      <c r="Q9432">
        <v>6</v>
      </c>
      <c r="R9432" t="s">
        <v>44913</v>
      </c>
      <c r="S9432" t="s">
        <v>45170</v>
      </c>
      <c r="T9432" t="s">
        <v>46450</v>
      </c>
      <c r="U9432" t="s">
        <v>54419</v>
      </c>
      <c r="W9432" t="s">
        <v>43515</v>
      </c>
      <c r="X9432" t="s">
        <v>44914</v>
      </c>
    </row>
    <row r="9433" spans="1:24">
      <c r="A9433">
        <f>HYPERLINK("https://www.philgeps.gov.ph/GEPSNONPILOT/Tender/SplashBidNoticeAbstractUI.aspx?menuIndex=3&amp;refID=7071722&amp;Result=3","7071722")</f>
        <v>0</v>
      </c>
      <c r="B9433" t="s">
        <v>367</v>
      </c>
      <c r="C9433" t="s">
        <v>12510</v>
      </c>
      <c r="D9433" t="s">
        <v>18134</v>
      </c>
      <c r="E9433" t="s">
        <v>26384</v>
      </c>
      <c r="F9433" t="s">
        <v>31362</v>
      </c>
      <c r="G9433" t="s">
        <v>31368</v>
      </c>
      <c r="H9433" t="s">
        <v>15799</v>
      </c>
      <c r="I9433" t="s">
        <v>3815</v>
      </c>
      <c r="J9433" t="s">
        <v>37265</v>
      </c>
      <c r="K9433" t="s">
        <v>40677</v>
      </c>
      <c r="M9433" t="s">
        <v>41314</v>
      </c>
      <c r="N9433" t="s">
        <v>44905</v>
      </c>
      <c r="O9433" t="s">
        <v>44906</v>
      </c>
      <c r="P9433">
        <v>0</v>
      </c>
      <c r="Q9433">
        <v>0</v>
      </c>
      <c r="R9433" t="s">
        <v>44913</v>
      </c>
      <c r="S9433" t="s">
        <v>45170</v>
      </c>
      <c r="T9433" t="s">
        <v>46447</v>
      </c>
      <c r="U9433" t="s">
        <v>54516</v>
      </c>
      <c r="W9433" t="s">
        <v>41314</v>
      </c>
      <c r="X9433" t="s">
        <v>44914</v>
      </c>
    </row>
    <row r="9434" spans="1:24">
      <c r="A9434">
        <f>HYPERLINK("https://www.philgeps.gov.ph/GEPSNONPILOT/Tender/SplashBidNoticeAbstractUI.aspx?menuIndex=3&amp;refID=7071809&amp;Result=3","7071809")</f>
        <v>0</v>
      </c>
      <c r="B9434" t="s">
        <v>2024</v>
      </c>
      <c r="C9434" t="s">
        <v>12511</v>
      </c>
      <c r="D9434" t="s">
        <v>18108</v>
      </c>
      <c r="E9434" t="s">
        <v>26385</v>
      </c>
      <c r="F9434" t="s">
        <v>31362</v>
      </c>
      <c r="G9434" t="s">
        <v>31368</v>
      </c>
      <c r="H9434" t="s">
        <v>15799</v>
      </c>
      <c r="I9434" t="s">
        <v>31408</v>
      </c>
      <c r="J9434" t="s">
        <v>32063</v>
      </c>
      <c r="K9434" t="s">
        <v>40682</v>
      </c>
      <c r="M9434" t="s">
        <v>43918</v>
      </c>
      <c r="N9434" t="s">
        <v>44905</v>
      </c>
      <c r="O9434" t="s">
        <v>44906</v>
      </c>
      <c r="P9434">
        <v>0</v>
      </c>
      <c r="Q9434">
        <v>12</v>
      </c>
      <c r="R9434" t="s">
        <v>44913</v>
      </c>
      <c r="S9434" t="s">
        <v>45170</v>
      </c>
      <c r="T9434" t="s">
        <v>46414</v>
      </c>
      <c r="U9434" t="s">
        <v>46933</v>
      </c>
      <c r="W9434" t="s">
        <v>43918</v>
      </c>
      <c r="X9434" t="s">
        <v>44914</v>
      </c>
    </row>
    <row r="9435" spans="1:24">
      <c r="A9435">
        <f>HYPERLINK("https://www.philgeps.gov.ph/GEPSNONPILOT/Tender/SplashBidNoticeAbstractUI.aspx?menuIndex=3&amp;refID=7071721&amp;Result=3","7071721")</f>
        <v>0</v>
      </c>
      <c r="B9435" t="s">
        <v>1336</v>
      </c>
      <c r="C9435" t="s">
        <v>12512</v>
      </c>
      <c r="D9435" t="s">
        <v>18154</v>
      </c>
      <c r="E9435" t="s">
        <v>26386</v>
      </c>
      <c r="F9435" t="s">
        <v>31362</v>
      </c>
      <c r="G9435" t="s">
        <v>31369</v>
      </c>
      <c r="H9435" t="s">
        <v>15799</v>
      </c>
      <c r="I9435" t="s">
        <v>31385</v>
      </c>
      <c r="J9435" t="s">
        <v>37266</v>
      </c>
      <c r="K9435" t="s">
        <v>40662</v>
      </c>
      <c r="M9435" t="s">
        <v>42354</v>
      </c>
      <c r="N9435" t="s">
        <v>44905</v>
      </c>
      <c r="O9435" t="s">
        <v>44906</v>
      </c>
      <c r="P9435">
        <v>0</v>
      </c>
      <c r="Q9435">
        <v>0</v>
      </c>
      <c r="R9435" t="s">
        <v>44913</v>
      </c>
      <c r="S9435" t="s">
        <v>45170</v>
      </c>
      <c r="T9435" t="s">
        <v>46411</v>
      </c>
      <c r="U9435" t="s">
        <v>49880</v>
      </c>
      <c r="W9435" t="s">
        <v>42354</v>
      </c>
      <c r="X9435" t="s">
        <v>44914</v>
      </c>
    </row>
    <row r="9436" spans="1:24">
      <c r="A9436">
        <f>HYPERLINK("https://www.philgeps.gov.ph/GEPSNONPILOT/Tender/SplashBidNoticeAbstractUI.aspx?menuIndex=3&amp;refID=7071815&amp;Result=3","7071815")</f>
        <v>0</v>
      </c>
      <c r="B9436" t="s">
        <v>2708</v>
      </c>
      <c r="C9436" t="s">
        <v>12513</v>
      </c>
      <c r="D9436" t="s">
        <v>18131</v>
      </c>
      <c r="E9436" t="s">
        <v>24893</v>
      </c>
      <c r="F9436" t="s">
        <v>31362</v>
      </c>
      <c r="G9436" t="s">
        <v>31369</v>
      </c>
      <c r="H9436" t="s">
        <v>31379</v>
      </c>
      <c r="I9436" t="s">
        <v>31386</v>
      </c>
      <c r="J9436" t="s">
        <v>31520</v>
      </c>
      <c r="K9436" t="s">
        <v>40679</v>
      </c>
      <c r="M9436" t="s">
        <v>43894</v>
      </c>
      <c r="N9436" t="s">
        <v>44905</v>
      </c>
      <c r="O9436" t="s">
        <v>44906</v>
      </c>
      <c r="P9436">
        <v>0</v>
      </c>
      <c r="Q9436">
        <v>6</v>
      </c>
      <c r="R9436" t="s">
        <v>44913</v>
      </c>
      <c r="S9436" t="s">
        <v>45170</v>
      </c>
      <c r="T9436" t="s">
        <v>46409</v>
      </c>
      <c r="U9436" t="s">
        <v>54517</v>
      </c>
      <c r="W9436" t="s">
        <v>43894</v>
      </c>
      <c r="X9436" t="s">
        <v>44914</v>
      </c>
    </row>
    <row r="9437" spans="1:24">
      <c r="A9437">
        <f>HYPERLINK("https://www.philgeps.gov.ph/GEPSNONPILOT/Tender/SplashBidNoticeAbstractUI.aspx?menuIndex=3&amp;refID=7071790&amp;Result=3","7071790")</f>
        <v>0</v>
      </c>
      <c r="B9437" t="s">
        <v>1952</v>
      </c>
      <c r="C9437" t="s">
        <v>12514</v>
      </c>
      <c r="D9437" t="s">
        <v>18114</v>
      </c>
      <c r="E9437" t="s">
        <v>26387</v>
      </c>
      <c r="F9437" t="s">
        <v>31362</v>
      </c>
      <c r="G9437" t="s">
        <v>31369</v>
      </c>
      <c r="H9437" t="s">
        <v>31378</v>
      </c>
      <c r="I9437" t="s">
        <v>31386</v>
      </c>
      <c r="J9437" t="s">
        <v>37267</v>
      </c>
      <c r="K9437" t="s">
        <v>40684</v>
      </c>
      <c r="M9437" t="s">
        <v>43057</v>
      </c>
      <c r="N9437" t="s">
        <v>44905</v>
      </c>
      <c r="O9437" t="s">
        <v>44906</v>
      </c>
      <c r="P9437">
        <v>0</v>
      </c>
      <c r="Q9437">
        <v>20</v>
      </c>
      <c r="R9437" t="s">
        <v>44913</v>
      </c>
      <c r="S9437" t="s">
        <v>45170</v>
      </c>
      <c r="T9437" t="s">
        <v>46504</v>
      </c>
      <c r="U9437" t="s">
        <v>54518</v>
      </c>
      <c r="V9437" t="s">
        <v>59409</v>
      </c>
      <c r="W9437" t="s">
        <v>43057</v>
      </c>
      <c r="X9437" t="s">
        <v>44914</v>
      </c>
    </row>
    <row r="9438" spans="1:24">
      <c r="A9438">
        <f>HYPERLINK("https://www.philgeps.gov.ph/GEPSNONPILOT/Tender/SplashBidNoticeAbstractUI.aspx?menuIndex=3&amp;refID=7071859&amp;Result=3","7071859")</f>
        <v>0</v>
      </c>
      <c r="B9438" t="s">
        <v>2736</v>
      </c>
      <c r="C9438" t="s">
        <v>12515</v>
      </c>
      <c r="D9438" t="s">
        <v>18177</v>
      </c>
      <c r="E9438" t="s">
        <v>26388</v>
      </c>
      <c r="F9438" t="s">
        <v>31366</v>
      </c>
      <c r="G9438" t="s">
        <v>31369</v>
      </c>
      <c r="H9438" t="s">
        <v>15799</v>
      </c>
      <c r="I9438" t="s">
        <v>3815</v>
      </c>
      <c r="J9438" t="s">
        <v>37268</v>
      </c>
      <c r="K9438" t="s">
        <v>40666</v>
      </c>
      <c r="M9438" t="s">
        <v>43924</v>
      </c>
      <c r="N9438" t="s">
        <v>44905</v>
      </c>
      <c r="O9438" t="s">
        <v>44906</v>
      </c>
      <c r="P9438">
        <v>0</v>
      </c>
      <c r="Q9438">
        <v>0</v>
      </c>
      <c r="R9438" t="s">
        <v>44913</v>
      </c>
      <c r="S9438" t="s">
        <v>45170</v>
      </c>
      <c r="T9438" t="s">
        <v>46462</v>
      </c>
      <c r="U9438" t="s">
        <v>54519</v>
      </c>
      <c r="W9438" t="s">
        <v>43924</v>
      </c>
      <c r="X9438" t="s">
        <v>44914</v>
      </c>
    </row>
    <row r="9439" spans="1:24">
      <c r="A9439">
        <f>HYPERLINK("https://www.philgeps.gov.ph/GEPSNONPILOT/Tender/SplashBidNoticeAbstractUI.aspx?menuIndex=3&amp;refID=7071765&amp;Result=3","7071765")</f>
        <v>0</v>
      </c>
      <c r="B9439" t="s">
        <v>1952</v>
      </c>
      <c r="C9439" t="s">
        <v>12516</v>
      </c>
      <c r="D9439" t="s">
        <v>18114</v>
      </c>
      <c r="E9439" t="s">
        <v>26389</v>
      </c>
      <c r="F9439" t="s">
        <v>31362</v>
      </c>
      <c r="G9439" t="s">
        <v>31369</v>
      </c>
      <c r="H9439" t="s">
        <v>31378</v>
      </c>
      <c r="I9439" t="s">
        <v>31386</v>
      </c>
      <c r="J9439" t="s">
        <v>37269</v>
      </c>
      <c r="K9439" t="s">
        <v>40777</v>
      </c>
      <c r="M9439" t="s">
        <v>43057</v>
      </c>
      <c r="N9439" t="s">
        <v>44905</v>
      </c>
      <c r="O9439" t="s">
        <v>44906</v>
      </c>
      <c r="P9439">
        <v>0</v>
      </c>
      <c r="Q9439">
        <v>30</v>
      </c>
      <c r="R9439" t="s">
        <v>44913</v>
      </c>
      <c r="S9439" t="s">
        <v>45170</v>
      </c>
      <c r="T9439" t="s">
        <v>46504</v>
      </c>
      <c r="U9439" t="s">
        <v>54520</v>
      </c>
      <c r="V9439" t="s">
        <v>59409</v>
      </c>
      <c r="W9439" t="s">
        <v>43057</v>
      </c>
      <c r="X9439" t="s">
        <v>44914</v>
      </c>
    </row>
    <row r="9440" spans="1:24">
      <c r="A9440">
        <f>HYPERLINK("https://www.philgeps.gov.ph/GEPSNONPILOT/Tender/SplashBidNoticeAbstractUI.aspx?menuIndex=3&amp;refID=7071848&amp;Result=3","7071848")</f>
        <v>0</v>
      </c>
      <c r="B9440" t="s">
        <v>1952</v>
      </c>
      <c r="C9440" t="s">
        <v>12517</v>
      </c>
      <c r="D9440" t="s">
        <v>18114</v>
      </c>
      <c r="E9440" t="s">
        <v>26390</v>
      </c>
      <c r="F9440" t="s">
        <v>31362</v>
      </c>
      <c r="G9440" t="s">
        <v>31369</v>
      </c>
      <c r="H9440" t="s">
        <v>31378</v>
      </c>
      <c r="I9440" t="s">
        <v>31386</v>
      </c>
      <c r="J9440" t="s">
        <v>37270</v>
      </c>
      <c r="K9440" t="s">
        <v>40811</v>
      </c>
      <c r="M9440" t="s">
        <v>43057</v>
      </c>
      <c r="N9440" t="s">
        <v>44905</v>
      </c>
      <c r="O9440" t="s">
        <v>44906</v>
      </c>
      <c r="P9440">
        <v>0</v>
      </c>
      <c r="Q9440">
        <v>20</v>
      </c>
      <c r="R9440" t="s">
        <v>44913</v>
      </c>
      <c r="S9440" t="s">
        <v>45170</v>
      </c>
      <c r="T9440" t="s">
        <v>46504</v>
      </c>
      <c r="U9440" t="s">
        <v>54521</v>
      </c>
      <c r="V9440" t="s">
        <v>59409</v>
      </c>
      <c r="W9440" t="s">
        <v>43057</v>
      </c>
      <c r="X9440" t="s">
        <v>44914</v>
      </c>
    </row>
    <row r="9441" spans="1:24">
      <c r="A9441">
        <f>HYPERLINK("https://www.philgeps.gov.ph/GEPSNONPILOT/Tender/SplashBidNoticeAbstractUI.aspx?menuIndex=3&amp;refID=7071728&amp;Result=3","7071728")</f>
        <v>0</v>
      </c>
      <c r="B9441" t="s">
        <v>2729</v>
      </c>
      <c r="C9441" t="s">
        <v>12518</v>
      </c>
      <c r="D9441" t="s">
        <v>18119</v>
      </c>
      <c r="E9441" t="s">
        <v>26391</v>
      </c>
      <c r="F9441" t="s">
        <v>31362</v>
      </c>
      <c r="G9441" t="s">
        <v>31369</v>
      </c>
      <c r="H9441" t="s">
        <v>31378</v>
      </c>
      <c r="I9441" t="s">
        <v>31386</v>
      </c>
      <c r="J9441" t="s">
        <v>37271</v>
      </c>
      <c r="K9441" t="s">
        <v>40722</v>
      </c>
      <c r="L9441" t="s">
        <v>2729</v>
      </c>
      <c r="M9441" t="s">
        <v>43916</v>
      </c>
      <c r="N9441" t="s">
        <v>44905</v>
      </c>
      <c r="O9441" t="s">
        <v>44906</v>
      </c>
      <c r="P9441">
        <v>0</v>
      </c>
      <c r="Q9441">
        <v>13</v>
      </c>
      <c r="R9441" t="s">
        <v>44913</v>
      </c>
      <c r="S9441" t="s">
        <v>45170</v>
      </c>
      <c r="T9441" t="s">
        <v>46740</v>
      </c>
      <c r="U9441" t="s">
        <v>54505</v>
      </c>
      <c r="W9441" t="s">
        <v>43916</v>
      </c>
      <c r="X9441" t="s">
        <v>44914</v>
      </c>
    </row>
    <row r="9442" spans="1:24">
      <c r="A9442">
        <f>HYPERLINK("https://www.philgeps.gov.ph/GEPSNONPILOT/Tender/SplashBidNoticeAbstractUI.aspx?menuIndex=3&amp;refID=7071861&amp;Result=3","7071861")</f>
        <v>0</v>
      </c>
      <c r="B9442" t="s">
        <v>2727</v>
      </c>
      <c r="C9442" t="s">
        <v>12519</v>
      </c>
      <c r="D9442" t="s">
        <v>18117</v>
      </c>
      <c r="E9442" t="s">
        <v>26392</v>
      </c>
      <c r="F9442" t="s">
        <v>31362</v>
      </c>
      <c r="G9442" t="s">
        <v>31368</v>
      </c>
      <c r="H9442" t="s">
        <v>15799</v>
      </c>
      <c r="I9442" t="s">
        <v>7188</v>
      </c>
      <c r="J9442" t="s">
        <v>31577</v>
      </c>
      <c r="K9442" t="s">
        <v>40672</v>
      </c>
      <c r="M9442" t="s">
        <v>43914</v>
      </c>
      <c r="N9442" t="s">
        <v>44905</v>
      </c>
      <c r="O9442" t="s">
        <v>44906</v>
      </c>
      <c r="P9442">
        <v>0</v>
      </c>
      <c r="Q9442">
        <v>5</v>
      </c>
      <c r="R9442" t="s">
        <v>44913</v>
      </c>
      <c r="S9442" t="s">
        <v>45170</v>
      </c>
      <c r="T9442" t="s">
        <v>46478</v>
      </c>
      <c r="U9442" t="s">
        <v>54500</v>
      </c>
      <c r="W9442" t="s">
        <v>43914</v>
      </c>
      <c r="X9442" t="s">
        <v>44914</v>
      </c>
    </row>
    <row r="9443" spans="1:24">
      <c r="A9443">
        <f>HYPERLINK("https://www.philgeps.gov.ph/GEPSNONPILOT/Tender/SplashBidNoticeAbstractUI.aspx?menuIndex=3&amp;refID=7071879&amp;Result=3","7071879")</f>
        <v>0</v>
      </c>
      <c r="B9443" t="s">
        <v>2737</v>
      </c>
      <c r="C9443" t="s">
        <v>12520</v>
      </c>
      <c r="D9443" t="s">
        <v>18173</v>
      </c>
      <c r="E9443" t="s">
        <v>26393</v>
      </c>
      <c r="F9443" t="s">
        <v>31362</v>
      </c>
      <c r="G9443" t="s">
        <v>31369</v>
      </c>
      <c r="H9443" t="s">
        <v>15799</v>
      </c>
      <c r="I9443" t="s">
        <v>31409</v>
      </c>
      <c r="J9443" t="s">
        <v>31606</v>
      </c>
      <c r="K9443" t="s">
        <v>40666</v>
      </c>
      <c r="M9443" t="s">
        <v>43925</v>
      </c>
      <c r="N9443" t="s">
        <v>44905</v>
      </c>
      <c r="O9443" t="s">
        <v>44906</v>
      </c>
      <c r="P9443">
        <v>0</v>
      </c>
      <c r="Q9443">
        <v>5</v>
      </c>
      <c r="R9443" t="s">
        <v>44913</v>
      </c>
      <c r="S9443" t="s">
        <v>45170</v>
      </c>
      <c r="T9443" t="s">
        <v>46625</v>
      </c>
      <c r="U9443" t="s">
        <v>54522</v>
      </c>
      <c r="W9443" t="s">
        <v>43925</v>
      </c>
      <c r="X9443" t="s">
        <v>44914</v>
      </c>
    </row>
    <row r="9444" spans="1:24">
      <c r="A9444">
        <f>HYPERLINK("https://www.philgeps.gov.ph/GEPSNONPILOT/Tender/SplashBidNoticeAbstractUI.aspx?menuIndex=3&amp;refID=7071878&amp;Result=3","7071878")</f>
        <v>0</v>
      </c>
      <c r="B9444" t="s">
        <v>2309</v>
      </c>
      <c r="C9444" t="s">
        <v>12521</v>
      </c>
      <c r="D9444" t="s">
        <v>18172</v>
      </c>
      <c r="E9444" t="s">
        <v>19063</v>
      </c>
      <c r="F9444" t="s">
        <v>31362</v>
      </c>
      <c r="G9444" t="s">
        <v>31369</v>
      </c>
      <c r="H9444" t="s">
        <v>15799</v>
      </c>
      <c r="I9444" t="s">
        <v>3815</v>
      </c>
      <c r="J9444" t="s">
        <v>37272</v>
      </c>
      <c r="K9444" t="s">
        <v>40681</v>
      </c>
      <c r="M9444" t="s">
        <v>43449</v>
      </c>
      <c r="N9444" t="s">
        <v>44905</v>
      </c>
      <c r="O9444" t="s">
        <v>44906</v>
      </c>
      <c r="P9444">
        <v>0</v>
      </c>
      <c r="Q9444">
        <v>0</v>
      </c>
      <c r="R9444" t="s">
        <v>44913</v>
      </c>
      <c r="S9444" t="s">
        <v>45170</v>
      </c>
      <c r="T9444" t="s">
        <v>46434</v>
      </c>
      <c r="U9444" t="s">
        <v>54523</v>
      </c>
      <c r="W9444" t="s">
        <v>43449</v>
      </c>
      <c r="X9444" t="s">
        <v>44914</v>
      </c>
    </row>
    <row r="9445" spans="1:24">
      <c r="A9445">
        <f>HYPERLINK("https://www.philgeps.gov.ph/GEPSNONPILOT/Tender/SplashBidNoticeAbstractUI.aspx?menuIndex=3&amp;refID=7071852&amp;Result=3","7071852")</f>
        <v>0</v>
      </c>
      <c r="B9445" t="s">
        <v>2738</v>
      </c>
      <c r="C9445" t="s">
        <v>12522</v>
      </c>
      <c r="D9445" t="s">
        <v>18111</v>
      </c>
      <c r="E9445" t="s">
        <v>20328</v>
      </c>
      <c r="F9445" t="s">
        <v>31363</v>
      </c>
      <c r="G9445" t="s">
        <v>31369</v>
      </c>
      <c r="H9445" t="s">
        <v>15799</v>
      </c>
      <c r="I9445" t="s">
        <v>7090</v>
      </c>
      <c r="J9445" t="s">
        <v>37273</v>
      </c>
      <c r="K9445" t="s">
        <v>40666</v>
      </c>
      <c r="M9445" t="s">
        <v>43926</v>
      </c>
      <c r="N9445" t="s">
        <v>44905</v>
      </c>
      <c r="O9445" t="s">
        <v>44906</v>
      </c>
      <c r="P9445">
        <v>0</v>
      </c>
      <c r="Q9445">
        <v>4</v>
      </c>
      <c r="R9445" t="s">
        <v>44913</v>
      </c>
      <c r="S9445" t="s">
        <v>45170</v>
      </c>
      <c r="T9445" t="s">
        <v>46499</v>
      </c>
      <c r="U9445" t="s">
        <v>54524</v>
      </c>
      <c r="W9445" t="s">
        <v>43926</v>
      </c>
      <c r="X9445" t="s">
        <v>44914</v>
      </c>
    </row>
    <row r="9446" spans="1:24">
      <c r="A9446">
        <f>HYPERLINK("https://www.philgeps.gov.ph/GEPSNONPILOT/Tender/SplashBidNoticeAbstractUI.aspx?menuIndex=3&amp;refID=7071876&amp;Result=3","7071876")</f>
        <v>0</v>
      </c>
      <c r="B9446" t="s">
        <v>2739</v>
      </c>
      <c r="C9446" t="s">
        <v>12523</v>
      </c>
      <c r="D9446" t="s">
        <v>18104</v>
      </c>
      <c r="E9446" t="s">
        <v>26394</v>
      </c>
      <c r="F9446" t="s">
        <v>31362</v>
      </c>
      <c r="G9446" t="s">
        <v>31368</v>
      </c>
      <c r="H9446" t="s">
        <v>15799</v>
      </c>
      <c r="I9446" t="s">
        <v>31445</v>
      </c>
      <c r="J9446" t="s">
        <v>33254</v>
      </c>
      <c r="K9446" t="s">
        <v>40679</v>
      </c>
      <c r="M9446" t="s">
        <v>43927</v>
      </c>
      <c r="N9446" t="s">
        <v>44905</v>
      </c>
      <c r="O9446" t="s">
        <v>44906</v>
      </c>
      <c r="P9446">
        <v>0</v>
      </c>
      <c r="Q9446">
        <v>4</v>
      </c>
      <c r="R9446" t="s">
        <v>44913</v>
      </c>
      <c r="S9446" t="s">
        <v>45170</v>
      </c>
      <c r="T9446" t="s">
        <v>46396</v>
      </c>
      <c r="U9446" t="s">
        <v>54525</v>
      </c>
      <c r="W9446" t="s">
        <v>43927</v>
      </c>
      <c r="X9446" t="s">
        <v>44914</v>
      </c>
    </row>
    <row r="9447" spans="1:24">
      <c r="A9447">
        <f>HYPERLINK("https://www.philgeps.gov.ph/GEPSNONPILOT/Tender/SplashBidNoticeAbstractUI.aspx?menuIndex=3&amp;refID=7071871&amp;Result=3","7071871")</f>
        <v>0</v>
      </c>
      <c r="B9447" t="s">
        <v>783</v>
      </c>
      <c r="C9447" t="s">
        <v>12524</v>
      </c>
      <c r="D9447" t="s">
        <v>18140</v>
      </c>
      <c r="E9447" t="s">
        <v>26395</v>
      </c>
      <c r="F9447" t="s">
        <v>31362</v>
      </c>
      <c r="G9447" t="s">
        <v>31369</v>
      </c>
      <c r="H9447" t="s">
        <v>15799</v>
      </c>
      <c r="I9447" t="s">
        <v>7090</v>
      </c>
      <c r="J9447" t="s">
        <v>37274</v>
      </c>
      <c r="K9447" t="s">
        <v>40661</v>
      </c>
      <c r="M9447" t="s">
        <v>41753</v>
      </c>
      <c r="N9447" t="s">
        <v>44905</v>
      </c>
      <c r="O9447" t="s">
        <v>44906</v>
      </c>
      <c r="P9447">
        <v>0</v>
      </c>
      <c r="Q9447">
        <v>2</v>
      </c>
      <c r="R9447" t="s">
        <v>44913</v>
      </c>
      <c r="S9447" t="s">
        <v>45170</v>
      </c>
      <c r="T9447" t="s">
        <v>46528</v>
      </c>
      <c r="U9447" t="s">
        <v>54526</v>
      </c>
      <c r="V9447" t="s">
        <v>60030</v>
      </c>
      <c r="W9447" t="s">
        <v>41753</v>
      </c>
      <c r="X9447" t="s">
        <v>44914</v>
      </c>
    </row>
    <row r="9448" spans="1:24">
      <c r="A9448">
        <f>HYPERLINK("https://www.philgeps.gov.ph/GEPSNONPILOT/Tender/SplashBidNoticeAbstractUI.aspx?menuIndex=3&amp;refID=7071836&amp;Result=3","7071836")</f>
        <v>0</v>
      </c>
      <c r="B9448" t="s">
        <v>1191</v>
      </c>
      <c r="C9448" t="s">
        <v>12525</v>
      </c>
      <c r="D9448" t="s">
        <v>18106</v>
      </c>
      <c r="E9448" t="s">
        <v>26396</v>
      </c>
      <c r="F9448" t="s">
        <v>31362</v>
      </c>
      <c r="G9448" t="s">
        <v>31369</v>
      </c>
      <c r="H9448" t="s">
        <v>31378</v>
      </c>
      <c r="I9448" t="s">
        <v>3815</v>
      </c>
      <c r="J9448" t="s">
        <v>37275</v>
      </c>
      <c r="K9448" t="s">
        <v>40661</v>
      </c>
      <c r="M9448" t="s">
        <v>42203</v>
      </c>
      <c r="N9448" t="s">
        <v>44905</v>
      </c>
      <c r="O9448" t="s">
        <v>44906</v>
      </c>
      <c r="P9448">
        <v>0</v>
      </c>
      <c r="Q9448">
        <v>0</v>
      </c>
      <c r="R9448" t="s">
        <v>44913</v>
      </c>
      <c r="S9448" t="s">
        <v>45170</v>
      </c>
      <c r="T9448" t="s">
        <v>46443</v>
      </c>
      <c r="U9448" t="s">
        <v>54527</v>
      </c>
      <c r="W9448" t="s">
        <v>42203</v>
      </c>
      <c r="X9448" t="s">
        <v>44914</v>
      </c>
    </row>
    <row r="9449" spans="1:24">
      <c r="A9449">
        <f>HYPERLINK("https://www.philgeps.gov.ph/GEPSNONPILOT/Tender/SplashBidNoticeAbstractUI.aspx?menuIndex=3&amp;refID=7071881&amp;Result=3","7071881")</f>
        <v>0</v>
      </c>
      <c r="B9449" t="s">
        <v>623</v>
      </c>
      <c r="C9449" t="s">
        <v>12526</v>
      </c>
      <c r="D9449" t="s">
        <v>18146</v>
      </c>
      <c r="E9449" t="s">
        <v>26397</v>
      </c>
      <c r="F9449" t="s">
        <v>31362</v>
      </c>
      <c r="G9449" t="s">
        <v>31368</v>
      </c>
      <c r="H9449" t="s">
        <v>31377</v>
      </c>
      <c r="I9449" t="s">
        <v>31388</v>
      </c>
      <c r="J9449" t="s">
        <v>31578</v>
      </c>
      <c r="K9449" t="s">
        <v>40682</v>
      </c>
      <c r="M9449" t="s">
        <v>41582</v>
      </c>
      <c r="N9449" t="s">
        <v>44905</v>
      </c>
      <c r="O9449" t="s">
        <v>44906</v>
      </c>
      <c r="P9449">
        <v>0</v>
      </c>
      <c r="Q9449">
        <v>2</v>
      </c>
      <c r="R9449" t="s">
        <v>44913</v>
      </c>
      <c r="S9449" t="s">
        <v>45170</v>
      </c>
      <c r="T9449" t="s">
        <v>46411</v>
      </c>
      <c r="U9449" t="s">
        <v>54528</v>
      </c>
      <c r="V9449" t="s">
        <v>59694</v>
      </c>
      <c r="W9449" t="s">
        <v>41582</v>
      </c>
      <c r="X9449" t="s">
        <v>44914</v>
      </c>
    </row>
    <row r="9450" spans="1:24">
      <c r="A9450">
        <f>HYPERLINK("https://www.philgeps.gov.ph/GEPSNONPILOT/Tender/SplashBidNoticeAbstractUI.aspx?menuIndex=3&amp;refID=7071716&amp;Result=3","7071716")</f>
        <v>0</v>
      </c>
      <c r="B9450" t="s">
        <v>2719</v>
      </c>
      <c r="C9450" t="s">
        <v>12527</v>
      </c>
      <c r="D9450" t="s">
        <v>18128</v>
      </c>
      <c r="E9450" t="s">
        <v>26398</v>
      </c>
      <c r="F9450" t="s">
        <v>31362</v>
      </c>
      <c r="G9450" t="s">
        <v>31369</v>
      </c>
      <c r="H9450" t="s">
        <v>31378</v>
      </c>
      <c r="I9450" t="s">
        <v>31386</v>
      </c>
      <c r="J9450" t="s">
        <v>37276</v>
      </c>
      <c r="K9450" t="s">
        <v>40665</v>
      </c>
      <c r="M9450" t="s">
        <v>43905</v>
      </c>
      <c r="N9450" t="s">
        <v>44905</v>
      </c>
      <c r="O9450" t="s">
        <v>44906</v>
      </c>
      <c r="P9450">
        <v>0</v>
      </c>
      <c r="Q9450">
        <v>1</v>
      </c>
      <c r="R9450" t="s">
        <v>44913</v>
      </c>
      <c r="S9450" t="s">
        <v>45170</v>
      </c>
      <c r="T9450" t="s">
        <v>46561</v>
      </c>
      <c r="U9450" t="s">
        <v>54529</v>
      </c>
      <c r="V9450" t="s">
        <v>60031</v>
      </c>
      <c r="W9450" t="s">
        <v>43905</v>
      </c>
      <c r="X9450" t="s">
        <v>44914</v>
      </c>
    </row>
    <row r="9451" spans="1:24">
      <c r="A9451">
        <f>HYPERLINK("https://www.philgeps.gov.ph/GEPSNONPILOT/Tender/SplashBidNoticeAbstractUI.aspx?menuIndex=3&amp;refID=7071827&amp;Result=3","7071827")</f>
        <v>0</v>
      </c>
      <c r="B9451" t="s">
        <v>2738</v>
      </c>
      <c r="C9451" t="s">
        <v>12528</v>
      </c>
      <c r="D9451" t="s">
        <v>18111</v>
      </c>
      <c r="E9451" t="s">
        <v>19737</v>
      </c>
      <c r="F9451" t="s">
        <v>31363</v>
      </c>
      <c r="G9451" t="s">
        <v>31369</v>
      </c>
      <c r="H9451" t="s">
        <v>15799</v>
      </c>
      <c r="I9451" t="s">
        <v>7090</v>
      </c>
      <c r="J9451" t="s">
        <v>37277</v>
      </c>
      <c r="K9451" t="s">
        <v>40666</v>
      </c>
      <c r="M9451" t="s">
        <v>43926</v>
      </c>
      <c r="N9451" t="s">
        <v>44905</v>
      </c>
      <c r="O9451" t="s">
        <v>44906</v>
      </c>
      <c r="P9451">
        <v>0</v>
      </c>
      <c r="Q9451">
        <v>3</v>
      </c>
      <c r="R9451" t="s">
        <v>44913</v>
      </c>
      <c r="S9451" t="s">
        <v>45170</v>
      </c>
      <c r="T9451" t="s">
        <v>46499</v>
      </c>
      <c r="U9451" t="s">
        <v>54530</v>
      </c>
      <c r="W9451" t="s">
        <v>43926</v>
      </c>
      <c r="X9451" t="s">
        <v>44914</v>
      </c>
    </row>
    <row r="9452" spans="1:24">
      <c r="A9452">
        <f>HYPERLINK("https://www.philgeps.gov.ph/GEPSNONPILOT/Tender/SplashBidNoticeAbstractUI.aspx?menuIndex=3&amp;refID=7071825&amp;Result=3","7071825")</f>
        <v>0</v>
      </c>
      <c r="B9452" t="s">
        <v>2739</v>
      </c>
      <c r="C9452" t="s">
        <v>12529</v>
      </c>
      <c r="D9452" t="s">
        <v>18104</v>
      </c>
      <c r="E9452" t="s">
        <v>26399</v>
      </c>
      <c r="F9452" t="s">
        <v>31362</v>
      </c>
      <c r="G9452" t="s">
        <v>31368</v>
      </c>
      <c r="H9452" t="s">
        <v>15799</v>
      </c>
      <c r="I9452" t="s">
        <v>31445</v>
      </c>
      <c r="J9452" t="s">
        <v>32577</v>
      </c>
      <c r="K9452" t="s">
        <v>40679</v>
      </c>
      <c r="M9452" t="s">
        <v>43927</v>
      </c>
      <c r="N9452" t="s">
        <v>44905</v>
      </c>
      <c r="O9452" t="s">
        <v>44906</v>
      </c>
      <c r="P9452">
        <v>0</v>
      </c>
      <c r="Q9452">
        <v>4</v>
      </c>
      <c r="R9452" t="s">
        <v>44913</v>
      </c>
      <c r="S9452" t="s">
        <v>45170</v>
      </c>
      <c r="T9452" t="s">
        <v>46396</v>
      </c>
      <c r="U9452" t="s">
        <v>54531</v>
      </c>
      <c r="W9452" t="s">
        <v>43927</v>
      </c>
      <c r="X9452" t="s">
        <v>44914</v>
      </c>
    </row>
    <row r="9453" spans="1:24">
      <c r="A9453">
        <f>HYPERLINK("https://www.philgeps.gov.ph/GEPSNONPILOT/Tender/SplashBidNoticeAbstractUI.aspx?menuIndex=3&amp;refID=7071889&amp;Result=3","7071889")</f>
        <v>0</v>
      </c>
      <c r="B9453" t="s">
        <v>2638</v>
      </c>
      <c r="C9453" t="s">
        <v>12530</v>
      </c>
      <c r="E9453" t="s">
        <v>26400</v>
      </c>
      <c r="F9453" t="s">
        <v>31362</v>
      </c>
      <c r="G9453" t="s">
        <v>31369</v>
      </c>
      <c r="H9453" t="s">
        <v>31378</v>
      </c>
      <c r="I9453" t="s">
        <v>31386</v>
      </c>
      <c r="J9453" t="s">
        <v>37278</v>
      </c>
      <c r="K9453" t="s">
        <v>40662</v>
      </c>
      <c r="M9453" t="s">
        <v>43819</v>
      </c>
      <c r="N9453" t="s">
        <v>44905</v>
      </c>
      <c r="O9453" t="s">
        <v>44906</v>
      </c>
      <c r="P9453">
        <v>0</v>
      </c>
      <c r="Q9453">
        <v>0</v>
      </c>
      <c r="R9453" t="s">
        <v>44913</v>
      </c>
      <c r="S9453" t="s">
        <v>45170</v>
      </c>
      <c r="T9453" t="s">
        <v>46696</v>
      </c>
      <c r="U9453" t="s">
        <v>54532</v>
      </c>
      <c r="W9453" t="s">
        <v>43819</v>
      </c>
      <c r="X9453" t="s">
        <v>44914</v>
      </c>
    </row>
    <row r="9454" spans="1:24">
      <c r="A9454">
        <f>HYPERLINK("https://www.philgeps.gov.ph/GEPSNONPILOT/Tender/SplashBidNoticeAbstractUI.aspx?menuIndex=3&amp;refID=7071885&amp;Result=3","7071885")</f>
        <v>0</v>
      </c>
      <c r="B9454" t="s">
        <v>783</v>
      </c>
      <c r="C9454" t="s">
        <v>12531</v>
      </c>
      <c r="D9454" t="s">
        <v>18140</v>
      </c>
      <c r="E9454" t="s">
        <v>26401</v>
      </c>
      <c r="F9454" t="s">
        <v>31362</v>
      </c>
      <c r="G9454" t="s">
        <v>31369</v>
      </c>
      <c r="H9454" t="s">
        <v>15799</v>
      </c>
      <c r="I9454" t="s">
        <v>31421</v>
      </c>
      <c r="J9454" t="s">
        <v>37279</v>
      </c>
      <c r="K9454" t="s">
        <v>40661</v>
      </c>
      <c r="M9454" t="s">
        <v>41753</v>
      </c>
      <c r="N9454" t="s">
        <v>44905</v>
      </c>
      <c r="O9454" t="s">
        <v>44906</v>
      </c>
      <c r="P9454">
        <v>0</v>
      </c>
      <c r="Q9454">
        <v>3</v>
      </c>
      <c r="R9454" t="s">
        <v>44913</v>
      </c>
      <c r="S9454" t="s">
        <v>45170</v>
      </c>
      <c r="T9454" t="s">
        <v>46528</v>
      </c>
      <c r="U9454" t="s">
        <v>54533</v>
      </c>
      <c r="V9454" t="s">
        <v>60030</v>
      </c>
      <c r="W9454" t="s">
        <v>41753</v>
      </c>
      <c r="X9454" t="s">
        <v>44914</v>
      </c>
    </row>
    <row r="9455" spans="1:24">
      <c r="A9455">
        <f>HYPERLINK("https://www.philgeps.gov.ph/GEPSNONPILOT/Tender/SplashBidNoticeAbstractUI.aspx?menuIndex=3&amp;refID=7071954&amp;Result=3","7071954")</f>
        <v>0</v>
      </c>
      <c r="B9455" t="s">
        <v>1952</v>
      </c>
      <c r="C9455" t="s">
        <v>12532</v>
      </c>
      <c r="D9455" t="s">
        <v>18114</v>
      </c>
      <c r="E9455" t="s">
        <v>26402</v>
      </c>
      <c r="F9455" t="s">
        <v>31362</v>
      </c>
      <c r="G9455" t="s">
        <v>31369</v>
      </c>
      <c r="H9455" t="s">
        <v>31378</v>
      </c>
      <c r="I9455" t="s">
        <v>31386</v>
      </c>
      <c r="J9455" t="s">
        <v>37280</v>
      </c>
      <c r="K9455" t="s">
        <v>40853</v>
      </c>
      <c r="M9455" t="s">
        <v>43057</v>
      </c>
      <c r="N9455" t="s">
        <v>44905</v>
      </c>
      <c r="O9455" t="s">
        <v>44906</v>
      </c>
      <c r="P9455">
        <v>0</v>
      </c>
      <c r="Q9455">
        <v>22</v>
      </c>
      <c r="R9455" t="s">
        <v>44913</v>
      </c>
      <c r="S9455" t="s">
        <v>45170</v>
      </c>
      <c r="T9455" t="s">
        <v>46504</v>
      </c>
      <c r="U9455" t="s">
        <v>54534</v>
      </c>
      <c r="V9455" t="s">
        <v>59409</v>
      </c>
      <c r="W9455" t="s">
        <v>43057</v>
      </c>
      <c r="X9455" t="s">
        <v>44914</v>
      </c>
    </row>
    <row r="9456" spans="1:24">
      <c r="A9456">
        <f>HYPERLINK("https://www.philgeps.gov.ph/GEPSNONPILOT/Tender/SplashBidNoticeAbstractUI.aspx?menuIndex=3&amp;refID=7071952&amp;Result=3","7071952")</f>
        <v>0</v>
      </c>
      <c r="B9456" t="s">
        <v>2740</v>
      </c>
      <c r="C9456" t="s">
        <v>12533</v>
      </c>
      <c r="D9456" t="s">
        <v>18134</v>
      </c>
      <c r="E9456" t="s">
        <v>22664</v>
      </c>
      <c r="F9456" t="s">
        <v>31362</v>
      </c>
      <c r="G9456" t="s">
        <v>31369</v>
      </c>
      <c r="H9456" t="s">
        <v>15799</v>
      </c>
      <c r="I9456" t="s">
        <v>31398</v>
      </c>
      <c r="J9456" t="s">
        <v>31536</v>
      </c>
      <c r="K9456" t="s">
        <v>40697</v>
      </c>
      <c r="M9456" t="s">
        <v>43928</v>
      </c>
      <c r="N9456" t="s">
        <v>44905</v>
      </c>
      <c r="O9456" t="s">
        <v>44906</v>
      </c>
      <c r="P9456">
        <v>0</v>
      </c>
      <c r="Q9456">
        <v>1</v>
      </c>
      <c r="R9456" t="s">
        <v>44913</v>
      </c>
      <c r="S9456" t="s">
        <v>45170</v>
      </c>
      <c r="T9456" t="s">
        <v>46425</v>
      </c>
      <c r="U9456" t="s">
        <v>47796</v>
      </c>
      <c r="W9456" t="s">
        <v>43928</v>
      </c>
      <c r="X9456" t="s">
        <v>44914</v>
      </c>
    </row>
    <row r="9457" spans="1:24">
      <c r="A9457">
        <f>HYPERLINK("https://www.philgeps.gov.ph/GEPSNONPILOT/Tender/SplashBidNoticeAbstractUI.aspx?menuIndex=3&amp;refID=7071833&amp;Result=3","7071833")</f>
        <v>0</v>
      </c>
      <c r="B9457" t="s">
        <v>2736</v>
      </c>
      <c r="C9457" t="s">
        <v>12534</v>
      </c>
      <c r="D9457" t="s">
        <v>18177</v>
      </c>
      <c r="E9457" t="s">
        <v>26403</v>
      </c>
      <c r="F9457" t="s">
        <v>31362</v>
      </c>
      <c r="G9457" t="s">
        <v>31369</v>
      </c>
      <c r="H9457" t="s">
        <v>15799</v>
      </c>
      <c r="I9457" t="s">
        <v>3815</v>
      </c>
      <c r="J9457" t="s">
        <v>35226</v>
      </c>
      <c r="K9457" t="s">
        <v>40666</v>
      </c>
      <c r="M9457" t="s">
        <v>43924</v>
      </c>
      <c r="N9457" t="s">
        <v>44905</v>
      </c>
      <c r="O9457" t="s">
        <v>44906</v>
      </c>
      <c r="P9457">
        <v>0</v>
      </c>
      <c r="Q9457">
        <v>0</v>
      </c>
      <c r="R9457" t="s">
        <v>44913</v>
      </c>
      <c r="S9457" t="s">
        <v>45170</v>
      </c>
      <c r="T9457" t="s">
        <v>46499</v>
      </c>
      <c r="U9457" t="s">
        <v>54535</v>
      </c>
      <c r="W9457" t="s">
        <v>43924</v>
      </c>
      <c r="X9457" t="s">
        <v>44914</v>
      </c>
    </row>
    <row r="9458" spans="1:24">
      <c r="A9458">
        <f>HYPERLINK("https://www.philgeps.gov.ph/GEPSNONPILOT/Tender/SplashBidNoticeAbstractUI.aspx?menuIndex=3&amp;refID=7071946&amp;Result=3","7071946")</f>
        <v>0</v>
      </c>
      <c r="B9458" t="s">
        <v>2741</v>
      </c>
      <c r="C9458" t="s">
        <v>12535</v>
      </c>
      <c r="D9458" t="s">
        <v>18177</v>
      </c>
      <c r="E9458" t="s">
        <v>26404</v>
      </c>
      <c r="F9458" t="s">
        <v>31362</v>
      </c>
      <c r="G9458" t="s">
        <v>31369</v>
      </c>
      <c r="H9458" t="s">
        <v>31378</v>
      </c>
      <c r="I9458" t="s">
        <v>31386</v>
      </c>
      <c r="J9458" t="s">
        <v>31734</v>
      </c>
      <c r="K9458" t="s">
        <v>40682</v>
      </c>
      <c r="M9458" t="s">
        <v>43929</v>
      </c>
      <c r="N9458" t="s">
        <v>44905</v>
      </c>
      <c r="O9458" t="s">
        <v>44906</v>
      </c>
      <c r="P9458">
        <v>0</v>
      </c>
      <c r="Q9458">
        <v>0</v>
      </c>
      <c r="R9458" t="s">
        <v>44913</v>
      </c>
      <c r="S9458" t="s">
        <v>45170</v>
      </c>
      <c r="T9458" t="s">
        <v>46671</v>
      </c>
      <c r="U9458" t="s">
        <v>54536</v>
      </c>
      <c r="W9458" t="s">
        <v>43929</v>
      </c>
      <c r="X9458" t="s">
        <v>44914</v>
      </c>
    </row>
    <row r="9459" spans="1:24">
      <c r="A9459">
        <f>HYPERLINK("https://www.philgeps.gov.ph/GEPSNONPILOT/Tender/SplashBidNoticeAbstractUI.aspx?menuIndex=3&amp;refID=7071935&amp;Result=3","7071935")</f>
        <v>0</v>
      </c>
      <c r="B9459" t="s">
        <v>2727</v>
      </c>
      <c r="C9459" t="s">
        <v>12536</v>
      </c>
      <c r="D9459" t="s">
        <v>18117</v>
      </c>
      <c r="E9459" t="s">
        <v>26405</v>
      </c>
      <c r="F9459" t="s">
        <v>31362</v>
      </c>
      <c r="G9459" t="s">
        <v>31368</v>
      </c>
      <c r="H9459" t="s">
        <v>15799</v>
      </c>
      <c r="I9459" t="s">
        <v>31393</v>
      </c>
      <c r="J9459" t="s">
        <v>31969</v>
      </c>
      <c r="K9459" t="s">
        <v>40672</v>
      </c>
      <c r="M9459" t="s">
        <v>43914</v>
      </c>
      <c r="N9459" t="s">
        <v>44905</v>
      </c>
      <c r="O9459" t="s">
        <v>44906</v>
      </c>
      <c r="P9459">
        <v>0</v>
      </c>
      <c r="Q9459">
        <v>3</v>
      </c>
      <c r="R9459" t="s">
        <v>44913</v>
      </c>
      <c r="S9459" t="s">
        <v>45170</v>
      </c>
      <c r="T9459" t="s">
        <v>46478</v>
      </c>
      <c r="U9459" t="s">
        <v>54500</v>
      </c>
      <c r="W9459" t="s">
        <v>43914</v>
      </c>
      <c r="X9459" t="s">
        <v>44914</v>
      </c>
    </row>
    <row r="9460" spans="1:24">
      <c r="A9460">
        <f>HYPERLINK("https://www.philgeps.gov.ph/GEPSNONPILOT/Tender/SplashBidNoticeAbstractUI.aspx?menuIndex=3&amp;refID=7071931&amp;Result=3","7071931")</f>
        <v>0</v>
      </c>
      <c r="B9460" t="s">
        <v>2742</v>
      </c>
      <c r="C9460" t="s">
        <v>6474</v>
      </c>
      <c r="D9460" t="s">
        <v>18158</v>
      </c>
      <c r="E9460" t="s">
        <v>26406</v>
      </c>
      <c r="F9460" t="s">
        <v>31362</v>
      </c>
      <c r="G9460" t="s">
        <v>31369</v>
      </c>
      <c r="H9460" t="s">
        <v>15799</v>
      </c>
      <c r="I9460" t="s">
        <v>3815</v>
      </c>
      <c r="J9460" t="s">
        <v>37281</v>
      </c>
      <c r="K9460" t="s">
        <v>40661</v>
      </c>
      <c r="M9460" t="s">
        <v>43930</v>
      </c>
      <c r="N9460" t="s">
        <v>44905</v>
      </c>
      <c r="O9460" t="s">
        <v>44906</v>
      </c>
      <c r="P9460">
        <v>0</v>
      </c>
      <c r="Q9460">
        <v>0</v>
      </c>
      <c r="R9460" t="s">
        <v>44913</v>
      </c>
      <c r="S9460" t="s">
        <v>45170</v>
      </c>
      <c r="T9460" t="s">
        <v>46411</v>
      </c>
      <c r="U9460" t="s">
        <v>47766</v>
      </c>
      <c r="W9460" t="s">
        <v>43930</v>
      </c>
      <c r="X9460" t="s">
        <v>44914</v>
      </c>
    </row>
    <row r="9461" spans="1:24">
      <c r="A9461">
        <f>HYPERLINK("https://www.philgeps.gov.ph/GEPSNONPILOT/Tender/SplashBidNoticeAbstractUI.aspx?menuIndex=3&amp;refID=7071683&amp;Result=3","7071683")</f>
        <v>0</v>
      </c>
      <c r="B9461" t="s">
        <v>1952</v>
      </c>
      <c r="C9461" t="s">
        <v>12537</v>
      </c>
      <c r="D9461" t="s">
        <v>18114</v>
      </c>
      <c r="E9461" t="s">
        <v>26407</v>
      </c>
      <c r="F9461" t="s">
        <v>31362</v>
      </c>
      <c r="G9461" t="s">
        <v>31369</v>
      </c>
      <c r="H9461" t="s">
        <v>31378</v>
      </c>
      <c r="I9461" t="s">
        <v>31386</v>
      </c>
      <c r="J9461" t="s">
        <v>37282</v>
      </c>
      <c r="K9461" t="s">
        <v>40683</v>
      </c>
      <c r="M9461" t="s">
        <v>43057</v>
      </c>
      <c r="N9461" t="s">
        <v>44905</v>
      </c>
      <c r="O9461" t="s">
        <v>44906</v>
      </c>
      <c r="P9461">
        <v>0</v>
      </c>
      <c r="Q9461">
        <v>20</v>
      </c>
      <c r="R9461" t="s">
        <v>44913</v>
      </c>
      <c r="S9461" t="s">
        <v>45170</v>
      </c>
      <c r="T9461" t="s">
        <v>46504</v>
      </c>
      <c r="U9461" t="s">
        <v>54537</v>
      </c>
      <c r="V9461" t="s">
        <v>59409</v>
      </c>
      <c r="W9461" t="s">
        <v>43057</v>
      </c>
      <c r="X9461" t="s">
        <v>44914</v>
      </c>
    </row>
    <row r="9462" spans="1:24">
      <c r="A9462">
        <f>HYPERLINK("https://www.philgeps.gov.ph/GEPSNONPILOT/Tender/SplashBidNoticeAbstractUI.aspx?menuIndex=3&amp;refID=7071921&amp;Result=3","7071921")</f>
        <v>0</v>
      </c>
      <c r="B9462" t="s">
        <v>1191</v>
      </c>
      <c r="C9462" t="s">
        <v>12538</v>
      </c>
      <c r="D9462" t="s">
        <v>18106</v>
      </c>
      <c r="E9462" t="s">
        <v>26408</v>
      </c>
      <c r="F9462" t="s">
        <v>31362</v>
      </c>
      <c r="G9462" t="s">
        <v>31369</v>
      </c>
      <c r="H9462" t="s">
        <v>31378</v>
      </c>
      <c r="I9462" t="s">
        <v>31386</v>
      </c>
      <c r="J9462" t="s">
        <v>31897</v>
      </c>
      <c r="K9462" t="s">
        <v>40661</v>
      </c>
      <c r="M9462" t="s">
        <v>42203</v>
      </c>
      <c r="N9462" t="s">
        <v>44905</v>
      </c>
      <c r="O9462" t="s">
        <v>44906</v>
      </c>
      <c r="P9462">
        <v>0</v>
      </c>
      <c r="Q9462">
        <v>0</v>
      </c>
      <c r="R9462" t="s">
        <v>44913</v>
      </c>
      <c r="S9462" t="s">
        <v>45170</v>
      </c>
      <c r="T9462" t="s">
        <v>46443</v>
      </c>
      <c r="U9462" t="s">
        <v>54538</v>
      </c>
      <c r="W9462" t="s">
        <v>42203</v>
      </c>
      <c r="X9462" t="s">
        <v>44914</v>
      </c>
    </row>
    <row r="9463" spans="1:24">
      <c r="A9463">
        <f>HYPERLINK("https://www.philgeps.gov.ph/GEPSNONPILOT/Tender/SplashBidNoticeAbstractUI.aspx?menuIndex=3&amp;refID=7071916&amp;Result=3","7071916")</f>
        <v>0</v>
      </c>
      <c r="B9463" t="s">
        <v>2638</v>
      </c>
      <c r="C9463" t="s">
        <v>12539</v>
      </c>
      <c r="E9463" t="s">
        <v>26409</v>
      </c>
      <c r="F9463" t="s">
        <v>31362</v>
      </c>
      <c r="G9463" t="s">
        <v>31369</v>
      </c>
      <c r="H9463" t="s">
        <v>31378</v>
      </c>
      <c r="I9463" t="s">
        <v>31386</v>
      </c>
      <c r="J9463" t="s">
        <v>37283</v>
      </c>
      <c r="K9463" t="s">
        <v>40662</v>
      </c>
      <c r="M9463" t="s">
        <v>43819</v>
      </c>
      <c r="N9463" t="s">
        <v>44905</v>
      </c>
      <c r="O9463" t="s">
        <v>44906</v>
      </c>
      <c r="P9463">
        <v>0</v>
      </c>
      <c r="Q9463">
        <v>0</v>
      </c>
      <c r="R9463" t="s">
        <v>44913</v>
      </c>
      <c r="S9463" t="s">
        <v>45170</v>
      </c>
      <c r="T9463" t="s">
        <v>46696</v>
      </c>
      <c r="U9463" t="s">
        <v>54539</v>
      </c>
      <c r="W9463" t="s">
        <v>43819</v>
      </c>
      <c r="X9463" t="s">
        <v>44914</v>
      </c>
    </row>
    <row r="9464" spans="1:24">
      <c r="A9464">
        <f>HYPERLINK("https://www.philgeps.gov.ph/GEPSNONPILOT/Tender/SplashBidNoticeAbstractUI.aspx?menuIndex=3&amp;refID=7071847&amp;Result=3","7071847")</f>
        <v>0</v>
      </c>
      <c r="B9464" t="s">
        <v>623</v>
      </c>
      <c r="C9464" t="s">
        <v>12540</v>
      </c>
      <c r="D9464" t="s">
        <v>18146</v>
      </c>
      <c r="E9464" t="s">
        <v>26410</v>
      </c>
      <c r="F9464" t="s">
        <v>31362</v>
      </c>
      <c r="G9464" t="s">
        <v>31368</v>
      </c>
      <c r="H9464" t="s">
        <v>15799</v>
      </c>
      <c r="I9464" t="s">
        <v>31469</v>
      </c>
      <c r="J9464" t="s">
        <v>31578</v>
      </c>
      <c r="K9464" t="s">
        <v>40665</v>
      </c>
      <c r="M9464" t="s">
        <v>41582</v>
      </c>
      <c r="N9464" t="s">
        <v>44905</v>
      </c>
      <c r="O9464" t="s">
        <v>44906</v>
      </c>
      <c r="P9464">
        <v>0</v>
      </c>
      <c r="Q9464">
        <v>0</v>
      </c>
      <c r="R9464" t="s">
        <v>44913</v>
      </c>
      <c r="S9464" t="s">
        <v>45170</v>
      </c>
      <c r="T9464" t="s">
        <v>46411</v>
      </c>
      <c r="U9464" t="s">
        <v>54540</v>
      </c>
      <c r="V9464" t="s">
        <v>59216</v>
      </c>
      <c r="W9464" t="s">
        <v>41582</v>
      </c>
      <c r="X9464" t="s">
        <v>44914</v>
      </c>
    </row>
    <row r="9465" spans="1:24">
      <c r="A9465">
        <f>HYPERLINK("https://www.philgeps.gov.ph/GEPSNONPILOT/Tender/SplashBidNoticeAbstractUI.aspx?menuIndex=3&amp;refID=7071949&amp;Result=3","7071949")</f>
        <v>0</v>
      </c>
      <c r="B9465" t="s">
        <v>2743</v>
      </c>
      <c r="C9465" t="s">
        <v>6474</v>
      </c>
      <c r="D9465" t="s">
        <v>18158</v>
      </c>
      <c r="E9465" t="s">
        <v>26411</v>
      </c>
      <c r="F9465" t="s">
        <v>31362</v>
      </c>
      <c r="G9465" t="s">
        <v>31369</v>
      </c>
      <c r="H9465" t="s">
        <v>15799</v>
      </c>
      <c r="I9465" t="s">
        <v>3815</v>
      </c>
      <c r="J9465" t="s">
        <v>37284</v>
      </c>
      <c r="K9465" t="s">
        <v>40661</v>
      </c>
      <c r="M9465" t="s">
        <v>43931</v>
      </c>
      <c r="N9465" t="s">
        <v>44905</v>
      </c>
      <c r="O9465" t="s">
        <v>44906</v>
      </c>
      <c r="P9465">
        <v>0</v>
      </c>
      <c r="Q9465">
        <v>0</v>
      </c>
      <c r="R9465" t="s">
        <v>44913</v>
      </c>
      <c r="S9465" t="s">
        <v>45170</v>
      </c>
      <c r="T9465" t="s">
        <v>46411</v>
      </c>
      <c r="U9465" t="s">
        <v>47766</v>
      </c>
      <c r="W9465" t="s">
        <v>43931</v>
      </c>
      <c r="X9465" t="s">
        <v>44914</v>
      </c>
    </row>
    <row r="9466" spans="1:24">
      <c r="A9466">
        <f>HYPERLINK("https://www.philgeps.gov.ph/GEPSNONPILOT/Tender/SplashBidNoticeAbstractUI.aspx?menuIndex=3&amp;refID=7071934&amp;Result=3","7071934")</f>
        <v>0</v>
      </c>
      <c r="B9466" t="s">
        <v>1952</v>
      </c>
      <c r="C9466" t="s">
        <v>12541</v>
      </c>
      <c r="D9466" t="s">
        <v>18114</v>
      </c>
      <c r="E9466" t="s">
        <v>26412</v>
      </c>
      <c r="F9466" t="s">
        <v>31362</v>
      </c>
      <c r="G9466" t="s">
        <v>31369</v>
      </c>
      <c r="H9466" t="s">
        <v>31378</v>
      </c>
      <c r="I9466" t="s">
        <v>31386</v>
      </c>
      <c r="J9466" t="s">
        <v>37285</v>
      </c>
      <c r="K9466" t="s">
        <v>40854</v>
      </c>
      <c r="M9466" t="s">
        <v>43057</v>
      </c>
      <c r="N9466" t="s">
        <v>44905</v>
      </c>
      <c r="O9466" t="s">
        <v>44906</v>
      </c>
      <c r="P9466">
        <v>0</v>
      </c>
      <c r="Q9466">
        <v>18</v>
      </c>
      <c r="R9466" t="s">
        <v>44913</v>
      </c>
      <c r="S9466" t="s">
        <v>45170</v>
      </c>
      <c r="T9466" t="s">
        <v>46504</v>
      </c>
      <c r="U9466" t="s">
        <v>54541</v>
      </c>
      <c r="V9466" t="s">
        <v>59409</v>
      </c>
      <c r="W9466" t="s">
        <v>43057</v>
      </c>
      <c r="X9466" t="s">
        <v>44914</v>
      </c>
    </row>
    <row r="9467" spans="1:24">
      <c r="A9467">
        <f>HYPERLINK("https://www.philgeps.gov.ph/GEPSNONPILOT/Tender/SplashBidNoticeAbstractUI.aspx?menuIndex=3&amp;refID=7071904&amp;Result=3","7071904")</f>
        <v>0</v>
      </c>
      <c r="B9467" t="s">
        <v>623</v>
      </c>
      <c r="C9467" t="s">
        <v>12542</v>
      </c>
      <c r="D9467" t="s">
        <v>18146</v>
      </c>
      <c r="E9467" t="s">
        <v>26413</v>
      </c>
      <c r="F9467" t="s">
        <v>31362</v>
      </c>
      <c r="G9467" t="s">
        <v>31368</v>
      </c>
      <c r="H9467" t="s">
        <v>15799</v>
      </c>
      <c r="I9467" t="s">
        <v>3815</v>
      </c>
      <c r="J9467" t="s">
        <v>37286</v>
      </c>
      <c r="K9467" t="s">
        <v>40665</v>
      </c>
      <c r="M9467" t="s">
        <v>41582</v>
      </c>
      <c r="N9467" t="s">
        <v>44905</v>
      </c>
      <c r="O9467" t="s">
        <v>44906</v>
      </c>
      <c r="P9467">
        <v>0</v>
      </c>
      <c r="Q9467">
        <v>0</v>
      </c>
      <c r="R9467" t="s">
        <v>44913</v>
      </c>
      <c r="S9467" t="s">
        <v>45170</v>
      </c>
      <c r="T9467" t="s">
        <v>46411</v>
      </c>
      <c r="U9467" t="s">
        <v>52495</v>
      </c>
      <c r="V9467" t="s">
        <v>59694</v>
      </c>
      <c r="W9467" t="s">
        <v>41582</v>
      </c>
      <c r="X9467" t="s">
        <v>44914</v>
      </c>
    </row>
    <row r="9468" spans="1:24">
      <c r="A9468">
        <f>HYPERLINK("https://www.philgeps.gov.ph/GEPSNONPILOT/Tender/SplashBidNoticeAbstractUI.aspx?menuIndex=3&amp;refID=7071902&amp;Result=3","7071902")</f>
        <v>0</v>
      </c>
      <c r="B9468" t="s">
        <v>2300</v>
      </c>
      <c r="C9468" t="s">
        <v>12543</v>
      </c>
      <c r="D9468" t="s">
        <v>18148</v>
      </c>
      <c r="E9468" t="s">
        <v>26414</v>
      </c>
      <c r="F9468" t="s">
        <v>31362</v>
      </c>
      <c r="G9468" t="s">
        <v>31369</v>
      </c>
      <c r="H9468" t="s">
        <v>15799</v>
      </c>
      <c r="I9468" t="s">
        <v>31426</v>
      </c>
      <c r="J9468" t="s">
        <v>37287</v>
      </c>
      <c r="K9468" t="s">
        <v>40679</v>
      </c>
      <c r="M9468" t="s">
        <v>43515</v>
      </c>
      <c r="N9468" t="s">
        <v>44905</v>
      </c>
      <c r="O9468" t="s">
        <v>44906</v>
      </c>
      <c r="P9468">
        <v>0</v>
      </c>
      <c r="Q9468">
        <v>5</v>
      </c>
      <c r="R9468" t="s">
        <v>44913</v>
      </c>
      <c r="S9468" t="s">
        <v>45170</v>
      </c>
      <c r="T9468" t="s">
        <v>46450</v>
      </c>
      <c r="U9468" t="s">
        <v>54419</v>
      </c>
      <c r="W9468" t="s">
        <v>43515</v>
      </c>
      <c r="X9468" t="s">
        <v>44914</v>
      </c>
    </row>
    <row r="9469" spans="1:24">
      <c r="A9469">
        <f>HYPERLINK("https://www.philgeps.gov.ph/GEPSNONPILOT/Tender/SplashBidNoticeAbstractUI.aspx?menuIndex=3&amp;refID=7071709&amp;Result=3","7071709")</f>
        <v>0</v>
      </c>
      <c r="B9469" t="s">
        <v>2730</v>
      </c>
      <c r="C9469" t="s">
        <v>12544</v>
      </c>
      <c r="D9469" t="s">
        <v>18139</v>
      </c>
      <c r="E9469" t="s">
        <v>26415</v>
      </c>
      <c r="F9469" t="s">
        <v>31362</v>
      </c>
      <c r="G9469" t="s">
        <v>31369</v>
      </c>
      <c r="H9469" t="s">
        <v>15799</v>
      </c>
      <c r="I9469" t="s">
        <v>7188</v>
      </c>
      <c r="J9469" t="s">
        <v>32831</v>
      </c>
      <c r="K9469" t="s">
        <v>40665</v>
      </c>
      <c r="M9469" t="s">
        <v>43917</v>
      </c>
      <c r="N9469" t="s">
        <v>44905</v>
      </c>
      <c r="O9469" t="s">
        <v>44906</v>
      </c>
      <c r="P9469">
        <v>0</v>
      </c>
      <c r="Q9469">
        <v>0</v>
      </c>
      <c r="R9469" t="s">
        <v>44913</v>
      </c>
      <c r="S9469" t="s">
        <v>45170</v>
      </c>
      <c r="T9469" t="s">
        <v>46443</v>
      </c>
      <c r="U9469" t="s">
        <v>54542</v>
      </c>
      <c r="W9469" t="s">
        <v>43917</v>
      </c>
      <c r="X9469" t="s">
        <v>44914</v>
      </c>
    </row>
    <row r="9470" spans="1:24">
      <c r="A9470">
        <f>HYPERLINK("https://www.philgeps.gov.ph/GEPSNONPILOT/Tender/SplashBidNoticeAbstractUI.aspx?menuIndex=3&amp;refID=7071908&amp;Result=3","7071908")</f>
        <v>0</v>
      </c>
      <c r="B9470" t="s">
        <v>2737</v>
      </c>
      <c r="C9470" t="s">
        <v>12545</v>
      </c>
      <c r="D9470" t="s">
        <v>18173</v>
      </c>
      <c r="E9470" t="s">
        <v>26416</v>
      </c>
      <c r="F9470" t="s">
        <v>31362</v>
      </c>
      <c r="G9470" t="s">
        <v>31369</v>
      </c>
      <c r="H9470" t="s">
        <v>15799</v>
      </c>
      <c r="I9470" t="s">
        <v>7090</v>
      </c>
      <c r="J9470" t="s">
        <v>33689</v>
      </c>
      <c r="K9470" t="s">
        <v>40666</v>
      </c>
      <c r="M9470" t="s">
        <v>43925</v>
      </c>
      <c r="N9470" t="s">
        <v>44905</v>
      </c>
      <c r="O9470" t="s">
        <v>44906</v>
      </c>
      <c r="P9470">
        <v>0</v>
      </c>
      <c r="Q9470">
        <v>2</v>
      </c>
      <c r="R9470" t="s">
        <v>44913</v>
      </c>
      <c r="S9470" t="s">
        <v>45170</v>
      </c>
      <c r="T9470" t="s">
        <v>46625</v>
      </c>
      <c r="U9470" t="s">
        <v>54543</v>
      </c>
      <c r="W9470" t="s">
        <v>43925</v>
      </c>
      <c r="X9470" t="s">
        <v>44914</v>
      </c>
    </row>
    <row r="9471" spans="1:24">
      <c r="A9471">
        <f>HYPERLINK("https://www.philgeps.gov.ph/GEPSNONPILOT/Tender/SplashBidNoticeAbstractUI.aspx?menuIndex=3&amp;refID=7072101&amp;Result=3","7072101")</f>
        <v>0</v>
      </c>
      <c r="B9471" t="s">
        <v>2744</v>
      </c>
      <c r="C9471" t="s">
        <v>12546</v>
      </c>
      <c r="D9471" t="s">
        <v>18107</v>
      </c>
      <c r="E9471" t="s">
        <v>26417</v>
      </c>
      <c r="F9471" t="s">
        <v>31362</v>
      </c>
      <c r="G9471" t="s">
        <v>31369</v>
      </c>
      <c r="H9471" t="s">
        <v>31378</v>
      </c>
      <c r="I9471" t="s">
        <v>31386</v>
      </c>
      <c r="J9471" t="s">
        <v>37288</v>
      </c>
      <c r="K9471" t="s">
        <v>40686</v>
      </c>
      <c r="M9471" t="s">
        <v>43932</v>
      </c>
      <c r="N9471" t="s">
        <v>44905</v>
      </c>
      <c r="O9471" t="s">
        <v>44906</v>
      </c>
      <c r="P9471">
        <v>0</v>
      </c>
      <c r="Q9471">
        <v>0</v>
      </c>
      <c r="R9471" t="s">
        <v>44913</v>
      </c>
      <c r="S9471" t="s">
        <v>45170</v>
      </c>
      <c r="T9471" t="s">
        <v>46433</v>
      </c>
      <c r="U9471" t="s">
        <v>54544</v>
      </c>
      <c r="W9471" t="s">
        <v>43932</v>
      </c>
      <c r="X9471" t="s">
        <v>44914</v>
      </c>
    </row>
    <row r="9472" spans="1:24">
      <c r="A9472">
        <f>HYPERLINK("https://www.philgeps.gov.ph/GEPSNONPILOT/Tender/SplashBidNoticeAbstractUI.aspx?menuIndex=3&amp;refID=7072093&amp;Result=3","7072093")</f>
        <v>0</v>
      </c>
      <c r="B9472" t="s">
        <v>2745</v>
      </c>
      <c r="C9472" t="s">
        <v>12547</v>
      </c>
      <c r="D9472" t="s">
        <v>18136</v>
      </c>
      <c r="E9472" t="s">
        <v>26418</v>
      </c>
      <c r="F9472" t="s">
        <v>31362</v>
      </c>
      <c r="G9472" t="s">
        <v>31369</v>
      </c>
      <c r="H9472" t="s">
        <v>15799</v>
      </c>
      <c r="I9472" t="s">
        <v>31380</v>
      </c>
      <c r="J9472" t="s">
        <v>37289</v>
      </c>
      <c r="K9472" t="s">
        <v>40675</v>
      </c>
      <c r="M9472" t="s">
        <v>43933</v>
      </c>
      <c r="N9472" t="s">
        <v>44905</v>
      </c>
      <c r="O9472" t="s">
        <v>44906</v>
      </c>
      <c r="Q9472">
        <v>21</v>
      </c>
      <c r="R9472" t="s">
        <v>44913</v>
      </c>
      <c r="S9472" t="s">
        <v>45188</v>
      </c>
      <c r="T9472" t="s">
        <v>46419</v>
      </c>
      <c r="U9472" t="s">
        <v>54545</v>
      </c>
      <c r="W9472" t="s">
        <v>43933</v>
      </c>
      <c r="X9472" t="s">
        <v>44914</v>
      </c>
    </row>
    <row r="9473" spans="1:24">
      <c r="A9473">
        <f>HYPERLINK("https://www.philgeps.gov.ph/GEPSNONPILOT/Tender/SplashBidNoticeAbstractUI.aspx?menuIndex=3&amp;refID=7072072&amp;Result=3","7072072")</f>
        <v>0</v>
      </c>
      <c r="B9473" t="s">
        <v>2690</v>
      </c>
      <c r="C9473" t="s">
        <v>12548</v>
      </c>
      <c r="D9473" t="s">
        <v>18136</v>
      </c>
      <c r="E9473" t="s">
        <v>26419</v>
      </c>
      <c r="F9473" t="s">
        <v>31362</v>
      </c>
      <c r="G9473" t="s">
        <v>31370</v>
      </c>
      <c r="H9473" t="s">
        <v>15799</v>
      </c>
      <c r="I9473" t="s">
        <v>31430</v>
      </c>
      <c r="J9473" t="s">
        <v>37290</v>
      </c>
      <c r="K9473" t="s">
        <v>40665</v>
      </c>
      <c r="M9473" t="s">
        <v>43876</v>
      </c>
      <c r="N9473" t="s">
        <v>44905</v>
      </c>
      <c r="O9473" t="s">
        <v>44906</v>
      </c>
      <c r="Q9473">
        <v>1</v>
      </c>
      <c r="R9473" t="s">
        <v>44913</v>
      </c>
      <c r="S9473" t="s">
        <v>45189</v>
      </c>
      <c r="T9473" t="s">
        <v>46396</v>
      </c>
      <c r="U9473" t="s">
        <v>54546</v>
      </c>
      <c r="V9473" t="s">
        <v>60003</v>
      </c>
      <c r="W9473" t="s">
        <v>43876</v>
      </c>
      <c r="X9473" t="s">
        <v>44914</v>
      </c>
    </row>
    <row r="9474" spans="1:24">
      <c r="A9474">
        <f>HYPERLINK("https://www.philgeps.gov.ph/GEPSNONPILOT/Tender/SplashBidNoticeAbstractUI.aspx?menuIndex=3&amp;refID=7072065&amp;Result=3","7072065")</f>
        <v>0</v>
      </c>
      <c r="B9474" t="s">
        <v>2690</v>
      </c>
      <c r="C9474" t="s">
        <v>12549</v>
      </c>
      <c r="D9474" t="s">
        <v>18136</v>
      </c>
      <c r="E9474" t="s">
        <v>26420</v>
      </c>
      <c r="F9474" t="s">
        <v>31362</v>
      </c>
      <c r="G9474" t="s">
        <v>31370</v>
      </c>
      <c r="H9474" t="s">
        <v>15799</v>
      </c>
      <c r="I9474" t="s">
        <v>31387</v>
      </c>
      <c r="J9474" t="s">
        <v>37291</v>
      </c>
      <c r="K9474" t="s">
        <v>40665</v>
      </c>
      <c r="M9474" t="s">
        <v>43876</v>
      </c>
      <c r="N9474" t="s">
        <v>44905</v>
      </c>
      <c r="O9474" t="s">
        <v>44906</v>
      </c>
      <c r="Q9474">
        <v>3</v>
      </c>
      <c r="R9474" t="s">
        <v>44913</v>
      </c>
      <c r="S9474" t="s">
        <v>45190</v>
      </c>
      <c r="T9474" t="s">
        <v>46396</v>
      </c>
      <c r="U9474" t="s">
        <v>54547</v>
      </c>
      <c r="V9474" t="s">
        <v>60003</v>
      </c>
      <c r="W9474" t="s">
        <v>43876</v>
      </c>
      <c r="X9474" t="s">
        <v>44914</v>
      </c>
    </row>
    <row r="9475" spans="1:24">
      <c r="A9475">
        <f>HYPERLINK("https://www.philgeps.gov.ph/GEPSNONPILOT/Tender/SplashBidNoticeAbstractUI.aspx?menuIndex=3&amp;refID=7072063&amp;Result=3","7072063")</f>
        <v>0</v>
      </c>
      <c r="B9475" t="s">
        <v>770</v>
      </c>
      <c r="C9475" t="s">
        <v>12550</v>
      </c>
      <c r="D9475" t="s">
        <v>18104</v>
      </c>
      <c r="E9475" t="s">
        <v>26421</v>
      </c>
      <c r="F9475" t="s">
        <v>31362</v>
      </c>
      <c r="G9475" t="s">
        <v>31369</v>
      </c>
      <c r="H9475" t="s">
        <v>31378</v>
      </c>
      <c r="I9475" t="s">
        <v>31386</v>
      </c>
      <c r="J9475" t="s">
        <v>33868</v>
      </c>
      <c r="K9475" t="s">
        <v>40816</v>
      </c>
      <c r="M9475" t="s">
        <v>41738</v>
      </c>
      <c r="N9475" t="s">
        <v>44905</v>
      </c>
      <c r="O9475" t="s">
        <v>44906</v>
      </c>
      <c r="P9475">
        <v>0</v>
      </c>
      <c r="Q9475">
        <v>4</v>
      </c>
      <c r="R9475" t="s">
        <v>44913</v>
      </c>
      <c r="S9475" t="s">
        <v>45170</v>
      </c>
      <c r="T9475" t="s">
        <v>46794</v>
      </c>
      <c r="U9475" t="s">
        <v>54548</v>
      </c>
      <c r="W9475" t="s">
        <v>41738</v>
      </c>
      <c r="X9475" t="s">
        <v>44914</v>
      </c>
    </row>
    <row r="9476" spans="1:24">
      <c r="A9476">
        <f>HYPERLINK("https://www.philgeps.gov.ph/GEPSNONPILOT/Tender/SplashBidNoticeAbstractUI.aspx?menuIndex=3&amp;refID=7072060&amp;Result=3","7072060")</f>
        <v>0</v>
      </c>
      <c r="B9476" t="s">
        <v>2746</v>
      </c>
      <c r="C9476" t="s">
        <v>12551</v>
      </c>
      <c r="D9476" t="s">
        <v>18181</v>
      </c>
      <c r="E9476" t="s">
        <v>26422</v>
      </c>
      <c r="F9476" t="s">
        <v>31362</v>
      </c>
      <c r="G9476" t="s">
        <v>31369</v>
      </c>
      <c r="H9476" t="s">
        <v>15799</v>
      </c>
      <c r="I9476" t="s">
        <v>6865</v>
      </c>
      <c r="J9476" t="s">
        <v>31530</v>
      </c>
      <c r="K9476" t="s">
        <v>40666</v>
      </c>
      <c r="L9476" t="s">
        <v>2746</v>
      </c>
      <c r="M9476" t="s">
        <v>43934</v>
      </c>
      <c r="N9476" t="s">
        <v>44905</v>
      </c>
      <c r="O9476" t="s">
        <v>44906</v>
      </c>
      <c r="P9476">
        <v>0</v>
      </c>
      <c r="Q9476">
        <v>2</v>
      </c>
      <c r="R9476" t="s">
        <v>44913</v>
      </c>
      <c r="S9476" t="s">
        <v>45170</v>
      </c>
      <c r="T9476" t="s">
        <v>46411</v>
      </c>
      <c r="U9476" t="s">
        <v>54549</v>
      </c>
      <c r="V9476" t="s">
        <v>60032</v>
      </c>
      <c r="W9476" t="s">
        <v>43934</v>
      </c>
      <c r="X9476" t="s">
        <v>44914</v>
      </c>
    </row>
    <row r="9477" spans="1:24">
      <c r="A9477">
        <f>HYPERLINK("https://www.philgeps.gov.ph/GEPSNONPILOT/Tender/SplashBidNoticeAbstractUI.aspx?menuIndex=3&amp;refID=7072055&amp;Result=3","7072055")</f>
        <v>0</v>
      </c>
      <c r="B9477" t="s">
        <v>2690</v>
      </c>
      <c r="C9477" t="s">
        <v>12552</v>
      </c>
      <c r="D9477" t="s">
        <v>18136</v>
      </c>
      <c r="E9477" t="s">
        <v>26423</v>
      </c>
      <c r="F9477" t="s">
        <v>31362</v>
      </c>
      <c r="G9477" t="s">
        <v>31370</v>
      </c>
      <c r="H9477" t="s">
        <v>15799</v>
      </c>
      <c r="I9477" t="s">
        <v>7090</v>
      </c>
      <c r="J9477" t="s">
        <v>37292</v>
      </c>
      <c r="K9477" t="s">
        <v>40665</v>
      </c>
      <c r="M9477" t="s">
        <v>43876</v>
      </c>
      <c r="N9477" t="s">
        <v>44905</v>
      </c>
      <c r="O9477" t="s">
        <v>44906</v>
      </c>
      <c r="Q9477">
        <v>3</v>
      </c>
      <c r="R9477" t="s">
        <v>44913</v>
      </c>
      <c r="S9477" t="s">
        <v>45191</v>
      </c>
      <c r="T9477" t="s">
        <v>46396</v>
      </c>
      <c r="U9477" t="s">
        <v>54550</v>
      </c>
      <c r="V9477" t="s">
        <v>60003</v>
      </c>
      <c r="W9477" t="s">
        <v>43876</v>
      </c>
      <c r="X9477" t="s">
        <v>44914</v>
      </c>
    </row>
    <row r="9478" spans="1:24">
      <c r="A9478">
        <f>HYPERLINK("https://www.philgeps.gov.ph/GEPSNONPILOT/Tender/SplashBidNoticeAbstractUI.aspx?menuIndex=3&amp;refID=7072048&amp;Result=3","7072048")</f>
        <v>0</v>
      </c>
      <c r="B9478" t="s">
        <v>2746</v>
      </c>
      <c r="C9478" t="s">
        <v>12553</v>
      </c>
      <c r="D9478" t="s">
        <v>18181</v>
      </c>
      <c r="E9478" t="s">
        <v>26424</v>
      </c>
      <c r="F9478" t="s">
        <v>31362</v>
      </c>
      <c r="G9478" t="s">
        <v>31369</v>
      </c>
      <c r="H9478" t="s">
        <v>15799</v>
      </c>
      <c r="I9478" t="s">
        <v>7188</v>
      </c>
      <c r="J9478" t="s">
        <v>32016</v>
      </c>
      <c r="K9478" t="s">
        <v>40666</v>
      </c>
      <c r="L9478" t="s">
        <v>2746</v>
      </c>
      <c r="M9478" t="s">
        <v>43934</v>
      </c>
      <c r="N9478" t="s">
        <v>44905</v>
      </c>
      <c r="O9478" t="s">
        <v>44906</v>
      </c>
      <c r="P9478">
        <v>0</v>
      </c>
      <c r="Q9478">
        <v>5</v>
      </c>
      <c r="R9478" t="s">
        <v>44913</v>
      </c>
      <c r="S9478" t="s">
        <v>45170</v>
      </c>
      <c r="T9478" t="s">
        <v>46411</v>
      </c>
      <c r="U9478" t="s">
        <v>54551</v>
      </c>
      <c r="V9478" t="s">
        <v>60032</v>
      </c>
      <c r="W9478" t="s">
        <v>43934</v>
      </c>
      <c r="X9478" t="s">
        <v>44914</v>
      </c>
    </row>
    <row r="9479" spans="1:24">
      <c r="A9479">
        <f>HYPERLINK("https://www.philgeps.gov.ph/GEPSNONPILOT/Tender/SplashBidNoticeAbstractUI.aspx?menuIndex=3&amp;refID=7072044&amp;Result=3","7072044")</f>
        <v>0</v>
      </c>
      <c r="B9479" t="s">
        <v>2690</v>
      </c>
      <c r="C9479" t="s">
        <v>12554</v>
      </c>
      <c r="D9479" t="s">
        <v>18136</v>
      </c>
      <c r="E9479" t="s">
        <v>26425</v>
      </c>
      <c r="F9479" t="s">
        <v>31362</v>
      </c>
      <c r="G9479" t="s">
        <v>31370</v>
      </c>
      <c r="H9479" t="s">
        <v>15799</v>
      </c>
      <c r="I9479" t="s">
        <v>31387</v>
      </c>
      <c r="J9479" t="s">
        <v>37293</v>
      </c>
      <c r="K9479" t="s">
        <v>40665</v>
      </c>
      <c r="M9479" t="s">
        <v>43876</v>
      </c>
      <c r="N9479" t="s">
        <v>44905</v>
      </c>
      <c r="O9479" t="s">
        <v>44906</v>
      </c>
      <c r="Q9479">
        <v>4</v>
      </c>
      <c r="R9479" t="s">
        <v>44913</v>
      </c>
      <c r="S9479" t="s">
        <v>45192</v>
      </c>
      <c r="T9479" t="s">
        <v>46396</v>
      </c>
      <c r="U9479" t="s">
        <v>54550</v>
      </c>
      <c r="V9479" t="s">
        <v>60003</v>
      </c>
      <c r="W9479" t="s">
        <v>43876</v>
      </c>
      <c r="X9479" t="s">
        <v>44914</v>
      </c>
    </row>
    <row r="9480" spans="1:24">
      <c r="A9480">
        <f>HYPERLINK("https://www.philgeps.gov.ph/GEPSNONPILOT/Tender/SplashBidNoticeAbstractUI.aspx?menuIndex=3&amp;refID=7072033&amp;Result=3","7072033")</f>
        <v>0</v>
      </c>
      <c r="B9480" t="s">
        <v>87</v>
      </c>
      <c r="C9480" t="s">
        <v>12555</v>
      </c>
      <c r="D9480" t="s">
        <v>18109</v>
      </c>
      <c r="E9480" t="s">
        <v>26426</v>
      </c>
      <c r="F9480" t="s">
        <v>31362</v>
      </c>
      <c r="G9480" t="s">
        <v>31369</v>
      </c>
      <c r="H9480" t="s">
        <v>15799</v>
      </c>
      <c r="I9480" t="s">
        <v>31404</v>
      </c>
      <c r="J9480" t="s">
        <v>37294</v>
      </c>
      <c r="K9480" t="s">
        <v>40661</v>
      </c>
      <c r="M9480" t="s">
        <v>41023</v>
      </c>
      <c r="N9480" t="s">
        <v>44905</v>
      </c>
      <c r="O9480" t="s">
        <v>44906</v>
      </c>
      <c r="P9480">
        <v>0</v>
      </c>
      <c r="Q9480">
        <v>0</v>
      </c>
      <c r="R9480" t="s">
        <v>44913</v>
      </c>
      <c r="S9480" t="s">
        <v>45170</v>
      </c>
      <c r="T9480" t="s">
        <v>46435</v>
      </c>
      <c r="U9480" t="s">
        <v>54552</v>
      </c>
      <c r="W9480" t="s">
        <v>60832</v>
      </c>
      <c r="X9480" t="s">
        <v>44914</v>
      </c>
    </row>
    <row r="9481" spans="1:24">
      <c r="A9481">
        <f>HYPERLINK("https://www.philgeps.gov.ph/GEPSNONPILOT/Tender/SplashBidNoticeAbstractUI.aspx?menuIndex=3&amp;refID=7072030&amp;Result=3","7072030")</f>
        <v>0</v>
      </c>
      <c r="B9481" t="s">
        <v>806</v>
      </c>
      <c r="C9481" t="s">
        <v>12556</v>
      </c>
      <c r="D9481" t="s">
        <v>18108</v>
      </c>
      <c r="E9481" t="s">
        <v>26427</v>
      </c>
      <c r="F9481" t="s">
        <v>31362</v>
      </c>
      <c r="G9481" t="s">
        <v>31368</v>
      </c>
      <c r="H9481" t="s">
        <v>15799</v>
      </c>
      <c r="I9481" t="s">
        <v>4283</v>
      </c>
      <c r="J9481" t="s">
        <v>37295</v>
      </c>
      <c r="K9481" t="s">
        <v>40661</v>
      </c>
      <c r="M9481" t="s">
        <v>41777</v>
      </c>
      <c r="N9481" t="s">
        <v>44905</v>
      </c>
      <c r="O9481" t="s">
        <v>44906</v>
      </c>
      <c r="Q9481">
        <v>3</v>
      </c>
      <c r="R9481" t="s">
        <v>44913</v>
      </c>
      <c r="S9481" t="s">
        <v>45193</v>
      </c>
      <c r="T9481" t="s">
        <v>46432</v>
      </c>
      <c r="U9481" t="s">
        <v>49549</v>
      </c>
      <c r="W9481" t="s">
        <v>41777</v>
      </c>
      <c r="X9481" t="s">
        <v>44914</v>
      </c>
    </row>
    <row r="9482" spans="1:24">
      <c r="A9482">
        <f>HYPERLINK("https://www.philgeps.gov.ph/GEPSNONPILOT/Tender/SplashBidNoticeAbstractUI.aspx?menuIndex=3&amp;refID=7071909&amp;Result=3","7071909")</f>
        <v>0</v>
      </c>
      <c r="B9482" t="s">
        <v>2665</v>
      </c>
      <c r="C9482" t="s">
        <v>12557</v>
      </c>
      <c r="D9482" t="s">
        <v>18105</v>
      </c>
      <c r="E9482" t="s">
        <v>26428</v>
      </c>
      <c r="F9482" t="s">
        <v>31362</v>
      </c>
      <c r="G9482" t="s">
        <v>31369</v>
      </c>
      <c r="H9482" t="s">
        <v>15799</v>
      </c>
      <c r="I9482" t="s">
        <v>31393</v>
      </c>
      <c r="J9482" t="s">
        <v>34089</v>
      </c>
      <c r="K9482" t="s">
        <v>40697</v>
      </c>
      <c r="M9482" t="s">
        <v>43849</v>
      </c>
      <c r="N9482" t="s">
        <v>44905</v>
      </c>
      <c r="O9482" t="s">
        <v>44906</v>
      </c>
      <c r="P9482">
        <v>0</v>
      </c>
      <c r="Q9482">
        <v>1</v>
      </c>
      <c r="R9482" t="s">
        <v>44913</v>
      </c>
      <c r="S9482" t="s">
        <v>45170</v>
      </c>
      <c r="T9482" t="s">
        <v>46461</v>
      </c>
      <c r="U9482" t="s">
        <v>54553</v>
      </c>
      <c r="W9482" t="s">
        <v>43849</v>
      </c>
      <c r="X9482" t="s">
        <v>44914</v>
      </c>
    </row>
    <row r="9483" spans="1:24">
      <c r="A9483">
        <f>HYPERLINK("https://www.philgeps.gov.ph/GEPSNONPILOT/Tender/SplashBidNoticeAbstractUI.aspx?menuIndex=3&amp;refID=7072020&amp;Result=3","7072020")</f>
        <v>0</v>
      </c>
      <c r="B9483" t="s">
        <v>2747</v>
      </c>
      <c r="C9483" t="s">
        <v>12558</v>
      </c>
      <c r="D9483" t="s">
        <v>18132</v>
      </c>
      <c r="E9483" t="s">
        <v>26429</v>
      </c>
      <c r="F9483" t="s">
        <v>31362</v>
      </c>
      <c r="G9483" t="s">
        <v>31369</v>
      </c>
      <c r="H9483" t="s">
        <v>15799</v>
      </c>
      <c r="I9483" t="s">
        <v>31386</v>
      </c>
      <c r="J9483" t="s">
        <v>37296</v>
      </c>
      <c r="K9483" t="s">
        <v>40672</v>
      </c>
      <c r="M9483" t="s">
        <v>43935</v>
      </c>
      <c r="N9483" t="s">
        <v>44905</v>
      </c>
      <c r="O9483" t="s">
        <v>44906</v>
      </c>
      <c r="P9483">
        <v>0</v>
      </c>
      <c r="Q9483">
        <v>0</v>
      </c>
      <c r="R9483" t="s">
        <v>44913</v>
      </c>
      <c r="S9483" t="s">
        <v>45170</v>
      </c>
      <c r="T9483" t="s">
        <v>46432</v>
      </c>
      <c r="U9483" t="s">
        <v>54554</v>
      </c>
      <c r="V9483" t="s">
        <v>60033</v>
      </c>
      <c r="W9483" t="s">
        <v>43935</v>
      </c>
      <c r="X9483" t="s">
        <v>44914</v>
      </c>
    </row>
    <row r="9484" spans="1:24">
      <c r="A9484">
        <f>HYPERLINK("https://www.philgeps.gov.ph/GEPSNONPILOT/Tender/SplashBidNoticeAbstractUI.aspx?menuIndex=3&amp;refID=7072032&amp;Result=3","7072032")</f>
        <v>0</v>
      </c>
      <c r="B9484" t="s">
        <v>2690</v>
      </c>
      <c r="C9484" t="s">
        <v>12559</v>
      </c>
      <c r="D9484" t="s">
        <v>18136</v>
      </c>
      <c r="E9484" t="s">
        <v>26430</v>
      </c>
      <c r="F9484" t="s">
        <v>31362</v>
      </c>
      <c r="G9484" t="s">
        <v>31370</v>
      </c>
      <c r="H9484" t="s">
        <v>15799</v>
      </c>
      <c r="I9484" t="s">
        <v>31387</v>
      </c>
      <c r="J9484" t="s">
        <v>37297</v>
      </c>
      <c r="K9484" t="s">
        <v>40665</v>
      </c>
      <c r="M9484" t="s">
        <v>43876</v>
      </c>
      <c r="N9484" t="s">
        <v>44905</v>
      </c>
      <c r="O9484" t="s">
        <v>44906</v>
      </c>
      <c r="Q9484">
        <v>4</v>
      </c>
      <c r="R9484" t="s">
        <v>44913</v>
      </c>
      <c r="S9484" t="s">
        <v>45194</v>
      </c>
      <c r="T9484" t="s">
        <v>46396</v>
      </c>
      <c r="U9484" t="s">
        <v>54555</v>
      </c>
      <c r="V9484" t="s">
        <v>60003</v>
      </c>
      <c r="W9484" t="s">
        <v>43876</v>
      </c>
      <c r="X9484" t="s">
        <v>44914</v>
      </c>
    </row>
    <row r="9485" spans="1:24">
      <c r="A9485">
        <f>HYPERLINK("https://www.philgeps.gov.ph/GEPSNONPILOT/Tender/SplashBidNoticeAbstractUI.aspx?menuIndex=3&amp;refID=7071919&amp;Result=3","7071919")</f>
        <v>0</v>
      </c>
      <c r="B9485" t="s">
        <v>2748</v>
      </c>
      <c r="C9485" t="s">
        <v>12560</v>
      </c>
      <c r="D9485" t="s">
        <v>18124</v>
      </c>
      <c r="E9485" t="s">
        <v>26431</v>
      </c>
      <c r="F9485" t="s">
        <v>31362</v>
      </c>
      <c r="G9485" t="s">
        <v>31369</v>
      </c>
      <c r="H9485" t="s">
        <v>15799</v>
      </c>
      <c r="I9485" t="s">
        <v>31386</v>
      </c>
      <c r="J9485" t="s">
        <v>37298</v>
      </c>
      <c r="K9485" t="s">
        <v>40662</v>
      </c>
      <c r="M9485" t="s">
        <v>43936</v>
      </c>
      <c r="N9485" t="s">
        <v>44905</v>
      </c>
      <c r="O9485" t="s">
        <v>44906</v>
      </c>
      <c r="P9485">
        <v>0</v>
      </c>
      <c r="Q9485">
        <v>0</v>
      </c>
      <c r="R9485" t="s">
        <v>44913</v>
      </c>
      <c r="S9485" t="s">
        <v>45170</v>
      </c>
      <c r="T9485" t="s">
        <v>46432</v>
      </c>
      <c r="U9485" t="s">
        <v>54556</v>
      </c>
      <c r="W9485" t="s">
        <v>43936</v>
      </c>
      <c r="X9485" t="s">
        <v>44914</v>
      </c>
    </row>
    <row r="9486" spans="1:24">
      <c r="A9486">
        <f>HYPERLINK("https://www.philgeps.gov.ph/GEPSNONPILOT/Tender/SplashBidNoticeAbstractUI.aspx?menuIndex=3&amp;refID=7072170&amp;Result=3","7072170")</f>
        <v>0</v>
      </c>
      <c r="B9486" t="s">
        <v>2749</v>
      </c>
      <c r="C9486" t="s">
        <v>12561</v>
      </c>
      <c r="D9486" t="s">
        <v>18122</v>
      </c>
      <c r="E9486" t="s">
        <v>26432</v>
      </c>
      <c r="F9486" t="s">
        <v>31362</v>
      </c>
      <c r="G9486" t="s">
        <v>31369</v>
      </c>
      <c r="H9486" t="s">
        <v>15799</v>
      </c>
      <c r="I9486" t="s">
        <v>31430</v>
      </c>
      <c r="J9486" t="s">
        <v>31546</v>
      </c>
      <c r="K9486" t="s">
        <v>40666</v>
      </c>
      <c r="M9486" t="s">
        <v>43937</v>
      </c>
      <c r="N9486" t="s">
        <v>44905</v>
      </c>
      <c r="O9486" t="s">
        <v>44906</v>
      </c>
      <c r="P9486">
        <v>0</v>
      </c>
      <c r="Q9486">
        <v>0</v>
      </c>
      <c r="R9486" t="s">
        <v>44913</v>
      </c>
      <c r="S9486" t="s">
        <v>45170</v>
      </c>
      <c r="T9486" t="s">
        <v>46414</v>
      </c>
      <c r="U9486" t="s">
        <v>54557</v>
      </c>
      <c r="W9486" t="s">
        <v>43937</v>
      </c>
      <c r="X9486" t="s">
        <v>44914</v>
      </c>
    </row>
    <row r="9487" spans="1:24">
      <c r="A9487">
        <f>HYPERLINK("https://www.philgeps.gov.ph/GEPSNONPILOT/Tender/SplashBidNoticeAbstractUI.aspx?menuIndex=3&amp;refID=7071914&amp;Result=3","7071914")</f>
        <v>0</v>
      </c>
      <c r="B9487" t="s">
        <v>1952</v>
      </c>
      <c r="C9487" t="s">
        <v>12562</v>
      </c>
      <c r="D9487" t="s">
        <v>18114</v>
      </c>
      <c r="E9487" t="s">
        <v>26433</v>
      </c>
      <c r="F9487" t="s">
        <v>31362</v>
      </c>
      <c r="G9487" t="s">
        <v>31369</v>
      </c>
      <c r="H9487" t="s">
        <v>31378</v>
      </c>
      <c r="I9487" t="s">
        <v>31386</v>
      </c>
      <c r="J9487" t="s">
        <v>37299</v>
      </c>
      <c r="K9487" t="s">
        <v>40855</v>
      </c>
      <c r="M9487" t="s">
        <v>43057</v>
      </c>
      <c r="N9487" t="s">
        <v>44905</v>
      </c>
      <c r="O9487" t="s">
        <v>44906</v>
      </c>
      <c r="P9487">
        <v>0</v>
      </c>
      <c r="Q9487">
        <v>21</v>
      </c>
      <c r="R9487" t="s">
        <v>44913</v>
      </c>
      <c r="S9487" t="s">
        <v>45170</v>
      </c>
      <c r="T9487" t="s">
        <v>46504</v>
      </c>
      <c r="U9487" t="s">
        <v>54558</v>
      </c>
      <c r="V9487" t="s">
        <v>59409</v>
      </c>
      <c r="W9487" t="s">
        <v>43057</v>
      </c>
      <c r="X9487" t="s">
        <v>44914</v>
      </c>
    </row>
    <row r="9488" spans="1:24">
      <c r="A9488">
        <f>HYPERLINK("https://www.philgeps.gov.ph/GEPSNONPILOT/Tender/SplashBidNoticeAbstractUI.aspx?menuIndex=3&amp;refID=7072166&amp;Result=3","7072166")</f>
        <v>0</v>
      </c>
      <c r="B9488" t="s">
        <v>2741</v>
      </c>
      <c r="C9488" t="s">
        <v>12563</v>
      </c>
      <c r="D9488" t="s">
        <v>18177</v>
      </c>
      <c r="E9488" t="s">
        <v>26434</v>
      </c>
      <c r="F9488" t="s">
        <v>31362</v>
      </c>
      <c r="G9488" t="s">
        <v>31369</v>
      </c>
      <c r="H9488" t="s">
        <v>15799</v>
      </c>
      <c r="I9488" t="s">
        <v>31430</v>
      </c>
      <c r="J9488" t="s">
        <v>37300</v>
      </c>
      <c r="K9488" t="s">
        <v>40666</v>
      </c>
      <c r="M9488" t="s">
        <v>43929</v>
      </c>
      <c r="N9488" t="s">
        <v>44905</v>
      </c>
      <c r="O9488" t="s">
        <v>44906</v>
      </c>
      <c r="P9488">
        <v>0</v>
      </c>
      <c r="Q9488">
        <v>0</v>
      </c>
      <c r="R9488" t="s">
        <v>44913</v>
      </c>
      <c r="S9488" t="s">
        <v>45170</v>
      </c>
      <c r="T9488" t="s">
        <v>46671</v>
      </c>
      <c r="U9488" t="s">
        <v>54559</v>
      </c>
      <c r="W9488" t="s">
        <v>43929</v>
      </c>
      <c r="X9488" t="s">
        <v>44914</v>
      </c>
    </row>
    <row r="9489" spans="1:24">
      <c r="A9489">
        <f>HYPERLINK("https://www.philgeps.gov.ph/GEPSNONPILOT/Tender/SplashBidNoticeAbstractUI.aspx?menuIndex=3&amp;refID=7072162&amp;Result=3","7072162")</f>
        <v>0</v>
      </c>
      <c r="B9489" t="s">
        <v>814</v>
      </c>
      <c r="C9489" t="s">
        <v>12564</v>
      </c>
      <c r="D9489" t="s">
        <v>18112</v>
      </c>
      <c r="E9489" t="s">
        <v>26435</v>
      </c>
      <c r="F9489" t="s">
        <v>31362</v>
      </c>
      <c r="G9489" t="s">
        <v>31372</v>
      </c>
      <c r="H9489" t="s">
        <v>15799</v>
      </c>
      <c r="I9489" t="s">
        <v>31455</v>
      </c>
      <c r="J9489" t="s">
        <v>32597</v>
      </c>
      <c r="K9489" t="s">
        <v>40679</v>
      </c>
      <c r="M9489" t="s">
        <v>43938</v>
      </c>
      <c r="N9489" t="s">
        <v>44905</v>
      </c>
      <c r="O9489" t="s">
        <v>44906</v>
      </c>
      <c r="Q9489">
        <v>1</v>
      </c>
      <c r="R9489" t="s">
        <v>44913</v>
      </c>
      <c r="S9489" t="s">
        <v>45195</v>
      </c>
      <c r="T9489" t="s">
        <v>46615</v>
      </c>
      <c r="U9489" t="s">
        <v>54560</v>
      </c>
      <c r="V9489" t="s">
        <v>59257</v>
      </c>
      <c r="W9489" t="s">
        <v>43938</v>
      </c>
      <c r="X9489" t="s">
        <v>44914</v>
      </c>
    </row>
    <row r="9490" spans="1:24">
      <c r="A9490">
        <f>HYPERLINK("https://www.philgeps.gov.ph/GEPSNONPILOT/Tender/SplashBidNoticeAbstractUI.aspx?menuIndex=3&amp;refID=7072157&amp;Result=3","7072157")</f>
        <v>0</v>
      </c>
      <c r="B9490" t="s">
        <v>2750</v>
      </c>
      <c r="C9490" t="s">
        <v>9984</v>
      </c>
      <c r="D9490" t="s">
        <v>18143</v>
      </c>
      <c r="E9490" t="s">
        <v>24265</v>
      </c>
      <c r="F9490" t="s">
        <v>31362</v>
      </c>
      <c r="G9490" t="s">
        <v>31369</v>
      </c>
      <c r="H9490" t="s">
        <v>15799</v>
      </c>
      <c r="I9490" t="s">
        <v>31392</v>
      </c>
      <c r="J9490" t="s">
        <v>37301</v>
      </c>
      <c r="K9490" t="s">
        <v>40661</v>
      </c>
      <c r="M9490" t="s">
        <v>43939</v>
      </c>
      <c r="N9490" t="s">
        <v>44905</v>
      </c>
      <c r="O9490" t="s">
        <v>44906</v>
      </c>
      <c r="P9490">
        <v>0</v>
      </c>
      <c r="Q9490">
        <v>0</v>
      </c>
      <c r="R9490" t="s">
        <v>44913</v>
      </c>
      <c r="S9490" t="s">
        <v>45170</v>
      </c>
      <c r="T9490" t="s">
        <v>46411</v>
      </c>
      <c r="U9490" t="s">
        <v>54561</v>
      </c>
      <c r="W9490" t="s">
        <v>43939</v>
      </c>
      <c r="X9490" t="s">
        <v>44914</v>
      </c>
    </row>
    <row r="9491" spans="1:24">
      <c r="A9491">
        <f>HYPERLINK("https://www.philgeps.gov.ph/GEPSNONPILOT/Tender/SplashBidNoticeAbstractUI.aspx?menuIndex=3&amp;refID=7072064&amp;Result=3","7072064")</f>
        <v>0</v>
      </c>
      <c r="B9491" t="s">
        <v>2751</v>
      </c>
      <c r="C9491" t="s">
        <v>12565</v>
      </c>
      <c r="E9491" t="s">
        <v>26436</v>
      </c>
      <c r="F9491" t="s">
        <v>31362</v>
      </c>
      <c r="G9491" t="s">
        <v>31368</v>
      </c>
      <c r="H9491" t="s">
        <v>31378</v>
      </c>
      <c r="I9491" t="s">
        <v>31386</v>
      </c>
      <c r="J9491" t="s">
        <v>31734</v>
      </c>
      <c r="K9491" t="s">
        <v>40731</v>
      </c>
      <c r="M9491" t="s">
        <v>43940</v>
      </c>
      <c r="N9491" t="s">
        <v>44905</v>
      </c>
      <c r="O9491" t="s">
        <v>44906</v>
      </c>
      <c r="P9491">
        <v>0</v>
      </c>
      <c r="Q9491">
        <v>1</v>
      </c>
      <c r="R9491" t="s">
        <v>44913</v>
      </c>
      <c r="S9491" t="s">
        <v>45170</v>
      </c>
      <c r="T9491" t="s">
        <v>46506</v>
      </c>
      <c r="U9491" t="s">
        <v>54562</v>
      </c>
      <c r="W9491" t="s">
        <v>43940</v>
      </c>
      <c r="X9491" t="s">
        <v>44914</v>
      </c>
    </row>
    <row r="9492" spans="1:24">
      <c r="A9492">
        <f>HYPERLINK("https://www.philgeps.gov.ph/GEPSNONPILOT/Tender/SplashBidNoticeAbstractUI.aspx?menuIndex=3&amp;refID=7072151&amp;Result=3","7072151")</f>
        <v>0</v>
      </c>
      <c r="B9492" t="s">
        <v>1174</v>
      </c>
      <c r="C9492" t="s">
        <v>12566</v>
      </c>
      <c r="D9492" t="s">
        <v>18127</v>
      </c>
      <c r="E9492" t="s">
        <v>26437</v>
      </c>
      <c r="F9492" t="s">
        <v>31362</v>
      </c>
      <c r="G9492" t="s">
        <v>31369</v>
      </c>
      <c r="H9492" t="s">
        <v>15799</v>
      </c>
      <c r="I9492" t="s">
        <v>31445</v>
      </c>
      <c r="J9492" t="s">
        <v>35623</v>
      </c>
      <c r="K9492" t="s">
        <v>40682</v>
      </c>
      <c r="M9492" t="s">
        <v>43941</v>
      </c>
      <c r="N9492" t="s">
        <v>44905</v>
      </c>
      <c r="O9492" t="s">
        <v>44906</v>
      </c>
      <c r="P9492">
        <v>0</v>
      </c>
      <c r="Q9492">
        <v>4</v>
      </c>
      <c r="R9492" t="s">
        <v>44913</v>
      </c>
      <c r="S9492" t="s">
        <v>45170</v>
      </c>
      <c r="T9492" t="s">
        <v>46604</v>
      </c>
      <c r="U9492" t="s">
        <v>54563</v>
      </c>
      <c r="W9492" t="s">
        <v>43941</v>
      </c>
      <c r="X9492" t="s">
        <v>44914</v>
      </c>
    </row>
    <row r="9493" spans="1:24">
      <c r="A9493">
        <f>HYPERLINK("https://www.philgeps.gov.ph/GEPSNONPILOT/Tender/SplashBidNoticeAbstractUI.aspx?menuIndex=3&amp;refID=7072181&amp;Result=3","7072181")</f>
        <v>0</v>
      </c>
      <c r="B9493" t="s">
        <v>2752</v>
      </c>
      <c r="C9493" t="s">
        <v>12567</v>
      </c>
      <c r="D9493" t="s">
        <v>18148</v>
      </c>
      <c r="E9493" t="s">
        <v>26438</v>
      </c>
      <c r="F9493" t="s">
        <v>31362</v>
      </c>
      <c r="G9493" t="s">
        <v>31369</v>
      </c>
      <c r="H9493" t="s">
        <v>15799</v>
      </c>
      <c r="I9493" t="s">
        <v>31393</v>
      </c>
      <c r="J9493" t="s">
        <v>31634</v>
      </c>
      <c r="K9493" t="s">
        <v>40665</v>
      </c>
      <c r="M9493" t="s">
        <v>43942</v>
      </c>
      <c r="N9493" t="s">
        <v>44905</v>
      </c>
      <c r="O9493" t="s">
        <v>44906</v>
      </c>
      <c r="P9493">
        <v>0</v>
      </c>
      <c r="Q9493">
        <v>7</v>
      </c>
      <c r="R9493" t="s">
        <v>44913</v>
      </c>
      <c r="S9493" t="s">
        <v>45170</v>
      </c>
      <c r="T9493" t="s">
        <v>46696</v>
      </c>
      <c r="U9493" t="s">
        <v>54564</v>
      </c>
      <c r="W9493" t="s">
        <v>43942</v>
      </c>
      <c r="X9493" t="s">
        <v>44914</v>
      </c>
    </row>
    <row r="9494" spans="1:24">
      <c r="A9494">
        <f>HYPERLINK("https://www.philgeps.gov.ph/GEPSNONPILOT/Tender/SplashBidNoticeAbstractUI.aspx?menuIndex=3&amp;refID=7072174&amp;Result=3","7072174")</f>
        <v>0</v>
      </c>
      <c r="B9494" t="s">
        <v>2753</v>
      </c>
      <c r="C9494" t="s">
        <v>12568</v>
      </c>
      <c r="D9494" t="s">
        <v>18104</v>
      </c>
      <c r="E9494" t="s">
        <v>26439</v>
      </c>
      <c r="F9494" t="s">
        <v>31362</v>
      </c>
      <c r="G9494" t="s">
        <v>31369</v>
      </c>
      <c r="H9494" t="s">
        <v>15799</v>
      </c>
      <c r="I9494" t="s">
        <v>31393</v>
      </c>
      <c r="J9494" t="s">
        <v>37302</v>
      </c>
      <c r="K9494" t="s">
        <v>40665</v>
      </c>
      <c r="M9494" t="s">
        <v>43943</v>
      </c>
      <c r="N9494" t="s">
        <v>44905</v>
      </c>
      <c r="O9494" t="s">
        <v>44906</v>
      </c>
      <c r="P9494">
        <v>0</v>
      </c>
      <c r="Q9494">
        <v>4</v>
      </c>
      <c r="R9494" t="s">
        <v>44913</v>
      </c>
      <c r="S9494" t="s">
        <v>45170</v>
      </c>
      <c r="T9494" t="s">
        <v>46470</v>
      </c>
      <c r="U9494" t="s">
        <v>54565</v>
      </c>
      <c r="V9494" t="s">
        <v>60034</v>
      </c>
      <c r="W9494" t="s">
        <v>43943</v>
      </c>
      <c r="X9494" t="s">
        <v>44914</v>
      </c>
    </row>
    <row r="9495" spans="1:24">
      <c r="A9495">
        <f>HYPERLINK("https://www.philgeps.gov.ph/GEPSNONPILOT/Tender/SplashBidNoticeAbstractUI.aspx?menuIndex=3&amp;refID=7072149&amp;Result=3","7072149")</f>
        <v>0</v>
      </c>
      <c r="B9495" t="s">
        <v>1174</v>
      </c>
      <c r="C9495" t="s">
        <v>12569</v>
      </c>
      <c r="D9495" t="s">
        <v>18127</v>
      </c>
      <c r="E9495" t="s">
        <v>12569</v>
      </c>
      <c r="F9495" t="s">
        <v>31362</v>
      </c>
      <c r="G9495" t="s">
        <v>31369</v>
      </c>
      <c r="H9495" t="s">
        <v>15799</v>
      </c>
      <c r="I9495" t="s">
        <v>31427</v>
      </c>
      <c r="J9495" t="s">
        <v>37303</v>
      </c>
      <c r="K9495" t="s">
        <v>40665</v>
      </c>
      <c r="M9495" t="s">
        <v>43941</v>
      </c>
      <c r="N9495" t="s">
        <v>44905</v>
      </c>
      <c r="O9495" t="s">
        <v>44906</v>
      </c>
      <c r="P9495">
        <v>0</v>
      </c>
      <c r="Q9495">
        <v>10</v>
      </c>
      <c r="R9495" t="s">
        <v>44913</v>
      </c>
      <c r="S9495" t="s">
        <v>45170</v>
      </c>
      <c r="T9495" t="s">
        <v>46511</v>
      </c>
      <c r="U9495" t="s">
        <v>54566</v>
      </c>
      <c r="W9495" t="s">
        <v>43941</v>
      </c>
      <c r="X9495" t="s">
        <v>44914</v>
      </c>
    </row>
    <row r="9496" spans="1:24">
      <c r="A9496">
        <f>HYPERLINK("https://www.philgeps.gov.ph/GEPSNONPILOT/Tender/SplashBidNoticeAbstractUI.aspx?menuIndex=3&amp;refID=7072140&amp;Result=3","7072140")</f>
        <v>0</v>
      </c>
      <c r="B9496" t="s">
        <v>1960</v>
      </c>
      <c r="C9496" t="s">
        <v>8287</v>
      </c>
      <c r="D9496" t="s">
        <v>18120</v>
      </c>
      <c r="E9496" t="s">
        <v>26440</v>
      </c>
      <c r="F9496" t="s">
        <v>31362</v>
      </c>
      <c r="G9496" t="s">
        <v>31369</v>
      </c>
      <c r="H9496" t="s">
        <v>31378</v>
      </c>
      <c r="I9496" t="s">
        <v>31386</v>
      </c>
      <c r="J9496" t="s">
        <v>37304</v>
      </c>
      <c r="K9496" t="s">
        <v>40678</v>
      </c>
      <c r="M9496" t="s">
        <v>43066</v>
      </c>
      <c r="N9496" t="s">
        <v>44905</v>
      </c>
      <c r="O9496" t="s">
        <v>44906</v>
      </c>
      <c r="P9496">
        <v>0</v>
      </c>
      <c r="Q9496">
        <v>0</v>
      </c>
      <c r="R9496" t="s">
        <v>44913</v>
      </c>
      <c r="S9496" t="s">
        <v>45170</v>
      </c>
      <c r="T9496" t="s">
        <v>46413</v>
      </c>
      <c r="U9496" t="s">
        <v>54567</v>
      </c>
      <c r="W9496" t="s">
        <v>43066</v>
      </c>
      <c r="X9496" t="s">
        <v>44914</v>
      </c>
    </row>
    <row r="9497" spans="1:24">
      <c r="A9497">
        <f>HYPERLINK("https://www.philgeps.gov.ph/GEPSNONPILOT/Tender/SplashBidNoticeAbstractUI.aspx?menuIndex=3&amp;refID=7072188&amp;Result=3","7072188")</f>
        <v>0</v>
      </c>
      <c r="B9497" t="s">
        <v>2422</v>
      </c>
      <c r="C9497" t="s">
        <v>12570</v>
      </c>
      <c r="D9497" t="s">
        <v>18164</v>
      </c>
      <c r="E9497" t="s">
        <v>26441</v>
      </c>
      <c r="F9497" t="s">
        <v>31362</v>
      </c>
      <c r="G9497" t="s">
        <v>31369</v>
      </c>
      <c r="H9497" t="s">
        <v>31378</v>
      </c>
      <c r="I9497" t="s">
        <v>31386</v>
      </c>
      <c r="J9497" t="s">
        <v>37305</v>
      </c>
      <c r="K9497" t="s">
        <v>40679</v>
      </c>
      <c r="M9497" t="s">
        <v>43579</v>
      </c>
      <c r="N9497" t="s">
        <v>44905</v>
      </c>
      <c r="O9497" t="s">
        <v>44906</v>
      </c>
      <c r="P9497">
        <v>0</v>
      </c>
      <c r="Q9497">
        <v>0</v>
      </c>
      <c r="R9497" t="s">
        <v>44913</v>
      </c>
      <c r="S9497" t="s">
        <v>45170</v>
      </c>
      <c r="T9497" t="s">
        <v>46671</v>
      </c>
      <c r="U9497" t="s">
        <v>54568</v>
      </c>
      <c r="V9497" t="s">
        <v>59860</v>
      </c>
      <c r="W9497" t="s">
        <v>43579</v>
      </c>
      <c r="X9497" t="s">
        <v>44914</v>
      </c>
    </row>
    <row r="9498" spans="1:24">
      <c r="A9498">
        <f>HYPERLINK("https://www.philgeps.gov.ph/GEPSNONPILOT/Tender/SplashBidNoticeAbstractUI.aspx?menuIndex=3&amp;refID=7072228&amp;Result=3","7072228")</f>
        <v>0</v>
      </c>
      <c r="B9498" t="s">
        <v>2101</v>
      </c>
      <c r="C9498" t="s">
        <v>12571</v>
      </c>
      <c r="E9498" t="s">
        <v>26442</v>
      </c>
      <c r="F9498" t="s">
        <v>31362</v>
      </c>
      <c r="G9498" t="s">
        <v>31369</v>
      </c>
      <c r="H9498" t="s">
        <v>31378</v>
      </c>
      <c r="I9498" t="s">
        <v>31386</v>
      </c>
      <c r="J9498" t="s">
        <v>34185</v>
      </c>
      <c r="K9498" t="s">
        <v>40684</v>
      </c>
      <c r="M9498" t="s">
        <v>43225</v>
      </c>
      <c r="N9498" t="s">
        <v>44905</v>
      </c>
      <c r="O9498" t="s">
        <v>44906</v>
      </c>
      <c r="Q9498">
        <v>2</v>
      </c>
      <c r="R9498" t="s">
        <v>44913</v>
      </c>
      <c r="S9498" t="s">
        <v>45196</v>
      </c>
      <c r="T9498" t="s">
        <v>46486</v>
      </c>
      <c r="U9498" t="s">
        <v>54569</v>
      </c>
      <c r="V9498" t="s">
        <v>59733</v>
      </c>
      <c r="W9498" t="s">
        <v>43225</v>
      </c>
      <c r="X9498" t="s">
        <v>44914</v>
      </c>
    </row>
    <row r="9499" spans="1:24">
      <c r="A9499">
        <f>HYPERLINK("https://www.philgeps.gov.ph/GEPSNONPILOT/Tender/SplashBidNoticeAbstractUI.aspx?menuIndex=3&amp;refID=7072144&amp;Result=3","7072144")</f>
        <v>0</v>
      </c>
      <c r="B9499" t="s">
        <v>234</v>
      </c>
      <c r="C9499" t="s">
        <v>12572</v>
      </c>
      <c r="D9499" t="s">
        <v>18108</v>
      </c>
      <c r="E9499" t="s">
        <v>26443</v>
      </c>
      <c r="F9499" t="s">
        <v>31362</v>
      </c>
      <c r="G9499" t="s">
        <v>31369</v>
      </c>
      <c r="H9499" t="s">
        <v>15799</v>
      </c>
      <c r="I9499" t="s">
        <v>7719</v>
      </c>
      <c r="J9499" t="s">
        <v>37306</v>
      </c>
      <c r="K9499" t="s">
        <v>40665</v>
      </c>
      <c r="M9499" t="s">
        <v>43944</v>
      </c>
      <c r="N9499" t="s">
        <v>44905</v>
      </c>
      <c r="O9499" t="s">
        <v>44906</v>
      </c>
      <c r="P9499">
        <v>0</v>
      </c>
      <c r="Q9499">
        <v>4</v>
      </c>
      <c r="R9499" t="s">
        <v>44913</v>
      </c>
      <c r="S9499" t="s">
        <v>45170</v>
      </c>
      <c r="T9499" t="s">
        <v>46466</v>
      </c>
      <c r="U9499" t="s">
        <v>54570</v>
      </c>
      <c r="W9499" t="s">
        <v>43944</v>
      </c>
      <c r="X9499" t="s">
        <v>44914</v>
      </c>
    </row>
    <row r="9500" spans="1:24">
      <c r="A9500">
        <f>HYPERLINK("https://www.philgeps.gov.ph/GEPSNONPILOT/Tender/SplashBidNoticeAbstractUI.aspx?menuIndex=3&amp;refID=7072240&amp;Result=3","7072240")</f>
        <v>0</v>
      </c>
      <c r="B9500" t="s">
        <v>2754</v>
      </c>
      <c r="C9500" t="s">
        <v>12573</v>
      </c>
      <c r="D9500" t="s">
        <v>18108</v>
      </c>
      <c r="E9500" t="s">
        <v>26444</v>
      </c>
      <c r="F9500" t="s">
        <v>31362</v>
      </c>
      <c r="G9500" t="s">
        <v>31369</v>
      </c>
      <c r="H9500" t="s">
        <v>31378</v>
      </c>
      <c r="I9500" t="s">
        <v>31386</v>
      </c>
      <c r="J9500" t="s">
        <v>37307</v>
      </c>
      <c r="K9500" t="s">
        <v>40675</v>
      </c>
      <c r="M9500" t="s">
        <v>43945</v>
      </c>
      <c r="N9500" t="s">
        <v>44905</v>
      </c>
      <c r="O9500" t="s">
        <v>44906</v>
      </c>
      <c r="P9500">
        <v>0</v>
      </c>
      <c r="Q9500">
        <v>98</v>
      </c>
      <c r="R9500" t="s">
        <v>44913</v>
      </c>
      <c r="S9500" t="s">
        <v>45170</v>
      </c>
      <c r="T9500" t="s">
        <v>46479</v>
      </c>
      <c r="U9500" t="s">
        <v>54571</v>
      </c>
      <c r="W9500" t="s">
        <v>43945</v>
      </c>
      <c r="X9500" t="s">
        <v>44914</v>
      </c>
    </row>
    <row r="9501" spans="1:24">
      <c r="A9501">
        <f>HYPERLINK("https://www.philgeps.gov.ph/GEPSNONPILOT/Tender/SplashBidNoticeAbstractUI.aspx?menuIndex=3&amp;refID=7072234&amp;Result=3","7072234")</f>
        <v>0</v>
      </c>
      <c r="B9501" t="s">
        <v>2754</v>
      </c>
      <c r="C9501" t="s">
        <v>12574</v>
      </c>
      <c r="D9501" t="s">
        <v>18108</v>
      </c>
      <c r="E9501" t="s">
        <v>26445</v>
      </c>
      <c r="F9501" t="s">
        <v>31362</v>
      </c>
      <c r="G9501" t="s">
        <v>31369</v>
      </c>
      <c r="H9501" t="s">
        <v>31378</v>
      </c>
      <c r="I9501" t="s">
        <v>31386</v>
      </c>
      <c r="J9501" t="s">
        <v>37308</v>
      </c>
      <c r="K9501" t="s">
        <v>40678</v>
      </c>
      <c r="M9501" t="s">
        <v>43945</v>
      </c>
      <c r="N9501" t="s">
        <v>44905</v>
      </c>
      <c r="O9501" t="s">
        <v>44906</v>
      </c>
      <c r="P9501">
        <v>0</v>
      </c>
      <c r="Q9501">
        <v>163</v>
      </c>
      <c r="R9501" t="s">
        <v>44913</v>
      </c>
      <c r="S9501" t="s">
        <v>45170</v>
      </c>
      <c r="T9501" t="s">
        <v>46479</v>
      </c>
      <c r="U9501" t="s">
        <v>54572</v>
      </c>
      <c r="W9501" t="s">
        <v>43945</v>
      </c>
      <c r="X9501" t="s">
        <v>44914</v>
      </c>
    </row>
    <row r="9502" spans="1:24">
      <c r="A9502">
        <f>HYPERLINK("https://www.philgeps.gov.ph/GEPSNONPILOT/Tender/SplashBidNoticeAbstractUI.aspx?menuIndex=3&amp;refID=7072235&amp;Result=3","7072235")</f>
        <v>0</v>
      </c>
      <c r="B9502" t="s">
        <v>2101</v>
      </c>
      <c r="C9502" t="s">
        <v>12575</v>
      </c>
      <c r="E9502" t="s">
        <v>26446</v>
      </c>
      <c r="F9502" t="s">
        <v>31362</v>
      </c>
      <c r="G9502" t="s">
        <v>31369</v>
      </c>
      <c r="H9502" t="s">
        <v>31378</v>
      </c>
      <c r="I9502" t="s">
        <v>31386</v>
      </c>
      <c r="J9502" t="s">
        <v>31726</v>
      </c>
      <c r="K9502" t="s">
        <v>40679</v>
      </c>
      <c r="M9502" t="s">
        <v>43225</v>
      </c>
      <c r="N9502" t="s">
        <v>44905</v>
      </c>
      <c r="O9502" t="s">
        <v>44906</v>
      </c>
      <c r="Q9502">
        <v>0</v>
      </c>
      <c r="R9502" t="s">
        <v>44913</v>
      </c>
      <c r="S9502" t="s">
        <v>45197</v>
      </c>
      <c r="T9502" t="s">
        <v>46486</v>
      </c>
      <c r="U9502" t="s">
        <v>54569</v>
      </c>
      <c r="V9502" t="s">
        <v>59733</v>
      </c>
      <c r="W9502" t="s">
        <v>43225</v>
      </c>
      <c r="X9502" t="s">
        <v>44914</v>
      </c>
    </row>
    <row r="9503" spans="1:24">
      <c r="A9503">
        <f>HYPERLINK("https://www.philgeps.gov.ph/GEPSNONPILOT/Tender/SplashBidNoticeAbstractUI.aspx?menuIndex=3&amp;refID=7072232&amp;Result=3","7072232")</f>
        <v>0</v>
      </c>
      <c r="B9503" t="s">
        <v>2101</v>
      </c>
      <c r="C9503" t="s">
        <v>12576</v>
      </c>
      <c r="E9503" t="s">
        <v>26447</v>
      </c>
      <c r="F9503" t="s">
        <v>31362</v>
      </c>
      <c r="G9503" t="s">
        <v>31369</v>
      </c>
      <c r="H9503" t="s">
        <v>31378</v>
      </c>
      <c r="I9503" t="s">
        <v>31386</v>
      </c>
      <c r="J9503" t="s">
        <v>31625</v>
      </c>
      <c r="K9503" t="s">
        <v>40675</v>
      </c>
      <c r="M9503" t="s">
        <v>43225</v>
      </c>
      <c r="N9503" t="s">
        <v>44905</v>
      </c>
      <c r="O9503" t="s">
        <v>44906</v>
      </c>
      <c r="Q9503">
        <v>0</v>
      </c>
      <c r="R9503" t="s">
        <v>44913</v>
      </c>
      <c r="S9503" t="s">
        <v>45198</v>
      </c>
      <c r="T9503" t="s">
        <v>46486</v>
      </c>
      <c r="U9503" t="s">
        <v>54569</v>
      </c>
      <c r="V9503" t="s">
        <v>59733</v>
      </c>
      <c r="W9503" t="s">
        <v>43225</v>
      </c>
      <c r="X9503" t="s">
        <v>44914</v>
      </c>
    </row>
    <row r="9504" spans="1:24">
      <c r="A9504">
        <f>HYPERLINK("https://www.philgeps.gov.ph/GEPSNONPILOT/Tender/SplashBidNoticeAbstractUI.aspx?menuIndex=3&amp;refID=7072155&amp;Result=3","7072155")</f>
        <v>0</v>
      </c>
      <c r="B9504" t="s">
        <v>2755</v>
      </c>
      <c r="C9504" t="s">
        <v>12577</v>
      </c>
      <c r="D9504" t="s">
        <v>18116</v>
      </c>
      <c r="E9504" t="s">
        <v>19253</v>
      </c>
      <c r="F9504" t="s">
        <v>31362</v>
      </c>
      <c r="G9504" t="s">
        <v>31369</v>
      </c>
      <c r="H9504" t="s">
        <v>31378</v>
      </c>
      <c r="I9504" t="s">
        <v>31439</v>
      </c>
      <c r="J9504" t="s">
        <v>35031</v>
      </c>
      <c r="K9504" t="s">
        <v>40682</v>
      </c>
      <c r="M9504" t="s">
        <v>43946</v>
      </c>
      <c r="N9504" t="s">
        <v>44905</v>
      </c>
      <c r="O9504" t="s">
        <v>44906</v>
      </c>
      <c r="P9504">
        <v>0</v>
      </c>
      <c r="Q9504">
        <v>0</v>
      </c>
      <c r="R9504" t="s">
        <v>44913</v>
      </c>
      <c r="S9504" t="s">
        <v>45170</v>
      </c>
      <c r="T9504" t="s">
        <v>46471</v>
      </c>
      <c r="U9504" t="s">
        <v>54573</v>
      </c>
      <c r="W9504" t="s">
        <v>43946</v>
      </c>
      <c r="X9504" t="s">
        <v>44914</v>
      </c>
    </row>
    <row r="9505" spans="1:24">
      <c r="A9505">
        <f>HYPERLINK("https://www.philgeps.gov.ph/GEPSNONPILOT/Tender/SplashBidNoticeAbstractUI.aspx?menuIndex=3&amp;refID=7072226&amp;Result=3","7072226")</f>
        <v>0</v>
      </c>
      <c r="B9505" t="s">
        <v>2101</v>
      </c>
      <c r="C9505" t="s">
        <v>12578</v>
      </c>
      <c r="E9505" t="s">
        <v>26448</v>
      </c>
      <c r="F9505" t="s">
        <v>31362</v>
      </c>
      <c r="G9505" t="s">
        <v>31369</v>
      </c>
      <c r="H9505" t="s">
        <v>31378</v>
      </c>
      <c r="I9505" t="s">
        <v>31386</v>
      </c>
      <c r="J9505" t="s">
        <v>35695</v>
      </c>
      <c r="K9505" t="s">
        <v>40692</v>
      </c>
      <c r="M9505" t="s">
        <v>43225</v>
      </c>
      <c r="N9505" t="s">
        <v>44905</v>
      </c>
      <c r="O9505" t="s">
        <v>44906</v>
      </c>
      <c r="Q9505">
        <v>7</v>
      </c>
      <c r="R9505" t="s">
        <v>44913</v>
      </c>
      <c r="S9505" t="s">
        <v>45199</v>
      </c>
      <c r="T9505" t="s">
        <v>46486</v>
      </c>
      <c r="U9505" t="s">
        <v>54569</v>
      </c>
      <c r="V9505" t="s">
        <v>59733</v>
      </c>
      <c r="W9505" t="s">
        <v>43225</v>
      </c>
      <c r="X9505" t="s">
        <v>44914</v>
      </c>
    </row>
    <row r="9506" spans="1:24">
      <c r="A9506">
        <f>HYPERLINK("https://www.philgeps.gov.ph/GEPSNONPILOT/Tender/SplashBidNoticeAbstractUI.aspx?menuIndex=3&amp;refID=7071942&amp;Result=3","7071942")</f>
        <v>0</v>
      </c>
      <c r="B9506" t="s">
        <v>2753</v>
      </c>
      <c r="C9506" t="s">
        <v>12579</v>
      </c>
      <c r="D9506" t="s">
        <v>18104</v>
      </c>
      <c r="E9506" t="s">
        <v>26449</v>
      </c>
      <c r="F9506" t="s">
        <v>31362</v>
      </c>
      <c r="G9506" t="s">
        <v>31369</v>
      </c>
      <c r="H9506" t="s">
        <v>15799</v>
      </c>
      <c r="I9506" t="s">
        <v>6373</v>
      </c>
      <c r="J9506" t="s">
        <v>37309</v>
      </c>
      <c r="K9506" t="s">
        <v>40665</v>
      </c>
      <c r="M9506" t="s">
        <v>43943</v>
      </c>
      <c r="N9506" t="s">
        <v>44905</v>
      </c>
      <c r="O9506" t="s">
        <v>44906</v>
      </c>
      <c r="P9506">
        <v>0</v>
      </c>
      <c r="Q9506">
        <v>4</v>
      </c>
      <c r="R9506" t="s">
        <v>44913</v>
      </c>
      <c r="S9506" t="s">
        <v>45170</v>
      </c>
      <c r="T9506" t="s">
        <v>46470</v>
      </c>
      <c r="U9506" t="s">
        <v>54574</v>
      </c>
      <c r="V9506" t="s">
        <v>60034</v>
      </c>
      <c r="W9506" t="s">
        <v>43943</v>
      </c>
      <c r="X9506" t="s">
        <v>44914</v>
      </c>
    </row>
    <row r="9507" spans="1:24">
      <c r="A9507">
        <f>HYPERLINK("https://www.philgeps.gov.ph/GEPSNONPILOT/Tender/SplashBidNoticeAbstractUI.aspx?menuIndex=3&amp;refID=7072222&amp;Result=3","7072222")</f>
        <v>0</v>
      </c>
      <c r="B9507" t="s">
        <v>2101</v>
      </c>
      <c r="C9507" t="s">
        <v>12580</v>
      </c>
      <c r="E9507" t="s">
        <v>26450</v>
      </c>
      <c r="F9507" t="s">
        <v>31362</v>
      </c>
      <c r="G9507" t="s">
        <v>31369</v>
      </c>
      <c r="H9507" t="s">
        <v>31378</v>
      </c>
      <c r="I9507" t="s">
        <v>31386</v>
      </c>
      <c r="J9507" t="s">
        <v>35984</v>
      </c>
      <c r="K9507" t="s">
        <v>40678</v>
      </c>
      <c r="M9507" t="s">
        <v>43225</v>
      </c>
      <c r="N9507" t="s">
        <v>44905</v>
      </c>
      <c r="O9507" t="s">
        <v>44906</v>
      </c>
      <c r="Q9507">
        <v>1</v>
      </c>
      <c r="R9507" t="s">
        <v>44913</v>
      </c>
      <c r="S9507" t="s">
        <v>45200</v>
      </c>
      <c r="T9507" t="s">
        <v>46486</v>
      </c>
      <c r="U9507" t="s">
        <v>54569</v>
      </c>
      <c r="V9507" t="s">
        <v>59733</v>
      </c>
      <c r="W9507" t="s">
        <v>43225</v>
      </c>
      <c r="X9507" t="s">
        <v>44914</v>
      </c>
    </row>
    <row r="9508" spans="1:24">
      <c r="A9508">
        <f>HYPERLINK("https://www.philgeps.gov.ph/GEPSNONPILOT/Tender/SplashBidNoticeAbstractUI.aspx?menuIndex=3&amp;refID=7072216&amp;Result=3","7072216")</f>
        <v>0</v>
      </c>
      <c r="B9508" t="s">
        <v>2753</v>
      </c>
      <c r="C9508" t="s">
        <v>12581</v>
      </c>
      <c r="D9508" t="s">
        <v>18104</v>
      </c>
      <c r="E9508" t="s">
        <v>26451</v>
      </c>
      <c r="F9508" t="s">
        <v>31362</v>
      </c>
      <c r="G9508" t="s">
        <v>31369</v>
      </c>
      <c r="H9508" t="s">
        <v>15799</v>
      </c>
      <c r="I9508" t="s">
        <v>31384</v>
      </c>
      <c r="J9508" t="s">
        <v>37310</v>
      </c>
      <c r="K9508" t="s">
        <v>40665</v>
      </c>
      <c r="M9508" t="s">
        <v>43943</v>
      </c>
      <c r="N9508" t="s">
        <v>44905</v>
      </c>
      <c r="O9508" t="s">
        <v>44906</v>
      </c>
      <c r="P9508">
        <v>0</v>
      </c>
      <c r="Q9508">
        <v>9</v>
      </c>
      <c r="R9508" t="s">
        <v>44913</v>
      </c>
      <c r="S9508" t="s">
        <v>45170</v>
      </c>
      <c r="T9508" t="s">
        <v>46573</v>
      </c>
      <c r="U9508" t="s">
        <v>54575</v>
      </c>
      <c r="V9508" t="s">
        <v>60035</v>
      </c>
      <c r="W9508" t="s">
        <v>43943</v>
      </c>
      <c r="X9508" t="s">
        <v>44914</v>
      </c>
    </row>
    <row r="9509" spans="1:24">
      <c r="A9509">
        <f>HYPERLINK("https://www.philgeps.gov.ph/GEPSNONPILOT/Tender/SplashBidNoticeAbstractUI.aspx?menuIndex=3&amp;refID=7072154&amp;Result=3","7072154")</f>
        <v>0</v>
      </c>
      <c r="B9509" t="s">
        <v>2756</v>
      </c>
      <c r="C9509" t="s">
        <v>12582</v>
      </c>
      <c r="D9509" t="s">
        <v>18158</v>
      </c>
      <c r="E9509" t="s">
        <v>19844</v>
      </c>
      <c r="F9509" t="s">
        <v>31362</v>
      </c>
      <c r="G9509" t="s">
        <v>31369</v>
      </c>
      <c r="H9509" t="s">
        <v>31378</v>
      </c>
      <c r="I9509" t="s">
        <v>31386</v>
      </c>
      <c r="J9509" t="s">
        <v>37311</v>
      </c>
      <c r="K9509" t="s">
        <v>40666</v>
      </c>
      <c r="M9509" t="s">
        <v>43947</v>
      </c>
      <c r="N9509" t="s">
        <v>44905</v>
      </c>
      <c r="O9509" t="s">
        <v>44906</v>
      </c>
      <c r="P9509">
        <v>0</v>
      </c>
      <c r="Q9509">
        <v>0</v>
      </c>
      <c r="R9509" t="s">
        <v>44913</v>
      </c>
      <c r="S9509" t="s">
        <v>45170</v>
      </c>
      <c r="T9509" t="s">
        <v>46618</v>
      </c>
      <c r="U9509" t="s">
        <v>54576</v>
      </c>
      <c r="W9509" t="s">
        <v>43947</v>
      </c>
      <c r="X9509" t="s">
        <v>44914</v>
      </c>
    </row>
    <row r="9510" spans="1:24">
      <c r="A9510">
        <f>HYPERLINK("https://www.philgeps.gov.ph/GEPSNONPILOT/Tender/SplashBidNoticeAbstractUI.aspx?menuIndex=3&amp;refID=7072230&amp;Result=3","7072230")</f>
        <v>0</v>
      </c>
      <c r="B9510" t="s">
        <v>2101</v>
      </c>
      <c r="C9510" t="s">
        <v>12583</v>
      </c>
      <c r="E9510" t="s">
        <v>26452</v>
      </c>
      <c r="F9510" t="s">
        <v>31362</v>
      </c>
      <c r="G9510" t="s">
        <v>31369</v>
      </c>
      <c r="H9510" t="s">
        <v>31378</v>
      </c>
      <c r="I9510" t="s">
        <v>31386</v>
      </c>
      <c r="J9510" t="s">
        <v>37006</v>
      </c>
      <c r="K9510" t="s">
        <v>40683</v>
      </c>
      <c r="M9510" t="s">
        <v>43225</v>
      </c>
      <c r="N9510" t="s">
        <v>44905</v>
      </c>
      <c r="O9510" t="s">
        <v>44906</v>
      </c>
      <c r="Q9510">
        <v>0</v>
      </c>
      <c r="R9510" t="s">
        <v>44913</v>
      </c>
      <c r="S9510" t="s">
        <v>45201</v>
      </c>
      <c r="T9510" t="s">
        <v>46486</v>
      </c>
      <c r="U9510" t="s">
        <v>54569</v>
      </c>
      <c r="V9510" t="s">
        <v>59733</v>
      </c>
      <c r="W9510" t="s">
        <v>43225</v>
      </c>
      <c r="X9510" t="s">
        <v>44914</v>
      </c>
    </row>
    <row r="9511" spans="1:24">
      <c r="A9511">
        <f>HYPERLINK("https://www.philgeps.gov.ph/GEPSNONPILOT/Tender/SplashBidNoticeAbstractUI.aspx?menuIndex=3&amp;refID=7072227&amp;Result=3","7072227")</f>
        <v>0</v>
      </c>
      <c r="B9511" t="s">
        <v>2754</v>
      </c>
      <c r="C9511" t="s">
        <v>12584</v>
      </c>
      <c r="D9511" t="s">
        <v>18108</v>
      </c>
      <c r="E9511" t="s">
        <v>26453</v>
      </c>
      <c r="F9511" t="s">
        <v>31362</v>
      </c>
      <c r="G9511" t="s">
        <v>31369</v>
      </c>
      <c r="H9511" t="s">
        <v>31378</v>
      </c>
      <c r="I9511" t="s">
        <v>31386</v>
      </c>
      <c r="J9511" t="s">
        <v>37312</v>
      </c>
      <c r="K9511" t="s">
        <v>40678</v>
      </c>
      <c r="M9511" t="s">
        <v>43945</v>
      </c>
      <c r="N9511" t="s">
        <v>44905</v>
      </c>
      <c r="O9511" t="s">
        <v>44906</v>
      </c>
      <c r="P9511">
        <v>0</v>
      </c>
      <c r="Q9511">
        <v>163</v>
      </c>
      <c r="R9511" t="s">
        <v>44913</v>
      </c>
      <c r="S9511" t="s">
        <v>45170</v>
      </c>
      <c r="T9511" t="s">
        <v>46479</v>
      </c>
      <c r="U9511" t="s">
        <v>54572</v>
      </c>
      <c r="W9511" t="s">
        <v>43945</v>
      </c>
      <c r="X9511" t="s">
        <v>44914</v>
      </c>
    </row>
    <row r="9512" spans="1:24">
      <c r="A9512">
        <f>HYPERLINK("https://www.philgeps.gov.ph/GEPSNONPILOT/Tender/SplashBidNoticeAbstractUI.aspx?menuIndex=3&amp;refID=7072141&amp;Result=3","7072141")</f>
        <v>0</v>
      </c>
      <c r="B9512" t="s">
        <v>1960</v>
      </c>
      <c r="C9512" t="s">
        <v>12585</v>
      </c>
      <c r="D9512" t="s">
        <v>18120</v>
      </c>
      <c r="E9512" t="s">
        <v>26454</v>
      </c>
      <c r="F9512" t="s">
        <v>31362</v>
      </c>
      <c r="G9512" t="s">
        <v>31369</v>
      </c>
      <c r="H9512" t="s">
        <v>15799</v>
      </c>
      <c r="I9512" t="s">
        <v>7090</v>
      </c>
      <c r="J9512" t="s">
        <v>33097</v>
      </c>
      <c r="K9512" t="s">
        <v>40661</v>
      </c>
      <c r="M9512" t="s">
        <v>43066</v>
      </c>
      <c r="N9512" t="s">
        <v>44905</v>
      </c>
      <c r="O9512" t="s">
        <v>44906</v>
      </c>
      <c r="P9512">
        <v>0</v>
      </c>
      <c r="Q9512">
        <v>3</v>
      </c>
      <c r="R9512" t="s">
        <v>44913</v>
      </c>
      <c r="S9512" t="s">
        <v>45170</v>
      </c>
      <c r="T9512" t="s">
        <v>46413</v>
      </c>
      <c r="U9512" t="s">
        <v>54577</v>
      </c>
      <c r="W9512" t="s">
        <v>43066</v>
      </c>
      <c r="X9512" t="s">
        <v>44914</v>
      </c>
    </row>
    <row r="9513" spans="1:24">
      <c r="A9513">
        <f>HYPERLINK("https://www.philgeps.gov.ph/GEPSNONPILOT/Tender/SplashBidNoticeAbstractUI.aspx?menuIndex=3&amp;refID=7072284&amp;Result=3","7072284")</f>
        <v>0</v>
      </c>
      <c r="B9513" t="s">
        <v>2757</v>
      </c>
      <c r="C9513" t="s">
        <v>12586</v>
      </c>
      <c r="D9513" t="s">
        <v>18156</v>
      </c>
      <c r="E9513" t="s">
        <v>26455</v>
      </c>
      <c r="F9513" t="s">
        <v>31362</v>
      </c>
      <c r="G9513" t="s">
        <v>31369</v>
      </c>
      <c r="H9513" t="s">
        <v>31378</v>
      </c>
      <c r="I9513" t="s">
        <v>31386</v>
      </c>
      <c r="J9513" t="s">
        <v>37313</v>
      </c>
      <c r="K9513" t="s">
        <v>40682</v>
      </c>
      <c r="M9513" t="s">
        <v>43948</v>
      </c>
      <c r="N9513" t="s">
        <v>44905</v>
      </c>
      <c r="O9513" t="s">
        <v>44906</v>
      </c>
      <c r="P9513">
        <v>0</v>
      </c>
      <c r="Q9513">
        <v>11</v>
      </c>
      <c r="R9513" t="s">
        <v>44913</v>
      </c>
      <c r="S9513" t="s">
        <v>45170</v>
      </c>
      <c r="T9513" t="s">
        <v>46486</v>
      </c>
      <c r="U9513" t="s">
        <v>54578</v>
      </c>
      <c r="V9513" t="s">
        <v>60036</v>
      </c>
      <c r="W9513" t="s">
        <v>43948</v>
      </c>
      <c r="X9513" t="s">
        <v>44914</v>
      </c>
    </row>
    <row r="9514" spans="1:24">
      <c r="A9514">
        <f>HYPERLINK("https://www.philgeps.gov.ph/GEPSNONPILOT/Tender/SplashBidNoticeAbstractUI.aspx?menuIndex=3&amp;refID=7072283&amp;Result=3","7072283")</f>
        <v>0</v>
      </c>
      <c r="B9514" t="s">
        <v>2757</v>
      </c>
      <c r="C9514" t="s">
        <v>12587</v>
      </c>
      <c r="D9514" t="s">
        <v>18156</v>
      </c>
      <c r="E9514" t="s">
        <v>26456</v>
      </c>
      <c r="F9514" t="s">
        <v>31362</v>
      </c>
      <c r="G9514" t="s">
        <v>31369</v>
      </c>
      <c r="H9514" t="s">
        <v>31378</v>
      </c>
      <c r="I9514" t="s">
        <v>31386</v>
      </c>
      <c r="J9514" t="s">
        <v>31534</v>
      </c>
      <c r="K9514" t="s">
        <v>40856</v>
      </c>
      <c r="M9514" t="s">
        <v>43948</v>
      </c>
      <c r="N9514" t="s">
        <v>44905</v>
      </c>
      <c r="O9514" t="s">
        <v>44906</v>
      </c>
      <c r="P9514">
        <v>0</v>
      </c>
      <c r="Q9514">
        <v>16</v>
      </c>
      <c r="R9514" t="s">
        <v>44913</v>
      </c>
      <c r="S9514" t="s">
        <v>45170</v>
      </c>
      <c r="T9514" t="s">
        <v>46486</v>
      </c>
      <c r="U9514" t="s">
        <v>54579</v>
      </c>
      <c r="V9514" t="s">
        <v>60037</v>
      </c>
      <c r="W9514" t="s">
        <v>43948</v>
      </c>
      <c r="X9514" t="s">
        <v>44914</v>
      </c>
    </row>
    <row r="9515" spans="1:24">
      <c r="A9515">
        <f>HYPERLINK("https://www.philgeps.gov.ph/GEPSNONPILOT/Tender/SplashBidNoticeAbstractUI.aspx?menuIndex=3&amp;refID=7071828&amp;Result=3","7071828")</f>
        <v>0</v>
      </c>
      <c r="B9515" t="s">
        <v>2741</v>
      </c>
      <c r="C9515" t="s">
        <v>12588</v>
      </c>
      <c r="D9515" t="s">
        <v>18177</v>
      </c>
      <c r="E9515" t="s">
        <v>26457</v>
      </c>
      <c r="F9515" t="s">
        <v>31362</v>
      </c>
      <c r="G9515" t="s">
        <v>31369</v>
      </c>
      <c r="H9515" t="s">
        <v>31378</v>
      </c>
      <c r="I9515" t="s">
        <v>31386</v>
      </c>
      <c r="J9515" t="s">
        <v>31531</v>
      </c>
      <c r="K9515" t="s">
        <v>40665</v>
      </c>
      <c r="M9515" t="s">
        <v>43929</v>
      </c>
      <c r="N9515" t="s">
        <v>44905</v>
      </c>
      <c r="O9515" t="s">
        <v>44906</v>
      </c>
      <c r="P9515">
        <v>0</v>
      </c>
      <c r="Q9515">
        <v>0</v>
      </c>
      <c r="R9515" t="s">
        <v>44913</v>
      </c>
      <c r="S9515" t="s">
        <v>45170</v>
      </c>
      <c r="T9515" t="s">
        <v>46671</v>
      </c>
      <c r="U9515" t="s">
        <v>54580</v>
      </c>
      <c r="W9515" t="s">
        <v>43929</v>
      </c>
      <c r="X9515" t="s">
        <v>44914</v>
      </c>
    </row>
    <row r="9516" spans="1:24">
      <c r="A9516">
        <f>HYPERLINK("https://www.philgeps.gov.ph/GEPSNONPILOT/Tender/SplashBidNoticeAbstractUI.aspx?menuIndex=3&amp;refID=7072278&amp;Result=3","7072278")</f>
        <v>0</v>
      </c>
      <c r="B9516" t="s">
        <v>2187</v>
      </c>
      <c r="C9516" t="s">
        <v>12589</v>
      </c>
      <c r="D9516" t="s">
        <v>18108</v>
      </c>
      <c r="E9516" t="s">
        <v>26458</v>
      </c>
      <c r="F9516" t="s">
        <v>31362</v>
      </c>
      <c r="G9516" t="s">
        <v>31369</v>
      </c>
      <c r="H9516" t="s">
        <v>31378</v>
      </c>
      <c r="I9516" t="s">
        <v>31386</v>
      </c>
      <c r="J9516" t="s">
        <v>37314</v>
      </c>
      <c r="K9516" t="s">
        <v>40684</v>
      </c>
      <c r="M9516" t="s">
        <v>43832</v>
      </c>
      <c r="N9516" t="s">
        <v>44905</v>
      </c>
      <c r="O9516" t="s">
        <v>44906</v>
      </c>
      <c r="P9516">
        <v>0</v>
      </c>
      <c r="Q9516">
        <v>35</v>
      </c>
      <c r="R9516" t="s">
        <v>44913</v>
      </c>
      <c r="S9516" t="s">
        <v>45170</v>
      </c>
      <c r="T9516" t="s">
        <v>46672</v>
      </c>
      <c r="U9516" t="s">
        <v>54265</v>
      </c>
      <c r="V9516" t="s">
        <v>60038</v>
      </c>
      <c r="W9516" t="s">
        <v>43832</v>
      </c>
      <c r="X9516" t="s">
        <v>44914</v>
      </c>
    </row>
    <row r="9517" spans="1:24">
      <c r="A9517">
        <f>HYPERLINK("https://www.philgeps.gov.ph/GEPSNONPILOT/Tender/SplashBidNoticeAbstractUI.aspx?menuIndex=3&amp;refID=7072274&amp;Result=3","7072274")</f>
        <v>0</v>
      </c>
      <c r="B9517" t="s">
        <v>2187</v>
      </c>
      <c r="C9517" t="s">
        <v>12590</v>
      </c>
      <c r="D9517" t="s">
        <v>18108</v>
      </c>
      <c r="E9517" t="s">
        <v>26459</v>
      </c>
      <c r="F9517" t="s">
        <v>31362</v>
      </c>
      <c r="G9517" t="s">
        <v>31369</v>
      </c>
      <c r="H9517" t="s">
        <v>31378</v>
      </c>
      <c r="I9517" t="s">
        <v>31386</v>
      </c>
      <c r="J9517" t="s">
        <v>37315</v>
      </c>
      <c r="K9517" t="s">
        <v>40692</v>
      </c>
      <c r="M9517" t="s">
        <v>43832</v>
      </c>
      <c r="N9517" t="s">
        <v>44905</v>
      </c>
      <c r="O9517" t="s">
        <v>44906</v>
      </c>
      <c r="P9517">
        <v>0</v>
      </c>
      <c r="Q9517">
        <v>36</v>
      </c>
      <c r="R9517" t="s">
        <v>44913</v>
      </c>
      <c r="S9517" t="s">
        <v>45170</v>
      </c>
      <c r="T9517" t="s">
        <v>46672</v>
      </c>
      <c r="U9517" t="s">
        <v>54265</v>
      </c>
      <c r="V9517" t="s">
        <v>60039</v>
      </c>
      <c r="W9517" t="s">
        <v>43832</v>
      </c>
      <c r="X9517" t="s">
        <v>44914</v>
      </c>
    </row>
    <row r="9518" spans="1:24">
      <c r="A9518">
        <f>HYPERLINK("https://www.philgeps.gov.ph/GEPSNONPILOT/Tender/SplashBidNoticeAbstractUI.aspx?menuIndex=3&amp;refID=6938174&amp;Result=3","6938174")</f>
        <v>0</v>
      </c>
      <c r="B9518" t="s">
        <v>2758</v>
      </c>
      <c r="C9518" t="s">
        <v>12591</v>
      </c>
      <c r="D9518" t="s">
        <v>18134</v>
      </c>
      <c r="E9518" t="s">
        <v>22664</v>
      </c>
      <c r="F9518" t="s">
        <v>31362</v>
      </c>
      <c r="G9518" t="s">
        <v>31369</v>
      </c>
      <c r="H9518" t="s">
        <v>31378</v>
      </c>
      <c r="I9518" t="s">
        <v>31386</v>
      </c>
      <c r="J9518" t="s">
        <v>31722</v>
      </c>
      <c r="K9518" t="s">
        <v>40758</v>
      </c>
      <c r="M9518" t="s">
        <v>43949</v>
      </c>
      <c r="N9518" t="s">
        <v>44905</v>
      </c>
      <c r="O9518" t="s">
        <v>44906</v>
      </c>
      <c r="P9518">
        <v>0</v>
      </c>
      <c r="Q9518">
        <v>0</v>
      </c>
      <c r="R9518" t="s">
        <v>44914</v>
      </c>
      <c r="S9518" t="s">
        <v>45202</v>
      </c>
      <c r="T9518" t="s">
        <v>46625</v>
      </c>
      <c r="U9518" t="s">
        <v>54581</v>
      </c>
      <c r="W9518" t="s">
        <v>43949</v>
      </c>
      <c r="X9518" t="s">
        <v>44971</v>
      </c>
    </row>
    <row r="9519" spans="1:24">
      <c r="A9519">
        <f>HYPERLINK("https://www.philgeps.gov.ph/GEPSNONPILOT/Tender/SplashBidNoticeAbstractUI.aspx?menuIndex=3&amp;refID=7072270&amp;Result=3","7072270")</f>
        <v>0</v>
      </c>
      <c r="B9519" t="s">
        <v>2754</v>
      </c>
      <c r="C9519" t="s">
        <v>12592</v>
      </c>
      <c r="D9519" t="s">
        <v>18108</v>
      </c>
      <c r="E9519" t="s">
        <v>26460</v>
      </c>
      <c r="F9519" t="s">
        <v>31362</v>
      </c>
      <c r="G9519" t="s">
        <v>31369</v>
      </c>
      <c r="H9519" t="s">
        <v>31378</v>
      </c>
      <c r="I9519" t="s">
        <v>31386</v>
      </c>
      <c r="J9519" t="s">
        <v>37316</v>
      </c>
      <c r="K9519" t="s">
        <v>40783</v>
      </c>
      <c r="M9519" t="s">
        <v>43945</v>
      </c>
      <c r="N9519" t="s">
        <v>44905</v>
      </c>
      <c r="O9519" t="s">
        <v>44906</v>
      </c>
      <c r="P9519">
        <v>0</v>
      </c>
      <c r="Q9519">
        <v>158</v>
      </c>
      <c r="R9519" t="s">
        <v>44913</v>
      </c>
      <c r="S9519" t="s">
        <v>45170</v>
      </c>
      <c r="T9519" t="s">
        <v>46479</v>
      </c>
      <c r="U9519" t="s">
        <v>54582</v>
      </c>
      <c r="W9519" t="s">
        <v>43945</v>
      </c>
      <c r="X9519" t="s">
        <v>44914</v>
      </c>
    </row>
    <row r="9520" spans="1:24">
      <c r="A9520">
        <f>HYPERLINK("https://www.philgeps.gov.ph/GEPSNONPILOT/Tender/SplashBidNoticeAbstractUI.aspx?menuIndex=3&amp;refID=7072210&amp;Result=3","7072210")</f>
        <v>0</v>
      </c>
      <c r="B9520" t="s">
        <v>873</v>
      </c>
      <c r="C9520" t="s">
        <v>12593</v>
      </c>
      <c r="D9520" t="s">
        <v>18116</v>
      </c>
      <c r="E9520" t="s">
        <v>26461</v>
      </c>
      <c r="F9520" t="s">
        <v>31362</v>
      </c>
      <c r="G9520" t="s">
        <v>31369</v>
      </c>
      <c r="H9520" t="s">
        <v>31378</v>
      </c>
      <c r="I9520" t="s">
        <v>31386</v>
      </c>
      <c r="J9520" t="s">
        <v>37317</v>
      </c>
      <c r="K9520" t="s">
        <v>40679</v>
      </c>
      <c r="L9520" t="s">
        <v>873</v>
      </c>
      <c r="M9520" t="s">
        <v>41849</v>
      </c>
      <c r="N9520" t="s">
        <v>44905</v>
      </c>
      <c r="O9520" t="s">
        <v>44906</v>
      </c>
      <c r="P9520">
        <v>0</v>
      </c>
      <c r="Q9520">
        <v>3</v>
      </c>
      <c r="R9520" t="s">
        <v>44913</v>
      </c>
      <c r="S9520" t="s">
        <v>45170</v>
      </c>
      <c r="T9520" t="s">
        <v>46479</v>
      </c>
      <c r="U9520" t="s">
        <v>54583</v>
      </c>
      <c r="V9520" t="s">
        <v>60040</v>
      </c>
      <c r="W9520" t="s">
        <v>41849</v>
      </c>
      <c r="X9520" t="s">
        <v>44914</v>
      </c>
    </row>
    <row r="9521" spans="1:24">
      <c r="A9521">
        <f>HYPERLINK("https://www.philgeps.gov.ph/GEPSNONPILOT/Tender/SplashBidNoticeAbstractUI.aspx?menuIndex=3&amp;refID=6932693&amp;Result=3","6932693")</f>
        <v>0</v>
      </c>
      <c r="B9521" t="s">
        <v>2759</v>
      </c>
      <c r="C9521" t="s">
        <v>10910</v>
      </c>
      <c r="E9521" t="s">
        <v>24819</v>
      </c>
      <c r="F9521" t="s">
        <v>31362</v>
      </c>
      <c r="G9521" t="s">
        <v>31369</v>
      </c>
      <c r="H9521" t="s">
        <v>15799</v>
      </c>
      <c r="I9521" t="s">
        <v>31386</v>
      </c>
      <c r="J9521" t="s">
        <v>37318</v>
      </c>
      <c r="K9521" t="s">
        <v>40662</v>
      </c>
      <c r="M9521" t="s">
        <v>43950</v>
      </c>
      <c r="N9521" t="s">
        <v>44905</v>
      </c>
      <c r="O9521" t="s">
        <v>44906</v>
      </c>
      <c r="P9521">
        <v>0</v>
      </c>
      <c r="Q9521">
        <v>0</v>
      </c>
      <c r="R9521" t="s">
        <v>44914</v>
      </c>
      <c r="S9521" t="s">
        <v>45202</v>
      </c>
      <c r="T9521" t="s">
        <v>46409</v>
      </c>
      <c r="U9521" t="s">
        <v>51318</v>
      </c>
      <c r="W9521" t="s">
        <v>43950</v>
      </c>
      <c r="X9521" t="s">
        <v>44975</v>
      </c>
    </row>
    <row r="9522" spans="1:24">
      <c r="A9522">
        <f>HYPERLINK("https://www.philgeps.gov.ph/GEPSNONPILOT/Tender/SplashBidNoticeAbstractUI.aspx?menuIndex=3&amp;refID=7072282&amp;Result=3","7072282")</f>
        <v>0</v>
      </c>
      <c r="B9522" t="s">
        <v>2757</v>
      </c>
      <c r="C9522" t="s">
        <v>12594</v>
      </c>
      <c r="D9522" t="s">
        <v>18156</v>
      </c>
      <c r="E9522" t="s">
        <v>26462</v>
      </c>
      <c r="F9522" t="s">
        <v>31362</v>
      </c>
      <c r="G9522" t="s">
        <v>31369</v>
      </c>
      <c r="H9522" t="s">
        <v>31378</v>
      </c>
      <c r="I9522" t="s">
        <v>31386</v>
      </c>
      <c r="J9522" t="s">
        <v>31534</v>
      </c>
      <c r="K9522" t="s">
        <v>40856</v>
      </c>
      <c r="M9522" t="s">
        <v>43948</v>
      </c>
      <c r="N9522" t="s">
        <v>44905</v>
      </c>
      <c r="O9522" t="s">
        <v>44906</v>
      </c>
      <c r="P9522">
        <v>0</v>
      </c>
      <c r="Q9522">
        <v>19</v>
      </c>
      <c r="R9522" t="s">
        <v>44913</v>
      </c>
      <c r="S9522" t="s">
        <v>45170</v>
      </c>
      <c r="T9522" t="s">
        <v>46486</v>
      </c>
      <c r="U9522" t="s">
        <v>54584</v>
      </c>
      <c r="V9522" t="s">
        <v>60041</v>
      </c>
      <c r="W9522" t="s">
        <v>43948</v>
      </c>
      <c r="X9522" t="s">
        <v>44914</v>
      </c>
    </row>
    <row r="9523" spans="1:24">
      <c r="A9523">
        <f>HYPERLINK("https://www.philgeps.gov.ph/GEPSNONPILOT/Tender/SplashBidNoticeAbstractUI.aspx?menuIndex=3&amp;refID=7072263&amp;Result=3","7072263")</f>
        <v>0</v>
      </c>
      <c r="B9523" t="s">
        <v>2760</v>
      </c>
      <c r="C9523" t="s">
        <v>12595</v>
      </c>
      <c r="D9523" t="s">
        <v>18123</v>
      </c>
      <c r="E9523" t="s">
        <v>26463</v>
      </c>
      <c r="F9523" t="s">
        <v>31362</v>
      </c>
      <c r="G9523" t="s">
        <v>31372</v>
      </c>
      <c r="H9523" t="s">
        <v>15799</v>
      </c>
      <c r="I9523" t="s">
        <v>31404</v>
      </c>
      <c r="J9523" t="s">
        <v>37319</v>
      </c>
      <c r="K9523" t="s">
        <v>40665</v>
      </c>
      <c r="M9523" t="s">
        <v>43951</v>
      </c>
      <c r="N9523" t="s">
        <v>44905</v>
      </c>
      <c r="O9523" t="s">
        <v>44906</v>
      </c>
      <c r="P9523">
        <v>0</v>
      </c>
      <c r="Q9523">
        <v>0</v>
      </c>
      <c r="R9523" t="s">
        <v>44913</v>
      </c>
      <c r="S9523" t="s">
        <v>45170</v>
      </c>
      <c r="T9523" t="s">
        <v>46409</v>
      </c>
      <c r="U9523" t="s">
        <v>54585</v>
      </c>
      <c r="V9523" t="s">
        <v>60042</v>
      </c>
      <c r="W9523" t="s">
        <v>43951</v>
      </c>
      <c r="X9523" t="s">
        <v>44914</v>
      </c>
    </row>
    <row r="9524" spans="1:24">
      <c r="A9524">
        <f>HYPERLINK("https://www.philgeps.gov.ph/GEPSNONPILOT/Tender/SplashBidNoticeAbstractUI.aspx?menuIndex=3&amp;refID=7072258&amp;Result=3","7072258")</f>
        <v>0</v>
      </c>
      <c r="B9524" t="s">
        <v>2753</v>
      </c>
      <c r="C9524" t="s">
        <v>12596</v>
      </c>
      <c r="D9524" t="s">
        <v>18104</v>
      </c>
      <c r="E9524" t="s">
        <v>26464</v>
      </c>
      <c r="F9524" t="s">
        <v>31362</v>
      </c>
      <c r="G9524" t="s">
        <v>31369</v>
      </c>
      <c r="H9524" t="s">
        <v>15799</v>
      </c>
      <c r="I9524" t="s">
        <v>31393</v>
      </c>
      <c r="J9524" t="s">
        <v>31713</v>
      </c>
      <c r="K9524" t="s">
        <v>40665</v>
      </c>
      <c r="M9524" t="s">
        <v>43943</v>
      </c>
      <c r="N9524" t="s">
        <v>44905</v>
      </c>
      <c r="O9524" t="s">
        <v>44906</v>
      </c>
      <c r="P9524">
        <v>0</v>
      </c>
      <c r="Q9524">
        <v>4</v>
      </c>
      <c r="R9524" t="s">
        <v>44913</v>
      </c>
      <c r="S9524" t="s">
        <v>45170</v>
      </c>
      <c r="T9524" t="s">
        <v>46470</v>
      </c>
      <c r="U9524" t="s">
        <v>54586</v>
      </c>
      <c r="V9524" t="s">
        <v>60034</v>
      </c>
      <c r="W9524" t="s">
        <v>43943</v>
      </c>
      <c r="X9524" t="s">
        <v>44914</v>
      </c>
    </row>
    <row r="9525" spans="1:24">
      <c r="A9525">
        <f>HYPERLINK("https://www.philgeps.gov.ph/GEPSNONPILOT/Tender/SplashBidNoticeAbstractUI.aspx?menuIndex=3&amp;refID=7072268&amp;Result=3","7072268")</f>
        <v>0</v>
      </c>
      <c r="B9525" t="s">
        <v>2760</v>
      </c>
      <c r="C9525" t="s">
        <v>12597</v>
      </c>
      <c r="D9525" t="s">
        <v>18123</v>
      </c>
      <c r="E9525" t="s">
        <v>26465</v>
      </c>
      <c r="F9525" t="s">
        <v>31362</v>
      </c>
      <c r="G9525" t="s">
        <v>31372</v>
      </c>
      <c r="H9525" t="s">
        <v>15799</v>
      </c>
      <c r="I9525" t="s">
        <v>31384</v>
      </c>
      <c r="J9525" t="s">
        <v>33462</v>
      </c>
      <c r="K9525" t="s">
        <v>40665</v>
      </c>
      <c r="M9525" t="s">
        <v>43951</v>
      </c>
      <c r="N9525" t="s">
        <v>44905</v>
      </c>
      <c r="O9525" t="s">
        <v>44906</v>
      </c>
      <c r="P9525">
        <v>0</v>
      </c>
      <c r="Q9525">
        <v>3</v>
      </c>
      <c r="R9525" t="s">
        <v>44913</v>
      </c>
      <c r="S9525" t="s">
        <v>45170</v>
      </c>
      <c r="T9525" t="s">
        <v>46409</v>
      </c>
      <c r="U9525" t="s">
        <v>54587</v>
      </c>
      <c r="V9525" t="s">
        <v>60043</v>
      </c>
      <c r="W9525" t="s">
        <v>43951</v>
      </c>
      <c r="X9525" t="s">
        <v>44914</v>
      </c>
    </row>
    <row r="9526" spans="1:24">
      <c r="A9526">
        <f>HYPERLINK("https://www.philgeps.gov.ph/GEPSNONPILOT/Tender/SplashBidNoticeAbstractUI.aspx?menuIndex=3&amp;refID=7072265&amp;Result=3","7072265")</f>
        <v>0</v>
      </c>
      <c r="B9526" t="s">
        <v>2754</v>
      </c>
      <c r="C9526" t="s">
        <v>12598</v>
      </c>
      <c r="D9526" t="s">
        <v>18108</v>
      </c>
      <c r="E9526" t="s">
        <v>26466</v>
      </c>
      <c r="F9526" t="s">
        <v>31362</v>
      </c>
      <c r="G9526" t="s">
        <v>31369</v>
      </c>
      <c r="H9526" t="s">
        <v>31378</v>
      </c>
      <c r="I9526" t="s">
        <v>31386</v>
      </c>
      <c r="J9526" t="s">
        <v>37320</v>
      </c>
      <c r="K9526" t="s">
        <v>40686</v>
      </c>
      <c r="M9526" t="s">
        <v>43945</v>
      </c>
      <c r="N9526" t="s">
        <v>44905</v>
      </c>
      <c r="O9526" t="s">
        <v>44906</v>
      </c>
      <c r="P9526">
        <v>0</v>
      </c>
      <c r="Q9526">
        <v>134</v>
      </c>
      <c r="R9526" t="s">
        <v>44913</v>
      </c>
      <c r="S9526" t="s">
        <v>45170</v>
      </c>
      <c r="T9526" t="s">
        <v>46479</v>
      </c>
      <c r="U9526" t="s">
        <v>54588</v>
      </c>
      <c r="W9526" t="s">
        <v>43945</v>
      </c>
      <c r="X9526" t="s">
        <v>44914</v>
      </c>
    </row>
    <row r="9527" spans="1:24">
      <c r="A9527">
        <f>HYPERLINK("https://www.philgeps.gov.ph/GEPSNONPILOT/Tender/SplashBidNoticeAbstractUI.aspx?menuIndex=3&amp;refID=7053168&amp;Result=3","7053168")</f>
        <v>0</v>
      </c>
      <c r="B9527" t="s">
        <v>2761</v>
      </c>
      <c r="C9527" t="s">
        <v>12599</v>
      </c>
      <c r="D9527" t="s">
        <v>18172</v>
      </c>
      <c r="E9527" t="s">
        <v>19844</v>
      </c>
      <c r="F9527" t="s">
        <v>31362</v>
      </c>
      <c r="G9527" t="s">
        <v>31369</v>
      </c>
      <c r="H9527" t="s">
        <v>15799</v>
      </c>
      <c r="I9527" t="s">
        <v>3815</v>
      </c>
      <c r="J9527" t="s">
        <v>37321</v>
      </c>
      <c r="K9527" t="s">
        <v>40681</v>
      </c>
      <c r="M9527" t="s">
        <v>43952</v>
      </c>
      <c r="N9527" t="s">
        <v>44905</v>
      </c>
      <c r="O9527" t="s">
        <v>44906</v>
      </c>
      <c r="P9527">
        <v>0</v>
      </c>
      <c r="Q9527">
        <v>0</v>
      </c>
      <c r="R9527" t="s">
        <v>44914</v>
      </c>
      <c r="S9527" t="s">
        <v>45202</v>
      </c>
      <c r="T9527" t="s">
        <v>46409</v>
      </c>
      <c r="U9527" t="s">
        <v>54589</v>
      </c>
      <c r="W9527" t="s">
        <v>43952</v>
      </c>
      <c r="X9527" t="s">
        <v>44922</v>
      </c>
    </row>
    <row r="9528" spans="1:24">
      <c r="A9528">
        <f>HYPERLINK("https://www.philgeps.gov.ph/GEPSNONPILOT/Tender/SplashBidNoticeAbstractUI.aspx?menuIndex=3&amp;refID=7072242&amp;Result=3","7072242")</f>
        <v>0</v>
      </c>
      <c r="B9528" t="s">
        <v>2753</v>
      </c>
      <c r="C9528" t="s">
        <v>12600</v>
      </c>
      <c r="D9528" t="s">
        <v>18104</v>
      </c>
      <c r="E9528" t="s">
        <v>26467</v>
      </c>
      <c r="F9528" t="s">
        <v>31362</v>
      </c>
      <c r="G9528" t="s">
        <v>31369</v>
      </c>
      <c r="H9528" t="s">
        <v>15799</v>
      </c>
      <c r="I9528" t="s">
        <v>31429</v>
      </c>
      <c r="J9528" t="s">
        <v>37322</v>
      </c>
      <c r="K9528" t="s">
        <v>40665</v>
      </c>
      <c r="M9528" t="s">
        <v>43943</v>
      </c>
      <c r="N9528" t="s">
        <v>44905</v>
      </c>
      <c r="O9528" t="s">
        <v>44906</v>
      </c>
      <c r="P9528">
        <v>0</v>
      </c>
      <c r="Q9528">
        <v>3</v>
      </c>
      <c r="R9528" t="s">
        <v>44913</v>
      </c>
      <c r="S9528" t="s">
        <v>45170</v>
      </c>
      <c r="T9528" t="s">
        <v>46470</v>
      </c>
      <c r="U9528" t="s">
        <v>54590</v>
      </c>
      <c r="V9528" t="s">
        <v>60034</v>
      </c>
      <c r="W9528" t="s">
        <v>43943</v>
      </c>
      <c r="X9528" t="s">
        <v>44914</v>
      </c>
    </row>
    <row r="9529" spans="1:24">
      <c r="A9529">
        <f>HYPERLINK("https://www.philgeps.gov.ph/GEPSNONPILOT/Tender/SplashBidNoticeAbstractUI.aspx?menuIndex=3&amp;refID=7051846&amp;Result=3","7051846")</f>
        <v>0</v>
      </c>
      <c r="B9529" t="s">
        <v>1037</v>
      </c>
      <c r="C9529" t="s">
        <v>12601</v>
      </c>
      <c r="D9529" t="s">
        <v>18146</v>
      </c>
      <c r="E9529" t="s">
        <v>26468</v>
      </c>
      <c r="F9529" t="s">
        <v>31362</v>
      </c>
      <c r="G9529" t="s">
        <v>31369</v>
      </c>
      <c r="H9529" t="s">
        <v>31378</v>
      </c>
      <c r="I9529" t="s">
        <v>31386</v>
      </c>
      <c r="J9529" t="s">
        <v>37323</v>
      </c>
      <c r="K9529" t="s">
        <v>40670</v>
      </c>
      <c r="M9529" t="s">
        <v>43675</v>
      </c>
      <c r="N9529" t="s">
        <v>44905</v>
      </c>
      <c r="O9529" t="s">
        <v>44906</v>
      </c>
      <c r="P9529">
        <v>0</v>
      </c>
      <c r="Q9529">
        <v>0</v>
      </c>
      <c r="R9529" t="s">
        <v>44914</v>
      </c>
      <c r="S9529" t="s">
        <v>45202</v>
      </c>
      <c r="T9529" t="s">
        <v>46410</v>
      </c>
      <c r="U9529" t="s">
        <v>54591</v>
      </c>
      <c r="V9529" t="s">
        <v>60044</v>
      </c>
      <c r="W9529" t="s">
        <v>43675</v>
      </c>
      <c r="X9529" t="s">
        <v>44923</v>
      </c>
    </row>
    <row r="9530" spans="1:24">
      <c r="A9530">
        <f>HYPERLINK("https://www.philgeps.gov.ph/GEPSNONPILOT/Tender/SplashBidNoticeAbstractUI.aspx?menuIndex=3&amp;refID=7049931&amp;Result=3","7049931")</f>
        <v>0</v>
      </c>
      <c r="B9530" t="s">
        <v>2762</v>
      </c>
      <c r="C9530" t="s">
        <v>12602</v>
      </c>
      <c r="E9530" t="s">
        <v>26469</v>
      </c>
      <c r="F9530" t="s">
        <v>31362</v>
      </c>
      <c r="G9530" t="s">
        <v>31369</v>
      </c>
      <c r="H9530" t="s">
        <v>15799</v>
      </c>
      <c r="I9530" t="s">
        <v>31414</v>
      </c>
      <c r="J9530" t="s">
        <v>37324</v>
      </c>
      <c r="K9530" t="s">
        <v>40662</v>
      </c>
      <c r="M9530" t="s">
        <v>43953</v>
      </c>
      <c r="N9530" t="s">
        <v>44905</v>
      </c>
      <c r="O9530" t="s">
        <v>44906</v>
      </c>
      <c r="P9530">
        <v>0</v>
      </c>
      <c r="Q9530">
        <v>4</v>
      </c>
      <c r="R9530" t="s">
        <v>44914</v>
      </c>
      <c r="S9530" t="s">
        <v>45202</v>
      </c>
      <c r="T9530" t="s">
        <v>46504</v>
      </c>
      <c r="U9530" t="s">
        <v>54592</v>
      </c>
      <c r="W9530" t="s">
        <v>43953</v>
      </c>
      <c r="X9530" t="s">
        <v>44923</v>
      </c>
    </row>
    <row r="9531" spans="1:24">
      <c r="A9531">
        <f>HYPERLINK("https://www.philgeps.gov.ph/GEPSNONPILOT/Tender/SplashBidNoticeAbstractUI.aspx?menuIndex=3&amp;refID=7049226&amp;Result=3","7049226")</f>
        <v>0</v>
      </c>
      <c r="B9531" t="s">
        <v>1641</v>
      </c>
      <c r="C9531" t="s">
        <v>12603</v>
      </c>
      <c r="D9531" t="s">
        <v>18122</v>
      </c>
      <c r="E9531" t="s">
        <v>26470</v>
      </c>
      <c r="F9531" t="s">
        <v>31362</v>
      </c>
      <c r="G9531" t="s">
        <v>31369</v>
      </c>
      <c r="H9531" t="s">
        <v>31378</v>
      </c>
      <c r="I9531" t="s">
        <v>31388</v>
      </c>
      <c r="J9531" t="s">
        <v>31546</v>
      </c>
      <c r="K9531" t="s">
        <v>40665</v>
      </c>
      <c r="M9531" t="s">
        <v>42705</v>
      </c>
      <c r="N9531" t="s">
        <v>44905</v>
      </c>
      <c r="O9531" t="s">
        <v>44906</v>
      </c>
      <c r="P9531">
        <v>0</v>
      </c>
      <c r="Q9531">
        <v>0</v>
      </c>
      <c r="R9531" t="s">
        <v>44914</v>
      </c>
      <c r="S9531" t="s">
        <v>45202</v>
      </c>
      <c r="T9531" t="s">
        <v>46443</v>
      </c>
      <c r="U9531" t="s">
        <v>54593</v>
      </c>
      <c r="W9531" t="s">
        <v>42705</v>
      </c>
      <c r="X9531" t="s">
        <v>44924</v>
      </c>
    </row>
    <row r="9532" spans="1:24">
      <c r="A9532">
        <f>HYPERLINK("https://www.philgeps.gov.ph/GEPSNONPILOT/Tender/SplashBidNoticeAbstractUI.aspx?menuIndex=3&amp;refID=7057293&amp;Result=3","7057293")</f>
        <v>0</v>
      </c>
      <c r="B9532" t="s">
        <v>929</v>
      </c>
      <c r="C9532" t="s">
        <v>12604</v>
      </c>
      <c r="D9532" t="s">
        <v>18143</v>
      </c>
      <c r="E9532" t="s">
        <v>26471</v>
      </c>
      <c r="F9532" t="s">
        <v>31362</v>
      </c>
      <c r="G9532" t="s">
        <v>31369</v>
      </c>
      <c r="H9532" t="s">
        <v>31378</v>
      </c>
      <c r="I9532" t="s">
        <v>31386</v>
      </c>
      <c r="J9532" t="s">
        <v>37325</v>
      </c>
      <c r="K9532" t="s">
        <v>40857</v>
      </c>
      <c r="M9532" t="s">
        <v>42936</v>
      </c>
      <c r="N9532" t="s">
        <v>44905</v>
      </c>
      <c r="O9532" t="s">
        <v>44906</v>
      </c>
      <c r="P9532">
        <v>0</v>
      </c>
      <c r="Q9532">
        <v>1</v>
      </c>
      <c r="R9532" t="s">
        <v>44914</v>
      </c>
      <c r="S9532" t="s">
        <v>45202</v>
      </c>
      <c r="T9532" t="s">
        <v>46803</v>
      </c>
      <c r="U9532" t="s">
        <v>54594</v>
      </c>
      <c r="W9532" t="s">
        <v>42936</v>
      </c>
      <c r="X9532" t="s">
        <v>44921</v>
      </c>
    </row>
    <row r="9533" spans="1:24">
      <c r="A9533">
        <f>HYPERLINK("https://www.philgeps.gov.ph/GEPSNONPILOT/Tender/SplashBidNoticeAbstractUI.aspx?menuIndex=3&amp;refID=7051433&amp;Result=3","7051433")</f>
        <v>0</v>
      </c>
      <c r="B9533" t="s">
        <v>2763</v>
      </c>
      <c r="C9533" t="s">
        <v>12605</v>
      </c>
      <c r="D9533" t="s">
        <v>18125</v>
      </c>
      <c r="E9533" t="s">
        <v>21658</v>
      </c>
      <c r="F9533" t="s">
        <v>31365</v>
      </c>
      <c r="G9533" t="s">
        <v>31369</v>
      </c>
      <c r="H9533" t="s">
        <v>15799</v>
      </c>
      <c r="I9533" t="s">
        <v>31409</v>
      </c>
      <c r="J9533" t="s">
        <v>31577</v>
      </c>
      <c r="K9533" t="s">
        <v>40682</v>
      </c>
      <c r="M9533" t="s">
        <v>43954</v>
      </c>
      <c r="N9533" t="s">
        <v>44905</v>
      </c>
      <c r="O9533" t="s">
        <v>44906</v>
      </c>
      <c r="P9533">
        <v>0</v>
      </c>
      <c r="Q9533">
        <v>0</v>
      </c>
      <c r="R9533" t="s">
        <v>44914</v>
      </c>
      <c r="S9533" t="s">
        <v>45202</v>
      </c>
      <c r="T9533" t="s">
        <v>46408</v>
      </c>
      <c r="U9533" t="s">
        <v>54595</v>
      </c>
      <c r="W9533" t="s">
        <v>43954</v>
      </c>
      <c r="X9533" t="s">
        <v>44923</v>
      </c>
    </row>
    <row r="9534" spans="1:24">
      <c r="A9534">
        <f>HYPERLINK("https://www.philgeps.gov.ph/GEPSNONPILOT/Tender/SplashBidNoticeAbstractUI.aspx?menuIndex=3&amp;refID=7043425&amp;Result=3","7043425")</f>
        <v>0</v>
      </c>
      <c r="B9534" t="s">
        <v>1920</v>
      </c>
      <c r="C9534" t="s">
        <v>12606</v>
      </c>
      <c r="D9534" t="s">
        <v>18117</v>
      </c>
      <c r="E9534" t="s">
        <v>26472</v>
      </c>
      <c r="F9534" t="s">
        <v>31362</v>
      </c>
      <c r="G9534" t="s">
        <v>31369</v>
      </c>
      <c r="H9534" t="s">
        <v>15799</v>
      </c>
      <c r="I9534" t="s">
        <v>7090</v>
      </c>
      <c r="J9534" t="s">
        <v>32669</v>
      </c>
      <c r="K9534" t="s">
        <v>40661</v>
      </c>
      <c r="M9534" t="s">
        <v>43017</v>
      </c>
      <c r="N9534" t="s">
        <v>44905</v>
      </c>
      <c r="O9534" t="s">
        <v>44906</v>
      </c>
      <c r="P9534">
        <v>0</v>
      </c>
      <c r="Q9534">
        <v>1</v>
      </c>
      <c r="R9534" t="s">
        <v>44914</v>
      </c>
      <c r="S9534" t="s">
        <v>45202</v>
      </c>
      <c r="T9534" t="s">
        <v>46626</v>
      </c>
      <c r="U9534" t="s">
        <v>54596</v>
      </c>
      <c r="W9534" t="s">
        <v>43017</v>
      </c>
      <c r="X9534" t="s">
        <v>44928</v>
      </c>
    </row>
    <row r="9535" spans="1:24">
      <c r="A9535">
        <f>HYPERLINK("https://www.philgeps.gov.ph/GEPSNONPILOT/Tender/SplashBidNoticeAbstractUI.aspx?menuIndex=3&amp;refID=7043061-2&amp;Result=3","7043061-2")</f>
        <v>0</v>
      </c>
      <c r="B9535" t="s">
        <v>1455</v>
      </c>
      <c r="C9535" t="s">
        <v>12607</v>
      </c>
      <c r="E9535" t="s">
        <v>26473</v>
      </c>
      <c r="F9535" t="s">
        <v>31362</v>
      </c>
      <c r="G9535" t="s">
        <v>31369</v>
      </c>
      <c r="H9535" t="s">
        <v>31377</v>
      </c>
      <c r="I9535" t="s">
        <v>31377</v>
      </c>
      <c r="J9535" t="s">
        <v>37326</v>
      </c>
      <c r="K9535" t="s">
        <v>40692</v>
      </c>
      <c r="M9535" t="s">
        <v>42486</v>
      </c>
      <c r="N9535" t="s">
        <v>44905</v>
      </c>
      <c r="O9535" t="s">
        <v>44906</v>
      </c>
      <c r="P9535">
        <v>0</v>
      </c>
      <c r="Q9535">
        <v>4</v>
      </c>
      <c r="R9535" t="s">
        <v>44914</v>
      </c>
      <c r="S9535" t="s">
        <v>45202</v>
      </c>
      <c r="T9535" t="s">
        <v>46569</v>
      </c>
      <c r="U9535" t="s">
        <v>54597</v>
      </c>
      <c r="W9535" t="s">
        <v>42486</v>
      </c>
      <c r="X9535" t="s">
        <v>44915</v>
      </c>
    </row>
    <row r="9536" spans="1:24">
      <c r="A9536">
        <f>HYPERLINK("https://www.philgeps.gov.ph/GEPSNONPILOT/Tender/SplashBidNoticeAbstractUI.aspx?menuIndex=3&amp;refID=7057401&amp;Result=3","7057401")</f>
        <v>0</v>
      </c>
      <c r="B9536" t="s">
        <v>2719</v>
      </c>
      <c r="C9536" t="s">
        <v>12608</v>
      </c>
      <c r="D9536" t="s">
        <v>18128</v>
      </c>
      <c r="E9536" t="s">
        <v>26474</v>
      </c>
      <c r="F9536" t="s">
        <v>31362</v>
      </c>
      <c r="G9536" t="s">
        <v>31369</v>
      </c>
      <c r="H9536" t="s">
        <v>15799</v>
      </c>
      <c r="I9536" t="s">
        <v>7188</v>
      </c>
      <c r="J9536" t="s">
        <v>34384</v>
      </c>
      <c r="K9536" t="s">
        <v>40665</v>
      </c>
      <c r="M9536" t="s">
        <v>43905</v>
      </c>
      <c r="N9536" t="s">
        <v>44905</v>
      </c>
      <c r="O9536" t="s">
        <v>44906</v>
      </c>
      <c r="P9536">
        <v>0</v>
      </c>
      <c r="Q9536">
        <v>2</v>
      </c>
      <c r="R9536" t="s">
        <v>44914</v>
      </c>
      <c r="S9536" t="s">
        <v>45202</v>
      </c>
      <c r="T9536" t="s">
        <v>46418</v>
      </c>
      <c r="U9536" t="s">
        <v>54598</v>
      </c>
      <c r="V9536" t="s">
        <v>60045</v>
      </c>
      <c r="W9536" t="s">
        <v>43905</v>
      </c>
      <c r="X9536" t="s">
        <v>44921</v>
      </c>
    </row>
    <row r="9537" spans="1:24">
      <c r="A9537">
        <f>HYPERLINK("https://www.philgeps.gov.ph/GEPSNONPILOT/Tender/SplashBidNoticeAbstractUI.aspx?menuIndex=3&amp;refID=7049084&amp;Result=3","7049084")</f>
        <v>0</v>
      </c>
      <c r="B9537" t="s">
        <v>1641</v>
      </c>
      <c r="C9537" t="s">
        <v>12609</v>
      </c>
      <c r="D9537" t="s">
        <v>18122</v>
      </c>
      <c r="E9537" t="s">
        <v>26475</v>
      </c>
      <c r="F9537" t="s">
        <v>31362</v>
      </c>
      <c r="G9537" t="s">
        <v>31369</v>
      </c>
      <c r="H9537" t="s">
        <v>31378</v>
      </c>
      <c r="I9537" t="s">
        <v>31386</v>
      </c>
      <c r="J9537" t="s">
        <v>37327</v>
      </c>
      <c r="K9537" t="s">
        <v>40665</v>
      </c>
      <c r="M9537" t="s">
        <v>42705</v>
      </c>
      <c r="N9537" t="s">
        <v>44905</v>
      </c>
      <c r="O9537" t="s">
        <v>44906</v>
      </c>
      <c r="P9537">
        <v>0</v>
      </c>
      <c r="Q9537">
        <v>0</v>
      </c>
      <c r="R9537" t="s">
        <v>44914</v>
      </c>
      <c r="S9537" t="s">
        <v>45202</v>
      </c>
      <c r="T9537" t="s">
        <v>46443</v>
      </c>
      <c r="U9537" t="s">
        <v>54599</v>
      </c>
      <c r="W9537" t="s">
        <v>42705</v>
      </c>
      <c r="X9537" t="s">
        <v>44924</v>
      </c>
    </row>
    <row r="9538" spans="1:24">
      <c r="A9538">
        <f>HYPERLINK("https://www.philgeps.gov.ph/GEPSNONPILOT/Tender/SplashBidNoticeAbstractUI.aspx?menuIndex=3&amp;refID=7064410&amp;Result=3","7064410")</f>
        <v>0</v>
      </c>
      <c r="B9538" t="s">
        <v>105</v>
      </c>
      <c r="C9538" t="s">
        <v>12610</v>
      </c>
      <c r="D9538" t="s">
        <v>18110</v>
      </c>
      <c r="E9538" t="s">
        <v>26476</v>
      </c>
      <c r="F9538" t="s">
        <v>31362</v>
      </c>
      <c r="G9538" t="s">
        <v>31369</v>
      </c>
      <c r="H9538" t="s">
        <v>15799</v>
      </c>
      <c r="I9538" t="s">
        <v>7090</v>
      </c>
      <c r="J9538" t="s">
        <v>35971</v>
      </c>
      <c r="K9538" t="s">
        <v>40680</v>
      </c>
      <c r="M9538" t="s">
        <v>41042</v>
      </c>
      <c r="N9538" t="s">
        <v>44905</v>
      </c>
      <c r="O9538" t="s">
        <v>44906</v>
      </c>
      <c r="P9538">
        <v>0</v>
      </c>
      <c r="Q9538">
        <v>4</v>
      </c>
      <c r="R9538" t="s">
        <v>44914</v>
      </c>
      <c r="S9538" t="s">
        <v>45202</v>
      </c>
      <c r="T9538" t="s">
        <v>46490</v>
      </c>
      <c r="U9538" t="s">
        <v>54600</v>
      </c>
      <c r="W9538" t="s">
        <v>41042</v>
      </c>
      <c r="X9538" t="s">
        <v>44917</v>
      </c>
    </row>
    <row r="9539" spans="1:24">
      <c r="A9539">
        <f>HYPERLINK("https://www.philgeps.gov.ph/GEPSNONPILOT/Tender/SplashBidNoticeAbstractUI.aspx?menuIndex=3&amp;refID=7072261&amp;Result=3","7072261")</f>
        <v>0</v>
      </c>
      <c r="B9539" t="s">
        <v>2754</v>
      </c>
      <c r="C9539" t="s">
        <v>12611</v>
      </c>
      <c r="D9539" t="s">
        <v>18108</v>
      </c>
      <c r="E9539" t="s">
        <v>26477</v>
      </c>
      <c r="F9539" t="s">
        <v>31362</v>
      </c>
      <c r="G9539" t="s">
        <v>31369</v>
      </c>
      <c r="H9539" t="s">
        <v>31378</v>
      </c>
      <c r="I9539" t="s">
        <v>31386</v>
      </c>
      <c r="J9539" t="s">
        <v>37328</v>
      </c>
      <c r="K9539" t="s">
        <v>40682</v>
      </c>
      <c r="M9539" t="s">
        <v>43945</v>
      </c>
      <c r="N9539" t="s">
        <v>44905</v>
      </c>
      <c r="O9539" t="s">
        <v>44906</v>
      </c>
      <c r="P9539">
        <v>0</v>
      </c>
      <c r="Q9539">
        <v>129</v>
      </c>
      <c r="R9539" t="s">
        <v>44913</v>
      </c>
      <c r="S9539" t="s">
        <v>45170</v>
      </c>
      <c r="T9539" t="s">
        <v>46479</v>
      </c>
      <c r="U9539" t="s">
        <v>54588</v>
      </c>
      <c r="W9539" t="s">
        <v>43945</v>
      </c>
      <c r="X9539" t="s">
        <v>44914</v>
      </c>
    </row>
    <row r="9540" spans="1:24">
      <c r="A9540">
        <f>HYPERLINK("https://www.philgeps.gov.ph/GEPSNONPILOT/Tender/SplashBidNoticeAbstractUI.aspx?menuIndex=3&amp;refID=7043420&amp;Result=3","7043420")</f>
        <v>0</v>
      </c>
      <c r="B9540" t="s">
        <v>1920</v>
      </c>
      <c r="C9540" t="s">
        <v>12612</v>
      </c>
      <c r="D9540" t="s">
        <v>18117</v>
      </c>
      <c r="E9540" t="s">
        <v>26478</v>
      </c>
      <c r="F9540" t="s">
        <v>31362</v>
      </c>
      <c r="G9540" t="s">
        <v>31369</v>
      </c>
      <c r="H9540" t="s">
        <v>15799</v>
      </c>
      <c r="I9540" t="s">
        <v>31396</v>
      </c>
      <c r="J9540" t="s">
        <v>37329</v>
      </c>
      <c r="K9540" t="s">
        <v>40666</v>
      </c>
      <c r="M9540" t="s">
        <v>43017</v>
      </c>
      <c r="N9540" t="s">
        <v>44905</v>
      </c>
      <c r="O9540" t="s">
        <v>44906</v>
      </c>
      <c r="P9540">
        <v>0</v>
      </c>
      <c r="Q9540">
        <v>5</v>
      </c>
      <c r="R9540" t="s">
        <v>44914</v>
      </c>
      <c r="S9540" t="s">
        <v>45202</v>
      </c>
      <c r="T9540" t="s">
        <v>46464</v>
      </c>
      <c r="U9540" t="s">
        <v>54601</v>
      </c>
      <c r="W9540" t="s">
        <v>43017</v>
      </c>
      <c r="X9540" t="s">
        <v>44928</v>
      </c>
    </row>
    <row r="9541" spans="1:24">
      <c r="A9541">
        <f>HYPERLINK("https://www.philgeps.gov.ph/GEPSNONPILOT/Tender/SplashBidNoticeAbstractUI.aspx?menuIndex=3&amp;refID=7049169&amp;Result=3","7049169")</f>
        <v>0</v>
      </c>
      <c r="B9541" t="s">
        <v>1641</v>
      </c>
      <c r="C9541" t="s">
        <v>12613</v>
      </c>
      <c r="D9541" t="s">
        <v>18122</v>
      </c>
      <c r="E9541" t="s">
        <v>26479</v>
      </c>
      <c r="F9541" t="s">
        <v>31362</v>
      </c>
      <c r="G9541" t="s">
        <v>31369</v>
      </c>
      <c r="H9541" t="s">
        <v>31378</v>
      </c>
      <c r="I9541" t="s">
        <v>31388</v>
      </c>
      <c r="J9541" t="s">
        <v>31545</v>
      </c>
      <c r="K9541" t="s">
        <v>40665</v>
      </c>
      <c r="M9541" t="s">
        <v>42705</v>
      </c>
      <c r="N9541" t="s">
        <v>44905</v>
      </c>
      <c r="O9541" t="s">
        <v>44906</v>
      </c>
      <c r="P9541">
        <v>0</v>
      </c>
      <c r="Q9541">
        <v>0</v>
      </c>
      <c r="R9541" t="s">
        <v>44914</v>
      </c>
      <c r="S9541" t="s">
        <v>45202</v>
      </c>
      <c r="T9541" t="s">
        <v>46443</v>
      </c>
      <c r="U9541" t="s">
        <v>54602</v>
      </c>
      <c r="W9541" t="s">
        <v>42705</v>
      </c>
      <c r="X9541" t="s">
        <v>44924</v>
      </c>
    </row>
    <row r="9542" spans="1:24">
      <c r="A9542">
        <f>HYPERLINK("https://www.philgeps.gov.ph/GEPSNONPILOT/Tender/SplashBidNoticeAbstractUI.aspx?menuIndex=3&amp;refID=7064373&amp;Result=3","7064373")</f>
        <v>0</v>
      </c>
      <c r="B9542" t="s">
        <v>105</v>
      </c>
      <c r="C9542" t="s">
        <v>12614</v>
      </c>
      <c r="D9542" t="s">
        <v>18110</v>
      </c>
      <c r="E9542" t="s">
        <v>26480</v>
      </c>
      <c r="F9542" t="s">
        <v>31362</v>
      </c>
      <c r="G9542" t="s">
        <v>31369</v>
      </c>
      <c r="H9542" t="s">
        <v>15799</v>
      </c>
      <c r="I9542" t="s">
        <v>7090</v>
      </c>
      <c r="J9542" t="s">
        <v>37330</v>
      </c>
      <c r="K9542" t="s">
        <v>40680</v>
      </c>
      <c r="M9542" t="s">
        <v>41042</v>
      </c>
      <c r="N9542" t="s">
        <v>44905</v>
      </c>
      <c r="O9542" t="s">
        <v>44906</v>
      </c>
      <c r="P9542">
        <v>0</v>
      </c>
      <c r="Q9542">
        <v>6</v>
      </c>
      <c r="R9542" t="s">
        <v>44914</v>
      </c>
      <c r="S9542" t="s">
        <v>45202</v>
      </c>
      <c r="T9542" t="s">
        <v>46490</v>
      </c>
      <c r="U9542" t="s">
        <v>54603</v>
      </c>
      <c r="W9542" t="s">
        <v>41042</v>
      </c>
      <c r="X9542" t="s">
        <v>44917</v>
      </c>
    </row>
    <row r="9543" spans="1:24">
      <c r="A9543">
        <f>HYPERLINK("https://www.philgeps.gov.ph/GEPSNONPILOT/Tender/SplashBidNoticeAbstractUI.aspx?menuIndex=3&amp;refID=7072247&amp;Result=3","7072247")</f>
        <v>0</v>
      </c>
      <c r="B9543" t="s">
        <v>2754</v>
      </c>
      <c r="C9543" t="s">
        <v>12615</v>
      </c>
      <c r="D9543" t="s">
        <v>18108</v>
      </c>
      <c r="E9543" t="s">
        <v>26481</v>
      </c>
      <c r="F9543" t="s">
        <v>31362</v>
      </c>
      <c r="G9543" t="s">
        <v>31369</v>
      </c>
      <c r="H9543" t="s">
        <v>31378</v>
      </c>
      <c r="I9543" t="s">
        <v>31386</v>
      </c>
      <c r="J9543" t="s">
        <v>37331</v>
      </c>
      <c r="K9543" t="s">
        <v>40679</v>
      </c>
      <c r="M9543" t="s">
        <v>43945</v>
      </c>
      <c r="N9543" t="s">
        <v>44905</v>
      </c>
      <c r="O9543" t="s">
        <v>44906</v>
      </c>
      <c r="P9543">
        <v>0</v>
      </c>
      <c r="Q9543">
        <v>137</v>
      </c>
      <c r="R9543" t="s">
        <v>44913</v>
      </c>
      <c r="S9543" t="s">
        <v>45170</v>
      </c>
      <c r="T9543" t="s">
        <v>46479</v>
      </c>
      <c r="U9543" t="s">
        <v>54604</v>
      </c>
      <c r="W9543" t="s">
        <v>43945</v>
      </c>
      <c r="X9543" t="s">
        <v>44914</v>
      </c>
    </row>
    <row r="9544" spans="1:24">
      <c r="A9544">
        <f>HYPERLINK("https://www.philgeps.gov.ph/GEPSNONPILOT/Tender/SplashBidNoticeAbstractUI.aspx?menuIndex=3&amp;refID=7072267&amp;Result=3","7072267")</f>
        <v>0</v>
      </c>
      <c r="B9544" t="s">
        <v>2753</v>
      </c>
      <c r="C9544" t="s">
        <v>12616</v>
      </c>
      <c r="D9544" t="s">
        <v>18104</v>
      </c>
      <c r="E9544" t="s">
        <v>26482</v>
      </c>
      <c r="F9544" t="s">
        <v>31362</v>
      </c>
      <c r="G9544" t="s">
        <v>31369</v>
      </c>
      <c r="H9544" t="s">
        <v>15799</v>
      </c>
      <c r="I9544" t="s">
        <v>31393</v>
      </c>
      <c r="J9544" t="s">
        <v>31545</v>
      </c>
      <c r="K9544" t="s">
        <v>40665</v>
      </c>
      <c r="M9544" t="s">
        <v>43943</v>
      </c>
      <c r="N9544" t="s">
        <v>44905</v>
      </c>
      <c r="O9544" t="s">
        <v>44906</v>
      </c>
      <c r="P9544">
        <v>0</v>
      </c>
      <c r="Q9544">
        <v>2</v>
      </c>
      <c r="R9544" t="s">
        <v>44913</v>
      </c>
      <c r="S9544" t="s">
        <v>45170</v>
      </c>
      <c r="T9544" t="s">
        <v>46470</v>
      </c>
      <c r="U9544" t="s">
        <v>54605</v>
      </c>
      <c r="V9544" t="s">
        <v>60034</v>
      </c>
      <c r="W9544" t="s">
        <v>43943</v>
      </c>
      <c r="X9544" t="s">
        <v>44914</v>
      </c>
    </row>
    <row r="9545" spans="1:24">
      <c r="A9545">
        <f>HYPERLINK("https://www.philgeps.gov.ph/GEPSNONPILOT/Tender/SplashBidNoticeAbstractUI.aspx?menuIndex=3&amp;refID=7064392&amp;Result=3","7064392")</f>
        <v>0</v>
      </c>
      <c r="B9545" t="s">
        <v>105</v>
      </c>
      <c r="C9545" t="s">
        <v>12617</v>
      </c>
      <c r="D9545" t="s">
        <v>18110</v>
      </c>
      <c r="E9545" t="s">
        <v>26483</v>
      </c>
      <c r="F9545" t="s">
        <v>31362</v>
      </c>
      <c r="G9545" t="s">
        <v>31369</v>
      </c>
      <c r="H9545" t="s">
        <v>15799</v>
      </c>
      <c r="I9545" t="s">
        <v>7090</v>
      </c>
      <c r="J9545" t="s">
        <v>35656</v>
      </c>
      <c r="K9545" t="s">
        <v>40680</v>
      </c>
      <c r="M9545" t="s">
        <v>41042</v>
      </c>
      <c r="N9545" t="s">
        <v>44905</v>
      </c>
      <c r="O9545" t="s">
        <v>44906</v>
      </c>
      <c r="P9545">
        <v>0</v>
      </c>
      <c r="Q9545">
        <v>11</v>
      </c>
      <c r="R9545" t="s">
        <v>44914</v>
      </c>
      <c r="S9545" t="s">
        <v>45202</v>
      </c>
      <c r="T9545" t="s">
        <v>46490</v>
      </c>
      <c r="U9545" t="s">
        <v>54606</v>
      </c>
      <c r="W9545" t="s">
        <v>41042</v>
      </c>
      <c r="X9545" t="s">
        <v>44917</v>
      </c>
    </row>
    <row r="9546" spans="1:24">
      <c r="A9546">
        <f>HYPERLINK("https://www.philgeps.gov.ph/GEPSNONPILOT/Tender/SplashBidNoticeAbstractUI.aspx?menuIndex=3&amp;refID=7063532&amp;Result=3","7063532")</f>
        <v>0</v>
      </c>
      <c r="B9546" t="s">
        <v>2764</v>
      </c>
      <c r="C9546" t="s">
        <v>12533</v>
      </c>
      <c r="D9546" t="s">
        <v>18134</v>
      </c>
      <c r="E9546" t="s">
        <v>26484</v>
      </c>
      <c r="F9546" t="s">
        <v>31362</v>
      </c>
      <c r="G9546" t="s">
        <v>31369</v>
      </c>
      <c r="H9546" t="s">
        <v>15799</v>
      </c>
      <c r="I9546" t="s">
        <v>31398</v>
      </c>
      <c r="J9546" t="s">
        <v>31536</v>
      </c>
      <c r="K9546" t="s">
        <v>40697</v>
      </c>
      <c r="M9546" t="s">
        <v>43955</v>
      </c>
      <c r="N9546" t="s">
        <v>44905</v>
      </c>
      <c r="O9546" t="s">
        <v>44906</v>
      </c>
      <c r="P9546">
        <v>0</v>
      </c>
      <c r="Q9546">
        <v>2</v>
      </c>
      <c r="R9546" t="s">
        <v>44914</v>
      </c>
      <c r="S9546" t="s">
        <v>45202</v>
      </c>
      <c r="T9546" t="s">
        <v>46393</v>
      </c>
      <c r="U9546" t="s">
        <v>47796</v>
      </c>
      <c r="W9546" t="s">
        <v>43955</v>
      </c>
      <c r="X9546" t="s">
        <v>44917</v>
      </c>
    </row>
    <row r="9547" spans="1:24">
      <c r="A9547">
        <f>HYPERLINK("https://www.philgeps.gov.ph/GEPSNONPILOT/Tender/SplashBidNoticeAbstractUI.aspx?menuIndex=3&amp;refID=7029694&amp;Result=3","7029694")</f>
        <v>0</v>
      </c>
      <c r="B9547" t="s">
        <v>2765</v>
      </c>
      <c r="C9547" t="s">
        <v>12618</v>
      </c>
      <c r="D9547" t="s">
        <v>18100</v>
      </c>
      <c r="E9547" t="s">
        <v>18203</v>
      </c>
      <c r="F9547" t="s">
        <v>31362</v>
      </c>
      <c r="G9547" t="s">
        <v>31369</v>
      </c>
      <c r="H9547" t="s">
        <v>15799</v>
      </c>
      <c r="I9547" t="s">
        <v>31409</v>
      </c>
      <c r="J9547" t="s">
        <v>31531</v>
      </c>
      <c r="K9547" t="s">
        <v>40661</v>
      </c>
      <c r="M9547" t="s">
        <v>43956</v>
      </c>
      <c r="N9547" t="s">
        <v>44905</v>
      </c>
      <c r="O9547" t="s">
        <v>44906</v>
      </c>
      <c r="P9547">
        <v>0</v>
      </c>
      <c r="Q9547">
        <v>0</v>
      </c>
      <c r="R9547" t="s">
        <v>44914</v>
      </c>
      <c r="S9547" t="s">
        <v>45202</v>
      </c>
      <c r="T9547" t="s">
        <v>46506</v>
      </c>
      <c r="U9547" t="s">
        <v>54607</v>
      </c>
      <c r="V9547" t="s">
        <v>60046</v>
      </c>
      <c r="W9547" t="s">
        <v>43956</v>
      </c>
      <c r="X9547" t="s">
        <v>44936</v>
      </c>
    </row>
    <row r="9548" spans="1:24">
      <c r="A9548">
        <f>HYPERLINK("https://www.philgeps.gov.ph/GEPSNONPILOT/Tender/SplashBidNoticeAbstractUI.aspx?menuIndex=3&amp;refID=7063179&amp;Result=3","7063179")</f>
        <v>0</v>
      </c>
      <c r="B9548" t="s">
        <v>2766</v>
      </c>
      <c r="C9548" t="s">
        <v>12619</v>
      </c>
      <c r="D9548" t="s">
        <v>18127</v>
      </c>
      <c r="E9548" t="s">
        <v>20250</v>
      </c>
      <c r="F9548" t="s">
        <v>31362</v>
      </c>
      <c r="G9548" t="s">
        <v>31369</v>
      </c>
      <c r="H9548" t="s">
        <v>15799</v>
      </c>
      <c r="I9548" t="s">
        <v>31459</v>
      </c>
      <c r="J9548" t="s">
        <v>37332</v>
      </c>
      <c r="K9548" t="s">
        <v>40665</v>
      </c>
      <c r="L9548" t="s">
        <v>2766</v>
      </c>
      <c r="M9548" t="s">
        <v>43957</v>
      </c>
      <c r="N9548" t="s">
        <v>44905</v>
      </c>
      <c r="O9548" t="s">
        <v>44906</v>
      </c>
      <c r="P9548">
        <v>0</v>
      </c>
      <c r="Q9548">
        <v>0</v>
      </c>
      <c r="R9548" t="s">
        <v>44914</v>
      </c>
      <c r="S9548" t="s">
        <v>45202</v>
      </c>
      <c r="T9548" t="s">
        <v>46618</v>
      </c>
      <c r="U9548" t="s">
        <v>54608</v>
      </c>
      <c r="W9548" t="s">
        <v>43957</v>
      </c>
      <c r="X9548" t="s">
        <v>44917</v>
      </c>
    </row>
    <row r="9549" spans="1:24">
      <c r="A9549">
        <f>HYPERLINK("https://www.philgeps.gov.ph/GEPSNONPILOT/Tender/SplashBidNoticeAbstractUI.aspx?menuIndex=3&amp;refID=7061871&amp;Result=3","7061871")</f>
        <v>0</v>
      </c>
      <c r="B9549" t="s">
        <v>2767</v>
      </c>
      <c r="C9549" t="s">
        <v>12620</v>
      </c>
      <c r="D9549" t="s">
        <v>18112</v>
      </c>
      <c r="E9549" t="s">
        <v>26485</v>
      </c>
      <c r="F9549" t="s">
        <v>31362</v>
      </c>
      <c r="G9549" t="s">
        <v>31369</v>
      </c>
      <c r="H9549" t="s">
        <v>31378</v>
      </c>
      <c r="I9549" t="s">
        <v>31386</v>
      </c>
      <c r="J9549" t="s">
        <v>33028</v>
      </c>
      <c r="K9549" t="s">
        <v>40725</v>
      </c>
      <c r="M9549" t="s">
        <v>43958</v>
      </c>
      <c r="N9549" t="s">
        <v>44905</v>
      </c>
      <c r="O9549" t="s">
        <v>44906</v>
      </c>
      <c r="P9549">
        <v>0</v>
      </c>
      <c r="Q9549">
        <v>1</v>
      </c>
      <c r="R9549" t="s">
        <v>44914</v>
      </c>
      <c r="S9549" t="s">
        <v>45202</v>
      </c>
      <c r="T9549" t="s">
        <v>46391</v>
      </c>
      <c r="U9549" t="s">
        <v>54609</v>
      </c>
      <c r="V9549" t="s">
        <v>60047</v>
      </c>
      <c r="W9549" t="s">
        <v>43958</v>
      </c>
      <c r="X9549" t="s">
        <v>44917</v>
      </c>
    </row>
    <row r="9550" spans="1:24">
      <c r="A9550">
        <f>HYPERLINK("https://www.philgeps.gov.ph/GEPSNONPILOT/Tender/SplashBidNoticeAbstractUI.aspx?menuIndex=3&amp;refID=7064028&amp;Result=3","7064028")</f>
        <v>0</v>
      </c>
      <c r="B9550" t="s">
        <v>88</v>
      </c>
      <c r="C9550" t="s">
        <v>12621</v>
      </c>
      <c r="D9550" t="s">
        <v>18135</v>
      </c>
      <c r="E9550" t="s">
        <v>26486</v>
      </c>
      <c r="F9550" t="s">
        <v>31362</v>
      </c>
      <c r="G9550" t="s">
        <v>31369</v>
      </c>
      <c r="H9550" t="s">
        <v>31378</v>
      </c>
      <c r="I9550" t="s">
        <v>31386</v>
      </c>
      <c r="J9550" t="s">
        <v>37333</v>
      </c>
      <c r="K9550" t="s">
        <v>40683</v>
      </c>
      <c r="M9550" t="s">
        <v>41025</v>
      </c>
      <c r="N9550" t="s">
        <v>44905</v>
      </c>
      <c r="O9550" t="s">
        <v>44906</v>
      </c>
      <c r="P9550">
        <v>0</v>
      </c>
      <c r="Q9550">
        <v>1</v>
      </c>
      <c r="R9550" t="s">
        <v>44914</v>
      </c>
      <c r="S9550" t="s">
        <v>45202</v>
      </c>
      <c r="T9550" t="s">
        <v>46559</v>
      </c>
      <c r="U9550" t="s">
        <v>54610</v>
      </c>
      <c r="W9550" t="s">
        <v>41025</v>
      </c>
      <c r="X9550" t="s">
        <v>44917</v>
      </c>
    </row>
    <row r="9551" spans="1:24">
      <c r="A9551">
        <f>HYPERLINK("https://www.philgeps.gov.ph/GEPSNONPILOT/Tender/SplashBidNoticeAbstractUI.aspx?menuIndex=3&amp;refID=7061305&amp;Result=3","7061305")</f>
        <v>0</v>
      </c>
      <c r="B9551" t="s">
        <v>1513</v>
      </c>
      <c r="C9551" t="s">
        <v>12622</v>
      </c>
      <c r="D9551" t="s">
        <v>18143</v>
      </c>
      <c r="E9551" t="s">
        <v>26487</v>
      </c>
      <c r="F9551" t="s">
        <v>31362</v>
      </c>
      <c r="G9551" t="s">
        <v>31369</v>
      </c>
      <c r="H9551" t="s">
        <v>31378</v>
      </c>
      <c r="I9551" t="s">
        <v>3815</v>
      </c>
      <c r="J9551" t="s">
        <v>37334</v>
      </c>
      <c r="K9551" t="s">
        <v>40665</v>
      </c>
      <c r="L9551" t="s">
        <v>1513</v>
      </c>
      <c r="M9551" t="s">
        <v>42556</v>
      </c>
      <c r="N9551" t="s">
        <v>44905</v>
      </c>
      <c r="O9551" t="s">
        <v>44906</v>
      </c>
      <c r="P9551">
        <v>0</v>
      </c>
      <c r="Q9551">
        <v>0</v>
      </c>
      <c r="R9551" t="s">
        <v>44914</v>
      </c>
      <c r="S9551" t="s">
        <v>45202</v>
      </c>
      <c r="T9551" t="s">
        <v>46479</v>
      </c>
      <c r="U9551" t="s">
        <v>54611</v>
      </c>
      <c r="V9551" t="s">
        <v>60048</v>
      </c>
      <c r="W9551" t="s">
        <v>42556</v>
      </c>
      <c r="X9551" t="s">
        <v>44918</v>
      </c>
    </row>
    <row r="9552" spans="1:24">
      <c r="A9552">
        <f>HYPERLINK("https://www.philgeps.gov.ph/GEPSNONPILOT/Tender/SplashBidNoticeAbstractUI.aspx?menuIndex=3&amp;refID=7058252&amp;Result=3","7058252")</f>
        <v>0</v>
      </c>
      <c r="B9552" t="s">
        <v>2768</v>
      </c>
      <c r="C9552" t="s">
        <v>12623</v>
      </c>
      <c r="D9552" t="s">
        <v>18106</v>
      </c>
      <c r="E9552" t="s">
        <v>26488</v>
      </c>
      <c r="F9552" t="s">
        <v>31362</v>
      </c>
      <c r="G9552" t="s">
        <v>31369</v>
      </c>
      <c r="H9552" t="s">
        <v>15799</v>
      </c>
      <c r="I9552" t="s">
        <v>3815</v>
      </c>
      <c r="J9552" t="s">
        <v>37335</v>
      </c>
      <c r="K9552" t="s">
        <v>40662</v>
      </c>
      <c r="M9552" t="s">
        <v>43959</v>
      </c>
      <c r="N9552" t="s">
        <v>44905</v>
      </c>
      <c r="O9552" t="s">
        <v>44906</v>
      </c>
      <c r="P9552">
        <v>0</v>
      </c>
      <c r="Q9552">
        <v>0</v>
      </c>
      <c r="R9552" t="s">
        <v>44914</v>
      </c>
      <c r="S9552" t="s">
        <v>45202</v>
      </c>
      <c r="T9552" t="s">
        <v>46490</v>
      </c>
      <c r="U9552" t="s">
        <v>54612</v>
      </c>
      <c r="W9552" t="s">
        <v>43959</v>
      </c>
      <c r="X9552" t="s">
        <v>44920</v>
      </c>
    </row>
    <row r="9553" spans="1:24">
      <c r="A9553">
        <f>HYPERLINK("https://www.philgeps.gov.ph/GEPSNONPILOT/Tender/SplashBidNoticeAbstractUI.aspx?menuIndex=3&amp;refID=7064014&amp;Result=3","7064014")</f>
        <v>0</v>
      </c>
      <c r="B9553" t="s">
        <v>88</v>
      </c>
      <c r="C9553" t="s">
        <v>12624</v>
      </c>
      <c r="D9553" t="s">
        <v>18135</v>
      </c>
      <c r="E9553" t="s">
        <v>26489</v>
      </c>
      <c r="F9553" t="s">
        <v>31362</v>
      </c>
      <c r="G9553" t="s">
        <v>31369</v>
      </c>
      <c r="H9553" t="s">
        <v>31378</v>
      </c>
      <c r="I9553" t="s">
        <v>31386</v>
      </c>
      <c r="J9553" t="s">
        <v>37336</v>
      </c>
      <c r="K9553" t="s">
        <v>40679</v>
      </c>
      <c r="M9553" t="s">
        <v>41025</v>
      </c>
      <c r="N9553" t="s">
        <v>44905</v>
      </c>
      <c r="O9553" t="s">
        <v>44906</v>
      </c>
      <c r="P9553">
        <v>0</v>
      </c>
      <c r="Q9553">
        <v>1</v>
      </c>
      <c r="R9553" t="s">
        <v>44914</v>
      </c>
      <c r="S9553" t="s">
        <v>45202</v>
      </c>
      <c r="T9553" t="s">
        <v>46559</v>
      </c>
      <c r="U9553" t="s">
        <v>54613</v>
      </c>
      <c r="W9553" t="s">
        <v>41025</v>
      </c>
      <c r="X9553" t="s">
        <v>44917</v>
      </c>
    </row>
    <row r="9554" spans="1:24">
      <c r="A9554">
        <f>HYPERLINK("https://www.philgeps.gov.ph/GEPSNONPILOT/Tender/SplashBidNoticeAbstractUI.aspx?menuIndex=3&amp;refID=7063629&amp;Result=3","7063629")</f>
        <v>0</v>
      </c>
      <c r="B9554" t="s">
        <v>2123</v>
      </c>
      <c r="C9554" t="s">
        <v>12625</v>
      </c>
      <c r="D9554" t="s">
        <v>18136</v>
      </c>
      <c r="E9554" t="s">
        <v>26490</v>
      </c>
      <c r="F9554" t="s">
        <v>31362</v>
      </c>
      <c r="G9554" t="s">
        <v>31369</v>
      </c>
      <c r="H9554" t="s">
        <v>15799</v>
      </c>
      <c r="I9554" t="s">
        <v>7090</v>
      </c>
      <c r="J9554" t="s">
        <v>31648</v>
      </c>
      <c r="K9554" t="s">
        <v>40665</v>
      </c>
      <c r="M9554" t="s">
        <v>43251</v>
      </c>
      <c r="N9554" t="s">
        <v>44905</v>
      </c>
      <c r="O9554" t="s">
        <v>44906</v>
      </c>
      <c r="P9554">
        <v>0</v>
      </c>
      <c r="Q9554">
        <v>0</v>
      </c>
      <c r="R9554" t="s">
        <v>44914</v>
      </c>
      <c r="S9554" t="s">
        <v>45202</v>
      </c>
      <c r="T9554" t="s">
        <v>46472</v>
      </c>
      <c r="U9554" t="s">
        <v>54614</v>
      </c>
      <c r="W9554" t="s">
        <v>43251</v>
      </c>
      <c r="X9554" t="s">
        <v>44917</v>
      </c>
    </row>
    <row r="9555" spans="1:24">
      <c r="A9555">
        <f>HYPERLINK("https://www.philgeps.gov.ph/GEPSNONPILOT/Tender/SplashBidNoticeAbstractUI.aspx?menuIndex=3&amp;refID=7058245&amp;Result=3","7058245")</f>
        <v>0</v>
      </c>
      <c r="B9555" t="s">
        <v>2768</v>
      </c>
      <c r="C9555" t="s">
        <v>12626</v>
      </c>
      <c r="D9555" t="s">
        <v>18106</v>
      </c>
      <c r="E9555" t="s">
        <v>26491</v>
      </c>
      <c r="F9555" t="s">
        <v>31362</v>
      </c>
      <c r="G9555" t="s">
        <v>31369</v>
      </c>
      <c r="H9555" t="s">
        <v>31378</v>
      </c>
      <c r="I9555" t="s">
        <v>31386</v>
      </c>
      <c r="J9555" t="s">
        <v>37337</v>
      </c>
      <c r="K9555" t="s">
        <v>40662</v>
      </c>
      <c r="M9555" t="s">
        <v>43959</v>
      </c>
      <c r="N9555" t="s">
        <v>44905</v>
      </c>
      <c r="O9555" t="s">
        <v>44906</v>
      </c>
      <c r="P9555">
        <v>0</v>
      </c>
      <c r="Q9555">
        <v>2</v>
      </c>
      <c r="R9555" t="s">
        <v>44914</v>
      </c>
      <c r="S9555" t="s">
        <v>45202</v>
      </c>
      <c r="T9555" t="s">
        <v>46490</v>
      </c>
      <c r="U9555" t="s">
        <v>54615</v>
      </c>
      <c r="W9555" t="s">
        <v>43959</v>
      </c>
      <c r="X9555" t="s">
        <v>44920</v>
      </c>
    </row>
    <row r="9556" spans="1:24">
      <c r="A9556">
        <f>HYPERLINK("https://www.philgeps.gov.ph/GEPSNONPILOT/Tender/SplashBidNoticeAbstractUI.aspx?menuIndex=3&amp;refID=7061314&amp;Result=3","7061314")</f>
        <v>0</v>
      </c>
      <c r="B9556" t="s">
        <v>1513</v>
      </c>
      <c r="C9556" t="s">
        <v>12627</v>
      </c>
      <c r="D9556" t="s">
        <v>18143</v>
      </c>
      <c r="E9556" t="s">
        <v>26492</v>
      </c>
      <c r="F9556" t="s">
        <v>31362</v>
      </c>
      <c r="G9556" t="s">
        <v>31369</v>
      </c>
      <c r="H9556" t="s">
        <v>31378</v>
      </c>
      <c r="I9556" t="s">
        <v>3815</v>
      </c>
      <c r="J9556" t="s">
        <v>37338</v>
      </c>
      <c r="K9556" t="s">
        <v>40665</v>
      </c>
      <c r="L9556" t="s">
        <v>1513</v>
      </c>
      <c r="M9556" t="s">
        <v>42556</v>
      </c>
      <c r="N9556" t="s">
        <v>44905</v>
      </c>
      <c r="O9556" t="s">
        <v>44906</v>
      </c>
      <c r="P9556">
        <v>0</v>
      </c>
      <c r="Q9556">
        <v>0</v>
      </c>
      <c r="R9556" t="s">
        <v>44914</v>
      </c>
      <c r="S9556" t="s">
        <v>45202</v>
      </c>
      <c r="T9556" t="s">
        <v>46479</v>
      </c>
      <c r="U9556" t="s">
        <v>54616</v>
      </c>
      <c r="V9556" t="s">
        <v>60049</v>
      </c>
      <c r="W9556" t="s">
        <v>42556</v>
      </c>
      <c r="X9556" t="s">
        <v>44918</v>
      </c>
    </row>
    <row r="9557" spans="1:24">
      <c r="A9557">
        <f>HYPERLINK("https://www.philgeps.gov.ph/GEPSNONPILOT/Tender/SplashBidNoticeAbstractUI.aspx?menuIndex=3&amp;refID=7066014&amp;Result=3","7066014")</f>
        <v>0</v>
      </c>
      <c r="B9557" t="s">
        <v>2768</v>
      </c>
      <c r="C9557" t="s">
        <v>12628</v>
      </c>
      <c r="D9557" t="s">
        <v>18106</v>
      </c>
      <c r="E9557" t="s">
        <v>26493</v>
      </c>
      <c r="F9557" t="s">
        <v>31362</v>
      </c>
      <c r="G9557" t="s">
        <v>31369</v>
      </c>
      <c r="H9557" t="s">
        <v>15799</v>
      </c>
      <c r="I9557" t="s">
        <v>3815</v>
      </c>
      <c r="J9557" t="s">
        <v>37339</v>
      </c>
      <c r="K9557" t="s">
        <v>40662</v>
      </c>
      <c r="M9557" t="s">
        <v>43959</v>
      </c>
      <c r="N9557" t="s">
        <v>44905</v>
      </c>
      <c r="O9557" t="s">
        <v>44906</v>
      </c>
      <c r="P9557">
        <v>0</v>
      </c>
      <c r="Q9557">
        <v>1</v>
      </c>
      <c r="R9557" t="s">
        <v>44914</v>
      </c>
      <c r="S9557" t="s">
        <v>45202</v>
      </c>
      <c r="T9557" t="s">
        <v>46490</v>
      </c>
      <c r="U9557" t="s">
        <v>54617</v>
      </c>
      <c r="W9557" t="s">
        <v>43959</v>
      </c>
      <c r="X9557" t="s">
        <v>44916</v>
      </c>
    </row>
    <row r="9558" spans="1:24">
      <c r="A9558">
        <f>HYPERLINK("https://www.philgeps.gov.ph/GEPSNONPILOT/Tender/SplashBidNoticeAbstractUI.aspx?menuIndex=3&amp;refID=7065986&amp;Result=3","7065986")</f>
        <v>0</v>
      </c>
      <c r="B9558" t="s">
        <v>2541</v>
      </c>
      <c r="C9558" t="s">
        <v>12629</v>
      </c>
      <c r="D9558" t="s">
        <v>18154</v>
      </c>
      <c r="E9558" t="s">
        <v>26494</v>
      </c>
      <c r="F9558" t="s">
        <v>31362</v>
      </c>
      <c r="G9558" t="s">
        <v>31369</v>
      </c>
      <c r="H9558" t="s">
        <v>31378</v>
      </c>
      <c r="I9558" t="s">
        <v>31386</v>
      </c>
      <c r="J9558" t="s">
        <v>37340</v>
      </c>
      <c r="K9558" t="s">
        <v>40679</v>
      </c>
      <c r="M9558" t="s">
        <v>43960</v>
      </c>
      <c r="N9558" t="s">
        <v>44905</v>
      </c>
      <c r="O9558" t="s">
        <v>44906</v>
      </c>
      <c r="P9558">
        <v>0</v>
      </c>
      <c r="Q9558">
        <v>0</v>
      </c>
      <c r="R9558" t="s">
        <v>44914</v>
      </c>
      <c r="S9558" t="s">
        <v>45202</v>
      </c>
      <c r="T9558" t="s">
        <v>46484</v>
      </c>
      <c r="U9558" t="s">
        <v>54618</v>
      </c>
      <c r="V9558" t="s">
        <v>60050</v>
      </c>
      <c r="W9558" t="s">
        <v>43960</v>
      </c>
      <c r="X9558" t="s">
        <v>44916</v>
      </c>
    </row>
    <row r="9559" spans="1:24">
      <c r="A9559">
        <f>HYPERLINK("https://www.philgeps.gov.ph/GEPSNONPILOT/Tender/SplashBidNoticeAbstractUI.aspx?menuIndex=3&amp;refID=7065958&amp;Result=3","7065958")</f>
        <v>0</v>
      </c>
      <c r="B9559" t="s">
        <v>2769</v>
      </c>
      <c r="C9559" t="s">
        <v>12630</v>
      </c>
      <c r="D9559" t="s">
        <v>18165</v>
      </c>
      <c r="E9559" t="s">
        <v>26495</v>
      </c>
      <c r="F9559" t="s">
        <v>31362</v>
      </c>
      <c r="G9559" t="s">
        <v>31370</v>
      </c>
      <c r="H9559" t="s">
        <v>15799</v>
      </c>
      <c r="I9559" t="s">
        <v>31427</v>
      </c>
      <c r="J9559" t="s">
        <v>37341</v>
      </c>
      <c r="K9559" t="s">
        <v>40662</v>
      </c>
      <c r="M9559" t="s">
        <v>43961</v>
      </c>
      <c r="N9559" t="s">
        <v>44905</v>
      </c>
      <c r="O9559" t="s">
        <v>44906</v>
      </c>
      <c r="P9559">
        <v>0</v>
      </c>
      <c r="Q9559">
        <v>5</v>
      </c>
      <c r="R9559" t="s">
        <v>44914</v>
      </c>
      <c r="S9559" t="s">
        <v>45202</v>
      </c>
      <c r="T9559" t="s">
        <v>46763</v>
      </c>
      <c r="U9559" t="s">
        <v>54619</v>
      </c>
      <c r="W9559" t="s">
        <v>43961</v>
      </c>
      <c r="X9559" t="s">
        <v>44916</v>
      </c>
    </row>
    <row r="9560" spans="1:24">
      <c r="A9560">
        <f>HYPERLINK("https://www.philgeps.gov.ph/GEPSNONPILOT/Tender/SplashBidNoticeAbstractUI.aspx?menuIndex=3&amp;refID=7058594&amp;Result=3","7058594")</f>
        <v>0</v>
      </c>
      <c r="B9560" t="s">
        <v>456</v>
      </c>
      <c r="C9560" t="s">
        <v>12631</v>
      </c>
      <c r="E9560" t="s">
        <v>26496</v>
      </c>
      <c r="F9560" t="s">
        <v>31362</v>
      </c>
      <c r="G9560" t="s">
        <v>31369</v>
      </c>
      <c r="H9560" t="s">
        <v>15799</v>
      </c>
      <c r="I9560" t="s">
        <v>31435</v>
      </c>
      <c r="J9560" t="s">
        <v>33271</v>
      </c>
      <c r="K9560" t="s">
        <v>40682</v>
      </c>
      <c r="M9560" t="s">
        <v>41410</v>
      </c>
      <c r="N9560" t="s">
        <v>44905</v>
      </c>
      <c r="O9560" t="s">
        <v>44906</v>
      </c>
      <c r="P9560">
        <v>0</v>
      </c>
      <c r="Q9560">
        <v>4</v>
      </c>
      <c r="R9560" t="s">
        <v>44914</v>
      </c>
      <c r="S9560" t="s">
        <v>45202</v>
      </c>
      <c r="T9560" t="s">
        <v>46663</v>
      </c>
      <c r="U9560" t="s">
        <v>54620</v>
      </c>
      <c r="W9560" t="s">
        <v>41410</v>
      </c>
      <c r="X9560" t="s">
        <v>44919</v>
      </c>
    </row>
    <row r="9561" spans="1:24">
      <c r="A9561">
        <f>HYPERLINK("https://www.philgeps.gov.ph/GEPSNONPILOT/Tender/SplashBidNoticeAbstractUI.aspx?menuIndex=3&amp;refID=7065809&amp;Result=3","7065809")</f>
        <v>0</v>
      </c>
      <c r="B9561" t="s">
        <v>706</v>
      </c>
      <c r="C9561" t="s">
        <v>12632</v>
      </c>
      <c r="D9561" t="s">
        <v>18169</v>
      </c>
      <c r="E9561" t="s">
        <v>26497</v>
      </c>
      <c r="F9561" t="s">
        <v>31362</v>
      </c>
      <c r="G9561" t="s">
        <v>31369</v>
      </c>
      <c r="H9561" t="s">
        <v>31378</v>
      </c>
      <c r="I9561" t="s">
        <v>31386</v>
      </c>
      <c r="J9561" t="s">
        <v>37342</v>
      </c>
      <c r="K9561" t="s">
        <v>40686</v>
      </c>
      <c r="M9561" t="s">
        <v>41671</v>
      </c>
      <c r="N9561" t="s">
        <v>44905</v>
      </c>
      <c r="O9561" t="s">
        <v>44906</v>
      </c>
      <c r="P9561">
        <v>0</v>
      </c>
      <c r="Q9561">
        <v>2</v>
      </c>
      <c r="R9561" t="s">
        <v>44914</v>
      </c>
      <c r="S9561" t="s">
        <v>45202</v>
      </c>
      <c r="T9561" t="s">
        <v>46438</v>
      </c>
      <c r="U9561" t="s">
        <v>54621</v>
      </c>
      <c r="W9561" t="s">
        <v>41671</v>
      </c>
      <c r="X9561" t="s">
        <v>44916</v>
      </c>
    </row>
    <row r="9562" spans="1:24">
      <c r="A9562">
        <f>HYPERLINK("https://www.philgeps.gov.ph/GEPSNONPILOT/Tender/SplashBidNoticeAbstractUI.aspx?menuIndex=3&amp;refID=7064367&amp;Result=3","7064367")</f>
        <v>0</v>
      </c>
      <c r="B9562" t="s">
        <v>105</v>
      </c>
      <c r="C9562" t="s">
        <v>12633</v>
      </c>
      <c r="D9562" t="s">
        <v>18110</v>
      </c>
      <c r="E9562" t="s">
        <v>26498</v>
      </c>
      <c r="F9562" t="s">
        <v>31362</v>
      </c>
      <c r="G9562" t="s">
        <v>31369</v>
      </c>
      <c r="H9562" t="s">
        <v>15799</v>
      </c>
      <c r="I9562" t="s">
        <v>7090</v>
      </c>
      <c r="J9562" t="s">
        <v>37343</v>
      </c>
      <c r="K9562" t="s">
        <v>40665</v>
      </c>
      <c r="M9562" t="s">
        <v>41042</v>
      </c>
      <c r="N9562" t="s">
        <v>44905</v>
      </c>
      <c r="O9562" t="s">
        <v>44906</v>
      </c>
      <c r="Q9562">
        <v>4</v>
      </c>
      <c r="R9562" t="s">
        <v>44914</v>
      </c>
      <c r="S9562" t="s">
        <v>45203</v>
      </c>
      <c r="T9562" t="s">
        <v>46490</v>
      </c>
      <c r="U9562" t="s">
        <v>54622</v>
      </c>
      <c r="W9562" t="s">
        <v>41042</v>
      </c>
      <c r="X9562" t="s">
        <v>44917</v>
      </c>
    </row>
    <row r="9563" spans="1:24">
      <c r="A9563">
        <f>HYPERLINK("https://www.philgeps.gov.ph/GEPSNONPILOT/Tender/SplashBidNoticeAbstractUI.aspx?menuIndex=3&amp;refID=7065509&amp;Result=3","7065509")</f>
        <v>0</v>
      </c>
      <c r="B9563" t="s">
        <v>2167</v>
      </c>
      <c r="C9563" t="s">
        <v>12634</v>
      </c>
      <c r="D9563" t="s">
        <v>18134</v>
      </c>
      <c r="E9563" t="s">
        <v>26499</v>
      </c>
      <c r="F9563" t="s">
        <v>31362</v>
      </c>
      <c r="G9563" t="s">
        <v>31369</v>
      </c>
      <c r="H9563" t="s">
        <v>15799</v>
      </c>
      <c r="I9563" t="s">
        <v>3815</v>
      </c>
      <c r="J9563" t="s">
        <v>37344</v>
      </c>
      <c r="K9563" t="s">
        <v>40666</v>
      </c>
      <c r="M9563" t="s">
        <v>43962</v>
      </c>
      <c r="N9563" t="s">
        <v>44905</v>
      </c>
      <c r="O9563" t="s">
        <v>44906</v>
      </c>
      <c r="P9563">
        <v>0</v>
      </c>
      <c r="Q9563">
        <v>1</v>
      </c>
      <c r="R9563" t="s">
        <v>44914</v>
      </c>
      <c r="S9563" t="s">
        <v>45202</v>
      </c>
      <c r="T9563" t="s">
        <v>46623</v>
      </c>
      <c r="U9563" t="s">
        <v>54623</v>
      </c>
      <c r="W9563" t="s">
        <v>43962</v>
      </c>
      <c r="X9563" t="s">
        <v>44916</v>
      </c>
    </row>
    <row r="9564" spans="1:24">
      <c r="A9564">
        <f>HYPERLINK("https://www.philgeps.gov.ph/GEPSNONPILOT/Tender/SplashBidNoticeAbstractUI.aspx?menuIndex=3&amp;refID=7065406&amp;Result=3","7065406")</f>
        <v>0</v>
      </c>
      <c r="B9564" t="s">
        <v>2167</v>
      </c>
      <c r="C9564" t="s">
        <v>12635</v>
      </c>
      <c r="D9564" t="s">
        <v>18134</v>
      </c>
      <c r="E9564" t="s">
        <v>26500</v>
      </c>
      <c r="F9564" t="s">
        <v>31362</v>
      </c>
      <c r="G9564" t="s">
        <v>31369</v>
      </c>
      <c r="H9564" t="s">
        <v>15799</v>
      </c>
      <c r="I9564" t="s">
        <v>3815</v>
      </c>
      <c r="J9564" t="s">
        <v>37345</v>
      </c>
      <c r="K9564" t="s">
        <v>40666</v>
      </c>
      <c r="M9564" t="s">
        <v>43962</v>
      </c>
      <c r="N9564" t="s">
        <v>44905</v>
      </c>
      <c r="O9564" t="s">
        <v>44906</v>
      </c>
      <c r="P9564">
        <v>0</v>
      </c>
      <c r="Q9564">
        <v>0</v>
      </c>
      <c r="R9564" t="s">
        <v>44914</v>
      </c>
      <c r="S9564" t="s">
        <v>45202</v>
      </c>
      <c r="T9564" t="s">
        <v>46623</v>
      </c>
      <c r="U9564" t="s">
        <v>54624</v>
      </c>
      <c r="W9564" t="s">
        <v>43962</v>
      </c>
      <c r="X9564" t="s">
        <v>44916</v>
      </c>
    </row>
    <row r="9565" spans="1:24">
      <c r="A9565">
        <f>HYPERLINK("https://www.philgeps.gov.ph/GEPSNONPILOT/Tender/SplashBidNoticeAbstractUI.aspx?menuIndex=3&amp;refID=7065290&amp;Result=3","7065290")</f>
        <v>0</v>
      </c>
      <c r="B9565" t="s">
        <v>2167</v>
      </c>
      <c r="C9565" t="s">
        <v>12636</v>
      </c>
      <c r="D9565" t="s">
        <v>18134</v>
      </c>
      <c r="E9565" t="s">
        <v>26501</v>
      </c>
      <c r="F9565" t="s">
        <v>31362</v>
      </c>
      <c r="G9565" t="s">
        <v>31369</v>
      </c>
      <c r="H9565" t="s">
        <v>15799</v>
      </c>
      <c r="I9565" t="s">
        <v>3815</v>
      </c>
      <c r="J9565" t="s">
        <v>37346</v>
      </c>
      <c r="K9565" t="s">
        <v>40666</v>
      </c>
      <c r="M9565" t="s">
        <v>43962</v>
      </c>
      <c r="N9565" t="s">
        <v>44905</v>
      </c>
      <c r="O9565" t="s">
        <v>44906</v>
      </c>
      <c r="P9565">
        <v>0</v>
      </c>
      <c r="Q9565">
        <v>0</v>
      </c>
      <c r="R9565" t="s">
        <v>44914</v>
      </c>
      <c r="S9565" t="s">
        <v>45202</v>
      </c>
      <c r="T9565" t="s">
        <v>46623</v>
      </c>
      <c r="U9565" t="s">
        <v>54623</v>
      </c>
      <c r="W9565" t="s">
        <v>43962</v>
      </c>
      <c r="X9565" t="s">
        <v>44916</v>
      </c>
    </row>
    <row r="9566" spans="1:24">
      <c r="A9566">
        <f>HYPERLINK("https://www.philgeps.gov.ph/GEPSNONPILOT/Tender/SplashBidNoticeAbstractUI.aspx?menuIndex=3&amp;refID=7058249&amp;Result=3","7058249")</f>
        <v>0</v>
      </c>
      <c r="B9566" t="s">
        <v>2768</v>
      </c>
      <c r="C9566" t="s">
        <v>12637</v>
      </c>
      <c r="D9566" t="s">
        <v>18106</v>
      </c>
      <c r="E9566" t="s">
        <v>26502</v>
      </c>
      <c r="F9566" t="s">
        <v>31362</v>
      </c>
      <c r="G9566" t="s">
        <v>31369</v>
      </c>
      <c r="H9566" t="s">
        <v>15799</v>
      </c>
      <c r="I9566" t="s">
        <v>3815</v>
      </c>
      <c r="J9566" t="s">
        <v>37347</v>
      </c>
      <c r="K9566" t="s">
        <v>40662</v>
      </c>
      <c r="M9566" t="s">
        <v>43959</v>
      </c>
      <c r="N9566" t="s">
        <v>44905</v>
      </c>
      <c r="O9566" t="s">
        <v>44906</v>
      </c>
      <c r="P9566">
        <v>0</v>
      </c>
      <c r="Q9566">
        <v>1</v>
      </c>
      <c r="R9566" t="s">
        <v>44914</v>
      </c>
      <c r="S9566" t="s">
        <v>45202</v>
      </c>
      <c r="T9566" t="s">
        <v>46490</v>
      </c>
      <c r="U9566" t="s">
        <v>54625</v>
      </c>
      <c r="W9566" t="s">
        <v>43959</v>
      </c>
      <c r="X9566" t="s">
        <v>44920</v>
      </c>
    </row>
    <row r="9567" spans="1:24">
      <c r="A9567">
        <f>HYPERLINK("https://www.philgeps.gov.ph/GEPSNONPILOT/Tender/SplashBidNoticeAbstractUI.aspx?menuIndex=3&amp;refID=7064874&amp;Result=3","7064874")</f>
        <v>0</v>
      </c>
      <c r="B9567" t="s">
        <v>948</v>
      </c>
      <c r="C9567" t="s">
        <v>12638</v>
      </c>
      <c r="D9567" t="s">
        <v>18107</v>
      </c>
      <c r="E9567" t="s">
        <v>26503</v>
      </c>
      <c r="F9567" t="s">
        <v>31362</v>
      </c>
      <c r="G9567" t="s">
        <v>31369</v>
      </c>
      <c r="H9567" t="s">
        <v>31378</v>
      </c>
      <c r="I9567" t="s">
        <v>31386</v>
      </c>
      <c r="J9567" t="s">
        <v>37348</v>
      </c>
      <c r="K9567" t="s">
        <v>40704</v>
      </c>
      <c r="M9567" t="s">
        <v>41936</v>
      </c>
      <c r="N9567" t="s">
        <v>44905</v>
      </c>
      <c r="O9567" t="s">
        <v>44906</v>
      </c>
      <c r="P9567">
        <v>0</v>
      </c>
      <c r="Q9567">
        <v>0</v>
      </c>
      <c r="R9567" t="s">
        <v>44914</v>
      </c>
      <c r="S9567" t="s">
        <v>45202</v>
      </c>
      <c r="T9567" t="s">
        <v>46561</v>
      </c>
      <c r="U9567" t="s">
        <v>48959</v>
      </c>
      <c r="W9567" t="s">
        <v>41936</v>
      </c>
      <c r="X9567" t="s">
        <v>44916</v>
      </c>
    </row>
    <row r="9568" spans="1:24">
      <c r="A9568">
        <f>HYPERLINK("https://www.philgeps.gov.ph/GEPSNONPILOT/Tender/SplashBidNoticeAbstractUI.aspx?menuIndex=3&amp;refID=7065910&amp;Result=3","7065910")</f>
        <v>0</v>
      </c>
      <c r="B9568" t="s">
        <v>2541</v>
      </c>
      <c r="C9568" t="s">
        <v>12639</v>
      </c>
      <c r="D9568" t="s">
        <v>18154</v>
      </c>
      <c r="E9568" t="s">
        <v>26504</v>
      </c>
      <c r="F9568" t="s">
        <v>31362</v>
      </c>
      <c r="G9568" t="s">
        <v>31369</v>
      </c>
      <c r="H9568" t="s">
        <v>31378</v>
      </c>
      <c r="I9568" t="s">
        <v>31386</v>
      </c>
      <c r="J9568" t="s">
        <v>37349</v>
      </c>
      <c r="K9568" t="s">
        <v>40682</v>
      </c>
      <c r="M9568" t="s">
        <v>43960</v>
      </c>
      <c r="N9568" t="s">
        <v>44905</v>
      </c>
      <c r="O9568" t="s">
        <v>44906</v>
      </c>
      <c r="P9568">
        <v>0</v>
      </c>
      <c r="Q9568">
        <v>1</v>
      </c>
      <c r="R9568" t="s">
        <v>44914</v>
      </c>
      <c r="S9568" t="s">
        <v>45202</v>
      </c>
      <c r="T9568" t="s">
        <v>46484</v>
      </c>
      <c r="U9568" t="s">
        <v>54626</v>
      </c>
      <c r="V9568" t="s">
        <v>60051</v>
      </c>
      <c r="W9568" t="s">
        <v>43960</v>
      </c>
      <c r="X9568" t="s">
        <v>44916</v>
      </c>
    </row>
    <row r="9569" spans="1:24">
      <c r="A9569">
        <f>HYPERLINK("https://www.philgeps.gov.ph/GEPSNONPILOT/Tender/SplashBidNoticeAbstractUI.aspx?menuIndex=3&amp;refID=7064497&amp;Result=3","7064497")</f>
        <v>0</v>
      </c>
      <c r="B9569" t="s">
        <v>105</v>
      </c>
      <c r="C9569" t="s">
        <v>12640</v>
      </c>
      <c r="D9569" t="s">
        <v>18110</v>
      </c>
      <c r="E9569" t="s">
        <v>26505</v>
      </c>
      <c r="F9569" t="s">
        <v>31362</v>
      </c>
      <c r="G9569" t="s">
        <v>31369</v>
      </c>
      <c r="H9569" t="s">
        <v>15799</v>
      </c>
      <c r="I9569" t="s">
        <v>3582</v>
      </c>
      <c r="J9569" t="s">
        <v>37350</v>
      </c>
      <c r="K9569" t="s">
        <v>40696</v>
      </c>
      <c r="M9569" t="s">
        <v>41042</v>
      </c>
      <c r="N9569" t="s">
        <v>44905</v>
      </c>
      <c r="O9569" t="s">
        <v>44906</v>
      </c>
      <c r="P9569">
        <v>0</v>
      </c>
      <c r="Q9569">
        <v>1</v>
      </c>
      <c r="R9569" t="s">
        <v>44914</v>
      </c>
      <c r="S9569" t="s">
        <v>45202</v>
      </c>
      <c r="T9569" t="s">
        <v>46490</v>
      </c>
      <c r="U9569" t="s">
        <v>54627</v>
      </c>
      <c r="W9569" t="s">
        <v>41042</v>
      </c>
      <c r="X9569" t="s">
        <v>44917</v>
      </c>
    </row>
    <row r="9570" spans="1:24">
      <c r="A9570">
        <f>HYPERLINK("https://www.philgeps.gov.ph/GEPSNONPILOT/Tender/SplashBidNoticeAbstractUI.aspx?menuIndex=3&amp;refID=7064494&amp;Result=3","7064494")</f>
        <v>0</v>
      </c>
      <c r="B9570" t="s">
        <v>105</v>
      </c>
      <c r="C9570" t="s">
        <v>12641</v>
      </c>
      <c r="D9570" t="s">
        <v>18110</v>
      </c>
      <c r="E9570" t="s">
        <v>26506</v>
      </c>
      <c r="F9570" t="s">
        <v>31362</v>
      </c>
      <c r="G9570" t="s">
        <v>31369</v>
      </c>
      <c r="H9570" t="s">
        <v>15799</v>
      </c>
      <c r="I9570" t="s">
        <v>31382</v>
      </c>
      <c r="J9570" t="s">
        <v>37351</v>
      </c>
      <c r="K9570" t="s">
        <v>40661</v>
      </c>
      <c r="M9570" t="s">
        <v>41042</v>
      </c>
      <c r="N9570" t="s">
        <v>44905</v>
      </c>
      <c r="O9570" t="s">
        <v>44906</v>
      </c>
      <c r="P9570">
        <v>0</v>
      </c>
      <c r="Q9570">
        <v>16</v>
      </c>
      <c r="R9570" t="s">
        <v>44914</v>
      </c>
      <c r="S9570" t="s">
        <v>45202</v>
      </c>
      <c r="T9570" t="s">
        <v>46490</v>
      </c>
      <c r="U9570" t="s">
        <v>54628</v>
      </c>
      <c r="W9570" t="s">
        <v>41042</v>
      </c>
      <c r="X9570" t="s">
        <v>44917</v>
      </c>
    </row>
    <row r="9571" spans="1:24">
      <c r="A9571">
        <f>HYPERLINK("https://www.philgeps.gov.ph/GEPSNONPILOT/Tender/SplashBidNoticeAbstractUI.aspx?menuIndex=3&amp;refID=7064485&amp;Result=3","7064485")</f>
        <v>0</v>
      </c>
      <c r="B9571" t="s">
        <v>105</v>
      </c>
      <c r="C9571" t="s">
        <v>12642</v>
      </c>
      <c r="D9571" t="s">
        <v>18110</v>
      </c>
      <c r="E9571" t="s">
        <v>26507</v>
      </c>
      <c r="F9571" t="s">
        <v>31362</v>
      </c>
      <c r="G9571" t="s">
        <v>31369</v>
      </c>
      <c r="H9571" t="s">
        <v>15799</v>
      </c>
      <c r="I9571" t="s">
        <v>31397</v>
      </c>
      <c r="J9571" t="s">
        <v>37352</v>
      </c>
      <c r="K9571" t="s">
        <v>40680</v>
      </c>
      <c r="M9571" t="s">
        <v>41042</v>
      </c>
      <c r="N9571" t="s">
        <v>44905</v>
      </c>
      <c r="O9571" t="s">
        <v>44906</v>
      </c>
      <c r="P9571">
        <v>0</v>
      </c>
      <c r="Q9571">
        <v>1</v>
      </c>
      <c r="R9571" t="s">
        <v>44914</v>
      </c>
      <c r="S9571" t="s">
        <v>45202</v>
      </c>
      <c r="T9571" t="s">
        <v>46490</v>
      </c>
      <c r="U9571" t="s">
        <v>54629</v>
      </c>
      <c r="W9571" t="s">
        <v>41042</v>
      </c>
      <c r="X9571" t="s">
        <v>44917</v>
      </c>
    </row>
    <row r="9572" spans="1:24">
      <c r="A9572">
        <f>HYPERLINK("https://www.philgeps.gov.ph/GEPSNONPILOT/Tender/SplashBidNoticeAbstractUI.aspx?menuIndex=3&amp;refID=7065499&amp;Result=3","7065499")</f>
        <v>0</v>
      </c>
      <c r="B9572" t="s">
        <v>1939</v>
      </c>
      <c r="C9572" t="s">
        <v>5343</v>
      </c>
      <c r="D9572" t="s">
        <v>18141</v>
      </c>
      <c r="E9572" t="s">
        <v>26508</v>
      </c>
      <c r="F9572" t="s">
        <v>31362</v>
      </c>
      <c r="G9572" t="s">
        <v>31369</v>
      </c>
      <c r="H9572" t="s">
        <v>31378</v>
      </c>
      <c r="I9572" t="s">
        <v>31386</v>
      </c>
      <c r="J9572" t="s">
        <v>31734</v>
      </c>
      <c r="K9572" t="s">
        <v>40670</v>
      </c>
      <c r="M9572" t="s">
        <v>43044</v>
      </c>
      <c r="N9572" t="s">
        <v>44905</v>
      </c>
      <c r="O9572" t="s">
        <v>44906</v>
      </c>
      <c r="P9572">
        <v>0</v>
      </c>
      <c r="Q9572">
        <v>1</v>
      </c>
      <c r="R9572" t="s">
        <v>44914</v>
      </c>
      <c r="S9572" t="s">
        <v>45202</v>
      </c>
      <c r="T9572" t="s">
        <v>46804</v>
      </c>
      <c r="U9572" t="s">
        <v>54630</v>
      </c>
      <c r="V9572" t="s">
        <v>60052</v>
      </c>
      <c r="W9572" t="s">
        <v>43044</v>
      </c>
      <c r="X9572" t="s">
        <v>44916</v>
      </c>
    </row>
    <row r="9573" spans="1:24">
      <c r="A9573">
        <f>HYPERLINK("https://www.philgeps.gov.ph/GEPSNONPILOT/Tender/SplashBidNoticeAbstractUI.aspx?menuIndex=3&amp;refID=7064452&amp;Result=3","7064452")</f>
        <v>0</v>
      </c>
      <c r="B9573" t="s">
        <v>105</v>
      </c>
      <c r="C9573" t="s">
        <v>12643</v>
      </c>
      <c r="D9573" t="s">
        <v>18110</v>
      </c>
      <c r="E9573" t="s">
        <v>26509</v>
      </c>
      <c r="F9573" t="s">
        <v>31362</v>
      </c>
      <c r="G9573" t="s">
        <v>31369</v>
      </c>
      <c r="H9573" t="s">
        <v>15799</v>
      </c>
      <c r="I9573" t="s">
        <v>7090</v>
      </c>
      <c r="J9573" t="s">
        <v>37353</v>
      </c>
      <c r="K9573" t="s">
        <v>40696</v>
      </c>
      <c r="M9573" t="s">
        <v>41042</v>
      </c>
      <c r="N9573" t="s">
        <v>44905</v>
      </c>
      <c r="O9573" t="s">
        <v>44906</v>
      </c>
      <c r="P9573">
        <v>0</v>
      </c>
      <c r="Q9573">
        <v>3</v>
      </c>
      <c r="R9573" t="s">
        <v>44914</v>
      </c>
      <c r="S9573" t="s">
        <v>45202</v>
      </c>
      <c r="T9573" t="s">
        <v>46490</v>
      </c>
      <c r="U9573" t="s">
        <v>54631</v>
      </c>
      <c r="W9573" t="s">
        <v>41042</v>
      </c>
      <c r="X9573" t="s">
        <v>44917</v>
      </c>
    </row>
    <row r="9574" spans="1:24">
      <c r="A9574">
        <f>HYPERLINK("https://www.philgeps.gov.ph/GEPSNONPILOT/Tender/SplashBidNoticeAbstractUI.aspx?menuIndex=3&amp;refID=7065954&amp;Result=3","7065954")</f>
        <v>0</v>
      </c>
      <c r="B9574" t="s">
        <v>2768</v>
      </c>
      <c r="C9574" t="s">
        <v>12644</v>
      </c>
      <c r="D9574" t="s">
        <v>18106</v>
      </c>
      <c r="E9574" t="s">
        <v>26510</v>
      </c>
      <c r="F9574" t="s">
        <v>31362</v>
      </c>
      <c r="G9574" t="s">
        <v>31369</v>
      </c>
      <c r="H9574" t="s">
        <v>31378</v>
      </c>
      <c r="I9574" t="s">
        <v>31386</v>
      </c>
      <c r="J9574" t="s">
        <v>36614</v>
      </c>
      <c r="K9574" t="s">
        <v>40662</v>
      </c>
      <c r="M9574" t="s">
        <v>43959</v>
      </c>
      <c r="N9574" t="s">
        <v>44905</v>
      </c>
      <c r="O9574" t="s">
        <v>44906</v>
      </c>
      <c r="P9574">
        <v>0</v>
      </c>
      <c r="Q9574">
        <v>2</v>
      </c>
      <c r="R9574" t="s">
        <v>44914</v>
      </c>
      <c r="S9574" t="s">
        <v>45202</v>
      </c>
      <c r="T9574" t="s">
        <v>46490</v>
      </c>
      <c r="U9574" t="s">
        <v>54632</v>
      </c>
      <c r="W9574" t="s">
        <v>43959</v>
      </c>
      <c r="X9574" t="s">
        <v>44916</v>
      </c>
    </row>
    <row r="9575" spans="1:24">
      <c r="A9575">
        <f>HYPERLINK("https://www.philgeps.gov.ph/GEPSNONPILOT/Tender/SplashBidNoticeAbstractUI.aspx?menuIndex=3&amp;refID=7064420&amp;Result=3","7064420")</f>
        <v>0</v>
      </c>
      <c r="B9575" t="s">
        <v>105</v>
      </c>
      <c r="C9575" t="s">
        <v>12645</v>
      </c>
      <c r="D9575" t="s">
        <v>18110</v>
      </c>
      <c r="E9575" t="s">
        <v>26511</v>
      </c>
      <c r="F9575" t="s">
        <v>31362</v>
      </c>
      <c r="G9575" t="s">
        <v>31369</v>
      </c>
      <c r="H9575" t="s">
        <v>15799</v>
      </c>
      <c r="I9575" t="s">
        <v>4283</v>
      </c>
      <c r="J9575" t="s">
        <v>37354</v>
      </c>
      <c r="K9575" t="s">
        <v>40696</v>
      </c>
      <c r="M9575" t="s">
        <v>41042</v>
      </c>
      <c r="N9575" t="s">
        <v>44905</v>
      </c>
      <c r="O9575" t="s">
        <v>44906</v>
      </c>
      <c r="P9575">
        <v>0</v>
      </c>
      <c r="Q9575">
        <v>14</v>
      </c>
      <c r="R9575" t="s">
        <v>44914</v>
      </c>
      <c r="S9575" t="s">
        <v>45202</v>
      </c>
      <c r="T9575" t="s">
        <v>46490</v>
      </c>
      <c r="U9575" t="s">
        <v>54633</v>
      </c>
      <c r="W9575" t="s">
        <v>41042</v>
      </c>
      <c r="X9575" t="s">
        <v>44917</v>
      </c>
    </row>
    <row r="9576" spans="1:24">
      <c r="A9576">
        <f>HYPERLINK("https://www.philgeps.gov.ph/GEPSNONPILOT/Tender/SplashBidNoticeAbstractUI.aspx?menuIndex=3&amp;refID=7065129&amp;Result=3","7065129")</f>
        <v>0</v>
      </c>
      <c r="B9576" t="s">
        <v>2770</v>
      </c>
      <c r="C9576" t="s">
        <v>12646</v>
      </c>
      <c r="D9576" t="s">
        <v>18117</v>
      </c>
      <c r="E9576" t="s">
        <v>26512</v>
      </c>
      <c r="F9576" t="s">
        <v>31362</v>
      </c>
      <c r="G9576" t="s">
        <v>31369</v>
      </c>
      <c r="H9576" t="s">
        <v>15799</v>
      </c>
      <c r="I9576" t="s">
        <v>6373</v>
      </c>
      <c r="J9576" t="s">
        <v>37355</v>
      </c>
      <c r="K9576" t="s">
        <v>40666</v>
      </c>
      <c r="M9576" t="s">
        <v>43963</v>
      </c>
      <c r="N9576" t="s">
        <v>44905</v>
      </c>
      <c r="O9576" t="s">
        <v>44906</v>
      </c>
      <c r="P9576">
        <v>0</v>
      </c>
      <c r="Q9576">
        <v>3</v>
      </c>
      <c r="R9576" t="s">
        <v>44914</v>
      </c>
      <c r="S9576" t="s">
        <v>45202</v>
      </c>
      <c r="T9576" t="s">
        <v>46449</v>
      </c>
      <c r="U9576" t="s">
        <v>54634</v>
      </c>
      <c r="V9576" t="s">
        <v>60053</v>
      </c>
      <c r="W9576" t="s">
        <v>43963</v>
      </c>
      <c r="X9576" t="s">
        <v>44916</v>
      </c>
    </row>
    <row r="9577" spans="1:24">
      <c r="A9577">
        <f>HYPERLINK("https://www.philgeps.gov.ph/GEPSNONPILOT/Tender/SplashBidNoticeAbstractUI.aspx?menuIndex=3&amp;refID=7058243&amp;Result=3","7058243")</f>
        <v>0</v>
      </c>
      <c r="B9577" t="s">
        <v>2768</v>
      </c>
      <c r="C9577" t="s">
        <v>12647</v>
      </c>
      <c r="D9577" t="s">
        <v>18106</v>
      </c>
      <c r="E9577" t="s">
        <v>26513</v>
      </c>
      <c r="F9577" t="s">
        <v>31362</v>
      </c>
      <c r="G9577" t="s">
        <v>31369</v>
      </c>
      <c r="H9577" t="s">
        <v>31378</v>
      </c>
      <c r="I9577" t="s">
        <v>31386</v>
      </c>
      <c r="J9577" t="s">
        <v>37356</v>
      </c>
      <c r="K9577" t="s">
        <v>40662</v>
      </c>
      <c r="M9577" t="s">
        <v>43959</v>
      </c>
      <c r="N9577" t="s">
        <v>44905</v>
      </c>
      <c r="O9577" t="s">
        <v>44906</v>
      </c>
      <c r="P9577">
        <v>0</v>
      </c>
      <c r="Q9577">
        <v>2</v>
      </c>
      <c r="R9577" t="s">
        <v>44914</v>
      </c>
      <c r="S9577" t="s">
        <v>45202</v>
      </c>
      <c r="T9577" t="s">
        <v>46472</v>
      </c>
      <c r="U9577" t="s">
        <v>54635</v>
      </c>
      <c r="W9577" t="s">
        <v>43959</v>
      </c>
      <c r="X9577" t="s">
        <v>44920</v>
      </c>
    </row>
    <row r="9578" spans="1:24">
      <c r="A9578">
        <f>HYPERLINK("https://www.philgeps.gov.ph/GEPSNONPILOT/Tender/SplashBidNoticeAbstractUI.aspx?menuIndex=3&amp;refID=7067128&amp;Result=3","7067128")</f>
        <v>0</v>
      </c>
      <c r="B9578" t="s">
        <v>1676</v>
      </c>
      <c r="C9578" t="s">
        <v>12648</v>
      </c>
      <c r="D9578" t="s">
        <v>18139</v>
      </c>
      <c r="E9578" t="s">
        <v>26514</v>
      </c>
      <c r="F9578" t="s">
        <v>31362</v>
      </c>
      <c r="G9578" t="s">
        <v>31369</v>
      </c>
      <c r="H9578" t="s">
        <v>31378</v>
      </c>
      <c r="I9578" t="s">
        <v>31386</v>
      </c>
      <c r="J9578" t="s">
        <v>37357</v>
      </c>
      <c r="K9578" t="s">
        <v>40837</v>
      </c>
      <c r="M9578" t="s">
        <v>42741</v>
      </c>
      <c r="N9578" t="s">
        <v>44905</v>
      </c>
      <c r="O9578" t="s">
        <v>44906</v>
      </c>
      <c r="P9578">
        <v>0</v>
      </c>
      <c r="Q9578">
        <v>2</v>
      </c>
      <c r="R9578" t="s">
        <v>44914</v>
      </c>
      <c r="S9578" t="s">
        <v>45202</v>
      </c>
      <c r="T9578" t="s">
        <v>46504</v>
      </c>
      <c r="U9578" t="s">
        <v>54636</v>
      </c>
      <c r="V9578" t="s">
        <v>60054</v>
      </c>
      <c r="W9578" t="s">
        <v>60921</v>
      </c>
      <c r="X9578" t="s">
        <v>44916</v>
      </c>
    </row>
    <row r="9579" spans="1:24">
      <c r="A9579">
        <f>HYPERLINK("https://www.philgeps.gov.ph/GEPSNONPILOT/Tender/SplashBidNoticeAbstractUI.aspx?menuIndex=3&amp;refID=7067020&amp;Result=3","7067020")</f>
        <v>0</v>
      </c>
      <c r="B9579" t="s">
        <v>462</v>
      </c>
      <c r="C9579" t="s">
        <v>12649</v>
      </c>
      <c r="D9579" t="s">
        <v>18150</v>
      </c>
      <c r="E9579" t="s">
        <v>26515</v>
      </c>
      <c r="F9579" t="s">
        <v>31362</v>
      </c>
      <c r="G9579" t="s">
        <v>31369</v>
      </c>
      <c r="H9579" t="s">
        <v>15799</v>
      </c>
      <c r="I9579" t="s">
        <v>7719</v>
      </c>
      <c r="J9579" t="s">
        <v>31542</v>
      </c>
      <c r="K9579" t="s">
        <v>40665</v>
      </c>
      <c r="M9579" t="s">
        <v>41416</v>
      </c>
      <c r="N9579" t="s">
        <v>44905</v>
      </c>
      <c r="O9579" t="s">
        <v>44906</v>
      </c>
      <c r="P9579">
        <v>0</v>
      </c>
      <c r="Q9579">
        <v>27</v>
      </c>
      <c r="R9579" t="s">
        <v>44914</v>
      </c>
      <c r="S9579" t="s">
        <v>45202</v>
      </c>
      <c r="T9579" t="s">
        <v>46805</v>
      </c>
      <c r="U9579" t="s">
        <v>54637</v>
      </c>
      <c r="W9579" t="s">
        <v>41416</v>
      </c>
      <c r="X9579" t="s">
        <v>44916</v>
      </c>
    </row>
    <row r="9580" spans="1:24">
      <c r="A9580">
        <f>HYPERLINK("https://www.philgeps.gov.ph/GEPSNONPILOT/Tender/SplashBidNoticeAbstractUI.aspx?menuIndex=3&amp;refID=7066989&amp;Result=3","7066989")</f>
        <v>0</v>
      </c>
      <c r="B9580" t="s">
        <v>2771</v>
      </c>
      <c r="C9580" t="s">
        <v>12650</v>
      </c>
      <c r="D9580" t="s">
        <v>18108</v>
      </c>
      <c r="E9580" t="s">
        <v>26516</v>
      </c>
      <c r="F9580" t="s">
        <v>31365</v>
      </c>
      <c r="G9580" t="s">
        <v>31369</v>
      </c>
      <c r="H9580" t="s">
        <v>15799</v>
      </c>
      <c r="I9580" t="s">
        <v>7090</v>
      </c>
      <c r="J9580" t="s">
        <v>31688</v>
      </c>
      <c r="K9580" t="s">
        <v>40661</v>
      </c>
      <c r="M9580" t="s">
        <v>43964</v>
      </c>
      <c r="N9580" t="s">
        <v>44905</v>
      </c>
      <c r="O9580" t="s">
        <v>44906</v>
      </c>
      <c r="P9580">
        <v>0</v>
      </c>
      <c r="Q9580">
        <v>1</v>
      </c>
      <c r="R9580" t="s">
        <v>44914</v>
      </c>
      <c r="S9580" t="s">
        <v>45202</v>
      </c>
      <c r="T9580" t="s">
        <v>46397</v>
      </c>
      <c r="U9580" t="s">
        <v>54638</v>
      </c>
      <c r="W9580" t="s">
        <v>43964</v>
      </c>
      <c r="X9580" t="s">
        <v>44916</v>
      </c>
    </row>
    <row r="9581" spans="1:24">
      <c r="A9581">
        <f>HYPERLINK("https://www.philgeps.gov.ph/GEPSNONPILOT/Tender/SplashBidNoticeAbstractUI.aspx?menuIndex=3&amp;refID=7066968&amp;Result=3","7066968")</f>
        <v>0</v>
      </c>
      <c r="B9581" t="s">
        <v>2772</v>
      </c>
      <c r="C9581" t="s">
        <v>12651</v>
      </c>
      <c r="D9581" t="s">
        <v>18157</v>
      </c>
      <c r="E9581" t="s">
        <v>26517</v>
      </c>
      <c r="F9581" t="s">
        <v>31362</v>
      </c>
      <c r="G9581" t="s">
        <v>31369</v>
      </c>
      <c r="H9581" t="s">
        <v>15799</v>
      </c>
      <c r="I9581" t="s">
        <v>31385</v>
      </c>
      <c r="J9581" t="s">
        <v>33304</v>
      </c>
      <c r="K9581" t="s">
        <v>40661</v>
      </c>
      <c r="M9581" t="s">
        <v>43965</v>
      </c>
      <c r="N9581" t="s">
        <v>44905</v>
      </c>
      <c r="O9581" t="s">
        <v>44906</v>
      </c>
      <c r="P9581">
        <v>0</v>
      </c>
      <c r="Q9581">
        <v>4</v>
      </c>
      <c r="R9581" t="s">
        <v>44914</v>
      </c>
      <c r="S9581" t="s">
        <v>45202</v>
      </c>
      <c r="T9581" t="s">
        <v>46524</v>
      </c>
      <c r="U9581" t="s">
        <v>54639</v>
      </c>
      <c r="W9581" t="s">
        <v>43965</v>
      </c>
      <c r="X9581" t="s">
        <v>44916</v>
      </c>
    </row>
    <row r="9582" spans="1:24">
      <c r="A9582">
        <f>HYPERLINK("https://www.philgeps.gov.ph/GEPSNONPILOT/Tender/SplashBidNoticeAbstractUI.aspx?menuIndex=3&amp;refID=7064433&amp;Result=3","7064433")</f>
        <v>0</v>
      </c>
      <c r="B9582" t="s">
        <v>105</v>
      </c>
      <c r="C9582" t="s">
        <v>12652</v>
      </c>
      <c r="D9582" t="s">
        <v>18110</v>
      </c>
      <c r="E9582" t="s">
        <v>26518</v>
      </c>
      <c r="F9582" t="s">
        <v>31362</v>
      </c>
      <c r="G9582" t="s">
        <v>31369</v>
      </c>
      <c r="H9582" t="s">
        <v>15799</v>
      </c>
      <c r="I9582" t="s">
        <v>31409</v>
      </c>
      <c r="J9582" t="s">
        <v>37358</v>
      </c>
      <c r="K9582" t="s">
        <v>40665</v>
      </c>
      <c r="M9582" t="s">
        <v>41042</v>
      </c>
      <c r="N9582" t="s">
        <v>44905</v>
      </c>
      <c r="O9582" t="s">
        <v>44906</v>
      </c>
      <c r="P9582">
        <v>0</v>
      </c>
      <c r="Q9582">
        <v>15</v>
      </c>
      <c r="R9582" t="s">
        <v>44914</v>
      </c>
      <c r="S9582" t="s">
        <v>45202</v>
      </c>
      <c r="T9582" t="s">
        <v>46490</v>
      </c>
      <c r="U9582" t="s">
        <v>54640</v>
      </c>
      <c r="W9582" t="s">
        <v>41042</v>
      </c>
      <c r="X9582" t="s">
        <v>44917</v>
      </c>
    </row>
    <row r="9583" spans="1:24">
      <c r="A9583">
        <f>HYPERLINK("https://www.philgeps.gov.ph/GEPSNONPILOT/Tender/SplashBidNoticeAbstractUI.aspx?menuIndex=3&amp;refID=7065173&amp;Result=3","7065173")</f>
        <v>0</v>
      </c>
      <c r="B9583" t="s">
        <v>2167</v>
      </c>
      <c r="C9583" t="s">
        <v>12653</v>
      </c>
      <c r="D9583" t="s">
        <v>18134</v>
      </c>
      <c r="E9583" t="s">
        <v>26519</v>
      </c>
      <c r="F9583" t="s">
        <v>31362</v>
      </c>
      <c r="G9583" t="s">
        <v>31369</v>
      </c>
      <c r="H9583" t="s">
        <v>15799</v>
      </c>
      <c r="I9583" t="s">
        <v>3815</v>
      </c>
      <c r="J9583" t="s">
        <v>37359</v>
      </c>
      <c r="K9583" t="s">
        <v>40666</v>
      </c>
      <c r="M9583" t="s">
        <v>43962</v>
      </c>
      <c r="N9583" t="s">
        <v>44905</v>
      </c>
      <c r="O9583" t="s">
        <v>44906</v>
      </c>
      <c r="P9583">
        <v>0</v>
      </c>
      <c r="Q9583">
        <v>0</v>
      </c>
      <c r="R9583" t="s">
        <v>44914</v>
      </c>
      <c r="S9583" t="s">
        <v>45202</v>
      </c>
      <c r="T9583" t="s">
        <v>46623</v>
      </c>
      <c r="U9583" t="s">
        <v>54623</v>
      </c>
      <c r="W9583" t="s">
        <v>43962</v>
      </c>
      <c r="X9583" t="s">
        <v>44916</v>
      </c>
    </row>
    <row r="9584" spans="1:24">
      <c r="A9584">
        <f>HYPERLINK("https://www.philgeps.gov.ph/GEPSNONPILOT/Tender/SplashBidNoticeAbstractUI.aspx?menuIndex=3&amp;refID=7066993&amp;Result=3","7066993")</f>
        <v>0</v>
      </c>
      <c r="B9584" t="s">
        <v>2772</v>
      </c>
      <c r="C9584" t="s">
        <v>12654</v>
      </c>
      <c r="D9584" t="s">
        <v>18157</v>
      </c>
      <c r="E9584" t="s">
        <v>26520</v>
      </c>
      <c r="F9584" t="s">
        <v>31362</v>
      </c>
      <c r="G9584" t="s">
        <v>31369</v>
      </c>
      <c r="H9584" t="s">
        <v>15799</v>
      </c>
      <c r="I9584" t="s">
        <v>7090</v>
      </c>
      <c r="J9584" t="s">
        <v>37360</v>
      </c>
      <c r="K9584" t="s">
        <v>40661</v>
      </c>
      <c r="M9584" t="s">
        <v>43965</v>
      </c>
      <c r="N9584" t="s">
        <v>44905</v>
      </c>
      <c r="O9584" t="s">
        <v>44906</v>
      </c>
      <c r="P9584">
        <v>0</v>
      </c>
      <c r="Q9584">
        <v>9</v>
      </c>
      <c r="R9584" t="s">
        <v>44914</v>
      </c>
      <c r="S9584" t="s">
        <v>45202</v>
      </c>
      <c r="T9584" t="s">
        <v>46524</v>
      </c>
      <c r="U9584" t="s">
        <v>54641</v>
      </c>
      <c r="W9584" t="s">
        <v>43965</v>
      </c>
      <c r="X9584" t="s">
        <v>44916</v>
      </c>
    </row>
    <row r="9585" spans="1:24">
      <c r="A9585">
        <f>HYPERLINK("https://www.philgeps.gov.ph/GEPSNONPILOT/Tender/SplashBidNoticeAbstractUI.aspx?menuIndex=3&amp;refID=7066627&amp;Result=3","7066627")</f>
        <v>0</v>
      </c>
      <c r="B9585" t="s">
        <v>2773</v>
      </c>
      <c r="C9585" t="s">
        <v>12655</v>
      </c>
      <c r="D9585" t="s">
        <v>18107</v>
      </c>
      <c r="E9585" t="s">
        <v>24865</v>
      </c>
      <c r="F9585" t="s">
        <v>31362</v>
      </c>
      <c r="G9585" t="s">
        <v>31369</v>
      </c>
      <c r="H9585" t="s">
        <v>31378</v>
      </c>
      <c r="I9585" t="s">
        <v>31386</v>
      </c>
      <c r="J9585" t="s">
        <v>31709</v>
      </c>
      <c r="K9585" t="s">
        <v>40682</v>
      </c>
      <c r="M9585" t="s">
        <v>43966</v>
      </c>
      <c r="N9585" t="s">
        <v>44905</v>
      </c>
      <c r="O9585" t="s">
        <v>44906</v>
      </c>
      <c r="P9585">
        <v>0</v>
      </c>
      <c r="Q9585">
        <v>0</v>
      </c>
      <c r="R9585" t="s">
        <v>44914</v>
      </c>
      <c r="S9585" t="s">
        <v>45202</v>
      </c>
      <c r="T9585" t="s">
        <v>46504</v>
      </c>
      <c r="U9585" t="s">
        <v>54642</v>
      </c>
      <c r="W9585" t="s">
        <v>43966</v>
      </c>
      <c r="X9585" t="s">
        <v>44916</v>
      </c>
    </row>
    <row r="9586" spans="1:24">
      <c r="A9586">
        <f>HYPERLINK("https://www.philgeps.gov.ph/GEPSNONPILOT/Tender/SplashBidNoticeAbstractUI.aspx?menuIndex=3&amp;refID=7058835&amp;Result=3","7058835")</f>
        <v>0</v>
      </c>
      <c r="B9586" t="s">
        <v>105</v>
      </c>
      <c r="C9586" t="s">
        <v>12656</v>
      </c>
      <c r="D9586" t="s">
        <v>18110</v>
      </c>
      <c r="E9586" t="s">
        <v>26521</v>
      </c>
      <c r="F9586" t="s">
        <v>31362</v>
      </c>
      <c r="G9586" t="s">
        <v>31369</v>
      </c>
      <c r="H9586" t="s">
        <v>15799</v>
      </c>
      <c r="I9586" t="s">
        <v>31409</v>
      </c>
      <c r="J9586" t="s">
        <v>37361</v>
      </c>
      <c r="K9586" t="s">
        <v>40665</v>
      </c>
      <c r="M9586" t="s">
        <v>41042</v>
      </c>
      <c r="N9586" t="s">
        <v>44905</v>
      </c>
      <c r="O9586" t="s">
        <v>44906</v>
      </c>
      <c r="P9586">
        <v>0</v>
      </c>
      <c r="Q9586">
        <v>9</v>
      </c>
      <c r="R9586" t="s">
        <v>44914</v>
      </c>
      <c r="S9586" t="s">
        <v>45202</v>
      </c>
      <c r="T9586" t="s">
        <v>46490</v>
      </c>
      <c r="U9586" t="s">
        <v>54643</v>
      </c>
      <c r="W9586" t="s">
        <v>41042</v>
      </c>
      <c r="X9586" t="s">
        <v>44919</v>
      </c>
    </row>
    <row r="9587" spans="1:24">
      <c r="A9587">
        <f>HYPERLINK("https://www.philgeps.gov.ph/GEPSNONPILOT/Tender/SplashBidNoticeAbstractUI.aspx?menuIndex=3&amp;refID=7066619&amp;Result=3","7066619")</f>
        <v>0</v>
      </c>
      <c r="B9587" t="s">
        <v>2146</v>
      </c>
      <c r="C9587" t="s">
        <v>12657</v>
      </c>
      <c r="D9587" t="s">
        <v>18157</v>
      </c>
      <c r="E9587" t="s">
        <v>26522</v>
      </c>
      <c r="F9587" t="s">
        <v>31362</v>
      </c>
      <c r="G9587" t="s">
        <v>31369</v>
      </c>
      <c r="H9587" t="s">
        <v>15799</v>
      </c>
      <c r="I9587" t="s">
        <v>31420</v>
      </c>
      <c r="J9587" t="s">
        <v>32333</v>
      </c>
      <c r="K9587" t="s">
        <v>40666</v>
      </c>
      <c r="L9587" t="s">
        <v>2146</v>
      </c>
      <c r="M9587" t="s">
        <v>43275</v>
      </c>
      <c r="N9587" t="s">
        <v>44905</v>
      </c>
      <c r="O9587" t="s">
        <v>44906</v>
      </c>
      <c r="P9587">
        <v>0</v>
      </c>
      <c r="Q9587">
        <v>16</v>
      </c>
      <c r="R9587" t="s">
        <v>44914</v>
      </c>
      <c r="S9587" t="s">
        <v>45202</v>
      </c>
      <c r="T9587" t="s">
        <v>46479</v>
      </c>
      <c r="U9587" t="s">
        <v>54644</v>
      </c>
      <c r="W9587" t="s">
        <v>60923</v>
      </c>
      <c r="X9587" t="s">
        <v>44916</v>
      </c>
    </row>
    <row r="9588" spans="1:24">
      <c r="A9588">
        <f>HYPERLINK("https://www.philgeps.gov.ph/GEPSNONPILOT/Tender/SplashBidNoticeAbstractUI.aspx?menuIndex=3&amp;refID=7066506&amp;Result=3","7066506")</f>
        <v>0</v>
      </c>
      <c r="B9588" t="s">
        <v>1167</v>
      </c>
      <c r="C9588" t="s">
        <v>12658</v>
      </c>
      <c r="D9588" t="s">
        <v>18151</v>
      </c>
      <c r="E9588" t="s">
        <v>26523</v>
      </c>
      <c r="F9588" t="s">
        <v>31362</v>
      </c>
      <c r="G9588" t="s">
        <v>31369</v>
      </c>
      <c r="H9588" t="s">
        <v>31378</v>
      </c>
      <c r="I9588" t="s">
        <v>31386</v>
      </c>
      <c r="J9588" t="s">
        <v>35708</v>
      </c>
      <c r="K9588" t="s">
        <v>40663</v>
      </c>
      <c r="M9588" t="s">
        <v>42177</v>
      </c>
      <c r="N9588" t="s">
        <v>44905</v>
      </c>
      <c r="O9588" t="s">
        <v>44906</v>
      </c>
      <c r="P9588">
        <v>0</v>
      </c>
      <c r="Q9588">
        <v>5</v>
      </c>
      <c r="R9588" t="s">
        <v>44914</v>
      </c>
      <c r="S9588" t="s">
        <v>45202</v>
      </c>
      <c r="T9588" t="s">
        <v>46479</v>
      </c>
      <c r="U9588" t="s">
        <v>49459</v>
      </c>
      <c r="V9588" t="s">
        <v>60055</v>
      </c>
      <c r="W9588" t="s">
        <v>42177</v>
      </c>
      <c r="X9588" t="s">
        <v>44916</v>
      </c>
    </row>
    <row r="9589" spans="1:24">
      <c r="A9589">
        <f>HYPERLINK("https://www.philgeps.gov.ph/GEPSNONPILOT/Tender/SplashBidNoticeAbstractUI.aspx?menuIndex=3&amp;refID=7066429&amp;Result=3","7066429")</f>
        <v>0</v>
      </c>
      <c r="B9589" t="s">
        <v>1475</v>
      </c>
      <c r="C9589" t="s">
        <v>12659</v>
      </c>
      <c r="D9589" t="s">
        <v>18168</v>
      </c>
      <c r="E9589" t="s">
        <v>26524</v>
      </c>
      <c r="F9589" t="s">
        <v>31362</v>
      </c>
      <c r="G9589" t="s">
        <v>31369</v>
      </c>
      <c r="H9589" t="s">
        <v>31378</v>
      </c>
      <c r="I9589" t="s">
        <v>31386</v>
      </c>
      <c r="J9589" t="s">
        <v>37362</v>
      </c>
      <c r="K9589" t="s">
        <v>40684</v>
      </c>
      <c r="M9589" t="s">
        <v>42509</v>
      </c>
      <c r="N9589" t="s">
        <v>44905</v>
      </c>
      <c r="O9589" t="s">
        <v>44906</v>
      </c>
      <c r="P9589">
        <v>0</v>
      </c>
      <c r="Q9589">
        <v>2</v>
      </c>
      <c r="R9589" t="s">
        <v>44914</v>
      </c>
      <c r="S9589" t="s">
        <v>45202</v>
      </c>
      <c r="T9589" t="s">
        <v>46429</v>
      </c>
      <c r="U9589" t="s">
        <v>54645</v>
      </c>
      <c r="W9589" t="s">
        <v>42509</v>
      </c>
      <c r="X9589" t="s">
        <v>44916</v>
      </c>
    </row>
    <row r="9590" spans="1:24">
      <c r="A9590">
        <f>HYPERLINK("https://www.philgeps.gov.ph/GEPSNONPILOT/Tender/SplashBidNoticeAbstractUI.aspx?menuIndex=3&amp;refID=7066881&amp;Result=3","7066881")</f>
        <v>0</v>
      </c>
      <c r="B9590" t="s">
        <v>1033</v>
      </c>
      <c r="C9590" t="s">
        <v>12660</v>
      </c>
      <c r="D9590" t="s">
        <v>18162</v>
      </c>
      <c r="E9590" t="s">
        <v>26525</v>
      </c>
      <c r="F9590" t="s">
        <v>31362</v>
      </c>
      <c r="G9590" t="s">
        <v>31369</v>
      </c>
      <c r="H9590" t="s">
        <v>15799</v>
      </c>
      <c r="I9590" t="s">
        <v>31385</v>
      </c>
      <c r="J9590" t="s">
        <v>37363</v>
      </c>
      <c r="K9590" t="s">
        <v>40670</v>
      </c>
      <c r="M9590" t="s">
        <v>42032</v>
      </c>
      <c r="N9590" t="s">
        <v>44905</v>
      </c>
      <c r="O9590" t="s">
        <v>44906</v>
      </c>
      <c r="P9590">
        <v>0</v>
      </c>
      <c r="Q9590">
        <v>0</v>
      </c>
      <c r="R9590" t="s">
        <v>44914</v>
      </c>
      <c r="S9590" t="s">
        <v>45202</v>
      </c>
      <c r="T9590" t="s">
        <v>46509</v>
      </c>
      <c r="U9590" t="s">
        <v>54646</v>
      </c>
      <c r="W9590" t="s">
        <v>42032</v>
      </c>
      <c r="X9590" t="s">
        <v>44916</v>
      </c>
    </row>
    <row r="9591" spans="1:24">
      <c r="A9591">
        <f>HYPERLINK("https://www.philgeps.gov.ph/GEPSNONPILOT/Tender/SplashBidNoticeAbstractUI.aspx?menuIndex=3&amp;refID=7066590&amp;Result=3","7066590")</f>
        <v>0</v>
      </c>
      <c r="B9591" t="s">
        <v>1475</v>
      </c>
      <c r="C9591" t="s">
        <v>12661</v>
      </c>
      <c r="D9591" t="s">
        <v>18168</v>
      </c>
      <c r="E9591" t="s">
        <v>26526</v>
      </c>
      <c r="F9591" t="s">
        <v>31362</v>
      </c>
      <c r="G9591" t="s">
        <v>31369</v>
      </c>
      <c r="H9591" t="s">
        <v>31378</v>
      </c>
      <c r="I9591" t="s">
        <v>31386</v>
      </c>
      <c r="J9591" t="s">
        <v>32594</v>
      </c>
      <c r="K9591" t="s">
        <v>40783</v>
      </c>
      <c r="M9591" t="s">
        <v>42509</v>
      </c>
      <c r="N9591" t="s">
        <v>44905</v>
      </c>
      <c r="O9591" t="s">
        <v>44906</v>
      </c>
      <c r="P9591">
        <v>0</v>
      </c>
      <c r="Q9591">
        <v>1</v>
      </c>
      <c r="R9591" t="s">
        <v>44914</v>
      </c>
      <c r="S9591" t="s">
        <v>45202</v>
      </c>
      <c r="T9591" t="s">
        <v>46429</v>
      </c>
      <c r="U9591" t="s">
        <v>54645</v>
      </c>
      <c r="W9591" t="s">
        <v>42509</v>
      </c>
      <c r="X9591" t="s">
        <v>44916</v>
      </c>
    </row>
    <row r="9592" spans="1:24">
      <c r="A9592">
        <f>HYPERLINK("https://www.philgeps.gov.ph/GEPSNONPILOT/Tender/SplashBidNoticeAbstractUI.aspx?menuIndex=3&amp;refID=7066474&amp;Result=3","7066474")</f>
        <v>0</v>
      </c>
      <c r="B9592" t="s">
        <v>1475</v>
      </c>
      <c r="C9592" t="s">
        <v>12662</v>
      </c>
      <c r="D9592" t="s">
        <v>18168</v>
      </c>
      <c r="E9592" t="s">
        <v>26527</v>
      </c>
      <c r="F9592" t="s">
        <v>31362</v>
      </c>
      <c r="G9592" t="s">
        <v>31369</v>
      </c>
      <c r="H9592" t="s">
        <v>31378</v>
      </c>
      <c r="I9592" t="s">
        <v>31386</v>
      </c>
      <c r="J9592" t="s">
        <v>32594</v>
      </c>
      <c r="K9592" t="s">
        <v>40799</v>
      </c>
      <c r="M9592" t="s">
        <v>42509</v>
      </c>
      <c r="N9592" t="s">
        <v>44905</v>
      </c>
      <c r="O9592" t="s">
        <v>44906</v>
      </c>
      <c r="P9592">
        <v>0</v>
      </c>
      <c r="Q9592">
        <v>1</v>
      </c>
      <c r="R9592" t="s">
        <v>44914</v>
      </c>
      <c r="S9592" t="s">
        <v>45202</v>
      </c>
      <c r="T9592" t="s">
        <v>46429</v>
      </c>
      <c r="U9592" t="s">
        <v>54645</v>
      </c>
      <c r="W9592" t="s">
        <v>42509</v>
      </c>
      <c r="X9592" t="s">
        <v>44916</v>
      </c>
    </row>
    <row r="9593" spans="1:24">
      <c r="A9593">
        <f>HYPERLINK("https://www.philgeps.gov.ph/GEPSNONPILOT/Tender/SplashBidNoticeAbstractUI.aspx?menuIndex=3&amp;refID=7067230&amp;Result=3","7067230")</f>
        <v>0</v>
      </c>
      <c r="B9593" t="s">
        <v>1676</v>
      </c>
      <c r="C9593" t="s">
        <v>12663</v>
      </c>
      <c r="D9593" t="s">
        <v>18139</v>
      </c>
      <c r="E9593" t="s">
        <v>26528</v>
      </c>
      <c r="F9593" t="s">
        <v>31362</v>
      </c>
      <c r="G9593" t="s">
        <v>31368</v>
      </c>
      <c r="H9593" t="s">
        <v>31378</v>
      </c>
      <c r="I9593" t="s">
        <v>31386</v>
      </c>
      <c r="J9593" t="s">
        <v>31951</v>
      </c>
      <c r="K9593" t="s">
        <v>40694</v>
      </c>
      <c r="M9593" t="s">
        <v>42741</v>
      </c>
      <c r="N9593" t="s">
        <v>44905</v>
      </c>
      <c r="O9593" t="s">
        <v>44906</v>
      </c>
      <c r="P9593">
        <v>0</v>
      </c>
      <c r="Q9593">
        <v>1</v>
      </c>
      <c r="R9593" t="s">
        <v>44914</v>
      </c>
      <c r="S9593" t="s">
        <v>45202</v>
      </c>
      <c r="T9593" t="s">
        <v>46504</v>
      </c>
      <c r="U9593" t="s">
        <v>54647</v>
      </c>
      <c r="V9593" t="s">
        <v>60056</v>
      </c>
      <c r="W9593" t="s">
        <v>60921</v>
      </c>
      <c r="X9593" t="s">
        <v>44916</v>
      </c>
    </row>
    <row r="9594" spans="1:24">
      <c r="A9594">
        <f>HYPERLINK("https://www.philgeps.gov.ph/GEPSNONPILOT/Tender/SplashBidNoticeAbstractUI.aspx?menuIndex=3&amp;refID=7067224&amp;Result=3","7067224")</f>
        <v>0</v>
      </c>
      <c r="B9594" t="s">
        <v>1676</v>
      </c>
      <c r="C9594" t="s">
        <v>12664</v>
      </c>
      <c r="D9594" t="s">
        <v>18139</v>
      </c>
      <c r="E9594" t="s">
        <v>26529</v>
      </c>
      <c r="F9594" t="s">
        <v>31362</v>
      </c>
      <c r="G9594" t="s">
        <v>31368</v>
      </c>
      <c r="H9594" t="s">
        <v>31378</v>
      </c>
      <c r="I9594" t="s">
        <v>31386</v>
      </c>
      <c r="J9594" t="s">
        <v>37364</v>
      </c>
      <c r="K9594" t="s">
        <v>40706</v>
      </c>
      <c r="M9594" t="s">
        <v>42741</v>
      </c>
      <c r="N9594" t="s">
        <v>44905</v>
      </c>
      <c r="O9594" t="s">
        <v>44906</v>
      </c>
      <c r="P9594">
        <v>0</v>
      </c>
      <c r="Q9594">
        <v>1</v>
      </c>
      <c r="R9594" t="s">
        <v>44914</v>
      </c>
      <c r="S9594" t="s">
        <v>45202</v>
      </c>
      <c r="T9594" t="s">
        <v>46504</v>
      </c>
      <c r="U9594" t="s">
        <v>54647</v>
      </c>
      <c r="V9594" t="s">
        <v>60057</v>
      </c>
      <c r="W9594" t="s">
        <v>60921</v>
      </c>
      <c r="X9594" t="s">
        <v>44916</v>
      </c>
    </row>
    <row r="9595" spans="1:24">
      <c r="A9595">
        <f>HYPERLINK("https://www.philgeps.gov.ph/GEPSNONPILOT/Tender/SplashBidNoticeAbstractUI.aspx?menuIndex=3&amp;refID=7067218&amp;Result=3","7067218")</f>
        <v>0</v>
      </c>
      <c r="B9595" t="s">
        <v>1676</v>
      </c>
      <c r="C9595" t="s">
        <v>12665</v>
      </c>
      <c r="D9595" t="s">
        <v>18139</v>
      </c>
      <c r="E9595" t="s">
        <v>26530</v>
      </c>
      <c r="F9595" t="s">
        <v>31362</v>
      </c>
      <c r="G9595" t="s">
        <v>31368</v>
      </c>
      <c r="H9595" t="s">
        <v>31378</v>
      </c>
      <c r="I9595" t="s">
        <v>31386</v>
      </c>
      <c r="J9595" t="s">
        <v>33617</v>
      </c>
      <c r="K9595" t="s">
        <v>40846</v>
      </c>
      <c r="M9595" t="s">
        <v>42741</v>
      </c>
      <c r="N9595" t="s">
        <v>44905</v>
      </c>
      <c r="O9595" t="s">
        <v>44906</v>
      </c>
      <c r="P9595">
        <v>0</v>
      </c>
      <c r="Q9595">
        <v>1</v>
      </c>
      <c r="R9595" t="s">
        <v>44914</v>
      </c>
      <c r="S9595" t="s">
        <v>45202</v>
      </c>
      <c r="T9595" t="s">
        <v>46504</v>
      </c>
      <c r="U9595" t="s">
        <v>54647</v>
      </c>
      <c r="V9595" t="s">
        <v>60058</v>
      </c>
      <c r="W9595" t="s">
        <v>60921</v>
      </c>
      <c r="X9595" t="s">
        <v>44916</v>
      </c>
    </row>
    <row r="9596" spans="1:24">
      <c r="A9596">
        <f>HYPERLINK("https://www.philgeps.gov.ph/GEPSNONPILOT/Tender/SplashBidNoticeAbstractUI.aspx?menuIndex=3&amp;refID=7067214&amp;Result=3","7067214")</f>
        <v>0</v>
      </c>
      <c r="B9596" t="s">
        <v>1676</v>
      </c>
      <c r="C9596" t="s">
        <v>12666</v>
      </c>
      <c r="D9596" t="s">
        <v>18139</v>
      </c>
      <c r="E9596" t="s">
        <v>26531</v>
      </c>
      <c r="F9596" t="s">
        <v>31362</v>
      </c>
      <c r="G9596" t="s">
        <v>31368</v>
      </c>
      <c r="H9596" t="s">
        <v>31378</v>
      </c>
      <c r="I9596" t="s">
        <v>31386</v>
      </c>
      <c r="J9596" t="s">
        <v>37365</v>
      </c>
      <c r="K9596" t="s">
        <v>40846</v>
      </c>
      <c r="M9596" t="s">
        <v>42741</v>
      </c>
      <c r="N9596" t="s">
        <v>44905</v>
      </c>
      <c r="O9596" t="s">
        <v>44906</v>
      </c>
      <c r="P9596">
        <v>0</v>
      </c>
      <c r="Q9596">
        <v>1</v>
      </c>
      <c r="R9596" t="s">
        <v>44914</v>
      </c>
      <c r="S9596" t="s">
        <v>45202</v>
      </c>
      <c r="T9596" t="s">
        <v>46504</v>
      </c>
      <c r="U9596" t="s">
        <v>54647</v>
      </c>
      <c r="V9596" t="s">
        <v>60059</v>
      </c>
      <c r="W9596" t="s">
        <v>60921</v>
      </c>
      <c r="X9596" t="s">
        <v>44916</v>
      </c>
    </row>
    <row r="9597" spans="1:24">
      <c r="A9597">
        <f>HYPERLINK("https://www.philgeps.gov.ph/GEPSNONPILOT/Tender/SplashBidNoticeAbstractUI.aspx?menuIndex=3&amp;refID=7067190&amp;Result=3","7067190")</f>
        <v>0</v>
      </c>
      <c r="B9597" t="s">
        <v>1676</v>
      </c>
      <c r="C9597" t="s">
        <v>12667</v>
      </c>
      <c r="D9597" t="s">
        <v>18139</v>
      </c>
      <c r="E9597" t="s">
        <v>26532</v>
      </c>
      <c r="F9597" t="s">
        <v>31362</v>
      </c>
      <c r="G9597" t="s">
        <v>31369</v>
      </c>
      <c r="H9597" t="s">
        <v>31378</v>
      </c>
      <c r="I9597" t="s">
        <v>31386</v>
      </c>
      <c r="J9597" t="s">
        <v>32006</v>
      </c>
      <c r="K9597" t="s">
        <v>40711</v>
      </c>
      <c r="M9597" t="s">
        <v>42741</v>
      </c>
      <c r="N9597" t="s">
        <v>44905</v>
      </c>
      <c r="O9597" t="s">
        <v>44906</v>
      </c>
      <c r="P9597">
        <v>0</v>
      </c>
      <c r="Q9597">
        <v>2</v>
      </c>
      <c r="R9597" t="s">
        <v>44914</v>
      </c>
      <c r="S9597" t="s">
        <v>45202</v>
      </c>
      <c r="T9597" t="s">
        <v>46504</v>
      </c>
      <c r="U9597" t="s">
        <v>54648</v>
      </c>
      <c r="V9597" t="s">
        <v>60060</v>
      </c>
      <c r="W9597" t="s">
        <v>60921</v>
      </c>
      <c r="X9597" t="s">
        <v>44916</v>
      </c>
    </row>
    <row r="9598" spans="1:24">
      <c r="A9598">
        <f>HYPERLINK("https://www.philgeps.gov.ph/GEPSNONPILOT/Tender/SplashBidNoticeAbstractUI.aspx?menuIndex=3&amp;refID=7067183&amp;Result=3","7067183")</f>
        <v>0</v>
      </c>
      <c r="B9598" t="s">
        <v>1676</v>
      </c>
      <c r="C9598" t="s">
        <v>12668</v>
      </c>
      <c r="D9598" t="s">
        <v>18139</v>
      </c>
      <c r="E9598" t="s">
        <v>26533</v>
      </c>
      <c r="F9598" t="s">
        <v>31362</v>
      </c>
      <c r="G9598" t="s">
        <v>31369</v>
      </c>
      <c r="H9598" t="s">
        <v>31378</v>
      </c>
      <c r="I9598" t="s">
        <v>31386</v>
      </c>
      <c r="J9598" t="s">
        <v>37366</v>
      </c>
      <c r="K9598" t="s">
        <v>40682</v>
      </c>
      <c r="M9598" t="s">
        <v>42741</v>
      </c>
      <c r="N9598" t="s">
        <v>44905</v>
      </c>
      <c r="O9598" t="s">
        <v>44906</v>
      </c>
      <c r="P9598">
        <v>0</v>
      </c>
      <c r="Q9598">
        <v>2</v>
      </c>
      <c r="R9598" t="s">
        <v>44914</v>
      </c>
      <c r="S9598" t="s">
        <v>45202</v>
      </c>
      <c r="T9598" t="s">
        <v>46504</v>
      </c>
      <c r="U9598" t="s">
        <v>54649</v>
      </c>
      <c r="V9598" t="s">
        <v>60061</v>
      </c>
      <c r="W9598" t="s">
        <v>60921</v>
      </c>
      <c r="X9598" t="s">
        <v>44916</v>
      </c>
    </row>
    <row r="9599" spans="1:24">
      <c r="A9599">
        <f>HYPERLINK("https://www.philgeps.gov.ph/GEPSNONPILOT/Tender/SplashBidNoticeAbstractUI.aspx?menuIndex=3&amp;refID=7067175&amp;Result=3","7067175")</f>
        <v>0</v>
      </c>
      <c r="B9599" t="s">
        <v>1676</v>
      </c>
      <c r="C9599" t="s">
        <v>12669</v>
      </c>
      <c r="D9599" t="s">
        <v>18139</v>
      </c>
      <c r="E9599" t="s">
        <v>26534</v>
      </c>
      <c r="F9599" t="s">
        <v>31362</v>
      </c>
      <c r="G9599" t="s">
        <v>31369</v>
      </c>
      <c r="H9599" t="s">
        <v>31378</v>
      </c>
      <c r="I9599" t="s">
        <v>31386</v>
      </c>
      <c r="J9599" t="s">
        <v>33758</v>
      </c>
      <c r="K9599" t="s">
        <v>40682</v>
      </c>
      <c r="M9599" t="s">
        <v>42741</v>
      </c>
      <c r="N9599" t="s">
        <v>44905</v>
      </c>
      <c r="O9599" t="s">
        <v>44906</v>
      </c>
      <c r="P9599">
        <v>0</v>
      </c>
      <c r="Q9599">
        <v>2</v>
      </c>
      <c r="R9599" t="s">
        <v>44914</v>
      </c>
      <c r="S9599" t="s">
        <v>45202</v>
      </c>
      <c r="T9599" t="s">
        <v>46504</v>
      </c>
      <c r="U9599" t="s">
        <v>54650</v>
      </c>
      <c r="V9599" t="s">
        <v>60062</v>
      </c>
      <c r="W9599" t="s">
        <v>60921</v>
      </c>
      <c r="X9599" t="s">
        <v>44916</v>
      </c>
    </row>
    <row r="9600" spans="1:24">
      <c r="A9600">
        <f>HYPERLINK("https://www.philgeps.gov.ph/GEPSNONPILOT/Tender/SplashBidNoticeAbstractUI.aspx?menuIndex=3&amp;refID=7066986&amp;Result=3","7066986")</f>
        <v>0</v>
      </c>
      <c r="B9600" t="s">
        <v>462</v>
      </c>
      <c r="C9600" t="s">
        <v>12670</v>
      </c>
      <c r="D9600" t="s">
        <v>18150</v>
      </c>
      <c r="E9600" t="s">
        <v>26535</v>
      </c>
      <c r="F9600" t="s">
        <v>31362</v>
      </c>
      <c r="G9600" t="s">
        <v>31369</v>
      </c>
      <c r="H9600" t="s">
        <v>31378</v>
      </c>
      <c r="I9600" t="s">
        <v>31386</v>
      </c>
      <c r="J9600" t="s">
        <v>37367</v>
      </c>
      <c r="K9600" t="s">
        <v>40682</v>
      </c>
      <c r="M9600" t="s">
        <v>41416</v>
      </c>
      <c r="N9600" t="s">
        <v>44905</v>
      </c>
      <c r="O9600" t="s">
        <v>44906</v>
      </c>
      <c r="P9600">
        <v>0</v>
      </c>
      <c r="Q9600">
        <v>3</v>
      </c>
      <c r="R9600" t="s">
        <v>44914</v>
      </c>
      <c r="S9600" t="s">
        <v>45202</v>
      </c>
      <c r="T9600" t="s">
        <v>46805</v>
      </c>
      <c r="U9600" t="s">
        <v>54651</v>
      </c>
      <c r="W9600" t="s">
        <v>41416</v>
      </c>
      <c r="X9600" t="s">
        <v>44916</v>
      </c>
    </row>
    <row r="9601" spans="1:24">
      <c r="A9601">
        <f>HYPERLINK("https://www.philgeps.gov.ph/GEPSNONPILOT/Tender/SplashBidNoticeAbstractUI.aspx?menuIndex=3&amp;refID=7067170&amp;Result=3","7067170")</f>
        <v>0</v>
      </c>
      <c r="B9601" t="s">
        <v>1676</v>
      </c>
      <c r="C9601" t="s">
        <v>12671</v>
      </c>
      <c r="D9601" t="s">
        <v>18139</v>
      </c>
      <c r="E9601" t="s">
        <v>26536</v>
      </c>
      <c r="F9601" t="s">
        <v>31362</v>
      </c>
      <c r="G9601" t="s">
        <v>31369</v>
      </c>
      <c r="H9601" t="s">
        <v>31378</v>
      </c>
      <c r="I9601" t="s">
        <v>31386</v>
      </c>
      <c r="J9601" t="s">
        <v>33758</v>
      </c>
      <c r="K9601" t="s">
        <v>40682</v>
      </c>
      <c r="M9601" t="s">
        <v>42741</v>
      </c>
      <c r="N9601" t="s">
        <v>44905</v>
      </c>
      <c r="O9601" t="s">
        <v>44906</v>
      </c>
      <c r="P9601">
        <v>0</v>
      </c>
      <c r="Q9601">
        <v>2</v>
      </c>
      <c r="R9601" t="s">
        <v>44914</v>
      </c>
      <c r="S9601" t="s">
        <v>45202</v>
      </c>
      <c r="T9601" t="s">
        <v>46504</v>
      </c>
      <c r="U9601" t="s">
        <v>54652</v>
      </c>
      <c r="V9601" t="s">
        <v>60063</v>
      </c>
      <c r="W9601" t="s">
        <v>60921</v>
      </c>
      <c r="X9601" t="s">
        <v>44916</v>
      </c>
    </row>
    <row r="9602" spans="1:24">
      <c r="A9602">
        <f>HYPERLINK("https://www.philgeps.gov.ph/GEPSNONPILOT/Tender/SplashBidNoticeAbstractUI.aspx?menuIndex=3&amp;refID=7067168&amp;Result=3","7067168")</f>
        <v>0</v>
      </c>
      <c r="B9602" t="s">
        <v>1676</v>
      </c>
      <c r="C9602" t="s">
        <v>12672</v>
      </c>
      <c r="D9602" t="s">
        <v>18139</v>
      </c>
      <c r="E9602" t="s">
        <v>26537</v>
      </c>
      <c r="F9602" t="s">
        <v>31362</v>
      </c>
      <c r="G9602" t="s">
        <v>31369</v>
      </c>
      <c r="H9602" t="s">
        <v>31378</v>
      </c>
      <c r="I9602" t="s">
        <v>31386</v>
      </c>
      <c r="J9602" t="s">
        <v>37368</v>
      </c>
      <c r="K9602" t="s">
        <v>40683</v>
      </c>
      <c r="M9602" t="s">
        <v>42741</v>
      </c>
      <c r="N9602" t="s">
        <v>44905</v>
      </c>
      <c r="O9602" t="s">
        <v>44906</v>
      </c>
      <c r="P9602">
        <v>0</v>
      </c>
      <c r="Q9602">
        <v>2</v>
      </c>
      <c r="R9602" t="s">
        <v>44914</v>
      </c>
      <c r="S9602" t="s">
        <v>45202</v>
      </c>
      <c r="T9602" t="s">
        <v>46504</v>
      </c>
      <c r="U9602" t="s">
        <v>54653</v>
      </c>
      <c r="V9602" t="s">
        <v>60064</v>
      </c>
      <c r="W9602" t="s">
        <v>60921</v>
      </c>
      <c r="X9602" t="s">
        <v>44916</v>
      </c>
    </row>
    <row r="9603" spans="1:24">
      <c r="A9603">
        <f>HYPERLINK("https://www.philgeps.gov.ph/GEPSNONPILOT/Tender/SplashBidNoticeAbstractUI.aspx?menuIndex=3&amp;refID=7067166&amp;Result=3","7067166")</f>
        <v>0</v>
      </c>
      <c r="B9603" t="s">
        <v>1676</v>
      </c>
      <c r="C9603" t="s">
        <v>12673</v>
      </c>
      <c r="D9603" t="s">
        <v>18139</v>
      </c>
      <c r="E9603" t="s">
        <v>26538</v>
      </c>
      <c r="F9603" t="s">
        <v>31362</v>
      </c>
      <c r="G9603" t="s">
        <v>31369</v>
      </c>
      <c r="H9603" t="s">
        <v>31378</v>
      </c>
      <c r="I9603" t="s">
        <v>31386</v>
      </c>
      <c r="J9603" t="s">
        <v>37369</v>
      </c>
      <c r="K9603" t="s">
        <v>40692</v>
      </c>
      <c r="M9603" t="s">
        <v>42741</v>
      </c>
      <c r="N9603" t="s">
        <v>44905</v>
      </c>
      <c r="O9603" t="s">
        <v>44906</v>
      </c>
      <c r="P9603">
        <v>0</v>
      </c>
      <c r="Q9603">
        <v>3</v>
      </c>
      <c r="R9603" t="s">
        <v>44914</v>
      </c>
      <c r="S9603" t="s">
        <v>45202</v>
      </c>
      <c r="T9603" t="s">
        <v>46504</v>
      </c>
      <c r="U9603" t="s">
        <v>54654</v>
      </c>
      <c r="V9603" t="s">
        <v>60065</v>
      </c>
      <c r="W9603" t="s">
        <v>60921</v>
      </c>
      <c r="X9603" t="s">
        <v>44916</v>
      </c>
    </row>
    <row r="9604" spans="1:24">
      <c r="A9604">
        <f>HYPERLINK("https://www.philgeps.gov.ph/GEPSNONPILOT/Tender/SplashBidNoticeAbstractUI.aspx?menuIndex=3&amp;refID=7067320&amp;Result=3","7067320")</f>
        <v>0</v>
      </c>
      <c r="B9604" t="s">
        <v>2774</v>
      </c>
      <c r="C9604" t="s">
        <v>12674</v>
      </c>
      <c r="D9604" t="s">
        <v>18167</v>
      </c>
      <c r="E9604" t="s">
        <v>26539</v>
      </c>
      <c r="F9604" t="s">
        <v>31362</v>
      </c>
      <c r="G9604" t="s">
        <v>31369</v>
      </c>
      <c r="H9604" t="s">
        <v>15799</v>
      </c>
      <c r="I9604" t="s">
        <v>3815</v>
      </c>
      <c r="J9604" t="s">
        <v>37370</v>
      </c>
      <c r="K9604" t="s">
        <v>40670</v>
      </c>
      <c r="M9604" t="s">
        <v>43967</v>
      </c>
      <c r="N9604" t="s">
        <v>44905</v>
      </c>
      <c r="O9604" t="s">
        <v>44906</v>
      </c>
      <c r="P9604">
        <v>0</v>
      </c>
      <c r="Q9604">
        <v>0</v>
      </c>
      <c r="R9604" t="s">
        <v>44914</v>
      </c>
      <c r="S9604" t="s">
        <v>45202</v>
      </c>
      <c r="T9604" t="s">
        <v>46486</v>
      </c>
      <c r="U9604" t="s">
        <v>54655</v>
      </c>
      <c r="W9604" t="s">
        <v>43967</v>
      </c>
      <c r="X9604" t="s">
        <v>44916</v>
      </c>
    </row>
    <row r="9605" spans="1:24">
      <c r="A9605">
        <f>HYPERLINK("https://www.philgeps.gov.ph/GEPSNONPILOT/Tender/SplashBidNoticeAbstractUI.aspx?menuIndex=3&amp;refID=7067154&amp;Result=3","7067154")</f>
        <v>0</v>
      </c>
      <c r="B9605" t="s">
        <v>1676</v>
      </c>
      <c r="C9605" t="s">
        <v>12675</v>
      </c>
      <c r="D9605" t="s">
        <v>18139</v>
      </c>
      <c r="E9605" t="s">
        <v>26540</v>
      </c>
      <c r="F9605" t="s">
        <v>31362</v>
      </c>
      <c r="G9605" t="s">
        <v>31369</v>
      </c>
      <c r="H9605" t="s">
        <v>31378</v>
      </c>
      <c r="I9605" t="s">
        <v>31386</v>
      </c>
      <c r="J9605" t="s">
        <v>37371</v>
      </c>
      <c r="K9605" t="s">
        <v>40833</v>
      </c>
      <c r="M9605" t="s">
        <v>42741</v>
      </c>
      <c r="N9605" t="s">
        <v>44905</v>
      </c>
      <c r="O9605" t="s">
        <v>44906</v>
      </c>
      <c r="P9605">
        <v>0</v>
      </c>
      <c r="Q9605">
        <v>2</v>
      </c>
      <c r="R9605" t="s">
        <v>44914</v>
      </c>
      <c r="S9605" t="s">
        <v>45202</v>
      </c>
      <c r="T9605" t="s">
        <v>46504</v>
      </c>
      <c r="U9605" t="s">
        <v>54656</v>
      </c>
      <c r="V9605" t="s">
        <v>60066</v>
      </c>
      <c r="W9605" t="s">
        <v>60921</v>
      </c>
      <c r="X9605" t="s">
        <v>44916</v>
      </c>
    </row>
    <row r="9606" spans="1:24">
      <c r="A9606">
        <f>HYPERLINK("https://www.philgeps.gov.ph/GEPSNONPILOT/Tender/SplashBidNoticeAbstractUI.aspx?menuIndex=3&amp;refID=7067143&amp;Result=3","7067143")</f>
        <v>0</v>
      </c>
      <c r="B9606" t="s">
        <v>1676</v>
      </c>
      <c r="C9606" t="s">
        <v>12676</v>
      </c>
      <c r="D9606" t="s">
        <v>18139</v>
      </c>
      <c r="E9606" t="s">
        <v>26541</v>
      </c>
      <c r="F9606" t="s">
        <v>31362</v>
      </c>
      <c r="G9606" t="s">
        <v>31369</v>
      </c>
      <c r="H9606" t="s">
        <v>31378</v>
      </c>
      <c r="I9606" t="s">
        <v>31386</v>
      </c>
      <c r="J9606" t="s">
        <v>37357</v>
      </c>
      <c r="K9606" t="s">
        <v>40837</v>
      </c>
      <c r="M9606" t="s">
        <v>42741</v>
      </c>
      <c r="N9606" t="s">
        <v>44905</v>
      </c>
      <c r="O9606" t="s">
        <v>44906</v>
      </c>
      <c r="P9606">
        <v>0</v>
      </c>
      <c r="Q9606">
        <v>2</v>
      </c>
      <c r="R9606" t="s">
        <v>44914</v>
      </c>
      <c r="S9606" t="s">
        <v>45202</v>
      </c>
      <c r="T9606" t="s">
        <v>46504</v>
      </c>
      <c r="U9606" t="s">
        <v>54657</v>
      </c>
      <c r="V9606" t="s">
        <v>60067</v>
      </c>
      <c r="W9606" t="s">
        <v>60921</v>
      </c>
      <c r="X9606" t="s">
        <v>44916</v>
      </c>
    </row>
    <row r="9607" spans="1:24">
      <c r="A9607">
        <f>HYPERLINK("https://www.philgeps.gov.ph/GEPSNONPILOT/Tender/SplashBidNoticeAbstractUI.aspx?menuIndex=3&amp;refID=7067177&amp;Result=3","7067177")</f>
        <v>0</v>
      </c>
      <c r="B9607" t="s">
        <v>1676</v>
      </c>
      <c r="C9607" t="s">
        <v>12677</v>
      </c>
      <c r="D9607" t="s">
        <v>18139</v>
      </c>
      <c r="E9607" t="s">
        <v>26542</v>
      </c>
      <c r="F9607" t="s">
        <v>31362</v>
      </c>
      <c r="G9607" t="s">
        <v>31369</v>
      </c>
      <c r="H9607" t="s">
        <v>31378</v>
      </c>
      <c r="I9607" t="s">
        <v>31386</v>
      </c>
      <c r="J9607" t="s">
        <v>33758</v>
      </c>
      <c r="K9607" t="s">
        <v>40682</v>
      </c>
      <c r="M9607" t="s">
        <v>42741</v>
      </c>
      <c r="N9607" t="s">
        <v>44905</v>
      </c>
      <c r="O9607" t="s">
        <v>44906</v>
      </c>
      <c r="P9607">
        <v>0</v>
      </c>
      <c r="Q9607">
        <v>2</v>
      </c>
      <c r="R9607" t="s">
        <v>44914</v>
      </c>
      <c r="S9607" t="s">
        <v>45202</v>
      </c>
      <c r="T9607" t="s">
        <v>46504</v>
      </c>
      <c r="U9607" t="s">
        <v>54658</v>
      </c>
      <c r="V9607" t="s">
        <v>60068</v>
      </c>
      <c r="W9607" t="s">
        <v>60921</v>
      </c>
      <c r="X9607" t="s">
        <v>44916</v>
      </c>
    </row>
    <row r="9608" spans="1:24">
      <c r="A9608">
        <f>HYPERLINK("https://www.philgeps.gov.ph/GEPSNONPILOT/Tender/SplashBidNoticeAbstractUI.aspx?menuIndex=3&amp;refID=7067137&amp;Result=3","7067137")</f>
        <v>0</v>
      </c>
      <c r="B9608" t="s">
        <v>1676</v>
      </c>
      <c r="C9608" t="s">
        <v>12678</v>
      </c>
      <c r="D9608" t="s">
        <v>18139</v>
      </c>
      <c r="E9608" t="s">
        <v>26543</v>
      </c>
      <c r="F9608" t="s">
        <v>31362</v>
      </c>
      <c r="G9608" t="s">
        <v>31369</v>
      </c>
      <c r="H9608" t="s">
        <v>31378</v>
      </c>
      <c r="I9608" t="s">
        <v>31386</v>
      </c>
      <c r="J9608" t="s">
        <v>36834</v>
      </c>
      <c r="K9608" t="s">
        <v>40678</v>
      </c>
      <c r="M9608" t="s">
        <v>42741</v>
      </c>
      <c r="N9608" t="s">
        <v>44905</v>
      </c>
      <c r="O9608" t="s">
        <v>44906</v>
      </c>
      <c r="P9608">
        <v>0</v>
      </c>
      <c r="Q9608">
        <v>2</v>
      </c>
      <c r="R9608" t="s">
        <v>44914</v>
      </c>
      <c r="S9608" t="s">
        <v>45202</v>
      </c>
      <c r="T9608" t="s">
        <v>46504</v>
      </c>
      <c r="U9608" t="s">
        <v>54659</v>
      </c>
      <c r="V9608" t="s">
        <v>60069</v>
      </c>
      <c r="W9608" t="s">
        <v>60921</v>
      </c>
      <c r="X9608" t="s">
        <v>44916</v>
      </c>
    </row>
    <row r="9609" spans="1:24">
      <c r="A9609">
        <f>HYPERLINK("https://www.philgeps.gov.ph/GEPSNONPILOT/Tender/SplashBidNoticeAbstractUI.aspx?menuIndex=3&amp;refID=7064399&amp;Result=3","7064399")</f>
        <v>0</v>
      </c>
      <c r="B9609" t="s">
        <v>105</v>
      </c>
      <c r="C9609" t="s">
        <v>12679</v>
      </c>
      <c r="D9609" t="s">
        <v>18110</v>
      </c>
      <c r="E9609" t="s">
        <v>26544</v>
      </c>
      <c r="F9609" t="s">
        <v>31362</v>
      </c>
      <c r="G9609" t="s">
        <v>31369</v>
      </c>
      <c r="H9609" t="s">
        <v>15799</v>
      </c>
      <c r="I9609" t="s">
        <v>7090</v>
      </c>
      <c r="J9609" t="s">
        <v>37372</v>
      </c>
      <c r="K9609" t="s">
        <v>40680</v>
      </c>
      <c r="M9609" t="s">
        <v>41042</v>
      </c>
      <c r="N9609" t="s">
        <v>44905</v>
      </c>
      <c r="O9609" t="s">
        <v>44906</v>
      </c>
      <c r="P9609">
        <v>0</v>
      </c>
      <c r="Q9609">
        <v>5</v>
      </c>
      <c r="R9609" t="s">
        <v>44914</v>
      </c>
      <c r="S9609" t="s">
        <v>45202</v>
      </c>
      <c r="T9609" t="s">
        <v>46490</v>
      </c>
      <c r="U9609" t="s">
        <v>54660</v>
      </c>
      <c r="W9609" t="s">
        <v>41042</v>
      </c>
      <c r="X9609" t="s">
        <v>44917</v>
      </c>
    </row>
    <row r="9610" spans="1:24">
      <c r="A9610">
        <f>HYPERLINK("https://www.philgeps.gov.ph/GEPSNONPILOT/Tender/SplashBidNoticeAbstractUI.aspx?menuIndex=3&amp;refID=7067133&amp;Result=3","7067133")</f>
        <v>0</v>
      </c>
      <c r="B9610" t="s">
        <v>1676</v>
      </c>
      <c r="C9610" t="s">
        <v>12680</v>
      </c>
      <c r="D9610" t="s">
        <v>18139</v>
      </c>
      <c r="E9610" t="s">
        <v>26545</v>
      </c>
      <c r="F9610" t="s">
        <v>31362</v>
      </c>
      <c r="G9610" t="s">
        <v>31369</v>
      </c>
      <c r="H9610" t="s">
        <v>31378</v>
      </c>
      <c r="I9610" t="s">
        <v>31386</v>
      </c>
      <c r="J9610" t="s">
        <v>33262</v>
      </c>
      <c r="K9610" t="s">
        <v>40763</v>
      </c>
      <c r="M9610" t="s">
        <v>42741</v>
      </c>
      <c r="N9610" t="s">
        <v>44905</v>
      </c>
      <c r="O9610" t="s">
        <v>44906</v>
      </c>
      <c r="P9610">
        <v>0</v>
      </c>
      <c r="Q9610">
        <v>2</v>
      </c>
      <c r="R9610" t="s">
        <v>44914</v>
      </c>
      <c r="S9610" t="s">
        <v>45202</v>
      </c>
      <c r="T9610" t="s">
        <v>46504</v>
      </c>
      <c r="U9610" t="s">
        <v>54661</v>
      </c>
      <c r="V9610" t="s">
        <v>60070</v>
      </c>
      <c r="W9610" t="s">
        <v>60921</v>
      </c>
      <c r="X9610" t="s">
        <v>44916</v>
      </c>
    </row>
    <row r="9611" spans="1:24">
      <c r="A9611">
        <f>HYPERLINK("https://www.philgeps.gov.ph/GEPSNONPILOT/Tender/SplashBidNoticeAbstractUI.aspx?menuIndex=3&amp;refID=7067161&amp;Result=3","7067161")</f>
        <v>0</v>
      </c>
      <c r="B9611" t="s">
        <v>1676</v>
      </c>
      <c r="C9611" t="s">
        <v>12681</v>
      </c>
      <c r="D9611" t="s">
        <v>18139</v>
      </c>
      <c r="E9611" t="s">
        <v>26546</v>
      </c>
      <c r="F9611" t="s">
        <v>31362</v>
      </c>
      <c r="G9611" t="s">
        <v>31369</v>
      </c>
      <c r="H9611" t="s">
        <v>31378</v>
      </c>
      <c r="I9611" t="s">
        <v>31386</v>
      </c>
      <c r="J9611" t="s">
        <v>37357</v>
      </c>
      <c r="K9611" t="s">
        <v>40837</v>
      </c>
      <c r="M9611" t="s">
        <v>42741</v>
      </c>
      <c r="N9611" t="s">
        <v>44905</v>
      </c>
      <c r="O9611" t="s">
        <v>44906</v>
      </c>
      <c r="P9611">
        <v>0</v>
      </c>
      <c r="Q9611">
        <v>2</v>
      </c>
      <c r="R9611" t="s">
        <v>44914</v>
      </c>
      <c r="S9611" t="s">
        <v>45202</v>
      </c>
      <c r="T9611" t="s">
        <v>46504</v>
      </c>
      <c r="U9611" t="s">
        <v>54662</v>
      </c>
      <c r="V9611" t="s">
        <v>60071</v>
      </c>
      <c r="W9611" t="s">
        <v>60921</v>
      </c>
      <c r="X9611" t="s">
        <v>44916</v>
      </c>
    </row>
    <row r="9612" spans="1:24">
      <c r="A9612">
        <f>HYPERLINK("https://www.philgeps.gov.ph/GEPSNONPILOT/Tender/SplashBidNoticeAbstractUI.aspx?menuIndex=3&amp;refID=7067366&amp;Result=3","7067366")</f>
        <v>0</v>
      </c>
      <c r="B9612" t="s">
        <v>2637</v>
      </c>
      <c r="C9612" t="s">
        <v>12682</v>
      </c>
      <c r="E9612" t="s">
        <v>26547</v>
      </c>
      <c r="F9612" t="s">
        <v>31362</v>
      </c>
      <c r="G9612" t="s">
        <v>31369</v>
      </c>
      <c r="H9612" t="s">
        <v>31378</v>
      </c>
      <c r="I9612" t="s">
        <v>31386</v>
      </c>
      <c r="J9612" t="s">
        <v>33653</v>
      </c>
      <c r="K9612" t="s">
        <v>40666</v>
      </c>
      <c r="N9612" t="s">
        <v>44905</v>
      </c>
      <c r="O9612" t="s">
        <v>44906</v>
      </c>
      <c r="P9612">
        <v>0</v>
      </c>
      <c r="Q9612">
        <v>3</v>
      </c>
      <c r="R9612" t="s">
        <v>44914</v>
      </c>
      <c r="S9612" t="s">
        <v>45202</v>
      </c>
      <c r="T9612" t="s">
        <v>46415</v>
      </c>
      <c r="U9612" t="s">
        <v>54663</v>
      </c>
      <c r="V9612" t="s">
        <v>60072</v>
      </c>
      <c r="W9612" t="s">
        <v>43818</v>
      </c>
      <c r="X9612" t="s">
        <v>44915</v>
      </c>
    </row>
    <row r="9613" spans="1:24">
      <c r="A9613">
        <f>HYPERLINK("https://www.philgeps.gov.ph/GEPSNONPILOT/Tender/SplashBidNoticeAbstractUI.aspx?menuIndex=3&amp;refID=7067456&amp;Result=3","7067456")</f>
        <v>0</v>
      </c>
      <c r="B9613" t="s">
        <v>682</v>
      </c>
      <c r="C9613" t="s">
        <v>12683</v>
      </c>
      <c r="D9613" t="s">
        <v>18120</v>
      </c>
      <c r="E9613" t="s">
        <v>26548</v>
      </c>
      <c r="F9613" t="s">
        <v>31362</v>
      </c>
      <c r="G9613" t="s">
        <v>31369</v>
      </c>
      <c r="H9613" t="s">
        <v>31378</v>
      </c>
      <c r="I9613" t="s">
        <v>31386</v>
      </c>
      <c r="J9613" t="s">
        <v>37373</v>
      </c>
      <c r="K9613" t="s">
        <v>40686</v>
      </c>
      <c r="M9613" t="s">
        <v>41644</v>
      </c>
      <c r="N9613" t="s">
        <v>44905</v>
      </c>
      <c r="O9613" t="s">
        <v>44906</v>
      </c>
      <c r="P9613">
        <v>0</v>
      </c>
      <c r="Q9613">
        <v>0</v>
      </c>
      <c r="R9613" t="s">
        <v>44914</v>
      </c>
      <c r="S9613" t="s">
        <v>45202</v>
      </c>
      <c r="T9613" t="s">
        <v>46694</v>
      </c>
      <c r="U9613" t="s">
        <v>54664</v>
      </c>
      <c r="V9613" t="s">
        <v>60073</v>
      </c>
      <c r="W9613" t="s">
        <v>41644</v>
      </c>
      <c r="X9613" t="s">
        <v>44915</v>
      </c>
    </row>
    <row r="9614" spans="1:24">
      <c r="A9614">
        <f>HYPERLINK("https://www.philgeps.gov.ph/GEPSNONPILOT/Tender/SplashBidNoticeAbstractUI.aspx?menuIndex=3&amp;refID=7067139&amp;Result=3","7067139")</f>
        <v>0</v>
      </c>
      <c r="B9614" t="s">
        <v>1676</v>
      </c>
      <c r="C9614" t="s">
        <v>12684</v>
      </c>
      <c r="D9614" t="s">
        <v>18139</v>
      </c>
      <c r="E9614" t="s">
        <v>26549</v>
      </c>
      <c r="F9614" t="s">
        <v>31362</v>
      </c>
      <c r="G9614" t="s">
        <v>31369</v>
      </c>
      <c r="H9614" t="s">
        <v>31378</v>
      </c>
      <c r="I9614" t="s">
        <v>31386</v>
      </c>
      <c r="J9614" t="s">
        <v>37357</v>
      </c>
      <c r="K9614" t="s">
        <v>40837</v>
      </c>
      <c r="M9614" t="s">
        <v>42741</v>
      </c>
      <c r="N9614" t="s">
        <v>44905</v>
      </c>
      <c r="O9614" t="s">
        <v>44906</v>
      </c>
      <c r="P9614">
        <v>0</v>
      </c>
      <c r="Q9614">
        <v>2</v>
      </c>
      <c r="R9614" t="s">
        <v>44914</v>
      </c>
      <c r="S9614" t="s">
        <v>45202</v>
      </c>
      <c r="T9614" t="s">
        <v>46504</v>
      </c>
      <c r="U9614" t="s">
        <v>54665</v>
      </c>
      <c r="V9614" t="s">
        <v>60074</v>
      </c>
      <c r="W9614" t="s">
        <v>60921</v>
      </c>
      <c r="X9614" t="s">
        <v>44916</v>
      </c>
    </row>
    <row r="9615" spans="1:24">
      <c r="A9615">
        <f>HYPERLINK("https://www.philgeps.gov.ph/GEPSNONPILOT/Tender/SplashBidNoticeAbstractUI.aspx?menuIndex=3&amp;refID=7067152&amp;Result=3","7067152")</f>
        <v>0</v>
      </c>
      <c r="B9615" t="s">
        <v>1676</v>
      </c>
      <c r="C9615" t="s">
        <v>12685</v>
      </c>
      <c r="D9615" t="s">
        <v>18139</v>
      </c>
      <c r="E9615" t="s">
        <v>26550</v>
      </c>
      <c r="F9615" t="s">
        <v>31362</v>
      </c>
      <c r="G9615" t="s">
        <v>31369</v>
      </c>
      <c r="H9615" t="s">
        <v>31378</v>
      </c>
      <c r="I9615" t="s">
        <v>31386</v>
      </c>
      <c r="J9615" t="s">
        <v>37357</v>
      </c>
      <c r="K9615" t="s">
        <v>40763</v>
      </c>
      <c r="M9615" t="s">
        <v>42741</v>
      </c>
      <c r="N9615" t="s">
        <v>44905</v>
      </c>
      <c r="O9615" t="s">
        <v>44906</v>
      </c>
      <c r="P9615">
        <v>0</v>
      </c>
      <c r="Q9615">
        <v>2</v>
      </c>
      <c r="R9615" t="s">
        <v>44914</v>
      </c>
      <c r="S9615" t="s">
        <v>45202</v>
      </c>
      <c r="T9615" t="s">
        <v>46504</v>
      </c>
      <c r="U9615" t="s">
        <v>54666</v>
      </c>
      <c r="V9615" t="s">
        <v>60075</v>
      </c>
      <c r="W9615" t="s">
        <v>60921</v>
      </c>
      <c r="X9615" t="s">
        <v>44916</v>
      </c>
    </row>
    <row r="9616" spans="1:24">
      <c r="A9616">
        <f>HYPERLINK("https://www.philgeps.gov.ph/GEPSNONPILOT/Tender/SplashBidNoticeAbstractUI.aspx?menuIndex=3&amp;refID=7067453&amp;Result=3","7067453")</f>
        <v>0</v>
      </c>
      <c r="B9616" t="s">
        <v>393</v>
      </c>
      <c r="C9616" t="s">
        <v>12686</v>
      </c>
      <c r="D9616" t="s">
        <v>18122</v>
      </c>
      <c r="E9616" t="s">
        <v>26551</v>
      </c>
      <c r="F9616" t="s">
        <v>31362</v>
      </c>
      <c r="G9616" t="s">
        <v>31369</v>
      </c>
      <c r="H9616" t="s">
        <v>15799</v>
      </c>
      <c r="I9616" t="s">
        <v>6155</v>
      </c>
      <c r="J9616" t="s">
        <v>37374</v>
      </c>
      <c r="K9616" t="s">
        <v>40662</v>
      </c>
      <c r="M9616" t="s">
        <v>41341</v>
      </c>
      <c r="N9616" t="s">
        <v>44905</v>
      </c>
      <c r="O9616" t="s">
        <v>44906</v>
      </c>
      <c r="P9616">
        <v>0</v>
      </c>
      <c r="Q9616">
        <v>15</v>
      </c>
      <c r="R9616" t="s">
        <v>44914</v>
      </c>
      <c r="S9616" t="s">
        <v>45202</v>
      </c>
      <c r="T9616" t="s">
        <v>46409</v>
      </c>
      <c r="U9616" t="s">
        <v>54667</v>
      </c>
      <c r="W9616" t="s">
        <v>41341</v>
      </c>
      <c r="X9616" t="s">
        <v>44915</v>
      </c>
    </row>
    <row r="9617" spans="1:24">
      <c r="A9617">
        <f>HYPERLINK("https://www.philgeps.gov.ph/GEPSNONPILOT/Tender/SplashBidNoticeAbstractUI.aspx?menuIndex=3&amp;refID=7067448&amp;Result=3","7067448")</f>
        <v>0</v>
      </c>
      <c r="B9617" t="s">
        <v>682</v>
      </c>
      <c r="C9617" t="s">
        <v>12687</v>
      </c>
      <c r="D9617" t="s">
        <v>18120</v>
      </c>
      <c r="E9617" t="s">
        <v>26552</v>
      </c>
      <c r="F9617" t="s">
        <v>31362</v>
      </c>
      <c r="G9617" t="s">
        <v>31369</v>
      </c>
      <c r="H9617" t="s">
        <v>31378</v>
      </c>
      <c r="I9617" t="s">
        <v>31386</v>
      </c>
      <c r="J9617" t="s">
        <v>37375</v>
      </c>
      <c r="K9617" t="s">
        <v>40725</v>
      </c>
      <c r="M9617" t="s">
        <v>41644</v>
      </c>
      <c r="N9617" t="s">
        <v>44905</v>
      </c>
      <c r="O9617" t="s">
        <v>44906</v>
      </c>
      <c r="P9617">
        <v>0</v>
      </c>
      <c r="Q9617">
        <v>0</v>
      </c>
      <c r="R9617" t="s">
        <v>44914</v>
      </c>
      <c r="S9617" t="s">
        <v>45202</v>
      </c>
      <c r="T9617" t="s">
        <v>46694</v>
      </c>
      <c r="U9617" t="s">
        <v>54668</v>
      </c>
      <c r="V9617" t="s">
        <v>60076</v>
      </c>
      <c r="W9617" t="s">
        <v>41644</v>
      </c>
      <c r="X9617" t="s">
        <v>44915</v>
      </c>
    </row>
    <row r="9618" spans="1:24">
      <c r="A9618">
        <f>HYPERLINK("https://www.philgeps.gov.ph/GEPSNONPILOT/Tender/SplashBidNoticeAbstractUI.aspx?menuIndex=3&amp;refID=7067445&amp;Result=3","7067445")</f>
        <v>0</v>
      </c>
      <c r="B9618" t="s">
        <v>590</v>
      </c>
      <c r="C9618" t="s">
        <v>12688</v>
      </c>
      <c r="D9618" t="s">
        <v>18162</v>
      </c>
      <c r="E9618" t="s">
        <v>26553</v>
      </c>
      <c r="F9618" t="s">
        <v>31362</v>
      </c>
      <c r="G9618" t="s">
        <v>31369</v>
      </c>
      <c r="H9618" t="s">
        <v>15799</v>
      </c>
      <c r="I9618" t="s">
        <v>3815</v>
      </c>
      <c r="J9618" t="s">
        <v>37376</v>
      </c>
      <c r="K9618" t="s">
        <v>40662</v>
      </c>
      <c r="M9618" t="s">
        <v>41547</v>
      </c>
      <c r="N9618" t="s">
        <v>44905</v>
      </c>
      <c r="O9618" t="s">
        <v>44906</v>
      </c>
      <c r="P9618">
        <v>0</v>
      </c>
      <c r="Q9618">
        <v>1</v>
      </c>
      <c r="R9618" t="s">
        <v>44914</v>
      </c>
      <c r="S9618" t="s">
        <v>45202</v>
      </c>
      <c r="T9618" t="s">
        <v>46411</v>
      </c>
      <c r="U9618" t="s">
        <v>54669</v>
      </c>
      <c r="W9618" t="s">
        <v>41547</v>
      </c>
      <c r="X9618" t="s">
        <v>44915</v>
      </c>
    </row>
    <row r="9619" spans="1:24">
      <c r="A9619">
        <f>HYPERLINK("https://www.philgeps.gov.ph/GEPSNONPILOT/Tender/SplashBidNoticeAbstractUI.aspx?menuIndex=3&amp;refID=7067444&amp;Result=3","7067444")</f>
        <v>0</v>
      </c>
      <c r="B9619" t="s">
        <v>1733</v>
      </c>
      <c r="C9619" t="s">
        <v>12689</v>
      </c>
      <c r="D9619" t="s">
        <v>18185</v>
      </c>
      <c r="E9619" t="s">
        <v>26554</v>
      </c>
      <c r="F9619" t="s">
        <v>31362</v>
      </c>
      <c r="G9619" t="s">
        <v>31368</v>
      </c>
      <c r="H9619" t="s">
        <v>15799</v>
      </c>
      <c r="I9619" t="s">
        <v>4283</v>
      </c>
      <c r="J9619" t="s">
        <v>37377</v>
      </c>
      <c r="K9619" t="s">
        <v>40682</v>
      </c>
      <c r="M9619" t="s">
        <v>42806</v>
      </c>
      <c r="N9619" t="s">
        <v>44905</v>
      </c>
      <c r="O9619" t="s">
        <v>44906</v>
      </c>
      <c r="P9619">
        <v>0</v>
      </c>
      <c r="Q9619">
        <v>0</v>
      </c>
      <c r="R9619" t="s">
        <v>44914</v>
      </c>
      <c r="S9619" t="s">
        <v>45202</v>
      </c>
      <c r="T9619" t="s">
        <v>46579</v>
      </c>
      <c r="U9619" t="s">
        <v>54670</v>
      </c>
      <c r="W9619" t="s">
        <v>42806</v>
      </c>
      <c r="X9619" t="s">
        <v>44915</v>
      </c>
    </row>
    <row r="9620" spans="1:24">
      <c r="A9620">
        <f>HYPERLINK("https://www.philgeps.gov.ph/GEPSNONPILOT/Tender/SplashBidNoticeAbstractUI.aspx?menuIndex=3&amp;refID=7067438&amp;Result=3","7067438")</f>
        <v>0</v>
      </c>
      <c r="B9620" t="s">
        <v>1545</v>
      </c>
      <c r="C9620" t="s">
        <v>12690</v>
      </c>
      <c r="D9620" t="s">
        <v>18106</v>
      </c>
      <c r="E9620" t="s">
        <v>26555</v>
      </c>
      <c r="F9620" t="s">
        <v>31362</v>
      </c>
      <c r="G9620" t="s">
        <v>31369</v>
      </c>
      <c r="H9620" t="s">
        <v>31378</v>
      </c>
      <c r="I9620" t="s">
        <v>31386</v>
      </c>
      <c r="J9620" t="s">
        <v>31625</v>
      </c>
      <c r="K9620" t="s">
        <v>40722</v>
      </c>
      <c r="M9620" t="s">
        <v>42592</v>
      </c>
      <c r="N9620" t="s">
        <v>44905</v>
      </c>
      <c r="O9620" t="s">
        <v>44906</v>
      </c>
      <c r="P9620">
        <v>0</v>
      </c>
      <c r="Q9620">
        <v>2</v>
      </c>
      <c r="R9620" t="s">
        <v>44914</v>
      </c>
      <c r="S9620" t="s">
        <v>45202</v>
      </c>
      <c r="T9620" t="s">
        <v>46434</v>
      </c>
      <c r="U9620" t="s">
        <v>54671</v>
      </c>
      <c r="W9620" t="s">
        <v>42592</v>
      </c>
      <c r="X9620" t="s">
        <v>44915</v>
      </c>
    </row>
    <row r="9621" spans="1:24">
      <c r="A9621">
        <f>HYPERLINK("https://www.philgeps.gov.ph/GEPSNONPILOT/Tender/SplashBidNoticeAbstractUI.aspx?menuIndex=3&amp;refID=7067435&amp;Result=3","7067435")</f>
        <v>0</v>
      </c>
      <c r="B9621" t="s">
        <v>2288</v>
      </c>
      <c r="C9621" t="s">
        <v>12691</v>
      </c>
      <c r="D9621" t="s">
        <v>18108</v>
      </c>
      <c r="E9621" t="s">
        <v>26556</v>
      </c>
      <c r="F9621" t="s">
        <v>31362</v>
      </c>
      <c r="G9621" t="s">
        <v>31369</v>
      </c>
      <c r="H9621" t="s">
        <v>15799</v>
      </c>
      <c r="I9621" t="s">
        <v>31393</v>
      </c>
      <c r="J9621" t="s">
        <v>37378</v>
      </c>
      <c r="K9621" t="s">
        <v>40736</v>
      </c>
      <c r="M9621" t="s">
        <v>43428</v>
      </c>
      <c r="N9621" t="s">
        <v>44905</v>
      </c>
      <c r="O9621" t="s">
        <v>44906</v>
      </c>
      <c r="P9621">
        <v>0</v>
      </c>
      <c r="Q9621">
        <v>19</v>
      </c>
      <c r="R9621" t="s">
        <v>44914</v>
      </c>
      <c r="S9621" t="s">
        <v>45202</v>
      </c>
      <c r="T9621" t="s">
        <v>46431</v>
      </c>
      <c r="U9621" t="s">
        <v>54672</v>
      </c>
      <c r="W9621" t="s">
        <v>43428</v>
      </c>
      <c r="X9621" t="s">
        <v>44915</v>
      </c>
    </row>
    <row r="9622" spans="1:24">
      <c r="A9622">
        <f>HYPERLINK("https://www.philgeps.gov.ph/GEPSNONPILOT/Tender/SplashBidNoticeAbstractUI.aspx?menuIndex=3&amp;refID=7067434&amp;Result=3","7067434")</f>
        <v>0</v>
      </c>
      <c r="B9622" t="s">
        <v>590</v>
      </c>
      <c r="C9622" t="s">
        <v>12692</v>
      </c>
      <c r="D9622" t="s">
        <v>18162</v>
      </c>
      <c r="E9622" t="s">
        <v>26557</v>
      </c>
      <c r="F9622" t="s">
        <v>31362</v>
      </c>
      <c r="G9622" t="s">
        <v>31369</v>
      </c>
      <c r="H9622" t="s">
        <v>31378</v>
      </c>
      <c r="I9622" t="s">
        <v>31386</v>
      </c>
      <c r="J9622" t="s">
        <v>37379</v>
      </c>
      <c r="K9622" t="s">
        <v>40662</v>
      </c>
      <c r="M9622" t="s">
        <v>41547</v>
      </c>
      <c r="N9622" t="s">
        <v>44905</v>
      </c>
      <c r="O9622" t="s">
        <v>44906</v>
      </c>
      <c r="P9622">
        <v>0</v>
      </c>
      <c r="Q9622">
        <v>0</v>
      </c>
      <c r="R9622" t="s">
        <v>44914</v>
      </c>
      <c r="S9622" t="s">
        <v>45202</v>
      </c>
      <c r="T9622" t="s">
        <v>46483</v>
      </c>
      <c r="U9622" t="s">
        <v>54673</v>
      </c>
      <c r="W9622" t="s">
        <v>41547</v>
      </c>
      <c r="X9622" t="s">
        <v>44915</v>
      </c>
    </row>
    <row r="9623" spans="1:24">
      <c r="A9623">
        <f>HYPERLINK("https://www.philgeps.gov.ph/GEPSNONPILOT/Tender/SplashBidNoticeAbstractUI.aspx?menuIndex=3&amp;refID=7067429&amp;Result=3","7067429")</f>
        <v>0</v>
      </c>
      <c r="B9623" t="s">
        <v>682</v>
      </c>
      <c r="C9623" t="s">
        <v>12693</v>
      </c>
      <c r="D9623" t="s">
        <v>18120</v>
      </c>
      <c r="E9623" t="s">
        <v>26558</v>
      </c>
      <c r="F9623" t="s">
        <v>31362</v>
      </c>
      <c r="G9623" t="s">
        <v>31369</v>
      </c>
      <c r="H9623" t="s">
        <v>31378</v>
      </c>
      <c r="I9623" t="s">
        <v>31386</v>
      </c>
      <c r="J9623" t="s">
        <v>37380</v>
      </c>
      <c r="K9623" t="s">
        <v>40679</v>
      </c>
      <c r="M9623" t="s">
        <v>41644</v>
      </c>
      <c r="N9623" t="s">
        <v>44905</v>
      </c>
      <c r="O9623" t="s">
        <v>44906</v>
      </c>
      <c r="P9623">
        <v>0</v>
      </c>
      <c r="Q9623">
        <v>0</v>
      </c>
      <c r="R9623" t="s">
        <v>44914</v>
      </c>
      <c r="S9623" t="s">
        <v>45202</v>
      </c>
      <c r="T9623" t="s">
        <v>46694</v>
      </c>
      <c r="U9623" t="s">
        <v>54674</v>
      </c>
      <c r="V9623" t="s">
        <v>60077</v>
      </c>
      <c r="W9623" t="s">
        <v>41644</v>
      </c>
      <c r="X9623" t="s">
        <v>44915</v>
      </c>
    </row>
    <row r="9624" spans="1:24">
      <c r="A9624">
        <f>HYPERLINK("https://www.philgeps.gov.ph/GEPSNONPILOT/Tender/SplashBidNoticeAbstractUI.aspx?menuIndex=3&amp;refID=7067447&amp;Result=3","7067447")</f>
        <v>0</v>
      </c>
      <c r="B9624" t="s">
        <v>2775</v>
      </c>
      <c r="C9624" t="s">
        <v>12694</v>
      </c>
      <c r="D9624" t="s">
        <v>18151</v>
      </c>
      <c r="E9624" t="s">
        <v>26559</v>
      </c>
      <c r="F9624" t="s">
        <v>31362</v>
      </c>
      <c r="G9624" t="s">
        <v>31368</v>
      </c>
      <c r="H9624" t="s">
        <v>31378</v>
      </c>
      <c r="I9624" t="s">
        <v>31386</v>
      </c>
      <c r="J9624" t="s">
        <v>37381</v>
      </c>
      <c r="K9624" t="s">
        <v>40681</v>
      </c>
      <c r="M9624" t="s">
        <v>43968</v>
      </c>
      <c r="N9624" t="s">
        <v>44905</v>
      </c>
      <c r="O9624" t="s">
        <v>44906</v>
      </c>
      <c r="P9624">
        <v>0</v>
      </c>
      <c r="Q9624">
        <v>0</v>
      </c>
      <c r="R9624" t="s">
        <v>44914</v>
      </c>
      <c r="S9624" t="s">
        <v>45202</v>
      </c>
      <c r="T9624" t="s">
        <v>46432</v>
      </c>
      <c r="U9624" t="s">
        <v>54675</v>
      </c>
      <c r="W9624" t="s">
        <v>43968</v>
      </c>
      <c r="X9624" t="s">
        <v>44915</v>
      </c>
    </row>
    <row r="9625" spans="1:24">
      <c r="A9625">
        <f>HYPERLINK("https://www.philgeps.gov.ph/GEPSNONPILOT/Tender/SplashBidNoticeAbstractUI.aspx?menuIndex=3&amp;refID=7067455&amp;Result=3","7067455")</f>
        <v>0</v>
      </c>
      <c r="B9625" t="s">
        <v>1167</v>
      </c>
      <c r="C9625" t="s">
        <v>12695</v>
      </c>
      <c r="D9625" t="s">
        <v>18151</v>
      </c>
      <c r="E9625" t="s">
        <v>26560</v>
      </c>
      <c r="F9625" t="s">
        <v>31362</v>
      </c>
      <c r="G9625" t="s">
        <v>31369</v>
      </c>
      <c r="H9625" t="s">
        <v>31378</v>
      </c>
      <c r="I9625" t="s">
        <v>31386</v>
      </c>
      <c r="J9625" t="s">
        <v>32964</v>
      </c>
      <c r="K9625" t="s">
        <v>40694</v>
      </c>
      <c r="M9625" t="s">
        <v>42177</v>
      </c>
      <c r="N9625" t="s">
        <v>44905</v>
      </c>
      <c r="O9625" t="s">
        <v>44906</v>
      </c>
      <c r="P9625">
        <v>0</v>
      </c>
      <c r="Q9625">
        <v>0</v>
      </c>
      <c r="R9625" t="s">
        <v>44914</v>
      </c>
      <c r="S9625" t="s">
        <v>45202</v>
      </c>
      <c r="T9625" t="s">
        <v>46479</v>
      </c>
      <c r="U9625" t="s">
        <v>54676</v>
      </c>
      <c r="V9625" t="s">
        <v>60078</v>
      </c>
      <c r="W9625" t="s">
        <v>42177</v>
      </c>
      <c r="X9625" t="s">
        <v>44915</v>
      </c>
    </row>
    <row r="9626" spans="1:24">
      <c r="A9626">
        <f>HYPERLINK("https://www.philgeps.gov.ph/GEPSNONPILOT/Tender/SplashBidNoticeAbstractUI.aspx?menuIndex=3&amp;refID=7067454&amp;Result=3","7067454")</f>
        <v>0</v>
      </c>
      <c r="B9626" t="s">
        <v>590</v>
      </c>
      <c r="C9626" t="s">
        <v>5211</v>
      </c>
      <c r="D9626" t="s">
        <v>18162</v>
      </c>
      <c r="E9626" t="s">
        <v>26561</v>
      </c>
      <c r="F9626" t="s">
        <v>31362</v>
      </c>
      <c r="G9626" t="s">
        <v>31369</v>
      </c>
      <c r="H9626" t="s">
        <v>15799</v>
      </c>
      <c r="I9626" t="s">
        <v>31404</v>
      </c>
      <c r="J9626" t="s">
        <v>32774</v>
      </c>
      <c r="K9626" t="s">
        <v>40662</v>
      </c>
      <c r="M9626" t="s">
        <v>41547</v>
      </c>
      <c r="N9626" t="s">
        <v>44905</v>
      </c>
      <c r="O9626" t="s">
        <v>44906</v>
      </c>
      <c r="P9626">
        <v>0</v>
      </c>
      <c r="Q9626">
        <v>1</v>
      </c>
      <c r="R9626" t="s">
        <v>44914</v>
      </c>
      <c r="S9626" t="s">
        <v>45202</v>
      </c>
      <c r="T9626" t="s">
        <v>46411</v>
      </c>
      <c r="U9626" t="s">
        <v>54677</v>
      </c>
      <c r="W9626" t="s">
        <v>41547</v>
      </c>
      <c r="X9626" t="s">
        <v>44915</v>
      </c>
    </row>
    <row r="9627" spans="1:24">
      <c r="A9627">
        <f>HYPERLINK("https://www.philgeps.gov.ph/GEPSNONPILOT/Tender/SplashBidNoticeAbstractUI.aspx?menuIndex=3&amp;refID=7067391&amp;Result=3","7067391")</f>
        <v>0</v>
      </c>
      <c r="B9627" t="s">
        <v>2088</v>
      </c>
      <c r="C9627" t="s">
        <v>12696</v>
      </c>
      <c r="D9627" t="s">
        <v>18131</v>
      </c>
      <c r="E9627" t="s">
        <v>26562</v>
      </c>
      <c r="F9627" t="s">
        <v>31362</v>
      </c>
      <c r="G9627" t="s">
        <v>31369</v>
      </c>
      <c r="H9627" t="s">
        <v>15799</v>
      </c>
      <c r="I9627" t="s">
        <v>3815</v>
      </c>
      <c r="J9627" t="s">
        <v>37382</v>
      </c>
      <c r="K9627" t="s">
        <v>40670</v>
      </c>
      <c r="M9627" t="s">
        <v>43211</v>
      </c>
      <c r="N9627" t="s">
        <v>44905</v>
      </c>
      <c r="O9627" t="s">
        <v>44906</v>
      </c>
      <c r="P9627">
        <v>0</v>
      </c>
      <c r="Q9627">
        <v>2</v>
      </c>
      <c r="R9627" t="s">
        <v>44914</v>
      </c>
      <c r="S9627" t="s">
        <v>45202</v>
      </c>
      <c r="T9627" t="s">
        <v>46483</v>
      </c>
      <c r="U9627" t="s">
        <v>54678</v>
      </c>
      <c r="W9627" t="s">
        <v>43211</v>
      </c>
      <c r="X9627" t="s">
        <v>44915</v>
      </c>
    </row>
    <row r="9628" spans="1:24">
      <c r="A9628">
        <f>HYPERLINK("https://www.philgeps.gov.ph/GEPSNONPILOT/Tender/SplashBidNoticeAbstractUI.aspx?menuIndex=3&amp;refID=7067373&amp;Result=3","7067373")</f>
        <v>0</v>
      </c>
      <c r="B9628" t="s">
        <v>2776</v>
      </c>
      <c r="C9628" t="s">
        <v>8686</v>
      </c>
      <c r="D9628" t="s">
        <v>18172</v>
      </c>
      <c r="E9628" t="s">
        <v>26563</v>
      </c>
      <c r="F9628" t="s">
        <v>31362</v>
      </c>
      <c r="G9628" t="s">
        <v>31369</v>
      </c>
      <c r="H9628" t="s">
        <v>15799</v>
      </c>
      <c r="I9628" t="s">
        <v>3815</v>
      </c>
      <c r="J9628" t="s">
        <v>37383</v>
      </c>
      <c r="K9628" t="s">
        <v>40670</v>
      </c>
      <c r="M9628" t="s">
        <v>43969</v>
      </c>
      <c r="N9628" t="s">
        <v>44905</v>
      </c>
      <c r="O9628" t="s">
        <v>44906</v>
      </c>
      <c r="P9628">
        <v>0</v>
      </c>
      <c r="Q9628">
        <v>0</v>
      </c>
      <c r="R9628" t="s">
        <v>44914</v>
      </c>
      <c r="S9628" t="s">
        <v>45202</v>
      </c>
      <c r="T9628" t="s">
        <v>46409</v>
      </c>
      <c r="U9628" t="s">
        <v>54679</v>
      </c>
      <c r="W9628" t="s">
        <v>43969</v>
      </c>
      <c r="X9628" t="s">
        <v>44915</v>
      </c>
    </row>
    <row r="9629" spans="1:24">
      <c r="A9629">
        <f>HYPERLINK("https://www.philgeps.gov.ph/GEPSNONPILOT/Tender/SplashBidNoticeAbstractUI.aspx?menuIndex=3&amp;refID=7067362&amp;Result=3","7067362")</f>
        <v>0</v>
      </c>
      <c r="B9629" t="s">
        <v>1601</v>
      </c>
      <c r="C9629" t="s">
        <v>12697</v>
      </c>
      <c r="D9629" t="s">
        <v>18100</v>
      </c>
      <c r="E9629" t="s">
        <v>26564</v>
      </c>
      <c r="F9629" t="s">
        <v>31362</v>
      </c>
      <c r="G9629" t="s">
        <v>31369</v>
      </c>
      <c r="H9629" t="s">
        <v>15799</v>
      </c>
      <c r="I9629" t="s">
        <v>13635</v>
      </c>
      <c r="J9629" t="s">
        <v>34099</v>
      </c>
      <c r="K9629" t="s">
        <v>40758</v>
      </c>
      <c r="M9629" t="s">
        <v>42660</v>
      </c>
      <c r="N9629" t="s">
        <v>44905</v>
      </c>
      <c r="O9629" t="s">
        <v>44906</v>
      </c>
      <c r="P9629">
        <v>0</v>
      </c>
      <c r="Q9629">
        <v>0</v>
      </c>
      <c r="R9629" t="s">
        <v>44914</v>
      </c>
      <c r="S9629" t="s">
        <v>45202</v>
      </c>
      <c r="T9629" t="s">
        <v>46393</v>
      </c>
      <c r="U9629" t="s">
        <v>54680</v>
      </c>
      <c r="W9629" t="s">
        <v>42660</v>
      </c>
      <c r="X9629" t="s">
        <v>44916</v>
      </c>
    </row>
    <row r="9630" spans="1:24">
      <c r="A9630">
        <f>HYPERLINK("https://www.philgeps.gov.ph/GEPSNONPILOT/Tender/SplashBidNoticeAbstractUI.aspx?menuIndex=3&amp;refID=7067419&amp;Result=3","7067419")</f>
        <v>0</v>
      </c>
      <c r="B9630" t="s">
        <v>2777</v>
      </c>
      <c r="C9630" t="s">
        <v>12698</v>
      </c>
      <c r="D9630" t="s">
        <v>18143</v>
      </c>
      <c r="E9630" t="s">
        <v>26565</v>
      </c>
      <c r="F9630" t="s">
        <v>31362</v>
      </c>
      <c r="G9630" t="s">
        <v>31369</v>
      </c>
      <c r="H9630" t="s">
        <v>15799</v>
      </c>
      <c r="I9630" t="s">
        <v>3815</v>
      </c>
      <c r="J9630" t="s">
        <v>37384</v>
      </c>
      <c r="K9630" t="s">
        <v>40683</v>
      </c>
      <c r="M9630" t="s">
        <v>43970</v>
      </c>
      <c r="N9630" t="s">
        <v>44905</v>
      </c>
      <c r="O9630" t="s">
        <v>44906</v>
      </c>
      <c r="P9630">
        <v>0</v>
      </c>
      <c r="Q9630">
        <v>0</v>
      </c>
      <c r="R9630" t="s">
        <v>44914</v>
      </c>
      <c r="S9630" t="s">
        <v>45202</v>
      </c>
      <c r="T9630" t="s">
        <v>46465</v>
      </c>
      <c r="U9630" t="s">
        <v>54681</v>
      </c>
      <c r="W9630" t="s">
        <v>43970</v>
      </c>
      <c r="X9630" t="s">
        <v>44915</v>
      </c>
    </row>
    <row r="9631" spans="1:24">
      <c r="A9631">
        <f>HYPERLINK("https://www.philgeps.gov.ph/GEPSNONPILOT/Tender/SplashBidNoticeAbstractUI.aspx?menuIndex=3&amp;refID=7067470&amp;Result=3","7067470")</f>
        <v>0</v>
      </c>
      <c r="B9631" t="s">
        <v>682</v>
      </c>
      <c r="C9631" t="s">
        <v>12699</v>
      </c>
      <c r="D9631" t="s">
        <v>18120</v>
      </c>
      <c r="E9631" t="s">
        <v>26566</v>
      </c>
      <c r="F9631" t="s">
        <v>31362</v>
      </c>
      <c r="G9631" t="s">
        <v>31369</v>
      </c>
      <c r="H9631" t="s">
        <v>31378</v>
      </c>
      <c r="I9631" t="s">
        <v>31386</v>
      </c>
      <c r="J9631" t="s">
        <v>37385</v>
      </c>
      <c r="K9631" t="s">
        <v>40711</v>
      </c>
      <c r="M9631" t="s">
        <v>41644</v>
      </c>
      <c r="N9631" t="s">
        <v>44905</v>
      </c>
      <c r="O9631" t="s">
        <v>44906</v>
      </c>
      <c r="P9631">
        <v>0</v>
      </c>
      <c r="Q9631">
        <v>0</v>
      </c>
      <c r="R9631" t="s">
        <v>44914</v>
      </c>
      <c r="S9631" t="s">
        <v>45202</v>
      </c>
      <c r="T9631" t="s">
        <v>46694</v>
      </c>
      <c r="U9631" t="s">
        <v>54682</v>
      </c>
      <c r="V9631" t="s">
        <v>60077</v>
      </c>
      <c r="W9631" t="s">
        <v>41644</v>
      </c>
      <c r="X9631" t="s">
        <v>44915</v>
      </c>
    </row>
    <row r="9632" spans="1:24">
      <c r="A9632">
        <f>HYPERLINK("https://www.philgeps.gov.ph/GEPSNONPILOT/Tender/SplashBidNoticeAbstractUI.aspx?menuIndex=3&amp;refID=7067370&amp;Result=3","7067370")</f>
        <v>0</v>
      </c>
      <c r="B9632" t="s">
        <v>2778</v>
      </c>
      <c r="C9632" t="s">
        <v>12700</v>
      </c>
      <c r="D9632" t="s">
        <v>18148</v>
      </c>
      <c r="E9632" t="s">
        <v>26567</v>
      </c>
      <c r="F9632" t="s">
        <v>31362</v>
      </c>
      <c r="G9632" t="s">
        <v>31369</v>
      </c>
      <c r="H9632" t="s">
        <v>31378</v>
      </c>
      <c r="I9632" t="s">
        <v>31392</v>
      </c>
      <c r="J9632" t="s">
        <v>31536</v>
      </c>
      <c r="K9632" t="s">
        <v>40858</v>
      </c>
      <c r="L9632" t="s">
        <v>2778</v>
      </c>
      <c r="M9632" t="s">
        <v>43971</v>
      </c>
      <c r="N9632" t="s">
        <v>44905</v>
      </c>
      <c r="O9632" t="s">
        <v>44906</v>
      </c>
      <c r="P9632">
        <v>0</v>
      </c>
      <c r="Q9632">
        <v>0</v>
      </c>
      <c r="R9632" t="s">
        <v>44914</v>
      </c>
      <c r="S9632" t="s">
        <v>45202</v>
      </c>
      <c r="T9632" t="s">
        <v>46585</v>
      </c>
      <c r="U9632" t="s">
        <v>54683</v>
      </c>
      <c r="W9632" t="s">
        <v>43971</v>
      </c>
      <c r="X9632" t="s">
        <v>44915</v>
      </c>
    </row>
    <row r="9633" spans="1:24">
      <c r="A9633">
        <f>HYPERLINK("https://www.philgeps.gov.ph/GEPSNONPILOT/Tender/SplashBidNoticeAbstractUI.aspx?menuIndex=3&amp;refID=7067423&amp;Result=3","7067423")</f>
        <v>0</v>
      </c>
      <c r="B9633" t="s">
        <v>2779</v>
      </c>
      <c r="C9633" t="s">
        <v>12701</v>
      </c>
      <c r="D9633" t="s">
        <v>18117</v>
      </c>
      <c r="E9633" t="s">
        <v>26568</v>
      </c>
      <c r="F9633" t="s">
        <v>31362</v>
      </c>
      <c r="G9633" t="s">
        <v>31369</v>
      </c>
      <c r="H9633" t="s">
        <v>15799</v>
      </c>
      <c r="I9633" t="s">
        <v>31455</v>
      </c>
      <c r="J9633" t="s">
        <v>37386</v>
      </c>
      <c r="K9633" t="s">
        <v>40666</v>
      </c>
      <c r="M9633" t="s">
        <v>43972</v>
      </c>
      <c r="N9633" t="s">
        <v>44905</v>
      </c>
      <c r="O9633" t="s">
        <v>44906</v>
      </c>
      <c r="P9633">
        <v>0</v>
      </c>
      <c r="Q9633">
        <v>0</v>
      </c>
      <c r="R9633" t="s">
        <v>44914</v>
      </c>
      <c r="S9633" t="s">
        <v>45202</v>
      </c>
      <c r="T9633" t="s">
        <v>46504</v>
      </c>
      <c r="U9633" t="s">
        <v>54684</v>
      </c>
      <c r="V9633" t="s">
        <v>60079</v>
      </c>
      <c r="W9633" t="s">
        <v>43972</v>
      </c>
      <c r="X9633" t="s">
        <v>44915</v>
      </c>
    </row>
    <row r="9634" spans="1:24">
      <c r="A9634">
        <f>HYPERLINK("https://www.philgeps.gov.ph/GEPSNONPILOT/Tender/SplashBidNoticeAbstractUI.aspx?menuIndex=3&amp;refID=7067533&amp;Result=3","7067533")</f>
        <v>0</v>
      </c>
      <c r="B9634" t="s">
        <v>1906</v>
      </c>
      <c r="C9634" t="s">
        <v>12702</v>
      </c>
      <c r="D9634" t="s">
        <v>18121</v>
      </c>
      <c r="E9634" t="s">
        <v>26569</v>
      </c>
      <c r="F9634" t="s">
        <v>31362</v>
      </c>
      <c r="G9634" t="s">
        <v>31369</v>
      </c>
      <c r="H9634" t="s">
        <v>15799</v>
      </c>
      <c r="I9634" t="s">
        <v>31393</v>
      </c>
      <c r="J9634" t="s">
        <v>37387</v>
      </c>
      <c r="K9634" t="s">
        <v>40662</v>
      </c>
      <c r="M9634" t="s">
        <v>43002</v>
      </c>
      <c r="N9634" t="s">
        <v>44905</v>
      </c>
      <c r="O9634" t="s">
        <v>44906</v>
      </c>
      <c r="Q9634">
        <v>4</v>
      </c>
      <c r="R9634" t="s">
        <v>44914</v>
      </c>
      <c r="S9634" t="s">
        <v>45204</v>
      </c>
      <c r="T9634" t="s">
        <v>46504</v>
      </c>
      <c r="U9634" t="s">
        <v>54685</v>
      </c>
      <c r="W9634" t="s">
        <v>43002</v>
      </c>
      <c r="X9634" t="s">
        <v>44915</v>
      </c>
    </row>
    <row r="9635" spans="1:24">
      <c r="A9635">
        <f>HYPERLINK("https://www.philgeps.gov.ph/GEPSNONPILOT/Tender/SplashBidNoticeAbstractUI.aspx?menuIndex=3&amp;refID=7067395&amp;Result=3","7067395")</f>
        <v>0</v>
      </c>
      <c r="B9635" t="s">
        <v>2093</v>
      </c>
      <c r="C9635" t="s">
        <v>10050</v>
      </c>
      <c r="D9635" t="s">
        <v>18101</v>
      </c>
      <c r="E9635" t="s">
        <v>26570</v>
      </c>
      <c r="F9635" t="s">
        <v>31362</v>
      </c>
      <c r="G9635" t="s">
        <v>31369</v>
      </c>
      <c r="H9635" t="s">
        <v>15799</v>
      </c>
      <c r="I9635" t="s">
        <v>4283</v>
      </c>
      <c r="J9635" t="s">
        <v>37388</v>
      </c>
      <c r="K9635" t="s">
        <v>40677</v>
      </c>
      <c r="M9635" t="s">
        <v>43217</v>
      </c>
      <c r="N9635" t="s">
        <v>44905</v>
      </c>
      <c r="O9635" t="s">
        <v>44906</v>
      </c>
      <c r="P9635">
        <v>0</v>
      </c>
      <c r="Q9635">
        <v>9</v>
      </c>
      <c r="R9635" t="s">
        <v>44914</v>
      </c>
      <c r="S9635" t="s">
        <v>45202</v>
      </c>
      <c r="T9635" t="s">
        <v>46410</v>
      </c>
      <c r="U9635" t="s">
        <v>52497</v>
      </c>
      <c r="W9635" t="s">
        <v>43217</v>
      </c>
      <c r="X9635" t="s">
        <v>44915</v>
      </c>
    </row>
    <row r="9636" spans="1:24">
      <c r="A9636">
        <f>HYPERLINK("https://www.philgeps.gov.ph/GEPSNONPILOT/Tender/SplashBidNoticeAbstractUI.aspx?menuIndex=3&amp;refID=7067526&amp;Result=3","7067526")</f>
        <v>0</v>
      </c>
      <c r="B9636" t="s">
        <v>682</v>
      </c>
      <c r="C9636" t="s">
        <v>12703</v>
      </c>
      <c r="D9636" t="s">
        <v>18120</v>
      </c>
      <c r="E9636" t="s">
        <v>26571</v>
      </c>
      <c r="F9636" t="s">
        <v>31362</v>
      </c>
      <c r="G9636" t="s">
        <v>31369</v>
      </c>
      <c r="H9636" t="s">
        <v>31378</v>
      </c>
      <c r="I9636" t="s">
        <v>31386</v>
      </c>
      <c r="J9636" t="s">
        <v>37389</v>
      </c>
      <c r="K9636" t="s">
        <v>40679</v>
      </c>
      <c r="M9636" t="s">
        <v>41644</v>
      </c>
      <c r="N9636" t="s">
        <v>44905</v>
      </c>
      <c r="O9636" t="s">
        <v>44906</v>
      </c>
      <c r="P9636">
        <v>0</v>
      </c>
      <c r="Q9636">
        <v>0</v>
      </c>
      <c r="R9636" t="s">
        <v>44914</v>
      </c>
      <c r="S9636" t="s">
        <v>45202</v>
      </c>
      <c r="T9636" t="s">
        <v>46694</v>
      </c>
      <c r="U9636" t="s">
        <v>54686</v>
      </c>
      <c r="V9636" t="s">
        <v>60077</v>
      </c>
      <c r="W9636" t="s">
        <v>41644</v>
      </c>
      <c r="X9636" t="s">
        <v>44915</v>
      </c>
    </row>
    <row r="9637" spans="1:24">
      <c r="A9637">
        <f>HYPERLINK("https://www.philgeps.gov.ph/GEPSNONPILOT/Tender/SplashBidNoticeAbstractUI.aspx?menuIndex=3&amp;refID=7067156&amp;Result=3","7067156")</f>
        <v>0</v>
      </c>
      <c r="B9637" t="s">
        <v>1676</v>
      </c>
      <c r="C9637" t="s">
        <v>12704</v>
      </c>
      <c r="D9637" t="s">
        <v>18139</v>
      </c>
      <c r="E9637" t="s">
        <v>26572</v>
      </c>
      <c r="F9637" t="s">
        <v>31362</v>
      </c>
      <c r="G9637" t="s">
        <v>31369</v>
      </c>
      <c r="H9637" t="s">
        <v>31378</v>
      </c>
      <c r="I9637" t="s">
        <v>31386</v>
      </c>
      <c r="J9637" t="s">
        <v>36834</v>
      </c>
      <c r="K9637" t="s">
        <v>40678</v>
      </c>
      <c r="M9637" t="s">
        <v>42741</v>
      </c>
      <c r="N9637" t="s">
        <v>44905</v>
      </c>
      <c r="O9637" t="s">
        <v>44906</v>
      </c>
      <c r="P9637">
        <v>0</v>
      </c>
      <c r="Q9637">
        <v>2</v>
      </c>
      <c r="R9637" t="s">
        <v>44914</v>
      </c>
      <c r="S9637" t="s">
        <v>45202</v>
      </c>
      <c r="T9637" t="s">
        <v>46504</v>
      </c>
      <c r="U9637" t="s">
        <v>54687</v>
      </c>
      <c r="V9637" t="s">
        <v>60080</v>
      </c>
      <c r="W9637" t="s">
        <v>60921</v>
      </c>
      <c r="X9637" t="s">
        <v>44916</v>
      </c>
    </row>
    <row r="9638" spans="1:24">
      <c r="A9638">
        <f>HYPERLINK("https://www.philgeps.gov.ph/GEPSNONPILOT/Tender/SplashBidNoticeAbstractUI.aspx?menuIndex=3&amp;refID=7067538&amp;Result=3","7067538")</f>
        <v>0</v>
      </c>
      <c r="B9638" t="s">
        <v>2250</v>
      </c>
      <c r="C9638" t="s">
        <v>12705</v>
      </c>
      <c r="D9638" t="s">
        <v>18107</v>
      </c>
      <c r="E9638" t="s">
        <v>24951</v>
      </c>
      <c r="F9638" t="s">
        <v>31362</v>
      </c>
      <c r="G9638" t="s">
        <v>31369</v>
      </c>
      <c r="H9638" t="s">
        <v>31378</v>
      </c>
      <c r="I9638" t="s">
        <v>31386</v>
      </c>
      <c r="J9638" t="s">
        <v>31542</v>
      </c>
      <c r="K9638" t="s">
        <v>40662</v>
      </c>
      <c r="M9638" t="s">
        <v>43387</v>
      </c>
      <c r="N9638" t="s">
        <v>44905</v>
      </c>
      <c r="O9638" t="s">
        <v>44906</v>
      </c>
      <c r="P9638">
        <v>0</v>
      </c>
      <c r="Q9638">
        <v>0</v>
      </c>
      <c r="R9638" t="s">
        <v>44914</v>
      </c>
      <c r="S9638" t="s">
        <v>45202</v>
      </c>
      <c r="T9638" t="s">
        <v>46638</v>
      </c>
      <c r="U9638" t="s">
        <v>52982</v>
      </c>
      <c r="W9638" t="s">
        <v>43387</v>
      </c>
      <c r="X9638" t="s">
        <v>44915</v>
      </c>
    </row>
    <row r="9639" spans="1:24">
      <c r="A9639">
        <f>HYPERLINK("https://www.philgeps.gov.ph/GEPSNONPILOT/Tender/SplashBidNoticeAbstractUI.aspx?menuIndex=3&amp;refID=7067524&amp;Result=3","7067524")</f>
        <v>0</v>
      </c>
      <c r="B9639" t="s">
        <v>424</v>
      </c>
      <c r="C9639" t="s">
        <v>12706</v>
      </c>
      <c r="D9639" t="s">
        <v>18168</v>
      </c>
      <c r="E9639" t="s">
        <v>26573</v>
      </c>
      <c r="F9639" t="s">
        <v>31362</v>
      </c>
      <c r="G9639" t="s">
        <v>31371</v>
      </c>
      <c r="H9639" t="s">
        <v>15799</v>
      </c>
      <c r="I9639" t="s">
        <v>31395</v>
      </c>
      <c r="J9639" t="s">
        <v>31536</v>
      </c>
      <c r="K9639" t="s">
        <v>40665</v>
      </c>
      <c r="M9639" t="s">
        <v>43973</v>
      </c>
      <c r="N9639" t="s">
        <v>44905</v>
      </c>
      <c r="O9639" t="s">
        <v>44906</v>
      </c>
      <c r="P9639">
        <v>0</v>
      </c>
      <c r="Q9639">
        <v>6</v>
      </c>
      <c r="R9639" t="s">
        <v>44914</v>
      </c>
      <c r="S9639" t="s">
        <v>45202</v>
      </c>
      <c r="T9639" t="s">
        <v>46435</v>
      </c>
      <c r="U9639" t="s">
        <v>54688</v>
      </c>
      <c r="W9639" t="s">
        <v>43973</v>
      </c>
      <c r="X9639" t="s">
        <v>44915</v>
      </c>
    </row>
    <row r="9640" spans="1:24">
      <c r="A9640">
        <f>HYPERLINK("https://www.philgeps.gov.ph/GEPSNONPILOT/Tender/SplashBidNoticeAbstractUI.aspx?menuIndex=3&amp;refID=7067514&amp;Result=3","7067514")</f>
        <v>0</v>
      </c>
      <c r="B9640" t="s">
        <v>1167</v>
      </c>
      <c r="C9640" t="s">
        <v>12707</v>
      </c>
      <c r="D9640" t="s">
        <v>18151</v>
      </c>
      <c r="E9640" t="s">
        <v>26574</v>
      </c>
      <c r="F9640" t="s">
        <v>31362</v>
      </c>
      <c r="G9640" t="s">
        <v>31369</v>
      </c>
      <c r="H9640" t="s">
        <v>31378</v>
      </c>
      <c r="I9640" t="s">
        <v>31386</v>
      </c>
      <c r="J9640" t="s">
        <v>32964</v>
      </c>
      <c r="K9640" t="s">
        <v>40694</v>
      </c>
      <c r="M9640" t="s">
        <v>42177</v>
      </c>
      <c r="N9640" t="s">
        <v>44905</v>
      </c>
      <c r="O9640" t="s">
        <v>44906</v>
      </c>
      <c r="P9640">
        <v>0</v>
      </c>
      <c r="Q9640">
        <v>0</v>
      </c>
      <c r="R9640" t="s">
        <v>44914</v>
      </c>
      <c r="S9640" t="s">
        <v>45202</v>
      </c>
      <c r="T9640" t="s">
        <v>46479</v>
      </c>
      <c r="U9640" t="s">
        <v>54676</v>
      </c>
      <c r="V9640" t="s">
        <v>60081</v>
      </c>
      <c r="W9640" t="s">
        <v>42177</v>
      </c>
      <c r="X9640" t="s">
        <v>44915</v>
      </c>
    </row>
    <row r="9641" spans="1:24">
      <c r="A9641">
        <f>HYPERLINK("https://www.philgeps.gov.ph/GEPSNONPILOT/Tender/SplashBidNoticeAbstractUI.aspx?menuIndex=3&amp;refID=7067535&amp;Result=3","7067535")</f>
        <v>0</v>
      </c>
      <c r="B9641" t="s">
        <v>2780</v>
      </c>
      <c r="C9641" t="s">
        <v>12708</v>
      </c>
      <c r="D9641" t="s">
        <v>18135</v>
      </c>
      <c r="E9641" t="s">
        <v>26575</v>
      </c>
      <c r="F9641" t="s">
        <v>31362</v>
      </c>
      <c r="G9641" t="s">
        <v>31369</v>
      </c>
      <c r="H9641" t="s">
        <v>15799</v>
      </c>
      <c r="I9641" t="s">
        <v>31380</v>
      </c>
      <c r="J9641" t="s">
        <v>31969</v>
      </c>
      <c r="K9641" t="s">
        <v>40662</v>
      </c>
      <c r="M9641" t="s">
        <v>43974</v>
      </c>
      <c r="N9641" t="s">
        <v>44905</v>
      </c>
      <c r="O9641" t="s">
        <v>44906</v>
      </c>
      <c r="P9641">
        <v>0</v>
      </c>
      <c r="Q9641">
        <v>0</v>
      </c>
      <c r="R9641" t="s">
        <v>44914</v>
      </c>
      <c r="S9641" t="s">
        <v>45202</v>
      </c>
      <c r="T9641" t="s">
        <v>46411</v>
      </c>
      <c r="U9641" t="s">
        <v>54689</v>
      </c>
      <c r="W9641" t="s">
        <v>43974</v>
      </c>
      <c r="X9641" t="s">
        <v>44915</v>
      </c>
    </row>
    <row r="9642" spans="1:24">
      <c r="A9642">
        <f>HYPERLINK("https://www.philgeps.gov.ph/GEPSNONPILOT/Tender/SplashBidNoticeAbstractUI.aspx?menuIndex=3&amp;refID=7067530&amp;Result=3","7067530")</f>
        <v>0</v>
      </c>
      <c r="B9642" t="s">
        <v>2781</v>
      </c>
      <c r="C9642" t="s">
        <v>12709</v>
      </c>
      <c r="D9642" t="s">
        <v>18100</v>
      </c>
      <c r="E9642" t="s">
        <v>20853</v>
      </c>
      <c r="F9642" t="s">
        <v>31362</v>
      </c>
      <c r="G9642" t="s">
        <v>31369</v>
      </c>
      <c r="H9642" t="s">
        <v>15799</v>
      </c>
      <c r="I9642" t="s">
        <v>31390</v>
      </c>
      <c r="J9642" t="s">
        <v>31890</v>
      </c>
      <c r="K9642" t="s">
        <v>40662</v>
      </c>
      <c r="M9642" t="s">
        <v>43975</v>
      </c>
      <c r="N9642" t="s">
        <v>44905</v>
      </c>
      <c r="O9642" t="s">
        <v>44906</v>
      </c>
      <c r="P9642">
        <v>0</v>
      </c>
      <c r="Q9642">
        <v>0</v>
      </c>
      <c r="R9642" t="s">
        <v>44914</v>
      </c>
      <c r="S9642" t="s">
        <v>45202</v>
      </c>
      <c r="T9642" t="s">
        <v>46414</v>
      </c>
      <c r="U9642" t="s">
        <v>54690</v>
      </c>
      <c r="W9642" t="s">
        <v>43975</v>
      </c>
      <c r="X9642" t="s">
        <v>44915</v>
      </c>
    </row>
    <row r="9643" spans="1:24">
      <c r="A9643">
        <f>HYPERLINK("https://www.philgeps.gov.ph/GEPSNONPILOT/Tender/SplashBidNoticeAbstractUI.aspx?menuIndex=3&amp;refID=7067491&amp;Result=3","7067491")</f>
        <v>0</v>
      </c>
      <c r="B9643" t="s">
        <v>2782</v>
      </c>
      <c r="C9643" t="s">
        <v>4043</v>
      </c>
      <c r="D9643" t="s">
        <v>18178</v>
      </c>
      <c r="E9643" t="s">
        <v>26576</v>
      </c>
      <c r="F9643" t="s">
        <v>31362</v>
      </c>
      <c r="G9643" t="s">
        <v>31369</v>
      </c>
      <c r="H9643" t="s">
        <v>15799</v>
      </c>
      <c r="I9643" t="s">
        <v>31385</v>
      </c>
      <c r="J9643" t="s">
        <v>37390</v>
      </c>
      <c r="K9643" t="s">
        <v>40670</v>
      </c>
      <c r="M9643" t="s">
        <v>43976</v>
      </c>
      <c r="N9643" t="s">
        <v>44905</v>
      </c>
      <c r="O9643" t="s">
        <v>44906</v>
      </c>
      <c r="P9643">
        <v>0</v>
      </c>
      <c r="Q9643">
        <v>1</v>
      </c>
      <c r="R9643" t="s">
        <v>44914</v>
      </c>
      <c r="S9643" t="s">
        <v>45202</v>
      </c>
      <c r="T9643" t="s">
        <v>46519</v>
      </c>
      <c r="U9643" t="s">
        <v>47898</v>
      </c>
      <c r="W9643" t="s">
        <v>43976</v>
      </c>
      <c r="X9643" t="s">
        <v>44915</v>
      </c>
    </row>
    <row r="9644" spans="1:24">
      <c r="A9644">
        <f>HYPERLINK("https://www.philgeps.gov.ph/GEPSNONPILOT/Tender/SplashBidNoticeAbstractUI.aspx?menuIndex=3&amp;refID=7067523&amp;Result=3","7067523")</f>
        <v>0</v>
      </c>
      <c r="B9644" t="s">
        <v>717</v>
      </c>
      <c r="C9644" t="s">
        <v>12710</v>
      </c>
      <c r="D9644" t="s">
        <v>18167</v>
      </c>
      <c r="E9644" t="s">
        <v>26577</v>
      </c>
      <c r="F9644" t="s">
        <v>31362</v>
      </c>
      <c r="G9644" t="s">
        <v>31369</v>
      </c>
      <c r="H9644" t="s">
        <v>15799</v>
      </c>
      <c r="I9644" t="s">
        <v>31422</v>
      </c>
      <c r="J9644" t="s">
        <v>37391</v>
      </c>
      <c r="K9644" t="s">
        <v>40665</v>
      </c>
      <c r="M9644" t="s">
        <v>42810</v>
      </c>
      <c r="N9644" t="s">
        <v>44905</v>
      </c>
      <c r="O9644" t="s">
        <v>44906</v>
      </c>
      <c r="P9644">
        <v>0</v>
      </c>
      <c r="Q9644">
        <v>4</v>
      </c>
      <c r="R9644" t="s">
        <v>44914</v>
      </c>
      <c r="S9644" t="s">
        <v>45202</v>
      </c>
      <c r="T9644" t="s">
        <v>46504</v>
      </c>
      <c r="U9644" t="s">
        <v>51232</v>
      </c>
      <c r="W9644" t="s">
        <v>42810</v>
      </c>
      <c r="X9644" t="s">
        <v>44915</v>
      </c>
    </row>
    <row r="9645" spans="1:24">
      <c r="A9645">
        <f>HYPERLINK("https://www.philgeps.gov.ph/GEPSNONPILOT/Tender/SplashBidNoticeAbstractUI.aspx?menuIndex=3&amp;refID=7067513&amp;Result=3","7067513")</f>
        <v>0</v>
      </c>
      <c r="B9645" t="s">
        <v>1939</v>
      </c>
      <c r="C9645" t="s">
        <v>12711</v>
      </c>
      <c r="D9645" t="s">
        <v>18141</v>
      </c>
      <c r="E9645" t="s">
        <v>26578</v>
      </c>
      <c r="F9645" t="s">
        <v>31362</v>
      </c>
      <c r="G9645" t="s">
        <v>31369</v>
      </c>
      <c r="H9645" t="s">
        <v>31378</v>
      </c>
      <c r="I9645" t="s">
        <v>31386</v>
      </c>
      <c r="J9645" t="s">
        <v>37392</v>
      </c>
      <c r="K9645" t="s">
        <v>40665</v>
      </c>
      <c r="M9645" t="s">
        <v>43044</v>
      </c>
      <c r="N9645" t="s">
        <v>44905</v>
      </c>
      <c r="O9645" t="s">
        <v>44906</v>
      </c>
      <c r="P9645">
        <v>0</v>
      </c>
      <c r="Q9645">
        <v>1</v>
      </c>
      <c r="R9645" t="s">
        <v>44914</v>
      </c>
      <c r="S9645" t="s">
        <v>45202</v>
      </c>
      <c r="T9645" t="s">
        <v>46804</v>
      </c>
      <c r="U9645" t="s">
        <v>54691</v>
      </c>
      <c r="V9645" t="s">
        <v>59918</v>
      </c>
      <c r="W9645" t="s">
        <v>43044</v>
      </c>
      <c r="X9645" t="s">
        <v>44915</v>
      </c>
    </row>
    <row r="9646" spans="1:24">
      <c r="A9646">
        <f>HYPERLINK("https://www.philgeps.gov.ph/GEPSNONPILOT/Tender/SplashBidNoticeAbstractUI.aspx?menuIndex=3&amp;refID=7067490&amp;Result=3","7067490")</f>
        <v>0</v>
      </c>
      <c r="B9646" t="s">
        <v>717</v>
      </c>
      <c r="C9646" t="s">
        <v>12712</v>
      </c>
      <c r="D9646" t="s">
        <v>18167</v>
      </c>
      <c r="E9646" t="s">
        <v>26579</v>
      </c>
      <c r="F9646" t="s">
        <v>31362</v>
      </c>
      <c r="G9646" t="s">
        <v>31369</v>
      </c>
      <c r="H9646" t="s">
        <v>15799</v>
      </c>
      <c r="I9646" t="s">
        <v>31420</v>
      </c>
      <c r="J9646" t="s">
        <v>31981</v>
      </c>
      <c r="K9646" t="s">
        <v>40665</v>
      </c>
      <c r="M9646" t="s">
        <v>42810</v>
      </c>
      <c r="N9646" t="s">
        <v>44905</v>
      </c>
      <c r="O9646" t="s">
        <v>44906</v>
      </c>
      <c r="P9646">
        <v>0</v>
      </c>
      <c r="Q9646">
        <v>9</v>
      </c>
      <c r="R9646" t="s">
        <v>44914</v>
      </c>
      <c r="S9646" t="s">
        <v>45202</v>
      </c>
      <c r="T9646" t="s">
        <v>46504</v>
      </c>
      <c r="U9646" t="s">
        <v>51232</v>
      </c>
      <c r="W9646" t="s">
        <v>42810</v>
      </c>
      <c r="X9646" t="s">
        <v>44915</v>
      </c>
    </row>
    <row r="9647" spans="1:24">
      <c r="A9647">
        <f>HYPERLINK("https://www.philgeps.gov.ph/GEPSNONPILOT/Tender/SplashBidNoticeAbstractUI.aspx?menuIndex=3&amp;refID=7067511&amp;Result=3","7067511")</f>
        <v>0</v>
      </c>
      <c r="B9647" t="s">
        <v>682</v>
      </c>
      <c r="C9647" t="s">
        <v>12713</v>
      </c>
      <c r="D9647" t="s">
        <v>18120</v>
      </c>
      <c r="E9647" t="s">
        <v>26580</v>
      </c>
      <c r="F9647" t="s">
        <v>31362</v>
      </c>
      <c r="G9647" t="s">
        <v>31369</v>
      </c>
      <c r="H9647" t="s">
        <v>31378</v>
      </c>
      <c r="I9647" t="s">
        <v>31386</v>
      </c>
      <c r="J9647" t="s">
        <v>37393</v>
      </c>
      <c r="K9647" t="s">
        <v>40694</v>
      </c>
      <c r="M9647" t="s">
        <v>41644</v>
      </c>
      <c r="N9647" t="s">
        <v>44905</v>
      </c>
      <c r="O9647" t="s">
        <v>44906</v>
      </c>
      <c r="P9647">
        <v>0</v>
      </c>
      <c r="Q9647">
        <v>0</v>
      </c>
      <c r="R9647" t="s">
        <v>44914</v>
      </c>
      <c r="S9647" t="s">
        <v>45202</v>
      </c>
      <c r="T9647" t="s">
        <v>46694</v>
      </c>
      <c r="U9647" t="s">
        <v>54692</v>
      </c>
      <c r="V9647" t="s">
        <v>60073</v>
      </c>
      <c r="W9647" t="s">
        <v>41644</v>
      </c>
      <c r="X9647" t="s">
        <v>44915</v>
      </c>
    </row>
    <row r="9648" spans="1:24">
      <c r="A9648">
        <f>HYPERLINK("https://www.philgeps.gov.ph/GEPSNONPILOT/Tender/SplashBidNoticeAbstractUI.aspx?menuIndex=3&amp;refID=7067489&amp;Result=3","7067489")</f>
        <v>0</v>
      </c>
      <c r="B9648" t="s">
        <v>682</v>
      </c>
      <c r="C9648" t="s">
        <v>12714</v>
      </c>
      <c r="D9648" t="s">
        <v>18120</v>
      </c>
      <c r="E9648" t="s">
        <v>26581</v>
      </c>
      <c r="F9648" t="s">
        <v>31362</v>
      </c>
      <c r="G9648" t="s">
        <v>31369</v>
      </c>
      <c r="H9648" t="s">
        <v>31378</v>
      </c>
      <c r="I9648" t="s">
        <v>31386</v>
      </c>
      <c r="J9648" t="s">
        <v>37394</v>
      </c>
      <c r="K9648" t="s">
        <v>40679</v>
      </c>
      <c r="M9648" t="s">
        <v>41644</v>
      </c>
      <c r="N9648" t="s">
        <v>44905</v>
      </c>
      <c r="O9648" t="s">
        <v>44906</v>
      </c>
      <c r="P9648">
        <v>0</v>
      </c>
      <c r="Q9648">
        <v>1</v>
      </c>
      <c r="R9648" t="s">
        <v>44914</v>
      </c>
      <c r="S9648" t="s">
        <v>45202</v>
      </c>
      <c r="T9648" t="s">
        <v>46694</v>
      </c>
      <c r="U9648" t="s">
        <v>54693</v>
      </c>
      <c r="V9648" t="s">
        <v>60073</v>
      </c>
      <c r="W9648" t="s">
        <v>41644</v>
      </c>
      <c r="X9648" t="s">
        <v>44915</v>
      </c>
    </row>
    <row r="9649" spans="1:24">
      <c r="A9649">
        <f>HYPERLINK("https://www.philgeps.gov.ph/GEPSNONPILOT/Tender/SplashBidNoticeAbstractUI.aspx?menuIndex=3&amp;refID=7067483&amp;Result=3","7067483")</f>
        <v>0</v>
      </c>
      <c r="B9649" t="s">
        <v>2783</v>
      </c>
      <c r="C9649" t="s">
        <v>12715</v>
      </c>
      <c r="D9649" t="s">
        <v>18148</v>
      </c>
      <c r="E9649" t="s">
        <v>26582</v>
      </c>
      <c r="F9649" t="s">
        <v>31363</v>
      </c>
      <c r="G9649" t="s">
        <v>31369</v>
      </c>
      <c r="H9649" t="s">
        <v>15799</v>
      </c>
      <c r="I9649" t="s">
        <v>4283</v>
      </c>
      <c r="J9649" t="s">
        <v>37395</v>
      </c>
      <c r="K9649" t="s">
        <v>40665</v>
      </c>
      <c r="M9649" t="s">
        <v>43977</v>
      </c>
      <c r="N9649" t="s">
        <v>44905</v>
      </c>
      <c r="O9649" t="s">
        <v>44906</v>
      </c>
      <c r="P9649">
        <v>0</v>
      </c>
      <c r="Q9649">
        <v>2</v>
      </c>
      <c r="R9649" t="s">
        <v>44914</v>
      </c>
      <c r="S9649" t="s">
        <v>45202</v>
      </c>
      <c r="T9649" t="s">
        <v>46638</v>
      </c>
      <c r="U9649" t="s">
        <v>54694</v>
      </c>
      <c r="V9649" t="s">
        <v>60082</v>
      </c>
      <c r="W9649" t="s">
        <v>43977</v>
      </c>
      <c r="X9649" t="s">
        <v>44915</v>
      </c>
    </row>
    <row r="9650" spans="1:24">
      <c r="A9650">
        <f>HYPERLINK("https://www.philgeps.gov.ph/GEPSNONPILOT/Tender/SplashBidNoticeAbstractUI.aspx?menuIndex=3&amp;refID=7067495&amp;Result=3","7067495")</f>
        <v>0</v>
      </c>
      <c r="B9650" t="s">
        <v>590</v>
      </c>
      <c r="C9650" t="s">
        <v>12716</v>
      </c>
      <c r="D9650" t="s">
        <v>18162</v>
      </c>
      <c r="E9650" t="s">
        <v>26583</v>
      </c>
      <c r="F9650" t="s">
        <v>31362</v>
      </c>
      <c r="G9650" t="s">
        <v>31369</v>
      </c>
      <c r="H9650" t="s">
        <v>31378</v>
      </c>
      <c r="I9650" t="s">
        <v>31386</v>
      </c>
      <c r="J9650" t="s">
        <v>37396</v>
      </c>
      <c r="K9650" t="s">
        <v>40662</v>
      </c>
      <c r="M9650" t="s">
        <v>41547</v>
      </c>
      <c r="N9650" t="s">
        <v>44905</v>
      </c>
      <c r="O9650" t="s">
        <v>44906</v>
      </c>
      <c r="P9650">
        <v>0</v>
      </c>
      <c r="Q9650">
        <v>0</v>
      </c>
      <c r="R9650" t="s">
        <v>44914</v>
      </c>
      <c r="S9650" t="s">
        <v>45202</v>
      </c>
      <c r="T9650" t="s">
        <v>46671</v>
      </c>
      <c r="U9650" t="s">
        <v>54695</v>
      </c>
      <c r="W9650" t="s">
        <v>41547</v>
      </c>
      <c r="X9650" t="s">
        <v>44915</v>
      </c>
    </row>
    <row r="9651" spans="1:24">
      <c r="A9651">
        <f>HYPERLINK("https://www.philgeps.gov.ph/GEPSNONPILOT/Tender/SplashBidNoticeAbstractUI.aspx?menuIndex=3&amp;refID=7067472&amp;Result=3","7067472")</f>
        <v>0</v>
      </c>
      <c r="B9651" t="s">
        <v>49</v>
      </c>
      <c r="C9651" t="s">
        <v>12717</v>
      </c>
      <c r="D9651" t="s">
        <v>18108</v>
      </c>
      <c r="E9651" t="s">
        <v>26584</v>
      </c>
      <c r="F9651" t="s">
        <v>31362</v>
      </c>
      <c r="G9651" t="s">
        <v>31369</v>
      </c>
      <c r="H9651" t="s">
        <v>31378</v>
      </c>
      <c r="I9651" t="s">
        <v>31386</v>
      </c>
      <c r="J9651" t="s">
        <v>37397</v>
      </c>
      <c r="K9651" t="s">
        <v>40662</v>
      </c>
      <c r="M9651" t="s">
        <v>40983</v>
      </c>
      <c r="N9651" t="s">
        <v>44905</v>
      </c>
      <c r="O9651" t="s">
        <v>44906</v>
      </c>
      <c r="P9651">
        <v>0</v>
      </c>
      <c r="Q9651">
        <v>11</v>
      </c>
      <c r="R9651" t="s">
        <v>44914</v>
      </c>
      <c r="S9651" t="s">
        <v>45202</v>
      </c>
      <c r="T9651" t="s">
        <v>46625</v>
      </c>
      <c r="U9651" t="s">
        <v>54696</v>
      </c>
      <c r="W9651" t="s">
        <v>40983</v>
      </c>
      <c r="X9651" t="s">
        <v>44915</v>
      </c>
    </row>
    <row r="9652" spans="1:24">
      <c r="A9652">
        <f>HYPERLINK("https://www.philgeps.gov.ph/GEPSNONPILOT/Tender/SplashBidNoticeAbstractUI.aspx?menuIndex=3&amp;refID=7067494&amp;Result=3","7067494")</f>
        <v>0</v>
      </c>
      <c r="B9652" t="s">
        <v>167</v>
      </c>
      <c r="C9652" t="s">
        <v>12718</v>
      </c>
      <c r="D9652" t="s">
        <v>18152</v>
      </c>
      <c r="E9652" t="s">
        <v>26585</v>
      </c>
      <c r="F9652" t="s">
        <v>31362</v>
      </c>
      <c r="G9652" t="s">
        <v>31369</v>
      </c>
      <c r="H9652" t="s">
        <v>15799</v>
      </c>
      <c r="I9652" t="s">
        <v>31400</v>
      </c>
      <c r="J9652" t="s">
        <v>37398</v>
      </c>
      <c r="K9652" t="s">
        <v>40670</v>
      </c>
      <c r="M9652" t="s">
        <v>41105</v>
      </c>
      <c r="N9652" t="s">
        <v>44905</v>
      </c>
      <c r="O9652" t="s">
        <v>44906</v>
      </c>
      <c r="P9652">
        <v>0</v>
      </c>
      <c r="Q9652">
        <v>0</v>
      </c>
      <c r="R9652" t="s">
        <v>44914</v>
      </c>
      <c r="S9652" t="s">
        <v>45202</v>
      </c>
      <c r="T9652" t="s">
        <v>46393</v>
      </c>
      <c r="U9652" t="s">
        <v>54697</v>
      </c>
      <c r="V9652" t="s">
        <v>60083</v>
      </c>
      <c r="W9652" t="s">
        <v>41105</v>
      </c>
      <c r="X9652" t="s">
        <v>44915</v>
      </c>
    </row>
    <row r="9653" spans="1:24">
      <c r="A9653">
        <f>HYPERLINK("https://www.philgeps.gov.ph/GEPSNONPILOT/Tender/SplashBidNoticeAbstractUI.aspx?menuIndex=3&amp;refID=7067639&amp;Result=3","7067639")</f>
        <v>0</v>
      </c>
      <c r="B9653" t="s">
        <v>2309</v>
      </c>
      <c r="C9653" t="s">
        <v>12719</v>
      </c>
      <c r="D9653" t="s">
        <v>18172</v>
      </c>
      <c r="E9653" t="s">
        <v>24480</v>
      </c>
      <c r="F9653" t="s">
        <v>31362</v>
      </c>
      <c r="G9653" t="s">
        <v>31369</v>
      </c>
      <c r="H9653" t="s">
        <v>15799</v>
      </c>
      <c r="I9653" t="s">
        <v>3815</v>
      </c>
      <c r="J9653" t="s">
        <v>37399</v>
      </c>
      <c r="K9653" t="s">
        <v>40681</v>
      </c>
      <c r="M9653" t="s">
        <v>43449</v>
      </c>
      <c r="N9653" t="s">
        <v>44905</v>
      </c>
      <c r="O9653" t="s">
        <v>44906</v>
      </c>
      <c r="P9653">
        <v>0</v>
      </c>
      <c r="Q9653">
        <v>0</v>
      </c>
      <c r="R9653" t="s">
        <v>44914</v>
      </c>
      <c r="S9653" t="s">
        <v>45202</v>
      </c>
      <c r="T9653" t="s">
        <v>46434</v>
      </c>
      <c r="U9653" t="s">
        <v>54698</v>
      </c>
      <c r="W9653" t="s">
        <v>43449</v>
      </c>
      <c r="X9653" t="s">
        <v>44915</v>
      </c>
    </row>
    <row r="9654" spans="1:24">
      <c r="A9654">
        <f>HYPERLINK("https://www.philgeps.gov.ph/GEPSNONPILOT/Tender/SplashBidNoticeAbstractUI.aspx?menuIndex=3&amp;refID=7067626&amp;Result=3","7067626")</f>
        <v>0</v>
      </c>
      <c r="B9654" t="s">
        <v>1002</v>
      </c>
      <c r="C9654" t="s">
        <v>12720</v>
      </c>
      <c r="E9654" t="s">
        <v>26586</v>
      </c>
      <c r="F9654" t="s">
        <v>31362</v>
      </c>
      <c r="G9654" t="s">
        <v>31368</v>
      </c>
      <c r="H9654" t="s">
        <v>15799</v>
      </c>
      <c r="I9654" t="s">
        <v>31395</v>
      </c>
      <c r="J9654" t="s">
        <v>31987</v>
      </c>
      <c r="K9654" t="s">
        <v>40665</v>
      </c>
      <c r="M9654" t="s">
        <v>43978</v>
      </c>
      <c r="N9654" t="s">
        <v>44905</v>
      </c>
      <c r="O9654" t="s">
        <v>44906</v>
      </c>
      <c r="P9654">
        <v>0</v>
      </c>
      <c r="Q9654">
        <v>1</v>
      </c>
      <c r="R9654" t="s">
        <v>44914</v>
      </c>
      <c r="S9654" t="s">
        <v>45202</v>
      </c>
      <c r="T9654" t="s">
        <v>46443</v>
      </c>
      <c r="U9654" t="s">
        <v>54699</v>
      </c>
      <c r="W9654" t="s">
        <v>60940</v>
      </c>
      <c r="X9654" t="s">
        <v>44915</v>
      </c>
    </row>
    <row r="9655" spans="1:24">
      <c r="A9655">
        <f>HYPERLINK("https://www.philgeps.gov.ph/GEPSNONPILOT/Tender/SplashBidNoticeAbstractUI.aspx?menuIndex=3&amp;refID=7067616&amp;Result=3","7067616")</f>
        <v>0</v>
      </c>
      <c r="B9655" t="s">
        <v>559</v>
      </c>
      <c r="C9655" t="s">
        <v>12721</v>
      </c>
      <c r="D9655" t="s">
        <v>18139</v>
      </c>
      <c r="E9655" t="s">
        <v>26587</v>
      </c>
      <c r="F9655" t="s">
        <v>31362</v>
      </c>
      <c r="G9655" t="s">
        <v>31369</v>
      </c>
      <c r="H9655" t="s">
        <v>31378</v>
      </c>
      <c r="I9655" t="s">
        <v>31386</v>
      </c>
      <c r="J9655" t="s">
        <v>37400</v>
      </c>
      <c r="K9655" t="s">
        <v>40682</v>
      </c>
      <c r="M9655" t="s">
        <v>41515</v>
      </c>
      <c r="N9655" t="s">
        <v>44905</v>
      </c>
      <c r="O9655" t="s">
        <v>44906</v>
      </c>
      <c r="P9655">
        <v>0</v>
      </c>
      <c r="Q9655">
        <v>3</v>
      </c>
      <c r="R9655" t="s">
        <v>44914</v>
      </c>
      <c r="S9655" t="s">
        <v>45202</v>
      </c>
      <c r="T9655" t="s">
        <v>46504</v>
      </c>
      <c r="U9655" t="s">
        <v>47999</v>
      </c>
      <c r="V9655" t="s">
        <v>59206</v>
      </c>
      <c r="W9655" t="s">
        <v>41515</v>
      </c>
      <c r="X9655" t="s">
        <v>44915</v>
      </c>
    </row>
    <row r="9656" spans="1:24">
      <c r="A9656">
        <f>HYPERLINK("https://www.philgeps.gov.ph/GEPSNONPILOT/Tender/SplashBidNoticeAbstractUI.aspx?menuIndex=3&amp;refID=7067606&amp;Result=3","7067606")</f>
        <v>0</v>
      </c>
      <c r="B9656" t="s">
        <v>2784</v>
      </c>
      <c r="C9656" t="s">
        <v>12722</v>
      </c>
      <c r="D9656" t="s">
        <v>18155</v>
      </c>
      <c r="E9656" t="s">
        <v>26588</v>
      </c>
      <c r="F9656" t="s">
        <v>31362</v>
      </c>
      <c r="G9656" t="s">
        <v>31369</v>
      </c>
      <c r="H9656" t="s">
        <v>31378</v>
      </c>
      <c r="I9656" t="s">
        <v>31386</v>
      </c>
      <c r="J9656" t="s">
        <v>37401</v>
      </c>
      <c r="K9656" t="s">
        <v>40662</v>
      </c>
      <c r="M9656" t="s">
        <v>43979</v>
      </c>
      <c r="N9656" t="s">
        <v>44905</v>
      </c>
      <c r="O9656" t="s">
        <v>44906</v>
      </c>
      <c r="P9656">
        <v>0</v>
      </c>
      <c r="Q9656">
        <v>0</v>
      </c>
      <c r="R9656" t="s">
        <v>44914</v>
      </c>
      <c r="S9656" t="s">
        <v>45202</v>
      </c>
      <c r="T9656" t="s">
        <v>46425</v>
      </c>
      <c r="U9656" t="s">
        <v>54700</v>
      </c>
      <c r="W9656" t="s">
        <v>43979</v>
      </c>
      <c r="X9656" t="s">
        <v>44915</v>
      </c>
    </row>
    <row r="9657" spans="1:24">
      <c r="A9657">
        <f>HYPERLINK("https://www.philgeps.gov.ph/GEPSNONPILOT/Tender/SplashBidNoticeAbstractUI.aspx?menuIndex=3&amp;refID=7066566&amp;Result=3","7066566")</f>
        <v>0</v>
      </c>
      <c r="B9657" t="s">
        <v>2146</v>
      </c>
      <c r="C9657" t="s">
        <v>12723</v>
      </c>
      <c r="D9657" t="s">
        <v>18157</v>
      </c>
      <c r="E9657" t="s">
        <v>26589</v>
      </c>
      <c r="F9657" t="s">
        <v>31362</v>
      </c>
      <c r="G9657" t="s">
        <v>31369</v>
      </c>
      <c r="H9657" t="s">
        <v>15799</v>
      </c>
      <c r="I9657" t="s">
        <v>3815</v>
      </c>
      <c r="J9657" t="s">
        <v>37402</v>
      </c>
      <c r="K9657" t="s">
        <v>40666</v>
      </c>
      <c r="L9657" t="s">
        <v>2146</v>
      </c>
      <c r="M9657" t="s">
        <v>43275</v>
      </c>
      <c r="N9657" t="s">
        <v>44905</v>
      </c>
      <c r="O9657" t="s">
        <v>44906</v>
      </c>
      <c r="P9657">
        <v>0</v>
      </c>
      <c r="Q9657">
        <v>2</v>
      </c>
      <c r="R9657" t="s">
        <v>44914</v>
      </c>
      <c r="S9657" t="s">
        <v>45202</v>
      </c>
      <c r="T9657" t="s">
        <v>46479</v>
      </c>
      <c r="U9657" t="s">
        <v>54701</v>
      </c>
      <c r="W9657" t="s">
        <v>60923</v>
      </c>
      <c r="X9657" t="s">
        <v>44916</v>
      </c>
    </row>
    <row r="9658" spans="1:24">
      <c r="A9658">
        <f>HYPERLINK("https://www.philgeps.gov.ph/GEPSNONPILOT/Tender/SplashBidNoticeAbstractUI.aspx?menuIndex=3&amp;refID=7067476&amp;Result=3","7067476")</f>
        <v>0</v>
      </c>
      <c r="B9658" t="s">
        <v>167</v>
      </c>
      <c r="C9658" t="s">
        <v>12724</v>
      </c>
      <c r="D9658" t="s">
        <v>18152</v>
      </c>
      <c r="E9658" t="s">
        <v>26590</v>
      </c>
      <c r="F9658" t="s">
        <v>31362</v>
      </c>
      <c r="G9658" t="s">
        <v>31369</v>
      </c>
      <c r="H9658" t="s">
        <v>15799</v>
      </c>
      <c r="I9658" t="s">
        <v>31404</v>
      </c>
      <c r="J9658" t="s">
        <v>37403</v>
      </c>
      <c r="K9658" t="s">
        <v>40670</v>
      </c>
      <c r="M9658" t="s">
        <v>41105</v>
      </c>
      <c r="N9658" t="s">
        <v>44905</v>
      </c>
      <c r="O9658" t="s">
        <v>44906</v>
      </c>
      <c r="P9658">
        <v>0</v>
      </c>
      <c r="Q9658">
        <v>0</v>
      </c>
      <c r="R9658" t="s">
        <v>44914</v>
      </c>
      <c r="S9658" t="s">
        <v>45202</v>
      </c>
      <c r="T9658" t="s">
        <v>46393</v>
      </c>
      <c r="U9658" t="s">
        <v>54702</v>
      </c>
      <c r="V9658" t="s">
        <v>60084</v>
      </c>
      <c r="W9658" t="s">
        <v>41105</v>
      </c>
      <c r="X9658" t="s">
        <v>44915</v>
      </c>
    </row>
    <row r="9659" spans="1:24">
      <c r="A9659">
        <f>HYPERLINK("https://www.philgeps.gov.ph/GEPSNONPILOT/Tender/SplashBidNoticeAbstractUI.aspx?menuIndex=3&amp;refID=7067594&amp;Result=3","7067594")</f>
        <v>0</v>
      </c>
      <c r="B9659" t="s">
        <v>2784</v>
      </c>
      <c r="C9659" t="s">
        <v>12725</v>
      </c>
      <c r="D9659" t="s">
        <v>18155</v>
      </c>
      <c r="E9659" t="s">
        <v>26591</v>
      </c>
      <c r="F9659" t="s">
        <v>31362</v>
      </c>
      <c r="G9659" t="s">
        <v>31369</v>
      </c>
      <c r="H9659" t="s">
        <v>31378</v>
      </c>
      <c r="I9659" t="s">
        <v>31386</v>
      </c>
      <c r="J9659" t="s">
        <v>37404</v>
      </c>
      <c r="K9659" t="s">
        <v>40662</v>
      </c>
      <c r="M9659" t="s">
        <v>43979</v>
      </c>
      <c r="N9659" t="s">
        <v>44905</v>
      </c>
      <c r="O9659" t="s">
        <v>44906</v>
      </c>
      <c r="P9659">
        <v>0</v>
      </c>
      <c r="Q9659">
        <v>0</v>
      </c>
      <c r="R9659" t="s">
        <v>44914</v>
      </c>
      <c r="S9659" t="s">
        <v>45202</v>
      </c>
      <c r="T9659" t="s">
        <v>46425</v>
      </c>
      <c r="U9659" t="s">
        <v>54703</v>
      </c>
      <c r="W9659" t="s">
        <v>43979</v>
      </c>
      <c r="X9659" t="s">
        <v>44915</v>
      </c>
    </row>
    <row r="9660" spans="1:24">
      <c r="A9660">
        <f>HYPERLINK("https://www.philgeps.gov.ph/GEPSNONPILOT/Tender/SplashBidNoticeAbstractUI.aspx?menuIndex=3&amp;refID=7067638&amp;Result=3","7067638")</f>
        <v>0</v>
      </c>
      <c r="B9660" t="s">
        <v>232</v>
      </c>
      <c r="C9660" t="s">
        <v>12726</v>
      </c>
      <c r="D9660" t="s">
        <v>18101</v>
      </c>
      <c r="E9660" t="s">
        <v>26592</v>
      </c>
      <c r="F9660" t="s">
        <v>31362</v>
      </c>
      <c r="G9660" t="s">
        <v>31372</v>
      </c>
      <c r="H9660" t="s">
        <v>31378</v>
      </c>
      <c r="I9660" t="s">
        <v>31386</v>
      </c>
      <c r="J9660" t="s">
        <v>37405</v>
      </c>
      <c r="K9660" t="s">
        <v>40675</v>
      </c>
      <c r="M9660" t="s">
        <v>41171</v>
      </c>
      <c r="N9660" t="s">
        <v>44905</v>
      </c>
      <c r="O9660" t="s">
        <v>44906</v>
      </c>
      <c r="P9660">
        <v>0</v>
      </c>
      <c r="Q9660">
        <v>0</v>
      </c>
      <c r="R9660" t="s">
        <v>44914</v>
      </c>
      <c r="S9660" t="s">
        <v>45202</v>
      </c>
      <c r="T9660" t="s">
        <v>46409</v>
      </c>
      <c r="U9660" t="s">
        <v>54704</v>
      </c>
      <c r="W9660" t="s">
        <v>41171</v>
      </c>
      <c r="X9660" t="s">
        <v>44915</v>
      </c>
    </row>
    <row r="9661" spans="1:24">
      <c r="A9661">
        <f>HYPERLINK("https://www.philgeps.gov.ph/GEPSNONPILOT/Tender/SplashBidNoticeAbstractUI.aspx?menuIndex=3&amp;refID=7067584&amp;Result=3","7067584")</f>
        <v>0</v>
      </c>
      <c r="B9661" t="s">
        <v>682</v>
      </c>
      <c r="C9661" t="s">
        <v>12727</v>
      </c>
      <c r="D9661" t="s">
        <v>18120</v>
      </c>
      <c r="E9661" t="s">
        <v>26593</v>
      </c>
      <c r="F9661" t="s">
        <v>31362</v>
      </c>
      <c r="G9661" t="s">
        <v>31369</v>
      </c>
      <c r="H9661" t="s">
        <v>31378</v>
      </c>
      <c r="I9661" t="s">
        <v>31386</v>
      </c>
      <c r="J9661" t="s">
        <v>37406</v>
      </c>
      <c r="K9661" t="s">
        <v>40694</v>
      </c>
      <c r="M9661" t="s">
        <v>41644</v>
      </c>
      <c r="N9661" t="s">
        <v>44905</v>
      </c>
      <c r="O9661" t="s">
        <v>44906</v>
      </c>
      <c r="P9661">
        <v>0</v>
      </c>
      <c r="Q9661">
        <v>0</v>
      </c>
      <c r="R9661" t="s">
        <v>44914</v>
      </c>
      <c r="S9661" t="s">
        <v>45202</v>
      </c>
      <c r="T9661" t="s">
        <v>46694</v>
      </c>
      <c r="U9661" t="s">
        <v>54705</v>
      </c>
      <c r="V9661" t="s">
        <v>60073</v>
      </c>
      <c r="W9661" t="s">
        <v>41644</v>
      </c>
      <c r="X9661" t="s">
        <v>44915</v>
      </c>
    </row>
    <row r="9662" spans="1:24">
      <c r="A9662">
        <f>HYPERLINK("https://www.philgeps.gov.ph/GEPSNONPILOT/Tender/SplashBidNoticeAbstractUI.aspx?menuIndex=3&amp;refID=7067576&amp;Result=3","7067576")</f>
        <v>0</v>
      </c>
      <c r="B9662" t="s">
        <v>2784</v>
      </c>
      <c r="C9662" t="s">
        <v>12728</v>
      </c>
      <c r="D9662" t="s">
        <v>18155</v>
      </c>
      <c r="E9662" t="s">
        <v>26594</v>
      </c>
      <c r="F9662" t="s">
        <v>31362</v>
      </c>
      <c r="G9662" t="s">
        <v>31369</v>
      </c>
      <c r="H9662" t="s">
        <v>31378</v>
      </c>
      <c r="I9662" t="s">
        <v>31386</v>
      </c>
      <c r="J9662" t="s">
        <v>37407</v>
      </c>
      <c r="K9662" t="s">
        <v>40662</v>
      </c>
      <c r="M9662" t="s">
        <v>43979</v>
      </c>
      <c r="N9662" t="s">
        <v>44905</v>
      </c>
      <c r="O9662" t="s">
        <v>44906</v>
      </c>
      <c r="P9662">
        <v>0</v>
      </c>
      <c r="Q9662">
        <v>0</v>
      </c>
      <c r="R9662" t="s">
        <v>44914</v>
      </c>
      <c r="S9662" t="s">
        <v>45202</v>
      </c>
      <c r="T9662" t="s">
        <v>46400</v>
      </c>
      <c r="U9662" t="s">
        <v>54706</v>
      </c>
      <c r="W9662" t="s">
        <v>43979</v>
      </c>
      <c r="X9662" t="s">
        <v>44915</v>
      </c>
    </row>
    <row r="9663" spans="1:24">
      <c r="A9663">
        <f>HYPERLINK("https://www.philgeps.gov.ph/GEPSNONPILOT/Tender/SplashBidNoticeAbstractUI.aspx?menuIndex=3&amp;refID=7067640&amp;Result=3","7067640")</f>
        <v>0</v>
      </c>
      <c r="B9663" t="s">
        <v>1846</v>
      </c>
      <c r="C9663" t="s">
        <v>12729</v>
      </c>
      <c r="D9663" t="s">
        <v>18127</v>
      </c>
      <c r="E9663" t="s">
        <v>26595</v>
      </c>
      <c r="F9663" t="s">
        <v>31362</v>
      </c>
      <c r="G9663" t="s">
        <v>31369</v>
      </c>
      <c r="H9663" t="s">
        <v>15799</v>
      </c>
      <c r="I9663" t="s">
        <v>31422</v>
      </c>
      <c r="J9663" t="s">
        <v>31536</v>
      </c>
      <c r="K9663" t="s">
        <v>40666</v>
      </c>
      <c r="M9663" t="s">
        <v>42934</v>
      </c>
      <c r="N9663" t="s">
        <v>44905</v>
      </c>
      <c r="O9663" t="s">
        <v>44906</v>
      </c>
      <c r="P9663">
        <v>0</v>
      </c>
      <c r="Q9663">
        <v>0</v>
      </c>
      <c r="R9663" t="s">
        <v>44914</v>
      </c>
      <c r="S9663" t="s">
        <v>45202</v>
      </c>
      <c r="T9663" t="s">
        <v>46396</v>
      </c>
      <c r="U9663" t="s">
        <v>54707</v>
      </c>
      <c r="W9663" t="s">
        <v>42934</v>
      </c>
      <c r="X9663" t="s">
        <v>44915</v>
      </c>
    </row>
    <row r="9664" spans="1:24">
      <c r="A9664">
        <f>HYPERLINK("https://www.philgeps.gov.ph/GEPSNONPILOT/Tender/SplashBidNoticeAbstractUI.aspx?menuIndex=3&amp;refID=7064480&amp;Result=3","7064480")</f>
        <v>0</v>
      </c>
      <c r="B9664" t="s">
        <v>105</v>
      </c>
      <c r="C9664" t="s">
        <v>12730</v>
      </c>
      <c r="D9664" t="s">
        <v>18110</v>
      </c>
      <c r="E9664" t="s">
        <v>26596</v>
      </c>
      <c r="F9664" t="s">
        <v>31362</v>
      </c>
      <c r="G9664" t="s">
        <v>31369</v>
      </c>
      <c r="H9664" t="s">
        <v>15799</v>
      </c>
      <c r="I9664" t="s">
        <v>31382</v>
      </c>
      <c r="J9664" t="s">
        <v>37408</v>
      </c>
      <c r="K9664" t="s">
        <v>40696</v>
      </c>
      <c r="M9664" t="s">
        <v>41042</v>
      </c>
      <c r="N9664" t="s">
        <v>44905</v>
      </c>
      <c r="O9664" t="s">
        <v>44906</v>
      </c>
      <c r="P9664">
        <v>0</v>
      </c>
      <c r="Q9664">
        <v>12</v>
      </c>
      <c r="R9664" t="s">
        <v>44914</v>
      </c>
      <c r="S9664" t="s">
        <v>45202</v>
      </c>
      <c r="T9664" t="s">
        <v>46490</v>
      </c>
      <c r="U9664" t="s">
        <v>54708</v>
      </c>
      <c r="W9664" t="s">
        <v>41042</v>
      </c>
      <c r="X9664" t="s">
        <v>44917</v>
      </c>
    </row>
    <row r="9665" spans="1:24">
      <c r="A9665">
        <f>HYPERLINK("https://www.philgeps.gov.ph/GEPSNONPILOT/Tender/SplashBidNoticeAbstractUI.aspx?menuIndex=3&amp;refID=7067580&amp;Result=3","7067580")</f>
        <v>0</v>
      </c>
      <c r="B9665" t="s">
        <v>590</v>
      </c>
      <c r="C9665" t="s">
        <v>12731</v>
      </c>
      <c r="D9665" t="s">
        <v>18162</v>
      </c>
      <c r="E9665" t="s">
        <v>26597</v>
      </c>
      <c r="F9665" t="s">
        <v>31362</v>
      </c>
      <c r="G9665" t="s">
        <v>31369</v>
      </c>
      <c r="H9665" t="s">
        <v>31378</v>
      </c>
      <c r="I9665" t="s">
        <v>31386</v>
      </c>
      <c r="J9665" t="s">
        <v>37409</v>
      </c>
      <c r="K9665" t="s">
        <v>40662</v>
      </c>
      <c r="M9665" t="s">
        <v>41547</v>
      </c>
      <c r="N9665" t="s">
        <v>44905</v>
      </c>
      <c r="O9665" t="s">
        <v>44906</v>
      </c>
      <c r="P9665">
        <v>0</v>
      </c>
      <c r="Q9665">
        <v>0</v>
      </c>
      <c r="R9665" t="s">
        <v>44914</v>
      </c>
      <c r="S9665" t="s">
        <v>45202</v>
      </c>
      <c r="T9665" t="s">
        <v>46671</v>
      </c>
      <c r="U9665" t="s">
        <v>54709</v>
      </c>
      <c r="W9665" t="s">
        <v>41547</v>
      </c>
      <c r="X9665" t="s">
        <v>44915</v>
      </c>
    </row>
    <row r="9666" spans="1:24">
      <c r="A9666">
        <f>HYPERLINK("https://www.philgeps.gov.ph/GEPSNONPILOT/Tender/SplashBidNoticeAbstractUI.aspx?menuIndex=3&amp;refID=7067714&amp;Result=3","7067714")</f>
        <v>0</v>
      </c>
      <c r="B9666" t="s">
        <v>2065</v>
      </c>
      <c r="C9666" t="s">
        <v>12732</v>
      </c>
      <c r="D9666" t="s">
        <v>18105</v>
      </c>
      <c r="E9666" t="s">
        <v>21404</v>
      </c>
      <c r="F9666" t="s">
        <v>31362</v>
      </c>
      <c r="G9666" t="s">
        <v>31369</v>
      </c>
      <c r="H9666" t="s">
        <v>15799</v>
      </c>
      <c r="I9666" t="s">
        <v>31397</v>
      </c>
      <c r="J9666" t="s">
        <v>31606</v>
      </c>
      <c r="K9666" t="s">
        <v>40682</v>
      </c>
      <c r="M9666" t="s">
        <v>43187</v>
      </c>
      <c r="N9666" t="s">
        <v>44905</v>
      </c>
      <c r="O9666" t="s">
        <v>44906</v>
      </c>
      <c r="P9666">
        <v>0</v>
      </c>
      <c r="Q9666">
        <v>3</v>
      </c>
      <c r="R9666" t="s">
        <v>44914</v>
      </c>
      <c r="S9666" t="s">
        <v>45202</v>
      </c>
      <c r="T9666" t="s">
        <v>46519</v>
      </c>
      <c r="U9666" t="s">
        <v>54710</v>
      </c>
      <c r="W9666" t="s">
        <v>43187</v>
      </c>
      <c r="X9666" t="s">
        <v>44915</v>
      </c>
    </row>
    <row r="9667" spans="1:24">
      <c r="A9667">
        <f>HYPERLINK("https://www.philgeps.gov.ph/GEPSNONPILOT/Tender/SplashBidNoticeAbstractUI.aspx?menuIndex=3&amp;refID=7067593&amp;Result=3","7067593")</f>
        <v>0</v>
      </c>
      <c r="B9667" t="s">
        <v>559</v>
      </c>
      <c r="C9667" t="s">
        <v>12733</v>
      </c>
      <c r="D9667" t="s">
        <v>18139</v>
      </c>
      <c r="E9667" t="s">
        <v>26598</v>
      </c>
      <c r="F9667" t="s">
        <v>31362</v>
      </c>
      <c r="G9667" t="s">
        <v>31369</v>
      </c>
      <c r="H9667" t="s">
        <v>31378</v>
      </c>
      <c r="I9667" t="s">
        <v>31386</v>
      </c>
      <c r="J9667" t="s">
        <v>37410</v>
      </c>
      <c r="K9667" t="s">
        <v>40682</v>
      </c>
      <c r="M9667" t="s">
        <v>41515</v>
      </c>
      <c r="N9667" t="s">
        <v>44905</v>
      </c>
      <c r="O9667" t="s">
        <v>44906</v>
      </c>
      <c r="P9667">
        <v>0</v>
      </c>
      <c r="Q9667">
        <v>2</v>
      </c>
      <c r="R9667" t="s">
        <v>44914</v>
      </c>
      <c r="S9667" t="s">
        <v>45202</v>
      </c>
      <c r="T9667" t="s">
        <v>46504</v>
      </c>
      <c r="U9667" t="s">
        <v>47999</v>
      </c>
      <c r="V9667" t="s">
        <v>59206</v>
      </c>
      <c r="W9667" t="s">
        <v>41515</v>
      </c>
      <c r="X9667" t="s">
        <v>44915</v>
      </c>
    </row>
    <row r="9668" spans="1:24">
      <c r="A9668">
        <f>HYPERLINK("https://www.philgeps.gov.ph/GEPSNONPILOT/Tender/SplashBidNoticeAbstractUI.aspx?menuIndex=3&amp;refID=7067624&amp;Result=3","7067624")</f>
        <v>0</v>
      </c>
      <c r="B9668" t="s">
        <v>682</v>
      </c>
      <c r="C9668" t="s">
        <v>12734</v>
      </c>
      <c r="D9668" t="s">
        <v>18120</v>
      </c>
      <c r="E9668" t="s">
        <v>26599</v>
      </c>
      <c r="F9668" t="s">
        <v>31362</v>
      </c>
      <c r="G9668" t="s">
        <v>31369</v>
      </c>
      <c r="H9668" t="s">
        <v>15799</v>
      </c>
      <c r="I9668" t="s">
        <v>31427</v>
      </c>
      <c r="J9668" t="s">
        <v>37411</v>
      </c>
      <c r="K9668" t="s">
        <v>40661</v>
      </c>
      <c r="M9668" t="s">
        <v>41644</v>
      </c>
      <c r="N9668" t="s">
        <v>44905</v>
      </c>
      <c r="O9668" t="s">
        <v>44906</v>
      </c>
      <c r="P9668">
        <v>0</v>
      </c>
      <c r="Q9668">
        <v>3</v>
      </c>
      <c r="R9668" t="s">
        <v>44914</v>
      </c>
      <c r="S9668" t="s">
        <v>45202</v>
      </c>
      <c r="T9668" t="s">
        <v>46694</v>
      </c>
      <c r="U9668" t="s">
        <v>54711</v>
      </c>
      <c r="V9668" t="s">
        <v>60076</v>
      </c>
      <c r="W9668" t="s">
        <v>41644</v>
      </c>
      <c r="X9668" t="s">
        <v>44915</v>
      </c>
    </row>
    <row r="9669" spans="1:24">
      <c r="A9669">
        <f>HYPERLINK("https://www.philgeps.gov.ph/GEPSNONPILOT/Tender/SplashBidNoticeAbstractUI.aspx?menuIndex=3&amp;refID=7067710&amp;Result=3","7067710")</f>
        <v>0</v>
      </c>
      <c r="B9669" t="s">
        <v>2427</v>
      </c>
      <c r="C9669" t="s">
        <v>12735</v>
      </c>
      <c r="D9669" t="s">
        <v>18100</v>
      </c>
      <c r="E9669" t="s">
        <v>25431</v>
      </c>
      <c r="F9669" t="s">
        <v>31362</v>
      </c>
      <c r="G9669" t="s">
        <v>31369</v>
      </c>
      <c r="H9669" t="s">
        <v>15799</v>
      </c>
      <c r="I9669" t="s">
        <v>7090</v>
      </c>
      <c r="J9669" t="s">
        <v>37412</v>
      </c>
      <c r="K9669" t="s">
        <v>40736</v>
      </c>
      <c r="M9669" t="s">
        <v>43584</v>
      </c>
      <c r="N9669" t="s">
        <v>44905</v>
      </c>
      <c r="O9669" t="s">
        <v>44906</v>
      </c>
      <c r="P9669">
        <v>0</v>
      </c>
      <c r="Q9669">
        <v>0</v>
      </c>
      <c r="R9669" t="s">
        <v>44914</v>
      </c>
      <c r="S9669" t="s">
        <v>45202</v>
      </c>
      <c r="T9669" t="s">
        <v>46569</v>
      </c>
      <c r="U9669" t="s">
        <v>54712</v>
      </c>
      <c r="W9669" t="s">
        <v>43584</v>
      </c>
      <c r="X9669" t="s">
        <v>44915</v>
      </c>
    </row>
    <row r="9670" spans="1:24">
      <c r="A9670">
        <f>HYPERLINK("https://www.philgeps.gov.ph/GEPSNONPILOT/Tender/SplashBidNoticeAbstractUI.aspx?menuIndex=3&amp;refID=7067690&amp;Result=3","7067690")</f>
        <v>0</v>
      </c>
      <c r="B9670" t="s">
        <v>2784</v>
      </c>
      <c r="C9670" t="s">
        <v>12736</v>
      </c>
      <c r="D9670" t="s">
        <v>18155</v>
      </c>
      <c r="E9670" t="s">
        <v>26600</v>
      </c>
      <c r="F9670" t="s">
        <v>31362</v>
      </c>
      <c r="G9670" t="s">
        <v>31369</v>
      </c>
      <c r="H9670" t="s">
        <v>31378</v>
      </c>
      <c r="I9670" t="s">
        <v>31386</v>
      </c>
      <c r="J9670" t="s">
        <v>37413</v>
      </c>
      <c r="K9670" t="s">
        <v>40662</v>
      </c>
      <c r="M9670" t="s">
        <v>43979</v>
      </c>
      <c r="N9670" t="s">
        <v>44905</v>
      </c>
      <c r="O9670" t="s">
        <v>44906</v>
      </c>
      <c r="P9670">
        <v>0</v>
      </c>
      <c r="Q9670">
        <v>0</v>
      </c>
      <c r="R9670" t="s">
        <v>44914</v>
      </c>
      <c r="S9670" t="s">
        <v>45202</v>
      </c>
      <c r="T9670" t="s">
        <v>46425</v>
      </c>
      <c r="U9670" t="s">
        <v>54713</v>
      </c>
      <c r="W9670" t="s">
        <v>43979</v>
      </c>
      <c r="X9670" t="s">
        <v>44915</v>
      </c>
    </row>
    <row r="9671" spans="1:24">
      <c r="A9671">
        <f>HYPERLINK("https://www.philgeps.gov.ph/GEPSNONPILOT/Tender/SplashBidNoticeAbstractUI.aspx?menuIndex=3&amp;refID=7067685&amp;Result=3","7067685")</f>
        <v>0</v>
      </c>
      <c r="B9671" t="s">
        <v>1002</v>
      </c>
      <c r="C9671" t="s">
        <v>12737</v>
      </c>
      <c r="E9671" t="s">
        <v>26601</v>
      </c>
      <c r="F9671" t="s">
        <v>31362</v>
      </c>
      <c r="G9671" t="s">
        <v>31368</v>
      </c>
      <c r="H9671" t="s">
        <v>15799</v>
      </c>
      <c r="I9671" t="s">
        <v>31380</v>
      </c>
      <c r="J9671" t="s">
        <v>32757</v>
      </c>
      <c r="K9671" t="s">
        <v>40665</v>
      </c>
      <c r="M9671" t="s">
        <v>43978</v>
      </c>
      <c r="N9671" t="s">
        <v>44905</v>
      </c>
      <c r="O9671" t="s">
        <v>44906</v>
      </c>
      <c r="P9671">
        <v>0</v>
      </c>
      <c r="Q9671">
        <v>1</v>
      </c>
      <c r="R9671" t="s">
        <v>44914</v>
      </c>
      <c r="S9671" t="s">
        <v>45202</v>
      </c>
      <c r="T9671" t="s">
        <v>46443</v>
      </c>
      <c r="U9671" t="s">
        <v>54714</v>
      </c>
      <c r="W9671" t="s">
        <v>60940</v>
      </c>
      <c r="X9671" t="s">
        <v>44915</v>
      </c>
    </row>
    <row r="9672" spans="1:24">
      <c r="A9672">
        <f>HYPERLINK("https://www.philgeps.gov.ph/GEPSNONPILOT/Tender/SplashBidNoticeAbstractUI.aspx?menuIndex=3&amp;refID=7067698&amp;Result=3","7067698")</f>
        <v>0</v>
      </c>
      <c r="B9672" t="s">
        <v>590</v>
      </c>
      <c r="C9672" t="s">
        <v>12738</v>
      </c>
      <c r="D9672" t="s">
        <v>18162</v>
      </c>
      <c r="E9672" t="s">
        <v>26602</v>
      </c>
      <c r="F9672" t="s">
        <v>31362</v>
      </c>
      <c r="G9672" t="s">
        <v>31369</v>
      </c>
      <c r="H9672" t="s">
        <v>31378</v>
      </c>
      <c r="I9672" t="s">
        <v>31386</v>
      </c>
      <c r="J9672" t="s">
        <v>37409</v>
      </c>
      <c r="K9672" t="s">
        <v>40662</v>
      </c>
      <c r="M9672" t="s">
        <v>41547</v>
      </c>
      <c r="N9672" t="s">
        <v>44905</v>
      </c>
      <c r="O9672" t="s">
        <v>44906</v>
      </c>
      <c r="P9672">
        <v>0</v>
      </c>
      <c r="Q9672">
        <v>0</v>
      </c>
      <c r="R9672" t="s">
        <v>44914</v>
      </c>
      <c r="S9672" t="s">
        <v>45202</v>
      </c>
      <c r="T9672" t="s">
        <v>46671</v>
      </c>
      <c r="U9672" t="s">
        <v>54715</v>
      </c>
      <c r="W9672" t="s">
        <v>41547</v>
      </c>
      <c r="X9672" t="s">
        <v>44915</v>
      </c>
    </row>
    <row r="9673" spans="1:24">
      <c r="A9673">
        <f>HYPERLINK("https://www.philgeps.gov.ph/GEPSNONPILOT/Tender/SplashBidNoticeAbstractUI.aspx?menuIndex=3&amp;refID=7067479&amp;Result=3","7067479")</f>
        <v>0</v>
      </c>
      <c r="B9673" t="s">
        <v>590</v>
      </c>
      <c r="C9673" t="s">
        <v>12739</v>
      </c>
      <c r="D9673" t="s">
        <v>18162</v>
      </c>
      <c r="E9673" t="s">
        <v>26603</v>
      </c>
      <c r="F9673" t="s">
        <v>31362</v>
      </c>
      <c r="G9673" t="s">
        <v>31369</v>
      </c>
      <c r="H9673" t="s">
        <v>15799</v>
      </c>
      <c r="I9673" t="s">
        <v>31422</v>
      </c>
      <c r="J9673" t="s">
        <v>37414</v>
      </c>
      <c r="K9673" t="s">
        <v>40662</v>
      </c>
      <c r="M9673" t="s">
        <v>41547</v>
      </c>
      <c r="N9673" t="s">
        <v>44905</v>
      </c>
      <c r="O9673" t="s">
        <v>44906</v>
      </c>
      <c r="P9673">
        <v>0</v>
      </c>
      <c r="Q9673">
        <v>0</v>
      </c>
      <c r="R9673" t="s">
        <v>44914</v>
      </c>
      <c r="S9673" t="s">
        <v>45202</v>
      </c>
      <c r="T9673" t="s">
        <v>46411</v>
      </c>
      <c r="U9673" t="s">
        <v>54716</v>
      </c>
      <c r="W9673" t="s">
        <v>41547</v>
      </c>
      <c r="X9673" t="s">
        <v>44915</v>
      </c>
    </row>
    <row r="9674" spans="1:24">
      <c r="A9674">
        <f>HYPERLINK("https://www.philgeps.gov.ph/GEPSNONPILOT/Tender/SplashBidNoticeAbstractUI.aspx?menuIndex=3&amp;refID=7067675&amp;Result=3","7067675")</f>
        <v>0</v>
      </c>
      <c r="B9674" t="s">
        <v>2427</v>
      </c>
      <c r="C9674" t="s">
        <v>12740</v>
      </c>
      <c r="D9674" t="s">
        <v>18100</v>
      </c>
      <c r="E9674" t="s">
        <v>19198</v>
      </c>
      <c r="F9674" t="s">
        <v>31362</v>
      </c>
      <c r="G9674" t="s">
        <v>31369</v>
      </c>
      <c r="H9674" t="s">
        <v>15799</v>
      </c>
      <c r="I9674" t="s">
        <v>7090</v>
      </c>
      <c r="J9674" t="s">
        <v>31921</v>
      </c>
      <c r="K9674" t="s">
        <v>40736</v>
      </c>
      <c r="M9674" t="s">
        <v>43584</v>
      </c>
      <c r="N9674" t="s">
        <v>44905</v>
      </c>
      <c r="O9674" t="s">
        <v>44906</v>
      </c>
      <c r="P9674">
        <v>0</v>
      </c>
      <c r="Q9674">
        <v>0</v>
      </c>
      <c r="R9674" t="s">
        <v>44914</v>
      </c>
      <c r="S9674" t="s">
        <v>45202</v>
      </c>
      <c r="T9674" t="s">
        <v>46462</v>
      </c>
      <c r="U9674" t="s">
        <v>54717</v>
      </c>
      <c r="W9674" t="s">
        <v>43584</v>
      </c>
      <c r="X9674" t="s">
        <v>44915</v>
      </c>
    </row>
    <row r="9675" spans="1:24">
      <c r="A9675">
        <f>HYPERLINK("https://www.philgeps.gov.ph/GEPSNONPILOT/Tender/SplashBidNoticeAbstractUI.aspx?menuIndex=3&amp;refID=7067671&amp;Result=3","7067671")</f>
        <v>0</v>
      </c>
      <c r="B9675" t="s">
        <v>1152</v>
      </c>
      <c r="C9675" t="s">
        <v>12741</v>
      </c>
      <c r="D9675" t="s">
        <v>18138</v>
      </c>
      <c r="E9675" t="s">
        <v>26604</v>
      </c>
      <c r="F9675" t="s">
        <v>31362</v>
      </c>
      <c r="G9675" t="s">
        <v>31369</v>
      </c>
      <c r="H9675" t="s">
        <v>15799</v>
      </c>
      <c r="I9675" t="s">
        <v>31409</v>
      </c>
      <c r="J9675" t="s">
        <v>34763</v>
      </c>
      <c r="K9675" t="s">
        <v>40680</v>
      </c>
      <c r="M9675" t="s">
        <v>42161</v>
      </c>
      <c r="N9675" t="s">
        <v>44905</v>
      </c>
      <c r="O9675" t="s">
        <v>44906</v>
      </c>
      <c r="P9675">
        <v>0</v>
      </c>
      <c r="Q9675">
        <v>5</v>
      </c>
      <c r="R9675" t="s">
        <v>44914</v>
      </c>
      <c r="S9675" t="s">
        <v>45202</v>
      </c>
      <c r="T9675" t="s">
        <v>46486</v>
      </c>
      <c r="U9675" t="s">
        <v>54718</v>
      </c>
      <c r="V9675" t="s">
        <v>59384</v>
      </c>
      <c r="W9675" t="s">
        <v>42161</v>
      </c>
      <c r="X9675" t="s">
        <v>44915</v>
      </c>
    </row>
    <row r="9676" spans="1:24">
      <c r="A9676">
        <f>HYPERLINK("https://www.philgeps.gov.ph/GEPSNONPILOT/Tender/SplashBidNoticeAbstractUI.aspx?menuIndex=3&amp;refID=7067668&amp;Result=3","7067668")</f>
        <v>0</v>
      </c>
      <c r="B9676" t="s">
        <v>2309</v>
      </c>
      <c r="C9676" t="s">
        <v>12742</v>
      </c>
      <c r="D9676" t="s">
        <v>18172</v>
      </c>
      <c r="E9676" t="s">
        <v>24475</v>
      </c>
      <c r="F9676" t="s">
        <v>31362</v>
      </c>
      <c r="G9676" t="s">
        <v>31369</v>
      </c>
      <c r="H9676" t="s">
        <v>15799</v>
      </c>
      <c r="I9676" t="s">
        <v>3815</v>
      </c>
      <c r="J9676" t="s">
        <v>37415</v>
      </c>
      <c r="K9676" t="s">
        <v>40681</v>
      </c>
      <c r="M9676" t="s">
        <v>43449</v>
      </c>
      <c r="N9676" t="s">
        <v>44905</v>
      </c>
      <c r="O9676" t="s">
        <v>44906</v>
      </c>
      <c r="P9676">
        <v>0</v>
      </c>
      <c r="Q9676">
        <v>0</v>
      </c>
      <c r="R9676" t="s">
        <v>44914</v>
      </c>
      <c r="S9676" t="s">
        <v>45202</v>
      </c>
      <c r="T9676" t="s">
        <v>46434</v>
      </c>
      <c r="U9676" t="s">
        <v>54719</v>
      </c>
      <c r="W9676" t="s">
        <v>43449</v>
      </c>
      <c r="X9676" t="s">
        <v>44915</v>
      </c>
    </row>
    <row r="9677" spans="1:24">
      <c r="A9677">
        <f>HYPERLINK("https://www.philgeps.gov.ph/GEPSNONPILOT/Tender/SplashBidNoticeAbstractUI.aspx?menuIndex=3&amp;refID=7067653&amp;Result=3","7067653")</f>
        <v>0</v>
      </c>
      <c r="B9677" t="s">
        <v>2350</v>
      </c>
      <c r="C9677" t="s">
        <v>12743</v>
      </c>
      <c r="D9677" t="s">
        <v>18136</v>
      </c>
      <c r="E9677" t="s">
        <v>26605</v>
      </c>
      <c r="F9677" t="s">
        <v>31362</v>
      </c>
      <c r="G9677" t="s">
        <v>31369</v>
      </c>
      <c r="H9677" t="s">
        <v>15799</v>
      </c>
      <c r="I9677" t="s">
        <v>31404</v>
      </c>
      <c r="J9677" t="s">
        <v>37416</v>
      </c>
      <c r="K9677" t="s">
        <v>40697</v>
      </c>
      <c r="M9677" t="s">
        <v>43495</v>
      </c>
      <c r="N9677" t="s">
        <v>44905</v>
      </c>
      <c r="O9677" t="s">
        <v>44906</v>
      </c>
      <c r="P9677">
        <v>0</v>
      </c>
      <c r="Q9677">
        <v>0</v>
      </c>
      <c r="R9677" t="s">
        <v>44914</v>
      </c>
      <c r="S9677" t="s">
        <v>45202</v>
      </c>
      <c r="T9677" t="s">
        <v>46409</v>
      </c>
      <c r="U9677" t="s">
        <v>54720</v>
      </c>
      <c r="W9677" t="s">
        <v>43495</v>
      </c>
      <c r="X9677" t="s">
        <v>44915</v>
      </c>
    </row>
    <row r="9678" spans="1:24">
      <c r="A9678">
        <f>HYPERLINK("https://www.philgeps.gov.ph/GEPSNONPILOT/Tender/SplashBidNoticeAbstractUI.aspx?menuIndex=3&amp;refID=7067650&amp;Result=3","7067650")</f>
        <v>0</v>
      </c>
      <c r="B9678" t="s">
        <v>232</v>
      </c>
      <c r="C9678" t="s">
        <v>12744</v>
      </c>
      <c r="D9678" t="s">
        <v>18101</v>
      </c>
      <c r="E9678" t="s">
        <v>26606</v>
      </c>
      <c r="F9678" t="s">
        <v>31362</v>
      </c>
      <c r="G9678" t="s">
        <v>31372</v>
      </c>
      <c r="H9678" t="s">
        <v>31378</v>
      </c>
      <c r="I9678" t="s">
        <v>31386</v>
      </c>
      <c r="J9678" t="s">
        <v>37417</v>
      </c>
      <c r="K9678" t="s">
        <v>40665</v>
      </c>
      <c r="M9678" t="s">
        <v>41171</v>
      </c>
      <c r="N9678" t="s">
        <v>44905</v>
      </c>
      <c r="O9678" t="s">
        <v>44906</v>
      </c>
      <c r="P9678">
        <v>0</v>
      </c>
      <c r="Q9678">
        <v>0</v>
      </c>
      <c r="R9678" t="s">
        <v>44914</v>
      </c>
      <c r="S9678" t="s">
        <v>45202</v>
      </c>
      <c r="T9678" t="s">
        <v>46409</v>
      </c>
      <c r="U9678" t="s">
        <v>54721</v>
      </c>
      <c r="W9678" t="s">
        <v>41171</v>
      </c>
      <c r="X9678" t="s">
        <v>44915</v>
      </c>
    </row>
    <row r="9679" spans="1:24">
      <c r="A9679">
        <f>HYPERLINK("https://www.philgeps.gov.ph/GEPSNONPILOT/Tender/SplashBidNoticeAbstractUI.aspx?menuIndex=3&amp;refID=7067649&amp;Result=3","7067649")</f>
        <v>0</v>
      </c>
      <c r="B9679" t="s">
        <v>590</v>
      </c>
      <c r="C9679" t="s">
        <v>12745</v>
      </c>
      <c r="D9679" t="s">
        <v>18162</v>
      </c>
      <c r="E9679" t="s">
        <v>26607</v>
      </c>
      <c r="F9679" t="s">
        <v>31362</v>
      </c>
      <c r="G9679" t="s">
        <v>31369</v>
      </c>
      <c r="H9679" t="s">
        <v>31378</v>
      </c>
      <c r="I9679" t="s">
        <v>31386</v>
      </c>
      <c r="J9679" t="s">
        <v>37418</v>
      </c>
      <c r="K9679" t="s">
        <v>40662</v>
      </c>
      <c r="M9679" t="s">
        <v>41547</v>
      </c>
      <c r="N9679" t="s">
        <v>44905</v>
      </c>
      <c r="O9679" t="s">
        <v>44906</v>
      </c>
      <c r="P9679">
        <v>0</v>
      </c>
      <c r="Q9679">
        <v>0</v>
      </c>
      <c r="R9679" t="s">
        <v>44914</v>
      </c>
      <c r="S9679" t="s">
        <v>45202</v>
      </c>
      <c r="T9679" t="s">
        <v>46671</v>
      </c>
      <c r="U9679" t="s">
        <v>54722</v>
      </c>
      <c r="W9679" t="s">
        <v>41547</v>
      </c>
      <c r="X9679" t="s">
        <v>44915</v>
      </c>
    </row>
    <row r="9680" spans="1:24">
      <c r="A9680">
        <f>HYPERLINK("https://www.philgeps.gov.ph/GEPSNONPILOT/Tender/SplashBidNoticeAbstractUI.aspx?menuIndex=3&amp;refID=7067693&amp;Result=3","7067693")</f>
        <v>0</v>
      </c>
      <c r="B9680" t="s">
        <v>682</v>
      </c>
      <c r="C9680" t="s">
        <v>12746</v>
      </c>
      <c r="D9680" t="s">
        <v>18120</v>
      </c>
      <c r="E9680" t="s">
        <v>26608</v>
      </c>
      <c r="F9680" t="s">
        <v>31362</v>
      </c>
      <c r="G9680" t="s">
        <v>31369</v>
      </c>
      <c r="H9680" t="s">
        <v>31378</v>
      </c>
      <c r="I9680" t="s">
        <v>31386</v>
      </c>
      <c r="J9680" t="s">
        <v>37419</v>
      </c>
      <c r="K9680" t="s">
        <v>40679</v>
      </c>
      <c r="M9680" t="s">
        <v>41644</v>
      </c>
      <c r="N9680" t="s">
        <v>44905</v>
      </c>
      <c r="O9680" t="s">
        <v>44906</v>
      </c>
      <c r="P9680">
        <v>0</v>
      </c>
      <c r="Q9680">
        <v>0</v>
      </c>
      <c r="R9680" t="s">
        <v>44914</v>
      </c>
      <c r="S9680" t="s">
        <v>45202</v>
      </c>
      <c r="T9680" t="s">
        <v>46694</v>
      </c>
      <c r="U9680" t="s">
        <v>54723</v>
      </c>
      <c r="V9680" t="s">
        <v>60077</v>
      </c>
      <c r="W9680" t="s">
        <v>41644</v>
      </c>
      <c r="X9680" t="s">
        <v>44915</v>
      </c>
    </row>
    <row r="9681" spans="1:24">
      <c r="A9681">
        <f>HYPERLINK("https://www.philgeps.gov.ph/GEPSNONPILOT/Tender/SplashBidNoticeAbstractUI.aspx?menuIndex=3&amp;refID=7067645&amp;Result=3","7067645")</f>
        <v>0</v>
      </c>
      <c r="B9681" t="s">
        <v>2427</v>
      </c>
      <c r="C9681" t="s">
        <v>12747</v>
      </c>
      <c r="D9681" t="s">
        <v>18100</v>
      </c>
      <c r="E9681" t="s">
        <v>19096</v>
      </c>
      <c r="F9681" t="s">
        <v>31362</v>
      </c>
      <c r="G9681" t="s">
        <v>31369</v>
      </c>
      <c r="H9681" t="s">
        <v>15799</v>
      </c>
      <c r="I9681" t="s">
        <v>7090</v>
      </c>
      <c r="J9681" t="s">
        <v>37420</v>
      </c>
      <c r="K9681" t="s">
        <v>40736</v>
      </c>
      <c r="M9681" t="s">
        <v>43584</v>
      </c>
      <c r="N9681" t="s">
        <v>44905</v>
      </c>
      <c r="O9681" t="s">
        <v>44906</v>
      </c>
      <c r="P9681">
        <v>0</v>
      </c>
      <c r="Q9681">
        <v>0</v>
      </c>
      <c r="R9681" t="s">
        <v>44914</v>
      </c>
      <c r="S9681" t="s">
        <v>45202</v>
      </c>
      <c r="T9681" t="s">
        <v>46462</v>
      </c>
      <c r="U9681" t="s">
        <v>54724</v>
      </c>
      <c r="W9681" t="s">
        <v>43584</v>
      </c>
      <c r="X9681" t="s">
        <v>44915</v>
      </c>
    </row>
    <row r="9682" spans="1:24">
      <c r="A9682">
        <f>HYPERLINK("https://www.philgeps.gov.ph/GEPSNONPILOT/Tender/SplashBidNoticeAbstractUI.aspx?menuIndex=3&amp;refID=7067644&amp;Result=3","7067644")</f>
        <v>0</v>
      </c>
      <c r="B9682" t="s">
        <v>2784</v>
      </c>
      <c r="C9682" t="s">
        <v>12748</v>
      </c>
      <c r="D9682" t="s">
        <v>18155</v>
      </c>
      <c r="E9682" t="s">
        <v>26609</v>
      </c>
      <c r="F9682" t="s">
        <v>31362</v>
      </c>
      <c r="G9682" t="s">
        <v>31369</v>
      </c>
      <c r="H9682" t="s">
        <v>31378</v>
      </c>
      <c r="I9682" t="s">
        <v>31386</v>
      </c>
      <c r="J9682" t="s">
        <v>37421</v>
      </c>
      <c r="K9682" t="s">
        <v>40662</v>
      </c>
      <c r="M9682" t="s">
        <v>43979</v>
      </c>
      <c r="N9682" t="s">
        <v>44905</v>
      </c>
      <c r="O9682" t="s">
        <v>44906</v>
      </c>
      <c r="P9682">
        <v>0</v>
      </c>
      <c r="Q9682">
        <v>0</v>
      </c>
      <c r="R9682" t="s">
        <v>44914</v>
      </c>
      <c r="S9682" t="s">
        <v>45202</v>
      </c>
      <c r="T9682" t="s">
        <v>46425</v>
      </c>
      <c r="U9682" t="s">
        <v>54725</v>
      </c>
      <c r="W9682" t="s">
        <v>43979</v>
      </c>
      <c r="X9682" t="s">
        <v>44915</v>
      </c>
    </row>
    <row r="9683" spans="1:24">
      <c r="A9683">
        <f>HYPERLINK("https://www.philgeps.gov.ph/GEPSNONPILOT/Tender/SplashBidNoticeAbstractUI.aspx?menuIndex=3&amp;refID=7067641&amp;Result=3","7067641")</f>
        <v>0</v>
      </c>
      <c r="B9683" t="s">
        <v>682</v>
      </c>
      <c r="C9683" t="s">
        <v>12749</v>
      </c>
      <c r="D9683" t="s">
        <v>18120</v>
      </c>
      <c r="E9683" t="s">
        <v>26610</v>
      </c>
      <c r="F9683" t="s">
        <v>31362</v>
      </c>
      <c r="G9683" t="s">
        <v>31369</v>
      </c>
      <c r="H9683" t="s">
        <v>31378</v>
      </c>
      <c r="I9683" t="s">
        <v>31386</v>
      </c>
      <c r="J9683" t="s">
        <v>37422</v>
      </c>
      <c r="K9683" t="s">
        <v>40694</v>
      </c>
      <c r="M9683" t="s">
        <v>41644</v>
      </c>
      <c r="N9683" t="s">
        <v>44905</v>
      </c>
      <c r="O9683" t="s">
        <v>44906</v>
      </c>
      <c r="P9683">
        <v>0</v>
      </c>
      <c r="Q9683">
        <v>0</v>
      </c>
      <c r="R9683" t="s">
        <v>44914</v>
      </c>
      <c r="S9683" t="s">
        <v>45202</v>
      </c>
      <c r="T9683" t="s">
        <v>46694</v>
      </c>
      <c r="U9683" t="s">
        <v>54726</v>
      </c>
      <c r="V9683" t="s">
        <v>60077</v>
      </c>
      <c r="W9683" t="s">
        <v>41644</v>
      </c>
      <c r="X9683" t="s">
        <v>44915</v>
      </c>
    </row>
    <row r="9684" spans="1:24">
      <c r="A9684">
        <f>HYPERLINK("https://www.philgeps.gov.ph/GEPSNONPILOT/Tender/SplashBidNoticeAbstractUI.aspx?menuIndex=3&amp;refID=7067565&amp;Result=3","7067565")</f>
        <v>0</v>
      </c>
      <c r="B9684" t="s">
        <v>1846</v>
      </c>
      <c r="C9684" t="s">
        <v>12750</v>
      </c>
      <c r="D9684" t="s">
        <v>18127</v>
      </c>
      <c r="E9684" t="s">
        <v>26611</v>
      </c>
      <c r="F9684" t="s">
        <v>31362</v>
      </c>
      <c r="G9684" t="s">
        <v>31369</v>
      </c>
      <c r="H9684" t="s">
        <v>15799</v>
      </c>
      <c r="I9684" t="s">
        <v>7188</v>
      </c>
      <c r="J9684" t="s">
        <v>31577</v>
      </c>
      <c r="K9684" t="s">
        <v>40666</v>
      </c>
      <c r="M9684" t="s">
        <v>42934</v>
      </c>
      <c r="N9684" t="s">
        <v>44905</v>
      </c>
      <c r="O9684" t="s">
        <v>44906</v>
      </c>
      <c r="P9684">
        <v>0</v>
      </c>
      <c r="Q9684">
        <v>3</v>
      </c>
      <c r="R9684" t="s">
        <v>44914</v>
      </c>
      <c r="S9684" t="s">
        <v>45202</v>
      </c>
      <c r="T9684" t="s">
        <v>46396</v>
      </c>
      <c r="U9684" t="s">
        <v>54727</v>
      </c>
      <c r="W9684" t="s">
        <v>42934</v>
      </c>
      <c r="X9684" t="s">
        <v>44915</v>
      </c>
    </row>
    <row r="9685" spans="1:24">
      <c r="A9685">
        <f>HYPERLINK("https://www.philgeps.gov.ph/GEPSNONPILOT/Tender/SplashBidNoticeAbstractUI.aspx?menuIndex=3&amp;refID=7067558&amp;Result=3","7067558")</f>
        <v>0</v>
      </c>
      <c r="B9685" t="s">
        <v>682</v>
      </c>
      <c r="C9685" t="s">
        <v>12751</v>
      </c>
      <c r="D9685" t="s">
        <v>18120</v>
      </c>
      <c r="E9685" t="s">
        <v>26612</v>
      </c>
      <c r="F9685" t="s">
        <v>31362</v>
      </c>
      <c r="G9685" t="s">
        <v>31369</v>
      </c>
      <c r="H9685" t="s">
        <v>31378</v>
      </c>
      <c r="I9685" t="s">
        <v>31386</v>
      </c>
      <c r="J9685" t="s">
        <v>37423</v>
      </c>
      <c r="K9685" t="s">
        <v>40694</v>
      </c>
      <c r="M9685" t="s">
        <v>41644</v>
      </c>
      <c r="N9685" t="s">
        <v>44905</v>
      </c>
      <c r="O9685" t="s">
        <v>44906</v>
      </c>
      <c r="P9685">
        <v>0</v>
      </c>
      <c r="Q9685">
        <v>0</v>
      </c>
      <c r="R9685" t="s">
        <v>44914</v>
      </c>
      <c r="S9685" t="s">
        <v>45202</v>
      </c>
      <c r="T9685" t="s">
        <v>46694</v>
      </c>
      <c r="U9685" t="s">
        <v>54728</v>
      </c>
      <c r="V9685" t="s">
        <v>60077</v>
      </c>
      <c r="W9685" t="s">
        <v>41644</v>
      </c>
      <c r="X9685" t="s">
        <v>44915</v>
      </c>
    </row>
    <row r="9686" spans="1:24">
      <c r="A9686">
        <f>HYPERLINK("https://www.philgeps.gov.ph/GEPSNONPILOT/Tender/SplashBidNoticeAbstractUI.aspx?menuIndex=3&amp;refID=7067553&amp;Result=3","7067553")</f>
        <v>0</v>
      </c>
      <c r="B9686" t="s">
        <v>1939</v>
      </c>
      <c r="C9686" t="s">
        <v>12752</v>
      </c>
      <c r="D9686" t="s">
        <v>18141</v>
      </c>
      <c r="E9686" t="s">
        <v>26613</v>
      </c>
      <c r="F9686" t="s">
        <v>31362</v>
      </c>
      <c r="G9686" t="s">
        <v>31369</v>
      </c>
      <c r="H9686" t="s">
        <v>31378</v>
      </c>
      <c r="I9686" t="s">
        <v>3815</v>
      </c>
      <c r="J9686" t="s">
        <v>37424</v>
      </c>
      <c r="K9686" t="s">
        <v>40665</v>
      </c>
      <c r="M9686" t="s">
        <v>43044</v>
      </c>
      <c r="N9686" t="s">
        <v>44905</v>
      </c>
      <c r="O9686" t="s">
        <v>44906</v>
      </c>
      <c r="P9686">
        <v>0</v>
      </c>
      <c r="Q9686">
        <v>2</v>
      </c>
      <c r="R9686" t="s">
        <v>44914</v>
      </c>
      <c r="S9686" t="s">
        <v>45202</v>
      </c>
      <c r="T9686" t="s">
        <v>46804</v>
      </c>
      <c r="U9686" t="s">
        <v>54729</v>
      </c>
      <c r="V9686" t="s">
        <v>59918</v>
      </c>
      <c r="W9686" t="s">
        <v>43044</v>
      </c>
      <c r="X9686" t="s">
        <v>44915</v>
      </c>
    </row>
    <row r="9687" spans="1:24">
      <c r="A9687">
        <f>HYPERLINK("https://www.philgeps.gov.ph/GEPSNONPILOT/Tender/SplashBidNoticeAbstractUI.aspx?menuIndex=3&amp;refID=7067647&amp;Result=3","7067647")</f>
        <v>0</v>
      </c>
      <c r="B9687" t="s">
        <v>232</v>
      </c>
      <c r="C9687" t="s">
        <v>12753</v>
      </c>
      <c r="D9687" t="s">
        <v>18101</v>
      </c>
      <c r="E9687" t="s">
        <v>26614</v>
      </c>
      <c r="F9687" t="s">
        <v>31362</v>
      </c>
      <c r="G9687" t="s">
        <v>31372</v>
      </c>
      <c r="H9687" t="s">
        <v>31378</v>
      </c>
      <c r="I9687" t="s">
        <v>31386</v>
      </c>
      <c r="J9687" t="s">
        <v>37425</v>
      </c>
      <c r="K9687" t="s">
        <v>40665</v>
      </c>
      <c r="M9687" t="s">
        <v>41171</v>
      </c>
      <c r="N9687" t="s">
        <v>44905</v>
      </c>
      <c r="O9687" t="s">
        <v>44906</v>
      </c>
      <c r="P9687">
        <v>0</v>
      </c>
      <c r="Q9687">
        <v>0</v>
      </c>
      <c r="R9687" t="s">
        <v>44914</v>
      </c>
      <c r="S9687" t="s">
        <v>45202</v>
      </c>
      <c r="T9687" t="s">
        <v>46409</v>
      </c>
      <c r="U9687" t="s">
        <v>54730</v>
      </c>
      <c r="W9687" t="s">
        <v>41171</v>
      </c>
      <c r="X9687" t="s">
        <v>44915</v>
      </c>
    </row>
    <row r="9688" spans="1:24">
      <c r="A9688">
        <f>HYPERLINK("https://www.philgeps.gov.ph/GEPSNONPILOT/Tender/SplashBidNoticeAbstractUI.aspx?menuIndex=3&amp;refID=7067549&amp;Result=3","7067549")</f>
        <v>0</v>
      </c>
      <c r="B9688" t="s">
        <v>424</v>
      </c>
      <c r="C9688" t="s">
        <v>12754</v>
      </c>
      <c r="D9688" t="s">
        <v>18168</v>
      </c>
      <c r="E9688" t="s">
        <v>26615</v>
      </c>
      <c r="F9688" t="s">
        <v>31362</v>
      </c>
      <c r="G9688" t="s">
        <v>31371</v>
      </c>
      <c r="H9688" t="s">
        <v>15799</v>
      </c>
      <c r="I9688" t="s">
        <v>13635</v>
      </c>
      <c r="J9688" t="s">
        <v>31738</v>
      </c>
      <c r="K9688" t="s">
        <v>40665</v>
      </c>
      <c r="M9688" t="s">
        <v>43973</v>
      </c>
      <c r="N9688" t="s">
        <v>44905</v>
      </c>
      <c r="O9688" t="s">
        <v>44906</v>
      </c>
      <c r="P9688">
        <v>0</v>
      </c>
      <c r="Q9688">
        <v>7</v>
      </c>
      <c r="R9688" t="s">
        <v>44914</v>
      </c>
      <c r="S9688" t="s">
        <v>45202</v>
      </c>
      <c r="T9688" t="s">
        <v>46435</v>
      </c>
      <c r="U9688" t="s">
        <v>54731</v>
      </c>
      <c r="W9688" t="s">
        <v>43973</v>
      </c>
      <c r="X9688" t="s">
        <v>44915</v>
      </c>
    </row>
    <row r="9689" spans="1:24">
      <c r="A9689">
        <f>HYPERLINK("https://www.philgeps.gov.ph/GEPSNONPILOT/Tender/SplashBidNoticeAbstractUI.aspx?menuIndex=3&amp;refID=7067544&amp;Result=3","7067544")</f>
        <v>0</v>
      </c>
      <c r="B9689" t="s">
        <v>682</v>
      </c>
      <c r="C9689" t="s">
        <v>12755</v>
      </c>
      <c r="D9689" t="s">
        <v>18120</v>
      </c>
      <c r="E9689" t="s">
        <v>26616</v>
      </c>
      <c r="F9689" t="s">
        <v>31362</v>
      </c>
      <c r="G9689" t="s">
        <v>31369</v>
      </c>
      <c r="H9689" t="s">
        <v>31378</v>
      </c>
      <c r="I9689" t="s">
        <v>31386</v>
      </c>
      <c r="J9689" t="s">
        <v>37426</v>
      </c>
      <c r="K9689" t="s">
        <v>40682</v>
      </c>
      <c r="M9689" t="s">
        <v>41644</v>
      </c>
      <c r="N9689" t="s">
        <v>44905</v>
      </c>
      <c r="O9689" t="s">
        <v>44906</v>
      </c>
      <c r="P9689">
        <v>0</v>
      </c>
      <c r="Q9689">
        <v>0</v>
      </c>
      <c r="R9689" t="s">
        <v>44914</v>
      </c>
      <c r="S9689" t="s">
        <v>45202</v>
      </c>
      <c r="T9689" t="s">
        <v>46694</v>
      </c>
      <c r="U9689" t="s">
        <v>54732</v>
      </c>
      <c r="V9689" t="s">
        <v>60077</v>
      </c>
      <c r="W9689" t="s">
        <v>41644</v>
      </c>
      <c r="X9689" t="s">
        <v>44915</v>
      </c>
    </row>
    <row r="9690" spans="1:24">
      <c r="A9690">
        <f>HYPERLINK("https://www.philgeps.gov.ph/GEPSNONPILOT/Tender/SplashBidNoticeAbstractUI.aspx?menuIndex=3&amp;refID=7067540&amp;Result=3","7067540")</f>
        <v>0</v>
      </c>
      <c r="B9690" t="s">
        <v>424</v>
      </c>
      <c r="C9690" t="s">
        <v>10141</v>
      </c>
      <c r="D9690" t="s">
        <v>18168</v>
      </c>
      <c r="E9690" t="s">
        <v>26617</v>
      </c>
      <c r="F9690" t="s">
        <v>31362</v>
      </c>
      <c r="G9690" t="s">
        <v>31371</v>
      </c>
      <c r="H9690" t="s">
        <v>15799</v>
      </c>
      <c r="I9690" t="s">
        <v>7188</v>
      </c>
      <c r="J9690" t="s">
        <v>31531</v>
      </c>
      <c r="K9690" t="s">
        <v>40665</v>
      </c>
      <c r="M9690" t="s">
        <v>43973</v>
      </c>
      <c r="N9690" t="s">
        <v>44905</v>
      </c>
      <c r="O9690" t="s">
        <v>44906</v>
      </c>
      <c r="P9690">
        <v>0</v>
      </c>
      <c r="Q9690">
        <v>2</v>
      </c>
      <c r="R9690" t="s">
        <v>44914</v>
      </c>
      <c r="S9690" t="s">
        <v>45202</v>
      </c>
      <c r="T9690" t="s">
        <v>46435</v>
      </c>
      <c r="U9690" t="s">
        <v>54733</v>
      </c>
      <c r="W9690" t="s">
        <v>43973</v>
      </c>
      <c r="X9690" t="s">
        <v>44915</v>
      </c>
    </row>
    <row r="9691" spans="1:24">
      <c r="A9691">
        <f>HYPERLINK("https://www.philgeps.gov.ph/GEPSNONPILOT/Tender/SplashBidNoticeAbstractUI.aspx?menuIndex=3&amp;refID=7067676&amp;Result=3","7067676")</f>
        <v>0</v>
      </c>
      <c r="B9691" t="s">
        <v>2065</v>
      </c>
      <c r="C9691" t="s">
        <v>12756</v>
      </c>
      <c r="D9691" t="s">
        <v>18105</v>
      </c>
      <c r="E9691" t="s">
        <v>19229</v>
      </c>
      <c r="F9691" t="s">
        <v>31362</v>
      </c>
      <c r="G9691" t="s">
        <v>31369</v>
      </c>
      <c r="H9691" t="s">
        <v>15799</v>
      </c>
      <c r="I9691" t="s">
        <v>31397</v>
      </c>
      <c r="J9691" t="s">
        <v>31615</v>
      </c>
      <c r="K9691" t="s">
        <v>40682</v>
      </c>
      <c r="M9691" t="s">
        <v>43187</v>
      </c>
      <c r="N9691" t="s">
        <v>44905</v>
      </c>
      <c r="O9691" t="s">
        <v>44906</v>
      </c>
      <c r="P9691">
        <v>0</v>
      </c>
      <c r="Q9691">
        <v>2</v>
      </c>
      <c r="R9691" t="s">
        <v>44914</v>
      </c>
      <c r="S9691" t="s">
        <v>45202</v>
      </c>
      <c r="T9691" t="s">
        <v>46519</v>
      </c>
      <c r="U9691" t="s">
        <v>54734</v>
      </c>
      <c r="W9691" t="s">
        <v>43187</v>
      </c>
      <c r="X9691" t="s">
        <v>44915</v>
      </c>
    </row>
    <row r="9692" spans="1:24">
      <c r="A9692">
        <f>HYPERLINK("https://www.philgeps.gov.ph/GEPSNONPILOT/Tender/SplashBidNoticeAbstractUI.aspx?menuIndex=3&amp;refID=7066194&amp;Result=3","7066194")</f>
        <v>0</v>
      </c>
      <c r="B9692" t="s">
        <v>2785</v>
      </c>
      <c r="C9692" t="s">
        <v>12757</v>
      </c>
      <c r="D9692" t="s">
        <v>18108</v>
      </c>
      <c r="E9692" t="s">
        <v>20596</v>
      </c>
      <c r="F9692" t="s">
        <v>31362</v>
      </c>
      <c r="G9692" t="s">
        <v>31369</v>
      </c>
      <c r="H9692" t="s">
        <v>15799</v>
      </c>
      <c r="I9692" t="s">
        <v>7090</v>
      </c>
      <c r="J9692" t="s">
        <v>37427</v>
      </c>
      <c r="K9692" t="s">
        <v>40665</v>
      </c>
      <c r="M9692" t="s">
        <v>43980</v>
      </c>
      <c r="N9692" t="s">
        <v>44905</v>
      </c>
      <c r="O9692" t="s">
        <v>44906</v>
      </c>
      <c r="P9692">
        <v>0</v>
      </c>
      <c r="Q9692">
        <v>1</v>
      </c>
      <c r="R9692" t="s">
        <v>44914</v>
      </c>
      <c r="S9692" t="s">
        <v>45202</v>
      </c>
      <c r="T9692" t="s">
        <v>46403</v>
      </c>
      <c r="U9692" t="s">
        <v>54735</v>
      </c>
      <c r="W9692" t="s">
        <v>43980</v>
      </c>
      <c r="X9692" t="s">
        <v>44916</v>
      </c>
    </row>
    <row r="9693" spans="1:24">
      <c r="A9693">
        <f>HYPERLINK("https://www.philgeps.gov.ph/GEPSNONPILOT/Tender/SplashBidNoticeAbstractUI.aspx?menuIndex=3&amp;refID=7066117&amp;Result=3","7066117")</f>
        <v>0</v>
      </c>
      <c r="B9693" t="s">
        <v>2769</v>
      </c>
      <c r="C9693" t="s">
        <v>12758</v>
      </c>
      <c r="D9693" t="s">
        <v>18165</v>
      </c>
      <c r="E9693" t="s">
        <v>26618</v>
      </c>
      <c r="F9693" t="s">
        <v>31362</v>
      </c>
      <c r="G9693" t="s">
        <v>31370</v>
      </c>
      <c r="H9693" t="s">
        <v>15799</v>
      </c>
      <c r="I9693" t="s">
        <v>31427</v>
      </c>
      <c r="J9693" t="s">
        <v>32016</v>
      </c>
      <c r="K9693" t="s">
        <v>40662</v>
      </c>
      <c r="M9693" t="s">
        <v>43961</v>
      </c>
      <c r="N9693" t="s">
        <v>44905</v>
      </c>
      <c r="O9693" t="s">
        <v>44906</v>
      </c>
      <c r="P9693">
        <v>0</v>
      </c>
      <c r="Q9693">
        <v>6</v>
      </c>
      <c r="R9693" t="s">
        <v>44914</v>
      </c>
      <c r="S9693" t="s">
        <v>45202</v>
      </c>
      <c r="T9693" t="s">
        <v>46763</v>
      </c>
      <c r="U9693" t="s">
        <v>54736</v>
      </c>
      <c r="W9693" t="s">
        <v>43961</v>
      </c>
      <c r="X9693" t="s">
        <v>44916</v>
      </c>
    </row>
    <row r="9694" spans="1:24">
      <c r="A9694">
        <f>HYPERLINK("https://www.philgeps.gov.ph/GEPSNONPILOT/Tender/SplashBidNoticeAbstractUI.aspx?menuIndex=3&amp;refID=7066113&amp;Result=3","7066113")</f>
        <v>0</v>
      </c>
      <c r="B9694" t="s">
        <v>196</v>
      </c>
      <c r="C9694" t="s">
        <v>12759</v>
      </c>
      <c r="D9694" t="s">
        <v>18157</v>
      </c>
      <c r="E9694" t="s">
        <v>26619</v>
      </c>
      <c r="F9694" t="s">
        <v>31362</v>
      </c>
      <c r="G9694" t="s">
        <v>31369</v>
      </c>
      <c r="H9694" t="s">
        <v>15799</v>
      </c>
      <c r="I9694" t="s">
        <v>4283</v>
      </c>
      <c r="J9694" t="s">
        <v>31606</v>
      </c>
      <c r="K9694" t="s">
        <v>40665</v>
      </c>
      <c r="M9694" t="s">
        <v>41135</v>
      </c>
      <c r="N9694" t="s">
        <v>44905</v>
      </c>
      <c r="O9694" t="s">
        <v>44906</v>
      </c>
      <c r="P9694">
        <v>0</v>
      </c>
      <c r="Q9694">
        <v>5</v>
      </c>
      <c r="R9694" t="s">
        <v>44914</v>
      </c>
      <c r="S9694" t="s">
        <v>45202</v>
      </c>
      <c r="T9694" t="s">
        <v>46433</v>
      </c>
      <c r="U9694" t="s">
        <v>54737</v>
      </c>
      <c r="V9694" t="s">
        <v>60085</v>
      </c>
      <c r="W9694" t="s">
        <v>41135</v>
      </c>
      <c r="X9694" t="s">
        <v>44916</v>
      </c>
    </row>
    <row r="9695" spans="1:24">
      <c r="A9695">
        <f>HYPERLINK("https://www.philgeps.gov.ph/GEPSNONPILOT/Tender/SplashBidNoticeAbstractUI.aspx?menuIndex=3&amp;refID=7066092&amp;Result=3","7066092")</f>
        <v>0</v>
      </c>
      <c r="B9695" t="s">
        <v>1475</v>
      </c>
      <c r="C9695" t="s">
        <v>12760</v>
      </c>
      <c r="D9695" t="s">
        <v>18168</v>
      </c>
      <c r="E9695" t="s">
        <v>26620</v>
      </c>
      <c r="F9695" t="s">
        <v>31362</v>
      </c>
      <c r="G9695" t="s">
        <v>31369</v>
      </c>
      <c r="H9695" t="s">
        <v>15799</v>
      </c>
      <c r="I9695" t="s">
        <v>31404</v>
      </c>
      <c r="J9695" t="s">
        <v>32239</v>
      </c>
      <c r="K9695" t="s">
        <v>40682</v>
      </c>
      <c r="M9695" t="s">
        <v>42509</v>
      </c>
      <c r="N9695" t="s">
        <v>44905</v>
      </c>
      <c r="O9695" t="s">
        <v>44906</v>
      </c>
      <c r="P9695">
        <v>0</v>
      </c>
      <c r="Q9695">
        <v>0</v>
      </c>
      <c r="R9695" t="s">
        <v>44914</v>
      </c>
      <c r="S9695" t="s">
        <v>45202</v>
      </c>
      <c r="T9695" t="s">
        <v>46429</v>
      </c>
      <c r="U9695" t="s">
        <v>54738</v>
      </c>
      <c r="W9695" t="s">
        <v>42509</v>
      </c>
      <c r="X9695" t="s">
        <v>44916</v>
      </c>
    </row>
    <row r="9696" spans="1:24">
      <c r="A9696">
        <f>HYPERLINK("https://www.philgeps.gov.ph/GEPSNONPILOT/Tender/SplashBidNoticeAbstractUI.aspx?menuIndex=3&amp;refID=7066074&amp;Result=3","7066074")</f>
        <v>0</v>
      </c>
      <c r="B9696" t="s">
        <v>2786</v>
      </c>
      <c r="C9696" t="s">
        <v>12761</v>
      </c>
      <c r="D9696" t="s">
        <v>18147</v>
      </c>
      <c r="E9696" t="s">
        <v>18476</v>
      </c>
      <c r="F9696" t="s">
        <v>31362</v>
      </c>
      <c r="G9696" t="s">
        <v>31369</v>
      </c>
      <c r="H9696" t="s">
        <v>15799</v>
      </c>
      <c r="I9696" t="s">
        <v>7090</v>
      </c>
      <c r="J9696" t="s">
        <v>37428</v>
      </c>
      <c r="K9696" t="s">
        <v>40661</v>
      </c>
      <c r="M9696" t="s">
        <v>43981</v>
      </c>
      <c r="N9696" t="s">
        <v>44905</v>
      </c>
      <c r="O9696" t="s">
        <v>44906</v>
      </c>
      <c r="P9696">
        <v>0</v>
      </c>
      <c r="Q9696">
        <v>1</v>
      </c>
      <c r="R9696" t="s">
        <v>44914</v>
      </c>
      <c r="S9696" t="s">
        <v>45202</v>
      </c>
      <c r="T9696" t="s">
        <v>46443</v>
      </c>
      <c r="U9696" t="s">
        <v>54739</v>
      </c>
      <c r="V9696" t="s">
        <v>60086</v>
      </c>
      <c r="W9696" t="s">
        <v>43981</v>
      </c>
      <c r="X9696" t="s">
        <v>44916</v>
      </c>
    </row>
    <row r="9697" spans="1:24">
      <c r="A9697">
        <f>HYPERLINK("https://www.philgeps.gov.ph/GEPSNONPILOT/Tender/SplashBidNoticeAbstractUI.aspx?menuIndex=3&amp;refID=7067761&amp;Result=3","7067761")</f>
        <v>0</v>
      </c>
      <c r="B9697" t="s">
        <v>1152</v>
      </c>
      <c r="C9697" t="s">
        <v>12762</v>
      </c>
      <c r="D9697" t="s">
        <v>18138</v>
      </c>
      <c r="E9697" t="s">
        <v>26621</v>
      </c>
      <c r="F9697" t="s">
        <v>31362</v>
      </c>
      <c r="G9697" t="s">
        <v>31369</v>
      </c>
      <c r="H9697" t="s">
        <v>15799</v>
      </c>
      <c r="I9697" t="s">
        <v>31508</v>
      </c>
      <c r="J9697" t="s">
        <v>31529</v>
      </c>
      <c r="K9697" t="s">
        <v>40680</v>
      </c>
      <c r="M9697" t="s">
        <v>42161</v>
      </c>
      <c r="N9697" t="s">
        <v>44905</v>
      </c>
      <c r="O9697" t="s">
        <v>44906</v>
      </c>
      <c r="P9697">
        <v>0</v>
      </c>
      <c r="Q9697">
        <v>6</v>
      </c>
      <c r="R9697" t="s">
        <v>44914</v>
      </c>
      <c r="S9697" t="s">
        <v>45202</v>
      </c>
      <c r="T9697" t="s">
        <v>46486</v>
      </c>
      <c r="U9697" t="s">
        <v>54740</v>
      </c>
      <c r="V9697" t="s">
        <v>59384</v>
      </c>
      <c r="W9697" t="s">
        <v>42161</v>
      </c>
      <c r="X9697" t="s">
        <v>44915</v>
      </c>
    </row>
    <row r="9698" spans="1:24">
      <c r="A9698">
        <f>HYPERLINK("https://www.philgeps.gov.ph/GEPSNONPILOT/Tender/SplashBidNoticeAbstractUI.aspx?menuIndex=3&amp;refID=7067695&amp;Result=3","7067695")</f>
        <v>0</v>
      </c>
      <c r="B9698" t="s">
        <v>2309</v>
      </c>
      <c r="C9698" t="s">
        <v>12763</v>
      </c>
      <c r="D9698" t="s">
        <v>18172</v>
      </c>
      <c r="E9698" t="s">
        <v>26622</v>
      </c>
      <c r="F9698" t="s">
        <v>31362</v>
      </c>
      <c r="G9698" t="s">
        <v>31369</v>
      </c>
      <c r="H9698" t="s">
        <v>15799</v>
      </c>
      <c r="I9698" t="s">
        <v>3815</v>
      </c>
      <c r="J9698" t="s">
        <v>37429</v>
      </c>
      <c r="K9698" t="s">
        <v>40681</v>
      </c>
      <c r="M9698" t="s">
        <v>43449</v>
      </c>
      <c r="N9698" t="s">
        <v>44905</v>
      </c>
      <c r="O9698" t="s">
        <v>44906</v>
      </c>
      <c r="P9698">
        <v>0</v>
      </c>
      <c r="Q9698">
        <v>0</v>
      </c>
      <c r="R9698" t="s">
        <v>44914</v>
      </c>
      <c r="S9698" t="s">
        <v>45202</v>
      </c>
      <c r="T9698" t="s">
        <v>46434</v>
      </c>
      <c r="U9698" t="s">
        <v>54741</v>
      </c>
      <c r="W9698" t="s">
        <v>43449</v>
      </c>
      <c r="X9698" t="s">
        <v>44915</v>
      </c>
    </row>
    <row r="9699" spans="1:24">
      <c r="A9699">
        <f>HYPERLINK("https://www.philgeps.gov.ph/GEPSNONPILOT/Tender/SplashBidNoticeAbstractUI.aspx?menuIndex=3&amp;refID=7067790&amp;Result=3","7067790")</f>
        <v>0</v>
      </c>
      <c r="B9699" t="s">
        <v>2784</v>
      </c>
      <c r="C9699" t="s">
        <v>12764</v>
      </c>
      <c r="D9699" t="s">
        <v>18155</v>
      </c>
      <c r="E9699" t="s">
        <v>26623</v>
      </c>
      <c r="F9699" t="s">
        <v>31362</v>
      </c>
      <c r="G9699" t="s">
        <v>31369</v>
      </c>
      <c r="H9699" t="s">
        <v>31378</v>
      </c>
      <c r="I9699" t="s">
        <v>31386</v>
      </c>
      <c r="J9699" t="s">
        <v>37430</v>
      </c>
      <c r="K9699" t="s">
        <v>40662</v>
      </c>
      <c r="M9699" t="s">
        <v>43979</v>
      </c>
      <c r="N9699" t="s">
        <v>44905</v>
      </c>
      <c r="O9699" t="s">
        <v>44906</v>
      </c>
      <c r="P9699">
        <v>0</v>
      </c>
      <c r="Q9699">
        <v>0</v>
      </c>
      <c r="R9699" t="s">
        <v>44914</v>
      </c>
      <c r="S9699" t="s">
        <v>45202</v>
      </c>
      <c r="T9699" t="s">
        <v>46425</v>
      </c>
      <c r="U9699" t="s">
        <v>54742</v>
      </c>
      <c r="W9699" t="s">
        <v>43979</v>
      </c>
      <c r="X9699" t="s">
        <v>44915</v>
      </c>
    </row>
    <row r="9700" spans="1:24">
      <c r="A9700">
        <f>HYPERLINK("https://www.philgeps.gov.ph/GEPSNONPILOT/Tender/SplashBidNoticeAbstractUI.aspx?menuIndex=3&amp;refID=7067789&amp;Result=3","7067789")</f>
        <v>0</v>
      </c>
      <c r="B9700" t="s">
        <v>268</v>
      </c>
      <c r="C9700" t="s">
        <v>12765</v>
      </c>
      <c r="D9700" t="s">
        <v>18165</v>
      </c>
      <c r="E9700" t="s">
        <v>26624</v>
      </c>
      <c r="F9700" t="s">
        <v>31362</v>
      </c>
      <c r="G9700" t="s">
        <v>31369</v>
      </c>
      <c r="H9700" t="s">
        <v>15799</v>
      </c>
      <c r="I9700" t="s">
        <v>31430</v>
      </c>
      <c r="J9700" t="s">
        <v>37431</v>
      </c>
      <c r="K9700" t="s">
        <v>40661</v>
      </c>
      <c r="M9700" t="s">
        <v>41210</v>
      </c>
      <c r="N9700" t="s">
        <v>44905</v>
      </c>
      <c r="O9700" t="s">
        <v>44906</v>
      </c>
      <c r="P9700">
        <v>0</v>
      </c>
      <c r="Q9700">
        <v>0</v>
      </c>
      <c r="R9700" t="s">
        <v>44914</v>
      </c>
      <c r="S9700" t="s">
        <v>45202</v>
      </c>
      <c r="T9700" t="s">
        <v>46411</v>
      </c>
      <c r="U9700" t="s">
        <v>54743</v>
      </c>
      <c r="V9700" t="s">
        <v>60087</v>
      </c>
      <c r="W9700" t="s">
        <v>41210</v>
      </c>
      <c r="X9700" t="s">
        <v>44915</v>
      </c>
    </row>
    <row r="9701" spans="1:24">
      <c r="A9701">
        <f>HYPERLINK("https://www.philgeps.gov.ph/GEPSNONPILOT/Tender/SplashBidNoticeAbstractUI.aspx?menuIndex=3&amp;refID=7067564&amp;Result=3","7067564")</f>
        <v>0</v>
      </c>
      <c r="B9701" t="s">
        <v>2318</v>
      </c>
      <c r="C9701" t="s">
        <v>12766</v>
      </c>
      <c r="D9701" t="s">
        <v>18180</v>
      </c>
      <c r="E9701" t="s">
        <v>19861</v>
      </c>
      <c r="F9701" t="s">
        <v>31362</v>
      </c>
      <c r="G9701" t="s">
        <v>31369</v>
      </c>
      <c r="H9701" t="s">
        <v>31378</v>
      </c>
      <c r="I9701" t="s">
        <v>31386</v>
      </c>
      <c r="J9701" t="s">
        <v>37432</v>
      </c>
      <c r="K9701" t="s">
        <v>40730</v>
      </c>
      <c r="M9701" t="s">
        <v>43458</v>
      </c>
      <c r="N9701" t="s">
        <v>44905</v>
      </c>
      <c r="O9701" t="s">
        <v>44906</v>
      </c>
      <c r="P9701">
        <v>0</v>
      </c>
      <c r="Q9701">
        <v>0</v>
      </c>
      <c r="R9701" t="s">
        <v>44914</v>
      </c>
      <c r="S9701" t="s">
        <v>45202</v>
      </c>
      <c r="T9701" t="s">
        <v>46806</v>
      </c>
      <c r="U9701" t="s">
        <v>54744</v>
      </c>
      <c r="V9701" t="s">
        <v>60088</v>
      </c>
      <c r="W9701" t="s">
        <v>43458</v>
      </c>
      <c r="X9701" t="s">
        <v>44915</v>
      </c>
    </row>
    <row r="9702" spans="1:24">
      <c r="A9702">
        <f>HYPERLINK("https://www.philgeps.gov.ph/GEPSNONPILOT/Tender/SplashBidNoticeAbstractUI.aspx?menuIndex=3&amp;refID=7067779&amp;Result=3","7067779")</f>
        <v>0</v>
      </c>
      <c r="B9702" t="s">
        <v>115</v>
      </c>
      <c r="C9702" t="s">
        <v>12767</v>
      </c>
      <c r="D9702" t="s">
        <v>18138</v>
      </c>
      <c r="E9702" t="s">
        <v>26625</v>
      </c>
      <c r="F9702" t="s">
        <v>31362</v>
      </c>
      <c r="G9702" t="s">
        <v>31369</v>
      </c>
      <c r="H9702" t="s">
        <v>15799</v>
      </c>
      <c r="I9702" t="s">
        <v>31433</v>
      </c>
      <c r="J9702" t="s">
        <v>37433</v>
      </c>
      <c r="K9702" t="s">
        <v>40662</v>
      </c>
      <c r="L9702" t="s">
        <v>115</v>
      </c>
      <c r="M9702" t="s">
        <v>43982</v>
      </c>
      <c r="N9702" t="s">
        <v>44905</v>
      </c>
      <c r="O9702" t="s">
        <v>44906</v>
      </c>
      <c r="Q9702">
        <v>3</v>
      </c>
      <c r="R9702" t="s">
        <v>44914</v>
      </c>
      <c r="S9702" t="s">
        <v>45205</v>
      </c>
      <c r="T9702" t="s">
        <v>46524</v>
      </c>
      <c r="U9702" t="s">
        <v>54745</v>
      </c>
      <c r="W9702" t="s">
        <v>43982</v>
      </c>
      <c r="X9702" t="s">
        <v>44915</v>
      </c>
    </row>
    <row r="9703" spans="1:24">
      <c r="A9703">
        <f>HYPERLINK("https://www.philgeps.gov.ph/GEPSNONPILOT/Tender/SplashBidNoticeAbstractUI.aspx?menuIndex=3&amp;refID=7067774&amp;Result=3","7067774")</f>
        <v>0</v>
      </c>
      <c r="B9703" t="s">
        <v>1033</v>
      </c>
      <c r="C9703" t="s">
        <v>12768</v>
      </c>
      <c r="D9703" t="s">
        <v>18162</v>
      </c>
      <c r="E9703" t="s">
        <v>26626</v>
      </c>
      <c r="F9703" t="s">
        <v>31362</v>
      </c>
      <c r="G9703" t="s">
        <v>31369</v>
      </c>
      <c r="H9703" t="s">
        <v>15799</v>
      </c>
      <c r="I9703" t="s">
        <v>3815</v>
      </c>
      <c r="J9703" t="s">
        <v>37434</v>
      </c>
      <c r="K9703" t="s">
        <v>40670</v>
      </c>
      <c r="M9703" t="s">
        <v>42032</v>
      </c>
      <c r="N9703" t="s">
        <v>44905</v>
      </c>
      <c r="O9703" t="s">
        <v>44906</v>
      </c>
      <c r="P9703">
        <v>0</v>
      </c>
      <c r="Q9703">
        <v>2</v>
      </c>
      <c r="R9703" t="s">
        <v>44914</v>
      </c>
      <c r="S9703" t="s">
        <v>45202</v>
      </c>
      <c r="T9703" t="s">
        <v>46509</v>
      </c>
      <c r="U9703" t="s">
        <v>54746</v>
      </c>
      <c r="W9703" t="s">
        <v>42032</v>
      </c>
      <c r="X9703" t="s">
        <v>44915</v>
      </c>
    </row>
    <row r="9704" spans="1:24">
      <c r="A9704">
        <f>HYPERLINK("https://www.philgeps.gov.ph/GEPSNONPILOT/Tender/SplashBidNoticeAbstractUI.aspx?menuIndex=3&amp;refID=7067772&amp;Result=3","7067772")</f>
        <v>0</v>
      </c>
      <c r="B9704" t="s">
        <v>590</v>
      </c>
      <c r="C9704" t="s">
        <v>12769</v>
      </c>
      <c r="D9704" t="s">
        <v>18162</v>
      </c>
      <c r="E9704" t="s">
        <v>26627</v>
      </c>
      <c r="F9704" t="s">
        <v>31362</v>
      </c>
      <c r="G9704" t="s">
        <v>31369</v>
      </c>
      <c r="H9704" t="s">
        <v>31378</v>
      </c>
      <c r="I9704" t="s">
        <v>31386</v>
      </c>
      <c r="J9704" t="s">
        <v>37435</v>
      </c>
      <c r="K9704" t="s">
        <v>40662</v>
      </c>
      <c r="M9704" t="s">
        <v>41547</v>
      </c>
      <c r="N9704" t="s">
        <v>44905</v>
      </c>
      <c r="O9704" t="s">
        <v>44906</v>
      </c>
      <c r="P9704">
        <v>0</v>
      </c>
      <c r="Q9704">
        <v>0</v>
      </c>
      <c r="R9704" t="s">
        <v>44914</v>
      </c>
      <c r="S9704" t="s">
        <v>45202</v>
      </c>
      <c r="T9704" t="s">
        <v>46671</v>
      </c>
      <c r="U9704" t="s">
        <v>54747</v>
      </c>
      <c r="W9704" t="s">
        <v>41547</v>
      </c>
      <c r="X9704" t="s">
        <v>44915</v>
      </c>
    </row>
    <row r="9705" spans="1:24">
      <c r="A9705">
        <f>HYPERLINK("https://www.philgeps.gov.ph/GEPSNONPILOT/Tender/SplashBidNoticeAbstractUI.aspx?menuIndex=3&amp;refID=7067780&amp;Result=3","7067780")</f>
        <v>0</v>
      </c>
      <c r="B9705" t="s">
        <v>2784</v>
      </c>
      <c r="C9705" t="s">
        <v>12770</v>
      </c>
      <c r="D9705" t="s">
        <v>18155</v>
      </c>
      <c r="E9705" t="s">
        <v>26628</v>
      </c>
      <c r="F9705" t="s">
        <v>31362</v>
      </c>
      <c r="G9705" t="s">
        <v>31369</v>
      </c>
      <c r="H9705" t="s">
        <v>31378</v>
      </c>
      <c r="I9705" t="s">
        <v>31386</v>
      </c>
      <c r="J9705" t="s">
        <v>37436</v>
      </c>
      <c r="K9705" t="s">
        <v>40662</v>
      </c>
      <c r="M9705" t="s">
        <v>43979</v>
      </c>
      <c r="N9705" t="s">
        <v>44905</v>
      </c>
      <c r="O9705" t="s">
        <v>44906</v>
      </c>
      <c r="Q9705">
        <v>0</v>
      </c>
      <c r="R9705" t="s">
        <v>44914</v>
      </c>
      <c r="S9705" t="s">
        <v>45206</v>
      </c>
      <c r="T9705" t="s">
        <v>46406</v>
      </c>
      <c r="U9705" t="s">
        <v>54748</v>
      </c>
      <c r="W9705" t="s">
        <v>43979</v>
      </c>
      <c r="X9705" t="s">
        <v>44915</v>
      </c>
    </row>
    <row r="9706" spans="1:24">
      <c r="A9706">
        <f>HYPERLINK("https://www.philgeps.gov.ph/GEPSNONPILOT/Tender/SplashBidNoticeAbstractUI.aspx?menuIndex=3&amp;refID=7067767&amp;Result=3","7067767")</f>
        <v>0</v>
      </c>
      <c r="B9706" t="s">
        <v>2784</v>
      </c>
      <c r="C9706" t="s">
        <v>12771</v>
      </c>
      <c r="D9706" t="s">
        <v>18155</v>
      </c>
      <c r="E9706" t="s">
        <v>26629</v>
      </c>
      <c r="F9706" t="s">
        <v>31362</v>
      </c>
      <c r="G9706" t="s">
        <v>31369</v>
      </c>
      <c r="H9706" t="s">
        <v>31378</v>
      </c>
      <c r="I9706" t="s">
        <v>31386</v>
      </c>
      <c r="J9706" t="s">
        <v>37437</v>
      </c>
      <c r="K9706" t="s">
        <v>40662</v>
      </c>
      <c r="M9706" t="s">
        <v>43979</v>
      </c>
      <c r="N9706" t="s">
        <v>44905</v>
      </c>
      <c r="O9706" t="s">
        <v>44906</v>
      </c>
      <c r="P9706">
        <v>0</v>
      </c>
      <c r="Q9706">
        <v>1</v>
      </c>
      <c r="R9706" t="s">
        <v>44914</v>
      </c>
      <c r="S9706" t="s">
        <v>45202</v>
      </c>
      <c r="T9706" t="s">
        <v>46406</v>
      </c>
      <c r="U9706" t="s">
        <v>54749</v>
      </c>
      <c r="W9706" t="s">
        <v>43979</v>
      </c>
      <c r="X9706" t="s">
        <v>44915</v>
      </c>
    </row>
    <row r="9707" spans="1:24">
      <c r="A9707">
        <f>HYPERLINK("https://www.philgeps.gov.ph/GEPSNONPILOT/Tender/SplashBidNoticeAbstractUI.aspx?menuIndex=3&amp;refID=7066334&amp;Result=3","7066334")</f>
        <v>0</v>
      </c>
      <c r="B9707" t="s">
        <v>1475</v>
      </c>
      <c r="C9707" t="s">
        <v>12772</v>
      </c>
      <c r="D9707" t="s">
        <v>18168</v>
      </c>
      <c r="E9707" t="s">
        <v>26630</v>
      </c>
      <c r="F9707" t="s">
        <v>31362</v>
      </c>
      <c r="G9707" t="s">
        <v>31369</v>
      </c>
      <c r="H9707" t="s">
        <v>31378</v>
      </c>
      <c r="I9707" t="s">
        <v>31386</v>
      </c>
      <c r="J9707" t="s">
        <v>37438</v>
      </c>
      <c r="K9707" t="s">
        <v>40682</v>
      </c>
      <c r="M9707" t="s">
        <v>42509</v>
      </c>
      <c r="N9707" t="s">
        <v>44905</v>
      </c>
      <c r="O9707" t="s">
        <v>44906</v>
      </c>
      <c r="P9707">
        <v>0</v>
      </c>
      <c r="Q9707">
        <v>1</v>
      </c>
      <c r="R9707" t="s">
        <v>44914</v>
      </c>
      <c r="S9707" t="s">
        <v>45202</v>
      </c>
      <c r="T9707" t="s">
        <v>46429</v>
      </c>
      <c r="U9707" t="s">
        <v>54645</v>
      </c>
      <c r="W9707" t="s">
        <v>42509</v>
      </c>
      <c r="X9707" t="s">
        <v>44916</v>
      </c>
    </row>
    <row r="9708" spans="1:24">
      <c r="A9708">
        <f>HYPERLINK("https://www.philgeps.gov.ph/GEPSNONPILOT/Tender/SplashBidNoticeAbstractUI.aspx?menuIndex=3&amp;refID=7067766&amp;Result=3","7067766")</f>
        <v>0</v>
      </c>
      <c r="B9708" t="s">
        <v>2543</v>
      </c>
      <c r="C9708" t="s">
        <v>12773</v>
      </c>
      <c r="E9708" t="s">
        <v>26631</v>
      </c>
      <c r="F9708" t="s">
        <v>31362</v>
      </c>
      <c r="G9708" t="s">
        <v>31369</v>
      </c>
      <c r="H9708" t="s">
        <v>15799</v>
      </c>
      <c r="I9708" t="s">
        <v>3815</v>
      </c>
      <c r="J9708" t="s">
        <v>37439</v>
      </c>
      <c r="K9708" t="s">
        <v>40665</v>
      </c>
      <c r="M9708" t="s">
        <v>43983</v>
      </c>
      <c r="N9708" t="s">
        <v>44905</v>
      </c>
      <c r="O9708" t="s">
        <v>44906</v>
      </c>
      <c r="Q9708">
        <v>0</v>
      </c>
      <c r="R9708" t="s">
        <v>44914</v>
      </c>
      <c r="S9708" t="s">
        <v>45207</v>
      </c>
      <c r="T9708" t="s">
        <v>46410</v>
      </c>
      <c r="U9708" t="s">
        <v>49312</v>
      </c>
      <c r="W9708" t="s">
        <v>43983</v>
      </c>
      <c r="X9708" t="s">
        <v>44915</v>
      </c>
    </row>
    <row r="9709" spans="1:24">
      <c r="A9709">
        <f>HYPERLINK("https://www.philgeps.gov.ph/GEPSNONPILOT/Tender/SplashBidNoticeAbstractUI.aspx?menuIndex=3&amp;refID=7067752&amp;Result=3","7067752")</f>
        <v>0</v>
      </c>
      <c r="B9709" t="s">
        <v>682</v>
      </c>
      <c r="C9709" t="s">
        <v>12774</v>
      </c>
      <c r="D9709" t="s">
        <v>18120</v>
      </c>
      <c r="E9709" t="s">
        <v>26632</v>
      </c>
      <c r="F9709" t="s">
        <v>31362</v>
      </c>
      <c r="G9709" t="s">
        <v>31369</v>
      </c>
      <c r="H9709" t="s">
        <v>31378</v>
      </c>
      <c r="I9709" t="s">
        <v>31386</v>
      </c>
      <c r="J9709" t="s">
        <v>37440</v>
      </c>
      <c r="K9709" t="s">
        <v>40679</v>
      </c>
      <c r="M9709" t="s">
        <v>41644</v>
      </c>
      <c r="N9709" t="s">
        <v>44905</v>
      </c>
      <c r="O9709" t="s">
        <v>44906</v>
      </c>
      <c r="P9709">
        <v>0</v>
      </c>
      <c r="Q9709">
        <v>0</v>
      </c>
      <c r="R9709" t="s">
        <v>44914</v>
      </c>
      <c r="S9709" t="s">
        <v>45202</v>
      </c>
      <c r="T9709" t="s">
        <v>46694</v>
      </c>
      <c r="U9709" t="s">
        <v>54750</v>
      </c>
      <c r="V9709" t="s">
        <v>60073</v>
      </c>
      <c r="W9709" t="s">
        <v>41644</v>
      </c>
      <c r="X9709" t="s">
        <v>44915</v>
      </c>
    </row>
    <row r="9710" spans="1:24">
      <c r="A9710">
        <f>HYPERLINK("https://www.philgeps.gov.ph/GEPSNONPILOT/Tender/SplashBidNoticeAbstractUI.aspx?menuIndex=3&amp;refID=7067747&amp;Result=3","7067747")</f>
        <v>0</v>
      </c>
      <c r="B9710" t="s">
        <v>1002</v>
      </c>
      <c r="C9710" t="s">
        <v>12775</v>
      </c>
      <c r="E9710" t="s">
        <v>26633</v>
      </c>
      <c r="F9710" t="s">
        <v>31362</v>
      </c>
      <c r="G9710" t="s">
        <v>31368</v>
      </c>
      <c r="H9710" t="s">
        <v>15799</v>
      </c>
      <c r="I9710" t="s">
        <v>31380</v>
      </c>
      <c r="J9710" t="s">
        <v>32729</v>
      </c>
      <c r="K9710" t="s">
        <v>40665</v>
      </c>
      <c r="M9710" t="s">
        <v>43978</v>
      </c>
      <c r="N9710" t="s">
        <v>44905</v>
      </c>
      <c r="O9710" t="s">
        <v>44906</v>
      </c>
      <c r="P9710">
        <v>0</v>
      </c>
      <c r="Q9710">
        <v>0</v>
      </c>
      <c r="R9710" t="s">
        <v>44914</v>
      </c>
      <c r="S9710" t="s">
        <v>45202</v>
      </c>
      <c r="T9710" t="s">
        <v>46443</v>
      </c>
      <c r="U9710" t="s">
        <v>54751</v>
      </c>
      <c r="W9710" t="s">
        <v>60940</v>
      </c>
      <c r="X9710" t="s">
        <v>44915</v>
      </c>
    </row>
    <row r="9711" spans="1:24">
      <c r="A9711">
        <f>HYPERLINK("https://www.philgeps.gov.ph/GEPSNONPILOT/Tender/SplashBidNoticeAbstractUI.aspx?menuIndex=3&amp;refID=7067877&amp;Result=3","7067877")</f>
        <v>0</v>
      </c>
      <c r="B9711" t="s">
        <v>232</v>
      </c>
      <c r="C9711" t="s">
        <v>12776</v>
      </c>
      <c r="D9711" t="s">
        <v>18101</v>
      </c>
      <c r="E9711" t="s">
        <v>26634</v>
      </c>
      <c r="F9711" t="s">
        <v>31362</v>
      </c>
      <c r="G9711" t="s">
        <v>31368</v>
      </c>
      <c r="H9711" t="s">
        <v>15799</v>
      </c>
      <c r="I9711" t="s">
        <v>7090</v>
      </c>
      <c r="J9711" t="s">
        <v>37441</v>
      </c>
      <c r="K9711" t="s">
        <v>40661</v>
      </c>
      <c r="M9711" t="s">
        <v>41171</v>
      </c>
      <c r="N9711" t="s">
        <v>44905</v>
      </c>
      <c r="O9711" t="s">
        <v>44906</v>
      </c>
      <c r="P9711">
        <v>0</v>
      </c>
      <c r="Q9711">
        <v>0</v>
      </c>
      <c r="R9711" t="s">
        <v>44914</v>
      </c>
      <c r="S9711" t="s">
        <v>45202</v>
      </c>
      <c r="T9711" t="s">
        <v>46409</v>
      </c>
      <c r="U9711" t="s">
        <v>54752</v>
      </c>
      <c r="W9711" t="s">
        <v>41171</v>
      </c>
      <c r="X9711" t="s">
        <v>44915</v>
      </c>
    </row>
    <row r="9712" spans="1:24">
      <c r="A9712">
        <f>HYPERLINK("https://www.philgeps.gov.ph/GEPSNONPILOT/Tender/SplashBidNoticeAbstractUI.aspx?menuIndex=3&amp;refID=7067545&amp;Result=3","7067545")</f>
        <v>0</v>
      </c>
      <c r="B9712" t="s">
        <v>717</v>
      </c>
      <c r="C9712" t="s">
        <v>12777</v>
      </c>
      <c r="D9712" t="s">
        <v>18167</v>
      </c>
      <c r="E9712" t="s">
        <v>26635</v>
      </c>
      <c r="F9712" t="s">
        <v>31362</v>
      </c>
      <c r="G9712" t="s">
        <v>31369</v>
      </c>
      <c r="H9712" t="s">
        <v>15799</v>
      </c>
      <c r="I9712" t="s">
        <v>31422</v>
      </c>
      <c r="J9712" t="s">
        <v>37442</v>
      </c>
      <c r="K9712" t="s">
        <v>40665</v>
      </c>
      <c r="M9712" t="s">
        <v>42810</v>
      </c>
      <c r="N9712" t="s">
        <v>44905</v>
      </c>
      <c r="O9712" t="s">
        <v>44906</v>
      </c>
      <c r="P9712">
        <v>0</v>
      </c>
      <c r="Q9712">
        <v>3</v>
      </c>
      <c r="R9712" t="s">
        <v>44914</v>
      </c>
      <c r="S9712" t="s">
        <v>45202</v>
      </c>
      <c r="T9712" t="s">
        <v>46504</v>
      </c>
      <c r="U9712" t="s">
        <v>51232</v>
      </c>
      <c r="W9712" t="s">
        <v>42810</v>
      </c>
      <c r="X9712" t="s">
        <v>44915</v>
      </c>
    </row>
    <row r="9713" spans="1:24">
      <c r="A9713">
        <f>HYPERLINK("https://www.philgeps.gov.ph/GEPSNONPILOT/Tender/SplashBidNoticeAbstractUI.aspx?menuIndex=3&amp;refID=7067876&amp;Result=3","7067876")</f>
        <v>0</v>
      </c>
      <c r="B9713" t="s">
        <v>2192</v>
      </c>
      <c r="C9713" t="s">
        <v>12778</v>
      </c>
      <c r="D9713" t="s">
        <v>18109</v>
      </c>
      <c r="E9713" t="s">
        <v>26636</v>
      </c>
      <c r="F9713" t="s">
        <v>31362</v>
      </c>
      <c r="G9713" t="s">
        <v>31369</v>
      </c>
      <c r="H9713" t="s">
        <v>15799</v>
      </c>
      <c r="I9713" t="s">
        <v>31381</v>
      </c>
      <c r="J9713" t="s">
        <v>31570</v>
      </c>
      <c r="K9713" t="s">
        <v>40677</v>
      </c>
      <c r="M9713" t="s">
        <v>43323</v>
      </c>
      <c r="N9713" t="s">
        <v>44905</v>
      </c>
      <c r="O9713" t="s">
        <v>44906</v>
      </c>
      <c r="P9713">
        <v>0</v>
      </c>
      <c r="Q9713">
        <v>1</v>
      </c>
      <c r="R9713" t="s">
        <v>44914</v>
      </c>
      <c r="S9713" t="s">
        <v>45202</v>
      </c>
      <c r="T9713" t="s">
        <v>46412</v>
      </c>
      <c r="U9713" t="s">
        <v>54753</v>
      </c>
      <c r="W9713" t="s">
        <v>43323</v>
      </c>
      <c r="X9713" t="s">
        <v>44915</v>
      </c>
    </row>
    <row r="9714" spans="1:24">
      <c r="A9714">
        <f>HYPERLINK("https://www.philgeps.gov.ph/GEPSNONPILOT/Tender/SplashBidNoticeAbstractUI.aspx?menuIndex=3&amp;refID=7067869&amp;Result=3","7067869")</f>
        <v>0</v>
      </c>
      <c r="B9714" t="s">
        <v>2722</v>
      </c>
      <c r="C9714" t="s">
        <v>12779</v>
      </c>
      <c r="D9714" t="s">
        <v>18152</v>
      </c>
      <c r="E9714" t="s">
        <v>26637</v>
      </c>
      <c r="F9714" t="s">
        <v>31363</v>
      </c>
      <c r="G9714" t="s">
        <v>31368</v>
      </c>
      <c r="H9714" t="s">
        <v>15799</v>
      </c>
      <c r="I9714" t="s">
        <v>3815</v>
      </c>
      <c r="J9714" t="s">
        <v>37443</v>
      </c>
      <c r="K9714" t="s">
        <v>40666</v>
      </c>
      <c r="M9714" t="s">
        <v>43908</v>
      </c>
      <c r="N9714" t="s">
        <v>44905</v>
      </c>
      <c r="O9714" t="s">
        <v>44906</v>
      </c>
      <c r="P9714">
        <v>0</v>
      </c>
      <c r="Q9714">
        <v>0</v>
      </c>
      <c r="R9714" t="s">
        <v>44914</v>
      </c>
      <c r="S9714" t="s">
        <v>45202</v>
      </c>
      <c r="T9714" t="s">
        <v>46549</v>
      </c>
      <c r="U9714" t="s">
        <v>54491</v>
      </c>
      <c r="V9714" t="s">
        <v>60021</v>
      </c>
      <c r="W9714" t="s">
        <v>60939</v>
      </c>
      <c r="X9714" t="s">
        <v>44915</v>
      </c>
    </row>
    <row r="9715" spans="1:24">
      <c r="A9715">
        <f>HYPERLINK("https://www.philgeps.gov.ph/GEPSNONPILOT/Tender/SplashBidNoticeAbstractUI.aspx?menuIndex=3&amp;refID=7067868&amp;Result=3","7067868")</f>
        <v>0</v>
      </c>
      <c r="B9715" t="s">
        <v>2787</v>
      </c>
      <c r="C9715" t="s">
        <v>12780</v>
      </c>
      <c r="D9715" t="s">
        <v>18104</v>
      </c>
      <c r="E9715" t="s">
        <v>19313</v>
      </c>
      <c r="F9715" t="s">
        <v>31362</v>
      </c>
      <c r="G9715" t="s">
        <v>31369</v>
      </c>
      <c r="H9715" t="s">
        <v>15799</v>
      </c>
      <c r="I9715" t="s">
        <v>31404</v>
      </c>
      <c r="J9715" t="s">
        <v>31806</v>
      </c>
      <c r="K9715" t="s">
        <v>40670</v>
      </c>
      <c r="L9715" t="s">
        <v>2787</v>
      </c>
      <c r="M9715" t="s">
        <v>43984</v>
      </c>
      <c r="N9715" t="s">
        <v>44905</v>
      </c>
      <c r="O9715" t="s">
        <v>44906</v>
      </c>
      <c r="P9715">
        <v>0</v>
      </c>
      <c r="Q9715">
        <v>1</v>
      </c>
      <c r="R9715" t="s">
        <v>44914</v>
      </c>
      <c r="S9715" t="s">
        <v>45202</v>
      </c>
      <c r="T9715" t="s">
        <v>46617</v>
      </c>
      <c r="U9715" t="s">
        <v>54754</v>
      </c>
      <c r="W9715" t="s">
        <v>43984</v>
      </c>
      <c r="X9715" t="s">
        <v>44915</v>
      </c>
    </row>
    <row r="9716" spans="1:24">
      <c r="A9716">
        <f>HYPERLINK("https://www.philgeps.gov.ph/GEPSNONPILOT/Tender/SplashBidNoticeAbstractUI.aspx?menuIndex=3&amp;refID=7067864&amp;Result=3","7067864")</f>
        <v>0</v>
      </c>
      <c r="B9716" t="s">
        <v>1513</v>
      </c>
      <c r="C9716" t="s">
        <v>12781</v>
      </c>
      <c r="D9716" t="s">
        <v>18143</v>
      </c>
      <c r="E9716" t="s">
        <v>26638</v>
      </c>
      <c r="F9716" t="s">
        <v>31362</v>
      </c>
      <c r="G9716" t="s">
        <v>31369</v>
      </c>
      <c r="H9716" t="s">
        <v>15799</v>
      </c>
      <c r="I9716" t="s">
        <v>3815</v>
      </c>
      <c r="J9716" t="s">
        <v>37444</v>
      </c>
      <c r="K9716" t="s">
        <v>40666</v>
      </c>
      <c r="L9716" t="s">
        <v>1513</v>
      </c>
      <c r="M9716" t="s">
        <v>42556</v>
      </c>
      <c r="N9716" t="s">
        <v>44905</v>
      </c>
      <c r="O9716" t="s">
        <v>44906</v>
      </c>
      <c r="P9716">
        <v>0</v>
      </c>
      <c r="Q9716">
        <v>0</v>
      </c>
      <c r="R9716" t="s">
        <v>44914</v>
      </c>
      <c r="S9716" t="s">
        <v>45202</v>
      </c>
      <c r="T9716" t="s">
        <v>46479</v>
      </c>
      <c r="U9716" t="s">
        <v>54755</v>
      </c>
      <c r="V9716" t="s">
        <v>60089</v>
      </c>
      <c r="W9716" t="s">
        <v>42556</v>
      </c>
      <c r="X9716" t="s">
        <v>44915</v>
      </c>
    </row>
    <row r="9717" spans="1:24">
      <c r="A9717">
        <f>HYPERLINK("https://www.philgeps.gov.ph/GEPSNONPILOT/Tender/SplashBidNoticeAbstractUI.aspx?menuIndex=3&amp;refID=7067854&amp;Result=3","7067854")</f>
        <v>0</v>
      </c>
      <c r="B9717" t="s">
        <v>115</v>
      </c>
      <c r="C9717" t="s">
        <v>12782</v>
      </c>
      <c r="D9717" t="s">
        <v>18138</v>
      </c>
      <c r="E9717" t="s">
        <v>26639</v>
      </c>
      <c r="F9717" t="s">
        <v>31362</v>
      </c>
      <c r="G9717" t="s">
        <v>31369</v>
      </c>
      <c r="H9717" t="s">
        <v>15799</v>
      </c>
      <c r="I9717" t="s">
        <v>6373</v>
      </c>
      <c r="J9717" t="s">
        <v>37445</v>
      </c>
      <c r="K9717" t="s">
        <v>40662</v>
      </c>
      <c r="L9717" t="s">
        <v>115</v>
      </c>
      <c r="M9717" t="s">
        <v>43982</v>
      </c>
      <c r="N9717" t="s">
        <v>44905</v>
      </c>
      <c r="O9717" t="s">
        <v>44906</v>
      </c>
      <c r="Q9717">
        <v>9</v>
      </c>
      <c r="R9717" t="s">
        <v>44914</v>
      </c>
      <c r="S9717" t="s">
        <v>45208</v>
      </c>
      <c r="T9717" t="s">
        <v>46524</v>
      </c>
      <c r="U9717" t="s">
        <v>54756</v>
      </c>
      <c r="W9717" t="s">
        <v>43982</v>
      </c>
      <c r="X9717" t="s">
        <v>44915</v>
      </c>
    </row>
    <row r="9718" spans="1:24">
      <c r="A9718">
        <f>HYPERLINK("https://www.philgeps.gov.ph/GEPSNONPILOT/Tender/SplashBidNoticeAbstractUI.aspx?menuIndex=3&amp;refID=7067850&amp;Result=3","7067850")</f>
        <v>0</v>
      </c>
      <c r="B9718" t="s">
        <v>2788</v>
      </c>
      <c r="C9718" t="s">
        <v>12783</v>
      </c>
      <c r="D9718" t="s">
        <v>18108</v>
      </c>
      <c r="E9718" t="s">
        <v>24681</v>
      </c>
      <c r="F9718" t="s">
        <v>31362</v>
      </c>
      <c r="G9718" t="s">
        <v>31370</v>
      </c>
      <c r="H9718" t="s">
        <v>15799</v>
      </c>
      <c r="I9718" t="s">
        <v>31393</v>
      </c>
      <c r="J9718" t="s">
        <v>31625</v>
      </c>
      <c r="K9718" t="s">
        <v>40661</v>
      </c>
      <c r="M9718" t="s">
        <v>43985</v>
      </c>
      <c r="N9718" t="s">
        <v>44905</v>
      </c>
      <c r="O9718" t="s">
        <v>44906</v>
      </c>
      <c r="Q9718">
        <v>7</v>
      </c>
      <c r="R9718" t="s">
        <v>44914</v>
      </c>
      <c r="S9718" t="s">
        <v>45209</v>
      </c>
      <c r="T9718" t="s">
        <v>46422</v>
      </c>
      <c r="U9718" t="s">
        <v>54757</v>
      </c>
      <c r="V9718" t="s">
        <v>60090</v>
      </c>
      <c r="W9718" t="s">
        <v>43985</v>
      </c>
      <c r="X9718" t="s">
        <v>44915</v>
      </c>
    </row>
    <row r="9719" spans="1:24">
      <c r="A9719">
        <f>HYPERLINK("https://www.philgeps.gov.ph/GEPSNONPILOT/Tender/SplashBidNoticeAbstractUI.aspx?menuIndex=3&amp;refID=7067843&amp;Result=3","7067843")</f>
        <v>0</v>
      </c>
      <c r="B9719" t="s">
        <v>491</v>
      </c>
      <c r="C9719" t="s">
        <v>12784</v>
      </c>
      <c r="D9719" t="s">
        <v>18126</v>
      </c>
      <c r="E9719" t="s">
        <v>26640</v>
      </c>
      <c r="F9719" t="s">
        <v>31362</v>
      </c>
      <c r="G9719" t="s">
        <v>31369</v>
      </c>
      <c r="H9719" t="s">
        <v>15799</v>
      </c>
      <c r="I9719" t="s">
        <v>31433</v>
      </c>
      <c r="J9719" t="s">
        <v>32239</v>
      </c>
      <c r="K9719" t="s">
        <v>40666</v>
      </c>
      <c r="M9719" t="s">
        <v>41446</v>
      </c>
      <c r="N9719" t="s">
        <v>44905</v>
      </c>
      <c r="O9719" t="s">
        <v>44906</v>
      </c>
      <c r="P9719">
        <v>0</v>
      </c>
      <c r="Q9719">
        <v>1</v>
      </c>
      <c r="R9719" t="s">
        <v>44914</v>
      </c>
      <c r="S9719" t="s">
        <v>45202</v>
      </c>
      <c r="T9719" t="s">
        <v>46506</v>
      </c>
      <c r="U9719" t="s">
        <v>54758</v>
      </c>
      <c r="W9719" t="s">
        <v>41446</v>
      </c>
      <c r="X9719" t="s">
        <v>44915</v>
      </c>
    </row>
    <row r="9720" spans="1:24">
      <c r="A9720">
        <f>HYPERLINK("https://www.philgeps.gov.ph/GEPSNONPILOT/Tender/SplashBidNoticeAbstractUI.aspx?menuIndex=3&amp;refID=7067842&amp;Result=3","7067842")</f>
        <v>0</v>
      </c>
      <c r="B9720" t="s">
        <v>682</v>
      </c>
      <c r="C9720" t="s">
        <v>12785</v>
      </c>
      <c r="E9720" t="s">
        <v>23202</v>
      </c>
      <c r="F9720" t="s">
        <v>31362</v>
      </c>
      <c r="G9720" t="s">
        <v>31369</v>
      </c>
      <c r="H9720" t="s">
        <v>15799</v>
      </c>
      <c r="I9720" t="s">
        <v>13635</v>
      </c>
      <c r="J9720" t="s">
        <v>37446</v>
      </c>
      <c r="K9720" t="s">
        <v>40665</v>
      </c>
      <c r="M9720" t="s">
        <v>41644</v>
      </c>
      <c r="N9720" t="s">
        <v>44905</v>
      </c>
      <c r="O9720" t="s">
        <v>44906</v>
      </c>
      <c r="P9720">
        <v>0</v>
      </c>
      <c r="Q9720">
        <v>0</v>
      </c>
      <c r="R9720" t="s">
        <v>44914</v>
      </c>
      <c r="S9720" t="s">
        <v>45202</v>
      </c>
      <c r="T9720" t="s">
        <v>46694</v>
      </c>
      <c r="U9720" t="s">
        <v>54759</v>
      </c>
      <c r="V9720" t="s">
        <v>60091</v>
      </c>
      <c r="W9720" t="s">
        <v>41644</v>
      </c>
      <c r="X9720" t="s">
        <v>44915</v>
      </c>
    </row>
    <row r="9721" spans="1:24">
      <c r="A9721">
        <f>HYPERLINK("https://www.philgeps.gov.ph/GEPSNONPILOT/Tender/SplashBidNoticeAbstractUI.aspx?menuIndex=3&amp;refID=7067836&amp;Result=3","7067836")</f>
        <v>0</v>
      </c>
      <c r="B9721" t="s">
        <v>1297</v>
      </c>
      <c r="C9721" t="s">
        <v>12786</v>
      </c>
      <c r="D9721" t="s">
        <v>18125</v>
      </c>
      <c r="E9721" t="s">
        <v>26641</v>
      </c>
      <c r="F9721" t="s">
        <v>31362</v>
      </c>
      <c r="G9721" t="s">
        <v>31369</v>
      </c>
      <c r="H9721" t="s">
        <v>15799</v>
      </c>
      <c r="I9721" t="s">
        <v>3815</v>
      </c>
      <c r="J9721" t="s">
        <v>37447</v>
      </c>
      <c r="K9721" t="s">
        <v>40670</v>
      </c>
      <c r="M9721" t="s">
        <v>42315</v>
      </c>
      <c r="N9721" t="s">
        <v>44905</v>
      </c>
      <c r="O9721" t="s">
        <v>44906</v>
      </c>
      <c r="P9721">
        <v>0</v>
      </c>
      <c r="Q9721">
        <v>0</v>
      </c>
      <c r="R9721" t="s">
        <v>44914</v>
      </c>
      <c r="S9721" t="s">
        <v>45202</v>
      </c>
      <c r="T9721" t="s">
        <v>46484</v>
      </c>
      <c r="U9721" t="s">
        <v>49768</v>
      </c>
      <c r="W9721" t="s">
        <v>42315</v>
      </c>
      <c r="X9721" t="s">
        <v>44915</v>
      </c>
    </row>
    <row r="9722" spans="1:24">
      <c r="A9722">
        <f>HYPERLINK("https://www.philgeps.gov.ph/GEPSNONPILOT/Tender/SplashBidNoticeAbstractUI.aspx?menuIndex=3&amp;refID=7067819&amp;Result=3","7067819")</f>
        <v>0</v>
      </c>
      <c r="B9722" t="s">
        <v>585</v>
      </c>
      <c r="C9722" t="s">
        <v>12787</v>
      </c>
      <c r="D9722" t="s">
        <v>18100</v>
      </c>
      <c r="E9722" t="s">
        <v>26642</v>
      </c>
      <c r="F9722" t="s">
        <v>31362</v>
      </c>
      <c r="G9722" t="s">
        <v>31369</v>
      </c>
      <c r="H9722" t="s">
        <v>15799</v>
      </c>
      <c r="I9722" t="s">
        <v>3815</v>
      </c>
      <c r="J9722" t="s">
        <v>37448</v>
      </c>
      <c r="K9722" t="s">
        <v>40662</v>
      </c>
      <c r="M9722" t="s">
        <v>41542</v>
      </c>
      <c r="N9722" t="s">
        <v>44905</v>
      </c>
      <c r="O9722" t="s">
        <v>44906</v>
      </c>
      <c r="P9722">
        <v>0</v>
      </c>
      <c r="Q9722">
        <v>0</v>
      </c>
      <c r="R9722" t="s">
        <v>44914</v>
      </c>
      <c r="S9722" t="s">
        <v>45202</v>
      </c>
      <c r="T9722" t="s">
        <v>46396</v>
      </c>
      <c r="U9722" t="s">
        <v>54760</v>
      </c>
      <c r="W9722" t="s">
        <v>41542</v>
      </c>
      <c r="X9722" t="s">
        <v>44915</v>
      </c>
    </row>
    <row r="9723" spans="1:24">
      <c r="A9723">
        <f>HYPERLINK("https://www.philgeps.gov.ph/GEPSNONPILOT/Tender/SplashBidNoticeAbstractUI.aspx?menuIndex=3&amp;refID=7067773&amp;Result=3","7067773")</f>
        <v>0</v>
      </c>
      <c r="B9723" t="s">
        <v>1314</v>
      </c>
      <c r="C9723" t="s">
        <v>12788</v>
      </c>
      <c r="D9723" t="s">
        <v>18134</v>
      </c>
      <c r="E9723" t="s">
        <v>26643</v>
      </c>
      <c r="F9723" t="s">
        <v>31362</v>
      </c>
      <c r="G9723" t="s">
        <v>31369</v>
      </c>
      <c r="H9723" t="s">
        <v>31378</v>
      </c>
      <c r="I9723" t="s">
        <v>31386</v>
      </c>
      <c r="J9723" t="s">
        <v>33868</v>
      </c>
      <c r="K9723" t="s">
        <v>40686</v>
      </c>
      <c r="M9723" t="s">
        <v>42332</v>
      </c>
      <c r="N9723" t="s">
        <v>44905</v>
      </c>
      <c r="O9723" t="s">
        <v>44906</v>
      </c>
      <c r="P9723">
        <v>0</v>
      </c>
      <c r="Q9723">
        <v>3</v>
      </c>
      <c r="R9723" t="s">
        <v>44914</v>
      </c>
      <c r="S9723" t="s">
        <v>45202</v>
      </c>
      <c r="T9723" t="s">
        <v>46671</v>
      </c>
      <c r="U9723" t="s">
        <v>49974</v>
      </c>
      <c r="W9723" t="s">
        <v>42332</v>
      </c>
      <c r="X9723" t="s">
        <v>44915</v>
      </c>
    </row>
    <row r="9724" spans="1:24">
      <c r="A9724">
        <f>HYPERLINK("https://www.philgeps.gov.ph/GEPSNONPILOT/Tender/SplashBidNoticeAbstractUI.aspx?menuIndex=3&amp;refID=7067815&amp;Result=3","7067815")</f>
        <v>0</v>
      </c>
      <c r="B9724" t="s">
        <v>2660</v>
      </c>
      <c r="C9724" t="s">
        <v>12789</v>
      </c>
      <c r="D9724" t="s">
        <v>18138</v>
      </c>
      <c r="E9724" t="s">
        <v>24145</v>
      </c>
      <c r="F9724" t="s">
        <v>31362</v>
      </c>
      <c r="G9724" t="s">
        <v>31369</v>
      </c>
      <c r="H9724" t="s">
        <v>15799</v>
      </c>
      <c r="I9724" t="s">
        <v>31427</v>
      </c>
      <c r="J9724" t="s">
        <v>37449</v>
      </c>
      <c r="K9724" t="s">
        <v>40665</v>
      </c>
      <c r="M9724" t="s">
        <v>43844</v>
      </c>
      <c r="N9724" t="s">
        <v>44905</v>
      </c>
      <c r="O9724" t="s">
        <v>44906</v>
      </c>
      <c r="P9724">
        <v>0</v>
      </c>
      <c r="Q9724">
        <v>8</v>
      </c>
      <c r="R9724" t="s">
        <v>44914</v>
      </c>
      <c r="S9724" t="s">
        <v>45202</v>
      </c>
      <c r="T9724" t="s">
        <v>46525</v>
      </c>
      <c r="U9724" t="s">
        <v>54761</v>
      </c>
      <c r="V9724" t="s">
        <v>60092</v>
      </c>
      <c r="W9724" t="s">
        <v>43844</v>
      </c>
      <c r="X9724" t="s">
        <v>44915</v>
      </c>
    </row>
    <row r="9725" spans="1:24">
      <c r="A9725">
        <f>HYPERLINK("https://www.philgeps.gov.ph/GEPSNONPILOT/Tender/SplashBidNoticeAbstractUI.aspx?menuIndex=3&amp;refID=7067812&amp;Result=3","7067812")</f>
        <v>0</v>
      </c>
      <c r="B9725" t="s">
        <v>2789</v>
      </c>
      <c r="C9725" t="s">
        <v>12790</v>
      </c>
      <c r="D9725" t="s">
        <v>18134</v>
      </c>
      <c r="E9725" t="s">
        <v>26644</v>
      </c>
      <c r="F9725" t="s">
        <v>31362</v>
      </c>
      <c r="G9725" t="s">
        <v>31369</v>
      </c>
      <c r="H9725" t="s">
        <v>15799</v>
      </c>
      <c r="I9725" t="s">
        <v>7719</v>
      </c>
      <c r="J9725" t="s">
        <v>37450</v>
      </c>
      <c r="K9725" t="s">
        <v>40665</v>
      </c>
      <c r="M9725" t="s">
        <v>43986</v>
      </c>
      <c r="N9725" t="s">
        <v>44905</v>
      </c>
      <c r="O9725" t="s">
        <v>44906</v>
      </c>
      <c r="P9725">
        <v>0</v>
      </c>
      <c r="Q9725">
        <v>12</v>
      </c>
      <c r="R9725" t="s">
        <v>44914</v>
      </c>
      <c r="S9725" t="s">
        <v>45202</v>
      </c>
      <c r="T9725" t="s">
        <v>46418</v>
      </c>
      <c r="U9725" t="s">
        <v>54762</v>
      </c>
      <c r="W9725" t="s">
        <v>43986</v>
      </c>
      <c r="X9725" t="s">
        <v>44915</v>
      </c>
    </row>
    <row r="9726" spans="1:24">
      <c r="A9726">
        <f>HYPERLINK("https://www.philgeps.gov.ph/GEPSNONPILOT/Tender/SplashBidNoticeAbstractUI.aspx?menuIndex=3&amp;refID=7067770&amp;Result=3","7067770")</f>
        <v>0</v>
      </c>
      <c r="B9726" t="s">
        <v>2790</v>
      </c>
      <c r="C9726" t="s">
        <v>12791</v>
      </c>
      <c r="D9726" t="s">
        <v>18175</v>
      </c>
      <c r="E9726" t="s">
        <v>26645</v>
      </c>
      <c r="F9726" t="s">
        <v>31362</v>
      </c>
      <c r="G9726" t="s">
        <v>31369</v>
      </c>
      <c r="H9726" t="s">
        <v>15799</v>
      </c>
      <c r="I9726" t="s">
        <v>31455</v>
      </c>
      <c r="J9726" t="s">
        <v>31536</v>
      </c>
      <c r="K9726" t="s">
        <v>40677</v>
      </c>
      <c r="M9726" t="s">
        <v>43987</v>
      </c>
      <c r="N9726" t="s">
        <v>44905</v>
      </c>
      <c r="O9726" t="s">
        <v>44906</v>
      </c>
      <c r="P9726">
        <v>0</v>
      </c>
      <c r="Q9726">
        <v>0</v>
      </c>
      <c r="R9726" t="s">
        <v>44914</v>
      </c>
      <c r="S9726" t="s">
        <v>45202</v>
      </c>
      <c r="T9726" t="s">
        <v>46467</v>
      </c>
      <c r="U9726" t="s">
        <v>54763</v>
      </c>
      <c r="W9726" t="s">
        <v>43987</v>
      </c>
      <c r="X9726" t="s">
        <v>44915</v>
      </c>
    </row>
    <row r="9727" spans="1:24">
      <c r="A9727">
        <f>HYPERLINK("https://www.philgeps.gov.ph/GEPSNONPILOT/Tender/SplashBidNoticeAbstractUI.aspx?menuIndex=3&amp;refID=7067837&amp;Result=3","7067837")</f>
        <v>0</v>
      </c>
      <c r="B9727" t="s">
        <v>2791</v>
      </c>
      <c r="C9727" t="s">
        <v>12792</v>
      </c>
      <c r="D9727" t="s">
        <v>18162</v>
      </c>
      <c r="E9727" t="s">
        <v>26646</v>
      </c>
      <c r="F9727" t="s">
        <v>31362</v>
      </c>
      <c r="G9727" t="s">
        <v>31369</v>
      </c>
      <c r="H9727" t="s">
        <v>15799</v>
      </c>
      <c r="I9727" t="s">
        <v>3815</v>
      </c>
      <c r="J9727" t="s">
        <v>31530</v>
      </c>
      <c r="K9727" t="s">
        <v>40662</v>
      </c>
      <c r="M9727" t="s">
        <v>43988</v>
      </c>
      <c r="N9727" t="s">
        <v>44905</v>
      </c>
      <c r="O9727" t="s">
        <v>44906</v>
      </c>
      <c r="P9727">
        <v>0</v>
      </c>
      <c r="Q9727">
        <v>3</v>
      </c>
      <c r="R9727" t="s">
        <v>44914</v>
      </c>
      <c r="S9727" t="s">
        <v>45202</v>
      </c>
      <c r="T9727" t="s">
        <v>46409</v>
      </c>
      <c r="U9727" t="s">
        <v>54764</v>
      </c>
      <c r="V9727" t="s">
        <v>60093</v>
      </c>
      <c r="W9727" t="s">
        <v>43988</v>
      </c>
      <c r="X9727" t="s">
        <v>44915</v>
      </c>
    </row>
    <row r="9728" spans="1:24">
      <c r="A9728">
        <f>HYPERLINK("https://www.philgeps.gov.ph/GEPSNONPILOT/Tender/SplashBidNoticeAbstractUI.aspx?menuIndex=3&amp;refID=7067808&amp;Result=3","7067808")</f>
        <v>0</v>
      </c>
      <c r="B9728" t="s">
        <v>268</v>
      </c>
      <c r="C9728" t="s">
        <v>12793</v>
      </c>
      <c r="D9728" t="s">
        <v>18165</v>
      </c>
      <c r="E9728" t="s">
        <v>26647</v>
      </c>
      <c r="F9728" t="s">
        <v>31362</v>
      </c>
      <c r="G9728" t="s">
        <v>31369</v>
      </c>
      <c r="H9728" t="s">
        <v>15799</v>
      </c>
      <c r="I9728" t="s">
        <v>31387</v>
      </c>
      <c r="J9728" t="s">
        <v>37451</v>
      </c>
      <c r="K9728" t="s">
        <v>40661</v>
      </c>
      <c r="M9728" t="s">
        <v>41210</v>
      </c>
      <c r="N9728" t="s">
        <v>44905</v>
      </c>
      <c r="O9728" t="s">
        <v>44906</v>
      </c>
      <c r="P9728">
        <v>0</v>
      </c>
      <c r="Q9728">
        <v>0</v>
      </c>
      <c r="R9728" t="s">
        <v>44914</v>
      </c>
      <c r="S9728" t="s">
        <v>45202</v>
      </c>
      <c r="T9728" t="s">
        <v>46411</v>
      </c>
      <c r="U9728" t="s">
        <v>54765</v>
      </c>
      <c r="V9728" t="s">
        <v>60094</v>
      </c>
      <c r="W9728" t="s">
        <v>41210</v>
      </c>
      <c r="X9728" t="s">
        <v>44915</v>
      </c>
    </row>
    <row r="9729" spans="1:24">
      <c r="A9729">
        <f>HYPERLINK("https://www.philgeps.gov.ph/GEPSNONPILOT/Tender/SplashBidNoticeAbstractUI.aspx?menuIndex=3&amp;refID=7067802&amp;Result=3","7067802")</f>
        <v>0</v>
      </c>
      <c r="B9729" t="s">
        <v>2792</v>
      </c>
      <c r="C9729" t="s">
        <v>12794</v>
      </c>
      <c r="D9729" t="s">
        <v>18112</v>
      </c>
      <c r="E9729" t="s">
        <v>26648</v>
      </c>
      <c r="F9729" t="s">
        <v>31362</v>
      </c>
      <c r="G9729" t="s">
        <v>31369</v>
      </c>
      <c r="H9729" t="s">
        <v>15799</v>
      </c>
      <c r="I9729" t="s">
        <v>3815</v>
      </c>
      <c r="J9729" t="s">
        <v>37452</v>
      </c>
      <c r="K9729" t="s">
        <v>40666</v>
      </c>
      <c r="M9729" t="s">
        <v>43989</v>
      </c>
      <c r="N9729" t="s">
        <v>44905</v>
      </c>
      <c r="O9729" t="s">
        <v>44906</v>
      </c>
      <c r="P9729">
        <v>0</v>
      </c>
      <c r="Q9729">
        <v>1</v>
      </c>
      <c r="R9729" t="s">
        <v>44914</v>
      </c>
      <c r="S9729" t="s">
        <v>45202</v>
      </c>
      <c r="T9729" t="s">
        <v>46416</v>
      </c>
      <c r="U9729" t="s">
        <v>54766</v>
      </c>
      <c r="V9729" t="s">
        <v>60095</v>
      </c>
      <c r="W9729" t="s">
        <v>43989</v>
      </c>
      <c r="X9729" t="s">
        <v>44915</v>
      </c>
    </row>
    <row r="9730" spans="1:24">
      <c r="A9730">
        <f>HYPERLINK("https://www.philgeps.gov.ph/GEPSNONPILOT/Tender/SplashBidNoticeAbstractUI.aspx?menuIndex=3&amp;refID=7067798&amp;Result=3","7067798")</f>
        <v>0</v>
      </c>
      <c r="B9730" t="s">
        <v>1002</v>
      </c>
      <c r="C9730" t="s">
        <v>12795</v>
      </c>
      <c r="E9730" t="s">
        <v>26649</v>
      </c>
      <c r="F9730" t="s">
        <v>31362</v>
      </c>
      <c r="G9730" t="s">
        <v>31368</v>
      </c>
      <c r="H9730" t="s">
        <v>15799</v>
      </c>
      <c r="I9730" t="s">
        <v>3582</v>
      </c>
      <c r="J9730" t="s">
        <v>31545</v>
      </c>
      <c r="K9730" t="s">
        <v>40662</v>
      </c>
      <c r="M9730" t="s">
        <v>43978</v>
      </c>
      <c r="N9730" t="s">
        <v>44905</v>
      </c>
      <c r="O9730" t="s">
        <v>44906</v>
      </c>
      <c r="P9730">
        <v>0</v>
      </c>
      <c r="Q9730">
        <v>1</v>
      </c>
      <c r="R9730" t="s">
        <v>44914</v>
      </c>
      <c r="S9730" t="s">
        <v>45202</v>
      </c>
      <c r="T9730" t="s">
        <v>46443</v>
      </c>
      <c r="U9730" t="s">
        <v>54767</v>
      </c>
      <c r="W9730" t="s">
        <v>60940</v>
      </c>
      <c r="X9730" t="s">
        <v>44915</v>
      </c>
    </row>
    <row r="9731" spans="1:24">
      <c r="A9731">
        <f>HYPERLINK("https://www.philgeps.gov.ph/GEPSNONPILOT/Tender/SplashBidNoticeAbstractUI.aspx?menuIndex=3&amp;refID=7067744&amp;Result=3","7067744")</f>
        <v>0</v>
      </c>
      <c r="B9731" t="s">
        <v>719</v>
      </c>
      <c r="C9731" t="s">
        <v>12796</v>
      </c>
      <c r="D9731" t="s">
        <v>18115</v>
      </c>
      <c r="E9731" t="s">
        <v>26650</v>
      </c>
      <c r="F9731" t="s">
        <v>31362</v>
      </c>
      <c r="G9731" t="s">
        <v>31369</v>
      </c>
      <c r="H9731" t="s">
        <v>31378</v>
      </c>
      <c r="I9731" t="s">
        <v>31386</v>
      </c>
      <c r="J9731" t="s">
        <v>31530</v>
      </c>
      <c r="K9731" t="s">
        <v>40666</v>
      </c>
      <c r="M9731" t="s">
        <v>41684</v>
      </c>
      <c r="N9731" t="s">
        <v>44905</v>
      </c>
      <c r="O9731" t="s">
        <v>44906</v>
      </c>
      <c r="P9731">
        <v>0</v>
      </c>
      <c r="Q9731">
        <v>5</v>
      </c>
      <c r="R9731" t="s">
        <v>44914</v>
      </c>
      <c r="S9731" t="s">
        <v>45202</v>
      </c>
      <c r="T9731" t="s">
        <v>46396</v>
      </c>
      <c r="U9731" t="s">
        <v>54768</v>
      </c>
      <c r="V9731" t="s">
        <v>60096</v>
      </c>
      <c r="W9731" t="s">
        <v>41684</v>
      </c>
      <c r="X9731" t="s">
        <v>44915</v>
      </c>
    </row>
    <row r="9732" spans="1:24">
      <c r="A9732">
        <f>HYPERLINK("https://www.philgeps.gov.ph/GEPSNONPILOT/Tender/SplashBidNoticeAbstractUI.aspx?menuIndex=3&amp;refID=7067740&amp;Result=3","7067740")</f>
        <v>0</v>
      </c>
      <c r="B9732" t="s">
        <v>682</v>
      </c>
      <c r="C9732" t="s">
        <v>12797</v>
      </c>
      <c r="D9732" t="s">
        <v>18120</v>
      </c>
      <c r="E9732" t="s">
        <v>26651</v>
      </c>
      <c r="F9732" t="s">
        <v>31362</v>
      </c>
      <c r="G9732" t="s">
        <v>31369</v>
      </c>
      <c r="H9732" t="s">
        <v>31378</v>
      </c>
      <c r="I9732" t="s">
        <v>31386</v>
      </c>
      <c r="J9732" t="s">
        <v>37453</v>
      </c>
      <c r="K9732" t="s">
        <v>40694</v>
      </c>
      <c r="M9732" t="s">
        <v>41644</v>
      </c>
      <c r="N9732" t="s">
        <v>44905</v>
      </c>
      <c r="O9732" t="s">
        <v>44906</v>
      </c>
      <c r="P9732">
        <v>0</v>
      </c>
      <c r="Q9732">
        <v>0</v>
      </c>
      <c r="R9732" t="s">
        <v>44914</v>
      </c>
      <c r="S9732" t="s">
        <v>45202</v>
      </c>
      <c r="T9732" t="s">
        <v>46694</v>
      </c>
      <c r="U9732" t="s">
        <v>54769</v>
      </c>
      <c r="V9732" t="s">
        <v>60077</v>
      </c>
      <c r="W9732" t="s">
        <v>41644</v>
      </c>
      <c r="X9732" t="s">
        <v>44915</v>
      </c>
    </row>
    <row r="9733" spans="1:24">
      <c r="A9733">
        <f>HYPERLINK("https://www.philgeps.gov.ph/GEPSNONPILOT/Tender/SplashBidNoticeAbstractUI.aspx?menuIndex=3&amp;refID=7067814&amp;Result=3","7067814")</f>
        <v>0</v>
      </c>
      <c r="B9733" t="s">
        <v>267</v>
      </c>
      <c r="C9733" t="s">
        <v>12798</v>
      </c>
      <c r="D9733" t="s">
        <v>18154</v>
      </c>
      <c r="E9733" t="s">
        <v>26652</v>
      </c>
      <c r="F9733" t="s">
        <v>31362</v>
      </c>
      <c r="G9733" t="s">
        <v>31369</v>
      </c>
      <c r="H9733" t="s">
        <v>15799</v>
      </c>
      <c r="I9733" t="s">
        <v>3815</v>
      </c>
      <c r="J9733" t="s">
        <v>37454</v>
      </c>
      <c r="K9733" t="s">
        <v>40670</v>
      </c>
      <c r="M9733" t="s">
        <v>41208</v>
      </c>
      <c r="N9733" t="s">
        <v>44905</v>
      </c>
      <c r="O9733" t="s">
        <v>44906</v>
      </c>
      <c r="P9733">
        <v>0</v>
      </c>
      <c r="Q9733">
        <v>0</v>
      </c>
      <c r="R9733" t="s">
        <v>44914</v>
      </c>
      <c r="S9733" t="s">
        <v>45202</v>
      </c>
      <c r="T9733" t="s">
        <v>46447</v>
      </c>
      <c r="U9733" t="s">
        <v>54770</v>
      </c>
      <c r="W9733" t="s">
        <v>41208</v>
      </c>
      <c r="X9733" t="s">
        <v>44915</v>
      </c>
    </row>
    <row r="9734" spans="1:24">
      <c r="A9734">
        <f>HYPERLINK("https://www.philgeps.gov.ph/GEPSNONPILOT/Tender/SplashBidNoticeAbstractUI.aspx?menuIndex=3&amp;refID=7067817&amp;Result=3","7067817")</f>
        <v>0</v>
      </c>
      <c r="B9734" t="s">
        <v>491</v>
      </c>
      <c r="C9734" t="s">
        <v>12799</v>
      </c>
      <c r="D9734" t="s">
        <v>18126</v>
      </c>
      <c r="E9734" t="s">
        <v>26653</v>
      </c>
      <c r="F9734" t="s">
        <v>31362</v>
      </c>
      <c r="G9734" t="s">
        <v>31369</v>
      </c>
      <c r="H9734" t="s">
        <v>15799</v>
      </c>
      <c r="I9734" t="s">
        <v>31433</v>
      </c>
      <c r="J9734" t="s">
        <v>37455</v>
      </c>
      <c r="K9734" t="s">
        <v>40666</v>
      </c>
      <c r="M9734" t="s">
        <v>41446</v>
      </c>
      <c r="N9734" t="s">
        <v>44905</v>
      </c>
      <c r="O9734" t="s">
        <v>44906</v>
      </c>
      <c r="P9734">
        <v>0</v>
      </c>
      <c r="Q9734">
        <v>0</v>
      </c>
      <c r="R9734" t="s">
        <v>44914</v>
      </c>
      <c r="S9734" t="s">
        <v>45202</v>
      </c>
      <c r="T9734" t="s">
        <v>46506</v>
      </c>
      <c r="U9734" t="s">
        <v>54771</v>
      </c>
      <c r="W9734" t="s">
        <v>41446</v>
      </c>
      <c r="X9734" t="s">
        <v>44915</v>
      </c>
    </row>
    <row r="9735" spans="1:24">
      <c r="A9735">
        <f>HYPERLINK("https://www.philgeps.gov.ph/GEPSNONPILOT/Tender/SplashBidNoticeAbstractUI.aspx?menuIndex=3&amp;refID=7067803&amp;Result=3","7067803")</f>
        <v>0</v>
      </c>
      <c r="B9735" t="s">
        <v>2793</v>
      </c>
      <c r="C9735" t="s">
        <v>12800</v>
      </c>
      <c r="D9735" t="s">
        <v>18158</v>
      </c>
      <c r="E9735" t="s">
        <v>26654</v>
      </c>
      <c r="F9735" t="s">
        <v>31362</v>
      </c>
      <c r="G9735" t="s">
        <v>31369</v>
      </c>
      <c r="H9735" t="s">
        <v>15799</v>
      </c>
      <c r="I9735" t="s">
        <v>31422</v>
      </c>
      <c r="J9735" t="s">
        <v>37456</v>
      </c>
      <c r="K9735" t="s">
        <v>40665</v>
      </c>
      <c r="M9735" t="s">
        <v>43990</v>
      </c>
      <c r="N9735" t="s">
        <v>44905</v>
      </c>
      <c r="O9735" t="s">
        <v>44906</v>
      </c>
      <c r="P9735">
        <v>0</v>
      </c>
      <c r="Q9735">
        <v>0</v>
      </c>
      <c r="R9735" t="s">
        <v>44914</v>
      </c>
      <c r="S9735" t="s">
        <v>45202</v>
      </c>
      <c r="T9735" t="s">
        <v>46450</v>
      </c>
      <c r="U9735" t="s">
        <v>54772</v>
      </c>
      <c r="V9735" t="s">
        <v>60097</v>
      </c>
      <c r="W9735" t="s">
        <v>43990</v>
      </c>
      <c r="X9735" t="s">
        <v>44915</v>
      </c>
    </row>
    <row r="9736" spans="1:24">
      <c r="A9736">
        <f>HYPERLINK("https://www.philgeps.gov.ph/GEPSNONPILOT/Tender/SplashBidNoticeAbstractUI.aspx?menuIndex=3&amp;refID=7068003&amp;Result=3","7068003")</f>
        <v>0</v>
      </c>
      <c r="B9736" t="s">
        <v>682</v>
      </c>
      <c r="C9736" t="s">
        <v>12801</v>
      </c>
      <c r="E9736" t="s">
        <v>26655</v>
      </c>
      <c r="F9736" t="s">
        <v>31362</v>
      </c>
      <c r="G9736" t="s">
        <v>31369</v>
      </c>
      <c r="H9736" t="s">
        <v>15799</v>
      </c>
      <c r="I9736" t="s">
        <v>13635</v>
      </c>
      <c r="J9736" t="s">
        <v>37457</v>
      </c>
      <c r="K9736" t="s">
        <v>40675</v>
      </c>
      <c r="M9736" t="s">
        <v>41644</v>
      </c>
      <c r="N9736" t="s">
        <v>44905</v>
      </c>
      <c r="O9736" t="s">
        <v>44906</v>
      </c>
      <c r="P9736">
        <v>0</v>
      </c>
      <c r="Q9736">
        <v>0</v>
      </c>
      <c r="R9736" t="s">
        <v>44914</v>
      </c>
      <c r="S9736" t="s">
        <v>45202</v>
      </c>
      <c r="T9736" t="s">
        <v>46694</v>
      </c>
      <c r="U9736" t="s">
        <v>54773</v>
      </c>
      <c r="V9736" t="s">
        <v>60091</v>
      </c>
      <c r="W9736" t="s">
        <v>41644</v>
      </c>
      <c r="X9736" t="s">
        <v>44915</v>
      </c>
    </row>
    <row r="9737" spans="1:24">
      <c r="A9737">
        <f>HYPERLINK("https://www.philgeps.gov.ph/GEPSNONPILOT/Tender/SplashBidNoticeAbstractUI.aspx?menuIndex=3&amp;refID=7067992&amp;Result=3","7067992")</f>
        <v>0</v>
      </c>
      <c r="B9737" t="s">
        <v>541</v>
      </c>
      <c r="C9737" t="s">
        <v>12802</v>
      </c>
      <c r="D9737" t="s">
        <v>18104</v>
      </c>
      <c r="E9737" t="s">
        <v>26656</v>
      </c>
      <c r="F9737" t="s">
        <v>31362</v>
      </c>
      <c r="G9737" t="s">
        <v>31369</v>
      </c>
      <c r="H9737" t="s">
        <v>31378</v>
      </c>
      <c r="I9737" t="s">
        <v>31386</v>
      </c>
      <c r="J9737" t="s">
        <v>31709</v>
      </c>
      <c r="K9737" t="s">
        <v>40683</v>
      </c>
      <c r="M9737" t="s">
        <v>41497</v>
      </c>
      <c r="N9737" t="s">
        <v>44905</v>
      </c>
      <c r="O9737" t="s">
        <v>44906</v>
      </c>
      <c r="P9737">
        <v>0</v>
      </c>
      <c r="Q9737">
        <v>3</v>
      </c>
      <c r="R9737" t="s">
        <v>44914</v>
      </c>
      <c r="S9737" t="s">
        <v>45202</v>
      </c>
      <c r="T9737" t="s">
        <v>46672</v>
      </c>
      <c r="U9737" t="s">
        <v>47966</v>
      </c>
      <c r="V9737" t="s">
        <v>59198</v>
      </c>
      <c r="W9737" t="s">
        <v>41497</v>
      </c>
      <c r="X9737" t="s">
        <v>44915</v>
      </c>
    </row>
    <row r="9738" spans="1:24">
      <c r="A9738">
        <f>HYPERLINK("https://www.philgeps.gov.ph/GEPSNONPILOT/Tender/SplashBidNoticeAbstractUI.aspx?menuIndex=3&amp;refID=7067984&amp;Result=3","7067984")</f>
        <v>0</v>
      </c>
      <c r="B9738" t="s">
        <v>2794</v>
      </c>
      <c r="C9738" t="s">
        <v>12803</v>
      </c>
      <c r="D9738" t="s">
        <v>18148</v>
      </c>
      <c r="E9738" t="s">
        <v>26657</v>
      </c>
      <c r="F9738" t="s">
        <v>31362</v>
      </c>
      <c r="G9738" t="s">
        <v>31370</v>
      </c>
      <c r="H9738" t="s">
        <v>31379</v>
      </c>
      <c r="I9738" t="s">
        <v>31436</v>
      </c>
      <c r="J9738" t="s">
        <v>31545</v>
      </c>
      <c r="K9738" t="s">
        <v>40736</v>
      </c>
      <c r="M9738" t="s">
        <v>43991</v>
      </c>
      <c r="N9738" t="s">
        <v>44905</v>
      </c>
      <c r="O9738" t="s">
        <v>44906</v>
      </c>
      <c r="P9738">
        <v>0</v>
      </c>
      <c r="Q9738">
        <v>0</v>
      </c>
      <c r="R9738" t="s">
        <v>44914</v>
      </c>
      <c r="S9738" t="s">
        <v>45202</v>
      </c>
      <c r="T9738" t="s">
        <v>46408</v>
      </c>
      <c r="U9738" t="s">
        <v>54774</v>
      </c>
      <c r="W9738" t="s">
        <v>43991</v>
      </c>
      <c r="X9738" t="s">
        <v>44915</v>
      </c>
    </row>
    <row r="9739" spans="1:24">
      <c r="A9739">
        <f>HYPERLINK("https://www.philgeps.gov.ph/GEPSNONPILOT/Tender/SplashBidNoticeAbstractUI.aspx?menuIndex=3&amp;refID=7058240&amp;Result=3","7058240")</f>
        <v>0</v>
      </c>
      <c r="B9739" t="s">
        <v>2768</v>
      </c>
      <c r="C9739" t="s">
        <v>12804</v>
      </c>
      <c r="D9739" t="s">
        <v>18106</v>
      </c>
      <c r="E9739" t="s">
        <v>26658</v>
      </c>
      <c r="F9739" t="s">
        <v>31362</v>
      </c>
      <c r="G9739" t="s">
        <v>31369</v>
      </c>
      <c r="H9739" t="s">
        <v>31378</v>
      </c>
      <c r="I9739" t="s">
        <v>31386</v>
      </c>
      <c r="J9739" t="s">
        <v>37458</v>
      </c>
      <c r="K9739" t="s">
        <v>40662</v>
      </c>
      <c r="M9739" t="s">
        <v>43959</v>
      </c>
      <c r="N9739" t="s">
        <v>44905</v>
      </c>
      <c r="O9739" t="s">
        <v>44906</v>
      </c>
      <c r="P9739">
        <v>0</v>
      </c>
      <c r="Q9739">
        <v>1</v>
      </c>
      <c r="R9739" t="s">
        <v>44914</v>
      </c>
      <c r="S9739" t="s">
        <v>45202</v>
      </c>
      <c r="T9739" t="s">
        <v>46490</v>
      </c>
      <c r="U9739" t="s">
        <v>54775</v>
      </c>
      <c r="W9739" t="s">
        <v>43959</v>
      </c>
      <c r="X9739" t="s">
        <v>44920</v>
      </c>
    </row>
    <row r="9740" spans="1:24">
      <c r="A9740">
        <f>HYPERLINK("https://www.philgeps.gov.ph/GEPSNONPILOT/Tender/SplashBidNoticeAbstractUI.aspx?menuIndex=3&amp;refID=7067981&amp;Result=3","7067981")</f>
        <v>0</v>
      </c>
      <c r="B9740" t="s">
        <v>1002</v>
      </c>
      <c r="C9740" t="s">
        <v>12805</v>
      </c>
      <c r="E9740" t="s">
        <v>26659</v>
      </c>
      <c r="F9740" t="s">
        <v>31362</v>
      </c>
      <c r="G9740" t="s">
        <v>31368</v>
      </c>
      <c r="H9740" t="s">
        <v>15799</v>
      </c>
      <c r="I9740" t="s">
        <v>31410</v>
      </c>
      <c r="J9740" t="s">
        <v>37459</v>
      </c>
      <c r="K9740" t="s">
        <v>40665</v>
      </c>
      <c r="M9740" t="s">
        <v>43978</v>
      </c>
      <c r="N9740" t="s">
        <v>44905</v>
      </c>
      <c r="O9740" t="s">
        <v>44906</v>
      </c>
      <c r="P9740">
        <v>0</v>
      </c>
      <c r="Q9740">
        <v>0</v>
      </c>
      <c r="R9740" t="s">
        <v>44914</v>
      </c>
      <c r="S9740" t="s">
        <v>45202</v>
      </c>
      <c r="T9740" t="s">
        <v>46443</v>
      </c>
      <c r="U9740" t="s">
        <v>54776</v>
      </c>
      <c r="W9740" t="s">
        <v>60940</v>
      </c>
      <c r="X9740" t="s">
        <v>44915</v>
      </c>
    </row>
    <row r="9741" spans="1:24">
      <c r="A9741">
        <f>HYPERLINK("https://www.philgeps.gov.ph/GEPSNONPILOT/Tender/SplashBidNoticeAbstractUI.aspx?menuIndex=3&amp;refID=7067960&amp;Result=3","7067960")</f>
        <v>0</v>
      </c>
      <c r="B9741" t="s">
        <v>585</v>
      </c>
      <c r="C9741" t="s">
        <v>12806</v>
      </c>
      <c r="D9741" t="s">
        <v>18100</v>
      </c>
      <c r="E9741" t="s">
        <v>26660</v>
      </c>
      <c r="F9741" t="s">
        <v>31362</v>
      </c>
      <c r="G9741" t="s">
        <v>31369</v>
      </c>
      <c r="H9741" t="s">
        <v>15799</v>
      </c>
      <c r="I9741" t="s">
        <v>3815</v>
      </c>
      <c r="J9741" t="s">
        <v>37460</v>
      </c>
      <c r="K9741" t="s">
        <v>40662</v>
      </c>
      <c r="M9741" t="s">
        <v>41542</v>
      </c>
      <c r="N9741" t="s">
        <v>44905</v>
      </c>
      <c r="O9741" t="s">
        <v>44906</v>
      </c>
      <c r="P9741">
        <v>0</v>
      </c>
      <c r="Q9741">
        <v>0</v>
      </c>
      <c r="R9741" t="s">
        <v>44914</v>
      </c>
      <c r="S9741" t="s">
        <v>45202</v>
      </c>
      <c r="T9741" t="s">
        <v>46481</v>
      </c>
      <c r="U9741" t="s">
        <v>54777</v>
      </c>
      <c r="W9741" t="s">
        <v>41542</v>
      </c>
      <c r="X9741" t="s">
        <v>44915</v>
      </c>
    </row>
    <row r="9742" spans="1:24">
      <c r="A9742">
        <f>HYPERLINK("https://www.philgeps.gov.ph/GEPSNONPILOT/Tender/SplashBidNoticeAbstractUI.aspx?menuIndex=3&amp;refID=7068005&amp;Result=3","7068005")</f>
        <v>0</v>
      </c>
      <c r="B9742" t="s">
        <v>2136</v>
      </c>
      <c r="C9742" t="s">
        <v>12807</v>
      </c>
      <c r="D9742" t="s">
        <v>18108</v>
      </c>
      <c r="E9742" t="s">
        <v>26661</v>
      </c>
      <c r="F9742" t="s">
        <v>31362</v>
      </c>
      <c r="G9742" t="s">
        <v>31370</v>
      </c>
      <c r="H9742" t="s">
        <v>15799</v>
      </c>
      <c r="I9742" t="s">
        <v>6155</v>
      </c>
      <c r="J9742" t="s">
        <v>34369</v>
      </c>
      <c r="K9742" t="s">
        <v>40666</v>
      </c>
      <c r="M9742" t="s">
        <v>43264</v>
      </c>
      <c r="N9742" t="s">
        <v>44905</v>
      </c>
      <c r="O9742" t="s">
        <v>44906</v>
      </c>
      <c r="P9742">
        <v>0</v>
      </c>
      <c r="Q9742">
        <v>5</v>
      </c>
      <c r="R9742" t="s">
        <v>44914</v>
      </c>
      <c r="S9742" t="s">
        <v>45202</v>
      </c>
      <c r="T9742" t="s">
        <v>46414</v>
      </c>
      <c r="U9742" t="s">
        <v>54778</v>
      </c>
      <c r="W9742" t="s">
        <v>43264</v>
      </c>
      <c r="X9742" t="s">
        <v>44915</v>
      </c>
    </row>
    <row r="9743" spans="1:24">
      <c r="A9743">
        <f>HYPERLINK("https://www.philgeps.gov.ph/GEPSNONPILOT/Tender/SplashBidNoticeAbstractUI.aspx?menuIndex=3&amp;refID=7067990&amp;Result=3","7067990")</f>
        <v>0</v>
      </c>
      <c r="B9743" t="s">
        <v>585</v>
      </c>
      <c r="C9743" t="s">
        <v>12808</v>
      </c>
      <c r="D9743" t="s">
        <v>18100</v>
      </c>
      <c r="E9743" t="s">
        <v>26662</v>
      </c>
      <c r="F9743" t="s">
        <v>31362</v>
      </c>
      <c r="G9743" t="s">
        <v>31369</v>
      </c>
      <c r="H9743" t="s">
        <v>15799</v>
      </c>
      <c r="I9743" t="s">
        <v>3815</v>
      </c>
      <c r="J9743" t="s">
        <v>37461</v>
      </c>
      <c r="K9743" t="s">
        <v>40662</v>
      </c>
      <c r="M9743" t="s">
        <v>41542</v>
      </c>
      <c r="N9743" t="s">
        <v>44905</v>
      </c>
      <c r="O9743" t="s">
        <v>44906</v>
      </c>
      <c r="P9743">
        <v>0</v>
      </c>
      <c r="Q9743">
        <v>0</v>
      </c>
      <c r="R9743" t="s">
        <v>44914</v>
      </c>
      <c r="S9743" t="s">
        <v>45202</v>
      </c>
      <c r="T9743" t="s">
        <v>46504</v>
      </c>
      <c r="U9743" t="s">
        <v>54760</v>
      </c>
      <c r="W9743" t="s">
        <v>41542</v>
      </c>
      <c r="X9743" t="s">
        <v>44915</v>
      </c>
    </row>
    <row r="9744" spans="1:24">
      <c r="A9744">
        <f>HYPERLINK("https://www.philgeps.gov.ph/GEPSNONPILOT/Tender/SplashBidNoticeAbstractUI.aspx?menuIndex=3&amp;refID=7067715&amp;Result=3","7067715")</f>
        <v>0</v>
      </c>
      <c r="B9744" t="s">
        <v>2318</v>
      </c>
      <c r="C9744" t="s">
        <v>12809</v>
      </c>
      <c r="D9744" t="s">
        <v>18180</v>
      </c>
      <c r="E9744" t="s">
        <v>18844</v>
      </c>
      <c r="F9744" t="s">
        <v>31362</v>
      </c>
      <c r="G9744" t="s">
        <v>31369</v>
      </c>
      <c r="H9744" t="s">
        <v>31378</v>
      </c>
      <c r="I9744" t="s">
        <v>31386</v>
      </c>
      <c r="J9744" t="s">
        <v>37462</v>
      </c>
      <c r="K9744" t="s">
        <v>40762</v>
      </c>
      <c r="M9744" t="s">
        <v>43458</v>
      </c>
      <c r="N9744" t="s">
        <v>44905</v>
      </c>
      <c r="O9744" t="s">
        <v>44906</v>
      </c>
      <c r="P9744">
        <v>0</v>
      </c>
      <c r="Q9744">
        <v>0</v>
      </c>
      <c r="R9744" t="s">
        <v>44914</v>
      </c>
      <c r="S9744" t="s">
        <v>45202</v>
      </c>
      <c r="T9744" t="s">
        <v>46807</v>
      </c>
      <c r="U9744" t="s">
        <v>54779</v>
      </c>
      <c r="V9744" t="s">
        <v>60098</v>
      </c>
      <c r="W9744" t="s">
        <v>43458</v>
      </c>
      <c r="X9744" t="s">
        <v>44915</v>
      </c>
    </row>
    <row r="9745" spans="1:24">
      <c r="A9745">
        <f>HYPERLINK("https://www.philgeps.gov.ph/GEPSNONPILOT/Tender/SplashBidNoticeAbstractUI.aspx?menuIndex=3&amp;refID=7067934&amp;Result=3","7067934")</f>
        <v>0</v>
      </c>
      <c r="B9745" t="s">
        <v>2192</v>
      </c>
      <c r="C9745" t="s">
        <v>12810</v>
      </c>
      <c r="D9745" t="s">
        <v>18109</v>
      </c>
      <c r="E9745" t="s">
        <v>19430</v>
      </c>
      <c r="F9745" t="s">
        <v>31362</v>
      </c>
      <c r="G9745" t="s">
        <v>31369</v>
      </c>
      <c r="H9745" t="s">
        <v>15799</v>
      </c>
      <c r="I9745" t="s">
        <v>31404</v>
      </c>
      <c r="J9745" t="s">
        <v>31687</v>
      </c>
      <c r="K9745" t="s">
        <v>40677</v>
      </c>
      <c r="M9745" t="s">
        <v>43323</v>
      </c>
      <c r="N9745" t="s">
        <v>44905</v>
      </c>
      <c r="O9745" t="s">
        <v>44906</v>
      </c>
      <c r="P9745">
        <v>0</v>
      </c>
      <c r="Q9745">
        <v>0</v>
      </c>
      <c r="R9745" t="s">
        <v>44914</v>
      </c>
      <c r="S9745" t="s">
        <v>45202</v>
      </c>
      <c r="T9745" t="s">
        <v>46412</v>
      </c>
      <c r="U9745" t="s">
        <v>54753</v>
      </c>
      <c r="W9745" t="s">
        <v>43323</v>
      </c>
      <c r="X9745" t="s">
        <v>44915</v>
      </c>
    </row>
    <row r="9746" spans="1:24">
      <c r="A9746">
        <f>HYPERLINK("https://www.philgeps.gov.ph/GEPSNONPILOT/Tender/SplashBidNoticeAbstractUI.aspx?menuIndex=3&amp;refID=7067921&amp;Result=3","7067921")</f>
        <v>0</v>
      </c>
      <c r="B9746" t="s">
        <v>541</v>
      </c>
      <c r="C9746" t="s">
        <v>12811</v>
      </c>
      <c r="D9746" t="s">
        <v>18104</v>
      </c>
      <c r="E9746" t="s">
        <v>26663</v>
      </c>
      <c r="F9746" t="s">
        <v>31362</v>
      </c>
      <c r="G9746" t="s">
        <v>31369</v>
      </c>
      <c r="H9746" t="s">
        <v>31378</v>
      </c>
      <c r="I9746" t="s">
        <v>31386</v>
      </c>
      <c r="J9746" t="s">
        <v>37463</v>
      </c>
      <c r="K9746" t="s">
        <v>40665</v>
      </c>
      <c r="M9746" t="s">
        <v>41497</v>
      </c>
      <c r="N9746" t="s">
        <v>44905</v>
      </c>
      <c r="O9746" t="s">
        <v>44906</v>
      </c>
      <c r="P9746">
        <v>0</v>
      </c>
      <c r="Q9746">
        <v>0</v>
      </c>
      <c r="R9746" t="s">
        <v>44914</v>
      </c>
      <c r="S9746" t="s">
        <v>45202</v>
      </c>
      <c r="T9746" t="s">
        <v>46508</v>
      </c>
      <c r="U9746" t="s">
        <v>47966</v>
      </c>
      <c r="V9746" t="s">
        <v>59198</v>
      </c>
      <c r="W9746" t="s">
        <v>41497</v>
      </c>
      <c r="X9746" t="s">
        <v>44915</v>
      </c>
    </row>
    <row r="9747" spans="1:24">
      <c r="A9747">
        <f>HYPERLINK("https://www.philgeps.gov.ph/GEPSNONPILOT/Tender/SplashBidNoticeAbstractUI.aspx?menuIndex=3&amp;refID=7067970&amp;Result=3","7067970")</f>
        <v>0</v>
      </c>
      <c r="B9747" t="s">
        <v>682</v>
      </c>
      <c r="C9747" t="s">
        <v>12812</v>
      </c>
      <c r="E9747" t="s">
        <v>26664</v>
      </c>
      <c r="F9747" t="s">
        <v>31362</v>
      </c>
      <c r="G9747" t="s">
        <v>31369</v>
      </c>
      <c r="H9747" t="s">
        <v>15799</v>
      </c>
      <c r="I9747" t="s">
        <v>3815</v>
      </c>
      <c r="J9747" t="s">
        <v>37464</v>
      </c>
      <c r="K9747" t="s">
        <v>40676</v>
      </c>
      <c r="M9747" t="s">
        <v>41644</v>
      </c>
      <c r="N9747" t="s">
        <v>44905</v>
      </c>
      <c r="O9747" t="s">
        <v>44906</v>
      </c>
      <c r="P9747">
        <v>0</v>
      </c>
      <c r="Q9747">
        <v>1</v>
      </c>
      <c r="R9747" t="s">
        <v>44914</v>
      </c>
      <c r="S9747" t="s">
        <v>45202</v>
      </c>
      <c r="T9747" t="s">
        <v>46694</v>
      </c>
      <c r="U9747" t="s">
        <v>54780</v>
      </c>
      <c r="V9747" t="s">
        <v>60091</v>
      </c>
      <c r="W9747" t="s">
        <v>41644</v>
      </c>
      <c r="X9747" t="s">
        <v>44915</v>
      </c>
    </row>
    <row r="9748" spans="1:24">
      <c r="A9748">
        <f>HYPERLINK("https://www.philgeps.gov.ph/GEPSNONPILOT/Tender/SplashBidNoticeAbstractUI.aspx?menuIndex=3&amp;refID=7067955&amp;Result=3","7067955")</f>
        <v>0</v>
      </c>
      <c r="B9748" t="s">
        <v>2795</v>
      </c>
      <c r="C9748" t="s">
        <v>12813</v>
      </c>
      <c r="D9748" t="s">
        <v>18117</v>
      </c>
      <c r="E9748" t="s">
        <v>18203</v>
      </c>
      <c r="F9748" t="s">
        <v>31362</v>
      </c>
      <c r="G9748" t="s">
        <v>31369</v>
      </c>
      <c r="H9748" t="s">
        <v>31378</v>
      </c>
      <c r="I9748" t="s">
        <v>31386</v>
      </c>
      <c r="J9748" t="s">
        <v>37465</v>
      </c>
      <c r="K9748" t="s">
        <v>40675</v>
      </c>
      <c r="M9748" t="s">
        <v>43992</v>
      </c>
      <c r="N9748" t="s">
        <v>44905</v>
      </c>
      <c r="O9748" t="s">
        <v>44906</v>
      </c>
      <c r="P9748">
        <v>0</v>
      </c>
      <c r="Q9748">
        <v>0</v>
      </c>
      <c r="R9748" t="s">
        <v>44914</v>
      </c>
      <c r="S9748" t="s">
        <v>45202</v>
      </c>
      <c r="T9748" t="s">
        <v>46479</v>
      </c>
      <c r="U9748" t="s">
        <v>54781</v>
      </c>
      <c r="W9748" t="s">
        <v>43992</v>
      </c>
      <c r="X9748" t="s">
        <v>44915</v>
      </c>
    </row>
    <row r="9749" spans="1:24">
      <c r="A9749">
        <f>HYPERLINK("https://www.philgeps.gov.ph/GEPSNONPILOT/Tender/SplashBidNoticeAbstractUI.aspx?menuIndex=3&amp;refID=7068113&amp;Result=3","7068113")</f>
        <v>0</v>
      </c>
      <c r="B9749" t="s">
        <v>1563</v>
      </c>
      <c r="C9749" t="s">
        <v>12814</v>
      </c>
      <c r="D9749" t="s">
        <v>18138</v>
      </c>
      <c r="E9749" t="s">
        <v>26665</v>
      </c>
      <c r="F9749" t="s">
        <v>31362</v>
      </c>
      <c r="G9749" t="s">
        <v>31368</v>
      </c>
      <c r="H9749" t="s">
        <v>15799</v>
      </c>
      <c r="I9749" t="s">
        <v>31480</v>
      </c>
      <c r="J9749" t="s">
        <v>37466</v>
      </c>
      <c r="K9749" t="s">
        <v>40731</v>
      </c>
      <c r="M9749" t="s">
        <v>42615</v>
      </c>
      <c r="N9749" t="s">
        <v>44905</v>
      </c>
      <c r="O9749" t="s">
        <v>44906</v>
      </c>
      <c r="P9749">
        <v>0</v>
      </c>
      <c r="Q9749">
        <v>0</v>
      </c>
      <c r="R9749" t="s">
        <v>44914</v>
      </c>
      <c r="S9749" t="s">
        <v>45202</v>
      </c>
      <c r="T9749" t="s">
        <v>46498</v>
      </c>
      <c r="U9749" t="s">
        <v>50716</v>
      </c>
      <c r="W9749" t="s">
        <v>42615</v>
      </c>
      <c r="X9749" t="s">
        <v>44915</v>
      </c>
    </row>
    <row r="9750" spans="1:24">
      <c r="A9750">
        <f>HYPERLINK("https://www.philgeps.gov.ph/GEPSNONPILOT/Tender/SplashBidNoticeAbstractUI.aspx?menuIndex=3&amp;refID=7068109&amp;Result=3","7068109")</f>
        <v>0</v>
      </c>
      <c r="B9750" t="s">
        <v>1317</v>
      </c>
      <c r="C9750" t="s">
        <v>12815</v>
      </c>
      <c r="D9750" t="s">
        <v>18136</v>
      </c>
      <c r="E9750" t="s">
        <v>26666</v>
      </c>
      <c r="F9750" t="s">
        <v>31362</v>
      </c>
      <c r="G9750" t="s">
        <v>31368</v>
      </c>
      <c r="H9750" t="s">
        <v>15799</v>
      </c>
      <c r="I9750" t="s">
        <v>31421</v>
      </c>
      <c r="J9750" t="s">
        <v>31545</v>
      </c>
      <c r="K9750" t="s">
        <v>40665</v>
      </c>
      <c r="M9750" t="s">
        <v>42335</v>
      </c>
      <c r="N9750" t="s">
        <v>44905</v>
      </c>
      <c r="O9750" t="s">
        <v>44906</v>
      </c>
      <c r="P9750">
        <v>0</v>
      </c>
      <c r="Q9750">
        <v>0</v>
      </c>
      <c r="R9750" t="s">
        <v>44914</v>
      </c>
      <c r="S9750" t="s">
        <v>45202</v>
      </c>
      <c r="T9750" t="s">
        <v>46454</v>
      </c>
      <c r="U9750" t="s">
        <v>54782</v>
      </c>
      <c r="W9750" t="s">
        <v>42335</v>
      </c>
      <c r="X9750" t="s">
        <v>44915</v>
      </c>
    </row>
    <row r="9751" spans="1:24">
      <c r="A9751">
        <f>HYPERLINK("https://www.philgeps.gov.ph/GEPSNONPILOT/Tender/SplashBidNoticeAbstractUI.aspx?menuIndex=3&amp;refID=7068097&amp;Result=3","7068097")</f>
        <v>0</v>
      </c>
      <c r="B9751" t="s">
        <v>1586</v>
      </c>
      <c r="C9751" t="s">
        <v>12816</v>
      </c>
      <c r="D9751" t="s">
        <v>18112</v>
      </c>
      <c r="E9751" t="s">
        <v>26667</v>
      </c>
      <c r="F9751" t="s">
        <v>31362</v>
      </c>
      <c r="G9751" t="s">
        <v>31368</v>
      </c>
      <c r="H9751" t="s">
        <v>15799</v>
      </c>
      <c r="I9751" t="s">
        <v>31394</v>
      </c>
      <c r="J9751" t="s">
        <v>33956</v>
      </c>
      <c r="K9751" t="s">
        <v>40666</v>
      </c>
      <c r="M9751" t="s">
        <v>42642</v>
      </c>
      <c r="N9751" t="s">
        <v>44905</v>
      </c>
      <c r="O9751" t="s">
        <v>44906</v>
      </c>
      <c r="P9751">
        <v>0</v>
      </c>
      <c r="Q9751">
        <v>4</v>
      </c>
      <c r="R9751" t="s">
        <v>44914</v>
      </c>
      <c r="S9751" t="s">
        <v>45202</v>
      </c>
      <c r="T9751" t="s">
        <v>46434</v>
      </c>
      <c r="U9751" t="s">
        <v>54783</v>
      </c>
      <c r="V9751" t="s">
        <v>60099</v>
      </c>
      <c r="W9751" t="s">
        <v>42642</v>
      </c>
      <c r="X9751" t="s">
        <v>44915</v>
      </c>
    </row>
    <row r="9752" spans="1:24">
      <c r="A9752">
        <f>HYPERLINK("https://www.philgeps.gov.ph/GEPSNONPILOT/Tender/SplashBidNoticeAbstractUI.aspx?menuIndex=3&amp;refID=7067920&amp;Result=3","7067920")</f>
        <v>0</v>
      </c>
      <c r="B9752" t="s">
        <v>1919</v>
      </c>
      <c r="C9752" t="s">
        <v>12817</v>
      </c>
      <c r="D9752" t="s">
        <v>18125</v>
      </c>
      <c r="E9752" t="s">
        <v>26668</v>
      </c>
      <c r="F9752" t="s">
        <v>31362</v>
      </c>
      <c r="G9752" t="s">
        <v>31369</v>
      </c>
      <c r="H9752" t="s">
        <v>31378</v>
      </c>
      <c r="I9752" t="s">
        <v>31386</v>
      </c>
      <c r="J9752" t="s">
        <v>37467</v>
      </c>
      <c r="K9752" t="s">
        <v>40859</v>
      </c>
      <c r="M9752" t="s">
        <v>43016</v>
      </c>
      <c r="N9752" t="s">
        <v>44905</v>
      </c>
      <c r="O9752" t="s">
        <v>44906</v>
      </c>
      <c r="P9752">
        <v>0</v>
      </c>
      <c r="Q9752">
        <v>1</v>
      </c>
      <c r="R9752" t="s">
        <v>44914</v>
      </c>
      <c r="S9752" t="s">
        <v>45202</v>
      </c>
      <c r="T9752" t="s">
        <v>46671</v>
      </c>
      <c r="U9752" t="s">
        <v>54784</v>
      </c>
      <c r="W9752" t="s">
        <v>43016</v>
      </c>
      <c r="X9752" t="s">
        <v>44915</v>
      </c>
    </row>
    <row r="9753" spans="1:24">
      <c r="A9753">
        <f>HYPERLINK("https://www.philgeps.gov.ph/GEPSNONPILOT/Tender/SplashBidNoticeAbstractUI.aspx?menuIndex=3&amp;refID=7068090&amp;Result=3","7068090")</f>
        <v>0</v>
      </c>
      <c r="B9753" t="s">
        <v>332</v>
      </c>
      <c r="C9753" t="s">
        <v>12818</v>
      </c>
      <c r="D9753" t="s">
        <v>18153</v>
      </c>
      <c r="E9753" t="s">
        <v>26669</v>
      </c>
      <c r="F9753" t="s">
        <v>31363</v>
      </c>
      <c r="G9753" t="s">
        <v>31369</v>
      </c>
      <c r="H9753" t="s">
        <v>31378</v>
      </c>
      <c r="I9753" t="s">
        <v>31386</v>
      </c>
      <c r="J9753" t="s">
        <v>37468</v>
      </c>
      <c r="K9753" t="s">
        <v>40666</v>
      </c>
      <c r="M9753" t="s">
        <v>41278</v>
      </c>
      <c r="N9753" t="s">
        <v>44905</v>
      </c>
      <c r="O9753" t="s">
        <v>44906</v>
      </c>
      <c r="P9753">
        <v>0</v>
      </c>
      <c r="Q9753">
        <v>1</v>
      </c>
      <c r="R9753" t="s">
        <v>44914</v>
      </c>
      <c r="S9753" t="s">
        <v>45202</v>
      </c>
      <c r="T9753" t="s">
        <v>46415</v>
      </c>
      <c r="U9753" t="s">
        <v>47488</v>
      </c>
      <c r="W9753" t="s">
        <v>41278</v>
      </c>
      <c r="X9753" t="s">
        <v>44915</v>
      </c>
    </row>
    <row r="9754" spans="1:24">
      <c r="A9754">
        <f>HYPERLINK("https://www.philgeps.gov.ph/GEPSNONPILOT/Tender/SplashBidNoticeAbstractUI.aspx?menuIndex=3&amp;refID=7068077&amp;Result=3","7068077")</f>
        <v>0</v>
      </c>
      <c r="B9754" t="s">
        <v>2796</v>
      </c>
      <c r="C9754" t="s">
        <v>12819</v>
      </c>
      <c r="D9754" t="s">
        <v>18117</v>
      </c>
      <c r="E9754" t="s">
        <v>26670</v>
      </c>
      <c r="F9754" t="s">
        <v>31362</v>
      </c>
      <c r="G9754" t="s">
        <v>31369</v>
      </c>
      <c r="H9754" t="s">
        <v>15799</v>
      </c>
      <c r="I9754" t="s">
        <v>31430</v>
      </c>
      <c r="J9754" t="s">
        <v>31597</v>
      </c>
      <c r="K9754" t="s">
        <v>40670</v>
      </c>
      <c r="M9754" t="s">
        <v>43993</v>
      </c>
      <c r="N9754" t="s">
        <v>44905</v>
      </c>
      <c r="O9754" t="s">
        <v>44906</v>
      </c>
      <c r="P9754">
        <v>0</v>
      </c>
      <c r="Q9754">
        <v>0</v>
      </c>
      <c r="R9754" t="s">
        <v>44914</v>
      </c>
      <c r="S9754" t="s">
        <v>45202</v>
      </c>
      <c r="T9754" t="s">
        <v>46454</v>
      </c>
      <c r="U9754" t="s">
        <v>54785</v>
      </c>
      <c r="W9754" t="s">
        <v>43993</v>
      </c>
      <c r="X9754" t="s">
        <v>44915</v>
      </c>
    </row>
    <row r="9755" spans="1:24">
      <c r="A9755">
        <f>HYPERLINK("https://www.philgeps.gov.ph/GEPSNONPILOT/Tender/SplashBidNoticeAbstractUI.aspx?menuIndex=3&amp;refID=7067985&amp;Result=3","7067985")</f>
        <v>0</v>
      </c>
      <c r="B9755" t="s">
        <v>115</v>
      </c>
      <c r="C9755" t="s">
        <v>12820</v>
      </c>
      <c r="D9755" t="s">
        <v>18138</v>
      </c>
      <c r="E9755" t="s">
        <v>26671</v>
      </c>
      <c r="F9755" t="s">
        <v>31362</v>
      </c>
      <c r="G9755" t="s">
        <v>31369</v>
      </c>
      <c r="H9755" t="s">
        <v>15799</v>
      </c>
      <c r="I9755" t="s">
        <v>31393</v>
      </c>
      <c r="J9755" t="s">
        <v>37469</v>
      </c>
      <c r="K9755" t="s">
        <v>40662</v>
      </c>
      <c r="L9755" t="s">
        <v>115</v>
      </c>
      <c r="M9755" t="s">
        <v>43982</v>
      </c>
      <c r="N9755" t="s">
        <v>44905</v>
      </c>
      <c r="O9755" t="s">
        <v>44906</v>
      </c>
      <c r="Q9755">
        <v>6</v>
      </c>
      <c r="R9755" t="s">
        <v>44914</v>
      </c>
      <c r="S9755" t="s">
        <v>45210</v>
      </c>
      <c r="T9755" t="s">
        <v>46524</v>
      </c>
      <c r="U9755" t="s">
        <v>54786</v>
      </c>
      <c r="W9755" t="s">
        <v>43982</v>
      </c>
      <c r="X9755" t="s">
        <v>44915</v>
      </c>
    </row>
    <row r="9756" spans="1:24">
      <c r="A9756">
        <f>HYPERLINK("https://www.philgeps.gov.ph/GEPSNONPILOT/Tender/SplashBidNoticeAbstractUI.aspx?menuIndex=3&amp;refID=7068114&amp;Result=3","7068114")</f>
        <v>0</v>
      </c>
      <c r="B9756" t="s">
        <v>541</v>
      </c>
      <c r="C9756" t="s">
        <v>12821</v>
      </c>
      <c r="D9756" t="s">
        <v>18104</v>
      </c>
      <c r="E9756" t="s">
        <v>26672</v>
      </c>
      <c r="F9756" t="s">
        <v>31362</v>
      </c>
      <c r="G9756" t="s">
        <v>31369</v>
      </c>
      <c r="H9756" t="s">
        <v>31378</v>
      </c>
      <c r="I9756" t="s">
        <v>31386</v>
      </c>
      <c r="J9756" t="s">
        <v>37470</v>
      </c>
      <c r="K9756" t="s">
        <v>40678</v>
      </c>
      <c r="M9756" t="s">
        <v>41497</v>
      </c>
      <c r="N9756" t="s">
        <v>44905</v>
      </c>
      <c r="O9756" t="s">
        <v>44906</v>
      </c>
      <c r="P9756">
        <v>0</v>
      </c>
      <c r="Q9756">
        <v>4</v>
      </c>
      <c r="R9756" t="s">
        <v>44914</v>
      </c>
      <c r="S9756" t="s">
        <v>45202</v>
      </c>
      <c r="T9756" t="s">
        <v>46623</v>
      </c>
      <c r="U9756" t="s">
        <v>47966</v>
      </c>
      <c r="V9756" t="s">
        <v>59198</v>
      </c>
      <c r="W9756" t="s">
        <v>41497</v>
      </c>
      <c r="X9756" t="s">
        <v>44915</v>
      </c>
    </row>
    <row r="9757" spans="1:24">
      <c r="A9757">
        <f>HYPERLINK("https://www.philgeps.gov.ph/GEPSNONPILOT/Tender/SplashBidNoticeAbstractUI.aspx?menuIndex=3&amp;refID=7068076&amp;Result=3","7068076")</f>
        <v>0</v>
      </c>
      <c r="B9757" t="s">
        <v>1002</v>
      </c>
      <c r="C9757" t="s">
        <v>12822</v>
      </c>
      <c r="E9757" t="s">
        <v>26673</v>
      </c>
      <c r="F9757" t="s">
        <v>31362</v>
      </c>
      <c r="G9757" t="s">
        <v>31368</v>
      </c>
      <c r="H9757" t="s">
        <v>15799</v>
      </c>
      <c r="I9757" t="s">
        <v>31385</v>
      </c>
      <c r="J9757" t="s">
        <v>31545</v>
      </c>
      <c r="K9757" t="s">
        <v>40665</v>
      </c>
      <c r="M9757" t="s">
        <v>43978</v>
      </c>
      <c r="N9757" t="s">
        <v>44905</v>
      </c>
      <c r="O9757" t="s">
        <v>44906</v>
      </c>
      <c r="P9757">
        <v>0</v>
      </c>
      <c r="Q9757">
        <v>4</v>
      </c>
      <c r="R9757" t="s">
        <v>44914</v>
      </c>
      <c r="S9757" t="s">
        <v>45202</v>
      </c>
      <c r="T9757" t="s">
        <v>46443</v>
      </c>
      <c r="U9757" t="s">
        <v>54787</v>
      </c>
      <c r="W9757" t="s">
        <v>60940</v>
      </c>
      <c r="X9757" t="s">
        <v>44915</v>
      </c>
    </row>
    <row r="9758" spans="1:24">
      <c r="A9758">
        <f>HYPERLINK("https://www.philgeps.gov.ph/GEPSNONPILOT/Tender/SplashBidNoticeAbstractUI.aspx?menuIndex=3&amp;refID=7068074&amp;Result=3","7068074")</f>
        <v>0</v>
      </c>
      <c r="B9758" t="s">
        <v>2768</v>
      </c>
      <c r="C9758" t="s">
        <v>12823</v>
      </c>
      <c r="D9758" t="s">
        <v>18106</v>
      </c>
      <c r="E9758" t="s">
        <v>26674</v>
      </c>
      <c r="F9758" t="s">
        <v>31362</v>
      </c>
      <c r="G9758" t="s">
        <v>31369</v>
      </c>
      <c r="H9758" t="s">
        <v>15799</v>
      </c>
      <c r="I9758" t="s">
        <v>31409</v>
      </c>
      <c r="J9758" t="s">
        <v>37471</v>
      </c>
      <c r="K9758" t="s">
        <v>40662</v>
      </c>
      <c r="M9758" t="s">
        <v>43959</v>
      </c>
      <c r="N9758" t="s">
        <v>44905</v>
      </c>
      <c r="O9758" t="s">
        <v>44906</v>
      </c>
      <c r="P9758">
        <v>0</v>
      </c>
      <c r="Q9758">
        <v>3</v>
      </c>
      <c r="R9758" t="s">
        <v>44914</v>
      </c>
      <c r="S9758" t="s">
        <v>45202</v>
      </c>
      <c r="T9758" t="s">
        <v>46490</v>
      </c>
      <c r="U9758" t="s">
        <v>54788</v>
      </c>
      <c r="W9758" t="s">
        <v>43959</v>
      </c>
      <c r="X9758" t="s">
        <v>44915</v>
      </c>
    </row>
    <row r="9759" spans="1:24">
      <c r="A9759">
        <f>HYPERLINK("https://www.philgeps.gov.ph/GEPSNONPILOT/Tender/SplashBidNoticeAbstractUI.aspx?menuIndex=3&amp;refID=7068153&amp;Result=3","7068153")</f>
        <v>0</v>
      </c>
      <c r="B9759" t="s">
        <v>2797</v>
      </c>
      <c r="C9759" t="s">
        <v>12824</v>
      </c>
      <c r="D9759" t="s">
        <v>18116</v>
      </c>
      <c r="E9759" t="s">
        <v>18466</v>
      </c>
      <c r="F9759" t="s">
        <v>31362</v>
      </c>
      <c r="G9759" t="s">
        <v>31369</v>
      </c>
      <c r="H9759" t="s">
        <v>15799</v>
      </c>
      <c r="I9759" t="s">
        <v>7090</v>
      </c>
      <c r="J9759" t="s">
        <v>32165</v>
      </c>
      <c r="K9759" t="s">
        <v>40662</v>
      </c>
      <c r="M9759" t="s">
        <v>43994</v>
      </c>
      <c r="N9759" t="s">
        <v>44905</v>
      </c>
      <c r="O9759" t="s">
        <v>44906</v>
      </c>
      <c r="P9759">
        <v>0</v>
      </c>
      <c r="Q9759">
        <v>2</v>
      </c>
      <c r="R9759" t="s">
        <v>44914</v>
      </c>
      <c r="S9759" t="s">
        <v>45202</v>
      </c>
      <c r="T9759" t="s">
        <v>46415</v>
      </c>
      <c r="U9759" t="s">
        <v>54789</v>
      </c>
      <c r="W9759" t="s">
        <v>43994</v>
      </c>
      <c r="X9759" t="s">
        <v>44915</v>
      </c>
    </row>
    <row r="9760" spans="1:24">
      <c r="A9760">
        <f>HYPERLINK("https://www.philgeps.gov.ph/GEPSNONPILOT/Tender/SplashBidNoticeAbstractUI.aspx?menuIndex=3&amp;refID=7068098&amp;Result=3","7068098")</f>
        <v>0</v>
      </c>
      <c r="B9760" t="s">
        <v>2678</v>
      </c>
      <c r="C9760" t="s">
        <v>12825</v>
      </c>
      <c r="E9760" t="s">
        <v>26675</v>
      </c>
      <c r="F9760" t="s">
        <v>31362</v>
      </c>
      <c r="G9760" t="s">
        <v>31369</v>
      </c>
      <c r="H9760" t="s">
        <v>31378</v>
      </c>
      <c r="I9760" t="s">
        <v>31386</v>
      </c>
      <c r="J9760" t="s">
        <v>37472</v>
      </c>
      <c r="K9760" t="s">
        <v>40662</v>
      </c>
      <c r="M9760" t="s">
        <v>43864</v>
      </c>
      <c r="N9760" t="s">
        <v>44905</v>
      </c>
      <c r="O9760" t="s">
        <v>44906</v>
      </c>
      <c r="P9760">
        <v>0</v>
      </c>
      <c r="Q9760">
        <v>20</v>
      </c>
      <c r="R9760" t="s">
        <v>44914</v>
      </c>
      <c r="S9760" t="s">
        <v>45202</v>
      </c>
      <c r="T9760" t="s">
        <v>46504</v>
      </c>
      <c r="U9760" t="s">
        <v>54790</v>
      </c>
      <c r="W9760" t="s">
        <v>60941</v>
      </c>
      <c r="X9760" t="s">
        <v>44915</v>
      </c>
    </row>
    <row r="9761" spans="1:24">
      <c r="A9761">
        <f>HYPERLINK("https://www.philgeps.gov.ph/GEPSNONPILOT/Tender/SplashBidNoticeAbstractUI.aspx?menuIndex=3&amp;refID=7068214&amp;Result=3","7068214")</f>
        <v>0</v>
      </c>
      <c r="B9761" t="s">
        <v>651</v>
      </c>
      <c r="C9761" t="s">
        <v>12826</v>
      </c>
      <c r="D9761" t="s">
        <v>18114</v>
      </c>
      <c r="E9761" t="s">
        <v>26676</v>
      </c>
      <c r="F9761" t="s">
        <v>31362</v>
      </c>
      <c r="G9761" t="s">
        <v>31369</v>
      </c>
      <c r="H9761" t="s">
        <v>31378</v>
      </c>
      <c r="I9761" t="s">
        <v>31386</v>
      </c>
      <c r="J9761" t="s">
        <v>37473</v>
      </c>
      <c r="K9761" t="s">
        <v>40675</v>
      </c>
      <c r="M9761" t="s">
        <v>41612</v>
      </c>
      <c r="N9761" t="s">
        <v>44905</v>
      </c>
      <c r="O9761" t="s">
        <v>44906</v>
      </c>
      <c r="P9761">
        <v>0</v>
      </c>
      <c r="Q9761">
        <v>1</v>
      </c>
      <c r="R9761" t="s">
        <v>44914</v>
      </c>
      <c r="S9761" t="s">
        <v>45202</v>
      </c>
      <c r="T9761" t="s">
        <v>46416</v>
      </c>
      <c r="U9761" t="s">
        <v>48183</v>
      </c>
      <c r="W9761" t="s">
        <v>41612</v>
      </c>
      <c r="X9761" t="s">
        <v>44915</v>
      </c>
    </row>
    <row r="9762" spans="1:24">
      <c r="A9762">
        <f>HYPERLINK("https://www.philgeps.gov.ph/GEPSNONPILOT/Tender/SplashBidNoticeAbstractUI.aspx?menuIndex=3&amp;refID=7068271&amp;Result=3","7068271")</f>
        <v>0</v>
      </c>
      <c r="B9762" t="s">
        <v>696</v>
      </c>
      <c r="C9762" t="s">
        <v>12827</v>
      </c>
      <c r="D9762" t="s">
        <v>18179</v>
      </c>
      <c r="E9762" t="s">
        <v>26677</v>
      </c>
      <c r="F9762" t="s">
        <v>31362</v>
      </c>
      <c r="G9762" t="s">
        <v>31369</v>
      </c>
      <c r="H9762" t="s">
        <v>15799</v>
      </c>
      <c r="I9762" t="s">
        <v>31455</v>
      </c>
      <c r="J9762" t="s">
        <v>37474</v>
      </c>
      <c r="K9762" t="s">
        <v>40665</v>
      </c>
      <c r="M9762" t="s">
        <v>41661</v>
      </c>
      <c r="N9762" t="s">
        <v>44905</v>
      </c>
      <c r="O9762" t="s">
        <v>44906</v>
      </c>
      <c r="P9762">
        <v>0</v>
      </c>
      <c r="Q9762">
        <v>0</v>
      </c>
      <c r="R9762" t="s">
        <v>44914</v>
      </c>
      <c r="S9762" t="s">
        <v>45202</v>
      </c>
      <c r="T9762" t="s">
        <v>46670</v>
      </c>
      <c r="U9762" t="s">
        <v>48329</v>
      </c>
      <c r="W9762" t="s">
        <v>41661</v>
      </c>
      <c r="X9762" t="s">
        <v>44915</v>
      </c>
    </row>
    <row r="9763" spans="1:24">
      <c r="A9763">
        <f>HYPERLINK("https://www.philgeps.gov.ph/GEPSNONPILOT/Tender/SplashBidNoticeAbstractUI.aspx?menuIndex=3&amp;refID=7068084&amp;Result=3","7068084")</f>
        <v>0</v>
      </c>
      <c r="B9763" t="s">
        <v>886</v>
      </c>
      <c r="C9763" t="s">
        <v>12828</v>
      </c>
      <c r="E9763" t="s">
        <v>26678</v>
      </c>
      <c r="F9763" t="s">
        <v>31362</v>
      </c>
      <c r="G9763" t="s">
        <v>31368</v>
      </c>
      <c r="H9763" t="s">
        <v>15799</v>
      </c>
      <c r="I9763" t="s">
        <v>31388</v>
      </c>
      <c r="J9763" t="s">
        <v>37475</v>
      </c>
      <c r="K9763" t="s">
        <v>40662</v>
      </c>
      <c r="M9763" t="s">
        <v>41970</v>
      </c>
      <c r="N9763" t="s">
        <v>44905</v>
      </c>
      <c r="O9763" t="s">
        <v>44906</v>
      </c>
      <c r="Q9763">
        <v>2</v>
      </c>
      <c r="R9763" t="s">
        <v>44914</v>
      </c>
      <c r="S9763" t="s">
        <v>45211</v>
      </c>
      <c r="T9763" t="s">
        <v>46498</v>
      </c>
      <c r="U9763" t="s">
        <v>48012</v>
      </c>
      <c r="W9763" t="s">
        <v>41970</v>
      </c>
      <c r="X9763" t="s">
        <v>44915</v>
      </c>
    </row>
    <row r="9764" spans="1:24">
      <c r="A9764">
        <f>HYPERLINK("https://www.philgeps.gov.ph/GEPSNONPILOT/Tender/SplashBidNoticeAbstractUI.aspx?menuIndex=3&amp;refID=7067941&amp;Result=3","7067941")</f>
        <v>0</v>
      </c>
      <c r="B9764" t="s">
        <v>682</v>
      </c>
      <c r="C9764" t="s">
        <v>12829</v>
      </c>
      <c r="E9764" t="s">
        <v>26679</v>
      </c>
      <c r="F9764" t="s">
        <v>31362</v>
      </c>
      <c r="G9764" t="s">
        <v>31369</v>
      </c>
      <c r="H9764" t="s">
        <v>15799</v>
      </c>
      <c r="I9764" t="s">
        <v>3815</v>
      </c>
      <c r="J9764" t="s">
        <v>37476</v>
      </c>
      <c r="K9764" t="s">
        <v>40661</v>
      </c>
      <c r="M9764" t="s">
        <v>41644</v>
      </c>
      <c r="N9764" t="s">
        <v>44905</v>
      </c>
      <c r="O9764" t="s">
        <v>44906</v>
      </c>
      <c r="P9764">
        <v>0</v>
      </c>
      <c r="Q9764">
        <v>1</v>
      </c>
      <c r="R9764" t="s">
        <v>44914</v>
      </c>
      <c r="S9764" t="s">
        <v>45202</v>
      </c>
      <c r="T9764" t="s">
        <v>46694</v>
      </c>
      <c r="U9764" t="s">
        <v>54791</v>
      </c>
      <c r="V9764" t="s">
        <v>60091</v>
      </c>
      <c r="W9764" t="s">
        <v>41644</v>
      </c>
      <c r="X9764" t="s">
        <v>44915</v>
      </c>
    </row>
    <row r="9765" spans="1:24">
      <c r="A9765">
        <f>HYPERLINK("https://www.philgeps.gov.ph/GEPSNONPILOT/Tender/SplashBidNoticeAbstractUI.aspx?menuIndex=3&amp;refID=7068226&amp;Result=3","7068226")</f>
        <v>0</v>
      </c>
      <c r="B9765" t="s">
        <v>2678</v>
      </c>
      <c r="C9765" t="s">
        <v>12830</v>
      </c>
      <c r="E9765" t="s">
        <v>26680</v>
      </c>
      <c r="F9765" t="s">
        <v>31362</v>
      </c>
      <c r="G9765" t="s">
        <v>31369</v>
      </c>
      <c r="H9765" t="s">
        <v>31378</v>
      </c>
      <c r="I9765" t="s">
        <v>31386</v>
      </c>
      <c r="J9765" t="s">
        <v>37477</v>
      </c>
      <c r="K9765" t="s">
        <v>40662</v>
      </c>
      <c r="M9765" t="s">
        <v>43864</v>
      </c>
      <c r="N9765" t="s">
        <v>44905</v>
      </c>
      <c r="O9765" t="s">
        <v>44906</v>
      </c>
      <c r="Q9765">
        <v>15</v>
      </c>
      <c r="R9765" t="s">
        <v>44914</v>
      </c>
      <c r="S9765" t="s">
        <v>45212</v>
      </c>
      <c r="T9765" t="s">
        <v>46504</v>
      </c>
      <c r="U9765" t="s">
        <v>54790</v>
      </c>
      <c r="W9765" t="s">
        <v>60941</v>
      </c>
      <c r="X9765" t="s">
        <v>44915</v>
      </c>
    </row>
    <row r="9766" spans="1:24">
      <c r="A9766">
        <f>HYPERLINK("https://www.philgeps.gov.ph/GEPSNONPILOT/Tender/SplashBidNoticeAbstractUI.aspx?menuIndex=3&amp;refID=7068205&amp;Result=3","7068205")</f>
        <v>0</v>
      </c>
      <c r="B9766" t="s">
        <v>2678</v>
      </c>
      <c r="C9766" t="s">
        <v>12831</v>
      </c>
      <c r="E9766" t="s">
        <v>26681</v>
      </c>
      <c r="F9766" t="s">
        <v>31362</v>
      </c>
      <c r="G9766" t="s">
        <v>31369</v>
      </c>
      <c r="H9766" t="s">
        <v>31378</v>
      </c>
      <c r="I9766" t="s">
        <v>31386</v>
      </c>
      <c r="J9766" t="s">
        <v>37478</v>
      </c>
      <c r="K9766" t="s">
        <v>40662</v>
      </c>
      <c r="M9766" t="s">
        <v>43864</v>
      </c>
      <c r="N9766" t="s">
        <v>44905</v>
      </c>
      <c r="O9766" t="s">
        <v>44906</v>
      </c>
      <c r="Q9766">
        <v>14</v>
      </c>
      <c r="R9766" t="s">
        <v>44914</v>
      </c>
      <c r="S9766" t="s">
        <v>45213</v>
      </c>
      <c r="T9766" t="s">
        <v>46504</v>
      </c>
      <c r="U9766" t="s">
        <v>54790</v>
      </c>
      <c r="W9766" t="s">
        <v>60941</v>
      </c>
      <c r="X9766" t="s">
        <v>44915</v>
      </c>
    </row>
    <row r="9767" spans="1:24">
      <c r="A9767">
        <f>HYPERLINK("https://www.philgeps.gov.ph/GEPSNONPILOT/Tender/SplashBidNoticeAbstractUI.aspx?menuIndex=3&amp;refID=7068191&amp;Result=3","7068191")</f>
        <v>0</v>
      </c>
      <c r="B9767" t="s">
        <v>2242</v>
      </c>
      <c r="C9767" t="s">
        <v>6403</v>
      </c>
      <c r="D9767" t="s">
        <v>18116</v>
      </c>
      <c r="E9767" t="s">
        <v>20935</v>
      </c>
      <c r="F9767" t="s">
        <v>31362</v>
      </c>
      <c r="G9767" t="s">
        <v>31369</v>
      </c>
      <c r="H9767" t="s">
        <v>15799</v>
      </c>
      <c r="I9767" t="s">
        <v>7090</v>
      </c>
      <c r="J9767" t="s">
        <v>31530</v>
      </c>
      <c r="K9767" t="s">
        <v>40662</v>
      </c>
      <c r="M9767" t="s">
        <v>43379</v>
      </c>
      <c r="N9767" t="s">
        <v>44905</v>
      </c>
      <c r="O9767" t="s">
        <v>44906</v>
      </c>
      <c r="P9767">
        <v>0</v>
      </c>
      <c r="Q9767">
        <v>0</v>
      </c>
      <c r="R9767" t="s">
        <v>44914</v>
      </c>
      <c r="S9767" t="s">
        <v>45202</v>
      </c>
      <c r="T9767" t="s">
        <v>46411</v>
      </c>
      <c r="U9767" t="s">
        <v>54792</v>
      </c>
      <c r="W9767" t="s">
        <v>43379</v>
      </c>
      <c r="X9767" t="s">
        <v>44915</v>
      </c>
    </row>
    <row r="9768" spans="1:24">
      <c r="A9768">
        <f>HYPERLINK("https://www.philgeps.gov.ph/GEPSNONPILOT/Tender/SplashBidNoticeAbstractUI.aspx?menuIndex=3&amp;refID=7068188&amp;Result=3","7068188")</f>
        <v>0</v>
      </c>
      <c r="B9768" t="s">
        <v>1944</v>
      </c>
      <c r="C9768" t="s">
        <v>12832</v>
      </c>
      <c r="D9768" t="s">
        <v>18152</v>
      </c>
      <c r="E9768" t="s">
        <v>26682</v>
      </c>
      <c r="F9768" t="s">
        <v>31363</v>
      </c>
      <c r="G9768" t="s">
        <v>31369</v>
      </c>
      <c r="H9768" t="s">
        <v>31378</v>
      </c>
      <c r="I9768" t="s">
        <v>31386</v>
      </c>
      <c r="J9768" t="s">
        <v>32549</v>
      </c>
      <c r="K9768" t="s">
        <v>40698</v>
      </c>
      <c r="M9768" t="s">
        <v>43049</v>
      </c>
      <c r="N9768" t="s">
        <v>44905</v>
      </c>
      <c r="O9768" t="s">
        <v>44906</v>
      </c>
      <c r="P9768">
        <v>0</v>
      </c>
      <c r="Q9768">
        <v>0</v>
      </c>
      <c r="R9768" t="s">
        <v>44914</v>
      </c>
      <c r="S9768" t="s">
        <v>45202</v>
      </c>
      <c r="T9768" t="s">
        <v>46510</v>
      </c>
      <c r="U9768" t="s">
        <v>54793</v>
      </c>
      <c r="V9768" t="s">
        <v>60100</v>
      </c>
      <c r="W9768" t="s">
        <v>43049</v>
      </c>
      <c r="X9768" t="s">
        <v>44915</v>
      </c>
    </row>
    <row r="9769" spans="1:24">
      <c r="A9769">
        <f>HYPERLINK("https://www.philgeps.gov.ph/GEPSNONPILOT/Tender/SplashBidNoticeAbstractUI.aspx?menuIndex=3&amp;refID=7067987&amp;Result=3","7067987")</f>
        <v>0</v>
      </c>
      <c r="B9769" t="s">
        <v>2192</v>
      </c>
      <c r="C9769" t="s">
        <v>12833</v>
      </c>
      <c r="D9769" t="s">
        <v>18109</v>
      </c>
      <c r="E9769" t="s">
        <v>26683</v>
      </c>
      <c r="F9769" t="s">
        <v>31362</v>
      </c>
      <c r="G9769" t="s">
        <v>31369</v>
      </c>
      <c r="H9769" t="s">
        <v>15799</v>
      </c>
      <c r="I9769" t="s">
        <v>3815</v>
      </c>
      <c r="J9769" t="s">
        <v>37479</v>
      </c>
      <c r="K9769" t="s">
        <v>40665</v>
      </c>
      <c r="M9769" t="s">
        <v>43323</v>
      </c>
      <c r="N9769" t="s">
        <v>44905</v>
      </c>
      <c r="O9769" t="s">
        <v>44906</v>
      </c>
      <c r="P9769">
        <v>0</v>
      </c>
      <c r="Q9769">
        <v>0</v>
      </c>
      <c r="R9769" t="s">
        <v>44914</v>
      </c>
      <c r="S9769" t="s">
        <v>45202</v>
      </c>
      <c r="T9769" t="s">
        <v>46412</v>
      </c>
      <c r="U9769" t="s">
        <v>54794</v>
      </c>
      <c r="W9769" t="s">
        <v>43323</v>
      </c>
      <c r="X9769" t="s">
        <v>44915</v>
      </c>
    </row>
    <row r="9770" spans="1:24">
      <c r="A9770">
        <f>HYPERLINK("https://www.philgeps.gov.ph/GEPSNONPILOT/Tender/SplashBidNoticeAbstractUI.aspx?menuIndex=3&amp;refID=7068249&amp;Result=3","7068249")</f>
        <v>0</v>
      </c>
      <c r="B9770" t="s">
        <v>2678</v>
      </c>
      <c r="C9770" t="s">
        <v>12834</v>
      </c>
      <c r="E9770" t="s">
        <v>26684</v>
      </c>
      <c r="F9770" t="s">
        <v>31362</v>
      </c>
      <c r="G9770" t="s">
        <v>31369</v>
      </c>
      <c r="H9770" t="s">
        <v>31378</v>
      </c>
      <c r="I9770" t="s">
        <v>31386</v>
      </c>
      <c r="J9770" t="s">
        <v>37480</v>
      </c>
      <c r="K9770" t="s">
        <v>40662</v>
      </c>
      <c r="M9770" t="s">
        <v>43864</v>
      </c>
      <c r="N9770" t="s">
        <v>44905</v>
      </c>
      <c r="O9770" t="s">
        <v>44906</v>
      </c>
      <c r="Q9770">
        <v>16</v>
      </c>
      <c r="R9770" t="s">
        <v>44914</v>
      </c>
      <c r="S9770" t="s">
        <v>45214</v>
      </c>
      <c r="T9770" t="s">
        <v>46504</v>
      </c>
      <c r="U9770" t="s">
        <v>54790</v>
      </c>
      <c r="W9770" t="s">
        <v>60941</v>
      </c>
      <c r="X9770" t="s">
        <v>44915</v>
      </c>
    </row>
    <row r="9771" spans="1:24">
      <c r="A9771">
        <f>HYPERLINK("https://www.philgeps.gov.ph/GEPSNONPILOT/Tender/SplashBidNoticeAbstractUI.aspx?menuIndex=3&amp;refID=7068187&amp;Result=3","7068187")</f>
        <v>0</v>
      </c>
      <c r="B9771" t="s">
        <v>192</v>
      </c>
      <c r="C9771" t="s">
        <v>12835</v>
      </c>
      <c r="D9771" t="s">
        <v>18122</v>
      </c>
      <c r="E9771" t="s">
        <v>26685</v>
      </c>
      <c r="F9771" t="s">
        <v>31362</v>
      </c>
      <c r="G9771" t="s">
        <v>31370</v>
      </c>
      <c r="H9771" t="s">
        <v>15799</v>
      </c>
      <c r="I9771" t="s">
        <v>31415</v>
      </c>
      <c r="J9771" t="s">
        <v>32753</v>
      </c>
      <c r="K9771" t="s">
        <v>40662</v>
      </c>
      <c r="M9771" t="s">
        <v>41130</v>
      </c>
      <c r="N9771" t="s">
        <v>44905</v>
      </c>
      <c r="O9771" t="s">
        <v>44906</v>
      </c>
      <c r="Q9771">
        <v>0</v>
      </c>
      <c r="R9771" t="s">
        <v>44914</v>
      </c>
      <c r="S9771" t="s">
        <v>45215</v>
      </c>
      <c r="T9771" t="s">
        <v>46454</v>
      </c>
      <c r="U9771" t="s">
        <v>54795</v>
      </c>
      <c r="V9771" t="s">
        <v>59096</v>
      </c>
      <c r="W9771" t="s">
        <v>41130</v>
      </c>
      <c r="X9771" t="s">
        <v>44915</v>
      </c>
    </row>
    <row r="9772" spans="1:24">
      <c r="A9772">
        <f>HYPERLINK("https://www.philgeps.gov.ph/GEPSNONPILOT/Tender/SplashBidNoticeAbstractUI.aspx?menuIndex=3&amp;refID=7068183&amp;Result=3","7068183")</f>
        <v>0</v>
      </c>
      <c r="B9772" t="s">
        <v>1033</v>
      </c>
      <c r="C9772" t="s">
        <v>12836</v>
      </c>
      <c r="D9772" t="s">
        <v>18162</v>
      </c>
      <c r="E9772" t="s">
        <v>26686</v>
      </c>
      <c r="F9772" t="s">
        <v>31362</v>
      </c>
      <c r="G9772" t="s">
        <v>31369</v>
      </c>
      <c r="H9772" t="s">
        <v>15799</v>
      </c>
      <c r="I9772" t="s">
        <v>31427</v>
      </c>
      <c r="J9772" t="s">
        <v>37481</v>
      </c>
      <c r="K9772" t="s">
        <v>40670</v>
      </c>
      <c r="M9772" t="s">
        <v>42032</v>
      </c>
      <c r="N9772" t="s">
        <v>44905</v>
      </c>
      <c r="O9772" t="s">
        <v>44906</v>
      </c>
      <c r="P9772">
        <v>0</v>
      </c>
      <c r="Q9772">
        <v>1</v>
      </c>
      <c r="R9772" t="s">
        <v>44914</v>
      </c>
      <c r="S9772" t="s">
        <v>45202</v>
      </c>
      <c r="T9772" t="s">
        <v>46509</v>
      </c>
      <c r="U9772" t="s">
        <v>54796</v>
      </c>
      <c r="W9772" t="s">
        <v>42032</v>
      </c>
      <c r="X9772" t="s">
        <v>44915</v>
      </c>
    </row>
    <row r="9773" spans="1:24">
      <c r="A9773">
        <f>HYPERLINK("https://www.philgeps.gov.ph/GEPSNONPILOT/Tender/SplashBidNoticeAbstractUI.aspx?menuIndex=3&amp;refID=7068071&amp;Result=3","7068071")</f>
        <v>0</v>
      </c>
      <c r="B9773" t="s">
        <v>2798</v>
      </c>
      <c r="C9773" t="s">
        <v>12837</v>
      </c>
      <c r="D9773" t="s">
        <v>18134</v>
      </c>
      <c r="E9773" t="s">
        <v>26687</v>
      </c>
      <c r="F9773" t="s">
        <v>31362</v>
      </c>
      <c r="G9773" t="s">
        <v>31369</v>
      </c>
      <c r="H9773" t="s">
        <v>31378</v>
      </c>
      <c r="I9773" t="s">
        <v>31387</v>
      </c>
      <c r="J9773" t="s">
        <v>31577</v>
      </c>
      <c r="K9773" t="s">
        <v>40677</v>
      </c>
      <c r="M9773" t="s">
        <v>43995</v>
      </c>
      <c r="N9773" t="s">
        <v>44905</v>
      </c>
      <c r="O9773" t="s">
        <v>44906</v>
      </c>
      <c r="P9773">
        <v>0</v>
      </c>
      <c r="Q9773">
        <v>0</v>
      </c>
      <c r="R9773" t="s">
        <v>44914</v>
      </c>
      <c r="S9773" t="s">
        <v>45202</v>
      </c>
      <c r="T9773" t="s">
        <v>46469</v>
      </c>
      <c r="U9773" t="s">
        <v>54797</v>
      </c>
      <c r="V9773" t="s">
        <v>60101</v>
      </c>
      <c r="W9773" t="s">
        <v>43995</v>
      </c>
      <c r="X9773" t="s">
        <v>44915</v>
      </c>
    </row>
    <row r="9774" spans="1:24">
      <c r="A9774">
        <f>HYPERLINK("https://www.philgeps.gov.ph/GEPSNONPILOT/Tender/SplashBidNoticeAbstractUI.aspx?menuIndex=3&amp;refID=7068174&amp;Result=3","7068174")</f>
        <v>0</v>
      </c>
      <c r="B9774" t="s">
        <v>2768</v>
      </c>
      <c r="C9774" t="s">
        <v>12838</v>
      </c>
      <c r="D9774" t="s">
        <v>18106</v>
      </c>
      <c r="E9774" t="s">
        <v>26493</v>
      </c>
      <c r="F9774" t="s">
        <v>31362</v>
      </c>
      <c r="G9774" t="s">
        <v>31369</v>
      </c>
      <c r="H9774" t="s">
        <v>31378</v>
      </c>
      <c r="I9774" t="s">
        <v>31386</v>
      </c>
      <c r="J9774" t="s">
        <v>37482</v>
      </c>
      <c r="K9774" t="s">
        <v>40662</v>
      </c>
      <c r="M9774" t="s">
        <v>43959</v>
      </c>
      <c r="N9774" t="s">
        <v>44905</v>
      </c>
      <c r="O9774" t="s">
        <v>44906</v>
      </c>
      <c r="P9774">
        <v>0</v>
      </c>
      <c r="Q9774">
        <v>3</v>
      </c>
      <c r="R9774" t="s">
        <v>44914</v>
      </c>
      <c r="S9774" t="s">
        <v>45202</v>
      </c>
      <c r="T9774" t="s">
        <v>46490</v>
      </c>
      <c r="U9774" t="s">
        <v>54798</v>
      </c>
      <c r="W9774" t="s">
        <v>43959</v>
      </c>
      <c r="X9774" t="s">
        <v>44915</v>
      </c>
    </row>
    <row r="9775" spans="1:24">
      <c r="A9775">
        <f>HYPERLINK("https://www.philgeps.gov.ph/GEPSNONPILOT/Tender/SplashBidNoticeAbstractUI.aspx?menuIndex=3&amp;refID=7068154&amp;Result=3","7068154")</f>
        <v>0</v>
      </c>
      <c r="B9775" t="s">
        <v>2796</v>
      </c>
      <c r="C9775" t="s">
        <v>12839</v>
      </c>
      <c r="D9775" t="s">
        <v>18117</v>
      </c>
      <c r="E9775" t="s">
        <v>26688</v>
      </c>
      <c r="F9775" t="s">
        <v>31362</v>
      </c>
      <c r="G9775" t="s">
        <v>31369</v>
      </c>
      <c r="H9775" t="s">
        <v>15799</v>
      </c>
      <c r="I9775" t="s">
        <v>3815</v>
      </c>
      <c r="J9775" t="s">
        <v>37483</v>
      </c>
      <c r="K9775" t="s">
        <v>40670</v>
      </c>
      <c r="M9775" t="s">
        <v>43993</v>
      </c>
      <c r="N9775" t="s">
        <v>44905</v>
      </c>
      <c r="O9775" t="s">
        <v>44906</v>
      </c>
      <c r="P9775">
        <v>0</v>
      </c>
      <c r="Q9775">
        <v>1</v>
      </c>
      <c r="R9775" t="s">
        <v>44914</v>
      </c>
      <c r="S9775" t="s">
        <v>45202</v>
      </c>
      <c r="T9775" t="s">
        <v>46454</v>
      </c>
      <c r="U9775" t="s">
        <v>54799</v>
      </c>
      <c r="W9775" t="s">
        <v>43993</v>
      </c>
      <c r="X9775" t="s">
        <v>44915</v>
      </c>
    </row>
    <row r="9776" spans="1:24">
      <c r="A9776">
        <f>HYPERLINK("https://www.philgeps.gov.ph/GEPSNONPILOT/Tender/SplashBidNoticeAbstractUI.aspx?menuIndex=3&amp;refID=7068172&amp;Result=3","7068172")</f>
        <v>0</v>
      </c>
      <c r="B9776" t="s">
        <v>642</v>
      </c>
      <c r="C9776" t="s">
        <v>12840</v>
      </c>
      <c r="D9776" t="s">
        <v>18164</v>
      </c>
      <c r="E9776" t="s">
        <v>21900</v>
      </c>
      <c r="F9776" t="s">
        <v>31362</v>
      </c>
      <c r="G9776" t="s">
        <v>31369</v>
      </c>
      <c r="H9776" t="s">
        <v>15799</v>
      </c>
      <c r="I9776" t="s">
        <v>7090</v>
      </c>
      <c r="J9776" t="s">
        <v>37484</v>
      </c>
      <c r="K9776" t="s">
        <v>40665</v>
      </c>
      <c r="M9776" t="s">
        <v>41602</v>
      </c>
      <c r="N9776" t="s">
        <v>44905</v>
      </c>
      <c r="O9776" t="s">
        <v>44906</v>
      </c>
      <c r="P9776">
        <v>0</v>
      </c>
      <c r="Q9776">
        <v>4</v>
      </c>
      <c r="R9776" t="s">
        <v>44914</v>
      </c>
      <c r="S9776" t="s">
        <v>45202</v>
      </c>
      <c r="T9776" t="s">
        <v>46808</v>
      </c>
      <c r="U9776" t="s">
        <v>54800</v>
      </c>
      <c r="W9776" t="s">
        <v>41602</v>
      </c>
      <c r="X9776" t="s">
        <v>44915</v>
      </c>
    </row>
    <row r="9777" spans="1:24">
      <c r="A9777">
        <f>HYPERLINK("https://www.philgeps.gov.ph/GEPSNONPILOT/Tender/SplashBidNoticeAbstractUI.aspx?menuIndex=3&amp;refID=7068372&amp;Result=3","7068372")</f>
        <v>0</v>
      </c>
      <c r="B9777" t="s">
        <v>2784</v>
      </c>
      <c r="C9777" t="s">
        <v>12841</v>
      </c>
      <c r="D9777" t="s">
        <v>18155</v>
      </c>
      <c r="E9777" t="s">
        <v>26689</v>
      </c>
      <c r="F9777" t="s">
        <v>31362</v>
      </c>
      <c r="G9777" t="s">
        <v>31369</v>
      </c>
      <c r="H9777" t="s">
        <v>31378</v>
      </c>
      <c r="I9777" t="s">
        <v>31386</v>
      </c>
      <c r="J9777" t="s">
        <v>37485</v>
      </c>
      <c r="K9777" t="s">
        <v>40662</v>
      </c>
      <c r="M9777" t="s">
        <v>43979</v>
      </c>
      <c r="N9777" t="s">
        <v>44905</v>
      </c>
      <c r="O9777" t="s">
        <v>44906</v>
      </c>
      <c r="P9777">
        <v>0</v>
      </c>
      <c r="Q9777">
        <v>0</v>
      </c>
      <c r="R9777" t="s">
        <v>44914</v>
      </c>
      <c r="S9777" t="s">
        <v>45202</v>
      </c>
      <c r="T9777" t="s">
        <v>46519</v>
      </c>
      <c r="U9777" t="s">
        <v>54801</v>
      </c>
      <c r="W9777" t="s">
        <v>43979</v>
      </c>
      <c r="X9777" t="s">
        <v>44915</v>
      </c>
    </row>
    <row r="9778" spans="1:24">
      <c r="A9778">
        <f>HYPERLINK("https://www.philgeps.gov.ph/GEPSNONPILOT/Tender/SplashBidNoticeAbstractUI.aspx?menuIndex=3&amp;refID=7068363&amp;Result=3","7068363")</f>
        <v>0</v>
      </c>
      <c r="B9778" t="s">
        <v>2784</v>
      </c>
      <c r="C9778" t="s">
        <v>12842</v>
      </c>
      <c r="D9778" t="s">
        <v>18155</v>
      </c>
      <c r="E9778" t="s">
        <v>26690</v>
      </c>
      <c r="F9778" t="s">
        <v>31362</v>
      </c>
      <c r="G9778" t="s">
        <v>31369</v>
      </c>
      <c r="H9778" t="s">
        <v>31378</v>
      </c>
      <c r="I9778" t="s">
        <v>31386</v>
      </c>
      <c r="J9778" t="s">
        <v>37486</v>
      </c>
      <c r="K9778" t="s">
        <v>40662</v>
      </c>
      <c r="M9778" t="s">
        <v>43979</v>
      </c>
      <c r="N9778" t="s">
        <v>44905</v>
      </c>
      <c r="O9778" t="s">
        <v>44906</v>
      </c>
      <c r="P9778">
        <v>0</v>
      </c>
      <c r="Q9778">
        <v>1</v>
      </c>
      <c r="R9778" t="s">
        <v>44914</v>
      </c>
      <c r="S9778" t="s">
        <v>45202</v>
      </c>
      <c r="T9778" t="s">
        <v>46519</v>
      </c>
      <c r="U9778" t="s">
        <v>54802</v>
      </c>
      <c r="W9778" t="s">
        <v>43979</v>
      </c>
      <c r="X9778" t="s">
        <v>44915</v>
      </c>
    </row>
    <row r="9779" spans="1:24">
      <c r="A9779">
        <f>HYPERLINK("https://www.philgeps.gov.ph/GEPSNONPILOT/Tender/SplashBidNoticeAbstractUI.aspx?menuIndex=3&amp;refID=7068173&amp;Result=3","7068173")</f>
        <v>0</v>
      </c>
      <c r="B9779" t="s">
        <v>2799</v>
      </c>
      <c r="C9779" t="s">
        <v>12843</v>
      </c>
      <c r="D9779" t="s">
        <v>18117</v>
      </c>
      <c r="E9779" t="s">
        <v>26691</v>
      </c>
      <c r="F9779" t="s">
        <v>31362</v>
      </c>
      <c r="G9779" t="s">
        <v>31369</v>
      </c>
      <c r="H9779" t="s">
        <v>31378</v>
      </c>
      <c r="I9779" t="s">
        <v>31386</v>
      </c>
      <c r="J9779" t="s">
        <v>31897</v>
      </c>
      <c r="K9779" t="s">
        <v>40670</v>
      </c>
      <c r="M9779" t="s">
        <v>43996</v>
      </c>
      <c r="N9779" t="s">
        <v>44905</v>
      </c>
      <c r="O9779" t="s">
        <v>44906</v>
      </c>
      <c r="Q9779">
        <v>0</v>
      </c>
      <c r="R9779" t="s">
        <v>44914</v>
      </c>
      <c r="S9779" t="s">
        <v>45216</v>
      </c>
      <c r="T9779" t="s">
        <v>46503</v>
      </c>
      <c r="U9779" t="s">
        <v>54803</v>
      </c>
      <c r="W9779" t="s">
        <v>43996</v>
      </c>
      <c r="X9779" t="s">
        <v>44915</v>
      </c>
    </row>
    <row r="9780" spans="1:24">
      <c r="A9780">
        <f>HYPERLINK("https://www.philgeps.gov.ph/GEPSNONPILOT/Tender/SplashBidNoticeAbstractUI.aspx?menuIndex=3&amp;refID=7067604&amp;Result=3","7067604")</f>
        <v>0</v>
      </c>
      <c r="B9780" t="s">
        <v>682</v>
      </c>
      <c r="C9780" t="s">
        <v>12844</v>
      </c>
      <c r="D9780" t="s">
        <v>18120</v>
      </c>
      <c r="E9780" t="s">
        <v>26692</v>
      </c>
      <c r="F9780" t="s">
        <v>31362</v>
      </c>
      <c r="G9780" t="s">
        <v>31369</v>
      </c>
      <c r="H9780" t="s">
        <v>31378</v>
      </c>
      <c r="I9780" t="s">
        <v>31386</v>
      </c>
      <c r="J9780" t="s">
        <v>37487</v>
      </c>
      <c r="K9780" t="s">
        <v>40679</v>
      </c>
      <c r="M9780" t="s">
        <v>41644</v>
      </c>
      <c r="N9780" t="s">
        <v>44905</v>
      </c>
      <c r="O9780" t="s">
        <v>44906</v>
      </c>
      <c r="P9780">
        <v>0</v>
      </c>
      <c r="Q9780">
        <v>0</v>
      </c>
      <c r="R9780" t="s">
        <v>44914</v>
      </c>
      <c r="S9780" t="s">
        <v>45202</v>
      </c>
      <c r="T9780" t="s">
        <v>46694</v>
      </c>
      <c r="U9780" t="s">
        <v>54804</v>
      </c>
      <c r="V9780" t="s">
        <v>60077</v>
      </c>
      <c r="W9780" t="s">
        <v>41644</v>
      </c>
      <c r="X9780" t="s">
        <v>44915</v>
      </c>
    </row>
    <row r="9781" spans="1:24">
      <c r="A9781">
        <f>HYPERLINK("https://www.philgeps.gov.ph/GEPSNONPILOT/Tender/SplashBidNoticeAbstractUI.aspx?menuIndex=3&amp;refID=7068178&amp;Result=3","7068178")</f>
        <v>0</v>
      </c>
      <c r="B9781" t="s">
        <v>448</v>
      </c>
      <c r="C9781" t="s">
        <v>12845</v>
      </c>
      <c r="D9781" t="s">
        <v>18167</v>
      </c>
      <c r="E9781" t="s">
        <v>24071</v>
      </c>
      <c r="F9781" t="s">
        <v>31362</v>
      </c>
      <c r="G9781" t="s">
        <v>31369</v>
      </c>
      <c r="H9781" t="s">
        <v>31378</v>
      </c>
      <c r="I9781" t="s">
        <v>31386</v>
      </c>
      <c r="J9781" t="s">
        <v>36045</v>
      </c>
      <c r="K9781" t="s">
        <v>40686</v>
      </c>
      <c r="M9781" t="s">
        <v>41402</v>
      </c>
      <c r="N9781" t="s">
        <v>44905</v>
      </c>
      <c r="O9781" t="s">
        <v>44906</v>
      </c>
      <c r="P9781">
        <v>0</v>
      </c>
      <c r="Q9781">
        <v>1</v>
      </c>
      <c r="R9781" t="s">
        <v>44914</v>
      </c>
      <c r="S9781" t="s">
        <v>45202</v>
      </c>
      <c r="T9781" t="s">
        <v>46486</v>
      </c>
      <c r="U9781" t="s">
        <v>54805</v>
      </c>
      <c r="W9781" t="s">
        <v>41402</v>
      </c>
      <c r="X9781" t="s">
        <v>44915</v>
      </c>
    </row>
    <row r="9782" spans="1:24">
      <c r="A9782">
        <f>HYPERLINK("https://www.philgeps.gov.ph/GEPSNONPILOT/Tender/SplashBidNoticeAbstractUI.aspx?menuIndex=3&amp;refID=7068356&amp;Result=3","7068356")</f>
        <v>0</v>
      </c>
      <c r="B9782" t="s">
        <v>2800</v>
      </c>
      <c r="C9782" t="s">
        <v>12846</v>
      </c>
      <c r="D9782" t="s">
        <v>18108</v>
      </c>
      <c r="E9782" t="s">
        <v>23363</v>
      </c>
      <c r="F9782" t="s">
        <v>31362</v>
      </c>
      <c r="G9782" t="s">
        <v>31368</v>
      </c>
      <c r="H9782" t="s">
        <v>31379</v>
      </c>
      <c r="I9782" t="s">
        <v>3582</v>
      </c>
      <c r="J9782" t="s">
        <v>33736</v>
      </c>
      <c r="K9782" t="s">
        <v>40680</v>
      </c>
      <c r="M9782" t="s">
        <v>43997</v>
      </c>
      <c r="N9782" t="s">
        <v>44905</v>
      </c>
      <c r="O9782" t="s">
        <v>44906</v>
      </c>
      <c r="P9782">
        <v>0</v>
      </c>
      <c r="Q9782">
        <v>3</v>
      </c>
      <c r="R9782" t="s">
        <v>44914</v>
      </c>
      <c r="S9782" t="s">
        <v>45202</v>
      </c>
      <c r="T9782" t="s">
        <v>46467</v>
      </c>
      <c r="U9782" t="s">
        <v>54806</v>
      </c>
      <c r="W9782" t="s">
        <v>43997</v>
      </c>
      <c r="X9782" t="s">
        <v>44915</v>
      </c>
    </row>
    <row r="9783" spans="1:24">
      <c r="A9783">
        <f>HYPERLINK("https://www.philgeps.gov.ph/GEPSNONPILOT/Tender/SplashBidNoticeAbstractUI.aspx?menuIndex=3&amp;refID=7068270&amp;Result=3","7068270")</f>
        <v>0</v>
      </c>
      <c r="B9783" t="s">
        <v>2798</v>
      </c>
      <c r="C9783" t="s">
        <v>12847</v>
      </c>
      <c r="D9783" t="s">
        <v>18134</v>
      </c>
      <c r="E9783" t="s">
        <v>26693</v>
      </c>
      <c r="F9783" t="s">
        <v>31362</v>
      </c>
      <c r="G9783" t="s">
        <v>31369</v>
      </c>
      <c r="H9783" t="s">
        <v>31378</v>
      </c>
      <c r="I9783" t="s">
        <v>31386</v>
      </c>
      <c r="J9783" t="s">
        <v>31724</v>
      </c>
      <c r="K9783" t="s">
        <v>40770</v>
      </c>
      <c r="M9783" t="s">
        <v>43995</v>
      </c>
      <c r="N9783" t="s">
        <v>44905</v>
      </c>
      <c r="O9783" t="s">
        <v>44906</v>
      </c>
      <c r="P9783">
        <v>0</v>
      </c>
      <c r="Q9783">
        <v>0</v>
      </c>
      <c r="R9783" t="s">
        <v>44914</v>
      </c>
      <c r="S9783" t="s">
        <v>45202</v>
      </c>
      <c r="T9783" t="s">
        <v>46469</v>
      </c>
      <c r="U9783" t="s">
        <v>54807</v>
      </c>
      <c r="V9783" t="s">
        <v>60102</v>
      </c>
      <c r="W9783" t="s">
        <v>43995</v>
      </c>
      <c r="X9783" t="s">
        <v>44915</v>
      </c>
    </row>
    <row r="9784" spans="1:24">
      <c r="A9784">
        <f>HYPERLINK("https://www.philgeps.gov.ph/GEPSNONPILOT/Tender/SplashBidNoticeAbstractUI.aspx?menuIndex=3&amp;refID=7068350&amp;Result=3","7068350")</f>
        <v>0</v>
      </c>
      <c r="B9784" t="s">
        <v>651</v>
      </c>
      <c r="C9784" t="s">
        <v>12848</v>
      </c>
      <c r="D9784" t="s">
        <v>18114</v>
      </c>
      <c r="E9784" t="s">
        <v>26694</v>
      </c>
      <c r="F9784" t="s">
        <v>31362</v>
      </c>
      <c r="G9784" t="s">
        <v>31369</v>
      </c>
      <c r="H9784" t="s">
        <v>15799</v>
      </c>
      <c r="I9784" t="s">
        <v>31395</v>
      </c>
      <c r="J9784" t="s">
        <v>33485</v>
      </c>
      <c r="K9784" t="s">
        <v>40665</v>
      </c>
      <c r="M9784" t="s">
        <v>41612</v>
      </c>
      <c r="N9784" t="s">
        <v>44905</v>
      </c>
      <c r="O9784" t="s">
        <v>44906</v>
      </c>
      <c r="P9784">
        <v>0</v>
      </c>
      <c r="Q9784">
        <v>6</v>
      </c>
      <c r="R9784" t="s">
        <v>44914</v>
      </c>
      <c r="S9784" t="s">
        <v>45202</v>
      </c>
      <c r="T9784" t="s">
        <v>46423</v>
      </c>
      <c r="U9784" t="s">
        <v>48183</v>
      </c>
      <c r="W9784" t="s">
        <v>41612</v>
      </c>
      <c r="X9784" t="s">
        <v>44915</v>
      </c>
    </row>
    <row r="9785" spans="1:24">
      <c r="A9785">
        <f>HYPERLINK("https://www.philgeps.gov.ph/GEPSNONPILOT/Tender/SplashBidNoticeAbstractUI.aspx?menuIndex=3&amp;refID=7068360&amp;Result=3","7068360")</f>
        <v>0</v>
      </c>
      <c r="B9785" t="s">
        <v>2801</v>
      </c>
      <c r="C9785" t="s">
        <v>12849</v>
      </c>
      <c r="D9785" t="s">
        <v>18130</v>
      </c>
      <c r="E9785" t="s">
        <v>26695</v>
      </c>
      <c r="F9785" t="s">
        <v>31363</v>
      </c>
      <c r="G9785" t="s">
        <v>31369</v>
      </c>
      <c r="H9785" t="s">
        <v>31378</v>
      </c>
      <c r="I9785" t="s">
        <v>31386</v>
      </c>
      <c r="J9785" t="s">
        <v>37488</v>
      </c>
      <c r="K9785" t="s">
        <v>40662</v>
      </c>
      <c r="M9785" t="s">
        <v>43998</v>
      </c>
      <c r="N9785" t="s">
        <v>44905</v>
      </c>
      <c r="O9785" t="s">
        <v>44906</v>
      </c>
      <c r="P9785">
        <v>0</v>
      </c>
      <c r="Q9785">
        <v>0</v>
      </c>
      <c r="R9785" t="s">
        <v>44914</v>
      </c>
      <c r="S9785" t="s">
        <v>45202</v>
      </c>
      <c r="T9785" t="s">
        <v>46391</v>
      </c>
      <c r="U9785" t="s">
        <v>54808</v>
      </c>
      <c r="W9785" t="s">
        <v>43998</v>
      </c>
      <c r="X9785" t="s">
        <v>44915</v>
      </c>
    </row>
    <row r="9786" spans="1:24">
      <c r="A9786">
        <f>HYPERLINK("https://www.philgeps.gov.ph/GEPSNONPILOT/Tender/SplashBidNoticeAbstractUI.aspx?menuIndex=3&amp;refID=7068340&amp;Result=3","7068340")</f>
        <v>0</v>
      </c>
      <c r="B9786" t="s">
        <v>2800</v>
      </c>
      <c r="C9786" t="s">
        <v>12850</v>
      </c>
      <c r="D9786" t="s">
        <v>18108</v>
      </c>
      <c r="E9786" t="s">
        <v>23320</v>
      </c>
      <c r="F9786" t="s">
        <v>31362</v>
      </c>
      <c r="G9786" t="s">
        <v>31368</v>
      </c>
      <c r="H9786" t="s">
        <v>31379</v>
      </c>
      <c r="I9786" t="s">
        <v>3582</v>
      </c>
      <c r="J9786" t="s">
        <v>33736</v>
      </c>
      <c r="K9786" t="s">
        <v>40680</v>
      </c>
      <c r="M9786" t="s">
        <v>43997</v>
      </c>
      <c r="N9786" t="s">
        <v>44905</v>
      </c>
      <c r="O9786" t="s">
        <v>44906</v>
      </c>
      <c r="P9786">
        <v>0</v>
      </c>
      <c r="Q9786">
        <v>4</v>
      </c>
      <c r="R9786" t="s">
        <v>44914</v>
      </c>
      <c r="S9786" t="s">
        <v>45202</v>
      </c>
      <c r="T9786" t="s">
        <v>46467</v>
      </c>
      <c r="U9786" t="s">
        <v>54806</v>
      </c>
      <c r="W9786" t="s">
        <v>43997</v>
      </c>
      <c r="X9786" t="s">
        <v>44915</v>
      </c>
    </row>
    <row r="9787" spans="1:24">
      <c r="A9787">
        <f>HYPERLINK("https://www.philgeps.gov.ph/GEPSNONPILOT/Tender/SplashBidNoticeAbstractUI.aspx?menuIndex=3&amp;refID=7068335&amp;Result=3","7068335")</f>
        <v>0</v>
      </c>
      <c r="B9787" t="s">
        <v>651</v>
      </c>
      <c r="C9787" t="s">
        <v>12851</v>
      </c>
      <c r="D9787" t="s">
        <v>18114</v>
      </c>
      <c r="E9787" t="s">
        <v>26696</v>
      </c>
      <c r="F9787" t="s">
        <v>31362</v>
      </c>
      <c r="G9787" t="s">
        <v>31369</v>
      </c>
      <c r="H9787" t="s">
        <v>15799</v>
      </c>
      <c r="I9787" t="s">
        <v>31409</v>
      </c>
      <c r="J9787" t="s">
        <v>31951</v>
      </c>
      <c r="K9787" t="s">
        <v>40665</v>
      </c>
      <c r="M9787" t="s">
        <v>41612</v>
      </c>
      <c r="N9787" t="s">
        <v>44905</v>
      </c>
      <c r="O9787" t="s">
        <v>44906</v>
      </c>
      <c r="P9787">
        <v>0</v>
      </c>
      <c r="Q9787">
        <v>2</v>
      </c>
      <c r="R9787" t="s">
        <v>44914</v>
      </c>
      <c r="S9787" t="s">
        <v>45202</v>
      </c>
      <c r="T9787" t="s">
        <v>46423</v>
      </c>
      <c r="U9787" t="s">
        <v>54809</v>
      </c>
      <c r="W9787" t="s">
        <v>41612</v>
      </c>
      <c r="X9787" t="s">
        <v>44915</v>
      </c>
    </row>
    <row r="9788" spans="1:24">
      <c r="A9788">
        <f>HYPERLINK("https://www.philgeps.gov.ph/GEPSNONPILOT/Tender/SplashBidNoticeAbstractUI.aspx?menuIndex=3&amp;refID=7068331&amp;Result=3","7068331")</f>
        <v>0</v>
      </c>
      <c r="B9788" t="s">
        <v>2784</v>
      </c>
      <c r="C9788" t="s">
        <v>12852</v>
      </c>
      <c r="D9788" t="s">
        <v>18155</v>
      </c>
      <c r="E9788" t="s">
        <v>26697</v>
      </c>
      <c r="F9788" t="s">
        <v>31362</v>
      </c>
      <c r="G9788" t="s">
        <v>31369</v>
      </c>
      <c r="H9788" t="s">
        <v>31378</v>
      </c>
      <c r="I9788" t="s">
        <v>31386</v>
      </c>
      <c r="J9788" t="s">
        <v>37489</v>
      </c>
      <c r="K9788" t="s">
        <v>40662</v>
      </c>
      <c r="M9788" t="s">
        <v>43979</v>
      </c>
      <c r="N9788" t="s">
        <v>44905</v>
      </c>
      <c r="O9788" t="s">
        <v>44906</v>
      </c>
      <c r="P9788">
        <v>0</v>
      </c>
      <c r="Q9788">
        <v>0</v>
      </c>
      <c r="R9788" t="s">
        <v>44914</v>
      </c>
      <c r="S9788" t="s">
        <v>45202</v>
      </c>
      <c r="T9788" t="s">
        <v>46519</v>
      </c>
      <c r="U9788" t="s">
        <v>54810</v>
      </c>
      <c r="W9788" t="s">
        <v>43979</v>
      </c>
      <c r="X9788" t="s">
        <v>44915</v>
      </c>
    </row>
    <row r="9789" spans="1:24">
      <c r="A9789">
        <f>HYPERLINK("https://www.philgeps.gov.ph/GEPSNONPILOT/Tender/SplashBidNoticeAbstractUI.aspx?menuIndex=3&amp;refID=7068327&amp;Result=3","7068327")</f>
        <v>0</v>
      </c>
      <c r="B9789" t="s">
        <v>2802</v>
      </c>
      <c r="C9789" t="s">
        <v>12853</v>
      </c>
      <c r="E9789" t="s">
        <v>26698</v>
      </c>
      <c r="F9789" t="s">
        <v>31362</v>
      </c>
      <c r="G9789" t="s">
        <v>31369</v>
      </c>
      <c r="H9789" t="s">
        <v>31378</v>
      </c>
      <c r="I9789" t="s">
        <v>31386</v>
      </c>
      <c r="J9789" t="s">
        <v>37490</v>
      </c>
      <c r="K9789" t="s">
        <v>40665</v>
      </c>
      <c r="M9789" t="s">
        <v>43999</v>
      </c>
      <c r="N9789" t="s">
        <v>44905</v>
      </c>
      <c r="O9789" t="s">
        <v>44906</v>
      </c>
      <c r="P9789">
        <v>0</v>
      </c>
      <c r="Q9789">
        <v>0</v>
      </c>
      <c r="R9789" t="s">
        <v>44914</v>
      </c>
      <c r="S9789" t="s">
        <v>45202</v>
      </c>
      <c r="T9789" t="s">
        <v>46447</v>
      </c>
      <c r="U9789" t="s">
        <v>54811</v>
      </c>
      <c r="W9789" t="s">
        <v>43999</v>
      </c>
      <c r="X9789" t="s">
        <v>44915</v>
      </c>
    </row>
    <row r="9790" spans="1:24">
      <c r="A9790">
        <f>HYPERLINK("https://www.philgeps.gov.ph/GEPSNONPILOT/Tender/SplashBidNoticeAbstractUI.aspx?menuIndex=3&amp;refID=7068323&amp;Result=3","7068323")</f>
        <v>0</v>
      </c>
      <c r="B9790" t="s">
        <v>2784</v>
      </c>
      <c r="C9790" t="s">
        <v>12854</v>
      </c>
      <c r="D9790" t="s">
        <v>18155</v>
      </c>
      <c r="E9790" t="s">
        <v>26699</v>
      </c>
      <c r="F9790" t="s">
        <v>31362</v>
      </c>
      <c r="G9790" t="s">
        <v>31369</v>
      </c>
      <c r="H9790" t="s">
        <v>31378</v>
      </c>
      <c r="I9790" t="s">
        <v>31386</v>
      </c>
      <c r="J9790" t="s">
        <v>37491</v>
      </c>
      <c r="K9790" t="s">
        <v>40662</v>
      </c>
      <c r="M9790" t="s">
        <v>43979</v>
      </c>
      <c r="N9790" t="s">
        <v>44905</v>
      </c>
      <c r="O9790" t="s">
        <v>44906</v>
      </c>
      <c r="P9790">
        <v>0</v>
      </c>
      <c r="Q9790">
        <v>0</v>
      </c>
      <c r="R9790" t="s">
        <v>44914</v>
      </c>
      <c r="S9790" t="s">
        <v>45202</v>
      </c>
      <c r="T9790" t="s">
        <v>46519</v>
      </c>
      <c r="U9790" t="s">
        <v>54812</v>
      </c>
      <c r="W9790" t="s">
        <v>43979</v>
      </c>
      <c r="X9790" t="s">
        <v>44915</v>
      </c>
    </row>
    <row r="9791" spans="1:24">
      <c r="A9791">
        <f>HYPERLINK("https://www.philgeps.gov.ph/GEPSNONPILOT/Tender/SplashBidNoticeAbstractUI.aspx?menuIndex=3&amp;refID=7068353&amp;Result=3","7068353")</f>
        <v>0</v>
      </c>
      <c r="B9791" t="s">
        <v>2784</v>
      </c>
      <c r="C9791" t="s">
        <v>12855</v>
      </c>
      <c r="D9791" t="s">
        <v>18155</v>
      </c>
      <c r="E9791" t="s">
        <v>26700</v>
      </c>
      <c r="F9791" t="s">
        <v>31362</v>
      </c>
      <c r="G9791" t="s">
        <v>31369</v>
      </c>
      <c r="H9791" t="s">
        <v>31378</v>
      </c>
      <c r="I9791" t="s">
        <v>31386</v>
      </c>
      <c r="J9791" t="s">
        <v>37492</v>
      </c>
      <c r="K9791" t="s">
        <v>40662</v>
      </c>
      <c r="M9791" t="s">
        <v>43979</v>
      </c>
      <c r="N9791" t="s">
        <v>44905</v>
      </c>
      <c r="O9791" t="s">
        <v>44906</v>
      </c>
      <c r="P9791">
        <v>0</v>
      </c>
      <c r="Q9791">
        <v>0</v>
      </c>
      <c r="R9791" t="s">
        <v>44914</v>
      </c>
      <c r="S9791" t="s">
        <v>45202</v>
      </c>
      <c r="T9791" t="s">
        <v>46519</v>
      </c>
      <c r="U9791" t="s">
        <v>54813</v>
      </c>
      <c r="W9791" t="s">
        <v>43979</v>
      </c>
      <c r="X9791" t="s">
        <v>44915</v>
      </c>
    </row>
    <row r="9792" spans="1:24">
      <c r="A9792">
        <f>HYPERLINK("https://www.philgeps.gov.ph/GEPSNONPILOT/Tender/SplashBidNoticeAbstractUI.aspx?menuIndex=3&amp;refID=7068348&amp;Result=3","7068348")</f>
        <v>0</v>
      </c>
      <c r="B9792" t="s">
        <v>2784</v>
      </c>
      <c r="C9792" t="s">
        <v>12856</v>
      </c>
      <c r="D9792" t="s">
        <v>18155</v>
      </c>
      <c r="E9792" t="s">
        <v>26701</v>
      </c>
      <c r="F9792" t="s">
        <v>31362</v>
      </c>
      <c r="G9792" t="s">
        <v>31369</v>
      </c>
      <c r="H9792" t="s">
        <v>31378</v>
      </c>
      <c r="I9792" t="s">
        <v>31386</v>
      </c>
      <c r="J9792" t="s">
        <v>31738</v>
      </c>
      <c r="K9792" t="s">
        <v>40662</v>
      </c>
      <c r="M9792" t="s">
        <v>43979</v>
      </c>
      <c r="N9792" t="s">
        <v>44905</v>
      </c>
      <c r="O9792" t="s">
        <v>44906</v>
      </c>
      <c r="P9792">
        <v>0</v>
      </c>
      <c r="Q9792">
        <v>0</v>
      </c>
      <c r="R9792" t="s">
        <v>44914</v>
      </c>
      <c r="S9792" t="s">
        <v>45202</v>
      </c>
      <c r="T9792" t="s">
        <v>46519</v>
      </c>
      <c r="U9792" t="s">
        <v>54814</v>
      </c>
      <c r="W9792" t="s">
        <v>43979</v>
      </c>
      <c r="X9792" t="s">
        <v>44915</v>
      </c>
    </row>
    <row r="9793" spans="1:24">
      <c r="A9793">
        <f>HYPERLINK("https://www.philgeps.gov.ph/GEPSNONPILOT/Tender/SplashBidNoticeAbstractUI.aspx?menuIndex=3&amp;refID=7068318&amp;Result=3","7068318")</f>
        <v>0</v>
      </c>
      <c r="B9793" t="s">
        <v>2784</v>
      </c>
      <c r="C9793" t="s">
        <v>12857</v>
      </c>
      <c r="D9793" t="s">
        <v>18155</v>
      </c>
      <c r="E9793" t="s">
        <v>26702</v>
      </c>
      <c r="F9793" t="s">
        <v>31362</v>
      </c>
      <c r="G9793" t="s">
        <v>31369</v>
      </c>
      <c r="H9793" t="s">
        <v>31378</v>
      </c>
      <c r="I9793" t="s">
        <v>31386</v>
      </c>
      <c r="J9793" t="s">
        <v>37493</v>
      </c>
      <c r="K9793" t="s">
        <v>40662</v>
      </c>
      <c r="M9793" t="s">
        <v>43979</v>
      </c>
      <c r="N9793" t="s">
        <v>44905</v>
      </c>
      <c r="O9793" t="s">
        <v>44906</v>
      </c>
      <c r="P9793">
        <v>0</v>
      </c>
      <c r="Q9793">
        <v>0</v>
      </c>
      <c r="R9793" t="s">
        <v>44914</v>
      </c>
      <c r="S9793" t="s">
        <v>45202</v>
      </c>
      <c r="T9793" t="s">
        <v>46519</v>
      </c>
      <c r="U9793" t="s">
        <v>54815</v>
      </c>
      <c r="W9793" t="s">
        <v>43979</v>
      </c>
      <c r="X9793" t="s">
        <v>44915</v>
      </c>
    </row>
    <row r="9794" spans="1:24">
      <c r="A9794">
        <f>HYPERLINK("https://www.philgeps.gov.ph/GEPSNONPILOT/Tender/SplashBidNoticeAbstractUI.aspx?menuIndex=3&amp;refID=7068310&amp;Result=3","7068310")</f>
        <v>0</v>
      </c>
      <c r="B9794" t="s">
        <v>332</v>
      </c>
      <c r="C9794" t="s">
        <v>4154</v>
      </c>
      <c r="D9794" t="s">
        <v>18153</v>
      </c>
      <c r="E9794" t="s">
        <v>18800</v>
      </c>
      <c r="F9794" t="s">
        <v>31363</v>
      </c>
      <c r="G9794" t="s">
        <v>31369</v>
      </c>
      <c r="H9794" t="s">
        <v>31378</v>
      </c>
      <c r="I9794" t="s">
        <v>31386</v>
      </c>
      <c r="J9794" t="s">
        <v>32025</v>
      </c>
      <c r="K9794" t="s">
        <v>40702</v>
      </c>
      <c r="M9794" t="s">
        <v>41278</v>
      </c>
      <c r="N9794" t="s">
        <v>44905</v>
      </c>
      <c r="O9794" t="s">
        <v>44906</v>
      </c>
      <c r="P9794">
        <v>0</v>
      </c>
      <c r="Q9794">
        <v>2</v>
      </c>
      <c r="R9794" t="s">
        <v>44914</v>
      </c>
      <c r="S9794" t="s">
        <v>45202</v>
      </c>
      <c r="T9794" t="s">
        <v>46560</v>
      </c>
      <c r="U9794" t="s">
        <v>47488</v>
      </c>
      <c r="W9794" t="s">
        <v>41278</v>
      </c>
      <c r="X9794" t="s">
        <v>44915</v>
      </c>
    </row>
    <row r="9795" spans="1:24">
      <c r="A9795">
        <f>HYPERLINK("https://www.philgeps.gov.ph/GEPSNONPILOT/Tender/SplashBidNoticeAbstractUI.aspx?menuIndex=3&amp;refID=7068277&amp;Result=3","7068277")</f>
        <v>0</v>
      </c>
      <c r="B9795" t="s">
        <v>789</v>
      </c>
      <c r="C9795" t="s">
        <v>12858</v>
      </c>
      <c r="E9795" t="s">
        <v>26703</v>
      </c>
      <c r="F9795" t="s">
        <v>31362</v>
      </c>
      <c r="G9795" t="s">
        <v>31369</v>
      </c>
      <c r="H9795" t="s">
        <v>15799</v>
      </c>
      <c r="I9795" t="s">
        <v>4942</v>
      </c>
      <c r="J9795" t="s">
        <v>37494</v>
      </c>
      <c r="K9795" t="s">
        <v>40662</v>
      </c>
      <c r="M9795" t="s">
        <v>41759</v>
      </c>
      <c r="N9795" t="s">
        <v>44905</v>
      </c>
      <c r="O9795" t="s">
        <v>44906</v>
      </c>
      <c r="Q9795">
        <v>3</v>
      </c>
      <c r="R9795" t="s">
        <v>44914</v>
      </c>
      <c r="S9795" t="s">
        <v>45217</v>
      </c>
      <c r="T9795" t="s">
        <v>46809</v>
      </c>
      <c r="U9795" t="s">
        <v>54816</v>
      </c>
      <c r="W9795" t="s">
        <v>41759</v>
      </c>
      <c r="X9795" t="s">
        <v>44915</v>
      </c>
    </row>
    <row r="9796" spans="1:24">
      <c r="A9796">
        <f>HYPERLINK("https://www.philgeps.gov.ph/GEPSNONPILOT/Tender/SplashBidNoticeAbstractUI.aspx?menuIndex=3&amp;refID=7068138&amp;Result=3","7068138")</f>
        <v>0</v>
      </c>
      <c r="B9796" t="s">
        <v>2678</v>
      </c>
      <c r="C9796" t="s">
        <v>12859</v>
      </c>
      <c r="E9796" t="s">
        <v>26704</v>
      </c>
      <c r="F9796" t="s">
        <v>31362</v>
      </c>
      <c r="G9796" t="s">
        <v>31369</v>
      </c>
      <c r="H9796" t="s">
        <v>31378</v>
      </c>
      <c r="I9796" t="s">
        <v>31386</v>
      </c>
      <c r="J9796" t="s">
        <v>37472</v>
      </c>
      <c r="K9796" t="s">
        <v>40662</v>
      </c>
      <c r="M9796" t="s">
        <v>43864</v>
      </c>
      <c r="N9796" t="s">
        <v>44905</v>
      </c>
      <c r="O9796" t="s">
        <v>44906</v>
      </c>
      <c r="P9796">
        <v>0</v>
      </c>
      <c r="Q9796">
        <v>21</v>
      </c>
      <c r="R9796" t="s">
        <v>44914</v>
      </c>
      <c r="S9796" t="s">
        <v>45202</v>
      </c>
      <c r="T9796" t="s">
        <v>46612</v>
      </c>
      <c r="U9796" t="s">
        <v>54790</v>
      </c>
      <c r="W9796" t="s">
        <v>60941</v>
      </c>
      <c r="X9796" t="s">
        <v>44915</v>
      </c>
    </row>
    <row r="9797" spans="1:24">
      <c r="A9797">
        <f>HYPERLINK("https://www.philgeps.gov.ph/GEPSNONPILOT/Tender/SplashBidNoticeAbstractUI.aspx?menuIndex=3&amp;refID=7068328&amp;Result=3","7068328")</f>
        <v>0</v>
      </c>
      <c r="B9797" t="s">
        <v>219</v>
      </c>
      <c r="C9797" t="s">
        <v>12860</v>
      </c>
      <c r="D9797" t="s">
        <v>18124</v>
      </c>
      <c r="E9797" t="s">
        <v>26705</v>
      </c>
      <c r="F9797" t="s">
        <v>31362</v>
      </c>
      <c r="G9797" t="s">
        <v>31369</v>
      </c>
      <c r="H9797" t="s">
        <v>15799</v>
      </c>
      <c r="I9797" t="s">
        <v>7188</v>
      </c>
      <c r="J9797" t="s">
        <v>37495</v>
      </c>
      <c r="K9797" t="s">
        <v>40665</v>
      </c>
      <c r="M9797" t="s">
        <v>44000</v>
      </c>
      <c r="N9797" t="s">
        <v>44905</v>
      </c>
      <c r="O9797" t="s">
        <v>44906</v>
      </c>
      <c r="P9797">
        <v>0</v>
      </c>
      <c r="Q9797">
        <v>5</v>
      </c>
      <c r="R9797" t="s">
        <v>44914</v>
      </c>
      <c r="S9797" t="s">
        <v>45202</v>
      </c>
      <c r="T9797" t="s">
        <v>46419</v>
      </c>
      <c r="U9797" t="s">
        <v>54817</v>
      </c>
      <c r="W9797" t="s">
        <v>41751</v>
      </c>
      <c r="X9797" t="s">
        <v>44915</v>
      </c>
    </row>
    <row r="9798" spans="1:24">
      <c r="A9798">
        <f>HYPERLINK("https://www.philgeps.gov.ph/GEPSNONPILOT/Tender/SplashBidNoticeAbstractUI.aspx?menuIndex=3&amp;refID=7068195&amp;Result=3","7068195")</f>
        <v>0</v>
      </c>
      <c r="B9798" t="s">
        <v>448</v>
      </c>
      <c r="C9798" t="s">
        <v>12861</v>
      </c>
      <c r="D9798" t="s">
        <v>18167</v>
      </c>
      <c r="E9798" t="s">
        <v>26706</v>
      </c>
      <c r="F9798" t="s">
        <v>31362</v>
      </c>
      <c r="G9798" t="s">
        <v>31369</v>
      </c>
      <c r="H9798" t="s">
        <v>31378</v>
      </c>
      <c r="I9798" t="s">
        <v>31386</v>
      </c>
      <c r="J9798" t="s">
        <v>36045</v>
      </c>
      <c r="K9798" t="s">
        <v>40686</v>
      </c>
      <c r="M9798" t="s">
        <v>41402</v>
      </c>
      <c r="N9798" t="s">
        <v>44905</v>
      </c>
      <c r="O9798" t="s">
        <v>44906</v>
      </c>
      <c r="P9798">
        <v>0</v>
      </c>
      <c r="Q9798">
        <v>1</v>
      </c>
      <c r="R9798" t="s">
        <v>44914</v>
      </c>
      <c r="S9798" t="s">
        <v>45202</v>
      </c>
      <c r="T9798" t="s">
        <v>46486</v>
      </c>
      <c r="U9798" t="s">
        <v>54805</v>
      </c>
      <c r="W9798" t="s">
        <v>41402</v>
      </c>
      <c r="X9798" t="s">
        <v>44915</v>
      </c>
    </row>
    <row r="9799" spans="1:24">
      <c r="A9799">
        <f>HYPERLINK("https://www.philgeps.gov.ph/GEPSNONPILOT/Tender/SplashBidNoticeAbstractUI.aspx?menuIndex=3&amp;refID=7068127&amp;Result=3","7068127")</f>
        <v>0</v>
      </c>
      <c r="B9799" t="s">
        <v>2796</v>
      </c>
      <c r="C9799" t="s">
        <v>12862</v>
      </c>
      <c r="D9799" t="s">
        <v>18117</v>
      </c>
      <c r="E9799" t="s">
        <v>26707</v>
      </c>
      <c r="F9799" t="s">
        <v>31362</v>
      </c>
      <c r="G9799" t="s">
        <v>31369</v>
      </c>
      <c r="H9799" t="s">
        <v>15799</v>
      </c>
      <c r="I9799" t="s">
        <v>3815</v>
      </c>
      <c r="J9799" t="s">
        <v>37496</v>
      </c>
      <c r="K9799" t="s">
        <v>40670</v>
      </c>
      <c r="M9799" t="s">
        <v>43993</v>
      </c>
      <c r="N9799" t="s">
        <v>44905</v>
      </c>
      <c r="O9799" t="s">
        <v>44906</v>
      </c>
      <c r="P9799">
        <v>0</v>
      </c>
      <c r="Q9799">
        <v>1</v>
      </c>
      <c r="R9799" t="s">
        <v>44914</v>
      </c>
      <c r="S9799" t="s">
        <v>45202</v>
      </c>
      <c r="T9799" t="s">
        <v>46454</v>
      </c>
      <c r="U9799" t="s">
        <v>54799</v>
      </c>
      <c r="W9799" t="s">
        <v>43993</v>
      </c>
      <c r="X9799" t="s">
        <v>44915</v>
      </c>
    </row>
    <row r="9800" spans="1:24">
      <c r="A9800">
        <f>HYPERLINK("https://www.philgeps.gov.ph/GEPSNONPILOT/Tender/SplashBidNoticeAbstractUI.aspx?menuIndex=3&amp;refID=7068044&amp;Result=3","7068044")</f>
        <v>0</v>
      </c>
      <c r="B9800" t="s">
        <v>232</v>
      </c>
      <c r="C9800" t="s">
        <v>12863</v>
      </c>
      <c r="D9800" t="s">
        <v>18101</v>
      </c>
      <c r="E9800" t="s">
        <v>26708</v>
      </c>
      <c r="F9800" t="s">
        <v>31362</v>
      </c>
      <c r="G9800" t="s">
        <v>31368</v>
      </c>
      <c r="H9800" t="s">
        <v>15799</v>
      </c>
      <c r="I9800" t="s">
        <v>31388</v>
      </c>
      <c r="J9800" t="s">
        <v>37497</v>
      </c>
      <c r="K9800" t="s">
        <v>40661</v>
      </c>
      <c r="M9800" t="s">
        <v>41171</v>
      </c>
      <c r="N9800" t="s">
        <v>44905</v>
      </c>
      <c r="O9800" t="s">
        <v>44906</v>
      </c>
      <c r="P9800">
        <v>0</v>
      </c>
      <c r="Q9800">
        <v>1</v>
      </c>
      <c r="R9800" t="s">
        <v>44914</v>
      </c>
      <c r="S9800" t="s">
        <v>45202</v>
      </c>
      <c r="T9800" t="s">
        <v>46409</v>
      </c>
      <c r="U9800" t="s">
        <v>54818</v>
      </c>
      <c r="W9800" t="s">
        <v>41171</v>
      </c>
      <c r="X9800" t="s">
        <v>44915</v>
      </c>
    </row>
    <row r="9801" spans="1:24">
      <c r="A9801">
        <f>HYPERLINK("https://www.philgeps.gov.ph/GEPSNONPILOT/Tender/SplashBidNoticeAbstractUI.aspx?menuIndex=3&amp;refID=7068301&amp;Result=3","7068301")</f>
        <v>0</v>
      </c>
      <c r="B9801" t="s">
        <v>249</v>
      </c>
      <c r="C9801" t="s">
        <v>12864</v>
      </c>
      <c r="D9801" t="s">
        <v>18110</v>
      </c>
      <c r="E9801" t="s">
        <v>26709</v>
      </c>
      <c r="F9801" t="s">
        <v>31362</v>
      </c>
      <c r="G9801" t="s">
        <v>31368</v>
      </c>
      <c r="H9801" t="s">
        <v>15799</v>
      </c>
      <c r="I9801" t="s">
        <v>7719</v>
      </c>
      <c r="J9801" t="s">
        <v>35094</v>
      </c>
      <c r="K9801" t="s">
        <v>40662</v>
      </c>
      <c r="M9801" t="s">
        <v>41188</v>
      </c>
      <c r="N9801" t="s">
        <v>44905</v>
      </c>
      <c r="O9801" t="s">
        <v>44906</v>
      </c>
      <c r="Q9801">
        <v>22</v>
      </c>
      <c r="R9801" t="s">
        <v>44914</v>
      </c>
      <c r="S9801" t="s">
        <v>45218</v>
      </c>
      <c r="T9801" t="s">
        <v>46393</v>
      </c>
      <c r="U9801" t="s">
        <v>47345</v>
      </c>
      <c r="W9801" t="s">
        <v>41188</v>
      </c>
      <c r="X9801" t="s">
        <v>44915</v>
      </c>
    </row>
    <row r="9802" spans="1:24">
      <c r="A9802">
        <f>HYPERLINK("https://www.philgeps.gov.ph/GEPSNONPILOT/Tender/SplashBidNoticeAbstractUI.aspx?menuIndex=3&amp;refID=7068197&amp;Result=3","7068197")</f>
        <v>0</v>
      </c>
      <c r="B9802" t="s">
        <v>1520</v>
      </c>
      <c r="C9802" t="s">
        <v>12865</v>
      </c>
      <c r="D9802" t="s">
        <v>18133</v>
      </c>
      <c r="E9802" t="s">
        <v>26710</v>
      </c>
      <c r="F9802" t="s">
        <v>31362</v>
      </c>
      <c r="G9802" t="s">
        <v>31369</v>
      </c>
      <c r="H9802" t="s">
        <v>15799</v>
      </c>
      <c r="I9802" t="s">
        <v>31386</v>
      </c>
      <c r="J9802" t="s">
        <v>37498</v>
      </c>
      <c r="K9802" t="s">
        <v>40686</v>
      </c>
      <c r="M9802" t="s">
        <v>42564</v>
      </c>
      <c r="N9802" t="s">
        <v>44905</v>
      </c>
      <c r="O9802" t="s">
        <v>44906</v>
      </c>
      <c r="P9802">
        <v>0</v>
      </c>
      <c r="Q9802">
        <v>6</v>
      </c>
      <c r="R9802" t="s">
        <v>44914</v>
      </c>
      <c r="S9802" t="s">
        <v>45202</v>
      </c>
      <c r="T9802" t="s">
        <v>46504</v>
      </c>
      <c r="U9802" t="s">
        <v>54819</v>
      </c>
      <c r="W9802" t="s">
        <v>42564</v>
      </c>
      <c r="X9802" t="s">
        <v>44915</v>
      </c>
    </row>
    <row r="9803" spans="1:24">
      <c r="A9803">
        <f>HYPERLINK("https://www.philgeps.gov.ph/GEPSNONPILOT/Tender/SplashBidNoticeAbstractUI.aspx?menuIndex=3&amp;refID=7068037&amp;Result=3","7068037")</f>
        <v>0</v>
      </c>
      <c r="B9803" t="s">
        <v>1944</v>
      </c>
      <c r="C9803" t="s">
        <v>12866</v>
      </c>
      <c r="D9803" t="s">
        <v>18152</v>
      </c>
      <c r="E9803" t="s">
        <v>26711</v>
      </c>
      <c r="F9803" t="s">
        <v>31363</v>
      </c>
      <c r="G9803" t="s">
        <v>31370</v>
      </c>
      <c r="H9803" t="s">
        <v>15799</v>
      </c>
      <c r="I9803" t="s">
        <v>31387</v>
      </c>
      <c r="J9803" t="s">
        <v>31530</v>
      </c>
      <c r="K9803" t="s">
        <v>40665</v>
      </c>
      <c r="M9803" t="s">
        <v>43049</v>
      </c>
      <c r="N9803" t="s">
        <v>44905</v>
      </c>
      <c r="O9803" t="s">
        <v>44906</v>
      </c>
      <c r="P9803">
        <v>0</v>
      </c>
      <c r="Q9803">
        <v>0</v>
      </c>
      <c r="R9803" t="s">
        <v>44914</v>
      </c>
      <c r="S9803" t="s">
        <v>45202</v>
      </c>
      <c r="T9803" t="s">
        <v>46490</v>
      </c>
      <c r="U9803" t="s">
        <v>54820</v>
      </c>
      <c r="W9803" t="s">
        <v>43049</v>
      </c>
      <c r="X9803" t="s">
        <v>44915</v>
      </c>
    </row>
    <row r="9804" spans="1:24">
      <c r="A9804">
        <f>HYPERLINK("https://www.philgeps.gov.ph/GEPSNONPILOT/Tender/SplashBidNoticeAbstractUI.aspx?menuIndex=3&amp;refID=7068272&amp;Result=3","7068272")</f>
        <v>0</v>
      </c>
      <c r="B9804" t="s">
        <v>2795</v>
      </c>
      <c r="C9804" t="s">
        <v>12867</v>
      </c>
      <c r="D9804" t="s">
        <v>18117</v>
      </c>
      <c r="E9804" t="s">
        <v>18201</v>
      </c>
      <c r="F9804" t="s">
        <v>31362</v>
      </c>
      <c r="G9804" t="s">
        <v>31369</v>
      </c>
      <c r="H9804" t="s">
        <v>31378</v>
      </c>
      <c r="I9804" t="s">
        <v>31386</v>
      </c>
      <c r="J9804" t="s">
        <v>37499</v>
      </c>
      <c r="K9804" t="s">
        <v>40675</v>
      </c>
      <c r="M9804" t="s">
        <v>43992</v>
      </c>
      <c r="N9804" t="s">
        <v>44905</v>
      </c>
      <c r="O9804" t="s">
        <v>44906</v>
      </c>
      <c r="P9804">
        <v>0</v>
      </c>
      <c r="Q9804">
        <v>0</v>
      </c>
      <c r="R9804" t="s">
        <v>44914</v>
      </c>
      <c r="S9804" t="s">
        <v>45202</v>
      </c>
      <c r="T9804" t="s">
        <v>46796</v>
      </c>
      <c r="U9804" t="s">
        <v>54821</v>
      </c>
      <c r="W9804" t="s">
        <v>43992</v>
      </c>
      <c r="X9804" t="s">
        <v>44915</v>
      </c>
    </row>
    <row r="9805" spans="1:24">
      <c r="A9805">
        <f>HYPERLINK("https://www.philgeps.gov.ph/GEPSNONPILOT/Tender/SplashBidNoticeAbstractUI.aspx?menuIndex=3&amp;refID=7068297&amp;Result=3","7068297")</f>
        <v>0</v>
      </c>
      <c r="B9805" t="s">
        <v>2432</v>
      </c>
      <c r="C9805" t="s">
        <v>12868</v>
      </c>
      <c r="D9805" t="s">
        <v>18107</v>
      </c>
      <c r="E9805" t="s">
        <v>26712</v>
      </c>
      <c r="F9805" t="s">
        <v>31362</v>
      </c>
      <c r="G9805" t="s">
        <v>31369</v>
      </c>
      <c r="H9805" t="s">
        <v>31378</v>
      </c>
      <c r="I9805" t="s">
        <v>31439</v>
      </c>
      <c r="J9805" t="s">
        <v>37500</v>
      </c>
      <c r="K9805" t="s">
        <v>40682</v>
      </c>
      <c r="M9805" t="s">
        <v>43590</v>
      </c>
      <c r="N9805" t="s">
        <v>44905</v>
      </c>
      <c r="O9805" t="s">
        <v>44906</v>
      </c>
      <c r="P9805">
        <v>0</v>
      </c>
      <c r="Q9805">
        <v>0</v>
      </c>
      <c r="R9805" t="s">
        <v>44914</v>
      </c>
      <c r="S9805" t="s">
        <v>45202</v>
      </c>
      <c r="T9805" t="s">
        <v>46464</v>
      </c>
      <c r="U9805" t="s">
        <v>54822</v>
      </c>
      <c r="W9805" t="s">
        <v>43590</v>
      </c>
      <c r="X9805" t="s">
        <v>44915</v>
      </c>
    </row>
    <row r="9806" spans="1:24">
      <c r="A9806">
        <f>HYPERLINK("https://www.philgeps.gov.ph/GEPSNONPILOT/Tender/SplashBidNoticeAbstractUI.aspx?menuIndex=3&amp;refID=7068471&amp;Result=3","7068471")</f>
        <v>0</v>
      </c>
      <c r="B9806" t="s">
        <v>2186</v>
      </c>
      <c r="C9806" t="s">
        <v>12869</v>
      </c>
      <c r="E9806" t="s">
        <v>24088</v>
      </c>
      <c r="F9806" t="s">
        <v>31362</v>
      </c>
      <c r="G9806" t="s">
        <v>31370</v>
      </c>
      <c r="H9806" t="s">
        <v>15799</v>
      </c>
      <c r="I9806" t="s">
        <v>31415</v>
      </c>
      <c r="J9806" t="s">
        <v>37501</v>
      </c>
      <c r="K9806" t="s">
        <v>40661</v>
      </c>
      <c r="M9806" t="s">
        <v>43317</v>
      </c>
      <c r="N9806" t="s">
        <v>44905</v>
      </c>
      <c r="O9806" t="s">
        <v>44906</v>
      </c>
      <c r="P9806">
        <v>0</v>
      </c>
      <c r="Q9806">
        <v>1</v>
      </c>
      <c r="R9806" t="s">
        <v>44914</v>
      </c>
      <c r="S9806" t="s">
        <v>45202</v>
      </c>
      <c r="T9806" t="s">
        <v>46416</v>
      </c>
      <c r="U9806" t="s">
        <v>54823</v>
      </c>
      <c r="V9806" t="s">
        <v>60103</v>
      </c>
      <c r="W9806" t="s">
        <v>43317</v>
      </c>
      <c r="X9806" t="s">
        <v>44915</v>
      </c>
    </row>
    <row r="9807" spans="1:24">
      <c r="A9807">
        <f>HYPERLINK("https://www.philgeps.gov.ph/GEPSNONPILOT/Tender/SplashBidNoticeAbstractUI.aspx?menuIndex=3&amp;refID=7068465&amp;Result=3","7068465")</f>
        <v>0</v>
      </c>
      <c r="B9807" t="s">
        <v>2709</v>
      </c>
      <c r="C9807" t="s">
        <v>12870</v>
      </c>
      <c r="D9807" t="s">
        <v>18131</v>
      </c>
      <c r="E9807" t="s">
        <v>26713</v>
      </c>
      <c r="F9807" t="s">
        <v>31363</v>
      </c>
      <c r="G9807" t="s">
        <v>31368</v>
      </c>
      <c r="H9807" t="s">
        <v>15799</v>
      </c>
      <c r="I9807" t="s">
        <v>31409</v>
      </c>
      <c r="J9807" t="s">
        <v>31531</v>
      </c>
      <c r="K9807" t="s">
        <v>40661</v>
      </c>
      <c r="M9807" t="s">
        <v>43895</v>
      </c>
      <c r="N9807" t="s">
        <v>44905</v>
      </c>
      <c r="O9807" t="s">
        <v>44906</v>
      </c>
      <c r="P9807">
        <v>0</v>
      </c>
      <c r="Q9807">
        <v>0</v>
      </c>
      <c r="R9807" t="s">
        <v>44914</v>
      </c>
      <c r="S9807" t="s">
        <v>45202</v>
      </c>
      <c r="T9807" t="s">
        <v>46434</v>
      </c>
      <c r="U9807" t="s">
        <v>54824</v>
      </c>
      <c r="W9807" t="s">
        <v>43895</v>
      </c>
      <c r="X9807" t="s">
        <v>44915</v>
      </c>
    </row>
    <row r="9808" spans="1:24">
      <c r="A9808">
        <f>HYPERLINK("https://www.philgeps.gov.ph/GEPSNONPILOT/Tender/SplashBidNoticeAbstractUI.aspx?menuIndex=3&amp;refID=7068463&amp;Result=3","7068463")</f>
        <v>0</v>
      </c>
      <c r="B9808" t="s">
        <v>2803</v>
      </c>
      <c r="C9808" t="s">
        <v>12871</v>
      </c>
      <c r="D9808" t="s">
        <v>18114</v>
      </c>
      <c r="E9808" t="s">
        <v>26714</v>
      </c>
      <c r="F9808" t="s">
        <v>31364</v>
      </c>
      <c r="G9808" t="s">
        <v>31373</v>
      </c>
      <c r="H9808" t="s">
        <v>31378</v>
      </c>
      <c r="I9808" t="s">
        <v>31392</v>
      </c>
      <c r="J9808" t="s">
        <v>37502</v>
      </c>
      <c r="K9808" t="s">
        <v>40697</v>
      </c>
      <c r="M9808" t="s">
        <v>44001</v>
      </c>
      <c r="N9808" t="s">
        <v>44905</v>
      </c>
      <c r="O9808" t="s">
        <v>44906</v>
      </c>
      <c r="P9808">
        <v>0</v>
      </c>
      <c r="Q9808">
        <v>3</v>
      </c>
      <c r="R9808" t="s">
        <v>44914</v>
      </c>
      <c r="S9808" t="s">
        <v>45202</v>
      </c>
      <c r="T9808" t="s">
        <v>46409</v>
      </c>
      <c r="U9808" t="s">
        <v>54825</v>
      </c>
      <c r="W9808" t="s">
        <v>44001</v>
      </c>
      <c r="X9808" t="s">
        <v>44915</v>
      </c>
    </row>
    <row r="9809" spans="1:24">
      <c r="A9809">
        <f>HYPERLINK("https://www.philgeps.gov.ph/GEPSNONPILOT/Tender/SplashBidNoticeAbstractUI.aspx?menuIndex=3&amp;refID=7068457&amp;Result=3","7068457")</f>
        <v>0</v>
      </c>
      <c r="B9809" t="s">
        <v>2658</v>
      </c>
      <c r="C9809" t="s">
        <v>12872</v>
      </c>
      <c r="D9809" t="s">
        <v>18100</v>
      </c>
      <c r="E9809" t="s">
        <v>26715</v>
      </c>
      <c r="F9809" t="s">
        <v>31362</v>
      </c>
      <c r="G9809" t="s">
        <v>31368</v>
      </c>
      <c r="H9809" t="s">
        <v>15799</v>
      </c>
      <c r="I9809" t="s">
        <v>7719</v>
      </c>
      <c r="J9809" t="s">
        <v>34153</v>
      </c>
      <c r="K9809" t="s">
        <v>40682</v>
      </c>
      <c r="M9809" t="s">
        <v>43842</v>
      </c>
      <c r="N9809" t="s">
        <v>44905</v>
      </c>
      <c r="O9809" t="s">
        <v>44906</v>
      </c>
      <c r="P9809">
        <v>0</v>
      </c>
      <c r="Q9809">
        <v>31</v>
      </c>
      <c r="R9809" t="s">
        <v>44914</v>
      </c>
      <c r="S9809" t="s">
        <v>45202</v>
      </c>
      <c r="T9809" t="s">
        <v>46417</v>
      </c>
      <c r="U9809" t="s">
        <v>54826</v>
      </c>
      <c r="W9809" t="s">
        <v>43842</v>
      </c>
      <c r="X9809" t="s">
        <v>44915</v>
      </c>
    </row>
    <row r="9810" spans="1:24">
      <c r="A9810">
        <f>HYPERLINK("https://www.philgeps.gov.ph/GEPSNONPILOT/Tender/SplashBidNoticeAbstractUI.aspx?menuIndex=3&amp;refID=7068451&amp;Result=3","7068451")</f>
        <v>0</v>
      </c>
      <c r="B9810" t="s">
        <v>1317</v>
      </c>
      <c r="C9810" t="s">
        <v>12873</v>
      </c>
      <c r="D9810" t="s">
        <v>18136</v>
      </c>
      <c r="E9810" t="s">
        <v>26716</v>
      </c>
      <c r="F9810" t="s">
        <v>31362</v>
      </c>
      <c r="G9810" t="s">
        <v>31368</v>
      </c>
      <c r="H9810" t="s">
        <v>15799</v>
      </c>
      <c r="I9810" t="s">
        <v>31494</v>
      </c>
      <c r="J9810" t="s">
        <v>31688</v>
      </c>
      <c r="K9810" t="s">
        <v>40665</v>
      </c>
      <c r="M9810" t="s">
        <v>42335</v>
      </c>
      <c r="N9810" t="s">
        <v>44905</v>
      </c>
      <c r="O9810" t="s">
        <v>44906</v>
      </c>
      <c r="P9810">
        <v>0</v>
      </c>
      <c r="Q9810">
        <v>6</v>
      </c>
      <c r="R9810" t="s">
        <v>44914</v>
      </c>
      <c r="S9810" t="s">
        <v>45202</v>
      </c>
      <c r="T9810" t="s">
        <v>46454</v>
      </c>
      <c r="U9810" t="s">
        <v>54827</v>
      </c>
      <c r="W9810" t="s">
        <v>42335</v>
      </c>
      <c r="X9810" t="s">
        <v>44915</v>
      </c>
    </row>
    <row r="9811" spans="1:24">
      <c r="A9811">
        <f>HYPERLINK("https://www.philgeps.gov.ph/GEPSNONPILOT/Tender/SplashBidNoticeAbstractUI.aspx?menuIndex=3&amp;refID=7068462&amp;Result=3","7068462")</f>
        <v>0</v>
      </c>
      <c r="B9811" t="s">
        <v>2804</v>
      </c>
      <c r="C9811" t="s">
        <v>12874</v>
      </c>
      <c r="D9811" t="s">
        <v>18123</v>
      </c>
      <c r="E9811" t="s">
        <v>26717</v>
      </c>
      <c r="F9811" t="s">
        <v>31362</v>
      </c>
      <c r="G9811" t="s">
        <v>31369</v>
      </c>
      <c r="H9811" t="s">
        <v>15799</v>
      </c>
      <c r="I9811" t="s">
        <v>3815</v>
      </c>
      <c r="J9811" t="s">
        <v>37503</v>
      </c>
      <c r="K9811" t="s">
        <v>40665</v>
      </c>
      <c r="M9811" t="s">
        <v>44002</v>
      </c>
      <c r="N9811" t="s">
        <v>44905</v>
      </c>
      <c r="O9811" t="s">
        <v>44906</v>
      </c>
      <c r="P9811">
        <v>0</v>
      </c>
      <c r="Q9811">
        <v>1</v>
      </c>
      <c r="R9811" t="s">
        <v>44914</v>
      </c>
      <c r="S9811" t="s">
        <v>45202</v>
      </c>
      <c r="T9811" t="s">
        <v>46419</v>
      </c>
      <c r="U9811" t="s">
        <v>54828</v>
      </c>
      <c r="W9811" t="s">
        <v>44002</v>
      </c>
      <c r="X9811" t="s">
        <v>44915</v>
      </c>
    </row>
    <row r="9812" spans="1:24">
      <c r="A9812">
        <f>HYPERLINK("https://www.philgeps.gov.ph/GEPSNONPILOT/Tender/SplashBidNoticeAbstractUI.aspx?menuIndex=3&amp;refID=7068444&amp;Result=3","7068444")</f>
        <v>0</v>
      </c>
      <c r="B9812" t="s">
        <v>1037</v>
      </c>
      <c r="C9812" t="s">
        <v>12875</v>
      </c>
      <c r="E9812" t="s">
        <v>26718</v>
      </c>
      <c r="F9812" t="s">
        <v>31362</v>
      </c>
      <c r="G9812" t="s">
        <v>31369</v>
      </c>
      <c r="H9812" t="s">
        <v>31378</v>
      </c>
      <c r="I9812" t="s">
        <v>31386</v>
      </c>
      <c r="J9812" t="s">
        <v>37504</v>
      </c>
      <c r="K9812" t="s">
        <v>40674</v>
      </c>
      <c r="M9812" t="s">
        <v>43675</v>
      </c>
      <c r="N9812" t="s">
        <v>44905</v>
      </c>
      <c r="O9812" t="s">
        <v>44906</v>
      </c>
      <c r="P9812">
        <v>0</v>
      </c>
      <c r="Q9812">
        <v>0</v>
      </c>
      <c r="R9812" t="s">
        <v>44914</v>
      </c>
      <c r="S9812" t="s">
        <v>45202</v>
      </c>
      <c r="T9812" t="s">
        <v>46418</v>
      </c>
      <c r="U9812" t="s">
        <v>54829</v>
      </c>
      <c r="V9812" t="s">
        <v>60104</v>
      </c>
      <c r="W9812" t="s">
        <v>43675</v>
      </c>
      <c r="X9812" t="s">
        <v>44915</v>
      </c>
    </row>
    <row r="9813" spans="1:24">
      <c r="A9813">
        <f>HYPERLINK("https://www.philgeps.gov.ph/GEPSNONPILOT/Tender/SplashBidNoticeAbstractUI.aspx?menuIndex=3&amp;refID=7068433&amp;Result=3","7068433")</f>
        <v>0</v>
      </c>
      <c r="B9813" t="s">
        <v>1578</v>
      </c>
      <c r="C9813" t="s">
        <v>12876</v>
      </c>
      <c r="D9813" t="s">
        <v>18108</v>
      </c>
      <c r="E9813" t="s">
        <v>26719</v>
      </c>
      <c r="F9813" t="s">
        <v>31362</v>
      </c>
      <c r="G9813" t="s">
        <v>31372</v>
      </c>
      <c r="H9813" t="s">
        <v>15799</v>
      </c>
      <c r="I9813" t="s">
        <v>31406</v>
      </c>
      <c r="J9813" t="s">
        <v>37505</v>
      </c>
      <c r="K9813" t="s">
        <v>40665</v>
      </c>
      <c r="M9813" t="s">
        <v>44003</v>
      </c>
      <c r="N9813" t="s">
        <v>44905</v>
      </c>
      <c r="O9813" t="s">
        <v>44906</v>
      </c>
      <c r="P9813">
        <v>0</v>
      </c>
      <c r="Q9813">
        <v>9</v>
      </c>
      <c r="R9813" t="s">
        <v>44914</v>
      </c>
      <c r="S9813" t="s">
        <v>45202</v>
      </c>
      <c r="T9813" t="s">
        <v>46810</v>
      </c>
      <c r="U9813" t="s">
        <v>54830</v>
      </c>
      <c r="V9813" t="s">
        <v>60105</v>
      </c>
      <c r="W9813" t="s">
        <v>44003</v>
      </c>
      <c r="X9813" t="s">
        <v>44915</v>
      </c>
    </row>
    <row r="9814" spans="1:24">
      <c r="A9814">
        <f>HYPERLINK("https://www.philgeps.gov.ph/GEPSNONPILOT/Tender/SplashBidNoticeAbstractUI.aspx?menuIndex=3&amp;refID=7068429&amp;Result=3","7068429")</f>
        <v>0</v>
      </c>
      <c r="B9814" t="s">
        <v>2658</v>
      </c>
      <c r="C9814" t="s">
        <v>12877</v>
      </c>
      <c r="D9814" t="s">
        <v>18100</v>
      </c>
      <c r="E9814" t="s">
        <v>26720</v>
      </c>
      <c r="F9814" t="s">
        <v>31362</v>
      </c>
      <c r="G9814" t="s">
        <v>31368</v>
      </c>
      <c r="H9814" t="s">
        <v>15799</v>
      </c>
      <c r="I9814" t="s">
        <v>7719</v>
      </c>
      <c r="J9814" t="s">
        <v>31536</v>
      </c>
      <c r="K9814" t="s">
        <v>40682</v>
      </c>
      <c r="M9814" t="s">
        <v>43842</v>
      </c>
      <c r="N9814" t="s">
        <v>44905</v>
      </c>
      <c r="O9814" t="s">
        <v>44906</v>
      </c>
      <c r="P9814">
        <v>0</v>
      </c>
      <c r="Q9814">
        <v>31</v>
      </c>
      <c r="R9814" t="s">
        <v>44914</v>
      </c>
      <c r="S9814" t="s">
        <v>45202</v>
      </c>
      <c r="T9814" t="s">
        <v>46417</v>
      </c>
      <c r="U9814" t="s">
        <v>54831</v>
      </c>
      <c r="W9814" t="s">
        <v>43842</v>
      </c>
      <c r="X9814" t="s">
        <v>44915</v>
      </c>
    </row>
    <row r="9815" spans="1:24">
      <c r="A9815">
        <f>HYPERLINK("https://www.philgeps.gov.ph/GEPSNONPILOT/Tender/SplashBidNoticeAbstractUI.aspx?menuIndex=3&amp;refID=7068450&amp;Result=3","7068450")</f>
        <v>0</v>
      </c>
      <c r="B9815" t="s">
        <v>1144</v>
      </c>
      <c r="C9815" t="s">
        <v>12878</v>
      </c>
      <c r="D9815" t="s">
        <v>18154</v>
      </c>
      <c r="E9815" t="s">
        <v>26721</v>
      </c>
      <c r="F9815" t="s">
        <v>31362</v>
      </c>
      <c r="G9815" t="s">
        <v>31369</v>
      </c>
      <c r="H9815" t="s">
        <v>15799</v>
      </c>
      <c r="I9815" t="s">
        <v>7719</v>
      </c>
      <c r="J9815" t="s">
        <v>33028</v>
      </c>
      <c r="K9815" t="s">
        <v>40662</v>
      </c>
      <c r="M9815" t="s">
        <v>42153</v>
      </c>
      <c r="N9815" t="s">
        <v>44905</v>
      </c>
      <c r="O9815" t="s">
        <v>44906</v>
      </c>
      <c r="P9815">
        <v>0</v>
      </c>
      <c r="Q9815">
        <v>22</v>
      </c>
      <c r="R9815" t="s">
        <v>44914</v>
      </c>
      <c r="S9815" t="s">
        <v>45202</v>
      </c>
      <c r="T9815" t="s">
        <v>46490</v>
      </c>
      <c r="U9815" t="s">
        <v>54832</v>
      </c>
      <c r="W9815" t="s">
        <v>42153</v>
      </c>
      <c r="X9815" t="s">
        <v>44915</v>
      </c>
    </row>
    <row r="9816" spans="1:24">
      <c r="A9816">
        <f>HYPERLINK("https://www.philgeps.gov.ph/GEPSNONPILOT/Tender/SplashBidNoticeAbstractUI.aspx?menuIndex=3&amp;refID=7068421&amp;Result=3","7068421")</f>
        <v>0</v>
      </c>
      <c r="B9816" t="s">
        <v>2805</v>
      </c>
      <c r="C9816" t="s">
        <v>12879</v>
      </c>
      <c r="D9816" t="s">
        <v>18175</v>
      </c>
      <c r="E9816" t="s">
        <v>26722</v>
      </c>
      <c r="F9816" t="s">
        <v>31362</v>
      </c>
      <c r="G9816" t="s">
        <v>31370</v>
      </c>
      <c r="H9816" t="s">
        <v>15799</v>
      </c>
      <c r="I9816" t="s">
        <v>7090</v>
      </c>
      <c r="J9816" t="s">
        <v>37506</v>
      </c>
      <c r="K9816" t="s">
        <v>40661</v>
      </c>
      <c r="M9816" t="s">
        <v>44004</v>
      </c>
      <c r="N9816" t="s">
        <v>44905</v>
      </c>
      <c r="O9816" t="s">
        <v>44906</v>
      </c>
      <c r="P9816">
        <v>0</v>
      </c>
      <c r="Q9816">
        <v>6</v>
      </c>
      <c r="R9816" t="s">
        <v>44914</v>
      </c>
      <c r="S9816" t="s">
        <v>45202</v>
      </c>
      <c r="T9816" t="s">
        <v>46432</v>
      </c>
      <c r="U9816" t="s">
        <v>54833</v>
      </c>
      <c r="W9816" t="s">
        <v>44004</v>
      </c>
      <c r="X9816" t="s">
        <v>44915</v>
      </c>
    </row>
    <row r="9817" spans="1:24">
      <c r="A9817">
        <f>HYPERLINK("https://www.philgeps.gov.ph/GEPSNONPILOT/Tender/SplashBidNoticeAbstractUI.aspx?menuIndex=3&amp;refID=7068443&amp;Result=3","7068443")</f>
        <v>0</v>
      </c>
      <c r="B9817" t="s">
        <v>2804</v>
      </c>
      <c r="C9817" t="s">
        <v>12880</v>
      </c>
      <c r="D9817" t="s">
        <v>18123</v>
      </c>
      <c r="E9817" t="s">
        <v>26723</v>
      </c>
      <c r="F9817" t="s">
        <v>31362</v>
      </c>
      <c r="G9817" t="s">
        <v>31369</v>
      </c>
      <c r="H9817" t="s">
        <v>15799</v>
      </c>
      <c r="I9817" t="s">
        <v>3815</v>
      </c>
      <c r="J9817" t="s">
        <v>37507</v>
      </c>
      <c r="K9817" t="s">
        <v>40665</v>
      </c>
      <c r="M9817" t="s">
        <v>44002</v>
      </c>
      <c r="N9817" t="s">
        <v>44905</v>
      </c>
      <c r="O9817" t="s">
        <v>44906</v>
      </c>
      <c r="P9817">
        <v>0</v>
      </c>
      <c r="Q9817">
        <v>1</v>
      </c>
      <c r="R9817" t="s">
        <v>44914</v>
      </c>
      <c r="S9817" t="s">
        <v>45202</v>
      </c>
      <c r="T9817" t="s">
        <v>46419</v>
      </c>
      <c r="U9817" t="s">
        <v>54828</v>
      </c>
      <c r="W9817" t="s">
        <v>44002</v>
      </c>
      <c r="X9817" t="s">
        <v>44915</v>
      </c>
    </row>
    <row r="9818" spans="1:24">
      <c r="A9818">
        <f>HYPERLINK("https://www.philgeps.gov.ph/GEPSNONPILOT/Tender/SplashBidNoticeAbstractUI.aspx?menuIndex=3&amp;refID=7068427&amp;Result=3","7068427")</f>
        <v>0</v>
      </c>
      <c r="B9818" t="s">
        <v>2804</v>
      </c>
      <c r="C9818" t="s">
        <v>12881</v>
      </c>
      <c r="D9818" t="s">
        <v>18123</v>
      </c>
      <c r="E9818" t="s">
        <v>26724</v>
      </c>
      <c r="F9818" t="s">
        <v>31362</v>
      </c>
      <c r="G9818" t="s">
        <v>31369</v>
      </c>
      <c r="H9818" t="s">
        <v>15799</v>
      </c>
      <c r="I9818" t="s">
        <v>3815</v>
      </c>
      <c r="J9818" t="s">
        <v>37508</v>
      </c>
      <c r="K9818" t="s">
        <v>40665</v>
      </c>
      <c r="M9818" t="s">
        <v>44002</v>
      </c>
      <c r="N9818" t="s">
        <v>44905</v>
      </c>
      <c r="O9818" t="s">
        <v>44906</v>
      </c>
      <c r="P9818">
        <v>0</v>
      </c>
      <c r="Q9818">
        <v>2</v>
      </c>
      <c r="R9818" t="s">
        <v>44914</v>
      </c>
      <c r="S9818" t="s">
        <v>45202</v>
      </c>
      <c r="T9818" t="s">
        <v>46419</v>
      </c>
      <c r="U9818" t="s">
        <v>54828</v>
      </c>
      <c r="W9818" t="s">
        <v>44002</v>
      </c>
      <c r="X9818" t="s">
        <v>44915</v>
      </c>
    </row>
    <row r="9819" spans="1:24">
      <c r="A9819">
        <f>HYPERLINK("https://www.philgeps.gov.ph/GEPSNONPILOT/Tender/SplashBidNoticeAbstractUI.aspx?menuIndex=3&amp;refID=7068413&amp;Result=3","7068413")</f>
        <v>0</v>
      </c>
      <c r="B9819" t="s">
        <v>2806</v>
      </c>
      <c r="C9819" t="s">
        <v>12882</v>
      </c>
      <c r="D9819" t="s">
        <v>18102</v>
      </c>
      <c r="E9819" t="s">
        <v>26725</v>
      </c>
      <c r="F9819" t="s">
        <v>31362</v>
      </c>
      <c r="G9819" t="s">
        <v>31369</v>
      </c>
      <c r="H9819" t="s">
        <v>15799</v>
      </c>
      <c r="I9819" t="s">
        <v>6155</v>
      </c>
      <c r="J9819" t="s">
        <v>37509</v>
      </c>
      <c r="K9819" t="s">
        <v>40665</v>
      </c>
      <c r="M9819" t="s">
        <v>44005</v>
      </c>
      <c r="N9819" t="s">
        <v>44905</v>
      </c>
      <c r="O9819" t="s">
        <v>44906</v>
      </c>
      <c r="P9819">
        <v>0</v>
      </c>
      <c r="Q9819">
        <v>9</v>
      </c>
      <c r="R9819" t="s">
        <v>44914</v>
      </c>
      <c r="S9819" t="s">
        <v>45202</v>
      </c>
      <c r="T9819" t="s">
        <v>46427</v>
      </c>
      <c r="U9819" t="s">
        <v>54834</v>
      </c>
      <c r="V9819" t="s">
        <v>60106</v>
      </c>
      <c r="W9819" t="s">
        <v>44005</v>
      </c>
      <c r="X9819" t="s">
        <v>44915</v>
      </c>
    </row>
    <row r="9820" spans="1:24">
      <c r="A9820">
        <f>HYPERLINK("https://www.philgeps.gov.ph/GEPSNONPILOT/Tender/SplashBidNoticeAbstractUI.aspx?menuIndex=3&amp;refID=7068469&amp;Result=3","7068469")</f>
        <v>0</v>
      </c>
      <c r="B9820" t="s">
        <v>1037</v>
      </c>
      <c r="C9820" t="s">
        <v>12883</v>
      </c>
      <c r="D9820" t="s">
        <v>18146</v>
      </c>
      <c r="E9820" t="s">
        <v>26726</v>
      </c>
      <c r="F9820" t="s">
        <v>31362</v>
      </c>
      <c r="G9820" t="s">
        <v>31369</v>
      </c>
      <c r="H9820" t="s">
        <v>31378</v>
      </c>
      <c r="I9820" t="s">
        <v>31386</v>
      </c>
      <c r="J9820" t="s">
        <v>31686</v>
      </c>
      <c r="K9820" t="s">
        <v>40701</v>
      </c>
      <c r="M9820" t="s">
        <v>43675</v>
      </c>
      <c r="N9820" t="s">
        <v>44905</v>
      </c>
      <c r="O9820" t="s">
        <v>44906</v>
      </c>
      <c r="P9820">
        <v>0</v>
      </c>
      <c r="Q9820">
        <v>1</v>
      </c>
      <c r="R9820" t="s">
        <v>44914</v>
      </c>
      <c r="S9820" t="s">
        <v>45202</v>
      </c>
      <c r="T9820" t="s">
        <v>46418</v>
      </c>
      <c r="U9820" t="s">
        <v>54835</v>
      </c>
      <c r="V9820" t="s">
        <v>60107</v>
      </c>
      <c r="W9820" t="s">
        <v>43675</v>
      </c>
      <c r="X9820" t="s">
        <v>44915</v>
      </c>
    </row>
    <row r="9821" spans="1:24">
      <c r="A9821">
        <f>HYPERLINK("https://www.philgeps.gov.ph/GEPSNONPILOT/Tender/SplashBidNoticeAbstractUI.aspx?menuIndex=3&amp;refID=7068409&amp;Result=3","7068409")</f>
        <v>0</v>
      </c>
      <c r="B9821" t="s">
        <v>682</v>
      </c>
      <c r="C9821" t="s">
        <v>12884</v>
      </c>
      <c r="E9821" t="s">
        <v>26727</v>
      </c>
      <c r="F9821" t="s">
        <v>31362</v>
      </c>
      <c r="G9821" t="s">
        <v>31369</v>
      </c>
      <c r="H9821" t="s">
        <v>15799</v>
      </c>
      <c r="I9821" t="s">
        <v>31409</v>
      </c>
      <c r="J9821" t="s">
        <v>33482</v>
      </c>
      <c r="K9821" t="s">
        <v>40661</v>
      </c>
      <c r="M9821" t="s">
        <v>41644</v>
      </c>
      <c r="N9821" t="s">
        <v>44905</v>
      </c>
      <c r="O9821" t="s">
        <v>44906</v>
      </c>
      <c r="P9821">
        <v>0</v>
      </c>
      <c r="Q9821">
        <v>9</v>
      </c>
      <c r="R9821" t="s">
        <v>44914</v>
      </c>
      <c r="S9821" t="s">
        <v>45202</v>
      </c>
      <c r="T9821" t="s">
        <v>46694</v>
      </c>
      <c r="U9821" t="s">
        <v>54836</v>
      </c>
      <c r="V9821" t="s">
        <v>60108</v>
      </c>
      <c r="W9821" t="s">
        <v>41644</v>
      </c>
      <c r="X9821" t="s">
        <v>44915</v>
      </c>
    </row>
    <row r="9822" spans="1:24">
      <c r="A9822">
        <f>HYPERLINK("https://www.philgeps.gov.ph/GEPSNONPILOT/Tender/SplashBidNoticeAbstractUI.aspx?menuIndex=3&amp;refID=7068399&amp;Result=3","7068399")</f>
        <v>0</v>
      </c>
      <c r="B9822" t="s">
        <v>2784</v>
      </c>
      <c r="C9822" t="s">
        <v>12885</v>
      </c>
      <c r="D9822" t="s">
        <v>18155</v>
      </c>
      <c r="E9822" t="s">
        <v>26728</v>
      </c>
      <c r="F9822" t="s">
        <v>31362</v>
      </c>
      <c r="G9822" t="s">
        <v>31369</v>
      </c>
      <c r="H9822" t="s">
        <v>31378</v>
      </c>
      <c r="I9822" t="s">
        <v>31386</v>
      </c>
      <c r="J9822" t="s">
        <v>37510</v>
      </c>
      <c r="K9822" t="s">
        <v>40662</v>
      </c>
      <c r="M9822" t="s">
        <v>43979</v>
      </c>
      <c r="N9822" t="s">
        <v>44905</v>
      </c>
      <c r="O9822" t="s">
        <v>44906</v>
      </c>
      <c r="P9822">
        <v>0</v>
      </c>
      <c r="Q9822">
        <v>0</v>
      </c>
      <c r="R9822" t="s">
        <v>44914</v>
      </c>
      <c r="S9822" t="s">
        <v>45202</v>
      </c>
      <c r="T9822" t="s">
        <v>46401</v>
      </c>
      <c r="U9822" t="s">
        <v>54837</v>
      </c>
      <c r="W9822" t="s">
        <v>43979</v>
      </c>
      <c r="X9822" t="s">
        <v>44915</v>
      </c>
    </row>
    <row r="9823" spans="1:24">
      <c r="A9823">
        <f>HYPERLINK("https://www.philgeps.gov.ph/GEPSNONPILOT/Tender/SplashBidNoticeAbstractUI.aspx?menuIndex=3&amp;refID=7068480&amp;Result=3","7068480")</f>
        <v>0</v>
      </c>
      <c r="B9823" t="s">
        <v>642</v>
      </c>
      <c r="C9823" t="s">
        <v>12886</v>
      </c>
      <c r="D9823" t="s">
        <v>18164</v>
      </c>
      <c r="E9823" t="s">
        <v>21900</v>
      </c>
      <c r="F9823" t="s">
        <v>31362</v>
      </c>
      <c r="G9823" t="s">
        <v>31369</v>
      </c>
      <c r="H9823" t="s">
        <v>15799</v>
      </c>
      <c r="I9823" t="s">
        <v>31479</v>
      </c>
      <c r="J9823" t="s">
        <v>37511</v>
      </c>
      <c r="K9823" t="s">
        <v>40682</v>
      </c>
      <c r="M9823" t="s">
        <v>41602</v>
      </c>
      <c r="N9823" t="s">
        <v>44905</v>
      </c>
      <c r="O9823" t="s">
        <v>44906</v>
      </c>
      <c r="P9823">
        <v>0</v>
      </c>
      <c r="Q9823">
        <v>6</v>
      </c>
      <c r="R9823" t="s">
        <v>44914</v>
      </c>
      <c r="S9823" t="s">
        <v>45202</v>
      </c>
      <c r="T9823" t="s">
        <v>46811</v>
      </c>
      <c r="U9823" t="s">
        <v>48153</v>
      </c>
      <c r="W9823" t="s">
        <v>41602</v>
      </c>
      <c r="X9823" t="s">
        <v>44915</v>
      </c>
    </row>
    <row r="9824" spans="1:24">
      <c r="A9824">
        <f>HYPERLINK("https://www.philgeps.gov.ph/GEPSNONPILOT/Tender/SplashBidNoticeAbstractUI.aspx?menuIndex=3&amp;refID=7068414&amp;Result=3","7068414")</f>
        <v>0</v>
      </c>
      <c r="B9824" t="s">
        <v>87</v>
      </c>
      <c r="C9824" t="s">
        <v>12887</v>
      </c>
      <c r="D9824" t="s">
        <v>18109</v>
      </c>
      <c r="E9824" t="s">
        <v>26729</v>
      </c>
      <c r="F9824" t="s">
        <v>31362</v>
      </c>
      <c r="G9824" t="s">
        <v>31369</v>
      </c>
      <c r="H9824" t="s">
        <v>15799</v>
      </c>
      <c r="I9824" t="s">
        <v>31409</v>
      </c>
      <c r="J9824" t="s">
        <v>33744</v>
      </c>
      <c r="K9824" t="s">
        <v>40661</v>
      </c>
      <c r="M9824" t="s">
        <v>41023</v>
      </c>
      <c r="N9824" t="s">
        <v>44905</v>
      </c>
      <c r="O9824" t="s">
        <v>44906</v>
      </c>
      <c r="P9824">
        <v>0</v>
      </c>
      <c r="Q9824">
        <v>3</v>
      </c>
      <c r="R9824" t="s">
        <v>44914</v>
      </c>
      <c r="S9824" t="s">
        <v>45202</v>
      </c>
      <c r="T9824" t="s">
        <v>46504</v>
      </c>
      <c r="U9824" t="s">
        <v>54838</v>
      </c>
      <c r="W9824" t="s">
        <v>60832</v>
      </c>
      <c r="X9824" t="s">
        <v>44915</v>
      </c>
    </row>
    <row r="9825" spans="1:24">
      <c r="A9825">
        <f>HYPERLINK("https://www.philgeps.gov.ph/GEPSNONPILOT/Tender/SplashBidNoticeAbstractUI.aspx?menuIndex=3&amp;refID=7068566&amp;Result=3","7068566")</f>
        <v>0</v>
      </c>
      <c r="B9825" t="s">
        <v>556</v>
      </c>
      <c r="C9825" t="s">
        <v>9407</v>
      </c>
      <c r="D9825" t="s">
        <v>18122</v>
      </c>
      <c r="E9825" t="s">
        <v>19989</v>
      </c>
      <c r="F9825" t="s">
        <v>31362</v>
      </c>
      <c r="G9825" t="s">
        <v>31369</v>
      </c>
      <c r="H9825" t="s">
        <v>15799</v>
      </c>
      <c r="I9825" t="s">
        <v>31380</v>
      </c>
      <c r="J9825" t="s">
        <v>37512</v>
      </c>
      <c r="K9825" t="s">
        <v>40665</v>
      </c>
      <c r="M9825" t="s">
        <v>41512</v>
      </c>
      <c r="N9825" t="s">
        <v>44905</v>
      </c>
      <c r="O9825" t="s">
        <v>44906</v>
      </c>
      <c r="P9825">
        <v>0</v>
      </c>
      <c r="Q9825">
        <v>12</v>
      </c>
      <c r="R9825" t="s">
        <v>44914</v>
      </c>
      <c r="S9825" t="s">
        <v>45202</v>
      </c>
      <c r="T9825" t="s">
        <v>46729</v>
      </c>
      <c r="U9825" t="s">
        <v>54839</v>
      </c>
      <c r="W9825" t="s">
        <v>41512</v>
      </c>
      <c r="X9825" t="s">
        <v>44915</v>
      </c>
    </row>
    <row r="9826" spans="1:24">
      <c r="A9826">
        <f>HYPERLINK("https://www.philgeps.gov.ph/GEPSNONPILOT/Tender/SplashBidNoticeAbstractUI.aspx?menuIndex=3&amp;refID=7068562&amp;Result=3","7068562")</f>
        <v>0</v>
      </c>
      <c r="B9826" t="s">
        <v>2807</v>
      </c>
      <c r="C9826" t="s">
        <v>12888</v>
      </c>
      <c r="D9826" t="s">
        <v>18116</v>
      </c>
      <c r="E9826" t="s">
        <v>26730</v>
      </c>
      <c r="F9826" t="s">
        <v>31362</v>
      </c>
      <c r="G9826" t="s">
        <v>31369</v>
      </c>
      <c r="H9826" t="s">
        <v>15799</v>
      </c>
      <c r="I9826" t="s">
        <v>31386</v>
      </c>
      <c r="J9826" t="s">
        <v>37513</v>
      </c>
      <c r="K9826" t="s">
        <v>40665</v>
      </c>
      <c r="M9826" t="s">
        <v>44006</v>
      </c>
      <c r="N9826" t="s">
        <v>44905</v>
      </c>
      <c r="O9826" t="s">
        <v>44906</v>
      </c>
      <c r="P9826">
        <v>0</v>
      </c>
      <c r="Q9826">
        <v>0</v>
      </c>
      <c r="R9826" t="s">
        <v>44914</v>
      </c>
      <c r="S9826" t="s">
        <v>45202</v>
      </c>
      <c r="T9826" t="s">
        <v>46672</v>
      </c>
      <c r="U9826" t="s">
        <v>54840</v>
      </c>
      <c r="W9826" t="s">
        <v>44006</v>
      </c>
      <c r="X9826" t="s">
        <v>44915</v>
      </c>
    </row>
    <row r="9827" spans="1:24">
      <c r="A9827">
        <f>HYPERLINK("https://www.philgeps.gov.ph/GEPSNONPILOT/Tender/SplashBidNoticeAbstractUI.aspx?menuIndex=3&amp;refID=7068550&amp;Result=3","7068550")</f>
        <v>0</v>
      </c>
      <c r="B9827" t="s">
        <v>2784</v>
      </c>
      <c r="C9827" t="s">
        <v>12889</v>
      </c>
      <c r="D9827" t="s">
        <v>18155</v>
      </c>
      <c r="E9827" t="s">
        <v>26731</v>
      </c>
      <c r="F9827" t="s">
        <v>31362</v>
      </c>
      <c r="G9827" t="s">
        <v>31369</v>
      </c>
      <c r="H9827" t="s">
        <v>31378</v>
      </c>
      <c r="I9827" t="s">
        <v>31386</v>
      </c>
      <c r="J9827" t="s">
        <v>37514</v>
      </c>
      <c r="K9827" t="s">
        <v>40662</v>
      </c>
      <c r="M9827" t="s">
        <v>43979</v>
      </c>
      <c r="N9827" t="s">
        <v>44905</v>
      </c>
      <c r="O9827" t="s">
        <v>44906</v>
      </c>
      <c r="P9827">
        <v>0</v>
      </c>
      <c r="Q9827">
        <v>0</v>
      </c>
      <c r="R9827" t="s">
        <v>44914</v>
      </c>
      <c r="S9827" t="s">
        <v>45202</v>
      </c>
      <c r="T9827" t="s">
        <v>46401</v>
      </c>
      <c r="U9827" t="s">
        <v>54841</v>
      </c>
      <c r="W9827" t="s">
        <v>43979</v>
      </c>
      <c r="X9827" t="s">
        <v>44915</v>
      </c>
    </row>
    <row r="9828" spans="1:24">
      <c r="A9828">
        <f>HYPERLINK("https://www.philgeps.gov.ph/GEPSNONPILOT/Tender/SplashBidNoticeAbstractUI.aspx?menuIndex=3&amp;refID=7068545&amp;Result=3","7068545")</f>
        <v>0</v>
      </c>
      <c r="B9828" t="s">
        <v>2807</v>
      </c>
      <c r="C9828" t="s">
        <v>12890</v>
      </c>
      <c r="D9828" t="s">
        <v>18116</v>
      </c>
      <c r="E9828" t="s">
        <v>26732</v>
      </c>
      <c r="F9828" t="s">
        <v>31362</v>
      </c>
      <c r="G9828" t="s">
        <v>31369</v>
      </c>
      <c r="H9828" t="s">
        <v>15799</v>
      </c>
      <c r="I9828" t="s">
        <v>31386</v>
      </c>
      <c r="J9828" t="s">
        <v>37515</v>
      </c>
      <c r="K9828" t="s">
        <v>40718</v>
      </c>
      <c r="M9828" t="s">
        <v>44006</v>
      </c>
      <c r="N9828" t="s">
        <v>44905</v>
      </c>
      <c r="O9828" t="s">
        <v>44906</v>
      </c>
      <c r="P9828">
        <v>0</v>
      </c>
      <c r="Q9828">
        <v>0</v>
      </c>
      <c r="R9828" t="s">
        <v>44914</v>
      </c>
      <c r="S9828" t="s">
        <v>45202</v>
      </c>
      <c r="T9828" t="s">
        <v>46672</v>
      </c>
      <c r="U9828" t="s">
        <v>54840</v>
      </c>
      <c r="W9828" t="s">
        <v>44006</v>
      </c>
      <c r="X9828" t="s">
        <v>44915</v>
      </c>
    </row>
    <row r="9829" spans="1:24">
      <c r="A9829">
        <f>HYPERLINK("https://www.philgeps.gov.ph/GEPSNONPILOT/Tender/SplashBidNoticeAbstractUI.aspx?menuIndex=3&amp;refID=7068541&amp;Result=3","7068541")</f>
        <v>0</v>
      </c>
      <c r="B9829" t="s">
        <v>556</v>
      </c>
      <c r="C9829" t="s">
        <v>12891</v>
      </c>
      <c r="D9829" t="s">
        <v>18122</v>
      </c>
      <c r="E9829" t="s">
        <v>26733</v>
      </c>
      <c r="F9829" t="s">
        <v>31362</v>
      </c>
      <c r="G9829" t="s">
        <v>31369</v>
      </c>
      <c r="H9829" t="s">
        <v>31378</v>
      </c>
      <c r="I9829" t="s">
        <v>31386</v>
      </c>
      <c r="J9829" t="s">
        <v>37516</v>
      </c>
      <c r="K9829" t="s">
        <v>40686</v>
      </c>
      <c r="M9829" t="s">
        <v>41512</v>
      </c>
      <c r="N9829" t="s">
        <v>44905</v>
      </c>
      <c r="O9829" t="s">
        <v>44906</v>
      </c>
      <c r="P9829">
        <v>0</v>
      </c>
      <c r="Q9829">
        <v>27</v>
      </c>
      <c r="R9829" t="s">
        <v>44914</v>
      </c>
      <c r="S9829" t="s">
        <v>45202</v>
      </c>
      <c r="T9829" t="s">
        <v>46729</v>
      </c>
      <c r="U9829" t="s">
        <v>54842</v>
      </c>
      <c r="W9829" t="s">
        <v>41512</v>
      </c>
      <c r="X9829" t="s">
        <v>44915</v>
      </c>
    </row>
    <row r="9830" spans="1:24">
      <c r="A9830">
        <f>HYPERLINK("https://www.philgeps.gov.ph/GEPSNONPILOT/Tender/SplashBidNoticeAbstractUI.aspx?menuIndex=3&amp;refID=7068534&amp;Result=3","7068534")</f>
        <v>0</v>
      </c>
      <c r="B9830" t="s">
        <v>2658</v>
      </c>
      <c r="C9830" t="s">
        <v>12892</v>
      </c>
      <c r="D9830" t="s">
        <v>18100</v>
      </c>
      <c r="E9830" t="s">
        <v>26734</v>
      </c>
      <c r="F9830" t="s">
        <v>31362</v>
      </c>
      <c r="G9830" t="s">
        <v>31368</v>
      </c>
      <c r="H9830" t="s">
        <v>15799</v>
      </c>
      <c r="I9830" t="s">
        <v>7719</v>
      </c>
      <c r="J9830" t="s">
        <v>31586</v>
      </c>
      <c r="K9830" t="s">
        <v>40682</v>
      </c>
      <c r="M9830" t="s">
        <v>43842</v>
      </c>
      <c r="N9830" t="s">
        <v>44905</v>
      </c>
      <c r="O9830" t="s">
        <v>44906</v>
      </c>
      <c r="P9830">
        <v>0</v>
      </c>
      <c r="Q9830">
        <v>26</v>
      </c>
      <c r="R9830" t="s">
        <v>44914</v>
      </c>
      <c r="S9830" t="s">
        <v>45202</v>
      </c>
      <c r="T9830" t="s">
        <v>46417</v>
      </c>
      <c r="U9830" t="s">
        <v>54843</v>
      </c>
      <c r="W9830" t="s">
        <v>43842</v>
      </c>
      <c r="X9830" t="s">
        <v>44915</v>
      </c>
    </row>
    <row r="9831" spans="1:24">
      <c r="A9831">
        <f>HYPERLINK("https://www.philgeps.gov.ph/GEPSNONPILOT/Tender/SplashBidNoticeAbstractUI.aspx?menuIndex=3&amp;refID=7068376&amp;Result=3","7068376")</f>
        <v>0</v>
      </c>
      <c r="B9831" t="s">
        <v>2784</v>
      </c>
      <c r="C9831" t="s">
        <v>12893</v>
      </c>
      <c r="D9831" t="s">
        <v>18155</v>
      </c>
      <c r="E9831" t="s">
        <v>26735</v>
      </c>
      <c r="F9831" t="s">
        <v>31362</v>
      </c>
      <c r="G9831" t="s">
        <v>31369</v>
      </c>
      <c r="H9831" t="s">
        <v>31378</v>
      </c>
      <c r="I9831" t="s">
        <v>31386</v>
      </c>
      <c r="J9831" t="s">
        <v>37517</v>
      </c>
      <c r="K9831" t="s">
        <v>40662</v>
      </c>
      <c r="M9831" t="s">
        <v>43979</v>
      </c>
      <c r="N9831" t="s">
        <v>44905</v>
      </c>
      <c r="O9831" t="s">
        <v>44906</v>
      </c>
      <c r="P9831">
        <v>0</v>
      </c>
      <c r="Q9831">
        <v>0</v>
      </c>
      <c r="R9831" t="s">
        <v>44914</v>
      </c>
      <c r="S9831" t="s">
        <v>45202</v>
      </c>
      <c r="T9831" t="s">
        <v>46519</v>
      </c>
      <c r="U9831" t="s">
        <v>54844</v>
      </c>
      <c r="W9831" t="s">
        <v>43979</v>
      </c>
      <c r="X9831" t="s">
        <v>44915</v>
      </c>
    </row>
    <row r="9832" spans="1:24">
      <c r="A9832">
        <f>HYPERLINK("https://www.philgeps.gov.ph/GEPSNONPILOT/Tender/SplashBidNoticeAbstractUI.aspx?menuIndex=3&amp;refID=7068530&amp;Result=3","7068530")</f>
        <v>0</v>
      </c>
      <c r="B9832" t="s">
        <v>2807</v>
      </c>
      <c r="C9832" t="s">
        <v>12894</v>
      </c>
      <c r="D9832" t="s">
        <v>18116</v>
      </c>
      <c r="E9832" t="s">
        <v>26736</v>
      </c>
      <c r="F9832" t="s">
        <v>31362</v>
      </c>
      <c r="G9832" t="s">
        <v>31369</v>
      </c>
      <c r="H9832" t="s">
        <v>15799</v>
      </c>
      <c r="I9832" t="s">
        <v>31386</v>
      </c>
      <c r="J9832" t="s">
        <v>37518</v>
      </c>
      <c r="K9832" t="s">
        <v>40675</v>
      </c>
      <c r="M9832" t="s">
        <v>44006</v>
      </c>
      <c r="N9832" t="s">
        <v>44905</v>
      </c>
      <c r="O9832" t="s">
        <v>44906</v>
      </c>
      <c r="P9832">
        <v>0</v>
      </c>
      <c r="Q9832">
        <v>0</v>
      </c>
      <c r="R9832" t="s">
        <v>44914</v>
      </c>
      <c r="S9832" t="s">
        <v>45202</v>
      </c>
      <c r="T9832" t="s">
        <v>46672</v>
      </c>
      <c r="U9832" t="s">
        <v>54840</v>
      </c>
      <c r="W9832" t="s">
        <v>44006</v>
      </c>
      <c r="X9832" t="s">
        <v>44915</v>
      </c>
    </row>
    <row r="9833" spans="1:24">
      <c r="A9833">
        <f>HYPERLINK("https://www.philgeps.gov.ph/GEPSNONPILOT/Tender/SplashBidNoticeAbstractUI.aspx?menuIndex=3&amp;refID=7068570&amp;Result=3","7068570")</f>
        <v>0</v>
      </c>
      <c r="B9833" t="s">
        <v>62</v>
      </c>
      <c r="C9833" t="s">
        <v>12895</v>
      </c>
      <c r="D9833" t="s">
        <v>18125</v>
      </c>
      <c r="E9833" t="s">
        <v>26737</v>
      </c>
      <c r="F9833" t="s">
        <v>31362</v>
      </c>
      <c r="G9833" t="s">
        <v>31369</v>
      </c>
      <c r="H9833" t="s">
        <v>15799</v>
      </c>
      <c r="I9833" t="s">
        <v>3815</v>
      </c>
      <c r="J9833" t="s">
        <v>37519</v>
      </c>
      <c r="K9833" t="s">
        <v>40681</v>
      </c>
      <c r="M9833" t="s">
        <v>40998</v>
      </c>
      <c r="N9833" t="s">
        <v>44905</v>
      </c>
      <c r="O9833" t="s">
        <v>44906</v>
      </c>
      <c r="P9833">
        <v>0</v>
      </c>
      <c r="Q9833">
        <v>1</v>
      </c>
      <c r="R9833" t="s">
        <v>44914</v>
      </c>
      <c r="S9833" t="s">
        <v>45202</v>
      </c>
      <c r="T9833" t="s">
        <v>46419</v>
      </c>
      <c r="U9833" t="s">
        <v>54845</v>
      </c>
      <c r="V9833" t="s">
        <v>60109</v>
      </c>
      <c r="W9833" t="s">
        <v>40998</v>
      </c>
      <c r="X9833" t="s">
        <v>44915</v>
      </c>
    </row>
    <row r="9834" spans="1:24">
      <c r="A9834">
        <f>HYPERLINK("https://www.philgeps.gov.ph/GEPSNONPILOT/Tender/SplashBidNoticeAbstractUI.aspx?menuIndex=3&amp;refID=7068047&amp;Result=3","7068047")</f>
        <v>0</v>
      </c>
      <c r="B9834" t="s">
        <v>541</v>
      </c>
      <c r="C9834" t="s">
        <v>12896</v>
      </c>
      <c r="D9834" t="s">
        <v>18104</v>
      </c>
      <c r="E9834" t="s">
        <v>26738</v>
      </c>
      <c r="F9834" t="s">
        <v>31362</v>
      </c>
      <c r="G9834" t="s">
        <v>31369</v>
      </c>
      <c r="H9834" t="s">
        <v>31378</v>
      </c>
      <c r="I9834" t="s">
        <v>31386</v>
      </c>
      <c r="J9834" t="s">
        <v>37520</v>
      </c>
      <c r="K9834" t="s">
        <v>40678</v>
      </c>
      <c r="M9834" t="s">
        <v>41497</v>
      </c>
      <c r="N9834" t="s">
        <v>44905</v>
      </c>
      <c r="O9834" t="s">
        <v>44906</v>
      </c>
      <c r="P9834">
        <v>0</v>
      </c>
      <c r="Q9834">
        <v>4</v>
      </c>
      <c r="R9834" t="s">
        <v>44914</v>
      </c>
      <c r="S9834" t="s">
        <v>45202</v>
      </c>
      <c r="T9834" t="s">
        <v>46623</v>
      </c>
      <c r="U9834" t="s">
        <v>47966</v>
      </c>
      <c r="V9834" t="s">
        <v>59198</v>
      </c>
      <c r="W9834" t="s">
        <v>41497</v>
      </c>
      <c r="X9834" t="s">
        <v>44915</v>
      </c>
    </row>
    <row r="9835" spans="1:24">
      <c r="A9835">
        <f>HYPERLINK("https://www.philgeps.gov.ph/GEPSNONPILOT/Tender/SplashBidNoticeAbstractUI.aspx?menuIndex=3&amp;refID=7068554&amp;Result=3","7068554")</f>
        <v>0</v>
      </c>
      <c r="B9835" t="s">
        <v>1037</v>
      </c>
      <c r="C9835" t="s">
        <v>12897</v>
      </c>
      <c r="D9835" t="s">
        <v>18146</v>
      </c>
      <c r="E9835" t="s">
        <v>26739</v>
      </c>
      <c r="F9835" t="s">
        <v>31362</v>
      </c>
      <c r="G9835" t="s">
        <v>31369</v>
      </c>
      <c r="H9835" t="s">
        <v>31378</v>
      </c>
      <c r="I9835" t="s">
        <v>31386</v>
      </c>
      <c r="J9835" t="s">
        <v>37521</v>
      </c>
      <c r="K9835" t="s">
        <v>40711</v>
      </c>
      <c r="M9835" t="s">
        <v>43675</v>
      </c>
      <c r="N9835" t="s">
        <v>44905</v>
      </c>
      <c r="O9835" t="s">
        <v>44906</v>
      </c>
      <c r="P9835">
        <v>0</v>
      </c>
      <c r="Q9835">
        <v>0</v>
      </c>
      <c r="R9835" t="s">
        <v>44914</v>
      </c>
      <c r="S9835" t="s">
        <v>45202</v>
      </c>
      <c r="T9835" t="s">
        <v>46418</v>
      </c>
      <c r="U9835" t="s">
        <v>54846</v>
      </c>
      <c r="V9835" t="s">
        <v>60110</v>
      </c>
      <c r="W9835" t="s">
        <v>43675</v>
      </c>
      <c r="X9835" t="s">
        <v>44915</v>
      </c>
    </row>
    <row r="9836" spans="1:24">
      <c r="A9836">
        <f>HYPERLINK("https://www.philgeps.gov.ph/GEPSNONPILOT/Tender/SplashBidNoticeAbstractUI.aspx?menuIndex=3&amp;refID=7068527&amp;Result=3","7068527")</f>
        <v>0</v>
      </c>
      <c r="B9836" t="s">
        <v>1037</v>
      </c>
      <c r="C9836" t="s">
        <v>12898</v>
      </c>
      <c r="D9836" t="s">
        <v>18146</v>
      </c>
      <c r="E9836" t="s">
        <v>26740</v>
      </c>
      <c r="F9836" t="s">
        <v>31362</v>
      </c>
      <c r="G9836" t="s">
        <v>31369</v>
      </c>
      <c r="H9836" t="s">
        <v>31378</v>
      </c>
      <c r="I9836" t="s">
        <v>31386</v>
      </c>
      <c r="J9836" t="s">
        <v>31625</v>
      </c>
      <c r="K9836" t="s">
        <v>40772</v>
      </c>
      <c r="M9836" t="s">
        <v>43675</v>
      </c>
      <c r="N9836" t="s">
        <v>44905</v>
      </c>
      <c r="O9836" t="s">
        <v>44906</v>
      </c>
      <c r="P9836">
        <v>0</v>
      </c>
      <c r="Q9836">
        <v>0</v>
      </c>
      <c r="R9836" t="s">
        <v>44914</v>
      </c>
      <c r="S9836" t="s">
        <v>45202</v>
      </c>
      <c r="T9836" t="s">
        <v>46418</v>
      </c>
      <c r="U9836" t="s">
        <v>54847</v>
      </c>
      <c r="V9836" t="s">
        <v>60111</v>
      </c>
      <c r="W9836" t="s">
        <v>43675</v>
      </c>
      <c r="X9836" t="s">
        <v>44915</v>
      </c>
    </row>
    <row r="9837" spans="1:24">
      <c r="A9837">
        <f>HYPERLINK("https://www.philgeps.gov.ph/GEPSNONPILOT/Tender/SplashBidNoticeAbstractUI.aspx?menuIndex=3&amp;refID=7068512&amp;Result=3","7068512")</f>
        <v>0</v>
      </c>
      <c r="B9837" t="s">
        <v>2658</v>
      </c>
      <c r="C9837" t="s">
        <v>12899</v>
      </c>
      <c r="D9837" t="s">
        <v>18100</v>
      </c>
      <c r="E9837" t="s">
        <v>26741</v>
      </c>
      <c r="F9837" t="s">
        <v>31362</v>
      </c>
      <c r="G9837" t="s">
        <v>31368</v>
      </c>
      <c r="H9837" t="s">
        <v>15799</v>
      </c>
      <c r="I9837" t="s">
        <v>7719</v>
      </c>
      <c r="J9837" t="s">
        <v>31564</v>
      </c>
      <c r="K9837" t="s">
        <v>40665</v>
      </c>
      <c r="M9837" t="s">
        <v>43842</v>
      </c>
      <c r="N9837" t="s">
        <v>44905</v>
      </c>
      <c r="O9837" t="s">
        <v>44906</v>
      </c>
      <c r="P9837">
        <v>0</v>
      </c>
      <c r="Q9837">
        <v>28</v>
      </c>
      <c r="R9837" t="s">
        <v>44914</v>
      </c>
      <c r="S9837" t="s">
        <v>45202</v>
      </c>
      <c r="T9837" t="s">
        <v>46417</v>
      </c>
      <c r="U9837" t="s">
        <v>54848</v>
      </c>
      <c r="W9837" t="s">
        <v>43842</v>
      </c>
      <c r="X9837" t="s">
        <v>44915</v>
      </c>
    </row>
    <row r="9838" spans="1:24">
      <c r="A9838">
        <f>HYPERLINK("https://www.philgeps.gov.ph/GEPSNONPILOT/Tender/SplashBidNoticeAbstractUI.aspx?menuIndex=3&amp;refID=7068510&amp;Result=3","7068510")</f>
        <v>0</v>
      </c>
      <c r="B9838" t="s">
        <v>579</v>
      </c>
      <c r="C9838" t="s">
        <v>12900</v>
      </c>
      <c r="D9838" t="s">
        <v>18112</v>
      </c>
      <c r="E9838" t="s">
        <v>26742</v>
      </c>
      <c r="F9838" t="s">
        <v>31362</v>
      </c>
      <c r="G9838" t="s">
        <v>31369</v>
      </c>
      <c r="H9838" t="s">
        <v>15799</v>
      </c>
      <c r="I9838" t="s">
        <v>31409</v>
      </c>
      <c r="J9838" t="s">
        <v>37522</v>
      </c>
      <c r="K9838" t="s">
        <v>40665</v>
      </c>
      <c r="M9838" t="s">
        <v>42918</v>
      </c>
      <c r="N9838" t="s">
        <v>44905</v>
      </c>
      <c r="O9838" t="s">
        <v>44906</v>
      </c>
      <c r="P9838">
        <v>0</v>
      </c>
      <c r="Q9838">
        <v>6</v>
      </c>
      <c r="R9838" t="s">
        <v>44914</v>
      </c>
      <c r="S9838" t="s">
        <v>45202</v>
      </c>
      <c r="T9838" t="s">
        <v>46479</v>
      </c>
      <c r="U9838" t="s">
        <v>54849</v>
      </c>
      <c r="W9838" t="s">
        <v>42918</v>
      </c>
      <c r="X9838" t="s">
        <v>44915</v>
      </c>
    </row>
    <row r="9839" spans="1:24">
      <c r="A9839">
        <f>HYPERLINK("https://www.philgeps.gov.ph/GEPSNONPILOT/Tender/SplashBidNoticeAbstractUI.aspx?menuIndex=3&amp;refID=7068547&amp;Result=3","7068547")</f>
        <v>0</v>
      </c>
      <c r="B9839" t="s">
        <v>2808</v>
      </c>
      <c r="C9839" t="s">
        <v>12901</v>
      </c>
      <c r="D9839" t="s">
        <v>18117</v>
      </c>
      <c r="E9839" t="s">
        <v>26743</v>
      </c>
      <c r="F9839" t="s">
        <v>31362</v>
      </c>
      <c r="G9839" t="s">
        <v>31369</v>
      </c>
      <c r="H9839" t="s">
        <v>31378</v>
      </c>
      <c r="I9839" t="s">
        <v>3582</v>
      </c>
      <c r="J9839" t="s">
        <v>37523</v>
      </c>
      <c r="K9839" t="s">
        <v>40683</v>
      </c>
      <c r="M9839" t="s">
        <v>44007</v>
      </c>
      <c r="N9839" t="s">
        <v>44905</v>
      </c>
      <c r="O9839" t="s">
        <v>44906</v>
      </c>
      <c r="P9839">
        <v>0</v>
      </c>
      <c r="Q9839">
        <v>1</v>
      </c>
      <c r="R9839" t="s">
        <v>44914</v>
      </c>
      <c r="S9839" t="s">
        <v>45202</v>
      </c>
      <c r="T9839" t="s">
        <v>46671</v>
      </c>
      <c r="U9839" t="s">
        <v>54850</v>
      </c>
      <c r="W9839" t="s">
        <v>44007</v>
      </c>
      <c r="X9839" t="s">
        <v>44915</v>
      </c>
    </row>
    <row r="9840" spans="1:24">
      <c r="A9840">
        <f>HYPERLINK("https://www.philgeps.gov.ph/GEPSNONPILOT/Tender/SplashBidNoticeAbstractUI.aspx?menuIndex=3&amp;refID=7068654&amp;Result=3","7068654")</f>
        <v>0</v>
      </c>
      <c r="B9840" t="s">
        <v>2807</v>
      </c>
      <c r="C9840" t="s">
        <v>12902</v>
      </c>
      <c r="D9840" t="s">
        <v>18116</v>
      </c>
      <c r="E9840" t="s">
        <v>26744</v>
      </c>
      <c r="F9840" t="s">
        <v>31362</v>
      </c>
      <c r="G9840" t="s">
        <v>31369</v>
      </c>
      <c r="H9840" t="s">
        <v>15799</v>
      </c>
      <c r="I9840" t="s">
        <v>31386</v>
      </c>
      <c r="J9840" t="s">
        <v>37524</v>
      </c>
      <c r="K9840" t="s">
        <v>40676</v>
      </c>
      <c r="M9840" t="s">
        <v>44006</v>
      </c>
      <c r="N9840" t="s">
        <v>44905</v>
      </c>
      <c r="O9840" t="s">
        <v>44906</v>
      </c>
      <c r="P9840">
        <v>0</v>
      </c>
      <c r="Q9840">
        <v>0</v>
      </c>
      <c r="R9840" t="s">
        <v>44914</v>
      </c>
      <c r="S9840" t="s">
        <v>45202</v>
      </c>
      <c r="T9840" t="s">
        <v>46672</v>
      </c>
      <c r="U9840" t="s">
        <v>54840</v>
      </c>
      <c r="W9840" t="s">
        <v>44006</v>
      </c>
      <c r="X9840" t="s">
        <v>44915</v>
      </c>
    </row>
    <row r="9841" spans="1:24">
      <c r="A9841">
        <f>HYPERLINK("https://www.philgeps.gov.ph/GEPSNONPILOT/Tender/SplashBidNoticeAbstractUI.aspx?menuIndex=3&amp;refID=7068064&amp;Result=3","7068064")</f>
        <v>0</v>
      </c>
      <c r="B9841" t="s">
        <v>2194</v>
      </c>
      <c r="C9841" t="s">
        <v>12903</v>
      </c>
      <c r="D9841" t="s">
        <v>18154</v>
      </c>
      <c r="E9841" t="s">
        <v>26745</v>
      </c>
      <c r="F9841" t="s">
        <v>31362</v>
      </c>
      <c r="G9841" t="s">
        <v>31369</v>
      </c>
      <c r="H9841" t="s">
        <v>15799</v>
      </c>
      <c r="I9841" t="s">
        <v>3815</v>
      </c>
      <c r="J9841" t="s">
        <v>37525</v>
      </c>
      <c r="K9841" t="s">
        <v>40661</v>
      </c>
      <c r="M9841" t="s">
        <v>43325</v>
      </c>
      <c r="N9841" t="s">
        <v>44905</v>
      </c>
      <c r="O9841" t="s">
        <v>44906</v>
      </c>
      <c r="P9841">
        <v>0</v>
      </c>
      <c r="Q9841">
        <v>0</v>
      </c>
      <c r="R9841" t="s">
        <v>44914</v>
      </c>
      <c r="S9841" t="s">
        <v>45202</v>
      </c>
      <c r="T9841" t="s">
        <v>46695</v>
      </c>
      <c r="U9841" t="s">
        <v>54851</v>
      </c>
      <c r="W9841" t="s">
        <v>43325</v>
      </c>
      <c r="X9841" t="s">
        <v>44915</v>
      </c>
    </row>
    <row r="9842" spans="1:24">
      <c r="A9842">
        <f>HYPERLINK("https://www.philgeps.gov.ph/GEPSNONPILOT/Tender/SplashBidNoticeAbstractUI.aspx?menuIndex=3&amp;refID=7068625&amp;Result=3","7068625")</f>
        <v>0</v>
      </c>
      <c r="B9842" t="s">
        <v>387</v>
      </c>
      <c r="C9842" t="s">
        <v>12904</v>
      </c>
      <c r="D9842" t="s">
        <v>18152</v>
      </c>
      <c r="E9842" t="s">
        <v>26746</v>
      </c>
      <c r="F9842" t="s">
        <v>31362</v>
      </c>
      <c r="G9842" t="s">
        <v>31369</v>
      </c>
      <c r="H9842" t="s">
        <v>15799</v>
      </c>
      <c r="I9842" t="s">
        <v>13635</v>
      </c>
      <c r="J9842" t="s">
        <v>37526</v>
      </c>
      <c r="K9842" t="s">
        <v>40665</v>
      </c>
      <c r="M9842" t="s">
        <v>41915</v>
      </c>
      <c r="N9842" t="s">
        <v>44905</v>
      </c>
      <c r="O9842" t="s">
        <v>44906</v>
      </c>
      <c r="P9842">
        <v>0</v>
      </c>
      <c r="Q9842">
        <v>0</v>
      </c>
      <c r="R9842" t="s">
        <v>44914</v>
      </c>
      <c r="S9842" t="s">
        <v>45202</v>
      </c>
      <c r="T9842" t="s">
        <v>46393</v>
      </c>
      <c r="U9842" t="s">
        <v>47597</v>
      </c>
      <c r="V9842" t="s">
        <v>59153</v>
      </c>
      <c r="W9842" t="s">
        <v>41915</v>
      </c>
      <c r="X9842" t="s">
        <v>44915</v>
      </c>
    </row>
    <row r="9843" spans="1:24">
      <c r="A9843">
        <f>HYPERLINK("https://www.philgeps.gov.ph/GEPSNONPILOT/Tender/SplashBidNoticeAbstractUI.aspx?menuIndex=3&amp;refID=7068610&amp;Result=3","7068610")</f>
        <v>0</v>
      </c>
      <c r="B9843" t="s">
        <v>2807</v>
      </c>
      <c r="C9843" t="s">
        <v>12905</v>
      </c>
      <c r="D9843" t="s">
        <v>18116</v>
      </c>
      <c r="E9843" t="s">
        <v>26747</v>
      </c>
      <c r="F9843" t="s">
        <v>31362</v>
      </c>
      <c r="G9843" t="s">
        <v>31369</v>
      </c>
      <c r="H9843" t="s">
        <v>15799</v>
      </c>
      <c r="I9843" t="s">
        <v>31386</v>
      </c>
      <c r="J9843" t="s">
        <v>37527</v>
      </c>
      <c r="K9843" t="s">
        <v>40679</v>
      </c>
      <c r="M9843" t="s">
        <v>44006</v>
      </c>
      <c r="N9843" t="s">
        <v>44905</v>
      </c>
      <c r="O9843" t="s">
        <v>44906</v>
      </c>
      <c r="P9843">
        <v>0</v>
      </c>
      <c r="Q9843">
        <v>0</v>
      </c>
      <c r="R9843" t="s">
        <v>44914</v>
      </c>
      <c r="S9843" t="s">
        <v>45202</v>
      </c>
      <c r="T9843" t="s">
        <v>46672</v>
      </c>
      <c r="U9843" t="s">
        <v>54840</v>
      </c>
      <c r="W9843" t="s">
        <v>44006</v>
      </c>
      <c r="X9843" t="s">
        <v>44915</v>
      </c>
    </row>
    <row r="9844" spans="1:24">
      <c r="A9844">
        <f>HYPERLINK("https://www.philgeps.gov.ph/GEPSNONPILOT/Tender/SplashBidNoticeAbstractUI.aspx?menuIndex=3&amp;refID=7068517&amp;Result=3","7068517")</f>
        <v>0</v>
      </c>
      <c r="B9844" t="s">
        <v>1317</v>
      </c>
      <c r="C9844" t="s">
        <v>12906</v>
      </c>
      <c r="D9844" t="s">
        <v>18136</v>
      </c>
      <c r="E9844" t="s">
        <v>26748</v>
      </c>
      <c r="F9844" t="s">
        <v>31362</v>
      </c>
      <c r="G9844" t="s">
        <v>31368</v>
      </c>
      <c r="H9844" t="s">
        <v>15799</v>
      </c>
      <c r="I9844" t="s">
        <v>7719</v>
      </c>
      <c r="J9844" t="s">
        <v>31564</v>
      </c>
      <c r="K9844" t="s">
        <v>40665</v>
      </c>
      <c r="M9844" t="s">
        <v>42335</v>
      </c>
      <c r="N9844" t="s">
        <v>44905</v>
      </c>
      <c r="O9844" t="s">
        <v>44906</v>
      </c>
      <c r="P9844">
        <v>0</v>
      </c>
      <c r="Q9844">
        <v>12</v>
      </c>
      <c r="R9844" t="s">
        <v>44914</v>
      </c>
      <c r="S9844" t="s">
        <v>45202</v>
      </c>
      <c r="T9844" t="s">
        <v>46454</v>
      </c>
      <c r="U9844" t="s">
        <v>54852</v>
      </c>
      <c r="W9844" t="s">
        <v>42335</v>
      </c>
      <c r="X9844" t="s">
        <v>44915</v>
      </c>
    </row>
    <row r="9845" spans="1:24">
      <c r="A9845">
        <f>HYPERLINK("https://www.philgeps.gov.ph/GEPSNONPILOT/Tender/SplashBidNoticeAbstractUI.aspx?menuIndex=3&amp;refID=7068646&amp;Result=3","7068646")</f>
        <v>0</v>
      </c>
      <c r="B9845" t="s">
        <v>180</v>
      </c>
      <c r="C9845" t="s">
        <v>12907</v>
      </c>
      <c r="D9845" t="s">
        <v>18112</v>
      </c>
      <c r="E9845" t="s">
        <v>18404</v>
      </c>
      <c r="F9845" t="s">
        <v>31362</v>
      </c>
      <c r="G9845" t="s">
        <v>31369</v>
      </c>
      <c r="H9845" t="s">
        <v>15799</v>
      </c>
      <c r="I9845" t="s">
        <v>31409</v>
      </c>
      <c r="J9845" t="s">
        <v>33028</v>
      </c>
      <c r="K9845" t="s">
        <v>40680</v>
      </c>
      <c r="M9845" t="s">
        <v>41118</v>
      </c>
      <c r="N9845" t="s">
        <v>44905</v>
      </c>
      <c r="O9845" t="s">
        <v>44906</v>
      </c>
      <c r="P9845">
        <v>0</v>
      </c>
      <c r="Q9845">
        <v>3</v>
      </c>
      <c r="R9845" t="s">
        <v>44914</v>
      </c>
      <c r="S9845" t="s">
        <v>45202</v>
      </c>
      <c r="T9845" t="s">
        <v>46431</v>
      </c>
      <c r="U9845" t="s">
        <v>54853</v>
      </c>
      <c r="W9845" t="s">
        <v>41118</v>
      </c>
      <c r="X9845" t="s">
        <v>44915</v>
      </c>
    </row>
    <row r="9846" spans="1:24">
      <c r="A9846">
        <f>HYPERLINK("https://www.philgeps.gov.ph/GEPSNONPILOT/Tender/SplashBidNoticeAbstractUI.aspx?menuIndex=3&amp;refID=7068609&amp;Result=3","7068609")</f>
        <v>0</v>
      </c>
      <c r="B9846" t="s">
        <v>387</v>
      </c>
      <c r="C9846" t="s">
        <v>12908</v>
      </c>
      <c r="D9846" t="s">
        <v>18152</v>
      </c>
      <c r="E9846" t="s">
        <v>26749</v>
      </c>
      <c r="F9846" t="s">
        <v>31362</v>
      </c>
      <c r="G9846" t="s">
        <v>31369</v>
      </c>
      <c r="H9846" t="s">
        <v>15799</v>
      </c>
      <c r="I9846" t="s">
        <v>13635</v>
      </c>
      <c r="J9846" t="s">
        <v>37528</v>
      </c>
      <c r="K9846" t="s">
        <v>40665</v>
      </c>
      <c r="M9846" t="s">
        <v>41915</v>
      </c>
      <c r="N9846" t="s">
        <v>44905</v>
      </c>
      <c r="O9846" t="s">
        <v>44906</v>
      </c>
      <c r="P9846">
        <v>0</v>
      </c>
      <c r="Q9846">
        <v>0</v>
      </c>
      <c r="R9846" t="s">
        <v>44914</v>
      </c>
      <c r="S9846" t="s">
        <v>45202</v>
      </c>
      <c r="T9846" t="s">
        <v>46393</v>
      </c>
      <c r="U9846" t="s">
        <v>47597</v>
      </c>
      <c r="V9846" t="s">
        <v>59153</v>
      </c>
      <c r="W9846" t="s">
        <v>41915</v>
      </c>
      <c r="X9846" t="s">
        <v>44915</v>
      </c>
    </row>
    <row r="9847" spans="1:24">
      <c r="A9847">
        <f>HYPERLINK("https://www.philgeps.gov.ph/GEPSNONPILOT/Tender/SplashBidNoticeAbstractUI.aspx?menuIndex=3&amp;refID=7068638&amp;Result=3","7068638")</f>
        <v>0</v>
      </c>
      <c r="B9847" t="s">
        <v>2658</v>
      </c>
      <c r="C9847" t="s">
        <v>12909</v>
      </c>
      <c r="D9847" t="s">
        <v>18100</v>
      </c>
      <c r="E9847" t="s">
        <v>26750</v>
      </c>
      <c r="F9847" t="s">
        <v>31362</v>
      </c>
      <c r="G9847" t="s">
        <v>31368</v>
      </c>
      <c r="H9847" t="s">
        <v>15799</v>
      </c>
      <c r="I9847" t="s">
        <v>7719</v>
      </c>
      <c r="J9847" t="s">
        <v>31531</v>
      </c>
      <c r="K9847" t="s">
        <v>40665</v>
      </c>
      <c r="M9847" t="s">
        <v>43842</v>
      </c>
      <c r="N9847" t="s">
        <v>44905</v>
      </c>
      <c r="O9847" t="s">
        <v>44906</v>
      </c>
      <c r="P9847">
        <v>0</v>
      </c>
      <c r="Q9847">
        <v>28</v>
      </c>
      <c r="R9847" t="s">
        <v>44914</v>
      </c>
      <c r="S9847" t="s">
        <v>45202</v>
      </c>
      <c r="T9847" t="s">
        <v>46417</v>
      </c>
      <c r="U9847" t="s">
        <v>54854</v>
      </c>
      <c r="W9847" t="s">
        <v>43842</v>
      </c>
      <c r="X9847" t="s">
        <v>44915</v>
      </c>
    </row>
    <row r="9848" spans="1:24">
      <c r="A9848">
        <f>HYPERLINK("https://www.philgeps.gov.ph/GEPSNONPILOT/Tender/SplashBidNoticeAbstractUI.aspx?menuIndex=3&amp;refID=7068606&amp;Result=3","7068606")</f>
        <v>0</v>
      </c>
      <c r="B9848" t="s">
        <v>2809</v>
      </c>
      <c r="C9848" t="s">
        <v>12910</v>
      </c>
      <c r="D9848" t="s">
        <v>18101</v>
      </c>
      <c r="E9848" t="s">
        <v>26751</v>
      </c>
      <c r="F9848" t="s">
        <v>31362</v>
      </c>
      <c r="G9848" t="s">
        <v>31369</v>
      </c>
      <c r="H9848" t="s">
        <v>31378</v>
      </c>
      <c r="I9848" t="s">
        <v>31386</v>
      </c>
      <c r="J9848" t="s">
        <v>37529</v>
      </c>
      <c r="K9848" t="s">
        <v>40683</v>
      </c>
      <c r="M9848" t="s">
        <v>44008</v>
      </c>
      <c r="N9848" t="s">
        <v>44905</v>
      </c>
      <c r="O9848" t="s">
        <v>44906</v>
      </c>
      <c r="P9848">
        <v>0</v>
      </c>
      <c r="Q9848">
        <v>0</v>
      </c>
      <c r="R9848" t="s">
        <v>44914</v>
      </c>
      <c r="S9848" t="s">
        <v>45202</v>
      </c>
      <c r="T9848" t="s">
        <v>46561</v>
      </c>
      <c r="U9848" t="s">
        <v>54855</v>
      </c>
      <c r="W9848" t="s">
        <v>44008</v>
      </c>
      <c r="X9848" t="s">
        <v>44915</v>
      </c>
    </row>
    <row r="9849" spans="1:24">
      <c r="A9849">
        <f>HYPERLINK("https://www.philgeps.gov.ph/GEPSNONPILOT/Tender/SplashBidNoticeAbstractUI.aspx?menuIndex=3&amp;refID=7068596&amp;Result=3","7068596")</f>
        <v>0</v>
      </c>
      <c r="B9849" t="s">
        <v>2807</v>
      </c>
      <c r="C9849" t="s">
        <v>12911</v>
      </c>
      <c r="D9849" t="s">
        <v>18116</v>
      </c>
      <c r="E9849" t="s">
        <v>26752</v>
      </c>
      <c r="F9849" t="s">
        <v>31362</v>
      </c>
      <c r="G9849" t="s">
        <v>31369</v>
      </c>
      <c r="H9849" t="s">
        <v>15799</v>
      </c>
      <c r="I9849" t="s">
        <v>31386</v>
      </c>
      <c r="J9849" t="s">
        <v>37530</v>
      </c>
      <c r="K9849" t="s">
        <v>40675</v>
      </c>
      <c r="M9849" t="s">
        <v>44006</v>
      </c>
      <c r="N9849" t="s">
        <v>44905</v>
      </c>
      <c r="O9849" t="s">
        <v>44906</v>
      </c>
      <c r="P9849">
        <v>0</v>
      </c>
      <c r="Q9849">
        <v>0</v>
      </c>
      <c r="R9849" t="s">
        <v>44914</v>
      </c>
      <c r="S9849" t="s">
        <v>45202</v>
      </c>
      <c r="T9849" t="s">
        <v>46672</v>
      </c>
      <c r="U9849" t="s">
        <v>54840</v>
      </c>
      <c r="W9849" t="s">
        <v>44006</v>
      </c>
      <c r="X9849" t="s">
        <v>44915</v>
      </c>
    </row>
    <row r="9850" spans="1:24">
      <c r="A9850">
        <f>HYPERLINK("https://www.philgeps.gov.ph/GEPSNONPILOT/Tender/SplashBidNoticeAbstractUI.aspx?menuIndex=3&amp;refID=7068593&amp;Result=3","7068593")</f>
        <v>0</v>
      </c>
      <c r="B9850" t="s">
        <v>1895</v>
      </c>
      <c r="C9850" t="s">
        <v>12912</v>
      </c>
      <c r="D9850" t="s">
        <v>18151</v>
      </c>
      <c r="E9850" t="s">
        <v>26753</v>
      </c>
      <c r="F9850" t="s">
        <v>31362</v>
      </c>
      <c r="G9850" t="s">
        <v>31369</v>
      </c>
      <c r="H9850" t="s">
        <v>15799</v>
      </c>
      <c r="I9850" t="s">
        <v>7719</v>
      </c>
      <c r="J9850" t="s">
        <v>37531</v>
      </c>
      <c r="K9850" t="s">
        <v>40665</v>
      </c>
      <c r="M9850" t="s">
        <v>42990</v>
      </c>
      <c r="N9850" t="s">
        <v>44905</v>
      </c>
      <c r="O9850" t="s">
        <v>44906</v>
      </c>
      <c r="P9850">
        <v>0</v>
      </c>
      <c r="Q9850">
        <v>3</v>
      </c>
      <c r="R9850" t="s">
        <v>44914</v>
      </c>
      <c r="S9850" t="s">
        <v>45202</v>
      </c>
      <c r="T9850" t="s">
        <v>46409</v>
      </c>
      <c r="U9850" t="s">
        <v>54856</v>
      </c>
      <c r="W9850" t="s">
        <v>42990</v>
      </c>
      <c r="X9850" t="s">
        <v>44915</v>
      </c>
    </row>
    <row r="9851" spans="1:24">
      <c r="A9851">
        <f>HYPERLINK("https://www.philgeps.gov.ph/GEPSNONPILOT/Tender/SplashBidNoticeAbstractUI.aspx?menuIndex=3&amp;refID=7068591&amp;Result=3","7068591")</f>
        <v>0</v>
      </c>
      <c r="B9851" t="s">
        <v>2806</v>
      </c>
      <c r="C9851" t="s">
        <v>12913</v>
      </c>
      <c r="D9851" t="s">
        <v>18102</v>
      </c>
      <c r="E9851" t="s">
        <v>26754</v>
      </c>
      <c r="F9851" t="s">
        <v>31362</v>
      </c>
      <c r="G9851" t="s">
        <v>31369</v>
      </c>
      <c r="H9851" t="s">
        <v>15799</v>
      </c>
      <c r="I9851" t="s">
        <v>31456</v>
      </c>
      <c r="J9851" t="s">
        <v>37532</v>
      </c>
      <c r="K9851" t="s">
        <v>40665</v>
      </c>
      <c r="M9851" t="s">
        <v>44005</v>
      </c>
      <c r="N9851" t="s">
        <v>44905</v>
      </c>
      <c r="O9851" t="s">
        <v>44906</v>
      </c>
      <c r="P9851">
        <v>0</v>
      </c>
      <c r="Q9851">
        <v>2</v>
      </c>
      <c r="R9851" t="s">
        <v>44914</v>
      </c>
      <c r="S9851" t="s">
        <v>45202</v>
      </c>
      <c r="T9851" t="s">
        <v>46483</v>
      </c>
      <c r="U9851" t="s">
        <v>54857</v>
      </c>
      <c r="V9851" t="s">
        <v>60106</v>
      </c>
      <c r="W9851" t="s">
        <v>44005</v>
      </c>
      <c r="X9851" t="s">
        <v>44915</v>
      </c>
    </row>
    <row r="9852" spans="1:24">
      <c r="A9852">
        <f>HYPERLINK("https://www.philgeps.gov.ph/GEPSNONPILOT/Tender/SplashBidNoticeAbstractUI.aspx?menuIndex=3&amp;refID=7068731&amp;Result=3","7068731")</f>
        <v>0</v>
      </c>
      <c r="B9852" t="s">
        <v>2810</v>
      </c>
      <c r="C9852" t="s">
        <v>12914</v>
      </c>
      <c r="D9852" t="s">
        <v>18117</v>
      </c>
      <c r="E9852" t="s">
        <v>26755</v>
      </c>
      <c r="F9852" t="s">
        <v>31362</v>
      </c>
      <c r="G9852" t="s">
        <v>31370</v>
      </c>
      <c r="H9852" t="s">
        <v>15799</v>
      </c>
      <c r="I9852" t="s">
        <v>31393</v>
      </c>
      <c r="J9852" t="s">
        <v>31578</v>
      </c>
      <c r="K9852" t="s">
        <v>40665</v>
      </c>
      <c r="M9852" t="s">
        <v>44009</v>
      </c>
      <c r="N9852" t="s">
        <v>44905</v>
      </c>
      <c r="O9852" t="s">
        <v>44906</v>
      </c>
      <c r="P9852">
        <v>0</v>
      </c>
      <c r="Q9852">
        <v>1</v>
      </c>
      <c r="R9852" t="s">
        <v>44914</v>
      </c>
      <c r="S9852" t="s">
        <v>45202</v>
      </c>
      <c r="T9852" t="s">
        <v>46483</v>
      </c>
      <c r="U9852" t="s">
        <v>54858</v>
      </c>
      <c r="V9852" t="s">
        <v>60112</v>
      </c>
      <c r="W9852" t="s">
        <v>44009</v>
      </c>
      <c r="X9852" t="s">
        <v>44915</v>
      </c>
    </row>
    <row r="9853" spans="1:24">
      <c r="A9853">
        <f>HYPERLINK("https://www.philgeps.gov.ph/GEPSNONPILOT/Tender/SplashBidNoticeAbstractUI.aspx?menuIndex=3&amp;refID=7068745&amp;Result=3","7068745")</f>
        <v>0</v>
      </c>
      <c r="B9853" t="s">
        <v>387</v>
      </c>
      <c r="C9853" t="s">
        <v>12915</v>
      </c>
      <c r="D9853" t="s">
        <v>18152</v>
      </c>
      <c r="E9853" t="s">
        <v>26756</v>
      </c>
      <c r="F9853" t="s">
        <v>31362</v>
      </c>
      <c r="G9853" t="s">
        <v>31369</v>
      </c>
      <c r="H9853" t="s">
        <v>15799</v>
      </c>
      <c r="I9853" t="s">
        <v>31430</v>
      </c>
      <c r="J9853" t="s">
        <v>37533</v>
      </c>
      <c r="K9853" t="s">
        <v>40665</v>
      </c>
      <c r="M9853" t="s">
        <v>41915</v>
      </c>
      <c r="N9853" t="s">
        <v>44905</v>
      </c>
      <c r="O9853" t="s">
        <v>44906</v>
      </c>
      <c r="P9853">
        <v>0</v>
      </c>
      <c r="Q9853">
        <v>0</v>
      </c>
      <c r="R9853" t="s">
        <v>44914</v>
      </c>
      <c r="S9853" t="s">
        <v>45202</v>
      </c>
      <c r="T9853" t="s">
        <v>46393</v>
      </c>
      <c r="U9853" t="s">
        <v>47597</v>
      </c>
      <c r="V9853" t="s">
        <v>59153</v>
      </c>
      <c r="W9853" t="s">
        <v>41915</v>
      </c>
      <c r="X9853" t="s">
        <v>44915</v>
      </c>
    </row>
    <row r="9854" spans="1:24">
      <c r="A9854">
        <f>HYPERLINK("https://www.philgeps.gov.ph/GEPSNONPILOT/Tender/SplashBidNoticeAbstractUI.aspx?menuIndex=3&amp;refID=7068739&amp;Result=3","7068739")</f>
        <v>0</v>
      </c>
      <c r="B9854" t="s">
        <v>2811</v>
      </c>
      <c r="C9854" t="s">
        <v>12916</v>
      </c>
      <c r="D9854" t="s">
        <v>18153</v>
      </c>
      <c r="E9854" t="s">
        <v>19844</v>
      </c>
      <c r="F9854" t="s">
        <v>31362</v>
      </c>
      <c r="G9854" t="s">
        <v>31369</v>
      </c>
      <c r="H9854" t="s">
        <v>15799</v>
      </c>
      <c r="I9854" t="s">
        <v>3815</v>
      </c>
      <c r="J9854" t="s">
        <v>37534</v>
      </c>
      <c r="K9854" t="s">
        <v>40661</v>
      </c>
      <c r="L9854" t="s">
        <v>2811</v>
      </c>
      <c r="M9854" t="s">
        <v>44010</v>
      </c>
      <c r="N9854" t="s">
        <v>44905</v>
      </c>
      <c r="O9854" t="s">
        <v>44906</v>
      </c>
      <c r="P9854">
        <v>0</v>
      </c>
      <c r="Q9854">
        <v>0</v>
      </c>
      <c r="R9854" t="s">
        <v>44914</v>
      </c>
      <c r="S9854" t="s">
        <v>45202</v>
      </c>
      <c r="T9854" t="s">
        <v>46409</v>
      </c>
      <c r="U9854" t="s">
        <v>54859</v>
      </c>
      <c r="V9854" t="s">
        <v>60113</v>
      </c>
      <c r="W9854" t="s">
        <v>44010</v>
      </c>
      <c r="X9854" t="s">
        <v>44915</v>
      </c>
    </row>
    <row r="9855" spans="1:24">
      <c r="A9855">
        <f>HYPERLINK("https://www.philgeps.gov.ph/GEPSNONPILOT/Tender/SplashBidNoticeAbstractUI.aspx?menuIndex=3&amp;refID=7068605&amp;Result=3","7068605")</f>
        <v>0</v>
      </c>
      <c r="B9855" t="s">
        <v>579</v>
      </c>
      <c r="C9855" t="s">
        <v>12917</v>
      </c>
      <c r="D9855" t="s">
        <v>18112</v>
      </c>
      <c r="E9855" t="s">
        <v>26757</v>
      </c>
      <c r="F9855" t="s">
        <v>31362</v>
      </c>
      <c r="G9855" t="s">
        <v>31369</v>
      </c>
      <c r="H9855" t="s">
        <v>15799</v>
      </c>
      <c r="I9855" t="s">
        <v>31409</v>
      </c>
      <c r="J9855" t="s">
        <v>31637</v>
      </c>
      <c r="K9855" t="s">
        <v>40682</v>
      </c>
      <c r="M9855" t="s">
        <v>42918</v>
      </c>
      <c r="N9855" t="s">
        <v>44905</v>
      </c>
      <c r="O9855" t="s">
        <v>44906</v>
      </c>
      <c r="P9855">
        <v>0</v>
      </c>
      <c r="Q9855">
        <v>8</v>
      </c>
      <c r="R9855" t="s">
        <v>44914</v>
      </c>
      <c r="S9855" t="s">
        <v>45202</v>
      </c>
      <c r="T9855" t="s">
        <v>46479</v>
      </c>
      <c r="U9855" t="s">
        <v>51501</v>
      </c>
      <c r="W9855" t="s">
        <v>42918</v>
      </c>
      <c r="X9855" t="s">
        <v>44915</v>
      </c>
    </row>
    <row r="9856" spans="1:24">
      <c r="A9856">
        <f>HYPERLINK("https://www.philgeps.gov.ph/GEPSNONPILOT/Tender/SplashBidNoticeAbstractUI.aspx?menuIndex=3&amp;refID=7068594&amp;Result=3","7068594")</f>
        <v>0</v>
      </c>
      <c r="B9856" t="s">
        <v>2812</v>
      </c>
      <c r="C9856" t="s">
        <v>12918</v>
      </c>
      <c r="D9856" t="s">
        <v>18125</v>
      </c>
      <c r="E9856" t="s">
        <v>26758</v>
      </c>
      <c r="F9856" t="s">
        <v>31362</v>
      </c>
      <c r="G9856" t="s">
        <v>31369</v>
      </c>
      <c r="H9856" t="s">
        <v>15799</v>
      </c>
      <c r="I9856" t="s">
        <v>31422</v>
      </c>
      <c r="J9856" t="s">
        <v>37535</v>
      </c>
      <c r="K9856" t="s">
        <v>40665</v>
      </c>
      <c r="M9856" t="s">
        <v>44011</v>
      </c>
      <c r="N9856" t="s">
        <v>44905</v>
      </c>
      <c r="O9856" t="s">
        <v>44906</v>
      </c>
      <c r="P9856">
        <v>0</v>
      </c>
      <c r="Q9856">
        <v>5</v>
      </c>
      <c r="R9856" t="s">
        <v>44914</v>
      </c>
      <c r="S9856" t="s">
        <v>45202</v>
      </c>
      <c r="T9856" t="s">
        <v>46519</v>
      </c>
      <c r="U9856" t="s">
        <v>54860</v>
      </c>
      <c r="W9856" t="s">
        <v>44011</v>
      </c>
      <c r="X9856" t="s">
        <v>44915</v>
      </c>
    </row>
    <row r="9857" spans="1:24">
      <c r="A9857">
        <f>HYPERLINK("https://www.philgeps.gov.ph/GEPSNONPILOT/Tender/SplashBidNoticeAbstractUI.aspx?menuIndex=3&amp;refID=7068624&amp;Result=3","7068624")</f>
        <v>0</v>
      </c>
      <c r="B9857" t="s">
        <v>1037</v>
      </c>
      <c r="C9857" t="s">
        <v>12919</v>
      </c>
      <c r="D9857" t="s">
        <v>18146</v>
      </c>
      <c r="E9857" t="s">
        <v>26759</v>
      </c>
      <c r="F9857" t="s">
        <v>31362</v>
      </c>
      <c r="G9857" t="s">
        <v>31369</v>
      </c>
      <c r="H9857" t="s">
        <v>31378</v>
      </c>
      <c r="I9857" t="s">
        <v>31386</v>
      </c>
      <c r="J9857" t="s">
        <v>37536</v>
      </c>
      <c r="K9857" t="s">
        <v>40778</v>
      </c>
      <c r="M9857" t="s">
        <v>43675</v>
      </c>
      <c r="N9857" t="s">
        <v>44905</v>
      </c>
      <c r="O9857" t="s">
        <v>44906</v>
      </c>
      <c r="P9857">
        <v>0</v>
      </c>
      <c r="Q9857">
        <v>0</v>
      </c>
      <c r="R9857" t="s">
        <v>44914</v>
      </c>
      <c r="S9857" t="s">
        <v>45202</v>
      </c>
      <c r="T9857" t="s">
        <v>46418</v>
      </c>
      <c r="U9857" t="s">
        <v>54861</v>
      </c>
      <c r="V9857" t="s">
        <v>60114</v>
      </c>
      <c r="W9857" t="s">
        <v>43675</v>
      </c>
      <c r="X9857" t="s">
        <v>44915</v>
      </c>
    </row>
    <row r="9858" spans="1:24">
      <c r="A9858">
        <f>HYPERLINK("https://www.philgeps.gov.ph/GEPSNONPILOT/Tender/SplashBidNoticeAbstractUI.aspx?menuIndex=3&amp;refID=7068733&amp;Result=3","7068733")</f>
        <v>0</v>
      </c>
      <c r="B9858" t="s">
        <v>2813</v>
      </c>
      <c r="C9858" t="s">
        <v>12920</v>
      </c>
      <c r="D9858" t="s">
        <v>18118</v>
      </c>
      <c r="E9858" t="s">
        <v>12920</v>
      </c>
      <c r="F9858" t="s">
        <v>31362</v>
      </c>
      <c r="G9858" t="s">
        <v>31369</v>
      </c>
      <c r="H9858" t="s">
        <v>15799</v>
      </c>
      <c r="I9858" t="s">
        <v>31431</v>
      </c>
      <c r="J9858" t="s">
        <v>37537</v>
      </c>
      <c r="K9858" t="s">
        <v>40662</v>
      </c>
      <c r="M9858" t="s">
        <v>44012</v>
      </c>
      <c r="N9858" t="s">
        <v>44905</v>
      </c>
      <c r="O9858" t="s">
        <v>44906</v>
      </c>
      <c r="P9858">
        <v>0</v>
      </c>
      <c r="Q9858">
        <v>7</v>
      </c>
      <c r="R9858" t="s">
        <v>44914</v>
      </c>
      <c r="S9858" t="s">
        <v>45202</v>
      </c>
      <c r="T9858" t="s">
        <v>46559</v>
      </c>
      <c r="U9858" t="s">
        <v>54862</v>
      </c>
      <c r="W9858" t="s">
        <v>44012</v>
      </c>
      <c r="X9858" t="s">
        <v>44915</v>
      </c>
    </row>
    <row r="9859" spans="1:24">
      <c r="A9859">
        <f>HYPERLINK("https://www.philgeps.gov.ph/GEPSNONPILOT/Tender/SplashBidNoticeAbstractUI.aspx?menuIndex=3&amp;refID=7068721&amp;Result=3","7068721")</f>
        <v>0</v>
      </c>
      <c r="B9859" t="s">
        <v>2658</v>
      </c>
      <c r="C9859" t="s">
        <v>12921</v>
      </c>
      <c r="D9859" t="s">
        <v>18100</v>
      </c>
      <c r="E9859" t="s">
        <v>26760</v>
      </c>
      <c r="F9859" t="s">
        <v>31362</v>
      </c>
      <c r="G9859" t="s">
        <v>31368</v>
      </c>
      <c r="H9859" t="s">
        <v>15799</v>
      </c>
      <c r="I9859" t="s">
        <v>7719</v>
      </c>
      <c r="J9859" t="s">
        <v>31530</v>
      </c>
      <c r="K9859" t="s">
        <v>40682</v>
      </c>
      <c r="M9859" t="s">
        <v>43842</v>
      </c>
      <c r="N9859" t="s">
        <v>44905</v>
      </c>
      <c r="O9859" t="s">
        <v>44906</v>
      </c>
      <c r="P9859">
        <v>0</v>
      </c>
      <c r="Q9859">
        <v>30</v>
      </c>
      <c r="R9859" t="s">
        <v>44914</v>
      </c>
      <c r="S9859" t="s">
        <v>45202</v>
      </c>
      <c r="T9859" t="s">
        <v>46417</v>
      </c>
      <c r="U9859" t="s">
        <v>54863</v>
      </c>
      <c r="W9859" t="s">
        <v>43842</v>
      </c>
      <c r="X9859" t="s">
        <v>44915</v>
      </c>
    </row>
    <row r="9860" spans="1:24">
      <c r="A9860">
        <f>HYPERLINK("https://www.philgeps.gov.ph/GEPSNONPILOT/Tender/SplashBidNoticeAbstractUI.aspx?menuIndex=3&amp;refID=7068718&amp;Result=3","7068718")</f>
        <v>0</v>
      </c>
      <c r="B9860" t="s">
        <v>2814</v>
      </c>
      <c r="C9860" t="s">
        <v>12922</v>
      </c>
      <c r="D9860" t="s">
        <v>18110</v>
      </c>
      <c r="E9860" t="s">
        <v>18466</v>
      </c>
      <c r="F9860" t="s">
        <v>31362</v>
      </c>
      <c r="G9860" t="s">
        <v>31369</v>
      </c>
      <c r="H9860" t="s">
        <v>15799</v>
      </c>
      <c r="I9860" t="s">
        <v>6373</v>
      </c>
      <c r="J9860" t="s">
        <v>37538</v>
      </c>
      <c r="K9860" t="s">
        <v>40697</v>
      </c>
      <c r="M9860" t="s">
        <v>44013</v>
      </c>
      <c r="N9860" t="s">
        <v>44905</v>
      </c>
      <c r="O9860" t="s">
        <v>44906</v>
      </c>
      <c r="P9860">
        <v>0</v>
      </c>
      <c r="Q9860">
        <v>8</v>
      </c>
      <c r="R9860" t="s">
        <v>44914</v>
      </c>
      <c r="S9860" t="s">
        <v>45202</v>
      </c>
      <c r="T9860" t="s">
        <v>46812</v>
      </c>
      <c r="U9860" t="s">
        <v>54864</v>
      </c>
      <c r="W9860" t="s">
        <v>44013</v>
      </c>
      <c r="X9860" t="s">
        <v>44915</v>
      </c>
    </row>
    <row r="9861" spans="1:24">
      <c r="A9861">
        <f>HYPERLINK("https://www.philgeps.gov.ph/GEPSNONPILOT/Tender/SplashBidNoticeAbstractUI.aspx?menuIndex=3&amp;refID=7068729&amp;Result=3","7068729")</f>
        <v>0</v>
      </c>
      <c r="B9861" t="s">
        <v>387</v>
      </c>
      <c r="C9861" t="s">
        <v>12923</v>
      </c>
      <c r="D9861" t="s">
        <v>18152</v>
      </c>
      <c r="E9861" t="s">
        <v>26761</v>
      </c>
      <c r="F9861" t="s">
        <v>31362</v>
      </c>
      <c r="G9861" t="s">
        <v>31369</v>
      </c>
      <c r="H9861" t="s">
        <v>15799</v>
      </c>
      <c r="I9861" t="s">
        <v>31430</v>
      </c>
      <c r="J9861" t="s">
        <v>37539</v>
      </c>
      <c r="K9861" t="s">
        <v>40665</v>
      </c>
      <c r="M9861" t="s">
        <v>41915</v>
      </c>
      <c r="N9861" t="s">
        <v>44905</v>
      </c>
      <c r="O9861" t="s">
        <v>44906</v>
      </c>
      <c r="P9861">
        <v>0</v>
      </c>
      <c r="Q9861">
        <v>0</v>
      </c>
      <c r="R9861" t="s">
        <v>44914</v>
      </c>
      <c r="S9861" t="s">
        <v>45202</v>
      </c>
      <c r="T9861" t="s">
        <v>46393</v>
      </c>
      <c r="U9861" t="s">
        <v>47597</v>
      </c>
      <c r="V9861" t="s">
        <v>59153</v>
      </c>
      <c r="W9861" t="s">
        <v>41915</v>
      </c>
      <c r="X9861" t="s">
        <v>44915</v>
      </c>
    </row>
    <row r="9862" spans="1:24">
      <c r="A9862">
        <f>HYPERLINK("https://www.philgeps.gov.ph/GEPSNONPILOT/Tender/SplashBidNoticeAbstractUI.aspx?menuIndex=3&amp;refID=7068358&amp;Result=3","7068358")</f>
        <v>0</v>
      </c>
      <c r="B9862" t="s">
        <v>2784</v>
      </c>
      <c r="C9862" t="s">
        <v>12924</v>
      </c>
      <c r="D9862" t="s">
        <v>18155</v>
      </c>
      <c r="E9862" t="s">
        <v>26762</v>
      </c>
      <c r="F9862" t="s">
        <v>31362</v>
      </c>
      <c r="G9862" t="s">
        <v>31369</v>
      </c>
      <c r="H9862" t="s">
        <v>31378</v>
      </c>
      <c r="I9862" t="s">
        <v>31386</v>
      </c>
      <c r="J9862" t="s">
        <v>37540</v>
      </c>
      <c r="K9862" t="s">
        <v>40662</v>
      </c>
      <c r="M9862" t="s">
        <v>43979</v>
      </c>
      <c r="N9862" t="s">
        <v>44905</v>
      </c>
      <c r="O9862" t="s">
        <v>44906</v>
      </c>
      <c r="P9862">
        <v>0</v>
      </c>
      <c r="Q9862">
        <v>0</v>
      </c>
      <c r="R9862" t="s">
        <v>44914</v>
      </c>
      <c r="S9862" t="s">
        <v>45202</v>
      </c>
      <c r="T9862" t="s">
        <v>46519</v>
      </c>
      <c r="U9862" t="s">
        <v>54865</v>
      </c>
      <c r="W9862" t="s">
        <v>43979</v>
      </c>
      <c r="X9862" t="s">
        <v>44915</v>
      </c>
    </row>
    <row r="9863" spans="1:24">
      <c r="A9863">
        <f>HYPERLINK("https://www.philgeps.gov.ph/GEPSNONPILOT/Tender/SplashBidNoticeAbstractUI.aspx?menuIndex=3&amp;refID=7068723&amp;Result=3","7068723")</f>
        <v>0</v>
      </c>
      <c r="B9863" t="s">
        <v>2815</v>
      </c>
      <c r="C9863" t="s">
        <v>12925</v>
      </c>
      <c r="D9863" t="s">
        <v>18109</v>
      </c>
      <c r="E9863" t="s">
        <v>26763</v>
      </c>
      <c r="F9863" t="s">
        <v>31362</v>
      </c>
      <c r="G9863" t="s">
        <v>31369</v>
      </c>
      <c r="H9863" t="s">
        <v>31379</v>
      </c>
      <c r="I9863" t="s">
        <v>12925</v>
      </c>
      <c r="J9863" t="s">
        <v>37541</v>
      </c>
      <c r="K9863" t="s">
        <v>40723</v>
      </c>
      <c r="M9863" t="s">
        <v>44014</v>
      </c>
      <c r="N9863" t="s">
        <v>44905</v>
      </c>
      <c r="O9863" t="s">
        <v>44906</v>
      </c>
      <c r="P9863">
        <v>0</v>
      </c>
      <c r="Q9863">
        <v>3</v>
      </c>
      <c r="R9863" t="s">
        <v>44914</v>
      </c>
      <c r="S9863" t="s">
        <v>45202</v>
      </c>
      <c r="T9863" t="s">
        <v>46585</v>
      </c>
      <c r="U9863" t="s">
        <v>54866</v>
      </c>
      <c r="W9863" t="s">
        <v>44014</v>
      </c>
      <c r="X9863" t="s">
        <v>44915</v>
      </c>
    </row>
    <row r="9864" spans="1:24">
      <c r="A9864">
        <f>HYPERLINK("https://www.philgeps.gov.ph/GEPSNONPILOT/Tender/SplashBidNoticeAbstractUI.aspx?menuIndex=3&amp;refID=7068711&amp;Result=3","7068711")</f>
        <v>0</v>
      </c>
      <c r="B9864" t="s">
        <v>387</v>
      </c>
      <c r="C9864" t="s">
        <v>12926</v>
      </c>
      <c r="D9864" t="s">
        <v>18152</v>
      </c>
      <c r="E9864" t="s">
        <v>26764</v>
      </c>
      <c r="F9864" t="s">
        <v>31362</v>
      </c>
      <c r="G9864" t="s">
        <v>31369</v>
      </c>
      <c r="H9864" t="s">
        <v>15799</v>
      </c>
      <c r="I9864" t="s">
        <v>31430</v>
      </c>
      <c r="J9864" t="s">
        <v>37542</v>
      </c>
      <c r="K9864" t="s">
        <v>40665</v>
      </c>
      <c r="M9864" t="s">
        <v>41915</v>
      </c>
      <c r="N9864" t="s">
        <v>44905</v>
      </c>
      <c r="O9864" t="s">
        <v>44906</v>
      </c>
      <c r="P9864">
        <v>0</v>
      </c>
      <c r="Q9864">
        <v>0</v>
      </c>
      <c r="R9864" t="s">
        <v>44914</v>
      </c>
      <c r="S9864" t="s">
        <v>45202</v>
      </c>
      <c r="T9864" t="s">
        <v>46393</v>
      </c>
      <c r="U9864" t="s">
        <v>47597</v>
      </c>
      <c r="V9864" t="s">
        <v>59153</v>
      </c>
      <c r="W9864" t="s">
        <v>41915</v>
      </c>
      <c r="X9864" t="s">
        <v>44915</v>
      </c>
    </row>
    <row r="9865" spans="1:24">
      <c r="A9865">
        <f>HYPERLINK("https://www.philgeps.gov.ph/GEPSNONPILOT/Tender/SplashBidNoticeAbstractUI.aspx?menuIndex=3&amp;refID=7068732&amp;Result=3","7068732")</f>
        <v>0</v>
      </c>
      <c r="B9865" t="s">
        <v>2816</v>
      </c>
      <c r="C9865" t="s">
        <v>12927</v>
      </c>
      <c r="D9865" t="s">
        <v>18172</v>
      </c>
      <c r="E9865" t="s">
        <v>26765</v>
      </c>
      <c r="F9865" t="s">
        <v>31362</v>
      </c>
      <c r="G9865" t="s">
        <v>31369</v>
      </c>
      <c r="H9865" t="s">
        <v>15799</v>
      </c>
      <c r="I9865" t="s">
        <v>3815</v>
      </c>
      <c r="J9865" t="s">
        <v>31536</v>
      </c>
      <c r="K9865" t="s">
        <v>40665</v>
      </c>
      <c r="M9865" t="s">
        <v>44015</v>
      </c>
      <c r="N9865" t="s">
        <v>44905</v>
      </c>
      <c r="O9865" t="s">
        <v>44906</v>
      </c>
      <c r="P9865">
        <v>0</v>
      </c>
      <c r="Q9865">
        <v>0</v>
      </c>
      <c r="R9865" t="s">
        <v>44914</v>
      </c>
      <c r="S9865" t="s">
        <v>45202</v>
      </c>
      <c r="T9865" t="s">
        <v>46486</v>
      </c>
      <c r="U9865" t="s">
        <v>54867</v>
      </c>
      <c r="V9865" t="s">
        <v>60115</v>
      </c>
      <c r="W9865" t="s">
        <v>44015</v>
      </c>
      <c r="X9865" t="s">
        <v>44915</v>
      </c>
    </row>
    <row r="9866" spans="1:24">
      <c r="A9866">
        <f>HYPERLINK("https://www.philgeps.gov.ph/GEPSNONPILOT/Tender/SplashBidNoticeAbstractUI.aspx?menuIndex=3&amp;refID=7068882&amp;Result=3","7068882")</f>
        <v>0</v>
      </c>
      <c r="B9866" t="s">
        <v>1930</v>
      </c>
      <c r="C9866" t="s">
        <v>12928</v>
      </c>
      <c r="D9866" t="s">
        <v>18154</v>
      </c>
      <c r="E9866" t="s">
        <v>26766</v>
      </c>
      <c r="F9866" t="s">
        <v>31363</v>
      </c>
      <c r="G9866" t="s">
        <v>31369</v>
      </c>
      <c r="H9866" t="s">
        <v>15799</v>
      </c>
      <c r="I9866" t="s">
        <v>3815</v>
      </c>
      <c r="J9866" t="s">
        <v>37543</v>
      </c>
      <c r="K9866" t="s">
        <v>40665</v>
      </c>
      <c r="M9866" t="s">
        <v>43030</v>
      </c>
      <c r="N9866" t="s">
        <v>44905</v>
      </c>
      <c r="O9866" t="s">
        <v>44906</v>
      </c>
      <c r="P9866">
        <v>0</v>
      </c>
      <c r="Q9866">
        <v>1</v>
      </c>
      <c r="R9866" t="s">
        <v>44914</v>
      </c>
      <c r="S9866" t="s">
        <v>45202</v>
      </c>
      <c r="T9866" t="s">
        <v>46403</v>
      </c>
      <c r="U9866" t="s">
        <v>54868</v>
      </c>
      <c r="W9866" t="s">
        <v>43030</v>
      </c>
      <c r="X9866" t="s">
        <v>44915</v>
      </c>
    </row>
    <row r="9867" spans="1:24">
      <c r="A9867">
        <f>HYPERLINK("https://www.philgeps.gov.ph/GEPSNONPILOT/Tender/SplashBidNoticeAbstractUI.aspx?menuIndex=3&amp;refID=7068720&amp;Result=3","7068720")</f>
        <v>0</v>
      </c>
      <c r="B9867" t="s">
        <v>2817</v>
      </c>
      <c r="C9867" t="s">
        <v>12929</v>
      </c>
      <c r="D9867" t="s">
        <v>18118</v>
      </c>
      <c r="E9867" t="s">
        <v>23516</v>
      </c>
      <c r="F9867" t="s">
        <v>31362</v>
      </c>
      <c r="G9867" t="s">
        <v>31369</v>
      </c>
      <c r="H9867" t="s">
        <v>15799</v>
      </c>
      <c r="I9867" t="s">
        <v>31444</v>
      </c>
      <c r="J9867" t="s">
        <v>31728</v>
      </c>
      <c r="K9867" t="s">
        <v>40661</v>
      </c>
      <c r="M9867" t="s">
        <v>44016</v>
      </c>
      <c r="N9867" t="s">
        <v>44905</v>
      </c>
      <c r="O9867" t="s">
        <v>44906</v>
      </c>
      <c r="P9867">
        <v>0</v>
      </c>
      <c r="Q9867">
        <v>2</v>
      </c>
      <c r="R9867" t="s">
        <v>44914</v>
      </c>
      <c r="S9867" t="s">
        <v>45202</v>
      </c>
      <c r="T9867" t="s">
        <v>46509</v>
      </c>
      <c r="U9867" t="s">
        <v>54869</v>
      </c>
      <c r="W9867" t="s">
        <v>44016</v>
      </c>
      <c r="X9867" t="s">
        <v>44915</v>
      </c>
    </row>
    <row r="9868" spans="1:24">
      <c r="A9868">
        <f>HYPERLINK("https://www.philgeps.gov.ph/GEPSNONPILOT/Tender/SplashBidNoticeAbstractUI.aspx?menuIndex=3&amp;refID=7068755&amp;Result=3","7068755")</f>
        <v>0</v>
      </c>
      <c r="B9868" t="s">
        <v>2812</v>
      </c>
      <c r="C9868" t="s">
        <v>3839</v>
      </c>
      <c r="D9868" t="s">
        <v>18125</v>
      </c>
      <c r="E9868" t="s">
        <v>26767</v>
      </c>
      <c r="F9868" t="s">
        <v>31362</v>
      </c>
      <c r="G9868" t="s">
        <v>31369</v>
      </c>
      <c r="H9868" t="s">
        <v>15799</v>
      </c>
      <c r="I9868" t="s">
        <v>31385</v>
      </c>
      <c r="J9868" t="s">
        <v>37544</v>
      </c>
      <c r="K9868" t="s">
        <v>40665</v>
      </c>
      <c r="M9868" t="s">
        <v>44011</v>
      </c>
      <c r="N9868" t="s">
        <v>44905</v>
      </c>
      <c r="O9868" t="s">
        <v>44906</v>
      </c>
      <c r="P9868">
        <v>0</v>
      </c>
      <c r="Q9868">
        <v>2</v>
      </c>
      <c r="R9868" t="s">
        <v>44914</v>
      </c>
      <c r="S9868" t="s">
        <v>45202</v>
      </c>
      <c r="T9868" t="s">
        <v>46519</v>
      </c>
      <c r="U9868" t="s">
        <v>54870</v>
      </c>
      <c r="W9868" t="s">
        <v>44011</v>
      </c>
      <c r="X9868" t="s">
        <v>44915</v>
      </c>
    </row>
    <row r="9869" spans="1:24">
      <c r="A9869">
        <f>HYPERLINK("https://www.philgeps.gov.ph/GEPSNONPILOT/Tender/SplashBidNoticeAbstractUI.aspx?menuIndex=3&amp;refID=7068852&amp;Result=3","7068852")</f>
        <v>0</v>
      </c>
      <c r="B9869" t="s">
        <v>2485</v>
      </c>
      <c r="C9869" t="s">
        <v>12930</v>
      </c>
      <c r="D9869" t="s">
        <v>18104</v>
      </c>
      <c r="E9869" t="s">
        <v>26768</v>
      </c>
      <c r="F9869" t="s">
        <v>31362</v>
      </c>
      <c r="G9869" t="s">
        <v>31368</v>
      </c>
      <c r="H9869" t="s">
        <v>15799</v>
      </c>
      <c r="I9869" t="s">
        <v>31431</v>
      </c>
      <c r="J9869" t="s">
        <v>37545</v>
      </c>
      <c r="K9869" t="s">
        <v>40666</v>
      </c>
      <c r="M9869" t="s">
        <v>43650</v>
      </c>
      <c r="N9869" t="s">
        <v>44905</v>
      </c>
      <c r="O9869" t="s">
        <v>44906</v>
      </c>
      <c r="P9869">
        <v>0</v>
      </c>
      <c r="Q9869">
        <v>2</v>
      </c>
      <c r="R9869" t="s">
        <v>44914</v>
      </c>
      <c r="S9869" t="s">
        <v>45202</v>
      </c>
      <c r="T9869" t="s">
        <v>46692</v>
      </c>
      <c r="U9869" t="s">
        <v>54871</v>
      </c>
      <c r="V9869" t="s">
        <v>60116</v>
      </c>
      <c r="W9869" t="s">
        <v>43650</v>
      </c>
      <c r="X9869" t="s">
        <v>44915</v>
      </c>
    </row>
    <row r="9870" spans="1:24">
      <c r="A9870">
        <f>HYPERLINK("https://www.philgeps.gov.ph/GEPSNONPILOT/Tender/SplashBidNoticeAbstractUI.aspx?menuIndex=3&amp;refID=7068712&amp;Result=3","7068712")</f>
        <v>0</v>
      </c>
      <c r="B9870" t="s">
        <v>1002</v>
      </c>
      <c r="C9870" t="s">
        <v>12931</v>
      </c>
      <c r="E9870" t="s">
        <v>26769</v>
      </c>
      <c r="F9870" t="s">
        <v>31362</v>
      </c>
      <c r="G9870" t="s">
        <v>31368</v>
      </c>
      <c r="H9870" t="s">
        <v>15799</v>
      </c>
      <c r="I9870" t="s">
        <v>31410</v>
      </c>
      <c r="J9870" t="s">
        <v>31545</v>
      </c>
      <c r="K9870" t="s">
        <v>40665</v>
      </c>
      <c r="M9870" t="s">
        <v>43978</v>
      </c>
      <c r="N9870" t="s">
        <v>44905</v>
      </c>
      <c r="O9870" t="s">
        <v>44906</v>
      </c>
      <c r="P9870">
        <v>0</v>
      </c>
      <c r="Q9870">
        <v>1</v>
      </c>
      <c r="R9870" t="s">
        <v>44914</v>
      </c>
      <c r="S9870" t="s">
        <v>45202</v>
      </c>
      <c r="T9870" t="s">
        <v>46443</v>
      </c>
      <c r="U9870" t="s">
        <v>54872</v>
      </c>
      <c r="W9870" t="s">
        <v>60940</v>
      </c>
      <c r="X9870" t="s">
        <v>44915</v>
      </c>
    </row>
    <row r="9871" spans="1:24">
      <c r="A9871">
        <f>HYPERLINK("https://www.philgeps.gov.ph/GEPSNONPILOT/Tender/SplashBidNoticeAbstractUI.aspx?menuIndex=3&amp;refID=7068837&amp;Result=3","7068837")</f>
        <v>0</v>
      </c>
      <c r="B9871" t="s">
        <v>1373</v>
      </c>
      <c r="C9871" t="s">
        <v>12932</v>
      </c>
      <c r="D9871" t="s">
        <v>18109</v>
      </c>
      <c r="E9871" t="s">
        <v>26770</v>
      </c>
      <c r="F9871" t="s">
        <v>31362</v>
      </c>
      <c r="G9871" t="s">
        <v>31370</v>
      </c>
      <c r="H9871" t="s">
        <v>15799</v>
      </c>
      <c r="I9871" t="s">
        <v>31421</v>
      </c>
      <c r="J9871" t="s">
        <v>32666</v>
      </c>
      <c r="K9871" t="s">
        <v>40665</v>
      </c>
      <c r="M9871" t="s">
        <v>42396</v>
      </c>
      <c r="N9871" t="s">
        <v>44905</v>
      </c>
      <c r="O9871" t="s">
        <v>44906</v>
      </c>
      <c r="Q9871">
        <v>2</v>
      </c>
      <c r="R9871" t="s">
        <v>44914</v>
      </c>
      <c r="S9871" t="s">
        <v>45219</v>
      </c>
      <c r="T9871" t="s">
        <v>46454</v>
      </c>
      <c r="U9871" t="s">
        <v>49998</v>
      </c>
      <c r="W9871" t="s">
        <v>42396</v>
      </c>
      <c r="X9871" t="s">
        <v>44915</v>
      </c>
    </row>
    <row r="9872" spans="1:24">
      <c r="A9872">
        <f>HYPERLINK("https://www.philgeps.gov.ph/GEPSNONPILOT/Tender/SplashBidNoticeAbstractUI.aspx?menuIndex=3&amp;refID=7068822&amp;Result=3","7068822")</f>
        <v>0</v>
      </c>
      <c r="B9872" t="s">
        <v>2658</v>
      </c>
      <c r="C9872" t="s">
        <v>12933</v>
      </c>
      <c r="D9872" t="s">
        <v>18100</v>
      </c>
      <c r="E9872" t="s">
        <v>26771</v>
      </c>
      <c r="F9872" t="s">
        <v>31362</v>
      </c>
      <c r="G9872" t="s">
        <v>31368</v>
      </c>
      <c r="H9872" t="s">
        <v>15799</v>
      </c>
      <c r="I9872" t="s">
        <v>7719</v>
      </c>
      <c r="J9872" t="s">
        <v>31531</v>
      </c>
      <c r="K9872" t="s">
        <v>40665</v>
      </c>
      <c r="M9872" t="s">
        <v>43842</v>
      </c>
      <c r="N9872" t="s">
        <v>44905</v>
      </c>
      <c r="O9872" t="s">
        <v>44906</v>
      </c>
      <c r="P9872">
        <v>0</v>
      </c>
      <c r="Q9872">
        <v>25</v>
      </c>
      <c r="R9872" t="s">
        <v>44914</v>
      </c>
      <c r="S9872" t="s">
        <v>45202</v>
      </c>
      <c r="T9872" t="s">
        <v>46417</v>
      </c>
      <c r="U9872" t="s">
        <v>54873</v>
      </c>
      <c r="W9872" t="s">
        <v>43842</v>
      </c>
      <c r="X9872" t="s">
        <v>44915</v>
      </c>
    </row>
    <row r="9873" spans="1:24">
      <c r="A9873">
        <f>HYPERLINK("https://www.philgeps.gov.ph/GEPSNONPILOT/Tender/SplashBidNoticeAbstractUI.aspx?menuIndex=3&amp;refID=7068868&amp;Result=3","7068868")</f>
        <v>0</v>
      </c>
      <c r="B9873" t="s">
        <v>2810</v>
      </c>
      <c r="C9873" t="s">
        <v>12934</v>
      </c>
      <c r="D9873" t="s">
        <v>18117</v>
      </c>
      <c r="E9873" t="s">
        <v>26755</v>
      </c>
      <c r="F9873" t="s">
        <v>31362</v>
      </c>
      <c r="G9873" t="s">
        <v>31370</v>
      </c>
      <c r="H9873" t="s">
        <v>15799</v>
      </c>
      <c r="I9873" t="s">
        <v>3815</v>
      </c>
      <c r="J9873" t="s">
        <v>37546</v>
      </c>
      <c r="K9873" t="s">
        <v>40665</v>
      </c>
      <c r="M9873" t="s">
        <v>44009</v>
      </c>
      <c r="N9873" t="s">
        <v>44905</v>
      </c>
      <c r="O9873" t="s">
        <v>44906</v>
      </c>
      <c r="P9873">
        <v>0</v>
      </c>
      <c r="Q9873">
        <v>2</v>
      </c>
      <c r="R9873" t="s">
        <v>44914</v>
      </c>
      <c r="S9873" t="s">
        <v>45202</v>
      </c>
      <c r="T9873" t="s">
        <v>46483</v>
      </c>
      <c r="U9873" t="s">
        <v>54874</v>
      </c>
      <c r="V9873" t="s">
        <v>60117</v>
      </c>
      <c r="W9873" t="s">
        <v>44009</v>
      </c>
      <c r="X9873" t="s">
        <v>44915</v>
      </c>
    </row>
    <row r="9874" spans="1:24">
      <c r="A9874">
        <f>HYPERLINK("https://www.philgeps.gov.ph/GEPSNONPILOT/Tender/SplashBidNoticeAbstractUI.aspx?menuIndex=3&amp;refID=7068876&amp;Result=3","7068876")</f>
        <v>0</v>
      </c>
      <c r="B9874" t="s">
        <v>2818</v>
      </c>
      <c r="C9874" t="s">
        <v>12935</v>
      </c>
      <c r="D9874" t="s">
        <v>18132</v>
      </c>
      <c r="E9874" t="s">
        <v>26772</v>
      </c>
      <c r="F9874" t="s">
        <v>31362</v>
      </c>
      <c r="G9874" t="s">
        <v>31369</v>
      </c>
      <c r="H9874" t="s">
        <v>31378</v>
      </c>
      <c r="I9874" t="s">
        <v>31386</v>
      </c>
      <c r="J9874" t="s">
        <v>31981</v>
      </c>
      <c r="K9874" t="s">
        <v>40860</v>
      </c>
      <c r="M9874" t="s">
        <v>44017</v>
      </c>
      <c r="N9874" t="s">
        <v>44905</v>
      </c>
      <c r="O9874" t="s">
        <v>44906</v>
      </c>
      <c r="P9874">
        <v>0</v>
      </c>
      <c r="Q9874">
        <v>0</v>
      </c>
      <c r="R9874" t="s">
        <v>44914</v>
      </c>
      <c r="S9874" t="s">
        <v>45202</v>
      </c>
      <c r="T9874" t="s">
        <v>46426</v>
      </c>
      <c r="U9874" t="s">
        <v>54875</v>
      </c>
      <c r="W9874" t="s">
        <v>44017</v>
      </c>
      <c r="X9874" t="s">
        <v>44915</v>
      </c>
    </row>
    <row r="9875" spans="1:24">
      <c r="A9875">
        <f>HYPERLINK("https://www.philgeps.gov.ph/GEPSNONPILOT/Tender/SplashBidNoticeAbstractUI.aspx?menuIndex=3&amp;refID=7068853&amp;Result=3","7068853")</f>
        <v>0</v>
      </c>
      <c r="B9875" t="s">
        <v>2816</v>
      </c>
      <c r="C9875" t="s">
        <v>12936</v>
      </c>
      <c r="D9875" t="s">
        <v>18172</v>
      </c>
      <c r="E9875" t="s">
        <v>26773</v>
      </c>
      <c r="F9875" t="s">
        <v>31362</v>
      </c>
      <c r="G9875" t="s">
        <v>31369</v>
      </c>
      <c r="H9875" t="s">
        <v>15799</v>
      </c>
      <c r="I9875" t="s">
        <v>31461</v>
      </c>
      <c r="J9875" t="s">
        <v>31530</v>
      </c>
      <c r="K9875" t="s">
        <v>40665</v>
      </c>
      <c r="M9875" t="s">
        <v>44015</v>
      </c>
      <c r="N9875" t="s">
        <v>44905</v>
      </c>
      <c r="O9875" t="s">
        <v>44906</v>
      </c>
      <c r="P9875">
        <v>0</v>
      </c>
      <c r="Q9875">
        <v>2</v>
      </c>
      <c r="R9875" t="s">
        <v>44914</v>
      </c>
      <c r="S9875" t="s">
        <v>45202</v>
      </c>
      <c r="T9875" t="s">
        <v>46486</v>
      </c>
      <c r="U9875" t="s">
        <v>54867</v>
      </c>
      <c r="V9875" t="s">
        <v>60118</v>
      </c>
      <c r="W9875" t="s">
        <v>44015</v>
      </c>
      <c r="X9875" t="s">
        <v>44915</v>
      </c>
    </row>
    <row r="9876" spans="1:24">
      <c r="A9876">
        <f>HYPERLINK("https://www.philgeps.gov.ph/GEPSNONPILOT/Tender/SplashBidNoticeAbstractUI.aspx?menuIndex=3&amp;refID=7068785&amp;Result=3","7068785")</f>
        <v>0</v>
      </c>
      <c r="B9876" t="s">
        <v>2819</v>
      </c>
      <c r="C9876" t="s">
        <v>12937</v>
      </c>
      <c r="D9876" t="s">
        <v>18125</v>
      </c>
      <c r="E9876" t="s">
        <v>26774</v>
      </c>
      <c r="F9876" t="s">
        <v>31362</v>
      </c>
      <c r="G9876" t="s">
        <v>31368</v>
      </c>
      <c r="H9876" t="s">
        <v>15799</v>
      </c>
      <c r="I9876" t="s">
        <v>31404</v>
      </c>
      <c r="J9876" t="s">
        <v>37547</v>
      </c>
      <c r="K9876" t="s">
        <v>40662</v>
      </c>
      <c r="M9876" t="s">
        <v>44018</v>
      </c>
      <c r="N9876" t="s">
        <v>44905</v>
      </c>
      <c r="O9876" t="s">
        <v>44906</v>
      </c>
      <c r="P9876">
        <v>0</v>
      </c>
      <c r="Q9876">
        <v>0</v>
      </c>
      <c r="R9876" t="s">
        <v>44914</v>
      </c>
      <c r="S9876" t="s">
        <v>45202</v>
      </c>
      <c r="T9876" t="s">
        <v>46813</v>
      </c>
      <c r="U9876" t="s">
        <v>54876</v>
      </c>
      <c r="W9876" t="s">
        <v>60942</v>
      </c>
      <c r="X9876" t="s">
        <v>44915</v>
      </c>
    </row>
    <row r="9877" spans="1:24">
      <c r="A9877">
        <f>HYPERLINK("https://www.philgeps.gov.ph/GEPSNONPILOT/Tender/SplashBidNoticeAbstractUI.aspx?menuIndex=3&amp;refID=7068832&amp;Result=3","7068832")</f>
        <v>0</v>
      </c>
      <c r="B9877" t="s">
        <v>1002</v>
      </c>
      <c r="C9877" t="s">
        <v>12938</v>
      </c>
      <c r="E9877" t="s">
        <v>26775</v>
      </c>
      <c r="F9877" t="s">
        <v>31362</v>
      </c>
      <c r="G9877" t="s">
        <v>31368</v>
      </c>
      <c r="H9877" t="s">
        <v>15799</v>
      </c>
      <c r="I9877" t="s">
        <v>31421</v>
      </c>
      <c r="J9877" t="s">
        <v>37548</v>
      </c>
      <c r="K9877" t="s">
        <v>40665</v>
      </c>
      <c r="M9877" t="s">
        <v>43978</v>
      </c>
      <c r="N9877" t="s">
        <v>44905</v>
      </c>
      <c r="O9877" t="s">
        <v>44906</v>
      </c>
      <c r="P9877">
        <v>0</v>
      </c>
      <c r="Q9877">
        <v>0</v>
      </c>
      <c r="R9877" t="s">
        <v>44914</v>
      </c>
      <c r="S9877" t="s">
        <v>45202</v>
      </c>
      <c r="T9877" t="s">
        <v>46443</v>
      </c>
      <c r="U9877" t="s">
        <v>54877</v>
      </c>
      <c r="W9877" t="s">
        <v>60940</v>
      </c>
      <c r="X9877" t="s">
        <v>44915</v>
      </c>
    </row>
    <row r="9878" spans="1:24">
      <c r="A9878">
        <f>HYPERLINK("https://www.philgeps.gov.ph/GEPSNONPILOT/Tender/SplashBidNoticeAbstractUI.aspx?menuIndex=3&amp;refID=7068835&amp;Result=3","7068835")</f>
        <v>0</v>
      </c>
      <c r="B9878" t="s">
        <v>2274</v>
      </c>
      <c r="C9878" t="s">
        <v>12939</v>
      </c>
      <c r="D9878" t="s">
        <v>18132</v>
      </c>
      <c r="E9878" t="s">
        <v>26776</v>
      </c>
      <c r="F9878" t="s">
        <v>31362</v>
      </c>
      <c r="G9878" t="s">
        <v>31369</v>
      </c>
      <c r="H9878" t="s">
        <v>31378</v>
      </c>
      <c r="I9878" t="s">
        <v>31386</v>
      </c>
      <c r="J9878" t="s">
        <v>37549</v>
      </c>
      <c r="K9878" t="s">
        <v>40686</v>
      </c>
      <c r="M9878" t="s">
        <v>43413</v>
      </c>
      <c r="N9878" t="s">
        <v>44905</v>
      </c>
      <c r="O9878" t="s">
        <v>44906</v>
      </c>
      <c r="P9878">
        <v>0</v>
      </c>
      <c r="Q9878">
        <v>0</v>
      </c>
      <c r="R9878" t="s">
        <v>44914</v>
      </c>
      <c r="S9878" t="s">
        <v>45202</v>
      </c>
      <c r="T9878" t="s">
        <v>46479</v>
      </c>
      <c r="U9878" t="s">
        <v>54878</v>
      </c>
      <c r="V9878" t="s">
        <v>60119</v>
      </c>
      <c r="W9878" t="s">
        <v>43413</v>
      </c>
      <c r="X9878" t="s">
        <v>44915</v>
      </c>
    </row>
    <row r="9879" spans="1:24">
      <c r="A9879">
        <f>HYPERLINK("https://www.philgeps.gov.ph/GEPSNONPILOT/Tender/SplashBidNoticeAbstractUI.aspx?menuIndex=3&amp;refID=7068774&amp;Result=3","7068774")</f>
        <v>0</v>
      </c>
      <c r="B9879" t="s">
        <v>1037</v>
      </c>
      <c r="C9879" t="s">
        <v>12940</v>
      </c>
      <c r="D9879" t="s">
        <v>18146</v>
      </c>
      <c r="E9879" t="s">
        <v>26777</v>
      </c>
      <c r="F9879" t="s">
        <v>31362</v>
      </c>
      <c r="G9879" t="s">
        <v>31369</v>
      </c>
      <c r="H9879" t="s">
        <v>31378</v>
      </c>
      <c r="I9879" t="s">
        <v>31386</v>
      </c>
      <c r="J9879" t="s">
        <v>31625</v>
      </c>
      <c r="K9879" t="s">
        <v>40772</v>
      </c>
      <c r="M9879" t="s">
        <v>43675</v>
      </c>
      <c r="N9879" t="s">
        <v>44905</v>
      </c>
      <c r="O9879" t="s">
        <v>44906</v>
      </c>
      <c r="P9879">
        <v>0</v>
      </c>
      <c r="Q9879">
        <v>0</v>
      </c>
      <c r="R9879" t="s">
        <v>44914</v>
      </c>
      <c r="S9879" t="s">
        <v>45202</v>
      </c>
      <c r="T9879" t="s">
        <v>46418</v>
      </c>
      <c r="U9879" t="s">
        <v>54879</v>
      </c>
      <c r="V9879" t="s">
        <v>60120</v>
      </c>
      <c r="W9879" t="s">
        <v>43675</v>
      </c>
      <c r="X9879" t="s">
        <v>44915</v>
      </c>
    </row>
    <row r="9880" spans="1:24">
      <c r="A9880">
        <f>HYPERLINK("https://www.philgeps.gov.ph/GEPSNONPILOT/Tender/SplashBidNoticeAbstractUI.aspx?menuIndex=3&amp;refID=7068760&amp;Result=3","7068760")</f>
        <v>0</v>
      </c>
      <c r="B9880" t="s">
        <v>387</v>
      </c>
      <c r="C9880" t="s">
        <v>12941</v>
      </c>
      <c r="D9880" t="s">
        <v>18152</v>
      </c>
      <c r="E9880" t="s">
        <v>26778</v>
      </c>
      <c r="F9880" t="s">
        <v>31362</v>
      </c>
      <c r="G9880" t="s">
        <v>31369</v>
      </c>
      <c r="H9880" t="s">
        <v>15799</v>
      </c>
      <c r="I9880" t="s">
        <v>31430</v>
      </c>
      <c r="J9880" t="s">
        <v>37550</v>
      </c>
      <c r="K9880" t="s">
        <v>40665</v>
      </c>
      <c r="M9880" t="s">
        <v>41915</v>
      </c>
      <c r="N9880" t="s">
        <v>44905</v>
      </c>
      <c r="O9880" t="s">
        <v>44906</v>
      </c>
      <c r="P9880">
        <v>0</v>
      </c>
      <c r="Q9880">
        <v>0</v>
      </c>
      <c r="R9880" t="s">
        <v>44914</v>
      </c>
      <c r="S9880" t="s">
        <v>45202</v>
      </c>
      <c r="T9880" t="s">
        <v>46393</v>
      </c>
      <c r="U9880" t="s">
        <v>47597</v>
      </c>
      <c r="V9880" t="s">
        <v>59153</v>
      </c>
      <c r="W9880" t="s">
        <v>41915</v>
      </c>
      <c r="X9880" t="s">
        <v>44915</v>
      </c>
    </row>
    <row r="9881" spans="1:24">
      <c r="A9881">
        <f>HYPERLINK("https://www.philgeps.gov.ph/GEPSNONPILOT/Tender/SplashBidNoticeAbstractUI.aspx?menuIndex=3&amp;refID=7068795&amp;Result=3","7068795")</f>
        <v>0</v>
      </c>
      <c r="B9881" t="s">
        <v>2816</v>
      </c>
      <c r="C9881" t="s">
        <v>12942</v>
      </c>
      <c r="D9881" t="s">
        <v>18172</v>
      </c>
      <c r="E9881" t="s">
        <v>26779</v>
      </c>
      <c r="F9881" t="s">
        <v>31362</v>
      </c>
      <c r="G9881" t="s">
        <v>31369</v>
      </c>
      <c r="H9881" t="s">
        <v>15799</v>
      </c>
      <c r="I9881" t="s">
        <v>3815</v>
      </c>
      <c r="J9881" t="s">
        <v>31536</v>
      </c>
      <c r="K9881" t="s">
        <v>40665</v>
      </c>
      <c r="M9881" t="s">
        <v>44015</v>
      </c>
      <c r="N9881" t="s">
        <v>44905</v>
      </c>
      <c r="O9881" t="s">
        <v>44906</v>
      </c>
      <c r="P9881">
        <v>0</v>
      </c>
      <c r="Q9881">
        <v>0</v>
      </c>
      <c r="R9881" t="s">
        <v>44914</v>
      </c>
      <c r="S9881" t="s">
        <v>45202</v>
      </c>
      <c r="T9881" t="s">
        <v>46486</v>
      </c>
      <c r="U9881" t="s">
        <v>54867</v>
      </c>
      <c r="V9881" t="s">
        <v>60121</v>
      </c>
      <c r="W9881" t="s">
        <v>44015</v>
      </c>
      <c r="X9881" t="s">
        <v>44915</v>
      </c>
    </row>
    <row r="9882" spans="1:24">
      <c r="A9882">
        <f>HYPERLINK("https://www.philgeps.gov.ph/GEPSNONPILOT/Tender/SplashBidNoticeAbstractUI.aspx?menuIndex=3&amp;refID=7068763&amp;Result=3","7068763")</f>
        <v>0</v>
      </c>
      <c r="B9882" t="s">
        <v>2820</v>
      </c>
      <c r="C9882" t="s">
        <v>12943</v>
      </c>
      <c r="D9882" t="s">
        <v>18101</v>
      </c>
      <c r="E9882" t="s">
        <v>25769</v>
      </c>
      <c r="F9882" t="s">
        <v>31362</v>
      </c>
      <c r="G9882" t="s">
        <v>31369</v>
      </c>
      <c r="H9882" t="s">
        <v>31378</v>
      </c>
      <c r="I9882" t="s">
        <v>31386</v>
      </c>
      <c r="J9882" t="s">
        <v>32666</v>
      </c>
      <c r="K9882" t="s">
        <v>40662</v>
      </c>
      <c r="M9882" t="s">
        <v>44019</v>
      </c>
      <c r="N9882" t="s">
        <v>44905</v>
      </c>
      <c r="O9882" t="s">
        <v>44906</v>
      </c>
      <c r="P9882">
        <v>0</v>
      </c>
      <c r="Q9882">
        <v>1</v>
      </c>
      <c r="R9882" t="s">
        <v>44914</v>
      </c>
      <c r="S9882" t="s">
        <v>45202</v>
      </c>
      <c r="T9882" t="s">
        <v>46432</v>
      </c>
      <c r="U9882" t="s">
        <v>54880</v>
      </c>
      <c r="V9882" t="s">
        <v>59231</v>
      </c>
      <c r="W9882" t="s">
        <v>44019</v>
      </c>
      <c r="X9882" t="s">
        <v>44915</v>
      </c>
    </row>
    <row r="9883" spans="1:24">
      <c r="A9883">
        <f>HYPERLINK("https://www.philgeps.gov.ph/GEPSNONPILOT/Tender/SplashBidNoticeAbstractUI.aspx?menuIndex=3&amp;refID=7068962&amp;Result=3","7068962")</f>
        <v>0</v>
      </c>
      <c r="B9883" t="s">
        <v>1895</v>
      </c>
      <c r="C9883" t="s">
        <v>12944</v>
      </c>
      <c r="D9883" t="s">
        <v>18151</v>
      </c>
      <c r="E9883" t="s">
        <v>26780</v>
      </c>
      <c r="F9883" t="s">
        <v>31362</v>
      </c>
      <c r="G9883" t="s">
        <v>31369</v>
      </c>
      <c r="H9883" t="s">
        <v>15799</v>
      </c>
      <c r="I9883" t="s">
        <v>4283</v>
      </c>
      <c r="J9883" t="s">
        <v>37551</v>
      </c>
      <c r="K9883" t="s">
        <v>40682</v>
      </c>
      <c r="M9883" t="s">
        <v>42990</v>
      </c>
      <c r="N9883" t="s">
        <v>44905</v>
      </c>
      <c r="O9883" t="s">
        <v>44906</v>
      </c>
      <c r="P9883">
        <v>0</v>
      </c>
      <c r="Q9883">
        <v>2</v>
      </c>
      <c r="R9883" t="s">
        <v>44914</v>
      </c>
      <c r="S9883" t="s">
        <v>45202</v>
      </c>
      <c r="T9883" t="s">
        <v>46409</v>
      </c>
      <c r="U9883" t="s">
        <v>54881</v>
      </c>
      <c r="W9883" t="s">
        <v>42990</v>
      </c>
      <c r="X9883" t="s">
        <v>44915</v>
      </c>
    </row>
    <row r="9884" spans="1:24">
      <c r="A9884">
        <f>HYPERLINK("https://www.philgeps.gov.ph/GEPSNONPILOT/Tender/SplashBidNoticeAbstractUI.aspx?menuIndex=3&amp;refID=7068958&amp;Result=3","7068958")</f>
        <v>0</v>
      </c>
      <c r="B9884" t="s">
        <v>2821</v>
      </c>
      <c r="C9884" t="s">
        <v>12945</v>
      </c>
      <c r="D9884" t="s">
        <v>18110</v>
      </c>
      <c r="E9884" t="s">
        <v>26781</v>
      </c>
      <c r="F9884" t="s">
        <v>31362</v>
      </c>
      <c r="G9884" t="s">
        <v>31369</v>
      </c>
      <c r="H9884" t="s">
        <v>31378</v>
      </c>
      <c r="I9884" t="s">
        <v>31386</v>
      </c>
      <c r="J9884" t="s">
        <v>37552</v>
      </c>
      <c r="K9884" t="s">
        <v>40769</v>
      </c>
      <c r="M9884" t="s">
        <v>44020</v>
      </c>
      <c r="N9884" t="s">
        <v>44905</v>
      </c>
      <c r="O9884" t="s">
        <v>44906</v>
      </c>
      <c r="P9884">
        <v>0</v>
      </c>
      <c r="Q9884">
        <v>1</v>
      </c>
      <c r="R9884" t="s">
        <v>44914</v>
      </c>
      <c r="S9884" t="s">
        <v>45202</v>
      </c>
      <c r="T9884" t="s">
        <v>46524</v>
      </c>
      <c r="U9884" t="s">
        <v>54882</v>
      </c>
      <c r="V9884" t="s">
        <v>60122</v>
      </c>
      <c r="W9884" t="s">
        <v>44020</v>
      </c>
      <c r="X9884" t="s">
        <v>44915</v>
      </c>
    </row>
    <row r="9885" spans="1:24">
      <c r="A9885">
        <f>HYPERLINK("https://www.philgeps.gov.ph/GEPSNONPILOT/Tender/SplashBidNoticeAbstractUI.aspx?menuIndex=3&amp;refID=7068955&amp;Result=3","7068955")</f>
        <v>0</v>
      </c>
      <c r="B9885" t="s">
        <v>2822</v>
      </c>
      <c r="C9885" t="s">
        <v>12946</v>
      </c>
      <c r="D9885" t="s">
        <v>18122</v>
      </c>
      <c r="E9885" t="s">
        <v>26782</v>
      </c>
      <c r="F9885" t="s">
        <v>31362</v>
      </c>
      <c r="G9885" t="s">
        <v>31369</v>
      </c>
      <c r="H9885" t="s">
        <v>15799</v>
      </c>
      <c r="I9885" t="s">
        <v>6373</v>
      </c>
      <c r="J9885" t="s">
        <v>37553</v>
      </c>
      <c r="K9885" t="s">
        <v>40666</v>
      </c>
      <c r="M9885" t="s">
        <v>44021</v>
      </c>
      <c r="N9885" t="s">
        <v>44905</v>
      </c>
      <c r="O9885" t="s">
        <v>44906</v>
      </c>
      <c r="Q9885">
        <v>1</v>
      </c>
      <c r="R9885" t="s">
        <v>44914</v>
      </c>
      <c r="S9885" t="s">
        <v>45220</v>
      </c>
      <c r="T9885" t="s">
        <v>46419</v>
      </c>
      <c r="U9885" t="s">
        <v>54883</v>
      </c>
      <c r="V9885" t="s">
        <v>60123</v>
      </c>
      <c r="W9885" t="s">
        <v>44021</v>
      </c>
      <c r="X9885" t="s">
        <v>44915</v>
      </c>
    </row>
    <row r="9886" spans="1:24">
      <c r="A9886">
        <f>HYPERLINK("https://www.philgeps.gov.ph/GEPSNONPILOT/Tender/SplashBidNoticeAbstractUI.aspx?menuIndex=3&amp;refID=7068954&amp;Result=3","7068954")</f>
        <v>0</v>
      </c>
      <c r="B9886" t="s">
        <v>2823</v>
      </c>
      <c r="C9886" t="s">
        <v>4133</v>
      </c>
      <c r="D9886" t="s">
        <v>18154</v>
      </c>
      <c r="E9886" t="s">
        <v>26783</v>
      </c>
      <c r="F9886" t="s">
        <v>31365</v>
      </c>
      <c r="G9886" t="s">
        <v>31369</v>
      </c>
      <c r="H9886" t="s">
        <v>15799</v>
      </c>
      <c r="I9886" t="s">
        <v>3815</v>
      </c>
      <c r="J9886" t="s">
        <v>31785</v>
      </c>
      <c r="K9886" t="s">
        <v>40666</v>
      </c>
      <c r="M9886" t="s">
        <v>44022</v>
      </c>
      <c r="N9886" t="s">
        <v>44905</v>
      </c>
      <c r="O9886" t="s">
        <v>44906</v>
      </c>
      <c r="P9886">
        <v>0</v>
      </c>
      <c r="Q9886">
        <v>0</v>
      </c>
      <c r="R9886" t="s">
        <v>44914</v>
      </c>
      <c r="S9886" t="s">
        <v>45202</v>
      </c>
      <c r="T9886" t="s">
        <v>46408</v>
      </c>
      <c r="U9886" t="s">
        <v>48054</v>
      </c>
      <c r="W9886" t="s">
        <v>44022</v>
      </c>
      <c r="X9886" t="s">
        <v>44915</v>
      </c>
    </row>
    <row r="9887" spans="1:24">
      <c r="A9887">
        <f>HYPERLINK("https://www.philgeps.gov.ph/GEPSNONPILOT/Tender/SplashBidNoticeAbstractUI.aspx?menuIndex=3&amp;refID=7068513&amp;Result=3","7068513")</f>
        <v>0</v>
      </c>
      <c r="B9887" t="s">
        <v>556</v>
      </c>
      <c r="C9887" t="s">
        <v>12947</v>
      </c>
      <c r="D9887" t="s">
        <v>18122</v>
      </c>
      <c r="E9887" t="s">
        <v>26784</v>
      </c>
      <c r="F9887" t="s">
        <v>31362</v>
      </c>
      <c r="G9887" t="s">
        <v>31369</v>
      </c>
      <c r="H9887" t="s">
        <v>31378</v>
      </c>
      <c r="I9887" t="s">
        <v>31386</v>
      </c>
      <c r="J9887" t="s">
        <v>37554</v>
      </c>
      <c r="K9887" t="s">
        <v>40824</v>
      </c>
      <c r="M9887" t="s">
        <v>41512</v>
      </c>
      <c r="N9887" t="s">
        <v>44905</v>
      </c>
      <c r="O9887" t="s">
        <v>44906</v>
      </c>
      <c r="P9887">
        <v>0</v>
      </c>
      <c r="Q9887">
        <v>26</v>
      </c>
      <c r="R9887" t="s">
        <v>44914</v>
      </c>
      <c r="S9887" t="s">
        <v>45202</v>
      </c>
      <c r="T9887" t="s">
        <v>46729</v>
      </c>
      <c r="U9887" t="s">
        <v>54884</v>
      </c>
      <c r="W9887" t="s">
        <v>41512</v>
      </c>
      <c r="X9887" t="s">
        <v>44915</v>
      </c>
    </row>
    <row r="9888" spans="1:24">
      <c r="A9888">
        <f>HYPERLINK("https://www.philgeps.gov.ph/GEPSNONPILOT/Tender/SplashBidNoticeAbstractUI.aspx?menuIndex=3&amp;refID=7068941&amp;Result=3","7068941")</f>
        <v>0</v>
      </c>
      <c r="B9888" t="s">
        <v>1648</v>
      </c>
      <c r="C9888" t="s">
        <v>12948</v>
      </c>
      <c r="D9888" t="s">
        <v>18104</v>
      </c>
      <c r="E9888" t="s">
        <v>26785</v>
      </c>
      <c r="F9888" t="s">
        <v>31362</v>
      </c>
      <c r="G9888" t="s">
        <v>31369</v>
      </c>
      <c r="H9888" t="s">
        <v>15799</v>
      </c>
      <c r="I9888" t="s">
        <v>31464</v>
      </c>
      <c r="J9888" t="s">
        <v>35182</v>
      </c>
      <c r="K9888" t="s">
        <v>40665</v>
      </c>
      <c r="M9888" t="s">
        <v>42713</v>
      </c>
      <c r="N9888" t="s">
        <v>44905</v>
      </c>
      <c r="O9888" t="s">
        <v>44906</v>
      </c>
      <c r="P9888">
        <v>0</v>
      </c>
      <c r="Q9888">
        <v>2</v>
      </c>
      <c r="R9888" t="s">
        <v>44914</v>
      </c>
      <c r="S9888" t="s">
        <v>45202</v>
      </c>
      <c r="T9888" t="s">
        <v>46438</v>
      </c>
      <c r="U9888" t="s">
        <v>54885</v>
      </c>
      <c r="W9888" t="s">
        <v>42713</v>
      </c>
      <c r="X9888" t="s">
        <v>44915</v>
      </c>
    </row>
    <row r="9889" spans="1:24">
      <c r="A9889">
        <f>HYPERLINK("https://www.philgeps.gov.ph/GEPSNONPILOT/Tender/SplashBidNoticeAbstractUI.aspx?menuIndex=3&amp;refID=7068928&amp;Result=3","7068928")</f>
        <v>0</v>
      </c>
      <c r="B9889" t="s">
        <v>2818</v>
      </c>
      <c r="C9889" t="s">
        <v>12949</v>
      </c>
      <c r="D9889" t="s">
        <v>18132</v>
      </c>
      <c r="E9889" t="s">
        <v>26786</v>
      </c>
      <c r="F9889" t="s">
        <v>31362</v>
      </c>
      <c r="G9889" t="s">
        <v>31369</v>
      </c>
      <c r="H9889" t="s">
        <v>31378</v>
      </c>
      <c r="I9889" t="s">
        <v>31386</v>
      </c>
      <c r="J9889" t="s">
        <v>32891</v>
      </c>
      <c r="K9889" t="s">
        <v>40831</v>
      </c>
      <c r="M9889" t="s">
        <v>44017</v>
      </c>
      <c r="N9889" t="s">
        <v>44905</v>
      </c>
      <c r="O9889" t="s">
        <v>44906</v>
      </c>
      <c r="P9889">
        <v>0</v>
      </c>
      <c r="Q9889">
        <v>0</v>
      </c>
      <c r="R9889" t="s">
        <v>44914</v>
      </c>
      <c r="S9889" t="s">
        <v>45202</v>
      </c>
      <c r="T9889" t="s">
        <v>46426</v>
      </c>
      <c r="U9889" t="s">
        <v>54886</v>
      </c>
      <c r="W9889" t="s">
        <v>44017</v>
      </c>
      <c r="X9889" t="s">
        <v>44915</v>
      </c>
    </row>
    <row r="9890" spans="1:24">
      <c r="A9890">
        <f>HYPERLINK("https://www.philgeps.gov.ph/GEPSNONPILOT/Tender/SplashBidNoticeAbstractUI.aspx?menuIndex=3&amp;refID=7068630&amp;Result=3","7068630")</f>
        <v>0</v>
      </c>
      <c r="B9890" t="s">
        <v>2807</v>
      </c>
      <c r="C9890" t="s">
        <v>12950</v>
      </c>
      <c r="D9890" t="s">
        <v>18116</v>
      </c>
      <c r="E9890" t="s">
        <v>26787</v>
      </c>
      <c r="F9890" t="s">
        <v>31362</v>
      </c>
      <c r="G9890" t="s">
        <v>31369</v>
      </c>
      <c r="H9890" t="s">
        <v>15799</v>
      </c>
      <c r="I9890" t="s">
        <v>31386</v>
      </c>
      <c r="J9890" t="s">
        <v>37555</v>
      </c>
      <c r="K9890" t="s">
        <v>40682</v>
      </c>
      <c r="M9890" t="s">
        <v>44006</v>
      </c>
      <c r="N9890" t="s">
        <v>44905</v>
      </c>
      <c r="O9890" t="s">
        <v>44906</v>
      </c>
      <c r="P9890">
        <v>0</v>
      </c>
      <c r="Q9890">
        <v>0</v>
      </c>
      <c r="R9890" t="s">
        <v>44914</v>
      </c>
      <c r="S9890" t="s">
        <v>45202</v>
      </c>
      <c r="T9890" t="s">
        <v>46672</v>
      </c>
      <c r="U9890" t="s">
        <v>54840</v>
      </c>
      <c r="W9890" t="s">
        <v>44006</v>
      </c>
      <c r="X9890" t="s">
        <v>44915</v>
      </c>
    </row>
    <row r="9891" spans="1:24">
      <c r="A9891">
        <f>HYPERLINK("https://www.philgeps.gov.ph/GEPSNONPILOT/Tender/SplashBidNoticeAbstractUI.aspx?menuIndex=3&amp;refID=7068927&amp;Result=3","7068927")</f>
        <v>0</v>
      </c>
      <c r="B9891" t="s">
        <v>820</v>
      </c>
      <c r="C9891" t="s">
        <v>12951</v>
      </c>
      <c r="D9891" t="s">
        <v>18100</v>
      </c>
      <c r="E9891" t="s">
        <v>26788</v>
      </c>
      <c r="F9891" t="s">
        <v>31362</v>
      </c>
      <c r="G9891" t="s">
        <v>31369</v>
      </c>
      <c r="H9891" t="s">
        <v>15799</v>
      </c>
      <c r="I9891" t="s">
        <v>4283</v>
      </c>
      <c r="J9891" t="s">
        <v>37556</v>
      </c>
      <c r="K9891" t="s">
        <v>40666</v>
      </c>
      <c r="M9891" t="s">
        <v>41793</v>
      </c>
      <c r="N9891" t="s">
        <v>44905</v>
      </c>
      <c r="O9891" t="s">
        <v>44906</v>
      </c>
      <c r="P9891">
        <v>0</v>
      </c>
      <c r="Q9891">
        <v>8</v>
      </c>
      <c r="R9891" t="s">
        <v>44914</v>
      </c>
      <c r="S9891" t="s">
        <v>45202</v>
      </c>
      <c r="T9891" t="s">
        <v>46503</v>
      </c>
      <c r="U9891" t="s">
        <v>51646</v>
      </c>
      <c r="W9891" t="s">
        <v>41793</v>
      </c>
      <c r="X9891" t="s">
        <v>44915</v>
      </c>
    </row>
    <row r="9892" spans="1:24">
      <c r="A9892">
        <f>HYPERLINK("https://www.philgeps.gov.ph/GEPSNONPILOT/Tender/SplashBidNoticeAbstractUI.aspx?menuIndex=3&amp;refID=7068946&amp;Result=3","7068946")</f>
        <v>0</v>
      </c>
      <c r="B9892" t="s">
        <v>2824</v>
      </c>
      <c r="C9892" t="s">
        <v>12952</v>
      </c>
      <c r="D9892" t="s">
        <v>18123</v>
      </c>
      <c r="E9892" t="s">
        <v>26789</v>
      </c>
      <c r="F9892" t="s">
        <v>31362</v>
      </c>
      <c r="G9892" t="s">
        <v>31369</v>
      </c>
      <c r="H9892" t="s">
        <v>31378</v>
      </c>
      <c r="I9892" t="s">
        <v>31386</v>
      </c>
      <c r="J9892" t="s">
        <v>37557</v>
      </c>
      <c r="K9892" t="s">
        <v>40686</v>
      </c>
      <c r="M9892" t="s">
        <v>44023</v>
      </c>
      <c r="N9892" t="s">
        <v>44905</v>
      </c>
      <c r="O9892" t="s">
        <v>44906</v>
      </c>
      <c r="P9892">
        <v>0</v>
      </c>
      <c r="Q9892">
        <v>0</v>
      </c>
      <c r="R9892" t="s">
        <v>44914</v>
      </c>
      <c r="S9892" t="s">
        <v>45202</v>
      </c>
      <c r="T9892" t="s">
        <v>46525</v>
      </c>
      <c r="U9892" t="s">
        <v>54887</v>
      </c>
      <c r="W9892" t="s">
        <v>44023</v>
      </c>
      <c r="X9892" t="s">
        <v>44915</v>
      </c>
    </row>
    <row r="9893" spans="1:24">
      <c r="A9893">
        <f>HYPERLINK("https://www.philgeps.gov.ph/GEPSNONPILOT/Tender/SplashBidNoticeAbstractUI.aspx?menuIndex=3&amp;refID=7068924&amp;Result=3","7068924")</f>
        <v>0</v>
      </c>
      <c r="B9893" t="s">
        <v>2819</v>
      </c>
      <c r="C9893" t="s">
        <v>12953</v>
      </c>
      <c r="D9893" t="s">
        <v>18125</v>
      </c>
      <c r="E9893" t="s">
        <v>26790</v>
      </c>
      <c r="F9893" t="s">
        <v>31362</v>
      </c>
      <c r="G9893" t="s">
        <v>31368</v>
      </c>
      <c r="H9893" t="s">
        <v>15799</v>
      </c>
      <c r="I9893" t="s">
        <v>31441</v>
      </c>
      <c r="J9893" t="s">
        <v>31545</v>
      </c>
      <c r="K9893" t="s">
        <v>40662</v>
      </c>
      <c r="M9893" t="s">
        <v>44018</v>
      </c>
      <c r="N9893" t="s">
        <v>44905</v>
      </c>
      <c r="O9893" t="s">
        <v>44906</v>
      </c>
      <c r="P9893">
        <v>0</v>
      </c>
      <c r="Q9893">
        <v>0</v>
      </c>
      <c r="R9893" t="s">
        <v>44914</v>
      </c>
      <c r="S9893" t="s">
        <v>45202</v>
      </c>
      <c r="T9893" t="s">
        <v>46813</v>
      </c>
      <c r="U9893" t="s">
        <v>54888</v>
      </c>
      <c r="W9893" t="s">
        <v>60942</v>
      </c>
      <c r="X9893" t="s">
        <v>44915</v>
      </c>
    </row>
    <row r="9894" spans="1:24">
      <c r="A9894">
        <f>HYPERLINK("https://www.philgeps.gov.ph/GEPSNONPILOT/Tender/SplashBidNoticeAbstractUI.aspx?menuIndex=3&amp;refID=7068920&amp;Result=3","7068920")</f>
        <v>0</v>
      </c>
      <c r="B9894" t="s">
        <v>717</v>
      </c>
      <c r="C9894" t="s">
        <v>12954</v>
      </c>
      <c r="D9894" t="s">
        <v>18167</v>
      </c>
      <c r="E9894" t="s">
        <v>26791</v>
      </c>
      <c r="F9894" t="s">
        <v>31362</v>
      </c>
      <c r="G9894" t="s">
        <v>31369</v>
      </c>
      <c r="H9894" t="s">
        <v>15799</v>
      </c>
      <c r="I9894" t="s">
        <v>7188</v>
      </c>
      <c r="J9894" t="s">
        <v>37558</v>
      </c>
      <c r="K9894" t="s">
        <v>40665</v>
      </c>
      <c r="M9894" t="s">
        <v>42810</v>
      </c>
      <c r="N9894" t="s">
        <v>44905</v>
      </c>
      <c r="O9894" t="s">
        <v>44906</v>
      </c>
      <c r="P9894">
        <v>0</v>
      </c>
      <c r="Q9894">
        <v>6</v>
      </c>
      <c r="R9894" t="s">
        <v>44914</v>
      </c>
      <c r="S9894" t="s">
        <v>45202</v>
      </c>
      <c r="T9894" t="s">
        <v>46504</v>
      </c>
      <c r="U9894" t="s">
        <v>51232</v>
      </c>
      <c r="W9894" t="s">
        <v>42810</v>
      </c>
      <c r="X9894" t="s">
        <v>44915</v>
      </c>
    </row>
    <row r="9895" spans="1:24">
      <c r="A9895">
        <f>HYPERLINK("https://www.philgeps.gov.ph/GEPSNONPILOT/Tender/SplashBidNoticeAbstractUI.aspx?menuIndex=3&amp;refID=7068919&amp;Result=3","7068919")</f>
        <v>0</v>
      </c>
      <c r="B9895" t="s">
        <v>387</v>
      </c>
      <c r="C9895" t="s">
        <v>12955</v>
      </c>
      <c r="D9895" t="s">
        <v>18152</v>
      </c>
      <c r="E9895" t="s">
        <v>26792</v>
      </c>
      <c r="F9895" t="s">
        <v>31362</v>
      </c>
      <c r="G9895" t="s">
        <v>31369</v>
      </c>
      <c r="H9895" t="s">
        <v>15799</v>
      </c>
      <c r="I9895" t="s">
        <v>4942</v>
      </c>
      <c r="J9895" t="s">
        <v>31969</v>
      </c>
      <c r="K9895" t="s">
        <v>40665</v>
      </c>
      <c r="M9895" t="s">
        <v>41915</v>
      </c>
      <c r="N9895" t="s">
        <v>44905</v>
      </c>
      <c r="O9895" t="s">
        <v>44906</v>
      </c>
      <c r="P9895">
        <v>0</v>
      </c>
      <c r="Q9895">
        <v>0</v>
      </c>
      <c r="R9895" t="s">
        <v>44914</v>
      </c>
      <c r="S9895" t="s">
        <v>45202</v>
      </c>
      <c r="T9895" t="s">
        <v>46393</v>
      </c>
      <c r="U9895" t="s">
        <v>47597</v>
      </c>
      <c r="V9895" t="s">
        <v>59153</v>
      </c>
      <c r="W9895" t="s">
        <v>41915</v>
      </c>
      <c r="X9895" t="s">
        <v>44915</v>
      </c>
    </row>
    <row r="9896" spans="1:24">
      <c r="A9896">
        <f>HYPERLINK("https://www.philgeps.gov.ph/GEPSNONPILOT/Tender/SplashBidNoticeAbstractUI.aspx?menuIndex=3&amp;refID=7068915&amp;Result=3","7068915")</f>
        <v>0</v>
      </c>
      <c r="B9896" t="s">
        <v>1317</v>
      </c>
      <c r="C9896" t="s">
        <v>12956</v>
      </c>
      <c r="D9896" t="s">
        <v>18136</v>
      </c>
      <c r="E9896" t="s">
        <v>26793</v>
      </c>
      <c r="F9896" t="s">
        <v>31362</v>
      </c>
      <c r="G9896" t="s">
        <v>31368</v>
      </c>
      <c r="H9896" t="s">
        <v>15799</v>
      </c>
      <c r="I9896" t="s">
        <v>7719</v>
      </c>
      <c r="J9896" t="s">
        <v>31530</v>
      </c>
      <c r="K9896" t="s">
        <v>40665</v>
      </c>
      <c r="M9896" t="s">
        <v>42335</v>
      </c>
      <c r="N9896" t="s">
        <v>44905</v>
      </c>
      <c r="O9896" t="s">
        <v>44906</v>
      </c>
      <c r="P9896">
        <v>0</v>
      </c>
      <c r="Q9896">
        <v>15</v>
      </c>
      <c r="R9896" t="s">
        <v>44914</v>
      </c>
      <c r="S9896" t="s">
        <v>45202</v>
      </c>
      <c r="T9896" t="s">
        <v>46454</v>
      </c>
      <c r="U9896" t="s">
        <v>54889</v>
      </c>
      <c r="W9896" t="s">
        <v>42335</v>
      </c>
      <c r="X9896" t="s">
        <v>44915</v>
      </c>
    </row>
    <row r="9897" spans="1:24">
      <c r="A9897">
        <f>HYPERLINK("https://www.philgeps.gov.ph/GEPSNONPILOT/Tender/SplashBidNoticeAbstractUI.aspx?menuIndex=3&amp;refID=7068913&amp;Result=3","7068913")</f>
        <v>0</v>
      </c>
      <c r="B9897" t="s">
        <v>2824</v>
      </c>
      <c r="C9897" t="s">
        <v>12957</v>
      </c>
      <c r="D9897" t="s">
        <v>18123</v>
      </c>
      <c r="E9897" t="s">
        <v>26794</v>
      </c>
      <c r="F9897" t="s">
        <v>31362</v>
      </c>
      <c r="G9897" t="s">
        <v>31369</v>
      </c>
      <c r="H9897" t="s">
        <v>31378</v>
      </c>
      <c r="I9897" t="s">
        <v>31386</v>
      </c>
      <c r="J9897" t="s">
        <v>37559</v>
      </c>
      <c r="K9897" t="s">
        <v>40675</v>
      </c>
      <c r="M9897" t="s">
        <v>44023</v>
      </c>
      <c r="N9897" t="s">
        <v>44905</v>
      </c>
      <c r="O9897" t="s">
        <v>44906</v>
      </c>
      <c r="P9897">
        <v>0</v>
      </c>
      <c r="Q9897">
        <v>0</v>
      </c>
      <c r="R9897" t="s">
        <v>44914</v>
      </c>
      <c r="S9897" t="s">
        <v>45202</v>
      </c>
      <c r="T9897" t="s">
        <v>46533</v>
      </c>
      <c r="U9897" t="s">
        <v>54890</v>
      </c>
      <c r="W9897" t="s">
        <v>44023</v>
      </c>
      <c r="X9897" t="s">
        <v>44915</v>
      </c>
    </row>
    <row r="9898" spans="1:24">
      <c r="A9898">
        <f>HYPERLINK("https://www.philgeps.gov.ph/GEPSNONPILOT/Tender/SplashBidNoticeAbstractUI.aspx?menuIndex=3&amp;refID=7068904&amp;Result=3","7068904")</f>
        <v>0</v>
      </c>
      <c r="B9898" t="s">
        <v>2823</v>
      </c>
      <c r="C9898" t="s">
        <v>4133</v>
      </c>
      <c r="D9898" t="s">
        <v>18154</v>
      </c>
      <c r="E9898" t="s">
        <v>26783</v>
      </c>
      <c r="F9898" t="s">
        <v>31365</v>
      </c>
      <c r="G9898" t="s">
        <v>31369</v>
      </c>
      <c r="H9898" t="s">
        <v>15799</v>
      </c>
      <c r="I9898" t="s">
        <v>3815</v>
      </c>
      <c r="J9898" t="s">
        <v>31785</v>
      </c>
      <c r="K9898" t="s">
        <v>40666</v>
      </c>
      <c r="M9898" t="s">
        <v>44022</v>
      </c>
      <c r="N9898" t="s">
        <v>44905</v>
      </c>
      <c r="O9898" t="s">
        <v>44906</v>
      </c>
      <c r="P9898">
        <v>0</v>
      </c>
      <c r="Q9898">
        <v>0</v>
      </c>
      <c r="R9898" t="s">
        <v>44914</v>
      </c>
      <c r="S9898" t="s">
        <v>45202</v>
      </c>
      <c r="T9898" t="s">
        <v>46396</v>
      </c>
      <c r="U9898" t="s">
        <v>48054</v>
      </c>
      <c r="W9898" t="s">
        <v>44022</v>
      </c>
      <c r="X9898" t="s">
        <v>44915</v>
      </c>
    </row>
    <row r="9899" spans="1:24">
      <c r="A9899">
        <f>HYPERLINK("https://www.philgeps.gov.ph/GEPSNONPILOT/Tender/SplashBidNoticeAbstractUI.aspx?menuIndex=3&amp;refID=7068901&amp;Result=3","7068901")</f>
        <v>0</v>
      </c>
      <c r="B9899" t="s">
        <v>267</v>
      </c>
      <c r="C9899" t="s">
        <v>12958</v>
      </c>
      <c r="D9899" t="s">
        <v>18154</v>
      </c>
      <c r="E9899" t="s">
        <v>26795</v>
      </c>
      <c r="F9899" t="s">
        <v>31362</v>
      </c>
      <c r="G9899" t="s">
        <v>31369</v>
      </c>
      <c r="H9899" t="s">
        <v>15799</v>
      </c>
      <c r="I9899" t="s">
        <v>3815</v>
      </c>
      <c r="J9899" t="s">
        <v>37560</v>
      </c>
      <c r="K9899" t="s">
        <v>40670</v>
      </c>
      <c r="M9899" t="s">
        <v>41208</v>
      </c>
      <c r="N9899" t="s">
        <v>44905</v>
      </c>
      <c r="O9899" t="s">
        <v>44906</v>
      </c>
      <c r="P9899">
        <v>0</v>
      </c>
      <c r="Q9899">
        <v>0</v>
      </c>
      <c r="R9899" t="s">
        <v>44914</v>
      </c>
      <c r="S9899" t="s">
        <v>45202</v>
      </c>
      <c r="T9899" t="s">
        <v>46447</v>
      </c>
      <c r="U9899" t="s">
        <v>54891</v>
      </c>
      <c r="W9899" t="s">
        <v>41208</v>
      </c>
      <c r="X9899" t="s">
        <v>44915</v>
      </c>
    </row>
    <row r="9900" spans="1:24">
      <c r="A9900">
        <f>HYPERLINK("https://www.philgeps.gov.ph/GEPSNONPILOT/Tender/SplashBidNoticeAbstractUI.aspx?menuIndex=3&amp;refID=7068947&amp;Result=3","7068947")</f>
        <v>0</v>
      </c>
      <c r="B9900" t="s">
        <v>267</v>
      </c>
      <c r="C9900" t="s">
        <v>12959</v>
      </c>
      <c r="D9900" t="s">
        <v>18154</v>
      </c>
      <c r="E9900" t="s">
        <v>26796</v>
      </c>
      <c r="F9900" t="s">
        <v>31362</v>
      </c>
      <c r="G9900" t="s">
        <v>31369</v>
      </c>
      <c r="H9900" t="s">
        <v>15799</v>
      </c>
      <c r="I9900" t="s">
        <v>3815</v>
      </c>
      <c r="J9900" t="s">
        <v>37561</v>
      </c>
      <c r="K9900" t="s">
        <v>40670</v>
      </c>
      <c r="M9900" t="s">
        <v>41208</v>
      </c>
      <c r="N9900" t="s">
        <v>44905</v>
      </c>
      <c r="O9900" t="s">
        <v>44906</v>
      </c>
      <c r="P9900">
        <v>0</v>
      </c>
      <c r="Q9900">
        <v>0</v>
      </c>
      <c r="R9900" t="s">
        <v>44914</v>
      </c>
      <c r="S9900" t="s">
        <v>45202</v>
      </c>
      <c r="T9900" t="s">
        <v>46447</v>
      </c>
      <c r="U9900" t="s">
        <v>54892</v>
      </c>
      <c r="W9900" t="s">
        <v>41208</v>
      </c>
      <c r="X9900" t="s">
        <v>44915</v>
      </c>
    </row>
    <row r="9901" spans="1:24">
      <c r="A9901">
        <f>HYPERLINK("https://www.philgeps.gov.ph/GEPSNONPILOT/Tender/SplashBidNoticeAbstractUI.aspx?menuIndex=3&amp;refID=7068892&amp;Result=3","7068892")</f>
        <v>0</v>
      </c>
      <c r="B9901" t="s">
        <v>2658</v>
      </c>
      <c r="C9901" t="s">
        <v>12960</v>
      </c>
      <c r="D9901" t="s">
        <v>18100</v>
      </c>
      <c r="E9901" t="s">
        <v>26797</v>
      </c>
      <c r="F9901" t="s">
        <v>31362</v>
      </c>
      <c r="G9901" t="s">
        <v>31368</v>
      </c>
      <c r="H9901" t="s">
        <v>15799</v>
      </c>
      <c r="I9901" t="s">
        <v>7719</v>
      </c>
      <c r="J9901" t="s">
        <v>31530</v>
      </c>
      <c r="K9901" t="s">
        <v>40682</v>
      </c>
      <c r="M9901" t="s">
        <v>43842</v>
      </c>
      <c r="N9901" t="s">
        <v>44905</v>
      </c>
      <c r="O9901" t="s">
        <v>44906</v>
      </c>
      <c r="P9901">
        <v>0</v>
      </c>
      <c r="Q9901">
        <v>22</v>
      </c>
      <c r="R9901" t="s">
        <v>44914</v>
      </c>
      <c r="S9901" t="s">
        <v>45202</v>
      </c>
      <c r="T9901" t="s">
        <v>46417</v>
      </c>
      <c r="U9901" t="s">
        <v>54893</v>
      </c>
      <c r="W9901" t="s">
        <v>43842</v>
      </c>
      <c r="X9901" t="s">
        <v>44915</v>
      </c>
    </row>
    <row r="9902" spans="1:24">
      <c r="A9902">
        <f>HYPERLINK("https://www.philgeps.gov.ph/GEPSNONPILOT/Tender/SplashBidNoticeAbstractUI.aspx?menuIndex=3&amp;refID=7068891&amp;Result=3","7068891")</f>
        <v>0</v>
      </c>
      <c r="B9902" t="s">
        <v>197</v>
      </c>
      <c r="C9902" t="s">
        <v>12961</v>
      </c>
      <c r="E9902" t="s">
        <v>26798</v>
      </c>
      <c r="F9902" t="s">
        <v>31362</v>
      </c>
      <c r="G9902" t="s">
        <v>31368</v>
      </c>
      <c r="H9902" t="s">
        <v>15799</v>
      </c>
      <c r="I9902" t="s">
        <v>31391</v>
      </c>
      <c r="J9902" t="s">
        <v>32935</v>
      </c>
      <c r="K9902" t="s">
        <v>40662</v>
      </c>
      <c r="M9902" t="s">
        <v>41559</v>
      </c>
      <c r="N9902" t="s">
        <v>44905</v>
      </c>
      <c r="O9902" t="s">
        <v>44906</v>
      </c>
      <c r="Q9902">
        <v>3</v>
      </c>
      <c r="R9902" t="s">
        <v>44914</v>
      </c>
      <c r="S9902" t="s">
        <v>45221</v>
      </c>
      <c r="T9902" t="s">
        <v>46425</v>
      </c>
      <c r="U9902" t="s">
        <v>54894</v>
      </c>
      <c r="W9902" t="s">
        <v>41559</v>
      </c>
      <c r="X9902" t="s">
        <v>44915</v>
      </c>
    </row>
    <row r="9903" spans="1:24">
      <c r="A9903">
        <f>HYPERLINK("https://www.philgeps.gov.ph/GEPSNONPILOT/Tender/SplashBidNoticeAbstractUI.aspx?menuIndex=3&amp;refID=7068889&amp;Result=3","7068889")</f>
        <v>0</v>
      </c>
      <c r="B9903" t="s">
        <v>968</v>
      </c>
      <c r="C9903" t="s">
        <v>12962</v>
      </c>
      <c r="D9903" t="s">
        <v>18100</v>
      </c>
      <c r="E9903" t="s">
        <v>26799</v>
      </c>
      <c r="F9903" t="s">
        <v>31362</v>
      </c>
      <c r="G9903" t="s">
        <v>31369</v>
      </c>
      <c r="H9903" t="s">
        <v>15799</v>
      </c>
      <c r="I9903" t="s">
        <v>4283</v>
      </c>
      <c r="J9903" t="s">
        <v>34971</v>
      </c>
      <c r="K9903" t="s">
        <v>40662</v>
      </c>
      <c r="M9903" t="s">
        <v>41958</v>
      </c>
      <c r="N9903" t="s">
        <v>44905</v>
      </c>
      <c r="O9903" t="s">
        <v>44906</v>
      </c>
      <c r="P9903">
        <v>0</v>
      </c>
      <c r="Q9903">
        <v>3</v>
      </c>
      <c r="R9903" t="s">
        <v>44914</v>
      </c>
      <c r="S9903" t="s">
        <v>45202</v>
      </c>
      <c r="T9903" t="s">
        <v>46415</v>
      </c>
      <c r="U9903" t="s">
        <v>54895</v>
      </c>
      <c r="W9903" t="s">
        <v>41958</v>
      </c>
      <c r="X9903" t="s">
        <v>44915</v>
      </c>
    </row>
    <row r="9904" spans="1:24">
      <c r="A9904">
        <f>HYPERLINK("https://www.philgeps.gov.ph/GEPSNONPILOT/Tender/SplashBidNoticeAbstractUI.aspx?menuIndex=3&amp;refID=7068752&amp;Result=3","7068752")</f>
        <v>0</v>
      </c>
      <c r="B9904" t="s">
        <v>1373</v>
      </c>
      <c r="C9904" t="s">
        <v>12963</v>
      </c>
      <c r="D9904" t="s">
        <v>18109</v>
      </c>
      <c r="E9904" t="s">
        <v>26800</v>
      </c>
      <c r="F9904" t="s">
        <v>31362</v>
      </c>
      <c r="G9904" t="s">
        <v>31370</v>
      </c>
      <c r="H9904" t="s">
        <v>15799</v>
      </c>
      <c r="I9904" t="s">
        <v>31421</v>
      </c>
      <c r="J9904" t="s">
        <v>34384</v>
      </c>
      <c r="K9904" t="s">
        <v>40665</v>
      </c>
      <c r="M9904" t="s">
        <v>42396</v>
      </c>
      <c r="N9904" t="s">
        <v>44905</v>
      </c>
      <c r="O9904" t="s">
        <v>44906</v>
      </c>
      <c r="Q9904">
        <v>2</v>
      </c>
      <c r="R9904" t="s">
        <v>44914</v>
      </c>
      <c r="S9904" t="s">
        <v>45222</v>
      </c>
      <c r="T9904" t="s">
        <v>46454</v>
      </c>
      <c r="U9904" t="s">
        <v>49998</v>
      </c>
      <c r="W9904" t="s">
        <v>42396</v>
      </c>
      <c r="X9904" t="s">
        <v>44915</v>
      </c>
    </row>
    <row r="9905" spans="1:24">
      <c r="A9905">
        <f>HYPERLINK("https://www.philgeps.gov.ph/GEPSNONPILOT/Tender/SplashBidNoticeAbstractUI.aspx?menuIndex=3&amp;refID=7068749&amp;Result=3","7068749")</f>
        <v>0</v>
      </c>
      <c r="B9905" t="s">
        <v>1037</v>
      </c>
      <c r="C9905" t="s">
        <v>12964</v>
      </c>
      <c r="D9905" t="s">
        <v>18146</v>
      </c>
      <c r="E9905" t="s">
        <v>26801</v>
      </c>
      <c r="F9905" t="s">
        <v>31362</v>
      </c>
      <c r="G9905" t="s">
        <v>31369</v>
      </c>
      <c r="H9905" t="s">
        <v>31378</v>
      </c>
      <c r="I9905" t="s">
        <v>31386</v>
      </c>
      <c r="J9905" t="s">
        <v>37562</v>
      </c>
      <c r="K9905" t="s">
        <v>40861</v>
      </c>
      <c r="M9905" t="s">
        <v>43675</v>
      </c>
      <c r="N9905" t="s">
        <v>44905</v>
      </c>
      <c r="O9905" t="s">
        <v>44906</v>
      </c>
      <c r="P9905">
        <v>0</v>
      </c>
      <c r="Q9905">
        <v>0</v>
      </c>
      <c r="R9905" t="s">
        <v>44914</v>
      </c>
      <c r="S9905" t="s">
        <v>45202</v>
      </c>
      <c r="T9905" t="s">
        <v>46418</v>
      </c>
      <c r="U9905" t="s">
        <v>54896</v>
      </c>
      <c r="V9905" t="s">
        <v>60124</v>
      </c>
      <c r="W9905" t="s">
        <v>43675</v>
      </c>
      <c r="X9905" t="s">
        <v>44915</v>
      </c>
    </row>
    <row r="9906" spans="1:24">
      <c r="A9906">
        <f>HYPERLINK("https://www.philgeps.gov.ph/GEPSNONPILOT/Tender/SplashBidNoticeAbstractUI.aspx?menuIndex=3&amp;refID=7068686&amp;Result=3","7068686")</f>
        <v>0</v>
      </c>
      <c r="B9906" t="s">
        <v>387</v>
      </c>
      <c r="C9906" t="s">
        <v>12965</v>
      </c>
      <c r="D9906" t="s">
        <v>18152</v>
      </c>
      <c r="E9906" t="s">
        <v>26802</v>
      </c>
      <c r="F9906" t="s">
        <v>31362</v>
      </c>
      <c r="G9906" t="s">
        <v>31369</v>
      </c>
      <c r="H9906" t="s">
        <v>15799</v>
      </c>
      <c r="I9906" t="s">
        <v>3815</v>
      </c>
      <c r="J9906" t="s">
        <v>37563</v>
      </c>
      <c r="K9906" t="s">
        <v>40665</v>
      </c>
      <c r="M9906" t="s">
        <v>41915</v>
      </c>
      <c r="N9906" t="s">
        <v>44905</v>
      </c>
      <c r="O9906" t="s">
        <v>44906</v>
      </c>
      <c r="P9906">
        <v>0</v>
      </c>
      <c r="Q9906">
        <v>0</v>
      </c>
      <c r="R9906" t="s">
        <v>44914</v>
      </c>
      <c r="S9906" t="s">
        <v>45202</v>
      </c>
      <c r="T9906" t="s">
        <v>46393</v>
      </c>
      <c r="U9906" t="s">
        <v>47597</v>
      </c>
      <c r="V9906" t="s">
        <v>59153</v>
      </c>
      <c r="W9906" t="s">
        <v>41915</v>
      </c>
      <c r="X9906" t="s">
        <v>44915</v>
      </c>
    </row>
    <row r="9907" spans="1:24">
      <c r="A9907">
        <f>HYPERLINK("https://www.philgeps.gov.ph/GEPSNONPILOT/Tender/SplashBidNoticeAbstractUI.aspx?menuIndex=3&amp;refID=7068682&amp;Result=3","7068682")</f>
        <v>0</v>
      </c>
      <c r="B9907" t="s">
        <v>2658</v>
      </c>
      <c r="C9907" t="s">
        <v>12966</v>
      </c>
      <c r="D9907" t="s">
        <v>18100</v>
      </c>
      <c r="E9907" t="s">
        <v>26803</v>
      </c>
      <c r="F9907" t="s">
        <v>31362</v>
      </c>
      <c r="G9907" t="s">
        <v>31368</v>
      </c>
      <c r="H9907" t="s">
        <v>15799</v>
      </c>
      <c r="I9907" t="s">
        <v>7719</v>
      </c>
      <c r="J9907" t="s">
        <v>31545</v>
      </c>
      <c r="K9907" t="s">
        <v>40682</v>
      </c>
      <c r="M9907" t="s">
        <v>43842</v>
      </c>
      <c r="N9907" t="s">
        <v>44905</v>
      </c>
      <c r="O9907" t="s">
        <v>44906</v>
      </c>
      <c r="P9907">
        <v>0</v>
      </c>
      <c r="Q9907">
        <v>25</v>
      </c>
      <c r="R9907" t="s">
        <v>44914</v>
      </c>
      <c r="S9907" t="s">
        <v>45202</v>
      </c>
      <c r="T9907" t="s">
        <v>46417</v>
      </c>
      <c r="U9907" t="s">
        <v>54897</v>
      </c>
      <c r="W9907" t="s">
        <v>43842</v>
      </c>
      <c r="X9907" t="s">
        <v>44915</v>
      </c>
    </row>
    <row r="9908" spans="1:24">
      <c r="A9908">
        <f>HYPERLINK("https://www.philgeps.gov.ph/GEPSNONPILOT/Tender/SplashBidNoticeAbstractUI.aspx?menuIndex=3&amp;refID=7068761&amp;Result=3","7068761")</f>
        <v>0</v>
      </c>
      <c r="B9908" t="s">
        <v>2809</v>
      </c>
      <c r="C9908" t="s">
        <v>12967</v>
      </c>
      <c r="D9908" t="s">
        <v>18101</v>
      </c>
      <c r="E9908" t="s">
        <v>26751</v>
      </c>
      <c r="F9908" t="s">
        <v>31362</v>
      </c>
      <c r="G9908" t="s">
        <v>31369</v>
      </c>
      <c r="H9908" t="s">
        <v>31378</v>
      </c>
      <c r="I9908" t="s">
        <v>31386</v>
      </c>
      <c r="J9908" t="s">
        <v>37564</v>
      </c>
      <c r="K9908" t="s">
        <v>40683</v>
      </c>
      <c r="M9908" t="s">
        <v>44008</v>
      </c>
      <c r="N9908" t="s">
        <v>44905</v>
      </c>
      <c r="O9908" t="s">
        <v>44906</v>
      </c>
      <c r="P9908">
        <v>0</v>
      </c>
      <c r="Q9908">
        <v>0</v>
      </c>
      <c r="R9908" t="s">
        <v>44914</v>
      </c>
      <c r="S9908" t="s">
        <v>45202</v>
      </c>
      <c r="T9908" t="s">
        <v>46561</v>
      </c>
      <c r="U9908" t="s">
        <v>54898</v>
      </c>
      <c r="W9908" t="s">
        <v>44008</v>
      </c>
      <c r="X9908" t="s">
        <v>44915</v>
      </c>
    </row>
    <row r="9909" spans="1:24">
      <c r="A9909">
        <f>HYPERLINK("https://www.philgeps.gov.ph/GEPSNONPILOT/Tender/SplashBidNoticeAbstractUI.aspx?menuIndex=3&amp;refID=7068681&amp;Result=3","7068681")</f>
        <v>0</v>
      </c>
      <c r="B9909" t="s">
        <v>2822</v>
      </c>
      <c r="C9909" t="s">
        <v>12968</v>
      </c>
      <c r="D9909" t="s">
        <v>18122</v>
      </c>
      <c r="E9909" t="s">
        <v>26804</v>
      </c>
      <c r="F9909" t="s">
        <v>31362</v>
      </c>
      <c r="G9909" t="s">
        <v>31369</v>
      </c>
      <c r="H9909" t="s">
        <v>15799</v>
      </c>
      <c r="I9909" t="s">
        <v>31393</v>
      </c>
      <c r="J9909" t="s">
        <v>37565</v>
      </c>
      <c r="K9909" t="s">
        <v>40666</v>
      </c>
      <c r="M9909" t="s">
        <v>44021</v>
      </c>
      <c r="N9909" t="s">
        <v>44905</v>
      </c>
      <c r="O9909" t="s">
        <v>44906</v>
      </c>
      <c r="P9909">
        <v>0</v>
      </c>
      <c r="Q9909">
        <v>1</v>
      </c>
      <c r="R9909" t="s">
        <v>44914</v>
      </c>
      <c r="S9909" t="s">
        <v>45202</v>
      </c>
      <c r="T9909" t="s">
        <v>46464</v>
      </c>
      <c r="U9909" t="s">
        <v>54899</v>
      </c>
      <c r="V9909" t="s">
        <v>60125</v>
      </c>
      <c r="W9909" t="s">
        <v>44021</v>
      </c>
      <c r="X9909" t="s">
        <v>44915</v>
      </c>
    </row>
    <row r="9910" spans="1:24">
      <c r="A9910">
        <f>HYPERLINK("https://www.philgeps.gov.ph/GEPSNONPILOT/Tender/SplashBidNoticeAbstractUI.aspx?menuIndex=3&amp;refID=7068698&amp;Result=3","7068698")</f>
        <v>0</v>
      </c>
      <c r="B9910" t="s">
        <v>1037</v>
      </c>
      <c r="C9910" t="s">
        <v>12969</v>
      </c>
      <c r="D9910" t="s">
        <v>18146</v>
      </c>
      <c r="E9910" t="s">
        <v>26805</v>
      </c>
      <c r="F9910" t="s">
        <v>31362</v>
      </c>
      <c r="G9910" t="s">
        <v>31369</v>
      </c>
      <c r="H9910" t="s">
        <v>31378</v>
      </c>
      <c r="I9910" t="s">
        <v>31386</v>
      </c>
      <c r="J9910" t="s">
        <v>37566</v>
      </c>
      <c r="K9910" t="s">
        <v>40701</v>
      </c>
      <c r="M9910" t="s">
        <v>43675</v>
      </c>
      <c r="N9910" t="s">
        <v>44905</v>
      </c>
      <c r="O9910" t="s">
        <v>44906</v>
      </c>
      <c r="P9910">
        <v>0</v>
      </c>
      <c r="Q9910">
        <v>0</v>
      </c>
      <c r="R9910" t="s">
        <v>44914</v>
      </c>
      <c r="S9910" t="s">
        <v>45202</v>
      </c>
      <c r="T9910" t="s">
        <v>46418</v>
      </c>
      <c r="U9910" t="s">
        <v>54900</v>
      </c>
      <c r="V9910" t="s">
        <v>60126</v>
      </c>
      <c r="W9910" t="s">
        <v>43675</v>
      </c>
      <c r="X9910" t="s">
        <v>44915</v>
      </c>
    </row>
    <row r="9911" spans="1:24">
      <c r="A9911">
        <f>HYPERLINK("https://www.philgeps.gov.ph/GEPSNONPILOT/Tender/SplashBidNoticeAbstractUI.aspx?menuIndex=3&amp;refID=7068922&amp;Result=3","7068922")</f>
        <v>0</v>
      </c>
      <c r="B9911" t="s">
        <v>2821</v>
      </c>
      <c r="C9911" t="s">
        <v>12970</v>
      </c>
      <c r="D9911" t="s">
        <v>18110</v>
      </c>
      <c r="E9911" t="s">
        <v>26806</v>
      </c>
      <c r="F9911" t="s">
        <v>31362</v>
      </c>
      <c r="G9911" t="s">
        <v>31369</v>
      </c>
      <c r="H9911" t="s">
        <v>15799</v>
      </c>
      <c r="I9911" t="s">
        <v>31395</v>
      </c>
      <c r="J9911" t="s">
        <v>37567</v>
      </c>
      <c r="K9911" t="s">
        <v>40731</v>
      </c>
      <c r="M9911" t="s">
        <v>44020</v>
      </c>
      <c r="N9911" t="s">
        <v>44905</v>
      </c>
      <c r="O9911" t="s">
        <v>44906</v>
      </c>
      <c r="P9911">
        <v>0</v>
      </c>
      <c r="Q9911">
        <v>8</v>
      </c>
      <c r="R9911" t="s">
        <v>44914</v>
      </c>
      <c r="S9911" t="s">
        <v>45202</v>
      </c>
      <c r="T9911" t="s">
        <v>46638</v>
      </c>
      <c r="U9911" t="s">
        <v>54901</v>
      </c>
      <c r="V9911" t="s">
        <v>60127</v>
      </c>
      <c r="W9911" t="s">
        <v>44020</v>
      </c>
      <c r="X9911" t="s">
        <v>44915</v>
      </c>
    </row>
    <row r="9912" spans="1:24">
      <c r="A9912">
        <f>HYPERLINK("https://www.philgeps.gov.ph/GEPSNONPILOT/Tender/SplashBidNoticeAbstractUI.aspx?menuIndex=3&amp;refID=7068813&amp;Result=3","7068813")</f>
        <v>0</v>
      </c>
      <c r="B9912" t="s">
        <v>2818</v>
      </c>
      <c r="C9912" t="s">
        <v>12971</v>
      </c>
      <c r="D9912" t="s">
        <v>18132</v>
      </c>
      <c r="E9912" t="s">
        <v>26807</v>
      </c>
      <c r="F9912" t="s">
        <v>31362</v>
      </c>
      <c r="G9912" t="s">
        <v>31369</v>
      </c>
      <c r="H9912" t="s">
        <v>31378</v>
      </c>
      <c r="I9912" t="s">
        <v>31386</v>
      </c>
      <c r="J9912" t="s">
        <v>31981</v>
      </c>
      <c r="K9912" t="s">
        <v>40752</v>
      </c>
      <c r="M9912" t="s">
        <v>44017</v>
      </c>
      <c r="N9912" t="s">
        <v>44905</v>
      </c>
      <c r="O9912" t="s">
        <v>44906</v>
      </c>
      <c r="P9912">
        <v>0</v>
      </c>
      <c r="Q9912">
        <v>0</v>
      </c>
      <c r="R9912" t="s">
        <v>44914</v>
      </c>
      <c r="S9912" t="s">
        <v>45202</v>
      </c>
      <c r="T9912" t="s">
        <v>46426</v>
      </c>
      <c r="U9912" t="s">
        <v>54902</v>
      </c>
      <c r="W9912" t="s">
        <v>44017</v>
      </c>
      <c r="X9912" t="s">
        <v>44915</v>
      </c>
    </row>
    <row r="9913" spans="1:24">
      <c r="A9913">
        <f>HYPERLINK("https://www.philgeps.gov.ph/GEPSNONPILOT/Tender/SplashBidNoticeAbstractUI.aspx?menuIndex=3&amp;refID=7069080&amp;Result=3","7069080")</f>
        <v>0</v>
      </c>
      <c r="B9913" t="s">
        <v>2796</v>
      </c>
      <c r="C9913" t="s">
        <v>12972</v>
      </c>
      <c r="D9913" t="s">
        <v>18117</v>
      </c>
      <c r="E9913" t="s">
        <v>26808</v>
      </c>
      <c r="F9913" t="s">
        <v>31362</v>
      </c>
      <c r="G9913" t="s">
        <v>31369</v>
      </c>
      <c r="H9913" t="s">
        <v>31378</v>
      </c>
      <c r="I9913" t="s">
        <v>31386</v>
      </c>
      <c r="J9913" t="s">
        <v>37568</v>
      </c>
      <c r="K9913" t="s">
        <v>40683</v>
      </c>
      <c r="M9913" t="s">
        <v>43993</v>
      </c>
      <c r="N9913" t="s">
        <v>44905</v>
      </c>
      <c r="O9913" t="s">
        <v>44906</v>
      </c>
      <c r="P9913">
        <v>0</v>
      </c>
      <c r="Q9913">
        <v>5</v>
      </c>
      <c r="R9913" t="s">
        <v>44914</v>
      </c>
      <c r="S9913" t="s">
        <v>45202</v>
      </c>
      <c r="T9913" t="s">
        <v>46659</v>
      </c>
      <c r="U9913" t="s">
        <v>54903</v>
      </c>
      <c r="W9913" t="s">
        <v>43993</v>
      </c>
      <c r="X9913" t="s">
        <v>44915</v>
      </c>
    </row>
    <row r="9914" spans="1:24">
      <c r="A9914">
        <f>HYPERLINK("https://www.philgeps.gov.ph/GEPSNONPILOT/Tender/SplashBidNoticeAbstractUI.aspx?menuIndex=3&amp;refID=7069055&amp;Result=3","7069055")</f>
        <v>0</v>
      </c>
      <c r="B9914" t="s">
        <v>1033</v>
      </c>
      <c r="C9914" t="s">
        <v>12973</v>
      </c>
      <c r="D9914" t="s">
        <v>18162</v>
      </c>
      <c r="E9914" t="s">
        <v>26809</v>
      </c>
      <c r="F9914" t="s">
        <v>31362</v>
      </c>
      <c r="G9914" t="s">
        <v>31369</v>
      </c>
      <c r="H9914" t="s">
        <v>15799</v>
      </c>
      <c r="I9914" t="s">
        <v>31385</v>
      </c>
      <c r="J9914" t="s">
        <v>37569</v>
      </c>
      <c r="K9914" t="s">
        <v>40670</v>
      </c>
      <c r="M9914" t="s">
        <v>42032</v>
      </c>
      <c r="N9914" t="s">
        <v>44905</v>
      </c>
      <c r="O9914" t="s">
        <v>44906</v>
      </c>
      <c r="P9914">
        <v>0</v>
      </c>
      <c r="Q9914">
        <v>0</v>
      </c>
      <c r="R9914" t="s">
        <v>44914</v>
      </c>
      <c r="S9914" t="s">
        <v>45202</v>
      </c>
      <c r="T9914" t="s">
        <v>46509</v>
      </c>
      <c r="U9914" t="s">
        <v>54904</v>
      </c>
      <c r="W9914" t="s">
        <v>42032</v>
      </c>
      <c r="X9914" t="s">
        <v>44915</v>
      </c>
    </row>
    <row r="9915" spans="1:24">
      <c r="A9915">
        <f>HYPERLINK("https://www.philgeps.gov.ph/GEPSNONPILOT/Tender/SplashBidNoticeAbstractUI.aspx?menuIndex=3&amp;refID=7069054&amp;Result=3","7069054")</f>
        <v>0</v>
      </c>
      <c r="B9915" t="s">
        <v>2825</v>
      </c>
      <c r="C9915" t="s">
        <v>12974</v>
      </c>
      <c r="D9915" t="s">
        <v>18180</v>
      </c>
      <c r="E9915" t="s">
        <v>26810</v>
      </c>
      <c r="F9915" t="s">
        <v>31362</v>
      </c>
      <c r="G9915" t="s">
        <v>31369</v>
      </c>
      <c r="H9915" t="s">
        <v>31378</v>
      </c>
      <c r="I9915" t="s">
        <v>31386</v>
      </c>
      <c r="J9915" t="s">
        <v>37570</v>
      </c>
      <c r="K9915" t="s">
        <v>40666</v>
      </c>
      <c r="M9915" t="s">
        <v>44024</v>
      </c>
      <c r="N9915" t="s">
        <v>44905</v>
      </c>
      <c r="O9915" t="s">
        <v>44906</v>
      </c>
      <c r="P9915">
        <v>0</v>
      </c>
      <c r="Q9915">
        <v>0</v>
      </c>
      <c r="R9915" t="s">
        <v>44914</v>
      </c>
      <c r="S9915" t="s">
        <v>45202</v>
      </c>
      <c r="T9915" t="s">
        <v>46519</v>
      </c>
      <c r="U9915" t="s">
        <v>54905</v>
      </c>
      <c r="W9915" t="s">
        <v>44024</v>
      </c>
      <c r="X9915" t="s">
        <v>44915</v>
      </c>
    </row>
    <row r="9916" spans="1:24">
      <c r="A9916">
        <f>HYPERLINK("https://www.philgeps.gov.ph/GEPSNONPILOT/Tender/SplashBidNoticeAbstractUI.aspx?menuIndex=3&amp;refID=7069105&amp;Result=3","7069105")</f>
        <v>0</v>
      </c>
      <c r="B9916" t="s">
        <v>2818</v>
      </c>
      <c r="C9916" t="s">
        <v>12975</v>
      </c>
      <c r="D9916" t="s">
        <v>18132</v>
      </c>
      <c r="E9916" t="s">
        <v>26811</v>
      </c>
      <c r="F9916" t="s">
        <v>31362</v>
      </c>
      <c r="G9916" t="s">
        <v>31369</v>
      </c>
      <c r="H9916" t="s">
        <v>15799</v>
      </c>
      <c r="I9916" t="s">
        <v>13635</v>
      </c>
      <c r="J9916" t="s">
        <v>31997</v>
      </c>
      <c r="K9916" t="s">
        <v>40662</v>
      </c>
      <c r="M9916" t="s">
        <v>44017</v>
      </c>
      <c r="N9916" t="s">
        <v>44905</v>
      </c>
      <c r="O9916" t="s">
        <v>44906</v>
      </c>
      <c r="P9916">
        <v>0</v>
      </c>
      <c r="Q9916">
        <v>0</v>
      </c>
      <c r="R9916" t="s">
        <v>44914</v>
      </c>
      <c r="S9916" t="s">
        <v>45202</v>
      </c>
      <c r="T9916" t="s">
        <v>46426</v>
      </c>
      <c r="U9916" t="s">
        <v>54906</v>
      </c>
      <c r="V9916" t="s">
        <v>60128</v>
      </c>
      <c r="W9916" t="s">
        <v>44017</v>
      </c>
      <c r="X9916" t="s">
        <v>44915</v>
      </c>
    </row>
    <row r="9917" spans="1:24">
      <c r="A9917">
        <f>HYPERLINK("https://www.philgeps.gov.ph/GEPSNONPILOT/Tender/SplashBidNoticeAbstractUI.aspx?menuIndex=3&amp;refID=7069086&amp;Result=3","7069086")</f>
        <v>0</v>
      </c>
      <c r="B9917" t="s">
        <v>968</v>
      </c>
      <c r="C9917" t="s">
        <v>12976</v>
      </c>
      <c r="D9917" t="s">
        <v>18100</v>
      </c>
      <c r="E9917" t="s">
        <v>18871</v>
      </c>
      <c r="F9917" t="s">
        <v>31362</v>
      </c>
      <c r="G9917" t="s">
        <v>31369</v>
      </c>
      <c r="H9917" t="s">
        <v>15799</v>
      </c>
      <c r="I9917" t="s">
        <v>31418</v>
      </c>
      <c r="J9917" t="s">
        <v>32235</v>
      </c>
      <c r="K9917" t="s">
        <v>40662</v>
      </c>
      <c r="M9917" t="s">
        <v>41958</v>
      </c>
      <c r="N9917" t="s">
        <v>44905</v>
      </c>
      <c r="O9917" t="s">
        <v>44906</v>
      </c>
      <c r="P9917">
        <v>0</v>
      </c>
      <c r="Q9917">
        <v>0</v>
      </c>
      <c r="R9917" t="s">
        <v>44914</v>
      </c>
      <c r="S9917" t="s">
        <v>45202</v>
      </c>
      <c r="T9917" t="s">
        <v>46415</v>
      </c>
      <c r="U9917" t="s">
        <v>54907</v>
      </c>
      <c r="W9917" t="s">
        <v>41958</v>
      </c>
      <c r="X9917" t="s">
        <v>44915</v>
      </c>
    </row>
    <row r="9918" spans="1:24">
      <c r="A9918">
        <f>HYPERLINK("https://www.philgeps.gov.ph/GEPSNONPILOT/Tender/SplashBidNoticeAbstractUI.aspx?menuIndex=3&amp;refID=7068801&amp;Result=3","7068801")</f>
        <v>0</v>
      </c>
      <c r="B9918" t="s">
        <v>2485</v>
      </c>
      <c r="C9918" t="s">
        <v>12977</v>
      </c>
      <c r="D9918" t="s">
        <v>18104</v>
      </c>
      <c r="E9918" t="s">
        <v>26812</v>
      </c>
      <c r="F9918" t="s">
        <v>31362</v>
      </c>
      <c r="G9918" t="s">
        <v>31368</v>
      </c>
      <c r="H9918" t="s">
        <v>15799</v>
      </c>
      <c r="I9918" t="s">
        <v>31385</v>
      </c>
      <c r="J9918" t="s">
        <v>37571</v>
      </c>
      <c r="K9918" t="s">
        <v>40666</v>
      </c>
      <c r="M9918" t="s">
        <v>43650</v>
      </c>
      <c r="N9918" t="s">
        <v>44905</v>
      </c>
      <c r="O9918" t="s">
        <v>44906</v>
      </c>
      <c r="P9918">
        <v>0</v>
      </c>
      <c r="Q9918">
        <v>3</v>
      </c>
      <c r="R9918" t="s">
        <v>44914</v>
      </c>
      <c r="S9918" t="s">
        <v>45202</v>
      </c>
      <c r="T9918" t="s">
        <v>46692</v>
      </c>
      <c r="U9918" t="s">
        <v>54908</v>
      </c>
      <c r="V9918" t="s">
        <v>60129</v>
      </c>
      <c r="W9918" t="s">
        <v>43650</v>
      </c>
      <c r="X9918" t="s">
        <v>44915</v>
      </c>
    </row>
    <row r="9919" spans="1:24">
      <c r="A9919">
        <f>HYPERLINK("https://www.philgeps.gov.ph/GEPSNONPILOT/Tender/SplashBidNoticeAbstractUI.aspx?menuIndex=3&amp;refID=7069033&amp;Result=3","7069033")</f>
        <v>0</v>
      </c>
      <c r="B9919" t="s">
        <v>2818</v>
      </c>
      <c r="C9919" t="s">
        <v>12978</v>
      </c>
      <c r="D9919" t="s">
        <v>18132</v>
      </c>
      <c r="E9919" t="s">
        <v>26813</v>
      </c>
      <c r="F9919" t="s">
        <v>31362</v>
      </c>
      <c r="G9919" t="s">
        <v>31369</v>
      </c>
      <c r="H9919" t="s">
        <v>15799</v>
      </c>
      <c r="I9919" t="s">
        <v>31414</v>
      </c>
      <c r="J9919" t="s">
        <v>37572</v>
      </c>
      <c r="K9919" t="s">
        <v>40662</v>
      </c>
      <c r="M9919" t="s">
        <v>44017</v>
      </c>
      <c r="N9919" t="s">
        <v>44905</v>
      </c>
      <c r="O9919" t="s">
        <v>44906</v>
      </c>
      <c r="P9919">
        <v>0</v>
      </c>
      <c r="Q9919">
        <v>5</v>
      </c>
      <c r="R9919" t="s">
        <v>44914</v>
      </c>
      <c r="S9919" t="s">
        <v>45202</v>
      </c>
      <c r="T9919" t="s">
        <v>46426</v>
      </c>
      <c r="U9919" t="s">
        <v>54909</v>
      </c>
      <c r="W9919" t="s">
        <v>44017</v>
      </c>
      <c r="X9919" t="s">
        <v>44915</v>
      </c>
    </row>
    <row r="9920" spans="1:24">
      <c r="A9920">
        <f>HYPERLINK("https://www.philgeps.gov.ph/GEPSNONPILOT/Tender/SplashBidNoticeAbstractUI.aspx?menuIndex=3&amp;refID=7069025&amp;Result=3","7069025")</f>
        <v>0</v>
      </c>
      <c r="B9920" t="s">
        <v>820</v>
      </c>
      <c r="C9920" t="s">
        <v>12979</v>
      </c>
      <c r="D9920" t="s">
        <v>18100</v>
      </c>
      <c r="E9920" t="s">
        <v>26814</v>
      </c>
      <c r="F9920" t="s">
        <v>31362</v>
      </c>
      <c r="G9920" t="s">
        <v>31369</v>
      </c>
      <c r="H9920" t="s">
        <v>15799</v>
      </c>
      <c r="I9920" t="s">
        <v>31412</v>
      </c>
      <c r="J9920" t="s">
        <v>31734</v>
      </c>
      <c r="K9920" t="s">
        <v>40677</v>
      </c>
      <c r="M9920" t="s">
        <v>41793</v>
      </c>
      <c r="N9920" t="s">
        <v>44905</v>
      </c>
      <c r="O9920" t="s">
        <v>44906</v>
      </c>
      <c r="P9920">
        <v>0</v>
      </c>
      <c r="Q9920">
        <v>2</v>
      </c>
      <c r="R9920" t="s">
        <v>44914</v>
      </c>
      <c r="S9920" t="s">
        <v>45202</v>
      </c>
      <c r="T9920" t="s">
        <v>46503</v>
      </c>
      <c r="U9920" t="s">
        <v>51646</v>
      </c>
      <c r="W9920" t="s">
        <v>41793</v>
      </c>
      <c r="X9920" t="s">
        <v>44915</v>
      </c>
    </row>
    <row r="9921" spans="1:24">
      <c r="A9921">
        <f>HYPERLINK("https://www.philgeps.gov.ph/GEPSNONPILOT/Tender/SplashBidNoticeAbstractUI.aspx?menuIndex=3&amp;refID=7069044&amp;Result=3","7069044")</f>
        <v>0</v>
      </c>
      <c r="B9921" t="s">
        <v>2819</v>
      </c>
      <c r="C9921" t="s">
        <v>12980</v>
      </c>
      <c r="D9921" t="s">
        <v>18125</v>
      </c>
      <c r="E9921" t="s">
        <v>26815</v>
      </c>
      <c r="F9921" t="s">
        <v>31362</v>
      </c>
      <c r="G9921" t="s">
        <v>31368</v>
      </c>
      <c r="H9921" t="s">
        <v>31377</v>
      </c>
      <c r="I9921" t="s">
        <v>31446</v>
      </c>
      <c r="J9921" t="s">
        <v>31564</v>
      </c>
      <c r="K9921" t="s">
        <v>40662</v>
      </c>
      <c r="M9921" t="s">
        <v>44018</v>
      </c>
      <c r="N9921" t="s">
        <v>44905</v>
      </c>
      <c r="O9921" t="s">
        <v>44906</v>
      </c>
      <c r="P9921">
        <v>0</v>
      </c>
      <c r="Q9921">
        <v>0</v>
      </c>
      <c r="R9921" t="s">
        <v>44914</v>
      </c>
      <c r="S9921" t="s">
        <v>45202</v>
      </c>
      <c r="T9921" t="s">
        <v>46478</v>
      </c>
      <c r="U9921" t="s">
        <v>54910</v>
      </c>
      <c r="W9921" t="s">
        <v>60942</v>
      </c>
      <c r="X9921" t="s">
        <v>44915</v>
      </c>
    </row>
    <row r="9922" spans="1:24">
      <c r="A9922">
        <f>HYPERLINK("https://www.philgeps.gov.ph/GEPSNONPILOT/Tender/SplashBidNoticeAbstractUI.aspx?menuIndex=3&amp;refID=7069091&amp;Result=3","7069091")</f>
        <v>0</v>
      </c>
      <c r="B9922" t="s">
        <v>1930</v>
      </c>
      <c r="C9922" t="s">
        <v>12981</v>
      </c>
      <c r="D9922" t="s">
        <v>18154</v>
      </c>
      <c r="E9922" t="s">
        <v>26816</v>
      </c>
      <c r="F9922" t="s">
        <v>31363</v>
      </c>
      <c r="G9922" t="s">
        <v>31369</v>
      </c>
      <c r="H9922" t="s">
        <v>15799</v>
      </c>
      <c r="I9922" t="s">
        <v>3815</v>
      </c>
      <c r="J9922" t="s">
        <v>37573</v>
      </c>
      <c r="K9922" t="s">
        <v>40665</v>
      </c>
      <c r="M9922" t="s">
        <v>44025</v>
      </c>
      <c r="N9922" t="s">
        <v>44905</v>
      </c>
      <c r="O9922" t="s">
        <v>44906</v>
      </c>
      <c r="P9922">
        <v>0</v>
      </c>
      <c r="Q9922">
        <v>0</v>
      </c>
      <c r="R9922" t="s">
        <v>44914</v>
      </c>
      <c r="S9922" t="s">
        <v>45202</v>
      </c>
      <c r="T9922" t="s">
        <v>46396</v>
      </c>
      <c r="U9922" t="s">
        <v>54868</v>
      </c>
      <c r="W9922" t="s">
        <v>44025</v>
      </c>
      <c r="X9922" t="s">
        <v>44915</v>
      </c>
    </row>
    <row r="9923" spans="1:24">
      <c r="A9923">
        <f>HYPERLINK("https://www.philgeps.gov.ph/GEPSNONPILOT/Tender/SplashBidNoticeAbstractUI.aspx?menuIndex=3&amp;refID=7069026&amp;Result=3","7069026")</f>
        <v>0</v>
      </c>
      <c r="B9923" t="s">
        <v>2824</v>
      </c>
      <c r="C9923" t="s">
        <v>12982</v>
      </c>
      <c r="D9923" t="s">
        <v>18123</v>
      </c>
      <c r="E9923" t="s">
        <v>26817</v>
      </c>
      <c r="F9923" t="s">
        <v>31362</v>
      </c>
      <c r="G9923" t="s">
        <v>31369</v>
      </c>
      <c r="H9923" t="s">
        <v>31378</v>
      </c>
      <c r="I9923" t="s">
        <v>31386</v>
      </c>
      <c r="J9923" t="s">
        <v>37574</v>
      </c>
      <c r="K9923" t="s">
        <v>40686</v>
      </c>
      <c r="M9923" t="s">
        <v>44023</v>
      </c>
      <c r="N9923" t="s">
        <v>44905</v>
      </c>
      <c r="O9923" t="s">
        <v>44906</v>
      </c>
      <c r="P9923">
        <v>0</v>
      </c>
      <c r="Q9923">
        <v>0</v>
      </c>
      <c r="R9923" t="s">
        <v>44914</v>
      </c>
      <c r="S9923" t="s">
        <v>45202</v>
      </c>
      <c r="T9923" t="s">
        <v>46679</v>
      </c>
      <c r="U9923" t="s">
        <v>54911</v>
      </c>
      <c r="W9923" t="s">
        <v>44023</v>
      </c>
      <c r="X9923" t="s">
        <v>44915</v>
      </c>
    </row>
    <row r="9924" spans="1:24">
      <c r="A9924">
        <f>HYPERLINK("https://www.philgeps.gov.ph/GEPSNONPILOT/Tender/SplashBidNoticeAbstractUI.aspx?menuIndex=3&amp;refID=7069212&amp;Result=3","7069212")</f>
        <v>0</v>
      </c>
      <c r="B9924" t="s">
        <v>2796</v>
      </c>
      <c r="C9924" t="s">
        <v>12983</v>
      </c>
      <c r="D9924" t="s">
        <v>18117</v>
      </c>
      <c r="E9924" t="s">
        <v>26818</v>
      </c>
      <c r="F9924" t="s">
        <v>31362</v>
      </c>
      <c r="G9924" t="s">
        <v>31369</v>
      </c>
      <c r="H9924" t="s">
        <v>31378</v>
      </c>
      <c r="I9924" t="s">
        <v>31386</v>
      </c>
      <c r="J9924" t="s">
        <v>37575</v>
      </c>
      <c r="K9924" t="s">
        <v>40683</v>
      </c>
      <c r="M9924" t="s">
        <v>43993</v>
      </c>
      <c r="N9924" t="s">
        <v>44905</v>
      </c>
      <c r="O9924" t="s">
        <v>44906</v>
      </c>
      <c r="P9924">
        <v>0</v>
      </c>
      <c r="Q9924">
        <v>4</v>
      </c>
      <c r="R9924" t="s">
        <v>44914</v>
      </c>
      <c r="S9924" t="s">
        <v>45202</v>
      </c>
      <c r="T9924" t="s">
        <v>46659</v>
      </c>
      <c r="U9924" t="s">
        <v>54912</v>
      </c>
      <c r="W9924" t="s">
        <v>43993</v>
      </c>
      <c r="X9924" t="s">
        <v>44915</v>
      </c>
    </row>
    <row r="9925" spans="1:24">
      <c r="A9925">
        <f>HYPERLINK("https://www.philgeps.gov.ph/GEPSNONPILOT/Tender/SplashBidNoticeAbstractUI.aspx?menuIndex=3&amp;refID=7069207&amp;Result=3","7069207")</f>
        <v>0</v>
      </c>
      <c r="B9925" t="s">
        <v>2826</v>
      </c>
      <c r="C9925" t="s">
        <v>12984</v>
      </c>
      <c r="D9925" t="s">
        <v>18139</v>
      </c>
      <c r="E9925" t="s">
        <v>19253</v>
      </c>
      <c r="F9925" t="s">
        <v>31362</v>
      </c>
      <c r="G9925" t="s">
        <v>31369</v>
      </c>
      <c r="H9925" t="s">
        <v>31378</v>
      </c>
      <c r="I9925" t="s">
        <v>31386</v>
      </c>
      <c r="J9925" t="s">
        <v>31578</v>
      </c>
      <c r="K9925" t="s">
        <v>40665</v>
      </c>
      <c r="M9925" t="s">
        <v>44026</v>
      </c>
      <c r="N9925" t="s">
        <v>44905</v>
      </c>
      <c r="O9925" t="s">
        <v>44906</v>
      </c>
      <c r="P9925">
        <v>0</v>
      </c>
      <c r="Q9925">
        <v>0</v>
      </c>
      <c r="R9925" t="s">
        <v>44914</v>
      </c>
      <c r="S9925" t="s">
        <v>45202</v>
      </c>
      <c r="T9925" t="s">
        <v>46408</v>
      </c>
      <c r="U9925" t="s">
        <v>54913</v>
      </c>
      <c r="W9925" t="s">
        <v>44026</v>
      </c>
      <c r="X9925" t="s">
        <v>44915</v>
      </c>
    </row>
    <row r="9926" spans="1:24">
      <c r="A9926">
        <f>HYPERLINK("https://www.philgeps.gov.ph/GEPSNONPILOT/Tender/SplashBidNoticeAbstractUI.aspx?menuIndex=3&amp;refID=7069203&amp;Result=3","7069203")</f>
        <v>0</v>
      </c>
      <c r="B9926" t="s">
        <v>2123</v>
      </c>
      <c r="C9926" t="s">
        <v>12985</v>
      </c>
      <c r="D9926" t="s">
        <v>18136</v>
      </c>
      <c r="E9926" t="s">
        <v>26819</v>
      </c>
      <c r="F9926" t="s">
        <v>31362</v>
      </c>
      <c r="G9926" t="s">
        <v>31369</v>
      </c>
      <c r="H9926" t="s">
        <v>15799</v>
      </c>
      <c r="I9926" t="s">
        <v>31398</v>
      </c>
      <c r="J9926" t="s">
        <v>31890</v>
      </c>
      <c r="K9926" t="s">
        <v>40665</v>
      </c>
      <c r="M9926" t="s">
        <v>43251</v>
      </c>
      <c r="N9926" t="s">
        <v>44905</v>
      </c>
      <c r="O9926" t="s">
        <v>44906</v>
      </c>
      <c r="P9926">
        <v>0</v>
      </c>
      <c r="Q9926">
        <v>0</v>
      </c>
      <c r="R9926" t="s">
        <v>44914</v>
      </c>
      <c r="S9926" t="s">
        <v>45202</v>
      </c>
      <c r="T9926" t="s">
        <v>46524</v>
      </c>
      <c r="U9926" t="s">
        <v>52573</v>
      </c>
      <c r="W9926" t="s">
        <v>43251</v>
      </c>
      <c r="X9926" t="s">
        <v>44915</v>
      </c>
    </row>
    <row r="9927" spans="1:24">
      <c r="A9927">
        <f>HYPERLINK("https://www.philgeps.gov.ph/GEPSNONPILOT/Tender/SplashBidNoticeAbstractUI.aspx?menuIndex=3&amp;refID=7069198&amp;Result=3","7069198")</f>
        <v>0</v>
      </c>
      <c r="B9927" t="s">
        <v>2812</v>
      </c>
      <c r="C9927" t="s">
        <v>12986</v>
      </c>
      <c r="E9927" t="s">
        <v>26820</v>
      </c>
      <c r="F9927" t="s">
        <v>31362</v>
      </c>
      <c r="G9927" t="s">
        <v>31369</v>
      </c>
      <c r="H9927" t="s">
        <v>31378</v>
      </c>
      <c r="I9927" t="s">
        <v>31428</v>
      </c>
      <c r="J9927" t="s">
        <v>37576</v>
      </c>
      <c r="K9927" t="s">
        <v>40718</v>
      </c>
      <c r="M9927" t="s">
        <v>44011</v>
      </c>
      <c r="N9927" t="s">
        <v>44905</v>
      </c>
      <c r="O9927" t="s">
        <v>44906</v>
      </c>
      <c r="P9927">
        <v>0</v>
      </c>
      <c r="Q9927">
        <v>0</v>
      </c>
      <c r="R9927" t="s">
        <v>44914</v>
      </c>
      <c r="S9927" t="s">
        <v>45202</v>
      </c>
      <c r="T9927" t="s">
        <v>46519</v>
      </c>
      <c r="U9927" t="s">
        <v>54914</v>
      </c>
      <c r="W9927" t="s">
        <v>44011</v>
      </c>
      <c r="X9927" t="s">
        <v>44915</v>
      </c>
    </row>
    <row r="9928" spans="1:24">
      <c r="A9928">
        <f>HYPERLINK("https://www.philgeps.gov.ph/GEPSNONPILOT/Tender/SplashBidNoticeAbstractUI.aspx?menuIndex=3&amp;refID=7069187&amp;Result=3","7069187")</f>
        <v>0</v>
      </c>
      <c r="B9928" t="s">
        <v>2827</v>
      </c>
      <c r="C9928" t="s">
        <v>12987</v>
      </c>
      <c r="D9928" t="s">
        <v>18112</v>
      </c>
      <c r="E9928" t="s">
        <v>26821</v>
      </c>
      <c r="F9928" t="s">
        <v>31362</v>
      </c>
      <c r="G9928" t="s">
        <v>31369</v>
      </c>
      <c r="H9928" t="s">
        <v>31378</v>
      </c>
      <c r="I9928" t="s">
        <v>31386</v>
      </c>
      <c r="J9928" t="s">
        <v>31615</v>
      </c>
      <c r="K9928" t="s">
        <v>40683</v>
      </c>
      <c r="M9928" t="s">
        <v>44027</v>
      </c>
      <c r="N9928" t="s">
        <v>44905</v>
      </c>
      <c r="O9928" t="s">
        <v>44906</v>
      </c>
      <c r="P9928">
        <v>0</v>
      </c>
      <c r="Q9928">
        <v>0</v>
      </c>
      <c r="R9928" t="s">
        <v>44914</v>
      </c>
      <c r="S9928" t="s">
        <v>45202</v>
      </c>
      <c r="T9928" t="s">
        <v>46392</v>
      </c>
      <c r="U9928" t="s">
        <v>54915</v>
      </c>
      <c r="V9928" t="s">
        <v>60130</v>
      </c>
      <c r="W9928" t="s">
        <v>44027</v>
      </c>
      <c r="X9928" t="s">
        <v>44915</v>
      </c>
    </row>
    <row r="9929" spans="1:24">
      <c r="A9929">
        <f>HYPERLINK("https://www.philgeps.gov.ph/GEPSNONPILOT/Tender/SplashBidNoticeAbstractUI.aspx?menuIndex=3&amp;refID=7068976&amp;Result=3","7068976")</f>
        <v>0</v>
      </c>
      <c r="B9929" t="s">
        <v>2824</v>
      </c>
      <c r="C9929" t="s">
        <v>12988</v>
      </c>
      <c r="D9929" t="s">
        <v>18123</v>
      </c>
      <c r="E9929" t="s">
        <v>26822</v>
      </c>
      <c r="F9929" t="s">
        <v>31362</v>
      </c>
      <c r="G9929" t="s">
        <v>31369</v>
      </c>
      <c r="H9929" t="s">
        <v>31378</v>
      </c>
      <c r="I9929" t="s">
        <v>31386</v>
      </c>
      <c r="J9929" t="s">
        <v>37577</v>
      </c>
      <c r="K9929" t="s">
        <v>40686</v>
      </c>
      <c r="M9929" t="s">
        <v>44023</v>
      </c>
      <c r="N9929" t="s">
        <v>44905</v>
      </c>
      <c r="O9929" t="s">
        <v>44906</v>
      </c>
      <c r="P9929">
        <v>0</v>
      </c>
      <c r="Q9929">
        <v>0</v>
      </c>
      <c r="R9929" t="s">
        <v>44914</v>
      </c>
      <c r="S9929" t="s">
        <v>45202</v>
      </c>
      <c r="T9929" t="s">
        <v>46418</v>
      </c>
      <c r="U9929" t="s">
        <v>54916</v>
      </c>
      <c r="W9929" t="s">
        <v>44023</v>
      </c>
      <c r="X9929" t="s">
        <v>44915</v>
      </c>
    </row>
    <row r="9930" spans="1:24">
      <c r="A9930">
        <f>HYPERLINK("https://www.philgeps.gov.ph/GEPSNONPILOT/Tender/SplashBidNoticeAbstractUI.aspx?menuIndex=3&amp;refID=7069179&amp;Result=3","7069179")</f>
        <v>0</v>
      </c>
      <c r="B9930" t="s">
        <v>2828</v>
      </c>
      <c r="C9930" t="s">
        <v>12989</v>
      </c>
      <c r="E9930" t="s">
        <v>18229</v>
      </c>
      <c r="F9930" t="s">
        <v>31362</v>
      </c>
      <c r="G9930" t="s">
        <v>31369</v>
      </c>
      <c r="H9930" t="s">
        <v>15799</v>
      </c>
      <c r="I9930" t="s">
        <v>6240</v>
      </c>
      <c r="J9930" t="s">
        <v>34706</v>
      </c>
      <c r="K9930" t="s">
        <v>40661</v>
      </c>
      <c r="M9930" t="s">
        <v>44028</v>
      </c>
      <c r="N9930" t="s">
        <v>44905</v>
      </c>
      <c r="O9930" t="s">
        <v>44906</v>
      </c>
      <c r="P9930">
        <v>0</v>
      </c>
      <c r="Q9930">
        <v>1</v>
      </c>
      <c r="R9930" t="s">
        <v>44914</v>
      </c>
      <c r="S9930" t="s">
        <v>45202</v>
      </c>
      <c r="T9930" t="s">
        <v>46432</v>
      </c>
      <c r="U9930" t="s">
        <v>54917</v>
      </c>
      <c r="W9930" t="s">
        <v>44028</v>
      </c>
      <c r="X9930" t="s">
        <v>44915</v>
      </c>
    </row>
    <row r="9931" spans="1:24">
      <c r="A9931">
        <f>HYPERLINK("https://www.philgeps.gov.ph/GEPSNONPILOT/Tender/SplashBidNoticeAbstractUI.aspx?menuIndex=3&amp;refID=7069177&amp;Result=3","7069177")</f>
        <v>0</v>
      </c>
      <c r="B9931" t="s">
        <v>2829</v>
      </c>
      <c r="C9931" t="s">
        <v>12990</v>
      </c>
      <c r="D9931" t="s">
        <v>18151</v>
      </c>
      <c r="E9931" t="s">
        <v>18475</v>
      </c>
      <c r="F9931" t="s">
        <v>31362</v>
      </c>
      <c r="G9931" t="s">
        <v>31369</v>
      </c>
      <c r="H9931" t="s">
        <v>31378</v>
      </c>
      <c r="I9931" t="s">
        <v>31386</v>
      </c>
      <c r="J9931" t="s">
        <v>31606</v>
      </c>
      <c r="K9931" t="s">
        <v>40683</v>
      </c>
      <c r="M9931" t="s">
        <v>44029</v>
      </c>
      <c r="N9931" t="s">
        <v>44905</v>
      </c>
      <c r="O9931" t="s">
        <v>44906</v>
      </c>
      <c r="P9931">
        <v>0</v>
      </c>
      <c r="Q9931">
        <v>1</v>
      </c>
      <c r="R9931" t="s">
        <v>44914</v>
      </c>
      <c r="S9931" t="s">
        <v>45202</v>
      </c>
      <c r="T9931" t="s">
        <v>46549</v>
      </c>
      <c r="U9931" t="s">
        <v>54918</v>
      </c>
      <c r="W9931" t="s">
        <v>44029</v>
      </c>
      <c r="X9931" t="s">
        <v>44915</v>
      </c>
    </row>
    <row r="9932" spans="1:24">
      <c r="A9932">
        <f>HYPERLINK("https://www.philgeps.gov.ph/GEPSNONPILOT/Tender/SplashBidNoticeAbstractUI.aspx?menuIndex=3&amp;refID=7069167&amp;Result=3","7069167")</f>
        <v>0</v>
      </c>
      <c r="B9932" t="s">
        <v>249</v>
      </c>
      <c r="C9932" t="s">
        <v>12991</v>
      </c>
      <c r="D9932" t="s">
        <v>18110</v>
      </c>
      <c r="E9932" t="s">
        <v>26823</v>
      </c>
      <c r="F9932" t="s">
        <v>31362</v>
      </c>
      <c r="G9932" t="s">
        <v>31369</v>
      </c>
      <c r="H9932" t="s">
        <v>31378</v>
      </c>
      <c r="I9932" t="s">
        <v>31386</v>
      </c>
      <c r="J9932" t="s">
        <v>37578</v>
      </c>
      <c r="K9932" t="s">
        <v>40678</v>
      </c>
      <c r="M9932" t="s">
        <v>44030</v>
      </c>
      <c r="N9932" t="s">
        <v>44905</v>
      </c>
      <c r="O9932" t="s">
        <v>44906</v>
      </c>
      <c r="P9932">
        <v>0</v>
      </c>
      <c r="Q9932">
        <v>8</v>
      </c>
      <c r="R9932" t="s">
        <v>44914</v>
      </c>
      <c r="S9932" t="s">
        <v>45202</v>
      </c>
      <c r="T9932" t="s">
        <v>46814</v>
      </c>
      <c r="U9932" t="s">
        <v>54919</v>
      </c>
      <c r="W9932" t="s">
        <v>44030</v>
      </c>
      <c r="X9932" t="s">
        <v>44915</v>
      </c>
    </row>
    <row r="9933" spans="1:24">
      <c r="A9933">
        <f>HYPERLINK("https://www.philgeps.gov.ph/GEPSNONPILOT/Tender/SplashBidNoticeAbstractUI.aspx?menuIndex=3&amp;refID=7069159&amp;Result=3","7069159")</f>
        <v>0</v>
      </c>
      <c r="B9933" t="s">
        <v>2830</v>
      </c>
      <c r="C9933" t="s">
        <v>12992</v>
      </c>
      <c r="D9933" t="s">
        <v>18152</v>
      </c>
      <c r="E9933" t="s">
        <v>26824</v>
      </c>
      <c r="F9933" t="s">
        <v>31362</v>
      </c>
      <c r="G9933" t="s">
        <v>31368</v>
      </c>
      <c r="H9933" t="s">
        <v>15799</v>
      </c>
      <c r="I9933" t="s">
        <v>31512</v>
      </c>
      <c r="J9933" t="s">
        <v>31987</v>
      </c>
      <c r="K9933" t="s">
        <v>40665</v>
      </c>
      <c r="M9933" t="s">
        <v>44031</v>
      </c>
      <c r="N9933" t="s">
        <v>44905</v>
      </c>
      <c r="O9933" t="s">
        <v>44906</v>
      </c>
      <c r="P9933">
        <v>0</v>
      </c>
      <c r="Q9933">
        <v>4</v>
      </c>
      <c r="R9933" t="s">
        <v>44914</v>
      </c>
      <c r="S9933" t="s">
        <v>45202</v>
      </c>
      <c r="T9933" t="s">
        <v>46504</v>
      </c>
      <c r="U9933" t="s">
        <v>54920</v>
      </c>
      <c r="W9933" t="s">
        <v>44031</v>
      </c>
      <c r="X9933" t="s">
        <v>44915</v>
      </c>
    </row>
    <row r="9934" spans="1:24">
      <c r="A9934">
        <f>HYPERLINK("https://www.philgeps.gov.ph/GEPSNONPILOT/Tender/SplashBidNoticeAbstractUI.aspx?menuIndex=3&amp;refID=7069157&amp;Result=3","7069157")</f>
        <v>0</v>
      </c>
      <c r="B9934" t="s">
        <v>2793</v>
      </c>
      <c r="C9934" t="s">
        <v>12993</v>
      </c>
      <c r="D9934" t="s">
        <v>18158</v>
      </c>
      <c r="E9934" t="s">
        <v>26825</v>
      </c>
      <c r="F9934" t="s">
        <v>31362</v>
      </c>
      <c r="G9934" t="s">
        <v>31369</v>
      </c>
      <c r="H9934" t="s">
        <v>15799</v>
      </c>
      <c r="I9934" t="s">
        <v>7719</v>
      </c>
      <c r="J9934" t="s">
        <v>37579</v>
      </c>
      <c r="K9934" t="s">
        <v>40665</v>
      </c>
      <c r="M9934" t="s">
        <v>43990</v>
      </c>
      <c r="N9934" t="s">
        <v>44905</v>
      </c>
      <c r="O9934" t="s">
        <v>44906</v>
      </c>
      <c r="P9934">
        <v>0</v>
      </c>
      <c r="Q9934">
        <v>10</v>
      </c>
      <c r="R9934" t="s">
        <v>44914</v>
      </c>
      <c r="S9934" t="s">
        <v>45202</v>
      </c>
      <c r="T9934" t="s">
        <v>46450</v>
      </c>
      <c r="U9934" t="s">
        <v>54921</v>
      </c>
      <c r="V9934" t="s">
        <v>60131</v>
      </c>
      <c r="W9934" t="s">
        <v>43990</v>
      </c>
      <c r="X9934" t="s">
        <v>44915</v>
      </c>
    </row>
    <row r="9935" spans="1:24">
      <c r="A9935">
        <f>HYPERLINK("https://www.philgeps.gov.ph/GEPSNONPILOT/Tender/SplashBidNoticeAbstractUI.aspx?menuIndex=3&amp;refID=7069149&amp;Result=3","7069149")</f>
        <v>0</v>
      </c>
      <c r="B9935" t="s">
        <v>2826</v>
      </c>
      <c r="C9935" t="s">
        <v>12994</v>
      </c>
      <c r="D9935" t="s">
        <v>18139</v>
      </c>
      <c r="E9935" t="s">
        <v>20853</v>
      </c>
      <c r="F9935" t="s">
        <v>31362</v>
      </c>
      <c r="G9935" t="s">
        <v>31369</v>
      </c>
      <c r="H9935" t="s">
        <v>15799</v>
      </c>
      <c r="I9935" t="s">
        <v>31392</v>
      </c>
      <c r="J9935" t="s">
        <v>31578</v>
      </c>
      <c r="K9935" t="s">
        <v>40677</v>
      </c>
      <c r="M9935" t="s">
        <v>44026</v>
      </c>
      <c r="N9935" t="s">
        <v>44905</v>
      </c>
      <c r="O9935" t="s">
        <v>44906</v>
      </c>
      <c r="P9935">
        <v>0</v>
      </c>
      <c r="Q9935">
        <v>1</v>
      </c>
      <c r="R9935" t="s">
        <v>44914</v>
      </c>
      <c r="S9935" t="s">
        <v>45202</v>
      </c>
      <c r="T9935" t="s">
        <v>46422</v>
      </c>
      <c r="U9935" t="s">
        <v>54922</v>
      </c>
      <c r="W9935" t="s">
        <v>44026</v>
      </c>
      <c r="X9935" t="s">
        <v>44915</v>
      </c>
    </row>
    <row r="9936" spans="1:24">
      <c r="A9936">
        <f>HYPERLINK("https://www.philgeps.gov.ph/GEPSNONPILOT/Tender/SplashBidNoticeAbstractUI.aspx?menuIndex=3&amp;refID=7069112&amp;Result=3","7069112")</f>
        <v>0</v>
      </c>
      <c r="B9936" t="s">
        <v>1012</v>
      </c>
      <c r="C9936" t="s">
        <v>12995</v>
      </c>
      <c r="D9936" t="s">
        <v>18115</v>
      </c>
      <c r="E9936" t="s">
        <v>26826</v>
      </c>
      <c r="F9936" t="s">
        <v>31362</v>
      </c>
      <c r="G9936" t="s">
        <v>31369</v>
      </c>
      <c r="H9936" t="s">
        <v>31378</v>
      </c>
      <c r="I9936" t="s">
        <v>31386</v>
      </c>
      <c r="J9936" t="s">
        <v>31637</v>
      </c>
      <c r="K9936" t="s">
        <v>40682</v>
      </c>
      <c r="M9936" t="s">
        <v>42009</v>
      </c>
      <c r="N9936" t="s">
        <v>44905</v>
      </c>
      <c r="O9936" t="s">
        <v>44906</v>
      </c>
      <c r="P9936">
        <v>0</v>
      </c>
      <c r="Q9936">
        <v>12</v>
      </c>
      <c r="R9936" t="s">
        <v>44914</v>
      </c>
      <c r="S9936" t="s">
        <v>45202</v>
      </c>
      <c r="T9936" t="s">
        <v>46504</v>
      </c>
      <c r="U9936" t="s">
        <v>54923</v>
      </c>
      <c r="W9936" t="s">
        <v>42009</v>
      </c>
      <c r="X9936" t="s">
        <v>44915</v>
      </c>
    </row>
    <row r="9937" spans="1:24">
      <c r="A9937">
        <f>HYPERLINK("https://www.philgeps.gov.ph/GEPSNONPILOT/Tender/SplashBidNoticeAbstractUI.aspx?menuIndex=3&amp;refID=7069164&amp;Result=3","7069164")</f>
        <v>0</v>
      </c>
      <c r="B9937" t="s">
        <v>2123</v>
      </c>
      <c r="C9937" t="s">
        <v>12996</v>
      </c>
      <c r="D9937" t="s">
        <v>18136</v>
      </c>
      <c r="E9937" t="s">
        <v>26827</v>
      </c>
      <c r="F9937" t="s">
        <v>31362</v>
      </c>
      <c r="G9937" t="s">
        <v>31369</v>
      </c>
      <c r="H9937" t="s">
        <v>15799</v>
      </c>
      <c r="I9937" t="s">
        <v>31400</v>
      </c>
      <c r="J9937" t="s">
        <v>31648</v>
      </c>
      <c r="K9937" t="s">
        <v>40665</v>
      </c>
      <c r="M9937" t="s">
        <v>43251</v>
      </c>
      <c r="N9937" t="s">
        <v>44905</v>
      </c>
      <c r="O9937" t="s">
        <v>44906</v>
      </c>
      <c r="P9937">
        <v>0</v>
      </c>
      <c r="Q9937">
        <v>1</v>
      </c>
      <c r="R9937" t="s">
        <v>44914</v>
      </c>
      <c r="S9937" t="s">
        <v>45202</v>
      </c>
      <c r="T9937" t="s">
        <v>46524</v>
      </c>
      <c r="U9937" t="s">
        <v>52573</v>
      </c>
      <c r="W9937" t="s">
        <v>43251</v>
      </c>
      <c r="X9937" t="s">
        <v>44915</v>
      </c>
    </row>
    <row r="9938" spans="1:24">
      <c r="A9938">
        <f>HYPERLINK("https://www.philgeps.gov.ph/GEPSNONPILOT/Tender/SplashBidNoticeAbstractUI.aspx?menuIndex=3&amp;refID=7069144&amp;Result=3","7069144")</f>
        <v>0</v>
      </c>
      <c r="B9938" t="s">
        <v>249</v>
      </c>
      <c r="C9938" t="s">
        <v>12997</v>
      </c>
      <c r="D9938" t="s">
        <v>18110</v>
      </c>
      <c r="E9938" t="s">
        <v>26828</v>
      </c>
      <c r="F9938" t="s">
        <v>31362</v>
      </c>
      <c r="G9938" t="s">
        <v>31369</v>
      </c>
      <c r="H9938" t="s">
        <v>31378</v>
      </c>
      <c r="I9938" t="s">
        <v>31386</v>
      </c>
      <c r="J9938" t="s">
        <v>37580</v>
      </c>
      <c r="K9938" t="s">
        <v>40678</v>
      </c>
      <c r="M9938" t="s">
        <v>44030</v>
      </c>
      <c r="N9938" t="s">
        <v>44905</v>
      </c>
      <c r="O9938" t="s">
        <v>44906</v>
      </c>
      <c r="P9938">
        <v>0</v>
      </c>
      <c r="Q9938">
        <v>8</v>
      </c>
      <c r="R9938" t="s">
        <v>44914</v>
      </c>
      <c r="S9938" t="s">
        <v>45202</v>
      </c>
      <c r="T9938" t="s">
        <v>46814</v>
      </c>
      <c r="U9938" t="s">
        <v>54924</v>
      </c>
      <c r="W9938" t="s">
        <v>44030</v>
      </c>
      <c r="X9938" t="s">
        <v>44915</v>
      </c>
    </row>
    <row r="9939" spans="1:24">
      <c r="A9939">
        <f>HYPERLINK("https://www.philgeps.gov.ph/GEPSNONPILOT/Tender/SplashBidNoticeAbstractUI.aspx?menuIndex=3&amp;refID=7069190&amp;Result=3","7069190")</f>
        <v>0</v>
      </c>
      <c r="B9939" t="s">
        <v>1895</v>
      </c>
      <c r="C9939" t="s">
        <v>12998</v>
      </c>
      <c r="D9939" t="s">
        <v>18151</v>
      </c>
      <c r="E9939" t="s">
        <v>26829</v>
      </c>
      <c r="F9939" t="s">
        <v>31362</v>
      </c>
      <c r="G9939" t="s">
        <v>31369</v>
      </c>
      <c r="H9939" t="s">
        <v>15799</v>
      </c>
      <c r="I9939" t="s">
        <v>4283</v>
      </c>
      <c r="J9939" t="s">
        <v>37581</v>
      </c>
      <c r="K9939" t="s">
        <v>40675</v>
      </c>
      <c r="M9939" t="s">
        <v>42990</v>
      </c>
      <c r="N9939" t="s">
        <v>44905</v>
      </c>
      <c r="O9939" t="s">
        <v>44906</v>
      </c>
      <c r="P9939">
        <v>0</v>
      </c>
      <c r="Q9939">
        <v>1</v>
      </c>
      <c r="R9939" t="s">
        <v>44914</v>
      </c>
      <c r="S9939" t="s">
        <v>45202</v>
      </c>
      <c r="T9939" t="s">
        <v>46409</v>
      </c>
      <c r="U9939" t="s">
        <v>54925</v>
      </c>
      <c r="W9939" t="s">
        <v>42990</v>
      </c>
      <c r="X9939" t="s">
        <v>44915</v>
      </c>
    </row>
    <row r="9940" spans="1:24">
      <c r="A9940">
        <f>HYPERLINK("https://www.philgeps.gov.ph/GEPSNONPILOT/Tender/SplashBidNoticeAbstractUI.aspx?menuIndex=3&amp;refID=7069106&amp;Result=3","7069106")</f>
        <v>0</v>
      </c>
      <c r="B9940" t="s">
        <v>2274</v>
      </c>
      <c r="C9940" t="s">
        <v>12999</v>
      </c>
      <c r="D9940" t="s">
        <v>18132</v>
      </c>
      <c r="E9940" t="s">
        <v>26830</v>
      </c>
      <c r="F9940" t="s">
        <v>31362</v>
      </c>
      <c r="G9940" t="s">
        <v>31369</v>
      </c>
      <c r="H9940" t="s">
        <v>31378</v>
      </c>
      <c r="I9940" t="s">
        <v>31386</v>
      </c>
      <c r="J9940" t="s">
        <v>37582</v>
      </c>
      <c r="K9940" t="s">
        <v>40682</v>
      </c>
      <c r="M9940" t="s">
        <v>43413</v>
      </c>
      <c r="N9940" t="s">
        <v>44905</v>
      </c>
      <c r="O9940" t="s">
        <v>44906</v>
      </c>
      <c r="P9940">
        <v>0</v>
      </c>
      <c r="Q9940">
        <v>1</v>
      </c>
      <c r="R9940" t="s">
        <v>44914</v>
      </c>
      <c r="S9940" t="s">
        <v>45202</v>
      </c>
      <c r="T9940" t="s">
        <v>46479</v>
      </c>
      <c r="U9940" t="s">
        <v>54926</v>
      </c>
      <c r="V9940" t="s">
        <v>60119</v>
      </c>
      <c r="W9940" t="s">
        <v>43413</v>
      </c>
      <c r="X9940" t="s">
        <v>44915</v>
      </c>
    </row>
    <row r="9941" spans="1:24">
      <c r="A9941">
        <f>HYPERLINK("https://www.philgeps.gov.ph/GEPSNONPILOT/Tender/SplashBidNoticeAbstractUI.aspx?menuIndex=3&amp;refID=7069240&amp;Result=3","7069240")</f>
        <v>0</v>
      </c>
      <c r="B9941" t="s">
        <v>1247</v>
      </c>
      <c r="C9941" t="s">
        <v>13000</v>
      </c>
      <c r="D9941" t="s">
        <v>18119</v>
      </c>
      <c r="E9941" t="s">
        <v>26831</v>
      </c>
      <c r="F9941" t="s">
        <v>31362</v>
      </c>
      <c r="G9941" t="s">
        <v>31369</v>
      </c>
      <c r="H9941" t="s">
        <v>31378</v>
      </c>
      <c r="I9941" t="s">
        <v>31386</v>
      </c>
      <c r="J9941" t="s">
        <v>37583</v>
      </c>
      <c r="K9941" t="s">
        <v>40665</v>
      </c>
      <c r="M9941" t="s">
        <v>42262</v>
      </c>
      <c r="N9941" t="s">
        <v>44905</v>
      </c>
      <c r="O9941" t="s">
        <v>44906</v>
      </c>
      <c r="P9941">
        <v>0</v>
      </c>
      <c r="Q9941">
        <v>0</v>
      </c>
      <c r="R9941" t="s">
        <v>44914</v>
      </c>
      <c r="S9941" t="s">
        <v>45202</v>
      </c>
      <c r="T9941" t="s">
        <v>46479</v>
      </c>
      <c r="U9941" t="s">
        <v>54927</v>
      </c>
      <c r="W9941" t="s">
        <v>60888</v>
      </c>
      <c r="X9941" t="s">
        <v>44915</v>
      </c>
    </row>
    <row r="9942" spans="1:24">
      <c r="A9942">
        <f>HYPERLINK("https://www.philgeps.gov.ph/GEPSNONPILOT/Tender/SplashBidNoticeAbstractUI.aspx?menuIndex=3&amp;refID=7069145&amp;Result=3","7069145")</f>
        <v>0</v>
      </c>
      <c r="B9942" t="s">
        <v>615</v>
      </c>
      <c r="C9942" t="s">
        <v>13001</v>
      </c>
      <c r="D9942" t="s">
        <v>18113</v>
      </c>
      <c r="E9942" t="s">
        <v>26832</v>
      </c>
      <c r="F9942" t="s">
        <v>31362</v>
      </c>
      <c r="G9942" t="s">
        <v>31369</v>
      </c>
      <c r="H9942" t="s">
        <v>15799</v>
      </c>
      <c r="I9942" t="s">
        <v>7719</v>
      </c>
      <c r="J9942" t="s">
        <v>37584</v>
      </c>
      <c r="K9942" t="s">
        <v>40662</v>
      </c>
      <c r="M9942" t="s">
        <v>41573</v>
      </c>
      <c r="N9942" t="s">
        <v>44905</v>
      </c>
      <c r="O9942" t="s">
        <v>44906</v>
      </c>
      <c r="Q9942">
        <v>17</v>
      </c>
      <c r="R9942" t="s">
        <v>44914</v>
      </c>
      <c r="S9942" t="s">
        <v>45223</v>
      </c>
      <c r="T9942" t="s">
        <v>46479</v>
      </c>
      <c r="U9942" t="s">
        <v>54928</v>
      </c>
      <c r="W9942" t="s">
        <v>41573</v>
      </c>
      <c r="X9942" t="s">
        <v>44915</v>
      </c>
    </row>
    <row r="9943" spans="1:24">
      <c r="A9943">
        <f>HYPERLINK("https://www.philgeps.gov.ph/GEPSNONPILOT/Tender/SplashBidNoticeAbstractUI.aspx?menuIndex=3&amp;refID=7069310&amp;Result=3","7069310")</f>
        <v>0</v>
      </c>
      <c r="B9943" t="s">
        <v>2831</v>
      </c>
      <c r="C9943" t="s">
        <v>13002</v>
      </c>
      <c r="D9943" t="s">
        <v>18175</v>
      </c>
      <c r="E9943" t="s">
        <v>26833</v>
      </c>
      <c r="F9943" t="s">
        <v>31362</v>
      </c>
      <c r="G9943" t="s">
        <v>31369</v>
      </c>
      <c r="H9943" t="s">
        <v>31378</v>
      </c>
      <c r="I9943" t="s">
        <v>31386</v>
      </c>
      <c r="J9943" t="s">
        <v>32278</v>
      </c>
      <c r="K9943" t="s">
        <v>40665</v>
      </c>
      <c r="M9943" t="s">
        <v>44032</v>
      </c>
      <c r="N9943" t="s">
        <v>44905</v>
      </c>
      <c r="O9943" t="s">
        <v>44906</v>
      </c>
      <c r="P9943">
        <v>0</v>
      </c>
      <c r="Q9943">
        <v>0</v>
      </c>
      <c r="R9943" t="s">
        <v>44914</v>
      </c>
      <c r="S9943" t="s">
        <v>45202</v>
      </c>
      <c r="T9943" t="s">
        <v>46478</v>
      </c>
      <c r="U9943" t="s">
        <v>54929</v>
      </c>
      <c r="W9943" t="s">
        <v>44032</v>
      </c>
      <c r="X9943" t="s">
        <v>44915</v>
      </c>
    </row>
    <row r="9944" spans="1:24">
      <c r="A9944">
        <f>HYPERLINK("https://www.philgeps.gov.ph/GEPSNONPILOT/Tender/SplashBidNoticeAbstractUI.aspx?menuIndex=3&amp;refID=7069307&amp;Result=3","7069307")</f>
        <v>0</v>
      </c>
      <c r="B9944" t="s">
        <v>2832</v>
      </c>
      <c r="C9944" t="s">
        <v>13003</v>
      </c>
      <c r="D9944" t="s">
        <v>18154</v>
      </c>
      <c r="E9944" t="s">
        <v>26834</v>
      </c>
      <c r="F9944" t="s">
        <v>31362</v>
      </c>
      <c r="G9944" t="s">
        <v>31369</v>
      </c>
      <c r="H9944" t="s">
        <v>31378</v>
      </c>
      <c r="I9944" t="s">
        <v>31386</v>
      </c>
      <c r="J9944" t="s">
        <v>37585</v>
      </c>
      <c r="K9944" t="s">
        <v>40814</v>
      </c>
      <c r="M9944" t="s">
        <v>44033</v>
      </c>
      <c r="N9944" t="s">
        <v>44905</v>
      </c>
      <c r="O9944" t="s">
        <v>44906</v>
      </c>
      <c r="P9944">
        <v>0</v>
      </c>
      <c r="Q9944">
        <v>2</v>
      </c>
      <c r="R9944" t="s">
        <v>44914</v>
      </c>
      <c r="S9944" t="s">
        <v>45202</v>
      </c>
      <c r="T9944" t="s">
        <v>46479</v>
      </c>
      <c r="U9944" t="s">
        <v>54930</v>
      </c>
      <c r="W9944" t="s">
        <v>44033</v>
      </c>
      <c r="X9944" t="s">
        <v>44915</v>
      </c>
    </row>
    <row r="9945" spans="1:24">
      <c r="A9945">
        <f>HYPERLINK("https://www.philgeps.gov.ph/GEPSNONPILOT/Tender/SplashBidNoticeAbstractUI.aspx?menuIndex=3&amp;refID=7069304&amp;Result=3","7069304")</f>
        <v>0</v>
      </c>
      <c r="B9945" t="s">
        <v>219</v>
      </c>
      <c r="C9945" t="s">
        <v>13004</v>
      </c>
      <c r="D9945" t="s">
        <v>18124</v>
      </c>
      <c r="E9945" t="s">
        <v>26835</v>
      </c>
      <c r="F9945" t="s">
        <v>31362</v>
      </c>
      <c r="G9945" t="s">
        <v>31369</v>
      </c>
      <c r="H9945" t="s">
        <v>15799</v>
      </c>
      <c r="I9945" t="s">
        <v>31404</v>
      </c>
      <c r="J9945" t="s">
        <v>37586</v>
      </c>
      <c r="K9945" t="s">
        <v>40666</v>
      </c>
      <c r="M9945" t="s">
        <v>44000</v>
      </c>
      <c r="N9945" t="s">
        <v>44905</v>
      </c>
      <c r="O9945" t="s">
        <v>44906</v>
      </c>
      <c r="P9945">
        <v>0</v>
      </c>
      <c r="Q9945">
        <v>0</v>
      </c>
      <c r="R9945" t="s">
        <v>44914</v>
      </c>
      <c r="S9945" t="s">
        <v>45202</v>
      </c>
      <c r="T9945" t="s">
        <v>46419</v>
      </c>
      <c r="U9945" t="s">
        <v>54931</v>
      </c>
      <c r="W9945" t="s">
        <v>41751</v>
      </c>
      <c r="X9945" t="s">
        <v>44915</v>
      </c>
    </row>
    <row r="9946" spans="1:24">
      <c r="A9946">
        <f>HYPERLINK("https://www.philgeps.gov.ph/GEPSNONPILOT/Tender/SplashBidNoticeAbstractUI.aspx?menuIndex=3&amp;refID=7069295&amp;Result=3","7069295")</f>
        <v>0</v>
      </c>
      <c r="B9946" t="s">
        <v>2833</v>
      </c>
      <c r="C9946" t="s">
        <v>13005</v>
      </c>
      <c r="D9946" t="s">
        <v>18110</v>
      </c>
      <c r="E9946" t="s">
        <v>26836</v>
      </c>
      <c r="F9946" t="s">
        <v>31362</v>
      </c>
      <c r="G9946" t="s">
        <v>31369</v>
      </c>
      <c r="H9946" t="s">
        <v>31378</v>
      </c>
      <c r="I9946" t="s">
        <v>31386</v>
      </c>
      <c r="J9946" t="s">
        <v>37587</v>
      </c>
      <c r="K9946" t="s">
        <v>40665</v>
      </c>
      <c r="M9946" t="s">
        <v>44034</v>
      </c>
      <c r="N9946" t="s">
        <v>44905</v>
      </c>
      <c r="O9946" t="s">
        <v>44906</v>
      </c>
      <c r="P9946">
        <v>0</v>
      </c>
      <c r="Q9946">
        <v>1</v>
      </c>
      <c r="R9946" t="s">
        <v>44914</v>
      </c>
      <c r="S9946" t="s">
        <v>45202</v>
      </c>
      <c r="T9946" t="s">
        <v>46671</v>
      </c>
      <c r="U9946" t="s">
        <v>54932</v>
      </c>
      <c r="V9946" t="s">
        <v>60132</v>
      </c>
      <c r="W9946" t="s">
        <v>44034</v>
      </c>
      <c r="X9946" t="s">
        <v>44915</v>
      </c>
    </row>
    <row r="9947" spans="1:24">
      <c r="A9947">
        <f>HYPERLINK("https://www.philgeps.gov.ph/GEPSNONPILOT/Tender/SplashBidNoticeAbstractUI.aspx?menuIndex=3&amp;refID=7069052&amp;Result=3","7069052")</f>
        <v>0</v>
      </c>
      <c r="B9947" t="s">
        <v>2834</v>
      </c>
      <c r="C9947" t="s">
        <v>13006</v>
      </c>
      <c r="D9947" t="s">
        <v>18139</v>
      </c>
      <c r="E9947" t="s">
        <v>26837</v>
      </c>
      <c r="F9947" t="s">
        <v>31362</v>
      </c>
      <c r="G9947" t="s">
        <v>31369</v>
      </c>
      <c r="H9947" t="s">
        <v>15799</v>
      </c>
      <c r="I9947" t="s">
        <v>31382</v>
      </c>
      <c r="J9947" t="s">
        <v>37588</v>
      </c>
      <c r="K9947" t="s">
        <v>40662</v>
      </c>
      <c r="M9947" t="s">
        <v>44035</v>
      </c>
      <c r="N9947" t="s">
        <v>44905</v>
      </c>
      <c r="O9947" t="s">
        <v>44906</v>
      </c>
      <c r="P9947">
        <v>0</v>
      </c>
      <c r="Q9947">
        <v>44</v>
      </c>
      <c r="R9947" t="s">
        <v>44914</v>
      </c>
      <c r="S9947" t="s">
        <v>45202</v>
      </c>
      <c r="T9947" t="s">
        <v>46464</v>
      </c>
      <c r="U9947" t="s">
        <v>54933</v>
      </c>
      <c r="W9947" t="s">
        <v>44035</v>
      </c>
      <c r="X9947" t="s">
        <v>44915</v>
      </c>
    </row>
    <row r="9948" spans="1:24">
      <c r="A9948">
        <f>HYPERLINK("https://www.philgeps.gov.ph/GEPSNONPILOT/Tender/SplashBidNoticeAbstractUI.aspx?menuIndex=3&amp;refID=7069293&amp;Result=3","7069293")</f>
        <v>0</v>
      </c>
      <c r="B9948" t="s">
        <v>249</v>
      </c>
      <c r="C9948" t="s">
        <v>13007</v>
      </c>
      <c r="D9948" t="s">
        <v>18110</v>
      </c>
      <c r="E9948" t="s">
        <v>26838</v>
      </c>
      <c r="F9948" t="s">
        <v>31362</v>
      </c>
      <c r="G9948" t="s">
        <v>31368</v>
      </c>
      <c r="H9948" t="s">
        <v>15799</v>
      </c>
      <c r="I9948" t="s">
        <v>31386</v>
      </c>
      <c r="J9948" t="s">
        <v>37589</v>
      </c>
      <c r="K9948" t="s">
        <v>40662</v>
      </c>
      <c r="M9948" t="s">
        <v>41188</v>
      </c>
      <c r="N9948" t="s">
        <v>44905</v>
      </c>
      <c r="O9948" t="s">
        <v>44906</v>
      </c>
      <c r="P9948">
        <v>0</v>
      </c>
      <c r="Q9948">
        <v>1</v>
      </c>
      <c r="R9948" t="s">
        <v>44914</v>
      </c>
      <c r="S9948" t="s">
        <v>45202</v>
      </c>
      <c r="T9948" t="s">
        <v>46432</v>
      </c>
      <c r="U9948" t="s">
        <v>47345</v>
      </c>
      <c r="W9948" t="s">
        <v>41188</v>
      </c>
      <c r="X9948" t="s">
        <v>44915</v>
      </c>
    </row>
    <row r="9949" spans="1:24">
      <c r="A9949">
        <f>HYPERLINK("https://www.philgeps.gov.ph/GEPSNONPILOT/Tender/SplashBidNoticeAbstractUI.aspx?menuIndex=3&amp;refID=7069151&amp;Result=3","7069151")</f>
        <v>0</v>
      </c>
      <c r="B9949" t="s">
        <v>1930</v>
      </c>
      <c r="C9949" t="s">
        <v>13008</v>
      </c>
      <c r="D9949" t="s">
        <v>18154</v>
      </c>
      <c r="E9949" t="s">
        <v>26839</v>
      </c>
      <c r="F9949" t="s">
        <v>31363</v>
      </c>
      <c r="G9949" t="s">
        <v>31369</v>
      </c>
      <c r="H9949" t="s">
        <v>15799</v>
      </c>
      <c r="I9949" t="s">
        <v>3815</v>
      </c>
      <c r="J9949" t="s">
        <v>37590</v>
      </c>
      <c r="K9949" t="s">
        <v>40665</v>
      </c>
      <c r="M9949" t="s">
        <v>44025</v>
      </c>
      <c r="N9949" t="s">
        <v>44905</v>
      </c>
      <c r="O9949" t="s">
        <v>44906</v>
      </c>
      <c r="P9949">
        <v>0</v>
      </c>
      <c r="Q9949">
        <v>0</v>
      </c>
      <c r="R9949" t="s">
        <v>44914</v>
      </c>
      <c r="S9949" t="s">
        <v>45202</v>
      </c>
      <c r="T9949" t="s">
        <v>46502</v>
      </c>
      <c r="U9949" t="s">
        <v>54868</v>
      </c>
      <c r="W9949" t="s">
        <v>44025</v>
      </c>
      <c r="X9949" t="s">
        <v>44915</v>
      </c>
    </row>
    <row r="9950" spans="1:24">
      <c r="A9950">
        <f>HYPERLINK("https://www.philgeps.gov.ph/GEPSNONPILOT/Tender/SplashBidNoticeAbstractUI.aspx?menuIndex=3&amp;refID=7069287&amp;Result=3","7069287")</f>
        <v>0</v>
      </c>
      <c r="B9950" t="s">
        <v>272</v>
      </c>
      <c r="C9950" t="s">
        <v>13009</v>
      </c>
      <c r="D9950" t="s">
        <v>18110</v>
      </c>
      <c r="E9950" t="s">
        <v>26840</v>
      </c>
      <c r="F9950" t="s">
        <v>31362</v>
      </c>
      <c r="G9950" t="s">
        <v>31369</v>
      </c>
      <c r="H9950" t="s">
        <v>15799</v>
      </c>
      <c r="I9950" t="s">
        <v>7188</v>
      </c>
      <c r="J9950" t="s">
        <v>37591</v>
      </c>
      <c r="K9950" t="s">
        <v>40679</v>
      </c>
      <c r="M9950" t="s">
        <v>41214</v>
      </c>
      <c r="N9950" t="s">
        <v>44905</v>
      </c>
      <c r="O9950" t="s">
        <v>44906</v>
      </c>
      <c r="P9950">
        <v>0</v>
      </c>
      <c r="Q9950">
        <v>8</v>
      </c>
      <c r="R9950" t="s">
        <v>44914</v>
      </c>
      <c r="S9950" t="s">
        <v>45202</v>
      </c>
      <c r="T9950" t="s">
        <v>46479</v>
      </c>
      <c r="U9950" t="s">
        <v>54934</v>
      </c>
      <c r="W9950" t="s">
        <v>60843</v>
      </c>
      <c r="X9950" t="s">
        <v>44915</v>
      </c>
    </row>
    <row r="9951" spans="1:24">
      <c r="A9951">
        <f>HYPERLINK("https://www.philgeps.gov.ph/GEPSNONPILOT/Tender/SplashBidNoticeAbstractUI.aspx?menuIndex=3&amp;refID=7069136&amp;Result=3","7069136")</f>
        <v>0</v>
      </c>
      <c r="B9951" t="s">
        <v>2031</v>
      </c>
      <c r="C9951" t="s">
        <v>13010</v>
      </c>
      <c r="D9951" t="s">
        <v>18180</v>
      </c>
      <c r="E9951" t="s">
        <v>26841</v>
      </c>
      <c r="F9951" t="s">
        <v>31362</v>
      </c>
      <c r="G9951" t="s">
        <v>31369</v>
      </c>
      <c r="H9951" t="s">
        <v>31378</v>
      </c>
      <c r="I9951" t="s">
        <v>31386</v>
      </c>
      <c r="J9951" t="s">
        <v>35576</v>
      </c>
      <c r="K9951" t="s">
        <v>40687</v>
      </c>
      <c r="M9951" t="s">
        <v>43149</v>
      </c>
      <c r="N9951" t="s">
        <v>44905</v>
      </c>
      <c r="O9951" t="s">
        <v>44906</v>
      </c>
      <c r="P9951">
        <v>0</v>
      </c>
      <c r="Q9951">
        <v>0</v>
      </c>
      <c r="R9951" t="s">
        <v>44914</v>
      </c>
      <c r="S9951" t="s">
        <v>45202</v>
      </c>
      <c r="T9951" t="s">
        <v>46519</v>
      </c>
      <c r="U9951" t="s">
        <v>52268</v>
      </c>
      <c r="W9951" t="s">
        <v>43149</v>
      </c>
      <c r="X9951" t="s">
        <v>44915</v>
      </c>
    </row>
    <row r="9952" spans="1:24">
      <c r="A9952">
        <f>HYPERLINK("https://www.philgeps.gov.ph/GEPSNONPILOT/Tender/SplashBidNoticeAbstractUI.aspx?menuIndex=3&amp;refID=7069280&amp;Result=3","7069280")</f>
        <v>0</v>
      </c>
      <c r="B9952" t="s">
        <v>2831</v>
      </c>
      <c r="C9952" t="s">
        <v>6823</v>
      </c>
      <c r="D9952" t="s">
        <v>18175</v>
      </c>
      <c r="E9952" t="s">
        <v>26842</v>
      </c>
      <c r="F9952" t="s">
        <v>31362</v>
      </c>
      <c r="G9952" t="s">
        <v>31369</v>
      </c>
      <c r="H9952" t="s">
        <v>31378</v>
      </c>
      <c r="I9952" t="s">
        <v>31386</v>
      </c>
      <c r="J9952" t="s">
        <v>32165</v>
      </c>
      <c r="K9952" t="s">
        <v>40681</v>
      </c>
      <c r="M9952" t="s">
        <v>44032</v>
      </c>
      <c r="N9952" t="s">
        <v>44905</v>
      </c>
      <c r="O9952" t="s">
        <v>44906</v>
      </c>
      <c r="P9952">
        <v>0</v>
      </c>
      <c r="Q9952">
        <v>0</v>
      </c>
      <c r="R9952" t="s">
        <v>44914</v>
      </c>
      <c r="S9952" t="s">
        <v>45202</v>
      </c>
      <c r="T9952" t="s">
        <v>46434</v>
      </c>
      <c r="U9952" t="s">
        <v>54935</v>
      </c>
      <c r="W9952" t="s">
        <v>44032</v>
      </c>
      <c r="X9952" t="s">
        <v>44915</v>
      </c>
    </row>
    <row r="9953" spans="1:24">
      <c r="A9953">
        <f>HYPERLINK("https://www.philgeps.gov.ph/GEPSNONPILOT/Tender/SplashBidNoticeAbstractUI.aspx?menuIndex=3&amp;refID=7069274&amp;Result=3","7069274")</f>
        <v>0</v>
      </c>
      <c r="B9953" t="s">
        <v>2835</v>
      </c>
      <c r="C9953" t="s">
        <v>13011</v>
      </c>
      <c r="D9953" t="s">
        <v>18109</v>
      </c>
      <c r="E9953" t="s">
        <v>26843</v>
      </c>
      <c r="F9953" t="s">
        <v>31362</v>
      </c>
      <c r="G9953" t="s">
        <v>31369</v>
      </c>
      <c r="H9953" t="s">
        <v>15799</v>
      </c>
      <c r="I9953" t="s">
        <v>31429</v>
      </c>
      <c r="J9953" t="s">
        <v>37592</v>
      </c>
      <c r="K9953" t="s">
        <v>40661</v>
      </c>
      <c r="M9953" t="s">
        <v>44036</v>
      </c>
      <c r="N9953" t="s">
        <v>44905</v>
      </c>
      <c r="O9953" t="s">
        <v>44906</v>
      </c>
      <c r="P9953">
        <v>0</v>
      </c>
      <c r="Q9953">
        <v>2</v>
      </c>
      <c r="R9953" t="s">
        <v>44914</v>
      </c>
      <c r="S9953" t="s">
        <v>45202</v>
      </c>
      <c r="T9953" t="s">
        <v>46583</v>
      </c>
      <c r="U9953" t="s">
        <v>54936</v>
      </c>
      <c r="V9953" t="s">
        <v>59185</v>
      </c>
      <c r="W9953" t="s">
        <v>44036</v>
      </c>
      <c r="X9953" t="s">
        <v>44915</v>
      </c>
    </row>
    <row r="9954" spans="1:24">
      <c r="A9954">
        <f>HYPERLINK("https://www.philgeps.gov.ph/GEPSNONPILOT/Tender/SplashBidNoticeAbstractUI.aspx?menuIndex=3&amp;refID=7069271&amp;Result=3","7069271")</f>
        <v>0</v>
      </c>
      <c r="B9954" t="s">
        <v>2832</v>
      </c>
      <c r="C9954" t="s">
        <v>13012</v>
      </c>
      <c r="D9954" t="s">
        <v>18154</v>
      </c>
      <c r="E9954" t="s">
        <v>26844</v>
      </c>
      <c r="F9954" t="s">
        <v>31362</v>
      </c>
      <c r="G9954" t="s">
        <v>31369</v>
      </c>
      <c r="H9954" t="s">
        <v>31378</v>
      </c>
      <c r="I9954" t="s">
        <v>31386</v>
      </c>
      <c r="J9954" t="s">
        <v>37593</v>
      </c>
      <c r="K9954" t="s">
        <v>40679</v>
      </c>
      <c r="M9954" t="s">
        <v>44033</v>
      </c>
      <c r="N9954" t="s">
        <v>44905</v>
      </c>
      <c r="O9954" t="s">
        <v>44906</v>
      </c>
      <c r="P9954">
        <v>0</v>
      </c>
      <c r="Q9954">
        <v>2</v>
      </c>
      <c r="R9954" t="s">
        <v>44914</v>
      </c>
      <c r="S9954" t="s">
        <v>45202</v>
      </c>
      <c r="T9954" t="s">
        <v>46479</v>
      </c>
      <c r="U9954" t="s">
        <v>54937</v>
      </c>
      <c r="W9954" t="s">
        <v>44033</v>
      </c>
      <c r="X9954" t="s">
        <v>44915</v>
      </c>
    </row>
    <row r="9955" spans="1:24">
      <c r="A9955">
        <f>HYPERLINK("https://www.philgeps.gov.ph/GEPSNONPILOT/Tender/SplashBidNoticeAbstractUI.aspx?menuIndex=3&amp;refID=7069259&amp;Result=3","7069259")</f>
        <v>0</v>
      </c>
      <c r="B9955" t="s">
        <v>2836</v>
      </c>
      <c r="C9955" t="s">
        <v>13013</v>
      </c>
      <c r="D9955" t="s">
        <v>18153</v>
      </c>
      <c r="E9955" t="s">
        <v>26845</v>
      </c>
      <c r="F9955" t="s">
        <v>31362</v>
      </c>
      <c r="G9955" t="s">
        <v>31369</v>
      </c>
      <c r="H9955" t="s">
        <v>15799</v>
      </c>
      <c r="I9955" t="s">
        <v>31383</v>
      </c>
      <c r="J9955" t="s">
        <v>31612</v>
      </c>
      <c r="K9955" t="s">
        <v>40675</v>
      </c>
      <c r="M9955" t="s">
        <v>44037</v>
      </c>
      <c r="N9955" t="s">
        <v>44905</v>
      </c>
      <c r="O9955" t="s">
        <v>44906</v>
      </c>
      <c r="P9955">
        <v>0</v>
      </c>
      <c r="Q9955">
        <v>5</v>
      </c>
      <c r="R9955" t="s">
        <v>44914</v>
      </c>
      <c r="S9955" t="s">
        <v>45202</v>
      </c>
      <c r="T9955" t="s">
        <v>46525</v>
      </c>
      <c r="U9955" t="s">
        <v>54938</v>
      </c>
      <c r="W9955" t="s">
        <v>44037</v>
      </c>
      <c r="X9955" t="s">
        <v>44915</v>
      </c>
    </row>
    <row r="9956" spans="1:24">
      <c r="A9956">
        <f>HYPERLINK("https://www.philgeps.gov.ph/GEPSNONPILOT/Tender/SplashBidNoticeAbstractUI.aspx?menuIndex=3&amp;refID=7069253&amp;Result=3","7069253")</f>
        <v>0</v>
      </c>
      <c r="B9956" t="s">
        <v>2123</v>
      </c>
      <c r="C9956" t="s">
        <v>13014</v>
      </c>
      <c r="D9956" t="s">
        <v>18136</v>
      </c>
      <c r="E9956" t="s">
        <v>26846</v>
      </c>
      <c r="F9956" t="s">
        <v>31362</v>
      </c>
      <c r="G9956" t="s">
        <v>31369</v>
      </c>
      <c r="H9956" t="s">
        <v>15799</v>
      </c>
      <c r="I9956" t="s">
        <v>7188</v>
      </c>
      <c r="J9956" t="s">
        <v>32391</v>
      </c>
      <c r="K9956" t="s">
        <v>40665</v>
      </c>
      <c r="M9956" t="s">
        <v>43251</v>
      </c>
      <c r="N9956" t="s">
        <v>44905</v>
      </c>
      <c r="O9956" t="s">
        <v>44906</v>
      </c>
      <c r="P9956">
        <v>0</v>
      </c>
      <c r="Q9956">
        <v>2</v>
      </c>
      <c r="R9956" t="s">
        <v>44914</v>
      </c>
      <c r="S9956" t="s">
        <v>45202</v>
      </c>
      <c r="T9956" t="s">
        <v>46524</v>
      </c>
      <c r="U9956" t="s">
        <v>52573</v>
      </c>
      <c r="W9956" t="s">
        <v>43251</v>
      </c>
      <c r="X9956" t="s">
        <v>44915</v>
      </c>
    </row>
    <row r="9957" spans="1:24">
      <c r="A9957">
        <f>HYPERLINK("https://www.philgeps.gov.ph/GEPSNONPILOT/Tender/SplashBidNoticeAbstractUI.aspx?menuIndex=3&amp;refID=7069305&amp;Result=3","7069305")</f>
        <v>0</v>
      </c>
      <c r="B9957" t="s">
        <v>2829</v>
      </c>
      <c r="C9957" t="s">
        <v>13015</v>
      </c>
      <c r="D9957" t="s">
        <v>18151</v>
      </c>
      <c r="E9957" t="s">
        <v>18479</v>
      </c>
      <c r="F9957" t="s">
        <v>31362</v>
      </c>
      <c r="G9957" t="s">
        <v>31369</v>
      </c>
      <c r="H9957" t="s">
        <v>31378</v>
      </c>
      <c r="I9957" t="s">
        <v>31386</v>
      </c>
      <c r="J9957" t="s">
        <v>31606</v>
      </c>
      <c r="K9957" t="s">
        <v>40683</v>
      </c>
      <c r="M9957" t="s">
        <v>44029</v>
      </c>
      <c r="N9957" t="s">
        <v>44905</v>
      </c>
      <c r="O9957" t="s">
        <v>44906</v>
      </c>
      <c r="P9957">
        <v>0</v>
      </c>
      <c r="Q9957">
        <v>0</v>
      </c>
      <c r="R9957" t="s">
        <v>44914</v>
      </c>
      <c r="S9957" t="s">
        <v>45202</v>
      </c>
      <c r="T9957" t="s">
        <v>46549</v>
      </c>
      <c r="U9957" t="s">
        <v>54939</v>
      </c>
      <c r="W9957" t="s">
        <v>44029</v>
      </c>
      <c r="X9957" t="s">
        <v>44915</v>
      </c>
    </row>
    <row r="9958" spans="1:24">
      <c r="A9958">
        <f>HYPERLINK("https://www.philgeps.gov.ph/GEPSNONPILOT/Tender/SplashBidNoticeAbstractUI.aspx?menuIndex=3&amp;refID=7069220&amp;Result=3","7069220")</f>
        <v>0</v>
      </c>
      <c r="B9958" t="s">
        <v>1167</v>
      </c>
      <c r="C9958" t="s">
        <v>13016</v>
      </c>
      <c r="D9958" t="s">
        <v>18151</v>
      </c>
      <c r="E9958" t="s">
        <v>26847</v>
      </c>
      <c r="F9958" t="s">
        <v>31362</v>
      </c>
      <c r="G9958" t="s">
        <v>31369</v>
      </c>
      <c r="H9958" t="s">
        <v>31378</v>
      </c>
      <c r="I9958" t="s">
        <v>31386</v>
      </c>
      <c r="J9958" t="s">
        <v>32964</v>
      </c>
      <c r="K9958" t="s">
        <v>40694</v>
      </c>
      <c r="M9958" t="s">
        <v>42177</v>
      </c>
      <c r="N9958" t="s">
        <v>44905</v>
      </c>
      <c r="O9958" t="s">
        <v>44906</v>
      </c>
      <c r="P9958">
        <v>0</v>
      </c>
      <c r="Q9958">
        <v>0</v>
      </c>
      <c r="R9958" t="s">
        <v>44914</v>
      </c>
      <c r="S9958" t="s">
        <v>45202</v>
      </c>
      <c r="T9958" t="s">
        <v>46479</v>
      </c>
      <c r="U9958" t="s">
        <v>54676</v>
      </c>
      <c r="V9958" t="s">
        <v>60133</v>
      </c>
      <c r="W9958" t="s">
        <v>42177</v>
      </c>
      <c r="X9958" t="s">
        <v>44915</v>
      </c>
    </row>
    <row r="9959" spans="1:24">
      <c r="A9959">
        <f>HYPERLINK("https://www.philgeps.gov.ph/GEPSNONPILOT/Tender/SplashBidNoticeAbstractUI.aspx?menuIndex=3&amp;refID=7069233&amp;Result=3","7069233")</f>
        <v>0</v>
      </c>
      <c r="B9959" t="s">
        <v>2832</v>
      </c>
      <c r="C9959" t="s">
        <v>13017</v>
      </c>
      <c r="D9959" t="s">
        <v>18154</v>
      </c>
      <c r="E9959" t="s">
        <v>26848</v>
      </c>
      <c r="F9959" t="s">
        <v>31362</v>
      </c>
      <c r="G9959" t="s">
        <v>31369</v>
      </c>
      <c r="H9959" t="s">
        <v>31378</v>
      </c>
      <c r="I9959" t="s">
        <v>31386</v>
      </c>
      <c r="J9959" t="s">
        <v>37594</v>
      </c>
      <c r="K9959" t="s">
        <v>40665</v>
      </c>
      <c r="M9959" t="s">
        <v>44033</v>
      </c>
      <c r="N9959" t="s">
        <v>44905</v>
      </c>
      <c r="O9959" t="s">
        <v>44906</v>
      </c>
      <c r="P9959">
        <v>0</v>
      </c>
      <c r="Q9959">
        <v>2</v>
      </c>
      <c r="R9959" t="s">
        <v>44914</v>
      </c>
      <c r="S9959" t="s">
        <v>45202</v>
      </c>
      <c r="T9959" t="s">
        <v>46479</v>
      </c>
      <c r="U9959" t="s">
        <v>54940</v>
      </c>
      <c r="W9959" t="s">
        <v>44033</v>
      </c>
      <c r="X9959" t="s">
        <v>44915</v>
      </c>
    </row>
    <row r="9960" spans="1:24">
      <c r="A9960">
        <f>HYPERLINK("https://www.philgeps.gov.ph/GEPSNONPILOT/Tender/SplashBidNoticeAbstractUI.aspx?menuIndex=3&amp;refID=7069241&amp;Result=3","7069241")</f>
        <v>0</v>
      </c>
      <c r="B9960" t="s">
        <v>2835</v>
      </c>
      <c r="C9960" t="s">
        <v>13018</v>
      </c>
      <c r="D9960" t="s">
        <v>18109</v>
      </c>
      <c r="E9960" t="s">
        <v>26849</v>
      </c>
      <c r="F9960" t="s">
        <v>31362</v>
      </c>
      <c r="G9960" t="s">
        <v>31369</v>
      </c>
      <c r="H9960" t="s">
        <v>15799</v>
      </c>
      <c r="I9960" t="s">
        <v>31429</v>
      </c>
      <c r="J9960" t="s">
        <v>37595</v>
      </c>
      <c r="K9960" t="s">
        <v>40672</v>
      </c>
      <c r="M9960" t="s">
        <v>44036</v>
      </c>
      <c r="N9960" t="s">
        <v>44905</v>
      </c>
      <c r="O9960" t="s">
        <v>44906</v>
      </c>
      <c r="P9960">
        <v>0</v>
      </c>
      <c r="Q9960">
        <v>0</v>
      </c>
      <c r="R9960" t="s">
        <v>44914</v>
      </c>
      <c r="S9960" t="s">
        <v>45202</v>
      </c>
      <c r="T9960" t="s">
        <v>46583</v>
      </c>
      <c r="U9960" t="s">
        <v>54941</v>
      </c>
      <c r="V9960" t="s">
        <v>59185</v>
      </c>
      <c r="W9960" t="s">
        <v>44036</v>
      </c>
      <c r="X9960" t="s">
        <v>44915</v>
      </c>
    </row>
    <row r="9961" spans="1:24">
      <c r="A9961">
        <f>HYPERLINK("https://www.philgeps.gov.ph/GEPSNONPILOT/Tender/SplashBidNoticeAbstractUI.aspx?menuIndex=3&amp;refID=7069244&amp;Result=3","7069244")</f>
        <v>0</v>
      </c>
      <c r="B9961" t="s">
        <v>2837</v>
      </c>
      <c r="C9961" t="s">
        <v>13019</v>
      </c>
      <c r="E9961" t="s">
        <v>26850</v>
      </c>
      <c r="F9961" t="s">
        <v>31362</v>
      </c>
      <c r="G9961" t="s">
        <v>31369</v>
      </c>
      <c r="H9961" t="s">
        <v>31378</v>
      </c>
      <c r="I9961" t="s">
        <v>31386</v>
      </c>
      <c r="J9961" t="s">
        <v>37596</v>
      </c>
      <c r="K9961" t="s">
        <v>40677</v>
      </c>
      <c r="M9961" t="s">
        <v>44038</v>
      </c>
      <c r="N9961" t="s">
        <v>44905</v>
      </c>
      <c r="O9961" t="s">
        <v>44906</v>
      </c>
      <c r="P9961">
        <v>0</v>
      </c>
      <c r="Q9961">
        <v>0</v>
      </c>
      <c r="R9961" t="s">
        <v>44914</v>
      </c>
      <c r="S9961" t="s">
        <v>45202</v>
      </c>
      <c r="T9961" t="s">
        <v>46447</v>
      </c>
      <c r="U9961" t="s">
        <v>54942</v>
      </c>
      <c r="W9961" t="s">
        <v>44038</v>
      </c>
      <c r="X9961" t="s">
        <v>44915</v>
      </c>
    </row>
    <row r="9962" spans="1:24">
      <c r="A9962">
        <f>HYPERLINK("https://www.philgeps.gov.ph/GEPSNONPILOT/Tender/SplashBidNoticeAbstractUI.aspx?menuIndex=3&amp;refID=7069325&amp;Result=3","7069325")</f>
        <v>0</v>
      </c>
      <c r="B9962" t="s">
        <v>820</v>
      </c>
      <c r="C9962" t="s">
        <v>13020</v>
      </c>
      <c r="D9962" t="s">
        <v>18100</v>
      </c>
      <c r="E9962" t="s">
        <v>26851</v>
      </c>
      <c r="F9962" t="s">
        <v>31362</v>
      </c>
      <c r="G9962" t="s">
        <v>31369</v>
      </c>
      <c r="H9962" t="s">
        <v>15799</v>
      </c>
      <c r="I9962" t="s">
        <v>31395</v>
      </c>
      <c r="J9962" t="s">
        <v>36806</v>
      </c>
      <c r="K9962" t="s">
        <v>40666</v>
      </c>
      <c r="M9962" t="s">
        <v>41793</v>
      </c>
      <c r="N9962" t="s">
        <v>44905</v>
      </c>
      <c r="O9962" t="s">
        <v>44906</v>
      </c>
      <c r="P9962">
        <v>0</v>
      </c>
      <c r="Q9962">
        <v>2</v>
      </c>
      <c r="R9962" t="s">
        <v>44914</v>
      </c>
      <c r="S9962" t="s">
        <v>45202</v>
      </c>
      <c r="T9962" t="s">
        <v>46503</v>
      </c>
      <c r="U9962" t="s">
        <v>51646</v>
      </c>
      <c r="W9962" t="s">
        <v>41793</v>
      </c>
      <c r="X9962" t="s">
        <v>44915</v>
      </c>
    </row>
    <row r="9963" spans="1:24">
      <c r="A9963">
        <f>HYPERLINK("https://www.philgeps.gov.ph/GEPSNONPILOT/Tender/SplashBidNoticeAbstractUI.aspx?menuIndex=3&amp;refID=7069266&amp;Result=3","7069266")</f>
        <v>0</v>
      </c>
      <c r="B9963" t="s">
        <v>2838</v>
      </c>
      <c r="C9963" t="s">
        <v>13021</v>
      </c>
      <c r="D9963" t="s">
        <v>18100</v>
      </c>
      <c r="E9963" t="s">
        <v>26852</v>
      </c>
      <c r="F9963" t="s">
        <v>31362</v>
      </c>
      <c r="G9963" t="s">
        <v>31369</v>
      </c>
      <c r="H9963" t="s">
        <v>31378</v>
      </c>
      <c r="I9963" t="s">
        <v>31386</v>
      </c>
      <c r="J9963" t="s">
        <v>37597</v>
      </c>
      <c r="K9963" t="s">
        <v>40684</v>
      </c>
      <c r="M9963" t="s">
        <v>44039</v>
      </c>
      <c r="N9963" t="s">
        <v>44905</v>
      </c>
      <c r="O9963" t="s">
        <v>44906</v>
      </c>
      <c r="P9963">
        <v>0</v>
      </c>
      <c r="Q9963">
        <v>3</v>
      </c>
      <c r="R9963" t="s">
        <v>44914</v>
      </c>
      <c r="S9963" t="s">
        <v>45202</v>
      </c>
      <c r="T9963" t="s">
        <v>46815</v>
      </c>
      <c r="U9963" t="s">
        <v>54943</v>
      </c>
      <c r="V9963" t="s">
        <v>60134</v>
      </c>
      <c r="W9963" t="s">
        <v>44039</v>
      </c>
      <c r="X9963" t="s">
        <v>44915</v>
      </c>
    </row>
    <row r="9964" spans="1:24">
      <c r="A9964">
        <f>HYPERLINK("https://www.philgeps.gov.ph/GEPSNONPILOT/Tender/SplashBidNoticeAbstractUI.aspx?menuIndex=3&amp;refID=7069399&amp;Result=3","7069399")</f>
        <v>0</v>
      </c>
      <c r="B9964" t="s">
        <v>2839</v>
      </c>
      <c r="C9964" t="s">
        <v>6829</v>
      </c>
      <c r="D9964" t="s">
        <v>18101</v>
      </c>
      <c r="E9964" t="s">
        <v>26853</v>
      </c>
      <c r="F9964" t="s">
        <v>31362</v>
      </c>
      <c r="G9964" t="s">
        <v>31369</v>
      </c>
      <c r="H9964" t="s">
        <v>15799</v>
      </c>
      <c r="I9964" t="s">
        <v>31385</v>
      </c>
      <c r="J9964" t="s">
        <v>31545</v>
      </c>
      <c r="K9964" t="s">
        <v>40661</v>
      </c>
      <c r="M9964" t="s">
        <v>44040</v>
      </c>
      <c r="N9964" t="s">
        <v>44905</v>
      </c>
      <c r="O9964" t="s">
        <v>44906</v>
      </c>
      <c r="P9964">
        <v>0</v>
      </c>
      <c r="Q9964">
        <v>0</v>
      </c>
      <c r="R9964" t="s">
        <v>44914</v>
      </c>
      <c r="S9964" t="s">
        <v>45202</v>
      </c>
      <c r="T9964" t="s">
        <v>46470</v>
      </c>
      <c r="U9964" t="s">
        <v>54944</v>
      </c>
      <c r="W9964" t="s">
        <v>44040</v>
      </c>
      <c r="X9964" t="s">
        <v>44915</v>
      </c>
    </row>
    <row r="9965" spans="1:24">
      <c r="A9965">
        <f>HYPERLINK("https://www.philgeps.gov.ph/GEPSNONPILOT/Tender/SplashBidNoticeAbstractUI.aspx?menuIndex=3&amp;refID=7069261&amp;Result=3","7069261")</f>
        <v>0</v>
      </c>
      <c r="B9965" t="s">
        <v>2835</v>
      </c>
      <c r="C9965" t="s">
        <v>13022</v>
      </c>
      <c r="D9965" t="s">
        <v>18109</v>
      </c>
      <c r="E9965" t="s">
        <v>26854</v>
      </c>
      <c r="F9965" t="s">
        <v>31362</v>
      </c>
      <c r="G9965" t="s">
        <v>31369</v>
      </c>
      <c r="H9965" t="s">
        <v>15799</v>
      </c>
      <c r="I9965" t="s">
        <v>31451</v>
      </c>
      <c r="J9965" t="s">
        <v>37598</v>
      </c>
      <c r="K9965" t="s">
        <v>40697</v>
      </c>
      <c r="M9965" t="s">
        <v>44036</v>
      </c>
      <c r="N9965" t="s">
        <v>44905</v>
      </c>
      <c r="O9965" t="s">
        <v>44906</v>
      </c>
      <c r="P9965">
        <v>0</v>
      </c>
      <c r="Q9965">
        <v>1</v>
      </c>
      <c r="R9965" t="s">
        <v>44914</v>
      </c>
      <c r="S9965" t="s">
        <v>45202</v>
      </c>
      <c r="T9965" t="s">
        <v>46583</v>
      </c>
      <c r="U9965" t="s">
        <v>54945</v>
      </c>
      <c r="V9965" t="s">
        <v>59185</v>
      </c>
      <c r="W9965" t="s">
        <v>44036</v>
      </c>
      <c r="X9965" t="s">
        <v>44915</v>
      </c>
    </row>
    <row r="9966" spans="1:24">
      <c r="A9966">
        <f>HYPERLINK("https://www.philgeps.gov.ph/GEPSNONPILOT/Tender/SplashBidNoticeAbstractUI.aspx?menuIndex=3&amp;refID=7069397&amp;Result=3","7069397")</f>
        <v>0</v>
      </c>
      <c r="B9966" t="s">
        <v>2840</v>
      </c>
      <c r="C9966" t="s">
        <v>13023</v>
      </c>
      <c r="D9966" t="s">
        <v>18120</v>
      </c>
      <c r="E9966" t="s">
        <v>26855</v>
      </c>
      <c r="F9966" t="s">
        <v>31362</v>
      </c>
      <c r="G9966" t="s">
        <v>31369</v>
      </c>
      <c r="H9966" t="s">
        <v>15799</v>
      </c>
      <c r="I9966" t="s">
        <v>31387</v>
      </c>
      <c r="J9966" t="s">
        <v>37599</v>
      </c>
      <c r="K9966" t="s">
        <v>40670</v>
      </c>
      <c r="M9966" t="s">
        <v>44041</v>
      </c>
      <c r="N9966" t="s">
        <v>44905</v>
      </c>
      <c r="O9966" t="s">
        <v>44906</v>
      </c>
      <c r="P9966">
        <v>0</v>
      </c>
      <c r="Q9966">
        <v>2</v>
      </c>
      <c r="R9966" t="s">
        <v>44914</v>
      </c>
      <c r="S9966" t="s">
        <v>45202</v>
      </c>
      <c r="T9966" t="s">
        <v>46433</v>
      </c>
      <c r="U9966" t="s">
        <v>54946</v>
      </c>
      <c r="V9966" t="s">
        <v>60135</v>
      </c>
      <c r="W9966" t="s">
        <v>60943</v>
      </c>
      <c r="X9966" t="s">
        <v>44915</v>
      </c>
    </row>
    <row r="9967" spans="1:24">
      <c r="A9967">
        <f>HYPERLINK("https://www.philgeps.gov.ph/GEPSNONPILOT/Tender/SplashBidNoticeAbstractUI.aspx?menuIndex=3&amp;refID=7069386&amp;Result=3","7069386")</f>
        <v>0</v>
      </c>
      <c r="B9967" t="s">
        <v>2841</v>
      </c>
      <c r="C9967" t="s">
        <v>13024</v>
      </c>
      <c r="D9967" t="s">
        <v>18158</v>
      </c>
      <c r="E9967" t="s">
        <v>26856</v>
      </c>
      <c r="F9967" t="s">
        <v>31362</v>
      </c>
      <c r="G9967" t="s">
        <v>31369</v>
      </c>
      <c r="H9967" t="s">
        <v>31377</v>
      </c>
      <c r="I9967" t="s">
        <v>31377</v>
      </c>
      <c r="J9967" t="s">
        <v>31591</v>
      </c>
      <c r="K9967" t="s">
        <v>40678</v>
      </c>
      <c r="M9967" t="s">
        <v>44042</v>
      </c>
      <c r="N9967" t="s">
        <v>44905</v>
      </c>
      <c r="O9967" t="s">
        <v>44906</v>
      </c>
      <c r="P9967">
        <v>0</v>
      </c>
      <c r="Q9967">
        <v>5</v>
      </c>
      <c r="R9967" t="s">
        <v>44914</v>
      </c>
      <c r="S9967" t="s">
        <v>45202</v>
      </c>
      <c r="T9967" t="s">
        <v>46416</v>
      </c>
      <c r="U9967" t="s">
        <v>54947</v>
      </c>
      <c r="V9967" t="s">
        <v>60136</v>
      </c>
      <c r="W9967" t="s">
        <v>44042</v>
      </c>
      <c r="X9967" t="s">
        <v>44915</v>
      </c>
    </row>
    <row r="9968" spans="1:24">
      <c r="A9968">
        <f>HYPERLINK("https://www.philgeps.gov.ph/GEPSNONPILOT/Tender/SplashBidNoticeAbstractUI.aspx?menuIndex=3&amp;refID=7069289&amp;Result=3","7069289")</f>
        <v>0</v>
      </c>
      <c r="B9968" t="s">
        <v>1538</v>
      </c>
      <c r="C9968" t="s">
        <v>13025</v>
      </c>
      <c r="D9968" t="s">
        <v>18125</v>
      </c>
      <c r="E9968" t="s">
        <v>26857</v>
      </c>
      <c r="F9968" t="s">
        <v>31362</v>
      </c>
      <c r="G9968" t="s">
        <v>31369</v>
      </c>
      <c r="H9968" t="s">
        <v>31378</v>
      </c>
      <c r="I9968" t="s">
        <v>31386</v>
      </c>
      <c r="J9968" t="s">
        <v>37600</v>
      </c>
      <c r="K9968" t="s">
        <v>40679</v>
      </c>
      <c r="M9968" t="s">
        <v>42585</v>
      </c>
      <c r="N9968" t="s">
        <v>44905</v>
      </c>
      <c r="O9968" t="s">
        <v>44906</v>
      </c>
      <c r="P9968">
        <v>0</v>
      </c>
      <c r="Q9968">
        <v>1</v>
      </c>
      <c r="R9968" t="s">
        <v>44914</v>
      </c>
      <c r="S9968" t="s">
        <v>45202</v>
      </c>
      <c r="T9968" t="s">
        <v>46524</v>
      </c>
      <c r="U9968" t="s">
        <v>54948</v>
      </c>
      <c r="V9968" t="s">
        <v>60137</v>
      </c>
      <c r="W9968" t="s">
        <v>42585</v>
      </c>
      <c r="X9968" t="s">
        <v>44915</v>
      </c>
    </row>
    <row r="9969" spans="1:24">
      <c r="A9969">
        <f>HYPERLINK("https://www.philgeps.gov.ph/GEPSNONPILOT/Tender/SplashBidNoticeAbstractUI.aspx?menuIndex=3&amp;refID=7069405&amp;Result=3","7069405")</f>
        <v>0</v>
      </c>
      <c r="B9969" t="s">
        <v>2816</v>
      </c>
      <c r="C9969" t="s">
        <v>13026</v>
      </c>
      <c r="D9969" t="s">
        <v>18172</v>
      </c>
      <c r="E9969" t="s">
        <v>26858</v>
      </c>
      <c r="F9969" t="s">
        <v>31362</v>
      </c>
      <c r="G9969" t="s">
        <v>31369</v>
      </c>
      <c r="H9969" t="s">
        <v>15799</v>
      </c>
      <c r="I9969" t="s">
        <v>3815</v>
      </c>
      <c r="J9969" t="s">
        <v>37601</v>
      </c>
      <c r="K9969" t="s">
        <v>40665</v>
      </c>
      <c r="M9969" t="s">
        <v>44015</v>
      </c>
      <c r="N9969" t="s">
        <v>44905</v>
      </c>
      <c r="O9969" t="s">
        <v>44906</v>
      </c>
      <c r="P9969">
        <v>0</v>
      </c>
      <c r="Q9969">
        <v>0</v>
      </c>
      <c r="R9969" t="s">
        <v>44914</v>
      </c>
      <c r="S9969" t="s">
        <v>45202</v>
      </c>
      <c r="T9969" t="s">
        <v>46486</v>
      </c>
      <c r="U9969" t="s">
        <v>54867</v>
      </c>
      <c r="V9969" t="s">
        <v>60118</v>
      </c>
      <c r="W9969" t="s">
        <v>44015</v>
      </c>
      <c r="X9969" t="s">
        <v>44915</v>
      </c>
    </row>
    <row r="9970" spans="1:24">
      <c r="A9970">
        <f>HYPERLINK("https://www.philgeps.gov.ph/GEPSNONPILOT/Tender/SplashBidNoticeAbstractUI.aspx?menuIndex=3&amp;refID=7069371&amp;Result=3","7069371")</f>
        <v>0</v>
      </c>
      <c r="B9970" t="s">
        <v>2842</v>
      </c>
      <c r="C9970" t="s">
        <v>13027</v>
      </c>
      <c r="D9970" t="s">
        <v>18117</v>
      </c>
      <c r="E9970" t="s">
        <v>26859</v>
      </c>
      <c r="F9970" t="s">
        <v>31362</v>
      </c>
      <c r="G9970" t="s">
        <v>31372</v>
      </c>
      <c r="H9970" t="s">
        <v>15799</v>
      </c>
      <c r="I9970" t="s">
        <v>3815</v>
      </c>
      <c r="J9970" t="s">
        <v>37602</v>
      </c>
      <c r="K9970" t="s">
        <v>40661</v>
      </c>
      <c r="M9970" t="s">
        <v>44043</v>
      </c>
      <c r="N9970" t="s">
        <v>44905</v>
      </c>
      <c r="O9970" t="s">
        <v>44906</v>
      </c>
      <c r="P9970">
        <v>0</v>
      </c>
      <c r="Q9970">
        <v>0</v>
      </c>
      <c r="R9970" t="s">
        <v>44914</v>
      </c>
      <c r="S9970" t="s">
        <v>45202</v>
      </c>
      <c r="T9970" t="s">
        <v>46454</v>
      </c>
      <c r="U9970" t="s">
        <v>54949</v>
      </c>
      <c r="W9970" t="s">
        <v>44043</v>
      </c>
      <c r="X9970" t="s">
        <v>44915</v>
      </c>
    </row>
    <row r="9971" spans="1:24">
      <c r="A9971">
        <f>HYPERLINK("https://www.philgeps.gov.ph/GEPSNONPILOT/Tender/SplashBidNoticeAbstractUI.aspx?menuIndex=3&amp;refID=7069368&amp;Result=3","7069368")</f>
        <v>0</v>
      </c>
      <c r="B9971" t="s">
        <v>2843</v>
      </c>
      <c r="C9971" t="s">
        <v>13028</v>
      </c>
      <c r="E9971" t="s">
        <v>24322</v>
      </c>
      <c r="F9971" t="s">
        <v>31362</v>
      </c>
      <c r="G9971" t="s">
        <v>31369</v>
      </c>
      <c r="H9971" t="s">
        <v>15799</v>
      </c>
      <c r="I9971" t="s">
        <v>31480</v>
      </c>
      <c r="J9971" t="s">
        <v>31547</v>
      </c>
      <c r="K9971" t="s">
        <v>40662</v>
      </c>
      <c r="M9971" t="s">
        <v>44044</v>
      </c>
      <c r="N9971" t="s">
        <v>44905</v>
      </c>
      <c r="O9971" t="s">
        <v>44906</v>
      </c>
      <c r="Q9971">
        <v>0</v>
      </c>
      <c r="R9971" t="s">
        <v>44914</v>
      </c>
      <c r="S9971" t="s">
        <v>45134</v>
      </c>
      <c r="T9971" t="s">
        <v>46419</v>
      </c>
      <c r="U9971" t="s">
        <v>54950</v>
      </c>
      <c r="W9971" t="s">
        <v>44044</v>
      </c>
      <c r="X9971" t="s">
        <v>44915</v>
      </c>
    </row>
    <row r="9972" spans="1:24">
      <c r="A9972">
        <f>HYPERLINK("https://www.philgeps.gov.ph/GEPSNONPILOT/Tender/SplashBidNoticeAbstractUI.aspx?menuIndex=3&amp;refID=7069361&amp;Result=3","7069361")</f>
        <v>0</v>
      </c>
      <c r="B9972" t="s">
        <v>2844</v>
      </c>
      <c r="C9972" t="s">
        <v>13029</v>
      </c>
      <c r="D9972" t="s">
        <v>18113</v>
      </c>
      <c r="E9972" t="s">
        <v>26860</v>
      </c>
      <c r="F9972" t="s">
        <v>31362</v>
      </c>
      <c r="G9972" t="s">
        <v>31369</v>
      </c>
      <c r="H9972" t="s">
        <v>15799</v>
      </c>
      <c r="I9972" t="s">
        <v>31392</v>
      </c>
      <c r="J9972" t="s">
        <v>34202</v>
      </c>
      <c r="K9972" t="s">
        <v>40665</v>
      </c>
      <c r="M9972" t="s">
        <v>44045</v>
      </c>
      <c r="N9972" t="s">
        <v>44905</v>
      </c>
      <c r="O9972" t="s">
        <v>44906</v>
      </c>
      <c r="P9972">
        <v>0</v>
      </c>
      <c r="Q9972">
        <v>1</v>
      </c>
      <c r="R9972" t="s">
        <v>44914</v>
      </c>
      <c r="S9972" t="s">
        <v>45202</v>
      </c>
      <c r="T9972" t="s">
        <v>46403</v>
      </c>
      <c r="U9972" t="s">
        <v>54951</v>
      </c>
      <c r="W9972" t="s">
        <v>44045</v>
      </c>
      <c r="X9972" t="s">
        <v>44915</v>
      </c>
    </row>
    <row r="9973" spans="1:24">
      <c r="A9973">
        <f>HYPERLINK("https://www.philgeps.gov.ph/GEPSNONPILOT/Tender/SplashBidNoticeAbstractUI.aspx?menuIndex=3&amp;refID=7069229&amp;Result=3","7069229")</f>
        <v>0</v>
      </c>
      <c r="B9973" t="s">
        <v>2845</v>
      </c>
      <c r="C9973" t="s">
        <v>13030</v>
      </c>
      <c r="D9973" t="s">
        <v>18148</v>
      </c>
      <c r="E9973" t="s">
        <v>26861</v>
      </c>
      <c r="F9973" t="s">
        <v>31362</v>
      </c>
      <c r="G9973" t="s">
        <v>31369</v>
      </c>
      <c r="H9973" t="s">
        <v>15799</v>
      </c>
      <c r="I9973" t="s">
        <v>3815</v>
      </c>
      <c r="J9973" t="s">
        <v>31602</v>
      </c>
      <c r="K9973" t="s">
        <v>40661</v>
      </c>
      <c r="M9973" t="s">
        <v>44046</v>
      </c>
      <c r="N9973" t="s">
        <v>44905</v>
      </c>
      <c r="O9973" t="s">
        <v>44906</v>
      </c>
      <c r="Q9973">
        <v>5</v>
      </c>
      <c r="R9973" t="s">
        <v>44914</v>
      </c>
      <c r="S9973" t="s">
        <v>45224</v>
      </c>
      <c r="T9973" t="s">
        <v>46504</v>
      </c>
      <c r="U9973" t="s">
        <v>54952</v>
      </c>
      <c r="W9973" t="s">
        <v>44046</v>
      </c>
      <c r="X9973" t="s">
        <v>44915</v>
      </c>
    </row>
    <row r="9974" spans="1:24">
      <c r="A9974">
        <f>HYPERLINK("https://www.philgeps.gov.ph/GEPSNONPILOT/Tender/SplashBidNoticeAbstractUI.aspx?menuIndex=3&amp;refID=7069354&amp;Result=3","7069354")</f>
        <v>0</v>
      </c>
      <c r="B9974" t="s">
        <v>1538</v>
      </c>
      <c r="C9974" t="s">
        <v>13031</v>
      </c>
      <c r="D9974" t="s">
        <v>18125</v>
      </c>
      <c r="E9974" t="s">
        <v>26862</v>
      </c>
      <c r="F9974" t="s">
        <v>31362</v>
      </c>
      <c r="G9974" t="s">
        <v>31369</v>
      </c>
      <c r="H9974" t="s">
        <v>31378</v>
      </c>
      <c r="I9974" t="s">
        <v>31386</v>
      </c>
      <c r="J9974" t="s">
        <v>37603</v>
      </c>
      <c r="K9974" t="s">
        <v>40757</v>
      </c>
      <c r="M9974" t="s">
        <v>42585</v>
      </c>
      <c r="N9974" t="s">
        <v>44905</v>
      </c>
      <c r="O9974" t="s">
        <v>44906</v>
      </c>
      <c r="P9974">
        <v>0</v>
      </c>
      <c r="Q9974">
        <v>1</v>
      </c>
      <c r="R9974" t="s">
        <v>44914</v>
      </c>
      <c r="S9974" t="s">
        <v>45202</v>
      </c>
      <c r="T9974" t="s">
        <v>46524</v>
      </c>
      <c r="U9974" t="s">
        <v>54953</v>
      </c>
      <c r="V9974" t="s">
        <v>60137</v>
      </c>
      <c r="W9974" t="s">
        <v>42585</v>
      </c>
      <c r="X9974" t="s">
        <v>44915</v>
      </c>
    </row>
    <row r="9975" spans="1:24">
      <c r="A9975">
        <f>HYPERLINK("https://www.philgeps.gov.ph/GEPSNONPILOT/Tender/SplashBidNoticeAbstractUI.aspx?menuIndex=3&amp;refID=7069353&amp;Result=3","7069353")</f>
        <v>0</v>
      </c>
      <c r="B9975" t="s">
        <v>272</v>
      </c>
      <c r="C9975" t="s">
        <v>13032</v>
      </c>
      <c r="D9975" t="s">
        <v>18110</v>
      </c>
      <c r="E9975" t="s">
        <v>26863</v>
      </c>
      <c r="F9975" t="s">
        <v>31362</v>
      </c>
      <c r="G9975" t="s">
        <v>31369</v>
      </c>
      <c r="H9975" t="s">
        <v>15799</v>
      </c>
      <c r="I9975" t="s">
        <v>7188</v>
      </c>
      <c r="J9975" t="s">
        <v>37604</v>
      </c>
      <c r="K9975" t="s">
        <v>40679</v>
      </c>
      <c r="M9975" t="s">
        <v>41214</v>
      </c>
      <c r="N9975" t="s">
        <v>44905</v>
      </c>
      <c r="O9975" t="s">
        <v>44906</v>
      </c>
      <c r="Q9975">
        <v>5</v>
      </c>
      <c r="R9975" t="s">
        <v>44914</v>
      </c>
      <c r="S9975" t="s">
        <v>45225</v>
      </c>
      <c r="T9975" t="s">
        <v>46479</v>
      </c>
      <c r="U9975" t="s">
        <v>54954</v>
      </c>
      <c r="W9975" t="s">
        <v>60843</v>
      </c>
      <c r="X9975" t="s">
        <v>44915</v>
      </c>
    </row>
    <row r="9976" spans="1:24">
      <c r="A9976">
        <f>HYPERLINK("https://www.philgeps.gov.ph/GEPSNONPILOT/Tender/SplashBidNoticeAbstractUI.aspx?menuIndex=3&amp;refID=7069347&amp;Result=3","7069347")</f>
        <v>0</v>
      </c>
      <c r="B9976" t="s">
        <v>1423</v>
      </c>
      <c r="C9976" t="s">
        <v>13033</v>
      </c>
      <c r="D9976" t="s">
        <v>18108</v>
      </c>
      <c r="E9976" t="s">
        <v>26864</v>
      </c>
      <c r="F9976" t="s">
        <v>31362</v>
      </c>
      <c r="G9976" t="s">
        <v>31369</v>
      </c>
      <c r="H9976" t="s">
        <v>15799</v>
      </c>
      <c r="I9976" t="s">
        <v>31436</v>
      </c>
      <c r="J9976" t="s">
        <v>37605</v>
      </c>
      <c r="K9976" t="s">
        <v>40723</v>
      </c>
      <c r="M9976" t="s">
        <v>42450</v>
      </c>
      <c r="N9976" t="s">
        <v>44905</v>
      </c>
      <c r="O9976" t="s">
        <v>44906</v>
      </c>
      <c r="P9976">
        <v>0</v>
      </c>
      <c r="Q9976">
        <v>4</v>
      </c>
      <c r="R9976" t="s">
        <v>44914</v>
      </c>
      <c r="S9976" t="s">
        <v>45202</v>
      </c>
      <c r="T9976" t="s">
        <v>46433</v>
      </c>
      <c r="U9976" t="s">
        <v>54955</v>
      </c>
      <c r="W9976" t="s">
        <v>42450</v>
      </c>
      <c r="X9976" t="s">
        <v>44915</v>
      </c>
    </row>
    <row r="9977" spans="1:24">
      <c r="A9977">
        <f>HYPERLINK("https://www.philgeps.gov.ph/GEPSNONPILOT/Tender/SplashBidNoticeAbstractUI.aspx?menuIndex=3&amp;refID=7069398&amp;Result=3","7069398")</f>
        <v>0</v>
      </c>
      <c r="B9977" t="s">
        <v>2078</v>
      </c>
      <c r="C9977" t="s">
        <v>13034</v>
      </c>
      <c r="D9977" t="s">
        <v>18179</v>
      </c>
      <c r="E9977" t="s">
        <v>26865</v>
      </c>
      <c r="F9977" t="s">
        <v>31362</v>
      </c>
      <c r="G9977" t="s">
        <v>31369</v>
      </c>
      <c r="H9977" t="s">
        <v>31378</v>
      </c>
      <c r="I9977" t="s">
        <v>31386</v>
      </c>
      <c r="J9977" t="s">
        <v>37606</v>
      </c>
      <c r="K9977" t="s">
        <v>40666</v>
      </c>
      <c r="M9977" t="s">
        <v>43200</v>
      </c>
      <c r="N9977" t="s">
        <v>44905</v>
      </c>
      <c r="O9977" t="s">
        <v>44906</v>
      </c>
      <c r="P9977">
        <v>0</v>
      </c>
      <c r="Q9977">
        <v>0</v>
      </c>
      <c r="R9977" t="s">
        <v>44914</v>
      </c>
      <c r="S9977" t="s">
        <v>45202</v>
      </c>
      <c r="T9977" t="s">
        <v>46479</v>
      </c>
      <c r="U9977" t="s">
        <v>52449</v>
      </c>
      <c r="W9977" t="s">
        <v>43200</v>
      </c>
      <c r="X9977" t="s">
        <v>44915</v>
      </c>
    </row>
    <row r="9978" spans="1:24">
      <c r="A9978">
        <f>HYPERLINK("https://www.philgeps.gov.ph/GEPSNONPILOT/Tender/SplashBidNoticeAbstractUI.aspx?menuIndex=3&amp;refID=7069345&amp;Result=3","7069345")</f>
        <v>0</v>
      </c>
      <c r="B9978" t="s">
        <v>2830</v>
      </c>
      <c r="C9978" t="s">
        <v>13035</v>
      </c>
      <c r="D9978" t="s">
        <v>18152</v>
      </c>
      <c r="E9978" t="s">
        <v>26866</v>
      </c>
      <c r="F9978" t="s">
        <v>31362</v>
      </c>
      <c r="G9978" t="s">
        <v>31368</v>
      </c>
      <c r="H9978" t="s">
        <v>15799</v>
      </c>
      <c r="I9978" t="s">
        <v>31422</v>
      </c>
      <c r="J9978" t="s">
        <v>31545</v>
      </c>
      <c r="K9978" t="s">
        <v>40665</v>
      </c>
      <c r="M9978" t="s">
        <v>44031</v>
      </c>
      <c r="N9978" t="s">
        <v>44905</v>
      </c>
      <c r="O9978" t="s">
        <v>44906</v>
      </c>
      <c r="P9978">
        <v>0</v>
      </c>
      <c r="Q9978">
        <v>1</v>
      </c>
      <c r="R9978" t="s">
        <v>44914</v>
      </c>
      <c r="S9978" t="s">
        <v>45202</v>
      </c>
      <c r="T9978" t="s">
        <v>46504</v>
      </c>
      <c r="U9978" t="s">
        <v>54956</v>
      </c>
      <c r="W9978" t="s">
        <v>44031</v>
      </c>
      <c r="X9978" t="s">
        <v>44915</v>
      </c>
    </row>
    <row r="9979" spans="1:24">
      <c r="A9979">
        <f>HYPERLINK("https://www.philgeps.gov.ph/GEPSNONPILOT/Tender/SplashBidNoticeAbstractUI.aspx?menuIndex=3&amp;refID=7069338&amp;Result=3","7069338")</f>
        <v>0</v>
      </c>
      <c r="B9979" t="s">
        <v>1483</v>
      </c>
      <c r="C9979" t="s">
        <v>13036</v>
      </c>
      <c r="D9979" t="s">
        <v>18131</v>
      </c>
      <c r="E9979" t="s">
        <v>26867</v>
      </c>
      <c r="F9979" t="s">
        <v>31362</v>
      </c>
      <c r="G9979" t="s">
        <v>31369</v>
      </c>
      <c r="H9979" t="s">
        <v>31378</v>
      </c>
      <c r="I9979" t="s">
        <v>31386</v>
      </c>
      <c r="J9979" t="s">
        <v>37607</v>
      </c>
      <c r="K9979" t="s">
        <v>40691</v>
      </c>
      <c r="M9979" t="s">
        <v>42520</v>
      </c>
      <c r="N9979" t="s">
        <v>44905</v>
      </c>
      <c r="O9979" t="s">
        <v>44906</v>
      </c>
      <c r="P9979">
        <v>0</v>
      </c>
      <c r="Q9979">
        <v>27</v>
      </c>
      <c r="R9979" t="s">
        <v>44914</v>
      </c>
      <c r="S9979" t="s">
        <v>45202</v>
      </c>
      <c r="T9979" t="s">
        <v>46504</v>
      </c>
      <c r="U9979" t="s">
        <v>54957</v>
      </c>
      <c r="V9979" t="s">
        <v>59468</v>
      </c>
      <c r="W9979" t="s">
        <v>42520</v>
      </c>
      <c r="X9979" t="s">
        <v>44915</v>
      </c>
    </row>
    <row r="9980" spans="1:24">
      <c r="A9980">
        <f>HYPERLINK("https://www.philgeps.gov.ph/GEPSNONPILOT/Tender/SplashBidNoticeAbstractUI.aspx?menuIndex=3&amp;refID=7069329&amp;Result=3","7069329")</f>
        <v>0</v>
      </c>
      <c r="B9980" t="s">
        <v>1920</v>
      </c>
      <c r="C9980" t="s">
        <v>13037</v>
      </c>
      <c r="D9980" t="s">
        <v>18117</v>
      </c>
      <c r="E9980" t="s">
        <v>26868</v>
      </c>
      <c r="F9980" t="s">
        <v>31362</v>
      </c>
      <c r="G9980" t="s">
        <v>31368</v>
      </c>
      <c r="H9980" t="s">
        <v>15799</v>
      </c>
      <c r="I9980" t="s">
        <v>31382</v>
      </c>
      <c r="J9980" t="s">
        <v>32278</v>
      </c>
      <c r="K9980" t="s">
        <v>40661</v>
      </c>
      <c r="M9980" t="s">
        <v>43017</v>
      </c>
      <c r="N9980" t="s">
        <v>44905</v>
      </c>
      <c r="O9980" t="s">
        <v>44906</v>
      </c>
      <c r="P9980">
        <v>0</v>
      </c>
      <c r="Q9980">
        <v>9</v>
      </c>
      <c r="R9980" t="s">
        <v>44914</v>
      </c>
      <c r="S9980" t="s">
        <v>45202</v>
      </c>
      <c r="T9980" t="s">
        <v>46589</v>
      </c>
      <c r="U9980" t="s">
        <v>54958</v>
      </c>
      <c r="W9980" t="s">
        <v>43017</v>
      </c>
      <c r="X9980" t="s">
        <v>44915</v>
      </c>
    </row>
    <row r="9981" spans="1:24">
      <c r="A9981">
        <f>HYPERLINK("https://www.philgeps.gov.ph/GEPSNONPILOT/Tender/SplashBidNoticeAbstractUI.aspx?menuIndex=3&amp;refID=7069413&amp;Result=3","7069413")</f>
        <v>0</v>
      </c>
      <c r="B9981" t="s">
        <v>1423</v>
      </c>
      <c r="C9981" t="s">
        <v>13038</v>
      </c>
      <c r="D9981" t="s">
        <v>18108</v>
      </c>
      <c r="E9981" t="s">
        <v>26869</v>
      </c>
      <c r="F9981" t="s">
        <v>31362</v>
      </c>
      <c r="G9981" t="s">
        <v>31369</v>
      </c>
      <c r="H9981" t="s">
        <v>15799</v>
      </c>
      <c r="I9981" t="s">
        <v>12925</v>
      </c>
      <c r="J9981" t="s">
        <v>37605</v>
      </c>
      <c r="K9981" t="s">
        <v>40723</v>
      </c>
      <c r="M9981" t="s">
        <v>42450</v>
      </c>
      <c r="N9981" t="s">
        <v>44905</v>
      </c>
      <c r="O9981" t="s">
        <v>44906</v>
      </c>
      <c r="P9981">
        <v>0</v>
      </c>
      <c r="Q9981">
        <v>6</v>
      </c>
      <c r="R9981" t="s">
        <v>44914</v>
      </c>
      <c r="S9981" t="s">
        <v>45202</v>
      </c>
      <c r="T9981" t="s">
        <v>46559</v>
      </c>
      <c r="U9981" t="s">
        <v>54959</v>
      </c>
      <c r="W9981" t="s">
        <v>42450</v>
      </c>
      <c r="X9981" t="s">
        <v>44915</v>
      </c>
    </row>
    <row r="9982" spans="1:24">
      <c r="A9982">
        <f>HYPERLINK("https://www.philgeps.gov.ph/GEPSNONPILOT/Tender/SplashBidNoticeAbstractUI.aspx?menuIndex=3&amp;refID=7069053&amp;Result=3","7069053")</f>
        <v>0</v>
      </c>
      <c r="B9982" t="s">
        <v>968</v>
      </c>
      <c r="C9982" t="s">
        <v>13039</v>
      </c>
      <c r="D9982" t="s">
        <v>18100</v>
      </c>
      <c r="E9982" t="s">
        <v>19205</v>
      </c>
      <c r="F9982" t="s">
        <v>31362</v>
      </c>
      <c r="G9982" t="s">
        <v>31369</v>
      </c>
      <c r="H9982" t="s">
        <v>15799</v>
      </c>
      <c r="I9982" t="s">
        <v>31422</v>
      </c>
      <c r="J9982" t="s">
        <v>37608</v>
      </c>
      <c r="K9982" t="s">
        <v>40662</v>
      </c>
      <c r="M9982" t="s">
        <v>41958</v>
      </c>
      <c r="N9982" t="s">
        <v>44905</v>
      </c>
      <c r="O9982" t="s">
        <v>44906</v>
      </c>
      <c r="P9982">
        <v>0</v>
      </c>
      <c r="Q9982">
        <v>1</v>
      </c>
      <c r="R9982" t="s">
        <v>44914</v>
      </c>
      <c r="S9982" t="s">
        <v>45202</v>
      </c>
      <c r="T9982" t="s">
        <v>46415</v>
      </c>
      <c r="U9982" t="s">
        <v>54960</v>
      </c>
      <c r="W9982" t="s">
        <v>41958</v>
      </c>
      <c r="X9982" t="s">
        <v>44915</v>
      </c>
    </row>
    <row r="9983" spans="1:24">
      <c r="A9983">
        <f>HYPERLINK("https://www.philgeps.gov.ph/GEPSNONPILOT/Tender/SplashBidNoticeAbstractUI.aspx?menuIndex=3&amp;refID=7069471&amp;Result=3","7069471")</f>
        <v>0</v>
      </c>
      <c r="B9983" t="s">
        <v>249</v>
      </c>
      <c r="C9983" t="s">
        <v>13040</v>
      </c>
      <c r="D9983" t="s">
        <v>18110</v>
      </c>
      <c r="E9983" t="s">
        <v>26870</v>
      </c>
      <c r="F9983" t="s">
        <v>31362</v>
      </c>
      <c r="G9983" t="s">
        <v>31368</v>
      </c>
      <c r="H9983" t="s">
        <v>15799</v>
      </c>
      <c r="I9983" t="s">
        <v>31461</v>
      </c>
      <c r="J9983" t="s">
        <v>37609</v>
      </c>
      <c r="K9983" t="s">
        <v>40662</v>
      </c>
      <c r="M9983" t="s">
        <v>41188</v>
      </c>
      <c r="N9983" t="s">
        <v>44905</v>
      </c>
      <c r="O9983" t="s">
        <v>44906</v>
      </c>
      <c r="P9983">
        <v>0</v>
      </c>
      <c r="Q9983">
        <v>9</v>
      </c>
      <c r="R9983" t="s">
        <v>44914</v>
      </c>
      <c r="S9983" t="s">
        <v>45202</v>
      </c>
      <c r="T9983" t="s">
        <v>46432</v>
      </c>
      <c r="U9983" t="s">
        <v>47345</v>
      </c>
      <c r="W9983" t="s">
        <v>41188</v>
      </c>
      <c r="X9983" t="s">
        <v>44915</v>
      </c>
    </row>
    <row r="9984" spans="1:24">
      <c r="A9984">
        <f>HYPERLINK("https://www.philgeps.gov.ph/GEPSNONPILOT/Tender/SplashBidNoticeAbstractUI.aspx?menuIndex=3&amp;refID=7069468&amp;Result=3","7069468")</f>
        <v>0</v>
      </c>
      <c r="B9984" t="s">
        <v>2078</v>
      </c>
      <c r="C9984" t="s">
        <v>13041</v>
      </c>
      <c r="D9984" t="s">
        <v>18179</v>
      </c>
      <c r="E9984" t="s">
        <v>26871</v>
      </c>
      <c r="F9984" t="s">
        <v>31362</v>
      </c>
      <c r="G9984" t="s">
        <v>31369</v>
      </c>
      <c r="H9984" t="s">
        <v>31378</v>
      </c>
      <c r="I9984" t="s">
        <v>31386</v>
      </c>
      <c r="J9984" t="s">
        <v>37606</v>
      </c>
      <c r="K9984" t="s">
        <v>40666</v>
      </c>
      <c r="M9984" t="s">
        <v>43200</v>
      </c>
      <c r="N9984" t="s">
        <v>44905</v>
      </c>
      <c r="O9984" t="s">
        <v>44906</v>
      </c>
      <c r="P9984">
        <v>0</v>
      </c>
      <c r="Q9984">
        <v>0</v>
      </c>
      <c r="R9984" t="s">
        <v>44914</v>
      </c>
      <c r="S9984" t="s">
        <v>45202</v>
      </c>
      <c r="T9984" t="s">
        <v>46479</v>
      </c>
      <c r="U9984" t="s">
        <v>52449</v>
      </c>
      <c r="W9984" t="s">
        <v>43200</v>
      </c>
      <c r="X9984" t="s">
        <v>44915</v>
      </c>
    </row>
    <row r="9985" spans="1:24">
      <c r="A9985">
        <f>HYPERLINK("https://www.philgeps.gov.ph/GEPSNONPILOT/Tender/SplashBidNoticeAbstractUI.aspx?menuIndex=3&amp;refID=7069460&amp;Result=3","7069460")</f>
        <v>0</v>
      </c>
      <c r="B9985" t="s">
        <v>49</v>
      </c>
      <c r="C9985" t="s">
        <v>3572</v>
      </c>
      <c r="D9985" t="s">
        <v>18108</v>
      </c>
      <c r="E9985" t="s">
        <v>26872</v>
      </c>
      <c r="F9985" t="s">
        <v>31362</v>
      </c>
      <c r="G9985" t="s">
        <v>31369</v>
      </c>
      <c r="H9985" t="s">
        <v>15799</v>
      </c>
      <c r="I9985" t="s">
        <v>31393</v>
      </c>
      <c r="J9985" t="s">
        <v>37610</v>
      </c>
      <c r="K9985" t="s">
        <v>40662</v>
      </c>
      <c r="M9985" t="s">
        <v>40983</v>
      </c>
      <c r="N9985" t="s">
        <v>44905</v>
      </c>
      <c r="O9985" t="s">
        <v>44906</v>
      </c>
      <c r="Q9985">
        <v>65</v>
      </c>
      <c r="R9985" t="s">
        <v>44914</v>
      </c>
      <c r="S9985" t="s">
        <v>45226</v>
      </c>
      <c r="T9985" t="s">
        <v>46625</v>
      </c>
      <c r="U9985" t="s">
        <v>46959</v>
      </c>
      <c r="W9985" t="s">
        <v>40983</v>
      </c>
      <c r="X9985" t="s">
        <v>44915</v>
      </c>
    </row>
    <row r="9986" spans="1:24">
      <c r="A9986">
        <f>HYPERLINK("https://www.philgeps.gov.ph/GEPSNONPILOT/Tender/SplashBidNoticeAbstractUI.aspx?menuIndex=3&amp;refID=7069334&amp;Result=3","7069334")</f>
        <v>0</v>
      </c>
      <c r="B9986" t="s">
        <v>2835</v>
      </c>
      <c r="C9986" t="s">
        <v>13042</v>
      </c>
      <c r="D9986" t="s">
        <v>18109</v>
      </c>
      <c r="E9986" t="s">
        <v>26873</v>
      </c>
      <c r="F9986" t="s">
        <v>31362</v>
      </c>
      <c r="G9986" t="s">
        <v>31369</v>
      </c>
      <c r="H9986" t="s">
        <v>15799</v>
      </c>
      <c r="I9986" t="s">
        <v>31429</v>
      </c>
      <c r="J9986" t="s">
        <v>37611</v>
      </c>
      <c r="K9986" t="s">
        <v>40661</v>
      </c>
      <c r="M9986" t="s">
        <v>44036</v>
      </c>
      <c r="N9986" t="s">
        <v>44905</v>
      </c>
      <c r="O9986" t="s">
        <v>44906</v>
      </c>
      <c r="P9986">
        <v>0</v>
      </c>
      <c r="Q9986">
        <v>2</v>
      </c>
      <c r="R9986" t="s">
        <v>44914</v>
      </c>
      <c r="S9986" t="s">
        <v>45202</v>
      </c>
      <c r="T9986" t="s">
        <v>46414</v>
      </c>
      <c r="U9986" t="s">
        <v>54961</v>
      </c>
      <c r="V9986" t="s">
        <v>59185</v>
      </c>
      <c r="W9986" t="s">
        <v>44036</v>
      </c>
      <c r="X9986" t="s">
        <v>44915</v>
      </c>
    </row>
    <row r="9987" spans="1:24">
      <c r="A9987">
        <f>HYPERLINK("https://www.philgeps.gov.ph/GEPSNONPILOT/Tender/SplashBidNoticeAbstractUI.aspx?menuIndex=3&amp;refID=7069384&amp;Result=3","7069384")</f>
        <v>0</v>
      </c>
      <c r="B9987" t="s">
        <v>2078</v>
      </c>
      <c r="C9987" t="s">
        <v>13043</v>
      </c>
      <c r="D9987" t="s">
        <v>18179</v>
      </c>
      <c r="E9987" t="s">
        <v>26874</v>
      </c>
      <c r="F9987" t="s">
        <v>31362</v>
      </c>
      <c r="G9987" t="s">
        <v>31369</v>
      </c>
      <c r="H9987" t="s">
        <v>31378</v>
      </c>
      <c r="I9987" t="s">
        <v>31386</v>
      </c>
      <c r="J9987" t="s">
        <v>37606</v>
      </c>
      <c r="K9987" t="s">
        <v>40666</v>
      </c>
      <c r="M9987" t="s">
        <v>43200</v>
      </c>
      <c r="N9987" t="s">
        <v>44905</v>
      </c>
      <c r="O9987" t="s">
        <v>44906</v>
      </c>
      <c r="P9987">
        <v>0</v>
      </c>
      <c r="Q9987">
        <v>0</v>
      </c>
      <c r="R9987" t="s">
        <v>44914</v>
      </c>
      <c r="S9987" t="s">
        <v>45202</v>
      </c>
      <c r="T9987" t="s">
        <v>46479</v>
      </c>
      <c r="U9987" t="s">
        <v>52449</v>
      </c>
      <c r="W9987" t="s">
        <v>43200</v>
      </c>
      <c r="X9987" t="s">
        <v>44915</v>
      </c>
    </row>
    <row r="9988" spans="1:24">
      <c r="A9988">
        <f>HYPERLINK("https://www.philgeps.gov.ph/GEPSNONPILOT/Tender/SplashBidNoticeAbstractUI.aspx?menuIndex=3&amp;refID=7069457&amp;Result=3","7069457")</f>
        <v>0</v>
      </c>
      <c r="B9988" t="s">
        <v>2442</v>
      </c>
      <c r="C9988" t="s">
        <v>13044</v>
      </c>
      <c r="D9988" t="s">
        <v>18108</v>
      </c>
      <c r="E9988" t="s">
        <v>26875</v>
      </c>
      <c r="F9988" t="s">
        <v>31362</v>
      </c>
      <c r="G9988" t="s">
        <v>31368</v>
      </c>
      <c r="H9988" t="s">
        <v>31377</v>
      </c>
      <c r="I9988" t="s">
        <v>31377</v>
      </c>
      <c r="J9988" t="s">
        <v>37612</v>
      </c>
      <c r="K9988" t="s">
        <v>40662</v>
      </c>
      <c r="M9988" t="s">
        <v>43601</v>
      </c>
      <c r="N9988" t="s">
        <v>44905</v>
      </c>
      <c r="O9988" t="s">
        <v>44906</v>
      </c>
      <c r="Q9988">
        <v>2</v>
      </c>
      <c r="R9988" t="s">
        <v>44914</v>
      </c>
      <c r="S9988" t="s">
        <v>45227</v>
      </c>
      <c r="T9988" t="s">
        <v>46682</v>
      </c>
      <c r="U9988" t="s">
        <v>54962</v>
      </c>
      <c r="V9988" t="s">
        <v>59870</v>
      </c>
      <c r="W9988" t="s">
        <v>43601</v>
      </c>
      <c r="X9988" t="s">
        <v>44915</v>
      </c>
    </row>
    <row r="9989" spans="1:24">
      <c r="A9989">
        <f>HYPERLINK("https://www.philgeps.gov.ph/GEPSNONPILOT/Tender/SplashBidNoticeAbstractUI.aspx?menuIndex=3&amp;refID=7069377&amp;Result=3","7069377")</f>
        <v>0</v>
      </c>
      <c r="B9989" t="s">
        <v>2840</v>
      </c>
      <c r="C9989" t="s">
        <v>13045</v>
      </c>
      <c r="D9989" t="s">
        <v>18120</v>
      </c>
      <c r="E9989" t="s">
        <v>26876</v>
      </c>
      <c r="F9989" t="s">
        <v>31362</v>
      </c>
      <c r="G9989" t="s">
        <v>31369</v>
      </c>
      <c r="H9989" t="s">
        <v>15799</v>
      </c>
      <c r="I9989" t="s">
        <v>31387</v>
      </c>
      <c r="J9989" t="s">
        <v>37613</v>
      </c>
      <c r="K9989" t="s">
        <v>40670</v>
      </c>
      <c r="M9989" t="s">
        <v>44041</v>
      </c>
      <c r="N9989" t="s">
        <v>44905</v>
      </c>
      <c r="O9989" t="s">
        <v>44906</v>
      </c>
      <c r="P9989">
        <v>0</v>
      </c>
      <c r="Q9989">
        <v>2</v>
      </c>
      <c r="R9989" t="s">
        <v>44914</v>
      </c>
      <c r="S9989" t="s">
        <v>45202</v>
      </c>
      <c r="T9989" t="s">
        <v>46433</v>
      </c>
      <c r="U9989" t="s">
        <v>54946</v>
      </c>
      <c r="V9989" t="s">
        <v>60135</v>
      </c>
      <c r="W9989" t="s">
        <v>60943</v>
      </c>
      <c r="X9989" t="s">
        <v>44915</v>
      </c>
    </row>
    <row r="9990" spans="1:24">
      <c r="A9990">
        <f>HYPERLINK("https://www.philgeps.gov.ph/GEPSNONPILOT/Tender/SplashBidNoticeAbstractUI.aspx?menuIndex=3&amp;refID=7069469&amp;Result=3","7069469")</f>
        <v>0</v>
      </c>
      <c r="B9990" t="s">
        <v>968</v>
      </c>
      <c r="C9990" t="s">
        <v>13046</v>
      </c>
      <c r="D9990" t="s">
        <v>18100</v>
      </c>
      <c r="E9990" t="s">
        <v>26877</v>
      </c>
      <c r="F9990" t="s">
        <v>31362</v>
      </c>
      <c r="G9990" t="s">
        <v>31369</v>
      </c>
      <c r="H9990" t="s">
        <v>15799</v>
      </c>
      <c r="I9990" t="s">
        <v>3815</v>
      </c>
      <c r="J9990" t="s">
        <v>37614</v>
      </c>
      <c r="K9990" t="s">
        <v>40662</v>
      </c>
      <c r="M9990" t="s">
        <v>41958</v>
      </c>
      <c r="N9990" t="s">
        <v>44905</v>
      </c>
      <c r="O9990" t="s">
        <v>44906</v>
      </c>
      <c r="P9990">
        <v>0</v>
      </c>
      <c r="Q9990">
        <v>0</v>
      </c>
      <c r="R9990" t="s">
        <v>44914</v>
      </c>
      <c r="S9990" t="s">
        <v>45202</v>
      </c>
      <c r="T9990" t="s">
        <v>46415</v>
      </c>
      <c r="U9990" t="s">
        <v>54963</v>
      </c>
      <c r="W9990" t="s">
        <v>41958</v>
      </c>
      <c r="X9990" t="s">
        <v>44915</v>
      </c>
    </row>
    <row r="9991" spans="1:24">
      <c r="A9991">
        <f>HYPERLINK("https://www.philgeps.gov.ph/GEPSNONPILOT/Tender/SplashBidNoticeAbstractUI.aspx?menuIndex=3&amp;refID=7069449&amp;Result=3","7069449")</f>
        <v>0</v>
      </c>
      <c r="B9991" t="s">
        <v>2841</v>
      </c>
      <c r="C9991" t="s">
        <v>13047</v>
      </c>
      <c r="D9991" t="s">
        <v>18158</v>
      </c>
      <c r="E9991" t="s">
        <v>26878</v>
      </c>
      <c r="F9991" t="s">
        <v>31362</v>
      </c>
      <c r="G9991" t="s">
        <v>31369</v>
      </c>
      <c r="H9991" t="s">
        <v>15799</v>
      </c>
      <c r="I9991" t="s">
        <v>31427</v>
      </c>
      <c r="J9991" t="s">
        <v>37615</v>
      </c>
      <c r="K9991" t="s">
        <v>40670</v>
      </c>
      <c r="M9991" t="s">
        <v>44042</v>
      </c>
      <c r="N9991" t="s">
        <v>44905</v>
      </c>
      <c r="O9991" t="s">
        <v>44906</v>
      </c>
      <c r="P9991">
        <v>0</v>
      </c>
      <c r="Q9991">
        <v>1</v>
      </c>
      <c r="R9991" t="s">
        <v>44914</v>
      </c>
      <c r="S9991" t="s">
        <v>45202</v>
      </c>
      <c r="T9991" t="s">
        <v>46416</v>
      </c>
      <c r="U9991" t="s">
        <v>54964</v>
      </c>
      <c r="V9991" t="s">
        <v>60136</v>
      </c>
      <c r="W9991" t="s">
        <v>44042</v>
      </c>
      <c r="X9991" t="s">
        <v>44915</v>
      </c>
    </row>
    <row r="9992" spans="1:24">
      <c r="A9992">
        <f>HYPERLINK("https://www.philgeps.gov.ph/GEPSNONPILOT/Tender/SplashBidNoticeAbstractUI.aspx?menuIndex=3&amp;refID=7069443&amp;Result=3","7069443")</f>
        <v>0</v>
      </c>
      <c r="B9992" t="s">
        <v>2846</v>
      </c>
      <c r="C9992" t="s">
        <v>13048</v>
      </c>
      <c r="E9992" t="s">
        <v>26539</v>
      </c>
      <c r="F9992" t="s">
        <v>31362</v>
      </c>
      <c r="G9992" t="s">
        <v>31369</v>
      </c>
      <c r="H9992" t="s">
        <v>15799</v>
      </c>
      <c r="I9992" t="s">
        <v>31414</v>
      </c>
      <c r="J9992" t="s">
        <v>31625</v>
      </c>
      <c r="K9992" t="s">
        <v>40662</v>
      </c>
      <c r="M9992" t="s">
        <v>44047</v>
      </c>
      <c r="N9992" t="s">
        <v>44905</v>
      </c>
      <c r="O9992" t="s">
        <v>44906</v>
      </c>
      <c r="P9992">
        <v>0</v>
      </c>
      <c r="Q9992">
        <v>2</v>
      </c>
      <c r="R9992" t="s">
        <v>44914</v>
      </c>
      <c r="S9992" t="s">
        <v>45202</v>
      </c>
      <c r="T9992" t="s">
        <v>46471</v>
      </c>
      <c r="U9992" t="s">
        <v>54965</v>
      </c>
      <c r="W9992" t="s">
        <v>44047</v>
      </c>
      <c r="X9992" t="s">
        <v>44915</v>
      </c>
    </row>
    <row r="9993" spans="1:24">
      <c r="A9993">
        <f>HYPERLINK("https://www.philgeps.gov.ph/GEPSNONPILOT/Tender/SplashBidNoticeAbstractUI.aspx?menuIndex=3&amp;refID=7069462&amp;Result=3","7069462")</f>
        <v>0</v>
      </c>
      <c r="B9993" t="s">
        <v>2847</v>
      </c>
      <c r="C9993" t="s">
        <v>13049</v>
      </c>
      <c r="D9993" t="s">
        <v>18175</v>
      </c>
      <c r="E9993" t="s">
        <v>26879</v>
      </c>
      <c r="F9993" t="s">
        <v>31362</v>
      </c>
      <c r="G9993" t="s">
        <v>31369</v>
      </c>
      <c r="H9993" t="s">
        <v>31378</v>
      </c>
      <c r="I9993" t="s">
        <v>31386</v>
      </c>
      <c r="J9993" t="s">
        <v>31637</v>
      </c>
      <c r="K9993" t="s">
        <v>40683</v>
      </c>
      <c r="M9993" t="s">
        <v>44048</v>
      </c>
      <c r="N9993" t="s">
        <v>44905</v>
      </c>
      <c r="O9993" t="s">
        <v>44906</v>
      </c>
      <c r="P9993">
        <v>0</v>
      </c>
      <c r="Q9993">
        <v>0</v>
      </c>
      <c r="R9993" t="s">
        <v>44914</v>
      </c>
      <c r="S9993" t="s">
        <v>45202</v>
      </c>
      <c r="T9993" t="s">
        <v>46433</v>
      </c>
      <c r="U9993" t="s">
        <v>54966</v>
      </c>
      <c r="W9993" t="s">
        <v>44048</v>
      </c>
      <c r="X9993" t="s">
        <v>44915</v>
      </c>
    </row>
    <row r="9994" spans="1:24">
      <c r="A9994">
        <f>HYPERLINK("https://www.philgeps.gov.ph/GEPSNONPILOT/Tender/SplashBidNoticeAbstractUI.aspx?menuIndex=3&amp;refID=7069442&amp;Result=3","7069442")</f>
        <v>0</v>
      </c>
      <c r="B9994" t="s">
        <v>262</v>
      </c>
      <c r="C9994" t="s">
        <v>13050</v>
      </c>
      <c r="E9994" t="s">
        <v>26880</v>
      </c>
      <c r="F9994" t="s">
        <v>31362</v>
      </c>
      <c r="G9994" t="s">
        <v>31369</v>
      </c>
      <c r="H9994" t="s">
        <v>31378</v>
      </c>
      <c r="I9994" t="s">
        <v>31386</v>
      </c>
      <c r="J9994" t="s">
        <v>37616</v>
      </c>
      <c r="K9994" t="s">
        <v>40678</v>
      </c>
      <c r="M9994" t="s">
        <v>42051</v>
      </c>
      <c r="N9994" t="s">
        <v>44905</v>
      </c>
      <c r="O9994" t="s">
        <v>44906</v>
      </c>
      <c r="P9994">
        <v>0</v>
      </c>
      <c r="Q9994">
        <v>1</v>
      </c>
      <c r="R9994" t="s">
        <v>44914</v>
      </c>
      <c r="S9994" t="s">
        <v>45202</v>
      </c>
      <c r="T9994" t="s">
        <v>46685</v>
      </c>
      <c r="U9994" t="s">
        <v>54967</v>
      </c>
      <c r="W9994" t="s">
        <v>42051</v>
      </c>
      <c r="X9994" t="s">
        <v>44915</v>
      </c>
    </row>
    <row r="9995" spans="1:24">
      <c r="A9995">
        <f>HYPERLINK("https://www.philgeps.gov.ph/GEPSNONPILOT/Tender/SplashBidNoticeAbstractUI.aspx?menuIndex=3&amp;refID=7069490&amp;Result=3","7069490")</f>
        <v>0</v>
      </c>
      <c r="B9995" t="s">
        <v>1902</v>
      </c>
      <c r="C9995" t="s">
        <v>13051</v>
      </c>
      <c r="D9995" t="s">
        <v>18122</v>
      </c>
      <c r="E9995" t="s">
        <v>26881</v>
      </c>
      <c r="F9995" t="s">
        <v>31362</v>
      </c>
      <c r="G9995" t="s">
        <v>31369</v>
      </c>
      <c r="H9995" t="s">
        <v>15799</v>
      </c>
      <c r="I9995" t="s">
        <v>31430</v>
      </c>
      <c r="J9995" t="s">
        <v>37617</v>
      </c>
      <c r="K9995" t="s">
        <v>40677</v>
      </c>
      <c r="M9995" t="s">
        <v>42997</v>
      </c>
      <c r="N9995" t="s">
        <v>44905</v>
      </c>
      <c r="O9995" t="s">
        <v>44906</v>
      </c>
      <c r="P9995">
        <v>0</v>
      </c>
      <c r="Q9995">
        <v>3</v>
      </c>
      <c r="R9995" t="s">
        <v>44914</v>
      </c>
      <c r="S9995" t="s">
        <v>45202</v>
      </c>
      <c r="T9995" t="s">
        <v>46569</v>
      </c>
      <c r="U9995" t="s">
        <v>54968</v>
      </c>
      <c r="W9995" t="s">
        <v>42997</v>
      </c>
      <c r="X9995" t="s">
        <v>44915</v>
      </c>
    </row>
    <row r="9996" spans="1:24">
      <c r="A9996">
        <f>HYPERLINK("https://www.philgeps.gov.ph/GEPSNONPILOT/Tender/SplashBidNoticeAbstractUI.aspx?menuIndex=3&amp;refID=7069543&amp;Result=3","7069543")</f>
        <v>0</v>
      </c>
      <c r="B9996" t="s">
        <v>2848</v>
      </c>
      <c r="C9996" t="s">
        <v>13052</v>
      </c>
      <c r="D9996" t="s">
        <v>18153</v>
      </c>
      <c r="E9996" t="s">
        <v>26882</v>
      </c>
      <c r="F9996" t="s">
        <v>31363</v>
      </c>
      <c r="G9996" t="s">
        <v>31368</v>
      </c>
      <c r="H9996" t="s">
        <v>15799</v>
      </c>
      <c r="I9996" t="s">
        <v>31440</v>
      </c>
      <c r="J9996" t="s">
        <v>33736</v>
      </c>
      <c r="K9996" t="s">
        <v>40666</v>
      </c>
      <c r="M9996" t="s">
        <v>44049</v>
      </c>
      <c r="N9996" t="s">
        <v>44905</v>
      </c>
      <c r="O9996" t="s">
        <v>44906</v>
      </c>
      <c r="P9996">
        <v>0</v>
      </c>
      <c r="Q9996">
        <v>5</v>
      </c>
      <c r="R9996" t="s">
        <v>44914</v>
      </c>
      <c r="S9996" t="s">
        <v>45202</v>
      </c>
      <c r="T9996" t="s">
        <v>46411</v>
      </c>
      <c r="U9996" t="s">
        <v>54969</v>
      </c>
      <c r="W9996" t="s">
        <v>44049</v>
      </c>
      <c r="X9996" t="s">
        <v>44915</v>
      </c>
    </row>
    <row r="9997" spans="1:24">
      <c r="A9997">
        <f>HYPERLINK("https://www.philgeps.gov.ph/GEPSNONPILOT/Tender/SplashBidNoticeAbstractUI.aspx?menuIndex=3&amp;refID=7069542&amp;Result=3","7069542")</f>
        <v>0</v>
      </c>
      <c r="B9997" t="s">
        <v>1902</v>
      </c>
      <c r="C9997" t="s">
        <v>13053</v>
      </c>
      <c r="D9997" t="s">
        <v>18122</v>
      </c>
      <c r="E9997" t="s">
        <v>26883</v>
      </c>
      <c r="F9997" t="s">
        <v>31362</v>
      </c>
      <c r="G9997" t="s">
        <v>31369</v>
      </c>
      <c r="H9997" t="s">
        <v>15799</v>
      </c>
      <c r="I9997" t="s">
        <v>3815</v>
      </c>
      <c r="J9997" t="s">
        <v>37618</v>
      </c>
      <c r="K9997" t="s">
        <v>40677</v>
      </c>
      <c r="M9997" t="s">
        <v>42997</v>
      </c>
      <c r="N9997" t="s">
        <v>44905</v>
      </c>
      <c r="O9997" t="s">
        <v>44906</v>
      </c>
      <c r="P9997">
        <v>0</v>
      </c>
      <c r="Q9997">
        <v>6</v>
      </c>
      <c r="R9997" t="s">
        <v>44914</v>
      </c>
      <c r="S9997" t="s">
        <v>45202</v>
      </c>
      <c r="T9997" t="s">
        <v>46569</v>
      </c>
      <c r="U9997" t="s">
        <v>54970</v>
      </c>
      <c r="W9997" t="s">
        <v>42997</v>
      </c>
      <c r="X9997" t="s">
        <v>44915</v>
      </c>
    </row>
    <row r="9998" spans="1:24">
      <c r="A9998">
        <f>HYPERLINK("https://www.philgeps.gov.ph/GEPSNONPILOT/Tender/SplashBidNoticeAbstractUI.aspx?menuIndex=3&amp;refID=7069444&amp;Result=3","7069444")</f>
        <v>0</v>
      </c>
      <c r="B9998" t="s">
        <v>2655</v>
      </c>
      <c r="C9998" t="s">
        <v>13054</v>
      </c>
      <c r="D9998" t="s">
        <v>18163</v>
      </c>
      <c r="E9998" t="s">
        <v>26884</v>
      </c>
      <c r="F9998" t="s">
        <v>31362</v>
      </c>
      <c r="G9998" t="s">
        <v>31369</v>
      </c>
      <c r="H9998" t="s">
        <v>15799</v>
      </c>
      <c r="I9998" t="s">
        <v>31409</v>
      </c>
      <c r="J9998" t="s">
        <v>34854</v>
      </c>
      <c r="K9998" t="s">
        <v>40682</v>
      </c>
      <c r="L9998" t="s">
        <v>2655</v>
      </c>
      <c r="M9998" t="s">
        <v>43839</v>
      </c>
      <c r="N9998" t="s">
        <v>44905</v>
      </c>
      <c r="O9998" t="s">
        <v>44906</v>
      </c>
      <c r="P9998">
        <v>0</v>
      </c>
      <c r="Q9998">
        <v>5</v>
      </c>
      <c r="R9998" t="s">
        <v>44914</v>
      </c>
      <c r="S9998" t="s">
        <v>45202</v>
      </c>
      <c r="T9998" t="s">
        <v>46620</v>
      </c>
      <c r="U9998" t="s">
        <v>54971</v>
      </c>
      <c r="W9998" t="s">
        <v>43839</v>
      </c>
      <c r="X9998" t="s">
        <v>44915</v>
      </c>
    </row>
    <row r="9999" spans="1:24">
      <c r="A9999">
        <f>HYPERLINK("https://www.philgeps.gov.ph/GEPSNONPILOT/Tender/SplashBidNoticeAbstractUI.aspx?menuIndex=3&amp;refID=7069441&amp;Result=3","7069441")</f>
        <v>0</v>
      </c>
      <c r="B9999" t="s">
        <v>2849</v>
      </c>
      <c r="C9999" t="s">
        <v>13055</v>
      </c>
      <c r="D9999" t="s">
        <v>18165</v>
      </c>
      <c r="E9999" t="s">
        <v>26885</v>
      </c>
      <c r="F9999" t="s">
        <v>31362</v>
      </c>
      <c r="G9999" t="s">
        <v>31369</v>
      </c>
      <c r="H9999" t="s">
        <v>15799</v>
      </c>
      <c r="I9999" t="s">
        <v>31404</v>
      </c>
      <c r="J9999" t="s">
        <v>37619</v>
      </c>
      <c r="K9999" t="s">
        <v>40661</v>
      </c>
      <c r="M9999" t="s">
        <v>44050</v>
      </c>
      <c r="N9999" t="s">
        <v>44905</v>
      </c>
      <c r="O9999" t="s">
        <v>44906</v>
      </c>
      <c r="P9999">
        <v>0</v>
      </c>
      <c r="Q9999">
        <v>0</v>
      </c>
      <c r="R9999" t="s">
        <v>44914</v>
      </c>
      <c r="S9999" t="s">
        <v>45202</v>
      </c>
      <c r="T9999" t="s">
        <v>46410</v>
      </c>
      <c r="U9999" t="s">
        <v>54972</v>
      </c>
      <c r="W9999" t="s">
        <v>44050</v>
      </c>
      <c r="X9999" t="s">
        <v>44915</v>
      </c>
    </row>
    <row r="10000" spans="1:24">
      <c r="A10000">
        <f>HYPERLINK("https://www.philgeps.gov.ph/GEPSNONPILOT/Tender/SplashBidNoticeAbstractUI.aspx?menuIndex=3&amp;refID=7069534&amp;Result=3","7069534")</f>
        <v>0</v>
      </c>
      <c r="B10000" t="s">
        <v>234</v>
      </c>
      <c r="C10000" t="s">
        <v>13056</v>
      </c>
      <c r="D10000" t="s">
        <v>18108</v>
      </c>
      <c r="E10000" t="s">
        <v>26886</v>
      </c>
      <c r="F10000" t="s">
        <v>31362</v>
      </c>
      <c r="G10000" t="s">
        <v>31372</v>
      </c>
      <c r="H10000" t="s">
        <v>15799</v>
      </c>
      <c r="I10000" t="s">
        <v>31413</v>
      </c>
      <c r="J10000" t="s">
        <v>37620</v>
      </c>
      <c r="K10000" t="s">
        <v>40684</v>
      </c>
      <c r="M10000" t="s">
        <v>44051</v>
      </c>
      <c r="N10000" t="s">
        <v>44905</v>
      </c>
      <c r="O10000" t="s">
        <v>44906</v>
      </c>
      <c r="Q10000">
        <v>3</v>
      </c>
      <c r="R10000" t="s">
        <v>44914</v>
      </c>
      <c r="S10000" t="s">
        <v>45058</v>
      </c>
      <c r="T10000" t="s">
        <v>46509</v>
      </c>
      <c r="U10000" t="s">
        <v>54973</v>
      </c>
      <c r="W10000" t="s">
        <v>44051</v>
      </c>
      <c r="X10000" t="s">
        <v>44915</v>
      </c>
    </row>
    <row r="10001" spans="1:24">
      <c r="A10001">
        <f>HYPERLINK("https://www.philgeps.gov.ph/GEPSNONPILOT/Tender/SplashBidNoticeAbstractUI.aspx?menuIndex=3&amp;refID=7069530&amp;Result=3","7069530")</f>
        <v>0</v>
      </c>
      <c r="B10001" t="s">
        <v>2850</v>
      </c>
      <c r="C10001" t="s">
        <v>13057</v>
      </c>
      <c r="D10001" t="s">
        <v>18148</v>
      </c>
      <c r="E10001" t="s">
        <v>26887</v>
      </c>
      <c r="F10001" t="s">
        <v>31362</v>
      </c>
      <c r="G10001" t="s">
        <v>31369</v>
      </c>
      <c r="H10001" t="s">
        <v>15799</v>
      </c>
      <c r="I10001" t="s">
        <v>31436</v>
      </c>
      <c r="J10001" t="s">
        <v>37621</v>
      </c>
      <c r="K10001" t="s">
        <v>40662</v>
      </c>
      <c r="M10001" t="s">
        <v>44052</v>
      </c>
      <c r="N10001" t="s">
        <v>44905</v>
      </c>
      <c r="O10001" t="s">
        <v>44906</v>
      </c>
      <c r="Q10001">
        <v>2</v>
      </c>
      <c r="R10001" t="s">
        <v>44914</v>
      </c>
      <c r="S10001" t="s">
        <v>45228</v>
      </c>
      <c r="T10001" t="s">
        <v>46672</v>
      </c>
      <c r="U10001" t="s">
        <v>54974</v>
      </c>
      <c r="W10001" t="s">
        <v>44052</v>
      </c>
      <c r="X10001" t="s">
        <v>44915</v>
      </c>
    </row>
    <row r="10002" spans="1:24">
      <c r="A10002">
        <f>HYPERLINK("https://www.philgeps.gov.ph/GEPSNONPILOT/Tender/SplashBidNoticeAbstractUI.aspx?menuIndex=3&amp;refID=7069526&amp;Result=3","7069526")</f>
        <v>0</v>
      </c>
      <c r="B10002" t="s">
        <v>2847</v>
      </c>
      <c r="C10002" t="s">
        <v>13058</v>
      </c>
      <c r="D10002" t="s">
        <v>18175</v>
      </c>
      <c r="E10002" t="s">
        <v>26888</v>
      </c>
      <c r="F10002" t="s">
        <v>31362</v>
      </c>
      <c r="G10002" t="s">
        <v>31369</v>
      </c>
      <c r="H10002" t="s">
        <v>15799</v>
      </c>
      <c r="I10002" t="s">
        <v>31455</v>
      </c>
      <c r="J10002" t="s">
        <v>31637</v>
      </c>
      <c r="K10002" t="s">
        <v>40682</v>
      </c>
      <c r="M10002" t="s">
        <v>44048</v>
      </c>
      <c r="N10002" t="s">
        <v>44905</v>
      </c>
      <c r="O10002" t="s">
        <v>44906</v>
      </c>
      <c r="P10002">
        <v>0</v>
      </c>
      <c r="Q10002">
        <v>0</v>
      </c>
      <c r="R10002" t="s">
        <v>44914</v>
      </c>
      <c r="S10002" t="s">
        <v>45202</v>
      </c>
      <c r="T10002" t="s">
        <v>46433</v>
      </c>
      <c r="U10002" t="s">
        <v>54975</v>
      </c>
      <c r="W10002" t="s">
        <v>44048</v>
      </c>
      <c r="X10002" t="s">
        <v>44915</v>
      </c>
    </row>
    <row r="10003" spans="1:24">
      <c r="A10003">
        <f>HYPERLINK("https://www.philgeps.gov.ph/GEPSNONPILOT/Tender/SplashBidNoticeAbstractUI.aspx?menuIndex=3&amp;refID=7069521&amp;Result=3","7069521")</f>
        <v>0</v>
      </c>
      <c r="B10003" t="s">
        <v>1004</v>
      </c>
      <c r="C10003" t="s">
        <v>13059</v>
      </c>
      <c r="D10003" t="s">
        <v>18101</v>
      </c>
      <c r="E10003" t="s">
        <v>18952</v>
      </c>
      <c r="F10003" t="s">
        <v>31362</v>
      </c>
      <c r="G10003" t="s">
        <v>31369</v>
      </c>
      <c r="H10003" t="s">
        <v>15799</v>
      </c>
      <c r="I10003" t="s">
        <v>31392</v>
      </c>
      <c r="J10003" t="s">
        <v>37622</v>
      </c>
      <c r="K10003" t="s">
        <v>40670</v>
      </c>
      <c r="M10003" t="s">
        <v>42001</v>
      </c>
      <c r="N10003" t="s">
        <v>44905</v>
      </c>
      <c r="O10003" t="s">
        <v>44906</v>
      </c>
      <c r="P10003">
        <v>0</v>
      </c>
      <c r="Q10003">
        <v>1</v>
      </c>
      <c r="R10003" t="s">
        <v>44914</v>
      </c>
      <c r="S10003" t="s">
        <v>45202</v>
      </c>
      <c r="T10003" t="s">
        <v>46486</v>
      </c>
      <c r="U10003" t="s">
        <v>54976</v>
      </c>
      <c r="W10003" t="s">
        <v>42001</v>
      </c>
      <c r="X10003" t="s">
        <v>44915</v>
      </c>
    </row>
    <row r="10004" spans="1:24">
      <c r="A10004">
        <f>HYPERLINK("https://www.philgeps.gov.ph/GEPSNONPILOT/Tender/SplashBidNoticeAbstractUI.aspx?menuIndex=3&amp;refID=7069458&amp;Result=3","7069458")</f>
        <v>0</v>
      </c>
      <c r="B10004" t="s">
        <v>2078</v>
      </c>
      <c r="C10004" t="s">
        <v>13060</v>
      </c>
      <c r="D10004" t="s">
        <v>18179</v>
      </c>
      <c r="E10004" t="s">
        <v>26889</v>
      </c>
      <c r="F10004" t="s">
        <v>31362</v>
      </c>
      <c r="G10004" t="s">
        <v>31369</v>
      </c>
      <c r="H10004" t="s">
        <v>31378</v>
      </c>
      <c r="I10004" t="s">
        <v>31386</v>
      </c>
      <c r="J10004" t="s">
        <v>37606</v>
      </c>
      <c r="K10004" t="s">
        <v>40666</v>
      </c>
      <c r="M10004" t="s">
        <v>43200</v>
      </c>
      <c r="N10004" t="s">
        <v>44905</v>
      </c>
      <c r="O10004" t="s">
        <v>44906</v>
      </c>
      <c r="P10004">
        <v>0</v>
      </c>
      <c r="Q10004">
        <v>0</v>
      </c>
      <c r="R10004" t="s">
        <v>44914</v>
      </c>
      <c r="S10004" t="s">
        <v>45202</v>
      </c>
      <c r="T10004" t="s">
        <v>46479</v>
      </c>
      <c r="U10004" t="s">
        <v>52449</v>
      </c>
      <c r="W10004" t="s">
        <v>43200</v>
      </c>
      <c r="X10004" t="s">
        <v>44915</v>
      </c>
    </row>
    <row r="10005" spans="1:24">
      <c r="A10005">
        <f>HYPERLINK("https://www.philgeps.gov.ph/GEPSNONPILOT/Tender/SplashBidNoticeAbstractUI.aspx?menuIndex=3&amp;refID=7069512&amp;Result=3","7069512")</f>
        <v>0</v>
      </c>
      <c r="B10005" t="s">
        <v>2819</v>
      </c>
      <c r="C10005" t="s">
        <v>13061</v>
      </c>
      <c r="D10005" t="s">
        <v>18125</v>
      </c>
      <c r="E10005" t="s">
        <v>26890</v>
      </c>
      <c r="F10005" t="s">
        <v>31362</v>
      </c>
      <c r="G10005" t="s">
        <v>31368</v>
      </c>
      <c r="H10005" t="s">
        <v>15799</v>
      </c>
      <c r="I10005" t="s">
        <v>6373</v>
      </c>
      <c r="J10005" t="s">
        <v>31579</v>
      </c>
      <c r="K10005" t="s">
        <v>40682</v>
      </c>
      <c r="M10005" t="s">
        <v>44018</v>
      </c>
      <c r="N10005" t="s">
        <v>44905</v>
      </c>
      <c r="O10005" t="s">
        <v>44906</v>
      </c>
      <c r="P10005">
        <v>0</v>
      </c>
      <c r="Q10005">
        <v>17</v>
      </c>
      <c r="R10005" t="s">
        <v>44914</v>
      </c>
      <c r="S10005" t="s">
        <v>45202</v>
      </c>
      <c r="T10005" t="s">
        <v>46459</v>
      </c>
      <c r="U10005" t="s">
        <v>54977</v>
      </c>
      <c r="W10005" t="s">
        <v>60942</v>
      </c>
      <c r="X10005" t="s">
        <v>44915</v>
      </c>
    </row>
    <row r="10006" spans="1:24">
      <c r="A10006">
        <f>HYPERLINK("https://www.philgeps.gov.ph/GEPSNONPILOT/Tender/SplashBidNoticeAbstractUI.aspx?menuIndex=3&amp;refID=7069541&amp;Result=3","7069541")</f>
        <v>0</v>
      </c>
      <c r="B10006" t="s">
        <v>2833</v>
      </c>
      <c r="C10006" t="s">
        <v>13062</v>
      </c>
      <c r="D10006" t="s">
        <v>18110</v>
      </c>
      <c r="E10006" t="s">
        <v>26891</v>
      </c>
      <c r="F10006" t="s">
        <v>31362</v>
      </c>
      <c r="G10006" t="s">
        <v>31369</v>
      </c>
      <c r="H10006" t="s">
        <v>31378</v>
      </c>
      <c r="I10006" t="s">
        <v>31386</v>
      </c>
      <c r="J10006" t="s">
        <v>37623</v>
      </c>
      <c r="K10006" t="s">
        <v>40682</v>
      </c>
      <c r="M10006" t="s">
        <v>44034</v>
      </c>
      <c r="N10006" t="s">
        <v>44905</v>
      </c>
      <c r="O10006" t="s">
        <v>44906</v>
      </c>
      <c r="P10006">
        <v>0</v>
      </c>
      <c r="Q10006">
        <v>2</v>
      </c>
      <c r="R10006" t="s">
        <v>44914</v>
      </c>
      <c r="S10006" t="s">
        <v>45202</v>
      </c>
      <c r="T10006" t="s">
        <v>46671</v>
      </c>
      <c r="U10006" t="s">
        <v>54978</v>
      </c>
      <c r="V10006" t="s">
        <v>60132</v>
      </c>
      <c r="W10006" t="s">
        <v>44034</v>
      </c>
      <c r="X10006" t="s">
        <v>44915</v>
      </c>
    </row>
    <row r="10007" spans="1:24">
      <c r="A10007">
        <f>HYPERLINK("https://www.philgeps.gov.ph/GEPSNONPILOT/Tender/SplashBidNoticeAbstractUI.aspx?menuIndex=3&amp;refID=7069511&amp;Result=3","7069511")</f>
        <v>0</v>
      </c>
      <c r="B10007" t="s">
        <v>2829</v>
      </c>
      <c r="C10007" t="s">
        <v>10034</v>
      </c>
      <c r="D10007" t="s">
        <v>18151</v>
      </c>
      <c r="E10007" t="s">
        <v>20328</v>
      </c>
      <c r="F10007" t="s">
        <v>31362</v>
      </c>
      <c r="G10007" t="s">
        <v>31369</v>
      </c>
      <c r="H10007" t="s">
        <v>31378</v>
      </c>
      <c r="I10007" t="s">
        <v>31386</v>
      </c>
      <c r="J10007" t="s">
        <v>31625</v>
      </c>
      <c r="K10007" t="s">
        <v>40679</v>
      </c>
      <c r="M10007" t="s">
        <v>44029</v>
      </c>
      <c r="N10007" t="s">
        <v>44905</v>
      </c>
      <c r="O10007" t="s">
        <v>44906</v>
      </c>
      <c r="P10007">
        <v>0</v>
      </c>
      <c r="Q10007">
        <v>0</v>
      </c>
      <c r="R10007" t="s">
        <v>44914</v>
      </c>
      <c r="S10007" t="s">
        <v>45202</v>
      </c>
      <c r="T10007" t="s">
        <v>46549</v>
      </c>
      <c r="U10007" t="s">
        <v>54979</v>
      </c>
      <c r="W10007" t="s">
        <v>44029</v>
      </c>
      <c r="X10007" t="s">
        <v>44915</v>
      </c>
    </row>
    <row r="10008" spans="1:24">
      <c r="A10008">
        <f>HYPERLINK("https://www.philgeps.gov.ph/GEPSNONPILOT/Tender/SplashBidNoticeAbstractUI.aspx?menuIndex=3&amp;refID=7069508&amp;Result=3","7069508")</f>
        <v>0</v>
      </c>
      <c r="B10008" t="s">
        <v>1483</v>
      </c>
      <c r="C10008" t="s">
        <v>13063</v>
      </c>
      <c r="D10008" t="s">
        <v>18131</v>
      </c>
      <c r="E10008" t="s">
        <v>26892</v>
      </c>
      <c r="F10008" t="s">
        <v>31362</v>
      </c>
      <c r="G10008" t="s">
        <v>31369</v>
      </c>
      <c r="H10008" t="s">
        <v>31378</v>
      </c>
      <c r="I10008" t="s">
        <v>31386</v>
      </c>
      <c r="J10008" t="s">
        <v>37624</v>
      </c>
      <c r="K10008" t="s">
        <v>40833</v>
      </c>
      <c r="M10008" t="s">
        <v>42520</v>
      </c>
      <c r="N10008" t="s">
        <v>44905</v>
      </c>
      <c r="O10008" t="s">
        <v>44906</v>
      </c>
      <c r="P10008">
        <v>0</v>
      </c>
      <c r="Q10008">
        <v>21</v>
      </c>
      <c r="R10008" t="s">
        <v>44914</v>
      </c>
      <c r="S10008" t="s">
        <v>45202</v>
      </c>
      <c r="T10008" t="s">
        <v>46504</v>
      </c>
      <c r="U10008" t="s">
        <v>54957</v>
      </c>
      <c r="V10008" t="s">
        <v>59468</v>
      </c>
      <c r="W10008" t="s">
        <v>42520</v>
      </c>
      <c r="X10008" t="s">
        <v>44915</v>
      </c>
    </row>
    <row r="10009" spans="1:24">
      <c r="A10009">
        <f>HYPERLINK("https://www.philgeps.gov.ph/GEPSNONPILOT/Tender/SplashBidNoticeAbstractUI.aspx?menuIndex=3&amp;refID=7069499&amp;Result=3","7069499")</f>
        <v>0</v>
      </c>
      <c r="B10009" t="s">
        <v>2851</v>
      </c>
      <c r="C10009" t="s">
        <v>13064</v>
      </c>
      <c r="D10009" t="s">
        <v>18164</v>
      </c>
      <c r="E10009" t="s">
        <v>26893</v>
      </c>
      <c r="F10009" t="s">
        <v>31362</v>
      </c>
      <c r="G10009" t="s">
        <v>31372</v>
      </c>
      <c r="H10009" t="s">
        <v>15799</v>
      </c>
      <c r="I10009" t="s">
        <v>3815</v>
      </c>
      <c r="J10009" t="s">
        <v>37625</v>
      </c>
      <c r="K10009" t="s">
        <v>40675</v>
      </c>
      <c r="M10009" t="s">
        <v>44053</v>
      </c>
      <c r="N10009" t="s">
        <v>44905</v>
      </c>
      <c r="O10009" t="s">
        <v>44906</v>
      </c>
      <c r="P10009">
        <v>0</v>
      </c>
      <c r="Q10009">
        <v>0</v>
      </c>
      <c r="R10009" t="s">
        <v>44914</v>
      </c>
      <c r="S10009" t="s">
        <v>45202</v>
      </c>
      <c r="T10009" t="s">
        <v>46432</v>
      </c>
      <c r="U10009" t="s">
        <v>54980</v>
      </c>
      <c r="W10009" t="s">
        <v>44053</v>
      </c>
      <c r="X10009" t="s">
        <v>44915</v>
      </c>
    </row>
    <row r="10010" spans="1:24">
      <c r="A10010">
        <f>HYPERLINK("https://www.philgeps.gov.ph/GEPSNONPILOT/Tender/SplashBidNoticeAbstractUI.aspx?menuIndex=3&amp;refID=7069496&amp;Result=3","7069496")</f>
        <v>0</v>
      </c>
      <c r="B10010" t="s">
        <v>2847</v>
      </c>
      <c r="C10010" t="s">
        <v>13065</v>
      </c>
      <c r="D10010" t="s">
        <v>18175</v>
      </c>
      <c r="E10010" t="s">
        <v>26894</v>
      </c>
      <c r="F10010" t="s">
        <v>31362</v>
      </c>
      <c r="G10010" t="s">
        <v>31369</v>
      </c>
      <c r="H10010" t="s">
        <v>15799</v>
      </c>
      <c r="I10010" t="s">
        <v>31442</v>
      </c>
      <c r="J10010" t="s">
        <v>37626</v>
      </c>
      <c r="K10010" t="s">
        <v>40665</v>
      </c>
      <c r="M10010" t="s">
        <v>44048</v>
      </c>
      <c r="N10010" t="s">
        <v>44905</v>
      </c>
      <c r="O10010" t="s">
        <v>44906</v>
      </c>
      <c r="P10010">
        <v>0</v>
      </c>
      <c r="Q10010">
        <v>8</v>
      </c>
      <c r="R10010" t="s">
        <v>44914</v>
      </c>
      <c r="S10010" t="s">
        <v>45202</v>
      </c>
      <c r="T10010" t="s">
        <v>46433</v>
      </c>
      <c r="U10010" t="s">
        <v>54981</v>
      </c>
      <c r="W10010" t="s">
        <v>44048</v>
      </c>
      <c r="X10010" t="s">
        <v>44915</v>
      </c>
    </row>
    <row r="10011" spans="1:24">
      <c r="A10011">
        <f>HYPERLINK("https://www.philgeps.gov.ph/GEPSNONPILOT/Tender/SplashBidNoticeAbstractUI.aspx?menuIndex=3&amp;refID=7069509&amp;Result=3","7069509")</f>
        <v>0</v>
      </c>
      <c r="B10011" t="s">
        <v>2837</v>
      </c>
      <c r="C10011" t="s">
        <v>13066</v>
      </c>
      <c r="D10011" t="s">
        <v>18140</v>
      </c>
      <c r="E10011" t="s">
        <v>26895</v>
      </c>
      <c r="F10011" t="s">
        <v>31362</v>
      </c>
      <c r="G10011" t="s">
        <v>31369</v>
      </c>
      <c r="H10011" t="s">
        <v>31378</v>
      </c>
      <c r="I10011" t="s">
        <v>31386</v>
      </c>
      <c r="J10011" t="s">
        <v>37627</v>
      </c>
      <c r="K10011" t="s">
        <v>40695</v>
      </c>
      <c r="M10011" t="s">
        <v>44038</v>
      </c>
      <c r="N10011" t="s">
        <v>44905</v>
      </c>
      <c r="O10011" t="s">
        <v>44906</v>
      </c>
      <c r="P10011">
        <v>0</v>
      </c>
      <c r="Q10011">
        <v>1</v>
      </c>
      <c r="R10011" t="s">
        <v>44914</v>
      </c>
      <c r="S10011" t="s">
        <v>45202</v>
      </c>
      <c r="T10011" t="s">
        <v>46447</v>
      </c>
      <c r="U10011" t="s">
        <v>54982</v>
      </c>
      <c r="W10011" t="s">
        <v>44038</v>
      </c>
      <c r="X10011" t="s">
        <v>44915</v>
      </c>
    </row>
    <row r="10012" spans="1:24">
      <c r="A10012">
        <f>HYPERLINK("https://www.philgeps.gov.ph/GEPSNONPILOT/Tender/SplashBidNoticeAbstractUI.aspx?menuIndex=3&amp;refID=7069488&amp;Result=3","7069488")</f>
        <v>0</v>
      </c>
      <c r="B10012" t="s">
        <v>2829</v>
      </c>
      <c r="C10012" t="s">
        <v>13067</v>
      </c>
      <c r="D10012" t="s">
        <v>18151</v>
      </c>
      <c r="E10012" t="s">
        <v>19737</v>
      </c>
      <c r="F10012" t="s">
        <v>31362</v>
      </c>
      <c r="G10012" t="s">
        <v>31369</v>
      </c>
      <c r="H10012" t="s">
        <v>31378</v>
      </c>
      <c r="I10012" t="s">
        <v>31386</v>
      </c>
      <c r="J10012" t="s">
        <v>31606</v>
      </c>
      <c r="K10012" t="s">
        <v>40683</v>
      </c>
      <c r="M10012" t="s">
        <v>44029</v>
      </c>
      <c r="N10012" t="s">
        <v>44905</v>
      </c>
      <c r="O10012" t="s">
        <v>44906</v>
      </c>
      <c r="P10012">
        <v>0</v>
      </c>
      <c r="Q10012">
        <v>0</v>
      </c>
      <c r="R10012" t="s">
        <v>44914</v>
      </c>
      <c r="S10012" t="s">
        <v>45202</v>
      </c>
      <c r="T10012" t="s">
        <v>46549</v>
      </c>
      <c r="U10012" t="s">
        <v>54983</v>
      </c>
      <c r="W10012" t="s">
        <v>44029</v>
      </c>
      <c r="X10012" t="s">
        <v>44915</v>
      </c>
    </row>
    <row r="10013" spans="1:24">
      <c r="A10013">
        <f>HYPERLINK("https://www.philgeps.gov.ph/GEPSNONPILOT/Tender/SplashBidNoticeAbstractUI.aspx?menuIndex=3&amp;refID=7069362&amp;Result=3","7069362")</f>
        <v>0</v>
      </c>
      <c r="B10013" t="s">
        <v>2838</v>
      </c>
      <c r="C10013" t="s">
        <v>13068</v>
      </c>
      <c r="D10013" t="s">
        <v>18100</v>
      </c>
      <c r="E10013" t="s">
        <v>26896</v>
      </c>
      <c r="F10013" t="s">
        <v>31362</v>
      </c>
      <c r="G10013" t="s">
        <v>31369</v>
      </c>
      <c r="H10013" t="s">
        <v>31378</v>
      </c>
      <c r="I10013" t="s">
        <v>31386</v>
      </c>
      <c r="J10013" t="s">
        <v>37628</v>
      </c>
      <c r="K10013" t="s">
        <v>40686</v>
      </c>
      <c r="M10013" t="s">
        <v>44039</v>
      </c>
      <c r="N10013" t="s">
        <v>44905</v>
      </c>
      <c r="O10013" t="s">
        <v>44906</v>
      </c>
      <c r="P10013">
        <v>0</v>
      </c>
      <c r="Q10013">
        <v>4</v>
      </c>
      <c r="R10013" t="s">
        <v>44914</v>
      </c>
      <c r="S10013" t="s">
        <v>45202</v>
      </c>
      <c r="T10013" t="s">
        <v>46538</v>
      </c>
      <c r="U10013" t="s">
        <v>54984</v>
      </c>
      <c r="V10013" t="s">
        <v>60134</v>
      </c>
      <c r="W10013" t="s">
        <v>44039</v>
      </c>
      <c r="X10013" t="s">
        <v>44915</v>
      </c>
    </row>
    <row r="10014" spans="1:24">
      <c r="A10014">
        <f>HYPERLINK("https://www.philgeps.gov.ph/GEPSNONPILOT/Tender/SplashBidNoticeAbstractUI.aspx?menuIndex=3&amp;refID=7069482&amp;Result=3","7069482")</f>
        <v>0</v>
      </c>
      <c r="B10014" t="s">
        <v>1082</v>
      </c>
      <c r="C10014" t="s">
        <v>13069</v>
      </c>
      <c r="D10014" t="s">
        <v>18115</v>
      </c>
      <c r="E10014" t="s">
        <v>26897</v>
      </c>
      <c r="F10014" t="s">
        <v>31362</v>
      </c>
      <c r="G10014" t="s">
        <v>31369</v>
      </c>
      <c r="H10014" t="s">
        <v>15799</v>
      </c>
      <c r="I10014" t="s">
        <v>31387</v>
      </c>
      <c r="J10014" t="s">
        <v>37629</v>
      </c>
      <c r="K10014" t="s">
        <v>40661</v>
      </c>
      <c r="M10014" t="s">
        <v>42085</v>
      </c>
      <c r="N10014" t="s">
        <v>44905</v>
      </c>
      <c r="O10014" t="s">
        <v>44906</v>
      </c>
      <c r="P10014">
        <v>0</v>
      </c>
      <c r="Q10014">
        <v>4</v>
      </c>
      <c r="R10014" t="s">
        <v>44914</v>
      </c>
      <c r="S10014" t="s">
        <v>45202</v>
      </c>
      <c r="T10014" t="s">
        <v>46464</v>
      </c>
      <c r="U10014" t="s">
        <v>54985</v>
      </c>
      <c r="W10014" t="s">
        <v>42085</v>
      </c>
      <c r="X10014" t="s">
        <v>44915</v>
      </c>
    </row>
    <row r="10015" spans="1:24">
      <c r="A10015">
        <f>HYPERLINK("https://www.philgeps.gov.ph/GEPSNONPILOT/Tender/SplashBidNoticeAbstractUI.aspx?menuIndex=3&amp;refID=7069426&amp;Result=3","7069426")</f>
        <v>0</v>
      </c>
      <c r="B10015" t="s">
        <v>219</v>
      </c>
      <c r="C10015" t="s">
        <v>13070</v>
      </c>
      <c r="D10015" t="s">
        <v>18124</v>
      </c>
      <c r="E10015" t="s">
        <v>26898</v>
      </c>
      <c r="F10015" t="s">
        <v>31362</v>
      </c>
      <c r="G10015" t="s">
        <v>31369</v>
      </c>
      <c r="H10015" t="s">
        <v>15799</v>
      </c>
      <c r="I10015" t="s">
        <v>7090</v>
      </c>
      <c r="J10015" t="s">
        <v>37630</v>
      </c>
      <c r="K10015" t="s">
        <v>40666</v>
      </c>
      <c r="M10015" t="s">
        <v>44000</v>
      </c>
      <c r="N10015" t="s">
        <v>44905</v>
      </c>
      <c r="O10015" t="s">
        <v>44906</v>
      </c>
      <c r="P10015">
        <v>0</v>
      </c>
      <c r="Q10015">
        <v>0</v>
      </c>
      <c r="R10015" t="s">
        <v>44914</v>
      </c>
      <c r="S10015" t="s">
        <v>45202</v>
      </c>
      <c r="T10015" t="s">
        <v>46419</v>
      </c>
      <c r="U10015" t="s">
        <v>54986</v>
      </c>
      <c r="W10015" t="s">
        <v>41751</v>
      </c>
      <c r="X10015" t="s">
        <v>44915</v>
      </c>
    </row>
    <row r="10016" spans="1:24">
      <c r="A10016">
        <f>HYPERLINK("https://www.philgeps.gov.ph/GEPSNONPILOT/Tender/SplashBidNoticeAbstractUI.aspx?menuIndex=3&amp;refID=7069514&amp;Result=3","7069514")</f>
        <v>0</v>
      </c>
      <c r="B10016" t="s">
        <v>1648</v>
      </c>
      <c r="C10016" t="s">
        <v>13071</v>
      </c>
      <c r="D10016" t="s">
        <v>18104</v>
      </c>
      <c r="E10016" t="s">
        <v>26899</v>
      </c>
      <c r="F10016" t="s">
        <v>31362</v>
      </c>
      <c r="G10016" t="s">
        <v>31369</v>
      </c>
      <c r="H10016" t="s">
        <v>15799</v>
      </c>
      <c r="I10016" t="s">
        <v>31422</v>
      </c>
      <c r="J10016" t="s">
        <v>37631</v>
      </c>
      <c r="K10016" t="s">
        <v>40665</v>
      </c>
      <c r="M10016" t="s">
        <v>42713</v>
      </c>
      <c r="N10016" t="s">
        <v>44905</v>
      </c>
      <c r="O10016" t="s">
        <v>44906</v>
      </c>
      <c r="P10016">
        <v>0</v>
      </c>
      <c r="Q10016">
        <v>2</v>
      </c>
      <c r="R10016" t="s">
        <v>44914</v>
      </c>
      <c r="S10016" t="s">
        <v>45202</v>
      </c>
      <c r="T10016" t="s">
        <v>46454</v>
      </c>
      <c r="U10016" t="s">
        <v>54987</v>
      </c>
      <c r="W10016" t="s">
        <v>42713</v>
      </c>
      <c r="X10016" t="s">
        <v>44915</v>
      </c>
    </row>
    <row r="10017" spans="1:24">
      <c r="A10017">
        <f>HYPERLINK("https://www.philgeps.gov.ph/GEPSNONPILOT/Tender/SplashBidNoticeAbstractUI.aspx?menuIndex=3&amp;refID=7069446&amp;Result=3","7069446")</f>
        <v>0</v>
      </c>
      <c r="B10017" t="s">
        <v>249</v>
      </c>
      <c r="C10017" t="s">
        <v>13072</v>
      </c>
      <c r="D10017" t="s">
        <v>18110</v>
      </c>
      <c r="E10017" t="s">
        <v>26900</v>
      </c>
      <c r="F10017" t="s">
        <v>31362</v>
      </c>
      <c r="G10017" t="s">
        <v>31368</v>
      </c>
      <c r="H10017" t="s">
        <v>15799</v>
      </c>
      <c r="I10017" t="s">
        <v>31395</v>
      </c>
      <c r="J10017" t="s">
        <v>33381</v>
      </c>
      <c r="K10017" t="s">
        <v>40662</v>
      </c>
      <c r="M10017" t="s">
        <v>41188</v>
      </c>
      <c r="N10017" t="s">
        <v>44905</v>
      </c>
      <c r="O10017" t="s">
        <v>44906</v>
      </c>
      <c r="P10017">
        <v>0</v>
      </c>
      <c r="Q10017">
        <v>7</v>
      </c>
      <c r="R10017" t="s">
        <v>44914</v>
      </c>
      <c r="S10017" t="s">
        <v>45202</v>
      </c>
      <c r="T10017" t="s">
        <v>46432</v>
      </c>
      <c r="U10017" t="s">
        <v>47345</v>
      </c>
      <c r="W10017" t="s">
        <v>41188</v>
      </c>
      <c r="X10017" t="s">
        <v>44915</v>
      </c>
    </row>
    <row r="10018" spans="1:24">
      <c r="A10018">
        <f>HYPERLINK("https://www.philgeps.gov.ph/GEPSNONPILOT/Tender/SplashBidNoticeAbstractUI.aspx?menuIndex=3&amp;refID=7069556&amp;Result=3","7069556")</f>
        <v>0</v>
      </c>
      <c r="B10018" t="s">
        <v>2300</v>
      </c>
      <c r="C10018" t="s">
        <v>13073</v>
      </c>
      <c r="D10018" t="s">
        <v>18148</v>
      </c>
      <c r="E10018" t="s">
        <v>26901</v>
      </c>
      <c r="F10018" t="s">
        <v>31362</v>
      </c>
      <c r="G10018" t="s">
        <v>31369</v>
      </c>
      <c r="H10018" t="s">
        <v>15799</v>
      </c>
      <c r="I10018" t="s">
        <v>31426</v>
      </c>
      <c r="J10018" t="s">
        <v>37632</v>
      </c>
      <c r="K10018" t="s">
        <v>40679</v>
      </c>
      <c r="M10018" t="s">
        <v>43440</v>
      </c>
      <c r="N10018" t="s">
        <v>44905</v>
      </c>
      <c r="O10018" t="s">
        <v>44906</v>
      </c>
      <c r="P10018">
        <v>0</v>
      </c>
      <c r="Q10018">
        <v>4</v>
      </c>
      <c r="R10018" t="s">
        <v>44914</v>
      </c>
      <c r="S10018" t="s">
        <v>45202</v>
      </c>
      <c r="T10018" t="s">
        <v>46616</v>
      </c>
      <c r="U10018" t="s">
        <v>54988</v>
      </c>
      <c r="W10018" t="s">
        <v>43440</v>
      </c>
      <c r="X10018" t="s">
        <v>44915</v>
      </c>
    </row>
    <row r="10019" spans="1:24">
      <c r="A10019">
        <f>HYPERLINK("https://www.philgeps.gov.ph/GEPSNONPILOT/Tender/SplashBidNoticeAbstractUI.aspx?menuIndex=3&amp;refID=7069523&amp;Result=3","7069523")</f>
        <v>0</v>
      </c>
      <c r="B10019" t="s">
        <v>262</v>
      </c>
      <c r="C10019" t="s">
        <v>13074</v>
      </c>
      <c r="E10019" t="s">
        <v>26902</v>
      </c>
      <c r="F10019" t="s">
        <v>31362</v>
      </c>
      <c r="G10019" t="s">
        <v>31369</v>
      </c>
      <c r="H10019" t="s">
        <v>31378</v>
      </c>
      <c r="I10019" t="s">
        <v>31386</v>
      </c>
      <c r="J10019" t="s">
        <v>37633</v>
      </c>
      <c r="K10019" t="s">
        <v>40686</v>
      </c>
      <c r="M10019" t="s">
        <v>42051</v>
      </c>
      <c r="N10019" t="s">
        <v>44905</v>
      </c>
      <c r="O10019" t="s">
        <v>44906</v>
      </c>
      <c r="P10019">
        <v>0</v>
      </c>
      <c r="Q10019">
        <v>1</v>
      </c>
      <c r="R10019" t="s">
        <v>44914</v>
      </c>
      <c r="S10019" t="s">
        <v>45202</v>
      </c>
      <c r="T10019" t="s">
        <v>46691</v>
      </c>
      <c r="U10019" t="s">
        <v>54989</v>
      </c>
      <c r="W10019" t="s">
        <v>42051</v>
      </c>
      <c r="X10019" t="s">
        <v>44915</v>
      </c>
    </row>
    <row r="10020" spans="1:24">
      <c r="A10020">
        <f>HYPERLINK("https://www.philgeps.gov.ph/GEPSNONPILOT/Tender/SplashBidNoticeAbstractUI.aspx?menuIndex=3&amp;refID=7069473&amp;Result=3","7069473")</f>
        <v>0</v>
      </c>
      <c r="B10020" t="s">
        <v>468</v>
      </c>
      <c r="C10020" t="s">
        <v>13075</v>
      </c>
      <c r="D10020" t="s">
        <v>18126</v>
      </c>
      <c r="E10020" t="s">
        <v>26903</v>
      </c>
      <c r="F10020" t="s">
        <v>31362</v>
      </c>
      <c r="G10020" t="s">
        <v>31369</v>
      </c>
      <c r="H10020" t="s">
        <v>15799</v>
      </c>
      <c r="I10020" t="s">
        <v>31437</v>
      </c>
      <c r="J10020" t="s">
        <v>37634</v>
      </c>
      <c r="K10020" t="s">
        <v>40679</v>
      </c>
      <c r="M10020" t="s">
        <v>41422</v>
      </c>
      <c r="N10020" t="s">
        <v>44905</v>
      </c>
      <c r="O10020" t="s">
        <v>44906</v>
      </c>
      <c r="P10020">
        <v>0</v>
      </c>
      <c r="Q10020">
        <v>13</v>
      </c>
      <c r="R10020" t="s">
        <v>44914</v>
      </c>
      <c r="S10020" t="s">
        <v>45202</v>
      </c>
      <c r="T10020" t="s">
        <v>46419</v>
      </c>
      <c r="U10020" t="s">
        <v>54990</v>
      </c>
      <c r="W10020" t="s">
        <v>41422</v>
      </c>
      <c r="X10020" t="s">
        <v>44915</v>
      </c>
    </row>
    <row r="10021" spans="1:24">
      <c r="A10021">
        <f>HYPERLINK("https://www.philgeps.gov.ph/GEPSNONPILOT/Tender/SplashBidNoticeAbstractUI.aspx?menuIndex=3&amp;refID=7069435&amp;Result=3","7069435")</f>
        <v>0</v>
      </c>
      <c r="B10021" t="s">
        <v>2078</v>
      </c>
      <c r="C10021" t="s">
        <v>13076</v>
      </c>
      <c r="D10021" t="s">
        <v>18179</v>
      </c>
      <c r="E10021" t="s">
        <v>26904</v>
      </c>
      <c r="F10021" t="s">
        <v>31362</v>
      </c>
      <c r="G10021" t="s">
        <v>31369</v>
      </c>
      <c r="H10021" t="s">
        <v>31378</v>
      </c>
      <c r="I10021" t="s">
        <v>31386</v>
      </c>
      <c r="J10021" t="s">
        <v>37606</v>
      </c>
      <c r="K10021" t="s">
        <v>40666</v>
      </c>
      <c r="M10021" t="s">
        <v>43200</v>
      </c>
      <c r="N10021" t="s">
        <v>44905</v>
      </c>
      <c r="O10021" t="s">
        <v>44906</v>
      </c>
      <c r="P10021">
        <v>0</v>
      </c>
      <c r="Q10021">
        <v>0</v>
      </c>
      <c r="R10021" t="s">
        <v>44914</v>
      </c>
      <c r="S10021" t="s">
        <v>45202</v>
      </c>
      <c r="T10021" t="s">
        <v>46479</v>
      </c>
      <c r="U10021" t="s">
        <v>52449</v>
      </c>
      <c r="W10021" t="s">
        <v>43200</v>
      </c>
      <c r="X10021" t="s">
        <v>44915</v>
      </c>
    </row>
    <row r="10022" spans="1:24">
      <c r="A10022">
        <f>HYPERLINK("https://www.philgeps.gov.ph/GEPSNONPILOT/Tender/SplashBidNoticeAbstractUI.aspx?menuIndex=3&amp;refID=7069662&amp;Result=3","7069662")</f>
        <v>0</v>
      </c>
      <c r="B10022" t="s">
        <v>1902</v>
      </c>
      <c r="C10022" t="s">
        <v>13077</v>
      </c>
      <c r="D10022" t="s">
        <v>18122</v>
      </c>
      <c r="E10022" t="s">
        <v>26905</v>
      </c>
      <c r="F10022" t="s">
        <v>31362</v>
      </c>
      <c r="G10022" t="s">
        <v>31369</v>
      </c>
      <c r="H10022" t="s">
        <v>31378</v>
      </c>
      <c r="I10022" t="s">
        <v>31386</v>
      </c>
      <c r="J10022" t="s">
        <v>37635</v>
      </c>
      <c r="K10022" t="s">
        <v>40733</v>
      </c>
      <c r="M10022" t="s">
        <v>42997</v>
      </c>
      <c r="N10022" t="s">
        <v>44905</v>
      </c>
      <c r="O10022" t="s">
        <v>44906</v>
      </c>
      <c r="P10022">
        <v>0</v>
      </c>
      <c r="Q10022">
        <v>11</v>
      </c>
      <c r="R10022" t="s">
        <v>44914</v>
      </c>
      <c r="S10022" t="s">
        <v>45202</v>
      </c>
      <c r="T10022" t="s">
        <v>46569</v>
      </c>
      <c r="U10022" t="s">
        <v>54432</v>
      </c>
      <c r="W10022" t="s">
        <v>42997</v>
      </c>
      <c r="X10022" t="s">
        <v>44915</v>
      </c>
    </row>
    <row r="10023" spans="1:24">
      <c r="A10023">
        <f>HYPERLINK("https://www.philgeps.gov.ph/GEPSNONPILOT/Tender/SplashBidNoticeAbstractUI.aspx?menuIndex=3&amp;refID=7069649&amp;Result=3","7069649")</f>
        <v>0</v>
      </c>
      <c r="B10023" t="s">
        <v>2852</v>
      </c>
      <c r="C10023" t="s">
        <v>12651</v>
      </c>
      <c r="D10023" t="s">
        <v>18132</v>
      </c>
      <c r="E10023" t="s">
        <v>26906</v>
      </c>
      <c r="F10023" t="s">
        <v>31362</v>
      </c>
      <c r="G10023" t="s">
        <v>31369</v>
      </c>
      <c r="H10023" t="s">
        <v>15799</v>
      </c>
      <c r="I10023" t="s">
        <v>31385</v>
      </c>
      <c r="J10023" t="s">
        <v>37636</v>
      </c>
      <c r="K10023" t="s">
        <v>40666</v>
      </c>
      <c r="M10023" t="s">
        <v>44054</v>
      </c>
      <c r="N10023" t="s">
        <v>44905</v>
      </c>
      <c r="O10023" t="s">
        <v>44906</v>
      </c>
      <c r="P10023">
        <v>0</v>
      </c>
      <c r="Q10023">
        <v>1</v>
      </c>
      <c r="R10023" t="s">
        <v>44914</v>
      </c>
      <c r="S10023" t="s">
        <v>45202</v>
      </c>
      <c r="T10023" t="s">
        <v>46549</v>
      </c>
      <c r="U10023" t="s">
        <v>49764</v>
      </c>
      <c r="W10023" t="s">
        <v>44054</v>
      </c>
      <c r="X10023" t="s">
        <v>44915</v>
      </c>
    </row>
    <row r="10024" spans="1:24">
      <c r="A10024">
        <f>HYPERLINK("https://www.philgeps.gov.ph/GEPSNONPILOT/Tender/SplashBidNoticeAbstractUI.aspx?menuIndex=3&amp;refID=7069645&amp;Result=3","7069645")</f>
        <v>0</v>
      </c>
      <c r="B10024" t="s">
        <v>1419</v>
      </c>
      <c r="C10024" t="s">
        <v>13078</v>
      </c>
      <c r="D10024" t="s">
        <v>18136</v>
      </c>
      <c r="E10024" t="s">
        <v>26907</v>
      </c>
      <c r="F10024" t="s">
        <v>31362</v>
      </c>
      <c r="G10024" t="s">
        <v>31369</v>
      </c>
      <c r="H10024" t="s">
        <v>31378</v>
      </c>
      <c r="I10024" t="s">
        <v>31386</v>
      </c>
      <c r="J10024" t="s">
        <v>37637</v>
      </c>
      <c r="K10024" t="s">
        <v>40678</v>
      </c>
      <c r="M10024" t="s">
        <v>42446</v>
      </c>
      <c r="N10024" t="s">
        <v>44905</v>
      </c>
      <c r="O10024" t="s">
        <v>44906</v>
      </c>
      <c r="P10024">
        <v>0</v>
      </c>
      <c r="Q10024">
        <v>0</v>
      </c>
      <c r="R10024" t="s">
        <v>44914</v>
      </c>
      <c r="S10024" t="s">
        <v>45202</v>
      </c>
      <c r="T10024" t="s">
        <v>46618</v>
      </c>
      <c r="U10024" t="s">
        <v>54991</v>
      </c>
      <c r="W10024" t="s">
        <v>42446</v>
      </c>
      <c r="X10024" t="s">
        <v>44915</v>
      </c>
    </row>
    <row r="10025" spans="1:24">
      <c r="A10025">
        <f>HYPERLINK("https://www.philgeps.gov.ph/GEPSNONPILOT/Tender/SplashBidNoticeAbstractUI.aspx?menuIndex=3&amp;refID=7069638&amp;Result=3","7069638")</f>
        <v>0</v>
      </c>
      <c r="B10025" t="s">
        <v>262</v>
      </c>
      <c r="C10025" t="s">
        <v>13079</v>
      </c>
      <c r="E10025" t="s">
        <v>26908</v>
      </c>
      <c r="F10025" t="s">
        <v>31362</v>
      </c>
      <c r="G10025" t="s">
        <v>31369</v>
      </c>
      <c r="H10025" t="s">
        <v>31378</v>
      </c>
      <c r="I10025" t="s">
        <v>31386</v>
      </c>
      <c r="J10025" t="s">
        <v>37638</v>
      </c>
      <c r="K10025" t="s">
        <v>40683</v>
      </c>
      <c r="M10025" t="s">
        <v>42051</v>
      </c>
      <c r="N10025" t="s">
        <v>44905</v>
      </c>
      <c r="O10025" t="s">
        <v>44906</v>
      </c>
      <c r="P10025">
        <v>0</v>
      </c>
      <c r="Q10025">
        <v>0</v>
      </c>
      <c r="R10025" t="s">
        <v>44914</v>
      </c>
      <c r="S10025" t="s">
        <v>45202</v>
      </c>
      <c r="T10025" t="s">
        <v>46685</v>
      </c>
      <c r="U10025" t="s">
        <v>54992</v>
      </c>
      <c r="W10025" t="s">
        <v>42051</v>
      </c>
      <c r="X10025" t="s">
        <v>44915</v>
      </c>
    </row>
    <row r="10026" spans="1:24">
      <c r="A10026">
        <f>HYPERLINK("https://www.philgeps.gov.ph/GEPSNONPILOT/Tender/SplashBidNoticeAbstractUI.aspx?menuIndex=3&amp;refID=7069634&amp;Result=3","7069634")</f>
        <v>0</v>
      </c>
      <c r="B10026" t="s">
        <v>832</v>
      </c>
      <c r="C10026" t="s">
        <v>13080</v>
      </c>
      <c r="E10026" t="s">
        <v>26909</v>
      </c>
      <c r="F10026" t="s">
        <v>31362</v>
      </c>
      <c r="G10026" t="s">
        <v>31369</v>
      </c>
      <c r="H10026" t="s">
        <v>15799</v>
      </c>
      <c r="I10026" t="s">
        <v>31382</v>
      </c>
      <c r="J10026" t="s">
        <v>31738</v>
      </c>
      <c r="K10026" t="s">
        <v>40662</v>
      </c>
      <c r="M10026" t="s">
        <v>44055</v>
      </c>
      <c r="N10026" t="s">
        <v>44905</v>
      </c>
      <c r="O10026" t="s">
        <v>44906</v>
      </c>
      <c r="P10026">
        <v>0</v>
      </c>
      <c r="Q10026">
        <v>7</v>
      </c>
      <c r="R10026" t="s">
        <v>44914</v>
      </c>
      <c r="S10026" t="s">
        <v>45202</v>
      </c>
      <c r="T10026" t="s">
        <v>46671</v>
      </c>
      <c r="U10026" t="s">
        <v>54993</v>
      </c>
      <c r="W10026" t="s">
        <v>44055</v>
      </c>
      <c r="X10026" t="s">
        <v>44915</v>
      </c>
    </row>
    <row r="10027" spans="1:24">
      <c r="A10027">
        <f>HYPERLINK("https://www.philgeps.gov.ph/GEPSNONPILOT/Tender/SplashBidNoticeAbstractUI.aspx?menuIndex=3&amp;refID=7069610&amp;Result=3","7069610")</f>
        <v>0</v>
      </c>
      <c r="B10027" t="s">
        <v>2852</v>
      </c>
      <c r="C10027" t="s">
        <v>13081</v>
      </c>
      <c r="D10027" t="s">
        <v>18132</v>
      </c>
      <c r="E10027" t="s">
        <v>26910</v>
      </c>
      <c r="F10027" t="s">
        <v>31362</v>
      </c>
      <c r="G10027" t="s">
        <v>31369</v>
      </c>
      <c r="H10027" t="s">
        <v>15799</v>
      </c>
      <c r="I10027" t="s">
        <v>7188</v>
      </c>
      <c r="J10027" t="s">
        <v>31827</v>
      </c>
      <c r="K10027" t="s">
        <v>40666</v>
      </c>
      <c r="M10027" t="s">
        <v>44054</v>
      </c>
      <c r="N10027" t="s">
        <v>44905</v>
      </c>
      <c r="O10027" t="s">
        <v>44906</v>
      </c>
      <c r="P10027">
        <v>0</v>
      </c>
      <c r="Q10027">
        <v>3</v>
      </c>
      <c r="R10027" t="s">
        <v>44914</v>
      </c>
      <c r="S10027" t="s">
        <v>45202</v>
      </c>
      <c r="T10027" t="s">
        <v>46549</v>
      </c>
      <c r="U10027" t="s">
        <v>54994</v>
      </c>
      <c r="W10027" t="s">
        <v>44054</v>
      </c>
      <c r="X10027" t="s">
        <v>44915</v>
      </c>
    </row>
    <row r="10028" spans="1:24">
      <c r="A10028">
        <f>HYPERLINK("https://www.philgeps.gov.ph/GEPSNONPILOT/Tender/SplashBidNoticeAbstractUI.aspx?menuIndex=3&amp;refID=7069423&amp;Result=3","7069423")</f>
        <v>0</v>
      </c>
      <c r="B10028" t="s">
        <v>2809</v>
      </c>
      <c r="C10028" t="s">
        <v>13082</v>
      </c>
      <c r="D10028" t="s">
        <v>18101</v>
      </c>
      <c r="E10028" t="s">
        <v>26911</v>
      </c>
      <c r="F10028" t="s">
        <v>31362</v>
      </c>
      <c r="G10028" t="s">
        <v>31369</v>
      </c>
      <c r="H10028" t="s">
        <v>31378</v>
      </c>
      <c r="I10028" t="s">
        <v>31386</v>
      </c>
      <c r="J10028" t="s">
        <v>37639</v>
      </c>
      <c r="K10028" t="s">
        <v>40678</v>
      </c>
      <c r="M10028" t="s">
        <v>44008</v>
      </c>
      <c r="N10028" t="s">
        <v>44905</v>
      </c>
      <c r="O10028" t="s">
        <v>44906</v>
      </c>
      <c r="P10028">
        <v>0</v>
      </c>
      <c r="Q10028">
        <v>0</v>
      </c>
      <c r="R10028" t="s">
        <v>44914</v>
      </c>
      <c r="S10028" t="s">
        <v>45202</v>
      </c>
      <c r="T10028" t="s">
        <v>46561</v>
      </c>
      <c r="U10028" t="s">
        <v>54995</v>
      </c>
      <c r="W10028" t="s">
        <v>44008</v>
      </c>
      <c r="X10028" t="s">
        <v>44915</v>
      </c>
    </row>
    <row r="10029" spans="1:24">
      <c r="A10029">
        <f>HYPERLINK("https://www.philgeps.gov.ph/GEPSNONPILOT/Tender/SplashBidNoticeAbstractUI.aspx?menuIndex=3&amp;refID=7069630&amp;Result=3","7069630")</f>
        <v>0</v>
      </c>
      <c r="B10029" t="s">
        <v>2005</v>
      </c>
      <c r="C10029" t="s">
        <v>13083</v>
      </c>
      <c r="D10029" t="s">
        <v>18134</v>
      </c>
      <c r="E10029" t="s">
        <v>20720</v>
      </c>
      <c r="F10029" t="s">
        <v>31362</v>
      </c>
      <c r="G10029" t="s">
        <v>31369</v>
      </c>
      <c r="H10029" t="s">
        <v>31378</v>
      </c>
      <c r="I10029" t="s">
        <v>31386</v>
      </c>
      <c r="J10029" t="s">
        <v>37640</v>
      </c>
      <c r="K10029" t="s">
        <v>40862</v>
      </c>
      <c r="M10029" t="s">
        <v>43116</v>
      </c>
      <c r="N10029" t="s">
        <v>44905</v>
      </c>
      <c r="O10029" t="s">
        <v>44906</v>
      </c>
      <c r="P10029">
        <v>0</v>
      </c>
      <c r="Q10029">
        <v>2</v>
      </c>
      <c r="R10029" t="s">
        <v>44914</v>
      </c>
      <c r="S10029" t="s">
        <v>45202</v>
      </c>
      <c r="T10029" t="s">
        <v>46511</v>
      </c>
      <c r="U10029" t="s">
        <v>54996</v>
      </c>
      <c r="W10029" t="s">
        <v>43116</v>
      </c>
      <c r="X10029" t="s">
        <v>44915</v>
      </c>
    </row>
    <row r="10030" spans="1:24">
      <c r="A10030">
        <f>HYPERLINK("https://www.philgeps.gov.ph/GEPSNONPILOT/Tender/SplashBidNoticeAbstractUI.aspx?menuIndex=3&amp;refID=7069600&amp;Result=3","7069600")</f>
        <v>0</v>
      </c>
      <c r="B10030" t="s">
        <v>262</v>
      </c>
      <c r="C10030" t="s">
        <v>13084</v>
      </c>
      <c r="E10030" t="s">
        <v>26912</v>
      </c>
      <c r="F10030" t="s">
        <v>31362</v>
      </c>
      <c r="G10030" t="s">
        <v>31369</v>
      </c>
      <c r="H10030" t="s">
        <v>31378</v>
      </c>
      <c r="I10030" t="s">
        <v>31386</v>
      </c>
      <c r="J10030" t="s">
        <v>37641</v>
      </c>
      <c r="K10030" t="s">
        <v>40678</v>
      </c>
      <c r="M10030" t="s">
        <v>42051</v>
      </c>
      <c r="N10030" t="s">
        <v>44905</v>
      </c>
      <c r="O10030" t="s">
        <v>44906</v>
      </c>
      <c r="P10030">
        <v>0</v>
      </c>
      <c r="Q10030">
        <v>0</v>
      </c>
      <c r="R10030" t="s">
        <v>44914</v>
      </c>
      <c r="S10030" t="s">
        <v>45202</v>
      </c>
      <c r="T10030" t="s">
        <v>46685</v>
      </c>
      <c r="U10030" t="s">
        <v>54997</v>
      </c>
      <c r="W10030" t="s">
        <v>42051</v>
      </c>
      <c r="X10030" t="s">
        <v>44915</v>
      </c>
    </row>
    <row r="10031" spans="1:24">
      <c r="A10031">
        <f>HYPERLINK("https://www.philgeps.gov.ph/GEPSNONPILOT/Tender/SplashBidNoticeAbstractUI.aspx?menuIndex=3&amp;refID=7069592&amp;Result=3","7069592")</f>
        <v>0</v>
      </c>
      <c r="B10031" t="s">
        <v>2853</v>
      </c>
      <c r="C10031" t="s">
        <v>13085</v>
      </c>
      <c r="D10031" t="s">
        <v>18100</v>
      </c>
      <c r="E10031" t="s">
        <v>26913</v>
      </c>
      <c r="F10031" t="s">
        <v>31362</v>
      </c>
      <c r="G10031" t="s">
        <v>31369</v>
      </c>
      <c r="H10031" t="s">
        <v>15799</v>
      </c>
      <c r="I10031" t="s">
        <v>4942</v>
      </c>
      <c r="J10031" t="s">
        <v>31982</v>
      </c>
      <c r="K10031" t="s">
        <v>40672</v>
      </c>
      <c r="M10031" t="s">
        <v>44056</v>
      </c>
      <c r="N10031" t="s">
        <v>44905</v>
      </c>
      <c r="O10031" t="s">
        <v>44906</v>
      </c>
      <c r="P10031">
        <v>0</v>
      </c>
      <c r="Q10031">
        <v>0</v>
      </c>
      <c r="R10031" t="s">
        <v>44914</v>
      </c>
      <c r="S10031" t="s">
        <v>45202</v>
      </c>
      <c r="T10031" t="s">
        <v>46486</v>
      </c>
      <c r="U10031" t="s">
        <v>54998</v>
      </c>
      <c r="W10031" t="s">
        <v>44056</v>
      </c>
      <c r="X10031" t="s">
        <v>44915</v>
      </c>
    </row>
    <row r="10032" spans="1:24">
      <c r="A10032">
        <f>HYPERLINK("https://www.philgeps.gov.ph/GEPSNONPILOT/Tender/SplashBidNoticeAbstractUI.aspx?menuIndex=3&amp;refID=7069582&amp;Result=3","7069582")</f>
        <v>0</v>
      </c>
      <c r="B10032" t="s">
        <v>267</v>
      </c>
      <c r="C10032" t="s">
        <v>13086</v>
      </c>
      <c r="D10032" t="s">
        <v>18154</v>
      </c>
      <c r="E10032" t="s">
        <v>26914</v>
      </c>
      <c r="F10032" t="s">
        <v>31362</v>
      </c>
      <c r="G10032" t="s">
        <v>31369</v>
      </c>
      <c r="H10032" t="s">
        <v>15799</v>
      </c>
      <c r="I10032" t="s">
        <v>3815</v>
      </c>
      <c r="J10032" t="s">
        <v>37642</v>
      </c>
      <c r="K10032" t="s">
        <v>40670</v>
      </c>
      <c r="M10032" t="s">
        <v>41208</v>
      </c>
      <c r="N10032" t="s">
        <v>44905</v>
      </c>
      <c r="O10032" t="s">
        <v>44906</v>
      </c>
      <c r="P10032">
        <v>0</v>
      </c>
      <c r="Q10032">
        <v>0</v>
      </c>
      <c r="R10032" t="s">
        <v>44914</v>
      </c>
      <c r="S10032" t="s">
        <v>45202</v>
      </c>
      <c r="T10032" t="s">
        <v>46447</v>
      </c>
      <c r="U10032" t="s">
        <v>54999</v>
      </c>
      <c r="W10032" t="s">
        <v>41208</v>
      </c>
      <c r="X10032" t="s">
        <v>44915</v>
      </c>
    </row>
    <row r="10033" spans="1:24">
      <c r="A10033">
        <f>HYPERLINK("https://www.philgeps.gov.ph/GEPSNONPILOT/Tender/SplashBidNoticeAbstractUI.aspx?menuIndex=3&amp;refID=7069424&amp;Result=3","7069424")</f>
        <v>0</v>
      </c>
      <c r="B10033" t="s">
        <v>2847</v>
      </c>
      <c r="C10033" t="s">
        <v>13087</v>
      </c>
      <c r="D10033" t="s">
        <v>18175</v>
      </c>
      <c r="E10033" t="s">
        <v>26915</v>
      </c>
      <c r="F10033" t="s">
        <v>31362</v>
      </c>
      <c r="G10033" t="s">
        <v>31369</v>
      </c>
      <c r="H10033" t="s">
        <v>31378</v>
      </c>
      <c r="I10033" t="s">
        <v>31386</v>
      </c>
      <c r="J10033" t="s">
        <v>31602</v>
      </c>
      <c r="K10033" t="s">
        <v>40694</v>
      </c>
      <c r="M10033" t="s">
        <v>44048</v>
      </c>
      <c r="N10033" t="s">
        <v>44905</v>
      </c>
      <c r="O10033" t="s">
        <v>44906</v>
      </c>
      <c r="P10033">
        <v>0</v>
      </c>
      <c r="Q10033">
        <v>0</v>
      </c>
      <c r="R10033" t="s">
        <v>44914</v>
      </c>
      <c r="S10033" t="s">
        <v>45202</v>
      </c>
      <c r="T10033" t="s">
        <v>46433</v>
      </c>
      <c r="U10033" t="s">
        <v>55000</v>
      </c>
      <c r="W10033" t="s">
        <v>44048</v>
      </c>
      <c r="X10033" t="s">
        <v>44915</v>
      </c>
    </row>
    <row r="10034" spans="1:24">
      <c r="A10034">
        <f>HYPERLINK("https://www.philgeps.gov.ph/GEPSNONPILOT/Tender/SplashBidNoticeAbstractUI.aspx?menuIndex=3&amp;refID=7069576&amp;Result=3","7069576")</f>
        <v>0</v>
      </c>
      <c r="B10034" t="s">
        <v>262</v>
      </c>
      <c r="C10034" t="s">
        <v>13088</v>
      </c>
      <c r="E10034" t="s">
        <v>26916</v>
      </c>
      <c r="F10034" t="s">
        <v>31362</v>
      </c>
      <c r="G10034" t="s">
        <v>31369</v>
      </c>
      <c r="H10034" t="s">
        <v>31378</v>
      </c>
      <c r="I10034" t="s">
        <v>31386</v>
      </c>
      <c r="J10034" t="s">
        <v>37643</v>
      </c>
      <c r="K10034" t="s">
        <v>40678</v>
      </c>
      <c r="M10034" t="s">
        <v>42051</v>
      </c>
      <c r="N10034" t="s">
        <v>44905</v>
      </c>
      <c r="O10034" t="s">
        <v>44906</v>
      </c>
      <c r="P10034">
        <v>0</v>
      </c>
      <c r="Q10034">
        <v>0</v>
      </c>
      <c r="R10034" t="s">
        <v>44914</v>
      </c>
      <c r="S10034" t="s">
        <v>45202</v>
      </c>
      <c r="T10034" t="s">
        <v>46685</v>
      </c>
      <c r="U10034" t="s">
        <v>55001</v>
      </c>
      <c r="W10034" t="s">
        <v>42051</v>
      </c>
      <c r="X10034" t="s">
        <v>44915</v>
      </c>
    </row>
    <row r="10035" spans="1:24">
      <c r="A10035">
        <f>HYPERLINK("https://www.philgeps.gov.ph/GEPSNONPILOT/Tender/SplashBidNoticeAbstractUI.aspx?menuIndex=3&amp;refID=7069568&amp;Result=3","7069568")</f>
        <v>0</v>
      </c>
      <c r="B10035" t="s">
        <v>2852</v>
      </c>
      <c r="C10035" t="s">
        <v>13089</v>
      </c>
      <c r="D10035" t="s">
        <v>18132</v>
      </c>
      <c r="E10035" t="s">
        <v>26917</v>
      </c>
      <c r="F10035" t="s">
        <v>31362</v>
      </c>
      <c r="G10035" t="s">
        <v>31369</v>
      </c>
      <c r="H10035" t="s">
        <v>15799</v>
      </c>
      <c r="I10035" t="s">
        <v>7188</v>
      </c>
      <c r="J10035" t="s">
        <v>31648</v>
      </c>
      <c r="K10035" t="s">
        <v>40666</v>
      </c>
      <c r="M10035" t="s">
        <v>44054</v>
      </c>
      <c r="N10035" t="s">
        <v>44905</v>
      </c>
      <c r="O10035" t="s">
        <v>44906</v>
      </c>
      <c r="P10035">
        <v>0</v>
      </c>
      <c r="Q10035">
        <v>1</v>
      </c>
      <c r="R10035" t="s">
        <v>44914</v>
      </c>
      <c r="S10035" t="s">
        <v>45202</v>
      </c>
      <c r="T10035" t="s">
        <v>46549</v>
      </c>
      <c r="U10035" t="s">
        <v>55002</v>
      </c>
      <c r="W10035" t="s">
        <v>44054</v>
      </c>
      <c r="X10035" t="s">
        <v>44915</v>
      </c>
    </row>
    <row r="10036" spans="1:24">
      <c r="A10036">
        <f>HYPERLINK("https://www.philgeps.gov.ph/GEPSNONPILOT/Tender/SplashBidNoticeAbstractUI.aspx?menuIndex=3&amp;refID=7069607&amp;Result=3","7069607")</f>
        <v>0</v>
      </c>
      <c r="B10036" t="s">
        <v>1902</v>
      </c>
      <c r="C10036" t="s">
        <v>13090</v>
      </c>
      <c r="D10036" t="s">
        <v>18122</v>
      </c>
      <c r="E10036" t="s">
        <v>26918</v>
      </c>
      <c r="F10036" t="s">
        <v>31362</v>
      </c>
      <c r="G10036" t="s">
        <v>31369</v>
      </c>
      <c r="H10036" t="s">
        <v>31378</v>
      </c>
      <c r="I10036" t="s">
        <v>31386</v>
      </c>
      <c r="J10036" t="s">
        <v>37644</v>
      </c>
      <c r="K10036" t="s">
        <v>40717</v>
      </c>
      <c r="M10036" t="s">
        <v>42997</v>
      </c>
      <c r="N10036" t="s">
        <v>44905</v>
      </c>
      <c r="O10036" t="s">
        <v>44906</v>
      </c>
      <c r="P10036">
        <v>0</v>
      </c>
      <c r="Q10036">
        <v>20</v>
      </c>
      <c r="R10036" t="s">
        <v>44914</v>
      </c>
      <c r="S10036" t="s">
        <v>45202</v>
      </c>
      <c r="T10036" t="s">
        <v>46569</v>
      </c>
      <c r="U10036" t="s">
        <v>54432</v>
      </c>
      <c r="W10036" t="s">
        <v>42997</v>
      </c>
      <c r="X10036" t="s">
        <v>44915</v>
      </c>
    </row>
    <row r="10037" spans="1:24">
      <c r="A10037">
        <f>HYPERLINK("https://www.philgeps.gov.ph/GEPSNONPILOT/Tender/SplashBidNoticeAbstractUI.aspx?menuIndex=3&amp;refID=7069557&amp;Result=3","7069557")</f>
        <v>0</v>
      </c>
      <c r="B10037" t="s">
        <v>219</v>
      </c>
      <c r="C10037" t="s">
        <v>13091</v>
      </c>
      <c r="D10037" t="s">
        <v>18124</v>
      </c>
      <c r="E10037" t="s">
        <v>26919</v>
      </c>
      <c r="F10037" t="s">
        <v>31362</v>
      </c>
      <c r="G10037" t="s">
        <v>31369</v>
      </c>
      <c r="H10037" t="s">
        <v>15799</v>
      </c>
      <c r="I10037" t="s">
        <v>3815</v>
      </c>
      <c r="J10037" t="s">
        <v>37645</v>
      </c>
      <c r="K10037" t="s">
        <v>40666</v>
      </c>
      <c r="M10037" t="s">
        <v>41158</v>
      </c>
      <c r="N10037" t="s">
        <v>44905</v>
      </c>
      <c r="O10037" t="s">
        <v>44906</v>
      </c>
      <c r="P10037">
        <v>0</v>
      </c>
      <c r="Q10037">
        <v>0</v>
      </c>
      <c r="R10037" t="s">
        <v>44914</v>
      </c>
      <c r="S10037" t="s">
        <v>45202</v>
      </c>
      <c r="T10037" t="s">
        <v>46419</v>
      </c>
      <c r="U10037" t="s">
        <v>55003</v>
      </c>
      <c r="W10037" t="s">
        <v>41751</v>
      </c>
      <c r="X10037" t="s">
        <v>44915</v>
      </c>
    </row>
    <row r="10038" spans="1:24">
      <c r="A10038">
        <f>HYPERLINK("https://www.philgeps.gov.ph/GEPSNONPILOT/Tender/SplashBidNoticeAbstractUI.aspx?menuIndex=3&amp;refID=7069598&amp;Result=3","7069598")</f>
        <v>0</v>
      </c>
      <c r="B10038" t="s">
        <v>2541</v>
      </c>
      <c r="C10038" t="s">
        <v>13092</v>
      </c>
      <c r="D10038" t="s">
        <v>18154</v>
      </c>
      <c r="E10038" t="s">
        <v>26920</v>
      </c>
      <c r="F10038" t="s">
        <v>31362</v>
      </c>
      <c r="G10038" t="s">
        <v>31369</v>
      </c>
      <c r="H10038" t="s">
        <v>15799</v>
      </c>
      <c r="I10038" t="s">
        <v>3815</v>
      </c>
      <c r="J10038" t="s">
        <v>31637</v>
      </c>
      <c r="K10038" t="s">
        <v>40665</v>
      </c>
      <c r="M10038" t="s">
        <v>43711</v>
      </c>
      <c r="N10038" t="s">
        <v>44905</v>
      </c>
      <c r="O10038" t="s">
        <v>44906</v>
      </c>
      <c r="P10038">
        <v>0</v>
      </c>
      <c r="Q10038">
        <v>3</v>
      </c>
      <c r="R10038" t="s">
        <v>44914</v>
      </c>
      <c r="S10038" t="s">
        <v>45202</v>
      </c>
      <c r="T10038" t="s">
        <v>46519</v>
      </c>
      <c r="U10038" t="s">
        <v>55004</v>
      </c>
      <c r="W10038" t="s">
        <v>43711</v>
      </c>
      <c r="X10038" t="s">
        <v>44915</v>
      </c>
    </row>
    <row r="10039" spans="1:24">
      <c r="A10039">
        <f>HYPERLINK("https://www.philgeps.gov.ph/GEPSNONPILOT/Tender/SplashBidNoticeAbstractUI.aspx?menuIndex=3&amp;refID=7069548&amp;Result=3","7069548")</f>
        <v>0</v>
      </c>
      <c r="B10039" t="s">
        <v>262</v>
      </c>
      <c r="C10039" t="s">
        <v>13093</v>
      </c>
      <c r="E10039" t="s">
        <v>26921</v>
      </c>
      <c r="F10039" t="s">
        <v>31362</v>
      </c>
      <c r="G10039" t="s">
        <v>31369</v>
      </c>
      <c r="H10039" t="s">
        <v>31378</v>
      </c>
      <c r="I10039" t="s">
        <v>31386</v>
      </c>
      <c r="J10039" t="s">
        <v>37646</v>
      </c>
      <c r="K10039" t="s">
        <v>40686</v>
      </c>
      <c r="M10039" t="s">
        <v>42051</v>
      </c>
      <c r="N10039" t="s">
        <v>44905</v>
      </c>
      <c r="O10039" t="s">
        <v>44906</v>
      </c>
      <c r="P10039">
        <v>0</v>
      </c>
      <c r="Q10039">
        <v>0</v>
      </c>
      <c r="R10039" t="s">
        <v>44914</v>
      </c>
      <c r="S10039" t="s">
        <v>45202</v>
      </c>
      <c r="T10039" t="s">
        <v>46685</v>
      </c>
      <c r="U10039" t="s">
        <v>55005</v>
      </c>
      <c r="W10039" t="s">
        <v>42051</v>
      </c>
      <c r="X10039" t="s">
        <v>44915</v>
      </c>
    </row>
    <row r="10040" spans="1:24">
      <c r="A10040">
        <f>HYPERLINK("https://www.philgeps.gov.ph/GEPSNONPILOT/Tender/SplashBidNoticeAbstractUI.aspx?menuIndex=3&amp;refID=7069661&amp;Result=3","7069661")</f>
        <v>0</v>
      </c>
      <c r="B10040" t="s">
        <v>262</v>
      </c>
      <c r="C10040" t="s">
        <v>13094</v>
      </c>
      <c r="E10040" t="s">
        <v>26922</v>
      </c>
      <c r="F10040" t="s">
        <v>31362</v>
      </c>
      <c r="G10040" t="s">
        <v>31369</v>
      </c>
      <c r="H10040" t="s">
        <v>31378</v>
      </c>
      <c r="I10040" t="s">
        <v>31386</v>
      </c>
      <c r="J10040" t="s">
        <v>37647</v>
      </c>
      <c r="K10040" t="s">
        <v>40682</v>
      </c>
      <c r="M10040" t="s">
        <v>42051</v>
      </c>
      <c r="N10040" t="s">
        <v>44905</v>
      </c>
      <c r="O10040" t="s">
        <v>44906</v>
      </c>
      <c r="P10040">
        <v>0</v>
      </c>
      <c r="Q10040">
        <v>1</v>
      </c>
      <c r="R10040" t="s">
        <v>44914</v>
      </c>
      <c r="S10040" t="s">
        <v>45202</v>
      </c>
      <c r="T10040" t="s">
        <v>46685</v>
      </c>
      <c r="U10040" t="s">
        <v>55006</v>
      </c>
      <c r="W10040" t="s">
        <v>42051</v>
      </c>
      <c r="X10040" t="s">
        <v>44915</v>
      </c>
    </row>
    <row r="10041" spans="1:24">
      <c r="A10041">
        <f>HYPERLINK("https://www.philgeps.gov.ph/GEPSNONPILOT/Tender/SplashBidNoticeAbstractUI.aspx?menuIndex=3&amp;refID=7069422&amp;Result=3","7069422")</f>
        <v>0</v>
      </c>
      <c r="B10041" t="s">
        <v>1033</v>
      </c>
      <c r="C10041" t="s">
        <v>13095</v>
      </c>
      <c r="D10041" t="s">
        <v>18162</v>
      </c>
      <c r="E10041" t="s">
        <v>26923</v>
      </c>
      <c r="F10041" t="s">
        <v>31362</v>
      </c>
      <c r="G10041" t="s">
        <v>31369</v>
      </c>
      <c r="H10041" t="s">
        <v>15799</v>
      </c>
      <c r="I10041" t="s">
        <v>31385</v>
      </c>
      <c r="J10041" t="s">
        <v>37648</v>
      </c>
      <c r="K10041" t="s">
        <v>40670</v>
      </c>
      <c r="M10041" t="s">
        <v>42032</v>
      </c>
      <c r="N10041" t="s">
        <v>44905</v>
      </c>
      <c r="O10041" t="s">
        <v>44906</v>
      </c>
      <c r="P10041">
        <v>0</v>
      </c>
      <c r="Q10041">
        <v>0</v>
      </c>
      <c r="R10041" t="s">
        <v>44914</v>
      </c>
      <c r="S10041" t="s">
        <v>45202</v>
      </c>
      <c r="T10041" t="s">
        <v>46509</v>
      </c>
      <c r="U10041" t="s">
        <v>55007</v>
      </c>
      <c r="W10041" t="s">
        <v>42032</v>
      </c>
      <c r="X10041" t="s">
        <v>44915</v>
      </c>
    </row>
    <row r="10042" spans="1:24">
      <c r="A10042">
        <f>HYPERLINK("https://www.philgeps.gov.ph/GEPSNONPILOT/Tender/SplashBidNoticeAbstractUI.aspx?menuIndex=3&amp;refID=7069406&amp;Result=3","7069406")</f>
        <v>0</v>
      </c>
      <c r="B10042" t="s">
        <v>968</v>
      </c>
      <c r="C10042" t="s">
        <v>13096</v>
      </c>
      <c r="D10042" t="s">
        <v>18100</v>
      </c>
      <c r="E10042" t="s">
        <v>18925</v>
      </c>
      <c r="F10042" t="s">
        <v>31362</v>
      </c>
      <c r="G10042" t="s">
        <v>31369</v>
      </c>
      <c r="H10042" t="s">
        <v>15799</v>
      </c>
      <c r="I10042" t="s">
        <v>3815</v>
      </c>
      <c r="J10042" t="s">
        <v>37649</v>
      </c>
      <c r="K10042" t="s">
        <v>40662</v>
      </c>
      <c r="M10042" t="s">
        <v>41958</v>
      </c>
      <c r="N10042" t="s">
        <v>44905</v>
      </c>
      <c r="O10042" t="s">
        <v>44906</v>
      </c>
      <c r="P10042">
        <v>0</v>
      </c>
      <c r="Q10042">
        <v>0</v>
      </c>
      <c r="R10042" t="s">
        <v>44914</v>
      </c>
      <c r="S10042" t="s">
        <v>45202</v>
      </c>
      <c r="T10042" t="s">
        <v>46415</v>
      </c>
      <c r="U10042" t="s">
        <v>55008</v>
      </c>
      <c r="W10042" t="s">
        <v>41958</v>
      </c>
      <c r="X10042" t="s">
        <v>44915</v>
      </c>
    </row>
    <row r="10043" spans="1:24">
      <c r="A10043">
        <f>HYPERLINK("https://www.philgeps.gov.ph/GEPSNONPILOT/Tender/SplashBidNoticeAbstractUI.aspx?menuIndex=3&amp;refID=7069326&amp;Result=3","7069326")</f>
        <v>0</v>
      </c>
      <c r="B10043" t="s">
        <v>185</v>
      </c>
      <c r="C10043" t="s">
        <v>13097</v>
      </c>
      <c r="D10043" t="s">
        <v>18153</v>
      </c>
      <c r="E10043" t="s">
        <v>26924</v>
      </c>
      <c r="F10043" t="s">
        <v>31362</v>
      </c>
      <c r="G10043" t="s">
        <v>31369</v>
      </c>
      <c r="H10043" t="s">
        <v>31378</v>
      </c>
      <c r="I10043" t="s">
        <v>31386</v>
      </c>
      <c r="J10043" t="s">
        <v>31542</v>
      </c>
      <c r="K10043" t="s">
        <v>40809</v>
      </c>
      <c r="M10043" t="s">
        <v>41123</v>
      </c>
      <c r="N10043" t="s">
        <v>44905</v>
      </c>
      <c r="O10043" t="s">
        <v>44906</v>
      </c>
      <c r="P10043">
        <v>0</v>
      </c>
      <c r="Q10043">
        <v>0</v>
      </c>
      <c r="R10043" t="s">
        <v>44914</v>
      </c>
      <c r="S10043" t="s">
        <v>45202</v>
      </c>
      <c r="T10043" t="s">
        <v>46561</v>
      </c>
      <c r="U10043" t="s">
        <v>55009</v>
      </c>
      <c r="W10043" t="s">
        <v>41123</v>
      </c>
      <c r="X10043" t="s">
        <v>44915</v>
      </c>
    </row>
    <row r="10044" spans="1:24">
      <c r="A10044">
        <f>HYPERLINK("https://www.philgeps.gov.ph/GEPSNONPILOT/Tender/SplashBidNoticeAbstractUI.aspx?menuIndex=3&amp;refID=7069007&amp;Result=3","7069007")</f>
        <v>0</v>
      </c>
      <c r="B10044" t="s">
        <v>2809</v>
      </c>
      <c r="C10044" t="s">
        <v>13098</v>
      </c>
      <c r="E10044" t="s">
        <v>26925</v>
      </c>
      <c r="F10044" t="s">
        <v>31362</v>
      </c>
      <c r="G10044" t="s">
        <v>31369</v>
      </c>
      <c r="H10044" t="s">
        <v>31378</v>
      </c>
      <c r="I10044" t="s">
        <v>31386</v>
      </c>
      <c r="J10044" t="s">
        <v>32891</v>
      </c>
      <c r="K10044" t="s">
        <v>40682</v>
      </c>
      <c r="M10044" t="s">
        <v>44008</v>
      </c>
      <c r="N10044" t="s">
        <v>44905</v>
      </c>
      <c r="O10044" t="s">
        <v>44906</v>
      </c>
      <c r="P10044">
        <v>0</v>
      </c>
      <c r="Q10044">
        <v>1</v>
      </c>
      <c r="R10044" t="s">
        <v>44914</v>
      </c>
      <c r="S10044" t="s">
        <v>45202</v>
      </c>
      <c r="T10044" t="s">
        <v>46561</v>
      </c>
      <c r="U10044" t="s">
        <v>55010</v>
      </c>
      <c r="W10044" t="s">
        <v>44008</v>
      </c>
      <c r="X10044" t="s">
        <v>44915</v>
      </c>
    </row>
    <row r="10045" spans="1:24">
      <c r="A10045">
        <f>HYPERLINK("https://www.philgeps.gov.ph/GEPSNONPILOT/Tender/SplashBidNoticeAbstractUI.aspx?menuIndex=3&amp;refID=7069748&amp;Result=3","7069748")</f>
        <v>0</v>
      </c>
      <c r="B10045" t="s">
        <v>2005</v>
      </c>
      <c r="C10045" t="s">
        <v>13099</v>
      </c>
      <c r="D10045" t="s">
        <v>18121</v>
      </c>
      <c r="E10045" t="s">
        <v>19989</v>
      </c>
      <c r="F10045" t="s">
        <v>31362</v>
      </c>
      <c r="G10045" t="s">
        <v>31369</v>
      </c>
      <c r="H10045" t="s">
        <v>31378</v>
      </c>
      <c r="I10045" t="s">
        <v>31386</v>
      </c>
      <c r="J10045" t="s">
        <v>37650</v>
      </c>
      <c r="K10045" t="s">
        <v>40863</v>
      </c>
      <c r="M10045" t="s">
        <v>43116</v>
      </c>
      <c r="N10045" t="s">
        <v>44905</v>
      </c>
      <c r="O10045" t="s">
        <v>44906</v>
      </c>
      <c r="P10045">
        <v>0</v>
      </c>
      <c r="Q10045">
        <v>2</v>
      </c>
      <c r="R10045" t="s">
        <v>44914</v>
      </c>
      <c r="S10045" t="s">
        <v>45202</v>
      </c>
      <c r="T10045" t="s">
        <v>46511</v>
      </c>
      <c r="U10045" t="s">
        <v>54996</v>
      </c>
      <c r="W10045" t="s">
        <v>43116</v>
      </c>
      <c r="X10045" t="s">
        <v>44915</v>
      </c>
    </row>
    <row r="10046" spans="1:24">
      <c r="A10046">
        <f>HYPERLINK("https://www.philgeps.gov.ph/GEPSNONPILOT/Tender/SplashBidNoticeAbstractUI.aspx?menuIndex=3&amp;refID=7069758&amp;Result=3","7069758")</f>
        <v>0</v>
      </c>
      <c r="B10046" t="s">
        <v>2300</v>
      </c>
      <c r="C10046" t="s">
        <v>13100</v>
      </c>
      <c r="D10046" t="s">
        <v>18148</v>
      </c>
      <c r="E10046" t="s">
        <v>26926</v>
      </c>
      <c r="F10046" t="s">
        <v>31362</v>
      </c>
      <c r="G10046" t="s">
        <v>31369</v>
      </c>
      <c r="H10046" t="s">
        <v>15799</v>
      </c>
      <c r="I10046" t="s">
        <v>13635</v>
      </c>
      <c r="J10046" t="s">
        <v>37651</v>
      </c>
      <c r="K10046" t="s">
        <v>40679</v>
      </c>
      <c r="M10046" t="s">
        <v>43440</v>
      </c>
      <c r="N10046" t="s">
        <v>44905</v>
      </c>
      <c r="O10046" t="s">
        <v>44906</v>
      </c>
      <c r="P10046">
        <v>0</v>
      </c>
      <c r="Q10046">
        <v>5</v>
      </c>
      <c r="R10046" t="s">
        <v>44914</v>
      </c>
      <c r="S10046" t="s">
        <v>45202</v>
      </c>
      <c r="T10046" t="s">
        <v>46616</v>
      </c>
      <c r="U10046" t="s">
        <v>55011</v>
      </c>
      <c r="W10046" t="s">
        <v>43440</v>
      </c>
      <c r="X10046" t="s">
        <v>44915</v>
      </c>
    </row>
    <row r="10047" spans="1:24">
      <c r="A10047">
        <f>HYPERLINK("https://www.philgeps.gov.ph/GEPSNONPILOT/Tender/SplashBidNoticeAbstractUI.aspx?menuIndex=3&amp;refID=7069753&amp;Result=3","7069753")</f>
        <v>0</v>
      </c>
      <c r="B10047" t="s">
        <v>553</v>
      </c>
      <c r="C10047" t="s">
        <v>13101</v>
      </c>
      <c r="D10047" t="s">
        <v>18143</v>
      </c>
      <c r="E10047" t="s">
        <v>26927</v>
      </c>
      <c r="F10047" t="s">
        <v>31362</v>
      </c>
      <c r="G10047" t="s">
        <v>31369</v>
      </c>
      <c r="H10047" t="s">
        <v>31378</v>
      </c>
      <c r="I10047" t="s">
        <v>31386</v>
      </c>
      <c r="J10047" t="s">
        <v>37652</v>
      </c>
      <c r="K10047" t="s">
        <v>40864</v>
      </c>
      <c r="M10047" t="s">
        <v>41509</v>
      </c>
      <c r="N10047" t="s">
        <v>44905</v>
      </c>
      <c r="O10047" t="s">
        <v>44906</v>
      </c>
      <c r="P10047">
        <v>0</v>
      </c>
      <c r="Q10047">
        <v>0</v>
      </c>
      <c r="R10047" t="s">
        <v>44914</v>
      </c>
      <c r="S10047" t="s">
        <v>45202</v>
      </c>
      <c r="T10047" t="s">
        <v>46638</v>
      </c>
      <c r="U10047" t="s">
        <v>55012</v>
      </c>
      <c r="W10047" t="s">
        <v>41509</v>
      </c>
      <c r="X10047" t="s">
        <v>44915</v>
      </c>
    </row>
    <row r="10048" spans="1:24">
      <c r="A10048">
        <f>HYPERLINK("https://www.philgeps.gov.ph/GEPSNONPILOT/Tender/SplashBidNoticeAbstractUI.aspx?menuIndex=3&amp;refID=7069752&amp;Result=3","7069752")</f>
        <v>0</v>
      </c>
      <c r="B10048" t="s">
        <v>2854</v>
      </c>
      <c r="C10048" t="s">
        <v>13102</v>
      </c>
      <c r="D10048" t="s">
        <v>18106</v>
      </c>
      <c r="E10048" t="s">
        <v>26928</v>
      </c>
      <c r="F10048" t="s">
        <v>31362</v>
      </c>
      <c r="G10048" t="s">
        <v>31369</v>
      </c>
      <c r="H10048" t="s">
        <v>31378</v>
      </c>
      <c r="I10048" t="s">
        <v>31386</v>
      </c>
      <c r="J10048" t="s">
        <v>31591</v>
      </c>
      <c r="K10048" t="s">
        <v>40675</v>
      </c>
      <c r="M10048" t="s">
        <v>44057</v>
      </c>
      <c r="N10048" t="s">
        <v>44905</v>
      </c>
      <c r="O10048" t="s">
        <v>44906</v>
      </c>
      <c r="P10048">
        <v>0</v>
      </c>
      <c r="Q10048">
        <v>1</v>
      </c>
      <c r="R10048" t="s">
        <v>44914</v>
      </c>
      <c r="S10048" t="s">
        <v>45202</v>
      </c>
      <c r="T10048" t="s">
        <v>46793</v>
      </c>
      <c r="U10048" t="s">
        <v>55013</v>
      </c>
      <c r="W10048" t="s">
        <v>44057</v>
      </c>
      <c r="X10048" t="s">
        <v>44915</v>
      </c>
    </row>
    <row r="10049" spans="1:24">
      <c r="A10049">
        <f>HYPERLINK("https://www.philgeps.gov.ph/GEPSNONPILOT/Tender/SplashBidNoticeAbstractUI.aspx?menuIndex=3&amp;refID=7069751&amp;Result=3","7069751")</f>
        <v>0</v>
      </c>
      <c r="B10049" t="s">
        <v>262</v>
      </c>
      <c r="C10049" t="s">
        <v>13103</v>
      </c>
      <c r="E10049" t="s">
        <v>26929</v>
      </c>
      <c r="F10049" t="s">
        <v>31362</v>
      </c>
      <c r="G10049" t="s">
        <v>31369</v>
      </c>
      <c r="H10049" t="s">
        <v>31378</v>
      </c>
      <c r="I10049" t="s">
        <v>31386</v>
      </c>
      <c r="J10049" t="s">
        <v>37653</v>
      </c>
      <c r="K10049" t="s">
        <v>40725</v>
      </c>
      <c r="M10049" t="s">
        <v>42051</v>
      </c>
      <c r="N10049" t="s">
        <v>44905</v>
      </c>
      <c r="O10049" t="s">
        <v>44906</v>
      </c>
      <c r="P10049">
        <v>0</v>
      </c>
      <c r="Q10049">
        <v>0</v>
      </c>
      <c r="R10049" t="s">
        <v>44914</v>
      </c>
      <c r="S10049" t="s">
        <v>45202</v>
      </c>
      <c r="T10049" t="s">
        <v>46685</v>
      </c>
      <c r="U10049" t="s">
        <v>55014</v>
      </c>
      <c r="W10049" t="s">
        <v>42051</v>
      </c>
      <c r="X10049" t="s">
        <v>44915</v>
      </c>
    </row>
    <row r="10050" spans="1:24">
      <c r="A10050">
        <f>HYPERLINK("https://www.philgeps.gov.ph/GEPSNONPILOT/Tender/SplashBidNoticeAbstractUI.aspx?menuIndex=3&amp;refID=7069745&amp;Result=3","7069745")</f>
        <v>0</v>
      </c>
      <c r="B10050" t="s">
        <v>832</v>
      </c>
      <c r="C10050" t="s">
        <v>13104</v>
      </c>
      <c r="E10050" t="s">
        <v>26930</v>
      </c>
      <c r="F10050" t="s">
        <v>31362</v>
      </c>
      <c r="G10050" t="s">
        <v>31369</v>
      </c>
      <c r="H10050" t="s">
        <v>15799</v>
      </c>
      <c r="I10050" t="s">
        <v>31382</v>
      </c>
      <c r="J10050" t="s">
        <v>31586</v>
      </c>
      <c r="K10050" t="s">
        <v>40662</v>
      </c>
      <c r="M10050" t="s">
        <v>44055</v>
      </c>
      <c r="N10050" t="s">
        <v>44905</v>
      </c>
      <c r="O10050" t="s">
        <v>44906</v>
      </c>
      <c r="P10050">
        <v>0</v>
      </c>
      <c r="Q10050">
        <v>9</v>
      </c>
      <c r="R10050" t="s">
        <v>44914</v>
      </c>
      <c r="S10050" t="s">
        <v>45202</v>
      </c>
      <c r="T10050" t="s">
        <v>46671</v>
      </c>
      <c r="U10050" t="s">
        <v>54993</v>
      </c>
      <c r="W10050" t="s">
        <v>44055</v>
      </c>
      <c r="X10050" t="s">
        <v>44915</v>
      </c>
    </row>
    <row r="10051" spans="1:24">
      <c r="A10051">
        <f>HYPERLINK("https://www.philgeps.gov.ph/GEPSNONPILOT/Tender/SplashBidNoticeAbstractUI.aspx?menuIndex=3&amp;refID=7069015&amp;Result=3","7069015")</f>
        <v>0</v>
      </c>
      <c r="B10051" t="s">
        <v>968</v>
      </c>
      <c r="C10051" t="s">
        <v>13105</v>
      </c>
      <c r="D10051" t="s">
        <v>18100</v>
      </c>
      <c r="E10051" t="s">
        <v>26931</v>
      </c>
      <c r="F10051" t="s">
        <v>31362</v>
      </c>
      <c r="G10051" t="s">
        <v>31369</v>
      </c>
      <c r="H10051" t="s">
        <v>15799</v>
      </c>
      <c r="I10051" t="s">
        <v>4283</v>
      </c>
      <c r="J10051" t="s">
        <v>31561</v>
      </c>
      <c r="K10051" t="s">
        <v>40662</v>
      </c>
      <c r="M10051" t="s">
        <v>41958</v>
      </c>
      <c r="N10051" t="s">
        <v>44905</v>
      </c>
      <c r="O10051" t="s">
        <v>44906</v>
      </c>
      <c r="P10051">
        <v>0</v>
      </c>
      <c r="Q10051">
        <v>0</v>
      </c>
      <c r="R10051" t="s">
        <v>44914</v>
      </c>
      <c r="S10051" t="s">
        <v>45202</v>
      </c>
      <c r="T10051" t="s">
        <v>46415</v>
      </c>
      <c r="U10051" t="s">
        <v>55015</v>
      </c>
      <c r="W10051" t="s">
        <v>41958</v>
      </c>
      <c r="X10051" t="s">
        <v>44915</v>
      </c>
    </row>
    <row r="10052" spans="1:24">
      <c r="A10052">
        <f>HYPERLINK("https://www.philgeps.gov.ph/GEPSNONPILOT/Tender/SplashBidNoticeAbstractUI.aspx?menuIndex=3&amp;refID=7069739&amp;Result=3","7069739")</f>
        <v>0</v>
      </c>
      <c r="B10052" t="s">
        <v>262</v>
      </c>
      <c r="C10052" t="s">
        <v>13106</v>
      </c>
      <c r="E10052" t="s">
        <v>26932</v>
      </c>
      <c r="F10052" t="s">
        <v>31362</v>
      </c>
      <c r="G10052" t="s">
        <v>31369</v>
      </c>
      <c r="H10052" t="s">
        <v>31378</v>
      </c>
      <c r="I10052" t="s">
        <v>31386</v>
      </c>
      <c r="J10052" t="s">
        <v>31637</v>
      </c>
      <c r="K10052" t="s">
        <v>40683</v>
      </c>
      <c r="M10052" t="s">
        <v>42051</v>
      </c>
      <c r="N10052" t="s">
        <v>44905</v>
      </c>
      <c r="O10052" t="s">
        <v>44906</v>
      </c>
      <c r="P10052">
        <v>0</v>
      </c>
      <c r="Q10052">
        <v>0</v>
      </c>
      <c r="R10052" t="s">
        <v>44914</v>
      </c>
      <c r="S10052" t="s">
        <v>45202</v>
      </c>
      <c r="T10052" t="s">
        <v>46685</v>
      </c>
      <c r="U10052" t="s">
        <v>55016</v>
      </c>
      <c r="W10052" t="s">
        <v>42051</v>
      </c>
      <c r="X10052" t="s">
        <v>44915</v>
      </c>
    </row>
    <row r="10053" spans="1:24">
      <c r="A10053">
        <f>HYPERLINK("https://www.philgeps.gov.ph/GEPSNONPILOT/Tender/SplashBidNoticeAbstractUI.aspx?menuIndex=3&amp;refID=7069500&amp;Result=3","7069500")</f>
        <v>0</v>
      </c>
      <c r="B10053" t="s">
        <v>2855</v>
      </c>
      <c r="C10053" t="s">
        <v>13107</v>
      </c>
      <c r="D10053" t="s">
        <v>18127</v>
      </c>
      <c r="E10053" t="s">
        <v>26933</v>
      </c>
      <c r="F10053" t="s">
        <v>31363</v>
      </c>
      <c r="G10053" t="s">
        <v>31369</v>
      </c>
      <c r="H10053" t="s">
        <v>31378</v>
      </c>
      <c r="I10053" t="s">
        <v>3815</v>
      </c>
      <c r="J10053" t="s">
        <v>31785</v>
      </c>
      <c r="K10053" t="s">
        <v>40662</v>
      </c>
      <c r="M10053" t="s">
        <v>44058</v>
      </c>
      <c r="N10053" t="s">
        <v>44905</v>
      </c>
      <c r="O10053" t="s">
        <v>44906</v>
      </c>
      <c r="P10053">
        <v>0</v>
      </c>
      <c r="Q10053">
        <v>0</v>
      </c>
      <c r="R10053" t="s">
        <v>44914</v>
      </c>
      <c r="S10053" t="s">
        <v>45202</v>
      </c>
      <c r="T10053" t="s">
        <v>46481</v>
      </c>
      <c r="U10053" t="s">
        <v>55017</v>
      </c>
      <c r="W10053" t="s">
        <v>44058</v>
      </c>
      <c r="X10053" t="s">
        <v>44915</v>
      </c>
    </row>
    <row r="10054" spans="1:24">
      <c r="A10054">
        <f>HYPERLINK("https://www.philgeps.gov.ph/GEPSNONPILOT/Tender/SplashBidNoticeAbstractUI.aspx?menuIndex=3&amp;refID=7069735&amp;Result=3","7069735")</f>
        <v>0</v>
      </c>
      <c r="B10054" t="s">
        <v>403</v>
      </c>
      <c r="C10054" t="s">
        <v>13108</v>
      </c>
      <c r="E10054" t="s">
        <v>23248</v>
      </c>
      <c r="F10054" t="s">
        <v>31362</v>
      </c>
      <c r="G10054" t="s">
        <v>31369</v>
      </c>
      <c r="H10054" t="s">
        <v>31378</v>
      </c>
      <c r="I10054" t="s">
        <v>3815</v>
      </c>
      <c r="J10054" t="s">
        <v>37654</v>
      </c>
      <c r="K10054" t="s">
        <v>40662</v>
      </c>
      <c r="M10054" t="s">
        <v>41353</v>
      </c>
      <c r="N10054" t="s">
        <v>44905</v>
      </c>
      <c r="O10054" t="s">
        <v>44906</v>
      </c>
      <c r="P10054">
        <v>0</v>
      </c>
      <c r="Q10054">
        <v>0</v>
      </c>
      <c r="R10054" t="s">
        <v>44914</v>
      </c>
      <c r="S10054" t="s">
        <v>45202</v>
      </c>
      <c r="T10054" t="s">
        <v>46470</v>
      </c>
      <c r="U10054" t="s">
        <v>55018</v>
      </c>
      <c r="W10054" t="s">
        <v>41353</v>
      </c>
      <c r="X10054" t="s">
        <v>44915</v>
      </c>
    </row>
    <row r="10055" spans="1:24">
      <c r="A10055">
        <f>HYPERLINK("https://www.philgeps.gov.ph/GEPSNONPILOT/Tender/SplashBidNoticeAbstractUI.aspx?menuIndex=3&amp;refID=7069573&amp;Result=3","7069573")</f>
        <v>0</v>
      </c>
      <c r="B10055" t="s">
        <v>2856</v>
      </c>
      <c r="C10055" t="s">
        <v>13109</v>
      </c>
      <c r="E10055" t="s">
        <v>26934</v>
      </c>
      <c r="F10055" t="s">
        <v>31362</v>
      </c>
      <c r="G10055" t="s">
        <v>31369</v>
      </c>
      <c r="H10055" t="s">
        <v>15799</v>
      </c>
      <c r="I10055" t="s">
        <v>3815</v>
      </c>
      <c r="J10055" t="s">
        <v>37655</v>
      </c>
      <c r="K10055" t="s">
        <v>40661</v>
      </c>
      <c r="M10055" t="s">
        <v>44059</v>
      </c>
      <c r="N10055" t="s">
        <v>44905</v>
      </c>
      <c r="O10055" t="s">
        <v>44906</v>
      </c>
      <c r="P10055">
        <v>0</v>
      </c>
      <c r="Q10055">
        <v>0</v>
      </c>
      <c r="R10055" t="s">
        <v>44914</v>
      </c>
      <c r="S10055" t="s">
        <v>45202</v>
      </c>
      <c r="T10055" t="s">
        <v>46410</v>
      </c>
      <c r="U10055" t="s">
        <v>55019</v>
      </c>
      <c r="W10055" t="s">
        <v>44059</v>
      </c>
      <c r="X10055" t="s">
        <v>44915</v>
      </c>
    </row>
    <row r="10056" spans="1:24">
      <c r="A10056">
        <f>HYPERLINK("https://www.philgeps.gov.ph/GEPSNONPILOT/Tender/SplashBidNoticeAbstractUI.aspx?menuIndex=3&amp;refID=7069719&amp;Result=3","7069719")</f>
        <v>0</v>
      </c>
      <c r="B10056" t="s">
        <v>262</v>
      </c>
      <c r="C10056" t="s">
        <v>13110</v>
      </c>
      <c r="E10056" t="s">
        <v>26935</v>
      </c>
      <c r="F10056" t="s">
        <v>31362</v>
      </c>
      <c r="G10056" t="s">
        <v>31369</v>
      </c>
      <c r="H10056" t="s">
        <v>31378</v>
      </c>
      <c r="I10056" t="s">
        <v>31386</v>
      </c>
      <c r="J10056" t="s">
        <v>37656</v>
      </c>
      <c r="K10056" t="s">
        <v>40857</v>
      </c>
      <c r="M10056" t="s">
        <v>42051</v>
      </c>
      <c r="N10056" t="s">
        <v>44905</v>
      </c>
      <c r="O10056" t="s">
        <v>44906</v>
      </c>
      <c r="P10056">
        <v>0</v>
      </c>
      <c r="Q10056">
        <v>0</v>
      </c>
      <c r="R10056" t="s">
        <v>44914</v>
      </c>
      <c r="S10056" t="s">
        <v>45202</v>
      </c>
      <c r="T10056" t="s">
        <v>46685</v>
      </c>
      <c r="U10056" t="s">
        <v>55020</v>
      </c>
      <c r="W10056" t="s">
        <v>42051</v>
      </c>
      <c r="X10056" t="s">
        <v>44915</v>
      </c>
    </row>
    <row r="10057" spans="1:24">
      <c r="A10057">
        <f>HYPERLINK("https://www.philgeps.gov.ph/GEPSNONPILOT/Tender/SplashBidNoticeAbstractUI.aspx?menuIndex=3&amp;refID=7069714&amp;Result=3","7069714")</f>
        <v>0</v>
      </c>
      <c r="B10057" t="s">
        <v>1004</v>
      </c>
      <c r="C10057" t="s">
        <v>13111</v>
      </c>
      <c r="D10057" t="s">
        <v>18101</v>
      </c>
      <c r="E10057" t="s">
        <v>18985</v>
      </c>
      <c r="F10057" t="s">
        <v>31362</v>
      </c>
      <c r="G10057" t="s">
        <v>31369</v>
      </c>
      <c r="H10057" t="s">
        <v>15799</v>
      </c>
      <c r="I10057" t="s">
        <v>6373</v>
      </c>
      <c r="J10057" t="s">
        <v>37657</v>
      </c>
      <c r="K10057" t="s">
        <v>40670</v>
      </c>
      <c r="M10057" t="s">
        <v>42001</v>
      </c>
      <c r="N10057" t="s">
        <v>44905</v>
      </c>
      <c r="O10057" t="s">
        <v>44906</v>
      </c>
      <c r="P10057">
        <v>0</v>
      </c>
      <c r="Q10057">
        <v>2</v>
      </c>
      <c r="R10057" t="s">
        <v>44914</v>
      </c>
      <c r="S10057" t="s">
        <v>45202</v>
      </c>
      <c r="T10057" t="s">
        <v>46486</v>
      </c>
      <c r="U10057" t="s">
        <v>55021</v>
      </c>
      <c r="W10057" t="s">
        <v>42001</v>
      </c>
      <c r="X10057" t="s">
        <v>44915</v>
      </c>
    </row>
    <row r="10058" spans="1:24">
      <c r="A10058">
        <f>HYPERLINK("https://www.philgeps.gov.ph/GEPSNONPILOT/Tender/SplashBidNoticeAbstractUI.aspx?menuIndex=3&amp;refID=7069713&amp;Result=3","7069713")</f>
        <v>0</v>
      </c>
      <c r="B10058" t="s">
        <v>2005</v>
      </c>
      <c r="C10058" t="s">
        <v>13112</v>
      </c>
      <c r="D10058" t="s">
        <v>18134</v>
      </c>
      <c r="E10058" t="s">
        <v>18561</v>
      </c>
      <c r="F10058" t="s">
        <v>31362</v>
      </c>
      <c r="G10058" t="s">
        <v>31369</v>
      </c>
      <c r="H10058" t="s">
        <v>31378</v>
      </c>
      <c r="I10058" t="s">
        <v>31386</v>
      </c>
      <c r="J10058" t="s">
        <v>37658</v>
      </c>
      <c r="K10058" t="s">
        <v>40863</v>
      </c>
      <c r="M10058" t="s">
        <v>43116</v>
      </c>
      <c r="N10058" t="s">
        <v>44905</v>
      </c>
      <c r="O10058" t="s">
        <v>44906</v>
      </c>
      <c r="P10058">
        <v>0</v>
      </c>
      <c r="Q10058">
        <v>3</v>
      </c>
      <c r="R10058" t="s">
        <v>44914</v>
      </c>
      <c r="S10058" t="s">
        <v>45202</v>
      </c>
      <c r="T10058" t="s">
        <v>46511</v>
      </c>
      <c r="U10058" t="s">
        <v>54996</v>
      </c>
      <c r="W10058" t="s">
        <v>43116</v>
      </c>
      <c r="X10058" t="s">
        <v>44915</v>
      </c>
    </row>
    <row r="10059" spans="1:24">
      <c r="A10059">
        <f>HYPERLINK("https://www.philgeps.gov.ph/GEPSNONPILOT/Tender/SplashBidNoticeAbstractUI.aspx?menuIndex=3&amp;refID=7069743&amp;Result=3","7069743")</f>
        <v>0</v>
      </c>
      <c r="B10059" t="s">
        <v>2857</v>
      </c>
      <c r="C10059" t="s">
        <v>13113</v>
      </c>
      <c r="D10059" t="s">
        <v>18101</v>
      </c>
      <c r="E10059" t="s">
        <v>18844</v>
      </c>
      <c r="F10059" t="s">
        <v>31362</v>
      </c>
      <c r="G10059" t="s">
        <v>31369</v>
      </c>
      <c r="H10059" t="s">
        <v>31378</v>
      </c>
      <c r="I10059" t="s">
        <v>31386</v>
      </c>
      <c r="J10059" t="s">
        <v>37659</v>
      </c>
      <c r="K10059" t="s">
        <v>40825</v>
      </c>
      <c r="M10059" t="s">
        <v>44060</v>
      </c>
      <c r="N10059" t="s">
        <v>44905</v>
      </c>
      <c r="O10059" t="s">
        <v>44906</v>
      </c>
      <c r="P10059">
        <v>0</v>
      </c>
      <c r="Q10059">
        <v>0</v>
      </c>
      <c r="R10059" t="s">
        <v>44914</v>
      </c>
      <c r="S10059" t="s">
        <v>45202</v>
      </c>
      <c r="T10059" t="s">
        <v>46568</v>
      </c>
      <c r="U10059" t="s">
        <v>55022</v>
      </c>
      <c r="W10059" t="s">
        <v>44060</v>
      </c>
      <c r="X10059" t="s">
        <v>44915</v>
      </c>
    </row>
    <row r="10060" spans="1:24">
      <c r="A10060">
        <f>HYPERLINK("https://www.philgeps.gov.ph/GEPSNONPILOT/Tender/SplashBidNoticeAbstractUI.aspx?menuIndex=3&amp;refID=7069700&amp;Result=3","7069700")</f>
        <v>0</v>
      </c>
      <c r="B10060" t="s">
        <v>262</v>
      </c>
      <c r="C10060" t="s">
        <v>13114</v>
      </c>
      <c r="D10060" t="s">
        <v>18127</v>
      </c>
      <c r="E10060" t="s">
        <v>26936</v>
      </c>
      <c r="F10060" t="s">
        <v>31362</v>
      </c>
      <c r="G10060" t="s">
        <v>31369</v>
      </c>
      <c r="H10060" t="s">
        <v>31378</v>
      </c>
      <c r="I10060" t="s">
        <v>31386</v>
      </c>
      <c r="J10060" t="s">
        <v>37660</v>
      </c>
      <c r="K10060" t="s">
        <v>40865</v>
      </c>
      <c r="M10060" t="s">
        <v>42051</v>
      </c>
      <c r="N10060" t="s">
        <v>44905</v>
      </c>
      <c r="O10060" t="s">
        <v>44906</v>
      </c>
      <c r="P10060">
        <v>0</v>
      </c>
      <c r="Q10060">
        <v>3</v>
      </c>
      <c r="R10060" t="s">
        <v>44914</v>
      </c>
      <c r="S10060" t="s">
        <v>45202</v>
      </c>
      <c r="T10060" t="s">
        <v>46685</v>
      </c>
      <c r="U10060" t="s">
        <v>55023</v>
      </c>
      <c r="W10060" t="s">
        <v>42051</v>
      </c>
      <c r="X10060" t="s">
        <v>44915</v>
      </c>
    </row>
    <row r="10061" spans="1:24">
      <c r="A10061">
        <f>HYPERLINK("https://www.philgeps.gov.ph/GEPSNONPILOT/Tender/SplashBidNoticeAbstractUI.aspx?menuIndex=3&amp;refID=7069674&amp;Result=3","7069674")</f>
        <v>0</v>
      </c>
      <c r="B10061" t="s">
        <v>2300</v>
      </c>
      <c r="C10061" t="s">
        <v>13115</v>
      </c>
      <c r="D10061" t="s">
        <v>18148</v>
      </c>
      <c r="E10061" t="s">
        <v>26937</v>
      </c>
      <c r="F10061" t="s">
        <v>31362</v>
      </c>
      <c r="G10061" t="s">
        <v>31369</v>
      </c>
      <c r="H10061" t="s">
        <v>15799</v>
      </c>
      <c r="I10061" t="s">
        <v>31426</v>
      </c>
      <c r="J10061" t="s">
        <v>37661</v>
      </c>
      <c r="K10061" t="s">
        <v>40679</v>
      </c>
      <c r="M10061" t="s">
        <v>43440</v>
      </c>
      <c r="N10061" t="s">
        <v>44905</v>
      </c>
      <c r="O10061" t="s">
        <v>44906</v>
      </c>
      <c r="P10061">
        <v>0</v>
      </c>
      <c r="Q10061">
        <v>7</v>
      </c>
      <c r="R10061" t="s">
        <v>44914</v>
      </c>
      <c r="S10061" t="s">
        <v>45202</v>
      </c>
      <c r="T10061" t="s">
        <v>46616</v>
      </c>
      <c r="U10061" t="s">
        <v>55024</v>
      </c>
      <c r="W10061" t="s">
        <v>43440</v>
      </c>
      <c r="X10061" t="s">
        <v>44915</v>
      </c>
    </row>
    <row r="10062" spans="1:24">
      <c r="A10062">
        <f>HYPERLINK("https://www.philgeps.gov.ph/GEPSNONPILOT/Tender/SplashBidNoticeAbstractUI.aspx?menuIndex=3&amp;refID=7069671&amp;Result=3","7069671")</f>
        <v>0</v>
      </c>
      <c r="B10062" t="s">
        <v>2858</v>
      </c>
      <c r="C10062" t="s">
        <v>13116</v>
      </c>
      <c r="D10062" t="s">
        <v>18181</v>
      </c>
      <c r="E10062" t="s">
        <v>26938</v>
      </c>
      <c r="F10062" t="s">
        <v>31362</v>
      </c>
      <c r="G10062" t="s">
        <v>31369</v>
      </c>
      <c r="H10062" t="s">
        <v>15799</v>
      </c>
      <c r="I10062" t="s">
        <v>3815</v>
      </c>
      <c r="J10062" t="s">
        <v>37662</v>
      </c>
      <c r="K10062" t="s">
        <v>40665</v>
      </c>
      <c r="M10062" t="s">
        <v>44061</v>
      </c>
      <c r="N10062" t="s">
        <v>44905</v>
      </c>
      <c r="O10062" t="s">
        <v>44906</v>
      </c>
      <c r="P10062">
        <v>0</v>
      </c>
      <c r="Q10062">
        <v>0</v>
      </c>
      <c r="R10062" t="s">
        <v>44914</v>
      </c>
      <c r="S10062" t="s">
        <v>45202</v>
      </c>
      <c r="T10062" t="s">
        <v>46504</v>
      </c>
      <c r="U10062" t="s">
        <v>55025</v>
      </c>
      <c r="W10062" t="s">
        <v>44061</v>
      </c>
      <c r="X10062" t="s">
        <v>44915</v>
      </c>
    </row>
    <row r="10063" spans="1:24">
      <c r="A10063">
        <f>HYPERLINK("https://www.philgeps.gov.ph/GEPSNONPILOT/Tender/SplashBidNoticeAbstractUI.aspx?menuIndex=3&amp;refID=7069723&amp;Result=3","7069723")</f>
        <v>0</v>
      </c>
      <c r="B10063" t="s">
        <v>968</v>
      </c>
      <c r="C10063" t="s">
        <v>13117</v>
      </c>
      <c r="D10063" t="s">
        <v>18100</v>
      </c>
      <c r="E10063" t="s">
        <v>26877</v>
      </c>
      <c r="F10063" t="s">
        <v>31362</v>
      </c>
      <c r="G10063" t="s">
        <v>31369</v>
      </c>
      <c r="H10063" t="s">
        <v>15799</v>
      </c>
      <c r="I10063" t="s">
        <v>31385</v>
      </c>
      <c r="J10063" t="s">
        <v>37663</v>
      </c>
      <c r="K10063" t="s">
        <v>40662</v>
      </c>
      <c r="M10063" t="s">
        <v>41958</v>
      </c>
      <c r="N10063" t="s">
        <v>44905</v>
      </c>
      <c r="O10063" t="s">
        <v>44906</v>
      </c>
      <c r="P10063">
        <v>0</v>
      </c>
      <c r="Q10063">
        <v>2</v>
      </c>
      <c r="R10063" t="s">
        <v>44914</v>
      </c>
      <c r="S10063" t="s">
        <v>45202</v>
      </c>
      <c r="T10063" t="s">
        <v>46415</v>
      </c>
      <c r="U10063" t="s">
        <v>55026</v>
      </c>
      <c r="W10063" t="s">
        <v>41958</v>
      </c>
      <c r="X10063" t="s">
        <v>44915</v>
      </c>
    </row>
    <row r="10064" spans="1:24">
      <c r="A10064">
        <f>HYPERLINK("https://www.philgeps.gov.ph/GEPSNONPILOT/Tender/SplashBidNoticeAbstractUI.aspx?menuIndex=3&amp;refID=7069667&amp;Result=3","7069667")</f>
        <v>0</v>
      </c>
      <c r="B10064" t="s">
        <v>2857</v>
      </c>
      <c r="C10064" t="s">
        <v>13118</v>
      </c>
      <c r="D10064" t="s">
        <v>18101</v>
      </c>
      <c r="E10064" t="s">
        <v>19861</v>
      </c>
      <c r="F10064" t="s">
        <v>31362</v>
      </c>
      <c r="G10064" t="s">
        <v>31369</v>
      </c>
      <c r="H10064" t="s">
        <v>31378</v>
      </c>
      <c r="I10064" t="s">
        <v>31386</v>
      </c>
      <c r="J10064" t="s">
        <v>37664</v>
      </c>
      <c r="K10064" t="s">
        <v>40795</v>
      </c>
      <c r="M10064" t="s">
        <v>44060</v>
      </c>
      <c r="N10064" t="s">
        <v>44905</v>
      </c>
      <c r="O10064" t="s">
        <v>44906</v>
      </c>
      <c r="P10064">
        <v>0</v>
      </c>
      <c r="Q10064">
        <v>0</v>
      </c>
      <c r="R10064" t="s">
        <v>44914</v>
      </c>
      <c r="S10064" t="s">
        <v>45202</v>
      </c>
      <c r="T10064" t="s">
        <v>46612</v>
      </c>
      <c r="U10064" t="s">
        <v>55027</v>
      </c>
      <c r="W10064" t="s">
        <v>44060</v>
      </c>
      <c r="X10064" t="s">
        <v>44915</v>
      </c>
    </row>
    <row r="10065" spans="1:24">
      <c r="A10065">
        <f>HYPERLINK("https://www.philgeps.gov.ph/GEPSNONPILOT/Tender/SplashBidNoticeAbstractUI.aspx?menuIndex=3&amp;refID=7068980&amp;Result=3","7068980")</f>
        <v>0</v>
      </c>
      <c r="B10065" t="s">
        <v>511</v>
      </c>
      <c r="C10065" t="s">
        <v>13119</v>
      </c>
      <c r="D10065" t="s">
        <v>18164</v>
      </c>
      <c r="E10065" t="s">
        <v>26939</v>
      </c>
      <c r="F10065" t="s">
        <v>31362</v>
      </c>
      <c r="G10065" t="s">
        <v>31369</v>
      </c>
      <c r="H10065" t="s">
        <v>15799</v>
      </c>
      <c r="I10065" t="s">
        <v>31392</v>
      </c>
      <c r="J10065" t="s">
        <v>37665</v>
      </c>
      <c r="K10065" t="s">
        <v>40665</v>
      </c>
      <c r="M10065" t="s">
        <v>41466</v>
      </c>
      <c r="N10065" t="s">
        <v>44905</v>
      </c>
      <c r="O10065" t="s">
        <v>44906</v>
      </c>
      <c r="P10065">
        <v>0</v>
      </c>
      <c r="Q10065">
        <v>2</v>
      </c>
      <c r="R10065" t="s">
        <v>44914</v>
      </c>
      <c r="S10065" t="s">
        <v>45202</v>
      </c>
      <c r="T10065" t="s">
        <v>46409</v>
      </c>
      <c r="U10065" t="s">
        <v>55028</v>
      </c>
      <c r="W10065" t="s">
        <v>41466</v>
      </c>
      <c r="X10065" t="s">
        <v>44915</v>
      </c>
    </row>
    <row r="10066" spans="1:24">
      <c r="A10066">
        <f>HYPERLINK("https://www.philgeps.gov.ph/GEPSNONPILOT/Tender/SplashBidNoticeAbstractUI.aspx?menuIndex=3&amp;refID=7069716&amp;Result=3","7069716")</f>
        <v>0</v>
      </c>
      <c r="B10066" t="s">
        <v>1317</v>
      </c>
      <c r="C10066" t="s">
        <v>13120</v>
      </c>
      <c r="D10066" t="s">
        <v>18136</v>
      </c>
      <c r="E10066" t="s">
        <v>26940</v>
      </c>
      <c r="F10066" t="s">
        <v>31362</v>
      </c>
      <c r="G10066" t="s">
        <v>31369</v>
      </c>
      <c r="H10066" t="s">
        <v>15799</v>
      </c>
      <c r="I10066" t="s">
        <v>31427</v>
      </c>
      <c r="J10066" t="s">
        <v>37666</v>
      </c>
      <c r="K10066" t="s">
        <v>40665</v>
      </c>
      <c r="M10066" t="s">
        <v>44062</v>
      </c>
      <c r="N10066" t="s">
        <v>44905</v>
      </c>
      <c r="O10066" t="s">
        <v>44906</v>
      </c>
      <c r="P10066">
        <v>0</v>
      </c>
      <c r="Q10066">
        <v>10</v>
      </c>
      <c r="R10066" t="s">
        <v>44914</v>
      </c>
      <c r="S10066" t="s">
        <v>45202</v>
      </c>
      <c r="T10066" t="s">
        <v>46620</v>
      </c>
      <c r="U10066" t="s">
        <v>55029</v>
      </c>
      <c r="W10066" t="s">
        <v>44062</v>
      </c>
      <c r="X10066" t="s">
        <v>44915</v>
      </c>
    </row>
    <row r="10067" spans="1:24">
      <c r="A10067">
        <f>HYPERLINK("https://www.philgeps.gov.ph/GEPSNONPILOT/Tender/SplashBidNoticeAbstractUI.aspx?menuIndex=3&amp;refID=7069770&amp;Result=3","7069770")</f>
        <v>0</v>
      </c>
      <c r="B10067" t="s">
        <v>2859</v>
      </c>
      <c r="C10067" t="s">
        <v>13121</v>
      </c>
      <c r="D10067" t="s">
        <v>18101</v>
      </c>
      <c r="E10067" t="s">
        <v>26941</v>
      </c>
      <c r="F10067" t="s">
        <v>31362</v>
      </c>
      <c r="G10067" t="s">
        <v>31369</v>
      </c>
      <c r="H10067" t="s">
        <v>15799</v>
      </c>
      <c r="I10067" t="s">
        <v>3815</v>
      </c>
      <c r="J10067" t="s">
        <v>37667</v>
      </c>
      <c r="K10067" t="s">
        <v>40666</v>
      </c>
      <c r="M10067" t="s">
        <v>44063</v>
      </c>
      <c r="N10067" t="s">
        <v>44905</v>
      </c>
      <c r="O10067" t="s">
        <v>44906</v>
      </c>
      <c r="P10067">
        <v>0</v>
      </c>
      <c r="Q10067">
        <v>0</v>
      </c>
      <c r="R10067" t="s">
        <v>44914</v>
      </c>
      <c r="S10067" t="s">
        <v>45202</v>
      </c>
      <c r="T10067" t="s">
        <v>46432</v>
      </c>
      <c r="U10067" t="s">
        <v>55030</v>
      </c>
      <c r="W10067" t="s">
        <v>44063</v>
      </c>
      <c r="X10067" t="s">
        <v>44915</v>
      </c>
    </row>
    <row r="10068" spans="1:24">
      <c r="A10068">
        <f>HYPERLINK("https://www.philgeps.gov.ph/GEPSNONPILOT/Tender/SplashBidNoticeAbstractUI.aspx?menuIndex=3&amp;refID=7069885&amp;Result=3","7069885")</f>
        <v>0</v>
      </c>
      <c r="B10068" t="s">
        <v>2300</v>
      </c>
      <c r="C10068" t="s">
        <v>13122</v>
      </c>
      <c r="D10068" t="s">
        <v>18148</v>
      </c>
      <c r="E10068" t="s">
        <v>26942</v>
      </c>
      <c r="F10068" t="s">
        <v>31362</v>
      </c>
      <c r="G10068" t="s">
        <v>31369</v>
      </c>
      <c r="H10068" t="s">
        <v>15799</v>
      </c>
      <c r="I10068" t="s">
        <v>31426</v>
      </c>
      <c r="J10068" t="s">
        <v>37668</v>
      </c>
      <c r="K10068" t="s">
        <v>40679</v>
      </c>
      <c r="M10068" t="s">
        <v>43440</v>
      </c>
      <c r="N10068" t="s">
        <v>44905</v>
      </c>
      <c r="O10068" t="s">
        <v>44906</v>
      </c>
      <c r="P10068">
        <v>0</v>
      </c>
      <c r="Q10068">
        <v>4</v>
      </c>
      <c r="R10068" t="s">
        <v>44914</v>
      </c>
      <c r="S10068" t="s">
        <v>45202</v>
      </c>
      <c r="T10068" t="s">
        <v>46616</v>
      </c>
      <c r="U10068" t="s">
        <v>55031</v>
      </c>
      <c r="W10068" t="s">
        <v>43440</v>
      </c>
      <c r="X10068" t="s">
        <v>44915</v>
      </c>
    </row>
    <row r="10069" spans="1:24">
      <c r="A10069">
        <f>HYPERLINK("https://www.philgeps.gov.ph/GEPSNONPILOT/Tender/SplashBidNoticeAbstractUI.aspx?menuIndex=3&amp;refID=7069733&amp;Result=3","7069733")</f>
        <v>0</v>
      </c>
      <c r="B10069" t="s">
        <v>2860</v>
      </c>
      <c r="C10069" t="s">
        <v>13123</v>
      </c>
      <c r="D10069" t="s">
        <v>18113</v>
      </c>
      <c r="E10069" t="s">
        <v>26943</v>
      </c>
      <c r="F10069" t="s">
        <v>31362</v>
      </c>
      <c r="G10069" t="s">
        <v>31369</v>
      </c>
      <c r="H10069" t="s">
        <v>15799</v>
      </c>
      <c r="I10069" t="s">
        <v>7719</v>
      </c>
      <c r="J10069" t="s">
        <v>37669</v>
      </c>
      <c r="K10069" t="s">
        <v>40679</v>
      </c>
      <c r="M10069" t="s">
        <v>44064</v>
      </c>
      <c r="N10069" t="s">
        <v>44905</v>
      </c>
      <c r="O10069" t="s">
        <v>44906</v>
      </c>
      <c r="P10069">
        <v>0</v>
      </c>
      <c r="Q10069">
        <v>32</v>
      </c>
      <c r="R10069" t="s">
        <v>44914</v>
      </c>
      <c r="S10069" t="s">
        <v>45202</v>
      </c>
      <c r="T10069" t="s">
        <v>46538</v>
      </c>
      <c r="U10069" t="s">
        <v>55032</v>
      </c>
      <c r="W10069" t="s">
        <v>60944</v>
      </c>
      <c r="X10069" t="s">
        <v>44915</v>
      </c>
    </row>
    <row r="10070" spans="1:24">
      <c r="A10070">
        <f>HYPERLINK("https://www.philgeps.gov.ph/GEPSNONPILOT/Tender/SplashBidNoticeAbstractUI.aspx?menuIndex=3&amp;refID=7069002&amp;Result=3","7069002")</f>
        <v>0</v>
      </c>
      <c r="B10070" t="s">
        <v>51</v>
      </c>
      <c r="C10070" t="s">
        <v>13124</v>
      </c>
      <c r="D10070" t="s">
        <v>18118</v>
      </c>
      <c r="E10070" t="s">
        <v>22937</v>
      </c>
      <c r="F10070" t="s">
        <v>31362</v>
      </c>
      <c r="G10070" t="s">
        <v>31369</v>
      </c>
      <c r="H10070" t="s">
        <v>15799</v>
      </c>
      <c r="I10070" t="s">
        <v>13635</v>
      </c>
      <c r="J10070" t="s">
        <v>31531</v>
      </c>
      <c r="K10070" t="s">
        <v>40666</v>
      </c>
      <c r="M10070" t="s">
        <v>40985</v>
      </c>
      <c r="N10070" t="s">
        <v>44905</v>
      </c>
      <c r="O10070" t="s">
        <v>44906</v>
      </c>
      <c r="P10070">
        <v>0</v>
      </c>
      <c r="Q10070">
        <v>2</v>
      </c>
      <c r="R10070" t="s">
        <v>44914</v>
      </c>
      <c r="S10070" t="s">
        <v>45202</v>
      </c>
      <c r="T10070" t="s">
        <v>46418</v>
      </c>
      <c r="U10070" t="s">
        <v>55033</v>
      </c>
      <c r="W10070" t="s">
        <v>40985</v>
      </c>
      <c r="X10070" t="s">
        <v>44915</v>
      </c>
    </row>
    <row r="10071" spans="1:24">
      <c r="A10071">
        <f>HYPERLINK("https://www.philgeps.gov.ph/GEPSNONPILOT/Tender/SplashBidNoticeAbstractUI.aspx?menuIndex=3&amp;refID=7069876&amp;Result=3","7069876")</f>
        <v>0</v>
      </c>
      <c r="B10071" t="s">
        <v>2145</v>
      </c>
      <c r="C10071" t="s">
        <v>13125</v>
      </c>
      <c r="D10071" t="s">
        <v>18108</v>
      </c>
      <c r="E10071" t="s">
        <v>24173</v>
      </c>
      <c r="F10071" t="s">
        <v>31362</v>
      </c>
      <c r="G10071" t="s">
        <v>31372</v>
      </c>
      <c r="H10071" t="s">
        <v>31379</v>
      </c>
      <c r="I10071" t="s">
        <v>31502</v>
      </c>
      <c r="J10071" t="s">
        <v>37670</v>
      </c>
      <c r="K10071" t="s">
        <v>40741</v>
      </c>
      <c r="M10071" t="s">
        <v>43274</v>
      </c>
      <c r="N10071" t="s">
        <v>44905</v>
      </c>
      <c r="O10071" t="s">
        <v>44906</v>
      </c>
      <c r="P10071">
        <v>0</v>
      </c>
      <c r="Q10071">
        <v>5</v>
      </c>
      <c r="R10071" t="s">
        <v>44914</v>
      </c>
      <c r="S10071" t="s">
        <v>45202</v>
      </c>
      <c r="T10071" t="s">
        <v>46532</v>
      </c>
      <c r="U10071" t="s">
        <v>55034</v>
      </c>
      <c r="W10071" t="s">
        <v>43274</v>
      </c>
      <c r="X10071" t="s">
        <v>44915</v>
      </c>
    </row>
    <row r="10072" spans="1:24">
      <c r="A10072">
        <f>HYPERLINK("https://www.philgeps.gov.ph/GEPSNONPILOT/Tender/SplashBidNoticeAbstractUI.aspx?menuIndex=3&amp;refID=7069001&amp;Result=3","7069001")</f>
        <v>0</v>
      </c>
      <c r="B10072" t="s">
        <v>2806</v>
      </c>
      <c r="C10072" t="s">
        <v>13126</v>
      </c>
      <c r="D10072" t="s">
        <v>18102</v>
      </c>
      <c r="E10072" t="s">
        <v>26944</v>
      </c>
      <c r="F10072" t="s">
        <v>31362</v>
      </c>
      <c r="G10072" t="s">
        <v>31369</v>
      </c>
      <c r="H10072" t="s">
        <v>15799</v>
      </c>
      <c r="I10072" t="s">
        <v>31384</v>
      </c>
      <c r="J10072" t="s">
        <v>37671</v>
      </c>
      <c r="K10072" t="s">
        <v>40675</v>
      </c>
      <c r="M10072" t="s">
        <v>44005</v>
      </c>
      <c r="N10072" t="s">
        <v>44905</v>
      </c>
      <c r="O10072" t="s">
        <v>44906</v>
      </c>
      <c r="P10072">
        <v>0</v>
      </c>
      <c r="Q10072">
        <v>8</v>
      </c>
      <c r="R10072" t="s">
        <v>44914</v>
      </c>
      <c r="S10072" t="s">
        <v>45202</v>
      </c>
      <c r="T10072" t="s">
        <v>46560</v>
      </c>
      <c r="U10072" t="s">
        <v>55035</v>
      </c>
      <c r="V10072" t="s">
        <v>60106</v>
      </c>
      <c r="W10072" t="s">
        <v>44005</v>
      </c>
      <c r="X10072" t="s">
        <v>44915</v>
      </c>
    </row>
    <row r="10073" spans="1:24">
      <c r="A10073">
        <f>HYPERLINK("https://www.philgeps.gov.ph/GEPSNONPILOT/Tender/SplashBidNoticeAbstractUI.aspx?menuIndex=3&amp;refID=7069870&amp;Result=3","7069870")</f>
        <v>0</v>
      </c>
      <c r="B10073" t="s">
        <v>2854</v>
      </c>
      <c r="C10073" t="s">
        <v>13127</v>
      </c>
      <c r="D10073" t="s">
        <v>18106</v>
      </c>
      <c r="E10073" t="s">
        <v>26928</v>
      </c>
      <c r="F10073" t="s">
        <v>31362</v>
      </c>
      <c r="G10073" t="s">
        <v>31369</v>
      </c>
      <c r="H10073" t="s">
        <v>31378</v>
      </c>
      <c r="I10073" t="s">
        <v>31386</v>
      </c>
      <c r="J10073" t="s">
        <v>31591</v>
      </c>
      <c r="K10073" t="s">
        <v>40675</v>
      </c>
      <c r="M10073" t="s">
        <v>44057</v>
      </c>
      <c r="N10073" t="s">
        <v>44905</v>
      </c>
      <c r="O10073" t="s">
        <v>44906</v>
      </c>
      <c r="P10073">
        <v>0</v>
      </c>
      <c r="Q10073">
        <v>1</v>
      </c>
      <c r="R10073" t="s">
        <v>44914</v>
      </c>
      <c r="S10073" t="s">
        <v>45202</v>
      </c>
      <c r="T10073" t="s">
        <v>46793</v>
      </c>
      <c r="U10073" t="s">
        <v>55013</v>
      </c>
      <c r="W10073" t="s">
        <v>44057</v>
      </c>
      <c r="X10073" t="s">
        <v>44915</v>
      </c>
    </row>
    <row r="10074" spans="1:24">
      <c r="A10074">
        <f>HYPERLINK("https://www.philgeps.gov.ph/GEPSNONPILOT/Tender/SplashBidNoticeAbstractUI.aspx?menuIndex=3&amp;refID=7069021&amp;Result=3","7069021")</f>
        <v>0</v>
      </c>
      <c r="B10074" t="s">
        <v>51</v>
      </c>
      <c r="C10074" t="s">
        <v>13128</v>
      </c>
      <c r="D10074" t="s">
        <v>18118</v>
      </c>
      <c r="E10074" t="s">
        <v>21601</v>
      </c>
      <c r="F10074" t="s">
        <v>31362</v>
      </c>
      <c r="G10074" t="s">
        <v>31369</v>
      </c>
      <c r="H10074" t="s">
        <v>15799</v>
      </c>
      <c r="I10074" t="s">
        <v>31393</v>
      </c>
      <c r="J10074" t="s">
        <v>31734</v>
      </c>
      <c r="K10074" t="s">
        <v>40662</v>
      </c>
      <c r="M10074" t="s">
        <v>40985</v>
      </c>
      <c r="N10074" t="s">
        <v>44905</v>
      </c>
      <c r="O10074" t="s">
        <v>44906</v>
      </c>
      <c r="P10074">
        <v>0</v>
      </c>
      <c r="Q10074">
        <v>1</v>
      </c>
      <c r="R10074" t="s">
        <v>44914</v>
      </c>
      <c r="S10074" t="s">
        <v>45202</v>
      </c>
      <c r="T10074" t="s">
        <v>46418</v>
      </c>
      <c r="U10074" t="s">
        <v>55036</v>
      </c>
      <c r="W10074" t="s">
        <v>40985</v>
      </c>
      <c r="X10074" t="s">
        <v>44915</v>
      </c>
    </row>
    <row r="10075" spans="1:24">
      <c r="A10075">
        <f>HYPERLINK("https://www.philgeps.gov.ph/GEPSNONPILOT/Tender/SplashBidNoticeAbstractUI.aspx?menuIndex=3&amp;refID=7069855&amp;Result=3","7069855")</f>
        <v>0</v>
      </c>
      <c r="B10075" t="s">
        <v>1317</v>
      </c>
      <c r="C10075" t="s">
        <v>13129</v>
      </c>
      <c r="D10075" t="s">
        <v>18136</v>
      </c>
      <c r="E10075" t="s">
        <v>26945</v>
      </c>
      <c r="F10075" t="s">
        <v>31362</v>
      </c>
      <c r="G10075" t="s">
        <v>31369</v>
      </c>
      <c r="H10075" t="s">
        <v>15799</v>
      </c>
      <c r="I10075" t="s">
        <v>31427</v>
      </c>
      <c r="J10075" t="s">
        <v>37672</v>
      </c>
      <c r="K10075" t="s">
        <v>40675</v>
      </c>
      <c r="M10075" t="s">
        <v>44062</v>
      </c>
      <c r="N10075" t="s">
        <v>44905</v>
      </c>
      <c r="O10075" t="s">
        <v>44906</v>
      </c>
      <c r="P10075">
        <v>0</v>
      </c>
      <c r="Q10075">
        <v>9</v>
      </c>
      <c r="R10075" t="s">
        <v>44914</v>
      </c>
      <c r="S10075" t="s">
        <v>45202</v>
      </c>
      <c r="T10075" t="s">
        <v>46620</v>
      </c>
      <c r="U10075" t="s">
        <v>55037</v>
      </c>
      <c r="W10075" t="s">
        <v>44062</v>
      </c>
      <c r="X10075" t="s">
        <v>44915</v>
      </c>
    </row>
    <row r="10076" spans="1:24">
      <c r="A10076">
        <f>HYPERLINK("https://www.philgeps.gov.ph/GEPSNONPILOT/Tender/SplashBidNoticeAbstractUI.aspx?menuIndex=3&amp;refID=7069837&amp;Result=3","7069837")</f>
        <v>0</v>
      </c>
      <c r="B10076" t="s">
        <v>968</v>
      </c>
      <c r="C10076" t="s">
        <v>13130</v>
      </c>
      <c r="D10076" t="s">
        <v>18100</v>
      </c>
      <c r="E10076" t="s">
        <v>22869</v>
      </c>
      <c r="F10076" t="s">
        <v>31362</v>
      </c>
      <c r="G10076" t="s">
        <v>31369</v>
      </c>
      <c r="H10076" t="s">
        <v>15799</v>
      </c>
      <c r="I10076" t="s">
        <v>4057</v>
      </c>
      <c r="J10076" t="s">
        <v>37673</v>
      </c>
      <c r="K10076" t="s">
        <v>40662</v>
      </c>
      <c r="M10076" t="s">
        <v>41958</v>
      </c>
      <c r="N10076" t="s">
        <v>44905</v>
      </c>
      <c r="O10076" t="s">
        <v>44906</v>
      </c>
      <c r="P10076">
        <v>0</v>
      </c>
      <c r="Q10076">
        <v>0</v>
      </c>
      <c r="R10076" t="s">
        <v>44914</v>
      </c>
      <c r="S10076" t="s">
        <v>45202</v>
      </c>
      <c r="T10076" t="s">
        <v>46415</v>
      </c>
      <c r="U10076" t="s">
        <v>55038</v>
      </c>
      <c r="W10076" t="s">
        <v>41958</v>
      </c>
      <c r="X10076" t="s">
        <v>44915</v>
      </c>
    </row>
    <row r="10077" spans="1:24">
      <c r="A10077">
        <f>HYPERLINK("https://www.philgeps.gov.ph/GEPSNONPILOT/Tender/SplashBidNoticeAbstractUI.aspx?menuIndex=3&amp;refID=7069688&amp;Result=3","7069688")</f>
        <v>0</v>
      </c>
      <c r="B10077" t="s">
        <v>1689</v>
      </c>
      <c r="C10077" t="s">
        <v>13131</v>
      </c>
      <c r="D10077" t="s">
        <v>18136</v>
      </c>
      <c r="E10077" t="s">
        <v>26946</v>
      </c>
      <c r="F10077" t="s">
        <v>31362</v>
      </c>
      <c r="G10077" t="s">
        <v>31369</v>
      </c>
      <c r="H10077" t="s">
        <v>31378</v>
      </c>
      <c r="I10077" t="s">
        <v>31386</v>
      </c>
      <c r="J10077" t="s">
        <v>35695</v>
      </c>
      <c r="K10077" t="s">
        <v>40866</v>
      </c>
      <c r="L10077" t="s">
        <v>1689</v>
      </c>
      <c r="M10077" t="s">
        <v>42756</v>
      </c>
      <c r="N10077" t="s">
        <v>44905</v>
      </c>
      <c r="O10077" t="s">
        <v>44906</v>
      </c>
      <c r="P10077">
        <v>0</v>
      </c>
      <c r="Q10077">
        <v>1</v>
      </c>
      <c r="R10077" t="s">
        <v>44914</v>
      </c>
      <c r="S10077" t="s">
        <v>45202</v>
      </c>
      <c r="T10077" t="s">
        <v>46612</v>
      </c>
      <c r="U10077" t="s">
        <v>55039</v>
      </c>
      <c r="V10077" t="s">
        <v>59553</v>
      </c>
      <c r="W10077" t="s">
        <v>42756</v>
      </c>
      <c r="X10077" t="s">
        <v>44915</v>
      </c>
    </row>
    <row r="10078" spans="1:24">
      <c r="A10078">
        <f>HYPERLINK("https://www.philgeps.gov.ph/GEPSNONPILOT/Tender/SplashBidNoticeAbstractUI.aspx?menuIndex=3&amp;refID=7069836&amp;Result=3","7069836")</f>
        <v>0</v>
      </c>
      <c r="B10078" t="s">
        <v>1144</v>
      </c>
      <c r="C10078" t="s">
        <v>13132</v>
      </c>
      <c r="D10078" t="s">
        <v>18154</v>
      </c>
      <c r="E10078" t="s">
        <v>26947</v>
      </c>
      <c r="F10078" t="s">
        <v>31362</v>
      </c>
      <c r="G10078" t="s">
        <v>31369</v>
      </c>
      <c r="H10078" t="s">
        <v>15799</v>
      </c>
      <c r="I10078" t="s">
        <v>7719</v>
      </c>
      <c r="J10078" t="s">
        <v>37674</v>
      </c>
      <c r="K10078" t="s">
        <v>40662</v>
      </c>
      <c r="M10078" t="s">
        <v>42153</v>
      </c>
      <c r="N10078" t="s">
        <v>44905</v>
      </c>
      <c r="O10078" t="s">
        <v>44906</v>
      </c>
      <c r="P10078">
        <v>0</v>
      </c>
      <c r="Q10078">
        <v>9</v>
      </c>
      <c r="R10078" t="s">
        <v>44914</v>
      </c>
      <c r="S10078" t="s">
        <v>45202</v>
      </c>
      <c r="T10078" t="s">
        <v>46617</v>
      </c>
      <c r="U10078" t="s">
        <v>55040</v>
      </c>
      <c r="W10078" t="s">
        <v>42153</v>
      </c>
      <c r="X10078" t="s">
        <v>44915</v>
      </c>
    </row>
    <row r="10079" spans="1:24">
      <c r="A10079">
        <f>HYPERLINK("https://www.philgeps.gov.ph/GEPSNONPILOT/Tender/SplashBidNoticeAbstractUI.aspx?menuIndex=3&amp;refID=7069823&amp;Result=3","7069823")</f>
        <v>0</v>
      </c>
      <c r="B10079" t="s">
        <v>2049</v>
      </c>
      <c r="C10079" t="s">
        <v>13133</v>
      </c>
      <c r="D10079" t="s">
        <v>18149</v>
      </c>
      <c r="E10079" t="s">
        <v>26948</v>
      </c>
      <c r="F10079" t="s">
        <v>31362</v>
      </c>
      <c r="G10079" t="s">
        <v>31369</v>
      </c>
      <c r="H10079" t="s">
        <v>31378</v>
      </c>
      <c r="I10079" t="s">
        <v>31386</v>
      </c>
      <c r="J10079" t="s">
        <v>37675</v>
      </c>
      <c r="K10079" t="s">
        <v>40812</v>
      </c>
      <c r="M10079" t="s">
        <v>43170</v>
      </c>
      <c r="N10079" t="s">
        <v>44905</v>
      </c>
      <c r="O10079" t="s">
        <v>44906</v>
      </c>
      <c r="P10079">
        <v>0</v>
      </c>
      <c r="Q10079">
        <v>2</v>
      </c>
      <c r="R10079" t="s">
        <v>44914</v>
      </c>
      <c r="S10079" t="s">
        <v>45202</v>
      </c>
      <c r="T10079" t="s">
        <v>46486</v>
      </c>
      <c r="U10079" t="s">
        <v>55041</v>
      </c>
      <c r="W10079" t="s">
        <v>43170</v>
      </c>
      <c r="X10079" t="s">
        <v>44915</v>
      </c>
    </row>
    <row r="10080" spans="1:24">
      <c r="A10080">
        <f>HYPERLINK("https://www.philgeps.gov.ph/GEPSNONPILOT/Tender/SplashBidNoticeAbstractUI.aspx?menuIndex=3&amp;refID=7069816&amp;Result=3","7069816")</f>
        <v>0</v>
      </c>
      <c r="B10080" t="s">
        <v>2300</v>
      </c>
      <c r="C10080" t="s">
        <v>13134</v>
      </c>
      <c r="D10080" t="s">
        <v>18148</v>
      </c>
      <c r="E10080" t="s">
        <v>26949</v>
      </c>
      <c r="F10080" t="s">
        <v>31362</v>
      </c>
      <c r="G10080" t="s">
        <v>31369</v>
      </c>
      <c r="H10080" t="s">
        <v>15799</v>
      </c>
      <c r="I10080" t="s">
        <v>31426</v>
      </c>
      <c r="J10080" t="s">
        <v>37676</v>
      </c>
      <c r="K10080" t="s">
        <v>40679</v>
      </c>
      <c r="M10080" t="s">
        <v>43440</v>
      </c>
      <c r="N10080" t="s">
        <v>44905</v>
      </c>
      <c r="O10080" t="s">
        <v>44906</v>
      </c>
      <c r="P10080">
        <v>0</v>
      </c>
      <c r="Q10080">
        <v>4</v>
      </c>
      <c r="R10080" t="s">
        <v>44914</v>
      </c>
      <c r="S10080" t="s">
        <v>45202</v>
      </c>
      <c r="T10080" t="s">
        <v>46616</v>
      </c>
      <c r="U10080" t="s">
        <v>55031</v>
      </c>
      <c r="W10080" t="s">
        <v>43440</v>
      </c>
      <c r="X10080" t="s">
        <v>44915</v>
      </c>
    </row>
    <row r="10081" spans="1:24">
      <c r="A10081">
        <f>HYPERLINK("https://www.philgeps.gov.ph/GEPSNONPILOT/Tender/SplashBidNoticeAbstractUI.aspx?menuIndex=3&amp;refID=7069797&amp;Result=3","7069797")</f>
        <v>0</v>
      </c>
      <c r="B10081" t="s">
        <v>2861</v>
      </c>
      <c r="C10081" t="s">
        <v>13135</v>
      </c>
      <c r="D10081" t="s">
        <v>18148</v>
      </c>
      <c r="E10081" t="s">
        <v>26950</v>
      </c>
      <c r="F10081" t="s">
        <v>31362</v>
      </c>
      <c r="G10081" t="s">
        <v>31373</v>
      </c>
      <c r="H10081" t="s">
        <v>31378</v>
      </c>
      <c r="I10081" t="s">
        <v>31386</v>
      </c>
      <c r="J10081" t="s">
        <v>33300</v>
      </c>
      <c r="K10081" t="s">
        <v>40665</v>
      </c>
      <c r="M10081" t="s">
        <v>44065</v>
      </c>
      <c r="N10081" t="s">
        <v>44905</v>
      </c>
      <c r="O10081" t="s">
        <v>44906</v>
      </c>
      <c r="Q10081">
        <v>1</v>
      </c>
      <c r="R10081" t="s">
        <v>44914</v>
      </c>
      <c r="S10081" t="s">
        <v>45229</v>
      </c>
      <c r="T10081" t="s">
        <v>46392</v>
      </c>
      <c r="U10081" t="s">
        <v>53717</v>
      </c>
      <c r="W10081" t="s">
        <v>44065</v>
      </c>
      <c r="X10081" t="s">
        <v>44915</v>
      </c>
    </row>
    <row r="10082" spans="1:24">
      <c r="A10082">
        <f>HYPERLINK("https://www.philgeps.gov.ph/GEPSNONPILOT/Tender/SplashBidNoticeAbstractUI.aspx?menuIndex=3&amp;refID=7069861&amp;Result=3","7069861")</f>
        <v>0</v>
      </c>
      <c r="B10082" t="s">
        <v>2300</v>
      </c>
      <c r="C10082" t="s">
        <v>13136</v>
      </c>
      <c r="D10082" t="s">
        <v>18148</v>
      </c>
      <c r="E10082" t="s">
        <v>26951</v>
      </c>
      <c r="F10082" t="s">
        <v>31362</v>
      </c>
      <c r="G10082" t="s">
        <v>31369</v>
      </c>
      <c r="H10082" t="s">
        <v>15799</v>
      </c>
      <c r="I10082" t="s">
        <v>31426</v>
      </c>
      <c r="J10082" t="s">
        <v>37677</v>
      </c>
      <c r="K10082" t="s">
        <v>40679</v>
      </c>
      <c r="M10082" t="s">
        <v>43440</v>
      </c>
      <c r="N10082" t="s">
        <v>44905</v>
      </c>
      <c r="O10082" t="s">
        <v>44906</v>
      </c>
      <c r="P10082">
        <v>0</v>
      </c>
      <c r="Q10082">
        <v>4</v>
      </c>
      <c r="R10082" t="s">
        <v>44914</v>
      </c>
      <c r="S10082" t="s">
        <v>45202</v>
      </c>
      <c r="T10082" t="s">
        <v>46616</v>
      </c>
      <c r="U10082" t="s">
        <v>55042</v>
      </c>
      <c r="W10082" t="s">
        <v>43440</v>
      </c>
      <c r="X10082" t="s">
        <v>44915</v>
      </c>
    </row>
    <row r="10083" spans="1:24">
      <c r="A10083">
        <f>HYPERLINK("https://www.philgeps.gov.ph/GEPSNONPILOT/Tender/SplashBidNoticeAbstractUI.aspx?menuIndex=3&amp;refID=7069777&amp;Result=3","7069777")</f>
        <v>0</v>
      </c>
      <c r="B10083" t="s">
        <v>262</v>
      </c>
      <c r="C10083" t="s">
        <v>13137</v>
      </c>
      <c r="E10083" t="s">
        <v>26952</v>
      </c>
      <c r="F10083" t="s">
        <v>31362</v>
      </c>
      <c r="G10083" t="s">
        <v>31369</v>
      </c>
      <c r="H10083" t="s">
        <v>31378</v>
      </c>
      <c r="I10083" t="s">
        <v>31386</v>
      </c>
      <c r="J10083" t="s">
        <v>33868</v>
      </c>
      <c r="K10083" t="s">
        <v>40663</v>
      </c>
      <c r="M10083" t="s">
        <v>42051</v>
      </c>
      <c r="N10083" t="s">
        <v>44905</v>
      </c>
      <c r="O10083" t="s">
        <v>44906</v>
      </c>
      <c r="P10083">
        <v>0</v>
      </c>
      <c r="Q10083">
        <v>0</v>
      </c>
      <c r="R10083" t="s">
        <v>44914</v>
      </c>
      <c r="S10083" t="s">
        <v>45202</v>
      </c>
      <c r="T10083" t="s">
        <v>46685</v>
      </c>
      <c r="U10083" t="s">
        <v>55043</v>
      </c>
      <c r="W10083" t="s">
        <v>42051</v>
      </c>
      <c r="X10083" t="s">
        <v>44915</v>
      </c>
    </row>
    <row r="10084" spans="1:24">
      <c r="A10084">
        <f>HYPERLINK("https://www.philgeps.gov.ph/GEPSNONPILOT/Tender/SplashBidNoticeAbstractUI.aspx?menuIndex=3&amp;refID=7069844&amp;Result=3","7069844")</f>
        <v>0</v>
      </c>
      <c r="B10084" t="s">
        <v>622</v>
      </c>
      <c r="C10084" t="s">
        <v>13138</v>
      </c>
      <c r="D10084" t="s">
        <v>18108</v>
      </c>
      <c r="E10084" t="s">
        <v>26953</v>
      </c>
      <c r="F10084" t="s">
        <v>31362</v>
      </c>
      <c r="G10084" t="s">
        <v>31373</v>
      </c>
      <c r="H10084" t="s">
        <v>15799</v>
      </c>
      <c r="I10084" t="s">
        <v>31393</v>
      </c>
      <c r="J10084" t="s">
        <v>37678</v>
      </c>
      <c r="K10084" t="s">
        <v>40665</v>
      </c>
      <c r="M10084" t="s">
        <v>42973</v>
      </c>
      <c r="N10084" t="s">
        <v>44905</v>
      </c>
      <c r="O10084" t="s">
        <v>44906</v>
      </c>
      <c r="Q10084">
        <v>29</v>
      </c>
      <c r="R10084" t="s">
        <v>44914</v>
      </c>
      <c r="S10084" t="s">
        <v>45230</v>
      </c>
      <c r="T10084" t="s">
        <v>46419</v>
      </c>
      <c r="U10084" t="s">
        <v>52773</v>
      </c>
      <c r="W10084" t="s">
        <v>42973</v>
      </c>
      <c r="X10084" t="s">
        <v>44915</v>
      </c>
    </row>
    <row r="10085" spans="1:24">
      <c r="A10085">
        <f>HYPERLINK("https://www.philgeps.gov.ph/GEPSNONPILOT/Tender/SplashBidNoticeAbstractUI.aspx?menuIndex=3&amp;refID=7069766&amp;Result=3","7069766")</f>
        <v>0</v>
      </c>
      <c r="B10085" t="s">
        <v>262</v>
      </c>
      <c r="C10085" t="s">
        <v>13139</v>
      </c>
      <c r="E10085" t="s">
        <v>26954</v>
      </c>
      <c r="F10085" t="s">
        <v>31362</v>
      </c>
      <c r="G10085" t="s">
        <v>31369</v>
      </c>
      <c r="H10085" t="s">
        <v>31378</v>
      </c>
      <c r="I10085" t="s">
        <v>31386</v>
      </c>
      <c r="J10085" t="s">
        <v>37679</v>
      </c>
      <c r="K10085" t="s">
        <v>40678</v>
      </c>
      <c r="M10085" t="s">
        <v>42051</v>
      </c>
      <c r="N10085" t="s">
        <v>44905</v>
      </c>
      <c r="O10085" t="s">
        <v>44906</v>
      </c>
      <c r="P10085">
        <v>0</v>
      </c>
      <c r="Q10085">
        <v>1</v>
      </c>
      <c r="R10085" t="s">
        <v>44914</v>
      </c>
      <c r="S10085" t="s">
        <v>45202</v>
      </c>
      <c r="T10085" t="s">
        <v>46685</v>
      </c>
      <c r="U10085" t="s">
        <v>55044</v>
      </c>
      <c r="W10085" t="s">
        <v>42051</v>
      </c>
      <c r="X10085" t="s">
        <v>44915</v>
      </c>
    </row>
    <row r="10086" spans="1:24">
      <c r="A10086">
        <f>HYPERLINK("https://www.philgeps.gov.ph/GEPSNONPILOT/Tender/SplashBidNoticeAbstractUI.aspx?menuIndex=3&amp;refID=7069878&amp;Result=3","7069878")</f>
        <v>0</v>
      </c>
      <c r="B10086" t="s">
        <v>257</v>
      </c>
      <c r="C10086" t="s">
        <v>13140</v>
      </c>
      <c r="D10086" t="s">
        <v>18104</v>
      </c>
      <c r="E10086" t="s">
        <v>26955</v>
      </c>
      <c r="F10086" t="s">
        <v>31362</v>
      </c>
      <c r="G10086" t="s">
        <v>31369</v>
      </c>
      <c r="H10086" t="s">
        <v>15799</v>
      </c>
      <c r="I10086" t="s">
        <v>31409</v>
      </c>
      <c r="J10086" t="s">
        <v>37680</v>
      </c>
      <c r="K10086" t="s">
        <v>40665</v>
      </c>
      <c r="M10086" t="s">
        <v>41198</v>
      </c>
      <c r="N10086" t="s">
        <v>44905</v>
      </c>
      <c r="O10086" t="s">
        <v>44906</v>
      </c>
      <c r="P10086">
        <v>0</v>
      </c>
      <c r="Q10086">
        <v>4</v>
      </c>
      <c r="R10086" t="s">
        <v>44914</v>
      </c>
      <c r="S10086" t="s">
        <v>45202</v>
      </c>
      <c r="T10086" t="s">
        <v>46511</v>
      </c>
      <c r="U10086" t="s">
        <v>48653</v>
      </c>
      <c r="W10086" t="s">
        <v>41198</v>
      </c>
      <c r="X10086" t="s">
        <v>44915</v>
      </c>
    </row>
    <row r="10087" spans="1:24">
      <c r="A10087">
        <f>HYPERLINK("https://www.philgeps.gov.ph/GEPSNONPILOT/Tender/SplashBidNoticeAbstractUI.aspx?menuIndex=3&amp;refID=7069803&amp;Result=3","7069803")</f>
        <v>0</v>
      </c>
      <c r="B10087" t="s">
        <v>553</v>
      </c>
      <c r="C10087" t="s">
        <v>13141</v>
      </c>
      <c r="D10087" t="s">
        <v>18143</v>
      </c>
      <c r="E10087" t="s">
        <v>26956</v>
      </c>
      <c r="F10087" t="s">
        <v>31362</v>
      </c>
      <c r="G10087" t="s">
        <v>31369</v>
      </c>
      <c r="H10087" t="s">
        <v>15799</v>
      </c>
      <c r="I10087" t="s">
        <v>7090</v>
      </c>
      <c r="J10087" t="s">
        <v>31542</v>
      </c>
      <c r="K10087" t="s">
        <v>40665</v>
      </c>
      <c r="M10087" t="s">
        <v>41509</v>
      </c>
      <c r="N10087" t="s">
        <v>44905</v>
      </c>
      <c r="O10087" t="s">
        <v>44906</v>
      </c>
      <c r="P10087">
        <v>0</v>
      </c>
      <c r="Q10087">
        <v>1</v>
      </c>
      <c r="R10087" t="s">
        <v>44914</v>
      </c>
      <c r="S10087" t="s">
        <v>45202</v>
      </c>
      <c r="T10087" t="s">
        <v>46638</v>
      </c>
      <c r="U10087" t="s">
        <v>55045</v>
      </c>
      <c r="W10087" t="s">
        <v>41509</v>
      </c>
      <c r="X10087" t="s">
        <v>44915</v>
      </c>
    </row>
    <row r="10088" spans="1:24">
      <c r="A10088">
        <f>HYPERLINK("https://www.philgeps.gov.ph/GEPSNONPILOT/Tender/SplashBidNoticeAbstractUI.aspx?menuIndex=3&amp;refID=7069957&amp;Result=3","7069957")</f>
        <v>0</v>
      </c>
      <c r="B10088" t="s">
        <v>2859</v>
      </c>
      <c r="C10088" t="s">
        <v>13142</v>
      </c>
      <c r="D10088" t="s">
        <v>18101</v>
      </c>
      <c r="E10088" t="s">
        <v>26957</v>
      </c>
      <c r="F10088" t="s">
        <v>31362</v>
      </c>
      <c r="G10088" t="s">
        <v>31369</v>
      </c>
      <c r="H10088" t="s">
        <v>15799</v>
      </c>
      <c r="I10088" t="s">
        <v>3815</v>
      </c>
      <c r="J10088" t="s">
        <v>37681</v>
      </c>
      <c r="K10088" t="s">
        <v>40666</v>
      </c>
      <c r="M10088" t="s">
        <v>44063</v>
      </c>
      <c r="N10088" t="s">
        <v>44905</v>
      </c>
      <c r="O10088" t="s">
        <v>44906</v>
      </c>
      <c r="P10088">
        <v>0</v>
      </c>
      <c r="Q10088">
        <v>0</v>
      </c>
      <c r="R10088" t="s">
        <v>44914</v>
      </c>
      <c r="S10088" t="s">
        <v>45202</v>
      </c>
      <c r="T10088" t="s">
        <v>46409</v>
      </c>
      <c r="U10088" t="s">
        <v>55046</v>
      </c>
      <c r="W10088" t="s">
        <v>44063</v>
      </c>
      <c r="X10088" t="s">
        <v>44915</v>
      </c>
    </row>
    <row r="10089" spans="1:24">
      <c r="A10089">
        <f>HYPERLINK("https://www.philgeps.gov.ph/GEPSNONPILOT/Tender/SplashBidNoticeAbstractUI.aspx?menuIndex=3&amp;refID=7069955&amp;Result=3","7069955")</f>
        <v>0</v>
      </c>
      <c r="B10089" t="s">
        <v>1048</v>
      </c>
      <c r="C10089" t="s">
        <v>13143</v>
      </c>
      <c r="D10089" t="s">
        <v>18139</v>
      </c>
      <c r="E10089" t="s">
        <v>26958</v>
      </c>
      <c r="F10089" t="s">
        <v>31362</v>
      </c>
      <c r="G10089" t="s">
        <v>31369</v>
      </c>
      <c r="H10089" t="s">
        <v>31378</v>
      </c>
      <c r="I10089" t="s">
        <v>31386</v>
      </c>
      <c r="J10089" t="s">
        <v>37682</v>
      </c>
      <c r="K10089" t="s">
        <v>40682</v>
      </c>
      <c r="M10089" t="s">
        <v>42048</v>
      </c>
      <c r="N10089" t="s">
        <v>44905</v>
      </c>
      <c r="O10089" t="s">
        <v>44906</v>
      </c>
      <c r="P10089">
        <v>0</v>
      </c>
      <c r="Q10089">
        <v>0</v>
      </c>
      <c r="R10089" t="s">
        <v>44914</v>
      </c>
      <c r="S10089" t="s">
        <v>45202</v>
      </c>
      <c r="T10089" t="s">
        <v>46411</v>
      </c>
      <c r="U10089" t="s">
        <v>55047</v>
      </c>
      <c r="W10089" t="s">
        <v>42048</v>
      </c>
      <c r="X10089" t="s">
        <v>44915</v>
      </c>
    </row>
    <row r="10090" spans="1:24">
      <c r="A10090">
        <f>HYPERLINK("https://www.philgeps.gov.ph/GEPSNONPILOT/Tender/SplashBidNoticeAbstractUI.aspx?menuIndex=3&amp;refID=7069789&amp;Result=3","7069789")</f>
        <v>0</v>
      </c>
      <c r="B10090" t="s">
        <v>262</v>
      </c>
      <c r="C10090" t="s">
        <v>13144</v>
      </c>
      <c r="E10090" t="s">
        <v>26959</v>
      </c>
      <c r="F10090" t="s">
        <v>31362</v>
      </c>
      <c r="G10090" t="s">
        <v>31369</v>
      </c>
      <c r="H10090" t="s">
        <v>31378</v>
      </c>
      <c r="I10090" t="s">
        <v>31386</v>
      </c>
      <c r="J10090" t="s">
        <v>37679</v>
      </c>
      <c r="K10090" t="s">
        <v>40678</v>
      </c>
      <c r="M10090" t="s">
        <v>42051</v>
      </c>
      <c r="N10090" t="s">
        <v>44905</v>
      </c>
      <c r="O10090" t="s">
        <v>44906</v>
      </c>
      <c r="P10090">
        <v>0</v>
      </c>
      <c r="Q10090">
        <v>1</v>
      </c>
      <c r="R10090" t="s">
        <v>44914</v>
      </c>
      <c r="S10090" t="s">
        <v>45202</v>
      </c>
      <c r="T10090" t="s">
        <v>46685</v>
      </c>
      <c r="U10090" t="s">
        <v>55048</v>
      </c>
      <c r="W10090" t="s">
        <v>42051</v>
      </c>
      <c r="X10090" t="s">
        <v>44915</v>
      </c>
    </row>
    <row r="10091" spans="1:24">
      <c r="A10091">
        <f>HYPERLINK("https://www.philgeps.gov.ph/GEPSNONPILOT/Tender/SplashBidNoticeAbstractUI.aspx?menuIndex=3&amp;refID=7069947&amp;Result=3","7069947")</f>
        <v>0</v>
      </c>
      <c r="B10091" t="s">
        <v>2279</v>
      </c>
      <c r="C10091" t="s">
        <v>13145</v>
      </c>
      <c r="D10091" t="s">
        <v>18181</v>
      </c>
      <c r="E10091" t="s">
        <v>26960</v>
      </c>
      <c r="F10091" t="s">
        <v>31362</v>
      </c>
      <c r="G10091" t="s">
        <v>31369</v>
      </c>
      <c r="H10091" t="s">
        <v>31378</v>
      </c>
      <c r="I10091" t="s">
        <v>31386</v>
      </c>
      <c r="J10091" t="s">
        <v>31586</v>
      </c>
      <c r="K10091" t="s">
        <v>40665</v>
      </c>
      <c r="M10091" t="s">
        <v>43418</v>
      </c>
      <c r="N10091" t="s">
        <v>44905</v>
      </c>
      <c r="O10091" t="s">
        <v>44906</v>
      </c>
      <c r="P10091">
        <v>0</v>
      </c>
      <c r="Q10091">
        <v>1</v>
      </c>
      <c r="R10091" t="s">
        <v>44914</v>
      </c>
      <c r="S10091" t="s">
        <v>45202</v>
      </c>
      <c r="T10091" t="s">
        <v>46432</v>
      </c>
      <c r="U10091" t="s">
        <v>55049</v>
      </c>
      <c r="W10091" t="s">
        <v>43418</v>
      </c>
      <c r="X10091" t="s">
        <v>44915</v>
      </c>
    </row>
    <row r="10092" spans="1:24">
      <c r="A10092">
        <f>HYPERLINK("https://www.philgeps.gov.ph/GEPSNONPILOT/Tender/SplashBidNoticeAbstractUI.aspx?menuIndex=3&amp;refID=7069824&amp;Result=3","7069824")</f>
        <v>0</v>
      </c>
      <c r="B10092" t="s">
        <v>2854</v>
      </c>
      <c r="C10092" t="s">
        <v>13146</v>
      </c>
      <c r="D10092" t="s">
        <v>18106</v>
      </c>
      <c r="E10092" t="s">
        <v>26928</v>
      </c>
      <c r="F10092" t="s">
        <v>31362</v>
      </c>
      <c r="G10092" t="s">
        <v>31369</v>
      </c>
      <c r="H10092" t="s">
        <v>31378</v>
      </c>
      <c r="I10092" t="s">
        <v>31386</v>
      </c>
      <c r="J10092" t="s">
        <v>31591</v>
      </c>
      <c r="K10092" t="s">
        <v>40675</v>
      </c>
      <c r="M10092" t="s">
        <v>44057</v>
      </c>
      <c r="N10092" t="s">
        <v>44905</v>
      </c>
      <c r="O10092" t="s">
        <v>44906</v>
      </c>
      <c r="P10092">
        <v>0</v>
      </c>
      <c r="Q10092">
        <v>1</v>
      </c>
      <c r="R10092" t="s">
        <v>44914</v>
      </c>
      <c r="S10092" t="s">
        <v>45202</v>
      </c>
      <c r="T10092" t="s">
        <v>46793</v>
      </c>
      <c r="U10092" t="s">
        <v>55013</v>
      </c>
      <c r="W10092" t="s">
        <v>44057</v>
      </c>
      <c r="X10092" t="s">
        <v>44915</v>
      </c>
    </row>
    <row r="10093" spans="1:24">
      <c r="A10093">
        <f>HYPERLINK("https://www.philgeps.gov.ph/GEPSNONPILOT/Tender/SplashBidNoticeAbstractUI.aspx?menuIndex=3&amp;refID=7069946&amp;Result=3","7069946")</f>
        <v>0</v>
      </c>
      <c r="B10093" t="s">
        <v>257</v>
      </c>
      <c r="C10093" t="s">
        <v>13147</v>
      </c>
      <c r="D10093" t="s">
        <v>18104</v>
      </c>
      <c r="E10093" t="s">
        <v>26961</v>
      </c>
      <c r="F10093" t="s">
        <v>31362</v>
      </c>
      <c r="G10093" t="s">
        <v>31369</v>
      </c>
      <c r="H10093" t="s">
        <v>15799</v>
      </c>
      <c r="I10093" t="s">
        <v>31409</v>
      </c>
      <c r="J10093" t="s">
        <v>37683</v>
      </c>
      <c r="K10093" t="s">
        <v>40682</v>
      </c>
      <c r="M10093" t="s">
        <v>41198</v>
      </c>
      <c r="N10093" t="s">
        <v>44905</v>
      </c>
      <c r="O10093" t="s">
        <v>44906</v>
      </c>
      <c r="P10093">
        <v>0</v>
      </c>
      <c r="Q10093">
        <v>12</v>
      </c>
      <c r="R10093" t="s">
        <v>44914</v>
      </c>
      <c r="S10093" t="s">
        <v>45202</v>
      </c>
      <c r="T10093" t="s">
        <v>46511</v>
      </c>
      <c r="U10093" t="s">
        <v>48653</v>
      </c>
      <c r="W10093" t="s">
        <v>41198</v>
      </c>
      <c r="X10093" t="s">
        <v>44915</v>
      </c>
    </row>
    <row r="10094" spans="1:24">
      <c r="A10094">
        <f>HYPERLINK("https://www.philgeps.gov.ph/GEPSNONPILOT/Tender/SplashBidNoticeAbstractUI.aspx?menuIndex=3&amp;refID=7069942&amp;Result=3","7069942")</f>
        <v>0</v>
      </c>
      <c r="B10094" t="s">
        <v>2862</v>
      </c>
      <c r="C10094" t="s">
        <v>13148</v>
      </c>
      <c r="D10094" t="s">
        <v>18145</v>
      </c>
      <c r="E10094" t="s">
        <v>21524</v>
      </c>
      <c r="F10094" t="s">
        <v>31362</v>
      </c>
      <c r="G10094" t="s">
        <v>31369</v>
      </c>
      <c r="H10094" t="s">
        <v>15799</v>
      </c>
      <c r="I10094" t="s">
        <v>31431</v>
      </c>
      <c r="J10094" t="s">
        <v>31531</v>
      </c>
      <c r="K10094" t="s">
        <v>40661</v>
      </c>
      <c r="M10094" t="s">
        <v>44066</v>
      </c>
      <c r="N10094" t="s">
        <v>44905</v>
      </c>
      <c r="O10094" t="s">
        <v>44906</v>
      </c>
      <c r="P10094">
        <v>0</v>
      </c>
      <c r="Q10094">
        <v>3</v>
      </c>
      <c r="R10094" t="s">
        <v>44914</v>
      </c>
      <c r="S10094" t="s">
        <v>45202</v>
      </c>
      <c r="T10094" t="s">
        <v>46403</v>
      </c>
      <c r="U10094" t="s">
        <v>55050</v>
      </c>
      <c r="W10094" t="s">
        <v>44066</v>
      </c>
      <c r="X10094" t="s">
        <v>44915</v>
      </c>
    </row>
    <row r="10095" spans="1:24">
      <c r="A10095">
        <f>HYPERLINK("https://www.philgeps.gov.ph/GEPSNONPILOT/Tender/SplashBidNoticeAbstractUI.aspx?menuIndex=3&amp;refID=7069939&amp;Result=3","7069939")</f>
        <v>0</v>
      </c>
      <c r="B10095" t="s">
        <v>622</v>
      </c>
      <c r="C10095" t="s">
        <v>13149</v>
      </c>
      <c r="D10095" t="s">
        <v>18108</v>
      </c>
      <c r="E10095" t="s">
        <v>26962</v>
      </c>
      <c r="F10095" t="s">
        <v>31362</v>
      </c>
      <c r="G10095" t="s">
        <v>31373</v>
      </c>
      <c r="H10095" t="s">
        <v>15799</v>
      </c>
      <c r="I10095" t="s">
        <v>3815</v>
      </c>
      <c r="J10095" t="s">
        <v>37684</v>
      </c>
      <c r="K10095" t="s">
        <v>40665</v>
      </c>
      <c r="M10095" t="s">
        <v>42973</v>
      </c>
      <c r="N10095" t="s">
        <v>44905</v>
      </c>
      <c r="O10095" t="s">
        <v>44906</v>
      </c>
      <c r="Q10095">
        <v>3</v>
      </c>
      <c r="R10095" t="s">
        <v>44914</v>
      </c>
      <c r="S10095" t="s">
        <v>45231</v>
      </c>
      <c r="T10095" t="s">
        <v>46433</v>
      </c>
      <c r="U10095" t="s">
        <v>52773</v>
      </c>
      <c r="W10095" t="s">
        <v>42973</v>
      </c>
      <c r="X10095" t="s">
        <v>44915</v>
      </c>
    </row>
    <row r="10096" spans="1:24">
      <c r="A10096">
        <f>HYPERLINK("https://www.philgeps.gov.ph/GEPSNONPILOT/Tender/SplashBidNoticeAbstractUI.aspx?menuIndex=3&amp;refID=7069808&amp;Result=3","7069808")</f>
        <v>0</v>
      </c>
      <c r="B10096" t="s">
        <v>2863</v>
      </c>
      <c r="C10096" t="s">
        <v>13150</v>
      </c>
      <c r="D10096" t="s">
        <v>18104</v>
      </c>
      <c r="E10096" t="s">
        <v>26963</v>
      </c>
      <c r="F10096" t="s">
        <v>31362</v>
      </c>
      <c r="G10096" t="s">
        <v>31369</v>
      </c>
      <c r="H10096" t="s">
        <v>15799</v>
      </c>
      <c r="I10096" t="s">
        <v>31381</v>
      </c>
      <c r="J10096" t="s">
        <v>31575</v>
      </c>
      <c r="K10096" t="s">
        <v>40661</v>
      </c>
      <c r="M10096" t="s">
        <v>44067</v>
      </c>
      <c r="N10096" t="s">
        <v>44905</v>
      </c>
      <c r="O10096" t="s">
        <v>44906</v>
      </c>
      <c r="P10096">
        <v>0</v>
      </c>
      <c r="Q10096">
        <v>1</v>
      </c>
      <c r="R10096" t="s">
        <v>44914</v>
      </c>
      <c r="S10096" t="s">
        <v>45202</v>
      </c>
      <c r="T10096" t="s">
        <v>46434</v>
      </c>
      <c r="U10096" t="s">
        <v>55051</v>
      </c>
      <c r="W10096" t="s">
        <v>44067</v>
      </c>
      <c r="X10096" t="s">
        <v>44915</v>
      </c>
    </row>
    <row r="10097" spans="1:24">
      <c r="A10097">
        <f>HYPERLINK("https://www.philgeps.gov.ph/GEPSNONPILOT/Tender/SplashBidNoticeAbstractUI.aspx?menuIndex=3&amp;refID=7069920&amp;Result=3","7069920")</f>
        <v>0</v>
      </c>
      <c r="B10097" t="s">
        <v>257</v>
      </c>
      <c r="C10097" t="s">
        <v>13151</v>
      </c>
      <c r="D10097" t="s">
        <v>18104</v>
      </c>
      <c r="E10097" t="s">
        <v>26964</v>
      </c>
      <c r="F10097" t="s">
        <v>31362</v>
      </c>
      <c r="G10097" t="s">
        <v>31369</v>
      </c>
      <c r="H10097" t="s">
        <v>15799</v>
      </c>
      <c r="I10097" t="s">
        <v>31380</v>
      </c>
      <c r="J10097" t="s">
        <v>31730</v>
      </c>
      <c r="K10097" t="s">
        <v>40665</v>
      </c>
      <c r="M10097" t="s">
        <v>41198</v>
      </c>
      <c r="N10097" t="s">
        <v>44905</v>
      </c>
      <c r="O10097" t="s">
        <v>44906</v>
      </c>
      <c r="P10097">
        <v>0</v>
      </c>
      <c r="Q10097">
        <v>2</v>
      </c>
      <c r="R10097" t="s">
        <v>44914</v>
      </c>
      <c r="S10097" t="s">
        <v>45202</v>
      </c>
      <c r="T10097" t="s">
        <v>46393</v>
      </c>
      <c r="U10097" t="s">
        <v>48653</v>
      </c>
      <c r="W10097" t="s">
        <v>41198</v>
      </c>
      <c r="X10097" t="s">
        <v>44915</v>
      </c>
    </row>
    <row r="10098" spans="1:24">
      <c r="A10098">
        <f>HYPERLINK("https://www.philgeps.gov.ph/GEPSNONPILOT/Tender/SplashBidNoticeAbstractUI.aspx?menuIndex=3&amp;refID=7069913&amp;Result=3","7069913")</f>
        <v>0</v>
      </c>
      <c r="B10098" t="s">
        <v>742</v>
      </c>
      <c r="C10098" t="s">
        <v>13152</v>
      </c>
      <c r="D10098" t="s">
        <v>18109</v>
      </c>
      <c r="E10098" t="s">
        <v>26965</v>
      </c>
      <c r="F10098" t="s">
        <v>31362</v>
      </c>
      <c r="G10098" t="s">
        <v>31369</v>
      </c>
      <c r="H10098" t="s">
        <v>15799</v>
      </c>
      <c r="I10098" t="s">
        <v>31479</v>
      </c>
      <c r="J10098" t="s">
        <v>31591</v>
      </c>
      <c r="K10098" t="s">
        <v>40666</v>
      </c>
      <c r="M10098" t="s">
        <v>41709</v>
      </c>
      <c r="N10098" t="s">
        <v>44905</v>
      </c>
      <c r="O10098" t="s">
        <v>44906</v>
      </c>
      <c r="P10098">
        <v>0</v>
      </c>
      <c r="Q10098">
        <v>0</v>
      </c>
      <c r="R10098" t="s">
        <v>44914</v>
      </c>
      <c r="S10098" t="s">
        <v>45202</v>
      </c>
      <c r="T10098" t="s">
        <v>46532</v>
      </c>
      <c r="U10098" t="s">
        <v>55052</v>
      </c>
      <c r="W10098" t="s">
        <v>41709</v>
      </c>
      <c r="X10098" t="s">
        <v>44915</v>
      </c>
    </row>
    <row r="10099" spans="1:24">
      <c r="A10099">
        <f>HYPERLINK("https://www.philgeps.gov.ph/GEPSNONPILOT/Tender/SplashBidNoticeAbstractUI.aspx?menuIndex=3&amp;refID=7069956&amp;Result=3","7069956")</f>
        <v>0</v>
      </c>
      <c r="B10099" t="s">
        <v>828</v>
      </c>
      <c r="C10099" t="s">
        <v>13153</v>
      </c>
      <c r="D10099" t="s">
        <v>18148</v>
      </c>
      <c r="E10099" t="s">
        <v>26966</v>
      </c>
      <c r="F10099" t="s">
        <v>31362</v>
      </c>
      <c r="G10099" t="s">
        <v>31369</v>
      </c>
      <c r="H10099" t="s">
        <v>15799</v>
      </c>
      <c r="I10099" t="s">
        <v>3815</v>
      </c>
      <c r="J10099" t="s">
        <v>37685</v>
      </c>
      <c r="K10099" t="s">
        <v>40662</v>
      </c>
      <c r="M10099" t="s">
        <v>41802</v>
      </c>
      <c r="N10099" t="s">
        <v>44905</v>
      </c>
      <c r="O10099" t="s">
        <v>44906</v>
      </c>
      <c r="P10099">
        <v>0</v>
      </c>
      <c r="Q10099">
        <v>0</v>
      </c>
      <c r="R10099" t="s">
        <v>44914</v>
      </c>
      <c r="S10099" t="s">
        <v>45202</v>
      </c>
      <c r="T10099" t="s">
        <v>46412</v>
      </c>
      <c r="U10099" t="s">
        <v>55053</v>
      </c>
      <c r="W10099" t="s">
        <v>41802</v>
      </c>
      <c r="X10099" t="s">
        <v>44915</v>
      </c>
    </row>
    <row r="10100" spans="1:24">
      <c r="A10100">
        <f>HYPERLINK("https://www.philgeps.gov.ph/GEPSNONPILOT/Tender/SplashBidNoticeAbstractUI.aspx?menuIndex=3&amp;refID=7069908&amp;Result=3","7069908")</f>
        <v>0</v>
      </c>
      <c r="B10100" t="s">
        <v>2300</v>
      </c>
      <c r="C10100" t="s">
        <v>13154</v>
      </c>
      <c r="D10100" t="s">
        <v>18148</v>
      </c>
      <c r="E10100" t="s">
        <v>26967</v>
      </c>
      <c r="F10100" t="s">
        <v>31362</v>
      </c>
      <c r="G10100" t="s">
        <v>31369</v>
      </c>
      <c r="H10100" t="s">
        <v>15799</v>
      </c>
      <c r="I10100" t="s">
        <v>13635</v>
      </c>
      <c r="J10100" t="s">
        <v>37686</v>
      </c>
      <c r="K10100" t="s">
        <v>40679</v>
      </c>
      <c r="M10100" t="s">
        <v>43440</v>
      </c>
      <c r="N10100" t="s">
        <v>44905</v>
      </c>
      <c r="O10100" t="s">
        <v>44906</v>
      </c>
      <c r="P10100">
        <v>0</v>
      </c>
      <c r="Q10100">
        <v>7</v>
      </c>
      <c r="R10100" t="s">
        <v>44914</v>
      </c>
      <c r="S10100" t="s">
        <v>45202</v>
      </c>
      <c r="T10100" t="s">
        <v>46616</v>
      </c>
      <c r="U10100" t="s">
        <v>55054</v>
      </c>
      <c r="W10100" t="s">
        <v>43440</v>
      </c>
      <c r="X10100" t="s">
        <v>44915</v>
      </c>
    </row>
    <row r="10101" spans="1:24">
      <c r="A10101">
        <f>HYPERLINK("https://www.philgeps.gov.ph/GEPSNONPILOT/Tender/SplashBidNoticeAbstractUI.aspx?menuIndex=3&amp;refID=7069897&amp;Result=3","7069897")</f>
        <v>0</v>
      </c>
      <c r="B10101" t="s">
        <v>629</v>
      </c>
      <c r="C10101" t="s">
        <v>13155</v>
      </c>
      <c r="D10101" t="s">
        <v>18160</v>
      </c>
      <c r="E10101" t="s">
        <v>26968</v>
      </c>
      <c r="F10101" t="s">
        <v>31362</v>
      </c>
      <c r="G10101" t="s">
        <v>31369</v>
      </c>
      <c r="H10101" t="s">
        <v>31378</v>
      </c>
      <c r="I10101" t="s">
        <v>31386</v>
      </c>
      <c r="J10101" t="s">
        <v>37687</v>
      </c>
      <c r="K10101" t="s">
        <v>40683</v>
      </c>
      <c r="M10101" t="s">
        <v>41589</v>
      </c>
      <c r="N10101" t="s">
        <v>44905</v>
      </c>
      <c r="O10101" t="s">
        <v>44906</v>
      </c>
      <c r="P10101">
        <v>0</v>
      </c>
      <c r="Q10101">
        <v>0</v>
      </c>
      <c r="R10101" t="s">
        <v>44914</v>
      </c>
      <c r="S10101" t="s">
        <v>45202</v>
      </c>
      <c r="T10101" t="s">
        <v>46479</v>
      </c>
      <c r="U10101" t="s">
        <v>55055</v>
      </c>
      <c r="W10101" t="s">
        <v>41589</v>
      </c>
      <c r="X10101" t="s">
        <v>44915</v>
      </c>
    </row>
    <row r="10102" spans="1:24">
      <c r="A10102">
        <f>HYPERLINK("https://www.philgeps.gov.ph/GEPSNONPILOT/Tender/SplashBidNoticeAbstractUI.aspx?menuIndex=3&amp;refID=7069940&amp;Result=3","7069940")</f>
        <v>0</v>
      </c>
      <c r="B10102" t="s">
        <v>828</v>
      </c>
      <c r="C10102" t="s">
        <v>13156</v>
      </c>
      <c r="D10102" t="s">
        <v>18148</v>
      </c>
      <c r="E10102" t="s">
        <v>26969</v>
      </c>
      <c r="F10102" t="s">
        <v>31362</v>
      </c>
      <c r="G10102" t="s">
        <v>31369</v>
      </c>
      <c r="H10102" t="s">
        <v>15799</v>
      </c>
      <c r="I10102" t="s">
        <v>3815</v>
      </c>
      <c r="J10102" t="s">
        <v>37688</v>
      </c>
      <c r="K10102" t="s">
        <v>40662</v>
      </c>
      <c r="M10102" t="s">
        <v>41802</v>
      </c>
      <c r="N10102" t="s">
        <v>44905</v>
      </c>
      <c r="O10102" t="s">
        <v>44906</v>
      </c>
      <c r="P10102">
        <v>0</v>
      </c>
      <c r="Q10102">
        <v>0</v>
      </c>
      <c r="R10102" t="s">
        <v>44914</v>
      </c>
      <c r="S10102" t="s">
        <v>45202</v>
      </c>
      <c r="T10102" t="s">
        <v>46412</v>
      </c>
      <c r="U10102" t="s">
        <v>55056</v>
      </c>
      <c r="W10102" t="s">
        <v>41802</v>
      </c>
      <c r="X10102" t="s">
        <v>44915</v>
      </c>
    </row>
    <row r="10103" spans="1:24">
      <c r="A10103">
        <f>HYPERLINK("https://www.philgeps.gov.ph/GEPSNONPILOT/Tender/SplashBidNoticeAbstractUI.aspx?menuIndex=3&amp;refID=7069894&amp;Result=3","7069894")</f>
        <v>0</v>
      </c>
      <c r="B10103" t="s">
        <v>968</v>
      </c>
      <c r="C10103" t="s">
        <v>13157</v>
      </c>
      <c r="D10103" t="s">
        <v>18100</v>
      </c>
      <c r="E10103" t="s">
        <v>22920</v>
      </c>
      <c r="F10103" t="s">
        <v>31362</v>
      </c>
      <c r="G10103" t="s">
        <v>31369</v>
      </c>
      <c r="H10103" t="s">
        <v>15799</v>
      </c>
      <c r="I10103" t="s">
        <v>31387</v>
      </c>
      <c r="J10103" t="s">
        <v>37689</v>
      </c>
      <c r="K10103" t="s">
        <v>40662</v>
      </c>
      <c r="M10103" t="s">
        <v>41958</v>
      </c>
      <c r="N10103" t="s">
        <v>44905</v>
      </c>
      <c r="O10103" t="s">
        <v>44906</v>
      </c>
      <c r="P10103">
        <v>0</v>
      </c>
      <c r="Q10103">
        <v>0</v>
      </c>
      <c r="R10103" t="s">
        <v>44914</v>
      </c>
      <c r="S10103" t="s">
        <v>45202</v>
      </c>
      <c r="T10103" t="s">
        <v>46415</v>
      </c>
      <c r="U10103" t="s">
        <v>55057</v>
      </c>
      <c r="W10103" t="s">
        <v>41958</v>
      </c>
      <c r="X10103" t="s">
        <v>44915</v>
      </c>
    </row>
    <row r="10104" spans="1:24">
      <c r="A10104">
        <f>HYPERLINK("https://www.philgeps.gov.ph/GEPSNONPILOT/Tender/SplashBidNoticeAbstractUI.aspx?menuIndex=3&amp;refID=7069914&amp;Result=3","7069914")</f>
        <v>0</v>
      </c>
      <c r="B10104" t="s">
        <v>1543</v>
      </c>
      <c r="C10104" t="s">
        <v>13158</v>
      </c>
      <c r="D10104" t="s">
        <v>18117</v>
      </c>
      <c r="E10104" t="s">
        <v>26970</v>
      </c>
      <c r="F10104" t="s">
        <v>31362</v>
      </c>
      <c r="G10104" t="s">
        <v>31369</v>
      </c>
      <c r="H10104" t="s">
        <v>31378</v>
      </c>
      <c r="I10104" t="s">
        <v>31386</v>
      </c>
      <c r="J10104" t="s">
        <v>36310</v>
      </c>
      <c r="K10104" t="s">
        <v>40867</v>
      </c>
      <c r="M10104" t="s">
        <v>42590</v>
      </c>
      <c r="N10104" t="s">
        <v>44905</v>
      </c>
      <c r="O10104" t="s">
        <v>44906</v>
      </c>
      <c r="P10104">
        <v>0</v>
      </c>
      <c r="Q10104">
        <v>0</v>
      </c>
      <c r="R10104" t="s">
        <v>44914</v>
      </c>
      <c r="S10104" t="s">
        <v>45202</v>
      </c>
      <c r="T10104" t="s">
        <v>46519</v>
      </c>
      <c r="U10104" t="s">
        <v>55058</v>
      </c>
      <c r="W10104" t="s">
        <v>42590</v>
      </c>
      <c r="X10104" t="s">
        <v>44915</v>
      </c>
    </row>
    <row r="10105" spans="1:24">
      <c r="A10105">
        <f>HYPERLINK("https://www.philgeps.gov.ph/GEPSNONPILOT/Tender/SplashBidNoticeAbstractUI.aspx?menuIndex=3&amp;refID=7069567&amp;Result=3","7069567")</f>
        <v>0</v>
      </c>
      <c r="B10105" t="s">
        <v>1902</v>
      </c>
      <c r="C10105" t="s">
        <v>13159</v>
      </c>
      <c r="D10105" t="s">
        <v>18122</v>
      </c>
      <c r="E10105" t="s">
        <v>26971</v>
      </c>
      <c r="F10105" t="s">
        <v>31362</v>
      </c>
      <c r="G10105" t="s">
        <v>31369</v>
      </c>
      <c r="H10105" t="s">
        <v>15799</v>
      </c>
      <c r="I10105" t="s">
        <v>3815</v>
      </c>
      <c r="J10105" t="s">
        <v>37690</v>
      </c>
      <c r="K10105" t="s">
        <v>40677</v>
      </c>
      <c r="M10105" t="s">
        <v>42997</v>
      </c>
      <c r="N10105" t="s">
        <v>44905</v>
      </c>
      <c r="O10105" t="s">
        <v>44906</v>
      </c>
      <c r="P10105">
        <v>0</v>
      </c>
      <c r="Q10105">
        <v>1</v>
      </c>
      <c r="R10105" t="s">
        <v>44914</v>
      </c>
      <c r="S10105" t="s">
        <v>45202</v>
      </c>
      <c r="T10105" t="s">
        <v>46569</v>
      </c>
      <c r="U10105" t="s">
        <v>55059</v>
      </c>
      <c r="W10105" t="s">
        <v>42997</v>
      </c>
      <c r="X10105" t="s">
        <v>44915</v>
      </c>
    </row>
    <row r="10106" spans="1:24">
      <c r="A10106">
        <f>HYPERLINK("https://www.philgeps.gov.ph/GEPSNONPILOT/Tender/SplashBidNoticeAbstractUI.aspx?menuIndex=3&amp;refID=7070049&amp;Result=3","7070049")</f>
        <v>0</v>
      </c>
      <c r="B10106" t="s">
        <v>2864</v>
      </c>
      <c r="C10106" t="s">
        <v>13160</v>
      </c>
      <c r="D10106" t="s">
        <v>18135</v>
      </c>
      <c r="E10106" t="s">
        <v>26972</v>
      </c>
      <c r="F10106" t="s">
        <v>31362</v>
      </c>
      <c r="G10106" t="s">
        <v>31369</v>
      </c>
      <c r="H10106" t="s">
        <v>31378</v>
      </c>
      <c r="I10106" t="s">
        <v>31386</v>
      </c>
      <c r="J10106" t="s">
        <v>37691</v>
      </c>
      <c r="K10106" t="s">
        <v>40795</v>
      </c>
      <c r="M10106" t="s">
        <v>44068</v>
      </c>
      <c r="N10106" t="s">
        <v>44905</v>
      </c>
      <c r="O10106" t="s">
        <v>44906</v>
      </c>
      <c r="P10106">
        <v>0</v>
      </c>
      <c r="Q10106">
        <v>0</v>
      </c>
      <c r="R10106" t="s">
        <v>44914</v>
      </c>
      <c r="S10106" t="s">
        <v>45202</v>
      </c>
      <c r="T10106" t="s">
        <v>46479</v>
      </c>
      <c r="U10106" t="s">
        <v>55060</v>
      </c>
      <c r="V10106" t="s">
        <v>60138</v>
      </c>
      <c r="W10106" t="s">
        <v>44068</v>
      </c>
      <c r="X10106" t="s">
        <v>44915</v>
      </c>
    </row>
    <row r="10107" spans="1:24">
      <c r="A10107">
        <f>HYPERLINK("https://www.philgeps.gov.ph/GEPSNONPILOT/Tender/SplashBidNoticeAbstractUI.aspx?menuIndex=3&amp;refID=7069922&amp;Result=3","7069922")</f>
        <v>0</v>
      </c>
      <c r="B10107" t="s">
        <v>2859</v>
      </c>
      <c r="C10107" t="s">
        <v>13161</v>
      </c>
      <c r="D10107" t="s">
        <v>18101</v>
      </c>
      <c r="E10107" t="s">
        <v>26973</v>
      </c>
      <c r="F10107" t="s">
        <v>31362</v>
      </c>
      <c r="G10107" t="s">
        <v>31369</v>
      </c>
      <c r="H10107" t="s">
        <v>15799</v>
      </c>
      <c r="I10107" t="s">
        <v>3815</v>
      </c>
      <c r="J10107" t="s">
        <v>31586</v>
      </c>
      <c r="K10107" t="s">
        <v>40666</v>
      </c>
      <c r="M10107" t="s">
        <v>44063</v>
      </c>
      <c r="N10107" t="s">
        <v>44905</v>
      </c>
      <c r="O10107" t="s">
        <v>44906</v>
      </c>
      <c r="P10107">
        <v>0</v>
      </c>
      <c r="Q10107">
        <v>0</v>
      </c>
      <c r="R10107" t="s">
        <v>44914</v>
      </c>
      <c r="S10107" t="s">
        <v>45202</v>
      </c>
      <c r="T10107" t="s">
        <v>46670</v>
      </c>
      <c r="U10107" t="s">
        <v>55061</v>
      </c>
      <c r="W10107" t="s">
        <v>44063</v>
      </c>
      <c r="X10107" t="s">
        <v>44915</v>
      </c>
    </row>
    <row r="10108" spans="1:24">
      <c r="A10108">
        <f>HYPERLINK("https://www.philgeps.gov.ph/GEPSNONPILOT/Tender/SplashBidNoticeAbstractUI.aspx?menuIndex=3&amp;refID=7070044&amp;Result=3","7070044")</f>
        <v>0</v>
      </c>
      <c r="B10108" t="s">
        <v>2864</v>
      </c>
      <c r="C10108" t="s">
        <v>13162</v>
      </c>
      <c r="D10108" t="s">
        <v>18135</v>
      </c>
      <c r="E10108" t="s">
        <v>26974</v>
      </c>
      <c r="F10108" t="s">
        <v>31362</v>
      </c>
      <c r="G10108" t="s">
        <v>31369</v>
      </c>
      <c r="H10108" t="s">
        <v>31378</v>
      </c>
      <c r="I10108" t="s">
        <v>31386</v>
      </c>
      <c r="J10108" t="s">
        <v>37692</v>
      </c>
      <c r="K10108" t="s">
        <v>40682</v>
      </c>
      <c r="M10108" t="s">
        <v>44068</v>
      </c>
      <c r="N10108" t="s">
        <v>44905</v>
      </c>
      <c r="O10108" t="s">
        <v>44906</v>
      </c>
      <c r="P10108">
        <v>0</v>
      </c>
      <c r="Q10108">
        <v>0</v>
      </c>
      <c r="R10108" t="s">
        <v>44914</v>
      </c>
      <c r="S10108" t="s">
        <v>45202</v>
      </c>
      <c r="T10108" t="s">
        <v>46479</v>
      </c>
      <c r="U10108" t="s">
        <v>55060</v>
      </c>
      <c r="V10108" t="s">
        <v>60139</v>
      </c>
      <c r="W10108" t="s">
        <v>44068</v>
      </c>
      <c r="X10108" t="s">
        <v>44915</v>
      </c>
    </row>
    <row r="10109" spans="1:24">
      <c r="A10109">
        <f>HYPERLINK("https://www.philgeps.gov.ph/GEPSNONPILOT/Tender/SplashBidNoticeAbstractUI.aspx?menuIndex=3&amp;refID=7070032&amp;Result=3","7070032")</f>
        <v>0</v>
      </c>
      <c r="B10109" t="s">
        <v>2864</v>
      </c>
      <c r="C10109" t="s">
        <v>13163</v>
      </c>
      <c r="D10109" t="s">
        <v>18135</v>
      </c>
      <c r="E10109" t="s">
        <v>26975</v>
      </c>
      <c r="F10109" t="s">
        <v>31362</v>
      </c>
      <c r="G10109" t="s">
        <v>31369</v>
      </c>
      <c r="H10109" t="s">
        <v>31378</v>
      </c>
      <c r="I10109" t="s">
        <v>31386</v>
      </c>
      <c r="J10109" t="s">
        <v>37693</v>
      </c>
      <c r="K10109" t="s">
        <v>40846</v>
      </c>
      <c r="M10109" t="s">
        <v>44068</v>
      </c>
      <c r="N10109" t="s">
        <v>44905</v>
      </c>
      <c r="O10109" t="s">
        <v>44906</v>
      </c>
      <c r="P10109">
        <v>0</v>
      </c>
      <c r="Q10109">
        <v>0</v>
      </c>
      <c r="R10109" t="s">
        <v>44914</v>
      </c>
      <c r="S10109" t="s">
        <v>45202</v>
      </c>
      <c r="T10109" t="s">
        <v>46479</v>
      </c>
      <c r="U10109" t="s">
        <v>55060</v>
      </c>
      <c r="V10109" t="s">
        <v>60140</v>
      </c>
      <c r="W10109" t="s">
        <v>44068</v>
      </c>
      <c r="X10109" t="s">
        <v>44915</v>
      </c>
    </row>
    <row r="10110" spans="1:24">
      <c r="A10110">
        <f>HYPERLINK("https://www.philgeps.gov.ph/GEPSNONPILOT/Tender/SplashBidNoticeAbstractUI.aspx?menuIndex=3&amp;refID=7070035&amp;Result=3","7070035")</f>
        <v>0</v>
      </c>
      <c r="B10110" t="s">
        <v>2864</v>
      </c>
      <c r="C10110" t="s">
        <v>13164</v>
      </c>
      <c r="D10110" t="s">
        <v>18135</v>
      </c>
      <c r="E10110" t="s">
        <v>26976</v>
      </c>
      <c r="F10110" t="s">
        <v>31362</v>
      </c>
      <c r="G10110" t="s">
        <v>31369</v>
      </c>
      <c r="H10110" t="s">
        <v>31378</v>
      </c>
      <c r="I10110" t="s">
        <v>31386</v>
      </c>
      <c r="J10110" t="s">
        <v>37694</v>
      </c>
      <c r="K10110" t="s">
        <v>40685</v>
      </c>
      <c r="M10110" t="s">
        <v>44068</v>
      </c>
      <c r="N10110" t="s">
        <v>44905</v>
      </c>
      <c r="O10110" t="s">
        <v>44906</v>
      </c>
      <c r="P10110">
        <v>0</v>
      </c>
      <c r="Q10110">
        <v>2</v>
      </c>
      <c r="R10110" t="s">
        <v>44914</v>
      </c>
      <c r="S10110" t="s">
        <v>45202</v>
      </c>
      <c r="T10110" t="s">
        <v>46479</v>
      </c>
      <c r="U10110" t="s">
        <v>55060</v>
      </c>
      <c r="V10110" t="s">
        <v>60141</v>
      </c>
      <c r="W10110" t="s">
        <v>44068</v>
      </c>
      <c r="X10110" t="s">
        <v>44915</v>
      </c>
    </row>
    <row r="10111" spans="1:24">
      <c r="A10111">
        <f>HYPERLINK("https://www.philgeps.gov.ph/GEPSNONPILOT/Tender/SplashBidNoticeAbstractUI.aspx?menuIndex=3&amp;refID=7069953&amp;Result=3","7069953")</f>
        <v>0</v>
      </c>
      <c r="B10111" t="s">
        <v>2862</v>
      </c>
      <c r="C10111" t="s">
        <v>4994</v>
      </c>
      <c r="D10111" t="s">
        <v>18145</v>
      </c>
      <c r="E10111" t="s">
        <v>25054</v>
      </c>
      <c r="F10111" t="s">
        <v>31362</v>
      </c>
      <c r="G10111" t="s">
        <v>31369</v>
      </c>
      <c r="H10111" t="s">
        <v>15799</v>
      </c>
      <c r="I10111" t="s">
        <v>6373</v>
      </c>
      <c r="J10111" t="s">
        <v>31536</v>
      </c>
      <c r="K10111" t="s">
        <v>40661</v>
      </c>
      <c r="M10111" t="s">
        <v>44066</v>
      </c>
      <c r="N10111" t="s">
        <v>44905</v>
      </c>
      <c r="O10111" t="s">
        <v>44906</v>
      </c>
      <c r="P10111">
        <v>0</v>
      </c>
      <c r="Q10111">
        <v>5</v>
      </c>
      <c r="R10111" t="s">
        <v>44914</v>
      </c>
      <c r="S10111" t="s">
        <v>45202</v>
      </c>
      <c r="T10111" t="s">
        <v>46403</v>
      </c>
      <c r="U10111" t="s">
        <v>49764</v>
      </c>
      <c r="W10111" t="s">
        <v>44066</v>
      </c>
      <c r="X10111" t="s">
        <v>44915</v>
      </c>
    </row>
    <row r="10112" spans="1:24">
      <c r="A10112">
        <f>HYPERLINK("https://www.philgeps.gov.ph/GEPSNONPILOT/Tender/SplashBidNoticeAbstractUI.aspx?menuIndex=3&amp;refID=7070025&amp;Result=3","7070025")</f>
        <v>0</v>
      </c>
      <c r="B10112" t="s">
        <v>2864</v>
      </c>
      <c r="C10112" t="s">
        <v>13165</v>
      </c>
      <c r="D10112" t="s">
        <v>18135</v>
      </c>
      <c r="E10112" t="s">
        <v>26977</v>
      </c>
      <c r="F10112" t="s">
        <v>31362</v>
      </c>
      <c r="G10112" t="s">
        <v>31369</v>
      </c>
      <c r="H10112" t="s">
        <v>31378</v>
      </c>
      <c r="I10112" t="s">
        <v>31386</v>
      </c>
      <c r="J10112" t="s">
        <v>37695</v>
      </c>
      <c r="K10112" t="s">
        <v>40679</v>
      </c>
      <c r="M10112" t="s">
        <v>44068</v>
      </c>
      <c r="N10112" t="s">
        <v>44905</v>
      </c>
      <c r="O10112" t="s">
        <v>44906</v>
      </c>
      <c r="P10112">
        <v>0</v>
      </c>
      <c r="Q10112">
        <v>2</v>
      </c>
      <c r="R10112" t="s">
        <v>44914</v>
      </c>
      <c r="S10112" t="s">
        <v>45202</v>
      </c>
      <c r="T10112" t="s">
        <v>46479</v>
      </c>
      <c r="U10112" t="s">
        <v>55060</v>
      </c>
      <c r="V10112" t="s">
        <v>60142</v>
      </c>
      <c r="W10112" t="s">
        <v>44068</v>
      </c>
      <c r="X10112" t="s">
        <v>44915</v>
      </c>
    </row>
    <row r="10113" spans="1:24">
      <c r="A10113">
        <f>HYPERLINK("https://www.philgeps.gov.ph/GEPSNONPILOT/Tender/SplashBidNoticeAbstractUI.aspx?menuIndex=3&amp;refID=7069899&amp;Result=3","7069899")</f>
        <v>0</v>
      </c>
      <c r="B10113" t="s">
        <v>1317</v>
      </c>
      <c r="C10113" t="s">
        <v>13166</v>
      </c>
      <c r="D10113" t="s">
        <v>18136</v>
      </c>
      <c r="E10113" t="s">
        <v>26978</v>
      </c>
      <c r="F10113" t="s">
        <v>31362</v>
      </c>
      <c r="G10113" t="s">
        <v>31369</v>
      </c>
      <c r="H10113" t="s">
        <v>15799</v>
      </c>
      <c r="I10113" t="s">
        <v>31494</v>
      </c>
      <c r="J10113" t="s">
        <v>37696</v>
      </c>
      <c r="K10113" t="s">
        <v>40682</v>
      </c>
      <c r="M10113" t="s">
        <v>44062</v>
      </c>
      <c r="N10113" t="s">
        <v>44905</v>
      </c>
      <c r="O10113" t="s">
        <v>44906</v>
      </c>
      <c r="P10113">
        <v>0</v>
      </c>
      <c r="Q10113">
        <v>6</v>
      </c>
      <c r="R10113" t="s">
        <v>44914</v>
      </c>
      <c r="S10113" t="s">
        <v>45202</v>
      </c>
      <c r="T10113" t="s">
        <v>46620</v>
      </c>
      <c r="U10113" t="s">
        <v>55062</v>
      </c>
      <c r="W10113" t="s">
        <v>44062</v>
      </c>
      <c r="X10113" t="s">
        <v>44915</v>
      </c>
    </row>
    <row r="10114" spans="1:24">
      <c r="A10114">
        <f>HYPERLINK("https://www.philgeps.gov.ph/GEPSNONPILOT/Tender/SplashBidNoticeAbstractUI.aspx?menuIndex=3&amp;refID=7070024&amp;Result=3","7070024")</f>
        <v>0</v>
      </c>
      <c r="B10114" t="s">
        <v>2232</v>
      </c>
      <c r="C10114" t="s">
        <v>3918</v>
      </c>
      <c r="D10114" t="s">
        <v>18123</v>
      </c>
      <c r="E10114" t="s">
        <v>26979</v>
      </c>
      <c r="F10114" t="s">
        <v>31362</v>
      </c>
      <c r="G10114" t="s">
        <v>31369</v>
      </c>
      <c r="H10114" t="s">
        <v>15799</v>
      </c>
      <c r="I10114" t="s">
        <v>6373</v>
      </c>
      <c r="J10114" t="s">
        <v>37697</v>
      </c>
      <c r="K10114" t="s">
        <v>40666</v>
      </c>
      <c r="M10114" t="s">
        <v>43369</v>
      </c>
      <c r="N10114" t="s">
        <v>44905</v>
      </c>
      <c r="O10114" t="s">
        <v>44906</v>
      </c>
      <c r="P10114">
        <v>0</v>
      </c>
      <c r="Q10114">
        <v>7</v>
      </c>
      <c r="R10114" t="s">
        <v>44914</v>
      </c>
      <c r="S10114" t="s">
        <v>45202</v>
      </c>
      <c r="T10114" t="s">
        <v>46435</v>
      </c>
      <c r="U10114" t="s">
        <v>55063</v>
      </c>
      <c r="W10114" t="s">
        <v>43369</v>
      </c>
      <c r="X10114" t="s">
        <v>44915</v>
      </c>
    </row>
    <row r="10115" spans="1:24">
      <c r="A10115">
        <f>HYPERLINK("https://www.philgeps.gov.ph/GEPSNONPILOT/Tender/SplashBidNoticeAbstractUI.aspx?menuIndex=3&amp;refID=7070047&amp;Result=3","7070047")</f>
        <v>0</v>
      </c>
      <c r="B10115" t="s">
        <v>660</v>
      </c>
      <c r="C10115" t="s">
        <v>13167</v>
      </c>
      <c r="D10115" t="s">
        <v>18116</v>
      </c>
      <c r="E10115" t="s">
        <v>26980</v>
      </c>
      <c r="F10115" t="s">
        <v>31362</v>
      </c>
      <c r="G10115" t="s">
        <v>31369</v>
      </c>
      <c r="H10115" t="s">
        <v>31378</v>
      </c>
      <c r="I10115" t="s">
        <v>31386</v>
      </c>
      <c r="J10115" t="s">
        <v>37698</v>
      </c>
      <c r="K10115" t="s">
        <v>40868</v>
      </c>
      <c r="M10115" t="s">
        <v>41622</v>
      </c>
      <c r="N10115" t="s">
        <v>44905</v>
      </c>
      <c r="O10115" t="s">
        <v>44906</v>
      </c>
      <c r="P10115">
        <v>0</v>
      </c>
      <c r="Q10115">
        <v>5</v>
      </c>
      <c r="R10115" t="s">
        <v>44914</v>
      </c>
      <c r="S10115" t="s">
        <v>45202</v>
      </c>
      <c r="T10115" t="s">
        <v>46519</v>
      </c>
      <c r="U10115" t="s">
        <v>55064</v>
      </c>
      <c r="W10115" t="s">
        <v>41622</v>
      </c>
      <c r="X10115" t="s">
        <v>44915</v>
      </c>
    </row>
    <row r="10116" spans="1:24">
      <c r="A10116">
        <f>HYPERLINK("https://www.philgeps.gov.ph/GEPSNONPILOT/Tender/SplashBidNoticeAbstractUI.aspx?menuIndex=3&amp;refID=7070010&amp;Result=3","7070010")</f>
        <v>0</v>
      </c>
      <c r="B10116" t="s">
        <v>1455</v>
      </c>
      <c r="C10116" t="s">
        <v>13168</v>
      </c>
      <c r="E10116" t="s">
        <v>26981</v>
      </c>
      <c r="F10116" t="s">
        <v>31362</v>
      </c>
      <c r="G10116" t="s">
        <v>31369</v>
      </c>
      <c r="H10116" t="s">
        <v>31377</v>
      </c>
      <c r="I10116" t="s">
        <v>31377</v>
      </c>
      <c r="J10116" t="s">
        <v>37699</v>
      </c>
      <c r="K10116" t="s">
        <v>40869</v>
      </c>
      <c r="M10116" t="s">
        <v>42486</v>
      </c>
      <c r="N10116" t="s">
        <v>44905</v>
      </c>
      <c r="O10116" t="s">
        <v>44906</v>
      </c>
      <c r="Q10116">
        <v>6</v>
      </c>
      <c r="R10116" t="s">
        <v>44914</v>
      </c>
      <c r="S10116" t="s">
        <v>45232</v>
      </c>
      <c r="T10116" t="s">
        <v>46393</v>
      </c>
      <c r="U10116" t="s">
        <v>55065</v>
      </c>
      <c r="W10116" t="s">
        <v>42486</v>
      </c>
      <c r="X10116" t="s">
        <v>44915</v>
      </c>
    </row>
    <row r="10117" spans="1:24">
      <c r="A10117">
        <f>HYPERLINK("https://www.philgeps.gov.ph/GEPSNONPILOT/Tender/SplashBidNoticeAbstractUI.aspx?menuIndex=3&amp;refID=7069975&amp;Result=3","7069975")</f>
        <v>0</v>
      </c>
      <c r="B10117" t="s">
        <v>2865</v>
      </c>
      <c r="C10117" t="s">
        <v>11640</v>
      </c>
      <c r="D10117" t="s">
        <v>18109</v>
      </c>
      <c r="E10117" t="s">
        <v>18250</v>
      </c>
      <c r="F10117" t="s">
        <v>31362</v>
      </c>
      <c r="G10117" t="s">
        <v>31370</v>
      </c>
      <c r="H10117" t="s">
        <v>15799</v>
      </c>
      <c r="I10117" t="s">
        <v>7090</v>
      </c>
      <c r="J10117" t="s">
        <v>36723</v>
      </c>
      <c r="K10117" t="s">
        <v>40666</v>
      </c>
      <c r="M10117" t="s">
        <v>44069</v>
      </c>
      <c r="N10117" t="s">
        <v>44905</v>
      </c>
      <c r="O10117" t="s">
        <v>44906</v>
      </c>
      <c r="P10117">
        <v>0</v>
      </c>
      <c r="Q10117">
        <v>0</v>
      </c>
      <c r="R10117" t="s">
        <v>44914</v>
      </c>
      <c r="S10117" t="s">
        <v>45202</v>
      </c>
      <c r="T10117" t="s">
        <v>46471</v>
      </c>
      <c r="U10117" t="s">
        <v>50883</v>
      </c>
      <c r="W10117" t="s">
        <v>44069</v>
      </c>
      <c r="X10117" t="s">
        <v>44915</v>
      </c>
    </row>
    <row r="10118" spans="1:24">
      <c r="A10118">
        <f>HYPERLINK("https://www.philgeps.gov.ph/GEPSNONPILOT/Tender/SplashBidNoticeAbstractUI.aspx?menuIndex=3&amp;refID=7070004&amp;Result=3","7070004")</f>
        <v>0</v>
      </c>
      <c r="B10118" t="s">
        <v>2866</v>
      </c>
      <c r="C10118" t="s">
        <v>13169</v>
      </c>
      <c r="D10118" t="s">
        <v>18110</v>
      </c>
      <c r="E10118" t="s">
        <v>18548</v>
      </c>
      <c r="F10118" t="s">
        <v>31362</v>
      </c>
      <c r="G10118" t="s">
        <v>31369</v>
      </c>
      <c r="H10118" t="s">
        <v>15799</v>
      </c>
      <c r="I10118" t="s">
        <v>13635</v>
      </c>
      <c r="J10118" t="s">
        <v>31536</v>
      </c>
      <c r="K10118" t="s">
        <v>40661</v>
      </c>
      <c r="M10118" t="s">
        <v>44070</v>
      </c>
      <c r="N10118" t="s">
        <v>44905</v>
      </c>
      <c r="O10118" t="s">
        <v>44906</v>
      </c>
      <c r="P10118">
        <v>0</v>
      </c>
      <c r="Q10118">
        <v>0</v>
      </c>
      <c r="R10118" t="s">
        <v>44914</v>
      </c>
      <c r="S10118" t="s">
        <v>45202</v>
      </c>
      <c r="T10118" t="s">
        <v>46394</v>
      </c>
      <c r="U10118" t="s">
        <v>55066</v>
      </c>
      <c r="W10118" t="s">
        <v>44070</v>
      </c>
      <c r="X10118" t="s">
        <v>44915</v>
      </c>
    </row>
    <row r="10119" spans="1:24">
      <c r="A10119">
        <f>HYPERLINK("https://www.philgeps.gov.ph/GEPSNONPILOT/Tender/SplashBidNoticeAbstractUI.aspx?menuIndex=3&amp;refID=7070029&amp;Result=3","7070029")</f>
        <v>0</v>
      </c>
      <c r="B10119" t="s">
        <v>2864</v>
      </c>
      <c r="C10119" t="s">
        <v>13170</v>
      </c>
      <c r="D10119" t="s">
        <v>18135</v>
      </c>
      <c r="E10119" t="s">
        <v>26982</v>
      </c>
      <c r="F10119" t="s">
        <v>31362</v>
      </c>
      <c r="G10119" t="s">
        <v>31369</v>
      </c>
      <c r="H10119" t="s">
        <v>31378</v>
      </c>
      <c r="I10119" t="s">
        <v>31386</v>
      </c>
      <c r="J10119" t="s">
        <v>37700</v>
      </c>
      <c r="K10119" t="s">
        <v>40682</v>
      </c>
      <c r="M10119" t="s">
        <v>44068</v>
      </c>
      <c r="N10119" t="s">
        <v>44905</v>
      </c>
      <c r="O10119" t="s">
        <v>44906</v>
      </c>
      <c r="P10119">
        <v>0</v>
      </c>
      <c r="Q10119">
        <v>1</v>
      </c>
      <c r="R10119" t="s">
        <v>44914</v>
      </c>
      <c r="S10119" t="s">
        <v>45202</v>
      </c>
      <c r="T10119" t="s">
        <v>46479</v>
      </c>
      <c r="U10119" t="s">
        <v>55060</v>
      </c>
      <c r="V10119" t="s">
        <v>60143</v>
      </c>
      <c r="W10119" t="s">
        <v>44068</v>
      </c>
      <c r="X10119" t="s">
        <v>44915</v>
      </c>
    </row>
    <row r="10120" spans="1:24">
      <c r="A10120">
        <f>HYPERLINK("https://www.philgeps.gov.ph/GEPSNONPILOT/Tender/SplashBidNoticeAbstractUI.aspx?menuIndex=3&amp;refID=7069996&amp;Result=3","7069996")</f>
        <v>0</v>
      </c>
      <c r="B10120" t="s">
        <v>2867</v>
      </c>
      <c r="C10120" t="s">
        <v>13171</v>
      </c>
      <c r="D10120" t="s">
        <v>18148</v>
      </c>
      <c r="E10120" t="s">
        <v>18553</v>
      </c>
      <c r="F10120" t="s">
        <v>31362</v>
      </c>
      <c r="G10120" t="s">
        <v>31370</v>
      </c>
      <c r="H10120" t="s">
        <v>15799</v>
      </c>
      <c r="I10120" t="s">
        <v>31388</v>
      </c>
      <c r="J10120" t="s">
        <v>31545</v>
      </c>
      <c r="K10120" t="s">
        <v>40662</v>
      </c>
      <c r="M10120" t="s">
        <v>44071</v>
      </c>
      <c r="N10120" t="s">
        <v>44905</v>
      </c>
      <c r="O10120" t="s">
        <v>44906</v>
      </c>
      <c r="P10120">
        <v>0</v>
      </c>
      <c r="Q10120">
        <v>0</v>
      </c>
      <c r="R10120" t="s">
        <v>44914</v>
      </c>
      <c r="S10120" t="s">
        <v>45202</v>
      </c>
      <c r="T10120" t="s">
        <v>46816</v>
      </c>
      <c r="U10120" t="s">
        <v>55067</v>
      </c>
      <c r="W10120" t="s">
        <v>44071</v>
      </c>
      <c r="X10120" t="s">
        <v>44915</v>
      </c>
    </row>
    <row r="10121" spans="1:24">
      <c r="A10121">
        <f>HYPERLINK("https://www.philgeps.gov.ph/GEPSNONPILOT/Tender/SplashBidNoticeAbstractUI.aspx?menuIndex=3&amp;refID=7069992&amp;Result=3","7069992")</f>
        <v>0</v>
      </c>
      <c r="B10121" t="s">
        <v>2859</v>
      </c>
      <c r="C10121" t="s">
        <v>13172</v>
      </c>
      <c r="D10121" t="s">
        <v>18101</v>
      </c>
      <c r="E10121" t="s">
        <v>26983</v>
      </c>
      <c r="F10121" t="s">
        <v>31362</v>
      </c>
      <c r="G10121" t="s">
        <v>31369</v>
      </c>
      <c r="H10121" t="s">
        <v>15799</v>
      </c>
      <c r="I10121" t="s">
        <v>3815</v>
      </c>
      <c r="J10121" t="s">
        <v>37701</v>
      </c>
      <c r="K10121" t="s">
        <v>40666</v>
      </c>
      <c r="M10121" t="s">
        <v>44063</v>
      </c>
      <c r="N10121" t="s">
        <v>44905</v>
      </c>
      <c r="O10121" t="s">
        <v>44906</v>
      </c>
      <c r="P10121">
        <v>0</v>
      </c>
      <c r="Q10121">
        <v>0</v>
      </c>
      <c r="R10121" t="s">
        <v>44914</v>
      </c>
      <c r="S10121" t="s">
        <v>45202</v>
      </c>
      <c r="T10121" t="s">
        <v>46597</v>
      </c>
      <c r="U10121" t="s">
        <v>55068</v>
      </c>
      <c r="W10121" t="s">
        <v>44063</v>
      </c>
      <c r="X10121" t="s">
        <v>44915</v>
      </c>
    </row>
    <row r="10122" spans="1:24">
      <c r="A10122">
        <f>HYPERLINK("https://www.philgeps.gov.ph/GEPSNONPILOT/Tender/SplashBidNoticeAbstractUI.aspx?menuIndex=3&amp;refID=7070019&amp;Result=3","7070019")</f>
        <v>0</v>
      </c>
      <c r="B10122" t="s">
        <v>1174</v>
      </c>
      <c r="C10122" t="s">
        <v>13173</v>
      </c>
      <c r="D10122" t="s">
        <v>18127</v>
      </c>
      <c r="E10122" t="s">
        <v>26984</v>
      </c>
      <c r="F10122" t="s">
        <v>31362</v>
      </c>
      <c r="G10122" t="s">
        <v>31369</v>
      </c>
      <c r="H10122" t="s">
        <v>15799</v>
      </c>
      <c r="I10122" t="s">
        <v>6155</v>
      </c>
      <c r="J10122" t="s">
        <v>31625</v>
      </c>
      <c r="K10122" t="s">
        <v>40675</v>
      </c>
      <c r="M10122" t="s">
        <v>43941</v>
      </c>
      <c r="N10122" t="s">
        <v>44905</v>
      </c>
      <c r="O10122" t="s">
        <v>44906</v>
      </c>
      <c r="P10122">
        <v>0</v>
      </c>
      <c r="Q10122">
        <v>9</v>
      </c>
      <c r="R10122" t="s">
        <v>44914</v>
      </c>
      <c r="S10122" t="s">
        <v>45202</v>
      </c>
      <c r="T10122" t="s">
        <v>46648</v>
      </c>
      <c r="U10122" t="s">
        <v>55069</v>
      </c>
      <c r="W10122" t="s">
        <v>43941</v>
      </c>
      <c r="X10122" t="s">
        <v>44915</v>
      </c>
    </row>
    <row r="10123" spans="1:24">
      <c r="A10123">
        <f>HYPERLINK("https://www.philgeps.gov.ph/GEPSNONPILOT/Tender/SplashBidNoticeAbstractUI.aspx?menuIndex=3&amp;refID=7070005&amp;Result=3","7070005")</f>
        <v>0</v>
      </c>
      <c r="B10123" t="s">
        <v>1455</v>
      </c>
      <c r="C10123" t="s">
        <v>13174</v>
      </c>
      <c r="E10123" t="s">
        <v>26985</v>
      </c>
      <c r="F10123" t="s">
        <v>31362</v>
      </c>
      <c r="G10123" t="s">
        <v>31369</v>
      </c>
      <c r="H10123" t="s">
        <v>31377</v>
      </c>
      <c r="I10123" t="s">
        <v>31377</v>
      </c>
      <c r="J10123" t="s">
        <v>37702</v>
      </c>
      <c r="K10123" t="s">
        <v>40745</v>
      </c>
      <c r="M10123" t="s">
        <v>42486</v>
      </c>
      <c r="N10123" t="s">
        <v>44905</v>
      </c>
      <c r="O10123" t="s">
        <v>44906</v>
      </c>
      <c r="Q10123">
        <v>6</v>
      </c>
      <c r="R10123" t="s">
        <v>44914</v>
      </c>
      <c r="S10123" t="s">
        <v>45233</v>
      </c>
      <c r="T10123" t="s">
        <v>46393</v>
      </c>
      <c r="U10123" t="s">
        <v>55070</v>
      </c>
      <c r="W10123" t="s">
        <v>42486</v>
      </c>
      <c r="X10123" t="s">
        <v>44915</v>
      </c>
    </row>
    <row r="10124" spans="1:24">
      <c r="A10124">
        <f>HYPERLINK("https://www.philgeps.gov.ph/GEPSNONPILOT/Tender/SplashBidNoticeAbstractUI.aspx?menuIndex=3&amp;refID=7069911&amp;Result=3","7069911")</f>
        <v>0</v>
      </c>
      <c r="B10124" t="s">
        <v>337</v>
      </c>
      <c r="C10124" t="s">
        <v>13175</v>
      </c>
      <c r="D10124" t="s">
        <v>18148</v>
      </c>
      <c r="E10124" t="s">
        <v>26986</v>
      </c>
      <c r="F10124" t="s">
        <v>31362</v>
      </c>
      <c r="G10124" t="s">
        <v>31368</v>
      </c>
      <c r="H10124" t="s">
        <v>15799</v>
      </c>
      <c r="I10124" t="s">
        <v>3582</v>
      </c>
      <c r="J10124" t="s">
        <v>37703</v>
      </c>
      <c r="K10124" t="s">
        <v>40665</v>
      </c>
      <c r="M10124" t="s">
        <v>44072</v>
      </c>
      <c r="N10124" t="s">
        <v>44905</v>
      </c>
      <c r="O10124" t="s">
        <v>44906</v>
      </c>
      <c r="P10124">
        <v>0</v>
      </c>
      <c r="Q10124">
        <v>1</v>
      </c>
      <c r="R10124" t="s">
        <v>44914</v>
      </c>
      <c r="S10124" t="s">
        <v>45202</v>
      </c>
      <c r="T10124" t="s">
        <v>46414</v>
      </c>
      <c r="U10124" t="s">
        <v>55071</v>
      </c>
      <c r="W10124" t="s">
        <v>44072</v>
      </c>
      <c r="X10124" t="s">
        <v>44915</v>
      </c>
    </row>
    <row r="10125" spans="1:24">
      <c r="A10125">
        <f>HYPERLINK("https://www.philgeps.gov.ph/GEPSNONPILOT/Tender/SplashBidNoticeAbstractUI.aspx?menuIndex=3&amp;refID=7070030&amp;Result=3","7070030")</f>
        <v>0</v>
      </c>
      <c r="B10125" t="s">
        <v>2232</v>
      </c>
      <c r="C10125" t="s">
        <v>3918</v>
      </c>
      <c r="D10125" t="s">
        <v>18123</v>
      </c>
      <c r="E10125" t="s">
        <v>26987</v>
      </c>
      <c r="F10125" t="s">
        <v>31362</v>
      </c>
      <c r="G10125" t="s">
        <v>31369</v>
      </c>
      <c r="H10125" t="s">
        <v>15799</v>
      </c>
      <c r="I10125" t="s">
        <v>6373</v>
      </c>
      <c r="J10125" t="s">
        <v>34369</v>
      </c>
      <c r="K10125" t="s">
        <v>40666</v>
      </c>
      <c r="M10125" t="s">
        <v>43369</v>
      </c>
      <c r="N10125" t="s">
        <v>44905</v>
      </c>
      <c r="O10125" t="s">
        <v>44906</v>
      </c>
      <c r="P10125">
        <v>0</v>
      </c>
      <c r="Q10125">
        <v>4</v>
      </c>
      <c r="R10125" t="s">
        <v>44914</v>
      </c>
      <c r="S10125" t="s">
        <v>45202</v>
      </c>
      <c r="T10125" t="s">
        <v>46435</v>
      </c>
      <c r="U10125" t="s">
        <v>55072</v>
      </c>
      <c r="W10125" t="s">
        <v>43369</v>
      </c>
      <c r="X10125" t="s">
        <v>44915</v>
      </c>
    </row>
    <row r="10126" spans="1:24">
      <c r="A10126">
        <f>HYPERLINK("https://www.philgeps.gov.ph/GEPSNONPILOT/Tender/SplashBidNoticeAbstractUI.aspx?menuIndex=3&amp;refID=7069890&amp;Result=3","7069890")</f>
        <v>0</v>
      </c>
      <c r="B10126" t="s">
        <v>2868</v>
      </c>
      <c r="C10126" t="s">
        <v>13176</v>
      </c>
      <c r="D10126" t="s">
        <v>18107</v>
      </c>
      <c r="E10126" t="s">
        <v>26988</v>
      </c>
      <c r="F10126" t="s">
        <v>31362</v>
      </c>
      <c r="G10126" t="s">
        <v>31369</v>
      </c>
      <c r="H10126" t="s">
        <v>15799</v>
      </c>
      <c r="I10126" t="s">
        <v>31430</v>
      </c>
      <c r="J10126" t="s">
        <v>31872</v>
      </c>
      <c r="K10126" t="s">
        <v>40670</v>
      </c>
      <c r="M10126" t="s">
        <v>44073</v>
      </c>
      <c r="N10126" t="s">
        <v>44905</v>
      </c>
      <c r="O10126" t="s">
        <v>44906</v>
      </c>
      <c r="P10126">
        <v>0</v>
      </c>
      <c r="Q10126">
        <v>0</v>
      </c>
      <c r="R10126" t="s">
        <v>44914</v>
      </c>
      <c r="S10126" t="s">
        <v>45202</v>
      </c>
      <c r="T10126" t="s">
        <v>46519</v>
      </c>
      <c r="U10126" t="s">
        <v>55073</v>
      </c>
      <c r="W10126" t="s">
        <v>60945</v>
      </c>
      <c r="X10126" t="s">
        <v>44915</v>
      </c>
    </row>
    <row r="10127" spans="1:24">
      <c r="A10127">
        <f>HYPERLINK("https://www.philgeps.gov.ph/GEPSNONPILOT/Tender/SplashBidNoticeAbstractUI.aspx?menuIndex=3&amp;refID=7070102&amp;Result=3","7070102")</f>
        <v>0</v>
      </c>
      <c r="B10127" t="s">
        <v>2078</v>
      </c>
      <c r="C10127" t="s">
        <v>13177</v>
      </c>
      <c r="D10127" t="s">
        <v>18179</v>
      </c>
      <c r="E10127" t="s">
        <v>26989</v>
      </c>
      <c r="F10127" t="s">
        <v>31362</v>
      </c>
      <c r="G10127" t="s">
        <v>31369</v>
      </c>
      <c r="H10127" t="s">
        <v>31378</v>
      </c>
      <c r="I10127" t="s">
        <v>31386</v>
      </c>
      <c r="J10127" t="s">
        <v>37606</v>
      </c>
      <c r="K10127" t="s">
        <v>40666</v>
      </c>
      <c r="M10127" t="s">
        <v>43200</v>
      </c>
      <c r="N10127" t="s">
        <v>44905</v>
      </c>
      <c r="O10127" t="s">
        <v>44906</v>
      </c>
      <c r="P10127">
        <v>0</v>
      </c>
      <c r="Q10127">
        <v>0</v>
      </c>
      <c r="R10127" t="s">
        <v>44914</v>
      </c>
      <c r="S10127" t="s">
        <v>45202</v>
      </c>
      <c r="T10127" t="s">
        <v>46479</v>
      </c>
      <c r="U10127" t="s">
        <v>52449</v>
      </c>
      <c r="W10127" t="s">
        <v>43200</v>
      </c>
      <c r="X10127" t="s">
        <v>44915</v>
      </c>
    </row>
    <row r="10128" spans="1:24">
      <c r="A10128">
        <f>HYPERLINK("https://www.philgeps.gov.ph/GEPSNONPILOT/Tender/SplashBidNoticeAbstractUI.aspx?menuIndex=3&amp;refID=7070092&amp;Result=3","7070092")</f>
        <v>0</v>
      </c>
      <c r="B10128" t="s">
        <v>1519</v>
      </c>
      <c r="C10128" t="s">
        <v>13178</v>
      </c>
      <c r="D10128" t="s">
        <v>18108</v>
      </c>
      <c r="E10128" t="s">
        <v>26990</v>
      </c>
      <c r="F10128" t="s">
        <v>31362</v>
      </c>
      <c r="G10128" t="s">
        <v>31369</v>
      </c>
      <c r="H10128" t="s">
        <v>31378</v>
      </c>
      <c r="I10128" t="s">
        <v>31386</v>
      </c>
      <c r="J10128" t="s">
        <v>37704</v>
      </c>
      <c r="K10128" t="s">
        <v>40678</v>
      </c>
      <c r="M10128" t="s">
        <v>42656</v>
      </c>
      <c r="N10128" t="s">
        <v>44905</v>
      </c>
      <c r="O10128" t="s">
        <v>44906</v>
      </c>
      <c r="Q10128">
        <v>24</v>
      </c>
      <c r="R10128" t="s">
        <v>44914</v>
      </c>
      <c r="S10128" t="s">
        <v>45234</v>
      </c>
      <c r="T10128" t="s">
        <v>46504</v>
      </c>
      <c r="U10128" t="s">
        <v>50837</v>
      </c>
      <c r="W10128" t="s">
        <v>42656</v>
      </c>
      <c r="X10128" t="s">
        <v>44915</v>
      </c>
    </row>
    <row r="10129" spans="1:24">
      <c r="A10129">
        <f>HYPERLINK("https://www.philgeps.gov.ph/GEPSNONPILOT/Tender/SplashBidNoticeAbstractUI.aspx?menuIndex=3&amp;refID=7069960&amp;Result=3","7069960")</f>
        <v>0</v>
      </c>
      <c r="B10129" t="s">
        <v>2862</v>
      </c>
      <c r="C10129" t="s">
        <v>11230</v>
      </c>
      <c r="D10129" t="s">
        <v>18145</v>
      </c>
      <c r="E10129" t="s">
        <v>21819</v>
      </c>
      <c r="F10129" t="s">
        <v>31362</v>
      </c>
      <c r="G10129" t="s">
        <v>31369</v>
      </c>
      <c r="H10129" t="s">
        <v>15799</v>
      </c>
      <c r="I10129" t="s">
        <v>31380</v>
      </c>
      <c r="J10129" t="s">
        <v>31734</v>
      </c>
      <c r="K10129" t="s">
        <v>40661</v>
      </c>
      <c r="M10129" t="s">
        <v>44066</v>
      </c>
      <c r="N10129" t="s">
        <v>44905</v>
      </c>
      <c r="O10129" t="s">
        <v>44906</v>
      </c>
      <c r="P10129">
        <v>0</v>
      </c>
      <c r="Q10129">
        <v>6</v>
      </c>
      <c r="R10129" t="s">
        <v>44914</v>
      </c>
      <c r="S10129" t="s">
        <v>45202</v>
      </c>
      <c r="T10129" t="s">
        <v>46403</v>
      </c>
      <c r="U10129" t="s">
        <v>55074</v>
      </c>
      <c r="W10129" t="s">
        <v>44066</v>
      </c>
      <c r="X10129" t="s">
        <v>44915</v>
      </c>
    </row>
    <row r="10130" spans="1:24">
      <c r="A10130">
        <f>HYPERLINK("https://www.philgeps.gov.ph/GEPSNONPILOT/Tender/SplashBidNoticeAbstractUI.aspx?menuIndex=3&amp;refID=7070091&amp;Result=3","7070091")</f>
        <v>0</v>
      </c>
      <c r="B10130" t="s">
        <v>901</v>
      </c>
      <c r="C10130" t="s">
        <v>13179</v>
      </c>
      <c r="D10130" t="s">
        <v>18140</v>
      </c>
      <c r="E10130" t="s">
        <v>20865</v>
      </c>
      <c r="F10130" t="s">
        <v>31362</v>
      </c>
      <c r="G10130" t="s">
        <v>31369</v>
      </c>
      <c r="H10130" t="s">
        <v>15799</v>
      </c>
      <c r="I10130" t="s">
        <v>7090</v>
      </c>
      <c r="J10130" t="s">
        <v>37705</v>
      </c>
      <c r="K10130" t="s">
        <v>40665</v>
      </c>
      <c r="M10130" t="s">
        <v>41882</v>
      </c>
      <c r="N10130" t="s">
        <v>44905</v>
      </c>
      <c r="O10130" t="s">
        <v>44906</v>
      </c>
      <c r="P10130">
        <v>0</v>
      </c>
      <c r="Q10130">
        <v>5</v>
      </c>
      <c r="R10130" t="s">
        <v>44914</v>
      </c>
      <c r="S10130" t="s">
        <v>45202</v>
      </c>
      <c r="T10130" t="s">
        <v>46671</v>
      </c>
      <c r="U10130" t="s">
        <v>55075</v>
      </c>
      <c r="W10130" t="s">
        <v>41882</v>
      </c>
      <c r="X10130" t="s">
        <v>44915</v>
      </c>
    </row>
    <row r="10131" spans="1:24">
      <c r="A10131">
        <f>HYPERLINK("https://www.philgeps.gov.ph/GEPSNONPILOT/Tender/SplashBidNoticeAbstractUI.aspx?menuIndex=3&amp;refID=7070090&amp;Result=3","7070090")</f>
        <v>0</v>
      </c>
      <c r="B10131" t="s">
        <v>2869</v>
      </c>
      <c r="C10131" t="s">
        <v>13180</v>
      </c>
      <c r="D10131" t="s">
        <v>18101</v>
      </c>
      <c r="E10131" t="s">
        <v>24643</v>
      </c>
      <c r="F10131" t="s">
        <v>31362</v>
      </c>
      <c r="G10131" t="s">
        <v>31369</v>
      </c>
      <c r="H10131" t="s">
        <v>15799</v>
      </c>
      <c r="I10131" t="s">
        <v>31422</v>
      </c>
      <c r="J10131" t="s">
        <v>34359</v>
      </c>
      <c r="K10131" t="s">
        <v>40670</v>
      </c>
      <c r="M10131" t="s">
        <v>44074</v>
      </c>
      <c r="N10131" t="s">
        <v>44905</v>
      </c>
      <c r="O10131" t="s">
        <v>44906</v>
      </c>
      <c r="P10131">
        <v>0</v>
      </c>
      <c r="Q10131">
        <v>7</v>
      </c>
      <c r="R10131" t="s">
        <v>44914</v>
      </c>
      <c r="S10131" t="s">
        <v>45202</v>
      </c>
      <c r="T10131" t="s">
        <v>46415</v>
      </c>
      <c r="U10131" t="s">
        <v>55076</v>
      </c>
      <c r="W10131" t="s">
        <v>44074</v>
      </c>
      <c r="X10131" t="s">
        <v>44915</v>
      </c>
    </row>
    <row r="10132" spans="1:24">
      <c r="A10132">
        <f>HYPERLINK("https://www.philgeps.gov.ph/GEPSNONPILOT/Tender/SplashBidNoticeAbstractUI.aspx?menuIndex=3&amp;refID=7070085&amp;Result=3","7070085")</f>
        <v>0</v>
      </c>
      <c r="B10132" t="s">
        <v>901</v>
      </c>
      <c r="C10132" t="s">
        <v>13181</v>
      </c>
      <c r="D10132" t="s">
        <v>18140</v>
      </c>
      <c r="E10132" t="s">
        <v>26991</v>
      </c>
      <c r="F10132" t="s">
        <v>31362</v>
      </c>
      <c r="G10132" t="s">
        <v>31369</v>
      </c>
      <c r="H10132" t="s">
        <v>15799</v>
      </c>
      <c r="I10132" t="s">
        <v>31415</v>
      </c>
      <c r="J10132" t="s">
        <v>37706</v>
      </c>
      <c r="K10132" t="s">
        <v>40665</v>
      </c>
      <c r="M10132" t="s">
        <v>41882</v>
      </c>
      <c r="N10132" t="s">
        <v>44905</v>
      </c>
      <c r="O10132" t="s">
        <v>44906</v>
      </c>
      <c r="P10132">
        <v>0</v>
      </c>
      <c r="Q10132">
        <v>2</v>
      </c>
      <c r="R10132" t="s">
        <v>44914</v>
      </c>
      <c r="S10132" t="s">
        <v>45202</v>
      </c>
      <c r="T10132" t="s">
        <v>46671</v>
      </c>
      <c r="U10132" t="s">
        <v>55077</v>
      </c>
      <c r="W10132" t="s">
        <v>41882</v>
      </c>
      <c r="X10132" t="s">
        <v>44915</v>
      </c>
    </row>
    <row r="10133" spans="1:24">
      <c r="A10133">
        <f>HYPERLINK("https://www.philgeps.gov.ph/GEPSNONPILOT/Tender/SplashBidNoticeAbstractUI.aspx?menuIndex=3&amp;refID=7070098&amp;Result=3","7070098")</f>
        <v>0</v>
      </c>
      <c r="B10133" t="s">
        <v>1519</v>
      </c>
      <c r="C10133" t="s">
        <v>13182</v>
      </c>
      <c r="D10133" t="s">
        <v>18108</v>
      </c>
      <c r="E10133" t="s">
        <v>26992</v>
      </c>
      <c r="F10133" t="s">
        <v>31362</v>
      </c>
      <c r="G10133" t="s">
        <v>31369</v>
      </c>
      <c r="H10133" t="s">
        <v>31378</v>
      </c>
      <c r="I10133" t="s">
        <v>31386</v>
      </c>
      <c r="J10133" t="s">
        <v>37707</v>
      </c>
      <c r="K10133" t="s">
        <v>40678</v>
      </c>
      <c r="M10133" t="s">
        <v>42656</v>
      </c>
      <c r="N10133" t="s">
        <v>44905</v>
      </c>
      <c r="O10133" t="s">
        <v>44906</v>
      </c>
      <c r="Q10133">
        <v>25</v>
      </c>
      <c r="R10133" t="s">
        <v>44914</v>
      </c>
      <c r="S10133" t="s">
        <v>45235</v>
      </c>
      <c r="T10133" t="s">
        <v>46504</v>
      </c>
      <c r="U10133" t="s">
        <v>50837</v>
      </c>
      <c r="W10133" t="s">
        <v>42656</v>
      </c>
      <c r="X10133" t="s">
        <v>44915</v>
      </c>
    </row>
    <row r="10134" spans="1:24">
      <c r="A10134">
        <f>HYPERLINK("https://www.philgeps.gov.ph/GEPSNONPILOT/Tender/SplashBidNoticeAbstractUI.aspx?menuIndex=3&amp;refID=7070077&amp;Result=3","7070077")</f>
        <v>0</v>
      </c>
      <c r="B10134" t="s">
        <v>1519</v>
      </c>
      <c r="C10134" t="s">
        <v>13183</v>
      </c>
      <c r="D10134" t="s">
        <v>18108</v>
      </c>
      <c r="E10134" t="s">
        <v>26993</v>
      </c>
      <c r="F10134" t="s">
        <v>31362</v>
      </c>
      <c r="G10134" t="s">
        <v>31369</v>
      </c>
      <c r="H10134" t="s">
        <v>31378</v>
      </c>
      <c r="I10134" t="s">
        <v>31386</v>
      </c>
      <c r="J10134" t="s">
        <v>37708</v>
      </c>
      <c r="K10134" t="s">
        <v>40692</v>
      </c>
      <c r="M10134" t="s">
        <v>42656</v>
      </c>
      <c r="N10134" t="s">
        <v>44905</v>
      </c>
      <c r="O10134" t="s">
        <v>44906</v>
      </c>
      <c r="Q10134">
        <v>17</v>
      </c>
      <c r="R10134" t="s">
        <v>44914</v>
      </c>
      <c r="S10134" t="s">
        <v>45236</v>
      </c>
      <c r="T10134" t="s">
        <v>46504</v>
      </c>
      <c r="U10134" t="s">
        <v>50837</v>
      </c>
      <c r="W10134" t="s">
        <v>42656</v>
      </c>
      <c r="X10134" t="s">
        <v>44915</v>
      </c>
    </row>
    <row r="10135" spans="1:24">
      <c r="A10135">
        <f>HYPERLINK("https://www.philgeps.gov.ph/GEPSNONPILOT/Tender/SplashBidNoticeAbstractUI.aspx?menuIndex=3&amp;refID=7070074&amp;Result=3","7070074")</f>
        <v>0</v>
      </c>
      <c r="B10135" t="s">
        <v>2232</v>
      </c>
      <c r="C10135" t="s">
        <v>13184</v>
      </c>
      <c r="D10135" t="s">
        <v>18123</v>
      </c>
      <c r="E10135" t="s">
        <v>26994</v>
      </c>
      <c r="F10135" t="s">
        <v>31362</v>
      </c>
      <c r="G10135" t="s">
        <v>31369</v>
      </c>
      <c r="H10135" t="s">
        <v>15799</v>
      </c>
      <c r="I10135" t="s">
        <v>6373</v>
      </c>
      <c r="J10135" t="s">
        <v>37709</v>
      </c>
      <c r="K10135" t="s">
        <v>40666</v>
      </c>
      <c r="M10135" t="s">
        <v>43369</v>
      </c>
      <c r="N10135" t="s">
        <v>44905</v>
      </c>
      <c r="O10135" t="s">
        <v>44906</v>
      </c>
      <c r="P10135">
        <v>0</v>
      </c>
      <c r="Q10135">
        <v>5</v>
      </c>
      <c r="R10135" t="s">
        <v>44914</v>
      </c>
      <c r="S10135" t="s">
        <v>45202</v>
      </c>
      <c r="T10135" t="s">
        <v>46435</v>
      </c>
      <c r="U10135" t="s">
        <v>55078</v>
      </c>
      <c r="W10135" t="s">
        <v>43369</v>
      </c>
      <c r="X10135" t="s">
        <v>44915</v>
      </c>
    </row>
    <row r="10136" spans="1:24">
      <c r="A10136">
        <f>HYPERLINK("https://www.philgeps.gov.ph/GEPSNONPILOT/Tender/SplashBidNoticeAbstractUI.aspx?menuIndex=3&amp;refID=7069958&amp;Result=3","7069958")</f>
        <v>0</v>
      </c>
      <c r="B10136" t="s">
        <v>579</v>
      </c>
      <c r="C10136" t="s">
        <v>13185</v>
      </c>
      <c r="D10136" t="s">
        <v>18112</v>
      </c>
      <c r="E10136" t="s">
        <v>26995</v>
      </c>
      <c r="F10136" t="s">
        <v>31362</v>
      </c>
      <c r="G10136" t="s">
        <v>31369</v>
      </c>
      <c r="H10136" t="s">
        <v>31378</v>
      </c>
      <c r="I10136" t="s">
        <v>31386</v>
      </c>
      <c r="J10136" t="s">
        <v>37710</v>
      </c>
      <c r="K10136" t="s">
        <v>40683</v>
      </c>
      <c r="M10136" t="s">
        <v>44075</v>
      </c>
      <c r="N10136" t="s">
        <v>44905</v>
      </c>
      <c r="O10136" t="s">
        <v>44906</v>
      </c>
      <c r="P10136">
        <v>0</v>
      </c>
      <c r="Q10136">
        <v>2</v>
      </c>
      <c r="R10136" t="s">
        <v>44914</v>
      </c>
      <c r="S10136" t="s">
        <v>45202</v>
      </c>
      <c r="T10136" t="s">
        <v>46542</v>
      </c>
      <c r="U10136" t="s">
        <v>55079</v>
      </c>
      <c r="W10136" t="s">
        <v>44075</v>
      </c>
      <c r="X10136" t="s">
        <v>44915</v>
      </c>
    </row>
    <row r="10137" spans="1:24">
      <c r="A10137">
        <f>HYPERLINK("https://www.philgeps.gov.ph/GEPSNONPILOT/Tender/SplashBidNoticeAbstractUI.aspx?menuIndex=3&amp;refID=7070073&amp;Result=3","7070073")</f>
        <v>0</v>
      </c>
      <c r="B10137" t="s">
        <v>2078</v>
      </c>
      <c r="C10137" t="s">
        <v>13186</v>
      </c>
      <c r="D10137" t="s">
        <v>18179</v>
      </c>
      <c r="E10137" t="s">
        <v>26996</v>
      </c>
      <c r="F10137" t="s">
        <v>31362</v>
      </c>
      <c r="G10137" t="s">
        <v>31369</v>
      </c>
      <c r="H10137" t="s">
        <v>31378</v>
      </c>
      <c r="I10137" t="s">
        <v>31386</v>
      </c>
      <c r="J10137" t="s">
        <v>37606</v>
      </c>
      <c r="K10137" t="s">
        <v>40666</v>
      </c>
      <c r="M10137" t="s">
        <v>43200</v>
      </c>
      <c r="N10137" t="s">
        <v>44905</v>
      </c>
      <c r="O10137" t="s">
        <v>44906</v>
      </c>
      <c r="P10137">
        <v>0</v>
      </c>
      <c r="Q10137">
        <v>0</v>
      </c>
      <c r="R10137" t="s">
        <v>44914</v>
      </c>
      <c r="S10137" t="s">
        <v>45202</v>
      </c>
      <c r="T10137" t="s">
        <v>46479</v>
      </c>
      <c r="U10137" t="s">
        <v>52449</v>
      </c>
      <c r="W10137" t="s">
        <v>43200</v>
      </c>
      <c r="X10137" t="s">
        <v>44915</v>
      </c>
    </row>
    <row r="10138" spans="1:24">
      <c r="A10138">
        <f>HYPERLINK("https://www.philgeps.gov.ph/GEPSNONPILOT/Tender/SplashBidNoticeAbstractUI.aspx?menuIndex=3&amp;refID=7069893&amp;Result=3","7069893")</f>
        <v>0</v>
      </c>
      <c r="B10138" t="s">
        <v>1144</v>
      </c>
      <c r="C10138" t="s">
        <v>13187</v>
      </c>
      <c r="D10138" t="s">
        <v>18154</v>
      </c>
      <c r="E10138" t="s">
        <v>26997</v>
      </c>
      <c r="F10138" t="s">
        <v>31362</v>
      </c>
      <c r="G10138" t="s">
        <v>31369</v>
      </c>
      <c r="H10138" t="s">
        <v>15799</v>
      </c>
      <c r="I10138" t="s">
        <v>7719</v>
      </c>
      <c r="J10138" t="s">
        <v>37711</v>
      </c>
      <c r="K10138" t="s">
        <v>40662</v>
      </c>
      <c r="M10138" t="s">
        <v>42153</v>
      </c>
      <c r="N10138" t="s">
        <v>44905</v>
      </c>
      <c r="O10138" t="s">
        <v>44906</v>
      </c>
      <c r="P10138">
        <v>0</v>
      </c>
      <c r="Q10138">
        <v>13</v>
      </c>
      <c r="R10138" t="s">
        <v>44914</v>
      </c>
      <c r="S10138" t="s">
        <v>45202</v>
      </c>
      <c r="T10138" t="s">
        <v>46625</v>
      </c>
      <c r="U10138" t="s">
        <v>55080</v>
      </c>
      <c r="W10138" t="s">
        <v>42153</v>
      </c>
      <c r="X10138" t="s">
        <v>44915</v>
      </c>
    </row>
    <row r="10139" spans="1:24">
      <c r="A10139">
        <f>HYPERLINK("https://www.philgeps.gov.ph/GEPSNONPILOT/Tender/SplashBidNoticeAbstractUI.aspx?menuIndex=3&amp;refID=7070078&amp;Result=3","7070078")</f>
        <v>0</v>
      </c>
      <c r="B10139" t="s">
        <v>2078</v>
      </c>
      <c r="C10139" t="s">
        <v>13188</v>
      </c>
      <c r="D10139" t="s">
        <v>18179</v>
      </c>
      <c r="E10139" t="s">
        <v>26998</v>
      </c>
      <c r="F10139" t="s">
        <v>31362</v>
      </c>
      <c r="G10139" t="s">
        <v>31369</v>
      </c>
      <c r="H10139" t="s">
        <v>31378</v>
      </c>
      <c r="I10139" t="s">
        <v>31386</v>
      </c>
      <c r="J10139" t="s">
        <v>37606</v>
      </c>
      <c r="K10139" t="s">
        <v>40666</v>
      </c>
      <c r="M10139" t="s">
        <v>43200</v>
      </c>
      <c r="N10139" t="s">
        <v>44905</v>
      </c>
      <c r="O10139" t="s">
        <v>44906</v>
      </c>
      <c r="P10139">
        <v>0</v>
      </c>
      <c r="Q10139">
        <v>0</v>
      </c>
      <c r="R10139" t="s">
        <v>44914</v>
      </c>
      <c r="S10139" t="s">
        <v>45202</v>
      </c>
      <c r="T10139" t="s">
        <v>46479</v>
      </c>
      <c r="U10139" t="s">
        <v>52449</v>
      </c>
      <c r="W10139" t="s">
        <v>43200</v>
      </c>
      <c r="X10139" t="s">
        <v>44915</v>
      </c>
    </row>
    <row r="10140" spans="1:24">
      <c r="A10140">
        <f>HYPERLINK("https://www.philgeps.gov.ph/GEPSNONPILOT/Tender/SplashBidNoticeAbstractUI.aspx?menuIndex=3&amp;refID=7070070&amp;Result=3","7070070")</f>
        <v>0</v>
      </c>
      <c r="B10140" t="s">
        <v>1519</v>
      </c>
      <c r="C10140" t="s">
        <v>13189</v>
      </c>
      <c r="D10140" t="s">
        <v>18108</v>
      </c>
      <c r="E10140" t="s">
        <v>26999</v>
      </c>
      <c r="F10140" t="s">
        <v>31362</v>
      </c>
      <c r="G10140" t="s">
        <v>31369</v>
      </c>
      <c r="H10140" t="s">
        <v>31378</v>
      </c>
      <c r="I10140" t="s">
        <v>31386</v>
      </c>
      <c r="J10140" t="s">
        <v>37712</v>
      </c>
      <c r="K10140" t="s">
        <v>40692</v>
      </c>
      <c r="M10140" t="s">
        <v>42656</v>
      </c>
      <c r="N10140" t="s">
        <v>44905</v>
      </c>
      <c r="O10140" t="s">
        <v>44906</v>
      </c>
      <c r="Q10140">
        <v>24</v>
      </c>
      <c r="R10140" t="s">
        <v>44914</v>
      </c>
      <c r="S10140" t="s">
        <v>45237</v>
      </c>
      <c r="T10140" t="s">
        <v>46504</v>
      </c>
      <c r="U10140" t="s">
        <v>50837</v>
      </c>
      <c r="W10140" t="s">
        <v>42656</v>
      </c>
      <c r="X10140" t="s">
        <v>44915</v>
      </c>
    </row>
    <row r="10141" spans="1:24">
      <c r="A10141">
        <f>HYPERLINK("https://www.philgeps.gov.ph/GEPSNONPILOT/Tender/SplashBidNoticeAbstractUI.aspx?menuIndex=3&amp;refID=7070069&amp;Result=3","7070069")</f>
        <v>0</v>
      </c>
      <c r="B10141" t="s">
        <v>2870</v>
      </c>
      <c r="C10141" t="s">
        <v>13190</v>
      </c>
      <c r="E10141" t="s">
        <v>18548</v>
      </c>
      <c r="F10141" t="s">
        <v>31362</v>
      </c>
      <c r="G10141" t="s">
        <v>31369</v>
      </c>
      <c r="H10141" t="s">
        <v>31378</v>
      </c>
      <c r="I10141" t="s">
        <v>31386</v>
      </c>
      <c r="J10141" t="s">
        <v>32391</v>
      </c>
      <c r="K10141" t="s">
        <v>40662</v>
      </c>
      <c r="M10141" t="s">
        <v>44076</v>
      </c>
      <c r="N10141" t="s">
        <v>44905</v>
      </c>
      <c r="O10141" t="s">
        <v>44906</v>
      </c>
      <c r="P10141">
        <v>0</v>
      </c>
      <c r="Q10141">
        <v>0</v>
      </c>
      <c r="R10141" t="s">
        <v>44914</v>
      </c>
      <c r="S10141" t="s">
        <v>45202</v>
      </c>
      <c r="T10141" t="s">
        <v>46415</v>
      </c>
      <c r="U10141" t="s">
        <v>55081</v>
      </c>
      <c r="W10141" t="s">
        <v>44076</v>
      </c>
      <c r="X10141" t="s">
        <v>44915</v>
      </c>
    </row>
    <row r="10142" spans="1:24">
      <c r="A10142">
        <f>HYPERLINK("https://www.philgeps.gov.ph/GEPSNONPILOT/Tender/SplashBidNoticeAbstractUI.aspx?menuIndex=3&amp;refID=7070062&amp;Result=3","7070062")</f>
        <v>0</v>
      </c>
      <c r="B10142" t="s">
        <v>2232</v>
      </c>
      <c r="C10142" t="s">
        <v>13191</v>
      </c>
      <c r="D10142" t="s">
        <v>18123</v>
      </c>
      <c r="E10142" t="s">
        <v>21964</v>
      </c>
      <c r="F10142" t="s">
        <v>31362</v>
      </c>
      <c r="G10142" t="s">
        <v>31369</v>
      </c>
      <c r="H10142" t="s">
        <v>15799</v>
      </c>
      <c r="I10142" t="s">
        <v>6373</v>
      </c>
      <c r="J10142" t="s">
        <v>31615</v>
      </c>
      <c r="K10142" t="s">
        <v>40666</v>
      </c>
      <c r="M10142" t="s">
        <v>43369</v>
      </c>
      <c r="N10142" t="s">
        <v>44905</v>
      </c>
      <c r="O10142" t="s">
        <v>44906</v>
      </c>
      <c r="P10142">
        <v>0</v>
      </c>
      <c r="Q10142">
        <v>7</v>
      </c>
      <c r="R10142" t="s">
        <v>44914</v>
      </c>
      <c r="S10142" t="s">
        <v>45202</v>
      </c>
      <c r="T10142" t="s">
        <v>46435</v>
      </c>
      <c r="U10142" t="s">
        <v>55082</v>
      </c>
      <c r="W10142" t="s">
        <v>43369</v>
      </c>
      <c r="X10142" t="s">
        <v>44915</v>
      </c>
    </row>
    <row r="10143" spans="1:24">
      <c r="A10143">
        <f>HYPERLINK("https://www.philgeps.gov.ph/GEPSNONPILOT/Tender/SplashBidNoticeAbstractUI.aspx?menuIndex=3&amp;refID=7070015&amp;Result=3","7070015")</f>
        <v>0</v>
      </c>
      <c r="B10143" t="s">
        <v>2232</v>
      </c>
      <c r="C10143" t="s">
        <v>3918</v>
      </c>
      <c r="D10143" t="s">
        <v>18123</v>
      </c>
      <c r="E10143" t="s">
        <v>27000</v>
      </c>
      <c r="F10143" t="s">
        <v>31362</v>
      </c>
      <c r="G10143" t="s">
        <v>31369</v>
      </c>
      <c r="H10143" t="s">
        <v>15799</v>
      </c>
      <c r="I10143" t="s">
        <v>6373</v>
      </c>
      <c r="J10143" t="s">
        <v>37713</v>
      </c>
      <c r="K10143" t="s">
        <v>40666</v>
      </c>
      <c r="M10143" t="s">
        <v>43369</v>
      </c>
      <c r="N10143" t="s">
        <v>44905</v>
      </c>
      <c r="O10143" t="s">
        <v>44906</v>
      </c>
      <c r="P10143">
        <v>0</v>
      </c>
      <c r="Q10143">
        <v>7</v>
      </c>
      <c r="R10143" t="s">
        <v>44914</v>
      </c>
      <c r="S10143" t="s">
        <v>45202</v>
      </c>
      <c r="T10143" t="s">
        <v>46435</v>
      </c>
      <c r="U10143" t="s">
        <v>55083</v>
      </c>
      <c r="W10143" t="s">
        <v>43369</v>
      </c>
      <c r="X10143" t="s">
        <v>44915</v>
      </c>
    </row>
    <row r="10144" spans="1:24">
      <c r="A10144">
        <f>HYPERLINK("https://www.philgeps.gov.ph/GEPSNONPILOT/Tender/SplashBidNoticeAbstractUI.aspx?menuIndex=3&amp;refID=7069998&amp;Result=3","7069998")</f>
        <v>0</v>
      </c>
      <c r="B10144" t="s">
        <v>1428</v>
      </c>
      <c r="C10144" t="s">
        <v>13192</v>
      </c>
      <c r="D10144" t="s">
        <v>18108</v>
      </c>
      <c r="E10144" t="s">
        <v>27001</v>
      </c>
      <c r="F10144" t="s">
        <v>31362</v>
      </c>
      <c r="G10144" t="s">
        <v>31369</v>
      </c>
      <c r="H10144" t="s">
        <v>15799</v>
      </c>
      <c r="I10144" t="s">
        <v>4283</v>
      </c>
      <c r="J10144" t="s">
        <v>37714</v>
      </c>
      <c r="K10144" t="s">
        <v>40723</v>
      </c>
      <c r="M10144" t="s">
        <v>43511</v>
      </c>
      <c r="N10144" t="s">
        <v>44905</v>
      </c>
      <c r="O10144" t="s">
        <v>44906</v>
      </c>
      <c r="Q10144">
        <v>22</v>
      </c>
      <c r="R10144" t="s">
        <v>44914</v>
      </c>
      <c r="S10144" t="s">
        <v>45238</v>
      </c>
      <c r="T10144" t="s">
        <v>46663</v>
      </c>
      <c r="U10144" t="s">
        <v>55084</v>
      </c>
      <c r="W10144" t="s">
        <v>60893</v>
      </c>
      <c r="X10144" t="s">
        <v>44915</v>
      </c>
    </row>
    <row r="10145" spans="1:24">
      <c r="A10145">
        <f>HYPERLINK("https://www.philgeps.gov.ph/GEPSNONPILOT/Tender/SplashBidNoticeAbstractUI.aspx?menuIndex=3&amp;refID=7070061&amp;Result=3","7070061")</f>
        <v>0</v>
      </c>
      <c r="B10145" t="s">
        <v>660</v>
      </c>
      <c r="C10145" t="s">
        <v>13193</v>
      </c>
      <c r="D10145" t="s">
        <v>18116</v>
      </c>
      <c r="E10145" t="s">
        <v>27002</v>
      </c>
      <c r="F10145" t="s">
        <v>31362</v>
      </c>
      <c r="G10145" t="s">
        <v>31369</v>
      </c>
      <c r="H10145" t="s">
        <v>31378</v>
      </c>
      <c r="I10145" t="s">
        <v>31386</v>
      </c>
      <c r="J10145" t="s">
        <v>37006</v>
      </c>
      <c r="K10145" t="s">
        <v>40843</v>
      </c>
      <c r="M10145" t="s">
        <v>41622</v>
      </c>
      <c r="N10145" t="s">
        <v>44905</v>
      </c>
      <c r="O10145" t="s">
        <v>44906</v>
      </c>
      <c r="P10145">
        <v>0</v>
      </c>
      <c r="Q10145">
        <v>12</v>
      </c>
      <c r="R10145" t="s">
        <v>44914</v>
      </c>
      <c r="S10145" t="s">
        <v>45202</v>
      </c>
      <c r="T10145" t="s">
        <v>46519</v>
      </c>
      <c r="U10145" t="s">
        <v>55085</v>
      </c>
      <c r="W10145" t="s">
        <v>41622</v>
      </c>
      <c r="X10145" t="s">
        <v>44915</v>
      </c>
    </row>
    <row r="10146" spans="1:24">
      <c r="A10146">
        <f>HYPERLINK("https://www.philgeps.gov.ph/GEPSNONPILOT/Tender/SplashBidNoticeAbstractUI.aspx?menuIndex=3&amp;refID=7069762&amp;Result=3","7069762")</f>
        <v>0</v>
      </c>
      <c r="B10146" t="s">
        <v>419</v>
      </c>
      <c r="C10146" t="s">
        <v>13194</v>
      </c>
      <c r="D10146" t="s">
        <v>18159</v>
      </c>
      <c r="E10146" t="s">
        <v>27003</v>
      </c>
      <c r="F10146" t="s">
        <v>31362</v>
      </c>
      <c r="G10146" t="s">
        <v>31369</v>
      </c>
      <c r="H10146" t="s">
        <v>31378</v>
      </c>
      <c r="I10146" t="s">
        <v>31386</v>
      </c>
      <c r="J10146" t="s">
        <v>31606</v>
      </c>
      <c r="K10146" t="s">
        <v>40682</v>
      </c>
      <c r="M10146" t="s">
        <v>41369</v>
      </c>
      <c r="N10146" t="s">
        <v>44905</v>
      </c>
      <c r="O10146" t="s">
        <v>44906</v>
      </c>
      <c r="Q10146">
        <v>0</v>
      </c>
      <c r="R10146" t="s">
        <v>44914</v>
      </c>
      <c r="S10146" t="s">
        <v>45239</v>
      </c>
      <c r="T10146" t="s">
        <v>46504</v>
      </c>
      <c r="U10146" t="s">
        <v>55086</v>
      </c>
      <c r="W10146" t="s">
        <v>41369</v>
      </c>
      <c r="X10146" t="s">
        <v>44915</v>
      </c>
    </row>
    <row r="10147" spans="1:24">
      <c r="A10147">
        <f>HYPERLINK("https://www.philgeps.gov.ph/GEPSNONPILOT/Tender/SplashBidNoticeAbstractUI.aspx?menuIndex=3&amp;refID=7070071&amp;Result=3","7070071")</f>
        <v>0</v>
      </c>
      <c r="B10147" t="s">
        <v>2078</v>
      </c>
      <c r="C10147" t="s">
        <v>13195</v>
      </c>
      <c r="D10147" t="s">
        <v>18179</v>
      </c>
      <c r="E10147" t="s">
        <v>27004</v>
      </c>
      <c r="F10147" t="s">
        <v>31362</v>
      </c>
      <c r="G10147" t="s">
        <v>31369</v>
      </c>
      <c r="H10147" t="s">
        <v>31378</v>
      </c>
      <c r="I10147" t="s">
        <v>31386</v>
      </c>
      <c r="J10147" t="s">
        <v>37606</v>
      </c>
      <c r="K10147" t="s">
        <v>40666</v>
      </c>
      <c r="M10147" t="s">
        <v>43200</v>
      </c>
      <c r="N10147" t="s">
        <v>44905</v>
      </c>
      <c r="O10147" t="s">
        <v>44906</v>
      </c>
      <c r="P10147">
        <v>0</v>
      </c>
      <c r="Q10147">
        <v>1</v>
      </c>
      <c r="R10147" t="s">
        <v>44914</v>
      </c>
      <c r="S10147" t="s">
        <v>45202</v>
      </c>
      <c r="T10147" t="s">
        <v>46479</v>
      </c>
      <c r="U10147" t="s">
        <v>52449</v>
      </c>
      <c r="W10147" t="s">
        <v>43200</v>
      </c>
      <c r="X10147" t="s">
        <v>44915</v>
      </c>
    </row>
    <row r="10148" spans="1:24">
      <c r="A10148">
        <f>HYPERLINK("https://www.philgeps.gov.ph/GEPSNONPILOT/Tender/SplashBidNoticeAbstractUI.aspx?menuIndex=3&amp;refID=7068972&amp;Result=3","7068972")</f>
        <v>0</v>
      </c>
      <c r="B10148" t="s">
        <v>1317</v>
      </c>
      <c r="C10148" t="s">
        <v>13196</v>
      </c>
      <c r="D10148" t="s">
        <v>18136</v>
      </c>
      <c r="E10148" t="s">
        <v>27005</v>
      </c>
      <c r="F10148" t="s">
        <v>31362</v>
      </c>
      <c r="G10148" t="s">
        <v>31368</v>
      </c>
      <c r="H10148" t="s">
        <v>15799</v>
      </c>
      <c r="I10148" t="s">
        <v>7719</v>
      </c>
      <c r="J10148" t="s">
        <v>31545</v>
      </c>
      <c r="K10148" t="s">
        <v>40665</v>
      </c>
      <c r="M10148" t="s">
        <v>42335</v>
      </c>
      <c r="N10148" t="s">
        <v>44905</v>
      </c>
      <c r="O10148" t="s">
        <v>44906</v>
      </c>
      <c r="P10148">
        <v>0</v>
      </c>
      <c r="Q10148">
        <v>14</v>
      </c>
      <c r="R10148" t="s">
        <v>44914</v>
      </c>
      <c r="S10148" t="s">
        <v>45202</v>
      </c>
      <c r="T10148" t="s">
        <v>46454</v>
      </c>
      <c r="U10148" t="s">
        <v>55087</v>
      </c>
      <c r="W10148" t="s">
        <v>42335</v>
      </c>
      <c r="X10148" t="s">
        <v>44915</v>
      </c>
    </row>
    <row r="10149" spans="1:24">
      <c r="A10149">
        <f>HYPERLINK("https://www.philgeps.gov.ph/GEPSNONPILOT/Tender/SplashBidNoticeAbstractUI.aspx?menuIndex=3&amp;refID=7070067&amp;Result=3","7070067")</f>
        <v>0</v>
      </c>
      <c r="B10149" t="s">
        <v>1519</v>
      </c>
      <c r="C10149" t="s">
        <v>13197</v>
      </c>
      <c r="D10149" t="s">
        <v>18108</v>
      </c>
      <c r="E10149" t="s">
        <v>27006</v>
      </c>
      <c r="F10149" t="s">
        <v>31362</v>
      </c>
      <c r="G10149" t="s">
        <v>31369</v>
      </c>
      <c r="H10149" t="s">
        <v>31378</v>
      </c>
      <c r="I10149" t="s">
        <v>31386</v>
      </c>
      <c r="J10149" t="s">
        <v>37715</v>
      </c>
      <c r="K10149" t="s">
        <v>40686</v>
      </c>
      <c r="M10149" t="s">
        <v>42656</v>
      </c>
      <c r="N10149" t="s">
        <v>44905</v>
      </c>
      <c r="O10149" t="s">
        <v>44906</v>
      </c>
      <c r="Q10149">
        <v>18</v>
      </c>
      <c r="R10149" t="s">
        <v>44914</v>
      </c>
      <c r="S10149" t="s">
        <v>45240</v>
      </c>
      <c r="T10149" t="s">
        <v>46504</v>
      </c>
      <c r="U10149" t="s">
        <v>50837</v>
      </c>
      <c r="W10149" t="s">
        <v>42656</v>
      </c>
      <c r="X10149" t="s">
        <v>44915</v>
      </c>
    </row>
    <row r="10150" spans="1:24">
      <c r="A10150">
        <f>HYPERLINK("https://www.philgeps.gov.ph/GEPSNONPILOT/Tender/SplashBidNoticeAbstractUI.aspx?menuIndex=3&amp;refID=7068670&amp;Result=3","7068670")</f>
        <v>0</v>
      </c>
      <c r="B10150" t="s">
        <v>2807</v>
      </c>
      <c r="C10150" t="s">
        <v>13198</v>
      </c>
      <c r="D10150" t="s">
        <v>18116</v>
      </c>
      <c r="E10150" t="s">
        <v>27007</v>
      </c>
      <c r="F10150" t="s">
        <v>31362</v>
      </c>
      <c r="G10150" t="s">
        <v>31369</v>
      </c>
      <c r="H10150" t="s">
        <v>15799</v>
      </c>
      <c r="I10150" t="s">
        <v>31456</v>
      </c>
      <c r="J10150" t="s">
        <v>31591</v>
      </c>
      <c r="K10150" t="s">
        <v>40665</v>
      </c>
      <c r="M10150" t="s">
        <v>44006</v>
      </c>
      <c r="N10150" t="s">
        <v>44905</v>
      </c>
      <c r="O10150" t="s">
        <v>44906</v>
      </c>
      <c r="P10150">
        <v>0</v>
      </c>
      <c r="Q10150">
        <v>2</v>
      </c>
      <c r="R10150" t="s">
        <v>44914</v>
      </c>
      <c r="S10150" t="s">
        <v>45202</v>
      </c>
      <c r="T10150" t="s">
        <v>46672</v>
      </c>
      <c r="U10150" t="s">
        <v>54840</v>
      </c>
      <c r="W10150" t="s">
        <v>44006</v>
      </c>
      <c r="X10150" t="s">
        <v>44915</v>
      </c>
    </row>
    <row r="10151" spans="1:24">
      <c r="A10151">
        <f>HYPERLINK("https://www.philgeps.gov.ph/GEPSNONPILOT/Tender/SplashBidNoticeAbstractUI.aspx?menuIndex=3&amp;refID=7068656&amp;Result=3","7068656")</f>
        <v>0</v>
      </c>
      <c r="B10151" t="s">
        <v>1037</v>
      </c>
      <c r="C10151" t="s">
        <v>13199</v>
      </c>
      <c r="D10151" t="s">
        <v>18146</v>
      </c>
      <c r="E10151" t="s">
        <v>26759</v>
      </c>
      <c r="F10151" t="s">
        <v>31362</v>
      </c>
      <c r="G10151" t="s">
        <v>31369</v>
      </c>
      <c r="H10151" t="s">
        <v>31378</v>
      </c>
      <c r="I10151" t="s">
        <v>31386</v>
      </c>
      <c r="J10151" t="s">
        <v>37716</v>
      </c>
      <c r="K10151" t="s">
        <v>40773</v>
      </c>
      <c r="M10151" t="s">
        <v>43675</v>
      </c>
      <c r="N10151" t="s">
        <v>44905</v>
      </c>
      <c r="O10151" t="s">
        <v>44906</v>
      </c>
      <c r="P10151">
        <v>0</v>
      </c>
      <c r="Q10151">
        <v>0</v>
      </c>
      <c r="R10151" t="s">
        <v>44914</v>
      </c>
      <c r="S10151" t="s">
        <v>45202</v>
      </c>
      <c r="T10151" t="s">
        <v>46418</v>
      </c>
      <c r="U10151" t="s">
        <v>55088</v>
      </c>
      <c r="V10151" t="s">
        <v>60144</v>
      </c>
      <c r="W10151" t="s">
        <v>43675</v>
      </c>
      <c r="X10151" t="s">
        <v>44915</v>
      </c>
    </row>
    <row r="10152" spans="1:24">
      <c r="A10152">
        <f>HYPERLINK("https://www.philgeps.gov.ph/GEPSNONPILOT/Tender/SplashBidNoticeAbstractUI.aspx?menuIndex=3&amp;refID=7068577&amp;Result=3","7068577")</f>
        <v>0</v>
      </c>
      <c r="B10152" t="s">
        <v>1033</v>
      </c>
      <c r="C10152" t="s">
        <v>12836</v>
      </c>
      <c r="D10152" t="s">
        <v>18162</v>
      </c>
      <c r="E10152" t="s">
        <v>26686</v>
      </c>
      <c r="F10152" t="s">
        <v>31362</v>
      </c>
      <c r="G10152" t="s">
        <v>31369</v>
      </c>
      <c r="H10152" t="s">
        <v>15799</v>
      </c>
      <c r="I10152" t="s">
        <v>31427</v>
      </c>
      <c r="J10152" t="s">
        <v>37481</v>
      </c>
      <c r="K10152" t="s">
        <v>40670</v>
      </c>
      <c r="M10152" t="s">
        <v>42032</v>
      </c>
      <c r="N10152" t="s">
        <v>44905</v>
      </c>
      <c r="O10152" t="s">
        <v>44906</v>
      </c>
      <c r="P10152">
        <v>0</v>
      </c>
      <c r="Q10152">
        <v>0</v>
      </c>
      <c r="R10152" t="s">
        <v>44914</v>
      </c>
      <c r="S10152" t="s">
        <v>45202</v>
      </c>
      <c r="T10152" t="s">
        <v>46509</v>
      </c>
      <c r="U10152" t="s">
        <v>54796</v>
      </c>
      <c r="W10152" t="s">
        <v>42032</v>
      </c>
      <c r="X10152" t="s">
        <v>44915</v>
      </c>
    </row>
    <row r="10153" spans="1:24">
      <c r="A10153">
        <f>HYPERLINK("https://www.philgeps.gov.ph/GEPSNONPILOT/Tender/SplashBidNoticeAbstractUI.aspx?menuIndex=3&amp;refID=7070055&amp;Result=3","7070055")</f>
        <v>0</v>
      </c>
      <c r="B10153" t="s">
        <v>660</v>
      </c>
      <c r="C10153" t="s">
        <v>13200</v>
      </c>
      <c r="D10153" t="s">
        <v>18116</v>
      </c>
      <c r="E10153" t="s">
        <v>27008</v>
      </c>
      <c r="F10153" t="s">
        <v>31362</v>
      </c>
      <c r="G10153" t="s">
        <v>31369</v>
      </c>
      <c r="H10153" t="s">
        <v>31378</v>
      </c>
      <c r="I10153" t="s">
        <v>31386</v>
      </c>
      <c r="J10153" t="s">
        <v>36716</v>
      </c>
      <c r="K10153" t="s">
        <v>40818</v>
      </c>
      <c r="M10153" t="s">
        <v>41622</v>
      </c>
      <c r="N10153" t="s">
        <v>44905</v>
      </c>
      <c r="O10153" t="s">
        <v>44906</v>
      </c>
      <c r="P10153">
        <v>0</v>
      </c>
      <c r="Q10153">
        <v>6</v>
      </c>
      <c r="R10153" t="s">
        <v>44914</v>
      </c>
      <c r="S10153" t="s">
        <v>45202</v>
      </c>
      <c r="T10153" t="s">
        <v>46519</v>
      </c>
      <c r="U10153" t="s">
        <v>53616</v>
      </c>
      <c r="W10153" t="s">
        <v>41622</v>
      </c>
      <c r="X10153" t="s">
        <v>44915</v>
      </c>
    </row>
    <row r="10154" spans="1:24">
      <c r="A10154">
        <f>HYPERLINK("https://www.philgeps.gov.ph/GEPSNONPILOT/Tender/SplashBidNoticeAbstractUI.aspx?menuIndex=3&amp;refID=7068576&amp;Result=3","7068576")</f>
        <v>0</v>
      </c>
      <c r="B10154" t="s">
        <v>1002</v>
      </c>
      <c r="C10154" t="s">
        <v>13201</v>
      </c>
      <c r="E10154" t="s">
        <v>27009</v>
      </c>
      <c r="F10154" t="s">
        <v>31362</v>
      </c>
      <c r="G10154" t="s">
        <v>31368</v>
      </c>
      <c r="H10154" t="s">
        <v>15799</v>
      </c>
      <c r="I10154" t="s">
        <v>31410</v>
      </c>
      <c r="J10154" t="s">
        <v>37717</v>
      </c>
      <c r="K10154" t="s">
        <v>40665</v>
      </c>
      <c r="M10154" t="s">
        <v>43978</v>
      </c>
      <c r="N10154" t="s">
        <v>44905</v>
      </c>
      <c r="O10154" t="s">
        <v>44906</v>
      </c>
      <c r="P10154">
        <v>0</v>
      </c>
      <c r="Q10154">
        <v>0</v>
      </c>
      <c r="R10154" t="s">
        <v>44914</v>
      </c>
      <c r="S10154" t="s">
        <v>45202</v>
      </c>
      <c r="T10154" t="s">
        <v>46443</v>
      </c>
      <c r="U10154" t="s">
        <v>55089</v>
      </c>
      <c r="W10154" t="s">
        <v>60940</v>
      </c>
      <c r="X10154" t="s">
        <v>44915</v>
      </c>
    </row>
    <row r="10155" spans="1:24">
      <c r="A10155">
        <f>HYPERLINK("https://www.philgeps.gov.ph/GEPSNONPILOT/Tender/SplashBidNoticeAbstractUI.aspx?menuIndex=3&amp;refID=7070076&amp;Result=3","7070076")</f>
        <v>0</v>
      </c>
      <c r="B10155" t="s">
        <v>2078</v>
      </c>
      <c r="C10155" t="s">
        <v>13202</v>
      </c>
      <c r="D10155" t="s">
        <v>18179</v>
      </c>
      <c r="E10155" t="s">
        <v>27010</v>
      </c>
      <c r="F10155" t="s">
        <v>31362</v>
      </c>
      <c r="G10155" t="s">
        <v>31369</v>
      </c>
      <c r="H10155" t="s">
        <v>31378</v>
      </c>
      <c r="I10155" t="s">
        <v>31386</v>
      </c>
      <c r="J10155" t="s">
        <v>37606</v>
      </c>
      <c r="K10155" t="s">
        <v>40666</v>
      </c>
      <c r="M10155" t="s">
        <v>43200</v>
      </c>
      <c r="N10155" t="s">
        <v>44905</v>
      </c>
      <c r="O10155" t="s">
        <v>44906</v>
      </c>
      <c r="P10155">
        <v>0</v>
      </c>
      <c r="Q10155">
        <v>0</v>
      </c>
      <c r="R10155" t="s">
        <v>44914</v>
      </c>
      <c r="S10155" t="s">
        <v>45202</v>
      </c>
      <c r="T10155" t="s">
        <v>46479</v>
      </c>
      <c r="U10155" t="s">
        <v>52449</v>
      </c>
      <c r="W10155" t="s">
        <v>43200</v>
      </c>
      <c r="X10155" t="s">
        <v>44915</v>
      </c>
    </row>
    <row r="10156" spans="1:24">
      <c r="A10156">
        <f>HYPERLINK("https://www.philgeps.gov.ph/GEPSNONPILOT/Tender/SplashBidNoticeAbstractUI.aspx?menuIndex=3&amp;refID=7070058&amp;Result=3","7070058")</f>
        <v>0</v>
      </c>
      <c r="B10156" t="s">
        <v>660</v>
      </c>
      <c r="C10156" t="s">
        <v>13203</v>
      </c>
      <c r="D10156" t="s">
        <v>18116</v>
      </c>
      <c r="E10156" t="s">
        <v>27011</v>
      </c>
      <c r="F10156" t="s">
        <v>31362</v>
      </c>
      <c r="G10156" t="s">
        <v>31369</v>
      </c>
      <c r="H10156" t="s">
        <v>31378</v>
      </c>
      <c r="I10156" t="s">
        <v>31386</v>
      </c>
      <c r="J10156" t="s">
        <v>37006</v>
      </c>
      <c r="K10156" t="s">
        <v>40845</v>
      </c>
      <c r="M10156" t="s">
        <v>41622</v>
      </c>
      <c r="N10156" t="s">
        <v>44905</v>
      </c>
      <c r="O10156" t="s">
        <v>44906</v>
      </c>
      <c r="P10156">
        <v>0</v>
      </c>
      <c r="Q10156">
        <v>12</v>
      </c>
      <c r="R10156" t="s">
        <v>44914</v>
      </c>
      <c r="S10156" t="s">
        <v>45202</v>
      </c>
      <c r="T10156" t="s">
        <v>46519</v>
      </c>
      <c r="U10156" t="s">
        <v>55090</v>
      </c>
      <c r="W10156" t="s">
        <v>41622</v>
      </c>
      <c r="X10156" t="s">
        <v>44915</v>
      </c>
    </row>
    <row r="10157" spans="1:24">
      <c r="A10157">
        <f>HYPERLINK("https://www.philgeps.gov.ph/GEPSNONPILOT/Tender/SplashBidNoticeAbstractUI.aspx?menuIndex=3&amp;refID=7068572&amp;Result=3","7068572")</f>
        <v>0</v>
      </c>
      <c r="B10157" t="s">
        <v>1037</v>
      </c>
      <c r="C10157" t="s">
        <v>13204</v>
      </c>
      <c r="D10157" t="s">
        <v>18146</v>
      </c>
      <c r="E10157" t="s">
        <v>27012</v>
      </c>
      <c r="F10157" t="s">
        <v>31362</v>
      </c>
      <c r="G10157" t="s">
        <v>31369</v>
      </c>
      <c r="H10157" t="s">
        <v>31378</v>
      </c>
      <c r="I10157" t="s">
        <v>31386</v>
      </c>
      <c r="J10157" t="s">
        <v>37718</v>
      </c>
      <c r="K10157" t="s">
        <v>40733</v>
      </c>
      <c r="M10157" t="s">
        <v>43675</v>
      </c>
      <c r="N10157" t="s">
        <v>44905</v>
      </c>
      <c r="O10157" t="s">
        <v>44906</v>
      </c>
      <c r="P10157">
        <v>0</v>
      </c>
      <c r="Q10157">
        <v>0</v>
      </c>
      <c r="R10157" t="s">
        <v>44914</v>
      </c>
      <c r="S10157" t="s">
        <v>45202</v>
      </c>
      <c r="T10157" t="s">
        <v>46418</v>
      </c>
      <c r="U10157" t="s">
        <v>55091</v>
      </c>
      <c r="V10157" t="s">
        <v>60145</v>
      </c>
      <c r="W10157" t="s">
        <v>43675</v>
      </c>
      <c r="X10157" t="s">
        <v>44915</v>
      </c>
    </row>
    <row r="10158" spans="1:24">
      <c r="A10158">
        <f>HYPERLINK("https://www.philgeps.gov.ph/GEPSNONPILOT/Tender/SplashBidNoticeAbstractUI.aspx?menuIndex=3&amp;refID=7068574&amp;Result=3","7068574")</f>
        <v>0</v>
      </c>
      <c r="B10158" t="s">
        <v>2807</v>
      </c>
      <c r="C10158" t="s">
        <v>13205</v>
      </c>
      <c r="D10158" t="s">
        <v>18116</v>
      </c>
      <c r="E10158" t="s">
        <v>27013</v>
      </c>
      <c r="F10158" t="s">
        <v>31362</v>
      </c>
      <c r="G10158" t="s">
        <v>31369</v>
      </c>
      <c r="H10158" t="s">
        <v>15799</v>
      </c>
      <c r="I10158" t="s">
        <v>31386</v>
      </c>
      <c r="J10158" t="s">
        <v>37719</v>
      </c>
      <c r="K10158" t="s">
        <v>40675</v>
      </c>
      <c r="M10158" t="s">
        <v>44006</v>
      </c>
      <c r="N10158" t="s">
        <v>44905</v>
      </c>
      <c r="O10158" t="s">
        <v>44906</v>
      </c>
      <c r="P10158">
        <v>0</v>
      </c>
      <c r="Q10158">
        <v>0</v>
      </c>
      <c r="R10158" t="s">
        <v>44914</v>
      </c>
      <c r="S10158" t="s">
        <v>45202</v>
      </c>
      <c r="T10158" t="s">
        <v>46672</v>
      </c>
      <c r="U10158" t="s">
        <v>54840</v>
      </c>
      <c r="W10158" t="s">
        <v>44006</v>
      </c>
      <c r="X10158" t="s">
        <v>44915</v>
      </c>
    </row>
    <row r="10159" spans="1:24">
      <c r="A10159">
        <f>HYPERLINK("https://www.philgeps.gov.ph/GEPSNONPILOT/Tender/SplashBidNoticeAbstractUI.aspx?menuIndex=3&amp;refID=7068573&amp;Result=3","7068573")</f>
        <v>0</v>
      </c>
      <c r="B10159" t="s">
        <v>2658</v>
      </c>
      <c r="C10159" t="s">
        <v>13206</v>
      </c>
      <c r="D10159" t="s">
        <v>18100</v>
      </c>
      <c r="E10159" t="s">
        <v>27014</v>
      </c>
      <c r="F10159" t="s">
        <v>31362</v>
      </c>
      <c r="G10159" t="s">
        <v>31368</v>
      </c>
      <c r="H10159" t="s">
        <v>15799</v>
      </c>
      <c r="I10159" t="s">
        <v>7719</v>
      </c>
      <c r="J10159" t="s">
        <v>31578</v>
      </c>
      <c r="K10159" t="s">
        <v>40682</v>
      </c>
      <c r="M10159" t="s">
        <v>43842</v>
      </c>
      <c r="N10159" t="s">
        <v>44905</v>
      </c>
      <c r="O10159" t="s">
        <v>44906</v>
      </c>
      <c r="P10159">
        <v>0</v>
      </c>
      <c r="Q10159">
        <v>27</v>
      </c>
      <c r="R10159" t="s">
        <v>44914</v>
      </c>
      <c r="S10159" t="s">
        <v>45202</v>
      </c>
      <c r="T10159" t="s">
        <v>46417</v>
      </c>
      <c r="U10159" t="s">
        <v>55092</v>
      </c>
      <c r="W10159" t="s">
        <v>43842</v>
      </c>
      <c r="X10159" t="s">
        <v>44915</v>
      </c>
    </row>
    <row r="10160" spans="1:24">
      <c r="A10160">
        <f>HYPERLINK("https://www.philgeps.gov.ph/GEPSNONPILOT/Tender/SplashBidNoticeAbstractUI.aspx?menuIndex=3&amp;refID=7068495&amp;Result=3","7068495")</f>
        <v>0</v>
      </c>
      <c r="B10160" t="s">
        <v>2804</v>
      </c>
      <c r="C10160" t="s">
        <v>13207</v>
      </c>
      <c r="D10160" t="s">
        <v>18123</v>
      </c>
      <c r="E10160" t="s">
        <v>27015</v>
      </c>
      <c r="F10160" t="s">
        <v>31362</v>
      </c>
      <c r="G10160" t="s">
        <v>31369</v>
      </c>
      <c r="H10160" t="s">
        <v>15799</v>
      </c>
      <c r="I10160" t="s">
        <v>3815</v>
      </c>
      <c r="J10160" t="s">
        <v>37720</v>
      </c>
      <c r="K10160" t="s">
        <v>40665</v>
      </c>
      <c r="M10160" t="s">
        <v>44002</v>
      </c>
      <c r="N10160" t="s">
        <v>44905</v>
      </c>
      <c r="O10160" t="s">
        <v>44906</v>
      </c>
      <c r="P10160">
        <v>0</v>
      </c>
      <c r="Q10160">
        <v>2</v>
      </c>
      <c r="R10160" t="s">
        <v>44914</v>
      </c>
      <c r="S10160" t="s">
        <v>45202</v>
      </c>
      <c r="T10160" t="s">
        <v>46419</v>
      </c>
      <c r="U10160" t="s">
        <v>54828</v>
      </c>
      <c r="W10160" t="s">
        <v>44002</v>
      </c>
      <c r="X10160" t="s">
        <v>44915</v>
      </c>
    </row>
    <row r="10161" spans="1:24">
      <c r="A10161">
        <f>HYPERLINK("https://www.philgeps.gov.ph/GEPSNONPILOT/Tender/SplashBidNoticeAbstractUI.aspx?menuIndex=3&amp;refID=7068489&amp;Result=3","7068489")</f>
        <v>0</v>
      </c>
      <c r="B10161" t="s">
        <v>1683</v>
      </c>
      <c r="C10161" t="s">
        <v>13208</v>
      </c>
      <c r="D10161" t="s">
        <v>18169</v>
      </c>
      <c r="E10161" t="s">
        <v>27016</v>
      </c>
      <c r="F10161" t="s">
        <v>31362</v>
      </c>
      <c r="G10161" t="s">
        <v>31369</v>
      </c>
      <c r="H10161" t="s">
        <v>15799</v>
      </c>
      <c r="I10161" t="s">
        <v>31390</v>
      </c>
      <c r="J10161" t="s">
        <v>37721</v>
      </c>
      <c r="K10161" t="s">
        <v>40666</v>
      </c>
      <c r="M10161" t="s">
        <v>42748</v>
      </c>
      <c r="N10161" t="s">
        <v>44905</v>
      </c>
      <c r="O10161" t="s">
        <v>44906</v>
      </c>
      <c r="P10161">
        <v>0</v>
      </c>
      <c r="Q10161">
        <v>4</v>
      </c>
      <c r="R10161" t="s">
        <v>44914</v>
      </c>
      <c r="S10161" t="s">
        <v>45202</v>
      </c>
      <c r="T10161" t="s">
        <v>46394</v>
      </c>
      <c r="U10161" t="s">
        <v>55093</v>
      </c>
      <c r="W10161" t="s">
        <v>42748</v>
      </c>
      <c r="X10161" t="s">
        <v>44915</v>
      </c>
    </row>
    <row r="10162" spans="1:24">
      <c r="A10162">
        <f>HYPERLINK("https://www.philgeps.gov.ph/GEPSNONPILOT/Tender/SplashBidNoticeAbstractUI.aspx?menuIndex=3&amp;refID=7068655&amp;Result=3","7068655")</f>
        <v>0</v>
      </c>
      <c r="B10162" t="s">
        <v>387</v>
      </c>
      <c r="C10162" t="s">
        <v>13209</v>
      </c>
      <c r="D10162" t="s">
        <v>18152</v>
      </c>
      <c r="E10162" t="s">
        <v>27017</v>
      </c>
      <c r="F10162" t="s">
        <v>31362</v>
      </c>
      <c r="G10162" t="s">
        <v>31369</v>
      </c>
      <c r="H10162" t="s">
        <v>15799</v>
      </c>
      <c r="I10162" t="s">
        <v>3815</v>
      </c>
      <c r="J10162" t="s">
        <v>37722</v>
      </c>
      <c r="K10162" t="s">
        <v>40665</v>
      </c>
      <c r="M10162" t="s">
        <v>41915</v>
      </c>
      <c r="N10162" t="s">
        <v>44905</v>
      </c>
      <c r="O10162" t="s">
        <v>44906</v>
      </c>
      <c r="P10162">
        <v>0</v>
      </c>
      <c r="Q10162">
        <v>0</v>
      </c>
      <c r="R10162" t="s">
        <v>44914</v>
      </c>
      <c r="S10162" t="s">
        <v>45202</v>
      </c>
      <c r="T10162" t="s">
        <v>46393</v>
      </c>
      <c r="U10162" t="s">
        <v>47597</v>
      </c>
      <c r="V10162" t="s">
        <v>59153</v>
      </c>
      <c r="W10162" t="s">
        <v>41915</v>
      </c>
      <c r="X10162" t="s">
        <v>44915</v>
      </c>
    </row>
    <row r="10163" spans="1:24">
      <c r="A10163">
        <f>HYPERLINK("https://www.philgeps.gov.ph/GEPSNONPILOT/Tender/SplashBidNoticeAbstractUI.aspx?menuIndex=3&amp;refID=7068584&amp;Result=3","7068584")</f>
        <v>0</v>
      </c>
      <c r="B10163" t="s">
        <v>387</v>
      </c>
      <c r="C10163" t="s">
        <v>13210</v>
      </c>
      <c r="D10163" t="s">
        <v>18152</v>
      </c>
      <c r="E10163" t="s">
        <v>27018</v>
      </c>
      <c r="F10163" t="s">
        <v>31362</v>
      </c>
      <c r="G10163" t="s">
        <v>31369</v>
      </c>
      <c r="H10163" t="s">
        <v>15799</v>
      </c>
      <c r="I10163" t="s">
        <v>3815</v>
      </c>
      <c r="J10163" t="s">
        <v>37723</v>
      </c>
      <c r="K10163" t="s">
        <v>40665</v>
      </c>
      <c r="M10163" t="s">
        <v>41915</v>
      </c>
      <c r="N10163" t="s">
        <v>44905</v>
      </c>
      <c r="O10163" t="s">
        <v>44906</v>
      </c>
      <c r="P10163">
        <v>0</v>
      </c>
      <c r="Q10163">
        <v>0</v>
      </c>
      <c r="R10163" t="s">
        <v>44914</v>
      </c>
      <c r="S10163" t="s">
        <v>45202</v>
      </c>
      <c r="T10163" t="s">
        <v>46393</v>
      </c>
      <c r="U10163" t="s">
        <v>47597</v>
      </c>
      <c r="V10163" t="s">
        <v>59153</v>
      </c>
      <c r="W10163" t="s">
        <v>41915</v>
      </c>
      <c r="X10163" t="s">
        <v>44915</v>
      </c>
    </row>
    <row r="10164" spans="1:24">
      <c r="A10164">
        <f>HYPERLINK("https://www.philgeps.gov.ph/GEPSNONPILOT/Tender/SplashBidNoticeAbstractUI.aspx?menuIndex=3&amp;refID=7070137&amp;Result=3","7070137")</f>
        <v>0</v>
      </c>
      <c r="B10164" t="s">
        <v>430</v>
      </c>
      <c r="C10164" t="s">
        <v>13211</v>
      </c>
      <c r="D10164" t="s">
        <v>18112</v>
      </c>
      <c r="E10164" t="s">
        <v>27019</v>
      </c>
      <c r="F10164" t="s">
        <v>31362</v>
      </c>
      <c r="G10164" t="s">
        <v>31369</v>
      </c>
      <c r="H10164" t="s">
        <v>15799</v>
      </c>
      <c r="I10164" t="s">
        <v>31413</v>
      </c>
      <c r="J10164" t="s">
        <v>31625</v>
      </c>
      <c r="K10164" t="s">
        <v>40665</v>
      </c>
      <c r="M10164" t="s">
        <v>41381</v>
      </c>
      <c r="N10164" t="s">
        <v>44905</v>
      </c>
      <c r="O10164" t="s">
        <v>44906</v>
      </c>
      <c r="Q10164">
        <v>7</v>
      </c>
      <c r="R10164" t="s">
        <v>44914</v>
      </c>
      <c r="S10164" t="s">
        <v>45241</v>
      </c>
      <c r="T10164" t="s">
        <v>46623</v>
      </c>
      <c r="U10164" t="s">
        <v>55094</v>
      </c>
      <c r="V10164" t="s">
        <v>60146</v>
      </c>
      <c r="W10164" t="s">
        <v>41381</v>
      </c>
      <c r="X10164" t="s">
        <v>44915</v>
      </c>
    </row>
    <row r="10165" spans="1:24">
      <c r="A10165">
        <f>HYPERLINK("https://www.philgeps.gov.ph/GEPSNONPILOT/Tender/SplashBidNoticeAbstractUI.aspx?menuIndex=3&amp;refID=7070132&amp;Result=3","7070132")</f>
        <v>0</v>
      </c>
      <c r="B10165" t="s">
        <v>430</v>
      </c>
      <c r="C10165" t="s">
        <v>13212</v>
      </c>
      <c r="D10165" t="s">
        <v>18112</v>
      </c>
      <c r="E10165" t="s">
        <v>27020</v>
      </c>
      <c r="F10165" t="s">
        <v>31362</v>
      </c>
      <c r="G10165" t="s">
        <v>31369</v>
      </c>
      <c r="H10165" t="s">
        <v>15799</v>
      </c>
      <c r="I10165" t="s">
        <v>31413</v>
      </c>
      <c r="J10165" t="s">
        <v>31625</v>
      </c>
      <c r="K10165" t="s">
        <v>40665</v>
      </c>
      <c r="M10165" t="s">
        <v>41381</v>
      </c>
      <c r="N10165" t="s">
        <v>44905</v>
      </c>
      <c r="O10165" t="s">
        <v>44906</v>
      </c>
      <c r="P10165">
        <v>0</v>
      </c>
      <c r="Q10165">
        <v>8</v>
      </c>
      <c r="R10165" t="s">
        <v>44914</v>
      </c>
      <c r="S10165" t="s">
        <v>45202</v>
      </c>
      <c r="T10165" t="s">
        <v>46623</v>
      </c>
      <c r="U10165" t="s">
        <v>55095</v>
      </c>
      <c r="V10165" t="s">
        <v>60146</v>
      </c>
      <c r="W10165" t="s">
        <v>41381</v>
      </c>
      <c r="X10165" t="s">
        <v>44915</v>
      </c>
    </row>
    <row r="10166" spans="1:24">
      <c r="A10166">
        <f>HYPERLINK("https://www.philgeps.gov.ph/GEPSNONPILOT/Tender/SplashBidNoticeAbstractUI.aspx?menuIndex=3&amp;refID=7070130&amp;Result=3","7070130")</f>
        <v>0</v>
      </c>
      <c r="B10166" t="s">
        <v>430</v>
      </c>
      <c r="C10166" t="s">
        <v>13213</v>
      </c>
      <c r="D10166" t="s">
        <v>18112</v>
      </c>
      <c r="E10166" t="s">
        <v>27021</v>
      </c>
      <c r="F10166" t="s">
        <v>31362</v>
      </c>
      <c r="G10166" t="s">
        <v>31369</v>
      </c>
      <c r="H10166" t="s">
        <v>15799</v>
      </c>
      <c r="I10166" t="s">
        <v>31413</v>
      </c>
      <c r="J10166" t="s">
        <v>31625</v>
      </c>
      <c r="K10166" t="s">
        <v>40665</v>
      </c>
      <c r="M10166" t="s">
        <v>41381</v>
      </c>
      <c r="N10166" t="s">
        <v>44905</v>
      </c>
      <c r="O10166" t="s">
        <v>44906</v>
      </c>
      <c r="P10166">
        <v>0</v>
      </c>
      <c r="Q10166">
        <v>9</v>
      </c>
      <c r="R10166" t="s">
        <v>44914</v>
      </c>
      <c r="S10166" t="s">
        <v>45202</v>
      </c>
      <c r="T10166" t="s">
        <v>46623</v>
      </c>
      <c r="U10166" t="s">
        <v>55096</v>
      </c>
      <c r="V10166" t="s">
        <v>60146</v>
      </c>
      <c r="W10166" t="s">
        <v>41381</v>
      </c>
      <c r="X10166" t="s">
        <v>44915</v>
      </c>
    </row>
    <row r="10167" spans="1:24">
      <c r="A10167">
        <f>HYPERLINK("https://www.philgeps.gov.ph/GEPSNONPILOT/Tender/SplashBidNoticeAbstractUI.aspx?menuIndex=3&amp;refID=7068505&amp;Result=3","7068505")</f>
        <v>0</v>
      </c>
      <c r="B10167" t="s">
        <v>2432</v>
      </c>
      <c r="C10167" t="s">
        <v>13214</v>
      </c>
      <c r="D10167" t="s">
        <v>18107</v>
      </c>
      <c r="E10167" t="s">
        <v>27022</v>
      </c>
      <c r="F10167" t="s">
        <v>31362</v>
      </c>
      <c r="G10167" t="s">
        <v>31369</v>
      </c>
      <c r="H10167" t="s">
        <v>31378</v>
      </c>
      <c r="I10167" t="s">
        <v>31439</v>
      </c>
      <c r="J10167" t="s">
        <v>37500</v>
      </c>
      <c r="K10167" t="s">
        <v>40682</v>
      </c>
      <c r="M10167" t="s">
        <v>43590</v>
      </c>
      <c r="N10167" t="s">
        <v>44905</v>
      </c>
      <c r="O10167" t="s">
        <v>44906</v>
      </c>
      <c r="P10167">
        <v>0</v>
      </c>
      <c r="Q10167">
        <v>0</v>
      </c>
      <c r="R10167" t="s">
        <v>44914</v>
      </c>
      <c r="S10167" t="s">
        <v>45202</v>
      </c>
      <c r="T10167" t="s">
        <v>46464</v>
      </c>
      <c r="U10167" t="s">
        <v>55097</v>
      </c>
      <c r="W10167" t="s">
        <v>43590</v>
      </c>
      <c r="X10167" t="s">
        <v>44915</v>
      </c>
    </row>
    <row r="10168" spans="1:24">
      <c r="A10168">
        <f>HYPERLINK("https://www.philgeps.gov.ph/GEPSNONPILOT/Tender/SplashBidNoticeAbstractUI.aspx?menuIndex=3&amp;refID=7070129&amp;Result=3","7070129")</f>
        <v>0</v>
      </c>
      <c r="B10168" t="s">
        <v>430</v>
      </c>
      <c r="C10168" t="s">
        <v>13215</v>
      </c>
      <c r="D10168" t="s">
        <v>18112</v>
      </c>
      <c r="E10168" t="s">
        <v>27023</v>
      </c>
      <c r="F10168" t="s">
        <v>31362</v>
      </c>
      <c r="G10168" t="s">
        <v>31369</v>
      </c>
      <c r="H10168" t="s">
        <v>15799</v>
      </c>
      <c r="I10168" t="s">
        <v>3582</v>
      </c>
      <c r="J10168" t="s">
        <v>31625</v>
      </c>
      <c r="K10168" t="s">
        <v>40665</v>
      </c>
      <c r="M10168" t="s">
        <v>41381</v>
      </c>
      <c r="N10168" t="s">
        <v>44905</v>
      </c>
      <c r="O10168" t="s">
        <v>44906</v>
      </c>
      <c r="Q10168">
        <v>5</v>
      </c>
      <c r="R10168" t="s">
        <v>44914</v>
      </c>
      <c r="S10168" t="s">
        <v>45242</v>
      </c>
      <c r="T10168" t="s">
        <v>46623</v>
      </c>
      <c r="U10168" t="s">
        <v>55098</v>
      </c>
      <c r="V10168" t="s">
        <v>60146</v>
      </c>
      <c r="W10168" t="s">
        <v>41381</v>
      </c>
      <c r="X10168" t="s">
        <v>44915</v>
      </c>
    </row>
    <row r="10169" spans="1:24">
      <c r="A10169">
        <f>HYPERLINK("https://www.philgeps.gov.ph/GEPSNONPILOT/Tender/SplashBidNoticeAbstractUI.aspx?menuIndex=3&amp;refID=7070122&amp;Result=3","7070122")</f>
        <v>0</v>
      </c>
      <c r="B10169" t="s">
        <v>1519</v>
      </c>
      <c r="C10169" t="s">
        <v>13216</v>
      </c>
      <c r="D10169" t="s">
        <v>18108</v>
      </c>
      <c r="E10169" t="s">
        <v>27024</v>
      </c>
      <c r="F10169" t="s">
        <v>31362</v>
      </c>
      <c r="G10169" t="s">
        <v>31369</v>
      </c>
      <c r="H10169" t="s">
        <v>31378</v>
      </c>
      <c r="I10169" t="s">
        <v>31386</v>
      </c>
      <c r="J10169" t="s">
        <v>37724</v>
      </c>
      <c r="K10169" t="s">
        <v>40684</v>
      </c>
      <c r="M10169" t="s">
        <v>42656</v>
      </c>
      <c r="N10169" t="s">
        <v>44905</v>
      </c>
      <c r="O10169" t="s">
        <v>44906</v>
      </c>
      <c r="Q10169">
        <v>17</v>
      </c>
      <c r="R10169" t="s">
        <v>44914</v>
      </c>
      <c r="S10169" t="s">
        <v>45243</v>
      </c>
      <c r="T10169" t="s">
        <v>46504</v>
      </c>
      <c r="U10169" t="s">
        <v>50837</v>
      </c>
      <c r="W10169" t="s">
        <v>42656</v>
      </c>
      <c r="X10169" t="s">
        <v>44915</v>
      </c>
    </row>
    <row r="10170" spans="1:24">
      <c r="A10170">
        <f>HYPERLINK("https://www.philgeps.gov.ph/GEPSNONPILOT/Tender/SplashBidNoticeAbstractUI.aspx?menuIndex=3&amp;refID=7070064&amp;Result=3","7070064")</f>
        <v>0</v>
      </c>
      <c r="B10170" t="s">
        <v>2864</v>
      </c>
      <c r="C10170" t="s">
        <v>13217</v>
      </c>
      <c r="D10170" t="s">
        <v>18135</v>
      </c>
      <c r="E10170" t="s">
        <v>27025</v>
      </c>
      <c r="F10170" t="s">
        <v>31362</v>
      </c>
      <c r="G10170" t="s">
        <v>31369</v>
      </c>
      <c r="H10170" t="s">
        <v>31378</v>
      </c>
      <c r="I10170" t="s">
        <v>31386</v>
      </c>
      <c r="J10170" t="s">
        <v>37725</v>
      </c>
      <c r="K10170" t="s">
        <v>40748</v>
      </c>
      <c r="M10170" t="s">
        <v>44068</v>
      </c>
      <c r="N10170" t="s">
        <v>44905</v>
      </c>
      <c r="O10170" t="s">
        <v>44906</v>
      </c>
      <c r="P10170">
        <v>0</v>
      </c>
      <c r="Q10170">
        <v>0</v>
      </c>
      <c r="R10170" t="s">
        <v>44914</v>
      </c>
      <c r="S10170" t="s">
        <v>45202</v>
      </c>
      <c r="T10170" t="s">
        <v>46479</v>
      </c>
      <c r="U10170" t="s">
        <v>55060</v>
      </c>
      <c r="V10170" t="s">
        <v>60147</v>
      </c>
      <c r="W10170" t="s">
        <v>44068</v>
      </c>
      <c r="X10170" t="s">
        <v>44915</v>
      </c>
    </row>
    <row r="10171" spans="1:24">
      <c r="A10171">
        <f>HYPERLINK("https://www.philgeps.gov.ph/GEPSNONPILOT/Tender/SplashBidNoticeAbstractUI.aspx?menuIndex=3&amp;refID=7070119&amp;Result=3","7070119")</f>
        <v>0</v>
      </c>
      <c r="B10171" t="s">
        <v>430</v>
      </c>
      <c r="C10171" t="s">
        <v>13218</v>
      </c>
      <c r="D10171" t="s">
        <v>18112</v>
      </c>
      <c r="E10171" t="s">
        <v>27026</v>
      </c>
      <c r="F10171" t="s">
        <v>31362</v>
      </c>
      <c r="G10171" t="s">
        <v>31369</v>
      </c>
      <c r="H10171" t="s">
        <v>15799</v>
      </c>
      <c r="I10171" t="s">
        <v>31404</v>
      </c>
      <c r="J10171" t="s">
        <v>31625</v>
      </c>
      <c r="K10171" t="s">
        <v>40665</v>
      </c>
      <c r="M10171" t="s">
        <v>41381</v>
      </c>
      <c r="N10171" t="s">
        <v>44905</v>
      </c>
      <c r="O10171" t="s">
        <v>44906</v>
      </c>
      <c r="Q10171">
        <v>3</v>
      </c>
      <c r="R10171" t="s">
        <v>44914</v>
      </c>
      <c r="S10171" t="s">
        <v>45244</v>
      </c>
      <c r="T10171" t="s">
        <v>46636</v>
      </c>
      <c r="U10171" t="s">
        <v>55099</v>
      </c>
      <c r="V10171" t="s">
        <v>60148</v>
      </c>
      <c r="W10171" t="s">
        <v>41381</v>
      </c>
      <c r="X10171" t="s">
        <v>44915</v>
      </c>
    </row>
    <row r="10172" spans="1:24">
      <c r="A10172">
        <f>HYPERLINK("https://www.philgeps.gov.ph/GEPSNONPILOT/Tender/SplashBidNoticeAbstractUI.aspx?menuIndex=3&amp;refID=7070124&amp;Result=3","7070124")</f>
        <v>0</v>
      </c>
      <c r="B10172" t="s">
        <v>430</v>
      </c>
      <c r="C10172" t="s">
        <v>13219</v>
      </c>
      <c r="D10172" t="s">
        <v>18112</v>
      </c>
      <c r="E10172" t="s">
        <v>27027</v>
      </c>
      <c r="F10172" t="s">
        <v>31362</v>
      </c>
      <c r="G10172" t="s">
        <v>31369</v>
      </c>
      <c r="H10172" t="s">
        <v>15799</v>
      </c>
      <c r="I10172" t="s">
        <v>31404</v>
      </c>
      <c r="J10172" t="s">
        <v>31625</v>
      </c>
      <c r="K10172" t="s">
        <v>40665</v>
      </c>
      <c r="M10172" t="s">
        <v>41381</v>
      </c>
      <c r="N10172" t="s">
        <v>44905</v>
      </c>
      <c r="O10172" t="s">
        <v>44906</v>
      </c>
      <c r="P10172">
        <v>0</v>
      </c>
      <c r="Q10172">
        <v>4</v>
      </c>
      <c r="R10172" t="s">
        <v>44914</v>
      </c>
      <c r="S10172" t="s">
        <v>45202</v>
      </c>
      <c r="T10172" t="s">
        <v>46636</v>
      </c>
      <c r="U10172" t="s">
        <v>55100</v>
      </c>
      <c r="V10172" t="s">
        <v>60148</v>
      </c>
      <c r="W10172" t="s">
        <v>41381</v>
      </c>
      <c r="X10172" t="s">
        <v>44915</v>
      </c>
    </row>
    <row r="10173" spans="1:24">
      <c r="A10173">
        <f>HYPERLINK("https://www.philgeps.gov.ph/GEPSNONPILOT/Tender/SplashBidNoticeAbstractUI.aspx?menuIndex=3&amp;refID=7070134&amp;Result=3","7070134")</f>
        <v>0</v>
      </c>
      <c r="B10173" t="s">
        <v>800</v>
      </c>
      <c r="C10173" t="s">
        <v>13220</v>
      </c>
      <c r="D10173" t="s">
        <v>18130</v>
      </c>
      <c r="E10173" t="s">
        <v>27028</v>
      </c>
      <c r="F10173" t="s">
        <v>31362</v>
      </c>
      <c r="G10173" t="s">
        <v>31369</v>
      </c>
      <c r="H10173" t="s">
        <v>15799</v>
      </c>
      <c r="I10173" t="s">
        <v>31404</v>
      </c>
      <c r="J10173" t="s">
        <v>37726</v>
      </c>
      <c r="K10173" t="s">
        <v>40666</v>
      </c>
      <c r="M10173" t="s">
        <v>41770</v>
      </c>
      <c r="N10173" t="s">
        <v>44905</v>
      </c>
      <c r="O10173" t="s">
        <v>44906</v>
      </c>
      <c r="P10173">
        <v>0</v>
      </c>
      <c r="Q10173">
        <v>0</v>
      </c>
      <c r="R10173" t="s">
        <v>44914</v>
      </c>
      <c r="S10173" t="s">
        <v>45202</v>
      </c>
      <c r="T10173" t="s">
        <v>46479</v>
      </c>
      <c r="U10173" t="s">
        <v>55101</v>
      </c>
      <c r="W10173" t="s">
        <v>41770</v>
      </c>
      <c r="X10173" t="s">
        <v>44915</v>
      </c>
    </row>
    <row r="10174" spans="1:24">
      <c r="A10174">
        <f>HYPERLINK("https://www.philgeps.gov.ph/GEPSNONPILOT/Tender/SplashBidNoticeAbstractUI.aspx?menuIndex=3&amp;refID=7070121&amp;Result=3","7070121")</f>
        <v>0</v>
      </c>
      <c r="B10174" t="s">
        <v>2866</v>
      </c>
      <c r="C10174" t="s">
        <v>13221</v>
      </c>
      <c r="D10174" t="s">
        <v>18110</v>
      </c>
      <c r="E10174" t="s">
        <v>18476</v>
      </c>
      <c r="F10174" t="s">
        <v>31362</v>
      </c>
      <c r="G10174" t="s">
        <v>31369</v>
      </c>
      <c r="H10174" t="s">
        <v>15799</v>
      </c>
      <c r="I10174" t="s">
        <v>3815</v>
      </c>
      <c r="J10174" t="s">
        <v>37727</v>
      </c>
      <c r="K10174" t="s">
        <v>40661</v>
      </c>
      <c r="M10174" t="s">
        <v>44070</v>
      </c>
      <c r="N10174" t="s">
        <v>44905</v>
      </c>
      <c r="O10174" t="s">
        <v>44906</v>
      </c>
      <c r="P10174">
        <v>0</v>
      </c>
      <c r="Q10174">
        <v>0</v>
      </c>
      <c r="R10174" t="s">
        <v>44914</v>
      </c>
      <c r="S10174" t="s">
        <v>45202</v>
      </c>
      <c r="T10174" t="s">
        <v>46498</v>
      </c>
      <c r="U10174" t="s">
        <v>55102</v>
      </c>
      <c r="W10174" t="s">
        <v>44070</v>
      </c>
      <c r="X10174" t="s">
        <v>44915</v>
      </c>
    </row>
    <row r="10175" spans="1:24">
      <c r="A10175">
        <f>HYPERLINK("https://www.philgeps.gov.ph/GEPSNONPILOT/Tender/SplashBidNoticeAbstractUI.aspx?menuIndex=3&amp;refID=7070114&amp;Result=3","7070114")</f>
        <v>0</v>
      </c>
      <c r="B10175" t="s">
        <v>2101</v>
      </c>
      <c r="C10175" t="s">
        <v>13222</v>
      </c>
      <c r="E10175" t="s">
        <v>27029</v>
      </c>
      <c r="F10175" t="s">
        <v>31362</v>
      </c>
      <c r="G10175" t="s">
        <v>31369</v>
      </c>
      <c r="H10175" t="s">
        <v>31378</v>
      </c>
      <c r="I10175" t="s">
        <v>31386</v>
      </c>
      <c r="J10175" t="s">
        <v>31542</v>
      </c>
      <c r="K10175" t="s">
        <v>40679</v>
      </c>
      <c r="M10175" t="s">
        <v>43225</v>
      </c>
      <c r="N10175" t="s">
        <v>44905</v>
      </c>
      <c r="O10175" t="s">
        <v>44906</v>
      </c>
      <c r="Q10175">
        <v>0</v>
      </c>
      <c r="R10175" t="s">
        <v>44914</v>
      </c>
      <c r="S10175" t="s">
        <v>45245</v>
      </c>
      <c r="T10175" t="s">
        <v>46486</v>
      </c>
      <c r="U10175" t="s">
        <v>55103</v>
      </c>
      <c r="V10175" t="s">
        <v>59733</v>
      </c>
      <c r="W10175" t="s">
        <v>43225</v>
      </c>
      <c r="X10175" t="s">
        <v>44915</v>
      </c>
    </row>
    <row r="10176" spans="1:24">
      <c r="A10176">
        <f>HYPERLINK("https://www.philgeps.gov.ph/GEPSNONPILOT/Tender/SplashBidNoticeAbstractUI.aspx?menuIndex=3&amp;refID=7070118&amp;Result=3","7070118")</f>
        <v>0</v>
      </c>
      <c r="B10176" t="s">
        <v>276</v>
      </c>
      <c r="C10176" t="s">
        <v>13223</v>
      </c>
      <c r="D10176" t="s">
        <v>18106</v>
      </c>
      <c r="E10176" t="s">
        <v>27030</v>
      </c>
      <c r="F10176" t="s">
        <v>31362</v>
      </c>
      <c r="G10176" t="s">
        <v>31369</v>
      </c>
      <c r="H10176" t="s">
        <v>15799</v>
      </c>
      <c r="I10176" t="s">
        <v>31414</v>
      </c>
      <c r="J10176" t="s">
        <v>31634</v>
      </c>
      <c r="K10176" t="s">
        <v>40665</v>
      </c>
      <c r="M10176" t="s">
        <v>41218</v>
      </c>
      <c r="N10176" t="s">
        <v>44905</v>
      </c>
      <c r="O10176" t="s">
        <v>44906</v>
      </c>
      <c r="P10176">
        <v>0</v>
      </c>
      <c r="Q10176">
        <v>4</v>
      </c>
      <c r="R10176" t="s">
        <v>44914</v>
      </c>
      <c r="S10176" t="s">
        <v>45202</v>
      </c>
      <c r="T10176" t="s">
        <v>46524</v>
      </c>
      <c r="U10176" t="s">
        <v>55104</v>
      </c>
      <c r="V10176" t="s">
        <v>54811</v>
      </c>
      <c r="W10176" t="s">
        <v>41218</v>
      </c>
      <c r="X10176" t="s">
        <v>44915</v>
      </c>
    </row>
    <row r="10177" spans="1:24">
      <c r="A10177">
        <f>HYPERLINK("https://www.philgeps.gov.ph/GEPSNONPILOT/Tender/SplashBidNoticeAbstractUI.aspx?menuIndex=3&amp;refID=7070116&amp;Result=3","7070116")</f>
        <v>0</v>
      </c>
      <c r="B10177" t="s">
        <v>430</v>
      </c>
      <c r="C10177" t="s">
        <v>13224</v>
      </c>
      <c r="D10177" t="s">
        <v>18112</v>
      </c>
      <c r="E10177" t="s">
        <v>27031</v>
      </c>
      <c r="F10177" t="s">
        <v>31362</v>
      </c>
      <c r="G10177" t="s">
        <v>31369</v>
      </c>
      <c r="H10177" t="s">
        <v>15799</v>
      </c>
      <c r="I10177" t="s">
        <v>31392</v>
      </c>
      <c r="J10177" t="s">
        <v>31898</v>
      </c>
      <c r="K10177" t="s">
        <v>40665</v>
      </c>
      <c r="M10177" t="s">
        <v>41381</v>
      </c>
      <c r="N10177" t="s">
        <v>44905</v>
      </c>
      <c r="O10177" t="s">
        <v>44906</v>
      </c>
      <c r="P10177">
        <v>0</v>
      </c>
      <c r="Q10177">
        <v>8</v>
      </c>
      <c r="R10177" t="s">
        <v>44914</v>
      </c>
      <c r="S10177" t="s">
        <v>45202</v>
      </c>
      <c r="T10177" t="s">
        <v>46636</v>
      </c>
      <c r="U10177" t="s">
        <v>55105</v>
      </c>
      <c r="V10177" t="s">
        <v>60148</v>
      </c>
      <c r="W10177" t="s">
        <v>41381</v>
      </c>
      <c r="X10177" t="s">
        <v>44915</v>
      </c>
    </row>
    <row r="10178" spans="1:24">
      <c r="A10178">
        <f>HYPERLINK("https://www.philgeps.gov.ph/GEPSNONPILOT/Tender/SplashBidNoticeAbstractUI.aspx?menuIndex=3&amp;refID=7068501&amp;Result=3","7068501")</f>
        <v>0</v>
      </c>
      <c r="B10178" t="s">
        <v>1037</v>
      </c>
      <c r="C10178" t="s">
        <v>13225</v>
      </c>
      <c r="D10178" t="s">
        <v>18146</v>
      </c>
      <c r="E10178" t="s">
        <v>27032</v>
      </c>
      <c r="F10178" t="s">
        <v>31362</v>
      </c>
      <c r="G10178" t="s">
        <v>31369</v>
      </c>
      <c r="H10178" t="s">
        <v>31378</v>
      </c>
      <c r="I10178" t="s">
        <v>31386</v>
      </c>
      <c r="J10178" t="s">
        <v>37728</v>
      </c>
      <c r="K10178" t="s">
        <v>40767</v>
      </c>
      <c r="M10178" t="s">
        <v>43675</v>
      </c>
      <c r="N10178" t="s">
        <v>44905</v>
      </c>
      <c r="O10178" t="s">
        <v>44906</v>
      </c>
      <c r="P10178">
        <v>0</v>
      </c>
      <c r="Q10178">
        <v>0</v>
      </c>
      <c r="R10178" t="s">
        <v>44914</v>
      </c>
      <c r="S10178" t="s">
        <v>45202</v>
      </c>
      <c r="T10178" t="s">
        <v>46418</v>
      </c>
      <c r="U10178" t="s">
        <v>55106</v>
      </c>
      <c r="V10178" t="s">
        <v>60149</v>
      </c>
      <c r="W10178" t="s">
        <v>43675</v>
      </c>
      <c r="X10178" t="s">
        <v>44915</v>
      </c>
    </row>
    <row r="10179" spans="1:24">
      <c r="A10179">
        <f>HYPERLINK("https://www.philgeps.gov.ph/GEPSNONPILOT/Tender/SplashBidNoticeAbstractUI.aspx?menuIndex=3&amp;refID=7070107&amp;Result=3","7070107")</f>
        <v>0</v>
      </c>
      <c r="B10179" t="s">
        <v>2078</v>
      </c>
      <c r="C10179" t="s">
        <v>13226</v>
      </c>
      <c r="D10179" t="s">
        <v>18179</v>
      </c>
      <c r="E10179" t="s">
        <v>27033</v>
      </c>
      <c r="F10179" t="s">
        <v>31362</v>
      </c>
      <c r="G10179" t="s">
        <v>31369</v>
      </c>
      <c r="H10179" t="s">
        <v>31378</v>
      </c>
      <c r="I10179" t="s">
        <v>31386</v>
      </c>
      <c r="J10179" t="s">
        <v>37606</v>
      </c>
      <c r="K10179" t="s">
        <v>40666</v>
      </c>
      <c r="M10179" t="s">
        <v>43200</v>
      </c>
      <c r="N10179" t="s">
        <v>44905</v>
      </c>
      <c r="O10179" t="s">
        <v>44906</v>
      </c>
      <c r="P10179">
        <v>0</v>
      </c>
      <c r="Q10179">
        <v>0</v>
      </c>
      <c r="R10179" t="s">
        <v>44914</v>
      </c>
      <c r="S10179" t="s">
        <v>45202</v>
      </c>
      <c r="T10179" t="s">
        <v>46479</v>
      </c>
      <c r="U10179" t="s">
        <v>52449</v>
      </c>
      <c r="W10179" t="s">
        <v>43200</v>
      </c>
      <c r="X10179" t="s">
        <v>44915</v>
      </c>
    </row>
    <row r="10180" spans="1:24">
      <c r="A10180">
        <f>HYPERLINK("https://www.philgeps.gov.ph/GEPSNONPILOT/Tender/SplashBidNoticeAbstractUI.aspx?menuIndex=3&amp;refID=7070104&amp;Result=3","7070104")</f>
        <v>0</v>
      </c>
      <c r="B10180" t="s">
        <v>276</v>
      </c>
      <c r="C10180" t="s">
        <v>13227</v>
      </c>
      <c r="D10180" t="s">
        <v>18106</v>
      </c>
      <c r="E10180" t="s">
        <v>27034</v>
      </c>
      <c r="F10180" t="s">
        <v>31362</v>
      </c>
      <c r="G10180" t="s">
        <v>31369</v>
      </c>
      <c r="H10180" t="s">
        <v>15799</v>
      </c>
      <c r="I10180" t="s">
        <v>7188</v>
      </c>
      <c r="J10180" t="s">
        <v>37729</v>
      </c>
      <c r="K10180" t="s">
        <v>40665</v>
      </c>
      <c r="M10180" t="s">
        <v>41218</v>
      </c>
      <c r="N10180" t="s">
        <v>44905</v>
      </c>
      <c r="O10180" t="s">
        <v>44906</v>
      </c>
      <c r="P10180">
        <v>0</v>
      </c>
      <c r="Q10180">
        <v>4</v>
      </c>
      <c r="R10180" t="s">
        <v>44914</v>
      </c>
      <c r="S10180" t="s">
        <v>45202</v>
      </c>
      <c r="T10180" t="s">
        <v>46524</v>
      </c>
      <c r="U10180" t="s">
        <v>55107</v>
      </c>
      <c r="V10180" t="s">
        <v>54811</v>
      </c>
      <c r="W10180" t="s">
        <v>41218</v>
      </c>
      <c r="X10180" t="s">
        <v>44915</v>
      </c>
    </row>
    <row r="10181" spans="1:24">
      <c r="A10181">
        <f>HYPERLINK("https://www.philgeps.gov.ph/GEPSNONPILOT/Tender/SplashBidNoticeAbstractUI.aspx?menuIndex=3&amp;refID=7068384&amp;Result=3","7068384")</f>
        <v>0</v>
      </c>
      <c r="B10181" t="s">
        <v>2811</v>
      </c>
      <c r="C10181" t="s">
        <v>13228</v>
      </c>
      <c r="D10181" t="s">
        <v>18153</v>
      </c>
      <c r="E10181" t="s">
        <v>19313</v>
      </c>
      <c r="F10181" t="s">
        <v>31362</v>
      </c>
      <c r="G10181" t="s">
        <v>31369</v>
      </c>
      <c r="H10181" t="s">
        <v>15799</v>
      </c>
      <c r="I10181" t="s">
        <v>31404</v>
      </c>
      <c r="J10181" t="s">
        <v>37534</v>
      </c>
      <c r="K10181" t="s">
        <v>40661</v>
      </c>
      <c r="L10181" t="s">
        <v>2811</v>
      </c>
      <c r="M10181" t="s">
        <v>44010</v>
      </c>
      <c r="N10181" t="s">
        <v>44905</v>
      </c>
      <c r="O10181" t="s">
        <v>44906</v>
      </c>
      <c r="P10181">
        <v>0</v>
      </c>
      <c r="Q10181">
        <v>0</v>
      </c>
      <c r="R10181" t="s">
        <v>44914</v>
      </c>
      <c r="S10181" t="s">
        <v>45202</v>
      </c>
      <c r="T10181" t="s">
        <v>46409</v>
      </c>
      <c r="U10181" t="s">
        <v>55108</v>
      </c>
      <c r="V10181" t="s">
        <v>60150</v>
      </c>
      <c r="W10181" t="s">
        <v>44010</v>
      </c>
      <c r="X10181" t="s">
        <v>44915</v>
      </c>
    </row>
    <row r="10182" spans="1:24">
      <c r="A10182">
        <f>HYPERLINK("https://www.philgeps.gov.ph/GEPSNONPILOT/Tender/SplashBidNoticeAbstractUI.aspx?menuIndex=3&amp;refID=7068028&amp;Result=3","7068028")</f>
        <v>0</v>
      </c>
      <c r="B10182" t="s">
        <v>232</v>
      </c>
      <c r="C10182" t="s">
        <v>13229</v>
      </c>
      <c r="D10182" t="s">
        <v>18101</v>
      </c>
      <c r="E10182" t="s">
        <v>27035</v>
      </c>
      <c r="F10182" t="s">
        <v>31362</v>
      </c>
      <c r="G10182" t="s">
        <v>31368</v>
      </c>
      <c r="H10182" t="s">
        <v>15799</v>
      </c>
      <c r="I10182" t="s">
        <v>31385</v>
      </c>
      <c r="J10182" t="s">
        <v>37730</v>
      </c>
      <c r="K10182" t="s">
        <v>40661</v>
      </c>
      <c r="M10182" t="s">
        <v>41171</v>
      </c>
      <c r="N10182" t="s">
        <v>44905</v>
      </c>
      <c r="O10182" t="s">
        <v>44906</v>
      </c>
      <c r="P10182">
        <v>0</v>
      </c>
      <c r="Q10182">
        <v>0</v>
      </c>
      <c r="R10182" t="s">
        <v>44914</v>
      </c>
      <c r="S10182" t="s">
        <v>45202</v>
      </c>
      <c r="T10182" t="s">
        <v>46409</v>
      </c>
      <c r="U10182" t="s">
        <v>55109</v>
      </c>
      <c r="W10182" t="s">
        <v>41171</v>
      </c>
      <c r="X10182" t="s">
        <v>44915</v>
      </c>
    </row>
    <row r="10183" spans="1:24">
      <c r="A10183">
        <f>HYPERLINK("https://www.philgeps.gov.ph/GEPSNONPILOT/Tender/SplashBidNoticeAbstractUI.aspx?menuIndex=3&amp;refID=7070103&amp;Result=3","7070103")</f>
        <v>0</v>
      </c>
      <c r="B10183" t="s">
        <v>2101</v>
      </c>
      <c r="C10183" t="s">
        <v>13230</v>
      </c>
      <c r="E10183" t="s">
        <v>27036</v>
      </c>
      <c r="F10183" t="s">
        <v>31362</v>
      </c>
      <c r="G10183" t="s">
        <v>31369</v>
      </c>
      <c r="H10183" t="s">
        <v>31378</v>
      </c>
      <c r="I10183" t="s">
        <v>31386</v>
      </c>
      <c r="J10183" t="s">
        <v>33300</v>
      </c>
      <c r="K10183" t="s">
        <v>40679</v>
      </c>
      <c r="M10183" t="s">
        <v>43225</v>
      </c>
      <c r="N10183" t="s">
        <v>44905</v>
      </c>
      <c r="O10183" t="s">
        <v>44906</v>
      </c>
      <c r="Q10183">
        <v>0</v>
      </c>
      <c r="R10183" t="s">
        <v>44914</v>
      </c>
      <c r="S10183" t="s">
        <v>45246</v>
      </c>
      <c r="T10183" t="s">
        <v>46486</v>
      </c>
      <c r="U10183" t="s">
        <v>55103</v>
      </c>
      <c r="V10183" t="s">
        <v>59733</v>
      </c>
      <c r="W10183" t="s">
        <v>43225</v>
      </c>
      <c r="X10183" t="s">
        <v>44915</v>
      </c>
    </row>
    <row r="10184" spans="1:24">
      <c r="A10184">
        <f>HYPERLINK("https://www.philgeps.gov.ph/GEPSNONPILOT/Tender/SplashBidNoticeAbstractUI.aspx?menuIndex=3&amp;refID=7068027&amp;Result=3","7068027")</f>
        <v>0</v>
      </c>
      <c r="B10184" t="s">
        <v>834</v>
      </c>
      <c r="C10184" t="s">
        <v>13231</v>
      </c>
      <c r="D10184" t="s">
        <v>18108</v>
      </c>
      <c r="E10184" t="s">
        <v>27037</v>
      </c>
      <c r="F10184" t="s">
        <v>31362</v>
      </c>
      <c r="G10184" t="s">
        <v>31372</v>
      </c>
      <c r="H10184" t="s">
        <v>31378</v>
      </c>
      <c r="I10184" t="s">
        <v>31386</v>
      </c>
      <c r="J10184" t="s">
        <v>33046</v>
      </c>
      <c r="K10184" t="s">
        <v>40682</v>
      </c>
      <c r="M10184" t="s">
        <v>41808</v>
      </c>
      <c r="N10184" t="s">
        <v>44905</v>
      </c>
      <c r="O10184" t="s">
        <v>44906</v>
      </c>
      <c r="P10184">
        <v>0</v>
      </c>
      <c r="Q10184">
        <v>1</v>
      </c>
      <c r="R10184" t="s">
        <v>44914</v>
      </c>
      <c r="S10184" t="s">
        <v>45202</v>
      </c>
      <c r="T10184" t="s">
        <v>46616</v>
      </c>
      <c r="U10184" t="s">
        <v>55110</v>
      </c>
      <c r="V10184" t="s">
        <v>59265</v>
      </c>
      <c r="W10184" t="s">
        <v>41808</v>
      </c>
      <c r="X10184" t="s">
        <v>44915</v>
      </c>
    </row>
    <row r="10185" spans="1:24">
      <c r="A10185">
        <f>HYPERLINK("https://www.philgeps.gov.ph/GEPSNONPILOT/Tender/SplashBidNoticeAbstractUI.aspx?menuIndex=3&amp;refID=7068009&amp;Result=3","7068009")</f>
        <v>0</v>
      </c>
      <c r="B10185" t="s">
        <v>571</v>
      </c>
      <c r="C10185" t="s">
        <v>13232</v>
      </c>
      <c r="D10185" t="s">
        <v>18154</v>
      </c>
      <c r="E10185" t="s">
        <v>27038</v>
      </c>
      <c r="F10185" t="s">
        <v>31362</v>
      </c>
      <c r="G10185" t="s">
        <v>31368</v>
      </c>
      <c r="H10185" t="s">
        <v>15799</v>
      </c>
      <c r="I10185" t="s">
        <v>31455</v>
      </c>
      <c r="J10185" t="s">
        <v>31897</v>
      </c>
      <c r="K10185" t="s">
        <v>40693</v>
      </c>
      <c r="M10185" t="s">
        <v>41527</v>
      </c>
      <c r="N10185" t="s">
        <v>44905</v>
      </c>
      <c r="O10185" t="s">
        <v>44906</v>
      </c>
      <c r="Q10185">
        <v>0</v>
      </c>
      <c r="R10185" t="s">
        <v>44914</v>
      </c>
      <c r="S10185" t="s">
        <v>45247</v>
      </c>
      <c r="T10185" t="s">
        <v>46454</v>
      </c>
      <c r="U10185" t="s">
        <v>55111</v>
      </c>
      <c r="W10185" t="s">
        <v>41527</v>
      </c>
      <c r="X10185" t="s">
        <v>44915</v>
      </c>
    </row>
    <row r="10186" spans="1:24">
      <c r="A10186">
        <f>HYPERLINK("https://www.philgeps.gov.ph/GEPSNONPILOT/Tender/SplashBidNoticeAbstractUI.aspx?menuIndex=3&amp;refID=7068008&amp;Result=3","7068008")</f>
        <v>0</v>
      </c>
      <c r="B10186" t="s">
        <v>2871</v>
      </c>
      <c r="C10186" t="s">
        <v>10459</v>
      </c>
      <c r="D10186" t="s">
        <v>18118</v>
      </c>
      <c r="E10186" t="s">
        <v>19313</v>
      </c>
      <c r="F10186" t="s">
        <v>31362</v>
      </c>
      <c r="G10186" t="s">
        <v>31369</v>
      </c>
      <c r="H10186" t="s">
        <v>15799</v>
      </c>
      <c r="I10186" t="s">
        <v>31421</v>
      </c>
      <c r="J10186" t="s">
        <v>31724</v>
      </c>
      <c r="K10186" t="s">
        <v>40670</v>
      </c>
      <c r="M10186" t="s">
        <v>44077</v>
      </c>
      <c r="N10186" t="s">
        <v>44905</v>
      </c>
      <c r="O10186" t="s">
        <v>44906</v>
      </c>
      <c r="P10186">
        <v>0</v>
      </c>
      <c r="Q10186">
        <v>2</v>
      </c>
      <c r="R10186" t="s">
        <v>44914</v>
      </c>
      <c r="S10186" t="s">
        <v>45202</v>
      </c>
      <c r="T10186" t="s">
        <v>46410</v>
      </c>
      <c r="U10186" t="s">
        <v>55112</v>
      </c>
      <c r="W10186" t="s">
        <v>44077</v>
      </c>
      <c r="X10186" t="s">
        <v>44915</v>
      </c>
    </row>
    <row r="10187" spans="1:24">
      <c r="A10187">
        <f>HYPERLINK("https://www.philgeps.gov.ph/GEPSNONPILOT/Tender/SplashBidNoticeAbstractUI.aspx?menuIndex=3&amp;refID=7070111&amp;Result=3","7070111")</f>
        <v>0</v>
      </c>
      <c r="B10187" t="s">
        <v>2101</v>
      </c>
      <c r="C10187" t="s">
        <v>13233</v>
      </c>
      <c r="E10187" t="s">
        <v>27039</v>
      </c>
      <c r="F10187" t="s">
        <v>31362</v>
      </c>
      <c r="G10187" t="s">
        <v>31369</v>
      </c>
      <c r="H10187" t="s">
        <v>31378</v>
      </c>
      <c r="I10187" t="s">
        <v>31386</v>
      </c>
      <c r="J10187" t="s">
        <v>31615</v>
      </c>
      <c r="K10187" t="s">
        <v>40679</v>
      </c>
      <c r="M10187" t="s">
        <v>43225</v>
      </c>
      <c r="N10187" t="s">
        <v>44905</v>
      </c>
      <c r="O10187" t="s">
        <v>44906</v>
      </c>
      <c r="Q10187">
        <v>0</v>
      </c>
      <c r="R10187" t="s">
        <v>44914</v>
      </c>
      <c r="S10187" t="s">
        <v>45248</v>
      </c>
      <c r="T10187" t="s">
        <v>46486</v>
      </c>
      <c r="U10187" t="s">
        <v>55103</v>
      </c>
      <c r="V10187" t="s">
        <v>59733</v>
      </c>
      <c r="W10187" t="s">
        <v>43225</v>
      </c>
      <c r="X10187" t="s">
        <v>44915</v>
      </c>
    </row>
    <row r="10188" spans="1:24">
      <c r="A10188">
        <f>HYPERLINK("https://www.philgeps.gov.ph/GEPSNONPILOT/Tender/SplashBidNoticeAbstractUI.aspx?menuIndex=3&amp;refID=7068006&amp;Result=3","7068006")</f>
        <v>0</v>
      </c>
      <c r="B10188" t="s">
        <v>2027</v>
      </c>
      <c r="C10188" t="s">
        <v>13234</v>
      </c>
      <c r="D10188" t="s">
        <v>18117</v>
      </c>
      <c r="E10188" t="s">
        <v>27040</v>
      </c>
      <c r="F10188" t="s">
        <v>31362</v>
      </c>
      <c r="G10188" t="s">
        <v>31369</v>
      </c>
      <c r="H10188" t="s">
        <v>15799</v>
      </c>
      <c r="I10188" t="s">
        <v>31456</v>
      </c>
      <c r="J10188" t="s">
        <v>37731</v>
      </c>
      <c r="K10188" t="s">
        <v>40682</v>
      </c>
      <c r="M10188" t="s">
        <v>43144</v>
      </c>
      <c r="N10188" t="s">
        <v>44905</v>
      </c>
      <c r="O10188" t="s">
        <v>44906</v>
      </c>
      <c r="P10188">
        <v>0</v>
      </c>
      <c r="Q10188">
        <v>6</v>
      </c>
      <c r="R10188" t="s">
        <v>44914</v>
      </c>
      <c r="S10188" t="s">
        <v>45202</v>
      </c>
      <c r="T10188" t="s">
        <v>46419</v>
      </c>
      <c r="U10188" t="s">
        <v>55113</v>
      </c>
      <c r="W10188" t="s">
        <v>43144</v>
      </c>
      <c r="X10188" t="s">
        <v>44915</v>
      </c>
    </row>
    <row r="10189" spans="1:24">
      <c r="A10189">
        <f>HYPERLINK("https://www.philgeps.gov.ph/GEPSNONPILOT/Tender/SplashBidNoticeAbstractUI.aspx?menuIndex=3&amp;refID=7067897&amp;Result=3","7067897")</f>
        <v>0</v>
      </c>
      <c r="B10189" t="s">
        <v>1002</v>
      </c>
      <c r="C10189" t="s">
        <v>13235</v>
      </c>
      <c r="E10189" t="s">
        <v>27041</v>
      </c>
      <c r="F10189" t="s">
        <v>31362</v>
      </c>
      <c r="G10189" t="s">
        <v>31368</v>
      </c>
      <c r="H10189" t="s">
        <v>15799</v>
      </c>
      <c r="I10189" t="s">
        <v>31410</v>
      </c>
      <c r="J10189" t="s">
        <v>33084</v>
      </c>
      <c r="K10189" t="s">
        <v>40665</v>
      </c>
      <c r="M10189" t="s">
        <v>43978</v>
      </c>
      <c r="N10189" t="s">
        <v>44905</v>
      </c>
      <c r="O10189" t="s">
        <v>44906</v>
      </c>
      <c r="P10189">
        <v>0</v>
      </c>
      <c r="Q10189">
        <v>0</v>
      </c>
      <c r="R10189" t="s">
        <v>44914</v>
      </c>
      <c r="S10189" t="s">
        <v>45202</v>
      </c>
      <c r="T10189" t="s">
        <v>46443</v>
      </c>
      <c r="U10189" t="s">
        <v>55114</v>
      </c>
      <c r="W10189" t="s">
        <v>60940</v>
      </c>
      <c r="X10189" t="s">
        <v>44915</v>
      </c>
    </row>
    <row r="10190" spans="1:24">
      <c r="A10190">
        <f>HYPERLINK("https://www.philgeps.gov.ph/GEPSNONPILOT/Tender/SplashBidNoticeAbstractUI.aspx?menuIndex=3&amp;refID=7070106&amp;Result=3","7070106")</f>
        <v>0</v>
      </c>
      <c r="B10190" t="s">
        <v>430</v>
      </c>
      <c r="C10190" t="s">
        <v>13236</v>
      </c>
      <c r="D10190" t="s">
        <v>18112</v>
      </c>
      <c r="E10190" t="s">
        <v>27042</v>
      </c>
      <c r="F10190" t="s">
        <v>31362</v>
      </c>
      <c r="G10190" t="s">
        <v>31369</v>
      </c>
      <c r="H10190" t="s">
        <v>15799</v>
      </c>
      <c r="I10190" t="s">
        <v>3582</v>
      </c>
      <c r="J10190" t="s">
        <v>31625</v>
      </c>
      <c r="K10190" t="s">
        <v>40665</v>
      </c>
      <c r="M10190" t="s">
        <v>41381</v>
      </c>
      <c r="N10190" t="s">
        <v>44905</v>
      </c>
      <c r="O10190" t="s">
        <v>44906</v>
      </c>
      <c r="P10190">
        <v>0</v>
      </c>
      <c r="Q10190">
        <v>2</v>
      </c>
      <c r="R10190" t="s">
        <v>44914</v>
      </c>
      <c r="S10190" t="s">
        <v>45202</v>
      </c>
      <c r="T10190" t="s">
        <v>46636</v>
      </c>
      <c r="U10190" t="s">
        <v>55115</v>
      </c>
      <c r="V10190" t="s">
        <v>60148</v>
      </c>
      <c r="W10190" t="s">
        <v>41381</v>
      </c>
      <c r="X10190" t="s">
        <v>44915</v>
      </c>
    </row>
    <row r="10191" spans="1:24">
      <c r="A10191">
        <f>HYPERLINK("https://www.philgeps.gov.ph/GEPSNONPILOT/Tender/SplashBidNoticeAbstractUI.aspx?menuIndex=3&amp;refID=7067889&amp;Result=3","7067889")</f>
        <v>0</v>
      </c>
      <c r="B10191" t="s">
        <v>612</v>
      </c>
      <c r="C10191" t="s">
        <v>13237</v>
      </c>
      <c r="D10191" t="s">
        <v>18103</v>
      </c>
      <c r="E10191" t="s">
        <v>27043</v>
      </c>
      <c r="F10191" t="s">
        <v>31362</v>
      </c>
      <c r="G10191" t="s">
        <v>31369</v>
      </c>
      <c r="H10191" t="s">
        <v>15799</v>
      </c>
      <c r="I10191" t="s">
        <v>4942</v>
      </c>
      <c r="J10191" t="s">
        <v>37732</v>
      </c>
      <c r="K10191" t="s">
        <v>40665</v>
      </c>
      <c r="M10191" t="s">
        <v>41570</v>
      </c>
      <c r="N10191" t="s">
        <v>44905</v>
      </c>
      <c r="O10191" t="s">
        <v>44906</v>
      </c>
      <c r="P10191">
        <v>0</v>
      </c>
      <c r="Q10191">
        <v>6</v>
      </c>
      <c r="R10191" t="s">
        <v>44914</v>
      </c>
      <c r="S10191" t="s">
        <v>45202</v>
      </c>
      <c r="T10191" t="s">
        <v>46508</v>
      </c>
      <c r="U10191" t="s">
        <v>55116</v>
      </c>
      <c r="W10191" t="s">
        <v>41570</v>
      </c>
      <c r="X10191" t="s">
        <v>44915</v>
      </c>
    </row>
    <row r="10192" spans="1:24">
      <c r="A10192">
        <f>HYPERLINK("https://www.philgeps.gov.ph/GEPSNONPILOT/Tender/SplashBidNoticeAbstractUI.aspx?menuIndex=3&amp;refID=7070177&amp;Result=3","7070177")</f>
        <v>0</v>
      </c>
      <c r="B10192" t="s">
        <v>1373</v>
      </c>
      <c r="C10192" t="s">
        <v>13238</v>
      </c>
      <c r="D10192" t="s">
        <v>18109</v>
      </c>
      <c r="E10192" t="s">
        <v>27044</v>
      </c>
      <c r="F10192" t="s">
        <v>31362</v>
      </c>
      <c r="G10192" t="s">
        <v>31369</v>
      </c>
      <c r="H10192" t="s">
        <v>15799</v>
      </c>
      <c r="I10192" t="s">
        <v>31409</v>
      </c>
      <c r="J10192" t="s">
        <v>37733</v>
      </c>
      <c r="K10192" t="s">
        <v>40686</v>
      </c>
      <c r="M10192" t="s">
        <v>44078</v>
      </c>
      <c r="N10192" t="s">
        <v>44905</v>
      </c>
      <c r="O10192" t="s">
        <v>44906</v>
      </c>
      <c r="Q10192">
        <v>9</v>
      </c>
      <c r="R10192" t="s">
        <v>44914</v>
      </c>
      <c r="S10192" t="s">
        <v>45249</v>
      </c>
      <c r="T10192" t="s">
        <v>46511</v>
      </c>
      <c r="U10192" t="s">
        <v>55117</v>
      </c>
      <c r="W10192" t="s">
        <v>44078</v>
      </c>
      <c r="X10192" t="s">
        <v>44915</v>
      </c>
    </row>
    <row r="10193" spans="1:24">
      <c r="A10193">
        <f>HYPERLINK("https://www.philgeps.gov.ph/GEPSNONPILOT/Tender/SplashBidNoticeAbstractUI.aspx?menuIndex=3&amp;refID=7070105&amp;Result=3","7070105")</f>
        <v>0</v>
      </c>
      <c r="B10193" t="s">
        <v>1519</v>
      </c>
      <c r="C10193" t="s">
        <v>13239</v>
      </c>
      <c r="D10193" t="s">
        <v>18108</v>
      </c>
      <c r="E10193" t="s">
        <v>27045</v>
      </c>
      <c r="F10193" t="s">
        <v>31362</v>
      </c>
      <c r="G10193" t="s">
        <v>31369</v>
      </c>
      <c r="H10193" t="s">
        <v>31378</v>
      </c>
      <c r="I10193" t="s">
        <v>31386</v>
      </c>
      <c r="J10193" t="s">
        <v>37734</v>
      </c>
      <c r="K10193" t="s">
        <v>40692</v>
      </c>
      <c r="M10193" t="s">
        <v>42656</v>
      </c>
      <c r="N10193" t="s">
        <v>44905</v>
      </c>
      <c r="O10193" t="s">
        <v>44906</v>
      </c>
      <c r="Q10193">
        <v>17</v>
      </c>
      <c r="R10193" t="s">
        <v>44914</v>
      </c>
      <c r="S10193" t="s">
        <v>45250</v>
      </c>
      <c r="T10193" t="s">
        <v>46504</v>
      </c>
      <c r="U10193" t="s">
        <v>50837</v>
      </c>
      <c r="W10193" t="s">
        <v>42656</v>
      </c>
      <c r="X10193" t="s">
        <v>44915</v>
      </c>
    </row>
    <row r="10194" spans="1:24">
      <c r="A10194">
        <f>HYPERLINK("https://www.philgeps.gov.ph/GEPSNONPILOT/Tender/SplashBidNoticeAbstractUI.aspx?menuIndex=3&amp;refID=7070174&amp;Result=3","7070174")</f>
        <v>0</v>
      </c>
      <c r="B10194" t="s">
        <v>629</v>
      </c>
      <c r="C10194" t="s">
        <v>13240</v>
      </c>
      <c r="D10194" t="s">
        <v>18160</v>
      </c>
      <c r="E10194" t="s">
        <v>27046</v>
      </c>
      <c r="F10194" t="s">
        <v>31362</v>
      </c>
      <c r="G10194" t="s">
        <v>31369</v>
      </c>
      <c r="H10194" t="s">
        <v>31378</v>
      </c>
      <c r="I10194" t="s">
        <v>31386</v>
      </c>
      <c r="J10194" t="s">
        <v>37670</v>
      </c>
      <c r="K10194" t="s">
        <v>40686</v>
      </c>
      <c r="M10194" t="s">
        <v>41589</v>
      </c>
      <c r="N10194" t="s">
        <v>44905</v>
      </c>
      <c r="O10194" t="s">
        <v>44906</v>
      </c>
      <c r="P10194">
        <v>0</v>
      </c>
      <c r="Q10194">
        <v>0</v>
      </c>
      <c r="R10194" t="s">
        <v>44914</v>
      </c>
      <c r="S10194" t="s">
        <v>45202</v>
      </c>
      <c r="T10194" t="s">
        <v>46479</v>
      </c>
      <c r="U10194" t="s">
        <v>55055</v>
      </c>
      <c r="W10194" t="s">
        <v>41589</v>
      </c>
      <c r="X10194" t="s">
        <v>44915</v>
      </c>
    </row>
    <row r="10195" spans="1:24">
      <c r="A10195">
        <f>HYPERLINK("https://www.philgeps.gov.ph/GEPSNONPILOT/Tender/SplashBidNoticeAbstractUI.aspx?menuIndex=3&amp;refID=7070169&amp;Result=3","7070169")</f>
        <v>0</v>
      </c>
      <c r="B10195" t="s">
        <v>2078</v>
      </c>
      <c r="C10195" t="s">
        <v>13241</v>
      </c>
      <c r="D10195" t="s">
        <v>18179</v>
      </c>
      <c r="E10195" t="s">
        <v>27047</v>
      </c>
      <c r="F10195" t="s">
        <v>31362</v>
      </c>
      <c r="G10195" t="s">
        <v>31369</v>
      </c>
      <c r="H10195" t="s">
        <v>31378</v>
      </c>
      <c r="I10195" t="s">
        <v>31386</v>
      </c>
      <c r="J10195" t="s">
        <v>37606</v>
      </c>
      <c r="K10195" t="s">
        <v>40666</v>
      </c>
      <c r="M10195" t="s">
        <v>43200</v>
      </c>
      <c r="N10195" t="s">
        <v>44905</v>
      </c>
      <c r="O10195" t="s">
        <v>44906</v>
      </c>
      <c r="P10195">
        <v>0</v>
      </c>
      <c r="Q10195">
        <v>0</v>
      </c>
      <c r="R10195" t="s">
        <v>44914</v>
      </c>
      <c r="S10195" t="s">
        <v>45202</v>
      </c>
      <c r="T10195" t="s">
        <v>46479</v>
      </c>
      <c r="U10195" t="s">
        <v>52449</v>
      </c>
      <c r="W10195" t="s">
        <v>43200</v>
      </c>
      <c r="X10195" t="s">
        <v>44915</v>
      </c>
    </row>
    <row r="10196" spans="1:24">
      <c r="A10196">
        <f>HYPERLINK("https://www.philgeps.gov.ph/GEPSNONPILOT/Tender/SplashBidNoticeAbstractUI.aspx?menuIndex=3&amp;refID=7070189&amp;Result=3","7070189")</f>
        <v>0</v>
      </c>
      <c r="B10196" t="s">
        <v>259</v>
      </c>
      <c r="C10196" t="s">
        <v>13242</v>
      </c>
      <c r="D10196" t="s">
        <v>18100</v>
      </c>
      <c r="E10196" t="s">
        <v>27048</v>
      </c>
      <c r="F10196" t="s">
        <v>31362</v>
      </c>
      <c r="G10196" t="s">
        <v>31369</v>
      </c>
      <c r="H10196" t="s">
        <v>15799</v>
      </c>
      <c r="I10196" t="s">
        <v>31418</v>
      </c>
      <c r="J10196" t="s">
        <v>31561</v>
      </c>
      <c r="K10196" t="s">
        <v>40693</v>
      </c>
      <c r="M10196" t="s">
        <v>41200</v>
      </c>
      <c r="N10196" t="s">
        <v>44905</v>
      </c>
      <c r="O10196" t="s">
        <v>44906</v>
      </c>
      <c r="P10196">
        <v>0</v>
      </c>
      <c r="Q10196">
        <v>0</v>
      </c>
      <c r="R10196" t="s">
        <v>44914</v>
      </c>
      <c r="S10196" t="s">
        <v>45202</v>
      </c>
      <c r="T10196" t="s">
        <v>46625</v>
      </c>
      <c r="U10196" t="s">
        <v>55118</v>
      </c>
      <c r="W10196" t="s">
        <v>41200</v>
      </c>
      <c r="X10196" t="s">
        <v>44915</v>
      </c>
    </row>
    <row r="10197" spans="1:24">
      <c r="A10197">
        <f>HYPERLINK("https://www.philgeps.gov.ph/GEPSNONPILOT/Tender/SplashBidNoticeAbstractUI.aspx?menuIndex=3&amp;refID=7070166&amp;Result=3","7070166")</f>
        <v>0</v>
      </c>
      <c r="B10197" t="s">
        <v>800</v>
      </c>
      <c r="C10197" t="s">
        <v>13243</v>
      </c>
      <c r="D10197" t="s">
        <v>18130</v>
      </c>
      <c r="E10197" t="s">
        <v>27049</v>
      </c>
      <c r="F10197" t="s">
        <v>31362</v>
      </c>
      <c r="G10197" t="s">
        <v>31369</v>
      </c>
      <c r="H10197" t="s">
        <v>15799</v>
      </c>
      <c r="I10197" t="s">
        <v>31404</v>
      </c>
      <c r="J10197" t="s">
        <v>37735</v>
      </c>
      <c r="K10197" t="s">
        <v>40666</v>
      </c>
      <c r="M10197" t="s">
        <v>41770</v>
      </c>
      <c r="N10197" t="s">
        <v>44905</v>
      </c>
      <c r="O10197" t="s">
        <v>44906</v>
      </c>
      <c r="P10197">
        <v>0</v>
      </c>
      <c r="Q10197">
        <v>0</v>
      </c>
      <c r="R10197" t="s">
        <v>44914</v>
      </c>
      <c r="S10197" t="s">
        <v>45202</v>
      </c>
      <c r="T10197" t="s">
        <v>46479</v>
      </c>
      <c r="U10197" t="s">
        <v>55119</v>
      </c>
      <c r="W10197" t="s">
        <v>41770</v>
      </c>
      <c r="X10197" t="s">
        <v>44915</v>
      </c>
    </row>
    <row r="10198" spans="1:24">
      <c r="A10198">
        <f>HYPERLINK("https://www.philgeps.gov.ph/GEPSNONPILOT/Tender/SplashBidNoticeAbstractUI.aspx?menuIndex=3&amp;refID=7070162&amp;Result=3","7070162")</f>
        <v>0</v>
      </c>
      <c r="B10198" t="s">
        <v>800</v>
      </c>
      <c r="C10198" t="s">
        <v>13244</v>
      </c>
      <c r="D10198" t="s">
        <v>18130</v>
      </c>
      <c r="E10198" t="s">
        <v>27050</v>
      </c>
      <c r="F10198" t="s">
        <v>31362</v>
      </c>
      <c r="G10198" t="s">
        <v>31369</v>
      </c>
      <c r="H10198" t="s">
        <v>15799</v>
      </c>
      <c r="I10198" t="s">
        <v>6373</v>
      </c>
      <c r="J10198" t="s">
        <v>37736</v>
      </c>
      <c r="K10198" t="s">
        <v>40666</v>
      </c>
      <c r="M10198" t="s">
        <v>41770</v>
      </c>
      <c r="N10198" t="s">
        <v>44905</v>
      </c>
      <c r="O10198" t="s">
        <v>44906</v>
      </c>
      <c r="P10198">
        <v>0</v>
      </c>
      <c r="Q10198">
        <v>0</v>
      </c>
      <c r="R10198" t="s">
        <v>44914</v>
      </c>
      <c r="S10198" t="s">
        <v>45202</v>
      </c>
      <c r="T10198" t="s">
        <v>46479</v>
      </c>
      <c r="U10198" t="s">
        <v>55120</v>
      </c>
      <c r="W10198" t="s">
        <v>41770</v>
      </c>
      <c r="X10198" t="s">
        <v>44915</v>
      </c>
    </row>
    <row r="10199" spans="1:24">
      <c r="A10199">
        <f>HYPERLINK("https://www.philgeps.gov.ph/GEPSNONPILOT/Tender/SplashBidNoticeAbstractUI.aspx?menuIndex=3&amp;refID=7070171&amp;Result=3","7070171")</f>
        <v>0</v>
      </c>
      <c r="B10199" t="s">
        <v>624</v>
      </c>
      <c r="C10199" t="s">
        <v>13245</v>
      </c>
      <c r="D10199" t="s">
        <v>18148</v>
      </c>
      <c r="E10199" t="s">
        <v>27051</v>
      </c>
      <c r="F10199" t="s">
        <v>31362</v>
      </c>
      <c r="G10199" t="s">
        <v>31369</v>
      </c>
      <c r="H10199" t="s">
        <v>15799</v>
      </c>
      <c r="I10199" t="s">
        <v>31380</v>
      </c>
      <c r="J10199" t="s">
        <v>31641</v>
      </c>
      <c r="K10199" t="s">
        <v>40677</v>
      </c>
      <c r="M10199" t="s">
        <v>44079</v>
      </c>
      <c r="N10199" t="s">
        <v>44905</v>
      </c>
      <c r="O10199" t="s">
        <v>44906</v>
      </c>
      <c r="Q10199">
        <v>3</v>
      </c>
      <c r="R10199" t="s">
        <v>44914</v>
      </c>
      <c r="S10199" t="s">
        <v>45251</v>
      </c>
      <c r="T10199" t="s">
        <v>46607</v>
      </c>
      <c r="U10199" t="s">
        <v>55121</v>
      </c>
      <c r="W10199" t="s">
        <v>44079</v>
      </c>
      <c r="X10199" t="s">
        <v>44915</v>
      </c>
    </row>
    <row r="10200" spans="1:24">
      <c r="A10200">
        <f>HYPERLINK("https://www.philgeps.gov.ph/GEPSNONPILOT/Tender/SplashBidNoticeAbstractUI.aspx?menuIndex=3&amp;refID=7070180&amp;Result=3","7070180")</f>
        <v>0</v>
      </c>
      <c r="B10200" t="s">
        <v>276</v>
      </c>
      <c r="C10200" t="s">
        <v>13246</v>
      </c>
      <c r="D10200" t="s">
        <v>18106</v>
      </c>
      <c r="E10200" t="s">
        <v>27052</v>
      </c>
      <c r="F10200" t="s">
        <v>31362</v>
      </c>
      <c r="G10200" t="s">
        <v>31369</v>
      </c>
      <c r="H10200" t="s">
        <v>15799</v>
      </c>
      <c r="I10200" t="s">
        <v>31384</v>
      </c>
      <c r="J10200" t="s">
        <v>31625</v>
      </c>
      <c r="K10200" t="s">
        <v>40665</v>
      </c>
      <c r="M10200" t="s">
        <v>41218</v>
      </c>
      <c r="N10200" t="s">
        <v>44905</v>
      </c>
      <c r="O10200" t="s">
        <v>44906</v>
      </c>
      <c r="P10200">
        <v>0</v>
      </c>
      <c r="Q10200">
        <v>8</v>
      </c>
      <c r="R10200" t="s">
        <v>44914</v>
      </c>
      <c r="S10200" t="s">
        <v>45202</v>
      </c>
      <c r="T10200" t="s">
        <v>46524</v>
      </c>
      <c r="U10200" t="s">
        <v>55122</v>
      </c>
      <c r="V10200" t="s">
        <v>54811</v>
      </c>
      <c r="W10200" t="s">
        <v>41218</v>
      </c>
      <c r="X10200" t="s">
        <v>44915</v>
      </c>
    </row>
    <row r="10201" spans="1:24">
      <c r="A10201">
        <f>HYPERLINK("https://www.philgeps.gov.ph/GEPSNONPILOT/Tender/SplashBidNoticeAbstractUI.aspx?menuIndex=3&amp;refID=7070158&amp;Result=3","7070158")</f>
        <v>0</v>
      </c>
      <c r="B10201" t="s">
        <v>800</v>
      </c>
      <c r="C10201" t="s">
        <v>13247</v>
      </c>
      <c r="D10201" t="s">
        <v>18130</v>
      </c>
      <c r="E10201" t="s">
        <v>27053</v>
      </c>
      <c r="F10201" t="s">
        <v>31362</v>
      </c>
      <c r="G10201" t="s">
        <v>31369</v>
      </c>
      <c r="H10201" t="s">
        <v>15799</v>
      </c>
      <c r="I10201" t="s">
        <v>31385</v>
      </c>
      <c r="J10201" t="s">
        <v>34909</v>
      </c>
      <c r="K10201" t="s">
        <v>40666</v>
      </c>
      <c r="M10201" t="s">
        <v>41770</v>
      </c>
      <c r="N10201" t="s">
        <v>44905</v>
      </c>
      <c r="O10201" t="s">
        <v>44906</v>
      </c>
      <c r="P10201">
        <v>0</v>
      </c>
      <c r="Q10201">
        <v>2</v>
      </c>
      <c r="R10201" t="s">
        <v>44914</v>
      </c>
      <c r="S10201" t="s">
        <v>45202</v>
      </c>
      <c r="T10201" t="s">
        <v>46479</v>
      </c>
      <c r="U10201" t="s">
        <v>55123</v>
      </c>
      <c r="W10201" t="s">
        <v>41770</v>
      </c>
      <c r="X10201" t="s">
        <v>44915</v>
      </c>
    </row>
    <row r="10202" spans="1:24">
      <c r="A10202">
        <f>HYPERLINK("https://www.philgeps.gov.ph/GEPSNONPILOT/Tender/SplashBidNoticeAbstractUI.aspx?menuIndex=3&amp;refID=7070164&amp;Result=3","7070164")</f>
        <v>0</v>
      </c>
      <c r="B10202" t="s">
        <v>2078</v>
      </c>
      <c r="C10202" t="s">
        <v>13248</v>
      </c>
      <c r="D10202" t="s">
        <v>18179</v>
      </c>
      <c r="E10202" t="s">
        <v>27054</v>
      </c>
      <c r="F10202" t="s">
        <v>31362</v>
      </c>
      <c r="G10202" t="s">
        <v>31369</v>
      </c>
      <c r="H10202" t="s">
        <v>31378</v>
      </c>
      <c r="I10202" t="s">
        <v>31386</v>
      </c>
      <c r="J10202" t="s">
        <v>37606</v>
      </c>
      <c r="K10202" t="s">
        <v>40666</v>
      </c>
      <c r="M10202" t="s">
        <v>43200</v>
      </c>
      <c r="N10202" t="s">
        <v>44905</v>
      </c>
      <c r="O10202" t="s">
        <v>44906</v>
      </c>
      <c r="P10202">
        <v>0</v>
      </c>
      <c r="Q10202">
        <v>0</v>
      </c>
      <c r="R10202" t="s">
        <v>44914</v>
      </c>
      <c r="S10202" t="s">
        <v>45202</v>
      </c>
      <c r="T10202" t="s">
        <v>46479</v>
      </c>
      <c r="U10202" t="s">
        <v>52449</v>
      </c>
      <c r="W10202" t="s">
        <v>43200</v>
      </c>
      <c r="X10202" t="s">
        <v>44915</v>
      </c>
    </row>
    <row r="10203" spans="1:24">
      <c r="A10203">
        <f>HYPERLINK("https://www.philgeps.gov.ph/GEPSNONPILOT/Tender/SplashBidNoticeAbstractUI.aspx?menuIndex=3&amp;refID=7070193&amp;Result=3","7070193")</f>
        <v>0</v>
      </c>
      <c r="B10203" t="s">
        <v>2872</v>
      </c>
      <c r="C10203" t="s">
        <v>13249</v>
      </c>
      <c r="D10203" t="s">
        <v>18160</v>
      </c>
      <c r="E10203" t="s">
        <v>27055</v>
      </c>
      <c r="F10203" t="s">
        <v>31362</v>
      </c>
      <c r="G10203" t="s">
        <v>31369</v>
      </c>
      <c r="H10203" t="s">
        <v>31378</v>
      </c>
      <c r="I10203" t="s">
        <v>31386</v>
      </c>
      <c r="J10203" t="s">
        <v>37737</v>
      </c>
      <c r="K10203" t="s">
        <v>40662</v>
      </c>
      <c r="M10203" t="s">
        <v>44080</v>
      </c>
      <c r="N10203" t="s">
        <v>44905</v>
      </c>
      <c r="O10203" t="s">
        <v>44906</v>
      </c>
      <c r="P10203">
        <v>0</v>
      </c>
      <c r="Q10203">
        <v>0</v>
      </c>
      <c r="R10203" t="s">
        <v>44914</v>
      </c>
      <c r="S10203" t="s">
        <v>45202</v>
      </c>
      <c r="T10203" t="s">
        <v>46809</v>
      </c>
      <c r="U10203" t="s">
        <v>55124</v>
      </c>
      <c r="W10203" t="s">
        <v>44080</v>
      </c>
      <c r="X10203" t="s">
        <v>44915</v>
      </c>
    </row>
    <row r="10204" spans="1:24">
      <c r="A10204">
        <f>HYPERLINK("https://www.philgeps.gov.ph/GEPSNONPILOT/Tender/SplashBidNoticeAbstractUI.aspx?menuIndex=3&amp;refID=7070220&amp;Result=3","7070220")</f>
        <v>0</v>
      </c>
      <c r="B10204" t="s">
        <v>1373</v>
      </c>
      <c r="C10204" t="s">
        <v>13250</v>
      </c>
      <c r="D10204" t="s">
        <v>18109</v>
      </c>
      <c r="E10204" t="s">
        <v>27056</v>
      </c>
      <c r="F10204" t="s">
        <v>31362</v>
      </c>
      <c r="G10204" t="s">
        <v>31369</v>
      </c>
      <c r="H10204" t="s">
        <v>15799</v>
      </c>
      <c r="I10204" t="s">
        <v>31393</v>
      </c>
      <c r="J10204" t="s">
        <v>37738</v>
      </c>
      <c r="K10204" t="s">
        <v>40679</v>
      </c>
      <c r="M10204" t="s">
        <v>44078</v>
      </c>
      <c r="N10204" t="s">
        <v>44905</v>
      </c>
      <c r="O10204" t="s">
        <v>44906</v>
      </c>
      <c r="Q10204">
        <v>12</v>
      </c>
      <c r="R10204" t="s">
        <v>44914</v>
      </c>
      <c r="S10204" t="s">
        <v>45252</v>
      </c>
      <c r="T10204" t="s">
        <v>46511</v>
      </c>
      <c r="U10204" t="s">
        <v>55117</v>
      </c>
      <c r="W10204" t="s">
        <v>44078</v>
      </c>
      <c r="X10204" t="s">
        <v>44915</v>
      </c>
    </row>
    <row r="10205" spans="1:24">
      <c r="A10205">
        <f>HYPERLINK("https://www.philgeps.gov.ph/GEPSNONPILOT/Tender/SplashBidNoticeAbstractUI.aspx?menuIndex=3&amp;refID=7070219&amp;Result=3","7070219")</f>
        <v>0</v>
      </c>
      <c r="B10205" t="s">
        <v>2078</v>
      </c>
      <c r="C10205" t="s">
        <v>13251</v>
      </c>
      <c r="D10205" t="s">
        <v>18179</v>
      </c>
      <c r="E10205" t="s">
        <v>27057</v>
      </c>
      <c r="F10205" t="s">
        <v>31362</v>
      </c>
      <c r="G10205" t="s">
        <v>31369</v>
      </c>
      <c r="H10205" t="s">
        <v>31378</v>
      </c>
      <c r="I10205" t="s">
        <v>31386</v>
      </c>
      <c r="J10205" t="s">
        <v>37606</v>
      </c>
      <c r="K10205" t="s">
        <v>40666</v>
      </c>
      <c r="M10205" t="s">
        <v>43200</v>
      </c>
      <c r="N10205" t="s">
        <v>44905</v>
      </c>
      <c r="O10205" t="s">
        <v>44906</v>
      </c>
      <c r="P10205">
        <v>0</v>
      </c>
      <c r="Q10205">
        <v>0</v>
      </c>
      <c r="R10205" t="s">
        <v>44914</v>
      </c>
      <c r="S10205" t="s">
        <v>45202</v>
      </c>
      <c r="T10205" t="s">
        <v>46479</v>
      </c>
      <c r="U10205" t="s">
        <v>52449</v>
      </c>
      <c r="W10205" t="s">
        <v>43200</v>
      </c>
      <c r="X10205" t="s">
        <v>44915</v>
      </c>
    </row>
    <row r="10206" spans="1:24">
      <c r="A10206">
        <f>HYPERLINK("https://www.philgeps.gov.ph/GEPSNONPILOT/Tender/SplashBidNoticeAbstractUI.aspx?menuIndex=3&amp;refID=7070218&amp;Result=3","7070218")</f>
        <v>0</v>
      </c>
      <c r="B10206" t="s">
        <v>2078</v>
      </c>
      <c r="C10206" t="s">
        <v>13252</v>
      </c>
      <c r="D10206" t="s">
        <v>18179</v>
      </c>
      <c r="E10206" t="s">
        <v>27058</v>
      </c>
      <c r="F10206" t="s">
        <v>31362</v>
      </c>
      <c r="G10206" t="s">
        <v>31369</v>
      </c>
      <c r="H10206" t="s">
        <v>31378</v>
      </c>
      <c r="I10206" t="s">
        <v>31386</v>
      </c>
      <c r="J10206" t="s">
        <v>37606</v>
      </c>
      <c r="K10206" t="s">
        <v>40666</v>
      </c>
      <c r="M10206" t="s">
        <v>43200</v>
      </c>
      <c r="N10206" t="s">
        <v>44905</v>
      </c>
      <c r="O10206" t="s">
        <v>44906</v>
      </c>
      <c r="P10206">
        <v>0</v>
      </c>
      <c r="Q10206">
        <v>0</v>
      </c>
      <c r="R10206" t="s">
        <v>44914</v>
      </c>
      <c r="S10206" t="s">
        <v>45202</v>
      </c>
      <c r="T10206" t="s">
        <v>46479</v>
      </c>
      <c r="U10206" t="s">
        <v>52449</v>
      </c>
      <c r="W10206" t="s">
        <v>43200</v>
      </c>
      <c r="X10206" t="s">
        <v>44915</v>
      </c>
    </row>
    <row r="10207" spans="1:24">
      <c r="A10207">
        <f>HYPERLINK("https://www.philgeps.gov.ph/GEPSNONPILOT/Tender/SplashBidNoticeAbstractUI.aspx?menuIndex=3&amp;refID=7070217&amp;Result=3","7070217")</f>
        <v>0</v>
      </c>
      <c r="B10207" t="s">
        <v>2078</v>
      </c>
      <c r="C10207" t="s">
        <v>13253</v>
      </c>
      <c r="D10207" t="s">
        <v>18179</v>
      </c>
      <c r="E10207" t="s">
        <v>27059</v>
      </c>
      <c r="F10207" t="s">
        <v>31362</v>
      </c>
      <c r="G10207" t="s">
        <v>31369</v>
      </c>
      <c r="H10207" t="s">
        <v>31378</v>
      </c>
      <c r="I10207" t="s">
        <v>31386</v>
      </c>
      <c r="J10207" t="s">
        <v>37606</v>
      </c>
      <c r="K10207" t="s">
        <v>40666</v>
      </c>
      <c r="M10207" t="s">
        <v>43200</v>
      </c>
      <c r="N10207" t="s">
        <v>44905</v>
      </c>
      <c r="O10207" t="s">
        <v>44906</v>
      </c>
      <c r="P10207">
        <v>0</v>
      </c>
      <c r="Q10207">
        <v>0</v>
      </c>
      <c r="R10207" t="s">
        <v>44914</v>
      </c>
      <c r="S10207" t="s">
        <v>45202</v>
      </c>
      <c r="T10207" t="s">
        <v>46479</v>
      </c>
      <c r="U10207" t="s">
        <v>52449</v>
      </c>
      <c r="W10207" t="s">
        <v>43200</v>
      </c>
      <c r="X10207" t="s">
        <v>44915</v>
      </c>
    </row>
    <row r="10208" spans="1:24">
      <c r="A10208">
        <f>HYPERLINK("https://www.philgeps.gov.ph/GEPSNONPILOT/Tender/SplashBidNoticeAbstractUI.aspx?menuIndex=3&amp;refID=7070112&amp;Result=3","7070112")</f>
        <v>0</v>
      </c>
      <c r="B10208" t="s">
        <v>2873</v>
      </c>
      <c r="C10208" t="s">
        <v>13254</v>
      </c>
      <c r="D10208" t="s">
        <v>18126</v>
      </c>
      <c r="E10208" t="s">
        <v>27060</v>
      </c>
      <c r="F10208" t="s">
        <v>31362</v>
      </c>
      <c r="G10208" t="s">
        <v>31368</v>
      </c>
      <c r="H10208" t="s">
        <v>15799</v>
      </c>
      <c r="I10208" t="s">
        <v>31397</v>
      </c>
      <c r="J10208" t="s">
        <v>31806</v>
      </c>
      <c r="K10208" t="s">
        <v>40670</v>
      </c>
      <c r="M10208" t="s">
        <v>44081</v>
      </c>
      <c r="N10208" t="s">
        <v>44905</v>
      </c>
      <c r="O10208" t="s">
        <v>44906</v>
      </c>
      <c r="P10208">
        <v>0</v>
      </c>
      <c r="Q10208">
        <v>2</v>
      </c>
      <c r="R10208" t="s">
        <v>44914</v>
      </c>
      <c r="S10208" t="s">
        <v>45202</v>
      </c>
      <c r="T10208" t="s">
        <v>46817</v>
      </c>
      <c r="U10208" t="s">
        <v>55125</v>
      </c>
      <c r="W10208" t="s">
        <v>60946</v>
      </c>
      <c r="X10208" t="s">
        <v>44915</v>
      </c>
    </row>
    <row r="10209" spans="1:24">
      <c r="A10209">
        <f>HYPERLINK("https://www.philgeps.gov.ph/GEPSNONPILOT/Tender/SplashBidNoticeAbstractUI.aspx?menuIndex=3&amp;refID=7070212&amp;Result=3","7070212")</f>
        <v>0</v>
      </c>
      <c r="B10209" t="s">
        <v>259</v>
      </c>
      <c r="C10209" t="s">
        <v>13255</v>
      </c>
      <c r="D10209" t="s">
        <v>18100</v>
      </c>
      <c r="E10209" t="s">
        <v>27061</v>
      </c>
      <c r="F10209" t="s">
        <v>31362</v>
      </c>
      <c r="G10209" t="s">
        <v>31369</v>
      </c>
      <c r="H10209" t="s">
        <v>15799</v>
      </c>
      <c r="I10209" t="s">
        <v>7188</v>
      </c>
      <c r="J10209" t="s">
        <v>37739</v>
      </c>
      <c r="K10209" t="s">
        <v>40693</v>
      </c>
      <c r="M10209" t="s">
        <v>41200</v>
      </c>
      <c r="N10209" t="s">
        <v>44905</v>
      </c>
      <c r="O10209" t="s">
        <v>44906</v>
      </c>
      <c r="P10209">
        <v>0</v>
      </c>
      <c r="Q10209">
        <v>0</v>
      </c>
      <c r="R10209" t="s">
        <v>44914</v>
      </c>
      <c r="S10209" t="s">
        <v>45202</v>
      </c>
      <c r="T10209" t="s">
        <v>46625</v>
      </c>
      <c r="U10209" t="s">
        <v>55126</v>
      </c>
      <c r="W10209" t="s">
        <v>41200</v>
      </c>
      <c r="X10209" t="s">
        <v>44915</v>
      </c>
    </row>
    <row r="10210" spans="1:24">
      <c r="A10210">
        <f>HYPERLINK("https://www.philgeps.gov.ph/GEPSNONPILOT/Tender/SplashBidNoticeAbstractUI.aspx?menuIndex=3&amp;refID=7070159&amp;Result=3","7070159")</f>
        <v>0</v>
      </c>
      <c r="B10210" t="s">
        <v>624</v>
      </c>
      <c r="C10210" t="s">
        <v>13256</v>
      </c>
      <c r="D10210" t="s">
        <v>18148</v>
      </c>
      <c r="E10210" t="s">
        <v>27062</v>
      </c>
      <c r="F10210" t="s">
        <v>31362</v>
      </c>
      <c r="G10210" t="s">
        <v>31369</v>
      </c>
      <c r="H10210" t="s">
        <v>15799</v>
      </c>
      <c r="I10210" t="s">
        <v>31385</v>
      </c>
      <c r="J10210" t="s">
        <v>37740</v>
      </c>
      <c r="K10210" t="s">
        <v>40666</v>
      </c>
      <c r="M10210" t="s">
        <v>44079</v>
      </c>
      <c r="N10210" t="s">
        <v>44905</v>
      </c>
      <c r="O10210" t="s">
        <v>44906</v>
      </c>
      <c r="P10210">
        <v>0</v>
      </c>
      <c r="Q10210">
        <v>3</v>
      </c>
      <c r="R10210" t="s">
        <v>44914</v>
      </c>
      <c r="S10210" t="s">
        <v>45202</v>
      </c>
      <c r="T10210" t="s">
        <v>46533</v>
      </c>
      <c r="U10210" t="s">
        <v>55127</v>
      </c>
      <c r="W10210" t="s">
        <v>44079</v>
      </c>
      <c r="X10210" t="s">
        <v>44915</v>
      </c>
    </row>
    <row r="10211" spans="1:24">
      <c r="A10211">
        <f>HYPERLINK("https://www.philgeps.gov.ph/GEPSNONPILOT/Tender/SplashBidNoticeAbstractUI.aspx?menuIndex=3&amp;refID=7070210&amp;Result=3","7070210")</f>
        <v>0</v>
      </c>
      <c r="B10211" t="s">
        <v>2874</v>
      </c>
      <c r="C10211" t="s">
        <v>13257</v>
      </c>
      <c r="D10211" t="s">
        <v>18108</v>
      </c>
      <c r="E10211" t="s">
        <v>27063</v>
      </c>
      <c r="F10211" t="s">
        <v>31362</v>
      </c>
      <c r="G10211" t="s">
        <v>31369</v>
      </c>
      <c r="H10211" t="s">
        <v>31379</v>
      </c>
      <c r="I10211" t="s">
        <v>31393</v>
      </c>
      <c r="J10211" t="s">
        <v>31542</v>
      </c>
      <c r="K10211" t="s">
        <v>40723</v>
      </c>
      <c r="M10211" t="s">
        <v>44082</v>
      </c>
      <c r="N10211" t="s">
        <v>44905</v>
      </c>
      <c r="O10211" t="s">
        <v>44906</v>
      </c>
      <c r="P10211">
        <v>0</v>
      </c>
      <c r="Q10211">
        <v>14</v>
      </c>
      <c r="R10211" t="s">
        <v>44914</v>
      </c>
      <c r="S10211" t="s">
        <v>45202</v>
      </c>
      <c r="T10211" t="s">
        <v>46472</v>
      </c>
      <c r="U10211" t="s">
        <v>55128</v>
      </c>
      <c r="W10211" t="s">
        <v>44082</v>
      </c>
      <c r="X10211" t="s">
        <v>44915</v>
      </c>
    </row>
    <row r="10212" spans="1:24">
      <c r="A10212">
        <f>HYPERLINK("https://www.philgeps.gov.ph/GEPSNONPILOT/Tender/SplashBidNoticeAbstractUI.aspx?menuIndex=3&amp;refID=7070213&amp;Result=3","7070213")</f>
        <v>0</v>
      </c>
      <c r="B10212" t="s">
        <v>1373</v>
      </c>
      <c r="C10212" t="s">
        <v>13258</v>
      </c>
      <c r="D10212" t="s">
        <v>18109</v>
      </c>
      <c r="E10212" t="s">
        <v>27064</v>
      </c>
      <c r="F10212" t="s">
        <v>31362</v>
      </c>
      <c r="G10212" t="s">
        <v>31369</v>
      </c>
      <c r="H10212" t="s">
        <v>15799</v>
      </c>
      <c r="I10212" t="s">
        <v>31413</v>
      </c>
      <c r="J10212" t="s">
        <v>37741</v>
      </c>
      <c r="K10212" t="s">
        <v>40682</v>
      </c>
      <c r="M10212" t="s">
        <v>44078</v>
      </c>
      <c r="N10212" t="s">
        <v>44905</v>
      </c>
      <c r="O10212" t="s">
        <v>44906</v>
      </c>
      <c r="Q10212">
        <v>0</v>
      </c>
      <c r="R10212" t="s">
        <v>44914</v>
      </c>
      <c r="S10212" t="s">
        <v>45253</v>
      </c>
      <c r="T10212" t="s">
        <v>46511</v>
      </c>
      <c r="U10212" t="s">
        <v>55117</v>
      </c>
      <c r="W10212" t="s">
        <v>44078</v>
      </c>
      <c r="X10212" t="s">
        <v>44915</v>
      </c>
    </row>
    <row r="10213" spans="1:24">
      <c r="A10213">
        <f>HYPERLINK("https://www.philgeps.gov.ph/GEPSNONPILOT/Tender/SplashBidNoticeAbstractUI.aspx?menuIndex=3&amp;refID=7070113&amp;Result=3","7070113")</f>
        <v>0</v>
      </c>
      <c r="B10213" t="s">
        <v>430</v>
      </c>
      <c r="C10213" t="s">
        <v>13259</v>
      </c>
      <c r="D10213" t="s">
        <v>18112</v>
      </c>
      <c r="E10213" t="s">
        <v>27065</v>
      </c>
      <c r="F10213" t="s">
        <v>31362</v>
      </c>
      <c r="G10213" t="s">
        <v>31369</v>
      </c>
      <c r="H10213" t="s">
        <v>15799</v>
      </c>
      <c r="I10213" t="s">
        <v>31408</v>
      </c>
      <c r="J10213" t="s">
        <v>31625</v>
      </c>
      <c r="K10213" t="s">
        <v>40665</v>
      </c>
      <c r="M10213" t="s">
        <v>41381</v>
      </c>
      <c r="N10213" t="s">
        <v>44905</v>
      </c>
      <c r="O10213" t="s">
        <v>44906</v>
      </c>
      <c r="P10213">
        <v>0</v>
      </c>
      <c r="Q10213">
        <v>6</v>
      </c>
      <c r="R10213" t="s">
        <v>44914</v>
      </c>
      <c r="S10213" t="s">
        <v>45202</v>
      </c>
      <c r="T10213" t="s">
        <v>46636</v>
      </c>
      <c r="U10213" t="s">
        <v>55129</v>
      </c>
      <c r="V10213" t="s">
        <v>60148</v>
      </c>
      <c r="W10213" t="s">
        <v>41381</v>
      </c>
      <c r="X10213" t="s">
        <v>44915</v>
      </c>
    </row>
    <row r="10214" spans="1:24">
      <c r="A10214">
        <f>HYPERLINK("https://www.philgeps.gov.ph/GEPSNONPILOT/Tender/SplashBidNoticeAbstractUI.aspx?menuIndex=3&amp;refID=7070206&amp;Result=3","7070206")</f>
        <v>0</v>
      </c>
      <c r="B10214" t="s">
        <v>2078</v>
      </c>
      <c r="C10214" t="s">
        <v>13260</v>
      </c>
      <c r="D10214" t="s">
        <v>18179</v>
      </c>
      <c r="E10214" t="s">
        <v>27066</v>
      </c>
      <c r="F10214" t="s">
        <v>31362</v>
      </c>
      <c r="G10214" t="s">
        <v>31369</v>
      </c>
      <c r="H10214" t="s">
        <v>31378</v>
      </c>
      <c r="I10214" t="s">
        <v>31386</v>
      </c>
      <c r="J10214" t="s">
        <v>37606</v>
      </c>
      <c r="K10214" t="s">
        <v>40666</v>
      </c>
      <c r="M10214" t="s">
        <v>43200</v>
      </c>
      <c r="N10214" t="s">
        <v>44905</v>
      </c>
      <c r="O10214" t="s">
        <v>44906</v>
      </c>
      <c r="P10214">
        <v>0</v>
      </c>
      <c r="Q10214">
        <v>0</v>
      </c>
      <c r="R10214" t="s">
        <v>44914</v>
      </c>
      <c r="S10214" t="s">
        <v>45202</v>
      </c>
      <c r="T10214" t="s">
        <v>46479</v>
      </c>
      <c r="U10214" t="s">
        <v>52449</v>
      </c>
      <c r="W10214" t="s">
        <v>43200</v>
      </c>
      <c r="X10214" t="s">
        <v>44915</v>
      </c>
    </row>
    <row r="10215" spans="1:24">
      <c r="A10215">
        <f>HYPERLINK("https://www.philgeps.gov.ph/GEPSNONPILOT/Tender/SplashBidNoticeAbstractUI.aspx?menuIndex=3&amp;refID=7070211&amp;Result=3","7070211")</f>
        <v>0</v>
      </c>
      <c r="B10215" t="s">
        <v>2105</v>
      </c>
      <c r="C10215" t="s">
        <v>13261</v>
      </c>
      <c r="D10215" t="s">
        <v>18149</v>
      </c>
      <c r="E10215" t="s">
        <v>27067</v>
      </c>
      <c r="F10215" t="s">
        <v>31362</v>
      </c>
      <c r="G10215" t="s">
        <v>31368</v>
      </c>
      <c r="H10215" t="s">
        <v>15799</v>
      </c>
      <c r="I10215" t="s">
        <v>31415</v>
      </c>
      <c r="J10215" t="s">
        <v>37742</v>
      </c>
      <c r="K10215" t="s">
        <v>40661</v>
      </c>
      <c r="M10215" t="s">
        <v>43230</v>
      </c>
      <c r="N10215" t="s">
        <v>44905</v>
      </c>
      <c r="O10215" t="s">
        <v>44906</v>
      </c>
      <c r="P10215">
        <v>0</v>
      </c>
      <c r="Q10215">
        <v>1</v>
      </c>
      <c r="R10215" t="s">
        <v>44914</v>
      </c>
      <c r="S10215" t="s">
        <v>45202</v>
      </c>
      <c r="T10215" t="s">
        <v>46454</v>
      </c>
      <c r="U10215" t="s">
        <v>55130</v>
      </c>
      <c r="V10215" t="s">
        <v>59207</v>
      </c>
      <c r="W10215" t="s">
        <v>60922</v>
      </c>
      <c r="X10215" t="s">
        <v>44915</v>
      </c>
    </row>
    <row r="10216" spans="1:24">
      <c r="A10216">
        <f>HYPERLINK("https://www.philgeps.gov.ph/GEPSNONPILOT/Tender/SplashBidNoticeAbstractUI.aspx?menuIndex=3&amp;refID=7070209&amp;Result=3","7070209")</f>
        <v>0</v>
      </c>
      <c r="B10216" t="s">
        <v>93</v>
      </c>
      <c r="C10216" t="s">
        <v>13262</v>
      </c>
      <c r="D10216" t="s">
        <v>18108</v>
      </c>
      <c r="E10216" t="s">
        <v>27068</v>
      </c>
      <c r="F10216" t="s">
        <v>31362</v>
      </c>
      <c r="G10216" t="s">
        <v>31369</v>
      </c>
      <c r="H10216" t="s">
        <v>15799</v>
      </c>
      <c r="I10216" t="s">
        <v>31413</v>
      </c>
      <c r="J10216" t="s">
        <v>33097</v>
      </c>
      <c r="K10216" t="s">
        <v>40682</v>
      </c>
      <c r="M10216" t="s">
        <v>41030</v>
      </c>
      <c r="N10216" t="s">
        <v>44905</v>
      </c>
      <c r="O10216" t="s">
        <v>44906</v>
      </c>
      <c r="P10216">
        <v>0</v>
      </c>
      <c r="Q10216">
        <v>3</v>
      </c>
      <c r="R10216" t="s">
        <v>44914</v>
      </c>
      <c r="S10216" t="s">
        <v>45202</v>
      </c>
      <c r="T10216" t="s">
        <v>46638</v>
      </c>
      <c r="U10216" t="s">
        <v>55131</v>
      </c>
      <c r="W10216" t="s">
        <v>41030</v>
      </c>
      <c r="X10216" t="s">
        <v>44915</v>
      </c>
    </row>
    <row r="10217" spans="1:24">
      <c r="A10217">
        <f>HYPERLINK("https://www.philgeps.gov.ph/GEPSNONPILOT/Tender/SplashBidNoticeAbstractUI.aspx?menuIndex=3&amp;refID=7070203&amp;Result=3","7070203")</f>
        <v>0</v>
      </c>
      <c r="B10217" t="s">
        <v>2078</v>
      </c>
      <c r="C10217" t="s">
        <v>13263</v>
      </c>
      <c r="D10217" t="s">
        <v>18179</v>
      </c>
      <c r="E10217" t="s">
        <v>27069</v>
      </c>
      <c r="F10217" t="s">
        <v>31362</v>
      </c>
      <c r="G10217" t="s">
        <v>31369</v>
      </c>
      <c r="H10217" t="s">
        <v>31378</v>
      </c>
      <c r="I10217" t="s">
        <v>31386</v>
      </c>
      <c r="J10217" t="s">
        <v>37606</v>
      </c>
      <c r="K10217" t="s">
        <v>40666</v>
      </c>
      <c r="M10217" t="s">
        <v>43200</v>
      </c>
      <c r="N10217" t="s">
        <v>44905</v>
      </c>
      <c r="O10217" t="s">
        <v>44906</v>
      </c>
      <c r="P10217">
        <v>0</v>
      </c>
      <c r="Q10217">
        <v>0</v>
      </c>
      <c r="R10217" t="s">
        <v>44914</v>
      </c>
      <c r="S10217" t="s">
        <v>45202</v>
      </c>
      <c r="T10217" t="s">
        <v>46479</v>
      </c>
      <c r="U10217" t="s">
        <v>52449</v>
      </c>
      <c r="W10217" t="s">
        <v>43200</v>
      </c>
      <c r="X10217" t="s">
        <v>44915</v>
      </c>
    </row>
    <row r="10218" spans="1:24">
      <c r="A10218">
        <f>HYPERLINK("https://www.philgeps.gov.ph/GEPSNONPILOT/Tender/SplashBidNoticeAbstractUI.aspx?menuIndex=3&amp;refID=7070207&amp;Result=3","7070207")</f>
        <v>0</v>
      </c>
      <c r="B10218" t="s">
        <v>259</v>
      </c>
      <c r="C10218" t="s">
        <v>13264</v>
      </c>
      <c r="D10218" t="s">
        <v>18100</v>
      </c>
      <c r="E10218" t="s">
        <v>27070</v>
      </c>
      <c r="F10218" t="s">
        <v>31362</v>
      </c>
      <c r="G10218" t="s">
        <v>31369</v>
      </c>
      <c r="H10218" t="s">
        <v>15799</v>
      </c>
      <c r="I10218" t="s">
        <v>31406</v>
      </c>
      <c r="J10218" t="s">
        <v>35116</v>
      </c>
      <c r="K10218" t="s">
        <v>40693</v>
      </c>
      <c r="M10218" t="s">
        <v>41200</v>
      </c>
      <c r="N10218" t="s">
        <v>44905</v>
      </c>
      <c r="O10218" t="s">
        <v>44906</v>
      </c>
      <c r="P10218">
        <v>0</v>
      </c>
      <c r="Q10218">
        <v>1</v>
      </c>
      <c r="R10218" t="s">
        <v>44914</v>
      </c>
      <c r="S10218" t="s">
        <v>45202</v>
      </c>
      <c r="T10218" t="s">
        <v>46625</v>
      </c>
      <c r="U10218" t="s">
        <v>55132</v>
      </c>
      <c r="W10218" t="s">
        <v>41200</v>
      </c>
      <c r="X10218" t="s">
        <v>44915</v>
      </c>
    </row>
    <row r="10219" spans="1:24">
      <c r="A10219">
        <f>HYPERLINK("https://www.philgeps.gov.ph/GEPSNONPILOT/Tender/SplashBidNoticeAbstractUI.aspx?menuIndex=3&amp;refID=7070201&amp;Result=3","7070201")</f>
        <v>0</v>
      </c>
      <c r="B10219" t="s">
        <v>543</v>
      </c>
      <c r="C10219" t="s">
        <v>13265</v>
      </c>
      <c r="D10219" t="s">
        <v>18138</v>
      </c>
      <c r="E10219" t="s">
        <v>27071</v>
      </c>
      <c r="F10219" t="s">
        <v>31362</v>
      </c>
      <c r="G10219" t="s">
        <v>31369</v>
      </c>
      <c r="H10219" t="s">
        <v>31378</v>
      </c>
      <c r="I10219" t="s">
        <v>31386</v>
      </c>
      <c r="J10219" t="s">
        <v>37743</v>
      </c>
      <c r="K10219" t="s">
        <v>40682</v>
      </c>
      <c r="M10219" t="s">
        <v>44083</v>
      </c>
      <c r="N10219" t="s">
        <v>44905</v>
      </c>
      <c r="O10219" t="s">
        <v>44906</v>
      </c>
      <c r="P10219">
        <v>0</v>
      </c>
      <c r="Q10219">
        <v>3</v>
      </c>
      <c r="R10219" t="s">
        <v>44914</v>
      </c>
      <c r="S10219" t="s">
        <v>45202</v>
      </c>
      <c r="T10219" t="s">
        <v>46519</v>
      </c>
      <c r="U10219" t="s">
        <v>55133</v>
      </c>
      <c r="W10219" t="s">
        <v>44083</v>
      </c>
      <c r="X10219" t="s">
        <v>44915</v>
      </c>
    </row>
    <row r="10220" spans="1:24">
      <c r="A10220">
        <f>HYPERLINK("https://www.philgeps.gov.ph/GEPSNONPILOT/Tender/SplashBidNoticeAbstractUI.aspx?menuIndex=3&amp;refID=7070200&amp;Result=3","7070200")</f>
        <v>0</v>
      </c>
      <c r="B10220" t="s">
        <v>259</v>
      </c>
      <c r="C10220" t="s">
        <v>13266</v>
      </c>
      <c r="D10220" t="s">
        <v>18100</v>
      </c>
      <c r="E10220" t="s">
        <v>27072</v>
      </c>
      <c r="F10220" t="s">
        <v>31362</v>
      </c>
      <c r="G10220" t="s">
        <v>31369</v>
      </c>
      <c r="H10220" t="s">
        <v>15799</v>
      </c>
      <c r="I10220" t="s">
        <v>7188</v>
      </c>
      <c r="J10220" t="s">
        <v>32544</v>
      </c>
      <c r="K10220" t="s">
        <v>40693</v>
      </c>
      <c r="M10220" t="s">
        <v>41200</v>
      </c>
      <c r="N10220" t="s">
        <v>44905</v>
      </c>
      <c r="O10220" t="s">
        <v>44906</v>
      </c>
      <c r="P10220">
        <v>0</v>
      </c>
      <c r="Q10220">
        <v>0</v>
      </c>
      <c r="R10220" t="s">
        <v>44914</v>
      </c>
      <c r="S10220" t="s">
        <v>45202</v>
      </c>
      <c r="T10220" t="s">
        <v>46625</v>
      </c>
      <c r="U10220" t="s">
        <v>55134</v>
      </c>
      <c r="W10220" t="s">
        <v>41200</v>
      </c>
      <c r="X10220" t="s">
        <v>44915</v>
      </c>
    </row>
    <row r="10221" spans="1:24">
      <c r="A10221">
        <f>HYPERLINK("https://www.philgeps.gov.ph/GEPSNONPILOT/Tender/SplashBidNoticeAbstractUI.aspx?menuIndex=3&amp;refID=7070195&amp;Result=3","7070195")</f>
        <v>0</v>
      </c>
      <c r="B10221" t="s">
        <v>2872</v>
      </c>
      <c r="C10221" t="s">
        <v>13267</v>
      </c>
      <c r="D10221" t="s">
        <v>18160</v>
      </c>
      <c r="E10221" t="s">
        <v>27073</v>
      </c>
      <c r="F10221" t="s">
        <v>31362</v>
      </c>
      <c r="G10221" t="s">
        <v>31369</v>
      </c>
      <c r="H10221" t="s">
        <v>31378</v>
      </c>
      <c r="I10221" t="s">
        <v>31386</v>
      </c>
      <c r="J10221" t="s">
        <v>31542</v>
      </c>
      <c r="K10221" t="s">
        <v>40662</v>
      </c>
      <c r="M10221" t="s">
        <v>44080</v>
      </c>
      <c r="N10221" t="s">
        <v>44905</v>
      </c>
      <c r="O10221" t="s">
        <v>44906</v>
      </c>
      <c r="P10221">
        <v>0</v>
      </c>
      <c r="Q10221">
        <v>0</v>
      </c>
      <c r="R10221" t="s">
        <v>44914</v>
      </c>
      <c r="S10221" t="s">
        <v>45202</v>
      </c>
      <c r="T10221" t="s">
        <v>46809</v>
      </c>
      <c r="U10221" t="s">
        <v>55135</v>
      </c>
      <c r="W10221" t="s">
        <v>44080</v>
      </c>
      <c r="X10221" t="s">
        <v>44915</v>
      </c>
    </row>
    <row r="10222" spans="1:24">
      <c r="A10222">
        <f>HYPERLINK("https://www.philgeps.gov.ph/GEPSNONPILOT/Tender/SplashBidNoticeAbstractUI.aspx?menuIndex=3&amp;refID=7070205&amp;Result=3","7070205")</f>
        <v>0</v>
      </c>
      <c r="B10222" t="s">
        <v>2078</v>
      </c>
      <c r="C10222" t="s">
        <v>13268</v>
      </c>
      <c r="D10222" t="s">
        <v>18179</v>
      </c>
      <c r="E10222" t="s">
        <v>27074</v>
      </c>
      <c r="F10222" t="s">
        <v>31362</v>
      </c>
      <c r="G10222" t="s">
        <v>31369</v>
      </c>
      <c r="H10222" t="s">
        <v>31378</v>
      </c>
      <c r="I10222" t="s">
        <v>31386</v>
      </c>
      <c r="J10222" t="s">
        <v>37606</v>
      </c>
      <c r="K10222" t="s">
        <v>40666</v>
      </c>
      <c r="M10222" t="s">
        <v>43200</v>
      </c>
      <c r="N10222" t="s">
        <v>44905</v>
      </c>
      <c r="O10222" t="s">
        <v>44906</v>
      </c>
      <c r="P10222">
        <v>0</v>
      </c>
      <c r="Q10222">
        <v>0</v>
      </c>
      <c r="R10222" t="s">
        <v>44914</v>
      </c>
      <c r="S10222" t="s">
        <v>45202</v>
      </c>
      <c r="T10222" t="s">
        <v>46479</v>
      </c>
      <c r="U10222" t="s">
        <v>52449</v>
      </c>
      <c r="W10222" t="s">
        <v>43200</v>
      </c>
      <c r="X10222" t="s">
        <v>44915</v>
      </c>
    </row>
    <row r="10223" spans="1:24">
      <c r="A10223">
        <f>HYPERLINK("https://www.philgeps.gov.ph/GEPSNONPILOT/Tender/SplashBidNoticeAbstractUI.aspx?menuIndex=3&amp;refID=7070255&amp;Result=3","7070255")</f>
        <v>0</v>
      </c>
      <c r="B10223" t="s">
        <v>1373</v>
      </c>
      <c r="C10223" t="s">
        <v>13269</v>
      </c>
      <c r="D10223" t="s">
        <v>18109</v>
      </c>
      <c r="E10223" t="s">
        <v>27075</v>
      </c>
      <c r="F10223" t="s">
        <v>31362</v>
      </c>
      <c r="G10223" t="s">
        <v>31369</v>
      </c>
      <c r="H10223" t="s">
        <v>15799</v>
      </c>
      <c r="I10223" t="s">
        <v>31427</v>
      </c>
      <c r="J10223" t="s">
        <v>37744</v>
      </c>
      <c r="K10223" t="s">
        <v>40679</v>
      </c>
      <c r="M10223" t="s">
        <v>44078</v>
      </c>
      <c r="N10223" t="s">
        <v>44905</v>
      </c>
      <c r="O10223" t="s">
        <v>44906</v>
      </c>
      <c r="Q10223">
        <v>2</v>
      </c>
      <c r="R10223" t="s">
        <v>44914</v>
      </c>
      <c r="S10223" t="s">
        <v>45185</v>
      </c>
      <c r="T10223" t="s">
        <v>46511</v>
      </c>
      <c r="U10223" t="s">
        <v>55117</v>
      </c>
      <c r="W10223" t="s">
        <v>44078</v>
      </c>
      <c r="X10223" t="s">
        <v>44915</v>
      </c>
    </row>
    <row r="10224" spans="1:24">
      <c r="A10224">
        <f>HYPERLINK("https://www.philgeps.gov.ph/GEPSNONPILOT/Tender/SplashBidNoticeAbstractUI.aspx?menuIndex=3&amp;refID=7070204&amp;Result=3","7070204")</f>
        <v>0</v>
      </c>
      <c r="B10224" t="s">
        <v>259</v>
      </c>
      <c r="C10224" t="s">
        <v>13270</v>
      </c>
      <c r="D10224" t="s">
        <v>18100</v>
      </c>
      <c r="E10224" t="s">
        <v>27076</v>
      </c>
      <c r="F10224" t="s">
        <v>31362</v>
      </c>
      <c r="G10224" t="s">
        <v>31369</v>
      </c>
      <c r="H10224" t="s">
        <v>15799</v>
      </c>
      <c r="I10224" t="s">
        <v>31427</v>
      </c>
      <c r="J10224" t="s">
        <v>35116</v>
      </c>
      <c r="K10224" t="s">
        <v>40693</v>
      </c>
      <c r="M10224" t="s">
        <v>41200</v>
      </c>
      <c r="N10224" t="s">
        <v>44905</v>
      </c>
      <c r="O10224" t="s">
        <v>44906</v>
      </c>
      <c r="P10224">
        <v>0</v>
      </c>
      <c r="Q10224">
        <v>0</v>
      </c>
      <c r="R10224" t="s">
        <v>44914</v>
      </c>
      <c r="S10224" t="s">
        <v>45202</v>
      </c>
      <c r="T10224" t="s">
        <v>46625</v>
      </c>
      <c r="U10224" t="s">
        <v>55136</v>
      </c>
      <c r="W10224" t="s">
        <v>41200</v>
      </c>
      <c r="X10224" t="s">
        <v>44915</v>
      </c>
    </row>
    <row r="10225" spans="1:24">
      <c r="A10225">
        <f>HYPERLINK("https://www.philgeps.gov.ph/GEPSNONPILOT/Tender/SplashBidNoticeAbstractUI.aspx?menuIndex=3&amp;refID=7070216&amp;Result=3","7070216")</f>
        <v>0</v>
      </c>
      <c r="B10225" t="s">
        <v>2078</v>
      </c>
      <c r="C10225" t="s">
        <v>13271</v>
      </c>
      <c r="D10225" t="s">
        <v>18179</v>
      </c>
      <c r="E10225" t="s">
        <v>27077</v>
      </c>
      <c r="F10225" t="s">
        <v>31362</v>
      </c>
      <c r="G10225" t="s">
        <v>31369</v>
      </c>
      <c r="H10225" t="s">
        <v>31378</v>
      </c>
      <c r="I10225" t="s">
        <v>31386</v>
      </c>
      <c r="J10225" t="s">
        <v>37606</v>
      </c>
      <c r="K10225" t="s">
        <v>40666</v>
      </c>
      <c r="M10225" t="s">
        <v>43200</v>
      </c>
      <c r="N10225" t="s">
        <v>44905</v>
      </c>
      <c r="O10225" t="s">
        <v>44906</v>
      </c>
      <c r="P10225">
        <v>0</v>
      </c>
      <c r="Q10225">
        <v>0</v>
      </c>
      <c r="R10225" t="s">
        <v>44914</v>
      </c>
      <c r="S10225" t="s">
        <v>45202</v>
      </c>
      <c r="T10225" t="s">
        <v>46479</v>
      </c>
      <c r="U10225" t="s">
        <v>52449</v>
      </c>
      <c r="W10225" t="s">
        <v>43200</v>
      </c>
      <c r="X10225" t="s">
        <v>44915</v>
      </c>
    </row>
    <row r="10226" spans="1:24">
      <c r="A10226">
        <f>HYPERLINK("https://www.philgeps.gov.ph/GEPSNONPILOT/Tender/SplashBidNoticeAbstractUI.aspx?menuIndex=3&amp;refID=7070246&amp;Result=3","7070246")</f>
        <v>0</v>
      </c>
      <c r="B10226" t="s">
        <v>1534</v>
      </c>
      <c r="C10226" t="s">
        <v>13272</v>
      </c>
      <c r="D10226" t="s">
        <v>18180</v>
      </c>
      <c r="E10226" t="s">
        <v>25682</v>
      </c>
      <c r="F10226" t="s">
        <v>31362</v>
      </c>
      <c r="G10226" t="s">
        <v>31369</v>
      </c>
      <c r="H10226" t="s">
        <v>31378</v>
      </c>
      <c r="I10226" t="s">
        <v>31386</v>
      </c>
      <c r="J10226" t="s">
        <v>37745</v>
      </c>
      <c r="K10226" t="s">
        <v>40694</v>
      </c>
      <c r="M10226" t="s">
        <v>42580</v>
      </c>
      <c r="N10226" t="s">
        <v>44905</v>
      </c>
      <c r="O10226" t="s">
        <v>44906</v>
      </c>
      <c r="P10226">
        <v>0</v>
      </c>
      <c r="Q10226">
        <v>0</v>
      </c>
      <c r="R10226" t="s">
        <v>44914</v>
      </c>
      <c r="S10226" t="s">
        <v>45202</v>
      </c>
      <c r="T10226" t="s">
        <v>46504</v>
      </c>
      <c r="U10226" t="s">
        <v>55137</v>
      </c>
      <c r="W10226" t="s">
        <v>42580</v>
      </c>
      <c r="X10226" t="s">
        <v>44915</v>
      </c>
    </row>
    <row r="10227" spans="1:24">
      <c r="A10227">
        <f>HYPERLINK("https://www.philgeps.gov.ph/GEPSNONPILOT/Tender/SplashBidNoticeAbstractUI.aspx?menuIndex=3&amp;refID=7070244&amp;Result=3","7070244")</f>
        <v>0</v>
      </c>
      <c r="B10227" t="s">
        <v>108</v>
      </c>
      <c r="C10227" t="s">
        <v>5653</v>
      </c>
      <c r="D10227" t="s">
        <v>18139</v>
      </c>
      <c r="E10227" t="s">
        <v>27078</v>
      </c>
      <c r="F10227" t="s">
        <v>31362</v>
      </c>
      <c r="G10227" t="s">
        <v>31369</v>
      </c>
      <c r="H10227" t="s">
        <v>31378</v>
      </c>
      <c r="I10227" t="s">
        <v>31386</v>
      </c>
      <c r="J10227" t="s">
        <v>37746</v>
      </c>
      <c r="K10227" t="s">
        <v>40683</v>
      </c>
      <c r="M10227" t="s">
        <v>41860</v>
      </c>
      <c r="N10227" t="s">
        <v>44905</v>
      </c>
      <c r="O10227" t="s">
        <v>44906</v>
      </c>
      <c r="P10227">
        <v>0</v>
      </c>
      <c r="Q10227">
        <v>2</v>
      </c>
      <c r="R10227" t="s">
        <v>44914</v>
      </c>
      <c r="S10227" t="s">
        <v>45202</v>
      </c>
      <c r="T10227" t="s">
        <v>46740</v>
      </c>
      <c r="U10227" t="s">
        <v>55138</v>
      </c>
      <c r="W10227" t="s">
        <v>41860</v>
      </c>
      <c r="X10227" t="s">
        <v>44915</v>
      </c>
    </row>
    <row r="10228" spans="1:24">
      <c r="A10228">
        <f>HYPERLINK("https://www.philgeps.gov.ph/GEPSNONPILOT/Tender/SplashBidNoticeAbstractUI.aspx?menuIndex=3&amp;refID=7068674&amp;Result=3","7068674")</f>
        <v>0</v>
      </c>
      <c r="B10228" t="s">
        <v>1317</v>
      </c>
      <c r="C10228" t="s">
        <v>13273</v>
      </c>
      <c r="D10228" t="s">
        <v>18136</v>
      </c>
      <c r="E10228" t="s">
        <v>27079</v>
      </c>
      <c r="F10228" t="s">
        <v>31362</v>
      </c>
      <c r="G10228" t="s">
        <v>31368</v>
      </c>
      <c r="H10228" t="s">
        <v>15799</v>
      </c>
      <c r="I10228" t="s">
        <v>7719</v>
      </c>
      <c r="J10228" t="s">
        <v>31586</v>
      </c>
      <c r="K10228" t="s">
        <v>40665</v>
      </c>
      <c r="M10228" t="s">
        <v>42335</v>
      </c>
      <c r="N10228" t="s">
        <v>44905</v>
      </c>
      <c r="O10228" t="s">
        <v>44906</v>
      </c>
      <c r="P10228">
        <v>0</v>
      </c>
      <c r="Q10228">
        <v>24</v>
      </c>
      <c r="R10228" t="s">
        <v>44914</v>
      </c>
      <c r="S10228" t="s">
        <v>45202</v>
      </c>
      <c r="T10228" t="s">
        <v>46454</v>
      </c>
      <c r="U10228" t="s">
        <v>55139</v>
      </c>
      <c r="W10228" t="s">
        <v>42335</v>
      </c>
      <c r="X10228" t="s">
        <v>44915</v>
      </c>
    </row>
    <row r="10229" spans="1:24">
      <c r="A10229">
        <f>HYPERLINK("https://www.philgeps.gov.ph/GEPSNONPILOT/Tender/SplashBidNoticeAbstractUI.aspx?menuIndex=3&amp;refID=7070243&amp;Result=3","7070243")</f>
        <v>0</v>
      </c>
      <c r="B10229" t="s">
        <v>1534</v>
      </c>
      <c r="C10229" t="s">
        <v>13274</v>
      </c>
      <c r="D10229" t="s">
        <v>18180</v>
      </c>
      <c r="E10229" t="s">
        <v>25585</v>
      </c>
      <c r="F10229" t="s">
        <v>31362</v>
      </c>
      <c r="G10229" t="s">
        <v>31369</v>
      </c>
      <c r="H10229" t="s">
        <v>31378</v>
      </c>
      <c r="I10229" t="s">
        <v>31386</v>
      </c>
      <c r="J10229" t="s">
        <v>37747</v>
      </c>
      <c r="K10229" t="s">
        <v>40866</v>
      </c>
      <c r="M10229" t="s">
        <v>42580</v>
      </c>
      <c r="N10229" t="s">
        <v>44905</v>
      </c>
      <c r="O10229" t="s">
        <v>44906</v>
      </c>
      <c r="P10229">
        <v>0</v>
      </c>
      <c r="Q10229">
        <v>0</v>
      </c>
      <c r="R10229" t="s">
        <v>44914</v>
      </c>
      <c r="S10229" t="s">
        <v>45202</v>
      </c>
      <c r="T10229" t="s">
        <v>46504</v>
      </c>
      <c r="U10229" t="s">
        <v>55140</v>
      </c>
      <c r="W10229" t="s">
        <v>42580</v>
      </c>
      <c r="X10229" t="s">
        <v>44915</v>
      </c>
    </row>
    <row r="10230" spans="1:24">
      <c r="A10230">
        <f>HYPERLINK("https://www.philgeps.gov.ph/GEPSNONPILOT/Tender/SplashBidNoticeAbstractUI.aspx?menuIndex=3&amp;refID=7070241&amp;Result=3","7070241")</f>
        <v>0</v>
      </c>
      <c r="B10230" t="s">
        <v>1094</v>
      </c>
      <c r="C10230" t="s">
        <v>13275</v>
      </c>
      <c r="D10230" t="s">
        <v>18117</v>
      </c>
      <c r="E10230" t="s">
        <v>27080</v>
      </c>
      <c r="F10230" t="s">
        <v>31362</v>
      </c>
      <c r="G10230" t="s">
        <v>31369</v>
      </c>
      <c r="H10230" t="s">
        <v>31378</v>
      </c>
      <c r="I10230" t="s">
        <v>31386</v>
      </c>
      <c r="J10230" t="s">
        <v>37748</v>
      </c>
      <c r="K10230" t="s">
        <v>40675</v>
      </c>
      <c r="M10230" t="s">
        <v>42099</v>
      </c>
      <c r="N10230" t="s">
        <v>44905</v>
      </c>
      <c r="O10230" t="s">
        <v>44906</v>
      </c>
      <c r="P10230">
        <v>0</v>
      </c>
      <c r="Q10230">
        <v>4</v>
      </c>
      <c r="R10230" t="s">
        <v>44914</v>
      </c>
      <c r="S10230" t="s">
        <v>45202</v>
      </c>
      <c r="T10230" t="s">
        <v>46796</v>
      </c>
      <c r="U10230" t="s">
        <v>55141</v>
      </c>
      <c r="W10230" t="s">
        <v>42099</v>
      </c>
      <c r="X10230" t="s">
        <v>44915</v>
      </c>
    </row>
    <row r="10231" spans="1:24">
      <c r="A10231">
        <f>HYPERLINK("https://www.philgeps.gov.ph/GEPSNONPILOT/Tender/SplashBidNoticeAbstractUI.aspx?menuIndex=3&amp;refID=7070199&amp;Result=3","7070199")</f>
        <v>0</v>
      </c>
      <c r="B10231" t="s">
        <v>873</v>
      </c>
      <c r="C10231" t="s">
        <v>13276</v>
      </c>
      <c r="D10231" t="s">
        <v>18116</v>
      </c>
      <c r="E10231" t="s">
        <v>27081</v>
      </c>
      <c r="F10231" t="s">
        <v>31362</v>
      </c>
      <c r="G10231" t="s">
        <v>31369</v>
      </c>
      <c r="H10231" t="s">
        <v>15799</v>
      </c>
      <c r="I10231" t="s">
        <v>3815</v>
      </c>
      <c r="J10231" t="s">
        <v>37749</v>
      </c>
      <c r="K10231" t="s">
        <v>40686</v>
      </c>
      <c r="L10231" t="s">
        <v>873</v>
      </c>
      <c r="M10231" t="s">
        <v>42265</v>
      </c>
      <c r="N10231" t="s">
        <v>44905</v>
      </c>
      <c r="O10231" t="s">
        <v>44906</v>
      </c>
      <c r="P10231">
        <v>0</v>
      </c>
      <c r="Q10231">
        <v>2</v>
      </c>
      <c r="R10231" t="s">
        <v>44914</v>
      </c>
      <c r="S10231" t="s">
        <v>45202</v>
      </c>
      <c r="T10231" t="s">
        <v>46504</v>
      </c>
      <c r="U10231" t="s">
        <v>55142</v>
      </c>
      <c r="V10231" t="s">
        <v>60151</v>
      </c>
      <c r="W10231" t="s">
        <v>42265</v>
      </c>
      <c r="X10231" t="s">
        <v>44915</v>
      </c>
    </row>
    <row r="10232" spans="1:24">
      <c r="A10232">
        <f>HYPERLINK("https://www.philgeps.gov.ph/GEPSNONPILOT/Tender/SplashBidNoticeAbstractUI.aspx?menuIndex=3&amp;refID=7070237&amp;Result=3","7070237")</f>
        <v>0</v>
      </c>
      <c r="B10232" t="s">
        <v>2875</v>
      </c>
      <c r="C10232" t="s">
        <v>13277</v>
      </c>
      <c r="D10232" t="s">
        <v>18100</v>
      </c>
      <c r="E10232" t="s">
        <v>22443</v>
      </c>
      <c r="F10232" t="s">
        <v>31362</v>
      </c>
      <c r="G10232" t="s">
        <v>31369</v>
      </c>
      <c r="H10232" t="s">
        <v>15799</v>
      </c>
      <c r="I10232" t="s">
        <v>3815</v>
      </c>
      <c r="J10232" t="s">
        <v>31983</v>
      </c>
      <c r="K10232" t="s">
        <v>40693</v>
      </c>
      <c r="M10232" t="s">
        <v>44084</v>
      </c>
      <c r="N10232" t="s">
        <v>44905</v>
      </c>
      <c r="O10232" t="s">
        <v>44906</v>
      </c>
      <c r="P10232">
        <v>0</v>
      </c>
      <c r="Q10232">
        <v>0</v>
      </c>
      <c r="R10232" t="s">
        <v>44914</v>
      </c>
      <c r="S10232" t="s">
        <v>45202</v>
      </c>
      <c r="T10232" t="s">
        <v>46522</v>
      </c>
      <c r="U10232" t="s">
        <v>55143</v>
      </c>
      <c r="W10232" t="s">
        <v>44084</v>
      </c>
      <c r="X10232" t="s">
        <v>44915</v>
      </c>
    </row>
    <row r="10233" spans="1:24">
      <c r="A10233">
        <f>HYPERLINK("https://www.philgeps.gov.ph/GEPSNONPILOT/Tender/SplashBidNoticeAbstractUI.aspx?menuIndex=3&amp;refID=7070235&amp;Result=3","7070235")</f>
        <v>0</v>
      </c>
      <c r="B10233" t="s">
        <v>1094</v>
      </c>
      <c r="C10233" t="s">
        <v>13278</v>
      </c>
      <c r="D10233" t="s">
        <v>18117</v>
      </c>
      <c r="E10233" t="s">
        <v>27082</v>
      </c>
      <c r="F10233" t="s">
        <v>31362</v>
      </c>
      <c r="G10233" t="s">
        <v>31369</v>
      </c>
      <c r="H10233" t="s">
        <v>15799</v>
      </c>
      <c r="I10233" t="s">
        <v>3815</v>
      </c>
      <c r="J10233" t="s">
        <v>37750</v>
      </c>
      <c r="K10233" t="s">
        <v>40666</v>
      </c>
      <c r="M10233" t="s">
        <v>42099</v>
      </c>
      <c r="N10233" t="s">
        <v>44905</v>
      </c>
      <c r="O10233" t="s">
        <v>44906</v>
      </c>
      <c r="P10233">
        <v>0</v>
      </c>
      <c r="Q10233">
        <v>3</v>
      </c>
      <c r="R10233" t="s">
        <v>44914</v>
      </c>
      <c r="S10233" t="s">
        <v>45202</v>
      </c>
      <c r="T10233" t="s">
        <v>46479</v>
      </c>
      <c r="U10233" t="s">
        <v>55141</v>
      </c>
      <c r="W10233" t="s">
        <v>42099</v>
      </c>
      <c r="X10233" t="s">
        <v>44915</v>
      </c>
    </row>
    <row r="10234" spans="1:24">
      <c r="A10234">
        <f>HYPERLINK("https://www.philgeps.gov.ph/GEPSNONPILOT/Tender/SplashBidNoticeAbstractUI.aspx?menuIndex=3&amp;refID=7070214&amp;Result=3","7070214")</f>
        <v>0</v>
      </c>
      <c r="B10234" t="s">
        <v>2868</v>
      </c>
      <c r="C10234" t="s">
        <v>13279</v>
      </c>
      <c r="D10234" t="s">
        <v>18107</v>
      </c>
      <c r="E10234" t="s">
        <v>27083</v>
      </c>
      <c r="F10234" t="s">
        <v>31362</v>
      </c>
      <c r="G10234" t="s">
        <v>31369</v>
      </c>
      <c r="H10234" t="s">
        <v>15799</v>
      </c>
      <c r="I10234" t="s">
        <v>31430</v>
      </c>
      <c r="J10234" t="s">
        <v>37751</v>
      </c>
      <c r="K10234" t="s">
        <v>40670</v>
      </c>
      <c r="M10234" t="s">
        <v>44073</v>
      </c>
      <c r="N10234" t="s">
        <v>44905</v>
      </c>
      <c r="O10234" t="s">
        <v>44906</v>
      </c>
      <c r="P10234">
        <v>0</v>
      </c>
      <c r="Q10234">
        <v>0</v>
      </c>
      <c r="R10234" t="s">
        <v>44914</v>
      </c>
      <c r="S10234" t="s">
        <v>45202</v>
      </c>
      <c r="T10234" t="s">
        <v>46519</v>
      </c>
      <c r="U10234" t="s">
        <v>55144</v>
      </c>
      <c r="W10234" t="s">
        <v>60945</v>
      </c>
      <c r="X10234" t="s">
        <v>44915</v>
      </c>
    </row>
    <row r="10235" spans="1:24">
      <c r="A10235">
        <f>HYPERLINK("https://www.philgeps.gov.ph/GEPSNONPILOT/Tender/SplashBidNoticeAbstractUI.aspx?menuIndex=3&amp;refID=7070233&amp;Result=3","7070233")</f>
        <v>0</v>
      </c>
      <c r="B10235" t="s">
        <v>1094</v>
      </c>
      <c r="C10235" t="s">
        <v>13280</v>
      </c>
      <c r="D10235" t="s">
        <v>18117</v>
      </c>
      <c r="E10235" t="s">
        <v>27084</v>
      </c>
      <c r="F10235" t="s">
        <v>31362</v>
      </c>
      <c r="G10235" t="s">
        <v>31369</v>
      </c>
      <c r="H10235" t="s">
        <v>31378</v>
      </c>
      <c r="I10235" t="s">
        <v>31386</v>
      </c>
      <c r="J10235" t="s">
        <v>37752</v>
      </c>
      <c r="K10235" t="s">
        <v>40675</v>
      </c>
      <c r="M10235" t="s">
        <v>42099</v>
      </c>
      <c r="N10235" t="s">
        <v>44905</v>
      </c>
      <c r="O10235" t="s">
        <v>44906</v>
      </c>
      <c r="P10235">
        <v>0</v>
      </c>
      <c r="Q10235">
        <v>3</v>
      </c>
      <c r="R10235" t="s">
        <v>44914</v>
      </c>
      <c r="S10235" t="s">
        <v>45202</v>
      </c>
      <c r="T10235" t="s">
        <v>46656</v>
      </c>
      <c r="U10235" t="s">
        <v>55145</v>
      </c>
      <c r="W10235" t="s">
        <v>42099</v>
      </c>
      <c r="X10235" t="s">
        <v>44915</v>
      </c>
    </row>
    <row r="10236" spans="1:24">
      <c r="A10236">
        <f>HYPERLINK("https://www.philgeps.gov.ph/GEPSNONPILOT/Tender/SplashBidNoticeAbstractUI.aspx?menuIndex=3&amp;refID=7070247&amp;Result=3","7070247")</f>
        <v>0</v>
      </c>
      <c r="B10236" t="s">
        <v>108</v>
      </c>
      <c r="C10236" t="s">
        <v>5653</v>
      </c>
      <c r="D10236" t="s">
        <v>18139</v>
      </c>
      <c r="E10236" t="s">
        <v>27085</v>
      </c>
      <c r="F10236" t="s">
        <v>31362</v>
      </c>
      <c r="G10236" t="s">
        <v>31369</v>
      </c>
      <c r="H10236" t="s">
        <v>31378</v>
      </c>
      <c r="I10236" t="s">
        <v>31386</v>
      </c>
      <c r="J10236" t="s">
        <v>37753</v>
      </c>
      <c r="K10236" t="s">
        <v>40683</v>
      </c>
      <c r="M10236" t="s">
        <v>41860</v>
      </c>
      <c r="N10236" t="s">
        <v>44905</v>
      </c>
      <c r="O10236" t="s">
        <v>44906</v>
      </c>
      <c r="P10236">
        <v>0</v>
      </c>
      <c r="Q10236">
        <v>2</v>
      </c>
      <c r="R10236" t="s">
        <v>44914</v>
      </c>
      <c r="S10236" t="s">
        <v>45202</v>
      </c>
      <c r="T10236" t="s">
        <v>46740</v>
      </c>
      <c r="U10236" t="s">
        <v>55138</v>
      </c>
      <c r="W10236" t="s">
        <v>41860</v>
      </c>
      <c r="X10236" t="s">
        <v>44915</v>
      </c>
    </row>
    <row r="10237" spans="1:24">
      <c r="A10237">
        <f>HYPERLINK("https://www.philgeps.gov.ph/GEPSNONPILOT/Tender/SplashBidNoticeAbstractUI.aspx?menuIndex=3&amp;refID=7070230&amp;Result=3","7070230")</f>
        <v>0</v>
      </c>
      <c r="B10237" t="s">
        <v>2875</v>
      </c>
      <c r="C10237" t="s">
        <v>13281</v>
      </c>
      <c r="D10237" t="s">
        <v>18100</v>
      </c>
      <c r="E10237" t="s">
        <v>27086</v>
      </c>
      <c r="F10237" t="s">
        <v>31362</v>
      </c>
      <c r="G10237" t="s">
        <v>31369</v>
      </c>
      <c r="H10237" t="s">
        <v>15799</v>
      </c>
      <c r="I10237" t="s">
        <v>31380</v>
      </c>
      <c r="J10237" t="s">
        <v>32356</v>
      </c>
      <c r="K10237" t="s">
        <v>40693</v>
      </c>
      <c r="M10237" t="s">
        <v>44084</v>
      </c>
      <c r="N10237" t="s">
        <v>44905</v>
      </c>
      <c r="O10237" t="s">
        <v>44906</v>
      </c>
      <c r="P10237">
        <v>0</v>
      </c>
      <c r="Q10237">
        <v>2</v>
      </c>
      <c r="R10237" t="s">
        <v>44914</v>
      </c>
      <c r="S10237" t="s">
        <v>45202</v>
      </c>
      <c r="T10237" t="s">
        <v>46522</v>
      </c>
      <c r="U10237" t="s">
        <v>55146</v>
      </c>
      <c r="W10237" t="s">
        <v>44084</v>
      </c>
      <c r="X10237" t="s">
        <v>44915</v>
      </c>
    </row>
    <row r="10238" spans="1:24">
      <c r="A10238">
        <f>HYPERLINK("https://www.philgeps.gov.ph/GEPSNONPILOT/Tender/SplashBidNoticeAbstractUI.aspx?menuIndex=3&amp;refID=7070242&amp;Result=3","7070242")</f>
        <v>0</v>
      </c>
      <c r="B10238" t="s">
        <v>1373</v>
      </c>
      <c r="C10238" t="s">
        <v>13282</v>
      </c>
      <c r="D10238" t="s">
        <v>18109</v>
      </c>
      <c r="E10238" t="s">
        <v>27087</v>
      </c>
      <c r="F10238" t="s">
        <v>31362</v>
      </c>
      <c r="G10238" t="s">
        <v>31369</v>
      </c>
      <c r="H10238" t="s">
        <v>31378</v>
      </c>
      <c r="I10238" t="s">
        <v>31386</v>
      </c>
      <c r="J10238" t="s">
        <v>37754</v>
      </c>
      <c r="K10238" t="s">
        <v>40686</v>
      </c>
      <c r="M10238" t="s">
        <v>44078</v>
      </c>
      <c r="N10238" t="s">
        <v>44905</v>
      </c>
      <c r="O10238" t="s">
        <v>44906</v>
      </c>
      <c r="P10238">
        <v>0</v>
      </c>
      <c r="Q10238">
        <v>1</v>
      </c>
      <c r="R10238" t="s">
        <v>44914</v>
      </c>
      <c r="S10238" t="s">
        <v>45202</v>
      </c>
      <c r="T10238" t="s">
        <v>46401</v>
      </c>
      <c r="U10238" t="s">
        <v>55147</v>
      </c>
      <c r="W10238" t="s">
        <v>44078</v>
      </c>
      <c r="X10238" t="s">
        <v>44915</v>
      </c>
    </row>
    <row r="10239" spans="1:24">
      <c r="A10239">
        <f>HYPERLINK("https://www.philgeps.gov.ph/GEPSNONPILOT/Tender/SplashBidNoticeAbstractUI.aspx?menuIndex=3&amp;refID=7070223&amp;Result=3","7070223")</f>
        <v>0</v>
      </c>
      <c r="B10239" t="s">
        <v>1094</v>
      </c>
      <c r="C10239" t="s">
        <v>13283</v>
      </c>
      <c r="D10239" t="s">
        <v>18117</v>
      </c>
      <c r="E10239" t="s">
        <v>27088</v>
      </c>
      <c r="F10239" t="s">
        <v>31362</v>
      </c>
      <c r="G10239" t="s">
        <v>31369</v>
      </c>
      <c r="H10239" t="s">
        <v>15799</v>
      </c>
      <c r="I10239" t="s">
        <v>31400</v>
      </c>
      <c r="J10239" t="s">
        <v>37755</v>
      </c>
      <c r="K10239" t="s">
        <v>40665</v>
      </c>
      <c r="M10239" t="s">
        <v>42099</v>
      </c>
      <c r="N10239" t="s">
        <v>44905</v>
      </c>
      <c r="O10239" t="s">
        <v>44906</v>
      </c>
      <c r="P10239">
        <v>0</v>
      </c>
      <c r="Q10239">
        <v>4</v>
      </c>
      <c r="R10239" t="s">
        <v>44914</v>
      </c>
      <c r="S10239" t="s">
        <v>45202</v>
      </c>
      <c r="T10239" t="s">
        <v>46663</v>
      </c>
      <c r="U10239" t="s">
        <v>55141</v>
      </c>
      <c r="W10239" t="s">
        <v>42099</v>
      </c>
      <c r="X10239" t="s">
        <v>44915</v>
      </c>
    </row>
    <row r="10240" spans="1:24">
      <c r="A10240">
        <f>HYPERLINK("https://www.philgeps.gov.ph/GEPSNONPILOT/Tender/SplashBidNoticeAbstractUI.aspx?menuIndex=3&amp;refID=7070239&amp;Result=3","7070239")</f>
        <v>0</v>
      </c>
      <c r="B10240" t="s">
        <v>1625</v>
      </c>
      <c r="C10240" t="s">
        <v>13284</v>
      </c>
      <c r="D10240" t="s">
        <v>18108</v>
      </c>
      <c r="E10240" t="s">
        <v>27089</v>
      </c>
      <c r="F10240" t="s">
        <v>31362</v>
      </c>
      <c r="G10240" t="s">
        <v>31369</v>
      </c>
      <c r="H10240" t="s">
        <v>15799</v>
      </c>
      <c r="I10240" t="s">
        <v>31422</v>
      </c>
      <c r="J10240" t="s">
        <v>37756</v>
      </c>
      <c r="K10240" t="s">
        <v>40662</v>
      </c>
      <c r="M10240" t="s">
        <v>43240</v>
      </c>
      <c r="N10240" t="s">
        <v>44905</v>
      </c>
      <c r="O10240" t="s">
        <v>44906</v>
      </c>
      <c r="Q10240">
        <v>15</v>
      </c>
      <c r="R10240" t="s">
        <v>44914</v>
      </c>
      <c r="S10240" t="s">
        <v>45254</v>
      </c>
      <c r="T10240" t="s">
        <v>46464</v>
      </c>
      <c r="U10240" t="s">
        <v>55148</v>
      </c>
      <c r="V10240" t="s">
        <v>59741</v>
      </c>
      <c r="W10240" t="s">
        <v>43240</v>
      </c>
      <c r="X10240" t="s">
        <v>44915</v>
      </c>
    </row>
    <row r="10241" spans="1:24">
      <c r="A10241">
        <f>HYPERLINK("https://www.philgeps.gov.ph/GEPSNONPILOT/Tender/SplashBidNoticeAbstractUI.aspx?menuIndex=3&amp;refID=7070260&amp;Result=3","7070260")</f>
        <v>0</v>
      </c>
      <c r="B10241" t="s">
        <v>1373</v>
      </c>
      <c r="C10241" t="s">
        <v>13285</v>
      </c>
      <c r="D10241" t="s">
        <v>18109</v>
      </c>
      <c r="E10241" t="s">
        <v>27090</v>
      </c>
      <c r="F10241" t="s">
        <v>31362</v>
      </c>
      <c r="G10241" t="s">
        <v>31369</v>
      </c>
      <c r="H10241" t="s">
        <v>31378</v>
      </c>
      <c r="I10241" t="s">
        <v>31386</v>
      </c>
      <c r="J10241" t="s">
        <v>37757</v>
      </c>
      <c r="K10241" t="s">
        <v>40796</v>
      </c>
      <c r="M10241" t="s">
        <v>44078</v>
      </c>
      <c r="N10241" t="s">
        <v>44905</v>
      </c>
      <c r="O10241" t="s">
        <v>44906</v>
      </c>
      <c r="P10241">
        <v>0</v>
      </c>
      <c r="Q10241">
        <v>1</v>
      </c>
      <c r="R10241" t="s">
        <v>44914</v>
      </c>
      <c r="S10241" t="s">
        <v>45202</v>
      </c>
      <c r="T10241" t="s">
        <v>46401</v>
      </c>
      <c r="U10241" t="s">
        <v>55147</v>
      </c>
      <c r="W10241" t="s">
        <v>44078</v>
      </c>
      <c r="X10241" t="s">
        <v>44915</v>
      </c>
    </row>
    <row r="10242" spans="1:24">
      <c r="A10242">
        <f>HYPERLINK("https://www.philgeps.gov.ph/GEPSNONPILOT/Tender/SplashBidNoticeAbstractUI.aspx?menuIndex=3&amp;refID=7070231&amp;Result=3","7070231")</f>
        <v>0</v>
      </c>
      <c r="B10242" t="s">
        <v>1373</v>
      </c>
      <c r="C10242" t="s">
        <v>13286</v>
      </c>
      <c r="D10242" t="s">
        <v>18109</v>
      </c>
      <c r="E10242" t="s">
        <v>27091</v>
      </c>
      <c r="F10242" t="s">
        <v>31362</v>
      </c>
      <c r="G10242" t="s">
        <v>31369</v>
      </c>
      <c r="H10242" t="s">
        <v>15799</v>
      </c>
      <c r="I10242" t="s">
        <v>31427</v>
      </c>
      <c r="J10242" t="s">
        <v>37758</v>
      </c>
      <c r="K10242" t="s">
        <v>40679</v>
      </c>
      <c r="M10242" t="s">
        <v>44078</v>
      </c>
      <c r="N10242" t="s">
        <v>44905</v>
      </c>
      <c r="O10242" t="s">
        <v>44906</v>
      </c>
      <c r="Q10242">
        <v>3</v>
      </c>
      <c r="R10242" t="s">
        <v>44914</v>
      </c>
      <c r="S10242" t="s">
        <v>45181</v>
      </c>
      <c r="T10242" t="s">
        <v>46511</v>
      </c>
      <c r="U10242" t="s">
        <v>55117</v>
      </c>
      <c r="W10242" t="s">
        <v>44078</v>
      </c>
      <c r="X10242" t="s">
        <v>44915</v>
      </c>
    </row>
    <row r="10243" spans="1:24">
      <c r="A10243">
        <f>HYPERLINK("https://www.philgeps.gov.ph/GEPSNONPILOT/Tender/SplashBidNoticeAbstractUI.aspx?menuIndex=3&amp;refID=6982060-2&amp;Result=3","6982060-2")</f>
        <v>0</v>
      </c>
      <c r="B10243" t="s">
        <v>2876</v>
      </c>
      <c r="C10243" t="s">
        <v>13287</v>
      </c>
      <c r="D10243" t="s">
        <v>18136</v>
      </c>
      <c r="E10243" t="s">
        <v>27092</v>
      </c>
      <c r="F10243" t="s">
        <v>31362</v>
      </c>
      <c r="G10243" t="s">
        <v>31369</v>
      </c>
      <c r="H10243" t="s">
        <v>31377</v>
      </c>
      <c r="I10243" t="s">
        <v>31377</v>
      </c>
      <c r="J10243" t="s">
        <v>37759</v>
      </c>
      <c r="K10243" t="s">
        <v>40732</v>
      </c>
      <c r="M10243" t="s">
        <v>44085</v>
      </c>
      <c r="N10243" t="s">
        <v>44905</v>
      </c>
      <c r="O10243" t="s">
        <v>44906</v>
      </c>
      <c r="P10243">
        <v>0</v>
      </c>
      <c r="Q10243">
        <v>0</v>
      </c>
      <c r="R10243" t="s">
        <v>44915</v>
      </c>
      <c r="S10243" t="s">
        <v>45255</v>
      </c>
      <c r="T10243" t="s">
        <v>46427</v>
      </c>
      <c r="U10243" t="s">
        <v>55149</v>
      </c>
      <c r="V10243" t="s">
        <v>60152</v>
      </c>
      <c r="W10243" t="s">
        <v>44085</v>
      </c>
      <c r="X10243" t="s">
        <v>44916</v>
      </c>
    </row>
    <row r="10244" spans="1:24">
      <c r="A10244">
        <f>HYPERLINK("https://www.philgeps.gov.ph/GEPSNONPILOT/Tender/SplashBidNoticeAbstractUI.aspx?menuIndex=3&amp;refID=7070226&amp;Result=3","7070226")</f>
        <v>0</v>
      </c>
      <c r="B10244" t="s">
        <v>2868</v>
      </c>
      <c r="C10244" t="s">
        <v>13288</v>
      </c>
      <c r="D10244" t="s">
        <v>18107</v>
      </c>
      <c r="E10244" t="s">
        <v>27093</v>
      </c>
      <c r="F10244" t="s">
        <v>31362</v>
      </c>
      <c r="G10244" t="s">
        <v>31369</v>
      </c>
      <c r="H10244" t="s">
        <v>15799</v>
      </c>
      <c r="I10244" t="s">
        <v>31430</v>
      </c>
      <c r="J10244" t="s">
        <v>31570</v>
      </c>
      <c r="K10244" t="s">
        <v>40670</v>
      </c>
      <c r="M10244" t="s">
        <v>44073</v>
      </c>
      <c r="N10244" t="s">
        <v>44905</v>
      </c>
      <c r="O10244" t="s">
        <v>44906</v>
      </c>
      <c r="P10244">
        <v>0</v>
      </c>
      <c r="Q10244">
        <v>1</v>
      </c>
      <c r="R10244" t="s">
        <v>44914</v>
      </c>
      <c r="S10244" t="s">
        <v>45202</v>
      </c>
      <c r="T10244" t="s">
        <v>46519</v>
      </c>
      <c r="U10244" t="s">
        <v>55150</v>
      </c>
      <c r="W10244" t="s">
        <v>60945</v>
      </c>
      <c r="X10244" t="s">
        <v>44915</v>
      </c>
    </row>
    <row r="10245" spans="1:24">
      <c r="A10245">
        <f>HYPERLINK("https://www.philgeps.gov.ph/GEPSNONPILOT/Tender/SplashBidNoticeAbstractUI.aspx?menuIndex=3&amp;refID=6982058-2&amp;Result=3","6982058-2")</f>
        <v>0</v>
      </c>
      <c r="B10245" t="s">
        <v>2876</v>
      </c>
      <c r="C10245" t="s">
        <v>13289</v>
      </c>
      <c r="D10245" t="s">
        <v>18136</v>
      </c>
      <c r="E10245" t="s">
        <v>27094</v>
      </c>
      <c r="F10245" t="s">
        <v>31362</v>
      </c>
      <c r="G10245" t="s">
        <v>31369</v>
      </c>
      <c r="H10245" t="s">
        <v>31377</v>
      </c>
      <c r="I10245" t="s">
        <v>31377</v>
      </c>
      <c r="J10245" t="s">
        <v>37760</v>
      </c>
      <c r="K10245" t="s">
        <v>40761</v>
      </c>
      <c r="M10245" t="s">
        <v>44085</v>
      </c>
      <c r="N10245" t="s">
        <v>44905</v>
      </c>
      <c r="O10245" t="s">
        <v>44906</v>
      </c>
      <c r="Q10245">
        <v>1</v>
      </c>
      <c r="R10245" t="s">
        <v>44915</v>
      </c>
      <c r="S10245" t="s">
        <v>45256</v>
      </c>
      <c r="T10245" t="s">
        <v>46470</v>
      </c>
      <c r="U10245" t="s">
        <v>55151</v>
      </c>
      <c r="V10245" t="s">
        <v>60152</v>
      </c>
      <c r="W10245" t="s">
        <v>44085</v>
      </c>
      <c r="X10245" t="s">
        <v>44916</v>
      </c>
    </row>
    <row r="10246" spans="1:24">
      <c r="A10246">
        <f>HYPERLINK("https://www.philgeps.gov.ph/GEPSNONPILOT/Tender/SplashBidNoticeAbstractUI.aspx?menuIndex=3&amp;refID=6982055-2&amp;Result=3","6982055-2")</f>
        <v>0</v>
      </c>
      <c r="B10246" t="s">
        <v>2876</v>
      </c>
      <c r="C10246" t="s">
        <v>13290</v>
      </c>
      <c r="D10246" t="s">
        <v>18136</v>
      </c>
      <c r="E10246" t="s">
        <v>27095</v>
      </c>
      <c r="F10246" t="s">
        <v>31362</v>
      </c>
      <c r="G10246" t="s">
        <v>31369</v>
      </c>
      <c r="H10246" t="s">
        <v>31377</v>
      </c>
      <c r="I10246" t="s">
        <v>31377</v>
      </c>
      <c r="J10246" t="s">
        <v>37761</v>
      </c>
      <c r="K10246" t="s">
        <v>40870</v>
      </c>
      <c r="M10246" t="s">
        <v>44085</v>
      </c>
      <c r="N10246" t="s">
        <v>44905</v>
      </c>
      <c r="O10246" t="s">
        <v>44906</v>
      </c>
      <c r="Q10246">
        <v>1</v>
      </c>
      <c r="R10246" t="s">
        <v>44915</v>
      </c>
      <c r="S10246" t="s">
        <v>45257</v>
      </c>
      <c r="T10246" t="s">
        <v>46470</v>
      </c>
      <c r="U10246" t="s">
        <v>55149</v>
      </c>
      <c r="V10246" t="s">
        <v>60152</v>
      </c>
      <c r="W10246" t="s">
        <v>44085</v>
      </c>
      <c r="X10246" t="s">
        <v>44916</v>
      </c>
    </row>
    <row r="10247" spans="1:24">
      <c r="A10247">
        <f>HYPERLINK("https://www.philgeps.gov.ph/GEPSNONPILOT/Tender/SplashBidNoticeAbstractUI.aspx?menuIndex=3&amp;refID=6982054-2&amp;Result=3","6982054-2")</f>
        <v>0</v>
      </c>
      <c r="B10247" t="s">
        <v>2876</v>
      </c>
      <c r="C10247" t="s">
        <v>13291</v>
      </c>
      <c r="D10247" t="s">
        <v>18136</v>
      </c>
      <c r="E10247" t="s">
        <v>27096</v>
      </c>
      <c r="F10247" t="s">
        <v>31362</v>
      </c>
      <c r="G10247" t="s">
        <v>31369</v>
      </c>
      <c r="H10247" t="s">
        <v>31377</v>
      </c>
      <c r="I10247" t="s">
        <v>31377</v>
      </c>
      <c r="J10247" t="s">
        <v>37762</v>
      </c>
      <c r="K10247" t="s">
        <v>40871</v>
      </c>
      <c r="M10247" t="s">
        <v>44085</v>
      </c>
      <c r="N10247" t="s">
        <v>44905</v>
      </c>
      <c r="O10247" t="s">
        <v>44906</v>
      </c>
      <c r="Q10247">
        <v>1</v>
      </c>
      <c r="R10247" t="s">
        <v>44915</v>
      </c>
      <c r="S10247" t="s">
        <v>45258</v>
      </c>
      <c r="T10247" t="s">
        <v>46470</v>
      </c>
      <c r="U10247" t="s">
        <v>55149</v>
      </c>
      <c r="V10247" t="s">
        <v>60152</v>
      </c>
      <c r="W10247" t="s">
        <v>44085</v>
      </c>
      <c r="X10247" t="s">
        <v>44916</v>
      </c>
    </row>
    <row r="10248" spans="1:24">
      <c r="A10248">
        <f>HYPERLINK("https://www.philgeps.gov.ph/GEPSNONPILOT/Tender/SplashBidNoticeAbstractUI.aspx?menuIndex=3&amp;refID=6942081&amp;Result=3","6942081")</f>
        <v>0</v>
      </c>
      <c r="B10248" t="s">
        <v>2753</v>
      </c>
      <c r="C10248" t="s">
        <v>13292</v>
      </c>
      <c r="D10248" t="s">
        <v>18104</v>
      </c>
      <c r="E10248" t="s">
        <v>27097</v>
      </c>
      <c r="F10248" t="s">
        <v>31362</v>
      </c>
      <c r="G10248" t="s">
        <v>31369</v>
      </c>
      <c r="H10248" t="s">
        <v>15799</v>
      </c>
      <c r="I10248" t="s">
        <v>31385</v>
      </c>
      <c r="J10248" t="s">
        <v>35935</v>
      </c>
      <c r="K10248" t="s">
        <v>40665</v>
      </c>
      <c r="M10248" t="s">
        <v>43943</v>
      </c>
      <c r="N10248" t="s">
        <v>44905</v>
      </c>
      <c r="O10248" t="s">
        <v>44906</v>
      </c>
      <c r="P10248">
        <v>0</v>
      </c>
      <c r="Q10248">
        <v>1</v>
      </c>
      <c r="R10248" t="s">
        <v>44915</v>
      </c>
      <c r="S10248" t="s">
        <v>45255</v>
      </c>
      <c r="T10248" t="s">
        <v>46447</v>
      </c>
      <c r="U10248" t="s">
        <v>55152</v>
      </c>
      <c r="V10248" t="s">
        <v>60034</v>
      </c>
      <c r="W10248" t="s">
        <v>43943</v>
      </c>
      <c r="X10248" t="s">
        <v>44973</v>
      </c>
    </row>
    <row r="10249" spans="1:24">
      <c r="A10249">
        <f>HYPERLINK("https://www.philgeps.gov.ph/GEPSNONPILOT/Tender/SplashBidNoticeAbstractUI.aspx?menuIndex=3&amp;refID=7070252&amp;Result=3","7070252")</f>
        <v>0</v>
      </c>
      <c r="B10249" t="s">
        <v>108</v>
      </c>
      <c r="C10249" t="s">
        <v>5653</v>
      </c>
      <c r="D10249" t="s">
        <v>18139</v>
      </c>
      <c r="E10249" t="s">
        <v>27098</v>
      </c>
      <c r="F10249" t="s">
        <v>31362</v>
      </c>
      <c r="G10249" t="s">
        <v>31369</v>
      </c>
      <c r="H10249" t="s">
        <v>31378</v>
      </c>
      <c r="I10249" t="s">
        <v>31386</v>
      </c>
      <c r="J10249" t="s">
        <v>37763</v>
      </c>
      <c r="K10249" t="s">
        <v>40679</v>
      </c>
      <c r="M10249" t="s">
        <v>41860</v>
      </c>
      <c r="N10249" t="s">
        <v>44905</v>
      </c>
      <c r="O10249" t="s">
        <v>44906</v>
      </c>
      <c r="P10249">
        <v>0</v>
      </c>
      <c r="Q10249">
        <v>2</v>
      </c>
      <c r="R10249" t="s">
        <v>44914</v>
      </c>
      <c r="S10249" t="s">
        <v>45202</v>
      </c>
      <c r="T10249" t="s">
        <v>46740</v>
      </c>
      <c r="U10249" t="s">
        <v>55138</v>
      </c>
      <c r="W10249" t="s">
        <v>41860</v>
      </c>
      <c r="X10249" t="s">
        <v>44915</v>
      </c>
    </row>
    <row r="10250" spans="1:24">
      <c r="A10250">
        <f>HYPERLINK("https://www.philgeps.gov.ph/GEPSNONPILOT/Tender/SplashBidNoticeAbstractUI.aspx?menuIndex=3&amp;refID=6942031&amp;Result=3","6942031")</f>
        <v>0</v>
      </c>
      <c r="B10250" t="s">
        <v>2753</v>
      </c>
      <c r="C10250" t="s">
        <v>13293</v>
      </c>
      <c r="D10250" t="s">
        <v>18104</v>
      </c>
      <c r="E10250" t="s">
        <v>27099</v>
      </c>
      <c r="F10250" t="s">
        <v>31362</v>
      </c>
      <c r="G10250" t="s">
        <v>31369</v>
      </c>
      <c r="H10250" t="s">
        <v>15799</v>
      </c>
      <c r="I10250" t="s">
        <v>31380</v>
      </c>
      <c r="J10250" t="s">
        <v>37764</v>
      </c>
      <c r="K10250" t="s">
        <v>40665</v>
      </c>
      <c r="M10250" t="s">
        <v>43943</v>
      </c>
      <c r="N10250" t="s">
        <v>44905</v>
      </c>
      <c r="O10250" t="s">
        <v>44906</v>
      </c>
      <c r="P10250">
        <v>0</v>
      </c>
      <c r="Q10250">
        <v>3</v>
      </c>
      <c r="R10250" t="s">
        <v>44915</v>
      </c>
      <c r="S10250" t="s">
        <v>45255</v>
      </c>
      <c r="T10250" t="s">
        <v>46447</v>
      </c>
      <c r="U10250" t="s">
        <v>55153</v>
      </c>
      <c r="V10250" t="s">
        <v>60034</v>
      </c>
      <c r="W10250" t="s">
        <v>43943</v>
      </c>
      <c r="X10250" t="s">
        <v>44973</v>
      </c>
    </row>
    <row r="10251" spans="1:24">
      <c r="A10251">
        <f>HYPERLINK("https://www.philgeps.gov.ph/GEPSNONPILOT/Tender/SplashBidNoticeAbstractUI.aspx?menuIndex=3&amp;refID=6941994&amp;Result=3","6941994")</f>
        <v>0</v>
      </c>
      <c r="B10251" t="s">
        <v>2753</v>
      </c>
      <c r="C10251" t="s">
        <v>13294</v>
      </c>
      <c r="D10251" t="s">
        <v>18104</v>
      </c>
      <c r="E10251" t="s">
        <v>27100</v>
      </c>
      <c r="F10251" t="s">
        <v>31362</v>
      </c>
      <c r="G10251" t="s">
        <v>31369</v>
      </c>
      <c r="H10251" t="s">
        <v>15799</v>
      </c>
      <c r="I10251" t="s">
        <v>31384</v>
      </c>
      <c r="J10251" t="s">
        <v>37765</v>
      </c>
      <c r="K10251" t="s">
        <v>40665</v>
      </c>
      <c r="M10251" t="s">
        <v>43943</v>
      </c>
      <c r="N10251" t="s">
        <v>44905</v>
      </c>
      <c r="O10251" t="s">
        <v>44906</v>
      </c>
      <c r="P10251">
        <v>0</v>
      </c>
      <c r="Q10251">
        <v>4</v>
      </c>
      <c r="R10251" t="s">
        <v>44915</v>
      </c>
      <c r="S10251" t="s">
        <v>45255</v>
      </c>
      <c r="T10251" t="s">
        <v>46447</v>
      </c>
      <c r="U10251" t="s">
        <v>55154</v>
      </c>
      <c r="V10251" t="s">
        <v>60034</v>
      </c>
      <c r="W10251" t="s">
        <v>43943</v>
      </c>
      <c r="X10251" t="s">
        <v>44973</v>
      </c>
    </row>
    <row r="10252" spans="1:24">
      <c r="A10252">
        <f>HYPERLINK("https://www.philgeps.gov.ph/GEPSNONPILOT/Tender/SplashBidNoticeAbstractUI.aspx?menuIndex=3&amp;refID=6941948&amp;Result=3","6941948")</f>
        <v>0</v>
      </c>
      <c r="B10252" t="s">
        <v>2753</v>
      </c>
      <c r="C10252" t="s">
        <v>13295</v>
      </c>
      <c r="D10252" t="s">
        <v>18104</v>
      </c>
      <c r="E10252" t="s">
        <v>27101</v>
      </c>
      <c r="F10252" t="s">
        <v>31362</v>
      </c>
      <c r="G10252" t="s">
        <v>31369</v>
      </c>
      <c r="H10252" t="s">
        <v>15799</v>
      </c>
      <c r="I10252" t="s">
        <v>31380</v>
      </c>
      <c r="J10252" t="s">
        <v>37766</v>
      </c>
      <c r="K10252" t="s">
        <v>40665</v>
      </c>
      <c r="M10252" t="s">
        <v>43943</v>
      </c>
      <c r="N10252" t="s">
        <v>44905</v>
      </c>
      <c r="O10252" t="s">
        <v>44906</v>
      </c>
      <c r="P10252">
        <v>0</v>
      </c>
      <c r="Q10252">
        <v>3</v>
      </c>
      <c r="R10252" t="s">
        <v>44915</v>
      </c>
      <c r="S10252" t="s">
        <v>45255</v>
      </c>
      <c r="T10252" t="s">
        <v>46447</v>
      </c>
      <c r="U10252" t="s">
        <v>55155</v>
      </c>
      <c r="V10252" t="s">
        <v>60034</v>
      </c>
      <c r="W10252" t="s">
        <v>43943</v>
      </c>
      <c r="X10252" t="s">
        <v>44973</v>
      </c>
    </row>
    <row r="10253" spans="1:24">
      <c r="A10253">
        <f>HYPERLINK("https://www.philgeps.gov.ph/GEPSNONPILOT/Tender/SplashBidNoticeAbstractUI.aspx?menuIndex=3&amp;refID=7056199&amp;Result=3","7056199")</f>
        <v>0</v>
      </c>
      <c r="B10253" t="s">
        <v>1429</v>
      </c>
      <c r="C10253" t="s">
        <v>13296</v>
      </c>
      <c r="D10253" t="s">
        <v>18138</v>
      </c>
      <c r="E10253" t="s">
        <v>27102</v>
      </c>
      <c r="F10253" t="s">
        <v>31362</v>
      </c>
      <c r="G10253" t="s">
        <v>31369</v>
      </c>
      <c r="H10253" t="s">
        <v>31378</v>
      </c>
      <c r="I10253" t="s">
        <v>31386</v>
      </c>
      <c r="J10253" t="s">
        <v>31542</v>
      </c>
      <c r="K10253" t="s">
        <v>40675</v>
      </c>
      <c r="M10253" t="s">
        <v>42457</v>
      </c>
      <c r="N10253" t="s">
        <v>44905</v>
      </c>
      <c r="O10253" t="s">
        <v>44906</v>
      </c>
      <c r="P10253">
        <v>0</v>
      </c>
      <c r="Q10253">
        <v>1</v>
      </c>
      <c r="R10253" t="s">
        <v>44915</v>
      </c>
      <c r="S10253" t="s">
        <v>45255</v>
      </c>
      <c r="T10253" t="s">
        <v>46525</v>
      </c>
      <c r="U10253" t="s">
        <v>55156</v>
      </c>
      <c r="W10253" t="s">
        <v>42457</v>
      </c>
      <c r="X10253" t="s">
        <v>44921</v>
      </c>
    </row>
    <row r="10254" spans="1:24">
      <c r="A10254">
        <f>HYPERLINK("https://www.philgeps.gov.ph/GEPSNONPILOT/Tender/SplashBidNoticeAbstractUI.aspx?menuIndex=3&amp;refID=7070234&amp;Result=3","7070234")</f>
        <v>0</v>
      </c>
      <c r="B10254" t="s">
        <v>1373</v>
      </c>
      <c r="C10254" t="s">
        <v>13297</v>
      </c>
      <c r="D10254" t="s">
        <v>18109</v>
      </c>
      <c r="E10254" t="s">
        <v>27103</v>
      </c>
      <c r="F10254" t="s">
        <v>31362</v>
      </c>
      <c r="G10254" t="s">
        <v>31369</v>
      </c>
      <c r="H10254" t="s">
        <v>15799</v>
      </c>
      <c r="I10254" t="s">
        <v>31427</v>
      </c>
      <c r="J10254" t="s">
        <v>37767</v>
      </c>
      <c r="K10254" t="s">
        <v>40679</v>
      </c>
      <c r="M10254" t="s">
        <v>44078</v>
      </c>
      <c r="N10254" t="s">
        <v>44905</v>
      </c>
      <c r="O10254" t="s">
        <v>44906</v>
      </c>
      <c r="Q10254">
        <v>2</v>
      </c>
      <c r="R10254" t="s">
        <v>44914</v>
      </c>
      <c r="S10254" t="s">
        <v>45186</v>
      </c>
      <c r="T10254" t="s">
        <v>46511</v>
      </c>
      <c r="U10254" t="s">
        <v>55117</v>
      </c>
      <c r="W10254" t="s">
        <v>44078</v>
      </c>
      <c r="X10254" t="s">
        <v>44915</v>
      </c>
    </row>
    <row r="10255" spans="1:24">
      <c r="A10255">
        <f>HYPERLINK("https://www.philgeps.gov.ph/GEPSNONPILOT/Tender/SplashBidNoticeAbstractUI.aspx?menuIndex=3&amp;refID=6982057-2&amp;Result=3","6982057-2")</f>
        <v>0</v>
      </c>
      <c r="B10255" t="s">
        <v>2876</v>
      </c>
      <c r="C10255" t="s">
        <v>13298</v>
      </c>
      <c r="D10255" t="s">
        <v>18136</v>
      </c>
      <c r="E10255" t="s">
        <v>27104</v>
      </c>
      <c r="F10255" t="s">
        <v>31362</v>
      </c>
      <c r="G10255" t="s">
        <v>31369</v>
      </c>
      <c r="H10255" t="s">
        <v>31377</v>
      </c>
      <c r="I10255" t="s">
        <v>31377</v>
      </c>
      <c r="J10255" t="s">
        <v>37768</v>
      </c>
      <c r="K10255" t="s">
        <v>40804</v>
      </c>
      <c r="M10255" t="s">
        <v>44085</v>
      </c>
      <c r="N10255" t="s">
        <v>44905</v>
      </c>
      <c r="O10255" t="s">
        <v>44906</v>
      </c>
      <c r="Q10255">
        <v>1</v>
      </c>
      <c r="R10255" t="s">
        <v>44915</v>
      </c>
      <c r="S10255" t="s">
        <v>45259</v>
      </c>
      <c r="T10255" t="s">
        <v>46470</v>
      </c>
      <c r="U10255" t="s">
        <v>55149</v>
      </c>
      <c r="V10255" t="s">
        <v>60152</v>
      </c>
      <c r="W10255" t="s">
        <v>44085</v>
      </c>
      <c r="X10255" t="s">
        <v>44916</v>
      </c>
    </row>
    <row r="10256" spans="1:24">
      <c r="A10256">
        <f>HYPERLINK("https://www.philgeps.gov.ph/GEPSNONPILOT/Tender/SplashBidNoticeAbstractUI.aspx?menuIndex=3&amp;refID=6982063-2&amp;Result=3","6982063-2")</f>
        <v>0</v>
      </c>
      <c r="B10256" t="s">
        <v>2876</v>
      </c>
      <c r="C10256" t="s">
        <v>13299</v>
      </c>
      <c r="D10256" t="s">
        <v>18136</v>
      </c>
      <c r="E10256" t="s">
        <v>27105</v>
      </c>
      <c r="F10256" t="s">
        <v>31362</v>
      </c>
      <c r="G10256" t="s">
        <v>31369</v>
      </c>
      <c r="H10256" t="s">
        <v>31377</v>
      </c>
      <c r="I10256" t="s">
        <v>31377</v>
      </c>
      <c r="J10256" t="s">
        <v>37769</v>
      </c>
      <c r="K10256" t="s">
        <v>40871</v>
      </c>
      <c r="M10256" t="s">
        <v>44085</v>
      </c>
      <c r="N10256" t="s">
        <v>44905</v>
      </c>
      <c r="O10256" t="s">
        <v>44906</v>
      </c>
      <c r="Q10256">
        <v>0</v>
      </c>
      <c r="R10256" t="s">
        <v>44915</v>
      </c>
      <c r="S10256" t="s">
        <v>45260</v>
      </c>
      <c r="T10256" t="s">
        <v>46470</v>
      </c>
      <c r="U10256" t="s">
        <v>55151</v>
      </c>
      <c r="V10256" t="s">
        <v>60152</v>
      </c>
      <c r="W10256" t="s">
        <v>44085</v>
      </c>
      <c r="X10256" t="s">
        <v>44916</v>
      </c>
    </row>
    <row r="10257" spans="1:24">
      <c r="A10257">
        <f>HYPERLINK("https://www.philgeps.gov.ph/GEPSNONPILOT/Tender/SplashBidNoticeAbstractUI.aspx?menuIndex=3&amp;refID=7070227&amp;Result=3","7070227")</f>
        <v>0</v>
      </c>
      <c r="B10257" t="s">
        <v>154</v>
      </c>
      <c r="C10257" t="s">
        <v>13300</v>
      </c>
      <c r="D10257" t="s">
        <v>18109</v>
      </c>
      <c r="E10257" t="s">
        <v>18476</v>
      </c>
      <c r="F10257" t="s">
        <v>31362</v>
      </c>
      <c r="G10257" t="s">
        <v>31369</v>
      </c>
      <c r="H10257" t="s">
        <v>15799</v>
      </c>
      <c r="I10257" t="s">
        <v>31497</v>
      </c>
      <c r="J10257" t="s">
        <v>31578</v>
      </c>
      <c r="K10257" t="s">
        <v>40661</v>
      </c>
      <c r="M10257" t="s">
        <v>44086</v>
      </c>
      <c r="N10257" t="s">
        <v>44905</v>
      </c>
      <c r="O10257" t="s">
        <v>44906</v>
      </c>
      <c r="P10257">
        <v>0</v>
      </c>
      <c r="Q10257">
        <v>3</v>
      </c>
      <c r="R10257" t="s">
        <v>44914</v>
      </c>
      <c r="S10257" t="s">
        <v>45202</v>
      </c>
      <c r="T10257" t="s">
        <v>46409</v>
      </c>
      <c r="U10257" t="s">
        <v>55157</v>
      </c>
      <c r="W10257" t="s">
        <v>44086</v>
      </c>
      <c r="X10257" t="s">
        <v>44915</v>
      </c>
    </row>
    <row r="10258" spans="1:24">
      <c r="A10258">
        <f>HYPERLINK("https://www.philgeps.gov.ph/GEPSNONPILOT/Tender/SplashBidNoticeAbstractUI.aspx?menuIndex=3&amp;refID=7056935&amp;Result=3","7056935")</f>
        <v>0</v>
      </c>
      <c r="B10258" t="s">
        <v>1661</v>
      </c>
      <c r="C10258" t="s">
        <v>13301</v>
      </c>
      <c r="D10258" t="s">
        <v>18112</v>
      </c>
      <c r="E10258" t="s">
        <v>27106</v>
      </c>
      <c r="F10258" t="s">
        <v>31362</v>
      </c>
      <c r="G10258" t="s">
        <v>31369</v>
      </c>
      <c r="H10258" t="s">
        <v>15799</v>
      </c>
      <c r="I10258" t="s">
        <v>31427</v>
      </c>
      <c r="J10258" t="s">
        <v>31542</v>
      </c>
      <c r="K10258" t="s">
        <v>40670</v>
      </c>
      <c r="M10258" t="s">
        <v>42726</v>
      </c>
      <c r="N10258" t="s">
        <v>44905</v>
      </c>
      <c r="O10258" t="s">
        <v>44906</v>
      </c>
      <c r="P10258">
        <v>0</v>
      </c>
      <c r="Q10258">
        <v>6</v>
      </c>
      <c r="R10258" t="s">
        <v>44915</v>
      </c>
      <c r="S10258" t="s">
        <v>45255</v>
      </c>
      <c r="T10258" t="s">
        <v>46484</v>
      </c>
      <c r="U10258" t="s">
        <v>52168</v>
      </c>
      <c r="V10258" t="s">
        <v>59538</v>
      </c>
      <c r="W10258" t="s">
        <v>42726</v>
      </c>
      <c r="X10258" t="s">
        <v>44921</v>
      </c>
    </row>
    <row r="10259" spans="1:24">
      <c r="A10259">
        <f>HYPERLINK("https://www.philgeps.gov.ph/GEPSNONPILOT/Tender/SplashBidNoticeAbstractUI.aspx?menuIndex=3&amp;refID=7056258&amp;Result=3","7056258")</f>
        <v>0</v>
      </c>
      <c r="B10259" t="s">
        <v>2877</v>
      </c>
      <c r="C10259" t="s">
        <v>13302</v>
      </c>
      <c r="D10259" t="s">
        <v>18151</v>
      </c>
      <c r="E10259" t="s">
        <v>27107</v>
      </c>
      <c r="F10259" t="s">
        <v>31362</v>
      </c>
      <c r="G10259" t="s">
        <v>31370</v>
      </c>
      <c r="H10259" t="s">
        <v>15799</v>
      </c>
      <c r="I10259" t="s">
        <v>31422</v>
      </c>
      <c r="J10259" t="s">
        <v>37770</v>
      </c>
      <c r="K10259" t="s">
        <v>40670</v>
      </c>
      <c r="M10259" t="s">
        <v>44087</v>
      </c>
      <c r="N10259" t="s">
        <v>44905</v>
      </c>
      <c r="O10259" t="s">
        <v>44906</v>
      </c>
      <c r="P10259">
        <v>0</v>
      </c>
      <c r="Q10259">
        <v>1</v>
      </c>
      <c r="R10259" t="s">
        <v>44915</v>
      </c>
      <c r="S10259" t="s">
        <v>45255</v>
      </c>
      <c r="T10259" t="s">
        <v>46760</v>
      </c>
      <c r="U10259" t="s">
        <v>55158</v>
      </c>
      <c r="W10259" t="s">
        <v>44087</v>
      </c>
      <c r="X10259" t="s">
        <v>44921</v>
      </c>
    </row>
    <row r="10260" spans="1:24">
      <c r="A10260">
        <f>HYPERLINK("https://www.philgeps.gov.ph/GEPSNONPILOT/Tender/SplashBidNoticeAbstractUI.aspx?menuIndex=3&amp;refID=6982061-2&amp;Result=3","6982061-2")</f>
        <v>0</v>
      </c>
      <c r="B10260" t="s">
        <v>2876</v>
      </c>
      <c r="C10260" t="s">
        <v>13303</v>
      </c>
      <c r="D10260" t="s">
        <v>18136</v>
      </c>
      <c r="E10260" t="s">
        <v>27108</v>
      </c>
      <c r="F10260" t="s">
        <v>31362</v>
      </c>
      <c r="G10260" t="s">
        <v>31369</v>
      </c>
      <c r="H10260" t="s">
        <v>31377</v>
      </c>
      <c r="I10260" t="s">
        <v>31377</v>
      </c>
      <c r="J10260" t="s">
        <v>37771</v>
      </c>
      <c r="K10260" t="s">
        <v>40746</v>
      </c>
      <c r="M10260" t="s">
        <v>44085</v>
      </c>
      <c r="N10260" t="s">
        <v>44905</v>
      </c>
      <c r="O10260" t="s">
        <v>44906</v>
      </c>
      <c r="Q10260">
        <v>0</v>
      </c>
      <c r="R10260" t="s">
        <v>44915</v>
      </c>
      <c r="S10260" t="s">
        <v>45261</v>
      </c>
      <c r="T10260" t="s">
        <v>46470</v>
      </c>
      <c r="U10260" t="s">
        <v>55149</v>
      </c>
      <c r="V10260" t="s">
        <v>60152</v>
      </c>
      <c r="W10260" t="s">
        <v>44085</v>
      </c>
      <c r="X10260" t="s">
        <v>44916</v>
      </c>
    </row>
    <row r="10261" spans="1:24">
      <c r="A10261">
        <f>HYPERLINK("https://www.philgeps.gov.ph/GEPSNONPILOT/Tender/SplashBidNoticeAbstractUI.aspx?menuIndex=3&amp;refID=6941920&amp;Result=3","6941920")</f>
        <v>0</v>
      </c>
      <c r="B10261" t="s">
        <v>2753</v>
      </c>
      <c r="C10261" t="s">
        <v>12568</v>
      </c>
      <c r="D10261" t="s">
        <v>18104</v>
      </c>
      <c r="E10261" t="s">
        <v>27109</v>
      </c>
      <c r="F10261" t="s">
        <v>31362</v>
      </c>
      <c r="G10261" t="s">
        <v>31369</v>
      </c>
      <c r="H10261" t="s">
        <v>15799</v>
      </c>
      <c r="I10261" t="s">
        <v>31393</v>
      </c>
      <c r="J10261" t="s">
        <v>37772</v>
      </c>
      <c r="K10261" t="s">
        <v>40665</v>
      </c>
      <c r="M10261" t="s">
        <v>43943</v>
      </c>
      <c r="N10261" t="s">
        <v>44905</v>
      </c>
      <c r="O10261" t="s">
        <v>44906</v>
      </c>
      <c r="P10261">
        <v>0</v>
      </c>
      <c r="Q10261">
        <v>5</v>
      </c>
      <c r="R10261" t="s">
        <v>44915</v>
      </c>
      <c r="S10261" t="s">
        <v>45255</v>
      </c>
      <c r="T10261" t="s">
        <v>46447</v>
      </c>
      <c r="U10261" t="s">
        <v>55159</v>
      </c>
      <c r="V10261" t="s">
        <v>60034</v>
      </c>
      <c r="W10261" t="s">
        <v>43943</v>
      </c>
      <c r="X10261" t="s">
        <v>44973</v>
      </c>
    </row>
    <row r="10262" spans="1:24">
      <c r="A10262">
        <f>HYPERLINK("https://www.philgeps.gov.ph/GEPSNONPILOT/Tender/SplashBidNoticeAbstractUI.aspx?menuIndex=3&amp;refID=7056105&amp;Result=3","7056105")</f>
        <v>0</v>
      </c>
      <c r="B10262" t="s">
        <v>1429</v>
      </c>
      <c r="C10262" t="s">
        <v>13304</v>
      </c>
      <c r="D10262" t="s">
        <v>18138</v>
      </c>
      <c r="E10262" t="s">
        <v>27110</v>
      </c>
      <c r="F10262" t="s">
        <v>31362</v>
      </c>
      <c r="G10262" t="s">
        <v>31369</v>
      </c>
      <c r="H10262" t="s">
        <v>31378</v>
      </c>
      <c r="I10262" t="s">
        <v>31386</v>
      </c>
      <c r="J10262" t="s">
        <v>37773</v>
      </c>
      <c r="K10262" t="s">
        <v>40711</v>
      </c>
      <c r="M10262" t="s">
        <v>42457</v>
      </c>
      <c r="N10262" t="s">
        <v>44905</v>
      </c>
      <c r="O10262" t="s">
        <v>44906</v>
      </c>
      <c r="P10262">
        <v>0</v>
      </c>
      <c r="Q10262">
        <v>0</v>
      </c>
      <c r="R10262" t="s">
        <v>44915</v>
      </c>
      <c r="S10262" t="s">
        <v>45255</v>
      </c>
      <c r="T10262" t="s">
        <v>46553</v>
      </c>
      <c r="U10262" t="s">
        <v>55160</v>
      </c>
      <c r="W10262" t="s">
        <v>42457</v>
      </c>
      <c r="X10262" t="s">
        <v>44921</v>
      </c>
    </row>
    <row r="10263" spans="1:24">
      <c r="A10263">
        <f>HYPERLINK("https://www.philgeps.gov.ph/GEPSNONPILOT/Tender/SplashBidNoticeAbstractUI.aspx?menuIndex=3&amp;refID=7055754&amp;Result=3","7055754")</f>
        <v>0</v>
      </c>
      <c r="B10263" t="s">
        <v>1429</v>
      </c>
      <c r="C10263" t="s">
        <v>13305</v>
      </c>
      <c r="D10263" t="s">
        <v>18138</v>
      </c>
      <c r="E10263" t="s">
        <v>27111</v>
      </c>
      <c r="F10263" t="s">
        <v>31362</v>
      </c>
      <c r="G10263" t="s">
        <v>31369</v>
      </c>
      <c r="H10263" t="s">
        <v>15799</v>
      </c>
      <c r="I10263" t="s">
        <v>31409</v>
      </c>
      <c r="J10263" t="s">
        <v>31542</v>
      </c>
      <c r="K10263" t="s">
        <v>40666</v>
      </c>
      <c r="M10263" t="s">
        <v>42457</v>
      </c>
      <c r="N10263" t="s">
        <v>44905</v>
      </c>
      <c r="O10263" t="s">
        <v>44906</v>
      </c>
      <c r="P10263">
        <v>0</v>
      </c>
      <c r="Q10263">
        <v>3</v>
      </c>
      <c r="R10263" t="s">
        <v>44915</v>
      </c>
      <c r="S10263" t="s">
        <v>45255</v>
      </c>
      <c r="T10263" t="s">
        <v>46462</v>
      </c>
      <c r="U10263" t="s">
        <v>55161</v>
      </c>
      <c r="W10263" t="s">
        <v>42457</v>
      </c>
      <c r="X10263" t="s">
        <v>44921</v>
      </c>
    </row>
    <row r="10264" spans="1:24">
      <c r="A10264">
        <f>HYPERLINK("https://www.philgeps.gov.ph/GEPSNONPILOT/Tender/SplashBidNoticeAbstractUI.aspx?menuIndex=3&amp;refID=7055816&amp;Result=3","7055816")</f>
        <v>0</v>
      </c>
      <c r="B10264" t="s">
        <v>1429</v>
      </c>
      <c r="C10264" t="s">
        <v>13306</v>
      </c>
      <c r="D10264" t="s">
        <v>18138</v>
      </c>
      <c r="E10264" t="s">
        <v>27112</v>
      </c>
      <c r="F10264" t="s">
        <v>31362</v>
      </c>
      <c r="G10264" t="s">
        <v>31369</v>
      </c>
      <c r="H10264" t="s">
        <v>31378</v>
      </c>
      <c r="I10264" t="s">
        <v>31386</v>
      </c>
      <c r="J10264" t="s">
        <v>31606</v>
      </c>
      <c r="K10264" t="s">
        <v>40711</v>
      </c>
      <c r="M10264" t="s">
        <v>42457</v>
      </c>
      <c r="N10264" t="s">
        <v>44905</v>
      </c>
      <c r="O10264" t="s">
        <v>44906</v>
      </c>
      <c r="P10264">
        <v>0</v>
      </c>
      <c r="Q10264">
        <v>0</v>
      </c>
      <c r="R10264" t="s">
        <v>44915</v>
      </c>
      <c r="S10264" t="s">
        <v>45255</v>
      </c>
      <c r="T10264" t="s">
        <v>46392</v>
      </c>
      <c r="U10264" t="s">
        <v>55162</v>
      </c>
      <c r="W10264" t="s">
        <v>42457</v>
      </c>
      <c r="X10264" t="s">
        <v>44921</v>
      </c>
    </row>
    <row r="10265" spans="1:24">
      <c r="A10265">
        <f>HYPERLINK("https://www.philgeps.gov.ph/GEPSNONPILOT/Tender/SplashBidNoticeAbstractUI.aspx?menuIndex=3&amp;refID=7058260&amp;Result=3","7058260")</f>
        <v>0</v>
      </c>
      <c r="B10265" t="s">
        <v>2134</v>
      </c>
      <c r="C10265" t="s">
        <v>13307</v>
      </c>
      <c r="D10265" t="s">
        <v>18101</v>
      </c>
      <c r="E10265" t="s">
        <v>27113</v>
      </c>
      <c r="F10265" t="s">
        <v>31362</v>
      </c>
      <c r="G10265" t="s">
        <v>31369</v>
      </c>
      <c r="H10265" t="s">
        <v>31378</v>
      </c>
      <c r="I10265" t="s">
        <v>31386</v>
      </c>
      <c r="J10265" t="s">
        <v>37774</v>
      </c>
      <c r="K10265" t="s">
        <v>40872</v>
      </c>
      <c r="M10265" t="s">
        <v>43262</v>
      </c>
      <c r="N10265" t="s">
        <v>44905</v>
      </c>
      <c r="O10265" t="s">
        <v>44906</v>
      </c>
      <c r="P10265">
        <v>0</v>
      </c>
      <c r="Q10265">
        <v>2</v>
      </c>
      <c r="R10265" t="s">
        <v>44915</v>
      </c>
      <c r="S10265" t="s">
        <v>45255</v>
      </c>
      <c r="T10265" t="s">
        <v>46679</v>
      </c>
      <c r="U10265" t="s">
        <v>55163</v>
      </c>
      <c r="W10265" t="s">
        <v>43262</v>
      </c>
      <c r="X10265" t="s">
        <v>44920</v>
      </c>
    </row>
    <row r="10266" spans="1:24">
      <c r="A10266">
        <f>HYPERLINK("https://www.philgeps.gov.ph/GEPSNONPILOT/Tender/SplashBidNoticeAbstractUI.aspx?menuIndex=3&amp;refID=7052986&amp;Result=3","7052986")</f>
        <v>0</v>
      </c>
      <c r="B10266" t="s">
        <v>1417</v>
      </c>
      <c r="C10266" t="s">
        <v>13308</v>
      </c>
      <c r="E10266" t="s">
        <v>27114</v>
      </c>
      <c r="F10266" t="s">
        <v>31362</v>
      </c>
      <c r="G10266" t="s">
        <v>31369</v>
      </c>
      <c r="H10266" t="s">
        <v>15799</v>
      </c>
      <c r="I10266" t="s">
        <v>31380</v>
      </c>
      <c r="J10266" t="s">
        <v>37775</v>
      </c>
      <c r="K10266" t="s">
        <v>40661</v>
      </c>
      <c r="M10266" t="s">
        <v>42443</v>
      </c>
      <c r="N10266" t="s">
        <v>44905</v>
      </c>
      <c r="O10266" t="s">
        <v>44906</v>
      </c>
      <c r="P10266">
        <v>0</v>
      </c>
      <c r="Q10266">
        <v>4</v>
      </c>
      <c r="R10266" t="s">
        <v>44915</v>
      </c>
      <c r="S10266" t="s">
        <v>45255</v>
      </c>
      <c r="T10266" t="s">
        <v>46561</v>
      </c>
      <c r="U10266" t="s">
        <v>55164</v>
      </c>
      <c r="W10266" t="s">
        <v>42443</v>
      </c>
      <c r="X10266" t="s">
        <v>44922</v>
      </c>
    </row>
    <row r="10267" spans="1:24">
      <c r="A10267">
        <f>HYPERLINK("https://www.philgeps.gov.ph/GEPSNONPILOT/Tender/SplashBidNoticeAbstractUI.aspx?menuIndex=3&amp;refID=7052225&amp;Result=3","7052225")</f>
        <v>0</v>
      </c>
      <c r="B10267" t="s">
        <v>886</v>
      </c>
      <c r="C10267" t="s">
        <v>13309</v>
      </c>
      <c r="E10267" t="s">
        <v>27115</v>
      </c>
      <c r="F10267" t="s">
        <v>31362</v>
      </c>
      <c r="G10267" t="s">
        <v>31369</v>
      </c>
      <c r="H10267" t="s">
        <v>15799</v>
      </c>
      <c r="I10267" t="s">
        <v>31419</v>
      </c>
      <c r="J10267" t="s">
        <v>34763</v>
      </c>
      <c r="K10267" t="s">
        <v>40662</v>
      </c>
      <c r="M10267" t="s">
        <v>41970</v>
      </c>
      <c r="N10267" t="s">
        <v>44905</v>
      </c>
      <c r="O10267" t="s">
        <v>44906</v>
      </c>
      <c r="P10267">
        <v>0</v>
      </c>
      <c r="Q10267">
        <v>32</v>
      </c>
      <c r="R10267" t="s">
        <v>44915</v>
      </c>
      <c r="S10267" t="s">
        <v>45255</v>
      </c>
      <c r="T10267" t="s">
        <v>46528</v>
      </c>
      <c r="U10267" t="s">
        <v>49008</v>
      </c>
      <c r="W10267" t="s">
        <v>41970</v>
      </c>
      <c r="X10267" t="s">
        <v>44923</v>
      </c>
    </row>
    <row r="10268" spans="1:24">
      <c r="A10268">
        <f>HYPERLINK("https://www.philgeps.gov.ph/GEPSNONPILOT/Tender/SplashBidNoticeAbstractUI.aspx?menuIndex=3&amp;refID=7051781&amp;Result=3","7051781")</f>
        <v>0</v>
      </c>
      <c r="B10268" t="s">
        <v>2753</v>
      </c>
      <c r="C10268" t="s">
        <v>13310</v>
      </c>
      <c r="D10268" t="s">
        <v>18104</v>
      </c>
      <c r="E10268" t="s">
        <v>27116</v>
      </c>
      <c r="F10268" t="s">
        <v>31362</v>
      </c>
      <c r="G10268" t="s">
        <v>31369</v>
      </c>
      <c r="H10268" t="s">
        <v>15799</v>
      </c>
      <c r="I10268" t="s">
        <v>31400</v>
      </c>
      <c r="J10268" t="s">
        <v>33227</v>
      </c>
      <c r="K10268" t="s">
        <v>40665</v>
      </c>
      <c r="M10268" t="s">
        <v>43943</v>
      </c>
      <c r="N10268" t="s">
        <v>44905</v>
      </c>
      <c r="O10268" t="s">
        <v>44906</v>
      </c>
      <c r="P10268">
        <v>0</v>
      </c>
      <c r="Q10268">
        <v>3</v>
      </c>
      <c r="R10268" t="s">
        <v>44915</v>
      </c>
      <c r="S10268" t="s">
        <v>45255</v>
      </c>
      <c r="T10268" t="s">
        <v>46447</v>
      </c>
      <c r="U10268" t="s">
        <v>55165</v>
      </c>
      <c r="V10268" t="s">
        <v>60034</v>
      </c>
      <c r="W10268" t="s">
        <v>43943</v>
      </c>
      <c r="X10268" t="s">
        <v>44923</v>
      </c>
    </row>
    <row r="10269" spans="1:24">
      <c r="A10269">
        <f>HYPERLINK("https://www.philgeps.gov.ph/GEPSNONPILOT/Tender/SplashBidNoticeAbstractUI.aspx?menuIndex=3&amp;refID=7051829&amp;Result=3","7051829")</f>
        <v>0</v>
      </c>
      <c r="B10269" t="s">
        <v>2753</v>
      </c>
      <c r="C10269" t="s">
        <v>13311</v>
      </c>
      <c r="D10269" t="s">
        <v>18104</v>
      </c>
      <c r="E10269" t="s">
        <v>27117</v>
      </c>
      <c r="F10269" t="s">
        <v>31362</v>
      </c>
      <c r="G10269" t="s">
        <v>31369</v>
      </c>
      <c r="H10269" t="s">
        <v>15799</v>
      </c>
      <c r="I10269" t="s">
        <v>31385</v>
      </c>
      <c r="J10269" t="s">
        <v>37776</v>
      </c>
      <c r="K10269" t="s">
        <v>40665</v>
      </c>
      <c r="M10269" t="s">
        <v>43943</v>
      </c>
      <c r="N10269" t="s">
        <v>44905</v>
      </c>
      <c r="O10269" t="s">
        <v>44906</v>
      </c>
      <c r="P10269">
        <v>0</v>
      </c>
      <c r="Q10269">
        <v>3</v>
      </c>
      <c r="R10269" t="s">
        <v>44915</v>
      </c>
      <c r="S10269" t="s">
        <v>45255</v>
      </c>
      <c r="T10269" t="s">
        <v>46392</v>
      </c>
      <c r="U10269" t="s">
        <v>55166</v>
      </c>
      <c r="V10269" t="s">
        <v>60034</v>
      </c>
      <c r="W10269" t="s">
        <v>43943</v>
      </c>
      <c r="X10269" t="s">
        <v>44923</v>
      </c>
    </row>
    <row r="10270" spans="1:24">
      <c r="A10270">
        <f>HYPERLINK("https://www.philgeps.gov.ph/GEPSNONPILOT/Tender/SplashBidNoticeAbstractUI.aspx?menuIndex=3&amp;refID=7050872&amp;Result=3","7050872")</f>
        <v>0</v>
      </c>
      <c r="B10270" t="s">
        <v>2753</v>
      </c>
      <c r="C10270" t="s">
        <v>13312</v>
      </c>
      <c r="D10270" t="s">
        <v>18104</v>
      </c>
      <c r="E10270" t="s">
        <v>13312</v>
      </c>
      <c r="F10270" t="s">
        <v>31362</v>
      </c>
      <c r="G10270" t="s">
        <v>31369</v>
      </c>
      <c r="H10270" t="s">
        <v>31378</v>
      </c>
      <c r="I10270" t="s">
        <v>31386</v>
      </c>
      <c r="J10270" t="s">
        <v>37777</v>
      </c>
      <c r="K10270" t="s">
        <v>40686</v>
      </c>
      <c r="M10270" t="s">
        <v>43943</v>
      </c>
      <c r="N10270" t="s">
        <v>44905</v>
      </c>
      <c r="O10270" t="s">
        <v>44906</v>
      </c>
      <c r="P10270">
        <v>0</v>
      </c>
      <c r="Q10270">
        <v>3</v>
      </c>
      <c r="R10270" t="s">
        <v>44915</v>
      </c>
      <c r="S10270" t="s">
        <v>45255</v>
      </c>
      <c r="T10270" t="s">
        <v>46392</v>
      </c>
      <c r="U10270" t="s">
        <v>55167</v>
      </c>
      <c r="W10270" t="s">
        <v>43943</v>
      </c>
      <c r="X10270" t="s">
        <v>44923</v>
      </c>
    </row>
    <row r="10271" spans="1:24">
      <c r="A10271">
        <f>HYPERLINK("https://www.philgeps.gov.ph/GEPSNONPILOT/Tender/SplashBidNoticeAbstractUI.aspx?menuIndex=3&amp;refID=7051649&amp;Result=3","7051649")</f>
        <v>0</v>
      </c>
      <c r="B10271" t="s">
        <v>2753</v>
      </c>
      <c r="C10271" t="s">
        <v>13313</v>
      </c>
      <c r="D10271" t="s">
        <v>18104</v>
      </c>
      <c r="E10271" t="s">
        <v>27118</v>
      </c>
      <c r="F10271" t="s">
        <v>31362</v>
      </c>
      <c r="G10271" t="s">
        <v>31369</v>
      </c>
      <c r="H10271" t="s">
        <v>15799</v>
      </c>
      <c r="I10271" t="s">
        <v>31384</v>
      </c>
      <c r="J10271" t="s">
        <v>37778</v>
      </c>
      <c r="K10271" t="s">
        <v>40665</v>
      </c>
      <c r="M10271" t="s">
        <v>43943</v>
      </c>
      <c r="N10271" t="s">
        <v>44905</v>
      </c>
      <c r="O10271" t="s">
        <v>44906</v>
      </c>
      <c r="P10271">
        <v>0</v>
      </c>
      <c r="Q10271">
        <v>7</v>
      </c>
      <c r="R10271" t="s">
        <v>44915</v>
      </c>
      <c r="S10271" t="s">
        <v>45255</v>
      </c>
      <c r="T10271" t="s">
        <v>46447</v>
      </c>
      <c r="U10271" t="s">
        <v>55168</v>
      </c>
      <c r="V10271" t="s">
        <v>60153</v>
      </c>
      <c r="W10271" t="s">
        <v>43943</v>
      </c>
      <c r="X10271" t="s">
        <v>44923</v>
      </c>
    </row>
    <row r="10272" spans="1:24">
      <c r="A10272">
        <f>HYPERLINK("https://www.philgeps.gov.ph/GEPSNONPILOT/Tender/SplashBidNoticeAbstractUI.aspx?menuIndex=3&amp;refID=6992175&amp;Result=3","6992175")</f>
        <v>0</v>
      </c>
      <c r="B10272" t="s">
        <v>2878</v>
      </c>
      <c r="C10272" t="s">
        <v>13314</v>
      </c>
      <c r="D10272" t="s">
        <v>18112</v>
      </c>
      <c r="E10272" t="s">
        <v>27119</v>
      </c>
      <c r="F10272" t="s">
        <v>31362</v>
      </c>
      <c r="G10272" t="s">
        <v>31369</v>
      </c>
      <c r="H10272" t="s">
        <v>15799</v>
      </c>
      <c r="I10272" t="s">
        <v>31436</v>
      </c>
      <c r="J10272" t="s">
        <v>37779</v>
      </c>
      <c r="K10272" t="s">
        <v>40723</v>
      </c>
      <c r="M10272" t="s">
        <v>44088</v>
      </c>
      <c r="N10272" t="s">
        <v>44905</v>
      </c>
      <c r="O10272" t="s">
        <v>44906</v>
      </c>
      <c r="P10272">
        <v>0</v>
      </c>
      <c r="Q10272">
        <v>6</v>
      </c>
      <c r="R10272" t="s">
        <v>44915</v>
      </c>
      <c r="S10272" t="s">
        <v>45255</v>
      </c>
      <c r="T10272" t="s">
        <v>46504</v>
      </c>
      <c r="U10272" t="s">
        <v>55169</v>
      </c>
      <c r="W10272" t="s">
        <v>44088</v>
      </c>
      <c r="X10272" t="s">
        <v>60986</v>
      </c>
    </row>
    <row r="10273" spans="1:24">
      <c r="A10273">
        <f>HYPERLINK("https://www.philgeps.gov.ph/GEPSNONPILOT/Tender/SplashBidNoticeAbstractUI.aspx?menuIndex=3&amp;refID=7051712&amp;Result=3","7051712")</f>
        <v>0</v>
      </c>
      <c r="B10273" t="s">
        <v>2753</v>
      </c>
      <c r="C10273" t="s">
        <v>13315</v>
      </c>
      <c r="D10273" t="s">
        <v>18104</v>
      </c>
      <c r="E10273" t="s">
        <v>27120</v>
      </c>
      <c r="F10273" t="s">
        <v>31362</v>
      </c>
      <c r="G10273" t="s">
        <v>31369</v>
      </c>
      <c r="H10273" t="s">
        <v>15799</v>
      </c>
      <c r="I10273" t="s">
        <v>31385</v>
      </c>
      <c r="J10273" t="s">
        <v>37780</v>
      </c>
      <c r="K10273" t="s">
        <v>40665</v>
      </c>
      <c r="M10273" t="s">
        <v>43943</v>
      </c>
      <c r="N10273" t="s">
        <v>44905</v>
      </c>
      <c r="O10273" t="s">
        <v>44906</v>
      </c>
      <c r="P10273">
        <v>0</v>
      </c>
      <c r="Q10273">
        <v>1</v>
      </c>
      <c r="R10273" t="s">
        <v>44915</v>
      </c>
      <c r="S10273" t="s">
        <v>45255</v>
      </c>
      <c r="T10273" t="s">
        <v>46447</v>
      </c>
      <c r="U10273" t="s">
        <v>55170</v>
      </c>
      <c r="V10273" t="s">
        <v>60153</v>
      </c>
      <c r="W10273" t="s">
        <v>43943</v>
      </c>
      <c r="X10273" t="s">
        <v>44923</v>
      </c>
    </row>
    <row r="10274" spans="1:24">
      <c r="A10274">
        <f>HYPERLINK("https://www.philgeps.gov.ph/GEPSNONPILOT/Tender/SplashBidNoticeAbstractUI.aspx?menuIndex=3&amp;refID=6982065-2&amp;Result=3","6982065-2")</f>
        <v>0</v>
      </c>
      <c r="B10274" t="s">
        <v>2876</v>
      </c>
      <c r="C10274" t="s">
        <v>13316</v>
      </c>
      <c r="D10274" t="s">
        <v>18136</v>
      </c>
      <c r="E10274" t="s">
        <v>27121</v>
      </c>
      <c r="F10274" t="s">
        <v>31362</v>
      </c>
      <c r="G10274" t="s">
        <v>31369</v>
      </c>
      <c r="H10274" t="s">
        <v>31377</v>
      </c>
      <c r="I10274" t="s">
        <v>31377</v>
      </c>
      <c r="J10274" t="s">
        <v>37781</v>
      </c>
      <c r="K10274" t="s">
        <v>40776</v>
      </c>
      <c r="M10274" t="s">
        <v>44085</v>
      </c>
      <c r="N10274" t="s">
        <v>44905</v>
      </c>
      <c r="O10274" t="s">
        <v>44906</v>
      </c>
      <c r="Q10274">
        <v>1</v>
      </c>
      <c r="R10274" t="s">
        <v>44915</v>
      </c>
      <c r="S10274" t="s">
        <v>45262</v>
      </c>
      <c r="T10274" t="s">
        <v>46470</v>
      </c>
      <c r="U10274" t="s">
        <v>55151</v>
      </c>
      <c r="V10274" t="s">
        <v>60152</v>
      </c>
      <c r="W10274" t="s">
        <v>44085</v>
      </c>
      <c r="X10274" t="s">
        <v>44916</v>
      </c>
    </row>
    <row r="10275" spans="1:24">
      <c r="A10275">
        <f>HYPERLINK("https://www.philgeps.gov.ph/GEPSNONPILOT/Tender/SplashBidNoticeAbstractUI.aspx?menuIndex=3&amp;refID=7051605&amp;Result=3","7051605")</f>
        <v>0</v>
      </c>
      <c r="B10275" t="s">
        <v>2753</v>
      </c>
      <c r="C10275" t="s">
        <v>13317</v>
      </c>
      <c r="D10275" t="s">
        <v>18104</v>
      </c>
      <c r="E10275" t="s">
        <v>27122</v>
      </c>
      <c r="F10275" t="s">
        <v>31362</v>
      </c>
      <c r="G10275" t="s">
        <v>31369</v>
      </c>
      <c r="H10275" t="s">
        <v>15799</v>
      </c>
      <c r="I10275" t="s">
        <v>31422</v>
      </c>
      <c r="J10275" t="s">
        <v>37782</v>
      </c>
      <c r="K10275" t="s">
        <v>40677</v>
      </c>
      <c r="M10275" t="s">
        <v>43943</v>
      </c>
      <c r="N10275" t="s">
        <v>44905</v>
      </c>
      <c r="O10275" t="s">
        <v>44906</v>
      </c>
      <c r="P10275">
        <v>0</v>
      </c>
      <c r="Q10275">
        <v>5</v>
      </c>
      <c r="R10275" t="s">
        <v>44915</v>
      </c>
      <c r="S10275" t="s">
        <v>45255</v>
      </c>
      <c r="T10275" t="s">
        <v>46447</v>
      </c>
      <c r="U10275" t="s">
        <v>55171</v>
      </c>
      <c r="V10275" t="s">
        <v>60034</v>
      </c>
      <c r="W10275" t="s">
        <v>43943</v>
      </c>
      <c r="X10275" t="s">
        <v>44923</v>
      </c>
    </row>
    <row r="10276" spans="1:24">
      <c r="A10276">
        <f>HYPERLINK("https://www.philgeps.gov.ph/GEPSNONPILOT/Tender/SplashBidNoticeAbstractUI.aspx?menuIndex=3&amp;refID=7030834-2&amp;Result=3","7030834-2")</f>
        <v>0</v>
      </c>
      <c r="B10276" t="s">
        <v>1629</v>
      </c>
      <c r="C10276" t="s">
        <v>13318</v>
      </c>
      <c r="D10276" t="s">
        <v>18110</v>
      </c>
      <c r="E10276" t="s">
        <v>27123</v>
      </c>
      <c r="F10276" t="s">
        <v>31362</v>
      </c>
      <c r="G10276" t="s">
        <v>31373</v>
      </c>
      <c r="H10276" t="s">
        <v>31377</v>
      </c>
      <c r="I10276" t="s">
        <v>31377</v>
      </c>
      <c r="J10276" t="s">
        <v>37783</v>
      </c>
      <c r="K10276" t="s">
        <v>40678</v>
      </c>
      <c r="M10276" t="s">
        <v>44089</v>
      </c>
      <c r="N10276" t="s">
        <v>44905</v>
      </c>
      <c r="O10276" t="s">
        <v>44906</v>
      </c>
      <c r="Q10276">
        <v>1</v>
      </c>
      <c r="R10276" t="s">
        <v>44915</v>
      </c>
      <c r="S10276" t="s">
        <v>45263</v>
      </c>
      <c r="T10276" t="s">
        <v>46462</v>
      </c>
      <c r="U10276" t="s">
        <v>55172</v>
      </c>
      <c r="V10276" t="s">
        <v>60154</v>
      </c>
      <c r="W10276" t="s">
        <v>44089</v>
      </c>
      <c r="X10276" t="s">
        <v>44916</v>
      </c>
    </row>
    <row r="10277" spans="1:24">
      <c r="A10277">
        <f>HYPERLINK("https://www.philgeps.gov.ph/GEPSNONPILOT/Tender/SplashBidNoticeAbstractUI.aspx?menuIndex=3&amp;refID=7040936&amp;Result=3","7040936")</f>
        <v>0</v>
      </c>
      <c r="B10277" t="s">
        <v>1643</v>
      </c>
      <c r="C10277" t="s">
        <v>13319</v>
      </c>
      <c r="D10277" t="s">
        <v>18108</v>
      </c>
      <c r="E10277" t="s">
        <v>19844</v>
      </c>
      <c r="F10277" t="s">
        <v>31362</v>
      </c>
      <c r="G10277" t="s">
        <v>31369</v>
      </c>
      <c r="H10277" t="s">
        <v>31379</v>
      </c>
      <c r="I10277" t="s">
        <v>31385</v>
      </c>
      <c r="J10277" t="s">
        <v>37784</v>
      </c>
      <c r="K10277" t="s">
        <v>40661</v>
      </c>
      <c r="M10277" t="s">
        <v>42707</v>
      </c>
      <c r="N10277" t="s">
        <v>44905</v>
      </c>
      <c r="O10277" t="s">
        <v>44906</v>
      </c>
      <c r="P10277">
        <v>0</v>
      </c>
      <c r="Q10277">
        <v>1</v>
      </c>
      <c r="R10277" t="s">
        <v>44915</v>
      </c>
      <c r="S10277" t="s">
        <v>45255</v>
      </c>
      <c r="T10277" t="s">
        <v>46443</v>
      </c>
      <c r="U10277" t="s">
        <v>55173</v>
      </c>
      <c r="W10277" t="s">
        <v>42707</v>
      </c>
      <c r="X10277" t="s">
        <v>44930</v>
      </c>
    </row>
    <row r="10278" spans="1:24">
      <c r="A10278">
        <f>HYPERLINK("https://www.philgeps.gov.ph/GEPSNONPILOT/Tender/SplashBidNoticeAbstractUI.aspx?menuIndex=3&amp;refID=7070272&amp;Result=3","7070272")</f>
        <v>0</v>
      </c>
      <c r="B10278" t="s">
        <v>2879</v>
      </c>
      <c r="C10278" t="s">
        <v>13320</v>
      </c>
      <c r="D10278" t="s">
        <v>18169</v>
      </c>
      <c r="E10278" t="s">
        <v>27124</v>
      </c>
      <c r="F10278" t="s">
        <v>31362</v>
      </c>
      <c r="G10278" t="s">
        <v>31372</v>
      </c>
      <c r="H10278" t="s">
        <v>31379</v>
      </c>
      <c r="I10278" t="s">
        <v>31404</v>
      </c>
      <c r="J10278" t="s">
        <v>37785</v>
      </c>
      <c r="K10278" t="s">
        <v>40723</v>
      </c>
      <c r="M10278" t="s">
        <v>44090</v>
      </c>
      <c r="N10278" t="s">
        <v>44905</v>
      </c>
      <c r="O10278" t="s">
        <v>44906</v>
      </c>
      <c r="P10278">
        <v>0</v>
      </c>
      <c r="Q10278">
        <v>3</v>
      </c>
      <c r="R10278" t="s">
        <v>44914</v>
      </c>
      <c r="S10278" t="s">
        <v>45202</v>
      </c>
      <c r="T10278" t="s">
        <v>46411</v>
      </c>
      <c r="U10278" t="s">
        <v>55174</v>
      </c>
      <c r="W10278" t="s">
        <v>60947</v>
      </c>
      <c r="X10278" t="s">
        <v>44915</v>
      </c>
    </row>
    <row r="10279" spans="1:24">
      <c r="A10279">
        <f>HYPERLINK("https://www.philgeps.gov.ph/GEPSNONPILOT/Tender/SplashBidNoticeAbstractUI.aspx?menuIndex=3&amp;refID=7070256&amp;Result=3","7070256")</f>
        <v>0</v>
      </c>
      <c r="B10279" t="s">
        <v>108</v>
      </c>
      <c r="C10279" t="s">
        <v>13321</v>
      </c>
      <c r="D10279" t="s">
        <v>18139</v>
      </c>
      <c r="E10279" t="s">
        <v>27125</v>
      </c>
      <c r="F10279" t="s">
        <v>31362</v>
      </c>
      <c r="G10279" t="s">
        <v>31369</v>
      </c>
      <c r="H10279" t="s">
        <v>31378</v>
      </c>
      <c r="I10279" t="s">
        <v>31386</v>
      </c>
      <c r="J10279" t="s">
        <v>37786</v>
      </c>
      <c r="K10279" t="s">
        <v>40686</v>
      </c>
      <c r="M10279" t="s">
        <v>41860</v>
      </c>
      <c r="N10279" t="s">
        <v>44905</v>
      </c>
      <c r="O10279" t="s">
        <v>44906</v>
      </c>
      <c r="P10279">
        <v>0</v>
      </c>
      <c r="Q10279">
        <v>1</v>
      </c>
      <c r="R10279" t="s">
        <v>44914</v>
      </c>
      <c r="S10279" t="s">
        <v>45202</v>
      </c>
      <c r="T10279" t="s">
        <v>46740</v>
      </c>
      <c r="U10279" t="s">
        <v>55175</v>
      </c>
      <c r="W10279" t="s">
        <v>41860</v>
      </c>
      <c r="X10279" t="s">
        <v>44915</v>
      </c>
    </row>
    <row r="10280" spans="1:24">
      <c r="A10280">
        <f>HYPERLINK("https://www.philgeps.gov.ph/GEPSNONPILOT/Tender/SplashBidNoticeAbstractUI.aspx?menuIndex=3&amp;refID=7058585&amp;Result=3","7058585")</f>
        <v>0</v>
      </c>
      <c r="B10280" t="s">
        <v>1867</v>
      </c>
      <c r="C10280" t="s">
        <v>13322</v>
      </c>
      <c r="D10280" t="s">
        <v>18115</v>
      </c>
      <c r="E10280" t="s">
        <v>27126</v>
      </c>
      <c r="F10280" t="s">
        <v>31362</v>
      </c>
      <c r="G10280" t="s">
        <v>31369</v>
      </c>
      <c r="H10280" t="s">
        <v>31378</v>
      </c>
      <c r="I10280" t="s">
        <v>31386</v>
      </c>
      <c r="J10280" t="s">
        <v>37787</v>
      </c>
      <c r="K10280" t="s">
        <v>40678</v>
      </c>
      <c r="M10280" t="s">
        <v>42958</v>
      </c>
      <c r="N10280" t="s">
        <v>44905</v>
      </c>
      <c r="O10280" t="s">
        <v>44906</v>
      </c>
      <c r="P10280">
        <v>0</v>
      </c>
      <c r="Q10280">
        <v>27</v>
      </c>
      <c r="R10280" t="s">
        <v>44915</v>
      </c>
      <c r="S10280" t="s">
        <v>45255</v>
      </c>
      <c r="T10280" t="s">
        <v>46636</v>
      </c>
      <c r="U10280" t="s">
        <v>55176</v>
      </c>
      <c r="W10280" t="s">
        <v>42958</v>
      </c>
      <c r="X10280" t="s">
        <v>44919</v>
      </c>
    </row>
    <row r="10281" spans="1:24">
      <c r="A10281">
        <f>HYPERLINK("https://www.philgeps.gov.ph/GEPSNONPILOT/Tender/SplashBidNoticeAbstractUI.aspx?menuIndex=3&amp;refID=7070222&amp;Result=3","7070222")</f>
        <v>0</v>
      </c>
      <c r="B10281" t="s">
        <v>2875</v>
      </c>
      <c r="C10281" t="s">
        <v>13323</v>
      </c>
      <c r="D10281" t="s">
        <v>18100</v>
      </c>
      <c r="E10281" t="s">
        <v>25600</v>
      </c>
      <c r="F10281" t="s">
        <v>31362</v>
      </c>
      <c r="G10281" t="s">
        <v>31369</v>
      </c>
      <c r="H10281" t="s">
        <v>15799</v>
      </c>
      <c r="I10281" t="s">
        <v>31469</v>
      </c>
      <c r="J10281" t="s">
        <v>31758</v>
      </c>
      <c r="K10281" t="s">
        <v>40693</v>
      </c>
      <c r="M10281" t="s">
        <v>44084</v>
      </c>
      <c r="N10281" t="s">
        <v>44905</v>
      </c>
      <c r="O10281" t="s">
        <v>44906</v>
      </c>
      <c r="P10281">
        <v>0</v>
      </c>
      <c r="Q10281">
        <v>3</v>
      </c>
      <c r="R10281" t="s">
        <v>44914</v>
      </c>
      <c r="S10281" t="s">
        <v>45202</v>
      </c>
      <c r="T10281" t="s">
        <v>46522</v>
      </c>
      <c r="U10281" t="s">
        <v>55177</v>
      </c>
      <c r="W10281" t="s">
        <v>44084</v>
      </c>
      <c r="X10281" t="s">
        <v>44915</v>
      </c>
    </row>
    <row r="10282" spans="1:24">
      <c r="A10282">
        <f>HYPERLINK("https://www.philgeps.gov.ph/GEPSNONPILOT/Tender/SplashBidNoticeAbstractUI.aspx?menuIndex=3&amp;refID=7070156&amp;Result=3","7070156")</f>
        <v>0</v>
      </c>
      <c r="B10282" t="s">
        <v>800</v>
      </c>
      <c r="C10282" t="s">
        <v>13324</v>
      </c>
      <c r="D10282" t="s">
        <v>18130</v>
      </c>
      <c r="E10282" t="s">
        <v>27127</v>
      </c>
      <c r="F10282" t="s">
        <v>31362</v>
      </c>
      <c r="G10282" t="s">
        <v>31369</v>
      </c>
      <c r="H10282" t="s">
        <v>15799</v>
      </c>
      <c r="I10282" t="s">
        <v>3815</v>
      </c>
      <c r="J10282" t="s">
        <v>37788</v>
      </c>
      <c r="K10282" t="s">
        <v>40666</v>
      </c>
      <c r="M10282" t="s">
        <v>41770</v>
      </c>
      <c r="N10282" t="s">
        <v>44905</v>
      </c>
      <c r="O10282" t="s">
        <v>44906</v>
      </c>
      <c r="P10282">
        <v>0</v>
      </c>
      <c r="Q10282">
        <v>0</v>
      </c>
      <c r="R10282" t="s">
        <v>44914</v>
      </c>
      <c r="S10282" t="s">
        <v>45202</v>
      </c>
      <c r="T10282" t="s">
        <v>46479</v>
      </c>
      <c r="U10282" t="s">
        <v>55178</v>
      </c>
      <c r="W10282" t="s">
        <v>41770</v>
      </c>
      <c r="X10282" t="s">
        <v>44915</v>
      </c>
    </row>
    <row r="10283" spans="1:24">
      <c r="A10283">
        <f>HYPERLINK("https://www.philgeps.gov.ph/GEPSNONPILOT/Tender/SplashBidNoticeAbstractUI.aspx?menuIndex=3&amp;refID=6941881&amp;Result=3","6941881")</f>
        <v>0</v>
      </c>
      <c r="B10283" t="s">
        <v>2753</v>
      </c>
      <c r="C10283" t="s">
        <v>13325</v>
      </c>
      <c r="D10283" t="s">
        <v>18104</v>
      </c>
      <c r="E10283" t="s">
        <v>27128</v>
      </c>
      <c r="F10283" t="s">
        <v>31362</v>
      </c>
      <c r="G10283" t="s">
        <v>31369</v>
      </c>
      <c r="H10283" t="s">
        <v>15799</v>
      </c>
      <c r="I10283" t="s">
        <v>31431</v>
      </c>
      <c r="J10283" t="s">
        <v>37789</v>
      </c>
      <c r="K10283" t="s">
        <v>40665</v>
      </c>
      <c r="M10283" t="s">
        <v>43943</v>
      </c>
      <c r="N10283" t="s">
        <v>44905</v>
      </c>
      <c r="O10283" t="s">
        <v>44906</v>
      </c>
      <c r="P10283">
        <v>0</v>
      </c>
      <c r="Q10283">
        <v>2</v>
      </c>
      <c r="R10283" t="s">
        <v>44915</v>
      </c>
      <c r="S10283" t="s">
        <v>45255</v>
      </c>
      <c r="T10283" t="s">
        <v>46447</v>
      </c>
      <c r="U10283" t="s">
        <v>55179</v>
      </c>
      <c r="V10283" t="s">
        <v>60155</v>
      </c>
      <c r="W10283" t="s">
        <v>43943</v>
      </c>
      <c r="X10283" t="s">
        <v>44973</v>
      </c>
    </row>
    <row r="10284" spans="1:24">
      <c r="A10284">
        <f>HYPERLINK("https://www.philgeps.gov.ph/GEPSNONPILOT/Tender/SplashBidNoticeAbstractUI.aspx?menuIndex=3&amp;refID=7070267&amp;Result=3","7070267")</f>
        <v>0</v>
      </c>
      <c r="B10284" t="s">
        <v>1373</v>
      </c>
      <c r="C10284" t="s">
        <v>13326</v>
      </c>
      <c r="D10284" t="s">
        <v>18109</v>
      </c>
      <c r="E10284" t="s">
        <v>27129</v>
      </c>
      <c r="F10284" t="s">
        <v>31362</v>
      </c>
      <c r="G10284" t="s">
        <v>31369</v>
      </c>
      <c r="H10284" t="s">
        <v>31378</v>
      </c>
      <c r="I10284" t="s">
        <v>31386</v>
      </c>
      <c r="J10284" t="s">
        <v>37790</v>
      </c>
      <c r="K10284" t="s">
        <v>40691</v>
      </c>
      <c r="M10284" t="s">
        <v>44078</v>
      </c>
      <c r="N10284" t="s">
        <v>44905</v>
      </c>
      <c r="O10284" t="s">
        <v>44906</v>
      </c>
      <c r="P10284">
        <v>0</v>
      </c>
      <c r="Q10284">
        <v>0</v>
      </c>
      <c r="R10284" t="s">
        <v>44914</v>
      </c>
      <c r="S10284" t="s">
        <v>45202</v>
      </c>
      <c r="T10284" t="s">
        <v>46401</v>
      </c>
      <c r="U10284" t="s">
        <v>55147</v>
      </c>
      <c r="W10284" t="s">
        <v>44078</v>
      </c>
      <c r="X10284" t="s">
        <v>44915</v>
      </c>
    </row>
    <row r="10285" spans="1:24">
      <c r="A10285">
        <f>HYPERLINK("https://www.philgeps.gov.ph/GEPSNONPILOT/Tender/SplashBidNoticeAbstractUI.aspx?menuIndex=3&amp;refID=7070262&amp;Result=3","7070262")</f>
        <v>0</v>
      </c>
      <c r="B10285" t="s">
        <v>108</v>
      </c>
      <c r="C10285" t="s">
        <v>13327</v>
      </c>
      <c r="D10285" t="s">
        <v>18139</v>
      </c>
      <c r="E10285" t="s">
        <v>27130</v>
      </c>
      <c r="F10285" t="s">
        <v>31362</v>
      </c>
      <c r="G10285" t="s">
        <v>31369</v>
      </c>
      <c r="H10285" t="s">
        <v>31378</v>
      </c>
      <c r="I10285" t="s">
        <v>31386</v>
      </c>
      <c r="J10285" t="s">
        <v>37786</v>
      </c>
      <c r="K10285" t="s">
        <v>40686</v>
      </c>
      <c r="M10285" t="s">
        <v>41860</v>
      </c>
      <c r="N10285" t="s">
        <v>44905</v>
      </c>
      <c r="O10285" t="s">
        <v>44906</v>
      </c>
      <c r="P10285">
        <v>0</v>
      </c>
      <c r="Q10285">
        <v>1</v>
      </c>
      <c r="R10285" t="s">
        <v>44914</v>
      </c>
      <c r="S10285" t="s">
        <v>45202</v>
      </c>
      <c r="T10285" t="s">
        <v>46740</v>
      </c>
      <c r="U10285" t="s">
        <v>55180</v>
      </c>
      <c r="W10285" t="s">
        <v>41860</v>
      </c>
      <c r="X10285" t="s">
        <v>44915</v>
      </c>
    </row>
    <row r="10286" spans="1:24">
      <c r="A10286">
        <f>HYPERLINK("https://www.philgeps.gov.ph/GEPSNONPILOT/Tender/SplashBidNoticeAbstractUI.aspx?menuIndex=3&amp;refID=7070143&amp;Result=3","7070143")</f>
        <v>0</v>
      </c>
      <c r="B10286" t="s">
        <v>430</v>
      </c>
      <c r="C10286" t="s">
        <v>13328</v>
      </c>
      <c r="D10286" t="s">
        <v>18112</v>
      </c>
      <c r="E10286" t="s">
        <v>27131</v>
      </c>
      <c r="F10286" t="s">
        <v>31362</v>
      </c>
      <c r="G10286" t="s">
        <v>31369</v>
      </c>
      <c r="H10286" t="s">
        <v>15799</v>
      </c>
      <c r="I10286" t="s">
        <v>31451</v>
      </c>
      <c r="J10286" t="s">
        <v>31625</v>
      </c>
      <c r="K10286" t="s">
        <v>40665</v>
      </c>
      <c r="M10286" t="s">
        <v>41381</v>
      </c>
      <c r="N10286" t="s">
        <v>44905</v>
      </c>
      <c r="O10286" t="s">
        <v>44906</v>
      </c>
      <c r="Q10286">
        <v>3</v>
      </c>
      <c r="R10286" t="s">
        <v>44914</v>
      </c>
      <c r="S10286" t="s">
        <v>45264</v>
      </c>
      <c r="T10286" t="s">
        <v>46623</v>
      </c>
      <c r="U10286" t="s">
        <v>55181</v>
      </c>
      <c r="V10286" t="s">
        <v>60146</v>
      </c>
      <c r="W10286" t="s">
        <v>41381</v>
      </c>
      <c r="X10286" t="s">
        <v>44915</v>
      </c>
    </row>
    <row r="10287" spans="1:24">
      <c r="A10287">
        <f>HYPERLINK("https://www.philgeps.gov.ph/GEPSNONPILOT/Tender/SplashBidNoticeAbstractUI.aspx?menuIndex=3&amp;refID=7070269&amp;Result=3","7070269")</f>
        <v>0</v>
      </c>
      <c r="B10287" t="s">
        <v>1373</v>
      </c>
      <c r="C10287" t="s">
        <v>13329</v>
      </c>
      <c r="D10287" t="s">
        <v>18109</v>
      </c>
      <c r="E10287" t="s">
        <v>27132</v>
      </c>
      <c r="F10287" t="s">
        <v>31362</v>
      </c>
      <c r="G10287" t="s">
        <v>31369</v>
      </c>
      <c r="H10287" t="s">
        <v>15799</v>
      </c>
      <c r="I10287" t="s">
        <v>31427</v>
      </c>
      <c r="J10287" t="s">
        <v>33028</v>
      </c>
      <c r="K10287" t="s">
        <v>40679</v>
      </c>
      <c r="M10287" t="s">
        <v>44078</v>
      </c>
      <c r="N10287" t="s">
        <v>44905</v>
      </c>
      <c r="O10287" t="s">
        <v>44906</v>
      </c>
      <c r="Q10287">
        <v>5</v>
      </c>
      <c r="R10287" t="s">
        <v>44914</v>
      </c>
      <c r="S10287" t="s">
        <v>45265</v>
      </c>
      <c r="T10287" t="s">
        <v>46511</v>
      </c>
      <c r="U10287" t="s">
        <v>55117</v>
      </c>
      <c r="W10287" t="s">
        <v>44078</v>
      </c>
      <c r="X10287" t="s">
        <v>44915</v>
      </c>
    </row>
    <row r="10288" spans="1:24">
      <c r="A10288">
        <f>HYPERLINK("https://www.philgeps.gov.ph/GEPSNONPILOT/Tender/SplashBidNoticeAbstractUI.aspx?menuIndex=3&amp;refID=7070221&amp;Result=3","7070221")</f>
        <v>0</v>
      </c>
      <c r="B10288" t="s">
        <v>2637</v>
      </c>
      <c r="C10288" t="s">
        <v>13330</v>
      </c>
      <c r="D10288" t="s">
        <v>18109</v>
      </c>
      <c r="E10288" t="s">
        <v>26547</v>
      </c>
      <c r="F10288" t="s">
        <v>31362</v>
      </c>
      <c r="G10288" t="s">
        <v>31369</v>
      </c>
      <c r="H10288" t="s">
        <v>15799</v>
      </c>
      <c r="I10288" t="s">
        <v>31444</v>
      </c>
      <c r="J10288" t="s">
        <v>31607</v>
      </c>
      <c r="K10288" t="s">
        <v>40666</v>
      </c>
      <c r="M10288" t="s">
        <v>43818</v>
      </c>
      <c r="N10288" t="s">
        <v>44905</v>
      </c>
      <c r="O10288" t="s">
        <v>44906</v>
      </c>
      <c r="P10288">
        <v>0</v>
      </c>
      <c r="Q10288">
        <v>4</v>
      </c>
      <c r="R10288" t="s">
        <v>44914</v>
      </c>
      <c r="S10288" t="s">
        <v>45202</v>
      </c>
      <c r="T10288" t="s">
        <v>46524</v>
      </c>
      <c r="U10288" t="s">
        <v>55182</v>
      </c>
      <c r="V10288" t="s">
        <v>59983</v>
      </c>
      <c r="W10288" t="s">
        <v>43818</v>
      </c>
      <c r="X10288" t="s">
        <v>44915</v>
      </c>
    </row>
    <row r="10289" spans="1:24">
      <c r="A10289">
        <f>HYPERLINK("https://www.philgeps.gov.ph/GEPSNONPILOT/Tender/SplashBidNoticeAbstractUI.aspx?menuIndex=3&amp;refID=7070142&amp;Result=3","7070142")</f>
        <v>0</v>
      </c>
      <c r="B10289" t="s">
        <v>800</v>
      </c>
      <c r="C10289" t="s">
        <v>13331</v>
      </c>
      <c r="D10289" t="s">
        <v>18130</v>
      </c>
      <c r="E10289" t="s">
        <v>27133</v>
      </c>
      <c r="F10289" t="s">
        <v>31362</v>
      </c>
      <c r="G10289" t="s">
        <v>31369</v>
      </c>
      <c r="H10289" t="s">
        <v>15799</v>
      </c>
      <c r="I10289" t="s">
        <v>6373</v>
      </c>
      <c r="J10289" t="s">
        <v>37791</v>
      </c>
      <c r="K10289" t="s">
        <v>40666</v>
      </c>
      <c r="M10289" t="s">
        <v>41770</v>
      </c>
      <c r="N10289" t="s">
        <v>44905</v>
      </c>
      <c r="O10289" t="s">
        <v>44906</v>
      </c>
      <c r="P10289">
        <v>0</v>
      </c>
      <c r="Q10289">
        <v>2</v>
      </c>
      <c r="R10289" t="s">
        <v>44914</v>
      </c>
      <c r="S10289" t="s">
        <v>45202</v>
      </c>
      <c r="T10289" t="s">
        <v>46479</v>
      </c>
      <c r="U10289" t="s">
        <v>55183</v>
      </c>
      <c r="W10289" t="s">
        <v>41770</v>
      </c>
      <c r="X10289" t="s">
        <v>44915</v>
      </c>
    </row>
    <row r="10290" spans="1:24">
      <c r="A10290">
        <f>HYPERLINK("https://www.philgeps.gov.ph/GEPSNONPILOT/Tender/SplashBidNoticeAbstractUI.aspx?menuIndex=3&amp;refID=7070151&amp;Result=3","7070151")</f>
        <v>0</v>
      </c>
      <c r="B10290" t="s">
        <v>800</v>
      </c>
      <c r="C10290" t="s">
        <v>13332</v>
      </c>
      <c r="D10290" t="s">
        <v>18130</v>
      </c>
      <c r="E10290" t="s">
        <v>27134</v>
      </c>
      <c r="F10290" t="s">
        <v>31362</v>
      </c>
      <c r="G10290" t="s">
        <v>31369</v>
      </c>
      <c r="H10290" t="s">
        <v>15799</v>
      </c>
      <c r="I10290" t="s">
        <v>6373</v>
      </c>
      <c r="J10290" t="s">
        <v>37792</v>
      </c>
      <c r="K10290" t="s">
        <v>40666</v>
      </c>
      <c r="M10290" t="s">
        <v>41770</v>
      </c>
      <c r="N10290" t="s">
        <v>44905</v>
      </c>
      <c r="O10290" t="s">
        <v>44906</v>
      </c>
      <c r="P10290">
        <v>0</v>
      </c>
      <c r="Q10290">
        <v>1</v>
      </c>
      <c r="R10290" t="s">
        <v>44914</v>
      </c>
      <c r="S10290" t="s">
        <v>45202</v>
      </c>
      <c r="T10290" t="s">
        <v>46479</v>
      </c>
      <c r="U10290" t="s">
        <v>55184</v>
      </c>
      <c r="W10290" t="s">
        <v>41770</v>
      </c>
      <c r="X10290" t="s">
        <v>44915</v>
      </c>
    </row>
    <row r="10291" spans="1:24">
      <c r="A10291">
        <f>HYPERLINK("https://www.philgeps.gov.ph/GEPSNONPILOT/Tender/SplashBidNoticeAbstractUI.aspx?menuIndex=3&amp;refID=7067883&amp;Result=3","7067883")</f>
        <v>0</v>
      </c>
      <c r="B10291" t="s">
        <v>682</v>
      </c>
      <c r="C10291" t="s">
        <v>13333</v>
      </c>
      <c r="E10291" t="s">
        <v>27135</v>
      </c>
      <c r="F10291" t="s">
        <v>31362</v>
      </c>
      <c r="G10291" t="s">
        <v>31369</v>
      </c>
      <c r="H10291" t="s">
        <v>15799</v>
      </c>
      <c r="I10291" t="s">
        <v>13635</v>
      </c>
      <c r="J10291" t="s">
        <v>37793</v>
      </c>
      <c r="K10291" t="s">
        <v>40666</v>
      </c>
      <c r="M10291" t="s">
        <v>41644</v>
      </c>
      <c r="N10291" t="s">
        <v>44905</v>
      </c>
      <c r="O10291" t="s">
        <v>44906</v>
      </c>
      <c r="P10291">
        <v>0</v>
      </c>
      <c r="Q10291">
        <v>2</v>
      </c>
      <c r="R10291" t="s">
        <v>44914</v>
      </c>
      <c r="S10291" t="s">
        <v>45202</v>
      </c>
      <c r="T10291" t="s">
        <v>46694</v>
      </c>
      <c r="U10291" t="s">
        <v>55185</v>
      </c>
      <c r="V10291" t="s">
        <v>60091</v>
      </c>
      <c r="W10291" t="s">
        <v>41644</v>
      </c>
      <c r="X10291" t="s">
        <v>44915</v>
      </c>
    </row>
    <row r="10292" spans="1:24">
      <c r="A10292">
        <f>HYPERLINK("https://www.philgeps.gov.ph/GEPSNONPILOT/Tender/SplashBidNoticeAbstractUI.aspx?menuIndex=3&amp;refID=7067881&amp;Result=3","7067881")</f>
        <v>0</v>
      </c>
      <c r="B10292" t="s">
        <v>2784</v>
      </c>
      <c r="C10292" t="s">
        <v>13334</v>
      </c>
      <c r="D10292" t="s">
        <v>18155</v>
      </c>
      <c r="E10292" t="s">
        <v>27136</v>
      </c>
      <c r="F10292" t="s">
        <v>31362</v>
      </c>
      <c r="G10292" t="s">
        <v>31369</v>
      </c>
      <c r="H10292" t="s">
        <v>31378</v>
      </c>
      <c r="I10292" t="s">
        <v>31386</v>
      </c>
      <c r="J10292" t="s">
        <v>37794</v>
      </c>
      <c r="K10292" t="s">
        <v>40662</v>
      </c>
      <c r="M10292" t="s">
        <v>43979</v>
      </c>
      <c r="N10292" t="s">
        <v>44905</v>
      </c>
      <c r="O10292" t="s">
        <v>44906</v>
      </c>
      <c r="P10292">
        <v>0</v>
      </c>
      <c r="Q10292">
        <v>1</v>
      </c>
      <c r="R10292" t="s">
        <v>44914</v>
      </c>
      <c r="S10292" t="s">
        <v>45202</v>
      </c>
      <c r="T10292" t="s">
        <v>46425</v>
      </c>
      <c r="U10292" t="s">
        <v>55186</v>
      </c>
      <c r="W10292" t="s">
        <v>43979</v>
      </c>
      <c r="X10292" t="s">
        <v>44915</v>
      </c>
    </row>
    <row r="10293" spans="1:24">
      <c r="A10293">
        <f>HYPERLINK("https://www.philgeps.gov.ph/GEPSNONPILOT/Tender/SplashBidNoticeAbstractUI.aspx?menuIndex=3&amp;refID=7067736&amp;Result=3","7067736")</f>
        <v>0</v>
      </c>
      <c r="B10293" t="s">
        <v>2065</v>
      </c>
      <c r="C10293" t="s">
        <v>10242</v>
      </c>
      <c r="D10293" t="s">
        <v>18105</v>
      </c>
      <c r="E10293" t="s">
        <v>25769</v>
      </c>
      <c r="F10293" t="s">
        <v>31362</v>
      </c>
      <c r="G10293" t="s">
        <v>31369</v>
      </c>
      <c r="H10293" t="s">
        <v>15799</v>
      </c>
      <c r="I10293" t="s">
        <v>31409</v>
      </c>
      <c r="J10293" t="s">
        <v>31987</v>
      </c>
      <c r="K10293" t="s">
        <v>40665</v>
      </c>
      <c r="M10293" t="s">
        <v>43187</v>
      </c>
      <c r="N10293" t="s">
        <v>44905</v>
      </c>
      <c r="O10293" t="s">
        <v>44906</v>
      </c>
      <c r="P10293">
        <v>0</v>
      </c>
      <c r="Q10293">
        <v>0</v>
      </c>
      <c r="R10293" t="s">
        <v>44914</v>
      </c>
      <c r="S10293" t="s">
        <v>45202</v>
      </c>
      <c r="T10293" t="s">
        <v>46432</v>
      </c>
      <c r="U10293" t="s">
        <v>55187</v>
      </c>
      <c r="W10293" t="s">
        <v>43187</v>
      </c>
      <c r="X10293" t="s">
        <v>44915</v>
      </c>
    </row>
    <row r="10294" spans="1:24">
      <c r="A10294">
        <f>HYPERLINK("https://www.philgeps.gov.ph/GEPSNONPILOT/Tender/SplashBidNoticeAbstractUI.aspx?menuIndex=3&amp;refID=7060536&amp;Result=3","7060536")</f>
        <v>0</v>
      </c>
      <c r="B10294" t="s">
        <v>89</v>
      </c>
      <c r="C10294" t="s">
        <v>13335</v>
      </c>
      <c r="D10294" t="s">
        <v>18109</v>
      </c>
      <c r="E10294" t="s">
        <v>27137</v>
      </c>
      <c r="F10294" t="s">
        <v>31362</v>
      </c>
      <c r="G10294" t="s">
        <v>31369</v>
      </c>
      <c r="H10294" t="s">
        <v>31378</v>
      </c>
      <c r="I10294" t="s">
        <v>31386</v>
      </c>
      <c r="J10294" t="s">
        <v>37795</v>
      </c>
      <c r="K10294" t="s">
        <v>40848</v>
      </c>
      <c r="M10294" t="s">
        <v>41026</v>
      </c>
      <c r="N10294" t="s">
        <v>44905</v>
      </c>
      <c r="O10294" t="s">
        <v>44906</v>
      </c>
      <c r="P10294">
        <v>0</v>
      </c>
      <c r="Q10294">
        <v>9</v>
      </c>
      <c r="R10294" t="s">
        <v>44915</v>
      </c>
      <c r="S10294" t="s">
        <v>45255</v>
      </c>
      <c r="T10294" t="s">
        <v>46456</v>
      </c>
      <c r="U10294" t="s">
        <v>55188</v>
      </c>
      <c r="V10294" t="s">
        <v>59069</v>
      </c>
      <c r="W10294" t="s">
        <v>60833</v>
      </c>
      <c r="X10294" t="s">
        <v>44918</v>
      </c>
    </row>
    <row r="10295" spans="1:24">
      <c r="A10295">
        <f>HYPERLINK("https://www.philgeps.gov.ph/GEPSNONPILOT/Tender/SplashBidNoticeAbstractUI.aspx?menuIndex=3&amp;refID=7070146&amp;Result=3","7070146")</f>
        <v>0</v>
      </c>
      <c r="B10295" t="s">
        <v>800</v>
      </c>
      <c r="C10295" t="s">
        <v>13336</v>
      </c>
      <c r="D10295" t="s">
        <v>18130</v>
      </c>
      <c r="E10295" t="s">
        <v>27138</v>
      </c>
      <c r="F10295" t="s">
        <v>31362</v>
      </c>
      <c r="G10295" t="s">
        <v>31369</v>
      </c>
      <c r="H10295" t="s">
        <v>15799</v>
      </c>
      <c r="I10295" t="s">
        <v>3815</v>
      </c>
      <c r="J10295" t="s">
        <v>37796</v>
      </c>
      <c r="K10295" t="s">
        <v>40666</v>
      </c>
      <c r="M10295" t="s">
        <v>41770</v>
      </c>
      <c r="N10295" t="s">
        <v>44905</v>
      </c>
      <c r="O10295" t="s">
        <v>44906</v>
      </c>
      <c r="P10295">
        <v>0</v>
      </c>
      <c r="Q10295">
        <v>0</v>
      </c>
      <c r="R10295" t="s">
        <v>44914</v>
      </c>
      <c r="S10295" t="s">
        <v>45202</v>
      </c>
      <c r="T10295" t="s">
        <v>46479</v>
      </c>
      <c r="U10295" t="s">
        <v>55189</v>
      </c>
      <c r="W10295" t="s">
        <v>41770</v>
      </c>
      <c r="X10295" t="s">
        <v>44915</v>
      </c>
    </row>
    <row r="10296" spans="1:24">
      <c r="A10296">
        <f>HYPERLINK("https://www.philgeps.gov.ph/GEPSNONPILOT/Tender/SplashBidNoticeAbstractUI.aspx?menuIndex=3&amp;refID=7060331&amp;Result=3","7060331")</f>
        <v>0</v>
      </c>
      <c r="B10296" t="s">
        <v>2880</v>
      </c>
      <c r="C10296" t="s">
        <v>13337</v>
      </c>
      <c r="D10296" t="s">
        <v>18114</v>
      </c>
      <c r="E10296" t="s">
        <v>27139</v>
      </c>
      <c r="F10296" t="s">
        <v>31362</v>
      </c>
      <c r="G10296" t="s">
        <v>31369</v>
      </c>
      <c r="H10296" t="s">
        <v>15799</v>
      </c>
      <c r="I10296" t="s">
        <v>31385</v>
      </c>
      <c r="J10296" t="s">
        <v>37797</v>
      </c>
      <c r="K10296" t="s">
        <v>40661</v>
      </c>
      <c r="M10296" t="s">
        <v>44091</v>
      </c>
      <c r="N10296" t="s">
        <v>44905</v>
      </c>
      <c r="O10296" t="s">
        <v>44906</v>
      </c>
      <c r="P10296">
        <v>0</v>
      </c>
      <c r="Q10296">
        <v>2</v>
      </c>
      <c r="R10296" t="s">
        <v>44915</v>
      </c>
      <c r="S10296" t="s">
        <v>45255</v>
      </c>
      <c r="T10296" t="s">
        <v>46679</v>
      </c>
      <c r="U10296" t="s">
        <v>55190</v>
      </c>
      <c r="W10296" t="s">
        <v>44091</v>
      </c>
      <c r="X10296" t="s">
        <v>44918</v>
      </c>
    </row>
    <row r="10297" spans="1:24">
      <c r="A10297">
        <f>HYPERLINK("https://www.philgeps.gov.ph/GEPSNONPILOT/Tender/SplashBidNoticeAbstractUI.aspx?menuIndex=3&amp;refID=7070139&amp;Result=3","7070139")</f>
        <v>0</v>
      </c>
      <c r="B10297" t="s">
        <v>800</v>
      </c>
      <c r="C10297" t="s">
        <v>13338</v>
      </c>
      <c r="D10297" t="s">
        <v>18130</v>
      </c>
      <c r="E10297" t="s">
        <v>27140</v>
      </c>
      <c r="F10297" t="s">
        <v>31362</v>
      </c>
      <c r="G10297" t="s">
        <v>31369</v>
      </c>
      <c r="H10297" t="s">
        <v>15799</v>
      </c>
      <c r="I10297" t="s">
        <v>7188</v>
      </c>
      <c r="J10297" t="s">
        <v>37798</v>
      </c>
      <c r="K10297" t="s">
        <v>40666</v>
      </c>
      <c r="M10297" t="s">
        <v>41770</v>
      </c>
      <c r="N10297" t="s">
        <v>44905</v>
      </c>
      <c r="O10297" t="s">
        <v>44906</v>
      </c>
      <c r="P10297">
        <v>0</v>
      </c>
      <c r="Q10297">
        <v>0</v>
      </c>
      <c r="R10297" t="s">
        <v>44914</v>
      </c>
      <c r="S10297" t="s">
        <v>45202</v>
      </c>
      <c r="T10297" t="s">
        <v>46479</v>
      </c>
      <c r="U10297" t="s">
        <v>55191</v>
      </c>
      <c r="W10297" t="s">
        <v>41770</v>
      </c>
      <c r="X10297" t="s">
        <v>44915</v>
      </c>
    </row>
    <row r="10298" spans="1:24">
      <c r="A10298">
        <f>HYPERLINK("https://www.philgeps.gov.ph/GEPSNONPILOT/Tender/SplashBidNoticeAbstractUI.aspx?menuIndex=3&amp;refID=7070149&amp;Result=3","7070149")</f>
        <v>0</v>
      </c>
      <c r="B10298" t="s">
        <v>624</v>
      </c>
      <c r="C10298" t="s">
        <v>13339</v>
      </c>
      <c r="D10298" t="s">
        <v>18148</v>
      </c>
      <c r="E10298" t="s">
        <v>27141</v>
      </c>
      <c r="F10298" t="s">
        <v>31362</v>
      </c>
      <c r="G10298" t="s">
        <v>31369</v>
      </c>
      <c r="H10298" t="s">
        <v>15799</v>
      </c>
      <c r="I10298" t="s">
        <v>31380</v>
      </c>
      <c r="J10298" t="s">
        <v>37799</v>
      </c>
      <c r="K10298" t="s">
        <v>40677</v>
      </c>
      <c r="M10298" t="s">
        <v>44079</v>
      </c>
      <c r="N10298" t="s">
        <v>44905</v>
      </c>
      <c r="O10298" t="s">
        <v>44906</v>
      </c>
      <c r="Q10298">
        <v>6</v>
      </c>
      <c r="R10298" t="s">
        <v>44914</v>
      </c>
      <c r="S10298" t="s">
        <v>45266</v>
      </c>
      <c r="T10298" t="s">
        <v>46607</v>
      </c>
      <c r="U10298" t="s">
        <v>55192</v>
      </c>
      <c r="W10298" t="s">
        <v>44079</v>
      </c>
      <c r="X10298" t="s">
        <v>44915</v>
      </c>
    </row>
    <row r="10299" spans="1:24">
      <c r="A10299">
        <f>HYPERLINK("https://www.philgeps.gov.ph/GEPSNONPILOT/Tender/SplashBidNoticeAbstractUI.aspx?menuIndex=3&amp;refID=7060283&amp;Result=3","7060283")</f>
        <v>0</v>
      </c>
      <c r="B10299" t="s">
        <v>2880</v>
      </c>
      <c r="C10299" t="s">
        <v>13340</v>
      </c>
      <c r="D10299" t="s">
        <v>18114</v>
      </c>
      <c r="E10299" t="s">
        <v>27142</v>
      </c>
      <c r="F10299" t="s">
        <v>31362</v>
      </c>
      <c r="G10299" t="s">
        <v>31369</v>
      </c>
      <c r="H10299" t="s">
        <v>31378</v>
      </c>
      <c r="I10299" t="s">
        <v>31386</v>
      </c>
      <c r="J10299" t="s">
        <v>37800</v>
      </c>
      <c r="K10299" t="s">
        <v>40665</v>
      </c>
      <c r="M10299" t="s">
        <v>44091</v>
      </c>
      <c r="N10299" t="s">
        <v>44905</v>
      </c>
      <c r="O10299" t="s">
        <v>44906</v>
      </c>
      <c r="P10299">
        <v>0</v>
      </c>
      <c r="Q10299">
        <v>0</v>
      </c>
      <c r="R10299" t="s">
        <v>44915</v>
      </c>
      <c r="S10299" t="s">
        <v>45255</v>
      </c>
      <c r="T10299" t="s">
        <v>46679</v>
      </c>
      <c r="U10299" t="s">
        <v>55193</v>
      </c>
      <c r="W10299" t="s">
        <v>44091</v>
      </c>
      <c r="X10299" t="s">
        <v>44918</v>
      </c>
    </row>
    <row r="10300" spans="1:24">
      <c r="A10300">
        <f>HYPERLINK("https://www.philgeps.gov.ph/GEPSNONPILOT/Tender/SplashBidNoticeAbstractUI.aspx?menuIndex=3&amp;refID=7060248&amp;Result=3","7060248")</f>
        <v>0</v>
      </c>
      <c r="B10300" t="s">
        <v>2880</v>
      </c>
      <c r="C10300" t="s">
        <v>13341</v>
      </c>
      <c r="D10300" t="s">
        <v>18114</v>
      </c>
      <c r="E10300" t="s">
        <v>27143</v>
      </c>
      <c r="F10300" t="s">
        <v>31362</v>
      </c>
      <c r="G10300" t="s">
        <v>31369</v>
      </c>
      <c r="H10300" t="s">
        <v>31378</v>
      </c>
      <c r="I10300" t="s">
        <v>31399</v>
      </c>
      <c r="J10300" t="s">
        <v>37801</v>
      </c>
      <c r="K10300" t="s">
        <v>40677</v>
      </c>
      <c r="M10300" t="s">
        <v>44091</v>
      </c>
      <c r="N10300" t="s">
        <v>44905</v>
      </c>
      <c r="O10300" t="s">
        <v>44906</v>
      </c>
      <c r="P10300">
        <v>0</v>
      </c>
      <c r="Q10300">
        <v>5</v>
      </c>
      <c r="R10300" t="s">
        <v>44915</v>
      </c>
      <c r="S10300" t="s">
        <v>45255</v>
      </c>
      <c r="T10300" t="s">
        <v>46679</v>
      </c>
      <c r="U10300" t="s">
        <v>55194</v>
      </c>
      <c r="W10300" t="s">
        <v>44091</v>
      </c>
      <c r="X10300" t="s">
        <v>44918</v>
      </c>
    </row>
    <row r="10301" spans="1:24">
      <c r="A10301">
        <f>HYPERLINK("https://www.philgeps.gov.ph/GEPSNONPILOT/Tender/SplashBidNoticeAbstractUI.aspx?menuIndex=3&amp;refID=7060223&amp;Result=3","7060223")</f>
        <v>0</v>
      </c>
      <c r="B10301" t="s">
        <v>2880</v>
      </c>
      <c r="C10301" t="s">
        <v>13342</v>
      </c>
      <c r="D10301" t="s">
        <v>18114</v>
      </c>
      <c r="E10301" t="s">
        <v>27144</v>
      </c>
      <c r="F10301" t="s">
        <v>31362</v>
      </c>
      <c r="G10301" t="s">
        <v>31369</v>
      </c>
      <c r="H10301" t="s">
        <v>15799</v>
      </c>
      <c r="I10301" t="s">
        <v>31385</v>
      </c>
      <c r="J10301" t="s">
        <v>37802</v>
      </c>
      <c r="K10301" t="s">
        <v>40661</v>
      </c>
      <c r="M10301" t="s">
        <v>44091</v>
      </c>
      <c r="N10301" t="s">
        <v>44905</v>
      </c>
      <c r="O10301" t="s">
        <v>44906</v>
      </c>
      <c r="P10301">
        <v>0</v>
      </c>
      <c r="Q10301">
        <v>3</v>
      </c>
      <c r="R10301" t="s">
        <v>44915</v>
      </c>
      <c r="S10301" t="s">
        <v>45255</v>
      </c>
      <c r="T10301" t="s">
        <v>46679</v>
      </c>
      <c r="U10301" t="s">
        <v>55195</v>
      </c>
      <c r="W10301" t="s">
        <v>44091</v>
      </c>
      <c r="X10301" t="s">
        <v>44918</v>
      </c>
    </row>
    <row r="10302" spans="1:24">
      <c r="A10302">
        <f>HYPERLINK("https://www.philgeps.gov.ph/GEPSNONPILOT/Tender/SplashBidNoticeAbstractUI.aspx?menuIndex=3&amp;refID=6819197&amp;Result=3","6819197")</f>
        <v>0</v>
      </c>
      <c r="B10302" t="s">
        <v>2753</v>
      </c>
      <c r="C10302" t="s">
        <v>13343</v>
      </c>
      <c r="D10302" t="s">
        <v>18104</v>
      </c>
      <c r="E10302" t="s">
        <v>27145</v>
      </c>
      <c r="F10302" t="s">
        <v>31362</v>
      </c>
      <c r="G10302" t="s">
        <v>31369</v>
      </c>
      <c r="H10302" t="s">
        <v>15799</v>
      </c>
      <c r="I10302" t="s">
        <v>31385</v>
      </c>
      <c r="J10302" t="s">
        <v>37803</v>
      </c>
      <c r="K10302" t="s">
        <v>40665</v>
      </c>
      <c r="M10302" t="s">
        <v>43943</v>
      </c>
      <c r="N10302" t="s">
        <v>44905</v>
      </c>
      <c r="O10302" t="s">
        <v>44906</v>
      </c>
      <c r="P10302">
        <v>0</v>
      </c>
      <c r="Q10302">
        <v>3</v>
      </c>
      <c r="R10302" t="s">
        <v>44915</v>
      </c>
      <c r="S10302" t="s">
        <v>45255</v>
      </c>
      <c r="T10302" t="s">
        <v>46447</v>
      </c>
      <c r="U10302" t="s">
        <v>55196</v>
      </c>
      <c r="V10302" t="s">
        <v>60034</v>
      </c>
      <c r="W10302" t="s">
        <v>43943</v>
      </c>
      <c r="X10302" t="s">
        <v>45001</v>
      </c>
    </row>
    <row r="10303" spans="1:24">
      <c r="A10303">
        <f>HYPERLINK("https://www.philgeps.gov.ph/GEPSNONPILOT/Tender/SplashBidNoticeAbstractUI.aspx?menuIndex=3&amp;refID=7060102&amp;Result=3","7060102")</f>
        <v>0</v>
      </c>
      <c r="B10303" t="s">
        <v>89</v>
      </c>
      <c r="C10303" t="s">
        <v>13344</v>
      </c>
      <c r="D10303" t="s">
        <v>18109</v>
      </c>
      <c r="E10303" t="s">
        <v>27146</v>
      </c>
      <c r="F10303" t="s">
        <v>31362</v>
      </c>
      <c r="G10303" t="s">
        <v>31369</v>
      </c>
      <c r="H10303" t="s">
        <v>31378</v>
      </c>
      <c r="I10303" t="s">
        <v>31386</v>
      </c>
      <c r="J10303" t="s">
        <v>37804</v>
      </c>
      <c r="K10303" t="s">
        <v>40848</v>
      </c>
      <c r="M10303" t="s">
        <v>41026</v>
      </c>
      <c r="N10303" t="s">
        <v>44905</v>
      </c>
      <c r="O10303" t="s">
        <v>44906</v>
      </c>
      <c r="P10303">
        <v>0</v>
      </c>
      <c r="Q10303">
        <v>9</v>
      </c>
      <c r="R10303" t="s">
        <v>44915</v>
      </c>
      <c r="S10303" t="s">
        <v>45255</v>
      </c>
      <c r="T10303" t="s">
        <v>46604</v>
      </c>
      <c r="U10303" t="s">
        <v>55197</v>
      </c>
      <c r="V10303" t="s">
        <v>59069</v>
      </c>
      <c r="W10303" t="s">
        <v>60833</v>
      </c>
      <c r="X10303" t="s">
        <v>44918</v>
      </c>
    </row>
    <row r="10304" spans="1:24">
      <c r="A10304">
        <f>HYPERLINK("https://www.philgeps.gov.ph/GEPSNONPILOT/Tender/SplashBidNoticeAbstractUI.aspx?menuIndex=3&amp;refID=7059918&amp;Result=3","7059918")</f>
        <v>0</v>
      </c>
      <c r="B10304" t="s">
        <v>2880</v>
      </c>
      <c r="C10304" t="s">
        <v>13345</v>
      </c>
      <c r="D10304" t="s">
        <v>18114</v>
      </c>
      <c r="E10304" t="s">
        <v>27147</v>
      </c>
      <c r="F10304" t="s">
        <v>31362</v>
      </c>
      <c r="G10304" t="s">
        <v>31369</v>
      </c>
      <c r="H10304" t="s">
        <v>15799</v>
      </c>
      <c r="I10304" t="s">
        <v>31422</v>
      </c>
      <c r="J10304" t="s">
        <v>37805</v>
      </c>
      <c r="K10304" t="s">
        <v>40661</v>
      </c>
      <c r="M10304" t="s">
        <v>44091</v>
      </c>
      <c r="N10304" t="s">
        <v>44905</v>
      </c>
      <c r="O10304" t="s">
        <v>44906</v>
      </c>
      <c r="P10304">
        <v>0</v>
      </c>
      <c r="Q10304">
        <v>4</v>
      </c>
      <c r="R10304" t="s">
        <v>44915</v>
      </c>
      <c r="S10304" t="s">
        <v>45255</v>
      </c>
      <c r="T10304" t="s">
        <v>46679</v>
      </c>
      <c r="U10304" t="s">
        <v>55198</v>
      </c>
      <c r="W10304" t="s">
        <v>44091</v>
      </c>
      <c r="X10304" t="s">
        <v>44918</v>
      </c>
    </row>
    <row r="10305" spans="1:24">
      <c r="A10305">
        <f>HYPERLINK("https://www.philgeps.gov.ph/GEPSNONPILOT/Tender/SplashBidNoticeAbstractUI.aspx?menuIndex=3&amp;refID=7059757&amp;Result=3","7059757")</f>
        <v>0</v>
      </c>
      <c r="B10305" t="s">
        <v>2880</v>
      </c>
      <c r="C10305" t="s">
        <v>13346</v>
      </c>
      <c r="D10305" t="s">
        <v>18114</v>
      </c>
      <c r="E10305" t="s">
        <v>27148</v>
      </c>
      <c r="F10305" t="s">
        <v>31362</v>
      </c>
      <c r="G10305" t="s">
        <v>31369</v>
      </c>
      <c r="H10305" t="s">
        <v>15799</v>
      </c>
      <c r="I10305" t="s">
        <v>31385</v>
      </c>
      <c r="J10305" t="s">
        <v>37806</v>
      </c>
      <c r="K10305" t="s">
        <v>40661</v>
      </c>
      <c r="M10305" t="s">
        <v>44091</v>
      </c>
      <c r="N10305" t="s">
        <v>44905</v>
      </c>
      <c r="O10305" t="s">
        <v>44906</v>
      </c>
      <c r="P10305">
        <v>0</v>
      </c>
      <c r="Q10305">
        <v>0</v>
      </c>
      <c r="R10305" t="s">
        <v>44915</v>
      </c>
      <c r="S10305" t="s">
        <v>45255</v>
      </c>
      <c r="T10305" t="s">
        <v>46679</v>
      </c>
      <c r="U10305" t="s">
        <v>55199</v>
      </c>
      <c r="W10305" t="s">
        <v>44091</v>
      </c>
      <c r="X10305" t="s">
        <v>44918</v>
      </c>
    </row>
    <row r="10306" spans="1:24">
      <c r="A10306">
        <f>HYPERLINK("https://www.philgeps.gov.ph/GEPSNONPILOT/Tender/SplashBidNoticeAbstractUI.aspx?menuIndex=3&amp;refID=7060270&amp;Result=3","7060270")</f>
        <v>0</v>
      </c>
      <c r="B10306" t="s">
        <v>1134</v>
      </c>
      <c r="C10306" t="s">
        <v>11867</v>
      </c>
      <c r="D10306" t="s">
        <v>18134</v>
      </c>
      <c r="E10306" t="s">
        <v>27149</v>
      </c>
      <c r="F10306" t="s">
        <v>31362</v>
      </c>
      <c r="G10306" t="s">
        <v>31369</v>
      </c>
      <c r="H10306" t="s">
        <v>15799</v>
      </c>
      <c r="I10306" t="s">
        <v>4283</v>
      </c>
      <c r="J10306" t="s">
        <v>37807</v>
      </c>
      <c r="K10306" t="s">
        <v>40665</v>
      </c>
      <c r="M10306" t="s">
        <v>42483</v>
      </c>
      <c r="N10306" t="s">
        <v>44905</v>
      </c>
      <c r="O10306" t="s">
        <v>44906</v>
      </c>
      <c r="P10306">
        <v>0</v>
      </c>
      <c r="Q10306">
        <v>10</v>
      </c>
      <c r="R10306" t="s">
        <v>44915</v>
      </c>
      <c r="S10306" t="s">
        <v>45255</v>
      </c>
      <c r="T10306" t="s">
        <v>46561</v>
      </c>
      <c r="U10306" t="s">
        <v>55200</v>
      </c>
      <c r="W10306" t="s">
        <v>42483</v>
      </c>
      <c r="X10306" t="s">
        <v>44918</v>
      </c>
    </row>
    <row r="10307" spans="1:24">
      <c r="A10307">
        <f>HYPERLINK("https://www.philgeps.gov.ph/GEPSNONPILOT/Tender/SplashBidNoticeAbstractUI.aspx?menuIndex=3&amp;refID=7059675&amp;Result=3","7059675")</f>
        <v>0</v>
      </c>
      <c r="B10307" t="s">
        <v>89</v>
      </c>
      <c r="C10307" t="s">
        <v>13347</v>
      </c>
      <c r="D10307" t="s">
        <v>18109</v>
      </c>
      <c r="E10307" t="s">
        <v>27150</v>
      </c>
      <c r="F10307" t="s">
        <v>31362</v>
      </c>
      <c r="G10307" t="s">
        <v>31369</v>
      </c>
      <c r="H10307" t="s">
        <v>31378</v>
      </c>
      <c r="I10307" t="s">
        <v>31386</v>
      </c>
      <c r="J10307" t="s">
        <v>37808</v>
      </c>
      <c r="K10307" t="s">
        <v>40702</v>
      </c>
      <c r="M10307" t="s">
        <v>41026</v>
      </c>
      <c r="N10307" t="s">
        <v>44905</v>
      </c>
      <c r="O10307" t="s">
        <v>44906</v>
      </c>
      <c r="P10307">
        <v>0</v>
      </c>
      <c r="Q10307">
        <v>8</v>
      </c>
      <c r="R10307" t="s">
        <v>44915</v>
      </c>
      <c r="S10307" t="s">
        <v>45255</v>
      </c>
      <c r="T10307" t="s">
        <v>46648</v>
      </c>
      <c r="U10307" t="s">
        <v>55201</v>
      </c>
      <c r="V10307" t="s">
        <v>59069</v>
      </c>
      <c r="W10307" t="s">
        <v>60833</v>
      </c>
      <c r="X10307" t="s">
        <v>44918</v>
      </c>
    </row>
    <row r="10308" spans="1:24">
      <c r="A10308">
        <f>HYPERLINK("https://www.philgeps.gov.ph/GEPSNONPILOT/Tender/SplashBidNoticeAbstractUI.aspx?menuIndex=3&amp;refID=7060402&amp;Result=3","7060402")</f>
        <v>0</v>
      </c>
      <c r="B10308" t="s">
        <v>2880</v>
      </c>
      <c r="C10308" t="s">
        <v>13348</v>
      </c>
      <c r="D10308" t="s">
        <v>18114</v>
      </c>
      <c r="E10308" t="s">
        <v>27151</v>
      </c>
      <c r="F10308" t="s">
        <v>31362</v>
      </c>
      <c r="G10308" t="s">
        <v>31369</v>
      </c>
      <c r="H10308" t="s">
        <v>31379</v>
      </c>
      <c r="I10308" t="s">
        <v>31431</v>
      </c>
      <c r="J10308" t="s">
        <v>37809</v>
      </c>
      <c r="K10308" t="s">
        <v>40661</v>
      </c>
      <c r="M10308" t="s">
        <v>44091</v>
      </c>
      <c r="N10308" t="s">
        <v>44905</v>
      </c>
      <c r="O10308" t="s">
        <v>44906</v>
      </c>
      <c r="P10308">
        <v>0</v>
      </c>
      <c r="Q10308">
        <v>2</v>
      </c>
      <c r="R10308" t="s">
        <v>44915</v>
      </c>
      <c r="S10308" t="s">
        <v>45255</v>
      </c>
      <c r="T10308" t="s">
        <v>46679</v>
      </c>
      <c r="U10308" t="s">
        <v>55202</v>
      </c>
      <c r="W10308" t="s">
        <v>44091</v>
      </c>
      <c r="X10308" t="s">
        <v>44918</v>
      </c>
    </row>
    <row r="10309" spans="1:24">
      <c r="A10309">
        <f>HYPERLINK("https://www.philgeps.gov.ph/GEPSNONPILOT/Tender/SplashBidNoticeAbstractUI.aspx?menuIndex=3&amp;refID=7059642&amp;Result=3","7059642")</f>
        <v>0</v>
      </c>
      <c r="B10309" t="s">
        <v>2746</v>
      </c>
      <c r="C10309" t="s">
        <v>13349</v>
      </c>
      <c r="D10309" t="s">
        <v>18181</v>
      </c>
      <c r="E10309" t="s">
        <v>27152</v>
      </c>
      <c r="F10309" t="s">
        <v>31362</v>
      </c>
      <c r="G10309" t="s">
        <v>31369</v>
      </c>
      <c r="H10309" t="s">
        <v>31378</v>
      </c>
      <c r="I10309" t="s">
        <v>31386</v>
      </c>
      <c r="J10309" t="s">
        <v>31591</v>
      </c>
      <c r="K10309" t="s">
        <v>40682</v>
      </c>
      <c r="L10309" t="s">
        <v>2746</v>
      </c>
      <c r="M10309" t="s">
        <v>43934</v>
      </c>
      <c r="N10309" t="s">
        <v>44905</v>
      </c>
      <c r="O10309" t="s">
        <v>44906</v>
      </c>
      <c r="P10309">
        <v>0</v>
      </c>
      <c r="Q10309">
        <v>1</v>
      </c>
      <c r="R10309" t="s">
        <v>44915</v>
      </c>
      <c r="S10309" t="s">
        <v>45255</v>
      </c>
      <c r="T10309" t="s">
        <v>46411</v>
      </c>
      <c r="U10309" t="s">
        <v>55203</v>
      </c>
      <c r="V10309" t="s">
        <v>60032</v>
      </c>
      <c r="W10309" t="s">
        <v>43934</v>
      </c>
      <c r="X10309" t="s">
        <v>44918</v>
      </c>
    </row>
    <row r="10310" spans="1:24">
      <c r="A10310">
        <f>HYPERLINK("https://www.philgeps.gov.ph/GEPSNONPILOT/Tender/SplashBidNoticeAbstractUI.aspx?menuIndex=3&amp;refID=7059544&amp;Result=3","7059544")</f>
        <v>0</v>
      </c>
      <c r="B10310" t="s">
        <v>2746</v>
      </c>
      <c r="C10310" t="s">
        <v>13350</v>
      </c>
      <c r="D10310" t="s">
        <v>18181</v>
      </c>
      <c r="E10310" t="s">
        <v>27153</v>
      </c>
      <c r="F10310" t="s">
        <v>31362</v>
      </c>
      <c r="G10310" t="s">
        <v>31369</v>
      </c>
      <c r="H10310" t="s">
        <v>31378</v>
      </c>
      <c r="I10310" t="s">
        <v>31386</v>
      </c>
      <c r="J10310" t="s">
        <v>35632</v>
      </c>
      <c r="K10310" t="s">
        <v>40678</v>
      </c>
      <c r="L10310" t="s">
        <v>2746</v>
      </c>
      <c r="M10310" t="s">
        <v>43934</v>
      </c>
      <c r="N10310" t="s">
        <v>44905</v>
      </c>
      <c r="O10310" t="s">
        <v>44906</v>
      </c>
      <c r="P10310">
        <v>0</v>
      </c>
      <c r="Q10310">
        <v>0</v>
      </c>
      <c r="R10310" t="s">
        <v>44915</v>
      </c>
      <c r="S10310" t="s">
        <v>45255</v>
      </c>
      <c r="T10310" t="s">
        <v>46411</v>
      </c>
      <c r="U10310" t="s">
        <v>55204</v>
      </c>
      <c r="V10310" t="s">
        <v>60032</v>
      </c>
      <c r="W10310" t="s">
        <v>43934</v>
      </c>
      <c r="X10310" t="s">
        <v>44918</v>
      </c>
    </row>
    <row r="10311" spans="1:24">
      <c r="A10311">
        <f>HYPERLINK("https://www.philgeps.gov.ph/GEPSNONPILOT/Tender/SplashBidNoticeAbstractUI.aspx?menuIndex=3&amp;refID=7059398&amp;Result=3","7059398")</f>
        <v>0</v>
      </c>
      <c r="B10311" t="s">
        <v>102</v>
      </c>
      <c r="C10311" t="s">
        <v>13351</v>
      </c>
      <c r="D10311" t="s">
        <v>18133</v>
      </c>
      <c r="E10311" t="s">
        <v>27154</v>
      </c>
      <c r="F10311" t="s">
        <v>31362</v>
      </c>
      <c r="G10311" t="s">
        <v>31369</v>
      </c>
      <c r="H10311" t="s">
        <v>15799</v>
      </c>
      <c r="I10311" t="s">
        <v>31421</v>
      </c>
      <c r="J10311" t="s">
        <v>37810</v>
      </c>
      <c r="K10311" t="s">
        <v>40729</v>
      </c>
      <c r="M10311" t="s">
        <v>41039</v>
      </c>
      <c r="N10311" t="s">
        <v>44905</v>
      </c>
      <c r="O10311" t="s">
        <v>44906</v>
      </c>
      <c r="P10311">
        <v>0</v>
      </c>
      <c r="Q10311">
        <v>6</v>
      </c>
      <c r="R10311" t="s">
        <v>44915</v>
      </c>
      <c r="S10311" t="s">
        <v>45255</v>
      </c>
      <c r="T10311" t="s">
        <v>46462</v>
      </c>
      <c r="U10311" t="s">
        <v>55205</v>
      </c>
      <c r="W10311" t="s">
        <v>41039</v>
      </c>
      <c r="X10311" t="s">
        <v>44918</v>
      </c>
    </row>
    <row r="10312" spans="1:24">
      <c r="A10312">
        <f>HYPERLINK("https://www.philgeps.gov.ph/GEPSNONPILOT/Tender/SplashBidNoticeAbstractUI.aspx?menuIndex=3&amp;refID=7059741&amp;Result=3","7059741")</f>
        <v>0</v>
      </c>
      <c r="B10312" t="s">
        <v>89</v>
      </c>
      <c r="C10312" t="s">
        <v>13352</v>
      </c>
      <c r="D10312" t="s">
        <v>18109</v>
      </c>
      <c r="E10312" t="s">
        <v>27155</v>
      </c>
      <c r="F10312" t="s">
        <v>31362</v>
      </c>
      <c r="G10312" t="s">
        <v>31369</v>
      </c>
      <c r="H10312" t="s">
        <v>31378</v>
      </c>
      <c r="I10312" t="s">
        <v>31386</v>
      </c>
      <c r="J10312" t="s">
        <v>37811</v>
      </c>
      <c r="K10312" t="s">
        <v>40692</v>
      </c>
      <c r="M10312" t="s">
        <v>41026</v>
      </c>
      <c r="N10312" t="s">
        <v>44905</v>
      </c>
      <c r="O10312" t="s">
        <v>44906</v>
      </c>
      <c r="P10312">
        <v>0</v>
      </c>
      <c r="Q10312">
        <v>8</v>
      </c>
      <c r="R10312" t="s">
        <v>44915</v>
      </c>
      <c r="S10312" t="s">
        <v>45255</v>
      </c>
      <c r="T10312" t="s">
        <v>46648</v>
      </c>
      <c r="U10312" t="s">
        <v>55206</v>
      </c>
      <c r="V10312" t="s">
        <v>59069</v>
      </c>
      <c r="W10312" t="s">
        <v>60833</v>
      </c>
      <c r="X10312" t="s">
        <v>44918</v>
      </c>
    </row>
    <row r="10313" spans="1:24">
      <c r="A10313">
        <f>HYPERLINK("https://www.philgeps.gov.ph/GEPSNONPILOT/Tender/SplashBidNoticeAbstractUI.aspx?menuIndex=3&amp;refID=7059977&amp;Result=3","7059977")</f>
        <v>0</v>
      </c>
      <c r="B10313" t="s">
        <v>89</v>
      </c>
      <c r="C10313" t="s">
        <v>13353</v>
      </c>
      <c r="D10313" t="s">
        <v>18109</v>
      </c>
      <c r="E10313" t="s">
        <v>27156</v>
      </c>
      <c r="F10313" t="s">
        <v>31362</v>
      </c>
      <c r="G10313" t="s">
        <v>31369</v>
      </c>
      <c r="H10313" t="s">
        <v>31378</v>
      </c>
      <c r="I10313" t="s">
        <v>31386</v>
      </c>
      <c r="J10313" t="s">
        <v>37812</v>
      </c>
      <c r="K10313" t="s">
        <v>40848</v>
      </c>
      <c r="M10313" t="s">
        <v>41026</v>
      </c>
      <c r="N10313" t="s">
        <v>44905</v>
      </c>
      <c r="O10313" t="s">
        <v>44906</v>
      </c>
      <c r="P10313">
        <v>0</v>
      </c>
      <c r="Q10313">
        <v>9</v>
      </c>
      <c r="R10313" t="s">
        <v>44915</v>
      </c>
      <c r="S10313" t="s">
        <v>45255</v>
      </c>
      <c r="T10313" t="s">
        <v>46604</v>
      </c>
      <c r="U10313" t="s">
        <v>55207</v>
      </c>
      <c r="V10313" t="s">
        <v>59069</v>
      </c>
      <c r="W10313" t="s">
        <v>60833</v>
      </c>
      <c r="X10313" t="s">
        <v>44918</v>
      </c>
    </row>
    <row r="10314" spans="1:24">
      <c r="A10314">
        <f>HYPERLINK("https://www.philgeps.gov.ph/GEPSNONPILOT/Tender/SplashBidNoticeAbstractUI.aspx?menuIndex=3&amp;refID=7067735&amp;Result=3","7067735")</f>
        <v>0</v>
      </c>
      <c r="B10314" t="s">
        <v>2309</v>
      </c>
      <c r="C10314" t="s">
        <v>13354</v>
      </c>
      <c r="D10314" t="s">
        <v>18172</v>
      </c>
      <c r="E10314" t="s">
        <v>27157</v>
      </c>
      <c r="F10314" t="s">
        <v>31362</v>
      </c>
      <c r="G10314" t="s">
        <v>31369</v>
      </c>
      <c r="H10314" t="s">
        <v>15799</v>
      </c>
      <c r="I10314" t="s">
        <v>3815</v>
      </c>
      <c r="J10314" t="s">
        <v>37813</v>
      </c>
      <c r="K10314" t="s">
        <v>40681</v>
      </c>
      <c r="M10314" t="s">
        <v>43449</v>
      </c>
      <c r="N10314" t="s">
        <v>44905</v>
      </c>
      <c r="O10314" t="s">
        <v>44906</v>
      </c>
      <c r="P10314">
        <v>0</v>
      </c>
      <c r="Q10314">
        <v>0</v>
      </c>
      <c r="R10314" t="s">
        <v>44914</v>
      </c>
      <c r="S10314" t="s">
        <v>45202</v>
      </c>
      <c r="T10314" t="s">
        <v>46434</v>
      </c>
      <c r="U10314" t="s">
        <v>55208</v>
      </c>
      <c r="W10314" t="s">
        <v>43449</v>
      </c>
      <c r="X10314" t="s">
        <v>44915</v>
      </c>
    </row>
    <row r="10315" spans="1:24">
      <c r="A10315">
        <f>HYPERLINK("https://www.philgeps.gov.ph/GEPSNONPILOT/Tender/SplashBidNoticeAbstractUI.aspx?menuIndex=3&amp;refID=7070152&amp;Result=3","7070152")</f>
        <v>0</v>
      </c>
      <c r="B10315" t="s">
        <v>259</v>
      </c>
      <c r="C10315" t="s">
        <v>13355</v>
      </c>
      <c r="D10315" t="s">
        <v>18100</v>
      </c>
      <c r="E10315" t="s">
        <v>27158</v>
      </c>
      <c r="F10315" t="s">
        <v>31362</v>
      </c>
      <c r="G10315" t="s">
        <v>31369</v>
      </c>
      <c r="H10315" t="s">
        <v>15799</v>
      </c>
      <c r="I10315" t="s">
        <v>3815</v>
      </c>
      <c r="J10315" t="s">
        <v>37814</v>
      </c>
      <c r="K10315" t="s">
        <v>40693</v>
      </c>
      <c r="M10315" t="s">
        <v>41200</v>
      </c>
      <c r="N10315" t="s">
        <v>44905</v>
      </c>
      <c r="O10315" t="s">
        <v>44906</v>
      </c>
      <c r="P10315">
        <v>0</v>
      </c>
      <c r="Q10315">
        <v>0</v>
      </c>
      <c r="R10315" t="s">
        <v>44914</v>
      </c>
      <c r="S10315" t="s">
        <v>45202</v>
      </c>
      <c r="T10315" t="s">
        <v>46625</v>
      </c>
      <c r="U10315" t="s">
        <v>55209</v>
      </c>
      <c r="W10315" t="s">
        <v>41200</v>
      </c>
      <c r="X10315" t="s">
        <v>44915</v>
      </c>
    </row>
    <row r="10316" spans="1:24">
      <c r="A10316">
        <f>HYPERLINK("https://www.philgeps.gov.ph/GEPSNONPILOT/Tender/SplashBidNoticeAbstractUI.aspx?menuIndex=3&amp;refID=7060999&amp;Result=3","7060999")</f>
        <v>0</v>
      </c>
      <c r="B10316" t="s">
        <v>89</v>
      </c>
      <c r="C10316" t="s">
        <v>13356</v>
      </c>
      <c r="D10316" t="s">
        <v>18109</v>
      </c>
      <c r="E10316" t="s">
        <v>27159</v>
      </c>
      <c r="F10316" t="s">
        <v>31362</v>
      </c>
      <c r="G10316" t="s">
        <v>31369</v>
      </c>
      <c r="H10316" t="s">
        <v>31378</v>
      </c>
      <c r="I10316" t="s">
        <v>31386</v>
      </c>
      <c r="J10316" t="s">
        <v>37815</v>
      </c>
      <c r="K10316" t="s">
        <v>40848</v>
      </c>
      <c r="M10316" t="s">
        <v>41026</v>
      </c>
      <c r="N10316" t="s">
        <v>44905</v>
      </c>
      <c r="O10316" t="s">
        <v>44906</v>
      </c>
      <c r="P10316">
        <v>0</v>
      </c>
      <c r="Q10316">
        <v>10</v>
      </c>
      <c r="R10316" t="s">
        <v>44915</v>
      </c>
      <c r="S10316" t="s">
        <v>45255</v>
      </c>
      <c r="T10316" t="s">
        <v>46571</v>
      </c>
      <c r="U10316" t="s">
        <v>55210</v>
      </c>
      <c r="V10316" t="s">
        <v>59069</v>
      </c>
      <c r="W10316" t="s">
        <v>60833</v>
      </c>
      <c r="X10316" t="s">
        <v>44918</v>
      </c>
    </row>
    <row r="10317" spans="1:24">
      <c r="A10317">
        <f>HYPERLINK("https://www.philgeps.gov.ph/GEPSNONPILOT/Tender/SplashBidNoticeAbstractUI.aspx?menuIndex=3&amp;refID=7059897&amp;Result=3","7059897")</f>
        <v>0</v>
      </c>
      <c r="B10317" t="s">
        <v>89</v>
      </c>
      <c r="C10317" t="s">
        <v>13357</v>
      </c>
      <c r="D10317" t="s">
        <v>18109</v>
      </c>
      <c r="E10317" t="s">
        <v>27160</v>
      </c>
      <c r="F10317" t="s">
        <v>31362</v>
      </c>
      <c r="G10317" t="s">
        <v>31369</v>
      </c>
      <c r="H10317" t="s">
        <v>31378</v>
      </c>
      <c r="I10317" t="s">
        <v>31386</v>
      </c>
      <c r="J10317" t="s">
        <v>37816</v>
      </c>
      <c r="K10317" t="s">
        <v>40848</v>
      </c>
      <c r="M10317" t="s">
        <v>41026</v>
      </c>
      <c r="N10317" t="s">
        <v>44905</v>
      </c>
      <c r="O10317" t="s">
        <v>44906</v>
      </c>
      <c r="P10317">
        <v>0</v>
      </c>
      <c r="Q10317">
        <v>9</v>
      </c>
      <c r="R10317" t="s">
        <v>44915</v>
      </c>
      <c r="S10317" t="s">
        <v>45255</v>
      </c>
      <c r="T10317" t="s">
        <v>46604</v>
      </c>
      <c r="U10317" t="s">
        <v>55211</v>
      </c>
      <c r="V10317" t="s">
        <v>59069</v>
      </c>
      <c r="W10317" t="s">
        <v>60833</v>
      </c>
      <c r="X10317" t="s">
        <v>44918</v>
      </c>
    </row>
    <row r="10318" spans="1:24">
      <c r="A10318">
        <f>HYPERLINK("https://www.philgeps.gov.ph/GEPSNONPILOT/Tender/SplashBidNoticeAbstractUI.aspx?menuIndex=3&amp;refID=7059861&amp;Result=3","7059861")</f>
        <v>0</v>
      </c>
      <c r="B10318" t="s">
        <v>89</v>
      </c>
      <c r="C10318" t="s">
        <v>13358</v>
      </c>
      <c r="D10318" t="s">
        <v>18109</v>
      </c>
      <c r="E10318" t="s">
        <v>27161</v>
      </c>
      <c r="F10318" t="s">
        <v>31362</v>
      </c>
      <c r="G10318" t="s">
        <v>31369</v>
      </c>
      <c r="H10318" t="s">
        <v>31378</v>
      </c>
      <c r="I10318" t="s">
        <v>31386</v>
      </c>
      <c r="J10318" t="s">
        <v>37817</v>
      </c>
      <c r="K10318" t="s">
        <v>40848</v>
      </c>
      <c r="M10318" t="s">
        <v>41026</v>
      </c>
      <c r="N10318" t="s">
        <v>44905</v>
      </c>
      <c r="O10318" t="s">
        <v>44906</v>
      </c>
      <c r="P10318">
        <v>0</v>
      </c>
      <c r="Q10318">
        <v>11</v>
      </c>
      <c r="R10318" t="s">
        <v>44915</v>
      </c>
      <c r="S10318" t="s">
        <v>45255</v>
      </c>
      <c r="T10318" t="s">
        <v>46648</v>
      </c>
      <c r="U10318" t="s">
        <v>55212</v>
      </c>
      <c r="V10318" t="s">
        <v>59069</v>
      </c>
      <c r="W10318" t="s">
        <v>60833</v>
      </c>
      <c r="X10318" t="s">
        <v>44918</v>
      </c>
    </row>
    <row r="10319" spans="1:24">
      <c r="A10319">
        <f>HYPERLINK("https://www.philgeps.gov.ph/GEPSNONPILOT/Tender/SplashBidNoticeAbstractUI.aspx?menuIndex=3&amp;refID=7061428&amp;Result=3","7061428")</f>
        <v>0</v>
      </c>
      <c r="B10319" t="s">
        <v>2881</v>
      </c>
      <c r="C10319" t="s">
        <v>13359</v>
      </c>
      <c r="D10319" t="s">
        <v>18157</v>
      </c>
      <c r="E10319" t="s">
        <v>27162</v>
      </c>
      <c r="F10319" t="s">
        <v>31363</v>
      </c>
      <c r="G10319" t="s">
        <v>31369</v>
      </c>
      <c r="H10319" t="s">
        <v>15799</v>
      </c>
      <c r="I10319" t="s">
        <v>31409</v>
      </c>
      <c r="J10319" t="s">
        <v>32339</v>
      </c>
      <c r="K10319" t="s">
        <v>40661</v>
      </c>
      <c r="M10319" t="s">
        <v>44092</v>
      </c>
      <c r="N10319" t="s">
        <v>44905</v>
      </c>
      <c r="O10319" t="s">
        <v>44906</v>
      </c>
      <c r="P10319">
        <v>0</v>
      </c>
      <c r="Q10319">
        <v>1</v>
      </c>
      <c r="R10319" t="s">
        <v>44915</v>
      </c>
      <c r="S10319" t="s">
        <v>45255</v>
      </c>
      <c r="T10319" t="s">
        <v>46484</v>
      </c>
      <c r="U10319" t="s">
        <v>55213</v>
      </c>
      <c r="V10319" t="s">
        <v>60156</v>
      </c>
      <c r="W10319" t="s">
        <v>44092</v>
      </c>
      <c r="X10319" t="s">
        <v>44918</v>
      </c>
    </row>
    <row r="10320" spans="1:24">
      <c r="A10320">
        <f>HYPERLINK("https://www.philgeps.gov.ph/GEPSNONPILOT/Tender/SplashBidNoticeAbstractUI.aspx?menuIndex=3&amp;refID=7059318&amp;Result=3","7059318")</f>
        <v>0</v>
      </c>
      <c r="B10320" t="s">
        <v>2882</v>
      </c>
      <c r="C10320" t="s">
        <v>13360</v>
      </c>
      <c r="D10320" t="s">
        <v>18171</v>
      </c>
      <c r="E10320" t="s">
        <v>27163</v>
      </c>
      <c r="F10320" t="s">
        <v>31362</v>
      </c>
      <c r="G10320" t="s">
        <v>31369</v>
      </c>
      <c r="H10320" t="s">
        <v>31379</v>
      </c>
      <c r="I10320" t="s">
        <v>31393</v>
      </c>
      <c r="J10320" t="s">
        <v>37818</v>
      </c>
      <c r="K10320" t="s">
        <v>40723</v>
      </c>
      <c r="M10320" t="s">
        <v>44093</v>
      </c>
      <c r="N10320" t="s">
        <v>44905</v>
      </c>
      <c r="O10320" t="s">
        <v>44906</v>
      </c>
      <c r="P10320">
        <v>0</v>
      </c>
      <c r="Q10320">
        <v>7</v>
      </c>
      <c r="R10320" t="s">
        <v>44915</v>
      </c>
      <c r="S10320" t="s">
        <v>45255</v>
      </c>
      <c r="T10320" t="s">
        <v>46427</v>
      </c>
      <c r="U10320" t="s">
        <v>55214</v>
      </c>
      <c r="W10320" t="s">
        <v>44093</v>
      </c>
      <c r="X10320" t="s">
        <v>44918</v>
      </c>
    </row>
    <row r="10321" spans="1:24">
      <c r="A10321">
        <f>HYPERLINK("https://www.philgeps.gov.ph/GEPSNONPILOT/Tender/SplashBidNoticeAbstractUI.aspx?menuIndex=3&amp;refID=7061340&amp;Result=3","7061340")</f>
        <v>0</v>
      </c>
      <c r="B10321" t="s">
        <v>1689</v>
      </c>
      <c r="C10321" t="s">
        <v>13361</v>
      </c>
      <c r="D10321" t="s">
        <v>18136</v>
      </c>
      <c r="E10321" t="s">
        <v>27164</v>
      </c>
      <c r="F10321" t="s">
        <v>31362</v>
      </c>
      <c r="G10321" t="s">
        <v>31369</v>
      </c>
      <c r="H10321" t="s">
        <v>31378</v>
      </c>
      <c r="I10321" t="s">
        <v>31386</v>
      </c>
      <c r="J10321" t="s">
        <v>37819</v>
      </c>
      <c r="K10321" t="s">
        <v>40686</v>
      </c>
      <c r="M10321" t="s">
        <v>42756</v>
      </c>
      <c r="N10321" t="s">
        <v>44905</v>
      </c>
      <c r="O10321" t="s">
        <v>44906</v>
      </c>
      <c r="P10321">
        <v>0</v>
      </c>
      <c r="Q10321">
        <v>2</v>
      </c>
      <c r="R10321" t="s">
        <v>44915</v>
      </c>
      <c r="S10321" t="s">
        <v>45255</v>
      </c>
      <c r="T10321" t="s">
        <v>46392</v>
      </c>
      <c r="U10321" t="s">
        <v>55215</v>
      </c>
      <c r="V10321" t="s">
        <v>59553</v>
      </c>
      <c r="W10321" t="s">
        <v>42756</v>
      </c>
      <c r="X10321" t="s">
        <v>44918</v>
      </c>
    </row>
    <row r="10322" spans="1:24">
      <c r="A10322">
        <f>HYPERLINK("https://www.philgeps.gov.ph/GEPSNONPILOT/Tender/SplashBidNoticeAbstractUI.aspx?menuIndex=3&amp;refID=7061307&amp;Result=3","7061307")</f>
        <v>0</v>
      </c>
      <c r="B10322" t="s">
        <v>1689</v>
      </c>
      <c r="C10322" t="s">
        <v>13362</v>
      </c>
      <c r="D10322" t="s">
        <v>18136</v>
      </c>
      <c r="E10322" t="s">
        <v>27165</v>
      </c>
      <c r="F10322" t="s">
        <v>31362</v>
      </c>
      <c r="G10322" t="s">
        <v>31369</v>
      </c>
      <c r="H10322" t="s">
        <v>31378</v>
      </c>
      <c r="I10322" t="s">
        <v>31386</v>
      </c>
      <c r="J10322" t="s">
        <v>37820</v>
      </c>
      <c r="K10322" t="s">
        <v>40682</v>
      </c>
      <c r="M10322" t="s">
        <v>42756</v>
      </c>
      <c r="N10322" t="s">
        <v>44905</v>
      </c>
      <c r="O10322" t="s">
        <v>44906</v>
      </c>
      <c r="P10322">
        <v>0</v>
      </c>
      <c r="Q10322">
        <v>1</v>
      </c>
      <c r="R10322" t="s">
        <v>44915</v>
      </c>
      <c r="S10322" t="s">
        <v>45255</v>
      </c>
      <c r="T10322" t="s">
        <v>46392</v>
      </c>
      <c r="U10322" t="s">
        <v>55216</v>
      </c>
      <c r="V10322" t="s">
        <v>59553</v>
      </c>
      <c r="W10322" t="s">
        <v>42756</v>
      </c>
      <c r="X10322" t="s">
        <v>44918</v>
      </c>
    </row>
    <row r="10323" spans="1:24">
      <c r="A10323">
        <f>HYPERLINK("https://www.philgeps.gov.ph/GEPSNONPILOT/Tender/SplashBidNoticeAbstractUI.aspx?menuIndex=3&amp;refID=7061190&amp;Result=3","7061190")</f>
        <v>0</v>
      </c>
      <c r="B10323" t="s">
        <v>89</v>
      </c>
      <c r="C10323" t="s">
        <v>13363</v>
      </c>
      <c r="D10323" t="s">
        <v>18109</v>
      </c>
      <c r="E10323" t="s">
        <v>27166</v>
      </c>
      <c r="F10323" t="s">
        <v>31362</v>
      </c>
      <c r="G10323" t="s">
        <v>31369</v>
      </c>
      <c r="H10323" t="s">
        <v>31378</v>
      </c>
      <c r="I10323" t="s">
        <v>31386</v>
      </c>
      <c r="J10323" t="s">
        <v>37821</v>
      </c>
      <c r="K10323" t="s">
        <v>40848</v>
      </c>
      <c r="M10323" t="s">
        <v>41026</v>
      </c>
      <c r="N10323" t="s">
        <v>44905</v>
      </c>
      <c r="O10323" t="s">
        <v>44906</v>
      </c>
      <c r="P10323">
        <v>0</v>
      </c>
      <c r="Q10323">
        <v>9</v>
      </c>
      <c r="R10323" t="s">
        <v>44915</v>
      </c>
      <c r="S10323" t="s">
        <v>45255</v>
      </c>
      <c r="T10323" t="s">
        <v>46571</v>
      </c>
      <c r="U10323" t="s">
        <v>55217</v>
      </c>
      <c r="V10323" t="s">
        <v>59069</v>
      </c>
      <c r="W10323" t="s">
        <v>60833</v>
      </c>
      <c r="X10323" t="s">
        <v>44918</v>
      </c>
    </row>
    <row r="10324" spans="1:24">
      <c r="A10324">
        <f>HYPERLINK("https://www.philgeps.gov.ph/GEPSNONPILOT/Tender/SplashBidNoticeAbstractUI.aspx?menuIndex=3&amp;refID=7061007&amp;Result=3","7061007")</f>
        <v>0</v>
      </c>
      <c r="B10324" t="s">
        <v>1689</v>
      </c>
      <c r="C10324" t="s">
        <v>13364</v>
      </c>
      <c r="D10324" t="s">
        <v>18136</v>
      </c>
      <c r="E10324" t="s">
        <v>27167</v>
      </c>
      <c r="F10324" t="s">
        <v>31362</v>
      </c>
      <c r="G10324" t="s">
        <v>31369</v>
      </c>
      <c r="H10324" t="s">
        <v>31378</v>
      </c>
      <c r="I10324" t="s">
        <v>31386</v>
      </c>
      <c r="J10324" t="s">
        <v>37822</v>
      </c>
      <c r="K10324" t="s">
        <v>40682</v>
      </c>
      <c r="M10324" t="s">
        <v>42756</v>
      </c>
      <c r="N10324" t="s">
        <v>44905</v>
      </c>
      <c r="O10324" t="s">
        <v>44906</v>
      </c>
      <c r="P10324">
        <v>0</v>
      </c>
      <c r="Q10324">
        <v>2</v>
      </c>
      <c r="R10324" t="s">
        <v>44915</v>
      </c>
      <c r="S10324" t="s">
        <v>45255</v>
      </c>
      <c r="T10324" t="s">
        <v>46392</v>
      </c>
      <c r="U10324" t="s">
        <v>55218</v>
      </c>
      <c r="V10324" t="s">
        <v>59553</v>
      </c>
      <c r="W10324" t="s">
        <v>42756</v>
      </c>
      <c r="X10324" t="s">
        <v>44918</v>
      </c>
    </row>
    <row r="10325" spans="1:24">
      <c r="A10325">
        <f>HYPERLINK("https://www.philgeps.gov.ph/GEPSNONPILOT/Tender/SplashBidNoticeAbstractUI.aspx?menuIndex=3&amp;refID=7060932&amp;Result=3","7060932")</f>
        <v>0</v>
      </c>
      <c r="B10325" t="s">
        <v>2880</v>
      </c>
      <c r="C10325" t="s">
        <v>13365</v>
      </c>
      <c r="D10325" t="s">
        <v>18114</v>
      </c>
      <c r="E10325" t="s">
        <v>27168</v>
      </c>
      <c r="F10325" t="s">
        <v>31362</v>
      </c>
      <c r="G10325" t="s">
        <v>31369</v>
      </c>
      <c r="H10325" t="s">
        <v>31378</v>
      </c>
      <c r="I10325" t="s">
        <v>31386</v>
      </c>
      <c r="J10325" t="s">
        <v>37823</v>
      </c>
      <c r="K10325" t="s">
        <v>40675</v>
      </c>
      <c r="M10325" t="s">
        <v>44091</v>
      </c>
      <c r="N10325" t="s">
        <v>44905</v>
      </c>
      <c r="O10325" t="s">
        <v>44906</v>
      </c>
      <c r="P10325">
        <v>0</v>
      </c>
      <c r="Q10325">
        <v>1</v>
      </c>
      <c r="R10325" t="s">
        <v>44915</v>
      </c>
      <c r="S10325" t="s">
        <v>45255</v>
      </c>
      <c r="T10325" t="s">
        <v>46679</v>
      </c>
      <c r="U10325" t="s">
        <v>55219</v>
      </c>
      <c r="W10325" t="s">
        <v>44091</v>
      </c>
      <c r="X10325" t="s">
        <v>44918</v>
      </c>
    </row>
    <row r="10326" spans="1:24">
      <c r="A10326">
        <f>HYPERLINK("https://www.philgeps.gov.ph/GEPSNONPILOT/Tender/SplashBidNoticeAbstractUI.aspx?menuIndex=3&amp;refID=7060801&amp;Result=3","7060801")</f>
        <v>0</v>
      </c>
      <c r="B10326" t="s">
        <v>2880</v>
      </c>
      <c r="C10326" t="s">
        <v>13366</v>
      </c>
      <c r="D10326" t="s">
        <v>18114</v>
      </c>
      <c r="E10326" t="s">
        <v>27169</v>
      </c>
      <c r="F10326" t="s">
        <v>31362</v>
      </c>
      <c r="G10326" t="s">
        <v>31369</v>
      </c>
      <c r="H10326" t="s">
        <v>15799</v>
      </c>
      <c r="I10326" t="s">
        <v>31380</v>
      </c>
      <c r="J10326" t="s">
        <v>37824</v>
      </c>
      <c r="K10326" t="s">
        <v>40661</v>
      </c>
      <c r="M10326" t="s">
        <v>44091</v>
      </c>
      <c r="N10326" t="s">
        <v>44905</v>
      </c>
      <c r="O10326" t="s">
        <v>44906</v>
      </c>
      <c r="P10326">
        <v>0</v>
      </c>
      <c r="Q10326">
        <v>4</v>
      </c>
      <c r="R10326" t="s">
        <v>44915</v>
      </c>
      <c r="S10326" t="s">
        <v>45255</v>
      </c>
      <c r="T10326" t="s">
        <v>46679</v>
      </c>
      <c r="U10326" t="s">
        <v>55220</v>
      </c>
      <c r="W10326" t="s">
        <v>44091</v>
      </c>
      <c r="X10326" t="s">
        <v>44918</v>
      </c>
    </row>
    <row r="10327" spans="1:24">
      <c r="A10327">
        <f>HYPERLINK("https://www.philgeps.gov.ph/GEPSNONPILOT/Tender/SplashBidNoticeAbstractUI.aspx?menuIndex=3&amp;refID=7067884&amp;Result=3","7067884")</f>
        <v>0</v>
      </c>
      <c r="B10327" t="s">
        <v>2883</v>
      </c>
      <c r="C10327" t="s">
        <v>13367</v>
      </c>
      <c r="D10327" t="s">
        <v>18155</v>
      </c>
      <c r="E10327" t="s">
        <v>18227</v>
      </c>
      <c r="F10327" t="s">
        <v>31362</v>
      </c>
      <c r="G10327" t="s">
        <v>31369</v>
      </c>
      <c r="H10327" t="s">
        <v>15799</v>
      </c>
      <c r="I10327" t="s">
        <v>7188</v>
      </c>
      <c r="J10327" t="s">
        <v>31915</v>
      </c>
      <c r="K10327" t="s">
        <v>40661</v>
      </c>
      <c r="M10327" t="s">
        <v>44094</v>
      </c>
      <c r="N10327" t="s">
        <v>44905</v>
      </c>
      <c r="O10327" t="s">
        <v>44906</v>
      </c>
      <c r="P10327">
        <v>0</v>
      </c>
      <c r="Q10327">
        <v>3</v>
      </c>
      <c r="R10327" t="s">
        <v>44914</v>
      </c>
      <c r="S10327" t="s">
        <v>45202</v>
      </c>
      <c r="T10327" t="s">
        <v>46409</v>
      </c>
      <c r="U10327" t="s">
        <v>55221</v>
      </c>
      <c r="W10327" t="s">
        <v>44094</v>
      </c>
      <c r="X10327" t="s">
        <v>44915</v>
      </c>
    </row>
    <row r="10328" spans="1:24">
      <c r="A10328">
        <f>HYPERLINK("https://www.philgeps.gov.ph/GEPSNONPILOT/Tender/SplashBidNoticeAbstractUI.aspx?menuIndex=3&amp;refID=7061226&amp;Result=3","7061226")</f>
        <v>0</v>
      </c>
      <c r="B10328" t="s">
        <v>1689</v>
      </c>
      <c r="C10328" t="s">
        <v>13368</v>
      </c>
      <c r="D10328" t="s">
        <v>18136</v>
      </c>
      <c r="E10328" t="s">
        <v>27170</v>
      </c>
      <c r="F10328" t="s">
        <v>31362</v>
      </c>
      <c r="G10328" t="s">
        <v>31369</v>
      </c>
      <c r="H10328" t="s">
        <v>31378</v>
      </c>
      <c r="I10328" t="s">
        <v>31386</v>
      </c>
      <c r="J10328" t="s">
        <v>37825</v>
      </c>
      <c r="K10328" t="s">
        <v>40682</v>
      </c>
      <c r="M10328" t="s">
        <v>42756</v>
      </c>
      <c r="N10328" t="s">
        <v>44905</v>
      </c>
      <c r="O10328" t="s">
        <v>44906</v>
      </c>
      <c r="P10328">
        <v>0</v>
      </c>
      <c r="Q10328">
        <v>0</v>
      </c>
      <c r="R10328" t="s">
        <v>44915</v>
      </c>
      <c r="S10328" t="s">
        <v>45255</v>
      </c>
      <c r="T10328" t="s">
        <v>46392</v>
      </c>
      <c r="U10328" t="s">
        <v>55222</v>
      </c>
      <c r="V10328" t="s">
        <v>59553</v>
      </c>
      <c r="W10328" t="s">
        <v>42756</v>
      </c>
      <c r="X10328" t="s">
        <v>44918</v>
      </c>
    </row>
    <row r="10329" spans="1:24">
      <c r="A10329">
        <f>HYPERLINK("https://www.philgeps.gov.ph/GEPSNONPILOT/Tender/SplashBidNoticeAbstractUI.aspx?menuIndex=3&amp;refID=7060769&amp;Result=3","7060769")</f>
        <v>0</v>
      </c>
      <c r="B10329" t="s">
        <v>2880</v>
      </c>
      <c r="C10329" t="s">
        <v>13369</v>
      </c>
      <c r="D10329" t="s">
        <v>18114</v>
      </c>
      <c r="E10329" t="s">
        <v>27171</v>
      </c>
      <c r="F10329" t="s">
        <v>31362</v>
      </c>
      <c r="G10329" t="s">
        <v>31369</v>
      </c>
      <c r="H10329" t="s">
        <v>15799</v>
      </c>
      <c r="I10329" t="s">
        <v>31437</v>
      </c>
      <c r="J10329" t="s">
        <v>31536</v>
      </c>
      <c r="K10329" t="s">
        <v>40661</v>
      </c>
      <c r="M10329" t="s">
        <v>44091</v>
      </c>
      <c r="N10329" t="s">
        <v>44905</v>
      </c>
      <c r="O10329" t="s">
        <v>44906</v>
      </c>
      <c r="P10329">
        <v>0</v>
      </c>
      <c r="Q10329">
        <v>2</v>
      </c>
      <c r="R10329" t="s">
        <v>44915</v>
      </c>
      <c r="S10329" t="s">
        <v>45255</v>
      </c>
      <c r="T10329" t="s">
        <v>46679</v>
      </c>
      <c r="U10329" t="s">
        <v>55223</v>
      </c>
      <c r="W10329" t="s">
        <v>44091</v>
      </c>
      <c r="X10329" t="s">
        <v>44918</v>
      </c>
    </row>
    <row r="10330" spans="1:24">
      <c r="A10330">
        <f>HYPERLINK("https://www.philgeps.gov.ph/GEPSNONPILOT/Tender/SplashBidNoticeAbstractUI.aspx?menuIndex=3&amp;refID=7059040&amp;Result=3","7059040")</f>
        <v>0</v>
      </c>
      <c r="B10330" t="s">
        <v>2884</v>
      </c>
      <c r="C10330" t="s">
        <v>9160</v>
      </c>
      <c r="D10330" t="s">
        <v>18126</v>
      </c>
      <c r="E10330" t="s">
        <v>27172</v>
      </c>
      <c r="F10330" t="s">
        <v>31363</v>
      </c>
      <c r="G10330" t="s">
        <v>31374</v>
      </c>
      <c r="H10330" t="s">
        <v>15799</v>
      </c>
      <c r="I10330" t="s">
        <v>31390</v>
      </c>
      <c r="J10330" t="s">
        <v>37826</v>
      </c>
      <c r="K10330" t="s">
        <v>40662</v>
      </c>
      <c r="M10330" t="s">
        <v>44095</v>
      </c>
      <c r="N10330" t="s">
        <v>44905</v>
      </c>
      <c r="O10330" t="s">
        <v>44906</v>
      </c>
      <c r="P10330">
        <v>0</v>
      </c>
      <c r="Q10330">
        <v>3</v>
      </c>
      <c r="R10330" t="s">
        <v>44915</v>
      </c>
      <c r="S10330" t="s">
        <v>45255</v>
      </c>
      <c r="T10330" t="s">
        <v>46454</v>
      </c>
      <c r="U10330" t="s">
        <v>55224</v>
      </c>
      <c r="W10330" t="s">
        <v>44095</v>
      </c>
      <c r="X10330" t="s">
        <v>44918</v>
      </c>
    </row>
    <row r="10331" spans="1:24">
      <c r="A10331">
        <f>HYPERLINK("https://www.philgeps.gov.ph/GEPSNONPILOT/Tender/SplashBidNoticeAbstractUI.aspx?menuIndex=3&amp;refID=7061136&amp;Result=3","7061136")</f>
        <v>0</v>
      </c>
      <c r="B10331" t="s">
        <v>89</v>
      </c>
      <c r="C10331" t="s">
        <v>13370</v>
      </c>
      <c r="D10331" t="s">
        <v>18109</v>
      </c>
      <c r="E10331" t="s">
        <v>27173</v>
      </c>
      <c r="F10331" t="s">
        <v>31362</v>
      </c>
      <c r="G10331" t="s">
        <v>31369</v>
      </c>
      <c r="H10331" t="s">
        <v>31378</v>
      </c>
      <c r="I10331" t="s">
        <v>31386</v>
      </c>
      <c r="J10331" t="s">
        <v>37827</v>
      </c>
      <c r="K10331" t="s">
        <v>40848</v>
      </c>
      <c r="M10331" t="s">
        <v>41026</v>
      </c>
      <c r="N10331" t="s">
        <v>44905</v>
      </c>
      <c r="O10331" t="s">
        <v>44906</v>
      </c>
      <c r="P10331">
        <v>0</v>
      </c>
      <c r="Q10331">
        <v>9</v>
      </c>
      <c r="R10331" t="s">
        <v>44915</v>
      </c>
      <c r="S10331" t="s">
        <v>45255</v>
      </c>
      <c r="T10331" t="s">
        <v>46571</v>
      </c>
      <c r="U10331" t="s">
        <v>55225</v>
      </c>
      <c r="V10331" t="s">
        <v>59069</v>
      </c>
      <c r="W10331" t="s">
        <v>60833</v>
      </c>
      <c r="X10331" t="s">
        <v>44918</v>
      </c>
    </row>
    <row r="10332" spans="1:24">
      <c r="A10332">
        <f>HYPERLINK("https://www.philgeps.gov.ph/GEPSNONPILOT/Tender/SplashBidNoticeAbstractUI.aspx?menuIndex=3&amp;refID=7060659&amp;Result=3","7060659")</f>
        <v>0</v>
      </c>
      <c r="B10332" t="s">
        <v>89</v>
      </c>
      <c r="C10332" t="s">
        <v>13371</v>
      </c>
      <c r="D10332" t="s">
        <v>18109</v>
      </c>
      <c r="E10332" t="s">
        <v>27174</v>
      </c>
      <c r="F10332" t="s">
        <v>31362</v>
      </c>
      <c r="G10332" t="s">
        <v>31369</v>
      </c>
      <c r="H10332" t="s">
        <v>31378</v>
      </c>
      <c r="I10332" t="s">
        <v>31386</v>
      </c>
      <c r="J10332" t="s">
        <v>37828</v>
      </c>
      <c r="K10332" t="s">
        <v>40848</v>
      </c>
      <c r="M10332" t="s">
        <v>41026</v>
      </c>
      <c r="N10332" t="s">
        <v>44905</v>
      </c>
      <c r="O10332" t="s">
        <v>44906</v>
      </c>
      <c r="P10332">
        <v>0</v>
      </c>
      <c r="Q10332">
        <v>9</v>
      </c>
      <c r="R10332" t="s">
        <v>44915</v>
      </c>
      <c r="S10332" t="s">
        <v>45255</v>
      </c>
      <c r="T10332" t="s">
        <v>46456</v>
      </c>
      <c r="U10332" t="s">
        <v>55226</v>
      </c>
      <c r="V10332" t="s">
        <v>59069</v>
      </c>
      <c r="W10332" t="s">
        <v>60833</v>
      </c>
      <c r="X10332" t="s">
        <v>44918</v>
      </c>
    </row>
    <row r="10333" spans="1:24">
      <c r="A10333">
        <f>HYPERLINK("https://www.philgeps.gov.ph/GEPSNONPILOT/Tender/SplashBidNoticeAbstractUI.aspx?menuIndex=3&amp;refID=7060651&amp;Result=3","7060651")</f>
        <v>0</v>
      </c>
      <c r="B10333" t="s">
        <v>2880</v>
      </c>
      <c r="C10333" t="s">
        <v>13372</v>
      </c>
      <c r="D10333" t="s">
        <v>18114</v>
      </c>
      <c r="E10333" t="s">
        <v>27175</v>
      </c>
      <c r="F10333" t="s">
        <v>31362</v>
      </c>
      <c r="G10333" t="s">
        <v>31369</v>
      </c>
      <c r="H10333" t="s">
        <v>31378</v>
      </c>
      <c r="I10333" t="s">
        <v>31386</v>
      </c>
      <c r="J10333" t="s">
        <v>37829</v>
      </c>
      <c r="K10333" t="s">
        <v>40682</v>
      </c>
      <c r="M10333" t="s">
        <v>44091</v>
      </c>
      <c r="N10333" t="s">
        <v>44905</v>
      </c>
      <c r="O10333" t="s">
        <v>44906</v>
      </c>
      <c r="P10333">
        <v>0</v>
      </c>
      <c r="Q10333">
        <v>1</v>
      </c>
      <c r="R10333" t="s">
        <v>44915</v>
      </c>
      <c r="S10333" t="s">
        <v>45255</v>
      </c>
      <c r="T10333" t="s">
        <v>46679</v>
      </c>
      <c r="U10333" t="s">
        <v>55227</v>
      </c>
      <c r="W10333" t="s">
        <v>44091</v>
      </c>
      <c r="X10333" t="s">
        <v>44918</v>
      </c>
    </row>
    <row r="10334" spans="1:24">
      <c r="A10334">
        <f>HYPERLINK("https://www.philgeps.gov.ph/GEPSNONPILOT/Tender/SplashBidNoticeAbstractUI.aspx?menuIndex=3&amp;refID=7060922&amp;Result=3","7060922")</f>
        <v>0</v>
      </c>
      <c r="B10334" t="s">
        <v>89</v>
      </c>
      <c r="C10334" t="s">
        <v>13373</v>
      </c>
      <c r="D10334" t="s">
        <v>18109</v>
      </c>
      <c r="E10334" t="s">
        <v>27176</v>
      </c>
      <c r="F10334" t="s">
        <v>31362</v>
      </c>
      <c r="G10334" t="s">
        <v>31369</v>
      </c>
      <c r="H10334" t="s">
        <v>31378</v>
      </c>
      <c r="I10334" t="s">
        <v>31386</v>
      </c>
      <c r="J10334" t="s">
        <v>37830</v>
      </c>
      <c r="K10334" t="s">
        <v>40848</v>
      </c>
      <c r="M10334" t="s">
        <v>41026</v>
      </c>
      <c r="N10334" t="s">
        <v>44905</v>
      </c>
      <c r="O10334" t="s">
        <v>44906</v>
      </c>
      <c r="P10334">
        <v>0</v>
      </c>
      <c r="Q10334">
        <v>9</v>
      </c>
      <c r="R10334" t="s">
        <v>44915</v>
      </c>
      <c r="S10334" t="s">
        <v>45255</v>
      </c>
      <c r="T10334" t="s">
        <v>46571</v>
      </c>
      <c r="U10334" t="s">
        <v>55228</v>
      </c>
      <c r="V10334" t="s">
        <v>59069</v>
      </c>
      <c r="W10334" t="s">
        <v>60833</v>
      </c>
      <c r="X10334" t="s">
        <v>44918</v>
      </c>
    </row>
    <row r="10335" spans="1:24">
      <c r="A10335">
        <f>HYPERLINK("https://www.philgeps.gov.ph/GEPSNONPILOT/Tender/SplashBidNoticeAbstractUI.aspx?menuIndex=3&amp;refID=7060673&amp;Result=3","7060673")</f>
        <v>0</v>
      </c>
      <c r="B10335" t="s">
        <v>1425</v>
      </c>
      <c r="C10335" t="s">
        <v>13374</v>
      </c>
      <c r="D10335" t="s">
        <v>18100</v>
      </c>
      <c r="E10335" t="s">
        <v>27177</v>
      </c>
      <c r="F10335" t="s">
        <v>31362</v>
      </c>
      <c r="G10335" t="s">
        <v>31369</v>
      </c>
      <c r="H10335" t="s">
        <v>31378</v>
      </c>
      <c r="I10335" t="s">
        <v>31386</v>
      </c>
      <c r="J10335" t="s">
        <v>37831</v>
      </c>
      <c r="K10335" t="s">
        <v>40686</v>
      </c>
      <c r="M10335" t="s">
        <v>42452</v>
      </c>
      <c r="N10335" t="s">
        <v>44905</v>
      </c>
      <c r="O10335" t="s">
        <v>44906</v>
      </c>
      <c r="P10335">
        <v>0</v>
      </c>
      <c r="Q10335">
        <v>4</v>
      </c>
      <c r="R10335" t="s">
        <v>44915</v>
      </c>
      <c r="S10335" t="s">
        <v>45255</v>
      </c>
      <c r="T10335" t="s">
        <v>46504</v>
      </c>
      <c r="U10335" t="s">
        <v>55229</v>
      </c>
      <c r="W10335" t="s">
        <v>42452</v>
      </c>
      <c r="X10335" t="s">
        <v>44918</v>
      </c>
    </row>
    <row r="10336" spans="1:24">
      <c r="A10336">
        <f>HYPERLINK("https://www.philgeps.gov.ph/GEPSNONPILOT/Tender/SplashBidNoticeAbstractUI.aspx?menuIndex=3&amp;refID=7062528&amp;Result=3","7062528")</f>
        <v>0</v>
      </c>
      <c r="B10336" t="s">
        <v>377</v>
      </c>
      <c r="C10336" t="s">
        <v>13375</v>
      </c>
      <c r="D10336" t="s">
        <v>18108</v>
      </c>
      <c r="E10336" t="s">
        <v>27178</v>
      </c>
      <c r="F10336" t="s">
        <v>31362</v>
      </c>
      <c r="G10336" t="s">
        <v>31369</v>
      </c>
      <c r="H10336" t="s">
        <v>31378</v>
      </c>
      <c r="I10336" t="s">
        <v>31386</v>
      </c>
      <c r="J10336" t="s">
        <v>37832</v>
      </c>
      <c r="K10336" t="s">
        <v>40683</v>
      </c>
      <c r="M10336" t="s">
        <v>44096</v>
      </c>
      <c r="N10336" t="s">
        <v>44905</v>
      </c>
      <c r="O10336" t="s">
        <v>44906</v>
      </c>
      <c r="Q10336">
        <v>39</v>
      </c>
      <c r="R10336" t="s">
        <v>44915</v>
      </c>
      <c r="S10336" t="s">
        <v>45267</v>
      </c>
      <c r="T10336" t="s">
        <v>46595</v>
      </c>
      <c r="U10336" t="s">
        <v>55230</v>
      </c>
      <c r="W10336" t="s">
        <v>44096</v>
      </c>
      <c r="X10336" t="s">
        <v>44917</v>
      </c>
    </row>
    <row r="10337" spans="1:24">
      <c r="A10337">
        <f>HYPERLINK("https://www.philgeps.gov.ph/GEPSNONPILOT/Tender/SplashBidNoticeAbstractUI.aspx?menuIndex=3&amp;refID=7062512&amp;Result=3","7062512")</f>
        <v>0</v>
      </c>
      <c r="B10337" t="s">
        <v>2167</v>
      </c>
      <c r="C10337" t="s">
        <v>13376</v>
      </c>
      <c r="D10337" t="s">
        <v>18134</v>
      </c>
      <c r="E10337" t="s">
        <v>27179</v>
      </c>
      <c r="F10337" t="s">
        <v>31362</v>
      </c>
      <c r="G10337" t="s">
        <v>31369</v>
      </c>
      <c r="H10337" t="s">
        <v>15799</v>
      </c>
      <c r="I10337" t="s">
        <v>3815</v>
      </c>
      <c r="J10337" t="s">
        <v>37833</v>
      </c>
      <c r="K10337" t="s">
        <v>40666</v>
      </c>
      <c r="M10337" t="s">
        <v>43962</v>
      </c>
      <c r="N10337" t="s">
        <v>44905</v>
      </c>
      <c r="O10337" t="s">
        <v>44906</v>
      </c>
      <c r="P10337">
        <v>0</v>
      </c>
      <c r="Q10337">
        <v>1</v>
      </c>
      <c r="R10337" t="s">
        <v>44915</v>
      </c>
      <c r="S10337" t="s">
        <v>45255</v>
      </c>
      <c r="T10337" t="s">
        <v>46636</v>
      </c>
      <c r="U10337" t="s">
        <v>54623</v>
      </c>
      <c r="W10337" t="s">
        <v>43962</v>
      </c>
      <c r="X10337" t="s">
        <v>44917</v>
      </c>
    </row>
    <row r="10338" spans="1:24">
      <c r="A10338">
        <f>HYPERLINK("https://www.philgeps.gov.ph/GEPSNONPILOT/Tender/SplashBidNoticeAbstractUI.aspx?menuIndex=3&amp;refID=7062470&amp;Result=3","7062470")</f>
        <v>0</v>
      </c>
      <c r="B10338" t="s">
        <v>377</v>
      </c>
      <c r="C10338" t="s">
        <v>13377</v>
      </c>
      <c r="D10338" t="s">
        <v>18108</v>
      </c>
      <c r="E10338" t="s">
        <v>27180</v>
      </c>
      <c r="F10338" t="s">
        <v>31362</v>
      </c>
      <c r="G10338" t="s">
        <v>31369</v>
      </c>
      <c r="H10338" t="s">
        <v>31378</v>
      </c>
      <c r="I10338" t="s">
        <v>31386</v>
      </c>
      <c r="J10338" t="s">
        <v>37834</v>
      </c>
      <c r="K10338" t="s">
        <v>40679</v>
      </c>
      <c r="M10338" t="s">
        <v>44096</v>
      </c>
      <c r="N10338" t="s">
        <v>44905</v>
      </c>
      <c r="O10338" t="s">
        <v>44906</v>
      </c>
      <c r="Q10338">
        <v>40</v>
      </c>
      <c r="R10338" t="s">
        <v>44915</v>
      </c>
      <c r="S10338" t="s">
        <v>45080</v>
      </c>
      <c r="T10338" t="s">
        <v>46595</v>
      </c>
      <c r="U10338" t="s">
        <v>55231</v>
      </c>
      <c r="W10338" t="s">
        <v>44096</v>
      </c>
      <c r="X10338" t="s">
        <v>44917</v>
      </c>
    </row>
    <row r="10339" spans="1:24">
      <c r="A10339">
        <f>HYPERLINK("https://www.philgeps.gov.ph/GEPSNONPILOT/Tender/SplashBidNoticeAbstractUI.aspx?menuIndex=3&amp;refID=7060677&amp;Result=3","7060677")</f>
        <v>0</v>
      </c>
      <c r="B10339" t="s">
        <v>2880</v>
      </c>
      <c r="C10339" t="s">
        <v>13378</v>
      </c>
      <c r="D10339" t="s">
        <v>18114</v>
      </c>
      <c r="E10339" t="s">
        <v>27181</v>
      </c>
      <c r="F10339" t="s">
        <v>31362</v>
      </c>
      <c r="G10339" t="s">
        <v>31369</v>
      </c>
      <c r="H10339" t="s">
        <v>15799</v>
      </c>
      <c r="I10339" t="s">
        <v>31421</v>
      </c>
      <c r="J10339" t="s">
        <v>37835</v>
      </c>
      <c r="K10339" t="s">
        <v>40661</v>
      </c>
      <c r="M10339" t="s">
        <v>44091</v>
      </c>
      <c r="N10339" t="s">
        <v>44905</v>
      </c>
      <c r="O10339" t="s">
        <v>44906</v>
      </c>
      <c r="P10339">
        <v>0</v>
      </c>
      <c r="Q10339">
        <v>2</v>
      </c>
      <c r="R10339" t="s">
        <v>44915</v>
      </c>
      <c r="S10339" t="s">
        <v>45255</v>
      </c>
      <c r="T10339" t="s">
        <v>46679</v>
      </c>
      <c r="U10339" t="s">
        <v>55232</v>
      </c>
      <c r="W10339" t="s">
        <v>44091</v>
      </c>
      <c r="X10339" t="s">
        <v>44918</v>
      </c>
    </row>
    <row r="10340" spans="1:24">
      <c r="A10340">
        <f>HYPERLINK("https://www.philgeps.gov.ph/GEPSNONPILOT/Tender/SplashBidNoticeAbstractUI.aspx?menuIndex=3&amp;refID=7062457&amp;Result=3","7062457")</f>
        <v>0</v>
      </c>
      <c r="B10340" t="s">
        <v>2885</v>
      </c>
      <c r="C10340" t="s">
        <v>13379</v>
      </c>
      <c r="D10340" t="s">
        <v>18116</v>
      </c>
      <c r="E10340" t="s">
        <v>27182</v>
      </c>
      <c r="F10340" t="s">
        <v>31362</v>
      </c>
      <c r="G10340" t="s">
        <v>31369</v>
      </c>
      <c r="H10340" t="s">
        <v>15799</v>
      </c>
      <c r="I10340" t="s">
        <v>31409</v>
      </c>
      <c r="J10340" t="s">
        <v>37836</v>
      </c>
      <c r="K10340" t="s">
        <v>40725</v>
      </c>
      <c r="M10340" t="s">
        <v>44097</v>
      </c>
      <c r="N10340" t="s">
        <v>44905</v>
      </c>
      <c r="O10340" t="s">
        <v>44906</v>
      </c>
      <c r="P10340">
        <v>0</v>
      </c>
      <c r="Q10340">
        <v>8</v>
      </c>
      <c r="R10340" t="s">
        <v>44915</v>
      </c>
      <c r="S10340" t="s">
        <v>45255</v>
      </c>
      <c r="T10340" t="s">
        <v>46569</v>
      </c>
      <c r="U10340" t="s">
        <v>55233</v>
      </c>
      <c r="W10340" t="s">
        <v>44097</v>
      </c>
      <c r="X10340" t="s">
        <v>44917</v>
      </c>
    </row>
    <row r="10341" spans="1:24">
      <c r="A10341">
        <f>HYPERLINK("https://www.philgeps.gov.ph/GEPSNONPILOT/Tender/SplashBidNoticeAbstractUI.aspx?menuIndex=3&amp;refID=7062427&amp;Result=3","7062427")</f>
        <v>0</v>
      </c>
      <c r="B10341" t="s">
        <v>377</v>
      </c>
      <c r="C10341" t="s">
        <v>13380</v>
      </c>
      <c r="D10341" t="s">
        <v>18108</v>
      </c>
      <c r="E10341" t="s">
        <v>27183</v>
      </c>
      <c r="F10341" t="s">
        <v>31362</v>
      </c>
      <c r="G10341" t="s">
        <v>31369</v>
      </c>
      <c r="H10341" t="s">
        <v>31378</v>
      </c>
      <c r="I10341" t="s">
        <v>31386</v>
      </c>
      <c r="J10341" t="s">
        <v>37837</v>
      </c>
      <c r="K10341" t="s">
        <v>40686</v>
      </c>
      <c r="M10341" t="s">
        <v>44096</v>
      </c>
      <c r="N10341" t="s">
        <v>44905</v>
      </c>
      <c r="O10341" t="s">
        <v>44906</v>
      </c>
      <c r="Q10341">
        <v>41</v>
      </c>
      <c r="R10341" t="s">
        <v>44915</v>
      </c>
      <c r="S10341" t="s">
        <v>45268</v>
      </c>
      <c r="T10341" t="s">
        <v>46595</v>
      </c>
      <c r="U10341" t="s">
        <v>55234</v>
      </c>
      <c r="W10341" t="s">
        <v>44096</v>
      </c>
      <c r="X10341" t="s">
        <v>44917</v>
      </c>
    </row>
    <row r="10342" spans="1:24">
      <c r="A10342">
        <f>HYPERLINK("https://www.philgeps.gov.ph/GEPSNONPILOT/Tender/SplashBidNoticeAbstractUI.aspx?menuIndex=3&amp;refID=7062416&amp;Result=3","7062416")</f>
        <v>0</v>
      </c>
      <c r="B10342" t="s">
        <v>377</v>
      </c>
      <c r="C10342" t="s">
        <v>13381</v>
      </c>
      <c r="D10342" t="s">
        <v>18108</v>
      </c>
      <c r="E10342" t="s">
        <v>27184</v>
      </c>
      <c r="F10342" t="s">
        <v>31362</v>
      </c>
      <c r="G10342" t="s">
        <v>31369</v>
      </c>
      <c r="H10342" t="s">
        <v>31378</v>
      </c>
      <c r="I10342" t="s">
        <v>31386</v>
      </c>
      <c r="J10342" t="s">
        <v>37838</v>
      </c>
      <c r="K10342" t="s">
        <v>40686</v>
      </c>
      <c r="M10342" t="s">
        <v>44096</v>
      </c>
      <c r="N10342" t="s">
        <v>44905</v>
      </c>
      <c r="O10342" t="s">
        <v>44906</v>
      </c>
      <c r="Q10342">
        <v>42</v>
      </c>
      <c r="R10342" t="s">
        <v>44915</v>
      </c>
      <c r="S10342" t="s">
        <v>45269</v>
      </c>
      <c r="T10342" t="s">
        <v>46595</v>
      </c>
      <c r="U10342" t="s">
        <v>55235</v>
      </c>
      <c r="W10342" t="s">
        <v>44096</v>
      </c>
      <c r="X10342" t="s">
        <v>44917</v>
      </c>
    </row>
    <row r="10343" spans="1:24">
      <c r="A10343">
        <f>HYPERLINK("https://www.philgeps.gov.ph/GEPSNONPILOT/Tender/SplashBidNoticeAbstractUI.aspx?menuIndex=3&amp;refID=7062494&amp;Result=3","7062494")</f>
        <v>0</v>
      </c>
      <c r="B10343" t="s">
        <v>377</v>
      </c>
      <c r="C10343" t="s">
        <v>13382</v>
      </c>
      <c r="D10343" t="s">
        <v>18108</v>
      </c>
      <c r="E10343" t="s">
        <v>27185</v>
      </c>
      <c r="F10343" t="s">
        <v>31362</v>
      </c>
      <c r="G10343" t="s">
        <v>31369</v>
      </c>
      <c r="H10343" t="s">
        <v>31378</v>
      </c>
      <c r="I10343" t="s">
        <v>31386</v>
      </c>
      <c r="J10343" t="s">
        <v>37839</v>
      </c>
      <c r="K10343" t="s">
        <v>40683</v>
      </c>
      <c r="M10343" t="s">
        <v>44096</v>
      </c>
      <c r="N10343" t="s">
        <v>44905</v>
      </c>
      <c r="O10343" t="s">
        <v>44906</v>
      </c>
      <c r="Q10343">
        <v>41</v>
      </c>
      <c r="R10343" t="s">
        <v>44915</v>
      </c>
      <c r="S10343" t="s">
        <v>45211</v>
      </c>
      <c r="T10343" t="s">
        <v>46595</v>
      </c>
      <c r="U10343" t="s">
        <v>55236</v>
      </c>
      <c r="W10343" t="s">
        <v>44096</v>
      </c>
      <c r="X10343" t="s">
        <v>44917</v>
      </c>
    </row>
    <row r="10344" spans="1:24">
      <c r="A10344">
        <f>HYPERLINK("https://www.philgeps.gov.ph/GEPSNONPILOT/Tender/SplashBidNoticeAbstractUI.aspx?menuIndex=3&amp;refID=7062396&amp;Result=3","7062396")</f>
        <v>0</v>
      </c>
      <c r="B10344" t="s">
        <v>377</v>
      </c>
      <c r="C10344" t="s">
        <v>13383</v>
      </c>
      <c r="D10344" t="s">
        <v>18108</v>
      </c>
      <c r="E10344" t="s">
        <v>27186</v>
      </c>
      <c r="F10344" t="s">
        <v>31362</v>
      </c>
      <c r="G10344" t="s">
        <v>31369</v>
      </c>
      <c r="H10344" t="s">
        <v>31378</v>
      </c>
      <c r="I10344" t="s">
        <v>31386</v>
      </c>
      <c r="J10344" t="s">
        <v>37840</v>
      </c>
      <c r="K10344" t="s">
        <v>40678</v>
      </c>
      <c r="M10344" t="s">
        <v>44096</v>
      </c>
      <c r="N10344" t="s">
        <v>44905</v>
      </c>
      <c r="O10344" t="s">
        <v>44906</v>
      </c>
      <c r="Q10344">
        <v>41</v>
      </c>
      <c r="R10344" t="s">
        <v>44915</v>
      </c>
      <c r="S10344" t="s">
        <v>45270</v>
      </c>
      <c r="T10344" t="s">
        <v>46595</v>
      </c>
      <c r="U10344" t="s">
        <v>55237</v>
      </c>
      <c r="W10344" t="s">
        <v>44096</v>
      </c>
      <c r="X10344" t="s">
        <v>44917</v>
      </c>
    </row>
    <row r="10345" spans="1:24">
      <c r="A10345">
        <f>HYPERLINK("https://www.philgeps.gov.ph/GEPSNONPILOT/Tender/SplashBidNoticeAbstractUI.aspx?menuIndex=3&amp;refID=7060630&amp;Result=3","7060630")</f>
        <v>0</v>
      </c>
      <c r="B10345" t="s">
        <v>2880</v>
      </c>
      <c r="C10345" t="s">
        <v>13384</v>
      </c>
      <c r="D10345" t="s">
        <v>18114</v>
      </c>
      <c r="E10345" t="s">
        <v>27187</v>
      </c>
      <c r="F10345" t="s">
        <v>31362</v>
      </c>
      <c r="G10345" t="s">
        <v>31369</v>
      </c>
      <c r="H10345" t="s">
        <v>31378</v>
      </c>
      <c r="I10345" t="s">
        <v>31386</v>
      </c>
      <c r="J10345" t="s">
        <v>37841</v>
      </c>
      <c r="K10345" t="s">
        <v>40665</v>
      </c>
      <c r="M10345" t="s">
        <v>44091</v>
      </c>
      <c r="N10345" t="s">
        <v>44905</v>
      </c>
      <c r="O10345" t="s">
        <v>44906</v>
      </c>
      <c r="P10345">
        <v>0</v>
      </c>
      <c r="Q10345">
        <v>1</v>
      </c>
      <c r="R10345" t="s">
        <v>44915</v>
      </c>
      <c r="S10345" t="s">
        <v>45255</v>
      </c>
      <c r="T10345" t="s">
        <v>46679</v>
      </c>
      <c r="U10345" t="s">
        <v>55238</v>
      </c>
      <c r="W10345" t="s">
        <v>44091</v>
      </c>
      <c r="X10345" t="s">
        <v>44918</v>
      </c>
    </row>
    <row r="10346" spans="1:24">
      <c r="A10346">
        <f>HYPERLINK("https://www.philgeps.gov.ph/GEPSNONPILOT/Tender/SplashBidNoticeAbstractUI.aspx?menuIndex=3&amp;refID=7062368&amp;Result=3","7062368")</f>
        <v>0</v>
      </c>
      <c r="B10346" t="s">
        <v>377</v>
      </c>
      <c r="C10346" t="s">
        <v>13385</v>
      </c>
      <c r="D10346" t="s">
        <v>18108</v>
      </c>
      <c r="E10346" t="s">
        <v>27188</v>
      </c>
      <c r="F10346" t="s">
        <v>31362</v>
      </c>
      <c r="G10346" t="s">
        <v>31369</v>
      </c>
      <c r="H10346" t="s">
        <v>31378</v>
      </c>
      <c r="I10346" t="s">
        <v>31386</v>
      </c>
      <c r="J10346" t="s">
        <v>37842</v>
      </c>
      <c r="K10346" t="s">
        <v>40686</v>
      </c>
      <c r="M10346" t="s">
        <v>44096</v>
      </c>
      <c r="N10346" t="s">
        <v>44905</v>
      </c>
      <c r="O10346" t="s">
        <v>44906</v>
      </c>
      <c r="Q10346">
        <v>41</v>
      </c>
      <c r="R10346" t="s">
        <v>44915</v>
      </c>
      <c r="S10346" t="s">
        <v>45271</v>
      </c>
      <c r="T10346" t="s">
        <v>46595</v>
      </c>
      <c r="U10346" t="s">
        <v>55239</v>
      </c>
      <c r="W10346" t="s">
        <v>44096</v>
      </c>
      <c r="X10346" t="s">
        <v>44917</v>
      </c>
    </row>
    <row r="10347" spans="1:24">
      <c r="A10347">
        <f>HYPERLINK("https://www.philgeps.gov.ph/GEPSNONPILOT/Tender/SplashBidNoticeAbstractUI.aspx?menuIndex=3&amp;refID=7062452&amp;Result=3","7062452")</f>
        <v>0</v>
      </c>
      <c r="B10347" t="s">
        <v>377</v>
      </c>
      <c r="C10347" t="s">
        <v>13386</v>
      </c>
      <c r="D10347" t="s">
        <v>18108</v>
      </c>
      <c r="E10347" t="s">
        <v>27189</v>
      </c>
      <c r="F10347" t="s">
        <v>31362</v>
      </c>
      <c r="G10347" t="s">
        <v>31369</v>
      </c>
      <c r="H10347" t="s">
        <v>31378</v>
      </c>
      <c r="I10347" t="s">
        <v>31386</v>
      </c>
      <c r="J10347" t="s">
        <v>37843</v>
      </c>
      <c r="K10347" t="s">
        <v>40683</v>
      </c>
      <c r="M10347" t="s">
        <v>44096</v>
      </c>
      <c r="N10347" t="s">
        <v>44905</v>
      </c>
      <c r="O10347" t="s">
        <v>44906</v>
      </c>
      <c r="Q10347">
        <v>41</v>
      </c>
      <c r="R10347" t="s">
        <v>44915</v>
      </c>
      <c r="S10347" t="s">
        <v>45067</v>
      </c>
      <c r="T10347" t="s">
        <v>46595</v>
      </c>
      <c r="U10347" t="s">
        <v>55240</v>
      </c>
      <c r="W10347" t="s">
        <v>44096</v>
      </c>
      <c r="X10347" t="s">
        <v>44917</v>
      </c>
    </row>
    <row r="10348" spans="1:24">
      <c r="A10348">
        <f>HYPERLINK("https://www.philgeps.gov.ph/GEPSNONPILOT/Tender/SplashBidNoticeAbstractUI.aspx?menuIndex=3&amp;refID=7062513&amp;Result=3","7062513")</f>
        <v>0</v>
      </c>
      <c r="B10348" t="s">
        <v>377</v>
      </c>
      <c r="C10348" t="s">
        <v>13387</v>
      </c>
      <c r="D10348" t="s">
        <v>18108</v>
      </c>
      <c r="E10348" t="s">
        <v>27190</v>
      </c>
      <c r="F10348" t="s">
        <v>31362</v>
      </c>
      <c r="G10348" t="s">
        <v>31369</v>
      </c>
      <c r="H10348" t="s">
        <v>31378</v>
      </c>
      <c r="I10348" t="s">
        <v>31386</v>
      </c>
      <c r="J10348" t="s">
        <v>37844</v>
      </c>
      <c r="K10348" t="s">
        <v>40686</v>
      </c>
      <c r="M10348" t="s">
        <v>44096</v>
      </c>
      <c r="N10348" t="s">
        <v>44905</v>
      </c>
      <c r="O10348" t="s">
        <v>44906</v>
      </c>
      <c r="Q10348">
        <v>42</v>
      </c>
      <c r="R10348" t="s">
        <v>44915</v>
      </c>
      <c r="S10348" t="s">
        <v>45272</v>
      </c>
      <c r="T10348" t="s">
        <v>46595</v>
      </c>
      <c r="U10348" t="s">
        <v>55241</v>
      </c>
      <c r="W10348" t="s">
        <v>44096</v>
      </c>
      <c r="X10348" t="s">
        <v>44917</v>
      </c>
    </row>
    <row r="10349" spans="1:24">
      <c r="A10349">
        <f>HYPERLINK("https://www.philgeps.gov.ph/GEPSNONPILOT/Tender/SplashBidNoticeAbstractUI.aspx?menuIndex=3&amp;refID=7060728&amp;Result=3","7060728")</f>
        <v>0</v>
      </c>
      <c r="B10349" t="s">
        <v>89</v>
      </c>
      <c r="C10349" t="s">
        <v>13388</v>
      </c>
      <c r="D10349" t="s">
        <v>18109</v>
      </c>
      <c r="E10349" t="s">
        <v>27191</v>
      </c>
      <c r="F10349" t="s">
        <v>31362</v>
      </c>
      <c r="G10349" t="s">
        <v>31369</v>
      </c>
      <c r="H10349" t="s">
        <v>31378</v>
      </c>
      <c r="I10349" t="s">
        <v>31386</v>
      </c>
      <c r="J10349" t="s">
        <v>37828</v>
      </c>
      <c r="K10349" t="s">
        <v>40848</v>
      </c>
      <c r="M10349" t="s">
        <v>41026</v>
      </c>
      <c r="N10349" t="s">
        <v>44905</v>
      </c>
      <c r="O10349" t="s">
        <v>44906</v>
      </c>
      <c r="P10349">
        <v>0</v>
      </c>
      <c r="Q10349">
        <v>9</v>
      </c>
      <c r="R10349" t="s">
        <v>44915</v>
      </c>
      <c r="S10349" t="s">
        <v>45255</v>
      </c>
      <c r="T10349" t="s">
        <v>46456</v>
      </c>
      <c r="U10349" t="s">
        <v>55242</v>
      </c>
      <c r="V10349" t="s">
        <v>59069</v>
      </c>
      <c r="W10349" t="s">
        <v>60833</v>
      </c>
      <c r="X10349" t="s">
        <v>44918</v>
      </c>
    </row>
    <row r="10350" spans="1:24">
      <c r="A10350">
        <f>HYPERLINK("https://www.philgeps.gov.ph/GEPSNONPILOT/Tender/SplashBidNoticeAbstractUI.aspx?menuIndex=3&amp;refID=7062909&amp;Result=3","7062909")</f>
        <v>0</v>
      </c>
      <c r="B10350" t="s">
        <v>926</v>
      </c>
      <c r="C10350" t="s">
        <v>13389</v>
      </c>
      <c r="D10350" t="s">
        <v>18117</v>
      </c>
      <c r="E10350" t="s">
        <v>27192</v>
      </c>
      <c r="F10350" t="s">
        <v>31362</v>
      </c>
      <c r="G10350" t="s">
        <v>31369</v>
      </c>
      <c r="H10350" t="s">
        <v>31378</v>
      </c>
      <c r="I10350" t="s">
        <v>31386</v>
      </c>
      <c r="J10350" t="s">
        <v>31615</v>
      </c>
      <c r="K10350" t="s">
        <v>40679</v>
      </c>
      <c r="M10350" t="s">
        <v>41910</v>
      </c>
      <c r="N10350" t="s">
        <v>44905</v>
      </c>
      <c r="O10350" t="s">
        <v>44906</v>
      </c>
      <c r="P10350">
        <v>0</v>
      </c>
      <c r="Q10350">
        <v>0</v>
      </c>
      <c r="R10350" t="s">
        <v>44915</v>
      </c>
      <c r="S10350" t="s">
        <v>45255</v>
      </c>
      <c r="T10350" t="s">
        <v>46486</v>
      </c>
      <c r="U10350" t="s">
        <v>55243</v>
      </c>
      <c r="W10350" t="s">
        <v>41910</v>
      </c>
      <c r="X10350" t="s">
        <v>44917</v>
      </c>
    </row>
    <row r="10351" spans="1:24">
      <c r="A10351">
        <f>HYPERLINK("https://www.philgeps.gov.ph/GEPSNONPILOT/Tender/SplashBidNoticeAbstractUI.aspx?menuIndex=3&amp;refID=7062388&amp;Result=3","7062388")</f>
        <v>0</v>
      </c>
      <c r="B10351" t="s">
        <v>926</v>
      </c>
      <c r="C10351" t="s">
        <v>13390</v>
      </c>
      <c r="D10351" t="s">
        <v>18117</v>
      </c>
      <c r="E10351" t="s">
        <v>27193</v>
      </c>
      <c r="F10351" t="s">
        <v>31362</v>
      </c>
      <c r="G10351" t="s">
        <v>31369</v>
      </c>
      <c r="H10351" t="s">
        <v>31378</v>
      </c>
      <c r="I10351" t="s">
        <v>31386</v>
      </c>
      <c r="J10351" t="s">
        <v>37845</v>
      </c>
      <c r="K10351" t="s">
        <v>40784</v>
      </c>
      <c r="M10351" t="s">
        <v>41910</v>
      </c>
      <c r="N10351" t="s">
        <v>44905</v>
      </c>
      <c r="O10351" t="s">
        <v>44906</v>
      </c>
      <c r="P10351">
        <v>0</v>
      </c>
      <c r="Q10351">
        <v>3</v>
      </c>
      <c r="R10351" t="s">
        <v>44915</v>
      </c>
      <c r="S10351" t="s">
        <v>45255</v>
      </c>
      <c r="T10351" t="s">
        <v>46486</v>
      </c>
      <c r="U10351" t="s">
        <v>55244</v>
      </c>
      <c r="W10351" t="s">
        <v>41910</v>
      </c>
      <c r="X10351" t="s">
        <v>44917</v>
      </c>
    </row>
    <row r="10352" spans="1:24">
      <c r="A10352">
        <f>HYPERLINK("https://www.philgeps.gov.ph/GEPSNONPILOT/Tender/SplashBidNoticeAbstractUI.aspx?menuIndex=3&amp;refID=7062330&amp;Result=3","7062330")</f>
        <v>0</v>
      </c>
      <c r="B10352" t="s">
        <v>377</v>
      </c>
      <c r="C10352" t="s">
        <v>13391</v>
      </c>
      <c r="D10352" t="s">
        <v>18108</v>
      </c>
      <c r="E10352" t="s">
        <v>27194</v>
      </c>
      <c r="F10352" t="s">
        <v>31362</v>
      </c>
      <c r="G10352" t="s">
        <v>31369</v>
      </c>
      <c r="H10352" t="s">
        <v>31378</v>
      </c>
      <c r="I10352" t="s">
        <v>31386</v>
      </c>
      <c r="J10352" t="s">
        <v>37846</v>
      </c>
      <c r="K10352" t="s">
        <v>40683</v>
      </c>
      <c r="M10352" t="s">
        <v>44096</v>
      </c>
      <c r="N10352" t="s">
        <v>44905</v>
      </c>
      <c r="O10352" t="s">
        <v>44906</v>
      </c>
      <c r="Q10352">
        <v>41</v>
      </c>
      <c r="R10352" t="s">
        <v>44915</v>
      </c>
      <c r="S10352" t="s">
        <v>45103</v>
      </c>
      <c r="T10352" t="s">
        <v>46595</v>
      </c>
      <c r="U10352" t="s">
        <v>55245</v>
      </c>
      <c r="W10352" t="s">
        <v>44096</v>
      </c>
      <c r="X10352" t="s">
        <v>44917</v>
      </c>
    </row>
    <row r="10353" spans="1:24">
      <c r="A10353">
        <f>HYPERLINK("https://www.philgeps.gov.ph/GEPSNONPILOT/Tender/SplashBidNoticeAbstractUI.aspx?menuIndex=3&amp;refID=7062790&amp;Result=3","7062790")</f>
        <v>0</v>
      </c>
      <c r="B10353" t="s">
        <v>926</v>
      </c>
      <c r="C10353" t="s">
        <v>13392</v>
      </c>
      <c r="D10353" t="s">
        <v>18117</v>
      </c>
      <c r="E10353" t="s">
        <v>27195</v>
      </c>
      <c r="F10353" t="s">
        <v>31362</v>
      </c>
      <c r="G10353" t="s">
        <v>31369</v>
      </c>
      <c r="H10353" t="s">
        <v>31378</v>
      </c>
      <c r="I10353" t="s">
        <v>31386</v>
      </c>
      <c r="J10353" t="s">
        <v>33446</v>
      </c>
      <c r="K10353" t="s">
        <v>40718</v>
      </c>
      <c r="M10353" t="s">
        <v>41910</v>
      </c>
      <c r="N10353" t="s">
        <v>44905</v>
      </c>
      <c r="O10353" t="s">
        <v>44906</v>
      </c>
      <c r="P10353">
        <v>0</v>
      </c>
      <c r="Q10353">
        <v>0</v>
      </c>
      <c r="R10353" t="s">
        <v>44915</v>
      </c>
      <c r="S10353" t="s">
        <v>45255</v>
      </c>
      <c r="T10353" t="s">
        <v>46486</v>
      </c>
      <c r="U10353" t="s">
        <v>55246</v>
      </c>
      <c r="W10353" t="s">
        <v>41910</v>
      </c>
      <c r="X10353" t="s">
        <v>44917</v>
      </c>
    </row>
    <row r="10354" spans="1:24">
      <c r="A10354">
        <f>HYPERLINK("https://www.philgeps.gov.ph/GEPSNONPILOT/Tender/SplashBidNoticeAbstractUI.aspx?menuIndex=3&amp;refID=7062757&amp;Result=3","7062757")</f>
        <v>0</v>
      </c>
      <c r="B10354" t="s">
        <v>926</v>
      </c>
      <c r="C10354" t="s">
        <v>13393</v>
      </c>
      <c r="D10354" t="s">
        <v>18117</v>
      </c>
      <c r="E10354" t="s">
        <v>18568</v>
      </c>
      <c r="F10354" t="s">
        <v>31362</v>
      </c>
      <c r="G10354" t="s">
        <v>31369</v>
      </c>
      <c r="H10354" t="s">
        <v>31378</v>
      </c>
      <c r="I10354" t="s">
        <v>31386</v>
      </c>
      <c r="J10354" t="s">
        <v>31637</v>
      </c>
      <c r="K10354" t="s">
        <v>40759</v>
      </c>
      <c r="M10354" t="s">
        <v>41910</v>
      </c>
      <c r="N10354" t="s">
        <v>44905</v>
      </c>
      <c r="O10354" t="s">
        <v>44906</v>
      </c>
      <c r="P10354">
        <v>0</v>
      </c>
      <c r="Q10354">
        <v>0</v>
      </c>
      <c r="R10354" t="s">
        <v>44915</v>
      </c>
      <c r="S10354" t="s">
        <v>45255</v>
      </c>
      <c r="T10354" t="s">
        <v>46672</v>
      </c>
      <c r="U10354" t="s">
        <v>55247</v>
      </c>
      <c r="W10354" t="s">
        <v>41910</v>
      </c>
      <c r="X10354" t="s">
        <v>44917</v>
      </c>
    </row>
    <row r="10355" spans="1:24">
      <c r="A10355">
        <f>HYPERLINK("https://www.philgeps.gov.ph/GEPSNONPILOT/Tender/SplashBidNoticeAbstractUI.aspx?menuIndex=3&amp;refID=7062729&amp;Result=3","7062729")</f>
        <v>0</v>
      </c>
      <c r="B10355" t="s">
        <v>926</v>
      </c>
      <c r="C10355" t="s">
        <v>13394</v>
      </c>
      <c r="D10355" t="s">
        <v>18117</v>
      </c>
      <c r="E10355" t="s">
        <v>27196</v>
      </c>
      <c r="F10355" t="s">
        <v>31362</v>
      </c>
      <c r="G10355" t="s">
        <v>31369</v>
      </c>
      <c r="H10355" t="s">
        <v>31378</v>
      </c>
      <c r="I10355" t="s">
        <v>31386</v>
      </c>
      <c r="J10355" t="s">
        <v>32894</v>
      </c>
      <c r="K10355" t="s">
        <v>40768</v>
      </c>
      <c r="M10355" t="s">
        <v>41910</v>
      </c>
      <c r="N10355" t="s">
        <v>44905</v>
      </c>
      <c r="O10355" t="s">
        <v>44906</v>
      </c>
      <c r="P10355">
        <v>0</v>
      </c>
      <c r="Q10355">
        <v>0</v>
      </c>
      <c r="R10355" t="s">
        <v>44915</v>
      </c>
      <c r="S10355" t="s">
        <v>45255</v>
      </c>
      <c r="T10355" t="s">
        <v>46486</v>
      </c>
      <c r="U10355" t="s">
        <v>55248</v>
      </c>
      <c r="W10355" t="s">
        <v>41910</v>
      </c>
      <c r="X10355" t="s">
        <v>44917</v>
      </c>
    </row>
    <row r="10356" spans="1:24">
      <c r="A10356">
        <f>HYPERLINK("https://www.philgeps.gov.ph/GEPSNONPILOT/Tender/SplashBidNoticeAbstractUI.aspx?menuIndex=3&amp;refID=7062715&amp;Result=3","7062715")</f>
        <v>0</v>
      </c>
      <c r="B10356" t="s">
        <v>2880</v>
      </c>
      <c r="C10356" t="s">
        <v>13395</v>
      </c>
      <c r="D10356" t="s">
        <v>18114</v>
      </c>
      <c r="E10356" t="s">
        <v>27197</v>
      </c>
      <c r="F10356" t="s">
        <v>31362</v>
      </c>
      <c r="G10356" t="s">
        <v>31369</v>
      </c>
      <c r="H10356" t="s">
        <v>15799</v>
      </c>
      <c r="I10356" t="s">
        <v>31422</v>
      </c>
      <c r="J10356" t="s">
        <v>37847</v>
      </c>
      <c r="K10356" t="s">
        <v>40661</v>
      </c>
      <c r="M10356" t="s">
        <v>44091</v>
      </c>
      <c r="N10356" t="s">
        <v>44905</v>
      </c>
      <c r="O10356" t="s">
        <v>44906</v>
      </c>
      <c r="P10356">
        <v>0</v>
      </c>
      <c r="Q10356">
        <v>5</v>
      </c>
      <c r="R10356" t="s">
        <v>44915</v>
      </c>
      <c r="S10356" t="s">
        <v>45255</v>
      </c>
      <c r="T10356" t="s">
        <v>46679</v>
      </c>
      <c r="U10356" t="s">
        <v>55249</v>
      </c>
      <c r="W10356" t="s">
        <v>44091</v>
      </c>
      <c r="X10356" t="s">
        <v>44917</v>
      </c>
    </row>
    <row r="10357" spans="1:24">
      <c r="A10357">
        <f>HYPERLINK("https://www.philgeps.gov.ph/GEPSNONPILOT/Tender/SplashBidNoticeAbstractUI.aspx?menuIndex=3&amp;refID=7062706&amp;Result=3","7062706")</f>
        <v>0</v>
      </c>
      <c r="B10357" t="s">
        <v>926</v>
      </c>
      <c r="C10357" t="s">
        <v>13396</v>
      </c>
      <c r="D10357" t="s">
        <v>18117</v>
      </c>
      <c r="E10357" t="s">
        <v>21380</v>
      </c>
      <c r="F10357" t="s">
        <v>31362</v>
      </c>
      <c r="G10357" t="s">
        <v>31369</v>
      </c>
      <c r="H10357" t="s">
        <v>31378</v>
      </c>
      <c r="I10357" t="s">
        <v>31386</v>
      </c>
      <c r="J10357" t="s">
        <v>33433</v>
      </c>
      <c r="K10357" t="s">
        <v>40679</v>
      </c>
      <c r="M10357" t="s">
        <v>41910</v>
      </c>
      <c r="N10357" t="s">
        <v>44905</v>
      </c>
      <c r="O10357" t="s">
        <v>44906</v>
      </c>
      <c r="P10357">
        <v>0</v>
      </c>
      <c r="Q10357">
        <v>0</v>
      </c>
      <c r="R10357" t="s">
        <v>44915</v>
      </c>
      <c r="S10357" t="s">
        <v>45255</v>
      </c>
      <c r="T10357" t="s">
        <v>46486</v>
      </c>
      <c r="U10357" t="s">
        <v>55250</v>
      </c>
      <c r="W10357" t="s">
        <v>41910</v>
      </c>
      <c r="X10357" t="s">
        <v>44917</v>
      </c>
    </row>
    <row r="10358" spans="1:24">
      <c r="A10358">
        <f>HYPERLINK("https://www.philgeps.gov.ph/GEPSNONPILOT/Tender/SplashBidNoticeAbstractUI.aspx?menuIndex=3&amp;refID=7062843&amp;Result=3","7062843")</f>
        <v>0</v>
      </c>
      <c r="B10358" t="s">
        <v>926</v>
      </c>
      <c r="C10358" t="s">
        <v>13397</v>
      </c>
      <c r="D10358" t="s">
        <v>18117</v>
      </c>
      <c r="E10358" t="s">
        <v>27198</v>
      </c>
      <c r="F10358" t="s">
        <v>31362</v>
      </c>
      <c r="G10358" t="s">
        <v>31369</v>
      </c>
      <c r="H10358" t="s">
        <v>31378</v>
      </c>
      <c r="I10358" t="s">
        <v>31386</v>
      </c>
      <c r="J10358" t="s">
        <v>31625</v>
      </c>
      <c r="K10358" t="s">
        <v>40676</v>
      </c>
      <c r="M10358" t="s">
        <v>41910</v>
      </c>
      <c r="N10358" t="s">
        <v>44905</v>
      </c>
      <c r="O10358" t="s">
        <v>44906</v>
      </c>
      <c r="P10358">
        <v>0</v>
      </c>
      <c r="Q10358">
        <v>0</v>
      </c>
      <c r="R10358" t="s">
        <v>44915</v>
      </c>
      <c r="S10358" t="s">
        <v>45255</v>
      </c>
      <c r="T10358" t="s">
        <v>46486</v>
      </c>
      <c r="U10358" t="s">
        <v>55251</v>
      </c>
      <c r="W10358" t="s">
        <v>41910</v>
      </c>
      <c r="X10358" t="s">
        <v>44917</v>
      </c>
    </row>
    <row r="10359" spans="1:24">
      <c r="A10359">
        <f>HYPERLINK("https://www.philgeps.gov.ph/GEPSNONPILOT/Tender/SplashBidNoticeAbstractUI.aspx?menuIndex=3&amp;refID=7062693&amp;Result=3","7062693")</f>
        <v>0</v>
      </c>
      <c r="B10359" t="s">
        <v>926</v>
      </c>
      <c r="C10359" t="s">
        <v>13398</v>
      </c>
      <c r="D10359" t="s">
        <v>18117</v>
      </c>
      <c r="E10359" t="s">
        <v>27199</v>
      </c>
      <c r="F10359" t="s">
        <v>31362</v>
      </c>
      <c r="G10359" t="s">
        <v>31369</v>
      </c>
      <c r="H10359" t="s">
        <v>31378</v>
      </c>
      <c r="I10359" t="s">
        <v>31386</v>
      </c>
      <c r="J10359" t="s">
        <v>31606</v>
      </c>
      <c r="K10359" t="s">
        <v>40735</v>
      </c>
      <c r="M10359" t="s">
        <v>41910</v>
      </c>
      <c r="N10359" t="s">
        <v>44905</v>
      </c>
      <c r="O10359" t="s">
        <v>44906</v>
      </c>
      <c r="P10359">
        <v>0</v>
      </c>
      <c r="Q10359">
        <v>0</v>
      </c>
      <c r="R10359" t="s">
        <v>44915</v>
      </c>
      <c r="S10359" t="s">
        <v>45255</v>
      </c>
      <c r="T10359" t="s">
        <v>46486</v>
      </c>
      <c r="U10359" t="s">
        <v>55252</v>
      </c>
      <c r="W10359" t="s">
        <v>41910</v>
      </c>
      <c r="X10359" t="s">
        <v>44917</v>
      </c>
    </row>
    <row r="10360" spans="1:24">
      <c r="A10360">
        <f>HYPERLINK("https://www.philgeps.gov.ph/GEPSNONPILOT/Tender/SplashBidNoticeAbstractUI.aspx?menuIndex=3&amp;refID=7062745&amp;Result=3","7062745")</f>
        <v>0</v>
      </c>
      <c r="B10360" t="s">
        <v>1067</v>
      </c>
      <c r="C10360" t="s">
        <v>13399</v>
      </c>
      <c r="D10360" t="s">
        <v>18116</v>
      </c>
      <c r="E10360" t="s">
        <v>27200</v>
      </c>
      <c r="F10360" t="s">
        <v>31362</v>
      </c>
      <c r="G10360" t="s">
        <v>31369</v>
      </c>
      <c r="H10360" t="s">
        <v>15799</v>
      </c>
      <c r="I10360" t="s">
        <v>6240</v>
      </c>
      <c r="J10360" t="s">
        <v>37848</v>
      </c>
      <c r="K10360" t="s">
        <v>40682</v>
      </c>
      <c r="M10360" t="s">
        <v>42069</v>
      </c>
      <c r="N10360" t="s">
        <v>44905</v>
      </c>
      <c r="O10360" t="s">
        <v>44906</v>
      </c>
      <c r="P10360">
        <v>0</v>
      </c>
      <c r="Q10360">
        <v>0</v>
      </c>
      <c r="R10360" t="s">
        <v>44915</v>
      </c>
      <c r="S10360" t="s">
        <v>45255</v>
      </c>
      <c r="T10360" t="s">
        <v>46638</v>
      </c>
      <c r="U10360" t="s">
        <v>55253</v>
      </c>
      <c r="W10360" t="s">
        <v>42069</v>
      </c>
      <c r="X10360" t="s">
        <v>44917</v>
      </c>
    </row>
    <row r="10361" spans="1:24">
      <c r="A10361">
        <f>HYPERLINK("https://www.philgeps.gov.ph/GEPSNONPILOT/Tender/SplashBidNoticeAbstractUI.aspx?menuIndex=3&amp;refID=7062709&amp;Result=3","7062709")</f>
        <v>0</v>
      </c>
      <c r="B10361" t="s">
        <v>2880</v>
      </c>
      <c r="C10361" t="s">
        <v>13400</v>
      </c>
      <c r="D10361" t="s">
        <v>18114</v>
      </c>
      <c r="E10361" t="s">
        <v>27201</v>
      </c>
      <c r="F10361" t="s">
        <v>31362</v>
      </c>
      <c r="G10361" t="s">
        <v>31369</v>
      </c>
      <c r="H10361" t="s">
        <v>15799</v>
      </c>
      <c r="I10361" t="s">
        <v>31384</v>
      </c>
      <c r="J10361" t="s">
        <v>37849</v>
      </c>
      <c r="K10361" t="s">
        <v>40661</v>
      </c>
      <c r="M10361" t="s">
        <v>44091</v>
      </c>
      <c r="N10361" t="s">
        <v>44905</v>
      </c>
      <c r="O10361" t="s">
        <v>44906</v>
      </c>
      <c r="P10361">
        <v>0</v>
      </c>
      <c r="Q10361">
        <v>9</v>
      </c>
      <c r="R10361" t="s">
        <v>44915</v>
      </c>
      <c r="S10361" t="s">
        <v>45255</v>
      </c>
      <c r="T10361" t="s">
        <v>46679</v>
      </c>
      <c r="U10361" t="s">
        <v>55254</v>
      </c>
      <c r="W10361" t="s">
        <v>44091</v>
      </c>
      <c r="X10361" t="s">
        <v>44917</v>
      </c>
    </row>
    <row r="10362" spans="1:24">
      <c r="A10362">
        <f>HYPERLINK("https://www.philgeps.gov.ph/GEPSNONPILOT/Tender/SplashBidNoticeAbstractUI.aspx?menuIndex=3&amp;refID=7062624&amp;Result=3","7062624")</f>
        <v>0</v>
      </c>
      <c r="B10362" t="s">
        <v>2167</v>
      </c>
      <c r="C10362" t="s">
        <v>13401</v>
      </c>
      <c r="D10362" t="s">
        <v>18134</v>
      </c>
      <c r="E10362" t="s">
        <v>27202</v>
      </c>
      <c r="F10362" t="s">
        <v>31362</v>
      </c>
      <c r="G10362" t="s">
        <v>31369</v>
      </c>
      <c r="H10362" t="s">
        <v>15799</v>
      </c>
      <c r="I10362" t="s">
        <v>3815</v>
      </c>
      <c r="J10362" t="s">
        <v>37850</v>
      </c>
      <c r="K10362" t="s">
        <v>40666</v>
      </c>
      <c r="M10362" t="s">
        <v>43962</v>
      </c>
      <c r="N10362" t="s">
        <v>44905</v>
      </c>
      <c r="O10362" t="s">
        <v>44906</v>
      </c>
      <c r="P10362">
        <v>0</v>
      </c>
      <c r="Q10362">
        <v>1</v>
      </c>
      <c r="R10362" t="s">
        <v>44915</v>
      </c>
      <c r="S10362" t="s">
        <v>45255</v>
      </c>
      <c r="T10362" t="s">
        <v>46636</v>
      </c>
      <c r="U10362" t="s">
        <v>54623</v>
      </c>
      <c r="W10362" t="s">
        <v>43962</v>
      </c>
      <c r="X10362" t="s">
        <v>44917</v>
      </c>
    </row>
    <row r="10363" spans="1:24">
      <c r="A10363">
        <f>HYPERLINK("https://www.philgeps.gov.ph/GEPSNONPILOT/Tender/SplashBidNoticeAbstractUI.aspx?menuIndex=3&amp;refID=7062604&amp;Result=3","7062604")</f>
        <v>0</v>
      </c>
      <c r="B10363" t="s">
        <v>926</v>
      </c>
      <c r="C10363" t="s">
        <v>13402</v>
      </c>
      <c r="D10363" t="s">
        <v>18117</v>
      </c>
      <c r="E10363" t="s">
        <v>27203</v>
      </c>
      <c r="F10363" t="s">
        <v>31362</v>
      </c>
      <c r="G10363" t="s">
        <v>31369</v>
      </c>
      <c r="H10363" t="s">
        <v>31378</v>
      </c>
      <c r="I10363" t="s">
        <v>31386</v>
      </c>
      <c r="J10363" t="s">
        <v>31606</v>
      </c>
      <c r="K10363" t="s">
        <v>40682</v>
      </c>
      <c r="M10363" t="s">
        <v>41910</v>
      </c>
      <c r="N10363" t="s">
        <v>44905</v>
      </c>
      <c r="O10363" t="s">
        <v>44906</v>
      </c>
      <c r="P10363">
        <v>0</v>
      </c>
      <c r="Q10363">
        <v>0</v>
      </c>
      <c r="R10363" t="s">
        <v>44915</v>
      </c>
      <c r="S10363" t="s">
        <v>45255</v>
      </c>
      <c r="T10363" t="s">
        <v>46486</v>
      </c>
      <c r="U10363" t="s">
        <v>55255</v>
      </c>
      <c r="W10363" t="s">
        <v>41910</v>
      </c>
      <c r="X10363" t="s">
        <v>44917</v>
      </c>
    </row>
    <row r="10364" spans="1:24">
      <c r="A10364">
        <f>HYPERLINK("https://www.philgeps.gov.ph/GEPSNONPILOT/Tender/SplashBidNoticeAbstractUI.aspx?menuIndex=3&amp;refID=7062704&amp;Result=3","7062704")</f>
        <v>0</v>
      </c>
      <c r="B10364" t="s">
        <v>2880</v>
      </c>
      <c r="C10364" t="s">
        <v>13403</v>
      </c>
      <c r="D10364" t="s">
        <v>18114</v>
      </c>
      <c r="E10364" t="s">
        <v>27204</v>
      </c>
      <c r="F10364" t="s">
        <v>31362</v>
      </c>
      <c r="G10364" t="s">
        <v>31369</v>
      </c>
      <c r="H10364" t="s">
        <v>15799</v>
      </c>
      <c r="I10364" t="s">
        <v>31419</v>
      </c>
      <c r="J10364" t="s">
        <v>33084</v>
      </c>
      <c r="K10364" t="s">
        <v>40661</v>
      </c>
      <c r="M10364" t="s">
        <v>44091</v>
      </c>
      <c r="N10364" t="s">
        <v>44905</v>
      </c>
      <c r="O10364" t="s">
        <v>44906</v>
      </c>
      <c r="P10364">
        <v>0</v>
      </c>
      <c r="Q10364">
        <v>8</v>
      </c>
      <c r="R10364" t="s">
        <v>44915</v>
      </c>
      <c r="S10364" t="s">
        <v>45255</v>
      </c>
      <c r="T10364" t="s">
        <v>46679</v>
      </c>
      <c r="U10364" t="s">
        <v>55256</v>
      </c>
      <c r="W10364" t="s">
        <v>44091</v>
      </c>
      <c r="X10364" t="s">
        <v>44917</v>
      </c>
    </row>
    <row r="10365" spans="1:24">
      <c r="A10365">
        <f>HYPERLINK("https://www.philgeps.gov.ph/GEPSNONPILOT/Tender/SplashBidNoticeAbstractUI.aspx?menuIndex=3&amp;refID=7063784&amp;Result=3","7063784")</f>
        <v>0</v>
      </c>
      <c r="B10365" t="s">
        <v>638</v>
      </c>
      <c r="C10365" t="s">
        <v>13404</v>
      </c>
      <c r="D10365" t="s">
        <v>18177</v>
      </c>
      <c r="E10365" t="s">
        <v>27205</v>
      </c>
      <c r="F10365" t="s">
        <v>31362</v>
      </c>
      <c r="G10365" t="s">
        <v>31369</v>
      </c>
      <c r="H10365" t="s">
        <v>15799</v>
      </c>
      <c r="I10365" t="s">
        <v>31466</v>
      </c>
      <c r="J10365" t="s">
        <v>31687</v>
      </c>
      <c r="K10365" t="s">
        <v>40662</v>
      </c>
      <c r="M10365" t="s">
        <v>41914</v>
      </c>
      <c r="N10365" t="s">
        <v>44905</v>
      </c>
      <c r="O10365" t="s">
        <v>44906</v>
      </c>
      <c r="P10365">
        <v>0</v>
      </c>
      <c r="Q10365">
        <v>0</v>
      </c>
      <c r="R10365" t="s">
        <v>44915</v>
      </c>
      <c r="S10365" t="s">
        <v>45255</v>
      </c>
      <c r="T10365" t="s">
        <v>46659</v>
      </c>
      <c r="U10365" t="s">
        <v>55257</v>
      </c>
      <c r="V10365" t="s">
        <v>60157</v>
      </c>
      <c r="W10365" t="s">
        <v>41914</v>
      </c>
      <c r="X10365" t="s">
        <v>44917</v>
      </c>
    </row>
    <row r="10366" spans="1:24">
      <c r="A10366">
        <f>HYPERLINK("https://www.philgeps.gov.ph/GEPSNONPILOT/Tender/SplashBidNoticeAbstractUI.aspx?menuIndex=3&amp;refID=7060817&amp;Result=3","7060817")</f>
        <v>0</v>
      </c>
      <c r="B10366" t="s">
        <v>89</v>
      </c>
      <c r="C10366" t="s">
        <v>13405</v>
      </c>
      <c r="D10366" t="s">
        <v>18109</v>
      </c>
      <c r="E10366" t="s">
        <v>27206</v>
      </c>
      <c r="F10366" t="s">
        <v>31362</v>
      </c>
      <c r="G10366" t="s">
        <v>31369</v>
      </c>
      <c r="H10366" t="s">
        <v>31378</v>
      </c>
      <c r="I10366" t="s">
        <v>31386</v>
      </c>
      <c r="J10366" t="s">
        <v>37851</v>
      </c>
      <c r="K10366" t="s">
        <v>40848</v>
      </c>
      <c r="M10366" t="s">
        <v>41026</v>
      </c>
      <c r="N10366" t="s">
        <v>44905</v>
      </c>
      <c r="O10366" t="s">
        <v>44906</v>
      </c>
      <c r="P10366">
        <v>0</v>
      </c>
      <c r="Q10366">
        <v>9</v>
      </c>
      <c r="R10366" t="s">
        <v>44915</v>
      </c>
      <c r="S10366" t="s">
        <v>45255</v>
      </c>
      <c r="T10366" t="s">
        <v>46456</v>
      </c>
      <c r="U10366" t="s">
        <v>55258</v>
      </c>
      <c r="V10366" t="s">
        <v>59069</v>
      </c>
      <c r="W10366" t="s">
        <v>60833</v>
      </c>
      <c r="X10366" t="s">
        <v>44918</v>
      </c>
    </row>
    <row r="10367" spans="1:24">
      <c r="A10367">
        <f>HYPERLINK("https://www.philgeps.gov.ph/GEPSNONPILOT/Tender/SplashBidNoticeAbstractUI.aspx?menuIndex=3&amp;refID=7062927&amp;Result=3","7062927")</f>
        <v>0</v>
      </c>
      <c r="B10367" t="s">
        <v>638</v>
      </c>
      <c r="C10367" t="s">
        <v>13406</v>
      </c>
      <c r="D10367" t="s">
        <v>18177</v>
      </c>
      <c r="E10367" t="s">
        <v>27207</v>
      </c>
      <c r="F10367" t="s">
        <v>31362</v>
      </c>
      <c r="G10367" t="s">
        <v>31369</v>
      </c>
      <c r="H10367" t="s">
        <v>15799</v>
      </c>
      <c r="I10367" t="s">
        <v>3815</v>
      </c>
      <c r="J10367" t="s">
        <v>37852</v>
      </c>
      <c r="K10367" t="s">
        <v>40662</v>
      </c>
      <c r="M10367" t="s">
        <v>44098</v>
      </c>
      <c r="N10367" t="s">
        <v>44905</v>
      </c>
      <c r="O10367" t="s">
        <v>44906</v>
      </c>
      <c r="P10367">
        <v>0</v>
      </c>
      <c r="Q10367">
        <v>1</v>
      </c>
      <c r="R10367" t="s">
        <v>44915</v>
      </c>
      <c r="S10367" t="s">
        <v>45255</v>
      </c>
      <c r="T10367" t="s">
        <v>46659</v>
      </c>
      <c r="U10367" t="s">
        <v>55259</v>
      </c>
      <c r="V10367" t="s">
        <v>60158</v>
      </c>
      <c r="W10367" t="s">
        <v>44098</v>
      </c>
      <c r="X10367" t="s">
        <v>44917</v>
      </c>
    </row>
    <row r="10368" spans="1:24">
      <c r="A10368">
        <f>HYPERLINK("https://www.philgeps.gov.ph/GEPSNONPILOT/Tender/SplashBidNoticeAbstractUI.aspx?menuIndex=3&amp;refID=7063728&amp;Result=3","7063728")</f>
        <v>0</v>
      </c>
      <c r="B10368" t="s">
        <v>638</v>
      </c>
      <c r="C10368" t="s">
        <v>13407</v>
      </c>
      <c r="D10368" t="s">
        <v>18177</v>
      </c>
      <c r="E10368" t="s">
        <v>27208</v>
      </c>
      <c r="F10368" t="s">
        <v>31362</v>
      </c>
      <c r="G10368" t="s">
        <v>31369</v>
      </c>
      <c r="H10368" t="s">
        <v>15799</v>
      </c>
      <c r="I10368" t="s">
        <v>3815</v>
      </c>
      <c r="J10368" t="s">
        <v>37853</v>
      </c>
      <c r="K10368" t="s">
        <v>40662</v>
      </c>
      <c r="M10368" t="s">
        <v>41914</v>
      </c>
      <c r="N10368" t="s">
        <v>44905</v>
      </c>
      <c r="O10368" t="s">
        <v>44906</v>
      </c>
      <c r="P10368">
        <v>0</v>
      </c>
      <c r="Q10368">
        <v>0</v>
      </c>
      <c r="R10368" t="s">
        <v>44915</v>
      </c>
      <c r="S10368" t="s">
        <v>45255</v>
      </c>
      <c r="T10368" t="s">
        <v>46659</v>
      </c>
      <c r="U10368" t="s">
        <v>55260</v>
      </c>
      <c r="V10368" t="s">
        <v>60159</v>
      </c>
      <c r="W10368" t="s">
        <v>41914</v>
      </c>
      <c r="X10368" t="s">
        <v>44917</v>
      </c>
    </row>
    <row r="10369" spans="1:24">
      <c r="A10369">
        <f>HYPERLINK("https://www.philgeps.gov.ph/GEPSNONPILOT/Tender/SplashBidNoticeAbstractUI.aspx?menuIndex=3&amp;refID=7063614&amp;Result=3","7063614")</f>
        <v>0</v>
      </c>
      <c r="B10369" t="s">
        <v>638</v>
      </c>
      <c r="C10369" t="s">
        <v>13408</v>
      </c>
      <c r="D10369" t="s">
        <v>18177</v>
      </c>
      <c r="E10369" t="s">
        <v>27209</v>
      </c>
      <c r="F10369" t="s">
        <v>31362</v>
      </c>
      <c r="G10369" t="s">
        <v>31369</v>
      </c>
      <c r="H10369" t="s">
        <v>15799</v>
      </c>
      <c r="I10369" t="s">
        <v>3815</v>
      </c>
      <c r="J10369" t="s">
        <v>37853</v>
      </c>
      <c r="K10369" t="s">
        <v>40662</v>
      </c>
      <c r="M10369" t="s">
        <v>41914</v>
      </c>
      <c r="N10369" t="s">
        <v>44905</v>
      </c>
      <c r="O10369" t="s">
        <v>44906</v>
      </c>
      <c r="P10369">
        <v>0</v>
      </c>
      <c r="Q10369">
        <v>0</v>
      </c>
      <c r="R10369" t="s">
        <v>44915</v>
      </c>
      <c r="S10369" t="s">
        <v>45255</v>
      </c>
      <c r="T10369" t="s">
        <v>46659</v>
      </c>
      <c r="U10369" t="s">
        <v>55261</v>
      </c>
      <c r="V10369" t="s">
        <v>60160</v>
      </c>
      <c r="W10369" t="s">
        <v>41914</v>
      </c>
      <c r="X10369" t="s">
        <v>44917</v>
      </c>
    </row>
    <row r="10370" spans="1:24">
      <c r="A10370">
        <f>HYPERLINK("https://www.philgeps.gov.ph/GEPSNONPILOT/Tender/SplashBidNoticeAbstractUI.aspx?menuIndex=3&amp;refID=7063603&amp;Result=3","7063603")</f>
        <v>0</v>
      </c>
      <c r="B10370" t="s">
        <v>2167</v>
      </c>
      <c r="C10370" t="s">
        <v>13409</v>
      </c>
      <c r="D10370" t="s">
        <v>18134</v>
      </c>
      <c r="E10370" t="s">
        <v>27210</v>
      </c>
      <c r="F10370" t="s">
        <v>31362</v>
      </c>
      <c r="G10370" t="s">
        <v>31369</v>
      </c>
      <c r="H10370" t="s">
        <v>15799</v>
      </c>
      <c r="I10370" t="s">
        <v>3815</v>
      </c>
      <c r="J10370" t="s">
        <v>37854</v>
      </c>
      <c r="K10370" t="s">
        <v>40666</v>
      </c>
      <c r="M10370" t="s">
        <v>43962</v>
      </c>
      <c r="N10370" t="s">
        <v>44905</v>
      </c>
      <c r="O10370" t="s">
        <v>44906</v>
      </c>
      <c r="P10370">
        <v>0</v>
      </c>
      <c r="Q10370">
        <v>2</v>
      </c>
      <c r="R10370" t="s">
        <v>44915</v>
      </c>
      <c r="S10370" t="s">
        <v>45255</v>
      </c>
      <c r="T10370" t="s">
        <v>46636</v>
      </c>
      <c r="U10370" t="s">
        <v>54623</v>
      </c>
      <c r="W10370" t="s">
        <v>43962</v>
      </c>
      <c r="X10370" t="s">
        <v>44917</v>
      </c>
    </row>
    <row r="10371" spans="1:24">
      <c r="A10371">
        <f>HYPERLINK("https://www.philgeps.gov.ph/GEPSNONPILOT/Tender/SplashBidNoticeAbstractUI.aspx?menuIndex=3&amp;refID=7063424&amp;Result=3","7063424")</f>
        <v>0</v>
      </c>
      <c r="B10371" t="s">
        <v>196</v>
      </c>
      <c r="C10371" t="s">
        <v>13410</v>
      </c>
      <c r="D10371" t="s">
        <v>18157</v>
      </c>
      <c r="E10371" t="s">
        <v>27211</v>
      </c>
      <c r="F10371" t="s">
        <v>31362</v>
      </c>
      <c r="G10371" t="s">
        <v>31369</v>
      </c>
      <c r="H10371" t="s">
        <v>15799</v>
      </c>
      <c r="I10371" t="s">
        <v>6373</v>
      </c>
      <c r="J10371" t="s">
        <v>37855</v>
      </c>
      <c r="K10371" t="s">
        <v>40665</v>
      </c>
      <c r="M10371" t="s">
        <v>41135</v>
      </c>
      <c r="N10371" t="s">
        <v>44905</v>
      </c>
      <c r="O10371" t="s">
        <v>44906</v>
      </c>
      <c r="P10371">
        <v>0</v>
      </c>
      <c r="Q10371">
        <v>2</v>
      </c>
      <c r="R10371" t="s">
        <v>44915</v>
      </c>
      <c r="S10371" t="s">
        <v>45255</v>
      </c>
      <c r="T10371" t="s">
        <v>46479</v>
      </c>
      <c r="U10371" t="s">
        <v>55262</v>
      </c>
      <c r="V10371" t="s">
        <v>60161</v>
      </c>
      <c r="W10371" t="s">
        <v>41135</v>
      </c>
      <c r="X10371" t="s">
        <v>44917</v>
      </c>
    </row>
    <row r="10372" spans="1:24">
      <c r="A10372">
        <f>HYPERLINK("https://www.philgeps.gov.ph/GEPSNONPILOT/Tender/SplashBidNoticeAbstractUI.aspx?menuIndex=3&amp;refID=7063860&amp;Result=3","7063860")</f>
        <v>0</v>
      </c>
      <c r="B10372" t="s">
        <v>638</v>
      </c>
      <c r="C10372" t="s">
        <v>13411</v>
      </c>
      <c r="D10372" t="s">
        <v>18177</v>
      </c>
      <c r="E10372" t="s">
        <v>27212</v>
      </c>
      <c r="F10372" t="s">
        <v>31362</v>
      </c>
      <c r="G10372" t="s">
        <v>31369</v>
      </c>
      <c r="H10372" t="s">
        <v>15799</v>
      </c>
      <c r="I10372" t="s">
        <v>7090</v>
      </c>
      <c r="J10372" t="s">
        <v>33259</v>
      </c>
      <c r="K10372" t="s">
        <v>40662</v>
      </c>
      <c r="M10372" t="s">
        <v>41914</v>
      </c>
      <c r="N10372" t="s">
        <v>44905</v>
      </c>
      <c r="O10372" t="s">
        <v>44906</v>
      </c>
      <c r="P10372">
        <v>0</v>
      </c>
      <c r="Q10372">
        <v>0</v>
      </c>
      <c r="R10372" t="s">
        <v>44915</v>
      </c>
      <c r="S10372" t="s">
        <v>45255</v>
      </c>
      <c r="T10372" t="s">
        <v>46659</v>
      </c>
      <c r="U10372" t="s">
        <v>55263</v>
      </c>
      <c r="V10372" t="s">
        <v>60162</v>
      </c>
      <c r="W10372" t="s">
        <v>41914</v>
      </c>
      <c r="X10372" t="s">
        <v>44917</v>
      </c>
    </row>
    <row r="10373" spans="1:24">
      <c r="A10373">
        <f>HYPERLINK("https://www.philgeps.gov.ph/GEPSNONPILOT/Tender/SplashBidNoticeAbstractUI.aspx?menuIndex=3&amp;refID=7063401&amp;Result=3","7063401")</f>
        <v>0</v>
      </c>
      <c r="B10373" t="s">
        <v>598</v>
      </c>
      <c r="C10373" t="s">
        <v>13412</v>
      </c>
      <c r="D10373" t="s">
        <v>18114</v>
      </c>
      <c r="E10373" t="s">
        <v>27213</v>
      </c>
      <c r="F10373" t="s">
        <v>31362</v>
      </c>
      <c r="G10373" t="s">
        <v>31369</v>
      </c>
      <c r="H10373" t="s">
        <v>31378</v>
      </c>
      <c r="I10373" t="s">
        <v>31386</v>
      </c>
      <c r="J10373" t="s">
        <v>37856</v>
      </c>
      <c r="K10373" t="s">
        <v>40873</v>
      </c>
      <c r="M10373" t="s">
        <v>41555</v>
      </c>
      <c r="N10373" t="s">
        <v>44905</v>
      </c>
      <c r="O10373" t="s">
        <v>44906</v>
      </c>
      <c r="P10373">
        <v>0</v>
      </c>
      <c r="Q10373">
        <v>1</v>
      </c>
      <c r="R10373" t="s">
        <v>44915</v>
      </c>
      <c r="S10373" t="s">
        <v>45255</v>
      </c>
      <c r="T10373" t="s">
        <v>46519</v>
      </c>
      <c r="U10373" t="s">
        <v>55264</v>
      </c>
      <c r="W10373" t="s">
        <v>41555</v>
      </c>
      <c r="X10373" t="s">
        <v>44917</v>
      </c>
    </row>
    <row r="10374" spans="1:24">
      <c r="A10374">
        <f>HYPERLINK("https://www.philgeps.gov.ph/GEPSNONPILOT/Tender/SplashBidNoticeAbstractUI.aspx?menuIndex=3&amp;refID=7060872&amp;Result=3","7060872")</f>
        <v>0</v>
      </c>
      <c r="B10374" t="s">
        <v>2880</v>
      </c>
      <c r="C10374" t="s">
        <v>13413</v>
      </c>
      <c r="D10374" t="s">
        <v>18114</v>
      </c>
      <c r="E10374" t="s">
        <v>27214</v>
      </c>
      <c r="F10374" t="s">
        <v>31362</v>
      </c>
      <c r="G10374" t="s">
        <v>31369</v>
      </c>
      <c r="H10374" t="s">
        <v>15799</v>
      </c>
      <c r="I10374" t="s">
        <v>4283</v>
      </c>
      <c r="J10374" t="s">
        <v>37857</v>
      </c>
      <c r="K10374" t="s">
        <v>40661</v>
      </c>
      <c r="M10374" t="s">
        <v>44091</v>
      </c>
      <c r="N10374" t="s">
        <v>44905</v>
      </c>
      <c r="O10374" t="s">
        <v>44906</v>
      </c>
      <c r="P10374">
        <v>0</v>
      </c>
      <c r="Q10374">
        <v>10</v>
      </c>
      <c r="R10374" t="s">
        <v>44915</v>
      </c>
      <c r="S10374" t="s">
        <v>45255</v>
      </c>
      <c r="T10374" t="s">
        <v>46679</v>
      </c>
      <c r="U10374" t="s">
        <v>55265</v>
      </c>
      <c r="W10374" t="s">
        <v>44091</v>
      </c>
      <c r="X10374" t="s">
        <v>44918</v>
      </c>
    </row>
    <row r="10375" spans="1:24">
      <c r="A10375">
        <f>HYPERLINK("https://www.philgeps.gov.ph/GEPSNONPILOT/Tender/SplashBidNoticeAbstractUI.aspx?menuIndex=3&amp;refID=7063383&amp;Result=3","7063383")</f>
        <v>0</v>
      </c>
      <c r="B10375" t="s">
        <v>598</v>
      </c>
      <c r="C10375" t="s">
        <v>13414</v>
      </c>
      <c r="D10375" t="s">
        <v>18114</v>
      </c>
      <c r="E10375" t="s">
        <v>27215</v>
      </c>
      <c r="F10375" t="s">
        <v>31362</v>
      </c>
      <c r="G10375" t="s">
        <v>31369</v>
      </c>
      <c r="H10375" t="s">
        <v>31378</v>
      </c>
      <c r="I10375" t="s">
        <v>31386</v>
      </c>
      <c r="J10375" t="s">
        <v>35080</v>
      </c>
      <c r="K10375" t="s">
        <v>40764</v>
      </c>
      <c r="M10375" t="s">
        <v>41555</v>
      </c>
      <c r="N10375" t="s">
        <v>44905</v>
      </c>
      <c r="O10375" t="s">
        <v>44906</v>
      </c>
      <c r="P10375">
        <v>0</v>
      </c>
      <c r="Q10375">
        <v>0</v>
      </c>
      <c r="R10375" t="s">
        <v>44915</v>
      </c>
      <c r="S10375" t="s">
        <v>45255</v>
      </c>
      <c r="T10375" t="s">
        <v>46519</v>
      </c>
      <c r="U10375" t="s">
        <v>55266</v>
      </c>
      <c r="W10375" t="s">
        <v>41555</v>
      </c>
      <c r="X10375" t="s">
        <v>44917</v>
      </c>
    </row>
    <row r="10376" spans="1:24">
      <c r="A10376">
        <f>HYPERLINK("https://www.philgeps.gov.ph/GEPSNONPILOT/Tender/SplashBidNoticeAbstractUI.aspx?menuIndex=3&amp;refID=7063304&amp;Result=3","7063304")</f>
        <v>0</v>
      </c>
      <c r="B10376" t="s">
        <v>327</v>
      </c>
      <c r="C10376" t="s">
        <v>13415</v>
      </c>
      <c r="E10376" t="s">
        <v>27216</v>
      </c>
      <c r="F10376" t="s">
        <v>31362</v>
      </c>
      <c r="G10376" t="s">
        <v>31369</v>
      </c>
      <c r="H10376" t="s">
        <v>15799</v>
      </c>
      <c r="I10376" t="s">
        <v>31388</v>
      </c>
      <c r="J10376" t="s">
        <v>37858</v>
      </c>
      <c r="K10376" t="s">
        <v>40662</v>
      </c>
      <c r="M10376" t="s">
        <v>44099</v>
      </c>
      <c r="N10376" t="s">
        <v>44905</v>
      </c>
      <c r="O10376" t="s">
        <v>44906</v>
      </c>
      <c r="P10376">
        <v>0</v>
      </c>
      <c r="Q10376">
        <v>5</v>
      </c>
      <c r="R10376" t="s">
        <v>44915</v>
      </c>
      <c r="S10376" t="s">
        <v>45255</v>
      </c>
      <c r="T10376" t="s">
        <v>46486</v>
      </c>
      <c r="U10376" t="s">
        <v>55267</v>
      </c>
      <c r="W10376" t="s">
        <v>44099</v>
      </c>
      <c r="X10376" t="s">
        <v>44917</v>
      </c>
    </row>
    <row r="10377" spans="1:24">
      <c r="A10377">
        <f>HYPERLINK("https://www.philgeps.gov.ph/GEPSNONPILOT/Tender/SplashBidNoticeAbstractUI.aspx?menuIndex=3&amp;refID=7062723&amp;Result=3","7062723")</f>
        <v>0</v>
      </c>
      <c r="B10377" t="s">
        <v>2880</v>
      </c>
      <c r="C10377" t="s">
        <v>13416</v>
      </c>
      <c r="D10377" t="s">
        <v>18114</v>
      </c>
      <c r="E10377" t="s">
        <v>27217</v>
      </c>
      <c r="F10377" t="s">
        <v>31362</v>
      </c>
      <c r="G10377" t="s">
        <v>31369</v>
      </c>
      <c r="H10377" t="s">
        <v>15799</v>
      </c>
      <c r="I10377" t="s">
        <v>7188</v>
      </c>
      <c r="J10377" t="s">
        <v>37859</v>
      </c>
      <c r="K10377" t="s">
        <v>40661</v>
      </c>
      <c r="M10377" t="s">
        <v>44091</v>
      </c>
      <c r="N10377" t="s">
        <v>44905</v>
      </c>
      <c r="O10377" t="s">
        <v>44906</v>
      </c>
      <c r="P10377">
        <v>0</v>
      </c>
      <c r="Q10377">
        <v>4</v>
      </c>
      <c r="R10377" t="s">
        <v>44915</v>
      </c>
      <c r="S10377" t="s">
        <v>45255</v>
      </c>
      <c r="T10377" t="s">
        <v>46679</v>
      </c>
      <c r="U10377" t="s">
        <v>55268</v>
      </c>
      <c r="W10377" t="s">
        <v>44091</v>
      </c>
      <c r="X10377" t="s">
        <v>44917</v>
      </c>
    </row>
    <row r="10378" spans="1:24">
      <c r="A10378">
        <f>HYPERLINK("https://www.philgeps.gov.ph/GEPSNONPILOT/Tender/SplashBidNoticeAbstractUI.aspx?menuIndex=3&amp;refID=7063242&amp;Result=3","7063242")</f>
        <v>0</v>
      </c>
      <c r="B10378" t="s">
        <v>638</v>
      </c>
      <c r="C10378" t="s">
        <v>13417</v>
      </c>
      <c r="D10378" t="s">
        <v>18177</v>
      </c>
      <c r="E10378" t="s">
        <v>27218</v>
      </c>
      <c r="F10378" t="s">
        <v>31362</v>
      </c>
      <c r="G10378" t="s">
        <v>31369</v>
      </c>
      <c r="H10378" t="s">
        <v>15799</v>
      </c>
      <c r="I10378" t="s">
        <v>3815</v>
      </c>
      <c r="J10378" t="s">
        <v>37853</v>
      </c>
      <c r="K10378" t="s">
        <v>40662</v>
      </c>
      <c r="M10378" t="s">
        <v>41914</v>
      </c>
      <c r="N10378" t="s">
        <v>44905</v>
      </c>
      <c r="O10378" t="s">
        <v>44906</v>
      </c>
      <c r="P10378">
        <v>0</v>
      </c>
      <c r="Q10378">
        <v>0</v>
      </c>
      <c r="R10378" t="s">
        <v>44915</v>
      </c>
      <c r="S10378" t="s">
        <v>45255</v>
      </c>
      <c r="T10378" t="s">
        <v>46659</v>
      </c>
      <c r="U10378" t="s">
        <v>55269</v>
      </c>
      <c r="V10378" t="s">
        <v>60163</v>
      </c>
      <c r="W10378" t="s">
        <v>41914</v>
      </c>
      <c r="X10378" t="s">
        <v>44917</v>
      </c>
    </row>
    <row r="10379" spans="1:24">
      <c r="A10379">
        <f>HYPERLINK("https://www.philgeps.gov.ph/GEPSNONPILOT/Tender/SplashBidNoticeAbstractUI.aspx?menuIndex=3&amp;refID=7063484&amp;Result=3","7063484")</f>
        <v>0</v>
      </c>
      <c r="B10379" t="s">
        <v>886</v>
      </c>
      <c r="C10379" t="s">
        <v>13418</v>
      </c>
      <c r="E10379" t="s">
        <v>27219</v>
      </c>
      <c r="F10379" t="s">
        <v>31362</v>
      </c>
      <c r="G10379" t="s">
        <v>31369</v>
      </c>
      <c r="H10379" t="s">
        <v>15799</v>
      </c>
      <c r="I10379" t="s">
        <v>7719</v>
      </c>
      <c r="J10379" t="s">
        <v>34072</v>
      </c>
      <c r="K10379" t="s">
        <v>40662</v>
      </c>
      <c r="M10379" t="s">
        <v>41970</v>
      </c>
      <c r="N10379" t="s">
        <v>44905</v>
      </c>
      <c r="O10379" t="s">
        <v>44906</v>
      </c>
      <c r="P10379">
        <v>0</v>
      </c>
      <c r="Q10379">
        <v>18</v>
      </c>
      <c r="R10379" t="s">
        <v>44915</v>
      </c>
      <c r="S10379" t="s">
        <v>45255</v>
      </c>
      <c r="T10379" t="s">
        <v>46528</v>
      </c>
      <c r="U10379" t="s">
        <v>49008</v>
      </c>
      <c r="W10379" t="s">
        <v>41970</v>
      </c>
      <c r="X10379" t="s">
        <v>44917</v>
      </c>
    </row>
    <row r="10380" spans="1:24">
      <c r="A10380">
        <f>HYPERLINK("https://www.philgeps.gov.ph/GEPSNONPILOT/Tender/SplashBidNoticeAbstractUI.aspx?menuIndex=3&amp;refID=7064518&amp;Result=3","7064518")</f>
        <v>0</v>
      </c>
      <c r="B10380" t="s">
        <v>1535</v>
      </c>
      <c r="C10380" t="s">
        <v>13419</v>
      </c>
      <c r="D10380" t="s">
        <v>18178</v>
      </c>
      <c r="E10380" t="s">
        <v>27220</v>
      </c>
      <c r="F10380" t="s">
        <v>31362</v>
      </c>
      <c r="G10380" t="s">
        <v>31369</v>
      </c>
      <c r="H10380" t="s">
        <v>31378</v>
      </c>
      <c r="I10380" t="s">
        <v>31386</v>
      </c>
      <c r="J10380" t="s">
        <v>37860</v>
      </c>
      <c r="K10380" t="s">
        <v>40815</v>
      </c>
      <c r="M10380" t="s">
        <v>42582</v>
      </c>
      <c r="N10380" t="s">
        <v>44905</v>
      </c>
      <c r="O10380" t="s">
        <v>44906</v>
      </c>
      <c r="P10380">
        <v>0</v>
      </c>
      <c r="Q10380">
        <v>0</v>
      </c>
      <c r="R10380" t="s">
        <v>44915</v>
      </c>
      <c r="S10380" t="s">
        <v>45255</v>
      </c>
      <c r="T10380" t="s">
        <v>46818</v>
      </c>
      <c r="U10380" t="s">
        <v>55270</v>
      </c>
      <c r="W10380" t="s">
        <v>42582</v>
      </c>
      <c r="X10380" t="s">
        <v>44917</v>
      </c>
    </row>
    <row r="10381" spans="1:24">
      <c r="A10381">
        <f>HYPERLINK("https://www.philgeps.gov.ph/GEPSNONPILOT/Tender/SplashBidNoticeAbstractUI.aspx?menuIndex=3&amp;refID=7063290&amp;Result=3","7063290")</f>
        <v>0</v>
      </c>
      <c r="B10381" t="s">
        <v>598</v>
      </c>
      <c r="C10381" t="s">
        <v>13420</v>
      </c>
      <c r="D10381" t="s">
        <v>18114</v>
      </c>
      <c r="E10381" t="s">
        <v>27221</v>
      </c>
      <c r="F10381" t="s">
        <v>31362</v>
      </c>
      <c r="G10381" t="s">
        <v>31369</v>
      </c>
      <c r="H10381" t="s">
        <v>31378</v>
      </c>
      <c r="I10381" t="s">
        <v>31386</v>
      </c>
      <c r="J10381" t="s">
        <v>31625</v>
      </c>
      <c r="K10381" t="s">
        <v>40667</v>
      </c>
      <c r="M10381" t="s">
        <v>41555</v>
      </c>
      <c r="N10381" t="s">
        <v>44905</v>
      </c>
      <c r="O10381" t="s">
        <v>44906</v>
      </c>
      <c r="P10381">
        <v>0</v>
      </c>
      <c r="Q10381">
        <v>0</v>
      </c>
      <c r="R10381" t="s">
        <v>44915</v>
      </c>
      <c r="S10381" t="s">
        <v>45255</v>
      </c>
      <c r="T10381" t="s">
        <v>46519</v>
      </c>
      <c r="U10381" t="s">
        <v>55271</v>
      </c>
      <c r="W10381" t="s">
        <v>41555</v>
      </c>
      <c r="X10381" t="s">
        <v>44917</v>
      </c>
    </row>
    <row r="10382" spans="1:24">
      <c r="A10382">
        <f>HYPERLINK("https://www.philgeps.gov.ph/GEPSNONPILOT/Tender/SplashBidNoticeAbstractUI.aspx?menuIndex=3&amp;refID=7064419&amp;Result=3","7064419")</f>
        <v>0</v>
      </c>
      <c r="B10382" t="s">
        <v>2886</v>
      </c>
      <c r="C10382" t="s">
        <v>13421</v>
      </c>
      <c r="D10382" t="s">
        <v>18108</v>
      </c>
      <c r="E10382" t="s">
        <v>27222</v>
      </c>
      <c r="F10382" t="s">
        <v>31362</v>
      </c>
      <c r="G10382" t="s">
        <v>31369</v>
      </c>
      <c r="H10382" t="s">
        <v>15799</v>
      </c>
      <c r="I10382" t="s">
        <v>6240</v>
      </c>
      <c r="J10382" t="s">
        <v>37861</v>
      </c>
      <c r="K10382" t="s">
        <v>40661</v>
      </c>
      <c r="M10382" t="s">
        <v>44100</v>
      </c>
      <c r="N10382" t="s">
        <v>44905</v>
      </c>
      <c r="O10382" t="s">
        <v>44906</v>
      </c>
      <c r="P10382">
        <v>0</v>
      </c>
      <c r="Q10382">
        <v>0</v>
      </c>
      <c r="R10382" t="s">
        <v>44915</v>
      </c>
      <c r="S10382" t="s">
        <v>45255</v>
      </c>
      <c r="T10382" t="s">
        <v>46479</v>
      </c>
      <c r="U10382" t="s">
        <v>55272</v>
      </c>
      <c r="W10382" t="s">
        <v>44100</v>
      </c>
      <c r="X10382" t="s">
        <v>44917</v>
      </c>
    </row>
    <row r="10383" spans="1:24">
      <c r="A10383">
        <f>HYPERLINK("https://www.philgeps.gov.ph/GEPSNONPILOT/Tender/SplashBidNoticeAbstractUI.aspx?menuIndex=3&amp;refID=7063955&amp;Result=3","7063955")</f>
        <v>0</v>
      </c>
      <c r="B10383" t="s">
        <v>2813</v>
      </c>
      <c r="C10383" t="s">
        <v>13422</v>
      </c>
      <c r="D10383" t="s">
        <v>18118</v>
      </c>
      <c r="E10383" t="s">
        <v>27223</v>
      </c>
      <c r="F10383" t="s">
        <v>31362</v>
      </c>
      <c r="G10383" t="s">
        <v>31369</v>
      </c>
      <c r="H10383" t="s">
        <v>31378</v>
      </c>
      <c r="I10383" t="s">
        <v>31386</v>
      </c>
      <c r="J10383" t="s">
        <v>37862</v>
      </c>
      <c r="K10383" t="s">
        <v>40662</v>
      </c>
      <c r="M10383" t="s">
        <v>44101</v>
      </c>
      <c r="N10383" t="s">
        <v>44905</v>
      </c>
      <c r="O10383" t="s">
        <v>44906</v>
      </c>
      <c r="P10383">
        <v>0</v>
      </c>
      <c r="Q10383">
        <v>0</v>
      </c>
      <c r="R10383" t="s">
        <v>44915</v>
      </c>
      <c r="S10383" t="s">
        <v>45255</v>
      </c>
      <c r="T10383" t="s">
        <v>46418</v>
      </c>
      <c r="U10383" t="s">
        <v>55273</v>
      </c>
      <c r="W10383" t="s">
        <v>44101</v>
      </c>
      <c r="X10383" t="s">
        <v>44917</v>
      </c>
    </row>
    <row r="10384" spans="1:24">
      <c r="A10384">
        <f>HYPERLINK("https://www.philgeps.gov.ph/GEPSNONPILOT/Tender/SplashBidNoticeAbstractUI.aspx?menuIndex=3&amp;refID=7063852&amp;Result=3","7063852")</f>
        <v>0</v>
      </c>
      <c r="B10384" t="s">
        <v>2789</v>
      </c>
      <c r="C10384" t="s">
        <v>13423</v>
      </c>
      <c r="D10384" t="s">
        <v>18134</v>
      </c>
      <c r="E10384" t="s">
        <v>27224</v>
      </c>
      <c r="F10384" t="s">
        <v>31362</v>
      </c>
      <c r="G10384" t="s">
        <v>31369</v>
      </c>
      <c r="H10384" t="s">
        <v>31378</v>
      </c>
      <c r="I10384" t="s">
        <v>31386</v>
      </c>
      <c r="J10384" t="s">
        <v>37863</v>
      </c>
      <c r="K10384" t="s">
        <v>40746</v>
      </c>
      <c r="M10384" t="s">
        <v>43986</v>
      </c>
      <c r="N10384" t="s">
        <v>44905</v>
      </c>
      <c r="O10384" t="s">
        <v>44906</v>
      </c>
      <c r="P10384">
        <v>0</v>
      </c>
      <c r="Q10384">
        <v>1</v>
      </c>
      <c r="R10384" t="s">
        <v>44915</v>
      </c>
      <c r="S10384" t="s">
        <v>45255</v>
      </c>
      <c r="T10384" t="s">
        <v>46533</v>
      </c>
      <c r="U10384" t="s">
        <v>55274</v>
      </c>
      <c r="W10384" t="s">
        <v>43986</v>
      </c>
      <c r="X10384" t="s">
        <v>44917</v>
      </c>
    </row>
    <row r="10385" spans="1:24">
      <c r="A10385">
        <f>HYPERLINK("https://www.philgeps.gov.ph/GEPSNONPILOT/Tender/SplashBidNoticeAbstractUI.aspx?menuIndex=3&amp;refID=7064405&amp;Result=3","7064405")</f>
        <v>0</v>
      </c>
      <c r="B10385" t="s">
        <v>2886</v>
      </c>
      <c r="C10385" t="s">
        <v>7098</v>
      </c>
      <c r="D10385" t="s">
        <v>18108</v>
      </c>
      <c r="E10385" t="s">
        <v>27225</v>
      </c>
      <c r="F10385" t="s">
        <v>31362</v>
      </c>
      <c r="G10385" t="s">
        <v>31369</v>
      </c>
      <c r="H10385" t="s">
        <v>15799</v>
      </c>
      <c r="I10385" t="s">
        <v>31431</v>
      </c>
      <c r="J10385" t="s">
        <v>37864</v>
      </c>
      <c r="K10385" t="s">
        <v>40661</v>
      </c>
      <c r="M10385" t="s">
        <v>44100</v>
      </c>
      <c r="N10385" t="s">
        <v>44905</v>
      </c>
      <c r="O10385" t="s">
        <v>44906</v>
      </c>
      <c r="P10385">
        <v>0</v>
      </c>
      <c r="Q10385">
        <v>1</v>
      </c>
      <c r="R10385" t="s">
        <v>44915</v>
      </c>
      <c r="S10385" t="s">
        <v>45255</v>
      </c>
      <c r="T10385" t="s">
        <v>46479</v>
      </c>
      <c r="U10385" t="s">
        <v>55272</v>
      </c>
      <c r="W10385" t="s">
        <v>44100</v>
      </c>
      <c r="X10385" t="s">
        <v>44917</v>
      </c>
    </row>
    <row r="10386" spans="1:24">
      <c r="A10386">
        <f>HYPERLINK("https://www.philgeps.gov.ph/GEPSNONPILOT/Tender/SplashBidNoticeAbstractUI.aspx?menuIndex=3&amp;refID=7064486&amp;Result=3","7064486")</f>
        <v>0</v>
      </c>
      <c r="B10386" t="s">
        <v>981</v>
      </c>
      <c r="C10386" t="s">
        <v>13424</v>
      </c>
      <c r="D10386" t="s">
        <v>18117</v>
      </c>
      <c r="E10386" t="s">
        <v>27226</v>
      </c>
      <c r="F10386" t="s">
        <v>31362</v>
      </c>
      <c r="G10386" t="s">
        <v>31369</v>
      </c>
      <c r="H10386" t="s">
        <v>15799</v>
      </c>
      <c r="I10386" t="s">
        <v>3815</v>
      </c>
      <c r="J10386" t="s">
        <v>37865</v>
      </c>
      <c r="K10386" t="s">
        <v>40677</v>
      </c>
      <c r="M10386" t="s">
        <v>41973</v>
      </c>
      <c r="N10386" t="s">
        <v>44905</v>
      </c>
      <c r="O10386" t="s">
        <v>44906</v>
      </c>
      <c r="P10386">
        <v>0</v>
      </c>
      <c r="Q10386">
        <v>1</v>
      </c>
      <c r="R10386" t="s">
        <v>44915</v>
      </c>
      <c r="S10386" t="s">
        <v>45255</v>
      </c>
      <c r="T10386" t="s">
        <v>46481</v>
      </c>
      <c r="U10386" t="s">
        <v>55275</v>
      </c>
      <c r="V10386" t="s">
        <v>59317</v>
      </c>
      <c r="W10386" t="s">
        <v>41973</v>
      </c>
      <c r="X10386" t="s">
        <v>44917</v>
      </c>
    </row>
    <row r="10387" spans="1:24">
      <c r="A10387">
        <f>HYPERLINK("https://www.philgeps.gov.ph/GEPSNONPILOT/Tender/SplashBidNoticeAbstractUI.aspx?menuIndex=3&amp;refID=7064388&amp;Result=3","7064388")</f>
        <v>0</v>
      </c>
      <c r="B10387" t="s">
        <v>2886</v>
      </c>
      <c r="C10387" t="s">
        <v>7098</v>
      </c>
      <c r="D10387" t="s">
        <v>18108</v>
      </c>
      <c r="E10387" t="s">
        <v>27227</v>
      </c>
      <c r="F10387" t="s">
        <v>31362</v>
      </c>
      <c r="G10387" t="s">
        <v>31369</v>
      </c>
      <c r="H10387" t="s">
        <v>15799</v>
      </c>
      <c r="I10387" t="s">
        <v>31431</v>
      </c>
      <c r="J10387" t="s">
        <v>37864</v>
      </c>
      <c r="K10387" t="s">
        <v>40661</v>
      </c>
      <c r="M10387" t="s">
        <v>44100</v>
      </c>
      <c r="N10387" t="s">
        <v>44905</v>
      </c>
      <c r="O10387" t="s">
        <v>44906</v>
      </c>
      <c r="P10387">
        <v>0</v>
      </c>
      <c r="Q10387">
        <v>0</v>
      </c>
      <c r="R10387" t="s">
        <v>44915</v>
      </c>
      <c r="S10387" t="s">
        <v>45255</v>
      </c>
      <c r="T10387" t="s">
        <v>46479</v>
      </c>
      <c r="U10387" t="s">
        <v>55272</v>
      </c>
      <c r="W10387" t="s">
        <v>44100</v>
      </c>
      <c r="X10387" t="s">
        <v>44917</v>
      </c>
    </row>
    <row r="10388" spans="1:24">
      <c r="A10388">
        <f>HYPERLINK("https://www.philgeps.gov.ph/GEPSNONPILOT/Tender/SplashBidNoticeAbstractUI.aspx?menuIndex=3&amp;refID=7064366&amp;Result=3","7064366")</f>
        <v>0</v>
      </c>
      <c r="B10388" t="s">
        <v>2886</v>
      </c>
      <c r="C10388" t="s">
        <v>6993</v>
      </c>
      <c r="D10388" t="s">
        <v>18108</v>
      </c>
      <c r="E10388" t="s">
        <v>27228</v>
      </c>
      <c r="F10388" t="s">
        <v>31362</v>
      </c>
      <c r="G10388" t="s">
        <v>31369</v>
      </c>
      <c r="H10388" t="s">
        <v>15799</v>
      </c>
      <c r="I10388" t="s">
        <v>6373</v>
      </c>
      <c r="J10388" t="s">
        <v>37866</v>
      </c>
      <c r="K10388" t="s">
        <v>40661</v>
      </c>
      <c r="M10388" t="s">
        <v>44100</v>
      </c>
      <c r="N10388" t="s">
        <v>44905</v>
      </c>
      <c r="O10388" t="s">
        <v>44906</v>
      </c>
      <c r="P10388">
        <v>0</v>
      </c>
      <c r="Q10388">
        <v>2</v>
      </c>
      <c r="R10388" t="s">
        <v>44915</v>
      </c>
      <c r="S10388" t="s">
        <v>45255</v>
      </c>
      <c r="T10388" t="s">
        <v>46479</v>
      </c>
      <c r="U10388" t="s">
        <v>55272</v>
      </c>
      <c r="W10388" t="s">
        <v>44100</v>
      </c>
      <c r="X10388" t="s">
        <v>44917</v>
      </c>
    </row>
    <row r="10389" spans="1:24">
      <c r="A10389">
        <f>HYPERLINK("https://www.philgeps.gov.ph/GEPSNONPILOT/Tender/SplashBidNoticeAbstractUI.aspx?menuIndex=3&amp;refID=7064376&amp;Result=3","7064376")</f>
        <v>0</v>
      </c>
      <c r="B10389" t="s">
        <v>2886</v>
      </c>
      <c r="C10389" t="s">
        <v>7098</v>
      </c>
      <c r="D10389" t="s">
        <v>18108</v>
      </c>
      <c r="E10389" t="s">
        <v>27229</v>
      </c>
      <c r="F10389" t="s">
        <v>31362</v>
      </c>
      <c r="G10389" t="s">
        <v>31369</v>
      </c>
      <c r="H10389" t="s">
        <v>15799</v>
      </c>
      <c r="I10389" t="s">
        <v>31431</v>
      </c>
      <c r="J10389" t="s">
        <v>37864</v>
      </c>
      <c r="K10389" t="s">
        <v>40661</v>
      </c>
      <c r="M10389" t="s">
        <v>44100</v>
      </c>
      <c r="N10389" t="s">
        <v>44905</v>
      </c>
      <c r="O10389" t="s">
        <v>44906</v>
      </c>
      <c r="P10389">
        <v>0</v>
      </c>
      <c r="Q10389">
        <v>1</v>
      </c>
      <c r="R10389" t="s">
        <v>44915</v>
      </c>
      <c r="S10389" t="s">
        <v>45255</v>
      </c>
      <c r="T10389" t="s">
        <v>46479</v>
      </c>
      <c r="U10389" t="s">
        <v>55276</v>
      </c>
      <c r="W10389" t="s">
        <v>44100</v>
      </c>
      <c r="X10389" t="s">
        <v>44917</v>
      </c>
    </row>
    <row r="10390" spans="1:24">
      <c r="A10390">
        <f>HYPERLINK("https://www.philgeps.gov.ph/GEPSNONPILOT/Tender/SplashBidNoticeAbstractUI.aspx?menuIndex=3&amp;refID=7063661&amp;Result=3","7063661")</f>
        <v>0</v>
      </c>
      <c r="B10390" t="s">
        <v>2887</v>
      </c>
      <c r="C10390" t="s">
        <v>13425</v>
      </c>
      <c r="D10390" t="s">
        <v>18100</v>
      </c>
      <c r="E10390" t="s">
        <v>27230</v>
      </c>
      <c r="F10390" t="s">
        <v>31362</v>
      </c>
      <c r="G10390" t="s">
        <v>31369</v>
      </c>
      <c r="H10390" t="s">
        <v>31378</v>
      </c>
      <c r="I10390" t="s">
        <v>31386</v>
      </c>
      <c r="J10390" t="s">
        <v>37867</v>
      </c>
      <c r="K10390" t="s">
        <v>40662</v>
      </c>
      <c r="M10390" t="s">
        <v>44102</v>
      </c>
      <c r="N10390" t="s">
        <v>44905</v>
      </c>
      <c r="O10390" t="s">
        <v>44906</v>
      </c>
      <c r="P10390">
        <v>0</v>
      </c>
      <c r="Q10390">
        <v>6</v>
      </c>
      <c r="R10390" t="s">
        <v>44915</v>
      </c>
      <c r="S10390" t="s">
        <v>45255</v>
      </c>
      <c r="T10390" t="s">
        <v>46462</v>
      </c>
      <c r="U10390" t="s">
        <v>55277</v>
      </c>
      <c r="V10390" t="s">
        <v>60164</v>
      </c>
      <c r="W10390" t="s">
        <v>44102</v>
      </c>
      <c r="X10390" t="s">
        <v>44917</v>
      </c>
    </row>
    <row r="10391" spans="1:24">
      <c r="A10391">
        <f>HYPERLINK("https://www.philgeps.gov.ph/GEPSNONPILOT/Tender/SplashBidNoticeAbstractUI.aspx?menuIndex=3&amp;refID=7064457&amp;Result=3","7064457")</f>
        <v>0</v>
      </c>
      <c r="B10391" t="s">
        <v>981</v>
      </c>
      <c r="C10391" t="s">
        <v>13426</v>
      </c>
      <c r="D10391" t="s">
        <v>18117</v>
      </c>
      <c r="E10391" t="s">
        <v>27231</v>
      </c>
      <c r="F10391" t="s">
        <v>31362</v>
      </c>
      <c r="G10391" t="s">
        <v>31369</v>
      </c>
      <c r="H10391" t="s">
        <v>15799</v>
      </c>
      <c r="I10391" t="s">
        <v>3815</v>
      </c>
      <c r="J10391" t="s">
        <v>37868</v>
      </c>
      <c r="K10391" t="s">
        <v>40677</v>
      </c>
      <c r="M10391" t="s">
        <v>41973</v>
      </c>
      <c r="N10391" t="s">
        <v>44905</v>
      </c>
      <c r="O10391" t="s">
        <v>44906</v>
      </c>
      <c r="P10391">
        <v>0</v>
      </c>
      <c r="Q10391">
        <v>2</v>
      </c>
      <c r="R10391" t="s">
        <v>44915</v>
      </c>
      <c r="S10391" t="s">
        <v>45255</v>
      </c>
      <c r="T10391" t="s">
        <v>46481</v>
      </c>
      <c r="U10391" t="s">
        <v>47376</v>
      </c>
      <c r="V10391" t="s">
        <v>59317</v>
      </c>
      <c r="W10391" t="s">
        <v>41973</v>
      </c>
      <c r="X10391" t="s">
        <v>44917</v>
      </c>
    </row>
    <row r="10392" spans="1:24">
      <c r="A10392">
        <f>HYPERLINK("https://www.philgeps.gov.ph/GEPSNONPILOT/Tender/SplashBidNoticeAbstractUI.aspx?menuIndex=3&amp;refID=7064354&amp;Result=3","7064354")</f>
        <v>0</v>
      </c>
      <c r="B10392" t="s">
        <v>2886</v>
      </c>
      <c r="C10392" t="s">
        <v>7022</v>
      </c>
      <c r="D10392" t="s">
        <v>18108</v>
      </c>
      <c r="E10392" t="s">
        <v>27232</v>
      </c>
      <c r="F10392" t="s">
        <v>31362</v>
      </c>
      <c r="G10392" t="s">
        <v>31369</v>
      </c>
      <c r="H10392" t="s">
        <v>15799</v>
      </c>
      <c r="I10392" t="s">
        <v>4942</v>
      </c>
      <c r="J10392" t="s">
        <v>37869</v>
      </c>
      <c r="K10392" t="s">
        <v>40661</v>
      </c>
      <c r="M10392" t="s">
        <v>44100</v>
      </c>
      <c r="N10392" t="s">
        <v>44905</v>
      </c>
      <c r="O10392" t="s">
        <v>44906</v>
      </c>
      <c r="P10392">
        <v>0</v>
      </c>
      <c r="Q10392">
        <v>1</v>
      </c>
      <c r="R10392" t="s">
        <v>44915</v>
      </c>
      <c r="S10392" t="s">
        <v>45255</v>
      </c>
      <c r="T10392" t="s">
        <v>46479</v>
      </c>
      <c r="U10392" t="s">
        <v>55272</v>
      </c>
      <c r="W10392" t="s">
        <v>44100</v>
      </c>
      <c r="X10392" t="s">
        <v>44917</v>
      </c>
    </row>
    <row r="10393" spans="1:24">
      <c r="A10393">
        <f>HYPERLINK("https://www.philgeps.gov.ph/GEPSNONPILOT/Tender/SplashBidNoticeAbstractUI.aspx?menuIndex=3&amp;refID=7064370&amp;Result=3","7064370")</f>
        <v>0</v>
      </c>
      <c r="B10393" t="s">
        <v>2886</v>
      </c>
      <c r="C10393" t="s">
        <v>6993</v>
      </c>
      <c r="D10393" t="s">
        <v>18108</v>
      </c>
      <c r="E10393" t="s">
        <v>27233</v>
      </c>
      <c r="F10393" t="s">
        <v>31362</v>
      </c>
      <c r="G10393" t="s">
        <v>31369</v>
      </c>
      <c r="H10393" t="s">
        <v>15799</v>
      </c>
      <c r="I10393" t="s">
        <v>6373</v>
      </c>
      <c r="J10393" t="s">
        <v>37866</v>
      </c>
      <c r="K10393" t="s">
        <v>40661</v>
      </c>
      <c r="M10393" t="s">
        <v>44100</v>
      </c>
      <c r="N10393" t="s">
        <v>44905</v>
      </c>
      <c r="O10393" t="s">
        <v>44906</v>
      </c>
      <c r="P10393">
        <v>0</v>
      </c>
      <c r="Q10393">
        <v>0</v>
      </c>
      <c r="R10393" t="s">
        <v>44915</v>
      </c>
      <c r="S10393" t="s">
        <v>45255</v>
      </c>
      <c r="T10393" t="s">
        <v>46479</v>
      </c>
      <c r="U10393" t="s">
        <v>55272</v>
      </c>
      <c r="W10393" t="s">
        <v>44100</v>
      </c>
      <c r="X10393" t="s">
        <v>44917</v>
      </c>
    </row>
    <row r="10394" spans="1:24">
      <c r="A10394">
        <f>HYPERLINK("https://www.philgeps.gov.ph/GEPSNONPILOT/Tender/SplashBidNoticeAbstractUI.aspx?menuIndex=3&amp;refID=7064685&amp;Result=3","7064685")</f>
        <v>0</v>
      </c>
      <c r="B10394" t="s">
        <v>291</v>
      </c>
      <c r="C10394" t="s">
        <v>13427</v>
      </c>
      <c r="D10394" t="s">
        <v>18158</v>
      </c>
      <c r="E10394" t="s">
        <v>27234</v>
      </c>
      <c r="F10394" t="s">
        <v>31362</v>
      </c>
      <c r="G10394" t="s">
        <v>31369</v>
      </c>
      <c r="H10394" t="s">
        <v>15799</v>
      </c>
      <c r="I10394" t="s">
        <v>7188</v>
      </c>
      <c r="J10394" t="s">
        <v>31578</v>
      </c>
      <c r="K10394" t="s">
        <v>40662</v>
      </c>
      <c r="M10394" t="s">
        <v>41234</v>
      </c>
      <c r="N10394" t="s">
        <v>44905</v>
      </c>
      <c r="O10394" t="s">
        <v>44906</v>
      </c>
      <c r="P10394">
        <v>0</v>
      </c>
      <c r="Q10394">
        <v>0</v>
      </c>
      <c r="R10394" t="s">
        <v>44915</v>
      </c>
      <c r="S10394" t="s">
        <v>45255</v>
      </c>
      <c r="T10394" t="s">
        <v>46447</v>
      </c>
      <c r="U10394" t="s">
        <v>55278</v>
      </c>
      <c r="W10394" t="s">
        <v>41234</v>
      </c>
      <c r="X10394" t="s">
        <v>44916</v>
      </c>
    </row>
    <row r="10395" spans="1:24">
      <c r="A10395">
        <f>HYPERLINK("https://www.philgeps.gov.ph/GEPSNONPILOT/Tender/SplashBidNoticeAbstractUI.aspx?menuIndex=3&amp;refID=7064683&amp;Result=3","7064683")</f>
        <v>0</v>
      </c>
      <c r="B10395" t="s">
        <v>1864</v>
      </c>
      <c r="C10395" t="s">
        <v>13428</v>
      </c>
      <c r="D10395" t="s">
        <v>18140</v>
      </c>
      <c r="E10395" t="s">
        <v>27235</v>
      </c>
      <c r="F10395" t="s">
        <v>31362</v>
      </c>
      <c r="G10395" t="s">
        <v>31369</v>
      </c>
      <c r="H10395" t="s">
        <v>31378</v>
      </c>
      <c r="I10395" t="s">
        <v>3815</v>
      </c>
      <c r="J10395" t="s">
        <v>37870</v>
      </c>
      <c r="K10395" t="s">
        <v>40825</v>
      </c>
      <c r="M10395" t="s">
        <v>42954</v>
      </c>
      <c r="N10395" t="s">
        <v>44905</v>
      </c>
      <c r="O10395" t="s">
        <v>44906</v>
      </c>
      <c r="P10395">
        <v>0</v>
      </c>
      <c r="Q10395">
        <v>0</v>
      </c>
      <c r="R10395" t="s">
        <v>44915</v>
      </c>
      <c r="S10395" t="s">
        <v>45255</v>
      </c>
      <c r="T10395" t="s">
        <v>46569</v>
      </c>
      <c r="U10395" t="s">
        <v>55279</v>
      </c>
      <c r="W10395" t="s">
        <v>42954</v>
      </c>
      <c r="X10395" t="s">
        <v>44916</v>
      </c>
    </row>
    <row r="10396" spans="1:24">
      <c r="A10396">
        <f>HYPERLINK("https://www.philgeps.gov.ph/GEPSNONPILOT/Tender/SplashBidNoticeAbstractUI.aspx?menuIndex=3&amp;refID=7064412&amp;Result=3","7064412")</f>
        <v>0</v>
      </c>
      <c r="B10396" t="s">
        <v>2886</v>
      </c>
      <c r="C10396" t="s">
        <v>7067</v>
      </c>
      <c r="D10396" t="s">
        <v>18108</v>
      </c>
      <c r="E10396" t="s">
        <v>27236</v>
      </c>
      <c r="F10396" t="s">
        <v>31362</v>
      </c>
      <c r="G10396" t="s">
        <v>31369</v>
      </c>
      <c r="H10396" t="s">
        <v>15799</v>
      </c>
      <c r="I10396" t="s">
        <v>31380</v>
      </c>
      <c r="J10396" t="s">
        <v>37871</v>
      </c>
      <c r="K10396" t="s">
        <v>40661</v>
      </c>
      <c r="M10396" t="s">
        <v>44100</v>
      </c>
      <c r="N10396" t="s">
        <v>44905</v>
      </c>
      <c r="O10396" t="s">
        <v>44906</v>
      </c>
      <c r="P10396">
        <v>0</v>
      </c>
      <c r="Q10396">
        <v>8</v>
      </c>
      <c r="R10396" t="s">
        <v>44915</v>
      </c>
      <c r="S10396" t="s">
        <v>45255</v>
      </c>
      <c r="T10396" t="s">
        <v>46479</v>
      </c>
      <c r="U10396" t="s">
        <v>55276</v>
      </c>
      <c r="W10396" t="s">
        <v>44100</v>
      </c>
      <c r="X10396" t="s">
        <v>44917</v>
      </c>
    </row>
    <row r="10397" spans="1:24">
      <c r="A10397">
        <f>HYPERLINK("https://www.philgeps.gov.ph/GEPSNONPILOT/Tender/SplashBidNoticeAbstractUI.aspx?menuIndex=3&amp;refID=7064678&amp;Result=3","7064678")</f>
        <v>0</v>
      </c>
      <c r="B10397" t="s">
        <v>1075</v>
      </c>
      <c r="C10397" t="s">
        <v>13429</v>
      </c>
      <c r="D10397" t="s">
        <v>18101</v>
      </c>
      <c r="E10397" t="s">
        <v>27237</v>
      </c>
      <c r="F10397" t="s">
        <v>31362</v>
      </c>
      <c r="G10397" t="s">
        <v>31369</v>
      </c>
      <c r="H10397" t="s">
        <v>15799</v>
      </c>
      <c r="I10397" t="s">
        <v>3815</v>
      </c>
      <c r="J10397" t="s">
        <v>37872</v>
      </c>
      <c r="K10397" t="s">
        <v>40666</v>
      </c>
      <c r="M10397" t="s">
        <v>42077</v>
      </c>
      <c r="N10397" t="s">
        <v>44905</v>
      </c>
      <c r="O10397" t="s">
        <v>44906</v>
      </c>
      <c r="P10397">
        <v>0</v>
      </c>
      <c r="Q10397">
        <v>0</v>
      </c>
      <c r="R10397" t="s">
        <v>44915</v>
      </c>
      <c r="S10397" t="s">
        <v>45255</v>
      </c>
      <c r="T10397" t="s">
        <v>46411</v>
      </c>
      <c r="U10397" t="s">
        <v>55280</v>
      </c>
      <c r="W10397" t="s">
        <v>42077</v>
      </c>
      <c r="X10397" t="s">
        <v>44916</v>
      </c>
    </row>
    <row r="10398" spans="1:24">
      <c r="A10398">
        <f>HYPERLINK("https://www.philgeps.gov.ph/GEPSNONPILOT/Tender/SplashBidNoticeAbstractUI.aspx?menuIndex=3&amp;refID=7064359&amp;Result=3","7064359")</f>
        <v>0</v>
      </c>
      <c r="B10398" t="s">
        <v>2886</v>
      </c>
      <c r="C10398" t="s">
        <v>6993</v>
      </c>
      <c r="D10398" t="s">
        <v>18108</v>
      </c>
      <c r="E10398" t="s">
        <v>27238</v>
      </c>
      <c r="F10398" t="s">
        <v>31362</v>
      </c>
      <c r="G10398" t="s">
        <v>31369</v>
      </c>
      <c r="H10398" t="s">
        <v>15799</v>
      </c>
      <c r="I10398" t="s">
        <v>6373</v>
      </c>
      <c r="J10398" t="s">
        <v>37866</v>
      </c>
      <c r="K10398" t="s">
        <v>40661</v>
      </c>
      <c r="M10398" t="s">
        <v>44100</v>
      </c>
      <c r="N10398" t="s">
        <v>44905</v>
      </c>
      <c r="O10398" t="s">
        <v>44906</v>
      </c>
      <c r="P10398">
        <v>0</v>
      </c>
      <c r="Q10398">
        <v>1</v>
      </c>
      <c r="R10398" t="s">
        <v>44915</v>
      </c>
      <c r="S10398" t="s">
        <v>45255</v>
      </c>
      <c r="T10398" t="s">
        <v>46479</v>
      </c>
      <c r="U10398" t="s">
        <v>55272</v>
      </c>
      <c r="W10398" t="s">
        <v>44100</v>
      </c>
      <c r="X10398" t="s">
        <v>44917</v>
      </c>
    </row>
    <row r="10399" spans="1:24">
      <c r="A10399">
        <f>HYPERLINK("https://www.philgeps.gov.ph/GEPSNONPILOT/Tender/SplashBidNoticeAbstractUI.aspx?menuIndex=3&amp;refID=7064682&amp;Result=3","7064682")</f>
        <v>0</v>
      </c>
      <c r="B10399" t="s">
        <v>776</v>
      </c>
      <c r="C10399" t="s">
        <v>13430</v>
      </c>
      <c r="D10399" t="s">
        <v>18108</v>
      </c>
      <c r="E10399" t="s">
        <v>27239</v>
      </c>
      <c r="F10399" t="s">
        <v>31362</v>
      </c>
      <c r="G10399" t="s">
        <v>31369</v>
      </c>
      <c r="H10399" t="s">
        <v>31378</v>
      </c>
      <c r="I10399" t="s">
        <v>31386</v>
      </c>
      <c r="J10399" t="s">
        <v>37873</v>
      </c>
      <c r="K10399" t="s">
        <v>40691</v>
      </c>
      <c r="M10399" t="s">
        <v>42401</v>
      </c>
      <c r="N10399" t="s">
        <v>44905</v>
      </c>
      <c r="O10399" t="s">
        <v>44906</v>
      </c>
      <c r="P10399">
        <v>0</v>
      </c>
      <c r="Q10399">
        <v>1</v>
      </c>
      <c r="R10399" t="s">
        <v>44915</v>
      </c>
      <c r="S10399" t="s">
        <v>45255</v>
      </c>
      <c r="T10399" t="s">
        <v>46408</v>
      </c>
      <c r="U10399" t="s">
        <v>55281</v>
      </c>
      <c r="W10399" t="s">
        <v>42401</v>
      </c>
      <c r="X10399" t="s">
        <v>44916</v>
      </c>
    </row>
    <row r="10400" spans="1:24">
      <c r="A10400">
        <f>HYPERLINK("https://www.philgeps.gov.ph/GEPSNONPILOT/Tender/SplashBidNoticeAbstractUI.aspx?menuIndex=3&amp;refID=7064657&amp;Result=3","7064657")</f>
        <v>0</v>
      </c>
      <c r="B10400" t="s">
        <v>1897</v>
      </c>
      <c r="C10400" t="s">
        <v>13431</v>
      </c>
      <c r="E10400" t="s">
        <v>27240</v>
      </c>
      <c r="F10400" t="s">
        <v>31362</v>
      </c>
      <c r="G10400" t="s">
        <v>31369</v>
      </c>
      <c r="H10400" t="s">
        <v>31378</v>
      </c>
      <c r="I10400" t="s">
        <v>31386</v>
      </c>
      <c r="J10400" t="s">
        <v>37874</v>
      </c>
      <c r="K10400" t="s">
        <v>40662</v>
      </c>
      <c r="M10400" t="s">
        <v>42992</v>
      </c>
      <c r="N10400" t="s">
        <v>44905</v>
      </c>
      <c r="O10400" t="s">
        <v>44906</v>
      </c>
      <c r="P10400">
        <v>0</v>
      </c>
      <c r="Q10400">
        <v>5</v>
      </c>
      <c r="R10400" t="s">
        <v>44915</v>
      </c>
      <c r="S10400" t="s">
        <v>45255</v>
      </c>
      <c r="T10400" t="s">
        <v>46547</v>
      </c>
      <c r="U10400" t="s">
        <v>55282</v>
      </c>
      <c r="V10400" t="s">
        <v>60165</v>
      </c>
      <c r="W10400" t="s">
        <v>42992</v>
      </c>
      <c r="X10400" t="s">
        <v>44916</v>
      </c>
    </row>
    <row r="10401" spans="1:24">
      <c r="A10401">
        <f>HYPERLINK("https://www.philgeps.gov.ph/GEPSNONPILOT/Tender/SplashBidNoticeAbstractUI.aspx?menuIndex=3&amp;refID=7064668&amp;Result=3","7064668")</f>
        <v>0</v>
      </c>
      <c r="B10401" t="s">
        <v>1075</v>
      </c>
      <c r="C10401" t="s">
        <v>13432</v>
      </c>
      <c r="D10401" t="s">
        <v>18101</v>
      </c>
      <c r="E10401" t="s">
        <v>27241</v>
      </c>
      <c r="F10401" t="s">
        <v>31362</v>
      </c>
      <c r="G10401" t="s">
        <v>31369</v>
      </c>
      <c r="H10401" t="s">
        <v>15799</v>
      </c>
      <c r="I10401" t="s">
        <v>7188</v>
      </c>
      <c r="J10401" t="s">
        <v>31725</v>
      </c>
      <c r="K10401" t="s">
        <v>40666</v>
      </c>
      <c r="M10401" t="s">
        <v>42077</v>
      </c>
      <c r="N10401" t="s">
        <v>44905</v>
      </c>
      <c r="O10401" t="s">
        <v>44906</v>
      </c>
      <c r="P10401">
        <v>0</v>
      </c>
      <c r="Q10401">
        <v>0</v>
      </c>
      <c r="R10401" t="s">
        <v>44915</v>
      </c>
      <c r="S10401" t="s">
        <v>45255</v>
      </c>
      <c r="T10401" t="s">
        <v>46411</v>
      </c>
      <c r="U10401" t="s">
        <v>55283</v>
      </c>
      <c r="W10401" t="s">
        <v>42077</v>
      </c>
      <c r="X10401" t="s">
        <v>44916</v>
      </c>
    </row>
    <row r="10402" spans="1:24">
      <c r="A10402">
        <f>HYPERLINK("https://www.philgeps.gov.ph/GEPSNONPILOT/Tender/SplashBidNoticeAbstractUI.aspx?menuIndex=3&amp;refID=7064660&amp;Result=3","7064660")</f>
        <v>0</v>
      </c>
      <c r="B10402" t="s">
        <v>2888</v>
      </c>
      <c r="C10402" t="s">
        <v>13433</v>
      </c>
      <c r="E10402" t="s">
        <v>18217</v>
      </c>
      <c r="F10402" t="s">
        <v>31362</v>
      </c>
      <c r="G10402" t="s">
        <v>31369</v>
      </c>
      <c r="H10402" t="s">
        <v>15799</v>
      </c>
      <c r="I10402" t="s">
        <v>3815</v>
      </c>
      <c r="J10402" t="s">
        <v>37875</v>
      </c>
      <c r="K10402" t="s">
        <v>40670</v>
      </c>
      <c r="M10402" t="s">
        <v>44103</v>
      </c>
      <c r="N10402" t="s">
        <v>44905</v>
      </c>
      <c r="O10402" t="s">
        <v>44906</v>
      </c>
      <c r="P10402">
        <v>0</v>
      </c>
      <c r="Q10402">
        <v>0</v>
      </c>
      <c r="R10402" t="s">
        <v>44915</v>
      </c>
      <c r="S10402" t="s">
        <v>45255</v>
      </c>
      <c r="T10402" t="s">
        <v>46392</v>
      </c>
      <c r="U10402" t="s">
        <v>55284</v>
      </c>
      <c r="V10402" t="s">
        <v>60166</v>
      </c>
      <c r="W10402" t="s">
        <v>44103</v>
      </c>
      <c r="X10402" t="s">
        <v>44916</v>
      </c>
    </row>
    <row r="10403" spans="1:24">
      <c r="A10403">
        <f>HYPERLINK("https://www.philgeps.gov.ph/GEPSNONPILOT/Tender/SplashBidNoticeAbstractUI.aspx?menuIndex=3&amp;refID=7064624&amp;Result=3","7064624")</f>
        <v>0</v>
      </c>
      <c r="B10403" t="s">
        <v>1297</v>
      </c>
      <c r="C10403" t="s">
        <v>13434</v>
      </c>
      <c r="D10403" t="s">
        <v>18125</v>
      </c>
      <c r="E10403" t="s">
        <v>27242</v>
      </c>
      <c r="F10403" t="s">
        <v>31362</v>
      </c>
      <c r="G10403" t="s">
        <v>31369</v>
      </c>
      <c r="H10403" t="s">
        <v>31378</v>
      </c>
      <c r="I10403" t="s">
        <v>31386</v>
      </c>
      <c r="J10403" t="s">
        <v>34085</v>
      </c>
      <c r="K10403" t="s">
        <v>40742</v>
      </c>
      <c r="M10403" t="s">
        <v>42315</v>
      </c>
      <c r="N10403" t="s">
        <v>44905</v>
      </c>
      <c r="O10403" t="s">
        <v>44906</v>
      </c>
      <c r="P10403">
        <v>0</v>
      </c>
      <c r="Q10403">
        <v>0</v>
      </c>
      <c r="R10403" t="s">
        <v>44915</v>
      </c>
      <c r="S10403" t="s">
        <v>45255</v>
      </c>
      <c r="T10403" t="s">
        <v>46525</v>
      </c>
      <c r="U10403" t="s">
        <v>49768</v>
      </c>
      <c r="W10403" t="s">
        <v>42315</v>
      </c>
      <c r="X10403" t="s">
        <v>44916</v>
      </c>
    </row>
    <row r="10404" spans="1:24">
      <c r="A10404">
        <f>HYPERLINK("https://www.philgeps.gov.ph/GEPSNONPILOT/Tender/SplashBidNoticeAbstractUI.aspx?menuIndex=3&amp;refID=7064686&amp;Result=3","7064686")</f>
        <v>0</v>
      </c>
      <c r="B10404" t="s">
        <v>592</v>
      </c>
      <c r="C10404" t="s">
        <v>13435</v>
      </c>
      <c r="D10404" t="s">
        <v>18100</v>
      </c>
      <c r="E10404" t="s">
        <v>27243</v>
      </c>
      <c r="F10404" t="s">
        <v>31362</v>
      </c>
      <c r="G10404" t="s">
        <v>31369</v>
      </c>
      <c r="H10404" t="s">
        <v>15799</v>
      </c>
      <c r="I10404" t="s">
        <v>31409</v>
      </c>
      <c r="J10404" t="s">
        <v>37876</v>
      </c>
      <c r="K10404" t="s">
        <v>40662</v>
      </c>
      <c r="M10404" t="s">
        <v>41549</v>
      </c>
      <c r="N10404" t="s">
        <v>44905</v>
      </c>
      <c r="O10404" t="s">
        <v>44906</v>
      </c>
      <c r="P10404">
        <v>0</v>
      </c>
      <c r="Q10404">
        <v>4</v>
      </c>
      <c r="R10404" t="s">
        <v>44915</v>
      </c>
      <c r="S10404" t="s">
        <v>45255</v>
      </c>
      <c r="T10404" t="s">
        <v>46504</v>
      </c>
      <c r="U10404" t="s">
        <v>55285</v>
      </c>
      <c r="W10404" t="s">
        <v>41549</v>
      </c>
      <c r="X10404" t="s">
        <v>44916</v>
      </c>
    </row>
    <row r="10405" spans="1:24">
      <c r="A10405">
        <f>HYPERLINK("https://www.philgeps.gov.ph/GEPSNONPILOT/Tender/SplashBidNoticeAbstractUI.aspx?menuIndex=3&amp;refID=7064603&amp;Result=3","7064603")</f>
        <v>0</v>
      </c>
      <c r="B10405" t="s">
        <v>2889</v>
      </c>
      <c r="C10405" t="s">
        <v>13436</v>
      </c>
      <c r="D10405" t="s">
        <v>18148</v>
      </c>
      <c r="E10405" t="s">
        <v>27244</v>
      </c>
      <c r="F10405" t="s">
        <v>31362</v>
      </c>
      <c r="G10405" t="s">
        <v>31369</v>
      </c>
      <c r="H10405" t="s">
        <v>15799</v>
      </c>
      <c r="I10405" t="s">
        <v>31396</v>
      </c>
      <c r="J10405" t="s">
        <v>37877</v>
      </c>
      <c r="K10405" t="s">
        <v>40675</v>
      </c>
      <c r="M10405" t="s">
        <v>44104</v>
      </c>
      <c r="N10405" t="s">
        <v>44905</v>
      </c>
      <c r="O10405" t="s">
        <v>44906</v>
      </c>
      <c r="P10405">
        <v>0</v>
      </c>
      <c r="Q10405">
        <v>14</v>
      </c>
      <c r="R10405" t="s">
        <v>44915</v>
      </c>
      <c r="S10405" t="s">
        <v>45255</v>
      </c>
      <c r="T10405" t="s">
        <v>46519</v>
      </c>
      <c r="U10405" t="s">
        <v>55286</v>
      </c>
      <c r="V10405" t="s">
        <v>60167</v>
      </c>
      <c r="W10405" t="s">
        <v>44104</v>
      </c>
      <c r="X10405" t="s">
        <v>44916</v>
      </c>
    </row>
    <row r="10406" spans="1:24">
      <c r="A10406">
        <f>HYPERLINK("https://www.philgeps.gov.ph/GEPSNONPILOT/Tender/SplashBidNoticeAbstractUI.aspx?menuIndex=3&amp;refID=7064598&amp;Result=3","7064598")</f>
        <v>0</v>
      </c>
      <c r="B10406" t="s">
        <v>1460</v>
      </c>
      <c r="C10406" t="s">
        <v>7426</v>
      </c>
      <c r="D10406" t="s">
        <v>18147</v>
      </c>
      <c r="E10406" t="s">
        <v>27245</v>
      </c>
      <c r="F10406" t="s">
        <v>31363</v>
      </c>
      <c r="G10406" t="s">
        <v>31369</v>
      </c>
      <c r="H10406" t="s">
        <v>15799</v>
      </c>
      <c r="I10406" t="s">
        <v>3815</v>
      </c>
      <c r="J10406" t="s">
        <v>34197</v>
      </c>
      <c r="K10406" t="s">
        <v>40661</v>
      </c>
      <c r="L10406" t="s">
        <v>1460</v>
      </c>
      <c r="M10406" t="s">
        <v>42491</v>
      </c>
      <c r="N10406" t="s">
        <v>44905</v>
      </c>
      <c r="O10406" t="s">
        <v>44906</v>
      </c>
      <c r="P10406">
        <v>0</v>
      </c>
      <c r="Q10406">
        <v>0</v>
      </c>
      <c r="R10406" t="s">
        <v>44915</v>
      </c>
      <c r="S10406" t="s">
        <v>45255</v>
      </c>
      <c r="T10406" t="s">
        <v>46427</v>
      </c>
      <c r="U10406" t="s">
        <v>50281</v>
      </c>
      <c r="W10406" t="s">
        <v>42491</v>
      </c>
      <c r="X10406" t="s">
        <v>44916</v>
      </c>
    </row>
    <row r="10407" spans="1:24">
      <c r="A10407">
        <f>HYPERLINK("https://www.philgeps.gov.ph/GEPSNONPILOT/Tender/SplashBidNoticeAbstractUI.aspx?menuIndex=3&amp;refID=7064607&amp;Result=3","7064607")</f>
        <v>0</v>
      </c>
      <c r="B10407" t="s">
        <v>192</v>
      </c>
      <c r="C10407" t="s">
        <v>13437</v>
      </c>
      <c r="D10407" t="s">
        <v>18122</v>
      </c>
      <c r="E10407" t="s">
        <v>27246</v>
      </c>
      <c r="F10407" t="s">
        <v>31362</v>
      </c>
      <c r="G10407" t="s">
        <v>31370</v>
      </c>
      <c r="H10407" t="s">
        <v>31378</v>
      </c>
      <c r="I10407" t="s">
        <v>31386</v>
      </c>
      <c r="J10407" t="s">
        <v>37878</v>
      </c>
      <c r="K10407" t="s">
        <v>40662</v>
      </c>
      <c r="M10407" t="s">
        <v>41130</v>
      </c>
      <c r="N10407" t="s">
        <v>44905</v>
      </c>
      <c r="O10407" t="s">
        <v>44906</v>
      </c>
      <c r="Q10407">
        <v>0</v>
      </c>
      <c r="R10407" t="s">
        <v>44915</v>
      </c>
      <c r="S10407" t="s">
        <v>45273</v>
      </c>
      <c r="T10407" t="s">
        <v>46454</v>
      </c>
      <c r="U10407" t="s">
        <v>55287</v>
      </c>
      <c r="V10407" t="s">
        <v>60168</v>
      </c>
      <c r="W10407" t="s">
        <v>41130</v>
      </c>
      <c r="X10407" t="s">
        <v>44916</v>
      </c>
    </row>
    <row r="10408" spans="1:24">
      <c r="A10408">
        <f>HYPERLINK("https://www.philgeps.gov.ph/GEPSNONPILOT/Tender/SplashBidNoticeAbstractUI.aspx?menuIndex=3&amp;refID=7064582&amp;Result=3","7064582")</f>
        <v>0</v>
      </c>
      <c r="B10408" t="s">
        <v>1000</v>
      </c>
      <c r="C10408" t="s">
        <v>13438</v>
      </c>
      <c r="D10408" t="s">
        <v>18135</v>
      </c>
      <c r="E10408" t="s">
        <v>27247</v>
      </c>
      <c r="F10408" t="s">
        <v>31365</v>
      </c>
      <c r="G10408" t="s">
        <v>31369</v>
      </c>
      <c r="H10408" t="s">
        <v>15799</v>
      </c>
      <c r="I10408" t="s">
        <v>3815</v>
      </c>
      <c r="J10408" t="s">
        <v>37879</v>
      </c>
      <c r="K10408" t="s">
        <v>40670</v>
      </c>
      <c r="M10408" t="s">
        <v>41996</v>
      </c>
      <c r="N10408" t="s">
        <v>44905</v>
      </c>
      <c r="O10408" t="s">
        <v>44906</v>
      </c>
      <c r="P10408">
        <v>0</v>
      </c>
      <c r="Q10408">
        <v>0</v>
      </c>
      <c r="R10408" t="s">
        <v>44915</v>
      </c>
      <c r="S10408" t="s">
        <v>45255</v>
      </c>
      <c r="T10408" t="s">
        <v>46505</v>
      </c>
      <c r="U10408" t="s">
        <v>55288</v>
      </c>
      <c r="W10408" t="s">
        <v>41996</v>
      </c>
      <c r="X10408" t="s">
        <v>44916</v>
      </c>
    </row>
    <row r="10409" spans="1:24">
      <c r="A10409">
        <f>HYPERLINK("https://www.philgeps.gov.ph/GEPSNONPILOT/Tender/SplashBidNoticeAbstractUI.aspx?menuIndex=3&amp;refID=7064547&amp;Result=3","7064547")</f>
        <v>0</v>
      </c>
      <c r="B10409" t="s">
        <v>1535</v>
      </c>
      <c r="C10409" t="s">
        <v>13439</v>
      </c>
      <c r="D10409" t="s">
        <v>18178</v>
      </c>
      <c r="E10409" t="s">
        <v>27248</v>
      </c>
      <c r="F10409" t="s">
        <v>31362</v>
      </c>
      <c r="G10409" t="s">
        <v>31369</v>
      </c>
      <c r="H10409" t="s">
        <v>15799</v>
      </c>
      <c r="I10409" t="s">
        <v>31468</v>
      </c>
      <c r="J10409" t="s">
        <v>37880</v>
      </c>
      <c r="K10409" t="s">
        <v>40665</v>
      </c>
      <c r="M10409" t="s">
        <v>42582</v>
      </c>
      <c r="N10409" t="s">
        <v>44905</v>
      </c>
      <c r="O10409" t="s">
        <v>44906</v>
      </c>
      <c r="P10409">
        <v>0</v>
      </c>
      <c r="Q10409">
        <v>1</v>
      </c>
      <c r="R10409" t="s">
        <v>44915</v>
      </c>
      <c r="S10409" t="s">
        <v>45255</v>
      </c>
      <c r="T10409" t="s">
        <v>46818</v>
      </c>
      <c r="U10409" t="s">
        <v>55289</v>
      </c>
      <c r="W10409" t="s">
        <v>42582</v>
      </c>
      <c r="X10409" t="s">
        <v>44917</v>
      </c>
    </row>
    <row r="10410" spans="1:24">
      <c r="A10410">
        <f>HYPERLINK("https://www.philgeps.gov.ph/GEPSNONPILOT/Tender/SplashBidNoticeAbstractUI.aspx?menuIndex=3&amp;refID=7063311&amp;Result=3","7063311")</f>
        <v>0</v>
      </c>
      <c r="B10410" t="s">
        <v>598</v>
      </c>
      <c r="C10410" t="s">
        <v>13440</v>
      </c>
      <c r="D10410" t="s">
        <v>18114</v>
      </c>
      <c r="E10410" t="s">
        <v>27249</v>
      </c>
      <c r="F10410" t="s">
        <v>31362</v>
      </c>
      <c r="G10410" t="s">
        <v>31369</v>
      </c>
      <c r="H10410" t="s">
        <v>31378</v>
      </c>
      <c r="I10410" t="s">
        <v>31386</v>
      </c>
      <c r="J10410" t="s">
        <v>31625</v>
      </c>
      <c r="K10410" t="s">
        <v>40737</v>
      </c>
      <c r="M10410" t="s">
        <v>41555</v>
      </c>
      <c r="N10410" t="s">
        <v>44905</v>
      </c>
      <c r="O10410" t="s">
        <v>44906</v>
      </c>
      <c r="P10410">
        <v>0</v>
      </c>
      <c r="Q10410">
        <v>0</v>
      </c>
      <c r="R10410" t="s">
        <v>44915</v>
      </c>
      <c r="S10410" t="s">
        <v>45255</v>
      </c>
      <c r="T10410" t="s">
        <v>46519</v>
      </c>
      <c r="U10410" t="s">
        <v>55290</v>
      </c>
      <c r="W10410" t="s">
        <v>41555</v>
      </c>
      <c r="X10410" t="s">
        <v>44917</v>
      </c>
    </row>
    <row r="10411" spans="1:24">
      <c r="A10411">
        <f>HYPERLINK("https://www.philgeps.gov.ph/GEPSNONPILOT/Tender/SplashBidNoticeAbstractUI.aspx?menuIndex=3&amp;refID=7064541&amp;Result=3","7064541")</f>
        <v>0</v>
      </c>
      <c r="B10411" t="s">
        <v>1535</v>
      </c>
      <c r="C10411" t="s">
        <v>13441</v>
      </c>
      <c r="D10411" t="s">
        <v>18178</v>
      </c>
      <c r="E10411" t="s">
        <v>27250</v>
      </c>
      <c r="F10411" t="s">
        <v>31362</v>
      </c>
      <c r="G10411" t="s">
        <v>31369</v>
      </c>
      <c r="H10411" t="s">
        <v>15799</v>
      </c>
      <c r="I10411" t="s">
        <v>31414</v>
      </c>
      <c r="J10411" t="s">
        <v>37881</v>
      </c>
      <c r="K10411" t="s">
        <v>40675</v>
      </c>
      <c r="M10411" t="s">
        <v>42582</v>
      </c>
      <c r="N10411" t="s">
        <v>44905</v>
      </c>
      <c r="O10411" t="s">
        <v>44906</v>
      </c>
      <c r="P10411">
        <v>0</v>
      </c>
      <c r="Q10411">
        <v>6</v>
      </c>
      <c r="R10411" t="s">
        <v>44915</v>
      </c>
      <c r="S10411" t="s">
        <v>45255</v>
      </c>
      <c r="T10411" t="s">
        <v>46818</v>
      </c>
      <c r="U10411" t="s">
        <v>55291</v>
      </c>
      <c r="W10411" t="s">
        <v>42582</v>
      </c>
      <c r="X10411" t="s">
        <v>44917</v>
      </c>
    </row>
    <row r="10412" spans="1:24">
      <c r="A10412">
        <f>HYPERLINK("https://www.philgeps.gov.ph/GEPSNONPILOT/Tender/SplashBidNoticeAbstractUI.aspx?menuIndex=3&amp;refID=7064525&amp;Result=3","7064525")</f>
        <v>0</v>
      </c>
      <c r="B10412" t="s">
        <v>1535</v>
      </c>
      <c r="C10412" t="s">
        <v>13442</v>
      </c>
      <c r="D10412" t="s">
        <v>18178</v>
      </c>
      <c r="E10412" t="s">
        <v>27251</v>
      </c>
      <c r="F10412" t="s">
        <v>31362</v>
      </c>
      <c r="G10412" t="s">
        <v>31369</v>
      </c>
      <c r="H10412" t="s">
        <v>31378</v>
      </c>
      <c r="I10412" t="s">
        <v>31386</v>
      </c>
      <c r="J10412" t="s">
        <v>37882</v>
      </c>
      <c r="K10412" t="s">
        <v>40874</v>
      </c>
      <c r="M10412" t="s">
        <v>42582</v>
      </c>
      <c r="N10412" t="s">
        <v>44905</v>
      </c>
      <c r="O10412" t="s">
        <v>44906</v>
      </c>
      <c r="P10412">
        <v>0</v>
      </c>
      <c r="Q10412">
        <v>0</v>
      </c>
      <c r="R10412" t="s">
        <v>44915</v>
      </c>
      <c r="S10412" t="s">
        <v>45255</v>
      </c>
      <c r="T10412" t="s">
        <v>46818</v>
      </c>
      <c r="U10412" t="s">
        <v>55292</v>
      </c>
      <c r="W10412" t="s">
        <v>42582</v>
      </c>
      <c r="X10412" t="s">
        <v>44917</v>
      </c>
    </row>
    <row r="10413" spans="1:24">
      <c r="A10413">
        <f>HYPERLINK("https://www.philgeps.gov.ph/GEPSNONPILOT/Tender/SplashBidNoticeAbstractUI.aspx?menuIndex=3&amp;refID=7064348&amp;Result=3","7064348")</f>
        <v>0</v>
      </c>
      <c r="B10413" t="s">
        <v>2886</v>
      </c>
      <c r="C10413" t="s">
        <v>7022</v>
      </c>
      <c r="D10413" t="s">
        <v>18108</v>
      </c>
      <c r="E10413" t="s">
        <v>27252</v>
      </c>
      <c r="F10413" t="s">
        <v>31362</v>
      </c>
      <c r="G10413" t="s">
        <v>31369</v>
      </c>
      <c r="H10413" t="s">
        <v>15799</v>
      </c>
      <c r="I10413" t="s">
        <v>4942</v>
      </c>
      <c r="J10413" t="s">
        <v>37883</v>
      </c>
      <c r="K10413" t="s">
        <v>40661</v>
      </c>
      <c r="M10413" t="s">
        <v>44100</v>
      </c>
      <c r="N10413" t="s">
        <v>44905</v>
      </c>
      <c r="O10413" t="s">
        <v>44906</v>
      </c>
      <c r="P10413">
        <v>0</v>
      </c>
      <c r="Q10413">
        <v>1</v>
      </c>
      <c r="R10413" t="s">
        <v>44915</v>
      </c>
      <c r="S10413" t="s">
        <v>45255</v>
      </c>
      <c r="T10413" t="s">
        <v>46479</v>
      </c>
      <c r="U10413" t="s">
        <v>55272</v>
      </c>
      <c r="W10413" t="s">
        <v>44100</v>
      </c>
      <c r="X10413" t="s">
        <v>44917</v>
      </c>
    </row>
    <row r="10414" spans="1:24">
      <c r="A10414">
        <f>HYPERLINK("https://www.philgeps.gov.ph/GEPSNONPILOT/Tender/SplashBidNoticeAbstractUI.aspx?menuIndex=3&amp;refID=7064632&amp;Result=3","7064632")</f>
        <v>0</v>
      </c>
      <c r="B10414" t="s">
        <v>393</v>
      </c>
      <c r="C10414" t="s">
        <v>13443</v>
      </c>
      <c r="D10414" t="s">
        <v>18122</v>
      </c>
      <c r="E10414" t="s">
        <v>27253</v>
      </c>
      <c r="F10414" t="s">
        <v>31362</v>
      </c>
      <c r="G10414" t="s">
        <v>31369</v>
      </c>
      <c r="H10414" t="s">
        <v>15799</v>
      </c>
      <c r="I10414" t="s">
        <v>31394</v>
      </c>
      <c r="J10414" t="s">
        <v>37884</v>
      </c>
      <c r="K10414" t="s">
        <v>40675</v>
      </c>
      <c r="M10414" t="s">
        <v>41341</v>
      </c>
      <c r="N10414" t="s">
        <v>44905</v>
      </c>
      <c r="O10414" t="s">
        <v>44906</v>
      </c>
      <c r="P10414">
        <v>0</v>
      </c>
      <c r="Q10414">
        <v>9</v>
      </c>
      <c r="R10414" t="s">
        <v>44915</v>
      </c>
      <c r="S10414" t="s">
        <v>45255</v>
      </c>
      <c r="T10414" t="s">
        <v>46409</v>
      </c>
      <c r="U10414" t="s">
        <v>55293</v>
      </c>
      <c r="W10414" t="s">
        <v>41341</v>
      </c>
      <c r="X10414" t="s">
        <v>44916</v>
      </c>
    </row>
    <row r="10415" spans="1:24">
      <c r="A10415">
        <f>HYPERLINK("https://www.philgeps.gov.ph/GEPSNONPILOT/Tender/SplashBidNoticeAbstractUI.aspx?menuIndex=3&amp;refID=7064585&amp;Result=3","7064585")</f>
        <v>0</v>
      </c>
      <c r="B10415" t="s">
        <v>2890</v>
      </c>
      <c r="C10415" t="s">
        <v>13444</v>
      </c>
      <c r="D10415" t="s">
        <v>18177</v>
      </c>
      <c r="E10415" t="s">
        <v>21524</v>
      </c>
      <c r="F10415" t="s">
        <v>31362</v>
      </c>
      <c r="G10415" t="s">
        <v>31369</v>
      </c>
      <c r="H10415" t="s">
        <v>15799</v>
      </c>
      <c r="I10415" t="s">
        <v>3815</v>
      </c>
      <c r="J10415" t="s">
        <v>37885</v>
      </c>
      <c r="K10415" t="s">
        <v>40662</v>
      </c>
      <c r="M10415" t="s">
        <v>44105</v>
      </c>
      <c r="N10415" t="s">
        <v>44905</v>
      </c>
      <c r="O10415" t="s">
        <v>44906</v>
      </c>
      <c r="P10415">
        <v>0</v>
      </c>
      <c r="Q10415">
        <v>0</v>
      </c>
      <c r="R10415" t="s">
        <v>44915</v>
      </c>
      <c r="S10415" t="s">
        <v>45255</v>
      </c>
      <c r="T10415" t="s">
        <v>46533</v>
      </c>
      <c r="U10415" t="s">
        <v>55294</v>
      </c>
      <c r="W10415" t="s">
        <v>44105</v>
      </c>
      <c r="X10415" t="s">
        <v>44916</v>
      </c>
    </row>
    <row r="10416" spans="1:24">
      <c r="A10416">
        <f>HYPERLINK("https://www.philgeps.gov.ph/GEPSNONPILOT/Tender/SplashBidNoticeAbstractUI.aspx?menuIndex=3&amp;refID=7064832&amp;Result=3","7064832")</f>
        <v>0</v>
      </c>
      <c r="B10416" t="s">
        <v>2783</v>
      </c>
      <c r="C10416" t="s">
        <v>13445</v>
      </c>
      <c r="D10416" t="s">
        <v>18148</v>
      </c>
      <c r="E10416" t="s">
        <v>27254</v>
      </c>
      <c r="F10416" t="s">
        <v>31363</v>
      </c>
      <c r="G10416" t="s">
        <v>31369</v>
      </c>
      <c r="H10416" t="s">
        <v>15799</v>
      </c>
      <c r="I10416" t="s">
        <v>4283</v>
      </c>
      <c r="J10416" t="s">
        <v>37886</v>
      </c>
      <c r="K10416" t="s">
        <v>40665</v>
      </c>
      <c r="M10416" t="s">
        <v>43977</v>
      </c>
      <c r="N10416" t="s">
        <v>44905</v>
      </c>
      <c r="O10416" t="s">
        <v>44906</v>
      </c>
      <c r="P10416">
        <v>0</v>
      </c>
      <c r="Q10416">
        <v>0</v>
      </c>
      <c r="R10416" t="s">
        <v>44915</v>
      </c>
      <c r="S10416" t="s">
        <v>45255</v>
      </c>
      <c r="T10416" t="s">
        <v>46533</v>
      </c>
      <c r="U10416" t="s">
        <v>55295</v>
      </c>
      <c r="V10416" t="s">
        <v>60169</v>
      </c>
      <c r="W10416" t="s">
        <v>43977</v>
      </c>
      <c r="X10416" t="s">
        <v>44916</v>
      </c>
    </row>
    <row r="10417" spans="1:24">
      <c r="A10417">
        <f>HYPERLINK("https://www.philgeps.gov.ph/GEPSNONPILOT/Tender/SplashBidNoticeAbstractUI.aspx?menuIndex=3&amp;refID=7063361&amp;Result=3","7063361")</f>
        <v>0</v>
      </c>
      <c r="B10417" t="s">
        <v>886</v>
      </c>
      <c r="C10417" t="s">
        <v>13446</v>
      </c>
      <c r="E10417" t="s">
        <v>27255</v>
      </c>
      <c r="F10417" t="s">
        <v>31362</v>
      </c>
      <c r="G10417" t="s">
        <v>31369</v>
      </c>
      <c r="H10417" t="s">
        <v>15799</v>
      </c>
      <c r="I10417" t="s">
        <v>7719</v>
      </c>
      <c r="J10417" t="s">
        <v>31542</v>
      </c>
      <c r="K10417" t="s">
        <v>40662</v>
      </c>
      <c r="M10417" t="s">
        <v>41970</v>
      </c>
      <c r="N10417" t="s">
        <v>44905</v>
      </c>
      <c r="O10417" t="s">
        <v>44906</v>
      </c>
      <c r="P10417">
        <v>0</v>
      </c>
      <c r="Q10417">
        <v>18</v>
      </c>
      <c r="R10417" t="s">
        <v>44915</v>
      </c>
      <c r="S10417" t="s">
        <v>45255</v>
      </c>
      <c r="T10417" t="s">
        <v>46528</v>
      </c>
      <c r="U10417" t="s">
        <v>49008</v>
      </c>
      <c r="W10417" t="s">
        <v>41970</v>
      </c>
      <c r="X10417" t="s">
        <v>44917</v>
      </c>
    </row>
    <row r="10418" spans="1:24">
      <c r="A10418">
        <f>HYPERLINK("https://www.philgeps.gov.ph/GEPSNONPILOT/Tender/SplashBidNoticeAbstractUI.aspx?menuIndex=3&amp;refID=7064610&amp;Result=3","7064610")</f>
        <v>0</v>
      </c>
      <c r="B10418" t="s">
        <v>2889</v>
      </c>
      <c r="C10418" t="s">
        <v>13447</v>
      </c>
      <c r="D10418" t="s">
        <v>18148</v>
      </c>
      <c r="E10418" t="s">
        <v>27256</v>
      </c>
      <c r="F10418" t="s">
        <v>31362</v>
      </c>
      <c r="G10418" t="s">
        <v>31369</v>
      </c>
      <c r="H10418" t="s">
        <v>15799</v>
      </c>
      <c r="I10418" t="s">
        <v>31382</v>
      </c>
      <c r="J10418" t="s">
        <v>37887</v>
      </c>
      <c r="K10418" t="s">
        <v>40675</v>
      </c>
      <c r="M10418" t="s">
        <v>44104</v>
      </c>
      <c r="N10418" t="s">
        <v>44905</v>
      </c>
      <c r="O10418" t="s">
        <v>44906</v>
      </c>
      <c r="P10418">
        <v>0</v>
      </c>
      <c r="Q10418">
        <v>20</v>
      </c>
      <c r="R10418" t="s">
        <v>44915</v>
      </c>
      <c r="S10418" t="s">
        <v>45255</v>
      </c>
      <c r="T10418" t="s">
        <v>46519</v>
      </c>
      <c r="U10418" t="s">
        <v>55296</v>
      </c>
      <c r="V10418" t="s">
        <v>60167</v>
      </c>
      <c r="W10418" t="s">
        <v>44104</v>
      </c>
      <c r="X10418" t="s">
        <v>44916</v>
      </c>
    </row>
    <row r="10419" spans="1:24">
      <c r="A10419">
        <f>HYPERLINK("https://www.philgeps.gov.ph/GEPSNONPILOT/Tender/SplashBidNoticeAbstractUI.aspx?menuIndex=3&amp;refID=7064865&amp;Result=3","7064865")</f>
        <v>0</v>
      </c>
      <c r="B10419" t="s">
        <v>387</v>
      </c>
      <c r="C10419" t="s">
        <v>13448</v>
      </c>
      <c r="D10419" t="s">
        <v>18152</v>
      </c>
      <c r="E10419" t="s">
        <v>27257</v>
      </c>
      <c r="F10419" t="s">
        <v>31362</v>
      </c>
      <c r="G10419" t="s">
        <v>31369</v>
      </c>
      <c r="H10419" t="s">
        <v>15799</v>
      </c>
      <c r="I10419" t="s">
        <v>13635</v>
      </c>
      <c r="J10419" t="s">
        <v>37888</v>
      </c>
      <c r="K10419" t="s">
        <v>40665</v>
      </c>
      <c r="M10419" t="s">
        <v>41915</v>
      </c>
      <c r="N10419" t="s">
        <v>44905</v>
      </c>
      <c r="O10419" t="s">
        <v>44906</v>
      </c>
      <c r="P10419">
        <v>0</v>
      </c>
      <c r="Q10419">
        <v>2</v>
      </c>
      <c r="R10419" t="s">
        <v>44915</v>
      </c>
      <c r="S10419" t="s">
        <v>45255</v>
      </c>
      <c r="T10419" t="s">
        <v>46462</v>
      </c>
      <c r="U10419" t="s">
        <v>47597</v>
      </c>
      <c r="V10419" t="s">
        <v>59153</v>
      </c>
      <c r="W10419" t="s">
        <v>41915</v>
      </c>
      <c r="X10419" t="s">
        <v>44916</v>
      </c>
    </row>
    <row r="10420" spans="1:24">
      <c r="A10420">
        <f>HYPERLINK("https://www.philgeps.gov.ph/GEPSNONPILOT/Tender/SplashBidNoticeAbstractUI.aspx?menuIndex=3&amp;refID=7064844&amp;Result=3","7064844")</f>
        <v>0</v>
      </c>
      <c r="B10420" t="s">
        <v>1684</v>
      </c>
      <c r="C10420" t="s">
        <v>13449</v>
      </c>
      <c r="D10420" t="s">
        <v>18175</v>
      </c>
      <c r="E10420" t="s">
        <v>27258</v>
      </c>
      <c r="F10420" t="s">
        <v>31362</v>
      </c>
      <c r="G10420" t="s">
        <v>31369</v>
      </c>
      <c r="H10420" t="s">
        <v>15799</v>
      </c>
      <c r="I10420" t="s">
        <v>31409</v>
      </c>
      <c r="J10420" t="s">
        <v>31542</v>
      </c>
      <c r="K10420" t="s">
        <v>40665</v>
      </c>
      <c r="M10420" t="s">
        <v>42749</v>
      </c>
      <c r="N10420" t="s">
        <v>44905</v>
      </c>
      <c r="O10420" t="s">
        <v>44906</v>
      </c>
      <c r="Q10420">
        <v>5</v>
      </c>
      <c r="R10420" t="s">
        <v>44915</v>
      </c>
      <c r="S10420" t="s">
        <v>45274</v>
      </c>
      <c r="T10420" t="s">
        <v>46479</v>
      </c>
      <c r="U10420" t="s">
        <v>55297</v>
      </c>
      <c r="W10420" t="s">
        <v>42749</v>
      </c>
      <c r="X10420" t="s">
        <v>44916</v>
      </c>
    </row>
    <row r="10421" spans="1:24">
      <c r="A10421">
        <f>HYPERLINK("https://www.philgeps.gov.ph/GEPSNONPILOT/Tender/SplashBidNoticeAbstractUI.aspx?menuIndex=3&amp;refID=7064840&amp;Result=3","7064840")</f>
        <v>0</v>
      </c>
      <c r="B10421" t="s">
        <v>1075</v>
      </c>
      <c r="C10421" t="s">
        <v>13450</v>
      </c>
      <c r="D10421" t="s">
        <v>18101</v>
      </c>
      <c r="E10421" t="s">
        <v>27259</v>
      </c>
      <c r="F10421" t="s">
        <v>31362</v>
      </c>
      <c r="G10421" t="s">
        <v>31369</v>
      </c>
      <c r="H10421" t="s">
        <v>15799</v>
      </c>
      <c r="I10421" t="s">
        <v>31380</v>
      </c>
      <c r="J10421" t="s">
        <v>37889</v>
      </c>
      <c r="K10421" t="s">
        <v>40666</v>
      </c>
      <c r="M10421" t="s">
        <v>42077</v>
      </c>
      <c r="N10421" t="s">
        <v>44905</v>
      </c>
      <c r="O10421" t="s">
        <v>44906</v>
      </c>
      <c r="P10421">
        <v>0</v>
      </c>
      <c r="Q10421">
        <v>1</v>
      </c>
      <c r="R10421" t="s">
        <v>44915</v>
      </c>
      <c r="S10421" t="s">
        <v>45255</v>
      </c>
      <c r="T10421" t="s">
        <v>46411</v>
      </c>
      <c r="U10421" t="s">
        <v>55298</v>
      </c>
      <c r="W10421" t="s">
        <v>42077</v>
      </c>
      <c r="X10421" t="s">
        <v>44916</v>
      </c>
    </row>
    <row r="10422" spans="1:24">
      <c r="A10422">
        <f>HYPERLINK("https://www.philgeps.gov.ph/GEPSNONPILOT/Tender/SplashBidNoticeAbstractUI.aspx?menuIndex=3&amp;refID=7064043&amp;Result=3","7064043")</f>
        <v>0</v>
      </c>
      <c r="B10422" t="s">
        <v>194</v>
      </c>
      <c r="C10422" t="s">
        <v>13451</v>
      </c>
      <c r="D10422" t="s">
        <v>18143</v>
      </c>
      <c r="E10422" t="s">
        <v>27260</v>
      </c>
      <c r="F10422" t="s">
        <v>31362</v>
      </c>
      <c r="G10422" t="s">
        <v>31369</v>
      </c>
      <c r="H10422" t="s">
        <v>15799</v>
      </c>
      <c r="I10422" t="s">
        <v>31409</v>
      </c>
      <c r="J10422" t="s">
        <v>34497</v>
      </c>
      <c r="K10422" t="s">
        <v>40682</v>
      </c>
      <c r="M10422" t="s">
        <v>41132</v>
      </c>
      <c r="N10422" t="s">
        <v>44905</v>
      </c>
      <c r="O10422" t="s">
        <v>44906</v>
      </c>
      <c r="P10422">
        <v>0</v>
      </c>
      <c r="Q10422">
        <v>6</v>
      </c>
      <c r="R10422" t="s">
        <v>44915</v>
      </c>
      <c r="S10422" t="s">
        <v>45255</v>
      </c>
      <c r="T10422" t="s">
        <v>46484</v>
      </c>
      <c r="U10422" t="s">
        <v>55299</v>
      </c>
      <c r="V10422" t="s">
        <v>60170</v>
      </c>
      <c r="W10422" t="s">
        <v>41132</v>
      </c>
      <c r="X10422" t="s">
        <v>44917</v>
      </c>
    </row>
    <row r="10423" spans="1:24">
      <c r="A10423">
        <f>HYPERLINK("https://www.philgeps.gov.ph/GEPSNONPILOT/Tender/SplashBidNoticeAbstractUI.aspx?menuIndex=3&amp;refID=7064839&amp;Result=3","7064839")</f>
        <v>0</v>
      </c>
      <c r="B10423" t="s">
        <v>424</v>
      </c>
      <c r="C10423" t="s">
        <v>13452</v>
      </c>
      <c r="D10423" t="s">
        <v>18168</v>
      </c>
      <c r="E10423" t="s">
        <v>27261</v>
      </c>
      <c r="F10423" t="s">
        <v>31362</v>
      </c>
      <c r="G10423" t="s">
        <v>31368</v>
      </c>
      <c r="H10423" t="s">
        <v>15799</v>
      </c>
      <c r="I10423" t="s">
        <v>31389</v>
      </c>
      <c r="J10423" t="s">
        <v>33680</v>
      </c>
      <c r="K10423" t="s">
        <v>40679</v>
      </c>
      <c r="M10423" t="s">
        <v>43973</v>
      </c>
      <c r="N10423" t="s">
        <v>44905</v>
      </c>
      <c r="O10423" t="s">
        <v>44906</v>
      </c>
      <c r="P10423">
        <v>0</v>
      </c>
      <c r="Q10423">
        <v>11</v>
      </c>
      <c r="R10423" t="s">
        <v>44915</v>
      </c>
      <c r="S10423" t="s">
        <v>45255</v>
      </c>
      <c r="T10423" t="s">
        <v>46435</v>
      </c>
      <c r="U10423" t="s">
        <v>49807</v>
      </c>
      <c r="W10423" t="s">
        <v>43973</v>
      </c>
      <c r="X10423" t="s">
        <v>44916</v>
      </c>
    </row>
    <row r="10424" spans="1:24">
      <c r="A10424">
        <f>HYPERLINK("https://www.philgeps.gov.ph/GEPSNONPILOT/Tender/SplashBidNoticeAbstractUI.aspx?menuIndex=3&amp;refID=7064810&amp;Result=3","7064810")</f>
        <v>0</v>
      </c>
      <c r="B10424" t="s">
        <v>2891</v>
      </c>
      <c r="C10424" t="s">
        <v>13453</v>
      </c>
      <c r="D10424" t="s">
        <v>18134</v>
      </c>
      <c r="E10424" t="s">
        <v>27262</v>
      </c>
      <c r="F10424" t="s">
        <v>31362</v>
      </c>
      <c r="G10424" t="s">
        <v>31369</v>
      </c>
      <c r="H10424" t="s">
        <v>15799</v>
      </c>
      <c r="I10424" t="s">
        <v>31392</v>
      </c>
      <c r="J10424" t="s">
        <v>32549</v>
      </c>
      <c r="K10424" t="s">
        <v>40670</v>
      </c>
      <c r="M10424" t="s">
        <v>44106</v>
      </c>
      <c r="N10424" t="s">
        <v>44905</v>
      </c>
      <c r="O10424" t="s">
        <v>44906</v>
      </c>
      <c r="P10424">
        <v>0</v>
      </c>
      <c r="Q10424">
        <v>2</v>
      </c>
      <c r="R10424" t="s">
        <v>44915</v>
      </c>
      <c r="S10424" t="s">
        <v>45255</v>
      </c>
      <c r="T10424" t="s">
        <v>46432</v>
      </c>
      <c r="U10424" t="s">
        <v>55300</v>
      </c>
      <c r="W10424" t="s">
        <v>44106</v>
      </c>
      <c r="X10424" t="s">
        <v>44916</v>
      </c>
    </row>
    <row r="10425" spans="1:24">
      <c r="A10425">
        <f>HYPERLINK("https://www.philgeps.gov.ph/GEPSNONPILOT/Tender/SplashBidNoticeAbstractUI.aspx?menuIndex=3&amp;refID=7064806&amp;Result=3","7064806")</f>
        <v>0</v>
      </c>
      <c r="B10425" t="s">
        <v>2892</v>
      </c>
      <c r="C10425" t="s">
        <v>13454</v>
      </c>
      <c r="D10425" t="s">
        <v>18101</v>
      </c>
      <c r="E10425" t="s">
        <v>27263</v>
      </c>
      <c r="F10425" t="s">
        <v>31362</v>
      </c>
      <c r="G10425" t="s">
        <v>31369</v>
      </c>
      <c r="H10425" t="s">
        <v>15799</v>
      </c>
      <c r="I10425" t="s">
        <v>3815</v>
      </c>
      <c r="J10425" t="s">
        <v>37890</v>
      </c>
      <c r="K10425" t="s">
        <v>40670</v>
      </c>
      <c r="L10425" t="s">
        <v>2892</v>
      </c>
      <c r="M10425" t="s">
        <v>44107</v>
      </c>
      <c r="N10425" t="s">
        <v>44905</v>
      </c>
      <c r="O10425" t="s">
        <v>44906</v>
      </c>
      <c r="P10425">
        <v>0</v>
      </c>
      <c r="Q10425">
        <v>2</v>
      </c>
      <c r="R10425" t="s">
        <v>44915</v>
      </c>
      <c r="S10425" t="s">
        <v>45255</v>
      </c>
      <c r="T10425" t="s">
        <v>46481</v>
      </c>
      <c r="U10425" t="s">
        <v>55301</v>
      </c>
      <c r="W10425" t="s">
        <v>44107</v>
      </c>
      <c r="X10425" t="s">
        <v>44916</v>
      </c>
    </row>
    <row r="10426" spans="1:24">
      <c r="A10426">
        <f>HYPERLINK("https://www.philgeps.gov.ph/GEPSNONPILOT/Tender/SplashBidNoticeAbstractUI.aspx?menuIndex=3&amp;refID=7064797&amp;Result=3","7064797")</f>
        <v>0</v>
      </c>
      <c r="B10426" t="s">
        <v>2893</v>
      </c>
      <c r="C10426" t="s">
        <v>13455</v>
      </c>
      <c r="D10426" t="s">
        <v>18108</v>
      </c>
      <c r="E10426" t="s">
        <v>27264</v>
      </c>
      <c r="F10426" t="s">
        <v>31362</v>
      </c>
      <c r="G10426" t="s">
        <v>31369</v>
      </c>
      <c r="H10426" t="s">
        <v>31378</v>
      </c>
      <c r="I10426" t="s">
        <v>31386</v>
      </c>
      <c r="J10426" t="s">
        <v>31578</v>
      </c>
      <c r="K10426" t="s">
        <v>40672</v>
      </c>
      <c r="L10426" t="s">
        <v>2893</v>
      </c>
      <c r="M10426" t="s">
        <v>44108</v>
      </c>
      <c r="N10426" t="s">
        <v>44905</v>
      </c>
      <c r="O10426" t="s">
        <v>44906</v>
      </c>
      <c r="P10426">
        <v>0</v>
      </c>
      <c r="Q10426">
        <v>1</v>
      </c>
      <c r="R10426" t="s">
        <v>44915</v>
      </c>
      <c r="S10426" t="s">
        <v>45255</v>
      </c>
      <c r="T10426" t="s">
        <v>46394</v>
      </c>
      <c r="U10426" t="s">
        <v>55302</v>
      </c>
      <c r="V10426" t="s">
        <v>60171</v>
      </c>
      <c r="W10426" t="s">
        <v>44108</v>
      </c>
      <c r="X10426" t="s">
        <v>44916</v>
      </c>
    </row>
    <row r="10427" spans="1:24">
      <c r="A10427">
        <f>HYPERLINK("https://www.philgeps.gov.ph/GEPSNONPILOT/Tender/SplashBidNoticeAbstractUI.aspx?menuIndex=3&amp;refID=7064775&amp;Result=3","7064775")</f>
        <v>0</v>
      </c>
      <c r="B10427" t="s">
        <v>2686</v>
      </c>
      <c r="C10427" t="s">
        <v>13456</v>
      </c>
      <c r="D10427" t="s">
        <v>18160</v>
      </c>
      <c r="E10427" t="s">
        <v>27265</v>
      </c>
      <c r="F10427" t="s">
        <v>31362</v>
      </c>
      <c r="G10427" t="s">
        <v>31369</v>
      </c>
      <c r="H10427" t="s">
        <v>31378</v>
      </c>
      <c r="I10427" t="s">
        <v>31386</v>
      </c>
      <c r="J10427" t="s">
        <v>31637</v>
      </c>
      <c r="K10427" t="s">
        <v>40662</v>
      </c>
      <c r="M10427" t="s">
        <v>43872</v>
      </c>
      <c r="N10427" t="s">
        <v>44905</v>
      </c>
      <c r="O10427" t="s">
        <v>44906</v>
      </c>
      <c r="P10427">
        <v>0</v>
      </c>
      <c r="Q10427">
        <v>0</v>
      </c>
      <c r="R10427" t="s">
        <v>44915</v>
      </c>
      <c r="S10427" t="s">
        <v>45255</v>
      </c>
      <c r="T10427" t="s">
        <v>46499</v>
      </c>
      <c r="U10427" t="s">
        <v>55303</v>
      </c>
      <c r="W10427" t="s">
        <v>43872</v>
      </c>
      <c r="X10427" t="s">
        <v>44916</v>
      </c>
    </row>
    <row r="10428" spans="1:24">
      <c r="A10428">
        <f>HYPERLINK("https://www.philgeps.gov.ph/GEPSNONPILOT/Tender/SplashBidNoticeAbstractUI.aspx?menuIndex=3&amp;refID=7064767&amp;Result=3","7064767")</f>
        <v>0</v>
      </c>
      <c r="B10428" t="s">
        <v>592</v>
      </c>
      <c r="C10428" t="s">
        <v>13457</v>
      </c>
      <c r="D10428" t="s">
        <v>18100</v>
      </c>
      <c r="E10428" t="s">
        <v>20491</v>
      </c>
      <c r="F10428" t="s">
        <v>31362</v>
      </c>
      <c r="G10428" t="s">
        <v>31369</v>
      </c>
      <c r="H10428" t="s">
        <v>15799</v>
      </c>
      <c r="I10428" t="s">
        <v>31409</v>
      </c>
      <c r="J10428" t="s">
        <v>33446</v>
      </c>
      <c r="K10428" t="s">
        <v>40662</v>
      </c>
      <c r="M10428" t="s">
        <v>41549</v>
      </c>
      <c r="N10428" t="s">
        <v>44905</v>
      </c>
      <c r="O10428" t="s">
        <v>44906</v>
      </c>
      <c r="P10428">
        <v>0</v>
      </c>
      <c r="Q10428">
        <v>6</v>
      </c>
      <c r="R10428" t="s">
        <v>44915</v>
      </c>
      <c r="S10428" t="s">
        <v>45255</v>
      </c>
      <c r="T10428" t="s">
        <v>46504</v>
      </c>
      <c r="U10428" t="s">
        <v>55304</v>
      </c>
      <c r="W10428" t="s">
        <v>41549</v>
      </c>
      <c r="X10428" t="s">
        <v>44916</v>
      </c>
    </row>
    <row r="10429" spans="1:24">
      <c r="A10429">
        <f>HYPERLINK("https://www.philgeps.gov.ph/GEPSNONPILOT/Tender/SplashBidNoticeAbstractUI.aspx?menuIndex=3&amp;refID=7064760&amp;Result=3","7064760")</f>
        <v>0</v>
      </c>
      <c r="B10429" t="s">
        <v>2894</v>
      </c>
      <c r="C10429" t="s">
        <v>13458</v>
      </c>
      <c r="E10429" t="s">
        <v>27266</v>
      </c>
      <c r="F10429" t="s">
        <v>31362</v>
      </c>
      <c r="G10429" t="s">
        <v>31369</v>
      </c>
      <c r="H10429" t="s">
        <v>15799</v>
      </c>
      <c r="I10429" t="s">
        <v>31413</v>
      </c>
      <c r="J10429" t="s">
        <v>32390</v>
      </c>
      <c r="K10429" t="s">
        <v>40662</v>
      </c>
      <c r="M10429" t="s">
        <v>44109</v>
      </c>
      <c r="N10429" t="s">
        <v>44905</v>
      </c>
      <c r="O10429" t="s">
        <v>44906</v>
      </c>
      <c r="P10429">
        <v>0</v>
      </c>
      <c r="Q10429">
        <v>7</v>
      </c>
      <c r="R10429" t="s">
        <v>44915</v>
      </c>
      <c r="S10429" t="s">
        <v>45255</v>
      </c>
      <c r="T10429" t="s">
        <v>46462</v>
      </c>
      <c r="U10429" t="s">
        <v>55305</v>
      </c>
      <c r="V10429" t="s">
        <v>60172</v>
      </c>
      <c r="W10429" t="s">
        <v>44109</v>
      </c>
      <c r="X10429" t="s">
        <v>44916</v>
      </c>
    </row>
    <row r="10430" spans="1:24">
      <c r="A10430">
        <f>HYPERLINK("https://www.philgeps.gov.ph/GEPSNONPILOT/Tender/SplashBidNoticeAbstractUI.aspx?menuIndex=3&amp;refID=7064037&amp;Result=3","7064037")</f>
        <v>0</v>
      </c>
      <c r="B10430" t="s">
        <v>1033</v>
      </c>
      <c r="C10430" t="s">
        <v>13459</v>
      </c>
      <c r="D10430" t="s">
        <v>18162</v>
      </c>
      <c r="E10430" t="s">
        <v>27267</v>
      </c>
      <c r="F10430" t="s">
        <v>31362</v>
      </c>
      <c r="G10430" t="s">
        <v>31369</v>
      </c>
      <c r="H10430" t="s">
        <v>15799</v>
      </c>
      <c r="I10430" t="s">
        <v>31385</v>
      </c>
      <c r="J10430" t="s">
        <v>37891</v>
      </c>
      <c r="K10430" t="s">
        <v>40670</v>
      </c>
      <c r="M10430" t="s">
        <v>42032</v>
      </c>
      <c r="N10430" t="s">
        <v>44905</v>
      </c>
      <c r="O10430" t="s">
        <v>44906</v>
      </c>
      <c r="P10430">
        <v>0</v>
      </c>
      <c r="Q10430">
        <v>0</v>
      </c>
      <c r="R10430" t="s">
        <v>44915</v>
      </c>
      <c r="S10430" t="s">
        <v>45255</v>
      </c>
      <c r="T10430" t="s">
        <v>46509</v>
      </c>
      <c r="U10430" t="s">
        <v>55306</v>
      </c>
      <c r="W10430" t="s">
        <v>42032</v>
      </c>
      <c r="X10430" t="s">
        <v>44917</v>
      </c>
    </row>
    <row r="10431" spans="1:24">
      <c r="A10431">
        <f>HYPERLINK("https://www.philgeps.gov.ph/GEPSNONPILOT/Tender/SplashBidNoticeAbstractUI.aspx?menuIndex=3&amp;refID=7064737&amp;Result=3","7064737")</f>
        <v>0</v>
      </c>
      <c r="B10431" t="s">
        <v>179</v>
      </c>
      <c r="C10431" t="s">
        <v>13460</v>
      </c>
      <c r="D10431" t="s">
        <v>18155</v>
      </c>
      <c r="E10431" t="s">
        <v>27268</v>
      </c>
      <c r="F10431" t="s">
        <v>31362</v>
      </c>
      <c r="G10431" t="s">
        <v>31368</v>
      </c>
      <c r="H10431" t="s">
        <v>15799</v>
      </c>
      <c r="I10431" t="s">
        <v>31401</v>
      </c>
      <c r="J10431" t="s">
        <v>31734</v>
      </c>
      <c r="K10431" t="s">
        <v>40680</v>
      </c>
      <c r="M10431" t="s">
        <v>41117</v>
      </c>
      <c r="N10431" t="s">
        <v>44905</v>
      </c>
      <c r="O10431" t="s">
        <v>44906</v>
      </c>
      <c r="P10431">
        <v>0</v>
      </c>
      <c r="Q10431">
        <v>2</v>
      </c>
      <c r="R10431" t="s">
        <v>44915</v>
      </c>
      <c r="S10431" t="s">
        <v>45255</v>
      </c>
      <c r="T10431" t="s">
        <v>46583</v>
      </c>
      <c r="U10431" t="s">
        <v>55307</v>
      </c>
      <c r="V10431" t="s">
        <v>59091</v>
      </c>
      <c r="W10431" t="s">
        <v>60838</v>
      </c>
      <c r="X10431" t="s">
        <v>44916</v>
      </c>
    </row>
    <row r="10432" spans="1:24">
      <c r="A10432">
        <f>HYPERLINK("https://www.philgeps.gov.ph/GEPSNONPILOT/Tender/SplashBidNoticeAbstractUI.aspx?menuIndex=3&amp;refID=7064813&amp;Result=3","7064813")</f>
        <v>0</v>
      </c>
      <c r="B10432" t="s">
        <v>2307</v>
      </c>
      <c r="C10432" t="s">
        <v>13461</v>
      </c>
      <c r="D10432" t="s">
        <v>18149</v>
      </c>
      <c r="E10432" t="s">
        <v>27269</v>
      </c>
      <c r="F10432" t="s">
        <v>31362</v>
      </c>
      <c r="G10432" t="s">
        <v>31369</v>
      </c>
      <c r="H10432" t="s">
        <v>15799</v>
      </c>
      <c r="I10432" t="s">
        <v>31436</v>
      </c>
      <c r="J10432" t="s">
        <v>37892</v>
      </c>
      <c r="K10432" t="s">
        <v>40669</v>
      </c>
      <c r="M10432" t="s">
        <v>43447</v>
      </c>
      <c r="N10432" t="s">
        <v>44905</v>
      </c>
      <c r="O10432" t="s">
        <v>44906</v>
      </c>
      <c r="Q10432">
        <v>1</v>
      </c>
      <c r="R10432" t="s">
        <v>44915</v>
      </c>
      <c r="S10432" t="s">
        <v>45275</v>
      </c>
      <c r="T10432" t="s">
        <v>46519</v>
      </c>
      <c r="U10432" t="s">
        <v>55308</v>
      </c>
      <c r="W10432" t="s">
        <v>43447</v>
      </c>
      <c r="X10432" t="s">
        <v>44916</v>
      </c>
    </row>
    <row r="10433" spans="1:24">
      <c r="A10433">
        <f>HYPERLINK("https://www.philgeps.gov.ph/GEPSNONPILOT/Tender/SplashBidNoticeAbstractUI.aspx?menuIndex=3&amp;refID=7064724&amp;Result=3","7064724")</f>
        <v>0</v>
      </c>
      <c r="B10433" t="s">
        <v>1864</v>
      </c>
      <c r="C10433" t="s">
        <v>13462</v>
      </c>
      <c r="D10433" t="s">
        <v>18140</v>
      </c>
      <c r="E10433" t="s">
        <v>27270</v>
      </c>
      <c r="F10433" t="s">
        <v>31362</v>
      </c>
      <c r="G10433" t="s">
        <v>31369</v>
      </c>
      <c r="H10433" t="s">
        <v>31378</v>
      </c>
      <c r="I10433" t="s">
        <v>31386</v>
      </c>
      <c r="J10433" t="s">
        <v>31615</v>
      </c>
      <c r="K10433" t="s">
        <v>40825</v>
      </c>
      <c r="M10433" t="s">
        <v>42954</v>
      </c>
      <c r="N10433" t="s">
        <v>44905</v>
      </c>
      <c r="O10433" t="s">
        <v>44906</v>
      </c>
      <c r="P10433">
        <v>0</v>
      </c>
      <c r="Q10433">
        <v>2</v>
      </c>
      <c r="R10433" t="s">
        <v>44915</v>
      </c>
      <c r="S10433" t="s">
        <v>45255</v>
      </c>
      <c r="T10433" t="s">
        <v>46569</v>
      </c>
      <c r="U10433" t="s">
        <v>55309</v>
      </c>
      <c r="W10433" t="s">
        <v>42954</v>
      </c>
      <c r="X10433" t="s">
        <v>44916</v>
      </c>
    </row>
    <row r="10434" spans="1:24">
      <c r="A10434">
        <f>HYPERLINK("https://www.philgeps.gov.ph/GEPSNONPILOT/Tender/SplashBidNoticeAbstractUI.aspx?menuIndex=3&amp;refID=7064743&amp;Result=3","7064743")</f>
        <v>0</v>
      </c>
      <c r="B10434" t="s">
        <v>1777</v>
      </c>
      <c r="C10434" t="s">
        <v>13463</v>
      </c>
      <c r="D10434" t="s">
        <v>18109</v>
      </c>
      <c r="E10434" t="s">
        <v>27271</v>
      </c>
      <c r="F10434" t="s">
        <v>31362</v>
      </c>
      <c r="G10434" t="s">
        <v>31369</v>
      </c>
      <c r="H10434" t="s">
        <v>31378</v>
      </c>
      <c r="I10434" t="s">
        <v>31386</v>
      </c>
      <c r="J10434" t="s">
        <v>31709</v>
      </c>
      <c r="K10434" t="s">
        <v>40683</v>
      </c>
      <c r="M10434" t="s">
        <v>42857</v>
      </c>
      <c r="N10434" t="s">
        <v>44905</v>
      </c>
      <c r="O10434" t="s">
        <v>44906</v>
      </c>
      <c r="P10434">
        <v>0</v>
      </c>
      <c r="Q10434">
        <v>0</v>
      </c>
      <c r="R10434" t="s">
        <v>44915</v>
      </c>
      <c r="S10434" t="s">
        <v>45255</v>
      </c>
      <c r="T10434" t="s">
        <v>46470</v>
      </c>
      <c r="U10434" t="s">
        <v>55310</v>
      </c>
      <c r="V10434" t="s">
        <v>60173</v>
      </c>
      <c r="W10434" t="s">
        <v>42857</v>
      </c>
      <c r="X10434" t="s">
        <v>44916</v>
      </c>
    </row>
    <row r="10435" spans="1:24">
      <c r="A10435">
        <f>HYPERLINK("https://www.philgeps.gov.ph/GEPSNONPILOT/Tender/SplashBidNoticeAbstractUI.aspx?menuIndex=3&amp;refID=7064699&amp;Result=3","7064699")</f>
        <v>0</v>
      </c>
      <c r="B10435" t="s">
        <v>1897</v>
      </c>
      <c r="C10435" t="s">
        <v>13464</v>
      </c>
      <c r="E10435" t="s">
        <v>27272</v>
      </c>
      <c r="F10435" t="s">
        <v>31362</v>
      </c>
      <c r="G10435" t="s">
        <v>31369</v>
      </c>
      <c r="H10435" t="s">
        <v>31378</v>
      </c>
      <c r="I10435" t="s">
        <v>31386</v>
      </c>
      <c r="J10435" t="s">
        <v>33300</v>
      </c>
      <c r="K10435" t="s">
        <v>40662</v>
      </c>
      <c r="M10435" t="s">
        <v>42992</v>
      </c>
      <c r="N10435" t="s">
        <v>44905</v>
      </c>
      <c r="O10435" t="s">
        <v>44906</v>
      </c>
      <c r="P10435">
        <v>0</v>
      </c>
      <c r="Q10435">
        <v>6</v>
      </c>
      <c r="R10435" t="s">
        <v>44915</v>
      </c>
      <c r="S10435" t="s">
        <v>45255</v>
      </c>
      <c r="T10435" t="s">
        <v>46547</v>
      </c>
      <c r="U10435" t="s">
        <v>55311</v>
      </c>
      <c r="V10435" t="s">
        <v>60165</v>
      </c>
      <c r="W10435" t="s">
        <v>42992</v>
      </c>
      <c r="X10435" t="s">
        <v>44916</v>
      </c>
    </row>
    <row r="10436" spans="1:24">
      <c r="A10436">
        <f>HYPERLINK("https://www.philgeps.gov.ph/GEPSNONPILOT/Tender/SplashBidNoticeAbstractUI.aspx?menuIndex=3&amp;refID=7064613&amp;Result=3","7064613")</f>
        <v>0</v>
      </c>
      <c r="B10436" t="s">
        <v>200</v>
      </c>
      <c r="C10436" t="s">
        <v>13465</v>
      </c>
      <c r="D10436" t="s">
        <v>18106</v>
      </c>
      <c r="E10436" t="s">
        <v>27273</v>
      </c>
      <c r="F10436" t="s">
        <v>31362</v>
      </c>
      <c r="G10436" t="s">
        <v>31369</v>
      </c>
      <c r="H10436" t="s">
        <v>31378</v>
      </c>
      <c r="I10436" t="s">
        <v>31386</v>
      </c>
      <c r="J10436" t="s">
        <v>37893</v>
      </c>
      <c r="K10436" t="s">
        <v>40780</v>
      </c>
      <c r="M10436" t="s">
        <v>41139</v>
      </c>
      <c r="N10436" t="s">
        <v>44905</v>
      </c>
      <c r="O10436" t="s">
        <v>44906</v>
      </c>
      <c r="P10436">
        <v>0</v>
      </c>
      <c r="Q10436">
        <v>3</v>
      </c>
      <c r="R10436" t="s">
        <v>44915</v>
      </c>
      <c r="S10436" t="s">
        <v>45255</v>
      </c>
      <c r="T10436" t="s">
        <v>46418</v>
      </c>
      <c r="U10436" t="s">
        <v>55312</v>
      </c>
      <c r="W10436" t="s">
        <v>41139</v>
      </c>
      <c r="X10436" t="s">
        <v>44916</v>
      </c>
    </row>
    <row r="10437" spans="1:24">
      <c r="A10437">
        <f>HYPERLINK("https://www.philgeps.gov.ph/GEPSNONPILOT/Tender/SplashBidNoticeAbstractUI.aspx?menuIndex=3&amp;refID=7064722&amp;Result=3","7064722")</f>
        <v>0</v>
      </c>
      <c r="B10437" t="s">
        <v>2669</v>
      </c>
      <c r="C10437" t="s">
        <v>13466</v>
      </c>
      <c r="D10437" t="s">
        <v>18152</v>
      </c>
      <c r="E10437" t="s">
        <v>27274</v>
      </c>
      <c r="F10437" t="s">
        <v>31362</v>
      </c>
      <c r="G10437" t="s">
        <v>31368</v>
      </c>
      <c r="H10437" t="s">
        <v>15799</v>
      </c>
      <c r="I10437" t="s">
        <v>3815</v>
      </c>
      <c r="J10437" t="s">
        <v>31530</v>
      </c>
      <c r="K10437" t="s">
        <v>40665</v>
      </c>
      <c r="M10437" t="s">
        <v>43853</v>
      </c>
      <c r="N10437" t="s">
        <v>44905</v>
      </c>
      <c r="O10437" t="s">
        <v>44906</v>
      </c>
      <c r="Q10437">
        <v>0</v>
      </c>
      <c r="R10437" t="s">
        <v>44915</v>
      </c>
      <c r="S10437" t="s">
        <v>45276</v>
      </c>
      <c r="T10437" t="s">
        <v>46432</v>
      </c>
      <c r="U10437" t="s">
        <v>55313</v>
      </c>
      <c r="W10437" t="s">
        <v>43853</v>
      </c>
      <c r="X10437" t="s">
        <v>44916</v>
      </c>
    </row>
    <row r="10438" spans="1:24">
      <c r="A10438">
        <f>HYPERLINK("https://www.philgeps.gov.ph/GEPSNONPILOT/Tender/SplashBidNoticeAbstractUI.aspx?menuIndex=3&amp;refID=7063970&amp;Result=3","7063970")</f>
        <v>0</v>
      </c>
      <c r="B10438" t="s">
        <v>2813</v>
      </c>
      <c r="C10438" t="s">
        <v>13467</v>
      </c>
      <c r="D10438" t="s">
        <v>18118</v>
      </c>
      <c r="E10438" t="s">
        <v>27275</v>
      </c>
      <c r="F10438" t="s">
        <v>31362</v>
      </c>
      <c r="G10438" t="s">
        <v>31369</v>
      </c>
      <c r="H10438" t="s">
        <v>31378</v>
      </c>
      <c r="I10438" t="s">
        <v>31386</v>
      </c>
      <c r="J10438" t="s">
        <v>37894</v>
      </c>
      <c r="K10438" t="s">
        <v>40662</v>
      </c>
      <c r="M10438" t="s">
        <v>44101</v>
      </c>
      <c r="N10438" t="s">
        <v>44905</v>
      </c>
      <c r="O10438" t="s">
        <v>44906</v>
      </c>
      <c r="P10438">
        <v>0</v>
      </c>
      <c r="Q10438">
        <v>0</v>
      </c>
      <c r="R10438" t="s">
        <v>44915</v>
      </c>
      <c r="S10438" t="s">
        <v>45255</v>
      </c>
      <c r="T10438" t="s">
        <v>46418</v>
      </c>
      <c r="U10438" t="s">
        <v>55273</v>
      </c>
      <c r="W10438" t="s">
        <v>44101</v>
      </c>
      <c r="X10438" t="s">
        <v>44917</v>
      </c>
    </row>
    <row r="10439" spans="1:24">
      <c r="A10439">
        <f>HYPERLINK("https://www.philgeps.gov.ph/GEPSNONPILOT/Tender/SplashBidNoticeAbstractUI.aspx?menuIndex=3&amp;refID=7063235&amp;Result=3","7063235")</f>
        <v>0</v>
      </c>
      <c r="B10439" t="s">
        <v>598</v>
      </c>
      <c r="C10439" t="s">
        <v>13468</v>
      </c>
      <c r="D10439" t="s">
        <v>18114</v>
      </c>
      <c r="E10439" t="s">
        <v>27276</v>
      </c>
      <c r="F10439" t="s">
        <v>31362</v>
      </c>
      <c r="G10439" t="s">
        <v>31369</v>
      </c>
      <c r="H10439" t="s">
        <v>15799</v>
      </c>
      <c r="I10439" t="s">
        <v>31409</v>
      </c>
      <c r="J10439" t="s">
        <v>34854</v>
      </c>
      <c r="K10439" t="s">
        <v>40666</v>
      </c>
      <c r="M10439" t="s">
        <v>41555</v>
      </c>
      <c r="N10439" t="s">
        <v>44905</v>
      </c>
      <c r="O10439" t="s">
        <v>44906</v>
      </c>
      <c r="P10439">
        <v>0</v>
      </c>
      <c r="Q10439">
        <v>5</v>
      </c>
      <c r="R10439" t="s">
        <v>44915</v>
      </c>
      <c r="S10439" t="s">
        <v>45255</v>
      </c>
      <c r="T10439" t="s">
        <v>46519</v>
      </c>
      <c r="U10439" t="s">
        <v>55314</v>
      </c>
      <c r="W10439" t="s">
        <v>41555</v>
      </c>
      <c r="X10439" t="s">
        <v>44917</v>
      </c>
    </row>
    <row r="10440" spans="1:24">
      <c r="A10440">
        <f>HYPERLINK("https://www.philgeps.gov.ph/GEPSNONPILOT/Tender/SplashBidNoticeAbstractUI.aspx?menuIndex=3&amp;refID=7064720&amp;Result=3","7064720")</f>
        <v>0</v>
      </c>
      <c r="B10440" t="s">
        <v>592</v>
      </c>
      <c r="C10440" t="s">
        <v>13469</v>
      </c>
      <c r="D10440" t="s">
        <v>18100</v>
      </c>
      <c r="E10440" t="s">
        <v>20469</v>
      </c>
      <c r="F10440" t="s">
        <v>31362</v>
      </c>
      <c r="G10440" t="s">
        <v>31369</v>
      </c>
      <c r="H10440" t="s">
        <v>15799</v>
      </c>
      <c r="I10440" t="s">
        <v>31409</v>
      </c>
      <c r="J10440" t="s">
        <v>37895</v>
      </c>
      <c r="K10440" t="s">
        <v>40662</v>
      </c>
      <c r="M10440" t="s">
        <v>41549</v>
      </c>
      <c r="N10440" t="s">
        <v>44905</v>
      </c>
      <c r="O10440" t="s">
        <v>44906</v>
      </c>
      <c r="P10440">
        <v>0</v>
      </c>
      <c r="Q10440">
        <v>7</v>
      </c>
      <c r="R10440" t="s">
        <v>44915</v>
      </c>
      <c r="S10440" t="s">
        <v>45255</v>
      </c>
      <c r="T10440" t="s">
        <v>46504</v>
      </c>
      <c r="U10440" t="s">
        <v>55315</v>
      </c>
      <c r="V10440" t="s">
        <v>60174</v>
      </c>
      <c r="W10440" t="s">
        <v>41549</v>
      </c>
      <c r="X10440" t="s">
        <v>44916</v>
      </c>
    </row>
    <row r="10441" spans="1:24">
      <c r="A10441">
        <f>HYPERLINK("https://www.philgeps.gov.ph/GEPSNONPILOT/Tender/SplashBidNoticeAbstractUI.aspx?menuIndex=3&amp;refID=7063082&amp;Result=3","7063082")</f>
        <v>0</v>
      </c>
      <c r="B10441" t="s">
        <v>638</v>
      </c>
      <c r="C10441" t="s">
        <v>13470</v>
      </c>
      <c r="D10441" t="s">
        <v>18177</v>
      </c>
      <c r="E10441" t="s">
        <v>27277</v>
      </c>
      <c r="F10441" t="s">
        <v>31362</v>
      </c>
      <c r="G10441" t="s">
        <v>31369</v>
      </c>
      <c r="H10441" t="s">
        <v>15799</v>
      </c>
      <c r="I10441" t="s">
        <v>3815</v>
      </c>
      <c r="J10441" t="s">
        <v>37896</v>
      </c>
      <c r="K10441" t="s">
        <v>40662</v>
      </c>
      <c r="M10441" t="s">
        <v>44098</v>
      </c>
      <c r="N10441" t="s">
        <v>44905</v>
      </c>
      <c r="O10441" t="s">
        <v>44906</v>
      </c>
      <c r="P10441">
        <v>0</v>
      </c>
      <c r="Q10441">
        <v>0</v>
      </c>
      <c r="R10441" t="s">
        <v>44915</v>
      </c>
      <c r="S10441" t="s">
        <v>45255</v>
      </c>
      <c r="T10441" t="s">
        <v>46659</v>
      </c>
      <c r="U10441" t="s">
        <v>55316</v>
      </c>
      <c r="V10441" t="s">
        <v>60175</v>
      </c>
      <c r="W10441" t="s">
        <v>44098</v>
      </c>
      <c r="X10441" t="s">
        <v>44917</v>
      </c>
    </row>
    <row r="10442" spans="1:24">
      <c r="A10442">
        <f>HYPERLINK("https://www.philgeps.gov.ph/GEPSNONPILOT/Tender/SplashBidNoticeAbstractUI.aspx?menuIndex=3&amp;refID=7062603&amp;Result=3","7062603")</f>
        <v>0</v>
      </c>
      <c r="B10442" t="s">
        <v>638</v>
      </c>
      <c r="C10442" t="s">
        <v>13471</v>
      </c>
      <c r="D10442" t="s">
        <v>18177</v>
      </c>
      <c r="E10442" t="s">
        <v>27278</v>
      </c>
      <c r="F10442" t="s">
        <v>31362</v>
      </c>
      <c r="G10442" t="s">
        <v>31369</v>
      </c>
      <c r="H10442" t="s">
        <v>15799</v>
      </c>
      <c r="I10442" t="s">
        <v>3815</v>
      </c>
      <c r="J10442" t="s">
        <v>37897</v>
      </c>
      <c r="K10442" t="s">
        <v>40662</v>
      </c>
      <c r="M10442" t="s">
        <v>44098</v>
      </c>
      <c r="N10442" t="s">
        <v>44905</v>
      </c>
      <c r="O10442" t="s">
        <v>44906</v>
      </c>
      <c r="P10442">
        <v>0</v>
      </c>
      <c r="Q10442">
        <v>0</v>
      </c>
      <c r="R10442" t="s">
        <v>44915</v>
      </c>
      <c r="S10442" t="s">
        <v>45255</v>
      </c>
      <c r="T10442" t="s">
        <v>46659</v>
      </c>
      <c r="U10442" t="s">
        <v>55317</v>
      </c>
      <c r="V10442" t="s">
        <v>60176</v>
      </c>
      <c r="W10442" t="s">
        <v>44098</v>
      </c>
      <c r="X10442" t="s">
        <v>44917</v>
      </c>
    </row>
    <row r="10443" spans="1:24">
      <c r="A10443">
        <f>HYPERLINK("https://www.philgeps.gov.ph/GEPSNONPILOT/Tender/SplashBidNoticeAbstractUI.aspx?menuIndex=3&amp;refID=7063988&amp;Result=3","7063988")</f>
        <v>0</v>
      </c>
      <c r="B10443" t="s">
        <v>219</v>
      </c>
      <c r="C10443" t="s">
        <v>13472</v>
      </c>
      <c r="D10443" t="s">
        <v>18124</v>
      </c>
      <c r="E10443" t="s">
        <v>26705</v>
      </c>
      <c r="F10443" t="s">
        <v>31362</v>
      </c>
      <c r="G10443" t="s">
        <v>31369</v>
      </c>
      <c r="H10443" t="s">
        <v>15799</v>
      </c>
      <c r="I10443" t="s">
        <v>3815</v>
      </c>
      <c r="J10443" t="s">
        <v>37898</v>
      </c>
      <c r="K10443" t="s">
        <v>40666</v>
      </c>
      <c r="M10443" t="s">
        <v>44000</v>
      </c>
      <c r="N10443" t="s">
        <v>44905</v>
      </c>
      <c r="O10443" t="s">
        <v>44906</v>
      </c>
      <c r="P10443">
        <v>0</v>
      </c>
      <c r="Q10443">
        <v>1</v>
      </c>
      <c r="R10443" t="s">
        <v>44915</v>
      </c>
      <c r="S10443" t="s">
        <v>45255</v>
      </c>
      <c r="T10443" t="s">
        <v>46392</v>
      </c>
      <c r="U10443" t="s">
        <v>55318</v>
      </c>
      <c r="W10443" t="s">
        <v>41751</v>
      </c>
      <c r="X10443" t="s">
        <v>44917</v>
      </c>
    </row>
    <row r="10444" spans="1:24">
      <c r="A10444">
        <f>HYPERLINK("https://www.philgeps.gov.ph/GEPSNONPILOT/Tender/SplashBidNoticeAbstractUI.aspx?menuIndex=3&amp;refID=7063982&amp;Result=3","7063982")</f>
        <v>0</v>
      </c>
      <c r="B10444" t="s">
        <v>2813</v>
      </c>
      <c r="C10444" t="s">
        <v>13473</v>
      </c>
      <c r="D10444" t="s">
        <v>18118</v>
      </c>
      <c r="E10444" t="s">
        <v>27279</v>
      </c>
      <c r="F10444" t="s">
        <v>31362</v>
      </c>
      <c r="G10444" t="s">
        <v>31369</v>
      </c>
      <c r="H10444" t="s">
        <v>31378</v>
      </c>
      <c r="I10444" t="s">
        <v>31386</v>
      </c>
      <c r="J10444" t="s">
        <v>37899</v>
      </c>
      <c r="K10444" t="s">
        <v>40662</v>
      </c>
      <c r="M10444" t="s">
        <v>44101</v>
      </c>
      <c r="N10444" t="s">
        <v>44905</v>
      </c>
      <c r="O10444" t="s">
        <v>44906</v>
      </c>
      <c r="P10444">
        <v>0</v>
      </c>
      <c r="Q10444">
        <v>0</v>
      </c>
      <c r="R10444" t="s">
        <v>44915</v>
      </c>
      <c r="S10444" t="s">
        <v>45255</v>
      </c>
      <c r="T10444" t="s">
        <v>46418</v>
      </c>
      <c r="U10444" t="s">
        <v>55273</v>
      </c>
      <c r="W10444" t="s">
        <v>44101</v>
      </c>
      <c r="X10444" t="s">
        <v>44917</v>
      </c>
    </row>
    <row r="10445" spans="1:24">
      <c r="A10445">
        <f>HYPERLINK("https://www.philgeps.gov.ph/GEPSNONPILOT/Tender/SplashBidNoticeAbstractUI.aspx?menuIndex=3&amp;refID=7064853&amp;Result=3","7064853")</f>
        <v>0</v>
      </c>
      <c r="B10445" t="s">
        <v>2895</v>
      </c>
      <c r="C10445" t="s">
        <v>13474</v>
      </c>
      <c r="D10445" t="s">
        <v>18138</v>
      </c>
      <c r="E10445" t="s">
        <v>27280</v>
      </c>
      <c r="F10445" t="s">
        <v>31362</v>
      </c>
      <c r="G10445" t="s">
        <v>31369</v>
      </c>
      <c r="H10445" t="s">
        <v>15799</v>
      </c>
      <c r="I10445" t="s">
        <v>7090</v>
      </c>
      <c r="J10445" t="s">
        <v>33259</v>
      </c>
      <c r="K10445" t="s">
        <v>40677</v>
      </c>
      <c r="M10445" t="s">
        <v>44110</v>
      </c>
      <c r="N10445" t="s">
        <v>44905</v>
      </c>
      <c r="O10445" t="s">
        <v>44906</v>
      </c>
      <c r="P10445">
        <v>0</v>
      </c>
      <c r="Q10445">
        <v>9</v>
      </c>
      <c r="R10445" t="s">
        <v>44915</v>
      </c>
      <c r="S10445" t="s">
        <v>45255</v>
      </c>
      <c r="T10445" t="s">
        <v>46484</v>
      </c>
      <c r="U10445" t="s">
        <v>55319</v>
      </c>
      <c r="V10445" t="s">
        <v>60177</v>
      </c>
      <c r="W10445" t="s">
        <v>44110</v>
      </c>
      <c r="X10445" t="s">
        <v>44916</v>
      </c>
    </row>
    <row r="10446" spans="1:24">
      <c r="A10446">
        <f>HYPERLINK("https://www.philgeps.gov.ph/GEPSNONPILOT/Tender/SplashBidNoticeAbstractUI.aspx?menuIndex=3&amp;refID=7062569&amp;Result=3","7062569")</f>
        <v>0</v>
      </c>
      <c r="B10446" t="s">
        <v>2167</v>
      </c>
      <c r="C10446" t="s">
        <v>13475</v>
      </c>
      <c r="D10446" t="s">
        <v>18134</v>
      </c>
      <c r="E10446" t="s">
        <v>27281</v>
      </c>
      <c r="F10446" t="s">
        <v>31362</v>
      </c>
      <c r="G10446" t="s">
        <v>31369</v>
      </c>
      <c r="H10446" t="s">
        <v>15799</v>
      </c>
      <c r="I10446" t="s">
        <v>3815</v>
      </c>
      <c r="J10446" t="s">
        <v>37900</v>
      </c>
      <c r="K10446" t="s">
        <v>40666</v>
      </c>
      <c r="M10446" t="s">
        <v>43962</v>
      </c>
      <c r="N10446" t="s">
        <v>44905</v>
      </c>
      <c r="O10446" t="s">
        <v>44906</v>
      </c>
      <c r="P10446">
        <v>0</v>
      </c>
      <c r="Q10446">
        <v>2</v>
      </c>
      <c r="R10446" t="s">
        <v>44915</v>
      </c>
      <c r="S10446" t="s">
        <v>45255</v>
      </c>
      <c r="T10446" t="s">
        <v>46636</v>
      </c>
      <c r="U10446" t="s">
        <v>54623</v>
      </c>
      <c r="W10446" t="s">
        <v>43962</v>
      </c>
      <c r="X10446" t="s">
        <v>44917</v>
      </c>
    </row>
    <row r="10447" spans="1:24">
      <c r="A10447">
        <f>HYPERLINK("https://www.philgeps.gov.ph/GEPSNONPILOT/Tender/SplashBidNoticeAbstractUI.aspx?menuIndex=3&amp;refID=7063201&amp;Result=3","7063201")</f>
        <v>0</v>
      </c>
      <c r="B10447" t="s">
        <v>2896</v>
      </c>
      <c r="C10447" t="s">
        <v>6929</v>
      </c>
      <c r="D10447" t="s">
        <v>18120</v>
      </c>
      <c r="E10447" t="s">
        <v>27282</v>
      </c>
      <c r="F10447" t="s">
        <v>31362</v>
      </c>
      <c r="G10447" t="s">
        <v>31369</v>
      </c>
      <c r="H10447" t="s">
        <v>31378</v>
      </c>
      <c r="I10447" t="s">
        <v>31386</v>
      </c>
      <c r="J10447" t="s">
        <v>32127</v>
      </c>
      <c r="K10447" t="s">
        <v>40686</v>
      </c>
      <c r="M10447" t="s">
        <v>44111</v>
      </c>
      <c r="N10447" t="s">
        <v>44905</v>
      </c>
      <c r="O10447" t="s">
        <v>44906</v>
      </c>
      <c r="P10447">
        <v>0</v>
      </c>
      <c r="Q10447">
        <v>1</v>
      </c>
      <c r="R10447" t="s">
        <v>44915</v>
      </c>
      <c r="S10447" t="s">
        <v>45255</v>
      </c>
      <c r="T10447" t="s">
        <v>46462</v>
      </c>
      <c r="U10447" t="s">
        <v>55320</v>
      </c>
      <c r="W10447" t="s">
        <v>44111</v>
      </c>
      <c r="X10447" t="s">
        <v>44917</v>
      </c>
    </row>
    <row r="10448" spans="1:24">
      <c r="A10448">
        <f>HYPERLINK("https://www.philgeps.gov.ph/GEPSNONPILOT/Tender/SplashBidNoticeAbstractUI.aspx?menuIndex=3&amp;refID=7064985&amp;Result=3","7064985")</f>
        <v>0</v>
      </c>
      <c r="B10448" t="s">
        <v>2897</v>
      </c>
      <c r="C10448" t="s">
        <v>4178</v>
      </c>
      <c r="D10448" t="s">
        <v>18103</v>
      </c>
      <c r="E10448" t="s">
        <v>27283</v>
      </c>
      <c r="F10448" t="s">
        <v>31363</v>
      </c>
      <c r="G10448" t="s">
        <v>31369</v>
      </c>
      <c r="H10448" t="s">
        <v>31378</v>
      </c>
      <c r="I10448" t="s">
        <v>31386</v>
      </c>
      <c r="J10448" t="s">
        <v>31586</v>
      </c>
      <c r="K10448" t="s">
        <v>40665</v>
      </c>
      <c r="L10448" t="s">
        <v>2897</v>
      </c>
      <c r="M10448" t="s">
        <v>44112</v>
      </c>
      <c r="N10448" t="s">
        <v>44905</v>
      </c>
      <c r="O10448" t="s">
        <v>44906</v>
      </c>
      <c r="P10448">
        <v>0</v>
      </c>
      <c r="Q10448">
        <v>3</v>
      </c>
      <c r="R10448" t="s">
        <v>44915</v>
      </c>
      <c r="S10448" t="s">
        <v>45255</v>
      </c>
      <c r="T10448" t="s">
        <v>46504</v>
      </c>
      <c r="U10448" t="s">
        <v>55321</v>
      </c>
      <c r="V10448" t="s">
        <v>55348</v>
      </c>
      <c r="W10448" t="s">
        <v>44112</v>
      </c>
      <c r="X10448" t="s">
        <v>44916</v>
      </c>
    </row>
    <row r="10449" spans="1:24">
      <c r="A10449">
        <f>HYPERLINK("https://www.philgeps.gov.ph/GEPSNONPILOT/Tender/SplashBidNoticeAbstractUI.aspx?menuIndex=3&amp;refID=7062940&amp;Result=3","7062940")</f>
        <v>0</v>
      </c>
      <c r="B10449" t="s">
        <v>926</v>
      </c>
      <c r="C10449" t="s">
        <v>13476</v>
      </c>
      <c r="D10449" t="s">
        <v>18117</v>
      </c>
      <c r="E10449" t="s">
        <v>27284</v>
      </c>
      <c r="F10449" t="s">
        <v>31362</v>
      </c>
      <c r="G10449" t="s">
        <v>31369</v>
      </c>
      <c r="H10449" t="s">
        <v>31378</v>
      </c>
      <c r="I10449" t="s">
        <v>31386</v>
      </c>
      <c r="J10449" t="s">
        <v>31602</v>
      </c>
      <c r="K10449" t="s">
        <v>40686</v>
      </c>
      <c r="M10449" t="s">
        <v>41910</v>
      </c>
      <c r="N10449" t="s">
        <v>44905</v>
      </c>
      <c r="O10449" t="s">
        <v>44906</v>
      </c>
      <c r="P10449">
        <v>0</v>
      </c>
      <c r="Q10449">
        <v>0</v>
      </c>
      <c r="R10449" t="s">
        <v>44915</v>
      </c>
      <c r="S10449" t="s">
        <v>45255</v>
      </c>
      <c r="T10449" t="s">
        <v>46486</v>
      </c>
      <c r="U10449" t="s">
        <v>55322</v>
      </c>
      <c r="W10449" t="s">
        <v>41910</v>
      </c>
      <c r="X10449" t="s">
        <v>44917</v>
      </c>
    </row>
    <row r="10450" spans="1:24">
      <c r="A10450">
        <f>HYPERLINK("https://www.philgeps.gov.ph/GEPSNONPILOT/Tender/SplashBidNoticeAbstractUI.aspx?menuIndex=3&amp;refID=7064958&amp;Result=3","7064958")</f>
        <v>0</v>
      </c>
      <c r="B10450" t="s">
        <v>2892</v>
      </c>
      <c r="C10450" t="s">
        <v>13477</v>
      </c>
      <c r="D10450" t="s">
        <v>18101</v>
      </c>
      <c r="E10450" t="s">
        <v>27285</v>
      </c>
      <c r="F10450" t="s">
        <v>31362</v>
      </c>
      <c r="G10450" t="s">
        <v>31369</v>
      </c>
      <c r="H10450" t="s">
        <v>15799</v>
      </c>
      <c r="I10450" t="s">
        <v>3815</v>
      </c>
      <c r="J10450" t="s">
        <v>37901</v>
      </c>
      <c r="K10450" t="s">
        <v>40670</v>
      </c>
      <c r="L10450" t="s">
        <v>2892</v>
      </c>
      <c r="M10450" t="s">
        <v>44107</v>
      </c>
      <c r="N10450" t="s">
        <v>44905</v>
      </c>
      <c r="O10450" t="s">
        <v>44906</v>
      </c>
      <c r="P10450">
        <v>0</v>
      </c>
      <c r="Q10450">
        <v>2</v>
      </c>
      <c r="R10450" t="s">
        <v>44915</v>
      </c>
      <c r="S10450" t="s">
        <v>45255</v>
      </c>
      <c r="T10450" t="s">
        <v>46481</v>
      </c>
      <c r="U10450" t="s">
        <v>55301</v>
      </c>
      <c r="W10450" t="s">
        <v>44107</v>
      </c>
      <c r="X10450" t="s">
        <v>44916</v>
      </c>
    </row>
    <row r="10451" spans="1:24">
      <c r="A10451">
        <f>HYPERLINK("https://www.philgeps.gov.ph/GEPSNONPILOT/Tender/SplashBidNoticeAbstractUI.aspx?menuIndex=3&amp;refID=7064956&amp;Result=3","7064956")</f>
        <v>0</v>
      </c>
      <c r="B10451" t="s">
        <v>2898</v>
      </c>
      <c r="C10451" t="s">
        <v>13478</v>
      </c>
      <c r="D10451" t="s">
        <v>18115</v>
      </c>
      <c r="E10451" t="s">
        <v>23066</v>
      </c>
      <c r="F10451" t="s">
        <v>31362</v>
      </c>
      <c r="G10451" t="s">
        <v>31369</v>
      </c>
      <c r="H10451" t="s">
        <v>15799</v>
      </c>
      <c r="I10451" t="s">
        <v>31392</v>
      </c>
      <c r="J10451" t="s">
        <v>37902</v>
      </c>
      <c r="K10451" t="s">
        <v>40661</v>
      </c>
      <c r="M10451" t="s">
        <v>44113</v>
      </c>
      <c r="N10451" t="s">
        <v>44905</v>
      </c>
      <c r="O10451" t="s">
        <v>44906</v>
      </c>
      <c r="P10451">
        <v>0</v>
      </c>
      <c r="Q10451">
        <v>6</v>
      </c>
      <c r="R10451" t="s">
        <v>44915</v>
      </c>
      <c r="S10451" t="s">
        <v>45255</v>
      </c>
      <c r="T10451" t="s">
        <v>46524</v>
      </c>
      <c r="U10451" t="s">
        <v>55323</v>
      </c>
      <c r="W10451" t="s">
        <v>44113</v>
      </c>
      <c r="X10451" t="s">
        <v>44916</v>
      </c>
    </row>
    <row r="10452" spans="1:24">
      <c r="A10452">
        <f>HYPERLINK("https://www.philgeps.gov.ph/GEPSNONPILOT/Tender/SplashBidNoticeAbstractUI.aspx?menuIndex=3&amp;refID=7064947&amp;Result=3","7064947")</f>
        <v>0</v>
      </c>
      <c r="B10452" t="s">
        <v>1618</v>
      </c>
      <c r="C10452" t="s">
        <v>13479</v>
      </c>
      <c r="D10452" t="s">
        <v>18103</v>
      </c>
      <c r="E10452" t="s">
        <v>27286</v>
      </c>
      <c r="F10452" t="s">
        <v>31362</v>
      </c>
      <c r="G10452" t="s">
        <v>31369</v>
      </c>
      <c r="H10452" t="s">
        <v>15799</v>
      </c>
      <c r="I10452" t="s">
        <v>31445</v>
      </c>
      <c r="J10452" t="s">
        <v>37903</v>
      </c>
      <c r="K10452" t="s">
        <v>40675</v>
      </c>
      <c r="M10452" t="s">
        <v>42677</v>
      </c>
      <c r="N10452" t="s">
        <v>44905</v>
      </c>
      <c r="O10452" t="s">
        <v>44906</v>
      </c>
      <c r="P10452">
        <v>0</v>
      </c>
      <c r="Q10452">
        <v>6</v>
      </c>
      <c r="R10452" t="s">
        <v>44915</v>
      </c>
      <c r="S10452" t="s">
        <v>45255</v>
      </c>
      <c r="T10452" t="s">
        <v>46519</v>
      </c>
      <c r="U10452" t="s">
        <v>55324</v>
      </c>
      <c r="V10452" t="s">
        <v>60178</v>
      </c>
      <c r="W10452" t="s">
        <v>42677</v>
      </c>
      <c r="X10452" t="s">
        <v>44916</v>
      </c>
    </row>
    <row r="10453" spans="1:24">
      <c r="A10453">
        <f>HYPERLINK("https://www.philgeps.gov.ph/GEPSNONPILOT/Tender/SplashBidNoticeAbstractUI.aspx?menuIndex=3&amp;refID=7062579&amp;Result=3","7062579")</f>
        <v>0</v>
      </c>
      <c r="B10453" t="s">
        <v>926</v>
      </c>
      <c r="C10453" t="s">
        <v>13480</v>
      </c>
      <c r="D10453" t="s">
        <v>18117</v>
      </c>
      <c r="E10453" t="s">
        <v>27287</v>
      </c>
      <c r="F10453" t="s">
        <v>31362</v>
      </c>
      <c r="G10453" t="s">
        <v>31369</v>
      </c>
      <c r="H10453" t="s">
        <v>31378</v>
      </c>
      <c r="I10453" t="s">
        <v>31386</v>
      </c>
      <c r="J10453" t="s">
        <v>36555</v>
      </c>
      <c r="K10453" t="s">
        <v>40678</v>
      </c>
      <c r="M10453" t="s">
        <v>41910</v>
      </c>
      <c r="N10453" t="s">
        <v>44905</v>
      </c>
      <c r="O10453" t="s">
        <v>44906</v>
      </c>
      <c r="P10453">
        <v>0</v>
      </c>
      <c r="Q10453">
        <v>0</v>
      </c>
      <c r="R10453" t="s">
        <v>44915</v>
      </c>
      <c r="S10453" t="s">
        <v>45255</v>
      </c>
      <c r="T10453" t="s">
        <v>46486</v>
      </c>
      <c r="U10453" t="s">
        <v>55325</v>
      </c>
      <c r="W10453" t="s">
        <v>41910</v>
      </c>
      <c r="X10453" t="s">
        <v>44917</v>
      </c>
    </row>
    <row r="10454" spans="1:24">
      <c r="A10454">
        <f>HYPERLINK("https://www.philgeps.gov.ph/GEPSNONPILOT/Tender/SplashBidNoticeAbstractUI.aspx?menuIndex=3&amp;refID=7064946&amp;Result=3","7064946")</f>
        <v>0</v>
      </c>
      <c r="B10454" t="s">
        <v>2899</v>
      </c>
      <c r="C10454" t="s">
        <v>13481</v>
      </c>
      <c r="D10454" t="s">
        <v>18153</v>
      </c>
      <c r="E10454" t="s">
        <v>27288</v>
      </c>
      <c r="F10454" t="s">
        <v>31362</v>
      </c>
      <c r="G10454" t="s">
        <v>31369</v>
      </c>
      <c r="H10454" t="s">
        <v>31379</v>
      </c>
      <c r="I10454" t="s">
        <v>31399</v>
      </c>
      <c r="J10454" t="s">
        <v>31531</v>
      </c>
      <c r="K10454" t="s">
        <v>40666</v>
      </c>
      <c r="M10454" t="s">
        <v>44114</v>
      </c>
      <c r="N10454" t="s">
        <v>44905</v>
      </c>
      <c r="O10454" t="s">
        <v>44906</v>
      </c>
      <c r="Q10454">
        <v>10</v>
      </c>
      <c r="R10454" t="s">
        <v>44915</v>
      </c>
      <c r="S10454" t="s">
        <v>45277</v>
      </c>
      <c r="T10454" t="s">
        <v>46524</v>
      </c>
      <c r="U10454" t="s">
        <v>53717</v>
      </c>
      <c r="V10454" t="s">
        <v>60179</v>
      </c>
      <c r="W10454" t="s">
        <v>44114</v>
      </c>
      <c r="X10454" t="s">
        <v>44916</v>
      </c>
    </row>
    <row r="10455" spans="1:24">
      <c r="A10455">
        <f>HYPERLINK("https://www.philgeps.gov.ph/GEPSNONPILOT/Tender/SplashBidNoticeAbstractUI.aspx?menuIndex=3&amp;refID=7064964&amp;Result=3","7064964")</f>
        <v>0</v>
      </c>
      <c r="B10455" t="s">
        <v>2900</v>
      </c>
      <c r="C10455" t="s">
        <v>13482</v>
      </c>
      <c r="D10455" t="s">
        <v>18102</v>
      </c>
      <c r="E10455" t="s">
        <v>27289</v>
      </c>
      <c r="F10455" t="s">
        <v>31362</v>
      </c>
      <c r="G10455" t="s">
        <v>31369</v>
      </c>
      <c r="H10455" t="s">
        <v>31378</v>
      </c>
      <c r="I10455" t="s">
        <v>31386</v>
      </c>
      <c r="J10455" t="s">
        <v>31738</v>
      </c>
      <c r="K10455" t="s">
        <v>40665</v>
      </c>
      <c r="M10455" t="s">
        <v>44115</v>
      </c>
      <c r="N10455" t="s">
        <v>44905</v>
      </c>
      <c r="O10455" t="s">
        <v>44906</v>
      </c>
      <c r="P10455">
        <v>0</v>
      </c>
      <c r="Q10455">
        <v>0</v>
      </c>
      <c r="R10455" t="s">
        <v>44915</v>
      </c>
      <c r="S10455" t="s">
        <v>45255</v>
      </c>
      <c r="T10455" t="s">
        <v>46391</v>
      </c>
      <c r="U10455" t="s">
        <v>55326</v>
      </c>
      <c r="W10455" t="s">
        <v>44115</v>
      </c>
      <c r="X10455" t="s">
        <v>44916</v>
      </c>
    </row>
    <row r="10456" spans="1:24">
      <c r="A10456">
        <f>HYPERLINK("https://www.philgeps.gov.ph/GEPSNONPILOT/Tender/SplashBidNoticeAbstractUI.aspx?menuIndex=3&amp;refID=7062598&amp;Result=3","7062598")</f>
        <v>0</v>
      </c>
      <c r="B10456" t="s">
        <v>2901</v>
      </c>
      <c r="C10456" t="s">
        <v>13483</v>
      </c>
      <c r="D10456" t="s">
        <v>18123</v>
      </c>
      <c r="E10456" t="s">
        <v>18227</v>
      </c>
      <c r="F10456" t="s">
        <v>31362</v>
      </c>
      <c r="G10456" t="s">
        <v>31369</v>
      </c>
      <c r="H10456" t="s">
        <v>31378</v>
      </c>
      <c r="I10456" t="s">
        <v>31386</v>
      </c>
      <c r="J10456" t="s">
        <v>31625</v>
      </c>
      <c r="K10456" t="s">
        <v>40686</v>
      </c>
      <c r="M10456" t="s">
        <v>44116</v>
      </c>
      <c r="N10456" t="s">
        <v>44905</v>
      </c>
      <c r="O10456" t="s">
        <v>44906</v>
      </c>
      <c r="P10456">
        <v>0</v>
      </c>
      <c r="Q10456">
        <v>1</v>
      </c>
      <c r="R10456" t="s">
        <v>44915</v>
      </c>
      <c r="S10456" t="s">
        <v>45255</v>
      </c>
      <c r="T10456" t="s">
        <v>46464</v>
      </c>
      <c r="U10456" t="s">
        <v>55327</v>
      </c>
      <c r="W10456" t="s">
        <v>44116</v>
      </c>
      <c r="X10456" t="s">
        <v>44917</v>
      </c>
    </row>
    <row r="10457" spans="1:24">
      <c r="A10457">
        <f>HYPERLINK("https://www.philgeps.gov.ph/GEPSNONPILOT/Tender/SplashBidNoticeAbstractUI.aspx?menuIndex=3&amp;refID=7064948&amp;Result=3","7064948")</f>
        <v>0</v>
      </c>
      <c r="B10457" t="s">
        <v>312</v>
      </c>
      <c r="C10457" t="s">
        <v>13484</v>
      </c>
      <c r="D10457" t="s">
        <v>18119</v>
      </c>
      <c r="E10457" t="s">
        <v>27290</v>
      </c>
      <c r="F10457" t="s">
        <v>31362</v>
      </c>
      <c r="G10457" t="s">
        <v>31369</v>
      </c>
      <c r="H10457" t="s">
        <v>15799</v>
      </c>
      <c r="I10457" t="s">
        <v>4283</v>
      </c>
      <c r="J10457" t="s">
        <v>37904</v>
      </c>
      <c r="K10457" t="s">
        <v>40680</v>
      </c>
      <c r="M10457" t="s">
        <v>41257</v>
      </c>
      <c r="N10457" t="s">
        <v>44905</v>
      </c>
      <c r="O10457" t="s">
        <v>44906</v>
      </c>
      <c r="P10457">
        <v>0</v>
      </c>
      <c r="Q10457">
        <v>7</v>
      </c>
      <c r="R10457" t="s">
        <v>44915</v>
      </c>
      <c r="S10457" t="s">
        <v>45255</v>
      </c>
      <c r="T10457" t="s">
        <v>46504</v>
      </c>
      <c r="U10457" t="s">
        <v>55328</v>
      </c>
      <c r="W10457" t="s">
        <v>41257</v>
      </c>
      <c r="X10457" t="s">
        <v>44916</v>
      </c>
    </row>
    <row r="10458" spans="1:24">
      <c r="A10458">
        <f>HYPERLINK("https://www.philgeps.gov.ph/GEPSNONPILOT/Tender/SplashBidNoticeAbstractUI.aspx?menuIndex=3&amp;refID=7064920&amp;Result=3","7064920")</f>
        <v>0</v>
      </c>
      <c r="B10458" t="s">
        <v>1618</v>
      </c>
      <c r="C10458" t="s">
        <v>13485</v>
      </c>
      <c r="D10458" t="s">
        <v>18103</v>
      </c>
      <c r="E10458" t="s">
        <v>27291</v>
      </c>
      <c r="F10458" t="s">
        <v>31362</v>
      </c>
      <c r="G10458" t="s">
        <v>31369</v>
      </c>
      <c r="H10458" t="s">
        <v>31378</v>
      </c>
      <c r="I10458" t="s">
        <v>31439</v>
      </c>
      <c r="J10458" t="s">
        <v>37905</v>
      </c>
      <c r="K10458" t="s">
        <v>40682</v>
      </c>
      <c r="M10458" t="s">
        <v>42677</v>
      </c>
      <c r="N10458" t="s">
        <v>44905</v>
      </c>
      <c r="O10458" t="s">
        <v>44906</v>
      </c>
      <c r="P10458">
        <v>0</v>
      </c>
      <c r="Q10458">
        <v>4</v>
      </c>
      <c r="R10458" t="s">
        <v>44915</v>
      </c>
      <c r="S10458" t="s">
        <v>45255</v>
      </c>
      <c r="T10458" t="s">
        <v>46504</v>
      </c>
      <c r="U10458" t="s">
        <v>55324</v>
      </c>
      <c r="V10458" t="s">
        <v>60180</v>
      </c>
      <c r="W10458" t="s">
        <v>42677</v>
      </c>
      <c r="X10458" t="s">
        <v>44916</v>
      </c>
    </row>
    <row r="10459" spans="1:24">
      <c r="A10459">
        <f>HYPERLINK("https://www.philgeps.gov.ph/GEPSNONPILOT/Tender/SplashBidNoticeAbstractUI.aspx?menuIndex=3&amp;refID=7064938&amp;Result=3","7064938")</f>
        <v>0</v>
      </c>
      <c r="B10459" t="s">
        <v>546</v>
      </c>
      <c r="C10459" t="s">
        <v>13486</v>
      </c>
      <c r="D10459" t="s">
        <v>18133</v>
      </c>
      <c r="E10459" t="s">
        <v>27292</v>
      </c>
      <c r="F10459" t="s">
        <v>31362</v>
      </c>
      <c r="G10459" t="s">
        <v>31369</v>
      </c>
      <c r="H10459" t="s">
        <v>31379</v>
      </c>
      <c r="I10459" t="s">
        <v>31436</v>
      </c>
      <c r="J10459" t="s">
        <v>31693</v>
      </c>
      <c r="K10459" t="s">
        <v>40712</v>
      </c>
      <c r="L10459" t="s">
        <v>546</v>
      </c>
      <c r="M10459" t="s">
        <v>41502</v>
      </c>
      <c r="N10459" t="s">
        <v>44905</v>
      </c>
      <c r="O10459" t="s">
        <v>44906</v>
      </c>
      <c r="P10459">
        <v>0</v>
      </c>
      <c r="Q10459">
        <v>4</v>
      </c>
      <c r="R10459" t="s">
        <v>44915</v>
      </c>
      <c r="S10459" t="s">
        <v>45255</v>
      </c>
      <c r="T10459" t="s">
        <v>46462</v>
      </c>
      <c r="U10459" t="s">
        <v>55329</v>
      </c>
      <c r="V10459" t="s">
        <v>60181</v>
      </c>
      <c r="W10459" t="s">
        <v>41502</v>
      </c>
      <c r="X10459" t="s">
        <v>44916</v>
      </c>
    </row>
    <row r="10460" spans="1:24">
      <c r="A10460">
        <f>HYPERLINK("https://www.philgeps.gov.ph/GEPSNONPILOT/Tender/SplashBidNoticeAbstractUI.aspx?menuIndex=3&amp;refID=7064916&amp;Result=3","7064916")</f>
        <v>0</v>
      </c>
      <c r="B10460" t="s">
        <v>546</v>
      </c>
      <c r="C10460" t="s">
        <v>13487</v>
      </c>
      <c r="D10460" t="s">
        <v>18133</v>
      </c>
      <c r="E10460" t="s">
        <v>27293</v>
      </c>
      <c r="F10460" t="s">
        <v>31362</v>
      </c>
      <c r="G10460" t="s">
        <v>31369</v>
      </c>
      <c r="H10460" t="s">
        <v>15799</v>
      </c>
      <c r="I10460" t="s">
        <v>31397</v>
      </c>
      <c r="J10460" t="s">
        <v>37906</v>
      </c>
      <c r="K10460" t="s">
        <v>40665</v>
      </c>
      <c r="L10460" t="s">
        <v>546</v>
      </c>
      <c r="M10460" t="s">
        <v>41502</v>
      </c>
      <c r="N10460" t="s">
        <v>44905</v>
      </c>
      <c r="O10460" t="s">
        <v>44906</v>
      </c>
      <c r="P10460">
        <v>0</v>
      </c>
      <c r="Q10460">
        <v>2</v>
      </c>
      <c r="R10460" t="s">
        <v>44915</v>
      </c>
      <c r="S10460" t="s">
        <v>45255</v>
      </c>
      <c r="T10460" t="s">
        <v>46462</v>
      </c>
      <c r="U10460" t="s">
        <v>55330</v>
      </c>
      <c r="V10460" t="s">
        <v>60181</v>
      </c>
      <c r="W10460" t="s">
        <v>41502</v>
      </c>
      <c r="X10460" t="s">
        <v>44916</v>
      </c>
    </row>
    <row r="10461" spans="1:24">
      <c r="A10461">
        <f>HYPERLINK("https://www.philgeps.gov.ph/GEPSNONPILOT/Tender/SplashBidNoticeAbstractUI.aspx?menuIndex=3&amp;refID=7064903&amp;Result=3","7064903")</f>
        <v>0</v>
      </c>
      <c r="B10461" t="s">
        <v>2894</v>
      </c>
      <c r="C10461" t="s">
        <v>13488</v>
      </c>
      <c r="E10461" t="s">
        <v>27294</v>
      </c>
      <c r="F10461" t="s">
        <v>31362</v>
      </c>
      <c r="G10461" t="s">
        <v>31369</v>
      </c>
      <c r="H10461" t="s">
        <v>15799</v>
      </c>
      <c r="I10461" t="s">
        <v>31403</v>
      </c>
      <c r="J10461" t="s">
        <v>37907</v>
      </c>
      <c r="K10461" t="s">
        <v>40662</v>
      </c>
      <c r="M10461" t="s">
        <v>44109</v>
      </c>
      <c r="N10461" t="s">
        <v>44905</v>
      </c>
      <c r="O10461" t="s">
        <v>44906</v>
      </c>
      <c r="P10461">
        <v>0</v>
      </c>
      <c r="Q10461">
        <v>9</v>
      </c>
      <c r="R10461" t="s">
        <v>44915</v>
      </c>
      <c r="S10461" t="s">
        <v>45255</v>
      </c>
      <c r="T10461" t="s">
        <v>46553</v>
      </c>
      <c r="U10461" t="s">
        <v>55331</v>
      </c>
      <c r="V10461" t="s">
        <v>60182</v>
      </c>
      <c r="W10461" t="s">
        <v>44109</v>
      </c>
      <c r="X10461" t="s">
        <v>44916</v>
      </c>
    </row>
    <row r="10462" spans="1:24">
      <c r="A10462">
        <f>HYPERLINK("https://www.philgeps.gov.ph/GEPSNONPILOT/Tender/SplashBidNoticeAbstractUI.aspx?menuIndex=3&amp;refID=7064904&amp;Result=3","7064904")</f>
        <v>0</v>
      </c>
      <c r="B10462" t="s">
        <v>2900</v>
      </c>
      <c r="C10462" t="s">
        <v>13489</v>
      </c>
      <c r="D10462" t="s">
        <v>18102</v>
      </c>
      <c r="E10462" t="s">
        <v>27295</v>
      </c>
      <c r="F10462" t="s">
        <v>31362</v>
      </c>
      <c r="G10462" t="s">
        <v>31369</v>
      </c>
      <c r="H10462" t="s">
        <v>31378</v>
      </c>
      <c r="I10462" t="s">
        <v>31386</v>
      </c>
      <c r="J10462" t="s">
        <v>31625</v>
      </c>
      <c r="K10462" t="s">
        <v>40718</v>
      </c>
      <c r="M10462" t="s">
        <v>44115</v>
      </c>
      <c r="N10462" t="s">
        <v>44905</v>
      </c>
      <c r="O10462" t="s">
        <v>44906</v>
      </c>
      <c r="P10462">
        <v>0</v>
      </c>
      <c r="Q10462">
        <v>0</v>
      </c>
      <c r="R10462" t="s">
        <v>44915</v>
      </c>
      <c r="S10462" t="s">
        <v>45255</v>
      </c>
      <c r="T10462" t="s">
        <v>46391</v>
      </c>
      <c r="U10462" t="s">
        <v>55326</v>
      </c>
      <c r="W10462" t="s">
        <v>44115</v>
      </c>
      <c r="X10462" t="s">
        <v>44916</v>
      </c>
    </row>
    <row r="10463" spans="1:24">
      <c r="A10463">
        <f>HYPERLINK("https://www.philgeps.gov.ph/GEPSNONPILOT/Tender/SplashBidNoticeAbstractUI.aspx?menuIndex=3&amp;refID=7064924&amp;Result=3","7064924")</f>
        <v>0</v>
      </c>
      <c r="B10463" t="s">
        <v>2900</v>
      </c>
      <c r="C10463" t="s">
        <v>13490</v>
      </c>
      <c r="D10463" t="s">
        <v>18102</v>
      </c>
      <c r="E10463" t="s">
        <v>27296</v>
      </c>
      <c r="F10463" t="s">
        <v>31362</v>
      </c>
      <c r="G10463" t="s">
        <v>31369</v>
      </c>
      <c r="H10463" t="s">
        <v>31378</v>
      </c>
      <c r="I10463" t="s">
        <v>31386</v>
      </c>
      <c r="J10463" t="s">
        <v>31625</v>
      </c>
      <c r="K10463" t="s">
        <v>40676</v>
      </c>
      <c r="M10463" t="s">
        <v>44115</v>
      </c>
      <c r="N10463" t="s">
        <v>44905</v>
      </c>
      <c r="O10463" t="s">
        <v>44906</v>
      </c>
      <c r="P10463">
        <v>0</v>
      </c>
      <c r="Q10463">
        <v>0</v>
      </c>
      <c r="R10463" t="s">
        <v>44915</v>
      </c>
      <c r="S10463" t="s">
        <v>45255</v>
      </c>
      <c r="T10463" t="s">
        <v>46391</v>
      </c>
      <c r="U10463" t="s">
        <v>55326</v>
      </c>
      <c r="W10463" t="s">
        <v>44115</v>
      </c>
      <c r="X10463" t="s">
        <v>44916</v>
      </c>
    </row>
    <row r="10464" spans="1:24">
      <c r="A10464">
        <f>HYPERLINK("https://www.philgeps.gov.ph/GEPSNONPILOT/Tender/SplashBidNoticeAbstractUI.aspx?menuIndex=3&amp;refID=7065120&amp;Result=3","7065120")</f>
        <v>0</v>
      </c>
      <c r="B10464" t="s">
        <v>1033</v>
      </c>
      <c r="C10464" t="s">
        <v>13491</v>
      </c>
      <c r="D10464" t="s">
        <v>18162</v>
      </c>
      <c r="E10464" t="s">
        <v>27297</v>
      </c>
      <c r="F10464" t="s">
        <v>31362</v>
      </c>
      <c r="G10464" t="s">
        <v>31369</v>
      </c>
      <c r="H10464" t="s">
        <v>15799</v>
      </c>
      <c r="I10464" t="s">
        <v>31385</v>
      </c>
      <c r="J10464" t="s">
        <v>34691</v>
      </c>
      <c r="K10464" t="s">
        <v>40670</v>
      </c>
      <c r="M10464" t="s">
        <v>42032</v>
      </c>
      <c r="N10464" t="s">
        <v>44905</v>
      </c>
      <c r="O10464" t="s">
        <v>44906</v>
      </c>
      <c r="P10464">
        <v>0</v>
      </c>
      <c r="Q10464">
        <v>0</v>
      </c>
      <c r="R10464" t="s">
        <v>44915</v>
      </c>
      <c r="S10464" t="s">
        <v>45255</v>
      </c>
      <c r="T10464" t="s">
        <v>46509</v>
      </c>
      <c r="U10464" t="s">
        <v>55332</v>
      </c>
      <c r="W10464" t="s">
        <v>42032</v>
      </c>
      <c r="X10464" t="s">
        <v>44916</v>
      </c>
    </row>
    <row r="10465" spans="1:24">
      <c r="A10465">
        <f>HYPERLINK("https://www.philgeps.gov.ph/GEPSNONPILOT/Tender/SplashBidNoticeAbstractUI.aspx?menuIndex=3&amp;refID=7065102&amp;Result=3","7065102")</f>
        <v>0</v>
      </c>
      <c r="B10465" t="s">
        <v>585</v>
      </c>
      <c r="C10465" t="s">
        <v>13492</v>
      </c>
      <c r="D10465" t="s">
        <v>18100</v>
      </c>
      <c r="E10465" t="s">
        <v>27298</v>
      </c>
      <c r="F10465" t="s">
        <v>31362</v>
      </c>
      <c r="G10465" t="s">
        <v>31368</v>
      </c>
      <c r="H10465" t="s">
        <v>15799</v>
      </c>
      <c r="I10465" t="s">
        <v>4942</v>
      </c>
      <c r="J10465" t="s">
        <v>37908</v>
      </c>
      <c r="K10465" t="s">
        <v>40662</v>
      </c>
      <c r="M10465" t="s">
        <v>41542</v>
      </c>
      <c r="N10465" t="s">
        <v>44905</v>
      </c>
      <c r="O10465" t="s">
        <v>44906</v>
      </c>
      <c r="P10465">
        <v>0</v>
      </c>
      <c r="Q10465">
        <v>0</v>
      </c>
      <c r="R10465" t="s">
        <v>44915</v>
      </c>
      <c r="S10465" t="s">
        <v>45255</v>
      </c>
      <c r="T10465" t="s">
        <v>46446</v>
      </c>
      <c r="U10465" t="s">
        <v>48050</v>
      </c>
      <c r="W10465" t="s">
        <v>41542</v>
      </c>
      <c r="X10465" t="s">
        <v>44916</v>
      </c>
    </row>
    <row r="10466" spans="1:24">
      <c r="A10466">
        <f>HYPERLINK("https://www.philgeps.gov.ph/GEPSNONPILOT/Tender/SplashBidNoticeAbstractUI.aspx?menuIndex=3&amp;refID=7065101&amp;Result=3","7065101")</f>
        <v>0</v>
      </c>
      <c r="B10466" t="s">
        <v>2902</v>
      </c>
      <c r="C10466" t="s">
        <v>13493</v>
      </c>
      <c r="D10466" t="s">
        <v>18125</v>
      </c>
      <c r="E10466" t="s">
        <v>20617</v>
      </c>
      <c r="F10466" t="s">
        <v>31365</v>
      </c>
      <c r="G10466" t="s">
        <v>31369</v>
      </c>
      <c r="H10466" t="s">
        <v>15799</v>
      </c>
      <c r="I10466" t="s">
        <v>3815</v>
      </c>
      <c r="J10466" t="s">
        <v>37909</v>
      </c>
      <c r="K10466" t="s">
        <v>40666</v>
      </c>
      <c r="M10466" t="s">
        <v>44117</v>
      </c>
      <c r="N10466" t="s">
        <v>44905</v>
      </c>
      <c r="O10466" t="s">
        <v>44906</v>
      </c>
      <c r="P10466">
        <v>0</v>
      </c>
      <c r="Q10466">
        <v>1</v>
      </c>
      <c r="R10466" t="s">
        <v>44915</v>
      </c>
      <c r="S10466" t="s">
        <v>45255</v>
      </c>
      <c r="T10466" t="s">
        <v>46396</v>
      </c>
      <c r="U10466" t="s">
        <v>55333</v>
      </c>
      <c r="V10466" t="s">
        <v>60183</v>
      </c>
      <c r="W10466" t="s">
        <v>44117</v>
      </c>
      <c r="X10466" t="s">
        <v>44916</v>
      </c>
    </row>
    <row r="10467" spans="1:24">
      <c r="A10467">
        <f>HYPERLINK("https://www.philgeps.gov.ph/GEPSNONPILOT/Tender/SplashBidNoticeAbstractUI.aspx?menuIndex=3&amp;refID=7065094&amp;Result=3","7065094")</f>
        <v>0</v>
      </c>
      <c r="B10467" t="s">
        <v>2889</v>
      </c>
      <c r="C10467" t="s">
        <v>13494</v>
      </c>
      <c r="D10467" t="s">
        <v>18148</v>
      </c>
      <c r="E10467" t="s">
        <v>27299</v>
      </c>
      <c r="F10467" t="s">
        <v>31362</v>
      </c>
      <c r="G10467" t="s">
        <v>31369</v>
      </c>
      <c r="H10467" t="s">
        <v>31378</v>
      </c>
      <c r="I10467" t="s">
        <v>31386</v>
      </c>
      <c r="J10467" t="s">
        <v>37910</v>
      </c>
      <c r="K10467" t="s">
        <v>40768</v>
      </c>
      <c r="M10467" t="s">
        <v>44104</v>
      </c>
      <c r="N10467" t="s">
        <v>44905</v>
      </c>
      <c r="O10467" t="s">
        <v>44906</v>
      </c>
      <c r="P10467">
        <v>0</v>
      </c>
      <c r="Q10467">
        <v>1</v>
      </c>
      <c r="R10467" t="s">
        <v>44915</v>
      </c>
      <c r="S10467" t="s">
        <v>45255</v>
      </c>
      <c r="T10467" t="s">
        <v>46464</v>
      </c>
      <c r="U10467" t="s">
        <v>55334</v>
      </c>
      <c r="V10467" t="s">
        <v>60167</v>
      </c>
      <c r="W10467" t="s">
        <v>44104</v>
      </c>
      <c r="X10467" t="s">
        <v>44916</v>
      </c>
    </row>
    <row r="10468" spans="1:24">
      <c r="A10468">
        <f>HYPERLINK("https://www.philgeps.gov.ph/GEPSNONPILOT/Tender/SplashBidNoticeAbstractUI.aspx?menuIndex=3&amp;refID=7064936&amp;Result=3","7064936")</f>
        <v>0</v>
      </c>
      <c r="B10468" t="s">
        <v>744</v>
      </c>
      <c r="C10468" t="s">
        <v>13495</v>
      </c>
      <c r="D10468" t="s">
        <v>18148</v>
      </c>
      <c r="E10468" t="s">
        <v>27300</v>
      </c>
      <c r="F10468" t="s">
        <v>31362</v>
      </c>
      <c r="G10468" t="s">
        <v>31369</v>
      </c>
      <c r="H10468" t="s">
        <v>15799</v>
      </c>
      <c r="I10468" t="s">
        <v>31409</v>
      </c>
      <c r="J10468" t="s">
        <v>31615</v>
      </c>
      <c r="K10468" t="s">
        <v>40665</v>
      </c>
      <c r="M10468" t="s">
        <v>41711</v>
      </c>
      <c r="N10468" t="s">
        <v>44905</v>
      </c>
      <c r="O10468" t="s">
        <v>44906</v>
      </c>
      <c r="P10468">
        <v>0</v>
      </c>
      <c r="Q10468">
        <v>4</v>
      </c>
      <c r="R10468" t="s">
        <v>44915</v>
      </c>
      <c r="S10468" t="s">
        <v>45255</v>
      </c>
      <c r="T10468" t="s">
        <v>46433</v>
      </c>
      <c r="U10468" t="s">
        <v>55335</v>
      </c>
      <c r="W10468" t="s">
        <v>41711</v>
      </c>
      <c r="X10468" t="s">
        <v>44916</v>
      </c>
    </row>
    <row r="10469" spans="1:24">
      <c r="A10469">
        <f>HYPERLINK("https://www.philgeps.gov.ph/GEPSNONPILOT/Tender/SplashBidNoticeAbstractUI.aspx?menuIndex=3&amp;refID=7065086&amp;Result=3","7065086")</f>
        <v>0</v>
      </c>
      <c r="B10469" t="s">
        <v>440</v>
      </c>
      <c r="C10469" t="s">
        <v>13496</v>
      </c>
      <c r="D10469" t="s">
        <v>18154</v>
      </c>
      <c r="E10469" t="s">
        <v>27301</v>
      </c>
      <c r="F10469" t="s">
        <v>31362</v>
      </c>
      <c r="G10469" t="s">
        <v>31369</v>
      </c>
      <c r="H10469" t="s">
        <v>31378</v>
      </c>
      <c r="I10469" t="s">
        <v>31386</v>
      </c>
      <c r="J10469" t="s">
        <v>37911</v>
      </c>
      <c r="K10469" t="s">
        <v>40662</v>
      </c>
      <c r="M10469" t="s">
        <v>41604</v>
      </c>
      <c r="N10469" t="s">
        <v>44905</v>
      </c>
      <c r="O10469" t="s">
        <v>44906</v>
      </c>
      <c r="P10469">
        <v>0</v>
      </c>
      <c r="Q10469">
        <v>1</v>
      </c>
      <c r="R10469" t="s">
        <v>44915</v>
      </c>
      <c r="S10469" t="s">
        <v>45255</v>
      </c>
      <c r="T10469" t="s">
        <v>46392</v>
      </c>
      <c r="U10469" t="s">
        <v>55336</v>
      </c>
      <c r="W10469" t="s">
        <v>41604</v>
      </c>
      <c r="X10469" t="s">
        <v>44916</v>
      </c>
    </row>
    <row r="10470" spans="1:24">
      <c r="A10470">
        <f>HYPERLINK("https://www.philgeps.gov.ph/GEPSNONPILOT/Tender/SplashBidNoticeAbstractUI.aspx?menuIndex=3&amp;refID=7065097&amp;Result=3","7065097")</f>
        <v>0</v>
      </c>
      <c r="B10470" t="s">
        <v>2903</v>
      </c>
      <c r="C10470" t="s">
        <v>13497</v>
      </c>
      <c r="D10470" t="s">
        <v>18147</v>
      </c>
      <c r="E10470" t="s">
        <v>27302</v>
      </c>
      <c r="F10470" t="s">
        <v>31362</v>
      </c>
      <c r="G10470" t="s">
        <v>31369</v>
      </c>
      <c r="H10470" t="s">
        <v>31378</v>
      </c>
      <c r="I10470" t="s">
        <v>31386</v>
      </c>
      <c r="J10470" t="s">
        <v>37912</v>
      </c>
      <c r="K10470" t="s">
        <v>40665</v>
      </c>
      <c r="M10470" t="s">
        <v>44118</v>
      </c>
      <c r="N10470" t="s">
        <v>44905</v>
      </c>
      <c r="O10470" t="s">
        <v>44906</v>
      </c>
      <c r="P10470">
        <v>0</v>
      </c>
      <c r="Q10470">
        <v>0</v>
      </c>
      <c r="R10470" t="s">
        <v>44915</v>
      </c>
      <c r="S10470" t="s">
        <v>45255</v>
      </c>
      <c r="T10470" t="s">
        <v>46411</v>
      </c>
      <c r="U10470" t="s">
        <v>55337</v>
      </c>
      <c r="W10470" t="s">
        <v>44118</v>
      </c>
      <c r="X10470" t="s">
        <v>44916</v>
      </c>
    </row>
    <row r="10471" spans="1:24">
      <c r="A10471">
        <f>HYPERLINK("https://www.philgeps.gov.ph/GEPSNONPILOT/Tender/SplashBidNoticeAbstractUI.aspx?menuIndex=3&amp;refID=7065079&amp;Result=3","7065079")</f>
        <v>0</v>
      </c>
      <c r="B10471" t="s">
        <v>2904</v>
      </c>
      <c r="C10471" t="s">
        <v>13498</v>
      </c>
      <c r="D10471" t="s">
        <v>18135</v>
      </c>
      <c r="E10471" t="s">
        <v>27303</v>
      </c>
      <c r="F10471" t="s">
        <v>31362</v>
      </c>
      <c r="G10471" t="s">
        <v>31369</v>
      </c>
      <c r="H10471" t="s">
        <v>31378</v>
      </c>
      <c r="I10471" t="s">
        <v>31386</v>
      </c>
      <c r="J10471" t="s">
        <v>31586</v>
      </c>
      <c r="K10471" t="s">
        <v>40740</v>
      </c>
      <c r="M10471" t="s">
        <v>44119</v>
      </c>
      <c r="N10471" t="s">
        <v>44905</v>
      </c>
      <c r="O10471" t="s">
        <v>44906</v>
      </c>
      <c r="Q10471">
        <v>0</v>
      </c>
      <c r="R10471" t="s">
        <v>44915</v>
      </c>
      <c r="S10471" t="s">
        <v>45278</v>
      </c>
      <c r="T10471" t="s">
        <v>46533</v>
      </c>
      <c r="U10471" t="s">
        <v>55338</v>
      </c>
      <c r="V10471" t="s">
        <v>60184</v>
      </c>
      <c r="W10471" t="s">
        <v>44119</v>
      </c>
      <c r="X10471" t="s">
        <v>44916</v>
      </c>
    </row>
    <row r="10472" spans="1:24">
      <c r="A10472">
        <f>HYPERLINK("https://www.philgeps.gov.ph/GEPSNONPILOT/Tender/SplashBidNoticeAbstractUI.aspx?menuIndex=3&amp;refID=7065060&amp;Result=3","7065060")</f>
        <v>0</v>
      </c>
      <c r="B10472" t="s">
        <v>1777</v>
      </c>
      <c r="C10472" t="s">
        <v>13499</v>
      </c>
      <c r="D10472" t="s">
        <v>18109</v>
      </c>
      <c r="E10472" t="s">
        <v>27304</v>
      </c>
      <c r="F10472" t="s">
        <v>31362</v>
      </c>
      <c r="G10472" t="s">
        <v>31369</v>
      </c>
      <c r="H10472" t="s">
        <v>15799</v>
      </c>
      <c r="I10472" t="s">
        <v>3815</v>
      </c>
      <c r="J10472" t="s">
        <v>37913</v>
      </c>
      <c r="K10472" t="s">
        <v>40675</v>
      </c>
      <c r="M10472" t="s">
        <v>42857</v>
      </c>
      <c r="N10472" t="s">
        <v>44905</v>
      </c>
      <c r="O10472" t="s">
        <v>44906</v>
      </c>
      <c r="P10472">
        <v>0</v>
      </c>
      <c r="Q10472">
        <v>0</v>
      </c>
      <c r="R10472" t="s">
        <v>44915</v>
      </c>
      <c r="S10472" t="s">
        <v>45255</v>
      </c>
      <c r="T10472" t="s">
        <v>46470</v>
      </c>
      <c r="U10472" t="s">
        <v>55339</v>
      </c>
      <c r="V10472" t="s">
        <v>60185</v>
      </c>
      <c r="W10472" t="s">
        <v>42857</v>
      </c>
      <c r="X10472" t="s">
        <v>44916</v>
      </c>
    </row>
    <row r="10473" spans="1:24">
      <c r="A10473">
        <f>HYPERLINK("https://www.philgeps.gov.ph/GEPSNONPILOT/Tender/SplashBidNoticeAbstractUI.aspx?menuIndex=3&amp;refID=7065037&amp;Result=3","7065037")</f>
        <v>0</v>
      </c>
      <c r="B10473" t="s">
        <v>2905</v>
      </c>
      <c r="C10473" t="s">
        <v>13500</v>
      </c>
      <c r="D10473" t="s">
        <v>18127</v>
      </c>
      <c r="E10473" t="s">
        <v>27305</v>
      </c>
      <c r="F10473" t="s">
        <v>31362</v>
      </c>
      <c r="G10473" t="s">
        <v>31369</v>
      </c>
      <c r="H10473" t="s">
        <v>15799</v>
      </c>
      <c r="I10473" t="s">
        <v>31409</v>
      </c>
      <c r="J10473" t="s">
        <v>31531</v>
      </c>
      <c r="K10473" t="s">
        <v>40665</v>
      </c>
      <c r="M10473" t="s">
        <v>44120</v>
      </c>
      <c r="N10473" t="s">
        <v>44905</v>
      </c>
      <c r="O10473" t="s">
        <v>44906</v>
      </c>
      <c r="P10473">
        <v>0</v>
      </c>
      <c r="Q10473">
        <v>2</v>
      </c>
      <c r="R10473" t="s">
        <v>44915</v>
      </c>
      <c r="S10473" t="s">
        <v>45255</v>
      </c>
      <c r="T10473" t="s">
        <v>46486</v>
      </c>
      <c r="U10473" t="s">
        <v>55340</v>
      </c>
      <c r="W10473" t="s">
        <v>44120</v>
      </c>
      <c r="X10473" t="s">
        <v>44916</v>
      </c>
    </row>
    <row r="10474" spans="1:24">
      <c r="A10474">
        <f>HYPERLINK("https://www.philgeps.gov.ph/GEPSNONPILOT/Tender/SplashBidNoticeAbstractUI.aspx?menuIndex=3&amp;refID=7065095&amp;Result=3","7065095")</f>
        <v>0</v>
      </c>
      <c r="B10474" t="s">
        <v>270</v>
      </c>
      <c r="C10474" t="s">
        <v>13501</v>
      </c>
      <c r="D10474" t="s">
        <v>18166</v>
      </c>
      <c r="E10474" t="s">
        <v>27306</v>
      </c>
      <c r="F10474" t="s">
        <v>31362</v>
      </c>
      <c r="G10474" t="s">
        <v>31369</v>
      </c>
      <c r="H10474" t="s">
        <v>15799</v>
      </c>
      <c r="I10474" t="s">
        <v>3815</v>
      </c>
      <c r="J10474" t="s">
        <v>37914</v>
      </c>
      <c r="K10474" t="s">
        <v>40661</v>
      </c>
      <c r="M10474" t="s">
        <v>41212</v>
      </c>
      <c r="N10474" t="s">
        <v>44905</v>
      </c>
      <c r="O10474" t="s">
        <v>44906</v>
      </c>
      <c r="P10474">
        <v>0</v>
      </c>
      <c r="Q10474">
        <v>1</v>
      </c>
      <c r="R10474" t="s">
        <v>44915</v>
      </c>
      <c r="S10474" t="s">
        <v>45255</v>
      </c>
      <c r="T10474" t="s">
        <v>46462</v>
      </c>
      <c r="U10474" t="s">
        <v>55341</v>
      </c>
      <c r="W10474" t="s">
        <v>41212</v>
      </c>
      <c r="X10474" t="s">
        <v>44916</v>
      </c>
    </row>
    <row r="10475" spans="1:24">
      <c r="A10475">
        <f>HYPERLINK("https://www.philgeps.gov.ph/GEPSNONPILOT/Tender/SplashBidNoticeAbstractUI.aspx?menuIndex=3&amp;refID=7065220&amp;Result=3","7065220")</f>
        <v>0</v>
      </c>
      <c r="B10475" t="s">
        <v>2669</v>
      </c>
      <c r="C10475" t="s">
        <v>13502</v>
      </c>
      <c r="D10475" t="s">
        <v>18152</v>
      </c>
      <c r="E10475" t="s">
        <v>27307</v>
      </c>
      <c r="F10475" t="s">
        <v>31362</v>
      </c>
      <c r="G10475" t="s">
        <v>31368</v>
      </c>
      <c r="H10475" t="s">
        <v>15799</v>
      </c>
      <c r="I10475" t="s">
        <v>3815</v>
      </c>
      <c r="J10475" t="s">
        <v>37915</v>
      </c>
      <c r="K10475" t="s">
        <v>40666</v>
      </c>
      <c r="M10475" t="s">
        <v>43853</v>
      </c>
      <c r="N10475" t="s">
        <v>44905</v>
      </c>
      <c r="O10475" t="s">
        <v>44906</v>
      </c>
      <c r="Q10475">
        <v>1</v>
      </c>
      <c r="R10475" t="s">
        <v>44915</v>
      </c>
      <c r="S10475" t="s">
        <v>45279</v>
      </c>
      <c r="T10475" t="s">
        <v>46432</v>
      </c>
      <c r="U10475" t="s">
        <v>55342</v>
      </c>
      <c r="W10475" t="s">
        <v>43853</v>
      </c>
      <c r="X10475" t="s">
        <v>44916</v>
      </c>
    </row>
    <row r="10476" spans="1:24">
      <c r="A10476">
        <f>HYPERLINK("https://www.philgeps.gov.ph/GEPSNONPILOT/Tender/SplashBidNoticeAbstractUI.aspx?menuIndex=3&amp;refID=7065122&amp;Result=3","7065122")</f>
        <v>0</v>
      </c>
      <c r="B10476" t="s">
        <v>2520</v>
      </c>
      <c r="C10476" t="s">
        <v>13503</v>
      </c>
      <c r="D10476" t="s">
        <v>18107</v>
      </c>
      <c r="E10476" t="s">
        <v>27308</v>
      </c>
      <c r="F10476" t="s">
        <v>31362</v>
      </c>
      <c r="G10476" t="s">
        <v>31369</v>
      </c>
      <c r="H10476" t="s">
        <v>31378</v>
      </c>
      <c r="I10476" t="s">
        <v>31386</v>
      </c>
      <c r="J10476" t="s">
        <v>37916</v>
      </c>
      <c r="K10476" t="s">
        <v>40677</v>
      </c>
      <c r="M10476" t="s">
        <v>43689</v>
      </c>
      <c r="N10476" t="s">
        <v>44905</v>
      </c>
      <c r="O10476" t="s">
        <v>44906</v>
      </c>
      <c r="P10476">
        <v>0</v>
      </c>
      <c r="Q10476">
        <v>1</v>
      </c>
      <c r="R10476" t="s">
        <v>44915</v>
      </c>
      <c r="S10476" t="s">
        <v>45255</v>
      </c>
      <c r="T10476" t="s">
        <v>46524</v>
      </c>
      <c r="U10476" t="s">
        <v>55343</v>
      </c>
      <c r="W10476" t="s">
        <v>43689</v>
      </c>
      <c r="X10476" t="s">
        <v>44916</v>
      </c>
    </row>
    <row r="10477" spans="1:24">
      <c r="A10477">
        <f>HYPERLINK("https://www.philgeps.gov.ph/GEPSNONPILOT/Tender/SplashBidNoticeAbstractUI.aspx?menuIndex=3&amp;refID=7065028&amp;Result=3","7065028")</f>
        <v>0</v>
      </c>
      <c r="B10477" t="s">
        <v>1033</v>
      </c>
      <c r="C10477" t="s">
        <v>13504</v>
      </c>
      <c r="D10477" t="s">
        <v>18162</v>
      </c>
      <c r="E10477" t="s">
        <v>27309</v>
      </c>
      <c r="F10477" t="s">
        <v>31362</v>
      </c>
      <c r="G10477" t="s">
        <v>31369</v>
      </c>
      <c r="H10477" t="s">
        <v>15799</v>
      </c>
      <c r="I10477" t="s">
        <v>31385</v>
      </c>
      <c r="J10477" t="s">
        <v>37917</v>
      </c>
      <c r="K10477" t="s">
        <v>40670</v>
      </c>
      <c r="M10477" t="s">
        <v>42032</v>
      </c>
      <c r="N10477" t="s">
        <v>44905</v>
      </c>
      <c r="O10477" t="s">
        <v>44906</v>
      </c>
      <c r="P10477">
        <v>0</v>
      </c>
      <c r="Q10477">
        <v>0</v>
      </c>
      <c r="R10477" t="s">
        <v>44915</v>
      </c>
      <c r="S10477" t="s">
        <v>45255</v>
      </c>
      <c r="T10477" t="s">
        <v>46509</v>
      </c>
      <c r="U10477" t="s">
        <v>55344</v>
      </c>
      <c r="W10477" t="s">
        <v>42032</v>
      </c>
      <c r="X10477" t="s">
        <v>44916</v>
      </c>
    </row>
    <row r="10478" spans="1:24">
      <c r="A10478">
        <f>HYPERLINK("https://www.philgeps.gov.ph/GEPSNONPILOT/Tender/SplashBidNoticeAbstractUI.aspx?menuIndex=3&amp;refID=7065242&amp;Result=3","7065242")</f>
        <v>0</v>
      </c>
      <c r="B10478" t="s">
        <v>2906</v>
      </c>
      <c r="C10478" t="s">
        <v>13505</v>
      </c>
      <c r="D10478" t="s">
        <v>18107</v>
      </c>
      <c r="E10478" t="s">
        <v>27310</v>
      </c>
      <c r="F10478" t="s">
        <v>31362</v>
      </c>
      <c r="G10478" t="s">
        <v>31369</v>
      </c>
      <c r="H10478" t="s">
        <v>31378</v>
      </c>
      <c r="I10478" t="s">
        <v>3815</v>
      </c>
      <c r="J10478" t="s">
        <v>31709</v>
      </c>
      <c r="K10478" t="s">
        <v>40686</v>
      </c>
      <c r="M10478" t="s">
        <v>44121</v>
      </c>
      <c r="N10478" t="s">
        <v>44905</v>
      </c>
      <c r="O10478" t="s">
        <v>44906</v>
      </c>
      <c r="P10478">
        <v>0</v>
      </c>
      <c r="Q10478">
        <v>0</v>
      </c>
      <c r="R10478" t="s">
        <v>44915</v>
      </c>
      <c r="S10478" t="s">
        <v>45255</v>
      </c>
      <c r="T10478" t="s">
        <v>46524</v>
      </c>
      <c r="U10478" t="s">
        <v>55345</v>
      </c>
      <c r="W10478" t="s">
        <v>44121</v>
      </c>
      <c r="X10478" t="s">
        <v>44916</v>
      </c>
    </row>
    <row r="10479" spans="1:24">
      <c r="A10479">
        <f>HYPERLINK("https://www.philgeps.gov.ph/GEPSNONPILOT/Tender/SplashBidNoticeAbstractUI.aspx?menuIndex=3&amp;refID=7064702&amp;Result=3","7064702")</f>
        <v>0</v>
      </c>
      <c r="B10479" t="s">
        <v>375</v>
      </c>
      <c r="C10479" t="s">
        <v>13506</v>
      </c>
      <c r="D10479" t="s">
        <v>18177</v>
      </c>
      <c r="E10479" t="s">
        <v>27311</v>
      </c>
      <c r="F10479" t="s">
        <v>31362</v>
      </c>
      <c r="G10479" t="s">
        <v>31369</v>
      </c>
      <c r="H10479" t="s">
        <v>15799</v>
      </c>
      <c r="I10479" t="s">
        <v>31415</v>
      </c>
      <c r="J10479" t="s">
        <v>31687</v>
      </c>
      <c r="K10479" t="s">
        <v>40665</v>
      </c>
      <c r="M10479" t="s">
        <v>41322</v>
      </c>
      <c r="N10479" t="s">
        <v>44905</v>
      </c>
      <c r="O10479" t="s">
        <v>44906</v>
      </c>
      <c r="P10479">
        <v>0</v>
      </c>
      <c r="Q10479">
        <v>0</v>
      </c>
      <c r="R10479" t="s">
        <v>44915</v>
      </c>
      <c r="S10479" t="s">
        <v>45255</v>
      </c>
      <c r="T10479" t="s">
        <v>46393</v>
      </c>
      <c r="U10479" t="s">
        <v>55346</v>
      </c>
      <c r="W10479" t="s">
        <v>41322</v>
      </c>
      <c r="X10479" t="s">
        <v>44916</v>
      </c>
    </row>
    <row r="10480" spans="1:24">
      <c r="A10480">
        <f>HYPERLINK("https://www.philgeps.gov.ph/GEPSNONPILOT/Tender/SplashBidNoticeAbstractUI.aspx?menuIndex=3&amp;refID=7065224&amp;Result=3","7065224")</f>
        <v>0</v>
      </c>
      <c r="B10480" t="s">
        <v>2889</v>
      </c>
      <c r="C10480" t="s">
        <v>13507</v>
      </c>
      <c r="D10480" t="s">
        <v>18148</v>
      </c>
      <c r="E10480" t="s">
        <v>27312</v>
      </c>
      <c r="F10480" t="s">
        <v>31362</v>
      </c>
      <c r="G10480" t="s">
        <v>31369</v>
      </c>
      <c r="H10480" t="s">
        <v>31378</v>
      </c>
      <c r="I10480" t="s">
        <v>31386</v>
      </c>
      <c r="J10480" t="s">
        <v>37918</v>
      </c>
      <c r="K10480" t="s">
        <v>40666</v>
      </c>
      <c r="M10480" t="s">
        <v>44104</v>
      </c>
      <c r="N10480" t="s">
        <v>44905</v>
      </c>
      <c r="O10480" t="s">
        <v>44906</v>
      </c>
      <c r="P10480">
        <v>0</v>
      </c>
      <c r="Q10480">
        <v>1</v>
      </c>
      <c r="R10480" t="s">
        <v>44915</v>
      </c>
      <c r="S10480" t="s">
        <v>45255</v>
      </c>
      <c r="T10480" t="s">
        <v>46464</v>
      </c>
      <c r="U10480" t="s">
        <v>55347</v>
      </c>
      <c r="V10480" t="s">
        <v>60167</v>
      </c>
      <c r="W10480" t="s">
        <v>44104</v>
      </c>
      <c r="X10480" t="s">
        <v>44916</v>
      </c>
    </row>
    <row r="10481" spans="1:24">
      <c r="A10481">
        <f>HYPERLINK("https://www.philgeps.gov.ph/GEPSNONPILOT/Tender/SplashBidNoticeAbstractUI.aspx?menuIndex=3&amp;refID=7065248&amp;Result=3","7065248")</f>
        <v>0</v>
      </c>
      <c r="B10481" t="s">
        <v>2897</v>
      </c>
      <c r="C10481" t="s">
        <v>13508</v>
      </c>
      <c r="D10481" t="s">
        <v>18103</v>
      </c>
      <c r="E10481" t="s">
        <v>27313</v>
      </c>
      <c r="F10481" t="s">
        <v>31363</v>
      </c>
      <c r="G10481" t="s">
        <v>31369</v>
      </c>
      <c r="H10481" t="s">
        <v>31378</v>
      </c>
      <c r="I10481" t="s">
        <v>31386</v>
      </c>
      <c r="J10481" t="s">
        <v>31531</v>
      </c>
      <c r="K10481" t="s">
        <v>40665</v>
      </c>
      <c r="L10481" t="s">
        <v>2897</v>
      </c>
      <c r="M10481" t="s">
        <v>44112</v>
      </c>
      <c r="N10481" t="s">
        <v>44905</v>
      </c>
      <c r="O10481" t="s">
        <v>44906</v>
      </c>
      <c r="P10481">
        <v>0</v>
      </c>
      <c r="Q10481">
        <v>1</v>
      </c>
      <c r="R10481" t="s">
        <v>44915</v>
      </c>
      <c r="S10481" t="s">
        <v>45255</v>
      </c>
      <c r="T10481" t="s">
        <v>46504</v>
      </c>
      <c r="U10481" t="s">
        <v>55348</v>
      </c>
      <c r="W10481" t="s">
        <v>44112</v>
      </c>
      <c r="X10481" t="s">
        <v>44916</v>
      </c>
    </row>
    <row r="10482" spans="1:24">
      <c r="A10482">
        <f>HYPERLINK("https://www.philgeps.gov.ph/GEPSNONPILOT/Tender/SplashBidNoticeAbstractUI.aspx?menuIndex=3&amp;refID=7065201&amp;Result=3","7065201")</f>
        <v>0</v>
      </c>
      <c r="B10482" t="s">
        <v>2907</v>
      </c>
      <c r="C10482" t="s">
        <v>13509</v>
      </c>
      <c r="D10482" t="s">
        <v>18158</v>
      </c>
      <c r="E10482" t="s">
        <v>27314</v>
      </c>
      <c r="F10482" t="s">
        <v>31362</v>
      </c>
      <c r="G10482" t="s">
        <v>31369</v>
      </c>
      <c r="H10482" t="s">
        <v>31378</v>
      </c>
      <c r="I10482" t="s">
        <v>31386</v>
      </c>
      <c r="J10482" t="s">
        <v>37919</v>
      </c>
      <c r="K10482" t="s">
        <v>40682</v>
      </c>
      <c r="M10482" t="s">
        <v>44122</v>
      </c>
      <c r="N10482" t="s">
        <v>44905</v>
      </c>
      <c r="O10482" t="s">
        <v>44906</v>
      </c>
      <c r="P10482">
        <v>0</v>
      </c>
      <c r="Q10482">
        <v>0</v>
      </c>
      <c r="R10482" t="s">
        <v>44915</v>
      </c>
      <c r="S10482" t="s">
        <v>45255</v>
      </c>
      <c r="T10482" t="s">
        <v>46392</v>
      </c>
      <c r="U10482" t="s">
        <v>55349</v>
      </c>
      <c r="W10482" t="s">
        <v>44122</v>
      </c>
      <c r="X10482" t="s">
        <v>44916</v>
      </c>
    </row>
    <row r="10483" spans="1:24">
      <c r="A10483">
        <f>HYPERLINK("https://www.philgeps.gov.ph/GEPSNONPILOT/Tender/SplashBidNoticeAbstractUI.aspx?menuIndex=3&amp;refID=7065217&amp;Result=3","7065217")</f>
        <v>0</v>
      </c>
      <c r="B10483" t="s">
        <v>2906</v>
      </c>
      <c r="C10483" t="s">
        <v>13510</v>
      </c>
      <c r="D10483" t="s">
        <v>18107</v>
      </c>
      <c r="E10483" t="s">
        <v>27315</v>
      </c>
      <c r="F10483" t="s">
        <v>31362</v>
      </c>
      <c r="G10483" t="s">
        <v>31369</v>
      </c>
      <c r="H10483" t="s">
        <v>31378</v>
      </c>
      <c r="I10483" t="s">
        <v>3815</v>
      </c>
      <c r="J10483" t="s">
        <v>37920</v>
      </c>
      <c r="K10483" t="s">
        <v>40686</v>
      </c>
      <c r="M10483" t="s">
        <v>44121</v>
      </c>
      <c r="N10483" t="s">
        <v>44905</v>
      </c>
      <c r="O10483" t="s">
        <v>44906</v>
      </c>
      <c r="P10483">
        <v>0</v>
      </c>
      <c r="Q10483">
        <v>1</v>
      </c>
      <c r="R10483" t="s">
        <v>44915</v>
      </c>
      <c r="S10483" t="s">
        <v>45255</v>
      </c>
      <c r="T10483" t="s">
        <v>46524</v>
      </c>
      <c r="U10483" t="s">
        <v>55350</v>
      </c>
      <c r="W10483" t="s">
        <v>44121</v>
      </c>
      <c r="X10483" t="s">
        <v>44916</v>
      </c>
    </row>
    <row r="10484" spans="1:24">
      <c r="A10484">
        <f>HYPERLINK("https://www.philgeps.gov.ph/GEPSNONPILOT/Tender/SplashBidNoticeAbstractUI.aspx?menuIndex=3&amp;refID=7065198&amp;Result=3","7065198")</f>
        <v>0</v>
      </c>
      <c r="B10484" t="s">
        <v>2908</v>
      </c>
      <c r="C10484" t="s">
        <v>13511</v>
      </c>
      <c r="D10484" t="s">
        <v>18149</v>
      </c>
      <c r="E10484" t="s">
        <v>27316</v>
      </c>
      <c r="F10484" t="s">
        <v>31362</v>
      </c>
      <c r="G10484" t="s">
        <v>31372</v>
      </c>
      <c r="H10484" t="s">
        <v>15799</v>
      </c>
      <c r="I10484" t="s">
        <v>31414</v>
      </c>
      <c r="J10484" t="s">
        <v>31625</v>
      </c>
      <c r="K10484" t="s">
        <v>40677</v>
      </c>
      <c r="M10484" t="s">
        <v>44123</v>
      </c>
      <c r="N10484" t="s">
        <v>44905</v>
      </c>
      <c r="O10484" t="s">
        <v>44906</v>
      </c>
      <c r="P10484">
        <v>0</v>
      </c>
      <c r="Q10484">
        <v>7</v>
      </c>
      <c r="R10484" t="s">
        <v>44915</v>
      </c>
      <c r="S10484" t="s">
        <v>45255</v>
      </c>
      <c r="T10484" t="s">
        <v>46504</v>
      </c>
      <c r="U10484" t="s">
        <v>55351</v>
      </c>
      <c r="W10484" t="s">
        <v>44123</v>
      </c>
      <c r="X10484" t="s">
        <v>44916</v>
      </c>
    </row>
    <row r="10485" spans="1:24">
      <c r="A10485">
        <f>HYPERLINK("https://www.philgeps.gov.ph/GEPSNONPILOT/Tender/SplashBidNoticeAbstractUI.aspx?menuIndex=3&amp;refID=7065197&amp;Result=3","7065197")</f>
        <v>0</v>
      </c>
      <c r="B10485" t="s">
        <v>1033</v>
      </c>
      <c r="C10485" t="s">
        <v>13512</v>
      </c>
      <c r="D10485" t="s">
        <v>18162</v>
      </c>
      <c r="E10485" t="s">
        <v>27317</v>
      </c>
      <c r="F10485" t="s">
        <v>31362</v>
      </c>
      <c r="G10485" t="s">
        <v>31369</v>
      </c>
      <c r="H10485" t="s">
        <v>15799</v>
      </c>
      <c r="I10485" t="s">
        <v>31385</v>
      </c>
      <c r="J10485" t="s">
        <v>37921</v>
      </c>
      <c r="K10485" t="s">
        <v>40670</v>
      </c>
      <c r="M10485" t="s">
        <v>42032</v>
      </c>
      <c r="N10485" t="s">
        <v>44905</v>
      </c>
      <c r="O10485" t="s">
        <v>44906</v>
      </c>
      <c r="P10485">
        <v>0</v>
      </c>
      <c r="Q10485">
        <v>0</v>
      </c>
      <c r="R10485" t="s">
        <v>44915</v>
      </c>
      <c r="S10485" t="s">
        <v>45255</v>
      </c>
      <c r="T10485" t="s">
        <v>46509</v>
      </c>
      <c r="U10485" t="s">
        <v>55352</v>
      </c>
      <c r="W10485" t="s">
        <v>42032</v>
      </c>
      <c r="X10485" t="s">
        <v>44916</v>
      </c>
    </row>
    <row r="10486" spans="1:24">
      <c r="A10486">
        <f>HYPERLINK("https://www.philgeps.gov.ph/GEPSNONPILOT/Tender/SplashBidNoticeAbstractUI.aspx?menuIndex=3&amp;refID=7065187&amp;Result=3","7065187")</f>
        <v>0</v>
      </c>
      <c r="B10486" t="s">
        <v>34</v>
      </c>
      <c r="C10486" t="s">
        <v>13513</v>
      </c>
      <c r="D10486" t="s">
        <v>18107</v>
      </c>
      <c r="E10486" t="s">
        <v>20718</v>
      </c>
      <c r="F10486" t="s">
        <v>31362</v>
      </c>
      <c r="G10486" t="s">
        <v>31369</v>
      </c>
      <c r="H10486" t="s">
        <v>31378</v>
      </c>
      <c r="I10486" t="s">
        <v>31386</v>
      </c>
      <c r="J10486" t="s">
        <v>37922</v>
      </c>
      <c r="K10486" t="s">
        <v>40679</v>
      </c>
      <c r="M10486" t="s">
        <v>40968</v>
      </c>
      <c r="N10486" t="s">
        <v>44905</v>
      </c>
      <c r="O10486" t="s">
        <v>44906</v>
      </c>
      <c r="P10486">
        <v>0</v>
      </c>
      <c r="Q10486">
        <v>0</v>
      </c>
      <c r="R10486" t="s">
        <v>44915</v>
      </c>
      <c r="S10486" t="s">
        <v>45255</v>
      </c>
      <c r="T10486" t="s">
        <v>46511</v>
      </c>
      <c r="U10486" t="s">
        <v>55353</v>
      </c>
      <c r="V10486" t="s">
        <v>60186</v>
      </c>
      <c r="W10486" t="s">
        <v>40968</v>
      </c>
      <c r="X10486" t="s">
        <v>44916</v>
      </c>
    </row>
    <row r="10487" spans="1:24">
      <c r="A10487">
        <f>HYPERLINK("https://www.philgeps.gov.ph/GEPSNONPILOT/Tender/SplashBidNoticeAbstractUI.aspx?menuIndex=3&amp;refID=7065216&amp;Result=3","7065216")</f>
        <v>0</v>
      </c>
      <c r="B10487" t="s">
        <v>2909</v>
      </c>
      <c r="C10487" t="s">
        <v>13514</v>
      </c>
      <c r="D10487" t="s">
        <v>18176</v>
      </c>
      <c r="E10487" t="s">
        <v>22679</v>
      </c>
      <c r="F10487" t="s">
        <v>31362</v>
      </c>
      <c r="G10487" t="s">
        <v>31370</v>
      </c>
      <c r="H10487" t="s">
        <v>15799</v>
      </c>
      <c r="I10487" t="s">
        <v>31427</v>
      </c>
      <c r="J10487" t="s">
        <v>31604</v>
      </c>
      <c r="K10487" t="s">
        <v>40661</v>
      </c>
      <c r="M10487" t="s">
        <v>44124</v>
      </c>
      <c r="N10487" t="s">
        <v>44905</v>
      </c>
      <c r="O10487" t="s">
        <v>44906</v>
      </c>
      <c r="P10487">
        <v>0</v>
      </c>
      <c r="Q10487">
        <v>6</v>
      </c>
      <c r="R10487" t="s">
        <v>44915</v>
      </c>
      <c r="S10487" t="s">
        <v>45255</v>
      </c>
      <c r="T10487" t="s">
        <v>46432</v>
      </c>
      <c r="U10487" t="s">
        <v>55354</v>
      </c>
      <c r="W10487" t="s">
        <v>44124</v>
      </c>
      <c r="X10487" t="s">
        <v>44916</v>
      </c>
    </row>
    <row r="10488" spans="1:24">
      <c r="A10488">
        <f>HYPERLINK("https://www.philgeps.gov.ph/GEPSNONPILOT/Tender/SplashBidNoticeAbstractUI.aspx?menuIndex=3&amp;refID=7064945&amp;Result=3","7064945")</f>
        <v>0</v>
      </c>
      <c r="B10488" t="s">
        <v>2900</v>
      </c>
      <c r="C10488" t="s">
        <v>13515</v>
      </c>
      <c r="D10488" t="s">
        <v>18102</v>
      </c>
      <c r="E10488" t="s">
        <v>27318</v>
      </c>
      <c r="F10488" t="s">
        <v>31362</v>
      </c>
      <c r="G10488" t="s">
        <v>31369</v>
      </c>
      <c r="H10488" t="s">
        <v>31378</v>
      </c>
      <c r="I10488" t="s">
        <v>31386</v>
      </c>
      <c r="J10488" t="s">
        <v>31625</v>
      </c>
      <c r="K10488" t="s">
        <v>40676</v>
      </c>
      <c r="M10488" t="s">
        <v>44115</v>
      </c>
      <c r="N10488" t="s">
        <v>44905</v>
      </c>
      <c r="O10488" t="s">
        <v>44906</v>
      </c>
      <c r="P10488">
        <v>0</v>
      </c>
      <c r="Q10488">
        <v>0</v>
      </c>
      <c r="R10488" t="s">
        <v>44915</v>
      </c>
      <c r="S10488" t="s">
        <v>45255</v>
      </c>
      <c r="T10488" t="s">
        <v>46391</v>
      </c>
      <c r="U10488" t="s">
        <v>55326</v>
      </c>
      <c r="W10488" t="s">
        <v>44115</v>
      </c>
      <c r="X10488" t="s">
        <v>44916</v>
      </c>
    </row>
    <row r="10489" spans="1:24">
      <c r="A10489">
        <f>HYPERLINK("https://www.philgeps.gov.ph/GEPSNONPILOT/Tender/SplashBidNoticeAbstractUI.aspx?menuIndex=3&amp;refID=7065180&amp;Result=3","7065180")</f>
        <v>0</v>
      </c>
      <c r="B10489" t="s">
        <v>2910</v>
      </c>
      <c r="C10489" t="s">
        <v>13516</v>
      </c>
      <c r="D10489" t="s">
        <v>18171</v>
      </c>
      <c r="E10489" t="s">
        <v>27319</v>
      </c>
      <c r="F10489" t="s">
        <v>31362</v>
      </c>
      <c r="G10489" t="s">
        <v>31370</v>
      </c>
      <c r="H10489" t="s">
        <v>15799</v>
      </c>
      <c r="I10489" t="s">
        <v>7188</v>
      </c>
      <c r="J10489" t="s">
        <v>31866</v>
      </c>
      <c r="K10489" t="s">
        <v>40662</v>
      </c>
      <c r="M10489" t="s">
        <v>44125</v>
      </c>
      <c r="N10489" t="s">
        <v>44905</v>
      </c>
      <c r="O10489" t="s">
        <v>44906</v>
      </c>
      <c r="P10489">
        <v>0</v>
      </c>
      <c r="Q10489">
        <v>3</v>
      </c>
      <c r="R10489" t="s">
        <v>44915</v>
      </c>
      <c r="S10489" t="s">
        <v>45255</v>
      </c>
      <c r="T10489" t="s">
        <v>46427</v>
      </c>
      <c r="U10489" t="s">
        <v>55355</v>
      </c>
      <c r="W10489" t="s">
        <v>44125</v>
      </c>
      <c r="X10489" t="s">
        <v>44916</v>
      </c>
    </row>
    <row r="10490" spans="1:24">
      <c r="A10490">
        <f>HYPERLINK("https://www.philgeps.gov.ph/GEPSNONPILOT/Tender/SplashBidNoticeAbstractUI.aspx?menuIndex=3&amp;refID=7065168&amp;Result=3","7065168")</f>
        <v>0</v>
      </c>
      <c r="B10490" t="s">
        <v>631</v>
      </c>
      <c r="C10490" t="s">
        <v>13517</v>
      </c>
      <c r="D10490" t="s">
        <v>18148</v>
      </c>
      <c r="E10490" t="s">
        <v>27320</v>
      </c>
      <c r="F10490" t="s">
        <v>31362</v>
      </c>
      <c r="G10490" t="s">
        <v>31368</v>
      </c>
      <c r="H10490" t="s">
        <v>31377</v>
      </c>
      <c r="I10490" t="s">
        <v>31377</v>
      </c>
      <c r="J10490" t="s">
        <v>37923</v>
      </c>
      <c r="K10490" t="s">
        <v>40758</v>
      </c>
      <c r="M10490" t="s">
        <v>44126</v>
      </c>
      <c r="N10490" t="s">
        <v>44905</v>
      </c>
      <c r="O10490" t="s">
        <v>44906</v>
      </c>
      <c r="P10490">
        <v>0</v>
      </c>
      <c r="Q10490">
        <v>1</v>
      </c>
      <c r="R10490" t="s">
        <v>44915</v>
      </c>
      <c r="S10490" t="s">
        <v>45255</v>
      </c>
      <c r="T10490" t="s">
        <v>46478</v>
      </c>
      <c r="U10490" t="s">
        <v>55356</v>
      </c>
      <c r="W10490" t="s">
        <v>44126</v>
      </c>
      <c r="X10490" t="s">
        <v>44916</v>
      </c>
    </row>
    <row r="10491" spans="1:24">
      <c r="A10491">
        <f>HYPERLINK("https://www.philgeps.gov.ph/GEPSNONPILOT/Tender/SplashBidNoticeAbstractUI.aspx?menuIndex=3&amp;refID=7065237&amp;Result=3","7065237")</f>
        <v>0</v>
      </c>
      <c r="B10491" t="s">
        <v>1765</v>
      </c>
      <c r="C10491" t="s">
        <v>13518</v>
      </c>
      <c r="D10491" t="s">
        <v>18178</v>
      </c>
      <c r="E10491" t="s">
        <v>19359</v>
      </c>
      <c r="F10491" t="s">
        <v>31362</v>
      </c>
      <c r="G10491" t="s">
        <v>31369</v>
      </c>
      <c r="H10491" t="s">
        <v>31378</v>
      </c>
      <c r="I10491" t="s">
        <v>31386</v>
      </c>
      <c r="J10491" t="s">
        <v>37924</v>
      </c>
      <c r="K10491" t="s">
        <v>40662</v>
      </c>
      <c r="M10491" t="s">
        <v>42844</v>
      </c>
      <c r="N10491" t="s">
        <v>44905</v>
      </c>
      <c r="O10491" t="s">
        <v>44906</v>
      </c>
      <c r="P10491">
        <v>0</v>
      </c>
      <c r="Q10491">
        <v>0</v>
      </c>
      <c r="R10491" t="s">
        <v>44915</v>
      </c>
      <c r="S10491" t="s">
        <v>45255</v>
      </c>
      <c r="T10491" t="s">
        <v>46524</v>
      </c>
      <c r="U10491" t="s">
        <v>55357</v>
      </c>
      <c r="W10491" t="s">
        <v>60910</v>
      </c>
      <c r="X10491" t="s">
        <v>44916</v>
      </c>
    </row>
    <row r="10492" spans="1:24">
      <c r="A10492">
        <f>HYPERLINK("https://www.philgeps.gov.ph/GEPSNONPILOT/Tender/SplashBidNoticeAbstractUI.aspx?menuIndex=3&amp;refID=7065264&amp;Result=3","7065264")</f>
        <v>0</v>
      </c>
      <c r="B10492" t="s">
        <v>2911</v>
      </c>
      <c r="C10492" t="s">
        <v>13519</v>
      </c>
      <c r="D10492" t="s">
        <v>18105</v>
      </c>
      <c r="E10492" t="s">
        <v>27321</v>
      </c>
      <c r="F10492" t="s">
        <v>31362</v>
      </c>
      <c r="G10492" t="s">
        <v>31369</v>
      </c>
      <c r="H10492" t="s">
        <v>31378</v>
      </c>
      <c r="I10492" t="s">
        <v>31386</v>
      </c>
      <c r="J10492" t="s">
        <v>31536</v>
      </c>
      <c r="K10492" t="s">
        <v>40666</v>
      </c>
      <c r="M10492" t="s">
        <v>44127</v>
      </c>
      <c r="N10492" t="s">
        <v>44905</v>
      </c>
      <c r="O10492" t="s">
        <v>44906</v>
      </c>
      <c r="P10492">
        <v>0</v>
      </c>
      <c r="Q10492">
        <v>0</v>
      </c>
      <c r="R10492" t="s">
        <v>44915</v>
      </c>
      <c r="S10492" t="s">
        <v>45255</v>
      </c>
      <c r="T10492" t="s">
        <v>46418</v>
      </c>
      <c r="U10492" t="s">
        <v>55358</v>
      </c>
      <c r="W10492" t="s">
        <v>44127</v>
      </c>
      <c r="X10492" t="s">
        <v>44916</v>
      </c>
    </row>
    <row r="10493" spans="1:24">
      <c r="A10493">
        <f>HYPERLINK("https://www.philgeps.gov.ph/GEPSNONPILOT/Tender/SplashBidNoticeAbstractUI.aspx?menuIndex=3&amp;refID=7065195&amp;Result=3","7065195")</f>
        <v>0</v>
      </c>
      <c r="B10493" t="s">
        <v>2912</v>
      </c>
      <c r="C10493" t="s">
        <v>13520</v>
      </c>
      <c r="D10493" t="s">
        <v>18151</v>
      </c>
      <c r="E10493" t="s">
        <v>27322</v>
      </c>
      <c r="F10493" t="s">
        <v>31362</v>
      </c>
      <c r="G10493" t="s">
        <v>31368</v>
      </c>
      <c r="H10493" t="s">
        <v>15799</v>
      </c>
      <c r="I10493" t="s">
        <v>31392</v>
      </c>
      <c r="J10493" t="s">
        <v>37925</v>
      </c>
      <c r="K10493" t="s">
        <v>40661</v>
      </c>
      <c r="M10493" t="s">
        <v>44128</v>
      </c>
      <c r="N10493" t="s">
        <v>44905</v>
      </c>
      <c r="O10493" t="s">
        <v>44906</v>
      </c>
      <c r="P10493">
        <v>0</v>
      </c>
      <c r="Q10493">
        <v>3</v>
      </c>
      <c r="R10493" t="s">
        <v>44915</v>
      </c>
      <c r="S10493" t="s">
        <v>45255</v>
      </c>
      <c r="T10493" t="s">
        <v>46412</v>
      </c>
      <c r="U10493" t="s">
        <v>55359</v>
      </c>
      <c r="V10493" t="s">
        <v>59591</v>
      </c>
      <c r="W10493" t="s">
        <v>44128</v>
      </c>
      <c r="X10493" t="s">
        <v>44916</v>
      </c>
    </row>
    <row r="10494" spans="1:24">
      <c r="A10494">
        <f>HYPERLINK("https://www.philgeps.gov.ph/GEPSNONPILOT/Tender/SplashBidNoticeAbstractUI.aspx?menuIndex=3&amp;refID=7065348&amp;Result=3","7065348")</f>
        <v>0</v>
      </c>
      <c r="B10494" t="s">
        <v>179</v>
      </c>
      <c r="C10494" t="s">
        <v>13521</v>
      </c>
      <c r="D10494" t="s">
        <v>18155</v>
      </c>
      <c r="E10494" t="s">
        <v>27323</v>
      </c>
      <c r="F10494" t="s">
        <v>31362</v>
      </c>
      <c r="G10494" t="s">
        <v>31368</v>
      </c>
      <c r="H10494" t="s">
        <v>15799</v>
      </c>
      <c r="I10494" t="s">
        <v>31410</v>
      </c>
      <c r="J10494" t="s">
        <v>37926</v>
      </c>
      <c r="K10494" t="s">
        <v>40662</v>
      </c>
      <c r="M10494" t="s">
        <v>41117</v>
      </c>
      <c r="N10494" t="s">
        <v>44905</v>
      </c>
      <c r="O10494" t="s">
        <v>44906</v>
      </c>
      <c r="P10494">
        <v>0</v>
      </c>
      <c r="Q10494">
        <v>0</v>
      </c>
      <c r="R10494" t="s">
        <v>44915</v>
      </c>
      <c r="S10494" t="s">
        <v>45255</v>
      </c>
      <c r="T10494" t="s">
        <v>46583</v>
      </c>
      <c r="U10494" t="s">
        <v>55360</v>
      </c>
      <c r="V10494" t="s">
        <v>59091</v>
      </c>
      <c r="W10494" t="s">
        <v>60838</v>
      </c>
      <c r="X10494" t="s">
        <v>44916</v>
      </c>
    </row>
    <row r="10495" spans="1:24">
      <c r="A10495">
        <f>HYPERLINK("https://www.philgeps.gov.ph/GEPSNONPILOT/Tender/SplashBidNoticeAbstractUI.aspx?menuIndex=3&amp;refID=7065339&amp;Result=3","7065339")</f>
        <v>0</v>
      </c>
      <c r="B10495" t="s">
        <v>2913</v>
      </c>
      <c r="C10495" t="s">
        <v>13522</v>
      </c>
      <c r="D10495" t="s">
        <v>18101</v>
      </c>
      <c r="E10495" t="s">
        <v>27324</v>
      </c>
      <c r="F10495" t="s">
        <v>31362</v>
      </c>
      <c r="G10495" t="s">
        <v>31369</v>
      </c>
      <c r="H10495" t="s">
        <v>31378</v>
      </c>
      <c r="I10495" t="s">
        <v>31386</v>
      </c>
      <c r="J10495" t="s">
        <v>37927</v>
      </c>
      <c r="K10495" t="s">
        <v>40682</v>
      </c>
      <c r="M10495" t="s">
        <v>44129</v>
      </c>
      <c r="N10495" t="s">
        <v>44905</v>
      </c>
      <c r="O10495" t="s">
        <v>44906</v>
      </c>
      <c r="P10495">
        <v>0</v>
      </c>
      <c r="Q10495">
        <v>0</v>
      </c>
      <c r="R10495" t="s">
        <v>44915</v>
      </c>
      <c r="S10495" t="s">
        <v>45255</v>
      </c>
      <c r="T10495" t="s">
        <v>46519</v>
      </c>
      <c r="U10495" t="s">
        <v>55361</v>
      </c>
      <c r="W10495" t="s">
        <v>44129</v>
      </c>
      <c r="X10495" t="s">
        <v>44916</v>
      </c>
    </row>
    <row r="10496" spans="1:24">
      <c r="A10496">
        <f>HYPERLINK("https://www.philgeps.gov.ph/GEPSNONPILOT/Tender/SplashBidNoticeAbstractUI.aspx?menuIndex=3&amp;refID=7065080&amp;Result=3","7065080")</f>
        <v>0</v>
      </c>
      <c r="B10496" t="s">
        <v>2827</v>
      </c>
      <c r="C10496" t="s">
        <v>13523</v>
      </c>
      <c r="D10496" t="s">
        <v>18112</v>
      </c>
      <c r="E10496" t="s">
        <v>27325</v>
      </c>
      <c r="F10496" t="s">
        <v>31362</v>
      </c>
      <c r="G10496" t="s">
        <v>31369</v>
      </c>
      <c r="H10496" t="s">
        <v>31378</v>
      </c>
      <c r="I10496" t="s">
        <v>31386</v>
      </c>
      <c r="J10496" t="s">
        <v>31641</v>
      </c>
      <c r="K10496" t="s">
        <v>40679</v>
      </c>
      <c r="M10496" t="s">
        <v>44027</v>
      </c>
      <c r="N10496" t="s">
        <v>44905</v>
      </c>
      <c r="O10496" t="s">
        <v>44906</v>
      </c>
      <c r="P10496">
        <v>0</v>
      </c>
      <c r="Q10496">
        <v>0</v>
      </c>
      <c r="R10496" t="s">
        <v>44915</v>
      </c>
      <c r="S10496" t="s">
        <v>45255</v>
      </c>
      <c r="T10496" t="s">
        <v>46392</v>
      </c>
      <c r="U10496" t="s">
        <v>55362</v>
      </c>
      <c r="V10496" t="s">
        <v>60187</v>
      </c>
      <c r="W10496" t="s">
        <v>44027</v>
      </c>
      <c r="X10496" t="s">
        <v>44916</v>
      </c>
    </row>
    <row r="10497" spans="1:24">
      <c r="A10497">
        <f>HYPERLINK("https://www.philgeps.gov.ph/GEPSNONPILOT/Tender/SplashBidNoticeAbstractUI.aspx?menuIndex=3&amp;refID=7065327&amp;Result=3","7065327")</f>
        <v>0</v>
      </c>
      <c r="B10497" t="s">
        <v>2914</v>
      </c>
      <c r="C10497" t="s">
        <v>13524</v>
      </c>
      <c r="D10497" t="s">
        <v>18153</v>
      </c>
      <c r="E10497" t="s">
        <v>18553</v>
      </c>
      <c r="F10497" t="s">
        <v>31363</v>
      </c>
      <c r="G10497" t="s">
        <v>31369</v>
      </c>
      <c r="H10497" t="s">
        <v>15799</v>
      </c>
      <c r="I10497" t="s">
        <v>3815</v>
      </c>
      <c r="J10497" t="s">
        <v>37928</v>
      </c>
      <c r="K10497" t="s">
        <v>40686</v>
      </c>
      <c r="M10497" t="s">
        <v>44130</v>
      </c>
      <c r="N10497" t="s">
        <v>44905</v>
      </c>
      <c r="O10497" t="s">
        <v>44906</v>
      </c>
      <c r="P10497">
        <v>0</v>
      </c>
      <c r="Q10497">
        <v>0</v>
      </c>
      <c r="R10497" t="s">
        <v>44915</v>
      </c>
      <c r="S10497" t="s">
        <v>45255</v>
      </c>
      <c r="T10497" t="s">
        <v>46397</v>
      </c>
      <c r="U10497" t="s">
        <v>55363</v>
      </c>
      <c r="W10497" t="s">
        <v>44130</v>
      </c>
      <c r="X10497" t="s">
        <v>44916</v>
      </c>
    </row>
    <row r="10498" spans="1:24">
      <c r="A10498">
        <f>HYPERLINK("https://www.philgeps.gov.ph/GEPSNONPILOT/Tender/SplashBidNoticeAbstractUI.aspx?menuIndex=3&amp;refID=7065160&amp;Result=3","7065160")</f>
        <v>0</v>
      </c>
      <c r="B10498" t="s">
        <v>2789</v>
      </c>
      <c r="C10498" t="s">
        <v>13525</v>
      </c>
      <c r="D10498" t="s">
        <v>18134</v>
      </c>
      <c r="E10498" t="s">
        <v>27326</v>
      </c>
      <c r="F10498" t="s">
        <v>31362</v>
      </c>
      <c r="G10498" t="s">
        <v>31368</v>
      </c>
      <c r="H10498" t="s">
        <v>15799</v>
      </c>
      <c r="I10498" t="s">
        <v>13635</v>
      </c>
      <c r="J10498" t="s">
        <v>37929</v>
      </c>
      <c r="K10498" t="s">
        <v>40666</v>
      </c>
      <c r="M10498" t="s">
        <v>43986</v>
      </c>
      <c r="N10498" t="s">
        <v>44905</v>
      </c>
      <c r="O10498" t="s">
        <v>44906</v>
      </c>
      <c r="P10498">
        <v>0</v>
      </c>
      <c r="Q10498">
        <v>1</v>
      </c>
      <c r="R10498" t="s">
        <v>44915</v>
      </c>
      <c r="S10498" t="s">
        <v>45255</v>
      </c>
      <c r="T10498" t="s">
        <v>46470</v>
      </c>
      <c r="U10498" t="s">
        <v>55364</v>
      </c>
      <c r="W10498" t="s">
        <v>43986</v>
      </c>
      <c r="X10498" t="s">
        <v>44916</v>
      </c>
    </row>
    <row r="10499" spans="1:24">
      <c r="A10499">
        <f>HYPERLINK("https://www.philgeps.gov.ph/GEPSNONPILOT/Tender/SplashBidNoticeAbstractUI.aspx?menuIndex=3&amp;refID=7065326&amp;Result=3","7065326")</f>
        <v>0</v>
      </c>
      <c r="B10499" t="s">
        <v>2915</v>
      </c>
      <c r="C10499" t="s">
        <v>13526</v>
      </c>
      <c r="D10499" t="s">
        <v>18142</v>
      </c>
      <c r="E10499" t="s">
        <v>27327</v>
      </c>
      <c r="F10499" t="s">
        <v>31362</v>
      </c>
      <c r="G10499" t="s">
        <v>31369</v>
      </c>
      <c r="H10499" t="s">
        <v>31378</v>
      </c>
      <c r="I10499" t="s">
        <v>31386</v>
      </c>
      <c r="J10499" t="s">
        <v>37930</v>
      </c>
      <c r="K10499" t="s">
        <v>40785</v>
      </c>
      <c r="L10499" t="s">
        <v>2915</v>
      </c>
      <c r="M10499" t="s">
        <v>44131</v>
      </c>
      <c r="N10499" t="s">
        <v>44905</v>
      </c>
      <c r="O10499" t="s">
        <v>44906</v>
      </c>
      <c r="P10499">
        <v>0</v>
      </c>
      <c r="Q10499">
        <v>0</v>
      </c>
      <c r="R10499" t="s">
        <v>44915</v>
      </c>
      <c r="S10499" t="s">
        <v>45255</v>
      </c>
      <c r="T10499" t="s">
        <v>46392</v>
      </c>
      <c r="U10499" t="s">
        <v>55365</v>
      </c>
      <c r="V10499" t="s">
        <v>60188</v>
      </c>
      <c r="W10499" t="s">
        <v>44131</v>
      </c>
      <c r="X10499" t="s">
        <v>44916</v>
      </c>
    </row>
    <row r="10500" spans="1:24">
      <c r="A10500">
        <f>HYPERLINK("https://www.philgeps.gov.ph/GEPSNONPILOT/Tender/SplashBidNoticeAbstractUI.aspx?menuIndex=3&amp;refID=7065322&amp;Result=3","7065322")</f>
        <v>0</v>
      </c>
      <c r="B10500" t="s">
        <v>2916</v>
      </c>
      <c r="C10500" t="s">
        <v>13527</v>
      </c>
      <c r="D10500" t="s">
        <v>18109</v>
      </c>
      <c r="E10500" t="s">
        <v>27328</v>
      </c>
      <c r="F10500" t="s">
        <v>31362</v>
      </c>
      <c r="G10500" t="s">
        <v>31369</v>
      </c>
      <c r="H10500" t="s">
        <v>15799</v>
      </c>
      <c r="I10500" t="s">
        <v>3815</v>
      </c>
      <c r="J10500" t="s">
        <v>37931</v>
      </c>
      <c r="K10500" t="s">
        <v>40697</v>
      </c>
      <c r="M10500" t="s">
        <v>44132</v>
      </c>
      <c r="N10500" t="s">
        <v>44905</v>
      </c>
      <c r="O10500" t="s">
        <v>44906</v>
      </c>
      <c r="P10500">
        <v>0</v>
      </c>
      <c r="Q10500">
        <v>0</v>
      </c>
      <c r="R10500" t="s">
        <v>44915</v>
      </c>
      <c r="S10500" t="s">
        <v>45255</v>
      </c>
      <c r="T10500" t="s">
        <v>46418</v>
      </c>
      <c r="U10500" t="s">
        <v>55366</v>
      </c>
      <c r="W10500" t="s">
        <v>44132</v>
      </c>
      <c r="X10500" t="s">
        <v>44916</v>
      </c>
    </row>
    <row r="10501" spans="1:24">
      <c r="A10501">
        <f>HYPERLINK("https://www.philgeps.gov.ph/GEPSNONPILOT/Tender/SplashBidNoticeAbstractUI.aspx?menuIndex=3&amp;refID=7065212&amp;Result=3","7065212")</f>
        <v>0</v>
      </c>
      <c r="B10501" t="s">
        <v>2903</v>
      </c>
      <c r="C10501" t="s">
        <v>13528</v>
      </c>
      <c r="D10501" t="s">
        <v>18147</v>
      </c>
      <c r="E10501" t="s">
        <v>27329</v>
      </c>
      <c r="F10501" t="s">
        <v>31362</v>
      </c>
      <c r="G10501" t="s">
        <v>31369</v>
      </c>
      <c r="H10501" t="s">
        <v>31378</v>
      </c>
      <c r="I10501" t="s">
        <v>31386</v>
      </c>
      <c r="J10501" t="s">
        <v>37932</v>
      </c>
      <c r="K10501" t="s">
        <v>40679</v>
      </c>
      <c r="M10501" t="s">
        <v>44118</v>
      </c>
      <c r="N10501" t="s">
        <v>44905</v>
      </c>
      <c r="O10501" t="s">
        <v>44906</v>
      </c>
      <c r="P10501">
        <v>0</v>
      </c>
      <c r="Q10501">
        <v>0</v>
      </c>
      <c r="R10501" t="s">
        <v>44915</v>
      </c>
      <c r="S10501" t="s">
        <v>45255</v>
      </c>
      <c r="T10501" t="s">
        <v>46671</v>
      </c>
      <c r="U10501" t="s">
        <v>55367</v>
      </c>
      <c r="W10501" t="s">
        <v>44118</v>
      </c>
      <c r="X10501" t="s">
        <v>44916</v>
      </c>
    </row>
    <row r="10502" spans="1:24">
      <c r="A10502">
        <f>HYPERLINK("https://www.philgeps.gov.ph/GEPSNONPILOT/Tender/SplashBidNoticeAbstractUI.aspx?menuIndex=3&amp;refID=7065315&amp;Result=3","7065315")</f>
        <v>0</v>
      </c>
      <c r="B10502" t="s">
        <v>2917</v>
      </c>
      <c r="C10502" t="s">
        <v>13529</v>
      </c>
      <c r="D10502" t="s">
        <v>18109</v>
      </c>
      <c r="E10502" t="s">
        <v>25839</v>
      </c>
      <c r="F10502" t="s">
        <v>31362</v>
      </c>
      <c r="G10502" t="s">
        <v>31370</v>
      </c>
      <c r="H10502" t="s">
        <v>31379</v>
      </c>
      <c r="I10502" t="s">
        <v>31390</v>
      </c>
      <c r="J10502" t="s">
        <v>37933</v>
      </c>
      <c r="K10502" t="s">
        <v>40672</v>
      </c>
      <c r="M10502" t="s">
        <v>44133</v>
      </c>
      <c r="N10502" t="s">
        <v>44905</v>
      </c>
      <c r="O10502" t="s">
        <v>44906</v>
      </c>
      <c r="P10502">
        <v>0</v>
      </c>
      <c r="Q10502">
        <v>2</v>
      </c>
      <c r="R10502" t="s">
        <v>44915</v>
      </c>
      <c r="S10502" t="s">
        <v>45255</v>
      </c>
      <c r="T10502" t="s">
        <v>46427</v>
      </c>
      <c r="U10502" t="s">
        <v>55368</v>
      </c>
      <c r="W10502" t="s">
        <v>44133</v>
      </c>
      <c r="X10502" t="s">
        <v>44916</v>
      </c>
    </row>
    <row r="10503" spans="1:24">
      <c r="A10503">
        <f>HYPERLINK("https://www.philgeps.gov.ph/GEPSNONPILOT/Tender/SplashBidNoticeAbstractUI.aspx?menuIndex=3&amp;refID=7065340&amp;Result=3","7065340")</f>
        <v>0</v>
      </c>
      <c r="B10503" t="s">
        <v>2918</v>
      </c>
      <c r="C10503" t="s">
        <v>13530</v>
      </c>
      <c r="D10503" t="s">
        <v>18118</v>
      </c>
      <c r="E10503" t="s">
        <v>27330</v>
      </c>
      <c r="F10503" t="s">
        <v>31362</v>
      </c>
      <c r="G10503" t="s">
        <v>31369</v>
      </c>
      <c r="H10503" t="s">
        <v>31378</v>
      </c>
      <c r="I10503" t="s">
        <v>31386</v>
      </c>
      <c r="J10503" t="s">
        <v>37934</v>
      </c>
      <c r="K10503" t="s">
        <v>40679</v>
      </c>
      <c r="M10503" t="s">
        <v>44134</v>
      </c>
      <c r="N10503" t="s">
        <v>44905</v>
      </c>
      <c r="O10503" t="s">
        <v>44906</v>
      </c>
      <c r="P10503">
        <v>0</v>
      </c>
      <c r="Q10503">
        <v>0</v>
      </c>
      <c r="R10503" t="s">
        <v>44915</v>
      </c>
      <c r="S10503" t="s">
        <v>45255</v>
      </c>
      <c r="T10503" t="s">
        <v>46392</v>
      </c>
      <c r="U10503" t="s">
        <v>55369</v>
      </c>
      <c r="W10503" t="s">
        <v>44134</v>
      </c>
      <c r="X10503" t="s">
        <v>44916</v>
      </c>
    </row>
    <row r="10504" spans="1:24">
      <c r="A10504">
        <f>HYPERLINK("https://www.philgeps.gov.ph/GEPSNONPILOT/Tender/SplashBidNoticeAbstractUI.aspx?menuIndex=3&amp;refID=7065305&amp;Result=3","7065305")</f>
        <v>0</v>
      </c>
      <c r="B10504" t="s">
        <v>2919</v>
      </c>
      <c r="C10504" t="s">
        <v>13531</v>
      </c>
      <c r="D10504" t="s">
        <v>18140</v>
      </c>
      <c r="E10504" t="s">
        <v>27331</v>
      </c>
      <c r="F10504" t="s">
        <v>31362</v>
      </c>
      <c r="G10504" t="s">
        <v>31369</v>
      </c>
      <c r="H10504" t="s">
        <v>15799</v>
      </c>
      <c r="I10504" t="s">
        <v>3815</v>
      </c>
      <c r="J10504" t="s">
        <v>33888</v>
      </c>
      <c r="K10504" t="s">
        <v>40661</v>
      </c>
      <c r="L10504" t="s">
        <v>2919</v>
      </c>
      <c r="M10504" t="s">
        <v>44135</v>
      </c>
      <c r="N10504" t="s">
        <v>44905</v>
      </c>
      <c r="O10504" t="s">
        <v>44906</v>
      </c>
      <c r="P10504">
        <v>0</v>
      </c>
      <c r="Q10504">
        <v>1</v>
      </c>
      <c r="R10504" t="s">
        <v>44915</v>
      </c>
      <c r="S10504" t="s">
        <v>45255</v>
      </c>
      <c r="T10504" t="s">
        <v>46409</v>
      </c>
      <c r="U10504" t="s">
        <v>55370</v>
      </c>
      <c r="V10504" t="s">
        <v>60189</v>
      </c>
      <c r="W10504" t="s">
        <v>44135</v>
      </c>
      <c r="X10504" t="s">
        <v>44916</v>
      </c>
    </row>
    <row r="10505" spans="1:24">
      <c r="A10505">
        <f>HYPERLINK("https://www.philgeps.gov.ph/GEPSNONPILOT/Tender/SplashBidNoticeAbstractUI.aspx?menuIndex=3&amp;refID=7064224&amp;Result=3","7064224")</f>
        <v>0</v>
      </c>
      <c r="B10505" t="s">
        <v>2920</v>
      </c>
      <c r="C10505" t="s">
        <v>13532</v>
      </c>
      <c r="D10505" t="s">
        <v>18167</v>
      </c>
      <c r="E10505" t="s">
        <v>18203</v>
      </c>
      <c r="F10505" t="s">
        <v>31362</v>
      </c>
      <c r="G10505" t="s">
        <v>31369</v>
      </c>
      <c r="H10505" t="s">
        <v>31378</v>
      </c>
      <c r="I10505" t="s">
        <v>31386</v>
      </c>
      <c r="J10505" t="s">
        <v>37935</v>
      </c>
      <c r="K10505" t="s">
        <v>40696</v>
      </c>
      <c r="M10505" t="s">
        <v>44136</v>
      </c>
      <c r="N10505" t="s">
        <v>44905</v>
      </c>
      <c r="O10505" t="s">
        <v>44906</v>
      </c>
      <c r="P10505">
        <v>0</v>
      </c>
      <c r="Q10505">
        <v>0</v>
      </c>
      <c r="R10505" t="s">
        <v>44915</v>
      </c>
      <c r="S10505" t="s">
        <v>45255</v>
      </c>
      <c r="T10505" t="s">
        <v>46524</v>
      </c>
      <c r="U10505" t="s">
        <v>55371</v>
      </c>
      <c r="V10505" t="s">
        <v>60190</v>
      </c>
      <c r="W10505" t="s">
        <v>44136</v>
      </c>
      <c r="X10505" t="s">
        <v>44917</v>
      </c>
    </row>
    <row r="10506" spans="1:24">
      <c r="A10506">
        <f>HYPERLINK("https://www.philgeps.gov.ph/GEPSNONPILOT/Tender/SplashBidNoticeAbstractUI.aspx?menuIndex=3&amp;refID=7065297&amp;Result=3","7065297")</f>
        <v>0</v>
      </c>
      <c r="B10506" t="s">
        <v>2921</v>
      </c>
      <c r="C10506" t="s">
        <v>13533</v>
      </c>
      <c r="D10506" t="s">
        <v>18164</v>
      </c>
      <c r="E10506" t="s">
        <v>27332</v>
      </c>
      <c r="F10506" t="s">
        <v>31362</v>
      </c>
      <c r="G10506" t="s">
        <v>31369</v>
      </c>
      <c r="H10506" t="s">
        <v>31378</v>
      </c>
      <c r="I10506" t="s">
        <v>31386</v>
      </c>
      <c r="J10506" t="s">
        <v>37936</v>
      </c>
      <c r="K10506" t="s">
        <v>40665</v>
      </c>
      <c r="M10506" t="s">
        <v>44137</v>
      </c>
      <c r="N10506" t="s">
        <v>44905</v>
      </c>
      <c r="O10506" t="s">
        <v>44906</v>
      </c>
      <c r="P10506">
        <v>0</v>
      </c>
      <c r="Q10506">
        <v>0</v>
      </c>
      <c r="R10506" t="s">
        <v>44915</v>
      </c>
      <c r="S10506" t="s">
        <v>45255</v>
      </c>
      <c r="T10506" t="s">
        <v>46481</v>
      </c>
      <c r="U10506" t="s">
        <v>55372</v>
      </c>
      <c r="W10506" t="s">
        <v>44137</v>
      </c>
      <c r="X10506" t="s">
        <v>44916</v>
      </c>
    </row>
    <row r="10507" spans="1:24">
      <c r="A10507">
        <f>HYPERLINK("https://www.philgeps.gov.ph/GEPSNONPILOT/Tender/SplashBidNoticeAbstractUI.aspx?menuIndex=3&amp;refID=7065288&amp;Result=3","7065288")</f>
        <v>0</v>
      </c>
      <c r="B10507" t="s">
        <v>1033</v>
      </c>
      <c r="C10507" t="s">
        <v>13534</v>
      </c>
      <c r="D10507" t="s">
        <v>18162</v>
      </c>
      <c r="E10507" t="s">
        <v>27333</v>
      </c>
      <c r="F10507" t="s">
        <v>31362</v>
      </c>
      <c r="G10507" t="s">
        <v>31369</v>
      </c>
      <c r="H10507" t="s">
        <v>15799</v>
      </c>
      <c r="I10507" t="s">
        <v>31385</v>
      </c>
      <c r="J10507" t="s">
        <v>37937</v>
      </c>
      <c r="K10507" t="s">
        <v>40670</v>
      </c>
      <c r="M10507" t="s">
        <v>42032</v>
      </c>
      <c r="N10507" t="s">
        <v>44905</v>
      </c>
      <c r="O10507" t="s">
        <v>44906</v>
      </c>
      <c r="P10507">
        <v>0</v>
      </c>
      <c r="Q10507">
        <v>0</v>
      </c>
      <c r="R10507" t="s">
        <v>44915</v>
      </c>
      <c r="S10507" t="s">
        <v>45255</v>
      </c>
      <c r="T10507" t="s">
        <v>46509</v>
      </c>
      <c r="U10507" t="s">
        <v>55373</v>
      </c>
      <c r="W10507" t="s">
        <v>42032</v>
      </c>
      <c r="X10507" t="s">
        <v>44916</v>
      </c>
    </row>
    <row r="10508" spans="1:24">
      <c r="A10508">
        <f>HYPERLINK("https://www.philgeps.gov.ph/GEPSNONPILOT/Tender/SplashBidNoticeAbstractUI.aspx?menuIndex=3&amp;refID=7065363&amp;Result=3","7065363")</f>
        <v>0</v>
      </c>
      <c r="B10508" t="s">
        <v>2900</v>
      </c>
      <c r="C10508" t="s">
        <v>13535</v>
      </c>
      <c r="D10508" t="s">
        <v>18102</v>
      </c>
      <c r="E10508" t="s">
        <v>27334</v>
      </c>
      <c r="F10508" t="s">
        <v>31362</v>
      </c>
      <c r="G10508" t="s">
        <v>31369</v>
      </c>
      <c r="H10508" t="s">
        <v>15799</v>
      </c>
      <c r="I10508" t="s">
        <v>31457</v>
      </c>
      <c r="J10508" t="s">
        <v>31591</v>
      </c>
      <c r="K10508" t="s">
        <v>40666</v>
      </c>
      <c r="M10508" t="s">
        <v>44115</v>
      </c>
      <c r="N10508" t="s">
        <v>44905</v>
      </c>
      <c r="O10508" t="s">
        <v>44906</v>
      </c>
      <c r="P10508">
        <v>0</v>
      </c>
      <c r="Q10508">
        <v>6</v>
      </c>
      <c r="R10508" t="s">
        <v>44915</v>
      </c>
      <c r="S10508" t="s">
        <v>45255</v>
      </c>
      <c r="T10508" t="s">
        <v>46391</v>
      </c>
      <c r="U10508" t="s">
        <v>55326</v>
      </c>
      <c r="W10508" t="s">
        <v>44115</v>
      </c>
      <c r="X10508" t="s">
        <v>44916</v>
      </c>
    </row>
    <row r="10509" spans="1:24">
      <c r="A10509">
        <f>HYPERLINK("https://www.philgeps.gov.ph/GEPSNONPILOT/Tender/SplashBidNoticeAbstractUI.aspx?menuIndex=3&amp;refID=7065428&amp;Result=3","7065428")</f>
        <v>0</v>
      </c>
      <c r="B10509" t="s">
        <v>179</v>
      </c>
      <c r="C10509" t="s">
        <v>13536</v>
      </c>
      <c r="D10509" t="s">
        <v>18155</v>
      </c>
      <c r="E10509" t="s">
        <v>27335</v>
      </c>
      <c r="F10509" t="s">
        <v>31362</v>
      </c>
      <c r="G10509" t="s">
        <v>31368</v>
      </c>
      <c r="H10509" t="s">
        <v>15799</v>
      </c>
      <c r="I10509" t="s">
        <v>31437</v>
      </c>
      <c r="J10509" t="s">
        <v>31543</v>
      </c>
      <c r="K10509" t="s">
        <v>40665</v>
      </c>
      <c r="M10509" t="s">
        <v>41117</v>
      </c>
      <c r="N10509" t="s">
        <v>44905</v>
      </c>
      <c r="O10509" t="s">
        <v>44906</v>
      </c>
      <c r="P10509">
        <v>0</v>
      </c>
      <c r="Q10509">
        <v>3</v>
      </c>
      <c r="R10509" t="s">
        <v>44915</v>
      </c>
      <c r="S10509" t="s">
        <v>45255</v>
      </c>
      <c r="T10509" t="s">
        <v>46583</v>
      </c>
      <c r="U10509" t="s">
        <v>55374</v>
      </c>
      <c r="V10509" t="s">
        <v>59091</v>
      </c>
      <c r="W10509" t="s">
        <v>60838</v>
      </c>
      <c r="X10509" t="s">
        <v>44916</v>
      </c>
    </row>
    <row r="10510" spans="1:24">
      <c r="A10510">
        <f>HYPERLINK("https://www.philgeps.gov.ph/GEPSNONPILOT/Tender/SplashBidNoticeAbstractUI.aspx?menuIndex=3&amp;refID=7065456&amp;Result=3","7065456")</f>
        <v>0</v>
      </c>
      <c r="B10510" t="s">
        <v>211</v>
      </c>
      <c r="C10510" t="s">
        <v>13537</v>
      </c>
      <c r="D10510" t="s">
        <v>18161</v>
      </c>
      <c r="E10510" t="s">
        <v>27336</v>
      </c>
      <c r="F10510" t="s">
        <v>31362</v>
      </c>
      <c r="G10510" t="s">
        <v>31369</v>
      </c>
      <c r="H10510" t="s">
        <v>31378</v>
      </c>
      <c r="I10510" t="s">
        <v>31386</v>
      </c>
      <c r="J10510" t="s">
        <v>34023</v>
      </c>
      <c r="K10510" t="s">
        <v>40686</v>
      </c>
      <c r="M10510" t="s">
        <v>41150</v>
      </c>
      <c r="N10510" t="s">
        <v>44905</v>
      </c>
      <c r="O10510" t="s">
        <v>44906</v>
      </c>
      <c r="P10510">
        <v>0</v>
      </c>
      <c r="Q10510">
        <v>4</v>
      </c>
      <c r="R10510" t="s">
        <v>44915</v>
      </c>
      <c r="S10510" t="s">
        <v>45255</v>
      </c>
      <c r="T10510" t="s">
        <v>46392</v>
      </c>
      <c r="U10510" t="s">
        <v>55375</v>
      </c>
      <c r="V10510" t="s">
        <v>60191</v>
      </c>
      <c r="W10510" t="s">
        <v>41150</v>
      </c>
      <c r="X10510" t="s">
        <v>44916</v>
      </c>
    </row>
    <row r="10511" spans="1:24">
      <c r="A10511">
        <f>HYPERLINK("https://www.philgeps.gov.ph/GEPSNONPILOT/Tender/SplashBidNoticeAbstractUI.aspx?menuIndex=3&amp;refID=7065452&amp;Result=3","7065452")</f>
        <v>0</v>
      </c>
      <c r="B10511" t="s">
        <v>2922</v>
      </c>
      <c r="C10511" t="s">
        <v>13538</v>
      </c>
      <c r="D10511" t="s">
        <v>18173</v>
      </c>
      <c r="E10511" t="s">
        <v>27337</v>
      </c>
      <c r="F10511" t="s">
        <v>31362</v>
      </c>
      <c r="G10511" t="s">
        <v>31369</v>
      </c>
      <c r="H10511" t="s">
        <v>15799</v>
      </c>
      <c r="I10511" t="s">
        <v>3815</v>
      </c>
      <c r="J10511" t="s">
        <v>31578</v>
      </c>
      <c r="K10511" t="s">
        <v>40665</v>
      </c>
      <c r="M10511" t="s">
        <v>44138</v>
      </c>
      <c r="N10511" t="s">
        <v>44905</v>
      </c>
      <c r="O10511" t="s">
        <v>44906</v>
      </c>
      <c r="P10511">
        <v>0</v>
      </c>
      <c r="Q10511">
        <v>1</v>
      </c>
      <c r="R10511" t="s">
        <v>44915</v>
      </c>
      <c r="S10511" t="s">
        <v>45255</v>
      </c>
      <c r="T10511" t="s">
        <v>46560</v>
      </c>
      <c r="U10511" t="s">
        <v>55376</v>
      </c>
      <c r="V10511" t="s">
        <v>60192</v>
      </c>
      <c r="W10511" t="s">
        <v>44138</v>
      </c>
      <c r="X10511" t="s">
        <v>44916</v>
      </c>
    </row>
    <row r="10512" spans="1:24">
      <c r="A10512">
        <f>HYPERLINK("https://www.philgeps.gov.ph/GEPSNONPILOT/Tender/SplashBidNoticeAbstractUI.aspx?menuIndex=3&amp;refID=7065321&amp;Result=3","7065321")</f>
        <v>0</v>
      </c>
      <c r="B10512" t="s">
        <v>744</v>
      </c>
      <c r="C10512" t="s">
        <v>13539</v>
      </c>
      <c r="D10512" t="s">
        <v>18148</v>
      </c>
      <c r="E10512" t="s">
        <v>27338</v>
      </c>
      <c r="F10512" t="s">
        <v>31362</v>
      </c>
      <c r="G10512" t="s">
        <v>31369</v>
      </c>
      <c r="H10512" t="s">
        <v>15799</v>
      </c>
      <c r="I10512" t="s">
        <v>31398</v>
      </c>
      <c r="J10512" t="s">
        <v>31602</v>
      </c>
      <c r="K10512" t="s">
        <v>40679</v>
      </c>
      <c r="M10512" t="s">
        <v>41711</v>
      </c>
      <c r="N10512" t="s">
        <v>44905</v>
      </c>
      <c r="O10512" t="s">
        <v>44906</v>
      </c>
      <c r="P10512">
        <v>0</v>
      </c>
      <c r="Q10512">
        <v>6</v>
      </c>
      <c r="R10512" t="s">
        <v>44915</v>
      </c>
      <c r="S10512" t="s">
        <v>45255</v>
      </c>
      <c r="T10512" t="s">
        <v>46433</v>
      </c>
      <c r="U10512" t="s">
        <v>55377</v>
      </c>
      <c r="W10512" t="s">
        <v>41711</v>
      </c>
      <c r="X10512" t="s">
        <v>44916</v>
      </c>
    </row>
    <row r="10513" spans="1:24">
      <c r="A10513">
        <f>HYPERLINK("https://www.philgeps.gov.ph/GEPSNONPILOT/Tender/SplashBidNoticeAbstractUI.aspx?menuIndex=3&amp;refID=7065444&amp;Result=3","7065444")</f>
        <v>0</v>
      </c>
      <c r="B10513" t="s">
        <v>2923</v>
      </c>
      <c r="C10513" t="s">
        <v>6507</v>
      </c>
      <c r="D10513" t="s">
        <v>18108</v>
      </c>
      <c r="E10513" t="s">
        <v>27339</v>
      </c>
      <c r="F10513" t="s">
        <v>31362</v>
      </c>
      <c r="G10513" t="s">
        <v>31369</v>
      </c>
      <c r="H10513" t="s">
        <v>15799</v>
      </c>
      <c r="I10513" t="s">
        <v>31399</v>
      </c>
      <c r="J10513" t="s">
        <v>31531</v>
      </c>
      <c r="K10513" t="s">
        <v>40661</v>
      </c>
      <c r="M10513" t="s">
        <v>44139</v>
      </c>
      <c r="N10513" t="s">
        <v>44905</v>
      </c>
      <c r="O10513" t="s">
        <v>44906</v>
      </c>
      <c r="P10513">
        <v>0</v>
      </c>
      <c r="Q10513">
        <v>10</v>
      </c>
      <c r="R10513" t="s">
        <v>44915</v>
      </c>
      <c r="S10513" t="s">
        <v>45255</v>
      </c>
      <c r="T10513" t="s">
        <v>46819</v>
      </c>
      <c r="U10513" t="s">
        <v>55378</v>
      </c>
      <c r="W10513" t="s">
        <v>44139</v>
      </c>
      <c r="X10513" t="s">
        <v>44916</v>
      </c>
    </row>
    <row r="10514" spans="1:24">
      <c r="A10514">
        <f>HYPERLINK("https://www.philgeps.gov.ph/GEPSNONPILOT/Tender/SplashBidNoticeAbstractUI.aspx?menuIndex=3&amp;refID=7065318&amp;Result=3","7065318")</f>
        <v>0</v>
      </c>
      <c r="B10514" t="s">
        <v>2895</v>
      </c>
      <c r="C10514" t="s">
        <v>13540</v>
      </c>
      <c r="D10514" t="s">
        <v>18138</v>
      </c>
      <c r="E10514" t="s">
        <v>23248</v>
      </c>
      <c r="F10514" t="s">
        <v>31362</v>
      </c>
      <c r="G10514" t="s">
        <v>31369</v>
      </c>
      <c r="H10514" t="s">
        <v>15799</v>
      </c>
      <c r="I10514" t="s">
        <v>31430</v>
      </c>
      <c r="J10514" t="s">
        <v>31987</v>
      </c>
      <c r="K10514" t="s">
        <v>40677</v>
      </c>
      <c r="M10514" t="s">
        <v>44110</v>
      </c>
      <c r="N10514" t="s">
        <v>44905</v>
      </c>
      <c r="O10514" t="s">
        <v>44906</v>
      </c>
      <c r="P10514">
        <v>0</v>
      </c>
      <c r="Q10514">
        <v>1</v>
      </c>
      <c r="R10514" t="s">
        <v>44915</v>
      </c>
      <c r="S10514" t="s">
        <v>45255</v>
      </c>
      <c r="T10514" t="s">
        <v>46484</v>
      </c>
      <c r="U10514" t="s">
        <v>55379</v>
      </c>
      <c r="V10514" t="s">
        <v>60177</v>
      </c>
      <c r="W10514" t="s">
        <v>44110</v>
      </c>
      <c r="X10514" t="s">
        <v>44916</v>
      </c>
    </row>
    <row r="10515" spans="1:24">
      <c r="A10515">
        <f>HYPERLINK("https://www.philgeps.gov.ph/GEPSNONPILOT/Tender/SplashBidNoticeAbstractUI.aspx?menuIndex=3&amp;refID=7065313&amp;Result=3","7065313")</f>
        <v>0</v>
      </c>
      <c r="B10515" t="s">
        <v>249</v>
      </c>
      <c r="C10515" t="s">
        <v>13541</v>
      </c>
      <c r="D10515" t="s">
        <v>18110</v>
      </c>
      <c r="E10515" t="s">
        <v>27340</v>
      </c>
      <c r="F10515" t="s">
        <v>31362</v>
      </c>
      <c r="G10515" t="s">
        <v>31371</v>
      </c>
      <c r="H10515" t="s">
        <v>15799</v>
      </c>
      <c r="I10515" t="s">
        <v>31393</v>
      </c>
      <c r="J10515" t="s">
        <v>32105</v>
      </c>
      <c r="K10515" t="s">
        <v>40662</v>
      </c>
      <c r="M10515" t="s">
        <v>41188</v>
      </c>
      <c r="N10515" t="s">
        <v>44905</v>
      </c>
      <c r="O10515" t="s">
        <v>44906</v>
      </c>
      <c r="Q10515">
        <v>8</v>
      </c>
      <c r="R10515" t="s">
        <v>44915</v>
      </c>
      <c r="S10515" t="s">
        <v>45280</v>
      </c>
      <c r="T10515" t="s">
        <v>46435</v>
      </c>
      <c r="U10515" t="s">
        <v>47345</v>
      </c>
      <c r="W10515" t="s">
        <v>41188</v>
      </c>
      <c r="X10515" t="s">
        <v>44916</v>
      </c>
    </row>
    <row r="10516" spans="1:24">
      <c r="A10516">
        <f>HYPERLINK("https://www.philgeps.gov.ph/GEPSNONPILOT/Tender/SplashBidNoticeAbstractUI.aspx?menuIndex=3&amp;refID=7065421&amp;Result=3","7065421")</f>
        <v>0</v>
      </c>
      <c r="B10516" t="s">
        <v>2924</v>
      </c>
      <c r="C10516" t="s">
        <v>13542</v>
      </c>
      <c r="D10516" t="s">
        <v>18116</v>
      </c>
      <c r="E10516" t="s">
        <v>27341</v>
      </c>
      <c r="F10516" t="s">
        <v>31362</v>
      </c>
      <c r="G10516" t="s">
        <v>31369</v>
      </c>
      <c r="H10516" t="s">
        <v>31378</v>
      </c>
      <c r="I10516" t="s">
        <v>31386</v>
      </c>
      <c r="J10516" t="s">
        <v>31536</v>
      </c>
      <c r="K10516" t="s">
        <v>40670</v>
      </c>
      <c r="M10516" t="s">
        <v>44140</v>
      </c>
      <c r="N10516" t="s">
        <v>44905</v>
      </c>
      <c r="O10516" t="s">
        <v>44906</v>
      </c>
      <c r="P10516">
        <v>0</v>
      </c>
      <c r="Q10516">
        <v>0</v>
      </c>
      <c r="R10516" t="s">
        <v>44915</v>
      </c>
      <c r="S10516" t="s">
        <v>45255</v>
      </c>
      <c r="T10516" t="s">
        <v>46490</v>
      </c>
      <c r="U10516" t="s">
        <v>55380</v>
      </c>
      <c r="V10516" t="s">
        <v>60193</v>
      </c>
      <c r="W10516" t="s">
        <v>44140</v>
      </c>
      <c r="X10516" t="s">
        <v>44916</v>
      </c>
    </row>
    <row r="10517" spans="1:24">
      <c r="A10517">
        <f>HYPERLINK("https://www.philgeps.gov.ph/GEPSNONPILOT/Tender/SplashBidNoticeAbstractUI.aspx?menuIndex=3&amp;refID=7065329&amp;Result=3","7065329")</f>
        <v>0</v>
      </c>
      <c r="B10517" t="s">
        <v>880</v>
      </c>
      <c r="C10517" t="s">
        <v>13543</v>
      </c>
      <c r="D10517" t="s">
        <v>18139</v>
      </c>
      <c r="E10517" t="s">
        <v>27342</v>
      </c>
      <c r="F10517" t="s">
        <v>31362</v>
      </c>
      <c r="G10517" t="s">
        <v>31369</v>
      </c>
      <c r="H10517" t="s">
        <v>15799</v>
      </c>
      <c r="I10517" t="s">
        <v>7719</v>
      </c>
      <c r="J10517" t="s">
        <v>37938</v>
      </c>
      <c r="K10517" t="s">
        <v>40679</v>
      </c>
      <c r="M10517" t="s">
        <v>44141</v>
      </c>
      <c r="N10517" t="s">
        <v>44905</v>
      </c>
      <c r="O10517" t="s">
        <v>44906</v>
      </c>
      <c r="Q10517">
        <v>11</v>
      </c>
      <c r="R10517" t="s">
        <v>44915</v>
      </c>
      <c r="S10517" t="s">
        <v>45281</v>
      </c>
      <c r="T10517" t="s">
        <v>46659</v>
      </c>
      <c r="U10517" t="s">
        <v>55381</v>
      </c>
      <c r="W10517" t="s">
        <v>41857</v>
      </c>
      <c r="X10517" t="s">
        <v>44916</v>
      </c>
    </row>
    <row r="10518" spans="1:24">
      <c r="A10518">
        <f>HYPERLINK("https://www.philgeps.gov.ph/GEPSNONPILOT/Tender/SplashBidNoticeAbstractUI.aspx?menuIndex=3&amp;refID=7065420&amp;Result=3","7065420")</f>
        <v>0</v>
      </c>
      <c r="B10518" t="s">
        <v>2925</v>
      </c>
      <c r="C10518" t="s">
        <v>13544</v>
      </c>
      <c r="D10518" t="s">
        <v>18109</v>
      </c>
      <c r="E10518" t="s">
        <v>27343</v>
      </c>
      <c r="F10518" t="s">
        <v>31362</v>
      </c>
      <c r="G10518" t="s">
        <v>31368</v>
      </c>
      <c r="H10518" t="s">
        <v>15799</v>
      </c>
      <c r="I10518" t="s">
        <v>3815</v>
      </c>
      <c r="J10518" t="s">
        <v>37939</v>
      </c>
      <c r="K10518" t="s">
        <v>40666</v>
      </c>
      <c r="M10518" t="s">
        <v>44142</v>
      </c>
      <c r="N10518" t="s">
        <v>44905</v>
      </c>
      <c r="O10518" t="s">
        <v>44906</v>
      </c>
      <c r="P10518">
        <v>0</v>
      </c>
      <c r="Q10518">
        <v>2</v>
      </c>
      <c r="R10518" t="s">
        <v>44915</v>
      </c>
      <c r="S10518" t="s">
        <v>45255</v>
      </c>
      <c r="T10518" t="s">
        <v>46428</v>
      </c>
      <c r="U10518" t="s">
        <v>48012</v>
      </c>
      <c r="W10518" t="s">
        <v>44142</v>
      </c>
      <c r="X10518" t="s">
        <v>44916</v>
      </c>
    </row>
    <row r="10519" spans="1:24">
      <c r="A10519">
        <f>HYPERLINK("https://www.philgeps.gov.ph/GEPSNONPILOT/Tender/SplashBidNoticeAbstractUI.aspx?menuIndex=3&amp;refID=7065418&amp;Result=3","7065418")</f>
        <v>0</v>
      </c>
      <c r="B10519" t="s">
        <v>2926</v>
      </c>
      <c r="C10519" t="s">
        <v>13545</v>
      </c>
      <c r="D10519" t="s">
        <v>18143</v>
      </c>
      <c r="E10519" t="s">
        <v>27344</v>
      </c>
      <c r="F10519" t="s">
        <v>31362</v>
      </c>
      <c r="G10519" t="s">
        <v>31369</v>
      </c>
      <c r="H10519" t="s">
        <v>31378</v>
      </c>
      <c r="I10519" t="s">
        <v>31386</v>
      </c>
      <c r="J10519" t="s">
        <v>37940</v>
      </c>
      <c r="K10519" t="s">
        <v>40679</v>
      </c>
      <c r="M10519" t="s">
        <v>44143</v>
      </c>
      <c r="N10519" t="s">
        <v>44905</v>
      </c>
      <c r="O10519" t="s">
        <v>44906</v>
      </c>
      <c r="P10519">
        <v>0</v>
      </c>
      <c r="Q10519">
        <v>1</v>
      </c>
      <c r="R10519" t="s">
        <v>44915</v>
      </c>
      <c r="S10519" t="s">
        <v>45255</v>
      </c>
      <c r="T10519" t="s">
        <v>46638</v>
      </c>
      <c r="U10519" t="s">
        <v>55382</v>
      </c>
      <c r="W10519" t="s">
        <v>44143</v>
      </c>
      <c r="X10519" t="s">
        <v>44916</v>
      </c>
    </row>
    <row r="10520" spans="1:24">
      <c r="A10520">
        <f>HYPERLINK("https://www.philgeps.gov.ph/GEPSNONPILOT/Tender/SplashBidNoticeAbstractUI.aspx?menuIndex=3&amp;refID=7065408&amp;Result=3","7065408")</f>
        <v>0</v>
      </c>
      <c r="B10520" t="s">
        <v>2659</v>
      </c>
      <c r="C10520" t="s">
        <v>13546</v>
      </c>
      <c r="D10520" t="s">
        <v>18148</v>
      </c>
      <c r="E10520" t="s">
        <v>27345</v>
      </c>
      <c r="F10520" t="s">
        <v>31362</v>
      </c>
      <c r="G10520" t="s">
        <v>31369</v>
      </c>
      <c r="H10520" t="s">
        <v>15799</v>
      </c>
      <c r="I10520" t="s">
        <v>31422</v>
      </c>
      <c r="J10520" t="s">
        <v>37941</v>
      </c>
      <c r="K10520" t="s">
        <v>40665</v>
      </c>
      <c r="M10520" t="s">
        <v>43843</v>
      </c>
      <c r="N10520" t="s">
        <v>44905</v>
      </c>
      <c r="O10520" t="s">
        <v>44906</v>
      </c>
      <c r="P10520">
        <v>0</v>
      </c>
      <c r="Q10520">
        <v>6</v>
      </c>
      <c r="R10520" t="s">
        <v>44915</v>
      </c>
      <c r="S10520" t="s">
        <v>45255</v>
      </c>
      <c r="T10520" t="s">
        <v>46504</v>
      </c>
      <c r="U10520" t="s">
        <v>55383</v>
      </c>
      <c r="W10520" t="s">
        <v>43843</v>
      </c>
      <c r="X10520" t="s">
        <v>44916</v>
      </c>
    </row>
    <row r="10521" spans="1:24">
      <c r="A10521">
        <f>HYPERLINK("https://www.philgeps.gov.ph/GEPSNONPILOT/Tender/SplashBidNoticeAbstractUI.aspx?menuIndex=3&amp;refID=7065435&amp;Result=3","7065435")</f>
        <v>0</v>
      </c>
      <c r="B10521" t="s">
        <v>2927</v>
      </c>
      <c r="C10521" t="s">
        <v>13547</v>
      </c>
      <c r="D10521" t="s">
        <v>18148</v>
      </c>
      <c r="E10521" t="s">
        <v>27330</v>
      </c>
      <c r="F10521" t="s">
        <v>31365</v>
      </c>
      <c r="G10521" t="s">
        <v>31369</v>
      </c>
      <c r="H10521" t="s">
        <v>31378</v>
      </c>
      <c r="I10521" t="s">
        <v>31386</v>
      </c>
      <c r="J10521" t="s">
        <v>31578</v>
      </c>
      <c r="K10521" t="s">
        <v>40674</v>
      </c>
      <c r="M10521" t="s">
        <v>44144</v>
      </c>
      <c r="N10521" t="s">
        <v>44905</v>
      </c>
      <c r="O10521" t="s">
        <v>44906</v>
      </c>
      <c r="P10521">
        <v>0</v>
      </c>
      <c r="Q10521">
        <v>0</v>
      </c>
      <c r="R10521" t="s">
        <v>44915</v>
      </c>
      <c r="S10521" t="s">
        <v>45255</v>
      </c>
      <c r="T10521" t="s">
        <v>46470</v>
      </c>
      <c r="U10521" t="s">
        <v>55384</v>
      </c>
      <c r="W10521" t="s">
        <v>44144</v>
      </c>
      <c r="X10521" t="s">
        <v>44916</v>
      </c>
    </row>
    <row r="10522" spans="1:24">
      <c r="A10522">
        <f>HYPERLINK("https://www.philgeps.gov.ph/GEPSNONPILOT/Tender/SplashBidNoticeAbstractUI.aspx?menuIndex=3&amp;refID=7065403&amp;Result=3","7065403")</f>
        <v>0</v>
      </c>
      <c r="B10522" t="s">
        <v>2928</v>
      </c>
      <c r="C10522" t="s">
        <v>5649</v>
      </c>
      <c r="D10522" t="s">
        <v>18117</v>
      </c>
      <c r="E10522" t="s">
        <v>27346</v>
      </c>
      <c r="F10522" t="s">
        <v>31362</v>
      </c>
      <c r="G10522" t="s">
        <v>31369</v>
      </c>
      <c r="H10522" t="s">
        <v>15799</v>
      </c>
      <c r="I10522" t="s">
        <v>31393</v>
      </c>
      <c r="J10522" t="s">
        <v>34682</v>
      </c>
      <c r="K10522" t="s">
        <v>40665</v>
      </c>
      <c r="M10522" t="s">
        <v>44145</v>
      </c>
      <c r="N10522" t="s">
        <v>44905</v>
      </c>
      <c r="O10522" t="s">
        <v>44906</v>
      </c>
      <c r="P10522">
        <v>0</v>
      </c>
      <c r="Q10522">
        <v>6</v>
      </c>
      <c r="R10522" t="s">
        <v>44915</v>
      </c>
      <c r="S10522" t="s">
        <v>45255</v>
      </c>
      <c r="T10522" t="s">
        <v>46810</v>
      </c>
      <c r="U10522" t="s">
        <v>55385</v>
      </c>
      <c r="W10522" t="s">
        <v>44145</v>
      </c>
      <c r="X10522" t="s">
        <v>44916</v>
      </c>
    </row>
    <row r="10523" spans="1:24">
      <c r="A10523">
        <f>HYPERLINK("https://www.philgeps.gov.ph/GEPSNONPILOT/Tender/SplashBidNoticeAbstractUI.aspx?menuIndex=3&amp;refID=7065389&amp;Result=3","7065389")</f>
        <v>0</v>
      </c>
      <c r="B10523" t="s">
        <v>2895</v>
      </c>
      <c r="C10523" t="s">
        <v>13548</v>
      </c>
      <c r="D10523" t="s">
        <v>18138</v>
      </c>
      <c r="E10523" t="s">
        <v>23275</v>
      </c>
      <c r="F10523" t="s">
        <v>31362</v>
      </c>
      <c r="G10523" t="s">
        <v>31369</v>
      </c>
      <c r="H10523" t="s">
        <v>15799</v>
      </c>
      <c r="I10523" t="s">
        <v>3815</v>
      </c>
      <c r="J10523" t="s">
        <v>37942</v>
      </c>
      <c r="K10523" t="s">
        <v>40677</v>
      </c>
      <c r="M10523" t="s">
        <v>44110</v>
      </c>
      <c r="N10523" t="s">
        <v>44905</v>
      </c>
      <c r="O10523" t="s">
        <v>44906</v>
      </c>
      <c r="P10523">
        <v>0</v>
      </c>
      <c r="Q10523">
        <v>4</v>
      </c>
      <c r="R10523" t="s">
        <v>44915</v>
      </c>
      <c r="S10523" t="s">
        <v>45255</v>
      </c>
      <c r="T10523" t="s">
        <v>46484</v>
      </c>
      <c r="U10523" t="s">
        <v>55386</v>
      </c>
      <c r="V10523" t="s">
        <v>60177</v>
      </c>
      <c r="W10523" t="s">
        <v>44110</v>
      </c>
      <c r="X10523" t="s">
        <v>44916</v>
      </c>
    </row>
    <row r="10524" spans="1:24">
      <c r="A10524">
        <f>HYPERLINK("https://www.philgeps.gov.ph/GEPSNONPILOT/Tender/SplashBidNoticeAbstractUI.aspx?menuIndex=3&amp;refID=7065387&amp;Result=3","7065387")</f>
        <v>0</v>
      </c>
      <c r="B10524" t="s">
        <v>179</v>
      </c>
      <c r="C10524" t="s">
        <v>13549</v>
      </c>
      <c r="D10524" t="s">
        <v>18155</v>
      </c>
      <c r="E10524" t="s">
        <v>27347</v>
      </c>
      <c r="F10524" t="s">
        <v>31362</v>
      </c>
      <c r="G10524" t="s">
        <v>31368</v>
      </c>
      <c r="H10524" t="s">
        <v>15799</v>
      </c>
      <c r="I10524" t="s">
        <v>31476</v>
      </c>
      <c r="J10524" t="s">
        <v>31578</v>
      </c>
      <c r="K10524" t="s">
        <v>40665</v>
      </c>
      <c r="M10524" t="s">
        <v>41117</v>
      </c>
      <c r="N10524" t="s">
        <v>44905</v>
      </c>
      <c r="O10524" t="s">
        <v>44906</v>
      </c>
      <c r="P10524">
        <v>0</v>
      </c>
      <c r="Q10524">
        <v>4</v>
      </c>
      <c r="R10524" t="s">
        <v>44915</v>
      </c>
      <c r="S10524" t="s">
        <v>45255</v>
      </c>
      <c r="T10524" t="s">
        <v>46583</v>
      </c>
      <c r="U10524" t="s">
        <v>55387</v>
      </c>
      <c r="V10524" t="s">
        <v>59091</v>
      </c>
      <c r="W10524" t="s">
        <v>60838</v>
      </c>
      <c r="X10524" t="s">
        <v>44916</v>
      </c>
    </row>
    <row r="10525" spans="1:24">
      <c r="A10525">
        <f>HYPERLINK("https://www.philgeps.gov.ph/GEPSNONPILOT/Tender/SplashBidNoticeAbstractUI.aspx?menuIndex=3&amp;refID=7065385&amp;Result=3","7065385")</f>
        <v>0</v>
      </c>
      <c r="B10525" t="s">
        <v>2929</v>
      </c>
      <c r="C10525" t="s">
        <v>13550</v>
      </c>
      <c r="D10525" t="s">
        <v>18155</v>
      </c>
      <c r="E10525" t="s">
        <v>27348</v>
      </c>
      <c r="F10525" t="s">
        <v>31362</v>
      </c>
      <c r="G10525" t="s">
        <v>31369</v>
      </c>
      <c r="H10525" t="s">
        <v>15799</v>
      </c>
      <c r="I10525" t="s">
        <v>31430</v>
      </c>
      <c r="J10525" t="s">
        <v>32391</v>
      </c>
      <c r="K10525" t="s">
        <v>40665</v>
      </c>
      <c r="M10525" t="s">
        <v>44146</v>
      </c>
      <c r="N10525" t="s">
        <v>44905</v>
      </c>
      <c r="O10525" t="s">
        <v>44906</v>
      </c>
      <c r="P10525">
        <v>0</v>
      </c>
      <c r="Q10525">
        <v>0</v>
      </c>
      <c r="R10525" t="s">
        <v>44915</v>
      </c>
      <c r="S10525" t="s">
        <v>45255</v>
      </c>
      <c r="T10525" t="s">
        <v>46447</v>
      </c>
      <c r="U10525" t="s">
        <v>55388</v>
      </c>
      <c r="V10525" t="s">
        <v>60194</v>
      </c>
      <c r="W10525" t="s">
        <v>44146</v>
      </c>
      <c r="X10525" t="s">
        <v>44916</v>
      </c>
    </row>
    <row r="10526" spans="1:24">
      <c r="A10526">
        <f>HYPERLINK("https://www.philgeps.gov.ph/GEPSNONPILOT/Tender/SplashBidNoticeAbstractUI.aspx?menuIndex=3&amp;refID=7065354&amp;Result=3","7065354")</f>
        <v>0</v>
      </c>
      <c r="B10526" t="s">
        <v>2889</v>
      </c>
      <c r="C10526" t="s">
        <v>13551</v>
      </c>
      <c r="D10526" t="s">
        <v>18148</v>
      </c>
      <c r="E10526" t="s">
        <v>27349</v>
      </c>
      <c r="F10526" t="s">
        <v>31362</v>
      </c>
      <c r="G10526" t="s">
        <v>31369</v>
      </c>
      <c r="H10526" t="s">
        <v>31378</v>
      </c>
      <c r="I10526" t="s">
        <v>31386</v>
      </c>
      <c r="J10526" t="s">
        <v>37943</v>
      </c>
      <c r="K10526" t="s">
        <v>40796</v>
      </c>
      <c r="M10526" t="s">
        <v>44104</v>
      </c>
      <c r="N10526" t="s">
        <v>44905</v>
      </c>
      <c r="O10526" t="s">
        <v>44906</v>
      </c>
      <c r="P10526">
        <v>0</v>
      </c>
      <c r="Q10526">
        <v>1</v>
      </c>
      <c r="R10526" t="s">
        <v>44915</v>
      </c>
      <c r="S10526" t="s">
        <v>45255</v>
      </c>
      <c r="T10526" t="s">
        <v>46464</v>
      </c>
      <c r="U10526" t="s">
        <v>55389</v>
      </c>
      <c r="V10526" t="s">
        <v>60167</v>
      </c>
      <c r="W10526" t="s">
        <v>44104</v>
      </c>
      <c r="X10526" t="s">
        <v>44916</v>
      </c>
    </row>
    <row r="10527" spans="1:24">
      <c r="A10527">
        <f>HYPERLINK("https://www.philgeps.gov.ph/GEPSNONPILOT/Tender/SplashBidNoticeAbstractUI.aspx?menuIndex=3&amp;refID=7065177&amp;Result=3","7065177")</f>
        <v>0</v>
      </c>
      <c r="B10527" t="s">
        <v>2897</v>
      </c>
      <c r="C10527" t="s">
        <v>5662</v>
      </c>
      <c r="D10527" t="s">
        <v>18103</v>
      </c>
      <c r="E10527" t="s">
        <v>27350</v>
      </c>
      <c r="F10527" t="s">
        <v>31363</v>
      </c>
      <c r="G10527" t="s">
        <v>31369</v>
      </c>
      <c r="H10527" t="s">
        <v>15799</v>
      </c>
      <c r="I10527" t="s">
        <v>31386</v>
      </c>
      <c r="J10527" t="s">
        <v>31734</v>
      </c>
      <c r="K10527" t="s">
        <v>40665</v>
      </c>
      <c r="L10527" t="s">
        <v>2897</v>
      </c>
      <c r="M10527" t="s">
        <v>44112</v>
      </c>
      <c r="N10527" t="s">
        <v>44905</v>
      </c>
      <c r="O10527" t="s">
        <v>44906</v>
      </c>
      <c r="P10527">
        <v>0</v>
      </c>
      <c r="Q10527">
        <v>0</v>
      </c>
      <c r="R10527" t="s">
        <v>44915</v>
      </c>
      <c r="S10527" t="s">
        <v>45255</v>
      </c>
      <c r="T10527" t="s">
        <v>46612</v>
      </c>
      <c r="U10527" t="s">
        <v>55390</v>
      </c>
      <c r="W10527" t="s">
        <v>44112</v>
      </c>
      <c r="X10527" t="s">
        <v>44916</v>
      </c>
    </row>
    <row r="10528" spans="1:24">
      <c r="A10528">
        <f>HYPERLINK("https://www.philgeps.gov.ph/GEPSNONPILOT/Tender/SplashBidNoticeAbstractUI.aspx?menuIndex=3&amp;refID=7065287&amp;Result=3","7065287")</f>
        <v>0</v>
      </c>
      <c r="B10528" t="s">
        <v>2897</v>
      </c>
      <c r="C10528" t="s">
        <v>13552</v>
      </c>
      <c r="D10528" t="s">
        <v>18103</v>
      </c>
      <c r="E10528" t="s">
        <v>27351</v>
      </c>
      <c r="F10528" t="s">
        <v>31363</v>
      </c>
      <c r="G10528" t="s">
        <v>31369</v>
      </c>
      <c r="H10528" t="s">
        <v>31378</v>
      </c>
      <c r="I10528" t="s">
        <v>31386</v>
      </c>
      <c r="J10528" t="s">
        <v>31734</v>
      </c>
      <c r="K10528" t="s">
        <v>40665</v>
      </c>
      <c r="L10528" t="s">
        <v>2897</v>
      </c>
      <c r="M10528" t="s">
        <v>44112</v>
      </c>
      <c r="N10528" t="s">
        <v>44905</v>
      </c>
      <c r="O10528" t="s">
        <v>44906</v>
      </c>
      <c r="P10528">
        <v>0</v>
      </c>
      <c r="Q10528">
        <v>0</v>
      </c>
      <c r="R10528" t="s">
        <v>44915</v>
      </c>
      <c r="S10528" t="s">
        <v>45255</v>
      </c>
      <c r="T10528" t="s">
        <v>46635</v>
      </c>
      <c r="U10528" t="s">
        <v>55391</v>
      </c>
      <c r="W10528" t="s">
        <v>44112</v>
      </c>
      <c r="X10528" t="s">
        <v>44916</v>
      </c>
    </row>
    <row r="10529" spans="1:24">
      <c r="A10529">
        <f>HYPERLINK("https://www.philgeps.gov.ph/GEPSNONPILOT/Tender/SplashBidNoticeAbstractUI.aspx?menuIndex=3&amp;refID=7065278&amp;Result=3","7065278")</f>
        <v>0</v>
      </c>
      <c r="B10529" t="s">
        <v>2916</v>
      </c>
      <c r="C10529" t="s">
        <v>13527</v>
      </c>
      <c r="D10529" t="s">
        <v>18109</v>
      </c>
      <c r="E10529" t="s">
        <v>27352</v>
      </c>
      <c r="F10529" t="s">
        <v>31362</v>
      </c>
      <c r="G10529" t="s">
        <v>31369</v>
      </c>
      <c r="H10529" t="s">
        <v>15799</v>
      </c>
      <c r="I10529" t="s">
        <v>31404</v>
      </c>
      <c r="J10529" t="s">
        <v>37944</v>
      </c>
      <c r="K10529" t="s">
        <v>40697</v>
      </c>
      <c r="M10529" t="s">
        <v>44132</v>
      </c>
      <c r="N10529" t="s">
        <v>44905</v>
      </c>
      <c r="O10529" t="s">
        <v>44906</v>
      </c>
      <c r="P10529">
        <v>0</v>
      </c>
      <c r="Q10529">
        <v>0</v>
      </c>
      <c r="R10529" t="s">
        <v>44915</v>
      </c>
      <c r="S10529" t="s">
        <v>45255</v>
      </c>
      <c r="T10529" t="s">
        <v>46418</v>
      </c>
      <c r="U10529" t="s">
        <v>55392</v>
      </c>
      <c r="W10529" t="s">
        <v>44132</v>
      </c>
      <c r="X10529" t="s">
        <v>44916</v>
      </c>
    </row>
    <row r="10530" spans="1:24">
      <c r="A10530">
        <f>HYPERLINK("https://www.philgeps.gov.ph/GEPSNONPILOT/Tender/SplashBidNoticeAbstractUI.aspx?menuIndex=3&amp;refID=7065411&amp;Result=3","7065411")</f>
        <v>0</v>
      </c>
      <c r="B10530" t="s">
        <v>2930</v>
      </c>
      <c r="C10530" t="s">
        <v>13553</v>
      </c>
      <c r="D10530" t="s">
        <v>18118</v>
      </c>
      <c r="E10530" t="s">
        <v>22113</v>
      </c>
      <c r="F10530" t="s">
        <v>31362</v>
      </c>
      <c r="G10530" t="s">
        <v>31369</v>
      </c>
      <c r="H10530" t="s">
        <v>31378</v>
      </c>
      <c r="I10530" t="s">
        <v>31386</v>
      </c>
      <c r="J10530" t="s">
        <v>31606</v>
      </c>
      <c r="K10530" t="s">
        <v>40735</v>
      </c>
      <c r="M10530" t="s">
        <v>44147</v>
      </c>
      <c r="N10530" t="s">
        <v>44905</v>
      </c>
      <c r="O10530" t="s">
        <v>44906</v>
      </c>
      <c r="Q10530">
        <v>0</v>
      </c>
      <c r="R10530" t="s">
        <v>44915</v>
      </c>
      <c r="S10530" t="s">
        <v>45282</v>
      </c>
      <c r="T10530" t="s">
        <v>46481</v>
      </c>
      <c r="U10530" t="s">
        <v>55393</v>
      </c>
      <c r="V10530" t="s">
        <v>60195</v>
      </c>
      <c r="W10530" t="s">
        <v>44147</v>
      </c>
      <c r="X10530" t="s">
        <v>44916</v>
      </c>
    </row>
    <row r="10531" spans="1:24">
      <c r="A10531">
        <f>HYPERLINK("https://www.philgeps.gov.ph/GEPSNONPILOT/Tender/SplashBidNoticeAbstractUI.aspx?menuIndex=3&amp;refID=7065269&amp;Result=3","7065269")</f>
        <v>0</v>
      </c>
      <c r="B10531" t="s">
        <v>2904</v>
      </c>
      <c r="C10531" t="s">
        <v>13554</v>
      </c>
      <c r="D10531" t="s">
        <v>18135</v>
      </c>
      <c r="E10531" t="s">
        <v>27353</v>
      </c>
      <c r="F10531" t="s">
        <v>31362</v>
      </c>
      <c r="G10531" t="s">
        <v>31369</v>
      </c>
      <c r="H10531" t="s">
        <v>31378</v>
      </c>
      <c r="I10531" t="s">
        <v>31386</v>
      </c>
      <c r="J10531" t="s">
        <v>31591</v>
      </c>
      <c r="K10531" t="s">
        <v>40735</v>
      </c>
      <c r="M10531" t="s">
        <v>44119</v>
      </c>
      <c r="N10531" t="s">
        <v>44905</v>
      </c>
      <c r="O10531" t="s">
        <v>44906</v>
      </c>
      <c r="P10531">
        <v>0</v>
      </c>
      <c r="Q10531">
        <v>0</v>
      </c>
      <c r="R10531" t="s">
        <v>44915</v>
      </c>
      <c r="S10531" t="s">
        <v>45255</v>
      </c>
      <c r="T10531" t="s">
        <v>46533</v>
      </c>
      <c r="U10531" t="s">
        <v>55394</v>
      </c>
      <c r="V10531" t="s">
        <v>60184</v>
      </c>
      <c r="W10531" t="s">
        <v>44119</v>
      </c>
      <c r="X10531" t="s">
        <v>44916</v>
      </c>
    </row>
    <row r="10532" spans="1:24">
      <c r="A10532">
        <f>HYPERLINK("https://www.philgeps.gov.ph/GEPSNONPILOT/Tender/SplashBidNoticeAbstractUI.aspx?menuIndex=3&amp;refID=7065419&amp;Result=3","7065419")</f>
        <v>0</v>
      </c>
      <c r="B10532" t="s">
        <v>1808</v>
      </c>
      <c r="C10532" t="s">
        <v>13555</v>
      </c>
      <c r="D10532" t="s">
        <v>18112</v>
      </c>
      <c r="E10532" t="s">
        <v>22943</v>
      </c>
      <c r="F10532" t="s">
        <v>31362</v>
      </c>
      <c r="G10532" t="s">
        <v>31369</v>
      </c>
      <c r="H10532" t="s">
        <v>15799</v>
      </c>
      <c r="I10532" t="s">
        <v>31393</v>
      </c>
      <c r="J10532" t="s">
        <v>37945</v>
      </c>
      <c r="K10532" t="s">
        <v>40670</v>
      </c>
      <c r="M10532" t="s">
        <v>42890</v>
      </c>
      <c r="N10532" t="s">
        <v>44905</v>
      </c>
      <c r="O10532" t="s">
        <v>44906</v>
      </c>
      <c r="P10532">
        <v>0</v>
      </c>
      <c r="Q10532">
        <v>6</v>
      </c>
      <c r="R10532" t="s">
        <v>44915</v>
      </c>
      <c r="S10532" t="s">
        <v>45255</v>
      </c>
      <c r="T10532" t="s">
        <v>46440</v>
      </c>
      <c r="U10532" t="s">
        <v>55395</v>
      </c>
      <c r="W10532" t="s">
        <v>42890</v>
      </c>
      <c r="X10532" t="s">
        <v>44916</v>
      </c>
    </row>
    <row r="10533" spans="1:24">
      <c r="A10533">
        <f>HYPERLINK("https://www.philgeps.gov.ph/GEPSNONPILOT/Tender/SplashBidNoticeAbstractUI.aspx?menuIndex=3&amp;refID=7065544&amp;Result=3","7065544")</f>
        <v>0</v>
      </c>
      <c r="B10533" t="s">
        <v>2925</v>
      </c>
      <c r="C10533" t="s">
        <v>13556</v>
      </c>
      <c r="D10533" t="s">
        <v>18109</v>
      </c>
      <c r="E10533" t="s">
        <v>27354</v>
      </c>
      <c r="F10533" t="s">
        <v>31362</v>
      </c>
      <c r="G10533" t="s">
        <v>31368</v>
      </c>
      <c r="H10533" t="s">
        <v>15799</v>
      </c>
      <c r="I10533" t="s">
        <v>3815</v>
      </c>
      <c r="J10533" t="s">
        <v>37946</v>
      </c>
      <c r="K10533" t="s">
        <v>40666</v>
      </c>
      <c r="M10533" t="s">
        <v>44142</v>
      </c>
      <c r="N10533" t="s">
        <v>44905</v>
      </c>
      <c r="O10533" t="s">
        <v>44906</v>
      </c>
      <c r="P10533">
        <v>0</v>
      </c>
      <c r="Q10533">
        <v>2</v>
      </c>
      <c r="R10533" t="s">
        <v>44915</v>
      </c>
      <c r="S10533" t="s">
        <v>45255</v>
      </c>
      <c r="T10533" t="s">
        <v>46428</v>
      </c>
      <c r="U10533" t="s">
        <v>55396</v>
      </c>
      <c r="W10533" t="s">
        <v>44142</v>
      </c>
      <c r="X10533" t="s">
        <v>44916</v>
      </c>
    </row>
    <row r="10534" spans="1:24">
      <c r="A10534">
        <f>HYPERLINK("https://www.philgeps.gov.ph/GEPSNONPILOT/Tender/SplashBidNoticeAbstractUI.aspx?menuIndex=3&amp;refID=7065414&amp;Result=3","7065414")</f>
        <v>0</v>
      </c>
      <c r="B10534" t="s">
        <v>2913</v>
      </c>
      <c r="C10534" t="s">
        <v>13557</v>
      </c>
      <c r="D10534" t="s">
        <v>18101</v>
      </c>
      <c r="E10534" t="s">
        <v>27355</v>
      </c>
      <c r="F10534" t="s">
        <v>31362</v>
      </c>
      <c r="G10534" t="s">
        <v>31369</v>
      </c>
      <c r="H10534" t="s">
        <v>31378</v>
      </c>
      <c r="I10534" t="s">
        <v>31386</v>
      </c>
      <c r="J10534" t="s">
        <v>37947</v>
      </c>
      <c r="K10534" t="s">
        <v>40679</v>
      </c>
      <c r="M10534" t="s">
        <v>44148</v>
      </c>
      <c r="N10534" t="s">
        <v>44905</v>
      </c>
      <c r="O10534" t="s">
        <v>44906</v>
      </c>
      <c r="P10534">
        <v>0</v>
      </c>
      <c r="Q10534">
        <v>0</v>
      </c>
      <c r="R10534" t="s">
        <v>44915</v>
      </c>
      <c r="S10534" t="s">
        <v>45255</v>
      </c>
      <c r="T10534" t="s">
        <v>46519</v>
      </c>
      <c r="U10534" t="s">
        <v>55397</v>
      </c>
      <c r="W10534" t="s">
        <v>44129</v>
      </c>
      <c r="X10534" t="s">
        <v>44916</v>
      </c>
    </row>
    <row r="10535" spans="1:24">
      <c r="A10535">
        <f>HYPERLINK("https://www.philgeps.gov.ph/GEPSNONPILOT/Tender/SplashBidNoticeAbstractUI.aspx?menuIndex=3&amp;refID=7065427&amp;Result=3","7065427")</f>
        <v>0</v>
      </c>
      <c r="B10535" t="s">
        <v>2930</v>
      </c>
      <c r="C10535" t="s">
        <v>13558</v>
      </c>
      <c r="D10535" t="s">
        <v>18118</v>
      </c>
      <c r="E10535" t="s">
        <v>19709</v>
      </c>
      <c r="F10535" t="s">
        <v>31362</v>
      </c>
      <c r="G10535" t="s">
        <v>31369</v>
      </c>
      <c r="H10535" t="s">
        <v>31378</v>
      </c>
      <c r="I10535" t="s">
        <v>31386</v>
      </c>
      <c r="J10535" t="s">
        <v>31606</v>
      </c>
      <c r="K10535" t="s">
        <v>40735</v>
      </c>
      <c r="M10535" t="s">
        <v>44147</v>
      </c>
      <c r="N10535" t="s">
        <v>44905</v>
      </c>
      <c r="O10535" t="s">
        <v>44906</v>
      </c>
      <c r="P10535">
        <v>0</v>
      </c>
      <c r="Q10535">
        <v>0</v>
      </c>
      <c r="R10535" t="s">
        <v>44915</v>
      </c>
      <c r="S10535" t="s">
        <v>45255</v>
      </c>
      <c r="T10535" t="s">
        <v>46481</v>
      </c>
      <c r="U10535" t="s">
        <v>55398</v>
      </c>
      <c r="V10535" t="s">
        <v>60195</v>
      </c>
      <c r="W10535" t="s">
        <v>44147</v>
      </c>
      <c r="X10535" t="s">
        <v>44916</v>
      </c>
    </row>
    <row r="10536" spans="1:24">
      <c r="A10536">
        <f>HYPERLINK("https://www.philgeps.gov.ph/GEPSNONPILOT/Tender/SplashBidNoticeAbstractUI.aspx?menuIndex=3&amp;refID=7065541&amp;Result=3","7065541")</f>
        <v>0</v>
      </c>
      <c r="B10536" t="s">
        <v>2789</v>
      </c>
      <c r="C10536" t="s">
        <v>13559</v>
      </c>
      <c r="D10536" t="s">
        <v>18134</v>
      </c>
      <c r="E10536" t="s">
        <v>27356</v>
      </c>
      <c r="F10536" t="s">
        <v>31362</v>
      </c>
      <c r="G10536" t="s">
        <v>31368</v>
      </c>
      <c r="H10536" t="s">
        <v>15799</v>
      </c>
      <c r="I10536" t="s">
        <v>31429</v>
      </c>
      <c r="J10536" t="s">
        <v>37948</v>
      </c>
      <c r="K10536" t="s">
        <v>40666</v>
      </c>
      <c r="M10536" t="s">
        <v>43986</v>
      </c>
      <c r="N10536" t="s">
        <v>44905</v>
      </c>
      <c r="O10536" t="s">
        <v>44906</v>
      </c>
      <c r="P10536">
        <v>0</v>
      </c>
      <c r="Q10536">
        <v>3</v>
      </c>
      <c r="R10536" t="s">
        <v>44915</v>
      </c>
      <c r="S10536" t="s">
        <v>45255</v>
      </c>
      <c r="T10536" t="s">
        <v>46470</v>
      </c>
      <c r="U10536" t="s">
        <v>55364</v>
      </c>
      <c r="W10536" t="s">
        <v>43986</v>
      </c>
      <c r="X10536" t="s">
        <v>44916</v>
      </c>
    </row>
    <row r="10537" spans="1:24">
      <c r="A10537">
        <f>HYPERLINK("https://www.philgeps.gov.ph/GEPSNONPILOT/Tender/SplashBidNoticeAbstractUI.aspx?menuIndex=3&amp;refID=7065466&amp;Result=3","7065466")</f>
        <v>0</v>
      </c>
      <c r="B10537" t="s">
        <v>211</v>
      </c>
      <c r="C10537" t="s">
        <v>13560</v>
      </c>
      <c r="D10537" t="s">
        <v>18161</v>
      </c>
      <c r="E10537" t="s">
        <v>27357</v>
      </c>
      <c r="F10537" t="s">
        <v>31362</v>
      </c>
      <c r="G10537" t="s">
        <v>31369</v>
      </c>
      <c r="H10537" t="s">
        <v>31378</v>
      </c>
      <c r="I10537" t="s">
        <v>31386</v>
      </c>
      <c r="J10537" t="s">
        <v>37949</v>
      </c>
      <c r="K10537" t="s">
        <v>40682</v>
      </c>
      <c r="M10537" t="s">
        <v>41150</v>
      </c>
      <c r="N10537" t="s">
        <v>44905</v>
      </c>
      <c r="O10537" t="s">
        <v>44906</v>
      </c>
      <c r="P10537">
        <v>0</v>
      </c>
      <c r="Q10537">
        <v>2</v>
      </c>
      <c r="R10537" t="s">
        <v>44915</v>
      </c>
      <c r="S10537" t="s">
        <v>45255</v>
      </c>
      <c r="T10537" t="s">
        <v>46392</v>
      </c>
      <c r="U10537" t="s">
        <v>55399</v>
      </c>
      <c r="V10537" t="s">
        <v>60196</v>
      </c>
      <c r="W10537" t="s">
        <v>41150</v>
      </c>
      <c r="X10537" t="s">
        <v>44916</v>
      </c>
    </row>
    <row r="10538" spans="1:24">
      <c r="A10538">
        <f>HYPERLINK("https://www.philgeps.gov.ph/GEPSNONPILOT/Tender/SplashBidNoticeAbstractUI.aspx?menuIndex=3&amp;refID=7065530&amp;Result=3","7065530")</f>
        <v>0</v>
      </c>
      <c r="B10538" t="s">
        <v>1341</v>
      </c>
      <c r="C10538" t="s">
        <v>13561</v>
      </c>
      <c r="D10538" t="s">
        <v>18107</v>
      </c>
      <c r="E10538" t="s">
        <v>13561</v>
      </c>
      <c r="F10538" t="s">
        <v>31362</v>
      </c>
      <c r="G10538" t="s">
        <v>31369</v>
      </c>
      <c r="H10538" t="s">
        <v>15799</v>
      </c>
      <c r="I10538" t="s">
        <v>3815</v>
      </c>
      <c r="J10538" t="s">
        <v>37950</v>
      </c>
      <c r="K10538" t="s">
        <v>40682</v>
      </c>
      <c r="M10538" t="s">
        <v>42360</v>
      </c>
      <c r="N10538" t="s">
        <v>44905</v>
      </c>
      <c r="O10538" t="s">
        <v>44906</v>
      </c>
      <c r="P10538">
        <v>0</v>
      </c>
      <c r="Q10538">
        <v>0</v>
      </c>
      <c r="R10538" t="s">
        <v>44915</v>
      </c>
      <c r="S10538" t="s">
        <v>45255</v>
      </c>
      <c r="T10538" t="s">
        <v>46484</v>
      </c>
      <c r="U10538" t="s">
        <v>55400</v>
      </c>
      <c r="W10538" t="s">
        <v>42360</v>
      </c>
      <c r="X10538" t="s">
        <v>44916</v>
      </c>
    </row>
    <row r="10539" spans="1:24">
      <c r="A10539">
        <f>HYPERLINK("https://www.philgeps.gov.ph/GEPSNONPILOT/Tender/SplashBidNoticeAbstractUI.aspx?menuIndex=3&amp;refID=7065554&amp;Result=3","7065554")</f>
        <v>0</v>
      </c>
      <c r="B10539" t="s">
        <v>2789</v>
      </c>
      <c r="C10539" t="s">
        <v>13562</v>
      </c>
      <c r="D10539" t="s">
        <v>18134</v>
      </c>
      <c r="E10539" t="s">
        <v>27358</v>
      </c>
      <c r="F10539" t="s">
        <v>31362</v>
      </c>
      <c r="G10539" t="s">
        <v>31368</v>
      </c>
      <c r="H10539" t="s">
        <v>15799</v>
      </c>
      <c r="I10539" t="s">
        <v>31404</v>
      </c>
      <c r="J10539" t="s">
        <v>37951</v>
      </c>
      <c r="K10539" t="s">
        <v>40666</v>
      </c>
      <c r="M10539" t="s">
        <v>43986</v>
      </c>
      <c r="N10539" t="s">
        <v>44905</v>
      </c>
      <c r="O10539" t="s">
        <v>44906</v>
      </c>
      <c r="P10539">
        <v>0</v>
      </c>
      <c r="Q10539">
        <v>0</v>
      </c>
      <c r="R10539" t="s">
        <v>44915</v>
      </c>
      <c r="S10539" t="s">
        <v>45255</v>
      </c>
      <c r="T10539" t="s">
        <v>46470</v>
      </c>
      <c r="U10539" t="s">
        <v>55364</v>
      </c>
      <c r="W10539" t="s">
        <v>43986</v>
      </c>
      <c r="X10539" t="s">
        <v>44916</v>
      </c>
    </row>
    <row r="10540" spans="1:24">
      <c r="A10540">
        <f>HYPERLINK("https://www.philgeps.gov.ph/GEPSNONPILOT/Tender/SplashBidNoticeAbstractUI.aspx?menuIndex=3&amp;refID=7065504&amp;Result=3","7065504")</f>
        <v>0</v>
      </c>
      <c r="B10540" t="s">
        <v>2929</v>
      </c>
      <c r="C10540" t="s">
        <v>13563</v>
      </c>
      <c r="D10540" t="s">
        <v>18155</v>
      </c>
      <c r="E10540" t="s">
        <v>27359</v>
      </c>
      <c r="F10540" t="s">
        <v>31362</v>
      </c>
      <c r="G10540" t="s">
        <v>31369</v>
      </c>
      <c r="H10540" t="s">
        <v>31378</v>
      </c>
      <c r="I10540" t="s">
        <v>31386</v>
      </c>
      <c r="J10540" t="s">
        <v>37952</v>
      </c>
      <c r="K10540" t="s">
        <v>40669</v>
      </c>
      <c r="M10540" t="s">
        <v>44146</v>
      </c>
      <c r="N10540" t="s">
        <v>44905</v>
      </c>
      <c r="O10540" t="s">
        <v>44906</v>
      </c>
      <c r="P10540">
        <v>0</v>
      </c>
      <c r="Q10540">
        <v>2</v>
      </c>
      <c r="R10540" t="s">
        <v>44915</v>
      </c>
      <c r="S10540" t="s">
        <v>45255</v>
      </c>
      <c r="T10540" t="s">
        <v>46392</v>
      </c>
      <c r="U10540" t="s">
        <v>55401</v>
      </c>
      <c r="V10540" t="s">
        <v>60197</v>
      </c>
      <c r="W10540" t="s">
        <v>44146</v>
      </c>
      <c r="X10540" t="s">
        <v>44916</v>
      </c>
    </row>
    <row r="10541" spans="1:24">
      <c r="A10541">
        <f>HYPERLINK("https://www.philgeps.gov.ph/GEPSNONPILOT/Tender/SplashBidNoticeAbstractUI.aspx?menuIndex=3&amp;refID=7065434&amp;Result=3","7065434")</f>
        <v>0</v>
      </c>
      <c r="B10541" t="s">
        <v>2922</v>
      </c>
      <c r="C10541" t="s">
        <v>13564</v>
      </c>
      <c r="D10541" t="s">
        <v>18173</v>
      </c>
      <c r="E10541" t="s">
        <v>27360</v>
      </c>
      <c r="F10541" t="s">
        <v>31362</v>
      </c>
      <c r="G10541" t="s">
        <v>31369</v>
      </c>
      <c r="H10541" t="s">
        <v>15799</v>
      </c>
      <c r="I10541" t="s">
        <v>3815</v>
      </c>
      <c r="J10541" t="s">
        <v>37953</v>
      </c>
      <c r="K10541" t="s">
        <v>40665</v>
      </c>
      <c r="M10541" t="s">
        <v>44138</v>
      </c>
      <c r="N10541" t="s">
        <v>44905</v>
      </c>
      <c r="O10541" t="s">
        <v>44906</v>
      </c>
      <c r="Q10541">
        <v>0</v>
      </c>
      <c r="R10541" t="s">
        <v>44915</v>
      </c>
      <c r="S10541" t="s">
        <v>45283</v>
      </c>
      <c r="T10541" t="s">
        <v>46560</v>
      </c>
      <c r="U10541" t="s">
        <v>55402</v>
      </c>
      <c r="V10541" t="s">
        <v>60198</v>
      </c>
      <c r="W10541" t="s">
        <v>44138</v>
      </c>
      <c r="X10541" t="s">
        <v>44916</v>
      </c>
    </row>
    <row r="10542" spans="1:24">
      <c r="A10542">
        <f>HYPERLINK("https://www.philgeps.gov.ph/GEPSNONPILOT/Tender/SplashBidNoticeAbstractUI.aspx?menuIndex=3&amp;refID=7065496&amp;Result=3","7065496")</f>
        <v>0</v>
      </c>
      <c r="B10542" t="s">
        <v>2931</v>
      </c>
      <c r="C10542" t="s">
        <v>13565</v>
      </c>
      <c r="D10542" t="s">
        <v>18100</v>
      </c>
      <c r="E10542" t="s">
        <v>23338</v>
      </c>
      <c r="F10542" t="s">
        <v>31362</v>
      </c>
      <c r="G10542" t="s">
        <v>31369</v>
      </c>
      <c r="H10542" t="s">
        <v>15799</v>
      </c>
      <c r="I10542" t="s">
        <v>4057</v>
      </c>
      <c r="J10542" t="s">
        <v>32090</v>
      </c>
      <c r="K10542" t="s">
        <v>40670</v>
      </c>
      <c r="M10542" t="s">
        <v>44149</v>
      </c>
      <c r="N10542" t="s">
        <v>44905</v>
      </c>
      <c r="O10542" t="s">
        <v>44906</v>
      </c>
      <c r="P10542">
        <v>0</v>
      </c>
      <c r="Q10542">
        <v>0</v>
      </c>
      <c r="R10542" t="s">
        <v>44915</v>
      </c>
      <c r="S10542" t="s">
        <v>45255</v>
      </c>
      <c r="T10542" t="s">
        <v>46820</v>
      </c>
      <c r="U10542" t="s">
        <v>55403</v>
      </c>
      <c r="W10542" t="s">
        <v>44149</v>
      </c>
      <c r="X10542" t="s">
        <v>44916</v>
      </c>
    </row>
    <row r="10543" spans="1:24">
      <c r="A10543">
        <f>HYPERLINK("https://www.philgeps.gov.ph/GEPSNONPILOT/Tender/SplashBidNoticeAbstractUI.aspx?menuIndex=3&amp;refID=7065552&amp;Result=3","7065552")</f>
        <v>0</v>
      </c>
      <c r="B10543" t="s">
        <v>249</v>
      </c>
      <c r="C10543" t="s">
        <v>13566</v>
      </c>
      <c r="D10543" t="s">
        <v>18110</v>
      </c>
      <c r="E10543" t="s">
        <v>27361</v>
      </c>
      <c r="F10543" t="s">
        <v>31362</v>
      </c>
      <c r="G10543" t="s">
        <v>31368</v>
      </c>
      <c r="H10543" t="s">
        <v>15799</v>
      </c>
      <c r="I10543" t="s">
        <v>31435</v>
      </c>
      <c r="J10543" t="s">
        <v>37954</v>
      </c>
      <c r="K10543" t="s">
        <v>40662</v>
      </c>
      <c r="M10543" t="s">
        <v>41188</v>
      </c>
      <c r="N10543" t="s">
        <v>44905</v>
      </c>
      <c r="O10543" t="s">
        <v>44906</v>
      </c>
      <c r="P10543">
        <v>0</v>
      </c>
      <c r="Q10543">
        <v>1</v>
      </c>
      <c r="R10543" t="s">
        <v>44915</v>
      </c>
      <c r="S10543" t="s">
        <v>45255</v>
      </c>
      <c r="T10543" t="s">
        <v>46409</v>
      </c>
      <c r="U10543" t="s">
        <v>47345</v>
      </c>
      <c r="W10543" t="s">
        <v>41188</v>
      </c>
      <c r="X10543" t="s">
        <v>44916</v>
      </c>
    </row>
    <row r="10544" spans="1:24">
      <c r="A10544">
        <f>HYPERLINK("https://www.philgeps.gov.ph/GEPSNONPILOT/Tender/SplashBidNoticeAbstractUI.aspx?menuIndex=3&amp;refID=7065538&amp;Result=3","7065538")</f>
        <v>0</v>
      </c>
      <c r="B10544" t="s">
        <v>2669</v>
      </c>
      <c r="C10544" t="s">
        <v>13567</v>
      </c>
      <c r="D10544" t="s">
        <v>18152</v>
      </c>
      <c r="E10544" t="s">
        <v>27362</v>
      </c>
      <c r="F10544" t="s">
        <v>31362</v>
      </c>
      <c r="G10544" t="s">
        <v>31368</v>
      </c>
      <c r="H10544" t="s">
        <v>15799</v>
      </c>
      <c r="I10544" t="s">
        <v>3815</v>
      </c>
      <c r="J10544" t="s">
        <v>37955</v>
      </c>
      <c r="K10544" t="s">
        <v>40665</v>
      </c>
      <c r="M10544" t="s">
        <v>43853</v>
      </c>
      <c r="N10544" t="s">
        <v>44905</v>
      </c>
      <c r="O10544" t="s">
        <v>44906</v>
      </c>
      <c r="Q10544">
        <v>0</v>
      </c>
      <c r="R10544" t="s">
        <v>44915</v>
      </c>
      <c r="S10544" t="s">
        <v>45284</v>
      </c>
      <c r="T10544" t="s">
        <v>46432</v>
      </c>
      <c r="U10544" t="s">
        <v>55404</v>
      </c>
      <c r="W10544" t="s">
        <v>43853</v>
      </c>
      <c r="X10544" t="s">
        <v>44916</v>
      </c>
    </row>
    <row r="10545" spans="1:24">
      <c r="A10545">
        <f>HYPERLINK("https://www.philgeps.gov.ph/GEPSNONPILOT/Tender/SplashBidNoticeAbstractUI.aspx?menuIndex=3&amp;refID=7065491&amp;Result=3","7065491")</f>
        <v>0</v>
      </c>
      <c r="B10545" t="s">
        <v>1417</v>
      </c>
      <c r="C10545" t="s">
        <v>13568</v>
      </c>
      <c r="E10545" t="s">
        <v>27363</v>
      </c>
      <c r="F10545" t="s">
        <v>31362</v>
      </c>
      <c r="G10545" t="s">
        <v>31369</v>
      </c>
      <c r="H10545" t="s">
        <v>31378</v>
      </c>
      <c r="I10545" t="s">
        <v>31386</v>
      </c>
      <c r="J10545" t="s">
        <v>31615</v>
      </c>
      <c r="K10545" t="s">
        <v>40748</v>
      </c>
      <c r="M10545" t="s">
        <v>42443</v>
      </c>
      <c r="N10545" t="s">
        <v>44905</v>
      </c>
      <c r="O10545" t="s">
        <v>44906</v>
      </c>
      <c r="P10545">
        <v>0</v>
      </c>
      <c r="Q10545">
        <v>2</v>
      </c>
      <c r="R10545" t="s">
        <v>44915</v>
      </c>
      <c r="S10545" t="s">
        <v>45255</v>
      </c>
      <c r="T10545" t="s">
        <v>46561</v>
      </c>
      <c r="U10545" t="s">
        <v>55405</v>
      </c>
      <c r="W10545" t="s">
        <v>42443</v>
      </c>
      <c r="X10545" t="s">
        <v>44916</v>
      </c>
    </row>
    <row r="10546" spans="1:24">
      <c r="A10546">
        <f>HYPERLINK("https://www.philgeps.gov.ph/GEPSNONPILOT/Tender/SplashBidNoticeAbstractUI.aspx?menuIndex=3&amp;refID=7065511&amp;Result=3","7065511")</f>
        <v>0</v>
      </c>
      <c r="B10546" t="s">
        <v>665</v>
      </c>
      <c r="C10546" t="s">
        <v>13569</v>
      </c>
      <c r="D10546" t="s">
        <v>18139</v>
      </c>
      <c r="E10546" t="s">
        <v>27364</v>
      </c>
      <c r="F10546" t="s">
        <v>31362</v>
      </c>
      <c r="G10546" t="s">
        <v>31369</v>
      </c>
      <c r="H10546" t="s">
        <v>15799</v>
      </c>
      <c r="I10546" t="s">
        <v>31393</v>
      </c>
      <c r="J10546" t="s">
        <v>31637</v>
      </c>
      <c r="K10546" t="s">
        <v>40665</v>
      </c>
      <c r="M10546" t="s">
        <v>44150</v>
      </c>
      <c r="N10546" t="s">
        <v>44905</v>
      </c>
      <c r="O10546" t="s">
        <v>44906</v>
      </c>
      <c r="P10546">
        <v>0</v>
      </c>
      <c r="Q10546">
        <v>10</v>
      </c>
      <c r="R10546" t="s">
        <v>44915</v>
      </c>
      <c r="S10546" t="s">
        <v>45255</v>
      </c>
      <c r="T10546" t="s">
        <v>46635</v>
      </c>
      <c r="U10546" t="s">
        <v>55406</v>
      </c>
      <c r="W10546" t="s">
        <v>44150</v>
      </c>
      <c r="X10546" t="s">
        <v>44916</v>
      </c>
    </row>
    <row r="10547" spans="1:24">
      <c r="A10547">
        <f>HYPERLINK("https://www.philgeps.gov.ph/GEPSNONPILOT/Tender/SplashBidNoticeAbstractUI.aspx?menuIndex=3&amp;refID=7065479&amp;Result=3","7065479")</f>
        <v>0</v>
      </c>
      <c r="B10547" t="s">
        <v>1808</v>
      </c>
      <c r="C10547" t="s">
        <v>13570</v>
      </c>
      <c r="D10547" t="s">
        <v>18112</v>
      </c>
      <c r="E10547" t="s">
        <v>22931</v>
      </c>
      <c r="F10547" t="s">
        <v>31362</v>
      </c>
      <c r="G10547" t="s">
        <v>31369</v>
      </c>
      <c r="H10547" t="s">
        <v>15799</v>
      </c>
      <c r="I10547" t="s">
        <v>3815</v>
      </c>
      <c r="J10547" t="s">
        <v>37956</v>
      </c>
      <c r="K10547" t="s">
        <v>40670</v>
      </c>
      <c r="M10547" t="s">
        <v>42890</v>
      </c>
      <c r="N10547" t="s">
        <v>44905</v>
      </c>
      <c r="O10547" t="s">
        <v>44906</v>
      </c>
      <c r="P10547">
        <v>0</v>
      </c>
      <c r="Q10547">
        <v>1</v>
      </c>
      <c r="R10547" t="s">
        <v>44915</v>
      </c>
      <c r="S10547" t="s">
        <v>45255</v>
      </c>
      <c r="T10547" t="s">
        <v>46440</v>
      </c>
      <c r="U10547" t="s">
        <v>55407</v>
      </c>
      <c r="W10547" t="s">
        <v>42890</v>
      </c>
      <c r="X10547" t="s">
        <v>44916</v>
      </c>
    </row>
    <row r="10548" spans="1:24">
      <c r="A10548">
        <f>HYPERLINK("https://www.philgeps.gov.ph/GEPSNONPILOT/Tender/SplashBidNoticeAbstractUI.aspx?menuIndex=3&amp;refID=7065476&amp;Result=3","7065476")</f>
        <v>0</v>
      </c>
      <c r="B10548" t="s">
        <v>2931</v>
      </c>
      <c r="C10548" t="s">
        <v>13571</v>
      </c>
      <c r="D10548" t="s">
        <v>18100</v>
      </c>
      <c r="E10548" t="s">
        <v>23310</v>
      </c>
      <c r="F10548" t="s">
        <v>31362</v>
      </c>
      <c r="G10548" t="s">
        <v>31369</v>
      </c>
      <c r="H10548" t="s">
        <v>15799</v>
      </c>
      <c r="I10548" t="s">
        <v>7188</v>
      </c>
      <c r="J10548" t="s">
        <v>37957</v>
      </c>
      <c r="K10548" t="s">
        <v>40693</v>
      </c>
      <c r="M10548" t="s">
        <v>44149</v>
      </c>
      <c r="N10548" t="s">
        <v>44905</v>
      </c>
      <c r="O10548" t="s">
        <v>44906</v>
      </c>
      <c r="P10548">
        <v>0</v>
      </c>
      <c r="Q10548">
        <v>1</v>
      </c>
      <c r="R10548" t="s">
        <v>44915</v>
      </c>
      <c r="S10548" t="s">
        <v>45255</v>
      </c>
      <c r="T10548" t="s">
        <v>46821</v>
      </c>
      <c r="U10548" t="s">
        <v>55408</v>
      </c>
      <c r="W10548" t="s">
        <v>44149</v>
      </c>
      <c r="X10548" t="s">
        <v>44916</v>
      </c>
    </row>
    <row r="10549" spans="1:24">
      <c r="A10549">
        <f>HYPERLINK("https://www.philgeps.gov.ph/GEPSNONPILOT/Tender/SplashBidNoticeAbstractUI.aspx?menuIndex=3&amp;refID=7065501&amp;Result=3","7065501")</f>
        <v>0</v>
      </c>
      <c r="B10549" t="s">
        <v>1988</v>
      </c>
      <c r="C10549" t="s">
        <v>13572</v>
      </c>
      <c r="D10549" t="s">
        <v>18163</v>
      </c>
      <c r="E10549" t="s">
        <v>27365</v>
      </c>
      <c r="F10549" t="s">
        <v>31362</v>
      </c>
      <c r="G10549" t="s">
        <v>31369</v>
      </c>
      <c r="H10549" t="s">
        <v>15799</v>
      </c>
      <c r="I10549" t="s">
        <v>31380</v>
      </c>
      <c r="J10549" t="s">
        <v>37958</v>
      </c>
      <c r="K10549" t="s">
        <v>40666</v>
      </c>
      <c r="M10549" t="s">
        <v>43097</v>
      </c>
      <c r="N10549" t="s">
        <v>44905</v>
      </c>
      <c r="O10549" t="s">
        <v>44906</v>
      </c>
      <c r="P10549">
        <v>0</v>
      </c>
      <c r="Q10549">
        <v>3</v>
      </c>
      <c r="R10549" t="s">
        <v>44915</v>
      </c>
      <c r="S10549" t="s">
        <v>45255</v>
      </c>
      <c r="T10549" t="s">
        <v>46393</v>
      </c>
      <c r="U10549" t="s">
        <v>55409</v>
      </c>
      <c r="W10549" t="s">
        <v>43097</v>
      </c>
      <c r="X10549" t="s">
        <v>44916</v>
      </c>
    </row>
    <row r="10550" spans="1:24">
      <c r="A10550">
        <f>HYPERLINK("https://www.philgeps.gov.ph/GEPSNONPILOT/Tender/SplashBidNoticeAbstractUI.aspx?menuIndex=3&amp;refID=7065463&amp;Result=3","7065463")</f>
        <v>0</v>
      </c>
      <c r="B10550" t="s">
        <v>2932</v>
      </c>
      <c r="C10550" t="s">
        <v>13573</v>
      </c>
      <c r="D10550" t="s">
        <v>18100</v>
      </c>
      <c r="E10550" t="s">
        <v>27366</v>
      </c>
      <c r="F10550" t="s">
        <v>31362</v>
      </c>
      <c r="G10550" t="s">
        <v>31369</v>
      </c>
      <c r="H10550" t="s">
        <v>15799</v>
      </c>
      <c r="I10550" t="s">
        <v>31422</v>
      </c>
      <c r="J10550" t="s">
        <v>37959</v>
      </c>
      <c r="K10550" t="s">
        <v>40665</v>
      </c>
      <c r="M10550" t="s">
        <v>44151</v>
      </c>
      <c r="N10550" t="s">
        <v>44905</v>
      </c>
      <c r="O10550" t="s">
        <v>44906</v>
      </c>
      <c r="Q10550">
        <v>12</v>
      </c>
      <c r="R10550" t="s">
        <v>44915</v>
      </c>
      <c r="S10550" t="s">
        <v>45285</v>
      </c>
      <c r="T10550" t="s">
        <v>46641</v>
      </c>
      <c r="U10550" t="s">
        <v>55410</v>
      </c>
      <c r="W10550" t="s">
        <v>60948</v>
      </c>
      <c r="X10550" t="s">
        <v>44916</v>
      </c>
    </row>
    <row r="10551" spans="1:24">
      <c r="A10551">
        <f>HYPERLINK("https://www.philgeps.gov.ph/GEPSNONPILOT/Tender/SplashBidNoticeAbstractUI.aspx?menuIndex=3&amp;refID=7065521&amp;Result=3","7065521")</f>
        <v>0</v>
      </c>
      <c r="B10551" t="s">
        <v>2659</v>
      </c>
      <c r="C10551" t="s">
        <v>13574</v>
      </c>
      <c r="D10551" t="s">
        <v>18148</v>
      </c>
      <c r="E10551" t="s">
        <v>27367</v>
      </c>
      <c r="F10551" t="s">
        <v>31362</v>
      </c>
      <c r="G10551" t="s">
        <v>31369</v>
      </c>
      <c r="H10551" t="s">
        <v>15799</v>
      </c>
      <c r="I10551" t="s">
        <v>31478</v>
      </c>
      <c r="J10551" t="s">
        <v>37960</v>
      </c>
      <c r="K10551" t="s">
        <v>40665</v>
      </c>
      <c r="M10551" t="s">
        <v>43843</v>
      </c>
      <c r="N10551" t="s">
        <v>44905</v>
      </c>
      <c r="O10551" t="s">
        <v>44906</v>
      </c>
      <c r="P10551">
        <v>0</v>
      </c>
      <c r="Q10551">
        <v>2</v>
      </c>
      <c r="R10551" t="s">
        <v>44915</v>
      </c>
      <c r="S10551" t="s">
        <v>45255</v>
      </c>
      <c r="T10551" t="s">
        <v>46822</v>
      </c>
      <c r="U10551" t="s">
        <v>55411</v>
      </c>
      <c r="W10551" t="s">
        <v>43843</v>
      </c>
      <c r="X10551" t="s">
        <v>44916</v>
      </c>
    </row>
    <row r="10552" spans="1:24">
      <c r="A10552">
        <f>HYPERLINK("https://www.philgeps.gov.ph/GEPSNONPILOT/Tender/SplashBidNoticeAbstractUI.aspx?menuIndex=3&amp;refID=7065484&amp;Result=3","7065484")</f>
        <v>0</v>
      </c>
      <c r="B10552" t="s">
        <v>2923</v>
      </c>
      <c r="C10552" t="s">
        <v>13575</v>
      </c>
      <c r="D10552" t="s">
        <v>18108</v>
      </c>
      <c r="E10552" t="s">
        <v>27368</v>
      </c>
      <c r="F10552" t="s">
        <v>31362</v>
      </c>
      <c r="G10552" t="s">
        <v>31369</v>
      </c>
      <c r="H10552" t="s">
        <v>15799</v>
      </c>
      <c r="I10552" t="s">
        <v>31431</v>
      </c>
      <c r="J10552" t="s">
        <v>31530</v>
      </c>
      <c r="K10552" t="s">
        <v>40661</v>
      </c>
      <c r="M10552" t="s">
        <v>44139</v>
      </c>
      <c r="N10552" t="s">
        <v>44905</v>
      </c>
      <c r="O10552" t="s">
        <v>44906</v>
      </c>
      <c r="P10552">
        <v>0</v>
      </c>
      <c r="Q10552">
        <v>9</v>
      </c>
      <c r="R10552" t="s">
        <v>44915</v>
      </c>
      <c r="S10552" t="s">
        <v>45255</v>
      </c>
      <c r="T10552" t="s">
        <v>46434</v>
      </c>
      <c r="U10552" t="s">
        <v>55412</v>
      </c>
      <c r="W10552" t="s">
        <v>44139</v>
      </c>
      <c r="X10552" t="s">
        <v>44916</v>
      </c>
    </row>
    <row r="10553" spans="1:24">
      <c r="A10553">
        <f>HYPERLINK("https://www.philgeps.gov.ph/GEPSNONPILOT/Tender/SplashBidNoticeAbstractUI.aspx?menuIndex=3&amp;refID=7065260&amp;Result=3","7065260")</f>
        <v>0</v>
      </c>
      <c r="B10553" t="s">
        <v>2898</v>
      </c>
      <c r="C10553" t="s">
        <v>13576</v>
      </c>
      <c r="D10553" t="s">
        <v>18115</v>
      </c>
      <c r="E10553" t="s">
        <v>27369</v>
      </c>
      <c r="F10553" t="s">
        <v>31362</v>
      </c>
      <c r="G10553" t="s">
        <v>31369</v>
      </c>
      <c r="H10553" t="s">
        <v>15799</v>
      </c>
      <c r="I10553" t="s">
        <v>31427</v>
      </c>
      <c r="J10553" t="s">
        <v>37961</v>
      </c>
      <c r="K10553" t="s">
        <v>40661</v>
      </c>
      <c r="M10553" t="s">
        <v>44113</v>
      </c>
      <c r="N10553" t="s">
        <v>44905</v>
      </c>
      <c r="O10553" t="s">
        <v>44906</v>
      </c>
      <c r="P10553">
        <v>0</v>
      </c>
      <c r="Q10553">
        <v>3</v>
      </c>
      <c r="R10553" t="s">
        <v>44915</v>
      </c>
      <c r="S10553" t="s">
        <v>45255</v>
      </c>
      <c r="T10553" t="s">
        <v>46688</v>
      </c>
      <c r="U10553" t="s">
        <v>55413</v>
      </c>
      <c r="W10553" t="s">
        <v>44113</v>
      </c>
      <c r="X10553" t="s">
        <v>44916</v>
      </c>
    </row>
    <row r="10554" spans="1:24">
      <c r="A10554">
        <f>HYPERLINK("https://www.philgeps.gov.ph/GEPSNONPILOT/Tender/SplashBidNoticeAbstractUI.aspx?menuIndex=3&amp;refID=7065141&amp;Result=3","7065141")</f>
        <v>0</v>
      </c>
      <c r="B10554" t="s">
        <v>2904</v>
      </c>
      <c r="C10554" t="s">
        <v>13577</v>
      </c>
      <c r="D10554" t="s">
        <v>18135</v>
      </c>
      <c r="E10554" t="s">
        <v>27370</v>
      </c>
      <c r="F10554" t="s">
        <v>31362</v>
      </c>
      <c r="G10554" t="s">
        <v>31369</v>
      </c>
      <c r="H10554" t="s">
        <v>31378</v>
      </c>
      <c r="I10554" t="s">
        <v>31386</v>
      </c>
      <c r="J10554" t="s">
        <v>31586</v>
      </c>
      <c r="K10554" t="s">
        <v>40847</v>
      </c>
      <c r="M10554" t="s">
        <v>44119</v>
      </c>
      <c r="N10554" t="s">
        <v>44905</v>
      </c>
      <c r="O10554" t="s">
        <v>44906</v>
      </c>
      <c r="P10554">
        <v>0</v>
      </c>
      <c r="Q10554">
        <v>0</v>
      </c>
      <c r="R10554" t="s">
        <v>44915</v>
      </c>
      <c r="S10554" t="s">
        <v>45255</v>
      </c>
      <c r="T10554" t="s">
        <v>46533</v>
      </c>
      <c r="U10554" t="s">
        <v>55414</v>
      </c>
      <c r="V10554" t="s">
        <v>60184</v>
      </c>
      <c r="W10554" t="s">
        <v>44119</v>
      </c>
      <c r="X10554" t="s">
        <v>44916</v>
      </c>
    </row>
    <row r="10555" spans="1:24">
      <c r="A10555">
        <f>HYPERLINK("https://www.philgeps.gov.ph/GEPSNONPILOT/Tender/SplashBidNoticeAbstractUI.aspx?menuIndex=3&amp;refID=7065497&amp;Result=3","7065497")</f>
        <v>0</v>
      </c>
      <c r="B10555" t="s">
        <v>1558</v>
      </c>
      <c r="C10555" t="s">
        <v>7298</v>
      </c>
      <c r="D10555" t="s">
        <v>18173</v>
      </c>
      <c r="E10555" t="s">
        <v>25613</v>
      </c>
      <c r="F10555" t="s">
        <v>31362</v>
      </c>
      <c r="G10555" t="s">
        <v>31369</v>
      </c>
      <c r="H10555" t="s">
        <v>15799</v>
      </c>
      <c r="I10555" t="s">
        <v>31382</v>
      </c>
      <c r="J10555" t="s">
        <v>32023</v>
      </c>
      <c r="K10555" t="s">
        <v>40666</v>
      </c>
      <c r="M10555" t="s">
        <v>42609</v>
      </c>
      <c r="N10555" t="s">
        <v>44905</v>
      </c>
      <c r="O10555" t="s">
        <v>44906</v>
      </c>
      <c r="P10555">
        <v>0</v>
      </c>
      <c r="Q10555">
        <v>6</v>
      </c>
      <c r="R10555" t="s">
        <v>44915</v>
      </c>
      <c r="S10555" t="s">
        <v>45255</v>
      </c>
      <c r="T10555" t="s">
        <v>46519</v>
      </c>
      <c r="U10555" t="s">
        <v>55415</v>
      </c>
      <c r="W10555" t="s">
        <v>42609</v>
      </c>
      <c r="X10555" t="s">
        <v>44916</v>
      </c>
    </row>
    <row r="10556" spans="1:24">
      <c r="A10556">
        <f>HYPERLINK("https://www.philgeps.gov.ph/GEPSNONPILOT/Tender/SplashBidNoticeAbstractUI.aspx?menuIndex=3&amp;refID=7065477&amp;Result=3","7065477")</f>
        <v>0</v>
      </c>
      <c r="B10556" t="s">
        <v>211</v>
      </c>
      <c r="C10556" t="s">
        <v>13578</v>
      </c>
      <c r="D10556" t="s">
        <v>18161</v>
      </c>
      <c r="E10556" t="s">
        <v>27371</v>
      </c>
      <c r="F10556" t="s">
        <v>31362</v>
      </c>
      <c r="G10556" t="s">
        <v>31369</v>
      </c>
      <c r="H10556" t="s">
        <v>31378</v>
      </c>
      <c r="I10556" t="s">
        <v>31386</v>
      </c>
      <c r="J10556" t="s">
        <v>37962</v>
      </c>
      <c r="K10556" t="s">
        <v>40742</v>
      </c>
      <c r="M10556" t="s">
        <v>41150</v>
      </c>
      <c r="N10556" t="s">
        <v>44905</v>
      </c>
      <c r="O10556" t="s">
        <v>44906</v>
      </c>
      <c r="P10556">
        <v>0</v>
      </c>
      <c r="Q10556">
        <v>2</v>
      </c>
      <c r="R10556" t="s">
        <v>44915</v>
      </c>
      <c r="S10556" t="s">
        <v>45255</v>
      </c>
      <c r="T10556" t="s">
        <v>46392</v>
      </c>
      <c r="U10556" t="s">
        <v>55416</v>
      </c>
      <c r="V10556" t="s">
        <v>60199</v>
      </c>
      <c r="W10556" t="s">
        <v>41150</v>
      </c>
      <c r="X10556" t="s">
        <v>44916</v>
      </c>
    </row>
    <row r="10557" spans="1:24">
      <c r="A10557">
        <f>HYPERLINK("https://www.philgeps.gov.ph/GEPSNONPILOT/Tender/SplashBidNoticeAbstractUI.aspx?menuIndex=3&amp;refID=7065025&amp;Result=3","7065025")</f>
        <v>0</v>
      </c>
      <c r="B10557" t="s">
        <v>2669</v>
      </c>
      <c r="C10557" t="s">
        <v>13579</v>
      </c>
      <c r="D10557" t="s">
        <v>18152</v>
      </c>
      <c r="E10557" t="s">
        <v>27372</v>
      </c>
      <c r="F10557" t="s">
        <v>31362</v>
      </c>
      <c r="G10557" t="s">
        <v>31368</v>
      </c>
      <c r="H10557" t="s">
        <v>15799</v>
      </c>
      <c r="I10557" t="s">
        <v>31393</v>
      </c>
      <c r="J10557" t="s">
        <v>31739</v>
      </c>
      <c r="K10557" t="s">
        <v>40665</v>
      </c>
      <c r="M10557" t="s">
        <v>43853</v>
      </c>
      <c r="N10557" t="s">
        <v>44905</v>
      </c>
      <c r="O10557" t="s">
        <v>44906</v>
      </c>
      <c r="Q10557">
        <v>0</v>
      </c>
      <c r="R10557" t="s">
        <v>44915</v>
      </c>
      <c r="S10557" t="s">
        <v>45286</v>
      </c>
      <c r="T10557" t="s">
        <v>46432</v>
      </c>
      <c r="U10557" t="s">
        <v>55417</v>
      </c>
      <c r="W10557" t="s">
        <v>43853</v>
      </c>
      <c r="X10557" t="s">
        <v>44916</v>
      </c>
    </row>
    <row r="10558" spans="1:24">
      <c r="A10558">
        <f>HYPERLINK("https://www.philgeps.gov.ph/GEPSNONPILOT/Tender/SplashBidNoticeAbstractUI.aspx?menuIndex=3&amp;refID=7065022&amp;Result=3","7065022")</f>
        <v>0</v>
      </c>
      <c r="B10558" t="s">
        <v>2895</v>
      </c>
      <c r="C10558" t="s">
        <v>13580</v>
      </c>
      <c r="D10558" t="s">
        <v>18138</v>
      </c>
      <c r="E10558" t="s">
        <v>21944</v>
      </c>
      <c r="F10558" t="s">
        <v>31362</v>
      </c>
      <c r="G10558" t="s">
        <v>31369</v>
      </c>
      <c r="H10558" t="s">
        <v>15799</v>
      </c>
      <c r="I10558" t="s">
        <v>31385</v>
      </c>
      <c r="J10558" t="s">
        <v>37963</v>
      </c>
      <c r="K10558" t="s">
        <v>40677</v>
      </c>
      <c r="M10558" t="s">
        <v>44110</v>
      </c>
      <c r="N10558" t="s">
        <v>44905</v>
      </c>
      <c r="O10558" t="s">
        <v>44906</v>
      </c>
      <c r="P10558">
        <v>0</v>
      </c>
      <c r="Q10558">
        <v>1</v>
      </c>
      <c r="R10558" t="s">
        <v>44915</v>
      </c>
      <c r="S10558" t="s">
        <v>45255</v>
      </c>
      <c r="T10558" t="s">
        <v>46484</v>
      </c>
      <c r="U10558" t="s">
        <v>55418</v>
      </c>
      <c r="V10558" t="s">
        <v>60177</v>
      </c>
      <c r="W10558" t="s">
        <v>44110</v>
      </c>
      <c r="X10558" t="s">
        <v>44916</v>
      </c>
    </row>
    <row r="10559" spans="1:24">
      <c r="A10559">
        <f>HYPERLINK("https://www.philgeps.gov.ph/GEPSNONPILOT/Tender/SplashBidNoticeAbstractUI.aspx?menuIndex=3&amp;refID=7065013&amp;Result=3","7065013")</f>
        <v>0</v>
      </c>
      <c r="B10559" t="s">
        <v>2789</v>
      </c>
      <c r="C10559" t="s">
        <v>13581</v>
      </c>
      <c r="D10559" t="s">
        <v>18134</v>
      </c>
      <c r="E10559" t="s">
        <v>27373</v>
      </c>
      <c r="F10559" t="s">
        <v>31362</v>
      </c>
      <c r="G10559" t="s">
        <v>31368</v>
      </c>
      <c r="H10559" t="s">
        <v>15799</v>
      </c>
      <c r="I10559" t="s">
        <v>31430</v>
      </c>
      <c r="J10559" t="s">
        <v>37964</v>
      </c>
      <c r="K10559" t="s">
        <v>40666</v>
      </c>
      <c r="M10559" t="s">
        <v>43986</v>
      </c>
      <c r="N10559" t="s">
        <v>44905</v>
      </c>
      <c r="O10559" t="s">
        <v>44906</v>
      </c>
      <c r="P10559">
        <v>0</v>
      </c>
      <c r="Q10559">
        <v>1</v>
      </c>
      <c r="R10559" t="s">
        <v>44915</v>
      </c>
      <c r="S10559" t="s">
        <v>45255</v>
      </c>
      <c r="T10559" t="s">
        <v>46470</v>
      </c>
      <c r="U10559" t="s">
        <v>55364</v>
      </c>
      <c r="W10559" t="s">
        <v>43986</v>
      </c>
      <c r="X10559" t="s">
        <v>44916</v>
      </c>
    </row>
    <row r="10560" spans="1:24">
      <c r="A10560">
        <f>HYPERLINK("https://www.philgeps.gov.ph/GEPSNONPILOT/Tender/SplashBidNoticeAbstractUI.aspx?menuIndex=3&amp;refID=7065482&amp;Result=3","7065482")</f>
        <v>0</v>
      </c>
      <c r="B10560" t="s">
        <v>1453</v>
      </c>
      <c r="C10560" t="s">
        <v>13582</v>
      </c>
      <c r="D10560" t="s">
        <v>18101</v>
      </c>
      <c r="E10560" t="s">
        <v>27374</v>
      </c>
      <c r="F10560" t="s">
        <v>31362</v>
      </c>
      <c r="G10560" t="s">
        <v>31369</v>
      </c>
      <c r="H10560" t="s">
        <v>15799</v>
      </c>
      <c r="I10560" t="s">
        <v>31409</v>
      </c>
      <c r="J10560" t="s">
        <v>31637</v>
      </c>
      <c r="K10560" t="s">
        <v>40670</v>
      </c>
      <c r="M10560" t="s">
        <v>42484</v>
      </c>
      <c r="N10560" t="s">
        <v>44905</v>
      </c>
      <c r="O10560" t="s">
        <v>44906</v>
      </c>
      <c r="P10560">
        <v>0</v>
      </c>
      <c r="Q10560">
        <v>7</v>
      </c>
      <c r="R10560" t="s">
        <v>44915</v>
      </c>
      <c r="S10560" t="s">
        <v>45255</v>
      </c>
      <c r="T10560" t="s">
        <v>46462</v>
      </c>
      <c r="U10560" t="s">
        <v>55419</v>
      </c>
      <c r="W10560" t="s">
        <v>42484</v>
      </c>
      <c r="X10560" t="s">
        <v>44916</v>
      </c>
    </row>
    <row r="10561" spans="1:24">
      <c r="A10561">
        <f>HYPERLINK("https://www.philgeps.gov.ph/GEPSNONPILOT/Tender/SplashBidNoticeAbstractUI.aspx?menuIndex=3&amp;refID=7065009&amp;Result=3","7065009")</f>
        <v>0</v>
      </c>
      <c r="B10561" t="s">
        <v>880</v>
      </c>
      <c r="C10561" t="s">
        <v>13583</v>
      </c>
      <c r="D10561" t="s">
        <v>18139</v>
      </c>
      <c r="E10561" t="s">
        <v>27375</v>
      </c>
      <c r="F10561" t="s">
        <v>31362</v>
      </c>
      <c r="G10561" t="s">
        <v>31369</v>
      </c>
      <c r="H10561" t="s">
        <v>15799</v>
      </c>
      <c r="I10561" t="s">
        <v>7719</v>
      </c>
      <c r="J10561" t="s">
        <v>37965</v>
      </c>
      <c r="K10561" t="s">
        <v>40679</v>
      </c>
      <c r="M10561" t="s">
        <v>44141</v>
      </c>
      <c r="N10561" t="s">
        <v>44905</v>
      </c>
      <c r="O10561" t="s">
        <v>44906</v>
      </c>
      <c r="Q10561">
        <v>14</v>
      </c>
      <c r="R10561" t="s">
        <v>44915</v>
      </c>
      <c r="S10561" t="s">
        <v>45287</v>
      </c>
      <c r="T10561" t="s">
        <v>46659</v>
      </c>
      <c r="U10561" t="s">
        <v>55420</v>
      </c>
      <c r="W10561" t="s">
        <v>41857</v>
      </c>
      <c r="X10561" t="s">
        <v>44916</v>
      </c>
    </row>
    <row r="10562" spans="1:24">
      <c r="A10562">
        <f>HYPERLINK("https://www.philgeps.gov.ph/GEPSNONPILOT/Tender/SplashBidNoticeAbstractUI.aspx?menuIndex=3&amp;refID=7064987&amp;Result=3","7064987")</f>
        <v>0</v>
      </c>
      <c r="B10562" t="s">
        <v>2900</v>
      </c>
      <c r="C10562" t="s">
        <v>13584</v>
      </c>
      <c r="D10562" t="s">
        <v>18102</v>
      </c>
      <c r="E10562" t="s">
        <v>27376</v>
      </c>
      <c r="F10562" t="s">
        <v>31362</v>
      </c>
      <c r="G10562" t="s">
        <v>31369</v>
      </c>
      <c r="H10562" t="s">
        <v>31378</v>
      </c>
      <c r="I10562" t="s">
        <v>31386</v>
      </c>
      <c r="J10562" t="s">
        <v>31542</v>
      </c>
      <c r="K10562" t="s">
        <v>40746</v>
      </c>
      <c r="M10562" t="s">
        <v>44115</v>
      </c>
      <c r="N10562" t="s">
        <v>44905</v>
      </c>
      <c r="O10562" t="s">
        <v>44906</v>
      </c>
      <c r="P10562">
        <v>0</v>
      </c>
      <c r="Q10562">
        <v>0</v>
      </c>
      <c r="R10562" t="s">
        <v>44915</v>
      </c>
      <c r="S10562" t="s">
        <v>45255</v>
      </c>
      <c r="T10562" t="s">
        <v>46391</v>
      </c>
      <c r="U10562" t="s">
        <v>55326</v>
      </c>
      <c r="W10562" t="s">
        <v>44115</v>
      </c>
      <c r="X10562" t="s">
        <v>44916</v>
      </c>
    </row>
    <row r="10563" spans="1:24">
      <c r="A10563">
        <f>HYPERLINK("https://www.philgeps.gov.ph/GEPSNONPILOT/Tender/SplashBidNoticeAbstractUI.aspx?menuIndex=3&amp;refID=7064889&amp;Result=3","7064889")</f>
        <v>0</v>
      </c>
      <c r="B10563" t="s">
        <v>2933</v>
      </c>
      <c r="C10563" t="s">
        <v>13585</v>
      </c>
      <c r="D10563" t="s">
        <v>18120</v>
      </c>
      <c r="E10563" t="s">
        <v>27377</v>
      </c>
      <c r="F10563" t="s">
        <v>31362</v>
      </c>
      <c r="G10563" t="s">
        <v>31369</v>
      </c>
      <c r="H10563" t="s">
        <v>15799</v>
      </c>
      <c r="I10563" t="s">
        <v>31382</v>
      </c>
      <c r="J10563" t="s">
        <v>34187</v>
      </c>
      <c r="K10563" t="s">
        <v>40662</v>
      </c>
      <c r="M10563" t="s">
        <v>44152</v>
      </c>
      <c r="N10563" t="s">
        <v>44905</v>
      </c>
      <c r="O10563" t="s">
        <v>44906</v>
      </c>
      <c r="P10563">
        <v>0</v>
      </c>
      <c r="Q10563">
        <v>26</v>
      </c>
      <c r="R10563" t="s">
        <v>44915</v>
      </c>
      <c r="S10563" t="s">
        <v>45255</v>
      </c>
      <c r="T10563" t="s">
        <v>46519</v>
      </c>
      <c r="U10563" t="s">
        <v>55421</v>
      </c>
      <c r="W10563" t="s">
        <v>44152</v>
      </c>
      <c r="X10563" t="s">
        <v>44916</v>
      </c>
    </row>
    <row r="10564" spans="1:24">
      <c r="A10564">
        <f>HYPERLINK("https://www.philgeps.gov.ph/GEPSNONPILOT/Tender/SplashBidNoticeAbstractUI.aspx?menuIndex=3&amp;refID=7065126&amp;Result=3","7065126")</f>
        <v>0</v>
      </c>
      <c r="B10564" t="s">
        <v>585</v>
      </c>
      <c r="C10564" t="s">
        <v>13586</v>
      </c>
      <c r="D10564" t="s">
        <v>18100</v>
      </c>
      <c r="E10564" t="s">
        <v>27378</v>
      </c>
      <c r="F10564" t="s">
        <v>31362</v>
      </c>
      <c r="G10564" t="s">
        <v>31368</v>
      </c>
      <c r="H10564" t="s">
        <v>15799</v>
      </c>
      <c r="I10564" t="s">
        <v>7188</v>
      </c>
      <c r="J10564" t="s">
        <v>31604</v>
      </c>
      <c r="K10564" t="s">
        <v>40662</v>
      </c>
      <c r="M10564" t="s">
        <v>41542</v>
      </c>
      <c r="N10564" t="s">
        <v>44905</v>
      </c>
      <c r="O10564" t="s">
        <v>44906</v>
      </c>
      <c r="P10564">
        <v>0</v>
      </c>
      <c r="Q10564">
        <v>1</v>
      </c>
      <c r="R10564" t="s">
        <v>44915</v>
      </c>
      <c r="S10564" t="s">
        <v>45255</v>
      </c>
      <c r="T10564" t="s">
        <v>46393</v>
      </c>
      <c r="U10564" t="s">
        <v>49538</v>
      </c>
      <c r="W10564" t="s">
        <v>41542</v>
      </c>
      <c r="X10564" t="s">
        <v>44916</v>
      </c>
    </row>
    <row r="10565" spans="1:24">
      <c r="A10565">
        <f>HYPERLINK("https://www.philgeps.gov.ph/GEPSNONPILOT/Tender/SplashBidNoticeAbstractUI.aspx?menuIndex=3&amp;refID=7064882&amp;Result=3","7064882")</f>
        <v>0</v>
      </c>
      <c r="B10565" t="s">
        <v>2898</v>
      </c>
      <c r="C10565" t="s">
        <v>13587</v>
      </c>
      <c r="D10565" t="s">
        <v>18115</v>
      </c>
      <c r="E10565" t="s">
        <v>23036</v>
      </c>
      <c r="F10565" t="s">
        <v>31362</v>
      </c>
      <c r="G10565" t="s">
        <v>31369</v>
      </c>
      <c r="H10565" t="s">
        <v>15799</v>
      </c>
      <c r="I10565" t="s">
        <v>3815</v>
      </c>
      <c r="J10565" t="s">
        <v>37966</v>
      </c>
      <c r="K10565" t="s">
        <v>40661</v>
      </c>
      <c r="M10565" t="s">
        <v>44113</v>
      </c>
      <c r="N10565" t="s">
        <v>44905</v>
      </c>
      <c r="O10565" t="s">
        <v>44906</v>
      </c>
      <c r="P10565">
        <v>0</v>
      </c>
      <c r="Q10565">
        <v>3</v>
      </c>
      <c r="R10565" t="s">
        <v>44915</v>
      </c>
      <c r="S10565" t="s">
        <v>45255</v>
      </c>
      <c r="T10565" t="s">
        <v>46638</v>
      </c>
      <c r="U10565" t="s">
        <v>55422</v>
      </c>
      <c r="W10565" t="s">
        <v>44113</v>
      </c>
      <c r="X10565" t="s">
        <v>44916</v>
      </c>
    </row>
    <row r="10566" spans="1:24">
      <c r="A10566">
        <f>HYPERLINK("https://www.philgeps.gov.ph/GEPSNONPILOT/Tender/SplashBidNoticeAbstractUI.aspx?menuIndex=3&amp;refID=7062546&amp;Result=3","7062546")</f>
        <v>0</v>
      </c>
      <c r="B10566" t="s">
        <v>1425</v>
      </c>
      <c r="C10566" t="s">
        <v>13588</v>
      </c>
      <c r="D10566" t="s">
        <v>18100</v>
      </c>
      <c r="E10566" t="s">
        <v>27379</v>
      </c>
      <c r="F10566" t="s">
        <v>31362</v>
      </c>
      <c r="G10566" t="s">
        <v>31369</v>
      </c>
      <c r="H10566" t="s">
        <v>31378</v>
      </c>
      <c r="I10566" t="s">
        <v>31386</v>
      </c>
      <c r="J10566" t="s">
        <v>36032</v>
      </c>
      <c r="K10566" t="s">
        <v>40682</v>
      </c>
      <c r="M10566" t="s">
        <v>42452</v>
      </c>
      <c r="N10566" t="s">
        <v>44905</v>
      </c>
      <c r="O10566" t="s">
        <v>44906</v>
      </c>
      <c r="P10566">
        <v>0</v>
      </c>
      <c r="Q10566">
        <v>4</v>
      </c>
      <c r="R10566" t="s">
        <v>44915</v>
      </c>
      <c r="S10566" t="s">
        <v>45255</v>
      </c>
      <c r="T10566" t="s">
        <v>46504</v>
      </c>
      <c r="U10566" t="s">
        <v>55423</v>
      </c>
      <c r="W10566" t="s">
        <v>42452</v>
      </c>
      <c r="X10566" t="s">
        <v>44917</v>
      </c>
    </row>
    <row r="10567" spans="1:24">
      <c r="A10567">
        <f>HYPERLINK("https://www.philgeps.gov.ph/GEPSNONPILOT/Tender/SplashBidNoticeAbstractUI.aspx?menuIndex=3&amp;refID=7064993&amp;Result=3","7064993")</f>
        <v>0</v>
      </c>
      <c r="B10567" t="s">
        <v>440</v>
      </c>
      <c r="C10567" t="s">
        <v>13589</v>
      </c>
      <c r="D10567" t="s">
        <v>18154</v>
      </c>
      <c r="E10567" t="s">
        <v>27380</v>
      </c>
      <c r="F10567" t="s">
        <v>31362</v>
      </c>
      <c r="G10567" t="s">
        <v>31372</v>
      </c>
      <c r="H10567" t="s">
        <v>31378</v>
      </c>
      <c r="I10567" t="s">
        <v>31386</v>
      </c>
      <c r="J10567" t="s">
        <v>37967</v>
      </c>
      <c r="K10567" t="s">
        <v>40662</v>
      </c>
      <c r="M10567" t="s">
        <v>41604</v>
      </c>
      <c r="N10567" t="s">
        <v>44905</v>
      </c>
      <c r="O10567" t="s">
        <v>44906</v>
      </c>
      <c r="P10567">
        <v>0</v>
      </c>
      <c r="Q10567">
        <v>1</v>
      </c>
      <c r="R10567" t="s">
        <v>44915</v>
      </c>
      <c r="S10567" t="s">
        <v>45255</v>
      </c>
      <c r="T10567" t="s">
        <v>46447</v>
      </c>
      <c r="U10567" t="s">
        <v>55424</v>
      </c>
      <c r="W10567" t="s">
        <v>41604</v>
      </c>
      <c r="X10567" t="s">
        <v>44916</v>
      </c>
    </row>
    <row r="10568" spans="1:24">
      <c r="A10568">
        <f>HYPERLINK("https://www.philgeps.gov.ph/GEPSNONPILOT/Tender/SplashBidNoticeAbstractUI.aspx?menuIndex=3&amp;refID=7062304&amp;Result=3","7062304")</f>
        <v>0</v>
      </c>
      <c r="B10568" t="s">
        <v>377</v>
      </c>
      <c r="C10568" t="s">
        <v>13590</v>
      </c>
      <c r="D10568" t="s">
        <v>18108</v>
      </c>
      <c r="E10568" t="s">
        <v>27381</v>
      </c>
      <c r="F10568" t="s">
        <v>31362</v>
      </c>
      <c r="G10568" t="s">
        <v>31369</v>
      </c>
      <c r="H10568" t="s">
        <v>31378</v>
      </c>
      <c r="I10568" t="s">
        <v>31386</v>
      </c>
      <c r="J10568" t="s">
        <v>37968</v>
      </c>
      <c r="K10568" t="s">
        <v>40686</v>
      </c>
      <c r="M10568" t="s">
        <v>44096</v>
      </c>
      <c r="N10568" t="s">
        <v>44905</v>
      </c>
      <c r="O10568" t="s">
        <v>44906</v>
      </c>
      <c r="Q10568">
        <v>40</v>
      </c>
      <c r="R10568" t="s">
        <v>44915</v>
      </c>
      <c r="S10568" t="s">
        <v>45288</v>
      </c>
      <c r="T10568" t="s">
        <v>46595</v>
      </c>
      <c r="U10568" t="s">
        <v>55425</v>
      </c>
      <c r="W10568" t="s">
        <v>44096</v>
      </c>
      <c r="X10568" t="s">
        <v>44917</v>
      </c>
    </row>
    <row r="10569" spans="1:24">
      <c r="A10569">
        <f>HYPERLINK("https://www.philgeps.gov.ph/GEPSNONPILOT/Tender/SplashBidNoticeAbstractUI.aspx?menuIndex=3&amp;refID=7062290&amp;Result=3","7062290")</f>
        <v>0</v>
      </c>
      <c r="B10569" t="s">
        <v>2808</v>
      </c>
      <c r="C10569" t="s">
        <v>13591</v>
      </c>
      <c r="D10569" t="s">
        <v>18117</v>
      </c>
      <c r="E10569" t="s">
        <v>27382</v>
      </c>
      <c r="F10569" t="s">
        <v>31362</v>
      </c>
      <c r="G10569" t="s">
        <v>31369</v>
      </c>
      <c r="H10569" t="s">
        <v>15799</v>
      </c>
      <c r="I10569" t="s">
        <v>7719</v>
      </c>
      <c r="J10569" t="s">
        <v>37969</v>
      </c>
      <c r="K10569" t="s">
        <v>40682</v>
      </c>
      <c r="M10569" t="s">
        <v>44153</v>
      </c>
      <c r="N10569" t="s">
        <v>44905</v>
      </c>
      <c r="O10569" t="s">
        <v>44906</v>
      </c>
      <c r="P10569">
        <v>0</v>
      </c>
      <c r="Q10569">
        <v>17</v>
      </c>
      <c r="R10569" t="s">
        <v>44915</v>
      </c>
      <c r="S10569" t="s">
        <v>45255</v>
      </c>
      <c r="T10569" t="s">
        <v>46524</v>
      </c>
      <c r="U10569" t="s">
        <v>55426</v>
      </c>
      <c r="W10569" t="s">
        <v>44153</v>
      </c>
      <c r="X10569" t="s">
        <v>44917</v>
      </c>
    </row>
    <row r="10570" spans="1:24">
      <c r="A10570">
        <f>HYPERLINK("https://www.philgeps.gov.ph/GEPSNONPILOT/Tender/SplashBidNoticeAbstractUI.aspx?menuIndex=3&amp;refID=7062159&amp;Result=3","7062159")</f>
        <v>0</v>
      </c>
      <c r="B10570" t="s">
        <v>377</v>
      </c>
      <c r="C10570" t="s">
        <v>13592</v>
      </c>
      <c r="D10570" t="s">
        <v>18108</v>
      </c>
      <c r="E10570" t="s">
        <v>27383</v>
      </c>
      <c r="F10570" t="s">
        <v>31362</v>
      </c>
      <c r="G10570" t="s">
        <v>31369</v>
      </c>
      <c r="H10570" t="s">
        <v>31378</v>
      </c>
      <c r="I10570" t="s">
        <v>31386</v>
      </c>
      <c r="J10570" t="s">
        <v>37970</v>
      </c>
      <c r="K10570" t="s">
        <v>40683</v>
      </c>
      <c r="M10570" t="s">
        <v>44096</v>
      </c>
      <c r="N10570" t="s">
        <v>44905</v>
      </c>
      <c r="O10570" t="s">
        <v>44906</v>
      </c>
      <c r="Q10570">
        <v>43</v>
      </c>
      <c r="R10570" t="s">
        <v>44915</v>
      </c>
      <c r="S10570" t="s">
        <v>45289</v>
      </c>
      <c r="T10570" t="s">
        <v>46595</v>
      </c>
      <c r="U10570" t="s">
        <v>55427</v>
      </c>
      <c r="W10570" t="s">
        <v>44096</v>
      </c>
      <c r="X10570" t="s">
        <v>44917</v>
      </c>
    </row>
    <row r="10571" spans="1:24">
      <c r="A10571">
        <f>HYPERLINK("https://www.philgeps.gov.ph/GEPSNONPILOT/Tender/SplashBidNoticeAbstractUI.aspx?menuIndex=3&amp;refID=7062094&amp;Result=3","7062094")</f>
        <v>0</v>
      </c>
      <c r="B10571" t="s">
        <v>2934</v>
      </c>
      <c r="C10571" t="s">
        <v>13593</v>
      </c>
      <c r="D10571" t="s">
        <v>18101</v>
      </c>
      <c r="E10571" t="s">
        <v>27384</v>
      </c>
      <c r="F10571" t="s">
        <v>31362</v>
      </c>
      <c r="G10571" t="s">
        <v>31369</v>
      </c>
      <c r="H10571" t="s">
        <v>15799</v>
      </c>
      <c r="I10571" t="s">
        <v>7719</v>
      </c>
      <c r="J10571" t="s">
        <v>31615</v>
      </c>
      <c r="K10571" t="s">
        <v>40682</v>
      </c>
      <c r="M10571" t="s">
        <v>44154</v>
      </c>
      <c r="N10571" t="s">
        <v>44905</v>
      </c>
      <c r="O10571" t="s">
        <v>44906</v>
      </c>
      <c r="P10571">
        <v>0</v>
      </c>
      <c r="Q10571">
        <v>7</v>
      </c>
      <c r="R10571" t="s">
        <v>44915</v>
      </c>
      <c r="S10571" t="s">
        <v>45255</v>
      </c>
      <c r="T10571" t="s">
        <v>46404</v>
      </c>
      <c r="U10571" t="s">
        <v>55428</v>
      </c>
      <c r="W10571" t="s">
        <v>44154</v>
      </c>
      <c r="X10571" t="s">
        <v>44917</v>
      </c>
    </row>
    <row r="10572" spans="1:24">
      <c r="A10572">
        <f>HYPERLINK("https://www.philgeps.gov.ph/GEPSNONPILOT/Tender/SplashBidNoticeAbstractUI.aspx?menuIndex=3&amp;refID=7062002&amp;Result=3","7062002")</f>
        <v>0</v>
      </c>
      <c r="B10572" t="s">
        <v>2934</v>
      </c>
      <c r="C10572" t="s">
        <v>13594</v>
      </c>
      <c r="D10572" t="s">
        <v>18101</v>
      </c>
      <c r="E10572" t="s">
        <v>27385</v>
      </c>
      <c r="F10572" t="s">
        <v>31362</v>
      </c>
      <c r="G10572" t="s">
        <v>31369</v>
      </c>
      <c r="H10572" t="s">
        <v>15799</v>
      </c>
      <c r="I10572" t="s">
        <v>7719</v>
      </c>
      <c r="J10572" t="s">
        <v>32894</v>
      </c>
      <c r="K10572" t="s">
        <v>40682</v>
      </c>
      <c r="M10572" t="s">
        <v>44154</v>
      </c>
      <c r="N10572" t="s">
        <v>44905</v>
      </c>
      <c r="O10572" t="s">
        <v>44906</v>
      </c>
      <c r="P10572">
        <v>0</v>
      </c>
      <c r="Q10572">
        <v>7</v>
      </c>
      <c r="R10572" t="s">
        <v>44915</v>
      </c>
      <c r="S10572" t="s">
        <v>45255</v>
      </c>
      <c r="T10572" t="s">
        <v>46404</v>
      </c>
      <c r="U10572" t="s">
        <v>55429</v>
      </c>
      <c r="W10572" t="s">
        <v>44154</v>
      </c>
      <c r="X10572" t="s">
        <v>44917</v>
      </c>
    </row>
    <row r="10573" spans="1:24">
      <c r="A10573">
        <f>HYPERLINK("https://www.philgeps.gov.ph/GEPSNONPILOT/Tender/SplashBidNoticeAbstractUI.aspx?menuIndex=3&amp;refID=7065153&amp;Result=3","7065153")</f>
        <v>0</v>
      </c>
      <c r="B10573" t="s">
        <v>2669</v>
      </c>
      <c r="C10573" t="s">
        <v>13595</v>
      </c>
      <c r="D10573" t="s">
        <v>18152</v>
      </c>
      <c r="E10573" t="s">
        <v>27386</v>
      </c>
      <c r="F10573" t="s">
        <v>31362</v>
      </c>
      <c r="G10573" t="s">
        <v>31369</v>
      </c>
      <c r="H10573" t="s">
        <v>15799</v>
      </c>
      <c r="I10573" t="s">
        <v>31406</v>
      </c>
      <c r="J10573" t="s">
        <v>34706</v>
      </c>
      <c r="K10573" t="s">
        <v>40665</v>
      </c>
      <c r="M10573" t="s">
        <v>43853</v>
      </c>
      <c r="N10573" t="s">
        <v>44905</v>
      </c>
      <c r="O10573" t="s">
        <v>44906</v>
      </c>
      <c r="Q10573">
        <v>4</v>
      </c>
      <c r="R10573" t="s">
        <v>44915</v>
      </c>
      <c r="S10573" t="s">
        <v>45290</v>
      </c>
      <c r="T10573" t="s">
        <v>46432</v>
      </c>
      <c r="U10573" t="s">
        <v>55430</v>
      </c>
      <c r="W10573" t="s">
        <v>43853</v>
      </c>
      <c r="X10573" t="s">
        <v>44916</v>
      </c>
    </row>
    <row r="10574" spans="1:24">
      <c r="A10574">
        <f>HYPERLINK("https://www.philgeps.gov.ph/GEPSNONPILOT/Tender/SplashBidNoticeAbstractUI.aspx?menuIndex=3&amp;refID=7065644&amp;Result=3","7065644")</f>
        <v>0</v>
      </c>
      <c r="B10574" t="s">
        <v>2925</v>
      </c>
      <c r="C10574" t="s">
        <v>13596</v>
      </c>
      <c r="D10574" t="s">
        <v>18109</v>
      </c>
      <c r="E10574" t="s">
        <v>27387</v>
      </c>
      <c r="F10574" t="s">
        <v>31362</v>
      </c>
      <c r="G10574" t="s">
        <v>31370</v>
      </c>
      <c r="H10574" t="s">
        <v>15799</v>
      </c>
      <c r="I10574" t="s">
        <v>3815</v>
      </c>
      <c r="J10574" t="s">
        <v>37971</v>
      </c>
      <c r="K10574" t="s">
        <v>40666</v>
      </c>
      <c r="M10574" t="s">
        <v>44142</v>
      </c>
      <c r="N10574" t="s">
        <v>44905</v>
      </c>
      <c r="O10574" t="s">
        <v>44906</v>
      </c>
      <c r="P10574">
        <v>0</v>
      </c>
      <c r="Q10574">
        <v>3</v>
      </c>
      <c r="R10574" t="s">
        <v>44915</v>
      </c>
      <c r="S10574" t="s">
        <v>45255</v>
      </c>
      <c r="T10574" t="s">
        <v>46428</v>
      </c>
      <c r="U10574" t="s">
        <v>55431</v>
      </c>
      <c r="W10574" t="s">
        <v>44142</v>
      </c>
      <c r="X10574" t="s">
        <v>44916</v>
      </c>
    </row>
    <row r="10575" spans="1:24">
      <c r="A10575">
        <f>HYPERLINK("https://www.philgeps.gov.ph/GEPSNONPILOT/Tender/SplashBidNoticeAbstractUI.aspx?menuIndex=3&amp;refID=7064892&amp;Result=3","7064892")</f>
        <v>0</v>
      </c>
      <c r="B10575" t="s">
        <v>1075</v>
      </c>
      <c r="C10575" t="s">
        <v>13597</v>
      </c>
      <c r="D10575" t="s">
        <v>18101</v>
      </c>
      <c r="E10575" t="s">
        <v>27388</v>
      </c>
      <c r="F10575" t="s">
        <v>31362</v>
      </c>
      <c r="G10575" t="s">
        <v>31369</v>
      </c>
      <c r="H10575" t="s">
        <v>15799</v>
      </c>
      <c r="I10575" t="s">
        <v>3815</v>
      </c>
      <c r="J10575" t="s">
        <v>37972</v>
      </c>
      <c r="K10575" t="s">
        <v>40666</v>
      </c>
      <c r="M10575" t="s">
        <v>42077</v>
      </c>
      <c r="N10575" t="s">
        <v>44905</v>
      </c>
      <c r="O10575" t="s">
        <v>44906</v>
      </c>
      <c r="P10575">
        <v>0</v>
      </c>
      <c r="Q10575">
        <v>0</v>
      </c>
      <c r="R10575" t="s">
        <v>44915</v>
      </c>
      <c r="S10575" t="s">
        <v>45255</v>
      </c>
      <c r="T10575" t="s">
        <v>46411</v>
      </c>
      <c r="U10575" t="s">
        <v>55432</v>
      </c>
      <c r="W10575" t="s">
        <v>42077</v>
      </c>
      <c r="X10575" t="s">
        <v>44916</v>
      </c>
    </row>
    <row r="10576" spans="1:24">
      <c r="A10576">
        <f>HYPERLINK("https://www.philgeps.gov.ph/GEPSNONPILOT/Tender/SplashBidNoticeAbstractUI.aspx?menuIndex=3&amp;refID=7065641&amp;Result=3","7065641")</f>
        <v>0</v>
      </c>
      <c r="B10576" t="s">
        <v>1834</v>
      </c>
      <c r="C10576" t="s">
        <v>13598</v>
      </c>
      <c r="D10576" t="s">
        <v>18153</v>
      </c>
      <c r="E10576" t="s">
        <v>27389</v>
      </c>
      <c r="F10576" t="s">
        <v>31362</v>
      </c>
      <c r="G10576" t="s">
        <v>31369</v>
      </c>
      <c r="H10576" t="s">
        <v>31378</v>
      </c>
      <c r="I10576" t="s">
        <v>31386</v>
      </c>
      <c r="J10576" t="s">
        <v>37973</v>
      </c>
      <c r="K10576" t="s">
        <v>40735</v>
      </c>
      <c r="M10576" t="s">
        <v>42921</v>
      </c>
      <c r="N10576" t="s">
        <v>44905</v>
      </c>
      <c r="O10576" t="s">
        <v>44906</v>
      </c>
      <c r="P10576">
        <v>0</v>
      </c>
      <c r="Q10576">
        <v>0</v>
      </c>
      <c r="R10576" t="s">
        <v>44915</v>
      </c>
      <c r="S10576" t="s">
        <v>45255</v>
      </c>
      <c r="T10576" t="s">
        <v>46561</v>
      </c>
      <c r="U10576" t="s">
        <v>55433</v>
      </c>
      <c r="W10576" t="s">
        <v>42921</v>
      </c>
      <c r="X10576" t="s">
        <v>44916</v>
      </c>
    </row>
    <row r="10577" spans="1:24">
      <c r="A10577">
        <f>HYPERLINK("https://www.philgeps.gov.ph/GEPSNONPILOT/Tender/SplashBidNoticeAbstractUI.aspx?menuIndex=3&amp;refID=7065631&amp;Result=3","7065631")</f>
        <v>0</v>
      </c>
      <c r="B10577" t="s">
        <v>1070</v>
      </c>
      <c r="C10577" t="s">
        <v>13599</v>
      </c>
      <c r="D10577" t="s">
        <v>18138</v>
      </c>
      <c r="E10577" t="s">
        <v>25365</v>
      </c>
      <c r="F10577" t="s">
        <v>31362</v>
      </c>
      <c r="G10577" t="s">
        <v>31369</v>
      </c>
      <c r="H10577" t="s">
        <v>15799</v>
      </c>
      <c r="I10577" t="s">
        <v>31404</v>
      </c>
      <c r="J10577" t="s">
        <v>37974</v>
      </c>
      <c r="K10577" t="s">
        <v>40666</v>
      </c>
      <c r="M10577" t="s">
        <v>42072</v>
      </c>
      <c r="N10577" t="s">
        <v>44905</v>
      </c>
      <c r="O10577" t="s">
        <v>44906</v>
      </c>
      <c r="P10577">
        <v>0</v>
      </c>
      <c r="Q10577">
        <v>1</v>
      </c>
      <c r="R10577" t="s">
        <v>44915</v>
      </c>
      <c r="S10577" t="s">
        <v>45255</v>
      </c>
      <c r="T10577" t="s">
        <v>46635</v>
      </c>
      <c r="U10577" t="s">
        <v>55434</v>
      </c>
      <c r="W10577" t="s">
        <v>42072</v>
      </c>
      <c r="X10577" t="s">
        <v>44916</v>
      </c>
    </row>
    <row r="10578" spans="1:24">
      <c r="A10578">
        <f>HYPERLINK("https://www.philgeps.gov.ph/GEPSNONPILOT/Tender/SplashBidNoticeAbstractUI.aspx?menuIndex=3&amp;refID=7065621&amp;Result=3","7065621")</f>
        <v>0</v>
      </c>
      <c r="B10578" t="s">
        <v>2935</v>
      </c>
      <c r="C10578" t="s">
        <v>13600</v>
      </c>
      <c r="D10578" t="s">
        <v>18158</v>
      </c>
      <c r="E10578" t="s">
        <v>27390</v>
      </c>
      <c r="F10578" t="s">
        <v>31362</v>
      </c>
      <c r="G10578" t="s">
        <v>31369</v>
      </c>
      <c r="H10578" t="s">
        <v>15799</v>
      </c>
      <c r="I10578" t="s">
        <v>3815</v>
      </c>
      <c r="J10578" t="s">
        <v>37975</v>
      </c>
      <c r="K10578" t="s">
        <v>40675</v>
      </c>
      <c r="M10578" t="s">
        <v>44155</v>
      </c>
      <c r="N10578" t="s">
        <v>44905</v>
      </c>
      <c r="O10578" t="s">
        <v>44906</v>
      </c>
      <c r="P10578">
        <v>0</v>
      </c>
      <c r="Q10578">
        <v>1</v>
      </c>
      <c r="R10578" t="s">
        <v>44915</v>
      </c>
      <c r="S10578" t="s">
        <v>45255</v>
      </c>
      <c r="T10578" t="s">
        <v>46504</v>
      </c>
      <c r="U10578" t="s">
        <v>55435</v>
      </c>
      <c r="V10578" t="s">
        <v>59231</v>
      </c>
      <c r="W10578" t="s">
        <v>60949</v>
      </c>
      <c r="X10578" t="s">
        <v>44916</v>
      </c>
    </row>
    <row r="10579" spans="1:24">
      <c r="A10579">
        <f>HYPERLINK("https://www.philgeps.gov.ph/GEPSNONPILOT/Tender/SplashBidNoticeAbstractUI.aspx?menuIndex=3&amp;refID=7065608&amp;Result=3","7065608")</f>
        <v>0</v>
      </c>
      <c r="B10579" t="s">
        <v>2936</v>
      </c>
      <c r="C10579" t="s">
        <v>13601</v>
      </c>
      <c r="D10579" t="s">
        <v>18104</v>
      </c>
      <c r="E10579" t="s">
        <v>27391</v>
      </c>
      <c r="F10579" t="s">
        <v>31362</v>
      </c>
      <c r="G10579" t="s">
        <v>31369</v>
      </c>
      <c r="H10579" t="s">
        <v>31378</v>
      </c>
      <c r="I10579" t="s">
        <v>31392</v>
      </c>
      <c r="J10579" t="s">
        <v>31606</v>
      </c>
      <c r="K10579" t="s">
        <v>40756</v>
      </c>
      <c r="M10579" t="s">
        <v>44156</v>
      </c>
      <c r="N10579" t="s">
        <v>44905</v>
      </c>
      <c r="O10579" t="s">
        <v>44906</v>
      </c>
      <c r="Q10579">
        <v>3</v>
      </c>
      <c r="R10579" t="s">
        <v>44915</v>
      </c>
      <c r="S10579" t="s">
        <v>45291</v>
      </c>
      <c r="T10579" t="s">
        <v>46393</v>
      </c>
      <c r="U10579" t="s">
        <v>55436</v>
      </c>
      <c r="W10579" t="s">
        <v>44156</v>
      </c>
      <c r="X10579" t="s">
        <v>44916</v>
      </c>
    </row>
    <row r="10580" spans="1:24">
      <c r="A10580">
        <f>HYPERLINK("https://www.philgeps.gov.ph/GEPSNONPILOT/Tender/SplashBidNoticeAbstractUI.aspx?menuIndex=3&amp;refID=7065655&amp;Result=3","7065655")</f>
        <v>0</v>
      </c>
      <c r="B10580" t="s">
        <v>418</v>
      </c>
      <c r="C10580" t="s">
        <v>13602</v>
      </c>
      <c r="D10580" t="s">
        <v>18100</v>
      </c>
      <c r="E10580" t="s">
        <v>27392</v>
      </c>
      <c r="F10580" t="s">
        <v>31362</v>
      </c>
      <c r="G10580" t="s">
        <v>31369</v>
      </c>
      <c r="H10580" t="s">
        <v>31378</v>
      </c>
      <c r="I10580" t="s">
        <v>31386</v>
      </c>
      <c r="J10580" t="s">
        <v>37976</v>
      </c>
      <c r="K10580" t="s">
        <v>40662</v>
      </c>
      <c r="M10580" t="s">
        <v>44157</v>
      </c>
      <c r="N10580" t="s">
        <v>44905</v>
      </c>
      <c r="O10580" t="s">
        <v>44906</v>
      </c>
      <c r="P10580">
        <v>0</v>
      </c>
      <c r="Q10580">
        <v>5</v>
      </c>
      <c r="R10580" t="s">
        <v>44915</v>
      </c>
      <c r="S10580" t="s">
        <v>45255</v>
      </c>
      <c r="T10580" t="s">
        <v>46671</v>
      </c>
      <c r="U10580" t="s">
        <v>55437</v>
      </c>
      <c r="W10580" t="s">
        <v>44157</v>
      </c>
      <c r="X10580" t="s">
        <v>44916</v>
      </c>
    </row>
    <row r="10581" spans="1:24">
      <c r="A10581">
        <f>HYPERLINK("https://www.philgeps.gov.ph/GEPSNONPILOT/Tender/SplashBidNoticeAbstractUI.aspx?menuIndex=3&amp;refID=7065598&amp;Result=3","7065598")</f>
        <v>0</v>
      </c>
      <c r="B10581" t="s">
        <v>2925</v>
      </c>
      <c r="C10581" t="s">
        <v>13603</v>
      </c>
      <c r="D10581" t="s">
        <v>18109</v>
      </c>
      <c r="E10581" t="s">
        <v>27393</v>
      </c>
      <c r="F10581" t="s">
        <v>31362</v>
      </c>
      <c r="G10581" t="s">
        <v>31368</v>
      </c>
      <c r="H10581" t="s">
        <v>15799</v>
      </c>
      <c r="I10581" t="s">
        <v>3815</v>
      </c>
      <c r="J10581" t="s">
        <v>37977</v>
      </c>
      <c r="K10581" t="s">
        <v>40666</v>
      </c>
      <c r="M10581" t="s">
        <v>44142</v>
      </c>
      <c r="N10581" t="s">
        <v>44905</v>
      </c>
      <c r="O10581" t="s">
        <v>44906</v>
      </c>
      <c r="P10581">
        <v>0</v>
      </c>
      <c r="Q10581">
        <v>3</v>
      </c>
      <c r="R10581" t="s">
        <v>44915</v>
      </c>
      <c r="S10581" t="s">
        <v>45255</v>
      </c>
      <c r="T10581" t="s">
        <v>46428</v>
      </c>
      <c r="U10581" t="s">
        <v>55438</v>
      </c>
      <c r="W10581" t="s">
        <v>44142</v>
      </c>
      <c r="X10581" t="s">
        <v>44916</v>
      </c>
    </row>
    <row r="10582" spans="1:24">
      <c r="A10582">
        <f>HYPERLINK("https://www.philgeps.gov.ph/GEPSNONPILOT/Tender/SplashBidNoticeAbstractUI.aspx?menuIndex=3&amp;refID=7065592&amp;Result=3","7065592")</f>
        <v>0</v>
      </c>
      <c r="B10582" t="s">
        <v>270</v>
      </c>
      <c r="C10582" t="s">
        <v>13604</v>
      </c>
      <c r="D10582" t="s">
        <v>18166</v>
      </c>
      <c r="E10582" t="s">
        <v>27394</v>
      </c>
      <c r="F10582" t="s">
        <v>31362</v>
      </c>
      <c r="G10582" t="s">
        <v>31369</v>
      </c>
      <c r="H10582" t="s">
        <v>15799</v>
      </c>
      <c r="I10582" t="s">
        <v>4942</v>
      </c>
      <c r="J10582" t="s">
        <v>33433</v>
      </c>
      <c r="K10582" t="s">
        <v>40661</v>
      </c>
      <c r="M10582" t="s">
        <v>41212</v>
      </c>
      <c r="N10582" t="s">
        <v>44905</v>
      </c>
      <c r="O10582" t="s">
        <v>44906</v>
      </c>
      <c r="P10582">
        <v>0</v>
      </c>
      <c r="Q10582">
        <v>3</v>
      </c>
      <c r="R10582" t="s">
        <v>44915</v>
      </c>
      <c r="S10582" t="s">
        <v>45255</v>
      </c>
      <c r="T10582" t="s">
        <v>46462</v>
      </c>
      <c r="U10582" t="s">
        <v>55341</v>
      </c>
      <c r="W10582" t="s">
        <v>41212</v>
      </c>
      <c r="X10582" t="s">
        <v>44916</v>
      </c>
    </row>
    <row r="10583" spans="1:24">
      <c r="A10583">
        <f>HYPERLINK("https://www.philgeps.gov.ph/GEPSNONPILOT/Tender/SplashBidNoticeAbstractUI.aspx?menuIndex=3&amp;refID=7065590&amp;Result=3","7065590")</f>
        <v>0</v>
      </c>
      <c r="B10583" t="s">
        <v>2935</v>
      </c>
      <c r="C10583" t="s">
        <v>13605</v>
      </c>
      <c r="D10583" t="s">
        <v>18158</v>
      </c>
      <c r="E10583" t="s">
        <v>27395</v>
      </c>
      <c r="F10583" t="s">
        <v>31362</v>
      </c>
      <c r="G10583" t="s">
        <v>31369</v>
      </c>
      <c r="H10583" t="s">
        <v>15799</v>
      </c>
      <c r="I10583" t="s">
        <v>31393</v>
      </c>
      <c r="J10583" t="s">
        <v>34007</v>
      </c>
      <c r="K10583" t="s">
        <v>40681</v>
      </c>
      <c r="M10583" t="s">
        <v>44155</v>
      </c>
      <c r="N10583" t="s">
        <v>44905</v>
      </c>
      <c r="O10583" t="s">
        <v>44906</v>
      </c>
      <c r="P10583">
        <v>0</v>
      </c>
      <c r="Q10583">
        <v>4</v>
      </c>
      <c r="R10583" t="s">
        <v>44915</v>
      </c>
      <c r="S10583" t="s">
        <v>45255</v>
      </c>
      <c r="T10583" t="s">
        <v>46504</v>
      </c>
      <c r="U10583" t="s">
        <v>55439</v>
      </c>
      <c r="V10583" t="s">
        <v>60200</v>
      </c>
      <c r="W10583" t="s">
        <v>60949</v>
      </c>
      <c r="X10583" t="s">
        <v>44916</v>
      </c>
    </row>
    <row r="10584" spans="1:24">
      <c r="A10584">
        <f>HYPERLINK("https://www.philgeps.gov.ph/GEPSNONPILOT/Tender/SplashBidNoticeAbstractUI.aspx?menuIndex=3&amp;refID=7064896&amp;Result=3","7064896")</f>
        <v>0</v>
      </c>
      <c r="B10584" t="s">
        <v>1777</v>
      </c>
      <c r="C10584" t="s">
        <v>13606</v>
      </c>
      <c r="D10584" t="s">
        <v>18109</v>
      </c>
      <c r="E10584" t="s">
        <v>27396</v>
      </c>
      <c r="F10584" t="s">
        <v>31362</v>
      </c>
      <c r="G10584" t="s">
        <v>31369</v>
      </c>
      <c r="H10584" t="s">
        <v>15799</v>
      </c>
      <c r="I10584" t="s">
        <v>3815</v>
      </c>
      <c r="J10584" t="s">
        <v>37978</v>
      </c>
      <c r="K10584" t="s">
        <v>40742</v>
      </c>
      <c r="M10584" t="s">
        <v>42857</v>
      </c>
      <c r="N10584" t="s">
        <v>44905</v>
      </c>
      <c r="O10584" t="s">
        <v>44906</v>
      </c>
      <c r="P10584">
        <v>0</v>
      </c>
      <c r="Q10584">
        <v>0</v>
      </c>
      <c r="R10584" t="s">
        <v>44915</v>
      </c>
      <c r="S10584" t="s">
        <v>45255</v>
      </c>
      <c r="T10584" t="s">
        <v>46470</v>
      </c>
      <c r="U10584" t="s">
        <v>55440</v>
      </c>
      <c r="V10584" t="s">
        <v>60173</v>
      </c>
      <c r="W10584" t="s">
        <v>42857</v>
      </c>
      <c r="X10584" t="s">
        <v>44916</v>
      </c>
    </row>
    <row r="10585" spans="1:24">
      <c r="A10585">
        <f>HYPERLINK("https://www.philgeps.gov.ph/GEPSNONPILOT/Tender/SplashBidNoticeAbstractUI.aspx?menuIndex=3&amp;refID=7065662&amp;Result=3","7065662")</f>
        <v>0</v>
      </c>
      <c r="B10585" t="s">
        <v>1827</v>
      </c>
      <c r="C10585" t="s">
        <v>13607</v>
      </c>
      <c r="D10585" t="s">
        <v>18138</v>
      </c>
      <c r="E10585" t="s">
        <v>27397</v>
      </c>
      <c r="F10585" t="s">
        <v>31362</v>
      </c>
      <c r="G10585" t="s">
        <v>31369</v>
      </c>
      <c r="H10585" t="s">
        <v>15799</v>
      </c>
      <c r="I10585" t="s">
        <v>31424</v>
      </c>
      <c r="J10585" t="s">
        <v>31591</v>
      </c>
      <c r="K10585" t="s">
        <v>40699</v>
      </c>
      <c r="M10585" t="s">
        <v>42911</v>
      </c>
      <c r="N10585" t="s">
        <v>44905</v>
      </c>
      <c r="O10585" t="s">
        <v>44906</v>
      </c>
      <c r="Q10585">
        <v>1</v>
      </c>
      <c r="R10585" t="s">
        <v>44915</v>
      </c>
      <c r="S10585" t="s">
        <v>45292</v>
      </c>
      <c r="T10585" t="s">
        <v>46542</v>
      </c>
      <c r="U10585" t="s">
        <v>55441</v>
      </c>
      <c r="V10585" t="s">
        <v>59185</v>
      </c>
      <c r="W10585" t="s">
        <v>42911</v>
      </c>
      <c r="X10585" t="s">
        <v>44916</v>
      </c>
    </row>
    <row r="10586" spans="1:24">
      <c r="A10586">
        <f>HYPERLINK("https://www.philgeps.gov.ph/GEPSNONPILOT/Tender/SplashBidNoticeAbstractUI.aspx?menuIndex=3&amp;refID=7065736&amp;Result=3","7065736")</f>
        <v>0</v>
      </c>
      <c r="B10586" t="s">
        <v>2937</v>
      </c>
      <c r="C10586" t="s">
        <v>13608</v>
      </c>
      <c r="D10586" t="s">
        <v>18133</v>
      </c>
      <c r="E10586" t="s">
        <v>27398</v>
      </c>
      <c r="F10586" t="s">
        <v>31362</v>
      </c>
      <c r="G10586" t="s">
        <v>31369</v>
      </c>
      <c r="H10586" t="s">
        <v>31378</v>
      </c>
      <c r="I10586" t="s">
        <v>31386</v>
      </c>
      <c r="J10586" t="s">
        <v>31536</v>
      </c>
      <c r="K10586" t="s">
        <v>40665</v>
      </c>
      <c r="M10586" t="s">
        <v>44158</v>
      </c>
      <c r="N10586" t="s">
        <v>44905</v>
      </c>
      <c r="O10586" t="s">
        <v>44906</v>
      </c>
      <c r="P10586">
        <v>0</v>
      </c>
      <c r="Q10586">
        <v>0</v>
      </c>
      <c r="R10586" t="s">
        <v>44915</v>
      </c>
      <c r="S10586" t="s">
        <v>45255</v>
      </c>
      <c r="T10586" t="s">
        <v>46499</v>
      </c>
      <c r="U10586" t="s">
        <v>55442</v>
      </c>
      <c r="W10586" t="s">
        <v>44158</v>
      </c>
      <c r="X10586" t="s">
        <v>44916</v>
      </c>
    </row>
    <row r="10587" spans="1:24">
      <c r="A10587">
        <f>HYPERLINK("https://www.philgeps.gov.ph/GEPSNONPILOT/Tender/SplashBidNoticeAbstractUI.aspx?menuIndex=3&amp;refID=7064868&amp;Result=3","7064868")</f>
        <v>0</v>
      </c>
      <c r="B10587" t="s">
        <v>1075</v>
      </c>
      <c r="C10587" t="s">
        <v>13609</v>
      </c>
      <c r="D10587" t="s">
        <v>18101</v>
      </c>
      <c r="E10587" t="s">
        <v>27399</v>
      </c>
      <c r="F10587" t="s">
        <v>31362</v>
      </c>
      <c r="G10587" t="s">
        <v>31369</v>
      </c>
      <c r="H10587" t="s">
        <v>15799</v>
      </c>
      <c r="I10587" t="s">
        <v>3815</v>
      </c>
      <c r="J10587" t="s">
        <v>37979</v>
      </c>
      <c r="K10587" t="s">
        <v>40666</v>
      </c>
      <c r="M10587" t="s">
        <v>42077</v>
      </c>
      <c r="N10587" t="s">
        <v>44905</v>
      </c>
      <c r="O10587" t="s">
        <v>44906</v>
      </c>
      <c r="P10587">
        <v>0</v>
      </c>
      <c r="Q10587">
        <v>0</v>
      </c>
      <c r="R10587" t="s">
        <v>44915</v>
      </c>
      <c r="S10587" t="s">
        <v>45255</v>
      </c>
      <c r="T10587" t="s">
        <v>46411</v>
      </c>
      <c r="U10587" t="s">
        <v>55443</v>
      </c>
      <c r="W10587" t="s">
        <v>42077</v>
      </c>
      <c r="X10587" t="s">
        <v>44916</v>
      </c>
    </row>
    <row r="10588" spans="1:24">
      <c r="A10588">
        <f>HYPERLINK("https://www.philgeps.gov.ph/GEPSNONPILOT/Tender/SplashBidNoticeAbstractUI.aspx?menuIndex=3&amp;refID=7065753&amp;Result=3","7065753")</f>
        <v>0</v>
      </c>
      <c r="B10588" t="s">
        <v>2042</v>
      </c>
      <c r="C10588" t="s">
        <v>13610</v>
      </c>
      <c r="D10588" t="s">
        <v>18101</v>
      </c>
      <c r="E10588" t="s">
        <v>27400</v>
      </c>
      <c r="F10588" t="s">
        <v>31362</v>
      </c>
      <c r="G10588" t="s">
        <v>31369</v>
      </c>
      <c r="H10588" t="s">
        <v>31378</v>
      </c>
      <c r="I10588" t="s">
        <v>31386</v>
      </c>
      <c r="J10588" t="s">
        <v>31591</v>
      </c>
      <c r="K10588" t="s">
        <v>40665</v>
      </c>
      <c r="M10588" t="s">
        <v>43161</v>
      </c>
      <c r="N10588" t="s">
        <v>44905</v>
      </c>
      <c r="O10588" t="s">
        <v>44906</v>
      </c>
      <c r="P10588">
        <v>0</v>
      </c>
      <c r="Q10588">
        <v>0</v>
      </c>
      <c r="R10588" t="s">
        <v>44915</v>
      </c>
      <c r="S10588" t="s">
        <v>45255</v>
      </c>
      <c r="T10588" t="s">
        <v>46504</v>
      </c>
      <c r="U10588" t="s">
        <v>55444</v>
      </c>
      <c r="W10588" t="s">
        <v>43161</v>
      </c>
      <c r="X10588" t="s">
        <v>44916</v>
      </c>
    </row>
    <row r="10589" spans="1:24">
      <c r="A10589">
        <f>HYPERLINK("https://www.philgeps.gov.ph/GEPSNONPILOT/Tender/SplashBidNoticeAbstractUI.aspx?menuIndex=3&amp;refID=7065750&amp;Result=3","7065750")</f>
        <v>0</v>
      </c>
      <c r="B10589" t="s">
        <v>2937</v>
      </c>
      <c r="C10589" t="s">
        <v>13611</v>
      </c>
      <c r="D10589" t="s">
        <v>18133</v>
      </c>
      <c r="E10589" t="s">
        <v>27401</v>
      </c>
      <c r="F10589" t="s">
        <v>31362</v>
      </c>
      <c r="G10589" t="s">
        <v>31369</v>
      </c>
      <c r="H10589" t="s">
        <v>31378</v>
      </c>
      <c r="I10589" t="s">
        <v>31386</v>
      </c>
      <c r="J10589" t="s">
        <v>37980</v>
      </c>
      <c r="K10589" t="s">
        <v>40665</v>
      </c>
      <c r="M10589" t="s">
        <v>44158</v>
      </c>
      <c r="N10589" t="s">
        <v>44905</v>
      </c>
      <c r="O10589" t="s">
        <v>44906</v>
      </c>
      <c r="P10589">
        <v>0</v>
      </c>
      <c r="Q10589">
        <v>0</v>
      </c>
      <c r="R10589" t="s">
        <v>44915</v>
      </c>
      <c r="S10589" t="s">
        <v>45255</v>
      </c>
      <c r="T10589" t="s">
        <v>46499</v>
      </c>
      <c r="U10589" t="s">
        <v>55442</v>
      </c>
      <c r="W10589" t="s">
        <v>44158</v>
      </c>
      <c r="X10589" t="s">
        <v>44916</v>
      </c>
    </row>
    <row r="10590" spans="1:24">
      <c r="A10590">
        <f>HYPERLINK("https://www.philgeps.gov.ph/GEPSNONPILOT/Tender/SplashBidNoticeAbstractUI.aspx?menuIndex=3&amp;refID=7065742&amp;Result=3","7065742")</f>
        <v>0</v>
      </c>
      <c r="B10590" t="s">
        <v>1314</v>
      </c>
      <c r="C10590" t="s">
        <v>13612</v>
      </c>
      <c r="D10590" t="s">
        <v>18134</v>
      </c>
      <c r="E10590" t="s">
        <v>27402</v>
      </c>
      <c r="F10590" t="s">
        <v>31362</v>
      </c>
      <c r="G10590" t="s">
        <v>31369</v>
      </c>
      <c r="H10590" t="s">
        <v>31378</v>
      </c>
      <c r="I10590" t="s">
        <v>31386</v>
      </c>
      <c r="J10590" t="s">
        <v>31687</v>
      </c>
      <c r="K10590" t="s">
        <v>40682</v>
      </c>
      <c r="M10590" t="s">
        <v>42332</v>
      </c>
      <c r="N10590" t="s">
        <v>44905</v>
      </c>
      <c r="O10590" t="s">
        <v>44906</v>
      </c>
      <c r="P10590">
        <v>0</v>
      </c>
      <c r="Q10590">
        <v>1</v>
      </c>
      <c r="R10590" t="s">
        <v>44915</v>
      </c>
      <c r="S10590" t="s">
        <v>45255</v>
      </c>
      <c r="T10590" t="s">
        <v>46524</v>
      </c>
      <c r="U10590" t="s">
        <v>55445</v>
      </c>
      <c r="W10590" t="s">
        <v>42332</v>
      </c>
      <c r="X10590" t="s">
        <v>44916</v>
      </c>
    </row>
    <row r="10591" spans="1:24">
      <c r="A10591">
        <f>HYPERLINK("https://www.philgeps.gov.ph/GEPSNONPILOT/Tender/SplashBidNoticeAbstractUI.aspx?menuIndex=3&amp;refID=7065718&amp;Result=3","7065718")</f>
        <v>0</v>
      </c>
      <c r="B10591" t="s">
        <v>2938</v>
      </c>
      <c r="C10591" t="s">
        <v>13613</v>
      </c>
      <c r="D10591" t="s">
        <v>18112</v>
      </c>
      <c r="E10591" t="s">
        <v>20667</v>
      </c>
      <c r="F10591" t="s">
        <v>31362</v>
      </c>
      <c r="G10591" t="s">
        <v>31368</v>
      </c>
      <c r="H10591" t="s">
        <v>31379</v>
      </c>
      <c r="I10591" t="s">
        <v>7090</v>
      </c>
      <c r="J10591" t="s">
        <v>37981</v>
      </c>
      <c r="K10591" t="s">
        <v>40666</v>
      </c>
      <c r="M10591" t="s">
        <v>44159</v>
      </c>
      <c r="N10591" t="s">
        <v>44905</v>
      </c>
      <c r="O10591" t="s">
        <v>44906</v>
      </c>
      <c r="P10591">
        <v>0</v>
      </c>
      <c r="Q10591">
        <v>0</v>
      </c>
      <c r="R10591" t="s">
        <v>44915</v>
      </c>
      <c r="S10591" t="s">
        <v>45255</v>
      </c>
      <c r="T10591" t="s">
        <v>46612</v>
      </c>
      <c r="U10591" t="s">
        <v>55446</v>
      </c>
      <c r="W10591" t="s">
        <v>44159</v>
      </c>
      <c r="X10591" t="s">
        <v>44916</v>
      </c>
    </row>
    <row r="10592" spans="1:24">
      <c r="A10592">
        <f>HYPERLINK("https://www.philgeps.gov.ph/GEPSNONPILOT/Tender/SplashBidNoticeAbstractUI.aspx?menuIndex=3&amp;refID=7065597&amp;Result=3","7065597")</f>
        <v>0</v>
      </c>
      <c r="B10592" t="s">
        <v>2042</v>
      </c>
      <c r="C10592" t="s">
        <v>13614</v>
      </c>
      <c r="D10592" t="s">
        <v>18101</v>
      </c>
      <c r="E10592" t="s">
        <v>27403</v>
      </c>
      <c r="F10592" t="s">
        <v>31362</v>
      </c>
      <c r="G10592" t="s">
        <v>31369</v>
      </c>
      <c r="H10592" t="s">
        <v>31378</v>
      </c>
      <c r="I10592" t="s">
        <v>31386</v>
      </c>
      <c r="J10592" t="s">
        <v>37982</v>
      </c>
      <c r="K10592" t="s">
        <v>40682</v>
      </c>
      <c r="M10592" t="s">
        <v>43161</v>
      </c>
      <c r="N10592" t="s">
        <v>44905</v>
      </c>
      <c r="O10592" t="s">
        <v>44906</v>
      </c>
      <c r="P10592">
        <v>0</v>
      </c>
      <c r="Q10592">
        <v>0</v>
      </c>
      <c r="R10592" t="s">
        <v>44915</v>
      </c>
      <c r="S10592" t="s">
        <v>45255</v>
      </c>
      <c r="T10592" t="s">
        <v>46504</v>
      </c>
      <c r="U10592" t="s">
        <v>55447</v>
      </c>
      <c r="W10592" t="s">
        <v>43161</v>
      </c>
      <c r="X10592" t="s">
        <v>44916</v>
      </c>
    </row>
    <row r="10593" spans="1:24">
      <c r="A10593">
        <f>HYPERLINK("https://www.philgeps.gov.ph/GEPSNONPILOT/Tender/SplashBidNoticeAbstractUI.aspx?menuIndex=3&amp;refID=7065717&amp;Result=3","7065717")</f>
        <v>0</v>
      </c>
      <c r="B10593" t="s">
        <v>962</v>
      </c>
      <c r="C10593" t="s">
        <v>13615</v>
      </c>
      <c r="D10593" t="s">
        <v>18152</v>
      </c>
      <c r="E10593" t="s">
        <v>27404</v>
      </c>
      <c r="F10593" t="s">
        <v>31362</v>
      </c>
      <c r="G10593" t="s">
        <v>31369</v>
      </c>
      <c r="H10593" t="s">
        <v>15799</v>
      </c>
      <c r="I10593" t="s">
        <v>31393</v>
      </c>
      <c r="J10593" t="s">
        <v>31602</v>
      </c>
      <c r="K10593" t="s">
        <v>40682</v>
      </c>
      <c r="M10593" t="s">
        <v>41950</v>
      </c>
      <c r="N10593" t="s">
        <v>44905</v>
      </c>
      <c r="O10593" t="s">
        <v>44906</v>
      </c>
      <c r="P10593">
        <v>0</v>
      </c>
      <c r="Q10593">
        <v>5</v>
      </c>
      <c r="R10593" t="s">
        <v>44915</v>
      </c>
      <c r="S10593" t="s">
        <v>45255</v>
      </c>
      <c r="T10593" t="s">
        <v>46418</v>
      </c>
      <c r="U10593" t="s">
        <v>55448</v>
      </c>
      <c r="W10593" t="s">
        <v>41950</v>
      </c>
      <c r="X10593" t="s">
        <v>44916</v>
      </c>
    </row>
    <row r="10594" spans="1:24">
      <c r="A10594">
        <f>HYPERLINK("https://www.philgeps.gov.ph/GEPSNONPILOT/Tender/SplashBidNoticeAbstractUI.aspx?menuIndex=3&amp;refID=7065014&amp;Result=3","7065014")</f>
        <v>0</v>
      </c>
      <c r="B10594" t="s">
        <v>2905</v>
      </c>
      <c r="C10594" t="s">
        <v>13616</v>
      </c>
      <c r="D10594" t="s">
        <v>18127</v>
      </c>
      <c r="E10594" t="s">
        <v>27405</v>
      </c>
      <c r="F10594" t="s">
        <v>31362</v>
      </c>
      <c r="G10594" t="s">
        <v>31369</v>
      </c>
      <c r="H10594" t="s">
        <v>31378</v>
      </c>
      <c r="I10594" t="s">
        <v>31386</v>
      </c>
      <c r="J10594" t="s">
        <v>33446</v>
      </c>
      <c r="K10594" t="s">
        <v>40679</v>
      </c>
      <c r="M10594" t="s">
        <v>44120</v>
      </c>
      <c r="N10594" t="s">
        <v>44905</v>
      </c>
      <c r="O10594" t="s">
        <v>44906</v>
      </c>
      <c r="P10594">
        <v>0</v>
      </c>
      <c r="Q10594">
        <v>0</v>
      </c>
      <c r="R10594" t="s">
        <v>44915</v>
      </c>
      <c r="S10594" t="s">
        <v>45255</v>
      </c>
      <c r="T10594" t="s">
        <v>46486</v>
      </c>
      <c r="U10594" t="s">
        <v>55449</v>
      </c>
      <c r="W10594" t="s">
        <v>44120</v>
      </c>
      <c r="X10594" t="s">
        <v>44916</v>
      </c>
    </row>
    <row r="10595" spans="1:24">
      <c r="A10595">
        <f>HYPERLINK("https://www.philgeps.gov.ph/GEPSNONPILOT/Tender/SplashBidNoticeAbstractUI.aspx?menuIndex=3&amp;refID=7065587&amp;Result=3","7065587")</f>
        <v>0</v>
      </c>
      <c r="B10595" t="s">
        <v>467</v>
      </c>
      <c r="C10595" t="s">
        <v>13617</v>
      </c>
      <c r="D10595" t="s">
        <v>18134</v>
      </c>
      <c r="E10595" t="s">
        <v>27406</v>
      </c>
      <c r="F10595" t="s">
        <v>31362</v>
      </c>
      <c r="G10595" t="s">
        <v>31369</v>
      </c>
      <c r="H10595" t="s">
        <v>31378</v>
      </c>
      <c r="I10595" t="s">
        <v>31386</v>
      </c>
      <c r="J10595" t="s">
        <v>37983</v>
      </c>
      <c r="K10595" t="s">
        <v>40783</v>
      </c>
      <c r="M10595" t="s">
        <v>41421</v>
      </c>
      <c r="N10595" t="s">
        <v>44905</v>
      </c>
      <c r="O10595" t="s">
        <v>44906</v>
      </c>
      <c r="P10595">
        <v>0</v>
      </c>
      <c r="Q10595">
        <v>2</v>
      </c>
      <c r="R10595" t="s">
        <v>44915</v>
      </c>
      <c r="S10595" t="s">
        <v>45255</v>
      </c>
      <c r="T10595" t="s">
        <v>46462</v>
      </c>
      <c r="U10595" t="s">
        <v>55450</v>
      </c>
      <c r="V10595" t="s">
        <v>59178</v>
      </c>
      <c r="W10595" t="s">
        <v>41421</v>
      </c>
      <c r="X10595" t="s">
        <v>44916</v>
      </c>
    </row>
    <row r="10596" spans="1:24">
      <c r="A10596">
        <f>HYPERLINK("https://www.philgeps.gov.ph/GEPSNONPILOT/Tender/SplashBidNoticeAbstractUI.aspx?menuIndex=3&amp;refID=7065710&amp;Result=3","7065710")</f>
        <v>0</v>
      </c>
      <c r="B10596" t="s">
        <v>638</v>
      </c>
      <c r="C10596" t="s">
        <v>4913</v>
      </c>
      <c r="D10596" t="s">
        <v>18177</v>
      </c>
      <c r="E10596" t="s">
        <v>27407</v>
      </c>
      <c r="F10596" t="s">
        <v>31362</v>
      </c>
      <c r="G10596" t="s">
        <v>31369</v>
      </c>
      <c r="H10596" t="s">
        <v>15799</v>
      </c>
      <c r="I10596" t="s">
        <v>31396</v>
      </c>
      <c r="J10596" t="s">
        <v>37984</v>
      </c>
      <c r="K10596" t="s">
        <v>40662</v>
      </c>
      <c r="M10596" t="s">
        <v>41598</v>
      </c>
      <c r="N10596" t="s">
        <v>44905</v>
      </c>
      <c r="O10596" t="s">
        <v>44906</v>
      </c>
      <c r="P10596">
        <v>0</v>
      </c>
      <c r="Q10596">
        <v>10</v>
      </c>
      <c r="R10596" t="s">
        <v>44915</v>
      </c>
      <c r="S10596" t="s">
        <v>45255</v>
      </c>
      <c r="T10596" t="s">
        <v>46659</v>
      </c>
      <c r="U10596" t="s">
        <v>55451</v>
      </c>
      <c r="V10596" t="s">
        <v>60201</v>
      </c>
      <c r="W10596" t="s">
        <v>41598</v>
      </c>
      <c r="X10596" t="s">
        <v>44916</v>
      </c>
    </row>
    <row r="10597" spans="1:24">
      <c r="A10597">
        <f>HYPERLINK("https://www.philgeps.gov.ph/GEPSNONPILOT/Tender/SplashBidNoticeAbstractUI.aspx?menuIndex=3&amp;refID=7065705&amp;Result=3","7065705")</f>
        <v>0</v>
      </c>
      <c r="B10597" t="s">
        <v>179</v>
      </c>
      <c r="C10597" t="s">
        <v>13618</v>
      </c>
      <c r="D10597" t="s">
        <v>18155</v>
      </c>
      <c r="E10597" t="s">
        <v>27408</v>
      </c>
      <c r="F10597" t="s">
        <v>31362</v>
      </c>
      <c r="G10597" t="s">
        <v>31368</v>
      </c>
      <c r="H10597" t="s">
        <v>15799</v>
      </c>
      <c r="I10597" t="s">
        <v>31455</v>
      </c>
      <c r="J10597" t="s">
        <v>36404</v>
      </c>
      <c r="K10597" t="s">
        <v>40680</v>
      </c>
      <c r="M10597" t="s">
        <v>41117</v>
      </c>
      <c r="N10597" t="s">
        <v>44905</v>
      </c>
      <c r="O10597" t="s">
        <v>44906</v>
      </c>
      <c r="P10597">
        <v>0</v>
      </c>
      <c r="Q10597">
        <v>1</v>
      </c>
      <c r="R10597" t="s">
        <v>44915</v>
      </c>
      <c r="S10597" t="s">
        <v>45255</v>
      </c>
      <c r="T10597" t="s">
        <v>46583</v>
      </c>
      <c r="U10597" t="s">
        <v>55452</v>
      </c>
      <c r="V10597" t="s">
        <v>59091</v>
      </c>
      <c r="W10597" t="s">
        <v>60838</v>
      </c>
      <c r="X10597" t="s">
        <v>44916</v>
      </c>
    </row>
    <row r="10598" spans="1:24">
      <c r="A10598">
        <f>HYPERLINK("https://www.philgeps.gov.ph/GEPSNONPILOT/Tender/SplashBidNoticeAbstractUI.aspx?menuIndex=3&amp;refID=7065698&amp;Result=3","7065698")</f>
        <v>0</v>
      </c>
      <c r="B10598" t="s">
        <v>467</v>
      </c>
      <c r="C10598" t="s">
        <v>13619</v>
      </c>
      <c r="D10598" t="s">
        <v>18134</v>
      </c>
      <c r="E10598" t="s">
        <v>27409</v>
      </c>
      <c r="F10598" t="s">
        <v>31362</v>
      </c>
      <c r="G10598" t="s">
        <v>31369</v>
      </c>
      <c r="H10598" t="s">
        <v>31378</v>
      </c>
      <c r="I10598" t="s">
        <v>31386</v>
      </c>
      <c r="J10598" t="s">
        <v>37985</v>
      </c>
      <c r="K10598" t="s">
        <v>40678</v>
      </c>
      <c r="M10598" t="s">
        <v>41421</v>
      </c>
      <c r="N10598" t="s">
        <v>44905</v>
      </c>
      <c r="O10598" t="s">
        <v>44906</v>
      </c>
      <c r="P10598">
        <v>0</v>
      </c>
      <c r="Q10598">
        <v>2</v>
      </c>
      <c r="R10598" t="s">
        <v>44915</v>
      </c>
      <c r="S10598" t="s">
        <v>45255</v>
      </c>
      <c r="T10598" t="s">
        <v>46462</v>
      </c>
      <c r="U10598" t="s">
        <v>55453</v>
      </c>
      <c r="V10598" t="s">
        <v>59178</v>
      </c>
      <c r="W10598" t="s">
        <v>41421</v>
      </c>
      <c r="X10598" t="s">
        <v>44916</v>
      </c>
    </row>
    <row r="10599" spans="1:24">
      <c r="A10599">
        <f>HYPERLINK("https://www.philgeps.gov.ph/GEPSNONPILOT/Tender/SplashBidNoticeAbstractUI.aspx?menuIndex=3&amp;refID=7065688&amp;Result=3","7065688")</f>
        <v>0</v>
      </c>
      <c r="B10599" t="s">
        <v>2939</v>
      </c>
      <c r="C10599" t="s">
        <v>13620</v>
      </c>
      <c r="D10599" t="s">
        <v>18105</v>
      </c>
      <c r="E10599" t="s">
        <v>27410</v>
      </c>
      <c r="F10599" t="s">
        <v>31362</v>
      </c>
      <c r="G10599" t="s">
        <v>31369</v>
      </c>
      <c r="H10599" t="s">
        <v>15799</v>
      </c>
      <c r="I10599" t="s">
        <v>31404</v>
      </c>
      <c r="J10599" t="s">
        <v>37986</v>
      </c>
      <c r="K10599" t="s">
        <v>40665</v>
      </c>
      <c r="M10599" t="s">
        <v>44160</v>
      </c>
      <c r="N10599" t="s">
        <v>44905</v>
      </c>
      <c r="O10599" t="s">
        <v>44906</v>
      </c>
      <c r="P10599">
        <v>0</v>
      </c>
      <c r="Q10599">
        <v>0</v>
      </c>
      <c r="R10599" t="s">
        <v>44915</v>
      </c>
      <c r="S10599" t="s">
        <v>45255</v>
      </c>
      <c r="T10599" t="s">
        <v>46400</v>
      </c>
      <c r="U10599" t="s">
        <v>55454</v>
      </c>
      <c r="V10599" t="s">
        <v>59107</v>
      </c>
      <c r="W10599" t="s">
        <v>44160</v>
      </c>
      <c r="X10599" t="s">
        <v>44916</v>
      </c>
    </row>
    <row r="10600" spans="1:24">
      <c r="A10600">
        <f>HYPERLINK("https://www.philgeps.gov.ph/GEPSNONPILOT/Tender/SplashBidNoticeAbstractUI.aspx?menuIndex=3&amp;refID=7065691&amp;Result=3","7065691")</f>
        <v>0</v>
      </c>
      <c r="B10600" t="s">
        <v>1827</v>
      </c>
      <c r="C10600" t="s">
        <v>13621</v>
      </c>
      <c r="D10600" t="s">
        <v>18138</v>
      </c>
      <c r="E10600" t="s">
        <v>27411</v>
      </c>
      <c r="F10600" t="s">
        <v>31362</v>
      </c>
      <c r="G10600" t="s">
        <v>31369</v>
      </c>
      <c r="H10600" t="s">
        <v>15799</v>
      </c>
      <c r="I10600" t="s">
        <v>31424</v>
      </c>
      <c r="J10600" t="s">
        <v>31606</v>
      </c>
      <c r="K10600" t="s">
        <v>40720</v>
      </c>
      <c r="M10600" t="s">
        <v>42911</v>
      </c>
      <c r="N10600" t="s">
        <v>44905</v>
      </c>
      <c r="O10600" t="s">
        <v>44906</v>
      </c>
      <c r="Q10600">
        <v>3</v>
      </c>
      <c r="R10600" t="s">
        <v>44915</v>
      </c>
      <c r="S10600" t="s">
        <v>45293</v>
      </c>
      <c r="T10600" t="s">
        <v>46542</v>
      </c>
      <c r="U10600" t="s">
        <v>55455</v>
      </c>
      <c r="V10600" t="s">
        <v>59185</v>
      </c>
      <c r="W10600" t="s">
        <v>42911</v>
      </c>
      <c r="X10600" t="s">
        <v>44916</v>
      </c>
    </row>
    <row r="10601" spans="1:24">
      <c r="A10601">
        <f>HYPERLINK("https://www.philgeps.gov.ph/GEPSNONPILOT/Tender/SplashBidNoticeAbstractUI.aspx?menuIndex=3&amp;refID=7065268&amp;Result=3","7065268")</f>
        <v>0</v>
      </c>
      <c r="B10601" t="s">
        <v>2915</v>
      </c>
      <c r="C10601" t="s">
        <v>13622</v>
      </c>
      <c r="D10601" t="s">
        <v>18142</v>
      </c>
      <c r="E10601" t="s">
        <v>27412</v>
      </c>
      <c r="F10601" t="s">
        <v>31362</v>
      </c>
      <c r="G10601" t="s">
        <v>31369</v>
      </c>
      <c r="H10601" t="s">
        <v>31378</v>
      </c>
      <c r="I10601" t="s">
        <v>31386</v>
      </c>
      <c r="J10601" t="s">
        <v>37987</v>
      </c>
      <c r="K10601" t="s">
        <v>40875</v>
      </c>
      <c r="L10601" t="s">
        <v>2915</v>
      </c>
      <c r="M10601" t="s">
        <v>44131</v>
      </c>
      <c r="N10601" t="s">
        <v>44905</v>
      </c>
      <c r="O10601" t="s">
        <v>44906</v>
      </c>
      <c r="P10601">
        <v>0</v>
      </c>
      <c r="Q10601">
        <v>0</v>
      </c>
      <c r="R10601" t="s">
        <v>44915</v>
      </c>
      <c r="S10601" t="s">
        <v>45255</v>
      </c>
      <c r="T10601" t="s">
        <v>46392</v>
      </c>
      <c r="U10601" t="s">
        <v>55456</v>
      </c>
      <c r="V10601" t="s">
        <v>60202</v>
      </c>
      <c r="W10601" t="s">
        <v>44131</v>
      </c>
      <c r="X10601" t="s">
        <v>44916</v>
      </c>
    </row>
    <row r="10602" spans="1:24">
      <c r="A10602">
        <f>HYPERLINK("https://www.philgeps.gov.ph/GEPSNONPILOT/Tender/SplashBidNoticeAbstractUI.aspx?menuIndex=3&amp;refID=7065762&amp;Result=3","7065762")</f>
        <v>0</v>
      </c>
      <c r="B10602" t="s">
        <v>175</v>
      </c>
      <c r="C10602" t="s">
        <v>13623</v>
      </c>
      <c r="D10602" t="s">
        <v>18153</v>
      </c>
      <c r="E10602" t="s">
        <v>27413</v>
      </c>
      <c r="F10602" t="s">
        <v>31362</v>
      </c>
      <c r="G10602" t="s">
        <v>31369</v>
      </c>
      <c r="H10602" t="s">
        <v>15799</v>
      </c>
      <c r="I10602" t="s">
        <v>31409</v>
      </c>
      <c r="J10602" t="s">
        <v>31606</v>
      </c>
      <c r="K10602" t="s">
        <v>40682</v>
      </c>
      <c r="L10602" t="s">
        <v>175</v>
      </c>
      <c r="M10602" t="s">
        <v>41113</v>
      </c>
      <c r="N10602" t="s">
        <v>44905</v>
      </c>
      <c r="O10602" t="s">
        <v>44906</v>
      </c>
      <c r="P10602">
        <v>0</v>
      </c>
      <c r="Q10602">
        <v>3</v>
      </c>
      <c r="R10602" t="s">
        <v>44915</v>
      </c>
      <c r="S10602" t="s">
        <v>45255</v>
      </c>
      <c r="T10602" t="s">
        <v>46525</v>
      </c>
      <c r="U10602" t="s">
        <v>55457</v>
      </c>
      <c r="V10602" t="s">
        <v>60203</v>
      </c>
      <c r="W10602" t="s">
        <v>41113</v>
      </c>
      <c r="X10602" t="s">
        <v>44916</v>
      </c>
    </row>
    <row r="10603" spans="1:24">
      <c r="A10603">
        <f>HYPERLINK("https://www.philgeps.gov.ph/GEPSNONPILOT/Tender/SplashBidNoticeAbstractUI.aspx?menuIndex=3&amp;refID=7065843&amp;Result=3","7065843")</f>
        <v>0</v>
      </c>
      <c r="B10603" t="s">
        <v>2940</v>
      </c>
      <c r="C10603" t="s">
        <v>13624</v>
      </c>
      <c r="D10603" t="s">
        <v>18117</v>
      </c>
      <c r="E10603" t="s">
        <v>18201</v>
      </c>
      <c r="F10603" t="s">
        <v>31362</v>
      </c>
      <c r="G10603" t="s">
        <v>31369</v>
      </c>
      <c r="H10603" t="s">
        <v>15799</v>
      </c>
      <c r="I10603" t="s">
        <v>31461</v>
      </c>
      <c r="J10603" t="s">
        <v>35410</v>
      </c>
      <c r="K10603" t="s">
        <v>40681</v>
      </c>
      <c r="M10603" t="s">
        <v>44161</v>
      </c>
      <c r="N10603" t="s">
        <v>44905</v>
      </c>
      <c r="O10603" t="s">
        <v>44906</v>
      </c>
      <c r="P10603">
        <v>0</v>
      </c>
      <c r="Q10603">
        <v>0</v>
      </c>
      <c r="R10603" t="s">
        <v>44915</v>
      </c>
      <c r="S10603" t="s">
        <v>45255</v>
      </c>
      <c r="T10603" t="s">
        <v>46502</v>
      </c>
      <c r="U10603" t="s">
        <v>55458</v>
      </c>
      <c r="W10603" t="s">
        <v>44161</v>
      </c>
      <c r="X10603" t="s">
        <v>44916</v>
      </c>
    </row>
    <row r="10604" spans="1:24">
      <c r="A10604">
        <f>HYPERLINK("https://www.philgeps.gov.ph/GEPSNONPILOT/Tender/SplashBidNoticeAbstractUI.aspx?menuIndex=3&amp;refID=7065839&amp;Result=3","7065839")</f>
        <v>0</v>
      </c>
      <c r="B10604" t="s">
        <v>2840</v>
      </c>
      <c r="C10604" t="s">
        <v>13625</v>
      </c>
      <c r="D10604" t="s">
        <v>18120</v>
      </c>
      <c r="E10604" t="s">
        <v>27414</v>
      </c>
      <c r="F10604" t="s">
        <v>31362</v>
      </c>
      <c r="G10604" t="s">
        <v>31369</v>
      </c>
      <c r="H10604" t="s">
        <v>15799</v>
      </c>
      <c r="I10604" t="s">
        <v>31380</v>
      </c>
      <c r="J10604" t="s">
        <v>37988</v>
      </c>
      <c r="K10604" t="s">
        <v>40670</v>
      </c>
      <c r="M10604" t="s">
        <v>44041</v>
      </c>
      <c r="N10604" t="s">
        <v>44905</v>
      </c>
      <c r="O10604" t="s">
        <v>44906</v>
      </c>
      <c r="P10604">
        <v>0</v>
      </c>
      <c r="Q10604">
        <v>16</v>
      </c>
      <c r="R10604" t="s">
        <v>44915</v>
      </c>
      <c r="S10604" t="s">
        <v>45255</v>
      </c>
      <c r="T10604" t="s">
        <v>46479</v>
      </c>
      <c r="U10604" t="s">
        <v>54946</v>
      </c>
      <c r="V10604" t="s">
        <v>60135</v>
      </c>
      <c r="W10604" t="s">
        <v>60943</v>
      </c>
      <c r="X10604" t="s">
        <v>44916</v>
      </c>
    </row>
    <row r="10605" spans="1:24">
      <c r="A10605">
        <f>HYPERLINK("https://www.philgeps.gov.ph/GEPSNONPILOT/Tender/SplashBidNoticeAbstractUI.aspx?menuIndex=3&amp;refID=7065713&amp;Result=3","7065713")</f>
        <v>0</v>
      </c>
      <c r="B10605" t="s">
        <v>2042</v>
      </c>
      <c r="C10605" t="s">
        <v>13626</v>
      </c>
      <c r="D10605" t="s">
        <v>18101</v>
      </c>
      <c r="E10605" t="s">
        <v>27415</v>
      </c>
      <c r="F10605" t="s">
        <v>31362</v>
      </c>
      <c r="G10605" t="s">
        <v>31369</v>
      </c>
      <c r="H10605" t="s">
        <v>31378</v>
      </c>
      <c r="I10605" t="s">
        <v>31386</v>
      </c>
      <c r="J10605" t="s">
        <v>31625</v>
      </c>
      <c r="K10605" t="s">
        <v>40682</v>
      </c>
      <c r="M10605" t="s">
        <v>43161</v>
      </c>
      <c r="N10605" t="s">
        <v>44905</v>
      </c>
      <c r="O10605" t="s">
        <v>44906</v>
      </c>
      <c r="P10605">
        <v>0</v>
      </c>
      <c r="Q10605">
        <v>0</v>
      </c>
      <c r="R10605" t="s">
        <v>44915</v>
      </c>
      <c r="S10605" t="s">
        <v>45255</v>
      </c>
      <c r="T10605" t="s">
        <v>46504</v>
      </c>
      <c r="U10605" t="s">
        <v>55459</v>
      </c>
      <c r="W10605" t="s">
        <v>43161</v>
      </c>
      <c r="X10605" t="s">
        <v>44916</v>
      </c>
    </row>
    <row r="10606" spans="1:24">
      <c r="A10606">
        <f>HYPERLINK("https://www.philgeps.gov.ph/GEPSNONPILOT/Tender/SplashBidNoticeAbstractUI.aspx?menuIndex=3&amp;refID=7065625&amp;Result=3","7065625")</f>
        <v>0</v>
      </c>
      <c r="B10606" t="s">
        <v>2677</v>
      </c>
      <c r="C10606" t="s">
        <v>13627</v>
      </c>
      <c r="D10606" t="s">
        <v>18133</v>
      </c>
      <c r="E10606" t="s">
        <v>26966</v>
      </c>
      <c r="F10606" t="s">
        <v>31362</v>
      </c>
      <c r="G10606" t="s">
        <v>31369</v>
      </c>
      <c r="H10606" t="s">
        <v>31378</v>
      </c>
      <c r="I10606" t="s">
        <v>31386</v>
      </c>
      <c r="J10606" t="s">
        <v>37989</v>
      </c>
      <c r="K10606" t="s">
        <v>40666</v>
      </c>
      <c r="M10606" t="s">
        <v>43863</v>
      </c>
      <c r="N10606" t="s">
        <v>44905</v>
      </c>
      <c r="O10606" t="s">
        <v>44906</v>
      </c>
      <c r="P10606">
        <v>0</v>
      </c>
      <c r="Q10606">
        <v>0</v>
      </c>
      <c r="R10606" t="s">
        <v>44915</v>
      </c>
      <c r="S10606" t="s">
        <v>45255</v>
      </c>
      <c r="T10606" t="s">
        <v>46446</v>
      </c>
      <c r="U10606" t="s">
        <v>55460</v>
      </c>
      <c r="W10606" t="s">
        <v>43863</v>
      </c>
      <c r="X10606" t="s">
        <v>44916</v>
      </c>
    </row>
    <row r="10607" spans="1:24">
      <c r="A10607">
        <f>HYPERLINK("https://www.philgeps.gov.ph/GEPSNONPILOT/Tender/SplashBidNoticeAbstractUI.aspx?menuIndex=3&amp;refID=7065820&amp;Result=3","7065820")</f>
        <v>0</v>
      </c>
      <c r="B10607" t="s">
        <v>1261</v>
      </c>
      <c r="C10607" t="s">
        <v>13628</v>
      </c>
      <c r="D10607" t="s">
        <v>18113</v>
      </c>
      <c r="E10607" t="s">
        <v>13628</v>
      </c>
      <c r="F10607" t="s">
        <v>31362</v>
      </c>
      <c r="G10607" t="s">
        <v>31369</v>
      </c>
      <c r="H10607" t="s">
        <v>15799</v>
      </c>
      <c r="I10607" t="s">
        <v>31393</v>
      </c>
      <c r="J10607" t="s">
        <v>37990</v>
      </c>
      <c r="K10607" t="s">
        <v>40665</v>
      </c>
      <c r="M10607" t="s">
        <v>42277</v>
      </c>
      <c r="N10607" t="s">
        <v>44905</v>
      </c>
      <c r="O10607" t="s">
        <v>44906</v>
      </c>
      <c r="P10607">
        <v>0</v>
      </c>
      <c r="Q10607">
        <v>3</v>
      </c>
      <c r="R10607" t="s">
        <v>44915</v>
      </c>
      <c r="S10607" t="s">
        <v>45255</v>
      </c>
      <c r="T10607" t="s">
        <v>46498</v>
      </c>
      <c r="U10607" t="s">
        <v>55461</v>
      </c>
      <c r="W10607" t="s">
        <v>42277</v>
      </c>
      <c r="X10607" t="s">
        <v>44916</v>
      </c>
    </row>
    <row r="10608" spans="1:24">
      <c r="A10608">
        <f>HYPERLINK("https://www.philgeps.gov.ph/GEPSNONPILOT/Tender/SplashBidNoticeAbstractUI.aspx?menuIndex=3&amp;refID=7065818&amp;Result=3","7065818")</f>
        <v>0</v>
      </c>
      <c r="B10608" t="s">
        <v>2840</v>
      </c>
      <c r="C10608" t="s">
        <v>13629</v>
      </c>
      <c r="D10608" t="s">
        <v>18120</v>
      </c>
      <c r="E10608" t="s">
        <v>27414</v>
      </c>
      <c r="F10608" t="s">
        <v>31362</v>
      </c>
      <c r="G10608" t="s">
        <v>31369</v>
      </c>
      <c r="H10608" t="s">
        <v>15799</v>
      </c>
      <c r="I10608" t="s">
        <v>31397</v>
      </c>
      <c r="J10608" t="s">
        <v>32023</v>
      </c>
      <c r="K10608" t="s">
        <v>40670</v>
      </c>
      <c r="M10608" t="s">
        <v>44041</v>
      </c>
      <c r="N10608" t="s">
        <v>44905</v>
      </c>
      <c r="O10608" t="s">
        <v>44906</v>
      </c>
      <c r="P10608">
        <v>0</v>
      </c>
      <c r="Q10608">
        <v>1</v>
      </c>
      <c r="R10608" t="s">
        <v>44915</v>
      </c>
      <c r="S10608" t="s">
        <v>45255</v>
      </c>
      <c r="T10608" t="s">
        <v>46479</v>
      </c>
      <c r="U10608" t="s">
        <v>54946</v>
      </c>
      <c r="V10608" t="s">
        <v>60135</v>
      </c>
      <c r="W10608" t="s">
        <v>60943</v>
      </c>
      <c r="X10608" t="s">
        <v>44916</v>
      </c>
    </row>
    <row r="10609" spans="1:24">
      <c r="A10609">
        <f>HYPERLINK("https://www.philgeps.gov.ph/GEPSNONPILOT/Tender/SplashBidNoticeAbstractUI.aspx?menuIndex=3&amp;refID=7065799&amp;Result=3","7065799")</f>
        <v>0</v>
      </c>
      <c r="B10609" t="s">
        <v>2042</v>
      </c>
      <c r="C10609" t="s">
        <v>13630</v>
      </c>
      <c r="D10609" t="s">
        <v>18101</v>
      </c>
      <c r="E10609" t="s">
        <v>27416</v>
      </c>
      <c r="F10609" t="s">
        <v>31362</v>
      </c>
      <c r="G10609" t="s">
        <v>31369</v>
      </c>
      <c r="H10609" t="s">
        <v>31378</v>
      </c>
      <c r="I10609" t="s">
        <v>31386</v>
      </c>
      <c r="J10609" t="s">
        <v>31591</v>
      </c>
      <c r="K10609" t="s">
        <v>40665</v>
      </c>
      <c r="M10609" t="s">
        <v>43161</v>
      </c>
      <c r="N10609" t="s">
        <v>44905</v>
      </c>
      <c r="O10609" t="s">
        <v>44906</v>
      </c>
      <c r="P10609">
        <v>0</v>
      </c>
      <c r="Q10609">
        <v>0</v>
      </c>
      <c r="R10609" t="s">
        <v>44915</v>
      </c>
      <c r="S10609" t="s">
        <v>45255</v>
      </c>
      <c r="T10609" t="s">
        <v>46504</v>
      </c>
      <c r="U10609" t="s">
        <v>55462</v>
      </c>
      <c r="W10609" t="s">
        <v>43161</v>
      </c>
      <c r="X10609" t="s">
        <v>44916</v>
      </c>
    </row>
    <row r="10610" spans="1:24">
      <c r="A10610">
        <f>HYPERLINK("https://www.philgeps.gov.ph/GEPSNONPILOT/Tender/SplashBidNoticeAbstractUI.aspx?menuIndex=3&amp;refID=7065741&amp;Result=3","7065741")</f>
        <v>0</v>
      </c>
      <c r="B10610" t="s">
        <v>2940</v>
      </c>
      <c r="C10610" t="s">
        <v>9404</v>
      </c>
      <c r="D10610" t="s">
        <v>18117</v>
      </c>
      <c r="E10610" t="s">
        <v>18203</v>
      </c>
      <c r="F10610" t="s">
        <v>31362</v>
      </c>
      <c r="G10610" t="s">
        <v>31369</v>
      </c>
      <c r="H10610" t="s">
        <v>15799</v>
      </c>
      <c r="I10610" t="s">
        <v>31455</v>
      </c>
      <c r="J10610" t="s">
        <v>32439</v>
      </c>
      <c r="K10610" t="s">
        <v>40677</v>
      </c>
      <c r="M10610" t="s">
        <v>44161</v>
      </c>
      <c r="N10610" t="s">
        <v>44905</v>
      </c>
      <c r="O10610" t="s">
        <v>44906</v>
      </c>
      <c r="P10610">
        <v>0</v>
      </c>
      <c r="Q10610">
        <v>0</v>
      </c>
      <c r="R10610" t="s">
        <v>44915</v>
      </c>
      <c r="S10610" t="s">
        <v>45255</v>
      </c>
      <c r="T10610" t="s">
        <v>46408</v>
      </c>
      <c r="U10610" t="s">
        <v>55463</v>
      </c>
      <c r="W10610" t="s">
        <v>44161</v>
      </c>
      <c r="X10610" t="s">
        <v>44916</v>
      </c>
    </row>
    <row r="10611" spans="1:24">
      <c r="A10611">
        <f>HYPERLINK("https://www.philgeps.gov.ph/GEPSNONPILOT/Tender/SplashBidNoticeAbstractUI.aspx?menuIndex=3&amp;refID=7065794&amp;Result=3","7065794")</f>
        <v>0</v>
      </c>
      <c r="B10611" t="s">
        <v>2925</v>
      </c>
      <c r="C10611" t="s">
        <v>13631</v>
      </c>
      <c r="D10611" t="s">
        <v>18109</v>
      </c>
      <c r="E10611" t="s">
        <v>27417</v>
      </c>
      <c r="F10611" t="s">
        <v>31362</v>
      </c>
      <c r="G10611" t="s">
        <v>31368</v>
      </c>
      <c r="H10611" t="s">
        <v>15799</v>
      </c>
      <c r="I10611" t="s">
        <v>3815</v>
      </c>
      <c r="J10611" t="s">
        <v>37991</v>
      </c>
      <c r="K10611" t="s">
        <v>40666</v>
      </c>
      <c r="M10611" t="s">
        <v>44142</v>
      </c>
      <c r="N10611" t="s">
        <v>44905</v>
      </c>
      <c r="O10611" t="s">
        <v>44906</v>
      </c>
      <c r="P10611">
        <v>0</v>
      </c>
      <c r="Q10611">
        <v>2</v>
      </c>
      <c r="R10611" t="s">
        <v>44915</v>
      </c>
      <c r="S10611" t="s">
        <v>45255</v>
      </c>
      <c r="T10611" t="s">
        <v>46428</v>
      </c>
      <c r="U10611" t="s">
        <v>49713</v>
      </c>
      <c r="W10611" t="s">
        <v>44142</v>
      </c>
      <c r="X10611" t="s">
        <v>44916</v>
      </c>
    </row>
    <row r="10612" spans="1:24">
      <c r="A10612">
        <f>HYPERLINK("https://www.philgeps.gov.ph/GEPSNONPILOT/Tender/SplashBidNoticeAbstractUI.aspx?menuIndex=3&amp;refID=7065791&amp;Result=3","7065791")</f>
        <v>0</v>
      </c>
      <c r="B10612" t="s">
        <v>1640</v>
      </c>
      <c r="C10612" t="s">
        <v>13632</v>
      </c>
      <c r="D10612" t="s">
        <v>18100</v>
      </c>
      <c r="E10612" t="s">
        <v>27418</v>
      </c>
      <c r="F10612" t="s">
        <v>31362</v>
      </c>
      <c r="G10612" t="s">
        <v>31369</v>
      </c>
      <c r="H10612" t="s">
        <v>15799</v>
      </c>
      <c r="I10612" t="s">
        <v>31510</v>
      </c>
      <c r="J10612" t="s">
        <v>37992</v>
      </c>
      <c r="K10612" t="s">
        <v>40693</v>
      </c>
      <c r="M10612" t="s">
        <v>42703</v>
      </c>
      <c r="N10612" t="s">
        <v>44905</v>
      </c>
      <c r="O10612" t="s">
        <v>44906</v>
      </c>
      <c r="P10612">
        <v>0</v>
      </c>
      <c r="Q10612">
        <v>0</v>
      </c>
      <c r="R10612" t="s">
        <v>44915</v>
      </c>
      <c r="S10612" t="s">
        <v>45255</v>
      </c>
      <c r="T10612" t="s">
        <v>46810</v>
      </c>
      <c r="U10612" t="s">
        <v>55464</v>
      </c>
      <c r="W10612" t="s">
        <v>42703</v>
      </c>
      <c r="X10612" t="s">
        <v>44916</v>
      </c>
    </row>
    <row r="10613" spans="1:24">
      <c r="A10613">
        <f>HYPERLINK("https://www.philgeps.gov.ph/GEPSNONPILOT/Tender/SplashBidNoticeAbstractUI.aspx?menuIndex=3&amp;refID=7065788&amp;Result=3","7065788")</f>
        <v>0</v>
      </c>
      <c r="B10613" t="s">
        <v>1261</v>
      </c>
      <c r="C10613" t="s">
        <v>13633</v>
      </c>
      <c r="D10613" t="s">
        <v>18113</v>
      </c>
      <c r="E10613" t="s">
        <v>13633</v>
      </c>
      <c r="F10613" t="s">
        <v>31362</v>
      </c>
      <c r="G10613" t="s">
        <v>31369</v>
      </c>
      <c r="H10613" t="s">
        <v>15799</v>
      </c>
      <c r="I10613" t="s">
        <v>31430</v>
      </c>
      <c r="J10613" t="s">
        <v>31531</v>
      </c>
      <c r="K10613" t="s">
        <v>40665</v>
      </c>
      <c r="M10613" t="s">
        <v>42277</v>
      </c>
      <c r="N10613" t="s">
        <v>44905</v>
      </c>
      <c r="O10613" t="s">
        <v>44906</v>
      </c>
      <c r="P10613">
        <v>0</v>
      </c>
      <c r="Q10613">
        <v>0</v>
      </c>
      <c r="R10613" t="s">
        <v>44915</v>
      </c>
      <c r="S10613" t="s">
        <v>45255</v>
      </c>
      <c r="T10613" t="s">
        <v>46498</v>
      </c>
      <c r="U10613" t="s">
        <v>55465</v>
      </c>
      <c r="W10613" t="s">
        <v>42277</v>
      </c>
      <c r="X10613" t="s">
        <v>44916</v>
      </c>
    </row>
    <row r="10614" spans="1:24">
      <c r="A10614">
        <f>HYPERLINK("https://www.philgeps.gov.ph/GEPSNONPILOT/Tender/SplashBidNoticeAbstractUI.aspx?menuIndex=3&amp;refID=7065836&amp;Result=3","7065836")</f>
        <v>0</v>
      </c>
      <c r="B10614" t="s">
        <v>1261</v>
      </c>
      <c r="C10614" t="s">
        <v>13634</v>
      </c>
      <c r="D10614" t="s">
        <v>18113</v>
      </c>
      <c r="E10614" t="s">
        <v>13634</v>
      </c>
      <c r="F10614" t="s">
        <v>31362</v>
      </c>
      <c r="G10614" t="s">
        <v>31369</v>
      </c>
      <c r="H10614" t="s">
        <v>15799</v>
      </c>
      <c r="I10614" t="s">
        <v>7090</v>
      </c>
      <c r="J10614" t="s">
        <v>37993</v>
      </c>
      <c r="K10614" t="s">
        <v>40665</v>
      </c>
      <c r="M10614" t="s">
        <v>42277</v>
      </c>
      <c r="N10614" t="s">
        <v>44905</v>
      </c>
      <c r="O10614" t="s">
        <v>44906</v>
      </c>
      <c r="P10614">
        <v>0</v>
      </c>
      <c r="Q10614">
        <v>1</v>
      </c>
      <c r="R10614" t="s">
        <v>44915</v>
      </c>
      <c r="S10614" t="s">
        <v>45255</v>
      </c>
      <c r="T10614" t="s">
        <v>46611</v>
      </c>
      <c r="U10614" t="s">
        <v>55466</v>
      </c>
      <c r="W10614" t="s">
        <v>42277</v>
      </c>
      <c r="X10614" t="s">
        <v>44916</v>
      </c>
    </row>
    <row r="10615" spans="1:24">
      <c r="A10615">
        <f>HYPERLINK("https://www.philgeps.gov.ph/GEPSNONPILOT/Tender/SplashBidNoticeAbstractUI.aspx?menuIndex=3&amp;refID=7065784&amp;Result=3","7065784")</f>
        <v>0</v>
      </c>
      <c r="B10615" t="s">
        <v>638</v>
      </c>
      <c r="C10615" t="s">
        <v>4913</v>
      </c>
      <c r="D10615" t="s">
        <v>18177</v>
      </c>
      <c r="E10615" t="s">
        <v>27419</v>
      </c>
      <c r="F10615" t="s">
        <v>31362</v>
      </c>
      <c r="G10615" t="s">
        <v>31369</v>
      </c>
      <c r="H10615" t="s">
        <v>15799</v>
      </c>
      <c r="I10615" t="s">
        <v>31396</v>
      </c>
      <c r="J10615" t="s">
        <v>36451</v>
      </c>
      <c r="K10615" t="s">
        <v>40662</v>
      </c>
      <c r="M10615" t="s">
        <v>41598</v>
      </c>
      <c r="N10615" t="s">
        <v>44905</v>
      </c>
      <c r="O10615" t="s">
        <v>44906</v>
      </c>
      <c r="P10615">
        <v>0</v>
      </c>
      <c r="Q10615">
        <v>9</v>
      </c>
      <c r="R10615" t="s">
        <v>44915</v>
      </c>
      <c r="S10615" t="s">
        <v>45255</v>
      </c>
      <c r="T10615" t="s">
        <v>46659</v>
      </c>
      <c r="U10615" t="s">
        <v>55451</v>
      </c>
      <c r="V10615" t="s">
        <v>60201</v>
      </c>
      <c r="W10615" t="s">
        <v>41598</v>
      </c>
      <c r="X10615" t="s">
        <v>44916</v>
      </c>
    </row>
    <row r="10616" spans="1:24">
      <c r="A10616">
        <f>HYPERLINK("https://www.philgeps.gov.ph/GEPSNONPILOT/Tender/SplashBidNoticeAbstractUI.aspx?menuIndex=3&amp;refID=7065777&amp;Result=3","7065777")</f>
        <v>0</v>
      </c>
      <c r="B10616" t="s">
        <v>2941</v>
      </c>
      <c r="C10616" t="s">
        <v>13635</v>
      </c>
      <c r="D10616" t="s">
        <v>18118</v>
      </c>
      <c r="E10616" t="s">
        <v>19844</v>
      </c>
      <c r="F10616" t="s">
        <v>31365</v>
      </c>
      <c r="G10616" t="s">
        <v>31369</v>
      </c>
      <c r="H10616" t="s">
        <v>15799</v>
      </c>
      <c r="I10616" t="s">
        <v>13635</v>
      </c>
      <c r="J10616" t="s">
        <v>31536</v>
      </c>
      <c r="K10616" t="s">
        <v>40661</v>
      </c>
      <c r="M10616" t="s">
        <v>44162</v>
      </c>
      <c r="N10616" t="s">
        <v>44905</v>
      </c>
      <c r="O10616" t="s">
        <v>44906</v>
      </c>
      <c r="P10616">
        <v>0</v>
      </c>
      <c r="Q10616">
        <v>1</v>
      </c>
      <c r="R10616" t="s">
        <v>44915</v>
      </c>
      <c r="S10616" t="s">
        <v>45255</v>
      </c>
      <c r="T10616" t="s">
        <v>46427</v>
      </c>
      <c r="U10616" t="s">
        <v>55467</v>
      </c>
      <c r="W10616" t="s">
        <v>44162</v>
      </c>
      <c r="X10616" t="s">
        <v>44916</v>
      </c>
    </row>
    <row r="10617" spans="1:24">
      <c r="A10617">
        <f>HYPERLINK("https://www.philgeps.gov.ph/GEPSNONPILOT/Tender/SplashBidNoticeAbstractUI.aspx?menuIndex=3&amp;refID=7065760&amp;Result=3","7065760")</f>
        <v>0</v>
      </c>
      <c r="B10617" t="s">
        <v>2840</v>
      </c>
      <c r="C10617" t="s">
        <v>13636</v>
      </c>
      <c r="D10617" t="s">
        <v>18120</v>
      </c>
      <c r="E10617" t="s">
        <v>27420</v>
      </c>
      <c r="F10617" t="s">
        <v>31362</v>
      </c>
      <c r="G10617" t="s">
        <v>31369</v>
      </c>
      <c r="H10617" t="s">
        <v>15799</v>
      </c>
      <c r="I10617" t="s">
        <v>31430</v>
      </c>
      <c r="J10617" t="s">
        <v>35901</v>
      </c>
      <c r="K10617" t="s">
        <v>40670</v>
      </c>
      <c r="M10617" t="s">
        <v>44041</v>
      </c>
      <c r="N10617" t="s">
        <v>44905</v>
      </c>
      <c r="O10617" t="s">
        <v>44906</v>
      </c>
      <c r="P10617">
        <v>0</v>
      </c>
      <c r="Q10617">
        <v>3</v>
      </c>
      <c r="R10617" t="s">
        <v>44915</v>
      </c>
      <c r="S10617" t="s">
        <v>45255</v>
      </c>
      <c r="T10617" t="s">
        <v>46479</v>
      </c>
      <c r="U10617" t="s">
        <v>54946</v>
      </c>
      <c r="V10617" t="s">
        <v>60135</v>
      </c>
      <c r="W10617" t="s">
        <v>60943</v>
      </c>
      <c r="X10617" t="s">
        <v>44916</v>
      </c>
    </row>
    <row r="10618" spans="1:24">
      <c r="A10618">
        <f>HYPERLINK("https://www.philgeps.gov.ph/GEPSNONPILOT/Tender/SplashBidNoticeAbstractUI.aspx?menuIndex=3&amp;refID=7065806&amp;Result=3","7065806")</f>
        <v>0</v>
      </c>
      <c r="B10618" t="s">
        <v>638</v>
      </c>
      <c r="C10618" t="s">
        <v>4913</v>
      </c>
      <c r="D10618" t="s">
        <v>18177</v>
      </c>
      <c r="E10618" t="s">
        <v>27421</v>
      </c>
      <c r="F10618" t="s">
        <v>31362</v>
      </c>
      <c r="G10618" t="s">
        <v>31369</v>
      </c>
      <c r="H10618" t="s">
        <v>15799</v>
      </c>
      <c r="I10618" t="s">
        <v>31396</v>
      </c>
      <c r="J10618" t="s">
        <v>31760</v>
      </c>
      <c r="K10618" t="s">
        <v>40662</v>
      </c>
      <c r="M10618" t="s">
        <v>41598</v>
      </c>
      <c r="N10618" t="s">
        <v>44905</v>
      </c>
      <c r="O10618" t="s">
        <v>44906</v>
      </c>
      <c r="P10618">
        <v>0</v>
      </c>
      <c r="Q10618">
        <v>7</v>
      </c>
      <c r="R10618" t="s">
        <v>44915</v>
      </c>
      <c r="S10618" t="s">
        <v>45255</v>
      </c>
      <c r="T10618" t="s">
        <v>46659</v>
      </c>
      <c r="U10618" t="s">
        <v>55451</v>
      </c>
      <c r="V10618" t="s">
        <v>60201</v>
      </c>
      <c r="W10618" t="s">
        <v>41598</v>
      </c>
      <c r="X10618" t="s">
        <v>44916</v>
      </c>
    </row>
    <row r="10619" spans="1:24">
      <c r="A10619">
        <f>HYPERLINK("https://www.philgeps.gov.ph/GEPSNONPILOT/Tender/SplashBidNoticeAbstractUI.aspx?menuIndex=3&amp;refID=7065805&amp;Result=3","7065805")</f>
        <v>0</v>
      </c>
      <c r="B10619" t="s">
        <v>1261</v>
      </c>
      <c r="C10619" t="s">
        <v>13637</v>
      </c>
      <c r="D10619" t="s">
        <v>18113</v>
      </c>
      <c r="E10619" t="s">
        <v>13637</v>
      </c>
      <c r="F10619" t="s">
        <v>31362</v>
      </c>
      <c r="G10619" t="s">
        <v>31369</v>
      </c>
      <c r="H10619" t="s">
        <v>15799</v>
      </c>
      <c r="I10619" t="s">
        <v>7188</v>
      </c>
      <c r="J10619" t="s">
        <v>31919</v>
      </c>
      <c r="K10619" t="s">
        <v>40665</v>
      </c>
      <c r="M10619" t="s">
        <v>42277</v>
      </c>
      <c r="N10619" t="s">
        <v>44905</v>
      </c>
      <c r="O10619" t="s">
        <v>44906</v>
      </c>
      <c r="P10619">
        <v>0</v>
      </c>
      <c r="Q10619">
        <v>0</v>
      </c>
      <c r="R10619" t="s">
        <v>44915</v>
      </c>
      <c r="S10619" t="s">
        <v>45255</v>
      </c>
      <c r="T10619" t="s">
        <v>46498</v>
      </c>
      <c r="U10619" t="s">
        <v>55468</v>
      </c>
      <c r="W10619" t="s">
        <v>42277</v>
      </c>
      <c r="X10619" t="s">
        <v>44916</v>
      </c>
    </row>
    <row r="10620" spans="1:24">
      <c r="A10620">
        <f>HYPERLINK("https://www.philgeps.gov.ph/GEPSNONPILOT/Tender/SplashBidNoticeAbstractUI.aspx?menuIndex=3&amp;refID=7065840&amp;Result=3","7065840")</f>
        <v>0</v>
      </c>
      <c r="B10620" t="s">
        <v>1640</v>
      </c>
      <c r="C10620" t="s">
        <v>13638</v>
      </c>
      <c r="D10620" t="s">
        <v>18100</v>
      </c>
      <c r="E10620" t="s">
        <v>27422</v>
      </c>
      <c r="F10620" t="s">
        <v>31362</v>
      </c>
      <c r="G10620" t="s">
        <v>31369</v>
      </c>
      <c r="H10620" t="s">
        <v>15799</v>
      </c>
      <c r="I10620" t="s">
        <v>6373</v>
      </c>
      <c r="J10620" t="s">
        <v>37994</v>
      </c>
      <c r="K10620" t="s">
        <v>40693</v>
      </c>
      <c r="M10620" t="s">
        <v>42703</v>
      </c>
      <c r="N10620" t="s">
        <v>44905</v>
      </c>
      <c r="O10620" t="s">
        <v>44906</v>
      </c>
      <c r="P10620">
        <v>0</v>
      </c>
      <c r="Q10620">
        <v>0</v>
      </c>
      <c r="R10620" t="s">
        <v>44915</v>
      </c>
      <c r="S10620" t="s">
        <v>45255</v>
      </c>
      <c r="T10620" t="s">
        <v>46810</v>
      </c>
      <c r="U10620" t="s">
        <v>55469</v>
      </c>
      <c r="W10620" t="s">
        <v>42703</v>
      </c>
      <c r="X10620" t="s">
        <v>44916</v>
      </c>
    </row>
    <row r="10621" spans="1:24">
      <c r="A10621">
        <f>HYPERLINK("https://www.philgeps.gov.ph/GEPSNONPILOT/Tender/SplashBidNoticeAbstractUI.aspx?menuIndex=3&amp;refID=7065944&amp;Result=3","7065944")</f>
        <v>0</v>
      </c>
      <c r="B10621" t="s">
        <v>665</v>
      </c>
      <c r="C10621" t="s">
        <v>13639</v>
      </c>
      <c r="D10621" t="s">
        <v>18139</v>
      </c>
      <c r="E10621" t="s">
        <v>27423</v>
      </c>
      <c r="F10621" t="s">
        <v>31362</v>
      </c>
      <c r="G10621" t="s">
        <v>31369</v>
      </c>
      <c r="H10621" t="s">
        <v>15799</v>
      </c>
      <c r="I10621" t="s">
        <v>4283</v>
      </c>
      <c r="J10621" t="s">
        <v>37995</v>
      </c>
      <c r="K10621" t="s">
        <v>40679</v>
      </c>
      <c r="M10621" t="s">
        <v>44163</v>
      </c>
      <c r="N10621" t="s">
        <v>44905</v>
      </c>
      <c r="O10621" t="s">
        <v>44906</v>
      </c>
      <c r="P10621">
        <v>0</v>
      </c>
      <c r="Q10621">
        <v>7</v>
      </c>
      <c r="R10621" t="s">
        <v>44915</v>
      </c>
      <c r="S10621" t="s">
        <v>45255</v>
      </c>
      <c r="T10621" t="s">
        <v>46519</v>
      </c>
      <c r="U10621" t="s">
        <v>55470</v>
      </c>
      <c r="W10621" t="s">
        <v>44163</v>
      </c>
      <c r="X10621" t="s">
        <v>44916</v>
      </c>
    </row>
    <row r="10622" spans="1:24">
      <c r="A10622">
        <f>HYPERLINK("https://www.philgeps.gov.ph/GEPSNONPILOT/Tender/SplashBidNoticeAbstractUI.aspx?menuIndex=3&amp;refID=7065706&amp;Result=3","7065706")</f>
        <v>0</v>
      </c>
      <c r="B10622" t="s">
        <v>2925</v>
      </c>
      <c r="C10622" t="s">
        <v>13640</v>
      </c>
      <c r="D10622" t="s">
        <v>18109</v>
      </c>
      <c r="E10622" t="s">
        <v>27424</v>
      </c>
      <c r="F10622" t="s">
        <v>31362</v>
      </c>
      <c r="G10622" t="s">
        <v>31370</v>
      </c>
      <c r="H10622" t="s">
        <v>15799</v>
      </c>
      <c r="I10622" t="s">
        <v>3815</v>
      </c>
      <c r="J10622" t="s">
        <v>37996</v>
      </c>
      <c r="K10622" t="s">
        <v>40666</v>
      </c>
      <c r="M10622" t="s">
        <v>44142</v>
      </c>
      <c r="N10622" t="s">
        <v>44905</v>
      </c>
      <c r="O10622" t="s">
        <v>44906</v>
      </c>
      <c r="P10622">
        <v>0</v>
      </c>
      <c r="Q10622">
        <v>1</v>
      </c>
      <c r="R10622" t="s">
        <v>44915</v>
      </c>
      <c r="S10622" t="s">
        <v>45255</v>
      </c>
      <c r="T10622" t="s">
        <v>46428</v>
      </c>
      <c r="U10622" t="s">
        <v>55471</v>
      </c>
      <c r="W10622" t="s">
        <v>44142</v>
      </c>
      <c r="X10622" t="s">
        <v>44916</v>
      </c>
    </row>
    <row r="10623" spans="1:24">
      <c r="A10623">
        <f>HYPERLINK("https://www.philgeps.gov.ph/GEPSNONPILOT/Tender/SplashBidNoticeAbstractUI.aspx?menuIndex=3&amp;refID=7065934&amp;Result=3","7065934")</f>
        <v>0</v>
      </c>
      <c r="B10623" t="s">
        <v>1261</v>
      </c>
      <c r="C10623" t="s">
        <v>13641</v>
      </c>
      <c r="D10623" t="s">
        <v>18113</v>
      </c>
      <c r="E10623" t="s">
        <v>27425</v>
      </c>
      <c r="F10623" t="s">
        <v>31362</v>
      </c>
      <c r="G10623" t="s">
        <v>31369</v>
      </c>
      <c r="H10623" t="s">
        <v>15799</v>
      </c>
      <c r="I10623" t="s">
        <v>4283</v>
      </c>
      <c r="J10623" t="s">
        <v>37997</v>
      </c>
      <c r="K10623" t="s">
        <v>40665</v>
      </c>
      <c r="M10623" t="s">
        <v>42277</v>
      </c>
      <c r="N10623" t="s">
        <v>44905</v>
      </c>
      <c r="O10623" t="s">
        <v>44906</v>
      </c>
      <c r="P10623">
        <v>0</v>
      </c>
      <c r="Q10623">
        <v>7</v>
      </c>
      <c r="R10623" t="s">
        <v>44915</v>
      </c>
      <c r="S10623" t="s">
        <v>45255</v>
      </c>
      <c r="T10623" t="s">
        <v>46611</v>
      </c>
      <c r="U10623" t="s">
        <v>55472</v>
      </c>
      <c r="W10623" t="s">
        <v>42277</v>
      </c>
      <c r="X10623" t="s">
        <v>44916</v>
      </c>
    </row>
    <row r="10624" spans="1:24">
      <c r="A10624">
        <f>HYPERLINK("https://www.philgeps.gov.ph/GEPSNONPILOT/Tender/SplashBidNoticeAbstractUI.aspx?menuIndex=3&amp;refID=7065940&amp;Result=3","7065940")</f>
        <v>0</v>
      </c>
      <c r="B10624" t="s">
        <v>2840</v>
      </c>
      <c r="C10624" t="s">
        <v>13642</v>
      </c>
      <c r="D10624" t="s">
        <v>18120</v>
      </c>
      <c r="E10624" t="s">
        <v>27426</v>
      </c>
      <c r="F10624" t="s">
        <v>31362</v>
      </c>
      <c r="G10624" t="s">
        <v>31369</v>
      </c>
      <c r="H10624" t="s">
        <v>15799</v>
      </c>
      <c r="I10624" t="s">
        <v>31430</v>
      </c>
      <c r="J10624" t="s">
        <v>37998</v>
      </c>
      <c r="K10624" t="s">
        <v>40670</v>
      </c>
      <c r="M10624" t="s">
        <v>44041</v>
      </c>
      <c r="N10624" t="s">
        <v>44905</v>
      </c>
      <c r="O10624" t="s">
        <v>44906</v>
      </c>
      <c r="P10624">
        <v>0</v>
      </c>
      <c r="Q10624">
        <v>1</v>
      </c>
      <c r="R10624" t="s">
        <v>44915</v>
      </c>
      <c r="S10624" t="s">
        <v>45255</v>
      </c>
      <c r="T10624" t="s">
        <v>46479</v>
      </c>
      <c r="U10624" t="s">
        <v>54946</v>
      </c>
      <c r="V10624" t="s">
        <v>60135</v>
      </c>
      <c r="W10624" t="s">
        <v>60943</v>
      </c>
      <c r="X10624" t="s">
        <v>44916</v>
      </c>
    </row>
    <row r="10625" spans="1:24">
      <c r="A10625">
        <f>HYPERLINK("https://www.philgeps.gov.ph/GEPSNONPILOT/Tender/SplashBidNoticeAbstractUI.aspx?menuIndex=3&amp;refID=7065927&amp;Result=3","7065927")</f>
        <v>0</v>
      </c>
      <c r="B10625" t="s">
        <v>1640</v>
      </c>
      <c r="C10625" t="s">
        <v>13643</v>
      </c>
      <c r="D10625" t="s">
        <v>18100</v>
      </c>
      <c r="E10625" t="s">
        <v>27427</v>
      </c>
      <c r="F10625" t="s">
        <v>31362</v>
      </c>
      <c r="G10625" t="s">
        <v>31369</v>
      </c>
      <c r="H10625" t="s">
        <v>15799</v>
      </c>
      <c r="I10625" t="s">
        <v>31385</v>
      </c>
      <c r="J10625" t="s">
        <v>37999</v>
      </c>
      <c r="K10625" t="s">
        <v>40693</v>
      </c>
      <c r="M10625" t="s">
        <v>42703</v>
      </c>
      <c r="N10625" t="s">
        <v>44905</v>
      </c>
      <c r="O10625" t="s">
        <v>44906</v>
      </c>
      <c r="P10625">
        <v>0</v>
      </c>
      <c r="Q10625">
        <v>1</v>
      </c>
      <c r="R10625" t="s">
        <v>44915</v>
      </c>
      <c r="S10625" t="s">
        <v>45255</v>
      </c>
      <c r="T10625" t="s">
        <v>46810</v>
      </c>
      <c r="U10625" t="s">
        <v>55473</v>
      </c>
      <c r="W10625" t="s">
        <v>42703</v>
      </c>
      <c r="X10625" t="s">
        <v>44916</v>
      </c>
    </row>
    <row r="10626" spans="1:24">
      <c r="A10626">
        <f>HYPERLINK("https://www.philgeps.gov.ph/GEPSNONPILOT/Tender/SplashBidNoticeAbstractUI.aspx?menuIndex=3&amp;refID=7065919&amp;Result=3","7065919")</f>
        <v>0</v>
      </c>
      <c r="B10626" t="s">
        <v>2840</v>
      </c>
      <c r="C10626" t="s">
        <v>13644</v>
      </c>
      <c r="D10626" t="s">
        <v>18120</v>
      </c>
      <c r="E10626" t="s">
        <v>27428</v>
      </c>
      <c r="F10626" t="s">
        <v>31362</v>
      </c>
      <c r="G10626" t="s">
        <v>31369</v>
      </c>
      <c r="H10626" t="s">
        <v>15799</v>
      </c>
      <c r="I10626" t="s">
        <v>31430</v>
      </c>
      <c r="J10626" t="s">
        <v>38000</v>
      </c>
      <c r="K10626" t="s">
        <v>40670</v>
      </c>
      <c r="M10626" t="s">
        <v>44041</v>
      </c>
      <c r="N10626" t="s">
        <v>44905</v>
      </c>
      <c r="O10626" t="s">
        <v>44906</v>
      </c>
      <c r="P10626">
        <v>0</v>
      </c>
      <c r="Q10626">
        <v>3</v>
      </c>
      <c r="R10626" t="s">
        <v>44915</v>
      </c>
      <c r="S10626" t="s">
        <v>45255</v>
      </c>
      <c r="T10626" t="s">
        <v>46479</v>
      </c>
      <c r="U10626" t="s">
        <v>54946</v>
      </c>
      <c r="V10626" t="s">
        <v>60135</v>
      </c>
      <c r="W10626" t="s">
        <v>60943</v>
      </c>
      <c r="X10626" t="s">
        <v>44916</v>
      </c>
    </row>
    <row r="10627" spans="1:24">
      <c r="A10627">
        <f>HYPERLINK("https://www.philgeps.gov.ph/GEPSNONPILOT/Tender/SplashBidNoticeAbstractUI.aspx?menuIndex=3&amp;refID=7065916&amp;Result=3","7065916")</f>
        <v>0</v>
      </c>
      <c r="B10627" t="s">
        <v>1261</v>
      </c>
      <c r="C10627" t="s">
        <v>13645</v>
      </c>
      <c r="D10627" t="s">
        <v>18113</v>
      </c>
      <c r="E10627" t="s">
        <v>13645</v>
      </c>
      <c r="F10627" t="s">
        <v>31362</v>
      </c>
      <c r="G10627" t="s">
        <v>31369</v>
      </c>
      <c r="H10627" t="s">
        <v>15799</v>
      </c>
      <c r="I10627" t="s">
        <v>4283</v>
      </c>
      <c r="J10627" t="s">
        <v>31987</v>
      </c>
      <c r="K10627" t="s">
        <v>40662</v>
      </c>
      <c r="M10627" t="s">
        <v>42277</v>
      </c>
      <c r="N10627" t="s">
        <v>44905</v>
      </c>
      <c r="O10627" t="s">
        <v>44906</v>
      </c>
      <c r="P10627">
        <v>0</v>
      </c>
      <c r="Q10627">
        <v>0</v>
      </c>
      <c r="R10627" t="s">
        <v>44915</v>
      </c>
      <c r="S10627" t="s">
        <v>45255</v>
      </c>
      <c r="T10627" t="s">
        <v>46498</v>
      </c>
      <c r="U10627" t="s">
        <v>55474</v>
      </c>
      <c r="W10627" t="s">
        <v>42277</v>
      </c>
      <c r="X10627" t="s">
        <v>44916</v>
      </c>
    </row>
    <row r="10628" spans="1:24">
      <c r="A10628">
        <f>HYPERLINK("https://www.philgeps.gov.ph/GEPSNONPILOT/Tender/SplashBidNoticeAbstractUI.aspx?menuIndex=3&amp;refID=7065905&amp;Result=3","7065905")</f>
        <v>0</v>
      </c>
      <c r="B10628" t="s">
        <v>2942</v>
      </c>
      <c r="C10628" t="s">
        <v>13646</v>
      </c>
      <c r="D10628" t="s">
        <v>18153</v>
      </c>
      <c r="E10628" t="s">
        <v>27429</v>
      </c>
      <c r="F10628" t="s">
        <v>31362</v>
      </c>
      <c r="G10628" t="s">
        <v>31369</v>
      </c>
      <c r="H10628" t="s">
        <v>15799</v>
      </c>
      <c r="I10628" t="s">
        <v>31421</v>
      </c>
      <c r="J10628" t="s">
        <v>32312</v>
      </c>
      <c r="K10628" t="s">
        <v>40680</v>
      </c>
      <c r="M10628" t="s">
        <v>44164</v>
      </c>
      <c r="N10628" t="s">
        <v>44905</v>
      </c>
      <c r="O10628" t="s">
        <v>44906</v>
      </c>
      <c r="P10628">
        <v>0</v>
      </c>
      <c r="Q10628">
        <v>3</v>
      </c>
      <c r="R10628" t="s">
        <v>44915</v>
      </c>
      <c r="S10628" t="s">
        <v>45255</v>
      </c>
      <c r="T10628" t="s">
        <v>46467</v>
      </c>
      <c r="U10628" t="s">
        <v>55475</v>
      </c>
      <c r="W10628" t="s">
        <v>44164</v>
      </c>
      <c r="X10628" t="s">
        <v>44916</v>
      </c>
    </row>
    <row r="10629" spans="1:24">
      <c r="A10629">
        <f>HYPERLINK("https://www.philgeps.gov.ph/GEPSNONPILOT/Tender/SplashBidNoticeAbstractUI.aspx?menuIndex=3&amp;refID=7065901&amp;Result=3","7065901")</f>
        <v>0</v>
      </c>
      <c r="B10629" t="s">
        <v>2943</v>
      </c>
      <c r="C10629" t="s">
        <v>13647</v>
      </c>
      <c r="D10629" t="s">
        <v>18134</v>
      </c>
      <c r="E10629" t="s">
        <v>27430</v>
      </c>
      <c r="F10629" t="s">
        <v>31362</v>
      </c>
      <c r="G10629" t="s">
        <v>31369</v>
      </c>
      <c r="H10629" t="s">
        <v>31378</v>
      </c>
      <c r="I10629" t="s">
        <v>31408</v>
      </c>
      <c r="J10629" t="s">
        <v>38001</v>
      </c>
      <c r="K10629" t="s">
        <v>40666</v>
      </c>
      <c r="M10629" t="s">
        <v>44165</v>
      </c>
      <c r="N10629" t="s">
        <v>44905</v>
      </c>
      <c r="O10629" t="s">
        <v>44906</v>
      </c>
      <c r="P10629">
        <v>0</v>
      </c>
      <c r="Q10629">
        <v>0</v>
      </c>
      <c r="R10629" t="s">
        <v>44915</v>
      </c>
      <c r="S10629" t="s">
        <v>45255</v>
      </c>
      <c r="T10629" t="s">
        <v>46392</v>
      </c>
      <c r="U10629" t="s">
        <v>55476</v>
      </c>
      <c r="W10629" t="s">
        <v>44165</v>
      </c>
      <c r="X10629" t="s">
        <v>44916</v>
      </c>
    </row>
    <row r="10630" spans="1:24">
      <c r="A10630">
        <f>HYPERLINK("https://www.philgeps.gov.ph/GEPSNONPILOT/Tender/SplashBidNoticeAbstractUI.aspx?menuIndex=3&amp;refID=7065898&amp;Result=3","7065898")</f>
        <v>0</v>
      </c>
      <c r="B10630" t="s">
        <v>1261</v>
      </c>
      <c r="C10630" t="s">
        <v>13648</v>
      </c>
      <c r="D10630" t="s">
        <v>18113</v>
      </c>
      <c r="E10630" t="s">
        <v>13648</v>
      </c>
      <c r="F10630" t="s">
        <v>31362</v>
      </c>
      <c r="G10630" t="s">
        <v>31369</v>
      </c>
      <c r="H10630" t="s">
        <v>15799</v>
      </c>
      <c r="I10630" t="s">
        <v>4942</v>
      </c>
      <c r="J10630" t="s">
        <v>32112</v>
      </c>
      <c r="K10630" t="s">
        <v>40665</v>
      </c>
      <c r="M10630" t="s">
        <v>42277</v>
      </c>
      <c r="N10630" t="s">
        <v>44905</v>
      </c>
      <c r="O10630" t="s">
        <v>44906</v>
      </c>
      <c r="P10630">
        <v>0</v>
      </c>
      <c r="Q10630">
        <v>0</v>
      </c>
      <c r="R10630" t="s">
        <v>44915</v>
      </c>
      <c r="S10630" t="s">
        <v>45255</v>
      </c>
      <c r="T10630" t="s">
        <v>46611</v>
      </c>
      <c r="U10630" t="s">
        <v>55477</v>
      </c>
      <c r="W10630" t="s">
        <v>42277</v>
      </c>
      <c r="X10630" t="s">
        <v>44916</v>
      </c>
    </row>
    <row r="10631" spans="1:24">
      <c r="A10631">
        <f>HYPERLINK("https://www.philgeps.gov.ph/GEPSNONPILOT/Tender/SplashBidNoticeAbstractUI.aspx?menuIndex=3&amp;refID=7065895&amp;Result=3","7065895")</f>
        <v>0</v>
      </c>
      <c r="B10631" t="s">
        <v>2944</v>
      </c>
      <c r="C10631" t="s">
        <v>13649</v>
      </c>
      <c r="D10631" t="s">
        <v>18100</v>
      </c>
      <c r="E10631" t="s">
        <v>27431</v>
      </c>
      <c r="F10631" t="s">
        <v>31362</v>
      </c>
      <c r="G10631" t="s">
        <v>31369</v>
      </c>
      <c r="H10631" t="s">
        <v>15799</v>
      </c>
      <c r="I10631" t="s">
        <v>31409</v>
      </c>
      <c r="J10631" t="s">
        <v>31611</v>
      </c>
      <c r="K10631" t="s">
        <v>40662</v>
      </c>
      <c r="M10631" t="s">
        <v>44166</v>
      </c>
      <c r="N10631" t="s">
        <v>44905</v>
      </c>
      <c r="O10631" t="s">
        <v>44906</v>
      </c>
      <c r="P10631">
        <v>0</v>
      </c>
      <c r="Q10631">
        <v>4</v>
      </c>
      <c r="R10631" t="s">
        <v>44915</v>
      </c>
      <c r="S10631" t="s">
        <v>45255</v>
      </c>
      <c r="T10631" t="s">
        <v>46392</v>
      </c>
      <c r="U10631" t="s">
        <v>55478</v>
      </c>
      <c r="W10631" t="s">
        <v>44166</v>
      </c>
      <c r="X10631" t="s">
        <v>44916</v>
      </c>
    </row>
    <row r="10632" spans="1:24">
      <c r="A10632">
        <f>HYPERLINK("https://www.philgeps.gov.ph/GEPSNONPILOT/Tender/SplashBidNoticeAbstractUI.aspx?menuIndex=3&amp;refID=7065887&amp;Result=3","7065887")</f>
        <v>0</v>
      </c>
      <c r="B10632" t="s">
        <v>1640</v>
      </c>
      <c r="C10632" t="s">
        <v>13650</v>
      </c>
      <c r="D10632" t="s">
        <v>18100</v>
      </c>
      <c r="E10632" t="s">
        <v>27432</v>
      </c>
      <c r="F10632" t="s">
        <v>31362</v>
      </c>
      <c r="G10632" t="s">
        <v>31369</v>
      </c>
      <c r="H10632" t="s">
        <v>15799</v>
      </c>
      <c r="I10632" t="s">
        <v>6373</v>
      </c>
      <c r="J10632" t="s">
        <v>31713</v>
      </c>
      <c r="K10632" t="s">
        <v>40693</v>
      </c>
      <c r="M10632" t="s">
        <v>42703</v>
      </c>
      <c r="N10632" t="s">
        <v>44905</v>
      </c>
      <c r="O10632" t="s">
        <v>44906</v>
      </c>
      <c r="P10632">
        <v>0</v>
      </c>
      <c r="Q10632">
        <v>1</v>
      </c>
      <c r="R10632" t="s">
        <v>44915</v>
      </c>
      <c r="S10632" t="s">
        <v>45255</v>
      </c>
      <c r="T10632" t="s">
        <v>46810</v>
      </c>
      <c r="U10632" t="s">
        <v>55479</v>
      </c>
      <c r="W10632" t="s">
        <v>42703</v>
      </c>
      <c r="X10632" t="s">
        <v>44916</v>
      </c>
    </row>
    <row r="10633" spans="1:24">
      <c r="A10633">
        <f>HYPERLINK("https://www.philgeps.gov.ph/GEPSNONPILOT/Tender/SplashBidNoticeAbstractUI.aspx?menuIndex=3&amp;refID=7065881&amp;Result=3","7065881")</f>
        <v>0</v>
      </c>
      <c r="B10633" t="s">
        <v>2925</v>
      </c>
      <c r="C10633" t="s">
        <v>13651</v>
      </c>
      <c r="D10633" t="s">
        <v>18109</v>
      </c>
      <c r="E10633" t="s">
        <v>27433</v>
      </c>
      <c r="F10633" t="s">
        <v>31362</v>
      </c>
      <c r="G10633" t="s">
        <v>31368</v>
      </c>
      <c r="H10633" t="s">
        <v>15799</v>
      </c>
      <c r="I10633" t="s">
        <v>3815</v>
      </c>
      <c r="J10633" t="s">
        <v>38002</v>
      </c>
      <c r="K10633" t="s">
        <v>40666</v>
      </c>
      <c r="M10633" t="s">
        <v>44142</v>
      </c>
      <c r="N10633" t="s">
        <v>44905</v>
      </c>
      <c r="O10633" t="s">
        <v>44906</v>
      </c>
      <c r="P10633">
        <v>0</v>
      </c>
      <c r="Q10633">
        <v>3</v>
      </c>
      <c r="R10633" t="s">
        <v>44915</v>
      </c>
      <c r="S10633" t="s">
        <v>45255</v>
      </c>
      <c r="T10633" t="s">
        <v>46428</v>
      </c>
      <c r="U10633" t="s">
        <v>55438</v>
      </c>
      <c r="W10633" t="s">
        <v>44142</v>
      </c>
      <c r="X10633" t="s">
        <v>44916</v>
      </c>
    </row>
    <row r="10634" spans="1:24">
      <c r="A10634">
        <f>HYPERLINK("https://www.philgeps.gov.ph/GEPSNONPILOT/Tender/SplashBidNoticeAbstractUI.aspx?menuIndex=3&amp;refID=7065876&amp;Result=3","7065876")</f>
        <v>0</v>
      </c>
      <c r="B10634" t="s">
        <v>1067</v>
      </c>
      <c r="C10634" t="s">
        <v>13652</v>
      </c>
      <c r="D10634" t="s">
        <v>18116</v>
      </c>
      <c r="E10634" t="s">
        <v>27434</v>
      </c>
      <c r="F10634" t="s">
        <v>31362</v>
      </c>
      <c r="G10634" t="s">
        <v>31369</v>
      </c>
      <c r="H10634" t="s">
        <v>31378</v>
      </c>
      <c r="I10634" t="s">
        <v>31386</v>
      </c>
      <c r="J10634" t="s">
        <v>38003</v>
      </c>
      <c r="K10634" t="s">
        <v>40679</v>
      </c>
      <c r="M10634" t="s">
        <v>42069</v>
      </c>
      <c r="N10634" t="s">
        <v>44905</v>
      </c>
      <c r="O10634" t="s">
        <v>44906</v>
      </c>
      <c r="P10634">
        <v>0</v>
      </c>
      <c r="Q10634">
        <v>0</v>
      </c>
      <c r="R10634" t="s">
        <v>44915</v>
      </c>
      <c r="S10634" t="s">
        <v>45255</v>
      </c>
      <c r="T10634" t="s">
        <v>46638</v>
      </c>
      <c r="U10634" t="s">
        <v>55480</v>
      </c>
      <c r="W10634" t="s">
        <v>42069</v>
      </c>
      <c r="X10634" t="s">
        <v>44916</v>
      </c>
    </row>
    <row r="10635" spans="1:24">
      <c r="A10635">
        <f>HYPERLINK("https://www.philgeps.gov.ph/GEPSNONPILOT/Tender/SplashBidNoticeAbstractUI.aspx?menuIndex=3&amp;refID=7065793&amp;Result=3","7065793")</f>
        <v>0</v>
      </c>
      <c r="B10635" t="s">
        <v>1261</v>
      </c>
      <c r="C10635" t="s">
        <v>13653</v>
      </c>
      <c r="D10635" t="s">
        <v>18113</v>
      </c>
      <c r="E10635" t="s">
        <v>13653</v>
      </c>
      <c r="F10635" t="s">
        <v>31362</v>
      </c>
      <c r="G10635" t="s">
        <v>31369</v>
      </c>
      <c r="H10635" t="s">
        <v>15799</v>
      </c>
      <c r="I10635" t="s">
        <v>4942</v>
      </c>
      <c r="J10635" t="s">
        <v>38004</v>
      </c>
      <c r="K10635" t="s">
        <v>40662</v>
      </c>
      <c r="M10635" t="s">
        <v>42277</v>
      </c>
      <c r="N10635" t="s">
        <v>44905</v>
      </c>
      <c r="O10635" t="s">
        <v>44906</v>
      </c>
      <c r="P10635">
        <v>0</v>
      </c>
      <c r="Q10635">
        <v>0</v>
      </c>
      <c r="R10635" t="s">
        <v>44915</v>
      </c>
      <c r="S10635" t="s">
        <v>45255</v>
      </c>
      <c r="T10635" t="s">
        <v>46498</v>
      </c>
      <c r="U10635" t="s">
        <v>55481</v>
      </c>
      <c r="W10635" t="s">
        <v>42277</v>
      </c>
      <c r="X10635" t="s">
        <v>44916</v>
      </c>
    </row>
    <row r="10636" spans="1:24">
      <c r="A10636">
        <f>HYPERLINK("https://www.philgeps.gov.ph/GEPSNONPILOT/Tender/SplashBidNoticeAbstractUI.aspx?menuIndex=3&amp;refID=7065874&amp;Result=3","7065874")</f>
        <v>0</v>
      </c>
      <c r="B10636" t="s">
        <v>2945</v>
      </c>
      <c r="C10636" t="s">
        <v>13654</v>
      </c>
      <c r="E10636" t="s">
        <v>27435</v>
      </c>
      <c r="F10636" t="s">
        <v>31362</v>
      </c>
      <c r="G10636" t="s">
        <v>31369</v>
      </c>
      <c r="H10636" t="s">
        <v>15799</v>
      </c>
      <c r="I10636" t="s">
        <v>31399</v>
      </c>
      <c r="J10636" t="s">
        <v>31536</v>
      </c>
      <c r="K10636" t="s">
        <v>40661</v>
      </c>
      <c r="M10636" t="s">
        <v>44167</v>
      </c>
      <c r="N10636" t="s">
        <v>44905</v>
      </c>
      <c r="O10636" t="s">
        <v>44906</v>
      </c>
      <c r="P10636">
        <v>0</v>
      </c>
      <c r="Q10636">
        <v>1</v>
      </c>
      <c r="R10636" t="s">
        <v>44915</v>
      </c>
      <c r="S10636" t="s">
        <v>45255</v>
      </c>
      <c r="T10636" t="s">
        <v>46470</v>
      </c>
      <c r="U10636" t="s">
        <v>55482</v>
      </c>
      <c r="W10636" t="s">
        <v>44167</v>
      </c>
      <c r="X10636" t="s">
        <v>44916</v>
      </c>
    </row>
    <row r="10637" spans="1:24">
      <c r="A10637">
        <f>HYPERLINK("https://www.philgeps.gov.ph/GEPSNONPILOT/Tender/SplashBidNoticeAbstractUI.aspx?menuIndex=3&amp;refID=7065870&amp;Result=3","7065870")</f>
        <v>0</v>
      </c>
      <c r="B10637" t="s">
        <v>2840</v>
      </c>
      <c r="C10637" t="s">
        <v>13655</v>
      </c>
      <c r="D10637" t="s">
        <v>18120</v>
      </c>
      <c r="E10637" t="s">
        <v>27436</v>
      </c>
      <c r="F10637" t="s">
        <v>31362</v>
      </c>
      <c r="G10637" t="s">
        <v>31369</v>
      </c>
      <c r="H10637" t="s">
        <v>15799</v>
      </c>
      <c r="I10637" t="s">
        <v>31430</v>
      </c>
      <c r="J10637" t="s">
        <v>37998</v>
      </c>
      <c r="K10637" t="s">
        <v>40670</v>
      </c>
      <c r="M10637" t="s">
        <v>44041</v>
      </c>
      <c r="N10637" t="s">
        <v>44905</v>
      </c>
      <c r="O10637" t="s">
        <v>44906</v>
      </c>
      <c r="P10637">
        <v>0</v>
      </c>
      <c r="Q10637">
        <v>2</v>
      </c>
      <c r="R10637" t="s">
        <v>44915</v>
      </c>
      <c r="S10637" t="s">
        <v>45255</v>
      </c>
      <c r="T10637" t="s">
        <v>46479</v>
      </c>
      <c r="U10637" t="s">
        <v>54946</v>
      </c>
      <c r="V10637" t="s">
        <v>60135</v>
      </c>
      <c r="W10637" t="s">
        <v>60943</v>
      </c>
      <c r="X10637" t="s">
        <v>44916</v>
      </c>
    </row>
    <row r="10638" spans="1:24">
      <c r="A10638">
        <f>HYPERLINK("https://www.philgeps.gov.ph/GEPSNONPILOT/Tender/SplashBidNoticeAbstractUI.aspx?menuIndex=3&amp;refID=7065865&amp;Result=3","7065865")</f>
        <v>0</v>
      </c>
      <c r="B10638" t="s">
        <v>1033</v>
      </c>
      <c r="C10638" t="s">
        <v>13656</v>
      </c>
      <c r="D10638" t="s">
        <v>18162</v>
      </c>
      <c r="E10638" t="s">
        <v>27437</v>
      </c>
      <c r="F10638" t="s">
        <v>31362</v>
      </c>
      <c r="G10638" t="s">
        <v>31369</v>
      </c>
      <c r="H10638" t="s">
        <v>15799</v>
      </c>
      <c r="I10638" t="s">
        <v>31385</v>
      </c>
      <c r="J10638" t="s">
        <v>38005</v>
      </c>
      <c r="K10638" t="s">
        <v>40670</v>
      </c>
      <c r="M10638" t="s">
        <v>42032</v>
      </c>
      <c r="N10638" t="s">
        <v>44905</v>
      </c>
      <c r="O10638" t="s">
        <v>44906</v>
      </c>
      <c r="P10638">
        <v>0</v>
      </c>
      <c r="Q10638">
        <v>0</v>
      </c>
      <c r="R10638" t="s">
        <v>44915</v>
      </c>
      <c r="S10638" t="s">
        <v>45255</v>
      </c>
      <c r="T10638" t="s">
        <v>46509</v>
      </c>
      <c r="U10638" t="s">
        <v>55483</v>
      </c>
      <c r="W10638" t="s">
        <v>42032</v>
      </c>
      <c r="X10638" t="s">
        <v>44916</v>
      </c>
    </row>
    <row r="10639" spans="1:24">
      <c r="A10639">
        <f>HYPERLINK("https://www.philgeps.gov.ph/GEPSNONPILOT/Tender/SplashBidNoticeAbstractUI.aspx?menuIndex=3&amp;refID=7065771&amp;Result=3","7065771")</f>
        <v>0</v>
      </c>
      <c r="B10639" t="s">
        <v>2933</v>
      </c>
      <c r="C10639" t="s">
        <v>13657</v>
      </c>
      <c r="D10639" t="s">
        <v>18120</v>
      </c>
      <c r="E10639" t="s">
        <v>27438</v>
      </c>
      <c r="F10639" t="s">
        <v>31362</v>
      </c>
      <c r="G10639" t="s">
        <v>31369</v>
      </c>
      <c r="H10639" t="s">
        <v>15799</v>
      </c>
      <c r="I10639" t="s">
        <v>31382</v>
      </c>
      <c r="J10639" t="s">
        <v>33868</v>
      </c>
      <c r="K10639" t="s">
        <v>40662</v>
      </c>
      <c r="M10639" t="s">
        <v>44152</v>
      </c>
      <c r="N10639" t="s">
        <v>44905</v>
      </c>
      <c r="O10639" t="s">
        <v>44906</v>
      </c>
      <c r="P10639">
        <v>0</v>
      </c>
      <c r="Q10639">
        <v>13</v>
      </c>
      <c r="R10639" t="s">
        <v>44915</v>
      </c>
      <c r="S10639" t="s">
        <v>45255</v>
      </c>
      <c r="T10639" t="s">
        <v>46484</v>
      </c>
      <c r="U10639" t="s">
        <v>55484</v>
      </c>
      <c r="W10639" t="s">
        <v>44152</v>
      </c>
      <c r="X10639" t="s">
        <v>44916</v>
      </c>
    </row>
    <row r="10640" spans="1:24">
      <c r="A10640">
        <f>HYPERLINK("https://www.philgeps.gov.ph/GEPSNONPILOT/Tender/SplashBidNoticeAbstractUI.aspx?menuIndex=3&amp;refID=7065754&amp;Result=3","7065754")</f>
        <v>0</v>
      </c>
      <c r="B10640" t="s">
        <v>2946</v>
      </c>
      <c r="C10640" t="s">
        <v>13658</v>
      </c>
      <c r="D10640" t="s">
        <v>18101</v>
      </c>
      <c r="E10640" t="s">
        <v>27439</v>
      </c>
      <c r="F10640" t="s">
        <v>31362</v>
      </c>
      <c r="G10640" t="s">
        <v>31369</v>
      </c>
      <c r="H10640" t="s">
        <v>31379</v>
      </c>
      <c r="I10640" t="s">
        <v>31436</v>
      </c>
      <c r="J10640" t="s">
        <v>38006</v>
      </c>
      <c r="K10640" t="s">
        <v>40876</v>
      </c>
      <c r="M10640" t="s">
        <v>44168</v>
      </c>
      <c r="N10640" t="s">
        <v>44905</v>
      </c>
      <c r="O10640" t="s">
        <v>44906</v>
      </c>
      <c r="P10640">
        <v>0</v>
      </c>
      <c r="Q10640">
        <v>1</v>
      </c>
      <c r="R10640" t="s">
        <v>44915</v>
      </c>
      <c r="S10640" t="s">
        <v>45255</v>
      </c>
      <c r="T10640" t="s">
        <v>46694</v>
      </c>
      <c r="U10640" t="s">
        <v>55485</v>
      </c>
      <c r="W10640" t="s">
        <v>44168</v>
      </c>
      <c r="X10640" t="s">
        <v>44916</v>
      </c>
    </row>
    <row r="10641" spans="1:24">
      <c r="A10641">
        <f>HYPERLINK("https://www.philgeps.gov.ph/GEPSNONPILOT/Tender/SplashBidNoticeAbstractUI.aspx?menuIndex=3&amp;refID=7065943&amp;Result=3","7065943")</f>
        <v>0</v>
      </c>
      <c r="B10641" t="s">
        <v>117</v>
      </c>
      <c r="C10641" t="s">
        <v>13659</v>
      </c>
      <c r="D10641" t="s">
        <v>18104</v>
      </c>
      <c r="E10641" t="s">
        <v>27440</v>
      </c>
      <c r="F10641" t="s">
        <v>31362</v>
      </c>
      <c r="G10641" t="s">
        <v>31370</v>
      </c>
      <c r="H10641" t="s">
        <v>15799</v>
      </c>
      <c r="I10641" t="s">
        <v>31442</v>
      </c>
      <c r="J10641" t="s">
        <v>38007</v>
      </c>
      <c r="K10641" t="s">
        <v>40662</v>
      </c>
      <c r="M10641" t="s">
        <v>41054</v>
      </c>
      <c r="N10641" t="s">
        <v>44905</v>
      </c>
      <c r="O10641" t="s">
        <v>44906</v>
      </c>
      <c r="Q10641">
        <v>4</v>
      </c>
      <c r="R10641" t="s">
        <v>44915</v>
      </c>
      <c r="S10641" t="s">
        <v>45294</v>
      </c>
      <c r="T10641" t="s">
        <v>46467</v>
      </c>
      <c r="U10641" t="s">
        <v>55486</v>
      </c>
      <c r="W10641" t="s">
        <v>41054</v>
      </c>
      <c r="X10641" t="s">
        <v>44916</v>
      </c>
    </row>
    <row r="10642" spans="1:24">
      <c r="A10642">
        <f>HYPERLINK("https://www.philgeps.gov.ph/GEPSNONPILOT/Tender/SplashBidNoticeAbstractUI.aspx?menuIndex=3&amp;refID=7065873&amp;Result=3","7065873")</f>
        <v>0</v>
      </c>
      <c r="B10642" t="s">
        <v>1261</v>
      </c>
      <c r="C10642" t="s">
        <v>13660</v>
      </c>
      <c r="D10642" t="s">
        <v>18113</v>
      </c>
      <c r="E10642" t="s">
        <v>13660</v>
      </c>
      <c r="F10642" t="s">
        <v>31362</v>
      </c>
      <c r="G10642" t="s">
        <v>31369</v>
      </c>
      <c r="H10642" t="s">
        <v>15799</v>
      </c>
      <c r="I10642" t="s">
        <v>31402</v>
      </c>
      <c r="J10642" t="s">
        <v>38008</v>
      </c>
      <c r="K10642" t="s">
        <v>40665</v>
      </c>
      <c r="M10642" t="s">
        <v>42277</v>
      </c>
      <c r="N10642" t="s">
        <v>44905</v>
      </c>
      <c r="O10642" t="s">
        <v>44906</v>
      </c>
      <c r="P10642">
        <v>0</v>
      </c>
      <c r="Q10642">
        <v>0</v>
      </c>
      <c r="R10642" t="s">
        <v>44915</v>
      </c>
      <c r="S10642" t="s">
        <v>45255</v>
      </c>
      <c r="T10642" t="s">
        <v>46611</v>
      </c>
      <c r="U10642" t="s">
        <v>55487</v>
      </c>
      <c r="W10642" t="s">
        <v>42277</v>
      </c>
      <c r="X10642" t="s">
        <v>44916</v>
      </c>
    </row>
    <row r="10643" spans="1:24">
      <c r="A10643">
        <f>HYPERLINK("https://www.philgeps.gov.ph/GEPSNONPILOT/Tender/SplashBidNoticeAbstractUI.aspx?menuIndex=3&amp;refID=7065668&amp;Result=3","7065668")</f>
        <v>0</v>
      </c>
      <c r="B10643" t="s">
        <v>2947</v>
      </c>
      <c r="C10643" t="s">
        <v>13661</v>
      </c>
      <c r="D10643" t="s">
        <v>18158</v>
      </c>
      <c r="E10643" t="s">
        <v>27441</v>
      </c>
      <c r="F10643" t="s">
        <v>31362</v>
      </c>
      <c r="G10643" t="s">
        <v>31369</v>
      </c>
      <c r="H10643" t="s">
        <v>15799</v>
      </c>
      <c r="I10643" t="s">
        <v>4057</v>
      </c>
      <c r="J10643" t="s">
        <v>31981</v>
      </c>
      <c r="K10643" t="s">
        <v>40669</v>
      </c>
      <c r="M10643" t="s">
        <v>44169</v>
      </c>
      <c r="N10643" t="s">
        <v>44905</v>
      </c>
      <c r="O10643" t="s">
        <v>44906</v>
      </c>
      <c r="P10643">
        <v>0</v>
      </c>
      <c r="Q10643">
        <v>0</v>
      </c>
      <c r="R10643" t="s">
        <v>44915</v>
      </c>
      <c r="S10643" t="s">
        <v>45255</v>
      </c>
      <c r="T10643" t="s">
        <v>46810</v>
      </c>
      <c r="U10643" t="s">
        <v>55488</v>
      </c>
      <c r="W10643" t="s">
        <v>44169</v>
      </c>
      <c r="X10643" t="s">
        <v>44916</v>
      </c>
    </row>
    <row r="10644" spans="1:24">
      <c r="A10644">
        <f>HYPERLINK("https://www.philgeps.gov.ph/GEPSNONPILOT/Tender/SplashBidNoticeAbstractUI.aspx?menuIndex=3&amp;refID=7065867&amp;Result=3","7065867")</f>
        <v>0</v>
      </c>
      <c r="B10644" t="s">
        <v>1834</v>
      </c>
      <c r="C10644" t="s">
        <v>8287</v>
      </c>
      <c r="D10644" t="s">
        <v>18153</v>
      </c>
      <c r="E10644" t="s">
        <v>27442</v>
      </c>
      <c r="F10644" t="s">
        <v>31362</v>
      </c>
      <c r="G10644" t="s">
        <v>31369</v>
      </c>
      <c r="H10644" t="s">
        <v>31378</v>
      </c>
      <c r="I10644" t="s">
        <v>31386</v>
      </c>
      <c r="J10644" t="s">
        <v>38009</v>
      </c>
      <c r="K10644" t="s">
        <v>40679</v>
      </c>
      <c r="M10644" t="s">
        <v>42921</v>
      </c>
      <c r="N10644" t="s">
        <v>44905</v>
      </c>
      <c r="O10644" t="s">
        <v>44906</v>
      </c>
      <c r="P10644">
        <v>0</v>
      </c>
      <c r="Q10644">
        <v>1</v>
      </c>
      <c r="R10644" t="s">
        <v>44915</v>
      </c>
      <c r="S10644" t="s">
        <v>45255</v>
      </c>
      <c r="T10644" t="s">
        <v>46561</v>
      </c>
      <c r="U10644" t="s">
        <v>55489</v>
      </c>
      <c r="W10644" t="s">
        <v>42921</v>
      </c>
      <c r="X10644" t="s">
        <v>44916</v>
      </c>
    </row>
    <row r="10645" spans="1:24">
      <c r="A10645">
        <f>HYPERLINK("https://www.philgeps.gov.ph/GEPSNONPILOT/Tender/SplashBidNoticeAbstractUI.aspx?menuIndex=3&amp;refID=7065774&amp;Result=3","7065774")</f>
        <v>0</v>
      </c>
      <c r="B10645" t="s">
        <v>1261</v>
      </c>
      <c r="C10645" t="s">
        <v>13662</v>
      </c>
      <c r="D10645" t="s">
        <v>18113</v>
      </c>
      <c r="E10645" t="s">
        <v>13662</v>
      </c>
      <c r="F10645" t="s">
        <v>31362</v>
      </c>
      <c r="G10645" t="s">
        <v>31369</v>
      </c>
      <c r="H10645" t="s">
        <v>15799</v>
      </c>
      <c r="I10645" t="s">
        <v>31404</v>
      </c>
      <c r="J10645" t="s">
        <v>31943</v>
      </c>
      <c r="K10645" t="s">
        <v>40665</v>
      </c>
      <c r="M10645" t="s">
        <v>42277</v>
      </c>
      <c r="N10645" t="s">
        <v>44905</v>
      </c>
      <c r="O10645" t="s">
        <v>44906</v>
      </c>
      <c r="P10645">
        <v>0</v>
      </c>
      <c r="Q10645">
        <v>0</v>
      </c>
      <c r="R10645" t="s">
        <v>44915</v>
      </c>
      <c r="S10645" t="s">
        <v>45255</v>
      </c>
      <c r="T10645" t="s">
        <v>46498</v>
      </c>
      <c r="U10645" t="s">
        <v>55490</v>
      </c>
      <c r="W10645" t="s">
        <v>42277</v>
      </c>
      <c r="X10645" t="s">
        <v>44916</v>
      </c>
    </row>
    <row r="10646" spans="1:24">
      <c r="A10646">
        <f>HYPERLINK("https://www.philgeps.gov.ph/GEPSNONPILOT/Tender/SplashBidNoticeAbstractUI.aspx?menuIndex=3&amp;refID=7065658&amp;Result=3","7065658")</f>
        <v>0</v>
      </c>
      <c r="B10646" t="s">
        <v>270</v>
      </c>
      <c r="C10646" t="s">
        <v>13663</v>
      </c>
      <c r="D10646" t="s">
        <v>18166</v>
      </c>
      <c r="E10646" t="s">
        <v>27443</v>
      </c>
      <c r="F10646" t="s">
        <v>31362</v>
      </c>
      <c r="G10646" t="s">
        <v>31369</v>
      </c>
      <c r="H10646" t="s">
        <v>15799</v>
      </c>
      <c r="I10646" t="s">
        <v>31413</v>
      </c>
      <c r="J10646" t="s">
        <v>38010</v>
      </c>
      <c r="K10646" t="s">
        <v>40661</v>
      </c>
      <c r="M10646" t="s">
        <v>41212</v>
      </c>
      <c r="N10646" t="s">
        <v>44905</v>
      </c>
      <c r="O10646" t="s">
        <v>44906</v>
      </c>
      <c r="P10646">
        <v>0</v>
      </c>
      <c r="Q10646">
        <v>5</v>
      </c>
      <c r="R10646" t="s">
        <v>44915</v>
      </c>
      <c r="S10646" t="s">
        <v>45255</v>
      </c>
      <c r="T10646" t="s">
        <v>46462</v>
      </c>
      <c r="U10646" t="s">
        <v>55341</v>
      </c>
      <c r="W10646" t="s">
        <v>41212</v>
      </c>
      <c r="X10646" t="s">
        <v>44916</v>
      </c>
    </row>
    <row r="10647" spans="1:24">
      <c r="A10647">
        <f>HYPERLINK("https://www.philgeps.gov.ph/GEPSNONPILOT/Tender/SplashBidNoticeAbstractUI.aspx?menuIndex=3&amp;refID=7065581&amp;Result=3","7065581")</f>
        <v>0</v>
      </c>
      <c r="B10647" t="s">
        <v>2948</v>
      </c>
      <c r="C10647" t="s">
        <v>13664</v>
      </c>
      <c r="E10647" t="s">
        <v>26986</v>
      </c>
      <c r="F10647" t="s">
        <v>31362</v>
      </c>
      <c r="G10647" t="s">
        <v>31369</v>
      </c>
      <c r="H10647" t="s">
        <v>31378</v>
      </c>
      <c r="I10647" t="s">
        <v>31386</v>
      </c>
      <c r="J10647" t="s">
        <v>31591</v>
      </c>
      <c r="K10647" t="s">
        <v>40682</v>
      </c>
      <c r="M10647" t="s">
        <v>44170</v>
      </c>
      <c r="N10647" t="s">
        <v>44905</v>
      </c>
      <c r="O10647" t="s">
        <v>44906</v>
      </c>
      <c r="P10647">
        <v>0</v>
      </c>
      <c r="Q10647">
        <v>1</v>
      </c>
      <c r="R10647" t="s">
        <v>44915</v>
      </c>
      <c r="S10647" t="s">
        <v>45255</v>
      </c>
      <c r="T10647" t="s">
        <v>46481</v>
      </c>
      <c r="U10647" t="s">
        <v>55491</v>
      </c>
      <c r="W10647" t="s">
        <v>44170</v>
      </c>
      <c r="X10647" t="s">
        <v>44916</v>
      </c>
    </row>
    <row r="10648" spans="1:24">
      <c r="A10648">
        <f>HYPERLINK("https://www.philgeps.gov.ph/GEPSNONPILOT/Tender/SplashBidNoticeAbstractUI.aspx?menuIndex=3&amp;refID=7065671&amp;Result=3","7065671")</f>
        <v>0</v>
      </c>
      <c r="B10648" t="s">
        <v>2943</v>
      </c>
      <c r="C10648" t="s">
        <v>13665</v>
      </c>
      <c r="D10648" t="s">
        <v>18134</v>
      </c>
      <c r="E10648" t="s">
        <v>27444</v>
      </c>
      <c r="F10648" t="s">
        <v>31362</v>
      </c>
      <c r="G10648" t="s">
        <v>31369</v>
      </c>
      <c r="H10648" t="s">
        <v>31378</v>
      </c>
      <c r="I10648" t="s">
        <v>31386</v>
      </c>
      <c r="J10648" t="s">
        <v>38011</v>
      </c>
      <c r="K10648" t="s">
        <v>40679</v>
      </c>
      <c r="M10648" t="s">
        <v>44165</v>
      </c>
      <c r="N10648" t="s">
        <v>44905</v>
      </c>
      <c r="O10648" t="s">
        <v>44906</v>
      </c>
      <c r="P10648">
        <v>0</v>
      </c>
      <c r="Q10648">
        <v>1</v>
      </c>
      <c r="R10648" t="s">
        <v>44915</v>
      </c>
      <c r="S10648" t="s">
        <v>45255</v>
      </c>
      <c r="T10648" t="s">
        <v>46392</v>
      </c>
      <c r="U10648" t="s">
        <v>55492</v>
      </c>
      <c r="W10648" t="s">
        <v>44165</v>
      </c>
      <c r="X10648" t="s">
        <v>44916</v>
      </c>
    </row>
    <row r="10649" spans="1:24">
      <c r="A10649">
        <f>HYPERLINK("https://www.philgeps.gov.ph/GEPSNONPILOT/Tender/SplashBidNoticeAbstractUI.aspx?menuIndex=3&amp;refID=7065578&amp;Result=3","7065578")</f>
        <v>0</v>
      </c>
      <c r="B10649" t="s">
        <v>2948</v>
      </c>
      <c r="C10649" t="s">
        <v>13666</v>
      </c>
      <c r="D10649" t="s">
        <v>18101</v>
      </c>
      <c r="E10649" t="s">
        <v>19877</v>
      </c>
      <c r="F10649" t="s">
        <v>31362</v>
      </c>
      <c r="G10649" t="s">
        <v>31369</v>
      </c>
      <c r="H10649" t="s">
        <v>31378</v>
      </c>
      <c r="I10649" t="s">
        <v>31386</v>
      </c>
      <c r="J10649" t="s">
        <v>34854</v>
      </c>
      <c r="K10649" t="s">
        <v>40682</v>
      </c>
      <c r="M10649" t="s">
        <v>44170</v>
      </c>
      <c r="N10649" t="s">
        <v>44905</v>
      </c>
      <c r="O10649" t="s">
        <v>44906</v>
      </c>
      <c r="P10649">
        <v>0</v>
      </c>
      <c r="Q10649">
        <v>1</v>
      </c>
      <c r="R10649" t="s">
        <v>44915</v>
      </c>
      <c r="S10649" t="s">
        <v>45255</v>
      </c>
      <c r="T10649" t="s">
        <v>46481</v>
      </c>
      <c r="U10649" t="s">
        <v>55493</v>
      </c>
      <c r="W10649" t="s">
        <v>44170</v>
      </c>
      <c r="X10649" t="s">
        <v>44916</v>
      </c>
    </row>
    <row r="10650" spans="1:24">
      <c r="A10650">
        <f>HYPERLINK("https://www.philgeps.gov.ph/GEPSNONPILOT/Tender/SplashBidNoticeAbstractUI.aspx?menuIndex=3&amp;refID=7066021&amp;Result=3","7066021")</f>
        <v>0</v>
      </c>
      <c r="B10650" t="s">
        <v>2933</v>
      </c>
      <c r="C10650" t="s">
        <v>13667</v>
      </c>
      <c r="D10650" t="s">
        <v>18120</v>
      </c>
      <c r="E10650" t="s">
        <v>18474</v>
      </c>
      <c r="F10650" t="s">
        <v>31362</v>
      </c>
      <c r="G10650" t="s">
        <v>31369</v>
      </c>
      <c r="H10650" t="s">
        <v>15799</v>
      </c>
      <c r="I10650" t="s">
        <v>31382</v>
      </c>
      <c r="J10650" t="s">
        <v>38012</v>
      </c>
      <c r="K10650" t="s">
        <v>40662</v>
      </c>
      <c r="M10650" t="s">
        <v>44152</v>
      </c>
      <c r="N10650" t="s">
        <v>44905</v>
      </c>
      <c r="O10650" t="s">
        <v>44906</v>
      </c>
      <c r="P10650">
        <v>0</v>
      </c>
      <c r="Q10650">
        <v>22</v>
      </c>
      <c r="R10650" t="s">
        <v>44915</v>
      </c>
      <c r="S10650" t="s">
        <v>45255</v>
      </c>
      <c r="T10650" t="s">
        <v>46486</v>
      </c>
      <c r="U10650" t="s">
        <v>55494</v>
      </c>
      <c r="W10650" t="s">
        <v>44152</v>
      </c>
      <c r="X10650" t="s">
        <v>44916</v>
      </c>
    </row>
    <row r="10651" spans="1:24">
      <c r="A10651">
        <f>HYPERLINK("https://www.philgeps.gov.ph/GEPSNONPILOT/Tender/SplashBidNoticeAbstractUI.aspx?menuIndex=3&amp;refID=7065850&amp;Result=3","7065850")</f>
        <v>0</v>
      </c>
      <c r="B10651" t="s">
        <v>1261</v>
      </c>
      <c r="C10651" t="s">
        <v>13668</v>
      </c>
      <c r="D10651" t="s">
        <v>18113</v>
      </c>
      <c r="E10651" t="s">
        <v>13668</v>
      </c>
      <c r="F10651" t="s">
        <v>31362</v>
      </c>
      <c r="G10651" t="s">
        <v>31369</v>
      </c>
      <c r="H10651" t="s">
        <v>15799</v>
      </c>
      <c r="I10651" t="s">
        <v>31384</v>
      </c>
      <c r="J10651" t="s">
        <v>38013</v>
      </c>
      <c r="K10651" t="s">
        <v>40665</v>
      </c>
      <c r="M10651" t="s">
        <v>42277</v>
      </c>
      <c r="N10651" t="s">
        <v>44905</v>
      </c>
      <c r="O10651" t="s">
        <v>44906</v>
      </c>
      <c r="P10651">
        <v>0</v>
      </c>
      <c r="Q10651">
        <v>10</v>
      </c>
      <c r="R10651" t="s">
        <v>44915</v>
      </c>
      <c r="S10651" t="s">
        <v>45255</v>
      </c>
      <c r="T10651" t="s">
        <v>46611</v>
      </c>
      <c r="U10651" t="s">
        <v>55495</v>
      </c>
      <c r="W10651" t="s">
        <v>42277</v>
      </c>
      <c r="X10651" t="s">
        <v>44916</v>
      </c>
    </row>
    <row r="10652" spans="1:24">
      <c r="A10652">
        <f>HYPERLINK("https://www.philgeps.gov.ph/GEPSNONPILOT/Tender/SplashBidNoticeAbstractUI.aspx?menuIndex=3&amp;refID=7065585&amp;Result=3","7065585")</f>
        <v>0</v>
      </c>
      <c r="B10652" t="s">
        <v>2783</v>
      </c>
      <c r="C10652" t="s">
        <v>13669</v>
      </c>
      <c r="D10652" t="s">
        <v>18148</v>
      </c>
      <c r="E10652" t="s">
        <v>27445</v>
      </c>
      <c r="F10652" t="s">
        <v>31363</v>
      </c>
      <c r="G10652" t="s">
        <v>31369</v>
      </c>
      <c r="H10652" t="s">
        <v>15799</v>
      </c>
      <c r="I10652" t="s">
        <v>4942</v>
      </c>
      <c r="J10652" t="s">
        <v>38014</v>
      </c>
      <c r="K10652" t="s">
        <v>40665</v>
      </c>
      <c r="M10652" t="s">
        <v>43977</v>
      </c>
      <c r="N10652" t="s">
        <v>44905</v>
      </c>
      <c r="O10652" t="s">
        <v>44906</v>
      </c>
      <c r="P10652">
        <v>0</v>
      </c>
      <c r="Q10652">
        <v>0</v>
      </c>
      <c r="R10652" t="s">
        <v>44915</v>
      </c>
      <c r="S10652" t="s">
        <v>45255</v>
      </c>
      <c r="T10652" t="s">
        <v>46533</v>
      </c>
      <c r="U10652" t="s">
        <v>55496</v>
      </c>
      <c r="V10652" t="s">
        <v>60204</v>
      </c>
      <c r="W10652" t="s">
        <v>43977</v>
      </c>
      <c r="X10652" t="s">
        <v>44916</v>
      </c>
    </row>
    <row r="10653" spans="1:24">
      <c r="A10653">
        <f>HYPERLINK("https://www.philgeps.gov.ph/GEPSNONPILOT/Tender/SplashBidNoticeAbstractUI.aspx?menuIndex=3&amp;refID=7066036&amp;Result=3","7066036")</f>
        <v>0</v>
      </c>
      <c r="B10653" t="s">
        <v>2949</v>
      </c>
      <c r="C10653" t="s">
        <v>13670</v>
      </c>
      <c r="E10653" t="s">
        <v>27446</v>
      </c>
      <c r="F10653" t="s">
        <v>31362</v>
      </c>
      <c r="G10653" t="s">
        <v>31369</v>
      </c>
      <c r="H10653" t="s">
        <v>31378</v>
      </c>
      <c r="I10653" t="s">
        <v>31386</v>
      </c>
      <c r="J10653" t="s">
        <v>31586</v>
      </c>
      <c r="K10653" t="s">
        <v>40682</v>
      </c>
      <c r="M10653" t="s">
        <v>44171</v>
      </c>
      <c r="N10653" t="s">
        <v>44905</v>
      </c>
      <c r="O10653" t="s">
        <v>44906</v>
      </c>
      <c r="P10653">
        <v>0</v>
      </c>
      <c r="Q10653">
        <v>0</v>
      </c>
      <c r="R10653" t="s">
        <v>44915</v>
      </c>
      <c r="S10653" t="s">
        <v>45255</v>
      </c>
      <c r="T10653" t="s">
        <v>46504</v>
      </c>
      <c r="U10653" t="s">
        <v>55497</v>
      </c>
      <c r="W10653" t="s">
        <v>44171</v>
      </c>
      <c r="X10653" t="s">
        <v>44916</v>
      </c>
    </row>
    <row r="10654" spans="1:24">
      <c r="A10654">
        <f>HYPERLINK("https://www.philgeps.gov.ph/GEPSNONPILOT/Tender/SplashBidNoticeAbstractUI.aspx?menuIndex=3&amp;refID=7065664&amp;Result=3","7065664")</f>
        <v>0</v>
      </c>
      <c r="B10654" t="s">
        <v>638</v>
      </c>
      <c r="C10654" t="s">
        <v>4913</v>
      </c>
      <c r="D10654" t="s">
        <v>18177</v>
      </c>
      <c r="E10654" t="s">
        <v>27447</v>
      </c>
      <c r="F10654" t="s">
        <v>31362</v>
      </c>
      <c r="G10654" t="s">
        <v>31369</v>
      </c>
      <c r="H10654" t="s">
        <v>15799</v>
      </c>
      <c r="I10654" t="s">
        <v>31477</v>
      </c>
      <c r="J10654" t="s">
        <v>31604</v>
      </c>
      <c r="K10654" t="s">
        <v>40662</v>
      </c>
      <c r="M10654" t="s">
        <v>41598</v>
      </c>
      <c r="N10654" t="s">
        <v>44905</v>
      </c>
      <c r="O10654" t="s">
        <v>44906</v>
      </c>
      <c r="P10654">
        <v>0</v>
      </c>
      <c r="Q10654">
        <v>2</v>
      </c>
      <c r="R10654" t="s">
        <v>44915</v>
      </c>
      <c r="S10654" t="s">
        <v>45255</v>
      </c>
      <c r="T10654" t="s">
        <v>46659</v>
      </c>
      <c r="U10654" t="s">
        <v>55451</v>
      </c>
      <c r="V10654" t="s">
        <v>60205</v>
      </c>
      <c r="W10654" t="s">
        <v>41598</v>
      </c>
      <c r="X10654" t="s">
        <v>44916</v>
      </c>
    </row>
    <row r="10655" spans="1:24">
      <c r="A10655">
        <f>HYPERLINK("https://www.philgeps.gov.ph/GEPSNONPILOT/Tender/SplashBidNoticeAbstractUI.aspx?menuIndex=3&amp;refID=7066027&amp;Result=3","7066027")</f>
        <v>0</v>
      </c>
      <c r="B10655" t="s">
        <v>424</v>
      </c>
      <c r="C10655" t="s">
        <v>13671</v>
      </c>
      <c r="D10655" t="s">
        <v>18137</v>
      </c>
      <c r="E10655" t="s">
        <v>27448</v>
      </c>
      <c r="F10655" t="s">
        <v>31362</v>
      </c>
      <c r="G10655" t="s">
        <v>31369</v>
      </c>
      <c r="H10655" t="s">
        <v>31378</v>
      </c>
      <c r="I10655" t="s">
        <v>31386</v>
      </c>
      <c r="J10655" t="s">
        <v>38015</v>
      </c>
      <c r="K10655" t="s">
        <v>40682</v>
      </c>
      <c r="M10655" t="s">
        <v>44172</v>
      </c>
      <c r="N10655" t="s">
        <v>44905</v>
      </c>
      <c r="O10655" t="s">
        <v>44906</v>
      </c>
      <c r="Q10655">
        <v>2</v>
      </c>
      <c r="R10655" t="s">
        <v>44915</v>
      </c>
      <c r="S10655" t="s">
        <v>45295</v>
      </c>
      <c r="T10655" t="s">
        <v>46809</v>
      </c>
      <c r="U10655" t="s">
        <v>55498</v>
      </c>
      <c r="W10655" t="s">
        <v>44172</v>
      </c>
      <c r="X10655" t="s">
        <v>44916</v>
      </c>
    </row>
    <row r="10656" spans="1:24">
      <c r="A10656">
        <f>HYPERLINK("https://www.philgeps.gov.ph/GEPSNONPILOT/Tender/SplashBidNoticeAbstractUI.aspx?menuIndex=3&amp;refID=7066016&amp;Result=3","7066016")</f>
        <v>0</v>
      </c>
      <c r="B10656" t="s">
        <v>2950</v>
      </c>
      <c r="C10656" t="s">
        <v>13672</v>
      </c>
      <c r="D10656" t="s">
        <v>18117</v>
      </c>
      <c r="E10656" t="s">
        <v>18203</v>
      </c>
      <c r="F10656" t="s">
        <v>31362</v>
      </c>
      <c r="G10656" t="s">
        <v>31369</v>
      </c>
      <c r="H10656" t="s">
        <v>31378</v>
      </c>
      <c r="I10656" t="s">
        <v>31386</v>
      </c>
      <c r="J10656" t="s">
        <v>38016</v>
      </c>
      <c r="K10656" t="s">
        <v>40675</v>
      </c>
      <c r="M10656" t="s">
        <v>44173</v>
      </c>
      <c r="N10656" t="s">
        <v>44905</v>
      </c>
      <c r="O10656" t="s">
        <v>44906</v>
      </c>
      <c r="P10656">
        <v>0</v>
      </c>
      <c r="Q10656">
        <v>0</v>
      </c>
      <c r="R10656" t="s">
        <v>44915</v>
      </c>
      <c r="S10656" t="s">
        <v>45255</v>
      </c>
      <c r="T10656" t="s">
        <v>46403</v>
      </c>
      <c r="U10656" t="s">
        <v>55499</v>
      </c>
      <c r="W10656" t="s">
        <v>44173</v>
      </c>
      <c r="X10656" t="s">
        <v>44916</v>
      </c>
    </row>
    <row r="10657" spans="1:24">
      <c r="A10657">
        <f>HYPERLINK("https://www.philgeps.gov.ph/GEPSNONPILOT/Tender/SplashBidNoticeAbstractUI.aspx?menuIndex=3&amp;refID=7065666&amp;Result=3","7065666")</f>
        <v>0</v>
      </c>
      <c r="B10657" t="s">
        <v>2042</v>
      </c>
      <c r="C10657" t="s">
        <v>13673</v>
      </c>
      <c r="D10657" t="s">
        <v>18101</v>
      </c>
      <c r="E10657" t="s">
        <v>27449</v>
      </c>
      <c r="F10657" t="s">
        <v>31362</v>
      </c>
      <c r="G10657" t="s">
        <v>31369</v>
      </c>
      <c r="H10657" t="s">
        <v>31378</v>
      </c>
      <c r="I10657" t="s">
        <v>31386</v>
      </c>
      <c r="J10657" t="s">
        <v>31542</v>
      </c>
      <c r="K10657" t="s">
        <v>40682</v>
      </c>
      <c r="M10657" t="s">
        <v>43161</v>
      </c>
      <c r="N10657" t="s">
        <v>44905</v>
      </c>
      <c r="O10657" t="s">
        <v>44906</v>
      </c>
      <c r="P10657">
        <v>0</v>
      </c>
      <c r="Q10657">
        <v>0</v>
      </c>
      <c r="R10657" t="s">
        <v>44915</v>
      </c>
      <c r="S10657" t="s">
        <v>45255</v>
      </c>
      <c r="T10657" t="s">
        <v>46504</v>
      </c>
      <c r="U10657" t="s">
        <v>55500</v>
      </c>
      <c r="W10657" t="s">
        <v>43161</v>
      </c>
      <c r="X10657" t="s">
        <v>44916</v>
      </c>
    </row>
    <row r="10658" spans="1:24">
      <c r="A10658">
        <f>HYPERLINK("https://www.philgeps.gov.ph/GEPSNONPILOT/Tender/SplashBidNoticeAbstractUI.aspx?menuIndex=3&amp;refID=7066024&amp;Result=3","7066024")</f>
        <v>0</v>
      </c>
      <c r="B10658" t="s">
        <v>1261</v>
      </c>
      <c r="C10658" t="s">
        <v>13674</v>
      </c>
      <c r="D10658" t="s">
        <v>18113</v>
      </c>
      <c r="E10658" t="s">
        <v>27450</v>
      </c>
      <c r="F10658" t="s">
        <v>31362</v>
      </c>
      <c r="G10658" t="s">
        <v>31369</v>
      </c>
      <c r="H10658" t="s">
        <v>15799</v>
      </c>
      <c r="I10658" t="s">
        <v>31382</v>
      </c>
      <c r="J10658" t="s">
        <v>38017</v>
      </c>
      <c r="K10658" t="s">
        <v>40665</v>
      </c>
      <c r="M10658" t="s">
        <v>42277</v>
      </c>
      <c r="N10658" t="s">
        <v>44905</v>
      </c>
      <c r="O10658" t="s">
        <v>44906</v>
      </c>
      <c r="P10658">
        <v>0</v>
      </c>
      <c r="Q10658">
        <v>9</v>
      </c>
      <c r="R10658" t="s">
        <v>44915</v>
      </c>
      <c r="S10658" t="s">
        <v>45255</v>
      </c>
      <c r="T10658" t="s">
        <v>46611</v>
      </c>
      <c r="U10658" t="s">
        <v>55501</v>
      </c>
      <c r="W10658" t="s">
        <v>42277</v>
      </c>
      <c r="X10658" t="s">
        <v>44916</v>
      </c>
    </row>
    <row r="10659" spans="1:24">
      <c r="A10659">
        <f>HYPERLINK("https://www.philgeps.gov.ph/GEPSNONPILOT/Tender/SplashBidNoticeAbstractUI.aspx?menuIndex=3&amp;refID=7065583&amp;Result=3","7065583")</f>
        <v>0</v>
      </c>
      <c r="B10659" t="s">
        <v>2951</v>
      </c>
      <c r="C10659" t="s">
        <v>13675</v>
      </c>
      <c r="D10659" t="s">
        <v>18151</v>
      </c>
      <c r="E10659" t="s">
        <v>27451</v>
      </c>
      <c r="F10659" t="s">
        <v>31362</v>
      </c>
      <c r="G10659" t="s">
        <v>31369</v>
      </c>
      <c r="H10659" t="s">
        <v>15799</v>
      </c>
      <c r="I10659" t="s">
        <v>31427</v>
      </c>
      <c r="J10659" t="s">
        <v>38018</v>
      </c>
      <c r="K10659" t="s">
        <v>40665</v>
      </c>
      <c r="M10659" t="s">
        <v>44174</v>
      </c>
      <c r="N10659" t="s">
        <v>44905</v>
      </c>
      <c r="O10659" t="s">
        <v>44906</v>
      </c>
      <c r="P10659">
        <v>0</v>
      </c>
      <c r="Q10659">
        <v>8</v>
      </c>
      <c r="R10659" t="s">
        <v>44915</v>
      </c>
      <c r="S10659" t="s">
        <v>45255</v>
      </c>
      <c r="T10659" t="s">
        <v>46620</v>
      </c>
      <c r="U10659" t="s">
        <v>55502</v>
      </c>
      <c r="W10659" t="s">
        <v>44174</v>
      </c>
      <c r="X10659" t="s">
        <v>44916</v>
      </c>
    </row>
    <row r="10660" spans="1:24">
      <c r="A10660">
        <f>HYPERLINK("https://www.philgeps.gov.ph/GEPSNONPILOT/Tender/SplashBidNoticeAbstractUI.aspx?menuIndex=3&amp;refID=7066039&amp;Result=3","7066039")</f>
        <v>0</v>
      </c>
      <c r="B10660" t="s">
        <v>1902</v>
      </c>
      <c r="C10660" t="s">
        <v>13676</v>
      </c>
      <c r="D10660" t="s">
        <v>18122</v>
      </c>
      <c r="E10660" t="s">
        <v>27452</v>
      </c>
      <c r="F10660" t="s">
        <v>31362</v>
      </c>
      <c r="G10660" t="s">
        <v>31369</v>
      </c>
      <c r="H10660" t="s">
        <v>31378</v>
      </c>
      <c r="I10660" t="s">
        <v>31386</v>
      </c>
      <c r="J10660" t="s">
        <v>33435</v>
      </c>
      <c r="K10660" t="s">
        <v>40706</v>
      </c>
      <c r="M10660" t="s">
        <v>42997</v>
      </c>
      <c r="N10660" t="s">
        <v>44905</v>
      </c>
      <c r="O10660" t="s">
        <v>44906</v>
      </c>
      <c r="P10660">
        <v>0</v>
      </c>
      <c r="Q10660">
        <v>24</v>
      </c>
      <c r="R10660" t="s">
        <v>44915</v>
      </c>
      <c r="S10660" t="s">
        <v>45255</v>
      </c>
      <c r="T10660" t="s">
        <v>46538</v>
      </c>
      <c r="U10660" t="s">
        <v>54432</v>
      </c>
      <c r="W10660" t="s">
        <v>42997</v>
      </c>
      <c r="X10660" t="s">
        <v>44916</v>
      </c>
    </row>
    <row r="10661" spans="1:24">
      <c r="A10661">
        <f>HYPERLINK("https://www.philgeps.gov.ph/GEPSNONPILOT/Tender/SplashBidNoticeAbstractUI.aspx?menuIndex=3&amp;refID=7065990&amp;Result=3","7065990")</f>
        <v>0</v>
      </c>
      <c r="B10661" t="s">
        <v>2952</v>
      </c>
      <c r="C10661" t="s">
        <v>13677</v>
      </c>
      <c r="D10661" t="s">
        <v>18165</v>
      </c>
      <c r="E10661" t="s">
        <v>27453</v>
      </c>
      <c r="F10661" t="s">
        <v>31362</v>
      </c>
      <c r="G10661" t="s">
        <v>31369</v>
      </c>
      <c r="H10661" t="s">
        <v>31378</v>
      </c>
      <c r="I10661" t="s">
        <v>31386</v>
      </c>
      <c r="J10661" t="s">
        <v>38019</v>
      </c>
      <c r="K10661" t="s">
        <v>40688</v>
      </c>
      <c r="M10661" t="s">
        <v>44175</v>
      </c>
      <c r="N10661" t="s">
        <v>44905</v>
      </c>
      <c r="O10661" t="s">
        <v>44906</v>
      </c>
      <c r="P10661">
        <v>0</v>
      </c>
      <c r="Q10661">
        <v>1</v>
      </c>
      <c r="R10661" t="s">
        <v>44915</v>
      </c>
      <c r="S10661" t="s">
        <v>45255</v>
      </c>
      <c r="T10661" t="s">
        <v>46392</v>
      </c>
      <c r="U10661" t="s">
        <v>55503</v>
      </c>
      <c r="W10661" t="s">
        <v>44175</v>
      </c>
      <c r="X10661" t="s">
        <v>44916</v>
      </c>
    </row>
    <row r="10662" spans="1:24">
      <c r="A10662">
        <f>HYPERLINK("https://www.philgeps.gov.ph/GEPSNONPILOT/Tender/SplashBidNoticeAbstractUI.aspx?menuIndex=3&amp;refID=7065988&amp;Result=3","7065988")</f>
        <v>0</v>
      </c>
      <c r="B10662" t="s">
        <v>1331</v>
      </c>
      <c r="C10662" t="s">
        <v>13678</v>
      </c>
      <c r="D10662" t="s">
        <v>18138</v>
      </c>
      <c r="E10662" t="s">
        <v>27454</v>
      </c>
      <c r="F10662" t="s">
        <v>31362</v>
      </c>
      <c r="G10662" t="s">
        <v>31369</v>
      </c>
      <c r="H10662" t="s">
        <v>31378</v>
      </c>
      <c r="I10662" t="s">
        <v>31386</v>
      </c>
      <c r="J10662" t="s">
        <v>38020</v>
      </c>
      <c r="K10662" t="s">
        <v>40877</v>
      </c>
      <c r="M10662" t="s">
        <v>42349</v>
      </c>
      <c r="N10662" t="s">
        <v>44905</v>
      </c>
      <c r="O10662" t="s">
        <v>44906</v>
      </c>
      <c r="P10662">
        <v>0</v>
      </c>
      <c r="Q10662">
        <v>2</v>
      </c>
      <c r="R10662" t="s">
        <v>44915</v>
      </c>
      <c r="S10662" t="s">
        <v>45255</v>
      </c>
      <c r="T10662" t="s">
        <v>46528</v>
      </c>
      <c r="U10662" t="s">
        <v>49860</v>
      </c>
      <c r="W10662" t="s">
        <v>42349</v>
      </c>
      <c r="X10662" t="s">
        <v>44916</v>
      </c>
    </row>
    <row r="10663" spans="1:24">
      <c r="A10663">
        <f>HYPERLINK("https://www.philgeps.gov.ph/GEPSNONPILOT/Tender/SplashBidNoticeAbstractUI.aspx?menuIndex=3&amp;refID=7066034&amp;Result=3","7066034")</f>
        <v>0</v>
      </c>
      <c r="B10663" t="s">
        <v>1261</v>
      </c>
      <c r="C10663" t="s">
        <v>13679</v>
      </c>
      <c r="D10663" t="s">
        <v>18113</v>
      </c>
      <c r="E10663" t="s">
        <v>27455</v>
      </c>
      <c r="F10663" t="s">
        <v>31362</v>
      </c>
      <c r="G10663" t="s">
        <v>31369</v>
      </c>
      <c r="H10663" t="s">
        <v>15799</v>
      </c>
      <c r="I10663" t="s">
        <v>31382</v>
      </c>
      <c r="J10663" t="s">
        <v>38021</v>
      </c>
      <c r="K10663" t="s">
        <v>40665</v>
      </c>
      <c r="M10663" t="s">
        <v>42277</v>
      </c>
      <c r="N10663" t="s">
        <v>44905</v>
      </c>
      <c r="O10663" t="s">
        <v>44906</v>
      </c>
      <c r="P10663">
        <v>0</v>
      </c>
      <c r="Q10663">
        <v>8</v>
      </c>
      <c r="R10663" t="s">
        <v>44915</v>
      </c>
      <c r="S10663" t="s">
        <v>45255</v>
      </c>
      <c r="T10663" t="s">
        <v>46611</v>
      </c>
      <c r="U10663" t="s">
        <v>55504</v>
      </c>
      <c r="W10663" t="s">
        <v>42277</v>
      </c>
      <c r="X10663" t="s">
        <v>44916</v>
      </c>
    </row>
    <row r="10664" spans="1:24">
      <c r="A10664">
        <f>HYPERLINK("https://www.philgeps.gov.ph/GEPSNONPILOT/Tender/SplashBidNoticeAbstractUI.aspx?menuIndex=3&amp;refID=7065987&amp;Result=3","7065987")</f>
        <v>0</v>
      </c>
      <c r="B10664" t="s">
        <v>2953</v>
      </c>
      <c r="C10664" t="s">
        <v>13680</v>
      </c>
      <c r="D10664" t="s">
        <v>18112</v>
      </c>
      <c r="E10664" t="s">
        <v>13680</v>
      </c>
      <c r="F10664" t="s">
        <v>31365</v>
      </c>
      <c r="G10664" t="s">
        <v>31368</v>
      </c>
      <c r="H10664" t="s">
        <v>15799</v>
      </c>
      <c r="I10664" t="s">
        <v>31390</v>
      </c>
      <c r="J10664" t="s">
        <v>38022</v>
      </c>
      <c r="K10664" t="s">
        <v>40697</v>
      </c>
      <c r="M10664" t="s">
        <v>44176</v>
      </c>
      <c r="N10664" t="s">
        <v>44905</v>
      </c>
      <c r="O10664" t="s">
        <v>44906</v>
      </c>
      <c r="P10664">
        <v>0</v>
      </c>
      <c r="Q10664">
        <v>2</v>
      </c>
      <c r="R10664" t="s">
        <v>44915</v>
      </c>
      <c r="S10664" t="s">
        <v>45255</v>
      </c>
      <c r="T10664" t="s">
        <v>46416</v>
      </c>
      <c r="U10664" t="s">
        <v>55505</v>
      </c>
      <c r="W10664" t="s">
        <v>44176</v>
      </c>
      <c r="X10664" t="s">
        <v>44916</v>
      </c>
    </row>
    <row r="10665" spans="1:24">
      <c r="A10665">
        <f>HYPERLINK("https://www.philgeps.gov.ph/GEPSNONPILOT/Tender/SplashBidNoticeAbstractUI.aspx?menuIndex=3&amp;refID=7065976&amp;Result=3","7065976")</f>
        <v>0</v>
      </c>
      <c r="B10665" t="s">
        <v>420</v>
      </c>
      <c r="C10665" t="s">
        <v>13681</v>
      </c>
      <c r="D10665" t="s">
        <v>18124</v>
      </c>
      <c r="E10665" t="s">
        <v>27456</v>
      </c>
      <c r="F10665" t="s">
        <v>31362</v>
      </c>
      <c r="G10665" t="s">
        <v>31370</v>
      </c>
      <c r="H10665" t="s">
        <v>15799</v>
      </c>
      <c r="I10665" t="s">
        <v>31404</v>
      </c>
      <c r="J10665" t="s">
        <v>38023</v>
      </c>
      <c r="K10665" t="s">
        <v>40670</v>
      </c>
      <c r="M10665" t="s">
        <v>41371</v>
      </c>
      <c r="N10665" t="s">
        <v>44905</v>
      </c>
      <c r="O10665" t="s">
        <v>44906</v>
      </c>
      <c r="P10665">
        <v>0</v>
      </c>
      <c r="Q10665">
        <v>0</v>
      </c>
      <c r="R10665" t="s">
        <v>44915</v>
      </c>
      <c r="S10665" t="s">
        <v>45255</v>
      </c>
      <c r="T10665" t="s">
        <v>46428</v>
      </c>
      <c r="U10665" t="s">
        <v>55506</v>
      </c>
      <c r="W10665" t="s">
        <v>41371</v>
      </c>
      <c r="X10665" t="s">
        <v>44916</v>
      </c>
    </row>
    <row r="10666" spans="1:24">
      <c r="A10666">
        <f>HYPERLINK("https://www.philgeps.gov.ph/GEPSNONPILOT/Tender/SplashBidNoticeAbstractUI.aspx?menuIndex=3&amp;refID=7065969&amp;Result=3","7065969")</f>
        <v>0</v>
      </c>
      <c r="B10666" t="s">
        <v>2358</v>
      </c>
      <c r="C10666" t="s">
        <v>13682</v>
      </c>
      <c r="D10666" t="s">
        <v>18153</v>
      </c>
      <c r="E10666" t="s">
        <v>25251</v>
      </c>
      <c r="F10666" t="s">
        <v>31362</v>
      </c>
      <c r="G10666" t="s">
        <v>31369</v>
      </c>
      <c r="H10666" t="s">
        <v>31378</v>
      </c>
      <c r="I10666" t="s">
        <v>31386</v>
      </c>
      <c r="J10666" t="s">
        <v>38024</v>
      </c>
      <c r="K10666" t="s">
        <v>40679</v>
      </c>
      <c r="M10666" t="s">
        <v>43503</v>
      </c>
      <c r="N10666" t="s">
        <v>44905</v>
      </c>
      <c r="O10666" t="s">
        <v>44906</v>
      </c>
      <c r="P10666">
        <v>0</v>
      </c>
      <c r="Q10666">
        <v>0</v>
      </c>
      <c r="R10666" t="s">
        <v>44915</v>
      </c>
      <c r="S10666" t="s">
        <v>45255</v>
      </c>
      <c r="T10666" t="s">
        <v>46672</v>
      </c>
      <c r="U10666" t="s">
        <v>55507</v>
      </c>
      <c r="V10666" t="s">
        <v>60206</v>
      </c>
      <c r="W10666" t="s">
        <v>43503</v>
      </c>
      <c r="X10666" t="s">
        <v>44916</v>
      </c>
    </row>
    <row r="10667" spans="1:24">
      <c r="A10667">
        <f>HYPERLINK("https://www.philgeps.gov.ph/GEPSNONPILOT/Tender/SplashBidNoticeAbstractUI.aspx?menuIndex=3&amp;refID=7066045&amp;Result=3","7066045")</f>
        <v>0</v>
      </c>
      <c r="B10667" t="s">
        <v>1261</v>
      </c>
      <c r="C10667" t="s">
        <v>13683</v>
      </c>
      <c r="D10667" t="s">
        <v>18113</v>
      </c>
      <c r="E10667" t="s">
        <v>27457</v>
      </c>
      <c r="F10667" t="s">
        <v>31362</v>
      </c>
      <c r="G10667" t="s">
        <v>31369</v>
      </c>
      <c r="H10667" t="s">
        <v>15799</v>
      </c>
      <c r="I10667" t="s">
        <v>4283</v>
      </c>
      <c r="J10667" t="s">
        <v>38025</v>
      </c>
      <c r="K10667" t="s">
        <v>40665</v>
      </c>
      <c r="M10667" t="s">
        <v>42277</v>
      </c>
      <c r="N10667" t="s">
        <v>44905</v>
      </c>
      <c r="O10667" t="s">
        <v>44906</v>
      </c>
      <c r="P10667">
        <v>0</v>
      </c>
      <c r="Q10667">
        <v>7</v>
      </c>
      <c r="R10667" t="s">
        <v>44915</v>
      </c>
      <c r="S10667" t="s">
        <v>45255</v>
      </c>
      <c r="T10667" t="s">
        <v>46611</v>
      </c>
      <c r="U10667" t="s">
        <v>55508</v>
      </c>
      <c r="W10667" t="s">
        <v>42277</v>
      </c>
      <c r="X10667" t="s">
        <v>44916</v>
      </c>
    </row>
    <row r="10668" spans="1:24">
      <c r="A10668">
        <f>HYPERLINK("https://www.philgeps.gov.ph/GEPSNONPILOT/Tender/SplashBidNoticeAbstractUI.aspx?menuIndex=3&amp;refID=7066000&amp;Result=3","7066000")</f>
        <v>0</v>
      </c>
      <c r="B10668" t="s">
        <v>2892</v>
      </c>
      <c r="C10668" t="s">
        <v>13684</v>
      </c>
      <c r="D10668" t="s">
        <v>18101</v>
      </c>
      <c r="E10668" t="s">
        <v>27458</v>
      </c>
      <c r="F10668" t="s">
        <v>31362</v>
      </c>
      <c r="G10668" t="s">
        <v>31369</v>
      </c>
      <c r="H10668" t="s">
        <v>15799</v>
      </c>
      <c r="I10668" t="s">
        <v>3815</v>
      </c>
      <c r="J10668" t="s">
        <v>38026</v>
      </c>
      <c r="K10668" t="s">
        <v>40670</v>
      </c>
      <c r="L10668" t="s">
        <v>2892</v>
      </c>
      <c r="M10668" t="s">
        <v>44107</v>
      </c>
      <c r="N10668" t="s">
        <v>44905</v>
      </c>
      <c r="O10668" t="s">
        <v>44906</v>
      </c>
      <c r="P10668">
        <v>0</v>
      </c>
      <c r="Q10668">
        <v>2</v>
      </c>
      <c r="R10668" t="s">
        <v>44915</v>
      </c>
      <c r="S10668" t="s">
        <v>45255</v>
      </c>
      <c r="T10668" t="s">
        <v>46481</v>
      </c>
      <c r="U10668" t="s">
        <v>55301</v>
      </c>
      <c r="W10668" t="s">
        <v>44107</v>
      </c>
      <c r="X10668" t="s">
        <v>44916</v>
      </c>
    </row>
    <row r="10669" spans="1:24">
      <c r="A10669">
        <f>HYPERLINK("https://www.philgeps.gov.ph/GEPSNONPILOT/Tender/SplashBidNoticeAbstractUI.aspx?menuIndex=3&amp;refID=7066001&amp;Result=3","7066001")</f>
        <v>0</v>
      </c>
      <c r="B10669" t="s">
        <v>1067</v>
      </c>
      <c r="C10669" t="s">
        <v>13685</v>
      </c>
      <c r="D10669" t="s">
        <v>18116</v>
      </c>
      <c r="E10669" t="s">
        <v>27459</v>
      </c>
      <c r="F10669" t="s">
        <v>31362</v>
      </c>
      <c r="G10669" t="s">
        <v>31369</v>
      </c>
      <c r="H10669" t="s">
        <v>31378</v>
      </c>
      <c r="I10669" t="s">
        <v>31386</v>
      </c>
      <c r="J10669" t="s">
        <v>38027</v>
      </c>
      <c r="K10669" t="s">
        <v>40682</v>
      </c>
      <c r="M10669" t="s">
        <v>42069</v>
      </c>
      <c r="N10669" t="s">
        <v>44905</v>
      </c>
      <c r="O10669" t="s">
        <v>44906</v>
      </c>
      <c r="P10669">
        <v>0</v>
      </c>
      <c r="Q10669">
        <v>0</v>
      </c>
      <c r="R10669" t="s">
        <v>44915</v>
      </c>
      <c r="S10669" t="s">
        <v>45255</v>
      </c>
      <c r="T10669" t="s">
        <v>46638</v>
      </c>
      <c r="U10669" t="s">
        <v>55509</v>
      </c>
      <c r="W10669" t="s">
        <v>42069</v>
      </c>
      <c r="X10669" t="s">
        <v>44916</v>
      </c>
    </row>
    <row r="10670" spans="1:24">
      <c r="A10670">
        <f>HYPERLINK("https://www.philgeps.gov.ph/GEPSNONPILOT/Tender/SplashBidNoticeAbstractUI.aspx?menuIndex=3&amp;refID=7065971&amp;Result=3","7065971")</f>
        <v>0</v>
      </c>
      <c r="B10670" t="s">
        <v>2954</v>
      </c>
      <c r="C10670" t="s">
        <v>13686</v>
      </c>
      <c r="E10670" t="s">
        <v>27460</v>
      </c>
      <c r="F10670" t="s">
        <v>31362</v>
      </c>
      <c r="G10670" t="s">
        <v>31369</v>
      </c>
      <c r="H10670" t="s">
        <v>31378</v>
      </c>
      <c r="I10670" t="s">
        <v>31386</v>
      </c>
      <c r="J10670" t="s">
        <v>31606</v>
      </c>
      <c r="K10670" t="s">
        <v>40662</v>
      </c>
      <c r="M10670" t="s">
        <v>44177</v>
      </c>
      <c r="N10670" t="s">
        <v>44905</v>
      </c>
      <c r="O10670" t="s">
        <v>44906</v>
      </c>
      <c r="Q10670">
        <v>0</v>
      </c>
      <c r="R10670" t="s">
        <v>44915</v>
      </c>
      <c r="S10670" t="s">
        <v>45296</v>
      </c>
      <c r="T10670" t="s">
        <v>46392</v>
      </c>
      <c r="U10670" t="s">
        <v>55510</v>
      </c>
      <c r="W10670" t="s">
        <v>44177</v>
      </c>
      <c r="X10670" t="s">
        <v>44916</v>
      </c>
    </row>
    <row r="10671" spans="1:24">
      <c r="A10671">
        <f>HYPERLINK("https://www.philgeps.gov.ph/GEPSNONPILOT/Tender/SplashBidNoticeAbstractUI.aspx?menuIndex=3&amp;refID=7066103&amp;Result=3","7066103")</f>
        <v>0</v>
      </c>
      <c r="B10671" t="s">
        <v>1645</v>
      </c>
      <c r="C10671" t="s">
        <v>13687</v>
      </c>
      <c r="D10671" t="s">
        <v>18114</v>
      </c>
      <c r="E10671" t="s">
        <v>27461</v>
      </c>
      <c r="F10671" t="s">
        <v>31362</v>
      </c>
      <c r="G10671" t="s">
        <v>31369</v>
      </c>
      <c r="H10671" t="s">
        <v>15799</v>
      </c>
      <c r="I10671" t="s">
        <v>31409</v>
      </c>
      <c r="J10671" t="s">
        <v>37914</v>
      </c>
      <c r="K10671" t="s">
        <v>40662</v>
      </c>
      <c r="M10671" t="s">
        <v>42710</v>
      </c>
      <c r="N10671" t="s">
        <v>44905</v>
      </c>
      <c r="O10671" t="s">
        <v>44906</v>
      </c>
      <c r="P10671">
        <v>0</v>
      </c>
      <c r="Q10671">
        <v>7</v>
      </c>
      <c r="R10671" t="s">
        <v>44915</v>
      </c>
      <c r="S10671" t="s">
        <v>45255</v>
      </c>
      <c r="T10671" t="s">
        <v>46561</v>
      </c>
      <c r="U10671" t="s">
        <v>55511</v>
      </c>
      <c r="W10671" t="s">
        <v>42710</v>
      </c>
      <c r="X10671" t="s">
        <v>44916</v>
      </c>
    </row>
    <row r="10672" spans="1:24">
      <c r="A10672">
        <f>HYPERLINK("https://www.philgeps.gov.ph/GEPSNONPILOT/Tender/SplashBidNoticeAbstractUI.aspx?menuIndex=3&amp;refID=7066136&amp;Result=3","7066136")</f>
        <v>0</v>
      </c>
      <c r="B10672" t="s">
        <v>2925</v>
      </c>
      <c r="C10672" t="s">
        <v>13688</v>
      </c>
      <c r="D10672" t="s">
        <v>18109</v>
      </c>
      <c r="E10672" t="s">
        <v>27462</v>
      </c>
      <c r="F10672" t="s">
        <v>31362</v>
      </c>
      <c r="G10672" t="s">
        <v>31368</v>
      </c>
      <c r="H10672" t="s">
        <v>15799</v>
      </c>
      <c r="I10672" t="s">
        <v>3815</v>
      </c>
      <c r="J10672" t="s">
        <v>38028</v>
      </c>
      <c r="K10672" t="s">
        <v>40666</v>
      </c>
      <c r="M10672" t="s">
        <v>44142</v>
      </c>
      <c r="N10672" t="s">
        <v>44905</v>
      </c>
      <c r="O10672" t="s">
        <v>44906</v>
      </c>
      <c r="P10672">
        <v>0</v>
      </c>
      <c r="Q10672">
        <v>2</v>
      </c>
      <c r="R10672" t="s">
        <v>44915</v>
      </c>
      <c r="S10672" t="s">
        <v>45255</v>
      </c>
      <c r="T10672" t="s">
        <v>46428</v>
      </c>
      <c r="U10672" t="s">
        <v>55396</v>
      </c>
      <c r="W10672" t="s">
        <v>44142</v>
      </c>
      <c r="X10672" t="s">
        <v>44916</v>
      </c>
    </row>
    <row r="10673" spans="1:24">
      <c r="A10673">
        <f>HYPERLINK("https://www.philgeps.gov.ph/GEPSNONPILOT/Tender/SplashBidNoticeAbstractUI.aspx?menuIndex=3&amp;refID=7066133&amp;Result=3","7066133")</f>
        <v>0</v>
      </c>
      <c r="B10673" t="s">
        <v>993</v>
      </c>
      <c r="C10673" t="s">
        <v>13689</v>
      </c>
      <c r="D10673" t="s">
        <v>18103</v>
      </c>
      <c r="E10673" t="s">
        <v>27463</v>
      </c>
      <c r="F10673" t="s">
        <v>31362</v>
      </c>
      <c r="G10673" t="s">
        <v>31369</v>
      </c>
      <c r="H10673" t="s">
        <v>15799</v>
      </c>
      <c r="I10673" t="s">
        <v>31425</v>
      </c>
      <c r="J10673" t="s">
        <v>38029</v>
      </c>
      <c r="K10673" t="s">
        <v>40662</v>
      </c>
      <c r="M10673" t="s">
        <v>41988</v>
      </c>
      <c r="N10673" t="s">
        <v>44905</v>
      </c>
      <c r="O10673" t="s">
        <v>44906</v>
      </c>
      <c r="P10673">
        <v>0</v>
      </c>
      <c r="Q10673">
        <v>4</v>
      </c>
      <c r="R10673" t="s">
        <v>44915</v>
      </c>
      <c r="S10673" t="s">
        <v>45255</v>
      </c>
      <c r="T10673" t="s">
        <v>46636</v>
      </c>
      <c r="U10673" t="s">
        <v>55512</v>
      </c>
      <c r="W10673" t="s">
        <v>60950</v>
      </c>
      <c r="X10673" t="s">
        <v>44916</v>
      </c>
    </row>
    <row r="10674" spans="1:24">
      <c r="A10674">
        <f>HYPERLINK("https://www.philgeps.gov.ph/GEPSNONPILOT/Tender/SplashBidNoticeAbstractUI.aspx?menuIndex=3&amp;refID=7066119&amp;Result=3","7066119")</f>
        <v>0</v>
      </c>
      <c r="B10674" t="s">
        <v>2955</v>
      </c>
      <c r="C10674" t="s">
        <v>13690</v>
      </c>
      <c r="D10674" t="s">
        <v>18138</v>
      </c>
      <c r="E10674" t="s">
        <v>27464</v>
      </c>
      <c r="F10674" t="s">
        <v>31362</v>
      </c>
      <c r="G10674" t="s">
        <v>31369</v>
      </c>
      <c r="H10674" t="s">
        <v>31378</v>
      </c>
      <c r="I10674" t="s">
        <v>31386</v>
      </c>
      <c r="J10674" t="s">
        <v>38030</v>
      </c>
      <c r="K10674" t="s">
        <v>40675</v>
      </c>
      <c r="M10674" t="s">
        <v>44178</v>
      </c>
      <c r="N10674" t="s">
        <v>44905</v>
      </c>
      <c r="O10674" t="s">
        <v>44906</v>
      </c>
      <c r="P10674">
        <v>0</v>
      </c>
      <c r="Q10674">
        <v>2</v>
      </c>
      <c r="R10674" t="s">
        <v>44915</v>
      </c>
      <c r="S10674" t="s">
        <v>45255</v>
      </c>
      <c r="T10674" t="s">
        <v>46418</v>
      </c>
      <c r="U10674" t="s">
        <v>55513</v>
      </c>
      <c r="W10674" t="s">
        <v>44178</v>
      </c>
      <c r="X10674" t="s">
        <v>44916</v>
      </c>
    </row>
    <row r="10675" spans="1:24">
      <c r="A10675">
        <f>HYPERLINK("https://www.philgeps.gov.ph/GEPSNONPILOT/Tender/SplashBidNoticeAbstractUI.aspx?menuIndex=3&amp;refID=7066155&amp;Result=3","7066155")</f>
        <v>0</v>
      </c>
      <c r="B10675" t="s">
        <v>2956</v>
      </c>
      <c r="C10675" t="s">
        <v>13691</v>
      </c>
      <c r="E10675" t="s">
        <v>18397</v>
      </c>
      <c r="F10675" t="s">
        <v>31365</v>
      </c>
      <c r="G10675" t="s">
        <v>31369</v>
      </c>
      <c r="H10675" t="s">
        <v>15799</v>
      </c>
      <c r="I10675" t="s">
        <v>3815</v>
      </c>
      <c r="J10675" t="s">
        <v>33008</v>
      </c>
      <c r="K10675" t="s">
        <v>40662</v>
      </c>
      <c r="M10675" t="s">
        <v>44179</v>
      </c>
      <c r="N10675" t="s">
        <v>44905</v>
      </c>
      <c r="O10675" t="s">
        <v>44906</v>
      </c>
      <c r="P10675">
        <v>0</v>
      </c>
      <c r="Q10675">
        <v>1</v>
      </c>
      <c r="R10675" t="s">
        <v>44915</v>
      </c>
      <c r="S10675" t="s">
        <v>45255</v>
      </c>
      <c r="T10675" t="s">
        <v>46741</v>
      </c>
      <c r="U10675" t="s">
        <v>47088</v>
      </c>
      <c r="W10675" t="s">
        <v>44179</v>
      </c>
      <c r="X10675" t="s">
        <v>44916</v>
      </c>
    </row>
    <row r="10676" spans="1:24">
      <c r="A10676">
        <f>HYPERLINK("https://www.philgeps.gov.ph/GEPSNONPILOT/Tender/SplashBidNoticeAbstractUI.aspx?menuIndex=3&amp;refID=7066116&amp;Result=3","7066116")</f>
        <v>0</v>
      </c>
      <c r="B10676" t="s">
        <v>2892</v>
      </c>
      <c r="C10676" t="s">
        <v>13692</v>
      </c>
      <c r="D10676" t="s">
        <v>18101</v>
      </c>
      <c r="E10676" t="s">
        <v>27330</v>
      </c>
      <c r="F10676" t="s">
        <v>31362</v>
      </c>
      <c r="G10676" t="s">
        <v>31369</v>
      </c>
      <c r="H10676" t="s">
        <v>15799</v>
      </c>
      <c r="I10676" t="s">
        <v>3815</v>
      </c>
      <c r="J10676" t="s">
        <v>38031</v>
      </c>
      <c r="K10676" t="s">
        <v>40670</v>
      </c>
      <c r="L10676" t="s">
        <v>2892</v>
      </c>
      <c r="M10676" t="s">
        <v>44107</v>
      </c>
      <c r="N10676" t="s">
        <v>44905</v>
      </c>
      <c r="O10676" t="s">
        <v>44906</v>
      </c>
      <c r="P10676">
        <v>0</v>
      </c>
      <c r="Q10676">
        <v>1</v>
      </c>
      <c r="R10676" t="s">
        <v>44915</v>
      </c>
      <c r="S10676" t="s">
        <v>45255</v>
      </c>
      <c r="T10676" t="s">
        <v>46481</v>
      </c>
      <c r="U10676" t="s">
        <v>55514</v>
      </c>
      <c r="W10676" t="s">
        <v>44107</v>
      </c>
      <c r="X10676" t="s">
        <v>44916</v>
      </c>
    </row>
    <row r="10677" spans="1:24">
      <c r="A10677">
        <f>HYPERLINK("https://www.philgeps.gov.ph/GEPSNONPILOT/Tender/SplashBidNoticeAbstractUI.aspx?menuIndex=3&amp;refID=7066111&amp;Result=3","7066111")</f>
        <v>0</v>
      </c>
      <c r="B10677" t="s">
        <v>2957</v>
      </c>
      <c r="C10677" t="s">
        <v>13693</v>
      </c>
      <c r="D10677" t="s">
        <v>18106</v>
      </c>
      <c r="E10677" t="s">
        <v>27465</v>
      </c>
      <c r="F10677" t="s">
        <v>31362</v>
      </c>
      <c r="G10677" t="s">
        <v>31369</v>
      </c>
      <c r="H10677" t="s">
        <v>31378</v>
      </c>
      <c r="I10677" t="s">
        <v>31386</v>
      </c>
      <c r="J10677" t="s">
        <v>33435</v>
      </c>
      <c r="K10677" t="s">
        <v>40685</v>
      </c>
      <c r="M10677" t="s">
        <v>44180</v>
      </c>
      <c r="N10677" t="s">
        <v>44905</v>
      </c>
      <c r="O10677" t="s">
        <v>44906</v>
      </c>
      <c r="P10677">
        <v>0</v>
      </c>
      <c r="Q10677">
        <v>13</v>
      </c>
      <c r="R10677" t="s">
        <v>44915</v>
      </c>
      <c r="S10677" t="s">
        <v>45255</v>
      </c>
      <c r="T10677" t="s">
        <v>46392</v>
      </c>
      <c r="U10677" t="s">
        <v>55515</v>
      </c>
      <c r="W10677" t="s">
        <v>44180</v>
      </c>
      <c r="X10677" t="s">
        <v>44916</v>
      </c>
    </row>
    <row r="10678" spans="1:24">
      <c r="A10678">
        <f>HYPERLINK("https://www.philgeps.gov.ph/GEPSNONPILOT/Tender/SplashBidNoticeAbstractUI.aspx?menuIndex=3&amp;refID=7066102&amp;Result=3","7066102")</f>
        <v>0</v>
      </c>
      <c r="B10678" t="s">
        <v>2957</v>
      </c>
      <c r="C10678" t="s">
        <v>13694</v>
      </c>
      <c r="D10678" t="s">
        <v>18106</v>
      </c>
      <c r="E10678" t="s">
        <v>27466</v>
      </c>
      <c r="F10678" t="s">
        <v>31362</v>
      </c>
      <c r="G10678" t="s">
        <v>31369</v>
      </c>
      <c r="H10678" t="s">
        <v>31378</v>
      </c>
      <c r="I10678" t="s">
        <v>31386</v>
      </c>
      <c r="J10678" t="s">
        <v>33435</v>
      </c>
      <c r="K10678" t="s">
        <v>40706</v>
      </c>
      <c r="M10678" t="s">
        <v>44180</v>
      </c>
      <c r="N10678" t="s">
        <v>44905</v>
      </c>
      <c r="O10678" t="s">
        <v>44906</v>
      </c>
      <c r="P10678">
        <v>0</v>
      </c>
      <c r="Q10678">
        <v>13</v>
      </c>
      <c r="R10678" t="s">
        <v>44915</v>
      </c>
      <c r="S10678" t="s">
        <v>45255</v>
      </c>
      <c r="T10678" t="s">
        <v>46392</v>
      </c>
      <c r="U10678" t="s">
        <v>55515</v>
      </c>
      <c r="W10678" t="s">
        <v>44180</v>
      </c>
      <c r="X10678" t="s">
        <v>44916</v>
      </c>
    </row>
    <row r="10679" spans="1:24">
      <c r="A10679">
        <f>HYPERLINK("https://www.philgeps.gov.ph/GEPSNONPILOT/Tender/SplashBidNoticeAbstractUI.aspx?menuIndex=3&amp;refID=7066241&amp;Result=3","7066241")</f>
        <v>0</v>
      </c>
      <c r="B10679" t="s">
        <v>2952</v>
      </c>
      <c r="C10679" t="s">
        <v>13695</v>
      </c>
      <c r="D10679" t="s">
        <v>18165</v>
      </c>
      <c r="E10679" t="s">
        <v>27467</v>
      </c>
      <c r="F10679" t="s">
        <v>31362</v>
      </c>
      <c r="G10679" t="s">
        <v>31369</v>
      </c>
      <c r="H10679" t="s">
        <v>31378</v>
      </c>
      <c r="I10679" t="s">
        <v>31386</v>
      </c>
      <c r="J10679" t="s">
        <v>38032</v>
      </c>
      <c r="K10679" t="s">
        <v>40759</v>
      </c>
      <c r="M10679" t="s">
        <v>44175</v>
      </c>
      <c r="N10679" t="s">
        <v>44905</v>
      </c>
      <c r="O10679" t="s">
        <v>44906</v>
      </c>
      <c r="P10679">
        <v>0</v>
      </c>
      <c r="Q10679">
        <v>1</v>
      </c>
      <c r="R10679" t="s">
        <v>44915</v>
      </c>
      <c r="S10679" t="s">
        <v>45255</v>
      </c>
      <c r="T10679" t="s">
        <v>46392</v>
      </c>
      <c r="U10679" t="s">
        <v>55503</v>
      </c>
      <c r="W10679" t="s">
        <v>44175</v>
      </c>
      <c r="X10679" t="s">
        <v>44916</v>
      </c>
    </row>
    <row r="10680" spans="1:24">
      <c r="A10680">
        <f>HYPERLINK("https://www.philgeps.gov.ph/GEPSNONPILOT/Tender/SplashBidNoticeAbstractUI.aspx?menuIndex=3&amp;refID=7066234&amp;Result=3","7066234")</f>
        <v>0</v>
      </c>
      <c r="B10680" t="s">
        <v>665</v>
      </c>
      <c r="C10680" t="s">
        <v>6072</v>
      </c>
      <c r="D10680" t="s">
        <v>18139</v>
      </c>
      <c r="E10680" t="s">
        <v>27468</v>
      </c>
      <c r="F10680" t="s">
        <v>31362</v>
      </c>
      <c r="G10680" t="s">
        <v>31369</v>
      </c>
      <c r="H10680" t="s">
        <v>15799</v>
      </c>
      <c r="I10680" t="s">
        <v>4283</v>
      </c>
      <c r="J10680" t="s">
        <v>38033</v>
      </c>
      <c r="K10680" t="s">
        <v>40679</v>
      </c>
      <c r="M10680" t="s">
        <v>44163</v>
      </c>
      <c r="N10680" t="s">
        <v>44905</v>
      </c>
      <c r="O10680" t="s">
        <v>44906</v>
      </c>
      <c r="P10680">
        <v>0</v>
      </c>
      <c r="Q10680">
        <v>5</v>
      </c>
      <c r="R10680" t="s">
        <v>44915</v>
      </c>
      <c r="S10680" t="s">
        <v>45255</v>
      </c>
      <c r="T10680" t="s">
        <v>46688</v>
      </c>
      <c r="U10680" t="s">
        <v>55516</v>
      </c>
      <c r="W10680" t="s">
        <v>44163</v>
      </c>
      <c r="X10680" t="s">
        <v>44916</v>
      </c>
    </row>
    <row r="10681" spans="1:24">
      <c r="A10681">
        <f>HYPERLINK("https://www.philgeps.gov.ph/GEPSNONPILOT/Tender/SplashBidNoticeAbstractUI.aspx?menuIndex=3&amp;refID=7066130&amp;Result=3","7066130")</f>
        <v>0</v>
      </c>
      <c r="B10681" t="s">
        <v>420</v>
      </c>
      <c r="C10681" t="s">
        <v>13696</v>
      </c>
      <c r="D10681" t="s">
        <v>18124</v>
      </c>
      <c r="E10681" t="s">
        <v>27469</v>
      </c>
      <c r="F10681" t="s">
        <v>31362</v>
      </c>
      <c r="G10681" t="s">
        <v>31370</v>
      </c>
      <c r="H10681" t="s">
        <v>15799</v>
      </c>
      <c r="I10681" t="s">
        <v>31404</v>
      </c>
      <c r="J10681" t="s">
        <v>38034</v>
      </c>
      <c r="K10681" t="s">
        <v>40670</v>
      </c>
      <c r="M10681" t="s">
        <v>41371</v>
      </c>
      <c r="N10681" t="s">
        <v>44905</v>
      </c>
      <c r="O10681" t="s">
        <v>44906</v>
      </c>
      <c r="P10681">
        <v>0</v>
      </c>
      <c r="Q10681">
        <v>0</v>
      </c>
      <c r="R10681" t="s">
        <v>44915</v>
      </c>
      <c r="S10681" t="s">
        <v>45255</v>
      </c>
      <c r="T10681" t="s">
        <v>46428</v>
      </c>
      <c r="U10681" t="s">
        <v>55517</v>
      </c>
      <c r="W10681" t="s">
        <v>41371</v>
      </c>
      <c r="X10681" t="s">
        <v>44916</v>
      </c>
    </row>
    <row r="10682" spans="1:24">
      <c r="A10682">
        <f>HYPERLINK("https://www.philgeps.gov.ph/GEPSNONPILOT/Tender/SplashBidNoticeAbstractUI.aspx?menuIndex=3&amp;refID=7066009&amp;Result=3","7066009")</f>
        <v>0</v>
      </c>
      <c r="B10682" t="s">
        <v>2958</v>
      </c>
      <c r="C10682" t="s">
        <v>11075</v>
      </c>
      <c r="D10682" t="s">
        <v>18158</v>
      </c>
      <c r="E10682" t="s">
        <v>19313</v>
      </c>
      <c r="F10682" t="s">
        <v>31362</v>
      </c>
      <c r="G10682" t="s">
        <v>31369</v>
      </c>
      <c r="H10682" t="s">
        <v>15799</v>
      </c>
      <c r="I10682" t="s">
        <v>3815</v>
      </c>
      <c r="J10682" t="s">
        <v>38035</v>
      </c>
      <c r="K10682" t="s">
        <v>40665</v>
      </c>
      <c r="M10682" t="s">
        <v>44181</v>
      </c>
      <c r="N10682" t="s">
        <v>44905</v>
      </c>
      <c r="O10682" t="s">
        <v>44906</v>
      </c>
      <c r="P10682">
        <v>0</v>
      </c>
      <c r="Q10682">
        <v>0</v>
      </c>
      <c r="R10682" t="s">
        <v>44915</v>
      </c>
      <c r="S10682" t="s">
        <v>45255</v>
      </c>
      <c r="T10682" t="s">
        <v>46419</v>
      </c>
      <c r="U10682" t="s">
        <v>55518</v>
      </c>
      <c r="W10682" t="s">
        <v>44181</v>
      </c>
      <c r="X10682" t="s">
        <v>44916</v>
      </c>
    </row>
    <row r="10683" spans="1:24">
      <c r="A10683">
        <f>HYPERLINK("https://www.philgeps.gov.ph/GEPSNONPILOT/Tender/SplashBidNoticeAbstractUI.aspx?menuIndex=3&amp;refID=7066232&amp;Result=3","7066232")</f>
        <v>0</v>
      </c>
      <c r="B10683" t="s">
        <v>1558</v>
      </c>
      <c r="C10683" t="s">
        <v>13697</v>
      </c>
      <c r="D10683" t="s">
        <v>18173</v>
      </c>
      <c r="E10683" t="s">
        <v>25615</v>
      </c>
      <c r="F10683" t="s">
        <v>31362</v>
      </c>
      <c r="G10683" t="s">
        <v>31369</v>
      </c>
      <c r="H10683" t="s">
        <v>15799</v>
      </c>
      <c r="I10683" t="s">
        <v>31380</v>
      </c>
      <c r="J10683" t="s">
        <v>38036</v>
      </c>
      <c r="K10683" t="s">
        <v>40666</v>
      </c>
      <c r="M10683" t="s">
        <v>42609</v>
      </c>
      <c r="N10683" t="s">
        <v>44905</v>
      </c>
      <c r="O10683" t="s">
        <v>44906</v>
      </c>
      <c r="P10683">
        <v>0</v>
      </c>
      <c r="Q10683">
        <v>0</v>
      </c>
      <c r="R10683" t="s">
        <v>44915</v>
      </c>
      <c r="S10683" t="s">
        <v>45255</v>
      </c>
      <c r="T10683" t="s">
        <v>46823</v>
      </c>
      <c r="U10683" t="s">
        <v>55519</v>
      </c>
      <c r="W10683" t="s">
        <v>42609</v>
      </c>
      <c r="X10683" t="s">
        <v>44916</v>
      </c>
    </row>
    <row r="10684" spans="1:24">
      <c r="A10684">
        <f>HYPERLINK("https://www.philgeps.gov.ph/GEPSNONPILOT/Tender/SplashBidNoticeAbstractUI.aspx?menuIndex=3&amp;refID=7066231&amp;Result=3","7066231")</f>
        <v>0</v>
      </c>
      <c r="B10684" t="s">
        <v>2959</v>
      </c>
      <c r="C10684" t="s">
        <v>13698</v>
      </c>
      <c r="D10684" t="s">
        <v>18147</v>
      </c>
      <c r="E10684" t="s">
        <v>27470</v>
      </c>
      <c r="F10684" t="s">
        <v>31362</v>
      </c>
      <c r="G10684" t="s">
        <v>31373</v>
      </c>
      <c r="H10684" t="s">
        <v>31377</v>
      </c>
      <c r="I10684" t="s">
        <v>31412</v>
      </c>
      <c r="J10684" t="s">
        <v>38037</v>
      </c>
      <c r="K10684" t="s">
        <v>40679</v>
      </c>
      <c r="M10684" t="s">
        <v>44182</v>
      </c>
      <c r="N10684" t="s">
        <v>44905</v>
      </c>
      <c r="O10684" t="s">
        <v>44906</v>
      </c>
      <c r="P10684">
        <v>0</v>
      </c>
      <c r="Q10684">
        <v>3</v>
      </c>
      <c r="R10684" t="s">
        <v>44915</v>
      </c>
      <c r="S10684" t="s">
        <v>45255</v>
      </c>
      <c r="T10684" t="s">
        <v>46417</v>
      </c>
      <c r="U10684" t="s">
        <v>55520</v>
      </c>
      <c r="W10684" t="s">
        <v>44182</v>
      </c>
      <c r="X10684" t="s">
        <v>44916</v>
      </c>
    </row>
    <row r="10685" spans="1:24">
      <c r="A10685">
        <f>HYPERLINK("https://www.philgeps.gov.ph/GEPSNONPILOT/Tender/SplashBidNoticeAbstractUI.aspx?menuIndex=3&amp;refID=7066100&amp;Result=3","7066100")</f>
        <v>0</v>
      </c>
      <c r="B10685" t="s">
        <v>2249</v>
      </c>
      <c r="C10685" t="s">
        <v>13699</v>
      </c>
      <c r="D10685" t="s">
        <v>18118</v>
      </c>
      <c r="E10685" t="s">
        <v>27471</v>
      </c>
      <c r="F10685" t="s">
        <v>31363</v>
      </c>
      <c r="G10685" t="s">
        <v>31369</v>
      </c>
      <c r="H10685" t="s">
        <v>15799</v>
      </c>
      <c r="I10685" t="s">
        <v>3815</v>
      </c>
      <c r="J10685" t="s">
        <v>38038</v>
      </c>
      <c r="K10685" t="s">
        <v>40661</v>
      </c>
      <c r="M10685" t="s">
        <v>43386</v>
      </c>
      <c r="N10685" t="s">
        <v>44905</v>
      </c>
      <c r="O10685" t="s">
        <v>44906</v>
      </c>
      <c r="P10685">
        <v>0</v>
      </c>
      <c r="Q10685">
        <v>1</v>
      </c>
      <c r="R10685" t="s">
        <v>44915</v>
      </c>
      <c r="S10685" t="s">
        <v>45255</v>
      </c>
      <c r="T10685" t="s">
        <v>46636</v>
      </c>
      <c r="U10685" t="s">
        <v>55521</v>
      </c>
      <c r="V10685" t="s">
        <v>60207</v>
      </c>
      <c r="W10685" t="s">
        <v>43386</v>
      </c>
      <c r="X10685" t="s">
        <v>44916</v>
      </c>
    </row>
    <row r="10686" spans="1:24">
      <c r="A10686">
        <f>HYPERLINK("https://www.philgeps.gov.ph/GEPSNONPILOT/Tender/SplashBidNoticeAbstractUI.aspx?menuIndex=3&amp;refID=7066222&amp;Result=3","7066222")</f>
        <v>0</v>
      </c>
      <c r="B10686" t="s">
        <v>2960</v>
      </c>
      <c r="C10686" t="s">
        <v>13700</v>
      </c>
      <c r="D10686" t="s">
        <v>18119</v>
      </c>
      <c r="E10686" t="s">
        <v>27472</v>
      </c>
      <c r="F10686" t="s">
        <v>31362</v>
      </c>
      <c r="G10686" t="s">
        <v>31369</v>
      </c>
      <c r="H10686" t="s">
        <v>15799</v>
      </c>
      <c r="I10686" t="s">
        <v>31400</v>
      </c>
      <c r="J10686" t="s">
        <v>38039</v>
      </c>
      <c r="K10686" t="s">
        <v>40666</v>
      </c>
      <c r="M10686" t="s">
        <v>44183</v>
      </c>
      <c r="N10686" t="s">
        <v>44905</v>
      </c>
      <c r="O10686" t="s">
        <v>44906</v>
      </c>
      <c r="P10686">
        <v>0</v>
      </c>
      <c r="Q10686">
        <v>2</v>
      </c>
      <c r="R10686" t="s">
        <v>44915</v>
      </c>
      <c r="S10686" t="s">
        <v>45255</v>
      </c>
      <c r="T10686" t="s">
        <v>46413</v>
      </c>
      <c r="U10686" t="s">
        <v>55522</v>
      </c>
      <c r="V10686" t="s">
        <v>60208</v>
      </c>
      <c r="W10686" t="s">
        <v>44183</v>
      </c>
      <c r="X10686" t="s">
        <v>44916</v>
      </c>
    </row>
    <row r="10687" spans="1:24">
      <c r="A10687">
        <f>HYPERLINK("https://www.philgeps.gov.ph/GEPSNONPILOT/Tender/SplashBidNoticeAbstractUI.aspx?menuIndex=3&amp;refID=7066214&amp;Result=3","7066214")</f>
        <v>0</v>
      </c>
      <c r="B10687" t="s">
        <v>486</v>
      </c>
      <c r="C10687" t="s">
        <v>13701</v>
      </c>
      <c r="D10687" t="s">
        <v>18148</v>
      </c>
      <c r="E10687" t="s">
        <v>27473</v>
      </c>
      <c r="F10687" t="s">
        <v>31362</v>
      </c>
      <c r="G10687" t="s">
        <v>31369</v>
      </c>
      <c r="H10687" t="s">
        <v>31378</v>
      </c>
      <c r="I10687" t="s">
        <v>31386</v>
      </c>
      <c r="J10687" t="s">
        <v>38040</v>
      </c>
      <c r="K10687" t="s">
        <v>40686</v>
      </c>
      <c r="M10687" t="s">
        <v>41441</v>
      </c>
      <c r="N10687" t="s">
        <v>44905</v>
      </c>
      <c r="O10687" t="s">
        <v>44906</v>
      </c>
      <c r="P10687">
        <v>0</v>
      </c>
      <c r="Q10687">
        <v>1</v>
      </c>
      <c r="R10687" t="s">
        <v>44915</v>
      </c>
      <c r="S10687" t="s">
        <v>45255</v>
      </c>
      <c r="T10687" t="s">
        <v>46519</v>
      </c>
      <c r="U10687" t="s">
        <v>55523</v>
      </c>
      <c r="W10687" t="s">
        <v>41441</v>
      </c>
      <c r="X10687" t="s">
        <v>44916</v>
      </c>
    </row>
    <row r="10688" spans="1:24">
      <c r="A10688">
        <f>HYPERLINK("https://www.philgeps.gov.ph/GEPSNONPILOT/Tender/SplashBidNoticeAbstractUI.aspx?menuIndex=3&amp;refID=7066011&amp;Result=3","7066011")</f>
        <v>0</v>
      </c>
      <c r="B10688" t="s">
        <v>2961</v>
      </c>
      <c r="C10688" t="s">
        <v>13702</v>
      </c>
      <c r="D10688" t="s">
        <v>18122</v>
      </c>
      <c r="E10688" t="s">
        <v>19313</v>
      </c>
      <c r="F10688" t="s">
        <v>31362</v>
      </c>
      <c r="G10688" t="s">
        <v>31370</v>
      </c>
      <c r="H10688" t="s">
        <v>15799</v>
      </c>
      <c r="I10688" t="s">
        <v>31380</v>
      </c>
      <c r="J10688" t="s">
        <v>38041</v>
      </c>
      <c r="K10688" t="s">
        <v>40665</v>
      </c>
      <c r="M10688" t="s">
        <v>44184</v>
      </c>
      <c r="N10688" t="s">
        <v>44905</v>
      </c>
      <c r="O10688" t="s">
        <v>44906</v>
      </c>
      <c r="P10688">
        <v>0</v>
      </c>
      <c r="Q10688">
        <v>4</v>
      </c>
      <c r="R10688" t="s">
        <v>44915</v>
      </c>
      <c r="S10688" t="s">
        <v>45255</v>
      </c>
      <c r="T10688" t="s">
        <v>46505</v>
      </c>
      <c r="U10688" t="s">
        <v>55524</v>
      </c>
      <c r="V10688" t="s">
        <v>60209</v>
      </c>
      <c r="W10688" t="s">
        <v>44184</v>
      </c>
      <c r="X10688" t="s">
        <v>44916</v>
      </c>
    </row>
    <row r="10689" spans="1:24">
      <c r="A10689">
        <f>HYPERLINK("https://www.philgeps.gov.ph/GEPSNONPILOT/Tender/SplashBidNoticeAbstractUI.aspx?menuIndex=3&amp;refID=7066200&amp;Result=3","7066200")</f>
        <v>0</v>
      </c>
      <c r="B10689" t="s">
        <v>284</v>
      </c>
      <c r="C10689" t="s">
        <v>13703</v>
      </c>
      <c r="D10689" t="s">
        <v>18126</v>
      </c>
      <c r="E10689" t="s">
        <v>27474</v>
      </c>
      <c r="F10689" t="s">
        <v>31362</v>
      </c>
      <c r="G10689" t="s">
        <v>31369</v>
      </c>
      <c r="H10689" t="s">
        <v>15799</v>
      </c>
      <c r="I10689" t="s">
        <v>7090</v>
      </c>
      <c r="J10689" t="s">
        <v>38042</v>
      </c>
      <c r="K10689" t="s">
        <v>40665</v>
      </c>
      <c r="M10689" t="s">
        <v>43031</v>
      </c>
      <c r="N10689" t="s">
        <v>44905</v>
      </c>
      <c r="O10689" t="s">
        <v>44906</v>
      </c>
      <c r="P10689">
        <v>0</v>
      </c>
      <c r="Q10689">
        <v>1</v>
      </c>
      <c r="R10689" t="s">
        <v>44915</v>
      </c>
      <c r="S10689" t="s">
        <v>45255</v>
      </c>
      <c r="T10689" t="s">
        <v>46612</v>
      </c>
      <c r="U10689" t="s">
        <v>55525</v>
      </c>
      <c r="W10689" t="s">
        <v>43031</v>
      </c>
      <c r="X10689" t="s">
        <v>44916</v>
      </c>
    </row>
    <row r="10690" spans="1:24">
      <c r="A10690">
        <f>HYPERLINK("https://www.philgeps.gov.ph/GEPSNONPILOT/Tender/SplashBidNoticeAbstractUI.aspx?menuIndex=3&amp;refID=7066141&amp;Result=3","7066141")</f>
        <v>0</v>
      </c>
      <c r="B10690" t="s">
        <v>1902</v>
      </c>
      <c r="C10690" t="s">
        <v>13704</v>
      </c>
      <c r="D10690" t="s">
        <v>18122</v>
      </c>
      <c r="E10690" t="s">
        <v>27475</v>
      </c>
      <c r="F10690" t="s">
        <v>31362</v>
      </c>
      <c r="G10690" t="s">
        <v>31369</v>
      </c>
      <c r="H10690" t="s">
        <v>31378</v>
      </c>
      <c r="I10690" t="s">
        <v>31386</v>
      </c>
      <c r="J10690" t="s">
        <v>33435</v>
      </c>
      <c r="K10690" t="s">
        <v>40781</v>
      </c>
      <c r="M10690" t="s">
        <v>42997</v>
      </c>
      <c r="N10690" t="s">
        <v>44905</v>
      </c>
      <c r="O10690" t="s">
        <v>44906</v>
      </c>
      <c r="P10690">
        <v>0</v>
      </c>
      <c r="Q10690">
        <v>24</v>
      </c>
      <c r="R10690" t="s">
        <v>44915</v>
      </c>
      <c r="S10690" t="s">
        <v>45255</v>
      </c>
      <c r="T10690" t="s">
        <v>46538</v>
      </c>
      <c r="U10690" t="s">
        <v>54432</v>
      </c>
      <c r="W10690" t="s">
        <v>42997</v>
      </c>
      <c r="X10690" t="s">
        <v>44916</v>
      </c>
    </row>
    <row r="10691" spans="1:24">
      <c r="A10691">
        <f>HYPERLINK("https://www.philgeps.gov.ph/GEPSNONPILOT/Tender/SplashBidNoticeAbstractUI.aspx?menuIndex=3&amp;refID=7066224&amp;Result=3","7066224")</f>
        <v>0</v>
      </c>
      <c r="B10691" t="s">
        <v>2962</v>
      </c>
      <c r="C10691" t="s">
        <v>9867</v>
      </c>
      <c r="D10691" t="s">
        <v>18122</v>
      </c>
      <c r="E10691" t="s">
        <v>18479</v>
      </c>
      <c r="F10691" t="s">
        <v>31362</v>
      </c>
      <c r="G10691" t="s">
        <v>31369</v>
      </c>
      <c r="H10691" t="s">
        <v>31378</v>
      </c>
      <c r="I10691" t="s">
        <v>31386</v>
      </c>
      <c r="J10691" t="s">
        <v>38043</v>
      </c>
      <c r="K10691" t="s">
        <v>40665</v>
      </c>
      <c r="M10691" t="s">
        <v>44185</v>
      </c>
      <c r="N10691" t="s">
        <v>44905</v>
      </c>
      <c r="O10691" t="s">
        <v>44906</v>
      </c>
      <c r="P10691">
        <v>0</v>
      </c>
      <c r="Q10691">
        <v>3</v>
      </c>
      <c r="R10691" t="s">
        <v>44915</v>
      </c>
      <c r="S10691" t="s">
        <v>45255</v>
      </c>
      <c r="T10691" t="s">
        <v>46408</v>
      </c>
      <c r="U10691" t="s">
        <v>55526</v>
      </c>
      <c r="W10691" t="s">
        <v>44185</v>
      </c>
      <c r="X10691" t="s">
        <v>44916</v>
      </c>
    </row>
    <row r="10692" spans="1:24">
      <c r="A10692">
        <f>HYPERLINK("https://www.philgeps.gov.ph/GEPSNONPILOT/Tender/SplashBidNoticeAbstractUI.aspx?menuIndex=3&amp;refID=7066196&amp;Result=3","7066196")</f>
        <v>0</v>
      </c>
      <c r="B10692" t="s">
        <v>2963</v>
      </c>
      <c r="C10692" t="s">
        <v>13705</v>
      </c>
      <c r="D10692" t="s">
        <v>18116</v>
      </c>
      <c r="E10692" t="s">
        <v>27476</v>
      </c>
      <c r="F10692" t="s">
        <v>31362</v>
      </c>
      <c r="G10692" t="s">
        <v>31369</v>
      </c>
      <c r="H10692" t="s">
        <v>31378</v>
      </c>
      <c r="I10692" t="s">
        <v>31386</v>
      </c>
      <c r="J10692" t="s">
        <v>35708</v>
      </c>
      <c r="K10692" t="s">
        <v>40683</v>
      </c>
      <c r="L10692" t="s">
        <v>2963</v>
      </c>
      <c r="M10692" t="s">
        <v>44186</v>
      </c>
      <c r="N10692" t="s">
        <v>44905</v>
      </c>
      <c r="O10692" t="s">
        <v>44906</v>
      </c>
      <c r="P10692">
        <v>0</v>
      </c>
      <c r="Q10692">
        <v>6</v>
      </c>
      <c r="R10692" t="s">
        <v>44915</v>
      </c>
      <c r="S10692" t="s">
        <v>45255</v>
      </c>
      <c r="T10692" t="s">
        <v>46809</v>
      </c>
      <c r="U10692" t="s">
        <v>55527</v>
      </c>
      <c r="W10692" t="s">
        <v>44186</v>
      </c>
      <c r="X10692" t="s">
        <v>44916</v>
      </c>
    </row>
    <row r="10693" spans="1:24">
      <c r="A10693">
        <f>HYPERLINK("https://www.philgeps.gov.ph/GEPSNONPILOT/Tender/SplashBidNoticeAbstractUI.aspx?menuIndex=3&amp;refID=7066195&amp;Result=3","7066195")</f>
        <v>0</v>
      </c>
      <c r="B10693" t="s">
        <v>420</v>
      </c>
      <c r="C10693" t="s">
        <v>13706</v>
      </c>
      <c r="D10693" t="s">
        <v>18124</v>
      </c>
      <c r="E10693" t="s">
        <v>27477</v>
      </c>
      <c r="F10693" t="s">
        <v>31362</v>
      </c>
      <c r="G10693" t="s">
        <v>31370</v>
      </c>
      <c r="H10693" t="s">
        <v>15799</v>
      </c>
      <c r="I10693" t="s">
        <v>7188</v>
      </c>
      <c r="J10693" t="s">
        <v>31725</v>
      </c>
      <c r="K10693" t="s">
        <v>40666</v>
      </c>
      <c r="M10693" t="s">
        <v>41371</v>
      </c>
      <c r="N10693" t="s">
        <v>44905</v>
      </c>
      <c r="O10693" t="s">
        <v>44906</v>
      </c>
      <c r="P10693">
        <v>0</v>
      </c>
      <c r="Q10693">
        <v>0</v>
      </c>
      <c r="R10693" t="s">
        <v>44915</v>
      </c>
      <c r="S10693" t="s">
        <v>45255</v>
      </c>
      <c r="T10693" t="s">
        <v>46428</v>
      </c>
      <c r="U10693" t="s">
        <v>55528</v>
      </c>
      <c r="W10693" t="s">
        <v>41371</v>
      </c>
      <c r="X10693" t="s">
        <v>44916</v>
      </c>
    </row>
    <row r="10694" spans="1:24">
      <c r="A10694">
        <f>HYPERLINK("https://www.philgeps.gov.ph/GEPSNONPILOT/Tender/SplashBidNoticeAbstractUI.aspx?menuIndex=3&amp;refID=7066188&amp;Result=3","7066188")</f>
        <v>0</v>
      </c>
      <c r="B10694" t="s">
        <v>2925</v>
      </c>
      <c r="C10694" t="s">
        <v>13707</v>
      </c>
      <c r="D10694" t="s">
        <v>18109</v>
      </c>
      <c r="E10694" t="s">
        <v>27478</v>
      </c>
      <c r="F10694" t="s">
        <v>31362</v>
      </c>
      <c r="G10694" t="s">
        <v>31368</v>
      </c>
      <c r="H10694" t="s">
        <v>15799</v>
      </c>
      <c r="I10694" t="s">
        <v>3815</v>
      </c>
      <c r="J10694" t="s">
        <v>38044</v>
      </c>
      <c r="K10694" t="s">
        <v>40666</v>
      </c>
      <c r="M10694" t="s">
        <v>44142</v>
      </c>
      <c r="N10694" t="s">
        <v>44905</v>
      </c>
      <c r="O10694" t="s">
        <v>44906</v>
      </c>
      <c r="P10694">
        <v>0</v>
      </c>
      <c r="Q10694">
        <v>2</v>
      </c>
      <c r="R10694" t="s">
        <v>44915</v>
      </c>
      <c r="S10694" t="s">
        <v>45255</v>
      </c>
      <c r="T10694" t="s">
        <v>46428</v>
      </c>
      <c r="U10694" t="s">
        <v>55431</v>
      </c>
      <c r="W10694" t="s">
        <v>44142</v>
      </c>
      <c r="X10694" t="s">
        <v>44916</v>
      </c>
    </row>
    <row r="10695" spans="1:24">
      <c r="A10695">
        <f>HYPERLINK("https://www.philgeps.gov.ph/GEPSNONPILOT/Tender/SplashBidNoticeAbstractUI.aspx?menuIndex=3&amp;refID=7066182&amp;Result=3","7066182")</f>
        <v>0</v>
      </c>
      <c r="B10695" t="s">
        <v>2964</v>
      </c>
      <c r="C10695" t="s">
        <v>13708</v>
      </c>
      <c r="D10695" t="s">
        <v>18109</v>
      </c>
      <c r="E10695" t="s">
        <v>20014</v>
      </c>
      <c r="F10695" t="s">
        <v>31362</v>
      </c>
      <c r="G10695" t="s">
        <v>31369</v>
      </c>
      <c r="H10695" t="s">
        <v>15799</v>
      </c>
      <c r="I10695" t="s">
        <v>7719</v>
      </c>
      <c r="J10695" t="s">
        <v>32894</v>
      </c>
      <c r="K10695" t="s">
        <v>40679</v>
      </c>
      <c r="M10695" t="s">
        <v>44187</v>
      </c>
      <c r="N10695" t="s">
        <v>44905</v>
      </c>
      <c r="O10695" t="s">
        <v>44906</v>
      </c>
      <c r="P10695">
        <v>0</v>
      </c>
      <c r="Q10695">
        <v>28</v>
      </c>
      <c r="R10695" t="s">
        <v>44915</v>
      </c>
      <c r="S10695" t="s">
        <v>45255</v>
      </c>
      <c r="T10695" t="s">
        <v>46519</v>
      </c>
      <c r="U10695" t="s">
        <v>55529</v>
      </c>
      <c r="W10695" t="s">
        <v>60951</v>
      </c>
      <c r="X10695" t="s">
        <v>44916</v>
      </c>
    </row>
    <row r="10696" spans="1:24">
      <c r="A10696">
        <f>HYPERLINK("https://www.philgeps.gov.ph/GEPSNONPILOT/Tender/SplashBidNoticeAbstractUI.aspx?menuIndex=3&amp;refID=7066169&amp;Result=3","7066169")</f>
        <v>0</v>
      </c>
      <c r="B10696" t="s">
        <v>486</v>
      </c>
      <c r="C10696" t="s">
        <v>13709</v>
      </c>
      <c r="D10696" t="s">
        <v>18148</v>
      </c>
      <c r="E10696" t="s">
        <v>27479</v>
      </c>
      <c r="F10696" t="s">
        <v>31362</v>
      </c>
      <c r="G10696" t="s">
        <v>31369</v>
      </c>
      <c r="H10696" t="s">
        <v>31378</v>
      </c>
      <c r="I10696" t="s">
        <v>31386</v>
      </c>
      <c r="J10696" t="s">
        <v>38045</v>
      </c>
      <c r="K10696" t="s">
        <v>40686</v>
      </c>
      <c r="M10696" t="s">
        <v>41441</v>
      </c>
      <c r="N10696" t="s">
        <v>44905</v>
      </c>
      <c r="O10696" t="s">
        <v>44906</v>
      </c>
      <c r="P10696">
        <v>0</v>
      </c>
      <c r="Q10696">
        <v>1</v>
      </c>
      <c r="R10696" t="s">
        <v>44915</v>
      </c>
      <c r="S10696" t="s">
        <v>45255</v>
      </c>
      <c r="T10696" t="s">
        <v>46519</v>
      </c>
      <c r="U10696" t="s">
        <v>55523</v>
      </c>
      <c r="W10696" t="s">
        <v>41441</v>
      </c>
      <c r="X10696" t="s">
        <v>44916</v>
      </c>
    </row>
    <row r="10697" spans="1:24">
      <c r="A10697">
        <f>HYPERLINK("https://www.philgeps.gov.ph/GEPSNONPILOT/Tender/SplashBidNoticeAbstractUI.aspx?menuIndex=3&amp;refID=7066167&amp;Result=3","7066167")</f>
        <v>0</v>
      </c>
      <c r="B10697" t="s">
        <v>2956</v>
      </c>
      <c r="C10697" t="s">
        <v>13710</v>
      </c>
      <c r="E10697" t="s">
        <v>18397</v>
      </c>
      <c r="F10697" t="s">
        <v>31365</v>
      </c>
      <c r="G10697" t="s">
        <v>31369</v>
      </c>
      <c r="H10697" t="s">
        <v>15799</v>
      </c>
      <c r="I10697" t="s">
        <v>3815</v>
      </c>
      <c r="J10697" t="s">
        <v>31942</v>
      </c>
      <c r="K10697" t="s">
        <v>40662</v>
      </c>
      <c r="M10697" t="s">
        <v>44179</v>
      </c>
      <c r="N10697" t="s">
        <v>44905</v>
      </c>
      <c r="O10697" t="s">
        <v>44906</v>
      </c>
      <c r="P10697">
        <v>0</v>
      </c>
      <c r="Q10697">
        <v>0</v>
      </c>
      <c r="R10697" t="s">
        <v>44915</v>
      </c>
      <c r="S10697" t="s">
        <v>45255</v>
      </c>
      <c r="T10697" t="s">
        <v>46741</v>
      </c>
      <c r="U10697" t="s">
        <v>47088</v>
      </c>
      <c r="W10697" t="s">
        <v>44179</v>
      </c>
      <c r="X10697" t="s">
        <v>44916</v>
      </c>
    </row>
    <row r="10698" spans="1:24">
      <c r="A10698">
        <f>HYPERLINK("https://www.philgeps.gov.ph/GEPSNONPILOT/Tender/SplashBidNoticeAbstractUI.aspx?menuIndex=3&amp;refID=7066162&amp;Result=3","7066162")</f>
        <v>0</v>
      </c>
      <c r="B10698" t="s">
        <v>1645</v>
      </c>
      <c r="C10698" t="s">
        <v>13711</v>
      </c>
      <c r="D10698" t="s">
        <v>18114</v>
      </c>
      <c r="E10698" t="s">
        <v>27480</v>
      </c>
      <c r="F10698" t="s">
        <v>31362</v>
      </c>
      <c r="G10698" t="s">
        <v>31369</v>
      </c>
      <c r="H10698" t="s">
        <v>15799</v>
      </c>
      <c r="I10698" t="s">
        <v>31409</v>
      </c>
      <c r="J10698" t="s">
        <v>38046</v>
      </c>
      <c r="K10698" t="s">
        <v>40662</v>
      </c>
      <c r="M10698" t="s">
        <v>42710</v>
      </c>
      <c r="N10698" t="s">
        <v>44905</v>
      </c>
      <c r="O10698" t="s">
        <v>44906</v>
      </c>
      <c r="P10698">
        <v>0</v>
      </c>
      <c r="Q10698">
        <v>3</v>
      </c>
      <c r="R10698" t="s">
        <v>44915</v>
      </c>
      <c r="S10698" t="s">
        <v>45255</v>
      </c>
      <c r="T10698" t="s">
        <v>46561</v>
      </c>
      <c r="U10698" t="s">
        <v>55530</v>
      </c>
      <c r="W10698" t="s">
        <v>42710</v>
      </c>
      <c r="X10698" t="s">
        <v>44916</v>
      </c>
    </row>
    <row r="10699" spans="1:24">
      <c r="A10699">
        <f>HYPERLINK("https://www.philgeps.gov.ph/GEPSNONPILOT/Tender/SplashBidNoticeAbstractUI.aspx?menuIndex=3&amp;refID=7066207&amp;Result=3","7066207")</f>
        <v>0</v>
      </c>
      <c r="B10699" t="s">
        <v>2965</v>
      </c>
      <c r="C10699" t="s">
        <v>13712</v>
      </c>
      <c r="D10699" t="s">
        <v>18125</v>
      </c>
      <c r="E10699" t="s">
        <v>19989</v>
      </c>
      <c r="F10699" t="s">
        <v>31363</v>
      </c>
      <c r="G10699" t="s">
        <v>31369</v>
      </c>
      <c r="H10699" t="s">
        <v>15799</v>
      </c>
      <c r="I10699" t="s">
        <v>3815</v>
      </c>
      <c r="J10699" t="s">
        <v>33757</v>
      </c>
      <c r="K10699" t="s">
        <v>40661</v>
      </c>
      <c r="M10699" t="s">
        <v>44188</v>
      </c>
      <c r="N10699" t="s">
        <v>44905</v>
      </c>
      <c r="O10699" t="s">
        <v>44906</v>
      </c>
      <c r="P10699">
        <v>0</v>
      </c>
      <c r="Q10699">
        <v>1</v>
      </c>
      <c r="R10699" t="s">
        <v>44915</v>
      </c>
      <c r="S10699" t="s">
        <v>45255</v>
      </c>
      <c r="T10699" t="s">
        <v>46426</v>
      </c>
      <c r="U10699" t="s">
        <v>55531</v>
      </c>
      <c r="W10699" t="s">
        <v>44188</v>
      </c>
      <c r="X10699" t="s">
        <v>44916</v>
      </c>
    </row>
    <row r="10700" spans="1:24">
      <c r="A10700">
        <f>HYPERLINK("https://www.philgeps.gov.ph/GEPSNONPILOT/Tender/SplashBidNoticeAbstractUI.aspx?menuIndex=3&amp;refID=7066098&amp;Result=3","7066098")</f>
        <v>0</v>
      </c>
      <c r="B10700" t="s">
        <v>665</v>
      </c>
      <c r="C10700" t="s">
        <v>9407</v>
      </c>
      <c r="D10700" t="s">
        <v>18139</v>
      </c>
      <c r="E10700" t="s">
        <v>27481</v>
      </c>
      <c r="F10700" t="s">
        <v>31362</v>
      </c>
      <c r="G10700" t="s">
        <v>31369</v>
      </c>
      <c r="H10700" t="s">
        <v>15799</v>
      </c>
      <c r="I10700" t="s">
        <v>31380</v>
      </c>
      <c r="J10700" t="s">
        <v>38047</v>
      </c>
      <c r="K10700" t="s">
        <v>40679</v>
      </c>
      <c r="M10700" t="s">
        <v>44163</v>
      </c>
      <c r="N10700" t="s">
        <v>44905</v>
      </c>
      <c r="O10700" t="s">
        <v>44906</v>
      </c>
      <c r="P10700">
        <v>0</v>
      </c>
      <c r="Q10700">
        <v>16</v>
      </c>
      <c r="R10700" t="s">
        <v>44915</v>
      </c>
      <c r="S10700" t="s">
        <v>45255</v>
      </c>
      <c r="T10700" t="s">
        <v>46504</v>
      </c>
      <c r="U10700" t="s">
        <v>55532</v>
      </c>
      <c r="W10700" t="s">
        <v>44163</v>
      </c>
      <c r="X10700" t="s">
        <v>44916</v>
      </c>
    </row>
    <row r="10701" spans="1:24">
      <c r="A10701">
        <f>HYPERLINK("https://www.philgeps.gov.ph/GEPSNONPILOT/Tender/SplashBidNoticeAbstractUI.aspx?menuIndex=3&amp;refID=7066357&amp;Result=3","7066357")</f>
        <v>0</v>
      </c>
      <c r="B10701" t="s">
        <v>486</v>
      </c>
      <c r="C10701" t="s">
        <v>13713</v>
      </c>
      <c r="D10701" t="s">
        <v>18148</v>
      </c>
      <c r="E10701" t="s">
        <v>27482</v>
      </c>
      <c r="F10701" t="s">
        <v>31362</v>
      </c>
      <c r="G10701" t="s">
        <v>31369</v>
      </c>
      <c r="H10701" t="s">
        <v>15799</v>
      </c>
      <c r="I10701" t="s">
        <v>7188</v>
      </c>
      <c r="J10701" t="s">
        <v>38048</v>
      </c>
      <c r="K10701" t="s">
        <v>40665</v>
      </c>
      <c r="M10701" t="s">
        <v>41441</v>
      </c>
      <c r="N10701" t="s">
        <v>44905</v>
      </c>
      <c r="O10701" t="s">
        <v>44906</v>
      </c>
      <c r="P10701">
        <v>0</v>
      </c>
      <c r="Q10701">
        <v>4</v>
      </c>
      <c r="R10701" t="s">
        <v>44915</v>
      </c>
      <c r="S10701" t="s">
        <v>45255</v>
      </c>
      <c r="T10701" t="s">
        <v>46519</v>
      </c>
      <c r="U10701" t="s">
        <v>55523</v>
      </c>
      <c r="W10701" t="s">
        <v>41441</v>
      </c>
      <c r="X10701" t="s">
        <v>44916</v>
      </c>
    </row>
    <row r="10702" spans="1:24">
      <c r="A10702">
        <f>HYPERLINK("https://www.philgeps.gov.ph/GEPSNONPILOT/Tender/SplashBidNoticeAbstractUI.aspx?menuIndex=3&amp;refID=7066364&amp;Result=3","7066364")</f>
        <v>0</v>
      </c>
      <c r="B10702" t="s">
        <v>2963</v>
      </c>
      <c r="C10702" t="s">
        <v>13714</v>
      </c>
      <c r="D10702" t="s">
        <v>18116</v>
      </c>
      <c r="E10702" t="s">
        <v>27483</v>
      </c>
      <c r="F10702" t="s">
        <v>31362</v>
      </c>
      <c r="G10702" t="s">
        <v>31369</v>
      </c>
      <c r="H10702" t="s">
        <v>31378</v>
      </c>
      <c r="I10702" t="s">
        <v>31386</v>
      </c>
      <c r="J10702" t="s">
        <v>34023</v>
      </c>
      <c r="K10702" t="s">
        <v>40783</v>
      </c>
      <c r="L10702" t="s">
        <v>2963</v>
      </c>
      <c r="M10702" t="s">
        <v>44186</v>
      </c>
      <c r="N10702" t="s">
        <v>44905</v>
      </c>
      <c r="O10702" t="s">
        <v>44906</v>
      </c>
      <c r="P10702">
        <v>0</v>
      </c>
      <c r="Q10702">
        <v>4</v>
      </c>
      <c r="R10702" t="s">
        <v>44915</v>
      </c>
      <c r="S10702" t="s">
        <v>45255</v>
      </c>
      <c r="T10702" t="s">
        <v>46809</v>
      </c>
      <c r="U10702" t="s">
        <v>55527</v>
      </c>
      <c r="W10702" t="s">
        <v>44186</v>
      </c>
      <c r="X10702" t="s">
        <v>44916</v>
      </c>
    </row>
    <row r="10703" spans="1:24">
      <c r="A10703">
        <f>HYPERLINK("https://www.philgeps.gov.ph/GEPSNONPILOT/Tender/SplashBidNoticeAbstractUI.aspx?menuIndex=3&amp;refID=7066191&amp;Result=3","7066191")</f>
        <v>0</v>
      </c>
      <c r="B10703" t="s">
        <v>2966</v>
      </c>
      <c r="C10703" t="s">
        <v>6548</v>
      </c>
      <c r="E10703" t="s">
        <v>18397</v>
      </c>
      <c r="F10703" t="s">
        <v>31365</v>
      </c>
      <c r="G10703" t="s">
        <v>31369</v>
      </c>
      <c r="H10703" t="s">
        <v>15799</v>
      </c>
      <c r="I10703" t="s">
        <v>3815</v>
      </c>
      <c r="J10703" t="s">
        <v>38049</v>
      </c>
      <c r="K10703" t="s">
        <v>40662</v>
      </c>
      <c r="M10703" t="s">
        <v>44189</v>
      </c>
      <c r="N10703" t="s">
        <v>44905</v>
      </c>
      <c r="O10703" t="s">
        <v>44906</v>
      </c>
      <c r="P10703">
        <v>0</v>
      </c>
      <c r="Q10703">
        <v>0</v>
      </c>
      <c r="R10703" t="s">
        <v>44915</v>
      </c>
      <c r="S10703" t="s">
        <v>45255</v>
      </c>
      <c r="T10703" t="s">
        <v>46741</v>
      </c>
      <c r="U10703" t="s">
        <v>47088</v>
      </c>
      <c r="W10703" t="s">
        <v>44189</v>
      </c>
      <c r="X10703" t="s">
        <v>44916</v>
      </c>
    </row>
    <row r="10704" spans="1:24">
      <c r="A10704">
        <f>HYPERLINK("https://www.philgeps.gov.ph/GEPSNONPILOT/Tender/SplashBidNoticeAbstractUI.aspx?menuIndex=3&amp;refID=7066354&amp;Result=3","7066354")</f>
        <v>0</v>
      </c>
      <c r="B10704" t="s">
        <v>2963</v>
      </c>
      <c r="C10704" t="s">
        <v>13715</v>
      </c>
      <c r="D10704" t="s">
        <v>18116</v>
      </c>
      <c r="E10704" t="s">
        <v>27484</v>
      </c>
      <c r="F10704" t="s">
        <v>31362</v>
      </c>
      <c r="G10704" t="s">
        <v>31369</v>
      </c>
      <c r="H10704" t="s">
        <v>31378</v>
      </c>
      <c r="I10704" t="s">
        <v>31386</v>
      </c>
      <c r="J10704" t="s">
        <v>34023</v>
      </c>
      <c r="K10704" t="s">
        <v>40878</v>
      </c>
      <c r="L10704" t="s">
        <v>2963</v>
      </c>
      <c r="M10704" t="s">
        <v>44186</v>
      </c>
      <c r="N10704" t="s">
        <v>44905</v>
      </c>
      <c r="O10704" t="s">
        <v>44906</v>
      </c>
      <c r="P10704">
        <v>0</v>
      </c>
      <c r="Q10704">
        <v>4</v>
      </c>
      <c r="R10704" t="s">
        <v>44915</v>
      </c>
      <c r="S10704" t="s">
        <v>45255</v>
      </c>
      <c r="T10704" t="s">
        <v>46809</v>
      </c>
      <c r="U10704" t="s">
        <v>55527</v>
      </c>
      <c r="W10704" t="s">
        <v>44186</v>
      </c>
      <c r="X10704" t="s">
        <v>44916</v>
      </c>
    </row>
    <row r="10705" spans="1:24">
      <c r="A10705">
        <f>HYPERLINK("https://www.philgeps.gov.ph/GEPSNONPILOT/Tender/SplashBidNoticeAbstractUI.aspx?menuIndex=3&amp;refID=7066180&amp;Result=3","7066180")</f>
        <v>0</v>
      </c>
      <c r="B10705" t="s">
        <v>665</v>
      </c>
      <c r="C10705" t="s">
        <v>13716</v>
      </c>
      <c r="D10705" t="s">
        <v>18139</v>
      </c>
      <c r="E10705" t="s">
        <v>27485</v>
      </c>
      <c r="F10705" t="s">
        <v>31362</v>
      </c>
      <c r="G10705" t="s">
        <v>31369</v>
      </c>
      <c r="H10705" t="s">
        <v>15799</v>
      </c>
      <c r="I10705" t="s">
        <v>4283</v>
      </c>
      <c r="J10705" t="s">
        <v>38050</v>
      </c>
      <c r="K10705" t="s">
        <v>40665</v>
      </c>
      <c r="M10705" t="s">
        <v>44163</v>
      </c>
      <c r="N10705" t="s">
        <v>44905</v>
      </c>
      <c r="O10705" t="s">
        <v>44906</v>
      </c>
      <c r="P10705">
        <v>0</v>
      </c>
      <c r="Q10705">
        <v>5</v>
      </c>
      <c r="R10705" t="s">
        <v>44915</v>
      </c>
      <c r="S10705" t="s">
        <v>45255</v>
      </c>
      <c r="T10705" t="s">
        <v>46524</v>
      </c>
      <c r="U10705" t="s">
        <v>55533</v>
      </c>
      <c r="W10705" t="s">
        <v>44163</v>
      </c>
      <c r="X10705" t="s">
        <v>44916</v>
      </c>
    </row>
    <row r="10706" spans="1:24">
      <c r="A10706">
        <f>HYPERLINK("https://www.philgeps.gov.ph/GEPSNONPILOT/Tender/SplashBidNoticeAbstractUI.aspx?menuIndex=3&amp;refID=7066341&amp;Result=3","7066341")</f>
        <v>0</v>
      </c>
      <c r="B10706" t="s">
        <v>2840</v>
      </c>
      <c r="C10706" t="s">
        <v>13717</v>
      </c>
      <c r="D10706" t="s">
        <v>18120</v>
      </c>
      <c r="E10706" t="s">
        <v>27486</v>
      </c>
      <c r="F10706" t="s">
        <v>31362</v>
      </c>
      <c r="G10706" t="s">
        <v>31369</v>
      </c>
      <c r="H10706" t="s">
        <v>31378</v>
      </c>
      <c r="I10706" t="s">
        <v>31386</v>
      </c>
      <c r="J10706" t="s">
        <v>38051</v>
      </c>
      <c r="K10706" t="s">
        <v>40725</v>
      </c>
      <c r="M10706" t="s">
        <v>44041</v>
      </c>
      <c r="N10706" t="s">
        <v>44905</v>
      </c>
      <c r="O10706" t="s">
        <v>44906</v>
      </c>
      <c r="P10706">
        <v>0</v>
      </c>
      <c r="Q10706">
        <v>0</v>
      </c>
      <c r="R10706" t="s">
        <v>44915</v>
      </c>
      <c r="S10706" t="s">
        <v>45255</v>
      </c>
      <c r="T10706" t="s">
        <v>46490</v>
      </c>
      <c r="U10706" t="s">
        <v>55534</v>
      </c>
      <c r="V10706" t="s">
        <v>60210</v>
      </c>
      <c r="W10706" t="s">
        <v>60943</v>
      </c>
      <c r="X10706" t="s">
        <v>44916</v>
      </c>
    </row>
    <row r="10707" spans="1:24">
      <c r="A10707">
        <f>HYPERLINK("https://www.philgeps.gov.ph/GEPSNONPILOT/Tender/SplashBidNoticeAbstractUI.aspx?menuIndex=3&amp;refID=7066325&amp;Result=3","7066325")</f>
        <v>0</v>
      </c>
      <c r="B10707" t="s">
        <v>1043</v>
      </c>
      <c r="C10707" t="s">
        <v>13718</v>
      </c>
      <c r="D10707" t="s">
        <v>18153</v>
      </c>
      <c r="E10707" t="s">
        <v>27487</v>
      </c>
      <c r="F10707" t="s">
        <v>31362</v>
      </c>
      <c r="G10707" t="s">
        <v>31369</v>
      </c>
      <c r="H10707" t="s">
        <v>31378</v>
      </c>
      <c r="I10707" t="s">
        <v>31386</v>
      </c>
      <c r="J10707" t="s">
        <v>38052</v>
      </c>
      <c r="K10707" t="s">
        <v>40679</v>
      </c>
      <c r="M10707" t="s">
        <v>42042</v>
      </c>
      <c r="N10707" t="s">
        <v>44905</v>
      </c>
      <c r="O10707" t="s">
        <v>44906</v>
      </c>
      <c r="P10707">
        <v>0</v>
      </c>
      <c r="Q10707">
        <v>0</v>
      </c>
      <c r="R10707" t="s">
        <v>44915</v>
      </c>
      <c r="S10707" t="s">
        <v>45255</v>
      </c>
      <c r="T10707" t="s">
        <v>46785</v>
      </c>
      <c r="U10707" t="s">
        <v>55535</v>
      </c>
      <c r="W10707" t="s">
        <v>42042</v>
      </c>
      <c r="X10707" t="s">
        <v>44916</v>
      </c>
    </row>
    <row r="10708" spans="1:24">
      <c r="A10708">
        <f>HYPERLINK("https://www.philgeps.gov.ph/GEPSNONPILOT/Tender/SplashBidNoticeAbstractUI.aspx?menuIndex=3&amp;refID=7066225&amp;Result=3","7066225")</f>
        <v>0</v>
      </c>
      <c r="B10708" t="s">
        <v>1331</v>
      </c>
      <c r="C10708" t="s">
        <v>13719</v>
      </c>
      <c r="D10708" t="s">
        <v>18138</v>
      </c>
      <c r="E10708" t="s">
        <v>27488</v>
      </c>
      <c r="F10708" t="s">
        <v>31362</v>
      </c>
      <c r="G10708" t="s">
        <v>31369</v>
      </c>
      <c r="H10708" t="s">
        <v>31378</v>
      </c>
      <c r="I10708" t="s">
        <v>31386</v>
      </c>
      <c r="J10708" t="s">
        <v>38053</v>
      </c>
      <c r="K10708" t="s">
        <v>40707</v>
      </c>
      <c r="M10708" t="s">
        <v>42349</v>
      </c>
      <c r="N10708" t="s">
        <v>44905</v>
      </c>
      <c r="O10708" t="s">
        <v>44906</v>
      </c>
      <c r="P10708">
        <v>0</v>
      </c>
      <c r="Q10708">
        <v>1</v>
      </c>
      <c r="R10708" t="s">
        <v>44915</v>
      </c>
      <c r="S10708" t="s">
        <v>45255</v>
      </c>
      <c r="T10708" t="s">
        <v>46528</v>
      </c>
      <c r="U10708" t="s">
        <v>55536</v>
      </c>
      <c r="W10708" t="s">
        <v>42349</v>
      </c>
      <c r="X10708" t="s">
        <v>44916</v>
      </c>
    </row>
    <row r="10709" spans="1:24">
      <c r="A10709">
        <f>HYPERLINK("https://www.philgeps.gov.ph/GEPSNONPILOT/Tender/SplashBidNoticeAbstractUI.aspx?menuIndex=3&amp;refID=7066324&amp;Result=3","7066324")</f>
        <v>0</v>
      </c>
      <c r="B10709" t="s">
        <v>2963</v>
      </c>
      <c r="C10709" t="s">
        <v>13720</v>
      </c>
      <c r="D10709" t="s">
        <v>18116</v>
      </c>
      <c r="E10709" t="s">
        <v>27489</v>
      </c>
      <c r="F10709" t="s">
        <v>31362</v>
      </c>
      <c r="G10709" t="s">
        <v>31369</v>
      </c>
      <c r="H10709" t="s">
        <v>31378</v>
      </c>
      <c r="I10709" t="s">
        <v>31386</v>
      </c>
      <c r="J10709" t="s">
        <v>36584</v>
      </c>
      <c r="K10709" t="s">
        <v>40663</v>
      </c>
      <c r="L10709" t="s">
        <v>2963</v>
      </c>
      <c r="M10709" t="s">
        <v>44186</v>
      </c>
      <c r="N10709" t="s">
        <v>44905</v>
      </c>
      <c r="O10709" t="s">
        <v>44906</v>
      </c>
      <c r="P10709">
        <v>0</v>
      </c>
      <c r="Q10709">
        <v>4</v>
      </c>
      <c r="R10709" t="s">
        <v>44915</v>
      </c>
      <c r="S10709" t="s">
        <v>45255</v>
      </c>
      <c r="T10709" t="s">
        <v>46824</v>
      </c>
      <c r="U10709" t="s">
        <v>55527</v>
      </c>
      <c r="W10709" t="s">
        <v>44186</v>
      </c>
      <c r="X10709" t="s">
        <v>44916</v>
      </c>
    </row>
    <row r="10710" spans="1:24">
      <c r="A10710">
        <f>HYPERLINK("https://www.philgeps.gov.ph/GEPSNONPILOT/Tender/SplashBidNoticeAbstractUI.aspx?menuIndex=3&amp;refID=7066303&amp;Result=3","7066303")</f>
        <v>0</v>
      </c>
      <c r="B10710" t="s">
        <v>486</v>
      </c>
      <c r="C10710" t="s">
        <v>13721</v>
      </c>
      <c r="D10710" t="s">
        <v>18148</v>
      </c>
      <c r="E10710" t="s">
        <v>27490</v>
      </c>
      <c r="F10710" t="s">
        <v>31362</v>
      </c>
      <c r="G10710" t="s">
        <v>31369</v>
      </c>
      <c r="H10710" t="s">
        <v>31378</v>
      </c>
      <c r="I10710" t="s">
        <v>31386</v>
      </c>
      <c r="J10710" t="s">
        <v>38054</v>
      </c>
      <c r="K10710" t="s">
        <v>40665</v>
      </c>
      <c r="M10710" t="s">
        <v>41441</v>
      </c>
      <c r="N10710" t="s">
        <v>44905</v>
      </c>
      <c r="O10710" t="s">
        <v>44906</v>
      </c>
      <c r="P10710">
        <v>0</v>
      </c>
      <c r="Q10710">
        <v>0</v>
      </c>
      <c r="R10710" t="s">
        <v>44915</v>
      </c>
      <c r="S10710" t="s">
        <v>45255</v>
      </c>
      <c r="T10710" t="s">
        <v>46519</v>
      </c>
      <c r="U10710" t="s">
        <v>55523</v>
      </c>
      <c r="W10710" t="s">
        <v>41441</v>
      </c>
      <c r="X10710" t="s">
        <v>44916</v>
      </c>
    </row>
    <row r="10711" spans="1:24">
      <c r="A10711">
        <f>HYPERLINK("https://www.philgeps.gov.ph/GEPSNONPILOT/Tender/SplashBidNoticeAbstractUI.aspx?menuIndex=3&amp;refID=7066331&amp;Result=3","7066331")</f>
        <v>0</v>
      </c>
      <c r="B10711" t="s">
        <v>359</v>
      </c>
      <c r="C10711" t="s">
        <v>13722</v>
      </c>
      <c r="D10711" t="s">
        <v>18123</v>
      </c>
      <c r="E10711" t="s">
        <v>27491</v>
      </c>
      <c r="F10711" t="s">
        <v>31362</v>
      </c>
      <c r="G10711" t="s">
        <v>31369</v>
      </c>
      <c r="H10711" t="s">
        <v>15799</v>
      </c>
      <c r="I10711" t="s">
        <v>31455</v>
      </c>
      <c r="J10711" t="s">
        <v>38055</v>
      </c>
      <c r="K10711" t="s">
        <v>40666</v>
      </c>
      <c r="M10711" t="s">
        <v>41306</v>
      </c>
      <c r="N10711" t="s">
        <v>44905</v>
      </c>
      <c r="O10711" t="s">
        <v>44906</v>
      </c>
      <c r="P10711">
        <v>0</v>
      </c>
      <c r="Q10711">
        <v>2</v>
      </c>
      <c r="R10711" t="s">
        <v>44915</v>
      </c>
      <c r="S10711" t="s">
        <v>45255</v>
      </c>
      <c r="T10711" t="s">
        <v>46692</v>
      </c>
      <c r="U10711" t="s">
        <v>55537</v>
      </c>
      <c r="W10711" t="s">
        <v>60848</v>
      </c>
      <c r="X10711" t="s">
        <v>44916</v>
      </c>
    </row>
    <row r="10712" spans="1:24">
      <c r="A10712">
        <f>HYPERLINK("https://www.philgeps.gov.ph/GEPSNONPILOT/Tender/SplashBidNoticeAbstractUI.aspx?menuIndex=3&amp;refID=7066298&amp;Result=3","7066298")</f>
        <v>0</v>
      </c>
      <c r="B10712" t="s">
        <v>1043</v>
      </c>
      <c r="C10712" t="s">
        <v>13723</v>
      </c>
      <c r="D10712" t="s">
        <v>18153</v>
      </c>
      <c r="E10712" t="s">
        <v>27492</v>
      </c>
      <c r="F10712" t="s">
        <v>31362</v>
      </c>
      <c r="G10712" t="s">
        <v>31369</v>
      </c>
      <c r="H10712" t="s">
        <v>31378</v>
      </c>
      <c r="I10712" t="s">
        <v>31386</v>
      </c>
      <c r="J10712" t="s">
        <v>31981</v>
      </c>
      <c r="K10712" t="s">
        <v>40679</v>
      </c>
      <c r="M10712" t="s">
        <v>42042</v>
      </c>
      <c r="N10712" t="s">
        <v>44905</v>
      </c>
      <c r="O10712" t="s">
        <v>44906</v>
      </c>
      <c r="P10712">
        <v>0</v>
      </c>
      <c r="Q10712">
        <v>0</v>
      </c>
      <c r="R10712" t="s">
        <v>44915</v>
      </c>
      <c r="S10712" t="s">
        <v>45255</v>
      </c>
      <c r="T10712" t="s">
        <v>46785</v>
      </c>
      <c r="U10712" t="s">
        <v>55538</v>
      </c>
      <c r="W10712" t="s">
        <v>42042</v>
      </c>
      <c r="X10712" t="s">
        <v>44916</v>
      </c>
    </row>
    <row r="10713" spans="1:24">
      <c r="A10713">
        <f>HYPERLINK("https://www.philgeps.gov.ph/GEPSNONPILOT/Tender/SplashBidNoticeAbstractUI.aspx?menuIndex=3&amp;refID=7066226&amp;Result=3","7066226")</f>
        <v>0</v>
      </c>
      <c r="B10713" t="s">
        <v>2250</v>
      </c>
      <c r="C10713" t="s">
        <v>13724</v>
      </c>
      <c r="D10713" t="s">
        <v>18107</v>
      </c>
      <c r="E10713" t="s">
        <v>19063</v>
      </c>
      <c r="F10713" t="s">
        <v>31362</v>
      </c>
      <c r="G10713" t="s">
        <v>31369</v>
      </c>
      <c r="H10713" t="s">
        <v>31378</v>
      </c>
      <c r="I10713" t="s">
        <v>31386</v>
      </c>
      <c r="J10713" t="s">
        <v>36067</v>
      </c>
      <c r="K10713" t="s">
        <v>40662</v>
      </c>
      <c r="M10713" t="s">
        <v>43387</v>
      </c>
      <c r="N10713" t="s">
        <v>44905</v>
      </c>
      <c r="O10713" t="s">
        <v>44906</v>
      </c>
      <c r="P10713">
        <v>0</v>
      </c>
      <c r="Q10713">
        <v>0</v>
      </c>
      <c r="R10713" t="s">
        <v>44915</v>
      </c>
      <c r="S10713" t="s">
        <v>45255</v>
      </c>
      <c r="T10713" t="s">
        <v>46533</v>
      </c>
      <c r="U10713" t="s">
        <v>52982</v>
      </c>
      <c r="W10713" t="s">
        <v>43387</v>
      </c>
      <c r="X10713" t="s">
        <v>44916</v>
      </c>
    </row>
    <row r="10714" spans="1:24">
      <c r="A10714">
        <f>HYPERLINK("https://www.philgeps.gov.ph/GEPSNONPILOT/Tender/SplashBidNoticeAbstractUI.aspx?menuIndex=3&amp;refID=7066296&amp;Result=3","7066296")</f>
        <v>0</v>
      </c>
      <c r="B10714" t="s">
        <v>2967</v>
      </c>
      <c r="C10714" t="s">
        <v>13725</v>
      </c>
      <c r="D10714" t="s">
        <v>18177</v>
      </c>
      <c r="E10714" t="s">
        <v>18476</v>
      </c>
      <c r="F10714" t="s">
        <v>31362</v>
      </c>
      <c r="G10714" t="s">
        <v>31369</v>
      </c>
      <c r="H10714" t="s">
        <v>15799</v>
      </c>
      <c r="I10714" t="s">
        <v>3815</v>
      </c>
      <c r="J10714" t="s">
        <v>38056</v>
      </c>
      <c r="K10714" t="s">
        <v>40666</v>
      </c>
      <c r="M10714" t="s">
        <v>44190</v>
      </c>
      <c r="N10714" t="s">
        <v>44905</v>
      </c>
      <c r="O10714" t="s">
        <v>44906</v>
      </c>
      <c r="P10714">
        <v>0</v>
      </c>
      <c r="Q10714">
        <v>0</v>
      </c>
      <c r="R10714" t="s">
        <v>44915</v>
      </c>
      <c r="S10714" t="s">
        <v>45255</v>
      </c>
      <c r="T10714" t="s">
        <v>46480</v>
      </c>
      <c r="U10714" t="s">
        <v>55539</v>
      </c>
      <c r="W10714" t="s">
        <v>44190</v>
      </c>
      <c r="X10714" t="s">
        <v>44916</v>
      </c>
    </row>
    <row r="10715" spans="1:24">
      <c r="A10715">
        <f>HYPERLINK("https://www.philgeps.gov.ph/GEPSNONPILOT/Tender/SplashBidNoticeAbstractUI.aspx?menuIndex=3&amp;refID=7066283&amp;Result=3","7066283")</f>
        <v>0</v>
      </c>
      <c r="B10715" t="s">
        <v>2968</v>
      </c>
      <c r="C10715" t="s">
        <v>13726</v>
      </c>
      <c r="D10715" t="s">
        <v>18116</v>
      </c>
      <c r="E10715" t="s">
        <v>27493</v>
      </c>
      <c r="F10715" t="s">
        <v>31362</v>
      </c>
      <c r="G10715" t="s">
        <v>31369</v>
      </c>
      <c r="H10715" t="s">
        <v>31378</v>
      </c>
      <c r="I10715" t="s">
        <v>31386</v>
      </c>
      <c r="J10715" t="s">
        <v>35504</v>
      </c>
      <c r="K10715" t="s">
        <v>40677</v>
      </c>
      <c r="M10715" t="s">
        <v>44191</v>
      </c>
      <c r="N10715" t="s">
        <v>44905</v>
      </c>
      <c r="O10715" t="s">
        <v>44906</v>
      </c>
      <c r="P10715">
        <v>0</v>
      </c>
      <c r="Q10715">
        <v>0</v>
      </c>
      <c r="R10715" t="s">
        <v>44915</v>
      </c>
      <c r="S10715" t="s">
        <v>45255</v>
      </c>
      <c r="T10715" t="s">
        <v>46411</v>
      </c>
      <c r="U10715" t="s">
        <v>55540</v>
      </c>
      <c r="W10715" t="s">
        <v>44191</v>
      </c>
      <c r="X10715" t="s">
        <v>44916</v>
      </c>
    </row>
    <row r="10716" spans="1:24">
      <c r="A10716">
        <f>HYPERLINK("https://www.philgeps.gov.ph/GEPSNONPILOT/Tender/SplashBidNoticeAbstractUI.aspx?menuIndex=3&amp;refID=7066318&amp;Result=3","7066318")</f>
        <v>0</v>
      </c>
      <c r="B10716" t="s">
        <v>2494</v>
      </c>
      <c r="C10716" t="s">
        <v>13727</v>
      </c>
      <c r="D10716" t="s">
        <v>18117</v>
      </c>
      <c r="E10716" t="s">
        <v>27494</v>
      </c>
      <c r="F10716" t="s">
        <v>31362</v>
      </c>
      <c r="G10716" t="s">
        <v>31369</v>
      </c>
      <c r="H10716" t="s">
        <v>15799</v>
      </c>
      <c r="I10716" t="s">
        <v>4283</v>
      </c>
      <c r="J10716" t="s">
        <v>38057</v>
      </c>
      <c r="K10716" t="s">
        <v>40675</v>
      </c>
      <c r="M10716" t="s">
        <v>44192</v>
      </c>
      <c r="N10716" t="s">
        <v>44905</v>
      </c>
      <c r="O10716" t="s">
        <v>44906</v>
      </c>
      <c r="P10716">
        <v>0</v>
      </c>
      <c r="Q10716">
        <v>9</v>
      </c>
      <c r="R10716" t="s">
        <v>44915</v>
      </c>
      <c r="S10716" t="s">
        <v>45255</v>
      </c>
      <c r="T10716" t="s">
        <v>46625</v>
      </c>
      <c r="U10716" t="s">
        <v>55541</v>
      </c>
      <c r="V10716" t="s">
        <v>60211</v>
      </c>
      <c r="W10716" t="s">
        <v>44192</v>
      </c>
      <c r="X10716" t="s">
        <v>44916</v>
      </c>
    </row>
    <row r="10717" spans="1:24">
      <c r="A10717">
        <f>HYPERLINK("https://www.philgeps.gov.ph/GEPSNONPILOT/Tender/SplashBidNoticeAbstractUI.aspx?menuIndex=3&amp;refID=7066260&amp;Result=3","7066260")</f>
        <v>0</v>
      </c>
      <c r="B10717" t="s">
        <v>573</v>
      </c>
      <c r="C10717" t="s">
        <v>13728</v>
      </c>
      <c r="D10717" t="s">
        <v>18105</v>
      </c>
      <c r="E10717" t="s">
        <v>27495</v>
      </c>
      <c r="F10717" t="s">
        <v>31362</v>
      </c>
      <c r="G10717" t="s">
        <v>31369</v>
      </c>
      <c r="H10717" t="s">
        <v>15799</v>
      </c>
      <c r="I10717" t="s">
        <v>7090</v>
      </c>
      <c r="J10717" t="s">
        <v>31625</v>
      </c>
      <c r="K10717" t="s">
        <v>40665</v>
      </c>
      <c r="M10717" t="s">
        <v>41529</v>
      </c>
      <c r="N10717" t="s">
        <v>44905</v>
      </c>
      <c r="O10717" t="s">
        <v>44906</v>
      </c>
      <c r="P10717">
        <v>0</v>
      </c>
      <c r="Q10717">
        <v>1</v>
      </c>
      <c r="R10717" t="s">
        <v>44915</v>
      </c>
      <c r="S10717" t="s">
        <v>45255</v>
      </c>
      <c r="T10717" t="s">
        <v>46561</v>
      </c>
      <c r="U10717" t="s">
        <v>55542</v>
      </c>
      <c r="W10717" t="s">
        <v>41529</v>
      </c>
      <c r="X10717" t="s">
        <v>44916</v>
      </c>
    </row>
    <row r="10718" spans="1:24">
      <c r="A10718">
        <f>HYPERLINK("https://www.philgeps.gov.ph/GEPSNONPILOT/Tender/SplashBidNoticeAbstractUI.aspx?menuIndex=3&amp;refID=7066305&amp;Result=3","7066305")</f>
        <v>0</v>
      </c>
      <c r="B10718" t="s">
        <v>2968</v>
      </c>
      <c r="C10718" t="s">
        <v>13729</v>
      </c>
      <c r="D10718" t="s">
        <v>18116</v>
      </c>
      <c r="E10718" t="s">
        <v>27493</v>
      </c>
      <c r="F10718" t="s">
        <v>31362</v>
      </c>
      <c r="G10718" t="s">
        <v>31369</v>
      </c>
      <c r="H10718" t="s">
        <v>31378</v>
      </c>
      <c r="I10718" t="s">
        <v>31377</v>
      </c>
      <c r="J10718" t="s">
        <v>38058</v>
      </c>
      <c r="K10718" t="s">
        <v>40677</v>
      </c>
      <c r="M10718" t="s">
        <v>44191</v>
      </c>
      <c r="N10718" t="s">
        <v>44905</v>
      </c>
      <c r="O10718" t="s">
        <v>44906</v>
      </c>
      <c r="P10718">
        <v>0</v>
      </c>
      <c r="Q10718">
        <v>0</v>
      </c>
      <c r="R10718" t="s">
        <v>44915</v>
      </c>
      <c r="S10718" t="s">
        <v>45255</v>
      </c>
      <c r="T10718" t="s">
        <v>46411</v>
      </c>
      <c r="U10718" t="s">
        <v>55543</v>
      </c>
      <c r="W10718" t="s">
        <v>44191</v>
      </c>
      <c r="X10718" t="s">
        <v>44916</v>
      </c>
    </row>
    <row r="10719" spans="1:24">
      <c r="A10719">
        <f>HYPERLINK("https://www.philgeps.gov.ph/GEPSNONPILOT/Tender/SplashBidNoticeAbstractUI.aspx?menuIndex=3&amp;refID=7066250&amp;Result=3","7066250")</f>
        <v>0</v>
      </c>
      <c r="B10719" t="s">
        <v>2963</v>
      </c>
      <c r="C10719" t="s">
        <v>13730</v>
      </c>
      <c r="D10719" t="s">
        <v>18116</v>
      </c>
      <c r="E10719" t="s">
        <v>27496</v>
      </c>
      <c r="F10719" t="s">
        <v>31362</v>
      </c>
      <c r="G10719" t="s">
        <v>31369</v>
      </c>
      <c r="H10719" t="s">
        <v>31378</v>
      </c>
      <c r="I10719" t="s">
        <v>31386</v>
      </c>
      <c r="J10719" t="s">
        <v>35708</v>
      </c>
      <c r="K10719" t="s">
        <v>40691</v>
      </c>
      <c r="L10719" t="s">
        <v>2963</v>
      </c>
      <c r="M10719" t="s">
        <v>44186</v>
      </c>
      <c r="N10719" t="s">
        <v>44905</v>
      </c>
      <c r="O10719" t="s">
        <v>44906</v>
      </c>
      <c r="P10719">
        <v>0</v>
      </c>
      <c r="Q10719">
        <v>3</v>
      </c>
      <c r="R10719" t="s">
        <v>44915</v>
      </c>
      <c r="S10719" t="s">
        <v>45255</v>
      </c>
      <c r="T10719" t="s">
        <v>46809</v>
      </c>
      <c r="U10719" t="s">
        <v>55527</v>
      </c>
      <c r="W10719" t="s">
        <v>44186</v>
      </c>
      <c r="X10719" t="s">
        <v>44916</v>
      </c>
    </row>
    <row r="10720" spans="1:24">
      <c r="A10720">
        <f>HYPERLINK("https://www.philgeps.gov.ph/GEPSNONPILOT/Tender/SplashBidNoticeAbstractUI.aspx?menuIndex=3&amp;refID=7066347&amp;Result=3","7066347")</f>
        <v>0</v>
      </c>
      <c r="B10720" t="s">
        <v>1043</v>
      </c>
      <c r="C10720" t="s">
        <v>13731</v>
      </c>
      <c r="D10720" t="s">
        <v>18153</v>
      </c>
      <c r="E10720" t="s">
        <v>27497</v>
      </c>
      <c r="F10720" t="s">
        <v>31362</v>
      </c>
      <c r="G10720" t="s">
        <v>31369</v>
      </c>
      <c r="H10720" t="s">
        <v>31378</v>
      </c>
      <c r="I10720" t="s">
        <v>31386</v>
      </c>
      <c r="J10720" t="s">
        <v>32894</v>
      </c>
      <c r="K10720" t="s">
        <v>40683</v>
      </c>
      <c r="M10720" t="s">
        <v>42042</v>
      </c>
      <c r="N10720" t="s">
        <v>44905</v>
      </c>
      <c r="O10720" t="s">
        <v>44906</v>
      </c>
      <c r="P10720">
        <v>0</v>
      </c>
      <c r="Q10720">
        <v>0</v>
      </c>
      <c r="R10720" t="s">
        <v>44915</v>
      </c>
      <c r="S10720" t="s">
        <v>45255</v>
      </c>
      <c r="T10720" t="s">
        <v>46785</v>
      </c>
      <c r="U10720" t="s">
        <v>55544</v>
      </c>
      <c r="W10720" t="s">
        <v>42042</v>
      </c>
      <c r="X10720" t="s">
        <v>44916</v>
      </c>
    </row>
    <row r="10721" spans="1:24">
      <c r="A10721">
        <f>HYPERLINK("https://www.philgeps.gov.ph/GEPSNONPILOT/Tender/SplashBidNoticeAbstractUI.aspx?menuIndex=3&amp;refID=7066299&amp;Result=3","7066299")</f>
        <v>0</v>
      </c>
      <c r="B10721" t="s">
        <v>2963</v>
      </c>
      <c r="C10721" t="s">
        <v>13732</v>
      </c>
      <c r="D10721" t="s">
        <v>18116</v>
      </c>
      <c r="E10721" t="s">
        <v>27498</v>
      </c>
      <c r="F10721" t="s">
        <v>31362</v>
      </c>
      <c r="G10721" t="s">
        <v>31369</v>
      </c>
      <c r="H10721" t="s">
        <v>15799</v>
      </c>
      <c r="I10721" t="s">
        <v>31386</v>
      </c>
      <c r="J10721" t="s">
        <v>35708</v>
      </c>
      <c r="K10721" t="s">
        <v>40783</v>
      </c>
      <c r="L10721" t="s">
        <v>2963</v>
      </c>
      <c r="M10721" t="s">
        <v>44186</v>
      </c>
      <c r="N10721" t="s">
        <v>44905</v>
      </c>
      <c r="O10721" t="s">
        <v>44906</v>
      </c>
      <c r="P10721">
        <v>0</v>
      </c>
      <c r="Q10721">
        <v>4</v>
      </c>
      <c r="R10721" t="s">
        <v>44915</v>
      </c>
      <c r="S10721" t="s">
        <v>45255</v>
      </c>
      <c r="T10721" t="s">
        <v>46809</v>
      </c>
      <c r="U10721" t="s">
        <v>55527</v>
      </c>
      <c r="W10721" t="s">
        <v>44186</v>
      </c>
      <c r="X10721" t="s">
        <v>44916</v>
      </c>
    </row>
    <row r="10722" spans="1:24">
      <c r="A10722">
        <f>HYPERLINK("https://www.philgeps.gov.ph/GEPSNONPILOT/Tender/SplashBidNoticeAbstractUI.aspx?menuIndex=3&amp;refID=7066080&amp;Result=3","7066080")</f>
        <v>0</v>
      </c>
      <c r="B10722" t="s">
        <v>993</v>
      </c>
      <c r="C10722" t="s">
        <v>13733</v>
      </c>
      <c r="D10722" t="s">
        <v>18103</v>
      </c>
      <c r="E10722" t="s">
        <v>27499</v>
      </c>
      <c r="F10722" t="s">
        <v>31362</v>
      </c>
      <c r="G10722" t="s">
        <v>31369</v>
      </c>
      <c r="H10722" t="s">
        <v>15799</v>
      </c>
      <c r="I10722" t="s">
        <v>4283</v>
      </c>
      <c r="J10722" t="s">
        <v>38059</v>
      </c>
      <c r="K10722" t="s">
        <v>40662</v>
      </c>
      <c r="M10722" t="s">
        <v>41988</v>
      </c>
      <c r="N10722" t="s">
        <v>44905</v>
      </c>
      <c r="O10722" t="s">
        <v>44906</v>
      </c>
      <c r="P10722">
        <v>0</v>
      </c>
      <c r="Q10722">
        <v>6</v>
      </c>
      <c r="R10722" t="s">
        <v>44915</v>
      </c>
      <c r="S10722" t="s">
        <v>45255</v>
      </c>
      <c r="T10722" t="s">
        <v>46636</v>
      </c>
      <c r="U10722" t="s">
        <v>55512</v>
      </c>
      <c r="W10722" t="s">
        <v>60950</v>
      </c>
      <c r="X10722" t="s">
        <v>44916</v>
      </c>
    </row>
    <row r="10723" spans="1:24">
      <c r="A10723">
        <f>HYPERLINK("https://www.philgeps.gov.ph/GEPSNONPILOT/Tender/SplashBidNoticeAbstractUI.aspx?menuIndex=3&amp;refID=7066449&amp;Result=3","7066449")</f>
        <v>0</v>
      </c>
      <c r="B10723" t="s">
        <v>2969</v>
      </c>
      <c r="C10723" t="s">
        <v>13734</v>
      </c>
      <c r="D10723" t="s">
        <v>18113</v>
      </c>
      <c r="E10723" t="s">
        <v>27500</v>
      </c>
      <c r="F10723" t="s">
        <v>31362</v>
      </c>
      <c r="G10723" t="s">
        <v>31369</v>
      </c>
      <c r="H10723" t="s">
        <v>15799</v>
      </c>
      <c r="I10723" t="s">
        <v>31413</v>
      </c>
      <c r="J10723" t="s">
        <v>33680</v>
      </c>
      <c r="K10723" t="s">
        <v>40682</v>
      </c>
      <c r="M10723" t="s">
        <v>44193</v>
      </c>
      <c r="N10723" t="s">
        <v>44905</v>
      </c>
      <c r="O10723" t="s">
        <v>44906</v>
      </c>
      <c r="Q10723">
        <v>9</v>
      </c>
      <c r="R10723" t="s">
        <v>44915</v>
      </c>
      <c r="S10723" t="s">
        <v>45297</v>
      </c>
      <c r="T10723" t="s">
        <v>46464</v>
      </c>
      <c r="U10723" t="s">
        <v>55545</v>
      </c>
      <c r="W10723" t="s">
        <v>44193</v>
      </c>
      <c r="X10723" t="s">
        <v>44916</v>
      </c>
    </row>
    <row r="10724" spans="1:24">
      <c r="A10724">
        <f>HYPERLINK("https://www.philgeps.gov.ph/GEPSNONPILOT/Tender/SplashBidNoticeAbstractUI.aspx?menuIndex=3&amp;refID=7066381&amp;Result=3","7066381")</f>
        <v>0</v>
      </c>
      <c r="B10724" t="s">
        <v>2963</v>
      </c>
      <c r="C10724" t="s">
        <v>13735</v>
      </c>
      <c r="D10724" t="s">
        <v>18116</v>
      </c>
      <c r="E10724" t="s">
        <v>27501</v>
      </c>
      <c r="F10724" t="s">
        <v>31362</v>
      </c>
      <c r="G10724" t="s">
        <v>31369</v>
      </c>
      <c r="H10724" t="s">
        <v>31378</v>
      </c>
      <c r="I10724" t="s">
        <v>31386</v>
      </c>
      <c r="J10724" t="s">
        <v>33502</v>
      </c>
      <c r="K10724" t="s">
        <v>40783</v>
      </c>
      <c r="L10724" t="s">
        <v>2963</v>
      </c>
      <c r="M10724" t="s">
        <v>44186</v>
      </c>
      <c r="N10724" t="s">
        <v>44905</v>
      </c>
      <c r="O10724" t="s">
        <v>44906</v>
      </c>
      <c r="P10724">
        <v>0</v>
      </c>
      <c r="Q10724">
        <v>4</v>
      </c>
      <c r="R10724" t="s">
        <v>44915</v>
      </c>
      <c r="S10724" t="s">
        <v>45255</v>
      </c>
      <c r="T10724" t="s">
        <v>46809</v>
      </c>
      <c r="U10724" t="s">
        <v>55527</v>
      </c>
      <c r="W10724" t="s">
        <v>44186</v>
      </c>
      <c r="X10724" t="s">
        <v>44916</v>
      </c>
    </row>
    <row r="10725" spans="1:24">
      <c r="A10725">
        <f>HYPERLINK("https://www.philgeps.gov.ph/GEPSNONPILOT/Tender/SplashBidNoticeAbstractUI.aspx?menuIndex=3&amp;refID=7066290&amp;Result=3","7066290")</f>
        <v>0</v>
      </c>
      <c r="B10725" t="s">
        <v>2892</v>
      </c>
      <c r="C10725" t="s">
        <v>13736</v>
      </c>
      <c r="D10725" t="s">
        <v>18101</v>
      </c>
      <c r="E10725" t="s">
        <v>23760</v>
      </c>
      <c r="F10725" t="s">
        <v>31362</v>
      </c>
      <c r="G10725" t="s">
        <v>31369</v>
      </c>
      <c r="H10725" t="s">
        <v>15799</v>
      </c>
      <c r="I10725" t="s">
        <v>3815</v>
      </c>
      <c r="J10725" t="s">
        <v>38060</v>
      </c>
      <c r="K10725" t="s">
        <v>40670</v>
      </c>
      <c r="L10725" t="s">
        <v>2892</v>
      </c>
      <c r="M10725" t="s">
        <v>44107</v>
      </c>
      <c r="N10725" t="s">
        <v>44905</v>
      </c>
      <c r="O10725" t="s">
        <v>44906</v>
      </c>
      <c r="P10725">
        <v>0</v>
      </c>
      <c r="Q10725">
        <v>2</v>
      </c>
      <c r="R10725" t="s">
        <v>44915</v>
      </c>
      <c r="S10725" t="s">
        <v>45255</v>
      </c>
      <c r="T10725" t="s">
        <v>46481</v>
      </c>
      <c r="U10725" t="s">
        <v>55301</v>
      </c>
      <c r="W10725" t="s">
        <v>44107</v>
      </c>
      <c r="X10725" t="s">
        <v>44916</v>
      </c>
    </row>
    <row r="10726" spans="1:24">
      <c r="A10726">
        <f>HYPERLINK("https://www.philgeps.gov.ph/GEPSNONPILOT/Tender/SplashBidNoticeAbstractUI.aspx?menuIndex=3&amp;refID=7066468&amp;Result=3","7066468")</f>
        <v>0</v>
      </c>
      <c r="B10726" t="s">
        <v>1134</v>
      </c>
      <c r="C10726" t="s">
        <v>13737</v>
      </c>
      <c r="D10726" t="s">
        <v>18134</v>
      </c>
      <c r="E10726" t="s">
        <v>27502</v>
      </c>
      <c r="F10726" t="s">
        <v>31362</v>
      </c>
      <c r="G10726" t="s">
        <v>31369</v>
      </c>
      <c r="H10726" t="s">
        <v>15799</v>
      </c>
      <c r="I10726" t="s">
        <v>31380</v>
      </c>
      <c r="J10726" t="s">
        <v>38061</v>
      </c>
      <c r="K10726" t="s">
        <v>40665</v>
      </c>
      <c r="M10726" t="s">
        <v>42483</v>
      </c>
      <c r="N10726" t="s">
        <v>44905</v>
      </c>
      <c r="O10726" t="s">
        <v>44906</v>
      </c>
      <c r="P10726">
        <v>0</v>
      </c>
      <c r="Q10726">
        <v>8</v>
      </c>
      <c r="R10726" t="s">
        <v>44915</v>
      </c>
      <c r="S10726" t="s">
        <v>45255</v>
      </c>
      <c r="T10726" t="s">
        <v>46561</v>
      </c>
      <c r="U10726" t="s">
        <v>55546</v>
      </c>
      <c r="W10726" t="s">
        <v>42483</v>
      </c>
      <c r="X10726" t="s">
        <v>44916</v>
      </c>
    </row>
    <row r="10727" spans="1:24">
      <c r="A10727">
        <f>HYPERLINK("https://www.philgeps.gov.ph/GEPSNONPILOT/Tender/SplashBidNoticeAbstractUI.aspx?menuIndex=3&amp;refID=7066015&amp;Result=3","7066015")</f>
        <v>0</v>
      </c>
      <c r="B10727" t="s">
        <v>2840</v>
      </c>
      <c r="C10727" t="s">
        <v>13738</v>
      </c>
      <c r="D10727" t="s">
        <v>18120</v>
      </c>
      <c r="E10727" t="s">
        <v>27503</v>
      </c>
      <c r="F10727" t="s">
        <v>31362</v>
      </c>
      <c r="G10727" t="s">
        <v>31369</v>
      </c>
      <c r="H10727" t="s">
        <v>15799</v>
      </c>
      <c r="I10727" t="s">
        <v>31480</v>
      </c>
      <c r="J10727" t="s">
        <v>38062</v>
      </c>
      <c r="K10727" t="s">
        <v>40670</v>
      </c>
      <c r="M10727" t="s">
        <v>44041</v>
      </c>
      <c r="N10727" t="s">
        <v>44905</v>
      </c>
      <c r="O10727" t="s">
        <v>44906</v>
      </c>
      <c r="P10727">
        <v>0</v>
      </c>
      <c r="Q10727">
        <v>0</v>
      </c>
      <c r="R10727" t="s">
        <v>44915</v>
      </c>
      <c r="S10727" t="s">
        <v>45255</v>
      </c>
      <c r="T10727" t="s">
        <v>46479</v>
      </c>
      <c r="U10727" t="s">
        <v>54946</v>
      </c>
      <c r="V10727" t="s">
        <v>60135</v>
      </c>
      <c r="W10727" t="s">
        <v>60943</v>
      </c>
      <c r="X10727" t="s">
        <v>44916</v>
      </c>
    </row>
    <row r="10728" spans="1:24">
      <c r="A10728">
        <f>HYPERLINK("https://www.philgeps.gov.ph/GEPSNONPILOT/Tender/SplashBidNoticeAbstractUI.aspx?menuIndex=3&amp;refID=7066463&amp;Result=3","7066463")</f>
        <v>0</v>
      </c>
      <c r="B10728" t="s">
        <v>2840</v>
      </c>
      <c r="C10728" t="s">
        <v>13739</v>
      </c>
      <c r="D10728" t="s">
        <v>18120</v>
      </c>
      <c r="E10728" t="s">
        <v>27504</v>
      </c>
      <c r="F10728" t="s">
        <v>31362</v>
      </c>
      <c r="G10728" t="s">
        <v>31369</v>
      </c>
      <c r="H10728" t="s">
        <v>31378</v>
      </c>
      <c r="I10728" t="s">
        <v>31386</v>
      </c>
      <c r="J10728" t="s">
        <v>38063</v>
      </c>
      <c r="K10728" t="s">
        <v>40683</v>
      </c>
      <c r="M10728" t="s">
        <v>44041</v>
      </c>
      <c r="N10728" t="s">
        <v>44905</v>
      </c>
      <c r="O10728" t="s">
        <v>44906</v>
      </c>
      <c r="P10728">
        <v>0</v>
      </c>
      <c r="Q10728">
        <v>0</v>
      </c>
      <c r="R10728" t="s">
        <v>44915</v>
      </c>
      <c r="S10728" t="s">
        <v>45255</v>
      </c>
      <c r="T10728" t="s">
        <v>46490</v>
      </c>
      <c r="U10728" t="s">
        <v>55534</v>
      </c>
      <c r="V10728" t="s">
        <v>60210</v>
      </c>
      <c r="W10728" t="s">
        <v>60943</v>
      </c>
      <c r="X10728" t="s">
        <v>44916</v>
      </c>
    </row>
    <row r="10729" spans="1:24">
      <c r="A10729">
        <f>HYPERLINK("https://www.philgeps.gov.ph/GEPSNONPILOT/Tender/SplashBidNoticeAbstractUI.aspx?menuIndex=3&amp;refID=7066259&amp;Result=3","7066259")</f>
        <v>0</v>
      </c>
      <c r="B10729" t="s">
        <v>2970</v>
      </c>
      <c r="C10729" t="s">
        <v>13740</v>
      </c>
      <c r="E10729" t="s">
        <v>18397</v>
      </c>
      <c r="F10729" t="s">
        <v>31365</v>
      </c>
      <c r="G10729" t="s">
        <v>31369</v>
      </c>
      <c r="H10729" t="s">
        <v>15799</v>
      </c>
      <c r="I10729" t="s">
        <v>3815</v>
      </c>
      <c r="J10729" t="s">
        <v>38064</v>
      </c>
      <c r="K10729" t="s">
        <v>40662</v>
      </c>
      <c r="M10729" t="s">
        <v>44194</v>
      </c>
      <c r="N10729" t="s">
        <v>44905</v>
      </c>
      <c r="O10729" t="s">
        <v>44906</v>
      </c>
      <c r="P10729">
        <v>0</v>
      </c>
      <c r="Q10729">
        <v>1</v>
      </c>
      <c r="R10729" t="s">
        <v>44915</v>
      </c>
      <c r="S10729" t="s">
        <v>45255</v>
      </c>
      <c r="T10729" t="s">
        <v>46741</v>
      </c>
      <c r="U10729" t="s">
        <v>47088</v>
      </c>
      <c r="W10729" t="s">
        <v>44194</v>
      </c>
      <c r="X10729" t="s">
        <v>44916</v>
      </c>
    </row>
    <row r="10730" spans="1:24">
      <c r="A10730">
        <f>HYPERLINK("https://www.philgeps.gov.ph/GEPSNONPILOT/Tender/SplashBidNoticeAbstractUI.aspx?menuIndex=3&amp;refID=7066462&amp;Result=3","7066462")</f>
        <v>0</v>
      </c>
      <c r="B10730" t="s">
        <v>2971</v>
      </c>
      <c r="C10730" t="s">
        <v>13741</v>
      </c>
      <c r="D10730" t="s">
        <v>18154</v>
      </c>
      <c r="E10730" t="s">
        <v>27505</v>
      </c>
      <c r="F10730" t="s">
        <v>31362</v>
      </c>
      <c r="G10730" t="s">
        <v>31369</v>
      </c>
      <c r="H10730" t="s">
        <v>15799</v>
      </c>
      <c r="I10730" t="s">
        <v>31414</v>
      </c>
      <c r="J10730" t="s">
        <v>32278</v>
      </c>
      <c r="K10730" t="s">
        <v>40662</v>
      </c>
      <c r="M10730" t="s">
        <v>44195</v>
      </c>
      <c r="N10730" t="s">
        <v>44905</v>
      </c>
      <c r="O10730" t="s">
        <v>44906</v>
      </c>
      <c r="P10730">
        <v>0</v>
      </c>
      <c r="Q10730">
        <v>2</v>
      </c>
      <c r="R10730" t="s">
        <v>44915</v>
      </c>
      <c r="S10730" t="s">
        <v>45255</v>
      </c>
      <c r="T10730" t="s">
        <v>46585</v>
      </c>
      <c r="U10730" t="s">
        <v>55547</v>
      </c>
      <c r="W10730" t="s">
        <v>44195</v>
      </c>
      <c r="X10730" t="s">
        <v>44916</v>
      </c>
    </row>
    <row r="10731" spans="1:24">
      <c r="A10731">
        <f>HYPERLINK("https://www.philgeps.gov.ph/GEPSNONPILOT/Tender/SplashBidNoticeAbstractUI.aspx?menuIndex=3&amp;refID=7066448&amp;Result=3","7066448")</f>
        <v>0</v>
      </c>
      <c r="B10731" t="s">
        <v>988</v>
      </c>
      <c r="C10731" t="s">
        <v>13742</v>
      </c>
      <c r="D10731" t="s">
        <v>18111</v>
      </c>
      <c r="E10731" t="s">
        <v>27506</v>
      </c>
      <c r="F10731" t="s">
        <v>31362</v>
      </c>
      <c r="G10731" t="s">
        <v>31369</v>
      </c>
      <c r="H10731" t="s">
        <v>15799</v>
      </c>
      <c r="I10731" t="s">
        <v>31409</v>
      </c>
      <c r="J10731" t="s">
        <v>31615</v>
      </c>
      <c r="K10731" t="s">
        <v>40666</v>
      </c>
      <c r="L10731" t="s">
        <v>988</v>
      </c>
      <c r="M10731" t="s">
        <v>41982</v>
      </c>
      <c r="N10731" t="s">
        <v>44905</v>
      </c>
      <c r="O10731" t="s">
        <v>44906</v>
      </c>
      <c r="P10731">
        <v>0</v>
      </c>
      <c r="Q10731">
        <v>5</v>
      </c>
      <c r="R10731" t="s">
        <v>44915</v>
      </c>
      <c r="S10731" t="s">
        <v>45255</v>
      </c>
      <c r="T10731" t="s">
        <v>46524</v>
      </c>
      <c r="U10731" t="s">
        <v>53247</v>
      </c>
      <c r="V10731" t="s">
        <v>60212</v>
      </c>
      <c r="W10731" t="s">
        <v>41982</v>
      </c>
      <c r="X10731" t="s">
        <v>44916</v>
      </c>
    </row>
    <row r="10732" spans="1:24">
      <c r="A10732">
        <f>HYPERLINK("https://www.philgeps.gov.ph/GEPSNONPILOT/Tender/SplashBidNoticeAbstractUI.aspx?menuIndex=3&amp;refID=7066087&amp;Result=3","7066087")</f>
        <v>0</v>
      </c>
      <c r="B10732" t="s">
        <v>2957</v>
      </c>
      <c r="C10732" t="s">
        <v>13743</v>
      </c>
      <c r="D10732" t="s">
        <v>18106</v>
      </c>
      <c r="E10732" t="s">
        <v>27507</v>
      </c>
      <c r="F10732" t="s">
        <v>31362</v>
      </c>
      <c r="G10732" t="s">
        <v>31369</v>
      </c>
      <c r="H10732" t="s">
        <v>31378</v>
      </c>
      <c r="I10732" t="s">
        <v>31386</v>
      </c>
      <c r="J10732" t="s">
        <v>33435</v>
      </c>
      <c r="K10732" t="s">
        <v>40810</v>
      </c>
      <c r="M10732" t="s">
        <v>44180</v>
      </c>
      <c r="N10732" t="s">
        <v>44905</v>
      </c>
      <c r="O10732" t="s">
        <v>44906</v>
      </c>
      <c r="P10732">
        <v>0</v>
      </c>
      <c r="Q10732">
        <v>13</v>
      </c>
      <c r="R10732" t="s">
        <v>44915</v>
      </c>
      <c r="S10732" t="s">
        <v>45255</v>
      </c>
      <c r="T10732" t="s">
        <v>46392</v>
      </c>
      <c r="U10732" t="s">
        <v>55515</v>
      </c>
      <c r="W10732" t="s">
        <v>44180</v>
      </c>
      <c r="X10732" t="s">
        <v>44916</v>
      </c>
    </row>
    <row r="10733" spans="1:24">
      <c r="A10733">
        <f>HYPERLINK("https://www.philgeps.gov.ph/GEPSNONPILOT/Tender/SplashBidNoticeAbstractUI.aspx?menuIndex=3&amp;refID=7066446&amp;Result=3","7066446")</f>
        <v>0</v>
      </c>
      <c r="B10733" t="s">
        <v>2474</v>
      </c>
      <c r="C10733" t="s">
        <v>13744</v>
      </c>
      <c r="D10733" t="s">
        <v>18107</v>
      </c>
      <c r="E10733" t="s">
        <v>27508</v>
      </c>
      <c r="F10733" t="s">
        <v>31362</v>
      </c>
      <c r="G10733" t="s">
        <v>31369</v>
      </c>
      <c r="H10733" t="s">
        <v>31378</v>
      </c>
      <c r="I10733" t="s">
        <v>31386</v>
      </c>
      <c r="J10733" t="s">
        <v>33435</v>
      </c>
      <c r="K10733" t="s">
        <v>40764</v>
      </c>
      <c r="M10733" t="s">
        <v>43637</v>
      </c>
      <c r="N10733" t="s">
        <v>44905</v>
      </c>
      <c r="O10733" t="s">
        <v>44906</v>
      </c>
      <c r="P10733">
        <v>0</v>
      </c>
      <c r="Q10733">
        <v>0</v>
      </c>
      <c r="R10733" t="s">
        <v>44915</v>
      </c>
      <c r="S10733" t="s">
        <v>45255</v>
      </c>
      <c r="T10733" t="s">
        <v>46504</v>
      </c>
      <c r="U10733" t="s">
        <v>55548</v>
      </c>
      <c r="W10733" t="s">
        <v>43637</v>
      </c>
      <c r="X10733" t="s">
        <v>44916</v>
      </c>
    </row>
    <row r="10734" spans="1:24">
      <c r="A10734">
        <f>HYPERLINK("https://www.philgeps.gov.ph/GEPSNONPILOT/Tender/SplashBidNoticeAbstractUI.aspx?menuIndex=3&amp;refID=7066421&amp;Result=3","7066421")</f>
        <v>0</v>
      </c>
      <c r="B10734" t="s">
        <v>2892</v>
      </c>
      <c r="C10734" t="s">
        <v>13745</v>
      </c>
      <c r="D10734" t="s">
        <v>18101</v>
      </c>
      <c r="E10734" t="s">
        <v>27509</v>
      </c>
      <c r="F10734" t="s">
        <v>31362</v>
      </c>
      <c r="G10734" t="s">
        <v>31369</v>
      </c>
      <c r="H10734" t="s">
        <v>15799</v>
      </c>
      <c r="I10734" t="s">
        <v>3815</v>
      </c>
      <c r="J10734" t="s">
        <v>38065</v>
      </c>
      <c r="K10734" t="s">
        <v>40670</v>
      </c>
      <c r="L10734" t="s">
        <v>2892</v>
      </c>
      <c r="M10734" t="s">
        <v>44107</v>
      </c>
      <c r="N10734" t="s">
        <v>44905</v>
      </c>
      <c r="O10734" t="s">
        <v>44906</v>
      </c>
      <c r="P10734">
        <v>0</v>
      </c>
      <c r="Q10734">
        <v>2</v>
      </c>
      <c r="R10734" t="s">
        <v>44915</v>
      </c>
      <c r="S10734" t="s">
        <v>45255</v>
      </c>
      <c r="T10734" t="s">
        <v>46481</v>
      </c>
      <c r="U10734" t="s">
        <v>55301</v>
      </c>
      <c r="W10734" t="s">
        <v>44107</v>
      </c>
      <c r="X10734" t="s">
        <v>44916</v>
      </c>
    </row>
    <row r="10735" spans="1:24">
      <c r="A10735">
        <f>HYPERLINK("https://www.philgeps.gov.ph/GEPSNONPILOT/Tender/SplashBidNoticeAbstractUI.aspx?menuIndex=3&amp;refID=7066415&amp;Result=3","7066415")</f>
        <v>0</v>
      </c>
      <c r="B10735" t="s">
        <v>2963</v>
      </c>
      <c r="C10735" t="s">
        <v>13746</v>
      </c>
      <c r="D10735" t="s">
        <v>18116</v>
      </c>
      <c r="E10735" t="s">
        <v>27510</v>
      </c>
      <c r="F10735" t="s">
        <v>31362</v>
      </c>
      <c r="G10735" t="s">
        <v>31369</v>
      </c>
      <c r="H10735" t="s">
        <v>31378</v>
      </c>
      <c r="I10735" t="s">
        <v>31386</v>
      </c>
      <c r="J10735" t="s">
        <v>37006</v>
      </c>
      <c r="K10735" t="s">
        <v>40780</v>
      </c>
      <c r="L10735" t="s">
        <v>2963</v>
      </c>
      <c r="M10735" t="s">
        <v>44186</v>
      </c>
      <c r="N10735" t="s">
        <v>44905</v>
      </c>
      <c r="O10735" t="s">
        <v>44906</v>
      </c>
      <c r="P10735">
        <v>0</v>
      </c>
      <c r="Q10735">
        <v>1</v>
      </c>
      <c r="R10735" t="s">
        <v>44915</v>
      </c>
      <c r="S10735" t="s">
        <v>45255</v>
      </c>
      <c r="T10735" t="s">
        <v>46809</v>
      </c>
      <c r="U10735" t="s">
        <v>55527</v>
      </c>
      <c r="W10735" t="s">
        <v>44186</v>
      </c>
      <c r="X10735" t="s">
        <v>44916</v>
      </c>
    </row>
    <row r="10736" spans="1:24">
      <c r="A10736">
        <f>HYPERLINK("https://www.philgeps.gov.ph/GEPSNONPILOT/Tender/SplashBidNoticeAbstractUI.aspx?menuIndex=3&amp;refID=7066412&amp;Result=3","7066412")</f>
        <v>0</v>
      </c>
      <c r="B10736" t="s">
        <v>1819</v>
      </c>
      <c r="C10736" t="s">
        <v>13747</v>
      </c>
      <c r="D10736" t="s">
        <v>18101</v>
      </c>
      <c r="E10736" t="s">
        <v>27511</v>
      </c>
      <c r="F10736" t="s">
        <v>31362</v>
      </c>
      <c r="G10736" t="s">
        <v>31369</v>
      </c>
      <c r="H10736" t="s">
        <v>31378</v>
      </c>
      <c r="I10736" t="s">
        <v>31386</v>
      </c>
      <c r="J10736" t="s">
        <v>38066</v>
      </c>
      <c r="K10736" t="s">
        <v>40694</v>
      </c>
      <c r="M10736" t="s">
        <v>42903</v>
      </c>
      <c r="N10736" t="s">
        <v>44905</v>
      </c>
      <c r="O10736" t="s">
        <v>44906</v>
      </c>
      <c r="P10736">
        <v>0</v>
      </c>
      <c r="Q10736">
        <v>1</v>
      </c>
      <c r="R10736" t="s">
        <v>44915</v>
      </c>
      <c r="S10736" t="s">
        <v>45255</v>
      </c>
      <c r="T10736" t="s">
        <v>46484</v>
      </c>
      <c r="U10736" t="s">
        <v>55549</v>
      </c>
      <c r="W10736" t="s">
        <v>42903</v>
      </c>
      <c r="X10736" t="s">
        <v>44916</v>
      </c>
    </row>
    <row r="10737" spans="1:24">
      <c r="A10737">
        <f>HYPERLINK("https://www.philgeps.gov.ph/GEPSNONPILOT/Tender/SplashBidNoticeAbstractUI.aspx?menuIndex=3&amp;refID=7066411&amp;Result=3","7066411")</f>
        <v>0</v>
      </c>
      <c r="B10737" t="s">
        <v>977</v>
      </c>
      <c r="C10737" t="s">
        <v>13748</v>
      </c>
      <c r="D10737" t="s">
        <v>18127</v>
      </c>
      <c r="E10737" t="s">
        <v>27512</v>
      </c>
      <c r="F10737" t="s">
        <v>31362</v>
      </c>
      <c r="G10737" t="s">
        <v>31369</v>
      </c>
      <c r="H10737" t="s">
        <v>15799</v>
      </c>
      <c r="I10737" t="s">
        <v>31386</v>
      </c>
      <c r="J10737" t="s">
        <v>38067</v>
      </c>
      <c r="K10737" t="s">
        <v>40662</v>
      </c>
      <c r="M10737" t="s">
        <v>41968</v>
      </c>
      <c r="N10737" t="s">
        <v>44905</v>
      </c>
      <c r="O10737" t="s">
        <v>44906</v>
      </c>
      <c r="P10737">
        <v>0</v>
      </c>
      <c r="Q10737">
        <v>4</v>
      </c>
      <c r="R10737" t="s">
        <v>44915</v>
      </c>
      <c r="S10737" t="s">
        <v>45255</v>
      </c>
      <c r="T10737" t="s">
        <v>46825</v>
      </c>
      <c r="U10737" t="s">
        <v>55550</v>
      </c>
      <c r="W10737" t="s">
        <v>41968</v>
      </c>
      <c r="X10737" t="s">
        <v>44916</v>
      </c>
    </row>
    <row r="10738" spans="1:24">
      <c r="A10738">
        <f>HYPERLINK("https://www.philgeps.gov.ph/GEPSNONPILOT/Tender/SplashBidNoticeAbstractUI.aspx?menuIndex=3&amp;refID=7066397&amp;Result=3","7066397")</f>
        <v>0</v>
      </c>
      <c r="B10738" t="s">
        <v>486</v>
      </c>
      <c r="C10738" t="s">
        <v>13749</v>
      </c>
      <c r="D10738" t="s">
        <v>18148</v>
      </c>
      <c r="E10738" t="s">
        <v>27513</v>
      </c>
      <c r="F10738" t="s">
        <v>31362</v>
      </c>
      <c r="G10738" t="s">
        <v>31369</v>
      </c>
      <c r="H10738" t="s">
        <v>31378</v>
      </c>
      <c r="I10738" t="s">
        <v>31386</v>
      </c>
      <c r="J10738" t="s">
        <v>38068</v>
      </c>
      <c r="K10738" t="s">
        <v>40682</v>
      </c>
      <c r="M10738" t="s">
        <v>41441</v>
      </c>
      <c r="N10738" t="s">
        <v>44905</v>
      </c>
      <c r="O10738" t="s">
        <v>44906</v>
      </c>
      <c r="P10738">
        <v>0</v>
      </c>
      <c r="Q10738">
        <v>1</v>
      </c>
      <c r="R10738" t="s">
        <v>44915</v>
      </c>
      <c r="S10738" t="s">
        <v>45255</v>
      </c>
      <c r="T10738" t="s">
        <v>46519</v>
      </c>
      <c r="U10738" t="s">
        <v>55523</v>
      </c>
      <c r="W10738" t="s">
        <v>41441</v>
      </c>
      <c r="X10738" t="s">
        <v>44916</v>
      </c>
    </row>
    <row r="10739" spans="1:24">
      <c r="A10739">
        <f>HYPERLINK("https://www.philgeps.gov.ph/GEPSNONPILOT/Tender/SplashBidNoticeAbstractUI.aspx?menuIndex=3&amp;refID=7066394&amp;Result=3","7066394")</f>
        <v>0</v>
      </c>
      <c r="B10739" t="s">
        <v>2963</v>
      </c>
      <c r="C10739" t="s">
        <v>13750</v>
      </c>
      <c r="D10739" t="s">
        <v>18116</v>
      </c>
      <c r="E10739" t="s">
        <v>27514</v>
      </c>
      <c r="F10739" t="s">
        <v>31362</v>
      </c>
      <c r="G10739" t="s">
        <v>31369</v>
      </c>
      <c r="H10739" t="s">
        <v>31378</v>
      </c>
      <c r="I10739" t="s">
        <v>31386</v>
      </c>
      <c r="J10739" t="s">
        <v>33502</v>
      </c>
      <c r="K10739" t="s">
        <v>40783</v>
      </c>
      <c r="L10739" t="s">
        <v>2963</v>
      </c>
      <c r="M10739" t="s">
        <v>44186</v>
      </c>
      <c r="N10739" t="s">
        <v>44905</v>
      </c>
      <c r="O10739" t="s">
        <v>44906</v>
      </c>
      <c r="P10739">
        <v>0</v>
      </c>
      <c r="Q10739">
        <v>4</v>
      </c>
      <c r="R10739" t="s">
        <v>44915</v>
      </c>
      <c r="S10739" t="s">
        <v>45255</v>
      </c>
      <c r="T10739" t="s">
        <v>46809</v>
      </c>
      <c r="U10739" t="s">
        <v>55527</v>
      </c>
      <c r="W10739" t="s">
        <v>44186</v>
      </c>
      <c r="X10739" t="s">
        <v>44916</v>
      </c>
    </row>
    <row r="10740" spans="1:24">
      <c r="A10740">
        <f>HYPERLINK("https://www.philgeps.gov.ph/GEPSNONPILOT/Tender/SplashBidNoticeAbstractUI.aspx?menuIndex=3&amp;refID=7066391&amp;Result=3","7066391")</f>
        <v>0</v>
      </c>
      <c r="B10740" t="s">
        <v>1483</v>
      </c>
      <c r="C10740" t="s">
        <v>13751</v>
      </c>
      <c r="D10740" t="s">
        <v>18131</v>
      </c>
      <c r="E10740" t="s">
        <v>27515</v>
      </c>
      <c r="F10740" t="s">
        <v>31362</v>
      </c>
      <c r="G10740" t="s">
        <v>31369</v>
      </c>
      <c r="H10740" t="s">
        <v>31378</v>
      </c>
      <c r="I10740" t="s">
        <v>31386</v>
      </c>
      <c r="J10740" t="s">
        <v>33435</v>
      </c>
      <c r="K10740" t="s">
        <v>40833</v>
      </c>
      <c r="M10740" t="s">
        <v>42520</v>
      </c>
      <c r="N10740" t="s">
        <v>44905</v>
      </c>
      <c r="O10740" t="s">
        <v>44906</v>
      </c>
      <c r="P10740">
        <v>0</v>
      </c>
      <c r="Q10740">
        <v>22</v>
      </c>
      <c r="R10740" t="s">
        <v>44915</v>
      </c>
      <c r="S10740" t="s">
        <v>45255</v>
      </c>
      <c r="T10740" t="s">
        <v>46392</v>
      </c>
      <c r="U10740" t="s">
        <v>55551</v>
      </c>
      <c r="V10740" t="s">
        <v>59468</v>
      </c>
      <c r="W10740" t="s">
        <v>42520</v>
      </c>
      <c r="X10740" t="s">
        <v>44916</v>
      </c>
    </row>
    <row r="10741" spans="1:24">
      <c r="A10741">
        <f>HYPERLINK("https://www.philgeps.gov.ph/GEPSNONPILOT/Tender/SplashBidNoticeAbstractUI.aspx?menuIndex=3&amp;refID=7066377&amp;Result=3","7066377")</f>
        <v>0</v>
      </c>
      <c r="B10741" t="s">
        <v>977</v>
      </c>
      <c r="C10741" t="s">
        <v>13752</v>
      </c>
      <c r="D10741" t="s">
        <v>18127</v>
      </c>
      <c r="E10741" t="s">
        <v>27516</v>
      </c>
      <c r="F10741" t="s">
        <v>31362</v>
      </c>
      <c r="G10741" t="s">
        <v>31369</v>
      </c>
      <c r="H10741" t="s">
        <v>15799</v>
      </c>
      <c r="I10741" t="s">
        <v>31383</v>
      </c>
      <c r="J10741" t="s">
        <v>38069</v>
      </c>
      <c r="K10741" t="s">
        <v>40662</v>
      </c>
      <c r="M10741" t="s">
        <v>41968</v>
      </c>
      <c r="N10741" t="s">
        <v>44905</v>
      </c>
      <c r="O10741" t="s">
        <v>44906</v>
      </c>
      <c r="P10741">
        <v>0</v>
      </c>
      <c r="Q10741">
        <v>6</v>
      </c>
      <c r="R10741" t="s">
        <v>44915</v>
      </c>
      <c r="S10741" t="s">
        <v>45255</v>
      </c>
      <c r="T10741" t="s">
        <v>46462</v>
      </c>
      <c r="U10741" t="s">
        <v>55552</v>
      </c>
      <c r="W10741" t="s">
        <v>41968</v>
      </c>
      <c r="X10741" t="s">
        <v>44916</v>
      </c>
    </row>
    <row r="10742" spans="1:24">
      <c r="A10742">
        <f>HYPERLINK("https://www.philgeps.gov.ph/GEPSNONPILOT/Tender/SplashBidNoticeAbstractUI.aspx?menuIndex=3&amp;refID=7066078&amp;Result=3","7066078")</f>
        <v>0</v>
      </c>
      <c r="B10742" t="s">
        <v>2950</v>
      </c>
      <c r="C10742" t="s">
        <v>13753</v>
      </c>
      <c r="D10742" t="s">
        <v>18117</v>
      </c>
      <c r="E10742" t="s">
        <v>18201</v>
      </c>
      <c r="F10742" t="s">
        <v>31362</v>
      </c>
      <c r="G10742" t="s">
        <v>31369</v>
      </c>
      <c r="H10742" t="s">
        <v>31378</v>
      </c>
      <c r="I10742" t="s">
        <v>31386</v>
      </c>
      <c r="J10742" t="s">
        <v>38070</v>
      </c>
      <c r="K10742" t="s">
        <v>40675</v>
      </c>
      <c r="M10742" t="s">
        <v>44173</v>
      </c>
      <c r="N10742" t="s">
        <v>44905</v>
      </c>
      <c r="O10742" t="s">
        <v>44906</v>
      </c>
      <c r="P10742">
        <v>0</v>
      </c>
      <c r="Q10742">
        <v>0</v>
      </c>
      <c r="R10742" t="s">
        <v>44915</v>
      </c>
      <c r="S10742" t="s">
        <v>45255</v>
      </c>
      <c r="T10742" t="s">
        <v>46396</v>
      </c>
      <c r="U10742" t="s">
        <v>55553</v>
      </c>
      <c r="W10742" t="s">
        <v>44173</v>
      </c>
      <c r="X10742" t="s">
        <v>44916</v>
      </c>
    </row>
    <row r="10743" spans="1:24">
      <c r="A10743">
        <f>HYPERLINK("https://www.philgeps.gov.ph/GEPSNONPILOT/Tender/SplashBidNoticeAbstractUI.aspx?menuIndex=3&amp;refID=7066077&amp;Result=3","7066077")</f>
        <v>0</v>
      </c>
      <c r="B10743" t="s">
        <v>2925</v>
      </c>
      <c r="C10743" t="s">
        <v>13754</v>
      </c>
      <c r="D10743" t="s">
        <v>18109</v>
      </c>
      <c r="E10743" t="s">
        <v>27517</v>
      </c>
      <c r="F10743" t="s">
        <v>31362</v>
      </c>
      <c r="G10743" t="s">
        <v>31370</v>
      </c>
      <c r="H10743" t="s">
        <v>15799</v>
      </c>
      <c r="I10743" t="s">
        <v>3815</v>
      </c>
      <c r="J10743" t="s">
        <v>38071</v>
      </c>
      <c r="K10743" t="s">
        <v>40666</v>
      </c>
      <c r="M10743" t="s">
        <v>44142</v>
      </c>
      <c r="N10743" t="s">
        <v>44905</v>
      </c>
      <c r="O10743" t="s">
        <v>44906</v>
      </c>
      <c r="P10743">
        <v>0</v>
      </c>
      <c r="Q10743">
        <v>3</v>
      </c>
      <c r="R10743" t="s">
        <v>44915</v>
      </c>
      <c r="S10743" t="s">
        <v>45255</v>
      </c>
      <c r="T10743" t="s">
        <v>46428</v>
      </c>
      <c r="U10743" t="s">
        <v>55431</v>
      </c>
      <c r="W10743" t="s">
        <v>44142</v>
      </c>
      <c r="X10743" t="s">
        <v>44916</v>
      </c>
    </row>
    <row r="10744" spans="1:24">
      <c r="A10744">
        <f>HYPERLINK("https://www.philgeps.gov.ph/GEPSNONPILOT/Tender/SplashBidNoticeAbstractUI.aspx?menuIndex=3&amp;refID=7066437&amp;Result=3","7066437")</f>
        <v>0</v>
      </c>
      <c r="B10744" t="s">
        <v>2963</v>
      </c>
      <c r="C10744" t="s">
        <v>13755</v>
      </c>
      <c r="D10744" t="s">
        <v>18116</v>
      </c>
      <c r="E10744" t="s">
        <v>27518</v>
      </c>
      <c r="F10744" t="s">
        <v>31362</v>
      </c>
      <c r="G10744" t="s">
        <v>31369</v>
      </c>
      <c r="H10744" t="s">
        <v>31378</v>
      </c>
      <c r="I10744" t="s">
        <v>31386</v>
      </c>
      <c r="J10744" t="s">
        <v>38072</v>
      </c>
      <c r="K10744" t="s">
        <v>40879</v>
      </c>
      <c r="L10744" t="s">
        <v>2963</v>
      </c>
      <c r="M10744" t="s">
        <v>44186</v>
      </c>
      <c r="N10744" t="s">
        <v>44905</v>
      </c>
      <c r="O10744" t="s">
        <v>44906</v>
      </c>
      <c r="P10744">
        <v>0</v>
      </c>
      <c r="Q10744">
        <v>0</v>
      </c>
      <c r="R10744" t="s">
        <v>44915</v>
      </c>
      <c r="S10744" t="s">
        <v>45255</v>
      </c>
      <c r="T10744" t="s">
        <v>46809</v>
      </c>
      <c r="U10744" t="s">
        <v>55527</v>
      </c>
      <c r="W10744" t="s">
        <v>44186</v>
      </c>
      <c r="X10744" t="s">
        <v>44916</v>
      </c>
    </row>
    <row r="10745" spans="1:24">
      <c r="A10745">
        <f>HYPERLINK("https://www.philgeps.gov.ph/GEPSNONPILOT/Tender/SplashBidNoticeAbstractUI.aspx?menuIndex=3&amp;refID=7066070&amp;Result=3","7066070")</f>
        <v>0</v>
      </c>
      <c r="B10745" t="s">
        <v>2957</v>
      </c>
      <c r="C10745" t="s">
        <v>13756</v>
      </c>
      <c r="D10745" t="s">
        <v>18106</v>
      </c>
      <c r="E10745" t="s">
        <v>27519</v>
      </c>
      <c r="F10745" t="s">
        <v>31362</v>
      </c>
      <c r="G10745" t="s">
        <v>31369</v>
      </c>
      <c r="H10745" t="s">
        <v>31378</v>
      </c>
      <c r="I10745" t="s">
        <v>31386</v>
      </c>
      <c r="J10745" t="s">
        <v>33435</v>
      </c>
      <c r="K10745" t="s">
        <v>40880</v>
      </c>
      <c r="M10745" t="s">
        <v>44180</v>
      </c>
      <c r="N10745" t="s">
        <v>44905</v>
      </c>
      <c r="O10745" t="s">
        <v>44906</v>
      </c>
      <c r="P10745">
        <v>0</v>
      </c>
      <c r="Q10745">
        <v>14</v>
      </c>
      <c r="R10745" t="s">
        <v>44915</v>
      </c>
      <c r="S10745" t="s">
        <v>45255</v>
      </c>
      <c r="T10745" t="s">
        <v>46392</v>
      </c>
      <c r="U10745" t="s">
        <v>55515</v>
      </c>
      <c r="W10745" t="s">
        <v>44180</v>
      </c>
      <c r="X10745" t="s">
        <v>44916</v>
      </c>
    </row>
    <row r="10746" spans="1:24">
      <c r="A10746">
        <f>HYPERLINK("https://www.philgeps.gov.ph/GEPSNONPILOT/Tender/SplashBidNoticeAbstractUI.aspx?menuIndex=3&amp;refID=7066058&amp;Result=3","7066058")</f>
        <v>0</v>
      </c>
      <c r="B10746" t="s">
        <v>1261</v>
      </c>
      <c r="C10746" t="s">
        <v>13757</v>
      </c>
      <c r="D10746" t="s">
        <v>18113</v>
      </c>
      <c r="E10746" t="s">
        <v>13757</v>
      </c>
      <c r="F10746" t="s">
        <v>31362</v>
      </c>
      <c r="G10746" t="s">
        <v>31369</v>
      </c>
      <c r="H10746" t="s">
        <v>15799</v>
      </c>
      <c r="I10746" t="s">
        <v>31456</v>
      </c>
      <c r="J10746" t="s">
        <v>37008</v>
      </c>
      <c r="K10746" t="s">
        <v>40665</v>
      </c>
      <c r="M10746" t="s">
        <v>42277</v>
      </c>
      <c r="N10746" t="s">
        <v>44905</v>
      </c>
      <c r="O10746" t="s">
        <v>44906</v>
      </c>
      <c r="P10746">
        <v>0</v>
      </c>
      <c r="Q10746">
        <v>4</v>
      </c>
      <c r="R10746" t="s">
        <v>44915</v>
      </c>
      <c r="S10746" t="s">
        <v>45255</v>
      </c>
      <c r="T10746" t="s">
        <v>46479</v>
      </c>
      <c r="U10746" t="s">
        <v>55554</v>
      </c>
      <c r="W10746" t="s">
        <v>42277</v>
      </c>
      <c r="X10746" t="s">
        <v>44916</v>
      </c>
    </row>
    <row r="10747" spans="1:24">
      <c r="A10747">
        <f>HYPERLINK("https://www.philgeps.gov.ph/GEPSNONPILOT/Tender/SplashBidNoticeAbstractUI.aspx?menuIndex=3&amp;refID=7066465&amp;Result=3","7066465")</f>
        <v>0</v>
      </c>
      <c r="B10747" t="s">
        <v>2963</v>
      </c>
      <c r="C10747" t="s">
        <v>13758</v>
      </c>
      <c r="D10747" t="s">
        <v>18116</v>
      </c>
      <c r="E10747" t="s">
        <v>27520</v>
      </c>
      <c r="F10747" t="s">
        <v>31362</v>
      </c>
      <c r="G10747" t="s">
        <v>31369</v>
      </c>
      <c r="H10747" t="s">
        <v>31378</v>
      </c>
      <c r="I10747" t="s">
        <v>31386</v>
      </c>
      <c r="J10747" t="s">
        <v>38072</v>
      </c>
      <c r="K10747" t="s">
        <v>40754</v>
      </c>
      <c r="L10747" t="s">
        <v>2963</v>
      </c>
      <c r="M10747" t="s">
        <v>44186</v>
      </c>
      <c r="N10747" t="s">
        <v>44905</v>
      </c>
      <c r="O10747" t="s">
        <v>44906</v>
      </c>
      <c r="P10747">
        <v>0</v>
      </c>
      <c r="Q10747">
        <v>0</v>
      </c>
      <c r="R10747" t="s">
        <v>44915</v>
      </c>
      <c r="S10747" t="s">
        <v>45255</v>
      </c>
      <c r="T10747" t="s">
        <v>46809</v>
      </c>
      <c r="U10747" t="s">
        <v>55527</v>
      </c>
      <c r="W10747" t="s">
        <v>44186</v>
      </c>
      <c r="X10747" t="s">
        <v>44916</v>
      </c>
    </row>
    <row r="10748" spans="1:24">
      <c r="A10748">
        <f>HYPERLINK("https://www.philgeps.gov.ph/GEPSNONPILOT/Tender/SplashBidNoticeAbstractUI.aspx?menuIndex=3&amp;refID=7066054&amp;Result=3","7066054")</f>
        <v>0</v>
      </c>
      <c r="B10748" t="s">
        <v>1331</v>
      </c>
      <c r="C10748" t="s">
        <v>13759</v>
      </c>
      <c r="D10748" t="s">
        <v>18138</v>
      </c>
      <c r="E10748" t="s">
        <v>27521</v>
      </c>
      <c r="F10748" t="s">
        <v>31362</v>
      </c>
      <c r="G10748" t="s">
        <v>31369</v>
      </c>
      <c r="H10748" t="s">
        <v>31378</v>
      </c>
      <c r="I10748" t="s">
        <v>31386</v>
      </c>
      <c r="J10748" t="s">
        <v>38073</v>
      </c>
      <c r="K10748" t="s">
        <v>40807</v>
      </c>
      <c r="M10748" t="s">
        <v>42349</v>
      </c>
      <c r="N10748" t="s">
        <v>44905</v>
      </c>
      <c r="O10748" t="s">
        <v>44906</v>
      </c>
      <c r="P10748">
        <v>0</v>
      </c>
      <c r="Q10748">
        <v>2</v>
      </c>
      <c r="R10748" t="s">
        <v>44915</v>
      </c>
      <c r="S10748" t="s">
        <v>45255</v>
      </c>
      <c r="T10748" t="s">
        <v>46528</v>
      </c>
      <c r="U10748" t="s">
        <v>55536</v>
      </c>
      <c r="W10748" t="s">
        <v>42349</v>
      </c>
      <c r="X10748" t="s">
        <v>44916</v>
      </c>
    </row>
    <row r="10749" spans="1:24">
      <c r="A10749">
        <f>HYPERLINK("https://www.philgeps.gov.ph/GEPSNONPILOT/Tender/SplashBidNoticeAbstractUI.aspx?menuIndex=3&amp;refID=7065948&amp;Result=3","7065948")</f>
        <v>0</v>
      </c>
      <c r="B10749" t="s">
        <v>1067</v>
      </c>
      <c r="C10749" t="s">
        <v>13760</v>
      </c>
      <c r="D10749" t="s">
        <v>18116</v>
      </c>
      <c r="E10749" t="s">
        <v>27522</v>
      </c>
      <c r="F10749" t="s">
        <v>31362</v>
      </c>
      <c r="G10749" t="s">
        <v>31369</v>
      </c>
      <c r="H10749" t="s">
        <v>31378</v>
      </c>
      <c r="I10749" t="s">
        <v>31386</v>
      </c>
      <c r="J10749" t="s">
        <v>38074</v>
      </c>
      <c r="K10749" t="s">
        <v>40679</v>
      </c>
      <c r="M10749" t="s">
        <v>42069</v>
      </c>
      <c r="N10749" t="s">
        <v>44905</v>
      </c>
      <c r="O10749" t="s">
        <v>44906</v>
      </c>
      <c r="P10749">
        <v>0</v>
      </c>
      <c r="Q10749">
        <v>0</v>
      </c>
      <c r="R10749" t="s">
        <v>44915</v>
      </c>
      <c r="S10749" t="s">
        <v>45255</v>
      </c>
      <c r="T10749" t="s">
        <v>46638</v>
      </c>
      <c r="U10749" t="s">
        <v>55555</v>
      </c>
      <c r="W10749" t="s">
        <v>42069</v>
      </c>
      <c r="X10749" t="s">
        <v>44916</v>
      </c>
    </row>
    <row r="10750" spans="1:24">
      <c r="A10750">
        <f>HYPERLINK("https://www.philgeps.gov.ph/GEPSNONPILOT/Tender/SplashBidNoticeAbstractUI.aspx?menuIndex=3&amp;refID=7066393&amp;Result=3","7066393")</f>
        <v>0</v>
      </c>
      <c r="B10750" t="s">
        <v>2972</v>
      </c>
      <c r="C10750" t="s">
        <v>13761</v>
      </c>
      <c r="E10750" t="s">
        <v>20328</v>
      </c>
      <c r="F10750" t="s">
        <v>31362</v>
      </c>
      <c r="G10750" t="s">
        <v>31369</v>
      </c>
      <c r="H10750" t="s">
        <v>15799</v>
      </c>
      <c r="I10750" t="s">
        <v>31457</v>
      </c>
      <c r="J10750" t="s">
        <v>38075</v>
      </c>
      <c r="K10750" t="s">
        <v>40662</v>
      </c>
      <c r="M10750" t="s">
        <v>44196</v>
      </c>
      <c r="N10750" t="s">
        <v>44905</v>
      </c>
      <c r="O10750" t="s">
        <v>44906</v>
      </c>
      <c r="Q10750">
        <v>4</v>
      </c>
      <c r="R10750" t="s">
        <v>44915</v>
      </c>
      <c r="S10750" t="s">
        <v>45298</v>
      </c>
      <c r="T10750" t="s">
        <v>46826</v>
      </c>
      <c r="U10750" t="s">
        <v>55556</v>
      </c>
      <c r="W10750" t="s">
        <v>44196</v>
      </c>
      <c r="X10750" t="s">
        <v>44916</v>
      </c>
    </row>
    <row r="10751" spans="1:24">
      <c r="A10751">
        <f>HYPERLINK("https://www.philgeps.gov.ph/GEPSNONPILOT/Tender/SplashBidNoticeAbstractUI.aspx?menuIndex=3&amp;refID=7066541&amp;Result=3","7066541")</f>
        <v>0</v>
      </c>
      <c r="B10751" t="s">
        <v>2474</v>
      </c>
      <c r="C10751" t="s">
        <v>13762</v>
      </c>
      <c r="D10751" t="s">
        <v>18107</v>
      </c>
      <c r="E10751" t="s">
        <v>27523</v>
      </c>
      <c r="F10751" t="s">
        <v>31362</v>
      </c>
      <c r="G10751" t="s">
        <v>31369</v>
      </c>
      <c r="H10751" t="s">
        <v>31378</v>
      </c>
      <c r="I10751" t="s">
        <v>31386</v>
      </c>
      <c r="J10751" t="s">
        <v>33435</v>
      </c>
      <c r="K10751" t="s">
        <v>40764</v>
      </c>
      <c r="M10751" t="s">
        <v>43637</v>
      </c>
      <c r="N10751" t="s">
        <v>44905</v>
      </c>
      <c r="O10751" t="s">
        <v>44906</v>
      </c>
      <c r="P10751">
        <v>0</v>
      </c>
      <c r="Q10751">
        <v>0</v>
      </c>
      <c r="R10751" t="s">
        <v>44915</v>
      </c>
      <c r="S10751" t="s">
        <v>45255</v>
      </c>
      <c r="T10751" t="s">
        <v>46504</v>
      </c>
      <c r="U10751" t="s">
        <v>55557</v>
      </c>
      <c r="W10751" t="s">
        <v>43637</v>
      </c>
      <c r="X10751" t="s">
        <v>44916</v>
      </c>
    </row>
    <row r="10752" spans="1:24">
      <c r="A10752">
        <f>HYPERLINK("https://www.philgeps.gov.ph/GEPSNONPILOT/Tender/SplashBidNoticeAbstractUI.aspx?menuIndex=3&amp;refID=7066482&amp;Result=3","7066482")</f>
        <v>0</v>
      </c>
      <c r="B10752" t="s">
        <v>2931</v>
      </c>
      <c r="C10752" t="s">
        <v>13763</v>
      </c>
      <c r="D10752" t="s">
        <v>18100</v>
      </c>
      <c r="E10752" t="s">
        <v>27524</v>
      </c>
      <c r="F10752" t="s">
        <v>31362</v>
      </c>
      <c r="G10752" t="s">
        <v>31369</v>
      </c>
      <c r="H10752" t="s">
        <v>15799</v>
      </c>
      <c r="I10752" t="s">
        <v>7188</v>
      </c>
      <c r="J10752" t="s">
        <v>38076</v>
      </c>
      <c r="K10752" t="s">
        <v>40693</v>
      </c>
      <c r="M10752" t="s">
        <v>44149</v>
      </c>
      <c r="N10752" t="s">
        <v>44905</v>
      </c>
      <c r="O10752" t="s">
        <v>44906</v>
      </c>
      <c r="P10752">
        <v>0</v>
      </c>
      <c r="Q10752">
        <v>1</v>
      </c>
      <c r="R10752" t="s">
        <v>44915</v>
      </c>
      <c r="S10752" t="s">
        <v>45255</v>
      </c>
      <c r="T10752" t="s">
        <v>46820</v>
      </c>
      <c r="U10752" t="s">
        <v>55558</v>
      </c>
      <c r="W10752" t="s">
        <v>44149</v>
      </c>
      <c r="X10752" t="s">
        <v>44916</v>
      </c>
    </row>
    <row r="10753" spans="1:24">
      <c r="A10753">
        <f>HYPERLINK("https://www.philgeps.gov.ph/GEPSNONPILOT/Tender/SplashBidNoticeAbstractUI.aspx?menuIndex=3&amp;refID=7066534&amp;Result=3","7066534")</f>
        <v>0</v>
      </c>
      <c r="B10753" t="s">
        <v>1508</v>
      </c>
      <c r="C10753" t="s">
        <v>13764</v>
      </c>
      <c r="D10753" t="s">
        <v>18153</v>
      </c>
      <c r="E10753" t="s">
        <v>27525</v>
      </c>
      <c r="F10753" t="s">
        <v>31362</v>
      </c>
      <c r="G10753" t="s">
        <v>31369</v>
      </c>
      <c r="H10753" t="s">
        <v>31378</v>
      </c>
      <c r="I10753" t="s">
        <v>31386</v>
      </c>
      <c r="J10753" t="s">
        <v>38077</v>
      </c>
      <c r="K10753" t="s">
        <v>40679</v>
      </c>
      <c r="M10753" t="s">
        <v>42548</v>
      </c>
      <c r="N10753" t="s">
        <v>44905</v>
      </c>
      <c r="O10753" t="s">
        <v>44906</v>
      </c>
      <c r="P10753">
        <v>0</v>
      </c>
      <c r="Q10753">
        <v>1</v>
      </c>
      <c r="R10753" t="s">
        <v>44915</v>
      </c>
      <c r="S10753" t="s">
        <v>45255</v>
      </c>
      <c r="T10753" t="s">
        <v>46392</v>
      </c>
      <c r="U10753" t="s">
        <v>50491</v>
      </c>
      <c r="V10753" t="s">
        <v>60213</v>
      </c>
      <c r="W10753" t="s">
        <v>42548</v>
      </c>
      <c r="X10753" t="s">
        <v>44916</v>
      </c>
    </row>
    <row r="10754" spans="1:24">
      <c r="A10754">
        <f>HYPERLINK("https://www.philgeps.gov.ph/GEPSNONPILOT/Tender/SplashBidNoticeAbstractUI.aspx?menuIndex=3&amp;refID=7066531&amp;Result=3","7066531")</f>
        <v>0</v>
      </c>
      <c r="B10754" t="s">
        <v>2963</v>
      </c>
      <c r="C10754" t="s">
        <v>13765</v>
      </c>
      <c r="D10754" t="s">
        <v>18116</v>
      </c>
      <c r="E10754" t="s">
        <v>27526</v>
      </c>
      <c r="F10754" t="s">
        <v>31362</v>
      </c>
      <c r="G10754" t="s">
        <v>31369</v>
      </c>
      <c r="H10754" t="s">
        <v>31378</v>
      </c>
      <c r="I10754" t="s">
        <v>31386</v>
      </c>
      <c r="J10754" t="s">
        <v>32673</v>
      </c>
      <c r="K10754" t="s">
        <v>40679</v>
      </c>
      <c r="L10754" t="s">
        <v>2963</v>
      </c>
      <c r="M10754" t="s">
        <v>44186</v>
      </c>
      <c r="N10754" t="s">
        <v>44905</v>
      </c>
      <c r="O10754" t="s">
        <v>44906</v>
      </c>
      <c r="P10754">
        <v>0</v>
      </c>
      <c r="Q10754">
        <v>0</v>
      </c>
      <c r="R10754" t="s">
        <v>44915</v>
      </c>
      <c r="S10754" t="s">
        <v>45255</v>
      </c>
      <c r="T10754" t="s">
        <v>46809</v>
      </c>
      <c r="U10754" t="s">
        <v>55527</v>
      </c>
      <c r="W10754" t="s">
        <v>44186</v>
      </c>
      <c r="X10754" t="s">
        <v>44916</v>
      </c>
    </row>
    <row r="10755" spans="1:24">
      <c r="A10755">
        <f>HYPERLINK("https://www.philgeps.gov.ph/GEPSNONPILOT/Tender/SplashBidNoticeAbstractUI.aspx?menuIndex=3&amp;refID=7066529&amp;Result=3","7066529")</f>
        <v>0</v>
      </c>
      <c r="B10755" t="s">
        <v>2973</v>
      </c>
      <c r="C10755" t="s">
        <v>13766</v>
      </c>
      <c r="D10755" t="s">
        <v>18155</v>
      </c>
      <c r="E10755" t="s">
        <v>27527</v>
      </c>
      <c r="F10755" t="s">
        <v>31362</v>
      </c>
      <c r="G10755" t="s">
        <v>31369</v>
      </c>
      <c r="H10755" t="s">
        <v>15799</v>
      </c>
      <c r="I10755" t="s">
        <v>31422</v>
      </c>
      <c r="J10755" t="s">
        <v>38078</v>
      </c>
      <c r="K10755" t="s">
        <v>40666</v>
      </c>
      <c r="M10755" t="s">
        <v>44197</v>
      </c>
      <c r="N10755" t="s">
        <v>44905</v>
      </c>
      <c r="O10755" t="s">
        <v>44906</v>
      </c>
      <c r="P10755">
        <v>0</v>
      </c>
      <c r="Q10755">
        <v>1</v>
      </c>
      <c r="R10755" t="s">
        <v>44915</v>
      </c>
      <c r="S10755" t="s">
        <v>45255</v>
      </c>
      <c r="T10755" t="s">
        <v>46612</v>
      </c>
      <c r="U10755" t="s">
        <v>55559</v>
      </c>
      <c r="V10755" t="s">
        <v>60214</v>
      </c>
      <c r="W10755" t="s">
        <v>44197</v>
      </c>
      <c r="X10755" t="s">
        <v>44916</v>
      </c>
    </row>
    <row r="10756" spans="1:24">
      <c r="A10756">
        <f>HYPERLINK("https://www.philgeps.gov.ph/GEPSNONPILOT/Tender/SplashBidNoticeAbstractUI.aspx?menuIndex=3&amp;refID=7065575&amp;Result=3","7065575")</f>
        <v>0</v>
      </c>
      <c r="B10756" t="s">
        <v>2948</v>
      </c>
      <c r="C10756" t="s">
        <v>13767</v>
      </c>
      <c r="D10756" t="s">
        <v>18101</v>
      </c>
      <c r="E10756" t="s">
        <v>20687</v>
      </c>
      <c r="F10756" t="s">
        <v>31362</v>
      </c>
      <c r="G10756" t="s">
        <v>31369</v>
      </c>
      <c r="H10756" t="s">
        <v>31378</v>
      </c>
      <c r="I10756" t="s">
        <v>31386</v>
      </c>
      <c r="J10756" t="s">
        <v>34854</v>
      </c>
      <c r="K10756" t="s">
        <v>40682</v>
      </c>
      <c r="M10756" t="s">
        <v>44170</v>
      </c>
      <c r="N10756" t="s">
        <v>44905</v>
      </c>
      <c r="O10756" t="s">
        <v>44906</v>
      </c>
      <c r="P10756">
        <v>0</v>
      </c>
      <c r="Q10756">
        <v>1</v>
      </c>
      <c r="R10756" t="s">
        <v>44915</v>
      </c>
      <c r="S10756" t="s">
        <v>45255</v>
      </c>
      <c r="T10756" t="s">
        <v>46481</v>
      </c>
      <c r="U10756" t="s">
        <v>55493</v>
      </c>
      <c r="W10756" t="s">
        <v>44170</v>
      </c>
      <c r="X10756" t="s">
        <v>44916</v>
      </c>
    </row>
    <row r="10757" spans="1:24">
      <c r="A10757">
        <f>HYPERLINK("https://www.philgeps.gov.ph/GEPSNONPILOT/Tender/SplashBidNoticeAbstractUI.aspx?menuIndex=3&amp;refID=7066521&amp;Result=3","7066521")</f>
        <v>0</v>
      </c>
      <c r="B10757" t="s">
        <v>1180</v>
      </c>
      <c r="C10757" t="s">
        <v>13768</v>
      </c>
      <c r="D10757" t="s">
        <v>18109</v>
      </c>
      <c r="E10757" t="s">
        <v>27528</v>
      </c>
      <c r="F10757" t="s">
        <v>31362</v>
      </c>
      <c r="G10757" t="s">
        <v>31369</v>
      </c>
      <c r="H10757" t="s">
        <v>31377</v>
      </c>
      <c r="I10757" t="s">
        <v>31412</v>
      </c>
      <c r="J10757" t="s">
        <v>38079</v>
      </c>
      <c r="K10757" t="s">
        <v>40662</v>
      </c>
      <c r="M10757" t="s">
        <v>42192</v>
      </c>
      <c r="N10757" t="s">
        <v>44905</v>
      </c>
      <c r="O10757" t="s">
        <v>44906</v>
      </c>
      <c r="P10757">
        <v>0</v>
      </c>
      <c r="Q10757">
        <v>7</v>
      </c>
      <c r="R10757" t="s">
        <v>44915</v>
      </c>
      <c r="S10757" t="s">
        <v>45255</v>
      </c>
      <c r="T10757" t="s">
        <v>46464</v>
      </c>
      <c r="U10757" t="s">
        <v>55560</v>
      </c>
      <c r="W10757" t="s">
        <v>42192</v>
      </c>
      <c r="X10757" t="s">
        <v>44916</v>
      </c>
    </row>
    <row r="10758" spans="1:24">
      <c r="A10758">
        <f>HYPERLINK("https://www.philgeps.gov.ph/GEPSNONPILOT/Tender/SplashBidNoticeAbstractUI.aspx?menuIndex=3&amp;refID=7066535&amp;Result=3","7066535")</f>
        <v>0</v>
      </c>
      <c r="B10758" t="s">
        <v>672</v>
      </c>
      <c r="C10758" t="s">
        <v>13769</v>
      </c>
      <c r="D10758" t="s">
        <v>18103</v>
      </c>
      <c r="E10758" t="s">
        <v>27529</v>
      </c>
      <c r="F10758" t="s">
        <v>31362</v>
      </c>
      <c r="G10758" t="s">
        <v>31369</v>
      </c>
      <c r="H10758" t="s">
        <v>31378</v>
      </c>
      <c r="I10758" t="s">
        <v>31386</v>
      </c>
      <c r="J10758" t="s">
        <v>31625</v>
      </c>
      <c r="K10758" t="s">
        <v>40675</v>
      </c>
      <c r="M10758" t="s">
        <v>41634</v>
      </c>
      <c r="N10758" t="s">
        <v>44905</v>
      </c>
      <c r="O10758" t="s">
        <v>44906</v>
      </c>
      <c r="P10758">
        <v>0</v>
      </c>
      <c r="Q10758">
        <v>4</v>
      </c>
      <c r="R10758" t="s">
        <v>44915</v>
      </c>
      <c r="S10758" t="s">
        <v>45255</v>
      </c>
      <c r="T10758" t="s">
        <v>46479</v>
      </c>
      <c r="U10758" t="s">
        <v>55561</v>
      </c>
      <c r="W10758" t="s">
        <v>60863</v>
      </c>
      <c r="X10758" t="s">
        <v>44916</v>
      </c>
    </row>
    <row r="10759" spans="1:24">
      <c r="A10759">
        <f>HYPERLINK("https://www.philgeps.gov.ph/GEPSNONPILOT/Tender/SplashBidNoticeAbstractUI.aspx?menuIndex=3&amp;refID=7066242&amp;Result=3","7066242")</f>
        <v>0</v>
      </c>
      <c r="B10759" t="s">
        <v>493</v>
      </c>
      <c r="C10759" t="s">
        <v>13770</v>
      </c>
      <c r="D10759" t="s">
        <v>18152</v>
      </c>
      <c r="E10759" t="s">
        <v>18479</v>
      </c>
      <c r="F10759" t="s">
        <v>31362</v>
      </c>
      <c r="G10759" t="s">
        <v>31369</v>
      </c>
      <c r="H10759" t="s">
        <v>15799</v>
      </c>
      <c r="I10759" t="s">
        <v>31409</v>
      </c>
      <c r="J10759" t="s">
        <v>35080</v>
      </c>
      <c r="K10759" t="s">
        <v>40670</v>
      </c>
      <c r="M10759" t="s">
        <v>41448</v>
      </c>
      <c r="N10759" t="s">
        <v>44905</v>
      </c>
      <c r="O10759" t="s">
        <v>44906</v>
      </c>
      <c r="P10759">
        <v>0</v>
      </c>
      <c r="Q10759">
        <v>3</v>
      </c>
      <c r="R10759" t="s">
        <v>44915</v>
      </c>
      <c r="S10759" t="s">
        <v>45255</v>
      </c>
      <c r="T10759" t="s">
        <v>46542</v>
      </c>
      <c r="U10759" t="s">
        <v>55562</v>
      </c>
      <c r="W10759" t="s">
        <v>41448</v>
      </c>
      <c r="X10759" t="s">
        <v>44916</v>
      </c>
    </row>
    <row r="10760" spans="1:24">
      <c r="A10760">
        <f>HYPERLINK("https://www.philgeps.gov.ph/GEPSNONPILOT/Tender/SplashBidNoticeAbstractUI.aspx?menuIndex=3&amp;refID=7066519&amp;Result=3","7066519")</f>
        <v>0</v>
      </c>
      <c r="B10760" t="s">
        <v>2931</v>
      </c>
      <c r="C10760" t="s">
        <v>13771</v>
      </c>
      <c r="D10760" t="s">
        <v>18100</v>
      </c>
      <c r="E10760" t="s">
        <v>27530</v>
      </c>
      <c r="F10760" t="s">
        <v>31362</v>
      </c>
      <c r="G10760" t="s">
        <v>31369</v>
      </c>
      <c r="H10760" t="s">
        <v>15799</v>
      </c>
      <c r="I10760" t="s">
        <v>6373</v>
      </c>
      <c r="J10760" t="s">
        <v>38080</v>
      </c>
      <c r="K10760" t="s">
        <v>40693</v>
      </c>
      <c r="M10760" t="s">
        <v>44149</v>
      </c>
      <c r="N10760" t="s">
        <v>44905</v>
      </c>
      <c r="O10760" t="s">
        <v>44906</v>
      </c>
      <c r="P10760">
        <v>0</v>
      </c>
      <c r="Q10760">
        <v>2</v>
      </c>
      <c r="R10760" t="s">
        <v>44915</v>
      </c>
      <c r="S10760" t="s">
        <v>45255</v>
      </c>
      <c r="T10760" t="s">
        <v>46821</v>
      </c>
      <c r="U10760" t="s">
        <v>55558</v>
      </c>
      <c r="W10760" t="s">
        <v>44149</v>
      </c>
      <c r="X10760" t="s">
        <v>44916</v>
      </c>
    </row>
    <row r="10761" spans="1:24">
      <c r="A10761">
        <f>HYPERLINK("https://www.philgeps.gov.ph/GEPSNONPILOT/Tender/SplashBidNoticeAbstractUI.aspx?menuIndex=3&amp;refID=7066532&amp;Result=3","7066532")</f>
        <v>0</v>
      </c>
      <c r="B10761" t="s">
        <v>2974</v>
      </c>
      <c r="C10761" t="s">
        <v>13772</v>
      </c>
      <c r="D10761" t="s">
        <v>18149</v>
      </c>
      <c r="E10761" t="s">
        <v>24643</v>
      </c>
      <c r="F10761" t="s">
        <v>31362</v>
      </c>
      <c r="G10761" t="s">
        <v>31369</v>
      </c>
      <c r="H10761" t="s">
        <v>15799</v>
      </c>
      <c r="I10761" t="s">
        <v>31397</v>
      </c>
      <c r="J10761" t="s">
        <v>38081</v>
      </c>
      <c r="K10761" t="s">
        <v>40665</v>
      </c>
      <c r="M10761" t="s">
        <v>44198</v>
      </c>
      <c r="N10761" t="s">
        <v>44905</v>
      </c>
      <c r="O10761" t="s">
        <v>44906</v>
      </c>
      <c r="P10761">
        <v>0</v>
      </c>
      <c r="Q10761">
        <v>3</v>
      </c>
      <c r="R10761" t="s">
        <v>44915</v>
      </c>
      <c r="S10761" t="s">
        <v>45255</v>
      </c>
      <c r="T10761" t="s">
        <v>46612</v>
      </c>
      <c r="U10761" t="s">
        <v>55563</v>
      </c>
      <c r="W10761" t="s">
        <v>44198</v>
      </c>
      <c r="X10761" t="s">
        <v>44916</v>
      </c>
    </row>
    <row r="10762" spans="1:24">
      <c r="A10762">
        <f>HYPERLINK("https://www.philgeps.gov.ph/GEPSNONPILOT/Tender/SplashBidNoticeAbstractUI.aspx?menuIndex=3&amp;refID=7066515&amp;Result=3","7066515")</f>
        <v>0</v>
      </c>
      <c r="B10762" t="s">
        <v>2975</v>
      </c>
      <c r="C10762" t="s">
        <v>13773</v>
      </c>
      <c r="D10762" t="s">
        <v>18148</v>
      </c>
      <c r="E10762" t="s">
        <v>27531</v>
      </c>
      <c r="F10762" t="s">
        <v>31362</v>
      </c>
      <c r="G10762" t="s">
        <v>31369</v>
      </c>
      <c r="H10762" t="s">
        <v>31378</v>
      </c>
      <c r="I10762" t="s">
        <v>3815</v>
      </c>
      <c r="J10762" t="s">
        <v>38082</v>
      </c>
      <c r="K10762" t="s">
        <v>40686</v>
      </c>
      <c r="M10762" t="s">
        <v>44199</v>
      </c>
      <c r="N10762" t="s">
        <v>44905</v>
      </c>
      <c r="O10762" t="s">
        <v>44906</v>
      </c>
      <c r="P10762">
        <v>0</v>
      </c>
      <c r="Q10762">
        <v>1</v>
      </c>
      <c r="R10762" t="s">
        <v>44915</v>
      </c>
      <c r="S10762" t="s">
        <v>45255</v>
      </c>
      <c r="T10762" t="s">
        <v>46431</v>
      </c>
      <c r="U10762" t="s">
        <v>55564</v>
      </c>
      <c r="W10762" t="s">
        <v>44199</v>
      </c>
      <c r="X10762" t="s">
        <v>44916</v>
      </c>
    </row>
    <row r="10763" spans="1:24">
      <c r="A10763">
        <f>HYPERLINK("https://www.philgeps.gov.ph/GEPSNONPILOT/Tender/SplashBidNoticeAbstractUI.aspx?menuIndex=3&amp;refID=7065961&amp;Result=3","7065961")</f>
        <v>0</v>
      </c>
      <c r="B10763" t="s">
        <v>2840</v>
      </c>
      <c r="C10763" t="s">
        <v>13774</v>
      </c>
      <c r="D10763" t="s">
        <v>18120</v>
      </c>
      <c r="E10763" t="s">
        <v>27532</v>
      </c>
      <c r="F10763" t="s">
        <v>31362</v>
      </c>
      <c r="G10763" t="s">
        <v>31369</v>
      </c>
      <c r="H10763" t="s">
        <v>15799</v>
      </c>
      <c r="I10763" t="s">
        <v>31384</v>
      </c>
      <c r="J10763" t="s">
        <v>38083</v>
      </c>
      <c r="K10763" t="s">
        <v>40670</v>
      </c>
      <c r="M10763" t="s">
        <v>44041</v>
      </c>
      <c r="N10763" t="s">
        <v>44905</v>
      </c>
      <c r="O10763" t="s">
        <v>44906</v>
      </c>
      <c r="P10763">
        <v>0</v>
      </c>
      <c r="Q10763">
        <v>7</v>
      </c>
      <c r="R10763" t="s">
        <v>44915</v>
      </c>
      <c r="S10763" t="s">
        <v>45255</v>
      </c>
      <c r="T10763" t="s">
        <v>46479</v>
      </c>
      <c r="U10763" t="s">
        <v>54946</v>
      </c>
      <c r="V10763" t="s">
        <v>60135</v>
      </c>
      <c r="W10763" t="s">
        <v>60943</v>
      </c>
      <c r="X10763" t="s">
        <v>44916</v>
      </c>
    </row>
    <row r="10764" spans="1:24">
      <c r="A10764">
        <f>HYPERLINK("https://www.philgeps.gov.ph/GEPSNONPILOT/Tender/SplashBidNoticeAbstractUI.aspx?menuIndex=3&amp;refID=7066615&amp;Result=3","7066615")</f>
        <v>0</v>
      </c>
      <c r="B10764" t="s">
        <v>2474</v>
      </c>
      <c r="C10764" t="s">
        <v>13775</v>
      </c>
      <c r="D10764" t="s">
        <v>18107</v>
      </c>
      <c r="E10764" t="s">
        <v>27533</v>
      </c>
      <c r="F10764" t="s">
        <v>31362</v>
      </c>
      <c r="G10764" t="s">
        <v>31369</v>
      </c>
      <c r="H10764" t="s">
        <v>31378</v>
      </c>
      <c r="I10764" t="s">
        <v>31386</v>
      </c>
      <c r="J10764" t="s">
        <v>33435</v>
      </c>
      <c r="K10764" t="s">
        <v>40764</v>
      </c>
      <c r="M10764" t="s">
        <v>43637</v>
      </c>
      <c r="N10764" t="s">
        <v>44905</v>
      </c>
      <c r="O10764" t="s">
        <v>44906</v>
      </c>
      <c r="P10764">
        <v>0</v>
      </c>
      <c r="Q10764">
        <v>0</v>
      </c>
      <c r="R10764" t="s">
        <v>44915</v>
      </c>
      <c r="S10764" t="s">
        <v>45255</v>
      </c>
      <c r="T10764" t="s">
        <v>46504</v>
      </c>
      <c r="U10764" t="s">
        <v>55565</v>
      </c>
      <c r="W10764" t="s">
        <v>43637</v>
      </c>
      <c r="X10764" t="s">
        <v>44916</v>
      </c>
    </row>
    <row r="10765" spans="1:24">
      <c r="A10765">
        <f>HYPERLINK("https://www.philgeps.gov.ph/GEPSNONPILOT/Tender/SplashBidNoticeAbstractUI.aspx?menuIndex=3&amp;refID=7066512&amp;Result=3","7066512")</f>
        <v>0</v>
      </c>
      <c r="B10765" t="s">
        <v>2838</v>
      </c>
      <c r="C10765" t="s">
        <v>13776</v>
      </c>
      <c r="D10765" t="s">
        <v>18100</v>
      </c>
      <c r="E10765" t="s">
        <v>27534</v>
      </c>
      <c r="F10765" t="s">
        <v>31362</v>
      </c>
      <c r="G10765" t="s">
        <v>31369</v>
      </c>
      <c r="H10765" t="s">
        <v>15799</v>
      </c>
      <c r="I10765" t="s">
        <v>31414</v>
      </c>
      <c r="J10765" t="s">
        <v>38084</v>
      </c>
      <c r="K10765" t="s">
        <v>40682</v>
      </c>
      <c r="M10765" t="s">
        <v>44039</v>
      </c>
      <c r="N10765" t="s">
        <v>44905</v>
      </c>
      <c r="O10765" t="s">
        <v>44906</v>
      </c>
      <c r="P10765">
        <v>0</v>
      </c>
      <c r="Q10765">
        <v>0</v>
      </c>
      <c r="R10765" t="s">
        <v>44915</v>
      </c>
      <c r="S10765" t="s">
        <v>45255</v>
      </c>
      <c r="T10765" t="s">
        <v>46414</v>
      </c>
      <c r="U10765" t="s">
        <v>55566</v>
      </c>
      <c r="V10765" t="s">
        <v>60134</v>
      </c>
      <c r="W10765" t="s">
        <v>44039</v>
      </c>
      <c r="X10765" t="s">
        <v>44916</v>
      </c>
    </row>
    <row r="10766" spans="1:24">
      <c r="A10766">
        <f>HYPERLINK("https://www.philgeps.gov.ph/GEPSNONPILOT/Tender/SplashBidNoticeAbstractUI.aspx?menuIndex=3&amp;refID=7066523&amp;Result=3","7066523")</f>
        <v>0</v>
      </c>
      <c r="B10766" t="s">
        <v>2971</v>
      </c>
      <c r="C10766" t="s">
        <v>13777</v>
      </c>
      <c r="D10766" t="s">
        <v>18154</v>
      </c>
      <c r="E10766" t="s">
        <v>27535</v>
      </c>
      <c r="F10766" t="s">
        <v>31362</v>
      </c>
      <c r="G10766" t="s">
        <v>31369</v>
      </c>
      <c r="H10766" t="s">
        <v>15799</v>
      </c>
      <c r="I10766" t="s">
        <v>31414</v>
      </c>
      <c r="J10766" t="s">
        <v>38085</v>
      </c>
      <c r="K10766" t="s">
        <v>40662</v>
      </c>
      <c r="M10766" t="s">
        <v>44195</v>
      </c>
      <c r="N10766" t="s">
        <v>44905</v>
      </c>
      <c r="O10766" t="s">
        <v>44906</v>
      </c>
      <c r="P10766">
        <v>0</v>
      </c>
      <c r="Q10766">
        <v>2</v>
      </c>
      <c r="R10766" t="s">
        <v>44915</v>
      </c>
      <c r="S10766" t="s">
        <v>45255</v>
      </c>
      <c r="T10766" t="s">
        <v>46560</v>
      </c>
      <c r="U10766" t="s">
        <v>55567</v>
      </c>
      <c r="W10766" t="s">
        <v>44195</v>
      </c>
      <c r="X10766" t="s">
        <v>44916</v>
      </c>
    </row>
    <row r="10767" spans="1:24">
      <c r="A10767">
        <f>HYPERLINK("https://www.philgeps.gov.ph/GEPSNONPILOT/Tender/SplashBidNoticeAbstractUI.aspx?menuIndex=3&amp;refID=7066599&amp;Result=3","7066599")</f>
        <v>0</v>
      </c>
      <c r="B10767" t="s">
        <v>672</v>
      </c>
      <c r="C10767" t="s">
        <v>13778</v>
      </c>
      <c r="D10767" t="s">
        <v>18103</v>
      </c>
      <c r="E10767" t="s">
        <v>27536</v>
      </c>
      <c r="F10767" t="s">
        <v>31362</v>
      </c>
      <c r="G10767" t="s">
        <v>31369</v>
      </c>
      <c r="H10767" t="s">
        <v>31378</v>
      </c>
      <c r="I10767" t="s">
        <v>31386</v>
      </c>
      <c r="J10767" t="s">
        <v>36377</v>
      </c>
      <c r="K10767" t="s">
        <v>40682</v>
      </c>
      <c r="M10767" t="s">
        <v>41634</v>
      </c>
      <c r="N10767" t="s">
        <v>44905</v>
      </c>
      <c r="O10767" t="s">
        <v>44906</v>
      </c>
      <c r="P10767">
        <v>0</v>
      </c>
      <c r="Q10767">
        <v>4</v>
      </c>
      <c r="R10767" t="s">
        <v>44915</v>
      </c>
      <c r="S10767" t="s">
        <v>45255</v>
      </c>
      <c r="T10767" t="s">
        <v>46479</v>
      </c>
      <c r="U10767" t="s">
        <v>55561</v>
      </c>
      <c r="W10767" t="s">
        <v>60863</v>
      </c>
      <c r="X10767" t="s">
        <v>44916</v>
      </c>
    </row>
    <row r="10768" spans="1:24">
      <c r="A10768">
        <f>HYPERLINK("https://www.philgeps.gov.ph/GEPSNONPILOT/Tender/SplashBidNoticeAbstractUI.aspx?menuIndex=3&amp;refID=7066460&amp;Result=3","7066460")</f>
        <v>0</v>
      </c>
      <c r="B10768" t="s">
        <v>2494</v>
      </c>
      <c r="C10768" t="s">
        <v>13779</v>
      </c>
      <c r="D10768" t="s">
        <v>18117</v>
      </c>
      <c r="E10768" t="s">
        <v>27537</v>
      </c>
      <c r="F10768" t="s">
        <v>31362</v>
      </c>
      <c r="G10768" t="s">
        <v>31369</v>
      </c>
      <c r="H10768" t="s">
        <v>15799</v>
      </c>
      <c r="I10768" t="s">
        <v>7719</v>
      </c>
      <c r="J10768" t="s">
        <v>38086</v>
      </c>
      <c r="K10768" t="s">
        <v>40665</v>
      </c>
      <c r="M10768" t="s">
        <v>44192</v>
      </c>
      <c r="N10768" t="s">
        <v>44905</v>
      </c>
      <c r="O10768" t="s">
        <v>44906</v>
      </c>
      <c r="P10768">
        <v>0</v>
      </c>
      <c r="Q10768">
        <v>9</v>
      </c>
      <c r="R10768" t="s">
        <v>44915</v>
      </c>
      <c r="S10768" t="s">
        <v>45255</v>
      </c>
      <c r="T10768" t="s">
        <v>46625</v>
      </c>
      <c r="U10768" t="s">
        <v>55568</v>
      </c>
      <c r="V10768" t="s">
        <v>60215</v>
      </c>
      <c r="W10768" t="s">
        <v>44192</v>
      </c>
      <c r="X10768" t="s">
        <v>44916</v>
      </c>
    </row>
    <row r="10769" spans="1:24">
      <c r="A10769">
        <f>HYPERLINK("https://www.philgeps.gov.ph/GEPSNONPILOT/Tender/SplashBidNoticeAbstractUI.aspx?menuIndex=3&amp;refID=7066587&amp;Result=3","7066587")</f>
        <v>0</v>
      </c>
      <c r="B10769" t="s">
        <v>122</v>
      </c>
      <c r="C10769" t="s">
        <v>13780</v>
      </c>
      <c r="D10769" t="s">
        <v>18145</v>
      </c>
      <c r="E10769" t="s">
        <v>27538</v>
      </c>
      <c r="F10769" t="s">
        <v>31362</v>
      </c>
      <c r="G10769" t="s">
        <v>31369</v>
      </c>
      <c r="H10769" t="s">
        <v>15799</v>
      </c>
      <c r="I10769" t="s">
        <v>31426</v>
      </c>
      <c r="J10769" t="s">
        <v>38087</v>
      </c>
      <c r="K10769" t="s">
        <v>40679</v>
      </c>
      <c r="M10769" t="s">
        <v>41059</v>
      </c>
      <c r="N10769" t="s">
        <v>44905</v>
      </c>
      <c r="O10769" t="s">
        <v>44906</v>
      </c>
      <c r="Q10769">
        <v>9</v>
      </c>
      <c r="R10769" t="s">
        <v>44915</v>
      </c>
      <c r="S10769" t="s">
        <v>45299</v>
      </c>
      <c r="T10769" t="s">
        <v>46542</v>
      </c>
      <c r="U10769" t="s">
        <v>55569</v>
      </c>
      <c r="V10769" t="s">
        <v>59880</v>
      </c>
      <c r="W10769" t="s">
        <v>41059</v>
      </c>
      <c r="X10769" t="s">
        <v>44916</v>
      </c>
    </row>
    <row r="10770" spans="1:24">
      <c r="A10770">
        <f>HYPERLINK("https://www.philgeps.gov.ph/GEPSNONPILOT/Tender/SplashBidNoticeAbstractUI.aspx?menuIndex=3&amp;refID=7066508&amp;Result=3","7066508")</f>
        <v>0</v>
      </c>
      <c r="B10770" t="s">
        <v>1919</v>
      </c>
      <c r="C10770" t="s">
        <v>13781</v>
      </c>
      <c r="D10770" t="s">
        <v>18125</v>
      </c>
      <c r="E10770" t="s">
        <v>25912</v>
      </c>
      <c r="F10770" t="s">
        <v>31362</v>
      </c>
      <c r="G10770" t="s">
        <v>31369</v>
      </c>
      <c r="H10770" t="s">
        <v>15799</v>
      </c>
      <c r="I10770" t="s">
        <v>4057</v>
      </c>
      <c r="J10770" t="s">
        <v>38088</v>
      </c>
      <c r="K10770" t="s">
        <v>40666</v>
      </c>
      <c r="M10770" t="s">
        <v>43016</v>
      </c>
      <c r="N10770" t="s">
        <v>44905</v>
      </c>
      <c r="O10770" t="s">
        <v>44906</v>
      </c>
      <c r="P10770">
        <v>0</v>
      </c>
      <c r="Q10770">
        <v>1</v>
      </c>
      <c r="R10770" t="s">
        <v>44915</v>
      </c>
      <c r="S10770" t="s">
        <v>45255</v>
      </c>
      <c r="T10770" t="s">
        <v>46411</v>
      </c>
      <c r="U10770" t="s">
        <v>55570</v>
      </c>
      <c r="W10770" t="s">
        <v>43016</v>
      </c>
      <c r="X10770" t="s">
        <v>44916</v>
      </c>
    </row>
    <row r="10771" spans="1:24">
      <c r="A10771">
        <f>HYPERLINK("https://www.philgeps.gov.ph/GEPSNONPILOT/Tender/SplashBidNoticeAbstractUI.aspx?menuIndex=3&amp;refID=7066585&amp;Result=3","7066585")</f>
        <v>0</v>
      </c>
      <c r="B10771" t="s">
        <v>2963</v>
      </c>
      <c r="C10771" t="s">
        <v>13782</v>
      </c>
      <c r="D10771" t="s">
        <v>18116</v>
      </c>
      <c r="E10771" t="s">
        <v>27539</v>
      </c>
      <c r="F10771" t="s">
        <v>31362</v>
      </c>
      <c r="G10771" t="s">
        <v>31369</v>
      </c>
      <c r="H10771" t="s">
        <v>31378</v>
      </c>
      <c r="I10771" t="s">
        <v>31386</v>
      </c>
      <c r="J10771" t="s">
        <v>38089</v>
      </c>
      <c r="K10771" t="s">
        <v>40696</v>
      </c>
      <c r="L10771" t="s">
        <v>2963</v>
      </c>
      <c r="M10771" t="s">
        <v>44186</v>
      </c>
      <c r="N10771" t="s">
        <v>44905</v>
      </c>
      <c r="O10771" t="s">
        <v>44906</v>
      </c>
      <c r="P10771">
        <v>0</v>
      </c>
      <c r="Q10771">
        <v>1</v>
      </c>
      <c r="R10771" t="s">
        <v>44915</v>
      </c>
      <c r="S10771" t="s">
        <v>45255</v>
      </c>
      <c r="T10771" t="s">
        <v>46809</v>
      </c>
      <c r="U10771" t="s">
        <v>55527</v>
      </c>
      <c r="W10771" t="s">
        <v>44186</v>
      </c>
      <c r="X10771" t="s">
        <v>44916</v>
      </c>
    </row>
    <row r="10772" spans="1:24">
      <c r="A10772">
        <f>HYPERLINK("https://www.philgeps.gov.ph/GEPSNONPILOT/Tender/SplashBidNoticeAbstractUI.aspx?menuIndex=3&amp;refID=7066581&amp;Result=3","7066581")</f>
        <v>0</v>
      </c>
      <c r="B10772" t="s">
        <v>2976</v>
      </c>
      <c r="C10772" t="s">
        <v>13783</v>
      </c>
      <c r="D10772" t="s">
        <v>18110</v>
      </c>
      <c r="E10772" t="s">
        <v>27540</v>
      </c>
      <c r="F10772" t="s">
        <v>31362</v>
      </c>
      <c r="G10772" t="s">
        <v>31369</v>
      </c>
      <c r="H10772" t="s">
        <v>31378</v>
      </c>
      <c r="I10772" t="s">
        <v>31386</v>
      </c>
      <c r="J10772" t="s">
        <v>33482</v>
      </c>
      <c r="K10772" t="s">
        <v>40725</v>
      </c>
      <c r="M10772" t="s">
        <v>44200</v>
      </c>
      <c r="N10772" t="s">
        <v>44905</v>
      </c>
      <c r="O10772" t="s">
        <v>44906</v>
      </c>
      <c r="P10772">
        <v>0</v>
      </c>
      <c r="Q10772">
        <v>9</v>
      </c>
      <c r="R10772" t="s">
        <v>44915</v>
      </c>
      <c r="S10772" t="s">
        <v>45255</v>
      </c>
      <c r="T10772" t="s">
        <v>46471</v>
      </c>
      <c r="U10772" t="s">
        <v>55571</v>
      </c>
      <c r="W10772" t="s">
        <v>44200</v>
      </c>
      <c r="X10772" t="s">
        <v>44916</v>
      </c>
    </row>
    <row r="10773" spans="1:24">
      <c r="A10773">
        <f>HYPERLINK("https://www.philgeps.gov.ph/GEPSNONPILOT/Tender/SplashBidNoticeAbstractUI.aspx?menuIndex=3&amp;refID=7066614&amp;Result=3","7066614")</f>
        <v>0</v>
      </c>
      <c r="B10773" t="s">
        <v>672</v>
      </c>
      <c r="C10773" t="s">
        <v>13784</v>
      </c>
      <c r="D10773" t="s">
        <v>18103</v>
      </c>
      <c r="E10773" t="s">
        <v>27541</v>
      </c>
      <c r="F10773" t="s">
        <v>31362</v>
      </c>
      <c r="G10773" t="s">
        <v>31369</v>
      </c>
      <c r="H10773" t="s">
        <v>31378</v>
      </c>
      <c r="I10773" t="s">
        <v>31386</v>
      </c>
      <c r="J10773" t="s">
        <v>36377</v>
      </c>
      <c r="K10773" t="s">
        <v>40675</v>
      </c>
      <c r="M10773" t="s">
        <v>41634</v>
      </c>
      <c r="N10773" t="s">
        <v>44905</v>
      </c>
      <c r="O10773" t="s">
        <v>44906</v>
      </c>
      <c r="P10773">
        <v>0</v>
      </c>
      <c r="Q10773">
        <v>4</v>
      </c>
      <c r="R10773" t="s">
        <v>44915</v>
      </c>
      <c r="S10773" t="s">
        <v>45255</v>
      </c>
      <c r="T10773" t="s">
        <v>46479</v>
      </c>
      <c r="U10773" t="s">
        <v>55561</v>
      </c>
      <c r="W10773" t="s">
        <v>60863</v>
      </c>
      <c r="X10773" t="s">
        <v>44916</v>
      </c>
    </row>
    <row r="10774" spans="1:24">
      <c r="A10774">
        <f>HYPERLINK("https://www.philgeps.gov.ph/GEPSNONPILOT/Tender/SplashBidNoticeAbstractUI.aspx?menuIndex=3&amp;refID=7066573&amp;Result=3","7066573")</f>
        <v>0</v>
      </c>
      <c r="B10774" t="s">
        <v>2931</v>
      </c>
      <c r="C10774" t="s">
        <v>13785</v>
      </c>
      <c r="D10774" t="s">
        <v>18100</v>
      </c>
      <c r="E10774" t="s">
        <v>27542</v>
      </c>
      <c r="F10774" t="s">
        <v>31362</v>
      </c>
      <c r="G10774" t="s">
        <v>31369</v>
      </c>
      <c r="H10774" t="s">
        <v>15799</v>
      </c>
      <c r="I10774" t="s">
        <v>31421</v>
      </c>
      <c r="J10774" t="s">
        <v>31768</v>
      </c>
      <c r="K10774" t="s">
        <v>40693</v>
      </c>
      <c r="M10774" t="s">
        <v>44149</v>
      </c>
      <c r="N10774" t="s">
        <v>44905</v>
      </c>
      <c r="O10774" t="s">
        <v>44906</v>
      </c>
      <c r="P10774">
        <v>0</v>
      </c>
      <c r="Q10774">
        <v>0</v>
      </c>
      <c r="R10774" t="s">
        <v>44915</v>
      </c>
      <c r="S10774" t="s">
        <v>45255</v>
      </c>
      <c r="T10774" t="s">
        <v>46821</v>
      </c>
      <c r="U10774" t="s">
        <v>55558</v>
      </c>
      <c r="W10774" t="s">
        <v>44149</v>
      </c>
      <c r="X10774" t="s">
        <v>44916</v>
      </c>
    </row>
    <row r="10775" spans="1:24">
      <c r="A10775">
        <f>HYPERLINK("https://www.philgeps.gov.ph/GEPSNONPILOT/Tender/SplashBidNoticeAbstractUI.aspx?menuIndex=3&amp;refID=7066597&amp;Result=3","7066597")</f>
        <v>0</v>
      </c>
      <c r="B10775" t="s">
        <v>2975</v>
      </c>
      <c r="C10775" t="s">
        <v>13786</v>
      </c>
      <c r="D10775" t="s">
        <v>18148</v>
      </c>
      <c r="E10775" t="s">
        <v>27543</v>
      </c>
      <c r="F10775" t="s">
        <v>31362</v>
      </c>
      <c r="G10775" t="s">
        <v>31369</v>
      </c>
      <c r="H10775" t="s">
        <v>31378</v>
      </c>
      <c r="I10775" t="s">
        <v>3815</v>
      </c>
      <c r="J10775" t="s">
        <v>38090</v>
      </c>
      <c r="K10775" t="s">
        <v>40677</v>
      </c>
      <c r="M10775" t="s">
        <v>44199</v>
      </c>
      <c r="N10775" t="s">
        <v>44905</v>
      </c>
      <c r="O10775" t="s">
        <v>44906</v>
      </c>
      <c r="P10775">
        <v>0</v>
      </c>
      <c r="Q10775">
        <v>1</v>
      </c>
      <c r="R10775" t="s">
        <v>44915</v>
      </c>
      <c r="S10775" t="s">
        <v>45255</v>
      </c>
      <c r="T10775" t="s">
        <v>46431</v>
      </c>
      <c r="U10775" t="s">
        <v>55572</v>
      </c>
      <c r="W10775" t="s">
        <v>44199</v>
      </c>
      <c r="X10775" t="s">
        <v>44916</v>
      </c>
    </row>
    <row r="10776" spans="1:24">
      <c r="A10776">
        <f>HYPERLINK("https://www.philgeps.gov.ph/GEPSNONPILOT/Tender/SplashBidNoticeAbstractUI.aspx?menuIndex=3&amp;refID=7066516&amp;Result=3","7066516")</f>
        <v>0</v>
      </c>
      <c r="B10776" t="s">
        <v>2963</v>
      </c>
      <c r="C10776" t="s">
        <v>13787</v>
      </c>
      <c r="D10776" t="s">
        <v>18116</v>
      </c>
      <c r="E10776" t="s">
        <v>27544</v>
      </c>
      <c r="F10776" t="s">
        <v>31362</v>
      </c>
      <c r="G10776" t="s">
        <v>31369</v>
      </c>
      <c r="H10776" t="s">
        <v>31378</v>
      </c>
      <c r="I10776" t="s">
        <v>31386</v>
      </c>
      <c r="J10776" t="s">
        <v>38072</v>
      </c>
      <c r="K10776" t="s">
        <v>40777</v>
      </c>
      <c r="L10776" t="s">
        <v>2963</v>
      </c>
      <c r="M10776" t="s">
        <v>44186</v>
      </c>
      <c r="N10776" t="s">
        <v>44905</v>
      </c>
      <c r="O10776" t="s">
        <v>44906</v>
      </c>
      <c r="P10776">
        <v>0</v>
      </c>
      <c r="Q10776">
        <v>0</v>
      </c>
      <c r="R10776" t="s">
        <v>44915</v>
      </c>
      <c r="S10776" t="s">
        <v>45255</v>
      </c>
      <c r="T10776" t="s">
        <v>46809</v>
      </c>
      <c r="U10776" t="s">
        <v>55527</v>
      </c>
      <c r="W10776" t="s">
        <v>44186</v>
      </c>
      <c r="X10776" t="s">
        <v>44916</v>
      </c>
    </row>
    <row r="10777" spans="1:24">
      <c r="A10777">
        <f>HYPERLINK("https://www.philgeps.gov.ph/GEPSNONPILOT/Tender/SplashBidNoticeAbstractUI.aspx?menuIndex=3&amp;refID=7066558&amp;Result=3","7066558")</f>
        <v>0</v>
      </c>
      <c r="B10777" t="s">
        <v>2977</v>
      </c>
      <c r="C10777" t="s">
        <v>13788</v>
      </c>
      <c r="D10777" t="s">
        <v>18133</v>
      </c>
      <c r="E10777" t="s">
        <v>23686</v>
      </c>
      <c r="F10777" t="s">
        <v>31362</v>
      </c>
      <c r="G10777" t="s">
        <v>31369</v>
      </c>
      <c r="H10777" t="s">
        <v>31378</v>
      </c>
      <c r="I10777" t="s">
        <v>31386</v>
      </c>
      <c r="J10777" t="s">
        <v>38091</v>
      </c>
      <c r="K10777" t="s">
        <v>40830</v>
      </c>
      <c r="M10777" t="s">
        <v>44201</v>
      </c>
      <c r="N10777" t="s">
        <v>44905</v>
      </c>
      <c r="O10777" t="s">
        <v>44906</v>
      </c>
      <c r="P10777">
        <v>0</v>
      </c>
      <c r="Q10777">
        <v>0</v>
      </c>
      <c r="R10777" t="s">
        <v>44915</v>
      </c>
      <c r="S10777" t="s">
        <v>45255</v>
      </c>
      <c r="T10777" t="s">
        <v>46809</v>
      </c>
      <c r="U10777" t="s">
        <v>55573</v>
      </c>
      <c r="W10777" t="s">
        <v>44201</v>
      </c>
      <c r="X10777" t="s">
        <v>44916</v>
      </c>
    </row>
    <row r="10778" spans="1:24">
      <c r="A10778">
        <f>HYPERLINK("https://www.philgeps.gov.ph/GEPSNONPILOT/Tender/SplashBidNoticeAbstractUI.aspx?menuIndex=3&amp;refID=7066594&amp;Result=3","7066594")</f>
        <v>0</v>
      </c>
      <c r="B10778" t="s">
        <v>255</v>
      </c>
      <c r="C10778" t="s">
        <v>13789</v>
      </c>
      <c r="E10778" t="s">
        <v>27545</v>
      </c>
      <c r="F10778" t="s">
        <v>31362</v>
      </c>
      <c r="G10778" t="s">
        <v>31368</v>
      </c>
      <c r="H10778" t="s">
        <v>15799</v>
      </c>
      <c r="I10778" t="s">
        <v>31385</v>
      </c>
      <c r="J10778" t="s">
        <v>38092</v>
      </c>
      <c r="K10778" t="s">
        <v>40662</v>
      </c>
      <c r="M10778" t="s">
        <v>43340</v>
      </c>
      <c r="N10778" t="s">
        <v>44905</v>
      </c>
      <c r="O10778" t="s">
        <v>44906</v>
      </c>
      <c r="P10778">
        <v>0</v>
      </c>
      <c r="Q10778">
        <v>3</v>
      </c>
      <c r="R10778" t="s">
        <v>44915</v>
      </c>
      <c r="S10778" t="s">
        <v>45255</v>
      </c>
      <c r="T10778" t="s">
        <v>46428</v>
      </c>
      <c r="U10778" t="s">
        <v>52824</v>
      </c>
      <c r="W10778" t="s">
        <v>43340</v>
      </c>
      <c r="X10778" t="s">
        <v>44916</v>
      </c>
    </row>
    <row r="10779" spans="1:24">
      <c r="A10779">
        <f>HYPERLINK("https://www.philgeps.gov.ph/GEPSNONPILOT/Tender/SplashBidNoticeAbstractUI.aspx?menuIndex=3&amp;refID=7066557&amp;Result=3","7066557")</f>
        <v>0</v>
      </c>
      <c r="B10779" t="s">
        <v>1075</v>
      </c>
      <c r="C10779" t="s">
        <v>13790</v>
      </c>
      <c r="D10779" t="s">
        <v>18101</v>
      </c>
      <c r="E10779" t="s">
        <v>27546</v>
      </c>
      <c r="F10779" t="s">
        <v>31362</v>
      </c>
      <c r="G10779" t="s">
        <v>31369</v>
      </c>
      <c r="H10779" t="s">
        <v>15799</v>
      </c>
      <c r="I10779" t="s">
        <v>7188</v>
      </c>
      <c r="J10779" t="s">
        <v>31604</v>
      </c>
      <c r="K10779" t="s">
        <v>40666</v>
      </c>
      <c r="M10779" t="s">
        <v>42077</v>
      </c>
      <c r="N10779" t="s">
        <v>44905</v>
      </c>
      <c r="O10779" t="s">
        <v>44906</v>
      </c>
      <c r="P10779">
        <v>0</v>
      </c>
      <c r="Q10779">
        <v>2</v>
      </c>
      <c r="R10779" t="s">
        <v>44915</v>
      </c>
      <c r="S10779" t="s">
        <v>45255</v>
      </c>
      <c r="T10779" t="s">
        <v>46411</v>
      </c>
      <c r="U10779" t="s">
        <v>55574</v>
      </c>
      <c r="W10779" t="s">
        <v>42077</v>
      </c>
      <c r="X10779" t="s">
        <v>44916</v>
      </c>
    </row>
    <row r="10780" spans="1:24">
      <c r="A10780">
        <f>HYPERLINK("https://www.philgeps.gov.ph/GEPSNONPILOT/Tender/SplashBidNoticeAbstractUI.aspx?menuIndex=3&amp;refID=7066582&amp;Result=3","7066582")</f>
        <v>0</v>
      </c>
      <c r="B10780" t="s">
        <v>672</v>
      </c>
      <c r="C10780" t="s">
        <v>13791</v>
      </c>
      <c r="D10780" t="s">
        <v>18103</v>
      </c>
      <c r="E10780" t="s">
        <v>27547</v>
      </c>
      <c r="F10780" t="s">
        <v>31362</v>
      </c>
      <c r="G10780" t="s">
        <v>31369</v>
      </c>
      <c r="H10780" t="s">
        <v>31378</v>
      </c>
      <c r="I10780" t="s">
        <v>31386</v>
      </c>
      <c r="J10780" t="s">
        <v>36377</v>
      </c>
      <c r="K10780" t="s">
        <v>40679</v>
      </c>
      <c r="M10780" t="s">
        <v>41634</v>
      </c>
      <c r="N10780" t="s">
        <v>44905</v>
      </c>
      <c r="O10780" t="s">
        <v>44906</v>
      </c>
      <c r="P10780">
        <v>0</v>
      </c>
      <c r="Q10780">
        <v>4</v>
      </c>
      <c r="R10780" t="s">
        <v>44915</v>
      </c>
      <c r="S10780" t="s">
        <v>45255</v>
      </c>
      <c r="T10780" t="s">
        <v>46479</v>
      </c>
      <c r="U10780" t="s">
        <v>55561</v>
      </c>
      <c r="W10780" t="s">
        <v>60863</v>
      </c>
      <c r="X10780" t="s">
        <v>44916</v>
      </c>
    </row>
    <row r="10781" spans="1:24">
      <c r="A10781">
        <f>HYPERLINK("https://www.philgeps.gov.ph/GEPSNONPILOT/Tender/SplashBidNoticeAbstractUI.aspx?menuIndex=3&amp;refID=7066700&amp;Result=3","7066700")</f>
        <v>0</v>
      </c>
      <c r="B10781" t="s">
        <v>2864</v>
      </c>
      <c r="C10781" t="s">
        <v>13792</v>
      </c>
      <c r="D10781" t="s">
        <v>18135</v>
      </c>
      <c r="E10781" t="s">
        <v>27548</v>
      </c>
      <c r="F10781" t="s">
        <v>31362</v>
      </c>
      <c r="G10781" t="s">
        <v>31369</v>
      </c>
      <c r="H10781" t="s">
        <v>15799</v>
      </c>
      <c r="I10781" t="s">
        <v>3815</v>
      </c>
      <c r="J10781" t="s">
        <v>38093</v>
      </c>
      <c r="K10781" t="s">
        <v>40665</v>
      </c>
      <c r="M10781" t="s">
        <v>44068</v>
      </c>
      <c r="N10781" t="s">
        <v>44905</v>
      </c>
      <c r="O10781" t="s">
        <v>44906</v>
      </c>
      <c r="P10781">
        <v>0</v>
      </c>
      <c r="Q10781">
        <v>2</v>
      </c>
      <c r="R10781" t="s">
        <v>44915</v>
      </c>
      <c r="S10781" t="s">
        <v>45255</v>
      </c>
      <c r="T10781" t="s">
        <v>46490</v>
      </c>
      <c r="U10781" t="s">
        <v>55575</v>
      </c>
      <c r="W10781" t="s">
        <v>44068</v>
      </c>
      <c r="X10781" t="s">
        <v>44916</v>
      </c>
    </row>
    <row r="10782" spans="1:24">
      <c r="A10782">
        <f>HYPERLINK("https://www.philgeps.gov.ph/GEPSNONPILOT/Tender/SplashBidNoticeAbstractUI.aspx?menuIndex=3&amp;refID=7066689&amp;Result=3","7066689")</f>
        <v>0</v>
      </c>
      <c r="B10782" t="s">
        <v>1033</v>
      </c>
      <c r="C10782" t="s">
        <v>12768</v>
      </c>
      <c r="D10782" t="s">
        <v>18162</v>
      </c>
      <c r="E10782" t="s">
        <v>26626</v>
      </c>
      <c r="F10782" t="s">
        <v>31362</v>
      </c>
      <c r="G10782" t="s">
        <v>31369</v>
      </c>
      <c r="H10782" t="s">
        <v>15799</v>
      </c>
      <c r="I10782" t="s">
        <v>3815</v>
      </c>
      <c r="J10782" t="s">
        <v>37434</v>
      </c>
      <c r="K10782" t="s">
        <v>40670</v>
      </c>
      <c r="M10782" t="s">
        <v>42032</v>
      </c>
      <c r="N10782" t="s">
        <v>44905</v>
      </c>
      <c r="O10782" t="s">
        <v>44906</v>
      </c>
      <c r="P10782">
        <v>0</v>
      </c>
      <c r="Q10782">
        <v>2</v>
      </c>
      <c r="R10782" t="s">
        <v>44915</v>
      </c>
      <c r="S10782" t="s">
        <v>45255</v>
      </c>
      <c r="T10782" t="s">
        <v>46509</v>
      </c>
      <c r="U10782" t="s">
        <v>54746</v>
      </c>
      <c r="W10782" t="s">
        <v>42032</v>
      </c>
      <c r="X10782" t="s">
        <v>44916</v>
      </c>
    </row>
    <row r="10783" spans="1:24">
      <c r="A10783">
        <f>HYPERLINK("https://www.philgeps.gov.ph/GEPSNONPILOT/Tender/SplashBidNoticeAbstractUI.aspx?menuIndex=3&amp;refID=7066688&amp;Result=3","7066688")</f>
        <v>0</v>
      </c>
      <c r="B10783" t="s">
        <v>828</v>
      </c>
      <c r="C10783" t="s">
        <v>13793</v>
      </c>
      <c r="D10783" t="s">
        <v>18148</v>
      </c>
      <c r="E10783" t="s">
        <v>23385</v>
      </c>
      <c r="F10783" t="s">
        <v>31362</v>
      </c>
      <c r="G10783" t="s">
        <v>31369</v>
      </c>
      <c r="H10783" t="s">
        <v>15799</v>
      </c>
      <c r="I10783" t="s">
        <v>7188</v>
      </c>
      <c r="J10783" t="s">
        <v>31872</v>
      </c>
      <c r="K10783" t="s">
        <v>40662</v>
      </c>
      <c r="M10783" t="s">
        <v>41802</v>
      </c>
      <c r="N10783" t="s">
        <v>44905</v>
      </c>
      <c r="O10783" t="s">
        <v>44906</v>
      </c>
      <c r="P10783">
        <v>0</v>
      </c>
      <c r="Q10783">
        <v>2</v>
      </c>
      <c r="R10783" t="s">
        <v>44915</v>
      </c>
      <c r="S10783" t="s">
        <v>45255</v>
      </c>
      <c r="T10783" t="s">
        <v>46438</v>
      </c>
      <c r="U10783" t="s">
        <v>55576</v>
      </c>
      <c r="W10783" t="s">
        <v>41802</v>
      </c>
      <c r="X10783" t="s">
        <v>44916</v>
      </c>
    </row>
    <row r="10784" spans="1:24">
      <c r="A10784">
        <f>HYPERLINK("https://www.philgeps.gov.ph/GEPSNONPILOT/Tender/SplashBidNoticeAbstractUI.aspx?menuIndex=3&amp;refID=7066682&amp;Result=3","7066682")</f>
        <v>0</v>
      </c>
      <c r="B10784" t="s">
        <v>2976</v>
      </c>
      <c r="C10784" t="s">
        <v>13794</v>
      </c>
      <c r="D10784" t="s">
        <v>18110</v>
      </c>
      <c r="E10784" t="s">
        <v>27549</v>
      </c>
      <c r="F10784" t="s">
        <v>31362</v>
      </c>
      <c r="G10784" t="s">
        <v>31369</v>
      </c>
      <c r="H10784" t="s">
        <v>31378</v>
      </c>
      <c r="I10784" t="s">
        <v>31386</v>
      </c>
      <c r="J10784" t="s">
        <v>31602</v>
      </c>
      <c r="K10784" t="s">
        <v>40725</v>
      </c>
      <c r="M10784" t="s">
        <v>44200</v>
      </c>
      <c r="N10784" t="s">
        <v>44905</v>
      </c>
      <c r="O10784" t="s">
        <v>44906</v>
      </c>
      <c r="P10784">
        <v>0</v>
      </c>
      <c r="Q10784">
        <v>9</v>
      </c>
      <c r="R10784" t="s">
        <v>44915</v>
      </c>
      <c r="S10784" t="s">
        <v>45255</v>
      </c>
      <c r="T10784" t="s">
        <v>46625</v>
      </c>
      <c r="U10784" t="s">
        <v>55571</v>
      </c>
      <c r="W10784" t="s">
        <v>44200</v>
      </c>
      <c r="X10784" t="s">
        <v>44916</v>
      </c>
    </row>
    <row r="10785" spans="1:24">
      <c r="A10785">
        <f>HYPERLINK("https://www.philgeps.gov.ph/GEPSNONPILOT/Tender/SplashBidNoticeAbstractUI.aspx?menuIndex=3&amp;refID=7066673&amp;Result=3","7066673")</f>
        <v>0</v>
      </c>
      <c r="B10785" t="s">
        <v>2978</v>
      </c>
      <c r="C10785" t="s">
        <v>13795</v>
      </c>
      <c r="D10785" t="s">
        <v>18158</v>
      </c>
      <c r="E10785" t="s">
        <v>27550</v>
      </c>
      <c r="F10785" t="s">
        <v>31362</v>
      </c>
      <c r="G10785" t="s">
        <v>31369</v>
      </c>
      <c r="H10785" t="s">
        <v>15799</v>
      </c>
      <c r="I10785" t="s">
        <v>31383</v>
      </c>
      <c r="J10785" t="s">
        <v>32526</v>
      </c>
      <c r="K10785" t="s">
        <v>40675</v>
      </c>
      <c r="M10785" t="s">
        <v>44202</v>
      </c>
      <c r="N10785" t="s">
        <v>44905</v>
      </c>
      <c r="O10785" t="s">
        <v>44906</v>
      </c>
      <c r="P10785">
        <v>0</v>
      </c>
      <c r="Q10785">
        <v>3</v>
      </c>
      <c r="R10785" t="s">
        <v>44915</v>
      </c>
      <c r="S10785" t="s">
        <v>45255</v>
      </c>
      <c r="T10785" t="s">
        <v>46392</v>
      </c>
      <c r="U10785" t="s">
        <v>55577</v>
      </c>
      <c r="W10785" t="s">
        <v>44202</v>
      </c>
      <c r="X10785" t="s">
        <v>44916</v>
      </c>
    </row>
    <row r="10786" spans="1:24">
      <c r="A10786">
        <f>HYPERLINK("https://www.philgeps.gov.ph/GEPSNONPILOT/Tender/SplashBidNoticeAbstractUI.aspx?menuIndex=3&amp;refID=7066678&amp;Result=3","7066678")</f>
        <v>0</v>
      </c>
      <c r="B10786" t="s">
        <v>2979</v>
      </c>
      <c r="C10786" t="s">
        <v>13796</v>
      </c>
      <c r="E10786" t="s">
        <v>27551</v>
      </c>
      <c r="F10786" t="s">
        <v>31362</v>
      </c>
      <c r="G10786" t="s">
        <v>31369</v>
      </c>
      <c r="H10786" t="s">
        <v>15799</v>
      </c>
      <c r="I10786" t="s">
        <v>31409</v>
      </c>
      <c r="J10786" t="s">
        <v>34202</v>
      </c>
      <c r="K10786" t="s">
        <v>40666</v>
      </c>
      <c r="M10786" t="s">
        <v>44203</v>
      </c>
      <c r="N10786" t="s">
        <v>44905</v>
      </c>
      <c r="O10786" t="s">
        <v>44906</v>
      </c>
      <c r="P10786">
        <v>0</v>
      </c>
      <c r="Q10786">
        <v>5</v>
      </c>
      <c r="R10786" t="s">
        <v>44915</v>
      </c>
      <c r="S10786" t="s">
        <v>45255</v>
      </c>
      <c r="T10786" t="s">
        <v>46809</v>
      </c>
      <c r="U10786" t="s">
        <v>55578</v>
      </c>
      <c r="W10786" t="s">
        <v>44203</v>
      </c>
      <c r="X10786" t="s">
        <v>44916</v>
      </c>
    </row>
    <row r="10787" spans="1:24">
      <c r="A10787">
        <f>HYPERLINK("https://www.philgeps.gov.ph/GEPSNONPILOT/Tender/SplashBidNoticeAbstractUI.aspx?menuIndex=3&amp;refID=7066666&amp;Result=3","7066666")</f>
        <v>0</v>
      </c>
      <c r="B10787" t="s">
        <v>1508</v>
      </c>
      <c r="C10787" t="s">
        <v>13797</v>
      </c>
      <c r="D10787" t="s">
        <v>18153</v>
      </c>
      <c r="E10787" t="s">
        <v>27552</v>
      </c>
      <c r="F10787" t="s">
        <v>31362</v>
      </c>
      <c r="G10787" t="s">
        <v>31369</v>
      </c>
      <c r="H10787" t="s">
        <v>31378</v>
      </c>
      <c r="I10787" t="s">
        <v>31386</v>
      </c>
      <c r="J10787" t="s">
        <v>38094</v>
      </c>
      <c r="K10787" t="s">
        <v>40780</v>
      </c>
      <c r="M10787" t="s">
        <v>42548</v>
      </c>
      <c r="N10787" t="s">
        <v>44905</v>
      </c>
      <c r="O10787" t="s">
        <v>44906</v>
      </c>
      <c r="P10787">
        <v>0</v>
      </c>
      <c r="Q10787">
        <v>1</v>
      </c>
      <c r="R10787" t="s">
        <v>44915</v>
      </c>
      <c r="S10787" t="s">
        <v>45255</v>
      </c>
      <c r="T10787" t="s">
        <v>46392</v>
      </c>
      <c r="U10787" t="s">
        <v>50491</v>
      </c>
      <c r="V10787" t="s">
        <v>60216</v>
      </c>
      <c r="W10787" t="s">
        <v>42548</v>
      </c>
      <c r="X10787" t="s">
        <v>44916</v>
      </c>
    </row>
    <row r="10788" spans="1:24">
      <c r="A10788">
        <f>HYPERLINK("https://www.philgeps.gov.ph/GEPSNONPILOT/Tender/SplashBidNoticeAbstractUI.aspx?menuIndex=3&amp;refID=7066697&amp;Result=3","7066697")</f>
        <v>0</v>
      </c>
      <c r="B10788" t="s">
        <v>2783</v>
      </c>
      <c r="C10788" t="s">
        <v>13798</v>
      </c>
      <c r="D10788" t="s">
        <v>18148</v>
      </c>
      <c r="E10788" t="s">
        <v>27553</v>
      </c>
      <c r="F10788" t="s">
        <v>31363</v>
      </c>
      <c r="G10788" t="s">
        <v>31369</v>
      </c>
      <c r="H10788" t="s">
        <v>15799</v>
      </c>
      <c r="I10788" t="s">
        <v>4283</v>
      </c>
      <c r="J10788" t="s">
        <v>38095</v>
      </c>
      <c r="K10788" t="s">
        <v>40665</v>
      </c>
      <c r="M10788" t="s">
        <v>43977</v>
      </c>
      <c r="N10788" t="s">
        <v>44905</v>
      </c>
      <c r="O10788" t="s">
        <v>44906</v>
      </c>
      <c r="P10788">
        <v>0</v>
      </c>
      <c r="Q10788">
        <v>0</v>
      </c>
      <c r="R10788" t="s">
        <v>44915</v>
      </c>
      <c r="S10788" t="s">
        <v>45255</v>
      </c>
      <c r="T10788" t="s">
        <v>46533</v>
      </c>
      <c r="U10788" t="s">
        <v>55579</v>
      </c>
      <c r="V10788" t="s">
        <v>60169</v>
      </c>
      <c r="W10788" t="s">
        <v>43977</v>
      </c>
      <c r="X10788" t="s">
        <v>44916</v>
      </c>
    </row>
    <row r="10789" spans="1:24">
      <c r="A10789">
        <f>HYPERLINK("https://www.philgeps.gov.ph/GEPSNONPILOT/Tender/SplashBidNoticeAbstractUI.aspx?menuIndex=3&amp;refID=7066530&amp;Result=3","7066530")</f>
        <v>0</v>
      </c>
      <c r="B10789" t="s">
        <v>2793</v>
      </c>
      <c r="C10789" t="s">
        <v>13799</v>
      </c>
      <c r="D10789" t="s">
        <v>18158</v>
      </c>
      <c r="E10789" t="s">
        <v>27554</v>
      </c>
      <c r="F10789" t="s">
        <v>31362</v>
      </c>
      <c r="G10789" t="s">
        <v>31369</v>
      </c>
      <c r="H10789" t="s">
        <v>15799</v>
      </c>
      <c r="I10789" t="s">
        <v>7719</v>
      </c>
      <c r="J10789" t="s">
        <v>38096</v>
      </c>
      <c r="K10789" t="s">
        <v>40676</v>
      </c>
      <c r="M10789" t="s">
        <v>43990</v>
      </c>
      <c r="N10789" t="s">
        <v>44905</v>
      </c>
      <c r="O10789" t="s">
        <v>44906</v>
      </c>
      <c r="P10789">
        <v>0</v>
      </c>
      <c r="Q10789">
        <v>3</v>
      </c>
      <c r="R10789" t="s">
        <v>44915</v>
      </c>
      <c r="S10789" t="s">
        <v>45255</v>
      </c>
      <c r="T10789" t="s">
        <v>46450</v>
      </c>
      <c r="U10789" t="s">
        <v>55580</v>
      </c>
      <c r="V10789" t="s">
        <v>60217</v>
      </c>
      <c r="W10789" t="s">
        <v>43990</v>
      </c>
      <c r="X10789" t="s">
        <v>44916</v>
      </c>
    </row>
    <row r="10790" spans="1:24">
      <c r="A10790">
        <f>HYPERLINK("https://www.philgeps.gov.ph/GEPSNONPILOT/Tender/SplashBidNoticeAbstractUI.aspx?menuIndex=3&amp;refID=7066570&amp;Result=3","7066570")</f>
        <v>0</v>
      </c>
      <c r="B10790" t="s">
        <v>1508</v>
      </c>
      <c r="C10790" t="s">
        <v>13800</v>
      </c>
      <c r="D10790" t="s">
        <v>18153</v>
      </c>
      <c r="E10790" t="s">
        <v>27555</v>
      </c>
      <c r="F10790" t="s">
        <v>31362</v>
      </c>
      <c r="G10790" t="s">
        <v>31369</v>
      </c>
      <c r="H10790" t="s">
        <v>31378</v>
      </c>
      <c r="I10790" t="s">
        <v>31386</v>
      </c>
      <c r="J10790" t="s">
        <v>38097</v>
      </c>
      <c r="K10790" t="s">
        <v>40881</v>
      </c>
      <c r="M10790" t="s">
        <v>42548</v>
      </c>
      <c r="N10790" t="s">
        <v>44905</v>
      </c>
      <c r="O10790" t="s">
        <v>44906</v>
      </c>
      <c r="P10790">
        <v>0</v>
      </c>
      <c r="Q10790">
        <v>0</v>
      </c>
      <c r="R10790" t="s">
        <v>44915</v>
      </c>
      <c r="S10790" t="s">
        <v>45255</v>
      </c>
      <c r="T10790" t="s">
        <v>46392</v>
      </c>
      <c r="U10790" t="s">
        <v>50491</v>
      </c>
      <c r="V10790" t="s">
        <v>60218</v>
      </c>
      <c r="W10790" t="s">
        <v>42548</v>
      </c>
      <c r="X10790" t="s">
        <v>44916</v>
      </c>
    </row>
    <row r="10791" spans="1:24">
      <c r="A10791">
        <f>HYPERLINK("https://www.philgeps.gov.ph/GEPSNONPILOT/Tender/SplashBidNoticeAbstractUI.aspx?menuIndex=3&amp;refID=7066646&amp;Result=3","7066646")</f>
        <v>0</v>
      </c>
      <c r="B10791" t="s">
        <v>1333</v>
      </c>
      <c r="C10791" t="s">
        <v>13801</v>
      </c>
      <c r="D10791" t="s">
        <v>18139</v>
      </c>
      <c r="E10791" t="s">
        <v>27556</v>
      </c>
      <c r="F10791" t="s">
        <v>31362</v>
      </c>
      <c r="G10791" t="s">
        <v>31369</v>
      </c>
      <c r="H10791" t="s">
        <v>15799</v>
      </c>
      <c r="I10791" t="s">
        <v>31400</v>
      </c>
      <c r="J10791" t="s">
        <v>31537</v>
      </c>
      <c r="K10791" t="s">
        <v>40682</v>
      </c>
      <c r="M10791" t="s">
        <v>42351</v>
      </c>
      <c r="N10791" t="s">
        <v>44905</v>
      </c>
      <c r="O10791" t="s">
        <v>44906</v>
      </c>
      <c r="P10791">
        <v>0</v>
      </c>
      <c r="Q10791">
        <v>1</v>
      </c>
      <c r="R10791" t="s">
        <v>44915</v>
      </c>
      <c r="S10791" t="s">
        <v>45255</v>
      </c>
      <c r="T10791" t="s">
        <v>46622</v>
      </c>
      <c r="U10791" t="s">
        <v>55581</v>
      </c>
      <c r="W10791" t="s">
        <v>42351</v>
      </c>
      <c r="X10791" t="s">
        <v>44916</v>
      </c>
    </row>
    <row r="10792" spans="1:24">
      <c r="A10792">
        <f>HYPERLINK("https://www.philgeps.gov.ph/GEPSNONPILOT/Tender/SplashBidNoticeAbstractUI.aspx?menuIndex=3&amp;refID=7066643&amp;Result=3","7066643")</f>
        <v>0</v>
      </c>
      <c r="B10792" t="s">
        <v>993</v>
      </c>
      <c r="C10792" t="s">
        <v>13802</v>
      </c>
      <c r="D10792" t="s">
        <v>18103</v>
      </c>
      <c r="E10792" t="s">
        <v>27557</v>
      </c>
      <c r="F10792" t="s">
        <v>31362</v>
      </c>
      <c r="G10792" t="s">
        <v>31369</v>
      </c>
      <c r="H10792" t="s">
        <v>15799</v>
      </c>
      <c r="I10792" t="s">
        <v>31384</v>
      </c>
      <c r="J10792" t="s">
        <v>38098</v>
      </c>
      <c r="K10792" t="s">
        <v>40662</v>
      </c>
      <c r="M10792" t="s">
        <v>41988</v>
      </c>
      <c r="N10792" t="s">
        <v>44905</v>
      </c>
      <c r="O10792" t="s">
        <v>44906</v>
      </c>
      <c r="P10792">
        <v>0</v>
      </c>
      <c r="Q10792">
        <v>14</v>
      </c>
      <c r="R10792" t="s">
        <v>44915</v>
      </c>
      <c r="S10792" t="s">
        <v>45255</v>
      </c>
      <c r="T10792" t="s">
        <v>46636</v>
      </c>
      <c r="U10792" t="s">
        <v>55582</v>
      </c>
      <c r="W10792" t="s">
        <v>60950</v>
      </c>
      <c r="X10792" t="s">
        <v>44916</v>
      </c>
    </row>
    <row r="10793" spans="1:24">
      <c r="A10793">
        <f>HYPERLINK("https://www.philgeps.gov.ph/GEPSNONPILOT/Tender/SplashBidNoticeAbstractUI.aspx?menuIndex=3&amp;refID=7066664&amp;Result=3","7066664")</f>
        <v>0</v>
      </c>
      <c r="B10793" t="s">
        <v>2952</v>
      </c>
      <c r="C10793" t="s">
        <v>13803</v>
      </c>
      <c r="D10793" t="s">
        <v>18165</v>
      </c>
      <c r="E10793" t="s">
        <v>27558</v>
      </c>
      <c r="F10793" t="s">
        <v>31362</v>
      </c>
      <c r="G10793" t="s">
        <v>31369</v>
      </c>
      <c r="H10793" t="s">
        <v>31378</v>
      </c>
      <c r="I10793" t="s">
        <v>31386</v>
      </c>
      <c r="J10793" t="s">
        <v>38099</v>
      </c>
      <c r="K10793" t="s">
        <v>40759</v>
      </c>
      <c r="M10793" t="s">
        <v>44175</v>
      </c>
      <c r="N10793" t="s">
        <v>44905</v>
      </c>
      <c r="O10793" t="s">
        <v>44906</v>
      </c>
      <c r="P10793">
        <v>0</v>
      </c>
      <c r="Q10793">
        <v>1</v>
      </c>
      <c r="R10793" t="s">
        <v>44915</v>
      </c>
      <c r="S10793" t="s">
        <v>45255</v>
      </c>
      <c r="T10793" t="s">
        <v>46392</v>
      </c>
      <c r="U10793" t="s">
        <v>55503</v>
      </c>
      <c r="W10793" t="s">
        <v>44175</v>
      </c>
      <c r="X10793" t="s">
        <v>44916</v>
      </c>
    </row>
    <row r="10794" spans="1:24">
      <c r="A10794">
        <f>HYPERLINK("https://www.philgeps.gov.ph/GEPSNONPILOT/Tender/SplashBidNoticeAbstractUI.aspx?menuIndex=3&amp;refID=7066567&amp;Result=3","7066567")</f>
        <v>0</v>
      </c>
      <c r="B10794" t="s">
        <v>2963</v>
      </c>
      <c r="C10794" t="s">
        <v>13804</v>
      </c>
      <c r="D10794" t="s">
        <v>18116</v>
      </c>
      <c r="E10794" t="s">
        <v>27559</v>
      </c>
      <c r="F10794" t="s">
        <v>31362</v>
      </c>
      <c r="G10794" t="s">
        <v>31369</v>
      </c>
      <c r="H10794" t="s">
        <v>31378</v>
      </c>
      <c r="I10794" t="s">
        <v>31386</v>
      </c>
      <c r="J10794" t="s">
        <v>38100</v>
      </c>
      <c r="K10794" t="s">
        <v>40677</v>
      </c>
      <c r="L10794" t="s">
        <v>2963</v>
      </c>
      <c r="M10794" t="s">
        <v>44186</v>
      </c>
      <c r="N10794" t="s">
        <v>44905</v>
      </c>
      <c r="O10794" t="s">
        <v>44906</v>
      </c>
      <c r="P10794">
        <v>0</v>
      </c>
      <c r="Q10794">
        <v>1</v>
      </c>
      <c r="R10794" t="s">
        <v>44915</v>
      </c>
      <c r="S10794" t="s">
        <v>45255</v>
      </c>
      <c r="T10794" t="s">
        <v>46809</v>
      </c>
      <c r="U10794" t="s">
        <v>55527</v>
      </c>
      <c r="W10794" t="s">
        <v>44186</v>
      </c>
      <c r="X10794" t="s">
        <v>44916</v>
      </c>
    </row>
    <row r="10795" spans="1:24">
      <c r="A10795">
        <f>HYPERLINK("https://www.philgeps.gov.ph/GEPSNONPILOT/Tender/SplashBidNoticeAbstractUI.aspx?menuIndex=3&amp;refID=7066650&amp;Result=3","7066650")</f>
        <v>0</v>
      </c>
      <c r="B10795" t="s">
        <v>2933</v>
      </c>
      <c r="C10795" t="s">
        <v>13805</v>
      </c>
      <c r="D10795" t="s">
        <v>18120</v>
      </c>
      <c r="E10795" t="s">
        <v>27560</v>
      </c>
      <c r="F10795" t="s">
        <v>31362</v>
      </c>
      <c r="G10795" t="s">
        <v>31369</v>
      </c>
      <c r="H10795" t="s">
        <v>15799</v>
      </c>
      <c r="I10795" t="s">
        <v>31382</v>
      </c>
      <c r="J10795" t="s">
        <v>33868</v>
      </c>
      <c r="K10795" t="s">
        <v>40662</v>
      </c>
      <c r="M10795" t="s">
        <v>44152</v>
      </c>
      <c r="N10795" t="s">
        <v>44905</v>
      </c>
      <c r="O10795" t="s">
        <v>44906</v>
      </c>
      <c r="P10795">
        <v>0</v>
      </c>
      <c r="Q10795">
        <v>24</v>
      </c>
      <c r="R10795" t="s">
        <v>44915</v>
      </c>
      <c r="S10795" t="s">
        <v>45255</v>
      </c>
      <c r="T10795" t="s">
        <v>46695</v>
      </c>
      <c r="U10795" t="s">
        <v>55583</v>
      </c>
      <c r="W10795" t="s">
        <v>44152</v>
      </c>
      <c r="X10795" t="s">
        <v>44916</v>
      </c>
    </row>
    <row r="10796" spans="1:24">
      <c r="A10796">
        <f>HYPERLINK("https://www.philgeps.gov.ph/GEPSNONPILOT/Tender/SplashBidNoticeAbstractUI.aspx?menuIndex=3&amp;refID=7066674&amp;Result=3","7066674")</f>
        <v>0</v>
      </c>
      <c r="B10796" t="s">
        <v>1919</v>
      </c>
      <c r="C10796" t="s">
        <v>13806</v>
      </c>
      <c r="D10796" t="s">
        <v>18125</v>
      </c>
      <c r="E10796" t="s">
        <v>27561</v>
      </c>
      <c r="F10796" t="s">
        <v>31362</v>
      </c>
      <c r="G10796" t="s">
        <v>31369</v>
      </c>
      <c r="H10796" t="s">
        <v>15799</v>
      </c>
      <c r="I10796" t="s">
        <v>31404</v>
      </c>
      <c r="J10796" t="s">
        <v>38101</v>
      </c>
      <c r="K10796" t="s">
        <v>40666</v>
      </c>
      <c r="M10796" t="s">
        <v>43016</v>
      </c>
      <c r="N10796" t="s">
        <v>44905</v>
      </c>
      <c r="O10796" t="s">
        <v>44906</v>
      </c>
      <c r="P10796">
        <v>0</v>
      </c>
      <c r="Q10796">
        <v>0</v>
      </c>
      <c r="R10796" t="s">
        <v>44915</v>
      </c>
      <c r="S10796" t="s">
        <v>45255</v>
      </c>
      <c r="T10796" t="s">
        <v>46411</v>
      </c>
      <c r="U10796" t="s">
        <v>55584</v>
      </c>
      <c r="W10796" t="s">
        <v>43016</v>
      </c>
      <c r="X10796" t="s">
        <v>44916</v>
      </c>
    </row>
    <row r="10797" spans="1:24">
      <c r="A10797">
        <f>HYPERLINK("https://www.philgeps.gov.ph/GEPSNONPILOT/Tender/SplashBidNoticeAbstractUI.aspx?menuIndex=3&amp;refID=7066828&amp;Result=3","7066828")</f>
        <v>0</v>
      </c>
      <c r="B10797" t="s">
        <v>255</v>
      </c>
      <c r="C10797" t="s">
        <v>13807</v>
      </c>
      <c r="E10797" t="s">
        <v>27562</v>
      </c>
      <c r="F10797" t="s">
        <v>31362</v>
      </c>
      <c r="G10797" t="s">
        <v>31368</v>
      </c>
      <c r="H10797" t="s">
        <v>15799</v>
      </c>
      <c r="I10797" t="s">
        <v>6373</v>
      </c>
      <c r="J10797" t="s">
        <v>38102</v>
      </c>
      <c r="K10797" t="s">
        <v>40662</v>
      </c>
      <c r="M10797" t="s">
        <v>43340</v>
      </c>
      <c r="N10797" t="s">
        <v>44905</v>
      </c>
      <c r="O10797" t="s">
        <v>44906</v>
      </c>
      <c r="P10797">
        <v>0</v>
      </c>
      <c r="Q10797">
        <v>2</v>
      </c>
      <c r="R10797" t="s">
        <v>44915</v>
      </c>
      <c r="S10797" t="s">
        <v>45255</v>
      </c>
      <c r="T10797" t="s">
        <v>46428</v>
      </c>
      <c r="U10797" t="s">
        <v>52824</v>
      </c>
      <c r="W10797" t="s">
        <v>43340</v>
      </c>
      <c r="X10797" t="s">
        <v>44916</v>
      </c>
    </row>
    <row r="10798" spans="1:24">
      <c r="A10798">
        <f>HYPERLINK("https://www.philgeps.gov.ph/GEPSNONPILOT/Tender/SplashBidNoticeAbstractUI.aspx?menuIndex=3&amp;refID=7066694&amp;Result=3","7066694")</f>
        <v>0</v>
      </c>
      <c r="B10798" t="s">
        <v>1919</v>
      </c>
      <c r="C10798" t="s">
        <v>13808</v>
      </c>
      <c r="D10798" t="s">
        <v>18125</v>
      </c>
      <c r="E10798" t="s">
        <v>25911</v>
      </c>
      <c r="F10798" t="s">
        <v>31362</v>
      </c>
      <c r="G10798" t="s">
        <v>31369</v>
      </c>
      <c r="H10798" t="s">
        <v>31378</v>
      </c>
      <c r="I10798" t="s">
        <v>31392</v>
      </c>
      <c r="J10798" t="s">
        <v>38103</v>
      </c>
      <c r="K10798" t="s">
        <v>40675</v>
      </c>
      <c r="M10798" t="s">
        <v>43016</v>
      </c>
      <c r="N10798" t="s">
        <v>44905</v>
      </c>
      <c r="O10798" t="s">
        <v>44906</v>
      </c>
      <c r="P10798">
        <v>0</v>
      </c>
      <c r="Q10798">
        <v>2</v>
      </c>
      <c r="R10798" t="s">
        <v>44915</v>
      </c>
      <c r="S10798" t="s">
        <v>45255</v>
      </c>
      <c r="T10798" t="s">
        <v>46411</v>
      </c>
      <c r="U10798" t="s">
        <v>55585</v>
      </c>
      <c r="W10798" t="s">
        <v>43016</v>
      </c>
      <c r="X10798" t="s">
        <v>44916</v>
      </c>
    </row>
    <row r="10799" spans="1:24">
      <c r="A10799">
        <f>HYPERLINK("https://www.philgeps.gov.ph/GEPSNONPILOT/Tender/SplashBidNoticeAbstractUI.aspx?menuIndex=3&amp;refID=7066776&amp;Result=3","7066776")</f>
        <v>0</v>
      </c>
      <c r="B10799" t="s">
        <v>2980</v>
      </c>
      <c r="C10799" t="s">
        <v>13809</v>
      </c>
      <c r="D10799" t="s">
        <v>18112</v>
      </c>
      <c r="E10799" t="s">
        <v>27563</v>
      </c>
      <c r="F10799" t="s">
        <v>31362</v>
      </c>
      <c r="G10799" t="s">
        <v>31369</v>
      </c>
      <c r="H10799" t="s">
        <v>31378</v>
      </c>
      <c r="I10799" t="s">
        <v>31386</v>
      </c>
      <c r="J10799" t="s">
        <v>38104</v>
      </c>
      <c r="K10799" t="s">
        <v>40678</v>
      </c>
      <c r="M10799" t="s">
        <v>44204</v>
      </c>
      <c r="N10799" t="s">
        <v>44905</v>
      </c>
      <c r="O10799" t="s">
        <v>44906</v>
      </c>
      <c r="P10799">
        <v>0</v>
      </c>
      <c r="Q10799">
        <v>2</v>
      </c>
      <c r="R10799" t="s">
        <v>44915</v>
      </c>
      <c r="S10799" t="s">
        <v>45255</v>
      </c>
      <c r="T10799" t="s">
        <v>46561</v>
      </c>
      <c r="U10799" t="s">
        <v>55586</v>
      </c>
      <c r="W10799" t="s">
        <v>44204</v>
      </c>
      <c r="X10799" t="s">
        <v>44916</v>
      </c>
    </row>
    <row r="10800" spans="1:24">
      <c r="A10800">
        <f>HYPERLINK("https://www.philgeps.gov.ph/GEPSNONPILOT/Tender/SplashBidNoticeAbstractUI.aspx?menuIndex=3&amp;refID=7066660&amp;Result=3","7066660")</f>
        <v>0</v>
      </c>
      <c r="B10800" t="s">
        <v>2981</v>
      </c>
      <c r="C10800" t="s">
        <v>13810</v>
      </c>
      <c r="D10800" t="s">
        <v>18139</v>
      </c>
      <c r="E10800" t="s">
        <v>27564</v>
      </c>
      <c r="F10800" t="s">
        <v>31362</v>
      </c>
      <c r="G10800" t="s">
        <v>31369</v>
      </c>
      <c r="H10800" t="s">
        <v>15799</v>
      </c>
      <c r="I10800" t="s">
        <v>3815</v>
      </c>
      <c r="J10800" t="s">
        <v>38105</v>
      </c>
      <c r="K10800" t="s">
        <v>40661</v>
      </c>
      <c r="M10800" t="s">
        <v>44205</v>
      </c>
      <c r="N10800" t="s">
        <v>44905</v>
      </c>
      <c r="O10800" t="s">
        <v>44906</v>
      </c>
      <c r="P10800">
        <v>0</v>
      </c>
      <c r="Q10800">
        <v>0</v>
      </c>
      <c r="R10800" t="s">
        <v>44915</v>
      </c>
      <c r="S10800" t="s">
        <v>45255</v>
      </c>
      <c r="T10800" t="s">
        <v>46519</v>
      </c>
      <c r="U10800" t="s">
        <v>55587</v>
      </c>
      <c r="W10800" t="s">
        <v>44205</v>
      </c>
      <c r="X10800" t="s">
        <v>44916</v>
      </c>
    </row>
    <row r="10801" spans="1:24">
      <c r="A10801">
        <f>HYPERLINK("https://www.philgeps.gov.ph/GEPSNONPILOT/Tender/SplashBidNoticeAbstractUI.aspx?menuIndex=3&amp;refID=7066807&amp;Result=3","7066807")</f>
        <v>0</v>
      </c>
      <c r="B10801" t="s">
        <v>1033</v>
      </c>
      <c r="C10801" t="s">
        <v>13811</v>
      </c>
      <c r="D10801" t="s">
        <v>18162</v>
      </c>
      <c r="E10801" t="s">
        <v>27565</v>
      </c>
      <c r="F10801" t="s">
        <v>31362</v>
      </c>
      <c r="G10801" t="s">
        <v>31369</v>
      </c>
      <c r="H10801" t="s">
        <v>15799</v>
      </c>
      <c r="I10801" t="s">
        <v>7188</v>
      </c>
      <c r="J10801" t="s">
        <v>31866</v>
      </c>
      <c r="K10801" t="s">
        <v>40670</v>
      </c>
      <c r="M10801" t="s">
        <v>42032</v>
      </c>
      <c r="N10801" t="s">
        <v>44905</v>
      </c>
      <c r="O10801" t="s">
        <v>44906</v>
      </c>
      <c r="P10801">
        <v>0</v>
      </c>
      <c r="Q10801">
        <v>0</v>
      </c>
      <c r="R10801" t="s">
        <v>44915</v>
      </c>
      <c r="S10801" t="s">
        <v>45255</v>
      </c>
      <c r="T10801" t="s">
        <v>46509</v>
      </c>
      <c r="U10801" t="s">
        <v>55588</v>
      </c>
      <c r="W10801" t="s">
        <v>42032</v>
      </c>
      <c r="X10801" t="s">
        <v>44916</v>
      </c>
    </row>
    <row r="10802" spans="1:24">
      <c r="A10802">
        <f>HYPERLINK("https://www.philgeps.gov.ph/GEPSNONPILOT/Tender/SplashBidNoticeAbstractUI.aspx?menuIndex=3&amp;refID=7066771&amp;Result=3","7066771")</f>
        <v>0</v>
      </c>
      <c r="B10802" t="s">
        <v>2864</v>
      </c>
      <c r="C10802" t="s">
        <v>13812</v>
      </c>
      <c r="D10802" t="s">
        <v>18135</v>
      </c>
      <c r="E10802" t="s">
        <v>27566</v>
      </c>
      <c r="F10802" t="s">
        <v>31362</v>
      </c>
      <c r="G10802" t="s">
        <v>31369</v>
      </c>
      <c r="H10802" t="s">
        <v>15799</v>
      </c>
      <c r="I10802" t="s">
        <v>3815</v>
      </c>
      <c r="J10802" t="s">
        <v>38106</v>
      </c>
      <c r="K10802" t="s">
        <v>40665</v>
      </c>
      <c r="M10802" t="s">
        <v>44068</v>
      </c>
      <c r="N10802" t="s">
        <v>44905</v>
      </c>
      <c r="O10802" t="s">
        <v>44906</v>
      </c>
      <c r="P10802">
        <v>0</v>
      </c>
      <c r="Q10802">
        <v>1</v>
      </c>
      <c r="R10802" t="s">
        <v>44915</v>
      </c>
      <c r="S10802" t="s">
        <v>45255</v>
      </c>
      <c r="T10802" t="s">
        <v>46490</v>
      </c>
      <c r="U10802" t="s">
        <v>55575</v>
      </c>
      <c r="W10802" t="s">
        <v>44068</v>
      </c>
      <c r="X10802" t="s">
        <v>44916</v>
      </c>
    </row>
    <row r="10803" spans="1:24">
      <c r="A10803">
        <f>HYPERLINK("https://www.philgeps.gov.ph/GEPSNONPILOT/Tender/SplashBidNoticeAbstractUI.aspx?menuIndex=3&amp;refID=7066833&amp;Result=3","7066833")</f>
        <v>0</v>
      </c>
      <c r="B10803" t="s">
        <v>192</v>
      </c>
      <c r="C10803" t="s">
        <v>13813</v>
      </c>
      <c r="D10803" t="s">
        <v>18122</v>
      </c>
      <c r="E10803" t="s">
        <v>26927</v>
      </c>
      <c r="F10803" t="s">
        <v>31362</v>
      </c>
      <c r="G10803" t="s">
        <v>31369</v>
      </c>
      <c r="H10803" t="s">
        <v>15799</v>
      </c>
      <c r="I10803" t="s">
        <v>31382</v>
      </c>
      <c r="J10803" t="s">
        <v>31709</v>
      </c>
      <c r="K10803" t="s">
        <v>40662</v>
      </c>
      <c r="M10803" t="s">
        <v>41130</v>
      </c>
      <c r="N10803" t="s">
        <v>44905</v>
      </c>
      <c r="O10803" t="s">
        <v>44906</v>
      </c>
      <c r="P10803">
        <v>0</v>
      </c>
      <c r="Q10803">
        <v>19</v>
      </c>
      <c r="R10803" t="s">
        <v>44915</v>
      </c>
      <c r="S10803" t="s">
        <v>45255</v>
      </c>
      <c r="T10803" t="s">
        <v>46822</v>
      </c>
      <c r="U10803" t="s">
        <v>55589</v>
      </c>
      <c r="V10803" t="s">
        <v>60219</v>
      </c>
      <c r="W10803" t="s">
        <v>41130</v>
      </c>
      <c r="X10803" t="s">
        <v>44916</v>
      </c>
    </row>
    <row r="10804" spans="1:24">
      <c r="A10804">
        <f>HYPERLINK("https://www.philgeps.gov.ph/GEPSNONPILOT/Tender/SplashBidNoticeAbstractUI.aspx?menuIndex=3&amp;refID=7066635&amp;Result=3","7066635")</f>
        <v>0</v>
      </c>
      <c r="B10804" t="s">
        <v>2982</v>
      </c>
      <c r="C10804" t="s">
        <v>13814</v>
      </c>
      <c r="D10804" t="s">
        <v>18133</v>
      </c>
      <c r="E10804" t="s">
        <v>18464</v>
      </c>
      <c r="F10804" t="s">
        <v>31362</v>
      </c>
      <c r="G10804" t="s">
        <v>31369</v>
      </c>
      <c r="H10804" t="s">
        <v>31378</v>
      </c>
      <c r="I10804" t="s">
        <v>31386</v>
      </c>
      <c r="J10804" t="s">
        <v>38107</v>
      </c>
      <c r="K10804" t="s">
        <v>40750</v>
      </c>
      <c r="M10804" t="s">
        <v>44206</v>
      </c>
      <c r="N10804" t="s">
        <v>44905</v>
      </c>
      <c r="O10804" t="s">
        <v>44906</v>
      </c>
      <c r="P10804">
        <v>0</v>
      </c>
      <c r="Q10804">
        <v>1</v>
      </c>
      <c r="R10804" t="s">
        <v>44915</v>
      </c>
      <c r="S10804" t="s">
        <v>45255</v>
      </c>
      <c r="T10804" t="s">
        <v>46462</v>
      </c>
      <c r="U10804" t="s">
        <v>55590</v>
      </c>
      <c r="W10804" t="s">
        <v>44206</v>
      </c>
      <c r="X10804" t="s">
        <v>44916</v>
      </c>
    </row>
    <row r="10805" spans="1:24">
      <c r="A10805">
        <f>HYPERLINK("https://www.philgeps.gov.ph/GEPSNONPILOT/Tender/SplashBidNoticeAbstractUI.aspx?menuIndex=3&amp;refID=7066832&amp;Result=3","7066832")</f>
        <v>0</v>
      </c>
      <c r="B10805" t="s">
        <v>2980</v>
      </c>
      <c r="C10805" t="s">
        <v>13815</v>
      </c>
      <c r="D10805" t="s">
        <v>18112</v>
      </c>
      <c r="E10805" t="s">
        <v>27567</v>
      </c>
      <c r="F10805" t="s">
        <v>31362</v>
      </c>
      <c r="G10805" t="s">
        <v>31369</v>
      </c>
      <c r="H10805" t="s">
        <v>31378</v>
      </c>
      <c r="I10805" t="s">
        <v>31386</v>
      </c>
      <c r="J10805" t="s">
        <v>38108</v>
      </c>
      <c r="K10805" t="s">
        <v>40686</v>
      </c>
      <c r="M10805" t="s">
        <v>44204</v>
      </c>
      <c r="N10805" t="s">
        <v>44905</v>
      </c>
      <c r="O10805" t="s">
        <v>44906</v>
      </c>
      <c r="P10805">
        <v>0</v>
      </c>
      <c r="Q10805">
        <v>0</v>
      </c>
      <c r="R10805" t="s">
        <v>44915</v>
      </c>
      <c r="S10805" t="s">
        <v>45255</v>
      </c>
      <c r="T10805" t="s">
        <v>46561</v>
      </c>
      <c r="U10805" t="s">
        <v>55591</v>
      </c>
      <c r="W10805" t="s">
        <v>44204</v>
      </c>
      <c r="X10805" t="s">
        <v>44916</v>
      </c>
    </row>
    <row r="10806" spans="1:24">
      <c r="A10806">
        <f>HYPERLINK("https://www.philgeps.gov.ph/GEPSNONPILOT/Tender/SplashBidNoticeAbstractUI.aspx?menuIndex=3&amp;refID=7066809&amp;Result=3","7066809")</f>
        <v>0</v>
      </c>
      <c r="B10806" t="s">
        <v>2980</v>
      </c>
      <c r="C10806" t="s">
        <v>13816</v>
      </c>
      <c r="D10806" t="s">
        <v>18112</v>
      </c>
      <c r="E10806" t="s">
        <v>27568</v>
      </c>
      <c r="F10806" t="s">
        <v>31362</v>
      </c>
      <c r="G10806" t="s">
        <v>31369</v>
      </c>
      <c r="H10806" t="s">
        <v>31378</v>
      </c>
      <c r="I10806" t="s">
        <v>31386</v>
      </c>
      <c r="J10806" t="s">
        <v>38109</v>
      </c>
      <c r="K10806" t="s">
        <v>40686</v>
      </c>
      <c r="M10806" t="s">
        <v>44204</v>
      </c>
      <c r="N10806" t="s">
        <v>44905</v>
      </c>
      <c r="O10806" t="s">
        <v>44906</v>
      </c>
      <c r="P10806">
        <v>0</v>
      </c>
      <c r="Q10806">
        <v>0</v>
      </c>
      <c r="R10806" t="s">
        <v>44915</v>
      </c>
      <c r="S10806" t="s">
        <v>45255</v>
      </c>
      <c r="T10806" t="s">
        <v>46561</v>
      </c>
      <c r="U10806" t="s">
        <v>55592</v>
      </c>
      <c r="W10806" t="s">
        <v>44204</v>
      </c>
      <c r="X10806" t="s">
        <v>44916</v>
      </c>
    </row>
    <row r="10807" spans="1:24">
      <c r="A10807">
        <f>HYPERLINK("https://www.philgeps.gov.ph/GEPSNONPILOT/Tender/SplashBidNoticeAbstractUI.aspx?menuIndex=3&amp;refID=7066744&amp;Result=3","7066744")</f>
        <v>0</v>
      </c>
      <c r="B10807" t="s">
        <v>2978</v>
      </c>
      <c r="C10807" t="s">
        <v>13817</v>
      </c>
      <c r="D10807" t="s">
        <v>18158</v>
      </c>
      <c r="E10807" t="s">
        <v>27569</v>
      </c>
      <c r="F10807" t="s">
        <v>31362</v>
      </c>
      <c r="G10807" t="s">
        <v>31369</v>
      </c>
      <c r="H10807" t="s">
        <v>31378</v>
      </c>
      <c r="I10807" t="s">
        <v>31386</v>
      </c>
      <c r="J10807" t="s">
        <v>38110</v>
      </c>
      <c r="K10807" t="s">
        <v>40683</v>
      </c>
      <c r="M10807" t="s">
        <v>44202</v>
      </c>
      <c r="N10807" t="s">
        <v>44905</v>
      </c>
      <c r="O10807" t="s">
        <v>44906</v>
      </c>
      <c r="P10807">
        <v>0</v>
      </c>
      <c r="Q10807">
        <v>1</v>
      </c>
      <c r="R10807" t="s">
        <v>44915</v>
      </c>
      <c r="S10807" t="s">
        <v>45255</v>
      </c>
      <c r="T10807" t="s">
        <v>46392</v>
      </c>
      <c r="U10807" t="s">
        <v>55593</v>
      </c>
      <c r="W10807" t="s">
        <v>44202</v>
      </c>
      <c r="X10807" t="s">
        <v>44916</v>
      </c>
    </row>
    <row r="10808" spans="1:24">
      <c r="A10808">
        <f>HYPERLINK("https://www.philgeps.gov.ph/GEPSNONPILOT/Tender/SplashBidNoticeAbstractUI.aspx?menuIndex=3&amp;refID=7066745&amp;Result=3","7066745")</f>
        <v>0</v>
      </c>
      <c r="B10808" t="s">
        <v>2983</v>
      </c>
      <c r="C10808" t="s">
        <v>13818</v>
      </c>
      <c r="D10808" t="s">
        <v>18169</v>
      </c>
      <c r="E10808" t="s">
        <v>27570</v>
      </c>
      <c r="F10808" t="s">
        <v>31362</v>
      </c>
      <c r="G10808" t="s">
        <v>31369</v>
      </c>
      <c r="H10808" t="s">
        <v>15799</v>
      </c>
      <c r="I10808" t="s">
        <v>31393</v>
      </c>
      <c r="J10808" t="s">
        <v>38111</v>
      </c>
      <c r="K10808" t="s">
        <v>40665</v>
      </c>
      <c r="M10808" t="s">
        <v>44207</v>
      </c>
      <c r="N10808" t="s">
        <v>44905</v>
      </c>
      <c r="O10808" t="s">
        <v>44906</v>
      </c>
      <c r="P10808">
        <v>0</v>
      </c>
      <c r="Q10808">
        <v>3</v>
      </c>
      <c r="R10808" t="s">
        <v>44915</v>
      </c>
      <c r="S10808" t="s">
        <v>45255</v>
      </c>
      <c r="T10808" t="s">
        <v>46694</v>
      </c>
      <c r="U10808" t="s">
        <v>55594</v>
      </c>
      <c r="V10808" t="s">
        <v>60220</v>
      </c>
      <c r="W10808" t="s">
        <v>60952</v>
      </c>
      <c r="X10808" t="s">
        <v>44916</v>
      </c>
    </row>
    <row r="10809" spans="1:24">
      <c r="A10809">
        <f>HYPERLINK("https://www.philgeps.gov.ph/GEPSNONPILOT/Tender/SplashBidNoticeAbstractUI.aspx?menuIndex=3&amp;refID=7066926&amp;Result=3","7066926")</f>
        <v>0</v>
      </c>
      <c r="B10809" t="s">
        <v>825</v>
      </c>
      <c r="C10809" t="s">
        <v>13819</v>
      </c>
      <c r="D10809" t="s">
        <v>18110</v>
      </c>
      <c r="E10809" t="s">
        <v>24099</v>
      </c>
      <c r="F10809" t="s">
        <v>31362</v>
      </c>
      <c r="G10809" t="s">
        <v>31369</v>
      </c>
      <c r="H10809" t="s">
        <v>15799</v>
      </c>
      <c r="I10809" t="s">
        <v>31404</v>
      </c>
      <c r="J10809" t="s">
        <v>38112</v>
      </c>
      <c r="K10809" t="s">
        <v>40661</v>
      </c>
      <c r="M10809" t="s">
        <v>41798</v>
      </c>
      <c r="N10809" t="s">
        <v>44905</v>
      </c>
      <c r="O10809" t="s">
        <v>44906</v>
      </c>
      <c r="Q10809">
        <v>3</v>
      </c>
      <c r="R10809" t="s">
        <v>44915</v>
      </c>
      <c r="S10809" t="s">
        <v>45300</v>
      </c>
      <c r="T10809" t="s">
        <v>46481</v>
      </c>
      <c r="U10809" t="s">
        <v>55595</v>
      </c>
      <c r="V10809" t="s">
        <v>59261</v>
      </c>
      <c r="W10809" t="s">
        <v>41798</v>
      </c>
      <c r="X10809" t="s">
        <v>44916</v>
      </c>
    </row>
    <row r="10810" spans="1:24">
      <c r="A10810">
        <f>HYPERLINK("https://www.philgeps.gov.ph/GEPSNONPILOT/Tender/SplashBidNoticeAbstractUI.aspx?menuIndex=3&amp;refID=7066801&amp;Result=3","7066801")</f>
        <v>0</v>
      </c>
      <c r="B10810" t="s">
        <v>255</v>
      </c>
      <c r="C10810" t="s">
        <v>13820</v>
      </c>
      <c r="E10810" t="s">
        <v>27571</v>
      </c>
      <c r="F10810" t="s">
        <v>31362</v>
      </c>
      <c r="G10810" t="s">
        <v>31368</v>
      </c>
      <c r="H10810" t="s">
        <v>15799</v>
      </c>
      <c r="I10810" t="s">
        <v>31385</v>
      </c>
      <c r="J10810" t="s">
        <v>38113</v>
      </c>
      <c r="K10810" t="s">
        <v>40662</v>
      </c>
      <c r="M10810" t="s">
        <v>43340</v>
      </c>
      <c r="N10810" t="s">
        <v>44905</v>
      </c>
      <c r="O10810" t="s">
        <v>44906</v>
      </c>
      <c r="P10810">
        <v>0</v>
      </c>
      <c r="Q10810">
        <v>3</v>
      </c>
      <c r="R10810" t="s">
        <v>44915</v>
      </c>
      <c r="S10810" t="s">
        <v>45255</v>
      </c>
      <c r="T10810" t="s">
        <v>46428</v>
      </c>
      <c r="U10810" t="s">
        <v>52824</v>
      </c>
      <c r="W10810" t="s">
        <v>43340</v>
      </c>
      <c r="X10810" t="s">
        <v>44916</v>
      </c>
    </row>
    <row r="10811" spans="1:24">
      <c r="A10811">
        <f>HYPERLINK("https://www.philgeps.gov.ph/GEPSNONPILOT/Tender/SplashBidNoticeAbstractUI.aspx?menuIndex=3&amp;refID=7066759&amp;Result=3","7066759")</f>
        <v>0</v>
      </c>
      <c r="B10811" t="s">
        <v>34</v>
      </c>
      <c r="C10811" t="s">
        <v>13821</v>
      </c>
      <c r="D10811" t="s">
        <v>18107</v>
      </c>
      <c r="E10811" t="s">
        <v>24173</v>
      </c>
      <c r="F10811" t="s">
        <v>31362</v>
      </c>
      <c r="G10811" t="s">
        <v>31369</v>
      </c>
      <c r="H10811" t="s">
        <v>15799</v>
      </c>
      <c r="I10811" t="s">
        <v>31384</v>
      </c>
      <c r="J10811" t="s">
        <v>36460</v>
      </c>
      <c r="K10811" t="s">
        <v>40682</v>
      </c>
      <c r="M10811" t="s">
        <v>40968</v>
      </c>
      <c r="N10811" t="s">
        <v>44905</v>
      </c>
      <c r="O10811" t="s">
        <v>44906</v>
      </c>
      <c r="P10811">
        <v>0</v>
      </c>
      <c r="Q10811">
        <v>13</v>
      </c>
      <c r="R10811" t="s">
        <v>44915</v>
      </c>
      <c r="S10811" t="s">
        <v>45255</v>
      </c>
      <c r="T10811" t="s">
        <v>46519</v>
      </c>
      <c r="U10811" t="s">
        <v>55596</v>
      </c>
      <c r="V10811" t="s">
        <v>60221</v>
      </c>
      <c r="W10811" t="s">
        <v>40968</v>
      </c>
      <c r="X10811" t="s">
        <v>44916</v>
      </c>
    </row>
    <row r="10812" spans="1:24">
      <c r="A10812">
        <f>HYPERLINK("https://www.philgeps.gov.ph/GEPSNONPILOT/Tender/SplashBidNoticeAbstractUI.aspx?menuIndex=3&amp;refID=7066939&amp;Result=3","7066939")</f>
        <v>0</v>
      </c>
      <c r="B10812" t="s">
        <v>2984</v>
      </c>
      <c r="C10812" t="s">
        <v>13822</v>
      </c>
      <c r="D10812" t="s">
        <v>18108</v>
      </c>
      <c r="E10812" t="s">
        <v>27572</v>
      </c>
      <c r="F10812" t="s">
        <v>31362</v>
      </c>
      <c r="G10812" t="s">
        <v>31369</v>
      </c>
      <c r="H10812" t="s">
        <v>15799</v>
      </c>
      <c r="I10812" t="s">
        <v>31389</v>
      </c>
      <c r="J10812" t="s">
        <v>38114</v>
      </c>
      <c r="K10812" t="s">
        <v>40682</v>
      </c>
      <c r="M10812" t="s">
        <v>44208</v>
      </c>
      <c r="N10812" t="s">
        <v>44905</v>
      </c>
      <c r="O10812" t="s">
        <v>44906</v>
      </c>
      <c r="Q10812">
        <v>22</v>
      </c>
      <c r="R10812" t="s">
        <v>44915</v>
      </c>
      <c r="S10812" t="s">
        <v>45301</v>
      </c>
      <c r="T10812" t="s">
        <v>46555</v>
      </c>
      <c r="U10812" t="s">
        <v>55597</v>
      </c>
      <c r="V10812" t="s">
        <v>60222</v>
      </c>
      <c r="W10812" t="s">
        <v>44208</v>
      </c>
      <c r="X10812" t="s">
        <v>44916</v>
      </c>
    </row>
    <row r="10813" spans="1:24">
      <c r="A10813">
        <f>HYPERLINK("https://www.philgeps.gov.ph/GEPSNONPILOT/Tender/SplashBidNoticeAbstractUI.aspx?menuIndex=3&amp;refID=7066914&amp;Result=3","7066914")</f>
        <v>0</v>
      </c>
      <c r="B10813" t="s">
        <v>2984</v>
      </c>
      <c r="C10813" t="s">
        <v>13823</v>
      </c>
      <c r="D10813" t="s">
        <v>18108</v>
      </c>
      <c r="E10813" t="s">
        <v>27573</v>
      </c>
      <c r="F10813" t="s">
        <v>31362</v>
      </c>
      <c r="G10813" t="s">
        <v>31369</v>
      </c>
      <c r="H10813" t="s">
        <v>15799</v>
      </c>
      <c r="I10813" t="s">
        <v>31422</v>
      </c>
      <c r="J10813" t="s">
        <v>38115</v>
      </c>
      <c r="K10813" t="s">
        <v>40665</v>
      </c>
      <c r="M10813" t="s">
        <v>44208</v>
      </c>
      <c r="N10813" t="s">
        <v>44905</v>
      </c>
      <c r="O10813" t="s">
        <v>44906</v>
      </c>
      <c r="Q10813">
        <v>9</v>
      </c>
      <c r="R10813" t="s">
        <v>44915</v>
      </c>
      <c r="S10813" t="s">
        <v>45302</v>
      </c>
      <c r="T10813" t="s">
        <v>46555</v>
      </c>
      <c r="U10813" t="s">
        <v>55597</v>
      </c>
      <c r="V10813" t="s">
        <v>60222</v>
      </c>
      <c r="W10813" t="s">
        <v>44208</v>
      </c>
      <c r="X10813" t="s">
        <v>44916</v>
      </c>
    </row>
    <row r="10814" spans="1:24">
      <c r="A10814">
        <f>HYPERLINK("https://www.philgeps.gov.ph/GEPSNONPILOT/Tender/SplashBidNoticeAbstractUI.aspx?menuIndex=3&amp;refID=7066905&amp;Result=3","7066905")</f>
        <v>0</v>
      </c>
      <c r="B10814" t="s">
        <v>2982</v>
      </c>
      <c r="C10814" t="s">
        <v>13824</v>
      </c>
      <c r="D10814" t="s">
        <v>18133</v>
      </c>
      <c r="E10814" t="s">
        <v>18777</v>
      </c>
      <c r="F10814" t="s">
        <v>31362</v>
      </c>
      <c r="G10814" t="s">
        <v>31369</v>
      </c>
      <c r="H10814" t="s">
        <v>15799</v>
      </c>
      <c r="I10814" t="s">
        <v>31393</v>
      </c>
      <c r="J10814" t="s">
        <v>31530</v>
      </c>
      <c r="K10814" t="s">
        <v>40666</v>
      </c>
      <c r="M10814" t="s">
        <v>44206</v>
      </c>
      <c r="N10814" t="s">
        <v>44905</v>
      </c>
      <c r="O10814" t="s">
        <v>44906</v>
      </c>
      <c r="P10814">
        <v>0</v>
      </c>
      <c r="Q10814">
        <v>1</v>
      </c>
      <c r="R10814" t="s">
        <v>44915</v>
      </c>
      <c r="S10814" t="s">
        <v>45255</v>
      </c>
      <c r="T10814" t="s">
        <v>46462</v>
      </c>
      <c r="U10814" t="s">
        <v>55598</v>
      </c>
      <c r="W10814" t="s">
        <v>44206</v>
      </c>
      <c r="X10814" t="s">
        <v>44916</v>
      </c>
    </row>
    <row r="10815" spans="1:24">
      <c r="A10815">
        <f>HYPERLINK("https://www.philgeps.gov.ph/GEPSNONPILOT/Tender/SplashBidNoticeAbstractUI.aspx?menuIndex=3&amp;refID=7066754&amp;Result=3","7066754")</f>
        <v>0</v>
      </c>
      <c r="B10815" t="s">
        <v>2985</v>
      </c>
      <c r="C10815" t="s">
        <v>13825</v>
      </c>
      <c r="D10815" t="s">
        <v>18162</v>
      </c>
      <c r="E10815" t="s">
        <v>27574</v>
      </c>
      <c r="F10815" t="s">
        <v>31362</v>
      </c>
      <c r="G10815" t="s">
        <v>31369</v>
      </c>
      <c r="H10815" t="s">
        <v>31378</v>
      </c>
      <c r="I10815" t="s">
        <v>31386</v>
      </c>
      <c r="J10815" t="s">
        <v>36252</v>
      </c>
      <c r="K10815" t="s">
        <v>40662</v>
      </c>
      <c r="M10815" t="s">
        <v>44209</v>
      </c>
      <c r="N10815" t="s">
        <v>44905</v>
      </c>
      <c r="O10815" t="s">
        <v>44906</v>
      </c>
      <c r="P10815">
        <v>0</v>
      </c>
      <c r="Q10815">
        <v>0</v>
      </c>
      <c r="R10815" t="s">
        <v>44915</v>
      </c>
      <c r="S10815" t="s">
        <v>45255</v>
      </c>
      <c r="T10815" t="s">
        <v>46827</v>
      </c>
      <c r="U10815" t="s">
        <v>55599</v>
      </c>
      <c r="W10815" t="s">
        <v>44209</v>
      </c>
      <c r="X10815" t="s">
        <v>44916</v>
      </c>
    </row>
    <row r="10816" spans="1:24">
      <c r="A10816">
        <f>HYPERLINK("https://www.philgeps.gov.ph/GEPSNONPILOT/Tender/SplashBidNoticeAbstractUI.aspx?menuIndex=3&amp;refID=7066890&amp;Result=3","7066890")</f>
        <v>0</v>
      </c>
      <c r="B10816" t="s">
        <v>1524</v>
      </c>
      <c r="C10816" t="s">
        <v>13826</v>
      </c>
      <c r="D10816" t="s">
        <v>18108</v>
      </c>
      <c r="E10816" t="s">
        <v>27575</v>
      </c>
      <c r="F10816" t="s">
        <v>31362</v>
      </c>
      <c r="G10816" t="s">
        <v>31369</v>
      </c>
      <c r="H10816" t="s">
        <v>15799</v>
      </c>
      <c r="I10816" t="s">
        <v>31393</v>
      </c>
      <c r="J10816" t="s">
        <v>38116</v>
      </c>
      <c r="K10816" t="s">
        <v>40686</v>
      </c>
      <c r="M10816" t="s">
        <v>42568</v>
      </c>
      <c r="N10816" t="s">
        <v>44905</v>
      </c>
      <c r="O10816" t="s">
        <v>44906</v>
      </c>
      <c r="P10816">
        <v>0</v>
      </c>
      <c r="Q10816">
        <v>24</v>
      </c>
      <c r="R10816" t="s">
        <v>44915</v>
      </c>
      <c r="S10816" t="s">
        <v>45255</v>
      </c>
      <c r="T10816" t="s">
        <v>46479</v>
      </c>
      <c r="U10816" t="s">
        <v>55600</v>
      </c>
      <c r="W10816" t="s">
        <v>42568</v>
      </c>
      <c r="X10816" t="s">
        <v>44916</v>
      </c>
    </row>
    <row r="10817" spans="1:24">
      <c r="A10817">
        <f>HYPERLINK("https://www.philgeps.gov.ph/GEPSNONPILOT/Tender/SplashBidNoticeAbstractUI.aspx?menuIndex=3&amp;refID=7066921&amp;Result=3","7066921")</f>
        <v>0</v>
      </c>
      <c r="B10817" t="s">
        <v>2864</v>
      </c>
      <c r="C10817" t="s">
        <v>13827</v>
      </c>
      <c r="D10817" t="s">
        <v>18135</v>
      </c>
      <c r="E10817" t="s">
        <v>27576</v>
      </c>
      <c r="F10817" t="s">
        <v>31362</v>
      </c>
      <c r="G10817" t="s">
        <v>31369</v>
      </c>
      <c r="H10817" t="s">
        <v>15799</v>
      </c>
      <c r="I10817" t="s">
        <v>3815</v>
      </c>
      <c r="J10817" t="s">
        <v>38117</v>
      </c>
      <c r="K10817" t="s">
        <v>40665</v>
      </c>
      <c r="M10817" t="s">
        <v>44068</v>
      </c>
      <c r="N10817" t="s">
        <v>44905</v>
      </c>
      <c r="O10817" t="s">
        <v>44906</v>
      </c>
      <c r="P10817">
        <v>0</v>
      </c>
      <c r="Q10817">
        <v>4</v>
      </c>
      <c r="R10817" t="s">
        <v>44915</v>
      </c>
      <c r="S10817" t="s">
        <v>45255</v>
      </c>
      <c r="T10817" t="s">
        <v>46490</v>
      </c>
      <c r="U10817" t="s">
        <v>55575</v>
      </c>
      <c r="W10817" t="s">
        <v>44068</v>
      </c>
      <c r="X10817" t="s">
        <v>44916</v>
      </c>
    </row>
    <row r="10818" spans="1:24">
      <c r="A10818">
        <f>HYPERLINK("https://www.philgeps.gov.ph/GEPSNONPILOT/Tender/SplashBidNoticeAbstractUI.aspx?menuIndex=3&amp;refID=7066889&amp;Result=3","7066889")</f>
        <v>0</v>
      </c>
      <c r="B10818" t="s">
        <v>1618</v>
      </c>
      <c r="C10818" t="s">
        <v>13828</v>
      </c>
      <c r="D10818" t="s">
        <v>18103</v>
      </c>
      <c r="E10818" t="s">
        <v>27577</v>
      </c>
      <c r="F10818" t="s">
        <v>31362</v>
      </c>
      <c r="G10818" t="s">
        <v>31369</v>
      </c>
      <c r="H10818" t="s">
        <v>31378</v>
      </c>
      <c r="I10818" t="s">
        <v>31386</v>
      </c>
      <c r="J10818" t="s">
        <v>38118</v>
      </c>
      <c r="K10818" t="s">
        <v>40812</v>
      </c>
      <c r="M10818" t="s">
        <v>42677</v>
      </c>
      <c r="N10818" t="s">
        <v>44905</v>
      </c>
      <c r="O10818" t="s">
        <v>44906</v>
      </c>
      <c r="Q10818">
        <v>5</v>
      </c>
      <c r="R10818" t="s">
        <v>44915</v>
      </c>
      <c r="S10818" t="s">
        <v>45303</v>
      </c>
      <c r="T10818" t="s">
        <v>46524</v>
      </c>
      <c r="U10818" t="s">
        <v>55324</v>
      </c>
      <c r="V10818" t="s">
        <v>60223</v>
      </c>
      <c r="W10818" t="s">
        <v>42677</v>
      </c>
      <c r="X10818" t="s">
        <v>44916</v>
      </c>
    </row>
    <row r="10819" spans="1:24">
      <c r="A10819">
        <f>HYPERLINK("https://www.philgeps.gov.ph/GEPSNONPILOT/Tender/SplashBidNoticeAbstractUI.aspx?menuIndex=3&amp;refID=7066760&amp;Result=3","7066760")</f>
        <v>0</v>
      </c>
      <c r="B10819" t="s">
        <v>2933</v>
      </c>
      <c r="C10819" t="s">
        <v>13829</v>
      </c>
      <c r="D10819" t="s">
        <v>18120</v>
      </c>
      <c r="E10819" t="s">
        <v>27578</v>
      </c>
      <c r="F10819" t="s">
        <v>31362</v>
      </c>
      <c r="G10819" t="s">
        <v>31369</v>
      </c>
      <c r="H10819" t="s">
        <v>15799</v>
      </c>
      <c r="I10819" t="s">
        <v>7719</v>
      </c>
      <c r="J10819" t="s">
        <v>38119</v>
      </c>
      <c r="K10819" t="s">
        <v>40662</v>
      </c>
      <c r="M10819" t="s">
        <v>44210</v>
      </c>
      <c r="N10819" t="s">
        <v>44905</v>
      </c>
      <c r="O10819" t="s">
        <v>44906</v>
      </c>
      <c r="P10819">
        <v>0</v>
      </c>
      <c r="Q10819">
        <v>21</v>
      </c>
      <c r="R10819" t="s">
        <v>44915</v>
      </c>
      <c r="S10819" t="s">
        <v>45255</v>
      </c>
      <c r="T10819" t="s">
        <v>46625</v>
      </c>
      <c r="U10819" t="s">
        <v>55601</v>
      </c>
      <c r="W10819" t="s">
        <v>44210</v>
      </c>
      <c r="X10819" t="s">
        <v>44916</v>
      </c>
    </row>
    <row r="10820" spans="1:24">
      <c r="A10820">
        <f>HYPERLINK("https://www.philgeps.gov.ph/GEPSNONPILOT/Tender/SplashBidNoticeAbstractUI.aspx?menuIndex=3&amp;refID=7066886&amp;Result=3","7066886")</f>
        <v>0</v>
      </c>
      <c r="B10820" t="s">
        <v>2864</v>
      </c>
      <c r="C10820" t="s">
        <v>13830</v>
      </c>
      <c r="D10820" t="s">
        <v>18135</v>
      </c>
      <c r="E10820" t="s">
        <v>27579</v>
      </c>
      <c r="F10820" t="s">
        <v>31362</v>
      </c>
      <c r="G10820" t="s">
        <v>31369</v>
      </c>
      <c r="H10820" t="s">
        <v>15799</v>
      </c>
      <c r="I10820" t="s">
        <v>31404</v>
      </c>
      <c r="J10820" t="s">
        <v>38120</v>
      </c>
      <c r="K10820" t="s">
        <v>40665</v>
      </c>
      <c r="M10820" t="s">
        <v>44068</v>
      </c>
      <c r="N10820" t="s">
        <v>44905</v>
      </c>
      <c r="O10820" t="s">
        <v>44906</v>
      </c>
      <c r="P10820">
        <v>0</v>
      </c>
      <c r="Q10820">
        <v>1</v>
      </c>
      <c r="R10820" t="s">
        <v>44915</v>
      </c>
      <c r="S10820" t="s">
        <v>45255</v>
      </c>
      <c r="T10820" t="s">
        <v>46490</v>
      </c>
      <c r="U10820" t="s">
        <v>55575</v>
      </c>
      <c r="W10820" t="s">
        <v>44068</v>
      </c>
      <c r="X10820" t="s">
        <v>44916</v>
      </c>
    </row>
    <row r="10821" spans="1:24">
      <c r="A10821">
        <f>HYPERLINK("https://www.philgeps.gov.ph/GEPSNONPILOT/Tender/SplashBidNoticeAbstractUI.aspx?menuIndex=3&amp;refID=7066924&amp;Result=3","7066924")</f>
        <v>0</v>
      </c>
      <c r="B10821" t="s">
        <v>2986</v>
      </c>
      <c r="C10821" t="s">
        <v>13831</v>
      </c>
      <c r="D10821" t="s">
        <v>18155</v>
      </c>
      <c r="E10821" t="s">
        <v>27580</v>
      </c>
      <c r="F10821" t="s">
        <v>31362</v>
      </c>
      <c r="G10821" t="s">
        <v>31369</v>
      </c>
      <c r="H10821" t="s">
        <v>31378</v>
      </c>
      <c r="I10821" t="s">
        <v>31386</v>
      </c>
      <c r="J10821" t="s">
        <v>34103</v>
      </c>
      <c r="K10821" t="s">
        <v>40686</v>
      </c>
      <c r="M10821" t="s">
        <v>44211</v>
      </c>
      <c r="N10821" t="s">
        <v>44905</v>
      </c>
      <c r="O10821" t="s">
        <v>44906</v>
      </c>
      <c r="Q10821">
        <v>1</v>
      </c>
      <c r="R10821" t="s">
        <v>44915</v>
      </c>
      <c r="S10821" t="s">
        <v>45269</v>
      </c>
      <c r="T10821" t="s">
        <v>46409</v>
      </c>
      <c r="U10821" t="s">
        <v>55602</v>
      </c>
      <c r="V10821" t="s">
        <v>60224</v>
      </c>
      <c r="W10821" t="s">
        <v>44211</v>
      </c>
      <c r="X10821" t="s">
        <v>44916</v>
      </c>
    </row>
    <row r="10822" spans="1:24">
      <c r="A10822">
        <f>HYPERLINK("https://www.philgeps.gov.ph/GEPSNONPILOT/Tender/SplashBidNoticeAbstractUI.aspx?menuIndex=3&amp;refID=7066865&amp;Result=3","7066865")</f>
        <v>0</v>
      </c>
      <c r="B10822" t="s">
        <v>2980</v>
      </c>
      <c r="C10822" t="s">
        <v>13832</v>
      </c>
      <c r="D10822" t="s">
        <v>18112</v>
      </c>
      <c r="E10822" t="s">
        <v>27581</v>
      </c>
      <c r="F10822" t="s">
        <v>31362</v>
      </c>
      <c r="G10822" t="s">
        <v>31369</v>
      </c>
      <c r="H10822" t="s">
        <v>31378</v>
      </c>
      <c r="I10822" t="s">
        <v>31386</v>
      </c>
      <c r="J10822" t="s">
        <v>38121</v>
      </c>
      <c r="K10822" t="s">
        <v>40686</v>
      </c>
      <c r="M10822" t="s">
        <v>44204</v>
      </c>
      <c r="N10822" t="s">
        <v>44905</v>
      </c>
      <c r="O10822" t="s">
        <v>44906</v>
      </c>
      <c r="P10822">
        <v>0</v>
      </c>
      <c r="Q10822">
        <v>0</v>
      </c>
      <c r="R10822" t="s">
        <v>44915</v>
      </c>
      <c r="S10822" t="s">
        <v>45255</v>
      </c>
      <c r="T10822" t="s">
        <v>46561</v>
      </c>
      <c r="U10822" t="s">
        <v>55603</v>
      </c>
      <c r="W10822" t="s">
        <v>44204</v>
      </c>
      <c r="X10822" t="s">
        <v>44916</v>
      </c>
    </row>
    <row r="10823" spans="1:24">
      <c r="A10823">
        <f>HYPERLINK("https://www.philgeps.gov.ph/GEPSNONPILOT/Tender/SplashBidNoticeAbstractUI.aspx?menuIndex=3&amp;refID=7066891&amp;Result=3","7066891")</f>
        <v>0</v>
      </c>
      <c r="B10823" t="s">
        <v>2977</v>
      </c>
      <c r="C10823" t="s">
        <v>13833</v>
      </c>
      <c r="D10823" t="s">
        <v>18133</v>
      </c>
      <c r="E10823" t="s">
        <v>24865</v>
      </c>
      <c r="F10823" t="s">
        <v>31362</v>
      </c>
      <c r="G10823" t="s">
        <v>31369</v>
      </c>
      <c r="H10823" t="s">
        <v>31378</v>
      </c>
      <c r="I10823" t="s">
        <v>31386</v>
      </c>
      <c r="J10823" t="s">
        <v>38122</v>
      </c>
      <c r="K10823" t="s">
        <v>40754</v>
      </c>
      <c r="M10823" t="s">
        <v>44201</v>
      </c>
      <c r="N10823" t="s">
        <v>44905</v>
      </c>
      <c r="O10823" t="s">
        <v>44906</v>
      </c>
      <c r="P10823">
        <v>0</v>
      </c>
      <c r="Q10823">
        <v>0</v>
      </c>
      <c r="R10823" t="s">
        <v>44915</v>
      </c>
      <c r="S10823" t="s">
        <v>45255</v>
      </c>
      <c r="T10823" t="s">
        <v>46809</v>
      </c>
      <c r="U10823" t="s">
        <v>55604</v>
      </c>
      <c r="W10823" t="s">
        <v>44201</v>
      </c>
      <c r="X10823" t="s">
        <v>44916</v>
      </c>
    </row>
    <row r="10824" spans="1:24">
      <c r="A10824">
        <f>HYPERLINK("https://www.philgeps.gov.ph/GEPSNONPILOT/Tender/SplashBidNoticeAbstractUI.aspx?menuIndex=3&amp;refID=7066860&amp;Result=3","7066860")</f>
        <v>0</v>
      </c>
      <c r="B10824" t="s">
        <v>2982</v>
      </c>
      <c r="C10824" t="s">
        <v>13834</v>
      </c>
      <c r="D10824" t="s">
        <v>18133</v>
      </c>
      <c r="E10824" t="s">
        <v>19039</v>
      </c>
      <c r="F10824" t="s">
        <v>31362</v>
      </c>
      <c r="G10824" t="s">
        <v>31369</v>
      </c>
      <c r="H10824" t="s">
        <v>31378</v>
      </c>
      <c r="I10824" t="s">
        <v>31386</v>
      </c>
      <c r="J10824" t="s">
        <v>38123</v>
      </c>
      <c r="K10824" t="s">
        <v>40742</v>
      </c>
      <c r="M10824" t="s">
        <v>44206</v>
      </c>
      <c r="N10824" t="s">
        <v>44905</v>
      </c>
      <c r="O10824" t="s">
        <v>44906</v>
      </c>
      <c r="Q10824">
        <v>1</v>
      </c>
      <c r="R10824" t="s">
        <v>44915</v>
      </c>
      <c r="S10824" t="s">
        <v>45304</v>
      </c>
      <c r="T10824" t="s">
        <v>46462</v>
      </c>
      <c r="U10824" t="s">
        <v>55605</v>
      </c>
      <c r="W10824" t="s">
        <v>44206</v>
      </c>
      <c r="X10824" t="s">
        <v>44916</v>
      </c>
    </row>
    <row r="10825" spans="1:24">
      <c r="A10825">
        <f>HYPERLINK("https://www.philgeps.gov.ph/GEPSNONPILOT/Tender/SplashBidNoticeAbstractUI.aspx?menuIndex=3&amp;refID=7066854&amp;Result=3","7066854")</f>
        <v>0</v>
      </c>
      <c r="B10825" t="s">
        <v>2984</v>
      </c>
      <c r="C10825" t="s">
        <v>13835</v>
      </c>
      <c r="D10825" t="s">
        <v>18108</v>
      </c>
      <c r="E10825" t="s">
        <v>27582</v>
      </c>
      <c r="F10825" t="s">
        <v>31362</v>
      </c>
      <c r="G10825" t="s">
        <v>31369</v>
      </c>
      <c r="H10825" t="s">
        <v>15799</v>
      </c>
      <c r="I10825" t="s">
        <v>31389</v>
      </c>
      <c r="J10825" t="s">
        <v>38124</v>
      </c>
      <c r="K10825" t="s">
        <v>40682</v>
      </c>
      <c r="M10825" t="s">
        <v>44208</v>
      </c>
      <c r="N10825" t="s">
        <v>44905</v>
      </c>
      <c r="O10825" t="s">
        <v>44906</v>
      </c>
      <c r="Q10825">
        <v>25</v>
      </c>
      <c r="R10825" t="s">
        <v>44915</v>
      </c>
      <c r="S10825" t="s">
        <v>45305</v>
      </c>
      <c r="T10825" t="s">
        <v>46555</v>
      </c>
      <c r="U10825" t="s">
        <v>55597</v>
      </c>
      <c r="V10825" t="s">
        <v>60222</v>
      </c>
      <c r="W10825" t="s">
        <v>44208</v>
      </c>
      <c r="X10825" t="s">
        <v>44916</v>
      </c>
    </row>
    <row r="10826" spans="1:24">
      <c r="A10826">
        <f>HYPERLINK("https://www.philgeps.gov.ph/GEPSNONPILOT/Tender/SplashBidNoticeAbstractUI.aspx?menuIndex=3&amp;refID=7066888&amp;Result=3","7066888")</f>
        <v>0</v>
      </c>
      <c r="B10826" t="s">
        <v>2980</v>
      </c>
      <c r="C10826" t="s">
        <v>13836</v>
      </c>
      <c r="D10826" t="s">
        <v>18112</v>
      </c>
      <c r="E10826" t="s">
        <v>27583</v>
      </c>
      <c r="F10826" t="s">
        <v>31362</v>
      </c>
      <c r="G10826" t="s">
        <v>31369</v>
      </c>
      <c r="H10826" t="s">
        <v>15799</v>
      </c>
      <c r="I10826" t="s">
        <v>31409</v>
      </c>
      <c r="J10826" t="s">
        <v>31615</v>
      </c>
      <c r="K10826" t="s">
        <v>40670</v>
      </c>
      <c r="M10826" t="s">
        <v>44204</v>
      </c>
      <c r="N10826" t="s">
        <v>44905</v>
      </c>
      <c r="O10826" t="s">
        <v>44906</v>
      </c>
      <c r="P10826">
        <v>0</v>
      </c>
      <c r="Q10826">
        <v>12</v>
      </c>
      <c r="R10826" t="s">
        <v>44915</v>
      </c>
      <c r="S10826" t="s">
        <v>45255</v>
      </c>
      <c r="T10826" t="s">
        <v>46561</v>
      </c>
      <c r="U10826" t="s">
        <v>55606</v>
      </c>
      <c r="W10826" t="s">
        <v>44204</v>
      </c>
      <c r="X10826" t="s">
        <v>44916</v>
      </c>
    </row>
    <row r="10827" spans="1:24">
      <c r="A10827">
        <f>HYPERLINK("https://www.philgeps.gov.ph/GEPSNONPILOT/Tender/SplashBidNoticeAbstractUI.aspx?menuIndex=3&amp;refID=7066838&amp;Result=3","7066838")</f>
        <v>0</v>
      </c>
      <c r="B10827" t="s">
        <v>1524</v>
      </c>
      <c r="C10827" t="s">
        <v>13837</v>
      </c>
      <c r="D10827" t="s">
        <v>18108</v>
      </c>
      <c r="E10827" t="s">
        <v>27584</v>
      </c>
      <c r="F10827" t="s">
        <v>31362</v>
      </c>
      <c r="G10827" t="s">
        <v>31369</v>
      </c>
      <c r="H10827" t="s">
        <v>31379</v>
      </c>
      <c r="I10827" t="s">
        <v>4057</v>
      </c>
      <c r="J10827" t="s">
        <v>38072</v>
      </c>
      <c r="K10827" t="s">
        <v>40699</v>
      </c>
      <c r="M10827" t="s">
        <v>42568</v>
      </c>
      <c r="N10827" t="s">
        <v>44905</v>
      </c>
      <c r="O10827" t="s">
        <v>44906</v>
      </c>
      <c r="P10827">
        <v>0</v>
      </c>
      <c r="Q10827">
        <v>5</v>
      </c>
      <c r="R10827" t="s">
        <v>44915</v>
      </c>
      <c r="S10827" t="s">
        <v>45255</v>
      </c>
      <c r="T10827" t="s">
        <v>46479</v>
      </c>
      <c r="U10827" t="s">
        <v>55607</v>
      </c>
      <c r="W10827" t="s">
        <v>42568</v>
      </c>
      <c r="X10827" t="s">
        <v>44916</v>
      </c>
    </row>
    <row r="10828" spans="1:24">
      <c r="A10828">
        <f>HYPERLINK("https://www.philgeps.gov.ph/GEPSNONPILOT/Tender/SplashBidNoticeAbstractUI.aspx?menuIndex=3&amp;refID=7066887&amp;Result=3","7066887")</f>
        <v>0</v>
      </c>
      <c r="B10828" t="s">
        <v>2978</v>
      </c>
      <c r="C10828" t="s">
        <v>13838</v>
      </c>
      <c r="D10828" t="s">
        <v>18158</v>
      </c>
      <c r="E10828" t="s">
        <v>27585</v>
      </c>
      <c r="F10828" t="s">
        <v>31362</v>
      </c>
      <c r="G10828" t="s">
        <v>31369</v>
      </c>
      <c r="H10828" t="s">
        <v>31378</v>
      </c>
      <c r="I10828" t="s">
        <v>31386</v>
      </c>
      <c r="J10828" t="s">
        <v>38125</v>
      </c>
      <c r="K10828" t="s">
        <v>40694</v>
      </c>
      <c r="M10828" t="s">
        <v>44202</v>
      </c>
      <c r="N10828" t="s">
        <v>44905</v>
      </c>
      <c r="O10828" t="s">
        <v>44906</v>
      </c>
      <c r="P10828">
        <v>0</v>
      </c>
      <c r="Q10828">
        <v>1</v>
      </c>
      <c r="R10828" t="s">
        <v>44915</v>
      </c>
      <c r="S10828" t="s">
        <v>45255</v>
      </c>
      <c r="T10828" t="s">
        <v>46392</v>
      </c>
      <c r="U10828" t="s">
        <v>55608</v>
      </c>
      <c r="W10828" t="s">
        <v>44202</v>
      </c>
      <c r="X10828" t="s">
        <v>44916</v>
      </c>
    </row>
    <row r="10829" spans="1:24">
      <c r="A10829">
        <f>HYPERLINK("https://www.philgeps.gov.ph/GEPSNONPILOT/Tender/SplashBidNoticeAbstractUI.aspx?menuIndex=3&amp;refID=7066836&amp;Result=3","7066836")</f>
        <v>0</v>
      </c>
      <c r="B10829" t="s">
        <v>2982</v>
      </c>
      <c r="C10829" t="s">
        <v>13839</v>
      </c>
      <c r="D10829" t="s">
        <v>18133</v>
      </c>
      <c r="E10829" t="s">
        <v>18625</v>
      </c>
      <c r="F10829" t="s">
        <v>31362</v>
      </c>
      <c r="G10829" t="s">
        <v>31369</v>
      </c>
      <c r="H10829" t="s">
        <v>31378</v>
      </c>
      <c r="I10829" t="s">
        <v>31386</v>
      </c>
      <c r="J10829" t="s">
        <v>38126</v>
      </c>
      <c r="K10829" t="s">
        <v>40675</v>
      </c>
      <c r="M10829" t="s">
        <v>44206</v>
      </c>
      <c r="N10829" t="s">
        <v>44905</v>
      </c>
      <c r="O10829" t="s">
        <v>44906</v>
      </c>
      <c r="P10829">
        <v>0</v>
      </c>
      <c r="Q10829">
        <v>1</v>
      </c>
      <c r="R10829" t="s">
        <v>44915</v>
      </c>
      <c r="S10829" t="s">
        <v>45255</v>
      </c>
      <c r="T10829" t="s">
        <v>46569</v>
      </c>
      <c r="U10829" t="s">
        <v>55609</v>
      </c>
      <c r="W10829" t="s">
        <v>44206</v>
      </c>
      <c r="X10829" t="s">
        <v>44916</v>
      </c>
    </row>
    <row r="10830" spans="1:24">
      <c r="A10830">
        <f>HYPERLINK("https://www.philgeps.gov.ph/GEPSNONPILOT/Tender/SplashBidNoticeAbstractUI.aspx?menuIndex=3&amp;refID=7066725&amp;Result=3","7066725")</f>
        <v>0</v>
      </c>
      <c r="B10830" t="s">
        <v>1333</v>
      </c>
      <c r="C10830" t="s">
        <v>13840</v>
      </c>
      <c r="D10830" t="s">
        <v>18139</v>
      </c>
      <c r="E10830" t="s">
        <v>27586</v>
      </c>
      <c r="F10830" t="s">
        <v>31362</v>
      </c>
      <c r="G10830" t="s">
        <v>31369</v>
      </c>
      <c r="H10830" t="s">
        <v>31378</v>
      </c>
      <c r="I10830" t="s">
        <v>31386</v>
      </c>
      <c r="J10830" t="s">
        <v>33868</v>
      </c>
      <c r="K10830" t="s">
        <v>40679</v>
      </c>
      <c r="M10830" t="s">
        <v>42351</v>
      </c>
      <c r="N10830" t="s">
        <v>44905</v>
      </c>
      <c r="O10830" t="s">
        <v>44906</v>
      </c>
      <c r="P10830">
        <v>0</v>
      </c>
      <c r="Q10830">
        <v>0</v>
      </c>
      <c r="R10830" t="s">
        <v>44915</v>
      </c>
      <c r="S10830" t="s">
        <v>45255</v>
      </c>
      <c r="T10830" t="s">
        <v>46627</v>
      </c>
      <c r="U10830" t="s">
        <v>55610</v>
      </c>
      <c r="W10830" t="s">
        <v>42351</v>
      </c>
      <c r="X10830" t="s">
        <v>44916</v>
      </c>
    </row>
    <row r="10831" spans="1:24">
      <c r="A10831">
        <f>HYPERLINK("https://www.philgeps.gov.ph/GEPSNONPILOT/Tender/SplashBidNoticeAbstractUI.aspx?menuIndex=3&amp;refID=7066861&amp;Result=3","7066861")</f>
        <v>0</v>
      </c>
      <c r="B10831" t="s">
        <v>2985</v>
      </c>
      <c r="C10831" t="s">
        <v>13841</v>
      </c>
      <c r="D10831" t="s">
        <v>18162</v>
      </c>
      <c r="E10831" t="s">
        <v>27587</v>
      </c>
      <c r="F10831" t="s">
        <v>31362</v>
      </c>
      <c r="G10831" t="s">
        <v>31369</v>
      </c>
      <c r="H10831" t="s">
        <v>31378</v>
      </c>
      <c r="I10831" t="s">
        <v>31386</v>
      </c>
      <c r="J10831" t="s">
        <v>31817</v>
      </c>
      <c r="K10831" t="s">
        <v>40662</v>
      </c>
      <c r="M10831" t="s">
        <v>44209</v>
      </c>
      <c r="N10831" t="s">
        <v>44905</v>
      </c>
      <c r="O10831" t="s">
        <v>44906</v>
      </c>
      <c r="P10831">
        <v>0</v>
      </c>
      <c r="Q10831">
        <v>0</v>
      </c>
      <c r="R10831" t="s">
        <v>44915</v>
      </c>
      <c r="S10831" t="s">
        <v>45255</v>
      </c>
      <c r="T10831" t="s">
        <v>46481</v>
      </c>
      <c r="U10831" t="s">
        <v>55611</v>
      </c>
      <c r="W10831" t="s">
        <v>44209</v>
      </c>
      <c r="X10831" t="s">
        <v>44916</v>
      </c>
    </row>
    <row r="10832" spans="1:24">
      <c r="A10832">
        <f>HYPERLINK("https://www.philgeps.gov.ph/GEPSNONPILOT/Tender/SplashBidNoticeAbstractUI.aspx?menuIndex=3&amp;refID=7066721&amp;Result=3","7066721")</f>
        <v>0</v>
      </c>
      <c r="B10832" t="s">
        <v>366</v>
      </c>
      <c r="C10832" t="s">
        <v>13842</v>
      </c>
      <c r="D10832" t="s">
        <v>18100</v>
      </c>
      <c r="E10832" t="s">
        <v>27588</v>
      </c>
      <c r="F10832" t="s">
        <v>31362</v>
      </c>
      <c r="G10832" t="s">
        <v>31369</v>
      </c>
      <c r="H10832" t="s">
        <v>15799</v>
      </c>
      <c r="I10832" t="s">
        <v>3815</v>
      </c>
      <c r="J10832" t="s">
        <v>38127</v>
      </c>
      <c r="K10832" t="s">
        <v>40693</v>
      </c>
      <c r="M10832" t="s">
        <v>41313</v>
      </c>
      <c r="N10832" t="s">
        <v>44905</v>
      </c>
      <c r="O10832" t="s">
        <v>44906</v>
      </c>
      <c r="P10832">
        <v>0</v>
      </c>
      <c r="Q10832">
        <v>0</v>
      </c>
      <c r="R10832" t="s">
        <v>44915</v>
      </c>
      <c r="S10832" t="s">
        <v>45255</v>
      </c>
      <c r="T10832" t="s">
        <v>46547</v>
      </c>
      <c r="U10832" t="s">
        <v>55612</v>
      </c>
      <c r="W10832" t="s">
        <v>41313</v>
      </c>
      <c r="X10832" t="s">
        <v>44916</v>
      </c>
    </row>
    <row r="10833" spans="1:24">
      <c r="A10833">
        <f>HYPERLINK("https://www.philgeps.gov.ph/GEPSNONPILOT/Tender/SplashBidNoticeAbstractUI.aspx?menuIndex=3&amp;refID=7066717&amp;Result=3","7066717")</f>
        <v>0</v>
      </c>
      <c r="B10833" t="s">
        <v>2980</v>
      </c>
      <c r="C10833" t="s">
        <v>13843</v>
      </c>
      <c r="D10833" t="s">
        <v>18112</v>
      </c>
      <c r="E10833" t="s">
        <v>27589</v>
      </c>
      <c r="F10833" t="s">
        <v>31362</v>
      </c>
      <c r="G10833" t="s">
        <v>31369</v>
      </c>
      <c r="H10833" t="s">
        <v>31378</v>
      </c>
      <c r="I10833" t="s">
        <v>31386</v>
      </c>
      <c r="J10833" t="s">
        <v>38128</v>
      </c>
      <c r="K10833" t="s">
        <v>40686</v>
      </c>
      <c r="M10833" t="s">
        <v>44204</v>
      </c>
      <c r="N10833" t="s">
        <v>44905</v>
      </c>
      <c r="O10833" t="s">
        <v>44906</v>
      </c>
      <c r="P10833">
        <v>0</v>
      </c>
      <c r="Q10833">
        <v>2</v>
      </c>
      <c r="R10833" t="s">
        <v>44915</v>
      </c>
      <c r="S10833" t="s">
        <v>45255</v>
      </c>
      <c r="T10833" t="s">
        <v>46561</v>
      </c>
      <c r="U10833" t="s">
        <v>55613</v>
      </c>
      <c r="W10833" t="s">
        <v>44204</v>
      </c>
      <c r="X10833" t="s">
        <v>44916</v>
      </c>
    </row>
    <row r="10834" spans="1:24">
      <c r="A10834">
        <f>HYPERLINK("https://www.philgeps.gov.ph/GEPSNONPILOT/Tender/SplashBidNoticeAbstractUI.aspx?menuIndex=3&amp;refID=7066852&amp;Result=3","7066852")</f>
        <v>0</v>
      </c>
      <c r="B10834" t="s">
        <v>2987</v>
      </c>
      <c r="C10834" t="s">
        <v>13844</v>
      </c>
      <c r="D10834" t="s">
        <v>18124</v>
      </c>
      <c r="E10834" t="s">
        <v>27590</v>
      </c>
      <c r="F10834" t="s">
        <v>31362</v>
      </c>
      <c r="G10834" t="s">
        <v>31369</v>
      </c>
      <c r="H10834" t="s">
        <v>31378</v>
      </c>
      <c r="I10834" t="s">
        <v>31386</v>
      </c>
      <c r="J10834" t="s">
        <v>33393</v>
      </c>
      <c r="K10834" t="s">
        <v>40662</v>
      </c>
      <c r="M10834" t="s">
        <v>44212</v>
      </c>
      <c r="N10834" t="s">
        <v>44905</v>
      </c>
      <c r="O10834" t="s">
        <v>44906</v>
      </c>
      <c r="P10834">
        <v>0</v>
      </c>
      <c r="Q10834">
        <v>14</v>
      </c>
      <c r="R10834" t="s">
        <v>44915</v>
      </c>
      <c r="S10834" t="s">
        <v>45255</v>
      </c>
      <c r="T10834" t="s">
        <v>46618</v>
      </c>
      <c r="U10834" t="s">
        <v>55614</v>
      </c>
      <c r="W10834" t="s">
        <v>44212</v>
      </c>
      <c r="X10834" t="s">
        <v>44916</v>
      </c>
    </row>
    <row r="10835" spans="1:24">
      <c r="A10835">
        <f>HYPERLINK("https://www.philgeps.gov.ph/GEPSNONPILOT/Tender/SplashBidNoticeAbstractUI.aspx?menuIndex=3&amp;refID=7066634&amp;Result=3","7066634")</f>
        <v>0</v>
      </c>
      <c r="B10835" t="s">
        <v>2494</v>
      </c>
      <c r="C10835" t="s">
        <v>13845</v>
      </c>
      <c r="D10835" t="s">
        <v>18117</v>
      </c>
      <c r="E10835" t="s">
        <v>27591</v>
      </c>
      <c r="F10835" t="s">
        <v>31362</v>
      </c>
      <c r="G10835" t="s">
        <v>31369</v>
      </c>
      <c r="H10835" t="s">
        <v>15799</v>
      </c>
      <c r="I10835" t="s">
        <v>4283</v>
      </c>
      <c r="J10835" t="s">
        <v>38129</v>
      </c>
      <c r="K10835" t="s">
        <v>40682</v>
      </c>
      <c r="M10835" t="s">
        <v>44192</v>
      </c>
      <c r="N10835" t="s">
        <v>44905</v>
      </c>
      <c r="O10835" t="s">
        <v>44906</v>
      </c>
      <c r="P10835">
        <v>0</v>
      </c>
      <c r="Q10835">
        <v>11</v>
      </c>
      <c r="R10835" t="s">
        <v>44915</v>
      </c>
      <c r="S10835" t="s">
        <v>45255</v>
      </c>
      <c r="T10835" t="s">
        <v>46625</v>
      </c>
      <c r="U10835" t="s">
        <v>55615</v>
      </c>
      <c r="V10835" t="s">
        <v>60225</v>
      </c>
      <c r="W10835" t="s">
        <v>44192</v>
      </c>
      <c r="X10835" t="s">
        <v>44916</v>
      </c>
    </row>
    <row r="10836" spans="1:24">
      <c r="A10836">
        <f>HYPERLINK("https://www.philgeps.gov.ph/GEPSNONPILOT/Tender/SplashBidNoticeAbstractUI.aspx?menuIndex=3&amp;refID=7066616&amp;Result=3","7066616")</f>
        <v>0</v>
      </c>
      <c r="B10836" t="s">
        <v>255</v>
      </c>
      <c r="C10836" t="s">
        <v>13846</v>
      </c>
      <c r="E10836" t="s">
        <v>27592</v>
      </c>
      <c r="F10836" t="s">
        <v>31362</v>
      </c>
      <c r="G10836" t="s">
        <v>31368</v>
      </c>
      <c r="H10836" t="s">
        <v>15799</v>
      </c>
      <c r="I10836" t="s">
        <v>31385</v>
      </c>
      <c r="J10836" t="s">
        <v>38130</v>
      </c>
      <c r="K10836" t="s">
        <v>40662</v>
      </c>
      <c r="M10836" t="s">
        <v>43340</v>
      </c>
      <c r="N10836" t="s">
        <v>44905</v>
      </c>
      <c r="O10836" t="s">
        <v>44906</v>
      </c>
      <c r="P10836">
        <v>0</v>
      </c>
      <c r="Q10836">
        <v>2</v>
      </c>
      <c r="R10836" t="s">
        <v>44915</v>
      </c>
      <c r="S10836" t="s">
        <v>45255</v>
      </c>
      <c r="T10836" t="s">
        <v>46428</v>
      </c>
      <c r="U10836" t="s">
        <v>52824</v>
      </c>
      <c r="W10836" t="s">
        <v>43340</v>
      </c>
      <c r="X10836" t="s">
        <v>44916</v>
      </c>
    </row>
    <row r="10837" spans="1:24">
      <c r="A10837">
        <f>HYPERLINK("https://www.philgeps.gov.ph/GEPSNONPILOT/Tender/SplashBidNoticeAbstractUI.aspx?menuIndex=3&amp;refID=7066739&amp;Result=3","7066739")</f>
        <v>0</v>
      </c>
      <c r="B10837" t="s">
        <v>2976</v>
      </c>
      <c r="C10837" t="s">
        <v>13847</v>
      </c>
      <c r="D10837" t="s">
        <v>18110</v>
      </c>
      <c r="E10837" t="s">
        <v>27593</v>
      </c>
      <c r="F10837" t="s">
        <v>31362</v>
      </c>
      <c r="G10837" t="s">
        <v>31369</v>
      </c>
      <c r="H10837" t="s">
        <v>31378</v>
      </c>
      <c r="I10837" t="s">
        <v>31386</v>
      </c>
      <c r="J10837" t="s">
        <v>38131</v>
      </c>
      <c r="K10837" t="s">
        <v>40694</v>
      </c>
      <c r="M10837" t="s">
        <v>44200</v>
      </c>
      <c r="N10837" t="s">
        <v>44905</v>
      </c>
      <c r="O10837" t="s">
        <v>44906</v>
      </c>
      <c r="P10837">
        <v>0</v>
      </c>
      <c r="Q10837">
        <v>9</v>
      </c>
      <c r="R10837" t="s">
        <v>44915</v>
      </c>
      <c r="S10837" t="s">
        <v>45255</v>
      </c>
      <c r="T10837" t="s">
        <v>46625</v>
      </c>
      <c r="U10837" t="s">
        <v>55571</v>
      </c>
      <c r="W10837" t="s">
        <v>44200</v>
      </c>
      <c r="X10837" t="s">
        <v>44916</v>
      </c>
    </row>
    <row r="10838" spans="1:24">
      <c r="A10838">
        <f>HYPERLINK("https://www.philgeps.gov.ph/GEPSNONPILOT/Tender/SplashBidNoticeAbstractUI.aspx?menuIndex=3&amp;refID=7066556&amp;Result=3","7066556")</f>
        <v>0</v>
      </c>
      <c r="B10838" t="s">
        <v>307</v>
      </c>
      <c r="C10838" t="s">
        <v>13848</v>
      </c>
      <c r="D10838" t="s">
        <v>18114</v>
      </c>
      <c r="E10838" t="s">
        <v>27594</v>
      </c>
      <c r="F10838" t="s">
        <v>31362</v>
      </c>
      <c r="G10838" t="s">
        <v>31369</v>
      </c>
      <c r="H10838" t="s">
        <v>15799</v>
      </c>
      <c r="I10838" t="s">
        <v>7090</v>
      </c>
      <c r="J10838" t="s">
        <v>32549</v>
      </c>
      <c r="K10838" t="s">
        <v>40665</v>
      </c>
      <c r="M10838" t="s">
        <v>42500</v>
      </c>
      <c r="N10838" t="s">
        <v>44905</v>
      </c>
      <c r="O10838" t="s">
        <v>44906</v>
      </c>
      <c r="P10838">
        <v>0</v>
      </c>
      <c r="Q10838">
        <v>6</v>
      </c>
      <c r="R10838" t="s">
        <v>44915</v>
      </c>
      <c r="S10838" t="s">
        <v>45255</v>
      </c>
      <c r="T10838" t="s">
        <v>46493</v>
      </c>
      <c r="U10838" t="s">
        <v>55616</v>
      </c>
      <c r="W10838" t="s">
        <v>42500</v>
      </c>
      <c r="X10838" t="s">
        <v>44916</v>
      </c>
    </row>
    <row r="10839" spans="1:24">
      <c r="A10839">
        <f>HYPERLINK("https://www.philgeps.gov.ph/GEPSNONPILOT/Tender/SplashBidNoticeAbstractUI.aspx?menuIndex=3&amp;refID=7066554&amp;Result=3","7066554")</f>
        <v>0</v>
      </c>
      <c r="B10839" t="s">
        <v>2975</v>
      </c>
      <c r="C10839" t="s">
        <v>13849</v>
      </c>
      <c r="D10839" t="s">
        <v>18148</v>
      </c>
      <c r="E10839" t="s">
        <v>27595</v>
      </c>
      <c r="F10839" t="s">
        <v>31362</v>
      </c>
      <c r="G10839" t="s">
        <v>31369</v>
      </c>
      <c r="H10839" t="s">
        <v>31378</v>
      </c>
      <c r="I10839" t="s">
        <v>3815</v>
      </c>
      <c r="J10839" t="s">
        <v>38132</v>
      </c>
      <c r="K10839" t="s">
        <v>40686</v>
      </c>
      <c r="M10839" t="s">
        <v>44199</v>
      </c>
      <c r="N10839" t="s">
        <v>44905</v>
      </c>
      <c r="O10839" t="s">
        <v>44906</v>
      </c>
      <c r="P10839">
        <v>0</v>
      </c>
      <c r="Q10839">
        <v>1</v>
      </c>
      <c r="R10839" t="s">
        <v>44915</v>
      </c>
      <c r="S10839" t="s">
        <v>45255</v>
      </c>
      <c r="T10839" t="s">
        <v>46431</v>
      </c>
      <c r="U10839" t="s">
        <v>55617</v>
      </c>
      <c r="W10839" t="s">
        <v>44199</v>
      </c>
      <c r="X10839" t="s">
        <v>44916</v>
      </c>
    </row>
    <row r="10840" spans="1:24">
      <c r="A10840">
        <f>HYPERLINK("https://www.philgeps.gov.ph/GEPSNONPILOT/Tender/SplashBidNoticeAbstractUI.aspx?menuIndex=3&amp;refID=7066850&amp;Result=3","7066850")</f>
        <v>0</v>
      </c>
      <c r="B10840" t="s">
        <v>2980</v>
      </c>
      <c r="C10840" t="s">
        <v>13850</v>
      </c>
      <c r="D10840" t="s">
        <v>18112</v>
      </c>
      <c r="E10840" t="s">
        <v>27596</v>
      </c>
      <c r="F10840" t="s">
        <v>31362</v>
      </c>
      <c r="G10840" t="s">
        <v>31369</v>
      </c>
      <c r="H10840" t="s">
        <v>31378</v>
      </c>
      <c r="I10840" t="s">
        <v>31386</v>
      </c>
      <c r="J10840" t="s">
        <v>38133</v>
      </c>
      <c r="K10840" t="s">
        <v>40686</v>
      </c>
      <c r="M10840" t="s">
        <v>44204</v>
      </c>
      <c r="N10840" t="s">
        <v>44905</v>
      </c>
      <c r="O10840" t="s">
        <v>44906</v>
      </c>
      <c r="P10840">
        <v>0</v>
      </c>
      <c r="Q10840">
        <v>1</v>
      </c>
      <c r="R10840" t="s">
        <v>44915</v>
      </c>
      <c r="S10840" t="s">
        <v>45255</v>
      </c>
      <c r="T10840" t="s">
        <v>46561</v>
      </c>
      <c r="U10840" t="s">
        <v>55618</v>
      </c>
      <c r="W10840" t="s">
        <v>44204</v>
      </c>
      <c r="X10840" t="s">
        <v>44916</v>
      </c>
    </row>
    <row r="10841" spans="1:24">
      <c r="A10841">
        <f>HYPERLINK("https://www.philgeps.gov.ph/GEPSNONPILOT/Tender/SplashBidNoticeAbstractUI.aspx?menuIndex=3&amp;refID=7066710&amp;Result=3","7066710")</f>
        <v>0</v>
      </c>
      <c r="B10841" t="s">
        <v>2976</v>
      </c>
      <c r="C10841" t="s">
        <v>13851</v>
      </c>
      <c r="D10841" t="s">
        <v>18110</v>
      </c>
      <c r="E10841" t="s">
        <v>27597</v>
      </c>
      <c r="F10841" t="s">
        <v>31362</v>
      </c>
      <c r="G10841" t="s">
        <v>31369</v>
      </c>
      <c r="H10841" t="s">
        <v>31378</v>
      </c>
      <c r="I10841" t="s">
        <v>31386</v>
      </c>
      <c r="J10841" t="s">
        <v>31606</v>
      </c>
      <c r="K10841" t="s">
        <v>40679</v>
      </c>
      <c r="M10841" t="s">
        <v>44200</v>
      </c>
      <c r="N10841" t="s">
        <v>44905</v>
      </c>
      <c r="O10841" t="s">
        <v>44906</v>
      </c>
      <c r="P10841">
        <v>0</v>
      </c>
      <c r="Q10841">
        <v>9</v>
      </c>
      <c r="R10841" t="s">
        <v>44915</v>
      </c>
      <c r="S10841" t="s">
        <v>45255</v>
      </c>
      <c r="T10841" t="s">
        <v>46625</v>
      </c>
      <c r="U10841" t="s">
        <v>55571</v>
      </c>
      <c r="W10841" t="s">
        <v>44200</v>
      </c>
      <c r="X10841" t="s">
        <v>44916</v>
      </c>
    </row>
    <row r="10842" spans="1:24">
      <c r="A10842">
        <f>HYPERLINK("https://www.philgeps.gov.ph/GEPSNONPILOT/Tender/SplashBidNoticeAbstractUI.aspx?menuIndex=3&amp;refID=7066941&amp;Result=3","7066941")</f>
        <v>0</v>
      </c>
      <c r="B10842" t="s">
        <v>2988</v>
      </c>
      <c r="C10842" t="s">
        <v>13852</v>
      </c>
      <c r="D10842" t="s">
        <v>18110</v>
      </c>
      <c r="E10842" t="s">
        <v>18648</v>
      </c>
      <c r="F10842" t="s">
        <v>31362</v>
      </c>
      <c r="G10842" t="s">
        <v>31369</v>
      </c>
      <c r="H10842" t="s">
        <v>31378</v>
      </c>
      <c r="I10842" t="s">
        <v>31386</v>
      </c>
      <c r="J10842" t="s">
        <v>38134</v>
      </c>
      <c r="K10842" t="s">
        <v>40665</v>
      </c>
      <c r="M10842" t="s">
        <v>44213</v>
      </c>
      <c r="N10842" t="s">
        <v>44905</v>
      </c>
      <c r="O10842" t="s">
        <v>44906</v>
      </c>
      <c r="Q10842">
        <v>1</v>
      </c>
      <c r="R10842" t="s">
        <v>44915</v>
      </c>
      <c r="S10842" t="s">
        <v>45306</v>
      </c>
      <c r="T10842" t="s">
        <v>46519</v>
      </c>
      <c r="U10842" t="s">
        <v>55619</v>
      </c>
      <c r="V10842" t="s">
        <v>54298</v>
      </c>
      <c r="W10842" t="s">
        <v>60953</v>
      </c>
      <c r="X10842" t="s">
        <v>44916</v>
      </c>
    </row>
    <row r="10843" spans="1:24">
      <c r="A10843">
        <f>HYPERLINK("https://www.philgeps.gov.ph/GEPSNONPILOT/Tender/SplashBidNoticeAbstractUI.aspx?menuIndex=3&amp;refID=7066743&amp;Result=3","7066743")</f>
        <v>0</v>
      </c>
      <c r="B10843" t="s">
        <v>2864</v>
      </c>
      <c r="C10843" t="s">
        <v>13853</v>
      </c>
      <c r="D10843" t="s">
        <v>18135</v>
      </c>
      <c r="E10843" t="s">
        <v>27598</v>
      </c>
      <c r="F10843" t="s">
        <v>31362</v>
      </c>
      <c r="G10843" t="s">
        <v>31369</v>
      </c>
      <c r="H10843" t="s">
        <v>15799</v>
      </c>
      <c r="I10843" t="s">
        <v>3815</v>
      </c>
      <c r="J10843" t="s">
        <v>38135</v>
      </c>
      <c r="K10843" t="s">
        <v>40665</v>
      </c>
      <c r="M10843" t="s">
        <v>44068</v>
      </c>
      <c r="N10843" t="s">
        <v>44905</v>
      </c>
      <c r="O10843" t="s">
        <v>44906</v>
      </c>
      <c r="P10843">
        <v>0</v>
      </c>
      <c r="Q10843">
        <v>0</v>
      </c>
      <c r="R10843" t="s">
        <v>44915</v>
      </c>
      <c r="S10843" t="s">
        <v>45255</v>
      </c>
      <c r="T10843" t="s">
        <v>46490</v>
      </c>
      <c r="U10843" t="s">
        <v>55575</v>
      </c>
      <c r="W10843" t="s">
        <v>44068</v>
      </c>
      <c r="X10843" t="s">
        <v>44916</v>
      </c>
    </row>
    <row r="10844" spans="1:24">
      <c r="A10844">
        <f>HYPERLINK("https://www.philgeps.gov.ph/GEPSNONPILOT/Tender/SplashBidNoticeAbstractUI.aspx?menuIndex=3&amp;refID=7066756&amp;Result=3","7066756")</f>
        <v>0</v>
      </c>
      <c r="B10844" t="s">
        <v>2980</v>
      </c>
      <c r="C10844" t="s">
        <v>13854</v>
      </c>
      <c r="D10844" t="s">
        <v>18112</v>
      </c>
      <c r="E10844" t="s">
        <v>27599</v>
      </c>
      <c r="F10844" t="s">
        <v>31362</v>
      </c>
      <c r="G10844" t="s">
        <v>31369</v>
      </c>
      <c r="H10844" t="s">
        <v>31378</v>
      </c>
      <c r="I10844" t="s">
        <v>31386</v>
      </c>
      <c r="J10844" t="s">
        <v>38136</v>
      </c>
      <c r="K10844" t="s">
        <v>40686</v>
      </c>
      <c r="M10844" t="s">
        <v>44204</v>
      </c>
      <c r="N10844" t="s">
        <v>44905</v>
      </c>
      <c r="O10844" t="s">
        <v>44906</v>
      </c>
      <c r="P10844">
        <v>0</v>
      </c>
      <c r="Q10844">
        <v>1</v>
      </c>
      <c r="R10844" t="s">
        <v>44915</v>
      </c>
      <c r="S10844" t="s">
        <v>45255</v>
      </c>
      <c r="T10844" t="s">
        <v>46561</v>
      </c>
      <c r="U10844" t="s">
        <v>55620</v>
      </c>
      <c r="W10844" t="s">
        <v>44204</v>
      </c>
      <c r="X10844" t="s">
        <v>44916</v>
      </c>
    </row>
    <row r="10845" spans="1:24">
      <c r="A10845">
        <f>HYPERLINK("https://www.philgeps.gov.ph/GEPSNONPILOT/Tender/SplashBidNoticeAbstractUI.aspx?menuIndex=3&amp;refID=7067047&amp;Result=3","7067047")</f>
        <v>0</v>
      </c>
      <c r="B10845" t="s">
        <v>672</v>
      </c>
      <c r="C10845" t="s">
        <v>13855</v>
      </c>
      <c r="D10845" t="s">
        <v>18103</v>
      </c>
      <c r="E10845" t="s">
        <v>27600</v>
      </c>
      <c r="F10845" t="s">
        <v>31362</v>
      </c>
      <c r="G10845" t="s">
        <v>31369</v>
      </c>
      <c r="H10845" t="s">
        <v>31378</v>
      </c>
      <c r="I10845" t="s">
        <v>31386</v>
      </c>
      <c r="J10845" t="s">
        <v>36377</v>
      </c>
      <c r="K10845" t="s">
        <v>40679</v>
      </c>
      <c r="M10845" t="s">
        <v>41634</v>
      </c>
      <c r="N10845" t="s">
        <v>44905</v>
      </c>
      <c r="O10845" t="s">
        <v>44906</v>
      </c>
      <c r="P10845">
        <v>0</v>
      </c>
      <c r="Q10845">
        <v>4</v>
      </c>
      <c r="R10845" t="s">
        <v>44915</v>
      </c>
      <c r="S10845" t="s">
        <v>45255</v>
      </c>
      <c r="T10845" t="s">
        <v>46479</v>
      </c>
      <c r="U10845" t="s">
        <v>55561</v>
      </c>
      <c r="W10845" t="s">
        <v>60863</v>
      </c>
      <c r="X10845" t="s">
        <v>44916</v>
      </c>
    </row>
    <row r="10846" spans="1:24">
      <c r="A10846">
        <f>HYPERLINK("https://www.philgeps.gov.ph/GEPSNONPILOT/Tender/SplashBidNoticeAbstractUI.aspx?menuIndex=3&amp;refID=7067068&amp;Result=3","7067068")</f>
        <v>0</v>
      </c>
      <c r="B10846" t="s">
        <v>672</v>
      </c>
      <c r="C10846" t="s">
        <v>13856</v>
      </c>
      <c r="D10846" t="s">
        <v>18103</v>
      </c>
      <c r="E10846" t="s">
        <v>27601</v>
      </c>
      <c r="F10846" t="s">
        <v>31362</v>
      </c>
      <c r="G10846" t="s">
        <v>31369</v>
      </c>
      <c r="H10846" t="s">
        <v>31378</v>
      </c>
      <c r="I10846" t="s">
        <v>31386</v>
      </c>
      <c r="J10846" t="s">
        <v>36377</v>
      </c>
      <c r="K10846" t="s">
        <v>40682</v>
      </c>
      <c r="M10846" t="s">
        <v>41634</v>
      </c>
      <c r="N10846" t="s">
        <v>44905</v>
      </c>
      <c r="O10846" t="s">
        <v>44906</v>
      </c>
      <c r="P10846">
        <v>0</v>
      </c>
      <c r="Q10846">
        <v>4</v>
      </c>
      <c r="R10846" t="s">
        <v>44915</v>
      </c>
      <c r="S10846" t="s">
        <v>45255</v>
      </c>
      <c r="T10846" t="s">
        <v>46479</v>
      </c>
      <c r="U10846" t="s">
        <v>55561</v>
      </c>
      <c r="W10846" t="s">
        <v>60863</v>
      </c>
      <c r="X10846" t="s">
        <v>44916</v>
      </c>
    </row>
    <row r="10847" spans="1:24">
      <c r="A10847">
        <f>HYPERLINK("https://www.philgeps.gov.ph/GEPSNONPILOT/Tender/SplashBidNoticeAbstractUI.aspx?menuIndex=3&amp;refID=7067057&amp;Result=3","7067057")</f>
        <v>0</v>
      </c>
      <c r="B10847" t="s">
        <v>672</v>
      </c>
      <c r="C10847" t="s">
        <v>13857</v>
      </c>
      <c r="D10847" t="s">
        <v>18103</v>
      </c>
      <c r="E10847" t="s">
        <v>27602</v>
      </c>
      <c r="F10847" t="s">
        <v>31362</v>
      </c>
      <c r="G10847" t="s">
        <v>31369</v>
      </c>
      <c r="H10847" t="s">
        <v>31378</v>
      </c>
      <c r="I10847" t="s">
        <v>31386</v>
      </c>
      <c r="J10847" t="s">
        <v>36377</v>
      </c>
      <c r="K10847" t="s">
        <v>40682</v>
      </c>
      <c r="M10847" t="s">
        <v>41634</v>
      </c>
      <c r="N10847" t="s">
        <v>44905</v>
      </c>
      <c r="O10847" t="s">
        <v>44906</v>
      </c>
      <c r="P10847">
        <v>0</v>
      </c>
      <c r="Q10847">
        <v>4</v>
      </c>
      <c r="R10847" t="s">
        <v>44915</v>
      </c>
      <c r="S10847" t="s">
        <v>45255</v>
      </c>
      <c r="T10847" t="s">
        <v>46479</v>
      </c>
      <c r="U10847" t="s">
        <v>55561</v>
      </c>
      <c r="W10847" t="s">
        <v>60863</v>
      </c>
      <c r="X10847" t="s">
        <v>44916</v>
      </c>
    </row>
    <row r="10848" spans="1:24">
      <c r="A10848">
        <f>HYPERLINK("https://www.philgeps.gov.ph/GEPSNONPILOT/Tender/SplashBidNoticeAbstractUI.aspx?menuIndex=3&amp;refID=7066550&amp;Result=3","7066550")</f>
        <v>0</v>
      </c>
      <c r="B10848" t="s">
        <v>2963</v>
      </c>
      <c r="C10848" t="s">
        <v>13858</v>
      </c>
      <c r="D10848" t="s">
        <v>18116</v>
      </c>
      <c r="E10848" t="s">
        <v>27603</v>
      </c>
      <c r="F10848" t="s">
        <v>31362</v>
      </c>
      <c r="G10848" t="s">
        <v>31369</v>
      </c>
      <c r="H10848" t="s">
        <v>31378</v>
      </c>
      <c r="I10848" t="s">
        <v>31386</v>
      </c>
      <c r="J10848" t="s">
        <v>32673</v>
      </c>
      <c r="K10848" t="s">
        <v>40679</v>
      </c>
      <c r="L10848" t="s">
        <v>2963</v>
      </c>
      <c r="M10848" t="s">
        <v>44186</v>
      </c>
      <c r="N10848" t="s">
        <v>44905</v>
      </c>
      <c r="O10848" t="s">
        <v>44906</v>
      </c>
      <c r="P10848">
        <v>0</v>
      </c>
      <c r="Q10848">
        <v>0</v>
      </c>
      <c r="R10848" t="s">
        <v>44915</v>
      </c>
      <c r="S10848" t="s">
        <v>45255</v>
      </c>
      <c r="T10848" t="s">
        <v>46809</v>
      </c>
      <c r="U10848" t="s">
        <v>55527</v>
      </c>
      <c r="W10848" t="s">
        <v>44186</v>
      </c>
      <c r="X10848" t="s">
        <v>44916</v>
      </c>
    </row>
    <row r="10849" spans="1:24">
      <c r="A10849">
        <f>HYPERLINK("https://www.philgeps.gov.ph/GEPSNONPILOT/Tender/SplashBidNoticeAbstractUI.aspx?menuIndex=3&amp;refID=7067055&amp;Result=3","7067055")</f>
        <v>0</v>
      </c>
      <c r="B10849" t="s">
        <v>672</v>
      </c>
      <c r="C10849" t="s">
        <v>13859</v>
      </c>
      <c r="D10849" t="s">
        <v>18103</v>
      </c>
      <c r="E10849" t="s">
        <v>27604</v>
      </c>
      <c r="F10849" t="s">
        <v>31362</v>
      </c>
      <c r="G10849" t="s">
        <v>31369</v>
      </c>
      <c r="H10849" t="s">
        <v>31378</v>
      </c>
      <c r="I10849" t="s">
        <v>31386</v>
      </c>
      <c r="J10849" t="s">
        <v>36377</v>
      </c>
      <c r="K10849" t="s">
        <v>40679</v>
      </c>
      <c r="M10849" t="s">
        <v>41634</v>
      </c>
      <c r="N10849" t="s">
        <v>44905</v>
      </c>
      <c r="O10849" t="s">
        <v>44906</v>
      </c>
      <c r="P10849">
        <v>0</v>
      </c>
      <c r="Q10849">
        <v>4</v>
      </c>
      <c r="R10849" t="s">
        <v>44915</v>
      </c>
      <c r="S10849" t="s">
        <v>45255</v>
      </c>
      <c r="T10849" t="s">
        <v>46479</v>
      </c>
      <c r="U10849" t="s">
        <v>55561</v>
      </c>
      <c r="W10849" t="s">
        <v>60863</v>
      </c>
      <c r="X10849" t="s">
        <v>44916</v>
      </c>
    </row>
    <row r="10850" spans="1:24">
      <c r="A10850">
        <f>HYPERLINK("https://www.philgeps.gov.ph/GEPSNONPILOT/Tender/SplashBidNoticeAbstractUI.aspx?menuIndex=3&amp;refID=7067034&amp;Result=3","7067034")</f>
        <v>0</v>
      </c>
      <c r="B10850" t="s">
        <v>272</v>
      </c>
      <c r="C10850" t="s">
        <v>13860</v>
      </c>
      <c r="D10850" t="s">
        <v>18110</v>
      </c>
      <c r="E10850" t="s">
        <v>27605</v>
      </c>
      <c r="F10850" t="s">
        <v>31362</v>
      </c>
      <c r="G10850" t="s">
        <v>31369</v>
      </c>
      <c r="H10850" t="s">
        <v>15799</v>
      </c>
      <c r="I10850" t="s">
        <v>31419</v>
      </c>
      <c r="J10850" t="s">
        <v>34386</v>
      </c>
      <c r="K10850" t="s">
        <v>40679</v>
      </c>
      <c r="M10850" t="s">
        <v>41214</v>
      </c>
      <c r="N10850" t="s">
        <v>44905</v>
      </c>
      <c r="O10850" t="s">
        <v>44906</v>
      </c>
      <c r="P10850">
        <v>0</v>
      </c>
      <c r="Q10850">
        <v>20</v>
      </c>
      <c r="R10850" t="s">
        <v>44915</v>
      </c>
      <c r="S10850" t="s">
        <v>45255</v>
      </c>
      <c r="T10850" t="s">
        <v>46504</v>
      </c>
      <c r="U10850" t="s">
        <v>55621</v>
      </c>
      <c r="W10850" t="s">
        <v>60843</v>
      </c>
      <c r="X10850" t="s">
        <v>44916</v>
      </c>
    </row>
    <row r="10851" spans="1:24">
      <c r="A10851">
        <f>HYPERLINK("https://www.philgeps.gov.ph/GEPSNONPILOT/Tender/SplashBidNoticeAbstractUI.aspx?menuIndex=3&amp;refID=7066621&amp;Result=3","7066621")</f>
        <v>0</v>
      </c>
      <c r="B10851" t="s">
        <v>1508</v>
      </c>
      <c r="C10851" t="s">
        <v>13861</v>
      </c>
      <c r="D10851" t="s">
        <v>18153</v>
      </c>
      <c r="E10851" t="s">
        <v>27606</v>
      </c>
      <c r="F10851" t="s">
        <v>31362</v>
      </c>
      <c r="G10851" t="s">
        <v>31369</v>
      </c>
      <c r="H10851" t="s">
        <v>31378</v>
      </c>
      <c r="I10851" t="s">
        <v>31386</v>
      </c>
      <c r="J10851" t="s">
        <v>38137</v>
      </c>
      <c r="K10851" t="s">
        <v>40882</v>
      </c>
      <c r="M10851" t="s">
        <v>42548</v>
      </c>
      <c r="N10851" t="s">
        <v>44905</v>
      </c>
      <c r="O10851" t="s">
        <v>44906</v>
      </c>
      <c r="P10851">
        <v>0</v>
      </c>
      <c r="Q10851">
        <v>0</v>
      </c>
      <c r="R10851" t="s">
        <v>44915</v>
      </c>
      <c r="S10851" t="s">
        <v>45255</v>
      </c>
      <c r="T10851" t="s">
        <v>46392</v>
      </c>
      <c r="U10851" t="s">
        <v>50491</v>
      </c>
      <c r="V10851" t="s">
        <v>60226</v>
      </c>
      <c r="W10851" t="s">
        <v>42548</v>
      </c>
      <c r="X10851" t="s">
        <v>44916</v>
      </c>
    </row>
    <row r="10852" spans="1:24">
      <c r="A10852">
        <f>HYPERLINK("https://www.philgeps.gov.ph/GEPSNONPILOT/Tender/SplashBidNoticeAbstractUI.aspx?menuIndex=3&amp;refID=7066620&amp;Result=3","7066620")</f>
        <v>0</v>
      </c>
      <c r="B10852" t="s">
        <v>993</v>
      </c>
      <c r="C10852" t="s">
        <v>13862</v>
      </c>
      <c r="D10852" t="s">
        <v>18103</v>
      </c>
      <c r="E10852" t="s">
        <v>27557</v>
      </c>
      <c r="F10852" t="s">
        <v>31362</v>
      </c>
      <c r="G10852" t="s">
        <v>31369</v>
      </c>
      <c r="H10852" t="s">
        <v>15799</v>
      </c>
      <c r="I10852" t="s">
        <v>7090</v>
      </c>
      <c r="J10852" t="s">
        <v>38138</v>
      </c>
      <c r="K10852" t="s">
        <v>40662</v>
      </c>
      <c r="M10852" t="s">
        <v>41988</v>
      </c>
      <c r="N10852" t="s">
        <v>44905</v>
      </c>
      <c r="O10852" t="s">
        <v>44906</v>
      </c>
      <c r="P10852">
        <v>0</v>
      </c>
      <c r="Q10852">
        <v>7</v>
      </c>
      <c r="R10852" t="s">
        <v>44915</v>
      </c>
      <c r="S10852" t="s">
        <v>45255</v>
      </c>
      <c r="T10852" t="s">
        <v>46519</v>
      </c>
      <c r="U10852" t="s">
        <v>55582</v>
      </c>
      <c r="W10852" t="s">
        <v>60950</v>
      </c>
      <c r="X10852" t="s">
        <v>44916</v>
      </c>
    </row>
    <row r="10853" spans="1:24">
      <c r="A10853">
        <f>HYPERLINK("https://www.philgeps.gov.ph/GEPSNONPILOT/Tender/SplashBidNoticeAbstractUI.aspx?menuIndex=3&amp;refID=7067027&amp;Result=3","7067027")</f>
        <v>0</v>
      </c>
      <c r="B10853" t="s">
        <v>2638</v>
      </c>
      <c r="C10853" t="s">
        <v>13863</v>
      </c>
      <c r="E10853" t="s">
        <v>27607</v>
      </c>
      <c r="F10853" t="s">
        <v>31362</v>
      </c>
      <c r="G10853" t="s">
        <v>31369</v>
      </c>
      <c r="H10853" t="s">
        <v>15799</v>
      </c>
      <c r="I10853" t="s">
        <v>4283</v>
      </c>
      <c r="J10853" t="s">
        <v>38139</v>
      </c>
      <c r="K10853" t="s">
        <v>40662</v>
      </c>
      <c r="M10853" t="s">
        <v>43819</v>
      </c>
      <c r="N10853" t="s">
        <v>44905</v>
      </c>
      <c r="O10853" t="s">
        <v>44906</v>
      </c>
      <c r="P10853">
        <v>0</v>
      </c>
      <c r="Q10853">
        <v>2</v>
      </c>
      <c r="R10853" t="s">
        <v>44915</v>
      </c>
      <c r="S10853" t="s">
        <v>45255</v>
      </c>
      <c r="T10853" t="s">
        <v>46434</v>
      </c>
      <c r="U10853" t="s">
        <v>54233</v>
      </c>
      <c r="W10853" t="s">
        <v>43819</v>
      </c>
      <c r="X10853" t="s">
        <v>44916</v>
      </c>
    </row>
    <row r="10854" spans="1:24">
      <c r="A10854">
        <f>HYPERLINK("https://www.philgeps.gov.ph/GEPSNONPILOT/Tender/SplashBidNoticeAbstractUI.aspx?menuIndex=3&amp;refID=7067018&amp;Result=3","7067018")</f>
        <v>0</v>
      </c>
      <c r="B10854" t="s">
        <v>2401</v>
      </c>
      <c r="C10854" t="s">
        <v>13864</v>
      </c>
      <c r="D10854" t="s">
        <v>18121</v>
      </c>
      <c r="E10854" t="s">
        <v>27608</v>
      </c>
      <c r="F10854" t="s">
        <v>31362</v>
      </c>
      <c r="G10854" t="s">
        <v>31369</v>
      </c>
      <c r="H10854" t="s">
        <v>31378</v>
      </c>
      <c r="I10854" t="s">
        <v>31386</v>
      </c>
      <c r="J10854" t="s">
        <v>38140</v>
      </c>
      <c r="K10854" t="s">
        <v>40691</v>
      </c>
      <c r="M10854" t="s">
        <v>44214</v>
      </c>
      <c r="N10854" t="s">
        <v>44905</v>
      </c>
      <c r="O10854" t="s">
        <v>44906</v>
      </c>
      <c r="Q10854">
        <v>0</v>
      </c>
      <c r="R10854" t="s">
        <v>44915</v>
      </c>
      <c r="S10854" t="s">
        <v>45307</v>
      </c>
      <c r="T10854" t="s">
        <v>46533</v>
      </c>
      <c r="U10854" t="s">
        <v>55622</v>
      </c>
      <c r="W10854" t="s">
        <v>44214</v>
      </c>
      <c r="X10854" t="s">
        <v>44916</v>
      </c>
    </row>
    <row r="10855" spans="1:24">
      <c r="A10855">
        <f>HYPERLINK("https://www.philgeps.gov.ph/GEPSNONPILOT/Tender/SplashBidNoticeAbstractUI.aspx?menuIndex=3&amp;refID=7067053&amp;Result=3","7067053")</f>
        <v>0</v>
      </c>
      <c r="B10855" t="s">
        <v>672</v>
      </c>
      <c r="C10855" t="s">
        <v>13865</v>
      </c>
      <c r="D10855" t="s">
        <v>18103</v>
      </c>
      <c r="E10855" t="s">
        <v>27609</v>
      </c>
      <c r="F10855" t="s">
        <v>31362</v>
      </c>
      <c r="G10855" t="s">
        <v>31369</v>
      </c>
      <c r="H10855" t="s">
        <v>31378</v>
      </c>
      <c r="I10855" t="s">
        <v>31386</v>
      </c>
      <c r="J10855" t="s">
        <v>36377</v>
      </c>
      <c r="K10855" t="s">
        <v>40679</v>
      </c>
      <c r="M10855" t="s">
        <v>41634</v>
      </c>
      <c r="N10855" t="s">
        <v>44905</v>
      </c>
      <c r="O10855" t="s">
        <v>44906</v>
      </c>
      <c r="P10855">
        <v>0</v>
      </c>
      <c r="Q10855">
        <v>4</v>
      </c>
      <c r="R10855" t="s">
        <v>44915</v>
      </c>
      <c r="S10855" t="s">
        <v>45255</v>
      </c>
      <c r="T10855" t="s">
        <v>46479</v>
      </c>
      <c r="U10855" t="s">
        <v>55561</v>
      </c>
      <c r="W10855" t="s">
        <v>60863</v>
      </c>
      <c r="X10855" t="s">
        <v>44916</v>
      </c>
    </row>
    <row r="10856" spans="1:24">
      <c r="A10856">
        <f>HYPERLINK("https://www.philgeps.gov.ph/GEPSNONPILOT/Tender/SplashBidNoticeAbstractUI.aspx?menuIndex=3&amp;refID=7067010&amp;Result=3","7067010")</f>
        <v>0</v>
      </c>
      <c r="B10856" t="s">
        <v>2989</v>
      </c>
      <c r="C10856" t="s">
        <v>13866</v>
      </c>
      <c r="E10856" t="s">
        <v>27610</v>
      </c>
      <c r="F10856" t="s">
        <v>31362</v>
      </c>
      <c r="G10856" t="s">
        <v>31373</v>
      </c>
      <c r="H10856" t="s">
        <v>15799</v>
      </c>
      <c r="I10856" t="s">
        <v>31459</v>
      </c>
      <c r="J10856" t="s">
        <v>38141</v>
      </c>
      <c r="K10856" t="s">
        <v>40665</v>
      </c>
      <c r="M10856" t="s">
        <v>44215</v>
      </c>
      <c r="N10856" t="s">
        <v>44905</v>
      </c>
      <c r="O10856" t="s">
        <v>44906</v>
      </c>
      <c r="P10856">
        <v>0</v>
      </c>
      <c r="Q10856">
        <v>0</v>
      </c>
      <c r="R10856" t="s">
        <v>44915</v>
      </c>
      <c r="S10856" t="s">
        <v>45255</v>
      </c>
      <c r="T10856" t="s">
        <v>46392</v>
      </c>
      <c r="U10856" t="s">
        <v>55623</v>
      </c>
      <c r="V10856" t="s">
        <v>60227</v>
      </c>
      <c r="W10856" t="s">
        <v>44215</v>
      </c>
      <c r="X10856" t="s">
        <v>44916</v>
      </c>
    </row>
    <row r="10857" spans="1:24">
      <c r="A10857">
        <f>HYPERLINK("https://www.philgeps.gov.ph/GEPSNONPILOT/Tender/SplashBidNoticeAbstractUI.aspx?menuIndex=3&amp;refID=7067001&amp;Result=3","7067001")</f>
        <v>0</v>
      </c>
      <c r="B10857" t="s">
        <v>2989</v>
      </c>
      <c r="C10857" t="s">
        <v>13867</v>
      </c>
      <c r="E10857" t="s">
        <v>27611</v>
      </c>
      <c r="F10857" t="s">
        <v>31362</v>
      </c>
      <c r="G10857" t="s">
        <v>31373</v>
      </c>
      <c r="H10857" t="s">
        <v>15799</v>
      </c>
      <c r="I10857" t="s">
        <v>31459</v>
      </c>
      <c r="J10857" t="s">
        <v>38142</v>
      </c>
      <c r="K10857" t="s">
        <v>40665</v>
      </c>
      <c r="M10857" t="s">
        <v>44215</v>
      </c>
      <c r="N10857" t="s">
        <v>44905</v>
      </c>
      <c r="O10857" t="s">
        <v>44906</v>
      </c>
      <c r="P10857">
        <v>0</v>
      </c>
      <c r="Q10857">
        <v>0</v>
      </c>
      <c r="R10857" t="s">
        <v>44915</v>
      </c>
      <c r="S10857" t="s">
        <v>45255</v>
      </c>
      <c r="T10857" t="s">
        <v>46392</v>
      </c>
      <c r="U10857" t="s">
        <v>55624</v>
      </c>
      <c r="V10857" t="s">
        <v>60227</v>
      </c>
      <c r="W10857" t="s">
        <v>44215</v>
      </c>
      <c r="X10857" t="s">
        <v>44916</v>
      </c>
    </row>
    <row r="10858" spans="1:24">
      <c r="A10858">
        <f>HYPERLINK("https://www.philgeps.gov.ph/GEPSNONPILOT/Tender/SplashBidNoticeAbstractUI.aspx?menuIndex=3&amp;refID=7066974&amp;Result=3","7066974")</f>
        <v>0</v>
      </c>
      <c r="B10858" t="s">
        <v>2984</v>
      </c>
      <c r="C10858" t="s">
        <v>13868</v>
      </c>
      <c r="D10858" t="s">
        <v>18108</v>
      </c>
      <c r="E10858" t="s">
        <v>27612</v>
      </c>
      <c r="F10858" t="s">
        <v>31362</v>
      </c>
      <c r="G10858" t="s">
        <v>31369</v>
      </c>
      <c r="H10858" t="s">
        <v>15799</v>
      </c>
      <c r="I10858" t="s">
        <v>31422</v>
      </c>
      <c r="J10858" t="s">
        <v>35149</v>
      </c>
      <c r="K10858" t="s">
        <v>40665</v>
      </c>
      <c r="M10858" t="s">
        <v>44208</v>
      </c>
      <c r="N10858" t="s">
        <v>44905</v>
      </c>
      <c r="O10858" t="s">
        <v>44906</v>
      </c>
      <c r="Q10858">
        <v>11</v>
      </c>
      <c r="R10858" t="s">
        <v>44915</v>
      </c>
      <c r="S10858" t="s">
        <v>45308</v>
      </c>
      <c r="T10858" t="s">
        <v>46555</v>
      </c>
      <c r="U10858" t="s">
        <v>55597</v>
      </c>
      <c r="V10858" t="s">
        <v>60222</v>
      </c>
      <c r="W10858" t="s">
        <v>44208</v>
      </c>
      <c r="X10858" t="s">
        <v>44916</v>
      </c>
    </row>
    <row r="10859" spans="1:24">
      <c r="A10859">
        <f>HYPERLINK("https://www.philgeps.gov.ph/GEPSNONPILOT/Tender/SplashBidNoticeAbstractUI.aspx?menuIndex=3&amp;refID=7066967&amp;Result=3","7066967")</f>
        <v>0</v>
      </c>
      <c r="B10859" t="s">
        <v>825</v>
      </c>
      <c r="C10859" t="s">
        <v>13869</v>
      </c>
      <c r="D10859" t="s">
        <v>18110</v>
      </c>
      <c r="E10859" t="s">
        <v>27613</v>
      </c>
      <c r="F10859" t="s">
        <v>31362</v>
      </c>
      <c r="G10859" t="s">
        <v>31369</v>
      </c>
      <c r="H10859" t="s">
        <v>15799</v>
      </c>
      <c r="I10859" t="s">
        <v>31404</v>
      </c>
      <c r="J10859" t="s">
        <v>38143</v>
      </c>
      <c r="K10859" t="s">
        <v>40661</v>
      </c>
      <c r="M10859" t="s">
        <v>41798</v>
      </c>
      <c r="N10859" t="s">
        <v>44905</v>
      </c>
      <c r="O10859" t="s">
        <v>44906</v>
      </c>
      <c r="Q10859">
        <v>3</v>
      </c>
      <c r="R10859" t="s">
        <v>44915</v>
      </c>
      <c r="S10859" t="s">
        <v>45309</v>
      </c>
      <c r="T10859" t="s">
        <v>46407</v>
      </c>
      <c r="U10859" t="s">
        <v>55625</v>
      </c>
      <c r="V10859" t="s">
        <v>59261</v>
      </c>
      <c r="W10859" t="s">
        <v>41798</v>
      </c>
      <c r="X10859" t="s">
        <v>44916</v>
      </c>
    </row>
    <row r="10860" spans="1:24">
      <c r="A10860">
        <f>HYPERLINK("https://www.philgeps.gov.ph/GEPSNONPILOT/Tender/SplashBidNoticeAbstractUI.aspx?menuIndex=3&amp;refID=7066546&amp;Result=3","7066546")</f>
        <v>0</v>
      </c>
      <c r="B10860" t="s">
        <v>672</v>
      </c>
      <c r="C10860" t="s">
        <v>13870</v>
      </c>
      <c r="D10860" t="s">
        <v>18103</v>
      </c>
      <c r="E10860" t="s">
        <v>27614</v>
      </c>
      <c r="F10860" t="s">
        <v>31362</v>
      </c>
      <c r="G10860" t="s">
        <v>31369</v>
      </c>
      <c r="H10860" t="s">
        <v>31378</v>
      </c>
      <c r="I10860" t="s">
        <v>31386</v>
      </c>
      <c r="J10860" t="s">
        <v>32964</v>
      </c>
      <c r="K10860" t="s">
        <v>40682</v>
      </c>
      <c r="M10860" t="s">
        <v>41634</v>
      </c>
      <c r="N10860" t="s">
        <v>44905</v>
      </c>
      <c r="O10860" t="s">
        <v>44906</v>
      </c>
      <c r="P10860">
        <v>0</v>
      </c>
      <c r="Q10860">
        <v>4</v>
      </c>
      <c r="R10860" t="s">
        <v>44915</v>
      </c>
      <c r="S10860" t="s">
        <v>45255</v>
      </c>
      <c r="T10860" t="s">
        <v>46479</v>
      </c>
      <c r="U10860" t="s">
        <v>55561</v>
      </c>
      <c r="W10860" t="s">
        <v>60863</v>
      </c>
      <c r="X10860" t="s">
        <v>44916</v>
      </c>
    </row>
    <row r="10861" spans="1:24">
      <c r="A10861">
        <f>HYPERLINK("https://www.philgeps.gov.ph/GEPSNONPILOT/Tender/SplashBidNoticeAbstractUI.aspx?menuIndex=3&amp;refID=7066964&amp;Result=3","7066964")</f>
        <v>0</v>
      </c>
      <c r="B10861" t="s">
        <v>2988</v>
      </c>
      <c r="C10861" t="s">
        <v>13871</v>
      </c>
      <c r="D10861" t="s">
        <v>18110</v>
      </c>
      <c r="E10861" t="s">
        <v>18874</v>
      </c>
      <c r="F10861" t="s">
        <v>31362</v>
      </c>
      <c r="G10861" t="s">
        <v>31369</v>
      </c>
      <c r="H10861" t="s">
        <v>31378</v>
      </c>
      <c r="I10861" t="s">
        <v>31386</v>
      </c>
      <c r="J10861" t="s">
        <v>38144</v>
      </c>
      <c r="K10861" t="s">
        <v>40678</v>
      </c>
      <c r="M10861" t="s">
        <v>44216</v>
      </c>
      <c r="N10861" t="s">
        <v>44905</v>
      </c>
      <c r="O10861" t="s">
        <v>44906</v>
      </c>
      <c r="Q10861">
        <v>2</v>
      </c>
      <c r="R10861" t="s">
        <v>44915</v>
      </c>
      <c r="S10861" t="s">
        <v>45310</v>
      </c>
      <c r="T10861" t="s">
        <v>46519</v>
      </c>
      <c r="U10861" t="s">
        <v>55626</v>
      </c>
      <c r="V10861" t="s">
        <v>49008</v>
      </c>
      <c r="W10861" t="s">
        <v>60953</v>
      </c>
      <c r="X10861" t="s">
        <v>44916</v>
      </c>
    </row>
    <row r="10862" spans="1:24">
      <c r="A10862">
        <f>HYPERLINK("https://www.philgeps.gov.ph/GEPSNONPILOT/Tender/SplashBidNoticeAbstractUI.aspx?menuIndex=3&amp;refID=7066952&amp;Result=3","7066952")</f>
        <v>0</v>
      </c>
      <c r="B10862" t="s">
        <v>2982</v>
      </c>
      <c r="C10862" t="s">
        <v>13872</v>
      </c>
      <c r="D10862" t="s">
        <v>18133</v>
      </c>
      <c r="E10862" t="s">
        <v>18744</v>
      </c>
      <c r="F10862" t="s">
        <v>31362</v>
      </c>
      <c r="G10862" t="s">
        <v>31369</v>
      </c>
      <c r="H10862" t="s">
        <v>31378</v>
      </c>
      <c r="I10862" t="s">
        <v>31386</v>
      </c>
      <c r="J10862" t="s">
        <v>38145</v>
      </c>
      <c r="K10862" t="s">
        <v>40718</v>
      </c>
      <c r="M10862" t="s">
        <v>44206</v>
      </c>
      <c r="N10862" t="s">
        <v>44905</v>
      </c>
      <c r="O10862" t="s">
        <v>44906</v>
      </c>
      <c r="P10862">
        <v>0</v>
      </c>
      <c r="Q10862">
        <v>0</v>
      </c>
      <c r="R10862" t="s">
        <v>44915</v>
      </c>
      <c r="S10862" t="s">
        <v>45255</v>
      </c>
      <c r="T10862" t="s">
        <v>46462</v>
      </c>
      <c r="U10862" t="s">
        <v>55627</v>
      </c>
      <c r="W10862" t="s">
        <v>44206</v>
      </c>
      <c r="X10862" t="s">
        <v>44916</v>
      </c>
    </row>
    <row r="10863" spans="1:24">
      <c r="A10863">
        <f>HYPERLINK("https://www.philgeps.gov.ph/GEPSNONPILOT/Tender/SplashBidNoticeAbstractUI.aspx?menuIndex=3&amp;refID=7066542&amp;Result=3","7066542")</f>
        <v>0</v>
      </c>
      <c r="B10863" t="s">
        <v>2494</v>
      </c>
      <c r="C10863" t="s">
        <v>13873</v>
      </c>
      <c r="D10863" t="s">
        <v>18117</v>
      </c>
      <c r="E10863" t="s">
        <v>27615</v>
      </c>
      <c r="F10863" t="s">
        <v>31362</v>
      </c>
      <c r="G10863" t="s">
        <v>31369</v>
      </c>
      <c r="H10863" t="s">
        <v>15799</v>
      </c>
      <c r="I10863" t="s">
        <v>4283</v>
      </c>
      <c r="J10863" t="s">
        <v>38146</v>
      </c>
      <c r="K10863" t="s">
        <v>40675</v>
      </c>
      <c r="M10863" t="s">
        <v>44192</v>
      </c>
      <c r="N10863" t="s">
        <v>44905</v>
      </c>
      <c r="O10863" t="s">
        <v>44906</v>
      </c>
      <c r="P10863">
        <v>0</v>
      </c>
      <c r="Q10863">
        <v>8</v>
      </c>
      <c r="R10863" t="s">
        <v>44915</v>
      </c>
      <c r="S10863" t="s">
        <v>45255</v>
      </c>
      <c r="T10863" t="s">
        <v>46625</v>
      </c>
      <c r="U10863" t="s">
        <v>55628</v>
      </c>
      <c r="V10863" t="s">
        <v>60225</v>
      </c>
      <c r="W10863" t="s">
        <v>44192</v>
      </c>
      <c r="X10863" t="s">
        <v>44916</v>
      </c>
    </row>
    <row r="10864" spans="1:24">
      <c r="A10864">
        <f>HYPERLINK("https://www.philgeps.gov.ph/GEPSNONPILOT/Tender/SplashBidNoticeAbstractUI.aspx?menuIndex=3&amp;refID=7066507&amp;Result=3","7066507")</f>
        <v>0</v>
      </c>
      <c r="B10864" t="s">
        <v>2840</v>
      </c>
      <c r="C10864" t="s">
        <v>13874</v>
      </c>
      <c r="D10864" t="s">
        <v>18120</v>
      </c>
      <c r="E10864" t="s">
        <v>27616</v>
      </c>
      <c r="F10864" t="s">
        <v>31362</v>
      </c>
      <c r="G10864" t="s">
        <v>31369</v>
      </c>
      <c r="H10864" t="s">
        <v>31378</v>
      </c>
      <c r="I10864" t="s">
        <v>31386</v>
      </c>
      <c r="J10864" t="s">
        <v>38147</v>
      </c>
      <c r="K10864" t="s">
        <v>40801</v>
      </c>
      <c r="M10864" t="s">
        <v>44041</v>
      </c>
      <c r="N10864" t="s">
        <v>44905</v>
      </c>
      <c r="O10864" t="s">
        <v>44906</v>
      </c>
      <c r="P10864">
        <v>0</v>
      </c>
      <c r="Q10864">
        <v>0</v>
      </c>
      <c r="R10864" t="s">
        <v>44915</v>
      </c>
      <c r="S10864" t="s">
        <v>45255</v>
      </c>
      <c r="T10864" t="s">
        <v>46490</v>
      </c>
      <c r="U10864" t="s">
        <v>55534</v>
      </c>
      <c r="V10864" t="s">
        <v>60210</v>
      </c>
      <c r="W10864" t="s">
        <v>60943</v>
      </c>
      <c r="X10864" t="s">
        <v>44916</v>
      </c>
    </row>
    <row r="10865" spans="1:24">
      <c r="A10865">
        <f>HYPERLINK("https://www.philgeps.gov.ph/GEPSNONPILOT/Tender/SplashBidNoticeAbstractUI.aspx?menuIndex=3&amp;refID=7066505&amp;Result=3","7066505")</f>
        <v>0</v>
      </c>
      <c r="B10865" t="s">
        <v>2976</v>
      </c>
      <c r="C10865" t="s">
        <v>13875</v>
      </c>
      <c r="D10865" t="s">
        <v>18110</v>
      </c>
      <c r="E10865" t="s">
        <v>27617</v>
      </c>
      <c r="F10865" t="s">
        <v>31362</v>
      </c>
      <c r="G10865" t="s">
        <v>31370</v>
      </c>
      <c r="H10865" t="s">
        <v>15799</v>
      </c>
      <c r="I10865" t="s">
        <v>31386</v>
      </c>
      <c r="J10865" t="s">
        <v>38148</v>
      </c>
      <c r="K10865" t="s">
        <v>40670</v>
      </c>
      <c r="M10865" t="s">
        <v>44200</v>
      </c>
      <c r="N10865" t="s">
        <v>44905</v>
      </c>
      <c r="O10865" t="s">
        <v>44906</v>
      </c>
      <c r="P10865">
        <v>0</v>
      </c>
      <c r="Q10865">
        <v>0</v>
      </c>
      <c r="R10865" t="s">
        <v>44915</v>
      </c>
      <c r="S10865" t="s">
        <v>45255</v>
      </c>
      <c r="T10865" t="s">
        <v>46426</v>
      </c>
      <c r="U10865" t="s">
        <v>55629</v>
      </c>
      <c r="W10865" t="s">
        <v>44200</v>
      </c>
      <c r="X10865" t="s">
        <v>44916</v>
      </c>
    </row>
    <row r="10866" spans="1:24">
      <c r="A10866">
        <f>HYPERLINK("https://www.philgeps.gov.ph/GEPSNONPILOT/Tender/SplashBidNoticeAbstractUI.aspx?menuIndex=3&amp;refID=7066502&amp;Result=3","7066502")</f>
        <v>0</v>
      </c>
      <c r="B10866" t="s">
        <v>2963</v>
      </c>
      <c r="C10866" t="s">
        <v>13876</v>
      </c>
      <c r="D10866" t="s">
        <v>18116</v>
      </c>
      <c r="E10866" t="s">
        <v>27618</v>
      </c>
      <c r="F10866" t="s">
        <v>31362</v>
      </c>
      <c r="G10866" t="s">
        <v>31369</v>
      </c>
      <c r="H10866" t="s">
        <v>31378</v>
      </c>
      <c r="I10866" t="s">
        <v>31386</v>
      </c>
      <c r="J10866" t="s">
        <v>38072</v>
      </c>
      <c r="K10866" t="s">
        <v>40683</v>
      </c>
      <c r="L10866" t="s">
        <v>2963</v>
      </c>
      <c r="M10866" t="s">
        <v>44186</v>
      </c>
      <c r="N10866" t="s">
        <v>44905</v>
      </c>
      <c r="O10866" t="s">
        <v>44906</v>
      </c>
      <c r="P10866">
        <v>0</v>
      </c>
      <c r="Q10866">
        <v>0</v>
      </c>
      <c r="R10866" t="s">
        <v>44915</v>
      </c>
      <c r="S10866" t="s">
        <v>45255</v>
      </c>
      <c r="T10866" t="s">
        <v>46809</v>
      </c>
      <c r="U10866" t="s">
        <v>55527</v>
      </c>
      <c r="W10866" t="s">
        <v>44186</v>
      </c>
      <c r="X10866" t="s">
        <v>44916</v>
      </c>
    </row>
    <row r="10867" spans="1:24">
      <c r="A10867">
        <f>HYPERLINK("https://www.philgeps.gov.ph/GEPSNONPILOT/Tender/SplashBidNoticeAbstractUI.aspx?menuIndex=3&amp;refID=7066500&amp;Result=3","7066500")</f>
        <v>0</v>
      </c>
      <c r="B10867" t="s">
        <v>424</v>
      </c>
      <c r="C10867" t="s">
        <v>13877</v>
      </c>
      <c r="D10867" t="s">
        <v>18168</v>
      </c>
      <c r="E10867" t="s">
        <v>27619</v>
      </c>
      <c r="F10867" t="s">
        <v>31362</v>
      </c>
      <c r="G10867" t="s">
        <v>31369</v>
      </c>
      <c r="H10867" t="s">
        <v>31378</v>
      </c>
      <c r="I10867" t="s">
        <v>31386</v>
      </c>
      <c r="J10867" t="s">
        <v>38149</v>
      </c>
      <c r="K10867" t="s">
        <v>40682</v>
      </c>
      <c r="M10867" t="s">
        <v>44172</v>
      </c>
      <c r="N10867" t="s">
        <v>44905</v>
      </c>
      <c r="O10867" t="s">
        <v>44906</v>
      </c>
      <c r="Q10867">
        <v>10</v>
      </c>
      <c r="R10867" t="s">
        <v>44915</v>
      </c>
      <c r="S10867" t="s">
        <v>45311</v>
      </c>
      <c r="T10867" t="s">
        <v>46809</v>
      </c>
      <c r="U10867" t="s">
        <v>55630</v>
      </c>
      <c r="W10867" t="s">
        <v>44172</v>
      </c>
      <c r="X10867" t="s">
        <v>44916</v>
      </c>
    </row>
    <row r="10868" spans="1:24">
      <c r="A10868">
        <f>HYPERLINK("https://www.philgeps.gov.ph/GEPSNONPILOT/Tender/SplashBidNoticeAbstractUI.aspx?menuIndex=3&amp;refID=7066498&amp;Result=3","7066498")</f>
        <v>0</v>
      </c>
      <c r="B10868" t="s">
        <v>2990</v>
      </c>
      <c r="C10868" t="s">
        <v>13878</v>
      </c>
      <c r="D10868" t="s">
        <v>18154</v>
      </c>
      <c r="E10868" t="s">
        <v>27620</v>
      </c>
      <c r="F10868" t="s">
        <v>31362</v>
      </c>
      <c r="G10868" t="s">
        <v>31369</v>
      </c>
      <c r="H10868" t="s">
        <v>31378</v>
      </c>
      <c r="I10868" t="s">
        <v>31386</v>
      </c>
      <c r="J10868" t="s">
        <v>38150</v>
      </c>
      <c r="K10868" t="s">
        <v>40661</v>
      </c>
      <c r="M10868" t="s">
        <v>44217</v>
      </c>
      <c r="N10868" t="s">
        <v>44905</v>
      </c>
      <c r="O10868" t="s">
        <v>44906</v>
      </c>
      <c r="P10868">
        <v>0</v>
      </c>
      <c r="Q10868">
        <v>0</v>
      </c>
      <c r="R10868" t="s">
        <v>44915</v>
      </c>
      <c r="S10868" t="s">
        <v>45255</v>
      </c>
      <c r="T10868" t="s">
        <v>46430</v>
      </c>
      <c r="U10868" t="s">
        <v>55631</v>
      </c>
      <c r="W10868" t="s">
        <v>44217</v>
      </c>
      <c r="X10868" t="s">
        <v>44916</v>
      </c>
    </row>
    <row r="10869" spans="1:24">
      <c r="A10869">
        <f>HYPERLINK("https://www.philgeps.gov.ph/GEPSNONPILOT/Tender/SplashBidNoticeAbstractUI.aspx?menuIndex=3&amp;refID=7066488&amp;Result=3","7066488")</f>
        <v>0</v>
      </c>
      <c r="B10869" t="s">
        <v>2963</v>
      </c>
      <c r="C10869" t="s">
        <v>13879</v>
      </c>
      <c r="D10869" t="s">
        <v>18116</v>
      </c>
      <c r="E10869" t="s">
        <v>27621</v>
      </c>
      <c r="F10869" t="s">
        <v>31362</v>
      </c>
      <c r="G10869" t="s">
        <v>31369</v>
      </c>
      <c r="H10869" t="s">
        <v>31378</v>
      </c>
      <c r="I10869" t="s">
        <v>31386</v>
      </c>
      <c r="J10869" t="s">
        <v>38072</v>
      </c>
      <c r="K10869" t="s">
        <v>40694</v>
      </c>
      <c r="L10869" t="s">
        <v>2963</v>
      </c>
      <c r="M10869" t="s">
        <v>44186</v>
      </c>
      <c r="N10869" t="s">
        <v>44905</v>
      </c>
      <c r="O10869" t="s">
        <v>44906</v>
      </c>
      <c r="P10869">
        <v>0</v>
      </c>
      <c r="Q10869">
        <v>1</v>
      </c>
      <c r="R10869" t="s">
        <v>44915</v>
      </c>
      <c r="S10869" t="s">
        <v>45255</v>
      </c>
      <c r="T10869" t="s">
        <v>46809</v>
      </c>
      <c r="U10869" t="s">
        <v>55527</v>
      </c>
      <c r="W10869" t="s">
        <v>44186</v>
      </c>
      <c r="X10869" t="s">
        <v>44916</v>
      </c>
    </row>
    <row r="10870" spans="1:24">
      <c r="A10870">
        <f>HYPERLINK("https://www.philgeps.gov.ph/GEPSNONPILOT/Tender/SplashBidNoticeAbstractUI.aspx?menuIndex=3&amp;refID=7065572&amp;Result=3","7065572")</f>
        <v>0</v>
      </c>
      <c r="B10870" t="s">
        <v>2935</v>
      </c>
      <c r="C10870" t="s">
        <v>13880</v>
      </c>
      <c r="D10870" t="s">
        <v>18158</v>
      </c>
      <c r="E10870" t="s">
        <v>27622</v>
      </c>
      <c r="F10870" t="s">
        <v>31362</v>
      </c>
      <c r="G10870" t="s">
        <v>31369</v>
      </c>
      <c r="H10870" t="s">
        <v>15799</v>
      </c>
      <c r="I10870" t="s">
        <v>6373</v>
      </c>
      <c r="J10870" t="s">
        <v>38151</v>
      </c>
      <c r="K10870" t="s">
        <v>40666</v>
      </c>
      <c r="M10870" t="s">
        <v>44155</v>
      </c>
      <c r="N10870" t="s">
        <v>44905</v>
      </c>
      <c r="O10870" t="s">
        <v>44906</v>
      </c>
      <c r="P10870">
        <v>0</v>
      </c>
      <c r="Q10870">
        <v>3</v>
      </c>
      <c r="R10870" t="s">
        <v>44915</v>
      </c>
      <c r="S10870" t="s">
        <v>45255</v>
      </c>
      <c r="T10870" t="s">
        <v>46504</v>
      </c>
      <c r="U10870" t="s">
        <v>55632</v>
      </c>
      <c r="V10870" t="s">
        <v>60228</v>
      </c>
      <c r="W10870" t="s">
        <v>60949</v>
      </c>
      <c r="X10870" t="s">
        <v>44916</v>
      </c>
    </row>
    <row r="10871" spans="1:24">
      <c r="A10871">
        <f>HYPERLINK("https://www.philgeps.gov.ph/GEPSNONPILOT/Tender/SplashBidNoticeAbstractUI.aspx?menuIndex=3&amp;refID=7067064&amp;Result=3","7067064")</f>
        <v>0</v>
      </c>
      <c r="B10871" t="s">
        <v>672</v>
      </c>
      <c r="C10871" t="s">
        <v>13881</v>
      </c>
      <c r="D10871" t="s">
        <v>18103</v>
      </c>
      <c r="E10871" t="s">
        <v>27623</v>
      </c>
      <c r="F10871" t="s">
        <v>31362</v>
      </c>
      <c r="G10871" t="s">
        <v>31369</v>
      </c>
      <c r="H10871" t="s">
        <v>31378</v>
      </c>
      <c r="I10871" t="s">
        <v>31386</v>
      </c>
      <c r="J10871" t="s">
        <v>36377</v>
      </c>
      <c r="K10871" t="s">
        <v>40679</v>
      </c>
      <c r="M10871" t="s">
        <v>41634</v>
      </c>
      <c r="N10871" t="s">
        <v>44905</v>
      </c>
      <c r="O10871" t="s">
        <v>44906</v>
      </c>
      <c r="P10871">
        <v>0</v>
      </c>
      <c r="Q10871">
        <v>4</v>
      </c>
      <c r="R10871" t="s">
        <v>44915</v>
      </c>
      <c r="S10871" t="s">
        <v>45255</v>
      </c>
      <c r="T10871" t="s">
        <v>46479</v>
      </c>
      <c r="U10871" t="s">
        <v>55561</v>
      </c>
      <c r="W10871" t="s">
        <v>60863</v>
      </c>
      <c r="X10871" t="s">
        <v>44916</v>
      </c>
    </row>
    <row r="10872" spans="1:24">
      <c r="A10872">
        <f>HYPERLINK("https://www.philgeps.gov.ph/GEPSNONPILOT/Tender/SplashBidNoticeAbstractUI.aspx?menuIndex=3&amp;refID=7067213&amp;Result=3","7067213")</f>
        <v>0</v>
      </c>
      <c r="B10872" t="s">
        <v>2760</v>
      </c>
      <c r="C10872" t="s">
        <v>13882</v>
      </c>
      <c r="D10872" t="s">
        <v>18123</v>
      </c>
      <c r="E10872" t="s">
        <v>24321</v>
      </c>
      <c r="F10872" t="s">
        <v>31362</v>
      </c>
      <c r="G10872" t="s">
        <v>31369</v>
      </c>
      <c r="H10872" t="s">
        <v>15799</v>
      </c>
      <c r="I10872" t="s">
        <v>31414</v>
      </c>
      <c r="J10872" t="s">
        <v>38152</v>
      </c>
      <c r="K10872" t="s">
        <v>40670</v>
      </c>
      <c r="M10872" t="s">
        <v>43951</v>
      </c>
      <c r="N10872" t="s">
        <v>44905</v>
      </c>
      <c r="O10872" t="s">
        <v>44906</v>
      </c>
      <c r="P10872">
        <v>0</v>
      </c>
      <c r="Q10872">
        <v>0</v>
      </c>
      <c r="R10872" t="s">
        <v>44915</v>
      </c>
      <c r="S10872" t="s">
        <v>45255</v>
      </c>
      <c r="T10872" t="s">
        <v>46409</v>
      </c>
      <c r="U10872" t="s">
        <v>55633</v>
      </c>
      <c r="V10872" t="s">
        <v>60229</v>
      </c>
      <c r="W10872" t="s">
        <v>43951</v>
      </c>
      <c r="X10872" t="s">
        <v>44916</v>
      </c>
    </row>
    <row r="10873" spans="1:24">
      <c r="A10873">
        <f>HYPERLINK("https://www.philgeps.gov.ph/GEPSNONPILOT/Tender/SplashBidNoticeAbstractUI.aspx?menuIndex=3&amp;refID=7066996&amp;Result=3","7066996")</f>
        <v>0</v>
      </c>
      <c r="B10873" t="s">
        <v>824</v>
      </c>
      <c r="C10873" t="s">
        <v>13883</v>
      </c>
      <c r="D10873" t="s">
        <v>18131</v>
      </c>
      <c r="E10873" t="s">
        <v>27624</v>
      </c>
      <c r="F10873" t="s">
        <v>31362</v>
      </c>
      <c r="G10873" t="s">
        <v>31369</v>
      </c>
      <c r="H10873" t="s">
        <v>15799</v>
      </c>
      <c r="I10873" t="s">
        <v>3582</v>
      </c>
      <c r="J10873" t="s">
        <v>38153</v>
      </c>
      <c r="K10873" t="s">
        <v>40677</v>
      </c>
      <c r="M10873" t="s">
        <v>41797</v>
      </c>
      <c r="N10873" t="s">
        <v>44905</v>
      </c>
      <c r="O10873" t="s">
        <v>44906</v>
      </c>
      <c r="P10873">
        <v>0</v>
      </c>
      <c r="Q10873">
        <v>6</v>
      </c>
      <c r="R10873" t="s">
        <v>44915</v>
      </c>
      <c r="S10873" t="s">
        <v>45255</v>
      </c>
      <c r="T10873" t="s">
        <v>46479</v>
      </c>
      <c r="U10873" t="s">
        <v>55634</v>
      </c>
      <c r="W10873" t="s">
        <v>60954</v>
      </c>
      <c r="X10873" t="s">
        <v>44916</v>
      </c>
    </row>
    <row r="10874" spans="1:24">
      <c r="A10874">
        <f>HYPERLINK("https://www.philgeps.gov.ph/GEPSNONPILOT/Tender/SplashBidNoticeAbstractUI.aspx?menuIndex=3&amp;refID=7067017&amp;Result=3","7067017")</f>
        <v>0</v>
      </c>
      <c r="B10874" t="s">
        <v>2989</v>
      </c>
      <c r="C10874" t="s">
        <v>13884</v>
      </c>
      <c r="D10874" t="s">
        <v>18143</v>
      </c>
      <c r="E10874" t="s">
        <v>27625</v>
      </c>
      <c r="F10874" t="s">
        <v>31362</v>
      </c>
      <c r="G10874" t="s">
        <v>31373</v>
      </c>
      <c r="H10874" t="s">
        <v>31378</v>
      </c>
      <c r="I10874" t="s">
        <v>31386</v>
      </c>
      <c r="J10874" t="s">
        <v>38154</v>
      </c>
      <c r="K10874" t="s">
        <v>40683</v>
      </c>
      <c r="M10874" t="s">
        <v>44215</v>
      </c>
      <c r="N10874" t="s">
        <v>44905</v>
      </c>
      <c r="O10874" t="s">
        <v>44906</v>
      </c>
      <c r="P10874">
        <v>0</v>
      </c>
      <c r="Q10874">
        <v>3</v>
      </c>
      <c r="R10874" t="s">
        <v>44915</v>
      </c>
      <c r="S10874" t="s">
        <v>45255</v>
      </c>
      <c r="T10874" t="s">
        <v>46392</v>
      </c>
      <c r="U10874" t="s">
        <v>55635</v>
      </c>
      <c r="V10874" t="s">
        <v>60227</v>
      </c>
      <c r="W10874" t="s">
        <v>44215</v>
      </c>
      <c r="X10874" t="s">
        <v>44916</v>
      </c>
    </row>
    <row r="10875" spans="1:24">
      <c r="A10875">
        <f>HYPERLINK("https://www.philgeps.gov.ph/GEPSNONPILOT/Tender/SplashBidNoticeAbstractUI.aspx?menuIndex=3&amp;refID=7067195&amp;Result=3","7067195")</f>
        <v>0</v>
      </c>
      <c r="B10875" t="s">
        <v>2991</v>
      </c>
      <c r="C10875" t="s">
        <v>13885</v>
      </c>
      <c r="D10875" t="s">
        <v>18148</v>
      </c>
      <c r="E10875" t="s">
        <v>18464</v>
      </c>
      <c r="F10875" t="s">
        <v>31362</v>
      </c>
      <c r="G10875" t="s">
        <v>31368</v>
      </c>
      <c r="H10875" t="s">
        <v>15799</v>
      </c>
      <c r="I10875" t="s">
        <v>6373</v>
      </c>
      <c r="J10875" t="s">
        <v>32146</v>
      </c>
      <c r="K10875" t="s">
        <v>40666</v>
      </c>
      <c r="M10875" t="s">
        <v>44218</v>
      </c>
      <c r="N10875" t="s">
        <v>44905</v>
      </c>
      <c r="O10875" t="s">
        <v>44906</v>
      </c>
      <c r="P10875">
        <v>0</v>
      </c>
      <c r="Q10875">
        <v>4</v>
      </c>
      <c r="R10875" t="s">
        <v>44915</v>
      </c>
      <c r="S10875" t="s">
        <v>45255</v>
      </c>
      <c r="T10875" t="s">
        <v>46828</v>
      </c>
      <c r="U10875" t="s">
        <v>47273</v>
      </c>
      <c r="W10875" t="s">
        <v>44218</v>
      </c>
      <c r="X10875" t="s">
        <v>44916</v>
      </c>
    </row>
    <row r="10876" spans="1:24">
      <c r="A10876">
        <f>HYPERLINK("https://www.philgeps.gov.ph/GEPSNONPILOT/Tender/SplashBidNoticeAbstractUI.aspx?menuIndex=3&amp;refID=7067188&amp;Result=3","7067188")</f>
        <v>0</v>
      </c>
      <c r="B10876" t="s">
        <v>2837</v>
      </c>
      <c r="C10876" t="s">
        <v>13886</v>
      </c>
      <c r="D10876" t="s">
        <v>18140</v>
      </c>
      <c r="E10876" t="s">
        <v>27626</v>
      </c>
      <c r="F10876" t="s">
        <v>31362</v>
      </c>
      <c r="G10876" t="s">
        <v>31369</v>
      </c>
      <c r="H10876" t="s">
        <v>31378</v>
      </c>
      <c r="I10876" t="s">
        <v>31386</v>
      </c>
      <c r="J10876" t="s">
        <v>38155</v>
      </c>
      <c r="K10876" t="s">
        <v>40676</v>
      </c>
      <c r="M10876" t="s">
        <v>44038</v>
      </c>
      <c r="N10876" t="s">
        <v>44905</v>
      </c>
      <c r="O10876" t="s">
        <v>44906</v>
      </c>
      <c r="P10876">
        <v>0</v>
      </c>
      <c r="Q10876">
        <v>0</v>
      </c>
      <c r="R10876" t="s">
        <v>44915</v>
      </c>
      <c r="S10876" t="s">
        <v>45255</v>
      </c>
      <c r="T10876" t="s">
        <v>46392</v>
      </c>
      <c r="U10876" t="s">
        <v>55636</v>
      </c>
      <c r="W10876" t="s">
        <v>44038</v>
      </c>
      <c r="X10876" t="s">
        <v>44916</v>
      </c>
    </row>
    <row r="10877" spans="1:24">
      <c r="A10877">
        <f>HYPERLINK("https://www.philgeps.gov.ph/GEPSNONPILOT/Tender/SplashBidNoticeAbstractUI.aspx?menuIndex=3&amp;refID=7067071&amp;Result=3","7067071")</f>
        <v>0</v>
      </c>
      <c r="B10877" t="s">
        <v>672</v>
      </c>
      <c r="C10877" t="s">
        <v>13887</v>
      </c>
      <c r="D10877" t="s">
        <v>18103</v>
      </c>
      <c r="E10877" t="s">
        <v>27627</v>
      </c>
      <c r="F10877" t="s">
        <v>31362</v>
      </c>
      <c r="G10877" t="s">
        <v>31369</v>
      </c>
      <c r="H10877" t="s">
        <v>31378</v>
      </c>
      <c r="I10877" t="s">
        <v>31386</v>
      </c>
      <c r="J10877" t="s">
        <v>36377</v>
      </c>
      <c r="K10877" t="s">
        <v>40675</v>
      </c>
      <c r="M10877" t="s">
        <v>41634</v>
      </c>
      <c r="N10877" t="s">
        <v>44905</v>
      </c>
      <c r="O10877" t="s">
        <v>44906</v>
      </c>
      <c r="P10877">
        <v>0</v>
      </c>
      <c r="Q10877">
        <v>4</v>
      </c>
      <c r="R10877" t="s">
        <v>44915</v>
      </c>
      <c r="S10877" t="s">
        <v>45255</v>
      </c>
      <c r="T10877" t="s">
        <v>46479</v>
      </c>
      <c r="U10877" t="s">
        <v>55561</v>
      </c>
      <c r="W10877" t="s">
        <v>60863</v>
      </c>
      <c r="X10877" t="s">
        <v>44916</v>
      </c>
    </row>
    <row r="10878" spans="1:24">
      <c r="A10878">
        <f>HYPERLINK("https://www.philgeps.gov.ph/GEPSNONPILOT/Tender/SplashBidNoticeAbstractUI.aspx?menuIndex=3&amp;refID=7067187&amp;Result=3","7067187")</f>
        <v>0</v>
      </c>
      <c r="B10878" t="s">
        <v>716</v>
      </c>
      <c r="C10878" t="s">
        <v>13888</v>
      </c>
      <c r="D10878" t="s">
        <v>18160</v>
      </c>
      <c r="E10878" t="s">
        <v>27628</v>
      </c>
      <c r="F10878" t="s">
        <v>31362</v>
      </c>
      <c r="G10878" t="s">
        <v>31369</v>
      </c>
      <c r="H10878" t="s">
        <v>15799</v>
      </c>
      <c r="I10878" t="s">
        <v>31459</v>
      </c>
      <c r="J10878" t="s">
        <v>38156</v>
      </c>
      <c r="K10878" t="s">
        <v>40665</v>
      </c>
      <c r="M10878" t="s">
        <v>43557</v>
      </c>
      <c r="N10878" t="s">
        <v>44905</v>
      </c>
      <c r="O10878" t="s">
        <v>44906</v>
      </c>
      <c r="P10878">
        <v>0</v>
      </c>
      <c r="Q10878">
        <v>4</v>
      </c>
      <c r="R10878" t="s">
        <v>44915</v>
      </c>
      <c r="S10878" t="s">
        <v>45255</v>
      </c>
      <c r="T10878" t="s">
        <v>46696</v>
      </c>
      <c r="U10878" t="s">
        <v>55637</v>
      </c>
      <c r="W10878" t="s">
        <v>60933</v>
      </c>
      <c r="X10878" t="s">
        <v>44916</v>
      </c>
    </row>
    <row r="10879" spans="1:24">
      <c r="A10879">
        <f>HYPERLINK("https://www.philgeps.gov.ph/GEPSNONPILOT/Tender/SplashBidNoticeAbstractUI.aspx?menuIndex=3&amp;refID=7067179&amp;Result=3","7067179")</f>
        <v>0</v>
      </c>
      <c r="B10879" t="s">
        <v>853</v>
      </c>
      <c r="C10879" t="s">
        <v>13889</v>
      </c>
      <c r="D10879" t="s">
        <v>18108</v>
      </c>
      <c r="E10879" t="s">
        <v>23459</v>
      </c>
      <c r="F10879" t="s">
        <v>31362</v>
      </c>
      <c r="G10879" t="s">
        <v>31369</v>
      </c>
      <c r="H10879" t="s">
        <v>31379</v>
      </c>
      <c r="I10879" t="s">
        <v>31388</v>
      </c>
      <c r="J10879" t="s">
        <v>38157</v>
      </c>
      <c r="K10879" t="s">
        <v>40699</v>
      </c>
      <c r="M10879" t="s">
        <v>41829</v>
      </c>
      <c r="N10879" t="s">
        <v>44905</v>
      </c>
      <c r="O10879" t="s">
        <v>44906</v>
      </c>
      <c r="P10879">
        <v>0</v>
      </c>
      <c r="Q10879">
        <v>3</v>
      </c>
      <c r="R10879" t="s">
        <v>44915</v>
      </c>
      <c r="S10879" t="s">
        <v>45255</v>
      </c>
      <c r="T10879" t="s">
        <v>46519</v>
      </c>
      <c r="U10879" t="s">
        <v>55638</v>
      </c>
      <c r="W10879" t="s">
        <v>41829</v>
      </c>
      <c r="X10879" t="s">
        <v>44916</v>
      </c>
    </row>
    <row r="10880" spans="1:24">
      <c r="A10880">
        <f>HYPERLINK("https://www.philgeps.gov.ph/GEPSNONPILOT/Tender/SplashBidNoticeAbstractUI.aspx?menuIndex=3&amp;refID=7067151&amp;Result=3","7067151")</f>
        <v>0</v>
      </c>
      <c r="B10880" t="s">
        <v>327</v>
      </c>
      <c r="C10880" t="s">
        <v>13890</v>
      </c>
      <c r="E10880" t="s">
        <v>27629</v>
      </c>
      <c r="F10880" t="s">
        <v>31362</v>
      </c>
      <c r="G10880" t="s">
        <v>31369</v>
      </c>
      <c r="H10880" t="s">
        <v>15799</v>
      </c>
      <c r="I10880" t="s">
        <v>31388</v>
      </c>
      <c r="J10880" t="s">
        <v>38158</v>
      </c>
      <c r="K10880" t="s">
        <v>40720</v>
      </c>
      <c r="M10880" t="s">
        <v>44099</v>
      </c>
      <c r="N10880" t="s">
        <v>44905</v>
      </c>
      <c r="O10880" t="s">
        <v>44906</v>
      </c>
      <c r="P10880">
        <v>0</v>
      </c>
      <c r="Q10880">
        <v>5</v>
      </c>
      <c r="R10880" t="s">
        <v>44915</v>
      </c>
      <c r="S10880" t="s">
        <v>45255</v>
      </c>
      <c r="T10880" t="s">
        <v>46486</v>
      </c>
      <c r="U10880" t="s">
        <v>55639</v>
      </c>
      <c r="W10880" t="s">
        <v>44099</v>
      </c>
      <c r="X10880" t="s">
        <v>44916</v>
      </c>
    </row>
    <row r="10881" spans="1:24">
      <c r="A10881">
        <f>HYPERLINK("https://www.philgeps.gov.ph/GEPSNONPILOT/Tender/SplashBidNoticeAbstractUI.aspx?menuIndex=3&amp;refID=7067146&amp;Result=3","7067146")</f>
        <v>0</v>
      </c>
      <c r="B10881" t="s">
        <v>2952</v>
      </c>
      <c r="C10881" t="s">
        <v>13891</v>
      </c>
      <c r="D10881" t="s">
        <v>18165</v>
      </c>
      <c r="E10881" t="s">
        <v>27630</v>
      </c>
      <c r="F10881" t="s">
        <v>31362</v>
      </c>
      <c r="G10881" t="s">
        <v>31369</v>
      </c>
      <c r="H10881" t="s">
        <v>31378</v>
      </c>
      <c r="I10881" t="s">
        <v>31386</v>
      </c>
      <c r="J10881" t="s">
        <v>38159</v>
      </c>
      <c r="K10881" t="s">
        <v>40686</v>
      </c>
      <c r="M10881" t="s">
        <v>44175</v>
      </c>
      <c r="N10881" t="s">
        <v>44905</v>
      </c>
      <c r="O10881" t="s">
        <v>44906</v>
      </c>
      <c r="P10881">
        <v>0</v>
      </c>
      <c r="Q10881">
        <v>1</v>
      </c>
      <c r="R10881" t="s">
        <v>44915</v>
      </c>
      <c r="S10881" t="s">
        <v>45255</v>
      </c>
      <c r="T10881" t="s">
        <v>46392</v>
      </c>
      <c r="U10881" t="s">
        <v>55503</v>
      </c>
      <c r="W10881" t="s">
        <v>44175</v>
      </c>
      <c r="X10881" t="s">
        <v>44916</v>
      </c>
    </row>
    <row r="10882" spans="1:24">
      <c r="A10882">
        <f>HYPERLINK("https://www.philgeps.gov.ph/GEPSNONPILOT/Tender/SplashBidNoticeAbstractUI.aspx?menuIndex=3&amp;refID=7067120&amp;Result=3","7067120")</f>
        <v>0</v>
      </c>
      <c r="B10882" t="s">
        <v>327</v>
      </c>
      <c r="C10882" t="s">
        <v>13892</v>
      </c>
      <c r="E10882" t="s">
        <v>27631</v>
      </c>
      <c r="F10882" t="s">
        <v>31362</v>
      </c>
      <c r="G10882" t="s">
        <v>31369</v>
      </c>
      <c r="H10882" t="s">
        <v>15799</v>
      </c>
      <c r="I10882" t="s">
        <v>31409</v>
      </c>
      <c r="J10882" t="s">
        <v>38160</v>
      </c>
      <c r="K10882" t="s">
        <v>40686</v>
      </c>
      <c r="M10882" t="s">
        <v>44099</v>
      </c>
      <c r="N10882" t="s">
        <v>44905</v>
      </c>
      <c r="O10882" t="s">
        <v>44906</v>
      </c>
      <c r="P10882">
        <v>0</v>
      </c>
      <c r="Q10882">
        <v>15</v>
      </c>
      <c r="R10882" t="s">
        <v>44915</v>
      </c>
      <c r="S10882" t="s">
        <v>45255</v>
      </c>
      <c r="T10882" t="s">
        <v>46486</v>
      </c>
      <c r="U10882" t="s">
        <v>55640</v>
      </c>
      <c r="W10882" t="s">
        <v>44099</v>
      </c>
      <c r="X10882" t="s">
        <v>44916</v>
      </c>
    </row>
    <row r="10883" spans="1:24">
      <c r="A10883">
        <f>HYPERLINK("https://www.philgeps.gov.ph/GEPSNONPILOT/Tender/SplashBidNoticeAbstractUI.aspx?menuIndex=3&amp;refID=7067208&amp;Result=3","7067208")</f>
        <v>0</v>
      </c>
      <c r="B10883" t="s">
        <v>2992</v>
      </c>
      <c r="C10883" t="s">
        <v>13893</v>
      </c>
      <c r="D10883" t="s">
        <v>18108</v>
      </c>
      <c r="E10883" t="s">
        <v>10823</v>
      </c>
      <c r="F10883" t="s">
        <v>31362</v>
      </c>
      <c r="G10883" t="s">
        <v>31369</v>
      </c>
      <c r="H10883" t="s">
        <v>31378</v>
      </c>
      <c r="I10883" t="s">
        <v>31386</v>
      </c>
      <c r="J10883" t="s">
        <v>33482</v>
      </c>
      <c r="K10883" t="s">
        <v>40675</v>
      </c>
      <c r="M10883" t="s">
        <v>44219</v>
      </c>
      <c r="N10883" t="s">
        <v>44905</v>
      </c>
      <c r="O10883" t="s">
        <v>44906</v>
      </c>
      <c r="P10883">
        <v>0</v>
      </c>
      <c r="Q10883">
        <v>2</v>
      </c>
      <c r="R10883" t="s">
        <v>44915</v>
      </c>
      <c r="S10883" t="s">
        <v>45255</v>
      </c>
      <c r="T10883" t="s">
        <v>46463</v>
      </c>
      <c r="U10883" t="s">
        <v>55641</v>
      </c>
      <c r="W10883" t="s">
        <v>44219</v>
      </c>
      <c r="X10883" t="s">
        <v>44916</v>
      </c>
    </row>
    <row r="10884" spans="1:24">
      <c r="A10884">
        <f>HYPERLINK("https://www.philgeps.gov.ph/GEPSNONPILOT/Tender/SplashBidNoticeAbstractUI.aspx?menuIndex=3&amp;refID=7066545&amp;Result=3","7066545")</f>
        <v>0</v>
      </c>
      <c r="B10884" t="s">
        <v>2840</v>
      </c>
      <c r="C10884" t="s">
        <v>13894</v>
      </c>
      <c r="D10884" t="s">
        <v>18120</v>
      </c>
      <c r="E10884" t="s">
        <v>27632</v>
      </c>
      <c r="F10884" t="s">
        <v>31362</v>
      </c>
      <c r="G10884" t="s">
        <v>31369</v>
      </c>
      <c r="H10884" t="s">
        <v>31378</v>
      </c>
      <c r="I10884" t="s">
        <v>31386</v>
      </c>
      <c r="J10884" t="s">
        <v>38161</v>
      </c>
      <c r="K10884" t="s">
        <v>40675</v>
      </c>
      <c r="M10884" t="s">
        <v>44041</v>
      </c>
      <c r="N10884" t="s">
        <v>44905</v>
      </c>
      <c r="O10884" t="s">
        <v>44906</v>
      </c>
      <c r="P10884">
        <v>0</v>
      </c>
      <c r="Q10884">
        <v>0</v>
      </c>
      <c r="R10884" t="s">
        <v>44915</v>
      </c>
      <c r="S10884" t="s">
        <v>45255</v>
      </c>
      <c r="T10884" t="s">
        <v>46490</v>
      </c>
      <c r="U10884" t="s">
        <v>55534</v>
      </c>
      <c r="V10884" t="s">
        <v>60210</v>
      </c>
      <c r="W10884" t="s">
        <v>60943</v>
      </c>
      <c r="X10884" t="s">
        <v>44916</v>
      </c>
    </row>
    <row r="10885" spans="1:24">
      <c r="A10885">
        <f>HYPERLINK("https://www.philgeps.gov.ph/GEPSNONPILOT/Tender/SplashBidNoticeAbstractUI.aspx?menuIndex=3&amp;refID=7067153&amp;Result=3","7067153")</f>
        <v>0</v>
      </c>
      <c r="B10885" t="s">
        <v>233</v>
      </c>
      <c r="C10885" t="s">
        <v>13895</v>
      </c>
      <c r="D10885" t="s">
        <v>18108</v>
      </c>
      <c r="E10885" t="s">
        <v>27633</v>
      </c>
      <c r="F10885" t="s">
        <v>31362</v>
      </c>
      <c r="G10885" t="s">
        <v>31369</v>
      </c>
      <c r="H10885" t="s">
        <v>15799</v>
      </c>
      <c r="I10885" t="s">
        <v>31400</v>
      </c>
      <c r="J10885" t="s">
        <v>38162</v>
      </c>
      <c r="K10885" t="s">
        <v>40883</v>
      </c>
      <c r="M10885" t="s">
        <v>44220</v>
      </c>
      <c r="N10885" t="s">
        <v>44905</v>
      </c>
      <c r="O10885" t="s">
        <v>44906</v>
      </c>
      <c r="P10885">
        <v>0</v>
      </c>
      <c r="Q10885">
        <v>11</v>
      </c>
      <c r="R10885" t="s">
        <v>44915</v>
      </c>
      <c r="S10885" t="s">
        <v>45255</v>
      </c>
      <c r="T10885" t="s">
        <v>46638</v>
      </c>
      <c r="U10885" t="s">
        <v>55642</v>
      </c>
      <c r="V10885" t="s">
        <v>60230</v>
      </c>
      <c r="W10885" t="s">
        <v>44220</v>
      </c>
      <c r="X10885" t="s">
        <v>44916</v>
      </c>
    </row>
    <row r="10886" spans="1:24">
      <c r="A10886">
        <f>HYPERLINK("https://www.philgeps.gov.ph/GEPSNONPILOT/Tender/SplashBidNoticeAbstractUI.aspx?menuIndex=3&amp;refID=7067077&amp;Result=3","7067077")</f>
        <v>0</v>
      </c>
      <c r="B10886" t="s">
        <v>672</v>
      </c>
      <c r="C10886" t="s">
        <v>13896</v>
      </c>
      <c r="D10886" t="s">
        <v>18103</v>
      </c>
      <c r="E10886" t="s">
        <v>27634</v>
      </c>
      <c r="F10886" t="s">
        <v>31362</v>
      </c>
      <c r="G10886" t="s">
        <v>31369</v>
      </c>
      <c r="H10886" t="s">
        <v>31378</v>
      </c>
      <c r="I10886" t="s">
        <v>31386</v>
      </c>
      <c r="J10886" t="s">
        <v>36310</v>
      </c>
      <c r="K10886" t="s">
        <v>40675</v>
      </c>
      <c r="M10886" t="s">
        <v>41634</v>
      </c>
      <c r="N10886" t="s">
        <v>44905</v>
      </c>
      <c r="O10886" t="s">
        <v>44906</v>
      </c>
      <c r="P10886">
        <v>0</v>
      </c>
      <c r="Q10886">
        <v>6</v>
      </c>
      <c r="R10886" t="s">
        <v>44915</v>
      </c>
      <c r="S10886" t="s">
        <v>45255</v>
      </c>
      <c r="T10886" t="s">
        <v>46479</v>
      </c>
      <c r="U10886" t="s">
        <v>55561</v>
      </c>
      <c r="W10886" t="s">
        <v>60863</v>
      </c>
      <c r="X10886" t="s">
        <v>44916</v>
      </c>
    </row>
    <row r="10887" spans="1:24">
      <c r="A10887">
        <f>HYPERLINK("https://www.philgeps.gov.ph/GEPSNONPILOT/Tender/SplashBidNoticeAbstractUI.aspx?menuIndex=3&amp;refID=7067051&amp;Result=3","7067051")</f>
        <v>0</v>
      </c>
      <c r="B10887" t="s">
        <v>672</v>
      </c>
      <c r="C10887" t="s">
        <v>13897</v>
      </c>
      <c r="D10887" t="s">
        <v>18103</v>
      </c>
      <c r="E10887" t="s">
        <v>27635</v>
      </c>
      <c r="F10887" t="s">
        <v>31362</v>
      </c>
      <c r="G10887" t="s">
        <v>31369</v>
      </c>
      <c r="H10887" t="s">
        <v>31378</v>
      </c>
      <c r="I10887" t="s">
        <v>31386</v>
      </c>
      <c r="J10887" t="s">
        <v>36377</v>
      </c>
      <c r="K10887" t="s">
        <v>40679</v>
      </c>
      <c r="M10887" t="s">
        <v>41634</v>
      </c>
      <c r="N10887" t="s">
        <v>44905</v>
      </c>
      <c r="O10887" t="s">
        <v>44906</v>
      </c>
      <c r="P10887">
        <v>0</v>
      </c>
      <c r="Q10887">
        <v>4</v>
      </c>
      <c r="R10887" t="s">
        <v>44915</v>
      </c>
      <c r="S10887" t="s">
        <v>45255</v>
      </c>
      <c r="T10887" t="s">
        <v>46479</v>
      </c>
      <c r="U10887" t="s">
        <v>55561</v>
      </c>
      <c r="W10887" t="s">
        <v>60863</v>
      </c>
      <c r="X10887" t="s">
        <v>44916</v>
      </c>
    </row>
    <row r="10888" spans="1:24">
      <c r="A10888">
        <f>HYPERLINK("https://www.philgeps.gov.ph/GEPSNONPILOT/Tender/SplashBidNoticeAbstractUI.aspx?menuIndex=3&amp;refID=7067076&amp;Result=3","7067076")</f>
        <v>0</v>
      </c>
      <c r="B10888" t="s">
        <v>672</v>
      </c>
      <c r="C10888" t="s">
        <v>13898</v>
      </c>
      <c r="D10888" t="s">
        <v>18103</v>
      </c>
      <c r="E10888" t="s">
        <v>27636</v>
      </c>
      <c r="F10888" t="s">
        <v>31362</v>
      </c>
      <c r="G10888" t="s">
        <v>31369</v>
      </c>
      <c r="H10888" t="s">
        <v>31378</v>
      </c>
      <c r="I10888" t="s">
        <v>31386</v>
      </c>
      <c r="J10888" t="s">
        <v>38163</v>
      </c>
      <c r="K10888" t="s">
        <v>40679</v>
      </c>
      <c r="M10888" t="s">
        <v>41634</v>
      </c>
      <c r="N10888" t="s">
        <v>44905</v>
      </c>
      <c r="O10888" t="s">
        <v>44906</v>
      </c>
      <c r="P10888">
        <v>0</v>
      </c>
      <c r="Q10888">
        <v>5</v>
      </c>
      <c r="R10888" t="s">
        <v>44915</v>
      </c>
      <c r="S10888" t="s">
        <v>45255</v>
      </c>
      <c r="T10888" t="s">
        <v>46479</v>
      </c>
      <c r="U10888" t="s">
        <v>55561</v>
      </c>
      <c r="W10888" t="s">
        <v>60863</v>
      </c>
      <c r="X10888" t="s">
        <v>44916</v>
      </c>
    </row>
    <row r="10889" spans="1:24">
      <c r="A10889">
        <f>HYPERLINK("https://www.philgeps.gov.ph/GEPSNONPILOT/Tender/SplashBidNoticeAbstractUI.aspx?menuIndex=3&amp;refID=7067081&amp;Result=3","7067081")</f>
        <v>0</v>
      </c>
      <c r="B10889" t="s">
        <v>672</v>
      </c>
      <c r="C10889" t="s">
        <v>13899</v>
      </c>
      <c r="D10889" t="s">
        <v>18103</v>
      </c>
      <c r="E10889" t="s">
        <v>27637</v>
      </c>
      <c r="F10889" t="s">
        <v>31362</v>
      </c>
      <c r="G10889" t="s">
        <v>31369</v>
      </c>
      <c r="H10889" t="s">
        <v>31378</v>
      </c>
      <c r="I10889" t="s">
        <v>31386</v>
      </c>
      <c r="J10889" t="s">
        <v>35968</v>
      </c>
      <c r="K10889" t="s">
        <v>40679</v>
      </c>
      <c r="M10889" t="s">
        <v>41634</v>
      </c>
      <c r="N10889" t="s">
        <v>44905</v>
      </c>
      <c r="O10889" t="s">
        <v>44906</v>
      </c>
      <c r="P10889">
        <v>0</v>
      </c>
      <c r="Q10889">
        <v>6</v>
      </c>
      <c r="R10889" t="s">
        <v>44915</v>
      </c>
      <c r="S10889" t="s">
        <v>45255</v>
      </c>
      <c r="T10889" t="s">
        <v>46479</v>
      </c>
      <c r="U10889" t="s">
        <v>55561</v>
      </c>
      <c r="W10889" t="s">
        <v>60863</v>
      </c>
      <c r="X10889" t="s">
        <v>44916</v>
      </c>
    </row>
    <row r="10890" spans="1:24">
      <c r="A10890">
        <f>HYPERLINK("https://www.philgeps.gov.ph/GEPSNONPILOT/Tender/SplashBidNoticeAbstractUI.aspx?menuIndex=3&amp;refID=7067073&amp;Result=3","7067073")</f>
        <v>0</v>
      </c>
      <c r="B10890" t="s">
        <v>672</v>
      </c>
      <c r="C10890" t="s">
        <v>13900</v>
      </c>
      <c r="D10890" t="s">
        <v>18103</v>
      </c>
      <c r="E10890" t="s">
        <v>27638</v>
      </c>
      <c r="F10890" t="s">
        <v>31362</v>
      </c>
      <c r="G10890" t="s">
        <v>31369</v>
      </c>
      <c r="H10890" t="s">
        <v>31378</v>
      </c>
      <c r="I10890" t="s">
        <v>31386</v>
      </c>
      <c r="J10890" t="s">
        <v>36377</v>
      </c>
      <c r="K10890" t="s">
        <v>40682</v>
      </c>
      <c r="M10890" t="s">
        <v>41634</v>
      </c>
      <c r="N10890" t="s">
        <v>44905</v>
      </c>
      <c r="O10890" t="s">
        <v>44906</v>
      </c>
      <c r="P10890">
        <v>0</v>
      </c>
      <c r="Q10890">
        <v>4</v>
      </c>
      <c r="R10890" t="s">
        <v>44915</v>
      </c>
      <c r="S10890" t="s">
        <v>45255</v>
      </c>
      <c r="T10890" t="s">
        <v>46479</v>
      </c>
      <c r="U10890" t="s">
        <v>55561</v>
      </c>
      <c r="W10890" t="s">
        <v>60863</v>
      </c>
      <c r="X10890" t="s">
        <v>44916</v>
      </c>
    </row>
    <row r="10891" spans="1:24">
      <c r="A10891">
        <f>HYPERLINK("https://www.philgeps.gov.ph/GEPSNONPILOT/Tender/SplashBidNoticeAbstractUI.aspx?menuIndex=3&amp;refID=7067072&amp;Result=3","7067072")</f>
        <v>0</v>
      </c>
      <c r="B10891" t="s">
        <v>2093</v>
      </c>
      <c r="C10891" t="s">
        <v>13901</v>
      </c>
      <c r="D10891" t="s">
        <v>18101</v>
      </c>
      <c r="E10891" t="s">
        <v>27639</v>
      </c>
      <c r="F10891" t="s">
        <v>31362</v>
      </c>
      <c r="G10891" t="s">
        <v>31369</v>
      </c>
      <c r="H10891" t="s">
        <v>15799</v>
      </c>
      <c r="I10891" t="s">
        <v>3815</v>
      </c>
      <c r="J10891" t="s">
        <v>31886</v>
      </c>
      <c r="K10891" t="s">
        <v>40670</v>
      </c>
      <c r="M10891" t="s">
        <v>43217</v>
      </c>
      <c r="N10891" t="s">
        <v>44905</v>
      </c>
      <c r="O10891" t="s">
        <v>44906</v>
      </c>
      <c r="P10891">
        <v>0</v>
      </c>
      <c r="Q10891">
        <v>0</v>
      </c>
      <c r="R10891" t="s">
        <v>44915</v>
      </c>
      <c r="S10891" t="s">
        <v>45255</v>
      </c>
      <c r="T10891" t="s">
        <v>46393</v>
      </c>
      <c r="U10891" t="s">
        <v>55643</v>
      </c>
      <c r="W10891" t="s">
        <v>43217</v>
      </c>
      <c r="X10891" t="s">
        <v>44916</v>
      </c>
    </row>
    <row r="10892" spans="1:24">
      <c r="A10892">
        <f>HYPERLINK("https://www.philgeps.gov.ph/GEPSNONPILOT/Tender/SplashBidNoticeAbstractUI.aspx?menuIndex=3&amp;refID=7065566&amp;Result=3","7065566")</f>
        <v>0</v>
      </c>
      <c r="B10892" t="s">
        <v>192</v>
      </c>
      <c r="C10892" t="s">
        <v>13902</v>
      </c>
      <c r="D10892" t="s">
        <v>18122</v>
      </c>
      <c r="E10892" t="s">
        <v>27640</v>
      </c>
      <c r="F10892" t="s">
        <v>31362</v>
      </c>
      <c r="G10892" t="s">
        <v>31369</v>
      </c>
      <c r="H10892" t="s">
        <v>15799</v>
      </c>
      <c r="I10892" t="s">
        <v>31382</v>
      </c>
      <c r="J10892" t="s">
        <v>38164</v>
      </c>
      <c r="K10892" t="s">
        <v>40662</v>
      </c>
      <c r="M10892" t="s">
        <v>41130</v>
      </c>
      <c r="N10892" t="s">
        <v>44905</v>
      </c>
      <c r="O10892" t="s">
        <v>44906</v>
      </c>
      <c r="P10892">
        <v>0</v>
      </c>
      <c r="Q10892">
        <v>13</v>
      </c>
      <c r="R10892" t="s">
        <v>44915</v>
      </c>
      <c r="S10892" t="s">
        <v>45255</v>
      </c>
      <c r="T10892" t="s">
        <v>46809</v>
      </c>
      <c r="U10892" t="s">
        <v>55644</v>
      </c>
      <c r="V10892" t="s">
        <v>60219</v>
      </c>
      <c r="W10892" t="s">
        <v>41130</v>
      </c>
      <c r="X10892" t="s">
        <v>44916</v>
      </c>
    </row>
    <row r="10893" spans="1:24">
      <c r="A10893">
        <f>HYPERLINK("https://www.philgeps.gov.ph/GEPSNONPILOT/Tender/SplashBidNoticeAbstractUI.aspx?menuIndex=3&amp;refID=7067079&amp;Result=3","7067079")</f>
        <v>0</v>
      </c>
      <c r="B10893" t="s">
        <v>672</v>
      </c>
      <c r="C10893" t="s">
        <v>13903</v>
      </c>
      <c r="D10893" t="s">
        <v>18103</v>
      </c>
      <c r="E10893" t="s">
        <v>27641</v>
      </c>
      <c r="F10893" t="s">
        <v>31362</v>
      </c>
      <c r="G10893" t="s">
        <v>31369</v>
      </c>
      <c r="H10893" t="s">
        <v>31378</v>
      </c>
      <c r="I10893" t="s">
        <v>31386</v>
      </c>
      <c r="J10893" t="s">
        <v>33670</v>
      </c>
      <c r="K10893" t="s">
        <v>40679</v>
      </c>
      <c r="M10893" t="s">
        <v>41634</v>
      </c>
      <c r="N10893" t="s">
        <v>44905</v>
      </c>
      <c r="O10893" t="s">
        <v>44906</v>
      </c>
      <c r="P10893">
        <v>0</v>
      </c>
      <c r="Q10893">
        <v>6</v>
      </c>
      <c r="R10893" t="s">
        <v>44915</v>
      </c>
      <c r="S10893" t="s">
        <v>45255</v>
      </c>
      <c r="T10893" t="s">
        <v>46479</v>
      </c>
      <c r="U10893" t="s">
        <v>55561</v>
      </c>
      <c r="W10893" t="s">
        <v>60863</v>
      </c>
      <c r="X10893" t="s">
        <v>44916</v>
      </c>
    </row>
    <row r="10894" spans="1:24">
      <c r="A10894">
        <f>HYPERLINK("https://www.philgeps.gov.ph/GEPSNONPILOT/Tender/SplashBidNoticeAbstractUI.aspx?menuIndex=3&amp;refID=7066947&amp;Result=3","7066947")</f>
        <v>0</v>
      </c>
      <c r="B10894" t="s">
        <v>2783</v>
      </c>
      <c r="C10894" t="s">
        <v>13904</v>
      </c>
      <c r="D10894" t="s">
        <v>18148</v>
      </c>
      <c r="E10894" t="s">
        <v>27642</v>
      </c>
      <c r="F10894" t="s">
        <v>31363</v>
      </c>
      <c r="G10894" t="s">
        <v>31369</v>
      </c>
      <c r="H10894" t="s">
        <v>15799</v>
      </c>
      <c r="I10894" t="s">
        <v>4283</v>
      </c>
      <c r="J10894" t="s">
        <v>38165</v>
      </c>
      <c r="K10894" t="s">
        <v>40665</v>
      </c>
      <c r="M10894" t="s">
        <v>43977</v>
      </c>
      <c r="N10894" t="s">
        <v>44905</v>
      </c>
      <c r="O10894" t="s">
        <v>44906</v>
      </c>
      <c r="P10894">
        <v>0</v>
      </c>
      <c r="Q10894">
        <v>0</v>
      </c>
      <c r="R10894" t="s">
        <v>44915</v>
      </c>
      <c r="S10894" t="s">
        <v>45255</v>
      </c>
      <c r="T10894" t="s">
        <v>46533</v>
      </c>
      <c r="U10894" t="s">
        <v>55645</v>
      </c>
      <c r="V10894" t="s">
        <v>60204</v>
      </c>
      <c r="W10894" t="s">
        <v>43977</v>
      </c>
      <c r="X10894" t="s">
        <v>44916</v>
      </c>
    </row>
    <row r="10895" spans="1:24">
      <c r="A10895">
        <f>HYPERLINK("https://www.philgeps.gov.ph/GEPSNONPILOT/Tender/SplashBidNoticeAbstractUI.aspx?menuIndex=3&amp;refID=7067113&amp;Result=3","7067113")</f>
        <v>0</v>
      </c>
      <c r="B10895" t="s">
        <v>2952</v>
      </c>
      <c r="C10895" t="s">
        <v>13905</v>
      </c>
      <c r="D10895" t="s">
        <v>18165</v>
      </c>
      <c r="E10895" t="s">
        <v>27643</v>
      </c>
      <c r="F10895" t="s">
        <v>31362</v>
      </c>
      <c r="G10895" t="s">
        <v>31369</v>
      </c>
      <c r="H10895" t="s">
        <v>31378</v>
      </c>
      <c r="I10895" t="s">
        <v>31386</v>
      </c>
      <c r="J10895" t="s">
        <v>38166</v>
      </c>
      <c r="K10895" t="s">
        <v>40759</v>
      </c>
      <c r="M10895" t="s">
        <v>44175</v>
      </c>
      <c r="N10895" t="s">
        <v>44905</v>
      </c>
      <c r="O10895" t="s">
        <v>44906</v>
      </c>
      <c r="P10895">
        <v>0</v>
      </c>
      <c r="Q10895">
        <v>1</v>
      </c>
      <c r="R10895" t="s">
        <v>44915</v>
      </c>
      <c r="S10895" t="s">
        <v>45255</v>
      </c>
      <c r="T10895" t="s">
        <v>46392</v>
      </c>
      <c r="U10895" t="s">
        <v>55503</v>
      </c>
      <c r="W10895" t="s">
        <v>44175</v>
      </c>
      <c r="X10895" t="s">
        <v>44916</v>
      </c>
    </row>
    <row r="10896" spans="1:24">
      <c r="A10896">
        <f>HYPERLINK("https://www.philgeps.gov.ph/GEPSNONPILOT/Tender/SplashBidNoticeAbstractUI.aspx?menuIndex=3&amp;refID=7067296&amp;Result=3","7067296")</f>
        <v>0</v>
      </c>
      <c r="B10896" t="s">
        <v>2868</v>
      </c>
      <c r="C10896" t="s">
        <v>13906</v>
      </c>
      <c r="D10896" t="s">
        <v>18107</v>
      </c>
      <c r="E10896" t="s">
        <v>27644</v>
      </c>
      <c r="F10896" t="s">
        <v>31362</v>
      </c>
      <c r="G10896" t="s">
        <v>31369</v>
      </c>
      <c r="H10896" t="s">
        <v>31378</v>
      </c>
      <c r="I10896" t="s">
        <v>31386</v>
      </c>
      <c r="J10896" t="s">
        <v>38167</v>
      </c>
      <c r="K10896" t="s">
        <v>40675</v>
      </c>
      <c r="M10896" t="s">
        <v>44073</v>
      </c>
      <c r="N10896" t="s">
        <v>44905</v>
      </c>
      <c r="O10896" t="s">
        <v>44906</v>
      </c>
      <c r="P10896">
        <v>0</v>
      </c>
      <c r="Q10896">
        <v>0</v>
      </c>
      <c r="R10896" t="s">
        <v>44915</v>
      </c>
      <c r="S10896" t="s">
        <v>45255</v>
      </c>
      <c r="T10896" t="s">
        <v>46462</v>
      </c>
      <c r="U10896" t="s">
        <v>55646</v>
      </c>
      <c r="W10896" t="s">
        <v>60945</v>
      </c>
      <c r="X10896" t="s">
        <v>44916</v>
      </c>
    </row>
    <row r="10897" spans="1:24">
      <c r="A10897">
        <f>HYPERLINK("https://www.philgeps.gov.ph/GEPSNONPILOT/Tender/SplashBidNoticeAbstractUI.aspx?menuIndex=3&amp;refID=7067078&amp;Result=3","7067078")</f>
        <v>0</v>
      </c>
      <c r="B10897" t="s">
        <v>672</v>
      </c>
      <c r="C10897" t="s">
        <v>13907</v>
      </c>
      <c r="D10897" t="s">
        <v>18103</v>
      </c>
      <c r="E10897" t="s">
        <v>27645</v>
      </c>
      <c r="F10897" t="s">
        <v>31362</v>
      </c>
      <c r="G10897" t="s">
        <v>31369</v>
      </c>
      <c r="H10897" t="s">
        <v>31378</v>
      </c>
      <c r="I10897" t="s">
        <v>31386</v>
      </c>
      <c r="J10897" t="s">
        <v>31726</v>
      </c>
      <c r="K10897" t="s">
        <v>40694</v>
      </c>
      <c r="M10897" t="s">
        <v>41634</v>
      </c>
      <c r="N10897" t="s">
        <v>44905</v>
      </c>
      <c r="O10897" t="s">
        <v>44906</v>
      </c>
      <c r="P10897">
        <v>0</v>
      </c>
      <c r="Q10897">
        <v>5</v>
      </c>
      <c r="R10897" t="s">
        <v>44915</v>
      </c>
      <c r="S10897" t="s">
        <v>45255</v>
      </c>
      <c r="T10897" t="s">
        <v>46479</v>
      </c>
      <c r="U10897" t="s">
        <v>55561</v>
      </c>
      <c r="W10897" t="s">
        <v>60863</v>
      </c>
      <c r="X10897" t="s">
        <v>44916</v>
      </c>
    </row>
    <row r="10898" spans="1:24">
      <c r="A10898">
        <f>HYPERLINK("https://www.philgeps.gov.ph/GEPSNONPILOT/Tender/SplashBidNoticeAbstractUI.aspx?menuIndex=3&amp;refID=7061816&amp;Result=3","7061816")</f>
        <v>0</v>
      </c>
      <c r="B10898" t="s">
        <v>1417</v>
      </c>
      <c r="C10898" t="s">
        <v>13908</v>
      </c>
      <c r="E10898" t="s">
        <v>27646</v>
      </c>
      <c r="F10898" t="s">
        <v>31362</v>
      </c>
      <c r="G10898" t="s">
        <v>31369</v>
      </c>
      <c r="H10898" t="s">
        <v>15799</v>
      </c>
      <c r="I10898" t="s">
        <v>31404</v>
      </c>
      <c r="J10898" t="s">
        <v>38168</v>
      </c>
      <c r="K10898" t="s">
        <v>40662</v>
      </c>
      <c r="M10898" t="s">
        <v>42443</v>
      </c>
      <c r="N10898" t="s">
        <v>44905</v>
      </c>
      <c r="O10898" t="s">
        <v>44906</v>
      </c>
      <c r="P10898">
        <v>0</v>
      </c>
      <c r="Q10898">
        <v>0</v>
      </c>
      <c r="R10898" t="s">
        <v>44915</v>
      </c>
      <c r="S10898" t="s">
        <v>45255</v>
      </c>
      <c r="T10898" t="s">
        <v>46561</v>
      </c>
      <c r="U10898" t="s">
        <v>55647</v>
      </c>
      <c r="W10898" t="s">
        <v>42443</v>
      </c>
      <c r="X10898" t="s">
        <v>44917</v>
      </c>
    </row>
    <row r="10899" spans="1:24">
      <c r="A10899">
        <f>HYPERLINK("https://www.philgeps.gov.ph/GEPSNONPILOT/Tender/SplashBidNoticeAbstractUI.aspx?menuIndex=3&amp;refID=7067290&amp;Result=3","7067290")</f>
        <v>0</v>
      </c>
      <c r="B10899" t="s">
        <v>2874</v>
      </c>
      <c r="C10899" t="s">
        <v>13909</v>
      </c>
      <c r="D10899" t="s">
        <v>18108</v>
      </c>
      <c r="E10899" t="s">
        <v>27647</v>
      </c>
      <c r="F10899" t="s">
        <v>31362</v>
      </c>
      <c r="G10899" t="s">
        <v>31369</v>
      </c>
      <c r="H10899" t="s">
        <v>15799</v>
      </c>
      <c r="I10899" t="s">
        <v>31409</v>
      </c>
      <c r="J10899" t="s">
        <v>38169</v>
      </c>
      <c r="K10899" t="s">
        <v>40665</v>
      </c>
      <c r="M10899" t="s">
        <v>44082</v>
      </c>
      <c r="N10899" t="s">
        <v>44905</v>
      </c>
      <c r="O10899" t="s">
        <v>44906</v>
      </c>
      <c r="P10899">
        <v>0</v>
      </c>
      <c r="Q10899">
        <v>15</v>
      </c>
      <c r="R10899" t="s">
        <v>44915</v>
      </c>
      <c r="S10899" t="s">
        <v>45255</v>
      </c>
      <c r="T10899" t="s">
        <v>46479</v>
      </c>
      <c r="U10899" t="s">
        <v>55648</v>
      </c>
      <c r="W10899" t="s">
        <v>44082</v>
      </c>
      <c r="X10899" t="s">
        <v>44916</v>
      </c>
    </row>
    <row r="10900" spans="1:24">
      <c r="A10900">
        <f>HYPERLINK("https://www.philgeps.gov.ph/GEPSNONPILOT/Tender/SplashBidNoticeAbstractUI.aspx?menuIndex=3&amp;refID=7067282&amp;Result=3","7067282")</f>
        <v>0</v>
      </c>
      <c r="B10900" t="s">
        <v>2993</v>
      </c>
      <c r="C10900" t="s">
        <v>13910</v>
      </c>
      <c r="D10900" t="s">
        <v>18141</v>
      </c>
      <c r="E10900" t="s">
        <v>27648</v>
      </c>
      <c r="F10900" t="s">
        <v>31362</v>
      </c>
      <c r="G10900" t="s">
        <v>31369</v>
      </c>
      <c r="H10900" t="s">
        <v>31379</v>
      </c>
      <c r="I10900" t="s">
        <v>31497</v>
      </c>
      <c r="J10900" t="s">
        <v>38170</v>
      </c>
      <c r="K10900" t="s">
        <v>40679</v>
      </c>
      <c r="M10900" t="s">
        <v>44221</v>
      </c>
      <c r="N10900" t="s">
        <v>44905</v>
      </c>
      <c r="O10900" t="s">
        <v>44906</v>
      </c>
      <c r="P10900">
        <v>0</v>
      </c>
      <c r="Q10900">
        <v>0</v>
      </c>
      <c r="R10900" t="s">
        <v>44915</v>
      </c>
      <c r="S10900" t="s">
        <v>45255</v>
      </c>
      <c r="T10900" t="s">
        <v>46418</v>
      </c>
      <c r="U10900" t="s">
        <v>55649</v>
      </c>
      <c r="W10900" t="s">
        <v>44221</v>
      </c>
      <c r="X10900" t="s">
        <v>44916</v>
      </c>
    </row>
    <row r="10901" spans="1:24">
      <c r="A10901">
        <f>HYPERLINK("https://www.philgeps.gov.ph/GEPSNONPILOT/Tender/SplashBidNoticeAbstractUI.aspx?menuIndex=3&amp;refID=7067294&amp;Result=3","7067294")</f>
        <v>0</v>
      </c>
      <c r="B10901" t="s">
        <v>2993</v>
      </c>
      <c r="C10901" t="s">
        <v>13911</v>
      </c>
      <c r="D10901" t="s">
        <v>18141</v>
      </c>
      <c r="E10901" t="s">
        <v>27649</v>
      </c>
      <c r="F10901" t="s">
        <v>31362</v>
      </c>
      <c r="G10901" t="s">
        <v>31369</v>
      </c>
      <c r="H10901" t="s">
        <v>31379</v>
      </c>
      <c r="I10901" t="s">
        <v>31422</v>
      </c>
      <c r="J10901" t="s">
        <v>38171</v>
      </c>
      <c r="K10901" t="s">
        <v>40665</v>
      </c>
      <c r="M10901" t="s">
        <v>44221</v>
      </c>
      <c r="N10901" t="s">
        <v>44905</v>
      </c>
      <c r="O10901" t="s">
        <v>44906</v>
      </c>
      <c r="P10901">
        <v>0</v>
      </c>
      <c r="Q10901">
        <v>4</v>
      </c>
      <c r="R10901" t="s">
        <v>44915</v>
      </c>
      <c r="S10901" t="s">
        <v>45255</v>
      </c>
      <c r="T10901" t="s">
        <v>46418</v>
      </c>
      <c r="U10901" t="s">
        <v>55650</v>
      </c>
      <c r="W10901" t="s">
        <v>44221</v>
      </c>
      <c r="X10901" t="s">
        <v>44916</v>
      </c>
    </row>
    <row r="10902" spans="1:24">
      <c r="A10902">
        <f>HYPERLINK("https://www.philgeps.gov.ph/GEPSNONPILOT/Tender/SplashBidNoticeAbstractUI.aspx?menuIndex=3&amp;refID=7065562&amp;Result=3","7065562")</f>
        <v>0</v>
      </c>
      <c r="B10902" t="s">
        <v>2994</v>
      </c>
      <c r="C10902" t="s">
        <v>13912</v>
      </c>
      <c r="D10902" t="s">
        <v>18113</v>
      </c>
      <c r="E10902" t="s">
        <v>27650</v>
      </c>
      <c r="F10902" t="s">
        <v>31362</v>
      </c>
      <c r="G10902" t="s">
        <v>31368</v>
      </c>
      <c r="H10902" t="s">
        <v>15799</v>
      </c>
      <c r="I10902" t="s">
        <v>7188</v>
      </c>
      <c r="J10902" t="s">
        <v>34071</v>
      </c>
      <c r="K10902" t="s">
        <v>40665</v>
      </c>
      <c r="M10902" t="s">
        <v>44222</v>
      </c>
      <c r="N10902" t="s">
        <v>44905</v>
      </c>
      <c r="O10902" t="s">
        <v>44906</v>
      </c>
      <c r="P10902">
        <v>0</v>
      </c>
      <c r="Q10902">
        <v>4</v>
      </c>
      <c r="R10902" t="s">
        <v>44915</v>
      </c>
      <c r="S10902" t="s">
        <v>45255</v>
      </c>
      <c r="T10902" t="s">
        <v>46432</v>
      </c>
      <c r="U10902" t="s">
        <v>55651</v>
      </c>
      <c r="W10902" t="s">
        <v>44222</v>
      </c>
      <c r="X10902" t="s">
        <v>44916</v>
      </c>
    </row>
    <row r="10903" spans="1:24">
      <c r="A10903">
        <f>HYPERLINK("https://www.philgeps.gov.ph/GEPSNONPILOT/Tender/SplashBidNoticeAbstractUI.aspx?menuIndex=3&amp;refID=7067268&amp;Result=3","7067268")</f>
        <v>0</v>
      </c>
      <c r="B10903" t="s">
        <v>2995</v>
      </c>
      <c r="C10903" t="s">
        <v>13913</v>
      </c>
      <c r="D10903" t="s">
        <v>18109</v>
      </c>
      <c r="E10903" t="s">
        <v>27651</v>
      </c>
      <c r="F10903" t="s">
        <v>31362</v>
      </c>
      <c r="G10903" t="s">
        <v>31369</v>
      </c>
      <c r="H10903" t="s">
        <v>15799</v>
      </c>
      <c r="I10903" t="s">
        <v>7188</v>
      </c>
      <c r="J10903" t="s">
        <v>31902</v>
      </c>
      <c r="K10903" t="s">
        <v>40665</v>
      </c>
      <c r="M10903" t="s">
        <v>44223</v>
      </c>
      <c r="N10903" t="s">
        <v>44905</v>
      </c>
      <c r="O10903" t="s">
        <v>44906</v>
      </c>
      <c r="P10903">
        <v>0</v>
      </c>
      <c r="Q10903">
        <v>1</v>
      </c>
      <c r="R10903" t="s">
        <v>44915</v>
      </c>
      <c r="S10903" t="s">
        <v>45255</v>
      </c>
      <c r="T10903" t="s">
        <v>46524</v>
      </c>
      <c r="U10903" t="s">
        <v>55652</v>
      </c>
      <c r="W10903" t="s">
        <v>44223</v>
      </c>
      <c r="X10903" t="s">
        <v>44916</v>
      </c>
    </row>
    <row r="10904" spans="1:24">
      <c r="A10904">
        <f>HYPERLINK("https://www.philgeps.gov.ph/GEPSNONPILOT/Tender/SplashBidNoticeAbstractUI.aspx?menuIndex=3&amp;refID=7067288&amp;Result=3","7067288")</f>
        <v>0</v>
      </c>
      <c r="B10904" t="s">
        <v>883</v>
      </c>
      <c r="C10904" t="s">
        <v>13914</v>
      </c>
      <c r="D10904" t="s">
        <v>18156</v>
      </c>
      <c r="E10904" t="s">
        <v>27265</v>
      </c>
      <c r="F10904" t="s">
        <v>31362</v>
      </c>
      <c r="G10904" t="s">
        <v>31369</v>
      </c>
      <c r="H10904" t="s">
        <v>15799</v>
      </c>
      <c r="I10904" t="s">
        <v>31400</v>
      </c>
      <c r="J10904" t="s">
        <v>38172</v>
      </c>
      <c r="K10904" t="s">
        <v>40682</v>
      </c>
      <c r="M10904" t="s">
        <v>41861</v>
      </c>
      <c r="N10904" t="s">
        <v>44905</v>
      </c>
      <c r="O10904" t="s">
        <v>44906</v>
      </c>
      <c r="P10904">
        <v>0</v>
      </c>
      <c r="Q10904">
        <v>5</v>
      </c>
      <c r="R10904" t="s">
        <v>44915</v>
      </c>
      <c r="S10904" t="s">
        <v>45255</v>
      </c>
      <c r="T10904" t="s">
        <v>46462</v>
      </c>
      <c r="U10904" t="s">
        <v>55653</v>
      </c>
      <c r="W10904" t="s">
        <v>41861</v>
      </c>
      <c r="X10904" t="s">
        <v>44916</v>
      </c>
    </row>
    <row r="10905" spans="1:24">
      <c r="A10905">
        <f>HYPERLINK("https://www.philgeps.gov.ph/GEPSNONPILOT/Tender/SplashBidNoticeAbstractUI.aspx?menuIndex=3&amp;refID=7067258&amp;Result=3","7067258")</f>
        <v>0</v>
      </c>
      <c r="B10905" t="s">
        <v>2995</v>
      </c>
      <c r="C10905" t="s">
        <v>13915</v>
      </c>
      <c r="D10905" t="s">
        <v>18109</v>
      </c>
      <c r="E10905" t="s">
        <v>27652</v>
      </c>
      <c r="F10905" t="s">
        <v>31362</v>
      </c>
      <c r="G10905" t="s">
        <v>31369</v>
      </c>
      <c r="H10905" t="s">
        <v>15799</v>
      </c>
      <c r="I10905" t="s">
        <v>31404</v>
      </c>
      <c r="J10905" t="s">
        <v>38173</v>
      </c>
      <c r="K10905" t="s">
        <v>40665</v>
      </c>
      <c r="M10905" t="s">
        <v>44223</v>
      </c>
      <c r="N10905" t="s">
        <v>44905</v>
      </c>
      <c r="O10905" t="s">
        <v>44906</v>
      </c>
      <c r="P10905">
        <v>0</v>
      </c>
      <c r="Q10905">
        <v>0</v>
      </c>
      <c r="R10905" t="s">
        <v>44915</v>
      </c>
      <c r="S10905" t="s">
        <v>45255</v>
      </c>
      <c r="T10905" t="s">
        <v>46524</v>
      </c>
      <c r="U10905" t="s">
        <v>55654</v>
      </c>
      <c r="W10905" t="s">
        <v>44223</v>
      </c>
      <c r="X10905" t="s">
        <v>44916</v>
      </c>
    </row>
    <row r="10906" spans="1:24">
      <c r="A10906">
        <f>HYPERLINK("https://www.philgeps.gov.ph/GEPSNONPILOT/Tender/SplashBidNoticeAbstractUI.aspx?menuIndex=3&amp;refID=7067284&amp;Result=3","7067284")</f>
        <v>0</v>
      </c>
      <c r="B10906" t="s">
        <v>1601</v>
      </c>
      <c r="C10906" t="s">
        <v>13916</v>
      </c>
      <c r="D10906" t="s">
        <v>18100</v>
      </c>
      <c r="E10906" t="s">
        <v>20662</v>
      </c>
      <c r="F10906" t="s">
        <v>31362</v>
      </c>
      <c r="G10906" t="s">
        <v>31369</v>
      </c>
      <c r="H10906" t="s">
        <v>15799</v>
      </c>
      <c r="I10906" t="s">
        <v>31390</v>
      </c>
      <c r="J10906" t="s">
        <v>38174</v>
      </c>
      <c r="K10906" t="s">
        <v>40693</v>
      </c>
      <c r="M10906" t="s">
        <v>42660</v>
      </c>
      <c r="N10906" t="s">
        <v>44905</v>
      </c>
      <c r="O10906" t="s">
        <v>44906</v>
      </c>
      <c r="P10906">
        <v>0</v>
      </c>
      <c r="Q10906">
        <v>0</v>
      </c>
      <c r="R10906" t="s">
        <v>44915</v>
      </c>
      <c r="S10906" t="s">
        <v>45255</v>
      </c>
      <c r="T10906" t="s">
        <v>46432</v>
      </c>
      <c r="U10906" t="s">
        <v>55655</v>
      </c>
      <c r="W10906" t="s">
        <v>42660</v>
      </c>
      <c r="X10906" t="s">
        <v>44916</v>
      </c>
    </row>
    <row r="10907" spans="1:24">
      <c r="A10907">
        <f>HYPERLINK("https://www.philgeps.gov.ph/GEPSNONPILOT/Tender/SplashBidNoticeAbstractUI.aspx?menuIndex=3&amp;refID=7067257&amp;Result=3","7067257")</f>
        <v>0</v>
      </c>
      <c r="B10907" t="s">
        <v>43</v>
      </c>
      <c r="C10907" t="s">
        <v>13917</v>
      </c>
      <c r="D10907" t="s">
        <v>18111</v>
      </c>
      <c r="E10907" t="s">
        <v>20721</v>
      </c>
      <c r="F10907" t="s">
        <v>31362</v>
      </c>
      <c r="G10907" t="s">
        <v>31369</v>
      </c>
      <c r="H10907" t="s">
        <v>31378</v>
      </c>
      <c r="I10907" t="s">
        <v>31386</v>
      </c>
      <c r="J10907" t="s">
        <v>38175</v>
      </c>
      <c r="K10907" t="s">
        <v>40859</v>
      </c>
      <c r="M10907" t="s">
        <v>40977</v>
      </c>
      <c r="N10907" t="s">
        <v>44905</v>
      </c>
      <c r="O10907" t="s">
        <v>44906</v>
      </c>
      <c r="P10907">
        <v>0</v>
      </c>
      <c r="Q10907">
        <v>2</v>
      </c>
      <c r="R10907" t="s">
        <v>44915</v>
      </c>
      <c r="S10907" t="s">
        <v>45255</v>
      </c>
      <c r="T10907" t="s">
        <v>46822</v>
      </c>
      <c r="U10907" t="s">
        <v>55656</v>
      </c>
      <c r="V10907" t="s">
        <v>60231</v>
      </c>
      <c r="W10907" t="s">
        <v>40977</v>
      </c>
      <c r="X10907" t="s">
        <v>44916</v>
      </c>
    </row>
    <row r="10908" spans="1:24">
      <c r="A10908">
        <f>HYPERLINK("https://www.philgeps.gov.ph/GEPSNONPILOT/Tender/SplashBidNoticeAbstractUI.aspx?menuIndex=3&amp;refID=7067244&amp;Result=3","7067244")</f>
        <v>0</v>
      </c>
      <c r="B10908" t="s">
        <v>2996</v>
      </c>
      <c r="C10908" t="s">
        <v>13918</v>
      </c>
      <c r="D10908" t="s">
        <v>18134</v>
      </c>
      <c r="E10908" t="s">
        <v>20195</v>
      </c>
      <c r="F10908" t="s">
        <v>31362</v>
      </c>
      <c r="G10908" t="s">
        <v>31369</v>
      </c>
      <c r="H10908" t="s">
        <v>31378</v>
      </c>
      <c r="I10908" t="s">
        <v>31386</v>
      </c>
      <c r="J10908" t="s">
        <v>31919</v>
      </c>
      <c r="K10908" t="s">
        <v>40666</v>
      </c>
      <c r="M10908" t="s">
        <v>44224</v>
      </c>
      <c r="N10908" t="s">
        <v>44905</v>
      </c>
      <c r="O10908" t="s">
        <v>44906</v>
      </c>
      <c r="P10908">
        <v>0</v>
      </c>
      <c r="Q10908">
        <v>0</v>
      </c>
      <c r="R10908" t="s">
        <v>44915</v>
      </c>
      <c r="S10908" t="s">
        <v>45255</v>
      </c>
      <c r="T10908" t="s">
        <v>46426</v>
      </c>
      <c r="U10908" t="s">
        <v>55657</v>
      </c>
      <c r="W10908" t="s">
        <v>44224</v>
      </c>
      <c r="X10908" t="s">
        <v>44916</v>
      </c>
    </row>
    <row r="10909" spans="1:24">
      <c r="A10909">
        <f>HYPERLINK("https://www.philgeps.gov.ph/GEPSNONPILOT/Tender/SplashBidNoticeAbstractUI.aspx?menuIndex=3&amp;refID=7067266&amp;Result=3","7067266")</f>
        <v>0</v>
      </c>
      <c r="B10909" t="s">
        <v>2874</v>
      </c>
      <c r="C10909" t="s">
        <v>13919</v>
      </c>
      <c r="D10909" t="s">
        <v>18108</v>
      </c>
      <c r="E10909" t="s">
        <v>27653</v>
      </c>
      <c r="F10909" t="s">
        <v>31362</v>
      </c>
      <c r="G10909" t="s">
        <v>31369</v>
      </c>
      <c r="H10909" t="s">
        <v>31379</v>
      </c>
      <c r="I10909" t="s">
        <v>31473</v>
      </c>
      <c r="J10909" t="s">
        <v>37306</v>
      </c>
      <c r="K10909" t="s">
        <v>40723</v>
      </c>
      <c r="M10909" t="s">
        <v>44082</v>
      </c>
      <c r="N10909" t="s">
        <v>44905</v>
      </c>
      <c r="O10909" t="s">
        <v>44906</v>
      </c>
      <c r="P10909">
        <v>0</v>
      </c>
      <c r="Q10909">
        <v>4</v>
      </c>
      <c r="R10909" t="s">
        <v>44915</v>
      </c>
      <c r="S10909" t="s">
        <v>45255</v>
      </c>
      <c r="T10909" t="s">
        <v>46829</v>
      </c>
      <c r="U10909" t="s">
        <v>55658</v>
      </c>
      <c r="W10909" t="s">
        <v>44082</v>
      </c>
      <c r="X10909" t="s">
        <v>44916</v>
      </c>
    </row>
    <row r="10910" spans="1:24">
      <c r="A10910">
        <f>HYPERLINK("https://www.philgeps.gov.ph/GEPSNONPILOT/Tender/SplashBidNoticeAbstractUI.aspx?menuIndex=3&amp;refID=7067262&amp;Result=3","7067262")</f>
        <v>0</v>
      </c>
      <c r="B10910" t="s">
        <v>2993</v>
      </c>
      <c r="C10910" t="s">
        <v>13920</v>
      </c>
      <c r="D10910" t="s">
        <v>18141</v>
      </c>
      <c r="E10910" t="s">
        <v>27654</v>
      </c>
      <c r="F10910" t="s">
        <v>31362</v>
      </c>
      <c r="G10910" t="s">
        <v>31369</v>
      </c>
      <c r="H10910" t="s">
        <v>15799</v>
      </c>
      <c r="I10910" t="s">
        <v>31411</v>
      </c>
      <c r="J10910" t="s">
        <v>38176</v>
      </c>
      <c r="K10910" t="s">
        <v>40665</v>
      </c>
      <c r="M10910" t="s">
        <v>44221</v>
      </c>
      <c r="N10910" t="s">
        <v>44905</v>
      </c>
      <c r="O10910" t="s">
        <v>44906</v>
      </c>
      <c r="P10910">
        <v>0</v>
      </c>
      <c r="Q10910">
        <v>4</v>
      </c>
      <c r="R10910" t="s">
        <v>44915</v>
      </c>
      <c r="S10910" t="s">
        <v>45255</v>
      </c>
      <c r="T10910" t="s">
        <v>46418</v>
      </c>
      <c r="U10910" t="s">
        <v>55659</v>
      </c>
      <c r="W10910" t="s">
        <v>44221</v>
      </c>
      <c r="X10910" t="s">
        <v>44916</v>
      </c>
    </row>
    <row r="10911" spans="1:24">
      <c r="A10911">
        <f>HYPERLINK("https://www.philgeps.gov.ph/GEPSNONPILOT/Tender/SplashBidNoticeAbstractUI.aspx?menuIndex=3&amp;refID=7067335&amp;Result=3","7067335")</f>
        <v>0</v>
      </c>
      <c r="B10911" t="s">
        <v>2997</v>
      </c>
      <c r="C10911" t="s">
        <v>13921</v>
      </c>
      <c r="D10911" t="s">
        <v>18108</v>
      </c>
      <c r="E10911" t="s">
        <v>13921</v>
      </c>
      <c r="F10911" t="s">
        <v>31362</v>
      </c>
      <c r="G10911" t="s">
        <v>31369</v>
      </c>
      <c r="H10911" t="s">
        <v>15799</v>
      </c>
      <c r="I10911" t="s">
        <v>4942</v>
      </c>
      <c r="J10911" t="s">
        <v>31634</v>
      </c>
      <c r="K10911" t="s">
        <v>40665</v>
      </c>
      <c r="M10911" t="s">
        <v>44225</v>
      </c>
      <c r="N10911" t="s">
        <v>44905</v>
      </c>
      <c r="O10911" t="s">
        <v>44906</v>
      </c>
      <c r="P10911">
        <v>0</v>
      </c>
      <c r="Q10911">
        <v>0</v>
      </c>
      <c r="R10911" t="s">
        <v>44915</v>
      </c>
      <c r="S10911" t="s">
        <v>45255</v>
      </c>
      <c r="T10911" t="s">
        <v>46418</v>
      </c>
      <c r="U10911" t="s">
        <v>55660</v>
      </c>
      <c r="W10911" t="s">
        <v>44225</v>
      </c>
      <c r="X10911" t="s">
        <v>44916</v>
      </c>
    </row>
    <row r="10912" spans="1:24">
      <c r="A10912">
        <f>HYPERLINK("https://www.philgeps.gov.ph/GEPSNONPILOT/Tender/SplashBidNoticeAbstractUI.aspx?menuIndex=3&amp;refID=7067334&amp;Result=3","7067334")</f>
        <v>0</v>
      </c>
      <c r="B10912" t="s">
        <v>2997</v>
      </c>
      <c r="C10912" t="s">
        <v>13922</v>
      </c>
      <c r="D10912" t="s">
        <v>18108</v>
      </c>
      <c r="E10912" t="s">
        <v>13922</v>
      </c>
      <c r="F10912" t="s">
        <v>31362</v>
      </c>
      <c r="G10912" t="s">
        <v>31369</v>
      </c>
      <c r="H10912" t="s">
        <v>15799</v>
      </c>
      <c r="I10912" t="s">
        <v>6373</v>
      </c>
      <c r="J10912" t="s">
        <v>38177</v>
      </c>
      <c r="K10912" t="s">
        <v>40665</v>
      </c>
      <c r="M10912" t="s">
        <v>44225</v>
      </c>
      <c r="N10912" t="s">
        <v>44905</v>
      </c>
      <c r="O10912" t="s">
        <v>44906</v>
      </c>
      <c r="P10912">
        <v>0</v>
      </c>
      <c r="Q10912">
        <v>1</v>
      </c>
      <c r="R10912" t="s">
        <v>44915</v>
      </c>
      <c r="S10912" t="s">
        <v>45255</v>
      </c>
      <c r="T10912" t="s">
        <v>46418</v>
      </c>
      <c r="U10912" t="s">
        <v>55661</v>
      </c>
      <c r="W10912" t="s">
        <v>44225</v>
      </c>
      <c r="X10912" t="s">
        <v>44916</v>
      </c>
    </row>
    <row r="10913" spans="1:24">
      <c r="A10913">
        <f>HYPERLINK("https://www.philgeps.gov.ph/GEPSNONPILOT/Tender/SplashBidNoticeAbstractUI.aspx?menuIndex=3&amp;refID=7067333&amp;Result=3","7067333")</f>
        <v>0</v>
      </c>
      <c r="B10913" t="s">
        <v>2997</v>
      </c>
      <c r="C10913" t="s">
        <v>13923</v>
      </c>
      <c r="D10913" t="s">
        <v>18108</v>
      </c>
      <c r="E10913" t="s">
        <v>13923</v>
      </c>
      <c r="F10913" t="s">
        <v>31362</v>
      </c>
      <c r="G10913" t="s">
        <v>31369</v>
      </c>
      <c r="H10913" t="s">
        <v>15799</v>
      </c>
      <c r="I10913" t="s">
        <v>6373</v>
      </c>
      <c r="J10913" t="s">
        <v>38178</v>
      </c>
      <c r="K10913" t="s">
        <v>40665</v>
      </c>
      <c r="M10913" t="s">
        <v>44225</v>
      </c>
      <c r="N10913" t="s">
        <v>44905</v>
      </c>
      <c r="O10913" t="s">
        <v>44906</v>
      </c>
      <c r="P10913">
        <v>0</v>
      </c>
      <c r="Q10913">
        <v>1</v>
      </c>
      <c r="R10913" t="s">
        <v>44915</v>
      </c>
      <c r="S10913" t="s">
        <v>45255</v>
      </c>
      <c r="T10913" t="s">
        <v>46418</v>
      </c>
      <c r="U10913" t="s">
        <v>55661</v>
      </c>
      <c r="W10913" t="s">
        <v>44225</v>
      </c>
      <c r="X10913" t="s">
        <v>44916</v>
      </c>
    </row>
    <row r="10914" spans="1:24">
      <c r="A10914">
        <f>HYPERLINK("https://www.philgeps.gov.ph/GEPSNONPILOT/Tender/SplashBidNoticeAbstractUI.aspx?menuIndex=3&amp;refID=7067248&amp;Result=3","7067248")</f>
        <v>0</v>
      </c>
      <c r="B10914" t="s">
        <v>1601</v>
      </c>
      <c r="C10914" t="s">
        <v>13924</v>
      </c>
      <c r="D10914" t="s">
        <v>18100</v>
      </c>
      <c r="E10914" t="s">
        <v>24221</v>
      </c>
      <c r="F10914" t="s">
        <v>31362</v>
      </c>
      <c r="G10914" t="s">
        <v>31369</v>
      </c>
      <c r="H10914" t="s">
        <v>15799</v>
      </c>
      <c r="I10914" t="s">
        <v>31390</v>
      </c>
      <c r="J10914" t="s">
        <v>38179</v>
      </c>
      <c r="K10914" t="s">
        <v>40693</v>
      </c>
      <c r="M10914" t="s">
        <v>42660</v>
      </c>
      <c r="N10914" t="s">
        <v>44905</v>
      </c>
      <c r="O10914" t="s">
        <v>44906</v>
      </c>
      <c r="P10914">
        <v>0</v>
      </c>
      <c r="Q10914">
        <v>0</v>
      </c>
      <c r="R10914" t="s">
        <v>44915</v>
      </c>
      <c r="S10914" t="s">
        <v>45255</v>
      </c>
      <c r="T10914" t="s">
        <v>46432</v>
      </c>
      <c r="U10914" t="s">
        <v>47749</v>
      </c>
      <c r="W10914" t="s">
        <v>42660</v>
      </c>
      <c r="X10914" t="s">
        <v>44916</v>
      </c>
    </row>
    <row r="10915" spans="1:24">
      <c r="A10915">
        <f>HYPERLINK("https://www.philgeps.gov.ph/GEPSNONPILOT/Tender/SplashBidNoticeAbstractUI.aspx?menuIndex=3&amp;refID=7067330&amp;Result=3","7067330")</f>
        <v>0</v>
      </c>
      <c r="B10915" t="s">
        <v>2997</v>
      </c>
      <c r="C10915" t="s">
        <v>13925</v>
      </c>
      <c r="D10915" t="s">
        <v>18108</v>
      </c>
      <c r="E10915" t="s">
        <v>13925</v>
      </c>
      <c r="F10915" t="s">
        <v>31362</v>
      </c>
      <c r="G10915" t="s">
        <v>31369</v>
      </c>
      <c r="H10915" t="s">
        <v>15799</v>
      </c>
      <c r="I10915" t="s">
        <v>6373</v>
      </c>
      <c r="J10915" t="s">
        <v>38180</v>
      </c>
      <c r="K10915" t="s">
        <v>40665</v>
      </c>
      <c r="M10915" t="s">
        <v>44225</v>
      </c>
      <c r="N10915" t="s">
        <v>44905</v>
      </c>
      <c r="O10915" t="s">
        <v>44906</v>
      </c>
      <c r="P10915">
        <v>0</v>
      </c>
      <c r="Q10915">
        <v>1</v>
      </c>
      <c r="R10915" t="s">
        <v>44915</v>
      </c>
      <c r="S10915" t="s">
        <v>45255</v>
      </c>
      <c r="T10915" t="s">
        <v>46418</v>
      </c>
      <c r="U10915" t="s">
        <v>55661</v>
      </c>
      <c r="W10915" t="s">
        <v>44225</v>
      </c>
      <c r="X10915" t="s">
        <v>44916</v>
      </c>
    </row>
    <row r="10916" spans="1:24">
      <c r="A10916">
        <f>HYPERLINK("https://www.philgeps.gov.ph/GEPSNONPILOT/Tender/SplashBidNoticeAbstractUI.aspx?menuIndex=3&amp;refID=7067326&amp;Result=3","7067326")</f>
        <v>0</v>
      </c>
      <c r="B10916" t="s">
        <v>176</v>
      </c>
      <c r="C10916" t="s">
        <v>13926</v>
      </c>
      <c r="D10916" t="s">
        <v>18108</v>
      </c>
      <c r="E10916" t="s">
        <v>27655</v>
      </c>
      <c r="F10916" t="s">
        <v>31362</v>
      </c>
      <c r="G10916" t="s">
        <v>31369</v>
      </c>
      <c r="H10916" t="s">
        <v>15799</v>
      </c>
      <c r="I10916" t="s">
        <v>31393</v>
      </c>
      <c r="J10916" t="s">
        <v>37306</v>
      </c>
      <c r="K10916" t="s">
        <v>40682</v>
      </c>
      <c r="M10916" t="s">
        <v>44226</v>
      </c>
      <c r="N10916" t="s">
        <v>44905</v>
      </c>
      <c r="O10916" t="s">
        <v>44906</v>
      </c>
      <c r="P10916">
        <v>0</v>
      </c>
      <c r="Q10916">
        <v>12</v>
      </c>
      <c r="R10916" t="s">
        <v>44915</v>
      </c>
      <c r="S10916" t="s">
        <v>45255</v>
      </c>
      <c r="T10916" t="s">
        <v>46504</v>
      </c>
      <c r="U10916" t="s">
        <v>55662</v>
      </c>
      <c r="W10916" t="s">
        <v>44226</v>
      </c>
      <c r="X10916" t="s">
        <v>44916</v>
      </c>
    </row>
    <row r="10917" spans="1:24">
      <c r="A10917">
        <f>HYPERLINK("https://www.philgeps.gov.ph/GEPSNONPILOT/Tender/SplashBidNoticeAbstractUI.aspx?menuIndex=3&amp;refID=7067325&amp;Result=3","7067325")</f>
        <v>0</v>
      </c>
      <c r="B10917" t="s">
        <v>2997</v>
      </c>
      <c r="C10917" t="s">
        <v>13927</v>
      </c>
      <c r="D10917" t="s">
        <v>18108</v>
      </c>
      <c r="E10917" t="s">
        <v>13927</v>
      </c>
      <c r="F10917" t="s">
        <v>31362</v>
      </c>
      <c r="G10917" t="s">
        <v>31369</v>
      </c>
      <c r="H10917" t="s">
        <v>15799</v>
      </c>
      <c r="I10917" t="s">
        <v>6373</v>
      </c>
      <c r="J10917" t="s">
        <v>33058</v>
      </c>
      <c r="K10917" t="s">
        <v>40665</v>
      </c>
      <c r="M10917" t="s">
        <v>44225</v>
      </c>
      <c r="N10917" t="s">
        <v>44905</v>
      </c>
      <c r="O10917" t="s">
        <v>44906</v>
      </c>
      <c r="P10917">
        <v>0</v>
      </c>
      <c r="Q10917">
        <v>1</v>
      </c>
      <c r="R10917" t="s">
        <v>44915</v>
      </c>
      <c r="S10917" t="s">
        <v>45255</v>
      </c>
      <c r="T10917" t="s">
        <v>46418</v>
      </c>
      <c r="U10917" t="s">
        <v>55661</v>
      </c>
      <c r="W10917" t="s">
        <v>44225</v>
      </c>
      <c r="X10917" t="s">
        <v>44916</v>
      </c>
    </row>
    <row r="10918" spans="1:24">
      <c r="A10918">
        <f>HYPERLINK("https://www.philgeps.gov.ph/GEPSNONPILOT/Tender/SplashBidNoticeAbstractUI.aspx?menuIndex=3&amp;refID=7067289&amp;Result=3","7067289")</f>
        <v>0</v>
      </c>
      <c r="B10918" t="s">
        <v>2993</v>
      </c>
      <c r="C10918" t="s">
        <v>13928</v>
      </c>
      <c r="D10918" t="s">
        <v>18141</v>
      </c>
      <c r="E10918" t="s">
        <v>27656</v>
      </c>
      <c r="F10918" t="s">
        <v>31362</v>
      </c>
      <c r="G10918" t="s">
        <v>31369</v>
      </c>
      <c r="H10918" t="s">
        <v>15799</v>
      </c>
      <c r="I10918" t="s">
        <v>6240</v>
      </c>
      <c r="J10918" t="s">
        <v>34011</v>
      </c>
      <c r="K10918" t="s">
        <v>40665</v>
      </c>
      <c r="M10918" t="s">
        <v>44221</v>
      </c>
      <c r="N10918" t="s">
        <v>44905</v>
      </c>
      <c r="O10918" t="s">
        <v>44906</v>
      </c>
      <c r="P10918">
        <v>0</v>
      </c>
      <c r="Q10918">
        <v>0</v>
      </c>
      <c r="R10918" t="s">
        <v>44915</v>
      </c>
      <c r="S10918" t="s">
        <v>45255</v>
      </c>
      <c r="T10918" t="s">
        <v>46418</v>
      </c>
      <c r="U10918" t="s">
        <v>55663</v>
      </c>
      <c r="W10918" t="s">
        <v>44221</v>
      </c>
      <c r="X10918" t="s">
        <v>44916</v>
      </c>
    </row>
    <row r="10919" spans="1:24">
      <c r="A10919">
        <f>HYPERLINK("https://www.philgeps.gov.ph/GEPSNONPILOT/Tender/SplashBidNoticeAbstractUI.aspx?menuIndex=3&amp;refID=7067324&amp;Result=3","7067324")</f>
        <v>0</v>
      </c>
      <c r="B10919" t="s">
        <v>2998</v>
      </c>
      <c r="C10919" t="s">
        <v>13929</v>
      </c>
      <c r="D10919" t="s">
        <v>18149</v>
      </c>
      <c r="E10919" t="s">
        <v>27657</v>
      </c>
      <c r="F10919" t="s">
        <v>31362</v>
      </c>
      <c r="G10919" t="s">
        <v>31369</v>
      </c>
      <c r="H10919" t="s">
        <v>31378</v>
      </c>
      <c r="I10919" t="s">
        <v>31386</v>
      </c>
      <c r="J10919" t="s">
        <v>31602</v>
      </c>
      <c r="K10919" t="s">
        <v>40694</v>
      </c>
      <c r="M10919" t="s">
        <v>44227</v>
      </c>
      <c r="N10919" t="s">
        <v>44905</v>
      </c>
      <c r="O10919" t="s">
        <v>44906</v>
      </c>
      <c r="Q10919">
        <v>4</v>
      </c>
      <c r="R10919" t="s">
        <v>44915</v>
      </c>
      <c r="S10919" t="s">
        <v>45312</v>
      </c>
      <c r="T10919" t="s">
        <v>46504</v>
      </c>
      <c r="U10919" t="s">
        <v>55664</v>
      </c>
      <c r="W10919" t="s">
        <v>44227</v>
      </c>
      <c r="X10919" t="s">
        <v>44916</v>
      </c>
    </row>
    <row r="10920" spans="1:24">
      <c r="A10920">
        <f>HYPERLINK("https://www.philgeps.gov.ph/GEPSNONPILOT/Tender/SplashBidNoticeAbstractUI.aspx?menuIndex=3&amp;refID=7067322&amp;Result=3","7067322")</f>
        <v>0</v>
      </c>
      <c r="B10920" t="s">
        <v>2014</v>
      </c>
      <c r="C10920" t="s">
        <v>13930</v>
      </c>
      <c r="D10920" t="s">
        <v>18100</v>
      </c>
      <c r="E10920" t="s">
        <v>27658</v>
      </c>
      <c r="F10920" t="s">
        <v>31362</v>
      </c>
      <c r="G10920" t="s">
        <v>31369</v>
      </c>
      <c r="H10920" t="s">
        <v>15799</v>
      </c>
      <c r="I10920" t="s">
        <v>3815</v>
      </c>
      <c r="J10920" t="s">
        <v>38181</v>
      </c>
      <c r="K10920" t="s">
        <v>40693</v>
      </c>
      <c r="M10920" t="s">
        <v>43130</v>
      </c>
      <c r="N10920" t="s">
        <v>44905</v>
      </c>
      <c r="O10920" t="s">
        <v>44906</v>
      </c>
      <c r="P10920">
        <v>0</v>
      </c>
      <c r="Q10920">
        <v>0</v>
      </c>
      <c r="R10920" t="s">
        <v>44915</v>
      </c>
      <c r="S10920" t="s">
        <v>45255</v>
      </c>
      <c r="T10920" t="s">
        <v>46508</v>
      </c>
      <c r="U10920" t="s">
        <v>55665</v>
      </c>
      <c r="W10920" t="s">
        <v>43130</v>
      </c>
      <c r="X10920" t="s">
        <v>44916</v>
      </c>
    </row>
    <row r="10921" spans="1:24">
      <c r="A10921">
        <f>HYPERLINK("https://www.philgeps.gov.ph/GEPSNONPILOT/Tender/SplashBidNoticeAbstractUI.aspx?menuIndex=3&amp;refID=7067317&amp;Result=3","7067317")</f>
        <v>0</v>
      </c>
      <c r="B10921" t="s">
        <v>2014</v>
      </c>
      <c r="C10921" t="s">
        <v>13931</v>
      </c>
      <c r="D10921" t="s">
        <v>18100</v>
      </c>
      <c r="E10921" t="s">
        <v>27659</v>
      </c>
      <c r="F10921" t="s">
        <v>31362</v>
      </c>
      <c r="G10921" t="s">
        <v>31369</v>
      </c>
      <c r="H10921" t="s">
        <v>15799</v>
      </c>
      <c r="I10921" t="s">
        <v>3815</v>
      </c>
      <c r="J10921" t="s">
        <v>31768</v>
      </c>
      <c r="K10921" t="s">
        <v>40693</v>
      </c>
      <c r="M10921" t="s">
        <v>43130</v>
      </c>
      <c r="N10921" t="s">
        <v>44905</v>
      </c>
      <c r="O10921" t="s">
        <v>44906</v>
      </c>
      <c r="P10921">
        <v>0</v>
      </c>
      <c r="Q10921">
        <v>0</v>
      </c>
      <c r="R10921" t="s">
        <v>44915</v>
      </c>
      <c r="S10921" t="s">
        <v>45255</v>
      </c>
      <c r="T10921" t="s">
        <v>46508</v>
      </c>
      <c r="U10921" t="s">
        <v>55666</v>
      </c>
      <c r="W10921" t="s">
        <v>43130</v>
      </c>
      <c r="X10921" t="s">
        <v>44916</v>
      </c>
    </row>
    <row r="10922" spans="1:24">
      <c r="A10922">
        <f>HYPERLINK("https://www.philgeps.gov.ph/GEPSNONPILOT/Tender/SplashBidNoticeAbstractUI.aspx?menuIndex=3&amp;refID=7067271&amp;Result=3","7067271")</f>
        <v>0</v>
      </c>
      <c r="B10922" t="s">
        <v>2999</v>
      </c>
      <c r="C10922" t="s">
        <v>13932</v>
      </c>
      <c r="D10922" t="s">
        <v>18167</v>
      </c>
      <c r="E10922" t="s">
        <v>27660</v>
      </c>
      <c r="F10922" t="s">
        <v>31362</v>
      </c>
      <c r="G10922" t="s">
        <v>31369</v>
      </c>
      <c r="H10922" t="s">
        <v>15799</v>
      </c>
      <c r="I10922" t="s">
        <v>31433</v>
      </c>
      <c r="J10922" t="s">
        <v>33851</v>
      </c>
      <c r="K10922" t="s">
        <v>40670</v>
      </c>
      <c r="M10922" t="s">
        <v>44228</v>
      </c>
      <c r="N10922" t="s">
        <v>44905</v>
      </c>
      <c r="O10922" t="s">
        <v>44906</v>
      </c>
      <c r="P10922">
        <v>0</v>
      </c>
      <c r="Q10922">
        <v>0</v>
      </c>
      <c r="R10922" t="s">
        <v>44915</v>
      </c>
      <c r="S10922" t="s">
        <v>45255</v>
      </c>
      <c r="T10922" t="s">
        <v>46418</v>
      </c>
      <c r="U10922" t="s">
        <v>55667</v>
      </c>
      <c r="W10922" t="s">
        <v>44228</v>
      </c>
      <c r="X10922" t="s">
        <v>44916</v>
      </c>
    </row>
    <row r="10923" spans="1:24">
      <c r="A10923">
        <f>HYPERLINK("https://www.philgeps.gov.ph/GEPSNONPILOT/Tender/SplashBidNoticeAbstractUI.aspx?menuIndex=3&amp;refID=7067314&amp;Result=3","7067314")</f>
        <v>0</v>
      </c>
      <c r="B10923" t="s">
        <v>2014</v>
      </c>
      <c r="C10923" t="s">
        <v>10062</v>
      </c>
      <c r="D10923" t="s">
        <v>18100</v>
      </c>
      <c r="E10923" t="s">
        <v>27661</v>
      </c>
      <c r="F10923" t="s">
        <v>31362</v>
      </c>
      <c r="G10923" t="s">
        <v>31369</v>
      </c>
      <c r="H10923" t="s">
        <v>15799</v>
      </c>
      <c r="I10923" t="s">
        <v>31385</v>
      </c>
      <c r="J10923" t="s">
        <v>31659</v>
      </c>
      <c r="K10923" t="s">
        <v>40693</v>
      </c>
      <c r="M10923" t="s">
        <v>43130</v>
      </c>
      <c r="N10923" t="s">
        <v>44905</v>
      </c>
      <c r="O10923" t="s">
        <v>44906</v>
      </c>
      <c r="P10923">
        <v>0</v>
      </c>
      <c r="Q10923">
        <v>0</v>
      </c>
      <c r="R10923" t="s">
        <v>44915</v>
      </c>
      <c r="S10923" t="s">
        <v>45255</v>
      </c>
      <c r="T10923" t="s">
        <v>46508</v>
      </c>
      <c r="U10923" t="s">
        <v>55668</v>
      </c>
      <c r="W10923" t="s">
        <v>43130</v>
      </c>
      <c r="X10923" t="s">
        <v>44916</v>
      </c>
    </row>
    <row r="10924" spans="1:24">
      <c r="A10924">
        <f>HYPERLINK("https://www.philgeps.gov.ph/GEPSNONPILOT/Tender/SplashBidNoticeAbstractUI.aspx?menuIndex=3&amp;refID=7067331&amp;Result=3","7067331")</f>
        <v>0</v>
      </c>
      <c r="B10924" t="s">
        <v>176</v>
      </c>
      <c r="C10924" t="s">
        <v>13933</v>
      </c>
      <c r="D10924" t="s">
        <v>18108</v>
      </c>
      <c r="E10924" t="s">
        <v>27662</v>
      </c>
      <c r="F10924" t="s">
        <v>31362</v>
      </c>
      <c r="G10924" t="s">
        <v>31369</v>
      </c>
      <c r="H10924" t="s">
        <v>15799</v>
      </c>
      <c r="I10924" t="s">
        <v>31393</v>
      </c>
      <c r="J10924" t="s">
        <v>31957</v>
      </c>
      <c r="K10924" t="s">
        <v>40665</v>
      </c>
      <c r="M10924" t="s">
        <v>44226</v>
      </c>
      <c r="N10924" t="s">
        <v>44905</v>
      </c>
      <c r="O10924" t="s">
        <v>44906</v>
      </c>
      <c r="P10924">
        <v>0</v>
      </c>
      <c r="Q10924">
        <v>18</v>
      </c>
      <c r="R10924" t="s">
        <v>44915</v>
      </c>
      <c r="S10924" t="s">
        <v>45255</v>
      </c>
      <c r="T10924" t="s">
        <v>46635</v>
      </c>
      <c r="U10924" t="s">
        <v>55669</v>
      </c>
      <c r="W10924" t="s">
        <v>44226</v>
      </c>
      <c r="X10924" t="s">
        <v>44916</v>
      </c>
    </row>
    <row r="10925" spans="1:24">
      <c r="A10925">
        <f>HYPERLINK("https://www.philgeps.gov.ph/GEPSNONPILOT/Tender/SplashBidNoticeAbstractUI.aspx?menuIndex=3&amp;refID=7061794&amp;Result=3","7061794")</f>
        <v>0</v>
      </c>
      <c r="B10925" t="s">
        <v>1417</v>
      </c>
      <c r="C10925" t="s">
        <v>13934</v>
      </c>
      <c r="E10925" t="s">
        <v>27663</v>
      </c>
      <c r="F10925" t="s">
        <v>31362</v>
      </c>
      <c r="G10925" t="s">
        <v>31369</v>
      </c>
      <c r="H10925" t="s">
        <v>15799</v>
      </c>
      <c r="I10925" t="s">
        <v>31385</v>
      </c>
      <c r="J10925" t="s">
        <v>38182</v>
      </c>
      <c r="K10925" t="s">
        <v>40661</v>
      </c>
      <c r="M10925" t="s">
        <v>42443</v>
      </c>
      <c r="N10925" t="s">
        <v>44905</v>
      </c>
      <c r="O10925" t="s">
        <v>44906</v>
      </c>
      <c r="P10925">
        <v>0</v>
      </c>
      <c r="Q10925">
        <v>0</v>
      </c>
      <c r="R10925" t="s">
        <v>44915</v>
      </c>
      <c r="S10925" t="s">
        <v>45255</v>
      </c>
      <c r="T10925" t="s">
        <v>46561</v>
      </c>
      <c r="U10925" t="s">
        <v>55670</v>
      </c>
      <c r="W10925" t="s">
        <v>42443</v>
      </c>
      <c r="X10925" t="s">
        <v>44917</v>
      </c>
    </row>
    <row r="10926" spans="1:24">
      <c r="A10926">
        <f>HYPERLINK("https://www.philgeps.gov.ph/GEPSNONPILOT/Tender/SplashBidNoticeAbstractUI.aspx?menuIndex=3&amp;refID=6920277&amp;Result=3","6920277")</f>
        <v>0</v>
      </c>
      <c r="B10926" t="s">
        <v>3000</v>
      </c>
      <c r="C10926" t="s">
        <v>13935</v>
      </c>
      <c r="D10926" t="s">
        <v>18117</v>
      </c>
      <c r="E10926" t="s">
        <v>19313</v>
      </c>
      <c r="F10926" t="s">
        <v>31362</v>
      </c>
      <c r="G10926" t="s">
        <v>31369</v>
      </c>
      <c r="H10926" t="s">
        <v>31378</v>
      </c>
      <c r="I10926" t="s">
        <v>31386</v>
      </c>
      <c r="J10926" t="s">
        <v>31625</v>
      </c>
      <c r="K10926" t="s">
        <v>40683</v>
      </c>
      <c r="L10926" t="s">
        <v>3000</v>
      </c>
      <c r="M10926" t="s">
        <v>44229</v>
      </c>
      <c r="N10926" t="s">
        <v>44905</v>
      </c>
      <c r="O10926" t="s">
        <v>44906</v>
      </c>
      <c r="P10926">
        <v>0</v>
      </c>
      <c r="Q10926">
        <v>5</v>
      </c>
      <c r="R10926" t="s">
        <v>44916</v>
      </c>
      <c r="S10926" t="s">
        <v>45313</v>
      </c>
      <c r="T10926" t="s">
        <v>46510</v>
      </c>
      <c r="U10926" t="s">
        <v>55671</v>
      </c>
      <c r="V10926" t="s">
        <v>60232</v>
      </c>
      <c r="W10926" t="s">
        <v>44229</v>
      </c>
      <c r="X10926" t="s">
        <v>44982</v>
      </c>
    </row>
    <row r="10927" spans="1:24">
      <c r="A10927">
        <f>HYPERLINK("https://www.philgeps.gov.ph/GEPSNONPILOT/Tender/SplashBidNoticeAbstractUI.aspx?menuIndex=3&amp;refID=7054540&amp;Result=3","7054540")</f>
        <v>0</v>
      </c>
      <c r="B10927" t="s">
        <v>3001</v>
      </c>
      <c r="C10927" t="s">
        <v>13936</v>
      </c>
      <c r="D10927" t="s">
        <v>18147</v>
      </c>
      <c r="E10927" t="s">
        <v>19709</v>
      </c>
      <c r="F10927" t="s">
        <v>31362</v>
      </c>
      <c r="G10927" t="s">
        <v>31369</v>
      </c>
      <c r="H10927" t="s">
        <v>31378</v>
      </c>
      <c r="I10927" t="s">
        <v>31386</v>
      </c>
      <c r="J10927" t="s">
        <v>32540</v>
      </c>
      <c r="K10927" t="s">
        <v>40677</v>
      </c>
      <c r="M10927" t="s">
        <v>44230</v>
      </c>
      <c r="N10927" t="s">
        <v>44905</v>
      </c>
      <c r="O10927" t="s">
        <v>44906</v>
      </c>
      <c r="P10927">
        <v>0</v>
      </c>
      <c r="Q10927">
        <v>0</v>
      </c>
      <c r="R10927" t="s">
        <v>44916</v>
      </c>
      <c r="S10927" t="s">
        <v>45313</v>
      </c>
      <c r="T10927" t="s">
        <v>46462</v>
      </c>
      <c r="U10927" t="s">
        <v>55672</v>
      </c>
      <c r="W10927" t="s">
        <v>44230</v>
      </c>
      <c r="X10927" t="s">
        <v>44922</v>
      </c>
    </row>
    <row r="10928" spans="1:24">
      <c r="A10928">
        <f>HYPERLINK("https://www.philgeps.gov.ph/GEPSNONPILOT/Tender/SplashBidNoticeAbstractUI.aspx?menuIndex=3&amp;refID=7054369&amp;Result=3","7054369")</f>
        <v>0</v>
      </c>
      <c r="B10928" t="s">
        <v>3001</v>
      </c>
      <c r="C10928" t="s">
        <v>13937</v>
      </c>
      <c r="D10928" t="s">
        <v>18147</v>
      </c>
      <c r="E10928" t="s">
        <v>22113</v>
      </c>
      <c r="F10928" t="s">
        <v>31362</v>
      </c>
      <c r="G10928" t="s">
        <v>31369</v>
      </c>
      <c r="H10928" t="s">
        <v>31378</v>
      </c>
      <c r="I10928" t="s">
        <v>31386</v>
      </c>
      <c r="J10928" t="s">
        <v>38183</v>
      </c>
      <c r="K10928" t="s">
        <v>40711</v>
      </c>
      <c r="M10928" t="s">
        <v>44230</v>
      </c>
      <c r="N10928" t="s">
        <v>44905</v>
      </c>
      <c r="O10928" t="s">
        <v>44906</v>
      </c>
      <c r="P10928">
        <v>0</v>
      </c>
      <c r="Q10928">
        <v>0</v>
      </c>
      <c r="R10928" t="s">
        <v>44916</v>
      </c>
      <c r="S10928" t="s">
        <v>45313</v>
      </c>
      <c r="T10928" t="s">
        <v>46462</v>
      </c>
      <c r="U10928" t="s">
        <v>55673</v>
      </c>
      <c r="W10928" t="s">
        <v>44230</v>
      </c>
      <c r="X10928" t="s">
        <v>44922</v>
      </c>
    </row>
    <row r="10929" spans="1:24">
      <c r="A10929">
        <f>HYPERLINK("https://www.philgeps.gov.ph/GEPSNONPILOT/Tender/SplashBidNoticeAbstractUI.aspx?menuIndex=3&amp;refID=7035863-2&amp;Result=3","7035863-2")</f>
        <v>0</v>
      </c>
      <c r="B10929" t="s">
        <v>3002</v>
      </c>
      <c r="C10929" t="s">
        <v>13938</v>
      </c>
      <c r="D10929" t="s">
        <v>18123</v>
      </c>
      <c r="E10929" t="s">
        <v>27664</v>
      </c>
      <c r="F10929" t="s">
        <v>31362</v>
      </c>
      <c r="G10929" t="s">
        <v>31369</v>
      </c>
      <c r="H10929" t="s">
        <v>31377</v>
      </c>
      <c r="I10929" t="s">
        <v>31377</v>
      </c>
      <c r="J10929" t="s">
        <v>38184</v>
      </c>
      <c r="K10929" t="s">
        <v>40674</v>
      </c>
      <c r="L10929" t="s">
        <v>40957</v>
      </c>
      <c r="M10929" t="s">
        <v>44231</v>
      </c>
      <c r="N10929" t="s">
        <v>44905</v>
      </c>
      <c r="O10929" t="s">
        <v>44906</v>
      </c>
      <c r="P10929">
        <v>0</v>
      </c>
      <c r="Q10929">
        <v>1</v>
      </c>
      <c r="R10929" t="s">
        <v>44916</v>
      </c>
      <c r="S10929" t="s">
        <v>45313</v>
      </c>
      <c r="T10929" t="s">
        <v>46392</v>
      </c>
      <c r="U10929" t="s">
        <v>55674</v>
      </c>
      <c r="W10929" t="s">
        <v>44231</v>
      </c>
      <c r="X10929" t="s">
        <v>44917</v>
      </c>
    </row>
    <row r="10930" spans="1:24">
      <c r="A10930">
        <f>HYPERLINK("https://www.philgeps.gov.ph/GEPSNONPILOT/Tender/SplashBidNoticeAbstractUI.aspx?menuIndex=3&amp;refID=6949748&amp;Result=3","6949748")</f>
        <v>0</v>
      </c>
      <c r="B10930" t="s">
        <v>3003</v>
      </c>
      <c r="C10930" t="s">
        <v>13939</v>
      </c>
      <c r="D10930" t="s">
        <v>18105</v>
      </c>
      <c r="E10930" t="s">
        <v>27435</v>
      </c>
      <c r="F10930" t="s">
        <v>31362</v>
      </c>
      <c r="G10930" t="s">
        <v>31369</v>
      </c>
      <c r="H10930" t="s">
        <v>15799</v>
      </c>
      <c r="I10930" t="s">
        <v>3815</v>
      </c>
      <c r="J10930" t="s">
        <v>38185</v>
      </c>
      <c r="K10930" t="s">
        <v>40661</v>
      </c>
      <c r="M10930" t="s">
        <v>44232</v>
      </c>
      <c r="N10930" t="s">
        <v>44905</v>
      </c>
      <c r="O10930" t="s">
        <v>44906</v>
      </c>
      <c r="P10930">
        <v>0</v>
      </c>
      <c r="Q10930">
        <v>0</v>
      </c>
      <c r="R10930" t="s">
        <v>44916</v>
      </c>
      <c r="S10930" t="s">
        <v>45313</v>
      </c>
      <c r="T10930" t="s">
        <v>46585</v>
      </c>
      <c r="U10930" t="s">
        <v>55675</v>
      </c>
      <c r="W10930" t="s">
        <v>44232</v>
      </c>
      <c r="X10930" t="s">
        <v>60987</v>
      </c>
    </row>
    <row r="10931" spans="1:24">
      <c r="A10931">
        <f>HYPERLINK("https://www.philgeps.gov.ph/GEPSNONPILOT/Tender/SplashBidNoticeAbstractUI.aspx?menuIndex=3&amp;refID=6842744&amp;Result=3","6842744")</f>
        <v>0</v>
      </c>
      <c r="B10931" t="s">
        <v>3004</v>
      </c>
      <c r="C10931" t="s">
        <v>13940</v>
      </c>
      <c r="D10931" t="s">
        <v>18103</v>
      </c>
      <c r="E10931" t="s">
        <v>27665</v>
      </c>
      <c r="F10931" t="s">
        <v>31362</v>
      </c>
      <c r="G10931" t="s">
        <v>31368</v>
      </c>
      <c r="H10931" t="s">
        <v>15799</v>
      </c>
      <c r="I10931" t="s">
        <v>13635</v>
      </c>
      <c r="J10931" t="s">
        <v>31536</v>
      </c>
      <c r="K10931" t="s">
        <v>40662</v>
      </c>
      <c r="M10931" t="s">
        <v>44233</v>
      </c>
      <c r="N10931" t="s">
        <v>44905</v>
      </c>
      <c r="O10931" t="s">
        <v>44906</v>
      </c>
      <c r="P10931">
        <v>0</v>
      </c>
      <c r="Q10931">
        <v>2</v>
      </c>
      <c r="R10931" t="s">
        <v>44916</v>
      </c>
      <c r="S10931" t="s">
        <v>45313</v>
      </c>
      <c r="T10931" t="s">
        <v>46612</v>
      </c>
      <c r="U10931" t="s">
        <v>55676</v>
      </c>
      <c r="W10931" t="s">
        <v>44233</v>
      </c>
      <c r="X10931" t="s">
        <v>45007</v>
      </c>
    </row>
    <row r="10932" spans="1:24">
      <c r="A10932">
        <f>HYPERLINK("https://www.philgeps.gov.ph/GEPSNONPILOT/Tender/SplashBidNoticeAbstractUI.aspx?menuIndex=3&amp;refID=7067323&amp;Result=3","7067323")</f>
        <v>0</v>
      </c>
      <c r="B10932" t="s">
        <v>176</v>
      </c>
      <c r="C10932" t="s">
        <v>13941</v>
      </c>
      <c r="D10932" t="s">
        <v>18108</v>
      </c>
      <c r="E10932" t="s">
        <v>27666</v>
      </c>
      <c r="F10932" t="s">
        <v>31362</v>
      </c>
      <c r="G10932" t="s">
        <v>31369</v>
      </c>
      <c r="H10932" t="s">
        <v>15799</v>
      </c>
      <c r="I10932" t="s">
        <v>31393</v>
      </c>
      <c r="J10932" t="s">
        <v>31637</v>
      </c>
      <c r="K10932" t="s">
        <v>40665</v>
      </c>
      <c r="M10932" t="s">
        <v>44226</v>
      </c>
      <c r="N10932" t="s">
        <v>44905</v>
      </c>
      <c r="O10932" t="s">
        <v>44906</v>
      </c>
      <c r="P10932">
        <v>0</v>
      </c>
      <c r="Q10932">
        <v>10</v>
      </c>
      <c r="R10932" t="s">
        <v>44915</v>
      </c>
      <c r="S10932" t="s">
        <v>45255</v>
      </c>
      <c r="T10932" t="s">
        <v>46519</v>
      </c>
      <c r="U10932" t="s">
        <v>55677</v>
      </c>
      <c r="W10932" t="s">
        <v>44226</v>
      </c>
      <c r="X10932" t="s">
        <v>44916</v>
      </c>
    </row>
    <row r="10933" spans="1:24">
      <c r="A10933">
        <f>HYPERLINK("https://www.philgeps.gov.ph/GEPSNONPILOT/Tender/SplashBidNoticeAbstractUI.aspx?menuIndex=3&amp;refID=7067315&amp;Result=3","7067315")</f>
        <v>0</v>
      </c>
      <c r="B10933" t="s">
        <v>1601</v>
      </c>
      <c r="C10933" t="s">
        <v>13924</v>
      </c>
      <c r="D10933" t="s">
        <v>18100</v>
      </c>
      <c r="E10933" t="s">
        <v>26564</v>
      </c>
      <c r="F10933" t="s">
        <v>31362</v>
      </c>
      <c r="G10933" t="s">
        <v>31369</v>
      </c>
      <c r="H10933" t="s">
        <v>15799</v>
      </c>
      <c r="I10933" t="s">
        <v>31390</v>
      </c>
      <c r="J10933" t="s">
        <v>38186</v>
      </c>
      <c r="K10933" t="s">
        <v>40693</v>
      </c>
      <c r="M10933" t="s">
        <v>42660</v>
      </c>
      <c r="N10933" t="s">
        <v>44905</v>
      </c>
      <c r="O10933" t="s">
        <v>44906</v>
      </c>
      <c r="P10933">
        <v>0</v>
      </c>
      <c r="Q10933">
        <v>0</v>
      </c>
      <c r="R10933" t="s">
        <v>44915</v>
      </c>
      <c r="S10933" t="s">
        <v>45255</v>
      </c>
      <c r="T10933" t="s">
        <v>46432</v>
      </c>
      <c r="U10933" t="s">
        <v>55678</v>
      </c>
      <c r="W10933" t="s">
        <v>42660</v>
      </c>
      <c r="X10933" t="s">
        <v>44916</v>
      </c>
    </row>
    <row r="10934" spans="1:24">
      <c r="A10934">
        <f>HYPERLINK("https://www.philgeps.gov.ph/GEPSNONPILOT/Tender/SplashBidNoticeAbstractUI.aspx?menuIndex=3&amp;refID=7067074&amp;Result=3","7067074")</f>
        <v>0</v>
      </c>
      <c r="B10934" t="s">
        <v>672</v>
      </c>
      <c r="C10934" t="s">
        <v>13942</v>
      </c>
      <c r="D10934" t="s">
        <v>18103</v>
      </c>
      <c r="E10934" t="s">
        <v>27667</v>
      </c>
      <c r="F10934" t="s">
        <v>31362</v>
      </c>
      <c r="G10934" t="s">
        <v>31369</v>
      </c>
      <c r="H10934" t="s">
        <v>31378</v>
      </c>
      <c r="I10934" t="s">
        <v>31386</v>
      </c>
      <c r="J10934" t="s">
        <v>32006</v>
      </c>
      <c r="K10934" t="s">
        <v>40682</v>
      </c>
      <c r="M10934" t="s">
        <v>41634</v>
      </c>
      <c r="N10934" t="s">
        <v>44905</v>
      </c>
      <c r="O10934" t="s">
        <v>44906</v>
      </c>
      <c r="P10934">
        <v>0</v>
      </c>
      <c r="Q10934">
        <v>5</v>
      </c>
      <c r="R10934" t="s">
        <v>44915</v>
      </c>
      <c r="S10934" t="s">
        <v>45255</v>
      </c>
      <c r="T10934" t="s">
        <v>46479</v>
      </c>
      <c r="U10934" t="s">
        <v>55561</v>
      </c>
      <c r="W10934" t="s">
        <v>60863</v>
      </c>
      <c r="X10934" t="s">
        <v>44916</v>
      </c>
    </row>
    <row r="10935" spans="1:24">
      <c r="A10935">
        <f>HYPERLINK("https://www.philgeps.gov.ph/GEPSNONPILOT/Tender/SplashBidNoticeAbstractUI.aspx?menuIndex=3&amp;refID=7067341&amp;Result=3","7067341")</f>
        <v>0</v>
      </c>
      <c r="B10935" t="s">
        <v>2997</v>
      </c>
      <c r="C10935" t="s">
        <v>13943</v>
      </c>
      <c r="D10935" t="s">
        <v>18108</v>
      </c>
      <c r="E10935" t="s">
        <v>13943</v>
      </c>
      <c r="F10935" t="s">
        <v>31362</v>
      </c>
      <c r="G10935" t="s">
        <v>31369</v>
      </c>
      <c r="H10935" t="s">
        <v>15799</v>
      </c>
      <c r="I10935" t="s">
        <v>4942</v>
      </c>
      <c r="J10935" t="s">
        <v>38187</v>
      </c>
      <c r="K10935" t="s">
        <v>40665</v>
      </c>
      <c r="M10935" t="s">
        <v>44225</v>
      </c>
      <c r="N10935" t="s">
        <v>44905</v>
      </c>
      <c r="O10935" t="s">
        <v>44906</v>
      </c>
      <c r="P10935">
        <v>0</v>
      </c>
      <c r="Q10935">
        <v>0</v>
      </c>
      <c r="R10935" t="s">
        <v>44915</v>
      </c>
      <c r="S10935" t="s">
        <v>45255</v>
      </c>
      <c r="T10935" t="s">
        <v>46418</v>
      </c>
      <c r="U10935" t="s">
        <v>55660</v>
      </c>
      <c r="W10935" t="s">
        <v>44225</v>
      </c>
      <c r="X10935" t="s">
        <v>44916</v>
      </c>
    </row>
    <row r="10936" spans="1:24">
      <c r="A10936">
        <f>HYPERLINK("https://www.philgeps.gov.ph/GEPSNONPILOT/Tender/SplashBidNoticeAbstractUI.aspx?menuIndex=3&amp;refID=7067357&amp;Result=3","7067357")</f>
        <v>0</v>
      </c>
      <c r="B10936" t="s">
        <v>2997</v>
      </c>
      <c r="C10936" t="s">
        <v>13944</v>
      </c>
      <c r="D10936" t="s">
        <v>18108</v>
      </c>
      <c r="E10936" t="s">
        <v>27668</v>
      </c>
      <c r="F10936" t="s">
        <v>31362</v>
      </c>
      <c r="G10936" t="s">
        <v>31369</v>
      </c>
      <c r="H10936" t="s">
        <v>15799</v>
      </c>
      <c r="I10936" t="s">
        <v>7719</v>
      </c>
      <c r="J10936" t="s">
        <v>31738</v>
      </c>
      <c r="K10936" t="s">
        <v>40665</v>
      </c>
      <c r="M10936" t="s">
        <v>44225</v>
      </c>
      <c r="N10936" t="s">
        <v>44905</v>
      </c>
      <c r="O10936" t="s">
        <v>44906</v>
      </c>
      <c r="P10936">
        <v>0</v>
      </c>
      <c r="Q10936">
        <v>5</v>
      </c>
      <c r="R10936" t="s">
        <v>44915</v>
      </c>
      <c r="S10936" t="s">
        <v>45255</v>
      </c>
      <c r="T10936" t="s">
        <v>46418</v>
      </c>
      <c r="U10936" t="s">
        <v>55679</v>
      </c>
      <c r="W10936" t="s">
        <v>44225</v>
      </c>
      <c r="X10936" t="s">
        <v>44916</v>
      </c>
    </row>
    <row r="10937" spans="1:24">
      <c r="A10937">
        <f>HYPERLINK("https://www.philgeps.gov.ph/GEPSNONPILOT/Tender/SplashBidNoticeAbstractUI.aspx?menuIndex=3&amp;refID=7067353&amp;Result=3","7067353")</f>
        <v>0</v>
      </c>
      <c r="B10937" t="s">
        <v>2997</v>
      </c>
      <c r="C10937" t="s">
        <v>13945</v>
      </c>
      <c r="D10937" t="s">
        <v>18108</v>
      </c>
      <c r="E10937" t="s">
        <v>27669</v>
      </c>
      <c r="F10937" t="s">
        <v>31362</v>
      </c>
      <c r="G10937" t="s">
        <v>31369</v>
      </c>
      <c r="H10937" t="s">
        <v>15799</v>
      </c>
      <c r="I10937" t="s">
        <v>7719</v>
      </c>
      <c r="J10937" t="s">
        <v>38188</v>
      </c>
      <c r="K10937" t="s">
        <v>40665</v>
      </c>
      <c r="M10937" t="s">
        <v>44225</v>
      </c>
      <c r="N10937" t="s">
        <v>44905</v>
      </c>
      <c r="O10937" t="s">
        <v>44906</v>
      </c>
      <c r="P10937">
        <v>0</v>
      </c>
      <c r="Q10937">
        <v>4</v>
      </c>
      <c r="R10937" t="s">
        <v>44915</v>
      </c>
      <c r="S10937" t="s">
        <v>45255</v>
      </c>
      <c r="T10937" t="s">
        <v>46418</v>
      </c>
      <c r="U10937" t="s">
        <v>55679</v>
      </c>
      <c r="W10937" t="s">
        <v>44225</v>
      </c>
      <c r="X10937" t="s">
        <v>44916</v>
      </c>
    </row>
    <row r="10938" spans="1:24">
      <c r="A10938">
        <f>HYPERLINK("https://www.philgeps.gov.ph/GEPSNONPILOT/Tender/SplashBidNoticeAbstractUI.aspx?menuIndex=3&amp;refID=7067352&amp;Result=3","7067352")</f>
        <v>0</v>
      </c>
      <c r="B10938" t="s">
        <v>2997</v>
      </c>
      <c r="C10938" t="s">
        <v>13946</v>
      </c>
      <c r="D10938" t="s">
        <v>18108</v>
      </c>
      <c r="E10938" t="s">
        <v>27670</v>
      </c>
      <c r="F10938" t="s">
        <v>31362</v>
      </c>
      <c r="G10938" t="s">
        <v>31369</v>
      </c>
      <c r="H10938" t="s">
        <v>15799</v>
      </c>
      <c r="I10938" t="s">
        <v>7719</v>
      </c>
      <c r="J10938" t="s">
        <v>37495</v>
      </c>
      <c r="K10938" t="s">
        <v>40665</v>
      </c>
      <c r="M10938" t="s">
        <v>44225</v>
      </c>
      <c r="N10938" t="s">
        <v>44905</v>
      </c>
      <c r="O10938" t="s">
        <v>44906</v>
      </c>
      <c r="P10938">
        <v>0</v>
      </c>
      <c r="Q10938">
        <v>5</v>
      </c>
      <c r="R10938" t="s">
        <v>44915</v>
      </c>
      <c r="S10938" t="s">
        <v>45255</v>
      </c>
      <c r="T10938" t="s">
        <v>46418</v>
      </c>
      <c r="U10938" t="s">
        <v>55679</v>
      </c>
      <c r="W10938" t="s">
        <v>44225</v>
      </c>
      <c r="X10938" t="s">
        <v>44916</v>
      </c>
    </row>
    <row r="10939" spans="1:24">
      <c r="A10939">
        <f>HYPERLINK("https://www.philgeps.gov.ph/GEPSNONPILOT/Tender/SplashBidNoticeAbstractUI.aspx?menuIndex=3&amp;refID=7067349&amp;Result=3","7067349")</f>
        <v>0</v>
      </c>
      <c r="B10939" t="s">
        <v>2997</v>
      </c>
      <c r="C10939" t="s">
        <v>13947</v>
      </c>
      <c r="D10939" t="s">
        <v>18108</v>
      </c>
      <c r="E10939" t="s">
        <v>27671</v>
      </c>
      <c r="F10939" t="s">
        <v>31362</v>
      </c>
      <c r="G10939" t="s">
        <v>31369</v>
      </c>
      <c r="H10939" t="s">
        <v>15799</v>
      </c>
      <c r="I10939" t="s">
        <v>7719</v>
      </c>
      <c r="J10939" t="s">
        <v>38189</v>
      </c>
      <c r="K10939" t="s">
        <v>40665</v>
      </c>
      <c r="M10939" t="s">
        <v>44225</v>
      </c>
      <c r="N10939" t="s">
        <v>44905</v>
      </c>
      <c r="O10939" t="s">
        <v>44906</v>
      </c>
      <c r="P10939">
        <v>0</v>
      </c>
      <c r="Q10939">
        <v>4</v>
      </c>
      <c r="R10939" t="s">
        <v>44915</v>
      </c>
      <c r="S10939" t="s">
        <v>45255</v>
      </c>
      <c r="T10939" t="s">
        <v>46418</v>
      </c>
      <c r="U10939" t="s">
        <v>55679</v>
      </c>
      <c r="W10939" t="s">
        <v>44225</v>
      </c>
      <c r="X10939" t="s">
        <v>44916</v>
      </c>
    </row>
    <row r="10940" spans="1:24">
      <c r="A10940">
        <f>HYPERLINK("https://www.philgeps.gov.ph/GEPSNONPILOT/Tender/SplashBidNoticeAbstractUI.aspx?menuIndex=3&amp;refID=5942824&amp;Result=3","5942824")</f>
        <v>0</v>
      </c>
      <c r="B10940" t="s">
        <v>3005</v>
      </c>
      <c r="C10940" t="s">
        <v>13948</v>
      </c>
      <c r="D10940" t="s">
        <v>18158</v>
      </c>
      <c r="E10940" t="s">
        <v>18466</v>
      </c>
      <c r="F10940" t="s">
        <v>31362</v>
      </c>
      <c r="G10940" t="s">
        <v>31369</v>
      </c>
      <c r="H10940" t="s">
        <v>31378</v>
      </c>
      <c r="I10940" t="s">
        <v>31386</v>
      </c>
      <c r="J10940" t="s">
        <v>38190</v>
      </c>
      <c r="K10940" t="s">
        <v>40717</v>
      </c>
      <c r="M10940" t="s">
        <v>44234</v>
      </c>
      <c r="N10940" t="s">
        <v>44905</v>
      </c>
      <c r="O10940" t="s">
        <v>44906</v>
      </c>
      <c r="P10940">
        <v>0</v>
      </c>
      <c r="Q10940">
        <v>1</v>
      </c>
      <c r="R10940" t="s">
        <v>44916</v>
      </c>
      <c r="S10940" t="s">
        <v>45313</v>
      </c>
      <c r="T10940" t="s">
        <v>46484</v>
      </c>
      <c r="U10940" t="s">
        <v>55680</v>
      </c>
      <c r="W10940" t="s">
        <v>44234</v>
      </c>
      <c r="X10940" t="s">
        <v>60988</v>
      </c>
    </row>
    <row r="10941" spans="1:24">
      <c r="A10941">
        <f>HYPERLINK("https://www.philgeps.gov.ph/GEPSNONPILOT/Tender/SplashBidNoticeAbstractUI.aspx?menuIndex=3&amp;refID=7067344&amp;Result=3","7067344")</f>
        <v>0</v>
      </c>
      <c r="B10941" t="s">
        <v>2997</v>
      </c>
      <c r="C10941" t="s">
        <v>13949</v>
      </c>
      <c r="D10941" t="s">
        <v>18108</v>
      </c>
      <c r="E10941" t="s">
        <v>27672</v>
      </c>
      <c r="F10941" t="s">
        <v>31362</v>
      </c>
      <c r="G10941" t="s">
        <v>31369</v>
      </c>
      <c r="H10941" t="s">
        <v>15799</v>
      </c>
      <c r="I10941" t="s">
        <v>7719</v>
      </c>
      <c r="J10941" t="s">
        <v>38191</v>
      </c>
      <c r="K10941" t="s">
        <v>40665</v>
      </c>
      <c r="M10941" t="s">
        <v>44225</v>
      </c>
      <c r="N10941" t="s">
        <v>44905</v>
      </c>
      <c r="O10941" t="s">
        <v>44906</v>
      </c>
      <c r="P10941">
        <v>0</v>
      </c>
      <c r="Q10941">
        <v>11</v>
      </c>
      <c r="R10941" t="s">
        <v>44915</v>
      </c>
      <c r="S10941" t="s">
        <v>45255</v>
      </c>
      <c r="T10941" t="s">
        <v>46418</v>
      </c>
      <c r="U10941" t="s">
        <v>55681</v>
      </c>
      <c r="W10941" t="s">
        <v>44225</v>
      </c>
      <c r="X10941" t="s">
        <v>44916</v>
      </c>
    </row>
    <row r="10942" spans="1:24">
      <c r="A10942">
        <f>HYPERLINK("https://www.philgeps.gov.ph/GEPSNONPILOT/Tender/SplashBidNoticeAbstractUI.aspx?menuIndex=3&amp;refID=7067338&amp;Result=3","7067338")</f>
        <v>0</v>
      </c>
      <c r="B10942" t="s">
        <v>2997</v>
      </c>
      <c r="C10942" t="s">
        <v>13950</v>
      </c>
      <c r="D10942" t="s">
        <v>18108</v>
      </c>
      <c r="E10942" t="s">
        <v>13950</v>
      </c>
      <c r="F10942" t="s">
        <v>31362</v>
      </c>
      <c r="G10942" t="s">
        <v>31369</v>
      </c>
      <c r="H10942" t="s">
        <v>15799</v>
      </c>
      <c r="I10942" t="s">
        <v>4942</v>
      </c>
      <c r="J10942" t="s">
        <v>38192</v>
      </c>
      <c r="K10942" t="s">
        <v>40665</v>
      </c>
      <c r="M10942" t="s">
        <v>44225</v>
      </c>
      <c r="N10942" t="s">
        <v>44905</v>
      </c>
      <c r="O10942" t="s">
        <v>44906</v>
      </c>
      <c r="P10942">
        <v>0</v>
      </c>
      <c r="Q10942">
        <v>1</v>
      </c>
      <c r="R10942" t="s">
        <v>44915</v>
      </c>
      <c r="S10942" t="s">
        <v>45255</v>
      </c>
      <c r="T10942" t="s">
        <v>46418</v>
      </c>
      <c r="U10942" t="s">
        <v>55660</v>
      </c>
      <c r="W10942" t="s">
        <v>44225</v>
      </c>
      <c r="X10942" t="s">
        <v>44916</v>
      </c>
    </row>
    <row r="10943" spans="1:24">
      <c r="A10943">
        <f>HYPERLINK("https://www.philgeps.gov.ph/GEPSNONPILOT/Tender/SplashBidNoticeAbstractUI.aspx?menuIndex=3&amp;refID=7067355&amp;Result=3","7067355")</f>
        <v>0</v>
      </c>
      <c r="B10943" t="s">
        <v>2997</v>
      </c>
      <c r="C10943" t="s">
        <v>13951</v>
      </c>
      <c r="D10943" t="s">
        <v>18108</v>
      </c>
      <c r="E10943" t="s">
        <v>27673</v>
      </c>
      <c r="F10943" t="s">
        <v>31362</v>
      </c>
      <c r="G10943" t="s">
        <v>31369</v>
      </c>
      <c r="H10943" t="s">
        <v>15799</v>
      </c>
      <c r="I10943" t="s">
        <v>7719</v>
      </c>
      <c r="J10943" t="s">
        <v>38193</v>
      </c>
      <c r="K10943" t="s">
        <v>40665</v>
      </c>
      <c r="M10943" t="s">
        <v>44225</v>
      </c>
      <c r="N10943" t="s">
        <v>44905</v>
      </c>
      <c r="O10943" t="s">
        <v>44906</v>
      </c>
      <c r="P10943">
        <v>0</v>
      </c>
      <c r="Q10943">
        <v>2</v>
      </c>
      <c r="R10943" t="s">
        <v>44915</v>
      </c>
      <c r="S10943" t="s">
        <v>45255</v>
      </c>
      <c r="T10943" t="s">
        <v>46418</v>
      </c>
      <c r="U10943" t="s">
        <v>55679</v>
      </c>
      <c r="W10943" t="s">
        <v>44225</v>
      </c>
      <c r="X10943" t="s">
        <v>44916</v>
      </c>
    </row>
    <row r="10944" spans="1:24">
      <c r="A10944">
        <f>HYPERLINK("https://www.philgeps.gov.ph/GEPSNONPILOT/Tender/SplashBidNoticeAbstractUI.aspx?menuIndex=3&amp;refID=7067311&amp;Result=3","7067311")</f>
        <v>0</v>
      </c>
      <c r="B10944" t="s">
        <v>2014</v>
      </c>
      <c r="C10944" t="s">
        <v>10062</v>
      </c>
      <c r="D10944" t="s">
        <v>18100</v>
      </c>
      <c r="E10944" t="s">
        <v>27674</v>
      </c>
      <c r="F10944" t="s">
        <v>31362</v>
      </c>
      <c r="G10944" t="s">
        <v>31369</v>
      </c>
      <c r="H10944" t="s">
        <v>15799</v>
      </c>
      <c r="I10944" t="s">
        <v>31406</v>
      </c>
      <c r="J10944" t="s">
        <v>35738</v>
      </c>
      <c r="K10944" t="s">
        <v>40693</v>
      </c>
      <c r="M10944" t="s">
        <v>43130</v>
      </c>
      <c r="N10944" t="s">
        <v>44905</v>
      </c>
      <c r="O10944" t="s">
        <v>44906</v>
      </c>
      <c r="P10944">
        <v>0</v>
      </c>
      <c r="Q10944">
        <v>1</v>
      </c>
      <c r="R10944" t="s">
        <v>44915</v>
      </c>
      <c r="S10944" t="s">
        <v>45255</v>
      </c>
      <c r="T10944" t="s">
        <v>46508</v>
      </c>
      <c r="U10944" t="s">
        <v>55682</v>
      </c>
      <c r="W10944" t="s">
        <v>43130</v>
      </c>
      <c r="X10944" t="s">
        <v>44916</v>
      </c>
    </row>
    <row r="10945" spans="1:24">
      <c r="A10945">
        <f>HYPERLINK("https://www.philgeps.gov.ph/GEPSNONPILOT/Tender/SplashBidNoticeAbstractUI.aspx?menuIndex=3&amp;refID=7067347&amp;Result=3","7067347")</f>
        <v>0</v>
      </c>
      <c r="B10945" t="s">
        <v>2997</v>
      </c>
      <c r="C10945" t="s">
        <v>13952</v>
      </c>
      <c r="D10945" t="s">
        <v>18108</v>
      </c>
      <c r="E10945" t="s">
        <v>27675</v>
      </c>
      <c r="F10945" t="s">
        <v>31362</v>
      </c>
      <c r="G10945" t="s">
        <v>31369</v>
      </c>
      <c r="H10945" t="s">
        <v>15799</v>
      </c>
      <c r="I10945" t="s">
        <v>7719</v>
      </c>
      <c r="J10945" t="s">
        <v>38194</v>
      </c>
      <c r="K10945" t="s">
        <v>40665</v>
      </c>
      <c r="M10945" t="s">
        <v>44225</v>
      </c>
      <c r="N10945" t="s">
        <v>44905</v>
      </c>
      <c r="O10945" t="s">
        <v>44906</v>
      </c>
      <c r="P10945">
        <v>0</v>
      </c>
      <c r="Q10945">
        <v>11</v>
      </c>
      <c r="R10945" t="s">
        <v>44915</v>
      </c>
      <c r="S10945" t="s">
        <v>45255</v>
      </c>
      <c r="T10945" t="s">
        <v>46418</v>
      </c>
      <c r="U10945" t="s">
        <v>55681</v>
      </c>
      <c r="W10945" t="s">
        <v>44225</v>
      </c>
      <c r="X10945" t="s">
        <v>44916</v>
      </c>
    </row>
    <row r="10946" spans="1:24">
      <c r="A10946">
        <f>HYPERLINK("https://www.philgeps.gov.ph/GEPSNONPILOT/Tender/SplashBidNoticeAbstractUI.aspx?menuIndex=3&amp;refID=7067358&amp;Result=3","7067358")</f>
        <v>0</v>
      </c>
      <c r="B10946" t="s">
        <v>2997</v>
      </c>
      <c r="C10946" t="s">
        <v>13953</v>
      </c>
      <c r="D10946" t="s">
        <v>18108</v>
      </c>
      <c r="E10946" t="s">
        <v>27676</v>
      </c>
      <c r="F10946" t="s">
        <v>31362</v>
      </c>
      <c r="G10946" t="s">
        <v>31369</v>
      </c>
      <c r="H10946" t="s">
        <v>15799</v>
      </c>
      <c r="I10946" t="s">
        <v>7719</v>
      </c>
      <c r="J10946" t="s">
        <v>38195</v>
      </c>
      <c r="K10946" t="s">
        <v>40665</v>
      </c>
      <c r="M10946" t="s">
        <v>44225</v>
      </c>
      <c r="N10946" t="s">
        <v>44905</v>
      </c>
      <c r="O10946" t="s">
        <v>44906</v>
      </c>
      <c r="P10946">
        <v>0</v>
      </c>
      <c r="Q10946">
        <v>6</v>
      </c>
      <c r="R10946" t="s">
        <v>44915</v>
      </c>
      <c r="S10946" t="s">
        <v>45255</v>
      </c>
      <c r="T10946" t="s">
        <v>46418</v>
      </c>
      <c r="U10946" t="s">
        <v>55679</v>
      </c>
      <c r="W10946" t="s">
        <v>44225</v>
      </c>
      <c r="X10946" t="s">
        <v>44916</v>
      </c>
    </row>
    <row r="10947" spans="1:24">
      <c r="A10947">
        <f>HYPERLINK("https://www.philgeps.gov.ph/GEPSNONPILOT/Tender/SplashBidNoticeAbstractUI.aspx?menuIndex=3&amp;refID=7067343&amp;Result=3","7067343")</f>
        <v>0</v>
      </c>
      <c r="B10947" t="s">
        <v>2997</v>
      </c>
      <c r="C10947" t="s">
        <v>13954</v>
      </c>
      <c r="D10947" t="s">
        <v>18108</v>
      </c>
      <c r="E10947" t="s">
        <v>13954</v>
      </c>
      <c r="F10947" t="s">
        <v>31362</v>
      </c>
      <c r="G10947" t="s">
        <v>31369</v>
      </c>
      <c r="H10947" t="s">
        <v>15799</v>
      </c>
      <c r="I10947" t="s">
        <v>4942</v>
      </c>
      <c r="J10947" t="s">
        <v>38196</v>
      </c>
      <c r="K10947" t="s">
        <v>40665</v>
      </c>
      <c r="M10947" t="s">
        <v>44225</v>
      </c>
      <c r="N10947" t="s">
        <v>44905</v>
      </c>
      <c r="O10947" t="s">
        <v>44906</v>
      </c>
      <c r="P10947">
        <v>0</v>
      </c>
      <c r="Q10947">
        <v>1</v>
      </c>
      <c r="R10947" t="s">
        <v>44915</v>
      </c>
      <c r="S10947" t="s">
        <v>45255</v>
      </c>
      <c r="T10947" t="s">
        <v>46418</v>
      </c>
      <c r="U10947" t="s">
        <v>55660</v>
      </c>
      <c r="W10947" t="s">
        <v>44225</v>
      </c>
      <c r="X10947" t="s">
        <v>44916</v>
      </c>
    </row>
    <row r="10948" spans="1:24">
      <c r="A10948">
        <f>HYPERLINK("https://www.philgeps.gov.ph/GEPSNONPILOT/Tender/SplashBidNoticeAbstractUI.aspx?menuIndex=3&amp;refID=7067304&amp;Result=3","7067304")</f>
        <v>0</v>
      </c>
      <c r="B10948" t="s">
        <v>2014</v>
      </c>
      <c r="C10948" t="s">
        <v>9745</v>
      </c>
      <c r="D10948" t="s">
        <v>18100</v>
      </c>
      <c r="E10948" t="s">
        <v>27677</v>
      </c>
      <c r="F10948" t="s">
        <v>31362</v>
      </c>
      <c r="G10948" t="s">
        <v>31369</v>
      </c>
      <c r="H10948" t="s">
        <v>15799</v>
      </c>
      <c r="I10948" t="s">
        <v>6373</v>
      </c>
      <c r="J10948" t="s">
        <v>38197</v>
      </c>
      <c r="K10948" t="s">
        <v>40693</v>
      </c>
      <c r="M10948" t="s">
        <v>43130</v>
      </c>
      <c r="N10948" t="s">
        <v>44905</v>
      </c>
      <c r="O10948" t="s">
        <v>44906</v>
      </c>
      <c r="P10948">
        <v>0</v>
      </c>
      <c r="Q10948">
        <v>1</v>
      </c>
      <c r="R10948" t="s">
        <v>44915</v>
      </c>
      <c r="S10948" t="s">
        <v>45255</v>
      </c>
      <c r="T10948" t="s">
        <v>46508</v>
      </c>
      <c r="U10948" t="s">
        <v>55683</v>
      </c>
      <c r="W10948" t="s">
        <v>43130</v>
      </c>
      <c r="X10948" t="s">
        <v>44916</v>
      </c>
    </row>
    <row r="10949" spans="1:24">
      <c r="A10949">
        <f>HYPERLINK("https://www.philgeps.gov.ph/GEPSNONPILOT/Tender/SplashBidNoticeAbstractUI.aspx?menuIndex=3&amp;refID=7067303&amp;Result=3","7067303")</f>
        <v>0</v>
      </c>
      <c r="B10949" t="s">
        <v>2993</v>
      </c>
      <c r="C10949" t="s">
        <v>13955</v>
      </c>
      <c r="D10949" t="s">
        <v>18141</v>
      </c>
      <c r="E10949" t="s">
        <v>27678</v>
      </c>
      <c r="F10949" t="s">
        <v>31362</v>
      </c>
      <c r="G10949" t="s">
        <v>31369</v>
      </c>
      <c r="H10949" t="s">
        <v>31379</v>
      </c>
      <c r="I10949" t="s">
        <v>31397</v>
      </c>
      <c r="J10949" t="s">
        <v>38198</v>
      </c>
      <c r="K10949" t="s">
        <v>40665</v>
      </c>
      <c r="M10949" t="s">
        <v>44221</v>
      </c>
      <c r="N10949" t="s">
        <v>44905</v>
      </c>
      <c r="O10949" t="s">
        <v>44906</v>
      </c>
      <c r="P10949">
        <v>0</v>
      </c>
      <c r="Q10949">
        <v>0</v>
      </c>
      <c r="R10949" t="s">
        <v>44915</v>
      </c>
      <c r="S10949" t="s">
        <v>45255</v>
      </c>
      <c r="T10949" t="s">
        <v>46418</v>
      </c>
      <c r="U10949" t="s">
        <v>55684</v>
      </c>
      <c r="W10949" t="s">
        <v>44221</v>
      </c>
      <c r="X10949" t="s">
        <v>44916</v>
      </c>
    </row>
    <row r="10950" spans="1:24">
      <c r="A10950">
        <f>HYPERLINK("https://www.philgeps.gov.ph/GEPSNONPILOT/Tender/SplashBidNoticeAbstractUI.aspx?menuIndex=3&amp;refID=7067243&amp;Result=3","7067243")</f>
        <v>0</v>
      </c>
      <c r="B10950" t="s">
        <v>814</v>
      </c>
      <c r="C10950" t="s">
        <v>13956</v>
      </c>
      <c r="E10950" t="s">
        <v>27679</v>
      </c>
      <c r="F10950" t="s">
        <v>31362</v>
      </c>
      <c r="G10950" t="s">
        <v>31373</v>
      </c>
      <c r="H10950" t="s">
        <v>15799</v>
      </c>
      <c r="I10950" t="s">
        <v>31459</v>
      </c>
      <c r="J10950" t="s">
        <v>38199</v>
      </c>
      <c r="K10950" t="s">
        <v>40682</v>
      </c>
      <c r="M10950" t="s">
        <v>43938</v>
      </c>
      <c r="N10950" t="s">
        <v>44905</v>
      </c>
      <c r="O10950" t="s">
        <v>44906</v>
      </c>
      <c r="P10950">
        <v>0</v>
      </c>
      <c r="Q10950">
        <v>2</v>
      </c>
      <c r="R10950" t="s">
        <v>44915</v>
      </c>
      <c r="S10950" t="s">
        <v>45255</v>
      </c>
      <c r="T10950" t="s">
        <v>46822</v>
      </c>
      <c r="U10950" t="s">
        <v>55685</v>
      </c>
      <c r="V10950" t="s">
        <v>59257</v>
      </c>
      <c r="W10950" t="s">
        <v>43938</v>
      </c>
      <c r="X10950" t="s">
        <v>44916</v>
      </c>
    </row>
    <row r="10951" spans="1:24">
      <c r="A10951">
        <f>HYPERLINK("https://www.philgeps.gov.ph/GEPSNONPILOT/Tender/SplashBidNoticeAbstractUI.aspx?menuIndex=3&amp;refID=7067310&amp;Result=3","7067310")</f>
        <v>0</v>
      </c>
      <c r="B10951" t="s">
        <v>2868</v>
      </c>
      <c r="C10951" t="s">
        <v>13957</v>
      </c>
      <c r="D10951" t="s">
        <v>18107</v>
      </c>
      <c r="E10951" t="s">
        <v>20195</v>
      </c>
      <c r="F10951" t="s">
        <v>31362</v>
      </c>
      <c r="G10951" t="s">
        <v>31369</v>
      </c>
      <c r="H10951" t="s">
        <v>15799</v>
      </c>
      <c r="I10951" t="s">
        <v>7719</v>
      </c>
      <c r="J10951" t="s">
        <v>38200</v>
      </c>
      <c r="K10951" t="s">
        <v>40670</v>
      </c>
      <c r="M10951" t="s">
        <v>44073</v>
      </c>
      <c r="N10951" t="s">
        <v>44905</v>
      </c>
      <c r="O10951" t="s">
        <v>44906</v>
      </c>
      <c r="P10951">
        <v>0</v>
      </c>
      <c r="Q10951">
        <v>2</v>
      </c>
      <c r="R10951" t="s">
        <v>44915</v>
      </c>
      <c r="S10951" t="s">
        <v>45255</v>
      </c>
      <c r="T10951" t="s">
        <v>46462</v>
      </c>
      <c r="U10951" t="s">
        <v>55686</v>
      </c>
      <c r="W10951" t="s">
        <v>60945</v>
      </c>
      <c r="X10951" t="s">
        <v>44916</v>
      </c>
    </row>
    <row r="10952" spans="1:24">
      <c r="A10952">
        <f>HYPERLINK("https://www.philgeps.gov.ph/GEPSNONPILOT/Tender/SplashBidNoticeAbstractUI.aspx?menuIndex=3&amp;refID=7067348&amp;Result=3","7067348")</f>
        <v>0</v>
      </c>
      <c r="B10952" t="s">
        <v>2997</v>
      </c>
      <c r="C10952" t="s">
        <v>13958</v>
      </c>
      <c r="D10952" t="s">
        <v>18108</v>
      </c>
      <c r="E10952" t="s">
        <v>27680</v>
      </c>
      <c r="F10952" t="s">
        <v>31362</v>
      </c>
      <c r="G10952" t="s">
        <v>31369</v>
      </c>
      <c r="H10952" t="s">
        <v>15799</v>
      </c>
      <c r="I10952" t="s">
        <v>7719</v>
      </c>
      <c r="J10952" t="s">
        <v>36779</v>
      </c>
      <c r="K10952" t="s">
        <v>40665</v>
      </c>
      <c r="M10952" t="s">
        <v>44225</v>
      </c>
      <c r="N10952" t="s">
        <v>44905</v>
      </c>
      <c r="O10952" t="s">
        <v>44906</v>
      </c>
      <c r="P10952">
        <v>0</v>
      </c>
      <c r="Q10952">
        <v>5</v>
      </c>
      <c r="R10952" t="s">
        <v>44915</v>
      </c>
      <c r="S10952" t="s">
        <v>45255</v>
      </c>
      <c r="T10952" t="s">
        <v>46418</v>
      </c>
      <c r="U10952" t="s">
        <v>55681</v>
      </c>
      <c r="W10952" t="s">
        <v>44225</v>
      </c>
      <c r="X10952" t="s">
        <v>44916</v>
      </c>
    </row>
    <row r="10953" spans="1:24">
      <c r="A10953">
        <f>HYPERLINK("https://www.philgeps.gov.ph/GEPSNONPILOT/Tender/SplashBidNoticeAbstractUI.aspx?menuIndex=3&amp;refID=7067328&amp;Result=3","7067328")</f>
        <v>0</v>
      </c>
      <c r="B10953" t="s">
        <v>2997</v>
      </c>
      <c r="C10953" t="s">
        <v>13959</v>
      </c>
      <c r="D10953" t="s">
        <v>18108</v>
      </c>
      <c r="E10953" t="s">
        <v>13959</v>
      </c>
      <c r="F10953" t="s">
        <v>31362</v>
      </c>
      <c r="G10953" t="s">
        <v>31369</v>
      </c>
      <c r="H10953" t="s">
        <v>15799</v>
      </c>
      <c r="I10953" t="s">
        <v>6373</v>
      </c>
      <c r="J10953" t="s">
        <v>32442</v>
      </c>
      <c r="K10953" t="s">
        <v>40665</v>
      </c>
      <c r="M10953" t="s">
        <v>44225</v>
      </c>
      <c r="N10953" t="s">
        <v>44905</v>
      </c>
      <c r="O10953" t="s">
        <v>44906</v>
      </c>
      <c r="P10953">
        <v>0</v>
      </c>
      <c r="Q10953">
        <v>1</v>
      </c>
      <c r="R10953" t="s">
        <v>44915</v>
      </c>
      <c r="S10953" t="s">
        <v>45255</v>
      </c>
      <c r="T10953" t="s">
        <v>46418</v>
      </c>
      <c r="U10953" t="s">
        <v>55661</v>
      </c>
      <c r="W10953" t="s">
        <v>44225</v>
      </c>
      <c r="X10953" t="s">
        <v>44916</v>
      </c>
    </row>
    <row r="10954" spans="1:24">
      <c r="A10954">
        <f>HYPERLINK("https://www.philgeps.gov.ph/GEPSNONPILOT/Tender/SplashBidNoticeAbstractUI.aspx?menuIndex=3&amp;refID=7059133&amp;Result=3","7059133")</f>
        <v>0</v>
      </c>
      <c r="B10954" t="s">
        <v>1971</v>
      </c>
      <c r="C10954" t="s">
        <v>13960</v>
      </c>
      <c r="D10954" t="s">
        <v>18154</v>
      </c>
      <c r="E10954" t="s">
        <v>27681</v>
      </c>
      <c r="F10954" t="s">
        <v>31362</v>
      </c>
      <c r="G10954" t="s">
        <v>31369</v>
      </c>
      <c r="H10954" t="s">
        <v>15799</v>
      </c>
      <c r="I10954" t="s">
        <v>3815</v>
      </c>
      <c r="J10954" t="s">
        <v>38201</v>
      </c>
      <c r="K10954" t="s">
        <v>40662</v>
      </c>
      <c r="M10954" t="s">
        <v>43078</v>
      </c>
      <c r="N10954" t="s">
        <v>44905</v>
      </c>
      <c r="O10954" t="s">
        <v>44906</v>
      </c>
      <c r="P10954">
        <v>0</v>
      </c>
      <c r="Q10954">
        <v>0</v>
      </c>
      <c r="R10954" t="s">
        <v>44916</v>
      </c>
      <c r="S10954" t="s">
        <v>45313</v>
      </c>
      <c r="T10954" t="s">
        <v>46507</v>
      </c>
      <c r="U10954" t="s">
        <v>55687</v>
      </c>
      <c r="W10954" t="s">
        <v>43078</v>
      </c>
      <c r="X10954" t="s">
        <v>44918</v>
      </c>
    </row>
    <row r="10955" spans="1:24">
      <c r="A10955">
        <f>HYPERLINK("https://www.philgeps.gov.ph/GEPSNONPILOT/Tender/SplashBidNoticeAbstractUI.aspx?menuIndex=3&amp;refID=7059090&amp;Result=3","7059090")</f>
        <v>0</v>
      </c>
      <c r="B10955" t="s">
        <v>3006</v>
      </c>
      <c r="C10955" t="s">
        <v>13961</v>
      </c>
      <c r="E10955" t="s">
        <v>27682</v>
      </c>
      <c r="F10955" t="s">
        <v>31362</v>
      </c>
      <c r="G10955" t="s">
        <v>31369</v>
      </c>
      <c r="H10955" t="s">
        <v>15799</v>
      </c>
      <c r="I10955" t="s">
        <v>31461</v>
      </c>
      <c r="J10955" t="s">
        <v>38202</v>
      </c>
      <c r="K10955" t="s">
        <v>40679</v>
      </c>
      <c r="M10955" t="s">
        <v>44235</v>
      </c>
      <c r="N10955" t="s">
        <v>44905</v>
      </c>
      <c r="O10955" t="s">
        <v>44906</v>
      </c>
      <c r="Q10955">
        <v>4</v>
      </c>
      <c r="R10955" t="s">
        <v>44916</v>
      </c>
      <c r="S10955" t="s">
        <v>45314</v>
      </c>
      <c r="T10955" t="s">
        <v>46392</v>
      </c>
      <c r="U10955" t="s">
        <v>55688</v>
      </c>
      <c r="V10955" t="s">
        <v>55688</v>
      </c>
      <c r="W10955" t="s">
        <v>44235</v>
      </c>
      <c r="X10955" t="s">
        <v>44918</v>
      </c>
    </row>
    <row r="10956" spans="1:24">
      <c r="A10956">
        <f>HYPERLINK("https://www.philgeps.gov.ph/GEPSNONPILOT/Tender/SplashBidNoticeAbstractUI.aspx?menuIndex=3&amp;refID=7059063&amp;Result=3","7059063")</f>
        <v>0</v>
      </c>
      <c r="B10956" t="s">
        <v>1971</v>
      </c>
      <c r="C10956" t="s">
        <v>13962</v>
      </c>
      <c r="D10956" t="s">
        <v>18154</v>
      </c>
      <c r="E10956" t="s">
        <v>27683</v>
      </c>
      <c r="F10956" t="s">
        <v>31362</v>
      </c>
      <c r="G10956" t="s">
        <v>31369</v>
      </c>
      <c r="H10956" t="s">
        <v>15799</v>
      </c>
      <c r="I10956" t="s">
        <v>3815</v>
      </c>
      <c r="J10956" t="s">
        <v>38203</v>
      </c>
      <c r="K10956" t="s">
        <v>40662</v>
      </c>
      <c r="M10956" t="s">
        <v>43078</v>
      </c>
      <c r="N10956" t="s">
        <v>44905</v>
      </c>
      <c r="O10956" t="s">
        <v>44906</v>
      </c>
      <c r="P10956">
        <v>0</v>
      </c>
      <c r="Q10956">
        <v>0</v>
      </c>
      <c r="R10956" t="s">
        <v>44916</v>
      </c>
      <c r="S10956" t="s">
        <v>45313</v>
      </c>
      <c r="T10956" t="s">
        <v>46507</v>
      </c>
      <c r="U10956" t="s">
        <v>55689</v>
      </c>
      <c r="W10956" t="s">
        <v>43078</v>
      </c>
      <c r="X10956" t="s">
        <v>44918</v>
      </c>
    </row>
    <row r="10957" spans="1:24">
      <c r="A10957">
        <f>HYPERLINK("https://www.philgeps.gov.ph/GEPSNONPILOT/Tender/SplashBidNoticeAbstractUI.aspx?menuIndex=3&amp;refID=7059052&amp;Result=3","7059052")</f>
        <v>0</v>
      </c>
      <c r="B10957" t="s">
        <v>1971</v>
      </c>
      <c r="C10957" t="s">
        <v>13963</v>
      </c>
      <c r="D10957" t="s">
        <v>18154</v>
      </c>
      <c r="E10957" t="s">
        <v>27684</v>
      </c>
      <c r="F10957" t="s">
        <v>31362</v>
      </c>
      <c r="G10957" t="s">
        <v>31369</v>
      </c>
      <c r="H10957" t="s">
        <v>15799</v>
      </c>
      <c r="I10957" t="s">
        <v>3815</v>
      </c>
      <c r="J10957" t="s">
        <v>38204</v>
      </c>
      <c r="K10957" t="s">
        <v>40662</v>
      </c>
      <c r="M10957" t="s">
        <v>43078</v>
      </c>
      <c r="N10957" t="s">
        <v>44905</v>
      </c>
      <c r="O10957" t="s">
        <v>44906</v>
      </c>
      <c r="P10957">
        <v>0</v>
      </c>
      <c r="Q10957">
        <v>0</v>
      </c>
      <c r="R10957" t="s">
        <v>44916</v>
      </c>
      <c r="S10957" t="s">
        <v>45313</v>
      </c>
      <c r="T10957" t="s">
        <v>46620</v>
      </c>
      <c r="U10957" t="s">
        <v>55690</v>
      </c>
      <c r="W10957" t="s">
        <v>43078</v>
      </c>
      <c r="X10957" t="s">
        <v>44918</v>
      </c>
    </row>
    <row r="10958" spans="1:24">
      <c r="A10958">
        <f>HYPERLINK("https://www.philgeps.gov.ph/GEPSNONPILOT/Tender/SplashBidNoticeAbstractUI.aspx?menuIndex=3&amp;refID=7067305&amp;Result=3","7067305")</f>
        <v>0</v>
      </c>
      <c r="B10958" t="s">
        <v>3007</v>
      </c>
      <c r="C10958" t="s">
        <v>13964</v>
      </c>
      <c r="D10958" t="s">
        <v>18120</v>
      </c>
      <c r="E10958" t="s">
        <v>27685</v>
      </c>
      <c r="F10958" t="s">
        <v>31363</v>
      </c>
      <c r="G10958" t="s">
        <v>31369</v>
      </c>
      <c r="H10958" t="s">
        <v>15799</v>
      </c>
      <c r="I10958" t="s">
        <v>3815</v>
      </c>
      <c r="J10958" t="s">
        <v>38205</v>
      </c>
      <c r="K10958" t="s">
        <v>40670</v>
      </c>
      <c r="M10958" t="s">
        <v>44236</v>
      </c>
      <c r="N10958" t="s">
        <v>44905</v>
      </c>
      <c r="O10958" t="s">
        <v>44906</v>
      </c>
      <c r="P10958">
        <v>0</v>
      </c>
      <c r="Q10958">
        <v>1</v>
      </c>
      <c r="R10958" t="s">
        <v>44915</v>
      </c>
      <c r="S10958" t="s">
        <v>45255</v>
      </c>
      <c r="T10958" t="s">
        <v>46426</v>
      </c>
      <c r="U10958" t="s">
        <v>55691</v>
      </c>
      <c r="W10958" t="s">
        <v>44236</v>
      </c>
      <c r="X10958" t="s">
        <v>44916</v>
      </c>
    </row>
    <row r="10959" spans="1:24">
      <c r="A10959">
        <f>HYPERLINK("https://www.philgeps.gov.ph/GEPSNONPILOT/Tender/SplashBidNoticeAbstractUI.aspx?menuIndex=3&amp;refID=7058259&amp;Result=3","7058259")</f>
        <v>0</v>
      </c>
      <c r="B10959" t="s">
        <v>48</v>
      </c>
      <c r="C10959" t="s">
        <v>13965</v>
      </c>
      <c r="D10959" t="s">
        <v>18117</v>
      </c>
      <c r="E10959" t="s">
        <v>27686</v>
      </c>
      <c r="F10959" t="s">
        <v>31362</v>
      </c>
      <c r="G10959" t="s">
        <v>31369</v>
      </c>
      <c r="H10959" t="s">
        <v>15799</v>
      </c>
      <c r="I10959" t="s">
        <v>31382</v>
      </c>
      <c r="J10959" t="s">
        <v>31546</v>
      </c>
      <c r="K10959" t="s">
        <v>40665</v>
      </c>
      <c r="M10959" t="s">
        <v>41068</v>
      </c>
      <c r="N10959" t="s">
        <v>44905</v>
      </c>
      <c r="O10959" t="s">
        <v>44906</v>
      </c>
      <c r="P10959">
        <v>0</v>
      </c>
      <c r="Q10959">
        <v>3</v>
      </c>
      <c r="R10959" t="s">
        <v>44916</v>
      </c>
      <c r="S10959" t="s">
        <v>45313</v>
      </c>
      <c r="T10959" t="s">
        <v>46625</v>
      </c>
      <c r="U10959" t="s">
        <v>55692</v>
      </c>
      <c r="V10959" t="s">
        <v>59078</v>
      </c>
      <c r="W10959" t="s">
        <v>41068</v>
      </c>
      <c r="X10959" t="s">
        <v>44920</v>
      </c>
    </row>
    <row r="10960" spans="1:24">
      <c r="A10960">
        <f>HYPERLINK("https://www.philgeps.gov.ph/GEPSNONPILOT/Tender/SplashBidNoticeAbstractUI.aspx?menuIndex=3&amp;refID=7058258&amp;Result=3","7058258")</f>
        <v>0</v>
      </c>
      <c r="B10960" t="s">
        <v>48</v>
      </c>
      <c r="C10960" t="s">
        <v>13966</v>
      </c>
      <c r="D10960" t="s">
        <v>18117</v>
      </c>
      <c r="E10960" t="s">
        <v>27687</v>
      </c>
      <c r="F10960" t="s">
        <v>31362</v>
      </c>
      <c r="G10960" t="s">
        <v>31369</v>
      </c>
      <c r="H10960" t="s">
        <v>15799</v>
      </c>
      <c r="I10960" t="s">
        <v>31382</v>
      </c>
      <c r="J10960" t="s">
        <v>33084</v>
      </c>
      <c r="K10960" t="s">
        <v>40665</v>
      </c>
      <c r="M10960" t="s">
        <v>41068</v>
      </c>
      <c r="N10960" t="s">
        <v>44905</v>
      </c>
      <c r="O10960" t="s">
        <v>44906</v>
      </c>
      <c r="P10960">
        <v>0</v>
      </c>
      <c r="Q10960">
        <v>1</v>
      </c>
      <c r="R10960" t="s">
        <v>44916</v>
      </c>
      <c r="S10960" t="s">
        <v>45313</v>
      </c>
      <c r="T10960" t="s">
        <v>46625</v>
      </c>
      <c r="U10960" t="s">
        <v>55693</v>
      </c>
      <c r="V10960" t="s">
        <v>59078</v>
      </c>
      <c r="W10960" t="s">
        <v>41068</v>
      </c>
      <c r="X10960" t="s">
        <v>44920</v>
      </c>
    </row>
    <row r="10961" spans="1:24">
      <c r="A10961">
        <f>HYPERLINK("https://www.philgeps.gov.ph/GEPSNONPILOT/Tender/SplashBidNoticeAbstractUI.aspx?menuIndex=3&amp;refID=7059137&amp;Result=3","7059137")</f>
        <v>0</v>
      </c>
      <c r="B10961" t="s">
        <v>3006</v>
      </c>
      <c r="C10961" t="s">
        <v>13967</v>
      </c>
      <c r="D10961" t="s">
        <v>18118</v>
      </c>
      <c r="E10961" t="s">
        <v>27688</v>
      </c>
      <c r="F10961" t="s">
        <v>31362</v>
      </c>
      <c r="G10961" t="s">
        <v>31369</v>
      </c>
      <c r="H10961" t="s">
        <v>31378</v>
      </c>
      <c r="I10961" t="s">
        <v>31386</v>
      </c>
      <c r="J10961" t="s">
        <v>38206</v>
      </c>
      <c r="K10961" t="s">
        <v>40824</v>
      </c>
      <c r="M10961" t="s">
        <v>44235</v>
      </c>
      <c r="N10961" t="s">
        <v>44905</v>
      </c>
      <c r="O10961" t="s">
        <v>44906</v>
      </c>
      <c r="Q10961">
        <v>3</v>
      </c>
      <c r="R10961" t="s">
        <v>44916</v>
      </c>
      <c r="S10961" t="s">
        <v>45315</v>
      </c>
      <c r="T10961" t="s">
        <v>46392</v>
      </c>
      <c r="U10961" t="s">
        <v>55688</v>
      </c>
      <c r="V10961" t="s">
        <v>55688</v>
      </c>
      <c r="W10961" t="s">
        <v>44235</v>
      </c>
      <c r="X10961" t="s">
        <v>44918</v>
      </c>
    </row>
    <row r="10962" spans="1:24">
      <c r="A10962">
        <f>HYPERLINK("https://www.philgeps.gov.ph/GEPSNONPILOT/Tender/SplashBidNoticeAbstractUI.aspx?menuIndex=3&amp;refID=7054891&amp;Result=3","7054891")</f>
        <v>0</v>
      </c>
      <c r="B10962" t="s">
        <v>2101</v>
      </c>
      <c r="C10962" t="s">
        <v>13968</v>
      </c>
      <c r="D10962" t="s">
        <v>18116</v>
      </c>
      <c r="E10962" t="s">
        <v>27689</v>
      </c>
      <c r="F10962" t="s">
        <v>31362</v>
      </c>
      <c r="G10962" t="s">
        <v>31369</v>
      </c>
      <c r="H10962" t="s">
        <v>15799</v>
      </c>
      <c r="I10962" t="s">
        <v>31404</v>
      </c>
      <c r="J10962" t="s">
        <v>38207</v>
      </c>
      <c r="K10962" t="s">
        <v>40679</v>
      </c>
      <c r="M10962" t="s">
        <v>44237</v>
      </c>
      <c r="N10962" t="s">
        <v>44905</v>
      </c>
      <c r="O10962" t="s">
        <v>44906</v>
      </c>
      <c r="P10962">
        <v>0</v>
      </c>
      <c r="Q10962">
        <v>1</v>
      </c>
      <c r="R10962" t="s">
        <v>44916</v>
      </c>
      <c r="S10962" t="s">
        <v>45313</v>
      </c>
      <c r="T10962" t="s">
        <v>46462</v>
      </c>
      <c r="U10962" t="s">
        <v>55694</v>
      </c>
      <c r="V10962" t="s">
        <v>60233</v>
      </c>
      <c r="W10962" t="s">
        <v>44237</v>
      </c>
      <c r="X10962" t="s">
        <v>44922</v>
      </c>
    </row>
    <row r="10963" spans="1:24">
      <c r="A10963">
        <f>HYPERLINK("https://www.philgeps.gov.ph/GEPSNONPILOT/Tender/SplashBidNoticeAbstractUI.aspx?menuIndex=3&amp;refID=7057432&amp;Result=3","7057432")</f>
        <v>0</v>
      </c>
      <c r="B10963" t="s">
        <v>2500</v>
      </c>
      <c r="C10963" t="s">
        <v>13969</v>
      </c>
      <c r="D10963" t="s">
        <v>18148</v>
      </c>
      <c r="E10963" t="s">
        <v>27690</v>
      </c>
      <c r="F10963" t="s">
        <v>31362</v>
      </c>
      <c r="G10963" t="s">
        <v>31369</v>
      </c>
      <c r="H10963" t="s">
        <v>31378</v>
      </c>
      <c r="I10963" t="s">
        <v>31386</v>
      </c>
      <c r="J10963" t="s">
        <v>38208</v>
      </c>
      <c r="K10963" t="s">
        <v>40771</v>
      </c>
      <c r="M10963" t="s">
        <v>44238</v>
      </c>
      <c r="N10963" t="s">
        <v>44905</v>
      </c>
      <c r="O10963" t="s">
        <v>44906</v>
      </c>
      <c r="Q10963">
        <v>2</v>
      </c>
      <c r="R10963" t="s">
        <v>44916</v>
      </c>
      <c r="S10963" t="s">
        <v>45316</v>
      </c>
      <c r="T10963" t="s">
        <v>46433</v>
      </c>
      <c r="U10963" t="s">
        <v>55695</v>
      </c>
      <c r="W10963" t="s">
        <v>44238</v>
      </c>
      <c r="X10963" t="s">
        <v>44921</v>
      </c>
    </row>
    <row r="10964" spans="1:24">
      <c r="A10964">
        <f>HYPERLINK("https://www.philgeps.gov.ph/GEPSNONPILOT/Tender/SplashBidNoticeAbstractUI.aspx?menuIndex=3&amp;refID=6949730&amp;Result=3","6949730")</f>
        <v>0</v>
      </c>
      <c r="B10964" t="s">
        <v>3003</v>
      </c>
      <c r="C10964" t="s">
        <v>13970</v>
      </c>
      <c r="E10964" t="s">
        <v>18548</v>
      </c>
      <c r="F10964" t="s">
        <v>31362</v>
      </c>
      <c r="G10964" t="s">
        <v>31369</v>
      </c>
      <c r="H10964" t="s">
        <v>15799</v>
      </c>
      <c r="I10964" t="s">
        <v>31427</v>
      </c>
      <c r="J10964" t="s">
        <v>38209</v>
      </c>
      <c r="K10964" t="s">
        <v>40697</v>
      </c>
      <c r="M10964" t="s">
        <v>44232</v>
      </c>
      <c r="N10964" t="s">
        <v>44905</v>
      </c>
      <c r="O10964" t="s">
        <v>44906</v>
      </c>
      <c r="P10964">
        <v>0</v>
      </c>
      <c r="Q10964">
        <v>0</v>
      </c>
      <c r="R10964" t="s">
        <v>44916</v>
      </c>
      <c r="S10964" t="s">
        <v>45313</v>
      </c>
      <c r="T10964" t="s">
        <v>46481</v>
      </c>
      <c r="U10964" t="s">
        <v>55696</v>
      </c>
      <c r="W10964" t="s">
        <v>44232</v>
      </c>
      <c r="X10964" t="s">
        <v>60987</v>
      </c>
    </row>
    <row r="10965" spans="1:24">
      <c r="A10965">
        <f>HYPERLINK("https://www.philgeps.gov.ph/GEPSNONPILOT/Tender/SplashBidNoticeAbstractUI.aspx?menuIndex=3&amp;refID=7057482&amp;Result=3","7057482")</f>
        <v>0</v>
      </c>
      <c r="B10965" t="s">
        <v>194</v>
      </c>
      <c r="C10965" t="s">
        <v>13971</v>
      </c>
      <c r="D10965" t="s">
        <v>18143</v>
      </c>
      <c r="E10965" t="s">
        <v>27691</v>
      </c>
      <c r="F10965" t="s">
        <v>31362</v>
      </c>
      <c r="G10965" t="s">
        <v>31369</v>
      </c>
      <c r="H10965" t="s">
        <v>15799</v>
      </c>
      <c r="I10965" t="s">
        <v>31433</v>
      </c>
      <c r="J10965" t="s">
        <v>38210</v>
      </c>
      <c r="K10965" t="s">
        <v>40682</v>
      </c>
      <c r="M10965" t="s">
        <v>41132</v>
      </c>
      <c r="N10965" t="s">
        <v>44905</v>
      </c>
      <c r="O10965" t="s">
        <v>44906</v>
      </c>
      <c r="P10965">
        <v>0</v>
      </c>
      <c r="Q10965">
        <v>8</v>
      </c>
      <c r="R10965" t="s">
        <v>44916</v>
      </c>
      <c r="S10965" t="s">
        <v>45313</v>
      </c>
      <c r="T10965" t="s">
        <v>46484</v>
      </c>
      <c r="U10965" t="s">
        <v>55697</v>
      </c>
      <c r="V10965" t="s">
        <v>60234</v>
      </c>
      <c r="W10965" t="s">
        <v>41132</v>
      </c>
      <c r="X10965" t="s">
        <v>44921</v>
      </c>
    </row>
    <row r="10966" spans="1:24">
      <c r="A10966">
        <f>HYPERLINK("https://www.philgeps.gov.ph/GEPSNONPILOT/Tender/SplashBidNoticeAbstractUI.aspx?menuIndex=3&amp;refID=7059516&amp;Result=3","7059516")</f>
        <v>0</v>
      </c>
      <c r="B10966" t="s">
        <v>2500</v>
      </c>
      <c r="C10966" t="s">
        <v>13972</v>
      </c>
      <c r="D10966" t="s">
        <v>18148</v>
      </c>
      <c r="E10966" t="s">
        <v>27692</v>
      </c>
      <c r="F10966" t="s">
        <v>31362</v>
      </c>
      <c r="G10966" t="s">
        <v>31369</v>
      </c>
      <c r="H10966" t="s">
        <v>31378</v>
      </c>
      <c r="I10966" t="s">
        <v>31386</v>
      </c>
      <c r="J10966" t="s">
        <v>38211</v>
      </c>
      <c r="K10966" t="s">
        <v>40814</v>
      </c>
      <c r="M10966" t="s">
        <v>44238</v>
      </c>
      <c r="N10966" t="s">
        <v>44905</v>
      </c>
      <c r="O10966" t="s">
        <v>44906</v>
      </c>
      <c r="Q10966">
        <v>0</v>
      </c>
      <c r="R10966" t="s">
        <v>44916</v>
      </c>
      <c r="S10966" t="s">
        <v>45317</v>
      </c>
      <c r="T10966" t="s">
        <v>46433</v>
      </c>
      <c r="U10966" t="s">
        <v>55698</v>
      </c>
      <c r="W10966" t="s">
        <v>44238</v>
      </c>
      <c r="X10966" t="s">
        <v>44918</v>
      </c>
    </row>
    <row r="10967" spans="1:24">
      <c r="A10967">
        <f>HYPERLINK("https://www.philgeps.gov.ph/GEPSNONPILOT/Tender/SplashBidNoticeAbstractUI.aspx?menuIndex=3&amp;refID=7059511&amp;Result=3","7059511")</f>
        <v>0</v>
      </c>
      <c r="B10967" t="s">
        <v>2500</v>
      </c>
      <c r="C10967" t="s">
        <v>13973</v>
      </c>
      <c r="D10967" t="s">
        <v>18148</v>
      </c>
      <c r="E10967" t="s">
        <v>27693</v>
      </c>
      <c r="F10967" t="s">
        <v>31362</v>
      </c>
      <c r="G10967" t="s">
        <v>31369</v>
      </c>
      <c r="H10967" t="s">
        <v>31378</v>
      </c>
      <c r="I10967" t="s">
        <v>31386</v>
      </c>
      <c r="J10967" t="s">
        <v>38212</v>
      </c>
      <c r="K10967" t="s">
        <v>40877</v>
      </c>
      <c r="M10967" t="s">
        <v>44238</v>
      </c>
      <c r="N10967" t="s">
        <v>44905</v>
      </c>
      <c r="O10967" t="s">
        <v>44906</v>
      </c>
      <c r="Q10967">
        <v>1</v>
      </c>
      <c r="R10967" t="s">
        <v>44916</v>
      </c>
      <c r="S10967" t="s">
        <v>45318</v>
      </c>
      <c r="T10967" t="s">
        <v>46433</v>
      </c>
      <c r="U10967" t="s">
        <v>55699</v>
      </c>
      <c r="W10967" t="s">
        <v>44238</v>
      </c>
      <c r="X10967" t="s">
        <v>44918</v>
      </c>
    </row>
    <row r="10968" spans="1:24">
      <c r="A10968">
        <f>HYPERLINK("https://www.philgeps.gov.ph/GEPSNONPILOT/Tender/SplashBidNoticeAbstractUI.aspx?menuIndex=3&amp;refID=7059504&amp;Result=3","7059504")</f>
        <v>0</v>
      </c>
      <c r="B10968" t="s">
        <v>2500</v>
      </c>
      <c r="C10968" t="s">
        <v>13974</v>
      </c>
      <c r="D10968" t="s">
        <v>18148</v>
      </c>
      <c r="E10968" t="s">
        <v>27694</v>
      </c>
      <c r="F10968" t="s">
        <v>31362</v>
      </c>
      <c r="G10968" t="s">
        <v>31369</v>
      </c>
      <c r="H10968" t="s">
        <v>31378</v>
      </c>
      <c r="I10968" t="s">
        <v>31386</v>
      </c>
      <c r="J10968" t="s">
        <v>38213</v>
      </c>
      <c r="K10968" t="s">
        <v>40822</v>
      </c>
      <c r="M10968" t="s">
        <v>44238</v>
      </c>
      <c r="N10968" t="s">
        <v>44905</v>
      </c>
      <c r="O10968" t="s">
        <v>44906</v>
      </c>
      <c r="Q10968">
        <v>1</v>
      </c>
      <c r="R10968" t="s">
        <v>44916</v>
      </c>
      <c r="S10968" t="s">
        <v>45319</v>
      </c>
      <c r="T10968" t="s">
        <v>46433</v>
      </c>
      <c r="U10968" t="s">
        <v>55700</v>
      </c>
      <c r="W10968" t="s">
        <v>44238</v>
      </c>
      <c r="X10968" t="s">
        <v>44918</v>
      </c>
    </row>
    <row r="10969" spans="1:24">
      <c r="A10969">
        <f>HYPERLINK("https://www.philgeps.gov.ph/GEPSNONPILOT/Tender/SplashBidNoticeAbstractUI.aspx?menuIndex=3&amp;refID=7057438&amp;Result=3","7057438")</f>
        <v>0</v>
      </c>
      <c r="B10969" t="s">
        <v>2500</v>
      </c>
      <c r="C10969" t="s">
        <v>13975</v>
      </c>
      <c r="D10969" t="s">
        <v>18148</v>
      </c>
      <c r="E10969" t="s">
        <v>27695</v>
      </c>
      <c r="F10969" t="s">
        <v>31362</v>
      </c>
      <c r="G10969" t="s">
        <v>31369</v>
      </c>
      <c r="H10969" t="s">
        <v>31378</v>
      </c>
      <c r="I10969" t="s">
        <v>31386</v>
      </c>
      <c r="J10969" t="s">
        <v>38214</v>
      </c>
      <c r="K10969" t="s">
        <v>40849</v>
      </c>
      <c r="M10969" t="s">
        <v>44238</v>
      </c>
      <c r="N10969" t="s">
        <v>44905</v>
      </c>
      <c r="O10969" t="s">
        <v>44906</v>
      </c>
      <c r="Q10969">
        <v>2</v>
      </c>
      <c r="R10969" t="s">
        <v>44916</v>
      </c>
      <c r="S10969" t="s">
        <v>45320</v>
      </c>
      <c r="T10969" t="s">
        <v>46433</v>
      </c>
      <c r="U10969" t="s">
        <v>55701</v>
      </c>
      <c r="W10969" t="s">
        <v>44238</v>
      </c>
      <c r="X10969" t="s">
        <v>44921</v>
      </c>
    </row>
    <row r="10970" spans="1:24">
      <c r="A10970">
        <f>HYPERLINK("https://www.philgeps.gov.ph/GEPSNONPILOT/Tender/SplashBidNoticeAbstractUI.aspx?menuIndex=3&amp;refID=7059490&amp;Result=3","7059490")</f>
        <v>0</v>
      </c>
      <c r="B10970" t="s">
        <v>2500</v>
      </c>
      <c r="C10970" t="s">
        <v>13976</v>
      </c>
      <c r="D10970" t="s">
        <v>18148</v>
      </c>
      <c r="E10970" t="s">
        <v>27696</v>
      </c>
      <c r="F10970" t="s">
        <v>31362</v>
      </c>
      <c r="G10970" t="s">
        <v>31369</v>
      </c>
      <c r="H10970" t="s">
        <v>31378</v>
      </c>
      <c r="I10970" t="s">
        <v>31386</v>
      </c>
      <c r="J10970" t="s">
        <v>38215</v>
      </c>
      <c r="K10970" t="s">
        <v>40884</v>
      </c>
      <c r="M10970" t="s">
        <v>44238</v>
      </c>
      <c r="N10970" t="s">
        <v>44905</v>
      </c>
      <c r="O10970" t="s">
        <v>44906</v>
      </c>
      <c r="Q10970">
        <v>1</v>
      </c>
      <c r="R10970" t="s">
        <v>44916</v>
      </c>
      <c r="S10970" t="s">
        <v>45321</v>
      </c>
      <c r="T10970" t="s">
        <v>46433</v>
      </c>
      <c r="U10970" t="s">
        <v>55702</v>
      </c>
      <c r="W10970" t="s">
        <v>44238</v>
      </c>
      <c r="X10970" t="s">
        <v>44918</v>
      </c>
    </row>
    <row r="10971" spans="1:24">
      <c r="A10971">
        <f>HYPERLINK("https://www.philgeps.gov.ph/GEPSNONPILOT/Tender/SplashBidNoticeAbstractUI.aspx?menuIndex=3&amp;refID=7059481&amp;Result=3","7059481")</f>
        <v>0</v>
      </c>
      <c r="B10971" t="s">
        <v>2500</v>
      </c>
      <c r="C10971" t="s">
        <v>13977</v>
      </c>
      <c r="D10971" t="s">
        <v>18148</v>
      </c>
      <c r="E10971" t="s">
        <v>27697</v>
      </c>
      <c r="F10971" t="s">
        <v>31362</v>
      </c>
      <c r="G10971" t="s">
        <v>31369</v>
      </c>
      <c r="H10971" t="s">
        <v>31378</v>
      </c>
      <c r="I10971" t="s">
        <v>31386</v>
      </c>
      <c r="J10971" t="s">
        <v>38216</v>
      </c>
      <c r="K10971" t="s">
        <v>40826</v>
      </c>
      <c r="M10971" t="s">
        <v>44238</v>
      </c>
      <c r="N10971" t="s">
        <v>44905</v>
      </c>
      <c r="O10971" t="s">
        <v>44906</v>
      </c>
      <c r="Q10971">
        <v>1</v>
      </c>
      <c r="R10971" t="s">
        <v>44916</v>
      </c>
      <c r="S10971" t="s">
        <v>45322</v>
      </c>
      <c r="T10971" t="s">
        <v>46433</v>
      </c>
      <c r="U10971" t="s">
        <v>55703</v>
      </c>
      <c r="W10971" t="s">
        <v>44238</v>
      </c>
      <c r="X10971" t="s">
        <v>44918</v>
      </c>
    </row>
    <row r="10972" spans="1:24">
      <c r="A10972">
        <f>HYPERLINK("https://www.philgeps.gov.ph/GEPSNONPILOT/Tender/SplashBidNoticeAbstractUI.aspx?menuIndex=3&amp;refID=7059440&amp;Result=3","7059440")</f>
        <v>0</v>
      </c>
      <c r="B10972" t="s">
        <v>3006</v>
      </c>
      <c r="C10972" t="s">
        <v>13978</v>
      </c>
      <c r="D10972" t="s">
        <v>18127</v>
      </c>
      <c r="E10972" t="s">
        <v>27698</v>
      </c>
      <c r="F10972" t="s">
        <v>31362</v>
      </c>
      <c r="G10972" t="s">
        <v>31369</v>
      </c>
      <c r="H10972" t="s">
        <v>15799</v>
      </c>
      <c r="I10972" t="s">
        <v>31455</v>
      </c>
      <c r="J10972" t="s">
        <v>38217</v>
      </c>
      <c r="K10972" t="s">
        <v>40712</v>
      </c>
      <c r="M10972" t="s">
        <v>44235</v>
      </c>
      <c r="N10972" t="s">
        <v>44905</v>
      </c>
      <c r="O10972" t="s">
        <v>44906</v>
      </c>
      <c r="Q10972">
        <v>0</v>
      </c>
      <c r="R10972" t="s">
        <v>44916</v>
      </c>
      <c r="S10972" t="s">
        <v>45323</v>
      </c>
      <c r="T10972" t="s">
        <v>46392</v>
      </c>
      <c r="U10972" t="s">
        <v>55688</v>
      </c>
      <c r="V10972" t="s">
        <v>55688</v>
      </c>
      <c r="W10972" t="s">
        <v>44235</v>
      </c>
      <c r="X10972" t="s">
        <v>44918</v>
      </c>
    </row>
    <row r="10973" spans="1:24">
      <c r="A10973">
        <f>HYPERLINK("https://www.philgeps.gov.ph/GEPSNONPILOT/Tender/SplashBidNoticeAbstractUI.aspx?menuIndex=3&amp;refID=7059429&amp;Result=3","7059429")</f>
        <v>0</v>
      </c>
      <c r="B10973" t="s">
        <v>3008</v>
      </c>
      <c r="C10973" t="s">
        <v>13979</v>
      </c>
      <c r="D10973" t="s">
        <v>18127</v>
      </c>
      <c r="E10973" t="s">
        <v>25939</v>
      </c>
      <c r="F10973" t="s">
        <v>31362</v>
      </c>
      <c r="G10973" t="s">
        <v>31369</v>
      </c>
      <c r="H10973" t="s">
        <v>31378</v>
      </c>
      <c r="I10973" t="s">
        <v>31386</v>
      </c>
      <c r="J10973" t="s">
        <v>31591</v>
      </c>
      <c r="K10973" t="s">
        <v>40665</v>
      </c>
      <c r="M10973" t="s">
        <v>44239</v>
      </c>
      <c r="N10973" t="s">
        <v>44905</v>
      </c>
      <c r="O10973" t="s">
        <v>44906</v>
      </c>
      <c r="P10973">
        <v>0</v>
      </c>
      <c r="Q10973">
        <v>0</v>
      </c>
      <c r="R10973" t="s">
        <v>44916</v>
      </c>
      <c r="S10973" t="s">
        <v>45313</v>
      </c>
      <c r="T10973" t="s">
        <v>46392</v>
      </c>
      <c r="U10973" t="s">
        <v>55704</v>
      </c>
      <c r="W10973" t="s">
        <v>44239</v>
      </c>
      <c r="X10973" t="s">
        <v>44918</v>
      </c>
    </row>
    <row r="10974" spans="1:24">
      <c r="A10974">
        <f>HYPERLINK("https://www.philgeps.gov.ph/GEPSNONPILOT/Tender/SplashBidNoticeAbstractUI.aspx?menuIndex=3&amp;refID=7059109&amp;Result=3","7059109")</f>
        <v>0</v>
      </c>
      <c r="B10974" t="s">
        <v>1971</v>
      </c>
      <c r="C10974" t="s">
        <v>13980</v>
      </c>
      <c r="D10974" t="s">
        <v>18154</v>
      </c>
      <c r="E10974" t="s">
        <v>27699</v>
      </c>
      <c r="F10974" t="s">
        <v>31362</v>
      </c>
      <c r="G10974" t="s">
        <v>31369</v>
      </c>
      <c r="H10974" t="s">
        <v>15799</v>
      </c>
      <c r="I10974" t="s">
        <v>3815</v>
      </c>
      <c r="J10974" t="s">
        <v>38218</v>
      </c>
      <c r="K10974" t="s">
        <v>40662</v>
      </c>
      <c r="M10974" t="s">
        <v>43078</v>
      </c>
      <c r="N10974" t="s">
        <v>44905</v>
      </c>
      <c r="O10974" t="s">
        <v>44906</v>
      </c>
      <c r="P10974">
        <v>0</v>
      </c>
      <c r="Q10974">
        <v>0</v>
      </c>
      <c r="R10974" t="s">
        <v>44916</v>
      </c>
      <c r="S10974" t="s">
        <v>45313</v>
      </c>
      <c r="T10974" t="s">
        <v>46507</v>
      </c>
      <c r="U10974" t="s">
        <v>55705</v>
      </c>
      <c r="W10974" t="s">
        <v>43078</v>
      </c>
      <c r="X10974" t="s">
        <v>44918</v>
      </c>
    </row>
    <row r="10975" spans="1:24">
      <c r="A10975">
        <f>HYPERLINK("https://www.philgeps.gov.ph/GEPSNONPILOT/Tender/SplashBidNoticeAbstractUI.aspx?menuIndex=3&amp;refID=7058208&amp;Result=3","7058208")</f>
        <v>0</v>
      </c>
      <c r="B10975" t="s">
        <v>192</v>
      </c>
      <c r="C10975" t="s">
        <v>13981</v>
      </c>
      <c r="D10975" t="s">
        <v>18122</v>
      </c>
      <c r="E10975" t="s">
        <v>27700</v>
      </c>
      <c r="F10975" t="s">
        <v>31362</v>
      </c>
      <c r="G10975" t="s">
        <v>31369</v>
      </c>
      <c r="H10975" t="s">
        <v>15799</v>
      </c>
      <c r="I10975" t="s">
        <v>3815</v>
      </c>
      <c r="J10975" t="s">
        <v>38219</v>
      </c>
      <c r="K10975" t="s">
        <v>40662</v>
      </c>
      <c r="M10975" t="s">
        <v>41130</v>
      </c>
      <c r="N10975" t="s">
        <v>44905</v>
      </c>
      <c r="O10975" t="s">
        <v>44906</v>
      </c>
      <c r="Q10975">
        <v>1</v>
      </c>
      <c r="R10975" t="s">
        <v>44916</v>
      </c>
      <c r="S10975" t="s">
        <v>45183</v>
      </c>
      <c r="T10975" t="s">
        <v>46825</v>
      </c>
      <c r="U10975" t="s">
        <v>55706</v>
      </c>
      <c r="V10975" t="s">
        <v>60219</v>
      </c>
      <c r="W10975" t="s">
        <v>41130</v>
      </c>
      <c r="X10975" t="s">
        <v>44920</v>
      </c>
    </row>
    <row r="10976" spans="1:24">
      <c r="A10976">
        <f>HYPERLINK("https://www.philgeps.gov.ph/GEPSNONPILOT/Tender/SplashBidNoticeAbstractUI.aspx?menuIndex=3&amp;refID=7059381&amp;Result=3","7059381")</f>
        <v>0</v>
      </c>
      <c r="B10976" t="s">
        <v>3006</v>
      </c>
      <c r="C10976" t="s">
        <v>13982</v>
      </c>
      <c r="D10976" t="s">
        <v>18158</v>
      </c>
      <c r="E10976" t="s">
        <v>27701</v>
      </c>
      <c r="F10976" t="s">
        <v>31362</v>
      </c>
      <c r="G10976" t="s">
        <v>31369</v>
      </c>
      <c r="H10976" t="s">
        <v>15799</v>
      </c>
      <c r="I10976" t="s">
        <v>31455</v>
      </c>
      <c r="J10976" t="s">
        <v>31693</v>
      </c>
      <c r="K10976" t="s">
        <v>40682</v>
      </c>
      <c r="M10976" t="s">
        <v>44235</v>
      </c>
      <c r="N10976" t="s">
        <v>44905</v>
      </c>
      <c r="O10976" t="s">
        <v>44906</v>
      </c>
      <c r="Q10976">
        <v>1</v>
      </c>
      <c r="R10976" t="s">
        <v>44916</v>
      </c>
      <c r="S10976" t="s">
        <v>45324</v>
      </c>
      <c r="T10976" t="s">
        <v>46392</v>
      </c>
      <c r="U10976" t="s">
        <v>55688</v>
      </c>
      <c r="V10976" t="s">
        <v>55688</v>
      </c>
      <c r="W10976" t="s">
        <v>44235</v>
      </c>
      <c r="X10976" t="s">
        <v>44918</v>
      </c>
    </row>
    <row r="10977" spans="1:24">
      <c r="A10977">
        <f>HYPERLINK("https://www.philgeps.gov.ph/GEPSNONPILOT/Tender/SplashBidNoticeAbstractUI.aspx?menuIndex=3&amp;refID=7059332&amp;Result=3","7059332")</f>
        <v>0</v>
      </c>
      <c r="B10977" t="s">
        <v>1971</v>
      </c>
      <c r="C10977" t="s">
        <v>13983</v>
      </c>
      <c r="D10977" t="s">
        <v>18154</v>
      </c>
      <c r="E10977" t="s">
        <v>27702</v>
      </c>
      <c r="F10977" t="s">
        <v>31362</v>
      </c>
      <c r="G10977" t="s">
        <v>31369</v>
      </c>
      <c r="H10977" t="s">
        <v>15799</v>
      </c>
      <c r="I10977" t="s">
        <v>3815</v>
      </c>
      <c r="J10977" t="s">
        <v>38220</v>
      </c>
      <c r="K10977" t="s">
        <v>40662</v>
      </c>
      <c r="M10977" t="s">
        <v>43078</v>
      </c>
      <c r="N10977" t="s">
        <v>44905</v>
      </c>
      <c r="O10977" t="s">
        <v>44906</v>
      </c>
      <c r="P10977">
        <v>0</v>
      </c>
      <c r="Q10977">
        <v>0</v>
      </c>
      <c r="R10977" t="s">
        <v>44916</v>
      </c>
      <c r="S10977" t="s">
        <v>45313</v>
      </c>
      <c r="T10977" t="s">
        <v>46507</v>
      </c>
      <c r="U10977" t="s">
        <v>55707</v>
      </c>
      <c r="W10977" t="s">
        <v>43078</v>
      </c>
      <c r="X10977" t="s">
        <v>44918</v>
      </c>
    </row>
    <row r="10978" spans="1:24">
      <c r="A10978">
        <f>HYPERLINK("https://www.philgeps.gov.ph/GEPSNONPILOT/Tender/SplashBidNoticeAbstractUI.aspx?menuIndex=3&amp;refID=7059278&amp;Result=3","7059278")</f>
        <v>0</v>
      </c>
      <c r="B10978" t="s">
        <v>1971</v>
      </c>
      <c r="C10978" t="s">
        <v>13984</v>
      </c>
      <c r="D10978" t="s">
        <v>18154</v>
      </c>
      <c r="E10978" t="s">
        <v>27703</v>
      </c>
      <c r="F10978" t="s">
        <v>31362</v>
      </c>
      <c r="G10978" t="s">
        <v>31369</v>
      </c>
      <c r="H10978" t="s">
        <v>15799</v>
      </c>
      <c r="I10978" t="s">
        <v>3815</v>
      </c>
      <c r="J10978" t="s">
        <v>38221</v>
      </c>
      <c r="K10978" t="s">
        <v>40662</v>
      </c>
      <c r="M10978" t="s">
        <v>43078</v>
      </c>
      <c r="N10978" t="s">
        <v>44905</v>
      </c>
      <c r="O10978" t="s">
        <v>44906</v>
      </c>
      <c r="P10978">
        <v>0</v>
      </c>
      <c r="Q10978">
        <v>1</v>
      </c>
      <c r="R10978" t="s">
        <v>44916</v>
      </c>
      <c r="S10978" t="s">
        <v>45313</v>
      </c>
      <c r="T10978" t="s">
        <v>46507</v>
      </c>
      <c r="U10978" t="s">
        <v>55708</v>
      </c>
      <c r="W10978" t="s">
        <v>43078</v>
      </c>
      <c r="X10978" t="s">
        <v>44918</v>
      </c>
    </row>
    <row r="10979" spans="1:24">
      <c r="A10979">
        <f>HYPERLINK("https://www.philgeps.gov.ph/GEPSNONPILOT/Tender/SplashBidNoticeAbstractUI.aspx?menuIndex=3&amp;refID=7067297&amp;Result=3","7067297")</f>
        <v>0</v>
      </c>
      <c r="B10979" t="s">
        <v>2993</v>
      </c>
      <c r="C10979" t="s">
        <v>13985</v>
      </c>
      <c r="D10979" t="s">
        <v>18141</v>
      </c>
      <c r="E10979" t="s">
        <v>27704</v>
      </c>
      <c r="F10979" t="s">
        <v>31362</v>
      </c>
      <c r="G10979" t="s">
        <v>31369</v>
      </c>
      <c r="H10979" t="s">
        <v>31379</v>
      </c>
      <c r="I10979" t="s">
        <v>31409</v>
      </c>
      <c r="J10979" t="s">
        <v>31531</v>
      </c>
      <c r="K10979" t="s">
        <v>40665</v>
      </c>
      <c r="M10979" t="s">
        <v>44221</v>
      </c>
      <c r="N10979" t="s">
        <v>44905</v>
      </c>
      <c r="O10979" t="s">
        <v>44906</v>
      </c>
      <c r="P10979">
        <v>0</v>
      </c>
      <c r="Q10979">
        <v>2</v>
      </c>
      <c r="R10979" t="s">
        <v>44915</v>
      </c>
      <c r="S10979" t="s">
        <v>45255</v>
      </c>
      <c r="T10979" t="s">
        <v>46418</v>
      </c>
      <c r="U10979" t="s">
        <v>55709</v>
      </c>
      <c r="W10979" t="s">
        <v>44221</v>
      </c>
      <c r="X10979" t="s">
        <v>44916</v>
      </c>
    </row>
    <row r="10980" spans="1:24">
      <c r="A10980">
        <f>HYPERLINK("https://www.philgeps.gov.ph/GEPSNONPILOT/Tender/SplashBidNoticeAbstractUI.aspx?menuIndex=3&amp;refID=7059250&amp;Result=3","7059250")</f>
        <v>0</v>
      </c>
      <c r="B10980" t="s">
        <v>1971</v>
      </c>
      <c r="C10980" t="s">
        <v>13986</v>
      </c>
      <c r="D10980" t="s">
        <v>18154</v>
      </c>
      <c r="E10980" t="s">
        <v>27705</v>
      </c>
      <c r="F10980" t="s">
        <v>31362</v>
      </c>
      <c r="G10980" t="s">
        <v>31369</v>
      </c>
      <c r="H10980" t="s">
        <v>15799</v>
      </c>
      <c r="I10980" t="s">
        <v>3815</v>
      </c>
      <c r="J10980" t="s">
        <v>38222</v>
      </c>
      <c r="K10980" t="s">
        <v>40662</v>
      </c>
      <c r="M10980" t="s">
        <v>43078</v>
      </c>
      <c r="N10980" t="s">
        <v>44905</v>
      </c>
      <c r="O10980" t="s">
        <v>44906</v>
      </c>
      <c r="P10980">
        <v>0</v>
      </c>
      <c r="Q10980">
        <v>0</v>
      </c>
      <c r="R10980" t="s">
        <v>44916</v>
      </c>
      <c r="S10980" t="s">
        <v>45313</v>
      </c>
      <c r="T10980" t="s">
        <v>46507</v>
      </c>
      <c r="U10980" t="s">
        <v>55710</v>
      </c>
      <c r="W10980" t="s">
        <v>43078</v>
      </c>
      <c r="X10980" t="s">
        <v>44918</v>
      </c>
    </row>
    <row r="10981" spans="1:24">
      <c r="A10981">
        <f>HYPERLINK("https://www.philgeps.gov.ph/GEPSNONPILOT/Tender/SplashBidNoticeAbstractUI.aspx?menuIndex=3&amp;refID=7059221&amp;Result=3","7059221")</f>
        <v>0</v>
      </c>
      <c r="B10981" t="s">
        <v>3006</v>
      </c>
      <c r="C10981" t="s">
        <v>13987</v>
      </c>
      <c r="D10981" t="s">
        <v>18139</v>
      </c>
      <c r="E10981" t="s">
        <v>27706</v>
      </c>
      <c r="F10981" t="s">
        <v>31362</v>
      </c>
      <c r="G10981" t="s">
        <v>31369</v>
      </c>
      <c r="H10981" t="s">
        <v>15799</v>
      </c>
      <c r="I10981" t="s">
        <v>7719</v>
      </c>
      <c r="J10981" t="s">
        <v>33472</v>
      </c>
      <c r="K10981" t="s">
        <v>40682</v>
      </c>
      <c r="M10981" t="s">
        <v>44235</v>
      </c>
      <c r="N10981" t="s">
        <v>44905</v>
      </c>
      <c r="O10981" t="s">
        <v>44906</v>
      </c>
      <c r="Q10981">
        <v>20</v>
      </c>
      <c r="R10981" t="s">
        <v>44916</v>
      </c>
      <c r="S10981" t="s">
        <v>45325</v>
      </c>
      <c r="T10981" t="s">
        <v>46392</v>
      </c>
      <c r="U10981" t="s">
        <v>55688</v>
      </c>
      <c r="V10981" t="s">
        <v>55688</v>
      </c>
      <c r="W10981" t="s">
        <v>44235</v>
      </c>
      <c r="X10981" t="s">
        <v>44918</v>
      </c>
    </row>
    <row r="10982" spans="1:24">
      <c r="A10982">
        <f>HYPERLINK("https://www.philgeps.gov.ph/GEPSNONPILOT/Tender/SplashBidNoticeAbstractUI.aspx?menuIndex=3&amp;refID=7059372&amp;Result=3","7059372")</f>
        <v>0</v>
      </c>
      <c r="B10982" t="s">
        <v>1971</v>
      </c>
      <c r="C10982" t="s">
        <v>13988</v>
      </c>
      <c r="D10982" t="s">
        <v>18154</v>
      </c>
      <c r="E10982" t="s">
        <v>27707</v>
      </c>
      <c r="F10982" t="s">
        <v>31362</v>
      </c>
      <c r="G10982" t="s">
        <v>31369</v>
      </c>
      <c r="H10982" t="s">
        <v>15799</v>
      </c>
      <c r="I10982" t="s">
        <v>13635</v>
      </c>
      <c r="J10982" t="s">
        <v>38223</v>
      </c>
      <c r="K10982" t="s">
        <v>40662</v>
      </c>
      <c r="M10982" t="s">
        <v>43078</v>
      </c>
      <c r="N10982" t="s">
        <v>44905</v>
      </c>
      <c r="O10982" t="s">
        <v>44906</v>
      </c>
      <c r="P10982">
        <v>0</v>
      </c>
      <c r="Q10982">
        <v>0</v>
      </c>
      <c r="R10982" t="s">
        <v>44916</v>
      </c>
      <c r="S10982" t="s">
        <v>45313</v>
      </c>
      <c r="T10982" t="s">
        <v>46507</v>
      </c>
      <c r="U10982" t="s">
        <v>55711</v>
      </c>
      <c r="W10982" t="s">
        <v>43078</v>
      </c>
      <c r="X10982" t="s">
        <v>44918</v>
      </c>
    </row>
    <row r="10983" spans="1:24">
      <c r="A10983">
        <f>HYPERLINK("https://www.philgeps.gov.ph/GEPSNONPILOT/Tender/SplashBidNoticeAbstractUI.aspx?menuIndex=3&amp;refID=7059342&amp;Result=3","7059342")</f>
        <v>0</v>
      </c>
      <c r="B10983" t="s">
        <v>2382</v>
      </c>
      <c r="C10983" t="s">
        <v>13989</v>
      </c>
      <c r="D10983" t="s">
        <v>18153</v>
      </c>
      <c r="E10983" t="s">
        <v>26609</v>
      </c>
      <c r="F10983" t="s">
        <v>31363</v>
      </c>
      <c r="G10983" t="s">
        <v>31372</v>
      </c>
      <c r="H10983" t="s">
        <v>31378</v>
      </c>
      <c r="I10983" t="s">
        <v>31386</v>
      </c>
      <c r="J10983" t="s">
        <v>38224</v>
      </c>
      <c r="K10983" t="s">
        <v>40675</v>
      </c>
      <c r="M10983" t="s">
        <v>43531</v>
      </c>
      <c r="N10983" t="s">
        <v>44905</v>
      </c>
      <c r="O10983" t="s">
        <v>44906</v>
      </c>
      <c r="P10983">
        <v>0</v>
      </c>
      <c r="Q10983">
        <v>1</v>
      </c>
      <c r="R10983" t="s">
        <v>44916</v>
      </c>
      <c r="S10983" t="s">
        <v>45313</v>
      </c>
      <c r="T10983" t="s">
        <v>46425</v>
      </c>
      <c r="U10983" t="s">
        <v>55712</v>
      </c>
      <c r="W10983" t="s">
        <v>43531</v>
      </c>
      <c r="X10983" t="s">
        <v>44918</v>
      </c>
    </row>
    <row r="10984" spans="1:24">
      <c r="A10984">
        <f>HYPERLINK("https://www.philgeps.gov.ph/GEPSNONPILOT/Tender/SplashBidNoticeAbstractUI.aspx?menuIndex=3&amp;refID=7059216&amp;Result=3","7059216")</f>
        <v>0</v>
      </c>
      <c r="B10984" t="s">
        <v>1971</v>
      </c>
      <c r="C10984" t="s">
        <v>13990</v>
      </c>
      <c r="D10984" t="s">
        <v>18154</v>
      </c>
      <c r="E10984" t="s">
        <v>27708</v>
      </c>
      <c r="F10984" t="s">
        <v>31362</v>
      </c>
      <c r="G10984" t="s">
        <v>31369</v>
      </c>
      <c r="H10984" t="s">
        <v>15799</v>
      </c>
      <c r="I10984" t="s">
        <v>3815</v>
      </c>
      <c r="J10984" t="s">
        <v>38225</v>
      </c>
      <c r="K10984" t="s">
        <v>40662</v>
      </c>
      <c r="M10984" t="s">
        <v>43078</v>
      </c>
      <c r="N10984" t="s">
        <v>44905</v>
      </c>
      <c r="O10984" t="s">
        <v>44906</v>
      </c>
      <c r="P10984">
        <v>0</v>
      </c>
      <c r="Q10984">
        <v>0</v>
      </c>
      <c r="R10984" t="s">
        <v>44916</v>
      </c>
      <c r="S10984" t="s">
        <v>45313</v>
      </c>
      <c r="T10984" t="s">
        <v>46507</v>
      </c>
      <c r="U10984" t="s">
        <v>55713</v>
      </c>
      <c r="W10984" t="s">
        <v>43078</v>
      </c>
      <c r="X10984" t="s">
        <v>44918</v>
      </c>
    </row>
    <row r="10985" spans="1:24">
      <c r="A10985">
        <f>HYPERLINK("https://www.philgeps.gov.ph/GEPSNONPILOT/Tender/SplashBidNoticeAbstractUI.aspx?menuIndex=3&amp;refID=7059160&amp;Result=3","7059160")</f>
        <v>0</v>
      </c>
      <c r="B10985" t="s">
        <v>1971</v>
      </c>
      <c r="C10985" t="s">
        <v>13991</v>
      </c>
      <c r="D10985" t="s">
        <v>18154</v>
      </c>
      <c r="E10985" t="s">
        <v>27709</v>
      </c>
      <c r="F10985" t="s">
        <v>31362</v>
      </c>
      <c r="G10985" t="s">
        <v>31369</v>
      </c>
      <c r="H10985" t="s">
        <v>15799</v>
      </c>
      <c r="I10985" t="s">
        <v>3815</v>
      </c>
      <c r="J10985" t="s">
        <v>38226</v>
      </c>
      <c r="K10985" t="s">
        <v>40662</v>
      </c>
      <c r="M10985" t="s">
        <v>43078</v>
      </c>
      <c r="N10985" t="s">
        <v>44905</v>
      </c>
      <c r="O10985" t="s">
        <v>44906</v>
      </c>
      <c r="P10985">
        <v>0</v>
      </c>
      <c r="Q10985">
        <v>0</v>
      </c>
      <c r="R10985" t="s">
        <v>44916</v>
      </c>
      <c r="S10985" t="s">
        <v>45313</v>
      </c>
      <c r="T10985" t="s">
        <v>46507</v>
      </c>
      <c r="U10985" t="s">
        <v>55714</v>
      </c>
      <c r="W10985" t="s">
        <v>43078</v>
      </c>
      <c r="X10985" t="s">
        <v>44918</v>
      </c>
    </row>
    <row r="10986" spans="1:24">
      <c r="A10986">
        <f>HYPERLINK("https://www.philgeps.gov.ph/GEPSNONPILOT/Tender/SplashBidNoticeAbstractUI.aspx?menuIndex=3&amp;refID=7059155&amp;Result=3","7059155")</f>
        <v>0</v>
      </c>
      <c r="B10986" t="s">
        <v>3009</v>
      </c>
      <c r="C10986" t="s">
        <v>13992</v>
      </c>
      <c r="D10986" t="s">
        <v>18103</v>
      </c>
      <c r="E10986" t="s">
        <v>27710</v>
      </c>
      <c r="F10986" t="s">
        <v>31362</v>
      </c>
      <c r="G10986" t="s">
        <v>31369</v>
      </c>
      <c r="H10986" t="s">
        <v>15799</v>
      </c>
      <c r="I10986" t="s">
        <v>31457</v>
      </c>
      <c r="J10986" t="s">
        <v>33472</v>
      </c>
      <c r="K10986" t="s">
        <v>40666</v>
      </c>
      <c r="M10986" t="s">
        <v>44240</v>
      </c>
      <c r="N10986" t="s">
        <v>44905</v>
      </c>
      <c r="O10986" t="s">
        <v>44906</v>
      </c>
      <c r="P10986">
        <v>0</v>
      </c>
      <c r="Q10986">
        <v>10</v>
      </c>
      <c r="R10986" t="s">
        <v>44916</v>
      </c>
      <c r="S10986" t="s">
        <v>45313</v>
      </c>
      <c r="T10986" t="s">
        <v>46566</v>
      </c>
      <c r="U10986" t="s">
        <v>55715</v>
      </c>
      <c r="W10986" t="s">
        <v>44240</v>
      </c>
      <c r="X10986" t="s">
        <v>44918</v>
      </c>
    </row>
    <row r="10987" spans="1:24">
      <c r="A10987">
        <f>HYPERLINK("https://www.philgeps.gov.ph/GEPSNONPILOT/Tender/SplashBidNoticeAbstractUI.aspx?menuIndex=3&amp;refID=7057198&amp;Result=3","7057198")</f>
        <v>0</v>
      </c>
      <c r="B10987" t="s">
        <v>2741</v>
      </c>
      <c r="C10987" t="s">
        <v>13993</v>
      </c>
      <c r="D10987" t="s">
        <v>18177</v>
      </c>
      <c r="E10987" t="s">
        <v>27711</v>
      </c>
      <c r="F10987" t="s">
        <v>31362</v>
      </c>
      <c r="G10987" t="s">
        <v>31369</v>
      </c>
      <c r="H10987" t="s">
        <v>31378</v>
      </c>
      <c r="I10987" t="s">
        <v>31386</v>
      </c>
      <c r="J10987" t="s">
        <v>31738</v>
      </c>
      <c r="K10987" t="s">
        <v>40682</v>
      </c>
      <c r="M10987" t="s">
        <v>43929</v>
      </c>
      <c r="N10987" t="s">
        <v>44905</v>
      </c>
      <c r="O10987" t="s">
        <v>44906</v>
      </c>
      <c r="P10987">
        <v>0</v>
      </c>
      <c r="Q10987">
        <v>0</v>
      </c>
      <c r="R10987" t="s">
        <v>44916</v>
      </c>
      <c r="S10987" t="s">
        <v>45313</v>
      </c>
      <c r="T10987" t="s">
        <v>46560</v>
      </c>
      <c r="U10987" t="s">
        <v>55716</v>
      </c>
      <c r="W10987" t="s">
        <v>43929</v>
      </c>
      <c r="X10987" t="s">
        <v>44921</v>
      </c>
    </row>
    <row r="10988" spans="1:24">
      <c r="A10988">
        <f>HYPERLINK("https://www.philgeps.gov.ph/GEPSNONPILOT/Tender/SplashBidNoticeAbstractUI.aspx?menuIndex=3&amp;refID=7057118&amp;Result=3","7057118")</f>
        <v>0</v>
      </c>
      <c r="B10988" t="s">
        <v>2741</v>
      </c>
      <c r="C10988" t="s">
        <v>13994</v>
      </c>
      <c r="D10988" t="s">
        <v>18177</v>
      </c>
      <c r="E10988" t="s">
        <v>27712</v>
      </c>
      <c r="F10988" t="s">
        <v>31362</v>
      </c>
      <c r="G10988" t="s">
        <v>31369</v>
      </c>
      <c r="H10988" t="s">
        <v>15799</v>
      </c>
      <c r="I10988" t="s">
        <v>31459</v>
      </c>
      <c r="J10988" t="s">
        <v>38000</v>
      </c>
      <c r="K10988" t="s">
        <v>40666</v>
      </c>
      <c r="M10988" t="s">
        <v>43929</v>
      </c>
      <c r="N10988" t="s">
        <v>44905</v>
      </c>
      <c r="O10988" t="s">
        <v>44906</v>
      </c>
      <c r="P10988">
        <v>0</v>
      </c>
      <c r="Q10988">
        <v>1</v>
      </c>
      <c r="R10988" t="s">
        <v>44916</v>
      </c>
      <c r="S10988" t="s">
        <v>45313</v>
      </c>
      <c r="T10988" t="s">
        <v>46560</v>
      </c>
      <c r="U10988" t="s">
        <v>55717</v>
      </c>
      <c r="W10988" t="s">
        <v>43929</v>
      </c>
      <c r="X10988" t="s">
        <v>44921</v>
      </c>
    </row>
    <row r="10989" spans="1:24">
      <c r="A10989">
        <f>HYPERLINK("https://www.philgeps.gov.ph/GEPSNONPILOT/Tender/SplashBidNoticeAbstractUI.aspx?menuIndex=3&amp;refID=7056981&amp;Result=3","7056981")</f>
        <v>0</v>
      </c>
      <c r="B10989" t="s">
        <v>2741</v>
      </c>
      <c r="C10989" t="s">
        <v>13995</v>
      </c>
      <c r="D10989" t="s">
        <v>18177</v>
      </c>
      <c r="E10989" t="s">
        <v>27713</v>
      </c>
      <c r="F10989" t="s">
        <v>31362</v>
      </c>
      <c r="G10989" t="s">
        <v>31369</v>
      </c>
      <c r="H10989" t="s">
        <v>15799</v>
      </c>
      <c r="I10989" t="s">
        <v>31409</v>
      </c>
      <c r="J10989" t="s">
        <v>32888</v>
      </c>
      <c r="K10989" t="s">
        <v>40682</v>
      </c>
      <c r="M10989" t="s">
        <v>43929</v>
      </c>
      <c r="N10989" t="s">
        <v>44905</v>
      </c>
      <c r="O10989" t="s">
        <v>44906</v>
      </c>
      <c r="P10989">
        <v>0</v>
      </c>
      <c r="Q10989">
        <v>4</v>
      </c>
      <c r="R10989" t="s">
        <v>44916</v>
      </c>
      <c r="S10989" t="s">
        <v>45313</v>
      </c>
      <c r="T10989" t="s">
        <v>46560</v>
      </c>
      <c r="U10989" t="s">
        <v>55718</v>
      </c>
      <c r="W10989" t="s">
        <v>43929</v>
      </c>
      <c r="X10989" t="s">
        <v>44921</v>
      </c>
    </row>
    <row r="10990" spans="1:24">
      <c r="A10990">
        <f>HYPERLINK("https://www.philgeps.gov.ph/GEPSNONPILOT/Tender/SplashBidNoticeAbstractUI.aspx?menuIndex=3&amp;refID=7054571&amp;Result=3","7054571")</f>
        <v>0</v>
      </c>
      <c r="B10990" t="s">
        <v>1284</v>
      </c>
      <c r="C10990" t="s">
        <v>13996</v>
      </c>
      <c r="D10990" t="s">
        <v>18110</v>
      </c>
      <c r="E10990" t="s">
        <v>27714</v>
      </c>
      <c r="F10990" t="s">
        <v>31362</v>
      </c>
      <c r="G10990" t="s">
        <v>31369</v>
      </c>
      <c r="H10990" t="s">
        <v>15799</v>
      </c>
      <c r="I10990" t="s">
        <v>31393</v>
      </c>
      <c r="J10990" t="s">
        <v>31602</v>
      </c>
      <c r="K10990" t="s">
        <v>40662</v>
      </c>
      <c r="M10990" t="s">
        <v>42301</v>
      </c>
      <c r="N10990" t="s">
        <v>44905</v>
      </c>
      <c r="O10990" t="s">
        <v>44906</v>
      </c>
      <c r="P10990">
        <v>0</v>
      </c>
      <c r="Q10990">
        <v>11</v>
      </c>
      <c r="R10990" t="s">
        <v>44916</v>
      </c>
      <c r="S10990" t="s">
        <v>45313</v>
      </c>
      <c r="T10990" t="s">
        <v>46392</v>
      </c>
      <c r="U10990" t="s">
        <v>55719</v>
      </c>
      <c r="W10990" t="s">
        <v>42301</v>
      </c>
      <c r="X10990" t="s">
        <v>44922</v>
      </c>
    </row>
    <row r="10991" spans="1:24">
      <c r="A10991">
        <f>HYPERLINK("https://www.philgeps.gov.ph/GEPSNONPILOT/Tender/SplashBidNoticeAbstractUI.aspx?menuIndex=3&amp;refID=7067235&amp;Result=3","7067235")</f>
        <v>0</v>
      </c>
      <c r="B10991" t="s">
        <v>814</v>
      </c>
      <c r="C10991" t="s">
        <v>13997</v>
      </c>
      <c r="E10991" t="s">
        <v>27679</v>
      </c>
      <c r="F10991" t="s">
        <v>31362</v>
      </c>
      <c r="G10991" t="s">
        <v>31373</v>
      </c>
      <c r="H10991" t="s">
        <v>15799</v>
      </c>
      <c r="I10991" t="s">
        <v>31459</v>
      </c>
      <c r="J10991" t="s">
        <v>38227</v>
      </c>
      <c r="K10991" t="s">
        <v>40682</v>
      </c>
      <c r="M10991" t="s">
        <v>43938</v>
      </c>
      <c r="N10991" t="s">
        <v>44905</v>
      </c>
      <c r="O10991" t="s">
        <v>44906</v>
      </c>
      <c r="P10991">
        <v>0</v>
      </c>
      <c r="Q10991">
        <v>2</v>
      </c>
      <c r="R10991" t="s">
        <v>44915</v>
      </c>
      <c r="S10991" t="s">
        <v>45255</v>
      </c>
      <c r="T10991" t="s">
        <v>46519</v>
      </c>
      <c r="U10991" t="s">
        <v>55685</v>
      </c>
      <c r="V10991" t="s">
        <v>59257</v>
      </c>
      <c r="W10991" t="s">
        <v>43938</v>
      </c>
      <c r="X10991" t="s">
        <v>44916</v>
      </c>
    </row>
    <row r="10992" spans="1:24">
      <c r="A10992">
        <f>HYPERLINK("https://www.philgeps.gov.ph/GEPSNONPILOT/Tender/SplashBidNoticeAbstractUI.aspx?menuIndex=3&amp;refID=7067229&amp;Result=3","7067229")</f>
        <v>0</v>
      </c>
      <c r="B10992" t="s">
        <v>3010</v>
      </c>
      <c r="C10992" t="s">
        <v>13998</v>
      </c>
      <c r="D10992" t="s">
        <v>18178</v>
      </c>
      <c r="E10992" t="s">
        <v>27715</v>
      </c>
      <c r="F10992" t="s">
        <v>31362</v>
      </c>
      <c r="G10992" t="s">
        <v>31369</v>
      </c>
      <c r="H10992" t="s">
        <v>31378</v>
      </c>
      <c r="I10992" t="s">
        <v>31386</v>
      </c>
      <c r="J10992" t="s">
        <v>31591</v>
      </c>
      <c r="K10992" t="s">
        <v>40665</v>
      </c>
      <c r="M10992" t="s">
        <v>44241</v>
      </c>
      <c r="N10992" t="s">
        <v>44905</v>
      </c>
      <c r="O10992" t="s">
        <v>44906</v>
      </c>
      <c r="P10992">
        <v>0</v>
      </c>
      <c r="Q10992">
        <v>1</v>
      </c>
      <c r="R10992" t="s">
        <v>44915</v>
      </c>
      <c r="S10992" t="s">
        <v>45255</v>
      </c>
      <c r="T10992" t="s">
        <v>46612</v>
      </c>
      <c r="U10992" t="s">
        <v>55720</v>
      </c>
      <c r="W10992" t="s">
        <v>60955</v>
      </c>
      <c r="X10992" t="s">
        <v>44916</v>
      </c>
    </row>
    <row r="10993" spans="1:24">
      <c r="A10993">
        <f>HYPERLINK("https://www.philgeps.gov.ph/GEPSNONPILOT/Tender/SplashBidNoticeAbstractUI.aspx?menuIndex=3&amp;refID=7056243&amp;Result=3","7056243")</f>
        <v>0</v>
      </c>
      <c r="B10993" t="s">
        <v>374</v>
      </c>
      <c r="C10993" t="s">
        <v>13999</v>
      </c>
      <c r="D10993" t="s">
        <v>18106</v>
      </c>
      <c r="E10993" t="s">
        <v>22842</v>
      </c>
      <c r="F10993" t="s">
        <v>31362</v>
      </c>
      <c r="G10993" t="s">
        <v>31369</v>
      </c>
      <c r="H10993" t="s">
        <v>31378</v>
      </c>
      <c r="I10993" t="s">
        <v>31386</v>
      </c>
      <c r="J10993" t="s">
        <v>35301</v>
      </c>
      <c r="K10993" t="s">
        <v>40662</v>
      </c>
      <c r="M10993" t="s">
        <v>41321</v>
      </c>
      <c r="N10993" t="s">
        <v>44905</v>
      </c>
      <c r="O10993" t="s">
        <v>44906</v>
      </c>
      <c r="P10993">
        <v>0</v>
      </c>
      <c r="Q10993">
        <v>1</v>
      </c>
      <c r="R10993" t="s">
        <v>44916</v>
      </c>
      <c r="S10993" t="s">
        <v>45313</v>
      </c>
      <c r="T10993" t="s">
        <v>46392</v>
      </c>
      <c r="U10993" t="s">
        <v>55721</v>
      </c>
      <c r="W10993" t="s">
        <v>41321</v>
      </c>
      <c r="X10993" t="s">
        <v>44921</v>
      </c>
    </row>
    <row r="10994" spans="1:24">
      <c r="A10994">
        <f>HYPERLINK("https://www.philgeps.gov.ph/GEPSNONPILOT/Tender/SplashBidNoticeAbstractUI.aspx?menuIndex=3&amp;refID=7059306&amp;Result=3","7059306")</f>
        <v>0</v>
      </c>
      <c r="B10994" t="s">
        <v>1971</v>
      </c>
      <c r="C10994" t="s">
        <v>14000</v>
      </c>
      <c r="D10994" t="s">
        <v>18154</v>
      </c>
      <c r="E10994" t="s">
        <v>27716</v>
      </c>
      <c r="F10994" t="s">
        <v>31362</v>
      </c>
      <c r="G10994" t="s">
        <v>31369</v>
      </c>
      <c r="H10994" t="s">
        <v>15799</v>
      </c>
      <c r="I10994" t="s">
        <v>13635</v>
      </c>
      <c r="J10994" t="s">
        <v>38228</v>
      </c>
      <c r="K10994" t="s">
        <v>40662</v>
      </c>
      <c r="M10994" t="s">
        <v>43078</v>
      </c>
      <c r="N10994" t="s">
        <v>44905</v>
      </c>
      <c r="O10994" t="s">
        <v>44906</v>
      </c>
      <c r="P10994">
        <v>0</v>
      </c>
      <c r="Q10994">
        <v>2</v>
      </c>
      <c r="R10994" t="s">
        <v>44916</v>
      </c>
      <c r="S10994" t="s">
        <v>45313</v>
      </c>
      <c r="T10994" t="s">
        <v>46507</v>
      </c>
      <c r="U10994" t="s">
        <v>55722</v>
      </c>
      <c r="W10994" t="s">
        <v>43078</v>
      </c>
      <c r="X10994" t="s">
        <v>44918</v>
      </c>
    </row>
    <row r="10995" spans="1:24">
      <c r="A10995">
        <f>HYPERLINK("https://www.philgeps.gov.ph/GEPSNONPILOT/Tender/SplashBidNoticeAbstractUI.aspx?menuIndex=3&amp;refID=7067721&amp;Result=3","7067721")</f>
        <v>0</v>
      </c>
      <c r="B10995" t="s">
        <v>1282</v>
      </c>
      <c r="C10995" t="s">
        <v>14001</v>
      </c>
      <c r="D10995" t="s">
        <v>18112</v>
      </c>
      <c r="E10995" t="s">
        <v>27717</v>
      </c>
      <c r="F10995" t="s">
        <v>31363</v>
      </c>
      <c r="G10995" t="s">
        <v>31369</v>
      </c>
      <c r="H10995" t="s">
        <v>15799</v>
      </c>
      <c r="I10995" t="s">
        <v>3815</v>
      </c>
      <c r="J10995" t="s">
        <v>38229</v>
      </c>
      <c r="K10995" t="s">
        <v>40670</v>
      </c>
      <c r="M10995" t="s">
        <v>42299</v>
      </c>
      <c r="N10995" t="s">
        <v>44905</v>
      </c>
      <c r="O10995" t="s">
        <v>44906</v>
      </c>
      <c r="P10995">
        <v>0</v>
      </c>
      <c r="Q10995">
        <v>3</v>
      </c>
      <c r="R10995" t="s">
        <v>44914</v>
      </c>
      <c r="S10995" t="s">
        <v>45202</v>
      </c>
      <c r="T10995" t="s">
        <v>46486</v>
      </c>
      <c r="U10995" t="s">
        <v>55723</v>
      </c>
      <c r="W10995" t="s">
        <v>42299</v>
      </c>
      <c r="X10995" t="s">
        <v>44915</v>
      </c>
    </row>
    <row r="10996" spans="1:24">
      <c r="A10996">
        <f>HYPERLINK("https://www.philgeps.gov.ph/GEPSNONPILOT/Tender/SplashBidNoticeAbstractUI.aspx?menuIndex=3&amp;refID=7055996&amp;Result=3","7055996")</f>
        <v>0</v>
      </c>
      <c r="B10996" t="s">
        <v>3009</v>
      </c>
      <c r="C10996" t="s">
        <v>14002</v>
      </c>
      <c r="D10996" t="s">
        <v>18103</v>
      </c>
      <c r="E10996" t="s">
        <v>27718</v>
      </c>
      <c r="F10996" t="s">
        <v>31362</v>
      </c>
      <c r="G10996" t="s">
        <v>31369</v>
      </c>
      <c r="H10996" t="s">
        <v>15799</v>
      </c>
      <c r="I10996" t="s">
        <v>31409</v>
      </c>
      <c r="J10996" t="s">
        <v>33653</v>
      </c>
      <c r="K10996" t="s">
        <v>40665</v>
      </c>
      <c r="M10996" t="s">
        <v>44240</v>
      </c>
      <c r="N10996" t="s">
        <v>44905</v>
      </c>
      <c r="O10996" t="s">
        <v>44906</v>
      </c>
      <c r="P10996">
        <v>0</v>
      </c>
      <c r="Q10996">
        <v>3</v>
      </c>
      <c r="R10996" t="s">
        <v>44916</v>
      </c>
      <c r="S10996" t="s">
        <v>45313</v>
      </c>
      <c r="T10996" t="s">
        <v>46418</v>
      </c>
      <c r="U10996" t="s">
        <v>55724</v>
      </c>
      <c r="W10996" t="s">
        <v>44240</v>
      </c>
      <c r="X10996" t="s">
        <v>44921</v>
      </c>
    </row>
    <row r="10997" spans="1:24">
      <c r="A10997">
        <f>HYPERLINK("https://www.philgeps.gov.ph/GEPSNONPILOT/Tender/SplashBidNoticeAbstractUI.aspx?menuIndex=3&amp;refID=7067719&amp;Result=3","7067719")</f>
        <v>0</v>
      </c>
      <c r="B10997" t="s">
        <v>682</v>
      </c>
      <c r="C10997" t="s">
        <v>14003</v>
      </c>
      <c r="D10997" t="s">
        <v>18120</v>
      </c>
      <c r="E10997" t="s">
        <v>27719</v>
      </c>
      <c r="F10997" t="s">
        <v>31362</v>
      </c>
      <c r="G10997" t="s">
        <v>31369</v>
      </c>
      <c r="H10997" t="s">
        <v>31378</v>
      </c>
      <c r="I10997" t="s">
        <v>31386</v>
      </c>
      <c r="J10997" t="s">
        <v>38230</v>
      </c>
      <c r="K10997" t="s">
        <v>40725</v>
      </c>
      <c r="M10997" t="s">
        <v>41644</v>
      </c>
      <c r="N10997" t="s">
        <v>44905</v>
      </c>
      <c r="O10997" t="s">
        <v>44906</v>
      </c>
      <c r="P10997">
        <v>0</v>
      </c>
      <c r="Q10997">
        <v>0</v>
      </c>
      <c r="R10997" t="s">
        <v>44914</v>
      </c>
      <c r="S10997" t="s">
        <v>45202</v>
      </c>
      <c r="T10997" t="s">
        <v>46694</v>
      </c>
      <c r="U10997" t="s">
        <v>55725</v>
      </c>
      <c r="V10997" t="s">
        <v>60077</v>
      </c>
      <c r="W10997" t="s">
        <v>41644</v>
      </c>
      <c r="X10997" t="s">
        <v>44915</v>
      </c>
    </row>
    <row r="10998" spans="1:24">
      <c r="A10998">
        <f>HYPERLINK("https://www.philgeps.gov.ph/GEPSNONPILOT/Tender/SplashBidNoticeAbstractUI.aspx?menuIndex=3&amp;refID=7057446&amp;Result=3","7057446")</f>
        <v>0</v>
      </c>
      <c r="B10998" t="s">
        <v>2500</v>
      </c>
      <c r="C10998" t="s">
        <v>14004</v>
      </c>
      <c r="D10998" t="s">
        <v>18148</v>
      </c>
      <c r="E10998" t="s">
        <v>27720</v>
      </c>
      <c r="F10998" t="s">
        <v>31362</v>
      </c>
      <c r="G10998" t="s">
        <v>31369</v>
      </c>
      <c r="H10998" t="s">
        <v>31378</v>
      </c>
      <c r="I10998" t="s">
        <v>31386</v>
      </c>
      <c r="J10998" t="s">
        <v>38231</v>
      </c>
      <c r="K10998" t="s">
        <v>40885</v>
      </c>
      <c r="M10998" t="s">
        <v>44238</v>
      </c>
      <c r="N10998" t="s">
        <v>44905</v>
      </c>
      <c r="O10998" t="s">
        <v>44906</v>
      </c>
      <c r="Q10998">
        <v>2</v>
      </c>
      <c r="R10998" t="s">
        <v>44916</v>
      </c>
      <c r="S10998" t="s">
        <v>45326</v>
      </c>
      <c r="T10998" t="s">
        <v>46433</v>
      </c>
      <c r="U10998" t="s">
        <v>55726</v>
      </c>
      <c r="W10998" t="s">
        <v>44238</v>
      </c>
      <c r="X10998" t="s">
        <v>44921</v>
      </c>
    </row>
    <row r="10999" spans="1:24">
      <c r="A10999">
        <f>HYPERLINK("https://www.philgeps.gov.ph/GEPSNONPILOT/Tender/SplashBidNoticeAbstractUI.aspx?menuIndex=3&amp;refID=7067717&amp;Result=3","7067717")</f>
        <v>0</v>
      </c>
      <c r="B10999" t="s">
        <v>2784</v>
      </c>
      <c r="C10999" t="s">
        <v>14005</v>
      </c>
      <c r="D10999" t="s">
        <v>18155</v>
      </c>
      <c r="E10999" t="s">
        <v>27721</v>
      </c>
      <c r="F10999" t="s">
        <v>31362</v>
      </c>
      <c r="G10999" t="s">
        <v>31369</v>
      </c>
      <c r="H10999" t="s">
        <v>31378</v>
      </c>
      <c r="I10999" t="s">
        <v>31386</v>
      </c>
      <c r="J10999" t="s">
        <v>38232</v>
      </c>
      <c r="K10999" t="s">
        <v>40662</v>
      </c>
      <c r="M10999" t="s">
        <v>43979</v>
      </c>
      <c r="N10999" t="s">
        <v>44905</v>
      </c>
      <c r="O10999" t="s">
        <v>44906</v>
      </c>
      <c r="P10999">
        <v>0</v>
      </c>
      <c r="Q10999">
        <v>0</v>
      </c>
      <c r="R10999" t="s">
        <v>44914</v>
      </c>
      <c r="S10999" t="s">
        <v>45202</v>
      </c>
      <c r="T10999" t="s">
        <v>46425</v>
      </c>
      <c r="U10999" t="s">
        <v>55727</v>
      </c>
      <c r="W10999" t="s">
        <v>43979</v>
      </c>
      <c r="X10999" t="s">
        <v>44915</v>
      </c>
    </row>
    <row r="11000" spans="1:24">
      <c r="A11000">
        <f>HYPERLINK("https://www.philgeps.gov.ph/GEPSNONPILOT/Tender/SplashBidNoticeAbstractUI.aspx?menuIndex=3&amp;refID=7027047-2&amp;Result=3","7027047-2")</f>
        <v>0</v>
      </c>
      <c r="B11000" t="s">
        <v>3011</v>
      </c>
      <c r="C11000" t="s">
        <v>14006</v>
      </c>
      <c r="D11000" t="s">
        <v>18146</v>
      </c>
      <c r="E11000" t="s">
        <v>19359</v>
      </c>
      <c r="F11000" t="s">
        <v>31362</v>
      </c>
      <c r="G11000" t="s">
        <v>31369</v>
      </c>
      <c r="H11000" t="s">
        <v>15799</v>
      </c>
      <c r="I11000" t="s">
        <v>31393</v>
      </c>
      <c r="J11000" t="s">
        <v>38233</v>
      </c>
      <c r="K11000" t="s">
        <v>40666</v>
      </c>
      <c r="M11000" t="s">
        <v>44242</v>
      </c>
      <c r="N11000" t="s">
        <v>44905</v>
      </c>
      <c r="O11000" t="s">
        <v>44906</v>
      </c>
      <c r="P11000">
        <v>0</v>
      </c>
      <c r="Q11000">
        <v>1</v>
      </c>
      <c r="R11000" t="s">
        <v>44914</v>
      </c>
      <c r="S11000" t="s">
        <v>45202</v>
      </c>
      <c r="T11000" t="s">
        <v>46418</v>
      </c>
      <c r="U11000" t="s">
        <v>55728</v>
      </c>
      <c r="V11000" t="s">
        <v>60235</v>
      </c>
      <c r="W11000" t="s">
        <v>44242</v>
      </c>
      <c r="X11000" t="s">
        <v>44915</v>
      </c>
    </row>
    <row r="11001" spans="1:24">
      <c r="A11001">
        <f>HYPERLINK("https://www.philgeps.gov.ph/GEPSNONPILOT/Tender/SplashBidNoticeAbstractUI.aspx?menuIndex=3&amp;refID=7021487-2&amp;Result=3","7021487-2")</f>
        <v>0</v>
      </c>
      <c r="B11001" t="s">
        <v>27</v>
      </c>
      <c r="C11001" t="s">
        <v>14007</v>
      </c>
      <c r="D11001" t="s">
        <v>18101</v>
      </c>
      <c r="E11001" t="s">
        <v>27722</v>
      </c>
      <c r="F11001" t="s">
        <v>31362</v>
      </c>
      <c r="G11001" t="s">
        <v>31369</v>
      </c>
      <c r="H11001" t="s">
        <v>31377</v>
      </c>
      <c r="I11001" t="s">
        <v>31377</v>
      </c>
      <c r="J11001" t="s">
        <v>31641</v>
      </c>
      <c r="K11001" t="s">
        <v>40679</v>
      </c>
      <c r="M11001" t="s">
        <v>40961</v>
      </c>
      <c r="N11001" t="s">
        <v>44905</v>
      </c>
      <c r="O11001" t="s">
        <v>44906</v>
      </c>
      <c r="P11001">
        <v>0</v>
      </c>
      <c r="Q11001">
        <v>2</v>
      </c>
      <c r="R11001" t="s">
        <v>44914</v>
      </c>
      <c r="S11001" t="s">
        <v>45202</v>
      </c>
      <c r="T11001" t="s">
        <v>46425</v>
      </c>
      <c r="U11001" t="s">
        <v>55729</v>
      </c>
      <c r="W11001" t="s">
        <v>40961</v>
      </c>
      <c r="X11001" t="s">
        <v>44915</v>
      </c>
    </row>
    <row r="11002" spans="1:24">
      <c r="A11002">
        <f>HYPERLINK("https://www.philgeps.gov.ph/GEPSNONPILOT/Tender/SplashBidNoticeAbstractUI.aspx?menuIndex=3&amp;refID=7059788&amp;Result=3","7059788")</f>
        <v>0</v>
      </c>
      <c r="B11002" t="s">
        <v>1824</v>
      </c>
      <c r="C11002" t="s">
        <v>14008</v>
      </c>
      <c r="D11002" t="s">
        <v>18101</v>
      </c>
      <c r="E11002" t="s">
        <v>27723</v>
      </c>
      <c r="F11002" t="s">
        <v>31362</v>
      </c>
      <c r="G11002" t="s">
        <v>31369</v>
      </c>
      <c r="H11002" t="s">
        <v>31378</v>
      </c>
      <c r="I11002" t="s">
        <v>31386</v>
      </c>
      <c r="J11002" t="s">
        <v>38234</v>
      </c>
      <c r="K11002" t="s">
        <v>40678</v>
      </c>
      <c r="M11002" t="s">
        <v>42908</v>
      </c>
      <c r="N11002" t="s">
        <v>44905</v>
      </c>
      <c r="O11002" t="s">
        <v>44906</v>
      </c>
      <c r="P11002">
        <v>0</v>
      </c>
      <c r="Q11002">
        <v>4</v>
      </c>
      <c r="R11002" t="s">
        <v>44916</v>
      </c>
      <c r="S11002" t="s">
        <v>45313</v>
      </c>
      <c r="T11002" t="s">
        <v>46481</v>
      </c>
      <c r="U11002" t="s">
        <v>55730</v>
      </c>
      <c r="W11002" t="s">
        <v>42908</v>
      </c>
      <c r="X11002" t="s">
        <v>44918</v>
      </c>
    </row>
    <row r="11003" spans="1:24">
      <c r="A11003">
        <f>HYPERLINK("https://www.philgeps.gov.ph/GEPSNONPILOT/Tender/SplashBidNoticeAbstractUI.aspx?menuIndex=3&amp;refID=7059348&amp;Result=3","7059348")</f>
        <v>0</v>
      </c>
      <c r="B11003" t="s">
        <v>1971</v>
      </c>
      <c r="C11003" t="s">
        <v>14009</v>
      </c>
      <c r="D11003" t="s">
        <v>18154</v>
      </c>
      <c r="E11003" t="s">
        <v>27724</v>
      </c>
      <c r="F11003" t="s">
        <v>31362</v>
      </c>
      <c r="G11003" t="s">
        <v>31369</v>
      </c>
      <c r="H11003" t="s">
        <v>15799</v>
      </c>
      <c r="I11003" t="s">
        <v>3815</v>
      </c>
      <c r="J11003" t="s">
        <v>38235</v>
      </c>
      <c r="K11003" t="s">
        <v>40662</v>
      </c>
      <c r="M11003" t="s">
        <v>43078</v>
      </c>
      <c r="N11003" t="s">
        <v>44905</v>
      </c>
      <c r="O11003" t="s">
        <v>44906</v>
      </c>
      <c r="P11003">
        <v>0</v>
      </c>
      <c r="Q11003">
        <v>1</v>
      </c>
      <c r="R11003" t="s">
        <v>44916</v>
      </c>
      <c r="S11003" t="s">
        <v>45313</v>
      </c>
      <c r="T11003" t="s">
        <v>46507</v>
      </c>
      <c r="U11003" t="s">
        <v>55731</v>
      </c>
      <c r="W11003" t="s">
        <v>43078</v>
      </c>
      <c r="X11003" t="s">
        <v>44918</v>
      </c>
    </row>
    <row r="11004" spans="1:24">
      <c r="A11004">
        <f>HYPERLINK("https://www.philgeps.gov.ph/GEPSNONPILOT/Tender/SplashBidNoticeAbstractUI.aspx?menuIndex=3&amp;refID=7067217&amp;Result=3","7067217")</f>
        <v>0</v>
      </c>
      <c r="B11004" t="s">
        <v>814</v>
      </c>
      <c r="C11004" t="s">
        <v>14010</v>
      </c>
      <c r="D11004" t="s">
        <v>18112</v>
      </c>
      <c r="E11004" t="s">
        <v>27725</v>
      </c>
      <c r="F11004" t="s">
        <v>31362</v>
      </c>
      <c r="G11004" t="s">
        <v>31373</v>
      </c>
      <c r="H11004" t="s">
        <v>15799</v>
      </c>
      <c r="I11004" t="s">
        <v>31397</v>
      </c>
      <c r="J11004" t="s">
        <v>38236</v>
      </c>
      <c r="K11004" t="s">
        <v>40682</v>
      </c>
      <c r="M11004" t="s">
        <v>43938</v>
      </c>
      <c r="N11004" t="s">
        <v>44905</v>
      </c>
      <c r="O11004" t="s">
        <v>44906</v>
      </c>
      <c r="P11004">
        <v>0</v>
      </c>
      <c r="Q11004">
        <v>1</v>
      </c>
      <c r="R11004" t="s">
        <v>44915</v>
      </c>
      <c r="S11004" t="s">
        <v>45255</v>
      </c>
      <c r="T11004" t="s">
        <v>46638</v>
      </c>
      <c r="U11004" t="s">
        <v>55732</v>
      </c>
      <c r="V11004" t="s">
        <v>59257</v>
      </c>
      <c r="W11004" t="s">
        <v>43938</v>
      </c>
      <c r="X11004" t="s">
        <v>44916</v>
      </c>
    </row>
    <row r="11005" spans="1:24">
      <c r="A11005">
        <f>HYPERLINK("https://www.philgeps.gov.ph/GEPSNONPILOT/Tender/SplashBidNoticeAbstractUI.aspx?menuIndex=3&amp;refID=7059690&amp;Result=3","7059690")</f>
        <v>0</v>
      </c>
      <c r="B11005" t="s">
        <v>1971</v>
      </c>
      <c r="C11005" t="s">
        <v>14011</v>
      </c>
      <c r="D11005" t="s">
        <v>18154</v>
      </c>
      <c r="E11005" t="s">
        <v>27726</v>
      </c>
      <c r="F11005" t="s">
        <v>31362</v>
      </c>
      <c r="G11005" t="s">
        <v>31369</v>
      </c>
      <c r="H11005" t="s">
        <v>15799</v>
      </c>
      <c r="I11005" t="s">
        <v>3815</v>
      </c>
      <c r="J11005" t="s">
        <v>38237</v>
      </c>
      <c r="K11005" t="s">
        <v>40662</v>
      </c>
      <c r="M11005" t="s">
        <v>43078</v>
      </c>
      <c r="N11005" t="s">
        <v>44905</v>
      </c>
      <c r="O11005" t="s">
        <v>44906</v>
      </c>
      <c r="P11005">
        <v>0</v>
      </c>
      <c r="Q11005">
        <v>0</v>
      </c>
      <c r="R11005" t="s">
        <v>44916</v>
      </c>
      <c r="S11005" t="s">
        <v>45313</v>
      </c>
      <c r="T11005" t="s">
        <v>46507</v>
      </c>
      <c r="U11005" t="s">
        <v>55733</v>
      </c>
      <c r="W11005" t="s">
        <v>43078</v>
      </c>
      <c r="X11005" t="s">
        <v>44918</v>
      </c>
    </row>
    <row r="11006" spans="1:24">
      <c r="A11006">
        <f>HYPERLINK("https://www.philgeps.gov.ph/GEPSNONPILOT/Tender/SplashBidNoticeAbstractUI.aspx?menuIndex=3&amp;refID=7059672&amp;Result=3","7059672")</f>
        <v>0</v>
      </c>
      <c r="B11006" t="s">
        <v>1971</v>
      </c>
      <c r="C11006" t="s">
        <v>14012</v>
      </c>
      <c r="D11006" t="s">
        <v>18154</v>
      </c>
      <c r="E11006" t="s">
        <v>27727</v>
      </c>
      <c r="F11006" t="s">
        <v>31362</v>
      </c>
      <c r="G11006" t="s">
        <v>31369</v>
      </c>
      <c r="H11006" t="s">
        <v>15799</v>
      </c>
      <c r="I11006" t="s">
        <v>3815</v>
      </c>
      <c r="J11006" t="s">
        <v>38238</v>
      </c>
      <c r="K11006" t="s">
        <v>40662</v>
      </c>
      <c r="M11006" t="s">
        <v>43078</v>
      </c>
      <c r="N11006" t="s">
        <v>44905</v>
      </c>
      <c r="O11006" t="s">
        <v>44906</v>
      </c>
      <c r="P11006">
        <v>0</v>
      </c>
      <c r="Q11006">
        <v>0</v>
      </c>
      <c r="R11006" t="s">
        <v>44916</v>
      </c>
      <c r="S11006" t="s">
        <v>45313</v>
      </c>
      <c r="T11006" t="s">
        <v>46507</v>
      </c>
      <c r="U11006" t="s">
        <v>55734</v>
      </c>
      <c r="W11006" t="s">
        <v>43078</v>
      </c>
      <c r="X11006" t="s">
        <v>44918</v>
      </c>
    </row>
    <row r="11007" spans="1:24">
      <c r="A11007">
        <f>HYPERLINK("https://www.philgeps.gov.ph/GEPSNONPILOT/Tender/SplashBidNoticeAbstractUI.aspx?menuIndex=3&amp;refID=7021492-2&amp;Result=3","7021492-2")</f>
        <v>0</v>
      </c>
      <c r="B11007" t="s">
        <v>27</v>
      </c>
      <c r="C11007" t="s">
        <v>14007</v>
      </c>
      <c r="D11007" t="s">
        <v>18101</v>
      </c>
      <c r="E11007" t="s">
        <v>27728</v>
      </c>
      <c r="F11007" t="s">
        <v>31362</v>
      </c>
      <c r="G11007" t="s">
        <v>31369</v>
      </c>
      <c r="H11007" t="s">
        <v>31377</v>
      </c>
      <c r="I11007" t="s">
        <v>31377</v>
      </c>
      <c r="J11007" t="s">
        <v>36662</v>
      </c>
      <c r="K11007" t="s">
        <v>40839</v>
      </c>
      <c r="M11007" t="s">
        <v>40961</v>
      </c>
      <c r="N11007" t="s">
        <v>44905</v>
      </c>
      <c r="O11007" t="s">
        <v>44906</v>
      </c>
      <c r="P11007">
        <v>0</v>
      </c>
      <c r="Q11007">
        <v>2</v>
      </c>
      <c r="R11007" t="s">
        <v>44914</v>
      </c>
      <c r="S11007" t="s">
        <v>45202</v>
      </c>
      <c r="T11007" t="s">
        <v>46425</v>
      </c>
      <c r="U11007" t="s">
        <v>55729</v>
      </c>
      <c r="W11007" t="s">
        <v>40961</v>
      </c>
      <c r="X11007" t="s">
        <v>44915</v>
      </c>
    </row>
    <row r="11008" spans="1:24">
      <c r="A11008">
        <f>HYPERLINK("https://www.philgeps.gov.ph/GEPSNONPILOT/Tender/SplashBidNoticeAbstractUI.aspx?menuIndex=3&amp;refID=7059658&amp;Result=3","7059658")</f>
        <v>0</v>
      </c>
      <c r="B11008" t="s">
        <v>3012</v>
      </c>
      <c r="C11008" t="s">
        <v>14013</v>
      </c>
      <c r="D11008" t="s">
        <v>18142</v>
      </c>
      <c r="E11008" t="s">
        <v>27729</v>
      </c>
      <c r="F11008" t="s">
        <v>31362</v>
      </c>
      <c r="G11008" t="s">
        <v>31369</v>
      </c>
      <c r="H11008" t="s">
        <v>15799</v>
      </c>
      <c r="I11008" t="s">
        <v>31400</v>
      </c>
      <c r="J11008" t="s">
        <v>32278</v>
      </c>
      <c r="K11008" t="s">
        <v>40666</v>
      </c>
      <c r="M11008" t="s">
        <v>44243</v>
      </c>
      <c r="N11008" t="s">
        <v>44905</v>
      </c>
      <c r="O11008" t="s">
        <v>44906</v>
      </c>
      <c r="P11008">
        <v>0</v>
      </c>
      <c r="Q11008">
        <v>2</v>
      </c>
      <c r="R11008" t="s">
        <v>44916</v>
      </c>
      <c r="S11008" t="s">
        <v>45313</v>
      </c>
      <c r="T11008" t="s">
        <v>46830</v>
      </c>
      <c r="U11008" t="s">
        <v>55735</v>
      </c>
      <c r="W11008" t="s">
        <v>60956</v>
      </c>
      <c r="X11008" t="s">
        <v>44918</v>
      </c>
    </row>
    <row r="11009" spans="1:24">
      <c r="A11009">
        <f>HYPERLINK("https://www.philgeps.gov.ph/GEPSNONPILOT/Tender/SplashBidNoticeAbstractUI.aspx?menuIndex=3&amp;refID=7059650&amp;Result=3","7059650")</f>
        <v>0</v>
      </c>
      <c r="B11009" t="s">
        <v>1971</v>
      </c>
      <c r="C11009" t="s">
        <v>14014</v>
      </c>
      <c r="D11009" t="s">
        <v>18154</v>
      </c>
      <c r="E11009" t="s">
        <v>27730</v>
      </c>
      <c r="F11009" t="s">
        <v>31362</v>
      </c>
      <c r="G11009" t="s">
        <v>31369</v>
      </c>
      <c r="H11009" t="s">
        <v>15799</v>
      </c>
      <c r="I11009" t="s">
        <v>3815</v>
      </c>
      <c r="J11009" t="s">
        <v>38239</v>
      </c>
      <c r="K11009" t="s">
        <v>40662</v>
      </c>
      <c r="M11009" t="s">
        <v>43078</v>
      </c>
      <c r="N11009" t="s">
        <v>44905</v>
      </c>
      <c r="O11009" t="s">
        <v>44906</v>
      </c>
      <c r="P11009">
        <v>0</v>
      </c>
      <c r="Q11009">
        <v>0</v>
      </c>
      <c r="R11009" t="s">
        <v>44916</v>
      </c>
      <c r="S11009" t="s">
        <v>45313</v>
      </c>
      <c r="T11009" t="s">
        <v>46507</v>
      </c>
      <c r="U11009" t="s">
        <v>55736</v>
      </c>
      <c r="W11009" t="s">
        <v>43078</v>
      </c>
      <c r="X11009" t="s">
        <v>44918</v>
      </c>
    </row>
    <row r="11010" spans="1:24">
      <c r="A11010">
        <f>HYPERLINK("https://www.philgeps.gov.ph/GEPSNONPILOT/Tender/SplashBidNoticeAbstractUI.aspx?menuIndex=3&amp;refID=7059633&amp;Result=3","7059633")</f>
        <v>0</v>
      </c>
      <c r="B11010" t="s">
        <v>2500</v>
      </c>
      <c r="C11010" t="s">
        <v>14015</v>
      </c>
      <c r="D11010" t="s">
        <v>18148</v>
      </c>
      <c r="E11010" t="s">
        <v>27731</v>
      </c>
      <c r="F11010" t="s">
        <v>31362</v>
      </c>
      <c r="G11010" t="s">
        <v>31369</v>
      </c>
      <c r="H11010" t="s">
        <v>31378</v>
      </c>
      <c r="I11010" t="s">
        <v>31386</v>
      </c>
      <c r="J11010" t="s">
        <v>32390</v>
      </c>
      <c r="K11010" t="s">
        <v>40841</v>
      </c>
      <c r="M11010" t="s">
        <v>44238</v>
      </c>
      <c r="N11010" t="s">
        <v>44905</v>
      </c>
      <c r="O11010" t="s">
        <v>44906</v>
      </c>
      <c r="Q11010">
        <v>1</v>
      </c>
      <c r="R11010" t="s">
        <v>44916</v>
      </c>
      <c r="S11010" t="s">
        <v>45327</v>
      </c>
      <c r="T11010" t="s">
        <v>46433</v>
      </c>
      <c r="U11010" t="s">
        <v>55737</v>
      </c>
      <c r="W11010" t="s">
        <v>44238</v>
      </c>
      <c r="X11010" t="s">
        <v>44918</v>
      </c>
    </row>
    <row r="11011" spans="1:24">
      <c r="A11011">
        <f>HYPERLINK("https://www.philgeps.gov.ph/GEPSNONPILOT/Tender/SplashBidNoticeAbstractUI.aspx?menuIndex=3&amp;refID=7059187&amp;Result=3","7059187")</f>
        <v>0</v>
      </c>
      <c r="B11011" t="s">
        <v>1971</v>
      </c>
      <c r="C11011" t="s">
        <v>14016</v>
      </c>
      <c r="D11011" t="s">
        <v>18154</v>
      </c>
      <c r="E11011" t="s">
        <v>27732</v>
      </c>
      <c r="F11011" t="s">
        <v>31362</v>
      </c>
      <c r="G11011" t="s">
        <v>31369</v>
      </c>
      <c r="H11011" t="s">
        <v>15799</v>
      </c>
      <c r="I11011" t="s">
        <v>3815</v>
      </c>
      <c r="J11011" t="s">
        <v>38240</v>
      </c>
      <c r="K11011" t="s">
        <v>40662</v>
      </c>
      <c r="M11011" t="s">
        <v>43078</v>
      </c>
      <c r="N11011" t="s">
        <v>44905</v>
      </c>
      <c r="O11011" t="s">
        <v>44906</v>
      </c>
      <c r="P11011">
        <v>0</v>
      </c>
      <c r="Q11011">
        <v>1</v>
      </c>
      <c r="R11011" t="s">
        <v>44916</v>
      </c>
      <c r="S11011" t="s">
        <v>45313</v>
      </c>
      <c r="T11011" t="s">
        <v>46507</v>
      </c>
      <c r="U11011" t="s">
        <v>55738</v>
      </c>
      <c r="W11011" t="s">
        <v>43078</v>
      </c>
      <c r="X11011" t="s">
        <v>44918</v>
      </c>
    </row>
    <row r="11012" spans="1:24">
      <c r="A11012">
        <f>HYPERLINK("https://www.philgeps.gov.ph/GEPSNONPILOT/Tender/SplashBidNoticeAbstractUI.aspx?menuIndex=3&amp;refID=7029484-2&amp;Result=3","7029484-2")</f>
        <v>0</v>
      </c>
      <c r="B11012" t="s">
        <v>2181</v>
      </c>
      <c r="C11012" t="s">
        <v>14017</v>
      </c>
      <c r="D11012" t="s">
        <v>18156</v>
      </c>
      <c r="E11012" t="s">
        <v>27733</v>
      </c>
      <c r="F11012" t="s">
        <v>31362</v>
      </c>
      <c r="G11012" t="s">
        <v>31369</v>
      </c>
      <c r="H11012" t="s">
        <v>31377</v>
      </c>
      <c r="I11012" t="s">
        <v>31377</v>
      </c>
      <c r="J11012" t="s">
        <v>31686</v>
      </c>
      <c r="K11012" t="s">
        <v>40662</v>
      </c>
      <c r="M11012" t="s">
        <v>43312</v>
      </c>
      <c r="N11012" t="s">
        <v>44905</v>
      </c>
      <c r="O11012" t="s">
        <v>44906</v>
      </c>
      <c r="P11012">
        <v>0</v>
      </c>
      <c r="Q11012">
        <v>0</v>
      </c>
      <c r="R11012" t="s">
        <v>44914</v>
      </c>
      <c r="S11012" t="s">
        <v>45202</v>
      </c>
      <c r="T11012" t="s">
        <v>46447</v>
      </c>
      <c r="U11012" t="s">
        <v>55739</v>
      </c>
      <c r="W11012" t="s">
        <v>43312</v>
      </c>
      <c r="X11012" t="s">
        <v>44915</v>
      </c>
    </row>
    <row r="11013" spans="1:24">
      <c r="A11013">
        <f>HYPERLINK("https://www.philgeps.gov.ph/GEPSNONPILOT/Tender/SplashBidNoticeAbstractUI.aspx?menuIndex=3&amp;refID=7059603&amp;Result=3","7059603")</f>
        <v>0</v>
      </c>
      <c r="B11013" t="s">
        <v>1971</v>
      </c>
      <c r="C11013" t="s">
        <v>14018</v>
      </c>
      <c r="D11013" t="s">
        <v>18154</v>
      </c>
      <c r="E11013" t="s">
        <v>27734</v>
      </c>
      <c r="F11013" t="s">
        <v>31362</v>
      </c>
      <c r="G11013" t="s">
        <v>31369</v>
      </c>
      <c r="H11013" t="s">
        <v>15799</v>
      </c>
      <c r="I11013" t="s">
        <v>3815</v>
      </c>
      <c r="J11013" t="s">
        <v>32757</v>
      </c>
      <c r="K11013" t="s">
        <v>40662</v>
      </c>
      <c r="M11013" t="s">
        <v>43078</v>
      </c>
      <c r="N11013" t="s">
        <v>44905</v>
      </c>
      <c r="O11013" t="s">
        <v>44906</v>
      </c>
      <c r="P11013">
        <v>0</v>
      </c>
      <c r="Q11013">
        <v>0</v>
      </c>
      <c r="R11013" t="s">
        <v>44916</v>
      </c>
      <c r="S11013" t="s">
        <v>45313</v>
      </c>
      <c r="T11013" t="s">
        <v>46507</v>
      </c>
      <c r="U11013" t="s">
        <v>55740</v>
      </c>
      <c r="W11013" t="s">
        <v>43078</v>
      </c>
      <c r="X11013" t="s">
        <v>44918</v>
      </c>
    </row>
    <row r="11014" spans="1:24">
      <c r="A11014">
        <f>HYPERLINK("https://www.philgeps.gov.ph/GEPSNONPILOT/Tender/SplashBidNoticeAbstractUI.aspx?menuIndex=3&amp;refID=7059598&amp;Result=3","7059598")</f>
        <v>0</v>
      </c>
      <c r="B11014" t="s">
        <v>1002</v>
      </c>
      <c r="C11014" t="s">
        <v>14019</v>
      </c>
      <c r="D11014" t="s">
        <v>18148</v>
      </c>
      <c r="E11014" t="s">
        <v>27735</v>
      </c>
      <c r="F11014" t="s">
        <v>31362</v>
      </c>
      <c r="G11014" t="s">
        <v>31369</v>
      </c>
      <c r="H11014" t="s">
        <v>15799</v>
      </c>
      <c r="I11014" t="s">
        <v>31393</v>
      </c>
      <c r="J11014" t="s">
        <v>32173</v>
      </c>
      <c r="K11014" t="s">
        <v>40665</v>
      </c>
      <c r="M11014" t="s">
        <v>41998</v>
      </c>
      <c r="N11014" t="s">
        <v>44905</v>
      </c>
      <c r="O11014" t="s">
        <v>44906</v>
      </c>
      <c r="Q11014">
        <v>4</v>
      </c>
      <c r="R11014" t="s">
        <v>44916</v>
      </c>
      <c r="S11014" t="s">
        <v>45328</v>
      </c>
      <c r="T11014" t="s">
        <v>46419</v>
      </c>
      <c r="U11014" t="s">
        <v>55741</v>
      </c>
      <c r="W11014" t="s">
        <v>60879</v>
      </c>
      <c r="X11014" t="s">
        <v>44918</v>
      </c>
    </row>
    <row r="11015" spans="1:24">
      <c r="A11015">
        <f>HYPERLINK("https://www.philgeps.gov.ph/GEPSNONPILOT/Tender/SplashBidNoticeAbstractUI.aspx?menuIndex=3&amp;refID=7059589&amp;Result=3","7059589")</f>
        <v>0</v>
      </c>
      <c r="B11015" t="s">
        <v>3013</v>
      </c>
      <c r="C11015" t="s">
        <v>14020</v>
      </c>
      <c r="D11015" t="s">
        <v>18123</v>
      </c>
      <c r="E11015" t="s">
        <v>27736</v>
      </c>
      <c r="F11015" t="s">
        <v>31362</v>
      </c>
      <c r="G11015" t="s">
        <v>31369</v>
      </c>
      <c r="H11015" t="s">
        <v>15799</v>
      </c>
      <c r="I11015" t="s">
        <v>7090</v>
      </c>
      <c r="J11015" t="s">
        <v>38241</v>
      </c>
      <c r="K11015" t="s">
        <v>40662</v>
      </c>
      <c r="M11015" t="s">
        <v>44244</v>
      </c>
      <c r="N11015" t="s">
        <v>44905</v>
      </c>
      <c r="O11015" t="s">
        <v>44906</v>
      </c>
      <c r="P11015">
        <v>0</v>
      </c>
      <c r="Q11015">
        <v>3</v>
      </c>
      <c r="R11015" t="s">
        <v>44916</v>
      </c>
      <c r="S11015" t="s">
        <v>45313</v>
      </c>
      <c r="T11015" t="s">
        <v>46404</v>
      </c>
      <c r="U11015" t="s">
        <v>55742</v>
      </c>
      <c r="W11015" t="s">
        <v>44244</v>
      </c>
      <c r="X11015" t="s">
        <v>44918</v>
      </c>
    </row>
    <row r="11016" spans="1:24">
      <c r="A11016">
        <f>HYPERLINK("https://www.philgeps.gov.ph/GEPSNONPILOT/Tender/SplashBidNoticeAbstractUI.aspx?menuIndex=3&amp;refID=7067221&amp;Result=3","7067221")</f>
        <v>0</v>
      </c>
      <c r="B11016" t="s">
        <v>2760</v>
      </c>
      <c r="C11016" t="s">
        <v>14021</v>
      </c>
      <c r="D11016" t="s">
        <v>18123</v>
      </c>
      <c r="E11016" t="s">
        <v>27737</v>
      </c>
      <c r="F11016" t="s">
        <v>31362</v>
      </c>
      <c r="G11016" t="s">
        <v>31369</v>
      </c>
      <c r="H11016" t="s">
        <v>15799</v>
      </c>
      <c r="I11016" t="s">
        <v>3815</v>
      </c>
      <c r="J11016" t="s">
        <v>32149</v>
      </c>
      <c r="K11016" t="s">
        <v>40665</v>
      </c>
      <c r="M11016" t="s">
        <v>43951</v>
      </c>
      <c r="N11016" t="s">
        <v>44905</v>
      </c>
      <c r="O11016" t="s">
        <v>44906</v>
      </c>
      <c r="P11016">
        <v>0</v>
      </c>
      <c r="Q11016">
        <v>0</v>
      </c>
      <c r="R11016" t="s">
        <v>44915</v>
      </c>
      <c r="S11016" t="s">
        <v>45255</v>
      </c>
      <c r="T11016" t="s">
        <v>46409</v>
      </c>
      <c r="U11016" t="s">
        <v>55743</v>
      </c>
      <c r="V11016" t="s">
        <v>60236</v>
      </c>
      <c r="W11016" t="s">
        <v>43951</v>
      </c>
      <c r="X11016" t="s">
        <v>44916</v>
      </c>
    </row>
    <row r="11017" spans="1:24">
      <c r="A11017">
        <f>HYPERLINK("https://www.philgeps.gov.ph/GEPSNONPILOT/Tender/SplashBidNoticeAbstractUI.aspx?menuIndex=3&amp;refID=7059557&amp;Result=3","7059557")</f>
        <v>0</v>
      </c>
      <c r="B11017" t="s">
        <v>2500</v>
      </c>
      <c r="C11017" t="s">
        <v>14022</v>
      </c>
      <c r="D11017" t="s">
        <v>18148</v>
      </c>
      <c r="E11017" t="s">
        <v>27738</v>
      </c>
      <c r="F11017" t="s">
        <v>31362</v>
      </c>
      <c r="G11017" t="s">
        <v>31369</v>
      </c>
      <c r="H11017" t="s">
        <v>31378</v>
      </c>
      <c r="I11017" t="s">
        <v>31386</v>
      </c>
      <c r="J11017" t="s">
        <v>38242</v>
      </c>
      <c r="K11017" t="s">
        <v>40886</v>
      </c>
      <c r="M11017" t="s">
        <v>44238</v>
      </c>
      <c r="N11017" t="s">
        <v>44905</v>
      </c>
      <c r="O11017" t="s">
        <v>44906</v>
      </c>
      <c r="Q11017">
        <v>0</v>
      </c>
      <c r="R11017" t="s">
        <v>44916</v>
      </c>
      <c r="S11017" t="s">
        <v>45329</v>
      </c>
      <c r="T11017" t="s">
        <v>46433</v>
      </c>
      <c r="U11017" t="s">
        <v>55744</v>
      </c>
      <c r="W11017" t="s">
        <v>44238</v>
      </c>
      <c r="X11017" t="s">
        <v>44918</v>
      </c>
    </row>
    <row r="11018" spans="1:24">
      <c r="A11018">
        <f>HYPERLINK("https://www.philgeps.gov.ph/GEPSNONPILOT/Tender/SplashBidNoticeAbstractUI.aspx?menuIndex=3&amp;refID=7059639&amp;Result=3","7059639")</f>
        <v>0</v>
      </c>
      <c r="B11018" t="s">
        <v>1002</v>
      </c>
      <c r="C11018" t="s">
        <v>14023</v>
      </c>
      <c r="D11018" t="s">
        <v>18148</v>
      </c>
      <c r="E11018" t="s">
        <v>27739</v>
      </c>
      <c r="F11018" t="s">
        <v>31362</v>
      </c>
      <c r="G11018" t="s">
        <v>31369</v>
      </c>
      <c r="H11018" t="s">
        <v>15799</v>
      </c>
      <c r="I11018" t="s">
        <v>31393</v>
      </c>
      <c r="J11018" t="s">
        <v>31753</v>
      </c>
      <c r="K11018" t="s">
        <v>40665</v>
      </c>
      <c r="M11018" t="s">
        <v>41998</v>
      </c>
      <c r="N11018" t="s">
        <v>44905</v>
      </c>
      <c r="O11018" t="s">
        <v>44906</v>
      </c>
      <c r="Q11018">
        <v>6</v>
      </c>
      <c r="R11018" t="s">
        <v>44916</v>
      </c>
      <c r="S11018" t="s">
        <v>45330</v>
      </c>
      <c r="T11018" t="s">
        <v>46419</v>
      </c>
      <c r="U11018" t="s">
        <v>55745</v>
      </c>
      <c r="W11018" t="s">
        <v>60879</v>
      </c>
      <c r="X11018" t="s">
        <v>44918</v>
      </c>
    </row>
    <row r="11019" spans="1:24">
      <c r="A11019">
        <f>HYPERLINK("https://www.philgeps.gov.ph/GEPSNONPILOT/Tender/SplashBidNoticeAbstractUI.aspx?menuIndex=3&amp;refID=7059640&amp;Result=3","7059640")</f>
        <v>0</v>
      </c>
      <c r="B11019" t="s">
        <v>2500</v>
      </c>
      <c r="C11019" t="s">
        <v>14024</v>
      </c>
      <c r="D11019" t="s">
        <v>18148</v>
      </c>
      <c r="E11019" t="s">
        <v>27740</v>
      </c>
      <c r="F11019" t="s">
        <v>31362</v>
      </c>
      <c r="G11019" t="s">
        <v>31369</v>
      </c>
      <c r="H11019" t="s">
        <v>31378</v>
      </c>
      <c r="I11019" t="s">
        <v>31386</v>
      </c>
      <c r="J11019" t="s">
        <v>32594</v>
      </c>
      <c r="K11019" t="s">
        <v>40881</v>
      </c>
      <c r="M11019" t="s">
        <v>44238</v>
      </c>
      <c r="N11019" t="s">
        <v>44905</v>
      </c>
      <c r="O11019" t="s">
        <v>44906</v>
      </c>
      <c r="Q11019">
        <v>3</v>
      </c>
      <c r="R11019" t="s">
        <v>44916</v>
      </c>
      <c r="S11019" t="s">
        <v>45327</v>
      </c>
      <c r="T11019" t="s">
        <v>46433</v>
      </c>
      <c r="U11019" t="s">
        <v>55746</v>
      </c>
      <c r="W11019" t="s">
        <v>44238</v>
      </c>
      <c r="X11019" t="s">
        <v>44918</v>
      </c>
    </row>
    <row r="11020" spans="1:24">
      <c r="A11020">
        <f>HYPERLINK("https://www.philgeps.gov.ph/GEPSNONPILOT/Tender/SplashBidNoticeAbstractUI.aspx?menuIndex=3&amp;refID=7059543&amp;Result=3","7059543")</f>
        <v>0</v>
      </c>
      <c r="B11020" t="s">
        <v>2500</v>
      </c>
      <c r="C11020" t="s">
        <v>14025</v>
      </c>
      <c r="D11020" t="s">
        <v>18148</v>
      </c>
      <c r="E11020" t="s">
        <v>27741</v>
      </c>
      <c r="F11020" t="s">
        <v>31362</v>
      </c>
      <c r="G11020" t="s">
        <v>31369</v>
      </c>
      <c r="H11020" t="s">
        <v>31378</v>
      </c>
      <c r="I11020" t="s">
        <v>31386</v>
      </c>
      <c r="J11020" t="s">
        <v>38213</v>
      </c>
      <c r="K11020" t="s">
        <v>40822</v>
      </c>
      <c r="M11020" t="s">
        <v>44238</v>
      </c>
      <c r="N11020" t="s">
        <v>44905</v>
      </c>
      <c r="O11020" t="s">
        <v>44906</v>
      </c>
      <c r="Q11020">
        <v>0</v>
      </c>
      <c r="R11020" t="s">
        <v>44916</v>
      </c>
      <c r="S11020" t="s">
        <v>45331</v>
      </c>
      <c r="T11020" t="s">
        <v>46433</v>
      </c>
      <c r="U11020" t="s">
        <v>55700</v>
      </c>
      <c r="W11020" t="s">
        <v>44238</v>
      </c>
      <c r="X11020" t="s">
        <v>44918</v>
      </c>
    </row>
    <row r="11021" spans="1:24">
      <c r="A11021">
        <f>HYPERLINK("https://www.philgeps.gov.ph/GEPSNONPILOT/Tender/SplashBidNoticeAbstractUI.aspx?menuIndex=3&amp;refID=7059627&amp;Result=3","7059627")</f>
        <v>0</v>
      </c>
      <c r="B11021" t="s">
        <v>2500</v>
      </c>
      <c r="C11021" t="s">
        <v>14026</v>
      </c>
      <c r="D11021" t="s">
        <v>18148</v>
      </c>
      <c r="E11021" t="s">
        <v>27742</v>
      </c>
      <c r="F11021" t="s">
        <v>31362</v>
      </c>
      <c r="G11021" t="s">
        <v>31369</v>
      </c>
      <c r="H11021" t="s">
        <v>31378</v>
      </c>
      <c r="I11021" t="s">
        <v>31386</v>
      </c>
      <c r="J11021" t="s">
        <v>31625</v>
      </c>
      <c r="K11021" t="s">
        <v>40708</v>
      </c>
      <c r="M11021" t="s">
        <v>44238</v>
      </c>
      <c r="N11021" t="s">
        <v>44905</v>
      </c>
      <c r="O11021" t="s">
        <v>44906</v>
      </c>
      <c r="Q11021">
        <v>1</v>
      </c>
      <c r="R11021" t="s">
        <v>44916</v>
      </c>
      <c r="S11021" t="s">
        <v>45332</v>
      </c>
      <c r="T11021" t="s">
        <v>46433</v>
      </c>
      <c r="U11021" t="s">
        <v>55747</v>
      </c>
      <c r="W11021" t="s">
        <v>44238</v>
      </c>
      <c r="X11021" t="s">
        <v>44918</v>
      </c>
    </row>
    <row r="11022" spans="1:24">
      <c r="A11022">
        <f>HYPERLINK("https://www.philgeps.gov.ph/GEPSNONPILOT/Tender/SplashBidNoticeAbstractUI.aspx?menuIndex=3&amp;refID=7059523&amp;Result=3","7059523")</f>
        <v>0</v>
      </c>
      <c r="B11022" t="s">
        <v>2500</v>
      </c>
      <c r="C11022" t="s">
        <v>14027</v>
      </c>
      <c r="D11022" t="s">
        <v>18148</v>
      </c>
      <c r="E11022" t="s">
        <v>27743</v>
      </c>
      <c r="F11022" t="s">
        <v>31362</v>
      </c>
      <c r="G11022" t="s">
        <v>31369</v>
      </c>
      <c r="H11022" t="s">
        <v>31378</v>
      </c>
      <c r="I11022" t="s">
        <v>31386</v>
      </c>
      <c r="J11022" t="s">
        <v>38243</v>
      </c>
      <c r="K11022" t="s">
        <v>40869</v>
      </c>
      <c r="M11022" t="s">
        <v>44238</v>
      </c>
      <c r="N11022" t="s">
        <v>44905</v>
      </c>
      <c r="O11022" t="s">
        <v>44906</v>
      </c>
      <c r="Q11022">
        <v>1</v>
      </c>
      <c r="R11022" t="s">
        <v>44916</v>
      </c>
      <c r="S11022" t="s">
        <v>45317</v>
      </c>
      <c r="T11022" t="s">
        <v>46433</v>
      </c>
      <c r="U11022" t="s">
        <v>55748</v>
      </c>
      <c r="W11022" t="s">
        <v>44238</v>
      </c>
      <c r="X11022" t="s">
        <v>44918</v>
      </c>
    </row>
    <row r="11023" spans="1:24">
      <c r="A11023">
        <f>HYPERLINK("https://www.philgeps.gov.ph/GEPSNONPILOT/Tender/SplashBidNoticeAbstractUI.aspx?menuIndex=3&amp;refID=7059886&amp;Result=3","7059886")</f>
        <v>0</v>
      </c>
      <c r="B11023" t="s">
        <v>1824</v>
      </c>
      <c r="C11023" t="s">
        <v>14028</v>
      </c>
      <c r="D11023" t="s">
        <v>18101</v>
      </c>
      <c r="E11023" t="s">
        <v>27744</v>
      </c>
      <c r="F11023" t="s">
        <v>31362</v>
      </c>
      <c r="G11023" t="s">
        <v>31369</v>
      </c>
      <c r="H11023" t="s">
        <v>31378</v>
      </c>
      <c r="I11023" t="s">
        <v>31386</v>
      </c>
      <c r="J11023" t="s">
        <v>38244</v>
      </c>
      <c r="K11023" t="s">
        <v>40678</v>
      </c>
      <c r="M11023" t="s">
        <v>42908</v>
      </c>
      <c r="N11023" t="s">
        <v>44905</v>
      </c>
      <c r="O11023" t="s">
        <v>44906</v>
      </c>
      <c r="P11023">
        <v>0</v>
      </c>
      <c r="Q11023">
        <v>5</v>
      </c>
      <c r="R11023" t="s">
        <v>44916</v>
      </c>
      <c r="S11023" t="s">
        <v>45313</v>
      </c>
      <c r="T11023" t="s">
        <v>46481</v>
      </c>
      <c r="U11023" t="s">
        <v>55749</v>
      </c>
      <c r="W11023" t="s">
        <v>42908</v>
      </c>
      <c r="X11023" t="s">
        <v>44918</v>
      </c>
    </row>
    <row r="11024" spans="1:24">
      <c r="A11024">
        <f>HYPERLINK("https://www.philgeps.gov.ph/GEPSNONPILOT/Tender/SplashBidNoticeAbstractUI.aspx?menuIndex=3&amp;refID=7061259&amp;Result=3","7061259")</f>
        <v>0</v>
      </c>
      <c r="B11024" t="s">
        <v>2033</v>
      </c>
      <c r="C11024" t="s">
        <v>14029</v>
      </c>
      <c r="D11024" t="s">
        <v>18148</v>
      </c>
      <c r="E11024" t="s">
        <v>27745</v>
      </c>
      <c r="F11024" t="s">
        <v>31362</v>
      </c>
      <c r="G11024" t="s">
        <v>31369</v>
      </c>
      <c r="H11024" t="s">
        <v>31378</v>
      </c>
      <c r="I11024" t="s">
        <v>31386</v>
      </c>
      <c r="J11024" t="s">
        <v>32877</v>
      </c>
      <c r="K11024" t="s">
        <v>40678</v>
      </c>
      <c r="M11024" t="s">
        <v>43151</v>
      </c>
      <c r="N11024" t="s">
        <v>44905</v>
      </c>
      <c r="O11024" t="s">
        <v>44906</v>
      </c>
      <c r="Q11024">
        <v>2</v>
      </c>
      <c r="R11024" t="s">
        <v>44916</v>
      </c>
      <c r="S11024" t="s">
        <v>45333</v>
      </c>
      <c r="T11024" t="s">
        <v>46412</v>
      </c>
      <c r="U11024" t="s">
        <v>55750</v>
      </c>
      <c r="W11024" t="s">
        <v>43151</v>
      </c>
      <c r="X11024" t="s">
        <v>44918</v>
      </c>
    </row>
    <row r="11025" spans="1:24">
      <c r="A11025">
        <f>HYPERLINK("https://www.philgeps.gov.ph/GEPSNONPILOT/Tender/SplashBidNoticeAbstractUI.aspx?menuIndex=3&amp;refID=7059575&amp;Result=3","7059575")</f>
        <v>0</v>
      </c>
      <c r="B11025" t="s">
        <v>354</v>
      </c>
      <c r="C11025" t="s">
        <v>14030</v>
      </c>
      <c r="D11025" t="s">
        <v>18141</v>
      </c>
      <c r="E11025" t="s">
        <v>27746</v>
      </c>
      <c r="F11025" t="s">
        <v>31362</v>
      </c>
      <c r="G11025" t="s">
        <v>31369</v>
      </c>
      <c r="H11025" t="s">
        <v>15799</v>
      </c>
      <c r="I11025" t="s">
        <v>7090</v>
      </c>
      <c r="J11025" t="s">
        <v>31625</v>
      </c>
      <c r="K11025" t="s">
        <v>40665</v>
      </c>
      <c r="M11025" t="s">
        <v>41301</v>
      </c>
      <c r="N11025" t="s">
        <v>44905</v>
      </c>
      <c r="O11025" t="s">
        <v>44906</v>
      </c>
      <c r="P11025">
        <v>0</v>
      </c>
      <c r="Q11025">
        <v>2</v>
      </c>
      <c r="R11025" t="s">
        <v>44916</v>
      </c>
      <c r="S11025" t="s">
        <v>45313</v>
      </c>
      <c r="T11025" t="s">
        <v>46418</v>
      </c>
      <c r="U11025" t="s">
        <v>55751</v>
      </c>
      <c r="W11025" t="s">
        <v>41301</v>
      </c>
      <c r="X11025" t="s">
        <v>44918</v>
      </c>
    </row>
    <row r="11026" spans="1:24">
      <c r="A11026">
        <f>HYPERLINK("https://www.philgeps.gov.ph/GEPSNONPILOT/Tender/SplashBidNoticeAbstractUI.aspx?menuIndex=3&amp;refID=7061235&amp;Result=3","7061235")</f>
        <v>0</v>
      </c>
      <c r="B11026" t="s">
        <v>2341</v>
      </c>
      <c r="C11026" t="s">
        <v>14031</v>
      </c>
      <c r="D11026" t="s">
        <v>18154</v>
      </c>
      <c r="E11026" t="s">
        <v>27747</v>
      </c>
      <c r="F11026" t="s">
        <v>31362</v>
      </c>
      <c r="G11026" t="s">
        <v>31369</v>
      </c>
      <c r="H11026" t="s">
        <v>31378</v>
      </c>
      <c r="I11026" t="s">
        <v>31386</v>
      </c>
      <c r="J11026" t="s">
        <v>38245</v>
      </c>
      <c r="K11026" t="s">
        <v>40735</v>
      </c>
      <c r="M11026" t="s">
        <v>43483</v>
      </c>
      <c r="N11026" t="s">
        <v>44905</v>
      </c>
      <c r="O11026" t="s">
        <v>44906</v>
      </c>
      <c r="P11026">
        <v>0</v>
      </c>
      <c r="Q11026">
        <v>0</v>
      </c>
      <c r="R11026" t="s">
        <v>44916</v>
      </c>
      <c r="S11026" t="s">
        <v>45313</v>
      </c>
      <c r="T11026" t="s">
        <v>46559</v>
      </c>
      <c r="U11026" t="s">
        <v>55752</v>
      </c>
      <c r="W11026" t="s">
        <v>43483</v>
      </c>
      <c r="X11026" t="s">
        <v>44918</v>
      </c>
    </row>
    <row r="11027" spans="1:24">
      <c r="A11027">
        <f>HYPERLINK("https://www.philgeps.gov.ph/GEPSNONPILOT/Tender/SplashBidNoticeAbstractUI.aspx?menuIndex=3&amp;refID=7061179&amp;Result=3","7061179")</f>
        <v>0</v>
      </c>
      <c r="B11027" t="s">
        <v>2341</v>
      </c>
      <c r="C11027" t="s">
        <v>14032</v>
      </c>
      <c r="D11027" t="s">
        <v>18154</v>
      </c>
      <c r="E11027" t="s">
        <v>27748</v>
      </c>
      <c r="F11027" t="s">
        <v>31362</v>
      </c>
      <c r="G11027" t="s">
        <v>31369</v>
      </c>
      <c r="H11027" t="s">
        <v>31378</v>
      </c>
      <c r="I11027" t="s">
        <v>31386</v>
      </c>
      <c r="J11027" t="s">
        <v>38246</v>
      </c>
      <c r="K11027" t="s">
        <v>40679</v>
      </c>
      <c r="M11027" t="s">
        <v>43483</v>
      </c>
      <c r="N11027" t="s">
        <v>44905</v>
      </c>
      <c r="O11027" t="s">
        <v>44906</v>
      </c>
      <c r="Q11027">
        <v>0</v>
      </c>
      <c r="R11027" t="s">
        <v>44916</v>
      </c>
      <c r="S11027" t="s">
        <v>45334</v>
      </c>
      <c r="T11027" t="s">
        <v>46559</v>
      </c>
      <c r="U11027" t="s">
        <v>55753</v>
      </c>
      <c r="W11027" t="s">
        <v>43483</v>
      </c>
      <c r="X11027" t="s">
        <v>44918</v>
      </c>
    </row>
    <row r="11028" spans="1:24">
      <c r="A11028">
        <f>HYPERLINK("https://www.philgeps.gov.ph/GEPSNONPILOT/Tender/SplashBidNoticeAbstractUI.aspx?menuIndex=3&amp;refID=7059533&amp;Result=3","7059533")</f>
        <v>0</v>
      </c>
      <c r="B11028" t="s">
        <v>2500</v>
      </c>
      <c r="C11028" t="s">
        <v>14033</v>
      </c>
      <c r="D11028" t="s">
        <v>18148</v>
      </c>
      <c r="E11028" t="s">
        <v>27749</v>
      </c>
      <c r="F11028" t="s">
        <v>31362</v>
      </c>
      <c r="G11028" t="s">
        <v>31369</v>
      </c>
      <c r="H11028" t="s">
        <v>31378</v>
      </c>
      <c r="I11028" t="s">
        <v>31386</v>
      </c>
      <c r="J11028" t="s">
        <v>38242</v>
      </c>
      <c r="K11028" t="s">
        <v>40886</v>
      </c>
      <c r="M11028" t="s">
        <v>44238</v>
      </c>
      <c r="N11028" t="s">
        <v>44905</v>
      </c>
      <c r="O11028" t="s">
        <v>44906</v>
      </c>
      <c r="Q11028">
        <v>1</v>
      </c>
      <c r="R11028" t="s">
        <v>44916</v>
      </c>
      <c r="S11028" t="s">
        <v>45335</v>
      </c>
      <c r="T11028" t="s">
        <v>46433</v>
      </c>
      <c r="U11028" t="s">
        <v>55754</v>
      </c>
      <c r="W11028" t="s">
        <v>44238</v>
      </c>
      <c r="X11028" t="s">
        <v>44918</v>
      </c>
    </row>
    <row r="11029" spans="1:24">
      <c r="A11029">
        <f>HYPERLINK("https://www.philgeps.gov.ph/GEPSNONPILOT/Tender/SplashBidNoticeAbstractUI.aspx?menuIndex=3&amp;refID=7059876&amp;Result=3","7059876")</f>
        <v>0</v>
      </c>
      <c r="B11029" t="s">
        <v>1824</v>
      </c>
      <c r="C11029" t="s">
        <v>14034</v>
      </c>
      <c r="D11029" t="s">
        <v>18101</v>
      </c>
      <c r="E11029" t="s">
        <v>27750</v>
      </c>
      <c r="F11029" t="s">
        <v>31362</v>
      </c>
      <c r="G11029" t="s">
        <v>31369</v>
      </c>
      <c r="H11029" t="s">
        <v>31378</v>
      </c>
      <c r="I11029" t="s">
        <v>31386</v>
      </c>
      <c r="J11029" t="s">
        <v>38247</v>
      </c>
      <c r="K11029" t="s">
        <v>40691</v>
      </c>
      <c r="M11029" t="s">
        <v>42908</v>
      </c>
      <c r="N11029" t="s">
        <v>44905</v>
      </c>
      <c r="O11029" t="s">
        <v>44906</v>
      </c>
      <c r="P11029">
        <v>0</v>
      </c>
      <c r="Q11029">
        <v>4</v>
      </c>
      <c r="R11029" t="s">
        <v>44916</v>
      </c>
      <c r="S11029" t="s">
        <v>45313</v>
      </c>
      <c r="T11029" t="s">
        <v>46481</v>
      </c>
      <c r="U11029" t="s">
        <v>55755</v>
      </c>
      <c r="W11029" t="s">
        <v>42908</v>
      </c>
      <c r="X11029" t="s">
        <v>44918</v>
      </c>
    </row>
    <row r="11030" spans="1:24">
      <c r="A11030">
        <f>HYPERLINK("https://www.philgeps.gov.ph/GEPSNONPILOT/Tender/SplashBidNoticeAbstractUI.aspx?menuIndex=3&amp;refID=7060597&amp;Result=3","7060597")</f>
        <v>0</v>
      </c>
      <c r="B11030" t="s">
        <v>1728</v>
      </c>
      <c r="C11030" t="s">
        <v>14035</v>
      </c>
      <c r="D11030" t="s">
        <v>18158</v>
      </c>
      <c r="E11030" t="s">
        <v>27751</v>
      </c>
      <c r="F11030" t="s">
        <v>31362</v>
      </c>
      <c r="G11030" t="s">
        <v>31369</v>
      </c>
      <c r="H11030" t="s">
        <v>31378</v>
      </c>
      <c r="I11030" t="s">
        <v>31449</v>
      </c>
      <c r="J11030" t="s">
        <v>38248</v>
      </c>
      <c r="K11030" t="s">
        <v>40686</v>
      </c>
      <c r="M11030" t="s">
        <v>42799</v>
      </c>
      <c r="N11030" t="s">
        <v>44905</v>
      </c>
      <c r="O11030" t="s">
        <v>44906</v>
      </c>
      <c r="P11030">
        <v>0</v>
      </c>
      <c r="Q11030">
        <v>2</v>
      </c>
      <c r="R11030" t="s">
        <v>44916</v>
      </c>
      <c r="S11030" t="s">
        <v>45313</v>
      </c>
      <c r="T11030" t="s">
        <v>46561</v>
      </c>
      <c r="U11030" t="s">
        <v>55756</v>
      </c>
      <c r="W11030" t="s">
        <v>42799</v>
      </c>
      <c r="X11030" t="s">
        <v>44918</v>
      </c>
    </row>
    <row r="11031" spans="1:24">
      <c r="A11031">
        <f>HYPERLINK("https://www.philgeps.gov.ph/GEPSNONPILOT/Tender/SplashBidNoticeAbstractUI.aspx?menuIndex=3&amp;refID=7059572&amp;Result=3","7059572")</f>
        <v>0</v>
      </c>
      <c r="B11031" t="s">
        <v>1971</v>
      </c>
      <c r="C11031" t="s">
        <v>14036</v>
      </c>
      <c r="D11031" t="s">
        <v>18154</v>
      </c>
      <c r="E11031" t="s">
        <v>27752</v>
      </c>
      <c r="F11031" t="s">
        <v>31362</v>
      </c>
      <c r="G11031" t="s">
        <v>31369</v>
      </c>
      <c r="H11031" t="s">
        <v>15799</v>
      </c>
      <c r="I11031" t="s">
        <v>3815</v>
      </c>
      <c r="J11031" t="s">
        <v>38249</v>
      </c>
      <c r="K11031" t="s">
        <v>40662</v>
      </c>
      <c r="M11031" t="s">
        <v>43078</v>
      </c>
      <c r="N11031" t="s">
        <v>44905</v>
      </c>
      <c r="O11031" t="s">
        <v>44906</v>
      </c>
      <c r="P11031">
        <v>0</v>
      </c>
      <c r="Q11031">
        <v>0</v>
      </c>
      <c r="R11031" t="s">
        <v>44916</v>
      </c>
      <c r="S11031" t="s">
        <v>45313</v>
      </c>
      <c r="T11031" t="s">
        <v>46507</v>
      </c>
      <c r="U11031" t="s">
        <v>55757</v>
      </c>
      <c r="W11031" t="s">
        <v>43078</v>
      </c>
      <c r="X11031" t="s">
        <v>44918</v>
      </c>
    </row>
    <row r="11032" spans="1:24">
      <c r="A11032">
        <f>HYPERLINK("https://www.philgeps.gov.ph/GEPSNONPILOT/Tender/SplashBidNoticeAbstractUI.aspx?menuIndex=3&amp;refID=7061205&amp;Result=3","7061205")</f>
        <v>0</v>
      </c>
      <c r="B11032" t="s">
        <v>2341</v>
      </c>
      <c r="C11032" t="s">
        <v>14037</v>
      </c>
      <c r="D11032" t="s">
        <v>18154</v>
      </c>
      <c r="E11032" t="s">
        <v>27753</v>
      </c>
      <c r="F11032" t="s">
        <v>31362</v>
      </c>
      <c r="G11032" t="s">
        <v>31369</v>
      </c>
      <c r="H11032" t="s">
        <v>31378</v>
      </c>
      <c r="I11032" t="s">
        <v>31386</v>
      </c>
      <c r="J11032" t="s">
        <v>38250</v>
      </c>
      <c r="K11032" t="s">
        <v>40735</v>
      </c>
      <c r="M11032" t="s">
        <v>43483</v>
      </c>
      <c r="N11032" t="s">
        <v>44905</v>
      </c>
      <c r="O11032" t="s">
        <v>44906</v>
      </c>
      <c r="P11032">
        <v>0</v>
      </c>
      <c r="Q11032">
        <v>0</v>
      </c>
      <c r="R11032" t="s">
        <v>44916</v>
      </c>
      <c r="S11032" t="s">
        <v>45313</v>
      </c>
      <c r="T11032" t="s">
        <v>46559</v>
      </c>
      <c r="U11032" t="s">
        <v>55758</v>
      </c>
      <c r="W11032" t="s">
        <v>43483</v>
      </c>
      <c r="X11032" t="s">
        <v>44918</v>
      </c>
    </row>
    <row r="11033" spans="1:24">
      <c r="A11033">
        <f>HYPERLINK("https://www.philgeps.gov.ph/GEPSNONPILOT/Tender/SplashBidNoticeAbstractUI.aspx?menuIndex=3&amp;refID=7059552&amp;Result=3","7059552")</f>
        <v>0</v>
      </c>
      <c r="B11033" t="s">
        <v>2500</v>
      </c>
      <c r="C11033" t="s">
        <v>14038</v>
      </c>
      <c r="D11033" t="s">
        <v>18148</v>
      </c>
      <c r="E11033" t="s">
        <v>27754</v>
      </c>
      <c r="F11033" t="s">
        <v>31362</v>
      </c>
      <c r="G11033" t="s">
        <v>31369</v>
      </c>
      <c r="H11033" t="s">
        <v>31378</v>
      </c>
      <c r="I11033" t="s">
        <v>31386</v>
      </c>
      <c r="J11033" t="s">
        <v>38251</v>
      </c>
      <c r="K11033" t="s">
        <v>40694</v>
      </c>
      <c r="M11033" t="s">
        <v>44238</v>
      </c>
      <c r="N11033" t="s">
        <v>44905</v>
      </c>
      <c r="O11033" t="s">
        <v>44906</v>
      </c>
      <c r="Q11033">
        <v>2</v>
      </c>
      <c r="R11033" t="s">
        <v>44916</v>
      </c>
      <c r="S11033" t="s">
        <v>45336</v>
      </c>
      <c r="T11033" t="s">
        <v>46433</v>
      </c>
      <c r="U11033" t="s">
        <v>55759</v>
      </c>
      <c r="W11033" t="s">
        <v>44238</v>
      </c>
      <c r="X11033" t="s">
        <v>44918</v>
      </c>
    </row>
    <row r="11034" spans="1:24">
      <c r="A11034">
        <f>HYPERLINK("https://www.philgeps.gov.ph/GEPSNONPILOT/Tender/SplashBidNoticeAbstractUI.aspx?menuIndex=3&amp;refID=7060527&amp;Result=3","7060527")</f>
        <v>0</v>
      </c>
      <c r="B11034" t="s">
        <v>3014</v>
      </c>
      <c r="C11034" t="s">
        <v>14039</v>
      </c>
      <c r="D11034" t="s">
        <v>18122</v>
      </c>
      <c r="E11034" t="s">
        <v>27755</v>
      </c>
      <c r="F11034" t="s">
        <v>31362</v>
      </c>
      <c r="G11034" t="s">
        <v>31369</v>
      </c>
      <c r="H11034" t="s">
        <v>31378</v>
      </c>
      <c r="I11034" t="s">
        <v>31386</v>
      </c>
      <c r="J11034" t="s">
        <v>38252</v>
      </c>
      <c r="K11034" t="s">
        <v>40693</v>
      </c>
      <c r="L11034" t="s">
        <v>3014</v>
      </c>
      <c r="M11034" t="s">
        <v>44245</v>
      </c>
      <c r="N11034" t="s">
        <v>44905</v>
      </c>
      <c r="O11034" t="s">
        <v>44906</v>
      </c>
      <c r="P11034">
        <v>0</v>
      </c>
      <c r="Q11034">
        <v>27</v>
      </c>
      <c r="R11034" t="s">
        <v>44916</v>
      </c>
      <c r="S11034" t="s">
        <v>45313</v>
      </c>
      <c r="T11034" t="s">
        <v>46481</v>
      </c>
      <c r="U11034" t="s">
        <v>55760</v>
      </c>
      <c r="W11034" t="s">
        <v>44245</v>
      </c>
      <c r="X11034" t="s">
        <v>44918</v>
      </c>
    </row>
    <row r="11035" spans="1:24">
      <c r="A11035">
        <f>HYPERLINK("https://www.philgeps.gov.ph/GEPSNONPILOT/Tender/SplashBidNoticeAbstractUI.aspx?menuIndex=3&amp;refID=7060459&amp;Result=3","7060459")</f>
        <v>0</v>
      </c>
      <c r="B11035" t="s">
        <v>3015</v>
      </c>
      <c r="C11035" t="s">
        <v>14040</v>
      </c>
      <c r="D11035" t="s">
        <v>18102</v>
      </c>
      <c r="E11035" t="s">
        <v>27756</v>
      </c>
      <c r="F11035" t="s">
        <v>31362</v>
      </c>
      <c r="G11035" t="s">
        <v>31369</v>
      </c>
      <c r="H11035" t="s">
        <v>31378</v>
      </c>
      <c r="I11035" t="s">
        <v>31386</v>
      </c>
      <c r="J11035" t="s">
        <v>33653</v>
      </c>
      <c r="K11035" t="s">
        <v>40780</v>
      </c>
      <c r="M11035" t="s">
        <v>44246</v>
      </c>
      <c r="N11035" t="s">
        <v>44905</v>
      </c>
      <c r="O11035" t="s">
        <v>44906</v>
      </c>
      <c r="P11035">
        <v>0</v>
      </c>
      <c r="Q11035">
        <v>0</v>
      </c>
      <c r="R11035" t="s">
        <v>44916</v>
      </c>
      <c r="S11035" t="s">
        <v>45313</v>
      </c>
      <c r="T11035" t="s">
        <v>46392</v>
      </c>
      <c r="U11035" t="s">
        <v>55761</v>
      </c>
      <c r="W11035" t="s">
        <v>44246</v>
      </c>
      <c r="X11035" t="s">
        <v>44918</v>
      </c>
    </row>
    <row r="11036" spans="1:24">
      <c r="A11036">
        <f>HYPERLINK("https://www.philgeps.gov.ph/GEPSNONPILOT/Tender/SplashBidNoticeAbstractUI.aspx?menuIndex=3&amp;refID=7060745&amp;Result=3","7060745")</f>
        <v>0</v>
      </c>
      <c r="B11036" t="s">
        <v>3016</v>
      </c>
      <c r="C11036" t="s">
        <v>14041</v>
      </c>
      <c r="D11036" t="s">
        <v>18180</v>
      </c>
      <c r="E11036" t="s">
        <v>27757</v>
      </c>
      <c r="F11036" t="s">
        <v>31362</v>
      </c>
      <c r="G11036" t="s">
        <v>31369</v>
      </c>
      <c r="H11036" t="s">
        <v>15799</v>
      </c>
      <c r="I11036" t="s">
        <v>3815</v>
      </c>
      <c r="J11036" t="s">
        <v>38253</v>
      </c>
      <c r="K11036" t="s">
        <v>40675</v>
      </c>
      <c r="M11036" t="s">
        <v>44247</v>
      </c>
      <c r="N11036" t="s">
        <v>44905</v>
      </c>
      <c r="O11036" t="s">
        <v>44906</v>
      </c>
      <c r="Q11036">
        <v>0</v>
      </c>
      <c r="R11036" t="s">
        <v>44916</v>
      </c>
      <c r="S11036" t="s">
        <v>45101</v>
      </c>
      <c r="T11036" t="s">
        <v>46418</v>
      </c>
      <c r="U11036" t="s">
        <v>55762</v>
      </c>
      <c r="W11036" t="s">
        <v>44247</v>
      </c>
      <c r="X11036" t="s">
        <v>44918</v>
      </c>
    </row>
    <row r="11037" spans="1:24">
      <c r="A11037">
        <f>HYPERLINK("https://www.philgeps.gov.ph/GEPSNONPILOT/Tender/SplashBidNoticeAbstractUI.aspx?menuIndex=3&amp;refID=7060288&amp;Result=3","7060288")</f>
        <v>0</v>
      </c>
      <c r="B11037" t="s">
        <v>192</v>
      </c>
      <c r="C11037" t="s">
        <v>14042</v>
      </c>
      <c r="D11037" t="s">
        <v>18122</v>
      </c>
      <c r="E11037" t="s">
        <v>27758</v>
      </c>
      <c r="F11037" t="s">
        <v>31362</v>
      </c>
      <c r="G11037" t="s">
        <v>31369</v>
      </c>
      <c r="H11037" t="s">
        <v>15799</v>
      </c>
      <c r="I11037" t="s">
        <v>31382</v>
      </c>
      <c r="J11037" t="s">
        <v>38254</v>
      </c>
      <c r="K11037" t="s">
        <v>40662</v>
      </c>
      <c r="M11037" t="s">
        <v>41130</v>
      </c>
      <c r="N11037" t="s">
        <v>44905</v>
      </c>
      <c r="O11037" t="s">
        <v>44906</v>
      </c>
      <c r="P11037">
        <v>0</v>
      </c>
      <c r="Q11037">
        <v>21</v>
      </c>
      <c r="R11037" t="s">
        <v>44916</v>
      </c>
      <c r="S11037" t="s">
        <v>45313</v>
      </c>
      <c r="T11037" t="s">
        <v>46542</v>
      </c>
      <c r="U11037" t="s">
        <v>55763</v>
      </c>
      <c r="V11037" t="s">
        <v>60237</v>
      </c>
      <c r="W11037" t="s">
        <v>41130</v>
      </c>
      <c r="X11037" t="s">
        <v>44918</v>
      </c>
    </row>
    <row r="11038" spans="1:24">
      <c r="A11038">
        <f>HYPERLINK("https://www.philgeps.gov.ph/GEPSNONPILOT/Tender/SplashBidNoticeAbstractUI.aspx?menuIndex=3&amp;refID=7061069&amp;Result=3","7061069")</f>
        <v>0</v>
      </c>
      <c r="B11038" t="s">
        <v>468</v>
      </c>
      <c r="C11038" t="s">
        <v>14043</v>
      </c>
      <c r="D11038" t="s">
        <v>18126</v>
      </c>
      <c r="E11038" t="s">
        <v>27759</v>
      </c>
      <c r="F11038" t="s">
        <v>31362</v>
      </c>
      <c r="G11038" t="s">
        <v>31369</v>
      </c>
      <c r="H11038" t="s">
        <v>15799</v>
      </c>
      <c r="I11038" t="s">
        <v>31454</v>
      </c>
      <c r="J11038" t="s">
        <v>38255</v>
      </c>
      <c r="K11038" t="s">
        <v>40678</v>
      </c>
      <c r="M11038" t="s">
        <v>41422</v>
      </c>
      <c r="N11038" t="s">
        <v>44905</v>
      </c>
      <c r="O11038" t="s">
        <v>44906</v>
      </c>
      <c r="Q11038">
        <v>8</v>
      </c>
      <c r="R11038" t="s">
        <v>44916</v>
      </c>
      <c r="S11038" t="s">
        <v>45337</v>
      </c>
      <c r="T11038" t="s">
        <v>46479</v>
      </c>
      <c r="U11038" t="s">
        <v>55764</v>
      </c>
      <c r="W11038" t="s">
        <v>41422</v>
      </c>
      <c r="X11038" t="s">
        <v>44918</v>
      </c>
    </row>
    <row r="11039" spans="1:24">
      <c r="A11039">
        <f>HYPERLINK("https://www.philgeps.gov.ph/GEPSNONPILOT/Tender/SplashBidNoticeAbstractUI.aspx?menuIndex=3&amp;refID=7061847&amp;Result=3","7061847")</f>
        <v>0</v>
      </c>
      <c r="B11039" t="s">
        <v>367</v>
      </c>
      <c r="C11039" t="s">
        <v>14044</v>
      </c>
      <c r="D11039" t="s">
        <v>18134</v>
      </c>
      <c r="E11039" t="s">
        <v>27760</v>
      </c>
      <c r="F11039" t="s">
        <v>31362</v>
      </c>
      <c r="G11039" t="s">
        <v>31369</v>
      </c>
      <c r="H11039" t="s">
        <v>31378</v>
      </c>
      <c r="I11039" t="s">
        <v>31386</v>
      </c>
      <c r="J11039" t="s">
        <v>38256</v>
      </c>
      <c r="K11039" t="s">
        <v>40679</v>
      </c>
      <c r="M11039" t="s">
        <v>41398</v>
      </c>
      <c r="N11039" t="s">
        <v>44905</v>
      </c>
      <c r="O11039" t="s">
        <v>44906</v>
      </c>
      <c r="Q11039">
        <v>0</v>
      </c>
      <c r="R11039" t="s">
        <v>44916</v>
      </c>
      <c r="S11039" t="s">
        <v>45338</v>
      </c>
      <c r="T11039" t="s">
        <v>46392</v>
      </c>
      <c r="U11039" t="s">
        <v>55765</v>
      </c>
      <c r="V11039" t="s">
        <v>60238</v>
      </c>
      <c r="W11039" t="s">
        <v>41398</v>
      </c>
      <c r="X11039" t="s">
        <v>44917</v>
      </c>
    </row>
    <row r="11040" spans="1:24">
      <c r="A11040">
        <f>HYPERLINK("https://www.philgeps.gov.ph/GEPSNONPILOT/Tender/SplashBidNoticeAbstractUI.aspx?menuIndex=3&amp;refID=7061840&amp;Result=3","7061840")</f>
        <v>0</v>
      </c>
      <c r="B11040" t="s">
        <v>270</v>
      </c>
      <c r="C11040" t="s">
        <v>14045</v>
      </c>
      <c r="D11040" t="s">
        <v>18166</v>
      </c>
      <c r="E11040" t="s">
        <v>27761</v>
      </c>
      <c r="F11040" t="s">
        <v>31362</v>
      </c>
      <c r="G11040" t="s">
        <v>31371</v>
      </c>
      <c r="H11040" t="s">
        <v>15799</v>
      </c>
      <c r="I11040" t="s">
        <v>7188</v>
      </c>
      <c r="J11040" t="s">
        <v>31535</v>
      </c>
      <c r="K11040" t="s">
        <v>40661</v>
      </c>
      <c r="M11040" t="s">
        <v>41953</v>
      </c>
      <c r="N11040" t="s">
        <v>44905</v>
      </c>
      <c r="O11040" t="s">
        <v>44906</v>
      </c>
      <c r="P11040">
        <v>0</v>
      </c>
      <c r="Q11040">
        <v>11</v>
      </c>
      <c r="R11040" t="s">
        <v>44916</v>
      </c>
      <c r="S11040" t="s">
        <v>45313</v>
      </c>
      <c r="T11040" t="s">
        <v>46416</v>
      </c>
      <c r="U11040" t="s">
        <v>55766</v>
      </c>
      <c r="W11040" t="s">
        <v>41953</v>
      </c>
      <c r="X11040" t="s">
        <v>44917</v>
      </c>
    </row>
    <row r="11041" spans="1:24">
      <c r="A11041">
        <f>HYPERLINK("https://www.philgeps.gov.ph/GEPSNONPILOT/Tender/SplashBidNoticeAbstractUI.aspx?menuIndex=3&amp;refID=7061811&amp;Result=3","7061811")</f>
        <v>0</v>
      </c>
      <c r="B11041" t="s">
        <v>794</v>
      </c>
      <c r="C11041" t="s">
        <v>14046</v>
      </c>
      <c r="D11041" t="s">
        <v>18106</v>
      </c>
      <c r="E11041" t="s">
        <v>27762</v>
      </c>
      <c r="F11041" t="s">
        <v>31362</v>
      </c>
      <c r="G11041" t="s">
        <v>31369</v>
      </c>
      <c r="H11041" t="s">
        <v>31378</v>
      </c>
      <c r="I11041" t="s">
        <v>31386</v>
      </c>
      <c r="J11041" t="s">
        <v>33653</v>
      </c>
      <c r="K11041" t="s">
        <v>40773</v>
      </c>
      <c r="M11041" t="s">
        <v>41764</v>
      </c>
      <c r="N11041" t="s">
        <v>44905</v>
      </c>
      <c r="O11041" t="s">
        <v>44906</v>
      </c>
      <c r="P11041">
        <v>0</v>
      </c>
      <c r="Q11041">
        <v>0</v>
      </c>
      <c r="R11041" t="s">
        <v>44916</v>
      </c>
      <c r="S11041" t="s">
        <v>45313</v>
      </c>
      <c r="T11041" t="s">
        <v>46392</v>
      </c>
      <c r="U11041" t="s">
        <v>55767</v>
      </c>
      <c r="W11041" t="s">
        <v>41764</v>
      </c>
      <c r="X11041" t="s">
        <v>44917</v>
      </c>
    </row>
    <row r="11042" spans="1:24">
      <c r="A11042">
        <f>HYPERLINK("https://www.philgeps.gov.ph/GEPSNONPILOT/Tender/SplashBidNoticeAbstractUI.aspx?menuIndex=3&amp;refID=7060477&amp;Result=3","7060477")</f>
        <v>0</v>
      </c>
      <c r="B11042" t="s">
        <v>3014</v>
      </c>
      <c r="C11042" t="s">
        <v>14047</v>
      </c>
      <c r="D11042" t="s">
        <v>18122</v>
      </c>
      <c r="E11042" t="s">
        <v>27763</v>
      </c>
      <c r="F11042" t="s">
        <v>31362</v>
      </c>
      <c r="G11042" t="s">
        <v>31369</v>
      </c>
      <c r="H11042" t="s">
        <v>31378</v>
      </c>
      <c r="I11042" t="s">
        <v>31386</v>
      </c>
      <c r="J11042" t="s">
        <v>38257</v>
      </c>
      <c r="K11042" t="s">
        <v>40693</v>
      </c>
      <c r="L11042" t="s">
        <v>3014</v>
      </c>
      <c r="M11042" t="s">
        <v>44245</v>
      </c>
      <c r="N11042" t="s">
        <v>44905</v>
      </c>
      <c r="O11042" t="s">
        <v>44906</v>
      </c>
      <c r="P11042">
        <v>0</v>
      </c>
      <c r="Q11042">
        <v>27</v>
      </c>
      <c r="R11042" t="s">
        <v>44916</v>
      </c>
      <c r="S11042" t="s">
        <v>45313</v>
      </c>
      <c r="T11042" t="s">
        <v>46481</v>
      </c>
      <c r="U11042" t="s">
        <v>55760</v>
      </c>
      <c r="W11042" t="s">
        <v>44245</v>
      </c>
      <c r="X11042" t="s">
        <v>44918</v>
      </c>
    </row>
    <row r="11043" spans="1:24">
      <c r="A11043">
        <f>HYPERLINK("https://www.philgeps.gov.ph/GEPSNONPILOT/Tender/SplashBidNoticeAbstractUI.aspx?menuIndex=3&amp;refID=7061809&amp;Result=3","7061809")</f>
        <v>0</v>
      </c>
      <c r="B11043" t="s">
        <v>1639</v>
      </c>
      <c r="C11043" t="s">
        <v>14048</v>
      </c>
      <c r="D11043" t="s">
        <v>18108</v>
      </c>
      <c r="E11043" t="s">
        <v>27764</v>
      </c>
      <c r="F11043" t="s">
        <v>31362</v>
      </c>
      <c r="G11043" t="s">
        <v>31369</v>
      </c>
      <c r="H11043" t="s">
        <v>15799</v>
      </c>
      <c r="I11043" t="s">
        <v>3815</v>
      </c>
      <c r="J11043" t="s">
        <v>38258</v>
      </c>
      <c r="K11043" t="s">
        <v>40666</v>
      </c>
      <c r="M11043" t="s">
        <v>42702</v>
      </c>
      <c r="N11043" t="s">
        <v>44905</v>
      </c>
      <c r="O11043" t="s">
        <v>44906</v>
      </c>
      <c r="P11043">
        <v>0</v>
      </c>
      <c r="Q11043">
        <v>3</v>
      </c>
      <c r="R11043" t="s">
        <v>44916</v>
      </c>
      <c r="S11043" t="s">
        <v>45313</v>
      </c>
      <c r="T11043" t="s">
        <v>46611</v>
      </c>
      <c r="U11043" t="s">
        <v>55768</v>
      </c>
      <c r="W11043" t="s">
        <v>42702</v>
      </c>
      <c r="X11043" t="s">
        <v>44917</v>
      </c>
    </row>
    <row r="11044" spans="1:24">
      <c r="A11044">
        <f>HYPERLINK("https://www.philgeps.gov.ph/GEPSNONPILOT/Tender/SplashBidNoticeAbstractUI.aspx?menuIndex=3&amp;refID=7061807&amp;Result=3","7061807")</f>
        <v>0</v>
      </c>
      <c r="B11044" t="s">
        <v>2903</v>
      </c>
      <c r="C11044" t="s">
        <v>14049</v>
      </c>
      <c r="D11044" t="s">
        <v>18147</v>
      </c>
      <c r="E11044" t="s">
        <v>27765</v>
      </c>
      <c r="F11044" t="s">
        <v>31362</v>
      </c>
      <c r="G11044" t="s">
        <v>31369</v>
      </c>
      <c r="H11044" t="s">
        <v>15799</v>
      </c>
      <c r="I11044" t="s">
        <v>31409</v>
      </c>
      <c r="J11044" t="s">
        <v>31625</v>
      </c>
      <c r="K11044" t="s">
        <v>40679</v>
      </c>
      <c r="M11044" t="s">
        <v>44118</v>
      </c>
      <c r="N11044" t="s">
        <v>44905</v>
      </c>
      <c r="O11044" t="s">
        <v>44906</v>
      </c>
      <c r="P11044">
        <v>0</v>
      </c>
      <c r="Q11044">
        <v>3</v>
      </c>
      <c r="R11044" t="s">
        <v>44916</v>
      </c>
      <c r="S11044" t="s">
        <v>45313</v>
      </c>
      <c r="T11044" t="s">
        <v>46671</v>
      </c>
      <c r="U11044" t="s">
        <v>55769</v>
      </c>
      <c r="W11044" t="s">
        <v>44118</v>
      </c>
      <c r="X11044" t="s">
        <v>44917</v>
      </c>
    </row>
    <row r="11045" spans="1:24">
      <c r="A11045">
        <f>HYPERLINK("https://www.philgeps.gov.ph/GEPSNONPILOT/Tender/SplashBidNoticeAbstractUI.aspx?menuIndex=3&amp;refID=7061792&amp;Result=3","7061792")</f>
        <v>0</v>
      </c>
      <c r="B11045" t="s">
        <v>2167</v>
      </c>
      <c r="C11045" t="s">
        <v>14050</v>
      </c>
      <c r="D11045" t="s">
        <v>18134</v>
      </c>
      <c r="E11045" t="s">
        <v>27766</v>
      </c>
      <c r="F11045" t="s">
        <v>31362</v>
      </c>
      <c r="G11045" t="s">
        <v>31369</v>
      </c>
      <c r="H11045" t="s">
        <v>31378</v>
      </c>
      <c r="I11045" t="s">
        <v>31386</v>
      </c>
      <c r="J11045" t="s">
        <v>38259</v>
      </c>
      <c r="K11045" t="s">
        <v>40678</v>
      </c>
      <c r="M11045" t="s">
        <v>43297</v>
      </c>
      <c r="N11045" t="s">
        <v>44905</v>
      </c>
      <c r="O11045" t="s">
        <v>44906</v>
      </c>
      <c r="P11045">
        <v>0</v>
      </c>
      <c r="Q11045">
        <v>1</v>
      </c>
      <c r="R11045" t="s">
        <v>44916</v>
      </c>
      <c r="S11045" t="s">
        <v>45313</v>
      </c>
      <c r="T11045" t="s">
        <v>46831</v>
      </c>
      <c r="U11045" t="s">
        <v>52713</v>
      </c>
      <c r="W11045" t="s">
        <v>43297</v>
      </c>
      <c r="X11045" t="s">
        <v>44917</v>
      </c>
    </row>
    <row r="11046" spans="1:24">
      <c r="A11046">
        <f>HYPERLINK("https://www.philgeps.gov.ph/GEPSNONPILOT/Tender/SplashBidNoticeAbstractUI.aspx?menuIndex=3&amp;refID=7061790&amp;Result=3","7061790")</f>
        <v>0</v>
      </c>
      <c r="B11046" t="s">
        <v>3017</v>
      </c>
      <c r="C11046" t="s">
        <v>14051</v>
      </c>
      <c r="D11046" t="s">
        <v>18106</v>
      </c>
      <c r="E11046" t="s">
        <v>27767</v>
      </c>
      <c r="F11046" t="s">
        <v>31362</v>
      </c>
      <c r="G11046" t="s">
        <v>31369</v>
      </c>
      <c r="H11046" t="s">
        <v>15799</v>
      </c>
      <c r="I11046" t="s">
        <v>31414</v>
      </c>
      <c r="J11046" t="s">
        <v>38260</v>
      </c>
      <c r="K11046" t="s">
        <v>40662</v>
      </c>
      <c r="M11046" t="s">
        <v>44248</v>
      </c>
      <c r="N11046" t="s">
        <v>44905</v>
      </c>
      <c r="O11046" t="s">
        <v>44906</v>
      </c>
      <c r="P11046">
        <v>0</v>
      </c>
      <c r="Q11046">
        <v>3</v>
      </c>
      <c r="R11046" t="s">
        <v>44916</v>
      </c>
      <c r="S11046" t="s">
        <v>45313</v>
      </c>
      <c r="T11046" t="s">
        <v>46611</v>
      </c>
      <c r="U11046" t="s">
        <v>55770</v>
      </c>
      <c r="W11046" t="s">
        <v>44248</v>
      </c>
      <c r="X11046" t="s">
        <v>44917</v>
      </c>
    </row>
    <row r="11047" spans="1:24">
      <c r="A11047">
        <f>HYPERLINK("https://www.philgeps.gov.ph/GEPSNONPILOT/Tender/SplashBidNoticeAbstractUI.aspx?menuIndex=3&amp;refID=7061748&amp;Result=3","7061748")</f>
        <v>0</v>
      </c>
      <c r="B11047" t="s">
        <v>452</v>
      </c>
      <c r="C11047" t="s">
        <v>14052</v>
      </c>
      <c r="D11047" t="s">
        <v>18122</v>
      </c>
      <c r="E11047" t="s">
        <v>27768</v>
      </c>
      <c r="F11047" t="s">
        <v>31362</v>
      </c>
      <c r="G11047" t="s">
        <v>31369</v>
      </c>
      <c r="H11047" t="s">
        <v>31378</v>
      </c>
      <c r="I11047" t="s">
        <v>31386</v>
      </c>
      <c r="J11047" t="s">
        <v>38261</v>
      </c>
      <c r="K11047" t="s">
        <v>40694</v>
      </c>
      <c r="M11047" t="s">
        <v>41439</v>
      </c>
      <c r="N11047" t="s">
        <v>44905</v>
      </c>
      <c r="O11047" t="s">
        <v>44906</v>
      </c>
      <c r="P11047">
        <v>0</v>
      </c>
      <c r="Q11047">
        <v>7</v>
      </c>
      <c r="R11047" t="s">
        <v>44916</v>
      </c>
      <c r="S11047" t="s">
        <v>45313</v>
      </c>
      <c r="T11047" t="s">
        <v>46392</v>
      </c>
      <c r="U11047" t="s">
        <v>47758</v>
      </c>
      <c r="W11047" t="s">
        <v>41439</v>
      </c>
      <c r="X11047" t="s">
        <v>44917</v>
      </c>
    </row>
    <row r="11048" spans="1:24">
      <c r="A11048">
        <f>HYPERLINK("https://www.philgeps.gov.ph/GEPSNONPILOT/Tender/SplashBidNoticeAbstractUI.aspx?menuIndex=3&amp;refID=7061823&amp;Result=3","7061823")</f>
        <v>0</v>
      </c>
      <c r="B11048" t="s">
        <v>367</v>
      </c>
      <c r="C11048" t="s">
        <v>14053</v>
      </c>
      <c r="D11048" t="s">
        <v>18134</v>
      </c>
      <c r="E11048" t="s">
        <v>27769</v>
      </c>
      <c r="F11048" t="s">
        <v>31362</v>
      </c>
      <c r="G11048" t="s">
        <v>31369</v>
      </c>
      <c r="H11048" t="s">
        <v>31378</v>
      </c>
      <c r="I11048" t="s">
        <v>31386</v>
      </c>
      <c r="J11048" t="s">
        <v>38262</v>
      </c>
      <c r="K11048" t="s">
        <v>40684</v>
      </c>
      <c r="M11048" t="s">
        <v>41398</v>
      </c>
      <c r="N11048" t="s">
        <v>44905</v>
      </c>
      <c r="O11048" t="s">
        <v>44906</v>
      </c>
      <c r="P11048">
        <v>0</v>
      </c>
      <c r="Q11048">
        <v>1</v>
      </c>
      <c r="R11048" t="s">
        <v>44916</v>
      </c>
      <c r="S11048" t="s">
        <v>45313</v>
      </c>
      <c r="T11048" t="s">
        <v>46392</v>
      </c>
      <c r="U11048" t="s">
        <v>55771</v>
      </c>
      <c r="V11048" t="s">
        <v>60238</v>
      </c>
      <c r="W11048" t="s">
        <v>41398</v>
      </c>
      <c r="X11048" t="s">
        <v>44917</v>
      </c>
    </row>
    <row r="11049" spans="1:24">
      <c r="A11049">
        <f>HYPERLINK("https://www.philgeps.gov.ph/GEPSNONPILOT/Tender/SplashBidNoticeAbstractUI.aspx?menuIndex=3&amp;refID=7061740&amp;Result=3","7061740")</f>
        <v>0</v>
      </c>
      <c r="B11049" t="s">
        <v>2879</v>
      </c>
      <c r="C11049" t="s">
        <v>14054</v>
      </c>
      <c r="D11049" t="s">
        <v>18169</v>
      </c>
      <c r="E11049" t="s">
        <v>27770</v>
      </c>
      <c r="F11049" t="s">
        <v>31362</v>
      </c>
      <c r="G11049" t="s">
        <v>31370</v>
      </c>
      <c r="H11049" t="s">
        <v>15799</v>
      </c>
      <c r="I11049" t="s">
        <v>31387</v>
      </c>
      <c r="J11049" t="s">
        <v>38263</v>
      </c>
      <c r="K11049" t="s">
        <v>40697</v>
      </c>
      <c r="M11049" t="s">
        <v>44249</v>
      </c>
      <c r="N11049" t="s">
        <v>44905</v>
      </c>
      <c r="O11049" t="s">
        <v>44906</v>
      </c>
      <c r="Q11049">
        <v>8</v>
      </c>
      <c r="R11049" t="s">
        <v>44916</v>
      </c>
      <c r="S11049" t="s">
        <v>45339</v>
      </c>
      <c r="T11049" t="s">
        <v>46416</v>
      </c>
      <c r="U11049" t="s">
        <v>55772</v>
      </c>
      <c r="V11049" t="s">
        <v>60239</v>
      </c>
      <c r="W11049" t="s">
        <v>44249</v>
      </c>
      <c r="X11049" t="s">
        <v>44917</v>
      </c>
    </row>
    <row r="11050" spans="1:24">
      <c r="A11050">
        <f>HYPERLINK("https://www.philgeps.gov.ph/GEPSNONPILOT/Tender/SplashBidNoticeAbstractUI.aspx?menuIndex=3&amp;refID=7061727&amp;Result=3","7061727")</f>
        <v>0</v>
      </c>
      <c r="B11050" t="s">
        <v>81</v>
      </c>
      <c r="C11050" t="s">
        <v>14055</v>
      </c>
      <c r="D11050" t="s">
        <v>18160</v>
      </c>
      <c r="E11050" t="s">
        <v>27771</v>
      </c>
      <c r="F11050" t="s">
        <v>31364</v>
      </c>
      <c r="G11050" t="s">
        <v>31373</v>
      </c>
      <c r="H11050" t="s">
        <v>31377</v>
      </c>
      <c r="I11050" t="s">
        <v>31377</v>
      </c>
      <c r="J11050" t="s">
        <v>31969</v>
      </c>
      <c r="K11050" t="s">
        <v>40662</v>
      </c>
      <c r="M11050" t="s">
        <v>41017</v>
      </c>
      <c r="N11050" t="s">
        <v>44905</v>
      </c>
      <c r="O11050" t="s">
        <v>44906</v>
      </c>
      <c r="Q11050">
        <v>0</v>
      </c>
      <c r="R11050" t="s">
        <v>44916</v>
      </c>
      <c r="S11050" t="s">
        <v>45340</v>
      </c>
      <c r="T11050" t="s">
        <v>46403</v>
      </c>
      <c r="U11050" t="s">
        <v>55773</v>
      </c>
      <c r="W11050" t="s">
        <v>41017</v>
      </c>
      <c r="X11050" t="s">
        <v>44917</v>
      </c>
    </row>
    <row r="11051" spans="1:24">
      <c r="A11051">
        <f>HYPERLINK("https://www.philgeps.gov.ph/GEPSNONPILOT/Tender/SplashBidNoticeAbstractUI.aspx?menuIndex=3&amp;refID=7060452&amp;Result=3","7060452")</f>
        <v>0</v>
      </c>
      <c r="B11051" t="s">
        <v>3014</v>
      </c>
      <c r="C11051" t="s">
        <v>14056</v>
      </c>
      <c r="D11051" t="s">
        <v>18122</v>
      </c>
      <c r="E11051" t="s">
        <v>27772</v>
      </c>
      <c r="F11051" t="s">
        <v>31362</v>
      </c>
      <c r="G11051" t="s">
        <v>31369</v>
      </c>
      <c r="H11051" t="s">
        <v>31378</v>
      </c>
      <c r="I11051" t="s">
        <v>31386</v>
      </c>
      <c r="J11051" t="s">
        <v>38264</v>
      </c>
      <c r="K11051" t="s">
        <v>40686</v>
      </c>
      <c r="L11051" t="s">
        <v>3014</v>
      </c>
      <c r="M11051" t="s">
        <v>44245</v>
      </c>
      <c r="N11051" t="s">
        <v>44905</v>
      </c>
      <c r="O11051" t="s">
        <v>44906</v>
      </c>
      <c r="P11051">
        <v>0</v>
      </c>
      <c r="Q11051">
        <v>27</v>
      </c>
      <c r="R11051" t="s">
        <v>44916</v>
      </c>
      <c r="S11051" t="s">
        <v>45313</v>
      </c>
      <c r="T11051" t="s">
        <v>46481</v>
      </c>
      <c r="U11051" t="s">
        <v>55760</v>
      </c>
      <c r="V11051" t="s">
        <v>60240</v>
      </c>
      <c r="W11051" t="s">
        <v>44245</v>
      </c>
      <c r="X11051" t="s">
        <v>44918</v>
      </c>
    </row>
    <row r="11052" spans="1:24">
      <c r="A11052">
        <f>HYPERLINK("https://www.philgeps.gov.ph/GEPSNONPILOT/Tender/SplashBidNoticeAbstractUI.aspx?menuIndex=3&amp;refID=7061699&amp;Result=3","7061699")</f>
        <v>0</v>
      </c>
      <c r="B11052" t="s">
        <v>3018</v>
      </c>
      <c r="C11052" t="s">
        <v>14057</v>
      </c>
      <c r="D11052" t="s">
        <v>18100</v>
      </c>
      <c r="E11052" t="s">
        <v>27773</v>
      </c>
      <c r="F11052" t="s">
        <v>31362</v>
      </c>
      <c r="G11052" t="s">
        <v>31369</v>
      </c>
      <c r="H11052" t="s">
        <v>31377</v>
      </c>
      <c r="I11052" t="s">
        <v>6155</v>
      </c>
      <c r="J11052" t="s">
        <v>38265</v>
      </c>
      <c r="K11052" t="s">
        <v>40672</v>
      </c>
      <c r="M11052" t="s">
        <v>44250</v>
      </c>
      <c r="N11052" t="s">
        <v>44905</v>
      </c>
      <c r="O11052" t="s">
        <v>44906</v>
      </c>
      <c r="P11052">
        <v>0</v>
      </c>
      <c r="Q11052">
        <v>3</v>
      </c>
      <c r="R11052" t="s">
        <v>44916</v>
      </c>
      <c r="S11052" t="s">
        <v>45313</v>
      </c>
      <c r="T11052" t="s">
        <v>46499</v>
      </c>
      <c r="U11052" t="s">
        <v>55774</v>
      </c>
      <c r="W11052" t="s">
        <v>44250</v>
      </c>
      <c r="X11052" t="s">
        <v>44917</v>
      </c>
    </row>
    <row r="11053" spans="1:24">
      <c r="A11053">
        <f>HYPERLINK("https://www.philgeps.gov.ph/GEPSNONPILOT/Tender/SplashBidNoticeAbstractUI.aspx?menuIndex=3&amp;refID=7059714&amp;Result=3","7059714")</f>
        <v>0</v>
      </c>
      <c r="B11053" t="s">
        <v>1971</v>
      </c>
      <c r="C11053" t="s">
        <v>14058</v>
      </c>
      <c r="D11053" t="s">
        <v>18154</v>
      </c>
      <c r="E11053" t="s">
        <v>27774</v>
      </c>
      <c r="F11053" t="s">
        <v>31362</v>
      </c>
      <c r="G11053" t="s">
        <v>31369</v>
      </c>
      <c r="H11053" t="s">
        <v>15799</v>
      </c>
      <c r="I11053" t="s">
        <v>3815</v>
      </c>
      <c r="J11053" t="s">
        <v>38266</v>
      </c>
      <c r="K11053" t="s">
        <v>40662</v>
      </c>
      <c r="M11053" t="s">
        <v>43078</v>
      </c>
      <c r="N11053" t="s">
        <v>44905</v>
      </c>
      <c r="O11053" t="s">
        <v>44906</v>
      </c>
      <c r="P11053">
        <v>0</v>
      </c>
      <c r="Q11053">
        <v>0</v>
      </c>
      <c r="R11053" t="s">
        <v>44916</v>
      </c>
      <c r="S11053" t="s">
        <v>45313</v>
      </c>
      <c r="T11053" t="s">
        <v>46507</v>
      </c>
      <c r="U11053" t="s">
        <v>55775</v>
      </c>
      <c r="W11053" t="s">
        <v>43078</v>
      </c>
      <c r="X11053" t="s">
        <v>44918</v>
      </c>
    </row>
    <row r="11054" spans="1:24">
      <c r="A11054">
        <f>HYPERLINK("https://www.philgeps.gov.ph/GEPSNONPILOT/Tender/SplashBidNoticeAbstractUI.aspx?menuIndex=3&amp;refID=7061695&amp;Result=3","7061695")</f>
        <v>0</v>
      </c>
      <c r="B11054" t="s">
        <v>3018</v>
      </c>
      <c r="C11054" t="s">
        <v>14059</v>
      </c>
      <c r="D11054" t="s">
        <v>18100</v>
      </c>
      <c r="E11054" t="s">
        <v>27775</v>
      </c>
      <c r="F11054" t="s">
        <v>31362</v>
      </c>
      <c r="G11054" t="s">
        <v>31369</v>
      </c>
      <c r="H11054" t="s">
        <v>15799</v>
      </c>
      <c r="I11054" t="s">
        <v>31390</v>
      </c>
      <c r="J11054" t="s">
        <v>37165</v>
      </c>
      <c r="K11054" t="s">
        <v>40672</v>
      </c>
      <c r="M11054" t="s">
        <v>44250</v>
      </c>
      <c r="N11054" t="s">
        <v>44905</v>
      </c>
      <c r="O11054" t="s">
        <v>44906</v>
      </c>
      <c r="P11054">
        <v>0</v>
      </c>
      <c r="Q11054">
        <v>0</v>
      </c>
      <c r="R11054" t="s">
        <v>44916</v>
      </c>
      <c r="S11054" t="s">
        <v>45313</v>
      </c>
      <c r="T11054" t="s">
        <v>46499</v>
      </c>
      <c r="U11054" t="s">
        <v>55776</v>
      </c>
      <c r="W11054" t="s">
        <v>44250</v>
      </c>
      <c r="X11054" t="s">
        <v>44917</v>
      </c>
    </row>
    <row r="11055" spans="1:24">
      <c r="A11055">
        <f>HYPERLINK("https://www.philgeps.gov.ph/GEPSNONPILOT/Tender/SplashBidNoticeAbstractUI.aspx?menuIndex=3&amp;refID=7061658&amp;Result=3","7061658")</f>
        <v>0</v>
      </c>
      <c r="B11055" t="s">
        <v>2048</v>
      </c>
      <c r="C11055" t="s">
        <v>14060</v>
      </c>
      <c r="E11055" t="s">
        <v>27776</v>
      </c>
      <c r="F11055" t="s">
        <v>31362</v>
      </c>
      <c r="G11055" t="s">
        <v>31369</v>
      </c>
      <c r="H11055" t="s">
        <v>31379</v>
      </c>
      <c r="I11055" t="s">
        <v>31419</v>
      </c>
      <c r="J11055" t="s">
        <v>38267</v>
      </c>
      <c r="K11055" t="s">
        <v>40725</v>
      </c>
      <c r="M11055" t="s">
        <v>44251</v>
      </c>
      <c r="N11055" t="s">
        <v>44905</v>
      </c>
      <c r="O11055" t="s">
        <v>44906</v>
      </c>
      <c r="P11055">
        <v>0</v>
      </c>
      <c r="Q11055">
        <v>17</v>
      </c>
      <c r="R11055" t="s">
        <v>44916</v>
      </c>
      <c r="S11055" t="s">
        <v>45313</v>
      </c>
      <c r="T11055" t="s">
        <v>46499</v>
      </c>
      <c r="U11055" t="s">
        <v>55777</v>
      </c>
      <c r="W11055" t="s">
        <v>44251</v>
      </c>
      <c r="X11055" t="s">
        <v>44918</v>
      </c>
    </row>
    <row r="11056" spans="1:24">
      <c r="A11056">
        <f>HYPERLINK("https://www.philgeps.gov.ph/GEPSNONPILOT/Tender/SplashBidNoticeAbstractUI.aspx?menuIndex=3&amp;refID=7061311&amp;Result=3","7061311")</f>
        <v>0</v>
      </c>
      <c r="B11056" t="s">
        <v>2033</v>
      </c>
      <c r="C11056" t="s">
        <v>14061</v>
      </c>
      <c r="D11056" t="s">
        <v>18148</v>
      </c>
      <c r="E11056" t="s">
        <v>27777</v>
      </c>
      <c r="F11056" t="s">
        <v>31362</v>
      </c>
      <c r="G11056" t="s">
        <v>31369</v>
      </c>
      <c r="H11056" t="s">
        <v>31378</v>
      </c>
      <c r="I11056" t="s">
        <v>31386</v>
      </c>
      <c r="J11056" t="s">
        <v>35106</v>
      </c>
      <c r="K11056" t="s">
        <v>40887</v>
      </c>
      <c r="M11056" t="s">
        <v>43151</v>
      </c>
      <c r="N11056" t="s">
        <v>44905</v>
      </c>
      <c r="O11056" t="s">
        <v>44906</v>
      </c>
      <c r="Q11056">
        <v>1</v>
      </c>
      <c r="R11056" t="s">
        <v>44916</v>
      </c>
      <c r="S11056" t="s">
        <v>45341</v>
      </c>
      <c r="T11056" t="s">
        <v>46412</v>
      </c>
      <c r="U11056" t="s">
        <v>55750</v>
      </c>
      <c r="W11056" t="s">
        <v>43151</v>
      </c>
      <c r="X11056" t="s">
        <v>44918</v>
      </c>
    </row>
    <row r="11057" spans="1:24">
      <c r="A11057">
        <f>HYPERLINK("https://www.philgeps.gov.ph/GEPSNONPILOT/Tender/SplashBidNoticeAbstractUI.aspx?menuIndex=3&amp;refID=7060740&amp;Result=3","7060740")</f>
        <v>0</v>
      </c>
      <c r="B11057" t="s">
        <v>2130</v>
      </c>
      <c r="C11057" t="s">
        <v>14062</v>
      </c>
      <c r="D11057" t="s">
        <v>18132</v>
      </c>
      <c r="E11057" t="s">
        <v>27778</v>
      </c>
      <c r="F11057" t="s">
        <v>31362</v>
      </c>
      <c r="G11057" t="s">
        <v>31369</v>
      </c>
      <c r="H11057" t="s">
        <v>15799</v>
      </c>
      <c r="I11057" t="s">
        <v>31409</v>
      </c>
      <c r="J11057" t="s">
        <v>38268</v>
      </c>
      <c r="K11057" t="s">
        <v>40670</v>
      </c>
      <c r="M11057" t="s">
        <v>43258</v>
      </c>
      <c r="N11057" t="s">
        <v>44905</v>
      </c>
      <c r="O11057" t="s">
        <v>44906</v>
      </c>
      <c r="P11057">
        <v>0</v>
      </c>
      <c r="Q11057">
        <v>4</v>
      </c>
      <c r="R11057" t="s">
        <v>44916</v>
      </c>
      <c r="S11057" t="s">
        <v>45313</v>
      </c>
      <c r="T11057" t="s">
        <v>46418</v>
      </c>
      <c r="U11057" t="s">
        <v>55778</v>
      </c>
      <c r="V11057" t="s">
        <v>60241</v>
      </c>
      <c r="W11057" t="s">
        <v>43258</v>
      </c>
      <c r="X11057" t="s">
        <v>44918</v>
      </c>
    </row>
    <row r="11058" spans="1:24">
      <c r="A11058">
        <f>HYPERLINK("https://www.philgeps.gov.ph/GEPSNONPILOT/Tender/SplashBidNoticeAbstractUI.aspx?menuIndex=3&amp;refID=7061273&amp;Result=3","7061273")</f>
        <v>0</v>
      </c>
      <c r="B11058" t="s">
        <v>3019</v>
      </c>
      <c r="C11058" t="s">
        <v>14063</v>
      </c>
      <c r="D11058" t="s">
        <v>18125</v>
      </c>
      <c r="E11058" t="s">
        <v>18561</v>
      </c>
      <c r="F11058" t="s">
        <v>31363</v>
      </c>
      <c r="G11058" t="s">
        <v>31369</v>
      </c>
      <c r="H11058" t="s">
        <v>15799</v>
      </c>
      <c r="I11058" t="s">
        <v>3815</v>
      </c>
      <c r="J11058" t="s">
        <v>38269</v>
      </c>
      <c r="K11058" t="s">
        <v>40666</v>
      </c>
      <c r="M11058" t="s">
        <v>44252</v>
      </c>
      <c r="N11058" t="s">
        <v>44905</v>
      </c>
      <c r="O11058" t="s">
        <v>44906</v>
      </c>
      <c r="P11058">
        <v>0</v>
      </c>
      <c r="Q11058">
        <v>0</v>
      </c>
      <c r="R11058" t="s">
        <v>44916</v>
      </c>
      <c r="S11058" t="s">
        <v>45313</v>
      </c>
      <c r="T11058" t="s">
        <v>46435</v>
      </c>
      <c r="U11058" t="s">
        <v>55779</v>
      </c>
      <c r="W11058" t="s">
        <v>44252</v>
      </c>
      <c r="X11058" t="s">
        <v>44918</v>
      </c>
    </row>
    <row r="11059" spans="1:24">
      <c r="A11059">
        <f>HYPERLINK("https://www.philgeps.gov.ph/GEPSNONPILOT/Tender/SplashBidNoticeAbstractUI.aspx?menuIndex=3&amp;refID=7061729&amp;Result=3","7061729")</f>
        <v>0</v>
      </c>
      <c r="B11059" t="s">
        <v>81</v>
      </c>
      <c r="C11059" t="s">
        <v>14064</v>
      </c>
      <c r="D11059" t="s">
        <v>18160</v>
      </c>
      <c r="E11059" t="s">
        <v>27779</v>
      </c>
      <c r="F11059" t="s">
        <v>31364</v>
      </c>
      <c r="G11059" t="s">
        <v>31373</v>
      </c>
      <c r="H11059" t="s">
        <v>31377</v>
      </c>
      <c r="I11059" t="s">
        <v>31377</v>
      </c>
      <c r="J11059" t="s">
        <v>32249</v>
      </c>
      <c r="K11059" t="s">
        <v>40662</v>
      </c>
      <c r="M11059" t="s">
        <v>41017</v>
      </c>
      <c r="N11059" t="s">
        <v>44905</v>
      </c>
      <c r="O11059" t="s">
        <v>44906</v>
      </c>
      <c r="Q11059">
        <v>1</v>
      </c>
      <c r="R11059" t="s">
        <v>44916</v>
      </c>
      <c r="S11059" t="s">
        <v>45094</v>
      </c>
      <c r="T11059" t="s">
        <v>46403</v>
      </c>
      <c r="U11059" t="s">
        <v>55780</v>
      </c>
      <c r="W11059" t="s">
        <v>41017</v>
      </c>
      <c r="X11059" t="s">
        <v>44917</v>
      </c>
    </row>
    <row r="11060" spans="1:24">
      <c r="A11060">
        <f>HYPERLINK("https://www.philgeps.gov.ph/GEPSNONPILOT/Tender/SplashBidNoticeAbstractUI.aspx?menuIndex=3&amp;refID=7060089&amp;Result=3","7060089")</f>
        <v>0</v>
      </c>
      <c r="B11060" t="s">
        <v>2033</v>
      </c>
      <c r="C11060" t="s">
        <v>14065</v>
      </c>
      <c r="D11060" t="s">
        <v>18148</v>
      </c>
      <c r="E11060" t="s">
        <v>27780</v>
      </c>
      <c r="F11060" t="s">
        <v>31362</v>
      </c>
      <c r="G11060" t="s">
        <v>31369</v>
      </c>
      <c r="H11060" t="s">
        <v>31378</v>
      </c>
      <c r="I11060" t="s">
        <v>31386</v>
      </c>
      <c r="J11060" t="s">
        <v>32877</v>
      </c>
      <c r="K11060" t="s">
        <v>40678</v>
      </c>
      <c r="M11060" t="s">
        <v>43151</v>
      </c>
      <c r="N11060" t="s">
        <v>44905</v>
      </c>
      <c r="O11060" t="s">
        <v>44906</v>
      </c>
      <c r="Q11060">
        <v>4</v>
      </c>
      <c r="R11060" t="s">
        <v>44916</v>
      </c>
      <c r="S11060" t="s">
        <v>45092</v>
      </c>
      <c r="T11060" t="s">
        <v>46412</v>
      </c>
      <c r="U11060" t="s">
        <v>55750</v>
      </c>
      <c r="W11060" t="s">
        <v>43151</v>
      </c>
      <c r="X11060" t="s">
        <v>44918</v>
      </c>
    </row>
    <row r="11061" spans="1:24">
      <c r="A11061">
        <f>HYPERLINK("https://www.philgeps.gov.ph/GEPSNONPILOT/Tender/SplashBidNoticeAbstractUI.aspx?menuIndex=3&amp;refID=7060043&amp;Result=3","7060043")</f>
        <v>0</v>
      </c>
      <c r="B11061" t="s">
        <v>452</v>
      </c>
      <c r="C11061" t="s">
        <v>14066</v>
      </c>
      <c r="D11061" t="s">
        <v>18122</v>
      </c>
      <c r="E11061" t="s">
        <v>27781</v>
      </c>
      <c r="F11061" t="s">
        <v>31362</v>
      </c>
      <c r="G11061" t="s">
        <v>31369</v>
      </c>
      <c r="H11061" t="s">
        <v>31378</v>
      </c>
      <c r="I11061" t="s">
        <v>31386</v>
      </c>
      <c r="J11061" t="s">
        <v>38270</v>
      </c>
      <c r="K11061" t="s">
        <v>40694</v>
      </c>
      <c r="M11061" t="s">
        <v>41406</v>
      </c>
      <c r="N11061" t="s">
        <v>44905</v>
      </c>
      <c r="O11061" t="s">
        <v>44906</v>
      </c>
      <c r="P11061">
        <v>0</v>
      </c>
      <c r="Q11061">
        <v>7</v>
      </c>
      <c r="R11061" t="s">
        <v>44916</v>
      </c>
      <c r="S11061" t="s">
        <v>45313</v>
      </c>
      <c r="T11061" t="s">
        <v>46392</v>
      </c>
      <c r="U11061" t="s">
        <v>47758</v>
      </c>
      <c r="W11061" t="s">
        <v>41406</v>
      </c>
      <c r="X11061" t="s">
        <v>44918</v>
      </c>
    </row>
    <row r="11062" spans="1:24">
      <c r="A11062">
        <f>HYPERLINK("https://www.philgeps.gov.ph/GEPSNONPILOT/Tender/SplashBidNoticeAbstractUI.aspx?menuIndex=3&amp;refID=7061419&amp;Result=3","7061419")</f>
        <v>0</v>
      </c>
      <c r="B11062" t="s">
        <v>2033</v>
      </c>
      <c r="C11062" t="s">
        <v>14067</v>
      </c>
      <c r="D11062" t="s">
        <v>18148</v>
      </c>
      <c r="E11062" t="s">
        <v>27782</v>
      </c>
      <c r="F11062" t="s">
        <v>31362</v>
      </c>
      <c r="G11062" t="s">
        <v>31369</v>
      </c>
      <c r="H11062" t="s">
        <v>31378</v>
      </c>
      <c r="I11062" t="s">
        <v>31386</v>
      </c>
      <c r="J11062" t="s">
        <v>38271</v>
      </c>
      <c r="K11062" t="s">
        <v>40686</v>
      </c>
      <c r="M11062" t="s">
        <v>43151</v>
      </c>
      <c r="N11062" t="s">
        <v>44905</v>
      </c>
      <c r="O11062" t="s">
        <v>44906</v>
      </c>
      <c r="P11062">
        <v>0</v>
      </c>
      <c r="Q11062">
        <v>0</v>
      </c>
      <c r="R11062" t="s">
        <v>44916</v>
      </c>
      <c r="S11062" t="s">
        <v>45313</v>
      </c>
      <c r="T11062" t="s">
        <v>46412</v>
      </c>
      <c r="U11062" t="s">
        <v>55781</v>
      </c>
      <c r="W11062" t="s">
        <v>43151</v>
      </c>
      <c r="X11062" t="s">
        <v>44918</v>
      </c>
    </row>
    <row r="11063" spans="1:24">
      <c r="A11063">
        <f>HYPERLINK("https://www.philgeps.gov.ph/GEPSNONPILOT/Tender/SplashBidNoticeAbstractUI.aspx?menuIndex=3&amp;refID=7061293&amp;Result=3","7061293")</f>
        <v>0</v>
      </c>
      <c r="B11063" t="s">
        <v>3019</v>
      </c>
      <c r="C11063" t="s">
        <v>14068</v>
      </c>
      <c r="D11063" t="s">
        <v>18125</v>
      </c>
      <c r="E11063" t="s">
        <v>19989</v>
      </c>
      <c r="F11063" t="s">
        <v>31363</v>
      </c>
      <c r="G11063" t="s">
        <v>31369</v>
      </c>
      <c r="H11063" t="s">
        <v>15799</v>
      </c>
      <c r="I11063" t="s">
        <v>3815</v>
      </c>
      <c r="J11063" t="s">
        <v>38272</v>
      </c>
      <c r="K11063" t="s">
        <v>40670</v>
      </c>
      <c r="M11063" t="s">
        <v>44252</v>
      </c>
      <c r="N11063" t="s">
        <v>44905</v>
      </c>
      <c r="O11063" t="s">
        <v>44906</v>
      </c>
      <c r="P11063">
        <v>0</v>
      </c>
      <c r="Q11063">
        <v>0</v>
      </c>
      <c r="R11063" t="s">
        <v>44916</v>
      </c>
      <c r="S11063" t="s">
        <v>45313</v>
      </c>
      <c r="T11063" t="s">
        <v>46425</v>
      </c>
      <c r="U11063" t="s">
        <v>55782</v>
      </c>
      <c r="W11063" t="s">
        <v>44252</v>
      </c>
      <c r="X11063" t="s">
        <v>44918</v>
      </c>
    </row>
    <row r="11064" spans="1:24">
      <c r="A11064">
        <f>HYPERLINK("https://www.philgeps.gov.ph/GEPSNONPILOT/Tender/SplashBidNoticeAbstractUI.aspx?menuIndex=3&amp;refID=7021464-2&amp;Result=3","7021464-2")</f>
        <v>0</v>
      </c>
      <c r="B11064" t="s">
        <v>27</v>
      </c>
      <c r="C11064" t="s">
        <v>14069</v>
      </c>
      <c r="D11064" t="s">
        <v>18101</v>
      </c>
      <c r="E11064" t="s">
        <v>27783</v>
      </c>
      <c r="F11064" t="s">
        <v>31362</v>
      </c>
      <c r="G11064" t="s">
        <v>31369</v>
      </c>
      <c r="H11064" t="s">
        <v>31377</v>
      </c>
      <c r="I11064" t="s">
        <v>31377</v>
      </c>
      <c r="J11064" t="s">
        <v>31641</v>
      </c>
      <c r="K11064" t="s">
        <v>40679</v>
      </c>
      <c r="M11064" t="s">
        <v>40961</v>
      </c>
      <c r="N11064" t="s">
        <v>44905</v>
      </c>
      <c r="O11064" t="s">
        <v>44906</v>
      </c>
      <c r="P11064">
        <v>0</v>
      </c>
      <c r="Q11064">
        <v>1</v>
      </c>
      <c r="R11064" t="s">
        <v>44914</v>
      </c>
      <c r="S11064" t="s">
        <v>45202</v>
      </c>
      <c r="T11064" t="s">
        <v>46425</v>
      </c>
      <c r="U11064" t="s">
        <v>55783</v>
      </c>
      <c r="W11064" t="s">
        <v>40961</v>
      </c>
      <c r="X11064" t="s">
        <v>44915</v>
      </c>
    </row>
    <row r="11065" spans="1:24">
      <c r="A11065">
        <f>HYPERLINK("https://www.philgeps.gov.ph/GEPSNONPILOT/Tender/SplashBidNoticeAbstractUI.aspx?menuIndex=3&amp;refID=7021444-2&amp;Result=3","7021444-2")</f>
        <v>0</v>
      </c>
      <c r="B11065" t="s">
        <v>27</v>
      </c>
      <c r="C11065" t="s">
        <v>14069</v>
      </c>
      <c r="D11065" t="s">
        <v>18101</v>
      </c>
      <c r="E11065" t="s">
        <v>27784</v>
      </c>
      <c r="F11065" t="s">
        <v>31362</v>
      </c>
      <c r="G11065" t="s">
        <v>31369</v>
      </c>
      <c r="H11065" t="s">
        <v>31377</v>
      </c>
      <c r="I11065" t="s">
        <v>31377</v>
      </c>
      <c r="J11065" t="s">
        <v>31641</v>
      </c>
      <c r="K11065" t="s">
        <v>40679</v>
      </c>
      <c r="M11065" t="s">
        <v>40961</v>
      </c>
      <c r="N11065" t="s">
        <v>44905</v>
      </c>
      <c r="O11065" t="s">
        <v>44906</v>
      </c>
      <c r="P11065">
        <v>0</v>
      </c>
      <c r="Q11065">
        <v>1</v>
      </c>
      <c r="R11065" t="s">
        <v>44914</v>
      </c>
      <c r="S11065" t="s">
        <v>45202</v>
      </c>
      <c r="T11065" t="s">
        <v>46425</v>
      </c>
      <c r="U11065" t="s">
        <v>55784</v>
      </c>
      <c r="W11065" t="s">
        <v>40961</v>
      </c>
      <c r="X11065" t="s">
        <v>44915</v>
      </c>
    </row>
    <row r="11066" spans="1:24">
      <c r="A11066">
        <f>HYPERLINK("https://www.philgeps.gov.ph/GEPSNONPILOT/Tender/SplashBidNoticeAbstractUI.aspx?menuIndex=3&amp;refID=7061732&amp;Result=3","7061732")</f>
        <v>0</v>
      </c>
      <c r="B11066" t="s">
        <v>81</v>
      </c>
      <c r="C11066" t="s">
        <v>14070</v>
      </c>
      <c r="D11066" t="s">
        <v>18160</v>
      </c>
      <c r="E11066" t="s">
        <v>27785</v>
      </c>
      <c r="F11066" t="s">
        <v>31364</v>
      </c>
      <c r="G11066" t="s">
        <v>31373</v>
      </c>
      <c r="H11066" t="s">
        <v>31377</v>
      </c>
      <c r="I11066" t="s">
        <v>31377</v>
      </c>
      <c r="J11066" t="s">
        <v>33789</v>
      </c>
      <c r="K11066" t="s">
        <v>40662</v>
      </c>
      <c r="M11066" t="s">
        <v>41017</v>
      </c>
      <c r="N11066" t="s">
        <v>44905</v>
      </c>
      <c r="O11066" t="s">
        <v>44906</v>
      </c>
      <c r="Q11066">
        <v>0</v>
      </c>
      <c r="R11066" t="s">
        <v>44916</v>
      </c>
      <c r="S11066" t="s">
        <v>45342</v>
      </c>
      <c r="T11066" t="s">
        <v>46403</v>
      </c>
      <c r="U11066" t="s">
        <v>55785</v>
      </c>
      <c r="W11066" t="s">
        <v>41017</v>
      </c>
      <c r="X11066" t="s">
        <v>44917</v>
      </c>
    </row>
    <row r="11067" spans="1:24">
      <c r="A11067">
        <f>HYPERLINK("https://www.philgeps.gov.ph/GEPSNONPILOT/Tender/SplashBidNoticeAbstractUI.aspx?menuIndex=3&amp;refID=7072257&amp;Result=3","7072257")</f>
        <v>0</v>
      </c>
      <c r="B11067" t="s">
        <v>2754</v>
      </c>
      <c r="C11067" t="s">
        <v>14071</v>
      </c>
      <c r="D11067" t="s">
        <v>18108</v>
      </c>
      <c r="E11067" t="s">
        <v>27786</v>
      </c>
      <c r="F11067" t="s">
        <v>31362</v>
      </c>
      <c r="G11067" t="s">
        <v>31369</v>
      </c>
      <c r="H11067" t="s">
        <v>31378</v>
      </c>
      <c r="I11067" t="s">
        <v>31386</v>
      </c>
      <c r="J11067" t="s">
        <v>38273</v>
      </c>
      <c r="K11067" t="s">
        <v>40694</v>
      </c>
      <c r="M11067" t="s">
        <v>43945</v>
      </c>
      <c r="N11067" t="s">
        <v>44905</v>
      </c>
      <c r="O11067" t="s">
        <v>44906</v>
      </c>
      <c r="P11067">
        <v>0</v>
      </c>
      <c r="Q11067">
        <v>129</v>
      </c>
      <c r="R11067" t="s">
        <v>44913</v>
      </c>
      <c r="S11067" t="s">
        <v>45170</v>
      </c>
      <c r="T11067" t="s">
        <v>46479</v>
      </c>
      <c r="U11067" t="s">
        <v>55786</v>
      </c>
      <c r="W11067" t="s">
        <v>43945</v>
      </c>
      <c r="X11067" t="s">
        <v>44914</v>
      </c>
    </row>
    <row r="11068" spans="1:24">
      <c r="A11068">
        <f>HYPERLINK("https://www.philgeps.gov.ph/GEPSNONPILOT/Tender/SplashBidNoticeAbstractUI.aspx?menuIndex=3&amp;refID=7072251&amp;Result=3","7072251")</f>
        <v>0</v>
      </c>
      <c r="B11068" t="s">
        <v>2754</v>
      </c>
      <c r="C11068" t="s">
        <v>14072</v>
      </c>
      <c r="D11068" t="s">
        <v>18108</v>
      </c>
      <c r="E11068" t="s">
        <v>27787</v>
      </c>
      <c r="F11068" t="s">
        <v>31362</v>
      </c>
      <c r="G11068" t="s">
        <v>31369</v>
      </c>
      <c r="H11068" t="s">
        <v>31378</v>
      </c>
      <c r="I11068" t="s">
        <v>31386</v>
      </c>
      <c r="J11068" t="s">
        <v>38274</v>
      </c>
      <c r="K11068" t="s">
        <v>40694</v>
      </c>
      <c r="M11068" t="s">
        <v>43945</v>
      </c>
      <c r="N11068" t="s">
        <v>44905</v>
      </c>
      <c r="O11068" t="s">
        <v>44906</v>
      </c>
      <c r="P11068">
        <v>0</v>
      </c>
      <c r="Q11068">
        <v>131</v>
      </c>
      <c r="R11068" t="s">
        <v>44913</v>
      </c>
      <c r="S11068" t="s">
        <v>45170</v>
      </c>
      <c r="T11068" t="s">
        <v>46479</v>
      </c>
      <c r="U11068" t="s">
        <v>54571</v>
      </c>
      <c r="W11068" t="s">
        <v>43945</v>
      </c>
      <c r="X11068" t="s">
        <v>44914</v>
      </c>
    </row>
    <row r="11069" spans="1:24">
      <c r="A11069">
        <f>HYPERLINK("https://www.philgeps.gov.ph/GEPSNONPILOT/Tender/SplashBidNoticeAbstractUI.aspx?menuIndex=3&amp;refID=7059912&amp;Result=3","7059912")</f>
        <v>0</v>
      </c>
      <c r="B11069" t="s">
        <v>1824</v>
      </c>
      <c r="C11069" t="s">
        <v>14073</v>
      </c>
      <c r="D11069" t="s">
        <v>18101</v>
      </c>
      <c r="E11069" t="s">
        <v>27788</v>
      </c>
      <c r="F11069" t="s">
        <v>31362</v>
      </c>
      <c r="G11069" t="s">
        <v>31369</v>
      </c>
      <c r="H11069" t="s">
        <v>31378</v>
      </c>
      <c r="I11069" t="s">
        <v>31386</v>
      </c>
      <c r="J11069" t="s">
        <v>38244</v>
      </c>
      <c r="K11069" t="s">
        <v>40678</v>
      </c>
      <c r="M11069" t="s">
        <v>42908</v>
      </c>
      <c r="N11069" t="s">
        <v>44905</v>
      </c>
      <c r="O11069" t="s">
        <v>44906</v>
      </c>
      <c r="P11069">
        <v>0</v>
      </c>
      <c r="Q11069">
        <v>5</v>
      </c>
      <c r="R11069" t="s">
        <v>44916</v>
      </c>
      <c r="S11069" t="s">
        <v>45313</v>
      </c>
      <c r="T11069" t="s">
        <v>46481</v>
      </c>
      <c r="U11069" t="s">
        <v>55787</v>
      </c>
      <c r="W11069" t="s">
        <v>42908</v>
      </c>
      <c r="X11069" t="s">
        <v>44918</v>
      </c>
    </row>
    <row r="11070" spans="1:24">
      <c r="A11070">
        <f>HYPERLINK("https://www.philgeps.gov.ph/GEPSNONPILOT/Tender/SplashBidNoticeAbstractUI.aspx?menuIndex=3&amp;refID=7021478-2&amp;Result=3","7021478-2")</f>
        <v>0</v>
      </c>
      <c r="B11070" t="s">
        <v>27</v>
      </c>
      <c r="C11070" t="s">
        <v>14074</v>
      </c>
      <c r="D11070" t="s">
        <v>18101</v>
      </c>
      <c r="E11070" t="s">
        <v>27789</v>
      </c>
      <c r="F11070" t="s">
        <v>31362</v>
      </c>
      <c r="G11070" t="s">
        <v>31369</v>
      </c>
      <c r="H11070" t="s">
        <v>31377</v>
      </c>
      <c r="I11070" t="s">
        <v>31377</v>
      </c>
      <c r="J11070" t="s">
        <v>31693</v>
      </c>
      <c r="K11070" t="s">
        <v>40746</v>
      </c>
      <c r="M11070" t="s">
        <v>40961</v>
      </c>
      <c r="N11070" t="s">
        <v>44905</v>
      </c>
      <c r="O11070" t="s">
        <v>44906</v>
      </c>
      <c r="P11070">
        <v>0</v>
      </c>
      <c r="Q11070">
        <v>1</v>
      </c>
      <c r="R11070" t="s">
        <v>44914</v>
      </c>
      <c r="S11070" t="s">
        <v>45202</v>
      </c>
      <c r="T11070" t="s">
        <v>46425</v>
      </c>
      <c r="U11070" t="s">
        <v>55784</v>
      </c>
      <c r="W11070" t="s">
        <v>40961</v>
      </c>
      <c r="X11070" t="s">
        <v>44915</v>
      </c>
    </row>
    <row r="11071" spans="1:24">
      <c r="A11071">
        <f>HYPERLINK("https://www.philgeps.gov.ph/GEPSNONPILOT/Tender/SplashBidNoticeAbstractUI.aspx?menuIndex=3&amp;refID=7072245&amp;Result=3","7072245")</f>
        <v>0</v>
      </c>
      <c r="B11071" t="s">
        <v>2754</v>
      </c>
      <c r="C11071" t="s">
        <v>14075</v>
      </c>
      <c r="D11071" t="s">
        <v>18108</v>
      </c>
      <c r="E11071" t="s">
        <v>27790</v>
      </c>
      <c r="F11071" t="s">
        <v>31362</v>
      </c>
      <c r="G11071" t="s">
        <v>31369</v>
      </c>
      <c r="H11071" t="s">
        <v>31378</v>
      </c>
      <c r="I11071" t="s">
        <v>31386</v>
      </c>
      <c r="J11071" t="s">
        <v>38275</v>
      </c>
      <c r="K11071" t="s">
        <v>40679</v>
      </c>
      <c r="M11071" t="s">
        <v>43945</v>
      </c>
      <c r="N11071" t="s">
        <v>44905</v>
      </c>
      <c r="O11071" t="s">
        <v>44906</v>
      </c>
      <c r="P11071">
        <v>0</v>
      </c>
      <c r="Q11071">
        <v>93</v>
      </c>
      <c r="R11071" t="s">
        <v>44913</v>
      </c>
      <c r="S11071" t="s">
        <v>45170</v>
      </c>
      <c r="T11071" t="s">
        <v>46479</v>
      </c>
      <c r="U11071" t="s">
        <v>54571</v>
      </c>
      <c r="W11071" t="s">
        <v>43945</v>
      </c>
      <c r="X11071" t="s">
        <v>44914</v>
      </c>
    </row>
    <row r="11072" spans="1:24">
      <c r="A11072">
        <f>HYPERLINK("https://www.philgeps.gov.ph/GEPSNONPILOT/Tender/SplashBidNoticeAbstractUI.aspx?menuIndex=3&amp;refID=7072207&amp;Result=3","7072207")</f>
        <v>0</v>
      </c>
      <c r="B11072" t="s">
        <v>3020</v>
      </c>
      <c r="C11072" t="s">
        <v>14076</v>
      </c>
      <c r="D11072" t="s">
        <v>18152</v>
      </c>
      <c r="E11072" t="s">
        <v>27791</v>
      </c>
      <c r="F11072" t="s">
        <v>31362</v>
      </c>
      <c r="G11072" t="s">
        <v>31369</v>
      </c>
      <c r="H11072" t="s">
        <v>15799</v>
      </c>
      <c r="I11072" t="s">
        <v>31393</v>
      </c>
      <c r="J11072" t="s">
        <v>32739</v>
      </c>
      <c r="K11072" t="s">
        <v>40670</v>
      </c>
      <c r="M11072" t="s">
        <v>44253</v>
      </c>
      <c r="N11072" t="s">
        <v>44905</v>
      </c>
      <c r="O11072" t="s">
        <v>44906</v>
      </c>
      <c r="P11072">
        <v>0</v>
      </c>
      <c r="Q11072">
        <v>3</v>
      </c>
      <c r="R11072" t="s">
        <v>44913</v>
      </c>
      <c r="S11072" t="s">
        <v>45170</v>
      </c>
      <c r="T11072" t="s">
        <v>46403</v>
      </c>
      <c r="U11072" t="s">
        <v>55788</v>
      </c>
      <c r="W11072" t="s">
        <v>44253</v>
      </c>
      <c r="X11072" t="s">
        <v>44914</v>
      </c>
    </row>
    <row r="11073" spans="1:24">
      <c r="A11073">
        <f>HYPERLINK("https://www.philgeps.gov.ph/GEPSNONPILOT/Tender/SplashBidNoticeAbstractUI.aspx?menuIndex=3&amp;refID=7072199&amp;Result=3","7072199")</f>
        <v>0</v>
      </c>
      <c r="B11073" t="s">
        <v>873</v>
      </c>
      <c r="C11073" t="s">
        <v>14077</v>
      </c>
      <c r="D11073" t="s">
        <v>18116</v>
      </c>
      <c r="E11073" t="s">
        <v>27792</v>
      </c>
      <c r="F11073" t="s">
        <v>31362</v>
      </c>
      <c r="G11073" t="s">
        <v>31369</v>
      </c>
      <c r="H11073" t="s">
        <v>31378</v>
      </c>
      <c r="I11073" t="s">
        <v>31386</v>
      </c>
      <c r="J11073" t="s">
        <v>38276</v>
      </c>
      <c r="K11073" t="s">
        <v>40678</v>
      </c>
      <c r="L11073" t="s">
        <v>873</v>
      </c>
      <c r="M11073" t="s">
        <v>41849</v>
      </c>
      <c r="N11073" t="s">
        <v>44905</v>
      </c>
      <c r="O11073" t="s">
        <v>44906</v>
      </c>
      <c r="P11073">
        <v>0</v>
      </c>
      <c r="Q11073">
        <v>5</v>
      </c>
      <c r="R11073" t="s">
        <v>44913</v>
      </c>
      <c r="S11073" t="s">
        <v>45170</v>
      </c>
      <c r="T11073" t="s">
        <v>46479</v>
      </c>
      <c r="U11073" t="s">
        <v>54583</v>
      </c>
      <c r="V11073" t="s">
        <v>60242</v>
      </c>
      <c r="W11073" t="s">
        <v>41849</v>
      </c>
      <c r="X11073" t="s">
        <v>44914</v>
      </c>
    </row>
    <row r="11074" spans="1:24">
      <c r="A11074">
        <f>HYPERLINK("https://www.philgeps.gov.ph/GEPSNONPILOT/Tender/SplashBidNoticeAbstractUI.aspx?menuIndex=3&amp;refID=7072255&amp;Result=3","7072255")</f>
        <v>0</v>
      </c>
      <c r="B11074" t="s">
        <v>2753</v>
      </c>
      <c r="C11074" t="s">
        <v>14078</v>
      </c>
      <c r="D11074" t="s">
        <v>18104</v>
      </c>
      <c r="E11074" t="s">
        <v>27793</v>
      </c>
      <c r="F11074" t="s">
        <v>31362</v>
      </c>
      <c r="G11074" t="s">
        <v>31369</v>
      </c>
      <c r="H11074" t="s">
        <v>15799</v>
      </c>
      <c r="I11074" t="s">
        <v>7719</v>
      </c>
      <c r="J11074" t="s">
        <v>32439</v>
      </c>
      <c r="K11074" t="s">
        <v>40665</v>
      </c>
      <c r="M11074" t="s">
        <v>43943</v>
      </c>
      <c r="N11074" t="s">
        <v>44905</v>
      </c>
      <c r="O11074" t="s">
        <v>44906</v>
      </c>
      <c r="P11074">
        <v>0</v>
      </c>
      <c r="Q11074">
        <v>6</v>
      </c>
      <c r="R11074" t="s">
        <v>44913</v>
      </c>
      <c r="S11074" t="s">
        <v>45170</v>
      </c>
      <c r="T11074" t="s">
        <v>46470</v>
      </c>
      <c r="U11074" t="s">
        <v>55789</v>
      </c>
      <c r="V11074" t="s">
        <v>60034</v>
      </c>
      <c r="W11074" t="s">
        <v>43943</v>
      </c>
      <c r="X11074" t="s">
        <v>44914</v>
      </c>
    </row>
    <row r="11075" spans="1:24">
      <c r="A11075">
        <f>HYPERLINK("https://www.philgeps.gov.ph/GEPSNONPILOT/Tender/SplashBidNoticeAbstractUI.aspx?menuIndex=3&amp;refID=7072249&amp;Result=3","7072249")</f>
        <v>0</v>
      </c>
      <c r="B11075" t="s">
        <v>3021</v>
      </c>
      <c r="C11075" t="s">
        <v>14079</v>
      </c>
      <c r="D11075" t="s">
        <v>18127</v>
      </c>
      <c r="E11075" t="s">
        <v>27794</v>
      </c>
      <c r="F11075" t="s">
        <v>31362</v>
      </c>
      <c r="G11075" t="s">
        <v>31369</v>
      </c>
      <c r="H11075" t="s">
        <v>15799</v>
      </c>
      <c r="I11075" t="s">
        <v>7090</v>
      </c>
      <c r="J11075" t="s">
        <v>38277</v>
      </c>
      <c r="K11075" t="s">
        <v>40662</v>
      </c>
      <c r="M11075" t="s">
        <v>44254</v>
      </c>
      <c r="N11075" t="s">
        <v>44905</v>
      </c>
      <c r="O11075" t="s">
        <v>44906</v>
      </c>
      <c r="P11075">
        <v>0</v>
      </c>
      <c r="Q11075">
        <v>12</v>
      </c>
      <c r="R11075" t="s">
        <v>44913</v>
      </c>
      <c r="S11075" t="s">
        <v>45170</v>
      </c>
      <c r="T11075" t="s">
        <v>46704</v>
      </c>
      <c r="U11075" t="s">
        <v>55790</v>
      </c>
      <c r="W11075" t="s">
        <v>44254</v>
      </c>
      <c r="X11075" t="s">
        <v>44914</v>
      </c>
    </row>
    <row r="11076" spans="1:24">
      <c r="A11076">
        <f>HYPERLINK("https://www.philgeps.gov.ph/GEPSNONPILOT/Tender/SplashBidNoticeAbstractUI.aspx?menuIndex=3&amp;refID=7072209&amp;Result=3","7072209")</f>
        <v>0</v>
      </c>
      <c r="B11076" t="s">
        <v>2753</v>
      </c>
      <c r="C11076" t="s">
        <v>13317</v>
      </c>
      <c r="D11076" t="s">
        <v>18104</v>
      </c>
      <c r="E11076" t="s">
        <v>27795</v>
      </c>
      <c r="F11076" t="s">
        <v>31362</v>
      </c>
      <c r="G11076" t="s">
        <v>31369</v>
      </c>
      <c r="H11076" t="s">
        <v>15799</v>
      </c>
      <c r="I11076" t="s">
        <v>6373</v>
      </c>
      <c r="J11076" t="s">
        <v>38278</v>
      </c>
      <c r="K11076" t="s">
        <v>40681</v>
      </c>
      <c r="M11076" t="s">
        <v>43943</v>
      </c>
      <c r="N11076" t="s">
        <v>44905</v>
      </c>
      <c r="O11076" t="s">
        <v>44906</v>
      </c>
      <c r="P11076">
        <v>0</v>
      </c>
      <c r="Q11076">
        <v>5</v>
      </c>
      <c r="R11076" t="s">
        <v>44913</v>
      </c>
      <c r="S11076" t="s">
        <v>45170</v>
      </c>
      <c r="T11076" t="s">
        <v>46470</v>
      </c>
      <c r="U11076" t="s">
        <v>55791</v>
      </c>
      <c r="V11076" t="s">
        <v>60034</v>
      </c>
      <c r="W11076" t="s">
        <v>43943</v>
      </c>
      <c r="X11076" t="s">
        <v>44914</v>
      </c>
    </row>
    <row r="11077" spans="1:24">
      <c r="A11077">
        <f>HYPERLINK("https://www.philgeps.gov.ph/GEPSNONPILOT/Tender/SplashBidNoticeAbstractUI.aspx?menuIndex=3&amp;refID=7072189&amp;Result=3","7072189")</f>
        <v>0</v>
      </c>
      <c r="B11077" t="s">
        <v>2741</v>
      </c>
      <c r="C11077" t="s">
        <v>14080</v>
      </c>
      <c r="D11077" t="s">
        <v>18177</v>
      </c>
      <c r="E11077" t="s">
        <v>27796</v>
      </c>
      <c r="F11077" t="s">
        <v>31362</v>
      </c>
      <c r="G11077" t="s">
        <v>31369</v>
      </c>
      <c r="H11077" t="s">
        <v>15799</v>
      </c>
      <c r="I11077" t="s">
        <v>31422</v>
      </c>
      <c r="J11077" t="s">
        <v>38279</v>
      </c>
      <c r="K11077" t="s">
        <v>40665</v>
      </c>
      <c r="M11077" t="s">
        <v>43929</v>
      </c>
      <c r="N11077" t="s">
        <v>44905</v>
      </c>
      <c r="O11077" t="s">
        <v>44906</v>
      </c>
      <c r="P11077">
        <v>0</v>
      </c>
      <c r="Q11077">
        <v>1</v>
      </c>
      <c r="R11077" t="s">
        <v>44913</v>
      </c>
      <c r="S11077" t="s">
        <v>45170</v>
      </c>
      <c r="T11077" t="s">
        <v>46671</v>
      </c>
      <c r="U11077" t="s">
        <v>55792</v>
      </c>
      <c r="W11077" t="s">
        <v>43929</v>
      </c>
      <c r="X11077" t="s">
        <v>44914</v>
      </c>
    </row>
    <row r="11078" spans="1:24">
      <c r="A11078">
        <f>HYPERLINK("https://www.philgeps.gov.ph/GEPSNONPILOT/Tender/SplashBidNoticeAbstractUI.aspx?menuIndex=3&amp;refID=7072206&amp;Result=3","7072206")</f>
        <v>0</v>
      </c>
      <c r="B11078" t="s">
        <v>873</v>
      </c>
      <c r="C11078" t="s">
        <v>14081</v>
      </c>
      <c r="D11078" t="s">
        <v>18116</v>
      </c>
      <c r="E11078" t="s">
        <v>27797</v>
      </c>
      <c r="F11078" t="s">
        <v>31362</v>
      </c>
      <c r="G11078" t="s">
        <v>31369</v>
      </c>
      <c r="H11078" t="s">
        <v>31378</v>
      </c>
      <c r="I11078" t="s">
        <v>31386</v>
      </c>
      <c r="J11078" t="s">
        <v>38280</v>
      </c>
      <c r="K11078" t="s">
        <v>40678</v>
      </c>
      <c r="L11078" t="s">
        <v>873</v>
      </c>
      <c r="M11078" t="s">
        <v>41849</v>
      </c>
      <c r="N11078" t="s">
        <v>44905</v>
      </c>
      <c r="O11078" t="s">
        <v>44906</v>
      </c>
      <c r="P11078">
        <v>0</v>
      </c>
      <c r="Q11078">
        <v>3</v>
      </c>
      <c r="R11078" t="s">
        <v>44913</v>
      </c>
      <c r="S11078" t="s">
        <v>45170</v>
      </c>
      <c r="T11078" t="s">
        <v>46479</v>
      </c>
      <c r="U11078" t="s">
        <v>54583</v>
      </c>
      <c r="V11078" t="s">
        <v>60243</v>
      </c>
      <c r="W11078" t="s">
        <v>41849</v>
      </c>
      <c r="X11078" t="s">
        <v>44914</v>
      </c>
    </row>
    <row r="11079" spans="1:24">
      <c r="A11079">
        <f>HYPERLINK("https://www.philgeps.gov.ph/GEPSNONPILOT/Tender/SplashBidNoticeAbstractUI.aspx?menuIndex=3&amp;refID=7072135&amp;Result=3","7072135")</f>
        <v>0</v>
      </c>
      <c r="B11079" t="s">
        <v>3022</v>
      </c>
      <c r="C11079" t="s">
        <v>14082</v>
      </c>
      <c r="D11079" t="s">
        <v>18108</v>
      </c>
      <c r="E11079" t="s">
        <v>27798</v>
      </c>
      <c r="F11079" t="s">
        <v>31362</v>
      </c>
      <c r="G11079" t="s">
        <v>31369</v>
      </c>
      <c r="H11079" t="s">
        <v>31378</v>
      </c>
      <c r="I11079" t="s">
        <v>31386</v>
      </c>
      <c r="J11079" t="s">
        <v>38281</v>
      </c>
      <c r="K11079" t="s">
        <v>40807</v>
      </c>
      <c r="M11079" t="s">
        <v>44255</v>
      </c>
      <c r="N11079" t="s">
        <v>44905</v>
      </c>
      <c r="O11079" t="s">
        <v>44906</v>
      </c>
      <c r="P11079">
        <v>0</v>
      </c>
      <c r="Q11079">
        <v>4</v>
      </c>
      <c r="R11079" t="s">
        <v>44913</v>
      </c>
      <c r="S11079" t="s">
        <v>45170</v>
      </c>
      <c r="T11079" t="s">
        <v>46464</v>
      </c>
      <c r="U11079" t="s">
        <v>55793</v>
      </c>
      <c r="W11079" t="s">
        <v>44255</v>
      </c>
      <c r="X11079" t="s">
        <v>44914</v>
      </c>
    </row>
    <row r="11080" spans="1:24">
      <c r="A11080">
        <f>HYPERLINK("https://www.philgeps.gov.ph/GEPSNONPILOT/Tender/SplashBidNoticeAbstractUI.aspx?menuIndex=3&amp;refID=7072123&amp;Result=3","7072123")</f>
        <v>0</v>
      </c>
      <c r="B11080" t="s">
        <v>124</v>
      </c>
      <c r="C11080" t="s">
        <v>14083</v>
      </c>
      <c r="D11080" t="s">
        <v>18146</v>
      </c>
      <c r="E11080" t="s">
        <v>27799</v>
      </c>
      <c r="F11080" t="s">
        <v>31362</v>
      </c>
      <c r="G11080" t="s">
        <v>31369</v>
      </c>
      <c r="H11080" t="s">
        <v>15799</v>
      </c>
      <c r="I11080" t="s">
        <v>31466</v>
      </c>
      <c r="J11080" t="s">
        <v>31611</v>
      </c>
      <c r="K11080" t="s">
        <v>40725</v>
      </c>
      <c r="M11080" t="s">
        <v>42570</v>
      </c>
      <c r="N11080" t="s">
        <v>44905</v>
      </c>
      <c r="O11080" t="s">
        <v>44906</v>
      </c>
      <c r="P11080">
        <v>0</v>
      </c>
      <c r="Q11080">
        <v>5</v>
      </c>
      <c r="R11080" t="s">
        <v>44913</v>
      </c>
      <c r="S11080" t="s">
        <v>45170</v>
      </c>
      <c r="T11080" t="s">
        <v>46671</v>
      </c>
      <c r="U11080" t="s">
        <v>55794</v>
      </c>
      <c r="V11080" t="s">
        <v>60244</v>
      </c>
      <c r="W11080" t="s">
        <v>42570</v>
      </c>
      <c r="X11080" t="s">
        <v>44914</v>
      </c>
    </row>
    <row r="11081" spans="1:24">
      <c r="A11081">
        <f>HYPERLINK("https://www.philgeps.gov.ph/GEPSNONPILOT/Tender/SplashBidNoticeAbstractUI.aspx?menuIndex=3&amp;refID=7072196&amp;Result=3","7072196")</f>
        <v>0</v>
      </c>
      <c r="B11081" t="s">
        <v>2315</v>
      </c>
      <c r="C11081" t="s">
        <v>14084</v>
      </c>
      <c r="D11081" t="s">
        <v>18194</v>
      </c>
      <c r="E11081" t="s">
        <v>27800</v>
      </c>
      <c r="F11081" t="s">
        <v>31362</v>
      </c>
      <c r="G11081" t="s">
        <v>31368</v>
      </c>
      <c r="H11081" t="s">
        <v>31379</v>
      </c>
      <c r="I11081" t="s">
        <v>31436</v>
      </c>
      <c r="J11081" t="s">
        <v>38282</v>
      </c>
      <c r="K11081" t="s">
        <v>40699</v>
      </c>
      <c r="M11081" t="s">
        <v>43455</v>
      </c>
      <c r="N11081" t="s">
        <v>44905</v>
      </c>
      <c r="O11081" t="s">
        <v>44906</v>
      </c>
      <c r="P11081">
        <v>0</v>
      </c>
      <c r="Q11081">
        <v>2</v>
      </c>
      <c r="R11081" t="s">
        <v>44913</v>
      </c>
      <c r="S11081" t="s">
        <v>45170</v>
      </c>
      <c r="T11081" t="s">
        <v>46454</v>
      </c>
      <c r="U11081" t="s">
        <v>55795</v>
      </c>
      <c r="W11081" t="s">
        <v>43455</v>
      </c>
      <c r="X11081" t="s">
        <v>44914</v>
      </c>
    </row>
    <row r="11082" spans="1:24">
      <c r="A11082">
        <f>HYPERLINK("https://www.philgeps.gov.ph/GEPSNONPILOT/Tender/SplashBidNoticeAbstractUI.aspx?menuIndex=3&amp;refID=7072192&amp;Result=3","7072192")</f>
        <v>0</v>
      </c>
      <c r="B11082" t="s">
        <v>873</v>
      </c>
      <c r="C11082" t="s">
        <v>14085</v>
      </c>
      <c r="D11082" t="s">
        <v>18116</v>
      </c>
      <c r="E11082" t="s">
        <v>27801</v>
      </c>
      <c r="F11082" t="s">
        <v>31362</v>
      </c>
      <c r="G11082" t="s">
        <v>31369</v>
      </c>
      <c r="H11082" t="s">
        <v>31378</v>
      </c>
      <c r="I11082" t="s">
        <v>31386</v>
      </c>
      <c r="J11082" t="s">
        <v>38283</v>
      </c>
      <c r="K11082" t="s">
        <v>40678</v>
      </c>
      <c r="L11082" t="s">
        <v>873</v>
      </c>
      <c r="M11082" t="s">
        <v>41849</v>
      </c>
      <c r="N11082" t="s">
        <v>44905</v>
      </c>
      <c r="O11082" t="s">
        <v>44906</v>
      </c>
      <c r="P11082">
        <v>0</v>
      </c>
      <c r="Q11082">
        <v>3</v>
      </c>
      <c r="R11082" t="s">
        <v>44913</v>
      </c>
      <c r="S11082" t="s">
        <v>45170</v>
      </c>
      <c r="T11082" t="s">
        <v>46479</v>
      </c>
      <c r="U11082" t="s">
        <v>54583</v>
      </c>
      <c r="V11082" t="s">
        <v>60245</v>
      </c>
      <c r="W11082" t="s">
        <v>41849</v>
      </c>
      <c r="X11082" t="s">
        <v>44914</v>
      </c>
    </row>
    <row r="11083" spans="1:24">
      <c r="A11083">
        <f>HYPERLINK("https://www.philgeps.gov.ph/GEPSNONPILOT/Tender/SplashBidNoticeAbstractUI.aspx?menuIndex=3&amp;refID=7072109&amp;Result=3","7072109")</f>
        <v>0</v>
      </c>
      <c r="B11083" t="s">
        <v>3023</v>
      </c>
      <c r="C11083" t="s">
        <v>14086</v>
      </c>
      <c r="D11083" t="s">
        <v>18131</v>
      </c>
      <c r="E11083" t="s">
        <v>27802</v>
      </c>
      <c r="F11083" t="s">
        <v>31362</v>
      </c>
      <c r="G11083" t="s">
        <v>31369</v>
      </c>
      <c r="H11083" t="s">
        <v>31378</v>
      </c>
      <c r="I11083" t="s">
        <v>31386</v>
      </c>
      <c r="J11083" t="s">
        <v>38284</v>
      </c>
      <c r="K11083" t="s">
        <v>40675</v>
      </c>
      <c r="M11083" t="s">
        <v>44256</v>
      </c>
      <c r="N11083" t="s">
        <v>44905</v>
      </c>
      <c r="O11083" t="s">
        <v>44906</v>
      </c>
      <c r="P11083">
        <v>0</v>
      </c>
      <c r="Q11083">
        <v>3</v>
      </c>
      <c r="R11083" t="s">
        <v>44913</v>
      </c>
      <c r="S11083" t="s">
        <v>45170</v>
      </c>
      <c r="T11083" t="s">
        <v>46414</v>
      </c>
      <c r="U11083" t="s">
        <v>55796</v>
      </c>
      <c r="W11083" t="s">
        <v>44256</v>
      </c>
      <c r="X11083" t="s">
        <v>44914</v>
      </c>
    </row>
    <row r="11084" spans="1:24">
      <c r="A11084">
        <f>HYPERLINK("https://www.philgeps.gov.ph/GEPSNONPILOT/Tender/SplashBidNoticeAbstractUI.aspx?menuIndex=3&amp;refID=7060516&amp;Result=3","7060516")</f>
        <v>0</v>
      </c>
      <c r="B11084" t="s">
        <v>3014</v>
      </c>
      <c r="C11084" t="s">
        <v>14087</v>
      </c>
      <c r="D11084" t="s">
        <v>18122</v>
      </c>
      <c r="E11084" t="s">
        <v>27803</v>
      </c>
      <c r="F11084" t="s">
        <v>31362</v>
      </c>
      <c r="G11084" t="s">
        <v>31369</v>
      </c>
      <c r="H11084" t="s">
        <v>31378</v>
      </c>
      <c r="I11084" t="s">
        <v>31386</v>
      </c>
      <c r="J11084" t="s">
        <v>38285</v>
      </c>
      <c r="K11084" t="s">
        <v>40686</v>
      </c>
      <c r="L11084" t="s">
        <v>3014</v>
      </c>
      <c r="M11084" t="s">
        <v>44245</v>
      </c>
      <c r="N11084" t="s">
        <v>44905</v>
      </c>
      <c r="O11084" t="s">
        <v>44906</v>
      </c>
      <c r="P11084">
        <v>0</v>
      </c>
      <c r="Q11084">
        <v>29</v>
      </c>
      <c r="R11084" t="s">
        <v>44916</v>
      </c>
      <c r="S11084" t="s">
        <v>45313</v>
      </c>
      <c r="T11084" t="s">
        <v>46481</v>
      </c>
      <c r="U11084" t="s">
        <v>55760</v>
      </c>
      <c r="W11084" t="s">
        <v>44245</v>
      </c>
      <c r="X11084" t="s">
        <v>44918</v>
      </c>
    </row>
    <row r="11085" spans="1:24">
      <c r="A11085">
        <f>HYPERLINK("https://www.philgeps.gov.ph/GEPSNONPILOT/Tender/SplashBidNoticeAbstractUI.aspx?menuIndex=3&amp;refID=7072018&amp;Result=3","7072018")</f>
        <v>0</v>
      </c>
      <c r="B11085" t="s">
        <v>2690</v>
      </c>
      <c r="C11085" t="s">
        <v>14088</v>
      </c>
      <c r="D11085" t="s">
        <v>18136</v>
      </c>
      <c r="E11085" t="s">
        <v>27804</v>
      </c>
      <c r="F11085" t="s">
        <v>31362</v>
      </c>
      <c r="G11085" t="s">
        <v>31370</v>
      </c>
      <c r="H11085" t="s">
        <v>15799</v>
      </c>
      <c r="I11085" t="s">
        <v>31387</v>
      </c>
      <c r="J11085" t="s">
        <v>38286</v>
      </c>
      <c r="K11085" t="s">
        <v>40665</v>
      </c>
      <c r="M11085" t="s">
        <v>43876</v>
      </c>
      <c r="N11085" t="s">
        <v>44905</v>
      </c>
      <c r="O11085" t="s">
        <v>44906</v>
      </c>
      <c r="Q11085">
        <v>4</v>
      </c>
      <c r="R11085" t="s">
        <v>44913</v>
      </c>
      <c r="S11085" t="s">
        <v>45343</v>
      </c>
      <c r="T11085" t="s">
        <v>46396</v>
      </c>
      <c r="U11085" t="s">
        <v>55797</v>
      </c>
      <c r="V11085" t="s">
        <v>60246</v>
      </c>
      <c r="W11085" t="s">
        <v>43876</v>
      </c>
      <c r="X11085" t="s">
        <v>44914</v>
      </c>
    </row>
    <row r="11086" spans="1:24">
      <c r="A11086">
        <f>HYPERLINK("https://www.philgeps.gov.ph/GEPSNONPILOT/Tender/SplashBidNoticeAbstractUI.aspx?menuIndex=3&amp;refID=7072129&amp;Result=3","7072129")</f>
        <v>0</v>
      </c>
      <c r="B11086" t="s">
        <v>616</v>
      </c>
      <c r="C11086" t="s">
        <v>14089</v>
      </c>
      <c r="D11086" t="s">
        <v>18104</v>
      </c>
      <c r="E11086" t="s">
        <v>27805</v>
      </c>
      <c r="F11086" t="s">
        <v>31362</v>
      </c>
      <c r="G11086" t="s">
        <v>31376</v>
      </c>
      <c r="H11086" t="s">
        <v>31377</v>
      </c>
      <c r="I11086" t="s">
        <v>31377</v>
      </c>
      <c r="J11086" t="s">
        <v>32249</v>
      </c>
      <c r="K11086" t="s">
        <v>40712</v>
      </c>
      <c r="M11086" t="s">
        <v>41574</v>
      </c>
      <c r="N11086" t="s">
        <v>44905</v>
      </c>
      <c r="O11086" t="s">
        <v>44906</v>
      </c>
      <c r="P11086">
        <v>0</v>
      </c>
      <c r="Q11086">
        <v>0</v>
      </c>
      <c r="R11086" t="s">
        <v>44913</v>
      </c>
      <c r="S11086" t="s">
        <v>45170</v>
      </c>
      <c r="T11086" t="s">
        <v>46443</v>
      </c>
      <c r="U11086" t="s">
        <v>55798</v>
      </c>
      <c r="W11086" t="s">
        <v>41574</v>
      </c>
      <c r="X11086" t="s">
        <v>44914</v>
      </c>
    </row>
    <row r="11087" spans="1:24">
      <c r="A11087">
        <f>HYPERLINK("https://www.philgeps.gov.ph/GEPSNONPILOT/Tender/SplashBidNoticeAbstractUI.aspx?menuIndex=3&amp;refID=7071975&amp;Result=3","7071975")</f>
        <v>0</v>
      </c>
      <c r="B11087" t="s">
        <v>2753</v>
      </c>
      <c r="C11087" t="s">
        <v>14090</v>
      </c>
      <c r="D11087" t="s">
        <v>18104</v>
      </c>
      <c r="E11087" t="s">
        <v>27806</v>
      </c>
      <c r="F11087" t="s">
        <v>31362</v>
      </c>
      <c r="G11087" t="s">
        <v>31369</v>
      </c>
      <c r="H11087" t="s">
        <v>15799</v>
      </c>
      <c r="I11087" t="s">
        <v>31387</v>
      </c>
      <c r="J11087" t="s">
        <v>38287</v>
      </c>
      <c r="K11087" t="s">
        <v>40665</v>
      </c>
      <c r="M11087" t="s">
        <v>43943</v>
      </c>
      <c r="N11087" t="s">
        <v>44905</v>
      </c>
      <c r="O11087" t="s">
        <v>44906</v>
      </c>
      <c r="P11087">
        <v>0</v>
      </c>
      <c r="Q11087">
        <v>0</v>
      </c>
      <c r="R11087" t="s">
        <v>44913</v>
      </c>
      <c r="S11087" t="s">
        <v>45170</v>
      </c>
      <c r="T11087" t="s">
        <v>46470</v>
      </c>
      <c r="U11087" t="s">
        <v>55799</v>
      </c>
      <c r="V11087" t="s">
        <v>60034</v>
      </c>
      <c r="W11087" t="s">
        <v>43943</v>
      </c>
      <c r="X11087" t="s">
        <v>44914</v>
      </c>
    </row>
    <row r="11088" spans="1:24">
      <c r="A11088">
        <f>HYPERLINK("https://www.philgeps.gov.ph/GEPSNONPILOT/Tender/SplashBidNoticeAbstractUI.aspx?menuIndex=3&amp;refID=7072113&amp;Result=3","7072113")</f>
        <v>0</v>
      </c>
      <c r="B11088" t="s">
        <v>3023</v>
      </c>
      <c r="C11088" t="s">
        <v>14091</v>
      </c>
      <c r="D11088" t="s">
        <v>18131</v>
      </c>
      <c r="E11088" t="s">
        <v>27807</v>
      </c>
      <c r="F11088" t="s">
        <v>31362</v>
      </c>
      <c r="G11088" t="s">
        <v>31369</v>
      </c>
      <c r="H11088" t="s">
        <v>15799</v>
      </c>
      <c r="I11088" t="s">
        <v>31386</v>
      </c>
      <c r="J11088" t="s">
        <v>38288</v>
      </c>
      <c r="K11088" t="s">
        <v>40665</v>
      </c>
      <c r="M11088" t="s">
        <v>44256</v>
      </c>
      <c r="N11088" t="s">
        <v>44905</v>
      </c>
      <c r="O11088" t="s">
        <v>44906</v>
      </c>
      <c r="P11088">
        <v>0</v>
      </c>
      <c r="Q11088">
        <v>2</v>
      </c>
      <c r="R11088" t="s">
        <v>44913</v>
      </c>
      <c r="S11088" t="s">
        <v>45170</v>
      </c>
      <c r="T11088" t="s">
        <v>46414</v>
      </c>
      <c r="U11088" t="s">
        <v>55800</v>
      </c>
      <c r="W11088" t="s">
        <v>44256</v>
      </c>
      <c r="X11088" t="s">
        <v>44914</v>
      </c>
    </row>
    <row r="11089" spans="1:24">
      <c r="A11089">
        <f>HYPERLINK("https://www.philgeps.gov.ph/GEPSNONPILOT/Tender/SplashBidNoticeAbstractUI.aspx?menuIndex=3&amp;refID=7071967&amp;Result=3","7071967")</f>
        <v>0</v>
      </c>
      <c r="B11089" t="s">
        <v>2727</v>
      </c>
      <c r="C11089" t="s">
        <v>14092</v>
      </c>
      <c r="D11089" t="s">
        <v>18117</v>
      </c>
      <c r="E11089" t="s">
        <v>27808</v>
      </c>
      <c r="F11089" t="s">
        <v>31362</v>
      </c>
      <c r="G11089" t="s">
        <v>31368</v>
      </c>
      <c r="H11089" t="s">
        <v>15799</v>
      </c>
      <c r="I11089" t="s">
        <v>31393</v>
      </c>
      <c r="J11089" t="s">
        <v>33248</v>
      </c>
      <c r="K11089" t="s">
        <v>40672</v>
      </c>
      <c r="M11089" t="s">
        <v>43914</v>
      </c>
      <c r="N11089" t="s">
        <v>44905</v>
      </c>
      <c r="O11089" t="s">
        <v>44906</v>
      </c>
      <c r="P11089">
        <v>0</v>
      </c>
      <c r="Q11089">
        <v>0</v>
      </c>
      <c r="R11089" t="s">
        <v>44913</v>
      </c>
      <c r="S11089" t="s">
        <v>45170</v>
      </c>
      <c r="T11089" t="s">
        <v>46478</v>
      </c>
      <c r="U11089" t="s">
        <v>54500</v>
      </c>
      <c r="W11089" t="s">
        <v>43914</v>
      </c>
      <c r="X11089" t="s">
        <v>44914</v>
      </c>
    </row>
    <row r="11090" spans="1:24">
      <c r="A11090">
        <f>HYPERLINK("https://www.philgeps.gov.ph/GEPSNONPILOT/Tender/SplashBidNoticeAbstractUI.aspx?menuIndex=3&amp;refID=7072110&amp;Result=3","7072110")</f>
        <v>0</v>
      </c>
      <c r="B11090" t="s">
        <v>1337</v>
      </c>
      <c r="C11090" t="s">
        <v>14093</v>
      </c>
      <c r="D11090" t="s">
        <v>18155</v>
      </c>
      <c r="E11090" t="s">
        <v>27809</v>
      </c>
      <c r="F11090" t="s">
        <v>31362</v>
      </c>
      <c r="G11090" t="s">
        <v>31369</v>
      </c>
      <c r="H11090" t="s">
        <v>31378</v>
      </c>
      <c r="I11090" t="s">
        <v>31386</v>
      </c>
      <c r="J11090" t="s">
        <v>38289</v>
      </c>
      <c r="K11090" t="s">
        <v>40861</v>
      </c>
      <c r="M11090" t="s">
        <v>42356</v>
      </c>
      <c r="N11090" t="s">
        <v>44905</v>
      </c>
      <c r="O11090" t="s">
        <v>44906</v>
      </c>
      <c r="P11090">
        <v>0</v>
      </c>
      <c r="Q11090">
        <v>0</v>
      </c>
      <c r="R11090" t="s">
        <v>44913</v>
      </c>
      <c r="S11090" t="s">
        <v>45170</v>
      </c>
      <c r="T11090" t="s">
        <v>46683</v>
      </c>
      <c r="U11090" t="s">
        <v>55801</v>
      </c>
      <c r="W11090" t="s">
        <v>42356</v>
      </c>
      <c r="X11090" t="s">
        <v>44914</v>
      </c>
    </row>
    <row r="11091" spans="1:24">
      <c r="A11091">
        <f>HYPERLINK("https://www.philgeps.gov.ph/GEPSNONPILOT/Tender/SplashBidNoticeAbstractUI.aspx?menuIndex=3&amp;refID=7061877&amp;Result=3","7061877")</f>
        <v>0</v>
      </c>
      <c r="B11091" t="s">
        <v>367</v>
      </c>
      <c r="C11091" t="s">
        <v>14094</v>
      </c>
      <c r="D11091" t="s">
        <v>18134</v>
      </c>
      <c r="E11091" t="s">
        <v>27810</v>
      </c>
      <c r="F11091" t="s">
        <v>31362</v>
      </c>
      <c r="G11091" t="s">
        <v>31369</v>
      </c>
      <c r="H11091" t="s">
        <v>31378</v>
      </c>
      <c r="I11091" t="s">
        <v>31386</v>
      </c>
      <c r="J11091" t="s">
        <v>38290</v>
      </c>
      <c r="K11091" t="s">
        <v>40686</v>
      </c>
      <c r="M11091" t="s">
        <v>41398</v>
      </c>
      <c r="N11091" t="s">
        <v>44905</v>
      </c>
      <c r="O11091" t="s">
        <v>44906</v>
      </c>
      <c r="P11091">
        <v>0</v>
      </c>
      <c r="Q11091">
        <v>0</v>
      </c>
      <c r="R11091" t="s">
        <v>44916</v>
      </c>
      <c r="S11091" t="s">
        <v>45313</v>
      </c>
      <c r="T11091" t="s">
        <v>46392</v>
      </c>
      <c r="U11091" t="s">
        <v>55802</v>
      </c>
      <c r="V11091" t="s">
        <v>60238</v>
      </c>
      <c r="W11091" t="s">
        <v>41398</v>
      </c>
      <c r="X11091" t="s">
        <v>44917</v>
      </c>
    </row>
    <row r="11092" spans="1:24">
      <c r="A11092">
        <f>HYPERLINK("https://www.philgeps.gov.ph/GEPSNONPILOT/Tender/SplashBidNoticeAbstractUI.aspx?menuIndex=3&amp;refID=7062051&amp;Result=3","7062051")</f>
        <v>0</v>
      </c>
      <c r="B11092" t="s">
        <v>1922</v>
      </c>
      <c r="C11092" t="s">
        <v>14095</v>
      </c>
      <c r="D11092" t="s">
        <v>18146</v>
      </c>
      <c r="E11092" t="s">
        <v>19844</v>
      </c>
      <c r="F11092" t="s">
        <v>31362</v>
      </c>
      <c r="G11092" t="s">
        <v>31369</v>
      </c>
      <c r="H11092" t="s">
        <v>15799</v>
      </c>
      <c r="I11092" t="s">
        <v>3815</v>
      </c>
      <c r="J11092" t="s">
        <v>38291</v>
      </c>
      <c r="K11092" t="s">
        <v>40677</v>
      </c>
      <c r="M11092" t="s">
        <v>43019</v>
      </c>
      <c r="N11092" t="s">
        <v>44905</v>
      </c>
      <c r="O11092" t="s">
        <v>44906</v>
      </c>
      <c r="P11092">
        <v>0</v>
      </c>
      <c r="Q11092">
        <v>0</v>
      </c>
      <c r="R11092" t="s">
        <v>44916</v>
      </c>
      <c r="S11092" t="s">
        <v>45313</v>
      </c>
      <c r="T11092" t="s">
        <v>46447</v>
      </c>
      <c r="U11092" t="s">
        <v>55803</v>
      </c>
      <c r="W11092" t="s">
        <v>43019</v>
      </c>
      <c r="X11092" t="s">
        <v>44917</v>
      </c>
    </row>
    <row r="11093" spans="1:24">
      <c r="A11093">
        <f>HYPERLINK("https://www.philgeps.gov.ph/GEPSNONPILOT/Tender/SplashBidNoticeAbstractUI.aspx?menuIndex=3&amp;refID=7071998&amp;Result=3","7071998")</f>
        <v>0</v>
      </c>
      <c r="B11093" t="s">
        <v>2300</v>
      </c>
      <c r="C11093" t="s">
        <v>14096</v>
      </c>
      <c r="D11093" t="s">
        <v>18148</v>
      </c>
      <c r="E11093" t="s">
        <v>27811</v>
      </c>
      <c r="F11093" t="s">
        <v>31362</v>
      </c>
      <c r="G11093" t="s">
        <v>31369</v>
      </c>
      <c r="H11093" t="s">
        <v>15799</v>
      </c>
      <c r="I11093" t="s">
        <v>31426</v>
      </c>
      <c r="J11093" t="s">
        <v>38292</v>
      </c>
      <c r="K11093" t="s">
        <v>40679</v>
      </c>
      <c r="M11093" t="s">
        <v>43515</v>
      </c>
      <c r="N11093" t="s">
        <v>44905</v>
      </c>
      <c r="O11093" t="s">
        <v>44906</v>
      </c>
      <c r="P11093">
        <v>0</v>
      </c>
      <c r="Q11093">
        <v>5</v>
      </c>
      <c r="R11093" t="s">
        <v>44913</v>
      </c>
      <c r="S11093" t="s">
        <v>45170</v>
      </c>
      <c r="T11093" t="s">
        <v>46450</v>
      </c>
      <c r="U11093" t="s">
        <v>54419</v>
      </c>
      <c r="W11093" t="s">
        <v>43515</v>
      </c>
      <c r="X11093" t="s">
        <v>44914</v>
      </c>
    </row>
    <row r="11094" spans="1:24">
      <c r="A11094">
        <f>HYPERLINK("https://www.philgeps.gov.ph/GEPSNONPILOT/Tender/SplashBidNoticeAbstractUI.aspx?menuIndex=3&amp;refID=7062042&amp;Result=3","7062042")</f>
        <v>0</v>
      </c>
      <c r="B11094" t="s">
        <v>940</v>
      </c>
      <c r="C11094" t="s">
        <v>14097</v>
      </c>
      <c r="D11094" t="s">
        <v>18177</v>
      </c>
      <c r="E11094" t="s">
        <v>27812</v>
      </c>
      <c r="F11094" t="s">
        <v>31362</v>
      </c>
      <c r="G11094" t="s">
        <v>31369</v>
      </c>
      <c r="H11094" t="s">
        <v>15799</v>
      </c>
      <c r="I11094" t="s">
        <v>31410</v>
      </c>
      <c r="J11094" t="s">
        <v>38293</v>
      </c>
      <c r="K11094" t="s">
        <v>40678</v>
      </c>
      <c r="M11094" t="s">
        <v>41928</v>
      </c>
      <c r="N11094" t="s">
        <v>44905</v>
      </c>
      <c r="O11094" t="s">
        <v>44906</v>
      </c>
      <c r="P11094">
        <v>0</v>
      </c>
      <c r="Q11094">
        <v>2</v>
      </c>
      <c r="R11094" t="s">
        <v>44916</v>
      </c>
      <c r="S11094" t="s">
        <v>45313</v>
      </c>
      <c r="T11094" t="s">
        <v>46447</v>
      </c>
      <c r="U11094" t="s">
        <v>55804</v>
      </c>
      <c r="W11094" t="s">
        <v>41928</v>
      </c>
      <c r="X11094" t="s">
        <v>44917</v>
      </c>
    </row>
    <row r="11095" spans="1:24">
      <c r="A11095">
        <f>HYPERLINK("https://www.philgeps.gov.ph/GEPSNONPILOT/Tender/SplashBidNoticeAbstractUI.aspx?menuIndex=3&amp;refID=7072124&amp;Result=3","7072124")</f>
        <v>0</v>
      </c>
      <c r="B11095" t="s">
        <v>3024</v>
      </c>
      <c r="C11095" t="s">
        <v>14098</v>
      </c>
      <c r="D11095" t="s">
        <v>18112</v>
      </c>
      <c r="E11095" t="s">
        <v>18548</v>
      </c>
      <c r="F11095" t="s">
        <v>31362</v>
      </c>
      <c r="G11095" t="s">
        <v>31370</v>
      </c>
      <c r="H11095" t="s">
        <v>15799</v>
      </c>
      <c r="I11095" t="s">
        <v>3815</v>
      </c>
      <c r="J11095" t="s">
        <v>38294</v>
      </c>
      <c r="K11095" t="s">
        <v>40697</v>
      </c>
      <c r="M11095" t="s">
        <v>44257</v>
      </c>
      <c r="N11095" t="s">
        <v>44905</v>
      </c>
      <c r="O11095" t="s">
        <v>44906</v>
      </c>
      <c r="P11095">
        <v>0</v>
      </c>
      <c r="Q11095">
        <v>0</v>
      </c>
      <c r="R11095" t="s">
        <v>44913</v>
      </c>
      <c r="S11095" t="s">
        <v>45170</v>
      </c>
      <c r="T11095" t="s">
        <v>46409</v>
      </c>
      <c r="U11095" t="s">
        <v>55805</v>
      </c>
      <c r="W11095" t="s">
        <v>44257</v>
      </c>
      <c r="X11095" t="s">
        <v>44914</v>
      </c>
    </row>
    <row r="11096" spans="1:24">
      <c r="A11096">
        <f>HYPERLINK("https://www.philgeps.gov.ph/GEPSNONPILOT/Tender/SplashBidNoticeAbstractUI.aspx?menuIndex=3&amp;refID=7062009&amp;Result=3","7062009")</f>
        <v>0</v>
      </c>
      <c r="B11096" t="s">
        <v>367</v>
      </c>
      <c r="C11096" t="s">
        <v>14099</v>
      </c>
      <c r="D11096" t="s">
        <v>18134</v>
      </c>
      <c r="E11096" t="s">
        <v>27813</v>
      </c>
      <c r="F11096" t="s">
        <v>31362</v>
      </c>
      <c r="G11096" t="s">
        <v>31369</v>
      </c>
      <c r="H11096" t="s">
        <v>31378</v>
      </c>
      <c r="I11096" t="s">
        <v>31386</v>
      </c>
      <c r="J11096" t="s">
        <v>38295</v>
      </c>
      <c r="K11096" t="s">
        <v>40725</v>
      </c>
      <c r="M11096" t="s">
        <v>41398</v>
      </c>
      <c r="N11096" t="s">
        <v>44905</v>
      </c>
      <c r="O11096" t="s">
        <v>44906</v>
      </c>
      <c r="P11096">
        <v>0</v>
      </c>
      <c r="Q11096">
        <v>0</v>
      </c>
      <c r="R11096" t="s">
        <v>44916</v>
      </c>
      <c r="S11096" t="s">
        <v>45313</v>
      </c>
      <c r="T11096" t="s">
        <v>46392</v>
      </c>
      <c r="U11096" t="s">
        <v>55806</v>
      </c>
      <c r="V11096" t="s">
        <v>60238</v>
      </c>
      <c r="W11096" t="s">
        <v>41398</v>
      </c>
      <c r="X11096" t="s">
        <v>44917</v>
      </c>
    </row>
    <row r="11097" spans="1:24">
      <c r="A11097">
        <f>HYPERLINK("https://www.philgeps.gov.ph/GEPSNONPILOT/Tender/SplashBidNoticeAbstractUI.aspx?menuIndex=3&amp;refID=7062025&amp;Result=3","7062025")</f>
        <v>0</v>
      </c>
      <c r="B11097" t="s">
        <v>2903</v>
      </c>
      <c r="C11097" t="s">
        <v>14100</v>
      </c>
      <c r="D11097" t="s">
        <v>18147</v>
      </c>
      <c r="E11097" t="s">
        <v>27814</v>
      </c>
      <c r="F11097" t="s">
        <v>31362</v>
      </c>
      <c r="G11097" t="s">
        <v>31369</v>
      </c>
      <c r="H11097" t="s">
        <v>31378</v>
      </c>
      <c r="I11097" t="s">
        <v>31386</v>
      </c>
      <c r="J11097" t="s">
        <v>38296</v>
      </c>
      <c r="K11097" t="s">
        <v>40677</v>
      </c>
      <c r="M11097" t="s">
        <v>44118</v>
      </c>
      <c r="N11097" t="s">
        <v>44905</v>
      </c>
      <c r="O11097" t="s">
        <v>44906</v>
      </c>
      <c r="P11097">
        <v>0</v>
      </c>
      <c r="Q11097">
        <v>0</v>
      </c>
      <c r="R11097" t="s">
        <v>44916</v>
      </c>
      <c r="S11097" t="s">
        <v>45313</v>
      </c>
      <c r="T11097" t="s">
        <v>46411</v>
      </c>
      <c r="U11097" t="s">
        <v>55807</v>
      </c>
      <c r="W11097" t="s">
        <v>44118</v>
      </c>
      <c r="X11097" t="s">
        <v>44917</v>
      </c>
    </row>
    <row r="11098" spans="1:24">
      <c r="A11098">
        <f>HYPERLINK("https://www.philgeps.gov.ph/GEPSNONPILOT/Tender/SplashBidNoticeAbstractUI.aspx?menuIndex=3&amp;refID=7061999&amp;Result=3","7061999")</f>
        <v>0</v>
      </c>
      <c r="B11098" t="s">
        <v>795</v>
      </c>
      <c r="C11098" t="s">
        <v>14101</v>
      </c>
      <c r="D11098" t="s">
        <v>18138</v>
      </c>
      <c r="E11098" t="s">
        <v>27815</v>
      </c>
      <c r="F11098" t="s">
        <v>31362</v>
      </c>
      <c r="G11098" t="s">
        <v>31369</v>
      </c>
      <c r="H11098" t="s">
        <v>31378</v>
      </c>
      <c r="I11098" t="s">
        <v>31386</v>
      </c>
      <c r="J11098" t="s">
        <v>38297</v>
      </c>
      <c r="K11098" t="s">
        <v>40682</v>
      </c>
      <c r="M11098" t="s">
        <v>41765</v>
      </c>
      <c r="N11098" t="s">
        <v>44905</v>
      </c>
      <c r="O11098" t="s">
        <v>44906</v>
      </c>
      <c r="P11098">
        <v>0</v>
      </c>
      <c r="Q11098">
        <v>3</v>
      </c>
      <c r="R11098" t="s">
        <v>44916</v>
      </c>
      <c r="S11098" t="s">
        <v>45313</v>
      </c>
      <c r="T11098" t="s">
        <v>46486</v>
      </c>
      <c r="U11098" t="s">
        <v>55808</v>
      </c>
      <c r="W11098" t="s">
        <v>41765</v>
      </c>
      <c r="X11098" t="s">
        <v>44917</v>
      </c>
    </row>
    <row r="11099" spans="1:24">
      <c r="A11099">
        <f>HYPERLINK("https://www.philgeps.gov.ph/GEPSNONPILOT/Tender/SplashBidNoticeAbstractUI.aspx?menuIndex=3&amp;refID=7061996&amp;Result=3","7061996")</f>
        <v>0</v>
      </c>
      <c r="B11099" t="s">
        <v>1913</v>
      </c>
      <c r="C11099" t="s">
        <v>14102</v>
      </c>
      <c r="D11099" t="s">
        <v>18106</v>
      </c>
      <c r="E11099" t="s">
        <v>27816</v>
      </c>
      <c r="F11099" t="s">
        <v>31362</v>
      </c>
      <c r="G11099" t="s">
        <v>31369</v>
      </c>
      <c r="H11099" t="s">
        <v>31378</v>
      </c>
      <c r="I11099" t="s">
        <v>31386</v>
      </c>
      <c r="J11099" t="s">
        <v>38298</v>
      </c>
      <c r="K11099" t="s">
        <v>40665</v>
      </c>
      <c r="M11099" t="s">
        <v>43009</v>
      </c>
      <c r="N11099" t="s">
        <v>44905</v>
      </c>
      <c r="O11099" t="s">
        <v>44906</v>
      </c>
      <c r="P11099">
        <v>0</v>
      </c>
      <c r="Q11099">
        <v>0</v>
      </c>
      <c r="R11099" t="s">
        <v>44916</v>
      </c>
      <c r="S11099" t="s">
        <v>45313</v>
      </c>
      <c r="T11099" t="s">
        <v>46393</v>
      </c>
      <c r="U11099" t="s">
        <v>55809</v>
      </c>
      <c r="W11099" t="s">
        <v>43009</v>
      </c>
      <c r="X11099" t="s">
        <v>44917</v>
      </c>
    </row>
    <row r="11100" spans="1:24">
      <c r="A11100">
        <f>HYPERLINK("https://www.philgeps.gov.ph/GEPSNONPILOT/Tender/SplashBidNoticeAbstractUI.aspx?menuIndex=3&amp;refID=7061977&amp;Result=3","7061977")</f>
        <v>0</v>
      </c>
      <c r="B11100" t="s">
        <v>3025</v>
      </c>
      <c r="C11100" t="s">
        <v>14103</v>
      </c>
      <c r="D11100" t="s">
        <v>18170</v>
      </c>
      <c r="E11100" t="s">
        <v>27817</v>
      </c>
      <c r="F11100" t="s">
        <v>31362</v>
      </c>
      <c r="G11100" t="s">
        <v>31369</v>
      </c>
      <c r="H11100" t="s">
        <v>15799</v>
      </c>
      <c r="I11100" t="s">
        <v>31404</v>
      </c>
      <c r="J11100" t="s">
        <v>38299</v>
      </c>
      <c r="K11100" t="s">
        <v>40665</v>
      </c>
      <c r="M11100" t="s">
        <v>44258</v>
      </c>
      <c r="N11100" t="s">
        <v>44905</v>
      </c>
      <c r="O11100" t="s">
        <v>44906</v>
      </c>
      <c r="P11100">
        <v>0</v>
      </c>
      <c r="Q11100">
        <v>0</v>
      </c>
      <c r="R11100" t="s">
        <v>44916</v>
      </c>
      <c r="S11100" t="s">
        <v>45313</v>
      </c>
      <c r="T11100" t="s">
        <v>46524</v>
      </c>
      <c r="U11100" t="s">
        <v>55810</v>
      </c>
      <c r="W11100" t="s">
        <v>44258</v>
      </c>
      <c r="X11100" t="s">
        <v>44917</v>
      </c>
    </row>
    <row r="11101" spans="1:24">
      <c r="A11101">
        <f>HYPERLINK("https://www.philgeps.gov.ph/GEPSNONPILOT/Tender/SplashBidNoticeAbstractUI.aspx?menuIndex=3&amp;refID=7062049&amp;Result=3","7062049")</f>
        <v>0</v>
      </c>
      <c r="B11101" t="s">
        <v>3026</v>
      </c>
      <c r="C11101" t="s">
        <v>14104</v>
      </c>
      <c r="D11101" t="s">
        <v>18175</v>
      </c>
      <c r="E11101" t="s">
        <v>19162</v>
      </c>
      <c r="F11101" t="s">
        <v>31362</v>
      </c>
      <c r="G11101" t="s">
        <v>31369</v>
      </c>
      <c r="H11101" t="s">
        <v>31378</v>
      </c>
      <c r="I11101" t="s">
        <v>31386</v>
      </c>
      <c r="J11101" t="s">
        <v>38300</v>
      </c>
      <c r="K11101" t="s">
        <v>40662</v>
      </c>
      <c r="M11101" t="s">
        <v>44259</v>
      </c>
      <c r="N11101" t="s">
        <v>44905</v>
      </c>
      <c r="O11101" t="s">
        <v>44906</v>
      </c>
      <c r="P11101">
        <v>0</v>
      </c>
      <c r="Q11101">
        <v>0</v>
      </c>
      <c r="R11101" t="s">
        <v>44916</v>
      </c>
      <c r="S11101" t="s">
        <v>45313</v>
      </c>
      <c r="T11101" t="s">
        <v>46403</v>
      </c>
      <c r="U11101" t="s">
        <v>55811</v>
      </c>
      <c r="W11101" t="s">
        <v>44259</v>
      </c>
      <c r="X11101" t="s">
        <v>44917</v>
      </c>
    </row>
    <row r="11102" spans="1:24">
      <c r="A11102">
        <f>HYPERLINK("https://www.philgeps.gov.ph/GEPSNONPILOT/Tender/SplashBidNoticeAbstractUI.aspx?menuIndex=3&amp;refID=7061939&amp;Result=3","7061939")</f>
        <v>0</v>
      </c>
      <c r="B11102" t="s">
        <v>367</v>
      </c>
      <c r="C11102" t="s">
        <v>14105</v>
      </c>
      <c r="D11102" t="s">
        <v>18134</v>
      </c>
      <c r="E11102" t="s">
        <v>27818</v>
      </c>
      <c r="F11102" t="s">
        <v>31362</v>
      </c>
      <c r="G11102" t="s">
        <v>31369</v>
      </c>
      <c r="H11102" t="s">
        <v>31378</v>
      </c>
      <c r="I11102" t="s">
        <v>31386</v>
      </c>
      <c r="J11102" t="s">
        <v>38301</v>
      </c>
      <c r="K11102" t="s">
        <v>40679</v>
      </c>
      <c r="M11102" t="s">
        <v>41398</v>
      </c>
      <c r="N11102" t="s">
        <v>44905</v>
      </c>
      <c r="O11102" t="s">
        <v>44906</v>
      </c>
      <c r="P11102">
        <v>0</v>
      </c>
      <c r="Q11102">
        <v>0</v>
      </c>
      <c r="R11102" t="s">
        <v>44916</v>
      </c>
      <c r="S11102" t="s">
        <v>45313</v>
      </c>
      <c r="T11102" t="s">
        <v>46392</v>
      </c>
      <c r="U11102" t="s">
        <v>55812</v>
      </c>
      <c r="V11102" t="s">
        <v>60238</v>
      </c>
      <c r="W11102" t="s">
        <v>41398</v>
      </c>
      <c r="X11102" t="s">
        <v>44917</v>
      </c>
    </row>
    <row r="11103" spans="1:24">
      <c r="A11103">
        <f>HYPERLINK("https://www.philgeps.gov.ph/GEPSNONPILOT/Tender/SplashBidNoticeAbstractUI.aspx?menuIndex=3&amp;refID=7071983&amp;Result=3","7071983")</f>
        <v>0</v>
      </c>
      <c r="B11103" t="s">
        <v>1985</v>
      </c>
      <c r="C11103" t="s">
        <v>14106</v>
      </c>
      <c r="D11103" t="s">
        <v>18168</v>
      </c>
      <c r="E11103" t="s">
        <v>18494</v>
      </c>
      <c r="F11103" t="s">
        <v>31362</v>
      </c>
      <c r="G11103" t="s">
        <v>31369</v>
      </c>
      <c r="H11103" t="s">
        <v>31378</v>
      </c>
      <c r="I11103" t="s">
        <v>31386</v>
      </c>
      <c r="J11103" t="s">
        <v>38302</v>
      </c>
      <c r="K11103" t="s">
        <v>40669</v>
      </c>
      <c r="M11103" t="s">
        <v>43094</v>
      </c>
      <c r="N11103" t="s">
        <v>44905</v>
      </c>
      <c r="O11103" t="s">
        <v>44906</v>
      </c>
      <c r="Q11103">
        <v>3</v>
      </c>
      <c r="R11103" t="s">
        <v>44913</v>
      </c>
      <c r="S11103" t="s">
        <v>45344</v>
      </c>
      <c r="T11103" t="s">
        <v>46511</v>
      </c>
      <c r="U11103" t="s">
        <v>55813</v>
      </c>
      <c r="W11103" t="s">
        <v>43094</v>
      </c>
      <c r="X11103" t="s">
        <v>44914</v>
      </c>
    </row>
    <row r="11104" spans="1:24">
      <c r="A11104">
        <f>HYPERLINK("https://www.philgeps.gov.ph/GEPSNONPILOT/Tender/SplashBidNoticeAbstractUI.aspx?menuIndex=3&amp;refID=7061933&amp;Result=3","7061933")</f>
        <v>0</v>
      </c>
      <c r="B11104" t="s">
        <v>367</v>
      </c>
      <c r="C11104" t="s">
        <v>14107</v>
      </c>
      <c r="D11104" t="s">
        <v>18134</v>
      </c>
      <c r="E11104" t="s">
        <v>27819</v>
      </c>
      <c r="F11104" t="s">
        <v>31362</v>
      </c>
      <c r="G11104" t="s">
        <v>31369</v>
      </c>
      <c r="H11104" t="s">
        <v>31378</v>
      </c>
      <c r="I11104" t="s">
        <v>31386</v>
      </c>
      <c r="J11104" t="s">
        <v>38303</v>
      </c>
      <c r="K11104" t="s">
        <v>40678</v>
      </c>
      <c r="M11104" t="s">
        <v>41398</v>
      </c>
      <c r="N11104" t="s">
        <v>44905</v>
      </c>
      <c r="O11104" t="s">
        <v>44906</v>
      </c>
      <c r="P11104">
        <v>0</v>
      </c>
      <c r="Q11104">
        <v>0</v>
      </c>
      <c r="R11104" t="s">
        <v>44916</v>
      </c>
      <c r="S11104" t="s">
        <v>45313</v>
      </c>
      <c r="T11104" t="s">
        <v>46392</v>
      </c>
      <c r="U11104" t="s">
        <v>55814</v>
      </c>
      <c r="V11104" t="s">
        <v>60238</v>
      </c>
      <c r="W11104" t="s">
        <v>41398</v>
      </c>
      <c r="X11104" t="s">
        <v>44917</v>
      </c>
    </row>
    <row r="11105" spans="1:24">
      <c r="A11105">
        <f>HYPERLINK("https://www.philgeps.gov.ph/GEPSNONPILOT/Tender/SplashBidNoticeAbstractUI.aspx?menuIndex=3&amp;refID=7061929&amp;Result=3","7061929")</f>
        <v>0</v>
      </c>
      <c r="B11105" t="s">
        <v>1167</v>
      </c>
      <c r="C11105" t="s">
        <v>14108</v>
      </c>
      <c r="D11105" t="s">
        <v>18151</v>
      </c>
      <c r="E11105" t="s">
        <v>27820</v>
      </c>
      <c r="F11105" t="s">
        <v>31362</v>
      </c>
      <c r="G11105" t="s">
        <v>31369</v>
      </c>
      <c r="H11105" t="s">
        <v>31378</v>
      </c>
      <c r="I11105" t="s">
        <v>31386</v>
      </c>
      <c r="J11105" t="s">
        <v>38304</v>
      </c>
      <c r="K11105" t="s">
        <v>40694</v>
      </c>
      <c r="M11105" t="s">
        <v>42177</v>
      </c>
      <c r="N11105" t="s">
        <v>44905</v>
      </c>
      <c r="O11105" t="s">
        <v>44906</v>
      </c>
      <c r="P11105">
        <v>0</v>
      </c>
      <c r="Q11105">
        <v>4</v>
      </c>
      <c r="R11105" t="s">
        <v>44916</v>
      </c>
      <c r="S11105" t="s">
        <v>45313</v>
      </c>
      <c r="T11105" t="s">
        <v>46392</v>
      </c>
      <c r="U11105" t="s">
        <v>49459</v>
      </c>
      <c r="V11105" t="s">
        <v>60247</v>
      </c>
      <c r="W11105" t="s">
        <v>42177</v>
      </c>
      <c r="X11105" t="s">
        <v>44917</v>
      </c>
    </row>
    <row r="11106" spans="1:24">
      <c r="A11106">
        <f>HYPERLINK("https://www.philgeps.gov.ph/GEPSNONPILOT/Tender/SplashBidNoticeAbstractUI.aspx?menuIndex=3&amp;refID=7071970&amp;Result=3","7071970")</f>
        <v>0</v>
      </c>
      <c r="B11106" t="s">
        <v>2300</v>
      </c>
      <c r="C11106" t="s">
        <v>14109</v>
      </c>
      <c r="D11106" t="s">
        <v>18148</v>
      </c>
      <c r="E11106" t="s">
        <v>27821</v>
      </c>
      <c r="F11106" t="s">
        <v>31362</v>
      </c>
      <c r="G11106" t="s">
        <v>31369</v>
      </c>
      <c r="H11106" t="s">
        <v>15799</v>
      </c>
      <c r="I11106" t="s">
        <v>31426</v>
      </c>
      <c r="J11106" t="s">
        <v>38305</v>
      </c>
      <c r="K11106" t="s">
        <v>40679</v>
      </c>
      <c r="M11106" t="s">
        <v>43515</v>
      </c>
      <c r="N11106" t="s">
        <v>44905</v>
      </c>
      <c r="O11106" t="s">
        <v>44906</v>
      </c>
      <c r="P11106">
        <v>0</v>
      </c>
      <c r="Q11106">
        <v>7</v>
      </c>
      <c r="R11106" t="s">
        <v>44913</v>
      </c>
      <c r="S11106" t="s">
        <v>45170</v>
      </c>
      <c r="T11106" t="s">
        <v>46450</v>
      </c>
      <c r="U11106" t="s">
        <v>54419</v>
      </c>
      <c r="W11106" t="s">
        <v>43515</v>
      </c>
      <c r="X11106" t="s">
        <v>44914</v>
      </c>
    </row>
    <row r="11107" spans="1:24">
      <c r="A11107">
        <f>HYPERLINK("https://www.philgeps.gov.ph/GEPSNONPILOT/Tender/SplashBidNoticeAbstractUI.aspx?menuIndex=3&amp;refID=7061917&amp;Result=3","7061917")</f>
        <v>0</v>
      </c>
      <c r="B11107" t="s">
        <v>1919</v>
      </c>
      <c r="C11107" t="s">
        <v>14110</v>
      </c>
      <c r="D11107" t="s">
        <v>18125</v>
      </c>
      <c r="E11107" t="s">
        <v>25906</v>
      </c>
      <c r="F11107" t="s">
        <v>31362</v>
      </c>
      <c r="G11107" t="s">
        <v>31369</v>
      </c>
      <c r="H11107" t="s">
        <v>31378</v>
      </c>
      <c r="I11107" t="s">
        <v>31386</v>
      </c>
      <c r="J11107" t="s">
        <v>33868</v>
      </c>
      <c r="K11107" t="s">
        <v>40888</v>
      </c>
      <c r="M11107" t="s">
        <v>43016</v>
      </c>
      <c r="N11107" t="s">
        <v>44905</v>
      </c>
      <c r="O11107" t="s">
        <v>44906</v>
      </c>
      <c r="P11107">
        <v>0</v>
      </c>
      <c r="Q11107">
        <v>1</v>
      </c>
      <c r="R11107" t="s">
        <v>44916</v>
      </c>
      <c r="S11107" t="s">
        <v>45313</v>
      </c>
      <c r="T11107" t="s">
        <v>46472</v>
      </c>
      <c r="U11107" t="s">
        <v>55815</v>
      </c>
      <c r="W11107" t="s">
        <v>43016</v>
      </c>
      <c r="X11107" t="s">
        <v>44917</v>
      </c>
    </row>
    <row r="11108" spans="1:24">
      <c r="A11108">
        <f>HYPERLINK("https://www.philgeps.gov.ph/GEPSNONPILOT/Tender/SplashBidNoticeAbstractUI.aspx?menuIndex=3&amp;refID=7061886&amp;Result=3","7061886")</f>
        <v>0</v>
      </c>
      <c r="B11108" t="s">
        <v>270</v>
      </c>
      <c r="C11108" t="s">
        <v>14111</v>
      </c>
      <c r="D11108" t="s">
        <v>18166</v>
      </c>
      <c r="E11108" t="s">
        <v>27822</v>
      </c>
      <c r="F11108" t="s">
        <v>31362</v>
      </c>
      <c r="G11108" t="s">
        <v>31368</v>
      </c>
      <c r="H11108" t="s">
        <v>15799</v>
      </c>
      <c r="I11108" t="s">
        <v>4942</v>
      </c>
      <c r="J11108" t="s">
        <v>38306</v>
      </c>
      <c r="K11108" t="s">
        <v>40661</v>
      </c>
      <c r="M11108" t="s">
        <v>41953</v>
      </c>
      <c r="N11108" t="s">
        <v>44905</v>
      </c>
      <c r="O11108" t="s">
        <v>44906</v>
      </c>
      <c r="P11108">
        <v>0</v>
      </c>
      <c r="Q11108">
        <v>0</v>
      </c>
      <c r="R11108" t="s">
        <v>44916</v>
      </c>
      <c r="S11108" t="s">
        <v>45313</v>
      </c>
      <c r="T11108" t="s">
        <v>46393</v>
      </c>
      <c r="U11108" t="s">
        <v>55816</v>
      </c>
      <c r="W11108" t="s">
        <v>41953</v>
      </c>
      <c r="X11108" t="s">
        <v>44917</v>
      </c>
    </row>
    <row r="11109" spans="1:24">
      <c r="A11109">
        <f>HYPERLINK("https://www.philgeps.gov.ph/GEPSNONPILOT/Tender/SplashBidNoticeAbstractUI.aspx?menuIndex=3&amp;refID=7061865&amp;Result=3","7061865")</f>
        <v>0</v>
      </c>
      <c r="B11109" t="s">
        <v>367</v>
      </c>
      <c r="C11109" t="s">
        <v>14112</v>
      </c>
      <c r="D11109" t="s">
        <v>18134</v>
      </c>
      <c r="E11109" t="s">
        <v>27823</v>
      </c>
      <c r="F11109" t="s">
        <v>31362</v>
      </c>
      <c r="G11109" t="s">
        <v>31369</v>
      </c>
      <c r="H11109" t="s">
        <v>31378</v>
      </c>
      <c r="I11109" t="s">
        <v>31386</v>
      </c>
      <c r="J11109" t="s">
        <v>38307</v>
      </c>
      <c r="K11109" t="s">
        <v>40678</v>
      </c>
      <c r="M11109" t="s">
        <v>41398</v>
      </c>
      <c r="N11109" t="s">
        <v>44905</v>
      </c>
      <c r="O11109" t="s">
        <v>44906</v>
      </c>
      <c r="P11109">
        <v>0</v>
      </c>
      <c r="Q11109">
        <v>0</v>
      </c>
      <c r="R11109" t="s">
        <v>44916</v>
      </c>
      <c r="S11109" t="s">
        <v>45313</v>
      </c>
      <c r="T11109" t="s">
        <v>46392</v>
      </c>
      <c r="U11109" t="s">
        <v>55817</v>
      </c>
      <c r="V11109" t="s">
        <v>60238</v>
      </c>
      <c r="W11109" t="s">
        <v>41398</v>
      </c>
      <c r="X11109" t="s">
        <v>44917</v>
      </c>
    </row>
    <row r="11110" spans="1:24">
      <c r="A11110">
        <f>HYPERLINK("https://www.philgeps.gov.ph/GEPSNONPILOT/Tender/SplashBidNoticeAbstractUI.aspx?menuIndex=3&amp;refID=7061858&amp;Result=3","7061858")</f>
        <v>0</v>
      </c>
      <c r="B11110" t="s">
        <v>367</v>
      </c>
      <c r="C11110" t="s">
        <v>14113</v>
      </c>
      <c r="D11110" t="s">
        <v>18134</v>
      </c>
      <c r="E11110" t="s">
        <v>27824</v>
      </c>
      <c r="F11110" t="s">
        <v>31362</v>
      </c>
      <c r="G11110" t="s">
        <v>31369</v>
      </c>
      <c r="H11110" t="s">
        <v>31378</v>
      </c>
      <c r="I11110" t="s">
        <v>31386</v>
      </c>
      <c r="J11110" t="s">
        <v>38308</v>
      </c>
      <c r="K11110" t="s">
        <v>40679</v>
      </c>
      <c r="M11110" t="s">
        <v>41398</v>
      </c>
      <c r="N11110" t="s">
        <v>44905</v>
      </c>
      <c r="O11110" t="s">
        <v>44906</v>
      </c>
      <c r="P11110">
        <v>0</v>
      </c>
      <c r="Q11110">
        <v>0</v>
      </c>
      <c r="R11110" t="s">
        <v>44916</v>
      </c>
      <c r="S11110" t="s">
        <v>45313</v>
      </c>
      <c r="T11110" t="s">
        <v>46392</v>
      </c>
      <c r="U11110" t="s">
        <v>55817</v>
      </c>
      <c r="V11110" t="s">
        <v>60238</v>
      </c>
      <c r="W11110" t="s">
        <v>41398</v>
      </c>
      <c r="X11110" t="s">
        <v>44917</v>
      </c>
    </row>
    <row r="11111" spans="1:24">
      <c r="A11111">
        <f>HYPERLINK("https://www.philgeps.gov.ph/GEPSNONPILOT/Tender/SplashBidNoticeAbstractUI.aspx?menuIndex=3&amp;refID=7059915&amp;Result=3","7059915")</f>
        <v>0</v>
      </c>
      <c r="B11111" t="s">
        <v>1824</v>
      </c>
      <c r="C11111" t="s">
        <v>14114</v>
      </c>
      <c r="D11111" t="s">
        <v>18101</v>
      </c>
      <c r="E11111" t="s">
        <v>27825</v>
      </c>
      <c r="F11111" t="s">
        <v>31362</v>
      </c>
      <c r="G11111" t="s">
        <v>31369</v>
      </c>
      <c r="H11111" t="s">
        <v>31378</v>
      </c>
      <c r="I11111" t="s">
        <v>31386</v>
      </c>
      <c r="J11111" t="s">
        <v>38247</v>
      </c>
      <c r="K11111" t="s">
        <v>40691</v>
      </c>
      <c r="M11111" t="s">
        <v>42908</v>
      </c>
      <c r="N11111" t="s">
        <v>44905</v>
      </c>
      <c r="O11111" t="s">
        <v>44906</v>
      </c>
      <c r="P11111">
        <v>0</v>
      </c>
      <c r="Q11111">
        <v>2</v>
      </c>
      <c r="R11111" t="s">
        <v>44916</v>
      </c>
      <c r="S11111" t="s">
        <v>45313</v>
      </c>
      <c r="T11111" t="s">
        <v>46481</v>
      </c>
      <c r="U11111" t="s">
        <v>55818</v>
      </c>
      <c r="W11111" t="s">
        <v>42908</v>
      </c>
      <c r="X11111" t="s">
        <v>44918</v>
      </c>
    </row>
    <row r="11112" spans="1:24">
      <c r="A11112">
        <f>HYPERLINK("https://www.philgeps.gov.ph/GEPSNONPILOT/Tender/SplashBidNoticeAbstractUI.aspx?menuIndex=3&amp;refID=7071897&amp;Result=3","7071897")</f>
        <v>0</v>
      </c>
      <c r="B11112" t="s">
        <v>267</v>
      </c>
      <c r="C11112" t="s">
        <v>14115</v>
      </c>
      <c r="D11112" t="s">
        <v>18154</v>
      </c>
      <c r="E11112" t="s">
        <v>27826</v>
      </c>
      <c r="F11112" t="s">
        <v>31362</v>
      </c>
      <c r="G11112" t="s">
        <v>31369</v>
      </c>
      <c r="H11112" t="s">
        <v>15799</v>
      </c>
      <c r="I11112" t="s">
        <v>13635</v>
      </c>
      <c r="J11112" t="s">
        <v>38309</v>
      </c>
      <c r="K11112" t="s">
        <v>40670</v>
      </c>
      <c r="M11112" t="s">
        <v>41208</v>
      </c>
      <c r="N11112" t="s">
        <v>44905</v>
      </c>
      <c r="O11112" t="s">
        <v>44906</v>
      </c>
      <c r="P11112">
        <v>0</v>
      </c>
      <c r="Q11112">
        <v>0</v>
      </c>
      <c r="R11112" t="s">
        <v>44913</v>
      </c>
      <c r="S11112" t="s">
        <v>45170</v>
      </c>
      <c r="T11112" t="s">
        <v>46447</v>
      </c>
      <c r="U11112" t="s">
        <v>55819</v>
      </c>
      <c r="W11112" t="s">
        <v>41208</v>
      </c>
      <c r="X11112" t="s">
        <v>44914</v>
      </c>
    </row>
    <row r="11113" spans="1:24">
      <c r="A11113">
        <f>HYPERLINK("https://www.philgeps.gov.ph/GEPSNONPILOT/Tender/SplashBidNoticeAbstractUI.aspx?menuIndex=3&amp;refID=7071824&amp;Result=3","7071824")</f>
        <v>0</v>
      </c>
      <c r="B11113" t="s">
        <v>1952</v>
      </c>
      <c r="C11113" t="s">
        <v>14116</v>
      </c>
      <c r="D11113" t="s">
        <v>18114</v>
      </c>
      <c r="E11113" t="s">
        <v>27827</v>
      </c>
      <c r="F11113" t="s">
        <v>31362</v>
      </c>
      <c r="G11113" t="s">
        <v>31369</v>
      </c>
      <c r="H11113" t="s">
        <v>31378</v>
      </c>
      <c r="I11113" t="s">
        <v>31386</v>
      </c>
      <c r="J11113" t="s">
        <v>38310</v>
      </c>
      <c r="K11113" t="s">
        <v>40692</v>
      </c>
      <c r="M11113" t="s">
        <v>43057</v>
      </c>
      <c r="N11113" t="s">
        <v>44905</v>
      </c>
      <c r="O11113" t="s">
        <v>44906</v>
      </c>
      <c r="P11113">
        <v>0</v>
      </c>
      <c r="Q11113">
        <v>19</v>
      </c>
      <c r="R11113" t="s">
        <v>44913</v>
      </c>
      <c r="S11113" t="s">
        <v>45170</v>
      </c>
      <c r="T11113" t="s">
        <v>46504</v>
      </c>
      <c r="U11113" t="s">
        <v>55820</v>
      </c>
      <c r="V11113" t="s">
        <v>60248</v>
      </c>
      <c r="W11113" t="s">
        <v>43057</v>
      </c>
      <c r="X11113" t="s">
        <v>44914</v>
      </c>
    </row>
    <row r="11114" spans="1:24">
      <c r="A11114">
        <f>HYPERLINK("https://www.philgeps.gov.ph/GEPSNONPILOT/Tender/SplashBidNoticeAbstractUI.aspx?menuIndex=3&amp;refID=7062024&amp;Result=3","7062024")</f>
        <v>0</v>
      </c>
      <c r="B11114" t="s">
        <v>367</v>
      </c>
      <c r="C11114" t="s">
        <v>14117</v>
      </c>
      <c r="D11114" t="s">
        <v>18134</v>
      </c>
      <c r="E11114" t="s">
        <v>27828</v>
      </c>
      <c r="F11114" t="s">
        <v>31362</v>
      </c>
      <c r="G11114" t="s">
        <v>31369</v>
      </c>
      <c r="H11114" t="s">
        <v>31378</v>
      </c>
      <c r="I11114" t="s">
        <v>31386</v>
      </c>
      <c r="J11114" t="s">
        <v>38311</v>
      </c>
      <c r="K11114" t="s">
        <v>40694</v>
      </c>
      <c r="M11114" t="s">
        <v>41398</v>
      </c>
      <c r="N11114" t="s">
        <v>44905</v>
      </c>
      <c r="O11114" t="s">
        <v>44906</v>
      </c>
      <c r="P11114">
        <v>0</v>
      </c>
      <c r="Q11114">
        <v>0</v>
      </c>
      <c r="R11114" t="s">
        <v>44916</v>
      </c>
      <c r="S11114" t="s">
        <v>45313</v>
      </c>
      <c r="T11114" t="s">
        <v>46392</v>
      </c>
      <c r="U11114" t="s">
        <v>55821</v>
      </c>
      <c r="V11114" t="s">
        <v>60238</v>
      </c>
      <c r="W11114" t="s">
        <v>41398</v>
      </c>
      <c r="X11114" t="s">
        <v>44917</v>
      </c>
    </row>
    <row r="11115" spans="1:24">
      <c r="A11115">
        <f>HYPERLINK("https://www.philgeps.gov.ph/GEPSNONPILOT/Tender/SplashBidNoticeAbstractUI.aspx?menuIndex=3&amp;refID=7061919&amp;Result=3","7061919")</f>
        <v>0</v>
      </c>
      <c r="B11115" t="s">
        <v>367</v>
      </c>
      <c r="C11115" t="s">
        <v>14118</v>
      </c>
      <c r="D11115" t="s">
        <v>18134</v>
      </c>
      <c r="E11115" t="s">
        <v>27829</v>
      </c>
      <c r="F11115" t="s">
        <v>31362</v>
      </c>
      <c r="G11115" t="s">
        <v>31369</v>
      </c>
      <c r="H11115" t="s">
        <v>31378</v>
      </c>
      <c r="I11115" t="s">
        <v>31386</v>
      </c>
      <c r="J11115" t="s">
        <v>38312</v>
      </c>
      <c r="K11115" t="s">
        <v>40682</v>
      </c>
      <c r="M11115" t="s">
        <v>41398</v>
      </c>
      <c r="N11115" t="s">
        <v>44905</v>
      </c>
      <c r="O11115" t="s">
        <v>44906</v>
      </c>
      <c r="P11115">
        <v>0</v>
      </c>
      <c r="Q11115">
        <v>0</v>
      </c>
      <c r="R11115" t="s">
        <v>44916</v>
      </c>
      <c r="S11115" t="s">
        <v>45313</v>
      </c>
      <c r="T11115" t="s">
        <v>46392</v>
      </c>
      <c r="U11115" t="s">
        <v>55822</v>
      </c>
      <c r="V11115" t="s">
        <v>60238</v>
      </c>
      <c r="W11115" t="s">
        <v>41398</v>
      </c>
      <c r="X11115" t="s">
        <v>44917</v>
      </c>
    </row>
    <row r="11116" spans="1:24">
      <c r="A11116">
        <f>HYPERLINK("https://www.philgeps.gov.ph/GEPSNONPILOT/Tender/SplashBidNoticeAbstractUI.aspx?menuIndex=3&amp;refID=7071818&amp;Result=3","7071818")</f>
        <v>0</v>
      </c>
      <c r="B11116" t="s">
        <v>775</v>
      </c>
      <c r="C11116" t="s">
        <v>14119</v>
      </c>
      <c r="D11116" t="s">
        <v>18138</v>
      </c>
      <c r="E11116" t="s">
        <v>22289</v>
      </c>
      <c r="F11116" t="s">
        <v>31362</v>
      </c>
      <c r="G11116" t="s">
        <v>31368</v>
      </c>
      <c r="H11116" t="s">
        <v>15799</v>
      </c>
      <c r="I11116" t="s">
        <v>31380</v>
      </c>
      <c r="J11116" t="s">
        <v>38313</v>
      </c>
      <c r="K11116" t="s">
        <v>40670</v>
      </c>
      <c r="M11116" t="s">
        <v>41743</v>
      </c>
      <c r="N11116" t="s">
        <v>44905</v>
      </c>
      <c r="O11116" t="s">
        <v>44906</v>
      </c>
      <c r="P11116">
        <v>0</v>
      </c>
      <c r="Q11116">
        <v>2</v>
      </c>
      <c r="R11116" t="s">
        <v>44913</v>
      </c>
      <c r="S11116" t="s">
        <v>45170</v>
      </c>
      <c r="T11116" t="s">
        <v>46454</v>
      </c>
      <c r="U11116" t="s">
        <v>55823</v>
      </c>
      <c r="W11116" t="s">
        <v>41743</v>
      </c>
      <c r="X11116" t="s">
        <v>44914</v>
      </c>
    </row>
    <row r="11117" spans="1:24">
      <c r="A11117">
        <f>HYPERLINK("https://www.philgeps.gov.ph/GEPSNONPILOT/Tender/SplashBidNoticeAbstractUI.aspx?menuIndex=3&amp;refID=7061907&amp;Result=3","7061907")</f>
        <v>0</v>
      </c>
      <c r="B11117" t="s">
        <v>2903</v>
      </c>
      <c r="C11117" t="s">
        <v>14120</v>
      </c>
      <c r="D11117" t="s">
        <v>18147</v>
      </c>
      <c r="E11117" t="s">
        <v>27830</v>
      </c>
      <c r="F11117" t="s">
        <v>31362</v>
      </c>
      <c r="G11117" t="s">
        <v>31369</v>
      </c>
      <c r="H11117" t="s">
        <v>15799</v>
      </c>
      <c r="I11117" t="s">
        <v>7090</v>
      </c>
      <c r="J11117" t="s">
        <v>38314</v>
      </c>
      <c r="K11117" t="s">
        <v>40682</v>
      </c>
      <c r="M11117" t="s">
        <v>44118</v>
      </c>
      <c r="N11117" t="s">
        <v>44905</v>
      </c>
      <c r="O11117" t="s">
        <v>44906</v>
      </c>
      <c r="P11117">
        <v>0</v>
      </c>
      <c r="Q11117">
        <v>2</v>
      </c>
      <c r="R11117" t="s">
        <v>44916</v>
      </c>
      <c r="S11117" t="s">
        <v>45313</v>
      </c>
      <c r="T11117" t="s">
        <v>46671</v>
      </c>
      <c r="U11117" t="s">
        <v>55824</v>
      </c>
      <c r="W11117" t="s">
        <v>44118</v>
      </c>
      <c r="X11117" t="s">
        <v>44917</v>
      </c>
    </row>
    <row r="11118" spans="1:24">
      <c r="A11118">
        <f>HYPERLINK("https://www.philgeps.gov.ph/GEPSNONPILOT/Tender/SplashBidNoticeAbstractUI.aspx?menuIndex=3&amp;refID=7061949&amp;Result=3","7061949")</f>
        <v>0</v>
      </c>
      <c r="B11118" t="s">
        <v>367</v>
      </c>
      <c r="C11118" t="s">
        <v>14121</v>
      </c>
      <c r="D11118" t="s">
        <v>18134</v>
      </c>
      <c r="E11118" t="s">
        <v>27831</v>
      </c>
      <c r="F11118" t="s">
        <v>31362</v>
      </c>
      <c r="G11118" t="s">
        <v>31369</v>
      </c>
      <c r="H11118" t="s">
        <v>31378</v>
      </c>
      <c r="I11118" t="s">
        <v>31386</v>
      </c>
      <c r="J11118" t="s">
        <v>38315</v>
      </c>
      <c r="K11118" t="s">
        <v>40686</v>
      </c>
      <c r="M11118" t="s">
        <v>41398</v>
      </c>
      <c r="N11118" t="s">
        <v>44905</v>
      </c>
      <c r="O11118" t="s">
        <v>44906</v>
      </c>
      <c r="P11118">
        <v>0</v>
      </c>
      <c r="Q11118">
        <v>0</v>
      </c>
      <c r="R11118" t="s">
        <v>44916</v>
      </c>
      <c r="S11118" t="s">
        <v>45313</v>
      </c>
      <c r="T11118" t="s">
        <v>46392</v>
      </c>
      <c r="U11118" t="s">
        <v>55825</v>
      </c>
      <c r="V11118" t="s">
        <v>60238</v>
      </c>
      <c r="W11118" t="s">
        <v>41398</v>
      </c>
      <c r="X11118" t="s">
        <v>44917</v>
      </c>
    </row>
    <row r="11119" spans="1:24">
      <c r="A11119">
        <f>HYPERLINK("https://www.philgeps.gov.ph/GEPSNONPILOT/Tender/SplashBidNoticeAbstractUI.aspx?menuIndex=3&amp;refID=7071890&amp;Result=3","7071890")</f>
        <v>0</v>
      </c>
      <c r="B11119" t="s">
        <v>2741</v>
      </c>
      <c r="C11119" t="s">
        <v>14122</v>
      </c>
      <c r="D11119" t="s">
        <v>18177</v>
      </c>
      <c r="E11119" t="s">
        <v>27832</v>
      </c>
      <c r="F11119" t="s">
        <v>31362</v>
      </c>
      <c r="G11119" t="s">
        <v>31369</v>
      </c>
      <c r="H11119" t="s">
        <v>31378</v>
      </c>
      <c r="I11119" t="s">
        <v>31386</v>
      </c>
      <c r="J11119" t="s">
        <v>31625</v>
      </c>
      <c r="K11119" t="s">
        <v>40686</v>
      </c>
      <c r="M11119" t="s">
        <v>43929</v>
      </c>
      <c r="N11119" t="s">
        <v>44905</v>
      </c>
      <c r="O11119" t="s">
        <v>44906</v>
      </c>
      <c r="P11119">
        <v>0</v>
      </c>
      <c r="Q11119">
        <v>0</v>
      </c>
      <c r="R11119" t="s">
        <v>44913</v>
      </c>
      <c r="S11119" t="s">
        <v>45170</v>
      </c>
      <c r="T11119" t="s">
        <v>46671</v>
      </c>
      <c r="U11119" t="s">
        <v>55826</v>
      </c>
      <c r="W11119" t="s">
        <v>43929</v>
      </c>
      <c r="X11119" t="s">
        <v>44914</v>
      </c>
    </row>
    <row r="11120" spans="1:24">
      <c r="A11120">
        <f>HYPERLINK("https://www.philgeps.gov.ph/GEPSNONPILOT/Tender/SplashBidNoticeAbstractUI.aspx?menuIndex=3&amp;refID=7071820&amp;Result=3","7071820")</f>
        <v>0</v>
      </c>
      <c r="B11120" t="s">
        <v>623</v>
      </c>
      <c r="C11120" t="s">
        <v>14123</v>
      </c>
      <c r="D11120" t="s">
        <v>18146</v>
      </c>
      <c r="E11120" t="s">
        <v>27833</v>
      </c>
      <c r="F11120" t="s">
        <v>31362</v>
      </c>
      <c r="G11120" t="s">
        <v>31368</v>
      </c>
      <c r="H11120" t="s">
        <v>15799</v>
      </c>
      <c r="I11120" t="s">
        <v>31409</v>
      </c>
      <c r="J11120" t="s">
        <v>31578</v>
      </c>
      <c r="K11120" t="s">
        <v>40682</v>
      </c>
      <c r="M11120" t="s">
        <v>41582</v>
      </c>
      <c r="N11120" t="s">
        <v>44905</v>
      </c>
      <c r="O11120" t="s">
        <v>44906</v>
      </c>
      <c r="P11120">
        <v>0</v>
      </c>
      <c r="Q11120">
        <v>0</v>
      </c>
      <c r="R11120" t="s">
        <v>44913</v>
      </c>
      <c r="S11120" t="s">
        <v>45170</v>
      </c>
      <c r="T11120" t="s">
        <v>46411</v>
      </c>
      <c r="U11120" t="s">
        <v>55827</v>
      </c>
      <c r="V11120" t="s">
        <v>60249</v>
      </c>
      <c r="W11120" t="s">
        <v>41582</v>
      </c>
      <c r="X11120" t="s">
        <v>44914</v>
      </c>
    </row>
    <row r="11121" spans="1:24">
      <c r="A11121">
        <f>HYPERLINK("https://www.philgeps.gov.ph/GEPSNONPILOT/Tender/SplashBidNoticeAbstractUI.aspx?menuIndex=3&amp;refID=7062139&amp;Result=3","7062139")</f>
        <v>0</v>
      </c>
      <c r="B11121" t="s">
        <v>3027</v>
      </c>
      <c r="C11121" t="s">
        <v>14124</v>
      </c>
      <c r="D11121" t="s">
        <v>18153</v>
      </c>
      <c r="E11121" t="s">
        <v>27834</v>
      </c>
      <c r="F11121" t="s">
        <v>31362</v>
      </c>
      <c r="G11121" t="s">
        <v>31369</v>
      </c>
      <c r="H11121" t="s">
        <v>31378</v>
      </c>
      <c r="I11121" t="s">
        <v>31386</v>
      </c>
      <c r="J11121" t="s">
        <v>31531</v>
      </c>
      <c r="K11121" t="s">
        <v>40662</v>
      </c>
      <c r="M11121" t="s">
        <v>44260</v>
      </c>
      <c r="N11121" t="s">
        <v>44905</v>
      </c>
      <c r="O11121" t="s">
        <v>44906</v>
      </c>
      <c r="P11121">
        <v>0</v>
      </c>
      <c r="Q11121">
        <v>0</v>
      </c>
      <c r="R11121" t="s">
        <v>44916</v>
      </c>
      <c r="S11121" t="s">
        <v>45313</v>
      </c>
      <c r="T11121" t="s">
        <v>46560</v>
      </c>
      <c r="U11121" t="s">
        <v>55828</v>
      </c>
      <c r="V11121" t="s">
        <v>60250</v>
      </c>
      <c r="W11121" t="s">
        <v>44260</v>
      </c>
      <c r="X11121" t="s">
        <v>44917</v>
      </c>
    </row>
    <row r="11122" spans="1:24">
      <c r="A11122">
        <f>HYPERLINK("https://www.philgeps.gov.ph/GEPSNONPILOT/Tender/SplashBidNoticeAbstractUI.aspx?menuIndex=3&amp;refID=7062055&amp;Result=3","7062055")</f>
        <v>0</v>
      </c>
      <c r="B11122" t="s">
        <v>1816</v>
      </c>
      <c r="C11122" t="s">
        <v>14125</v>
      </c>
      <c r="D11122" t="s">
        <v>18141</v>
      </c>
      <c r="E11122" t="s">
        <v>27835</v>
      </c>
      <c r="F11122" t="s">
        <v>31362</v>
      </c>
      <c r="G11122" t="s">
        <v>31369</v>
      </c>
      <c r="H11122" t="s">
        <v>31378</v>
      </c>
      <c r="I11122" t="s">
        <v>31386</v>
      </c>
      <c r="J11122" t="s">
        <v>38316</v>
      </c>
      <c r="K11122" t="s">
        <v>40683</v>
      </c>
      <c r="M11122" t="s">
        <v>42899</v>
      </c>
      <c r="N11122" t="s">
        <v>44905</v>
      </c>
      <c r="O11122" t="s">
        <v>44906</v>
      </c>
      <c r="P11122">
        <v>0</v>
      </c>
      <c r="Q11122">
        <v>0</v>
      </c>
      <c r="R11122" t="s">
        <v>44916</v>
      </c>
      <c r="S11122" t="s">
        <v>45313</v>
      </c>
      <c r="T11122" t="s">
        <v>46560</v>
      </c>
      <c r="U11122" t="s">
        <v>55829</v>
      </c>
      <c r="W11122" t="s">
        <v>42899</v>
      </c>
      <c r="X11122" t="s">
        <v>44917</v>
      </c>
    </row>
    <row r="11123" spans="1:24">
      <c r="A11123">
        <f>HYPERLINK("https://www.philgeps.gov.ph/GEPSNONPILOT/Tender/SplashBidNoticeAbstractUI.aspx?menuIndex=3&amp;refID=7062129&amp;Result=3","7062129")</f>
        <v>0</v>
      </c>
      <c r="B11123" t="s">
        <v>2167</v>
      </c>
      <c r="C11123" t="s">
        <v>14126</v>
      </c>
      <c r="D11123" t="s">
        <v>18134</v>
      </c>
      <c r="E11123" t="s">
        <v>27836</v>
      </c>
      <c r="F11123" t="s">
        <v>31362</v>
      </c>
      <c r="G11123" t="s">
        <v>31369</v>
      </c>
      <c r="H11123" t="s">
        <v>31378</v>
      </c>
      <c r="I11123" t="s">
        <v>31386</v>
      </c>
      <c r="J11123" t="s">
        <v>38317</v>
      </c>
      <c r="K11123" t="s">
        <v>40679</v>
      </c>
      <c r="M11123" t="s">
        <v>43297</v>
      </c>
      <c r="N11123" t="s">
        <v>44905</v>
      </c>
      <c r="O11123" t="s">
        <v>44906</v>
      </c>
      <c r="P11123">
        <v>0</v>
      </c>
      <c r="Q11123">
        <v>1</v>
      </c>
      <c r="R11123" t="s">
        <v>44916</v>
      </c>
      <c r="S11123" t="s">
        <v>45313</v>
      </c>
      <c r="T11123" t="s">
        <v>46831</v>
      </c>
      <c r="U11123" t="s">
        <v>52713</v>
      </c>
      <c r="V11123" t="s">
        <v>59990</v>
      </c>
      <c r="W11123" t="s">
        <v>43297</v>
      </c>
      <c r="X11123" t="s">
        <v>44917</v>
      </c>
    </row>
    <row r="11124" spans="1:24">
      <c r="A11124">
        <f>HYPERLINK("https://www.philgeps.gov.ph/GEPSNONPILOT/Tender/SplashBidNoticeAbstractUI.aspx?menuIndex=3&amp;refID=7071886&amp;Result=3","7071886")</f>
        <v>0</v>
      </c>
      <c r="B11124" t="s">
        <v>1952</v>
      </c>
      <c r="C11124" t="s">
        <v>14127</v>
      </c>
      <c r="D11124" t="s">
        <v>18114</v>
      </c>
      <c r="E11124" t="s">
        <v>27837</v>
      </c>
      <c r="F11124" t="s">
        <v>31362</v>
      </c>
      <c r="G11124" t="s">
        <v>31369</v>
      </c>
      <c r="H11124" t="s">
        <v>31378</v>
      </c>
      <c r="I11124" t="s">
        <v>31386</v>
      </c>
      <c r="J11124" t="s">
        <v>38318</v>
      </c>
      <c r="K11124" t="s">
        <v>40889</v>
      </c>
      <c r="M11124" t="s">
        <v>43057</v>
      </c>
      <c r="N11124" t="s">
        <v>44905</v>
      </c>
      <c r="O11124" t="s">
        <v>44906</v>
      </c>
      <c r="P11124">
        <v>0</v>
      </c>
      <c r="Q11124">
        <v>20</v>
      </c>
      <c r="R11124" t="s">
        <v>44913</v>
      </c>
      <c r="S11124" t="s">
        <v>45170</v>
      </c>
      <c r="T11124" t="s">
        <v>46504</v>
      </c>
      <c r="U11124" t="s">
        <v>55830</v>
      </c>
      <c r="V11124" t="s">
        <v>59409</v>
      </c>
      <c r="W11124" t="s">
        <v>43057</v>
      </c>
      <c r="X11124" t="s">
        <v>44914</v>
      </c>
    </row>
    <row r="11125" spans="1:24">
      <c r="A11125">
        <f>HYPERLINK("https://www.philgeps.gov.ph/GEPSNONPILOT/Tender/SplashBidNoticeAbstractUI.aspx?menuIndex=3&amp;refID=7062092&amp;Result=3","7062092")</f>
        <v>0</v>
      </c>
      <c r="B11125" t="s">
        <v>320</v>
      </c>
      <c r="C11125" t="s">
        <v>14128</v>
      </c>
      <c r="D11125" t="s">
        <v>18172</v>
      </c>
      <c r="E11125" t="s">
        <v>27838</v>
      </c>
      <c r="F11125" t="s">
        <v>31362</v>
      </c>
      <c r="G11125" t="s">
        <v>31369</v>
      </c>
      <c r="H11125" t="s">
        <v>31378</v>
      </c>
      <c r="I11125" t="s">
        <v>31386</v>
      </c>
      <c r="J11125" t="s">
        <v>38319</v>
      </c>
      <c r="K11125" t="s">
        <v>40670</v>
      </c>
      <c r="M11125" t="s">
        <v>41265</v>
      </c>
      <c r="N11125" t="s">
        <v>44905</v>
      </c>
      <c r="O11125" t="s">
        <v>44906</v>
      </c>
      <c r="P11125">
        <v>0</v>
      </c>
      <c r="Q11125">
        <v>0</v>
      </c>
      <c r="R11125" t="s">
        <v>44916</v>
      </c>
      <c r="S11125" t="s">
        <v>45313</v>
      </c>
      <c r="T11125" t="s">
        <v>46569</v>
      </c>
      <c r="U11125" t="s">
        <v>55831</v>
      </c>
      <c r="W11125" t="s">
        <v>41265</v>
      </c>
      <c r="X11125" t="s">
        <v>44917</v>
      </c>
    </row>
    <row r="11126" spans="1:24">
      <c r="A11126">
        <f>HYPERLINK("https://www.philgeps.gov.ph/GEPSNONPILOT/Tender/SplashBidNoticeAbstractUI.aspx?menuIndex=3&amp;refID=7062076&amp;Result=3","7062076")</f>
        <v>0</v>
      </c>
      <c r="B11126" t="s">
        <v>1144</v>
      </c>
      <c r="C11126" t="s">
        <v>14129</v>
      </c>
      <c r="D11126" t="s">
        <v>18154</v>
      </c>
      <c r="E11126" t="s">
        <v>27839</v>
      </c>
      <c r="F11126" t="s">
        <v>31362</v>
      </c>
      <c r="G11126" t="s">
        <v>31369</v>
      </c>
      <c r="H11126" t="s">
        <v>31378</v>
      </c>
      <c r="I11126" t="s">
        <v>31386</v>
      </c>
      <c r="J11126" t="s">
        <v>32902</v>
      </c>
      <c r="K11126" t="s">
        <v>40662</v>
      </c>
      <c r="M11126" t="s">
        <v>42153</v>
      </c>
      <c r="N11126" t="s">
        <v>44905</v>
      </c>
      <c r="O11126" t="s">
        <v>44906</v>
      </c>
      <c r="P11126">
        <v>0</v>
      </c>
      <c r="Q11126">
        <v>1</v>
      </c>
      <c r="R11126" t="s">
        <v>44916</v>
      </c>
      <c r="S11126" t="s">
        <v>45313</v>
      </c>
      <c r="T11126" t="s">
        <v>46499</v>
      </c>
      <c r="U11126" t="s">
        <v>55832</v>
      </c>
      <c r="W11126" t="s">
        <v>42153</v>
      </c>
      <c r="X11126" t="s">
        <v>44917</v>
      </c>
    </row>
    <row r="11127" spans="1:24">
      <c r="A11127">
        <f>HYPERLINK("https://www.philgeps.gov.ph/GEPSNONPILOT/Tender/SplashBidNoticeAbstractUI.aspx?menuIndex=3&amp;refID=7062063&amp;Result=3","7062063")</f>
        <v>0</v>
      </c>
      <c r="B11127" t="s">
        <v>367</v>
      </c>
      <c r="C11127" t="s">
        <v>14130</v>
      </c>
      <c r="D11127" t="s">
        <v>18134</v>
      </c>
      <c r="E11127" t="s">
        <v>27840</v>
      </c>
      <c r="F11127" t="s">
        <v>31362</v>
      </c>
      <c r="G11127" t="s">
        <v>31369</v>
      </c>
      <c r="H11127" t="s">
        <v>31378</v>
      </c>
      <c r="I11127" t="s">
        <v>31386</v>
      </c>
      <c r="J11127" t="s">
        <v>38320</v>
      </c>
      <c r="K11127" t="s">
        <v>40694</v>
      </c>
      <c r="M11127" t="s">
        <v>41398</v>
      </c>
      <c r="N11127" t="s">
        <v>44905</v>
      </c>
      <c r="O11127" t="s">
        <v>44906</v>
      </c>
      <c r="P11127">
        <v>0</v>
      </c>
      <c r="Q11127">
        <v>0</v>
      </c>
      <c r="R11127" t="s">
        <v>44916</v>
      </c>
      <c r="S11127" t="s">
        <v>45313</v>
      </c>
      <c r="T11127" t="s">
        <v>46392</v>
      </c>
      <c r="U11127" t="s">
        <v>55821</v>
      </c>
      <c r="V11127" t="s">
        <v>60238</v>
      </c>
      <c r="W11127" t="s">
        <v>41398</v>
      </c>
      <c r="X11127" t="s">
        <v>44917</v>
      </c>
    </row>
    <row r="11128" spans="1:24">
      <c r="A11128">
        <f>HYPERLINK("https://www.philgeps.gov.ph/GEPSNONPILOT/Tender/SplashBidNoticeAbstractUI.aspx?menuIndex=3&amp;refID=7062059&amp;Result=3","7062059")</f>
        <v>0</v>
      </c>
      <c r="B11128" t="s">
        <v>3028</v>
      </c>
      <c r="C11128" t="s">
        <v>14131</v>
      </c>
      <c r="D11128" t="s">
        <v>18125</v>
      </c>
      <c r="E11128" t="s">
        <v>27841</v>
      </c>
      <c r="F11128" t="s">
        <v>31362</v>
      </c>
      <c r="G11128" t="s">
        <v>31369</v>
      </c>
      <c r="H11128" t="s">
        <v>15799</v>
      </c>
      <c r="I11128" t="s">
        <v>3815</v>
      </c>
      <c r="J11128" t="s">
        <v>38321</v>
      </c>
      <c r="K11128" t="s">
        <v>40666</v>
      </c>
      <c r="M11128" t="s">
        <v>44261</v>
      </c>
      <c r="N11128" t="s">
        <v>44905</v>
      </c>
      <c r="O11128" t="s">
        <v>44906</v>
      </c>
      <c r="P11128">
        <v>0</v>
      </c>
      <c r="Q11128">
        <v>1</v>
      </c>
      <c r="R11128" t="s">
        <v>44916</v>
      </c>
      <c r="S11128" t="s">
        <v>45313</v>
      </c>
      <c r="T11128" t="s">
        <v>46410</v>
      </c>
      <c r="U11128" t="s">
        <v>55833</v>
      </c>
      <c r="W11128" t="s">
        <v>44261</v>
      </c>
      <c r="X11128" t="s">
        <v>44917</v>
      </c>
    </row>
    <row r="11129" spans="1:24">
      <c r="A11129">
        <f>HYPERLINK("https://www.philgeps.gov.ph/GEPSNONPILOT/Tender/SplashBidNoticeAbstractUI.aspx?menuIndex=3&amp;refID=7062130&amp;Result=3","7062130")</f>
        <v>0</v>
      </c>
      <c r="B11129" t="s">
        <v>1831</v>
      </c>
      <c r="C11129" t="s">
        <v>14132</v>
      </c>
      <c r="D11129" t="s">
        <v>18167</v>
      </c>
      <c r="E11129" t="s">
        <v>27842</v>
      </c>
      <c r="F11129" t="s">
        <v>31362</v>
      </c>
      <c r="G11129" t="s">
        <v>31369</v>
      </c>
      <c r="H11129" t="s">
        <v>31378</v>
      </c>
      <c r="I11129" t="s">
        <v>31386</v>
      </c>
      <c r="J11129" t="s">
        <v>38085</v>
      </c>
      <c r="K11129" t="s">
        <v>40665</v>
      </c>
      <c r="M11129" t="s">
        <v>42917</v>
      </c>
      <c r="N11129" t="s">
        <v>44905</v>
      </c>
      <c r="O11129" t="s">
        <v>44906</v>
      </c>
      <c r="P11129">
        <v>0</v>
      </c>
      <c r="Q11129">
        <v>0</v>
      </c>
      <c r="R11129" t="s">
        <v>44916</v>
      </c>
      <c r="S11129" t="s">
        <v>45313</v>
      </c>
      <c r="T11129" t="s">
        <v>46638</v>
      </c>
      <c r="U11129" t="s">
        <v>55834</v>
      </c>
      <c r="W11129" t="s">
        <v>42917</v>
      </c>
      <c r="X11129" t="s">
        <v>44917</v>
      </c>
    </row>
    <row r="11130" spans="1:24">
      <c r="A11130">
        <f>HYPERLINK("https://www.philgeps.gov.ph/GEPSNONPILOT/Tender/SplashBidNoticeAbstractUI.aspx?menuIndex=3&amp;refID=7062222&amp;Result=3","7062222")</f>
        <v>0</v>
      </c>
      <c r="B11130" t="s">
        <v>747</v>
      </c>
      <c r="C11130" t="s">
        <v>14133</v>
      </c>
      <c r="D11130" t="s">
        <v>18108</v>
      </c>
      <c r="E11130" t="s">
        <v>27843</v>
      </c>
      <c r="F11130" t="s">
        <v>31362</v>
      </c>
      <c r="G11130" t="s">
        <v>31369</v>
      </c>
      <c r="H11130" t="s">
        <v>15799</v>
      </c>
      <c r="I11130" t="s">
        <v>31396</v>
      </c>
      <c r="J11130" t="s">
        <v>38322</v>
      </c>
      <c r="K11130" t="s">
        <v>40662</v>
      </c>
      <c r="M11130" t="s">
        <v>44262</v>
      </c>
      <c r="N11130" t="s">
        <v>44905</v>
      </c>
      <c r="O11130" t="s">
        <v>44906</v>
      </c>
      <c r="P11130">
        <v>0</v>
      </c>
      <c r="Q11130">
        <v>51</v>
      </c>
      <c r="R11130" t="s">
        <v>44916</v>
      </c>
      <c r="S11130" t="s">
        <v>45313</v>
      </c>
      <c r="T11130" t="s">
        <v>46504</v>
      </c>
      <c r="U11130" t="s">
        <v>55835</v>
      </c>
      <c r="W11130" t="s">
        <v>44262</v>
      </c>
      <c r="X11130" t="s">
        <v>44917</v>
      </c>
    </row>
    <row r="11131" spans="1:24">
      <c r="A11131">
        <f>HYPERLINK("https://www.philgeps.gov.ph/GEPSNONPILOT/Tender/SplashBidNoticeAbstractUI.aspx?menuIndex=3&amp;refID=7062210&amp;Result=3","7062210")</f>
        <v>0</v>
      </c>
      <c r="B11131" t="s">
        <v>3029</v>
      </c>
      <c r="C11131" t="s">
        <v>14134</v>
      </c>
      <c r="D11131" t="s">
        <v>18128</v>
      </c>
      <c r="E11131" t="s">
        <v>27844</v>
      </c>
      <c r="F11131" t="s">
        <v>31362</v>
      </c>
      <c r="G11131" t="s">
        <v>31369</v>
      </c>
      <c r="H11131" t="s">
        <v>15799</v>
      </c>
      <c r="I11131" t="s">
        <v>6373</v>
      </c>
      <c r="J11131" t="s">
        <v>38323</v>
      </c>
      <c r="K11131" t="s">
        <v>40665</v>
      </c>
      <c r="M11131" t="s">
        <v>44263</v>
      </c>
      <c r="N11131" t="s">
        <v>44905</v>
      </c>
      <c r="O11131" t="s">
        <v>44906</v>
      </c>
      <c r="P11131">
        <v>0</v>
      </c>
      <c r="Q11131">
        <v>1</v>
      </c>
      <c r="R11131" t="s">
        <v>44916</v>
      </c>
      <c r="S11131" t="s">
        <v>45313</v>
      </c>
      <c r="T11131" t="s">
        <v>46692</v>
      </c>
      <c r="U11131" t="s">
        <v>52727</v>
      </c>
      <c r="V11131" t="s">
        <v>60251</v>
      </c>
      <c r="W11131" t="s">
        <v>44263</v>
      </c>
      <c r="X11131" t="s">
        <v>44917</v>
      </c>
    </row>
    <row r="11132" spans="1:24">
      <c r="A11132">
        <f>HYPERLINK("https://www.philgeps.gov.ph/GEPSNONPILOT/Tender/SplashBidNoticeAbstractUI.aspx?menuIndex=3&amp;refID=7062133&amp;Result=3","7062133")</f>
        <v>0</v>
      </c>
      <c r="B11132" t="s">
        <v>324</v>
      </c>
      <c r="C11132" t="s">
        <v>4959</v>
      </c>
      <c r="D11132" t="s">
        <v>18174</v>
      </c>
      <c r="E11132" t="s">
        <v>27845</v>
      </c>
      <c r="F11132" t="s">
        <v>31362</v>
      </c>
      <c r="G11132" t="s">
        <v>31370</v>
      </c>
      <c r="H11132" t="s">
        <v>15799</v>
      </c>
      <c r="I11132" t="s">
        <v>31430</v>
      </c>
      <c r="J11132" t="s">
        <v>38324</v>
      </c>
      <c r="K11132" t="s">
        <v>40666</v>
      </c>
      <c r="M11132" t="s">
        <v>41270</v>
      </c>
      <c r="N11132" t="s">
        <v>44905</v>
      </c>
      <c r="O11132" t="s">
        <v>44906</v>
      </c>
      <c r="P11132">
        <v>0</v>
      </c>
      <c r="Q11132">
        <v>0</v>
      </c>
      <c r="R11132" t="s">
        <v>44916</v>
      </c>
      <c r="S11132" t="s">
        <v>45313</v>
      </c>
      <c r="T11132" t="s">
        <v>46549</v>
      </c>
      <c r="U11132" t="s">
        <v>55836</v>
      </c>
      <c r="W11132" t="s">
        <v>41270</v>
      </c>
      <c r="X11132" t="s">
        <v>44917</v>
      </c>
    </row>
    <row r="11133" spans="1:24">
      <c r="A11133">
        <f>HYPERLINK("https://www.philgeps.gov.ph/GEPSNONPILOT/Tender/SplashBidNoticeAbstractUI.aspx?menuIndex=3&amp;refID=7062201&amp;Result=3","7062201")</f>
        <v>0</v>
      </c>
      <c r="B11133" t="s">
        <v>2706</v>
      </c>
      <c r="C11133" t="s">
        <v>14135</v>
      </c>
      <c r="D11133" t="s">
        <v>18104</v>
      </c>
      <c r="E11133" t="s">
        <v>24951</v>
      </c>
      <c r="F11133" t="s">
        <v>31363</v>
      </c>
      <c r="G11133" t="s">
        <v>31369</v>
      </c>
      <c r="H11133" t="s">
        <v>15799</v>
      </c>
      <c r="I11133" t="s">
        <v>4283</v>
      </c>
      <c r="J11133" t="s">
        <v>38325</v>
      </c>
      <c r="K11133" t="s">
        <v>40661</v>
      </c>
      <c r="M11133" t="s">
        <v>43892</v>
      </c>
      <c r="N11133" t="s">
        <v>44905</v>
      </c>
      <c r="O11133" t="s">
        <v>44906</v>
      </c>
      <c r="P11133">
        <v>0</v>
      </c>
      <c r="Q11133">
        <v>1</v>
      </c>
      <c r="R11133" t="s">
        <v>44916</v>
      </c>
      <c r="S11133" t="s">
        <v>45313</v>
      </c>
      <c r="T11133" t="s">
        <v>46392</v>
      </c>
      <c r="U11133" t="s">
        <v>55837</v>
      </c>
      <c r="V11133" t="s">
        <v>60252</v>
      </c>
      <c r="W11133" t="s">
        <v>43892</v>
      </c>
      <c r="X11133" t="s">
        <v>44917</v>
      </c>
    </row>
    <row r="11134" spans="1:24">
      <c r="A11134">
        <f>HYPERLINK("https://www.philgeps.gov.ph/GEPSNONPILOT/Tender/SplashBidNoticeAbstractUI.aspx?menuIndex=3&amp;refID=7062228&amp;Result=3","7062228")</f>
        <v>0</v>
      </c>
      <c r="B11134" t="s">
        <v>3027</v>
      </c>
      <c r="C11134" t="s">
        <v>14136</v>
      </c>
      <c r="D11134" t="s">
        <v>18153</v>
      </c>
      <c r="E11134" t="s">
        <v>27846</v>
      </c>
      <c r="F11134" t="s">
        <v>31362</v>
      </c>
      <c r="G11134" t="s">
        <v>31369</v>
      </c>
      <c r="H11134" t="s">
        <v>15799</v>
      </c>
      <c r="I11134" t="s">
        <v>31404</v>
      </c>
      <c r="J11134" t="s">
        <v>38326</v>
      </c>
      <c r="K11134" t="s">
        <v>40662</v>
      </c>
      <c r="M11134" t="s">
        <v>44260</v>
      </c>
      <c r="N11134" t="s">
        <v>44905</v>
      </c>
      <c r="O11134" t="s">
        <v>44906</v>
      </c>
      <c r="P11134">
        <v>0</v>
      </c>
      <c r="Q11134">
        <v>0</v>
      </c>
      <c r="R11134" t="s">
        <v>44916</v>
      </c>
      <c r="S11134" t="s">
        <v>45313</v>
      </c>
      <c r="T11134" t="s">
        <v>46560</v>
      </c>
      <c r="U11134" t="s">
        <v>55838</v>
      </c>
      <c r="V11134" t="s">
        <v>60250</v>
      </c>
      <c r="W11134" t="s">
        <v>44260</v>
      </c>
      <c r="X11134" t="s">
        <v>44917</v>
      </c>
    </row>
    <row r="11135" spans="1:24">
      <c r="A11135">
        <f>HYPERLINK("https://www.philgeps.gov.ph/GEPSNONPILOT/Tender/SplashBidNoticeAbstractUI.aspx?menuIndex=3&amp;refID=7062195&amp;Result=3","7062195")</f>
        <v>0</v>
      </c>
      <c r="B11135" t="s">
        <v>3030</v>
      </c>
      <c r="C11135" t="s">
        <v>14137</v>
      </c>
      <c r="D11135" t="s">
        <v>18113</v>
      </c>
      <c r="E11135" t="s">
        <v>18548</v>
      </c>
      <c r="F11135" t="s">
        <v>31362</v>
      </c>
      <c r="G11135" t="s">
        <v>31369</v>
      </c>
      <c r="H11135" t="s">
        <v>15799</v>
      </c>
      <c r="I11135" t="s">
        <v>31387</v>
      </c>
      <c r="J11135" t="s">
        <v>32763</v>
      </c>
      <c r="K11135" t="s">
        <v>40666</v>
      </c>
      <c r="M11135" t="s">
        <v>44264</v>
      </c>
      <c r="N11135" t="s">
        <v>44905</v>
      </c>
      <c r="O11135" t="s">
        <v>44906</v>
      </c>
      <c r="P11135">
        <v>0</v>
      </c>
      <c r="Q11135">
        <v>2</v>
      </c>
      <c r="R11135" t="s">
        <v>44916</v>
      </c>
      <c r="S11135" t="s">
        <v>45313</v>
      </c>
      <c r="T11135" t="s">
        <v>46443</v>
      </c>
      <c r="U11135" t="s">
        <v>55839</v>
      </c>
      <c r="W11135" t="s">
        <v>44264</v>
      </c>
      <c r="X11135" t="s">
        <v>44917</v>
      </c>
    </row>
    <row r="11136" spans="1:24">
      <c r="A11136">
        <f>HYPERLINK("https://www.philgeps.gov.ph/GEPSNONPILOT/Tender/SplashBidNoticeAbstractUI.aspx?menuIndex=3&amp;refID=7062237&amp;Result=3","7062237")</f>
        <v>0</v>
      </c>
      <c r="B11136" t="s">
        <v>418</v>
      </c>
      <c r="C11136" t="s">
        <v>14138</v>
      </c>
      <c r="D11136" t="s">
        <v>18100</v>
      </c>
      <c r="E11136" t="s">
        <v>27847</v>
      </c>
      <c r="F11136" t="s">
        <v>31362</v>
      </c>
      <c r="G11136" t="s">
        <v>31369</v>
      </c>
      <c r="H11136" t="s">
        <v>15799</v>
      </c>
      <c r="I11136" t="s">
        <v>31409</v>
      </c>
      <c r="J11136" t="s">
        <v>35216</v>
      </c>
      <c r="K11136" t="s">
        <v>40665</v>
      </c>
      <c r="M11136" t="s">
        <v>43039</v>
      </c>
      <c r="N11136" t="s">
        <v>44905</v>
      </c>
      <c r="O11136" t="s">
        <v>44906</v>
      </c>
      <c r="Q11136">
        <v>4</v>
      </c>
      <c r="R11136" t="s">
        <v>44916</v>
      </c>
      <c r="S11136" t="s">
        <v>45345</v>
      </c>
      <c r="T11136" t="s">
        <v>46560</v>
      </c>
      <c r="U11136" t="s">
        <v>55840</v>
      </c>
      <c r="W11136" t="s">
        <v>43039</v>
      </c>
      <c r="X11136" t="s">
        <v>44917</v>
      </c>
    </row>
    <row r="11137" spans="1:24">
      <c r="A11137">
        <f>HYPERLINK("https://www.philgeps.gov.ph/GEPSNONPILOT/Tender/SplashBidNoticeAbstractUI.aspx?menuIndex=3&amp;refID=7062234&amp;Result=3","7062234")</f>
        <v>0</v>
      </c>
      <c r="B11137" t="s">
        <v>2706</v>
      </c>
      <c r="C11137" t="s">
        <v>14139</v>
      </c>
      <c r="D11137" t="s">
        <v>18104</v>
      </c>
      <c r="E11137" t="s">
        <v>24745</v>
      </c>
      <c r="F11137" t="s">
        <v>31363</v>
      </c>
      <c r="G11137" t="s">
        <v>31369</v>
      </c>
      <c r="H11137" t="s">
        <v>15799</v>
      </c>
      <c r="I11137" t="s">
        <v>31380</v>
      </c>
      <c r="J11137" t="s">
        <v>38327</v>
      </c>
      <c r="K11137" t="s">
        <v>40661</v>
      </c>
      <c r="M11137" t="s">
        <v>43892</v>
      </c>
      <c r="N11137" t="s">
        <v>44905</v>
      </c>
      <c r="O11137" t="s">
        <v>44906</v>
      </c>
      <c r="P11137">
        <v>0</v>
      </c>
      <c r="Q11137">
        <v>1</v>
      </c>
      <c r="R11137" t="s">
        <v>44916</v>
      </c>
      <c r="S11137" t="s">
        <v>45313</v>
      </c>
      <c r="T11137" t="s">
        <v>46392</v>
      </c>
      <c r="U11137" t="s">
        <v>55841</v>
      </c>
      <c r="V11137" t="s">
        <v>60252</v>
      </c>
      <c r="W11137" t="s">
        <v>43892</v>
      </c>
      <c r="X11137" t="s">
        <v>44917</v>
      </c>
    </row>
    <row r="11138" spans="1:24">
      <c r="A11138">
        <f>HYPERLINK("https://www.philgeps.gov.ph/GEPSNONPILOT/Tender/SplashBidNoticeAbstractUI.aspx?menuIndex=3&amp;refID=7062233&amp;Result=3","7062233")</f>
        <v>0</v>
      </c>
      <c r="B11138" t="s">
        <v>3031</v>
      </c>
      <c r="C11138" t="s">
        <v>14140</v>
      </c>
      <c r="D11138" t="s">
        <v>18148</v>
      </c>
      <c r="E11138" t="s">
        <v>27848</v>
      </c>
      <c r="F11138" t="s">
        <v>31362</v>
      </c>
      <c r="G11138" t="s">
        <v>31369</v>
      </c>
      <c r="H11138" t="s">
        <v>15799</v>
      </c>
      <c r="I11138" t="s">
        <v>31380</v>
      </c>
      <c r="J11138" t="s">
        <v>38328</v>
      </c>
      <c r="K11138" t="s">
        <v>40666</v>
      </c>
      <c r="M11138" t="s">
        <v>44265</v>
      </c>
      <c r="N11138" t="s">
        <v>44905</v>
      </c>
      <c r="O11138" t="s">
        <v>44906</v>
      </c>
      <c r="P11138">
        <v>0</v>
      </c>
      <c r="Q11138">
        <v>5</v>
      </c>
      <c r="R11138" t="s">
        <v>44916</v>
      </c>
      <c r="S11138" t="s">
        <v>45313</v>
      </c>
      <c r="T11138" t="s">
        <v>46560</v>
      </c>
      <c r="U11138" t="s">
        <v>55842</v>
      </c>
      <c r="W11138" t="s">
        <v>44265</v>
      </c>
      <c r="X11138" t="s">
        <v>44917</v>
      </c>
    </row>
    <row r="11139" spans="1:24">
      <c r="A11139">
        <f>HYPERLINK("https://www.philgeps.gov.ph/GEPSNONPILOT/Tender/SplashBidNoticeAbstractUI.aspx?menuIndex=3&amp;refID=7062291&amp;Result=3","7062291")</f>
        <v>0</v>
      </c>
      <c r="B11139" t="s">
        <v>3032</v>
      </c>
      <c r="C11139" t="s">
        <v>14141</v>
      </c>
      <c r="D11139" t="s">
        <v>18105</v>
      </c>
      <c r="E11139" t="s">
        <v>27849</v>
      </c>
      <c r="F11139" t="s">
        <v>31362</v>
      </c>
      <c r="G11139" t="s">
        <v>31369</v>
      </c>
      <c r="H11139" t="s">
        <v>15799</v>
      </c>
      <c r="I11139" t="s">
        <v>31398</v>
      </c>
      <c r="J11139" t="s">
        <v>38329</v>
      </c>
      <c r="K11139" t="s">
        <v>40670</v>
      </c>
      <c r="M11139" t="s">
        <v>44266</v>
      </c>
      <c r="N11139" t="s">
        <v>44905</v>
      </c>
      <c r="O11139" t="s">
        <v>44906</v>
      </c>
      <c r="P11139">
        <v>0</v>
      </c>
      <c r="Q11139">
        <v>1</v>
      </c>
      <c r="R11139" t="s">
        <v>44916</v>
      </c>
      <c r="S11139" t="s">
        <v>45313</v>
      </c>
      <c r="T11139" t="s">
        <v>46560</v>
      </c>
      <c r="U11139" t="s">
        <v>55843</v>
      </c>
      <c r="W11139" t="s">
        <v>44266</v>
      </c>
      <c r="X11139" t="s">
        <v>44917</v>
      </c>
    </row>
    <row r="11140" spans="1:24">
      <c r="A11140">
        <f>HYPERLINK("https://www.philgeps.gov.ph/GEPSNONPILOT/Tender/SplashBidNoticeAbstractUI.aspx?menuIndex=3&amp;refID=7062287&amp;Result=3","7062287")</f>
        <v>0</v>
      </c>
      <c r="B11140" t="s">
        <v>3033</v>
      </c>
      <c r="C11140" t="s">
        <v>14142</v>
      </c>
      <c r="E11140" t="s">
        <v>19255</v>
      </c>
      <c r="F11140" t="s">
        <v>31362</v>
      </c>
      <c r="G11140" t="s">
        <v>31369</v>
      </c>
      <c r="H11140" t="s">
        <v>15799</v>
      </c>
      <c r="I11140" t="s">
        <v>3815</v>
      </c>
      <c r="J11140" t="s">
        <v>38330</v>
      </c>
      <c r="K11140" t="s">
        <v>40662</v>
      </c>
      <c r="M11140" t="s">
        <v>44267</v>
      </c>
      <c r="N11140" t="s">
        <v>44905</v>
      </c>
      <c r="O11140" t="s">
        <v>44906</v>
      </c>
      <c r="P11140">
        <v>0</v>
      </c>
      <c r="Q11140">
        <v>1</v>
      </c>
      <c r="R11140" t="s">
        <v>44916</v>
      </c>
      <c r="S11140" t="s">
        <v>45313</v>
      </c>
      <c r="T11140" t="s">
        <v>46560</v>
      </c>
      <c r="U11140" t="s">
        <v>55844</v>
      </c>
      <c r="W11140" t="s">
        <v>44267</v>
      </c>
      <c r="X11140" t="s">
        <v>44917</v>
      </c>
    </row>
    <row r="11141" spans="1:24">
      <c r="A11141">
        <f>HYPERLINK("https://www.philgeps.gov.ph/GEPSNONPILOT/Tender/SplashBidNoticeAbstractUI.aspx?menuIndex=3&amp;refID=7062282&amp;Result=3","7062282")</f>
        <v>0</v>
      </c>
      <c r="B11141" t="s">
        <v>3034</v>
      </c>
      <c r="C11141" t="s">
        <v>14143</v>
      </c>
      <c r="D11141" t="s">
        <v>18123</v>
      </c>
      <c r="E11141" t="s">
        <v>20194</v>
      </c>
      <c r="F11141" t="s">
        <v>31363</v>
      </c>
      <c r="G11141" t="s">
        <v>31369</v>
      </c>
      <c r="H11141" t="s">
        <v>15799</v>
      </c>
      <c r="I11141" t="s">
        <v>4057</v>
      </c>
      <c r="J11141" t="s">
        <v>31987</v>
      </c>
      <c r="K11141" t="s">
        <v>40662</v>
      </c>
      <c r="M11141" t="s">
        <v>44268</v>
      </c>
      <c r="N11141" t="s">
        <v>44905</v>
      </c>
      <c r="O11141" t="s">
        <v>44906</v>
      </c>
      <c r="P11141">
        <v>0</v>
      </c>
      <c r="Q11141">
        <v>1</v>
      </c>
      <c r="R11141" t="s">
        <v>44916</v>
      </c>
      <c r="S11141" t="s">
        <v>45313</v>
      </c>
      <c r="T11141" t="s">
        <v>46400</v>
      </c>
      <c r="U11141" t="s">
        <v>55845</v>
      </c>
      <c r="W11141" t="s">
        <v>44268</v>
      </c>
      <c r="X11141" t="s">
        <v>44917</v>
      </c>
    </row>
    <row r="11142" spans="1:24">
      <c r="A11142">
        <f>HYPERLINK("https://www.philgeps.gov.ph/GEPSNONPILOT/Tender/SplashBidNoticeAbstractUI.aspx?menuIndex=3&amp;refID=7062174&amp;Result=3","7062174")</f>
        <v>0</v>
      </c>
      <c r="B11142" t="s">
        <v>3029</v>
      </c>
      <c r="C11142" t="s">
        <v>14144</v>
      </c>
      <c r="D11142" t="s">
        <v>18128</v>
      </c>
      <c r="E11142" t="s">
        <v>27850</v>
      </c>
      <c r="F11142" t="s">
        <v>31362</v>
      </c>
      <c r="G11142" t="s">
        <v>31369</v>
      </c>
      <c r="H11142" t="s">
        <v>15799</v>
      </c>
      <c r="I11142" t="s">
        <v>31387</v>
      </c>
      <c r="J11142" t="s">
        <v>36093</v>
      </c>
      <c r="K11142" t="s">
        <v>40665</v>
      </c>
      <c r="M11142" t="s">
        <v>44263</v>
      </c>
      <c r="N11142" t="s">
        <v>44905</v>
      </c>
      <c r="O11142" t="s">
        <v>44906</v>
      </c>
      <c r="P11142">
        <v>0</v>
      </c>
      <c r="Q11142">
        <v>0</v>
      </c>
      <c r="R11142" t="s">
        <v>44916</v>
      </c>
      <c r="S11142" t="s">
        <v>45313</v>
      </c>
      <c r="T11142" t="s">
        <v>46692</v>
      </c>
      <c r="U11142" t="s">
        <v>52727</v>
      </c>
      <c r="V11142" t="s">
        <v>60253</v>
      </c>
      <c r="W11142" t="s">
        <v>44263</v>
      </c>
      <c r="X11142" t="s">
        <v>44917</v>
      </c>
    </row>
    <row r="11143" spans="1:24">
      <c r="A11143">
        <f>HYPERLINK("https://www.philgeps.gov.ph/GEPSNONPILOT/Tender/SplashBidNoticeAbstractUI.aspx?menuIndex=3&amp;refID=7062309&amp;Result=3","7062309")</f>
        <v>0</v>
      </c>
      <c r="B11143" t="s">
        <v>1744</v>
      </c>
      <c r="C11143" t="s">
        <v>14145</v>
      </c>
      <c r="D11143" t="s">
        <v>18123</v>
      </c>
      <c r="E11143" t="s">
        <v>27851</v>
      </c>
      <c r="F11143" t="s">
        <v>31362</v>
      </c>
      <c r="G11143" t="s">
        <v>31369</v>
      </c>
      <c r="H11143" t="s">
        <v>15799</v>
      </c>
      <c r="I11143" t="s">
        <v>31386</v>
      </c>
      <c r="J11143" t="s">
        <v>38331</v>
      </c>
      <c r="K11143" t="s">
        <v>40665</v>
      </c>
      <c r="M11143" t="s">
        <v>42819</v>
      </c>
      <c r="N11143" t="s">
        <v>44905</v>
      </c>
      <c r="O11143" t="s">
        <v>44906</v>
      </c>
      <c r="P11143">
        <v>0</v>
      </c>
      <c r="Q11143">
        <v>1</v>
      </c>
      <c r="R11143" t="s">
        <v>44916</v>
      </c>
      <c r="S11143" t="s">
        <v>45313</v>
      </c>
      <c r="T11143" t="s">
        <v>46392</v>
      </c>
      <c r="U11143" t="s">
        <v>55846</v>
      </c>
      <c r="V11143" t="s">
        <v>60254</v>
      </c>
      <c r="W11143" t="s">
        <v>42819</v>
      </c>
      <c r="X11143" t="s">
        <v>44917</v>
      </c>
    </row>
    <row r="11144" spans="1:24">
      <c r="A11144">
        <f>HYPERLINK("https://www.philgeps.gov.ph/GEPSNONPILOT/Tender/SplashBidNoticeAbstractUI.aspx?menuIndex=3&amp;refID=7062197&amp;Result=3","7062197")</f>
        <v>0</v>
      </c>
      <c r="B11144" t="s">
        <v>3035</v>
      </c>
      <c r="C11144" t="s">
        <v>14146</v>
      </c>
      <c r="D11144" t="s">
        <v>18163</v>
      </c>
      <c r="E11144" t="s">
        <v>27852</v>
      </c>
      <c r="F11144" t="s">
        <v>31362</v>
      </c>
      <c r="G11144" t="s">
        <v>31369</v>
      </c>
      <c r="H11144" t="s">
        <v>15799</v>
      </c>
      <c r="I11144" t="s">
        <v>3815</v>
      </c>
      <c r="J11144" t="s">
        <v>38332</v>
      </c>
      <c r="K11144" t="s">
        <v>40665</v>
      </c>
      <c r="M11144" t="s">
        <v>44269</v>
      </c>
      <c r="N11144" t="s">
        <v>44905</v>
      </c>
      <c r="O11144" t="s">
        <v>44906</v>
      </c>
      <c r="P11144">
        <v>0</v>
      </c>
      <c r="Q11144">
        <v>0</v>
      </c>
      <c r="R11144" t="s">
        <v>44916</v>
      </c>
      <c r="S11144" t="s">
        <v>45313</v>
      </c>
      <c r="T11144" t="s">
        <v>46560</v>
      </c>
      <c r="U11144" t="s">
        <v>55847</v>
      </c>
      <c r="W11144" t="s">
        <v>44269</v>
      </c>
      <c r="X11144" t="s">
        <v>44917</v>
      </c>
    </row>
    <row r="11145" spans="1:24">
      <c r="A11145">
        <f>HYPERLINK("https://www.philgeps.gov.ph/GEPSNONPILOT/Tender/SplashBidNoticeAbstractUI.aspx?menuIndex=3&amp;refID=7062302&amp;Result=3","7062302")</f>
        <v>0</v>
      </c>
      <c r="B11145" t="s">
        <v>3036</v>
      </c>
      <c r="C11145" t="s">
        <v>14147</v>
      </c>
      <c r="D11145" t="s">
        <v>18125</v>
      </c>
      <c r="E11145" t="s">
        <v>26636</v>
      </c>
      <c r="F11145" t="s">
        <v>31362</v>
      </c>
      <c r="G11145" t="s">
        <v>31369</v>
      </c>
      <c r="H11145" t="s">
        <v>31378</v>
      </c>
      <c r="I11145" t="s">
        <v>31386</v>
      </c>
      <c r="J11145" t="s">
        <v>38333</v>
      </c>
      <c r="K11145" t="s">
        <v>40871</v>
      </c>
      <c r="M11145" t="s">
        <v>44270</v>
      </c>
      <c r="N11145" t="s">
        <v>44905</v>
      </c>
      <c r="O11145" t="s">
        <v>44906</v>
      </c>
      <c r="P11145">
        <v>0</v>
      </c>
      <c r="Q11145">
        <v>0</v>
      </c>
      <c r="R11145" t="s">
        <v>44916</v>
      </c>
      <c r="S11145" t="s">
        <v>45313</v>
      </c>
      <c r="T11145" t="s">
        <v>46504</v>
      </c>
      <c r="U11145" t="s">
        <v>55848</v>
      </c>
      <c r="W11145" t="s">
        <v>44270</v>
      </c>
      <c r="X11145" t="s">
        <v>44917</v>
      </c>
    </row>
    <row r="11146" spans="1:24">
      <c r="A11146">
        <f>HYPERLINK("https://www.philgeps.gov.ph/GEPSNONPILOT/Tender/SplashBidNoticeAbstractUI.aspx?menuIndex=3&amp;refID=7062204&amp;Result=3","7062204")</f>
        <v>0</v>
      </c>
      <c r="B11146" t="s">
        <v>3037</v>
      </c>
      <c r="C11146" t="s">
        <v>14148</v>
      </c>
      <c r="D11146" t="s">
        <v>18175</v>
      </c>
      <c r="E11146" t="s">
        <v>21946</v>
      </c>
      <c r="F11146" t="s">
        <v>31362</v>
      </c>
      <c r="G11146" t="s">
        <v>31369</v>
      </c>
      <c r="H11146" t="s">
        <v>31378</v>
      </c>
      <c r="I11146" t="s">
        <v>31386</v>
      </c>
      <c r="J11146" t="s">
        <v>38334</v>
      </c>
      <c r="K11146" t="s">
        <v>40662</v>
      </c>
      <c r="M11146" t="s">
        <v>44271</v>
      </c>
      <c r="N11146" t="s">
        <v>44905</v>
      </c>
      <c r="O11146" t="s">
        <v>44906</v>
      </c>
      <c r="P11146">
        <v>0</v>
      </c>
      <c r="Q11146">
        <v>0</v>
      </c>
      <c r="R11146" t="s">
        <v>44916</v>
      </c>
      <c r="S11146" t="s">
        <v>45313</v>
      </c>
      <c r="T11146" t="s">
        <v>46403</v>
      </c>
      <c r="U11146" t="s">
        <v>55849</v>
      </c>
      <c r="W11146" t="s">
        <v>44271</v>
      </c>
      <c r="X11146" t="s">
        <v>44917</v>
      </c>
    </row>
    <row r="11147" spans="1:24">
      <c r="A11147">
        <f>HYPERLINK("https://www.philgeps.gov.ph/GEPSNONPILOT/Tender/SplashBidNoticeAbstractUI.aspx?menuIndex=3&amp;refID=7062281&amp;Result=3","7062281")</f>
        <v>0</v>
      </c>
      <c r="B11147" t="s">
        <v>3038</v>
      </c>
      <c r="C11147" t="s">
        <v>8431</v>
      </c>
      <c r="E11147" t="s">
        <v>27853</v>
      </c>
      <c r="F11147" t="s">
        <v>31362</v>
      </c>
      <c r="G11147" t="s">
        <v>31369</v>
      </c>
      <c r="H11147" t="s">
        <v>15799</v>
      </c>
      <c r="I11147" t="s">
        <v>31409</v>
      </c>
      <c r="J11147" t="s">
        <v>31615</v>
      </c>
      <c r="K11147" t="s">
        <v>40665</v>
      </c>
      <c r="M11147" t="s">
        <v>44272</v>
      </c>
      <c r="N11147" t="s">
        <v>44905</v>
      </c>
      <c r="O11147" t="s">
        <v>44906</v>
      </c>
      <c r="P11147">
        <v>0</v>
      </c>
      <c r="Q11147">
        <v>8</v>
      </c>
      <c r="R11147" t="s">
        <v>44916</v>
      </c>
      <c r="S11147" t="s">
        <v>45313</v>
      </c>
      <c r="T11147" t="s">
        <v>46414</v>
      </c>
      <c r="U11147" t="s">
        <v>55850</v>
      </c>
      <c r="V11147" t="s">
        <v>60255</v>
      </c>
      <c r="W11147" t="s">
        <v>44272</v>
      </c>
      <c r="X11147" t="s">
        <v>44917</v>
      </c>
    </row>
    <row r="11148" spans="1:24">
      <c r="A11148">
        <f>HYPERLINK("https://www.philgeps.gov.ph/GEPSNONPILOT/Tender/SplashBidNoticeAbstractUI.aspx?menuIndex=3&amp;refID=7062181&amp;Result=3","7062181")</f>
        <v>0</v>
      </c>
      <c r="B11148" t="s">
        <v>3039</v>
      </c>
      <c r="C11148" t="s">
        <v>14149</v>
      </c>
      <c r="E11148" t="s">
        <v>19313</v>
      </c>
      <c r="F11148" t="s">
        <v>31362</v>
      </c>
      <c r="G11148" t="s">
        <v>31369</v>
      </c>
      <c r="H11148" t="s">
        <v>15799</v>
      </c>
      <c r="I11148" t="s">
        <v>31392</v>
      </c>
      <c r="J11148" t="s">
        <v>31578</v>
      </c>
      <c r="K11148" t="s">
        <v>40662</v>
      </c>
      <c r="M11148" t="s">
        <v>44273</v>
      </c>
      <c r="N11148" t="s">
        <v>44905</v>
      </c>
      <c r="O11148" t="s">
        <v>44906</v>
      </c>
      <c r="P11148">
        <v>0</v>
      </c>
      <c r="Q11148">
        <v>1</v>
      </c>
      <c r="R11148" t="s">
        <v>44916</v>
      </c>
      <c r="S11148" t="s">
        <v>45313</v>
      </c>
      <c r="T11148" t="s">
        <v>46503</v>
      </c>
      <c r="U11148" t="s">
        <v>55851</v>
      </c>
      <c r="W11148" t="s">
        <v>44273</v>
      </c>
      <c r="X11148" t="s">
        <v>44917</v>
      </c>
    </row>
    <row r="11149" spans="1:24">
      <c r="A11149">
        <f>HYPERLINK("https://www.philgeps.gov.ph/GEPSNONPILOT/Tender/SplashBidNoticeAbstractUI.aspx?menuIndex=3&amp;refID=7062273&amp;Result=3","7062273")</f>
        <v>0</v>
      </c>
      <c r="B11149" t="s">
        <v>1210</v>
      </c>
      <c r="C11149" t="s">
        <v>14150</v>
      </c>
      <c r="D11149" t="s">
        <v>18148</v>
      </c>
      <c r="E11149" t="s">
        <v>27854</v>
      </c>
      <c r="F11149" t="s">
        <v>31362</v>
      </c>
      <c r="G11149" t="s">
        <v>31369</v>
      </c>
      <c r="H11149" t="s">
        <v>15799</v>
      </c>
      <c r="I11149" t="s">
        <v>31433</v>
      </c>
      <c r="J11149" t="s">
        <v>33482</v>
      </c>
      <c r="K11149" t="s">
        <v>40662</v>
      </c>
      <c r="M11149" t="s">
        <v>42223</v>
      </c>
      <c r="N11149" t="s">
        <v>44905</v>
      </c>
      <c r="O11149" t="s">
        <v>44906</v>
      </c>
      <c r="P11149">
        <v>0</v>
      </c>
      <c r="Q11149">
        <v>3</v>
      </c>
      <c r="R11149" t="s">
        <v>44916</v>
      </c>
      <c r="S11149" t="s">
        <v>45313</v>
      </c>
      <c r="T11149" t="s">
        <v>46462</v>
      </c>
      <c r="U11149" t="s">
        <v>55852</v>
      </c>
      <c r="V11149" t="s">
        <v>59394</v>
      </c>
      <c r="W11149" t="s">
        <v>42223</v>
      </c>
      <c r="X11149" t="s">
        <v>44917</v>
      </c>
    </row>
    <row r="11150" spans="1:24">
      <c r="A11150">
        <f>HYPERLINK("https://www.philgeps.gov.ph/GEPSNONPILOT/Tender/SplashBidNoticeAbstractUI.aspx?menuIndex=3&amp;refID=7062274&amp;Result=3","7062274")</f>
        <v>0</v>
      </c>
      <c r="B11150" t="s">
        <v>2903</v>
      </c>
      <c r="C11150" t="s">
        <v>14151</v>
      </c>
      <c r="D11150" t="s">
        <v>18147</v>
      </c>
      <c r="E11150" t="s">
        <v>27855</v>
      </c>
      <c r="F11150" t="s">
        <v>31362</v>
      </c>
      <c r="G11150" t="s">
        <v>31369</v>
      </c>
      <c r="H11150" t="s">
        <v>31378</v>
      </c>
      <c r="I11150" t="s">
        <v>31386</v>
      </c>
      <c r="J11150" t="s">
        <v>38335</v>
      </c>
      <c r="K11150" t="s">
        <v>40675</v>
      </c>
      <c r="M11150" t="s">
        <v>44118</v>
      </c>
      <c r="N11150" t="s">
        <v>44905</v>
      </c>
      <c r="O11150" t="s">
        <v>44906</v>
      </c>
      <c r="P11150">
        <v>0</v>
      </c>
      <c r="Q11150">
        <v>0</v>
      </c>
      <c r="R11150" t="s">
        <v>44916</v>
      </c>
      <c r="S11150" t="s">
        <v>45313</v>
      </c>
      <c r="T11150" t="s">
        <v>46671</v>
      </c>
      <c r="U11150" t="s">
        <v>55853</v>
      </c>
      <c r="W11150" t="s">
        <v>44118</v>
      </c>
      <c r="X11150" t="s">
        <v>44917</v>
      </c>
    </row>
    <row r="11151" spans="1:24">
      <c r="A11151">
        <f>HYPERLINK("https://www.philgeps.gov.ph/GEPSNONPILOT/Tender/SplashBidNoticeAbstractUI.aspx?menuIndex=3&amp;refID=7062267&amp;Result=3","7062267")</f>
        <v>0</v>
      </c>
      <c r="B11151" t="s">
        <v>3035</v>
      </c>
      <c r="C11151" t="s">
        <v>14152</v>
      </c>
      <c r="D11151" t="s">
        <v>18163</v>
      </c>
      <c r="E11151" t="s">
        <v>27856</v>
      </c>
      <c r="F11151" t="s">
        <v>31362</v>
      </c>
      <c r="G11151" t="s">
        <v>31369</v>
      </c>
      <c r="H11151" t="s">
        <v>31378</v>
      </c>
      <c r="I11151" t="s">
        <v>31444</v>
      </c>
      <c r="J11151" t="s">
        <v>38336</v>
      </c>
      <c r="K11151" t="s">
        <v>40665</v>
      </c>
      <c r="M11151" t="s">
        <v>44269</v>
      </c>
      <c r="N11151" t="s">
        <v>44905</v>
      </c>
      <c r="O11151" t="s">
        <v>44906</v>
      </c>
      <c r="P11151">
        <v>0</v>
      </c>
      <c r="Q11151">
        <v>7</v>
      </c>
      <c r="R11151" t="s">
        <v>44916</v>
      </c>
      <c r="S11151" t="s">
        <v>45313</v>
      </c>
      <c r="T11151" t="s">
        <v>46671</v>
      </c>
      <c r="U11151" t="s">
        <v>55854</v>
      </c>
      <c r="W11151" t="s">
        <v>44269</v>
      </c>
      <c r="X11151" t="s">
        <v>44917</v>
      </c>
    </row>
    <row r="11152" spans="1:24">
      <c r="A11152">
        <f>HYPERLINK("https://www.philgeps.gov.ph/GEPSNONPILOT/Tender/SplashBidNoticeAbstractUI.aspx?menuIndex=3&amp;refID=7062252&amp;Result=3","7062252")</f>
        <v>0</v>
      </c>
      <c r="B11152" t="s">
        <v>3040</v>
      </c>
      <c r="C11152" t="s">
        <v>14153</v>
      </c>
      <c r="D11152" t="s">
        <v>18175</v>
      </c>
      <c r="E11152" t="s">
        <v>18232</v>
      </c>
      <c r="F11152" t="s">
        <v>31362</v>
      </c>
      <c r="G11152" t="s">
        <v>31369</v>
      </c>
      <c r="H11152" t="s">
        <v>31378</v>
      </c>
      <c r="I11152" t="s">
        <v>31386</v>
      </c>
      <c r="J11152" t="s">
        <v>38337</v>
      </c>
      <c r="K11152" t="s">
        <v>40662</v>
      </c>
      <c r="M11152" t="s">
        <v>44274</v>
      </c>
      <c r="N11152" t="s">
        <v>44905</v>
      </c>
      <c r="O11152" t="s">
        <v>44906</v>
      </c>
      <c r="P11152">
        <v>0</v>
      </c>
      <c r="Q11152">
        <v>0</v>
      </c>
      <c r="R11152" t="s">
        <v>44916</v>
      </c>
      <c r="S11152" t="s">
        <v>45313</v>
      </c>
      <c r="T11152" t="s">
        <v>46403</v>
      </c>
      <c r="U11152" t="s">
        <v>55855</v>
      </c>
      <c r="W11152" t="s">
        <v>44274</v>
      </c>
      <c r="X11152" t="s">
        <v>44917</v>
      </c>
    </row>
    <row r="11153" spans="1:24">
      <c r="A11153">
        <f>HYPERLINK("https://www.philgeps.gov.ph/GEPSNONPILOT/Tender/SplashBidNoticeAbstractUI.aspx?menuIndex=3&amp;refID=7062299&amp;Result=3","7062299")</f>
        <v>0</v>
      </c>
      <c r="B11153" t="s">
        <v>3041</v>
      </c>
      <c r="C11153" t="s">
        <v>14154</v>
      </c>
      <c r="D11153" t="s">
        <v>18175</v>
      </c>
      <c r="E11153" t="s">
        <v>22113</v>
      </c>
      <c r="F11153" t="s">
        <v>31362</v>
      </c>
      <c r="G11153" t="s">
        <v>31369</v>
      </c>
      <c r="H11153" t="s">
        <v>31378</v>
      </c>
      <c r="I11153" t="s">
        <v>31386</v>
      </c>
      <c r="J11153" t="s">
        <v>31578</v>
      </c>
      <c r="K11153" t="s">
        <v>40662</v>
      </c>
      <c r="M11153" t="s">
        <v>44275</v>
      </c>
      <c r="N11153" t="s">
        <v>44905</v>
      </c>
      <c r="O11153" t="s">
        <v>44906</v>
      </c>
      <c r="P11153">
        <v>0</v>
      </c>
      <c r="Q11153">
        <v>0</v>
      </c>
      <c r="R11153" t="s">
        <v>44916</v>
      </c>
      <c r="S11153" t="s">
        <v>45313</v>
      </c>
      <c r="T11153" t="s">
        <v>46459</v>
      </c>
      <c r="U11153" t="s">
        <v>55856</v>
      </c>
      <c r="W11153" t="s">
        <v>44275</v>
      </c>
      <c r="X11153" t="s">
        <v>44917</v>
      </c>
    </row>
    <row r="11154" spans="1:24">
      <c r="A11154">
        <f>HYPERLINK("https://www.philgeps.gov.ph/GEPSNONPILOT/Tender/SplashBidNoticeAbstractUI.aspx?menuIndex=3&amp;refID=7062182&amp;Result=3","7062182")</f>
        <v>0</v>
      </c>
      <c r="B11154" t="s">
        <v>2943</v>
      </c>
      <c r="C11154" t="s">
        <v>14155</v>
      </c>
      <c r="D11154" t="s">
        <v>18134</v>
      </c>
      <c r="E11154" t="s">
        <v>27857</v>
      </c>
      <c r="F11154" t="s">
        <v>31362</v>
      </c>
      <c r="G11154" t="s">
        <v>31369</v>
      </c>
      <c r="H11154" t="s">
        <v>31378</v>
      </c>
      <c r="I11154" t="s">
        <v>31386</v>
      </c>
      <c r="J11154" t="s">
        <v>31734</v>
      </c>
      <c r="K11154" t="s">
        <v>40675</v>
      </c>
      <c r="M11154" t="s">
        <v>44165</v>
      </c>
      <c r="N11154" t="s">
        <v>44905</v>
      </c>
      <c r="O11154" t="s">
        <v>44906</v>
      </c>
      <c r="P11154">
        <v>0</v>
      </c>
      <c r="Q11154">
        <v>0</v>
      </c>
      <c r="R11154" t="s">
        <v>44916</v>
      </c>
      <c r="S11154" t="s">
        <v>45313</v>
      </c>
      <c r="T11154" t="s">
        <v>46392</v>
      </c>
      <c r="U11154" t="s">
        <v>55857</v>
      </c>
      <c r="W11154" t="s">
        <v>44165</v>
      </c>
      <c r="X11154" t="s">
        <v>44917</v>
      </c>
    </row>
    <row r="11155" spans="1:24">
      <c r="A11155">
        <f>HYPERLINK("https://www.philgeps.gov.ph/GEPSNONPILOT/Tender/SplashBidNoticeAbstractUI.aspx?menuIndex=3&amp;refID=7062248&amp;Result=3","7062248")</f>
        <v>0</v>
      </c>
      <c r="B11155" t="s">
        <v>3032</v>
      </c>
      <c r="C11155" t="s">
        <v>14156</v>
      </c>
      <c r="D11155" t="s">
        <v>18105</v>
      </c>
      <c r="E11155" t="s">
        <v>27858</v>
      </c>
      <c r="F11155" t="s">
        <v>31362</v>
      </c>
      <c r="G11155" t="s">
        <v>31369</v>
      </c>
      <c r="H11155" t="s">
        <v>15799</v>
      </c>
      <c r="I11155" t="s">
        <v>4283</v>
      </c>
      <c r="J11155" t="s">
        <v>38338</v>
      </c>
      <c r="K11155" t="s">
        <v>40677</v>
      </c>
      <c r="M11155" t="s">
        <v>44266</v>
      </c>
      <c r="N11155" t="s">
        <v>44905</v>
      </c>
      <c r="O11155" t="s">
        <v>44906</v>
      </c>
      <c r="P11155">
        <v>0</v>
      </c>
      <c r="Q11155">
        <v>2</v>
      </c>
      <c r="R11155" t="s">
        <v>44916</v>
      </c>
      <c r="S11155" t="s">
        <v>45313</v>
      </c>
      <c r="T11155" t="s">
        <v>46560</v>
      </c>
      <c r="U11155" t="s">
        <v>55858</v>
      </c>
      <c r="W11155" t="s">
        <v>44266</v>
      </c>
      <c r="X11155" t="s">
        <v>44917</v>
      </c>
    </row>
    <row r="11156" spans="1:24">
      <c r="A11156">
        <f>HYPERLINK("https://www.philgeps.gov.ph/GEPSNONPILOT/Tender/SplashBidNoticeAbstractUI.aspx?menuIndex=3&amp;refID=7062276&amp;Result=3","7062276")</f>
        <v>0</v>
      </c>
      <c r="B11156" t="s">
        <v>3042</v>
      </c>
      <c r="C11156" t="s">
        <v>14157</v>
      </c>
      <c r="E11156" t="s">
        <v>27859</v>
      </c>
      <c r="F11156" t="s">
        <v>31362</v>
      </c>
      <c r="G11156" t="s">
        <v>31368</v>
      </c>
      <c r="H11156" t="s">
        <v>15799</v>
      </c>
      <c r="I11156" t="s">
        <v>13635</v>
      </c>
      <c r="J11156" t="s">
        <v>38339</v>
      </c>
      <c r="K11156" t="s">
        <v>40697</v>
      </c>
      <c r="M11156" t="s">
        <v>44276</v>
      </c>
      <c r="N11156" t="s">
        <v>44905</v>
      </c>
      <c r="O11156" t="s">
        <v>44906</v>
      </c>
      <c r="P11156">
        <v>0</v>
      </c>
      <c r="Q11156">
        <v>0</v>
      </c>
      <c r="R11156" t="s">
        <v>44916</v>
      </c>
      <c r="S11156" t="s">
        <v>45313</v>
      </c>
      <c r="T11156" t="s">
        <v>46396</v>
      </c>
      <c r="U11156" t="s">
        <v>55859</v>
      </c>
      <c r="V11156" t="s">
        <v>60256</v>
      </c>
      <c r="W11156" t="s">
        <v>44276</v>
      </c>
      <c r="X11156" t="s">
        <v>44917</v>
      </c>
    </row>
    <row r="11157" spans="1:24">
      <c r="A11157">
        <f>HYPERLINK("https://www.philgeps.gov.ph/GEPSNONPILOT/Tender/SplashBidNoticeAbstractUI.aspx?menuIndex=3&amp;refID=7062270&amp;Result=3","7062270")</f>
        <v>0</v>
      </c>
      <c r="B11157" t="s">
        <v>1414</v>
      </c>
      <c r="C11157" t="s">
        <v>14158</v>
      </c>
      <c r="D11157" t="s">
        <v>18106</v>
      </c>
      <c r="E11157" t="s">
        <v>27860</v>
      </c>
      <c r="F11157" t="s">
        <v>31362</v>
      </c>
      <c r="G11157" t="s">
        <v>31369</v>
      </c>
      <c r="H11157" t="s">
        <v>15799</v>
      </c>
      <c r="I11157" t="s">
        <v>31461</v>
      </c>
      <c r="J11157" t="s">
        <v>38340</v>
      </c>
      <c r="K11157" t="s">
        <v>40681</v>
      </c>
      <c r="M11157" t="s">
        <v>42439</v>
      </c>
      <c r="N11157" t="s">
        <v>44905</v>
      </c>
      <c r="O11157" t="s">
        <v>44906</v>
      </c>
      <c r="P11157">
        <v>0</v>
      </c>
      <c r="Q11157">
        <v>3</v>
      </c>
      <c r="R11157" t="s">
        <v>44916</v>
      </c>
      <c r="S11157" t="s">
        <v>45313</v>
      </c>
      <c r="T11157" t="s">
        <v>46810</v>
      </c>
      <c r="U11157" t="s">
        <v>55860</v>
      </c>
      <c r="W11157" t="s">
        <v>42439</v>
      </c>
      <c r="X11157" t="s">
        <v>44917</v>
      </c>
    </row>
    <row r="11158" spans="1:24">
      <c r="A11158">
        <f>HYPERLINK("https://www.philgeps.gov.ph/GEPSNONPILOT/Tender/SplashBidNoticeAbstractUI.aspx?menuIndex=3&amp;refID=7062254&amp;Result=3","7062254")</f>
        <v>0</v>
      </c>
      <c r="B11158" t="s">
        <v>1816</v>
      </c>
      <c r="C11158" t="s">
        <v>14159</v>
      </c>
      <c r="D11158" t="s">
        <v>18141</v>
      </c>
      <c r="E11158" t="s">
        <v>27861</v>
      </c>
      <c r="F11158" t="s">
        <v>31364</v>
      </c>
      <c r="G11158" t="s">
        <v>31370</v>
      </c>
      <c r="H11158" t="s">
        <v>31378</v>
      </c>
      <c r="I11158" t="s">
        <v>31386</v>
      </c>
      <c r="J11158" t="s">
        <v>33482</v>
      </c>
      <c r="K11158" t="s">
        <v>40824</v>
      </c>
      <c r="M11158" t="s">
        <v>42899</v>
      </c>
      <c r="N11158" t="s">
        <v>44905</v>
      </c>
      <c r="O11158" t="s">
        <v>44906</v>
      </c>
      <c r="P11158">
        <v>0</v>
      </c>
      <c r="Q11158">
        <v>0</v>
      </c>
      <c r="R11158" t="s">
        <v>44916</v>
      </c>
      <c r="S11158" t="s">
        <v>45313</v>
      </c>
      <c r="T11158" t="s">
        <v>46549</v>
      </c>
      <c r="U11158" t="s">
        <v>55861</v>
      </c>
      <c r="V11158" t="s">
        <v>60257</v>
      </c>
      <c r="W11158" t="s">
        <v>42899</v>
      </c>
      <c r="X11158" t="s">
        <v>44917</v>
      </c>
    </row>
    <row r="11159" spans="1:24">
      <c r="A11159">
        <f>HYPERLINK("https://www.philgeps.gov.ph/GEPSNONPILOT/Tender/SplashBidNoticeAbstractUI.aspx?menuIndex=3&amp;refID=7062410&amp;Result=3","7062410")</f>
        <v>0</v>
      </c>
      <c r="B11159" t="s">
        <v>3043</v>
      </c>
      <c r="C11159" t="s">
        <v>14160</v>
      </c>
      <c r="D11159" t="s">
        <v>18120</v>
      </c>
      <c r="E11159" t="s">
        <v>27862</v>
      </c>
      <c r="F11159" t="s">
        <v>31363</v>
      </c>
      <c r="G11159" t="s">
        <v>31369</v>
      </c>
      <c r="H11159" t="s">
        <v>15799</v>
      </c>
      <c r="I11159" t="s">
        <v>31386</v>
      </c>
      <c r="J11159" t="s">
        <v>31536</v>
      </c>
      <c r="K11159" t="s">
        <v>40681</v>
      </c>
      <c r="M11159" t="s">
        <v>44277</v>
      </c>
      <c r="N11159" t="s">
        <v>44905</v>
      </c>
      <c r="O11159" t="s">
        <v>44906</v>
      </c>
      <c r="P11159">
        <v>0</v>
      </c>
      <c r="Q11159">
        <v>0</v>
      </c>
      <c r="R11159" t="s">
        <v>44916</v>
      </c>
      <c r="S11159" t="s">
        <v>45313</v>
      </c>
      <c r="T11159" t="s">
        <v>46549</v>
      </c>
      <c r="U11159" t="s">
        <v>55862</v>
      </c>
      <c r="W11159" t="s">
        <v>44277</v>
      </c>
      <c r="X11159" t="s">
        <v>44917</v>
      </c>
    </row>
    <row r="11160" spans="1:24">
      <c r="A11160">
        <f>HYPERLINK("https://www.philgeps.gov.ph/GEPSNONPILOT/Tender/SplashBidNoticeAbstractUI.aspx?menuIndex=3&amp;refID=7062172&amp;Result=3","7062172")</f>
        <v>0</v>
      </c>
      <c r="B11160" t="s">
        <v>3044</v>
      </c>
      <c r="C11160" t="s">
        <v>14161</v>
      </c>
      <c r="D11160" t="s">
        <v>18175</v>
      </c>
      <c r="E11160" t="s">
        <v>19186</v>
      </c>
      <c r="F11160" t="s">
        <v>31362</v>
      </c>
      <c r="G11160" t="s">
        <v>31369</v>
      </c>
      <c r="H11160" t="s">
        <v>31378</v>
      </c>
      <c r="I11160" t="s">
        <v>31386</v>
      </c>
      <c r="J11160" t="s">
        <v>38341</v>
      </c>
      <c r="K11160" t="s">
        <v>40662</v>
      </c>
      <c r="M11160" t="s">
        <v>44278</v>
      </c>
      <c r="N11160" t="s">
        <v>44905</v>
      </c>
      <c r="O11160" t="s">
        <v>44906</v>
      </c>
      <c r="P11160">
        <v>0</v>
      </c>
      <c r="Q11160">
        <v>0</v>
      </c>
      <c r="R11160" t="s">
        <v>44916</v>
      </c>
      <c r="S11160" t="s">
        <v>45313</v>
      </c>
      <c r="T11160" t="s">
        <v>46403</v>
      </c>
      <c r="U11160" t="s">
        <v>55863</v>
      </c>
      <c r="W11160" t="s">
        <v>44278</v>
      </c>
      <c r="X11160" t="s">
        <v>44917</v>
      </c>
    </row>
    <row r="11161" spans="1:24">
      <c r="A11161">
        <f>HYPERLINK("https://www.philgeps.gov.ph/GEPSNONPILOT/Tender/SplashBidNoticeAbstractUI.aspx?menuIndex=3&amp;refID=7062241&amp;Result=3","7062241")</f>
        <v>0</v>
      </c>
      <c r="B11161" t="s">
        <v>1210</v>
      </c>
      <c r="C11161" t="s">
        <v>14162</v>
      </c>
      <c r="D11161" t="s">
        <v>18148</v>
      </c>
      <c r="E11161" t="s">
        <v>27863</v>
      </c>
      <c r="F11161" t="s">
        <v>31362</v>
      </c>
      <c r="G11161" t="s">
        <v>31369</v>
      </c>
      <c r="H11161" t="s">
        <v>15799</v>
      </c>
      <c r="I11161" t="s">
        <v>31409</v>
      </c>
      <c r="J11161" t="s">
        <v>31606</v>
      </c>
      <c r="K11161" t="s">
        <v>40662</v>
      </c>
      <c r="M11161" t="s">
        <v>42223</v>
      </c>
      <c r="N11161" t="s">
        <v>44905</v>
      </c>
      <c r="O11161" t="s">
        <v>44906</v>
      </c>
      <c r="P11161">
        <v>0</v>
      </c>
      <c r="Q11161">
        <v>3</v>
      </c>
      <c r="R11161" t="s">
        <v>44916</v>
      </c>
      <c r="S11161" t="s">
        <v>45313</v>
      </c>
      <c r="T11161" t="s">
        <v>46462</v>
      </c>
      <c r="U11161" t="s">
        <v>55864</v>
      </c>
      <c r="V11161" t="s">
        <v>59394</v>
      </c>
      <c r="W11161" t="s">
        <v>42223</v>
      </c>
      <c r="X11161" t="s">
        <v>44917</v>
      </c>
    </row>
    <row r="11162" spans="1:24">
      <c r="A11162">
        <f>HYPERLINK("https://www.philgeps.gov.ph/GEPSNONPILOT/Tender/SplashBidNoticeAbstractUI.aspx?menuIndex=3&amp;refID=7062401&amp;Result=3","7062401")</f>
        <v>0</v>
      </c>
      <c r="B11162" t="s">
        <v>3045</v>
      </c>
      <c r="C11162" t="s">
        <v>14163</v>
      </c>
      <c r="D11162" t="s">
        <v>18175</v>
      </c>
      <c r="E11162" t="s">
        <v>18952</v>
      </c>
      <c r="F11162" t="s">
        <v>31362</v>
      </c>
      <c r="G11162" t="s">
        <v>31369</v>
      </c>
      <c r="H11162" t="s">
        <v>31378</v>
      </c>
      <c r="I11162" t="s">
        <v>31386</v>
      </c>
      <c r="J11162" t="s">
        <v>31817</v>
      </c>
      <c r="K11162" t="s">
        <v>40662</v>
      </c>
      <c r="M11162" t="s">
        <v>44279</v>
      </c>
      <c r="N11162" t="s">
        <v>44905</v>
      </c>
      <c r="O11162" t="s">
        <v>44906</v>
      </c>
      <c r="P11162">
        <v>0</v>
      </c>
      <c r="Q11162">
        <v>0</v>
      </c>
      <c r="R11162" t="s">
        <v>44916</v>
      </c>
      <c r="S11162" t="s">
        <v>45313</v>
      </c>
      <c r="T11162" t="s">
        <v>46459</v>
      </c>
      <c r="U11162" t="s">
        <v>55865</v>
      </c>
      <c r="W11162" t="s">
        <v>44279</v>
      </c>
      <c r="X11162" t="s">
        <v>44917</v>
      </c>
    </row>
    <row r="11163" spans="1:24">
      <c r="A11163">
        <f>HYPERLINK("https://www.philgeps.gov.ph/GEPSNONPILOT/Tender/SplashBidNoticeAbstractUI.aspx?menuIndex=3&amp;refID=7062397&amp;Result=3","7062397")</f>
        <v>0</v>
      </c>
      <c r="B11163" t="s">
        <v>2892</v>
      </c>
      <c r="C11163" t="s">
        <v>14164</v>
      </c>
      <c r="D11163" t="s">
        <v>18101</v>
      </c>
      <c r="E11163" t="s">
        <v>27864</v>
      </c>
      <c r="F11163" t="s">
        <v>31362</v>
      </c>
      <c r="G11163" t="s">
        <v>31369</v>
      </c>
      <c r="H11163" t="s">
        <v>15799</v>
      </c>
      <c r="I11163" t="s">
        <v>3815</v>
      </c>
      <c r="J11163" t="s">
        <v>38342</v>
      </c>
      <c r="K11163" t="s">
        <v>40670</v>
      </c>
      <c r="L11163" t="s">
        <v>2892</v>
      </c>
      <c r="M11163" t="s">
        <v>44107</v>
      </c>
      <c r="N11163" t="s">
        <v>44905</v>
      </c>
      <c r="O11163" t="s">
        <v>44906</v>
      </c>
      <c r="P11163">
        <v>0</v>
      </c>
      <c r="Q11163">
        <v>2</v>
      </c>
      <c r="R11163" t="s">
        <v>44916</v>
      </c>
      <c r="S11163" t="s">
        <v>45313</v>
      </c>
      <c r="T11163" t="s">
        <v>46481</v>
      </c>
      <c r="U11163" t="s">
        <v>55301</v>
      </c>
      <c r="W11163" t="s">
        <v>44107</v>
      </c>
      <c r="X11163" t="s">
        <v>44917</v>
      </c>
    </row>
    <row r="11164" spans="1:24">
      <c r="A11164">
        <f>HYPERLINK("https://www.philgeps.gov.ph/GEPSNONPILOT/Tender/SplashBidNoticeAbstractUI.aspx?menuIndex=3&amp;refID=7062317&amp;Result=3","7062317")</f>
        <v>0</v>
      </c>
      <c r="B11164" t="s">
        <v>2943</v>
      </c>
      <c r="C11164" t="s">
        <v>14165</v>
      </c>
      <c r="D11164" t="s">
        <v>18134</v>
      </c>
      <c r="E11164" t="s">
        <v>27865</v>
      </c>
      <c r="F11164" t="s">
        <v>31362</v>
      </c>
      <c r="G11164" t="s">
        <v>31369</v>
      </c>
      <c r="H11164" t="s">
        <v>31378</v>
      </c>
      <c r="I11164" t="s">
        <v>31386</v>
      </c>
      <c r="J11164" t="s">
        <v>31734</v>
      </c>
      <c r="K11164" t="s">
        <v>40665</v>
      </c>
      <c r="M11164" t="s">
        <v>44165</v>
      </c>
      <c r="N11164" t="s">
        <v>44905</v>
      </c>
      <c r="O11164" t="s">
        <v>44906</v>
      </c>
      <c r="P11164">
        <v>0</v>
      </c>
      <c r="Q11164">
        <v>0</v>
      </c>
      <c r="R11164" t="s">
        <v>44916</v>
      </c>
      <c r="S11164" t="s">
        <v>45313</v>
      </c>
      <c r="T11164" t="s">
        <v>46392</v>
      </c>
      <c r="U11164" t="s">
        <v>55866</v>
      </c>
      <c r="W11164" t="s">
        <v>44165</v>
      </c>
      <c r="X11164" t="s">
        <v>44917</v>
      </c>
    </row>
    <row r="11165" spans="1:24">
      <c r="A11165">
        <f>HYPERLINK("https://www.philgeps.gov.ph/GEPSNONPILOT/Tender/SplashBidNoticeAbstractUI.aspx?menuIndex=3&amp;refID=7062379&amp;Result=3","7062379")</f>
        <v>0</v>
      </c>
      <c r="B11165" t="s">
        <v>211</v>
      </c>
      <c r="C11165" t="s">
        <v>14166</v>
      </c>
      <c r="D11165" t="s">
        <v>18161</v>
      </c>
      <c r="E11165" t="s">
        <v>27866</v>
      </c>
      <c r="F11165" t="s">
        <v>31362</v>
      </c>
      <c r="G11165" t="s">
        <v>31369</v>
      </c>
      <c r="H11165" t="s">
        <v>31378</v>
      </c>
      <c r="I11165" t="s">
        <v>31386</v>
      </c>
      <c r="J11165" t="s">
        <v>38343</v>
      </c>
      <c r="K11165" t="s">
        <v>40815</v>
      </c>
      <c r="M11165" t="s">
        <v>41150</v>
      </c>
      <c r="N11165" t="s">
        <v>44905</v>
      </c>
      <c r="O11165" t="s">
        <v>44906</v>
      </c>
      <c r="P11165">
        <v>0</v>
      </c>
      <c r="Q11165">
        <v>4</v>
      </c>
      <c r="R11165" t="s">
        <v>44916</v>
      </c>
      <c r="S11165" t="s">
        <v>45313</v>
      </c>
      <c r="T11165" t="s">
        <v>46481</v>
      </c>
      <c r="U11165" t="s">
        <v>55867</v>
      </c>
      <c r="W11165" t="s">
        <v>41150</v>
      </c>
      <c r="X11165" t="s">
        <v>44917</v>
      </c>
    </row>
    <row r="11166" spans="1:24">
      <c r="A11166">
        <f>HYPERLINK("https://www.philgeps.gov.ph/GEPSNONPILOT/Tender/SplashBidNoticeAbstractUI.aspx?menuIndex=3&amp;refID=7062373&amp;Result=3","7062373")</f>
        <v>0</v>
      </c>
      <c r="B11166" t="s">
        <v>3036</v>
      </c>
      <c r="C11166" t="s">
        <v>14167</v>
      </c>
      <c r="D11166" t="s">
        <v>18125</v>
      </c>
      <c r="E11166" t="s">
        <v>19122</v>
      </c>
      <c r="F11166" t="s">
        <v>31362</v>
      </c>
      <c r="G11166" t="s">
        <v>31369</v>
      </c>
      <c r="H11166" t="s">
        <v>31378</v>
      </c>
      <c r="I11166" t="s">
        <v>31463</v>
      </c>
      <c r="J11166" t="s">
        <v>34497</v>
      </c>
      <c r="K11166" t="s">
        <v>40890</v>
      </c>
      <c r="M11166" t="s">
        <v>44270</v>
      </c>
      <c r="N11166" t="s">
        <v>44905</v>
      </c>
      <c r="O11166" t="s">
        <v>44906</v>
      </c>
      <c r="P11166">
        <v>0</v>
      </c>
      <c r="Q11166">
        <v>0</v>
      </c>
      <c r="R11166" t="s">
        <v>44916</v>
      </c>
      <c r="S11166" t="s">
        <v>45313</v>
      </c>
      <c r="T11166" t="s">
        <v>46504</v>
      </c>
      <c r="U11166" t="s">
        <v>55868</v>
      </c>
      <c r="W11166" t="s">
        <v>44270</v>
      </c>
      <c r="X11166" t="s">
        <v>44917</v>
      </c>
    </row>
    <row r="11167" spans="1:24">
      <c r="A11167">
        <f>HYPERLINK("https://www.philgeps.gov.ph/GEPSNONPILOT/Tender/SplashBidNoticeAbstractUI.aspx?menuIndex=3&amp;refID=7062364&amp;Result=3","7062364")</f>
        <v>0</v>
      </c>
      <c r="B11167" t="s">
        <v>2187</v>
      </c>
      <c r="C11167" t="s">
        <v>14168</v>
      </c>
      <c r="D11167" t="s">
        <v>18108</v>
      </c>
      <c r="E11167" t="s">
        <v>27867</v>
      </c>
      <c r="F11167" t="s">
        <v>31362</v>
      </c>
      <c r="G11167" t="s">
        <v>31369</v>
      </c>
      <c r="H11167" t="s">
        <v>31378</v>
      </c>
      <c r="I11167" t="s">
        <v>31386</v>
      </c>
      <c r="J11167" t="s">
        <v>38344</v>
      </c>
      <c r="K11167" t="s">
        <v>40684</v>
      </c>
      <c r="M11167" t="s">
        <v>43832</v>
      </c>
      <c r="N11167" t="s">
        <v>44905</v>
      </c>
      <c r="O11167" t="s">
        <v>44906</v>
      </c>
      <c r="P11167">
        <v>0</v>
      </c>
      <c r="Q11167">
        <v>97</v>
      </c>
      <c r="R11167" t="s">
        <v>44916</v>
      </c>
      <c r="S11167" t="s">
        <v>45313</v>
      </c>
      <c r="T11167" t="s">
        <v>46538</v>
      </c>
      <c r="U11167" t="s">
        <v>54261</v>
      </c>
      <c r="V11167" t="s">
        <v>60258</v>
      </c>
      <c r="W11167" t="s">
        <v>43832</v>
      </c>
      <c r="X11167" t="s">
        <v>44917</v>
      </c>
    </row>
    <row r="11168" spans="1:24">
      <c r="A11168">
        <f>HYPERLINK("https://www.philgeps.gov.ph/GEPSNONPILOT/Tender/SplashBidNoticeAbstractUI.aspx?menuIndex=3&amp;refID=7062362&amp;Result=3","7062362")</f>
        <v>0</v>
      </c>
      <c r="B11168" t="s">
        <v>3046</v>
      </c>
      <c r="C11168" t="s">
        <v>14169</v>
      </c>
      <c r="D11168" t="s">
        <v>18175</v>
      </c>
      <c r="E11168" t="s">
        <v>19709</v>
      </c>
      <c r="F11168" t="s">
        <v>31362</v>
      </c>
      <c r="G11168" t="s">
        <v>31369</v>
      </c>
      <c r="H11168" t="s">
        <v>31378</v>
      </c>
      <c r="I11168" t="s">
        <v>31386</v>
      </c>
      <c r="J11168" t="s">
        <v>38345</v>
      </c>
      <c r="K11168" t="s">
        <v>40662</v>
      </c>
      <c r="M11168" t="s">
        <v>44280</v>
      </c>
      <c r="N11168" t="s">
        <v>44905</v>
      </c>
      <c r="O11168" t="s">
        <v>44906</v>
      </c>
      <c r="P11168">
        <v>0</v>
      </c>
      <c r="Q11168">
        <v>0</v>
      </c>
      <c r="R11168" t="s">
        <v>44916</v>
      </c>
      <c r="S11168" t="s">
        <v>45313</v>
      </c>
      <c r="T11168" t="s">
        <v>46397</v>
      </c>
      <c r="U11168" t="s">
        <v>55869</v>
      </c>
      <c r="W11168" t="s">
        <v>44280</v>
      </c>
      <c r="X11168" t="s">
        <v>44917</v>
      </c>
    </row>
    <row r="11169" spans="1:24">
      <c r="A11169">
        <f>HYPERLINK("https://www.philgeps.gov.ph/GEPSNONPILOT/Tender/SplashBidNoticeAbstractUI.aspx?menuIndex=3&amp;refID=7062418&amp;Result=3","7062418")</f>
        <v>0</v>
      </c>
      <c r="B11169" t="s">
        <v>3047</v>
      </c>
      <c r="C11169" t="s">
        <v>14170</v>
      </c>
      <c r="D11169" t="s">
        <v>18152</v>
      </c>
      <c r="E11169" t="s">
        <v>27868</v>
      </c>
      <c r="F11169" t="s">
        <v>31362</v>
      </c>
      <c r="G11169" t="s">
        <v>31369</v>
      </c>
      <c r="H11169" t="s">
        <v>31378</v>
      </c>
      <c r="I11169" t="s">
        <v>31386</v>
      </c>
      <c r="J11169" t="s">
        <v>38346</v>
      </c>
      <c r="K11169" t="s">
        <v>40679</v>
      </c>
      <c r="M11169" t="s">
        <v>44281</v>
      </c>
      <c r="N11169" t="s">
        <v>44905</v>
      </c>
      <c r="O11169" t="s">
        <v>44906</v>
      </c>
      <c r="P11169">
        <v>0</v>
      </c>
      <c r="Q11169">
        <v>2</v>
      </c>
      <c r="R11169" t="s">
        <v>44916</v>
      </c>
      <c r="S11169" t="s">
        <v>45313</v>
      </c>
      <c r="T11169" t="s">
        <v>46533</v>
      </c>
      <c r="U11169" t="s">
        <v>55870</v>
      </c>
      <c r="W11169" t="s">
        <v>44281</v>
      </c>
      <c r="X11169" t="s">
        <v>44917</v>
      </c>
    </row>
    <row r="11170" spans="1:24">
      <c r="A11170">
        <f>HYPERLINK("https://www.philgeps.gov.ph/GEPSNONPILOT/Tender/SplashBidNoticeAbstractUI.aspx?menuIndex=3&amp;refID=7062359&amp;Result=3","7062359")</f>
        <v>0</v>
      </c>
      <c r="B11170" t="s">
        <v>35</v>
      </c>
      <c r="C11170" t="s">
        <v>14171</v>
      </c>
      <c r="D11170" t="s">
        <v>18108</v>
      </c>
      <c r="E11170" t="s">
        <v>27869</v>
      </c>
      <c r="F11170" t="s">
        <v>31362</v>
      </c>
      <c r="G11170" t="s">
        <v>31376</v>
      </c>
      <c r="H11170" t="s">
        <v>15799</v>
      </c>
      <c r="I11170" t="s">
        <v>31377</v>
      </c>
      <c r="J11170" t="s">
        <v>31536</v>
      </c>
      <c r="K11170" t="s">
        <v>40739</v>
      </c>
      <c r="M11170" t="s">
        <v>40969</v>
      </c>
      <c r="N11170" t="s">
        <v>44905</v>
      </c>
      <c r="O11170" t="s">
        <v>44906</v>
      </c>
      <c r="Q11170">
        <v>4</v>
      </c>
      <c r="R11170" t="s">
        <v>44916</v>
      </c>
      <c r="S11170" t="s">
        <v>45346</v>
      </c>
      <c r="T11170" t="s">
        <v>46399</v>
      </c>
      <c r="U11170" t="s">
        <v>55871</v>
      </c>
      <c r="V11170" t="s">
        <v>59052</v>
      </c>
      <c r="W11170" t="s">
        <v>40969</v>
      </c>
      <c r="X11170" t="s">
        <v>44917</v>
      </c>
    </row>
    <row r="11171" spans="1:24">
      <c r="A11171">
        <f>HYPERLINK("https://www.philgeps.gov.ph/GEPSNONPILOT/Tender/SplashBidNoticeAbstractUI.aspx?menuIndex=3&amp;refID=7062356&amp;Result=3","7062356")</f>
        <v>0</v>
      </c>
      <c r="B11171" t="s">
        <v>2167</v>
      </c>
      <c r="C11171" t="s">
        <v>14172</v>
      </c>
      <c r="D11171" t="s">
        <v>18134</v>
      </c>
      <c r="E11171" t="s">
        <v>27870</v>
      </c>
      <c r="F11171" t="s">
        <v>31362</v>
      </c>
      <c r="G11171" t="s">
        <v>31369</v>
      </c>
      <c r="H11171" t="s">
        <v>31378</v>
      </c>
      <c r="I11171" t="s">
        <v>31386</v>
      </c>
      <c r="J11171" t="s">
        <v>38347</v>
      </c>
      <c r="K11171" t="s">
        <v>40683</v>
      </c>
      <c r="M11171" t="s">
        <v>43297</v>
      </c>
      <c r="N11171" t="s">
        <v>44905</v>
      </c>
      <c r="O11171" t="s">
        <v>44906</v>
      </c>
      <c r="P11171">
        <v>0</v>
      </c>
      <c r="Q11171">
        <v>1</v>
      </c>
      <c r="R11171" t="s">
        <v>44916</v>
      </c>
      <c r="S11171" t="s">
        <v>45313</v>
      </c>
      <c r="T11171" t="s">
        <v>46831</v>
      </c>
      <c r="U11171" t="s">
        <v>52713</v>
      </c>
      <c r="V11171" t="s">
        <v>60259</v>
      </c>
      <c r="W11171" t="s">
        <v>43297</v>
      </c>
      <c r="X11171" t="s">
        <v>44917</v>
      </c>
    </row>
    <row r="11172" spans="1:24">
      <c r="A11172">
        <f>HYPERLINK("https://www.philgeps.gov.ph/GEPSNONPILOT/Tender/SplashBidNoticeAbstractUI.aspx?menuIndex=3&amp;refID=7062352&amp;Result=3","7062352")</f>
        <v>0</v>
      </c>
      <c r="B11172" t="s">
        <v>211</v>
      </c>
      <c r="C11172" t="s">
        <v>14173</v>
      </c>
      <c r="D11172" t="s">
        <v>18161</v>
      </c>
      <c r="E11172" t="s">
        <v>27871</v>
      </c>
      <c r="F11172" t="s">
        <v>31362</v>
      </c>
      <c r="G11172" t="s">
        <v>31369</v>
      </c>
      <c r="H11172" t="s">
        <v>31378</v>
      </c>
      <c r="I11172" t="s">
        <v>31386</v>
      </c>
      <c r="J11172" t="s">
        <v>38343</v>
      </c>
      <c r="K11172" t="s">
        <v>40815</v>
      </c>
      <c r="M11172" t="s">
        <v>41150</v>
      </c>
      <c r="N11172" t="s">
        <v>44905</v>
      </c>
      <c r="O11172" t="s">
        <v>44906</v>
      </c>
      <c r="P11172">
        <v>0</v>
      </c>
      <c r="Q11172">
        <v>4</v>
      </c>
      <c r="R11172" t="s">
        <v>44916</v>
      </c>
      <c r="S11172" t="s">
        <v>45313</v>
      </c>
      <c r="T11172" t="s">
        <v>46481</v>
      </c>
      <c r="U11172" t="s">
        <v>55872</v>
      </c>
      <c r="W11172" t="s">
        <v>41150</v>
      </c>
      <c r="X11172" t="s">
        <v>44917</v>
      </c>
    </row>
    <row r="11173" spans="1:24">
      <c r="A11173">
        <f>HYPERLINK("https://www.philgeps.gov.ph/GEPSNONPILOT/Tender/SplashBidNoticeAbstractUI.aspx?menuIndex=3&amp;refID=7062533&amp;Result=3","7062533")</f>
        <v>0</v>
      </c>
      <c r="B11173" t="s">
        <v>194</v>
      </c>
      <c r="C11173" t="s">
        <v>14174</v>
      </c>
      <c r="D11173" t="s">
        <v>18143</v>
      </c>
      <c r="E11173" t="s">
        <v>27872</v>
      </c>
      <c r="F11173" t="s">
        <v>31362</v>
      </c>
      <c r="G11173" t="s">
        <v>31369</v>
      </c>
      <c r="H11173" t="s">
        <v>15799</v>
      </c>
      <c r="I11173" t="s">
        <v>31387</v>
      </c>
      <c r="J11173" t="s">
        <v>38348</v>
      </c>
      <c r="K11173" t="s">
        <v>40675</v>
      </c>
      <c r="M11173" t="s">
        <v>41132</v>
      </c>
      <c r="N11173" t="s">
        <v>44905</v>
      </c>
      <c r="O11173" t="s">
        <v>44906</v>
      </c>
      <c r="P11173">
        <v>0</v>
      </c>
      <c r="Q11173">
        <v>0</v>
      </c>
      <c r="R11173" t="s">
        <v>44916</v>
      </c>
      <c r="S11173" t="s">
        <v>45313</v>
      </c>
      <c r="T11173" t="s">
        <v>46612</v>
      </c>
      <c r="U11173" t="s">
        <v>55873</v>
      </c>
      <c r="W11173" t="s">
        <v>41132</v>
      </c>
      <c r="X11173" t="s">
        <v>44917</v>
      </c>
    </row>
    <row r="11174" spans="1:24">
      <c r="A11174">
        <f>HYPERLINK("https://www.philgeps.gov.ph/GEPSNONPILOT/Tender/SplashBidNoticeAbstractUI.aspx?menuIndex=3&amp;refID=7062407&amp;Result=3","7062407")</f>
        <v>0</v>
      </c>
      <c r="B11174" t="s">
        <v>211</v>
      </c>
      <c r="C11174" t="s">
        <v>14175</v>
      </c>
      <c r="D11174" t="s">
        <v>18161</v>
      </c>
      <c r="E11174" t="s">
        <v>27873</v>
      </c>
      <c r="F11174" t="s">
        <v>31362</v>
      </c>
      <c r="G11174" t="s">
        <v>31369</v>
      </c>
      <c r="H11174" t="s">
        <v>31378</v>
      </c>
      <c r="I11174" t="s">
        <v>31386</v>
      </c>
      <c r="J11174" t="s">
        <v>38343</v>
      </c>
      <c r="K11174" t="s">
        <v>40815</v>
      </c>
      <c r="M11174" t="s">
        <v>41150</v>
      </c>
      <c r="N11174" t="s">
        <v>44905</v>
      </c>
      <c r="O11174" t="s">
        <v>44906</v>
      </c>
      <c r="P11174">
        <v>0</v>
      </c>
      <c r="Q11174">
        <v>4</v>
      </c>
      <c r="R11174" t="s">
        <v>44916</v>
      </c>
      <c r="S11174" t="s">
        <v>45313</v>
      </c>
      <c r="T11174" t="s">
        <v>46481</v>
      </c>
      <c r="U11174" t="s">
        <v>55874</v>
      </c>
      <c r="W11174" t="s">
        <v>41150</v>
      </c>
      <c r="X11174" t="s">
        <v>44917</v>
      </c>
    </row>
    <row r="11175" spans="1:24">
      <c r="A11175">
        <f>HYPERLINK("https://www.philgeps.gov.ph/GEPSNONPILOT/Tender/SplashBidNoticeAbstractUI.aspx?menuIndex=3&amp;refID=7062556&amp;Result=3","7062556")</f>
        <v>0</v>
      </c>
      <c r="B11175" t="s">
        <v>3015</v>
      </c>
      <c r="C11175" t="s">
        <v>14176</v>
      </c>
      <c r="D11175" t="s">
        <v>18102</v>
      </c>
      <c r="E11175" t="s">
        <v>27874</v>
      </c>
      <c r="F11175" t="s">
        <v>31362</v>
      </c>
      <c r="G11175" t="s">
        <v>31369</v>
      </c>
      <c r="H11175" t="s">
        <v>31379</v>
      </c>
      <c r="I11175" t="s">
        <v>31409</v>
      </c>
      <c r="J11175" t="s">
        <v>31542</v>
      </c>
      <c r="K11175" t="s">
        <v>40682</v>
      </c>
      <c r="M11175" t="s">
        <v>44246</v>
      </c>
      <c r="N11175" t="s">
        <v>44905</v>
      </c>
      <c r="O11175" t="s">
        <v>44906</v>
      </c>
      <c r="P11175">
        <v>0</v>
      </c>
      <c r="Q11175">
        <v>6</v>
      </c>
      <c r="R11175" t="s">
        <v>44916</v>
      </c>
      <c r="S11175" t="s">
        <v>45313</v>
      </c>
      <c r="T11175" t="s">
        <v>46533</v>
      </c>
      <c r="U11175" t="s">
        <v>55875</v>
      </c>
      <c r="W11175" t="s">
        <v>44246</v>
      </c>
      <c r="X11175" t="s">
        <v>44917</v>
      </c>
    </row>
    <row r="11176" spans="1:24">
      <c r="A11176">
        <f>HYPERLINK("https://www.philgeps.gov.ph/GEPSNONPILOT/Tender/SplashBidNoticeAbstractUI.aspx?menuIndex=3&amp;refID=7062376&amp;Result=3","7062376")</f>
        <v>0</v>
      </c>
      <c r="B11176" t="s">
        <v>3048</v>
      </c>
      <c r="C11176" t="s">
        <v>14177</v>
      </c>
      <c r="D11176" t="s">
        <v>18155</v>
      </c>
      <c r="E11176" t="s">
        <v>27875</v>
      </c>
      <c r="F11176" t="s">
        <v>31362</v>
      </c>
      <c r="G11176" t="s">
        <v>31368</v>
      </c>
      <c r="H11176" t="s">
        <v>15799</v>
      </c>
      <c r="I11176" t="s">
        <v>31422</v>
      </c>
      <c r="J11176" t="s">
        <v>31536</v>
      </c>
      <c r="K11176" t="s">
        <v>40662</v>
      </c>
      <c r="M11176" t="s">
        <v>44282</v>
      </c>
      <c r="N11176" t="s">
        <v>44905</v>
      </c>
      <c r="O11176" t="s">
        <v>44906</v>
      </c>
      <c r="P11176">
        <v>0</v>
      </c>
      <c r="Q11176">
        <v>2</v>
      </c>
      <c r="R11176" t="s">
        <v>44916</v>
      </c>
      <c r="S11176" t="s">
        <v>45313</v>
      </c>
      <c r="T11176" t="s">
        <v>46438</v>
      </c>
      <c r="U11176" t="s">
        <v>55876</v>
      </c>
      <c r="W11176" t="s">
        <v>44282</v>
      </c>
      <c r="X11176" t="s">
        <v>44917</v>
      </c>
    </row>
    <row r="11177" spans="1:24">
      <c r="A11177">
        <f>HYPERLINK("https://www.philgeps.gov.ph/GEPSNONPILOT/Tender/SplashBidNoticeAbstractUI.aspx?menuIndex=3&amp;refID=7062366&amp;Result=3","7062366")</f>
        <v>0</v>
      </c>
      <c r="B11177" t="s">
        <v>3049</v>
      </c>
      <c r="C11177" t="s">
        <v>14178</v>
      </c>
      <c r="D11177" t="s">
        <v>18101</v>
      </c>
      <c r="E11177" t="s">
        <v>27876</v>
      </c>
      <c r="F11177" t="s">
        <v>31362</v>
      </c>
      <c r="G11177" t="s">
        <v>31369</v>
      </c>
      <c r="H11177" t="s">
        <v>15799</v>
      </c>
      <c r="I11177" t="s">
        <v>31380</v>
      </c>
      <c r="J11177" t="s">
        <v>31734</v>
      </c>
      <c r="K11177" t="s">
        <v>40661</v>
      </c>
      <c r="M11177" t="s">
        <v>44283</v>
      </c>
      <c r="N11177" t="s">
        <v>44905</v>
      </c>
      <c r="O11177" t="s">
        <v>44906</v>
      </c>
      <c r="P11177">
        <v>0</v>
      </c>
      <c r="Q11177">
        <v>0</v>
      </c>
      <c r="R11177" t="s">
        <v>44916</v>
      </c>
      <c r="S11177" t="s">
        <v>45313</v>
      </c>
      <c r="T11177" t="s">
        <v>46585</v>
      </c>
      <c r="U11177" t="s">
        <v>55877</v>
      </c>
      <c r="W11177" t="s">
        <v>44283</v>
      </c>
      <c r="X11177" t="s">
        <v>44917</v>
      </c>
    </row>
    <row r="11178" spans="1:24">
      <c r="A11178">
        <f>HYPERLINK("https://www.philgeps.gov.ph/GEPSNONPILOT/Tender/SplashBidNoticeAbstractUI.aspx?menuIndex=3&amp;refID=7062541&amp;Result=3","7062541")</f>
        <v>0</v>
      </c>
      <c r="B11178" t="s">
        <v>3050</v>
      </c>
      <c r="C11178" t="s">
        <v>8019</v>
      </c>
      <c r="D11178" t="s">
        <v>18127</v>
      </c>
      <c r="E11178" t="s">
        <v>27877</v>
      </c>
      <c r="F11178" t="s">
        <v>31363</v>
      </c>
      <c r="G11178" t="s">
        <v>31369</v>
      </c>
      <c r="H11178" t="s">
        <v>15799</v>
      </c>
      <c r="I11178" t="s">
        <v>3815</v>
      </c>
      <c r="J11178" t="s">
        <v>31536</v>
      </c>
      <c r="K11178" t="s">
        <v>40680</v>
      </c>
      <c r="M11178" t="s">
        <v>44284</v>
      </c>
      <c r="N11178" t="s">
        <v>44905</v>
      </c>
      <c r="O11178" t="s">
        <v>44906</v>
      </c>
      <c r="P11178">
        <v>0</v>
      </c>
      <c r="Q11178">
        <v>1</v>
      </c>
      <c r="R11178" t="s">
        <v>44916</v>
      </c>
      <c r="S11178" t="s">
        <v>45313</v>
      </c>
      <c r="T11178" t="s">
        <v>46470</v>
      </c>
      <c r="U11178" t="s">
        <v>55878</v>
      </c>
      <c r="W11178" t="s">
        <v>44284</v>
      </c>
      <c r="X11178" t="s">
        <v>44917</v>
      </c>
    </row>
    <row r="11179" spans="1:24">
      <c r="A11179">
        <f>HYPERLINK("https://www.philgeps.gov.ph/GEPSNONPILOT/Tender/SplashBidNoticeAbstractUI.aspx?menuIndex=3&amp;refID=7062524&amp;Result=3","7062524")</f>
        <v>0</v>
      </c>
      <c r="B11179" t="s">
        <v>3051</v>
      </c>
      <c r="C11179" t="s">
        <v>14179</v>
      </c>
      <c r="D11179" t="s">
        <v>18170</v>
      </c>
      <c r="E11179" t="s">
        <v>27878</v>
      </c>
      <c r="F11179" t="s">
        <v>31362</v>
      </c>
      <c r="G11179" t="s">
        <v>31369</v>
      </c>
      <c r="H11179" t="s">
        <v>15799</v>
      </c>
      <c r="I11179" t="s">
        <v>7188</v>
      </c>
      <c r="J11179" t="s">
        <v>32546</v>
      </c>
      <c r="K11179" t="s">
        <v>40665</v>
      </c>
      <c r="M11179" t="s">
        <v>44285</v>
      </c>
      <c r="N11179" t="s">
        <v>44905</v>
      </c>
      <c r="O11179" t="s">
        <v>44906</v>
      </c>
      <c r="P11179">
        <v>0</v>
      </c>
      <c r="Q11179">
        <v>3</v>
      </c>
      <c r="R11179" t="s">
        <v>44916</v>
      </c>
      <c r="S11179" t="s">
        <v>45313</v>
      </c>
      <c r="T11179" t="s">
        <v>46464</v>
      </c>
      <c r="U11179" t="s">
        <v>55879</v>
      </c>
      <c r="W11179" t="s">
        <v>44285</v>
      </c>
      <c r="X11179" t="s">
        <v>44917</v>
      </c>
    </row>
    <row r="11180" spans="1:24">
      <c r="A11180">
        <f>HYPERLINK("https://www.philgeps.gov.ph/GEPSNONPILOT/Tender/SplashBidNoticeAbstractUI.aspx?menuIndex=3&amp;refID=7062393&amp;Result=3","7062393")</f>
        <v>0</v>
      </c>
      <c r="B11180" t="s">
        <v>2943</v>
      </c>
      <c r="C11180" t="s">
        <v>14180</v>
      </c>
      <c r="D11180" t="s">
        <v>18134</v>
      </c>
      <c r="E11180" t="s">
        <v>27879</v>
      </c>
      <c r="F11180" t="s">
        <v>31362</v>
      </c>
      <c r="G11180" t="s">
        <v>31369</v>
      </c>
      <c r="H11180" t="s">
        <v>31378</v>
      </c>
      <c r="I11180" t="s">
        <v>31386</v>
      </c>
      <c r="J11180" t="s">
        <v>31530</v>
      </c>
      <c r="K11180" t="s">
        <v>40675</v>
      </c>
      <c r="M11180" t="s">
        <v>44165</v>
      </c>
      <c r="N11180" t="s">
        <v>44905</v>
      </c>
      <c r="O11180" t="s">
        <v>44906</v>
      </c>
      <c r="P11180">
        <v>0</v>
      </c>
      <c r="Q11180">
        <v>0</v>
      </c>
      <c r="R11180" t="s">
        <v>44916</v>
      </c>
      <c r="S11180" t="s">
        <v>45313</v>
      </c>
      <c r="T11180" t="s">
        <v>46392</v>
      </c>
      <c r="U11180" t="s">
        <v>55880</v>
      </c>
      <c r="W11180" t="s">
        <v>44165</v>
      </c>
      <c r="X11180" t="s">
        <v>44917</v>
      </c>
    </row>
    <row r="11181" spans="1:24">
      <c r="A11181">
        <f>HYPERLINK("https://www.philgeps.gov.ph/GEPSNONPILOT/Tender/SplashBidNoticeAbstractUI.aspx?menuIndex=3&amp;refID=7062508&amp;Result=3","7062508")</f>
        <v>0</v>
      </c>
      <c r="B11181" t="s">
        <v>3015</v>
      </c>
      <c r="C11181" t="s">
        <v>14181</v>
      </c>
      <c r="D11181" t="s">
        <v>18102</v>
      </c>
      <c r="E11181" t="s">
        <v>27880</v>
      </c>
      <c r="F11181" t="s">
        <v>31362</v>
      </c>
      <c r="G11181" t="s">
        <v>31369</v>
      </c>
      <c r="H11181" t="s">
        <v>31379</v>
      </c>
      <c r="I11181" t="s">
        <v>31409</v>
      </c>
      <c r="J11181" t="s">
        <v>31542</v>
      </c>
      <c r="K11181" t="s">
        <v>40682</v>
      </c>
      <c r="M11181" t="s">
        <v>44246</v>
      </c>
      <c r="N11181" t="s">
        <v>44905</v>
      </c>
      <c r="O11181" t="s">
        <v>44906</v>
      </c>
      <c r="P11181">
        <v>0</v>
      </c>
      <c r="Q11181">
        <v>4</v>
      </c>
      <c r="R11181" t="s">
        <v>44916</v>
      </c>
      <c r="S11181" t="s">
        <v>45313</v>
      </c>
      <c r="T11181" t="s">
        <v>46533</v>
      </c>
      <c r="U11181" t="s">
        <v>55881</v>
      </c>
      <c r="W11181" t="s">
        <v>44246</v>
      </c>
      <c r="X11181" t="s">
        <v>44917</v>
      </c>
    </row>
    <row r="11182" spans="1:24">
      <c r="A11182">
        <f>HYPERLINK("https://www.philgeps.gov.ph/GEPSNONPILOT/Tender/SplashBidNoticeAbstractUI.aspx?menuIndex=3&amp;refID=7062549&amp;Result=3","7062549")</f>
        <v>0</v>
      </c>
      <c r="B11182" t="s">
        <v>459</v>
      </c>
      <c r="C11182" t="s">
        <v>14182</v>
      </c>
      <c r="D11182" t="s">
        <v>18170</v>
      </c>
      <c r="E11182" t="s">
        <v>26636</v>
      </c>
      <c r="F11182" t="s">
        <v>31362</v>
      </c>
      <c r="G11182" t="s">
        <v>31369</v>
      </c>
      <c r="H11182" t="s">
        <v>15799</v>
      </c>
      <c r="I11182" t="s">
        <v>31393</v>
      </c>
      <c r="J11182" t="s">
        <v>38349</v>
      </c>
      <c r="K11182" t="s">
        <v>40665</v>
      </c>
      <c r="M11182" t="s">
        <v>41413</v>
      </c>
      <c r="N11182" t="s">
        <v>44905</v>
      </c>
      <c r="O11182" t="s">
        <v>44906</v>
      </c>
      <c r="P11182">
        <v>0</v>
      </c>
      <c r="Q11182">
        <v>4</v>
      </c>
      <c r="R11182" t="s">
        <v>44916</v>
      </c>
      <c r="S11182" t="s">
        <v>45313</v>
      </c>
      <c r="T11182" t="s">
        <v>46525</v>
      </c>
      <c r="U11182" t="s">
        <v>55882</v>
      </c>
      <c r="W11182" t="s">
        <v>41413</v>
      </c>
      <c r="X11182" t="s">
        <v>44917</v>
      </c>
    </row>
    <row r="11183" spans="1:24">
      <c r="A11183">
        <f>HYPERLINK("https://www.philgeps.gov.ph/GEPSNONPILOT/Tender/SplashBidNoticeAbstractUI.aspx?menuIndex=3&amp;refID=7062538&amp;Result=3","7062538")</f>
        <v>0</v>
      </c>
      <c r="B11183" t="s">
        <v>3052</v>
      </c>
      <c r="C11183" t="s">
        <v>14183</v>
      </c>
      <c r="D11183" t="s">
        <v>18175</v>
      </c>
      <c r="E11183" t="s">
        <v>18844</v>
      </c>
      <c r="F11183" t="s">
        <v>31362</v>
      </c>
      <c r="G11183" t="s">
        <v>31369</v>
      </c>
      <c r="H11183" t="s">
        <v>31378</v>
      </c>
      <c r="I11183" t="s">
        <v>31386</v>
      </c>
      <c r="J11183" t="s">
        <v>38350</v>
      </c>
      <c r="K11183" t="s">
        <v>40662</v>
      </c>
      <c r="M11183" t="s">
        <v>44286</v>
      </c>
      <c r="N11183" t="s">
        <v>44905</v>
      </c>
      <c r="O11183" t="s">
        <v>44906</v>
      </c>
      <c r="P11183">
        <v>0</v>
      </c>
      <c r="Q11183">
        <v>0</v>
      </c>
      <c r="R11183" t="s">
        <v>44916</v>
      </c>
      <c r="S11183" t="s">
        <v>45313</v>
      </c>
      <c r="T11183" t="s">
        <v>46459</v>
      </c>
      <c r="U11183" t="s">
        <v>55883</v>
      </c>
      <c r="W11183" t="s">
        <v>44286</v>
      </c>
      <c r="X11183" t="s">
        <v>44917</v>
      </c>
    </row>
    <row r="11184" spans="1:24">
      <c r="A11184">
        <f>HYPERLINK("https://www.philgeps.gov.ph/GEPSNONPILOT/Tender/SplashBidNoticeAbstractUI.aspx?menuIndex=3&amp;refID=7062477&amp;Result=3","7062477")</f>
        <v>0</v>
      </c>
      <c r="B11184" t="s">
        <v>3015</v>
      </c>
      <c r="C11184" t="s">
        <v>14184</v>
      </c>
      <c r="D11184" t="s">
        <v>18102</v>
      </c>
      <c r="E11184" t="s">
        <v>27881</v>
      </c>
      <c r="F11184" t="s">
        <v>31362</v>
      </c>
      <c r="G11184" t="s">
        <v>31369</v>
      </c>
      <c r="H11184" t="s">
        <v>15799</v>
      </c>
      <c r="I11184" t="s">
        <v>31457</v>
      </c>
      <c r="J11184" t="s">
        <v>33758</v>
      </c>
      <c r="K11184" t="s">
        <v>40682</v>
      </c>
      <c r="M11184" t="s">
        <v>44246</v>
      </c>
      <c r="N11184" t="s">
        <v>44905</v>
      </c>
      <c r="O11184" t="s">
        <v>44906</v>
      </c>
      <c r="P11184">
        <v>0</v>
      </c>
      <c r="Q11184">
        <v>10</v>
      </c>
      <c r="R11184" t="s">
        <v>44916</v>
      </c>
      <c r="S11184" t="s">
        <v>45313</v>
      </c>
      <c r="T11184" t="s">
        <v>46533</v>
      </c>
      <c r="U11184" t="s">
        <v>55884</v>
      </c>
      <c r="W11184" t="s">
        <v>44246</v>
      </c>
      <c r="X11184" t="s">
        <v>44917</v>
      </c>
    </row>
    <row r="11185" spans="1:24">
      <c r="A11185">
        <f>HYPERLINK("https://www.philgeps.gov.ph/GEPSNONPILOT/Tender/SplashBidNoticeAbstractUI.aspx?menuIndex=3&amp;refID=7062519&amp;Result=3","7062519")</f>
        <v>0</v>
      </c>
      <c r="B11185" t="s">
        <v>2008</v>
      </c>
      <c r="C11185" t="s">
        <v>14185</v>
      </c>
      <c r="D11185" t="s">
        <v>18110</v>
      </c>
      <c r="E11185" t="s">
        <v>27882</v>
      </c>
      <c r="F11185" t="s">
        <v>31362</v>
      </c>
      <c r="G11185" t="s">
        <v>31369</v>
      </c>
      <c r="H11185" t="s">
        <v>15799</v>
      </c>
      <c r="I11185" t="s">
        <v>3815</v>
      </c>
      <c r="J11185" t="s">
        <v>38351</v>
      </c>
      <c r="K11185" t="s">
        <v>40666</v>
      </c>
      <c r="M11185" t="s">
        <v>44287</v>
      </c>
      <c r="N11185" t="s">
        <v>44905</v>
      </c>
      <c r="O11185" t="s">
        <v>44906</v>
      </c>
      <c r="P11185">
        <v>0</v>
      </c>
      <c r="Q11185">
        <v>1</v>
      </c>
      <c r="R11185" t="s">
        <v>44916</v>
      </c>
      <c r="S11185" t="s">
        <v>45313</v>
      </c>
      <c r="T11185" t="s">
        <v>46538</v>
      </c>
      <c r="U11185" t="s">
        <v>49377</v>
      </c>
      <c r="V11185" t="s">
        <v>60260</v>
      </c>
      <c r="W11185" t="s">
        <v>60916</v>
      </c>
      <c r="X11185" t="s">
        <v>44917</v>
      </c>
    </row>
    <row r="11186" spans="1:24">
      <c r="A11186">
        <f>HYPERLINK("https://www.philgeps.gov.ph/GEPSNONPILOT/Tender/SplashBidNoticeAbstractUI.aspx?menuIndex=3&amp;refID=7062472&amp;Result=3","7062472")</f>
        <v>0</v>
      </c>
      <c r="B11186" t="s">
        <v>3053</v>
      </c>
      <c r="C11186" t="s">
        <v>14153</v>
      </c>
      <c r="D11186" t="s">
        <v>18175</v>
      </c>
      <c r="E11186" t="s">
        <v>19359</v>
      </c>
      <c r="F11186" t="s">
        <v>31362</v>
      </c>
      <c r="G11186" t="s">
        <v>31369</v>
      </c>
      <c r="H11186" t="s">
        <v>31378</v>
      </c>
      <c r="I11186" t="s">
        <v>31386</v>
      </c>
      <c r="J11186" t="s">
        <v>38352</v>
      </c>
      <c r="K11186" t="s">
        <v>40662</v>
      </c>
      <c r="M11186" t="s">
        <v>44288</v>
      </c>
      <c r="N11186" t="s">
        <v>44905</v>
      </c>
      <c r="O11186" t="s">
        <v>44906</v>
      </c>
      <c r="P11186">
        <v>0</v>
      </c>
      <c r="Q11186">
        <v>0</v>
      </c>
      <c r="R11186" t="s">
        <v>44916</v>
      </c>
      <c r="S11186" t="s">
        <v>45313</v>
      </c>
      <c r="T11186" t="s">
        <v>46459</v>
      </c>
      <c r="U11186" t="s">
        <v>55885</v>
      </c>
      <c r="W11186" t="s">
        <v>44288</v>
      </c>
      <c r="X11186" t="s">
        <v>44917</v>
      </c>
    </row>
    <row r="11187" spans="1:24">
      <c r="A11187">
        <f>HYPERLINK("https://www.philgeps.gov.ph/GEPSNONPILOT/Tender/SplashBidNoticeAbstractUI.aspx?menuIndex=3&amp;refID=7062461&amp;Result=3","7062461")</f>
        <v>0</v>
      </c>
      <c r="B11187" t="s">
        <v>2187</v>
      </c>
      <c r="C11187" t="s">
        <v>14186</v>
      </c>
      <c r="D11187" t="s">
        <v>18108</v>
      </c>
      <c r="E11187" t="s">
        <v>27883</v>
      </c>
      <c r="F11187" t="s">
        <v>31362</v>
      </c>
      <c r="G11187" t="s">
        <v>31369</v>
      </c>
      <c r="H11187" t="s">
        <v>31378</v>
      </c>
      <c r="I11187" t="s">
        <v>31386</v>
      </c>
      <c r="J11187" t="s">
        <v>38353</v>
      </c>
      <c r="K11187" t="s">
        <v>40683</v>
      </c>
      <c r="M11187" t="s">
        <v>43832</v>
      </c>
      <c r="N11187" t="s">
        <v>44905</v>
      </c>
      <c r="O11187" t="s">
        <v>44906</v>
      </c>
      <c r="P11187">
        <v>0</v>
      </c>
      <c r="Q11187">
        <v>76</v>
      </c>
      <c r="R11187" t="s">
        <v>44916</v>
      </c>
      <c r="S11187" t="s">
        <v>45313</v>
      </c>
      <c r="T11187" t="s">
        <v>46538</v>
      </c>
      <c r="U11187" t="s">
        <v>54261</v>
      </c>
      <c r="V11187" t="s">
        <v>60261</v>
      </c>
      <c r="W11187" t="s">
        <v>43832</v>
      </c>
      <c r="X11187" t="s">
        <v>44917</v>
      </c>
    </row>
    <row r="11188" spans="1:24">
      <c r="A11188">
        <f>HYPERLINK("https://www.philgeps.gov.ph/GEPSNONPILOT/Tender/SplashBidNoticeAbstractUI.aspx?menuIndex=3&amp;refID=7062441&amp;Result=3","7062441")</f>
        <v>0</v>
      </c>
      <c r="B11188" t="s">
        <v>2903</v>
      </c>
      <c r="C11188" t="s">
        <v>14187</v>
      </c>
      <c r="D11188" t="s">
        <v>18147</v>
      </c>
      <c r="E11188" t="s">
        <v>27884</v>
      </c>
      <c r="F11188" t="s">
        <v>31362</v>
      </c>
      <c r="G11188" t="s">
        <v>31369</v>
      </c>
      <c r="H11188" t="s">
        <v>31378</v>
      </c>
      <c r="I11188" t="s">
        <v>31386</v>
      </c>
      <c r="J11188" t="s">
        <v>38354</v>
      </c>
      <c r="K11188" t="s">
        <v>40814</v>
      </c>
      <c r="M11188" t="s">
        <v>44118</v>
      </c>
      <c r="N11188" t="s">
        <v>44905</v>
      </c>
      <c r="O11188" t="s">
        <v>44906</v>
      </c>
      <c r="P11188">
        <v>0</v>
      </c>
      <c r="Q11188">
        <v>0</v>
      </c>
      <c r="R11188" t="s">
        <v>44916</v>
      </c>
      <c r="S11188" t="s">
        <v>45313</v>
      </c>
      <c r="T11188" t="s">
        <v>46411</v>
      </c>
      <c r="U11188" t="s">
        <v>55886</v>
      </c>
      <c r="W11188" t="s">
        <v>44118</v>
      </c>
      <c r="X11188" t="s">
        <v>44917</v>
      </c>
    </row>
    <row r="11189" spans="1:24">
      <c r="A11189">
        <f>HYPERLINK("https://www.philgeps.gov.ph/GEPSNONPILOT/Tender/SplashBidNoticeAbstractUI.aspx?menuIndex=3&amp;refID=7062433&amp;Result=3","7062433")</f>
        <v>0</v>
      </c>
      <c r="B11189" t="s">
        <v>3054</v>
      </c>
      <c r="C11189" t="s">
        <v>14188</v>
      </c>
      <c r="D11189" t="s">
        <v>18116</v>
      </c>
      <c r="E11189" t="s">
        <v>27885</v>
      </c>
      <c r="F11189" t="s">
        <v>31362</v>
      </c>
      <c r="G11189" t="s">
        <v>31369</v>
      </c>
      <c r="H11189" t="s">
        <v>31378</v>
      </c>
      <c r="I11189" t="s">
        <v>31386</v>
      </c>
      <c r="J11189" t="s">
        <v>31637</v>
      </c>
      <c r="K11189" t="s">
        <v>40662</v>
      </c>
      <c r="M11189" t="s">
        <v>44289</v>
      </c>
      <c r="N11189" t="s">
        <v>44905</v>
      </c>
      <c r="O11189" t="s">
        <v>44906</v>
      </c>
      <c r="P11189">
        <v>0</v>
      </c>
      <c r="Q11189">
        <v>0</v>
      </c>
      <c r="R11189" t="s">
        <v>44916</v>
      </c>
      <c r="S11189" t="s">
        <v>45313</v>
      </c>
      <c r="T11189" t="s">
        <v>46553</v>
      </c>
      <c r="U11189" t="s">
        <v>55887</v>
      </c>
      <c r="V11189" t="s">
        <v>60262</v>
      </c>
      <c r="W11189" t="s">
        <v>44289</v>
      </c>
      <c r="X11189" t="s">
        <v>44917</v>
      </c>
    </row>
    <row r="11190" spans="1:24">
      <c r="A11190">
        <f>HYPERLINK("https://www.philgeps.gov.ph/GEPSNONPILOT/Tender/SplashBidNoticeAbstractUI.aspx?menuIndex=3&amp;refID=7062476&amp;Result=3","7062476")</f>
        <v>0</v>
      </c>
      <c r="B11190" t="s">
        <v>211</v>
      </c>
      <c r="C11190" t="s">
        <v>14189</v>
      </c>
      <c r="D11190" t="s">
        <v>18161</v>
      </c>
      <c r="E11190" t="s">
        <v>27886</v>
      </c>
      <c r="F11190" t="s">
        <v>31362</v>
      </c>
      <c r="G11190" t="s">
        <v>31369</v>
      </c>
      <c r="H11190" t="s">
        <v>31378</v>
      </c>
      <c r="I11190" t="s">
        <v>31386</v>
      </c>
      <c r="J11190" t="s">
        <v>38343</v>
      </c>
      <c r="K11190" t="s">
        <v>40815</v>
      </c>
      <c r="M11190" t="s">
        <v>41150</v>
      </c>
      <c r="N11190" t="s">
        <v>44905</v>
      </c>
      <c r="O11190" t="s">
        <v>44906</v>
      </c>
      <c r="P11190">
        <v>0</v>
      </c>
      <c r="Q11190">
        <v>5</v>
      </c>
      <c r="R11190" t="s">
        <v>44916</v>
      </c>
      <c r="S11190" t="s">
        <v>45313</v>
      </c>
      <c r="T11190" t="s">
        <v>46481</v>
      </c>
      <c r="U11190" t="s">
        <v>55888</v>
      </c>
      <c r="W11190" t="s">
        <v>41150</v>
      </c>
      <c r="X11190" t="s">
        <v>44917</v>
      </c>
    </row>
    <row r="11191" spans="1:24">
      <c r="A11191">
        <f>HYPERLINK("https://www.philgeps.gov.ph/GEPSNONPILOT/Tender/SplashBidNoticeAbstractUI.aspx?menuIndex=3&amp;refID=7062484&amp;Result=3","7062484")</f>
        <v>0</v>
      </c>
      <c r="B11191" t="s">
        <v>2793</v>
      </c>
      <c r="C11191" t="s">
        <v>14190</v>
      </c>
      <c r="D11191" t="s">
        <v>18158</v>
      </c>
      <c r="E11191" t="s">
        <v>27887</v>
      </c>
      <c r="F11191" t="s">
        <v>31362</v>
      </c>
      <c r="G11191" t="s">
        <v>31369</v>
      </c>
      <c r="H11191" t="s">
        <v>15799</v>
      </c>
      <c r="I11191" t="s">
        <v>31384</v>
      </c>
      <c r="J11191" t="s">
        <v>34265</v>
      </c>
      <c r="K11191" t="s">
        <v>40665</v>
      </c>
      <c r="M11191" t="s">
        <v>43990</v>
      </c>
      <c r="N11191" t="s">
        <v>44905</v>
      </c>
      <c r="O11191" t="s">
        <v>44906</v>
      </c>
      <c r="P11191">
        <v>0</v>
      </c>
      <c r="Q11191">
        <v>5</v>
      </c>
      <c r="R11191" t="s">
        <v>44916</v>
      </c>
      <c r="S11191" t="s">
        <v>45313</v>
      </c>
      <c r="T11191" t="s">
        <v>46450</v>
      </c>
      <c r="U11191" t="s">
        <v>55889</v>
      </c>
      <c r="V11191" t="s">
        <v>60263</v>
      </c>
      <c r="W11191" t="s">
        <v>43990</v>
      </c>
      <c r="X11191" t="s">
        <v>44917</v>
      </c>
    </row>
    <row r="11192" spans="1:24">
      <c r="A11192">
        <f>HYPERLINK("https://www.philgeps.gov.ph/GEPSNONPILOT/Tender/SplashBidNoticeAbstractUI.aspx?menuIndex=3&amp;refID=7062439&amp;Result=3","7062439")</f>
        <v>0</v>
      </c>
      <c r="B11192" t="s">
        <v>3053</v>
      </c>
      <c r="C11192" t="s">
        <v>14191</v>
      </c>
      <c r="D11192" t="s">
        <v>18175</v>
      </c>
      <c r="E11192" t="s">
        <v>18985</v>
      </c>
      <c r="F11192" t="s">
        <v>31362</v>
      </c>
      <c r="G11192" t="s">
        <v>31369</v>
      </c>
      <c r="H11192" t="s">
        <v>31378</v>
      </c>
      <c r="I11192" t="s">
        <v>31386</v>
      </c>
      <c r="J11192" t="s">
        <v>31536</v>
      </c>
      <c r="K11192" t="s">
        <v>40662</v>
      </c>
      <c r="M11192" t="s">
        <v>44288</v>
      </c>
      <c r="N11192" t="s">
        <v>44905</v>
      </c>
      <c r="O11192" t="s">
        <v>44906</v>
      </c>
      <c r="P11192">
        <v>0</v>
      </c>
      <c r="Q11192">
        <v>0</v>
      </c>
      <c r="R11192" t="s">
        <v>44916</v>
      </c>
      <c r="S11192" t="s">
        <v>45313</v>
      </c>
      <c r="T11192" t="s">
        <v>46459</v>
      </c>
      <c r="U11192" t="s">
        <v>55890</v>
      </c>
      <c r="W11192" t="s">
        <v>44288</v>
      </c>
      <c r="X11192" t="s">
        <v>44917</v>
      </c>
    </row>
    <row r="11193" spans="1:24">
      <c r="A11193">
        <f>HYPERLINK("https://www.philgeps.gov.ph/GEPSNONPILOT/Tender/SplashBidNoticeAbstractUI.aspx?menuIndex=3&amp;refID=7062346&amp;Result=3","7062346")</f>
        <v>0</v>
      </c>
      <c r="B11193" t="s">
        <v>1314</v>
      </c>
      <c r="C11193" t="s">
        <v>14192</v>
      </c>
      <c r="D11193" t="s">
        <v>18134</v>
      </c>
      <c r="E11193" t="s">
        <v>27888</v>
      </c>
      <c r="F11193" t="s">
        <v>31362</v>
      </c>
      <c r="G11193" t="s">
        <v>31369</v>
      </c>
      <c r="H11193" t="s">
        <v>15799</v>
      </c>
      <c r="I11193" t="s">
        <v>4283</v>
      </c>
      <c r="J11193" t="s">
        <v>31734</v>
      </c>
      <c r="K11193" t="s">
        <v>40670</v>
      </c>
      <c r="M11193" t="s">
        <v>42332</v>
      </c>
      <c r="N11193" t="s">
        <v>44905</v>
      </c>
      <c r="O11193" t="s">
        <v>44906</v>
      </c>
      <c r="P11193">
        <v>0</v>
      </c>
      <c r="Q11193">
        <v>0</v>
      </c>
      <c r="R11193" t="s">
        <v>44916</v>
      </c>
      <c r="S11193" t="s">
        <v>45313</v>
      </c>
      <c r="T11193" t="s">
        <v>46418</v>
      </c>
      <c r="U11193" t="s">
        <v>55891</v>
      </c>
      <c r="W11193" t="s">
        <v>42332</v>
      </c>
      <c r="X11193" t="s">
        <v>44917</v>
      </c>
    </row>
    <row r="11194" spans="1:24">
      <c r="A11194">
        <f>HYPERLINK("https://www.philgeps.gov.ph/GEPSNONPILOT/Tender/SplashBidNoticeAbstractUI.aspx?menuIndex=3&amp;refID=7062344&amp;Result=3","7062344")</f>
        <v>0</v>
      </c>
      <c r="B11194" t="s">
        <v>3049</v>
      </c>
      <c r="C11194" t="s">
        <v>14193</v>
      </c>
      <c r="D11194" t="s">
        <v>18101</v>
      </c>
      <c r="E11194" t="s">
        <v>27889</v>
      </c>
      <c r="F11194" t="s">
        <v>31362</v>
      </c>
      <c r="G11194" t="s">
        <v>31369</v>
      </c>
      <c r="H11194" t="s">
        <v>15799</v>
      </c>
      <c r="I11194" t="s">
        <v>31404</v>
      </c>
      <c r="J11194" t="s">
        <v>32244</v>
      </c>
      <c r="K11194" t="s">
        <v>40661</v>
      </c>
      <c r="M11194" t="s">
        <v>44283</v>
      </c>
      <c r="N11194" t="s">
        <v>44905</v>
      </c>
      <c r="O11194" t="s">
        <v>44906</v>
      </c>
      <c r="P11194">
        <v>0</v>
      </c>
      <c r="Q11194">
        <v>0</v>
      </c>
      <c r="R11194" t="s">
        <v>44916</v>
      </c>
      <c r="S11194" t="s">
        <v>45313</v>
      </c>
      <c r="T11194" t="s">
        <v>46585</v>
      </c>
      <c r="U11194" t="s">
        <v>55877</v>
      </c>
      <c r="W11194" t="s">
        <v>44283</v>
      </c>
      <c r="X11194" t="s">
        <v>44917</v>
      </c>
    </row>
    <row r="11195" spans="1:24">
      <c r="A11195">
        <f>HYPERLINK("https://www.philgeps.gov.ph/GEPSNONPILOT/Tender/SplashBidNoticeAbstractUI.aspx?menuIndex=3&amp;refID=7062659&amp;Result=3","7062659")</f>
        <v>0</v>
      </c>
      <c r="B11195" t="s">
        <v>1940</v>
      </c>
      <c r="C11195" t="s">
        <v>14194</v>
      </c>
      <c r="D11195" t="s">
        <v>18117</v>
      </c>
      <c r="E11195" t="s">
        <v>27890</v>
      </c>
      <c r="F11195" t="s">
        <v>31362</v>
      </c>
      <c r="G11195" t="s">
        <v>31369</v>
      </c>
      <c r="H11195" t="s">
        <v>15799</v>
      </c>
      <c r="I11195" t="s">
        <v>13635</v>
      </c>
      <c r="J11195" t="s">
        <v>38355</v>
      </c>
      <c r="K11195" t="s">
        <v>40666</v>
      </c>
      <c r="M11195" t="s">
        <v>43045</v>
      </c>
      <c r="N11195" t="s">
        <v>44905</v>
      </c>
      <c r="O11195" t="s">
        <v>44906</v>
      </c>
      <c r="P11195">
        <v>0</v>
      </c>
      <c r="Q11195">
        <v>0</v>
      </c>
      <c r="R11195" t="s">
        <v>44916</v>
      </c>
      <c r="S11195" t="s">
        <v>45313</v>
      </c>
      <c r="T11195" t="s">
        <v>46427</v>
      </c>
      <c r="U11195" t="s">
        <v>55892</v>
      </c>
      <c r="V11195" t="s">
        <v>60264</v>
      </c>
      <c r="W11195" t="s">
        <v>43045</v>
      </c>
      <c r="X11195" t="s">
        <v>44917</v>
      </c>
    </row>
    <row r="11196" spans="1:24">
      <c r="A11196">
        <f>HYPERLINK("https://www.philgeps.gov.ph/GEPSNONPILOT/Tender/SplashBidNoticeAbstractUI.aspx?menuIndex=3&amp;refID=7062721&amp;Result=3","7062721")</f>
        <v>0</v>
      </c>
      <c r="B11196" t="s">
        <v>211</v>
      </c>
      <c r="C11196" t="s">
        <v>14195</v>
      </c>
      <c r="D11196" t="s">
        <v>18161</v>
      </c>
      <c r="E11196" t="s">
        <v>27891</v>
      </c>
      <c r="F11196" t="s">
        <v>31362</v>
      </c>
      <c r="G11196" t="s">
        <v>31369</v>
      </c>
      <c r="H11196" t="s">
        <v>31378</v>
      </c>
      <c r="I11196" t="s">
        <v>31386</v>
      </c>
      <c r="J11196" t="s">
        <v>38356</v>
      </c>
      <c r="K11196" t="s">
        <v>40891</v>
      </c>
      <c r="M11196" t="s">
        <v>41150</v>
      </c>
      <c r="N11196" t="s">
        <v>44905</v>
      </c>
      <c r="O11196" t="s">
        <v>44906</v>
      </c>
      <c r="P11196">
        <v>0</v>
      </c>
      <c r="Q11196">
        <v>6</v>
      </c>
      <c r="R11196" t="s">
        <v>44916</v>
      </c>
      <c r="S11196" t="s">
        <v>45313</v>
      </c>
      <c r="T11196" t="s">
        <v>46481</v>
      </c>
      <c r="U11196" t="s">
        <v>55893</v>
      </c>
      <c r="W11196" t="s">
        <v>41150</v>
      </c>
      <c r="X11196" t="s">
        <v>44917</v>
      </c>
    </row>
    <row r="11197" spans="1:24">
      <c r="A11197">
        <f>HYPERLINK("https://www.philgeps.gov.ph/GEPSNONPILOT/Tender/SplashBidNoticeAbstractUI.aspx?menuIndex=3&amp;refID=7062424&amp;Result=3","7062424")</f>
        <v>0</v>
      </c>
      <c r="B11197" t="s">
        <v>211</v>
      </c>
      <c r="C11197" t="s">
        <v>14196</v>
      </c>
      <c r="D11197" t="s">
        <v>18161</v>
      </c>
      <c r="E11197" t="s">
        <v>27892</v>
      </c>
      <c r="F11197" t="s">
        <v>31362</v>
      </c>
      <c r="G11197" t="s">
        <v>31369</v>
      </c>
      <c r="H11197" t="s">
        <v>31378</v>
      </c>
      <c r="I11197" t="s">
        <v>31386</v>
      </c>
      <c r="J11197" t="s">
        <v>38343</v>
      </c>
      <c r="K11197" t="s">
        <v>40815</v>
      </c>
      <c r="M11197" t="s">
        <v>41150</v>
      </c>
      <c r="N11197" t="s">
        <v>44905</v>
      </c>
      <c r="O11197" t="s">
        <v>44906</v>
      </c>
      <c r="P11197">
        <v>0</v>
      </c>
      <c r="Q11197">
        <v>5</v>
      </c>
      <c r="R11197" t="s">
        <v>44916</v>
      </c>
      <c r="S11197" t="s">
        <v>45313</v>
      </c>
      <c r="T11197" t="s">
        <v>46481</v>
      </c>
      <c r="U11197" t="s">
        <v>55894</v>
      </c>
      <c r="W11197" t="s">
        <v>41150</v>
      </c>
      <c r="X11197" t="s">
        <v>44917</v>
      </c>
    </row>
    <row r="11198" spans="1:24">
      <c r="A11198">
        <f>HYPERLINK("https://www.philgeps.gov.ph/GEPSNONPILOT/Tender/SplashBidNoticeAbstractUI.aspx?menuIndex=3&amp;refID=7062699&amp;Result=3","7062699")</f>
        <v>0</v>
      </c>
      <c r="B11198" t="s">
        <v>211</v>
      </c>
      <c r="C11198" t="s">
        <v>14197</v>
      </c>
      <c r="D11198" t="s">
        <v>18161</v>
      </c>
      <c r="E11198" t="s">
        <v>27893</v>
      </c>
      <c r="F11198" t="s">
        <v>31362</v>
      </c>
      <c r="G11198" t="s">
        <v>31369</v>
      </c>
      <c r="H11198" t="s">
        <v>31378</v>
      </c>
      <c r="I11198" t="s">
        <v>31386</v>
      </c>
      <c r="J11198" t="s">
        <v>38356</v>
      </c>
      <c r="K11198" t="s">
        <v>40891</v>
      </c>
      <c r="M11198" t="s">
        <v>41150</v>
      </c>
      <c r="N11198" t="s">
        <v>44905</v>
      </c>
      <c r="O11198" t="s">
        <v>44906</v>
      </c>
      <c r="P11198">
        <v>0</v>
      </c>
      <c r="Q11198">
        <v>6</v>
      </c>
      <c r="R11198" t="s">
        <v>44916</v>
      </c>
      <c r="S11198" t="s">
        <v>45313</v>
      </c>
      <c r="T11198" t="s">
        <v>46481</v>
      </c>
      <c r="U11198" t="s">
        <v>55895</v>
      </c>
      <c r="W11198" t="s">
        <v>41150</v>
      </c>
      <c r="X11198" t="s">
        <v>44917</v>
      </c>
    </row>
    <row r="11199" spans="1:24">
      <c r="A11199">
        <f>HYPERLINK("https://www.philgeps.gov.ph/GEPSNONPILOT/Tender/SplashBidNoticeAbstractUI.aspx?menuIndex=3&amp;refID=7062688&amp;Result=3","7062688")</f>
        <v>0</v>
      </c>
      <c r="B11199" t="s">
        <v>211</v>
      </c>
      <c r="C11199" t="s">
        <v>14198</v>
      </c>
      <c r="D11199" t="s">
        <v>18161</v>
      </c>
      <c r="E11199" t="s">
        <v>27894</v>
      </c>
      <c r="F11199" t="s">
        <v>31362</v>
      </c>
      <c r="G11199" t="s">
        <v>31369</v>
      </c>
      <c r="H11199" t="s">
        <v>31378</v>
      </c>
      <c r="I11199" t="s">
        <v>31386</v>
      </c>
      <c r="J11199" t="s">
        <v>38343</v>
      </c>
      <c r="K11199" t="s">
        <v>40815</v>
      </c>
      <c r="M11199" t="s">
        <v>41150</v>
      </c>
      <c r="N11199" t="s">
        <v>44905</v>
      </c>
      <c r="O11199" t="s">
        <v>44906</v>
      </c>
      <c r="P11199">
        <v>0</v>
      </c>
      <c r="Q11199">
        <v>5</v>
      </c>
      <c r="R11199" t="s">
        <v>44916</v>
      </c>
      <c r="S11199" t="s">
        <v>45313</v>
      </c>
      <c r="T11199" t="s">
        <v>46481</v>
      </c>
      <c r="U11199" t="s">
        <v>55896</v>
      </c>
      <c r="W11199" t="s">
        <v>41150</v>
      </c>
      <c r="X11199" t="s">
        <v>44917</v>
      </c>
    </row>
    <row r="11200" spans="1:24">
      <c r="A11200">
        <f>HYPERLINK("https://www.philgeps.gov.ph/GEPSNONPILOT/Tender/SplashBidNoticeAbstractUI.aspx?menuIndex=3&amp;refID=7062341&amp;Result=3","7062341")</f>
        <v>0</v>
      </c>
      <c r="B11200" t="s">
        <v>3015</v>
      </c>
      <c r="C11200" t="s">
        <v>14199</v>
      </c>
      <c r="D11200" t="s">
        <v>18102</v>
      </c>
      <c r="E11200" t="s">
        <v>27895</v>
      </c>
      <c r="F11200" t="s">
        <v>31362</v>
      </c>
      <c r="G11200" t="s">
        <v>31369</v>
      </c>
      <c r="H11200" t="s">
        <v>31379</v>
      </c>
      <c r="I11200" t="s">
        <v>31409</v>
      </c>
      <c r="J11200" t="s">
        <v>38357</v>
      </c>
      <c r="K11200" t="s">
        <v>40682</v>
      </c>
      <c r="M11200" t="s">
        <v>44246</v>
      </c>
      <c r="N11200" t="s">
        <v>44905</v>
      </c>
      <c r="O11200" t="s">
        <v>44906</v>
      </c>
      <c r="P11200">
        <v>0</v>
      </c>
      <c r="Q11200">
        <v>13</v>
      </c>
      <c r="R11200" t="s">
        <v>44916</v>
      </c>
      <c r="S11200" t="s">
        <v>45313</v>
      </c>
      <c r="T11200" t="s">
        <v>46533</v>
      </c>
      <c r="U11200" t="s">
        <v>55897</v>
      </c>
      <c r="W11200" t="s">
        <v>44246</v>
      </c>
      <c r="X11200" t="s">
        <v>44917</v>
      </c>
    </row>
    <row r="11201" spans="1:24">
      <c r="A11201">
        <f>HYPERLINK("https://www.philgeps.gov.ph/GEPSNONPILOT/Tender/SplashBidNoticeAbstractUI.aspx?menuIndex=3&amp;refID=7062662&amp;Result=3","7062662")</f>
        <v>0</v>
      </c>
      <c r="B11201" t="s">
        <v>211</v>
      </c>
      <c r="C11201" t="s">
        <v>14200</v>
      </c>
      <c r="D11201" t="s">
        <v>18161</v>
      </c>
      <c r="E11201" t="s">
        <v>27896</v>
      </c>
      <c r="F11201" t="s">
        <v>31362</v>
      </c>
      <c r="G11201" t="s">
        <v>31369</v>
      </c>
      <c r="H11201" t="s">
        <v>31378</v>
      </c>
      <c r="I11201" t="s">
        <v>31386</v>
      </c>
      <c r="J11201" t="s">
        <v>38343</v>
      </c>
      <c r="K11201" t="s">
        <v>40815</v>
      </c>
      <c r="M11201" t="s">
        <v>41150</v>
      </c>
      <c r="N11201" t="s">
        <v>44905</v>
      </c>
      <c r="O11201" t="s">
        <v>44906</v>
      </c>
      <c r="P11201">
        <v>0</v>
      </c>
      <c r="Q11201">
        <v>5</v>
      </c>
      <c r="R11201" t="s">
        <v>44916</v>
      </c>
      <c r="S11201" t="s">
        <v>45313</v>
      </c>
      <c r="T11201" t="s">
        <v>46481</v>
      </c>
      <c r="U11201" t="s">
        <v>55898</v>
      </c>
      <c r="W11201" t="s">
        <v>41150</v>
      </c>
      <c r="X11201" t="s">
        <v>44917</v>
      </c>
    </row>
    <row r="11202" spans="1:24">
      <c r="A11202">
        <f>HYPERLINK("https://www.philgeps.gov.ph/GEPSNONPILOT/Tender/SplashBidNoticeAbstractUI.aspx?menuIndex=3&amp;refID=7062707&amp;Result=3","7062707")</f>
        <v>0</v>
      </c>
      <c r="B11202" t="s">
        <v>211</v>
      </c>
      <c r="C11202" t="s">
        <v>14201</v>
      </c>
      <c r="D11202" t="s">
        <v>18161</v>
      </c>
      <c r="E11202" t="s">
        <v>27897</v>
      </c>
      <c r="F11202" t="s">
        <v>31362</v>
      </c>
      <c r="G11202" t="s">
        <v>31369</v>
      </c>
      <c r="H11202" t="s">
        <v>31378</v>
      </c>
      <c r="I11202" t="s">
        <v>31386</v>
      </c>
      <c r="J11202" t="s">
        <v>38356</v>
      </c>
      <c r="K11202" t="s">
        <v>40891</v>
      </c>
      <c r="M11202" t="s">
        <v>41150</v>
      </c>
      <c r="N11202" t="s">
        <v>44905</v>
      </c>
      <c r="O11202" t="s">
        <v>44906</v>
      </c>
      <c r="P11202">
        <v>0</v>
      </c>
      <c r="Q11202">
        <v>6</v>
      </c>
      <c r="R11202" t="s">
        <v>44916</v>
      </c>
      <c r="S11202" t="s">
        <v>45313</v>
      </c>
      <c r="T11202" t="s">
        <v>46481</v>
      </c>
      <c r="U11202" t="s">
        <v>55899</v>
      </c>
      <c r="W11202" t="s">
        <v>41150</v>
      </c>
      <c r="X11202" t="s">
        <v>44917</v>
      </c>
    </row>
    <row r="11203" spans="1:24">
      <c r="A11203">
        <f>HYPERLINK("https://www.philgeps.gov.ph/GEPSNONPILOT/Tender/SplashBidNoticeAbstractUI.aspx?menuIndex=3&amp;refID=7062425&amp;Result=3","7062425")</f>
        <v>0</v>
      </c>
      <c r="B11203" t="s">
        <v>2187</v>
      </c>
      <c r="C11203" t="s">
        <v>14202</v>
      </c>
      <c r="D11203" t="s">
        <v>18108</v>
      </c>
      <c r="E11203" t="s">
        <v>27898</v>
      </c>
      <c r="F11203" t="s">
        <v>31362</v>
      </c>
      <c r="G11203" t="s">
        <v>31369</v>
      </c>
      <c r="H11203" t="s">
        <v>31378</v>
      </c>
      <c r="I11203" t="s">
        <v>31386</v>
      </c>
      <c r="J11203" t="s">
        <v>38358</v>
      </c>
      <c r="K11203" t="s">
        <v>40686</v>
      </c>
      <c r="M11203" t="s">
        <v>43832</v>
      </c>
      <c r="N11203" t="s">
        <v>44905</v>
      </c>
      <c r="O11203" t="s">
        <v>44906</v>
      </c>
      <c r="P11203">
        <v>0</v>
      </c>
      <c r="Q11203">
        <v>76</v>
      </c>
      <c r="R11203" t="s">
        <v>44916</v>
      </c>
      <c r="S11203" t="s">
        <v>45313</v>
      </c>
      <c r="T11203" t="s">
        <v>46538</v>
      </c>
      <c r="U11203" t="s">
        <v>54261</v>
      </c>
      <c r="V11203" t="s">
        <v>60265</v>
      </c>
      <c r="W11203" t="s">
        <v>43832</v>
      </c>
      <c r="X11203" t="s">
        <v>44917</v>
      </c>
    </row>
    <row r="11204" spans="1:24">
      <c r="A11204">
        <f>HYPERLINK("https://www.philgeps.gov.ph/GEPSNONPILOT/Tender/SplashBidNoticeAbstractUI.aspx?menuIndex=3&amp;refID=7062634&amp;Result=3","7062634")</f>
        <v>0</v>
      </c>
      <c r="B11204" t="s">
        <v>1219</v>
      </c>
      <c r="C11204" t="s">
        <v>14203</v>
      </c>
      <c r="E11204" t="s">
        <v>27899</v>
      </c>
      <c r="F11204" t="s">
        <v>31362</v>
      </c>
      <c r="G11204" t="s">
        <v>31369</v>
      </c>
      <c r="H11204" t="s">
        <v>15799</v>
      </c>
      <c r="I11204" t="s">
        <v>31430</v>
      </c>
      <c r="J11204" t="s">
        <v>38359</v>
      </c>
      <c r="K11204" t="s">
        <v>40662</v>
      </c>
      <c r="M11204" t="s">
        <v>42232</v>
      </c>
      <c r="N11204" t="s">
        <v>44905</v>
      </c>
      <c r="O11204" t="s">
        <v>44906</v>
      </c>
      <c r="P11204">
        <v>0</v>
      </c>
      <c r="Q11204">
        <v>0</v>
      </c>
      <c r="R11204" t="s">
        <v>44916</v>
      </c>
      <c r="S11204" t="s">
        <v>45313</v>
      </c>
      <c r="T11204" t="s">
        <v>46407</v>
      </c>
      <c r="U11204" t="s">
        <v>55900</v>
      </c>
      <c r="W11204" t="s">
        <v>42232</v>
      </c>
      <c r="X11204" t="s">
        <v>44917</v>
      </c>
    </row>
    <row r="11205" spans="1:24">
      <c r="A11205">
        <f>HYPERLINK("https://www.philgeps.gov.ph/GEPSNONPILOT/Tender/SplashBidNoticeAbstractUI.aspx?menuIndex=3&amp;refID=7062618&amp;Result=3","7062618")</f>
        <v>0</v>
      </c>
      <c r="B11205" t="s">
        <v>1219</v>
      </c>
      <c r="C11205" t="s">
        <v>14204</v>
      </c>
      <c r="E11205" t="s">
        <v>27900</v>
      </c>
      <c r="F11205" t="s">
        <v>31362</v>
      </c>
      <c r="G11205" t="s">
        <v>31369</v>
      </c>
      <c r="H11205" t="s">
        <v>15799</v>
      </c>
      <c r="I11205" t="s">
        <v>31461</v>
      </c>
      <c r="J11205" t="s">
        <v>31545</v>
      </c>
      <c r="K11205" t="s">
        <v>40662</v>
      </c>
      <c r="M11205" t="s">
        <v>42232</v>
      </c>
      <c r="N11205" t="s">
        <v>44905</v>
      </c>
      <c r="O11205" t="s">
        <v>44906</v>
      </c>
      <c r="P11205">
        <v>0</v>
      </c>
      <c r="Q11205">
        <v>1</v>
      </c>
      <c r="R11205" t="s">
        <v>44916</v>
      </c>
      <c r="S11205" t="s">
        <v>45313</v>
      </c>
      <c r="T11205" t="s">
        <v>46407</v>
      </c>
      <c r="U11205" t="s">
        <v>55901</v>
      </c>
      <c r="W11205" t="s">
        <v>42232</v>
      </c>
      <c r="X11205" t="s">
        <v>44917</v>
      </c>
    </row>
    <row r="11206" spans="1:24">
      <c r="A11206">
        <f>HYPERLINK("https://www.philgeps.gov.ph/GEPSNONPILOT/Tender/SplashBidNoticeAbstractUI.aspx?menuIndex=3&amp;refID=7062488&amp;Result=3","7062488")</f>
        <v>0</v>
      </c>
      <c r="B11206" t="s">
        <v>2187</v>
      </c>
      <c r="C11206" t="s">
        <v>14205</v>
      </c>
      <c r="D11206" t="s">
        <v>18108</v>
      </c>
      <c r="E11206" t="s">
        <v>27901</v>
      </c>
      <c r="F11206" t="s">
        <v>31362</v>
      </c>
      <c r="G11206" t="s">
        <v>31369</v>
      </c>
      <c r="H11206" t="s">
        <v>31378</v>
      </c>
      <c r="I11206" t="s">
        <v>31386</v>
      </c>
      <c r="J11206" t="s">
        <v>38360</v>
      </c>
      <c r="K11206" t="s">
        <v>40665</v>
      </c>
      <c r="M11206" t="s">
        <v>43832</v>
      </c>
      <c r="N11206" t="s">
        <v>44905</v>
      </c>
      <c r="O11206" t="s">
        <v>44906</v>
      </c>
      <c r="P11206">
        <v>0</v>
      </c>
      <c r="Q11206">
        <v>64</v>
      </c>
      <c r="R11206" t="s">
        <v>44916</v>
      </c>
      <c r="S11206" t="s">
        <v>45313</v>
      </c>
      <c r="T11206" t="s">
        <v>46538</v>
      </c>
      <c r="U11206" t="s">
        <v>54261</v>
      </c>
      <c r="V11206" t="s">
        <v>60266</v>
      </c>
      <c r="W11206" t="s">
        <v>43832</v>
      </c>
      <c r="X11206" t="s">
        <v>44917</v>
      </c>
    </row>
    <row r="11207" spans="1:24">
      <c r="A11207">
        <f>HYPERLINK("https://www.philgeps.gov.ph/GEPSNONPILOT/Tender/SplashBidNoticeAbstractUI.aspx?menuIndex=3&amp;refID=7062617&amp;Result=3","7062617")</f>
        <v>0</v>
      </c>
      <c r="B11207" t="s">
        <v>211</v>
      </c>
      <c r="C11207" t="s">
        <v>14206</v>
      </c>
      <c r="D11207" t="s">
        <v>18161</v>
      </c>
      <c r="E11207" t="s">
        <v>27902</v>
      </c>
      <c r="F11207" t="s">
        <v>31362</v>
      </c>
      <c r="G11207" t="s">
        <v>31369</v>
      </c>
      <c r="H11207" t="s">
        <v>31378</v>
      </c>
      <c r="I11207" t="s">
        <v>31386</v>
      </c>
      <c r="J11207" t="s">
        <v>38343</v>
      </c>
      <c r="K11207" t="s">
        <v>40815</v>
      </c>
      <c r="M11207" t="s">
        <v>41150</v>
      </c>
      <c r="N11207" t="s">
        <v>44905</v>
      </c>
      <c r="O11207" t="s">
        <v>44906</v>
      </c>
      <c r="P11207">
        <v>0</v>
      </c>
      <c r="Q11207">
        <v>6</v>
      </c>
      <c r="R11207" t="s">
        <v>44916</v>
      </c>
      <c r="S11207" t="s">
        <v>45313</v>
      </c>
      <c r="T11207" t="s">
        <v>46481</v>
      </c>
      <c r="U11207" t="s">
        <v>55902</v>
      </c>
      <c r="V11207" t="s">
        <v>60267</v>
      </c>
      <c r="W11207" t="s">
        <v>41150</v>
      </c>
      <c r="X11207" t="s">
        <v>44917</v>
      </c>
    </row>
    <row r="11208" spans="1:24">
      <c r="A11208">
        <f>HYPERLINK("https://www.philgeps.gov.ph/GEPSNONPILOT/Tender/SplashBidNoticeAbstractUI.aspx?menuIndex=3&amp;refID=7062613&amp;Result=3","7062613")</f>
        <v>0</v>
      </c>
      <c r="B11208" t="s">
        <v>367</v>
      </c>
      <c r="C11208" t="s">
        <v>14207</v>
      </c>
      <c r="D11208" t="s">
        <v>18134</v>
      </c>
      <c r="E11208" t="s">
        <v>27903</v>
      </c>
      <c r="F11208" t="s">
        <v>31362</v>
      </c>
      <c r="G11208" t="s">
        <v>31369</v>
      </c>
      <c r="H11208" t="s">
        <v>31378</v>
      </c>
      <c r="I11208" t="s">
        <v>31386</v>
      </c>
      <c r="J11208" t="s">
        <v>38361</v>
      </c>
      <c r="K11208" t="s">
        <v>40746</v>
      </c>
      <c r="M11208" t="s">
        <v>41398</v>
      </c>
      <c r="N11208" t="s">
        <v>44905</v>
      </c>
      <c r="O11208" t="s">
        <v>44906</v>
      </c>
      <c r="P11208">
        <v>0</v>
      </c>
      <c r="Q11208">
        <v>0</v>
      </c>
      <c r="R11208" t="s">
        <v>44916</v>
      </c>
      <c r="S11208" t="s">
        <v>45313</v>
      </c>
      <c r="T11208" t="s">
        <v>46504</v>
      </c>
      <c r="U11208" t="s">
        <v>55821</v>
      </c>
      <c r="V11208" t="s">
        <v>60238</v>
      </c>
      <c r="W11208" t="s">
        <v>41398</v>
      </c>
      <c r="X11208" t="s">
        <v>44917</v>
      </c>
    </row>
    <row r="11209" spans="1:24">
      <c r="A11209">
        <f>HYPERLINK("https://www.philgeps.gov.ph/GEPSNONPILOT/Tender/SplashBidNoticeAbstractUI.aspx?menuIndex=3&amp;refID=7062669&amp;Result=3","7062669")</f>
        <v>0</v>
      </c>
      <c r="B11209" t="s">
        <v>3055</v>
      </c>
      <c r="C11209" t="s">
        <v>14208</v>
      </c>
      <c r="D11209" t="s">
        <v>18127</v>
      </c>
      <c r="E11209" t="s">
        <v>18476</v>
      </c>
      <c r="F11209" t="s">
        <v>31362</v>
      </c>
      <c r="G11209" t="s">
        <v>31369</v>
      </c>
      <c r="H11209" t="s">
        <v>31378</v>
      </c>
      <c r="I11209" t="s">
        <v>31392</v>
      </c>
      <c r="J11209" t="s">
        <v>31578</v>
      </c>
      <c r="K11209" t="s">
        <v>40686</v>
      </c>
      <c r="M11209" t="s">
        <v>44290</v>
      </c>
      <c r="N11209" t="s">
        <v>44905</v>
      </c>
      <c r="O11209" t="s">
        <v>44906</v>
      </c>
      <c r="P11209">
        <v>0</v>
      </c>
      <c r="Q11209">
        <v>1</v>
      </c>
      <c r="R11209" t="s">
        <v>44916</v>
      </c>
      <c r="S11209" t="s">
        <v>45313</v>
      </c>
      <c r="T11209" t="s">
        <v>46434</v>
      </c>
      <c r="U11209" t="s">
        <v>52895</v>
      </c>
      <c r="W11209" t="s">
        <v>44290</v>
      </c>
      <c r="X11209" t="s">
        <v>44917</v>
      </c>
    </row>
    <row r="11210" spans="1:24">
      <c r="A11210">
        <f>HYPERLINK("https://www.philgeps.gov.ph/GEPSNONPILOT/Tender/SplashBidNoticeAbstractUI.aspx?menuIndex=3&amp;refID=7062851&amp;Result=3","7062851")</f>
        <v>0</v>
      </c>
      <c r="B11210" t="s">
        <v>1163</v>
      </c>
      <c r="C11210" t="s">
        <v>14209</v>
      </c>
      <c r="D11210" t="s">
        <v>18154</v>
      </c>
      <c r="E11210" t="s">
        <v>27904</v>
      </c>
      <c r="F11210" t="s">
        <v>31362</v>
      </c>
      <c r="G11210" t="s">
        <v>31369</v>
      </c>
      <c r="H11210" t="s">
        <v>31378</v>
      </c>
      <c r="I11210" t="s">
        <v>31386</v>
      </c>
      <c r="J11210" t="s">
        <v>38362</v>
      </c>
      <c r="K11210" t="s">
        <v>40691</v>
      </c>
      <c r="M11210" t="s">
        <v>42173</v>
      </c>
      <c r="N11210" t="s">
        <v>44905</v>
      </c>
      <c r="O11210" t="s">
        <v>44906</v>
      </c>
      <c r="P11210">
        <v>0</v>
      </c>
      <c r="Q11210">
        <v>1</v>
      </c>
      <c r="R11210" t="s">
        <v>44916</v>
      </c>
      <c r="S11210" t="s">
        <v>45313</v>
      </c>
      <c r="T11210" t="s">
        <v>46462</v>
      </c>
      <c r="U11210" t="s">
        <v>55903</v>
      </c>
      <c r="W11210" t="s">
        <v>42173</v>
      </c>
      <c r="X11210" t="s">
        <v>44917</v>
      </c>
    </row>
    <row r="11211" spans="1:24">
      <c r="A11211">
        <f>HYPERLINK("https://www.philgeps.gov.ph/GEPSNONPILOT/Tender/SplashBidNoticeAbstractUI.aspx?menuIndex=3&amp;refID=7062340&amp;Result=3","7062340")</f>
        <v>0</v>
      </c>
      <c r="B11211" t="s">
        <v>3056</v>
      </c>
      <c r="C11211" t="s">
        <v>14210</v>
      </c>
      <c r="D11211" t="s">
        <v>18158</v>
      </c>
      <c r="E11211" t="s">
        <v>27905</v>
      </c>
      <c r="F11211" t="s">
        <v>31362</v>
      </c>
      <c r="G11211" t="s">
        <v>31369</v>
      </c>
      <c r="H11211" t="s">
        <v>31378</v>
      </c>
      <c r="I11211" t="s">
        <v>31386</v>
      </c>
      <c r="J11211" t="s">
        <v>38363</v>
      </c>
      <c r="K11211" t="s">
        <v>40689</v>
      </c>
      <c r="M11211" t="s">
        <v>44291</v>
      </c>
      <c r="N11211" t="s">
        <v>44905</v>
      </c>
      <c r="O11211" t="s">
        <v>44906</v>
      </c>
      <c r="P11211">
        <v>0</v>
      </c>
      <c r="Q11211">
        <v>2</v>
      </c>
      <c r="R11211" t="s">
        <v>44916</v>
      </c>
      <c r="S11211" t="s">
        <v>45313</v>
      </c>
      <c r="T11211" t="s">
        <v>46418</v>
      </c>
      <c r="U11211" t="s">
        <v>55904</v>
      </c>
      <c r="W11211" t="s">
        <v>44291</v>
      </c>
      <c r="X11211" t="s">
        <v>44917</v>
      </c>
    </row>
    <row r="11212" spans="1:24">
      <c r="A11212">
        <f>HYPERLINK("https://www.philgeps.gov.ph/GEPSNONPILOT/Tender/SplashBidNoticeAbstractUI.aspx?menuIndex=3&amp;refID=7062846&amp;Result=3","7062846")</f>
        <v>0</v>
      </c>
      <c r="B11212" t="s">
        <v>3057</v>
      </c>
      <c r="C11212" t="s">
        <v>14211</v>
      </c>
      <c r="D11212" t="s">
        <v>18127</v>
      </c>
      <c r="E11212" t="s">
        <v>27906</v>
      </c>
      <c r="F11212" t="s">
        <v>31362</v>
      </c>
      <c r="G11212" t="s">
        <v>31369</v>
      </c>
      <c r="H11212" t="s">
        <v>31378</v>
      </c>
      <c r="I11212" t="s">
        <v>31386</v>
      </c>
      <c r="J11212" t="s">
        <v>38364</v>
      </c>
      <c r="K11212" t="s">
        <v>40662</v>
      </c>
      <c r="M11212" t="s">
        <v>44292</v>
      </c>
      <c r="N11212" t="s">
        <v>44905</v>
      </c>
      <c r="O11212" t="s">
        <v>44906</v>
      </c>
      <c r="P11212">
        <v>0</v>
      </c>
      <c r="Q11212">
        <v>0</v>
      </c>
      <c r="R11212" t="s">
        <v>44916</v>
      </c>
      <c r="S11212" t="s">
        <v>45313</v>
      </c>
      <c r="T11212" t="s">
        <v>46519</v>
      </c>
      <c r="U11212" t="s">
        <v>55905</v>
      </c>
      <c r="W11212" t="s">
        <v>44292</v>
      </c>
      <c r="X11212" t="s">
        <v>44917</v>
      </c>
    </row>
    <row r="11213" spans="1:24">
      <c r="A11213">
        <f>HYPERLINK("https://www.philgeps.gov.ph/GEPSNONPILOT/Tender/SplashBidNoticeAbstractUI.aspx?menuIndex=3&amp;refID=7062844&amp;Result=3","7062844")</f>
        <v>0</v>
      </c>
      <c r="B11213" t="s">
        <v>1251</v>
      </c>
      <c r="C11213" t="s">
        <v>14212</v>
      </c>
      <c r="D11213" t="s">
        <v>18101</v>
      </c>
      <c r="E11213" t="s">
        <v>27907</v>
      </c>
      <c r="F11213" t="s">
        <v>31362</v>
      </c>
      <c r="G11213" t="s">
        <v>31369</v>
      </c>
      <c r="H11213" t="s">
        <v>15799</v>
      </c>
      <c r="I11213" t="s">
        <v>7188</v>
      </c>
      <c r="J11213" t="s">
        <v>38365</v>
      </c>
      <c r="K11213" t="s">
        <v>40665</v>
      </c>
      <c r="M11213" t="s">
        <v>42267</v>
      </c>
      <c r="N11213" t="s">
        <v>44905</v>
      </c>
      <c r="O11213" t="s">
        <v>44906</v>
      </c>
      <c r="P11213">
        <v>0</v>
      </c>
      <c r="Q11213">
        <v>4</v>
      </c>
      <c r="R11213" t="s">
        <v>44916</v>
      </c>
      <c r="S11213" t="s">
        <v>45313</v>
      </c>
      <c r="T11213" t="s">
        <v>46481</v>
      </c>
      <c r="U11213" t="s">
        <v>55906</v>
      </c>
      <c r="V11213" t="s">
        <v>60268</v>
      </c>
      <c r="W11213" t="s">
        <v>42267</v>
      </c>
      <c r="X11213" t="s">
        <v>44917</v>
      </c>
    </row>
    <row r="11214" spans="1:24">
      <c r="A11214">
        <f>HYPERLINK("https://www.philgeps.gov.ph/GEPSNONPILOT/Tender/SplashBidNoticeAbstractUI.aspx?menuIndex=3&amp;refID=7062827&amp;Result=3","7062827")</f>
        <v>0</v>
      </c>
      <c r="B11214" t="s">
        <v>3058</v>
      </c>
      <c r="C11214" t="s">
        <v>14213</v>
      </c>
      <c r="D11214" t="s">
        <v>18109</v>
      </c>
      <c r="E11214" t="s">
        <v>18475</v>
      </c>
      <c r="F11214" t="s">
        <v>31365</v>
      </c>
      <c r="G11214" t="s">
        <v>31369</v>
      </c>
      <c r="H11214" t="s">
        <v>15799</v>
      </c>
      <c r="I11214" t="s">
        <v>31409</v>
      </c>
      <c r="J11214" t="s">
        <v>31957</v>
      </c>
      <c r="K11214" t="s">
        <v>40670</v>
      </c>
      <c r="M11214" t="s">
        <v>44293</v>
      </c>
      <c r="N11214" t="s">
        <v>44905</v>
      </c>
      <c r="O11214" t="s">
        <v>44906</v>
      </c>
      <c r="P11214">
        <v>0</v>
      </c>
      <c r="Q11214">
        <v>6</v>
      </c>
      <c r="R11214" t="s">
        <v>44916</v>
      </c>
      <c r="S11214" t="s">
        <v>45313</v>
      </c>
      <c r="T11214" t="s">
        <v>46480</v>
      </c>
      <c r="U11214" t="s">
        <v>55907</v>
      </c>
      <c r="V11214" t="s">
        <v>60269</v>
      </c>
      <c r="W11214" t="s">
        <v>44293</v>
      </c>
      <c r="X11214" t="s">
        <v>44917</v>
      </c>
    </row>
    <row r="11215" spans="1:24">
      <c r="A11215">
        <f>HYPERLINK("https://www.philgeps.gov.ph/GEPSNONPILOT/Tender/SplashBidNoticeAbstractUI.aspx?menuIndex=3&amp;refID=7062825&amp;Result=3","7062825")</f>
        <v>0</v>
      </c>
      <c r="B11215" t="s">
        <v>2963</v>
      </c>
      <c r="C11215" t="s">
        <v>14214</v>
      </c>
      <c r="D11215" t="s">
        <v>18116</v>
      </c>
      <c r="E11215" t="s">
        <v>27908</v>
      </c>
      <c r="F11215" t="s">
        <v>31362</v>
      </c>
      <c r="G11215" t="s">
        <v>31369</v>
      </c>
      <c r="H11215" t="s">
        <v>31378</v>
      </c>
      <c r="I11215" t="s">
        <v>31386</v>
      </c>
      <c r="J11215" t="s">
        <v>37006</v>
      </c>
      <c r="K11215" t="s">
        <v>40841</v>
      </c>
      <c r="L11215" t="s">
        <v>2963</v>
      </c>
      <c r="M11215" t="s">
        <v>44186</v>
      </c>
      <c r="N11215" t="s">
        <v>44905</v>
      </c>
      <c r="O11215" t="s">
        <v>44906</v>
      </c>
      <c r="P11215">
        <v>0</v>
      </c>
      <c r="Q11215">
        <v>1</v>
      </c>
      <c r="R11215" t="s">
        <v>44916</v>
      </c>
      <c r="S11215" t="s">
        <v>45313</v>
      </c>
      <c r="T11215" t="s">
        <v>46542</v>
      </c>
      <c r="U11215" t="s">
        <v>55908</v>
      </c>
      <c r="W11215" t="s">
        <v>44186</v>
      </c>
      <c r="X11215" t="s">
        <v>44917</v>
      </c>
    </row>
    <row r="11216" spans="1:24">
      <c r="A11216">
        <f>HYPERLINK("https://www.philgeps.gov.ph/GEPSNONPILOT/Tender/SplashBidNoticeAbstractUI.aspx?menuIndex=3&amp;refID=7062806&amp;Result=3","7062806")</f>
        <v>0</v>
      </c>
      <c r="B11216" t="s">
        <v>2809</v>
      </c>
      <c r="C11216" t="s">
        <v>14215</v>
      </c>
      <c r="D11216" t="s">
        <v>18101</v>
      </c>
      <c r="E11216" t="s">
        <v>27909</v>
      </c>
      <c r="F11216" t="s">
        <v>31362</v>
      </c>
      <c r="G11216" t="s">
        <v>31369</v>
      </c>
      <c r="H11216" t="s">
        <v>31378</v>
      </c>
      <c r="I11216" t="s">
        <v>31386</v>
      </c>
      <c r="J11216" t="s">
        <v>38366</v>
      </c>
      <c r="K11216" t="s">
        <v>40892</v>
      </c>
      <c r="M11216" t="s">
        <v>44008</v>
      </c>
      <c r="N11216" t="s">
        <v>44905</v>
      </c>
      <c r="O11216" t="s">
        <v>44906</v>
      </c>
      <c r="P11216">
        <v>0</v>
      </c>
      <c r="Q11216">
        <v>0</v>
      </c>
      <c r="R11216" t="s">
        <v>44916</v>
      </c>
      <c r="S11216" t="s">
        <v>45313</v>
      </c>
      <c r="T11216" t="s">
        <v>46418</v>
      </c>
      <c r="U11216" t="s">
        <v>55909</v>
      </c>
      <c r="W11216" t="s">
        <v>44008</v>
      </c>
      <c r="X11216" t="s">
        <v>44917</v>
      </c>
    </row>
    <row r="11217" spans="1:24">
      <c r="A11217">
        <f>HYPERLINK("https://www.philgeps.gov.ph/GEPSNONPILOT/Tender/SplashBidNoticeAbstractUI.aspx?menuIndex=3&amp;refID=7062801&amp;Result=3","7062801")</f>
        <v>0</v>
      </c>
      <c r="B11217" t="s">
        <v>2963</v>
      </c>
      <c r="C11217" t="s">
        <v>14216</v>
      </c>
      <c r="D11217" t="s">
        <v>18116</v>
      </c>
      <c r="E11217" t="s">
        <v>27910</v>
      </c>
      <c r="F11217" t="s">
        <v>31362</v>
      </c>
      <c r="G11217" t="s">
        <v>31369</v>
      </c>
      <c r="H11217" t="s">
        <v>31378</v>
      </c>
      <c r="I11217" t="s">
        <v>31386</v>
      </c>
      <c r="J11217" t="s">
        <v>34023</v>
      </c>
      <c r="K11217" t="s">
        <v>40893</v>
      </c>
      <c r="L11217" t="s">
        <v>2963</v>
      </c>
      <c r="M11217" t="s">
        <v>44186</v>
      </c>
      <c r="N11217" t="s">
        <v>44905</v>
      </c>
      <c r="O11217" t="s">
        <v>44906</v>
      </c>
      <c r="P11217">
        <v>0</v>
      </c>
      <c r="Q11217">
        <v>6</v>
      </c>
      <c r="R11217" t="s">
        <v>44916</v>
      </c>
      <c r="S11217" t="s">
        <v>45313</v>
      </c>
      <c r="T11217" t="s">
        <v>46542</v>
      </c>
      <c r="U11217" t="s">
        <v>55908</v>
      </c>
      <c r="W11217" t="s">
        <v>44186</v>
      </c>
      <c r="X11217" t="s">
        <v>44917</v>
      </c>
    </row>
    <row r="11218" spans="1:24">
      <c r="A11218">
        <f>HYPERLINK("https://www.philgeps.gov.ph/GEPSNONPILOT/Tender/SplashBidNoticeAbstractUI.aspx?menuIndex=3&amp;refID=7062793&amp;Result=3","7062793")</f>
        <v>0</v>
      </c>
      <c r="B11218" t="s">
        <v>3059</v>
      </c>
      <c r="C11218" t="s">
        <v>12757</v>
      </c>
      <c r="D11218" t="s">
        <v>18108</v>
      </c>
      <c r="E11218" t="s">
        <v>27911</v>
      </c>
      <c r="F11218" t="s">
        <v>31362</v>
      </c>
      <c r="G11218" t="s">
        <v>31369</v>
      </c>
      <c r="H11218" t="s">
        <v>15799</v>
      </c>
      <c r="I11218" t="s">
        <v>7188</v>
      </c>
      <c r="J11218" t="s">
        <v>31625</v>
      </c>
      <c r="K11218" t="s">
        <v>40675</v>
      </c>
      <c r="M11218" t="s">
        <v>44294</v>
      </c>
      <c r="N11218" t="s">
        <v>44905</v>
      </c>
      <c r="O11218" t="s">
        <v>44906</v>
      </c>
      <c r="P11218">
        <v>0</v>
      </c>
      <c r="Q11218">
        <v>2</v>
      </c>
      <c r="R11218" t="s">
        <v>44916</v>
      </c>
      <c r="S11218" t="s">
        <v>45313</v>
      </c>
      <c r="T11218" t="s">
        <v>46418</v>
      </c>
      <c r="U11218" t="s">
        <v>55910</v>
      </c>
      <c r="W11218" t="s">
        <v>44294</v>
      </c>
      <c r="X11218" t="s">
        <v>44917</v>
      </c>
    </row>
    <row r="11219" spans="1:24">
      <c r="A11219">
        <f>HYPERLINK("https://www.philgeps.gov.ph/GEPSNONPILOT/Tender/SplashBidNoticeAbstractUI.aspx?menuIndex=3&amp;refID=7062637&amp;Result=3","7062637")</f>
        <v>0</v>
      </c>
      <c r="B11219" t="s">
        <v>2722</v>
      </c>
      <c r="C11219" t="s">
        <v>14217</v>
      </c>
      <c r="D11219" t="s">
        <v>18152</v>
      </c>
      <c r="E11219" t="s">
        <v>27912</v>
      </c>
      <c r="F11219" t="s">
        <v>31363</v>
      </c>
      <c r="G11219" t="s">
        <v>31368</v>
      </c>
      <c r="H11219" t="s">
        <v>15799</v>
      </c>
      <c r="I11219" t="s">
        <v>13635</v>
      </c>
      <c r="J11219" t="s">
        <v>36077</v>
      </c>
      <c r="K11219" t="s">
        <v>40661</v>
      </c>
      <c r="M11219" t="s">
        <v>43908</v>
      </c>
      <c r="N11219" t="s">
        <v>44905</v>
      </c>
      <c r="O11219" t="s">
        <v>44906</v>
      </c>
      <c r="P11219">
        <v>0</v>
      </c>
      <c r="Q11219">
        <v>3</v>
      </c>
      <c r="R11219" t="s">
        <v>44916</v>
      </c>
      <c r="S11219" t="s">
        <v>45313</v>
      </c>
      <c r="T11219" t="s">
        <v>46411</v>
      </c>
      <c r="U11219" t="s">
        <v>54491</v>
      </c>
      <c r="V11219" t="s">
        <v>60021</v>
      </c>
      <c r="W11219" t="s">
        <v>60939</v>
      </c>
      <c r="X11219" t="s">
        <v>44917</v>
      </c>
    </row>
    <row r="11220" spans="1:24">
      <c r="A11220">
        <f>HYPERLINK("https://www.philgeps.gov.ph/GEPSNONPILOT/Tender/SplashBidNoticeAbstractUI.aspx?menuIndex=3&amp;refID=7062784&amp;Result=3","7062784")</f>
        <v>0</v>
      </c>
      <c r="B11220" t="s">
        <v>1163</v>
      </c>
      <c r="C11220" t="s">
        <v>14218</v>
      </c>
      <c r="D11220" t="s">
        <v>18154</v>
      </c>
      <c r="E11220" t="s">
        <v>27913</v>
      </c>
      <c r="F11220" t="s">
        <v>31362</v>
      </c>
      <c r="G11220" t="s">
        <v>31369</v>
      </c>
      <c r="H11220" t="s">
        <v>31378</v>
      </c>
      <c r="I11220" t="s">
        <v>31386</v>
      </c>
      <c r="J11220" t="s">
        <v>31606</v>
      </c>
      <c r="K11220" t="s">
        <v>40686</v>
      </c>
      <c r="M11220" t="s">
        <v>42173</v>
      </c>
      <c r="N11220" t="s">
        <v>44905</v>
      </c>
      <c r="O11220" t="s">
        <v>44906</v>
      </c>
      <c r="P11220">
        <v>0</v>
      </c>
      <c r="Q11220">
        <v>1</v>
      </c>
      <c r="R11220" t="s">
        <v>44916</v>
      </c>
      <c r="S11220" t="s">
        <v>45313</v>
      </c>
      <c r="T11220" t="s">
        <v>46462</v>
      </c>
      <c r="U11220" t="s">
        <v>55911</v>
      </c>
      <c r="W11220" t="s">
        <v>42173</v>
      </c>
      <c r="X11220" t="s">
        <v>44917</v>
      </c>
    </row>
    <row r="11221" spans="1:24">
      <c r="A11221">
        <f>HYPERLINK("https://www.philgeps.gov.ph/GEPSNONPILOT/Tender/SplashBidNoticeAbstractUI.aspx?menuIndex=3&amp;refID=7062841&amp;Result=3","7062841")</f>
        <v>0</v>
      </c>
      <c r="B11221" t="s">
        <v>3059</v>
      </c>
      <c r="C11221" t="s">
        <v>14219</v>
      </c>
      <c r="D11221" t="s">
        <v>18108</v>
      </c>
      <c r="E11221" t="s">
        <v>27914</v>
      </c>
      <c r="F11221" t="s">
        <v>31362</v>
      </c>
      <c r="G11221" t="s">
        <v>31369</v>
      </c>
      <c r="H11221" t="s">
        <v>15799</v>
      </c>
      <c r="I11221" t="s">
        <v>6373</v>
      </c>
      <c r="J11221" t="s">
        <v>33446</v>
      </c>
      <c r="K11221" t="s">
        <v>40675</v>
      </c>
      <c r="M11221" t="s">
        <v>44294</v>
      </c>
      <c r="N11221" t="s">
        <v>44905</v>
      </c>
      <c r="O11221" t="s">
        <v>44906</v>
      </c>
      <c r="P11221">
        <v>0</v>
      </c>
      <c r="Q11221">
        <v>0</v>
      </c>
      <c r="R11221" t="s">
        <v>44916</v>
      </c>
      <c r="S11221" t="s">
        <v>45313</v>
      </c>
      <c r="T11221" t="s">
        <v>46418</v>
      </c>
      <c r="U11221" t="s">
        <v>55912</v>
      </c>
      <c r="W11221" t="s">
        <v>44294</v>
      </c>
      <c r="X11221" t="s">
        <v>44917</v>
      </c>
    </row>
    <row r="11222" spans="1:24">
      <c r="A11222">
        <f>HYPERLINK("https://www.philgeps.gov.ph/GEPSNONPILOT/Tender/SplashBidNoticeAbstractUI.aspx?menuIndex=3&amp;refID=7062694&amp;Result=3","7062694")</f>
        <v>0</v>
      </c>
      <c r="B11222" t="s">
        <v>211</v>
      </c>
      <c r="C11222" t="s">
        <v>14220</v>
      </c>
      <c r="D11222" t="s">
        <v>18161</v>
      </c>
      <c r="E11222" t="s">
        <v>27915</v>
      </c>
      <c r="F11222" t="s">
        <v>31362</v>
      </c>
      <c r="G11222" t="s">
        <v>31369</v>
      </c>
      <c r="H11222" t="s">
        <v>31378</v>
      </c>
      <c r="I11222" t="s">
        <v>31386</v>
      </c>
      <c r="J11222" t="s">
        <v>34009</v>
      </c>
      <c r="K11222" t="s">
        <v>40823</v>
      </c>
      <c r="M11222" t="s">
        <v>41150</v>
      </c>
      <c r="N11222" t="s">
        <v>44905</v>
      </c>
      <c r="O11222" t="s">
        <v>44906</v>
      </c>
      <c r="P11222">
        <v>0</v>
      </c>
      <c r="Q11222">
        <v>4</v>
      </c>
      <c r="R11222" t="s">
        <v>44916</v>
      </c>
      <c r="S11222" t="s">
        <v>45313</v>
      </c>
      <c r="T11222" t="s">
        <v>46481</v>
      </c>
      <c r="U11222" t="s">
        <v>55913</v>
      </c>
      <c r="W11222" t="s">
        <v>41150</v>
      </c>
      <c r="X11222" t="s">
        <v>44917</v>
      </c>
    </row>
    <row r="11223" spans="1:24">
      <c r="A11223">
        <f>HYPERLINK("https://www.philgeps.gov.ph/GEPSNONPILOT/Tender/SplashBidNoticeAbstractUI.aspx?menuIndex=3&amp;refID=7062776&amp;Result=3","7062776")</f>
        <v>0</v>
      </c>
      <c r="B11223" t="s">
        <v>3060</v>
      </c>
      <c r="C11223" t="s">
        <v>14221</v>
      </c>
      <c r="D11223" t="s">
        <v>18108</v>
      </c>
      <c r="E11223" t="s">
        <v>27916</v>
      </c>
      <c r="F11223" t="s">
        <v>31362</v>
      </c>
      <c r="G11223" t="s">
        <v>31369</v>
      </c>
      <c r="H11223" t="s">
        <v>31379</v>
      </c>
      <c r="I11223" t="s">
        <v>31399</v>
      </c>
      <c r="J11223" t="s">
        <v>31693</v>
      </c>
      <c r="K11223" t="s">
        <v>40665</v>
      </c>
      <c r="M11223" t="s">
        <v>44295</v>
      </c>
      <c r="N11223" t="s">
        <v>44905</v>
      </c>
      <c r="O11223" t="s">
        <v>44906</v>
      </c>
      <c r="P11223">
        <v>0</v>
      </c>
      <c r="Q11223">
        <v>6</v>
      </c>
      <c r="R11223" t="s">
        <v>44916</v>
      </c>
      <c r="S11223" t="s">
        <v>45313</v>
      </c>
      <c r="T11223" t="s">
        <v>46523</v>
      </c>
      <c r="U11223" t="s">
        <v>55914</v>
      </c>
      <c r="V11223" t="s">
        <v>60270</v>
      </c>
      <c r="W11223" t="s">
        <v>44295</v>
      </c>
      <c r="X11223" t="s">
        <v>44917</v>
      </c>
    </row>
    <row r="11224" spans="1:24">
      <c r="A11224">
        <f>HYPERLINK("https://www.philgeps.gov.ph/GEPSNONPILOT/Tender/SplashBidNoticeAbstractUI.aspx?menuIndex=3&amp;refID=7062769&amp;Result=3","7062769")</f>
        <v>0</v>
      </c>
      <c r="B11224" t="s">
        <v>3061</v>
      </c>
      <c r="C11224" t="s">
        <v>14222</v>
      </c>
      <c r="D11224" t="s">
        <v>18106</v>
      </c>
      <c r="E11224" t="s">
        <v>27917</v>
      </c>
      <c r="F11224" t="s">
        <v>31362</v>
      </c>
      <c r="G11224" t="s">
        <v>31369</v>
      </c>
      <c r="H11224" t="s">
        <v>31378</v>
      </c>
      <c r="I11224" t="s">
        <v>31386</v>
      </c>
      <c r="J11224" t="s">
        <v>34112</v>
      </c>
      <c r="K11224" t="s">
        <v>40677</v>
      </c>
      <c r="M11224" t="s">
        <v>44296</v>
      </c>
      <c r="N11224" t="s">
        <v>44905</v>
      </c>
      <c r="O11224" t="s">
        <v>44906</v>
      </c>
      <c r="P11224">
        <v>0</v>
      </c>
      <c r="Q11224">
        <v>0</v>
      </c>
      <c r="R11224" t="s">
        <v>44916</v>
      </c>
      <c r="S11224" t="s">
        <v>45313</v>
      </c>
      <c r="T11224" t="s">
        <v>46462</v>
      </c>
      <c r="U11224" t="s">
        <v>55915</v>
      </c>
      <c r="W11224" t="s">
        <v>44296</v>
      </c>
      <c r="X11224" t="s">
        <v>44917</v>
      </c>
    </row>
    <row r="11225" spans="1:24">
      <c r="A11225">
        <f>HYPERLINK("https://www.philgeps.gov.ph/GEPSNONPILOT/Tender/SplashBidNoticeAbstractUI.aspx?menuIndex=3&amp;refID=7062786&amp;Result=3","7062786")</f>
        <v>0</v>
      </c>
      <c r="B11225" t="s">
        <v>491</v>
      </c>
      <c r="C11225" t="s">
        <v>14223</v>
      </c>
      <c r="D11225" t="s">
        <v>18126</v>
      </c>
      <c r="E11225" t="s">
        <v>27918</v>
      </c>
      <c r="F11225" t="s">
        <v>31362</v>
      </c>
      <c r="G11225" t="s">
        <v>31369</v>
      </c>
      <c r="H11225" t="s">
        <v>31378</v>
      </c>
      <c r="I11225" t="s">
        <v>31386</v>
      </c>
      <c r="J11225" t="s">
        <v>38367</v>
      </c>
      <c r="K11225" t="s">
        <v>40675</v>
      </c>
      <c r="M11225" t="s">
        <v>41446</v>
      </c>
      <c r="N11225" t="s">
        <v>44905</v>
      </c>
      <c r="O11225" t="s">
        <v>44906</v>
      </c>
      <c r="P11225">
        <v>0</v>
      </c>
      <c r="Q11225">
        <v>0</v>
      </c>
      <c r="R11225" t="s">
        <v>44916</v>
      </c>
      <c r="S11225" t="s">
        <v>45313</v>
      </c>
      <c r="T11225" t="s">
        <v>46467</v>
      </c>
      <c r="U11225" t="s">
        <v>55916</v>
      </c>
      <c r="W11225" t="s">
        <v>41446</v>
      </c>
      <c r="X11225" t="s">
        <v>44917</v>
      </c>
    </row>
    <row r="11226" spans="1:24">
      <c r="A11226">
        <f>HYPERLINK("https://www.philgeps.gov.ph/GEPSNONPILOT/Tender/SplashBidNoticeAbstractUI.aspx?menuIndex=3&amp;refID=7062767&amp;Result=3","7062767")</f>
        <v>0</v>
      </c>
      <c r="B11226" t="s">
        <v>824</v>
      </c>
      <c r="C11226" t="s">
        <v>14224</v>
      </c>
      <c r="D11226" t="s">
        <v>18131</v>
      </c>
      <c r="E11226" t="s">
        <v>27919</v>
      </c>
      <c r="F11226" t="s">
        <v>31362</v>
      </c>
      <c r="G11226" t="s">
        <v>31369</v>
      </c>
      <c r="H11226" t="s">
        <v>31378</v>
      </c>
      <c r="I11226" t="s">
        <v>31386</v>
      </c>
      <c r="J11226" t="s">
        <v>38368</v>
      </c>
      <c r="K11226" t="s">
        <v>40665</v>
      </c>
      <c r="M11226" t="s">
        <v>41797</v>
      </c>
      <c r="N11226" t="s">
        <v>44905</v>
      </c>
      <c r="O11226" t="s">
        <v>44906</v>
      </c>
      <c r="P11226">
        <v>0</v>
      </c>
      <c r="Q11226">
        <v>4</v>
      </c>
      <c r="R11226" t="s">
        <v>44916</v>
      </c>
      <c r="S11226" t="s">
        <v>45313</v>
      </c>
      <c r="T11226" t="s">
        <v>46396</v>
      </c>
      <c r="U11226" t="s">
        <v>55917</v>
      </c>
      <c r="V11226" t="s">
        <v>59260</v>
      </c>
      <c r="W11226" t="s">
        <v>41797</v>
      </c>
      <c r="X11226" t="s">
        <v>44917</v>
      </c>
    </row>
    <row r="11227" spans="1:24">
      <c r="A11227">
        <f>HYPERLINK("https://www.philgeps.gov.ph/GEPSNONPILOT/Tender/SplashBidNoticeAbstractUI.aspx?menuIndex=3&amp;refID=7062763&amp;Result=3","7062763")</f>
        <v>0</v>
      </c>
      <c r="B11227" t="s">
        <v>1304</v>
      </c>
      <c r="C11227" t="s">
        <v>14225</v>
      </c>
      <c r="D11227" t="s">
        <v>18104</v>
      </c>
      <c r="E11227" t="s">
        <v>23007</v>
      </c>
      <c r="F11227" t="s">
        <v>31362</v>
      </c>
      <c r="G11227" t="s">
        <v>31369</v>
      </c>
      <c r="H11227" t="s">
        <v>31378</v>
      </c>
      <c r="I11227" t="s">
        <v>31386</v>
      </c>
      <c r="J11227" t="s">
        <v>31987</v>
      </c>
      <c r="K11227" t="s">
        <v>40675</v>
      </c>
      <c r="M11227" t="s">
        <v>42322</v>
      </c>
      <c r="N11227" t="s">
        <v>44905</v>
      </c>
      <c r="O11227" t="s">
        <v>44906</v>
      </c>
      <c r="P11227">
        <v>0</v>
      </c>
      <c r="Q11227">
        <v>0</v>
      </c>
      <c r="R11227" t="s">
        <v>44916</v>
      </c>
      <c r="S11227" t="s">
        <v>45313</v>
      </c>
      <c r="T11227" t="s">
        <v>46444</v>
      </c>
      <c r="U11227" t="s">
        <v>49788</v>
      </c>
      <c r="W11227" t="s">
        <v>42322</v>
      </c>
      <c r="X11227" t="s">
        <v>44917</v>
      </c>
    </row>
    <row r="11228" spans="1:24">
      <c r="A11228">
        <f>HYPERLINK("https://www.philgeps.gov.ph/GEPSNONPILOT/Tender/SplashBidNoticeAbstractUI.aspx?menuIndex=3&amp;refID=7062778&amp;Result=3","7062778")</f>
        <v>0</v>
      </c>
      <c r="B11228" t="s">
        <v>321</v>
      </c>
      <c r="C11228" t="s">
        <v>14226</v>
      </c>
      <c r="D11228" t="s">
        <v>18114</v>
      </c>
      <c r="E11228" t="s">
        <v>27920</v>
      </c>
      <c r="F11228" t="s">
        <v>31362</v>
      </c>
      <c r="G11228" t="s">
        <v>31369</v>
      </c>
      <c r="H11228" t="s">
        <v>31379</v>
      </c>
      <c r="I11228" t="s">
        <v>31481</v>
      </c>
      <c r="J11228" t="s">
        <v>38369</v>
      </c>
      <c r="K11228" t="s">
        <v>40665</v>
      </c>
      <c r="M11228" t="s">
        <v>41267</v>
      </c>
      <c r="N11228" t="s">
        <v>44905</v>
      </c>
      <c r="O11228" t="s">
        <v>44906</v>
      </c>
      <c r="P11228">
        <v>0</v>
      </c>
      <c r="Q11228">
        <v>14</v>
      </c>
      <c r="R11228" t="s">
        <v>44916</v>
      </c>
      <c r="S11228" t="s">
        <v>45313</v>
      </c>
      <c r="T11228" t="s">
        <v>46519</v>
      </c>
      <c r="U11228" t="s">
        <v>47466</v>
      </c>
      <c r="V11228" t="s">
        <v>59148</v>
      </c>
      <c r="W11228" t="s">
        <v>41267</v>
      </c>
      <c r="X11228" t="s">
        <v>44917</v>
      </c>
    </row>
    <row r="11229" spans="1:24">
      <c r="A11229">
        <f>HYPERLINK("https://www.philgeps.gov.ph/GEPSNONPILOT/Tender/SplashBidNoticeAbstractUI.aspx?menuIndex=3&amp;refID=7062752&amp;Result=3","7062752")</f>
        <v>0</v>
      </c>
      <c r="B11229" t="s">
        <v>3060</v>
      </c>
      <c r="C11229" t="s">
        <v>14227</v>
      </c>
      <c r="D11229" t="s">
        <v>18108</v>
      </c>
      <c r="E11229" t="s">
        <v>27921</v>
      </c>
      <c r="F11229" t="s">
        <v>31362</v>
      </c>
      <c r="G11229" t="s">
        <v>31369</v>
      </c>
      <c r="H11229" t="s">
        <v>31379</v>
      </c>
      <c r="I11229" t="s">
        <v>7090</v>
      </c>
      <c r="J11229" t="s">
        <v>35080</v>
      </c>
      <c r="K11229" t="s">
        <v>40666</v>
      </c>
      <c r="M11229" t="s">
        <v>44295</v>
      </c>
      <c r="N11229" t="s">
        <v>44905</v>
      </c>
      <c r="O11229" t="s">
        <v>44906</v>
      </c>
      <c r="P11229">
        <v>0</v>
      </c>
      <c r="Q11229">
        <v>2</v>
      </c>
      <c r="R11229" t="s">
        <v>44916</v>
      </c>
      <c r="S11229" t="s">
        <v>45313</v>
      </c>
      <c r="T11229" t="s">
        <v>46403</v>
      </c>
      <c r="U11229" t="s">
        <v>55918</v>
      </c>
      <c r="V11229" t="s">
        <v>60270</v>
      </c>
      <c r="W11229" t="s">
        <v>44295</v>
      </c>
      <c r="X11229" t="s">
        <v>44917</v>
      </c>
    </row>
    <row r="11230" spans="1:24">
      <c r="A11230">
        <f>HYPERLINK("https://www.philgeps.gov.ph/GEPSNONPILOT/Tender/SplashBidNoticeAbstractUI.aspx?menuIndex=3&amp;refID=7062738&amp;Result=3","7062738")</f>
        <v>0</v>
      </c>
      <c r="B11230" t="s">
        <v>123</v>
      </c>
      <c r="C11230" t="s">
        <v>14228</v>
      </c>
      <c r="D11230" t="s">
        <v>18127</v>
      </c>
      <c r="E11230" t="s">
        <v>27458</v>
      </c>
      <c r="F11230" t="s">
        <v>31362</v>
      </c>
      <c r="G11230" t="s">
        <v>31369</v>
      </c>
      <c r="H11230" t="s">
        <v>31379</v>
      </c>
      <c r="I11230" t="s">
        <v>31436</v>
      </c>
      <c r="J11230" t="s">
        <v>38370</v>
      </c>
      <c r="K11230" t="s">
        <v>40723</v>
      </c>
      <c r="M11230" t="s">
        <v>41060</v>
      </c>
      <c r="N11230" t="s">
        <v>44905</v>
      </c>
      <c r="O11230" t="s">
        <v>44906</v>
      </c>
      <c r="P11230">
        <v>0</v>
      </c>
      <c r="Q11230">
        <v>3</v>
      </c>
      <c r="R11230" t="s">
        <v>44916</v>
      </c>
      <c r="S11230" t="s">
        <v>45313</v>
      </c>
      <c r="T11230" t="s">
        <v>46611</v>
      </c>
      <c r="U11230" t="s">
        <v>55919</v>
      </c>
      <c r="V11230" t="s">
        <v>59076</v>
      </c>
      <c r="W11230" t="s">
        <v>41060</v>
      </c>
      <c r="X11230" t="s">
        <v>44917</v>
      </c>
    </row>
    <row r="11231" spans="1:24">
      <c r="A11231">
        <f>HYPERLINK("https://www.philgeps.gov.ph/GEPSNONPILOT/Tender/SplashBidNoticeAbstractUI.aspx?menuIndex=3&amp;refID=7062596&amp;Result=3","7062596")</f>
        <v>0</v>
      </c>
      <c r="B11231" t="s">
        <v>367</v>
      </c>
      <c r="C11231" t="s">
        <v>14229</v>
      </c>
      <c r="D11231" t="s">
        <v>18134</v>
      </c>
      <c r="E11231" t="s">
        <v>27922</v>
      </c>
      <c r="F11231" t="s">
        <v>31362</v>
      </c>
      <c r="G11231" t="s">
        <v>31369</v>
      </c>
      <c r="H11231" t="s">
        <v>31378</v>
      </c>
      <c r="I11231" t="s">
        <v>31386</v>
      </c>
      <c r="J11231" t="s">
        <v>38371</v>
      </c>
      <c r="K11231" t="s">
        <v>40746</v>
      </c>
      <c r="M11231" t="s">
        <v>41398</v>
      </c>
      <c r="N11231" t="s">
        <v>44905</v>
      </c>
      <c r="O11231" t="s">
        <v>44906</v>
      </c>
      <c r="Q11231">
        <v>0</v>
      </c>
      <c r="R11231" t="s">
        <v>44916</v>
      </c>
      <c r="S11231" t="s">
        <v>45347</v>
      </c>
      <c r="T11231" t="s">
        <v>46504</v>
      </c>
      <c r="U11231" t="s">
        <v>55920</v>
      </c>
      <c r="V11231" t="s">
        <v>60238</v>
      </c>
      <c r="W11231" t="s">
        <v>41398</v>
      </c>
      <c r="X11231" t="s">
        <v>44917</v>
      </c>
    </row>
    <row r="11232" spans="1:24">
      <c r="A11232">
        <f>HYPERLINK("https://www.philgeps.gov.ph/GEPSNONPILOT/Tender/SplashBidNoticeAbstractUI.aspx?menuIndex=3&amp;refID=7062591&amp;Result=3","7062591")</f>
        <v>0</v>
      </c>
      <c r="B11232" t="s">
        <v>211</v>
      </c>
      <c r="C11232" t="s">
        <v>14230</v>
      </c>
      <c r="D11232" t="s">
        <v>18161</v>
      </c>
      <c r="E11232" t="s">
        <v>27923</v>
      </c>
      <c r="F11232" t="s">
        <v>31362</v>
      </c>
      <c r="G11232" t="s">
        <v>31369</v>
      </c>
      <c r="H11232" t="s">
        <v>31378</v>
      </c>
      <c r="I11232" t="s">
        <v>31386</v>
      </c>
      <c r="J11232" t="s">
        <v>38343</v>
      </c>
      <c r="K11232" t="s">
        <v>40815</v>
      </c>
      <c r="M11232" t="s">
        <v>41150</v>
      </c>
      <c r="N11232" t="s">
        <v>44905</v>
      </c>
      <c r="O11232" t="s">
        <v>44906</v>
      </c>
      <c r="P11232">
        <v>0</v>
      </c>
      <c r="Q11232">
        <v>4</v>
      </c>
      <c r="R11232" t="s">
        <v>44916</v>
      </c>
      <c r="S11232" t="s">
        <v>45313</v>
      </c>
      <c r="T11232" t="s">
        <v>46481</v>
      </c>
      <c r="U11232" t="s">
        <v>55921</v>
      </c>
      <c r="W11232" t="s">
        <v>41150</v>
      </c>
      <c r="X11232" t="s">
        <v>44917</v>
      </c>
    </row>
    <row r="11233" spans="1:24">
      <c r="A11233">
        <f>HYPERLINK("https://www.philgeps.gov.ph/GEPSNONPILOT/Tender/SplashBidNoticeAbstractUI.aspx?menuIndex=3&amp;refID=7062774&amp;Result=3","7062774")</f>
        <v>0</v>
      </c>
      <c r="B11233" t="s">
        <v>2963</v>
      </c>
      <c r="C11233" t="s">
        <v>14231</v>
      </c>
      <c r="D11233" t="s">
        <v>18116</v>
      </c>
      <c r="E11233" t="s">
        <v>27924</v>
      </c>
      <c r="F11233" t="s">
        <v>31362</v>
      </c>
      <c r="G11233" t="s">
        <v>31369</v>
      </c>
      <c r="H11233" t="s">
        <v>31378</v>
      </c>
      <c r="I11233" t="s">
        <v>31386</v>
      </c>
      <c r="J11233" t="s">
        <v>38372</v>
      </c>
      <c r="K11233" t="s">
        <v>40679</v>
      </c>
      <c r="L11233" t="s">
        <v>2963</v>
      </c>
      <c r="M11233" t="s">
        <v>44186</v>
      </c>
      <c r="N11233" t="s">
        <v>44905</v>
      </c>
      <c r="O11233" t="s">
        <v>44906</v>
      </c>
      <c r="P11233">
        <v>0</v>
      </c>
      <c r="Q11233">
        <v>0</v>
      </c>
      <c r="R11233" t="s">
        <v>44916</v>
      </c>
      <c r="S11233" t="s">
        <v>45313</v>
      </c>
      <c r="T11233" t="s">
        <v>46542</v>
      </c>
      <c r="U11233" t="s">
        <v>55908</v>
      </c>
      <c r="W11233" t="s">
        <v>44186</v>
      </c>
      <c r="X11233" t="s">
        <v>44917</v>
      </c>
    </row>
    <row r="11234" spans="1:24">
      <c r="A11234">
        <f>HYPERLINK("https://www.philgeps.gov.ph/GEPSNONPILOT/Tender/SplashBidNoticeAbstractUI.aspx?menuIndex=3&amp;refID=7062587&amp;Result=3","7062587")</f>
        <v>0</v>
      </c>
      <c r="B11234" t="s">
        <v>3062</v>
      </c>
      <c r="C11234" t="s">
        <v>14232</v>
      </c>
      <c r="D11234" t="s">
        <v>18162</v>
      </c>
      <c r="E11234" t="s">
        <v>27925</v>
      </c>
      <c r="F11234" t="s">
        <v>31362</v>
      </c>
      <c r="G11234" t="s">
        <v>31369</v>
      </c>
      <c r="H11234" t="s">
        <v>15799</v>
      </c>
      <c r="I11234" t="s">
        <v>7188</v>
      </c>
      <c r="J11234" t="s">
        <v>31546</v>
      </c>
      <c r="K11234" t="s">
        <v>40665</v>
      </c>
      <c r="M11234" t="s">
        <v>44297</v>
      </c>
      <c r="N11234" t="s">
        <v>44905</v>
      </c>
      <c r="O11234" t="s">
        <v>44906</v>
      </c>
      <c r="P11234">
        <v>0</v>
      </c>
      <c r="Q11234">
        <v>1</v>
      </c>
      <c r="R11234" t="s">
        <v>44916</v>
      </c>
      <c r="S11234" t="s">
        <v>45313</v>
      </c>
      <c r="T11234" t="s">
        <v>46394</v>
      </c>
      <c r="U11234" t="s">
        <v>55922</v>
      </c>
      <c r="W11234" t="s">
        <v>44297</v>
      </c>
      <c r="X11234" t="s">
        <v>44917</v>
      </c>
    </row>
    <row r="11235" spans="1:24">
      <c r="A11235">
        <f>HYPERLINK("https://www.philgeps.gov.ph/GEPSNONPILOT/Tender/SplashBidNoticeAbstractUI.aspx?menuIndex=3&amp;refID=7062562&amp;Result=3","7062562")</f>
        <v>0</v>
      </c>
      <c r="B11235" t="s">
        <v>2187</v>
      </c>
      <c r="C11235" t="s">
        <v>14233</v>
      </c>
      <c r="D11235" t="s">
        <v>18108</v>
      </c>
      <c r="E11235" t="s">
        <v>27926</v>
      </c>
      <c r="F11235" t="s">
        <v>31362</v>
      </c>
      <c r="G11235" t="s">
        <v>31369</v>
      </c>
      <c r="H11235" t="s">
        <v>31378</v>
      </c>
      <c r="I11235" t="s">
        <v>31386</v>
      </c>
      <c r="J11235" t="s">
        <v>38373</v>
      </c>
      <c r="K11235" t="s">
        <v>40666</v>
      </c>
      <c r="M11235" t="s">
        <v>43832</v>
      </c>
      <c r="N11235" t="s">
        <v>44905</v>
      </c>
      <c r="O11235" t="s">
        <v>44906</v>
      </c>
      <c r="P11235">
        <v>0</v>
      </c>
      <c r="Q11235">
        <v>35</v>
      </c>
      <c r="R11235" t="s">
        <v>44916</v>
      </c>
      <c r="S11235" t="s">
        <v>45313</v>
      </c>
      <c r="T11235" t="s">
        <v>46538</v>
      </c>
      <c r="U11235" t="s">
        <v>54261</v>
      </c>
      <c r="V11235" t="s">
        <v>60271</v>
      </c>
      <c r="W11235" t="s">
        <v>43832</v>
      </c>
      <c r="X11235" t="s">
        <v>44917</v>
      </c>
    </row>
    <row r="11236" spans="1:24">
      <c r="A11236">
        <f>HYPERLINK("https://www.philgeps.gov.ph/GEPSNONPILOT/Tender/SplashBidNoticeAbstractUI.aspx?menuIndex=3&amp;refID=7062500&amp;Result=3","7062500")</f>
        <v>0</v>
      </c>
      <c r="B11236" t="s">
        <v>3063</v>
      </c>
      <c r="C11236" t="s">
        <v>14234</v>
      </c>
      <c r="D11236" t="s">
        <v>18175</v>
      </c>
      <c r="E11236" t="s">
        <v>19861</v>
      </c>
      <c r="F11236" t="s">
        <v>31362</v>
      </c>
      <c r="G11236" t="s">
        <v>31369</v>
      </c>
      <c r="H11236" t="s">
        <v>31378</v>
      </c>
      <c r="I11236" t="s">
        <v>31386</v>
      </c>
      <c r="J11236" t="s">
        <v>38374</v>
      </c>
      <c r="K11236" t="s">
        <v>40662</v>
      </c>
      <c r="M11236" t="s">
        <v>44298</v>
      </c>
      <c r="N11236" t="s">
        <v>44905</v>
      </c>
      <c r="O11236" t="s">
        <v>44906</v>
      </c>
      <c r="P11236">
        <v>0</v>
      </c>
      <c r="Q11236">
        <v>0</v>
      </c>
      <c r="R11236" t="s">
        <v>44916</v>
      </c>
      <c r="S11236" t="s">
        <v>45313</v>
      </c>
      <c r="T11236" t="s">
        <v>46459</v>
      </c>
      <c r="U11236" t="s">
        <v>55923</v>
      </c>
      <c r="W11236" t="s">
        <v>44298</v>
      </c>
      <c r="X11236" t="s">
        <v>44917</v>
      </c>
    </row>
    <row r="11237" spans="1:24">
      <c r="A11237">
        <f>HYPERLINK("https://www.philgeps.gov.ph/GEPSNONPILOT/Tender/SplashBidNoticeAbstractUI.aspx?menuIndex=3&amp;refID=7062858&amp;Result=3","7062858")</f>
        <v>0</v>
      </c>
      <c r="B11237" t="s">
        <v>744</v>
      </c>
      <c r="C11237" t="s">
        <v>14235</v>
      </c>
      <c r="D11237" t="s">
        <v>18148</v>
      </c>
      <c r="E11237" t="s">
        <v>27927</v>
      </c>
      <c r="F11237" t="s">
        <v>31362</v>
      </c>
      <c r="G11237" t="s">
        <v>31369</v>
      </c>
      <c r="H11237" t="s">
        <v>31378</v>
      </c>
      <c r="I11237" t="s">
        <v>31386</v>
      </c>
      <c r="J11237" t="s">
        <v>38375</v>
      </c>
      <c r="K11237" t="s">
        <v>40679</v>
      </c>
      <c r="M11237" t="s">
        <v>41711</v>
      </c>
      <c r="N11237" t="s">
        <v>44905</v>
      </c>
      <c r="O11237" t="s">
        <v>44906</v>
      </c>
      <c r="P11237">
        <v>0</v>
      </c>
      <c r="Q11237">
        <v>0</v>
      </c>
      <c r="R11237" t="s">
        <v>44916</v>
      </c>
      <c r="S11237" t="s">
        <v>45313</v>
      </c>
      <c r="T11237" t="s">
        <v>46433</v>
      </c>
      <c r="U11237" t="s">
        <v>55924</v>
      </c>
      <c r="W11237" t="s">
        <v>41711</v>
      </c>
      <c r="X11237" t="s">
        <v>44917</v>
      </c>
    </row>
    <row r="11238" spans="1:24">
      <c r="A11238">
        <f>HYPERLINK("https://www.philgeps.gov.ph/GEPSNONPILOT/Tender/SplashBidNoticeAbstractUI.aspx?menuIndex=3&amp;refID=7062779&amp;Result=3","7062779")</f>
        <v>0</v>
      </c>
      <c r="B11238" t="s">
        <v>744</v>
      </c>
      <c r="C11238" t="s">
        <v>14236</v>
      </c>
      <c r="D11238" t="s">
        <v>18148</v>
      </c>
      <c r="E11238" t="s">
        <v>27928</v>
      </c>
      <c r="F11238" t="s">
        <v>31362</v>
      </c>
      <c r="G11238" t="s">
        <v>31369</v>
      </c>
      <c r="H11238" t="s">
        <v>15799</v>
      </c>
      <c r="I11238" t="s">
        <v>31404</v>
      </c>
      <c r="J11238" t="s">
        <v>38376</v>
      </c>
      <c r="K11238" t="s">
        <v>40694</v>
      </c>
      <c r="M11238" t="s">
        <v>41711</v>
      </c>
      <c r="N11238" t="s">
        <v>44905</v>
      </c>
      <c r="O11238" t="s">
        <v>44906</v>
      </c>
      <c r="P11238">
        <v>0</v>
      </c>
      <c r="Q11238">
        <v>0</v>
      </c>
      <c r="R11238" t="s">
        <v>44916</v>
      </c>
      <c r="S11238" t="s">
        <v>45313</v>
      </c>
      <c r="T11238" t="s">
        <v>46433</v>
      </c>
      <c r="U11238" t="s">
        <v>55925</v>
      </c>
      <c r="W11238" t="s">
        <v>41711</v>
      </c>
      <c r="X11238" t="s">
        <v>44917</v>
      </c>
    </row>
    <row r="11239" spans="1:24">
      <c r="A11239">
        <f>HYPERLINK("https://www.philgeps.gov.ph/GEPSNONPILOT/Tender/SplashBidNoticeAbstractUI.aspx?menuIndex=3&amp;refID=7062941&amp;Result=3","7062941")</f>
        <v>0</v>
      </c>
      <c r="B11239" t="s">
        <v>232</v>
      </c>
      <c r="C11239" t="s">
        <v>14237</v>
      </c>
      <c r="D11239" t="s">
        <v>18101</v>
      </c>
      <c r="E11239" t="s">
        <v>27929</v>
      </c>
      <c r="F11239" t="s">
        <v>31362</v>
      </c>
      <c r="G11239" t="s">
        <v>31369</v>
      </c>
      <c r="H11239" t="s">
        <v>31378</v>
      </c>
      <c r="I11239" t="s">
        <v>31386</v>
      </c>
      <c r="J11239" t="s">
        <v>38377</v>
      </c>
      <c r="K11239" t="s">
        <v>40682</v>
      </c>
      <c r="M11239" t="s">
        <v>41171</v>
      </c>
      <c r="N11239" t="s">
        <v>44905</v>
      </c>
      <c r="O11239" t="s">
        <v>44906</v>
      </c>
      <c r="P11239">
        <v>0</v>
      </c>
      <c r="Q11239">
        <v>0</v>
      </c>
      <c r="R11239" t="s">
        <v>44916</v>
      </c>
      <c r="S11239" t="s">
        <v>45313</v>
      </c>
      <c r="T11239" t="s">
        <v>46392</v>
      </c>
      <c r="U11239" t="s">
        <v>55926</v>
      </c>
      <c r="V11239" t="s">
        <v>59151</v>
      </c>
      <c r="W11239" t="s">
        <v>41171</v>
      </c>
      <c r="X11239" t="s">
        <v>44917</v>
      </c>
    </row>
    <row r="11240" spans="1:24">
      <c r="A11240">
        <f>HYPERLINK("https://www.philgeps.gov.ph/GEPSNONPILOT/Tender/SplashBidNoticeAbstractUI.aspx?menuIndex=3&amp;refID=7062922&amp;Result=3","7062922")</f>
        <v>0</v>
      </c>
      <c r="B11240" t="s">
        <v>2963</v>
      </c>
      <c r="C11240" t="s">
        <v>14238</v>
      </c>
      <c r="D11240" t="s">
        <v>18116</v>
      </c>
      <c r="E11240" t="s">
        <v>27930</v>
      </c>
      <c r="F11240" t="s">
        <v>31362</v>
      </c>
      <c r="G11240" t="s">
        <v>31369</v>
      </c>
      <c r="H11240" t="s">
        <v>31378</v>
      </c>
      <c r="I11240" t="s">
        <v>31386</v>
      </c>
      <c r="J11240" t="s">
        <v>32673</v>
      </c>
      <c r="K11240" t="s">
        <v>40679</v>
      </c>
      <c r="L11240" t="s">
        <v>2963</v>
      </c>
      <c r="M11240" t="s">
        <v>44186</v>
      </c>
      <c r="N11240" t="s">
        <v>44905</v>
      </c>
      <c r="O11240" t="s">
        <v>44906</v>
      </c>
      <c r="P11240">
        <v>0</v>
      </c>
      <c r="Q11240">
        <v>0</v>
      </c>
      <c r="R11240" t="s">
        <v>44916</v>
      </c>
      <c r="S11240" t="s">
        <v>45313</v>
      </c>
      <c r="T11240" t="s">
        <v>46542</v>
      </c>
      <c r="U11240" t="s">
        <v>55908</v>
      </c>
      <c r="W11240" t="s">
        <v>44186</v>
      </c>
      <c r="X11240" t="s">
        <v>44917</v>
      </c>
    </row>
    <row r="11241" spans="1:24">
      <c r="A11241">
        <f>HYPERLINK("https://www.philgeps.gov.ph/GEPSNONPILOT/Tender/SplashBidNoticeAbstractUI.aspx?menuIndex=3&amp;refID=7062917&amp;Result=3","7062917")</f>
        <v>0</v>
      </c>
      <c r="B11241" t="s">
        <v>299</v>
      </c>
      <c r="C11241" t="s">
        <v>14239</v>
      </c>
      <c r="D11241" t="s">
        <v>18108</v>
      </c>
      <c r="E11241" t="s">
        <v>27931</v>
      </c>
      <c r="F11241" t="s">
        <v>31362</v>
      </c>
      <c r="G11241" t="s">
        <v>31369</v>
      </c>
      <c r="H11241" t="s">
        <v>15799</v>
      </c>
      <c r="I11241" t="s">
        <v>7719</v>
      </c>
      <c r="J11241" t="s">
        <v>38378</v>
      </c>
      <c r="K11241" t="s">
        <v>40662</v>
      </c>
      <c r="M11241" t="s">
        <v>44299</v>
      </c>
      <c r="N11241" t="s">
        <v>44905</v>
      </c>
      <c r="O11241" t="s">
        <v>44906</v>
      </c>
      <c r="P11241">
        <v>0</v>
      </c>
      <c r="Q11241">
        <v>9</v>
      </c>
      <c r="R11241" t="s">
        <v>44916</v>
      </c>
      <c r="S11241" t="s">
        <v>45313</v>
      </c>
      <c r="T11241" t="s">
        <v>46741</v>
      </c>
      <c r="U11241" t="s">
        <v>55927</v>
      </c>
      <c r="W11241" t="s">
        <v>44299</v>
      </c>
      <c r="X11241" t="s">
        <v>44917</v>
      </c>
    </row>
    <row r="11242" spans="1:24">
      <c r="A11242">
        <f>HYPERLINK("https://www.philgeps.gov.ph/GEPSNONPILOT/Tender/SplashBidNoticeAbstractUI.aspx?menuIndex=3&amp;refID=7062900&amp;Result=3","7062900")</f>
        <v>0</v>
      </c>
      <c r="B11242" t="s">
        <v>3057</v>
      </c>
      <c r="C11242" t="s">
        <v>14240</v>
      </c>
      <c r="D11242" t="s">
        <v>18127</v>
      </c>
      <c r="E11242" t="s">
        <v>27932</v>
      </c>
      <c r="F11242" t="s">
        <v>31362</v>
      </c>
      <c r="G11242" t="s">
        <v>31369</v>
      </c>
      <c r="H11242" t="s">
        <v>31378</v>
      </c>
      <c r="I11242" t="s">
        <v>31386</v>
      </c>
      <c r="J11242" t="s">
        <v>38379</v>
      </c>
      <c r="K11242" t="s">
        <v>40662</v>
      </c>
      <c r="M11242" t="s">
        <v>44292</v>
      </c>
      <c r="N11242" t="s">
        <v>44905</v>
      </c>
      <c r="O11242" t="s">
        <v>44906</v>
      </c>
      <c r="P11242">
        <v>0</v>
      </c>
      <c r="Q11242">
        <v>0</v>
      </c>
      <c r="R11242" t="s">
        <v>44916</v>
      </c>
      <c r="S11242" t="s">
        <v>45313</v>
      </c>
      <c r="T11242" t="s">
        <v>46519</v>
      </c>
      <c r="U11242" t="s">
        <v>55928</v>
      </c>
      <c r="W11242" t="s">
        <v>44292</v>
      </c>
      <c r="X11242" t="s">
        <v>44917</v>
      </c>
    </row>
    <row r="11243" spans="1:24">
      <c r="A11243">
        <f>HYPERLINK("https://www.philgeps.gov.ph/GEPSNONPILOT/Tender/SplashBidNoticeAbstractUI.aspx?menuIndex=3&amp;refID=7062588&amp;Result=3","7062588")</f>
        <v>0</v>
      </c>
      <c r="B11243" t="s">
        <v>2892</v>
      </c>
      <c r="C11243" t="s">
        <v>14241</v>
      </c>
      <c r="D11243" t="s">
        <v>18101</v>
      </c>
      <c r="E11243" t="s">
        <v>27933</v>
      </c>
      <c r="F11243" t="s">
        <v>31362</v>
      </c>
      <c r="G11243" t="s">
        <v>31369</v>
      </c>
      <c r="H11243" t="s">
        <v>15799</v>
      </c>
      <c r="I11243" t="s">
        <v>3815</v>
      </c>
      <c r="J11243" t="s">
        <v>38380</v>
      </c>
      <c r="K11243" t="s">
        <v>40670</v>
      </c>
      <c r="L11243" t="s">
        <v>2892</v>
      </c>
      <c r="M11243" t="s">
        <v>44107</v>
      </c>
      <c r="N11243" t="s">
        <v>44905</v>
      </c>
      <c r="O11243" t="s">
        <v>44906</v>
      </c>
      <c r="P11243">
        <v>0</v>
      </c>
      <c r="Q11243">
        <v>1</v>
      </c>
      <c r="R11243" t="s">
        <v>44916</v>
      </c>
      <c r="S11243" t="s">
        <v>45313</v>
      </c>
      <c r="T11243" t="s">
        <v>46481</v>
      </c>
      <c r="U11243" t="s">
        <v>55301</v>
      </c>
      <c r="W11243" t="s">
        <v>44107</v>
      </c>
      <c r="X11243" t="s">
        <v>44917</v>
      </c>
    </row>
    <row r="11244" spans="1:24">
      <c r="A11244">
        <f>HYPERLINK("https://www.philgeps.gov.ph/GEPSNONPILOT/Tender/SplashBidNoticeAbstractUI.aspx?menuIndex=3&amp;refID=7063001&amp;Result=3","7063001")</f>
        <v>0</v>
      </c>
      <c r="B11244" t="s">
        <v>2963</v>
      </c>
      <c r="C11244" t="s">
        <v>14242</v>
      </c>
      <c r="D11244" t="s">
        <v>18116</v>
      </c>
      <c r="E11244" t="s">
        <v>27934</v>
      </c>
      <c r="F11244" t="s">
        <v>31362</v>
      </c>
      <c r="G11244" t="s">
        <v>31369</v>
      </c>
      <c r="H11244" t="s">
        <v>31378</v>
      </c>
      <c r="I11244" t="s">
        <v>31386</v>
      </c>
      <c r="J11244" t="s">
        <v>36104</v>
      </c>
      <c r="K11244" t="s">
        <v>40686</v>
      </c>
      <c r="L11244" t="s">
        <v>2963</v>
      </c>
      <c r="M11244" t="s">
        <v>44186</v>
      </c>
      <c r="N11244" t="s">
        <v>44905</v>
      </c>
      <c r="O11244" t="s">
        <v>44906</v>
      </c>
      <c r="P11244">
        <v>0</v>
      </c>
      <c r="Q11244">
        <v>1</v>
      </c>
      <c r="R11244" t="s">
        <v>44916</v>
      </c>
      <c r="S11244" t="s">
        <v>45313</v>
      </c>
      <c r="T11244" t="s">
        <v>46542</v>
      </c>
      <c r="U11244" t="s">
        <v>55908</v>
      </c>
      <c r="W11244" t="s">
        <v>44186</v>
      </c>
      <c r="X11244" t="s">
        <v>44917</v>
      </c>
    </row>
    <row r="11245" spans="1:24">
      <c r="A11245">
        <f>HYPERLINK("https://www.philgeps.gov.ph/GEPSNONPILOT/Tender/SplashBidNoticeAbstractUI.aspx?menuIndex=3&amp;refID=7062986&amp;Result=3","7062986")</f>
        <v>0</v>
      </c>
      <c r="B11245" t="s">
        <v>3057</v>
      </c>
      <c r="C11245" t="s">
        <v>14243</v>
      </c>
      <c r="D11245" t="s">
        <v>18127</v>
      </c>
      <c r="E11245" t="s">
        <v>27935</v>
      </c>
      <c r="F11245" t="s">
        <v>31362</v>
      </c>
      <c r="G11245" t="s">
        <v>31369</v>
      </c>
      <c r="H11245" t="s">
        <v>15799</v>
      </c>
      <c r="I11245" t="s">
        <v>31414</v>
      </c>
      <c r="J11245" t="s">
        <v>38381</v>
      </c>
      <c r="K11245" t="s">
        <v>40662</v>
      </c>
      <c r="M11245" t="s">
        <v>44292</v>
      </c>
      <c r="N11245" t="s">
        <v>44905</v>
      </c>
      <c r="O11245" t="s">
        <v>44906</v>
      </c>
      <c r="P11245">
        <v>0</v>
      </c>
      <c r="Q11245">
        <v>1</v>
      </c>
      <c r="R11245" t="s">
        <v>44916</v>
      </c>
      <c r="S11245" t="s">
        <v>45313</v>
      </c>
      <c r="T11245" t="s">
        <v>46519</v>
      </c>
      <c r="U11245" t="s">
        <v>55929</v>
      </c>
      <c r="W11245" t="s">
        <v>44292</v>
      </c>
      <c r="X11245" t="s">
        <v>44917</v>
      </c>
    </row>
    <row r="11246" spans="1:24">
      <c r="A11246">
        <f>HYPERLINK("https://www.philgeps.gov.ph/GEPSNONPILOT/Tender/SplashBidNoticeAbstractUI.aspx?menuIndex=3&amp;refID=7062338&amp;Result=3","7062338")</f>
        <v>0</v>
      </c>
      <c r="B11246" t="s">
        <v>3064</v>
      </c>
      <c r="C11246" t="s">
        <v>14244</v>
      </c>
      <c r="D11246" t="s">
        <v>18128</v>
      </c>
      <c r="E11246" t="s">
        <v>27936</v>
      </c>
      <c r="F11246" t="s">
        <v>31362</v>
      </c>
      <c r="G11246" t="s">
        <v>31369</v>
      </c>
      <c r="H11246" t="s">
        <v>31378</v>
      </c>
      <c r="I11246" t="s">
        <v>3815</v>
      </c>
      <c r="J11246" t="s">
        <v>38382</v>
      </c>
      <c r="K11246" t="s">
        <v>40666</v>
      </c>
      <c r="M11246" t="s">
        <v>44300</v>
      </c>
      <c r="N11246" t="s">
        <v>44905</v>
      </c>
      <c r="O11246" t="s">
        <v>44906</v>
      </c>
      <c r="P11246">
        <v>0</v>
      </c>
      <c r="Q11246">
        <v>0</v>
      </c>
      <c r="R11246" t="s">
        <v>44916</v>
      </c>
      <c r="S11246" t="s">
        <v>45313</v>
      </c>
      <c r="T11246" t="s">
        <v>46397</v>
      </c>
      <c r="U11246" t="s">
        <v>55930</v>
      </c>
      <c r="V11246" t="s">
        <v>60272</v>
      </c>
      <c r="W11246" t="s">
        <v>44300</v>
      </c>
      <c r="X11246" t="s">
        <v>44917</v>
      </c>
    </row>
    <row r="11247" spans="1:24">
      <c r="A11247">
        <f>HYPERLINK("https://www.philgeps.gov.ph/GEPSNONPILOT/Tender/SplashBidNoticeAbstractUI.aspx?menuIndex=3&amp;refID=7062608&amp;Result=3","7062608")</f>
        <v>0</v>
      </c>
      <c r="B11247" t="s">
        <v>1219</v>
      </c>
      <c r="C11247" t="s">
        <v>7619</v>
      </c>
      <c r="E11247" t="s">
        <v>27937</v>
      </c>
      <c r="F11247" t="s">
        <v>31362</v>
      </c>
      <c r="G11247" t="s">
        <v>31369</v>
      </c>
      <c r="H11247" t="s">
        <v>15799</v>
      </c>
      <c r="I11247" t="s">
        <v>31404</v>
      </c>
      <c r="J11247" t="s">
        <v>38383</v>
      </c>
      <c r="K11247" t="s">
        <v>40662</v>
      </c>
      <c r="M11247" t="s">
        <v>42232</v>
      </c>
      <c r="N11247" t="s">
        <v>44905</v>
      </c>
      <c r="O11247" t="s">
        <v>44906</v>
      </c>
      <c r="P11247">
        <v>0</v>
      </c>
      <c r="Q11247">
        <v>0</v>
      </c>
      <c r="R11247" t="s">
        <v>44916</v>
      </c>
      <c r="S11247" t="s">
        <v>45313</v>
      </c>
      <c r="T11247" t="s">
        <v>46407</v>
      </c>
      <c r="U11247" t="s">
        <v>55931</v>
      </c>
      <c r="W11247" t="s">
        <v>42232</v>
      </c>
      <c r="X11247" t="s">
        <v>44917</v>
      </c>
    </row>
    <row r="11248" spans="1:24">
      <c r="A11248">
        <f>HYPERLINK("https://www.philgeps.gov.ph/GEPSNONPILOT/Tender/SplashBidNoticeAbstractUI.aspx?menuIndex=3&amp;refID=7062902&amp;Result=3","7062902")</f>
        <v>0</v>
      </c>
      <c r="B11248" t="s">
        <v>1466</v>
      </c>
      <c r="C11248" t="s">
        <v>14245</v>
      </c>
      <c r="D11248" t="s">
        <v>18128</v>
      </c>
      <c r="E11248" t="s">
        <v>27938</v>
      </c>
      <c r="F11248" t="s">
        <v>31362</v>
      </c>
      <c r="G11248" t="s">
        <v>31369</v>
      </c>
      <c r="H11248" t="s">
        <v>31378</v>
      </c>
      <c r="I11248" t="s">
        <v>31386</v>
      </c>
      <c r="J11248" t="s">
        <v>38384</v>
      </c>
      <c r="K11248" t="s">
        <v>40676</v>
      </c>
      <c r="M11248" t="s">
        <v>42498</v>
      </c>
      <c r="N11248" t="s">
        <v>44905</v>
      </c>
      <c r="O11248" t="s">
        <v>44906</v>
      </c>
      <c r="P11248">
        <v>0</v>
      </c>
      <c r="Q11248">
        <v>1</v>
      </c>
      <c r="R11248" t="s">
        <v>44916</v>
      </c>
      <c r="S11248" t="s">
        <v>45313</v>
      </c>
      <c r="T11248" t="s">
        <v>46415</v>
      </c>
      <c r="U11248" t="s">
        <v>55932</v>
      </c>
      <c r="V11248" t="s">
        <v>59460</v>
      </c>
      <c r="W11248" t="s">
        <v>42498</v>
      </c>
      <c r="X11248" t="s">
        <v>44917</v>
      </c>
    </row>
    <row r="11249" spans="1:24">
      <c r="A11249">
        <f>HYPERLINK("https://www.philgeps.gov.ph/GEPSNONPILOT/Tender/SplashBidNoticeAbstractUI.aspx?menuIndex=3&amp;refID=7062967&amp;Result=3","7062967")</f>
        <v>0</v>
      </c>
      <c r="B11249" t="s">
        <v>1466</v>
      </c>
      <c r="C11249" t="s">
        <v>14246</v>
      </c>
      <c r="D11249" t="s">
        <v>18128</v>
      </c>
      <c r="E11249" t="s">
        <v>27939</v>
      </c>
      <c r="F11249" t="s">
        <v>31362</v>
      </c>
      <c r="G11249" t="s">
        <v>31369</v>
      </c>
      <c r="H11249" t="s">
        <v>31378</v>
      </c>
      <c r="I11249" t="s">
        <v>31386</v>
      </c>
      <c r="J11249" t="s">
        <v>38385</v>
      </c>
      <c r="K11249" t="s">
        <v>40682</v>
      </c>
      <c r="M11249" t="s">
        <v>42498</v>
      </c>
      <c r="N11249" t="s">
        <v>44905</v>
      </c>
      <c r="O11249" t="s">
        <v>44906</v>
      </c>
      <c r="P11249">
        <v>0</v>
      </c>
      <c r="Q11249">
        <v>1</v>
      </c>
      <c r="R11249" t="s">
        <v>44916</v>
      </c>
      <c r="S11249" t="s">
        <v>45313</v>
      </c>
      <c r="T11249" t="s">
        <v>46415</v>
      </c>
      <c r="U11249" t="s">
        <v>55933</v>
      </c>
      <c r="V11249" t="s">
        <v>59460</v>
      </c>
      <c r="W11249" t="s">
        <v>42498</v>
      </c>
      <c r="X11249" t="s">
        <v>44917</v>
      </c>
    </row>
    <row r="11250" spans="1:24">
      <c r="A11250">
        <f>HYPERLINK("https://www.philgeps.gov.ph/GEPSNONPILOT/Tender/SplashBidNoticeAbstractUI.aspx?menuIndex=3&amp;refID=7062962&amp;Result=3","7062962")</f>
        <v>0</v>
      </c>
      <c r="B11250" t="s">
        <v>3057</v>
      </c>
      <c r="C11250" t="s">
        <v>14247</v>
      </c>
      <c r="D11250" t="s">
        <v>18127</v>
      </c>
      <c r="E11250" t="s">
        <v>27940</v>
      </c>
      <c r="F11250" t="s">
        <v>31362</v>
      </c>
      <c r="G11250" t="s">
        <v>31369</v>
      </c>
      <c r="H11250" t="s">
        <v>31378</v>
      </c>
      <c r="I11250" t="s">
        <v>31386</v>
      </c>
      <c r="J11250" t="s">
        <v>38386</v>
      </c>
      <c r="K11250" t="s">
        <v>40662</v>
      </c>
      <c r="M11250" t="s">
        <v>44292</v>
      </c>
      <c r="N11250" t="s">
        <v>44905</v>
      </c>
      <c r="O11250" t="s">
        <v>44906</v>
      </c>
      <c r="P11250">
        <v>0</v>
      </c>
      <c r="Q11250">
        <v>0</v>
      </c>
      <c r="R11250" t="s">
        <v>44916</v>
      </c>
      <c r="S11250" t="s">
        <v>45313</v>
      </c>
      <c r="T11250" t="s">
        <v>46519</v>
      </c>
      <c r="U11250" t="s">
        <v>55934</v>
      </c>
      <c r="W11250" t="s">
        <v>44292</v>
      </c>
      <c r="X11250" t="s">
        <v>44917</v>
      </c>
    </row>
    <row r="11251" spans="1:24">
      <c r="A11251">
        <f>HYPERLINK("https://www.philgeps.gov.ph/GEPSNONPILOT/Tender/SplashBidNoticeAbstractUI.aspx?menuIndex=3&amp;refID=7062961&amp;Result=3","7062961")</f>
        <v>0</v>
      </c>
      <c r="B11251" t="s">
        <v>254</v>
      </c>
      <c r="C11251" t="s">
        <v>14248</v>
      </c>
      <c r="D11251" t="s">
        <v>18127</v>
      </c>
      <c r="E11251" t="s">
        <v>23910</v>
      </c>
      <c r="F11251" t="s">
        <v>31362</v>
      </c>
      <c r="G11251" t="s">
        <v>31369</v>
      </c>
      <c r="H11251" t="s">
        <v>31378</v>
      </c>
      <c r="I11251" t="s">
        <v>31386</v>
      </c>
      <c r="J11251" t="s">
        <v>38387</v>
      </c>
      <c r="K11251" t="s">
        <v>40679</v>
      </c>
      <c r="M11251" t="s">
        <v>41194</v>
      </c>
      <c r="N11251" t="s">
        <v>44905</v>
      </c>
      <c r="O11251" t="s">
        <v>44906</v>
      </c>
      <c r="P11251">
        <v>0</v>
      </c>
      <c r="Q11251">
        <v>0</v>
      </c>
      <c r="R11251" t="s">
        <v>44916</v>
      </c>
      <c r="S11251" t="s">
        <v>45313</v>
      </c>
      <c r="T11251" t="s">
        <v>46411</v>
      </c>
      <c r="U11251" t="s">
        <v>48610</v>
      </c>
      <c r="W11251" t="s">
        <v>41194</v>
      </c>
      <c r="X11251" t="s">
        <v>44917</v>
      </c>
    </row>
    <row r="11252" spans="1:24">
      <c r="A11252">
        <f>HYPERLINK("https://www.philgeps.gov.ph/GEPSNONPILOT/Tender/SplashBidNoticeAbstractUI.aspx?menuIndex=3&amp;refID=7062955&amp;Result=3","7062955")</f>
        <v>0</v>
      </c>
      <c r="B11252" t="s">
        <v>2892</v>
      </c>
      <c r="C11252" t="s">
        <v>14249</v>
      </c>
      <c r="D11252" t="s">
        <v>18101</v>
      </c>
      <c r="E11252" t="s">
        <v>27941</v>
      </c>
      <c r="F11252" t="s">
        <v>31362</v>
      </c>
      <c r="G11252" t="s">
        <v>31369</v>
      </c>
      <c r="H11252" t="s">
        <v>15799</v>
      </c>
      <c r="I11252" t="s">
        <v>3815</v>
      </c>
      <c r="J11252" t="s">
        <v>38388</v>
      </c>
      <c r="K11252" t="s">
        <v>40670</v>
      </c>
      <c r="L11252" t="s">
        <v>2892</v>
      </c>
      <c r="M11252" t="s">
        <v>44107</v>
      </c>
      <c r="N11252" t="s">
        <v>44905</v>
      </c>
      <c r="O11252" t="s">
        <v>44906</v>
      </c>
      <c r="P11252">
        <v>0</v>
      </c>
      <c r="Q11252">
        <v>2</v>
      </c>
      <c r="R11252" t="s">
        <v>44916</v>
      </c>
      <c r="S11252" t="s">
        <v>45313</v>
      </c>
      <c r="T11252" t="s">
        <v>46481</v>
      </c>
      <c r="U11252" t="s">
        <v>55301</v>
      </c>
      <c r="W11252" t="s">
        <v>44107</v>
      </c>
      <c r="X11252" t="s">
        <v>44917</v>
      </c>
    </row>
    <row r="11253" spans="1:24">
      <c r="A11253">
        <f>HYPERLINK("https://www.philgeps.gov.ph/GEPSNONPILOT/Tender/SplashBidNoticeAbstractUI.aspx?menuIndex=3&amp;refID=7062891&amp;Result=3","7062891")</f>
        <v>0</v>
      </c>
      <c r="B11253" t="s">
        <v>2963</v>
      </c>
      <c r="C11253" t="s">
        <v>14250</v>
      </c>
      <c r="D11253" t="s">
        <v>18116</v>
      </c>
      <c r="E11253" t="s">
        <v>27942</v>
      </c>
      <c r="F11253" t="s">
        <v>31362</v>
      </c>
      <c r="G11253" t="s">
        <v>31369</v>
      </c>
      <c r="H11253" t="s">
        <v>31378</v>
      </c>
      <c r="I11253" t="s">
        <v>31386</v>
      </c>
      <c r="J11253" t="s">
        <v>32673</v>
      </c>
      <c r="K11253" t="s">
        <v>40664</v>
      </c>
      <c r="L11253" t="s">
        <v>2963</v>
      </c>
      <c r="M11253" t="s">
        <v>44186</v>
      </c>
      <c r="N11253" t="s">
        <v>44905</v>
      </c>
      <c r="O11253" t="s">
        <v>44906</v>
      </c>
      <c r="P11253">
        <v>0</v>
      </c>
      <c r="Q11253">
        <v>0</v>
      </c>
      <c r="R11253" t="s">
        <v>44916</v>
      </c>
      <c r="S11253" t="s">
        <v>45313</v>
      </c>
      <c r="T11253" t="s">
        <v>46542</v>
      </c>
      <c r="U11253" t="s">
        <v>55908</v>
      </c>
      <c r="W11253" t="s">
        <v>44186</v>
      </c>
      <c r="X11253" t="s">
        <v>44917</v>
      </c>
    </row>
    <row r="11254" spans="1:24">
      <c r="A11254">
        <f>HYPERLINK("https://www.philgeps.gov.ph/GEPSNONPILOT/Tender/SplashBidNoticeAbstractUI.aspx?menuIndex=3&amp;refID=7062937&amp;Result=3","7062937")</f>
        <v>0</v>
      </c>
      <c r="B11254" t="s">
        <v>3065</v>
      </c>
      <c r="C11254" t="s">
        <v>14251</v>
      </c>
      <c r="D11254" t="s">
        <v>18103</v>
      </c>
      <c r="E11254" t="s">
        <v>27943</v>
      </c>
      <c r="F11254" t="s">
        <v>31362</v>
      </c>
      <c r="G11254" t="s">
        <v>31368</v>
      </c>
      <c r="H11254" t="s">
        <v>15799</v>
      </c>
      <c r="I11254" t="s">
        <v>6155</v>
      </c>
      <c r="J11254" t="s">
        <v>31806</v>
      </c>
      <c r="K11254" t="s">
        <v>40665</v>
      </c>
      <c r="M11254" t="s">
        <v>44301</v>
      </c>
      <c r="N11254" t="s">
        <v>44905</v>
      </c>
      <c r="O11254" t="s">
        <v>44906</v>
      </c>
      <c r="P11254">
        <v>0</v>
      </c>
      <c r="Q11254">
        <v>9</v>
      </c>
      <c r="R11254" t="s">
        <v>44916</v>
      </c>
      <c r="S11254" t="s">
        <v>45313</v>
      </c>
      <c r="T11254" t="s">
        <v>46411</v>
      </c>
      <c r="U11254" t="s">
        <v>55935</v>
      </c>
      <c r="W11254" t="s">
        <v>44301</v>
      </c>
      <c r="X11254" t="s">
        <v>44917</v>
      </c>
    </row>
    <row r="11255" spans="1:24">
      <c r="A11255">
        <f>HYPERLINK("https://www.philgeps.gov.ph/GEPSNONPILOT/Tender/SplashBidNoticeAbstractUI.aspx?menuIndex=3&amp;refID=7062607&amp;Result=3","7062607")</f>
        <v>0</v>
      </c>
      <c r="B11255" t="s">
        <v>211</v>
      </c>
      <c r="C11255" t="s">
        <v>14252</v>
      </c>
      <c r="D11255" t="s">
        <v>18161</v>
      </c>
      <c r="E11255" t="s">
        <v>27944</v>
      </c>
      <c r="F11255" t="s">
        <v>31362</v>
      </c>
      <c r="G11255" t="s">
        <v>31369</v>
      </c>
      <c r="H11255" t="s">
        <v>31378</v>
      </c>
      <c r="I11255" t="s">
        <v>31386</v>
      </c>
      <c r="J11255" t="s">
        <v>38389</v>
      </c>
      <c r="K11255" t="s">
        <v>40705</v>
      </c>
      <c r="M11255" t="s">
        <v>41150</v>
      </c>
      <c r="N11255" t="s">
        <v>44905</v>
      </c>
      <c r="O11255" t="s">
        <v>44906</v>
      </c>
      <c r="P11255">
        <v>0</v>
      </c>
      <c r="Q11255">
        <v>6</v>
      </c>
      <c r="R11255" t="s">
        <v>44916</v>
      </c>
      <c r="S11255" t="s">
        <v>45313</v>
      </c>
      <c r="T11255" t="s">
        <v>46481</v>
      </c>
      <c r="U11255" t="s">
        <v>55936</v>
      </c>
      <c r="W11255" t="s">
        <v>41150</v>
      </c>
      <c r="X11255" t="s">
        <v>44917</v>
      </c>
    </row>
    <row r="11256" spans="1:24">
      <c r="A11256">
        <f>HYPERLINK("https://www.philgeps.gov.ph/GEPSNONPILOT/Tender/SplashBidNoticeAbstractUI.aspx?menuIndex=3&amp;refID=7062861&amp;Result=3","7062861")</f>
        <v>0</v>
      </c>
      <c r="B11256" t="s">
        <v>367</v>
      </c>
      <c r="C11256" t="s">
        <v>14253</v>
      </c>
      <c r="D11256" t="s">
        <v>18134</v>
      </c>
      <c r="E11256" t="s">
        <v>27945</v>
      </c>
      <c r="F11256" t="s">
        <v>31362</v>
      </c>
      <c r="G11256" t="s">
        <v>31369</v>
      </c>
      <c r="H11256" t="s">
        <v>31378</v>
      </c>
      <c r="I11256" t="s">
        <v>31386</v>
      </c>
      <c r="J11256" t="s">
        <v>38390</v>
      </c>
      <c r="K11256" t="s">
        <v>40665</v>
      </c>
      <c r="M11256" t="s">
        <v>41398</v>
      </c>
      <c r="N11256" t="s">
        <v>44905</v>
      </c>
      <c r="O11256" t="s">
        <v>44906</v>
      </c>
      <c r="P11256">
        <v>0</v>
      </c>
      <c r="Q11256">
        <v>0</v>
      </c>
      <c r="R11256" t="s">
        <v>44916</v>
      </c>
      <c r="S11256" t="s">
        <v>45313</v>
      </c>
      <c r="T11256" t="s">
        <v>46504</v>
      </c>
      <c r="U11256" t="s">
        <v>55937</v>
      </c>
      <c r="V11256" t="s">
        <v>60238</v>
      </c>
      <c r="W11256" t="s">
        <v>41398</v>
      </c>
      <c r="X11256" t="s">
        <v>44917</v>
      </c>
    </row>
    <row r="11257" spans="1:24">
      <c r="A11257">
        <f>HYPERLINK("https://www.philgeps.gov.ph/GEPSNONPILOT/Tender/SplashBidNoticeAbstractUI.aspx?menuIndex=3&amp;refID=7063053&amp;Result=3","7063053")</f>
        <v>0</v>
      </c>
      <c r="B11257" t="s">
        <v>514</v>
      </c>
      <c r="C11257" t="s">
        <v>14254</v>
      </c>
      <c r="E11257" t="s">
        <v>27946</v>
      </c>
      <c r="F11257" t="s">
        <v>31362</v>
      </c>
      <c r="G11257" t="s">
        <v>31369</v>
      </c>
      <c r="H11257" t="s">
        <v>15799</v>
      </c>
      <c r="I11257" t="s">
        <v>31387</v>
      </c>
      <c r="J11257" t="s">
        <v>38391</v>
      </c>
      <c r="K11257" t="s">
        <v>40662</v>
      </c>
      <c r="M11257" t="s">
        <v>41469</v>
      </c>
      <c r="N11257" t="s">
        <v>44905</v>
      </c>
      <c r="O11257" t="s">
        <v>44906</v>
      </c>
      <c r="P11257">
        <v>0</v>
      </c>
      <c r="Q11257">
        <v>2</v>
      </c>
      <c r="R11257" t="s">
        <v>44916</v>
      </c>
      <c r="S11257" t="s">
        <v>45313</v>
      </c>
      <c r="T11257" t="s">
        <v>46481</v>
      </c>
      <c r="U11257" t="s">
        <v>55938</v>
      </c>
      <c r="W11257" t="s">
        <v>60856</v>
      </c>
      <c r="X11257" t="s">
        <v>44917</v>
      </c>
    </row>
    <row r="11258" spans="1:24">
      <c r="A11258">
        <f>HYPERLINK("https://www.philgeps.gov.ph/GEPSNONPILOT/Tender/SplashBidNoticeAbstractUI.aspx?menuIndex=3&amp;refID=7063052&amp;Result=3","7063052")</f>
        <v>0</v>
      </c>
      <c r="B11258" t="s">
        <v>2006</v>
      </c>
      <c r="C11258" t="s">
        <v>14255</v>
      </c>
      <c r="D11258" t="s">
        <v>18134</v>
      </c>
      <c r="E11258" t="s">
        <v>27947</v>
      </c>
      <c r="F11258" t="s">
        <v>31362</v>
      </c>
      <c r="G11258" t="s">
        <v>31369</v>
      </c>
      <c r="H11258" t="s">
        <v>31378</v>
      </c>
      <c r="I11258" t="s">
        <v>31386</v>
      </c>
      <c r="J11258" t="s">
        <v>31615</v>
      </c>
      <c r="K11258" t="s">
        <v>40676</v>
      </c>
      <c r="M11258" t="s">
        <v>43120</v>
      </c>
      <c r="N11258" t="s">
        <v>44905</v>
      </c>
      <c r="O11258" t="s">
        <v>44906</v>
      </c>
      <c r="P11258">
        <v>0</v>
      </c>
      <c r="Q11258">
        <v>4</v>
      </c>
      <c r="R11258" t="s">
        <v>44916</v>
      </c>
      <c r="S11258" t="s">
        <v>45313</v>
      </c>
      <c r="T11258" t="s">
        <v>46392</v>
      </c>
      <c r="U11258" t="s">
        <v>55939</v>
      </c>
      <c r="W11258" t="s">
        <v>43120</v>
      </c>
      <c r="X11258" t="s">
        <v>44917</v>
      </c>
    </row>
    <row r="11259" spans="1:24">
      <c r="A11259">
        <f>HYPERLINK("https://www.philgeps.gov.ph/GEPSNONPILOT/Tender/SplashBidNoticeAbstractUI.aspx?menuIndex=3&amp;refID=7063045&amp;Result=3","7063045")</f>
        <v>0</v>
      </c>
      <c r="B11259" t="s">
        <v>1183</v>
      </c>
      <c r="C11259" t="s">
        <v>14256</v>
      </c>
      <c r="D11259" t="s">
        <v>18118</v>
      </c>
      <c r="E11259" t="s">
        <v>24311</v>
      </c>
      <c r="F11259" t="s">
        <v>31362</v>
      </c>
      <c r="G11259" t="s">
        <v>31369</v>
      </c>
      <c r="H11259" t="s">
        <v>31378</v>
      </c>
      <c r="I11259" t="s">
        <v>31386</v>
      </c>
      <c r="J11259" t="s">
        <v>31542</v>
      </c>
      <c r="K11259" t="s">
        <v>40694</v>
      </c>
      <c r="M11259" t="s">
        <v>42195</v>
      </c>
      <c r="N11259" t="s">
        <v>44905</v>
      </c>
      <c r="O11259" t="s">
        <v>44906</v>
      </c>
      <c r="P11259">
        <v>0</v>
      </c>
      <c r="Q11259">
        <v>1</v>
      </c>
      <c r="R11259" t="s">
        <v>44916</v>
      </c>
      <c r="S11259" t="s">
        <v>45313</v>
      </c>
      <c r="T11259" t="s">
        <v>46832</v>
      </c>
      <c r="U11259" t="s">
        <v>55940</v>
      </c>
      <c r="V11259" t="s">
        <v>59388</v>
      </c>
      <c r="W11259" t="s">
        <v>42195</v>
      </c>
      <c r="X11259" t="s">
        <v>44917</v>
      </c>
    </row>
    <row r="11260" spans="1:24">
      <c r="A11260">
        <f>HYPERLINK("https://www.philgeps.gov.ph/GEPSNONPILOT/Tender/SplashBidNoticeAbstractUI.aspx?menuIndex=3&amp;refID=7063044&amp;Result=3","7063044")</f>
        <v>0</v>
      </c>
      <c r="B11260" t="s">
        <v>2678</v>
      </c>
      <c r="C11260" t="s">
        <v>14257</v>
      </c>
      <c r="E11260" t="s">
        <v>27948</v>
      </c>
      <c r="F11260" t="s">
        <v>31362</v>
      </c>
      <c r="G11260" t="s">
        <v>31369</v>
      </c>
      <c r="H11260" t="s">
        <v>15799</v>
      </c>
      <c r="I11260" t="s">
        <v>3815</v>
      </c>
      <c r="J11260" t="s">
        <v>38392</v>
      </c>
      <c r="K11260" t="s">
        <v>40662</v>
      </c>
      <c r="M11260" t="s">
        <v>43864</v>
      </c>
      <c r="N11260" t="s">
        <v>44905</v>
      </c>
      <c r="O11260" t="s">
        <v>44906</v>
      </c>
      <c r="P11260">
        <v>0</v>
      </c>
      <c r="Q11260">
        <v>5</v>
      </c>
      <c r="R11260" t="s">
        <v>44916</v>
      </c>
      <c r="S11260" t="s">
        <v>45313</v>
      </c>
      <c r="T11260" t="s">
        <v>46504</v>
      </c>
      <c r="U11260" t="s">
        <v>55941</v>
      </c>
      <c r="W11260" t="s">
        <v>43864</v>
      </c>
      <c r="X11260" t="s">
        <v>44917</v>
      </c>
    </row>
    <row r="11261" spans="1:24">
      <c r="A11261">
        <f>HYPERLINK("https://www.philgeps.gov.ph/GEPSNONPILOT/Tender/SplashBidNoticeAbstractUI.aspx?menuIndex=3&amp;refID=7063039&amp;Result=3","7063039")</f>
        <v>0</v>
      </c>
      <c r="B11261" t="s">
        <v>367</v>
      </c>
      <c r="C11261" t="s">
        <v>14258</v>
      </c>
      <c r="D11261" t="s">
        <v>18134</v>
      </c>
      <c r="E11261" t="s">
        <v>27949</v>
      </c>
      <c r="F11261" t="s">
        <v>31362</v>
      </c>
      <c r="G11261" t="s">
        <v>31369</v>
      </c>
      <c r="H11261" t="s">
        <v>31378</v>
      </c>
      <c r="I11261" t="s">
        <v>31386</v>
      </c>
      <c r="J11261" t="s">
        <v>38393</v>
      </c>
      <c r="K11261" t="s">
        <v>40694</v>
      </c>
      <c r="M11261" t="s">
        <v>41398</v>
      </c>
      <c r="N11261" t="s">
        <v>44905</v>
      </c>
      <c r="O11261" t="s">
        <v>44906</v>
      </c>
      <c r="P11261">
        <v>0</v>
      </c>
      <c r="Q11261">
        <v>0</v>
      </c>
      <c r="R11261" t="s">
        <v>44916</v>
      </c>
      <c r="S11261" t="s">
        <v>45313</v>
      </c>
      <c r="T11261" t="s">
        <v>46504</v>
      </c>
      <c r="U11261" t="s">
        <v>55942</v>
      </c>
      <c r="V11261" t="s">
        <v>60238</v>
      </c>
      <c r="W11261" t="s">
        <v>41398</v>
      </c>
      <c r="X11261" t="s">
        <v>44917</v>
      </c>
    </row>
    <row r="11262" spans="1:24">
      <c r="A11262">
        <f>HYPERLINK("https://www.philgeps.gov.ph/GEPSNONPILOT/Tender/SplashBidNoticeAbstractUI.aspx?menuIndex=3&amp;refID=7062954&amp;Result=3","7062954")</f>
        <v>0</v>
      </c>
      <c r="B11262" t="s">
        <v>367</v>
      </c>
      <c r="C11262" t="s">
        <v>14259</v>
      </c>
      <c r="D11262" t="s">
        <v>18134</v>
      </c>
      <c r="E11262" t="s">
        <v>27950</v>
      </c>
      <c r="F11262" t="s">
        <v>31362</v>
      </c>
      <c r="G11262" t="s">
        <v>31369</v>
      </c>
      <c r="H11262" t="s">
        <v>31378</v>
      </c>
      <c r="I11262" t="s">
        <v>31386</v>
      </c>
      <c r="J11262" t="s">
        <v>38394</v>
      </c>
      <c r="K11262" t="s">
        <v>40679</v>
      </c>
      <c r="M11262" t="s">
        <v>41398</v>
      </c>
      <c r="N11262" t="s">
        <v>44905</v>
      </c>
      <c r="O11262" t="s">
        <v>44906</v>
      </c>
      <c r="P11262">
        <v>0</v>
      </c>
      <c r="Q11262">
        <v>0</v>
      </c>
      <c r="R11262" t="s">
        <v>44916</v>
      </c>
      <c r="S11262" t="s">
        <v>45313</v>
      </c>
      <c r="T11262" t="s">
        <v>46504</v>
      </c>
      <c r="U11262" t="s">
        <v>55937</v>
      </c>
      <c r="V11262" t="s">
        <v>60238</v>
      </c>
      <c r="W11262" t="s">
        <v>41398</v>
      </c>
      <c r="X11262" t="s">
        <v>44917</v>
      </c>
    </row>
    <row r="11263" spans="1:24">
      <c r="A11263">
        <f>HYPERLINK("https://www.philgeps.gov.ph/GEPSNONPILOT/Tender/SplashBidNoticeAbstractUI.aspx?menuIndex=3&amp;refID=7063034&amp;Result=3","7063034")</f>
        <v>0</v>
      </c>
      <c r="B11263" t="s">
        <v>394</v>
      </c>
      <c r="C11263" t="s">
        <v>14260</v>
      </c>
      <c r="D11263" t="s">
        <v>18107</v>
      </c>
      <c r="E11263" t="s">
        <v>27951</v>
      </c>
      <c r="F11263" t="s">
        <v>31362</v>
      </c>
      <c r="G11263" t="s">
        <v>31369</v>
      </c>
      <c r="H11263" t="s">
        <v>15799</v>
      </c>
      <c r="I11263" t="s">
        <v>31415</v>
      </c>
      <c r="J11263" t="s">
        <v>38395</v>
      </c>
      <c r="K11263" t="s">
        <v>40666</v>
      </c>
      <c r="M11263" t="s">
        <v>41342</v>
      </c>
      <c r="N11263" t="s">
        <v>44905</v>
      </c>
      <c r="O11263" t="s">
        <v>44906</v>
      </c>
      <c r="P11263">
        <v>0</v>
      </c>
      <c r="Q11263">
        <v>2</v>
      </c>
      <c r="R11263" t="s">
        <v>44916</v>
      </c>
      <c r="S11263" t="s">
        <v>45313</v>
      </c>
      <c r="T11263" t="s">
        <v>46530</v>
      </c>
      <c r="U11263" t="s">
        <v>55943</v>
      </c>
      <c r="W11263" t="s">
        <v>41342</v>
      </c>
      <c r="X11263" t="s">
        <v>44917</v>
      </c>
    </row>
    <row r="11264" spans="1:24">
      <c r="A11264">
        <f>HYPERLINK("https://www.philgeps.gov.ph/GEPSNONPILOT/Tender/SplashBidNoticeAbstractUI.aspx?menuIndex=3&amp;refID=7063024&amp;Result=3","7063024")</f>
        <v>0</v>
      </c>
      <c r="B11264" t="s">
        <v>1895</v>
      </c>
      <c r="C11264" t="s">
        <v>14261</v>
      </c>
      <c r="D11264" t="s">
        <v>18151</v>
      </c>
      <c r="E11264" t="s">
        <v>27952</v>
      </c>
      <c r="F11264" t="s">
        <v>31362</v>
      </c>
      <c r="G11264" t="s">
        <v>31369</v>
      </c>
      <c r="H11264" t="s">
        <v>15799</v>
      </c>
      <c r="I11264" t="s">
        <v>31404</v>
      </c>
      <c r="J11264" t="s">
        <v>38396</v>
      </c>
      <c r="K11264" t="s">
        <v>40679</v>
      </c>
      <c r="M11264" t="s">
        <v>42990</v>
      </c>
      <c r="N11264" t="s">
        <v>44905</v>
      </c>
      <c r="O11264" t="s">
        <v>44906</v>
      </c>
      <c r="P11264">
        <v>0</v>
      </c>
      <c r="Q11264">
        <v>0</v>
      </c>
      <c r="R11264" t="s">
        <v>44916</v>
      </c>
      <c r="S11264" t="s">
        <v>45313</v>
      </c>
      <c r="T11264" t="s">
        <v>46392</v>
      </c>
      <c r="U11264" t="s">
        <v>55944</v>
      </c>
      <c r="W11264" t="s">
        <v>42990</v>
      </c>
      <c r="X11264" t="s">
        <v>44917</v>
      </c>
    </row>
    <row r="11265" spans="1:24">
      <c r="A11265">
        <f>HYPERLINK("https://www.philgeps.gov.ph/GEPSNONPILOT/Tender/SplashBidNoticeAbstractUI.aspx?menuIndex=3&amp;refID=7062878&amp;Result=3","7062878")</f>
        <v>0</v>
      </c>
      <c r="B11265" t="s">
        <v>2963</v>
      </c>
      <c r="C11265" t="s">
        <v>14262</v>
      </c>
      <c r="D11265" t="s">
        <v>18116</v>
      </c>
      <c r="E11265" t="s">
        <v>27953</v>
      </c>
      <c r="F11265" t="s">
        <v>31362</v>
      </c>
      <c r="G11265" t="s">
        <v>31369</v>
      </c>
      <c r="H11265" t="s">
        <v>31378</v>
      </c>
      <c r="I11265" t="s">
        <v>31386</v>
      </c>
      <c r="J11265" t="s">
        <v>38397</v>
      </c>
      <c r="K11265" t="s">
        <v>40679</v>
      </c>
      <c r="L11265" t="s">
        <v>2963</v>
      </c>
      <c r="M11265" t="s">
        <v>44186</v>
      </c>
      <c r="N11265" t="s">
        <v>44905</v>
      </c>
      <c r="O11265" t="s">
        <v>44906</v>
      </c>
      <c r="P11265">
        <v>0</v>
      </c>
      <c r="Q11265">
        <v>0</v>
      </c>
      <c r="R11265" t="s">
        <v>44916</v>
      </c>
      <c r="S11265" t="s">
        <v>45313</v>
      </c>
      <c r="T11265" t="s">
        <v>46542</v>
      </c>
      <c r="U11265" t="s">
        <v>55908</v>
      </c>
      <c r="W11265" t="s">
        <v>44186</v>
      </c>
      <c r="X11265" t="s">
        <v>44917</v>
      </c>
    </row>
    <row r="11266" spans="1:24">
      <c r="A11266">
        <f>HYPERLINK("https://www.philgeps.gov.ph/GEPSNONPILOT/Tender/SplashBidNoticeAbstractUI.aspx?menuIndex=3&amp;refID=7063120&amp;Result=3","7063120")</f>
        <v>0</v>
      </c>
      <c r="B11266" t="s">
        <v>377</v>
      </c>
      <c r="C11266" t="s">
        <v>14263</v>
      </c>
      <c r="D11266" t="s">
        <v>18108</v>
      </c>
      <c r="E11266" t="s">
        <v>27954</v>
      </c>
      <c r="F11266" t="s">
        <v>31362</v>
      </c>
      <c r="G11266" t="s">
        <v>31369</v>
      </c>
      <c r="H11266" t="s">
        <v>15799</v>
      </c>
      <c r="I11266" t="s">
        <v>3815</v>
      </c>
      <c r="J11266" t="s">
        <v>38398</v>
      </c>
      <c r="K11266" t="s">
        <v>40679</v>
      </c>
      <c r="M11266" t="s">
        <v>43710</v>
      </c>
      <c r="N11266" t="s">
        <v>44905</v>
      </c>
      <c r="O11266" t="s">
        <v>44906</v>
      </c>
      <c r="Q11266">
        <v>7</v>
      </c>
      <c r="R11266" t="s">
        <v>44916</v>
      </c>
      <c r="S11266" t="s">
        <v>45348</v>
      </c>
      <c r="T11266" t="s">
        <v>46585</v>
      </c>
      <c r="U11266" t="s">
        <v>55945</v>
      </c>
      <c r="W11266" t="s">
        <v>43710</v>
      </c>
      <c r="X11266" t="s">
        <v>44917</v>
      </c>
    </row>
    <row r="11267" spans="1:24">
      <c r="A11267">
        <f>HYPERLINK("https://www.philgeps.gov.ph/GEPSNONPILOT/Tender/SplashBidNoticeAbstractUI.aspx?menuIndex=3&amp;refID=7063090&amp;Result=3","7063090")</f>
        <v>0</v>
      </c>
      <c r="B11267" t="s">
        <v>367</v>
      </c>
      <c r="C11267" t="s">
        <v>14264</v>
      </c>
      <c r="D11267" t="s">
        <v>18134</v>
      </c>
      <c r="E11267" t="s">
        <v>27955</v>
      </c>
      <c r="F11267" t="s">
        <v>31362</v>
      </c>
      <c r="G11267" t="s">
        <v>31369</v>
      </c>
      <c r="H11267" t="s">
        <v>31378</v>
      </c>
      <c r="I11267" t="s">
        <v>31386</v>
      </c>
      <c r="J11267" t="s">
        <v>38399</v>
      </c>
      <c r="K11267" t="s">
        <v>40694</v>
      </c>
      <c r="M11267" t="s">
        <v>41398</v>
      </c>
      <c r="N11267" t="s">
        <v>44905</v>
      </c>
      <c r="O11267" t="s">
        <v>44906</v>
      </c>
      <c r="P11267">
        <v>0</v>
      </c>
      <c r="Q11267">
        <v>0</v>
      </c>
      <c r="R11267" t="s">
        <v>44916</v>
      </c>
      <c r="S11267" t="s">
        <v>45313</v>
      </c>
      <c r="T11267" t="s">
        <v>46504</v>
      </c>
      <c r="U11267" t="s">
        <v>55942</v>
      </c>
      <c r="V11267" t="s">
        <v>60238</v>
      </c>
      <c r="W11267" t="s">
        <v>41398</v>
      </c>
      <c r="X11267" t="s">
        <v>44917</v>
      </c>
    </row>
    <row r="11268" spans="1:24">
      <c r="A11268">
        <f>HYPERLINK("https://www.philgeps.gov.ph/GEPSNONPILOT/Tender/SplashBidNoticeAbstractUI.aspx?menuIndex=3&amp;refID=7063073&amp;Result=3","7063073")</f>
        <v>0</v>
      </c>
      <c r="B11268" t="s">
        <v>367</v>
      </c>
      <c r="C11268" t="s">
        <v>14265</v>
      </c>
      <c r="D11268" t="s">
        <v>18134</v>
      </c>
      <c r="E11268" t="s">
        <v>27956</v>
      </c>
      <c r="F11268" t="s">
        <v>31362</v>
      </c>
      <c r="G11268" t="s">
        <v>31369</v>
      </c>
      <c r="H11268" t="s">
        <v>31378</v>
      </c>
      <c r="I11268" t="s">
        <v>31386</v>
      </c>
      <c r="J11268" t="s">
        <v>38400</v>
      </c>
      <c r="K11268" t="s">
        <v>40722</v>
      </c>
      <c r="M11268" t="s">
        <v>41398</v>
      </c>
      <c r="N11268" t="s">
        <v>44905</v>
      </c>
      <c r="O11268" t="s">
        <v>44906</v>
      </c>
      <c r="P11268">
        <v>0</v>
      </c>
      <c r="Q11268">
        <v>0</v>
      </c>
      <c r="R11268" t="s">
        <v>44916</v>
      </c>
      <c r="S11268" t="s">
        <v>45313</v>
      </c>
      <c r="T11268" t="s">
        <v>46504</v>
      </c>
      <c r="U11268" t="s">
        <v>55942</v>
      </c>
      <c r="V11268" t="s">
        <v>60238</v>
      </c>
      <c r="W11268" t="s">
        <v>41398</v>
      </c>
      <c r="X11268" t="s">
        <v>44917</v>
      </c>
    </row>
    <row r="11269" spans="1:24">
      <c r="A11269">
        <f>HYPERLINK("https://www.philgeps.gov.ph/GEPSNONPILOT/Tender/SplashBidNoticeAbstractUI.aspx?menuIndex=3&amp;refID=7063065&amp;Result=3","7063065")</f>
        <v>0</v>
      </c>
      <c r="B11269" t="s">
        <v>2678</v>
      </c>
      <c r="C11269" t="s">
        <v>14266</v>
      </c>
      <c r="E11269" t="s">
        <v>27957</v>
      </c>
      <c r="F11269" t="s">
        <v>31362</v>
      </c>
      <c r="G11269" t="s">
        <v>31369</v>
      </c>
      <c r="H11269" t="s">
        <v>15799</v>
      </c>
      <c r="I11269" t="s">
        <v>31404</v>
      </c>
      <c r="J11269" t="s">
        <v>38401</v>
      </c>
      <c r="K11269" t="s">
        <v>40662</v>
      </c>
      <c r="M11269" t="s">
        <v>43864</v>
      </c>
      <c r="N11269" t="s">
        <v>44905</v>
      </c>
      <c r="O11269" t="s">
        <v>44906</v>
      </c>
      <c r="Q11269">
        <v>6</v>
      </c>
      <c r="R11269" t="s">
        <v>44916</v>
      </c>
      <c r="S11269" t="s">
        <v>45349</v>
      </c>
      <c r="T11269" t="s">
        <v>46504</v>
      </c>
      <c r="U11269" t="s">
        <v>55941</v>
      </c>
      <c r="W11269" t="s">
        <v>43864</v>
      </c>
      <c r="X11269" t="s">
        <v>44917</v>
      </c>
    </row>
    <row r="11270" spans="1:24">
      <c r="A11270">
        <f>HYPERLINK("https://www.philgeps.gov.ph/GEPSNONPILOT/Tender/SplashBidNoticeAbstractUI.aspx?menuIndex=3&amp;refID=7063060&amp;Result=3","7063060")</f>
        <v>0</v>
      </c>
      <c r="B11270" t="s">
        <v>3066</v>
      </c>
      <c r="C11270" t="s">
        <v>14267</v>
      </c>
      <c r="D11270" t="s">
        <v>18133</v>
      </c>
      <c r="E11270" t="s">
        <v>27958</v>
      </c>
      <c r="F11270" t="s">
        <v>31362</v>
      </c>
      <c r="G11270" t="s">
        <v>31369</v>
      </c>
      <c r="H11270" t="s">
        <v>15799</v>
      </c>
      <c r="I11270" t="s">
        <v>31385</v>
      </c>
      <c r="J11270" t="s">
        <v>38402</v>
      </c>
      <c r="K11270" t="s">
        <v>40666</v>
      </c>
      <c r="M11270" t="s">
        <v>44302</v>
      </c>
      <c r="N11270" t="s">
        <v>44905</v>
      </c>
      <c r="O11270" t="s">
        <v>44906</v>
      </c>
      <c r="P11270">
        <v>0</v>
      </c>
      <c r="Q11270">
        <v>3</v>
      </c>
      <c r="R11270" t="s">
        <v>44916</v>
      </c>
      <c r="S11270" t="s">
        <v>45313</v>
      </c>
      <c r="T11270" t="s">
        <v>46462</v>
      </c>
      <c r="U11270" t="s">
        <v>55946</v>
      </c>
      <c r="W11270" t="s">
        <v>44302</v>
      </c>
      <c r="X11270" t="s">
        <v>44917</v>
      </c>
    </row>
    <row r="11271" spans="1:24">
      <c r="A11271">
        <f>HYPERLINK("https://www.philgeps.gov.ph/GEPSNONPILOT/Tender/SplashBidNoticeAbstractUI.aspx?menuIndex=3&amp;refID=7063023&amp;Result=3","7063023")</f>
        <v>0</v>
      </c>
      <c r="B11271" t="s">
        <v>3066</v>
      </c>
      <c r="C11271" t="s">
        <v>14268</v>
      </c>
      <c r="D11271" t="s">
        <v>18133</v>
      </c>
      <c r="E11271" t="s">
        <v>27959</v>
      </c>
      <c r="F11271" t="s">
        <v>31362</v>
      </c>
      <c r="G11271" t="s">
        <v>31369</v>
      </c>
      <c r="H11271" t="s">
        <v>15799</v>
      </c>
      <c r="I11271" t="s">
        <v>31393</v>
      </c>
      <c r="J11271" t="s">
        <v>31606</v>
      </c>
      <c r="K11271" t="s">
        <v>40666</v>
      </c>
      <c r="M11271" t="s">
        <v>44302</v>
      </c>
      <c r="N11271" t="s">
        <v>44905</v>
      </c>
      <c r="O11271" t="s">
        <v>44906</v>
      </c>
      <c r="P11271">
        <v>0</v>
      </c>
      <c r="Q11271">
        <v>8</v>
      </c>
      <c r="R11271" t="s">
        <v>44916</v>
      </c>
      <c r="S11271" t="s">
        <v>45313</v>
      </c>
      <c r="T11271" t="s">
        <v>46462</v>
      </c>
      <c r="U11271" t="s">
        <v>55947</v>
      </c>
      <c r="W11271" t="s">
        <v>44302</v>
      </c>
      <c r="X11271" t="s">
        <v>44917</v>
      </c>
    </row>
    <row r="11272" spans="1:24">
      <c r="A11272">
        <f>HYPERLINK("https://www.philgeps.gov.ph/GEPSNONPILOT/Tender/SplashBidNoticeAbstractUI.aspx?menuIndex=3&amp;refID=7063021&amp;Result=3","7063021")</f>
        <v>0</v>
      </c>
      <c r="B11272" t="s">
        <v>2739</v>
      </c>
      <c r="C11272" t="s">
        <v>14269</v>
      </c>
      <c r="D11272" t="s">
        <v>18104</v>
      </c>
      <c r="E11272" t="s">
        <v>27960</v>
      </c>
      <c r="F11272" t="s">
        <v>31362</v>
      </c>
      <c r="G11272" t="s">
        <v>31368</v>
      </c>
      <c r="H11272" t="s">
        <v>15799</v>
      </c>
      <c r="I11272" t="s">
        <v>31427</v>
      </c>
      <c r="J11272" t="s">
        <v>32006</v>
      </c>
      <c r="K11272" t="s">
        <v>40679</v>
      </c>
      <c r="M11272" t="s">
        <v>43927</v>
      </c>
      <c r="N11272" t="s">
        <v>44905</v>
      </c>
      <c r="O11272" t="s">
        <v>44906</v>
      </c>
      <c r="P11272">
        <v>0</v>
      </c>
      <c r="Q11272">
        <v>8</v>
      </c>
      <c r="R11272" t="s">
        <v>44916</v>
      </c>
      <c r="S11272" t="s">
        <v>45313</v>
      </c>
      <c r="T11272" t="s">
        <v>46410</v>
      </c>
      <c r="U11272" t="s">
        <v>55948</v>
      </c>
      <c r="W11272" t="s">
        <v>43927</v>
      </c>
      <c r="X11272" t="s">
        <v>44917</v>
      </c>
    </row>
    <row r="11273" spans="1:24">
      <c r="A11273">
        <f>HYPERLINK("https://www.philgeps.gov.ph/GEPSNONPILOT/Tender/SplashBidNoticeAbstractUI.aspx?menuIndex=3&amp;refID=7063020&amp;Result=3","7063020")</f>
        <v>0</v>
      </c>
      <c r="B11273" t="s">
        <v>2963</v>
      </c>
      <c r="C11273" t="s">
        <v>14270</v>
      </c>
      <c r="E11273" t="s">
        <v>27961</v>
      </c>
      <c r="F11273" t="s">
        <v>31362</v>
      </c>
      <c r="G11273" t="s">
        <v>31369</v>
      </c>
      <c r="H11273" t="s">
        <v>31378</v>
      </c>
      <c r="I11273" t="s">
        <v>31386</v>
      </c>
      <c r="J11273" t="s">
        <v>31726</v>
      </c>
      <c r="K11273" t="s">
        <v>40679</v>
      </c>
      <c r="L11273" t="s">
        <v>2963</v>
      </c>
      <c r="M11273" t="s">
        <v>44186</v>
      </c>
      <c r="N11273" t="s">
        <v>44905</v>
      </c>
      <c r="O11273" t="s">
        <v>44906</v>
      </c>
      <c r="P11273">
        <v>0</v>
      </c>
      <c r="Q11273">
        <v>0</v>
      </c>
      <c r="R11273" t="s">
        <v>44916</v>
      </c>
      <c r="S11273" t="s">
        <v>45313</v>
      </c>
      <c r="T11273" t="s">
        <v>46542</v>
      </c>
      <c r="U11273" t="s">
        <v>55908</v>
      </c>
      <c r="W11273" t="s">
        <v>44186</v>
      </c>
      <c r="X11273" t="s">
        <v>44917</v>
      </c>
    </row>
    <row r="11274" spans="1:24">
      <c r="A11274">
        <f>HYPERLINK("https://www.philgeps.gov.ph/GEPSNONPILOT/Tender/SplashBidNoticeAbstractUI.aspx?menuIndex=3&amp;refID=7063012&amp;Result=3","7063012")</f>
        <v>0</v>
      </c>
      <c r="B11274" t="s">
        <v>2963</v>
      </c>
      <c r="C11274" t="s">
        <v>14271</v>
      </c>
      <c r="D11274" t="s">
        <v>18116</v>
      </c>
      <c r="E11274" t="s">
        <v>27962</v>
      </c>
      <c r="F11274" t="s">
        <v>31362</v>
      </c>
      <c r="G11274" t="s">
        <v>31369</v>
      </c>
      <c r="H11274" t="s">
        <v>31378</v>
      </c>
      <c r="I11274" t="s">
        <v>31386</v>
      </c>
      <c r="J11274" t="s">
        <v>31726</v>
      </c>
      <c r="K11274" t="s">
        <v>40694</v>
      </c>
      <c r="L11274" t="s">
        <v>2963</v>
      </c>
      <c r="M11274" t="s">
        <v>44186</v>
      </c>
      <c r="N11274" t="s">
        <v>44905</v>
      </c>
      <c r="O11274" t="s">
        <v>44906</v>
      </c>
      <c r="P11274">
        <v>0</v>
      </c>
      <c r="Q11274">
        <v>0</v>
      </c>
      <c r="R11274" t="s">
        <v>44916</v>
      </c>
      <c r="S11274" t="s">
        <v>45313</v>
      </c>
      <c r="T11274" t="s">
        <v>46542</v>
      </c>
      <c r="U11274" t="s">
        <v>55908</v>
      </c>
      <c r="W11274" t="s">
        <v>44186</v>
      </c>
      <c r="X11274" t="s">
        <v>44917</v>
      </c>
    </row>
    <row r="11275" spans="1:24">
      <c r="A11275">
        <f>HYPERLINK("https://www.philgeps.gov.ph/GEPSNONPILOT/Tender/SplashBidNoticeAbstractUI.aspx?menuIndex=3&amp;refID=7063009&amp;Result=3","7063009")</f>
        <v>0</v>
      </c>
      <c r="B11275" t="s">
        <v>367</v>
      </c>
      <c r="C11275" t="s">
        <v>14272</v>
      </c>
      <c r="D11275" t="s">
        <v>18134</v>
      </c>
      <c r="E11275" t="s">
        <v>27963</v>
      </c>
      <c r="F11275" t="s">
        <v>31362</v>
      </c>
      <c r="G11275" t="s">
        <v>31369</v>
      </c>
      <c r="H11275" t="s">
        <v>31378</v>
      </c>
      <c r="I11275" t="s">
        <v>31386</v>
      </c>
      <c r="J11275" t="s">
        <v>38403</v>
      </c>
      <c r="K11275" t="s">
        <v>40746</v>
      </c>
      <c r="M11275" t="s">
        <v>41398</v>
      </c>
      <c r="N11275" t="s">
        <v>44905</v>
      </c>
      <c r="O11275" t="s">
        <v>44906</v>
      </c>
      <c r="P11275">
        <v>0</v>
      </c>
      <c r="Q11275">
        <v>0</v>
      </c>
      <c r="R11275" t="s">
        <v>44916</v>
      </c>
      <c r="S11275" t="s">
        <v>45313</v>
      </c>
      <c r="T11275" t="s">
        <v>46504</v>
      </c>
      <c r="U11275" t="s">
        <v>55937</v>
      </c>
      <c r="V11275" t="s">
        <v>60238</v>
      </c>
      <c r="W11275" t="s">
        <v>41398</v>
      </c>
      <c r="X11275" t="s">
        <v>44917</v>
      </c>
    </row>
    <row r="11276" spans="1:24">
      <c r="A11276">
        <f>HYPERLINK("https://www.philgeps.gov.ph/GEPSNONPILOT/Tender/SplashBidNoticeAbstractUI.aspx?menuIndex=3&amp;refID=7063088&amp;Result=3","7063088")</f>
        <v>0</v>
      </c>
      <c r="B11276" t="s">
        <v>2892</v>
      </c>
      <c r="C11276" t="s">
        <v>14273</v>
      </c>
      <c r="D11276" t="s">
        <v>18101</v>
      </c>
      <c r="E11276" t="s">
        <v>27964</v>
      </c>
      <c r="F11276" t="s">
        <v>31362</v>
      </c>
      <c r="G11276" t="s">
        <v>31369</v>
      </c>
      <c r="H11276" t="s">
        <v>15799</v>
      </c>
      <c r="I11276" t="s">
        <v>3815</v>
      </c>
      <c r="J11276" t="s">
        <v>38404</v>
      </c>
      <c r="K11276" t="s">
        <v>40670</v>
      </c>
      <c r="L11276" t="s">
        <v>2892</v>
      </c>
      <c r="M11276" t="s">
        <v>44107</v>
      </c>
      <c r="N11276" t="s">
        <v>44905</v>
      </c>
      <c r="O11276" t="s">
        <v>44906</v>
      </c>
      <c r="P11276">
        <v>0</v>
      </c>
      <c r="Q11276">
        <v>1</v>
      </c>
      <c r="R11276" t="s">
        <v>44916</v>
      </c>
      <c r="S11276" t="s">
        <v>45313</v>
      </c>
      <c r="T11276" t="s">
        <v>46481</v>
      </c>
      <c r="U11276" t="s">
        <v>55301</v>
      </c>
      <c r="W11276" t="s">
        <v>44107</v>
      </c>
      <c r="X11276" t="s">
        <v>44917</v>
      </c>
    </row>
    <row r="11277" spans="1:24">
      <c r="A11277">
        <f>HYPERLINK("https://www.philgeps.gov.ph/GEPSNONPILOT/Tender/SplashBidNoticeAbstractUI.aspx?menuIndex=3&amp;refID=7063007&amp;Result=3","7063007")</f>
        <v>0</v>
      </c>
      <c r="B11277" t="s">
        <v>1251</v>
      </c>
      <c r="C11277" t="s">
        <v>14274</v>
      </c>
      <c r="D11277" t="s">
        <v>18101</v>
      </c>
      <c r="E11277" t="s">
        <v>27965</v>
      </c>
      <c r="F11277" t="s">
        <v>31362</v>
      </c>
      <c r="G11277" t="s">
        <v>31369</v>
      </c>
      <c r="H11277" t="s">
        <v>15799</v>
      </c>
      <c r="I11277" t="s">
        <v>31388</v>
      </c>
      <c r="J11277" t="s">
        <v>31591</v>
      </c>
      <c r="K11277" t="s">
        <v>40665</v>
      </c>
      <c r="M11277" t="s">
        <v>42267</v>
      </c>
      <c r="N11277" t="s">
        <v>44905</v>
      </c>
      <c r="O11277" t="s">
        <v>44906</v>
      </c>
      <c r="P11277">
        <v>0</v>
      </c>
      <c r="Q11277">
        <v>4</v>
      </c>
      <c r="R11277" t="s">
        <v>44916</v>
      </c>
      <c r="S11277" t="s">
        <v>45313</v>
      </c>
      <c r="T11277" t="s">
        <v>46481</v>
      </c>
      <c r="U11277" t="s">
        <v>55949</v>
      </c>
      <c r="V11277" t="s">
        <v>60273</v>
      </c>
      <c r="W11277" t="s">
        <v>42267</v>
      </c>
      <c r="X11277" t="s">
        <v>44917</v>
      </c>
    </row>
    <row r="11278" spans="1:24">
      <c r="A11278">
        <f>HYPERLINK("https://www.philgeps.gov.ph/GEPSNONPILOT/Tender/SplashBidNoticeAbstractUI.aspx?menuIndex=3&amp;refID=7062985&amp;Result=3","7062985")</f>
        <v>0</v>
      </c>
      <c r="B11278" t="s">
        <v>2963</v>
      </c>
      <c r="C11278" t="s">
        <v>14275</v>
      </c>
      <c r="D11278" t="s">
        <v>18116</v>
      </c>
      <c r="E11278" t="s">
        <v>27966</v>
      </c>
      <c r="F11278" t="s">
        <v>31362</v>
      </c>
      <c r="G11278" t="s">
        <v>31369</v>
      </c>
      <c r="H11278" t="s">
        <v>15799</v>
      </c>
      <c r="I11278" t="s">
        <v>31386</v>
      </c>
      <c r="J11278" t="s">
        <v>32673</v>
      </c>
      <c r="K11278" t="s">
        <v>40679</v>
      </c>
      <c r="L11278" t="s">
        <v>2963</v>
      </c>
      <c r="M11278" t="s">
        <v>44186</v>
      </c>
      <c r="N11278" t="s">
        <v>44905</v>
      </c>
      <c r="O11278" t="s">
        <v>44906</v>
      </c>
      <c r="P11278">
        <v>0</v>
      </c>
      <c r="Q11278">
        <v>0</v>
      </c>
      <c r="R11278" t="s">
        <v>44916</v>
      </c>
      <c r="S11278" t="s">
        <v>45313</v>
      </c>
      <c r="T11278" t="s">
        <v>46542</v>
      </c>
      <c r="U11278" t="s">
        <v>55908</v>
      </c>
      <c r="W11278" t="s">
        <v>44186</v>
      </c>
      <c r="X11278" t="s">
        <v>44917</v>
      </c>
    </row>
    <row r="11279" spans="1:24">
      <c r="A11279">
        <f>HYPERLINK("https://www.philgeps.gov.ph/GEPSNONPILOT/Tender/SplashBidNoticeAbstractUI.aspx?menuIndex=3&amp;refID=7063011&amp;Result=3","7063011")</f>
        <v>0</v>
      </c>
      <c r="B11279" t="s">
        <v>2892</v>
      </c>
      <c r="C11279" t="s">
        <v>14276</v>
      </c>
      <c r="D11279" t="s">
        <v>18101</v>
      </c>
      <c r="E11279" t="s">
        <v>27967</v>
      </c>
      <c r="F11279" t="s">
        <v>31362</v>
      </c>
      <c r="G11279" t="s">
        <v>31369</v>
      </c>
      <c r="H11279" t="s">
        <v>15799</v>
      </c>
      <c r="I11279" t="s">
        <v>3815</v>
      </c>
      <c r="J11279" t="s">
        <v>38405</v>
      </c>
      <c r="K11279" t="s">
        <v>40670</v>
      </c>
      <c r="L11279" t="s">
        <v>2892</v>
      </c>
      <c r="M11279" t="s">
        <v>44107</v>
      </c>
      <c r="N11279" t="s">
        <v>44905</v>
      </c>
      <c r="O11279" t="s">
        <v>44906</v>
      </c>
      <c r="P11279">
        <v>0</v>
      </c>
      <c r="Q11279">
        <v>1</v>
      </c>
      <c r="R11279" t="s">
        <v>44916</v>
      </c>
      <c r="S11279" t="s">
        <v>45313</v>
      </c>
      <c r="T11279" t="s">
        <v>46481</v>
      </c>
      <c r="U11279" t="s">
        <v>55301</v>
      </c>
      <c r="W11279" t="s">
        <v>44107</v>
      </c>
      <c r="X11279" t="s">
        <v>44917</v>
      </c>
    </row>
    <row r="11280" spans="1:24">
      <c r="A11280">
        <f>HYPERLINK("https://www.philgeps.gov.ph/GEPSNONPILOT/Tender/SplashBidNoticeAbstractUI.aspx?menuIndex=3&amp;refID=7062973&amp;Result=3","7062973")</f>
        <v>0</v>
      </c>
      <c r="B11280" t="s">
        <v>2963</v>
      </c>
      <c r="C11280" t="s">
        <v>14277</v>
      </c>
      <c r="D11280" t="s">
        <v>18116</v>
      </c>
      <c r="E11280" t="s">
        <v>27968</v>
      </c>
      <c r="F11280" t="s">
        <v>31362</v>
      </c>
      <c r="G11280" t="s">
        <v>31369</v>
      </c>
      <c r="H11280" t="s">
        <v>31378</v>
      </c>
      <c r="I11280" t="s">
        <v>31386</v>
      </c>
      <c r="J11280" t="s">
        <v>32673</v>
      </c>
      <c r="K11280" t="s">
        <v>40807</v>
      </c>
      <c r="L11280" t="s">
        <v>2963</v>
      </c>
      <c r="M11280" t="s">
        <v>44186</v>
      </c>
      <c r="N11280" t="s">
        <v>44905</v>
      </c>
      <c r="O11280" t="s">
        <v>44906</v>
      </c>
      <c r="P11280">
        <v>0</v>
      </c>
      <c r="Q11280">
        <v>1</v>
      </c>
      <c r="R11280" t="s">
        <v>44916</v>
      </c>
      <c r="S11280" t="s">
        <v>45313</v>
      </c>
      <c r="T11280" t="s">
        <v>46542</v>
      </c>
      <c r="U11280" t="s">
        <v>55908</v>
      </c>
      <c r="W11280" t="s">
        <v>44186</v>
      </c>
      <c r="X11280" t="s">
        <v>44917</v>
      </c>
    </row>
    <row r="11281" spans="1:24">
      <c r="A11281">
        <f>HYPERLINK("https://www.philgeps.gov.ph/GEPSNONPILOT/Tender/SplashBidNoticeAbstractUI.aspx?menuIndex=3&amp;refID=7063164&amp;Result=3","7063164")</f>
        <v>0</v>
      </c>
      <c r="B11281" t="s">
        <v>1547</v>
      </c>
      <c r="C11281" t="s">
        <v>14278</v>
      </c>
      <c r="D11281" t="s">
        <v>18113</v>
      </c>
      <c r="E11281" t="s">
        <v>27969</v>
      </c>
      <c r="F11281" t="s">
        <v>31362</v>
      </c>
      <c r="G11281" t="s">
        <v>31369</v>
      </c>
      <c r="H11281" t="s">
        <v>31378</v>
      </c>
      <c r="I11281" t="s">
        <v>31386</v>
      </c>
      <c r="J11281" t="s">
        <v>31606</v>
      </c>
      <c r="K11281" t="s">
        <v>40737</v>
      </c>
      <c r="L11281" t="s">
        <v>1547</v>
      </c>
      <c r="M11281" t="s">
        <v>44303</v>
      </c>
      <c r="N11281" t="s">
        <v>44905</v>
      </c>
      <c r="O11281" t="s">
        <v>44906</v>
      </c>
      <c r="P11281">
        <v>0</v>
      </c>
      <c r="Q11281">
        <v>1</v>
      </c>
      <c r="R11281" t="s">
        <v>44916</v>
      </c>
      <c r="S11281" t="s">
        <v>45313</v>
      </c>
      <c r="T11281" t="s">
        <v>46392</v>
      </c>
      <c r="U11281" t="s">
        <v>55950</v>
      </c>
      <c r="W11281" t="s">
        <v>44303</v>
      </c>
      <c r="X11281" t="s">
        <v>44917</v>
      </c>
    </row>
    <row r="11282" spans="1:24">
      <c r="A11282">
        <f>HYPERLINK("https://www.philgeps.gov.ph/GEPSNONPILOT/Tender/SplashBidNoticeAbstractUI.aspx?menuIndex=3&amp;refID=7063121&amp;Result=3","7063121")</f>
        <v>0</v>
      </c>
      <c r="B11282" t="s">
        <v>3067</v>
      </c>
      <c r="C11282" t="s">
        <v>14279</v>
      </c>
      <c r="D11282" t="s">
        <v>18106</v>
      </c>
      <c r="E11282" t="s">
        <v>27970</v>
      </c>
      <c r="F11282" t="s">
        <v>31362</v>
      </c>
      <c r="G11282" t="s">
        <v>31369</v>
      </c>
      <c r="H11282" t="s">
        <v>31378</v>
      </c>
      <c r="I11282" t="s">
        <v>31386</v>
      </c>
      <c r="J11282" t="s">
        <v>38406</v>
      </c>
      <c r="K11282" t="s">
        <v>40686</v>
      </c>
      <c r="L11282" t="s">
        <v>3067</v>
      </c>
      <c r="M11282" t="s">
        <v>44304</v>
      </c>
      <c r="N11282" t="s">
        <v>44905</v>
      </c>
      <c r="O11282" t="s">
        <v>44906</v>
      </c>
      <c r="P11282">
        <v>0</v>
      </c>
      <c r="Q11282">
        <v>1</v>
      </c>
      <c r="R11282" t="s">
        <v>44916</v>
      </c>
      <c r="S11282" t="s">
        <v>45313</v>
      </c>
      <c r="T11282" t="s">
        <v>46519</v>
      </c>
      <c r="U11282" t="s">
        <v>55951</v>
      </c>
      <c r="W11282" t="s">
        <v>44304</v>
      </c>
      <c r="X11282" t="s">
        <v>44917</v>
      </c>
    </row>
    <row r="11283" spans="1:24">
      <c r="A11283">
        <f>HYPERLINK("https://www.philgeps.gov.ph/GEPSNONPILOT/Tender/SplashBidNoticeAbstractUI.aspx?menuIndex=3&amp;refID=7062989&amp;Result=3","7062989")</f>
        <v>0</v>
      </c>
      <c r="B11283" t="s">
        <v>1070</v>
      </c>
      <c r="C11283" t="s">
        <v>14280</v>
      </c>
      <c r="D11283" t="s">
        <v>18138</v>
      </c>
      <c r="E11283" t="s">
        <v>27971</v>
      </c>
      <c r="F11283" t="s">
        <v>31362</v>
      </c>
      <c r="G11283" t="s">
        <v>31369</v>
      </c>
      <c r="H11283" t="s">
        <v>31378</v>
      </c>
      <c r="I11283" t="s">
        <v>31386</v>
      </c>
      <c r="J11283" t="s">
        <v>38407</v>
      </c>
      <c r="K11283" t="s">
        <v>40688</v>
      </c>
      <c r="M11283" t="s">
        <v>42072</v>
      </c>
      <c r="N11283" t="s">
        <v>44905</v>
      </c>
      <c r="O11283" t="s">
        <v>44906</v>
      </c>
      <c r="Q11283">
        <v>4</v>
      </c>
      <c r="R11283" t="s">
        <v>44916</v>
      </c>
      <c r="S11283" t="s">
        <v>45350</v>
      </c>
      <c r="T11283" t="s">
        <v>46585</v>
      </c>
      <c r="U11283" t="s">
        <v>55952</v>
      </c>
      <c r="W11283" t="s">
        <v>42072</v>
      </c>
      <c r="X11283" t="s">
        <v>44917</v>
      </c>
    </row>
    <row r="11284" spans="1:24">
      <c r="A11284">
        <f>HYPERLINK("https://www.philgeps.gov.ph/GEPSNONPILOT/Tender/SplashBidNoticeAbstractUI.aspx?menuIndex=3&amp;refID=7063159&amp;Result=3","7063159")</f>
        <v>0</v>
      </c>
      <c r="B11284" t="s">
        <v>3068</v>
      </c>
      <c r="C11284" t="s">
        <v>14281</v>
      </c>
      <c r="D11284" t="s">
        <v>18122</v>
      </c>
      <c r="E11284" t="s">
        <v>18514</v>
      </c>
      <c r="F11284" t="s">
        <v>31363</v>
      </c>
      <c r="G11284" t="s">
        <v>31373</v>
      </c>
      <c r="H11284" t="s">
        <v>31378</v>
      </c>
      <c r="I11284" t="s">
        <v>31386</v>
      </c>
      <c r="J11284" t="s">
        <v>32549</v>
      </c>
      <c r="K11284" t="s">
        <v>40679</v>
      </c>
      <c r="M11284" t="s">
        <v>44305</v>
      </c>
      <c r="N11284" t="s">
        <v>44905</v>
      </c>
      <c r="O11284" t="s">
        <v>44906</v>
      </c>
      <c r="P11284">
        <v>0</v>
      </c>
      <c r="Q11284">
        <v>1</v>
      </c>
      <c r="R11284" t="s">
        <v>44916</v>
      </c>
      <c r="S11284" t="s">
        <v>45313</v>
      </c>
      <c r="T11284" t="s">
        <v>46480</v>
      </c>
      <c r="U11284" t="s">
        <v>55953</v>
      </c>
      <c r="W11284" t="s">
        <v>44305</v>
      </c>
      <c r="X11284" t="s">
        <v>44917</v>
      </c>
    </row>
    <row r="11285" spans="1:24">
      <c r="A11285">
        <f>HYPERLINK("https://www.philgeps.gov.ph/GEPSNONPILOT/Tender/SplashBidNoticeAbstractUI.aspx?menuIndex=3&amp;refID=7063158&amp;Result=3","7063158")</f>
        <v>0</v>
      </c>
      <c r="B11285" t="s">
        <v>1070</v>
      </c>
      <c r="C11285" t="s">
        <v>14282</v>
      </c>
      <c r="D11285" t="s">
        <v>18138</v>
      </c>
      <c r="E11285" t="s">
        <v>27972</v>
      </c>
      <c r="F11285" t="s">
        <v>31362</v>
      </c>
      <c r="G11285" t="s">
        <v>31369</v>
      </c>
      <c r="H11285" t="s">
        <v>31378</v>
      </c>
      <c r="I11285" t="s">
        <v>31386</v>
      </c>
      <c r="J11285" t="s">
        <v>38408</v>
      </c>
      <c r="K11285" t="s">
        <v>40690</v>
      </c>
      <c r="M11285" t="s">
        <v>42072</v>
      </c>
      <c r="N11285" t="s">
        <v>44905</v>
      </c>
      <c r="O11285" t="s">
        <v>44906</v>
      </c>
      <c r="P11285">
        <v>0</v>
      </c>
      <c r="Q11285">
        <v>2</v>
      </c>
      <c r="R11285" t="s">
        <v>44916</v>
      </c>
      <c r="S11285" t="s">
        <v>45313</v>
      </c>
      <c r="T11285" t="s">
        <v>46585</v>
      </c>
      <c r="U11285" t="s">
        <v>55952</v>
      </c>
      <c r="W11285" t="s">
        <v>42072</v>
      </c>
      <c r="X11285" t="s">
        <v>44917</v>
      </c>
    </row>
    <row r="11286" spans="1:24">
      <c r="A11286">
        <f>HYPERLINK("https://www.philgeps.gov.ph/GEPSNONPILOT/Tender/SplashBidNoticeAbstractUI.aspx?menuIndex=3&amp;refID=7063150&amp;Result=3","7063150")</f>
        <v>0</v>
      </c>
      <c r="B11286" t="s">
        <v>2955</v>
      </c>
      <c r="C11286" t="s">
        <v>14283</v>
      </c>
      <c r="D11286" t="s">
        <v>18138</v>
      </c>
      <c r="E11286" t="s">
        <v>27973</v>
      </c>
      <c r="F11286" t="s">
        <v>31362</v>
      </c>
      <c r="G11286" t="s">
        <v>31369</v>
      </c>
      <c r="H11286" t="s">
        <v>15799</v>
      </c>
      <c r="I11286" t="s">
        <v>3815</v>
      </c>
      <c r="J11286" t="s">
        <v>32278</v>
      </c>
      <c r="K11286" t="s">
        <v>40675</v>
      </c>
      <c r="M11286" t="s">
        <v>44178</v>
      </c>
      <c r="N11286" t="s">
        <v>44905</v>
      </c>
      <c r="O11286" t="s">
        <v>44906</v>
      </c>
      <c r="P11286">
        <v>0</v>
      </c>
      <c r="Q11286">
        <v>2</v>
      </c>
      <c r="R11286" t="s">
        <v>44916</v>
      </c>
      <c r="S11286" t="s">
        <v>45313</v>
      </c>
      <c r="T11286" t="s">
        <v>46418</v>
      </c>
      <c r="U11286" t="s">
        <v>55954</v>
      </c>
      <c r="W11286" t="s">
        <v>44178</v>
      </c>
      <c r="X11286" t="s">
        <v>44917</v>
      </c>
    </row>
    <row r="11287" spans="1:24">
      <c r="A11287">
        <f>HYPERLINK("https://www.philgeps.gov.ph/GEPSNONPILOT/Tender/SplashBidNoticeAbstractUI.aspx?menuIndex=3&amp;refID=7063154&amp;Result=3","7063154")</f>
        <v>0</v>
      </c>
      <c r="B11287" t="s">
        <v>3069</v>
      </c>
      <c r="C11287" t="s">
        <v>14284</v>
      </c>
      <c r="D11287" t="s">
        <v>18104</v>
      </c>
      <c r="E11287" t="s">
        <v>27974</v>
      </c>
      <c r="F11287" t="s">
        <v>31362</v>
      </c>
      <c r="G11287" t="s">
        <v>31369</v>
      </c>
      <c r="H11287" t="s">
        <v>15799</v>
      </c>
      <c r="I11287" t="s">
        <v>31387</v>
      </c>
      <c r="J11287" t="s">
        <v>38409</v>
      </c>
      <c r="K11287" t="s">
        <v>40665</v>
      </c>
      <c r="M11287" t="s">
        <v>44306</v>
      </c>
      <c r="N11287" t="s">
        <v>44905</v>
      </c>
      <c r="O11287" t="s">
        <v>44906</v>
      </c>
      <c r="P11287">
        <v>0</v>
      </c>
      <c r="Q11287">
        <v>0</v>
      </c>
      <c r="R11287" t="s">
        <v>44916</v>
      </c>
      <c r="S11287" t="s">
        <v>45313</v>
      </c>
      <c r="T11287" t="s">
        <v>46479</v>
      </c>
      <c r="U11287" t="s">
        <v>55955</v>
      </c>
      <c r="V11287" t="s">
        <v>60274</v>
      </c>
      <c r="W11287" t="s">
        <v>44306</v>
      </c>
      <c r="X11287" t="s">
        <v>44917</v>
      </c>
    </row>
    <row r="11288" spans="1:24">
      <c r="A11288">
        <f>HYPERLINK("https://www.philgeps.gov.ph/GEPSNONPILOT/Tender/SplashBidNoticeAbstractUI.aspx?menuIndex=3&amp;refID=7063149&amp;Result=3","7063149")</f>
        <v>0</v>
      </c>
      <c r="B11288" t="s">
        <v>299</v>
      </c>
      <c r="C11288" t="s">
        <v>14285</v>
      </c>
      <c r="D11288" t="s">
        <v>18108</v>
      </c>
      <c r="E11288" t="s">
        <v>27975</v>
      </c>
      <c r="F11288" t="s">
        <v>31362</v>
      </c>
      <c r="G11288" t="s">
        <v>31369</v>
      </c>
      <c r="H11288" t="s">
        <v>15799</v>
      </c>
      <c r="I11288" t="s">
        <v>7719</v>
      </c>
      <c r="J11288" t="s">
        <v>32902</v>
      </c>
      <c r="K11288" t="s">
        <v>40682</v>
      </c>
      <c r="M11288" t="s">
        <v>44299</v>
      </c>
      <c r="N11288" t="s">
        <v>44905</v>
      </c>
      <c r="O11288" t="s">
        <v>44906</v>
      </c>
      <c r="P11288">
        <v>0</v>
      </c>
      <c r="Q11288">
        <v>10</v>
      </c>
      <c r="R11288" t="s">
        <v>44916</v>
      </c>
      <c r="S11288" t="s">
        <v>45313</v>
      </c>
      <c r="T11288" t="s">
        <v>46741</v>
      </c>
      <c r="U11288" t="s">
        <v>55956</v>
      </c>
      <c r="W11288" t="s">
        <v>44299</v>
      </c>
      <c r="X11288" t="s">
        <v>44917</v>
      </c>
    </row>
    <row r="11289" spans="1:24">
      <c r="A11289">
        <f>HYPERLINK("https://www.philgeps.gov.ph/GEPSNONPILOT/Tender/SplashBidNoticeAbstractUI.aspx?menuIndex=3&amp;refID=7063135&amp;Result=3","7063135")</f>
        <v>0</v>
      </c>
      <c r="B11289" t="s">
        <v>1466</v>
      </c>
      <c r="C11289" t="s">
        <v>14286</v>
      </c>
      <c r="D11289" t="s">
        <v>18128</v>
      </c>
      <c r="E11289" t="s">
        <v>27976</v>
      </c>
      <c r="F11289" t="s">
        <v>31362</v>
      </c>
      <c r="G11289" t="s">
        <v>31369</v>
      </c>
      <c r="H11289" t="s">
        <v>31378</v>
      </c>
      <c r="I11289" t="s">
        <v>31386</v>
      </c>
      <c r="J11289" t="s">
        <v>38410</v>
      </c>
      <c r="K11289" t="s">
        <v>40795</v>
      </c>
      <c r="M11289" t="s">
        <v>42498</v>
      </c>
      <c r="N11289" t="s">
        <v>44905</v>
      </c>
      <c r="O11289" t="s">
        <v>44906</v>
      </c>
      <c r="P11289">
        <v>0</v>
      </c>
      <c r="Q11289">
        <v>1</v>
      </c>
      <c r="R11289" t="s">
        <v>44916</v>
      </c>
      <c r="S11289" t="s">
        <v>45313</v>
      </c>
      <c r="T11289" t="s">
        <v>46415</v>
      </c>
      <c r="U11289" t="s">
        <v>55957</v>
      </c>
      <c r="V11289" t="s">
        <v>59460</v>
      </c>
      <c r="W11289" t="s">
        <v>42498</v>
      </c>
      <c r="X11289" t="s">
        <v>44917</v>
      </c>
    </row>
    <row r="11290" spans="1:24">
      <c r="A11290">
        <f>HYPERLINK("https://www.philgeps.gov.ph/GEPSNONPILOT/Tender/SplashBidNoticeAbstractUI.aspx?menuIndex=3&amp;refID=7063134&amp;Result=3","7063134")</f>
        <v>0</v>
      </c>
      <c r="B11290" t="s">
        <v>2739</v>
      </c>
      <c r="C11290" t="s">
        <v>14287</v>
      </c>
      <c r="D11290" t="s">
        <v>18104</v>
      </c>
      <c r="E11290" t="s">
        <v>27977</v>
      </c>
      <c r="F11290" t="s">
        <v>31362</v>
      </c>
      <c r="G11290" t="s">
        <v>31368</v>
      </c>
      <c r="H11290" t="s">
        <v>15799</v>
      </c>
      <c r="I11290" t="s">
        <v>31409</v>
      </c>
      <c r="J11290" t="s">
        <v>38411</v>
      </c>
      <c r="K11290" t="s">
        <v>40679</v>
      </c>
      <c r="M11290" t="s">
        <v>43927</v>
      </c>
      <c r="N11290" t="s">
        <v>44905</v>
      </c>
      <c r="O11290" t="s">
        <v>44906</v>
      </c>
      <c r="P11290">
        <v>0</v>
      </c>
      <c r="Q11290">
        <v>4</v>
      </c>
      <c r="R11290" t="s">
        <v>44916</v>
      </c>
      <c r="S11290" t="s">
        <v>45313</v>
      </c>
      <c r="T11290" t="s">
        <v>46447</v>
      </c>
      <c r="U11290" t="s">
        <v>55958</v>
      </c>
      <c r="W11290" t="s">
        <v>43927</v>
      </c>
      <c r="X11290" t="s">
        <v>44917</v>
      </c>
    </row>
    <row r="11291" spans="1:24">
      <c r="A11291">
        <f>HYPERLINK("https://www.philgeps.gov.ph/GEPSNONPILOT/Tender/SplashBidNoticeAbstractUI.aspx?menuIndex=3&amp;refID=7063233&amp;Result=3","7063233")</f>
        <v>0</v>
      </c>
      <c r="B11291" t="s">
        <v>1401</v>
      </c>
      <c r="C11291" t="s">
        <v>14288</v>
      </c>
      <c r="D11291" t="s">
        <v>18151</v>
      </c>
      <c r="E11291" t="s">
        <v>27978</v>
      </c>
      <c r="F11291" t="s">
        <v>31362</v>
      </c>
      <c r="G11291" t="s">
        <v>31369</v>
      </c>
      <c r="H11291" t="s">
        <v>31378</v>
      </c>
      <c r="I11291" t="s">
        <v>31386</v>
      </c>
      <c r="J11291" t="s">
        <v>33482</v>
      </c>
      <c r="K11291" t="s">
        <v>40786</v>
      </c>
      <c r="M11291" t="s">
        <v>42426</v>
      </c>
      <c r="N11291" t="s">
        <v>44905</v>
      </c>
      <c r="O11291" t="s">
        <v>44906</v>
      </c>
      <c r="P11291">
        <v>0</v>
      </c>
      <c r="Q11291">
        <v>1</v>
      </c>
      <c r="R11291" t="s">
        <v>44916</v>
      </c>
      <c r="S11291" t="s">
        <v>45313</v>
      </c>
      <c r="T11291" t="s">
        <v>46538</v>
      </c>
      <c r="U11291" t="s">
        <v>55959</v>
      </c>
      <c r="V11291" t="s">
        <v>60275</v>
      </c>
      <c r="W11291" t="s">
        <v>42426</v>
      </c>
      <c r="X11291" t="s">
        <v>44917</v>
      </c>
    </row>
    <row r="11292" spans="1:24">
      <c r="A11292">
        <f>HYPERLINK("https://www.philgeps.gov.ph/GEPSNONPILOT/Tender/SplashBidNoticeAbstractUI.aspx?menuIndex=3&amp;refID=7063208&amp;Result=3","7063208")</f>
        <v>0</v>
      </c>
      <c r="B11292" t="s">
        <v>820</v>
      </c>
      <c r="C11292" t="s">
        <v>14289</v>
      </c>
      <c r="D11292" t="s">
        <v>18100</v>
      </c>
      <c r="E11292" t="s">
        <v>27979</v>
      </c>
      <c r="F11292" t="s">
        <v>31362</v>
      </c>
      <c r="G11292" t="s">
        <v>31369</v>
      </c>
      <c r="H11292" t="s">
        <v>15799</v>
      </c>
      <c r="I11292" t="s">
        <v>31397</v>
      </c>
      <c r="J11292" t="s">
        <v>38412</v>
      </c>
      <c r="K11292" t="s">
        <v>40677</v>
      </c>
      <c r="M11292" t="s">
        <v>41793</v>
      </c>
      <c r="N11292" t="s">
        <v>44905</v>
      </c>
      <c r="O11292" t="s">
        <v>44906</v>
      </c>
      <c r="P11292">
        <v>0</v>
      </c>
      <c r="Q11292">
        <v>2</v>
      </c>
      <c r="R11292" t="s">
        <v>44916</v>
      </c>
      <c r="S11292" t="s">
        <v>45313</v>
      </c>
      <c r="T11292" t="s">
        <v>46503</v>
      </c>
      <c r="U11292" t="s">
        <v>51646</v>
      </c>
      <c r="W11292" t="s">
        <v>41793</v>
      </c>
      <c r="X11292" t="s">
        <v>44917</v>
      </c>
    </row>
    <row r="11293" spans="1:24">
      <c r="A11293">
        <f>HYPERLINK("https://www.philgeps.gov.ph/GEPSNONPILOT/Tender/SplashBidNoticeAbstractUI.aspx?menuIndex=3&amp;refID=7063232&amp;Result=3","7063232")</f>
        <v>0</v>
      </c>
      <c r="B11293" t="s">
        <v>2827</v>
      </c>
      <c r="C11293" t="s">
        <v>14290</v>
      </c>
      <c r="D11293" t="s">
        <v>18112</v>
      </c>
      <c r="E11293" t="s">
        <v>27980</v>
      </c>
      <c r="F11293" t="s">
        <v>31362</v>
      </c>
      <c r="G11293" t="s">
        <v>31369</v>
      </c>
      <c r="H11293" t="s">
        <v>31378</v>
      </c>
      <c r="I11293" t="s">
        <v>31386</v>
      </c>
      <c r="J11293" t="s">
        <v>31625</v>
      </c>
      <c r="K11293" t="s">
        <v>40679</v>
      </c>
      <c r="M11293" t="s">
        <v>44027</v>
      </c>
      <c r="N11293" t="s">
        <v>44905</v>
      </c>
      <c r="O11293" t="s">
        <v>44906</v>
      </c>
      <c r="P11293">
        <v>0</v>
      </c>
      <c r="Q11293">
        <v>0</v>
      </c>
      <c r="R11293" t="s">
        <v>44916</v>
      </c>
      <c r="S11293" t="s">
        <v>45313</v>
      </c>
      <c r="T11293" t="s">
        <v>46392</v>
      </c>
      <c r="U11293" t="s">
        <v>55960</v>
      </c>
      <c r="V11293" t="s">
        <v>60276</v>
      </c>
      <c r="W11293" t="s">
        <v>44027</v>
      </c>
      <c r="X11293" t="s">
        <v>44917</v>
      </c>
    </row>
    <row r="11294" spans="1:24">
      <c r="A11294">
        <f>HYPERLINK("https://www.philgeps.gov.ph/GEPSNONPILOT/Tender/SplashBidNoticeAbstractUI.aspx?menuIndex=3&amp;refID=7063230&amp;Result=3","7063230")</f>
        <v>0</v>
      </c>
      <c r="B11294" t="s">
        <v>1070</v>
      </c>
      <c r="C11294" t="s">
        <v>14291</v>
      </c>
      <c r="D11294" t="s">
        <v>18138</v>
      </c>
      <c r="E11294" t="s">
        <v>27981</v>
      </c>
      <c r="F11294" t="s">
        <v>31362</v>
      </c>
      <c r="G11294" t="s">
        <v>31369</v>
      </c>
      <c r="H11294" t="s">
        <v>31378</v>
      </c>
      <c r="I11294" t="s">
        <v>31386</v>
      </c>
      <c r="J11294" t="s">
        <v>36377</v>
      </c>
      <c r="K11294" t="s">
        <v>40893</v>
      </c>
      <c r="M11294" t="s">
        <v>42072</v>
      </c>
      <c r="N11294" t="s">
        <v>44905</v>
      </c>
      <c r="O11294" t="s">
        <v>44906</v>
      </c>
      <c r="P11294">
        <v>0</v>
      </c>
      <c r="Q11294">
        <v>3</v>
      </c>
      <c r="R11294" t="s">
        <v>44916</v>
      </c>
      <c r="S11294" t="s">
        <v>45313</v>
      </c>
      <c r="T11294" t="s">
        <v>46585</v>
      </c>
      <c r="U11294" t="s">
        <v>55952</v>
      </c>
      <c r="W11294" t="s">
        <v>42072</v>
      </c>
      <c r="X11294" t="s">
        <v>44917</v>
      </c>
    </row>
    <row r="11295" spans="1:24">
      <c r="A11295">
        <f>HYPERLINK("https://www.philgeps.gov.ph/GEPSNONPILOT/Tender/SplashBidNoticeAbstractUI.aspx?menuIndex=3&amp;refID=7063227&amp;Result=3","7063227")</f>
        <v>0</v>
      </c>
      <c r="B11295" t="s">
        <v>1817</v>
      </c>
      <c r="C11295" t="s">
        <v>14292</v>
      </c>
      <c r="D11295" t="s">
        <v>18181</v>
      </c>
      <c r="E11295" t="s">
        <v>27982</v>
      </c>
      <c r="F11295" t="s">
        <v>31362</v>
      </c>
      <c r="G11295" t="s">
        <v>31369</v>
      </c>
      <c r="H11295" t="s">
        <v>15799</v>
      </c>
      <c r="I11295" t="s">
        <v>31409</v>
      </c>
      <c r="J11295" t="s">
        <v>38413</v>
      </c>
      <c r="K11295" t="s">
        <v>40675</v>
      </c>
      <c r="M11295" t="s">
        <v>42900</v>
      </c>
      <c r="N11295" t="s">
        <v>44905</v>
      </c>
      <c r="O11295" t="s">
        <v>44906</v>
      </c>
      <c r="P11295">
        <v>0</v>
      </c>
      <c r="Q11295">
        <v>5</v>
      </c>
      <c r="R11295" t="s">
        <v>44916</v>
      </c>
      <c r="S11295" t="s">
        <v>45313</v>
      </c>
      <c r="T11295" t="s">
        <v>46525</v>
      </c>
      <c r="U11295" t="s">
        <v>55961</v>
      </c>
      <c r="V11295" t="s">
        <v>59382</v>
      </c>
      <c r="W11295" t="s">
        <v>42900</v>
      </c>
      <c r="X11295" t="s">
        <v>44917</v>
      </c>
    </row>
    <row r="11296" spans="1:24">
      <c r="A11296">
        <f>HYPERLINK("https://www.philgeps.gov.ph/GEPSNONPILOT/Tender/SplashBidNoticeAbstractUI.aspx?menuIndex=3&amp;refID=7063224&amp;Result=3","7063224")</f>
        <v>0</v>
      </c>
      <c r="B11296" t="s">
        <v>367</v>
      </c>
      <c r="C11296" t="s">
        <v>14293</v>
      </c>
      <c r="D11296" t="s">
        <v>18134</v>
      </c>
      <c r="E11296" t="s">
        <v>27983</v>
      </c>
      <c r="F11296" t="s">
        <v>31362</v>
      </c>
      <c r="G11296" t="s">
        <v>31369</v>
      </c>
      <c r="H11296" t="s">
        <v>31378</v>
      </c>
      <c r="I11296" t="s">
        <v>31386</v>
      </c>
      <c r="J11296" t="s">
        <v>38414</v>
      </c>
      <c r="K11296" t="s">
        <v>40756</v>
      </c>
      <c r="M11296" t="s">
        <v>41398</v>
      </c>
      <c r="N11296" t="s">
        <v>44905</v>
      </c>
      <c r="O11296" t="s">
        <v>44906</v>
      </c>
      <c r="P11296">
        <v>0</v>
      </c>
      <c r="Q11296">
        <v>0</v>
      </c>
      <c r="R11296" t="s">
        <v>44916</v>
      </c>
      <c r="S11296" t="s">
        <v>45313</v>
      </c>
      <c r="T11296" t="s">
        <v>46504</v>
      </c>
      <c r="U11296" t="s">
        <v>55962</v>
      </c>
      <c r="V11296" t="s">
        <v>60238</v>
      </c>
      <c r="W11296" t="s">
        <v>41398</v>
      </c>
      <c r="X11296" t="s">
        <v>44917</v>
      </c>
    </row>
    <row r="11297" spans="1:24">
      <c r="A11297">
        <f>HYPERLINK("https://www.philgeps.gov.ph/GEPSNONPILOT/Tender/SplashBidNoticeAbstractUI.aspx?menuIndex=3&amp;refID=7063240&amp;Result=3","7063240")</f>
        <v>0</v>
      </c>
      <c r="B11297" t="s">
        <v>459</v>
      </c>
      <c r="C11297" t="s">
        <v>14294</v>
      </c>
      <c r="D11297" t="s">
        <v>18170</v>
      </c>
      <c r="E11297" t="s">
        <v>21584</v>
      </c>
      <c r="F11297" t="s">
        <v>31362</v>
      </c>
      <c r="G11297" t="s">
        <v>31369</v>
      </c>
      <c r="H11297" t="s">
        <v>15799</v>
      </c>
      <c r="I11297" t="s">
        <v>31466</v>
      </c>
      <c r="J11297" t="s">
        <v>38415</v>
      </c>
      <c r="K11297" t="s">
        <v>40665</v>
      </c>
      <c r="M11297" t="s">
        <v>41413</v>
      </c>
      <c r="N11297" t="s">
        <v>44905</v>
      </c>
      <c r="O11297" t="s">
        <v>44906</v>
      </c>
      <c r="P11297">
        <v>0</v>
      </c>
      <c r="Q11297">
        <v>3</v>
      </c>
      <c r="R11297" t="s">
        <v>44916</v>
      </c>
      <c r="S11297" t="s">
        <v>45313</v>
      </c>
      <c r="T11297" t="s">
        <v>46679</v>
      </c>
      <c r="U11297" t="s">
        <v>55963</v>
      </c>
      <c r="W11297" t="s">
        <v>41413</v>
      </c>
      <c r="X11297" t="s">
        <v>44917</v>
      </c>
    </row>
    <row r="11298" spans="1:24">
      <c r="A11298">
        <f>HYPERLINK("https://www.philgeps.gov.ph/GEPSNONPILOT/Tender/SplashBidNoticeAbstractUI.aspx?menuIndex=3&amp;refID=7063246&amp;Result=3","7063246")</f>
        <v>0</v>
      </c>
      <c r="B11298" t="s">
        <v>2989</v>
      </c>
      <c r="C11298" t="s">
        <v>14295</v>
      </c>
      <c r="E11298" t="s">
        <v>27984</v>
      </c>
      <c r="F11298" t="s">
        <v>31362</v>
      </c>
      <c r="G11298" t="s">
        <v>31373</v>
      </c>
      <c r="H11298" t="s">
        <v>15799</v>
      </c>
      <c r="I11298" t="s">
        <v>31455</v>
      </c>
      <c r="J11298" t="s">
        <v>38416</v>
      </c>
      <c r="K11298" t="s">
        <v>40665</v>
      </c>
      <c r="M11298" t="s">
        <v>44215</v>
      </c>
      <c r="N11298" t="s">
        <v>44905</v>
      </c>
      <c r="O11298" t="s">
        <v>44906</v>
      </c>
      <c r="P11298">
        <v>0</v>
      </c>
      <c r="Q11298">
        <v>0</v>
      </c>
      <c r="R11298" t="s">
        <v>44916</v>
      </c>
      <c r="S11298" t="s">
        <v>45313</v>
      </c>
      <c r="T11298" t="s">
        <v>46392</v>
      </c>
      <c r="U11298" t="s">
        <v>55964</v>
      </c>
      <c r="V11298" t="s">
        <v>60227</v>
      </c>
      <c r="W11298" t="s">
        <v>44215</v>
      </c>
      <c r="X11298" t="s">
        <v>44917</v>
      </c>
    </row>
    <row r="11299" spans="1:24">
      <c r="A11299">
        <f>HYPERLINK("https://www.philgeps.gov.ph/GEPSNONPILOT/Tender/SplashBidNoticeAbstractUI.aspx?menuIndex=3&amp;refID=7063295&amp;Result=3","7063295")</f>
        <v>0</v>
      </c>
      <c r="B11299" t="s">
        <v>424</v>
      </c>
      <c r="C11299" t="s">
        <v>14296</v>
      </c>
      <c r="D11299" t="s">
        <v>18168</v>
      </c>
      <c r="E11299" t="s">
        <v>14296</v>
      </c>
      <c r="F11299" t="s">
        <v>31362</v>
      </c>
      <c r="G11299" t="s">
        <v>31370</v>
      </c>
      <c r="H11299" t="s">
        <v>15799</v>
      </c>
      <c r="I11299" t="s">
        <v>31389</v>
      </c>
      <c r="J11299" t="s">
        <v>31665</v>
      </c>
      <c r="K11299" t="s">
        <v>40665</v>
      </c>
      <c r="M11299" t="s">
        <v>44307</v>
      </c>
      <c r="N11299" t="s">
        <v>44905</v>
      </c>
      <c r="O11299" t="s">
        <v>44906</v>
      </c>
      <c r="P11299">
        <v>0</v>
      </c>
      <c r="Q11299">
        <v>6</v>
      </c>
      <c r="R11299" t="s">
        <v>44916</v>
      </c>
      <c r="S11299" t="s">
        <v>45313</v>
      </c>
      <c r="T11299" t="s">
        <v>46532</v>
      </c>
      <c r="U11299" t="s">
        <v>55965</v>
      </c>
      <c r="W11299" t="s">
        <v>44307</v>
      </c>
      <c r="X11299" t="s">
        <v>44917</v>
      </c>
    </row>
    <row r="11300" spans="1:24">
      <c r="A11300">
        <f>HYPERLINK("https://www.philgeps.gov.ph/GEPSNONPILOT/Tender/SplashBidNoticeAbstractUI.aspx?menuIndex=3&amp;refID=7063291&amp;Result=3","7063291")</f>
        <v>0</v>
      </c>
      <c r="B11300" t="s">
        <v>2448</v>
      </c>
      <c r="C11300" t="s">
        <v>14297</v>
      </c>
      <c r="D11300" t="s">
        <v>18108</v>
      </c>
      <c r="E11300" t="s">
        <v>27985</v>
      </c>
      <c r="F11300" t="s">
        <v>31362</v>
      </c>
      <c r="G11300" t="s">
        <v>31369</v>
      </c>
      <c r="H11300" t="s">
        <v>15799</v>
      </c>
      <c r="I11300" t="s">
        <v>31456</v>
      </c>
      <c r="J11300" t="s">
        <v>38417</v>
      </c>
      <c r="K11300" t="s">
        <v>40682</v>
      </c>
      <c r="M11300" t="s">
        <v>43607</v>
      </c>
      <c r="N11300" t="s">
        <v>44905</v>
      </c>
      <c r="O11300" t="s">
        <v>44906</v>
      </c>
      <c r="P11300">
        <v>0</v>
      </c>
      <c r="Q11300">
        <v>6</v>
      </c>
      <c r="R11300" t="s">
        <v>44916</v>
      </c>
      <c r="S11300" t="s">
        <v>45313</v>
      </c>
      <c r="T11300" t="s">
        <v>46469</v>
      </c>
      <c r="U11300" t="s">
        <v>55966</v>
      </c>
      <c r="V11300" t="s">
        <v>59873</v>
      </c>
      <c r="W11300" t="s">
        <v>43607</v>
      </c>
      <c r="X11300" t="s">
        <v>44917</v>
      </c>
    </row>
    <row r="11301" spans="1:24">
      <c r="A11301">
        <f>HYPERLINK("https://www.philgeps.gov.ph/GEPSNONPILOT/Tender/SplashBidNoticeAbstractUI.aspx?menuIndex=3&amp;refID=7063288&amp;Result=3","7063288")</f>
        <v>0</v>
      </c>
      <c r="B11301" t="s">
        <v>2921</v>
      </c>
      <c r="C11301" t="s">
        <v>14298</v>
      </c>
      <c r="D11301" t="s">
        <v>18164</v>
      </c>
      <c r="E11301" t="s">
        <v>27986</v>
      </c>
      <c r="F11301" t="s">
        <v>31362</v>
      </c>
      <c r="G11301" t="s">
        <v>31369</v>
      </c>
      <c r="H11301" t="s">
        <v>31378</v>
      </c>
      <c r="I11301" t="s">
        <v>31386</v>
      </c>
      <c r="J11301" t="s">
        <v>38418</v>
      </c>
      <c r="K11301" t="s">
        <v>40725</v>
      </c>
      <c r="M11301" t="s">
        <v>44137</v>
      </c>
      <c r="N11301" t="s">
        <v>44905</v>
      </c>
      <c r="O11301" t="s">
        <v>44906</v>
      </c>
      <c r="P11301">
        <v>0</v>
      </c>
      <c r="Q11301">
        <v>0</v>
      </c>
      <c r="R11301" t="s">
        <v>44916</v>
      </c>
      <c r="S11301" t="s">
        <v>45313</v>
      </c>
      <c r="T11301" t="s">
        <v>46481</v>
      </c>
      <c r="U11301" t="s">
        <v>55967</v>
      </c>
      <c r="W11301" t="s">
        <v>44137</v>
      </c>
      <c r="X11301" t="s">
        <v>44917</v>
      </c>
    </row>
    <row r="11302" spans="1:24">
      <c r="A11302">
        <f>HYPERLINK("https://www.philgeps.gov.ph/GEPSNONPILOT/Tender/SplashBidNoticeAbstractUI.aspx?menuIndex=3&amp;refID=7063287&amp;Result=3","7063287")</f>
        <v>0</v>
      </c>
      <c r="B11302" t="s">
        <v>3070</v>
      </c>
      <c r="C11302" t="s">
        <v>14299</v>
      </c>
      <c r="D11302" t="s">
        <v>18177</v>
      </c>
      <c r="E11302" t="s">
        <v>20194</v>
      </c>
      <c r="F11302" t="s">
        <v>31362</v>
      </c>
      <c r="G11302" t="s">
        <v>31369</v>
      </c>
      <c r="H11302" t="s">
        <v>15799</v>
      </c>
      <c r="I11302" t="s">
        <v>31392</v>
      </c>
      <c r="J11302" t="s">
        <v>31688</v>
      </c>
      <c r="K11302" t="s">
        <v>40665</v>
      </c>
      <c r="M11302" t="s">
        <v>44308</v>
      </c>
      <c r="N11302" t="s">
        <v>44905</v>
      </c>
      <c r="O11302" t="s">
        <v>44906</v>
      </c>
      <c r="P11302">
        <v>0</v>
      </c>
      <c r="Q11302">
        <v>0</v>
      </c>
      <c r="R11302" t="s">
        <v>44916</v>
      </c>
      <c r="S11302" t="s">
        <v>45313</v>
      </c>
      <c r="T11302" t="s">
        <v>46432</v>
      </c>
      <c r="U11302" t="s">
        <v>55968</v>
      </c>
      <c r="W11302" t="s">
        <v>44308</v>
      </c>
      <c r="X11302" t="s">
        <v>44917</v>
      </c>
    </row>
    <row r="11303" spans="1:24">
      <c r="A11303">
        <f>HYPERLINK("https://www.philgeps.gov.ph/GEPSNONPILOT/Tender/SplashBidNoticeAbstractUI.aspx?menuIndex=3&amp;refID=7063285&amp;Result=3","7063285")</f>
        <v>0</v>
      </c>
      <c r="B11303" t="s">
        <v>642</v>
      </c>
      <c r="C11303" t="s">
        <v>14300</v>
      </c>
      <c r="D11303" t="s">
        <v>18138</v>
      </c>
      <c r="E11303" t="s">
        <v>27987</v>
      </c>
      <c r="F11303" t="s">
        <v>31362</v>
      </c>
      <c r="G11303" t="s">
        <v>31369</v>
      </c>
      <c r="H11303" t="s">
        <v>15799</v>
      </c>
      <c r="I11303" t="s">
        <v>31422</v>
      </c>
      <c r="J11303" t="s">
        <v>38419</v>
      </c>
      <c r="K11303" t="s">
        <v>40665</v>
      </c>
      <c r="M11303" t="s">
        <v>41602</v>
      </c>
      <c r="N11303" t="s">
        <v>44905</v>
      </c>
      <c r="O11303" t="s">
        <v>44906</v>
      </c>
      <c r="P11303">
        <v>0</v>
      </c>
      <c r="Q11303">
        <v>4</v>
      </c>
      <c r="R11303" t="s">
        <v>44916</v>
      </c>
      <c r="S11303" t="s">
        <v>45313</v>
      </c>
      <c r="T11303" t="s">
        <v>46833</v>
      </c>
      <c r="U11303" t="s">
        <v>54800</v>
      </c>
      <c r="W11303" t="s">
        <v>41602</v>
      </c>
      <c r="X11303" t="s">
        <v>44917</v>
      </c>
    </row>
    <row r="11304" spans="1:24">
      <c r="A11304">
        <f>HYPERLINK("https://www.philgeps.gov.ph/GEPSNONPILOT/Tender/SplashBidNoticeAbstractUI.aspx?menuIndex=3&amp;refID=7063284&amp;Result=3","7063284")</f>
        <v>0</v>
      </c>
      <c r="B11304" t="s">
        <v>1033</v>
      </c>
      <c r="C11304" t="s">
        <v>14301</v>
      </c>
      <c r="D11304" t="s">
        <v>18162</v>
      </c>
      <c r="E11304" t="s">
        <v>27988</v>
      </c>
      <c r="F11304" t="s">
        <v>31362</v>
      </c>
      <c r="G11304" t="s">
        <v>31369</v>
      </c>
      <c r="H11304" t="s">
        <v>15799</v>
      </c>
      <c r="I11304" t="s">
        <v>4057</v>
      </c>
      <c r="J11304" t="s">
        <v>38420</v>
      </c>
      <c r="K11304" t="s">
        <v>40670</v>
      </c>
      <c r="M11304" t="s">
        <v>42032</v>
      </c>
      <c r="N11304" t="s">
        <v>44905</v>
      </c>
      <c r="O11304" t="s">
        <v>44906</v>
      </c>
      <c r="P11304">
        <v>0</v>
      </c>
      <c r="Q11304">
        <v>0</v>
      </c>
      <c r="R11304" t="s">
        <v>44916</v>
      </c>
      <c r="S11304" t="s">
        <v>45313</v>
      </c>
      <c r="T11304" t="s">
        <v>46509</v>
      </c>
      <c r="U11304" t="s">
        <v>55969</v>
      </c>
      <c r="W11304" t="s">
        <v>42032</v>
      </c>
      <c r="X11304" t="s">
        <v>44917</v>
      </c>
    </row>
    <row r="11305" spans="1:24">
      <c r="A11305">
        <f>HYPERLINK("https://www.philgeps.gov.ph/GEPSNONPILOT/Tender/SplashBidNoticeAbstractUI.aspx?menuIndex=3&amp;refID=7063281&amp;Result=3","7063281")</f>
        <v>0</v>
      </c>
      <c r="B11305" t="s">
        <v>3071</v>
      </c>
      <c r="C11305" t="s">
        <v>14302</v>
      </c>
      <c r="E11305" t="s">
        <v>27989</v>
      </c>
      <c r="F11305" t="s">
        <v>31362</v>
      </c>
      <c r="G11305" t="s">
        <v>31369</v>
      </c>
      <c r="H11305" t="s">
        <v>15799</v>
      </c>
      <c r="I11305" t="s">
        <v>7090</v>
      </c>
      <c r="J11305" t="s">
        <v>38421</v>
      </c>
      <c r="K11305" t="s">
        <v>40662</v>
      </c>
      <c r="M11305" t="s">
        <v>44309</v>
      </c>
      <c r="N11305" t="s">
        <v>44905</v>
      </c>
      <c r="O11305" t="s">
        <v>44906</v>
      </c>
      <c r="P11305">
        <v>0</v>
      </c>
      <c r="Q11305">
        <v>4</v>
      </c>
      <c r="R11305" t="s">
        <v>44916</v>
      </c>
      <c r="S11305" t="s">
        <v>45313</v>
      </c>
      <c r="T11305" t="s">
        <v>46413</v>
      </c>
      <c r="U11305" t="s">
        <v>55970</v>
      </c>
      <c r="W11305" t="s">
        <v>44309</v>
      </c>
      <c r="X11305" t="s">
        <v>44917</v>
      </c>
    </row>
    <row r="11306" spans="1:24">
      <c r="A11306">
        <f>HYPERLINK("https://www.philgeps.gov.ph/GEPSNONPILOT/Tender/SplashBidNoticeAbstractUI.aspx?menuIndex=3&amp;refID=7063277&amp;Result=3","7063277")</f>
        <v>0</v>
      </c>
      <c r="B11306" t="s">
        <v>48</v>
      </c>
      <c r="C11306" t="s">
        <v>14303</v>
      </c>
      <c r="D11306" t="s">
        <v>18117</v>
      </c>
      <c r="E11306" t="s">
        <v>27990</v>
      </c>
      <c r="F11306" t="s">
        <v>31362</v>
      </c>
      <c r="G11306" t="s">
        <v>31369</v>
      </c>
      <c r="H11306" t="s">
        <v>15799</v>
      </c>
      <c r="I11306" t="s">
        <v>4283</v>
      </c>
      <c r="J11306" t="s">
        <v>38422</v>
      </c>
      <c r="K11306" t="s">
        <v>40665</v>
      </c>
      <c r="M11306" t="s">
        <v>40997</v>
      </c>
      <c r="N11306" t="s">
        <v>44905</v>
      </c>
      <c r="O11306" t="s">
        <v>44906</v>
      </c>
      <c r="P11306">
        <v>0</v>
      </c>
      <c r="Q11306">
        <v>3</v>
      </c>
      <c r="R11306" t="s">
        <v>44916</v>
      </c>
      <c r="S11306" t="s">
        <v>45313</v>
      </c>
      <c r="T11306" t="s">
        <v>46519</v>
      </c>
      <c r="U11306" t="s">
        <v>55971</v>
      </c>
      <c r="V11306" t="s">
        <v>59085</v>
      </c>
      <c r="W11306" t="s">
        <v>40997</v>
      </c>
      <c r="X11306" t="s">
        <v>44917</v>
      </c>
    </row>
    <row r="11307" spans="1:24">
      <c r="A11307">
        <f>HYPERLINK("https://www.philgeps.gov.ph/GEPSNONPILOT/Tender/SplashBidNoticeAbstractUI.aspx?menuIndex=3&amp;refID=7063293&amp;Result=3","7063293")</f>
        <v>0</v>
      </c>
      <c r="B11307" t="s">
        <v>1452</v>
      </c>
      <c r="C11307" t="s">
        <v>14304</v>
      </c>
      <c r="D11307" t="s">
        <v>18113</v>
      </c>
      <c r="E11307" t="s">
        <v>27991</v>
      </c>
      <c r="F11307" t="s">
        <v>31362</v>
      </c>
      <c r="G11307" t="s">
        <v>31369</v>
      </c>
      <c r="H11307" t="s">
        <v>15799</v>
      </c>
      <c r="I11307" t="s">
        <v>4283</v>
      </c>
      <c r="J11307" t="s">
        <v>38423</v>
      </c>
      <c r="K11307" t="s">
        <v>40682</v>
      </c>
      <c r="M11307" t="s">
        <v>42482</v>
      </c>
      <c r="N11307" t="s">
        <v>44905</v>
      </c>
      <c r="O11307" t="s">
        <v>44906</v>
      </c>
      <c r="P11307">
        <v>0</v>
      </c>
      <c r="Q11307">
        <v>6</v>
      </c>
      <c r="R11307" t="s">
        <v>44916</v>
      </c>
      <c r="S11307" t="s">
        <v>45313</v>
      </c>
      <c r="T11307" t="s">
        <v>46671</v>
      </c>
      <c r="U11307" t="s">
        <v>55972</v>
      </c>
      <c r="W11307" t="s">
        <v>60895</v>
      </c>
      <c r="X11307" t="s">
        <v>44917</v>
      </c>
    </row>
    <row r="11308" spans="1:24">
      <c r="A11308">
        <f>HYPERLINK("https://www.philgeps.gov.ph/GEPSNONPILOT/Tender/SplashBidNoticeAbstractUI.aspx?menuIndex=3&amp;refID=7063273&amp;Result=3","7063273")</f>
        <v>0</v>
      </c>
      <c r="B11308" t="s">
        <v>934</v>
      </c>
      <c r="C11308" t="s">
        <v>14305</v>
      </c>
      <c r="D11308" t="s">
        <v>18172</v>
      </c>
      <c r="E11308" t="s">
        <v>18561</v>
      </c>
      <c r="F11308" t="s">
        <v>31362</v>
      </c>
      <c r="G11308" t="s">
        <v>31369</v>
      </c>
      <c r="H11308" t="s">
        <v>15799</v>
      </c>
      <c r="I11308" t="s">
        <v>31393</v>
      </c>
      <c r="J11308" t="s">
        <v>37984</v>
      </c>
      <c r="K11308" t="s">
        <v>40676</v>
      </c>
      <c r="M11308" t="s">
        <v>41921</v>
      </c>
      <c r="N11308" t="s">
        <v>44905</v>
      </c>
      <c r="O11308" t="s">
        <v>44906</v>
      </c>
      <c r="P11308">
        <v>0</v>
      </c>
      <c r="Q11308">
        <v>2</v>
      </c>
      <c r="R11308" t="s">
        <v>44916</v>
      </c>
      <c r="S11308" t="s">
        <v>45313</v>
      </c>
      <c r="T11308" t="s">
        <v>46834</v>
      </c>
      <c r="U11308" t="s">
        <v>55973</v>
      </c>
      <c r="W11308" t="s">
        <v>41921</v>
      </c>
      <c r="X11308" t="s">
        <v>44917</v>
      </c>
    </row>
    <row r="11309" spans="1:24">
      <c r="A11309">
        <f>HYPERLINK("https://www.philgeps.gov.ph/GEPSNONPILOT/Tender/SplashBidNoticeAbstractUI.aspx?menuIndex=3&amp;refID=7063315&amp;Result=3","7063315")</f>
        <v>0</v>
      </c>
      <c r="B11309" t="s">
        <v>424</v>
      </c>
      <c r="C11309" t="s">
        <v>14306</v>
      </c>
      <c r="D11309" t="s">
        <v>18168</v>
      </c>
      <c r="E11309" t="s">
        <v>14306</v>
      </c>
      <c r="F11309" t="s">
        <v>31362</v>
      </c>
      <c r="G11309" t="s">
        <v>31370</v>
      </c>
      <c r="H11309" t="s">
        <v>15799</v>
      </c>
      <c r="I11309" t="s">
        <v>13635</v>
      </c>
      <c r="J11309" t="s">
        <v>33232</v>
      </c>
      <c r="K11309" t="s">
        <v>40665</v>
      </c>
      <c r="M11309" t="s">
        <v>44307</v>
      </c>
      <c r="N11309" t="s">
        <v>44905</v>
      </c>
      <c r="O11309" t="s">
        <v>44906</v>
      </c>
      <c r="P11309">
        <v>0</v>
      </c>
      <c r="Q11309">
        <v>6</v>
      </c>
      <c r="R11309" t="s">
        <v>44916</v>
      </c>
      <c r="S11309" t="s">
        <v>45313</v>
      </c>
      <c r="T11309" t="s">
        <v>46532</v>
      </c>
      <c r="U11309" t="s">
        <v>55974</v>
      </c>
      <c r="W11309" t="s">
        <v>44307</v>
      </c>
      <c r="X11309" t="s">
        <v>44917</v>
      </c>
    </row>
    <row r="11310" spans="1:24">
      <c r="A11310">
        <f>HYPERLINK("https://www.philgeps.gov.ph/GEPSNONPILOT/Tender/SplashBidNoticeAbstractUI.aspx?menuIndex=3&amp;refID=7063314&amp;Result=3","7063314")</f>
        <v>0</v>
      </c>
      <c r="B11310" t="s">
        <v>2989</v>
      </c>
      <c r="C11310" t="s">
        <v>14307</v>
      </c>
      <c r="E11310" t="s">
        <v>27992</v>
      </c>
      <c r="F11310" t="s">
        <v>31362</v>
      </c>
      <c r="G11310" t="s">
        <v>31373</v>
      </c>
      <c r="H11310" t="s">
        <v>15799</v>
      </c>
      <c r="I11310" t="s">
        <v>31397</v>
      </c>
      <c r="J11310" t="s">
        <v>38424</v>
      </c>
      <c r="K11310" t="s">
        <v>40665</v>
      </c>
      <c r="M11310" t="s">
        <v>44215</v>
      </c>
      <c r="N11310" t="s">
        <v>44905</v>
      </c>
      <c r="O11310" t="s">
        <v>44906</v>
      </c>
      <c r="P11310">
        <v>0</v>
      </c>
      <c r="Q11310">
        <v>0</v>
      </c>
      <c r="R11310" t="s">
        <v>44916</v>
      </c>
      <c r="S11310" t="s">
        <v>45313</v>
      </c>
      <c r="T11310" t="s">
        <v>46392</v>
      </c>
      <c r="U11310" t="s">
        <v>55975</v>
      </c>
      <c r="V11310" t="s">
        <v>60227</v>
      </c>
      <c r="W11310" t="s">
        <v>44215</v>
      </c>
      <c r="X11310" t="s">
        <v>44917</v>
      </c>
    </row>
    <row r="11311" spans="1:24">
      <c r="A11311">
        <f>HYPERLINK("https://www.philgeps.gov.ph/GEPSNONPILOT/Tender/SplashBidNoticeAbstractUI.aspx?menuIndex=3&amp;refID=7063302&amp;Result=3","7063302")</f>
        <v>0</v>
      </c>
      <c r="B11311" t="s">
        <v>377</v>
      </c>
      <c r="C11311" t="s">
        <v>14308</v>
      </c>
      <c r="D11311" t="s">
        <v>18108</v>
      </c>
      <c r="E11311" t="s">
        <v>27993</v>
      </c>
      <c r="F11311" t="s">
        <v>31362</v>
      </c>
      <c r="G11311" t="s">
        <v>31369</v>
      </c>
      <c r="H11311" t="s">
        <v>15799</v>
      </c>
      <c r="I11311" t="s">
        <v>3815</v>
      </c>
      <c r="J11311" t="s">
        <v>38425</v>
      </c>
      <c r="K11311" t="s">
        <v>40665</v>
      </c>
      <c r="M11311" t="s">
        <v>43710</v>
      </c>
      <c r="N11311" t="s">
        <v>44905</v>
      </c>
      <c r="O11311" t="s">
        <v>44906</v>
      </c>
      <c r="P11311">
        <v>0</v>
      </c>
      <c r="Q11311">
        <v>5</v>
      </c>
      <c r="R11311" t="s">
        <v>44916</v>
      </c>
      <c r="S11311" t="s">
        <v>45313</v>
      </c>
      <c r="T11311" t="s">
        <v>46585</v>
      </c>
      <c r="U11311" t="s">
        <v>55976</v>
      </c>
      <c r="W11311" t="s">
        <v>43710</v>
      </c>
      <c r="X11311" t="s">
        <v>44917</v>
      </c>
    </row>
    <row r="11312" spans="1:24">
      <c r="A11312">
        <f>HYPERLINK("https://www.philgeps.gov.ph/GEPSNONPILOT/Tender/SplashBidNoticeAbstractUI.aspx?menuIndex=3&amp;refID=7063300&amp;Result=3","7063300")</f>
        <v>0</v>
      </c>
      <c r="B11312" t="s">
        <v>367</v>
      </c>
      <c r="C11312" t="s">
        <v>14309</v>
      </c>
      <c r="D11312" t="s">
        <v>18134</v>
      </c>
      <c r="E11312" t="s">
        <v>27994</v>
      </c>
      <c r="F11312" t="s">
        <v>31362</v>
      </c>
      <c r="G11312" t="s">
        <v>31369</v>
      </c>
      <c r="H11312" t="s">
        <v>31378</v>
      </c>
      <c r="I11312" t="s">
        <v>31386</v>
      </c>
      <c r="J11312" t="s">
        <v>38426</v>
      </c>
      <c r="K11312" t="s">
        <v>40679</v>
      </c>
      <c r="M11312" t="s">
        <v>41398</v>
      </c>
      <c r="N11312" t="s">
        <v>44905</v>
      </c>
      <c r="O11312" t="s">
        <v>44906</v>
      </c>
      <c r="P11312">
        <v>0</v>
      </c>
      <c r="Q11312">
        <v>0</v>
      </c>
      <c r="R11312" t="s">
        <v>44916</v>
      </c>
      <c r="S11312" t="s">
        <v>45313</v>
      </c>
      <c r="T11312" t="s">
        <v>46479</v>
      </c>
      <c r="U11312" t="s">
        <v>55977</v>
      </c>
      <c r="V11312" t="s">
        <v>60238</v>
      </c>
      <c r="W11312" t="s">
        <v>41398</v>
      </c>
      <c r="X11312" t="s">
        <v>44917</v>
      </c>
    </row>
    <row r="11313" spans="1:24">
      <c r="A11313">
        <f>HYPERLINK("https://www.philgeps.gov.ph/GEPSNONPILOT/Tender/SplashBidNoticeAbstractUI.aspx?menuIndex=3&amp;refID=7063245&amp;Result=3","7063245")</f>
        <v>0</v>
      </c>
      <c r="B11313" t="s">
        <v>367</v>
      </c>
      <c r="C11313" t="s">
        <v>14310</v>
      </c>
      <c r="D11313" t="s">
        <v>18134</v>
      </c>
      <c r="E11313" t="s">
        <v>27995</v>
      </c>
      <c r="F11313" t="s">
        <v>31362</v>
      </c>
      <c r="G11313" t="s">
        <v>31369</v>
      </c>
      <c r="H11313" t="s">
        <v>31378</v>
      </c>
      <c r="I11313" t="s">
        <v>31386</v>
      </c>
      <c r="J11313" t="s">
        <v>38427</v>
      </c>
      <c r="K11313" t="s">
        <v>40682</v>
      </c>
      <c r="M11313" t="s">
        <v>41398</v>
      </c>
      <c r="N11313" t="s">
        <v>44905</v>
      </c>
      <c r="O11313" t="s">
        <v>44906</v>
      </c>
      <c r="P11313">
        <v>0</v>
      </c>
      <c r="Q11313">
        <v>0</v>
      </c>
      <c r="R11313" t="s">
        <v>44916</v>
      </c>
      <c r="S11313" t="s">
        <v>45313</v>
      </c>
      <c r="T11313" t="s">
        <v>46504</v>
      </c>
      <c r="U11313" t="s">
        <v>55977</v>
      </c>
      <c r="V11313" t="s">
        <v>60238</v>
      </c>
      <c r="W11313" t="s">
        <v>41398</v>
      </c>
      <c r="X11313" t="s">
        <v>44917</v>
      </c>
    </row>
    <row r="11314" spans="1:24">
      <c r="A11314">
        <f>HYPERLINK("https://www.philgeps.gov.ph/GEPSNONPILOT/Tender/SplashBidNoticeAbstractUI.aspx?menuIndex=3&amp;refID=7063264&amp;Result=3","7063264")</f>
        <v>0</v>
      </c>
      <c r="B11314" t="s">
        <v>367</v>
      </c>
      <c r="C11314" t="s">
        <v>14311</v>
      </c>
      <c r="D11314" t="s">
        <v>18134</v>
      </c>
      <c r="E11314" t="s">
        <v>27996</v>
      </c>
      <c r="F11314" t="s">
        <v>31362</v>
      </c>
      <c r="G11314" t="s">
        <v>31369</v>
      </c>
      <c r="H11314" t="s">
        <v>31378</v>
      </c>
      <c r="I11314" t="s">
        <v>31386</v>
      </c>
      <c r="J11314" t="s">
        <v>38428</v>
      </c>
      <c r="K11314" t="s">
        <v>40675</v>
      </c>
      <c r="M11314" t="s">
        <v>41398</v>
      </c>
      <c r="N11314" t="s">
        <v>44905</v>
      </c>
      <c r="O11314" t="s">
        <v>44906</v>
      </c>
      <c r="P11314">
        <v>0</v>
      </c>
      <c r="Q11314">
        <v>0</v>
      </c>
      <c r="R11314" t="s">
        <v>44916</v>
      </c>
      <c r="S11314" t="s">
        <v>45313</v>
      </c>
      <c r="T11314" t="s">
        <v>46504</v>
      </c>
      <c r="U11314" t="s">
        <v>55977</v>
      </c>
      <c r="V11314" t="s">
        <v>60238</v>
      </c>
      <c r="W11314" t="s">
        <v>41398</v>
      </c>
      <c r="X11314" t="s">
        <v>44917</v>
      </c>
    </row>
    <row r="11315" spans="1:24">
      <c r="A11315">
        <f>HYPERLINK("https://www.philgeps.gov.ph/GEPSNONPILOT/Tender/SplashBidNoticeAbstractUI.aspx?menuIndex=3&amp;refID=7063186&amp;Result=3","7063186")</f>
        <v>0</v>
      </c>
      <c r="B11315" t="s">
        <v>1964</v>
      </c>
      <c r="C11315" t="s">
        <v>14312</v>
      </c>
      <c r="D11315" t="s">
        <v>18154</v>
      </c>
      <c r="E11315" t="s">
        <v>27997</v>
      </c>
      <c r="F11315" t="s">
        <v>31362</v>
      </c>
      <c r="G11315" t="s">
        <v>31369</v>
      </c>
      <c r="H11315" t="s">
        <v>15799</v>
      </c>
      <c r="I11315" t="s">
        <v>31399</v>
      </c>
      <c r="J11315" t="s">
        <v>31606</v>
      </c>
      <c r="K11315" t="s">
        <v>40680</v>
      </c>
      <c r="M11315" t="s">
        <v>43070</v>
      </c>
      <c r="N11315" t="s">
        <v>44905</v>
      </c>
      <c r="O11315" t="s">
        <v>44906</v>
      </c>
      <c r="P11315">
        <v>0</v>
      </c>
      <c r="Q11315">
        <v>4</v>
      </c>
      <c r="R11315" t="s">
        <v>44916</v>
      </c>
      <c r="S11315" t="s">
        <v>45313</v>
      </c>
      <c r="T11315" t="s">
        <v>46447</v>
      </c>
      <c r="U11315" t="s">
        <v>55978</v>
      </c>
      <c r="W11315" t="s">
        <v>43070</v>
      </c>
      <c r="X11315" t="s">
        <v>44917</v>
      </c>
    </row>
    <row r="11316" spans="1:24">
      <c r="A11316">
        <f>HYPERLINK("https://www.philgeps.gov.ph/GEPSNONPILOT/Tender/SplashBidNoticeAbstractUI.aspx?menuIndex=3&amp;refID=7063250&amp;Result=3","7063250")</f>
        <v>0</v>
      </c>
      <c r="B11316" t="s">
        <v>1452</v>
      </c>
      <c r="C11316" t="s">
        <v>14313</v>
      </c>
      <c r="D11316" t="s">
        <v>18113</v>
      </c>
      <c r="E11316" t="s">
        <v>27998</v>
      </c>
      <c r="F11316" t="s">
        <v>31362</v>
      </c>
      <c r="G11316" t="s">
        <v>31369</v>
      </c>
      <c r="H11316" t="s">
        <v>15799</v>
      </c>
      <c r="I11316" t="s">
        <v>31380</v>
      </c>
      <c r="J11316" t="s">
        <v>31531</v>
      </c>
      <c r="K11316" t="s">
        <v>40682</v>
      </c>
      <c r="M11316" t="s">
        <v>42482</v>
      </c>
      <c r="N11316" t="s">
        <v>44905</v>
      </c>
      <c r="O11316" t="s">
        <v>44906</v>
      </c>
      <c r="P11316">
        <v>0</v>
      </c>
      <c r="Q11316">
        <v>3</v>
      </c>
      <c r="R11316" t="s">
        <v>44916</v>
      </c>
      <c r="S11316" t="s">
        <v>45313</v>
      </c>
      <c r="T11316" t="s">
        <v>46411</v>
      </c>
      <c r="U11316" t="s">
        <v>55979</v>
      </c>
      <c r="W11316" t="s">
        <v>60895</v>
      </c>
      <c r="X11316" t="s">
        <v>44917</v>
      </c>
    </row>
    <row r="11317" spans="1:24">
      <c r="A11317">
        <f>HYPERLINK("https://www.philgeps.gov.ph/GEPSNONPILOT/Tender/SplashBidNoticeAbstractUI.aspx?menuIndex=3&amp;refID=7063320&amp;Result=3","7063320")</f>
        <v>0</v>
      </c>
      <c r="B11317" t="s">
        <v>367</v>
      </c>
      <c r="C11317" t="s">
        <v>14314</v>
      </c>
      <c r="D11317" t="s">
        <v>18134</v>
      </c>
      <c r="E11317" t="s">
        <v>27999</v>
      </c>
      <c r="F11317" t="s">
        <v>31362</v>
      </c>
      <c r="G11317" t="s">
        <v>31369</v>
      </c>
      <c r="H11317" t="s">
        <v>31378</v>
      </c>
      <c r="I11317" t="s">
        <v>31386</v>
      </c>
      <c r="J11317" t="s">
        <v>38429</v>
      </c>
      <c r="K11317" t="s">
        <v>40679</v>
      </c>
      <c r="M11317" t="s">
        <v>41398</v>
      </c>
      <c r="N11317" t="s">
        <v>44905</v>
      </c>
      <c r="O11317" t="s">
        <v>44906</v>
      </c>
      <c r="P11317">
        <v>0</v>
      </c>
      <c r="Q11317">
        <v>0</v>
      </c>
      <c r="R11317" t="s">
        <v>44916</v>
      </c>
      <c r="S11317" t="s">
        <v>45313</v>
      </c>
      <c r="T11317" t="s">
        <v>46479</v>
      </c>
      <c r="U11317" t="s">
        <v>55980</v>
      </c>
      <c r="V11317" t="s">
        <v>60238</v>
      </c>
      <c r="W11317" t="s">
        <v>41398</v>
      </c>
      <c r="X11317" t="s">
        <v>44917</v>
      </c>
    </row>
    <row r="11318" spans="1:24">
      <c r="A11318">
        <f>HYPERLINK("https://www.philgeps.gov.ph/GEPSNONPILOT/Tender/SplashBidNoticeAbstractUI.aspx?menuIndex=3&amp;refID=7063372&amp;Result=3","7063372")</f>
        <v>0</v>
      </c>
      <c r="B11318" t="s">
        <v>2989</v>
      </c>
      <c r="C11318" t="s">
        <v>14315</v>
      </c>
      <c r="E11318" t="s">
        <v>28000</v>
      </c>
      <c r="F11318" t="s">
        <v>31362</v>
      </c>
      <c r="G11318" t="s">
        <v>31373</v>
      </c>
      <c r="H11318" t="s">
        <v>15799</v>
      </c>
      <c r="I11318" t="s">
        <v>31455</v>
      </c>
      <c r="J11318" t="s">
        <v>38430</v>
      </c>
      <c r="K11318" t="s">
        <v>40665</v>
      </c>
      <c r="M11318" t="s">
        <v>44215</v>
      </c>
      <c r="N11318" t="s">
        <v>44905</v>
      </c>
      <c r="O11318" t="s">
        <v>44906</v>
      </c>
      <c r="P11318">
        <v>0</v>
      </c>
      <c r="Q11318">
        <v>3</v>
      </c>
      <c r="R11318" t="s">
        <v>44916</v>
      </c>
      <c r="S11318" t="s">
        <v>45313</v>
      </c>
      <c r="T11318" t="s">
        <v>46392</v>
      </c>
      <c r="U11318" t="s">
        <v>55981</v>
      </c>
      <c r="V11318" t="s">
        <v>60227</v>
      </c>
      <c r="W11318" t="s">
        <v>44215</v>
      </c>
      <c r="X11318" t="s">
        <v>44917</v>
      </c>
    </row>
    <row r="11319" spans="1:24">
      <c r="A11319">
        <f>HYPERLINK("https://www.philgeps.gov.ph/GEPSNONPILOT/Tender/SplashBidNoticeAbstractUI.aspx?menuIndex=3&amp;refID=7063365&amp;Result=3","7063365")</f>
        <v>0</v>
      </c>
      <c r="B11319" t="s">
        <v>3067</v>
      </c>
      <c r="C11319" t="s">
        <v>14316</v>
      </c>
      <c r="D11319" t="s">
        <v>18106</v>
      </c>
      <c r="E11319" t="s">
        <v>28001</v>
      </c>
      <c r="F11319" t="s">
        <v>31362</v>
      </c>
      <c r="G11319" t="s">
        <v>31369</v>
      </c>
      <c r="H11319" t="s">
        <v>31378</v>
      </c>
      <c r="I11319" t="s">
        <v>31386</v>
      </c>
      <c r="J11319" t="s">
        <v>38431</v>
      </c>
      <c r="K11319" t="s">
        <v>40686</v>
      </c>
      <c r="L11319" t="s">
        <v>3067</v>
      </c>
      <c r="M11319" t="s">
        <v>44304</v>
      </c>
      <c r="N11319" t="s">
        <v>44905</v>
      </c>
      <c r="O11319" t="s">
        <v>44906</v>
      </c>
      <c r="P11319">
        <v>0</v>
      </c>
      <c r="Q11319">
        <v>1</v>
      </c>
      <c r="R11319" t="s">
        <v>44916</v>
      </c>
      <c r="S11319" t="s">
        <v>45313</v>
      </c>
      <c r="T11319" t="s">
        <v>46519</v>
      </c>
      <c r="U11319" t="s">
        <v>55951</v>
      </c>
      <c r="W11319" t="s">
        <v>44304</v>
      </c>
      <c r="X11319" t="s">
        <v>44917</v>
      </c>
    </row>
    <row r="11320" spans="1:24">
      <c r="A11320">
        <f>HYPERLINK("https://www.philgeps.gov.ph/GEPSNONPILOT/Tender/SplashBidNoticeAbstractUI.aspx?menuIndex=3&amp;refID=7063364&amp;Result=3","7063364")</f>
        <v>0</v>
      </c>
      <c r="B11320" t="s">
        <v>424</v>
      </c>
      <c r="C11320" t="s">
        <v>14317</v>
      </c>
      <c r="D11320" t="s">
        <v>18168</v>
      </c>
      <c r="E11320" t="s">
        <v>14317</v>
      </c>
      <c r="F11320" t="s">
        <v>31362</v>
      </c>
      <c r="G11320" t="s">
        <v>31370</v>
      </c>
      <c r="H11320" t="s">
        <v>15799</v>
      </c>
      <c r="I11320" t="s">
        <v>7719</v>
      </c>
      <c r="J11320" t="s">
        <v>31604</v>
      </c>
      <c r="K11320" t="s">
        <v>40665</v>
      </c>
      <c r="M11320" t="s">
        <v>44307</v>
      </c>
      <c r="N11320" t="s">
        <v>44905</v>
      </c>
      <c r="O11320" t="s">
        <v>44906</v>
      </c>
      <c r="P11320">
        <v>0</v>
      </c>
      <c r="Q11320">
        <v>3</v>
      </c>
      <c r="R11320" t="s">
        <v>44916</v>
      </c>
      <c r="S11320" t="s">
        <v>45313</v>
      </c>
      <c r="T11320" t="s">
        <v>46532</v>
      </c>
      <c r="U11320" t="s">
        <v>55982</v>
      </c>
      <c r="W11320" t="s">
        <v>44307</v>
      </c>
      <c r="X11320" t="s">
        <v>44917</v>
      </c>
    </row>
    <row r="11321" spans="1:24">
      <c r="A11321">
        <f>HYPERLINK("https://www.philgeps.gov.ph/GEPSNONPILOT/Tender/SplashBidNoticeAbstractUI.aspx?menuIndex=3&amp;refID=7063268&amp;Result=3","7063268")</f>
        <v>0</v>
      </c>
      <c r="B11321" t="s">
        <v>2989</v>
      </c>
      <c r="C11321" t="s">
        <v>14318</v>
      </c>
      <c r="D11321" t="s">
        <v>18167</v>
      </c>
      <c r="E11321" t="s">
        <v>28002</v>
      </c>
      <c r="F11321" t="s">
        <v>31362</v>
      </c>
      <c r="G11321" t="s">
        <v>31373</v>
      </c>
      <c r="H11321" t="s">
        <v>15799</v>
      </c>
      <c r="I11321" t="s">
        <v>31455</v>
      </c>
      <c r="J11321" t="s">
        <v>38432</v>
      </c>
      <c r="K11321" t="s">
        <v>40665</v>
      </c>
      <c r="M11321" t="s">
        <v>44215</v>
      </c>
      <c r="N11321" t="s">
        <v>44905</v>
      </c>
      <c r="O11321" t="s">
        <v>44906</v>
      </c>
      <c r="P11321">
        <v>0</v>
      </c>
      <c r="Q11321">
        <v>2</v>
      </c>
      <c r="R11321" t="s">
        <v>44916</v>
      </c>
      <c r="S11321" t="s">
        <v>45313</v>
      </c>
      <c r="T11321" t="s">
        <v>46392</v>
      </c>
      <c r="U11321" t="s">
        <v>55983</v>
      </c>
      <c r="V11321" t="s">
        <v>60227</v>
      </c>
      <c r="W11321" t="s">
        <v>44215</v>
      </c>
      <c r="X11321" t="s">
        <v>44917</v>
      </c>
    </row>
    <row r="11322" spans="1:24">
      <c r="A11322">
        <f>HYPERLINK("https://www.philgeps.gov.ph/GEPSNONPILOT/Tender/SplashBidNoticeAbstractUI.aspx?menuIndex=3&amp;refID=7063357&amp;Result=3","7063357")</f>
        <v>0</v>
      </c>
      <c r="B11322" t="s">
        <v>377</v>
      </c>
      <c r="C11322" t="s">
        <v>14319</v>
      </c>
      <c r="D11322" t="s">
        <v>18108</v>
      </c>
      <c r="E11322" t="s">
        <v>28003</v>
      </c>
      <c r="F11322" t="s">
        <v>31362</v>
      </c>
      <c r="G11322" t="s">
        <v>31369</v>
      </c>
      <c r="H11322" t="s">
        <v>15799</v>
      </c>
      <c r="I11322" t="s">
        <v>31482</v>
      </c>
      <c r="J11322" t="s">
        <v>38433</v>
      </c>
      <c r="K11322" t="s">
        <v>40682</v>
      </c>
      <c r="M11322" t="s">
        <v>43710</v>
      </c>
      <c r="N11322" t="s">
        <v>44905</v>
      </c>
      <c r="O11322" t="s">
        <v>44906</v>
      </c>
      <c r="P11322">
        <v>0</v>
      </c>
      <c r="Q11322">
        <v>6</v>
      </c>
      <c r="R11322" t="s">
        <v>44916</v>
      </c>
      <c r="S11322" t="s">
        <v>45313</v>
      </c>
      <c r="T11322" t="s">
        <v>46585</v>
      </c>
      <c r="U11322" t="s">
        <v>55984</v>
      </c>
      <c r="W11322" t="s">
        <v>43710</v>
      </c>
      <c r="X11322" t="s">
        <v>44917</v>
      </c>
    </row>
    <row r="11323" spans="1:24">
      <c r="A11323">
        <f>HYPERLINK("https://www.philgeps.gov.ph/GEPSNONPILOT/Tender/SplashBidNoticeAbstractUI.aspx?menuIndex=3&amp;refID=7063355&amp;Result=3","7063355")</f>
        <v>0</v>
      </c>
      <c r="B11323" t="s">
        <v>424</v>
      </c>
      <c r="C11323" t="s">
        <v>14320</v>
      </c>
      <c r="D11323" t="s">
        <v>18168</v>
      </c>
      <c r="E11323" t="s">
        <v>14320</v>
      </c>
      <c r="F11323" t="s">
        <v>31362</v>
      </c>
      <c r="G11323" t="s">
        <v>31370</v>
      </c>
      <c r="H11323" t="s">
        <v>15799</v>
      </c>
      <c r="I11323" t="s">
        <v>13635</v>
      </c>
      <c r="J11323" t="s">
        <v>38434</v>
      </c>
      <c r="K11323" t="s">
        <v>40665</v>
      </c>
      <c r="M11323" t="s">
        <v>44307</v>
      </c>
      <c r="N11323" t="s">
        <v>44905</v>
      </c>
      <c r="O11323" t="s">
        <v>44906</v>
      </c>
      <c r="P11323">
        <v>0</v>
      </c>
      <c r="Q11323">
        <v>5</v>
      </c>
      <c r="R11323" t="s">
        <v>44916</v>
      </c>
      <c r="S11323" t="s">
        <v>45313</v>
      </c>
      <c r="T11323" t="s">
        <v>46532</v>
      </c>
      <c r="U11323" t="s">
        <v>55974</v>
      </c>
      <c r="W11323" t="s">
        <v>44307</v>
      </c>
      <c r="X11323" t="s">
        <v>44917</v>
      </c>
    </row>
    <row r="11324" spans="1:24">
      <c r="A11324">
        <f>HYPERLINK("https://www.philgeps.gov.ph/GEPSNONPILOT/Tender/SplashBidNoticeAbstractUI.aspx?menuIndex=3&amp;refID=7063392&amp;Result=3","7063392")</f>
        <v>0</v>
      </c>
      <c r="B11324" t="s">
        <v>3072</v>
      </c>
      <c r="C11324" t="s">
        <v>14321</v>
      </c>
      <c r="D11324" t="s">
        <v>18127</v>
      </c>
      <c r="E11324" t="s">
        <v>27405</v>
      </c>
      <c r="F11324" t="s">
        <v>31362</v>
      </c>
      <c r="G11324" t="s">
        <v>31369</v>
      </c>
      <c r="H11324" t="s">
        <v>31378</v>
      </c>
      <c r="I11324" t="s">
        <v>31386</v>
      </c>
      <c r="J11324" t="s">
        <v>38435</v>
      </c>
      <c r="K11324" t="s">
        <v>40679</v>
      </c>
      <c r="M11324" t="s">
        <v>44310</v>
      </c>
      <c r="N11324" t="s">
        <v>44905</v>
      </c>
      <c r="O11324" t="s">
        <v>44906</v>
      </c>
      <c r="P11324">
        <v>0</v>
      </c>
      <c r="Q11324">
        <v>0</v>
      </c>
      <c r="R11324" t="s">
        <v>44916</v>
      </c>
      <c r="S11324" t="s">
        <v>45313</v>
      </c>
      <c r="T11324" t="s">
        <v>46519</v>
      </c>
      <c r="U11324" t="s">
        <v>55985</v>
      </c>
      <c r="W11324" t="s">
        <v>44310</v>
      </c>
      <c r="X11324" t="s">
        <v>44917</v>
      </c>
    </row>
    <row r="11325" spans="1:24">
      <c r="A11325">
        <f>HYPERLINK("https://www.philgeps.gov.ph/GEPSNONPILOT/Tender/SplashBidNoticeAbstractUI.aspx?menuIndex=3&amp;refID=7063391&amp;Result=3","7063391")</f>
        <v>0</v>
      </c>
      <c r="B11325" t="s">
        <v>377</v>
      </c>
      <c r="C11325" t="s">
        <v>14322</v>
      </c>
      <c r="D11325" t="s">
        <v>18108</v>
      </c>
      <c r="E11325" t="s">
        <v>28004</v>
      </c>
      <c r="F11325" t="s">
        <v>31362</v>
      </c>
      <c r="G11325" t="s">
        <v>31369</v>
      </c>
      <c r="H11325" t="s">
        <v>15799</v>
      </c>
      <c r="I11325" t="s">
        <v>3815</v>
      </c>
      <c r="J11325" t="s">
        <v>38436</v>
      </c>
      <c r="K11325" t="s">
        <v>40678</v>
      </c>
      <c r="M11325" t="s">
        <v>43710</v>
      </c>
      <c r="N11325" t="s">
        <v>44905</v>
      </c>
      <c r="O11325" t="s">
        <v>44906</v>
      </c>
      <c r="P11325">
        <v>0</v>
      </c>
      <c r="Q11325">
        <v>5</v>
      </c>
      <c r="R11325" t="s">
        <v>44916</v>
      </c>
      <c r="S11325" t="s">
        <v>45313</v>
      </c>
      <c r="T11325" t="s">
        <v>46585</v>
      </c>
      <c r="U11325" t="s">
        <v>55986</v>
      </c>
      <c r="W11325" t="s">
        <v>43710</v>
      </c>
      <c r="X11325" t="s">
        <v>44917</v>
      </c>
    </row>
    <row r="11326" spans="1:24">
      <c r="A11326">
        <f>HYPERLINK("https://www.philgeps.gov.ph/GEPSNONPILOT/Tender/SplashBidNoticeAbstractUI.aspx?menuIndex=3&amp;refID=7063318&amp;Result=3","7063318")</f>
        <v>0</v>
      </c>
      <c r="B11326" t="s">
        <v>1948</v>
      </c>
      <c r="C11326" t="s">
        <v>14323</v>
      </c>
      <c r="E11326" t="s">
        <v>28005</v>
      </c>
      <c r="F11326" t="s">
        <v>31362</v>
      </c>
      <c r="G11326" t="s">
        <v>31369</v>
      </c>
      <c r="H11326" t="s">
        <v>31378</v>
      </c>
      <c r="I11326" t="s">
        <v>31386</v>
      </c>
      <c r="J11326" t="s">
        <v>38437</v>
      </c>
      <c r="K11326" t="s">
        <v>40683</v>
      </c>
      <c r="M11326" t="s">
        <v>44311</v>
      </c>
      <c r="N11326" t="s">
        <v>44905</v>
      </c>
      <c r="O11326" t="s">
        <v>44906</v>
      </c>
      <c r="Q11326">
        <v>1</v>
      </c>
      <c r="R11326" t="s">
        <v>44916</v>
      </c>
      <c r="S11326" t="s">
        <v>45351</v>
      </c>
      <c r="T11326" t="s">
        <v>46504</v>
      </c>
      <c r="U11326" t="s">
        <v>55987</v>
      </c>
      <c r="W11326" t="s">
        <v>44311</v>
      </c>
      <c r="X11326" t="s">
        <v>44917</v>
      </c>
    </row>
    <row r="11327" spans="1:24">
      <c r="A11327">
        <f>HYPERLINK("https://www.philgeps.gov.ph/GEPSNONPILOT/Tender/SplashBidNoticeAbstractUI.aspx?menuIndex=3&amp;refID=7063312&amp;Result=3","7063312")</f>
        <v>0</v>
      </c>
      <c r="B11327" t="s">
        <v>3073</v>
      </c>
      <c r="C11327" t="s">
        <v>14324</v>
      </c>
      <c r="D11327" t="s">
        <v>18123</v>
      </c>
      <c r="E11327" t="s">
        <v>18476</v>
      </c>
      <c r="F11327" t="s">
        <v>31362</v>
      </c>
      <c r="G11327" t="s">
        <v>31369</v>
      </c>
      <c r="H11327" t="s">
        <v>15799</v>
      </c>
      <c r="I11327" t="s">
        <v>31409</v>
      </c>
      <c r="J11327" t="s">
        <v>38438</v>
      </c>
      <c r="K11327" t="s">
        <v>40682</v>
      </c>
      <c r="M11327" t="s">
        <v>44312</v>
      </c>
      <c r="N11327" t="s">
        <v>44905</v>
      </c>
      <c r="O11327" t="s">
        <v>44906</v>
      </c>
      <c r="P11327">
        <v>0</v>
      </c>
      <c r="Q11327">
        <v>3</v>
      </c>
      <c r="R11327" t="s">
        <v>44916</v>
      </c>
      <c r="S11327" t="s">
        <v>45313</v>
      </c>
      <c r="T11327" t="s">
        <v>46524</v>
      </c>
      <c r="U11327" t="s">
        <v>55988</v>
      </c>
      <c r="W11327" t="s">
        <v>44312</v>
      </c>
      <c r="X11327" t="s">
        <v>44917</v>
      </c>
    </row>
    <row r="11328" spans="1:24">
      <c r="A11328">
        <f>HYPERLINK("https://www.philgeps.gov.ph/GEPSNONPILOT/Tender/SplashBidNoticeAbstractUI.aspx?menuIndex=3&amp;refID=7063388&amp;Result=3","7063388")</f>
        <v>0</v>
      </c>
      <c r="B11328" t="s">
        <v>424</v>
      </c>
      <c r="C11328" t="s">
        <v>14325</v>
      </c>
      <c r="D11328" t="s">
        <v>18168</v>
      </c>
      <c r="E11328" t="s">
        <v>14325</v>
      </c>
      <c r="F11328" t="s">
        <v>31362</v>
      </c>
      <c r="G11328" t="s">
        <v>31370</v>
      </c>
      <c r="H11328" t="s">
        <v>15799</v>
      </c>
      <c r="I11328" t="s">
        <v>13635</v>
      </c>
      <c r="J11328" t="s">
        <v>31578</v>
      </c>
      <c r="K11328" t="s">
        <v>40665</v>
      </c>
      <c r="M11328" t="s">
        <v>44307</v>
      </c>
      <c r="N11328" t="s">
        <v>44905</v>
      </c>
      <c r="O11328" t="s">
        <v>44906</v>
      </c>
      <c r="P11328">
        <v>0</v>
      </c>
      <c r="Q11328">
        <v>3</v>
      </c>
      <c r="R11328" t="s">
        <v>44916</v>
      </c>
      <c r="S11328" t="s">
        <v>45313</v>
      </c>
      <c r="T11328" t="s">
        <v>46532</v>
      </c>
      <c r="U11328" t="s">
        <v>55989</v>
      </c>
      <c r="W11328" t="s">
        <v>44307</v>
      </c>
      <c r="X11328" t="s">
        <v>44917</v>
      </c>
    </row>
    <row r="11329" spans="1:24">
      <c r="A11329">
        <f>HYPERLINK("https://www.philgeps.gov.ph/GEPSNONPILOT/Tender/SplashBidNoticeAbstractUI.aspx?menuIndex=3&amp;refID=7063385&amp;Result=3","7063385")</f>
        <v>0</v>
      </c>
      <c r="B11329" t="s">
        <v>747</v>
      </c>
      <c r="C11329" t="s">
        <v>14326</v>
      </c>
      <c r="D11329" t="s">
        <v>18108</v>
      </c>
      <c r="E11329" t="s">
        <v>28006</v>
      </c>
      <c r="F11329" t="s">
        <v>31362</v>
      </c>
      <c r="G11329" t="s">
        <v>31369</v>
      </c>
      <c r="H11329" t="s">
        <v>15799</v>
      </c>
      <c r="I11329" t="s">
        <v>31396</v>
      </c>
      <c r="J11329" t="s">
        <v>38439</v>
      </c>
      <c r="K11329" t="s">
        <v>40662</v>
      </c>
      <c r="M11329" t="s">
        <v>44262</v>
      </c>
      <c r="N11329" t="s">
        <v>44905</v>
      </c>
      <c r="O11329" t="s">
        <v>44906</v>
      </c>
      <c r="P11329">
        <v>0</v>
      </c>
      <c r="Q11329">
        <v>45</v>
      </c>
      <c r="R11329" t="s">
        <v>44916</v>
      </c>
      <c r="S11329" t="s">
        <v>45313</v>
      </c>
      <c r="T11329" t="s">
        <v>46504</v>
      </c>
      <c r="U11329" t="s">
        <v>55835</v>
      </c>
      <c r="W11329" t="s">
        <v>44262</v>
      </c>
      <c r="X11329" t="s">
        <v>44917</v>
      </c>
    </row>
    <row r="11330" spans="1:24">
      <c r="A11330">
        <f>HYPERLINK("https://www.philgeps.gov.ph/GEPSNONPILOT/Tender/SplashBidNoticeAbstractUI.aspx?menuIndex=3&amp;refID=7063358&amp;Result=3","7063358")</f>
        <v>0</v>
      </c>
      <c r="B11330" t="s">
        <v>3074</v>
      </c>
      <c r="C11330" t="s">
        <v>14327</v>
      </c>
      <c r="D11330" t="s">
        <v>18120</v>
      </c>
      <c r="E11330" t="s">
        <v>28007</v>
      </c>
      <c r="F11330" t="s">
        <v>31363</v>
      </c>
      <c r="G11330" t="s">
        <v>31369</v>
      </c>
      <c r="H11330" t="s">
        <v>15799</v>
      </c>
      <c r="I11330" t="s">
        <v>31399</v>
      </c>
      <c r="J11330" t="s">
        <v>31546</v>
      </c>
      <c r="K11330" t="s">
        <v>40686</v>
      </c>
      <c r="M11330" t="s">
        <v>44313</v>
      </c>
      <c r="N11330" t="s">
        <v>44905</v>
      </c>
      <c r="O11330" t="s">
        <v>44906</v>
      </c>
      <c r="P11330">
        <v>0</v>
      </c>
      <c r="Q11330">
        <v>4</v>
      </c>
      <c r="R11330" t="s">
        <v>44916</v>
      </c>
      <c r="S11330" t="s">
        <v>45313</v>
      </c>
      <c r="T11330" t="s">
        <v>46417</v>
      </c>
      <c r="U11330" t="s">
        <v>55990</v>
      </c>
      <c r="V11330" t="s">
        <v>60277</v>
      </c>
      <c r="W11330" t="s">
        <v>44313</v>
      </c>
      <c r="X11330" t="s">
        <v>44917</v>
      </c>
    </row>
    <row r="11331" spans="1:24">
      <c r="A11331">
        <f>HYPERLINK("https://www.philgeps.gov.ph/GEPSNONPILOT/Tender/SplashBidNoticeAbstractUI.aspx?menuIndex=3&amp;refID=7063384&amp;Result=3","7063384")</f>
        <v>0</v>
      </c>
      <c r="B11331" t="s">
        <v>2989</v>
      </c>
      <c r="C11331" t="s">
        <v>14328</v>
      </c>
      <c r="E11331" t="s">
        <v>28008</v>
      </c>
      <c r="F11331" t="s">
        <v>31362</v>
      </c>
      <c r="G11331" t="s">
        <v>31373</v>
      </c>
      <c r="H11331" t="s">
        <v>15799</v>
      </c>
      <c r="I11331" t="s">
        <v>31455</v>
      </c>
      <c r="J11331" t="s">
        <v>38440</v>
      </c>
      <c r="K11331" t="s">
        <v>40665</v>
      </c>
      <c r="M11331" t="s">
        <v>44215</v>
      </c>
      <c r="N11331" t="s">
        <v>44905</v>
      </c>
      <c r="O11331" t="s">
        <v>44906</v>
      </c>
      <c r="P11331">
        <v>0</v>
      </c>
      <c r="Q11331">
        <v>1</v>
      </c>
      <c r="R11331" t="s">
        <v>44916</v>
      </c>
      <c r="S11331" t="s">
        <v>45313</v>
      </c>
      <c r="T11331" t="s">
        <v>46392</v>
      </c>
      <c r="U11331" t="s">
        <v>55991</v>
      </c>
      <c r="V11331" t="s">
        <v>60227</v>
      </c>
      <c r="W11331" t="s">
        <v>44215</v>
      </c>
      <c r="X11331" t="s">
        <v>44917</v>
      </c>
    </row>
    <row r="11332" spans="1:24">
      <c r="A11332">
        <f>HYPERLINK("https://www.philgeps.gov.ph/GEPSNONPILOT/Tender/SplashBidNoticeAbstractUI.aspx?menuIndex=3&amp;refID=7063349&amp;Result=3","7063349")</f>
        <v>0</v>
      </c>
      <c r="B11332" t="s">
        <v>1466</v>
      </c>
      <c r="C11332" t="s">
        <v>14329</v>
      </c>
      <c r="D11332" t="s">
        <v>18128</v>
      </c>
      <c r="E11332" t="s">
        <v>28009</v>
      </c>
      <c r="F11332" t="s">
        <v>31362</v>
      </c>
      <c r="G11332" t="s">
        <v>31369</v>
      </c>
      <c r="H11332" t="s">
        <v>31378</v>
      </c>
      <c r="I11332" t="s">
        <v>31386</v>
      </c>
      <c r="J11332" t="s">
        <v>38441</v>
      </c>
      <c r="K11332" t="s">
        <v>40722</v>
      </c>
      <c r="M11332" t="s">
        <v>42498</v>
      </c>
      <c r="N11332" t="s">
        <v>44905</v>
      </c>
      <c r="O11332" t="s">
        <v>44906</v>
      </c>
      <c r="P11332">
        <v>0</v>
      </c>
      <c r="Q11332">
        <v>1</v>
      </c>
      <c r="R11332" t="s">
        <v>44916</v>
      </c>
      <c r="S11332" t="s">
        <v>45313</v>
      </c>
      <c r="T11332" t="s">
        <v>46415</v>
      </c>
      <c r="U11332" t="s">
        <v>55992</v>
      </c>
      <c r="V11332" t="s">
        <v>59460</v>
      </c>
      <c r="W11332" t="s">
        <v>42498</v>
      </c>
      <c r="X11332" t="s">
        <v>44917</v>
      </c>
    </row>
    <row r="11333" spans="1:24">
      <c r="A11333">
        <f>HYPERLINK("https://www.philgeps.gov.ph/GEPSNONPILOT/Tender/SplashBidNoticeAbstractUI.aspx?menuIndex=3&amp;refID=7063339&amp;Result=3","7063339")</f>
        <v>0</v>
      </c>
      <c r="B11333" t="s">
        <v>1948</v>
      </c>
      <c r="C11333" t="s">
        <v>14330</v>
      </c>
      <c r="E11333" t="s">
        <v>28010</v>
      </c>
      <c r="F11333" t="s">
        <v>31362</v>
      </c>
      <c r="G11333" t="s">
        <v>31369</v>
      </c>
      <c r="H11333" t="s">
        <v>31378</v>
      </c>
      <c r="I11333" t="s">
        <v>31386</v>
      </c>
      <c r="J11333" t="s">
        <v>38442</v>
      </c>
      <c r="K11333" t="s">
        <v>40686</v>
      </c>
      <c r="M11333" t="s">
        <v>44311</v>
      </c>
      <c r="N11333" t="s">
        <v>44905</v>
      </c>
      <c r="O11333" t="s">
        <v>44906</v>
      </c>
      <c r="Q11333">
        <v>0</v>
      </c>
      <c r="R11333" t="s">
        <v>44916</v>
      </c>
      <c r="S11333" t="s">
        <v>45352</v>
      </c>
      <c r="T11333" t="s">
        <v>46504</v>
      </c>
      <c r="U11333" t="s">
        <v>55993</v>
      </c>
      <c r="W11333" t="s">
        <v>44311</v>
      </c>
      <c r="X11333" t="s">
        <v>44917</v>
      </c>
    </row>
    <row r="11334" spans="1:24">
      <c r="A11334">
        <f>HYPERLINK("https://www.philgeps.gov.ph/GEPSNONPILOT/Tender/SplashBidNoticeAbstractUI.aspx?menuIndex=3&amp;refID=7063337&amp;Result=3","7063337")</f>
        <v>0</v>
      </c>
      <c r="B11334" t="s">
        <v>2989</v>
      </c>
      <c r="C11334" t="s">
        <v>14331</v>
      </c>
      <c r="E11334" t="s">
        <v>28011</v>
      </c>
      <c r="F11334" t="s">
        <v>31362</v>
      </c>
      <c r="G11334" t="s">
        <v>31373</v>
      </c>
      <c r="H11334" t="s">
        <v>15799</v>
      </c>
      <c r="I11334" t="s">
        <v>31459</v>
      </c>
      <c r="J11334" t="s">
        <v>38443</v>
      </c>
      <c r="K11334" t="s">
        <v>40665</v>
      </c>
      <c r="M11334" t="s">
        <v>44215</v>
      </c>
      <c r="N11334" t="s">
        <v>44905</v>
      </c>
      <c r="O11334" t="s">
        <v>44906</v>
      </c>
      <c r="P11334">
        <v>0</v>
      </c>
      <c r="Q11334">
        <v>2</v>
      </c>
      <c r="R11334" t="s">
        <v>44916</v>
      </c>
      <c r="S11334" t="s">
        <v>45313</v>
      </c>
      <c r="T11334" t="s">
        <v>46392</v>
      </c>
      <c r="U11334" t="s">
        <v>55994</v>
      </c>
      <c r="V11334" t="s">
        <v>60227</v>
      </c>
      <c r="W11334" t="s">
        <v>44215</v>
      </c>
      <c r="X11334" t="s">
        <v>44917</v>
      </c>
    </row>
    <row r="11335" spans="1:24">
      <c r="A11335">
        <f>HYPERLINK("https://www.philgeps.gov.ph/GEPSNONPILOT/Tender/SplashBidNoticeAbstractUI.aspx?menuIndex=3&amp;refID=7063335&amp;Result=3","7063335")</f>
        <v>0</v>
      </c>
      <c r="B11335" t="s">
        <v>424</v>
      </c>
      <c r="C11335" t="s">
        <v>14332</v>
      </c>
      <c r="D11335" t="s">
        <v>18168</v>
      </c>
      <c r="E11335" t="s">
        <v>14332</v>
      </c>
      <c r="F11335" t="s">
        <v>31362</v>
      </c>
      <c r="G11335" t="s">
        <v>31370</v>
      </c>
      <c r="H11335" t="s">
        <v>15799</v>
      </c>
      <c r="I11335" t="s">
        <v>31513</v>
      </c>
      <c r="J11335" t="s">
        <v>34965</v>
      </c>
      <c r="K11335" t="s">
        <v>40665</v>
      </c>
      <c r="M11335" t="s">
        <v>44307</v>
      </c>
      <c r="N11335" t="s">
        <v>44905</v>
      </c>
      <c r="O11335" t="s">
        <v>44906</v>
      </c>
      <c r="P11335">
        <v>0</v>
      </c>
      <c r="Q11335">
        <v>4</v>
      </c>
      <c r="R11335" t="s">
        <v>44916</v>
      </c>
      <c r="S11335" t="s">
        <v>45313</v>
      </c>
      <c r="T11335" t="s">
        <v>46416</v>
      </c>
      <c r="U11335" t="s">
        <v>55995</v>
      </c>
      <c r="W11335" t="s">
        <v>44307</v>
      </c>
      <c r="X11335" t="s">
        <v>44917</v>
      </c>
    </row>
    <row r="11336" spans="1:24">
      <c r="A11336">
        <f>HYPERLINK("https://www.philgeps.gov.ph/GEPSNONPILOT/Tender/SplashBidNoticeAbstractUI.aspx?menuIndex=3&amp;refID=7063334&amp;Result=3","7063334")</f>
        <v>0</v>
      </c>
      <c r="B11336" t="s">
        <v>2836</v>
      </c>
      <c r="C11336" t="s">
        <v>14333</v>
      </c>
      <c r="D11336" t="s">
        <v>18153</v>
      </c>
      <c r="E11336" t="s">
        <v>28012</v>
      </c>
      <c r="F11336" t="s">
        <v>31362</v>
      </c>
      <c r="G11336" t="s">
        <v>31369</v>
      </c>
      <c r="H11336" t="s">
        <v>15799</v>
      </c>
      <c r="I11336" t="s">
        <v>31409</v>
      </c>
      <c r="J11336" t="s">
        <v>31606</v>
      </c>
      <c r="K11336" t="s">
        <v>40682</v>
      </c>
      <c r="M11336" t="s">
        <v>44037</v>
      </c>
      <c r="N11336" t="s">
        <v>44905</v>
      </c>
      <c r="O11336" t="s">
        <v>44906</v>
      </c>
      <c r="P11336">
        <v>0</v>
      </c>
      <c r="Q11336">
        <v>1</v>
      </c>
      <c r="R11336" t="s">
        <v>44916</v>
      </c>
      <c r="S11336" t="s">
        <v>45313</v>
      </c>
      <c r="T11336" t="s">
        <v>46499</v>
      </c>
      <c r="U11336" t="s">
        <v>55996</v>
      </c>
      <c r="W11336" t="s">
        <v>44037</v>
      </c>
      <c r="X11336" t="s">
        <v>44917</v>
      </c>
    </row>
    <row r="11337" spans="1:24">
      <c r="A11337">
        <f>HYPERLINK("https://www.philgeps.gov.ph/GEPSNONPILOT/Tender/SplashBidNoticeAbstractUI.aspx?menuIndex=3&amp;refID=7063348&amp;Result=3","7063348")</f>
        <v>0</v>
      </c>
      <c r="B11337" t="s">
        <v>2943</v>
      </c>
      <c r="C11337" t="s">
        <v>14334</v>
      </c>
      <c r="D11337" t="s">
        <v>18134</v>
      </c>
      <c r="E11337" t="s">
        <v>28013</v>
      </c>
      <c r="F11337" t="s">
        <v>31362</v>
      </c>
      <c r="G11337" t="s">
        <v>31369</v>
      </c>
      <c r="H11337" t="s">
        <v>31378</v>
      </c>
      <c r="I11337" t="s">
        <v>13635</v>
      </c>
      <c r="J11337" t="s">
        <v>38444</v>
      </c>
      <c r="K11337" t="s">
        <v>40675</v>
      </c>
      <c r="M11337" t="s">
        <v>44165</v>
      </c>
      <c r="N11337" t="s">
        <v>44905</v>
      </c>
      <c r="O11337" t="s">
        <v>44906</v>
      </c>
      <c r="P11337">
        <v>0</v>
      </c>
      <c r="Q11337">
        <v>0</v>
      </c>
      <c r="R11337" t="s">
        <v>44916</v>
      </c>
      <c r="S11337" t="s">
        <v>45313</v>
      </c>
      <c r="T11337" t="s">
        <v>46392</v>
      </c>
      <c r="U11337" t="s">
        <v>55997</v>
      </c>
      <c r="W11337" t="s">
        <v>44165</v>
      </c>
      <c r="X11337" t="s">
        <v>44917</v>
      </c>
    </row>
    <row r="11338" spans="1:24">
      <c r="A11338">
        <f>HYPERLINK("https://www.philgeps.gov.ph/GEPSNONPILOT/Tender/SplashBidNoticeAbstractUI.aspx?menuIndex=3&amp;refID=7063321&amp;Result=3","7063321")</f>
        <v>0</v>
      </c>
      <c r="B11338" t="s">
        <v>48</v>
      </c>
      <c r="C11338" t="s">
        <v>14335</v>
      </c>
      <c r="D11338" t="s">
        <v>18117</v>
      </c>
      <c r="E11338" t="s">
        <v>28014</v>
      </c>
      <c r="F11338" t="s">
        <v>31362</v>
      </c>
      <c r="G11338" t="s">
        <v>31369</v>
      </c>
      <c r="H11338" t="s">
        <v>15799</v>
      </c>
      <c r="I11338" t="s">
        <v>31396</v>
      </c>
      <c r="J11338" t="s">
        <v>38000</v>
      </c>
      <c r="K11338" t="s">
        <v>40680</v>
      </c>
      <c r="M11338" t="s">
        <v>40997</v>
      </c>
      <c r="N11338" t="s">
        <v>44905</v>
      </c>
      <c r="O11338" t="s">
        <v>44906</v>
      </c>
      <c r="P11338">
        <v>0</v>
      </c>
      <c r="Q11338">
        <v>4</v>
      </c>
      <c r="R11338" t="s">
        <v>44916</v>
      </c>
      <c r="S11338" t="s">
        <v>45313</v>
      </c>
      <c r="T11338" t="s">
        <v>46519</v>
      </c>
      <c r="U11338" t="s">
        <v>55998</v>
      </c>
      <c r="V11338" t="s">
        <v>59085</v>
      </c>
      <c r="W11338" t="s">
        <v>40997</v>
      </c>
      <c r="X11338" t="s">
        <v>44917</v>
      </c>
    </row>
    <row r="11339" spans="1:24">
      <c r="A11339">
        <f>HYPERLINK("https://www.philgeps.gov.ph/GEPSNONPILOT/Tender/SplashBidNoticeAbstractUI.aspx?menuIndex=3&amp;refID=7063220&amp;Result=3","7063220")</f>
        <v>0</v>
      </c>
      <c r="B11339" t="s">
        <v>1452</v>
      </c>
      <c r="C11339" t="s">
        <v>14336</v>
      </c>
      <c r="D11339" t="s">
        <v>18113</v>
      </c>
      <c r="E11339" t="s">
        <v>28015</v>
      </c>
      <c r="F11339" t="s">
        <v>31362</v>
      </c>
      <c r="G11339" t="s">
        <v>31369</v>
      </c>
      <c r="H11339" t="s">
        <v>15799</v>
      </c>
      <c r="I11339" t="s">
        <v>31411</v>
      </c>
      <c r="J11339" t="s">
        <v>38445</v>
      </c>
      <c r="K11339" t="s">
        <v>40682</v>
      </c>
      <c r="M11339" t="s">
        <v>42482</v>
      </c>
      <c r="N11339" t="s">
        <v>44905</v>
      </c>
      <c r="O11339" t="s">
        <v>44906</v>
      </c>
      <c r="P11339">
        <v>0</v>
      </c>
      <c r="Q11339">
        <v>3</v>
      </c>
      <c r="R11339" t="s">
        <v>44916</v>
      </c>
      <c r="S11339" t="s">
        <v>45313</v>
      </c>
      <c r="T11339" t="s">
        <v>46411</v>
      </c>
      <c r="U11339" t="s">
        <v>55999</v>
      </c>
      <c r="W11339" t="s">
        <v>60895</v>
      </c>
      <c r="X11339" t="s">
        <v>44917</v>
      </c>
    </row>
    <row r="11340" spans="1:24">
      <c r="A11340">
        <f>HYPERLINK("https://www.philgeps.gov.ph/GEPSNONPILOT/Tender/SplashBidNoticeAbstractUI.aspx?menuIndex=3&amp;refID=7063181&amp;Result=3","7063181")</f>
        <v>0</v>
      </c>
      <c r="B11340" t="s">
        <v>367</v>
      </c>
      <c r="C11340" t="s">
        <v>14337</v>
      </c>
      <c r="D11340" t="s">
        <v>18134</v>
      </c>
      <c r="E11340" t="s">
        <v>28016</v>
      </c>
      <c r="F11340" t="s">
        <v>31362</v>
      </c>
      <c r="G11340" t="s">
        <v>31369</v>
      </c>
      <c r="H11340" t="s">
        <v>31378</v>
      </c>
      <c r="I11340" t="s">
        <v>31386</v>
      </c>
      <c r="J11340" t="s">
        <v>38446</v>
      </c>
      <c r="K11340" t="s">
        <v>40694</v>
      </c>
      <c r="M11340" t="s">
        <v>41398</v>
      </c>
      <c r="N11340" t="s">
        <v>44905</v>
      </c>
      <c r="O11340" t="s">
        <v>44906</v>
      </c>
      <c r="P11340">
        <v>0</v>
      </c>
      <c r="Q11340">
        <v>0</v>
      </c>
      <c r="R11340" t="s">
        <v>44916</v>
      </c>
      <c r="S11340" t="s">
        <v>45313</v>
      </c>
      <c r="T11340" t="s">
        <v>46504</v>
      </c>
      <c r="U11340" t="s">
        <v>55942</v>
      </c>
      <c r="V11340" t="s">
        <v>60238</v>
      </c>
      <c r="W11340" t="s">
        <v>41398</v>
      </c>
      <c r="X11340" t="s">
        <v>44917</v>
      </c>
    </row>
    <row r="11341" spans="1:24">
      <c r="A11341">
        <f>HYPERLINK("https://www.philgeps.gov.ph/GEPSNONPILOT/Tender/SplashBidNoticeAbstractUI.aspx?menuIndex=3&amp;refID=7063395&amp;Result=3","7063395")</f>
        <v>0</v>
      </c>
      <c r="B11341" t="s">
        <v>424</v>
      </c>
      <c r="C11341" t="s">
        <v>14338</v>
      </c>
      <c r="D11341" t="s">
        <v>18168</v>
      </c>
      <c r="E11341" t="s">
        <v>14338</v>
      </c>
      <c r="F11341" t="s">
        <v>31362</v>
      </c>
      <c r="G11341" t="s">
        <v>31370</v>
      </c>
      <c r="H11341" t="s">
        <v>15799</v>
      </c>
      <c r="I11341" t="s">
        <v>7719</v>
      </c>
      <c r="J11341" t="s">
        <v>38447</v>
      </c>
      <c r="K11341" t="s">
        <v>40665</v>
      </c>
      <c r="M11341" t="s">
        <v>44307</v>
      </c>
      <c r="N11341" t="s">
        <v>44905</v>
      </c>
      <c r="O11341" t="s">
        <v>44906</v>
      </c>
      <c r="P11341">
        <v>0</v>
      </c>
      <c r="Q11341">
        <v>1</v>
      </c>
      <c r="R11341" t="s">
        <v>44916</v>
      </c>
      <c r="S11341" t="s">
        <v>45313</v>
      </c>
      <c r="T11341" t="s">
        <v>46416</v>
      </c>
      <c r="U11341" t="s">
        <v>56000</v>
      </c>
      <c r="W11341" t="s">
        <v>44307</v>
      </c>
      <c r="X11341" t="s">
        <v>44917</v>
      </c>
    </row>
    <row r="11342" spans="1:24">
      <c r="A11342">
        <f>HYPERLINK("https://www.philgeps.gov.ph/GEPSNONPILOT/Tender/SplashBidNoticeAbstractUI.aspx?menuIndex=3&amp;refID=7063439&amp;Result=3","7063439")</f>
        <v>0</v>
      </c>
      <c r="B11342" t="s">
        <v>424</v>
      </c>
      <c r="C11342" t="s">
        <v>14339</v>
      </c>
      <c r="D11342" t="s">
        <v>18168</v>
      </c>
      <c r="E11342" t="s">
        <v>14339</v>
      </c>
      <c r="F11342" t="s">
        <v>31362</v>
      </c>
      <c r="G11342" t="s">
        <v>31370</v>
      </c>
      <c r="H11342" t="s">
        <v>15799</v>
      </c>
      <c r="I11342" t="s">
        <v>31430</v>
      </c>
      <c r="J11342" t="s">
        <v>32554</v>
      </c>
      <c r="K11342" t="s">
        <v>40665</v>
      </c>
      <c r="M11342" t="s">
        <v>44307</v>
      </c>
      <c r="N11342" t="s">
        <v>44905</v>
      </c>
      <c r="O11342" t="s">
        <v>44906</v>
      </c>
      <c r="P11342">
        <v>0</v>
      </c>
      <c r="Q11342">
        <v>0</v>
      </c>
      <c r="R11342" t="s">
        <v>44916</v>
      </c>
      <c r="S11342" t="s">
        <v>45313</v>
      </c>
      <c r="T11342" t="s">
        <v>46520</v>
      </c>
      <c r="U11342" t="s">
        <v>56001</v>
      </c>
      <c r="W11342" t="s">
        <v>44307</v>
      </c>
      <c r="X11342" t="s">
        <v>44917</v>
      </c>
    </row>
    <row r="11343" spans="1:24">
      <c r="A11343">
        <f>HYPERLINK("https://www.philgeps.gov.ph/GEPSNONPILOT/Tender/SplashBidNoticeAbstractUI.aspx?menuIndex=3&amp;refID=7063412&amp;Result=3","7063412")</f>
        <v>0</v>
      </c>
      <c r="B11343" t="s">
        <v>424</v>
      </c>
      <c r="C11343" t="s">
        <v>14340</v>
      </c>
      <c r="D11343" t="s">
        <v>18168</v>
      </c>
      <c r="E11343" t="s">
        <v>14340</v>
      </c>
      <c r="F11343" t="s">
        <v>31362</v>
      </c>
      <c r="G11343" t="s">
        <v>31370</v>
      </c>
      <c r="H11343" t="s">
        <v>15799</v>
      </c>
      <c r="I11343" t="s">
        <v>31389</v>
      </c>
      <c r="J11343" t="s">
        <v>31530</v>
      </c>
      <c r="K11343" t="s">
        <v>40665</v>
      </c>
      <c r="M11343" t="s">
        <v>44307</v>
      </c>
      <c r="N11343" t="s">
        <v>44905</v>
      </c>
      <c r="O11343" t="s">
        <v>44906</v>
      </c>
      <c r="P11343">
        <v>0</v>
      </c>
      <c r="Q11343">
        <v>6</v>
      </c>
      <c r="R11343" t="s">
        <v>44916</v>
      </c>
      <c r="S11343" t="s">
        <v>45313</v>
      </c>
      <c r="T11343" t="s">
        <v>46416</v>
      </c>
      <c r="U11343" t="s">
        <v>55965</v>
      </c>
      <c r="W11343" t="s">
        <v>44307</v>
      </c>
      <c r="X11343" t="s">
        <v>44917</v>
      </c>
    </row>
    <row r="11344" spans="1:24">
      <c r="A11344">
        <f>HYPERLINK("https://www.philgeps.gov.ph/GEPSNONPILOT/Tender/SplashBidNoticeAbstractUI.aspx?menuIndex=3&amp;refID=7063188&amp;Result=3","7063188")</f>
        <v>0</v>
      </c>
      <c r="B11344" t="s">
        <v>1466</v>
      </c>
      <c r="C11344" t="s">
        <v>14341</v>
      </c>
      <c r="D11344" t="s">
        <v>18128</v>
      </c>
      <c r="E11344" t="s">
        <v>28017</v>
      </c>
      <c r="F11344" t="s">
        <v>31362</v>
      </c>
      <c r="G11344" t="s">
        <v>31369</v>
      </c>
      <c r="H11344" t="s">
        <v>31378</v>
      </c>
      <c r="I11344" t="s">
        <v>31386</v>
      </c>
      <c r="J11344" t="s">
        <v>38448</v>
      </c>
      <c r="K11344" t="s">
        <v>40665</v>
      </c>
      <c r="M11344" t="s">
        <v>42498</v>
      </c>
      <c r="N11344" t="s">
        <v>44905</v>
      </c>
      <c r="O11344" t="s">
        <v>44906</v>
      </c>
      <c r="P11344">
        <v>0</v>
      </c>
      <c r="Q11344">
        <v>1</v>
      </c>
      <c r="R11344" t="s">
        <v>44916</v>
      </c>
      <c r="S11344" t="s">
        <v>45313</v>
      </c>
      <c r="T11344" t="s">
        <v>46415</v>
      </c>
      <c r="U11344" t="s">
        <v>56002</v>
      </c>
      <c r="V11344" t="s">
        <v>59460</v>
      </c>
      <c r="W11344" t="s">
        <v>42498</v>
      </c>
      <c r="X11344" t="s">
        <v>44917</v>
      </c>
    </row>
    <row r="11345" spans="1:24">
      <c r="A11345">
        <f>HYPERLINK("https://www.philgeps.gov.ph/GEPSNONPILOT/Tender/SplashBidNoticeAbstractUI.aspx?menuIndex=3&amp;refID=7063409&amp;Result=3","7063409")</f>
        <v>0</v>
      </c>
      <c r="B11345" t="s">
        <v>2808</v>
      </c>
      <c r="C11345" t="s">
        <v>14342</v>
      </c>
      <c r="D11345" t="s">
        <v>18117</v>
      </c>
      <c r="E11345" t="s">
        <v>28018</v>
      </c>
      <c r="F11345" t="s">
        <v>31362</v>
      </c>
      <c r="G11345" t="s">
        <v>31369</v>
      </c>
      <c r="H11345" t="s">
        <v>15799</v>
      </c>
      <c r="I11345" t="s">
        <v>31393</v>
      </c>
      <c r="J11345" t="s">
        <v>31606</v>
      </c>
      <c r="K11345" t="s">
        <v>40682</v>
      </c>
      <c r="M11345" t="s">
        <v>44007</v>
      </c>
      <c r="N11345" t="s">
        <v>44905</v>
      </c>
      <c r="O11345" t="s">
        <v>44906</v>
      </c>
      <c r="P11345">
        <v>0</v>
      </c>
      <c r="Q11345">
        <v>11</v>
      </c>
      <c r="R11345" t="s">
        <v>44916</v>
      </c>
      <c r="S11345" t="s">
        <v>45313</v>
      </c>
      <c r="T11345" t="s">
        <v>46809</v>
      </c>
      <c r="U11345" t="s">
        <v>56003</v>
      </c>
      <c r="W11345" t="s">
        <v>44007</v>
      </c>
      <c r="X11345" t="s">
        <v>44917</v>
      </c>
    </row>
    <row r="11346" spans="1:24">
      <c r="A11346">
        <f>HYPERLINK("https://www.philgeps.gov.ph/GEPSNONPILOT/Tender/SplashBidNoticeAbstractUI.aspx?menuIndex=3&amp;refID=7063407&amp;Result=3","7063407")</f>
        <v>0</v>
      </c>
      <c r="B11346" t="s">
        <v>2989</v>
      </c>
      <c r="C11346" t="s">
        <v>14343</v>
      </c>
      <c r="E11346" t="s">
        <v>28019</v>
      </c>
      <c r="F11346" t="s">
        <v>31362</v>
      </c>
      <c r="G11346" t="s">
        <v>31373</v>
      </c>
      <c r="H11346" t="s">
        <v>15799</v>
      </c>
      <c r="I11346" t="s">
        <v>31460</v>
      </c>
      <c r="J11346" t="s">
        <v>38449</v>
      </c>
      <c r="K11346" t="s">
        <v>40665</v>
      </c>
      <c r="M11346" t="s">
        <v>44215</v>
      </c>
      <c r="N11346" t="s">
        <v>44905</v>
      </c>
      <c r="O11346" t="s">
        <v>44906</v>
      </c>
      <c r="P11346">
        <v>0</v>
      </c>
      <c r="Q11346">
        <v>0</v>
      </c>
      <c r="R11346" t="s">
        <v>44916</v>
      </c>
      <c r="S11346" t="s">
        <v>45313</v>
      </c>
      <c r="T11346" t="s">
        <v>46392</v>
      </c>
      <c r="U11346" t="s">
        <v>56004</v>
      </c>
      <c r="V11346" t="s">
        <v>60227</v>
      </c>
      <c r="W11346" t="s">
        <v>44215</v>
      </c>
      <c r="X11346" t="s">
        <v>44917</v>
      </c>
    </row>
    <row r="11347" spans="1:24">
      <c r="A11347">
        <f>HYPERLINK("https://www.philgeps.gov.ph/GEPSNONPILOT/Tender/SplashBidNoticeAbstractUI.aspx?menuIndex=3&amp;refID=7063405&amp;Result=3","7063405")</f>
        <v>0</v>
      </c>
      <c r="B11347" t="s">
        <v>367</v>
      </c>
      <c r="C11347" t="s">
        <v>14344</v>
      </c>
      <c r="D11347" t="s">
        <v>18134</v>
      </c>
      <c r="E11347" t="s">
        <v>28020</v>
      </c>
      <c r="F11347" t="s">
        <v>31362</v>
      </c>
      <c r="G11347" t="s">
        <v>31369</v>
      </c>
      <c r="H11347" t="s">
        <v>31378</v>
      </c>
      <c r="I11347" t="s">
        <v>31386</v>
      </c>
      <c r="J11347" t="s">
        <v>38450</v>
      </c>
      <c r="K11347" t="s">
        <v>40746</v>
      </c>
      <c r="M11347" t="s">
        <v>41398</v>
      </c>
      <c r="N11347" t="s">
        <v>44905</v>
      </c>
      <c r="O11347" t="s">
        <v>44906</v>
      </c>
      <c r="P11347">
        <v>0</v>
      </c>
      <c r="Q11347">
        <v>0</v>
      </c>
      <c r="R11347" t="s">
        <v>44916</v>
      </c>
      <c r="S11347" t="s">
        <v>45313</v>
      </c>
      <c r="T11347" t="s">
        <v>46479</v>
      </c>
      <c r="U11347" t="s">
        <v>55977</v>
      </c>
      <c r="V11347" t="s">
        <v>60238</v>
      </c>
      <c r="W11347" t="s">
        <v>41398</v>
      </c>
      <c r="X11347" t="s">
        <v>44917</v>
      </c>
    </row>
    <row r="11348" spans="1:24">
      <c r="A11348">
        <f>HYPERLINK("https://www.philgeps.gov.ph/GEPSNONPILOT/Tender/SplashBidNoticeAbstractUI.aspx?menuIndex=3&amp;refID=7063404&amp;Result=3","7063404")</f>
        <v>0</v>
      </c>
      <c r="B11348" t="s">
        <v>1859</v>
      </c>
      <c r="C11348" t="s">
        <v>14345</v>
      </c>
      <c r="D11348" t="s">
        <v>18102</v>
      </c>
      <c r="E11348" t="s">
        <v>28021</v>
      </c>
      <c r="F11348" t="s">
        <v>31362</v>
      </c>
      <c r="G11348" t="s">
        <v>31369</v>
      </c>
      <c r="H11348" t="s">
        <v>15799</v>
      </c>
      <c r="I11348" t="s">
        <v>31397</v>
      </c>
      <c r="J11348" t="s">
        <v>38451</v>
      </c>
      <c r="K11348" t="s">
        <v>40662</v>
      </c>
      <c r="M11348" t="s">
        <v>42949</v>
      </c>
      <c r="N11348" t="s">
        <v>44905</v>
      </c>
      <c r="O11348" t="s">
        <v>44906</v>
      </c>
      <c r="P11348">
        <v>0</v>
      </c>
      <c r="Q11348">
        <v>2</v>
      </c>
      <c r="R11348" t="s">
        <v>44916</v>
      </c>
      <c r="S11348" t="s">
        <v>45313</v>
      </c>
      <c r="T11348" t="s">
        <v>46479</v>
      </c>
      <c r="U11348" t="s">
        <v>56005</v>
      </c>
      <c r="V11348" t="s">
        <v>60278</v>
      </c>
      <c r="W11348" t="s">
        <v>42949</v>
      </c>
      <c r="X11348" t="s">
        <v>44917</v>
      </c>
    </row>
    <row r="11349" spans="1:24">
      <c r="A11349">
        <f>HYPERLINK("https://www.philgeps.gov.ph/GEPSNONPILOT/Tender/SplashBidNoticeAbstractUI.aspx?menuIndex=3&amp;refID=7063402&amp;Result=3","7063402")</f>
        <v>0</v>
      </c>
      <c r="B11349" t="s">
        <v>3075</v>
      </c>
      <c r="C11349" t="s">
        <v>14346</v>
      </c>
      <c r="D11349" t="s">
        <v>18127</v>
      </c>
      <c r="E11349" t="s">
        <v>28022</v>
      </c>
      <c r="F11349" t="s">
        <v>31362</v>
      </c>
      <c r="G11349" t="s">
        <v>31369</v>
      </c>
      <c r="H11349" t="s">
        <v>31378</v>
      </c>
      <c r="I11349" t="s">
        <v>31386</v>
      </c>
      <c r="J11349" t="s">
        <v>38452</v>
      </c>
      <c r="K11349" t="s">
        <v>40683</v>
      </c>
      <c r="M11349" t="s">
        <v>44314</v>
      </c>
      <c r="N11349" t="s">
        <v>44905</v>
      </c>
      <c r="O11349" t="s">
        <v>44906</v>
      </c>
      <c r="P11349">
        <v>0</v>
      </c>
      <c r="Q11349">
        <v>1</v>
      </c>
      <c r="R11349" t="s">
        <v>44916</v>
      </c>
      <c r="S11349" t="s">
        <v>45313</v>
      </c>
      <c r="T11349" t="s">
        <v>46462</v>
      </c>
      <c r="U11349" t="s">
        <v>56006</v>
      </c>
      <c r="W11349" t="s">
        <v>44314</v>
      </c>
      <c r="X11349" t="s">
        <v>44917</v>
      </c>
    </row>
    <row r="11350" spans="1:24">
      <c r="A11350">
        <f>HYPERLINK("https://www.philgeps.gov.ph/GEPSNONPILOT/Tender/SplashBidNoticeAbstractUI.aspx?menuIndex=3&amp;refID=7063462&amp;Result=3","7063462")</f>
        <v>0</v>
      </c>
      <c r="B11350" t="s">
        <v>797</v>
      </c>
      <c r="C11350" t="s">
        <v>14347</v>
      </c>
      <c r="D11350" t="s">
        <v>18152</v>
      </c>
      <c r="E11350" t="s">
        <v>28023</v>
      </c>
      <c r="F11350" t="s">
        <v>31362</v>
      </c>
      <c r="G11350" t="s">
        <v>31369</v>
      </c>
      <c r="H11350" t="s">
        <v>31378</v>
      </c>
      <c r="I11350" t="s">
        <v>31386</v>
      </c>
      <c r="J11350" t="s">
        <v>38453</v>
      </c>
      <c r="K11350" t="s">
        <v>40678</v>
      </c>
      <c r="M11350" t="s">
        <v>42369</v>
      </c>
      <c r="N11350" t="s">
        <v>44905</v>
      </c>
      <c r="O11350" t="s">
        <v>44906</v>
      </c>
      <c r="P11350">
        <v>0</v>
      </c>
      <c r="Q11350">
        <v>0</v>
      </c>
      <c r="R11350" t="s">
        <v>44916</v>
      </c>
      <c r="S11350" t="s">
        <v>45313</v>
      </c>
      <c r="T11350" t="s">
        <v>46392</v>
      </c>
      <c r="U11350" t="s">
        <v>56007</v>
      </c>
      <c r="V11350" t="s">
        <v>60279</v>
      </c>
      <c r="W11350" t="s">
        <v>42369</v>
      </c>
      <c r="X11350" t="s">
        <v>44917</v>
      </c>
    </row>
    <row r="11351" spans="1:24">
      <c r="A11351">
        <f>HYPERLINK("https://www.philgeps.gov.ph/GEPSNONPILOT/Tender/SplashBidNoticeAbstractUI.aspx?menuIndex=3&amp;refID=7063415&amp;Result=3","7063415")</f>
        <v>0</v>
      </c>
      <c r="B11351" t="s">
        <v>747</v>
      </c>
      <c r="C11351" t="s">
        <v>14348</v>
      </c>
      <c r="D11351" t="s">
        <v>18108</v>
      </c>
      <c r="E11351" t="s">
        <v>28024</v>
      </c>
      <c r="F11351" t="s">
        <v>31362</v>
      </c>
      <c r="G11351" t="s">
        <v>31369</v>
      </c>
      <c r="H11351" t="s">
        <v>15799</v>
      </c>
      <c r="I11351" t="s">
        <v>31396</v>
      </c>
      <c r="J11351" t="s">
        <v>38454</v>
      </c>
      <c r="K11351" t="s">
        <v>40662</v>
      </c>
      <c r="M11351" t="s">
        <v>44262</v>
      </c>
      <c r="N11351" t="s">
        <v>44905</v>
      </c>
      <c r="O11351" t="s">
        <v>44906</v>
      </c>
      <c r="P11351">
        <v>0</v>
      </c>
      <c r="Q11351">
        <v>49</v>
      </c>
      <c r="R11351" t="s">
        <v>44916</v>
      </c>
      <c r="S11351" t="s">
        <v>45313</v>
      </c>
      <c r="T11351" t="s">
        <v>46504</v>
      </c>
      <c r="U11351" t="s">
        <v>55835</v>
      </c>
      <c r="W11351" t="s">
        <v>44262</v>
      </c>
      <c r="X11351" t="s">
        <v>44917</v>
      </c>
    </row>
    <row r="11352" spans="1:24">
      <c r="A11352">
        <f>HYPERLINK("https://www.philgeps.gov.ph/GEPSNONPILOT/Tender/SplashBidNoticeAbstractUI.aspx?menuIndex=3&amp;refID=7063461&amp;Result=3","7063461")</f>
        <v>0</v>
      </c>
      <c r="B11352" t="s">
        <v>1817</v>
      </c>
      <c r="C11352" t="s">
        <v>14292</v>
      </c>
      <c r="D11352" t="s">
        <v>18181</v>
      </c>
      <c r="E11352" t="s">
        <v>28025</v>
      </c>
      <c r="F11352" t="s">
        <v>31362</v>
      </c>
      <c r="G11352" t="s">
        <v>31369</v>
      </c>
      <c r="H11352" t="s">
        <v>15799</v>
      </c>
      <c r="I11352" t="s">
        <v>31409</v>
      </c>
      <c r="J11352" t="s">
        <v>34177</v>
      </c>
      <c r="K11352" t="s">
        <v>40675</v>
      </c>
      <c r="M11352" t="s">
        <v>42900</v>
      </c>
      <c r="N11352" t="s">
        <v>44905</v>
      </c>
      <c r="O11352" t="s">
        <v>44906</v>
      </c>
      <c r="P11352">
        <v>0</v>
      </c>
      <c r="Q11352">
        <v>3</v>
      </c>
      <c r="R11352" t="s">
        <v>44916</v>
      </c>
      <c r="S11352" t="s">
        <v>45313</v>
      </c>
      <c r="T11352" t="s">
        <v>46418</v>
      </c>
      <c r="U11352" t="s">
        <v>55961</v>
      </c>
      <c r="V11352" t="s">
        <v>59382</v>
      </c>
      <c r="W11352" t="s">
        <v>42900</v>
      </c>
      <c r="X11352" t="s">
        <v>44917</v>
      </c>
    </row>
    <row r="11353" spans="1:24">
      <c r="A11353">
        <f>HYPERLINK("https://www.philgeps.gov.ph/GEPSNONPILOT/Tender/SplashBidNoticeAbstractUI.aspx?menuIndex=3&amp;refID=7063459&amp;Result=3","7063459")</f>
        <v>0</v>
      </c>
      <c r="B11353" t="s">
        <v>424</v>
      </c>
      <c r="C11353" t="s">
        <v>14349</v>
      </c>
      <c r="D11353" t="s">
        <v>18168</v>
      </c>
      <c r="E11353" t="s">
        <v>14349</v>
      </c>
      <c r="F11353" t="s">
        <v>31362</v>
      </c>
      <c r="G11353" t="s">
        <v>31370</v>
      </c>
      <c r="H11353" t="s">
        <v>15799</v>
      </c>
      <c r="I11353" t="s">
        <v>31430</v>
      </c>
      <c r="J11353" t="s">
        <v>38455</v>
      </c>
      <c r="K11353" t="s">
        <v>40665</v>
      </c>
      <c r="M11353" t="s">
        <v>44307</v>
      </c>
      <c r="N11353" t="s">
        <v>44905</v>
      </c>
      <c r="O11353" t="s">
        <v>44906</v>
      </c>
      <c r="P11353">
        <v>0</v>
      </c>
      <c r="Q11353">
        <v>0</v>
      </c>
      <c r="R11353" t="s">
        <v>44916</v>
      </c>
      <c r="S11353" t="s">
        <v>45313</v>
      </c>
      <c r="T11353" t="s">
        <v>46532</v>
      </c>
      <c r="U11353" t="s">
        <v>56008</v>
      </c>
      <c r="W11353" t="s">
        <v>44307</v>
      </c>
      <c r="X11353" t="s">
        <v>44917</v>
      </c>
    </row>
    <row r="11354" spans="1:24">
      <c r="A11354">
        <f>HYPERLINK("https://www.philgeps.gov.ph/GEPSNONPILOT/Tender/SplashBidNoticeAbstractUI.aspx?menuIndex=3&amp;refID=7063431&amp;Result=3","7063431")</f>
        <v>0</v>
      </c>
      <c r="B11354" t="s">
        <v>138</v>
      </c>
      <c r="C11354" t="s">
        <v>14350</v>
      </c>
      <c r="D11354" t="s">
        <v>18108</v>
      </c>
      <c r="E11354" t="s">
        <v>28026</v>
      </c>
      <c r="F11354" t="s">
        <v>31362</v>
      </c>
      <c r="G11354" t="s">
        <v>31368</v>
      </c>
      <c r="H11354" t="s">
        <v>31377</v>
      </c>
      <c r="I11354" t="s">
        <v>31377</v>
      </c>
      <c r="J11354" t="s">
        <v>31578</v>
      </c>
      <c r="K11354" t="s">
        <v>40712</v>
      </c>
      <c r="M11354" t="s">
        <v>44315</v>
      </c>
      <c r="N11354" t="s">
        <v>44905</v>
      </c>
      <c r="O11354" t="s">
        <v>44906</v>
      </c>
      <c r="Q11354">
        <v>2</v>
      </c>
      <c r="R11354" t="s">
        <v>44916</v>
      </c>
      <c r="S11354" t="s">
        <v>45353</v>
      </c>
      <c r="T11354" t="s">
        <v>46443</v>
      </c>
      <c r="U11354" t="s">
        <v>56009</v>
      </c>
      <c r="W11354" t="s">
        <v>44315</v>
      </c>
      <c r="X11354" t="s">
        <v>44917</v>
      </c>
    </row>
    <row r="11355" spans="1:24">
      <c r="A11355">
        <f>HYPERLINK("https://www.philgeps.gov.ph/GEPSNONPILOT/Tender/SplashBidNoticeAbstractUI.aspx?menuIndex=3&amp;refID=7063455&amp;Result=3","7063455")</f>
        <v>0</v>
      </c>
      <c r="B11355" t="s">
        <v>747</v>
      </c>
      <c r="C11355" t="s">
        <v>14351</v>
      </c>
      <c r="D11355" t="s">
        <v>18108</v>
      </c>
      <c r="E11355" t="s">
        <v>28027</v>
      </c>
      <c r="F11355" t="s">
        <v>31362</v>
      </c>
      <c r="G11355" t="s">
        <v>31369</v>
      </c>
      <c r="H11355" t="s">
        <v>15799</v>
      </c>
      <c r="I11355" t="s">
        <v>31396</v>
      </c>
      <c r="J11355" t="s">
        <v>38456</v>
      </c>
      <c r="K11355" t="s">
        <v>40662</v>
      </c>
      <c r="M11355" t="s">
        <v>44262</v>
      </c>
      <c r="N11355" t="s">
        <v>44905</v>
      </c>
      <c r="O11355" t="s">
        <v>44906</v>
      </c>
      <c r="P11355">
        <v>0</v>
      </c>
      <c r="Q11355">
        <v>48</v>
      </c>
      <c r="R11355" t="s">
        <v>44916</v>
      </c>
      <c r="S11355" t="s">
        <v>45313</v>
      </c>
      <c r="T11355" t="s">
        <v>46504</v>
      </c>
      <c r="U11355" t="s">
        <v>55835</v>
      </c>
      <c r="W11355" t="s">
        <v>44262</v>
      </c>
      <c r="X11355" t="s">
        <v>44917</v>
      </c>
    </row>
    <row r="11356" spans="1:24">
      <c r="A11356">
        <f>HYPERLINK("https://www.philgeps.gov.ph/GEPSNONPILOT/Tender/SplashBidNoticeAbstractUI.aspx?menuIndex=3&amp;refID=7063460&amp;Result=3","7063460")</f>
        <v>0</v>
      </c>
      <c r="B11356" t="s">
        <v>3075</v>
      </c>
      <c r="C11356" t="s">
        <v>14352</v>
      </c>
      <c r="D11356" t="s">
        <v>18127</v>
      </c>
      <c r="E11356" t="s">
        <v>28028</v>
      </c>
      <c r="F11356" t="s">
        <v>31362</v>
      </c>
      <c r="G11356" t="s">
        <v>31369</v>
      </c>
      <c r="H11356" t="s">
        <v>31377</v>
      </c>
      <c r="I11356" t="s">
        <v>31386</v>
      </c>
      <c r="J11356" t="s">
        <v>38457</v>
      </c>
      <c r="K11356" t="s">
        <v>40783</v>
      </c>
      <c r="M11356" t="s">
        <v>44314</v>
      </c>
      <c r="N11356" t="s">
        <v>44905</v>
      </c>
      <c r="O11356" t="s">
        <v>44906</v>
      </c>
      <c r="P11356">
        <v>0</v>
      </c>
      <c r="Q11356">
        <v>0</v>
      </c>
      <c r="R11356" t="s">
        <v>44916</v>
      </c>
      <c r="S11356" t="s">
        <v>45313</v>
      </c>
      <c r="T11356" t="s">
        <v>46462</v>
      </c>
      <c r="U11356" t="s">
        <v>56010</v>
      </c>
      <c r="W11356" t="s">
        <v>44314</v>
      </c>
      <c r="X11356" t="s">
        <v>44917</v>
      </c>
    </row>
    <row r="11357" spans="1:24">
      <c r="A11357">
        <f>HYPERLINK("https://www.philgeps.gov.ph/GEPSNONPILOT/Tender/SplashBidNoticeAbstractUI.aspx?menuIndex=3&amp;refID=7063433&amp;Result=3","7063433")</f>
        <v>0</v>
      </c>
      <c r="B11357" t="s">
        <v>3076</v>
      </c>
      <c r="C11357" t="s">
        <v>14353</v>
      </c>
      <c r="D11357" t="s">
        <v>18129</v>
      </c>
      <c r="E11357" t="s">
        <v>28029</v>
      </c>
      <c r="F11357" t="s">
        <v>31362</v>
      </c>
      <c r="G11357" t="s">
        <v>31369</v>
      </c>
      <c r="H11357" t="s">
        <v>31378</v>
      </c>
      <c r="I11357" t="s">
        <v>31386</v>
      </c>
      <c r="J11357" t="s">
        <v>38458</v>
      </c>
      <c r="K11357" t="s">
        <v>40684</v>
      </c>
      <c r="M11357" t="s">
        <v>44316</v>
      </c>
      <c r="N11357" t="s">
        <v>44905</v>
      </c>
      <c r="O11357" t="s">
        <v>44906</v>
      </c>
      <c r="P11357">
        <v>0</v>
      </c>
      <c r="Q11357">
        <v>0</v>
      </c>
      <c r="R11357" t="s">
        <v>44916</v>
      </c>
      <c r="S11357" t="s">
        <v>45313</v>
      </c>
      <c r="T11357" t="s">
        <v>46542</v>
      </c>
      <c r="U11357" t="s">
        <v>56011</v>
      </c>
      <c r="W11357" t="s">
        <v>44316</v>
      </c>
      <c r="X11357" t="s">
        <v>44917</v>
      </c>
    </row>
    <row r="11358" spans="1:24">
      <c r="A11358">
        <f>HYPERLINK("https://www.philgeps.gov.ph/GEPSNONPILOT/Tender/SplashBidNoticeAbstractUI.aspx?menuIndex=3&amp;refID=7063441&amp;Result=3","7063441")</f>
        <v>0</v>
      </c>
      <c r="B11358" t="s">
        <v>2448</v>
      </c>
      <c r="C11358" t="s">
        <v>14354</v>
      </c>
      <c r="D11358" t="s">
        <v>18108</v>
      </c>
      <c r="E11358" t="s">
        <v>28030</v>
      </c>
      <c r="F11358" t="s">
        <v>31362</v>
      </c>
      <c r="G11358" t="s">
        <v>31369</v>
      </c>
      <c r="H11358" t="s">
        <v>15799</v>
      </c>
      <c r="I11358" t="s">
        <v>31456</v>
      </c>
      <c r="J11358" t="s">
        <v>38459</v>
      </c>
      <c r="K11358" t="s">
        <v>40682</v>
      </c>
      <c r="M11358" t="s">
        <v>43607</v>
      </c>
      <c r="N11358" t="s">
        <v>44905</v>
      </c>
      <c r="O11358" t="s">
        <v>44906</v>
      </c>
      <c r="P11358">
        <v>0</v>
      </c>
      <c r="Q11358">
        <v>5</v>
      </c>
      <c r="R11358" t="s">
        <v>44916</v>
      </c>
      <c r="S11358" t="s">
        <v>45313</v>
      </c>
      <c r="T11358" t="s">
        <v>46490</v>
      </c>
      <c r="U11358" t="s">
        <v>56012</v>
      </c>
      <c r="V11358" t="s">
        <v>59873</v>
      </c>
      <c r="W11358" t="s">
        <v>43607</v>
      </c>
      <c r="X11358" t="s">
        <v>44917</v>
      </c>
    </row>
    <row r="11359" spans="1:24">
      <c r="A11359">
        <f>HYPERLINK("https://www.philgeps.gov.ph/GEPSNONPILOT/Tender/SplashBidNoticeAbstractUI.aspx?menuIndex=3&amp;refID=7063435&amp;Result=3","7063435")</f>
        <v>0</v>
      </c>
      <c r="B11359" t="s">
        <v>3075</v>
      </c>
      <c r="C11359" t="s">
        <v>14355</v>
      </c>
      <c r="D11359" t="s">
        <v>18127</v>
      </c>
      <c r="E11359" t="s">
        <v>28031</v>
      </c>
      <c r="F11359" t="s">
        <v>31362</v>
      </c>
      <c r="G11359" t="s">
        <v>31369</v>
      </c>
      <c r="H11359" t="s">
        <v>31378</v>
      </c>
      <c r="I11359" t="s">
        <v>31386</v>
      </c>
      <c r="J11359" t="s">
        <v>38460</v>
      </c>
      <c r="K11359" t="s">
        <v>40783</v>
      </c>
      <c r="M11359" t="s">
        <v>44314</v>
      </c>
      <c r="N11359" t="s">
        <v>44905</v>
      </c>
      <c r="O11359" t="s">
        <v>44906</v>
      </c>
      <c r="P11359">
        <v>0</v>
      </c>
      <c r="Q11359">
        <v>1</v>
      </c>
      <c r="R11359" t="s">
        <v>44916</v>
      </c>
      <c r="S11359" t="s">
        <v>45313</v>
      </c>
      <c r="T11359" t="s">
        <v>46462</v>
      </c>
      <c r="U11359" t="s">
        <v>56013</v>
      </c>
      <c r="W11359" t="s">
        <v>44314</v>
      </c>
      <c r="X11359" t="s">
        <v>44917</v>
      </c>
    </row>
    <row r="11360" spans="1:24">
      <c r="A11360">
        <f>HYPERLINK("https://www.philgeps.gov.ph/GEPSNONPILOT/Tender/SplashBidNoticeAbstractUI.aspx?menuIndex=3&amp;refID=7063523&amp;Result=3","7063523")</f>
        <v>0</v>
      </c>
      <c r="B11360" t="s">
        <v>747</v>
      </c>
      <c r="C11360" t="s">
        <v>14356</v>
      </c>
      <c r="D11360" t="s">
        <v>18108</v>
      </c>
      <c r="E11360" t="s">
        <v>28032</v>
      </c>
      <c r="F11360" t="s">
        <v>31362</v>
      </c>
      <c r="G11360" t="s">
        <v>31369</v>
      </c>
      <c r="H11360" t="s">
        <v>15799</v>
      </c>
      <c r="I11360" t="s">
        <v>31396</v>
      </c>
      <c r="J11360" t="s">
        <v>38302</v>
      </c>
      <c r="K11360" t="s">
        <v>40662</v>
      </c>
      <c r="M11360" t="s">
        <v>44262</v>
      </c>
      <c r="N11360" t="s">
        <v>44905</v>
      </c>
      <c r="O11360" t="s">
        <v>44906</v>
      </c>
      <c r="P11360">
        <v>0</v>
      </c>
      <c r="Q11360">
        <v>64</v>
      </c>
      <c r="R11360" t="s">
        <v>44916</v>
      </c>
      <c r="S11360" t="s">
        <v>45313</v>
      </c>
      <c r="T11360" t="s">
        <v>46504</v>
      </c>
      <c r="U11360" t="s">
        <v>55835</v>
      </c>
      <c r="W11360" t="s">
        <v>44262</v>
      </c>
      <c r="X11360" t="s">
        <v>44917</v>
      </c>
    </row>
    <row r="11361" spans="1:24">
      <c r="A11361">
        <f>HYPERLINK("https://www.philgeps.gov.ph/GEPSNONPILOT/Tender/SplashBidNoticeAbstractUI.aspx?menuIndex=3&amp;refID=7063466&amp;Result=3","7063466")</f>
        <v>0</v>
      </c>
      <c r="B11361" t="s">
        <v>2836</v>
      </c>
      <c r="C11361" t="s">
        <v>14357</v>
      </c>
      <c r="D11361" t="s">
        <v>18153</v>
      </c>
      <c r="E11361" t="s">
        <v>28033</v>
      </c>
      <c r="F11361" t="s">
        <v>31362</v>
      </c>
      <c r="G11361" t="s">
        <v>31369</v>
      </c>
      <c r="H11361" t="s">
        <v>31378</v>
      </c>
      <c r="I11361" t="s">
        <v>31386</v>
      </c>
      <c r="J11361" t="s">
        <v>38461</v>
      </c>
      <c r="K11361" t="s">
        <v>40665</v>
      </c>
      <c r="M11361" t="s">
        <v>44037</v>
      </c>
      <c r="N11361" t="s">
        <v>44905</v>
      </c>
      <c r="O11361" t="s">
        <v>44906</v>
      </c>
      <c r="P11361">
        <v>0</v>
      </c>
      <c r="Q11361">
        <v>0</v>
      </c>
      <c r="R11361" t="s">
        <v>44916</v>
      </c>
      <c r="S11361" t="s">
        <v>45313</v>
      </c>
      <c r="T11361" t="s">
        <v>46481</v>
      </c>
      <c r="U11361" t="s">
        <v>56014</v>
      </c>
      <c r="W11361" t="s">
        <v>44037</v>
      </c>
      <c r="X11361" t="s">
        <v>44917</v>
      </c>
    </row>
    <row r="11362" spans="1:24">
      <c r="A11362">
        <f>HYPERLINK("https://www.philgeps.gov.ph/GEPSNONPILOT/Tender/SplashBidNoticeAbstractUI.aspx?menuIndex=3&amp;refID=7063515&amp;Result=3","7063515")</f>
        <v>0</v>
      </c>
      <c r="B11362" t="s">
        <v>2989</v>
      </c>
      <c r="C11362" t="s">
        <v>14358</v>
      </c>
      <c r="D11362" t="s">
        <v>18143</v>
      </c>
      <c r="E11362" t="s">
        <v>28034</v>
      </c>
      <c r="F11362" t="s">
        <v>31362</v>
      </c>
      <c r="G11362" t="s">
        <v>31373</v>
      </c>
      <c r="H11362" t="s">
        <v>15799</v>
      </c>
      <c r="I11362" t="s">
        <v>31414</v>
      </c>
      <c r="J11362" t="s">
        <v>31981</v>
      </c>
      <c r="K11362" t="s">
        <v>40665</v>
      </c>
      <c r="M11362" t="s">
        <v>44215</v>
      </c>
      <c r="N11362" t="s">
        <v>44905</v>
      </c>
      <c r="O11362" t="s">
        <v>44906</v>
      </c>
      <c r="P11362">
        <v>0</v>
      </c>
      <c r="Q11362">
        <v>4</v>
      </c>
      <c r="R11362" t="s">
        <v>44916</v>
      </c>
      <c r="S11362" t="s">
        <v>45313</v>
      </c>
      <c r="T11362" t="s">
        <v>46392</v>
      </c>
      <c r="U11362" t="s">
        <v>56015</v>
      </c>
      <c r="V11362" t="s">
        <v>60280</v>
      </c>
      <c r="W11362" t="s">
        <v>44215</v>
      </c>
      <c r="X11362" t="s">
        <v>44917</v>
      </c>
    </row>
    <row r="11363" spans="1:24">
      <c r="A11363">
        <f>HYPERLINK("https://www.philgeps.gov.ph/GEPSNONPILOT/Tender/SplashBidNoticeAbstractUI.aspx?menuIndex=3&amp;refID=7063440&amp;Result=3","7063440")</f>
        <v>0</v>
      </c>
      <c r="B11363" t="s">
        <v>3074</v>
      </c>
      <c r="C11363" t="s">
        <v>14359</v>
      </c>
      <c r="D11363" t="s">
        <v>18120</v>
      </c>
      <c r="E11363" t="s">
        <v>28035</v>
      </c>
      <c r="F11363" t="s">
        <v>31363</v>
      </c>
      <c r="G11363" t="s">
        <v>31369</v>
      </c>
      <c r="H11363" t="s">
        <v>15799</v>
      </c>
      <c r="I11363" t="s">
        <v>31399</v>
      </c>
      <c r="J11363" t="s">
        <v>38462</v>
      </c>
      <c r="K11363" t="s">
        <v>40686</v>
      </c>
      <c r="M11363" t="s">
        <v>44313</v>
      </c>
      <c r="N11363" t="s">
        <v>44905</v>
      </c>
      <c r="O11363" t="s">
        <v>44906</v>
      </c>
      <c r="P11363">
        <v>0</v>
      </c>
      <c r="Q11363">
        <v>7</v>
      </c>
      <c r="R11363" t="s">
        <v>44916</v>
      </c>
      <c r="S11363" t="s">
        <v>45313</v>
      </c>
      <c r="T11363" t="s">
        <v>46417</v>
      </c>
      <c r="U11363" t="s">
        <v>56016</v>
      </c>
      <c r="V11363" t="s">
        <v>60281</v>
      </c>
      <c r="W11363" t="s">
        <v>44313</v>
      </c>
      <c r="X11363" t="s">
        <v>44917</v>
      </c>
    </row>
    <row r="11364" spans="1:24">
      <c r="A11364">
        <f>HYPERLINK("https://www.philgeps.gov.ph/GEPSNONPILOT/Tender/SplashBidNoticeAbstractUI.aspx?menuIndex=3&amp;refID=7063510&amp;Result=3","7063510")</f>
        <v>0</v>
      </c>
      <c r="B11364" t="s">
        <v>131</v>
      </c>
      <c r="C11364" t="s">
        <v>14360</v>
      </c>
      <c r="D11364" t="s">
        <v>18125</v>
      </c>
      <c r="E11364" t="s">
        <v>28036</v>
      </c>
      <c r="F11364" t="s">
        <v>31362</v>
      </c>
      <c r="G11364" t="s">
        <v>31369</v>
      </c>
      <c r="H11364" t="s">
        <v>15799</v>
      </c>
      <c r="I11364" t="s">
        <v>4283</v>
      </c>
      <c r="J11364" t="s">
        <v>38463</v>
      </c>
      <c r="K11364" t="s">
        <v>40670</v>
      </c>
      <c r="L11364" t="s">
        <v>131</v>
      </c>
      <c r="M11364" t="s">
        <v>41069</v>
      </c>
      <c r="N11364" t="s">
        <v>44905</v>
      </c>
      <c r="O11364" t="s">
        <v>44906</v>
      </c>
      <c r="P11364">
        <v>0</v>
      </c>
      <c r="Q11364">
        <v>8</v>
      </c>
      <c r="R11364" t="s">
        <v>44916</v>
      </c>
      <c r="S11364" t="s">
        <v>45313</v>
      </c>
      <c r="T11364" t="s">
        <v>46462</v>
      </c>
      <c r="U11364" t="s">
        <v>51611</v>
      </c>
      <c r="V11364" t="s">
        <v>60282</v>
      </c>
      <c r="W11364" t="s">
        <v>41069</v>
      </c>
      <c r="X11364" t="s">
        <v>44917</v>
      </c>
    </row>
    <row r="11365" spans="1:24">
      <c r="A11365">
        <f>HYPERLINK("https://www.philgeps.gov.ph/GEPSNONPILOT/Tender/SplashBidNoticeAbstractUI.aspx?menuIndex=3&amp;refID=7063498&amp;Result=3","7063498")</f>
        <v>0</v>
      </c>
      <c r="B11365" t="s">
        <v>424</v>
      </c>
      <c r="C11365" t="s">
        <v>14361</v>
      </c>
      <c r="D11365" t="s">
        <v>18168</v>
      </c>
      <c r="E11365" t="s">
        <v>14361</v>
      </c>
      <c r="F11365" t="s">
        <v>31362</v>
      </c>
      <c r="G11365" t="s">
        <v>31370</v>
      </c>
      <c r="H11365" t="s">
        <v>15799</v>
      </c>
      <c r="I11365" t="s">
        <v>31413</v>
      </c>
      <c r="J11365" t="s">
        <v>38464</v>
      </c>
      <c r="K11365" t="s">
        <v>40665</v>
      </c>
      <c r="M11365" t="s">
        <v>44307</v>
      </c>
      <c r="N11365" t="s">
        <v>44905</v>
      </c>
      <c r="O11365" t="s">
        <v>44906</v>
      </c>
      <c r="P11365">
        <v>0</v>
      </c>
      <c r="Q11365">
        <v>1</v>
      </c>
      <c r="R11365" t="s">
        <v>44916</v>
      </c>
      <c r="S11365" t="s">
        <v>45313</v>
      </c>
      <c r="T11365" t="s">
        <v>46532</v>
      </c>
      <c r="U11365" t="s">
        <v>56017</v>
      </c>
      <c r="W11365" t="s">
        <v>44307</v>
      </c>
      <c r="X11365" t="s">
        <v>44917</v>
      </c>
    </row>
    <row r="11366" spans="1:24">
      <c r="A11366">
        <f>HYPERLINK("https://www.philgeps.gov.ph/GEPSNONPILOT/Tender/SplashBidNoticeAbstractUI.aspx?menuIndex=3&amp;refID=7063495&amp;Result=3","7063495")</f>
        <v>0</v>
      </c>
      <c r="B11366" t="s">
        <v>747</v>
      </c>
      <c r="C11366" t="s">
        <v>14362</v>
      </c>
      <c r="D11366" t="s">
        <v>18108</v>
      </c>
      <c r="E11366" t="s">
        <v>28037</v>
      </c>
      <c r="F11366" t="s">
        <v>31362</v>
      </c>
      <c r="G11366" t="s">
        <v>31369</v>
      </c>
      <c r="H11366" t="s">
        <v>15799</v>
      </c>
      <c r="I11366" t="s">
        <v>31396</v>
      </c>
      <c r="J11366" t="s">
        <v>38465</v>
      </c>
      <c r="K11366" t="s">
        <v>40662</v>
      </c>
      <c r="M11366" t="s">
        <v>44262</v>
      </c>
      <c r="N11366" t="s">
        <v>44905</v>
      </c>
      <c r="O11366" t="s">
        <v>44906</v>
      </c>
      <c r="P11366">
        <v>0</v>
      </c>
      <c r="Q11366">
        <v>59</v>
      </c>
      <c r="R11366" t="s">
        <v>44916</v>
      </c>
      <c r="S11366" t="s">
        <v>45313</v>
      </c>
      <c r="T11366" t="s">
        <v>46504</v>
      </c>
      <c r="U11366" t="s">
        <v>55835</v>
      </c>
      <c r="W11366" t="s">
        <v>44262</v>
      </c>
      <c r="X11366" t="s">
        <v>44917</v>
      </c>
    </row>
    <row r="11367" spans="1:24">
      <c r="A11367">
        <f>HYPERLINK("https://www.philgeps.gov.ph/GEPSNONPILOT/Tender/SplashBidNoticeAbstractUI.aspx?menuIndex=3&amp;refID=7063516&amp;Result=3","7063516")</f>
        <v>0</v>
      </c>
      <c r="B11367" t="s">
        <v>377</v>
      </c>
      <c r="C11367" t="s">
        <v>14363</v>
      </c>
      <c r="D11367" t="s">
        <v>18108</v>
      </c>
      <c r="E11367" t="s">
        <v>28038</v>
      </c>
      <c r="F11367" t="s">
        <v>31362</v>
      </c>
      <c r="G11367" t="s">
        <v>31369</v>
      </c>
      <c r="H11367" t="s">
        <v>15799</v>
      </c>
      <c r="I11367" t="s">
        <v>31389</v>
      </c>
      <c r="J11367" t="s">
        <v>31941</v>
      </c>
      <c r="K11367" t="s">
        <v>40682</v>
      </c>
      <c r="M11367" t="s">
        <v>43710</v>
      </c>
      <c r="N11367" t="s">
        <v>44905</v>
      </c>
      <c r="O11367" t="s">
        <v>44906</v>
      </c>
      <c r="Q11367">
        <v>14</v>
      </c>
      <c r="R11367" t="s">
        <v>44916</v>
      </c>
      <c r="S11367" t="s">
        <v>45354</v>
      </c>
      <c r="T11367" t="s">
        <v>46538</v>
      </c>
      <c r="U11367" t="s">
        <v>56018</v>
      </c>
      <c r="W11367" t="s">
        <v>43710</v>
      </c>
      <c r="X11367" t="s">
        <v>44917</v>
      </c>
    </row>
    <row r="11368" spans="1:24">
      <c r="A11368">
        <f>HYPERLINK("https://www.philgeps.gov.ph/GEPSNONPILOT/Tender/SplashBidNoticeAbstractUI.aspx?menuIndex=3&amp;refID=7063438&amp;Result=3","7063438")</f>
        <v>0</v>
      </c>
      <c r="B11368" t="s">
        <v>367</v>
      </c>
      <c r="C11368" t="s">
        <v>14364</v>
      </c>
      <c r="D11368" t="s">
        <v>18134</v>
      </c>
      <c r="E11368" t="s">
        <v>28039</v>
      </c>
      <c r="F11368" t="s">
        <v>31362</v>
      </c>
      <c r="G11368" t="s">
        <v>31369</v>
      </c>
      <c r="H11368" t="s">
        <v>31378</v>
      </c>
      <c r="I11368" t="s">
        <v>31386</v>
      </c>
      <c r="J11368" t="s">
        <v>38466</v>
      </c>
      <c r="K11368" t="s">
        <v>40682</v>
      </c>
      <c r="M11368" t="s">
        <v>41398</v>
      </c>
      <c r="N11368" t="s">
        <v>44905</v>
      </c>
      <c r="O11368" t="s">
        <v>44906</v>
      </c>
      <c r="P11368">
        <v>0</v>
      </c>
      <c r="Q11368">
        <v>0</v>
      </c>
      <c r="R11368" t="s">
        <v>44916</v>
      </c>
      <c r="S11368" t="s">
        <v>45313</v>
      </c>
      <c r="T11368" t="s">
        <v>46479</v>
      </c>
      <c r="U11368" t="s">
        <v>55977</v>
      </c>
      <c r="V11368" t="s">
        <v>60238</v>
      </c>
      <c r="W11368" t="s">
        <v>41398</v>
      </c>
      <c r="X11368" t="s">
        <v>44917</v>
      </c>
    </row>
    <row r="11369" spans="1:24">
      <c r="A11369">
        <f>HYPERLINK("https://www.philgeps.gov.ph/GEPSNONPILOT/Tender/SplashBidNoticeAbstractUI.aspx?menuIndex=3&amp;refID=7063483&amp;Result=3","7063483")</f>
        <v>0</v>
      </c>
      <c r="B11369" t="s">
        <v>3076</v>
      </c>
      <c r="C11369" t="s">
        <v>14365</v>
      </c>
      <c r="D11369" t="s">
        <v>18129</v>
      </c>
      <c r="E11369" t="s">
        <v>28040</v>
      </c>
      <c r="F11369" t="s">
        <v>31362</v>
      </c>
      <c r="G11369" t="s">
        <v>31369</v>
      </c>
      <c r="H11369" t="s">
        <v>31378</v>
      </c>
      <c r="I11369" t="s">
        <v>31386</v>
      </c>
      <c r="J11369" t="s">
        <v>38467</v>
      </c>
      <c r="K11369" t="s">
        <v>40684</v>
      </c>
      <c r="M11369" t="s">
        <v>44316</v>
      </c>
      <c r="N11369" t="s">
        <v>44905</v>
      </c>
      <c r="O11369" t="s">
        <v>44906</v>
      </c>
      <c r="P11369">
        <v>0</v>
      </c>
      <c r="Q11369">
        <v>1</v>
      </c>
      <c r="R11369" t="s">
        <v>44916</v>
      </c>
      <c r="S11369" t="s">
        <v>45313</v>
      </c>
      <c r="T11369" t="s">
        <v>46542</v>
      </c>
      <c r="U11369" t="s">
        <v>56019</v>
      </c>
      <c r="W11369" t="s">
        <v>44316</v>
      </c>
      <c r="X11369" t="s">
        <v>44917</v>
      </c>
    </row>
    <row r="11370" spans="1:24">
      <c r="A11370">
        <f>HYPERLINK("https://www.philgeps.gov.ph/GEPSNONPILOT/Tender/SplashBidNoticeAbstractUI.aspx?menuIndex=3&amp;refID=7063524&amp;Result=3","7063524")</f>
        <v>0</v>
      </c>
      <c r="B11370" t="s">
        <v>241</v>
      </c>
      <c r="C11370" t="s">
        <v>14366</v>
      </c>
      <c r="D11370" t="s">
        <v>18143</v>
      </c>
      <c r="E11370" t="s">
        <v>28041</v>
      </c>
      <c r="F11370" t="s">
        <v>31362</v>
      </c>
      <c r="G11370" t="s">
        <v>31369</v>
      </c>
      <c r="H11370" t="s">
        <v>31378</v>
      </c>
      <c r="I11370" t="s">
        <v>31386</v>
      </c>
      <c r="J11370" t="s">
        <v>31634</v>
      </c>
      <c r="K11370" t="s">
        <v>40679</v>
      </c>
      <c r="M11370" t="s">
        <v>41180</v>
      </c>
      <c r="N11370" t="s">
        <v>44905</v>
      </c>
      <c r="O11370" t="s">
        <v>44906</v>
      </c>
      <c r="Q11370">
        <v>0</v>
      </c>
      <c r="R11370" t="s">
        <v>44916</v>
      </c>
      <c r="S11370" t="s">
        <v>45355</v>
      </c>
      <c r="T11370" t="s">
        <v>46835</v>
      </c>
      <c r="U11370" t="s">
        <v>56020</v>
      </c>
      <c r="V11370" t="s">
        <v>60283</v>
      </c>
      <c r="W11370" t="s">
        <v>41180</v>
      </c>
      <c r="X11370" t="s">
        <v>44917</v>
      </c>
    </row>
    <row r="11371" spans="1:24">
      <c r="A11371">
        <f>HYPERLINK("https://www.philgeps.gov.ph/GEPSNONPILOT/Tender/SplashBidNoticeAbstractUI.aspx?menuIndex=3&amp;refID=7063478&amp;Result=3","7063478")</f>
        <v>0</v>
      </c>
      <c r="B11371" t="s">
        <v>493</v>
      </c>
      <c r="C11371" t="s">
        <v>14367</v>
      </c>
      <c r="D11371" t="s">
        <v>18152</v>
      </c>
      <c r="E11371" t="s">
        <v>28042</v>
      </c>
      <c r="F11371" t="s">
        <v>31362</v>
      </c>
      <c r="G11371" t="s">
        <v>31369</v>
      </c>
      <c r="H11371" t="s">
        <v>15799</v>
      </c>
      <c r="I11371" t="s">
        <v>13635</v>
      </c>
      <c r="J11371" t="s">
        <v>32171</v>
      </c>
      <c r="K11371" t="s">
        <v>40670</v>
      </c>
      <c r="M11371" t="s">
        <v>41448</v>
      </c>
      <c r="N11371" t="s">
        <v>44905</v>
      </c>
      <c r="O11371" t="s">
        <v>44906</v>
      </c>
      <c r="P11371">
        <v>0</v>
      </c>
      <c r="Q11371">
        <v>0</v>
      </c>
      <c r="R11371" t="s">
        <v>44916</v>
      </c>
      <c r="S11371" t="s">
        <v>45313</v>
      </c>
      <c r="T11371" t="s">
        <v>46532</v>
      </c>
      <c r="U11371" t="s">
        <v>48412</v>
      </c>
      <c r="W11371" t="s">
        <v>41448</v>
      </c>
      <c r="X11371" t="s">
        <v>44917</v>
      </c>
    </row>
    <row r="11372" spans="1:24">
      <c r="A11372">
        <f>HYPERLINK("https://www.philgeps.gov.ph/GEPSNONPILOT/Tender/SplashBidNoticeAbstractUI.aspx?menuIndex=3&amp;refID=7063463&amp;Result=3","7063463")</f>
        <v>0</v>
      </c>
      <c r="B11372" t="s">
        <v>3067</v>
      </c>
      <c r="C11372" t="s">
        <v>14368</v>
      </c>
      <c r="D11372" t="s">
        <v>18106</v>
      </c>
      <c r="E11372" t="s">
        <v>28043</v>
      </c>
      <c r="F11372" t="s">
        <v>31362</v>
      </c>
      <c r="G11372" t="s">
        <v>31369</v>
      </c>
      <c r="H11372" t="s">
        <v>31378</v>
      </c>
      <c r="I11372" t="s">
        <v>31386</v>
      </c>
      <c r="J11372" t="s">
        <v>36555</v>
      </c>
      <c r="K11372" t="s">
        <v>40686</v>
      </c>
      <c r="L11372" t="s">
        <v>3067</v>
      </c>
      <c r="M11372" t="s">
        <v>44304</v>
      </c>
      <c r="N11372" t="s">
        <v>44905</v>
      </c>
      <c r="O11372" t="s">
        <v>44906</v>
      </c>
      <c r="P11372">
        <v>0</v>
      </c>
      <c r="Q11372">
        <v>0</v>
      </c>
      <c r="R11372" t="s">
        <v>44916</v>
      </c>
      <c r="S11372" t="s">
        <v>45313</v>
      </c>
      <c r="T11372" t="s">
        <v>46519</v>
      </c>
      <c r="U11372" t="s">
        <v>55951</v>
      </c>
      <c r="W11372" t="s">
        <v>44304</v>
      </c>
      <c r="X11372" t="s">
        <v>44917</v>
      </c>
    </row>
    <row r="11373" spans="1:24">
      <c r="A11373">
        <f>HYPERLINK("https://www.philgeps.gov.ph/GEPSNONPILOT/Tender/SplashBidNoticeAbstractUI.aspx?menuIndex=3&amp;refID=7063491&amp;Result=3","7063491")</f>
        <v>0</v>
      </c>
      <c r="B11373" t="s">
        <v>1466</v>
      </c>
      <c r="C11373" t="s">
        <v>14369</v>
      </c>
      <c r="D11373" t="s">
        <v>18128</v>
      </c>
      <c r="E11373" t="s">
        <v>28044</v>
      </c>
      <c r="F11373" t="s">
        <v>31362</v>
      </c>
      <c r="G11373" t="s">
        <v>31369</v>
      </c>
      <c r="H11373" t="s">
        <v>31378</v>
      </c>
      <c r="I11373" t="s">
        <v>31386</v>
      </c>
      <c r="J11373" t="s">
        <v>38468</v>
      </c>
      <c r="K11373" t="s">
        <v>40677</v>
      </c>
      <c r="M11373" t="s">
        <v>42498</v>
      </c>
      <c r="N11373" t="s">
        <v>44905</v>
      </c>
      <c r="O11373" t="s">
        <v>44906</v>
      </c>
      <c r="P11373">
        <v>0</v>
      </c>
      <c r="Q11373">
        <v>0</v>
      </c>
      <c r="R11373" t="s">
        <v>44916</v>
      </c>
      <c r="S11373" t="s">
        <v>45313</v>
      </c>
      <c r="T11373" t="s">
        <v>46415</v>
      </c>
      <c r="U11373" t="s">
        <v>56021</v>
      </c>
      <c r="V11373" t="s">
        <v>59460</v>
      </c>
      <c r="W11373" t="s">
        <v>42498</v>
      </c>
      <c r="X11373" t="s">
        <v>44917</v>
      </c>
    </row>
    <row r="11374" spans="1:24">
      <c r="A11374">
        <f>HYPERLINK("https://www.philgeps.gov.ph/GEPSNONPILOT/Tender/SplashBidNoticeAbstractUI.aspx?menuIndex=3&amp;refID=7063473&amp;Result=3","7063473")</f>
        <v>0</v>
      </c>
      <c r="B11374" t="s">
        <v>424</v>
      </c>
      <c r="C11374" t="s">
        <v>14370</v>
      </c>
      <c r="D11374" t="s">
        <v>18168</v>
      </c>
      <c r="E11374" t="s">
        <v>14370</v>
      </c>
      <c r="F11374" t="s">
        <v>31362</v>
      </c>
      <c r="G11374" t="s">
        <v>31370</v>
      </c>
      <c r="H11374" t="s">
        <v>15799</v>
      </c>
      <c r="I11374" t="s">
        <v>31430</v>
      </c>
      <c r="J11374" t="s">
        <v>38469</v>
      </c>
      <c r="K11374" t="s">
        <v>40665</v>
      </c>
      <c r="M11374" t="s">
        <v>44307</v>
      </c>
      <c r="N11374" t="s">
        <v>44905</v>
      </c>
      <c r="O11374" t="s">
        <v>44906</v>
      </c>
      <c r="P11374">
        <v>0</v>
      </c>
      <c r="Q11374">
        <v>0</v>
      </c>
      <c r="R11374" t="s">
        <v>44916</v>
      </c>
      <c r="S11374" t="s">
        <v>45313</v>
      </c>
      <c r="T11374" t="s">
        <v>46416</v>
      </c>
      <c r="U11374" t="s">
        <v>56022</v>
      </c>
      <c r="W11374" t="s">
        <v>44307</v>
      </c>
      <c r="X11374" t="s">
        <v>44917</v>
      </c>
    </row>
    <row r="11375" spans="1:24">
      <c r="A11375">
        <f>HYPERLINK("https://www.philgeps.gov.ph/GEPSNONPILOT/Tender/SplashBidNoticeAbstractUI.aspx?menuIndex=3&amp;refID=7063502&amp;Result=3","7063502")</f>
        <v>0</v>
      </c>
      <c r="B11375" t="s">
        <v>3075</v>
      </c>
      <c r="C11375" t="s">
        <v>14371</v>
      </c>
      <c r="D11375" t="s">
        <v>18127</v>
      </c>
      <c r="E11375" t="s">
        <v>28045</v>
      </c>
      <c r="F11375" t="s">
        <v>31362</v>
      </c>
      <c r="G11375" t="s">
        <v>31369</v>
      </c>
      <c r="H11375" t="s">
        <v>31378</v>
      </c>
      <c r="I11375" t="s">
        <v>31386</v>
      </c>
      <c r="J11375" t="s">
        <v>38470</v>
      </c>
      <c r="K11375" t="s">
        <v>40783</v>
      </c>
      <c r="M11375" t="s">
        <v>44314</v>
      </c>
      <c r="N11375" t="s">
        <v>44905</v>
      </c>
      <c r="O11375" t="s">
        <v>44906</v>
      </c>
      <c r="P11375">
        <v>0</v>
      </c>
      <c r="Q11375">
        <v>0</v>
      </c>
      <c r="R11375" t="s">
        <v>44916</v>
      </c>
      <c r="S11375" t="s">
        <v>45313</v>
      </c>
      <c r="T11375" t="s">
        <v>46462</v>
      </c>
      <c r="U11375" t="s">
        <v>56023</v>
      </c>
      <c r="W11375" t="s">
        <v>44314</v>
      </c>
      <c r="X11375" t="s">
        <v>44917</v>
      </c>
    </row>
    <row r="11376" spans="1:24">
      <c r="A11376">
        <f>HYPERLINK("https://www.philgeps.gov.ph/GEPSNONPILOT/Tender/SplashBidNoticeAbstractUI.aspx?menuIndex=3&amp;refID=7063477&amp;Result=3","7063477")</f>
        <v>0</v>
      </c>
      <c r="B11376" t="s">
        <v>3077</v>
      </c>
      <c r="C11376" t="s">
        <v>14372</v>
      </c>
      <c r="D11376" t="s">
        <v>18108</v>
      </c>
      <c r="E11376" t="s">
        <v>28046</v>
      </c>
      <c r="F11376" t="s">
        <v>31363</v>
      </c>
      <c r="G11376" t="s">
        <v>31369</v>
      </c>
      <c r="H11376" t="s">
        <v>15799</v>
      </c>
      <c r="I11376" t="s">
        <v>6373</v>
      </c>
      <c r="J11376" t="s">
        <v>31531</v>
      </c>
      <c r="K11376" t="s">
        <v>40665</v>
      </c>
      <c r="M11376" t="s">
        <v>44317</v>
      </c>
      <c r="N11376" t="s">
        <v>44905</v>
      </c>
      <c r="O11376" t="s">
        <v>44906</v>
      </c>
      <c r="P11376">
        <v>0</v>
      </c>
      <c r="Q11376">
        <v>1</v>
      </c>
      <c r="R11376" t="s">
        <v>44916</v>
      </c>
      <c r="S11376" t="s">
        <v>45313</v>
      </c>
      <c r="T11376" t="s">
        <v>46425</v>
      </c>
      <c r="U11376" t="s">
        <v>56024</v>
      </c>
      <c r="V11376" t="s">
        <v>60284</v>
      </c>
      <c r="W11376" t="s">
        <v>44317</v>
      </c>
      <c r="X11376" t="s">
        <v>44917</v>
      </c>
    </row>
    <row r="11377" spans="1:24">
      <c r="A11377">
        <f>HYPERLINK("https://www.philgeps.gov.ph/GEPSNONPILOT/Tender/SplashBidNoticeAbstractUI.aspx?menuIndex=3&amp;refID=7063557&amp;Result=3","7063557")</f>
        <v>0</v>
      </c>
      <c r="B11377" t="s">
        <v>3078</v>
      </c>
      <c r="C11377" t="s">
        <v>14373</v>
      </c>
      <c r="D11377" t="s">
        <v>18158</v>
      </c>
      <c r="E11377" t="s">
        <v>19186</v>
      </c>
      <c r="F11377" t="s">
        <v>31362</v>
      </c>
      <c r="G11377" t="s">
        <v>31369</v>
      </c>
      <c r="H11377" t="s">
        <v>15799</v>
      </c>
      <c r="I11377" t="s">
        <v>3815</v>
      </c>
      <c r="J11377" t="s">
        <v>38471</v>
      </c>
      <c r="K11377" t="s">
        <v>40665</v>
      </c>
      <c r="M11377" t="s">
        <v>44318</v>
      </c>
      <c r="N11377" t="s">
        <v>44905</v>
      </c>
      <c r="O11377" t="s">
        <v>44906</v>
      </c>
      <c r="Q11377">
        <v>0</v>
      </c>
      <c r="R11377" t="s">
        <v>44916</v>
      </c>
      <c r="S11377" t="s">
        <v>45356</v>
      </c>
      <c r="T11377" t="s">
        <v>46411</v>
      </c>
      <c r="U11377" t="s">
        <v>56025</v>
      </c>
      <c r="W11377" t="s">
        <v>44318</v>
      </c>
      <c r="X11377" t="s">
        <v>44917</v>
      </c>
    </row>
    <row r="11378" spans="1:24">
      <c r="A11378">
        <f>HYPERLINK("https://www.philgeps.gov.ph/GEPSNONPILOT/Tender/SplashBidNoticeAbstractUI.aspx?menuIndex=3&amp;refID=7063555&amp;Result=3","7063555")</f>
        <v>0</v>
      </c>
      <c r="B11378" t="s">
        <v>1334</v>
      </c>
      <c r="C11378" t="s">
        <v>14374</v>
      </c>
      <c r="D11378" t="s">
        <v>18162</v>
      </c>
      <c r="E11378" t="s">
        <v>28047</v>
      </c>
      <c r="F11378" t="s">
        <v>31362</v>
      </c>
      <c r="G11378" t="s">
        <v>31369</v>
      </c>
      <c r="H11378" t="s">
        <v>31378</v>
      </c>
      <c r="I11378" t="s">
        <v>31386</v>
      </c>
      <c r="J11378" t="s">
        <v>38472</v>
      </c>
      <c r="K11378" t="s">
        <v>40686</v>
      </c>
      <c r="M11378" t="s">
        <v>42352</v>
      </c>
      <c r="N11378" t="s">
        <v>44905</v>
      </c>
      <c r="O11378" t="s">
        <v>44906</v>
      </c>
      <c r="P11378">
        <v>0</v>
      </c>
      <c r="Q11378">
        <v>1</v>
      </c>
      <c r="R11378" t="s">
        <v>44916</v>
      </c>
      <c r="S11378" t="s">
        <v>45313</v>
      </c>
      <c r="T11378" t="s">
        <v>46413</v>
      </c>
      <c r="U11378" t="s">
        <v>56026</v>
      </c>
      <c r="V11378" t="s">
        <v>59231</v>
      </c>
      <c r="W11378" t="s">
        <v>42352</v>
      </c>
      <c r="X11378" t="s">
        <v>44917</v>
      </c>
    </row>
    <row r="11379" spans="1:24">
      <c r="A11379">
        <f>HYPERLINK("https://www.philgeps.gov.ph/GEPSNONPILOT/Tender/SplashBidNoticeAbstractUI.aspx?menuIndex=3&amp;refID=7063517&amp;Result=3","7063517")</f>
        <v>0</v>
      </c>
      <c r="B11379" t="s">
        <v>3067</v>
      </c>
      <c r="C11379" t="s">
        <v>14375</v>
      </c>
      <c r="D11379" t="s">
        <v>18106</v>
      </c>
      <c r="E11379" t="s">
        <v>28048</v>
      </c>
      <c r="F11379" t="s">
        <v>31362</v>
      </c>
      <c r="G11379" t="s">
        <v>31369</v>
      </c>
      <c r="H11379" t="s">
        <v>31378</v>
      </c>
      <c r="I11379" t="s">
        <v>31386</v>
      </c>
      <c r="J11379" t="s">
        <v>36555</v>
      </c>
      <c r="K11379" t="s">
        <v>40686</v>
      </c>
      <c r="L11379" t="s">
        <v>3067</v>
      </c>
      <c r="M11379" t="s">
        <v>44304</v>
      </c>
      <c r="N11379" t="s">
        <v>44905</v>
      </c>
      <c r="O11379" t="s">
        <v>44906</v>
      </c>
      <c r="P11379">
        <v>0</v>
      </c>
      <c r="Q11379">
        <v>1</v>
      </c>
      <c r="R11379" t="s">
        <v>44916</v>
      </c>
      <c r="S11379" t="s">
        <v>45313</v>
      </c>
      <c r="T11379" t="s">
        <v>46519</v>
      </c>
      <c r="U11379" t="s">
        <v>55951</v>
      </c>
      <c r="W11379" t="s">
        <v>44304</v>
      </c>
      <c r="X11379" t="s">
        <v>44917</v>
      </c>
    </row>
    <row r="11380" spans="1:24">
      <c r="A11380">
        <f>HYPERLINK("https://www.philgeps.gov.ph/GEPSNONPILOT/Tender/SplashBidNoticeAbstractUI.aspx?menuIndex=3&amp;refID=7063553&amp;Result=3","7063553")</f>
        <v>0</v>
      </c>
      <c r="B11380" t="s">
        <v>131</v>
      </c>
      <c r="C11380" t="s">
        <v>14376</v>
      </c>
      <c r="D11380" t="s">
        <v>18125</v>
      </c>
      <c r="E11380" t="s">
        <v>28049</v>
      </c>
      <c r="F11380" t="s">
        <v>31362</v>
      </c>
      <c r="G11380" t="s">
        <v>31369</v>
      </c>
      <c r="H11380" t="s">
        <v>15799</v>
      </c>
      <c r="I11380" t="s">
        <v>31380</v>
      </c>
      <c r="J11380" t="s">
        <v>38473</v>
      </c>
      <c r="K11380" t="s">
        <v>40670</v>
      </c>
      <c r="L11380" t="s">
        <v>131</v>
      </c>
      <c r="M11380" t="s">
        <v>41069</v>
      </c>
      <c r="N11380" t="s">
        <v>44905</v>
      </c>
      <c r="O11380" t="s">
        <v>44906</v>
      </c>
      <c r="P11380">
        <v>0</v>
      </c>
      <c r="Q11380">
        <v>17</v>
      </c>
      <c r="R11380" t="s">
        <v>44916</v>
      </c>
      <c r="S11380" t="s">
        <v>45313</v>
      </c>
      <c r="T11380" t="s">
        <v>46462</v>
      </c>
      <c r="U11380" t="s">
        <v>51611</v>
      </c>
      <c r="V11380" t="s">
        <v>60282</v>
      </c>
      <c r="W11380" t="s">
        <v>41069</v>
      </c>
      <c r="X11380" t="s">
        <v>44917</v>
      </c>
    </row>
    <row r="11381" spans="1:24">
      <c r="A11381">
        <f>HYPERLINK("https://www.philgeps.gov.ph/GEPSNONPILOT/Tender/SplashBidNoticeAbstractUI.aspx?menuIndex=3&amp;refID=7063551&amp;Result=3","7063551")</f>
        <v>0</v>
      </c>
      <c r="B11381" t="s">
        <v>367</v>
      </c>
      <c r="C11381" t="s">
        <v>14377</v>
      </c>
      <c r="D11381" t="s">
        <v>18134</v>
      </c>
      <c r="E11381" t="s">
        <v>28050</v>
      </c>
      <c r="F11381" t="s">
        <v>31362</v>
      </c>
      <c r="G11381" t="s">
        <v>31369</v>
      </c>
      <c r="H11381" t="s">
        <v>31378</v>
      </c>
      <c r="I11381" t="s">
        <v>31386</v>
      </c>
      <c r="J11381" t="s">
        <v>38474</v>
      </c>
      <c r="K11381" t="s">
        <v>40679</v>
      </c>
      <c r="M11381" t="s">
        <v>41398</v>
      </c>
      <c r="N11381" t="s">
        <v>44905</v>
      </c>
      <c r="O11381" t="s">
        <v>44906</v>
      </c>
      <c r="P11381">
        <v>0</v>
      </c>
      <c r="Q11381">
        <v>0</v>
      </c>
      <c r="R11381" t="s">
        <v>44916</v>
      </c>
      <c r="S11381" t="s">
        <v>45313</v>
      </c>
      <c r="T11381" t="s">
        <v>46479</v>
      </c>
      <c r="U11381" t="s">
        <v>56027</v>
      </c>
      <c r="V11381" t="s">
        <v>60238</v>
      </c>
      <c r="W11381" t="s">
        <v>41398</v>
      </c>
      <c r="X11381" t="s">
        <v>44917</v>
      </c>
    </row>
    <row r="11382" spans="1:24">
      <c r="A11382">
        <f>HYPERLINK("https://www.philgeps.gov.ph/GEPSNONPILOT/Tender/SplashBidNoticeAbstractUI.aspx?menuIndex=3&amp;refID=7063547&amp;Result=3","7063547")</f>
        <v>0</v>
      </c>
      <c r="B11382" t="s">
        <v>3075</v>
      </c>
      <c r="C11382" t="s">
        <v>14378</v>
      </c>
      <c r="D11382" t="s">
        <v>18127</v>
      </c>
      <c r="E11382" t="s">
        <v>28051</v>
      </c>
      <c r="F11382" t="s">
        <v>31362</v>
      </c>
      <c r="G11382" t="s">
        <v>31369</v>
      </c>
      <c r="H11382" t="s">
        <v>31378</v>
      </c>
      <c r="I11382" t="s">
        <v>31386</v>
      </c>
      <c r="J11382" t="s">
        <v>38475</v>
      </c>
      <c r="K11382" t="s">
        <v>40783</v>
      </c>
      <c r="M11382" t="s">
        <v>44314</v>
      </c>
      <c r="N11382" t="s">
        <v>44905</v>
      </c>
      <c r="O11382" t="s">
        <v>44906</v>
      </c>
      <c r="P11382">
        <v>0</v>
      </c>
      <c r="Q11382">
        <v>0</v>
      </c>
      <c r="R11382" t="s">
        <v>44916</v>
      </c>
      <c r="S11382" t="s">
        <v>45313</v>
      </c>
      <c r="T11382" t="s">
        <v>46462</v>
      </c>
      <c r="U11382" t="s">
        <v>56028</v>
      </c>
      <c r="W11382" t="s">
        <v>44314</v>
      </c>
      <c r="X11382" t="s">
        <v>44917</v>
      </c>
    </row>
    <row r="11383" spans="1:24">
      <c r="A11383">
        <f>HYPERLINK("https://www.philgeps.gov.ph/GEPSNONPILOT/Tender/SplashBidNoticeAbstractUI.aspx?menuIndex=3&amp;refID=7063469&amp;Result=3","7063469")</f>
        <v>0</v>
      </c>
      <c r="B11383" t="s">
        <v>2989</v>
      </c>
      <c r="C11383" t="s">
        <v>14379</v>
      </c>
      <c r="D11383" t="s">
        <v>18167</v>
      </c>
      <c r="E11383" t="s">
        <v>28052</v>
      </c>
      <c r="F11383" t="s">
        <v>31362</v>
      </c>
      <c r="G11383" t="s">
        <v>31373</v>
      </c>
      <c r="H11383" t="s">
        <v>15799</v>
      </c>
      <c r="I11383" t="s">
        <v>31414</v>
      </c>
      <c r="J11383" t="s">
        <v>31602</v>
      </c>
      <c r="K11383" t="s">
        <v>40665</v>
      </c>
      <c r="M11383" t="s">
        <v>44215</v>
      </c>
      <c r="N11383" t="s">
        <v>44905</v>
      </c>
      <c r="O11383" t="s">
        <v>44906</v>
      </c>
      <c r="P11383">
        <v>0</v>
      </c>
      <c r="Q11383">
        <v>9</v>
      </c>
      <c r="R11383" t="s">
        <v>44916</v>
      </c>
      <c r="S11383" t="s">
        <v>45313</v>
      </c>
      <c r="T11383" t="s">
        <v>46392</v>
      </c>
      <c r="U11383" t="s">
        <v>56029</v>
      </c>
      <c r="V11383" t="s">
        <v>60280</v>
      </c>
      <c r="W11383" t="s">
        <v>44215</v>
      </c>
      <c r="X11383" t="s">
        <v>44917</v>
      </c>
    </row>
    <row r="11384" spans="1:24">
      <c r="A11384">
        <f>HYPERLINK("https://www.philgeps.gov.ph/GEPSNONPILOT/Tender/SplashBidNoticeAbstractUI.aspx?menuIndex=3&amp;refID=7063591&amp;Result=3","7063591")</f>
        <v>0</v>
      </c>
      <c r="B11384" t="s">
        <v>424</v>
      </c>
      <c r="C11384" t="s">
        <v>14380</v>
      </c>
      <c r="D11384" t="s">
        <v>18168</v>
      </c>
      <c r="E11384" t="s">
        <v>14380</v>
      </c>
      <c r="F11384" t="s">
        <v>31362</v>
      </c>
      <c r="G11384" t="s">
        <v>31370</v>
      </c>
      <c r="H11384" t="s">
        <v>15799</v>
      </c>
      <c r="I11384" t="s">
        <v>6240</v>
      </c>
      <c r="J11384" t="s">
        <v>38476</v>
      </c>
      <c r="K11384" t="s">
        <v>40665</v>
      </c>
      <c r="M11384" t="s">
        <v>44307</v>
      </c>
      <c r="N11384" t="s">
        <v>44905</v>
      </c>
      <c r="O11384" t="s">
        <v>44906</v>
      </c>
      <c r="P11384">
        <v>0</v>
      </c>
      <c r="Q11384">
        <v>0</v>
      </c>
      <c r="R11384" t="s">
        <v>44916</v>
      </c>
      <c r="S11384" t="s">
        <v>45313</v>
      </c>
      <c r="T11384" t="s">
        <v>46532</v>
      </c>
      <c r="U11384" t="s">
        <v>56030</v>
      </c>
      <c r="W11384" t="s">
        <v>44307</v>
      </c>
      <c r="X11384" t="s">
        <v>44917</v>
      </c>
    </row>
    <row r="11385" spans="1:24">
      <c r="A11385">
        <f>HYPERLINK("https://www.philgeps.gov.ph/GEPSNONPILOT/Tender/SplashBidNoticeAbstractUI.aspx?menuIndex=3&amp;refID=7063572&amp;Result=3","7063572")</f>
        <v>0</v>
      </c>
      <c r="B11385" t="s">
        <v>367</v>
      </c>
      <c r="C11385" t="s">
        <v>14381</v>
      </c>
      <c r="D11385" t="s">
        <v>18134</v>
      </c>
      <c r="E11385" t="s">
        <v>28053</v>
      </c>
      <c r="F11385" t="s">
        <v>31362</v>
      </c>
      <c r="G11385" t="s">
        <v>31369</v>
      </c>
      <c r="H11385" t="s">
        <v>31378</v>
      </c>
      <c r="I11385" t="s">
        <v>31386</v>
      </c>
      <c r="J11385" t="s">
        <v>38477</v>
      </c>
      <c r="K11385" t="s">
        <v>40679</v>
      </c>
      <c r="M11385" t="s">
        <v>41398</v>
      </c>
      <c r="N11385" t="s">
        <v>44905</v>
      </c>
      <c r="O11385" t="s">
        <v>44906</v>
      </c>
      <c r="P11385">
        <v>0</v>
      </c>
      <c r="Q11385">
        <v>0</v>
      </c>
      <c r="R11385" t="s">
        <v>44916</v>
      </c>
      <c r="S11385" t="s">
        <v>45313</v>
      </c>
      <c r="T11385" t="s">
        <v>46479</v>
      </c>
      <c r="U11385" t="s">
        <v>56027</v>
      </c>
      <c r="V11385" t="s">
        <v>60238</v>
      </c>
      <c r="W11385" t="s">
        <v>41398</v>
      </c>
      <c r="X11385" t="s">
        <v>44917</v>
      </c>
    </row>
    <row r="11386" spans="1:24">
      <c r="A11386">
        <f>HYPERLINK("https://www.philgeps.gov.ph/GEPSNONPILOT/Tender/SplashBidNoticeAbstractUI.aspx?menuIndex=3&amp;refID=7063570&amp;Result=3","7063570")</f>
        <v>0</v>
      </c>
      <c r="B11386" t="s">
        <v>1183</v>
      </c>
      <c r="C11386" t="s">
        <v>14382</v>
      </c>
      <c r="D11386" t="s">
        <v>18118</v>
      </c>
      <c r="E11386" t="s">
        <v>24938</v>
      </c>
      <c r="F11386" t="s">
        <v>31362</v>
      </c>
      <c r="G11386" t="s">
        <v>31369</v>
      </c>
      <c r="H11386" t="s">
        <v>31378</v>
      </c>
      <c r="I11386" t="s">
        <v>31386</v>
      </c>
      <c r="J11386" t="s">
        <v>38478</v>
      </c>
      <c r="K11386" t="s">
        <v>40679</v>
      </c>
      <c r="M11386" t="s">
        <v>42195</v>
      </c>
      <c r="N11386" t="s">
        <v>44905</v>
      </c>
      <c r="O11386" t="s">
        <v>44906</v>
      </c>
      <c r="P11386">
        <v>0</v>
      </c>
      <c r="Q11386">
        <v>0</v>
      </c>
      <c r="R11386" t="s">
        <v>44916</v>
      </c>
      <c r="S11386" t="s">
        <v>45313</v>
      </c>
      <c r="T11386" t="s">
        <v>46836</v>
      </c>
      <c r="U11386" t="s">
        <v>56031</v>
      </c>
      <c r="V11386" t="s">
        <v>59388</v>
      </c>
      <c r="W11386" t="s">
        <v>42195</v>
      </c>
      <c r="X11386" t="s">
        <v>44917</v>
      </c>
    </row>
    <row r="11387" spans="1:24">
      <c r="A11387">
        <f>HYPERLINK("https://www.philgeps.gov.ph/GEPSNONPILOT/Tender/SplashBidNoticeAbstractUI.aspx?menuIndex=3&amp;refID=7063530&amp;Result=3","7063530")</f>
        <v>0</v>
      </c>
      <c r="B11387" t="s">
        <v>3079</v>
      </c>
      <c r="C11387" t="s">
        <v>14383</v>
      </c>
      <c r="D11387" t="s">
        <v>18119</v>
      </c>
      <c r="E11387" t="s">
        <v>28054</v>
      </c>
      <c r="F11387" t="s">
        <v>31362</v>
      </c>
      <c r="G11387" t="s">
        <v>31368</v>
      </c>
      <c r="H11387" t="s">
        <v>15799</v>
      </c>
      <c r="I11387" t="s">
        <v>31397</v>
      </c>
      <c r="J11387" t="s">
        <v>31668</v>
      </c>
      <c r="K11387" t="s">
        <v>40666</v>
      </c>
      <c r="M11387" t="s">
        <v>44319</v>
      </c>
      <c r="N11387" t="s">
        <v>44905</v>
      </c>
      <c r="O11387" t="s">
        <v>44906</v>
      </c>
      <c r="P11387">
        <v>0</v>
      </c>
      <c r="Q11387">
        <v>5</v>
      </c>
      <c r="R11387" t="s">
        <v>44916</v>
      </c>
      <c r="S11387" t="s">
        <v>45313</v>
      </c>
      <c r="T11387" t="s">
        <v>46438</v>
      </c>
      <c r="U11387" t="s">
        <v>56032</v>
      </c>
      <c r="W11387" t="s">
        <v>44319</v>
      </c>
      <c r="X11387" t="s">
        <v>44917</v>
      </c>
    </row>
    <row r="11388" spans="1:24">
      <c r="A11388">
        <f>HYPERLINK("https://www.philgeps.gov.ph/GEPSNONPILOT/Tender/SplashBidNoticeAbstractUI.aspx?menuIndex=3&amp;refID=7063567&amp;Result=3","7063567")</f>
        <v>0</v>
      </c>
      <c r="B11388" t="s">
        <v>2789</v>
      </c>
      <c r="C11388" t="s">
        <v>14384</v>
      </c>
      <c r="D11388" t="s">
        <v>18134</v>
      </c>
      <c r="E11388" t="s">
        <v>28055</v>
      </c>
      <c r="F11388" t="s">
        <v>31362</v>
      </c>
      <c r="G11388" t="s">
        <v>31369</v>
      </c>
      <c r="H11388" t="s">
        <v>31378</v>
      </c>
      <c r="I11388" t="s">
        <v>31386</v>
      </c>
      <c r="J11388" t="s">
        <v>38479</v>
      </c>
      <c r="K11388" t="s">
        <v>40679</v>
      </c>
      <c r="M11388" t="s">
        <v>43986</v>
      </c>
      <c r="N11388" t="s">
        <v>44905</v>
      </c>
      <c r="O11388" t="s">
        <v>44906</v>
      </c>
      <c r="P11388">
        <v>0</v>
      </c>
      <c r="Q11388">
        <v>2</v>
      </c>
      <c r="R11388" t="s">
        <v>44916</v>
      </c>
      <c r="S11388" t="s">
        <v>45313</v>
      </c>
      <c r="T11388" t="s">
        <v>46533</v>
      </c>
      <c r="U11388" t="s">
        <v>55274</v>
      </c>
      <c r="W11388" t="s">
        <v>43986</v>
      </c>
      <c r="X11388" t="s">
        <v>44917</v>
      </c>
    </row>
    <row r="11389" spans="1:24">
      <c r="A11389">
        <f>HYPERLINK("https://www.philgeps.gov.ph/GEPSNONPILOT/Tender/SplashBidNoticeAbstractUI.aspx?menuIndex=3&amp;refID=7063585&amp;Result=3","7063585")</f>
        <v>0</v>
      </c>
      <c r="B11389" t="s">
        <v>1466</v>
      </c>
      <c r="C11389" t="s">
        <v>14385</v>
      </c>
      <c r="D11389" t="s">
        <v>18128</v>
      </c>
      <c r="E11389" t="s">
        <v>28056</v>
      </c>
      <c r="F11389" t="s">
        <v>31362</v>
      </c>
      <c r="G11389" t="s">
        <v>31369</v>
      </c>
      <c r="H11389" t="s">
        <v>31378</v>
      </c>
      <c r="I11389" t="s">
        <v>31386</v>
      </c>
      <c r="J11389" t="s">
        <v>38480</v>
      </c>
      <c r="K11389" t="s">
        <v>40665</v>
      </c>
      <c r="M11389" t="s">
        <v>42498</v>
      </c>
      <c r="N11389" t="s">
        <v>44905</v>
      </c>
      <c r="O11389" t="s">
        <v>44906</v>
      </c>
      <c r="P11389">
        <v>0</v>
      </c>
      <c r="Q11389">
        <v>0</v>
      </c>
      <c r="R11389" t="s">
        <v>44916</v>
      </c>
      <c r="S11389" t="s">
        <v>45313</v>
      </c>
      <c r="T11389" t="s">
        <v>46415</v>
      </c>
      <c r="U11389" t="s">
        <v>56033</v>
      </c>
      <c r="V11389" t="s">
        <v>59460</v>
      </c>
      <c r="W11389" t="s">
        <v>42498</v>
      </c>
      <c r="X11389" t="s">
        <v>44917</v>
      </c>
    </row>
    <row r="11390" spans="1:24">
      <c r="A11390">
        <f>HYPERLINK("https://www.philgeps.gov.ph/GEPSNONPILOT/Tender/SplashBidNoticeAbstractUI.aspx?menuIndex=3&amp;refID=7063562&amp;Result=3","7063562")</f>
        <v>0</v>
      </c>
      <c r="B11390" t="s">
        <v>3067</v>
      </c>
      <c r="C11390" t="s">
        <v>14386</v>
      </c>
      <c r="D11390" t="s">
        <v>18106</v>
      </c>
      <c r="E11390" t="s">
        <v>28057</v>
      </c>
      <c r="F11390" t="s">
        <v>31362</v>
      </c>
      <c r="G11390" t="s">
        <v>31369</v>
      </c>
      <c r="H11390" t="s">
        <v>31378</v>
      </c>
      <c r="I11390" t="s">
        <v>31386</v>
      </c>
      <c r="J11390" t="s">
        <v>38481</v>
      </c>
      <c r="K11390" t="s">
        <v>40783</v>
      </c>
      <c r="L11390" t="s">
        <v>3067</v>
      </c>
      <c r="M11390" t="s">
        <v>44304</v>
      </c>
      <c r="N11390" t="s">
        <v>44905</v>
      </c>
      <c r="O11390" t="s">
        <v>44906</v>
      </c>
      <c r="P11390">
        <v>0</v>
      </c>
      <c r="Q11390">
        <v>0</v>
      </c>
      <c r="R11390" t="s">
        <v>44916</v>
      </c>
      <c r="S11390" t="s">
        <v>45313</v>
      </c>
      <c r="T11390" t="s">
        <v>46519</v>
      </c>
      <c r="U11390" t="s">
        <v>55951</v>
      </c>
      <c r="W11390" t="s">
        <v>44304</v>
      </c>
      <c r="X11390" t="s">
        <v>44917</v>
      </c>
    </row>
    <row r="11391" spans="1:24">
      <c r="A11391">
        <f>HYPERLINK("https://www.philgeps.gov.ph/GEPSNONPILOT/Tender/SplashBidNoticeAbstractUI.aspx?menuIndex=3&amp;refID=7063545&amp;Result=3","7063545")</f>
        <v>0</v>
      </c>
      <c r="B11391" t="s">
        <v>424</v>
      </c>
      <c r="C11391" t="s">
        <v>14387</v>
      </c>
      <c r="D11391" t="s">
        <v>18168</v>
      </c>
      <c r="E11391" t="s">
        <v>14387</v>
      </c>
      <c r="F11391" t="s">
        <v>31362</v>
      </c>
      <c r="G11391" t="s">
        <v>31370</v>
      </c>
      <c r="H11391" t="s">
        <v>15799</v>
      </c>
      <c r="I11391" t="s">
        <v>31430</v>
      </c>
      <c r="J11391" t="s">
        <v>38482</v>
      </c>
      <c r="K11391" t="s">
        <v>40665</v>
      </c>
      <c r="M11391" t="s">
        <v>44307</v>
      </c>
      <c r="N11391" t="s">
        <v>44905</v>
      </c>
      <c r="O11391" t="s">
        <v>44906</v>
      </c>
      <c r="P11391">
        <v>0</v>
      </c>
      <c r="Q11391">
        <v>0</v>
      </c>
      <c r="R11391" t="s">
        <v>44916</v>
      </c>
      <c r="S11391" t="s">
        <v>45313</v>
      </c>
      <c r="T11391" t="s">
        <v>46532</v>
      </c>
      <c r="U11391" t="s">
        <v>56034</v>
      </c>
      <c r="W11391" t="s">
        <v>44307</v>
      </c>
      <c r="X11391" t="s">
        <v>44917</v>
      </c>
    </row>
    <row r="11392" spans="1:24">
      <c r="A11392">
        <f>HYPERLINK("https://www.philgeps.gov.ph/GEPSNONPILOT/Tender/SplashBidNoticeAbstractUI.aspx?menuIndex=3&amp;refID=7063541&amp;Result=3","7063541")</f>
        <v>0</v>
      </c>
      <c r="B11392" t="s">
        <v>367</v>
      </c>
      <c r="C11392" t="s">
        <v>14388</v>
      </c>
      <c r="D11392" t="s">
        <v>18134</v>
      </c>
      <c r="E11392" t="s">
        <v>28058</v>
      </c>
      <c r="F11392" t="s">
        <v>31362</v>
      </c>
      <c r="G11392" t="s">
        <v>31369</v>
      </c>
      <c r="H11392" t="s">
        <v>31378</v>
      </c>
      <c r="I11392" t="s">
        <v>31386</v>
      </c>
      <c r="J11392" t="s">
        <v>38483</v>
      </c>
      <c r="K11392" t="s">
        <v>40682</v>
      </c>
      <c r="M11392" t="s">
        <v>41398</v>
      </c>
      <c r="N11392" t="s">
        <v>44905</v>
      </c>
      <c r="O11392" t="s">
        <v>44906</v>
      </c>
      <c r="P11392">
        <v>0</v>
      </c>
      <c r="Q11392">
        <v>0</v>
      </c>
      <c r="R11392" t="s">
        <v>44916</v>
      </c>
      <c r="S11392" t="s">
        <v>45313</v>
      </c>
      <c r="T11392" t="s">
        <v>46479</v>
      </c>
      <c r="U11392" t="s">
        <v>56035</v>
      </c>
      <c r="V11392" t="s">
        <v>60238</v>
      </c>
      <c r="W11392" t="s">
        <v>41398</v>
      </c>
      <c r="X11392" t="s">
        <v>44917</v>
      </c>
    </row>
    <row r="11393" spans="1:24">
      <c r="A11393">
        <f>HYPERLINK("https://www.philgeps.gov.ph/GEPSNONPILOT/Tender/SplashBidNoticeAbstractUI.aspx?menuIndex=3&amp;refID=7063611&amp;Result=3","7063611")</f>
        <v>0</v>
      </c>
      <c r="B11393" t="s">
        <v>367</v>
      </c>
      <c r="C11393" t="s">
        <v>14389</v>
      </c>
      <c r="D11393" t="s">
        <v>18134</v>
      </c>
      <c r="E11393" t="s">
        <v>28059</v>
      </c>
      <c r="F11393" t="s">
        <v>31362</v>
      </c>
      <c r="G11393" t="s">
        <v>31369</v>
      </c>
      <c r="H11393" t="s">
        <v>31378</v>
      </c>
      <c r="I11393" t="s">
        <v>31386</v>
      </c>
      <c r="J11393" t="s">
        <v>38484</v>
      </c>
      <c r="K11393" t="s">
        <v>40665</v>
      </c>
      <c r="M11393" t="s">
        <v>41398</v>
      </c>
      <c r="N11393" t="s">
        <v>44905</v>
      </c>
      <c r="O11393" t="s">
        <v>44906</v>
      </c>
      <c r="P11393">
        <v>0</v>
      </c>
      <c r="Q11393">
        <v>0</v>
      </c>
      <c r="R11393" t="s">
        <v>44916</v>
      </c>
      <c r="S11393" t="s">
        <v>45313</v>
      </c>
      <c r="T11393" t="s">
        <v>46479</v>
      </c>
      <c r="U11393" t="s">
        <v>56027</v>
      </c>
      <c r="V11393" t="s">
        <v>60238</v>
      </c>
      <c r="W11393" t="s">
        <v>41398</v>
      </c>
      <c r="X11393" t="s">
        <v>44917</v>
      </c>
    </row>
    <row r="11394" spans="1:24">
      <c r="A11394">
        <f>HYPERLINK("https://www.philgeps.gov.ph/GEPSNONPILOT/Tender/SplashBidNoticeAbstractUI.aspx?menuIndex=3&amp;refID=7063529&amp;Result=3","7063529")</f>
        <v>0</v>
      </c>
      <c r="B11394" t="s">
        <v>424</v>
      </c>
      <c r="C11394" t="s">
        <v>14390</v>
      </c>
      <c r="D11394" t="s">
        <v>18168</v>
      </c>
      <c r="E11394" t="s">
        <v>14390</v>
      </c>
      <c r="F11394" t="s">
        <v>31362</v>
      </c>
      <c r="G11394" t="s">
        <v>31370</v>
      </c>
      <c r="H11394" t="s">
        <v>15799</v>
      </c>
      <c r="I11394" t="s">
        <v>31430</v>
      </c>
      <c r="J11394" t="s">
        <v>38485</v>
      </c>
      <c r="K11394" t="s">
        <v>40665</v>
      </c>
      <c r="M11394" t="s">
        <v>44307</v>
      </c>
      <c r="N11394" t="s">
        <v>44905</v>
      </c>
      <c r="O11394" t="s">
        <v>44906</v>
      </c>
      <c r="P11394">
        <v>0</v>
      </c>
      <c r="Q11394">
        <v>0</v>
      </c>
      <c r="R11394" t="s">
        <v>44916</v>
      </c>
      <c r="S11394" t="s">
        <v>45313</v>
      </c>
      <c r="T11394" t="s">
        <v>46532</v>
      </c>
      <c r="U11394" t="s">
        <v>56036</v>
      </c>
      <c r="W11394" t="s">
        <v>44307</v>
      </c>
      <c r="X11394" t="s">
        <v>44917</v>
      </c>
    </row>
    <row r="11395" spans="1:24">
      <c r="A11395">
        <f>HYPERLINK("https://www.philgeps.gov.ph/GEPSNONPILOT/Tender/SplashBidNoticeAbstractUI.aspx?menuIndex=3&amp;refID=7063702&amp;Result=3","7063702")</f>
        <v>0</v>
      </c>
      <c r="B11395" t="s">
        <v>2789</v>
      </c>
      <c r="C11395" t="s">
        <v>14391</v>
      </c>
      <c r="D11395" t="s">
        <v>18134</v>
      </c>
      <c r="E11395" t="s">
        <v>28060</v>
      </c>
      <c r="F11395" t="s">
        <v>31362</v>
      </c>
      <c r="G11395" t="s">
        <v>31369</v>
      </c>
      <c r="H11395" t="s">
        <v>31378</v>
      </c>
      <c r="I11395" t="s">
        <v>31386</v>
      </c>
      <c r="J11395" t="s">
        <v>38486</v>
      </c>
      <c r="K11395" t="s">
        <v>40679</v>
      </c>
      <c r="M11395" t="s">
        <v>43986</v>
      </c>
      <c r="N11395" t="s">
        <v>44905</v>
      </c>
      <c r="O11395" t="s">
        <v>44906</v>
      </c>
      <c r="P11395">
        <v>0</v>
      </c>
      <c r="Q11395">
        <v>3</v>
      </c>
      <c r="R11395" t="s">
        <v>44916</v>
      </c>
      <c r="S11395" t="s">
        <v>45313</v>
      </c>
      <c r="T11395" t="s">
        <v>46533</v>
      </c>
      <c r="U11395" t="s">
        <v>55274</v>
      </c>
      <c r="W11395" t="s">
        <v>43986</v>
      </c>
      <c r="X11395" t="s">
        <v>44917</v>
      </c>
    </row>
    <row r="11396" spans="1:24">
      <c r="A11396">
        <f>HYPERLINK("https://www.philgeps.gov.ph/GEPSNONPILOT/Tender/SplashBidNoticeAbstractUI.aspx?menuIndex=3&amp;refID=7063696&amp;Result=3","7063696")</f>
        <v>0</v>
      </c>
      <c r="B11396" t="s">
        <v>1817</v>
      </c>
      <c r="C11396" t="s">
        <v>14392</v>
      </c>
      <c r="D11396" t="s">
        <v>18181</v>
      </c>
      <c r="E11396" t="s">
        <v>28061</v>
      </c>
      <c r="F11396" t="s">
        <v>31362</v>
      </c>
      <c r="G11396" t="s">
        <v>31369</v>
      </c>
      <c r="H11396" t="s">
        <v>15799</v>
      </c>
      <c r="I11396" t="s">
        <v>31409</v>
      </c>
      <c r="J11396" t="s">
        <v>38487</v>
      </c>
      <c r="K11396" t="s">
        <v>40675</v>
      </c>
      <c r="M11396" t="s">
        <v>42900</v>
      </c>
      <c r="N11396" t="s">
        <v>44905</v>
      </c>
      <c r="O11396" t="s">
        <v>44906</v>
      </c>
      <c r="P11396">
        <v>0</v>
      </c>
      <c r="Q11396">
        <v>4</v>
      </c>
      <c r="R11396" t="s">
        <v>44916</v>
      </c>
      <c r="S11396" t="s">
        <v>45313</v>
      </c>
      <c r="T11396" t="s">
        <v>46679</v>
      </c>
      <c r="U11396" t="s">
        <v>55961</v>
      </c>
      <c r="V11396" t="s">
        <v>59382</v>
      </c>
      <c r="W11396" t="s">
        <v>42900</v>
      </c>
      <c r="X11396" t="s">
        <v>44917</v>
      </c>
    </row>
    <row r="11397" spans="1:24">
      <c r="A11397">
        <f>HYPERLINK("https://www.philgeps.gov.ph/GEPSNONPILOT/Tender/SplashBidNoticeAbstractUI.aspx?menuIndex=3&amp;refID=7063693&amp;Result=3","7063693")</f>
        <v>0</v>
      </c>
      <c r="B11397" t="s">
        <v>2087</v>
      </c>
      <c r="C11397" t="s">
        <v>14393</v>
      </c>
      <c r="D11397" t="s">
        <v>18177</v>
      </c>
      <c r="E11397" t="s">
        <v>28062</v>
      </c>
      <c r="F11397" t="s">
        <v>31363</v>
      </c>
      <c r="G11397" t="s">
        <v>31369</v>
      </c>
      <c r="H11397" t="s">
        <v>15799</v>
      </c>
      <c r="I11397" t="s">
        <v>31435</v>
      </c>
      <c r="J11397" t="s">
        <v>38488</v>
      </c>
      <c r="K11397" t="s">
        <v>40686</v>
      </c>
      <c r="L11397" t="s">
        <v>2087</v>
      </c>
      <c r="M11397" t="s">
        <v>43210</v>
      </c>
      <c r="N11397" t="s">
        <v>44905</v>
      </c>
      <c r="O11397" t="s">
        <v>44906</v>
      </c>
      <c r="P11397">
        <v>0</v>
      </c>
      <c r="Q11397">
        <v>0</v>
      </c>
      <c r="R11397" t="s">
        <v>44916</v>
      </c>
      <c r="S11397" t="s">
        <v>45313</v>
      </c>
      <c r="T11397" t="s">
        <v>46418</v>
      </c>
      <c r="U11397" t="s">
        <v>56037</v>
      </c>
      <c r="W11397" t="s">
        <v>43210</v>
      </c>
      <c r="X11397" t="s">
        <v>44917</v>
      </c>
    </row>
    <row r="11398" spans="1:24">
      <c r="A11398">
        <f>HYPERLINK("https://www.philgeps.gov.ph/GEPSNONPILOT/Tender/SplashBidNoticeAbstractUI.aspx?menuIndex=3&amp;refID=7063476&amp;Result=3","7063476")</f>
        <v>0</v>
      </c>
      <c r="B11398" t="s">
        <v>387</v>
      </c>
      <c r="C11398" t="s">
        <v>14394</v>
      </c>
      <c r="D11398" t="s">
        <v>18152</v>
      </c>
      <c r="E11398" t="s">
        <v>28063</v>
      </c>
      <c r="F11398" t="s">
        <v>31362</v>
      </c>
      <c r="G11398" t="s">
        <v>31369</v>
      </c>
      <c r="H11398" t="s">
        <v>15799</v>
      </c>
      <c r="I11398" t="s">
        <v>4283</v>
      </c>
      <c r="J11398" t="s">
        <v>38489</v>
      </c>
      <c r="K11398" t="s">
        <v>40665</v>
      </c>
      <c r="M11398" t="s">
        <v>41335</v>
      </c>
      <c r="N11398" t="s">
        <v>44905</v>
      </c>
      <c r="O11398" t="s">
        <v>44906</v>
      </c>
      <c r="P11398">
        <v>0</v>
      </c>
      <c r="Q11398">
        <v>6</v>
      </c>
      <c r="R11398" t="s">
        <v>44916</v>
      </c>
      <c r="S11398" t="s">
        <v>45313</v>
      </c>
      <c r="T11398" t="s">
        <v>46462</v>
      </c>
      <c r="U11398" t="s">
        <v>48010</v>
      </c>
      <c r="V11398" t="s">
        <v>59153</v>
      </c>
      <c r="W11398" t="s">
        <v>41335</v>
      </c>
      <c r="X11398" t="s">
        <v>44917</v>
      </c>
    </row>
    <row r="11399" spans="1:24">
      <c r="A11399">
        <f>HYPERLINK("https://www.philgeps.gov.ph/GEPSNONPILOT/Tender/SplashBidNoticeAbstractUI.aspx?menuIndex=3&amp;refID=7063681&amp;Result=3","7063681")</f>
        <v>0</v>
      </c>
      <c r="B11399" t="s">
        <v>3080</v>
      </c>
      <c r="C11399" t="s">
        <v>14395</v>
      </c>
      <c r="D11399" t="s">
        <v>18110</v>
      </c>
      <c r="E11399" t="s">
        <v>28064</v>
      </c>
      <c r="F11399" t="s">
        <v>31362</v>
      </c>
      <c r="G11399" t="s">
        <v>31369</v>
      </c>
      <c r="H11399" t="s">
        <v>31378</v>
      </c>
      <c r="I11399" t="s">
        <v>31386</v>
      </c>
      <c r="J11399" t="s">
        <v>38490</v>
      </c>
      <c r="K11399" t="s">
        <v>40781</v>
      </c>
      <c r="M11399" t="s">
        <v>44320</v>
      </c>
      <c r="N11399" t="s">
        <v>44905</v>
      </c>
      <c r="O11399" t="s">
        <v>44906</v>
      </c>
      <c r="P11399">
        <v>0</v>
      </c>
      <c r="Q11399">
        <v>0</v>
      </c>
      <c r="R11399" t="s">
        <v>44916</v>
      </c>
      <c r="S11399" t="s">
        <v>45313</v>
      </c>
      <c r="T11399" t="s">
        <v>46481</v>
      </c>
      <c r="U11399" t="s">
        <v>56038</v>
      </c>
      <c r="W11399" t="s">
        <v>44320</v>
      </c>
      <c r="X11399" t="s">
        <v>44917</v>
      </c>
    </row>
    <row r="11400" spans="1:24">
      <c r="A11400">
        <f>HYPERLINK("https://www.philgeps.gov.ph/GEPSNONPILOT/Tender/SplashBidNoticeAbstractUI.aspx?menuIndex=3&amp;refID=7063674&amp;Result=3","7063674")</f>
        <v>0</v>
      </c>
      <c r="B11400" t="s">
        <v>2892</v>
      </c>
      <c r="C11400" t="s">
        <v>14396</v>
      </c>
      <c r="D11400" t="s">
        <v>18101</v>
      </c>
      <c r="E11400" t="s">
        <v>28065</v>
      </c>
      <c r="F11400" t="s">
        <v>31362</v>
      </c>
      <c r="G11400" t="s">
        <v>31369</v>
      </c>
      <c r="H11400" t="s">
        <v>15799</v>
      </c>
      <c r="I11400" t="s">
        <v>3815</v>
      </c>
      <c r="J11400" t="s">
        <v>38491</v>
      </c>
      <c r="K11400" t="s">
        <v>40670</v>
      </c>
      <c r="L11400" t="s">
        <v>2892</v>
      </c>
      <c r="M11400" t="s">
        <v>44107</v>
      </c>
      <c r="N11400" t="s">
        <v>44905</v>
      </c>
      <c r="O11400" t="s">
        <v>44906</v>
      </c>
      <c r="P11400">
        <v>0</v>
      </c>
      <c r="Q11400">
        <v>0</v>
      </c>
      <c r="R11400" t="s">
        <v>44916</v>
      </c>
      <c r="S11400" t="s">
        <v>45313</v>
      </c>
      <c r="T11400" t="s">
        <v>46481</v>
      </c>
      <c r="U11400" t="s">
        <v>55301</v>
      </c>
      <c r="W11400" t="s">
        <v>44107</v>
      </c>
      <c r="X11400" t="s">
        <v>44917</v>
      </c>
    </row>
    <row r="11401" spans="1:24">
      <c r="A11401">
        <f>HYPERLINK("https://www.philgeps.gov.ph/GEPSNONPILOT/Tender/SplashBidNoticeAbstractUI.aspx?menuIndex=3&amp;refID=7063670&amp;Result=3","7063670")</f>
        <v>0</v>
      </c>
      <c r="B11401" t="s">
        <v>367</v>
      </c>
      <c r="C11401" t="s">
        <v>14397</v>
      </c>
      <c r="D11401" t="s">
        <v>18134</v>
      </c>
      <c r="E11401" t="s">
        <v>28066</v>
      </c>
      <c r="F11401" t="s">
        <v>31362</v>
      </c>
      <c r="G11401" t="s">
        <v>31369</v>
      </c>
      <c r="H11401" t="s">
        <v>31378</v>
      </c>
      <c r="I11401" t="s">
        <v>31386</v>
      </c>
      <c r="J11401" t="s">
        <v>38492</v>
      </c>
      <c r="K11401" t="s">
        <v>40682</v>
      </c>
      <c r="M11401" t="s">
        <v>41398</v>
      </c>
      <c r="N11401" t="s">
        <v>44905</v>
      </c>
      <c r="O11401" t="s">
        <v>44906</v>
      </c>
      <c r="P11401">
        <v>0</v>
      </c>
      <c r="Q11401">
        <v>0</v>
      </c>
      <c r="R11401" t="s">
        <v>44916</v>
      </c>
      <c r="S11401" t="s">
        <v>45313</v>
      </c>
      <c r="T11401" t="s">
        <v>46479</v>
      </c>
      <c r="U11401" t="s">
        <v>56039</v>
      </c>
      <c r="V11401" t="s">
        <v>60238</v>
      </c>
      <c r="W11401" t="s">
        <v>41398</v>
      </c>
      <c r="X11401" t="s">
        <v>44917</v>
      </c>
    </row>
    <row r="11402" spans="1:24">
      <c r="A11402">
        <f>HYPERLINK("https://www.philgeps.gov.ph/GEPSNONPILOT/Tender/SplashBidNoticeAbstractUI.aspx?menuIndex=3&amp;refID=7063657&amp;Result=3","7063657")</f>
        <v>0</v>
      </c>
      <c r="B11402" t="s">
        <v>424</v>
      </c>
      <c r="C11402" t="s">
        <v>14398</v>
      </c>
      <c r="D11402" t="s">
        <v>18168</v>
      </c>
      <c r="E11402" t="s">
        <v>14398</v>
      </c>
      <c r="F11402" t="s">
        <v>31362</v>
      </c>
      <c r="G11402" t="s">
        <v>31370</v>
      </c>
      <c r="H11402" t="s">
        <v>15799</v>
      </c>
      <c r="I11402" t="s">
        <v>31430</v>
      </c>
      <c r="J11402" t="s">
        <v>31626</v>
      </c>
      <c r="K11402" t="s">
        <v>40665</v>
      </c>
      <c r="M11402" t="s">
        <v>44307</v>
      </c>
      <c r="N11402" t="s">
        <v>44905</v>
      </c>
      <c r="O11402" t="s">
        <v>44906</v>
      </c>
      <c r="P11402">
        <v>0</v>
      </c>
      <c r="Q11402">
        <v>0</v>
      </c>
      <c r="R11402" t="s">
        <v>44916</v>
      </c>
      <c r="S11402" t="s">
        <v>45313</v>
      </c>
      <c r="T11402" t="s">
        <v>46532</v>
      </c>
      <c r="U11402" t="s">
        <v>56008</v>
      </c>
      <c r="W11402" t="s">
        <v>44307</v>
      </c>
      <c r="X11402" t="s">
        <v>44917</v>
      </c>
    </row>
    <row r="11403" spans="1:24">
      <c r="A11403">
        <f>HYPERLINK("https://www.philgeps.gov.ph/GEPSNONPILOT/Tender/SplashBidNoticeAbstractUI.aspx?menuIndex=3&amp;refID=7063566&amp;Result=3","7063566")</f>
        <v>0</v>
      </c>
      <c r="B11403" t="s">
        <v>3075</v>
      </c>
      <c r="C11403" t="s">
        <v>14399</v>
      </c>
      <c r="D11403" t="s">
        <v>18127</v>
      </c>
      <c r="E11403" t="s">
        <v>28067</v>
      </c>
      <c r="F11403" t="s">
        <v>31362</v>
      </c>
      <c r="G11403" t="s">
        <v>31369</v>
      </c>
      <c r="H11403" t="s">
        <v>31378</v>
      </c>
      <c r="I11403" t="s">
        <v>31386</v>
      </c>
      <c r="J11403" t="s">
        <v>38493</v>
      </c>
      <c r="K11403" t="s">
        <v>40783</v>
      </c>
      <c r="M11403" t="s">
        <v>44314</v>
      </c>
      <c r="N11403" t="s">
        <v>44905</v>
      </c>
      <c r="O11403" t="s">
        <v>44906</v>
      </c>
      <c r="P11403">
        <v>0</v>
      </c>
      <c r="Q11403">
        <v>0</v>
      </c>
      <c r="R11403" t="s">
        <v>44916</v>
      </c>
      <c r="S11403" t="s">
        <v>45313</v>
      </c>
      <c r="T11403" t="s">
        <v>46462</v>
      </c>
      <c r="U11403" t="s">
        <v>56040</v>
      </c>
      <c r="W11403" t="s">
        <v>44314</v>
      </c>
      <c r="X11403" t="s">
        <v>44917</v>
      </c>
    </row>
    <row r="11404" spans="1:24">
      <c r="A11404">
        <f>HYPERLINK("https://www.philgeps.gov.ph/GEPSNONPILOT/Tender/SplashBidNoticeAbstractUI.aspx?menuIndex=3&amp;refID=7063651&amp;Result=3","7063651")</f>
        <v>0</v>
      </c>
      <c r="B11404" t="s">
        <v>367</v>
      </c>
      <c r="C11404" t="s">
        <v>14400</v>
      </c>
      <c r="D11404" t="s">
        <v>18134</v>
      </c>
      <c r="E11404" t="s">
        <v>28068</v>
      </c>
      <c r="F11404" t="s">
        <v>31362</v>
      </c>
      <c r="G11404" t="s">
        <v>31369</v>
      </c>
      <c r="H11404" t="s">
        <v>31378</v>
      </c>
      <c r="I11404" t="s">
        <v>31386</v>
      </c>
      <c r="J11404" t="s">
        <v>38494</v>
      </c>
      <c r="K11404" t="s">
        <v>40682</v>
      </c>
      <c r="M11404" t="s">
        <v>41398</v>
      </c>
      <c r="N11404" t="s">
        <v>44905</v>
      </c>
      <c r="O11404" t="s">
        <v>44906</v>
      </c>
      <c r="P11404">
        <v>0</v>
      </c>
      <c r="Q11404">
        <v>0</v>
      </c>
      <c r="R11404" t="s">
        <v>44916</v>
      </c>
      <c r="S11404" t="s">
        <v>45313</v>
      </c>
      <c r="T11404" t="s">
        <v>46479</v>
      </c>
      <c r="U11404" t="s">
        <v>56039</v>
      </c>
      <c r="V11404" t="s">
        <v>60238</v>
      </c>
      <c r="W11404" t="s">
        <v>41398</v>
      </c>
      <c r="X11404" t="s">
        <v>44917</v>
      </c>
    </row>
    <row r="11405" spans="1:24">
      <c r="A11405">
        <f>HYPERLINK("https://www.philgeps.gov.ph/GEPSNONPILOT/Tender/SplashBidNoticeAbstractUI.aspx?menuIndex=3&amp;refID=7063643&amp;Result=3","7063643")</f>
        <v>0</v>
      </c>
      <c r="B11405" t="s">
        <v>424</v>
      </c>
      <c r="C11405" t="s">
        <v>14401</v>
      </c>
      <c r="D11405" t="s">
        <v>18168</v>
      </c>
      <c r="E11405" t="s">
        <v>14401</v>
      </c>
      <c r="F11405" t="s">
        <v>31362</v>
      </c>
      <c r="G11405" t="s">
        <v>31370</v>
      </c>
      <c r="H11405" t="s">
        <v>15799</v>
      </c>
      <c r="I11405" t="s">
        <v>31430</v>
      </c>
      <c r="J11405" t="s">
        <v>38495</v>
      </c>
      <c r="K11405" t="s">
        <v>40665</v>
      </c>
      <c r="M11405" t="s">
        <v>44307</v>
      </c>
      <c r="N11405" t="s">
        <v>44905</v>
      </c>
      <c r="O11405" t="s">
        <v>44906</v>
      </c>
      <c r="P11405">
        <v>0</v>
      </c>
      <c r="Q11405">
        <v>0</v>
      </c>
      <c r="R11405" t="s">
        <v>44916</v>
      </c>
      <c r="S11405" t="s">
        <v>45313</v>
      </c>
      <c r="T11405" t="s">
        <v>46532</v>
      </c>
      <c r="U11405" t="s">
        <v>56008</v>
      </c>
      <c r="W11405" t="s">
        <v>44307</v>
      </c>
      <c r="X11405" t="s">
        <v>44917</v>
      </c>
    </row>
    <row r="11406" spans="1:24">
      <c r="A11406">
        <f>HYPERLINK("https://www.philgeps.gov.ph/GEPSNONPILOT/Tender/SplashBidNoticeAbstractUI.aspx?menuIndex=3&amp;refID=7063642&amp;Result=3","7063642")</f>
        <v>0</v>
      </c>
      <c r="B11406" t="s">
        <v>3081</v>
      </c>
      <c r="C11406" t="s">
        <v>14402</v>
      </c>
      <c r="D11406" t="s">
        <v>18117</v>
      </c>
      <c r="E11406" t="s">
        <v>28069</v>
      </c>
      <c r="F11406" t="s">
        <v>31362</v>
      </c>
      <c r="G11406" t="s">
        <v>31369</v>
      </c>
      <c r="H11406" t="s">
        <v>15799</v>
      </c>
      <c r="I11406" t="s">
        <v>31409</v>
      </c>
      <c r="J11406" t="s">
        <v>31611</v>
      </c>
      <c r="K11406" t="s">
        <v>40682</v>
      </c>
      <c r="M11406" t="s">
        <v>44321</v>
      </c>
      <c r="N11406" t="s">
        <v>44905</v>
      </c>
      <c r="O11406" t="s">
        <v>44906</v>
      </c>
      <c r="P11406">
        <v>0</v>
      </c>
      <c r="Q11406">
        <v>1</v>
      </c>
      <c r="R11406" t="s">
        <v>44916</v>
      </c>
      <c r="S11406" t="s">
        <v>45313</v>
      </c>
      <c r="T11406" t="s">
        <v>46512</v>
      </c>
      <c r="U11406" t="s">
        <v>56041</v>
      </c>
      <c r="V11406" t="s">
        <v>60285</v>
      </c>
      <c r="W11406" t="s">
        <v>44321</v>
      </c>
      <c r="X11406" t="s">
        <v>44917</v>
      </c>
    </row>
    <row r="11407" spans="1:24">
      <c r="A11407">
        <f>HYPERLINK("https://www.philgeps.gov.ph/GEPSNONPILOT/Tender/SplashBidNoticeAbstractUI.aspx?menuIndex=3&amp;refID=7063685&amp;Result=3","7063685")</f>
        <v>0</v>
      </c>
      <c r="B11407" t="s">
        <v>367</v>
      </c>
      <c r="C11407" t="s">
        <v>14403</v>
      </c>
      <c r="D11407" t="s">
        <v>18134</v>
      </c>
      <c r="E11407" t="s">
        <v>28070</v>
      </c>
      <c r="F11407" t="s">
        <v>31362</v>
      </c>
      <c r="G11407" t="s">
        <v>31369</v>
      </c>
      <c r="H11407" t="s">
        <v>31378</v>
      </c>
      <c r="I11407" t="s">
        <v>31386</v>
      </c>
      <c r="J11407" t="s">
        <v>38496</v>
      </c>
      <c r="K11407" t="s">
        <v>40675</v>
      </c>
      <c r="M11407" t="s">
        <v>41398</v>
      </c>
      <c r="N11407" t="s">
        <v>44905</v>
      </c>
      <c r="O11407" t="s">
        <v>44906</v>
      </c>
      <c r="P11407">
        <v>0</v>
      </c>
      <c r="Q11407">
        <v>0</v>
      </c>
      <c r="R11407" t="s">
        <v>44916</v>
      </c>
      <c r="S11407" t="s">
        <v>45313</v>
      </c>
      <c r="T11407" t="s">
        <v>46479</v>
      </c>
      <c r="U11407" t="s">
        <v>56039</v>
      </c>
      <c r="V11407" t="s">
        <v>60238</v>
      </c>
      <c r="W11407" t="s">
        <v>41398</v>
      </c>
      <c r="X11407" t="s">
        <v>44917</v>
      </c>
    </row>
    <row r="11408" spans="1:24">
      <c r="A11408">
        <f>HYPERLINK("https://www.philgeps.gov.ph/GEPSNONPILOT/Tender/SplashBidNoticeAbstractUI.aspx?menuIndex=3&amp;refID=7063797&amp;Result=3","7063797")</f>
        <v>0</v>
      </c>
      <c r="B11408" t="s">
        <v>2789</v>
      </c>
      <c r="C11408" t="s">
        <v>14404</v>
      </c>
      <c r="D11408" t="s">
        <v>18134</v>
      </c>
      <c r="E11408" t="s">
        <v>28071</v>
      </c>
      <c r="F11408" t="s">
        <v>31362</v>
      </c>
      <c r="G11408" t="s">
        <v>31369</v>
      </c>
      <c r="H11408" t="s">
        <v>31378</v>
      </c>
      <c r="I11408" t="s">
        <v>31386</v>
      </c>
      <c r="J11408" t="s">
        <v>38497</v>
      </c>
      <c r="K11408" t="s">
        <v>40746</v>
      </c>
      <c r="M11408" t="s">
        <v>43986</v>
      </c>
      <c r="N11408" t="s">
        <v>44905</v>
      </c>
      <c r="O11408" t="s">
        <v>44906</v>
      </c>
      <c r="P11408">
        <v>0</v>
      </c>
      <c r="Q11408">
        <v>4</v>
      </c>
      <c r="R11408" t="s">
        <v>44916</v>
      </c>
      <c r="S11408" t="s">
        <v>45313</v>
      </c>
      <c r="T11408" t="s">
        <v>46533</v>
      </c>
      <c r="U11408" t="s">
        <v>55274</v>
      </c>
      <c r="W11408" t="s">
        <v>43986</v>
      </c>
      <c r="X11408" t="s">
        <v>44917</v>
      </c>
    </row>
    <row r="11409" spans="1:24">
      <c r="A11409">
        <f>HYPERLINK("https://www.philgeps.gov.ph/GEPSNONPILOT/Tender/SplashBidNoticeAbstractUI.aspx?menuIndex=3&amp;refID=7063647&amp;Result=3","7063647")</f>
        <v>0</v>
      </c>
      <c r="B11409" t="s">
        <v>2308</v>
      </c>
      <c r="C11409" t="s">
        <v>14405</v>
      </c>
      <c r="D11409" t="s">
        <v>18101</v>
      </c>
      <c r="E11409" t="s">
        <v>28072</v>
      </c>
      <c r="F11409" t="s">
        <v>31362</v>
      </c>
      <c r="G11409" t="s">
        <v>31369</v>
      </c>
      <c r="H11409" t="s">
        <v>15799</v>
      </c>
      <c r="I11409" t="s">
        <v>31413</v>
      </c>
      <c r="J11409" t="s">
        <v>31709</v>
      </c>
      <c r="K11409" t="s">
        <v>40675</v>
      </c>
      <c r="M11409" t="s">
        <v>43448</v>
      </c>
      <c r="N11409" t="s">
        <v>44905</v>
      </c>
      <c r="O11409" t="s">
        <v>44906</v>
      </c>
      <c r="P11409">
        <v>0</v>
      </c>
      <c r="Q11409">
        <v>10</v>
      </c>
      <c r="R11409" t="s">
        <v>44916</v>
      </c>
      <c r="S11409" t="s">
        <v>45313</v>
      </c>
      <c r="T11409" t="s">
        <v>46524</v>
      </c>
      <c r="U11409" t="s">
        <v>53110</v>
      </c>
      <c r="W11409" t="s">
        <v>43448</v>
      </c>
      <c r="X11409" t="s">
        <v>44917</v>
      </c>
    </row>
    <row r="11410" spans="1:24">
      <c r="A11410">
        <f>HYPERLINK("https://www.philgeps.gov.ph/GEPSNONPILOT/Tender/SplashBidNoticeAbstractUI.aspx?menuIndex=3&amp;refID=7063780&amp;Result=3","7063780")</f>
        <v>0</v>
      </c>
      <c r="B11410" t="s">
        <v>397</v>
      </c>
      <c r="C11410" t="s">
        <v>14406</v>
      </c>
      <c r="D11410" t="s">
        <v>18151</v>
      </c>
      <c r="E11410" t="s">
        <v>28073</v>
      </c>
      <c r="F11410" t="s">
        <v>31362</v>
      </c>
      <c r="G11410" t="s">
        <v>31369</v>
      </c>
      <c r="H11410" t="s">
        <v>31378</v>
      </c>
      <c r="I11410" t="s">
        <v>31435</v>
      </c>
      <c r="J11410" t="s">
        <v>38498</v>
      </c>
      <c r="K11410" t="s">
        <v>40662</v>
      </c>
      <c r="M11410" t="s">
        <v>41345</v>
      </c>
      <c r="N11410" t="s">
        <v>44905</v>
      </c>
      <c r="O11410" t="s">
        <v>44906</v>
      </c>
      <c r="P11410">
        <v>0</v>
      </c>
      <c r="Q11410">
        <v>1</v>
      </c>
      <c r="R11410" t="s">
        <v>44916</v>
      </c>
      <c r="S11410" t="s">
        <v>45313</v>
      </c>
      <c r="T11410" t="s">
        <v>46452</v>
      </c>
      <c r="U11410" t="s">
        <v>56042</v>
      </c>
      <c r="V11410" t="s">
        <v>60286</v>
      </c>
      <c r="W11410" t="s">
        <v>60852</v>
      </c>
      <c r="X11410" t="s">
        <v>44917</v>
      </c>
    </row>
    <row r="11411" spans="1:24">
      <c r="A11411">
        <f>HYPERLINK("https://www.philgeps.gov.ph/GEPSNONPILOT/Tender/SplashBidNoticeAbstractUI.aspx?menuIndex=3&amp;refID=7063667&amp;Result=3","7063667")</f>
        <v>0</v>
      </c>
      <c r="B11411" t="s">
        <v>351</v>
      </c>
      <c r="C11411" t="s">
        <v>14407</v>
      </c>
      <c r="D11411" t="s">
        <v>18142</v>
      </c>
      <c r="E11411" t="s">
        <v>28074</v>
      </c>
      <c r="F11411" t="s">
        <v>31362</v>
      </c>
      <c r="G11411" t="s">
        <v>31369</v>
      </c>
      <c r="H11411" t="s">
        <v>31378</v>
      </c>
      <c r="I11411" t="s">
        <v>31386</v>
      </c>
      <c r="J11411" t="s">
        <v>38499</v>
      </c>
      <c r="K11411" t="s">
        <v>40718</v>
      </c>
      <c r="M11411" t="s">
        <v>41298</v>
      </c>
      <c r="N11411" t="s">
        <v>44905</v>
      </c>
      <c r="O11411" t="s">
        <v>44906</v>
      </c>
      <c r="P11411">
        <v>0</v>
      </c>
      <c r="Q11411">
        <v>0</v>
      </c>
      <c r="R11411" t="s">
        <v>44916</v>
      </c>
      <c r="S11411" t="s">
        <v>45313</v>
      </c>
      <c r="T11411" t="s">
        <v>46519</v>
      </c>
      <c r="U11411" t="s">
        <v>52803</v>
      </c>
      <c r="W11411" t="s">
        <v>41298</v>
      </c>
      <c r="X11411" t="s">
        <v>44917</v>
      </c>
    </row>
    <row r="11412" spans="1:24">
      <c r="A11412">
        <f>HYPERLINK("https://www.philgeps.gov.ph/GEPSNONPILOT/Tender/SplashBidNoticeAbstractUI.aspx?menuIndex=3&amp;refID=7063763&amp;Result=3","7063763")</f>
        <v>0</v>
      </c>
      <c r="B11412" t="s">
        <v>3082</v>
      </c>
      <c r="C11412" t="s">
        <v>14408</v>
      </c>
      <c r="D11412" t="s">
        <v>18135</v>
      </c>
      <c r="E11412" t="s">
        <v>28075</v>
      </c>
      <c r="F11412" t="s">
        <v>31362</v>
      </c>
      <c r="G11412" t="s">
        <v>31369</v>
      </c>
      <c r="H11412" t="s">
        <v>31378</v>
      </c>
      <c r="I11412" t="s">
        <v>31386</v>
      </c>
      <c r="J11412" t="s">
        <v>38500</v>
      </c>
      <c r="K11412" t="s">
        <v>40682</v>
      </c>
      <c r="M11412" t="s">
        <v>44322</v>
      </c>
      <c r="N11412" t="s">
        <v>44905</v>
      </c>
      <c r="O11412" t="s">
        <v>44906</v>
      </c>
      <c r="Q11412">
        <v>1</v>
      </c>
      <c r="R11412" t="s">
        <v>44916</v>
      </c>
      <c r="S11412" t="s">
        <v>45357</v>
      </c>
      <c r="T11412" t="s">
        <v>46533</v>
      </c>
      <c r="U11412" t="s">
        <v>56043</v>
      </c>
      <c r="W11412" t="s">
        <v>44322</v>
      </c>
      <c r="X11412" t="s">
        <v>44917</v>
      </c>
    </row>
    <row r="11413" spans="1:24">
      <c r="A11413">
        <f>HYPERLINK("https://www.philgeps.gov.ph/GEPSNONPILOT/Tender/SplashBidNoticeAbstractUI.aspx?menuIndex=3&amp;refID=7063755&amp;Result=3","7063755")</f>
        <v>0</v>
      </c>
      <c r="B11413" t="s">
        <v>2789</v>
      </c>
      <c r="C11413" t="s">
        <v>14409</v>
      </c>
      <c r="D11413" t="s">
        <v>18134</v>
      </c>
      <c r="E11413" t="s">
        <v>28076</v>
      </c>
      <c r="F11413" t="s">
        <v>31362</v>
      </c>
      <c r="G11413" t="s">
        <v>31369</v>
      </c>
      <c r="H11413" t="s">
        <v>31378</v>
      </c>
      <c r="I11413" t="s">
        <v>31386</v>
      </c>
      <c r="J11413" t="s">
        <v>38501</v>
      </c>
      <c r="K11413" t="s">
        <v>40682</v>
      </c>
      <c r="M11413" t="s">
        <v>43986</v>
      </c>
      <c r="N11413" t="s">
        <v>44905</v>
      </c>
      <c r="O11413" t="s">
        <v>44906</v>
      </c>
      <c r="P11413">
        <v>0</v>
      </c>
      <c r="Q11413">
        <v>3</v>
      </c>
      <c r="R11413" t="s">
        <v>44916</v>
      </c>
      <c r="S11413" t="s">
        <v>45313</v>
      </c>
      <c r="T11413" t="s">
        <v>46569</v>
      </c>
      <c r="U11413" t="s">
        <v>55274</v>
      </c>
      <c r="W11413" t="s">
        <v>43986</v>
      </c>
      <c r="X11413" t="s">
        <v>44917</v>
      </c>
    </row>
    <row r="11414" spans="1:24">
      <c r="A11414">
        <f>HYPERLINK("https://www.philgeps.gov.ph/GEPSNONPILOT/Tender/SplashBidNoticeAbstractUI.aspx?menuIndex=3&amp;refID=7063754&amp;Result=3","7063754")</f>
        <v>0</v>
      </c>
      <c r="B11414" t="s">
        <v>3081</v>
      </c>
      <c r="C11414" t="s">
        <v>14410</v>
      </c>
      <c r="D11414" t="s">
        <v>18117</v>
      </c>
      <c r="E11414" t="s">
        <v>28077</v>
      </c>
      <c r="F11414" t="s">
        <v>31362</v>
      </c>
      <c r="G11414" t="s">
        <v>31369</v>
      </c>
      <c r="H11414" t="s">
        <v>31378</v>
      </c>
      <c r="I11414" t="s">
        <v>31386</v>
      </c>
      <c r="J11414" t="s">
        <v>33446</v>
      </c>
      <c r="K11414" t="s">
        <v>40678</v>
      </c>
      <c r="M11414" t="s">
        <v>44321</v>
      </c>
      <c r="N11414" t="s">
        <v>44905</v>
      </c>
      <c r="O11414" t="s">
        <v>44906</v>
      </c>
      <c r="P11414">
        <v>0</v>
      </c>
      <c r="Q11414">
        <v>7</v>
      </c>
      <c r="R11414" t="s">
        <v>44916</v>
      </c>
      <c r="S11414" t="s">
        <v>45313</v>
      </c>
      <c r="T11414" t="s">
        <v>46424</v>
      </c>
      <c r="U11414" t="s">
        <v>56044</v>
      </c>
      <c r="V11414" t="s">
        <v>60287</v>
      </c>
      <c r="W11414" t="s">
        <v>44321</v>
      </c>
      <c r="X11414" t="s">
        <v>44917</v>
      </c>
    </row>
    <row r="11415" spans="1:24">
      <c r="A11415">
        <f>HYPERLINK("https://www.philgeps.gov.ph/GEPSNONPILOT/Tender/SplashBidNoticeAbstractUI.aspx?menuIndex=3&amp;refID=7063543&amp;Result=3","7063543")</f>
        <v>0</v>
      </c>
      <c r="B11415" t="s">
        <v>2382</v>
      </c>
      <c r="C11415" t="s">
        <v>14411</v>
      </c>
      <c r="D11415" t="s">
        <v>18141</v>
      </c>
      <c r="E11415" t="s">
        <v>26600</v>
      </c>
      <c r="F11415" t="s">
        <v>31363</v>
      </c>
      <c r="G11415" t="s">
        <v>31373</v>
      </c>
      <c r="H11415" t="s">
        <v>15799</v>
      </c>
      <c r="I11415" t="s">
        <v>31422</v>
      </c>
      <c r="J11415" t="s">
        <v>38502</v>
      </c>
      <c r="K11415" t="s">
        <v>40675</v>
      </c>
      <c r="M11415" t="s">
        <v>43531</v>
      </c>
      <c r="N11415" t="s">
        <v>44905</v>
      </c>
      <c r="O11415" t="s">
        <v>44906</v>
      </c>
      <c r="P11415">
        <v>0</v>
      </c>
      <c r="Q11415">
        <v>6</v>
      </c>
      <c r="R11415" t="s">
        <v>44916</v>
      </c>
      <c r="S11415" t="s">
        <v>45313</v>
      </c>
      <c r="T11415" t="s">
        <v>46462</v>
      </c>
      <c r="U11415" t="s">
        <v>56045</v>
      </c>
      <c r="W11415" t="s">
        <v>43531</v>
      </c>
      <c r="X11415" t="s">
        <v>44917</v>
      </c>
    </row>
    <row r="11416" spans="1:24">
      <c r="A11416">
        <f>HYPERLINK("https://www.philgeps.gov.ph/GEPSNONPILOT/Tender/SplashBidNoticeAbstractUI.aspx?menuIndex=3&amp;refID=7063749&amp;Result=3","7063749")</f>
        <v>0</v>
      </c>
      <c r="B11416" t="s">
        <v>3083</v>
      </c>
      <c r="C11416" t="s">
        <v>14412</v>
      </c>
      <c r="D11416" t="s">
        <v>18195</v>
      </c>
      <c r="E11416" t="s">
        <v>28078</v>
      </c>
      <c r="F11416" t="s">
        <v>31362</v>
      </c>
      <c r="G11416" t="s">
        <v>31369</v>
      </c>
      <c r="H11416" t="s">
        <v>15799</v>
      </c>
      <c r="I11416" t="s">
        <v>4057</v>
      </c>
      <c r="J11416" t="s">
        <v>38503</v>
      </c>
      <c r="K11416" t="s">
        <v>40687</v>
      </c>
      <c r="M11416" t="s">
        <v>44323</v>
      </c>
      <c r="N11416" t="s">
        <v>44905</v>
      </c>
      <c r="O11416" t="s">
        <v>44906</v>
      </c>
      <c r="Q11416">
        <v>1</v>
      </c>
      <c r="R11416" t="s">
        <v>44916</v>
      </c>
      <c r="S11416" t="s">
        <v>45358</v>
      </c>
      <c r="T11416" t="s">
        <v>46505</v>
      </c>
      <c r="U11416" t="s">
        <v>56046</v>
      </c>
      <c r="V11416" t="s">
        <v>60288</v>
      </c>
      <c r="W11416" t="s">
        <v>60957</v>
      </c>
      <c r="X11416" t="s">
        <v>44917</v>
      </c>
    </row>
    <row r="11417" spans="1:24">
      <c r="A11417">
        <f>HYPERLINK("https://www.philgeps.gov.ph/GEPSNONPILOT/Tender/SplashBidNoticeAbstractUI.aspx?menuIndex=3&amp;refID=7063742&amp;Result=3","7063742")</f>
        <v>0</v>
      </c>
      <c r="B11417" t="s">
        <v>666</v>
      </c>
      <c r="C11417" t="s">
        <v>14413</v>
      </c>
      <c r="D11417" t="s">
        <v>18108</v>
      </c>
      <c r="E11417" t="s">
        <v>28079</v>
      </c>
      <c r="F11417" t="s">
        <v>31362</v>
      </c>
      <c r="G11417" t="s">
        <v>31371</v>
      </c>
      <c r="H11417" t="s">
        <v>15799</v>
      </c>
      <c r="I11417" t="s">
        <v>31385</v>
      </c>
      <c r="J11417" t="s">
        <v>38504</v>
      </c>
      <c r="K11417" t="s">
        <v>40661</v>
      </c>
      <c r="M11417" t="s">
        <v>41628</v>
      </c>
      <c r="N11417" t="s">
        <v>44905</v>
      </c>
      <c r="O11417" t="s">
        <v>44906</v>
      </c>
      <c r="Q11417">
        <v>10</v>
      </c>
      <c r="R11417" t="s">
        <v>44916</v>
      </c>
      <c r="S11417" t="s">
        <v>45359</v>
      </c>
      <c r="T11417" t="s">
        <v>46534</v>
      </c>
      <c r="U11417" t="s">
        <v>48220</v>
      </c>
      <c r="W11417" t="s">
        <v>41628</v>
      </c>
      <c r="X11417" t="s">
        <v>44917</v>
      </c>
    </row>
    <row r="11418" spans="1:24">
      <c r="A11418">
        <f>HYPERLINK("https://www.philgeps.gov.ph/GEPSNONPILOT/Tender/SplashBidNoticeAbstractUI.aspx?menuIndex=3&amp;refID=7063764&amp;Result=3","7063764")</f>
        <v>0</v>
      </c>
      <c r="B11418" t="s">
        <v>3084</v>
      </c>
      <c r="C11418" t="s">
        <v>14414</v>
      </c>
      <c r="D11418" t="s">
        <v>18176</v>
      </c>
      <c r="E11418" t="s">
        <v>28080</v>
      </c>
      <c r="F11418" t="s">
        <v>31362</v>
      </c>
      <c r="G11418" t="s">
        <v>31368</v>
      </c>
      <c r="H11418" t="s">
        <v>15799</v>
      </c>
      <c r="I11418" t="s">
        <v>3815</v>
      </c>
      <c r="J11418" t="s">
        <v>38505</v>
      </c>
      <c r="K11418" t="s">
        <v>40670</v>
      </c>
      <c r="M11418" t="s">
        <v>44324</v>
      </c>
      <c r="N11418" t="s">
        <v>44905</v>
      </c>
      <c r="O11418" t="s">
        <v>44906</v>
      </c>
      <c r="P11418">
        <v>0</v>
      </c>
      <c r="Q11418">
        <v>0</v>
      </c>
      <c r="R11418" t="s">
        <v>44916</v>
      </c>
      <c r="S11418" t="s">
        <v>45313</v>
      </c>
      <c r="T11418" t="s">
        <v>46434</v>
      </c>
      <c r="U11418" t="s">
        <v>56047</v>
      </c>
      <c r="W11418" t="s">
        <v>44324</v>
      </c>
      <c r="X11418" t="s">
        <v>44917</v>
      </c>
    </row>
    <row r="11419" spans="1:24">
      <c r="A11419">
        <f>HYPERLINK("https://www.philgeps.gov.ph/GEPSNONPILOT/Tender/SplashBidNoticeAbstractUI.aspx?menuIndex=3&amp;refID=7063739&amp;Result=3","7063739")</f>
        <v>0</v>
      </c>
      <c r="B11419" t="s">
        <v>1652</v>
      </c>
      <c r="C11419" t="s">
        <v>14415</v>
      </c>
      <c r="D11419" t="s">
        <v>18143</v>
      </c>
      <c r="E11419" t="s">
        <v>28081</v>
      </c>
      <c r="F11419" t="s">
        <v>31362</v>
      </c>
      <c r="G11419" t="s">
        <v>31369</v>
      </c>
      <c r="H11419" t="s">
        <v>31378</v>
      </c>
      <c r="I11419" t="s">
        <v>31386</v>
      </c>
      <c r="J11419" t="s">
        <v>38506</v>
      </c>
      <c r="K11419" t="s">
        <v>40796</v>
      </c>
      <c r="M11419" t="s">
        <v>42717</v>
      </c>
      <c r="N11419" t="s">
        <v>44905</v>
      </c>
      <c r="O11419" t="s">
        <v>44906</v>
      </c>
      <c r="P11419">
        <v>0</v>
      </c>
      <c r="Q11419">
        <v>5</v>
      </c>
      <c r="R11419" t="s">
        <v>44916</v>
      </c>
      <c r="S11419" t="s">
        <v>45313</v>
      </c>
      <c r="T11419" t="s">
        <v>46413</v>
      </c>
      <c r="U11419" t="s">
        <v>56048</v>
      </c>
      <c r="W11419" t="s">
        <v>42717</v>
      </c>
      <c r="X11419" t="s">
        <v>44917</v>
      </c>
    </row>
    <row r="11420" spans="1:24">
      <c r="A11420">
        <f>HYPERLINK("https://www.philgeps.gov.ph/GEPSNONPILOT/Tender/SplashBidNoticeAbstractUI.aspx?menuIndex=3&amp;refID=7063596&amp;Result=3","7063596")</f>
        <v>0</v>
      </c>
      <c r="B11420" t="s">
        <v>367</v>
      </c>
      <c r="C11420" t="s">
        <v>14416</v>
      </c>
      <c r="D11420" t="s">
        <v>18134</v>
      </c>
      <c r="E11420" t="s">
        <v>28082</v>
      </c>
      <c r="F11420" t="s">
        <v>31362</v>
      </c>
      <c r="G11420" t="s">
        <v>31369</v>
      </c>
      <c r="H11420" t="s">
        <v>31378</v>
      </c>
      <c r="I11420" t="s">
        <v>31386</v>
      </c>
      <c r="J11420" t="s">
        <v>38507</v>
      </c>
      <c r="K11420" t="s">
        <v>40682</v>
      </c>
      <c r="M11420" t="s">
        <v>41398</v>
      </c>
      <c r="N11420" t="s">
        <v>44905</v>
      </c>
      <c r="O11420" t="s">
        <v>44906</v>
      </c>
      <c r="P11420">
        <v>0</v>
      </c>
      <c r="Q11420">
        <v>0</v>
      </c>
      <c r="R11420" t="s">
        <v>44916</v>
      </c>
      <c r="S11420" t="s">
        <v>45313</v>
      </c>
      <c r="T11420" t="s">
        <v>46479</v>
      </c>
      <c r="U11420" t="s">
        <v>56027</v>
      </c>
      <c r="V11420" t="s">
        <v>60238</v>
      </c>
      <c r="W11420" t="s">
        <v>41398</v>
      </c>
      <c r="X11420" t="s">
        <v>44917</v>
      </c>
    </row>
    <row r="11421" spans="1:24">
      <c r="A11421">
        <f>HYPERLINK("https://www.philgeps.gov.ph/GEPSNONPILOT/Tender/SplashBidNoticeAbstractUI.aspx?menuIndex=3&amp;refID=7063865&amp;Result=3","7063865")</f>
        <v>0</v>
      </c>
      <c r="B11421" t="s">
        <v>666</v>
      </c>
      <c r="C11421" t="s">
        <v>14413</v>
      </c>
      <c r="D11421" t="s">
        <v>18108</v>
      </c>
      <c r="E11421" t="s">
        <v>28083</v>
      </c>
      <c r="F11421" t="s">
        <v>31362</v>
      </c>
      <c r="G11421" t="s">
        <v>31371</v>
      </c>
      <c r="H11421" t="s">
        <v>15799</v>
      </c>
      <c r="I11421" t="s">
        <v>31385</v>
      </c>
      <c r="J11421" t="s">
        <v>38508</v>
      </c>
      <c r="K11421" t="s">
        <v>40661</v>
      </c>
      <c r="M11421" t="s">
        <v>41628</v>
      </c>
      <c r="N11421" t="s">
        <v>44905</v>
      </c>
      <c r="O11421" t="s">
        <v>44906</v>
      </c>
      <c r="Q11421">
        <v>10</v>
      </c>
      <c r="R11421" t="s">
        <v>44916</v>
      </c>
      <c r="S11421" t="s">
        <v>45360</v>
      </c>
      <c r="T11421" t="s">
        <v>46534</v>
      </c>
      <c r="U11421" t="s">
        <v>48220</v>
      </c>
      <c r="W11421" t="s">
        <v>41628</v>
      </c>
      <c r="X11421" t="s">
        <v>44917</v>
      </c>
    </row>
    <row r="11422" spans="1:24">
      <c r="A11422">
        <f>HYPERLINK("https://www.philgeps.gov.ph/GEPSNONPILOT/Tender/SplashBidNoticeAbstractUI.aspx?menuIndex=3&amp;refID=7063747&amp;Result=3","7063747")</f>
        <v>0</v>
      </c>
      <c r="B11422" t="s">
        <v>424</v>
      </c>
      <c r="C11422" t="s">
        <v>14417</v>
      </c>
      <c r="D11422" t="s">
        <v>18168</v>
      </c>
      <c r="E11422" t="s">
        <v>28084</v>
      </c>
      <c r="F11422" t="s">
        <v>31362</v>
      </c>
      <c r="G11422" t="s">
        <v>31371</v>
      </c>
      <c r="H11422" t="s">
        <v>15799</v>
      </c>
      <c r="I11422" t="s">
        <v>7090</v>
      </c>
      <c r="J11422" t="s">
        <v>38509</v>
      </c>
      <c r="K11422" t="s">
        <v>40665</v>
      </c>
      <c r="M11422" t="s">
        <v>43973</v>
      </c>
      <c r="N11422" t="s">
        <v>44905</v>
      </c>
      <c r="O11422" t="s">
        <v>44906</v>
      </c>
      <c r="P11422">
        <v>0</v>
      </c>
      <c r="Q11422">
        <v>6</v>
      </c>
      <c r="R11422" t="s">
        <v>44916</v>
      </c>
      <c r="S11422" t="s">
        <v>45313</v>
      </c>
      <c r="T11422" t="s">
        <v>46435</v>
      </c>
      <c r="U11422" t="s">
        <v>49807</v>
      </c>
      <c r="W11422" t="s">
        <v>43973</v>
      </c>
      <c r="X11422" t="s">
        <v>44917</v>
      </c>
    </row>
    <row r="11423" spans="1:24">
      <c r="A11423">
        <f>HYPERLINK("https://www.philgeps.gov.ph/GEPSNONPILOT/Tender/SplashBidNoticeAbstractUI.aspx?menuIndex=3&amp;refID=7063902&amp;Result=3","7063902")</f>
        <v>0</v>
      </c>
      <c r="B11423" t="s">
        <v>2789</v>
      </c>
      <c r="C11423" t="s">
        <v>14418</v>
      </c>
      <c r="D11423" t="s">
        <v>18134</v>
      </c>
      <c r="E11423" t="s">
        <v>28085</v>
      </c>
      <c r="F11423" t="s">
        <v>31362</v>
      </c>
      <c r="G11423" t="s">
        <v>31369</v>
      </c>
      <c r="H11423" t="s">
        <v>31378</v>
      </c>
      <c r="I11423" t="s">
        <v>31386</v>
      </c>
      <c r="J11423" t="s">
        <v>38510</v>
      </c>
      <c r="K11423" t="s">
        <v>40773</v>
      </c>
      <c r="M11423" t="s">
        <v>43986</v>
      </c>
      <c r="N11423" t="s">
        <v>44905</v>
      </c>
      <c r="O11423" t="s">
        <v>44906</v>
      </c>
      <c r="P11423">
        <v>0</v>
      </c>
      <c r="Q11423">
        <v>4</v>
      </c>
      <c r="R11423" t="s">
        <v>44916</v>
      </c>
      <c r="S11423" t="s">
        <v>45313</v>
      </c>
      <c r="T11423" t="s">
        <v>46533</v>
      </c>
      <c r="U11423" t="s">
        <v>55274</v>
      </c>
      <c r="W11423" t="s">
        <v>43986</v>
      </c>
      <c r="X11423" t="s">
        <v>44917</v>
      </c>
    </row>
    <row r="11424" spans="1:24">
      <c r="A11424">
        <f>HYPERLINK("https://www.philgeps.gov.ph/GEPSNONPILOT/Tender/SplashBidNoticeAbstractUI.aspx?menuIndex=3&amp;refID=7063743&amp;Result=3","7063743")</f>
        <v>0</v>
      </c>
      <c r="B11424" t="s">
        <v>3082</v>
      </c>
      <c r="C11424" t="s">
        <v>14419</v>
      </c>
      <c r="D11424" t="s">
        <v>18135</v>
      </c>
      <c r="E11424" t="s">
        <v>28086</v>
      </c>
      <c r="F11424" t="s">
        <v>31362</v>
      </c>
      <c r="G11424" t="s">
        <v>31369</v>
      </c>
      <c r="H11424" t="s">
        <v>31378</v>
      </c>
      <c r="I11424" t="s">
        <v>31386</v>
      </c>
      <c r="J11424" t="s">
        <v>38511</v>
      </c>
      <c r="K11424" t="s">
        <v>40679</v>
      </c>
      <c r="M11424" t="s">
        <v>44322</v>
      </c>
      <c r="N11424" t="s">
        <v>44905</v>
      </c>
      <c r="O11424" t="s">
        <v>44906</v>
      </c>
      <c r="Q11424">
        <v>0</v>
      </c>
      <c r="R11424" t="s">
        <v>44916</v>
      </c>
      <c r="S11424" t="s">
        <v>45361</v>
      </c>
      <c r="T11424" t="s">
        <v>46533</v>
      </c>
      <c r="U11424" t="s">
        <v>56049</v>
      </c>
      <c r="W11424" t="s">
        <v>44322</v>
      </c>
      <c r="X11424" t="s">
        <v>44917</v>
      </c>
    </row>
    <row r="11425" spans="1:24">
      <c r="A11425">
        <f>HYPERLINK("https://www.philgeps.gov.ph/GEPSNONPILOT/Tender/SplashBidNoticeAbstractUI.aspx?menuIndex=3&amp;refID=7063777&amp;Result=3","7063777")</f>
        <v>0</v>
      </c>
      <c r="B11425" t="s">
        <v>604</v>
      </c>
      <c r="C11425" t="s">
        <v>14420</v>
      </c>
      <c r="D11425" t="s">
        <v>18122</v>
      </c>
      <c r="E11425" t="s">
        <v>28087</v>
      </c>
      <c r="F11425" t="s">
        <v>31362</v>
      </c>
      <c r="G11425" t="s">
        <v>31373</v>
      </c>
      <c r="H11425" t="s">
        <v>31378</v>
      </c>
      <c r="I11425" t="s">
        <v>31386</v>
      </c>
      <c r="J11425" t="s">
        <v>38512</v>
      </c>
      <c r="K11425" t="s">
        <v>40678</v>
      </c>
      <c r="M11425" t="s">
        <v>41562</v>
      </c>
      <c r="N11425" t="s">
        <v>44905</v>
      </c>
      <c r="O11425" t="s">
        <v>44906</v>
      </c>
      <c r="P11425">
        <v>0</v>
      </c>
      <c r="Q11425">
        <v>8</v>
      </c>
      <c r="R11425" t="s">
        <v>44916</v>
      </c>
      <c r="S11425" t="s">
        <v>45313</v>
      </c>
      <c r="T11425" t="s">
        <v>46392</v>
      </c>
      <c r="U11425" t="s">
        <v>56050</v>
      </c>
      <c r="V11425" t="s">
        <v>59212</v>
      </c>
      <c r="W11425" t="s">
        <v>41562</v>
      </c>
      <c r="X11425" t="s">
        <v>44917</v>
      </c>
    </row>
    <row r="11426" spans="1:24">
      <c r="A11426">
        <f>HYPERLINK("https://www.philgeps.gov.ph/GEPSNONPILOT/Tender/SplashBidNoticeAbstractUI.aspx?menuIndex=3&amp;refID=7063897&amp;Result=3","7063897")</f>
        <v>0</v>
      </c>
      <c r="B11426" t="s">
        <v>3085</v>
      </c>
      <c r="C11426" t="s">
        <v>14421</v>
      </c>
      <c r="D11426" t="s">
        <v>18101</v>
      </c>
      <c r="E11426" t="s">
        <v>28088</v>
      </c>
      <c r="F11426" t="s">
        <v>31362</v>
      </c>
      <c r="G11426" t="s">
        <v>31369</v>
      </c>
      <c r="H11426" t="s">
        <v>15799</v>
      </c>
      <c r="I11426" t="s">
        <v>31384</v>
      </c>
      <c r="J11426" t="s">
        <v>38513</v>
      </c>
      <c r="K11426" t="s">
        <v>40682</v>
      </c>
      <c r="M11426" t="s">
        <v>44325</v>
      </c>
      <c r="N11426" t="s">
        <v>44905</v>
      </c>
      <c r="O11426" t="s">
        <v>44906</v>
      </c>
      <c r="Q11426">
        <v>17</v>
      </c>
      <c r="R11426" t="s">
        <v>44916</v>
      </c>
      <c r="S11426" t="s">
        <v>45109</v>
      </c>
      <c r="T11426" t="s">
        <v>46525</v>
      </c>
      <c r="U11426" t="s">
        <v>56051</v>
      </c>
      <c r="W11426" t="s">
        <v>44325</v>
      </c>
      <c r="X11426" t="s">
        <v>44917</v>
      </c>
    </row>
    <row r="11427" spans="1:24">
      <c r="A11427">
        <f>HYPERLINK("https://www.philgeps.gov.ph/GEPSNONPILOT/Tender/SplashBidNoticeAbstractUI.aspx?menuIndex=3&amp;refID=7063869&amp;Result=3","7063869")</f>
        <v>0</v>
      </c>
      <c r="B11427" t="s">
        <v>491</v>
      </c>
      <c r="C11427" t="s">
        <v>14422</v>
      </c>
      <c r="D11427" t="s">
        <v>18126</v>
      </c>
      <c r="E11427" t="s">
        <v>28089</v>
      </c>
      <c r="F11427" t="s">
        <v>31362</v>
      </c>
      <c r="G11427" t="s">
        <v>31369</v>
      </c>
      <c r="H11427" t="s">
        <v>15799</v>
      </c>
      <c r="I11427" t="s">
        <v>31428</v>
      </c>
      <c r="J11427" t="s">
        <v>32127</v>
      </c>
      <c r="K11427" t="s">
        <v>40666</v>
      </c>
      <c r="M11427" t="s">
        <v>41446</v>
      </c>
      <c r="N11427" t="s">
        <v>44905</v>
      </c>
      <c r="O11427" t="s">
        <v>44906</v>
      </c>
      <c r="P11427">
        <v>0</v>
      </c>
      <c r="Q11427">
        <v>5</v>
      </c>
      <c r="R11427" t="s">
        <v>44916</v>
      </c>
      <c r="S11427" t="s">
        <v>45313</v>
      </c>
      <c r="T11427" t="s">
        <v>46467</v>
      </c>
      <c r="U11427" t="s">
        <v>56052</v>
      </c>
      <c r="W11427" t="s">
        <v>41446</v>
      </c>
      <c r="X11427" t="s">
        <v>44917</v>
      </c>
    </row>
    <row r="11428" spans="1:24">
      <c r="A11428">
        <f>HYPERLINK("https://www.philgeps.gov.ph/GEPSNONPILOT/Tender/SplashBidNoticeAbstractUI.aspx?menuIndex=3&amp;refID=7063863&amp;Result=3","7063863")</f>
        <v>0</v>
      </c>
      <c r="B11428" t="s">
        <v>567</v>
      </c>
      <c r="C11428" t="s">
        <v>14423</v>
      </c>
      <c r="D11428" t="s">
        <v>18110</v>
      </c>
      <c r="E11428" t="s">
        <v>28090</v>
      </c>
      <c r="F11428" t="s">
        <v>31362</v>
      </c>
      <c r="G11428" t="s">
        <v>31369</v>
      </c>
      <c r="H11428" t="s">
        <v>31378</v>
      </c>
      <c r="I11428" t="s">
        <v>31386</v>
      </c>
      <c r="J11428" t="s">
        <v>38514</v>
      </c>
      <c r="K11428" t="s">
        <v>40678</v>
      </c>
      <c r="M11428" t="s">
        <v>41523</v>
      </c>
      <c r="N11428" t="s">
        <v>44905</v>
      </c>
      <c r="O11428" t="s">
        <v>44906</v>
      </c>
      <c r="P11428">
        <v>0</v>
      </c>
      <c r="Q11428">
        <v>3</v>
      </c>
      <c r="R11428" t="s">
        <v>44916</v>
      </c>
      <c r="S11428" t="s">
        <v>45313</v>
      </c>
      <c r="T11428" t="s">
        <v>46462</v>
      </c>
      <c r="U11428" t="s">
        <v>56053</v>
      </c>
      <c r="W11428" t="s">
        <v>41523</v>
      </c>
      <c r="X11428" t="s">
        <v>44917</v>
      </c>
    </row>
    <row r="11429" spans="1:24">
      <c r="A11429">
        <f>HYPERLINK("https://www.philgeps.gov.ph/GEPSNONPILOT/Tender/SplashBidNoticeAbstractUI.aspx?menuIndex=3&amp;refID=7063855&amp;Result=3","7063855")</f>
        <v>0</v>
      </c>
      <c r="B11429" t="s">
        <v>3085</v>
      </c>
      <c r="C11429" t="s">
        <v>14424</v>
      </c>
      <c r="D11429" t="s">
        <v>18101</v>
      </c>
      <c r="E11429" t="s">
        <v>28091</v>
      </c>
      <c r="F11429" t="s">
        <v>31362</v>
      </c>
      <c r="G11429" t="s">
        <v>31369</v>
      </c>
      <c r="H11429" t="s">
        <v>15799</v>
      </c>
      <c r="I11429" t="s">
        <v>31502</v>
      </c>
      <c r="J11429" t="s">
        <v>33446</v>
      </c>
      <c r="K11429" t="s">
        <v>40739</v>
      </c>
      <c r="M11429" t="s">
        <v>44325</v>
      </c>
      <c r="N11429" t="s">
        <v>44905</v>
      </c>
      <c r="O11429" t="s">
        <v>44906</v>
      </c>
      <c r="Q11429">
        <v>1</v>
      </c>
      <c r="R11429" t="s">
        <v>44916</v>
      </c>
      <c r="S11429" t="s">
        <v>45362</v>
      </c>
      <c r="T11429" t="s">
        <v>46825</v>
      </c>
      <c r="U11429" t="s">
        <v>56054</v>
      </c>
      <c r="W11429" t="s">
        <v>44325</v>
      </c>
      <c r="X11429" t="s">
        <v>44917</v>
      </c>
    </row>
    <row r="11430" spans="1:24">
      <c r="A11430">
        <f>HYPERLINK("https://www.philgeps.gov.ph/GEPSNONPILOT/Tender/SplashBidNoticeAbstractUI.aspx?menuIndex=3&amp;refID=7063854&amp;Result=3","7063854")</f>
        <v>0</v>
      </c>
      <c r="B11430" t="s">
        <v>3086</v>
      </c>
      <c r="C11430" t="s">
        <v>14425</v>
      </c>
      <c r="D11430" t="s">
        <v>18178</v>
      </c>
      <c r="E11430" t="s">
        <v>28092</v>
      </c>
      <c r="F11430" t="s">
        <v>31363</v>
      </c>
      <c r="G11430" t="s">
        <v>31369</v>
      </c>
      <c r="H11430" t="s">
        <v>31378</v>
      </c>
      <c r="I11430" t="s">
        <v>31386</v>
      </c>
      <c r="J11430" t="s">
        <v>33653</v>
      </c>
      <c r="K11430" t="s">
        <v>40755</v>
      </c>
      <c r="M11430" t="s">
        <v>44326</v>
      </c>
      <c r="N11430" t="s">
        <v>44905</v>
      </c>
      <c r="O11430" t="s">
        <v>44906</v>
      </c>
      <c r="P11430">
        <v>0</v>
      </c>
      <c r="Q11430">
        <v>0</v>
      </c>
      <c r="R11430" t="s">
        <v>44916</v>
      </c>
      <c r="S11430" t="s">
        <v>45313</v>
      </c>
      <c r="T11430" t="s">
        <v>46425</v>
      </c>
      <c r="U11430" t="s">
        <v>56055</v>
      </c>
      <c r="W11430" t="s">
        <v>44326</v>
      </c>
      <c r="X11430" t="s">
        <v>44917</v>
      </c>
    </row>
    <row r="11431" spans="1:24">
      <c r="A11431">
        <f>HYPERLINK("https://www.philgeps.gov.ph/GEPSNONPILOT/Tender/SplashBidNoticeAbstractUI.aspx?menuIndex=3&amp;refID=7063800&amp;Result=3","7063800")</f>
        <v>0</v>
      </c>
      <c r="B11431" t="s">
        <v>2442</v>
      </c>
      <c r="C11431" t="s">
        <v>14426</v>
      </c>
      <c r="D11431" t="s">
        <v>18108</v>
      </c>
      <c r="E11431" t="s">
        <v>28093</v>
      </c>
      <c r="F11431" t="s">
        <v>31362</v>
      </c>
      <c r="G11431" t="s">
        <v>31368</v>
      </c>
      <c r="H11431" t="s">
        <v>31377</v>
      </c>
      <c r="I11431" t="s">
        <v>31377</v>
      </c>
      <c r="J11431" t="s">
        <v>35409</v>
      </c>
      <c r="K11431" t="s">
        <v>40662</v>
      </c>
      <c r="M11431" t="s">
        <v>43601</v>
      </c>
      <c r="N11431" t="s">
        <v>44905</v>
      </c>
      <c r="O11431" t="s">
        <v>44906</v>
      </c>
      <c r="Q11431">
        <v>2</v>
      </c>
      <c r="R11431" t="s">
        <v>44916</v>
      </c>
      <c r="S11431" t="s">
        <v>45363</v>
      </c>
      <c r="T11431" t="s">
        <v>46682</v>
      </c>
      <c r="U11431" t="s">
        <v>56056</v>
      </c>
      <c r="V11431" t="s">
        <v>59870</v>
      </c>
      <c r="W11431" t="s">
        <v>43601</v>
      </c>
      <c r="X11431" t="s">
        <v>44917</v>
      </c>
    </row>
    <row r="11432" spans="1:24">
      <c r="A11432">
        <f>HYPERLINK("https://www.philgeps.gov.ph/GEPSNONPILOT/Tender/SplashBidNoticeAbstractUI.aspx?menuIndex=3&amp;refID=7063875&amp;Result=3","7063875")</f>
        <v>0</v>
      </c>
      <c r="B11432" t="s">
        <v>1473</v>
      </c>
      <c r="C11432" t="s">
        <v>14427</v>
      </c>
      <c r="D11432" t="s">
        <v>18106</v>
      </c>
      <c r="E11432" t="s">
        <v>28094</v>
      </c>
      <c r="F11432" t="s">
        <v>31362</v>
      </c>
      <c r="G11432" t="s">
        <v>31369</v>
      </c>
      <c r="H11432" t="s">
        <v>31378</v>
      </c>
      <c r="I11432" t="s">
        <v>31386</v>
      </c>
      <c r="J11432" t="s">
        <v>38515</v>
      </c>
      <c r="K11432" t="s">
        <v>40886</v>
      </c>
      <c r="M11432" t="s">
        <v>42507</v>
      </c>
      <c r="N11432" t="s">
        <v>44905</v>
      </c>
      <c r="O11432" t="s">
        <v>44906</v>
      </c>
      <c r="P11432">
        <v>0</v>
      </c>
      <c r="Q11432">
        <v>5</v>
      </c>
      <c r="R11432" t="s">
        <v>44916</v>
      </c>
      <c r="S11432" t="s">
        <v>45313</v>
      </c>
      <c r="T11432" t="s">
        <v>46392</v>
      </c>
      <c r="U11432" t="s">
        <v>56057</v>
      </c>
      <c r="V11432" t="s">
        <v>60289</v>
      </c>
      <c r="W11432" t="s">
        <v>42507</v>
      </c>
      <c r="X11432" t="s">
        <v>44917</v>
      </c>
    </row>
    <row r="11433" spans="1:24">
      <c r="A11433">
        <f>HYPERLINK("https://www.philgeps.gov.ph/GEPSNONPILOT/Tender/SplashBidNoticeAbstractUI.aspx?menuIndex=3&amp;refID=7063853&amp;Result=3","7063853")</f>
        <v>0</v>
      </c>
      <c r="B11433" t="s">
        <v>2531</v>
      </c>
      <c r="C11433" t="s">
        <v>14428</v>
      </c>
      <c r="D11433" t="s">
        <v>18117</v>
      </c>
      <c r="E11433" t="s">
        <v>28095</v>
      </c>
      <c r="F11433" t="s">
        <v>31362</v>
      </c>
      <c r="G11433" t="s">
        <v>31369</v>
      </c>
      <c r="H11433" t="s">
        <v>15799</v>
      </c>
      <c r="I11433" t="s">
        <v>31409</v>
      </c>
      <c r="J11433" t="s">
        <v>38516</v>
      </c>
      <c r="K11433" t="s">
        <v>40679</v>
      </c>
      <c r="M11433" t="s">
        <v>43700</v>
      </c>
      <c r="N11433" t="s">
        <v>44905</v>
      </c>
      <c r="O11433" t="s">
        <v>44906</v>
      </c>
      <c r="P11433">
        <v>0</v>
      </c>
      <c r="Q11433">
        <v>5</v>
      </c>
      <c r="R11433" t="s">
        <v>44916</v>
      </c>
      <c r="S11433" t="s">
        <v>45313</v>
      </c>
      <c r="T11433" t="s">
        <v>46413</v>
      </c>
      <c r="U11433" t="s">
        <v>56058</v>
      </c>
      <c r="W11433" t="s">
        <v>43700</v>
      </c>
      <c r="X11433" t="s">
        <v>44917</v>
      </c>
    </row>
    <row r="11434" spans="1:24">
      <c r="A11434">
        <f>HYPERLINK("https://www.philgeps.gov.ph/GEPSNONPILOT/Tender/SplashBidNoticeAbstractUI.aspx?menuIndex=3&amp;refID=7063848&amp;Result=3","7063848")</f>
        <v>0</v>
      </c>
      <c r="B11434" t="s">
        <v>1037</v>
      </c>
      <c r="C11434" t="s">
        <v>14429</v>
      </c>
      <c r="E11434" t="s">
        <v>28096</v>
      </c>
      <c r="F11434" t="s">
        <v>31362</v>
      </c>
      <c r="G11434" t="s">
        <v>31369</v>
      </c>
      <c r="H11434" t="s">
        <v>15799</v>
      </c>
      <c r="I11434" t="s">
        <v>31461</v>
      </c>
      <c r="J11434" t="s">
        <v>38517</v>
      </c>
      <c r="K11434" t="s">
        <v>40666</v>
      </c>
      <c r="M11434" t="s">
        <v>42060</v>
      </c>
      <c r="N11434" t="s">
        <v>44905</v>
      </c>
      <c r="O11434" t="s">
        <v>44906</v>
      </c>
      <c r="P11434">
        <v>0</v>
      </c>
      <c r="Q11434">
        <v>3</v>
      </c>
      <c r="R11434" t="s">
        <v>44916</v>
      </c>
      <c r="S11434" t="s">
        <v>45313</v>
      </c>
      <c r="T11434" t="s">
        <v>46837</v>
      </c>
      <c r="U11434" t="s">
        <v>56059</v>
      </c>
      <c r="V11434" t="s">
        <v>59231</v>
      </c>
      <c r="W11434" t="s">
        <v>42060</v>
      </c>
      <c r="X11434" t="s">
        <v>44917</v>
      </c>
    </row>
    <row r="11435" spans="1:24">
      <c r="A11435">
        <f>HYPERLINK("https://www.philgeps.gov.ph/GEPSNONPILOT/Tender/SplashBidNoticeAbstractUI.aspx?menuIndex=3&amp;refID=7063846&amp;Result=3","7063846")</f>
        <v>0</v>
      </c>
      <c r="B11435" t="s">
        <v>2141</v>
      </c>
      <c r="C11435" t="s">
        <v>14430</v>
      </c>
      <c r="D11435" t="s">
        <v>18125</v>
      </c>
      <c r="E11435" t="s">
        <v>28097</v>
      </c>
      <c r="F11435" t="s">
        <v>31362</v>
      </c>
      <c r="G11435" t="s">
        <v>31369</v>
      </c>
      <c r="H11435" t="s">
        <v>31377</v>
      </c>
      <c r="I11435" t="s">
        <v>31377</v>
      </c>
      <c r="J11435" t="s">
        <v>31615</v>
      </c>
      <c r="K11435" t="s">
        <v>40712</v>
      </c>
      <c r="M11435" t="s">
        <v>43270</v>
      </c>
      <c r="N11435" t="s">
        <v>44905</v>
      </c>
      <c r="O11435" t="s">
        <v>44906</v>
      </c>
      <c r="P11435">
        <v>0</v>
      </c>
      <c r="Q11435">
        <v>7</v>
      </c>
      <c r="R11435" t="s">
        <v>44916</v>
      </c>
      <c r="S11435" t="s">
        <v>45313</v>
      </c>
      <c r="T11435" t="s">
        <v>46404</v>
      </c>
      <c r="U11435" t="s">
        <v>56060</v>
      </c>
      <c r="W11435" t="s">
        <v>43270</v>
      </c>
      <c r="X11435" t="s">
        <v>44917</v>
      </c>
    </row>
    <row r="11436" spans="1:24">
      <c r="A11436">
        <f>HYPERLINK("https://www.philgeps.gov.ph/GEPSNONPILOT/Tender/SplashBidNoticeAbstractUI.aspx?menuIndex=3&amp;refID=7063844&amp;Result=3","7063844")</f>
        <v>0</v>
      </c>
      <c r="B11436" t="s">
        <v>1817</v>
      </c>
      <c r="C11436" t="s">
        <v>14431</v>
      </c>
      <c r="D11436" t="s">
        <v>18181</v>
      </c>
      <c r="E11436" t="s">
        <v>28098</v>
      </c>
      <c r="F11436" t="s">
        <v>31362</v>
      </c>
      <c r="G11436" t="s">
        <v>31369</v>
      </c>
      <c r="H11436" t="s">
        <v>15799</v>
      </c>
      <c r="I11436" t="s">
        <v>31409</v>
      </c>
      <c r="J11436" t="s">
        <v>31606</v>
      </c>
      <c r="K11436" t="s">
        <v>40675</v>
      </c>
      <c r="M11436" t="s">
        <v>42900</v>
      </c>
      <c r="N11436" t="s">
        <v>44905</v>
      </c>
      <c r="O11436" t="s">
        <v>44906</v>
      </c>
      <c r="P11436">
        <v>0</v>
      </c>
      <c r="Q11436">
        <v>3</v>
      </c>
      <c r="R11436" t="s">
        <v>44916</v>
      </c>
      <c r="S11436" t="s">
        <v>45313</v>
      </c>
      <c r="T11436" t="s">
        <v>46566</v>
      </c>
      <c r="U11436" t="s">
        <v>56061</v>
      </c>
      <c r="V11436" t="s">
        <v>59382</v>
      </c>
      <c r="W11436" t="s">
        <v>42900</v>
      </c>
      <c r="X11436" t="s">
        <v>44917</v>
      </c>
    </row>
    <row r="11437" spans="1:24">
      <c r="A11437">
        <f>HYPERLINK("https://www.philgeps.gov.ph/GEPSNONPILOT/Tender/SplashBidNoticeAbstractUI.aspx?menuIndex=3&amp;refID=7063894&amp;Result=3","7063894")</f>
        <v>0</v>
      </c>
      <c r="B11437" t="s">
        <v>2951</v>
      </c>
      <c r="C11437" t="s">
        <v>14432</v>
      </c>
      <c r="D11437" t="s">
        <v>18151</v>
      </c>
      <c r="E11437" t="s">
        <v>28099</v>
      </c>
      <c r="F11437" t="s">
        <v>31362</v>
      </c>
      <c r="G11437" t="s">
        <v>31368</v>
      </c>
      <c r="H11437" t="s">
        <v>15799</v>
      </c>
      <c r="I11437" t="s">
        <v>31440</v>
      </c>
      <c r="J11437" t="s">
        <v>32404</v>
      </c>
      <c r="K11437" t="s">
        <v>40665</v>
      </c>
      <c r="M11437" t="s">
        <v>44174</v>
      </c>
      <c r="N11437" t="s">
        <v>44905</v>
      </c>
      <c r="O11437" t="s">
        <v>44906</v>
      </c>
      <c r="P11437">
        <v>0</v>
      </c>
      <c r="Q11437">
        <v>4</v>
      </c>
      <c r="R11437" t="s">
        <v>44916</v>
      </c>
      <c r="S11437" t="s">
        <v>45313</v>
      </c>
      <c r="T11437" t="s">
        <v>46541</v>
      </c>
      <c r="U11437" t="s">
        <v>56062</v>
      </c>
      <c r="W11437" t="s">
        <v>44174</v>
      </c>
      <c r="X11437" t="s">
        <v>44917</v>
      </c>
    </row>
    <row r="11438" spans="1:24">
      <c r="A11438">
        <f>HYPERLINK("https://www.philgeps.gov.ph/GEPSNONPILOT/Tender/SplashBidNoticeAbstractUI.aspx?menuIndex=3&amp;refID=7063890&amp;Result=3","7063890")</f>
        <v>0</v>
      </c>
      <c r="B11438" t="s">
        <v>1033</v>
      </c>
      <c r="C11438" t="s">
        <v>14433</v>
      </c>
      <c r="D11438" t="s">
        <v>18162</v>
      </c>
      <c r="E11438" t="s">
        <v>28100</v>
      </c>
      <c r="F11438" t="s">
        <v>31362</v>
      </c>
      <c r="G11438" t="s">
        <v>31369</v>
      </c>
      <c r="H11438" t="s">
        <v>15799</v>
      </c>
      <c r="I11438" t="s">
        <v>4942</v>
      </c>
      <c r="J11438" t="s">
        <v>38518</v>
      </c>
      <c r="K11438" t="s">
        <v>40670</v>
      </c>
      <c r="M11438" t="s">
        <v>42032</v>
      </c>
      <c r="N11438" t="s">
        <v>44905</v>
      </c>
      <c r="O11438" t="s">
        <v>44906</v>
      </c>
      <c r="P11438">
        <v>0</v>
      </c>
      <c r="Q11438">
        <v>0</v>
      </c>
      <c r="R11438" t="s">
        <v>44916</v>
      </c>
      <c r="S11438" t="s">
        <v>45313</v>
      </c>
      <c r="T11438" t="s">
        <v>46509</v>
      </c>
      <c r="U11438" t="s">
        <v>56063</v>
      </c>
      <c r="W11438" t="s">
        <v>42032</v>
      </c>
      <c r="X11438" t="s">
        <v>44917</v>
      </c>
    </row>
    <row r="11439" spans="1:24">
      <c r="A11439">
        <f>HYPERLINK("https://www.philgeps.gov.ph/GEPSNONPILOT/Tender/SplashBidNoticeAbstractUI.aspx?menuIndex=3&amp;refID=7063817&amp;Result=3","7063817")</f>
        <v>0</v>
      </c>
      <c r="B11439" t="s">
        <v>2976</v>
      </c>
      <c r="C11439" t="s">
        <v>14434</v>
      </c>
      <c r="D11439" t="s">
        <v>18110</v>
      </c>
      <c r="E11439" t="s">
        <v>28101</v>
      </c>
      <c r="F11439" t="s">
        <v>31362</v>
      </c>
      <c r="G11439" t="s">
        <v>31369</v>
      </c>
      <c r="H11439" t="s">
        <v>31378</v>
      </c>
      <c r="I11439" t="s">
        <v>31386</v>
      </c>
      <c r="J11439" t="s">
        <v>35708</v>
      </c>
      <c r="K11439" t="s">
        <v>40728</v>
      </c>
      <c r="M11439" t="s">
        <v>44200</v>
      </c>
      <c r="N11439" t="s">
        <v>44905</v>
      </c>
      <c r="O11439" t="s">
        <v>44906</v>
      </c>
      <c r="P11439">
        <v>0</v>
      </c>
      <c r="Q11439">
        <v>21</v>
      </c>
      <c r="R11439" t="s">
        <v>44916</v>
      </c>
      <c r="S11439" t="s">
        <v>45313</v>
      </c>
      <c r="T11439" t="s">
        <v>46486</v>
      </c>
      <c r="U11439" t="s">
        <v>56064</v>
      </c>
      <c r="W11439" t="s">
        <v>44200</v>
      </c>
      <c r="X11439" t="s">
        <v>44917</v>
      </c>
    </row>
    <row r="11440" spans="1:24">
      <c r="A11440">
        <f>HYPERLINK("https://www.philgeps.gov.ph/GEPSNONPILOT/Tender/SplashBidNoticeAbstractUI.aspx?menuIndex=3&amp;refID=7063737&amp;Result=3","7063737")</f>
        <v>0</v>
      </c>
      <c r="B11440" t="s">
        <v>781</v>
      </c>
      <c r="C11440" t="s">
        <v>14435</v>
      </c>
      <c r="D11440" t="s">
        <v>18156</v>
      </c>
      <c r="E11440" t="s">
        <v>28102</v>
      </c>
      <c r="F11440" t="s">
        <v>31362</v>
      </c>
      <c r="G11440" t="s">
        <v>31369</v>
      </c>
      <c r="H11440" t="s">
        <v>15799</v>
      </c>
      <c r="I11440" t="s">
        <v>31380</v>
      </c>
      <c r="J11440" t="s">
        <v>38519</v>
      </c>
      <c r="K11440" t="s">
        <v>40661</v>
      </c>
      <c r="M11440" t="s">
        <v>41749</v>
      </c>
      <c r="N11440" t="s">
        <v>44905</v>
      </c>
      <c r="O11440" t="s">
        <v>44906</v>
      </c>
      <c r="P11440">
        <v>0</v>
      </c>
      <c r="Q11440">
        <v>3</v>
      </c>
      <c r="R11440" t="s">
        <v>44916</v>
      </c>
      <c r="S11440" t="s">
        <v>45313</v>
      </c>
      <c r="T11440" t="s">
        <v>46418</v>
      </c>
      <c r="U11440" t="s">
        <v>56065</v>
      </c>
      <c r="W11440" t="s">
        <v>41749</v>
      </c>
      <c r="X11440" t="s">
        <v>44917</v>
      </c>
    </row>
    <row r="11441" spans="1:24">
      <c r="A11441">
        <f>HYPERLINK("https://www.philgeps.gov.ph/GEPSNONPILOT/Tender/SplashBidNoticeAbstractUI.aspx?menuIndex=3&amp;refID=7063732&amp;Result=3","7063732")</f>
        <v>0</v>
      </c>
      <c r="B11441" t="s">
        <v>424</v>
      </c>
      <c r="C11441" t="s">
        <v>14436</v>
      </c>
      <c r="D11441" t="s">
        <v>18168</v>
      </c>
      <c r="E11441" t="s">
        <v>28103</v>
      </c>
      <c r="F11441" t="s">
        <v>31362</v>
      </c>
      <c r="G11441" t="s">
        <v>31371</v>
      </c>
      <c r="H11441" t="s">
        <v>15799</v>
      </c>
      <c r="I11441" t="s">
        <v>31422</v>
      </c>
      <c r="J11441" t="s">
        <v>31530</v>
      </c>
      <c r="K11441" t="s">
        <v>40665</v>
      </c>
      <c r="M11441" t="s">
        <v>43973</v>
      </c>
      <c r="N11441" t="s">
        <v>44905</v>
      </c>
      <c r="O11441" t="s">
        <v>44906</v>
      </c>
      <c r="P11441">
        <v>0</v>
      </c>
      <c r="Q11441">
        <v>11</v>
      </c>
      <c r="R11441" t="s">
        <v>44916</v>
      </c>
      <c r="S11441" t="s">
        <v>45313</v>
      </c>
      <c r="T11441" t="s">
        <v>46435</v>
      </c>
      <c r="U11441" t="s">
        <v>56066</v>
      </c>
      <c r="W11441" t="s">
        <v>43973</v>
      </c>
      <c r="X11441" t="s">
        <v>44917</v>
      </c>
    </row>
    <row r="11442" spans="1:24">
      <c r="A11442">
        <f>HYPERLINK("https://www.philgeps.gov.ph/GEPSNONPILOT/Tender/SplashBidNoticeAbstractUI.aspx?menuIndex=3&amp;refID=7063825&amp;Result=3","7063825")</f>
        <v>0</v>
      </c>
      <c r="B11442" t="s">
        <v>1033</v>
      </c>
      <c r="C11442" t="s">
        <v>14437</v>
      </c>
      <c r="D11442" t="s">
        <v>18162</v>
      </c>
      <c r="E11442" t="s">
        <v>28104</v>
      </c>
      <c r="F11442" t="s">
        <v>31362</v>
      </c>
      <c r="G11442" t="s">
        <v>31369</v>
      </c>
      <c r="H11442" t="s">
        <v>15799</v>
      </c>
      <c r="I11442" t="s">
        <v>31397</v>
      </c>
      <c r="J11442" t="s">
        <v>31537</v>
      </c>
      <c r="K11442" t="s">
        <v>40670</v>
      </c>
      <c r="M11442" t="s">
        <v>42032</v>
      </c>
      <c r="N11442" t="s">
        <v>44905</v>
      </c>
      <c r="O11442" t="s">
        <v>44906</v>
      </c>
      <c r="P11442">
        <v>0</v>
      </c>
      <c r="Q11442">
        <v>0</v>
      </c>
      <c r="R11442" t="s">
        <v>44916</v>
      </c>
      <c r="S11442" t="s">
        <v>45313</v>
      </c>
      <c r="T11442" t="s">
        <v>46509</v>
      </c>
      <c r="U11442" t="s">
        <v>56067</v>
      </c>
      <c r="W11442" t="s">
        <v>42032</v>
      </c>
      <c r="X11442" t="s">
        <v>44917</v>
      </c>
    </row>
    <row r="11443" spans="1:24">
      <c r="A11443">
        <f>HYPERLINK("https://www.philgeps.gov.ph/GEPSNONPILOT/Tender/SplashBidNoticeAbstractUI.aspx?menuIndex=3&amp;refID=7063965&amp;Result=3","7063965")</f>
        <v>0</v>
      </c>
      <c r="B11443" t="s">
        <v>3087</v>
      </c>
      <c r="C11443" t="s">
        <v>14438</v>
      </c>
      <c r="D11443" t="s">
        <v>18170</v>
      </c>
      <c r="E11443" t="s">
        <v>28105</v>
      </c>
      <c r="F11443" t="s">
        <v>31362</v>
      </c>
      <c r="G11443" t="s">
        <v>31369</v>
      </c>
      <c r="H11443" t="s">
        <v>15799</v>
      </c>
      <c r="I11443" t="s">
        <v>31392</v>
      </c>
      <c r="J11443" t="s">
        <v>38520</v>
      </c>
      <c r="K11443" t="s">
        <v>40675</v>
      </c>
      <c r="M11443" t="s">
        <v>44327</v>
      </c>
      <c r="N11443" t="s">
        <v>44905</v>
      </c>
      <c r="O11443" t="s">
        <v>44906</v>
      </c>
      <c r="P11443">
        <v>0</v>
      </c>
      <c r="Q11443">
        <v>0</v>
      </c>
      <c r="R11443" t="s">
        <v>44916</v>
      </c>
      <c r="S11443" t="s">
        <v>45313</v>
      </c>
      <c r="T11443" t="s">
        <v>46418</v>
      </c>
      <c r="U11443" t="s">
        <v>56068</v>
      </c>
      <c r="W11443" t="s">
        <v>44327</v>
      </c>
      <c r="X11443" t="s">
        <v>44917</v>
      </c>
    </row>
    <row r="11444" spans="1:24">
      <c r="A11444">
        <f>HYPERLINK("https://www.philgeps.gov.ph/GEPSNONPILOT/Tender/SplashBidNoticeAbstractUI.aspx?menuIndex=3&amp;refID=7063738&amp;Result=3","7063738")</f>
        <v>0</v>
      </c>
      <c r="B11444" t="s">
        <v>3084</v>
      </c>
      <c r="C11444" t="s">
        <v>14439</v>
      </c>
      <c r="D11444" t="s">
        <v>18176</v>
      </c>
      <c r="E11444" t="s">
        <v>28106</v>
      </c>
      <c r="F11444" t="s">
        <v>31362</v>
      </c>
      <c r="G11444" t="s">
        <v>31368</v>
      </c>
      <c r="H11444" t="s">
        <v>15799</v>
      </c>
      <c r="I11444" t="s">
        <v>31385</v>
      </c>
      <c r="J11444" t="s">
        <v>38521</v>
      </c>
      <c r="K11444" t="s">
        <v>40670</v>
      </c>
      <c r="M11444" t="s">
        <v>44324</v>
      </c>
      <c r="N11444" t="s">
        <v>44905</v>
      </c>
      <c r="O11444" t="s">
        <v>44906</v>
      </c>
      <c r="P11444">
        <v>0</v>
      </c>
      <c r="Q11444">
        <v>0</v>
      </c>
      <c r="R11444" t="s">
        <v>44916</v>
      </c>
      <c r="S11444" t="s">
        <v>45313</v>
      </c>
      <c r="T11444" t="s">
        <v>46434</v>
      </c>
      <c r="U11444" t="s">
        <v>56069</v>
      </c>
      <c r="W11444" t="s">
        <v>44324</v>
      </c>
      <c r="X11444" t="s">
        <v>44917</v>
      </c>
    </row>
    <row r="11445" spans="1:24">
      <c r="A11445">
        <f>HYPERLINK("https://www.philgeps.gov.ph/GEPSNONPILOT/Tender/SplashBidNoticeAbstractUI.aspx?menuIndex=3&amp;refID=7064005&amp;Result=3","7064005")</f>
        <v>0</v>
      </c>
      <c r="B11445" t="s">
        <v>795</v>
      </c>
      <c r="C11445" t="s">
        <v>14440</v>
      </c>
      <c r="D11445" t="s">
        <v>18138</v>
      </c>
      <c r="E11445" t="s">
        <v>28107</v>
      </c>
      <c r="F11445" t="s">
        <v>31362</v>
      </c>
      <c r="G11445" t="s">
        <v>31369</v>
      </c>
      <c r="H11445" t="s">
        <v>31378</v>
      </c>
      <c r="I11445" t="s">
        <v>31386</v>
      </c>
      <c r="J11445" t="s">
        <v>38522</v>
      </c>
      <c r="K11445" t="s">
        <v>40679</v>
      </c>
      <c r="M11445" t="s">
        <v>41765</v>
      </c>
      <c r="N11445" t="s">
        <v>44905</v>
      </c>
      <c r="O11445" t="s">
        <v>44906</v>
      </c>
      <c r="P11445">
        <v>0</v>
      </c>
      <c r="Q11445">
        <v>3</v>
      </c>
      <c r="R11445" t="s">
        <v>44916</v>
      </c>
      <c r="S11445" t="s">
        <v>45313</v>
      </c>
      <c r="T11445" t="s">
        <v>46486</v>
      </c>
      <c r="U11445" t="s">
        <v>56070</v>
      </c>
      <c r="W11445" t="s">
        <v>41765</v>
      </c>
      <c r="X11445" t="s">
        <v>44917</v>
      </c>
    </row>
    <row r="11446" spans="1:24">
      <c r="A11446">
        <f>HYPERLINK("https://www.philgeps.gov.ph/GEPSNONPILOT/Tender/SplashBidNoticeAbstractUI.aspx?menuIndex=3&amp;refID=7063992&amp;Result=3","7063992")</f>
        <v>0</v>
      </c>
      <c r="B11446" t="s">
        <v>3088</v>
      </c>
      <c r="C11446" t="s">
        <v>14441</v>
      </c>
      <c r="D11446" t="s">
        <v>18121</v>
      </c>
      <c r="E11446" t="s">
        <v>28108</v>
      </c>
      <c r="F11446" t="s">
        <v>31362</v>
      </c>
      <c r="G11446" t="s">
        <v>31369</v>
      </c>
      <c r="H11446" t="s">
        <v>31378</v>
      </c>
      <c r="I11446" t="s">
        <v>31386</v>
      </c>
      <c r="J11446" t="s">
        <v>38523</v>
      </c>
      <c r="K11446" t="s">
        <v>40683</v>
      </c>
      <c r="M11446" t="s">
        <v>44328</v>
      </c>
      <c r="N11446" t="s">
        <v>44905</v>
      </c>
      <c r="O11446" t="s">
        <v>44906</v>
      </c>
      <c r="P11446">
        <v>0</v>
      </c>
      <c r="Q11446">
        <v>3</v>
      </c>
      <c r="R11446" t="s">
        <v>44916</v>
      </c>
      <c r="S11446" t="s">
        <v>45313</v>
      </c>
      <c r="T11446" t="s">
        <v>46462</v>
      </c>
      <c r="U11446" t="s">
        <v>56071</v>
      </c>
      <c r="W11446" t="s">
        <v>44328</v>
      </c>
      <c r="X11446" t="s">
        <v>44917</v>
      </c>
    </row>
    <row r="11447" spans="1:24">
      <c r="A11447">
        <f>HYPERLINK("https://www.philgeps.gov.ph/GEPSNONPILOT/Tender/SplashBidNoticeAbstractUI.aspx?menuIndex=3&amp;refID=7064011&amp;Result=3","7064011")</f>
        <v>0</v>
      </c>
      <c r="B11447" t="s">
        <v>2922</v>
      </c>
      <c r="C11447" t="s">
        <v>14442</v>
      </c>
      <c r="D11447" t="s">
        <v>18173</v>
      </c>
      <c r="E11447" t="s">
        <v>28109</v>
      </c>
      <c r="F11447" t="s">
        <v>31362</v>
      </c>
      <c r="G11447" t="s">
        <v>31369</v>
      </c>
      <c r="H11447" t="s">
        <v>31378</v>
      </c>
      <c r="I11447" t="s">
        <v>31386</v>
      </c>
      <c r="J11447" t="s">
        <v>38524</v>
      </c>
      <c r="K11447" t="s">
        <v>40791</v>
      </c>
      <c r="M11447" t="s">
        <v>44138</v>
      </c>
      <c r="N11447" t="s">
        <v>44905</v>
      </c>
      <c r="O11447" t="s">
        <v>44906</v>
      </c>
      <c r="P11447">
        <v>0</v>
      </c>
      <c r="Q11447">
        <v>0</v>
      </c>
      <c r="R11447" t="s">
        <v>44916</v>
      </c>
      <c r="S11447" t="s">
        <v>45313</v>
      </c>
      <c r="T11447" t="s">
        <v>46479</v>
      </c>
      <c r="U11447" t="s">
        <v>56072</v>
      </c>
      <c r="V11447" t="s">
        <v>60290</v>
      </c>
      <c r="W11447" t="s">
        <v>44138</v>
      </c>
      <c r="X11447" t="s">
        <v>44917</v>
      </c>
    </row>
    <row r="11448" spans="1:24">
      <c r="A11448">
        <f>HYPERLINK("https://www.philgeps.gov.ph/GEPSNONPILOT/Tender/SplashBidNoticeAbstractUI.aspx?menuIndex=3&amp;refID=7063849&amp;Result=3","7063849")</f>
        <v>0</v>
      </c>
      <c r="B11448" t="s">
        <v>1033</v>
      </c>
      <c r="C11448" t="s">
        <v>14443</v>
      </c>
      <c r="D11448" t="s">
        <v>18162</v>
      </c>
      <c r="E11448" t="s">
        <v>28110</v>
      </c>
      <c r="F11448" t="s">
        <v>31362</v>
      </c>
      <c r="G11448" t="s">
        <v>31369</v>
      </c>
      <c r="H11448" t="s">
        <v>15799</v>
      </c>
      <c r="I11448" t="s">
        <v>4942</v>
      </c>
      <c r="J11448" t="s">
        <v>38518</v>
      </c>
      <c r="K11448" t="s">
        <v>40670</v>
      </c>
      <c r="M11448" t="s">
        <v>42032</v>
      </c>
      <c r="N11448" t="s">
        <v>44905</v>
      </c>
      <c r="O11448" t="s">
        <v>44906</v>
      </c>
      <c r="P11448">
        <v>0</v>
      </c>
      <c r="Q11448">
        <v>1</v>
      </c>
      <c r="R11448" t="s">
        <v>44916</v>
      </c>
      <c r="S11448" t="s">
        <v>45313</v>
      </c>
      <c r="T11448" t="s">
        <v>46509</v>
      </c>
      <c r="U11448" t="s">
        <v>56063</v>
      </c>
      <c r="W11448" t="s">
        <v>42032</v>
      </c>
      <c r="X11448" t="s">
        <v>44917</v>
      </c>
    </row>
    <row r="11449" spans="1:24">
      <c r="A11449">
        <f>HYPERLINK("https://www.philgeps.gov.ph/GEPSNONPILOT/Tender/SplashBidNoticeAbstractUI.aspx?menuIndex=3&amp;refID=7063991&amp;Result=3","7063991")</f>
        <v>0</v>
      </c>
      <c r="B11449" t="s">
        <v>1033</v>
      </c>
      <c r="C11449" t="s">
        <v>14444</v>
      </c>
      <c r="D11449" t="s">
        <v>18162</v>
      </c>
      <c r="E11449" t="s">
        <v>28111</v>
      </c>
      <c r="F11449" t="s">
        <v>31362</v>
      </c>
      <c r="G11449" t="s">
        <v>31369</v>
      </c>
      <c r="H11449" t="s">
        <v>15799</v>
      </c>
      <c r="I11449" t="s">
        <v>3815</v>
      </c>
      <c r="J11449" t="s">
        <v>32600</v>
      </c>
      <c r="K11449" t="s">
        <v>40670</v>
      </c>
      <c r="M11449" t="s">
        <v>42032</v>
      </c>
      <c r="N11449" t="s">
        <v>44905</v>
      </c>
      <c r="O11449" t="s">
        <v>44906</v>
      </c>
      <c r="P11449">
        <v>0</v>
      </c>
      <c r="Q11449">
        <v>1</v>
      </c>
      <c r="R11449" t="s">
        <v>44916</v>
      </c>
      <c r="S11449" t="s">
        <v>45313</v>
      </c>
      <c r="T11449" t="s">
        <v>46509</v>
      </c>
      <c r="U11449" t="s">
        <v>56073</v>
      </c>
      <c r="W11449" t="s">
        <v>42032</v>
      </c>
      <c r="X11449" t="s">
        <v>44917</v>
      </c>
    </row>
    <row r="11450" spans="1:24">
      <c r="A11450">
        <f>HYPERLINK("https://www.philgeps.gov.ph/GEPSNONPILOT/Tender/SplashBidNoticeAbstractUI.aspx?menuIndex=3&amp;refID=7063978&amp;Result=3","7063978")</f>
        <v>0</v>
      </c>
      <c r="B11450" t="s">
        <v>1817</v>
      </c>
      <c r="C11450" t="s">
        <v>14445</v>
      </c>
      <c r="D11450" t="s">
        <v>18181</v>
      </c>
      <c r="E11450" t="s">
        <v>28112</v>
      </c>
      <c r="F11450" t="s">
        <v>31362</v>
      </c>
      <c r="G11450" t="s">
        <v>31369</v>
      </c>
      <c r="H11450" t="s">
        <v>15799</v>
      </c>
      <c r="I11450" t="s">
        <v>31468</v>
      </c>
      <c r="J11450" t="s">
        <v>38525</v>
      </c>
      <c r="K11450" t="s">
        <v>40675</v>
      </c>
      <c r="M11450" t="s">
        <v>42900</v>
      </c>
      <c r="N11450" t="s">
        <v>44905</v>
      </c>
      <c r="O11450" t="s">
        <v>44906</v>
      </c>
      <c r="P11450">
        <v>0</v>
      </c>
      <c r="Q11450">
        <v>3</v>
      </c>
      <c r="R11450" t="s">
        <v>44916</v>
      </c>
      <c r="S11450" t="s">
        <v>45313</v>
      </c>
      <c r="T11450" t="s">
        <v>46725</v>
      </c>
      <c r="U11450" t="s">
        <v>56074</v>
      </c>
      <c r="V11450" t="s">
        <v>59382</v>
      </c>
      <c r="W11450" t="s">
        <v>42900</v>
      </c>
      <c r="X11450" t="s">
        <v>44917</v>
      </c>
    </row>
    <row r="11451" spans="1:24">
      <c r="A11451">
        <f>HYPERLINK("https://www.philgeps.gov.ph/GEPSNONPILOT/Tender/SplashBidNoticeAbstractUI.aspx?menuIndex=3&amp;refID=7063973&amp;Result=3","7063973")</f>
        <v>0</v>
      </c>
      <c r="B11451" t="s">
        <v>3088</v>
      </c>
      <c r="C11451" t="s">
        <v>14446</v>
      </c>
      <c r="D11451" t="s">
        <v>18121</v>
      </c>
      <c r="E11451" t="s">
        <v>28113</v>
      </c>
      <c r="F11451" t="s">
        <v>31362</v>
      </c>
      <c r="G11451" t="s">
        <v>31369</v>
      </c>
      <c r="H11451" t="s">
        <v>31378</v>
      </c>
      <c r="I11451" t="s">
        <v>31386</v>
      </c>
      <c r="J11451" t="s">
        <v>38526</v>
      </c>
      <c r="K11451" t="s">
        <v>40683</v>
      </c>
      <c r="M11451" t="s">
        <v>44328</v>
      </c>
      <c r="N11451" t="s">
        <v>44905</v>
      </c>
      <c r="O11451" t="s">
        <v>44906</v>
      </c>
      <c r="P11451">
        <v>0</v>
      </c>
      <c r="Q11451">
        <v>4</v>
      </c>
      <c r="R11451" t="s">
        <v>44916</v>
      </c>
      <c r="S11451" t="s">
        <v>45313</v>
      </c>
      <c r="T11451" t="s">
        <v>46462</v>
      </c>
      <c r="U11451" t="s">
        <v>56075</v>
      </c>
      <c r="W11451" t="s">
        <v>44328</v>
      </c>
      <c r="X11451" t="s">
        <v>44917</v>
      </c>
    </row>
    <row r="11452" spans="1:24">
      <c r="A11452">
        <f>HYPERLINK("https://www.philgeps.gov.ph/GEPSNONPILOT/Tender/SplashBidNoticeAbstractUI.aspx?menuIndex=3&amp;refID=7063957&amp;Result=3","7063957")</f>
        <v>0</v>
      </c>
      <c r="B11452" t="s">
        <v>411</v>
      </c>
      <c r="C11452" t="s">
        <v>14447</v>
      </c>
      <c r="D11452" t="s">
        <v>18148</v>
      </c>
      <c r="E11452" t="s">
        <v>28114</v>
      </c>
      <c r="F11452" t="s">
        <v>31362</v>
      </c>
      <c r="G11452" t="s">
        <v>31369</v>
      </c>
      <c r="H11452" t="s">
        <v>15799</v>
      </c>
      <c r="I11452" t="s">
        <v>31422</v>
      </c>
      <c r="J11452" t="s">
        <v>38527</v>
      </c>
      <c r="K11452" t="s">
        <v>40662</v>
      </c>
      <c r="M11452" t="s">
        <v>41361</v>
      </c>
      <c r="N11452" t="s">
        <v>44905</v>
      </c>
      <c r="O11452" t="s">
        <v>44906</v>
      </c>
      <c r="Q11452">
        <v>2</v>
      </c>
      <c r="R11452" t="s">
        <v>44916</v>
      </c>
      <c r="S11452" t="s">
        <v>45364</v>
      </c>
      <c r="T11452" t="s">
        <v>46481</v>
      </c>
      <c r="U11452" t="s">
        <v>56076</v>
      </c>
      <c r="W11452" t="s">
        <v>41361</v>
      </c>
      <c r="X11452" t="s">
        <v>44917</v>
      </c>
    </row>
    <row r="11453" spans="1:24">
      <c r="A11453">
        <f>HYPERLINK("https://www.philgeps.gov.ph/GEPSNONPILOT/Tender/SplashBidNoticeAbstractUI.aspx?menuIndex=3&amp;refID=7063997&amp;Result=3","7063997")</f>
        <v>0</v>
      </c>
      <c r="B11453" t="s">
        <v>2789</v>
      </c>
      <c r="C11453" t="s">
        <v>14448</v>
      </c>
      <c r="D11453" t="s">
        <v>18134</v>
      </c>
      <c r="E11453" t="s">
        <v>28115</v>
      </c>
      <c r="F11453" t="s">
        <v>31362</v>
      </c>
      <c r="G11453" t="s">
        <v>31369</v>
      </c>
      <c r="H11453" t="s">
        <v>31378</v>
      </c>
      <c r="I11453" t="s">
        <v>31386</v>
      </c>
      <c r="J11453" t="s">
        <v>38528</v>
      </c>
      <c r="K11453" t="s">
        <v>40679</v>
      </c>
      <c r="M11453" t="s">
        <v>43986</v>
      </c>
      <c r="N11453" t="s">
        <v>44905</v>
      </c>
      <c r="O11453" t="s">
        <v>44906</v>
      </c>
      <c r="P11453">
        <v>0</v>
      </c>
      <c r="Q11453">
        <v>3</v>
      </c>
      <c r="R11453" t="s">
        <v>44916</v>
      </c>
      <c r="S11453" t="s">
        <v>45313</v>
      </c>
      <c r="T11453" t="s">
        <v>46533</v>
      </c>
      <c r="U11453" t="s">
        <v>55274</v>
      </c>
      <c r="W11453" t="s">
        <v>43986</v>
      </c>
      <c r="X11453" t="s">
        <v>44917</v>
      </c>
    </row>
    <row r="11454" spans="1:24">
      <c r="A11454">
        <f>HYPERLINK("https://www.philgeps.gov.ph/GEPSNONPILOT/Tender/SplashBidNoticeAbstractUI.aspx?menuIndex=3&amp;refID=7063851&amp;Result=3","7063851")</f>
        <v>0</v>
      </c>
      <c r="B11454" t="s">
        <v>3089</v>
      </c>
      <c r="C11454" t="s">
        <v>14449</v>
      </c>
      <c r="D11454" t="s">
        <v>18134</v>
      </c>
      <c r="E11454" t="s">
        <v>28116</v>
      </c>
      <c r="F11454" t="s">
        <v>31362</v>
      </c>
      <c r="G11454" t="s">
        <v>31369</v>
      </c>
      <c r="H11454" t="s">
        <v>15799</v>
      </c>
      <c r="I11454" t="s">
        <v>31397</v>
      </c>
      <c r="J11454" t="s">
        <v>38529</v>
      </c>
      <c r="K11454" t="s">
        <v>40665</v>
      </c>
      <c r="M11454" t="s">
        <v>44329</v>
      </c>
      <c r="N11454" t="s">
        <v>44905</v>
      </c>
      <c r="O11454" t="s">
        <v>44906</v>
      </c>
      <c r="P11454">
        <v>0</v>
      </c>
      <c r="Q11454">
        <v>2</v>
      </c>
      <c r="R11454" t="s">
        <v>44916</v>
      </c>
      <c r="S11454" t="s">
        <v>45313</v>
      </c>
      <c r="T11454" t="s">
        <v>46838</v>
      </c>
      <c r="U11454" t="s">
        <v>56077</v>
      </c>
      <c r="V11454" t="s">
        <v>60291</v>
      </c>
      <c r="W11454" t="s">
        <v>44329</v>
      </c>
      <c r="X11454" t="s">
        <v>44917</v>
      </c>
    </row>
    <row r="11455" spans="1:24">
      <c r="A11455">
        <f>HYPERLINK("https://www.philgeps.gov.ph/GEPSNONPILOT/Tender/SplashBidNoticeAbstractUI.aspx?menuIndex=3&amp;refID=7063962&amp;Result=3","7063962")</f>
        <v>0</v>
      </c>
      <c r="B11455" t="s">
        <v>1033</v>
      </c>
      <c r="C11455" t="s">
        <v>14450</v>
      </c>
      <c r="D11455" t="s">
        <v>18162</v>
      </c>
      <c r="E11455" t="s">
        <v>28117</v>
      </c>
      <c r="F11455" t="s">
        <v>31362</v>
      </c>
      <c r="G11455" t="s">
        <v>31369</v>
      </c>
      <c r="H11455" t="s">
        <v>15799</v>
      </c>
      <c r="I11455" t="s">
        <v>31385</v>
      </c>
      <c r="J11455" t="s">
        <v>35743</v>
      </c>
      <c r="K11455" t="s">
        <v>40670</v>
      </c>
      <c r="M11455" t="s">
        <v>42032</v>
      </c>
      <c r="N11455" t="s">
        <v>44905</v>
      </c>
      <c r="O11455" t="s">
        <v>44906</v>
      </c>
      <c r="P11455">
        <v>0</v>
      </c>
      <c r="Q11455">
        <v>0</v>
      </c>
      <c r="R11455" t="s">
        <v>44916</v>
      </c>
      <c r="S11455" t="s">
        <v>45313</v>
      </c>
      <c r="T11455" t="s">
        <v>46509</v>
      </c>
      <c r="U11455" t="s">
        <v>56078</v>
      </c>
      <c r="W11455" t="s">
        <v>42032</v>
      </c>
      <c r="X11455" t="s">
        <v>44917</v>
      </c>
    </row>
    <row r="11456" spans="1:24">
      <c r="A11456">
        <f>HYPERLINK("https://www.philgeps.gov.ph/GEPSNONPILOT/Tender/SplashBidNoticeAbstractUI.aspx?menuIndex=3&amp;refID=7064093&amp;Result=3","7064093")</f>
        <v>0</v>
      </c>
      <c r="B11456" t="s">
        <v>1625</v>
      </c>
      <c r="C11456" t="s">
        <v>14451</v>
      </c>
      <c r="D11456" t="s">
        <v>18108</v>
      </c>
      <c r="E11456" t="s">
        <v>28118</v>
      </c>
      <c r="F11456" t="s">
        <v>31362</v>
      </c>
      <c r="G11456" t="s">
        <v>31369</v>
      </c>
      <c r="H11456" t="s">
        <v>15799</v>
      </c>
      <c r="I11456" t="s">
        <v>12925</v>
      </c>
      <c r="J11456" t="s">
        <v>38530</v>
      </c>
      <c r="K11456" t="s">
        <v>40662</v>
      </c>
      <c r="M11456" t="s">
        <v>42684</v>
      </c>
      <c r="N11456" t="s">
        <v>44905</v>
      </c>
      <c r="O11456" t="s">
        <v>44906</v>
      </c>
      <c r="Q11456">
        <v>5</v>
      </c>
      <c r="R11456" t="s">
        <v>44916</v>
      </c>
      <c r="S11456" t="s">
        <v>45365</v>
      </c>
      <c r="T11456" t="s">
        <v>46392</v>
      </c>
      <c r="U11456" t="s">
        <v>56079</v>
      </c>
      <c r="W11456" t="s">
        <v>42684</v>
      </c>
      <c r="X11456" t="s">
        <v>44917</v>
      </c>
    </row>
    <row r="11457" spans="1:24">
      <c r="A11457">
        <f>HYPERLINK("https://www.philgeps.gov.ph/GEPSNONPILOT/Tender/SplashBidNoticeAbstractUI.aspx?menuIndex=3&amp;refID=7063823&amp;Result=3","7063823")</f>
        <v>0</v>
      </c>
      <c r="B11457" t="s">
        <v>3081</v>
      </c>
      <c r="C11457" t="s">
        <v>14452</v>
      </c>
      <c r="D11457" t="s">
        <v>18117</v>
      </c>
      <c r="E11457" t="s">
        <v>28119</v>
      </c>
      <c r="F11457" t="s">
        <v>31362</v>
      </c>
      <c r="G11457" t="s">
        <v>31369</v>
      </c>
      <c r="H11457" t="s">
        <v>31378</v>
      </c>
      <c r="I11457" t="s">
        <v>31386</v>
      </c>
      <c r="J11457" t="s">
        <v>31578</v>
      </c>
      <c r="K11457" t="s">
        <v>40678</v>
      </c>
      <c r="M11457" t="s">
        <v>44321</v>
      </c>
      <c r="N11457" t="s">
        <v>44905</v>
      </c>
      <c r="O11457" t="s">
        <v>44906</v>
      </c>
      <c r="P11457">
        <v>0</v>
      </c>
      <c r="Q11457">
        <v>1</v>
      </c>
      <c r="R11457" t="s">
        <v>44916</v>
      </c>
      <c r="S11457" t="s">
        <v>45313</v>
      </c>
      <c r="T11457" t="s">
        <v>46839</v>
      </c>
      <c r="U11457" t="s">
        <v>56080</v>
      </c>
      <c r="V11457" t="s">
        <v>60287</v>
      </c>
      <c r="W11457" t="s">
        <v>44321</v>
      </c>
      <c r="X11457" t="s">
        <v>44917</v>
      </c>
    </row>
    <row r="11458" spans="1:24">
      <c r="A11458">
        <f>HYPERLINK("https://www.philgeps.gov.ph/GEPSNONPILOT/Tender/SplashBidNoticeAbstractUI.aspx?menuIndex=3&amp;refID=7063954&amp;Result=3","7063954")</f>
        <v>0</v>
      </c>
      <c r="B11458" t="s">
        <v>2638</v>
      </c>
      <c r="C11458" t="s">
        <v>14453</v>
      </c>
      <c r="E11458" t="s">
        <v>28120</v>
      </c>
      <c r="F11458" t="s">
        <v>31362</v>
      </c>
      <c r="G11458" t="s">
        <v>31369</v>
      </c>
      <c r="H11458" t="s">
        <v>31378</v>
      </c>
      <c r="I11458" t="s">
        <v>31386</v>
      </c>
      <c r="J11458" t="s">
        <v>38531</v>
      </c>
      <c r="K11458" t="s">
        <v>40662</v>
      </c>
      <c r="M11458" t="s">
        <v>43819</v>
      </c>
      <c r="N11458" t="s">
        <v>44905</v>
      </c>
      <c r="O11458" t="s">
        <v>44906</v>
      </c>
      <c r="P11458">
        <v>0</v>
      </c>
      <c r="Q11458">
        <v>2</v>
      </c>
      <c r="R11458" t="s">
        <v>44916</v>
      </c>
      <c r="S11458" t="s">
        <v>45313</v>
      </c>
      <c r="T11458" t="s">
        <v>46696</v>
      </c>
      <c r="U11458" t="s">
        <v>56081</v>
      </c>
      <c r="W11458" t="s">
        <v>43819</v>
      </c>
      <c r="X11458" t="s">
        <v>44917</v>
      </c>
    </row>
    <row r="11459" spans="1:24">
      <c r="A11459">
        <f>HYPERLINK("https://www.philgeps.gov.ph/GEPSNONPILOT/Tender/SplashBidNoticeAbstractUI.aspx?menuIndex=3&amp;refID=7063952&amp;Result=3","7063952")</f>
        <v>0</v>
      </c>
      <c r="B11459" t="s">
        <v>2270</v>
      </c>
      <c r="C11459" t="s">
        <v>14454</v>
      </c>
      <c r="D11459" t="s">
        <v>18168</v>
      </c>
      <c r="E11459" t="s">
        <v>28121</v>
      </c>
      <c r="F11459" t="s">
        <v>31362</v>
      </c>
      <c r="G11459" t="s">
        <v>31369</v>
      </c>
      <c r="H11459" t="s">
        <v>31378</v>
      </c>
      <c r="I11459" t="s">
        <v>31386</v>
      </c>
      <c r="J11459" t="s">
        <v>38532</v>
      </c>
      <c r="K11459" t="s">
        <v>40678</v>
      </c>
      <c r="M11459" t="s">
        <v>43409</v>
      </c>
      <c r="N11459" t="s">
        <v>44905</v>
      </c>
      <c r="O11459" t="s">
        <v>44906</v>
      </c>
      <c r="P11459">
        <v>0</v>
      </c>
      <c r="Q11459">
        <v>1</v>
      </c>
      <c r="R11459" t="s">
        <v>44916</v>
      </c>
      <c r="S11459" t="s">
        <v>45313</v>
      </c>
      <c r="T11459" t="s">
        <v>46533</v>
      </c>
      <c r="U11459" t="s">
        <v>56082</v>
      </c>
      <c r="W11459" t="s">
        <v>43409</v>
      </c>
      <c r="X11459" t="s">
        <v>44917</v>
      </c>
    </row>
    <row r="11460" spans="1:24">
      <c r="A11460">
        <f>HYPERLINK("https://www.philgeps.gov.ph/GEPSNONPILOT/Tender/SplashBidNoticeAbstractUI.aspx?menuIndex=3&amp;refID=7064077&amp;Result=3","7064077")</f>
        <v>0</v>
      </c>
      <c r="B11460" t="s">
        <v>2448</v>
      </c>
      <c r="C11460" t="s">
        <v>14455</v>
      </c>
      <c r="D11460" t="s">
        <v>18108</v>
      </c>
      <c r="E11460" t="s">
        <v>28122</v>
      </c>
      <c r="F11460" t="s">
        <v>31362</v>
      </c>
      <c r="G11460" t="s">
        <v>31368</v>
      </c>
      <c r="H11460" t="s">
        <v>15799</v>
      </c>
      <c r="I11460" t="s">
        <v>7719</v>
      </c>
      <c r="J11460" t="s">
        <v>38533</v>
      </c>
      <c r="K11460" t="s">
        <v>40665</v>
      </c>
      <c r="M11460" t="s">
        <v>43607</v>
      </c>
      <c r="N11460" t="s">
        <v>44905</v>
      </c>
      <c r="O11460" t="s">
        <v>44906</v>
      </c>
      <c r="Q11460">
        <v>23</v>
      </c>
      <c r="R11460" t="s">
        <v>44916</v>
      </c>
      <c r="S11460" t="s">
        <v>45366</v>
      </c>
      <c r="T11460" t="s">
        <v>46659</v>
      </c>
      <c r="U11460" t="s">
        <v>56083</v>
      </c>
      <c r="V11460" t="s">
        <v>60292</v>
      </c>
      <c r="W11460" t="s">
        <v>43607</v>
      </c>
      <c r="X11460" t="s">
        <v>44917</v>
      </c>
    </row>
    <row r="11461" spans="1:24">
      <c r="A11461">
        <f>HYPERLINK("https://www.philgeps.gov.ph/GEPSNONPILOT/Tender/SplashBidNoticeAbstractUI.aspx?menuIndex=3&amp;refID=7064067&amp;Result=3","7064067")</f>
        <v>0</v>
      </c>
      <c r="B11461" t="s">
        <v>2448</v>
      </c>
      <c r="C11461" t="s">
        <v>14456</v>
      </c>
      <c r="D11461" t="s">
        <v>18108</v>
      </c>
      <c r="E11461" t="s">
        <v>28123</v>
      </c>
      <c r="F11461" t="s">
        <v>31362</v>
      </c>
      <c r="G11461" t="s">
        <v>31368</v>
      </c>
      <c r="H11461" t="s">
        <v>15799</v>
      </c>
      <c r="I11461" t="s">
        <v>7719</v>
      </c>
      <c r="J11461" t="s">
        <v>32109</v>
      </c>
      <c r="K11461" t="s">
        <v>40665</v>
      </c>
      <c r="M11461" t="s">
        <v>43607</v>
      </c>
      <c r="N11461" t="s">
        <v>44905</v>
      </c>
      <c r="O11461" t="s">
        <v>44906</v>
      </c>
      <c r="Q11461">
        <v>8</v>
      </c>
      <c r="R11461" t="s">
        <v>44916</v>
      </c>
      <c r="S11461" t="s">
        <v>45367</v>
      </c>
      <c r="T11461" t="s">
        <v>46391</v>
      </c>
      <c r="U11461" t="s">
        <v>56084</v>
      </c>
      <c r="V11461" t="s">
        <v>60292</v>
      </c>
      <c r="W11461" t="s">
        <v>43607</v>
      </c>
      <c r="X11461" t="s">
        <v>44917</v>
      </c>
    </row>
    <row r="11462" spans="1:24">
      <c r="A11462">
        <f>HYPERLINK("https://www.philgeps.gov.ph/GEPSNONPILOT/Tender/SplashBidNoticeAbstractUI.aspx?menuIndex=3&amp;refID=7064066&amp;Result=3","7064066")</f>
        <v>0</v>
      </c>
      <c r="B11462" t="s">
        <v>2327</v>
      </c>
      <c r="C11462" t="s">
        <v>14457</v>
      </c>
      <c r="D11462" t="s">
        <v>18149</v>
      </c>
      <c r="E11462" t="s">
        <v>28124</v>
      </c>
      <c r="F11462" t="s">
        <v>31362</v>
      </c>
      <c r="G11462" t="s">
        <v>31369</v>
      </c>
      <c r="H11462" t="s">
        <v>31378</v>
      </c>
      <c r="I11462" t="s">
        <v>31386</v>
      </c>
      <c r="J11462" t="s">
        <v>31625</v>
      </c>
      <c r="K11462" t="s">
        <v>40682</v>
      </c>
      <c r="M11462" t="s">
        <v>43467</v>
      </c>
      <c r="N11462" t="s">
        <v>44905</v>
      </c>
      <c r="O11462" t="s">
        <v>44906</v>
      </c>
      <c r="P11462">
        <v>0</v>
      </c>
      <c r="Q11462">
        <v>0</v>
      </c>
      <c r="R11462" t="s">
        <v>44916</v>
      </c>
      <c r="S11462" t="s">
        <v>45313</v>
      </c>
      <c r="T11462" t="s">
        <v>46585</v>
      </c>
      <c r="U11462" t="s">
        <v>56085</v>
      </c>
      <c r="W11462" t="s">
        <v>43467</v>
      </c>
      <c r="X11462" t="s">
        <v>44917</v>
      </c>
    </row>
    <row r="11463" spans="1:24">
      <c r="A11463">
        <f>HYPERLINK("https://www.philgeps.gov.ph/GEPSNONPILOT/Tender/SplashBidNoticeAbstractUI.aspx?menuIndex=3&amp;refID=7063505&amp;Result=3","7063505")</f>
        <v>0</v>
      </c>
      <c r="B11463" t="s">
        <v>1740</v>
      </c>
      <c r="C11463" t="s">
        <v>14458</v>
      </c>
      <c r="D11463" t="s">
        <v>18164</v>
      </c>
      <c r="E11463" t="s">
        <v>24221</v>
      </c>
      <c r="F11463" t="s">
        <v>31362</v>
      </c>
      <c r="G11463" t="s">
        <v>31369</v>
      </c>
      <c r="H11463" t="s">
        <v>31378</v>
      </c>
      <c r="I11463" t="s">
        <v>31386</v>
      </c>
      <c r="J11463" t="s">
        <v>31637</v>
      </c>
      <c r="K11463" t="s">
        <v>40686</v>
      </c>
      <c r="M11463" t="s">
        <v>42815</v>
      </c>
      <c r="N11463" t="s">
        <v>44905</v>
      </c>
      <c r="O11463" t="s">
        <v>44906</v>
      </c>
      <c r="P11463">
        <v>0</v>
      </c>
      <c r="Q11463">
        <v>2</v>
      </c>
      <c r="R11463" t="s">
        <v>44916</v>
      </c>
      <c r="S11463" t="s">
        <v>45313</v>
      </c>
      <c r="T11463" t="s">
        <v>46840</v>
      </c>
      <c r="U11463" t="s">
        <v>56086</v>
      </c>
      <c r="W11463" t="s">
        <v>42815</v>
      </c>
      <c r="X11463" t="s">
        <v>44917</v>
      </c>
    </row>
    <row r="11464" spans="1:24">
      <c r="A11464">
        <f>HYPERLINK("https://www.philgeps.gov.ph/GEPSNONPILOT/Tender/SplashBidNoticeAbstractUI.aspx?menuIndex=3&amp;refID=7064085&amp;Result=3","7064085")</f>
        <v>0</v>
      </c>
      <c r="B11464" t="s">
        <v>2084</v>
      </c>
      <c r="C11464" t="s">
        <v>14459</v>
      </c>
      <c r="D11464" t="s">
        <v>18171</v>
      </c>
      <c r="E11464" t="s">
        <v>28125</v>
      </c>
      <c r="F11464" t="s">
        <v>31362</v>
      </c>
      <c r="G11464" t="s">
        <v>31369</v>
      </c>
      <c r="H11464" t="s">
        <v>15799</v>
      </c>
      <c r="I11464" t="s">
        <v>7090</v>
      </c>
      <c r="J11464" t="s">
        <v>38534</v>
      </c>
      <c r="K11464" t="s">
        <v>40680</v>
      </c>
      <c r="M11464" t="s">
        <v>44330</v>
      </c>
      <c r="N11464" t="s">
        <v>44905</v>
      </c>
      <c r="O11464" t="s">
        <v>44906</v>
      </c>
      <c r="P11464">
        <v>0</v>
      </c>
      <c r="Q11464">
        <v>6</v>
      </c>
      <c r="R11464" t="s">
        <v>44916</v>
      </c>
      <c r="S11464" t="s">
        <v>45313</v>
      </c>
      <c r="T11464" t="s">
        <v>46611</v>
      </c>
      <c r="U11464" t="s">
        <v>56087</v>
      </c>
      <c r="V11464" t="s">
        <v>60293</v>
      </c>
      <c r="W11464" t="s">
        <v>43207</v>
      </c>
      <c r="X11464" t="s">
        <v>44917</v>
      </c>
    </row>
    <row r="11465" spans="1:24">
      <c r="A11465">
        <f>HYPERLINK("https://www.philgeps.gov.ph/GEPSNONPILOT/Tender/SplashBidNoticeAbstractUI.aspx?menuIndex=3&amp;refID=7064065&amp;Result=3","7064065")</f>
        <v>0</v>
      </c>
      <c r="B11465" t="s">
        <v>2448</v>
      </c>
      <c r="C11465" t="s">
        <v>14460</v>
      </c>
      <c r="D11465" t="s">
        <v>18108</v>
      </c>
      <c r="E11465" t="s">
        <v>28126</v>
      </c>
      <c r="F11465" t="s">
        <v>31362</v>
      </c>
      <c r="G11465" t="s">
        <v>31368</v>
      </c>
      <c r="H11465" t="s">
        <v>15799</v>
      </c>
      <c r="I11465" t="s">
        <v>7719</v>
      </c>
      <c r="J11465" t="s">
        <v>38535</v>
      </c>
      <c r="K11465" t="s">
        <v>40665</v>
      </c>
      <c r="M11465" t="s">
        <v>43607</v>
      </c>
      <c r="N11465" t="s">
        <v>44905</v>
      </c>
      <c r="O11465" t="s">
        <v>44906</v>
      </c>
      <c r="Q11465">
        <v>15</v>
      </c>
      <c r="R11465" t="s">
        <v>44916</v>
      </c>
      <c r="S11465" t="s">
        <v>45367</v>
      </c>
      <c r="T11465" t="s">
        <v>46391</v>
      </c>
      <c r="U11465" t="s">
        <v>56088</v>
      </c>
      <c r="V11465" t="s">
        <v>60292</v>
      </c>
      <c r="W11465" t="s">
        <v>43607</v>
      </c>
      <c r="X11465" t="s">
        <v>44917</v>
      </c>
    </row>
    <row r="11466" spans="1:24">
      <c r="A11466">
        <f>HYPERLINK("https://www.philgeps.gov.ph/GEPSNONPILOT/Tender/SplashBidNoticeAbstractUI.aspx?menuIndex=3&amp;refID=7064039&amp;Result=3","7064039")</f>
        <v>0</v>
      </c>
      <c r="B11466" t="s">
        <v>628</v>
      </c>
      <c r="C11466" t="s">
        <v>14461</v>
      </c>
      <c r="D11466" t="s">
        <v>18116</v>
      </c>
      <c r="E11466" t="s">
        <v>28127</v>
      </c>
      <c r="F11466" t="s">
        <v>31364</v>
      </c>
      <c r="G11466" t="s">
        <v>31373</v>
      </c>
      <c r="H11466" t="s">
        <v>15799</v>
      </c>
      <c r="I11466" t="s">
        <v>31455</v>
      </c>
      <c r="J11466" t="s">
        <v>34763</v>
      </c>
      <c r="K11466" t="s">
        <v>40662</v>
      </c>
      <c r="M11466" t="s">
        <v>44331</v>
      </c>
      <c r="N11466" t="s">
        <v>44905</v>
      </c>
      <c r="O11466" t="s">
        <v>44906</v>
      </c>
      <c r="P11466">
        <v>0</v>
      </c>
      <c r="Q11466">
        <v>1</v>
      </c>
      <c r="R11466" t="s">
        <v>44916</v>
      </c>
      <c r="S11466" t="s">
        <v>45313</v>
      </c>
      <c r="T11466" t="s">
        <v>46573</v>
      </c>
      <c r="U11466" t="s">
        <v>56089</v>
      </c>
      <c r="W11466" t="s">
        <v>44331</v>
      </c>
      <c r="X11466" t="s">
        <v>44917</v>
      </c>
    </row>
    <row r="11467" spans="1:24">
      <c r="A11467">
        <f>HYPERLINK("https://www.philgeps.gov.ph/GEPSNONPILOT/Tender/SplashBidNoticeAbstractUI.aspx?menuIndex=3&amp;refID=7064072&amp;Result=3","7064072")</f>
        <v>0</v>
      </c>
      <c r="B11467" t="s">
        <v>2448</v>
      </c>
      <c r="C11467" t="s">
        <v>14462</v>
      </c>
      <c r="D11467" t="s">
        <v>18108</v>
      </c>
      <c r="E11467" t="s">
        <v>28128</v>
      </c>
      <c r="F11467" t="s">
        <v>31362</v>
      </c>
      <c r="G11467" t="s">
        <v>31368</v>
      </c>
      <c r="H11467" t="s">
        <v>15799</v>
      </c>
      <c r="I11467" t="s">
        <v>7719</v>
      </c>
      <c r="J11467" t="s">
        <v>38536</v>
      </c>
      <c r="K11467" t="s">
        <v>40665</v>
      </c>
      <c r="M11467" t="s">
        <v>43607</v>
      </c>
      <c r="N11467" t="s">
        <v>44905</v>
      </c>
      <c r="O11467" t="s">
        <v>44906</v>
      </c>
      <c r="Q11467">
        <v>22</v>
      </c>
      <c r="R11467" t="s">
        <v>44916</v>
      </c>
      <c r="S11467" t="s">
        <v>45368</v>
      </c>
      <c r="T11467" t="s">
        <v>46659</v>
      </c>
      <c r="U11467" t="s">
        <v>56090</v>
      </c>
      <c r="V11467" t="s">
        <v>60292</v>
      </c>
      <c r="W11467" t="s">
        <v>43607</v>
      </c>
      <c r="X11467" t="s">
        <v>44917</v>
      </c>
    </row>
    <row r="11468" spans="1:24">
      <c r="A11468">
        <f>HYPERLINK("https://www.philgeps.gov.ph/GEPSNONPILOT/Tender/SplashBidNoticeAbstractUI.aspx?menuIndex=3&amp;refID=7064025&amp;Result=3","7064025")</f>
        <v>0</v>
      </c>
      <c r="B11468" t="s">
        <v>2448</v>
      </c>
      <c r="C11468" t="s">
        <v>14463</v>
      </c>
      <c r="D11468" t="s">
        <v>18108</v>
      </c>
      <c r="E11468" t="s">
        <v>28129</v>
      </c>
      <c r="F11468" t="s">
        <v>31362</v>
      </c>
      <c r="G11468" t="s">
        <v>31368</v>
      </c>
      <c r="H11468" t="s">
        <v>15799</v>
      </c>
      <c r="I11468" t="s">
        <v>31395</v>
      </c>
      <c r="J11468" t="s">
        <v>38537</v>
      </c>
      <c r="K11468" t="s">
        <v>40665</v>
      </c>
      <c r="M11468" t="s">
        <v>43607</v>
      </c>
      <c r="N11468" t="s">
        <v>44905</v>
      </c>
      <c r="O11468" t="s">
        <v>44906</v>
      </c>
      <c r="Q11468">
        <v>6</v>
      </c>
      <c r="R11468" t="s">
        <v>44916</v>
      </c>
      <c r="S11468" t="s">
        <v>45366</v>
      </c>
      <c r="T11468" t="s">
        <v>46413</v>
      </c>
      <c r="U11468" t="s">
        <v>56091</v>
      </c>
      <c r="V11468" t="s">
        <v>60292</v>
      </c>
      <c r="W11468" t="s">
        <v>43607</v>
      </c>
      <c r="X11468" t="s">
        <v>44917</v>
      </c>
    </row>
    <row r="11469" spans="1:24">
      <c r="A11469">
        <f>HYPERLINK("https://www.philgeps.gov.ph/GEPSNONPILOT/Tender/SplashBidNoticeAbstractUI.aspx?menuIndex=3&amp;refID=7064088&amp;Result=3","7064088")</f>
        <v>0</v>
      </c>
      <c r="B11469" t="s">
        <v>3090</v>
      </c>
      <c r="C11469" t="s">
        <v>14464</v>
      </c>
      <c r="D11469" t="s">
        <v>18113</v>
      </c>
      <c r="E11469" t="s">
        <v>28130</v>
      </c>
      <c r="F11469" t="s">
        <v>31362</v>
      </c>
      <c r="G11469" t="s">
        <v>31369</v>
      </c>
      <c r="H11469" t="s">
        <v>31379</v>
      </c>
      <c r="I11469" t="s">
        <v>31463</v>
      </c>
      <c r="J11469" t="s">
        <v>38538</v>
      </c>
      <c r="K11469" t="s">
        <v>40699</v>
      </c>
      <c r="M11469" t="s">
        <v>44332</v>
      </c>
      <c r="N11469" t="s">
        <v>44905</v>
      </c>
      <c r="O11469" t="s">
        <v>44906</v>
      </c>
      <c r="P11469">
        <v>0</v>
      </c>
      <c r="Q11469">
        <v>1</v>
      </c>
      <c r="R11469" t="s">
        <v>44916</v>
      </c>
      <c r="S11469" t="s">
        <v>45313</v>
      </c>
      <c r="T11469" t="s">
        <v>46479</v>
      </c>
      <c r="U11469" t="s">
        <v>56092</v>
      </c>
      <c r="W11469" t="s">
        <v>44332</v>
      </c>
      <c r="X11469" t="s">
        <v>44917</v>
      </c>
    </row>
    <row r="11470" spans="1:24">
      <c r="A11470">
        <f>HYPERLINK("https://www.philgeps.gov.ph/GEPSNONPILOT/Tender/SplashBidNoticeAbstractUI.aspx?menuIndex=3&amp;refID=7064068&amp;Result=3","7064068")</f>
        <v>0</v>
      </c>
      <c r="B11470" t="s">
        <v>1719</v>
      </c>
      <c r="C11470" t="s">
        <v>14465</v>
      </c>
      <c r="D11470" t="s">
        <v>18108</v>
      </c>
      <c r="E11470" t="s">
        <v>28131</v>
      </c>
      <c r="F11470" t="s">
        <v>31362</v>
      </c>
      <c r="G11470" t="s">
        <v>31369</v>
      </c>
      <c r="H11470" t="s">
        <v>15799</v>
      </c>
      <c r="I11470" t="s">
        <v>31440</v>
      </c>
      <c r="J11470" t="s">
        <v>38539</v>
      </c>
      <c r="K11470" t="s">
        <v>40662</v>
      </c>
      <c r="M11470" t="s">
        <v>44333</v>
      </c>
      <c r="N11470" t="s">
        <v>44905</v>
      </c>
      <c r="O11470" t="s">
        <v>44906</v>
      </c>
      <c r="P11470">
        <v>0</v>
      </c>
      <c r="Q11470">
        <v>2</v>
      </c>
      <c r="R11470" t="s">
        <v>44916</v>
      </c>
      <c r="S11470" t="s">
        <v>45313</v>
      </c>
      <c r="T11470" t="s">
        <v>46519</v>
      </c>
      <c r="U11470" t="s">
        <v>56093</v>
      </c>
      <c r="V11470" t="s">
        <v>60294</v>
      </c>
      <c r="W11470" t="s">
        <v>44333</v>
      </c>
      <c r="X11470" t="s">
        <v>44917</v>
      </c>
    </row>
    <row r="11471" spans="1:24">
      <c r="A11471">
        <f>HYPERLINK("https://www.philgeps.gov.ph/GEPSNONPILOT/Tender/SplashBidNoticeAbstractUI.aspx?menuIndex=3&amp;refID=7064024&amp;Result=3","7064024")</f>
        <v>0</v>
      </c>
      <c r="B11471" t="s">
        <v>2789</v>
      </c>
      <c r="C11471" t="s">
        <v>14466</v>
      </c>
      <c r="D11471" t="s">
        <v>18134</v>
      </c>
      <c r="E11471" t="s">
        <v>28132</v>
      </c>
      <c r="F11471" t="s">
        <v>31362</v>
      </c>
      <c r="G11471" t="s">
        <v>31369</v>
      </c>
      <c r="H11471" t="s">
        <v>31378</v>
      </c>
      <c r="I11471" t="s">
        <v>31386</v>
      </c>
      <c r="J11471" t="s">
        <v>38540</v>
      </c>
      <c r="K11471" t="s">
        <v>40682</v>
      </c>
      <c r="M11471" t="s">
        <v>43986</v>
      </c>
      <c r="N11471" t="s">
        <v>44905</v>
      </c>
      <c r="O11471" t="s">
        <v>44906</v>
      </c>
      <c r="P11471">
        <v>0</v>
      </c>
      <c r="Q11471">
        <v>4</v>
      </c>
      <c r="R11471" t="s">
        <v>44916</v>
      </c>
      <c r="S11471" t="s">
        <v>45313</v>
      </c>
      <c r="T11471" t="s">
        <v>46533</v>
      </c>
      <c r="U11471" t="s">
        <v>55274</v>
      </c>
      <c r="W11471" t="s">
        <v>43986</v>
      </c>
      <c r="X11471" t="s">
        <v>44917</v>
      </c>
    </row>
    <row r="11472" spans="1:24">
      <c r="A11472">
        <f>HYPERLINK("https://www.philgeps.gov.ph/GEPSNONPILOT/Tender/SplashBidNoticeAbstractUI.aspx?menuIndex=3&amp;refID=7064016&amp;Result=3","7064016")</f>
        <v>0</v>
      </c>
      <c r="B11472" t="s">
        <v>1033</v>
      </c>
      <c r="C11472" t="s">
        <v>14467</v>
      </c>
      <c r="D11472" t="s">
        <v>18162</v>
      </c>
      <c r="E11472" t="s">
        <v>28133</v>
      </c>
      <c r="F11472" t="s">
        <v>31362</v>
      </c>
      <c r="G11472" t="s">
        <v>31369</v>
      </c>
      <c r="H11472" t="s">
        <v>15799</v>
      </c>
      <c r="I11472" t="s">
        <v>3815</v>
      </c>
      <c r="J11472" t="s">
        <v>38541</v>
      </c>
      <c r="K11472" t="s">
        <v>40670</v>
      </c>
      <c r="M11472" t="s">
        <v>42032</v>
      </c>
      <c r="N11472" t="s">
        <v>44905</v>
      </c>
      <c r="O11472" t="s">
        <v>44906</v>
      </c>
      <c r="P11472">
        <v>0</v>
      </c>
      <c r="Q11472">
        <v>2</v>
      </c>
      <c r="R11472" t="s">
        <v>44916</v>
      </c>
      <c r="S11472" t="s">
        <v>45313</v>
      </c>
      <c r="T11472" t="s">
        <v>46509</v>
      </c>
      <c r="U11472" t="s">
        <v>56094</v>
      </c>
      <c r="W11472" t="s">
        <v>42032</v>
      </c>
      <c r="X11472" t="s">
        <v>44917</v>
      </c>
    </row>
    <row r="11473" spans="1:24">
      <c r="A11473">
        <f>HYPERLINK("https://www.philgeps.gov.ph/GEPSNONPILOT/Tender/SplashBidNoticeAbstractUI.aspx?menuIndex=3&amp;refID=7064056&amp;Result=3","7064056")</f>
        <v>0</v>
      </c>
      <c r="B11473" t="s">
        <v>3088</v>
      </c>
      <c r="C11473" t="s">
        <v>14468</v>
      </c>
      <c r="D11473" t="s">
        <v>18121</v>
      </c>
      <c r="E11473" t="s">
        <v>28134</v>
      </c>
      <c r="F11473" t="s">
        <v>31362</v>
      </c>
      <c r="G11473" t="s">
        <v>31369</v>
      </c>
      <c r="H11473" t="s">
        <v>15799</v>
      </c>
      <c r="I11473" t="s">
        <v>31484</v>
      </c>
      <c r="J11473" t="s">
        <v>34561</v>
      </c>
      <c r="K11473" t="s">
        <v>40767</v>
      </c>
      <c r="M11473" t="s">
        <v>44328</v>
      </c>
      <c r="N11473" t="s">
        <v>44905</v>
      </c>
      <c r="O11473" t="s">
        <v>44906</v>
      </c>
      <c r="P11473">
        <v>0</v>
      </c>
      <c r="Q11473">
        <v>3</v>
      </c>
      <c r="R11473" t="s">
        <v>44916</v>
      </c>
      <c r="S11473" t="s">
        <v>45313</v>
      </c>
      <c r="T11473" t="s">
        <v>46462</v>
      </c>
      <c r="U11473" t="s">
        <v>56095</v>
      </c>
      <c r="W11473" t="s">
        <v>44328</v>
      </c>
      <c r="X11473" t="s">
        <v>44917</v>
      </c>
    </row>
    <row r="11474" spans="1:24">
      <c r="A11474">
        <f>HYPERLINK("https://www.philgeps.gov.ph/GEPSNONPILOT/Tender/SplashBidNoticeAbstractUI.aspx?menuIndex=3&amp;refID=7064013&amp;Result=3","7064013")</f>
        <v>0</v>
      </c>
      <c r="B11474" t="s">
        <v>2448</v>
      </c>
      <c r="C11474" t="s">
        <v>14469</v>
      </c>
      <c r="D11474" t="s">
        <v>18108</v>
      </c>
      <c r="E11474" t="s">
        <v>28135</v>
      </c>
      <c r="F11474" t="s">
        <v>31362</v>
      </c>
      <c r="G11474" t="s">
        <v>31368</v>
      </c>
      <c r="H11474" t="s">
        <v>15799</v>
      </c>
      <c r="I11474" t="s">
        <v>7719</v>
      </c>
      <c r="J11474" t="s">
        <v>31536</v>
      </c>
      <c r="K11474" t="s">
        <v>40665</v>
      </c>
      <c r="M11474" t="s">
        <v>43607</v>
      </c>
      <c r="N11474" t="s">
        <v>44905</v>
      </c>
      <c r="O11474" t="s">
        <v>44906</v>
      </c>
      <c r="Q11474">
        <v>11</v>
      </c>
      <c r="R11474" t="s">
        <v>44916</v>
      </c>
      <c r="S11474" t="s">
        <v>45249</v>
      </c>
      <c r="T11474" t="s">
        <v>46413</v>
      </c>
      <c r="U11474" t="s">
        <v>56096</v>
      </c>
      <c r="V11474" t="s">
        <v>60292</v>
      </c>
      <c r="W11474" t="s">
        <v>43607</v>
      </c>
      <c r="X11474" t="s">
        <v>44917</v>
      </c>
    </row>
    <row r="11475" spans="1:24">
      <c r="A11475">
        <f>HYPERLINK("https://www.philgeps.gov.ph/GEPSNONPILOT/Tender/SplashBidNoticeAbstractUI.aspx?menuIndex=3&amp;refID=7064026&amp;Result=3","7064026")</f>
        <v>0</v>
      </c>
      <c r="B11475" t="s">
        <v>3089</v>
      </c>
      <c r="C11475" t="s">
        <v>14470</v>
      </c>
      <c r="D11475" t="s">
        <v>18134</v>
      </c>
      <c r="E11475" t="s">
        <v>28136</v>
      </c>
      <c r="F11475" t="s">
        <v>31362</v>
      </c>
      <c r="G11475" t="s">
        <v>31369</v>
      </c>
      <c r="H11475" t="s">
        <v>31378</v>
      </c>
      <c r="I11475" t="s">
        <v>31386</v>
      </c>
      <c r="J11475" t="s">
        <v>32297</v>
      </c>
      <c r="K11475" t="s">
        <v>40679</v>
      </c>
      <c r="M11475" t="s">
        <v>44329</v>
      </c>
      <c r="N11475" t="s">
        <v>44905</v>
      </c>
      <c r="O11475" t="s">
        <v>44906</v>
      </c>
      <c r="P11475">
        <v>0</v>
      </c>
      <c r="Q11475">
        <v>8</v>
      </c>
      <c r="R11475" t="s">
        <v>44916</v>
      </c>
      <c r="S11475" t="s">
        <v>45313</v>
      </c>
      <c r="T11475" t="s">
        <v>46841</v>
      </c>
      <c r="U11475" t="s">
        <v>56097</v>
      </c>
      <c r="V11475" t="s">
        <v>60291</v>
      </c>
      <c r="W11475" t="s">
        <v>44329</v>
      </c>
      <c r="X11475" t="s">
        <v>44917</v>
      </c>
    </row>
    <row r="11476" spans="1:24">
      <c r="A11476">
        <f>HYPERLINK("https://www.philgeps.gov.ph/GEPSNONPILOT/Tender/SplashBidNoticeAbstractUI.aspx?menuIndex=3&amp;refID=7063947&amp;Result=3","7063947")</f>
        <v>0</v>
      </c>
      <c r="B11476" t="s">
        <v>1033</v>
      </c>
      <c r="C11476" t="s">
        <v>14471</v>
      </c>
      <c r="D11476" t="s">
        <v>18162</v>
      </c>
      <c r="E11476" t="s">
        <v>28137</v>
      </c>
      <c r="F11476" t="s">
        <v>31362</v>
      </c>
      <c r="G11476" t="s">
        <v>31369</v>
      </c>
      <c r="H11476" t="s">
        <v>15799</v>
      </c>
      <c r="I11476" t="s">
        <v>31385</v>
      </c>
      <c r="J11476" t="s">
        <v>38542</v>
      </c>
      <c r="K11476" t="s">
        <v>40670</v>
      </c>
      <c r="M11476" t="s">
        <v>42032</v>
      </c>
      <c r="N11476" t="s">
        <v>44905</v>
      </c>
      <c r="O11476" t="s">
        <v>44906</v>
      </c>
      <c r="P11476">
        <v>0</v>
      </c>
      <c r="Q11476">
        <v>0</v>
      </c>
      <c r="R11476" t="s">
        <v>44916</v>
      </c>
      <c r="S11476" t="s">
        <v>45313</v>
      </c>
      <c r="T11476" t="s">
        <v>46509</v>
      </c>
      <c r="U11476" t="s">
        <v>56098</v>
      </c>
      <c r="W11476" t="s">
        <v>42032</v>
      </c>
      <c r="X11476" t="s">
        <v>44917</v>
      </c>
    </row>
    <row r="11477" spans="1:24">
      <c r="A11477">
        <f>HYPERLINK("https://www.philgeps.gov.ph/GEPSNONPILOT/Tender/SplashBidNoticeAbstractUI.aspx?menuIndex=3&amp;refID=7063943&amp;Result=3","7063943")</f>
        <v>0</v>
      </c>
      <c r="B11477" t="s">
        <v>604</v>
      </c>
      <c r="C11477" t="s">
        <v>14472</v>
      </c>
      <c r="D11477" t="s">
        <v>18122</v>
      </c>
      <c r="E11477" t="s">
        <v>28138</v>
      </c>
      <c r="F11477" t="s">
        <v>31362</v>
      </c>
      <c r="G11477" t="s">
        <v>31373</v>
      </c>
      <c r="H11477" t="s">
        <v>31378</v>
      </c>
      <c r="I11477" t="s">
        <v>31386</v>
      </c>
      <c r="J11477" t="s">
        <v>32661</v>
      </c>
      <c r="K11477" t="s">
        <v>40686</v>
      </c>
      <c r="M11477" t="s">
        <v>41562</v>
      </c>
      <c r="N11477" t="s">
        <v>44905</v>
      </c>
      <c r="O11477" t="s">
        <v>44906</v>
      </c>
      <c r="P11477">
        <v>0</v>
      </c>
      <c r="Q11477">
        <v>8</v>
      </c>
      <c r="R11477" t="s">
        <v>44916</v>
      </c>
      <c r="S11477" t="s">
        <v>45313</v>
      </c>
      <c r="T11477" t="s">
        <v>46392</v>
      </c>
      <c r="U11477" t="s">
        <v>56099</v>
      </c>
      <c r="V11477" t="s">
        <v>59212</v>
      </c>
      <c r="W11477" t="s">
        <v>41562</v>
      </c>
      <c r="X11477" t="s">
        <v>44917</v>
      </c>
    </row>
    <row r="11478" spans="1:24">
      <c r="A11478">
        <f>HYPERLINK("https://www.philgeps.gov.ph/GEPSNONPILOT/Tender/SplashBidNoticeAbstractUI.aspx?menuIndex=3&amp;refID=7063931&amp;Result=3","7063931")</f>
        <v>0</v>
      </c>
      <c r="B11478" t="s">
        <v>3091</v>
      </c>
      <c r="C11478" t="s">
        <v>14473</v>
      </c>
      <c r="D11478" t="s">
        <v>18108</v>
      </c>
      <c r="E11478" t="s">
        <v>28139</v>
      </c>
      <c r="F11478" t="s">
        <v>31362</v>
      </c>
      <c r="G11478" t="s">
        <v>31369</v>
      </c>
      <c r="H11478" t="s">
        <v>31379</v>
      </c>
      <c r="I11478" t="s">
        <v>31502</v>
      </c>
      <c r="J11478" t="s">
        <v>31606</v>
      </c>
      <c r="K11478" t="s">
        <v>40698</v>
      </c>
      <c r="M11478" t="s">
        <v>44334</v>
      </c>
      <c r="N11478" t="s">
        <v>44905</v>
      </c>
      <c r="O11478" t="s">
        <v>44906</v>
      </c>
      <c r="P11478">
        <v>0</v>
      </c>
      <c r="Q11478">
        <v>3</v>
      </c>
      <c r="R11478" t="s">
        <v>44916</v>
      </c>
      <c r="S11478" t="s">
        <v>45313</v>
      </c>
      <c r="T11478" t="s">
        <v>46430</v>
      </c>
      <c r="U11478" t="s">
        <v>56100</v>
      </c>
      <c r="W11478" t="s">
        <v>60958</v>
      </c>
      <c r="X11478" t="s">
        <v>44917</v>
      </c>
    </row>
    <row r="11479" spans="1:24">
      <c r="A11479">
        <f>HYPERLINK("https://www.philgeps.gov.ph/GEPSNONPILOT/Tender/SplashBidNoticeAbstractUI.aspx?menuIndex=3&amp;refID=7063924&amp;Result=3","7063924")</f>
        <v>0</v>
      </c>
      <c r="B11479" t="s">
        <v>1033</v>
      </c>
      <c r="C11479" t="s">
        <v>14474</v>
      </c>
      <c r="D11479" t="s">
        <v>18162</v>
      </c>
      <c r="E11479" t="s">
        <v>28140</v>
      </c>
      <c r="F11479" t="s">
        <v>31362</v>
      </c>
      <c r="G11479" t="s">
        <v>31369</v>
      </c>
      <c r="H11479" t="s">
        <v>15799</v>
      </c>
      <c r="I11479" t="s">
        <v>31385</v>
      </c>
      <c r="J11479" t="s">
        <v>38543</v>
      </c>
      <c r="K11479" t="s">
        <v>40670</v>
      </c>
      <c r="M11479" t="s">
        <v>42032</v>
      </c>
      <c r="N11479" t="s">
        <v>44905</v>
      </c>
      <c r="O11479" t="s">
        <v>44906</v>
      </c>
      <c r="P11479">
        <v>0</v>
      </c>
      <c r="Q11479">
        <v>0</v>
      </c>
      <c r="R11479" t="s">
        <v>44916</v>
      </c>
      <c r="S11479" t="s">
        <v>45313</v>
      </c>
      <c r="T11479" t="s">
        <v>46509</v>
      </c>
      <c r="U11479" t="s">
        <v>56101</v>
      </c>
      <c r="W11479" t="s">
        <v>42032</v>
      </c>
      <c r="X11479" t="s">
        <v>44917</v>
      </c>
    </row>
    <row r="11480" spans="1:24">
      <c r="A11480">
        <f>HYPERLINK("https://www.philgeps.gov.ph/GEPSNONPILOT/Tender/SplashBidNoticeAbstractUI.aspx?menuIndex=3&amp;refID=7063922&amp;Result=3","7063922")</f>
        <v>0</v>
      </c>
      <c r="B11480" t="s">
        <v>3016</v>
      </c>
      <c r="C11480" t="s">
        <v>14475</v>
      </c>
      <c r="D11480" t="s">
        <v>18180</v>
      </c>
      <c r="E11480" t="s">
        <v>28141</v>
      </c>
      <c r="F11480" t="s">
        <v>31362</v>
      </c>
      <c r="G11480" t="s">
        <v>31369</v>
      </c>
      <c r="H11480" t="s">
        <v>31378</v>
      </c>
      <c r="I11480" t="s">
        <v>31386</v>
      </c>
      <c r="J11480" t="s">
        <v>35106</v>
      </c>
      <c r="K11480" t="s">
        <v>40686</v>
      </c>
      <c r="M11480" t="s">
        <v>44335</v>
      </c>
      <c r="N11480" t="s">
        <v>44905</v>
      </c>
      <c r="O11480" t="s">
        <v>44906</v>
      </c>
      <c r="Q11480">
        <v>0</v>
      </c>
      <c r="R11480" t="s">
        <v>44916</v>
      </c>
      <c r="S11480" t="s">
        <v>45369</v>
      </c>
      <c r="T11480" t="s">
        <v>46418</v>
      </c>
      <c r="U11480" t="s">
        <v>56102</v>
      </c>
      <c r="W11480" t="s">
        <v>44335</v>
      </c>
      <c r="X11480" t="s">
        <v>44917</v>
      </c>
    </row>
    <row r="11481" spans="1:24">
      <c r="A11481">
        <f>HYPERLINK("https://www.philgeps.gov.ph/GEPSNONPILOT/Tender/SplashBidNoticeAbstractUI.aspx?menuIndex=3&amp;refID=7064122&amp;Result=3","7064122")</f>
        <v>0</v>
      </c>
      <c r="B11481" t="s">
        <v>3092</v>
      </c>
      <c r="C11481" t="s">
        <v>14476</v>
      </c>
      <c r="D11481" t="s">
        <v>18155</v>
      </c>
      <c r="E11481" t="s">
        <v>28142</v>
      </c>
      <c r="F11481" t="s">
        <v>31362</v>
      </c>
      <c r="G11481" t="s">
        <v>31369</v>
      </c>
      <c r="H11481" t="s">
        <v>31378</v>
      </c>
      <c r="I11481" t="s">
        <v>31386</v>
      </c>
      <c r="J11481" t="s">
        <v>31687</v>
      </c>
      <c r="K11481" t="s">
        <v>40665</v>
      </c>
      <c r="M11481" t="s">
        <v>44336</v>
      </c>
      <c r="N11481" t="s">
        <v>44905</v>
      </c>
      <c r="O11481" t="s">
        <v>44906</v>
      </c>
      <c r="P11481">
        <v>0</v>
      </c>
      <c r="Q11481">
        <v>0</v>
      </c>
      <c r="R11481" t="s">
        <v>44916</v>
      </c>
      <c r="S11481" t="s">
        <v>45313</v>
      </c>
      <c r="T11481" t="s">
        <v>46392</v>
      </c>
      <c r="U11481" t="s">
        <v>56103</v>
      </c>
      <c r="V11481" t="s">
        <v>60295</v>
      </c>
      <c r="W11481" t="s">
        <v>44336</v>
      </c>
      <c r="X11481" t="s">
        <v>44917</v>
      </c>
    </row>
    <row r="11482" spans="1:24">
      <c r="A11482">
        <f>HYPERLINK("https://www.philgeps.gov.ph/GEPSNONPILOT/Tender/SplashBidNoticeAbstractUI.aspx?menuIndex=3&amp;refID=7063934&amp;Result=3","7063934")</f>
        <v>0</v>
      </c>
      <c r="B11482" t="s">
        <v>2783</v>
      </c>
      <c r="C11482" t="s">
        <v>14477</v>
      </c>
      <c r="D11482" t="s">
        <v>18148</v>
      </c>
      <c r="E11482" t="s">
        <v>28143</v>
      </c>
      <c r="F11482" t="s">
        <v>31363</v>
      </c>
      <c r="G11482" t="s">
        <v>31369</v>
      </c>
      <c r="H11482" t="s">
        <v>31378</v>
      </c>
      <c r="I11482" t="s">
        <v>31433</v>
      </c>
      <c r="J11482" t="s">
        <v>33868</v>
      </c>
      <c r="K11482" t="s">
        <v>40683</v>
      </c>
      <c r="M11482" t="s">
        <v>43977</v>
      </c>
      <c r="N11482" t="s">
        <v>44905</v>
      </c>
      <c r="O11482" t="s">
        <v>44906</v>
      </c>
      <c r="P11482">
        <v>0</v>
      </c>
      <c r="Q11482">
        <v>0</v>
      </c>
      <c r="R11482" t="s">
        <v>44916</v>
      </c>
      <c r="S11482" t="s">
        <v>45313</v>
      </c>
      <c r="T11482" t="s">
        <v>46585</v>
      </c>
      <c r="U11482" t="s">
        <v>56104</v>
      </c>
      <c r="V11482" t="s">
        <v>60169</v>
      </c>
      <c r="W11482" t="s">
        <v>43977</v>
      </c>
      <c r="X11482" t="s">
        <v>44917</v>
      </c>
    </row>
    <row r="11483" spans="1:24">
      <c r="A11483">
        <f>HYPERLINK("https://www.philgeps.gov.ph/GEPSNONPILOT/Tender/SplashBidNoticeAbstractUI.aspx?menuIndex=3&amp;refID=7064207&amp;Result=3","7064207")</f>
        <v>0</v>
      </c>
      <c r="B11483" t="s">
        <v>3092</v>
      </c>
      <c r="C11483" t="s">
        <v>14478</v>
      </c>
      <c r="D11483" t="s">
        <v>18155</v>
      </c>
      <c r="E11483" t="s">
        <v>28144</v>
      </c>
      <c r="F11483" t="s">
        <v>31362</v>
      </c>
      <c r="G11483" t="s">
        <v>31369</v>
      </c>
      <c r="H11483" t="s">
        <v>31378</v>
      </c>
      <c r="I11483" t="s">
        <v>31386</v>
      </c>
      <c r="J11483" t="s">
        <v>31591</v>
      </c>
      <c r="K11483" t="s">
        <v>40817</v>
      </c>
      <c r="M11483" t="s">
        <v>44336</v>
      </c>
      <c r="N11483" t="s">
        <v>44905</v>
      </c>
      <c r="O11483" t="s">
        <v>44906</v>
      </c>
      <c r="P11483">
        <v>0</v>
      </c>
      <c r="Q11483">
        <v>0</v>
      </c>
      <c r="R11483" t="s">
        <v>44916</v>
      </c>
      <c r="S11483" t="s">
        <v>45313</v>
      </c>
      <c r="T11483" t="s">
        <v>46392</v>
      </c>
      <c r="U11483" t="s">
        <v>56105</v>
      </c>
      <c r="V11483" t="s">
        <v>60295</v>
      </c>
      <c r="W11483" t="s">
        <v>44336</v>
      </c>
      <c r="X11483" t="s">
        <v>44917</v>
      </c>
    </row>
    <row r="11484" spans="1:24">
      <c r="A11484">
        <f>HYPERLINK("https://www.philgeps.gov.ph/GEPSNONPILOT/Tender/SplashBidNoticeAbstractUI.aspx?menuIndex=3&amp;refID=7063465&amp;Result=3","7063465")</f>
        <v>0</v>
      </c>
      <c r="B11484" t="s">
        <v>387</v>
      </c>
      <c r="C11484" t="s">
        <v>14479</v>
      </c>
      <c r="D11484" t="s">
        <v>18152</v>
      </c>
      <c r="E11484" t="s">
        <v>28145</v>
      </c>
      <c r="F11484" t="s">
        <v>31362</v>
      </c>
      <c r="G11484" t="s">
        <v>31369</v>
      </c>
      <c r="H11484" t="s">
        <v>15799</v>
      </c>
      <c r="I11484" t="s">
        <v>31404</v>
      </c>
      <c r="J11484" t="s">
        <v>38544</v>
      </c>
      <c r="K11484" t="s">
        <v>40665</v>
      </c>
      <c r="M11484" t="s">
        <v>41335</v>
      </c>
      <c r="N11484" t="s">
        <v>44905</v>
      </c>
      <c r="O11484" t="s">
        <v>44906</v>
      </c>
      <c r="P11484">
        <v>0</v>
      </c>
      <c r="Q11484">
        <v>0</v>
      </c>
      <c r="R11484" t="s">
        <v>44916</v>
      </c>
      <c r="S11484" t="s">
        <v>45313</v>
      </c>
      <c r="T11484" t="s">
        <v>46462</v>
      </c>
      <c r="U11484" t="s">
        <v>48010</v>
      </c>
      <c r="V11484" t="s">
        <v>59153</v>
      </c>
      <c r="W11484" t="s">
        <v>41335</v>
      </c>
      <c r="X11484" t="s">
        <v>44917</v>
      </c>
    </row>
    <row r="11485" spans="1:24">
      <c r="A11485">
        <f>HYPERLINK("https://www.philgeps.gov.ph/GEPSNONPILOT/Tender/SplashBidNoticeAbstractUI.aspx?menuIndex=3&amp;refID=7064199&amp;Result=3","7064199")</f>
        <v>0</v>
      </c>
      <c r="B11485" t="s">
        <v>3092</v>
      </c>
      <c r="C11485" t="s">
        <v>14480</v>
      </c>
      <c r="D11485" t="s">
        <v>18155</v>
      </c>
      <c r="E11485" t="s">
        <v>28146</v>
      </c>
      <c r="F11485" t="s">
        <v>31362</v>
      </c>
      <c r="G11485" t="s">
        <v>31369</v>
      </c>
      <c r="H11485" t="s">
        <v>31378</v>
      </c>
      <c r="I11485" t="s">
        <v>31386</v>
      </c>
      <c r="J11485" t="s">
        <v>31591</v>
      </c>
      <c r="K11485" t="s">
        <v>40711</v>
      </c>
      <c r="M11485" t="s">
        <v>44336</v>
      </c>
      <c r="N11485" t="s">
        <v>44905</v>
      </c>
      <c r="O11485" t="s">
        <v>44906</v>
      </c>
      <c r="P11485">
        <v>0</v>
      </c>
      <c r="Q11485">
        <v>0</v>
      </c>
      <c r="R11485" t="s">
        <v>44916</v>
      </c>
      <c r="S11485" t="s">
        <v>45313</v>
      </c>
      <c r="T11485" t="s">
        <v>46392</v>
      </c>
      <c r="U11485" t="s">
        <v>56106</v>
      </c>
      <c r="V11485" t="s">
        <v>60295</v>
      </c>
      <c r="W11485" t="s">
        <v>44336</v>
      </c>
      <c r="X11485" t="s">
        <v>44917</v>
      </c>
    </row>
    <row r="11486" spans="1:24">
      <c r="A11486">
        <f>HYPERLINK("https://www.philgeps.gov.ph/GEPSNONPILOT/Tender/SplashBidNoticeAbstractUI.aspx?menuIndex=3&amp;refID=7064023&amp;Result=3","7064023")</f>
        <v>0</v>
      </c>
      <c r="B11486" t="s">
        <v>3093</v>
      </c>
      <c r="C11486" t="s">
        <v>14481</v>
      </c>
      <c r="D11486" t="s">
        <v>18126</v>
      </c>
      <c r="E11486" t="s">
        <v>28147</v>
      </c>
      <c r="F11486" t="s">
        <v>31362</v>
      </c>
      <c r="G11486" t="s">
        <v>31369</v>
      </c>
      <c r="H11486" t="s">
        <v>31378</v>
      </c>
      <c r="I11486" t="s">
        <v>31386</v>
      </c>
      <c r="J11486" t="s">
        <v>38545</v>
      </c>
      <c r="K11486" t="s">
        <v>40666</v>
      </c>
      <c r="M11486" t="s">
        <v>44337</v>
      </c>
      <c r="N11486" t="s">
        <v>44905</v>
      </c>
      <c r="O11486" t="s">
        <v>44906</v>
      </c>
      <c r="P11486">
        <v>0</v>
      </c>
      <c r="Q11486">
        <v>0</v>
      </c>
      <c r="R11486" t="s">
        <v>44916</v>
      </c>
      <c r="S11486" t="s">
        <v>45313</v>
      </c>
      <c r="T11486" t="s">
        <v>46409</v>
      </c>
      <c r="U11486" t="s">
        <v>56107</v>
      </c>
      <c r="W11486" t="s">
        <v>44337</v>
      </c>
      <c r="X11486" t="s">
        <v>44917</v>
      </c>
    </row>
    <row r="11487" spans="1:24">
      <c r="A11487">
        <f>HYPERLINK("https://www.philgeps.gov.ph/GEPSNONPILOT/Tender/SplashBidNoticeAbstractUI.aspx?menuIndex=3&amp;refID=7064189&amp;Result=3","7064189")</f>
        <v>0</v>
      </c>
      <c r="B11487" t="s">
        <v>3092</v>
      </c>
      <c r="C11487" t="s">
        <v>14482</v>
      </c>
      <c r="D11487" t="s">
        <v>18155</v>
      </c>
      <c r="E11487" t="s">
        <v>28148</v>
      </c>
      <c r="F11487" t="s">
        <v>31362</v>
      </c>
      <c r="G11487" t="s">
        <v>31369</v>
      </c>
      <c r="H11487" t="s">
        <v>31378</v>
      </c>
      <c r="I11487" t="s">
        <v>31386</v>
      </c>
      <c r="J11487" t="s">
        <v>31591</v>
      </c>
      <c r="K11487" t="s">
        <v>40788</v>
      </c>
      <c r="M11487" t="s">
        <v>44336</v>
      </c>
      <c r="N11487" t="s">
        <v>44905</v>
      </c>
      <c r="O11487" t="s">
        <v>44906</v>
      </c>
      <c r="P11487">
        <v>0</v>
      </c>
      <c r="Q11487">
        <v>0</v>
      </c>
      <c r="R11487" t="s">
        <v>44916</v>
      </c>
      <c r="S11487" t="s">
        <v>45313</v>
      </c>
      <c r="T11487" t="s">
        <v>46392</v>
      </c>
      <c r="U11487" t="s">
        <v>56108</v>
      </c>
      <c r="V11487" t="s">
        <v>60295</v>
      </c>
      <c r="W11487" t="s">
        <v>44336</v>
      </c>
      <c r="X11487" t="s">
        <v>44917</v>
      </c>
    </row>
    <row r="11488" spans="1:24">
      <c r="A11488">
        <f>HYPERLINK("https://www.philgeps.gov.ph/GEPSNONPILOT/Tender/SplashBidNoticeAbstractUI.aspx?menuIndex=3&amp;refID=7064185&amp;Result=3","7064185")</f>
        <v>0</v>
      </c>
      <c r="B11488" t="s">
        <v>3092</v>
      </c>
      <c r="C11488" t="s">
        <v>14483</v>
      </c>
      <c r="D11488" t="s">
        <v>18155</v>
      </c>
      <c r="E11488" t="s">
        <v>28149</v>
      </c>
      <c r="F11488" t="s">
        <v>31362</v>
      </c>
      <c r="G11488" t="s">
        <v>31369</v>
      </c>
      <c r="H11488" t="s">
        <v>31378</v>
      </c>
      <c r="I11488" t="s">
        <v>31386</v>
      </c>
      <c r="J11488" t="s">
        <v>31591</v>
      </c>
      <c r="K11488" t="s">
        <v>40711</v>
      </c>
      <c r="M11488" t="s">
        <v>44336</v>
      </c>
      <c r="N11488" t="s">
        <v>44905</v>
      </c>
      <c r="O11488" t="s">
        <v>44906</v>
      </c>
      <c r="P11488">
        <v>0</v>
      </c>
      <c r="Q11488">
        <v>0</v>
      </c>
      <c r="R11488" t="s">
        <v>44916</v>
      </c>
      <c r="S11488" t="s">
        <v>45313</v>
      </c>
      <c r="T11488" t="s">
        <v>46392</v>
      </c>
      <c r="U11488" t="s">
        <v>56109</v>
      </c>
      <c r="V11488" t="s">
        <v>60295</v>
      </c>
      <c r="W11488" t="s">
        <v>44336</v>
      </c>
      <c r="X11488" t="s">
        <v>44917</v>
      </c>
    </row>
    <row r="11489" spans="1:24">
      <c r="A11489">
        <f>HYPERLINK("https://www.philgeps.gov.ph/GEPSNONPILOT/Tender/SplashBidNoticeAbstractUI.aspx?menuIndex=3&amp;refID=7064017&amp;Result=3","7064017")</f>
        <v>0</v>
      </c>
      <c r="B11489" t="s">
        <v>1037</v>
      </c>
      <c r="C11489" t="s">
        <v>14484</v>
      </c>
      <c r="D11489" t="s">
        <v>18146</v>
      </c>
      <c r="E11489" t="s">
        <v>28150</v>
      </c>
      <c r="F11489" t="s">
        <v>31362</v>
      </c>
      <c r="G11489" t="s">
        <v>31369</v>
      </c>
      <c r="H11489" t="s">
        <v>15799</v>
      </c>
      <c r="I11489" t="s">
        <v>3815</v>
      </c>
      <c r="J11489" t="s">
        <v>38546</v>
      </c>
      <c r="K11489" t="s">
        <v>40666</v>
      </c>
      <c r="M11489" t="s">
        <v>43361</v>
      </c>
      <c r="N11489" t="s">
        <v>44905</v>
      </c>
      <c r="O11489" t="s">
        <v>44906</v>
      </c>
      <c r="Q11489">
        <v>0</v>
      </c>
      <c r="R11489" t="s">
        <v>44916</v>
      </c>
      <c r="S11489" t="s">
        <v>45370</v>
      </c>
      <c r="T11489" t="s">
        <v>46837</v>
      </c>
      <c r="U11489" t="s">
        <v>56110</v>
      </c>
      <c r="W11489" t="s">
        <v>43361</v>
      </c>
      <c r="X11489" t="s">
        <v>44917</v>
      </c>
    </row>
    <row r="11490" spans="1:24">
      <c r="A11490">
        <f>HYPERLINK("https://www.philgeps.gov.ph/GEPSNONPILOT/Tender/SplashBidNoticeAbstractUI.aspx?menuIndex=3&amp;refID=7064172&amp;Result=3","7064172")</f>
        <v>0</v>
      </c>
      <c r="B11490" t="s">
        <v>3092</v>
      </c>
      <c r="C11490" t="s">
        <v>14485</v>
      </c>
      <c r="D11490" t="s">
        <v>18155</v>
      </c>
      <c r="E11490" t="s">
        <v>28151</v>
      </c>
      <c r="F11490" t="s">
        <v>31362</v>
      </c>
      <c r="G11490" t="s">
        <v>31369</v>
      </c>
      <c r="H11490" t="s">
        <v>31378</v>
      </c>
      <c r="I11490" t="s">
        <v>31386</v>
      </c>
      <c r="J11490" t="s">
        <v>31578</v>
      </c>
      <c r="K11490" t="s">
        <v>40665</v>
      </c>
      <c r="M11490" t="s">
        <v>44336</v>
      </c>
      <c r="N11490" t="s">
        <v>44905</v>
      </c>
      <c r="O11490" t="s">
        <v>44906</v>
      </c>
      <c r="P11490">
        <v>0</v>
      </c>
      <c r="Q11490">
        <v>0</v>
      </c>
      <c r="R11490" t="s">
        <v>44916</v>
      </c>
      <c r="S11490" t="s">
        <v>45313</v>
      </c>
      <c r="T11490" t="s">
        <v>46392</v>
      </c>
      <c r="U11490" t="s">
        <v>56111</v>
      </c>
      <c r="V11490" t="s">
        <v>60295</v>
      </c>
      <c r="W11490" t="s">
        <v>44336</v>
      </c>
      <c r="X11490" t="s">
        <v>44917</v>
      </c>
    </row>
    <row r="11491" spans="1:24">
      <c r="A11491">
        <f>HYPERLINK("https://www.philgeps.gov.ph/GEPSNONPILOT/Tender/SplashBidNoticeAbstractUI.aspx?menuIndex=3&amp;refID=7064169&amp;Result=3","7064169")</f>
        <v>0</v>
      </c>
      <c r="B11491" t="s">
        <v>3092</v>
      </c>
      <c r="C11491" t="s">
        <v>14486</v>
      </c>
      <c r="D11491" t="s">
        <v>18155</v>
      </c>
      <c r="E11491" t="s">
        <v>28152</v>
      </c>
      <c r="F11491" t="s">
        <v>31362</v>
      </c>
      <c r="G11491" t="s">
        <v>31369</v>
      </c>
      <c r="H11491" t="s">
        <v>31378</v>
      </c>
      <c r="I11491" t="s">
        <v>31386</v>
      </c>
      <c r="J11491" t="s">
        <v>31687</v>
      </c>
      <c r="K11491" t="s">
        <v>40676</v>
      </c>
      <c r="M11491" t="s">
        <v>44336</v>
      </c>
      <c r="N11491" t="s">
        <v>44905</v>
      </c>
      <c r="O11491" t="s">
        <v>44906</v>
      </c>
      <c r="P11491">
        <v>0</v>
      </c>
      <c r="Q11491">
        <v>0</v>
      </c>
      <c r="R11491" t="s">
        <v>44916</v>
      </c>
      <c r="S11491" t="s">
        <v>45313</v>
      </c>
      <c r="T11491" t="s">
        <v>46392</v>
      </c>
      <c r="U11491" t="s">
        <v>56112</v>
      </c>
      <c r="V11491" t="s">
        <v>60295</v>
      </c>
      <c r="W11491" t="s">
        <v>44336</v>
      </c>
      <c r="X11491" t="s">
        <v>44917</v>
      </c>
    </row>
    <row r="11492" spans="1:24">
      <c r="A11492">
        <f>HYPERLINK("https://www.philgeps.gov.ph/GEPSNONPILOT/Tender/SplashBidNoticeAbstractUI.aspx?menuIndex=3&amp;refID=7064157&amp;Result=3","7064157")</f>
        <v>0</v>
      </c>
      <c r="B11492" t="s">
        <v>3094</v>
      </c>
      <c r="C11492" t="s">
        <v>14487</v>
      </c>
      <c r="D11492" t="s">
        <v>18108</v>
      </c>
      <c r="E11492" t="s">
        <v>28153</v>
      </c>
      <c r="F11492" t="s">
        <v>31362</v>
      </c>
      <c r="G11492" t="s">
        <v>31369</v>
      </c>
      <c r="H11492" t="s">
        <v>31377</v>
      </c>
      <c r="I11492" t="s">
        <v>31377</v>
      </c>
      <c r="J11492" t="s">
        <v>31709</v>
      </c>
      <c r="K11492" t="s">
        <v>40739</v>
      </c>
      <c r="M11492" t="s">
        <v>44338</v>
      </c>
      <c r="N11492" t="s">
        <v>44905</v>
      </c>
      <c r="O11492" t="s">
        <v>44906</v>
      </c>
      <c r="Q11492">
        <v>3</v>
      </c>
      <c r="R11492" t="s">
        <v>44916</v>
      </c>
      <c r="S11492" t="s">
        <v>45371</v>
      </c>
      <c r="T11492" t="s">
        <v>46697</v>
      </c>
      <c r="U11492" t="s">
        <v>56113</v>
      </c>
      <c r="W11492" t="s">
        <v>44338</v>
      </c>
      <c r="X11492" t="s">
        <v>44917</v>
      </c>
    </row>
    <row r="11493" spans="1:24">
      <c r="A11493">
        <f>HYPERLINK("https://www.philgeps.gov.ph/GEPSNONPILOT/Tender/SplashBidNoticeAbstractUI.aspx?menuIndex=3&amp;refID=7064155&amp;Result=3","7064155")</f>
        <v>0</v>
      </c>
      <c r="B11493" t="s">
        <v>3092</v>
      </c>
      <c r="C11493" t="s">
        <v>14488</v>
      </c>
      <c r="D11493" t="s">
        <v>18155</v>
      </c>
      <c r="E11493" t="s">
        <v>28154</v>
      </c>
      <c r="F11493" t="s">
        <v>31362</v>
      </c>
      <c r="G11493" t="s">
        <v>31369</v>
      </c>
      <c r="H11493" t="s">
        <v>31378</v>
      </c>
      <c r="I11493" t="s">
        <v>31386</v>
      </c>
      <c r="J11493" t="s">
        <v>31531</v>
      </c>
      <c r="K11493" t="s">
        <v>40718</v>
      </c>
      <c r="M11493" t="s">
        <v>44336</v>
      </c>
      <c r="N11493" t="s">
        <v>44905</v>
      </c>
      <c r="O11493" t="s">
        <v>44906</v>
      </c>
      <c r="P11493">
        <v>0</v>
      </c>
      <c r="Q11493">
        <v>0</v>
      </c>
      <c r="R11493" t="s">
        <v>44916</v>
      </c>
      <c r="S11493" t="s">
        <v>45313</v>
      </c>
      <c r="T11493" t="s">
        <v>46392</v>
      </c>
      <c r="U11493" t="s">
        <v>56114</v>
      </c>
      <c r="V11493" t="s">
        <v>60295</v>
      </c>
      <c r="W11493" t="s">
        <v>44336</v>
      </c>
      <c r="X11493" t="s">
        <v>44917</v>
      </c>
    </row>
    <row r="11494" spans="1:24">
      <c r="A11494">
        <f>HYPERLINK("https://www.philgeps.gov.ph/GEPSNONPILOT/Tender/SplashBidNoticeAbstractUI.aspx?menuIndex=3&amp;refID=7064153&amp;Result=3","7064153")</f>
        <v>0</v>
      </c>
      <c r="B11494" t="s">
        <v>3092</v>
      </c>
      <c r="C11494" t="s">
        <v>14489</v>
      </c>
      <c r="D11494" t="s">
        <v>18155</v>
      </c>
      <c r="E11494" t="s">
        <v>28155</v>
      </c>
      <c r="F11494" t="s">
        <v>31362</v>
      </c>
      <c r="G11494" t="s">
        <v>31369</v>
      </c>
      <c r="H11494" t="s">
        <v>31378</v>
      </c>
      <c r="I11494" t="s">
        <v>31386</v>
      </c>
      <c r="J11494" t="s">
        <v>31578</v>
      </c>
      <c r="K11494" t="s">
        <v>40718</v>
      </c>
      <c r="M11494" t="s">
        <v>44336</v>
      </c>
      <c r="N11494" t="s">
        <v>44905</v>
      </c>
      <c r="O11494" t="s">
        <v>44906</v>
      </c>
      <c r="P11494">
        <v>0</v>
      </c>
      <c r="Q11494">
        <v>0</v>
      </c>
      <c r="R11494" t="s">
        <v>44916</v>
      </c>
      <c r="S11494" t="s">
        <v>45313</v>
      </c>
      <c r="T11494" t="s">
        <v>46392</v>
      </c>
      <c r="U11494" t="s">
        <v>56115</v>
      </c>
      <c r="V11494" t="s">
        <v>60295</v>
      </c>
      <c r="W11494" t="s">
        <v>44336</v>
      </c>
      <c r="X11494" t="s">
        <v>44917</v>
      </c>
    </row>
    <row r="11495" spans="1:24">
      <c r="A11495">
        <f>HYPERLINK("https://www.philgeps.gov.ph/GEPSNONPILOT/Tender/SplashBidNoticeAbstractUI.aspx?menuIndex=3&amp;refID=7064150&amp;Result=3","7064150")</f>
        <v>0</v>
      </c>
      <c r="B11495" t="s">
        <v>1174</v>
      </c>
      <c r="C11495" t="s">
        <v>14490</v>
      </c>
      <c r="D11495" t="s">
        <v>18127</v>
      </c>
      <c r="E11495" t="s">
        <v>28156</v>
      </c>
      <c r="F11495" t="s">
        <v>31362</v>
      </c>
      <c r="G11495" t="s">
        <v>31369</v>
      </c>
      <c r="H11495" t="s">
        <v>31378</v>
      </c>
      <c r="I11495" t="s">
        <v>31443</v>
      </c>
      <c r="J11495" t="s">
        <v>38547</v>
      </c>
      <c r="K11495" t="s">
        <v>40809</v>
      </c>
      <c r="M11495" t="s">
        <v>43941</v>
      </c>
      <c r="N11495" t="s">
        <v>44905</v>
      </c>
      <c r="O11495" t="s">
        <v>44906</v>
      </c>
      <c r="Q11495">
        <v>0</v>
      </c>
      <c r="R11495" t="s">
        <v>44916</v>
      </c>
      <c r="S11495" t="s">
        <v>45372</v>
      </c>
      <c r="T11495" t="s">
        <v>46486</v>
      </c>
      <c r="U11495" t="s">
        <v>56116</v>
      </c>
      <c r="V11495" t="s">
        <v>60296</v>
      </c>
      <c r="W11495" t="s">
        <v>43941</v>
      </c>
      <c r="X11495" t="s">
        <v>44917</v>
      </c>
    </row>
    <row r="11496" spans="1:24">
      <c r="A11496">
        <f>HYPERLINK("https://www.philgeps.gov.ph/GEPSNONPILOT/Tender/SplashBidNoticeAbstractUI.aspx?menuIndex=3&amp;refID=7064147&amp;Result=3","7064147")</f>
        <v>0</v>
      </c>
      <c r="B11496" t="s">
        <v>3092</v>
      </c>
      <c r="C11496" t="s">
        <v>14491</v>
      </c>
      <c r="D11496" t="s">
        <v>18155</v>
      </c>
      <c r="E11496" t="s">
        <v>28157</v>
      </c>
      <c r="F11496" t="s">
        <v>31362</v>
      </c>
      <c r="G11496" t="s">
        <v>31369</v>
      </c>
      <c r="H11496" t="s">
        <v>31378</v>
      </c>
      <c r="I11496" t="s">
        <v>31386</v>
      </c>
      <c r="J11496" t="s">
        <v>31536</v>
      </c>
      <c r="K11496" t="s">
        <v>40677</v>
      </c>
      <c r="M11496" t="s">
        <v>44336</v>
      </c>
      <c r="N11496" t="s">
        <v>44905</v>
      </c>
      <c r="O11496" t="s">
        <v>44906</v>
      </c>
      <c r="P11496">
        <v>0</v>
      </c>
      <c r="Q11496">
        <v>0</v>
      </c>
      <c r="R11496" t="s">
        <v>44916</v>
      </c>
      <c r="S11496" t="s">
        <v>45313</v>
      </c>
      <c r="T11496" t="s">
        <v>46392</v>
      </c>
      <c r="U11496" t="s">
        <v>56117</v>
      </c>
      <c r="V11496" t="s">
        <v>60295</v>
      </c>
      <c r="W11496" t="s">
        <v>44336</v>
      </c>
      <c r="X11496" t="s">
        <v>44917</v>
      </c>
    </row>
    <row r="11497" spans="1:24">
      <c r="A11497">
        <f>HYPERLINK("https://www.philgeps.gov.ph/GEPSNONPILOT/Tender/SplashBidNoticeAbstractUI.aspx?menuIndex=3&amp;refID=7064140&amp;Result=3","7064140")</f>
        <v>0</v>
      </c>
      <c r="B11497" t="s">
        <v>3092</v>
      </c>
      <c r="C11497" t="s">
        <v>14492</v>
      </c>
      <c r="D11497" t="s">
        <v>18155</v>
      </c>
      <c r="E11497" t="s">
        <v>28158</v>
      </c>
      <c r="F11497" t="s">
        <v>31362</v>
      </c>
      <c r="G11497" t="s">
        <v>31369</v>
      </c>
      <c r="H11497" t="s">
        <v>31378</v>
      </c>
      <c r="I11497" t="s">
        <v>31386</v>
      </c>
      <c r="J11497" t="s">
        <v>31536</v>
      </c>
      <c r="K11497" t="s">
        <v>40681</v>
      </c>
      <c r="M11497" t="s">
        <v>44336</v>
      </c>
      <c r="N11497" t="s">
        <v>44905</v>
      </c>
      <c r="O11497" t="s">
        <v>44906</v>
      </c>
      <c r="P11497">
        <v>0</v>
      </c>
      <c r="Q11497">
        <v>0</v>
      </c>
      <c r="R11497" t="s">
        <v>44916</v>
      </c>
      <c r="S11497" t="s">
        <v>45313</v>
      </c>
      <c r="T11497" t="s">
        <v>46392</v>
      </c>
      <c r="U11497" t="s">
        <v>56118</v>
      </c>
      <c r="V11497" t="s">
        <v>60295</v>
      </c>
      <c r="W11497" t="s">
        <v>44336</v>
      </c>
      <c r="X11497" t="s">
        <v>44917</v>
      </c>
    </row>
    <row r="11498" spans="1:24">
      <c r="A11498">
        <f>HYPERLINK("https://www.philgeps.gov.ph/GEPSNONPILOT/Tender/SplashBidNoticeAbstractUI.aspx?menuIndex=3&amp;refID=7064138&amp;Result=3","7064138")</f>
        <v>0</v>
      </c>
      <c r="B11498" t="s">
        <v>2553</v>
      </c>
      <c r="C11498" t="s">
        <v>14493</v>
      </c>
      <c r="D11498" t="s">
        <v>18114</v>
      </c>
      <c r="E11498" t="s">
        <v>28159</v>
      </c>
      <c r="F11498" t="s">
        <v>31362</v>
      </c>
      <c r="G11498" t="s">
        <v>31368</v>
      </c>
      <c r="H11498" t="s">
        <v>15799</v>
      </c>
      <c r="I11498" t="s">
        <v>31384</v>
      </c>
      <c r="J11498" t="s">
        <v>31591</v>
      </c>
      <c r="K11498" t="s">
        <v>40665</v>
      </c>
      <c r="M11498" t="s">
        <v>43725</v>
      </c>
      <c r="N11498" t="s">
        <v>44905</v>
      </c>
      <c r="O11498" t="s">
        <v>44906</v>
      </c>
      <c r="Q11498">
        <v>10</v>
      </c>
      <c r="R11498" t="s">
        <v>44916</v>
      </c>
      <c r="S11498" t="s">
        <v>45373</v>
      </c>
      <c r="T11498" t="s">
        <v>46404</v>
      </c>
      <c r="U11498" t="s">
        <v>56119</v>
      </c>
      <c r="V11498" t="s">
        <v>59946</v>
      </c>
      <c r="W11498" t="s">
        <v>43725</v>
      </c>
      <c r="X11498" t="s">
        <v>44917</v>
      </c>
    </row>
    <row r="11499" spans="1:24">
      <c r="A11499">
        <f>HYPERLINK("https://www.philgeps.gov.ph/GEPSNONPILOT/Tender/SplashBidNoticeAbstractUI.aspx?menuIndex=3&amp;refID=7064133&amp;Result=3","7064133")</f>
        <v>0</v>
      </c>
      <c r="B11499" t="s">
        <v>3092</v>
      </c>
      <c r="C11499" t="s">
        <v>14494</v>
      </c>
      <c r="D11499" t="s">
        <v>18155</v>
      </c>
      <c r="E11499" t="s">
        <v>28160</v>
      </c>
      <c r="F11499" t="s">
        <v>31362</v>
      </c>
      <c r="G11499" t="s">
        <v>31369</v>
      </c>
      <c r="H11499" t="s">
        <v>31378</v>
      </c>
      <c r="I11499" t="s">
        <v>31386</v>
      </c>
      <c r="J11499" t="s">
        <v>31687</v>
      </c>
      <c r="K11499" t="s">
        <v>40665</v>
      </c>
      <c r="M11499" t="s">
        <v>44336</v>
      </c>
      <c r="N11499" t="s">
        <v>44905</v>
      </c>
      <c r="O11499" t="s">
        <v>44906</v>
      </c>
      <c r="P11499">
        <v>0</v>
      </c>
      <c r="Q11499">
        <v>0</v>
      </c>
      <c r="R11499" t="s">
        <v>44916</v>
      </c>
      <c r="S11499" t="s">
        <v>45313</v>
      </c>
      <c r="T11499" t="s">
        <v>46392</v>
      </c>
      <c r="U11499" t="s">
        <v>56120</v>
      </c>
      <c r="V11499" t="s">
        <v>60295</v>
      </c>
      <c r="W11499" t="s">
        <v>44336</v>
      </c>
      <c r="X11499" t="s">
        <v>44917</v>
      </c>
    </row>
    <row r="11500" spans="1:24">
      <c r="A11500">
        <f>HYPERLINK("https://www.philgeps.gov.ph/GEPSNONPILOT/Tender/SplashBidNoticeAbstractUI.aspx?menuIndex=3&amp;refID=7064018&amp;Result=3","7064018")</f>
        <v>0</v>
      </c>
      <c r="B11500" t="s">
        <v>3088</v>
      </c>
      <c r="C11500" t="s">
        <v>14495</v>
      </c>
      <c r="D11500" t="s">
        <v>18121</v>
      </c>
      <c r="E11500" t="s">
        <v>28161</v>
      </c>
      <c r="F11500" t="s">
        <v>31362</v>
      </c>
      <c r="G11500" t="s">
        <v>31369</v>
      </c>
      <c r="H11500" t="s">
        <v>15799</v>
      </c>
      <c r="I11500" t="s">
        <v>31427</v>
      </c>
      <c r="J11500" t="s">
        <v>38548</v>
      </c>
      <c r="K11500" t="s">
        <v>40767</v>
      </c>
      <c r="M11500" t="s">
        <v>44328</v>
      </c>
      <c r="N11500" t="s">
        <v>44905</v>
      </c>
      <c r="O11500" t="s">
        <v>44906</v>
      </c>
      <c r="P11500">
        <v>0</v>
      </c>
      <c r="Q11500">
        <v>1</v>
      </c>
      <c r="R11500" t="s">
        <v>44916</v>
      </c>
      <c r="S11500" t="s">
        <v>45313</v>
      </c>
      <c r="T11500" t="s">
        <v>46462</v>
      </c>
      <c r="U11500" t="s">
        <v>56121</v>
      </c>
      <c r="W11500" t="s">
        <v>44328</v>
      </c>
      <c r="X11500" t="s">
        <v>44917</v>
      </c>
    </row>
    <row r="11501" spans="1:24">
      <c r="A11501">
        <f>HYPERLINK("https://www.philgeps.gov.ph/GEPSNONPILOT/Tender/SplashBidNoticeAbstractUI.aspx?menuIndex=3&amp;refID=7063920&amp;Result=3","7063920")</f>
        <v>0</v>
      </c>
      <c r="B11501" t="s">
        <v>1817</v>
      </c>
      <c r="C11501" t="s">
        <v>14496</v>
      </c>
      <c r="D11501" t="s">
        <v>18181</v>
      </c>
      <c r="E11501" t="s">
        <v>28162</v>
      </c>
      <c r="F11501" t="s">
        <v>31362</v>
      </c>
      <c r="G11501" t="s">
        <v>31369</v>
      </c>
      <c r="H11501" t="s">
        <v>15799</v>
      </c>
      <c r="I11501" t="s">
        <v>31414</v>
      </c>
      <c r="J11501" t="s">
        <v>38549</v>
      </c>
      <c r="K11501" t="s">
        <v>40679</v>
      </c>
      <c r="M11501" t="s">
        <v>42900</v>
      </c>
      <c r="N11501" t="s">
        <v>44905</v>
      </c>
      <c r="O11501" t="s">
        <v>44906</v>
      </c>
      <c r="P11501">
        <v>0</v>
      </c>
      <c r="Q11501">
        <v>7</v>
      </c>
      <c r="R11501" t="s">
        <v>44916</v>
      </c>
      <c r="S11501" t="s">
        <v>45313</v>
      </c>
      <c r="T11501" t="s">
        <v>46842</v>
      </c>
      <c r="U11501" t="s">
        <v>56122</v>
      </c>
      <c r="V11501" t="s">
        <v>59382</v>
      </c>
      <c r="W11501" t="s">
        <v>42900</v>
      </c>
      <c r="X11501" t="s">
        <v>44917</v>
      </c>
    </row>
    <row r="11502" spans="1:24">
      <c r="A11502">
        <f>HYPERLINK("https://www.philgeps.gov.ph/GEPSNONPILOT/Tender/SplashBidNoticeAbstractUI.aspx?menuIndex=3&amp;refID=7063914&amp;Result=3","7063914")</f>
        <v>0</v>
      </c>
      <c r="B11502" t="s">
        <v>2976</v>
      </c>
      <c r="C11502" t="s">
        <v>14497</v>
      </c>
      <c r="D11502" t="s">
        <v>18110</v>
      </c>
      <c r="E11502" t="s">
        <v>28163</v>
      </c>
      <c r="F11502" t="s">
        <v>31362</v>
      </c>
      <c r="G11502" t="s">
        <v>31369</v>
      </c>
      <c r="H11502" t="s">
        <v>31378</v>
      </c>
      <c r="I11502" t="s">
        <v>31386</v>
      </c>
      <c r="J11502" t="s">
        <v>31726</v>
      </c>
      <c r="K11502" t="s">
        <v>40678</v>
      </c>
      <c r="M11502" t="s">
        <v>44200</v>
      </c>
      <c r="N11502" t="s">
        <v>44905</v>
      </c>
      <c r="O11502" t="s">
        <v>44906</v>
      </c>
      <c r="P11502">
        <v>0</v>
      </c>
      <c r="Q11502">
        <v>16</v>
      </c>
      <c r="R11502" t="s">
        <v>44916</v>
      </c>
      <c r="S11502" t="s">
        <v>45313</v>
      </c>
      <c r="T11502" t="s">
        <v>46486</v>
      </c>
      <c r="U11502" t="s">
        <v>56123</v>
      </c>
      <c r="W11502" t="s">
        <v>44200</v>
      </c>
      <c r="X11502" t="s">
        <v>44917</v>
      </c>
    </row>
    <row r="11503" spans="1:24">
      <c r="A11503">
        <f>HYPERLINK("https://www.philgeps.gov.ph/GEPSNONPILOT/Tender/SplashBidNoticeAbstractUI.aspx?menuIndex=3&amp;refID=7063724&amp;Result=3","7063724")</f>
        <v>0</v>
      </c>
      <c r="B11503" t="s">
        <v>1962</v>
      </c>
      <c r="C11503" t="s">
        <v>14498</v>
      </c>
      <c r="D11503" t="s">
        <v>18110</v>
      </c>
      <c r="E11503" t="s">
        <v>28164</v>
      </c>
      <c r="F11503" t="s">
        <v>31362</v>
      </c>
      <c r="G11503" t="s">
        <v>31369</v>
      </c>
      <c r="H11503" t="s">
        <v>15799</v>
      </c>
      <c r="I11503" t="s">
        <v>31466</v>
      </c>
      <c r="J11503" t="s">
        <v>31734</v>
      </c>
      <c r="K11503" t="s">
        <v>40661</v>
      </c>
      <c r="M11503" t="s">
        <v>43068</v>
      </c>
      <c r="N11503" t="s">
        <v>44905</v>
      </c>
      <c r="O11503" t="s">
        <v>44906</v>
      </c>
      <c r="P11503">
        <v>0</v>
      </c>
      <c r="Q11503">
        <v>5</v>
      </c>
      <c r="R11503" t="s">
        <v>44916</v>
      </c>
      <c r="S11503" t="s">
        <v>45313</v>
      </c>
      <c r="T11503" t="s">
        <v>46396</v>
      </c>
      <c r="U11503" t="s">
        <v>47881</v>
      </c>
      <c r="W11503" t="s">
        <v>43068</v>
      </c>
      <c r="X11503" t="s">
        <v>44917</v>
      </c>
    </row>
    <row r="11504" spans="1:24">
      <c r="A11504">
        <f>HYPERLINK("https://www.philgeps.gov.ph/GEPSNONPILOT/Tender/SplashBidNoticeAbstractUI.aspx?menuIndex=3&amp;refID=7063713&amp;Result=3","7063713")</f>
        <v>0</v>
      </c>
      <c r="B11504" t="s">
        <v>1780</v>
      </c>
      <c r="C11504" t="s">
        <v>14499</v>
      </c>
      <c r="D11504" t="s">
        <v>18130</v>
      </c>
      <c r="E11504" t="s">
        <v>28165</v>
      </c>
      <c r="F11504" t="s">
        <v>31362</v>
      </c>
      <c r="G11504" t="s">
        <v>31369</v>
      </c>
      <c r="H11504" t="s">
        <v>15799</v>
      </c>
      <c r="I11504" t="s">
        <v>31409</v>
      </c>
      <c r="J11504" t="s">
        <v>31542</v>
      </c>
      <c r="K11504" t="s">
        <v>40665</v>
      </c>
      <c r="M11504" t="s">
        <v>42860</v>
      </c>
      <c r="N11504" t="s">
        <v>44905</v>
      </c>
      <c r="O11504" t="s">
        <v>44906</v>
      </c>
      <c r="P11504">
        <v>0</v>
      </c>
      <c r="Q11504">
        <v>0</v>
      </c>
      <c r="R11504" t="s">
        <v>44916</v>
      </c>
      <c r="S11504" t="s">
        <v>45313</v>
      </c>
      <c r="T11504" t="s">
        <v>46530</v>
      </c>
      <c r="U11504" t="s">
        <v>56124</v>
      </c>
      <c r="W11504" t="s">
        <v>42860</v>
      </c>
      <c r="X11504" t="s">
        <v>44917</v>
      </c>
    </row>
    <row r="11505" spans="1:24">
      <c r="A11505">
        <f>HYPERLINK("https://www.philgeps.gov.ph/GEPSNONPILOT/Tender/SplashBidNoticeAbstractUI.aspx?menuIndex=3&amp;refID=7063711&amp;Result=3","7063711")</f>
        <v>0</v>
      </c>
      <c r="B11505" t="s">
        <v>1887</v>
      </c>
      <c r="C11505" t="s">
        <v>14500</v>
      </c>
      <c r="D11505" t="s">
        <v>18140</v>
      </c>
      <c r="E11505" t="s">
        <v>28166</v>
      </c>
      <c r="F11505" t="s">
        <v>31362</v>
      </c>
      <c r="G11505" t="s">
        <v>31369</v>
      </c>
      <c r="H11505" t="s">
        <v>15799</v>
      </c>
      <c r="I11505" t="s">
        <v>31459</v>
      </c>
      <c r="J11505" t="s">
        <v>38550</v>
      </c>
      <c r="K11505" t="s">
        <v>40677</v>
      </c>
      <c r="M11505" t="s">
        <v>42981</v>
      </c>
      <c r="N11505" t="s">
        <v>44905</v>
      </c>
      <c r="O11505" t="s">
        <v>44906</v>
      </c>
      <c r="P11505">
        <v>0</v>
      </c>
      <c r="Q11505">
        <v>4</v>
      </c>
      <c r="R11505" t="s">
        <v>44916</v>
      </c>
      <c r="S11505" t="s">
        <v>45313</v>
      </c>
      <c r="T11505" t="s">
        <v>46843</v>
      </c>
      <c r="U11505" t="s">
        <v>56125</v>
      </c>
      <c r="W11505" t="s">
        <v>42981</v>
      </c>
      <c r="X11505" t="s">
        <v>44917</v>
      </c>
    </row>
    <row r="11506" spans="1:24">
      <c r="A11506">
        <f>HYPERLINK("https://www.philgeps.gov.ph/GEPSNONPILOT/Tender/SplashBidNoticeAbstractUI.aspx?menuIndex=3&amp;refID=7063709&amp;Result=3","7063709")</f>
        <v>0</v>
      </c>
      <c r="B11506" t="s">
        <v>424</v>
      </c>
      <c r="C11506" t="s">
        <v>14501</v>
      </c>
      <c r="D11506" t="s">
        <v>18168</v>
      </c>
      <c r="E11506" t="s">
        <v>28167</v>
      </c>
      <c r="F11506" t="s">
        <v>31362</v>
      </c>
      <c r="G11506" t="s">
        <v>31368</v>
      </c>
      <c r="H11506" t="s">
        <v>15799</v>
      </c>
      <c r="I11506" t="s">
        <v>31388</v>
      </c>
      <c r="J11506" t="s">
        <v>31625</v>
      </c>
      <c r="K11506" t="s">
        <v>40722</v>
      </c>
      <c r="M11506" t="s">
        <v>43973</v>
      </c>
      <c r="N11506" t="s">
        <v>44905</v>
      </c>
      <c r="O11506" t="s">
        <v>44906</v>
      </c>
      <c r="P11506">
        <v>0</v>
      </c>
      <c r="Q11506">
        <v>2</v>
      </c>
      <c r="R11506" t="s">
        <v>44916</v>
      </c>
      <c r="S11506" t="s">
        <v>45313</v>
      </c>
      <c r="T11506" t="s">
        <v>46435</v>
      </c>
      <c r="U11506" t="s">
        <v>56126</v>
      </c>
      <c r="W11506" t="s">
        <v>43973</v>
      </c>
      <c r="X11506" t="s">
        <v>44917</v>
      </c>
    </row>
    <row r="11507" spans="1:24">
      <c r="A11507">
        <f>HYPERLINK("https://www.philgeps.gov.ph/GEPSNONPILOT/Tender/SplashBidNoticeAbstractUI.aspx?menuIndex=3&amp;refID=7064103&amp;Result=3","7064103")</f>
        <v>0</v>
      </c>
      <c r="B11507" t="s">
        <v>3095</v>
      </c>
      <c r="C11507" t="s">
        <v>14502</v>
      </c>
      <c r="D11507" t="s">
        <v>18127</v>
      </c>
      <c r="E11507" t="s">
        <v>28168</v>
      </c>
      <c r="F11507" t="s">
        <v>31362</v>
      </c>
      <c r="G11507" t="s">
        <v>31369</v>
      </c>
      <c r="H11507" t="s">
        <v>15799</v>
      </c>
      <c r="I11507" t="s">
        <v>31484</v>
      </c>
      <c r="J11507" t="s">
        <v>33068</v>
      </c>
      <c r="K11507" t="s">
        <v>40665</v>
      </c>
      <c r="M11507" t="s">
        <v>44339</v>
      </c>
      <c r="N11507" t="s">
        <v>44905</v>
      </c>
      <c r="O11507" t="s">
        <v>44906</v>
      </c>
      <c r="P11507">
        <v>0</v>
      </c>
      <c r="Q11507">
        <v>3</v>
      </c>
      <c r="R11507" t="s">
        <v>44916</v>
      </c>
      <c r="S11507" t="s">
        <v>45313</v>
      </c>
      <c r="T11507" t="s">
        <v>46504</v>
      </c>
      <c r="U11507" t="s">
        <v>56127</v>
      </c>
      <c r="W11507" t="s">
        <v>44339</v>
      </c>
      <c r="X11507" t="s">
        <v>44917</v>
      </c>
    </row>
    <row r="11508" spans="1:24">
      <c r="A11508">
        <f>HYPERLINK("https://www.philgeps.gov.ph/GEPSNONPILOT/Tender/SplashBidNoticeAbstractUI.aspx?menuIndex=3&amp;refID=7064261&amp;Result=3","7064261")</f>
        <v>0</v>
      </c>
      <c r="B11508" t="s">
        <v>3092</v>
      </c>
      <c r="C11508" t="s">
        <v>14503</v>
      </c>
      <c r="D11508" t="s">
        <v>18155</v>
      </c>
      <c r="E11508" t="s">
        <v>28169</v>
      </c>
      <c r="F11508" t="s">
        <v>31362</v>
      </c>
      <c r="G11508" t="s">
        <v>31369</v>
      </c>
      <c r="H11508" t="s">
        <v>31378</v>
      </c>
      <c r="I11508" t="s">
        <v>31386</v>
      </c>
      <c r="J11508" t="s">
        <v>31530</v>
      </c>
      <c r="K11508" t="s">
        <v>40733</v>
      </c>
      <c r="M11508" t="s">
        <v>44336</v>
      </c>
      <c r="N11508" t="s">
        <v>44905</v>
      </c>
      <c r="O11508" t="s">
        <v>44906</v>
      </c>
      <c r="P11508">
        <v>0</v>
      </c>
      <c r="Q11508">
        <v>0</v>
      </c>
      <c r="R11508" t="s">
        <v>44916</v>
      </c>
      <c r="S11508" t="s">
        <v>45313</v>
      </c>
      <c r="T11508" t="s">
        <v>46392</v>
      </c>
      <c r="U11508" t="s">
        <v>56128</v>
      </c>
      <c r="V11508" t="s">
        <v>60295</v>
      </c>
      <c r="W11508" t="s">
        <v>44336</v>
      </c>
      <c r="X11508" t="s">
        <v>44917</v>
      </c>
    </row>
    <row r="11509" spans="1:24">
      <c r="A11509">
        <f>HYPERLINK("https://www.philgeps.gov.ph/GEPSNONPILOT/Tender/SplashBidNoticeAbstractUI.aspx?menuIndex=3&amp;refID=7064255&amp;Result=3","7064255")</f>
        <v>0</v>
      </c>
      <c r="B11509" t="s">
        <v>3092</v>
      </c>
      <c r="C11509" t="s">
        <v>14504</v>
      </c>
      <c r="D11509" t="s">
        <v>18155</v>
      </c>
      <c r="E11509" t="s">
        <v>28170</v>
      </c>
      <c r="F11509" t="s">
        <v>31362</v>
      </c>
      <c r="G11509" t="s">
        <v>31369</v>
      </c>
      <c r="H11509" t="s">
        <v>31378</v>
      </c>
      <c r="I11509" t="s">
        <v>31386</v>
      </c>
      <c r="J11509" t="s">
        <v>31531</v>
      </c>
      <c r="K11509" t="s">
        <v>40676</v>
      </c>
      <c r="M11509" t="s">
        <v>44336</v>
      </c>
      <c r="N11509" t="s">
        <v>44905</v>
      </c>
      <c r="O11509" t="s">
        <v>44906</v>
      </c>
      <c r="P11509">
        <v>0</v>
      </c>
      <c r="Q11509">
        <v>0</v>
      </c>
      <c r="R11509" t="s">
        <v>44916</v>
      </c>
      <c r="S11509" t="s">
        <v>45313</v>
      </c>
      <c r="T11509" t="s">
        <v>46392</v>
      </c>
      <c r="U11509" t="s">
        <v>56129</v>
      </c>
      <c r="V11509" t="s">
        <v>60295</v>
      </c>
      <c r="W11509" t="s">
        <v>44336</v>
      </c>
      <c r="X11509" t="s">
        <v>44917</v>
      </c>
    </row>
    <row r="11510" spans="1:24">
      <c r="A11510">
        <f>HYPERLINK("https://www.philgeps.gov.ph/GEPSNONPILOT/Tender/SplashBidNoticeAbstractUI.aspx?menuIndex=3&amp;refID=7064253&amp;Result=3","7064253")</f>
        <v>0</v>
      </c>
      <c r="B11510" t="s">
        <v>2864</v>
      </c>
      <c r="C11510" t="s">
        <v>14505</v>
      </c>
      <c r="D11510" t="s">
        <v>18135</v>
      </c>
      <c r="E11510" t="s">
        <v>28171</v>
      </c>
      <c r="F11510" t="s">
        <v>31362</v>
      </c>
      <c r="G11510" t="s">
        <v>31369</v>
      </c>
      <c r="H11510" t="s">
        <v>15799</v>
      </c>
      <c r="I11510" t="s">
        <v>6373</v>
      </c>
      <c r="J11510" t="s">
        <v>38551</v>
      </c>
      <c r="K11510" t="s">
        <v>40666</v>
      </c>
      <c r="M11510" t="s">
        <v>44068</v>
      </c>
      <c r="N11510" t="s">
        <v>44905</v>
      </c>
      <c r="O11510" t="s">
        <v>44906</v>
      </c>
      <c r="P11510">
        <v>0</v>
      </c>
      <c r="Q11510">
        <v>2</v>
      </c>
      <c r="R11510" t="s">
        <v>44916</v>
      </c>
      <c r="S11510" t="s">
        <v>45313</v>
      </c>
      <c r="T11510" t="s">
        <v>46470</v>
      </c>
      <c r="U11510" t="s">
        <v>55575</v>
      </c>
      <c r="W11510" t="s">
        <v>44068</v>
      </c>
      <c r="X11510" t="s">
        <v>44917</v>
      </c>
    </row>
    <row r="11511" spans="1:24">
      <c r="A11511">
        <f>HYPERLINK("https://www.philgeps.gov.ph/GEPSNONPILOT/Tender/SplashBidNoticeAbstractUI.aspx?menuIndex=3&amp;refID=7064130&amp;Result=3","7064130")</f>
        <v>0</v>
      </c>
      <c r="B11511" t="s">
        <v>3092</v>
      </c>
      <c r="C11511" t="s">
        <v>14506</v>
      </c>
      <c r="D11511" t="s">
        <v>18155</v>
      </c>
      <c r="E11511" t="s">
        <v>28172</v>
      </c>
      <c r="F11511" t="s">
        <v>31362</v>
      </c>
      <c r="G11511" t="s">
        <v>31369</v>
      </c>
      <c r="H11511" t="s">
        <v>31378</v>
      </c>
      <c r="I11511" t="s">
        <v>31386</v>
      </c>
      <c r="J11511" t="s">
        <v>32239</v>
      </c>
      <c r="K11511" t="s">
        <v>40682</v>
      </c>
      <c r="M11511" t="s">
        <v>44336</v>
      </c>
      <c r="N11511" t="s">
        <v>44905</v>
      </c>
      <c r="O11511" t="s">
        <v>44906</v>
      </c>
      <c r="P11511">
        <v>0</v>
      </c>
      <c r="Q11511">
        <v>0</v>
      </c>
      <c r="R11511" t="s">
        <v>44916</v>
      </c>
      <c r="S11511" t="s">
        <v>45313</v>
      </c>
      <c r="T11511" t="s">
        <v>46392</v>
      </c>
      <c r="U11511" t="s">
        <v>56130</v>
      </c>
      <c r="V11511" t="s">
        <v>60295</v>
      </c>
      <c r="W11511" t="s">
        <v>44336</v>
      </c>
      <c r="X11511" t="s">
        <v>44917</v>
      </c>
    </row>
    <row r="11512" spans="1:24">
      <c r="A11512">
        <f>HYPERLINK("https://www.philgeps.gov.ph/GEPSNONPILOT/Tender/SplashBidNoticeAbstractUI.aspx?menuIndex=3&amp;refID=7064059&amp;Result=3","7064059")</f>
        <v>0</v>
      </c>
      <c r="B11512" t="s">
        <v>1174</v>
      </c>
      <c r="C11512" t="s">
        <v>14507</v>
      </c>
      <c r="D11512" t="s">
        <v>18127</v>
      </c>
      <c r="E11512" t="s">
        <v>28173</v>
      </c>
      <c r="F11512" t="s">
        <v>31362</v>
      </c>
      <c r="G11512" t="s">
        <v>31369</v>
      </c>
      <c r="H11512" t="s">
        <v>31377</v>
      </c>
      <c r="I11512" t="s">
        <v>31377</v>
      </c>
      <c r="J11512" t="s">
        <v>31615</v>
      </c>
      <c r="K11512" t="s">
        <v>40769</v>
      </c>
      <c r="M11512" t="s">
        <v>43941</v>
      </c>
      <c r="N11512" t="s">
        <v>44905</v>
      </c>
      <c r="O11512" t="s">
        <v>44906</v>
      </c>
      <c r="Q11512">
        <v>3</v>
      </c>
      <c r="R11512" t="s">
        <v>44916</v>
      </c>
      <c r="S11512" t="s">
        <v>45374</v>
      </c>
      <c r="T11512" t="s">
        <v>46528</v>
      </c>
      <c r="U11512" t="s">
        <v>56131</v>
      </c>
      <c r="W11512" t="s">
        <v>43941</v>
      </c>
      <c r="X11512" t="s">
        <v>44917</v>
      </c>
    </row>
    <row r="11513" spans="1:24">
      <c r="A11513">
        <f>HYPERLINK("https://www.philgeps.gov.ph/GEPSNONPILOT/Tender/SplashBidNoticeAbstractUI.aspx?menuIndex=3&amp;refID=7064249&amp;Result=3","7064249")</f>
        <v>0</v>
      </c>
      <c r="B11513" t="s">
        <v>2668</v>
      </c>
      <c r="C11513" t="s">
        <v>14508</v>
      </c>
      <c r="D11513" t="s">
        <v>18177</v>
      </c>
      <c r="E11513" t="s">
        <v>28174</v>
      </c>
      <c r="F11513" t="s">
        <v>31362</v>
      </c>
      <c r="G11513" t="s">
        <v>31369</v>
      </c>
      <c r="H11513" t="s">
        <v>31378</v>
      </c>
      <c r="I11513" t="s">
        <v>31386</v>
      </c>
      <c r="J11513" t="s">
        <v>38552</v>
      </c>
      <c r="K11513" t="s">
        <v>40798</v>
      </c>
      <c r="M11513" t="s">
        <v>43852</v>
      </c>
      <c r="N11513" t="s">
        <v>44905</v>
      </c>
      <c r="O11513" t="s">
        <v>44906</v>
      </c>
      <c r="P11513">
        <v>0</v>
      </c>
      <c r="Q11513">
        <v>0</v>
      </c>
      <c r="R11513" t="s">
        <v>44916</v>
      </c>
      <c r="S11513" t="s">
        <v>45313</v>
      </c>
      <c r="T11513" t="s">
        <v>46533</v>
      </c>
      <c r="U11513" t="s">
        <v>54302</v>
      </c>
      <c r="W11513" t="s">
        <v>43852</v>
      </c>
      <c r="X11513" t="s">
        <v>44917</v>
      </c>
    </row>
    <row r="11514" spans="1:24">
      <c r="A11514">
        <f>HYPERLINK("https://www.philgeps.gov.ph/GEPSNONPILOT/Tender/SplashBidNoticeAbstractUI.aspx?menuIndex=3&amp;refID=7064248&amp;Result=3","7064248")</f>
        <v>0</v>
      </c>
      <c r="B11514" t="s">
        <v>117</v>
      </c>
      <c r="C11514" t="s">
        <v>14509</v>
      </c>
      <c r="D11514" t="s">
        <v>18104</v>
      </c>
      <c r="E11514" t="s">
        <v>28175</v>
      </c>
      <c r="F11514" t="s">
        <v>31362</v>
      </c>
      <c r="G11514" t="s">
        <v>31370</v>
      </c>
      <c r="H11514" t="s">
        <v>15799</v>
      </c>
      <c r="I11514" t="s">
        <v>31411</v>
      </c>
      <c r="J11514" t="s">
        <v>38553</v>
      </c>
      <c r="K11514" t="s">
        <v>40662</v>
      </c>
      <c r="M11514" t="s">
        <v>41054</v>
      </c>
      <c r="N11514" t="s">
        <v>44905</v>
      </c>
      <c r="O11514" t="s">
        <v>44906</v>
      </c>
      <c r="Q11514">
        <v>1</v>
      </c>
      <c r="R11514" t="s">
        <v>44916</v>
      </c>
      <c r="S11514" t="s">
        <v>45375</v>
      </c>
      <c r="T11514" t="s">
        <v>46467</v>
      </c>
      <c r="U11514" t="s">
        <v>56132</v>
      </c>
      <c r="W11514" t="s">
        <v>41054</v>
      </c>
      <c r="X11514" t="s">
        <v>44917</v>
      </c>
    </row>
    <row r="11515" spans="1:24">
      <c r="A11515">
        <f>HYPERLINK("https://www.philgeps.gov.ph/GEPSNONPILOT/Tender/SplashBidNoticeAbstractUI.aspx?menuIndex=3&amp;refID=7064243&amp;Result=3","7064243")</f>
        <v>0</v>
      </c>
      <c r="B11515" t="s">
        <v>3092</v>
      </c>
      <c r="C11515" t="s">
        <v>14510</v>
      </c>
      <c r="D11515" t="s">
        <v>18155</v>
      </c>
      <c r="E11515" t="s">
        <v>28176</v>
      </c>
      <c r="F11515" t="s">
        <v>31362</v>
      </c>
      <c r="G11515" t="s">
        <v>31369</v>
      </c>
      <c r="H11515" t="s">
        <v>31378</v>
      </c>
      <c r="I11515" t="s">
        <v>31386</v>
      </c>
      <c r="J11515" t="s">
        <v>32549</v>
      </c>
      <c r="K11515" t="s">
        <v>40894</v>
      </c>
      <c r="M11515" t="s">
        <v>44336</v>
      </c>
      <c r="N11515" t="s">
        <v>44905</v>
      </c>
      <c r="O11515" t="s">
        <v>44906</v>
      </c>
      <c r="P11515">
        <v>0</v>
      </c>
      <c r="Q11515">
        <v>0</v>
      </c>
      <c r="R11515" t="s">
        <v>44916</v>
      </c>
      <c r="S11515" t="s">
        <v>45313</v>
      </c>
      <c r="T11515" t="s">
        <v>46392</v>
      </c>
      <c r="U11515" t="s">
        <v>56133</v>
      </c>
      <c r="V11515" t="s">
        <v>60295</v>
      </c>
      <c r="W11515" t="s">
        <v>44336</v>
      </c>
      <c r="X11515" t="s">
        <v>44917</v>
      </c>
    </row>
    <row r="11516" spans="1:24">
      <c r="A11516">
        <f>HYPERLINK("https://www.philgeps.gov.ph/GEPSNONPILOT/Tender/SplashBidNoticeAbstractUI.aspx?menuIndex=3&amp;refID=7064242&amp;Result=3","7064242")</f>
        <v>0</v>
      </c>
      <c r="B11516" t="s">
        <v>2668</v>
      </c>
      <c r="C11516" t="s">
        <v>14511</v>
      </c>
      <c r="D11516" t="s">
        <v>18177</v>
      </c>
      <c r="E11516" t="s">
        <v>28177</v>
      </c>
      <c r="F11516" t="s">
        <v>31362</v>
      </c>
      <c r="G11516" t="s">
        <v>31369</v>
      </c>
      <c r="H11516" t="s">
        <v>31378</v>
      </c>
      <c r="I11516" t="s">
        <v>31386</v>
      </c>
      <c r="J11516" t="s">
        <v>38554</v>
      </c>
      <c r="K11516" t="s">
        <v>40694</v>
      </c>
      <c r="M11516" t="s">
        <v>43852</v>
      </c>
      <c r="N11516" t="s">
        <v>44905</v>
      </c>
      <c r="O11516" t="s">
        <v>44906</v>
      </c>
      <c r="P11516">
        <v>0</v>
      </c>
      <c r="Q11516">
        <v>0</v>
      </c>
      <c r="R11516" t="s">
        <v>44916</v>
      </c>
      <c r="S11516" t="s">
        <v>45313</v>
      </c>
      <c r="T11516" t="s">
        <v>46533</v>
      </c>
      <c r="U11516" t="s">
        <v>54302</v>
      </c>
      <c r="W11516" t="s">
        <v>43852</v>
      </c>
      <c r="X11516" t="s">
        <v>44917</v>
      </c>
    </row>
    <row r="11517" spans="1:24">
      <c r="A11517">
        <f>HYPERLINK("https://www.philgeps.gov.ph/GEPSNONPILOT/Tender/SplashBidNoticeAbstractUI.aspx?menuIndex=3&amp;refID=7064240&amp;Result=3","7064240")</f>
        <v>0</v>
      </c>
      <c r="B11517" t="s">
        <v>3092</v>
      </c>
      <c r="C11517" t="s">
        <v>14512</v>
      </c>
      <c r="D11517" t="s">
        <v>18155</v>
      </c>
      <c r="E11517" t="s">
        <v>28178</v>
      </c>
      <c r="F11517" t="s">
        <v>31362</v>
      </c>
      <c r="G11517" t="s">
        <v>31369</v>
      </c>
      <c r="H11517" t="s">
        <v>31378</v>
      </c>
      <c r="I11517" t="s">
        <v>31386</v>
      </c>
      <c r="J11517" t="s">
        <v>31530</v>
      </c>
      <c r="K11517" t="s">
        <v>40681</v>
      </c>
      <c r="M11517" t="s">
        <v>44336</v>
      </c>
      <c r="N11517" t="s">
        <v>44905</v>
      </c>
      <c r="O11517" t="s">
        <v>44906</v>
      </c>
      <c r="P11517">
        <v>0</v>
      </c>
      <c r="Q11517">
        <v>0</v>
      </c>
      <c r="R11517" t="s">
        <v>44916</v>
      </c>
      <c r="S11517" t="s">
        <v>45313</v>
      </c>
      <c r="T11517" t="s">
        <v>46392</v>
      </c>
      <c r="U11517" t="s">
        <v>56134</v>
      </c>
      <c r="V11517" t="s">
        <v>60295</v>
      </c>
      <c r="W11517" t="s">
        <v>44336</v>
      </c>
      <c r="X11517" t="s">
        <v>44917</v>
      </c>
    </row>
    <row r="11518" spans="1:24">
      <c r="A11518">
        <f>HYPERLINK("https://www.philgeps.gov.ph/GEPSNONPILOT/Tender/SplashBidNoticeAbstractUI.aspx?menuIndex=3&amp;refID=7064250&amp;Result=3","7064250")</f>
        <v>0</v>
      </c>
      <c r="B11518" t="s">
        <v>2864</v>
      </c>
      <c r="C11518" t="s">
        <v>14513</v>
      </c>
      <c r="D11518" t="s">
        <v>18135</v>
      </c>
      <c r="E11518" t="s">
        <v>28179</v>
      </c>
      <c r="F11518" t="s">
        <v>31362</v>
      </c>
      <c r="G11518" t="s">
        <v>31369</v>
      </c>
      <c r="H11518" t="s">
        <v>15799</v>
      </c>
      <c r="I11518" t="s">
        <v>3815</v>
      </c>
      <c r="J11518" t="s">
        <v>38555</v>
      </c>
      <c r="K11518" t="s">
        <v>40666</v>
      </c>
      <c r="M11518" t="s">
        <v>44068</v>
      </c>
      <c r="N11518" t="s">
        <v>44905</v>
      </c>
      <c r="O11518" t="s">
        <v>44906</v>
      </c>
      <c r="P11518">
        <v>0</v>
      </c>
      <c r="Q11518">
        <v>2</v>
      </c>
      <c r="R11518" t="s">
        <v>44916</v>
      </c>
      <c r="S11518" t="s">
        <v>45313</v>
      </c>
      <c r="T11518" t="s">
        <v>46470</v>
      </c>
      <c r="U11518" t="s">
        <v>55575</v>
      </c>
      <c r="W11518" t="s">
        <v>44068</v>
      </c>
      <c r="X11518" t="s">
        <v>44917</v>
      </c>
    </row>
    <row r="11519" spans="1:24">
      <c r="A11519">
        <f>HYPERLINK("https://www.philgeps.gov.ph/GEPSNONPILOT/Tender/SplashBidNoticeAbstractUI.aspx?menuIndex=3&amp;refID=7064238&amp;Result=3","7064238")</f>
        <v>0</v>
      </c>
      <c r="B11519" t="s">
        <v>2864</v>
      </c>
      <c r="C11519" t="s">
        <v>14514</v>
      </c>
      <c r="D11519" t="s">
        <v>18135</v>
      </c>
      <c r="E11519" t="s">
        <v>28180</v>
      </c>
      <c r="F11519" t="s">
        <v>31362</v>
      </c>
      <c r="G11519" t="s">
        <v>31369</v>
      </c>
      <c r="H11519" t="s">
        <v>15799</v>
      </c>
      <c r="I11519" t="s">
        <v>3815</v>
      </c>
      <c r="J11519" t="s">
        <v>38556</v>
      </c>
      <c r="K11519" t="s">
        <v>40666</v>
      </c>
      <c r="M11519" t="s">
        <v>44068</v>
      </c>
      <c r="N11519" t="s">
        <v>44905</v>
      </c>
      <c r="O11519" t="s">
        <v>44906</v>
      </c>
      <c r="P11519">
        <v>0</v>
      </c>
      <c r="Q11519">
        <v>1</v>
      </c>
      <c r="R11519" t="s">
        <v>44916</v>
      </c>
      <c r="S11519" t="s">
        <v>45313</v>
      </c>
      <c r="T11519" t="s">
        <v>46470</v>
      </c>
      <c r="U11519" t="s">
        <v>55575</v>
      </c>
      <c r="W11519" t="s">
        <v>44068</v>
      </c>
      <c r="X11519" t="s">
        <v>44917</v>
      </c>
    </row>
    <row r="11520" spans="1:24">
      <c r="A11520">
        <f>HYPERLINK("https://www.philgeps.gov.ph/GEPSNONPILOT/Tender/SplashBidNoticeAbstractUI.aspx?menuIndex=3&amp;refID=7064191&amp;Result=3","7064191")</f>
        <v>0</v>
      </c>
      <c r="B11520" t="s">
        <v>3092</v>
      </c>
      <c r="C11520" t="s">
        <v>14515</v>
      </c>
      <c r="D11520" t="s">
        <v>18155</v>
      </c>
      <c r="E11520" t="s">
        <v>28181</v>
      </c>
      <c r="F11520" t="s">
        <v>31362</v>
      </c>
      <c r="G11520" t="s">
        <v>31369</v>
      </c>
      <c r="H11520" t="s">
        <v>31378</v>
      </c>
      <c r="I11520" t="s">
        <v>31386</v>
      </c>
      <c r="J11520" t="s">
        <v>31591</v>
      </c>
      <c r="K11520" t="s">
        <v>40675</v>
      </c>
      <c r="M11520" t="s">
        <v>44336</v>
      </c>
      <c r="N11520" t="s">
        <v>44905</v>
      </c>
      <c r="O11520" t="s">
        <v>44906</v>
      </c>
      <c r="P11520">
        <v>0</v>
      </c>
      <c r="Q11520">
        <v>0</v>
      </c>
      <c r="R11520" t="s">
        <v>44916</v>
      </c>
      <c r="S11520" t="s">
        <v>45313</v>
      </c>
      <c r="T11520" t="s">
        <v>46392</v>
      </c>
      <c r="U11520" t="s">
        <v>56135</v>
      </c>
      <c r="V11520" t="s">
        <v>60295</v>
      </c>
      <c r="W11520" t="s">
        <v>44336</v>
      </c>
      <c r="X11520" t="s">
        <v>44917</v>
      </c>
    </row>
    <row r="11521" spans="1:24">
      <c r="A11521">
        <f>HYPERLINK("https://www.philgeps.gov.ph/GEPSNONPILOT/Tender/SplashBidNoticeAbstractUI.aspx?menuIndex=3&amp;refID=7064235&amp;Result=3","7064235")</f>
        <v>0</v>
      </c>
      <c r="B11521" t="s">
        <v>849</v>
      </c>
      <c r="C11521" t="s">
        <v>14516</v>
      </c>
      <c r="D11521" t="s">
        <v>18108</v>
      </c>
      <c r="E11521" t="s">
        <v>28182</v>
      </c>
      <c r="F11521" t="s">
        <v>31362</v>
      </c>
      <c r="G11521" t="s">
        <v>31369</v>
      </c>
      <c r="H11521" t="s">
        <v>15799</v>
      </c>
      <c r="I11521" t="s">
        <v>31390</v>
      </c>
      <c r="J11521" t="s">
        <v>38557</v>
      </c>
      <c r="K11521" t="s">
        <v>40665</v>
      </c>
      <c r="M11521" t="s">
        <v>44340</v>
      </c>
      <c r="N11521" t="s">
        <v>44905</v>
      </c>
      <c r="O11521" t="s">
        <v>44906</v>
      </c>
      <c r="P11521">
        <v>0</v>
      </c>
      <c r="Q11521">
        <v>2</v>
      </c>
      <c r="R11521" t="s">
        <v>44916</v>
      </c>
      <c r="S11521" t="s">
        <v>45313</v>
      </c>
      <c r="T11521" t="s">
        <v>46607</v>
      </c>
      <c r="U11521" t="s">
        <v>56136</v>
      </c>
      <c r="W11521" t="s">
        <v>44340</v>
      </c>
      <c r="X11521" t="s">
        <v>44917</v>
      </c>
    </row>
    <row r="11522" spans="1:24">
      <c r="A11522">
        <f>HYPERLINK("https://www.philgeps.gov.ph/GEPSNONPILOT/Tender/SplashBidNoticeAbstractUI.aspx?menuIndex=3&amp;refID=7064251&amp;Result=3","7064251")</f>
        <v>0</v>
      </c>
      <c r="B11522" t="s">
        <v>3092</v>
      </c>
      <c r="C11522" t="s">
        <v>14517</v>
      </c>
      <c r="D11522" t="s">
        <v>18155</v>
      </c>
      <c r="E11522" t="s">
        <v>28183</v>
      </c>
      <c r="F11522" t="s">
        <v>31362</v>
      </c>
      <c r="G11522" t="s">
        <v>31369</v>
      </c>
      <c r="H11522" t="s">
        <v>31378</v>
      </c>
      <c r="I11522" t="s">
        <v>31386</v>
      </c>
      <c r="J11522" t="s">
        <v>31586</v>
      </c>
      <c r="K11522" t="s">
        <v>40675</v>
      </c>
      <c r="M11522" t="s">
        <v>44336</v>
      </c>
      <c r="N11522" t="s">
        <v>44905</v>
      </c>
      <c r="O11522" t="s">
        <v>44906</v>
      </c>
      <c r="P11522">
        <v>0</v>
      </c>
      <c r="Q11522">
        <v>0</v>
      </c>
      <c r="R11522" t="s">
        <v>44916</v>
      </c>
      <c r="S11522" t="s">
        <v>45313</v>
      </c>
      <c r="T11522" t="s">
        <v>46392</v>
      </c>
      <c r="U11522" t="s">
        <v>56137</v>
      </c>
      <c r="V11522" t="s">
        <v>60295</v>
      </c>
      <c r="W11522" t="s">
        <v>44336</v>
      </c>
      <c r="X11522" t="s">
        <v>44917</v>
      </c>
    </row>
    <row r="11523" spans="1:24">
      <c r="A11523">
        <f>HYPERLINK("https://www.philgeps.gov.ph/GEPSNONPILOT/Tender/SplashBidNoticeAbstractUI.aspx?menuIndex=3&amp;refID=7064220&amp;Result=3","7064220")</f>
        <v>0</v>
      </c>
      <c r="B11523" t="s">
        <v>2864</v>
      </c>
      <c r="C11523" t="s">
        <v>14518</v>
      </c>
      <c r="D11523" t="s">
        <v>18135</v>
      </c>
      <c r="E11523" t="s">
        <v>28184</v>
      </c>
      <c r="F11523" t="s">
        <v>31362</v>
      </c>
      <c r="G11523" t="s">
        <v>31369</v>
      </c>
      <c r="H11523" t="s">
        <v>15799</v>
      </c>
      <c r="I11523" t="s">
        <v>31429</v>
      </c>
      <c r="J11523" t="s">
        <v>38558</v>
      </c>
      <c r="K11523" t="s">
        <v>40666</v>
      </c>
      <c r="M11523" t="s">
        <v>44068</v>
      </c>
      <c r="N11523" t="s">
        <v>44905</v>
      </c>
      <c r="O11523" t="s">
        <v>44906</v>
      </c>
      <c r="P11523">
        <v>0</v>
      </c>
      <c r="Q11523">
        <v>4</v>
      </c>
      <c r="R11523" t="s">
        <v>44916</v>
      </c>
      <c r="S11523" t="s">
        <v>45313</v>
      </c>
      <c r="T11523" t="s">
        <v>46470</v>
      </c>
      <c r="U11523" t="s">
        <v>55575</v>
      </c>
      <c r="W11523" t="s">
        <v>44068</v>
      </c>
      <c r="X11523" t="s">
        <v>44917</v>
      </c>
    </row>
    <row r="11524" spans="1:24">
      <c r="A11524">
        <f>HYPERLINK("https://www.philgeps.gov.ph/GEPSNONPILOT/Tender/SplashBidNoticeAbstractUI.aspx?menuIndex=3&amp;refID=7064239&amp;Result=3","7064239")</f>
        <v>0</v>
      </c>
      <c r="B11524" t="s">
        <v>692</v>
      </c>
      <c r="C11524" t="s">
        <v>14519</v>
      </c>
      <c r="D11524" t="s">
        <v>18158</v>
      </c>
      <c r="E11524" t="s">
        <v>20491</v>
      </c>
      <c r="F11524" t="s">
        <v>31362</v>
      </c>
      <c r="G11524" t="s">
        <v>31369</v>
      </c>
      <c r="H11524" t="s">
        <v>15799</v>
      </c>
      <c r="I11524" t="s">
        <v>31396</v>
      </c>
      <c r="J11524" t="s">
        <v>38559</v>
      </c>
      <c r="K11524" t="s">
        <v>40682</v>
      </c>
      <c r="M11524" t="s">
        <v>41655</v>
      </c>
      <c r="N11524" t="s">
        <v>44905</v>
      </c>
      <c r="O11524" t="s">
        <v>44906</v>
      </c>
      <c r="Q11524">
        <v>27</v>
      </c>
      <c r="R11524" t="s">
        <v>44916</v>
      </c>
      <c r="S11524" t="s">
        <v>45376</v>
      </c>
      <c r="T11524" t="s">
        <v>46486</v>
      </c>
      <c r="U11524" t="s">
        <v>56138</v>
      </c>
      <c r="W11524" t="s">
        <v>41655</v>
      </c>
      <c r="X11524" t="s">
        <v>44917</v>
      </c>
    </row>
    <row r="11525" spans="1:24">
      <c r="A11525">
        <f>HYPERLINK("https://www.philgeps.gov.ph/GEPSNONPILOT/Tender/SplashBidNoticeAbstractUI.aspx?menuIndex=3&amp;refID=7064217&amp;Result=3","7064217")</f>
        <v>0</v>
      </c>
      <c r="B11525" t="s">
        <v>849</v>
      </c>
      <c r="C11525" t="s">
        <v>14520</v>
      </c>
      <c r="D11525" t="s">
        <v>18108</v>
      </c>
      <c r="E11525" t="s">
        <v>28185</v>
      </c>
      <c r="F11525" t="s">
        <v>31362</v>
      </c>
      <c r="G11525" t="s">
        <v>31372</v>
      </c>
      <c r="H11525" t="s">
        <v>15799</v>
      </c>
      <c r="I11525" t="s">
        <v>31390</v>
      </c>
      <c r="J11525" t="s">
        <v>38560</v>
      </c>
      <c r="K11525" t="s">
        <v>40666</v>
      </c>
      <c r="M11525" t="s">
        <v>44340</v>
      </c>
      <c r="N11525" t="s">
        <v>44905</v>
      </c>
      <c r="O11525" t="s">
        <v>44906</v>
      </c>
      <c r="P11525">
        <v>0</v>
      </c>
      <c r="Q11525">
        <v>1</v>
      </c>
      <c r="R11525" t="s">
        <v>44916</v>
      </c>
      <c r="S11525" t="s">
        <v>45313</v>
      </c>
      <c r="T11525" t="s">
        <v>46533</v>
      </c>
      <c r="U11525" t="s">
        <v>56139</v>
      </c>
      <c r="W11525" t="s">
        <v>44340</v>
      </c>
      <c r="X11525" t="s">
        <v>44917</v>
      </c>
    </row>
    <row r="11526" spans="1:24">
      <c r="A11526">
        <f>HYPERLINK("https://www.philgeps.gov.ph/GEPSNONPILOT/Tender/SplashBidNoticeAbstractUI.aspx?menuIndex=3&amp;refID=7064216&amp;Result=3","7064216")</f>
        <v>0</v>
      </c>
      <c r="B11526" t="s">
        <v>3096</v>
      </c>
      <c r="C11526" t="s">
        <v>14521</v>
      </c>
      <c r="D11526" t="s">
        <v>18101</v>
      </c>
      <c r="E11526" t="s">
        <v>28186</v>
      </c>
      <c r="F11526" t="s">
        <v>31362</v>
      </c>
      <c r="G11526" t="s">
        <v>31369</v>
      </c>
      <c r="H11526" t="s">
        <v>15799</v>
      </c>
      <c r="I11526" t="s">
        <v>31409</v>
      </c>
      <c r="J11526" t="s">
        <v>31634</v>
      </c>
      <c r="K11526" t="s">
        <v>40661</v>
      </c>
      <c r="M11526" t="s">
        <v>44341</v>
      </c>
      <c r="N11526" t="s">
        <v>44905</v>
      </c>
      <c r="O11526" t="s">
        <v>44906</v>
      </c>
      <c r="P11526">
        <v>0</v>
      </c>
      <c r="Q11526">
        <v>2</v>
      </c>
      <c r="R11526" t="s">
        <v>44916</v>
      </c>
      <c r="S11526" t="s">
        <v>45313</v>
      </c>
      <c r="T11526" t="s">
        <v>46435</v>
      </c>
      <c r="U11526" t="s">
        <v>56140</v>
      </c>
      <c r="V11526" t="s">
        <v>60297</v>
      </c>
      <c r="W11526" t="s">
        <v>44341</v>
      </c>
      <c r="X11526" t="s">
        <v>44917</v>
      </c>
    </row>
    <row r="11527" spans="1:24">
      <c r="A11527">
        <f>HYPERLINK("https://www.philgeps.gov.ph/GEPSNONPILOT/Tender/SplashBidNoticeAbstractUI.aspx?menuIndex=3&amp;refID=7064236&amp;Result=3","7064236")</f>
        <v>0</v>
      </c>
      <c r="B11527" t="s">
        <v>3092</v>
      </c>
      <c r="C11527" t="s">
        <v>14522</v>
      </c>
      <c r="D11527" t="s">
        <v>18155</v>
      </c>
      <c r="E11527" t="s">
        <v>28187</v>
      </c>
      <c r="F11527" t="s">
        <v>31362</v>
      </c>
      <c r="G11527" t="s">
        <v>31369</v>
      </c>
      <c r="H11527" t="s">
        <v>31378</v>
      </c>
      <c r="I11527" t="s">
        <v>31386</v>
      </c>
      <c r="J11527" t="s">
        <v>31734</v>
      </c>
      <c r="K11527" t="s">
        <v>40773</v>
      </c>
      <c r="M11527" t="s">
        <v>44336</v>
      </c>
      <c r="N11527" t="s">
        <v>44905</v>
      </c>
      <c r="O11527" t="s">
        <v>44906</v>
      </c>
      <c r="P11527">
        <v>0</v>
      </c>
      <c r="Q11527">
        <v>0</v>
      </c>
      <c r="R11527" t="s">
        <v>44916</v>
      </c>
      <c r="S11527" t="s">
        <v>45313</v>
      </c>
      <c r="T11527" t="s">
        <v>46392</v>
      </c>
      <c r="U11527" t="s">
        <v>56141</v>
      </c>
      <c r="V11527" t="s">
        <v>60295</v>
      </c>
      <c r="W11527" t="s">
        <v>44336</v>
      </c>
      <c r="X11527" t="s">
        <v>44917</v>
      </c>
    </row>
    <row r="11528" spans="1:24">
      <c r="A11528">
        <f>HYPERLINK("https://www.philgeps.gov.ph/GEPSNONPILOT/Tender/SplashBidNoticeAbstractUI.aspx?menuIndex=3&amp;refID=7064233&amp;Result=3","7064233")</f>
        <v>0</v>
      </c>
      <c r="B11528" t="s">
        <v>3092</v>
      </c>
      <c r="C11528" t="s">
        <v>14523</v>
      </c>
      <c r="D11528" t="s">
        <v>18155</v>
      </c>
      <c r="E11528" t="s">
        <v>28188</v>
      </c>
      <c r="F11528" t="s">
        <v>31362</v>
      </c>
      <c r="G11528" t="s">
        <v>31369</v>
      </c>
      <c r="H11528" t="s">
        <v>31378</v>
      </c>
      <c r="I11528" t="s">
        <v>31386</v>
      </c>
      <c r="J11528" t="s">
        <v>31578</v>
      </c>
      <c r="K11528" t="s">
        <v>40798</v>
      </c>
      <c r="M11528" t="s">
        <v>44336</v>
      </c>
      <c r="N11528" t="s">
        <v>44905</v>
      </c>
      <c r="O11528" t="s">
        <v>44906</v>
      </c>
      <c r="P11528">
        <v>0</v>
      </c>
      <c r="Q11528">
        <v>0</v>
      </c>
      <c r="R11528" t="s">
        <v>44916</v>
      </c>
      <c r="S11528" t="s">
        <v>45313</v>
      </c>
      <c r="T11528" t="s">
        <v>46392</v>
      </c>
      <c r="U11528" t="s">
        <v>56135</v>
      </c>
      <c r="V11528" t="s">
        <v>60295</v>
      </c>
      <c r="W11528" t="s">
        <v>44336</v>
      </c>
      <c r="X11528" t="s">
        <v>44917</v>
      </c>
    </row>
    <row r="11529" spans="1:24">
      <c r="A11529">
        <f>HYPERLINK("https://www.philgeps.gov.ph/GEPSNONPILOT/Tender/SplashBidNoticeAbstractUI.aspx?menuIndex=3&amp;refID=7063641&amp;Result=3","7063641")</f>
        <v>0</v>
      </c>
      <c r="B11529" t="s">
        <v>1562</v>
      </c>
      <c r="C11529" t="s">
        <v>14524</v>
      </c>
      <c r="D11529" t="s">
        <v>18140</v>
      </c>
      <c r="E11529" t="s">
        <v>28189</v>
      </c>
      <c r="F11529" t="s">
        <v>31362</v>
      </c>
      <c r="G11529" t="s">
        <v>31369</v>
      </c>
      <c r="H11529" t="s">
        <v>31378</v>
      </c>
      <c r="I11529" t="s">
        <v>31386</v>
      </c>
      <c r="J11529" t="s">
        <v>38561</v>
      </c>
      <c r="K11529" t="s">
        <v>40717</v>
      </c>
      <c r="M11529" t="s">
        <v>42614</v>
      </c>
      <c r="N11529" t="s">
        <v>44905</v>
      </c>
      <c r="O11529" t="s">
        <v>44906</v>
      </c>
      <c r="P11529">
        <v>0</v>
      </c>
      <c r="Q11529">
        <v>1</v>
      </c>
      <c r="R11529" t="s">
        <v>44916</v>
      </c>
      <c r="S11529" t="s">
        <v>45313</v>
      </c>
      <c r="T11529" t="s">
        <v>46504</v>
      </c>
      <c r="U11529" t="s">
        <v>56142</v>
      </c>
      <c r="W11529" t="s">
        <v>42614</v>
      </c>
      <c r="X11529" t="s">
        <v>44917</v>
      </c>
    </row>
    <row r="11530" spans="1:24">
      <c r="A11530">
        <f>HYPERLINK("https://www.philgeps.gov.ph/GEPSNONPILOT/Tender/SplashBidNoticeAbstractUI.aspx?menuIndex=3&amp;refID=7063630&amp;Result=3","7063630")</f>
        <v>0</v>
      </c>
      <c r="B11530" t="s">
        <v>3067</v>
      </c>
      <c r="C11530" t="s">
        <v>14525</v>
      </c>
      <c r="D11530" t="s">
        <v>18106</v>
      </c>
      <c r="E11530" t="s">
        <v>28190</v>
      </c>
      <c r="F11530" t="s">
        <v>31362</v>
      </c>
      <c r="G11530" t="s">
        <v>31369</v>
      </c>
      <c r="H11530" t="s">
        <v>31378</v>
      </c>
      <c r="I11530" t="s">
        <v>31386</v>
      </c>
      <c r="J11530" t="s">
        <v>38562</v>
      </c>
      <c r="K11530" t="s">
        <v>40783</v>
      </c>
      <c r="L11530" t="s">
        <v>3067</v>
      </c>
      <c r="M11530" t="s">
        <v>44304</v>
      </c>
      <c r="N11530" t="s">
        <v>44905</v>
      </c>
      <c r="O11530" t="s">
        <v>44906</v>
      </c>
      <c r="P11530">
        <v>0</v>
      </c>
      <c r="Q11530">
        <v>1</v>
      </c>
      <c r="R11530" t="s">
        <v>44916</v>
      </c>
      <c r="S11530" t="s">
        <v>45313</v>
      </c>
      <c r="T11530" t="s">
        <v>46519</v>
      </c>
      <c r="U11530" t="s">
        <v>55951</v>
      </c>
      <c r="W11530" t="s">
        <v>44304</v>
      </c>
      <c r="X11530" t="s">
        <v>44917</v>
      </c>
    </row>
    <row r="11531" spans="1:24">
      <c r="A11531">
        <f>HYPERLINK("https://www.philgeps.gov.ph/GEPSNONPILOT/Tender/SplashBidNoticeAbstractUI.aspx?menuIndex=3&amp;refID=7063609&amp;Result=3","7063609")</f>
        <v>0</v>
      </c>
      <c r="B11531" t="s">
        <v>1652</v>
      </c>
      <c r="C11531" t="s">
        <v>14526</v>
      </c>
      <c r="D11531" t="s">
        <v>18143</v>
      </c>
      <c r="E11531" t="s">
        <v>28191</v>
      </c>
      <c r="F11531" t="s">
        <v>31362</v>
      </c>
      <c r="G11531" t="s">
        <v>31369</v>
      </c>
      <c r="H11531" t="s">
        <v>31378</v>
      </c>
      <c r="I11531" t="s">
        <v>31386</v>
      </c>
      <c r="J11531" t="s">
        <v>38563</v>
      </c>
      <c r="K11531" t="s">
        <v>40796</v>
      </c>
      <c r="M11531" t="s">
        <v>42717</v>
      </c>
      <c r="N11531" t="s">
        <v>44905</v>
      </c>
      <c r="O11531" t="s">
        <v>44906</v>
      </c>
      <c r="P11531">
        <v>0</v>
      </c>
      <c r="Q11531">
        <v>4</v>
      </c>
      <c r="R11531" t="s">
        <v>44916</v>
      </c>
      <c r="S11531" t="s">
        <v>45313</v>
      </c>
      <c r="T11531" t="s">
        <v>46413</v>
      </c>
      <c r="U11531" t="s">
        <v>56143</v>
      </c>
      <c r="W11531" t="s">
        <v>42717</v>
      </c>
      <c r="X11531" t="s">
        <v>44917</v>
      </c>
    </row>
    <row r="11532" spans="1:24">
      <c r="A11532">
        <f>HYPERLINK("https://www.philgeps.gov.ph/GEPSNONPILOT/Tender/SplashBidNoticeAbstractUI.aspx?menuIndex=3&amp;refID=7064212&amp;Result=3","7064212")</f>
        <v>0</v>
      </c>
      <c r="B11532" t="s">
        <v>3092</v>
      </c>
      <c r="C11532" t="s">
        <v>14527</v>
      </c>
      <c r="D11532" t="s">
        <v>18155</v>
      </c>
      <c r="E11532" t="s">
        <v>28192</v>
      </c>
      <c r="F11532" t="s">
        <v>31362</v>
      </c>
      <c r="G11532" t="s">
        <v>31369</v>
      </c>
      <c r="H11532" t="s">
        <v>31378</v>
      </c>
      <c r="I11532" t="s">
        <v>31386</v>
      </c>
      <c r="J11532" t="s">
        <v>31586</v>
      </c>
      <c r="K11532" t="s">
        <v>40795</v>
      </c>
      <c r="M11532" t="s">
        <v>44336</v>
      </c>
      <c r="N11532" t="s">
        <v>44905</v>
      </c>
      <c r="O11532" t="s">
        <v>44906</v>
      </c>
      <c r="P11532">
        <v>0</v>
      </c>
      <c r="Q11532">
        <v>0</v>
      </c>
      <c r="R11532" t="s">
        <v>44916</v>
      </c>
      <c r="S11532" t="s">
        <v>45313</v>
      </c>
      <c r="T11532" t="s">
        <v>46392</v>
      </c>
      <c r="U11532" t="s">
        <v>56135</v>
      </c>
      <c r="V11532" t="s">
        <v>60295</v>
      </c>
      <c r="W11532" t="s">
        <v>44336</v>
      </c>
      <c r="X11532" t="s">
        <v>44917</v>
      </c>
    </row>
    <row r="11533" spans="1:24">
      <c r="A11533">
        <f>HYPERLINK("https://www.philgeps.gov.ph/GEPSNONPILOT/Tender/SplashBidNoticeAbstractUI.aspx?menuIndex=3&amp;refID=7063707&amp;Result=3","7063707")</f>
        <v>0</v>
      </c>
      <c r="B11533" t="s">
        <v>781</v>
      </c>
      <c r="C11533" t="s">
        <v>14528</v>
      </c>
      <c r="D11533" t="s">
        <v>18156</v>
      </c>
      <c r="E11533" t="s">
        <v>28193</v>
      </c>
      <c r="F11533" t="s">
        <v>31362</v>
      </c>
      <c r="G11533" t="s">
        <v>31369</v>
      </c>
      <c r="H11533" t="s">
        <v>15799</v>
      </c>
      <c r="I11533" t="s">
        <v>31380</v>
      </c>
      <c r="J11533" t="s">
        <v>38564</v>
      </c>
      <c r="K11533" t="s">
        <v>40661</v>
      </c>
      <c r="M11533" t="s">
        <v>41749</v>
      </c>
      <c r="N11533" t="s">
        <v>44905</v>
      </c>
      <c r="O11533" t="s">
        <v>44906</v>
      </c>
      <c r="P11533">
        <v>0</v>
      </c>
      <c r="Q11533">
        <v>5</v>
      </c>
      <c r="R11533" t="s">
        <v>44916</v>
      </c>
      <c r="S11533" t="s">
        <v>45313</v>
      </c>
      <c r="T11533" t="s">
        <v>46418</v>
      </c>
      <c r="U11533" t="s">
        <v>56144</v>
      </c>
      <c r="W11533" t="s">
        <v>41749</v>
      </c>
      <c r="X11533" t="s">
        <v>44917</v>
      </c>
    </row>
    <row r="11534" spans="1:24">
      <c r="A11534">
        <f>HYPERLINK("https://www.philgeps.gov.ph/GEPSNONPILOT/Tender/SplashBidNoticeAbstractUI.aspx?menuIndex=3&amp;refID=7063538&amp;Result=3","7063538")</f>
        <v>0</v>
      </c>
      <c r="B11534" t="s">
        <v>1263</v>
      </c>
      <c r="C11534" t="s">
        <v>14529</v>
      </c>
      <c r="D11534" t="s">
        <v>18106</v>
      </c>
      <c r="E11534" t="s">
        <v>28194</v>
      </c>
      <c r="F11534" t="s">
        <v>31362</v>
      </c>
      <c r="G11534" t="s">
        <v>31369</v>
      </c>
      <c r="H11534" t="s">
        <v>31378</v>
      </c>
      <c r="I11534" t="s">
        <v>31386</v>
      </c>
      <c r="J11534" t="s">
        <v>32549</v>
      </c>
      <c r="K11534" t="s">
        <v>40665</v>
      </c>
      <c r="M11534" t="s">
        <v>42280</v>
      </c>
      <c r="N11534" t="s">
        <v>44905</v>
      </c>
      <c r="O11534" t="s">
        <v>44906</v>
      </c>
      <c r="P11534">
        <v>0</v>
      </c>
      <c r="Q11534">
        <v>1</v>
      </c>
      <c r="R11534" t="s">
        <v>44916</v>
      </c>
      <c r="S11534" t="s">
        <v>45313</v>
      </c>
      <c r="T11534" t="s">
        <v>46417</v>
      </c>
      <c r="U11534" t="s">
        <v>56145</v>
      </c>
      <c r="W11534" t="s">
        <v>42280</v>
      </c>
      <c r="X11534" t="s">
        <v>44917</v>
      </c>
    </row>
    <row r="11535" spans="1:24">
      <c r="A11535">
        <f>HYPERLINK("https://www.philgeps.gov.ph/GEPSNONPILOT/Tender/SplashBidNoticeAbstractUI.aspx?menuIndex=3&amp;refID=7064232&amp;Result=3","7064232")</f>
        <v>0</v>
      </c>
      <c r="B11535" t="s">
        <v>2864</v>
      </c>
      <c r="C11535" t="s">
        <v>14530</v>
      </c>
      <c r="D11535" t="s">
        <v>18135</v>
      </c>
      <c r="E11535" t="s">
        <v>28195</v>
      </c>
      <c r="F11535" t="s">
        <v>31362</v>
      </c>
      <c r="G11535" t="s">
        <v>31369</v>
      </c>
      <c r="H11535" t="s">
        <v>15799</v>
      </c>
      <c r="I11535" t="s">
        <v>3815</v>
      </c>
      <c r="J11535" t="s">
        <v>38565</v>
      </c>
      <c r="K11535" t="s">
        <v>40665</v>
      </c>
      <c r="M11535" t="s">
        <v>44068</v>
      </c>
      <c r="N11535" t="s">
        <v>44905</v>
      </c>
      <c r="O11535" t="s">
        <v>44906</v>
      </c>
      <c r="P11535">
        <v>0</v>
      </c>
      <c r="Q11535">
        <v>2</v>
      </c>
      <c r="R11535" t="s">
        <v>44916</v>
      </c>
      <c r="S11535" t="s">
        <v>45313</v>
      </c>
      <c r="T11535" t="s">
        <v>46470</v>
      </c>
      <c r="U11535" t="s">
        <v>55575</v>
      </c>
      <c r="W11535" t="s">
        <v>44068</v>
      </c>
      <c r="X11535" t="s">
        <v>44917</v>
      </c>
    </row>
    <row r="11536" spans="1:24">
      <c r="A11536">
        <f>HYPERLINK("https://www.philgeps.gov.ph/GEPSNONPILOT/Tender/SplashBidNoticeAbstractUI.aspx?menuIndex=3&amp;refID=7063616&amp;Result=3","7063616")</f>
        <v>0</v>
      </c>
      <c r="B11536" t="s">
        <v>2856</v>
      </c>
      <c r="C11536" t="s">
        <v>14531</v>
      </c>
      <c r="D11536" t="s">
        <v>18113</v>
      </c>
      <c r="E11536" t="s">
        <v>28196</v>
      </c>
      <c r="F11536" t="s">
        <v>31362</v>
      </c>
      <c r="G11536" t="s">
        <v>31369</v>
      </c>
      <c r="H11536" t="s">
        <v>15799</v>
      </c>
      <c r="I11536" t="s">
        <v>31409</v>
      </c>
      <c r="J11536" t="s">
        <v>31981</v>
      </c>
      <c r="K11536" t="s">
        <v>40661</v>
      </c>
      <c r="M11536" t="s">
        <v>44059</v>
      </c>
      <c r="N11536" t="s">
        <v>44905</v>
      </c>
      <c r="O11536" t="s">
        <v>44906</v>
      </c>
      <c r="P11536">
        <v>0</v>
      </c>
      <c r="Q11536">
        <v>1</v>
      </c>
      <c r="R11536" t="s">
        <v>44916</v>
      </c>
      <c r="S11536" t="s">
        <v>45313</v>
      </c>
      <c r="T11536" t="s">
        <v>46561</v>
      </c>
      <c r="U11536" t="s">
        <v>56146</v>
      </c>
      <c r="W11536" t="s">
        <v>44059</v>
      </c>
      <c r="X11536" t="s">
        <v>44917</v>
      </c>
    </row>
    <row r="11537" spans="1:24">
      <c r="A11537">
        <f>HYPERLINK("https://www.philgeps.gov.ph/GEPSNONPILOT/Tender/SplashBidNoticeAbstractUI.aspx?menuIndex=3&amp;refID=7064317&amp;Result=3","7064317")</f>
        <v>0</v>
      </c>
      <c r="B11537" t="s">
        <v>3092</v>
      </c>
      <c r="C11537" t="s">
        <v>14532</v>
      </c>
      <c r="D11537" t="s">
        <v>18155</v>
      </c>
      <c r="E11537" t="s">
        <v>28197</v>
      </c>
      <c r="F11537" t="s">
        <v>31362</v>
      </c>
      <c r="G11537" t="s">
        <v>31369</v>
      </c>
      <c r="H11537" t="s">
        <v>31378</v>
      </c>
      <c r="I11537" t="s">
        <v>31386</v>
      </c>
      <c r="J11537" t="s">
        <v>31536</v>
      </c>
      <c r="K11537" t="s">
        <v>40794</v>
      </c>
      <c r="M11537" t="s">
        <v>44336</v>
      </c>
      <c r="N11537" t="s">
        <v>44905</v>
      </c>
      <c r="O11537" t="s">
        <v>44906</v>
      </c>
      <c r="P11537">
        <v>0</v>
      </c>
      <c r="Q11537">
        <v>0</v>
      </c>
      <c r="R11537" t="s">
        <v>44916</v>
      </c>
      <c r="S11537" t="s">
        <v>45313</v>
      </c>
      <c r="T11537" t="s">
        <v>46392</v>
      </c>
      <c r="U11537" t="s">
        <v>56147</v>
      </c>
      <c r="V11537" t="s">
        <v>60295</v>
      </c>
      <c r="W11537" t="s">
        <v>44336</v>
      </c>
      <c r="X11537" t="s">
        <v>44917</v>
      </c>
    </row>
    <row r="11538" spans="1:24">
      <c r="A11538">
        <f>HYPERLINK("https://www.philgeps.gov.ph/GEPSNONPILOT/Tender/SplashBidNoticeAbstractUI.aspx?menuIndex=3&amp;refID=7064313&amp;Result=3","7064313")</f>
        <v>0</v>
      </c>
      <c r="B11538" t="s">
        <v>3092</v>
      </c>
      <c r="C11538" t="s">
        <v>14533</v>
      </c>
      <c r="D11538" t="s">
        <v>18155</v>
      </c>
      <c r="E11538" t="s">
        <v>28198</v>
      </c>
      <c r="F11538" t="s">
        <v>31362</v>
      </c>
      <c r="G11538" t="s">
        <v>31369</v>
      </c>
      <c r="H11538" t="s">
        <v>31378</v>
      </c>
      <c r="I11538" t="s">
        <v>31386</v>
      </c>
      <c r="J11538" t="s">
        <v>31536</v>
      </c>
      <c r="K11538" t="s">
        <v>40681</v>
      </c>
      <c r="M11538" t="s">
        <v>44336</v>
      </c>
      <c r="N11538" t="s">
        <v>44905</v>
      </c>
      <c r="O11538" t="s">
        <v>44906</v>
      </c>
      <c r="P11538">
        <v>0</v>
      </c>
      <c r="Q11538">
        <v>0</v>
      </c>
      <c r="R11538" t="s">
        <v>44916</v>
      </c>
      <c r="S11538" t="s">
        <v>45313</v>
      </c>
      <c r="T11538" t="s">
        <v>46392</v>
      </c>
      <c r="U11538" t="s">
        <v>56148</v>
      </c>
      <c r="V11538" t="s">
        <v>60295</v>
      </c>
      <c r="W11538" t="s">
        <v>44336</v>
      </c>
      <c r="X11538" t="s">
        <v>44917</v>
      </c>
    </row>
    <row r="11539" spans="1:24">
      <c r="A11539">
        <f>HYPERLINK("https://www.philgeps.gov.ph/GEPSNONPILOT/Tender/SplashBidNoticeAbstractUI.aspx?menuIndex=3&amp;refID=7064307&amp;Result=3","7064307")</f>
        <v>0</v>
      </c>
      <c r="B11539" t="s">
        <v>3097</v>
      </c>
      <c r="C11539" t="s">
        <v>14534</v>
      </c>
      <c r="D11539" t="s">
        <v>18108</v>
      </c>
      <c r="E11539" t="s">
        <v>28199</v>
      </c>
      <c r="F11539" t="s">
        <v>31362</v>
      </c>
      <c r="G11539" t="s">
        <v>31368</v>
      </c>
      <c r="H11539" t="s">
        <v>15799</v>
      </c>
      <c r="I11539" t="s">
        <v>31385</v>
      </c>
      <c r="J11539" t="s">
        <v>38566</v>
      </c>
      <c r="K11539" t="s">
        <v>40662</v>
      </c>
      <c r="M11539" t="s">
        <v>44342</v>
      </c>
      <c r="N11539" t="s">
        <v>44905</v>
      </c>
      <c r="O11539" t="s">
        <v>44906</v>
      </c>
      <c r="Q11539">
        <v>12</v>
      </c>
      <c r="R11539" t="s">
        <v>44916</v>
      </c>
      <c r="S11539" t="s">
        <v>45377</v>
      </c>
      <c r="T11539" t="s">
        <v>46447</v>
      </c>
      <c r="U11539" t="s">
        <v>56149</v>
      </c>
      <c r="W11539" t="s">
        <v>44342</v>
      </c>
      <c r="X11539" t="s">
        <v>44917</v>
      </c>
    </row>
    <row r="11540" spans="1:24">
      <c r="A11540">
        <f>HYPERLINK("https://www.philgeps.gov.ph/GEPSNONPILOT/Tender/SplashBidNoticeAbstractUI.aspx?menuIndex=3&amp;refID=7064139&amp;Result=3","7064139")</f>
        <v>0</v>
      </c>
      <c r="B11540" t="s">
        <v>2123</v>
      </c>
      <c r="C11540" t="s">
        <v>14535</v>
      </c>
      <c r="D11540" t="s">
        <v>18136</v>
      </c>
      <c r="E11540" t="s">
        <v>28200</v>
      </c>
      <c r="F11540" t="s">
        <v>31362</v>
      </c>
      <c r="G11540" t="s">
        <v>31369</v>
      </c>
      <c r="H11540" t="s">
        <v>15799</v>
      </c>
      <c r="I11540" t="s">
        <v>7090</v>
      </c>
      <c r="J11540" t="s">
        <v>31723</v>
      </c>
      <c r="K11540" t="s">
        <v>40665</v>
      </c>
      <c r="M11540" t="s">
        <v>43251</v>
      </c>
      <c r="N11540" t="s">
        <v>44905</v>
      </c>
      <c r="O11540" t="s">
        <v>44906</v>
      </c>
      <c r="P11540">
        <v>0</v>
      </c>
      <c r="Q11540">
        <v>0</v>
      </c>
      <c r="R11540" t="s">
        <v>44916</v>
      </c>
      <c r="S11540" t="s">
        <v>45313</v>
      </c>
      <c r="T11540" t="s">
        <v>46472</v>
      </c>
      <c r="U11540" t="s">
        <v>52573</v>
      </c>
      <c r="W11540" t="s">
        <v>43251</v>
      </c>
      <c r="X11540" t="s">
        <v>44917</v>
      </c>
    </row>
    <row r="11541" spans="1:24">
      <c r="A11541">
        <f>HYPERLINK("https://www.philgeps.gov.ph/GEPSNONPILOT/Tender/SplashBidNoticeAbstractUI.aspx?menuIndex=3&amp;refID=7064303&amp;Result=3","7064303")</f>
        <v>0</v>
      </c>
      <c r="B11541" t="s">
        <v>1883</v>
      </c>
      <c r="C11541" t="s">
        <v>14536</v>
      </c>
      <c r="D11541" t="s">
        <v>18108</v>
      </c>
      <c r="E11541" t="s">
        <v>28201</v>
      </c>
      <c r="F11541" t="s">
        <v>31362</v>
      </c>
      <c r="G11541" t="s">
        <v>31369</v>
      </c>
      <c r="H11541" t="s">
        <v>31378</v>
      </c>
      <c r="I11541" t="s">
        <v>31386</v>
      </c>
      <c r="J11541" t="s">
        <v>38567</v>
      </c>
      <c r="K11541" t="s">
        <v>40683</v>
      </c>
      <c r="M11541" t="s">
        <v>42976</v>
      </c>
      <c r="N11541" t="s">
        <v>44905</v>
      </c>
      <c r="O11541" t="s">
        <v>44906</v>
      </c>
      <c r="Q11541">
        <v>11</v>
      </c>
      <c r="R11541" t="s">
        <v>44916</v>
      </c>
      <c r="S11541" t="s">
        <v>45378</v>
      </c>
      <c r="T11541" t="s">
        <v>46504</v>
      </c>
      <c r="U11541" t="s">
        <v>56150</v>
      </c>
      <c r="W11541" t="s">
        <v>42976</v>
      </c>
      <c r="X11541" t="s">
        <v>44917</v>
      </c>
    </row>
    <row r="11542" spans="1:24">
      <c r="A11542">
        <f>HYPERLINK("https://www.philgeps.gov.ph/GEPSNONPILOT/Tender/SplashBidNoticeAbstractUI.aspx?menuIndex=3&amp;refID=7064159&amp;Result=3","7064159")</f>
        <v>0</v>
      </c>
      <c r="B11542" t="s">
        <v>3092</v>
      </c>
      <c r="C11542" t="s">
        <v>14537</v>
      </c>
      <c r="D11542" t="s">
        <v>18155</v>
      </c>
      <c r="E11542" t="s">
        <v>28202</v>
      </c>
      <c r="F11542" t="s">
        <v>31362</v>
      </c>
      <c r="G11542" t="s">
        <v>31369</v>
      </c>
      <c r="H11542" t="s">
        <v>31378</v>
      </c>
      <c r="I11542" t="s">
        <v>31386</v>
      </c>
      <c r="J11542" t="s">
        <v>31578</v>
      </c>
      <c r="K11542" t="s">
        <v>40675</v>
      </c>
      <c r="M11542" t="s">
        <v>44336</v>
      </c>
      <c r="N11542" t="s">
        <v>44905</v>
      </c>
      <c r="O11542" t="s">
        <v>44906</v>
      </c>
      <c r="P11542">
        <v>0</v>
      </c>
      <c r="Q11542">
        <v>0</v>
      </c>
      <c r="R11542" t="s">
        <v>44916</v>
      </c>
      <c r="S11542" t="s">
        <v>45313</v>
      </c>
      <c r="T11542" t="s">
        <v>46392</v>
      </c>
      <c r="U11542" t="s">
        <v>56151</v>
      </c>
      <c r="V11542" t="s">
        <v>60295</v>
      </c>
      <c r="W11542" t="s">
        <v>44336</v>
      </c>
      <c r="X11542" t="s">
        <v>44917</v>
      </c>
    </row>
    <row r="11543" spans="1:24">
      <c r="A11543">
        <f>HYPERLINK("https://www.philgeps.gov.ph/GEPSNONPILOT/Tender/SplashBidNoticeAbstractUI.aspx?menuIndex=3&amp;refID=7064299&amp;Result=3","7064299")</f>
        <v>0</v>
      </c>
      <c r="B11543" t="s">
        <v>2920</v>
      </c>
      <c r="C11543" t="s">
        <v>5725</v>
      </c>
      <c r="D11543" t="s">
        <v>18167</v>
      </c>
      <c r="E11543" t="s">
        <v>18201</v>
      </c>
      <c r="F11543" t="s">
        <v>31362</v>
      </c>
      <c r="G11543" t="s">
        <v>31369</v>
      </c>
      <c r="H11543" t="s">
        <v>31378</v>
      </c>
      <c r="I11543" t="s">
        <v>31386</v>
      </c>
      <c r="J11543" t="s">
        <v>31577</v>
      </c>
      <c r="K11543" t="s">
        <v>40696</v>
      </c>
      <c r="M11543" t="s">
        <v>44136</v>
      </c>
      <c r="N11543" t="s">
        <v>44905</v>
      </c>
      <c r="O11543" t="s">
        <v>44906</v>
      </c>
      <c r="P11543">
        <v>0</v>
      </c>
      <c r="Q11543">
        <v>0</v>
      </c>
      <c r="R11543" t="s">
        <v>44916</v>
      </c>
      <c r="S11543" t="s">
        <v>45313</v>
      </c>
      <c r="T11543" t="s">
        <v>46471</v>
      </c>
      <c r="U11543" t="s">
        <v>56152</v>
      </c>
      <c r="V11543" t="s">
        <v>60190</v>
      </c>
      <c r="W11543" t="s">
        <v>44136</v>
      </c>
      <c r="X11543" t="s">
        <v>44917</v>
      </c>
    </row>
    <row r="11544" spans="1:24">
      <c r="A11544">
        <f>HYPERLINK("https://www.philgeps.gov.ph/GEPSNONPILOT/Tender/SplashBidNoticeAbstractUI.aspx?menuIndex=3&amp;refID=7064306&amp;Result=3","7064306")</f>
        <v>0</v>
      </c>
      <c r="B11544" t="s">
        <v>1883</v>
      </c>
      <c r="C11544" t="s">
        <v>14538</v>
      </c>
      <c r="D11544" t="s">
        <v>18108</v>
      </c>
      <c r="E11544" t="s">
        <v>28203</v>
      </c>
      <c r="F11544" t="s">
        <v>31362</v>
      </c>
      <c r="G11544" t="s">
        <v>31369</v>
      </c>
      <c r="H11544" t="s">
        <v>31378</v>
      </c>
      <c r="I11544" t="s">
        <v>31386</v>
      </c>
      <c r="J11544" t="s">
        <v>38568</v>
      </c>
      <c r="K11544" t="s">
        <v>40684</v>
      </c>
      <c r="M11544" t="s">
        <v>42976</v>
      </c>
      <c r="N11544" t="s">
        <v>44905</v>
      </c>
      <c r="O11544" t="s">
        <v>44906</v>
      </c>
      <c r="Q11544">
        <v>18</v>
      </c>
      <c r="R11544" t="s">
        <v>44916</v>
      </c>
      <c r="S11544" t="s">
        <v>45379</v>
      </c>
      <c r="T11544" t="s">
        <v>46504</v>
      </c>
      <c r="U11544" t="s">
        <v>56153</v>
      </c>
      <c r="W11544" t="s">
        <v>42976</v>
      </c>
      <c r="X11544" t="s">
        <v>44917</v>
      </c>
    </row>
    <row r="11545" spans="1:24">
      <c r="A11545">
        <f>HYPERLINK("https://www.philgeps.gov.ph/GEPSNONPILOT/Tender/SplashBidNoticeAbstractUI.aspx?menuIndex=3&amp;refID=7064295&amp;Result=3","7064295")</f>
        <v>0</v>
      </c>
      <c r="B11545" t="s">
        <v>3092</v>
      </c>
      <c r="C11545" t="s">
        <v>14539</v>
      </c>
      <c r="D11545" t="s">
        <v>18155</v>
      </c>
      <c r="E11545" t="s">
        <v>28204</v>
      </c>
      <c r="F11545" t="s">
        <v>31362</v>
      </c>
      <c r="G11545" t="s">
        <v>31369</v>
      </c>
      <c r="H11545" t="s">
        <v>31378</v>
      </c>
      <c r="I11545" t="s">
        <v>31386</v>
      </c>
      <c r="J11545" t="s">
        <v>31578</v>
      </c>
      <c r="K11545" t="s">
        <v>40665</v>
      </c>
      <c r="M11545" t="s">
        <v>44336</v>
      </c>
      <c r="N11545" t="s">
        <v>44905</v>
      </c>
      <c r="O11545" t="s">
        <v>44906</v>
      </c>
      <c r="P11545">
        <v>0</v>
      </c>
      <c r="Q11545">
        <v>0</v>
      </c>
      <c r="R11545" t="s">
        <v>44916</v>
      </c>
      <c r="S11545" t="s">
        <v>45313</v>
      </c>
      <c r="T11545" t="s">
        <v>46392</v>
      </c>
      <c r="U11545" t="s">
        <v>56154</v>
      </c>
      <c r="V11545" t="s">
        <v>60295</v>
      </c>
      <c r="W11545" t="s">
        <v>44336</v>
      </c>
      <c r="X11545" t="s">
        <v>44917</v>
      </c>
    </row>
    <row r="11546" spans="1:24">
      <c r="A11546">
        <f>HYPERLINK("https://www.philgeps.gov.ph/GEPSNONPILOT/Tender/SplashBidNoticeAbstractUI.aspx?menuIndex=3&amp;refID=7064292&amp;Result=3","7064292")</f>
        <v>0</v>
      </c>
      <c r="B11546" t="s">
        <v>3092</v>
      </c>
      <c r="C11546" t="s">
        <v>14540</v>
      </c>
      <c r="D11546" t="s">
        <v>18155</v>
      </c>
      <c r="E11546" t="s">
        <v>28205</v>
      </c>
      <c r="F11546" t="s">
        <v>31362</v>
      </c>
      <c r="G11546" t="s">
        <v>31369</v>
      </c>
      <c r="H11546" t="s">
        <v>31378</v>
      </c>
      <c r="I11546" t="s">
        <v>31386</v>
      </c>
      <c r="J11546" t="s">
        <v>31578</v>
      </c>
      <c r="K11546" t="s">
        <v>40718</v>
      </c>
      <c r="M11546" t="s">
        <v>44336</v>
      </c>
      <c r="N11546" t="s">
        <v>44905</v>
      </c>
      <c r="O11546" t="s">
        <v>44906</v>
      </c>
      <c r="P11546">
        <v>0</v>
      </c>
      <c r="Q11546">
        <v>0</v>
      </c>
      <c r="R11546" t="s">
        <v>44916</v>
      </c>
      <c r="S11546" t="s">
        <v>45313</v>
      </c>
      <c r="T11546" t="s">
        <v>46392</v>
      </c>
      <c r="U11546" t="s">
        <v>56155</v>
      </c>
      <c r="V11546" t="s">
        <v>60295</v>
      </c>
      <c r="W11546" t="s">
        <v>44336</v>
      </c>
      <c r="X11546" t="s">
        <v>44917</v>
      </c>
    </row>
    <row r="11547" spans="1:24">
      <c r="A11547">
        <f>HYPERLINK("https://www.philgeps.gov.ph/GEPSNONPILOT/Tender/SplashBidNoticeAbstractUI.aspx?menuIndex=3&amp;refID=7064284&amp;Result=3","7064284")</f>
        <v>0</v>
      </c>
      <c r="B11547" t="s">
        <v>3092</v>
      </c>
      <c r="C11547" t="s">
        <v>14541</v>
      </c>
      <c r="D11547" t="s">
        <v>18155</v>
      </c>
      <c r="E11547" t="s">
        <v>28206</v>
      </c>
      <c r="F11547" t="s">
        <v>31362</v>
      </c>
      <c r="G11547" t="s">
        <v>31369</v>
      </c>
      <c r="H11547" t="s">
        <v>31378</v>
      </c>
      <c r="I11547" t="s">
        <v>31386</v>
      </c>
      <c r="J11547" t="s">
        <v>31578</v>
      </c>
      <c r="K11547" t="s">
        <v>40665</v>
      </c>
      <c r="M11547" t="s">
        <v>44336</v>
      </c>
      <c r="N11547" t="s">
        <v>44905</v>
      </c>
      <c r="O11547" t="s">
        <v>44906</v>
      </c>
      <c r="P11547">
        <v>0</v>
      </c>
      <c r="Q11547">
        <v>0</v>
      </c>
      <c r="R11547" t="s">
        <v>44916</v>
      </c>
      <c r="S11547" t="s">
        <v>45313</v>
      </c>
      <c r="T11547" t="s">
        <v>46392</v>
      </c>
      <c r="U11547" t="s">
        <v>56156</v>
      </c>
      <c r="V11547" t="s">
        <v>60295</v>
      </c>
      <c r="W11547" t="s">
        <v>44336</v>
      </c>
      <c r="X11547" t="s">
        <v>44917</v>
      </c>
    </row>
    <row r="11548" spans="1:24">
      <c r="A11548">
        <f>HYPERLINK("https://www.philgeps.gov.ph/GEPSNONPILOT/Tender/SplashBidNoticeAbstractUI.aspx?menuIndex=3&amp;refID=7063600&amp;Result=3","7063600")</f>
        <v>0</v>
      </c>
      <c r="B11548" t="s">
        <v>3067</v>
      </c>
      <c r="C11548" t="s">
        <v>14542</v>
      </c>
      <c r="D11548" t="s">
        <v>18106</v>
      </c>
      <c r="E11548" t="s">
        <v>28207</v>
      </c>
      <c r="F11548" t="s">
        <v>31362</v>
      </c>
      <c r="G11548" t="s">
        <v>31369</v>
      </c>
      <c r="H11548" t="s">
        <v>31378</v>
      </c>
      <c r="I11548" t="s">
        <v>31386</v>
      </c>
      <c r="J11548" t="s">
        <v>38481</v>
      </c>
      <c r="K11548" t="s">
        <v>40783</v>
      </c>
      <c r="L11548" t="s">
        <v>3067</v>
      </c>
      <c r="M11548" t="s">
        <v>44304</v>
      </c>
      <c r="N11548" t="s">
        <v>44905</v>
      </c>
      <c r="O11548" t="s">
        <v>44906</v>
      </c>
      <c r="P11548">
        <v>0</v>
      </c>
      <c r="Q11548">
        <v>0</v>
      </c>
      <c r="R11548" t="s">
        <v>44916</v>
      </c>
      <c r="S11548" t="s">
        <v>45313</v>
      </c>
      <c r="T11548" t="s">
        <v>46519</v>
      </c>
      <c r="U11548" t="s">
        <v>55951</v>
      </c>
      <c r="W11548" t="s">
        <v>44304</v>
      </c>
      <c r="X11548" t="s">
        <v>44917</v>
      </c>
    </row>
    <row r="11549" spans="1:24">
      <c r="A11549">
        <f>HYPERLINK("https://www.philgeps.gov.ph/GEPSNONPILOT/Tender/SplashBidNoticeAbstractUI.aspx?menuIndex=3&amp;refID=7064280&amp;Result=3","7064280")</f>
        <v>0</v>
      </c>
      <c r="B11549" t="s">
        <v>3092</v>
      </c>
      <c r="C11549" t="s">
        <v>14543</v>
      </c>
      <c r="D11549" t="s">
        <v>18155</v>
      </c>
      <c r="E11549" t="s">
        <v>28208</v>
      </c>
      <c r="F11549" t="s">
        <v>31362</v>
      </c>
      <c r="G11549" t="s">
        <v>31369</v>
      </c>
      <c r="H11549" t="s">
        <v>31378</v>
      </c>
      <c r="I11549" t="s">
        <v>31386</v>
      </c>
      <c r="J11549" t="s">
        <v>31531</v>
      </c>
      <c r="K11549" t="s">
        <v>40788</v>
      </c>
      <c r="M11549" t="s">
        <v>44336</v>
      </c>
      <c r="N11549" t="s">
        <v>44905</v>
      </c>
      <c r="O11549" t="s">
        <v>44906</v>
      </c>
      <c r="P11549">
        <v>0</v>
      </c>
      <c r="Q11549">
        <v>0</v>
      </c>
      <c r="R11549" t="s">
        <v>44916</v>
      </c>
      <c r="S11549" t="s">
        <v>45313</v>
      </c>
      <c r="T11549" t="s">
        <v>46392</v>
      </c>
      <c r="U11549" t="s">
        <v>56128</v>
      </c>
      <c r="V11549" t="s">
        <v>60295</v>
      </c>
      <c r="W11549" t="s">
        <v>44336</v>
      </c>
      <c r="X11549" t="s">
        <v>44917</v>
      </c>
    </row>
    <row r="11550" spans="1:24">
      <c r="A11550">
        <f>HYPERLINK("https://www.philgeps.gov.ph/GEPSNONPILOT/Tender/SplashBidNoticeAbstractUI.aspx?menuIndex=3&amp;refID=7064300&amp;Result=3","7064300")</f>
        <v>0</v>
      </c>
      <c r="B11550" t="s">
        <v>3092</v>
      </c>
      <c r="C11550" t="s">
        <v>14544</v>
      </c>
      <c r="D11550" t="s">
        <v>18155</v>
      </c>
      <c r="E11550" t="s">
        <v>28209</v>
      </c>
      <c r="F11550" t="s">
        <v>31362</v>
      </c>
      <c r="G11550" t="s">
        <v>31369</v>
      </c>
      <c r="H11550" t="s">
        <v>31378</v>
      </c>
      <c r="I11550" t="s">
        <v>31386</v>
      </c>
      <c r="J11550" t="s">
        <v>31531</v>
      </c>
      <c r="K11550" t="s">
        <v>40718</v>
      </c>
      <c r="M11550" t="s">
        <v>44336</v>
      </c>
      <c r="N11550" t="s">
        <v>44905</v>
      </c>
      <c r="O11550" t="s">
        <v>44906</v>
      </c>
      <c r="P11550">
        <v>0</v>
      </c>
      <c r="Q11550">
        <v>0</v>
      </c>
      <c r="R11550" t="s">
        <v>44916</v>
      </c>
      <c r="S11550" t="s">
        <v>45313</v>
      </c>
      <c r="T11550" t="s">
        <v>46392</v>
      </c>
      <c r="U11550" t="s">
        <v>56155</v>
      </c>
      <c r="V11550" t="s">
        <v>60295</v>
      </c>
      <c r="W11550" t="s">
        <v>44336</v>
      </c>
      <c r="X11550" t="s">
        <v>44917</v>
      </c>
    </row>
    <row r="11551" spans="1:24">
      <c r="A11551">
        <f>HYPERLINK("https://www.philgeps.gov.ph/GEPSNONPILOT/Tender/SplashBidNoticeAbstractUI.aspx?menuIndex=3&amp;refID=7064320&amp;Result=3","7064320")</f>
        <v>0</v>
      </c>
      <c r="B11551" t="s">
        <v>1010</v>
      </c>
      <c r="C11551" t="s">
        <v>14545</v>
      </c>
      <c r="D11551" t="s">
        <v>18147</v>
      </c>
      <c r="E11551" t="s">
        <v>28210</v>
      </c>
      <c r="F11551" t="s">
        <v>31362</v>
      </c>
      <c r="G11551" t="s">
        <v>31369</v>
      </c>
      <c r="H11551" t="s">
        <v>31378</v>
      </c>
      <c r="I11551" t="s">
        <v>31386</v>
      </c>
      <c r="J11551" t="s">
        <v>38569</v>
      </c>
      <c r="K11551" t="s">
        <v>40753</v>
      </c>
      <c r="L11551" t="s">
        <v>1010</v>
      </c>
      <c r="M11551" t="s">
        <v>42007</v>
      </c>
      <c r="N11551" t="s">
        <v>44905</v>
      </c>
      <c r="O11551" t="s">
        <v>44906</v>
      </c>
      <c r="P11551">
        <v>0</v>
      </c>
      <c r="Q11551">
        <v>0</v>
      </c>
      <c r="R11551" t="s">
        <v>44916</v>
      </c>
      <c r="S11551" t="s">
        <v>45313</v>
      </c>
      <c r="T11551" t="s">
        <v>46504</v>
      </c>
      <c r="U11551" t="s">
        <v>56157</v>
      </c>
      <c r="W11551" t="s">
        <v>42007</v>
      </c>
      <c r="X11551" t="s">
        <v>44917</v>
      </c>
    </row>
    <row r="11552" spans="1:24">
      <c r="A11552">
        <f>HYPERLINK("https://www.philgeps.gov.ph/GEPSNONPILOT/Tender/SplashBidNoticeAbstractUI.aspx?menuIndex=3&amp;refID=7063623&amp;Result=3","7063623")</f>
        <v>0</v>
      </c>
      <c r="B11552" t="s">
        <v>424</v>
      </c>
      <c r="C11552" t="s">
        <v>14546</v>
      </c>
      <c r="D11552" t="s">
        <v>18168</v>
      </c>
      <c r="E11552" t="s">
        <v>14546</v>
      </c>
      <c r="F11552" t="s">
        <v>31362</v>
      </c>
      <c r="G11552" t="s">
        <v>31370</v>
      </c>
      <c r="H11552" t="s">
        <v>15799</v>
      </c>
      <c r="I11552" t="s">
        <v>31408</v>
      </c>
      <c r="J11552" t="s">
        <v>38570</v>
      </c>
      <c r="K11552" t="s">
        <v>40665</v>
      </c>
      <c r="M11552" t="s">
        <v>44307</v>
      </c>
      <c r="N11552" t="s">
        <v>44905</v>
      </c>
      <c r="O11552" t="s">
        <v>44906</v>
      </c>
      <c r="P11552">
        <v>0</v>
      </c>
      <c r="Q11552">
        <v>2</v>
      </c>
      <c r="R11552" t="s">
        <v>44916</v>
      </c>
      <c r="S11552" t="s">
        <v>45313</v>
      </c>
      <c r="T11552" t="s">
        <v>46532</v>
      </c>
      <c r="U11552" t="s">
        <v>56158</v>
      </c>
      <c r="W11552" t="s">
        <v>44307</v>
      </c>
      <c r="X11552" t="s">
        <v>44917</v>
      </c>
    </row>
    <row r="11553" spans="1:24">
      <c r="A11553">
        <f>HYPERLINK("https://www.philgeps.gov.ph/GEPSNONPILOT/Tender/SplashBidNoticeAbstractUI.aspx?menuIndex=3&amp;refID=7064409&amp;Result=3","7064409")</f>
        <v>0</v>
      </c>
      <c r="B11553" t="s">
        <v>2019</v>
      </c>
      <c r="C11553" t="s">
        <v>14547</v>
      </c>
      <c r="D11553" t="s">
        <v>18130</v>
      </c>
      <c r="E11553" t="s">
        <v>28211</v>
      </c>
      <c r="F11553" t="s">
        <v>31362</v>
      </c>
      <c r="G11553" t="s">
        <v>31369</v>
      </c>
      <c r="H11553" t="s">
        <v>31378</v>
      </c>
      <c r="I11553" t="s">
        <v>31386</v>
      </c>
      <c r="J11553" t="s">
        <v>38571</v>
      </c>
      <c r="K11553" t="s">
        <v>40686</v>
      </c>
      <c r="M11553" t="s">
        <v>43135</v>
      </c>
      <c r="N11553" t="s">
        <v>44905</v>
      </c>
      <c r="O11553" t="s">
        <v>44906</v>
      </c>
      <c r="P11553">
        <v>0</v>
      </c>
      <c r="Q11553">
        <v>1</v>
      </c>
      <c r="R11553" t="s">
        <v>44916</v>
      </c>
      <c r="S11553" t="s">
        <v>45313</v>
      </c>
      <c r="T11553" t="s">
        <v>46392</v>
      </c>
      <c r="U11553" t="s">
        <v>56159</v>
      </c>
      <c r="W11553" t="s">
        <v>43135</v>
      </c>
      <c r="X11553" t="s">
        <v>44917</v>
      </c>
    </row>
    <row r="11554" spans="1:24">
      <c r="A11554">
        <f>HYPERLINK("https://www.philgeps.gov.ph/GEPSNONPILOT/Tender/SplashBidNoticeAbstractUI.aspx?menuIndex=3&amp;refID=7064287&amp;Result=3","7064287")</f>
        <v>0</v>
      </c>
      <c r="B11554" t="s">
        <v>3092</v>
      </c>
      <c r="C11554" t="s">
        <v>14548</v>
      </c>
      <c r="D11554" t="s">
        <v>18155</v>
      </c>
      <c r="E11554" t="s">
        <v>28212</v>
      </c>
      <c r="F11554" t="s">
        <v>31362</v>
      </c>
      <c r="G11554" t="s">
        <v>31369</v>
      </c>
      <c r="H11554" t="s">
        <v>31378</v>
      </c>
      <c r="I11554" t="s">
        <v>31386</v>
      </c>
      <c r="J11554" t="s">
        <v>31591</v>
      </c>
      <c r="K11554" t="s">
        <v>40665</v>
      </c>
      <c r="M11554" t="s">
        <v>44336</v>
      </c>
      <c r="N11554" t="s">
        <v>44905</v>
      </c>
      <c r="O11554" t="s">
        <v>44906</v>
      </c>
      <c r="P11554">
        <v>0</v>
      </c>
      <c r="Q11554">
        <v>0</v>
      </c>
      <c r="R11554" t="s">
        <v>44916</v>
      </c>
      <c r="S11554" t="s">
        <v>45313</v>
      </c>
      <c r="T11554" t="s">
        <v>46392</v>
      </c>
      <c r="U11554" t="s">
        <v>56103</v>
      </c>
      <c r="V11554" t="s">
        <v>60295</v>
      </c>
      <c r="W11554" t="s">
        <v>44336</v>
      </c>
      <c r="X11554" t="s">
        <v>44917</v>
      </c>
    </row>
    <row r="11555" spans="1:24">
      <c r="A11555">
        <f>HYPERLINK("https://www.philgeps.gov.ph/GEPSNONPILOT/Tender/SplashBidNoticeAbstractUI.aspx?menuIndex=3&amp;refID=7064285&amp;Result=3","7064285")</f>
        <v>0</v>
      </c>
      <c r="B11555" t="s">
        <v>2668</v>
      </c>
      <c r="C11555" t="s">
        <v>14549</v>
      </c>
      <c r="D11555" t="s">
        <v>18177</v>
      </c>
      <c r="E11555" t="s">
        <v>28213</v>
      </c>
      <c r="F11555" t="s">
        <v>31362</v>
      </c>
      <c r="G11555" t="s">
        <v>31369</v>
      </c>
      <c r="H11555" t="s">
        <v>31378</v>
      </c>
      <c r="I11555" t="s">
        <v>31386</v>
      </c>
      <c r="J11555" t="s">
        <v>38572</v>
      </c>
      <c r="K11555" t="s">
        <v>40895</v>
      </c>
      <c r="M11555" t="s">
        <v>43852</v>
      </c>
      <c r="N11555" t="s">
        <v>44905</v>
      </c>
      <c r="O11555" t="s">
        <v>44906</v>
      </c>
      <c r="P11555">
        <v>0</v>
      </c>
      <c r="Q11555">
        <v>0</v>
      </c>
      <c r="R11555" t="s">
        <v>44916</v>
      </c>
      <c r="S11555" t="s">
        <v>45313</v>
      </c>
      <c r="T11555" t="s">
        <v>46533</v>
      </c>
      <c r="U11555" t="s">
        <v>54302</v>
      </c>
      <c r="W11555" t="s">
        <v>43852</v>
      </c>
      <c r="X11555" t="s">
        <v>44917</v>
      </c>
    </row>
    <row r="11556" spans="1:24">
      <c r="A11556">
        <f>HYPERLINK("https://www.philgeps.gov.ph/GEPSNONPILOT/Tender/SplashBidNoticeAbstractUI.aspx?menuIndex=3&amp;refID=7064391&amp;Result=3","7064391")</f>
        <v>0</v>
      </c>
      <c r="B11556" t="s">
        <v>2837</v>
      </c>
      <c r="C11556" t="s">
        <v>14550</v>
      </c>
      <c r="D11556" t="s">
        <v>18140</v>
      </c>
      <c r="E11556" t="s">
        <v>28214</v>
      </c>
      <c r="F11556" t="s">
        <v>31362</v>
      </c>
      <c r="G11556" t="s">
        <v>31369</v>
      </c>
      <c r="H11556" t="s">
        <v>31378</v>
      </c>
      <c r="I11556" t="s">
        <v>31386</v>
      </c>
      <c r="J11556" t="s">
        <v>38573</v>
      </c>
      <c r="K11556" t="s">
        <v>40665</v>
      </c>
      <c r="M11556" t="s">
        <v>44038</v>
      </c>
      <c r="N11556" t="s">
        <v>44905</v>
      </c>
      <c r="O11556" t="s">
        <v>44906</v>
      </c>
      <c r="P11556">
        <v>0</v>
      </c>
      <c r="Q11556">
        <v>0</v>
      </c>
      <c r="R11556" t="s">
        <v>44916</v>
      </c>
      <c r="S11556" t="s">
        <v>45313</v>
      </c>
      <c r="T11556" t="s">
        <v>46416</v>
      </c>
      <c r="U11556" t="s">
        <v>56160</v>
      </c>
      <c r="W11556" t="s">
        <v>44038</v>
      </c>
      <c r="X11556" t="s">
        <v>44917</v>
      </c>
    </row>
    <row r="11557" spans="1:24">
      <c r="A11557">
        <f>HYPERLINK("https://www.philgeps.gov.ph/GEPSNONPILOT/Tender/SplashBidNoticeAbstractUI.aspx?menuIndex=3&amp;refID=7064381&amp;Result=3","7064381")</f>
        <v>0</v>
      </c>
      <c r="B11557" t="s">
        <v>2019</v>
      </c>
      <c r="C11557" t="s">
        <v>14551</v>
      </c>
      <c r="D11557" t="s">
        <v>18130</v>
      </c>
      <c r="E11557" t="s">
        <v>28215</v>
      </c>
      <c r="F11557" t="s">
        <v>31362</v>
      </c>
      <c r="G11557" t="s">
        <v>31369</v>
      </c>
      <c r="H11557" t="s">
        <v>15799</v>
      </c>
      <c r="I11557" t="s">
        <v>31420</v>
      </c>
      <c r="J11557" t="s">
        <v>33653</v>
      </c>
      <c r="K11557" t="s">
        <v>40665</v>
      </c>
      <c r="M11557" t="s">
        <v>43135</v>
      </c>
      <c r="N11557" t="s">
        <v>44905</v>
      </c>
      <c r="O11557" t="s">
        <v>44906</v>
      </c>
      <c r="P11557">
        <v>0</v>
      </c>
      <c r="Q11557">
        <v>14</v>
      </c>
      <c r="R11557" t="s">
        <v>44916</v>
      </c>
      <c r="S11557" t="s">
        <v>45313</v>
      </c>
      <c r="T11557" t="s">
        <v>46392</v>
      </c>
      <c r="U11557" t="s">
        <v>56161</v>
      </c>
      <c r="W11557" t="s">
        <v>43135</v>
      </c>
      <c r="X11557" t="s">
        <v>44917</v>
      </c>
    </row>
    <row r="11558" spans="1:24">
      <c r="A11558">
        <f>HYPERLINK("https://www.philgeps.gov.ph/GEPSNONPILOT/Tender/SplashBidNoticeAbstractUI.aspx?menuIndex=3&amp;refID=7064283&amp;Result=3","7064283")</f>
        <v>0</v>
      </c>
      <c r="B11558" t="s">
        <v>2999</v>
      </c>
      <c r="C11558" t="s">
        <v>12674</v>
      </c>
      <c r="D11558" t="s">
        <v>18167</v>
      </c>
      <c r="E11558" t="s">
        <v>22997</v>
      </c>
      <c r="F11558" t="s">
        <v>31362</v>
      </c>
      <c r="G11558" t="s">
        <v>31369</v>
      </c>
      <c r="H11558" t="s">
        <v>15799</v>
      </c>
      <c r="I11558" t="s">
        <v>3815</v>
      </c>
      <c r="J11558" t="s">
        <v>38574</v>
      </c>
      <c r="K11558" t="s">
        <v>40670</v>
      </c>
      <c r="M11558" t="s">
        <v>44228</v>
      </c>
      <c r="N11558" t="s">
        <v>44905</v>
      </c>
      <c r="O11558" t="s">
        <v>44906</v>
      </c>
      <c r="P11558">
        <v>0</v>
      </c>
      <c r="Q11558">
        <v>1</v>
      </c>
      <c r="R11558" t="s">
        <v>44916</v>
      </c>
      <c r="S11558" t="s">
        <v>45313</v>
      </c>
      <c r="T11558" t="s">
        <v>46418</v>
      </c>
      <c r="U11558" t="s">
        <v>56162</v>
      </c>
      <c r="W11558" t="s">
        <v>44228</v>
      </c>
      <c r="X11558" t="s">
        <v>44917</v>
      </c>
    </row>
    <row r="11559" spans="1:24">
      <c r="A11559">
        <f>HYPERLINK("https://www.philgeps.gov.ph/GEPSNONPILOT/Tender/SplashBidNoticeAbstractUI.aspx?menuIndex=3&amp;refID=7064413&amp;Result=3","7064413")</f>
        <v>0</v>
      </c>
      <c r="B11559" t="s">
        <v>853</v>
      </c>
      <c r="C11559" t="s">
        <v>14552</v>
      </c>
      <c r="D11559" t="s">
        <v>18108</v>
      </c>
      <c r="E11559" t="s">
        <v>28216</v>
      </c>
      <c r="F11559" t="s">
        <v>31362</v>
      </c>
      <c r="G11559" t="s">
        <v>31369</v>
      </c>
      <c r="H11559" t="s">
        <v>15799</v>
      </c>
      <c r="I11559" t="s">
        <v>7719</v>
      </c>
      <c r="J11559" t="s">
        <v>31602</v>
      </c>
      <c r="K11559" t="s">
        <v>40679</v>
      </c>
      <c r="M11559" t="s">
        <v>41829</v>
      </c>
      <c r="N11559" t="s">
        <v>44905</v>
      </c>
      <c r="O11559" t="s">
        <v>44906</v>
      </c>
      <c r="Q11559">
        <v>18</v>
      </c>
      <c r="R11559" t="s">
        <v>44916</v>
      </c>
      <c r="S11559" t="s">
        <v>45380</v>
      </c>
      <c r="T11559" t="s">
        <v>46462</v>
      </c>
      <c r="U11559" t="s">
        <v>56163</v>
      </c>
      <c r="W11559" t="s">
        <v>41829</v>
      </c>
      <c r="X11559" t="s">
        <v>44917</v>
      </c>
    </row>
    <row r="11560" spans="1:24">
      <c r="A11560">
        <f>HYPERLINK("https://www.philgeps.gov.ph/GEPSNONPILOT/Tender/SplashBidNoticeAbstractUI.aspx?menuIndex=3&amp;refID=7064345&amp;Result=3","7064345")</f>
        <v>0</v>
      </c>
      <c r="B11560" t="s">
        <v>1883</v>
      </c>
      <c r="C11560" t="s">
        <v>14553</v>
      </c>
      <c r="D11560" t="s">
        <v>18108</v>
      </c>
      <c r="E11560" t="s">
        <v>28217</v>
      </c>
      <c r="F11560" t="s">
        <v>31362</v>
      </c>
      <c r="G11560" t="s">
        <v>31369</v>
      </c>
      <c r="H11560" t="s">
        <v>31378</v>
      </c>
      <c r="I11560" t="s">
        <v>31386</v>
      </c>
      <c r="J11560" t="s">
        <v>38575</v>
      </c>
      <c r="K11560" t="s">
        <v>40692</v>
      </c>
      <c r="M11560" t="s">
        <v>42976</v>
      </c>
      <c r="N11560" t="s">
        <v>44905</v>
      </c>
      <c r="O11560" t="s">
        <v>44906</v>
      </c>
      <c r="Q11560">
        <v>17</v>
      </c>
      <c r="R11560" t="s">
        <v>44916</v>
      </c>
      <c r="S11560" t="s">
        <v>45381</v>
      </c>
      <c r="T11560" t="s">
        <v>46504</v>
      </c>
      <c r="U11560" t="s">
        <v>56164</v>
      </c>
      <c r="W11560" t="s">
        <v>42976</v>
      </c>
      <c r="X11560" t="s">
        <v>44917</v>
      </c>
    </row>
    <row r="11561" spans="1:24">
      <c r="A11561">
        <f>HYPERLINK("https://www.philgeps.gov.ph/GEPSNONPILOT/Tender/SplashBidNoticeAbstractUI.aspx?menuIndex=3&amp;refID=7064341&amp;Result=3","7064341")</f>
        <v>0</v>
      </c>
      <c r="B11561" t="s">
        <v>1883</v>
      </c>
      <c r="C11561" t="s">
        <v>14554</v>
      </c>
      <c r="D11561" t="s">
        <v>18108</v>
      </c>
      <c r="E11561" t="s">
        <v>28218</v>
      </c>
      <c r="F11561" t="s">
        <v>31362</v>
      </c>
      <c r="G11561" t="s">
        <v>31369</v>
      </c>
      <c r="H11561" t="s">
        <v>31378</v>
      </c>
      <c r="I11561" t="s">
        <v>31386</v>
      </c>
      <c r="J11561" t="s">
        <v>38576</v>
      </c>
      <c r="K11561" t="s">
        <v>40692</v>
      </c>
      <c r="M11561" t="s">
        <v>42976</v>
      </c>
      <c r="N11561" t="s">
        <v>44905</v>
      </c>
      <c r="O11561" t="s">
        <v>44906</v>
      </c>
      <c r="Q11561">
        <v>14</v>
      </c>
      <c r="R11561" t="s">
        <v>44916</v>
      </c>
      <c r="S11561" t="s">
        <v>45382</v>
      </c>
      <c r="T11561" t="s">
        <v>46504</v>
      </c>
      <c r="U11561" t="s">
        <v>56165</v>
      </c>
      <c r="W11561" t="s">
        <v>42976</v>
      </c>
      <c r="X11561" t="s">
        <v>44917</v>
      </c>
    </row>
    <row r="11562" spans="1:24">
      <c r="A11562">
        <f>HYPERLINK("https://www.philgeps.gov.ph/GEPSNONPILOT/Tender/SplashBidNoticeAbstractUI.aspx?menuIndex=3&amp;refID=7064342&amp;Result=3","7064342")</f>
        <v>0</v>
      </c>
      <c r="B11562" t="s">
        <v>1037</v>
      </c>
      <c r="C11562" t="s">
        <v>14555</v>
      </c>
      <c r="D11562" t="s">
        <v>18146</v>
      </c>
      <c r="E11562" t="s">
        <v>28219</v>
      </c>
      <c r="F11562" t="s">
        <v>31362</v>
      </c>
      <c r="G11562" t="s">
        <v>31369</v>
      </c>
      <c r="H11562" t="s">
        <v>15799</v>
      </c>
      <c r="I11562" t="s">
        <v>31393</v>
      </c>
      <c r="J11562" t="s">
        <v>32018</v>
      </c>
      <c r="K11562" t="s">
        <v>40666</v>
      </c>
      <c r="M11562" t="s">
        <v>42060</v>
      </c>
      <c r="N11562" t="s">
        <v>44905</v>
      </c>
      <c r="O11562" t="s">
        <v>44906</v>
      </c>
      <c r="P11562">
        <v>0</v>
      </c>
      <c r="Q11562">
        <v>1</v>
      </c>
      <c r="R11562" t="s">
        <v>44916</v>
      </c>
      <c r="S11562" t="s">
        <v>45313</v>
      </c>
      <c r="T11562" t="s">
        <v>46837</v>
      </c>
      <c r="U11562" t="s">
        <v>56166</v>
      </c>
      <c r="V11562" t="s">
        <v>59231</v>
      </c>
      <c r="W11562" t="s">
        <v>42060</v>
      </c>
      <c r="X11562" t="s">
        <v>44917</v>
      </c>
    </row>
    <row r="11563" spans="1:24">
      <c r="A11563">
        <f>HYPERLINK("https://www.philgeps.gov.ph/GEPSNONPILOT/Tender/SplashBidNoticeAbstractUI.aspx?menuIndex=3&amp;refID=7064339&amp;Result=3","7064339")</f>
        <v>0</v>
      </c>
      <c r="B11563" t="s">
        <v>3092</v>
      </c>
      <c r="C11563" t="s">
        <v>14556</v>
      </c>
      <c r="D11563" t="s">
        <v>18155</v>
      </c>
      <c r="E11563" t="s">
        <v>28220</v>
      </c>
      <c r="F11563" t="s">
        <v>31362</v>
      </c>
      <c r="G11563" t="s">
        <v>31369</v>
      </c>
      <c r="H11563" t="s">
        <v>31378</v>
      </c>
      <c r="I11563" t="s">
        <v>31386</v>
      </c>
      <c r="J11563" t="s">
        <v>31577</v>
      </c>
      <c r="K11563" t="s">
        <v>40677</v>
      </c>
      <c r="M11563" t="s">
        <v>44336</v>
      </c>
      <c r="N11563" t="s">
        <v>44905</v>
      </c>
      <c r="O11563" t="s">
        <v>44906</v>
      </c>
      <c r="P11563">
        <v>0</v>
      </c>
      <c r="Q11563">
        <v>0</v>
      </c>
      <c r="R11563" t="s">
        <v>44916</v>
      </c>
      <c r="S11563" t="s">
        <v>45313</v>
      </c>
      <c r="T11563" t="s">
        <v>46392</v>
      </c>
      <c r="U11563" t="s">
        <v>56167</v>
      </c>
      <c r="V11563" t="s">
        <v>60295</v>
      </c>
      <c r="W11563" t="s">
        <v>44336</v>
      </c>
      <c r="X11563" t="s">
        <v>44917</v>
      </c>
    </row>
    <row r="11564" spans="1:24">
      <c r="A11564">
        <f>HYPERLINK("https://www.philgeps.gov.ph/GEPSNONPILOT/Tender/SplashBidNoticeAbstractUI.aspx?menuIndex=3&amp;refID=7064377&amp;Result=3","7064377")</f>
        <v>0</v>
      </c>
      <c r="B11564" t="s">
        <v>2837</v>
      </c>
      <c r="C11564" t="s">
        <v>14557</v>
      </c>
      <c r="D11564" t="s">
        <v>18140</v>
      </c>
      <c r="E11564" t="s">
        <v>28221</v>
      </c>
      <c r="F11564" t="s">
        <v>31362</v>
      </c>
      <c r="G11564" t="s">
        <v>31369</v>
      </c>
      <c r="H11564" t="s">
        <v>31378</v>
      </c>
      <c r="I11564" t="s">
        <v>31386</v>
      </c>
      <c r="J11564" t="s">
        <v>38577</v>
      </c>
      <c r="K11564" t="s">
        <v>40666</v>
      </c>
      <c r="M11564" t="s">
        <v>44038</v>
      </c>
      <c r="N11564" t="s">
        <v>44905</v>
      </c>
      <c r="O11564" t="s">
        <v>44906</v>
      </c>
      <c r="P11564">
        <v>0</v>
      </c>
      <c r="Q11564">
        <v>1</v>
      </c>
      <c r="R11564" t="s">
        <v>44916</v>
      </c>
      <c r="S11564" t="s">
        <v>45313</v>
      </c>
      <c r="T11564" t="s">
        <v>46447</v>
      </c>
      <c r="U11564" t="s">
        <v>56168</v>
      </c>
      <c r="W11564" t="s">
        <v>44038</v>
      </c>
      <c r="X11564" t="s">
        <v>44917</v>
      </c>
    </row>
    <row r="11565" spans="1:24">
      <c r="A11565">
        <f>HYPERLINK("https://www.philgeps.gov.ph/GEPSNONPILOT/Tender/SplashBidNoticeAbstractUI.aspx?menuIndex=3&amp;refID=7064335&amp;Result=3","7064335")</f>
        <v>0</v>
      </c>
      <c r="B11565" t="s">
        <v>3092</v>
      </c>
      <c r="C11565" t="s">
        <v>14558</v>
      </c>
      <c r="D11565" t="s">
        <v>18155</v>
      </c>
      <c r="E11565" t="s">
        <v>28222</v>
      </c>
      <c r="F11565" t="s">
        <v>31362</v>
      </c>
      <c r="G11565" t="s">
        <v>31369</v>
      </c>
      <c r="H11565" t="s">
        <v>31378</v>
      </c>
      <c r="I11565" t="s">
        <v>31386</v>
      </c>
      <c r="J11565" t="s">
        <v>31577</v>
      </c>
      <c r="K11565" t="s">
        <v>40677</v>
      </c>
      <c r="M11565" t="s">
        <v>44336</v>
      </c>
      <c r="N11565" t="s">
        <v>44905</v>
      </c>
      <c r="O11565" t="s">
        <v>44906</v>
      </c>
      <c r="P11565">
        <v>0</v>
      </c>
      <c r="Q11565">
        <v>0</v>
      </c>
      <c r="R11565" t="s">
        <v>44916</v>
      </c>
      <c r="S11565" t="s">
        <v>45313</v>
      </c>
      <c r="T11565" t="s">
        <v>46392</v>
      </c>
      <c r="U11565" t="s">
        <v>56167</v>
      </c>
      <c r="V11565" t="s">
        <v>60295</v>
      </c>
      <c r="W11565" t="s">
        <v>44336</v>
      </c>
      <c r="X11565" t="s">
        <v>44917</v>
      </c>
    </row>
    <row r="11566" spans="1:24">
      <c r="A11566">
        <f>HYPERLINK("https://www.philgeps.gov.ph/GEPSNONPILOT/Tender/SplashBidNoticeAbstractUI.aspx?menuIndex=3&amp;refID=7064334&amp;Result=3","7064334")</f>
        <v>0</v>
      </c>
      <c r="B11566" t="s">
        <v>3092</v>
      </c>
      <c r="C11566" t="s">
        <v>14559</v>
      </c>
      <c r="D11566" t="s">
        <v>18155</v>
      </c>
      <c r="E11566" t="s">
        <v>28223</v>
      </c>
      <c r="F11566" t="s">
        <v>31362</v>
      </c>
      <c r="G11566" t="s">
        <v>31369</v>
      </c>
      <c r="H11566" t="s">
        <v>31378</v>
      </c>
      <c r="I11566" t="s">
        <v>31386</v>
      </c>
      <c r="J11566" t="s">
        <v>31577</v>
      </c>
      <c r="K11566" t="s">
        <v>40677</v>
      </c>
      <c r="M11566" t="s">
        <v>44336</v>
      </c>
      <c r="N11566" t="s">
        <v>44905</v>
      </c>
      <c r="O11566" t="s">
        <v>44906</v>
      </c>
      <c r="P11566">
        <v>0</v>
      </c>
      <c r="Q11566">
        <v>0</v>
      </c>
      <c r="R11566" t="s">
        <v>44916</v>
      </c>
      <c r="S11566" t="s">
        <v>45313</v>
      </c>
      <c r="T11566" t="s">
        <v>46392</v>
      </c>
      <c r="U11566" t="s">
        <v>56169</v>
      </c>
      <c r="V11566" t="s">
        <v>60295</v>
      </c>
      <c r="W11566" t="s">
        <v>44336</v>
      </c>
      <c r="X11566" t="s">
        <v>44917</v>
      </c>
    </row>
    <row r="11567" spans="1:24">
      <c r="A11567">
        <f>HYPERLINK("https://www.philgeps.gov.ph/GEPSNONPILOT/Tender/SplashBidNoticeAbstractUI.aspx?menuIndex=3&amp;refID=7064355&amp;Result=3","7064355")</f>
        <v>0</v>
      </c>
      <c r="B11567" t="s">
        <v>1037</v>
      </c>
      <c r="C11567" t="s">
        <v>14560</v>
      </c>
      <c r="D11567" t="s">
        <v>18146</v>
      </c>
      <c r="E11567" t="s">
        <v>28224</v>
      </c>
      <c r="F11567" t="s">
        <v>31362</v>
      </c>
      <c r="G11567" t="s">
        <v>31369</v>
      </c>
      <c r="H11567" t="s">
        <v>15799</v>
      </c>
      <c r="I11567" t="s">
        <v>31461</v>
      </c>
      <c r="J11567" t="s">
        <v>38578</v>
      </c>
      <c r="K11567" t="s">
        <v>40666</v>
      </c>
      <c r="M11567" t="s">
        <v>42060</v>
      </c>
      <c r="N11567" t="s">
        <v>44905</v>
      </c>
      <c r="O11567" t="s">
        <v>44906</v>
      </c>
      <c r="P11567">
        <v>0</v>
      </c>
      <c r="Q11567">
        <v>4</v>
      </c>
      <c r="R11567" t="s">
        <v>44916</v>
      </c>
      <c r="S11567" t="s">
        <v>45313</v>
      </c>
      <c r="T11567" t="s">
        <v>46837</v>
      </c>
      <c r="U11567" t="s">
        <v>56170</v>
      </c>
      <c r="V11567" t="s">
        <v>59231</v>
      </c>
      <c r="W11567" t="s">
        <v>42060</v>
      </c>
      <c r="X11567" t="s">
        <v>44917</v>
      </c>
    </row>
    <row r="11568" spans="1:24">
      <c r="A11568">
        <f>HYPERLINK("https://www.philgeps.gov.ph/GEPSNONPILOT/Tender/SplashBidNoticeAbstractUI.aspx?menuIndex=3&amp;refID=7064326&amp;Result=3","7064326")</f>
        <v>0</v>
      </c>
      <c r="B11568" t="s">
        <v>3092</v>
      </c>
      <c r="C11568" t="s">
        <v>14561</v>
      </c>
      <c r="D11568" t="s">
        <v>18155</v>
      </c>
      <c r="E11568" t="s">
        <v>28225</v>
      </c>
      <c r="F11568" t="s">
        <v>31362</v>
      </c>
      <c r="G11568" t="s">
        <v>31369</v>
      </c>
      <c r="H11568" t="s">
        <v>31378</v>
      </c>
      <c r="I11568" t="s">
        <v>31386</v>
      </c>
      <c r="J11568" t="s">
        <v>38579</v>
      </c>
      <c r="K11568" t="s">
        <v>40665</v>
      </c>
      <c r="M11568" t="s">
        <v>44336</v>
      </c>
      <c r="N11568" t="s">
        <v>44905</v>
      </c>
      <c r="O11568" t="s">
        <v>44906</v>
      </c>
      <c r="P11568">
        <v>0</v>
      </c>
      <c r="Q11568">
        <v>0</v>
      </c>
      <c r="R11568" t="s">
        <v>44916</v>
      </c>
      <c r="S11568" t="s">
        <v>45313</v>
      </c>
      <c r="T11568" t="s">
        <v>46392</v>
      </c>
      <c r="U11568" t="s">
        <v>56171</v>
      </c>
      <c r="V11568" t="s">
        <v>60295</v>
      </c>
      <c r="W11568" t="s">
        <v>44336</v>
      </c>
      <c r="X11568" t="s">
        <v>44917</v>
      </c>
    </row>
    <row r="11569" spans="1:24">
      <c r="A11569">
        <f>HYPERLINK("https://www.philgeps.gov.ph/GEPSNONPILOT/Tender/SplashBidNoticeAbstractUI.aspx?menuIndex=3&amp;refID=7064321&amp;Result=3","7064321")</f>
        <v>0</v>
      </c>
      <c r="B11569" t="s">
        <v>3092</v>
      </c>
      <c r="C11569" t="s">
        <v>14562</v>
      </c>
      <c r="D11569" t="s">
        <v>18155</v>
      </c>
      <c r="E11569" t="s">
        <v>28226</v>
      </c>
      <c r="F11569" t="s">
        <v>31362</v>
      </c>
      <c r="G11569" t="s">
        <v>31369</v>
      </c>
      <c r="H11569" t="s">
        <v>31378</v>
      </c>
      <c r="I11569" t="s">
        <v>31386</v>
      </c>
      <c r="J11569" t="s">
        <v>31578</v>
      </c>
      <c r="K11569" t="s">
        <v>40733</v>
      </c>
      <c r="M11569" t="s">
        <v>44336</v>
      </c>
      <c r="N11569" t="s">
        <v>44905</v>
      </c>
      <c r="O11569" t="s">
        <v>44906</v>
      </c>
      <c r="P11569">
        <v>0</v>
      </c>
      <c r="Q11569">
        <v>0</v>
      </c>
      <c r="R11569" t="s">
        <v>44916</v>
      </c>
      <c r="S11569" t="s">
        <v>45313</v>
      </c>
      <c r="T11569" t="s">
        <v>46392</v>
      </c>
      <c r="U11569" t="s">
        <v>56172</v>
      </c>
      <c r="V11569" t="s">
        <v>60295</v>
      </c>
      <c r="W11569" t="s">
        <v>44336</v>
      </c>
      <c r="X11569" t="s">
        <v>44917</v>
      </c>
    </row>
    <row r="11570" spans="1:24">
      <c r="A11570">
        <f>HYPERLINK("https://www.philgeps.gov.ph/GEPSNONPILOT/Tender/SplashBidNoticeAbstractUI.aspx?menuIndex=3&amp;refID=7064319&amp;Result=3","7064319")</f>
        <v>0</v>
      </c>
      <c r="B11570" t="s">
        <v>3092</v>
      </c>
      <c r="C11570" t="s">
        <v>14563</v>
      </c>
      <c r="D11570" t="s">
        <v>18155</v>
      </c>
      <c r="E11570" t="s">
        <v>28227</v>
      </c>
      <c r="F11570" t="s">
        <v>31362</v>
      </c>
      <c r="G11570" t="s">
        <v>31369</v>
      </c>
      <c r="H11570" t="s">
        <v>31378</v>
      </c>
      <c r="I11570" t="s">
        <v>31386</v>
      </c>
      <c r="J11570" t="s">
        <v>31578</v>
      </c>
      <c r="K11570" t="s">
        <v>40665</v>
      </c>
      <c r="M11570" t="s">
        <v>44336</v>
      </c>
      <c r="N11570" t="s">
        <v>44905</v>
      </c>
      <c r="O11570" t="s">
        <v>44906</v>
      </c>
      <c r="P11570">
        <v>0</v>
      </c>
      <c r="Q11570">
        <v>0</v>
      </c>
      <c r="R11570" t="s">
        <v>44916</v>
      </c>
      <c r="S11570" t="s">
        <v>45313</v>
      </c>
      <c r="T11570" t="s">
        <v>46392</v>
      </c>
      <c r="U11570" t="s">
        <v>56173</v>
      </c>
      <c r="V11570" t="s">
        <v>60295</v>
      </c>
      <c r="W11570" t="s">
        <v>44336</v>
      </c>
      <c r="X11570" t="s">
        <v>44917</v>
      </c>
    </row>
    <row r="11571" spans="1:24">
      <c r="A11571">
        <f>HYPERLINK("https://www.philgeps.gov.ph/GEPSNONPILOT/Tender/SplashBidNoticeAbstractUI.aspx?menuIndex=3&amp;refID=7064394&amp;Result=3","7064394")</f>
        <v>0</v>
      </c>
      <c r="B11571" t="s">
        <v>3098</v>
      </c>
      <c r="C11571" t="s">
        <v>14564</v>
      </c>
      <c r="D11571" t="s">
        <v>18104</v>
      </c>
      <c r="E11571" t="s">
        <v>28228</v>
      </c>
      <c r="F11571" t="s">
        <v>31363</v>
      </c>
      <c r="G11571" t="s">
        <v>31369</v>
      </c>
      <c r="H11571" t="s">
        <v>15799</v>
      </c>
      <c r="I11571" t="s">
        <v>31384</v>
      </c>
      <c r="J11571" t="s">
        <v>38580</v>
      </c>
      <c r="K11571" t="s">
        <v>40662</v>
      </c>
      <c r="M11571" t="s">
        <v>44343</v>
      </c>
      <c r="N11571" t="s">
        <v>44905</v>
      </c>
      <c r="O11571" t="s">
        <v>44906</v>
      </c>
      <c r="P11571">
        <v>0</v>
      </c>
      <c r="Q11571">
        <v>3</v>
      </c>
      <c r="R11571" t="s">
        <v>44916</v>
      </c>
      <c r="S11571" t="s">
        <v>45313</v>
      </c>
      <c r="T11571" t="s">
        <v>46705</v>
      </c>
      <c r="U11571" t="s">
        <v>56174</v>
      </c>
      <c r="W11571" t="s">
        <v>44343</v>
      </c>
      <c r="X11571" t="s">
        <v>44917</v>
      </c>
    </row>
    <row r="11572" spans="1:24">
      <c r="A11572">
        <f>HYPERLINK("https://www.philgeps.gov.ph/GEPSNONPILOT/Tender/SplashBidNoticeAbstractUI.aspx?menuIndex=3&amp;refID=7064275&amp;Result=3","7064275")</f>
        <v>0</v>
      </c>
      <c r="B11572" t="s">
        <v>3092</v>
      </c>
      <c r="C11572" t="s">
        <v>14565</v>
      </c>
      <c r="D11572" t="s">
        <v>18155</v>
      </c>
      <c r="E11572" t="s">
        <v>28229</v>
      </c>
      <c r="F11572" t="s">
        <v>31362</v>
      </c>
      <c r="G11572" t="s">
        <v>31369</v>
      </c>
      <c r="H11572" t="s">
        <v>31378</v>
      </c>
      <c r="I11572" t="s">
        <v>31386</v>
      </c>
      <c r="J11572" t="s">
        <v>31536</v>
      </c>
      <c r="K11572" t="s">
        <v>40681</v>
      </c>
      <c r="M11572" t="s">
        <v>44336</v>
      </c>
      <c r="N11572" t="s">
        <v>44905</v>
      </c>
      <c r="O11572" t="s">
        <v>44906</v>
      </c>
      <c r="P11572">
        <v>0</v>
      </c>
      <c r="Q11572">
        <v>0</v>
      </c>
      <c r="R11572" t="s">
        <v>44916</v>
      </c>
      <c r="S11572" t="s">
        <v>45313</v>
      </c>
      <c r="T11572" t="s">
        <v>46392</v>
      </c>
      <c r="U11572" t="s">
        <v>56175</v>
      </c>
      <c r="V11572" t="s">
        <v>60295</v>
      </c>
      <c r="W11572" t="s">
        <v>44336</v>
      </c>
      <c r="X11572" t="s">
        <v>44917</v>
      </c>
    </row>
    <row r="11573" spans="1:24">
      <c r="A11573">
        <f>HYPERLINK("https://www.philgeps.gov.ph/GEPSNONPILOT/Tender/SplashBidNoticeAbstractUI.aspx?menuIndex=3&amp;refID=7064273&amp;Result=3","7064273")</f>
        <v>0</v>
      </c>
      <c r="B11573" t="s">
        <v>3092</v>
      </c>
      <c r="C11573" t="s">
        <v>14566</v>
      </c>
      <c r="D11573" t="s">
        <v>18155</v>
      </c>
      <c r="E11573" t="s">
        <v>28230</v>
      </c>
      <c r="F11573" t="s">
        <v>31362</v>
      </c>
      <c r="G11573" t="s">
        <v>31369</v>
      </c>
      <c r="H11573" t="s">
        <v>31378</v>
      </c>
      <c r="I11573" t="s">
        <v>31386</v>
      </c>
      <c r="J11573" t="s">
        <v>31536</v>
      </c>
      <c r="K11573" t="s">
        <v>40681</v>
      </c>
      <c r="M11573" t="s">
        <v>44336</v>
      </c>
      <c r="N11573" t="s">
        <v>44905</v>
      </c>
      <c r="O11573" t="s">
        <v>44906</v>
      </c>
      <c r="P11573">
        <v>0</v>
      </c>
      <c r="Q11573">
        <v>0</v>
      </c>
      <c r="R11573" t="s">
        <v>44916</v>
      </c>
      <c r="S11573" t="s">
        <v>45313</v>
      </c>
      <c r="T11573" t="s">
        <v>46392</v>
      </c>
      <c r="U11573" t="s">
        <v>56175</v>
      </c>
      <c r="V11573" t="s">
        <v>60295</v>
      </c>
      <c r="W11573" t="s">
        <v>44336</v>
      </c>
      <c r="X11573" t="s">
        <v>44917</v>
      </c>
    </row>
    <row r="11574" spans="1:24">
      <c r="A11574">
        <f>HYPERLINK("https://www.philgeps.gov.ph/GEPSNONPILOT/Tender/SplashBidNoticeAbstractUI.aspx?menuIndex=3&amp;refID=7064266&amp;Result=3","7064266")</f>
        <v>0</v>
      </c>
      <c r="B11574" t="s">
        <v>3092</v>
      </c>
      <c r="C11574" t="s">
        <v>14567</v>
      </c>
      <c r="D11574" t="s">
        <v>18155</v>
      </c>
      <c r="E11574" t="s">
        <v>28231</v>
      </c>
      <c r="F11574" t="s">
        <v>31362</v>
      </c>
      <c r="G11574" t="s">
        <v>31369</v>
      </c>
      <c r="H11574" t="s">
        <v>31378</v>
      </c>
      <c r="I11574" t="s">
        <v>31386</v>
      </c>
      <c r="J11574" t="s">
        <v>31578</v>
      </c>
      <c r="K11574" t="s">
        <v>40733</v>
      </c>
      <c r="M11574" t="s">
        <v>44336</v>
      </c>
      <c r="N11574" t="s">
        <v>44905</v>
      </c>
      <c r="O11574" t="s">
        <v>44906</v>
      </c>
      <c r="P11574">
        <v>0</v>
      </c>
      <c r="Q11574">
        <v>0</v>
      </c>
      <c r="R11574" t="s">
        <v>44916</v>
      </c>
      <c r="S11574" t="s">
        <v>45313</v>
      </c>
      <c r="T11574" t="s">
        <v>46392</v>
      </c>
      <c r="U11574" t="s">
        <v>56128</v>
      </c>
      <c r="V11574" t="s">
        <v>60295</v>
      </c>
      <c r="W11574" t="s">
        <v>44336</v>
      </c>
      <c r="X11574" t="s">
        <v>44917</v>
      </c>
    </row>
    <row r="11575" spans="1:24">
      <c r="A11575">
        <f>HYPERLINK("https://www.philgeps.gov.ph/GEPSNONPILOT/Tender/SplashBidNoticeAbstractUI.aspx?menuIndex=3&amp;refID=7064340&amp;Result=3","7064340")</f>
        <v>0</v>
      </c>
      <c r="B11575" t="s">
        <v>1883</v>
      </c>
      <c r="C11575" t="s">
        <v>14568</v>
      </c>
      <c r="D11575" t="s">
        <v>18108</v>
      </c>
      <c r="E11575" t="s">
        <v>28232</v>
      </c>
      <c r="F11575" t="s">
        <v>31362</v>
      </c>
      <c r="G11575" t="s">
        <v>31369</v>
      </c>
      <c r="H11575" t="s">
        <v>31378</v>
      </c>
      <c r="I11575" t="s">
        <v>31386</v>
      </c>
      <c r="J11575" t="s">
        <v>38581</v>
      </c>
      <c r="K11575" t="s">
        <v>40684</v>
      </c>
      <c r="M11575" t="s">
        <v>42976</v>
      </c>
      <c r="N11575" t="s">
        <v>44905</v>
      </c>
      <c r="O11575" t="s">
        <v>44906</v>
      </c>
      <c r="Q11575">
        <v>14</v>
      </c>
      <c r="R11575" t="s">
        <v>44916</v>
      </c>
      <c r="S11575" t="s">
        <v>45379</v>
      </c>
      <c r="T11575" t="s">
        <v>46504</v>
      </c>
      <c r="U11575" t="s">
        <v>56176</v>
      </c>
      <c r="W11575" t="s">
        <v>42976</v>
      </c>
      <c r="X11575" t="s">
        <v>44917</v>
      </c>
    </row>
    <row r="11576" spans="1:24">
      <c r="A11576">
        <f>HYPERLINK("https://www.philgeps.gov.ph/GEPSNONPILOT/Tender/SplashBidNoticeAbstractUI.aspx?menuIndex=3&amp;refID=7064434&amp;Result=3","7064434")</f>
        <v>0</v>
      </c>
      <c r="B11576" t="s">
        <v>3099</v>
      </c>
      <c r="C11576" t="s">
        <v>14569</v>
      </c>
      <c r="D11576" t="s">
        <v>18100</v>
      </c>
      <c r="E11576" t="s">
        <v>28233</v>
      </c>
      <c r="F11576" t="s">
        <v>31362</v>
      </c>
      <c r="G11576" t="s">
        <v>31369</v>
      </c>
      <c r="H11576" t="s">
        <v>31378</v>
      </c>
      <c r="I11576" t="s">
        <v>31386</v>
      </c>
      <c r="J11576" t="s">
        <v>38582</v>
      </c>
      <c r="K11576" t="s">
        <v>40686</v>
      </c>
      <c r="M11576" t="s">
        <v>44344</v>
      </c>
      <c r="N11576" t="s">
        <v>44905</v>
      </c>
      <c r="O11576" t="s">
        <v>44906</v>
      </c>
      <c r="P11576">
        <v>0</v>
      </c>
      <c r="Q11576">
        <v>2</v>
      </c>
      <c r="R11576" t="s">
        <v>44916</v>
      </c>
      <c r="S11576" t="s">
        <v>45313</v>
      </c>
      <c r="T11576" t="s">
        <v>46844</v>
      </c>
      <c r="U11576" t="s">
        <v>56177</v>
      </c>
      <c r="V11576" t="s">
        <v>60298</v>
      </c>
      <c r="W11576" t="s">
        <v>60959</v>
      </c>
      <c r="X11576" t="s">
        <v>44917</v>
      </c>
    </row>
    <row r="11577" spans="1:24">
      <c r="A11577">
        <f>HYPERLINK("https://www.philgeps.gov.ph/GEPSNONPILOT/Tender/SplashBidNoticeAbstractUI.aspx?menuIndex=3&amp;refID=7064329&amp;Result=3","7064329")</f>
        <v>0</v>
      </c>
      <c r="B11577" t="s">
        <v>3092</v>
      </c>
      <c r="C11577" t="s">
        <v>14570</v>
      </c>
      <c r="D11577" t="s">
        <v>18155</v>
      </c>
      <c r="E11577" t="s">
        <v>28234</v>
      </c>
      <c r="F11577" t="s">
        <v>31362</v>
      </c>
      <c r="G11577" t="s">
        <v>31369</v>
      </c>
      <c r="H11577" t="s">
        <v>31378</v>
      </c>
      <c r="I11577" t="s">
        <v>31386</v>
      </c>
      <c r="J11577" t="s">
        <v>31577</v>
      </c>
      <c r="K11577" t="s">
        <v>40713</v>
      </c>
      <c r="M11577" t="s">
        <v>44336</v>
      </c>
      <c r="N11577" t="s">
        <v>44905</v>
      </c>
      <c r="O11577" t="s">
        <v>44906</v>
      </c>
      <c r="P11577">
        <v>0</v>
      </c>
      <c r="Q11577">
        <v>0</v>
      </c>
      <c r="R11577" t="s">
        <v>44916</v>
      </c>
      <c r="S11577" t="s">
        <v>45313</v>
      </c>
      <c r="T11577" t="s">
        <v>46392</v>
      </c>
      <c r="U11577" t="s">
        <v>56147</v>
      </c>
      <c r="V11577" t="s">
        <v>60295</v>
      </c>
      <c r="W11577" t="s">
        <v>44336</v>
      </c>
      <c r="X11577" t="s">
        <v>44917</v>
      </c>
    </row>
    <row r="11578" spans="1:24">
      <c r="A11578">
        <f>HYPERLINK("https://www.philgeps.gov.ph/GEPSNONPILOT/Tender/SplashBidNoticeAbstractUI.aspx?menuIndex=3&amp;refID=7064308&amp;Result=3","7064308")</f>
        <v>0</v>
      </c>
      <c r="B11578" t="s">
        <v>3092</v>
      </c>
      <c r="C11578" t="s">
        <v>14571</v>
      </c>
      <c r="D11578" t="s">
        <v>18155</v>
      </c>
      <c r="E11578" t="s">
        <v>28235</v>
      </c>
      <c r="F11578" t="s">
        <v>31362</v>
      </c>
      <c r="G11578" t="s">
        <v>31369</v>
      </c>
      <c r="H11578" t="s">
        <v>31378</v>
      </c>
      <c r="I11578" t="s">
        <v>31386</v>
      </c>
      <c r="J11578" t="s">
        <v>31530</v>
      </c>
      <c r="K11578" t="s">
        <v>40665</v>
      </c>
      <c r="M11578" t="s">
        <v>44336</v>
      </c>
      <c r="N11578" t="s">
        <v>44905</v>
      </c>
      <c r="O11578" t="s">
        <v>44906</v>
      </c>
      <c r="P11578">
        <v>0</v>
      </c>
      <c r="Q11578">
        <v>0</v>
      </c>
      <c r="R11578" t="s">
        <v>44916</v>
      </c>
      <c r="S11578" t="s">
        <v>45313</v>
      </c>
      <c r="T11578" t="s">
        <v>46392</v>
      </c>
      <c r="U11578" t="s">
        <v>56178</v>
      </c>
      <c r="V11578" t="s">
        <v>60295</v>
      </c>
      <c r="W11578" t="s">
        <v>44336</v>
      </c>
      <c r="X11578" t="s">
        <v>44917</v>
      </c>
    </row>
    <row r="11579" spans="1:24">
      <c r="A11579">
        <f>HYPERLINK("https://www.philgeps.gov.ph/GEPSNONPILOT/Tender/SplashBidNoticeAbstractUI.aspx?menuIndex=3&amp;refID=7064517&amp;Result=3","7064517")</f>
        <v>0</v>
      </c>
      <c r="B11579" t="s">
        <v>3100</v>
      </c>
      <c r="C11579" t="s">
        <v>14572</v>
      </c>
      <c r="D11579" t="s">
        <v>18127</v>
      </c>
      <c r="E11579" t="s">
        <v>28236</v>
      </c>
      <c r="F11579" t="s">
        <v>31362</v>
      </c>
      <c r="G11579" t="s">
        <v>31369</v>
      </c>
      <c r="H11579" t="s">
        <v>31378</v>
      </c>
      <c r="I11579" t="s">
        <v>31386</v>
      </c>
      <c r="J11579" t="s">
        <v>38583</v>
      </c>
      <c r="K11579" t="s">
        <v>40679</v>
      </c>
      <c r="M11579" t="s">
        <v>44345</v>
      </c>
      <c r="N11579" t="s">
        <v>44905</v>
      </c>
      <c r="O11579" t="s">
        <v>44906</v>
      </c>
      <c r="P11579">
        <v>0</v>
      </c>
      <c r="Q11579">
        <v>10</v>
      </c>
      <c r="R11579" t="s">
        <v>44916</v>
      </c>
      <c r="S11579" t="s">
        <v>45313</v>
      </c>
      <c r="T11579" t="s">
        <v>46504</v>
      </c>
      <c r="U11579" t="s">
        <v>56179</v>
      </c>
      <c r="W11579" t="s">
        <v>44345</v>
      </c>
      <c r="X11579" t="s">
        <v>44917</v>
      </c>
    </row>
    <row r="11580" spans="1:24">
      <c r="A11580">
        <f>HYPERLINK("https://www.philgeps.gov.ph/GEPSNONPILOT/Tender/SplashBidNoticeAbstractUI.aspx?menuIndex=3&amp;refID=7064511&amp;Result=3","7064511")</f>
        <v>0</v>
      </c>
      <c r="B11580" t="s">
        <v>2875</v>
      </c>
      <c r="C11580" t="s">
        <v>14573</v>
      </c>
      <c r="D11580" t="s">
        <v>18100</v>
      </c>
      <c r="E11580" t="s">
        <v>18404</v>
      </c>
      <c r="F11580" t="s">
        <v>31362</v>
      </c>
      <c r="G11580" t="s">
        <v>31369</v>
      </c>
      <c r="H11580" t="s">
        <v>15799</v>
      </c>
      <c r="I11580" t="s">
        <v>31380</v>
      </c>
      <c r="J11580" t="s">
        <v>31768</v>
      </c>
      <c r="K11580" t="s">
        <v>40693</v>
      </c>
      <c r="M11580" t="s">
        <v>44084</v>
      </c>
      <c r="N11580" t="s">
        <v>44905</v>
      </c>
      <c r="O11580" t="s">
        <v>44906</v>
      </c>
      <c r="P11580">
        <v>0</v>
      </c>
      <c r="Q11580">
        <v>1</v>
      </c>
      <c r="R11580" t="s">
        <v>44916</v>
      </c>
      <c r="S11580" t="s">
        <v>45313</v>
      </c>
      <c r="T11580" t="s">
        <v>46693</v>
      </c>
      <c r="U11580" t="s">
        <v>56180</v>
      </c>
      <c r="W11580" t="s">
        <v>44084</v>
      </c>
      <c r="X11580" t="s">
        <v>44917</v>
      </c>
    </row>
    <row r="11581" spans="1:24">
      <c r="A11581">
        <f>HYPERLINK("https://www.philgeps.gov.ph/GEPSNONPILOT/Tender/SplashBidNoticeAbstractUI.aspx?menuIndex=3&amp;refID=7064505&amp;Result=3","7064505")</f>
        <v>0</v>
      </c>
      <c r="B11581" t="s">
        <v>3101</v>
      </c>
      <c r="C11581" t="s">
        <v>14574</v>
      </c>
      <c r="D11581" t="s">
        <v>18167</v>
      </c>
      <c r="E11581" t="s">
        <v>28237</v>
      </c>
      <c r="F11581" t="s">
        <v>31362</v>
      </c>
      <c r="G11581" t="s">
        <v>31369</v>
      </c>
      <c r="H11581" t="s">
        <v>15799</v>
      </c>
      <c r="I11581" t="s">
        <v>31409</v>
      </c>
      <c r="J11581" t="s">
        <v>34854</v>
      </c>
      <c r="K11581" t="s">
        <v>40665</v>
      </c>
      <c r="M11581" t="s">
        <v>44346</v>
      </c>
      <c r="N11581" t="s">
        <v>44905</v>
      </c>
      <c r="O11581" t="s">
        <v>44906</v>
      </c>
      <c r="P11581">
        <v>0</v>
      </c>
      <c r="Q11581">
        <v>1</v>
      </c>
      <c r="R11581" t="s">
        <v>44916</v>
      </c>
      <c r="S11581" t="s">
        <v>45313</v>
      </c>
      <c r="T11581" t="s">
        <v>46837</v>
      </c>
      <c r="U11581" t="s">
        <v>56181</v>
      </c>
      <c r="V11581" t="s">
        <v>60299</v>
      </c>
      <c r="W11581" t="s">
        <v>44346</v>
      </c>
      <c r="X11581" t="s">
        <v>44917</v>
      </c>
    </row>
    <row r="11582" spans="1:24">
      <c r="A11582">
        <f>HYPERLINK("https://www.philgeps.gov.ph/GEPSNONPILOT/Tender/SplashBidNoticeAbstractUI.aspx?menuIndex=3&amp;refID=7064387&amp;Result=3","7064387")</f>
        <v>0</v>
      </c>
      <c r="B11582" t="s">
        <v>3102</v>
      </c>
      <c r="C11582" t="s">
        <v>14575</v>
      </c>
      <c r="E11582" t="s">
        <v>20194</v>
      </c>
      <c r="F11582" t="s">
        <v>31362</v>
      </c>
      <c r="G11582" t="s">
        <v>31369</v>
      </c>
      <c r="H11582" t="s">
        <v>31378</v>
      </c>
      <c r="I11582" t="s">
        <v>31386</v>
      </c>
      <c r="J11582" t="s">
        <v>33868</v>
      </c>
      <c r="K11582" t="s">
        <v>40662</v>
      </c>
      <c r="M11582" t="s">
        <v>44347</v>
      </c>
      <c r="N11582" t="s">
        <v>44905</v>
      </c>
      <c r="O11582" t="s">
        <v>44906</v>
      </c>
      <c r="P11582">
        <v>0</v>
      </c>
      <c r="Q11582">
        <v>0</v>
      </c>
      <c r="R11582" t="s">
        <v>44916</v>
      </c>
      <c r="S11582" t="s">
        <v>45313</v>
      </c>
      <c r="T11582" t="s">
        <v>46560</v>
      </c>
      <c r="U11582" t="s">
        <v>56182</v>
      </c>
      <c r="W11582" t="s">
        <v>44347</v>
      </c>
      <c r="X11582" t="s">
        <v>44917</v>
      </c>
    </row>
    <row r="11583" spans="1:24">
      <c r="A11583">
        <f>HYPERLINK("https://www.philgeps.gov.ph/GEPSNONPILOT/Tender/SplashBidNoticeAbstractUI.aspx?menuIndex=3&amp;refID=7064495&amp;Result=3","7064495")</f>
        <v>0</v>
      </c>
      <c r="B11583" t="s">
        <v>117</v>
      </c>
      <c r="C11583" t="s">
        <v>14576</v>
      </c>
      <c r="D11583" t="s">
        <v>18104</v>
      </c>
      <c r="E11583" t="s">
        <v>28238</v>
      </c>
      <c r="F11583" t="s">
        <v>31362</v>
      </c>
      <c r="G11583" t="s">
        <v>31370</v>
      </c>
      <c r="H11583" t="s">
        <v>15799</v>
      </c>
      <c r="I11583" t="s">
        <v>4942</v>
      </c>
      <c r="J11583" t="s">
        <v>38584</v>
      </c>
      <c r="K11583" t="s">
        <v>40662</v>
      </c>
      <c r="M11583" t="s">
        <v>41054</v>
      </c>
      <c r="N11583" t="s">
        <v>44905</v>
      </c>
      <c r="O11583" t="s">
        <v>44906</v>
      </c>
      <c r="Q11583">
        <v>0</v>
      </c>
      <c r="R11583" t="s">
        <v>44916</v>
      </c>
      <c r="S11583" t="s">
        <v>45383</v>
      </c>
      <c r="T11583" t="s">
        <v>46467</v>
      </c>
      <c r="U11583" t="s">
        <v>56183</v>
      </c>
      <c r="W11583" t="s">
        <v>41054</v>
      </c>
      <c r="X11583" t="s">
        <v>44917</v>
      </c>
    </row>
    <row r="11584" spans="1:24">
      <c r="A11584">
        <f>HYPERLINK("https://www.philgeps.gov.ph/GEPSNONPILOT/Tender/SplashBidNoticeAbstractUI.aspx?menuIndex=3&amp;refID=7064479&amp;Result=3","7064479")</f>
        <v>0</v>
      </c>
      <c r="B11584" t="s">
        <v>2837</v>
      </c>
      <c r="C11584" t="s">
        <v>14577</v>
      </c>
      <c r="E11584" t="s">
        <v>28239</v>
      </c>
      <c r="F11584" t="s">
        <v>31362</v>
      </c>
      <c r="G11584" t="s">
        <v>31369</v>
      </c>
      <c r="H11584" t="s">
        <v>15799</v>
      </c>
      <c r="I11584" t="s">
        <v>31386</v>
      </c>
      <c r="J11584" t="s">
        <v>31615</v>
      </c>
      <c r="K11584" t="s">
        <v>40665</v>
      </c>
      <c r="M11584" t="s">
        <v>44038</v>
      </c>
      <c r="N11584" t="s">
        <v>44905</v>
      </c>
      <c r="O11584" t="s">
        <v>44906</v>
      </c>
      <c r="P11584">
        <v>0</v>
      </c>
      <c r="Q11584">
        <v>4</v>
      </c>
      <c r="R11584" t="s">
        <v>44916</v>
      </c>
      <c r="S11584" t="s">
        <v>45313</v>
      </c>
      <c r="T11584" t="s">
        <v>46569</v>
      </c>
      <c r="U11584" t="s">
        <v>56184</v>
      </c>
      <c r="W11584" t="s">
        <v>44038</v>
      </c>
      <c r="X11584" t="s">
        <v>44917</v>
      </c>
    </row>
    <row r="11585" spans="1:24">
      <c r="A11585">
        <f>HYPERLINK("https://www.philgeps.gov.ph/GEPSNONPILOT/Tender/SplashBidNoticeAbstractUI.aspx?menuIndex=3&amp;refID=7064528&amp;Result=3","7064528")</f>
        <v>0</v>
      </c>
      <c r="B11585" t="s">
        <v>2875</v>
      </c>
      <c r="C11585" t="s">
        <v>14578</v>
      </c>
      <c r="D11585" t="s">
        <v>18100</v>
      </c>
      <c r="E11585" t="s">
        <v>18415</v>
      </c>
      <c r="F11585" t="s">
        <v>31362</v>
      </c>
      <c r="G11585" t="s">
        <v>31369</v>
      </c>
      <c r="H11585" t="s">
        <v>15799</v>
      </c>
      <c r="I11585" t="s">
        <v>3815</v>
      </c>
      <c r="J11585" t="s">
        <v>31576</v>
      </c>
      <c r="K11585" t="s">
        <v>40693</v>
      </c>
      <c r="M11585" t="s">
        <v>44084</v>
      </c>
      <c r="N11585" t="s">
        <v>44905</v>
      </c>
      <c r="O11585" t="s">
        <v>44906</v>
      </c>
      <c r="P11585">
        <v>0</v>
      </c>
      <c r="Q11585">
        <v>0</v>
      </c>
      <c r="R11585" t="s">
        <v>44916</v>
      </c>
      <c r="S11585" t="s">
        <v>45313</v>
      </c>
      <c r="T11585" t="s">
        <v>46693</v>
      </c>
      <c r="U11585" t="s">
        <v>56185</v>
      </c>
      <c r="W11585" t="s">
        <v>44084</v>
      </c>
      <c r="X11585" t="s">
        <v>44917</v>
      </c>
    </row>
    <row r="11586" spans="1:24">
      <c r="A11586">
        <f>HYPERLINK("https://www.philgeps.gov.ph/GEPSNONPILOT/Tender/SplashBidNoticeAbstractUI.aspx?menuIndex=3&amp;refID=7064473&amp;Result=3","7064473")</f>
        <v>0</v>
      </c>
      <c r="B11586" t="s">
        <v>3103</v>
      </c>
      <c r="C11586" t="s">
        <v>12674</v>
      </c>
      <c r="D11586" t="s">
        <v>18167</v>
      </c>
      <c r="E11586" t="s">
        <v>28240</v>
      </c>
      <c r="F11586" t="s">
        <v>31362</v>
      </c>
      <c r="G11586" t="s">
        <v>31369</v>
      </c>
      <c r="H11586" t="s">
        <v>15799</v>
      </c>
      <c r="I11586" t="s">
        <v>3815</v>
      </c>
      <c r="J11586" t="s">
        <v>38585</v>
      </c>
      <c r="K11586" t="s">
        <v>40670</v>
      </c>
      <c r="M11586" t="s">
        <v>44348</v>
      </c>
      <c r="N11586" t="s">
        <v>44905</v>
      </c>
      <c r="O11586" t="s">
        <v>44906</v>
      </c>
      <c r="P11586">
        <v>0</v>
      </c>
      <c r="Q11586">
        <v>0</v>
      </c>
      <c r="R11586" t="s">
        <v>44916</v>
      </c>
      <c r="S11586" t="s">
        <v>45313</v>
      </c>
      <c r="T11586" t="s">
        <v>46504</v>
      </c>
      <c r="U11586" t="s">
        <v>56186</v>
      </c>
      <c r="W11586" t="s">
        <v>44348</v>
      </c>
      <c r="X11586" t="s">
        <v>44917</v>
      </c>
    </row>
    <row r="11587" spans="1:24">
      <c r="A11587">
        <f>HYPERLINK("https://www.philgeps.gov.ph/GEPSNONPILOT/Tender/SplashBidNoticeAbstractUI.aspx?menuIndex=3&amp;refID=7064509&amp;Result=3","7064509")</f>
        <v>0</v>
      </c>
      <c r="B11587" t="s">
        <v>117</v>
      </c>
      <c r="C11587" t="s">
        <v>14579</v>
      </c>
      <c r="D11587" t="s">
        <v>18104</v>
      </c>
      <c r="E11587" t="s">
        <v>28241</v>
      </c>
      <c r="F11587" t="s">
        <v>31362</v>
      </c>
      <c r="G11587" t="s">
        <v>31370</v>
      </c>
      <c r="H11587" t="s">
        <v>15799</v>
      </c>
      <c r="I11587" t="s">
        <v>4942</v>
      </c>
      <c r="J11587" t="s">
        <v>38586</v>
      </c>
      <c r="K11587" t="s">
        <v>40662</v>
      </c>
      <c r="M11587" t="s">
        <v>41054</v>
      </c>
      <c r="N11587" t="s">
        <v>44905</v>
      </c>
      <c r="O11587" t="s">
        <v>44906</v>
      </c>
      <c r="Q11587">
        <v>0</v>
      </c>
      <c r="R11587" t="s">
        <v>44916</v>
      </c>
      <c r="S11587" t="s">
        <v>45384</v>
      </c>
      <c r="T11587" t="s">
        <v>46467</v>
      </c>
      <c r="U11587" t="s">
        <v>56187</v>
      </c>
      <c r="W11587" t="s">
        <v>41054</v>
      </c>
      <c r="X11587" t="s">
        <v>44917</v>
      </c>
    </row>
    <row r="11588" spans="1:24">
      <c r="A11588">
        <f>HYPERLINK("https://www.philgeps.gov.ph/GEPSNONPILOT/Tender/SplashBidNoticeAbstractUI.aspx?menuIndex=3&amp;refID=7064504&amp;Result=3","7064504")</f>
        <v>0</v>
      </c>
      <c r="B11588" t="s">
        <v>720</v>
      </c>
      <c r="C11588" t="s">
        <v>14580</v>
      </c>
      <c r="D11588" t="s">
        <v>18151</v>
      </c>
      <c r="E11588" t="s">
        <v>19844</v>
      </c>
      <c r="F11588" t="s">
        <v>31362</v>
      </c>
      <c r="G11588" t="s">
        <v>31369</v>
      </c>
      <c r="H11588" t="s">
        <v>31377</v>
      </c>
      <c r="I11588" t="s">
        <v>31412</v>
      </c>
      <c r="J11588" t="s">
        <v>33327</v>
      </c>
      <c r="K11588" t="s">
        <v>40665</v>
      </c>
      <c r="M11588" t="s">
        <v>41685</v>
      </c>
      <c r="N11588" t="s">
        <v>44905</v>
      </c>
      <c r="O11588" t="s">
        <v>44906</v>
      </c>
      <c r="P11588">
        <v>0</v>
      </c>
      <c r="Q11588">
        <v>2</v>
      </c>
      <c r="R11588" t="s">
        <v>44916</v>
      </c>
      <c r="S11588" t="s">
        <v>45313</v>
      </c>
      <c r="T11588" t="s">
        <v>46452</v>
      </c>
      <c r="U11588" t="s">
        <v>56188</v>
      </c>
      <c r="V11588" t="s">
        <v>59231</v>
      </c>
      <c r="W11588" t="s">
        <v>41685</v>
      </c>
      <c r="X11588" t="s">
        <v>44917</v>
      </c>
    </row>
    <row r="11589" spans="1:24">
      <c r="A11589">
        <f>HYPERLINK("https://www.philgeps.gov.ph/GEPSNONPILOT/Tender/SplashBidNoticeAbstractUI.aspx?menuIndex=3&amp;refID=7064464&amp;Result=3","7064464")</f>
        <v>0</v>
      </c>
      <c r="B11589" t="s">
        <v>762</v>
      </c>
      <c r="C11589" t="s">
        <v>14581</v>
      </c>
      <c r="D11589" t="s">
        <v>18108</v>
      </c>
      <c r="E11589" t="s">
        <v>28242</v>
      </c>
      <c r="F11589" t="s">
        <v>31362</v>
      </c>
      <c r="G11589" t="s">
        <v>31369</v>
      </c>
      <c r="H11589" t="s">
        <v>15799</v>
      </c>
      <c r="I11589" t="s">
        <v>3815</v>
      </c>
      <c r="J11589" t="s">
        <v>38587</v>
      </c>
      <c r="K11589" t="s">
        <v>40683</v>
      </c>
      <c r="M11589" t="s">
        <v>44349</v>
      </c>
      <c r="N11589" t="s">
        <v>44905</v>
      </c>
      <c r="O11589" t="s">
        <v>44906</v>
      </c>
      <c r="Q11589">
        <v>11</v>
      </c>
      <c r="R11589" t="s">
        <v>44916</v>
      </c>
      <c r="S11589" t="s">
        <v>45385</v>
      </c>
      <c r="T11589" t="s">
        <v>46519</v>
      </c>
      <c r="U11589" t="s">
        <v>56189</v>
      </c>
      <c r="W11589" t="s">
        <v>44349</v>
      </c>
      <c r="X11589" t="s">
        <v>44917</v>
      </c>
    </row>
    <row r="11590" spans="1:24">
      <c r="A11590">
        <f>HYPERLINK("https://www.philgeps.gov.ph/GEPSNONPILOT/Tender/SplashBidNoticeAbstractUI.aspx?menuIndex=3&amp;refID=7064439&amp;Result=3","7064439")</f>
        <v>0</v>
      </c>
      <c r="B11590" t="s">
        <v>3104</v>
      </c>
      <c r="C11590" t="s">
        <v>14582</v>
      </c>
      <c r="D11590" t="s">
        <v>18108</v>
      </c>
      <c r="E11590" t="s">
        <v>28243</v>
      </c>
      <c r="F11590" t="s">
        <v>31362</v>
      </c>
      <c r="G11590" t="s">
        <v>31369</v>
      </c>
      <c r="H11590" t="s">
        <v>31378</v>
      </c>
      <c r="I11590" t="s">
        <v>31386</v>
      </c>
      <c r="J11590" t="s">
        <v>38588</v>
      </c>
      <c r="K11590" t="s">
        <v>40686</v>
      </c>
      <c r="M11590" t="s">
        <v>44350</v>
      </c>
      <c r="N11590" t="s">
        <v>44905</v>
      </c>
      <c r="O11590" t="s">
        <v>44906</v>
      </c>
      <c r="P11590">
        <v>0</v>
      </c>
      <c r="Q11590">
        <v>4</v>
      </c>
      <c r="R11590" t="s">
        <v>44916</v>
      </c>
      <c r="S11590" t="s">
        <v>45313</v>
      </c>
      <c r="T11590" t="s">
        <v>46486</v>
      </c>
      <c r="U11590" t="s">
        <v>56190</v>
      </c>
      <c r="W11590" t="s">
        <v>44350</v>
      </c>
      <c r="X11590" t="s">
        <v>44917</v>
      </c>
    </row>
    <row r="11591" spans="1:24">
      <c r="A11591">
        <f>HYPERLINK("https://www.philgeps.gov.ph/GEPSNONPILOT/Tender/SplashBidNoticeAbstractUI.aspx?menuIndex=3&amp;refID=7064437&amp;Result=3","7064437")</f>
        <v>0</v>
      </c>
      <c r="B11591" t="s">
        <v>2875</v>
      </c>
      <c r="C11591" t="s">
        <v>14583</v>
      </c>
      <c r="D11591" t="s">
        <v>18100</v>
      </c>
      <c r="E11591" t="s">
        <v>19989</v>
      </c>
      <c r="F11591" t="s">
        <v>31362</v>
      </c>
      <c r="G11591" t="s">
        <v>31369</v>
      </c>
      <c r="H11591" t="s">
        <v>15799</v>
      </c>
      <c r="I11591" t="s">
        <v>31385</v>
      </c>
      <c r="J11591" t="s">
        <v>38589</v>
      </c>
      <c r="K11591" t="s">
        <v>40693</v>
      </c>
      <c r="M11591" t="s">
        <v>44084</v>
      </c>
      <c r="N11591" t="s">
        <v>44905</v>
      </c>
      <c r="O11591" t="s">
        <v>44906</v>
      </c>
      <c r="P11591">
        <v>0</v>
      </c>
      <c r="Q11591">
        <v>0</v>
      </c>
      <c r="R11591" t="s">
        <v>44916</v>
      </c>
      <c r="S11591" t="s">
        <v>45313</v>
      </c>
      <c r="T11591" t="s">
        <v>46693</v>
      </c>
      <c r="U11591" t="s">
        <v>56191</v>
      </c>
      <c r="W11591" t="s">
        <v>44084</v>
      </c>
      <c r="X11591" t="s">
        <v>44917</v>
      </c>
    </row>
    <row r="11592" spans="1:24">
      <c r="A11592">
        <f>HYPERLINK("https://www.philgeps.gov.ph/GEPSNONPILOT/Tender/SplashBidNoticeAbstractUI.aspx?menuIndex=3&amp;refID=7064538&amp;Result=3","7064538")</f>
        <v>0</v>
      </c>
      <c r="B11592" t="s">
        <v>1635</v>
      </c>
      <c r="C11592" t="s">
        <v>14584</v>
      </c>
      <c r="D11592" t="s">
        <v>18136</v>
      </c>
      <c r="E11592" t="s">
        <v>28244</v>
      </c>
      <c r="F11592" t="s">
        <v>31362</v>
      </c>
      <c r="G11592" t="s">
        <v>31369</v>
      </c>
      <c r="H11592" t="s">
        <v>15799</v>
      </c>
      <c r="I11592" t="s">
        <v>7090</v>
      </c>
      <c r="J11592" t="s">
        <v>38590</v>
      </c>
      <c r="K11592" t="s">
        <v>40680</v>
      </c>
      <c r="M11592" t="s">
        <v>42696</v>
      </c>
      <c r="N11592" t="s">
        <v>44905</v>
      </c>
      <c r="O11592" t="s">
        <v>44906</v>
      </c>
      <c r="P11592">
        <v>0</v>
      </c>
      <c r="Q11592">
        <v>3</v>
      </c>
      <c r="R11592" t="s">
        <v>44916</v>
      </c>
      <c r="S11592" t="s">
        <v>45313</v>
      </c>
      <c r="T11592" t="s">
        <v>46533</v>
      </c>
      <c r="U11592" t="s">
        <v>56192</v>
      </c>
      <c r="W11592" t="s">
        <v>44354</v>
      </c>
      <c r="X11592" t="s">
        <v>44917</v>
      </c>
    </row>
    <row r="11593" spans="1:24">
      <c r="A11593">
        <f>HYPERLINK("https://www.philgeps.gov.ph/GEPSNONPILOT/Tender/SplashBidNoticeAbstractUI.aspx?menuIndex=3&amp;refID=7051864&amp;Result=3","7051864")</f>
        <v>0</v>
      </c>
      <c r="B11593" t="s">
        <v>3105</v>
      </c>
      <c r="C11593" t="s">
        <v>14585</v>
      </c>
      <c r="D11593" t="s">
        <v>18117</v>
      </c>
      <c r="E11593" t="s">
        <v>18553</v>
      </c>
      <c r="F11593" t="s">
        <v>31362</v>
      </c>
      <c r="G11593" t="s">
        <v>31369</v>
      </c>
      <c r="H11593" t="s">
        <v>31378</v>
      </c>
      <c r="I11593" t="s">
        <v>31386</v>
      </c>
      <c r="J11593" t="s">
        <v>31637</v>
      </c>
      <c r="K11593" t="s">
        <v>40686</v>
      </c>
      <c r="M11593" t="s">
        <v>44351</v>
      </c>
      <c r="N11593" t="s">
        <v>44905</v>
      </c>
      <c r="O11593" t="s">
        <v>44906</v>
      </c>
      <c r="P11593">
        <v>0</v>
      </c>
      <c r="Q11593">
        <v>1</v>
      </c>
      <c r="R11593" t="s">
        <v>44917</v>
      </c>
      <c r="S11593" t="s">
        <v>45386</v>
      </c>
      <c r="T11593" t="s">
        <v>46413</v>
      </c>
      <c r="U11593" t="s">
        <v>56193</v>
      </c>
      <c r="W11593" t="s">
        <v>44351</v>
      </c>
      <c r="X11593" t="s">
        <v>44923</v>
      </c>
    </row>
    <row r="11594" spans="1:24">
      <c r="A11594">
        <f>HYPERLINK("https://www.philgeps.gov.ph/GEPSNONPILOT/Tender/SplashBidNoticeAbstractUI.aspx?menuIndex=3&amp;refID=7050141&amp;Result=3","7050141")</f>
        <v>0</v>
      </c>
      <c r="B11594" t="s">
        <v>3106</v>
      </c>
      <c r="C11594" t="s">
        <v>14586</v>
      </c>
      <c r="D11594" t="s">
        <v>18113</v>
      </c>
      <c r="E11594" t="s">
        <v>28245</v>
      </c>
      <c r="F11594" t="s">
        <v>31362</v>
      </c>
      <c r="G11594" t="s">
        <v>31369</v>
      </c>
      <c r="H11594" t="s">
        <v>15799</v>
      </c>
      <c r="I11594" t="s">
        <v>31409</v>
      </c>
      <c r="J11594" t="s">
        <v>38591</v>
      </c>
      <c r="K11594" t="s">
        <v>40675</v>
      </c>
      <c r="M11594" t="s">
        <v>44352</v>
      </c>
      <c r="N11594" t="s">
        <v>44905</v>
      </c>
      <c r="O11594" t="s">
        <v>44906</v>
      </c>
      <c r="P11594">
        <v>0</v>
      </c>
      <c r="Q11594">
        <v>4</v>
      </c>
      <c r="R11594" t="s">
        <v>44917</v>
      </c>
      <c r="S11594" t="s">
        <v>45386</v>
      </c>
      <c r="T11594" t="s">
        <v>46452</v>
      </c>
      <c r="U11594" t="s">
        <v>56194</v>
      </c>
      <c r="W11594" t="s">
        <v>44352</v>
      </c>
      <c r="X11594" t="s">
        <v>44923</v>
      </c>
    </row>
    <row r="11595" spans="1:24">
      <c r="A11595">
        <f>HYPERLINK("https://www.philgeps.gov.ph/GEPSNONPILOT/Tender/SplashBidNoticeAbstractUI.aspx?menuIndex=3&amp;refID=7064465&amp;Result=3","7064465")</f>
        <v>0</v>
      </c>
      <c r="B11595" t="s">
        <v>117</v>
      </c>
      <c r="C11595" t="s">
        <v>14587</v>
      </c>
      <c r="D11595" t="s">
        <v>18104</v>
      </c>
      <c r="E11595" t="s">
        <v>28246</v>
      </c>
      <c r="F11595" t="s">
        <v>31362</v>
      </c>
      <c r="G11595" t="s">
        <v>31370</v>
      </c>
      <c r="H11595" t="s">
        <v>15799</v>
      </c>
      <c r="I11595" t="s">
        <v>31442</v>
      </c>
      <c r="J11595" t="s">
        <v>38592</v>
      </c>
      <c r="K11595" t="s">
        <v>40662</v>
      </c>
      <c r="M11595" t="s">
        <v>41054</v>
      </c>
      <c r="N11595" t="s">
        <v>44905</v>
      </c>
      <c r="O11595" t="s">
        <v>44906</v>
      </c>
      <c r="Q11595">
        <v>2</v>
      </c>
      <c r="R11595" t="s">
        <v>44916</v>
      </c>
      <c r="S11595" t="s">
        <v>45387</v>
      </c>
      <c r="T11595" t="s">
        <v>46467</v>
      </c>
      <c r="U11595" t="s">
        <v>56195</v>
      </c>
      <c r="W11595" t="s">
        <v>41054</v>
      </c>
      <c r="X11595" t="s">
        <v>44917</v>
      </c>
    </row>
    <row r="11596" spans="1:24">
      <c r="A11596">
        <f>HYPERLINK("https://www.philgeps.gov.ph/GEPSNONPILOT/Tender/SplashBidNoticeAbstractUI.aspx?menuIndex=3&amp;refID=7050113&amp;Result=3","7050113")</f>
        <v>0</v>
      </c>
      <c r="B11596" t="s">
        <v>2962</v>
      </c>
      <c r="C11596" t="s">
        <v>14588</v>
      </c>
      <c r="D11596" t="s">
        <v>18122</v>
      </c>
      <c r="E11596" t="s">
        <v>18476</v>
      </c>
      <c r="F11596" t="s">
        <v>31362</v>
      </c>
      <c r="G11596" t="s">
        <v>31369</v>
      </c>
      <c r="H11596" t="s">
        <v>31378</v>
      </c>
      <c r="I11596" t="s">
        <v>31386</v>
      </c>
      <c r="J11596" t="s">
        <v>38593</v>
      </c>
      <c r="K11596" t="s">
        <v>40682</v>
      </c>
      <c r="M11596" t="s">
        <v>44185</v>
      </c>
      <c r="N11596" t="s">
        <v>44905</v>
      </c>
      <c r="O11596" t="s">
        <v>44906</v>
      </c>
      <c r="P11596">
        <v>0</v>
      </c>
      <c r="Q11596">
        <v>4</v>
      </c>
      <c r="R11596" t="s">
        <v>44917</v>
      </c>
      <c r="S11596" t="s">
        <v>45386</v>
      </c>
      <c r="T11596" t="s">
        <v>46400</v>
      </c>
      <c r="U11596" t="s">
        <v>56196</v>
      </c>
      <c r="W11596" t="s">
        <v>44185</v>
      </c>
      <c r="X11596" t="s">
        <v>44923</v>
      </c>
    </row>
    <row r="11597" spans="1:24">
      <c r="A11597">
        <f>HYPERLINK("https://www.philgeps.gov.ph/GEPSNONPILOT/Tender/SplashBidNoticeAbstractUI.aspx?menuIndex=3&amp;refID=7064490&amp;Result=3","7064490")</f>
        <v>0</v>
      </c>
      <c r="B11597" t="s">
        <v>3101</v>
      </c>
      <c r="C11597" t="s">
        <v>14589</v>
      </c>
      <c r="D11597" t="s">
        <v>18167</v>
      </c>
      <c r="E11597" t="s">
        <v>28247</v>
      </c>
      <c r="F11597" t="s">
        <v>31362</v>
      </c>
      <c r="G11597" t="s">
        <v>31369</v>
      </c>
      <c r="H11597" t="s">
        <v>15799</v>
      </c>
      <c r="I11597" t="s">
        <v>7090</v>
      </c>
      <c r="J11597" t="s">
        <v>38594</v>
      </c>
      <c r="K11597" t="s">
        <v>40677</v>
      </c>
      <c r="M11597" t="s">
        <v>44346</v>
      </c>
      <c r="N11597" t="s">
        <v>44905</v>
      </c>
      <c r="O11597" t="s">
        <v>44906</v>
      </c>
      <c r="P11597">
        <v>0</v>
      </c>
      <c r="Q11597">
        <v>1</v>
      </c>
      <c r="R11597" t="s">
        <v>44916</v>
      </c>
      <c r="S11597" t="s">
        <v>45313</v>
      </c>
      <c r="T11597" t="s">
        <v>46837</v>
      </c>
      <c r="U11597" t="s">
        <v>56197</v>
      </c>
      <c r="V11597" t="s">
        <v>60299</v>
      </c>
      <c r="W11597" t="s">
        <v>44346</v>
      </c>
      <c r="X11597" t="s">
        <v>44917</v>
      </c>
    </row>
    <row r="11598" spans="1:24">
      <c r="A11598">
        <f>HYPERLINK("https://www.philgeps.gov.ph/GEPSNONPILOT/Tender/SplashBidNoticeAbstractUI.aspx?menuIndex=3&amp;refID=7064279&amp;Result=3","7064279")</f>
        <v>0</v>
      </c>
      <c r="B11598" t="s">
        <v>3092</v>
      </c>
      <c r="C11598" t="s">
        <v>14590</v>
      </c>
      <c r="D11598" t="s">
        <v>18155</v>
      </c>
      <c r="E11598" t="s">
        <v>28248</v>
      </c>
      <c r="F11598" t="s">
        <v>31362</v>
      </c>
      <c r="G11598" t="s">
        <v>31369</v>
      </c>
      <c r="H11598" t="s">
        <v>31378</v>
      </c>
      <c r="I11598" t="s">
        <v>31386</v>
      </c>
      <c r="J11598" t="s">
        <v>31578</v>
      </c>
      <c r="K11598" t="s">
        <v>40861</v>
      </c>
      <c r="M11598" t="s">
        <v>44336</v>
      </c>
      <c r="N11598" t="s">
        <v>44905</v>
      </c>
      <c r="O11598" t="s">
        <v>44906</v>
      </c>
      <c r="P11598">
        <v>0</v>
      </c>
      <c r="Q11598">
        <v>0</v>
      </c>
      <c r="R11598" t="s">
        <v>44916</v>
      </c>
      <c r="S11598" t="s">
        <v>45313</v>
      </c>
      <c r="T11598" t="s">
        <v>46392</v>
      </c>
      <c r="U11598" t="s">
        <v>56169</v>
      </c>
      <c r="V11598" t="s">
        <v>60295</v>
      </c>
      <c r="W11598" t="s">
        <v>44336</v>
      </c>
      <c r="X11598" t="s">
        <v>44917</v>
      </c>
    </row>
    <row r="11599" spans="1:24">
      <c r="A11599">
        <f>HYPERLINK("https://www.philgeps.gov.ph/GEPSNONPILOT/Tender/SplashBidNoticeAbstractUI.aspx?menuIndex=3&amp;refID=7049313&amp;Result=3","7049313")</f>
        <v>0</v>
      </c>
      <c r="B11599" t="s">
        <v>658</v>
      </c>
      <c r="C11599" t="s">
        <v>14591</v>
      </c>
      <c r="D11599" t="s">
        <v>18108</v>
      </c>
      <c r="E11599" t="s">
        <v>28249</v>
      </c>
      <c r="F11599" t="s">
        <v>31362</v>
      </c>
      <c r="G11599" t="s">
        <v>31369</v>
      </c>
      <c r="H11599" t="s">
        <v>15799</v>
      </c>
      <c r="I11599" t="s">
        <v>31406</v>
      </c>
      <c r="J11599" t="s">
        <v>38595</v>
      </c>
      <c r="K11599" t="s">
        <v>40662</v>
      </c>
      <c r="M11599" t="s">
        <v>41912</v>
      </c>
      <c r="N11599" t="s">
        <v>44905</v>
      </c>
      <c r="O11599" t="s">
        <v>44906</v>
      </c>
      <c r="P11599">
        <v>0</v>
      </c>
      <c r="Q11599">
        <v>3</v>
      </c>
      <c r="R11599" t="s">
        <v>44917</v>
      </c>
      <c r="S11599" t="s">
        <v>45386</v>
      </c>
      <c r="T11599" t="s">
        <v>46499</v>
      </c>
      <c r="U11599" t="s">
        <v>56198</v>
      </c>
      <c r="W11599" t="s">
        <v>41912</v>
      </c>
      <c r="X11599" t="s">
        <v>44924</v>
      </c>
    </row>
    <row r="11600" spans="1:24">
      <c r="A11600">
        <f>HYPERLINK("https://www.philgeps.gov.ph/GEPSNONPILOT/Tender/SplashBidNoticeAbstractUI.aspx?menuIndex=3&amp;refID=7048687&amp;Result=3","7048687")</f>
        <v>0</v>
      </c>
      <c r="B11600" t="s">
        <v>375</v>
      </c>
      <c r="C11600" t="s">
        <v>14592</v>
      </c>
      <c r="D11600" t="s">
        <v>18177</v>
      </c>
      <c r="E11600" t="s">
        <v>28250</v>
      </c>
      <c r="F11600" t="s">
        <v>31362</v>
      </c>
      <c r="G11600" t="s">
        <v>31369</v>
      </c>
      <c r="H11600" t="s">
        <v>31378</v>
      </c>
      <c r="I11600" t="s">
        <v>31386</v>
      </c>
      <c r="J11600" t="s">
        <v>31634</v>
      </c>
      <c r="K11600" t="s">
        <v>40686</v>
      </c>
      <c r="M11600" t="s">
        <v>41322</v>
      </c>
      <c r="N11600" t="s">
        <v>44905</v>
      </c>
      <c r="O11600" t="s">
        <v>44906</v>
      </c>
      <c r="P11600">
        <v>0</v>
      </c>
      <c r="Q11600">
        <v>0</v>
      </c>
      <c r="R11600" t="s">
        <v>44917</v>
      </c>
      <c r="S11600" t="s">
        <v>45386</v>
      </c>
      <c r="T11600" t="s">
        <v>46462</v>
      </c>
      <c r="U11600" t="s">
        <v>56199</v>
      </c>
      <c r="W11600" t="s">
        <v>41322</v>
      </c>
      <c r="X11600" t="s">
        <v>44924</v>
      </c>
    </row>
    <row r="11601" spans="1:24">
      <c r="A11601">
        <f>HYPERLINK("https://www.philgeps.gov.ph/GEPSNONPILOT/Tender/SplashBidNoticeAbstractUI.aspx?menuIndex=3&amp;refID=7037731-2&amp;Result=3","7037731-2")</f>
        <v>0</v>
      </c>
      <c r="B11601" t="s">
        <v>203</v>
      </c>
      <c r="C11601" t="s">
        <v>14593</v>
      </c>
      <c r="D11601" t="s">
        <v>18153</v>
      </c>
      <c r="E11601" t="s">
        <v>28251</v>
      </c>
      <c r="F11601" t="s">
        <v>31362</v>
      </c>
      <c r="G11601" t="s">
        <v>31369</v>
      </c>
      <c r="H11601" t="s">
        <v>31377</v>
      </c>
      <c r="I11601" t="s">
        <v>31377</v>
      </c>
      <c r="J11601" t="s">
        <v>38596</v>
      </c>
      <c r="K11601" t="s">
        <v>40682</v>
      </c>
      <c r="M11601" t="s">
        <v>44353</v>
      </c>
      <c r="N11601" t="s">
        <v>44905</v>
      </c>
      <c r="O11601" t="s">
        <v>44906</v>
      </c>
      <c r="P11601">
        <v>0</v>
      </c>
      <c r="Q11601">
        <v>1</v>
      </c>
      <c r="R11601" t="s">
        <v>44917</v>
      </c>
      <c r="S11601" t="s">
        <v>45386</v>
      </c>
      <c r="T11601" t="s">
        <v>46447</v>
      </c>
      <c r="U11601" t="s">
        <v>56200</v>
      </c>
      <c r="W11601" t="s">
        <v>44353</v>
      </c>
      <c r="X11601" t="s">
        <v>44918</v>
      </c>
    </row>
    <row r="11602" spans="1:24">
      <c r="A11602">
        <f>HYPERLINK("https://www.philgeps.gov.ph/GEPSNONPILOT/Tender/SplashBidNoticeAbstractUI.aspx?menuIndex=3&amp;refID=7037629-2&amp;Result=3","7037629-2")</f>
        <v>0</v>
      </c>
      <c r="B11602" t="s">
        <v>203</v>
      </c>
      <c r="C11602" t="s">
        <v>14594</v>
      </c>
      <c r="D11602" t="s">
        <v>18153</v>
      </c>
      <c r="E11602" t="s">
        <v>28252</v>
      </c>
      <c r="F11602" t="s">
        <v>31362</v>
      </c>
      <c r="G11602" t="s">
        <v>31369</v>
      </c>
      <c r="H11602" t="s">
        <v>31377</v>
      </c>
      <c r="I11602" t="s">
        <v>31377</v>
      </c>
      <c r="J11602" t="s">
        <v>38596</v>
      </c>
      <c r="K11602" t="s">
        <v>40682</v>
      </c>
      <c r="M11602" t="s">
        <v>44353</v>
      </c>
      <c r="N11602" t="s">
        <v>44905</v>
      </c>
      <c r="O11602" t="s">
        <v>44906</v>
      </c>
      <c r="P11602">
        <v>0</v>
      </c>
      <c r="Q11602">
        <v>1</v>
      </c>
      <c r="R11602" t="s">
        <v>44917</v>
      </c>
      <c r="S11602" t="s">
        <v>45386</v>
      </c>
      <c r="T11602" t="s">
        <v>46447</v>
      </c>
      <c r="U11602" t="s">
        <v>56201</v>
      </c>
      <c r="W11602" t="s">
        <v>44353</v>
      </c>
      <c r="X11602" t="s">
        <v>44918</v>
      </c>
    </row>
    <row r="11603" spans="1:24">
      <c r="A11603">
        <f>HYPERLINK("https://www.philgeps.gov.ph/GEPSNONPILOT/Tender/SplashBidNoticeAbstractUI.aspx?menuIndex=3&amp;refID=7032304-2&amp;Result=3","7032304-2")</f>
        <v>0</v>
      </c>
      <c r="B11603" t="s">
        <v>906</v>
      </c>
      <c r="C11603" t="s">
        <v>14595</v>
      </c>
      <c r="E11603" t="s">
        <v>28253</v>
      </c>
      <c r="F11603" t="s">
        <v>31362</v>
      </c>
      <c r="G11603" t="s">
        <v>31369</v>
      </c>
      <c r="H11603" t="s">
        <v>31377</v>
      </c>
      <c r="I11603" t="s">
        <v>31377</v>
      </c>
      <c r="J11603" t="s">
        <v>38597</v>
      </c>
      <c r="K11603" t="s">
        <v>40662</v>
      </c>
      <c r="M11603" t="s">
        <v>41888</v>
      </c>
      <c r="N11603" t="s">
        <v>44905</v>
      </c>
      <c r="O11603" t="s">
        <v>44906</v>
      </c>
      <c r="Q11603">
        <v>0</v>
      </c>
      <c r="R11603" t="s">
        <v>44917</v>
      </c>
      <c r="S11603" t="s">
        <v>45388</v>
      </c>
      <c r="T11603" t="s">
        <v>46481</v>
      </c>
      <c r="U11603" t="s">
        <v>56202</v>
      </c>
      <c r="V11603" t="s">
        <v>60300</v>
      </c>
      <c r="W11603" t="s">
        <v>41888</v>
      </c>
      <c r="X11603" t="s">
        <v>44918</v>
      </c>
    </row>
    <row r="11604" spans="1:24">
      <c r="A11604">
        <f>HYPERLINK("https://www.philgeps.gov.ph/GEPSNONPILOT/Tender/SplashBidNoticeAbstractUI.aspx?menuIndex=3&amp;refID=7032302-2&amp;Result=3","7032302-2")</f>
        <v>0</v>
      </c>
      <c r="B11604" t="s">
        <v>906</v>
      </c>
      <c r="C11604" t="s">
        <v>14596</v>
      </c>
      <c r="E11604" t="s">
        <v>28254</v>
      </c>
      <c r="F11604" t="s">
        <v>31362</v>
      </c>
      <c r="G11604" t="s">
        <v>31369</v>
      </c>
      <c r="H11604" t="s">
        <v>31377</v>
      </c>
      <c r="I11604" t="s">
        <v>31377</v>
      </c>
      <c r="J11604" t="s">
        <v>38598</v>
      </c>
      <c r="K11604" t="s">
        <v>40662</v>
      </c>
      <c r="M11604" t="s">
        <v>41888</v>
      </c>
      <c r="N11604" t="s">
        <v>44905</v>
      </c>
      <c r="O11604" t="s">
        <v>44906</v>
      </c>
      <c r="Q11604">
        <v>0</v>
      </c>
      <c r="R11604" t="s">
        <v>44917</v>
      </c>
      <c r="S11604" t="s">
        <v>45389</v>
      </c>
      <c r="T11604" t="s">
        <v>46481</v>
      </c>
      <c r="U11604" t="s">
        <v>56203</v>
      </c>
      <c r="V11604" t="s">
        <v>60301</v>
      </c>
      <c r="W11604" t="s">
        <v>41888</v>
      </c>
      <c r="X11604" t="s">
        <v>44918</v>
      </c>
    </row>
    <row r="11605" spans="1:24">
      <c r="A11605">
        <f>HYPERLINK("https://www.philgeps.gov.ph/GEPSNONPILOT/Tender/SplashBidNoticeAbstractUI.aspx?menuIndex=3&amp;refID=7064523&amp;Result=3","7064523")</f>
        <v>0</v>
      </c>
      <c r="B11605" t="s">
        <v>2875</v>
      </c>
      <c r="C11605" t="s">
        <v>14597</v>
      </c>
      <c r="D11605" t="s">
        <v>18100</v>
      </c>
      <c r="E11605" t="s">
        <v>18421</v>
      </c>
      <c r="F11605" t="s">
        <v>31362</v>
      </c>
      <c r="G11605" t="s">
        <v>31369</v>
      </c>
      <c r="H11605" t="s">
        <v>15799</v>
      </c>
      <c r="I11605" t="s">
        <v>31464</v>
      </c>
      <c r="J11605" t="s">
        <v>32235</v>
      </c>
      <c r="K11605" t="s">
        <v>40693</v>
      </c>
      <c r="M11605" t="s">
        <v>44084</v>
      </c>
      <c r="N11605" t="s">
        <v>44905</v>
      </c>
      <c r="O11605" t="s">
        <v>44906</v>
      </c>
      <c r="P11605">
        <v>0</v>
      </c>
      <c r="Q11605">
        <v>0</v>
      </c>
      <c r="R11605" t="s">
        <v>44916</v>
      </c>
      <c r="S11605" t="s">
        <v>45313</v>
      </c>
      <c r="T11605" t="s">
        <v>46693</v>
      </c>
      <c r="U11605" t="s">
        <v>56204</v>
      </c>
      <c r="W11605" t="s">
        <v>44084</v>
      </c>
      <c r="X11605" t="s">
        <v>44917</v>
      </c>
    </row>
    <row r="11606" spans="1:24">
      <c r="A11606">
        <f>HYPERLINK("https://www.philgeps.gov.ph/GEPSNONPILOT/Tender/SplashBidNoticeAbstractUI.aspx?menuIndex=3&amp;refID=7049369&amp;Result=3","7049369")</f>
        <v>0</v>
      </c>
      <c r="B11606" t="s">
        <v>658</v>
      </c>
      <c r="C11606" t="s">
        <v>14598</v>
      </c>
      <c r="D11606" t="s">
        <v>18108</v>
      </c>
      <c r="E11606" t="s">
        <v>28255</v>
      </c>
      <c r="F11606" t="s">
        <v>31362</v>
      </c>
      <c r="G11606" t="s">
        <v>31369</v>
      </c>
      <c r="H11606" t="s">
        <v>15799</v>
      </c>
      <c r="I11606" t="s">
        <v>31385</v>
      </c>
      <c r="J11606" t="s">
        <v>38599</v>
      </c>
      <c r="K11606" t="s">
        <v>40662</v>
      </c>
      <c r="M11606" t="s">
        <v>41912</v>
      </c>
      <c r="N11606" t="s">
        <v>44905</v>
      </c>
      <c r="O11606" t="s">
        <v>44906</v>
      </c>
      <c r="P11606">
        <v>0</v>
      </c>
      <c r="Q11606">
        <v>3</v>
      </c>
      <c r="R11606" t="s">
        <v>44917</v>
      </c>
      <c r="S11606" t="s">
        <v>45386</v>
      </c>
      <c r="T11606" t="s">
        <v>46499</v>
      </c>
      <c r="U11606" t="s">
        <v>56205</v>
      </c>
      <c r="W11606" t="s">
        <v>41912</v>
      </c>
      <c r="X11606" t="s">
        <v>44924</v>
      </c>
    </row>
    <row r="11607" spans="1:24">
      <c r="A11607">
        <f>HYPERLINK("https://www.philgeps.gov.ph/GEPSNONPILOT/Tender/SplashBidNoticeAbstractUI.aspx?menuIndex=3&amp;refID=7064550&amp;Result=3","7064550")</f>
        <v>0</v>
      </c>
      <c r="B11607" t="s">
        <v>1635</v>
      </c>
      <c r="C11607" t="s">
        <v>14599</v>
      </c>
      <c r="D11607" t="s">
        <v>18136</v>
      </c>
      <c r="E11607" t="s">
        <v>28256</v>
      </c>
      <c r="F11607" t="s">
        <v>31362</v>
      </c>
      <c r="G11607" t="s">
        <v>31369</v>
      </c>
      <c r="H11607" t="s">
        <v>15799</v>
      </c>
      <c r="I11607" t="s">
        <v>31409</v>
      </c>
      <c r="J11607" t="s">
        <v>38600</v>
      </c>
      <c r="K11607" t="s">
        <v>40679</v>
      </c>
      <c r="M11607" t="s">
        <v>42696</v>
      </c>
      <c r="N11607" t="s">
        <v>44905</v>
      </c>
      <c r="O11607" t="s">
        <v>44906</v>
      </c>
      <c r="P11607">
        <v>0</v>
      </c>
      <c r="Q11607">
        <v>8</v>
      </c>
      <c r="R11607" t="s">
        <v>44916</v>
      </c>
      <c r="S11607" t="s">
        <v>45313</v>
      </c>
      <c r="T11607" t="s">
        <v>46533</v>
      </c>
      <c r="U11607" t="s">
        <v>56192</v>
      </c>
      <c r="W11607" t="s">
        <v>44354</v>
      </c>
      <c r="X11607" t="s">
        <v>44917</v>
      </c>
    </row>
    <row r="11608" spans="1:24">
      <c r="A11608">
        <f>HYPERLINK("https://www.philgeps.gov.ph/GEPSNONPILOT/Tender/SplashBidNoticeAbstractUI.aspx?menuIndex=3&amp;refID=7064546&amp;Result=3","7064546")</f>
        <v>0</v>
      </c>
      <c r="B11608" t="s">
        <v>1635</v>
      </c>
      <c r="C11608" t="s">
        <v>14600</v>
      </c>
      <c r="D11608" t="s">
        <v>18136</v>
      </c>
      <c r="E11608" t="s">
        <v>28257</v>
      </c>
      <c r="F11608" t="s">
        <v>31362</v>
      </c>
      <c r="G11608" t="s">
        <v>31369</v>
      </c>
      <c r="H11608" t="s">
        <v>15799</v>
      </c>
      <c r="I11608" t="s">
        <v>31414</v>
      </c>
      <c r="J11608" t="s">
        <v>38601</v>
      </c>
      <c r="K11608" t="s">
        <v>40679</v>
      </c>
      <c r="M11608" t="s">
        <v>42696</v>
      </c>
      <c r="N11608" t="s">
        <v>44905</v>
      </c>
      <c r="O11608" t="s">
        <v>44906</v>
      </c>
      <c r="P11608">
        <v>0</v>
      </c>
      <c r="Q11608">
        <v>7</v>
      </c>
      <c r="R11608" t="s">
        <v>44916</v>
      </c>
      <c r="S11608" t="s">
        <v>45313</v>
      </c>
      <c r="T11608" t="s">
        <v>46533</v>
      </c>
      <c r="U11608" t="s">
        <v>56192</v>
      </c>
      <c r="W11608" t="s">
        <v>44354</v>
      </c>
      <c r="X11608" t="s">
        <v>44917</v>
      </c>
    </row>
    <row r="11609" spans="1:24">
      <c r="A11609">
        <f>HYPERLINK("https://www.philgeps.gov.ph/GEPSNONPILOT/Tender/SplashBidNoticeAbstractUI.aspx?menuIndex=3&amp;refID=7064544&amp;Result=3","7064544")</f>
        <v>0</v>
      </c>
      <c r="B11609" t="s">
        <v>1635</v>
      </c>
      <c r="C11609" t="s">
        <v>14601</v>
      </c>
      <c r="D11609" t="s">
        <v>18136</v>
      </c>
      <c r="E11609" t="s">
        <v>28258</v>
      </c>
      <c r="F11609" t="s">
        <v>31362</v>
      </c>
      <c r="G11609" t="s">
        <v>31369</v>
      </c>
      <c r="H11609" t="s">
        <v>15799</v>
      </c>
      <c r="I11609" t="s">
        <v>31414</v>
      </c>
      <c r="J11609" t="s">
        <v>34854</v>
      </c>
      <c r="K11609" t="s">
        <v>40679</v>
      </c>
      <c r="M11609" t="s">
        <v>42696</v>
      </c>
      <c r="N11609" t="s">
        <v>44905</v>
      </c>
      <c r="O11609" t="s">
        <v>44906</v>
      </c>
      <c r="P11609">
        <v>0</v>
      </c>
      <c r="Q11609">
        <v>2</v>
      </c>
      <c r="R11609" t="s">
        <v>44916</v>
      </c>
      <c r="S11609" t="s">
        <v>45313</v>
      </c>
      <c r="T11609" t="s">
        <v>46533</v>
      </c>
      <c r="U11609" t="s">
        <v>56192</v>
      </c>
      <c r="W11609" t="s">
        <v>44354</v>
      </c>
      <c r="X11609" t="s">
        <v>44917</v>
      </c>
    </row>
    <row r="11610" spans="1:24">
      <c r="A11610">
        <f>HYPERLINK("https://www.philgeps.gov.ph/GEPSNONPILOT/Tender/SplashBidNoticeAbstractUI.aspx?menuIndex=3&amp;refID=7064542&amp;Result=3","7064542")</f>
        <v>0</v>
      </c>
      <c r="B11610" t="s">
        <v>1635</v>
      </c>
      <c r="C11610" t="s">
        <v>14602</v>
      </c>
      <c r="D11610" t="s">
        <v>18136</v>
      </c>
      <c r="E11610" t="s">
        <v>28259</v>
      </c>
      <c r="F11610" t="s">
        <v>31362</v>
      </c>
      <c r="G11610" t="s">
        <v>31369</v>
      </c>
      <c r="H11610" t="s">
        <v>15799</v>
      </c>
      <c r="I11610" t="s">
        <v>31404</v>
      </c>
      <c r="J11610" t="s">
        <v>38602</v>
      </c>
      <c r="K11610" t="s">
        <v>40661</v>
      </c>
      <c r="M11610" t="s">
        <v>44354</v>
      </c>
      <c r="N11610" t="s">
        <v>44905</v>
      </c>
      <c r="O11610" t="s">
        <v>44906</v>
      </c>
      <c r="P11610">
        <v>0</v>
      </c>
      <c r="Q11610">
        <v>1</v>
      </c>
      <c r="R11610" t="s">
        <v>44916</v>
      </c>
      <c r="S11610" t="s">
        <v>45313</v>
      </c>
      <c r="T11610" t="s">
        <v>46533</v>
      </c>
      <c r="U11610" t="s">
        <v>56192</v>
      </c>
      <c r="W11610" t="s">
        <v>44354</v>
      </c>
      <c r="X11610" t="s">
        <v>44917</v>
      </c>
    </row>
    <row r="11611" spans="1:24">
      <c r="A11611">
        <f>HYPERLINK("https://www.philgeps.gov.ph/GEPSNONPILOT/Tender/SplashBidNoticeAbstractUI.aspx?menuIndex=3&amp;refID=7064536&amp;Result=3","7064536")</f>
        <v>0</v>
      </c>
      <c r="B11611" t="s">
        <v>1635</v>
      </c>
      <c r="C11611" t="s">
        <v>14603</v>
      </c>
      <c r="D11611" t="s">
        <v>18136</v>
      </c>
      <c r="E11611" t="s">
        <v>28260</v>
      </c>
      <c r="F11611" t="s">
        <v>31362</v>
      </c>
      <c r="G11611" t="s">
        <v>31369</v>
      </c>
      <c r="H11611" t="s">
        <v>15799</v>
      </c>
      <c r="I11611" t="s">
        <v>31404</v>
      </c>
      <c r="J11611" t="s">
        <v>38603</v>
      </c>
      <c r="K11611" t="s">
        <v>40661</v>
      </c>
      <c r="M11611" t="s">
        <v>42696</v>
      </c>
      <c r="N11611" t="s">
        <v>44905</v>
      </c>
      <c r="O11611" t="s">
        <v>44906</v>
      </c>
      <c r="P11611">
        <v>0</v>
      </c>
      <c r="Q11611">
        <v>0</v>
      </c>
      <c r="R11611" t="s">
        <v>44916</v>
      </c>
      <c r="S11611" t="s">
        <v>45313</v>
      </c>
      <c r="T11611" t="s">
        <v>46533</v>
      </c>
      <c r="U11611" t="s">
        <v>56192</v>
      </c>
      <c r="W11611" t="s">
        <v>44354</v>
      </c>
      <c r="X11611" t="s">
        <v>44917</v>
      </c>
    </row>
    <row r="11612" spans="1:24">
      <c r="A11612">
        <f>HYPERLINK("https://www.philgeps.gov.ph/GEPSNONPILOT/Tender/SplashBidNoticeAbstractUI.aspx?menuIndex=3&amp;refID=7064429&amp;Result=3","7064429")</f>
        <v>0</v>
      </c>
      <c r="B11612" t="s">
        <v>2837</v>
      </c>
      <c r="C11612" t="s">
        <v>14604</v>
      </c>
      <c r="D11612" t="s">
        <v>18140</v>
      </c>
      <c r="E11612" t="s">
        <v>14604</v>
      </c>
      <c r="F11612" t="s">
        <v>31362</v>
      </c>
      <c r="G11612" t="s">
        <v>31369</v>
      </c>
      <c r="H11612" t="s">
        <v>31378</v>
      </c>
      <c r="I11612" t="s">
        <v>31386</v>
      </c>
      <c r="J11612" t="s">
        <v>38604</v>
      </c>
      <c r="K11612" t="s">
        <v>40677</v>
      </c>
      <c r="M11612" t="s">
        <v>44038</v>
      </c>
      <c r="N11612" t="s">
        <v>44905</v>
      </c>
      <c r="O11612" t="s">
        <v>44906</v>
      </c>
      <c r="P11612">
        <v>0</v>
      </c>
      <c r="Q11612">
        <v>1</v>
      </c>
      <c r="R11612" t="s">
        <v>44916</v>
      </c>
      <c r="S11612" t="s">
        <v>45313</v>
      </c>
      <c r="T11612" t="s">
        <v>46447</v>
      </c>
      <c r="U11612" t="s">
        <v>56206</v>
      </c>
      <c r="W11612" t="s">
        <v>44038</v>
      </c>
      <c r="X11612" t="s">
        <v>44917</v>
      </c>
    </row>
    <row r="11613" spans="1:24">
      <c r="A11613">
        <f>HYPERLINK("https://www.philgeps.gov.ph/GEPSNONPILOT/Tender/SplashBidNoticeAbstractUI.aspx?menuIndex=3&amp;refID=7042247&amp;Result=3","7042247")</f>
        <v>0</v>
      </c>
      <c r="B11613" t="s">
        <v>3107</v>
      </c>
      <c r="C11613" t="s">
        <v>14605</v>
      </c>
      <c r="D11613" t="s">
        <v>18122</v>
      </c>
      <c r="E11613" t="s">
        <v>28261</v>
      </c>
      <c r="F11613" t="s">
        <v>31362</v>
      </c>
      <c r="G11613" t="s">
        <v>31369</v>
      </c>
      <c r="H11613" t="s">
        <v>31378</v>
      </c>
      <c r="I11613" t="s">
        <v>31386</v>
      </c>
      <c r="J11613" t="s">
        <v>38605</v>
      </c>
      <c r="K11613" t="s">
        <v>40896</v>
      </c>
      <c r="M11613" t="s">
        <v>44355</v>
      </c>
      <c r="N11613" t="s">
        <v>44905</v>
      </c>
      <c r="O11613" t="s">
        <v>44906</v>
      </c>
      <c r="P11613">
        <v>0</v>
      </c>
      <c r="Q11613">
        <v>13</v>
      </c>
      <c r="R11613" t="s">
        <v>44917</v>
      </c>
      <c r="S11613" t="s">
        <v>45386</v>
      </c>
      <c r="T11613" t="s">
        <v>46392</v>
      </c>
      <c r="U11613" t="s">
        <v>56207</v>
      </c>
      <c r="V11613" t="s">
        <v>60302</v>
      </c>
      <c r="W11613" t="s">
        <v>44355</v>
      </c>
      <c r="X11613" t="s">
        <v>44929</v>
      </c>
    </row>
    <row r="11614" spans="1:24">
      <c r="A11614">
        <f>HYPERLINK("https://www.philgeps.gov.ph/GEPSNONPILOT/Tender/SplashBidNoticeAbstractUI.aspx?menuIndex=3&amp;refID=7064539&amp;Result=3","7064539")</f>
        <v>0</v>
      </c>
      <c r="B11614" t="s">
        <v>1635</v>
      </c>
      <c r="C11614" t="s">
        <v>14606</v>
      </c>
      <c r="D11614" t="s">
        <v>18136</v>
      </c>
      <c r="E11614" t="s">
        <v>28262</v>
      </c>
      <c r="F11614" t="s">
        <v>31362</v>
      </c>
      <c r="G11614" t="s">
        <v>31369</v>
      </c>
      <c r="H11614" t="s">
        <v>15799</v>
      </c>
      <c r="I11614" t="s">
        <v>31404</v>
      </c>
      <c r="J11614" t="s">
        <v>38606</v>
      </c>
      <c r="K11614" t="s">
        <v>40661</v>
      </c>
      <c r="M11614" t="s">
        <v>42696</v>
      </c>
      <c r="N11614" t="s">
        <v>44905</v>
      </c>
      <c r="O11614" t="s">
        <v>44906</v>
      </c>
      <c r="P11614">
        <v>0</v>
      </c>
      <c r="Q11614">
        <v>0</v>
      </c>
      <c r="R11614" t="s">
        <v>44916</v>
      </c>
      <c r="S11614" t="s">
        <v>45313</v>
      </c>
      <c r="T11614" t="s">
        <v>46533</v>
      </c>
      <c r="U11614" t="s">
        <v>56192</v>
      </c>
      <c r="W11614" t="s">
        <v>44354</v>
      </c>
      <c r="X11614" t="s">
        <v>44917</v>
      </c>
    </row>
    <row r="11615" spans="1:24">
      <c r="A11615">
        <f>HYPERLINK("https://www.philgeps.gov.ph/GEPSNONPILOT/Tender/SplashBidNoticeAbstractUI.aspx?menuIndex=3&amp;refID=7056176&amp;Result=3","7056176")</f>
        <v>0</v>
      </c>
      <c r="B11615" t="s">
        <v>2762</v>
      </c>
      <c r="C11615" t="s">
        <v>14607</v>
      </c>
      <c r="E11615" t="s">
        <v>28263</v>
      </c>
      <c r="F11615" t="s">
        <v>31362</v>
      </c>
      <c r="G11615" t="s">
        <v>31369</v>
      </c>
      <c r="H11615" t="s">
        <v>15799</v>
      </c>
      <c r="I11615" t="s">
        <v>31421</v>
      </c>
      <c r="J11615" t="s">
        <v>36869</v>
      </c>
      <c r="K11615" t="s">
        <v>40662</v>
      </c>
      <c r="M11615" t="s">
        <v>43953</v>
      </c>
      <c r="N11615" t="s">
        <v>44905</v>
      </c>
      <c r="O11615" t="s">
        <v>44906</v>
      </c>
      <c r="P11615">
        <v>0</v>
      </c>
      <c r="Q11615">
        <v>2</v>
      </c>
      <c r="R11615" t="s">
        <v>44917</v>
      </c>
      <c r="S11615" t="s">
        <v>45386</v>
      </c>
      <c r="T11615" t="s">
        <v>46504</v>
      </c>
      <c r="U11615" t="s">
        <v>56208</v>
      </c>
      <c r="W11615" t="s">
        <v>43953</v>
      </c>
      <c r="X11615" t="s">
        <v>44921</v>
      </c>
    </row>
    <row r="11616" spans="1:24">
      <c r="A11616">
        <f>HYPERLINK("https://www.philgeps.gov.ph/GEPSNONPILOT/Tender/SplashBidNoticeAbstractUI.aspx?menuIndex=3&amp;refID=7064534&amp;Result=3","7064534")</f>
        <v>0</v>
      </c>
      <c r="B11616" t="s">
        <v>1635</v>
      </c>
      <c r="C11616" t="s">
        <v>14608</v>
      </c>
      <c r="D11616" t="s">
        <v>18136</v>
      </c>
      <c r="E11616" t="s">
        <v>28264</v>
      </c>
      <c r="F11616" t="s">
        <v>31362</v>
      </c>
      <c r="G11616" t="s">
        <v>31369</v>
      </c>
      <c r="H11616" t="s">
        <v>15799</v>
      </c>
      <c r="I11616" t="s">
        <v>31404</v>
      </c>
      <c r="J11616" t="s">
        <v>38607</v>
      </c>
      <c r="K11616" t="s">
        <v>40661</v>
      </c>
      <c r="M11616" t="s">
        <v>42696</v>
      </c>
      <c r="N11616" t="s">
        <v>44905</v>
      </c>
      <c r="O11616" t="s">
        <v>44906</v>
      </c>
      <c r="P11616">
        <v>0</v>
      </c>
      <c r="Q11616">
        <v>0</v>
      </c>
      <c r="R11616" t="s">
        <v>44916</v>
      </c>
      <c r="S11616" t="s">
        <v>45313</v>
      </c>
      <c r="T11616" t="s">
        <v>46533</v>
      </c>
      <c r="U11616" t="s">
        <v>56192</v>
      </c>
      <c r="W11616" t="s">
        <v>44354</v>
      </c>
      <c r="X11616" t="s">
        <v>44917</v>
      </c>
    </row>
    <row r="11617" spans="1:24">
      <c r="A11617">
        <f>HYPERLINK("https://www.philgeps.gov.ph/GEPSNONPILOT/Tender/SplashBidNoticeAbstractUI.aspx?menuIndex=3&amp;refID=7056419&amp;Result=3","7056419")</f>
        <v>0</v>
      </c>
      <c r="B11617" t="s">
        <v>2202</v>
      </c>
      <c r="C11617" t="s">
        <v>14609</v>
      </c>
      <c r="D11617" t="s">
        <v>18105</v>
      </c>
      <c r="E11617" t="s">
        <v>28265</v>
      </c>
      <c r="F11617" t="s">
        <v>31362</v>
      </c>
      <c r="G11617" t="s">
        <v>31369</v>
      </c>
      <c r="H11617" t="s">
        <v>15799</v>
      </c>
      <c r="I11617" t="s">
        <v>4942</v>
      </c>
      <c r="J11617" t="s">
        <v>38608</v>
      </c>
      <c r="K11617" t="s">
        <v>40682</v>
      </c>
      <c r="M11617" t="s">
        <v>43333</v>
      </c>
      <c r="N11617" t="s">
        <v>44905</v>
      </c>
      <c r="O11617" t="s">
        <v>44906</v>
      </c>
      <c r="P11617">
        <v>0</v>
      </c>
      <c r="Q11617">
        <v>0</v>
      </c>
      <c r="R11617" t="s">
        <v>44917</v>
      </c>
      <c r="S11617" t="s">
        <v>45386</v>
      </c>
      <c r="T11617" t="s">
        <v>46560</v>
      </c>
      <c r="U11617" t="s">
        <v>56209</v>
      </c>
      <c r="W11617" t="s">
        <v>43333</v>
      </c>
      <c r="X11617" t="s">
        <v>44921</v>
      </c>
    </row>
    <row r="11618" spans="1:24">
      <c r="A11618">
        <f>HYPERLINK("https://www.philgeps.gov.ph/GEPSNONPILOT/Tender/SplashBidNoticeAbstractUI.aspx?menuIndex=3&amp;refID=7056058&amp;Result=3","7056058")</f>
        <v>0</v>
      </c>
      <c r="B11618" t="s">
        <v>199</v>
      </c>
      <c r="C11618" t="s">
        <v>14610</v>
      </c>
      <c r="D11618" t="s">
        <v>18139</v>
      </c>
      <c r="E11618" t="s">
        <v>28266</v>
      </c>
      <c r="F11618" t="s">
        <v>31362</v>
      </c>
      <c r="G11618" t="s">
        <v>31369</v>
      </c>
      <c r="H11618" t="s">
        <v>31378</v>
      </c>
      <c r="I11618" t="s">
        <v>3582</v>
      </c>
      <c r="J11618" t="s">
        <v>38609</v>
      </c>
      <c r="K11618" t="s">
        <v>40686</v>
      </c>
      <c r="M11618" t="s">
        <v>42540</v>
      </c>
      <c r="N11618" t="s">
        <v>44905</v>
      </c>
      <c r="O11618" t="s">
        <v>44906</v>
      </c>
      <c r="P11618">
        <v>0</v>
      </c>
      <c r="Q11618">
        <v>8</v>
      </c>
      <c r="R11618" t="s">
        <v>44917</v>
      </c>
      <c r="S11618" t="s">
        <v>45386</v>
      </c>
      <c r="T11618" t="s">
        <v>46413</v>
      </c>
      <c r="U11618" t="s">
        <v>56210</v>
      </c>
      <c r="W11618" t="s">
        <v>42540</v>
      </c>
      <c r="X11618" t="s">
        <v>44921</v>
      </c>
    </row>
    <row r="11619" spans="1:24">
      <c r="A11619">
        <f>HYPERLINK("https://www.philgeps.gov.ph/GEPSNONPILOT/Tender/SplashBidNoticeAbstractUI.aspx?menuIndex=3&amp;refID=7055804&amp;Result=3","7055804")</f>
        <v>0</v>
      </c>
      <c r="B11619" t="s">
        <v>976</v>
      </c>
      <c r="C11619" t="s">
        <v>8810</v>
      </c>
      <c r="D11619" t="s">
        <v>18158</v>
      </c>
      <c r="E11619" t="s">
        <v>28267</v>
      </c>
      <c r="F11619" t="s">
        <v>31363</v>
      </c>
      <c r="G11619" t="s">
        <v>31370</v>
      </c>
      <c r="H11619" t="s">
        <v>15799</v>
      </c>
      <c r="I11619" t="s">
        <v>4942</v>
      </c>
      <c r="J11619" t="s">
        <v>38610</v>
      </c>
      <c r="K11619" t="s">
        <v>40670</v>
      </c>
      <c r="M11619" t="s">
        <v>41966</v>
      </c>
      <c r="N11619" t="s">
        <v>44905</v>
      </c>
      <c r="O11619" t="s">
        <v>44906</v>
      </c>
      <c r="P11619">
        <v>0</v>
      </c>
      <c r="Q11619">
        <v>0</v>
      </c>
      <c r="R11619" t="s">
        <v>44917</v>
      </c>
      <c r="S11619" t="s">
        <v>45386</v>
      </c>
      <c r="T11619" t="s">
        <v>46447</v>
      </c>
      <c r="U11619" t="s">
        <v>56211</v>
      </c>
      <c r="W11619" t="s">
        <v>41966</v>
      </c>
      <c r="X11619" t="s">
        <v>44921</v>
      </c>
    </row>
    <row r="11620" spans="1:24">
      <c r="A11620">
        <f>HYPERLINK("https://www.philgeps.gov.ph/GEPSNONPILOT/Tender/SplashBidNoticeAbstractUI.aspx?menuIndex=3&amp;refID=7054211&amp;Result=3","7054211")</f>
        <v>0</v>
      </c>
      <c r="B11620" t="s">
        <v>962</v>
      </c>
      <c r="C11620" t="s">
        <v>14611</v>
      </c>
      <c r="D11620" t="s">
        <v>18152</v>
      </c>
      <c r="E11620" t="s">
        <v>28268</v>
      </c>
      <c r="F11620" t="s">
        <v>31362</v>
      </c>
      <c r="G11620" t="s">
        <v>31369</v>
      </c>
      <c r="H11620" t="s">
        <v>31378</v>
      </c>
      <c r="I11620" t="s">
        <v>31386</v>
      </c>
      <c r="J11620" t="s">
        <v>31602</v>
      </c>
      <c r="K11620" t="s">
        <v>40725</v>
      </c>
      <c r="M11620" t="s">
        <v>41950</v>
      </c>
      <c r="N11620" t="s">
        <v>44905</v>
      </c>
      <c r="O11620" t="s">
        <v>44906</v>
      </c>
      <c r="P11620">
        <v>0</v>
      </c>
      <c r="Q11620">
        <v>0</v>
      </c>
      <c r="R11620" t="s">
        <v>44917</v>
      </c>
      <c r="S11620" t="s">
        <v>45386</v>
      </c>
      <c r="T11620" t="s">
        <v>46418</v>
      </c>
      <c r="U11620" t="s">
        <v>56212</v>
      </c>
      <c r="W11620" t="s">
        <v>41950</v>
      </c>
      <c r="X11620" t="s">
        <v>44922</v>
      </c>
    </row>
    <row r="11621" spans="1:24">
      <c r="A11621">
        <f>HYPERLINK("https://www.philgeps.gov.ph/GEPSNONPILOT/Tender/SplashBidNoticeAbstractUI.aspx?menuIndex=3&amp;refID=7055789&amp;Result=3","7055789")</f>
        <v>0</v>
      </c>
      <c r="B11621" t="s">
        <v>2200</v>
      </c>
      <c r="C11621" t="s">
        <v>14612</v>
      </c>
      <c r="D11621" t="s">
        <v>18100</v>
      </c>
      <c r="E11621" t="s">
        <v>28269</v>
      </c>
      <c r="F11621" t="s">
        <v>31362</v>
      </c>
      <c r="G11621" t="s">
        <v>31369</v>
      </c>
      <c r="H11621" t="s">
        <v>31378</v>
      </c>
      <c r="I11621" t="s">
        <v>31386</v>
      </c>
      <c r="J11621" t="s">
        <v>38611</v>
      </c>
      <c r="K11621" t="s">
        <v>40738</v>
      </c>
      <c r="M11621" t="s">
        <v>43331</v>
      </c>
      <c r="N11621" t="s">
        <v>44905</v>
      </c>
      <c r="O11621" t="s">
        <v>44906</v>
      </c>
      <c r="Q11621">
        <v>6</v>
      </c>
      <c r="R11621" t="s">
        <v>44917</v>
      </c>
      <c r="S11621" t="s">
        <v>45390</v>
      </c>
      <c r="T11621" t="s">
        <v>46462</v>
      </c>
      <c r="U11621" t="s">
        <v>52799</v>
      </c>
      <c r="W11621" t="s">
        <v>43331</v>
      </c>
      <c r="X11621" t="s">
        <v>44921</v>
      </c>
    </row>
    <row r="11622" spans="1:24">
      <c r="A11622">
        <f>HYPERLINK("https://www.philgeps.gov.ph/GEPSNONPILOT/Tender/SplashBidNoticeAbstractUI.aspx?menuIndex=3&amp;refID=7037492-2&amp;Result=3","7037492-2")</f>
        <v>0</v>
      </c>
      <c r="B11622" t="s">
        <v>203</v>
      </c>
      <c r="C11622" t="s">
        <v>14613</v>
      </c>
      <c r="D11622" t="s">
        <v>18153</v>
      </c>
      <c r="E11622" t="s">
        <v>28270</v>
      </c>
      <c r="F11622" t="s">
        <v>31362</v>
      </c>
      <c r="G11622" t="s">
        <v>31369</v>
      </c>
      <c r="H11622" t="s">
        <v>31377</v>
      </c>
      <c r="I11622" t="s">
        <v>31377</v>
      </c>
      <c r="J11622" t="s">
        <v>38612</v>
      </c>
      <c r="K11622" t="s">
        <v>40665</v>
      </c>
      <c r="M11622" t="s">
        <v>44353</v>
      </c>
      <c r="N11622" t="s">
        <v>44905</v>
      </c>
      <c r="O11622" t="s">
        <v>44906</v>
      </c>
      <c r="P11622">
        <v>0</v>
      </c>
      <c r="Q11622">
        <v>1</v>
      </c>
      <c r="R11622" t="s">
        <v>44917</v>
      </c>
      <c r="S11622" t="s">
        <v>45386</v>
      </c>
      <c r="T11622" t="s">
        <v>46447</v>
      </c>
      <c r="U11622" t="s">
        <v>56213</v>
      </c>
      <c r="W11622" t="s">
        <v>44353</v>
      </c>
      <c r="X11622" t="s">
        <v>44918</v>
      </c>
    </row>
    <row r="11623" spans="1:24">
      <c r="A11623">
        <f>HYPERLINK("https://www.philgeps.gov.ph/GEPSNONPILOT/Tender/SplashBidNoticeAbstractUI.aspx?menuIndex=3&amp;refID=7055776&amp;Result=3","7055776")</f>
        <v>0</v>
      </c>
      <c r="B11623" t="s">
        <v>2200</v>
      </c>
      <c r="C11623" t="s">
        <v>14614</v>
      </c>
      <c r="D11623" t="s">
        <v>18100</v>
      </c>
      <c r="E11623" t="s">
        <v>28271</v>
      </c>
      <c r="F11623" t="s">
        <v>31362</v>
      </c>
      <c r="G11623" t="s">
        <v>31369</v>
      </c>
      <c r="H11623" t="s">
        <v>31378</v>
      </c>
      <c r="I11623" t="s">
        <v>31386</v>
      </c>
      <c r="J11623" t="s">
        <v>38613</v>
      </c>
      <c r="K11623" t="s">
        <v>40738</v>
      </c>
      <c r="M11623" t="s">
        <v>43331</v>
      </c>
      <c r="N11623" t="s">
        <v>44905</v>
      </c>
      <c r="O11623" t="s">
        <v>44906</v>
      </c>
      <c r="Q11623">
        <v>6</v>
      </c>
      <c r="R11623" t="s">
        <v>44917</v>
      </c>
      <c r="S11623" t="s">
        <v>45391</v>
      </c>
      <c r="T11623" t="s">
        <v>46462</v>
      </c>
      <c r="U11623" t="s">
        <v>52799</v>
      </c>
      <c r="W11623" t="s">
        <v>43331</v>
      </c>
      <c r="X11623" t="s">
        <v>44921</v>
      </c>
    </row>
    <row r="11624" spans="1:24">
      <c r="A11624">
        <f>HYPERLINK("https://www.philgeps.gov.ph/GEPSNONPILOT/Tender/SplashBidNoticeAbstractUI.aspx?menuIndex=3&amp;refID=7055334&amp;Result=3","7055334")</f>
        <v>0</v>
      </c>
      <c r="B11624" t="s">
        <v>953</v>
      </c>
      <c r="C11624" t="s">
        <v>14615</v>
      </c>
      <c r="D11624" t="s">
        <v>18110</v>
      </c>
      <c r="E11624" t="s">
        <v>28272</v>
      </c>
      <c r="F11624" t="s">
        <v>31362</v>
      </c>
      <c r="G11624" t="s">
        <v>31369</v>
      </c>
      <c r="H11624" t="s">
        <v>15799</v>
      </c>
      <c r="I11624" t="s">
        <v>31444</v>
      </c>
      <c r="J11624" t="s">
        <v>38119</v>
      </c>
      <c r="K11624" t="s">
        <v>40679</v>
      </c>
      <c r="M11624" t="s">
        <v>41941</v>
      </c>
      <c r="N11624" t="s">
        <v>44905</v>
      </c>
      <c r="O11624" t="s">
        <v>44906</v>
      </c>
      <c r="P11624">
        <v>0</v>
      </c>
      <c r="Q11624">
        <v>21</v>
      </c>
      <c r="R11624" t="s">
        <v>44917</v>
      </c>
      <c r="S11624" t="s">
        <v>45386</v>
      </c>
      <c r="T11624" t="s">
        <v>46504</v>
      </c>
      <c r="U11624" t="s">
        <v>56214</v>
      </c>
      <c r="W11624" t="s">
        <v>60877</v>
      </c>
      <c r="X11624" t="s">
        <v>44922</v>
      </c>
    </row>
    <row r="11625" spans="1:24">
      <c r="A11625">
        <f>HYPERLINK("https://www.philgeps.gov.ph/GEPSNONPILOT/Tender/SplashBidNoticeAbstractUI.aspx?menuIndex=3&amp;refID=7056341&amp;Result=3","7056341")</f>
        <v>0</v>
      </c>
      <c r="B11625" t="s">
        <v>2202</v>
      </c>
      <c r="C11625" t="s">
        <v>14616</v>
      </c>
      <c r="D11625" t="s">
        <v>18105</v>
      </c>
      <c r="E11625" t="s">
        <v>28273</v>
      </c>
      <c r="F11625" t="s">
        <v>31362</v>
      </c>
      <c r="G11625" t="s">
        <v>31369</v>
      </c>
      <c r="H11625" t="s">
        <v>15799</v>
      </c>
      <c r="I11625" t="s">
        <v>7090</v>
      </c>
      <c r="J11625" t="s">
        <v>38614</v>
      </c>
      <c r="K11625" t="s">
        <v>40682</v>
      </c>
      <c r="M11625" t="s">
        <v>43333</v>
      </c>
      <c r="N11625" t="s">
        <v>44905</v>
      </c>
      <c r="O11625" t="s">
        <v>44906</v>
      </c>
      <c r="P11625">
        <v>0</v>
      </c>
      <c r="Q11625">
        <v>0</v>
      </c>
      <c r="R11625" t="s">
        <v>44917</v>
      </c>
      <c r="S11625" t="s">
        <v>45386</v>
      </c>
      <c r="T11625" t="s">
        <v>46560</v>
      </c>
      <c r="U11625" t="s">
        <v>56215</v>
      </c>
      <c r="W11625" t="s">
        <v>43333</v>
      </c>
      <c r="X11625" t="s">
        <v>44921</v>
      </c>
    </row>
    <row r="11626" spans="1:24">
      <c r="A11626">
        <f>HYPERLINK("https://www.philgeps.gov.ph/GEPSNONPILOT/Tender/SplashBidNoticeAbstractUI.aspx?menuIndex=3&amp;refID=7054857&amp;Result=3","7054857")</f>
        <v>0</v>
      </c>
      <c r="B11626" t="s">
        <v>2202</v>
      </c>
      <c r="C11626" t="s">
        <v>14617</v>
      </c>
      <c r="D11626" t="s">
        <v>18105</v>
      </c>
      <c r="E11626" t="s">
        <v>28274</v>
      </c>
      <c r="F11626" t="s">
        <v>31362</v>
      </c>
      <c r="G11626" t="s">
        <v>31369</v>
      </c>
      <c r="H11626" t="s">
        <v>15799</v>
      </c>
      <c r="I11626" t="s">
        <v>4283</v>
      </c>
      <c r="J11626" t="s">
        <v>31606</v>
      </c>
      <c r="K11626" t="s">
        <v>40682</v>
      </c>
      <c r="M11626" t="s">
        <v>43333</v>
      </c>
      <c r="N11626" t="s">
        <v>44905</v>
      </c>
      <c r="O11626" t="s">
        <v>44906</v>
      </c>
      <c r="P11626">
        <v>0</v>
      </c>
      <c r="Q11626">
        <v>2</v>
      </c>
      <c r="R11626" t="s">
        <v>44917</v>
      </c>
      <c r="S11626" t="s">
        <v>45386</v>
      </c>
      <c r="T11626" t="s">
        <v>46560</v>
      </c>
      <c r="U11626" t="s">
        <v>56216</v>
      </c>
      <c r="W11626" t="s">
        <v>43333</v>
      </c>
      <c r="X11626" t="s">
        <v>44922</v>
      </c>
    </row>
    <row r="11627" spans="1:24">
      <c r="A11627">
        <f>HYPERLINK("https://www.philgeps.gov.ph/GEPSNONPILOT/Tender/SplashBidNoticeAbstractUI.aspx?menuIndex=3&amp;refID=7064468&amp;Result=3","7064468")</f>
        <v>0</v>
      </c>
      <c r="B11627" t="s">
        <v>2304</v>
      </c>
      <c r="C11627" t="s">
        <v>14618</v>
      </c>
      <c r="D11627" t="s">
        <v>18114</v>
      </c>
      <c r="E11627" t="s">
        <v>28275</v>
      </c>
      <c r="F11627" t="s">
        <v>31362</v>
      </c>
      <c r="G11627" t="s">
        <v>31369</v>
      </c>
      <c r="H11627" t="s">
        <v>15799</v>
      </c>
      <c r="I11627" t="s">
        <v>31427</v>
      </c>
      <c r="J11627" t="s">
        <v>38615</v>
      </c>
      <c r="K11627" t="s">
        <v>40665</v>
      </c>
      <c r="M11627" t="s">
        <v>43444</v>
      </c>
      <c r="N11627" t="s">
        <v>44905</v>
      </c>
      <c r="O11627" t="s">
        <v>44906</v>
      </c>
      <c r="P11627">
        <v>0</v>
      </c>
      <c r="Q11627">
        <v>12</v>
      </c>
      <c r="R11627" t="s">
        <v>44916</v>
      </c>
      <c r="S11627" t="s">
        <v>45313</v>
      </c>
      <c r="T11627" t="s">
        <v>46845</v>
      </c>
      <c r="U11627" t="s">
        <v>56217</v>
      </c>
      <c r="W11627" t="s">
        <v>43444</v>
      </c>
      <c r="X11627" t="s">
        <v>44917</v>
      </c>
    </row>
    <row r="11628" spans="1:24">
      <c r="A11628">
        <f>HYPERLINK("https://www.philgeps.gov.ph/GEPSNONPILOT/Tender/SplashBidNoticeAbstractUI.aspx?menuIndex=3&amp;refID=7064435&amp;Result=3","7064435")</f>
        <v>0</v>
      </c>
      <c r="B11628" t="s">
        <v>1719</v>
      </c>
      <c r="C11628" t="s">
        <v>14619</v>
      </c>
      <c r="E11628" t="s">
        <v>28276</v>
      </c>
      <c r="F11628" t="s">
        <v>31362</v>
      </c>
      <c r="G11628" t="s">
        <v>31373</v>
      </c>
      <c r="H11628" t="s">
        <v>15799</v>
      </c>
      <c r="I11628" t="s">
        <v>6218</v>
      </c>
      <c r="J11628" t="s">
        <v>37387</v>
      </c>
      <c r="K11628" t="s">
        <v>40662</v>
      </c>
      <c r="M11628" t="s">
        <v>44356</v>
      </c>
      <c r="N11628" t="s">
        <v>44905</v>
      </c>
      <c r="O11628" t="s">
        <v>44906</v>
      </c>
      <c r="Q11628">
        <v>8</v>
      </c>
      <c r="R11628" t="s">
        <v>44916</v>
      </c>
      <c r="S11628" t="s">
        <v>45392</v>
      </c>
      <c r="T11628" t="s">
        <v>46519</v>
      </c>
      <c r="U11628" t="s">
        <v>56218</v>
      </c>
      <c r="V11628" t="s">
        <v>60303</v>
      </c>
      <c r="W11628" t="s">
        <v>44356</v>
      </c>
      <c r="X11628" t="s">
        <v>44917</v>
      </c>
    </row>
    <row r="11629" spans="1:24">
      <c r="A11629">
        <f>HYPERLINK("https://www.philgeps.gov.ph/GEPSNONPILOT/Tender/SplashBidNoticeAbstractUI.aspx?menuIndex=3&amp;refID=7055760&amp;Result=3","7055760")</f>
        <v>0</v>
      </c>
      <c r="B11629" t="s">
        <v>255</v>
      </c>
      <c r="C11629" t="s">
        <v>14620</v>
      </c>
      <c r="E11629" t="s">
        <v>28277</v>
      </c>
      <c r="F11629" t="s">
        <v>31362</v>
      </c>
      <c r="G11629" t="s">
        <v>31369</v>
      </c>
      <c r="H11629" t="s">
        <v>15799</v>
      </c>
      <c r="I11629" t="s">
        <v>7719</v>
      </c>
      <c r="J11629" t="s">
        <v>38616</v>
      </c>
      <c r="K11629" t="s">
        <v>40662</v>
      </c>
      <c r="M11629" t="s">
        <v>44357</v>
      </c>
      <c r="N11629" t="s">
        <v>44905</v>
      </c>
      <c r="O11629" t="s">
        <v>44906</v>
      </c>
      <c r="P11629">
        <v>0</v>
      </c>
      <c r="Q11629">
        <v>13</v>
      </c>
      <c r="R11629" t="s">
        <v>44917</v>
      </c>
      <c r="S11629" t="s">
        <v>45386</v>
      </c>
      <c r="T11629" t="s">
        <v>46410</v>
      </c>
      <c r="U11629" t="s">
        <v>56219</v>
      </c>
      <c r="W11629" t="s">
        <v>44357</v>
      </c>
      <c r="X11629" t="s">
        <v>44921</v>
      </c>
    </row>
    <row r="11630" spans="1:24">
      <c r="A11630">
        <f>HYPERLINK("https://www.philgeps.gov.ph/GEPSNONPILOT/Tender/SplashBidNoticeAbstractUI.aspx?menuIndex=3&amp;refID=7054458&amp;Result=3","7054458")</f>
        <v>0</v>
      </c>
      <c r="B11630" t="s">
        <v>1284</v>
      </c>
      <c r="C11630" t="s">
        <v>14621</v>
      </c>
      <c r="D11630" t="s">
        <v>18110</v>
      </c>
      <c r="E11630" t="s">
        <v>28278</v>
      </c>
      <c r="F11630" t="s">
        <v>31362</v>
      </c>
      <c r="G11630" t="s">
        <v>31369</v>
      </c>
      <c r="H11630" t="s">
        <v>31378</v>
      </c>
      <c r="I11630" t="s">
        <v>31386</v>
      </c>
      <c r="J11630" t="s">
        <v>33868</v>
      </c>
      <c r="K11630" t="s">
        <v>40683</v>
      </c>
      <c r="M11630" t="s">
        <v>42301</v>
      </c>
      <c r="N11630" t="s">
        <v>44905</v>
      </c>
      <c r="O11630" t="s">
        <v>44906</v>
      </c>
      <c r="P11630">
        <v>0</v>
      </c>
      <c r="Q11630">
        <v>1</v>
      </c>
      <c r="R11630" t="s">
        <v>44917</v>
      </c>
      <c r="S11630" t="s">
        <v>45386</v>
      </c>
      <c r="T11630" t="s">
        <v>46481</v>
      </c>
      <c r="U11630" t="s">
        <v>56220</v>
      </c>
      <c r="W11630" t="s">
        <v>42301</v>
      </c>
      <c r="X11630" t="s">
        <v>44922</v>
      </c>
    </row>
    <row r="11631" spans="1:24">
      <c r="A11631">
        <f>HYPERLINK("https://www.philgeps.gov.ph/GEPSNONPILOT/Tender/SplashBidNoticeAbstractUI.aspx?menuIndex=3&amp;refID=7054375&amp;Result=3","7054375")</f>
        <v>0</v>
      </c>
      <c r="B11631" t="s">
        <v>375</v>
      </c>
      <c r="C11631" t="s">
        <v>14622</v>
      </c>
      <c r="D11631" t="s">
        <v>18177</v>
      </c>
      <c r="E11631" t="s">
        <v>28279</v>
      </c>
      <c r="F11631" t="s">
        <v>31362</v>
      </c>
      <c r="G11631" t="s">
        <v>31369</v>
      </c>
      <c r="H11631" t="s">
        <v>15799</v>
      </c>
      <c r="I11631" t="s">
        <v>31409</v>
      </c>
      <c r="J11631" t="s">
        <v>31641</v>
      </c>
      <c r="K11631" t="s">
        <v>40720</v>
      </c>
      <c r="M11631" t="s">
        <v>41322</v>
      </c>
      <c r="N11631" t="s">
        <v>44905</v>
      </c>
      <c r="O11631" t="s">
        <v>44906</v>
      </c>
      <c r="P11631">
        <v>0</v>
      </c>
      <c r="Q11631">
        <v>4</v>
      </c>
      <c r="R11631" t="s">
        <v>44917</v>
      </c>
      <c r="S11631" t="s">
        <v>45386</v>
      </c>
      <c r="T11631" t="s">
        <v>46462</v>
      </c>
      <c r="U11631" t="s">
        <v>56221</v>
      </c>
      <c r="W11631" t="s">
        <v>41322</v>
      </c>
      <c r="X11631" t="s">
        <v>44922</v>
      </c>
    </row>
    <row r="11632" spans="1:24">
      <c r="A11632">
        <f>HYPERLINK("https://www.philgeps.gov.ph/GEPSNONPILOT/Tender/SplashBidNoticeAbstractUI.aspx?menuIndex=3&amp;refID=7057661&amp;Result=3","7057661")</f>
        <v>0</v>
      </c>
      <c r="B11632" t="s">
        <v>1655</v>
      </c>
      <c r="C11632" t="s">
        <v>14623</v>
      </c>
      <c r="D11632" t="s">
        <v>18136</v>
      </c>
      <c r="E11632" t="s">
        <v>28280</v>
      </c>
      <c r="F11632" t="s">
        <v>31362</v>
      </c>
      <c r="G11632" t="s">
        <v>31369</v>
      </c>
      <c r="H11632" t="s">
        <v>31378</v>
      </c>
      <c r="I11632" t="s">
        <v>31386</v>
      </c>
      <c r="J11632" t="s">
        <v>38617</v>
      </c>
      <c r="K11632" t="s">
        <v>40679</v>
      </c>
      <c r="M11632" t="s">
        <v>43362</v>
      </c>
      <c r="N11632" t="s">
        <v>44905</v>
      </c>
      <c r="O11632" t="s">
        <v>44906</v>
      </c>
      <c r="P11632">
        <v>0</v>
      </c>
      <c r="Q11632">
        <v>1</v>
      </c>
      <c r="R11632" t="s">
        <v>44917</v>
      </c>
      <c r="S11632" t="s">
        <v>45386</v>
      </c>
      <c r="T11632" t="s">
        <v>46524</v>
      </c>
      <c r="U11632" t="s">
        <v>56222</v>
      </c>
      <c r="W11632" t="s">
        <v>43362</v>
      </c>
      <c r="X11632" t="s">
        <v>44921</v>
      </c>
    </row>
    <row r="11633" spans="1:24">
      <c r="A11633">
        <f>HYPERLINK("https://www.philgeps.gov.ph/GEPSNONPILOT/Tender/SplashBidNoticeAbstractUI.aspx?menuIndex=3&amp;refID=7058483&amp;Result=3","7058483")</f>
        <v>0</v>
      </c>
      <c r="B11633" t="s">
        <v>1655</v>
      </c>
      <c r="C11633" t="s">
        <v>14624</v>
      </c>
      <c r="D11633" t="s">
        <v>18136</v>
      </c>
      <c r="E11633" t="s">
        <v>28281</v>
      </c>
      <c r="F11633" t="s">
        <v>31362</v>
      </c>
      <c r="G11633" t="s">
        <v>31369</v>
      </c>
      <c r="H11633" t="s">
        <v>31378</v>
      </c>
      <c r="I11633" t="s">
        <v>31386</v>
      </c>
      <c r="J11633" t="s">
        <v>36460</v>
      </c>
      <c r="K11633" t="s">
        <v>40682</v>
      </c>
      <c r="M11633" t="s">
        <v>43362</v>
      </c>
      <c r="N11633" t="s">
        <v>44905</v>
      </c>
      <c r="O11633" t="s">
        <v>44906</v>
      </c>
      <c r="P11633">
        <v>0</v>
      </c>
      <c r="Q11633">
        <v>2</v>
      </c>
      <c r="R11633" t="s">
        <v>44917</v>
      </c>
      <c r="S11633" t="s">
        <v>45386</v>
      </c>
      <c r="T11633" t="s">
        <v>46524</v>
      </c>
      <c r="U11633" t="s">
        <v>56223</v>
      </c>
      <c r="W11633" t="s">
        <v>43362</v>
      </c>
      <c r="X11633" t="s">
        <v>44920</v>
      </c>
    </row>
    <row r="11634" spans="1:24">
      <c r="A11634">
        <f>HYPERLINK("https://www.philgeps.gov.ph/GEPSNONPILOT/Tender/SplashBidNoticeAbstractUI.aspx?menuIndex=3&amp;refID=7058170&amp;Result=3","7058170")</f>
        <v>0</v>
      </c>
      <c r="B11634" t="s">
        <v>1787</v>
      </c>
      <c r="C11634" t="s">
        <v>14625</v>
      </c>
      <c r="D11634" t="s">
        <v>18126</v>
      </c>
      <c r="E11634" t="s">
        <v>28282</v>
      </c>
      <c r="F11634" t="s">
        <v>31362</v>
      </c>
      <c r="G11634" t="s">
        <v>31369</v>
      </c>
      <c r="H11634" t="s">
        <v>15799</v>
      </c>
      <c r="I11634" t="s">
        <v>31393</v>
      </c>
      <c r="J11634" t="s">
        <v>38618</v>
      </c>
      <c r="K11634" t="s">
        <v>40679</v>
      </c>
      <c r="M11634" t="s">
        <v>44358</v>
      </c>
      <c r="N11634" t="s">
        <v>44905</v>
      </c>
      <c r="O11634" t="s">
        <v>44906</v>
      </c>
      <c r="P11634">
        <v>0</v>
      </c>
      <c r="Q11634">
        <v>15</v>
      </c>
      <c r="R11634" t="s">
        <v>44917</v>
      </c>
      <c r="S11634" t="s">
        <v>45386</v>
      </c>
      <c r="T11634" t="s">
        <v>46462</v>
      </c>
      <c r="U11634" t="s">
        <v>56224</v>
      </c>
      <c r="W11634" t="s">
        <v>44358</v>
      </c>
      <c r="X11634" t="s">
        <v>44920</v>
      </c>
    </row>
    <row r="11635" spans="1:24">
      <c r="A11635">
        <f>HYPERLINK("https://www.philgeps.gov.ph/GEPSNONPILOT/Tender/SplashBidNoticeAbstractUI.aspx?menuIndex=3&amp;refID=7058151&amp;Result=3","7058151")</f>
        <v>0</v>
      </c>
      <c r="B11635" t="s">
        <v>1787</v>
      </c>
      <c r="C11635" t="s">
        <v>14626</v>
      </c>
      <c r="D11635" t="s">
        <v>18126</v>
      </c>
      <c r="E11635" t="s">
        <v>28283</v>
      </c>
      <c r="F11635" t="s">
        <v>31362</v>
      </c>
      <c r="G11635" t="s">
        <v>31369</v>
      </c>
      <c r="H11635" t="s">
        <v>31378</v>
      </c>
      <c r="I11635" t="s">
        <v>31392</v>
      </c>
      <c r="J11635" t="s">
        <v>38619</v>
      </c>
      <c r="K11635" t="s">
        <v>40678</v>
      </c>
      <c r="M11635" t="s">
        <v>44358</v>
      </c>
      <c r="N11635" t="s">
        <v>44905</v>
      </c>
      <c r="O11635" t="s">
        <v>44906</v>
      </c>
      <c r="P11635">
        <v>0</v>
      </c>
      <c r="Q11635">
        <v>10</v>
      </c>
      <c r="R11635" t="s">
        <v>44917</v>
      </c>
      <c r="S11635" t="s">
        <v>45386</v>
      </c>
      <c r="T11635" t="s">
        <v>46462</v>
      </c>
      <c r="U11635" t="s">
        <v>56224</v>
      </c>
      <c r="W11635" t="s">
        <v>44358</v>
      </c>
      <c r="X11635" t="s">
        <v>44920</v>
      </c>
    </row>
    <row r="11636" spans="1:24">
      <c r="A11636">
        <f>HYPERLINK("https://www.philgeps.gov.ph/GEPSNONPILOT/Tender/SplashBidNoticeAbstractUI.aspx?menuIndex=3&amp;refID=7058093&amp;Result=3","7058093")</f>
        <v>0</v>
      </c>
      <c r="B11636" t="s">
        <v>192</v>
      </c>
      <c r="C11636" t="s">
        <v>14627</v>
      </c>
      <c r="D11636" t="s">
        <v>18122</v>
      </c>
      <c r="E11636" t="s">
        <v>28284</v>
      </c>
      <c r="F11636" t="s">
        <v>31362</v>
      </c>
      <c r="G11636" t="s">
        <v>31369</v>
      </c>
      <c r="H11636" t="s">
        <v>15799</v>
      </c>
      <c r="I11636" t="s">
        <v>31382</v>
      </c>
      <c r="J11636" t="s">
        <v>31957</v>
      </c>
      <c r="K11636" t="s">
        <v>40662</v>
      </c>
      <c r="M11636" t="s">
        <v>41130</v>
      </c>
      <c r="N11636" t="s">
        <v>44905</v>
      </c>
      <c r="O11636" t="s">
        <v>44906</v>
      </c>
      <c r="Q11636">
        <v>26</v>
      </c>
      <c r="R11636" t="s">
        <v>44917</v>
      </c>
      <c r="S11636" t="s">
        <v>45046</v>
      </c>
      <c r="T11636" t="s">
        <v>46810</v>
      </c>
      <c r="U11636" t="s">
        <v>56225</v>
      </c>
      <c r="V11636" t="s">
        <v>60304</v>
      </c>
      <c r="W11636" t="s">
        <v>41130</v>
      </c>
      <c r="X11636" t="s">
        <v>44920</v>
      </c>
    </row>
    <row r="11637" spans="1:24">
      <c r="A11637">
        <f>HYPERLINK("https://www.philgeps.gov.ph/GEPSNONPILOT/Tender/SplashBidNoticeAbstractUI.aspx?menuIndex=3&amp;refID=7055405&amp;Result=3","7055405")</f>
        <v>0</v>
      </c>
      <c r="B11637" t="s">
        <v>3108</v>
      </c>
      <c r="C11637" t="s">
        <v>14628</v>
      </c>
      <c r="D11637" t="s">
        <v>18131</v>
      </c>
      <c r="E11637" t="s">
        <v>10823</v>
      </c>
      <c r="F11637" t="s">
        <v>31362</v>
      </c>
      <c r="G11637" t="s">
        <v>31376</v>
      </c>
      <c r="H11637" t="s">
        <v>15799</v>
      </c>
      <c r="I11637" t="s">
        <v>31436</v>
      </c>
      <c r="J11637" t="s">
        <v>31921</v>
      </c>
      <c r="K11637" t="s">
        <v>40670</v>
      </c>
      <c r="M11637" t="s">
        <v>44359</v>
      </c>
      <c r="N11637" t="s">
        <v>44905</v>
      </c>
      <c r="O11637" t="s">
        <v>44906</v>
      </c>
      <c r="P11637">
        <v>0</v>
      </c>
      <c r="Q11637">
        <v>1</v>
      </c>
      <c r="R11637" t="s">
        <v>44917</v>
      </c>
      <c r="S11637" t="s">
        <v>45386</v>
      </c>
      <c r="T11637" t="s">
        <v>46414</v>
      </c>
      <c r="U11637" t="s">
        <v>56226</v>
      </c>
      <c r="V11637" t="s">
        <v>60305</v>
      </c>
      <c r="W11637" t="s">
        <v>44359</v>
      </c>
      <c r="X11637" t="s">
        <v>44922</v>
      </c>
    </row>
    <row r="11638" spans="1:24">
      <c r="A11638">
        <f>HYPERLINK("https://www.philgeps.gov.ph/GEPSNONPILOT/Tender/SplashBidNoticeAbstractUI.aspx?menuIndex=3&amp;refID=7057884&amp;Result=3","7057884")</f>
        <v>0</v>
      </c>
      <c r="B11638" t="s">
        <v>3109</v>
      </c>
      <c r="C11638" t="s">
        <v>14629</v>
      </c>
      <c r="D11638" t="s">
        <v>18106</v>
      </c>
      <c r="E11638" t="s">
        <v>18250</v>
      </c>
      <c r="F11638" t="s">
        <v>31362</v>
      </c>
      <c r="G11638" t="s">
        <v>31369</v>
      </c>
      <c r="H11638" t="s">
        <v>15799</v>
      </c>
      <c r="I11638" t="s">
        <v>7090</v>
      </c>
      <c r="J11638" t="s">
        <v>31530</v>
      </c>
      <c r="K11638" t="s">
        <v>40672</v>
      </c>
      <c r="L11638" t="s">
        <v>3109</v>
      </c>
      <c r="M11638" t="s">
        <v>44360</v>
      </c>
      <c r="N11638" t="s">
        <v>44905</v>
      </c>
      <c r="O11638" t="s">
        <v>44906</v>
      </c>
      <c r="P11638">
        <v>0</v>
      </c>
      <c r="Q11638">
        <v>2</v>
      </c>
      <c r="R11638" t="s">
        <v>44917</v>
      </c>
      <c r="S11638" t="s">
        <v>45386</v>
      </c>
      <c r="T11638" t="s">
        <v>46481</v>
      </c>
      <c r="U11638" t="s">
        <v>56227</v>
      </c>
      <c r="W11638" t="s">
        <v>44360</v>
      </c>
      <c r="X11638" t="s">
        <v>44921</v>
      </c>
    </row>
    <row r="11639" spans="1:24">
      <c r="A11639">
        <f>HYPERLINK("https://www.philgeps.gov.ph/GEPSNONPILOT/Tender/SplashBidNoticeAbstractUI.aspx?menuIndex=3&amp;refID=7057557&amp;Result=3","7057557")</f>
        <v>0</v>
      </c>
      <c r="B11639" t="s">
        <v>1655</v>
      </c>
      <c r="C11639" t="s">
        <v>14630</v>
      </c>
      <c r="D11639" t="s">
        <v>18136</v>
      </c>
      <c r="E11639" t="s">
        <v>28285</v>
      </c>
      <c r="F11639" t="s">
        <v>31362</v>
      </c>
      <c r="G11639" t="s">
        <v>31369</v>
      </c>
      <c r="H11639" t="s">
        <v>31378</v>
      </c>
      <c r="I11639" t="s">
        <v>31386</v>
      </c>
      <c r="J11639" t="s">
        <v>35993</v>
      </c>
      <c r="K11639" t="s">
        <v>40686</v>
      </c>
      <c r="M11639" t="s">
        <v>43362</v>
      </c>
      <c r="N11639" t="s">
        <v>44905</v>
      </c>
      <c r="O11639" t="s">
        <v>44906</v>
      </c>
      <c r="P11639">
        <v>0</v>
      </c>
      <c r="Q11639">
        <v>5</v>
      </c>
      <c r="R11639" t="s">
        <v>44917</v>
      </c>
      <c r="S11639" t="s">
        <v>45386</v>
      </c>
      <c r="T11639" t="s">
        <v>46524</v>
      </c>
      <c r="U11639" t="s">
        <v>56228</v>
      </c>
      <c r="W11639" t="s">
        <v>43362</v>
      </c>
      <c r="X11639" t="s">
        <v>44921</v>
      </c>
    </row>
    <row r="11640" spans="1:24">
      <c r="A11640">
        <f>HYPERLINK("https://www.philgeps.gov.ph/GEPSNONPILOT/Tender/SplashBidNoticeAbstractUI.aspx?menuIndex=3&amp;refID=7055113&amp;Result=3","7055113")</f>
        <v>0</v>
      </c>
      <c r="B11640" t="s">
        <v>2202</v>
      </c>
      <c r="C11640" t="s">
        <v>14631</v>
      </c>
      <c r="D11640" t="s">
        <v>18105</v>
      </c>
      <c r="E11640" t="s">
        <v>28286</v>
      </c>
      <c r="F11640" t="s">
        <v>31362</v>
      </c>
      <c r="G11640" t="s">
        <v>31369</v>
      </c>
      <c r="H11640" t="s">
        <v>15799</v>
      </c>
      <c r="I11640" t="s">
        <v>31380</v>
      </c>
      <c r="J11640" t="s">
        <v>38620</v>
      </c>
      <c r="K11640" t="s">
        <v>40682</v>
      </c>
      <c r="M11640" t="s">
        <v>43333</v>
      </c>
      <c r="N11640" t="s">
        <v>44905</v>
      </c>
      <c r="O11640" t="s">
        <v>44906</v>
      </c>
      <c r="P11640">
        <v>0</v>
      </c>
      <c r="Q11640">
        <v>4</v>
      </c>
      <c r="R11640" t="s">
        <v>44917</v>
      </c>
      <c r="S11640" t="s">
        <v>45386</v>
      </c>
      <c r="T11640" t="s">
        <v>46560</v>
      </c>
      <c r="U11640" t="s">
        <v>56229</v>
      </c>
      <c r="W11640" t="s">
        <v>43333</v>
      </c>
      <c r="X11640" t="s">
        <v>44922</v>
      </c>
    </row>
    <row r="11641" spans="1:24">
      <c r="A11641">
        <f>HYPERLINK("https://www.philgeps.gov.ph/GEPSNONPILOT/Tender/SplashBidNoticeAbstractUI.aspx?menuIndex=3&amp;refID=7057409&amp;Result=3","7057409")</f>
        <v>0</v>
      </c>
      <c r="B11641" t="s">
        <v>1655</v>
      </c>
      <c r="C11641" t="s">
        <v>8413</v>
      </c>
      <c r="D11641" t="s">
        <v>18136</v>
      </c>
      <c r="E11641" t="s">
        <v>28287</v>
      </c>
      <c r="F11641" t="s">
        <v>31362</v>
      </c>
      <c r="G11641" t="s">
        <v>31369</v>
      </c>
      <c r="H11641" t="s">
        <v>15799</v>
      </c>
      <c r="I11641" t="s">
        <v>31409</v>
      </c>
      <c r="J11641" t="s">
        <v>38621</v>
      </c>
      <c r="K11641" t="s">
        <v>40665</v>
      </c>
      <c r="M11641" t="s">
        <v>42720</v>
      </c>
      <c r="N11641" t="s">
        <v>44905</v>
      </c>
      <c r="O11641" t="s">
        <v>44906</v>
      </c>
      <c r="P11641">
        <v>0</v>
      </c>
      <c r="Q11641">
        <v>4</v>
      </c>
      <c r="R11641" t="s">
        <v>44917</v>
      </c>
      <c r="S11641" t="s">
        <v>45386</v>
      </c>
      <c r="T11641" t="s">
        <v>46809</v>
      </c>
      <c r="U11641" t="s">
        <v>51021</v>
      </c>
      <c r="V11641" t="s">
        <v>60306</v>
      </c>
      <c r="W11641" t="s">
        <v>42720</v>
      </c>
      <c r="X11641" t="s">
        <v>44921</v>
      </c>
    </row>
    <row r="11642" spans="1:24">
      <c r="A11642">
        <f>HYPERLINK("https://www.philgeps.gov.ph/GEPSNONPILOT/Tender/SplashBidNoticeAbstractUI.aspx?menuIndex=3&amp;refID=7058131&amp;Result=3","7058131")</f>
        <v>0</v>
      </c>
      <c r="B11642" t="s">
        <v>192</v>
      </c>
      <c r="C11642" t="s">
        <v>14632</v>
      </c>
      <c r="D11642" t="s">
        <v>18122</v>
      </c>
      <c r="E11642" t="s">
        <v>28288</v>
      </c>
      <c r="F11642" t="s">
        <v>31362</v>
      </c>
      <c r="G11642" t="s">
        <v>31369</v>
      </c>
      <c r="H11642" t="s">
        <v>15799</v>
      </c>
      <c r="I11642" t="s">
        <v>31382</v>
      </c>
      <c r="J11642" t="s">
        <v>38622</v>
      </c>
      <c r="K11642" t="s">
        <v>40662</v>
      </c>
      <c r="M11642" t="s">
        <v>41130</v>
      </c>
      <c r="N11642" t="s">
        <v>44905</v>
      </c>
      <c r="O11642" t="s">
        <v>44906</v>
      </c>
      <c r="Q11642">
        <v>19</v>
      </c>
      <c r="R11642" t="s">
        <v>44917</v>
      </c>
      <c r="S11642" t="s">
        <v>45393</v>
      </c>
      <c r="T11642" t="s">
        <v>46407</v>
      </c>
      <c r="U11642" t="s">
        <v>56230</v>
      </c>
      <c r="V11642" t="s">
        <v>60307</v>
      </c>
      <c r="W11642" t="s">
        <v>41130</v>
      </c>
      <c r="X11642" t="s">
        <v>44920</v>
      </c>
    </row>
    <row r="11643" spans="1:24">
      <c r="A11643">
        <f>HYPERLINK("https://www.philgeps.gov.ph/GEPSNONPILOT/Tender/SplashBidNoticeAbstractUI.aspx?menuIndex=3&amp;refID=7055715&amp;Result=3","7055715")</f>
        <v>0</v>
      </c>
      <c r="B11643" t="s">
        <v>255</v>
      </c>
      <c r="C11643" t="s">
        <v>14633</v>
      </c>
      <c r="E11643" t="s">
        <v>28289</v>
      </c>
      <c r="F11643" t="s">
        <v>31362</v>
      </c>
      <c r="G11643" t="s">
        <v>31369</v>
      </c>
      <c r="H11643" t="s">
        <v>15799</v>
      </c>
      <c r="I11643" t="s">
        <v>31430</v>
      </c>
      <c r="J11643" t="s">
        <v>38623</v>
      </c>
      <c r="K11643" t="s">
        <v>40662</v>
      </c>
      <c r="M11643" t="s">
        <v>44357</v>
      </c>
      <c r="N11643" t="s">
        <v>44905</v>
      </c>
      <c r="O11643" t="s">
        <v>44906</v>
      </c>
      <c r="P11643">
        <v>0</v>
      </c>
      <c r="Q11643">
        <v>1</v>
      </c>
      <c r="R11643" t="s">
        <v>44917</v>
      </c>
      <c r="S11643" t="s">
        <v>45386</v>
      </c>
      <c r="T11643" t="s">
        <v>46410</v>
      </c>
      <c r="U11643" t="s">
        <v>56231</v>
      </c>
      <c r="W11643" t="s">
        <v>44357</v>
      </c>
      <c r="X11643" t="s">
        <v>44921</v>
      </c>
    </row>
    <row r="11644" spans="1:24">
      <c r="A11644">
        <f>HYPERLINK("https://www.philgeps.gov.ph/GEPSNONPILOT/Tender/SplashBidNoticeAbstractUI.aspx?menuIndex=3&amp;refID=7058050&amp;Result=3","7058050")</f>
        <v>0</v>
      </c>
      <c r="B11644" t="s">
        <v>3110</v>
      </c>
      <c r="C11644" t="s">
        <v>14634</v>
      </c>
      <c r="D11644" t="s">
        <v>18109</v>
      </c>
      <c r="E11644" t="s">
        <v>28290</v>
      </c>
      <c r="F11644" t="s">
        <v>31362</v>
      </c>
      <c r="G11644" t="s">
        <v>31369</v>
      </c>
      <c r="H11644" t="s">
        <v>15799</v>
      </c>
      <c r="I11644" t="s">
        <v>31436</v>
      </c>
      <c r="J11644" t="s">
        <v>38624</v>
      </c>
      <c r="K11644" t="s">
        <v>40662</v>
      </c>
      <c r="M11644" t="s">
        <v>44361</v>
      </c>
      <c r="N11644" t="s">
        <v>44905</v>
      </c>
      <c r="O11644" t="s">
        <v>44906</v>
      </c>
      <c r="P11644">
        <v>0</v>
      </c>
      <c r="Q11644">
        <v>5</v>
      </c>
      <c r="R11644" t="s">
        <v>44917</v>
      </c>
      <c r="S11644" t="s">
        <v>45386</v>
      </c>
      <c r="T11644" t="s">
        <v>46530</v>
      </c>
      <c r="U11644" t="s">
        <v>56232</v>
      </c>
      <c r="W11644" t="s">
        <v>44361</v>
      </c>
      <c r="X11644" t="s">
        <v>44921</v>
      </c>
    </row>
    <row r="11645" spans="1:24">
      <c r="A11645">
        <f>HYPERLINK("https://www.philgeps.gov.ph/GEPSNONPILOT/Tender/SplashBidNoticeAbstractUI.aspx?menuIndex=3&amp;refID=7064269&amp;Result=3","7064269")</f>
        <v>0</v>
      </c>
      <c r="B11645" t="s">
        <v>3092</v>
      </c>
      <c r="C11645" t="s">
        <v>14635</v>
      </c>
      <c r="D11645" t="s">
        <v>18155</v>
      </c>
      <c r="E11645" t="s">
        <v>28291</v>
      </c>
      <c r="F11645" t="s">
        <v>31362</v>
      </c>
      <c r="G11645" t="s">
        <v>31369</v>
      </c>
      <c r="H11645" t="s">
        <v>31378</v>
      </c>
      <c r="I11645" t="s">
        <v>31386</v>
      </c>
      <c r="J11645" t="s">
        <v>31578</v>
      </c>
      <c r="K11645" t="s">
        <v>40733</v>
      </c>
      <c r="M11645" t="s">
        <v>44336</v>
      </c>
      <c r="N11645" t="s">
        <v>44905</v>
      </c>
      <c r="O11645" t="s">
        <v>44906</v>
      </c>
      <c r="P11645">
        <v>0</v>
      </c>
      <c r="Q11645">
        <v>0</v>
      </c>
      <c r="R11645" t="s">
        <v>44916</v>
      </c>
      <c r="S11645" t="s">
        <v>45313</v>
      </c>
      <c r="T11645" t="s">
        <v>46392</v>
      </c>
      <c r="U11645" t="s">
        <v>56128</v>
      </c>
      <c r="V11645" t="s">
        <v>60295</v>
      </c>
      <c r="W11645" t="s">
        <v>44336</v>
      </c>
      <c r="X11645" t="s">
        <v>44917</v>
      </c>
    </row>
    <row r="11646" spans="1:24">
      <c r="A11646">
        <f>HYPERLINK("https://www.philgeps.gov.ph/GEPSNONPILOT/Tender/SplashBidNoticeAbstractUI.aspx?menuIndex=3&amp;refID=7058516&amp;Result=3","7058516")</f>
        <v>0</v>
      </c>
      <c r="B11646" t="s">
        <v>1655</v>
      </c>
      <c r="C11646" t="s">
        <v>14636</v>
      </c>
      <c r="D11646" t="s">
        <v>18136</v>
      </c>
      <c r="E11646" t="s">
        <v>28292</v>
      </c>
      <c r="F11646" t="s">
        <v>31362</v>
      </c>
      <c r="G11646" t="s">
        <v>31369</v>
      </c>
      <c r="H11646" t="s">
        <v>31378</v>
      </c>
      <c r="I11646" t="s">
        <v>31386</v>
      </c>
      <c r="J11646" t="s">
        <v>36460</v>
      </c>
      <c r="K11646" t="s">
        <v>40682</v>
      </c>
      <c r="M11646" t="s">
        <v>43362</v>
      </c>
      <c r="N11646" t="s">
        <v>44905</v>
      </c>
      <c r="O11646" t="s">
        <v>44906</v>
      </c>
      <c r="P11646">
        <v>0</v>
      </c>
      <c r="Q11646">
        <v>1</v>
      </c>
      <c r="R11646" t="s">
        <v>44917</v>
      </c>
      <c r="S11646" t="s">
        <v>45386</v>
      </c>
      <c r="T11646" t="s">
        <v>46524</v>
      </c>
      <c r="U11646" t="s">
        <v>56233</v>
      </c>
      <c r="W11646" t="s">
        <v>43362</v>
      </c>
      <c r="X11646" t="s">
        <v>44919</v>
      </c>
    </row>
    <row r="11647" spans="1:24">
      <c r="A11647">
        <f>HYPERLINK("https://www.philgeps.gov.ph/GEPSNONPILOT/Tender/SplashBidNoticeAbstractUI.aspx?menuIndex=3&amp;refID=7054532&amp;Result=3","7054532")</f>
        <v>0</v>
      </c>
      <c r="B11647" t="s">
        <v>1284</v>
      </c>
      <c r="C11647" t="s">
        <v>14637</v>
      </c>
      <c r="D11647" t="s">
        <v>18110</v>
      </c>
      <c r="E11647" t="s">
        <v>28293</v>
      </c>
      <c r="F11647" t="s">
        <v>31362</v>
      </c>
      <c r="G11647" t="s">
        <v>31369</v>
      </c>
      <c r="H11647" t="s">
        <v>15799</v>
      </c>
      <c r="I11647" t="s">
        <v>31409</v>
      </c>
      <c r="J11647" t="s">
        <v>35450</v>
      </c>
      <c r="K11647" t="s">
        <v>40662</v>
      </c>
      <c r="M11647" t="s">
        <v>42301</v>
      </c>
      <c r="N11647" t="s">
        <v>44905</v>
      </c>
      <c r="O11647" t="s">
        <v>44906</v>
      </c>
      <c r="P11647">
        <v>0</v>
      </c>
      <c r="Q11647">
        <v>11</v>
      </c>
      <c r="R11647" t="s">
        <v>44917</v>
      </c>
      <c r="S11647" t="s">
        <v>45386</v>
      </c>
      <c r="T11647" t="s">
        <v>46585</v>
      </c>
      <c r="U11647" t="s">
        <v>56234</v>
      </c>
      <c r="W11647" t="s">
        <v>42301</v>
      </c>
      <c r="X11647" t="s">
        <v>44922</v>
      </c>
    </row>
    <row r="11648" spans="1:24">
      <c r="A11648">
        <f>HYPERLINK("https://www.philgeps.gov.ph/GEPSNONPILOT/Tender/SplashBidNoticeAbstractUI.aspx?menuIndex=3&amp;refID=7057381&amp;Result=3","7057381")</f>
        <v>0</v>
      </c>
      <c r="B11648" t="s">
        <v>1655</v>
      </c>
      <c r="C11648" t="s">
        <v>14638</v>
      </c>
      <c r="D11648" t="s">
        <v>18136</v>
      </c>
      <c r="E11648" t="s">
        <v>28294</v>
      </c>
      <c r="F11648" t="s">
        <v>31362</v>
      </c>
      <c r="G11648" t="s">
        <v>31369</v>
      </c>
      <c r="H11648" t="s">
        <v>15799</v>
      </c>
      <c r="I11648" t="s">
        <v>31436</v>
      </c>
      <c r="J11648" t="s">
        <v>32540</v>
      </c>
      <c r="K11648" t="s">
        <v>40661</v>
      </c>
      <c r="M11648" t="s">
        <v>42720</v>
      </c>
      <c r="N11648" t="s">
        <v>44905</v>
      </c>
      <c r="O11648" t="s">
        <v>44906</v>
      </c>
      <c r="P11648">
        <v>0</v>
      </c>
      <c r="Q11648">
        <v>0</v>
      </c>
      <c r="R11648" t="s">
        <v>44917</v>
      </c>
      <c r="S11648" t="s">
        <v>45386</v>
      </c>
      <c r="T11648" t="s">
        <v>46809</v>
      </c>
      <c r="U11648" t="s">
        <v>50983</v>
      </c>
      <c r="V11648" t="s">
        <v>60308</v>
      </c>
      <c r="W11648" t="s">
        <v>42720</v>
      </c>
      <c r="X11648" t="s">
        <v>44921</v>
      </c>
    </row>
    <row r="11649" spans="1:24">
      <c r="A11649">
        <f>HYPERLINK("https://www.philgeps.gov.ph/GEPSNONPILOT/Tender/SplashBidNoticeAbstractUI.aspx?menuIndex=3&amp;refID=7057288&amp;Result=3","7057288")</f>
        <v>0</v>
      </c>
      <c r="B11649" t="s">
        <v>326</v>
      </c>
      <c r="C11649" t="s">
        <v>14639</v>
      </c>
      <c r="D11649" t="s">
        <v>18148</v>
      </c>
      <c r="E11649" t="s">
        <v>28295</v>
      </c>
      <c r="F11649" t="s">
        <v>31362</v>
      </c>
      <c r="G11649" t="s">
        <v>31369</v>
      </c>
      <c r="H11649" t="s">
        <v>15799</v>
      </c>
      <c r="I11649" t="s">
        <v>31427</v>
      </c>
      <c r="J11649" t="s">
        <v>38625</v>
      </c>
      <c r="K11649" t="s">
        <v>40661</v>
      </c>
      <c r="M11649" t="s">
        <v>41272</v>
      </c>
      <c r="N11649" t="s">
        <v>44905</v>
      </c>
      <c r="O11649" t="s">
        <v>44906</v>
      </c>
      <c r="P11649">
        <v>0</v>
      </c>
      <c r="Q11649">
        <v>5</v>
      </c>
      <c r="R11649" t="s">
        <v>44917</v>
      </c>
      <c r="S11649" t="s">
        <v>45386</v>
      </c>
      <c r="T11649" t="s">
        <v>46462</v>
      </c>
      <c r="U11649" t="s">
        <v>56235</v>
      </c>
      <c r="W11649" t="s">
        <v>41272</v>
      </c>
      <c r="X11649" t="s">
        <v>44921</v>
      </c>
    </row>
    <row r="11650" spans="1:24">
      <c r="A11650">
        <f>HYPERLINK("https://www.philgeps.gov.ph/GEPSNONPILOT/Tender/SplashBidNoticeAbstractUI.aspx?menuIndex=3&amp;refID=7058979&amp;Result=3","7058979")</f>
        <v>0</v>
      </c>
      <c r="B11650" t="s">
        <v>2822</v>
      </c>
      <c r="C11650" t="s">
        <v>14640</v>
      </c>
      <c r="D11650" t="s">
        <v>18122</v>
      </c>
      <c r="E11650" t="s">
        <v>28296</v>
      </c>
      <c r="F11650" t="s">
        <v>31362</v>
      </c>
      <c r="G11650" t="s">
        <v>31369</v>
      </c>
      <c r="H11650" t="s">
        <v>31378</v>
      </c>
      <c r="I11650" t="s">
        <v>31386</v>
      </c>
      <c r="J11650" t="s">
        <v>38626</v>
      </c>
      <c r="K11650" t="s">
        <v>40686</v>
      </c>
      <c r="M11650" t="s">
        <v>44362</v>
      </c>
      <c r="N11650" t="s">
        <v>44905</v>
      </c>
      <c r="O11650" t="s">
        <v>44906</v>
      </c>
      <c r="P11650">
        <v>0</v>
      </c>
      <c r="Q11650">
        <v>13</v>
      </c>
      <c r="R11650" t="s">
        <v>44917</v>
      </c>
      <c r="S11650" t="s">
        <v>45386</v>
      </c>
      <c r="T11650" t="s">
        <v>46482</v>
      </c>
      <c r="U11650" t="s">
        <v>56236</v>
      </c>
      <c r="W11650" t="s">
        <v>44362</v>
      </c>
      <c r="X11650" t="s">
        <v>44918</v>
      </c>
    </row>
    <row r="11651" spans="1:24">
      <c r="A11651">
        <f>HYPERLINK("https://www.philgeps.gov.ph/GEPSNONPILOT/Tender/SplashBidNoticeAbstractUI.aspx?menuIndex=3&amp;refID=7058969&amp;Result=3","7058969")</f>
        <v>0</v>
      </c>
      <c r="B11651" t="s">
        <v>3111</v>
      </c>
      <c r="C11651" t="s">
        <v>14641</v>
      </c>
      <c r="D11651" t="s">
        <v>18102</v>
      </c>
      <c r="E11651" t="s">
        <v>28297</v>
      </c>
      <c r="F11651" t="s">
        <v>31362</v>
      </c>
      <c r="G11651" t="s">
        <v>31369</v>
      </c>
      <c r="H11651" t="s">
        <v>15799</v>
      </c>
      <c r="I11651" t="s">
        <v>31427</v>
      </c>
      <c r="J11651" t="s">
        <v>35216</v>
      </c>
      <c r="K11651" t="s">
        <v>40666</v>
      </c>
      <c r="M11651" t="s">
        <v>44363</v>
      </c>
      <c r="N11651" t="s">
        <v>44905</v>
      </c>
      <c r="O11651" t="s">
        <v>44906</v>
      </c>
      <c r="Q11651">
        <v>11</v>
      </c>
      <c r="R11651" t="s">
        <v>44917</v>
      </c>
      <c r="S11651" t="s">
        <v>45394</v>
      </c>
      <c r="T11651" t="s">
        <v>46481</v>
      </c>
      <c r="U11651" t="s">
        <v>56237</v>
      </c>
      <c r="W11651" t="s">
        <v>44363</v>
      </c>
      <c r="X11651" t="s">
        <v>44918</v>
      </c>
    </row>
    <row r="11652" spans="1:24">
      <c r="A11652">
        <f>HYPERLINK("https://www.philgeps.gov.ph/GEPSNONPILOT/Tender/SplashBidNoticeAbstractUI.aspx?menuIndex=3&amp;refID=7057347&amp;Result=3","7057347")</f>
        <v>0</v>
      </c>
      <c r="B11652" t="s">
        <v>326</v>
      </c>
      <c r="C11652" t="s">
        <v>14642</v>
      </c>
      <c r="D11652" t="s">
        <v>18148</v>
      </c>
      <c r="E11652" t="s">
        <v>28298</v>
      </c>
      <c r="F11652" t="s">
        <v>31362</v>
      </c>
      <c r="G11652" t="s">
        <v>31369</v>
      </c>
      <c r="H11652" t="s">
        <v>15799</v>
      </c>
      <c r="I11652" t="s">
        <v>3815</v>
      </c>
      <c r="J11652" t="s">
        <v>38627</v>
      </c>
      <c r="K11652" t="s">
        <v>40661</v>
      </c>
      <c r="M11652" t="s">
        <v>41272</v>
      </c>
      <c r="N11652" t="s">
        <v>44905</v>
      </c>
      <c r="O11652" t="s">
        <v>44906</v>
      </c>
      <c r="P11652">
        <v>0</v>
      </c>
      <c r="Q11652">
        <v>3</v>
      </c>
      <c r="R11652" t="s">
        <v>44917</v>
      </c>
      <c r="S11652" t="s">
        <v>45386</v>
      </c>
      <c r="T11652" t="s">
        <v>46462</v>
      </c>
      <c r="U11652" t="s">
        <v>56238</v>
      </c>
      <c r="W11652" t="s">
        <v>41272</v>
      </c>
      <c r="X11652" t="s">
        <v>44921</v>
      </c>
    </row>
    <row r="11653" spans="1:24">
      <c r="A11653">
        <f>HYPERLINK("https://www.philgeps.gov.ph/GEPSNONPILOT/Tender/SplashBidNoticeAbstractUI.aspx?menuIndex=3&amp;refID=7057369&amp;Result=3","7057369")</f>
        <v>0</v>
      </c>
      <c r="B11653" t="s">
        <v>1655</v>
      </c>
      <c r="C11653" t="s">
        <v>8413</v>
      </c>
      <c r="D11653" t="s">
        <v>18136</v>
      </c>
      <c r="E11653" t="s">
        <v>28299</v>
      </c>
      <c r="F11653" t="s">
        <v>31362</v>
      </c>
      <c r="G11653" t="s">
        <v>31369</v>
      </c>
      <c r="H11653" t="s">
        <v>15799</v>
      </c>
      <c r="I11653" t="s">
        <v>31409</v>
      </c>
      <c r="J11653" t="s">
        <v>31641</v>
      </c>
      <c r="K11653" t="s">
        <v>40665</v>
      </c>
      <c r="M11653" t="s">
        <v>42720</v>
      </c>
      <c r="N11653" t="s">
        <v>44905</v>
      </c>
      <c r="O11653" t="s">
        <v>44906</v>
      </c>
      <c r="P11653">
        <v>0</v>
      </c>
      <c r="Q11653">
        <v>2</v>
      </c>
      <c r="R11653" t="s">
        <v>44917</v>
      </c>
      <c r="S11653" t="s">
        <v>45386</v>
      </c>
      <c r="T11653" t="s">
        <v>46809</v>
      </c>
      <c r="U11653" t="s">
        <v>50983</v>
      </c>
      <c r="V11653" t="s">
        <v>60309</v>
      </c>
      <c r="W11653" t="s">
        <v>42720</v>
      </c>
      <c r="X11653" t="s">
        <v>44921</v>
      </c>
    </row>
    <row r="11654" spans="1:24">
      <c r="A11654">
        <f>HYPERLINK("https://www.philgeps.gov.ph/GEPSNONPILOT/Tender/SplashBidNoticeAbstractUI.aspx?menuIndex=3&amp;refID=7058838&amp;Result=3","7058838")</f>
        <v>0</v>
      </c>
      <c r="B11654" t="s">
        <v>1817</v>
      </c>
      <c r="C11654" t="s">
        <v>14643</v>
      </c>
      <c r="D11654" t="s">
        <v>18181</v>
      </c>
      <c r="E11654" t="s">
        <v>28300</v>
      </c>
      <c r="F11654" t="s">
        <v>31362</v>
      </c>
      <c r="G11654" t="s">
        <v>31369</v>
      </c>
      <c r="H11654" t="s">
        <v>31378</v>
      </c>
      <c r="I11654" t="s">
        <v>31386</v>
      </c>
      <c r="J11654" t="s">
        <v>38628</v>
      </c>
      <c r="K11654" t="s">
        <v>40752</v>
      </c>
      <c r="M11654" t="s">
        <v>42900</v>
      </c>
      <c r="N11654" t="s">
        <v>44905</v>
      </c>
      <c r="O11654" t="s">
        <v>44906</v>
      </c>
      <c r="Q11654">
        <v>2</v>
      </c>
      <c r="R11654" t="s">
        <v>44917</v>
      </c>
      <c r="S11654" t="s">
        <v>45395</v>
      </c>
      <c r="T11654" t="s">
        <v>46524</v>
      </c>
      <c r="U11654" t="s">
        <v>56239</v>
      </c>
      <c r="V11654" t="s">
        <v>59382</v>
      </c>
      <c r="W11654" t="s">
        <v>42900</v>
      </c>
      <c r="X11654" t="s">
        <v>44919</v>
      </c>
    </row>
    <row r="11655" spans="1:24">
      <c r="A11655">
        <f>HYPERLINK("https://www.philgeps.gov.ph/GEPSNONPILOT/Tender/SplashBidNoticeAbstractUI.aspx?menuIndex=3&amp;refID=7057383&amp;Result=3","7057383")</f>
        <v>0</v>
      </c>
      <c r="B11655" t="s">
        <v>962</v>
      </c>
      <c r="C11655" t="s">
        <v>14644</v>
      </c>
      <c r="D11655" t="s">
        <v>18152</v>
      </c>
      <c r="E11655" t="s">
        <v>28301</v>
      </c>
      <c r="F11655" t="s">
        <v>31362</v>
      </c>
      <c r="G11655" t="s">
        <v>31369</v>
      </c>
      <c r="H11655" t="s">
        <v>15799</v>
      </c>
      <c r="I11655" t="s">
        <v>31409</v>
      </c>
      <c r="J11655" t="s">
        <v>31606</v>
      </c>
      <c r="K11655" t="s">
        <v>40665</v>
      </c>
      <c r="M11655" t="s">
        <v>41950</v>
      </c>
      <c r="N11655" t="s">
        <v>44905</v>
      </c>
      <c r="O11655" t="s">
        <v>44906</v>
      </c>
      <c r="P11655">
        <v>0</v>
      </c>
      <c r="Q11655">
        <v>3</v>
      </c>
      <c r="R11655" t="s">
        <v>44917</v>
      </c>
      <c r="S11655" t="s">
        <v>45386</v>
      </c>
      <c r="T11655" t="s">
        <v>46418</v>
      </c>
      <c r="U11655" t="s">
        <v>56240</v>
      </c>
      <c r="W11655" t="s">
        <v>41950</v>
      </c>
      <c r="X11655" t="s">
        <v>44921</v>
      </c>
    </row>
    <row r="11656" spans="1:24">
      <c r="A11656">
        <f>HYPERLINK("https://www.philgeps.gov.ph/GEPSNONPILOT/Tender/SplashBidNoticeAbstractUI.aspx?menuIndex=3&amp;refID=7058777&amp;Result=3","7058777")</f>
        <v>0</v>
      </c>
      <c r="B11656" t="s">
        <v>1817</v>
      </c>
      <c r="C11656" t="s">
        <v>14645</v>
      </c>
      <c r="D11656" t="s">
        <v>18181</v>
      </c>
      <c r="E11656" t="s">
        <v>28302</v>
      </c>
      <c r="F11656" t="s">
        <v>31362</v>
      </c>
      <c r="G11656" t="s">
        <v>31369</v>
      </c>
      <c r="H11656" t="s">
        <v>31378</v>
      </c>
      <c r="I11656" t="s">
        <v>31386</v>
      </c>
      <c r="J11656" t="s">
        <v>38629</v>
      </c>
      <c r="K11656" t="s">
        <v>40755</v>
      </c>
      <c r="M11656" t="s">
        <v>42900</v>
      </c>
      <c r="N11656" t="s">
        <v>44905</v>
      </c>
      <c r="O11656" t="s">
        <v>44906</v>
      </c>
      <c r="P11656">
        <v>0</v>
      </c>
      <c r="Q11656">
        <v>1</v>
      </c>
      <c r="R11656" t="s">
        <v>44917</v>
      </c>
      <c r="S11656" t="s">
        <v>45386</v>
      </c>
      <c r="T11656" t="s">
        <v>46524</v>
      </c>
      <c r="U11656" t="s">
        <v>56241</v>
      </c>
      <c r="V11656" t="s">
        <v>59382</v>
      </c>
      <c r="W11656" t="s">
        <v>42900</v>
      </c>
      <c r="X11656" t="s">
        <v>44919</v>
      </c>
    </row>
    <row r="11657" spans="1:24">
      <c r="A11657">
        <f>HYPERLINK("https://www.philgeps.gov.ph/GEPSNONPILOT/Tender/SplashBidNoticeAbstractUI.aspx?menuIndex=3&amp;refID=7058924&amp;Result=3","7058924")</f>
        <v>0</v>
      </c>
      <c r="B11657" t="s">
        <v>3112</v>
      </c>
      <c r="C11657" t="s">
        <v>14646</v>
      </c>
      <c r="D11657" t="s">
        <v>18140</v>
      </c>
      <c r="E11657" t="s">
        <v>28303</v>
      </c>
      <c r="F11657" t="s">
        <v>31362</v>
      </c>
      <c r="G11657" t="s">
        <v>31369</v>
      </c>
      <c r="H11657" t="s">
        <v>15799</v>
      </c>
      <c r="I11657" t="s">
        <v>31413</v>
      </c>
      <c r="J11657" t="s">
        <v>33143</v>
      </c>
      <c r="K11657" t="s">
        <v>40670</v>
      </c>
      <c r="M11657" t="s">
        <v>44364</v>
      </c>
      <c r="N11657" t="s">
        <v>44905</v>
      </c>
      <c r="O11657" t="s">
        <v>44906</v>
      </c>
      <c r="P11657">
        <v>0</v>
      </c>
      <c r="Q11657">
        <v>5</v>
      </c>
      <c r="R11657" t="s">
        <v>44917</v>
      </c>
      <c r="S11657" t="s">
        <v>45386</v>
      </c>
      <c r="T11657" t="s">
        <v>46560</v>
      </c>
      <c r="U11657" t="s">
        <v>56242</v>
      </c>
      <c r="V11657" t="s">
        <v>60310</v>
      </c>
      <c r="W11657" t="s">
        <v>44364</v>
      </c>
      <c r="X11657" t="s">
        <v>44919</v>
      </c>
    </row>
    <row r="11658" spans="1:24">
      <c r="A11658">
        <f>HYPERLINK("https://www.philgeps.gov.ph/GEPSNONPILOT/Tender/SplashBidNoticeAbstractUI.aspx?menuIndex=3&amp;refID=7058732&amp;Result=3","7058732")</f>
        <v>0</v>
      </c>
      <c r="B11658" t="s">
        <v>3113</v>
      </c>
      <c r="C11658" t="s">
        <v>14647</v>
      </c>
      <c r="D11658" t="s">
        <v>18104</v>
      </c>
      <c r="E11658" t="s">
        <v>28304</v>
      </c>
      <c r="F11658" t="s">
        <v>31362</v>
      </c>
      <c r="G11658" t="s">
        <v>31369</v>
      </c>
      <c r="H11658" t="s">
        <v>15799</v>
      </c>
      <c r="I11658" t="s">
        <v>3815</v>
      </c>
      <c r="J11658" t="s">
        <v>38630</v>
      </c>
      <c r="K11658" t="s">
        <v>40666</v>
      </c>
      <c r="M11658" t="s">
        <v>44365</v>
      </c>
      <c r="N11658" t="s">
        <v>44905</v>
      </c>
      <c r="O11658" t="s">
        <v>44906</v>
      </c>
      <c r="P11658">
        <v>0</v>
      </c>
      <c r="Q11658">
        <v>0</v>
      </c>
      <c r="R11658" t="s">
        <v>44917</v>
      </c>
      <c r="S11658" t="s">
        <v>45386</v>
      </c>
      <c r="T11658" t="s">
        <v>46415</v>
      </c>
      <c r="U11658" t="s">
        <v>56243</v>
      </c>
      <c r="V11658" t="s">
        <v>60311</v>
      </c>
      <c r="W11658" t="s">
        <v>44365</v>
      </c>
      <c r="X11658" t="s">
        <v>44919</v>
      </c>
    </row>
    <row r="11659" spans="1:24">
      <c r="A11659">
        <f>HYPERLINK("https://www.philgeps.gov.ph/GEPSNONPILOT/Tender/SplashBidNoticeAbstractUI.aspx?menuIndex=3&amp;refID=7058720&amp;Result=3","7058720")</f>
        <v>0</v>
      </c>
      <c r="B11659" t="s">
        <v>3114</v>
      </c>
      <c r="C11659" t="s">
        <v>14648</v>
      </c>
      <c r="D11659" t="s">
        <v>18136</v>
      </c>
      <c r="E11659" t="s">
        <v>28305</v>
      </c>
      <c r="F11659" t="s">
        <v>31362</v>
      </c>
      <c r="G11659" t="s">
        <v>31369</v>
      </c>
      <c r="H11659" t="s">
        <v>15799</v>
      </c>
      <c r="I11659" t="s">
        <v>31427</v>
      </c>
      <c r="J11659" t="s">
        <v>38631</v>
      </c>
      <c r="K11659" t="s">
        <v>40670</v>
      </c>
      <c r="M11659" t="s">
        <v>44366</v>
      </c>
      <c r="N11659" t="s">
        <v>44905</v>
      </c>
      <c r="O11659" t="s">
        <v>44906</v>
      </c>
      <c r="P11659">
        <v>0</v>
      </c>
      <c r="Q11659">
        <v>3</v>
      </c>
      <c r="R11659" t="s">
        <v>44917</v>
      </c>
      <c r="S11659" t="s">
        <v>45386</v>
      </c>
      <c r="T11659" t="s">
        <v>46410</v>
      </c>
      <c r="U11659" t="s">
        <v>56244</v>
      </c>
      <c r="W11659" t="s">
        <v>44366</v>
      </c>
      <c r="X11659" t="s">
        <v>44919</v>
      </c>
    </row>
    <row r="11660" spans="1:24">
      <c r="A11660">
        <f>HYPERLINK("https://www.philgeps.gov.ph/GEPSNONPILOT/Tender/SplashBidNoticeAbstractUI.aspx?menuIndex=3&amp;refID=7058804&amp;Result=3","7058804")</f>
        <v>0</v>
      </c>
      <c r="B11660" t="s">
        <v>1817</v>
      </c>
      <c r="C11660" t="s">
        <v>14649</v>
      </c>
      <c r="D11660" t="s">
        <v>18181</v>
      </c>
      <c r="E11660" t="s">
        <v>28306</v>
      </c>
      <c r="F11660" t="s">
        <v>31362</v>
      </c>
      <c r="G11660" t="s">
        <v>31369</v>
      </c>
      <c r="H11660" t="s">
        <v>31378</v>
      </c>
      <c r="I11660" t="s">
        <v>31386</v>
      </c>
      <c r="J11660" t="s">
        <v>38632</v>
      </c>
      <c r="K11660" t="s">
        <v>40683</v>
      </c>
      <c r="M11660" t="s">
        <v>42900</v>
      </c>
      <c r="N11660" t="s">
        <v>44905</v>
      </c>
      <c r="O11660" t="s">
        <v>44906</v>
      </c>
      <c r="P11660">
        <v>0</v>
      </c>
      <c r="Q11660">
        <v>1</v>
      </c>
      <c r="R11660" t="s">
        <v>44917</v>
      </c>
      <c r="S11660" t="s">
        <v>45386</v>
      </c>
      <c r="T11660" t="s">
        <v>46524</v>
      </c>
      <c r="U11660" t="s">
        <v>56245</v>
      </c>
      <c r="V11660" t="s">
        <v>59382</v>
      </c>
      <c r="W11660" t="s">
        <v>42900</v>
      </c>
      <c r="X11660" t="s">
        <v>44919</v>
      </c>
    </row>
    <row r="11661" spans="1:24">
      <c r="A11661">
        <f>HYPERLINK("https://www.philgeps.gov.ph/GEPSNONPILOT/Tender/SplashBidNoticeAbstractUI.aspx?menuIndex=3&amp;refID=7058787&amp;Result=3","7058787")</f>
        <v>0</v>
      </c>
      <c r="B11661" t="s">
        <v>1817</v>
      </c>
      <c r="C11661" t="s">
        <v>14650</v>
      </c>
      <c r="D11661" t="s">
        <v>18181</v>
      </c>
      <c r="E11661" t="s">
        <v>28307</v>
      </c>
      <c r="F11661" t="s">
        <v>31362</v>
      </c>
      <c r="G11661" t="s">
        <v>31369</v>
      </c>
      <c r="H11661" t="s">
        <v>31378</v>
      </c>
      <c r="I11661" t="s">
        <v>31386</v>
      </c>
      <c r="J11661" t="s">
        <v>38633</v>
      </c>
      <c r="K11661" t="s">
        <v>40829</v>
      </c>
      <c r="M11661" t="s">
        <v>42900</v>
      </c>
      <c r="N11661" t="s">
        <v>44905</v>
      </c>
      <c r="O11661" t="s">
        <v>44906</v>
      </c>
      <c r="P11661">
        <v>0</v>
      </c>
      <c r="Q11661">
        <v>2</v>
      </c>
      <c r="R11661" t="s">
        <v>44917</v>
      </c>
      <c r="S11661" t="s">
        <v>45386</v>
      </c>
      <c r="T11661" t="s">
        <v>46524</v>
      </c>
      <c r="U11661" t="s">
        <v>56246</v>
      </c>
      <c r="V11661" t="s">
        <v>59382</v>
      </c>
      <c r="W11661" t="s">
        <v>42900</v>
      </c>
      <c r="X11661" t="s">
        <v>44919</v>
      </c>
    </row>
    <row r="11662" spans="1:24">
      <c r="A11662">
        <f>HYPERLINK("https://www.philgeps.gov.ph/GEPSNONPILOT/Tender/SplashBidNoticeAbstractUI.aspx?menuIndex=3&amp;refID=7058680&amp;Result=3","7058680")</f>
        <v>0</v>
      </c>
      <c r="B11662" t="s">
        <v>3115</v>
      </c>
      <c r="C11662" t="s">
        <v>14651</v>
      </c>
      <c r="E11662" t="s">
        <v>28308</v>
      </c>
      <c r="F11662" t="s">
        <v>31362</v>
      </c>
      <c r="G11662" t="s">
        <v>31369</v>
      </c>
      <c r="H11662" t="s">
        <v>15799</v>
      </c>
      <c r="I11662" t="s">
        <v>4283</v>
      </c>
      <c r="J11662" t="s">
        <v>38634</v>
      </c>
      <c r="K11662" t="s">
        <v>40662</v>
      </c>
      <c r="M11662" t="s">
        <v>44367</v>
      </c>
      <c r="N11662" t="s">
        <v>44905</v>
      </c>
      <c r="O11662" t="s">
        <v>44906</v>
      </c>
      <c r="P11662">
        <v>0</v>
      </c>
      <c r="Q11662">
        <v>12</v>
      </c>
      <c r="R11662" t="s">
        <v>44917</v>
      </c>
      <c r="S11662" t="s">
        <v>45386</v>
      </c>
      <c r="T11662" t="s">
        <v>46569</v>
      </c>
      <c r="U11662" t="s">
        <v>56247</v>
      </c>
      <c r="W11662" t="s">
        <v>44367</v>
      </c>
      <c r="X11662" t="s">
        <v>44919</v>
      </c>
    </row>
    <row r="11663" spans="1:24">
      <c r="A11663">
        <f>HYPERLINK("https://www.philgeps.gov.ph/GEPSNONPILOT/Tender/SplashBidNoticeAbstractUI.aspx?menuIndex=3&amp;refID=7058886&amp;Result=3","7058886")</f>
        <v>0</v>
      </c>
      <c r="B11663" t="s">
        <v>958</v>
      </c>
      <c r="C11663" t="s">
        <v>14652</v>
      </c>
      <c r="D11663" t="s">
        <v>18141</v>
      </c>
      <c r="E11663" t="s">
        <v>28309</v>
      </c>
      <c r="F11663" t="s">
        <v>31362</v>
      </c>
      <c r="G11663" t="s">
        <v>31369</v>
      </c>
      <c r="H11663" t="s">
        <v>15799</v>
      </c>
      <c r="I11663" t="s">
        <v>31443</v>
      </c>
      <c r="J11663" t="s">
        <v>31634</v>
      </c>
      <c r="K11663" t="s">
        <v>40665</v>
      </c>
      <c r="M11663" t="s">
        <v>43554</v>
      </c>
      <c r="N11663" t="s">
        <v>44905</v>
      </c>
      <c r="O11663" t="s">
        <v>44906</v>
      </c>
      <c r="P11663">
        <v>0</v>
      </c>
      <c r="Q11663">
        <v>3</v>
      </c>
      <c r="R11663" t="s">
        <v>44917</v>
      </c>
      <c r="S11663" t="s">
        <v>45386</v>
      </c>
      <c r="T11663" t="s">
        <v>46486</v>
      </c>
      <c r="U11663" t="s">
        <v>56248</v>
      </c>
      <c r="W11663" t="s">
        <v>43554</v>
      </c>
      <c r="X11663" t="s">
        <v>44919</v>
      </c>
    </row>
    <row r="11664" spans="1:24">
      <c r="A11664">
        <f>HYPERLINK("https://www.philgeps.gov.ph/GEPSNONPILOT/Tender/SplashBidNoticeAbstractUI.aspx?menuIndex=3&amp;refID=7058670&amp;Result=3","7058670")</f>
        <v>0</v>
      </c>
      <c r="B11664" t="s">
        <v>1690</v>
      </c>
      <c r="C11664" t="s">
        <v>14653</v>
      </c>
      <c r="D11664" t="s">
        <v>18108</v>
      </c>
      <c r="E11664" t="s">
        <v>18548</v>
      </c>
      <c r="F11664" t="s">
        <v>31363</v>
      </c>
      <c r="G11664" t="s">
        <v>31369</v>
      </c>
      <c r="H11664" t="s">
        <v>15799</v>
      </c>
      <c r="I11664" t="s">
        <v>31382</v>
      </c>
      <c r="J11664" t="s">
        <v>38635</v>
      </c>
      <c r="K11664" t="s">
        <v>40672</v>
      </c>
      <c r="M11664" t="s">
        <v>42757</v>
      </c>
      <c r="N11664" t="s">
        <v>44905</v>
      </c>
      <c r="O11664" t="s">
        <v>44906</v>
      </c>
      <c r="P11664">
        <v>0</v>
      </c>
      <c r="Q11664">
        <v>4</v>
      </c>
      <c r="R11664" t="s">
        <v>44917</v>
      </c>
      <c r="S11664" t="s">
        <v>45386</v>
      </c>
      <c r="T11664" t="s">
        <v>46400</v>
      </c>
      <c r="U11664" t="s">
        <v>56249</v>
      </c>
      <c r="W11664" t="s">
        <v>42757</v>
      </c>
      <c r="X11664" t="s">
        <v>44919</v>
      </c>
    </row>
    <row r="11665" spans="1:24">
      <c r="A11665">
        <f>HYPERLINK("https://www.philgeps.gov.ph/GEPSNONPILOT/Tender/SplashBidNoticeAbstractUI.aspx?menuIndex=3&amp;refID=7058764&amp;Result=3","7058764")</f>
        <v>0</v>
      </c>
      <c r="B11665" t="s">
        <v>1817</v>
      </c>
      <c r="C11665" t="s">
        <v>14654</v>
      </c>
      <c r="D11665" t="s">
        <v>18181</v>
      </c>
      <c r="E11665" t="s">
        <v>28310</v>
      </c>
      <c r="F11665" t="s">
        <v>31362</v>
      </c>
      <c r="G11665" t="s">
        <v>31369</v>
      </c>
      <c r="H11665" t="s">
        <v>31378</v>
      </c>
      <c r="I11665" t="s">
        <v>31386</v>
      </c>
      <c r="J11665" t="s">
        <v>38636</v>
      </c>
      <c r="K11665" t="s">
        <v>40897</v>
      </c>
      <c r="M11665" t="s">
        <v>42900</v>
      </c>
      <c r="N11665" t="s">
        <v>44905</v>
      </c>
      <c r="O11665" t="s">
        <v>44906</v>
      </c>
      <c r="P11665">
        <v>0</v>
      </c>
      <c r="Q11665">
        <v>2</v>
      </c>
      <c r="R11665" t="s">
        <v>44917</v>
      </c>
      <c r="S11665" t="s">
        <v>45386</v>
      </c>
      <c r="T11665" t="s">
        <v>46524</v>
      </c>
      <c r="U11665" t="s">
        <v>56250</v>
      </c>
      <c r="V11665" t="s">
        <v>59382</v>
      </c>
      <c r="W11665" t="s">
        <v>42900</v>
      </c>
      <c r="X11665" t="s">
        <v>44919</v>
      </c>
    </row>
    <row r="11666" spans="1:24">
      <c r="A11666">
        <f>HYPERLINK("https://www.philgeps.gov.ph/GEPSNONPILOT/Tender/SplashBidNoticeAbstractUI.aspx?menuIndex=3&amp;refID=7058661&amp;Result=3","7058661")</f>
        <v>0</v>
      </c>
      <c r="B11666" t="s">
        <v>2117</v>
      </c>
      <c r="C11666" t="s">
        <v>14655</v>
      </c>
      <c r="D11666" t="s">
        <v>18158</v>
      </c>
      <c r="E11666" t="s">
        <v>28311</v>
      </c>
      <c r="F11666" t="s">
        <v>31362</v>
      </c>
      <c r="G11666" t="s">
        <v>31369</v>
      </c>
      <c r="H11666" t="s">
        <v>31378</v>
      </c>
      <c r="I11666" t="s">
        <v>31386</v>
      </c>
      <c r="J11666" t="s">
        <v>38637</v>
      </c>
      <c r="K11666" t="s">
        <v>40678</v>
      </c>
      <c r="M11666" t="s">
        <v>43244</v>
      </c>
      <c r="N11666" t="s">
        <v>44905</v>
      </c>
      <c r="O11666" t="s">
        <v>44906</v>
      </c>
      <c r="P11666">
        <v>0</v>
      </c>
      <c r="Q11666">
        <v>0</v>
      </c>
      <c r="R11666" t="s">
        <v>44917</v>
      </c>
      <c r="S11666" t="s">
        <v>45386</v>
      </c>
      <c r="T11666" t="s">
        <v>46481</v>
      </c>
      <c r="U11666" t="s">
        <v>56251</v>
      </c>
      <c r="W11666" t="s">
        <v>43244</v>
      </c>
      <c r="X11666" t="s">
        <v>44919</v>
      </c>
    </row>
    <row r="11667" spans="1:24">
      <c r="A11667">
        <f>HYPERLINK("https://www.philgeps.gov.ph/GEPSNONPILOT/Tender/SplashBidNoticeAbstractUI.aspx?menuIndex=3&amp;refID=7058507&amp;Result=3","7058507")</f>
        <v>0</v>
      </c>
      <c r="B11667" t="s">
        <v>1655</v>
      </c>
      <c r="C11667" t="s">
        <v>14656</v>
      </c>
      <c r="D11667" t="s">
        <v>18136</v>
      </c>
      <c r="E11667" t="s">
        <v>28312</v>
      </c>
      <c r="F11667" t="s">
        <v>31362</v>
      </c>
      <c r="G11667" t="s">
        <v>31369</v>
      </c>
      <c r="H11667" t="s">
        <v>31378</v>
      </c>
      <c r="I11667" t="s">
        <v>31386</v>
      </c>
      <c r="J11667" t="s">
        <v>36460</v>
      </c>
      <c r="K11667" t="s">
        <v>40682</v>
      </c>
      <c r="M11667" t="s">
        <v>43362</v>
      </c>
      <c r="N11667" t="s">
        <v>44905</v>
      </c>
      <c r="O11667" t="s">
        <v>44906</v>
      </c>
      <c r="P11667">
        <v>0</v>
      </c>
      <c r="Q11667">
        <v>1</v>
      </c>
      <c r="R11667" t="s">
        <v>44917</v>
      </c>
      <c r="S11667" t="s">
        <v>45386</v>
      </c>
      <c r="T11667" t="s">
        <v>46524</v>
      </c>
      <c r="U11667" t="s">
        <v>56252</v>
      </c>
      <c r="W11667" t="s">
        <v>43362</v>
      </c>
      <c r="X11667" t="s">
        <v>44920</v>
      </c>
    </row>
    <row r="11668" spans="1:24">
      <c r="A11668">
        <f>HYPERLINK("https://www.philgeps.gov.ph/GEPSNONPILOT/Tender/SplashBidNoticeAbstractUI.aspx?menuIndex=3&amp;refID=7058822&amp;Result=3","7058822")</f>
        <v>0</v>
      </c>
      <c r="B11668" t="s">
        <v>1817</v>
      </c>
      <c r="C11668" t="s">
        <v>14657</v>
      </c>
      <c r="D11668" t="s">
        <v>18181</v>
      </c>
      <c r="E11668" t="s">
        <v>28313</v>
      </c>
      <c r="F11668" t="s">
        <v>31362</v>
      </c>
      <c r="G11668" t="s">
        <v>31369</v>
      </c>
      <c r="H11668" t="s">
        <v>31378</v>
      </c>
      <c r="I11668" t="s">
        <v>31386</v>
      </c>
      <c r="J11668" t="s">
        <v>38638</v>
      </c>
      <c r="K11668" t="s">
        <v>40683</v>
      </c>
      <c r="M11668" t="s">
        <v>42900</v>
      </c>
      <c r="N11668" t="s">
        <v>44905</v>
      </c>
      <c r="O11668" t="s">
        <v>44906</v>
      </c>
      <c r="P11668">
        <v>0</v>
      </c>
      <c r="Q11668">
        <v>0</v>
      </c>
      <c r="R11668" t="s">
        <v>44917</v>
      </c>
      <c r="S11668" t="s">
        <v>45386</v>
      </c>
      <c r="T11668" t="s">
        <v>46524</v>
      </c>
      <c r="U11668" t="s">
        <v>56253</v>
      </c>
      <c r="V11668" t="s">
        <v>59382</v>
      </c>
      <c r="W11668" t="s">
        <v>42900</v>
      </c>
      <c r="X11668" t="s">
        <v>44919</v>
      </c>
    </row>
    <row r="11669" spans="1:24">
      <c r="A11669">
        <f>HYPERLINK("https://www.philgeps.gov.ph/GEPSNONPILOT/Tender/SplashBidNoticeAbstractUI.aspx?menuIndex=3&amp;refID=7058693&amp;Result=3","7058693")</f>
        <v>0</v>
      </c>
      <c r="B11669" t="s">
        <v>3115</v>
      </c>
      <c r="C11669" t="s">
        <v>14658</v>
      </c>
      <c r="E11669" t="s">
        <v>28314</v>
      </c>
      <c r="F11669" t="s">
        <v>31362</v>
      </c>
      <c r="G11669" t="s">
        <v>31369</v>
      </c>
      <c r="H11669" t="s">
        <v>15799</v>
      </c>
      <c r="I11669" t="s">
        <v>6155</v>
      </c>
      <c r="J11669" t="s">
        <v>38639</v>
      </c>
      <c r="K11669" t="s">
        <v>40662</v>
      </c>
      <c r="M11669" t="s">
        <v>44367</v>
      </c>
      <c r="N11669" t="s">
        <v>44905</v>
      </c>
      <c r="O11669" t="s">
        <v>44906</v>
      </c>
      <c r="P11669">
        <v>0</v>
      </c>
      <c r="Q11669">
        <v>17</v>
      </c>
      <c r="R11669" t="s">
        <v>44917</v>
      </c>
      <c r="S11669" t="s">
        <v>45386</v>
      </c>
      <c r="T11669" t="s">
        <v>46569</v>
      </c>
      <c r="U11669" t="s">
        <v>56247</v>
      </c>
      <c r="W11669" t="s">
        <v>44367</v>
      </c>
      <c r="X11669" t="s">
        <v>44919</v>
      </c>
    </row>
    <row r="11670" spans="1:24">
      <c r="A11670">
        <f>HYPERLINK("https://www.philgeps.gov.ph/GEPSNONPILOT/Tender/SplashBidNoticeAbstractUI.aspx?menuIndex=3&amp;refID=7056798&amp;Result=3","7056798")</f>
        <v>0</v>
      </c>
      <c r="B11670" t="s">
        <v>2202</v>
      </c>
      <c r="C11670" t="s">
        <v>14659</v>
      </c>
      <c r="D11670" t="s">
        <v>18105</v>
      </c>
      <c r="E11670" t="s">
        <v>28315</v>
      </c>
      <c r="F11670" t="s">
        <v>31362</v>
      </c>
      <c r="G11670" t="s">
        <v>31369</v>
      </c>
      <c r="H11670" t="s">
        <v>15799</v>
      </c>
      <c r="I11670" t="s">
        <v>31415</v>
      </c>
      <c r="J11670" t="s">
        <v>31998</v>
      </c>
      <c r="K11670" t="s">
        <v>40682</v>
      </c>
      <c r="M11670" t="s">
        <v>43333</v>
      </c>
      <c r="N11670" t="s">
        <v>44905</v>
      </c>
      <c r="O11670" t="s">
        <v>44906</v>
      </c>
      <c r="P11670">
        <v>0</v>
      </c>
      <c r="Q11670">
        <v>0</v>
      </c>
      <c r="R11670" t="s">
        <v>44917</v>
      </c>
      <c r="S11670" t="s">
        <v>45386</v>
      </c>
      <c r="T11670" t="s">
        <v>46560</v>
      </c>
      <c r="U11670" t="s">
        <v>56254</v>
      </c>
      <c r="W11670" t="s">
        <v>43333</v>
      </c>
      <c r="X11670" t="s">
        <v>44921</v>
      </c>
    </row>
    <row r="11671" spans="1:24">
      <c r="A11671">
        <f>HYPERLINK("https://www.philgeps.gov.ph/GEPSNONPILOT/Tender/SplashBidNoticeAbstractUI.aspx?menuIndex=3&amp;refID=7058684&amp;Result=3","7058684")</f>
        <v>0</v>
      </c>
      <c r="B11671" t="s">
        <v>3115</v>
      </c>
      <c r="C11671" t="s">
        <v>14660</v>
      </c>
      <c r="E11671" t="s">
        <v>28316</v>
      </c>
      <c r="F11671" t="s">
        <v>31362</v>
      </c>
      <c r="G11671" t="s">
        <v>31369</v>
      </c>
      <c r="H11671" t="s">
        <v>15799</v>
      </c>
      <c r="I11671" t="s">
        <v>4283</v>
      </c>
      <c r="J11671" t="s">
        <v>38640</v>
      </c>
      <c r="K11671" t="s">
        <v>40662</v>
      </c>
      <c r="M11671" t="s">
        <v>44367</v>
      </c>
      <c r="N11671" t="s">
        <v>44905</v>
      </c>
      <c r="O11671" t="s">
        <v>44906</v>
      </c>
      <c r="P11671">
        <v>0</v>
      </c>
      <c r="Q11671">
        <v>22</v>
      </c>
      <c r="R11671" t="s">
        <v>44917</v>
      </c>
      <c r="S11671" t="s">
        <v>45386</v>
      </c>
      <c r="T11671" t="s">
        <v>46569</v>
      </c>
      <c r="U11671" t="s">
        <v>56247</v>
      </c>
      <c r="W11671" t="s">
        <v>44367</v>
      </c>
      <c r="X11671" t="s">
        <v>44919</v>
      </c>
    </row>
    <row r="11672" spans="1:24">
      <c r="A11672">
        <f>HYPERLINK("https://www.philgeps.gov.ph/GEPSNONPILOT/Tender/SplashBidNoticeAbstractUI.aspx?menuIndex=3&amp;refID=7052148&amp;Result=3","7052148")</f>
        <v>0</v>
      </c>
      <c r="B11672" t="s">
        <v>3116</v>
      </c>
      <c r="C11672" t="s">
        <v>14661</v>
      </c>
      <c r="D11672" t="s">
        <v>18159</v>
      </c>
      <c r="E11672" t="s">
        <v>28317</v>
      </c>
      <c r="F11672" t="s">
        <v>31362</v>
      </c>
      <c r="G11672" t="s">
        <v>31369</v>
      </c>
      <c r="H11672" t="s">
        <v>15799</v>
      </c>
      <c r="I11672" t="s">
        <v>3815</v>
      </c>
      <c r="J11672" t="s">
        <v>38641</v>
      </c>
      <c r="K11672" t="s">
        <v>40666</v>
      </c>
      <c r="M11672" t="s">
        <v>44368</v>
      </c>
      <c r="N11672" t="s">
        <v>44905</v>
      </c>
      <c r="O11672" t="s">
        <v>44906</v>
      </c>
      <c r="P11672">
        <v>0</v>
      </c>
      <c r="Q11672">
        <v>0</v>
      </c>
      <c r="R11672" t="s">
        <v>44917</v>
      </c>
      <c r="S11672" t="s">
        <v>45386</v>
      </c>
      <c r="T11672" t="s">
        <v>46392</v>
      </c>
      <c r="U11672" t="s">
        <v>52583</v>
      </c>
      <c r="W11672" t="s">
        <v>44368</v>
      </c>
      <c r="X11672" t="s">
        <v>44923</v>
      </c>
    </row>
    <row r="11673" spans="1:24">
      <c r="A11673">
        <f>HYPERLINK("https://www.philgeps.gov.ph/GEPSNONPILOT/Tender/SplashBidNoticeAbstractUI.aspx?menuIndex=3&amp;refID=7052099&amp;Result=3","7052099")</f>
        <v>0</v>
      </c>
      <c r="B11673" t="s">
        <v>3116</v>
      </c>
      <c r="C11673" t="s">
        <v>14662</v>
      </c>
      <c r="D11673" t="s">
        <v>18159</v>
      </c>
      <c r="E11673" t="s">
        <v>28318</v>
      </c>
      <c r="F11673" t="s">
        <v>31362</v>
      </c>
      <c r="G11673" t="s">
        <v>31369</v>
      </c>
      <c r="H11673" t="s">
        <v>15799</v>
      </c>
      <c r="I11673" t="s">
        <v>31392</v>
      </c>
      <c r="J11673" t="s">
        <v>38642</v>
      </c>
      <c r="K11673" t="s">
        <v>40666</v>
      </c>
      <c r="M11673" t="s">
        <v>44368</v>
      </c>
      <c r="N11673" t="s">
        <v>44905</v>
      </c>
      <c r="O11673" t="s">
        <v>44906</v>
      </c>
      <c r="P11673">
        <v>0</v>
      </c>
      <c r="Q11673">
        <v>1</v>
      </c>
      <c r="R11673" t="s">
        <v>44917</v>
      </c>
      <c r="S11673" t="s">
        <v>45386</v>
      </c>
      <c r="T11673" t="s">
        <v>46392</v>
      </c>
      <c r="U11673" t="s">
        <v>52583</v>
      </c>
      <c r="W11673" t="s">
        <v>44368</v>
      </c>
      <c r="X11673" t="s">
        <v>44923</v>
      </c>
    </row>
    <row r="11674" spans="1:24">
      <c r="A11674">
        <f>HYPERLINK("https://www.philgeps.gov.ph/GEPSNONPILOT/Tender/SplashBidNoticeAbstractUI.aspx?menuIndex=3&amp;refID=7052053&amp;Result=3","7052053")</f>
        <v>0</v>
      </c>
      <c r="B11674" t="s">
        <v>3117</v>
      </c>
      <c r="C11674" t="s">
        <v>14663</v>
      </c>
      <c r="D11674" t="s">
        <v>18159</v>
      </c>
      <c r="E11674" t="s">
        <v>28319</v>
      </c>
      <c r="F11674" t="s">
        <v>31362</v>
      </c>
      <c r="G11674" t="s">
        <v>31369</v>
      </c>
      <c r="H11674" t="s">
        <v>31378</v>
      </c>
      <c r="I11674" t="s">
        <v>31386</v>
      </c>
      <c r="J11674" t="s">
        <v>31734</v>
      </c>
      <c r="K11674" t="s">
        <v>40665</v>
      </c>
      <c r="M11674" t="s">
        <v>44369</v>
      </c>
      <c r="N11674" t="s">
        <v>44905</v>
      </c>
      <c r="O11674" t="s">
        <v>44906</v>
      </c>
      <c r="P11674">
        <v>0</v>
      </c>
      <c r="Q11674">
        <v>0</v>
      </c>
      <c r="R11674" t="s">
        <v>44917</v>
      </c>
      <c r="S11674" t="s">
        <v>45386</v>
      </c>
      <c r="T11674" t="s">
        <v>46392</v>
      </c>
      <c r="U11674" t="s">
        <v>54509</v>
      </c>
      <c r="W11674" t="s">
        <v>44369</v>
      </c>
      <c r="X11674" t="s">
        <v>44923</v>
      </c>
    </row>
    <row r="11675" spans="1:24">
      <c r="A11675">
        <f>HYPERLINK("https://www.philgeps.gov.ph/GEPSNONPILOT/Tender/SplashBidNoticeAbstractUI.aspx?menuIndex=3&amp;refID=7063534&amp;Result=3","7063534")</f>
        <v>0</v>
      </c>
      <c r="B11675" t="s">
        <v>3075</v>
      </c>
      <c r="C11675" t="s">
        <v>14664</v>
      </c>
      <c r="D11675" t="s">
        <v>18127</v>
      </c>
      <c r="E11675" t="s">
        <v>28320</v>
      </c>
      <c r="F11675" t="s">
        <v>31362</v>
      </c>
      <c r="G11675" t="s">
        <v>31369</v>
      </c>
      <c r="H11675" t="s">
        <v>31378</v>
      </c>
      <c r="I11675" t="s">
        <v>31386</v>
      </c>
      <c r="J11675" t="s">
        <v>38470</v>
      </c>
      <c r="K11675" t="s">
        <v>40783</v>
      </c>
      <c r="M11675" t="s">
        <v>44314</v>
      </c>
      <c r="N11675" t="s">
        <v>44905</v>
      </c>
      <c r="O11675" t="s">
        <v>44906</v>
      </c>
      <c r="P11675">
        <v>0</v>
      </c>
      <c r="Q11675">
        <v>0</v>
      </c>
      <c r="R11675" t="s">
        <v>44916</v>
      </c>
      <c r="S11675" t="s">
        <v>45313</v>
      </c>
      <c r="T11675" t="s">
        <v>46462</v>
      </c>
      <c r="U11675" t="s">
        <v>56023</v>
      </c>
      <c r="W11675" t="s">
        <v>44314</v>
      </c>
      <c r="X11675" t="s">
        <v>44917</v>
      </c>
    </row>
    <row r="11676" spans="1:24">
      <c r="A11676">
        <f>HYPERLINK("https://www.philgeps.gov.ph/GEPSNONPILOT/Tender/SplashBidNoticeAbstractUI.aspx?menuIndex=3&amp;refID=7057026&amp;Result=3","7057026")</f>
        <v>0</v>
      </c>
      <c r="B11676" t="s">
        <v>2541</v>
      </c>
      <c r="C11676" t="s">
        <v>14665</v>
      </c>
      <c r="D11676" t="s">
        <v>18154</v>
      </c>
      <c r="E11676" t="s">
        <v>28321</v>
      </c>
      <c r="F11676" t="s">
        <v>31362</v>
      </c>
      <c r="G11676" t="s">
        <v>31369</v>
      </c>
      <c r="H11676" t="s">
        <v>31377</v>
      </c>
      <c r="I11676" t="s">
        <v>31377</v>
      </c>
      <c r="J11676" t="s">
        <v>38643</v>
      </c>
      <c r="K11676" t="s">
        <v>40818</v>
      </c>
      <c r="M11676" t="s">
        <v>43711</v>
      </c>
      <c r="N11676" t="s">
        <v>44905</v>
      </c>
      <c r="O11676" t="s">
        <v>44906</v>
      </c>
      <c r="P11676">
        <v>0</v>
      </c>
      <c r="Q11676">
        <v>4</v>
      </c>
      <c r="R11676" t="s">
        <v>44917</v>
      </c>
      <c r="S11676" t="s">
        <v>45386</v>
      </c>
      <c r="T11676" t="s">
        <v>46511</v>
      </c>
      <c r="U11676" t="s">
        <v>56255</v>
      </c>
      <c r="W11676" t="s">
        <v>43711</v>
      </c>
      <c r="X11676" t="s">
        <v>44921</v>
      </c>
    </row>
    <row r="11677" spans="1:24">
      <c r="A11677">
        <f>HYPERLINK("https://www.philgeps.gov.ph/GEPSNONPILOT/Tender/SplashBidNoticeAbstractUI.aspx?menuIndex=3&amp;refID=7056926&amp;Result=3","7056926")</f>
        <v>0</v>
      </c>
      <c r="B11677" t="s">
        <v>326</v>
      </c>
      <c r="C11677" t="s">
        <v>14666</v>
      </c>
      <c r="D11677" t="s">
        <v>18148</v>
      </c>
      <c r="E11677" t="s">
        <v>28322</v>
      </c>
      <c r="F11677" t="s">
        <v>31362</v>
      </c>
      <c r="G11677" t="s">
        <v>31369</v>
      </c>
      <c r="H11677" t="s">
        <v>31378</v>
      </c>
      <c r="I11677" t="s">
        <v>31386</v>
      </c>
      <c r="J11677" t="s">
        <v>38644</v>
      </c>
      <c r="K11677" t="s">
        <v>40697</v>
      </c>
      <c r="M11677" t="s">
        <v>41272</v>
      </c>
      <c r="N11677" t="s">
        <v>44905</v>
      </c>
      <c r="O11677" t="s">
        <v>44906</v>
      </c>
      <c r="Q11677">
        <v>2</v>
      </c>
      <c r="R11677" t="s">
        <v>44917</v>
      </c>
      <c r="S11677" t="s">
        <v>45396</v>
      </c>
      <c r="T11677" t="s">
        <v>46462</v>
      </c>
      <c r="U11677" t="s">
        <v>56256</v>
      </c>
      <c r="W11677" t="s">
        <v>41272</v>
      </c>
      <c r="X11677" t="s">
        <v>44921</v>
      </c>
    </row>
    <row r="11678" spans="1:24">
      <c r="A11678">
        <f>HYPERLINK("https://www.philgeps.gov.ph/GEPSNONPILOT/Tender/SplashBidNoticeAbstractUI.aspx?menuIndex=3&amp;refID=7059123&amp;Result=3","7059123")</f>
        <v>0</v>
      </c>
      <c r="B11678" t="s">
        <v>2202</v>
      </c>
      <c r="C11678" t="s">
        <v>14667</v>
      </c>
      <c r="D11678" t="s">
        <v>18105</v>
      </c>
      <c r="E11678" t="s">
        <v>28323</v>
      </c>
      <c r="F11678" t="s">
        <v>31362</v>
      </c>
      <c r="G11678" t="s">
        <v>31369</v>
      </c>
      <c r="H11678" t="s">
        <v>15799</v>
      </c>
      <c r="I11678" t="s">
        <v>4942</v>
      </c>
      <c r="J11678" t="s">
        <v>38645</v>
      </c>
      <c r="K11678" t="s">
        <v>40682</v>
      </c>
      <c r="M11678" t="s">
        <v>43333</v>
      </c>
      <c r="N11678" t="s">
        <v>44905</v>
      </c>
      <c r="O11678" t="s">
        <v>44906</v>
      </c>
      <c r="P11678">
        <v>0</v>
      </c>
      <c r="Q11678">
        <v>0</v>
      </c>
      <c r="R11678" t="s">
        <v>44917</v>
      </c>
      <c r="S11678" t="s">
        <v>45386</v>
      </c>
      <c r="T11678" t="s">
        <v>46560</v>
      </c>
      <c r="U11678" t="s">
        <v>56257</v>
      </c>
      <c r="W11678" t="s">
        <v>43333</v>
      </c>
      <c r="X11678" t="s">
        <v>44918</v>
      </c>
    </row>
    <row r="11679" spans="1:24">
      <c r="A11679">
        <f>HYPERLINK("https://www.philgeps.gov.ph/GEPSNONPILOT/Tender/SplashBidNoticeAbstractUI.aspx?menuIndex=3&amp;refID=7058988&amp;Result=3","7058988")</f>
        <v>0</v>
      </c>
      <c r="B11679" t="s">
        <v>1215</v>
      </c>
      <c r="C11679" t="s">
        <v>14668</v>
      </c>
      <c r="D11679" t="s">
        <v>18108</v>
      </c>
      <c r="E11679" t="s">
        <v>28324</v>
      </c>
      <c r="F11679" t="s">
        <v>31362</v>
      </c>
      <c r="G11679" t="s">
        <v>31368</v>
      </c>
      <c r="H11679" t="s">
        <v>15799</v>
      </c>
      <c r="I11679" t="s">
        <v>31427</v>
      </c>
      <c r="J11679" t="s">
        <v>31843</v>
      </c>
      <c r="K11679" t="s">
        <v>40665</v>
      </c>
      <c r="M11679" t="s">
        <v>42228</v>
      </c>
      <c r="N11679" t="s">
        <v>44905</v>
      </c>
      <c r="O11679" t="s">
        <v>44906</v>
      </c>
      <c r="Q11679">
        <v>0</v>
      </c>
      <c r="R11679" t="s">
        <v>44917</v>
      </c>
      <c r="S11679" t="s">
        <v>45397</v>
      </c>
      <c r="T11679" t="s">
        <v>46432</v>
      </c>
      <c r="U11679" t="s">
        <v>56258</v>
      </c>
      <c r="W11679" t="s">
        <v>42228</v>
      </c>
      <c r="X11679" t="s">
        <v>44918</v>
      </c>
    </row>
    <row r="11680" spans="1:24">
      <c r="A11680">
        <f>HYPERLINK("https://www.philgeps.gov.ph/GEPSNONPILOT/Tender/SplashBidNoticeAbstractUI.aspx?menuIndex=3&amp;refID=7059102&amp;Result=3","7059102")</f>
        <v>0</v>
      </c>
      <c r="B11680" t="s">
        <v>3118</v>
      </c>
      <c r="C11680" t="s">
        <v>14669</v>
      </c>
      <c r="D11680" t="s">
        <v>18162</v>
      </c>
      <c r="E11680" t="s">
        <v>28325</v>
      </c>
      <c r="F11680" t="s">
        <v>31362</v>
      </c>
      <c r="G11680" t="s">
        <v>31369</v>
      </c>
      <c r="H11680" t="s">
        <v>15799</v>
      </c>
      <c r="I11680" t="s">
        <v>31430</v>
      </c>
      <c r="J11680" t="s">
        <v>38646</v>
      </c>
      <c r="K11680" t="s">
        <v>40686</v>
      </c>
      <c r="M11680" t="s">
        <v>44370</v>
      </c>
      <c r="N11680" t="s">
        <v>44905</v>
      </c>
      <c r="O11680" t="s">
        <v>44906</v>
      </c>
      <c r="P11680">
        <v>0</v>
      </c>
      <c r="Q11680">
        <v>2</v>
      </c>
      <c r="R11680" t="s">
        <v>44917</v>
      </c>
      <c r="S11680" t="s">
        <v>45386</v>
      </c>
      <c r="T11680" t="s">
        <v>46837</v>
      </c>
      <c r="U11680" t="s">
        <v>56259</v>
      </c>
      <c r="W11680" t="s">
        <v>60960</v>
      </c>
      <c r="X11680" t="s">
        <v>44918</v>
      </c>
    </row>
    <row r="11681" spans="1:24">
      <c r="A11681">
        <f>HYPERLINK("https://www.philgeps.gov.ph/GEPSNONPILOT/Tender/SplashBidNoticeAbstractUI.aspx?menuIndex=3&amp;refID=7059082&amp;Result=3","7059082")</f>
        <v>0</v>
      </c>
      <c r="B11681" t="s">
        <v>3119</v>
      </c>
      <c r="C11681" t="s">
        <v>14670</v>
      </c>
      <c r="D11681" t="s">
        <v>18101</v>
      </c>
      <c r="E11681" t="s">
        <v>19844</v>
      </c>
      <c r="F11681" t="s">
        <v>31362</v>
      </c>
      <c r="G11681" t="s">
        <v>31369</v>
      </c>
      <c r="H11681" t="s">
        <v>15799</v>
      </c>
      <c r="I11681" t="s">
        <v>3815</v>
      </c>
      <c r="J11681" t="s">
        <v>38647</v>
      </c>
      <c r="K11681" t="s">
        <v>40666</v>
      </c>
      <c r="M11681" t="s">
        <v>44371</v>
      </c>
      <c r="N11681" t="s">
        <v>44905</v>
      </c>
      <c r="O11681" t="s">
        <v>44906</v>
      </c>
      <c r="P11681">
        <v>0</v>
      </c>
      <c r="Q11681">
        <v>1</v>
      </c>
      <c r="R11681" t="s">
        <v>44917</v>
      </c>
      <c r="S11681" t="s">
        <v>45386</v>
      </c>
      <c r="T11681" t="s">
        <v>46499</v>
      </c>
      <c r="U11681" t="s">
        <v>56260</v>
      </c>
      <c r="W11681" t="s">
        <v>44371</v>
      </c>
      <c r="X11681" t="s">
        <v>44918</v>
      </c>
    </row>
    <row r="11682" spans="1:24">
      <c r="A11682">
        <f>HYPERLINK("https://www.philgeps.gov.ph/GEPSNONPILOT/Tender/SplashBidNoticeAbstractUI.aspx?menuIndex=3&amp;refID=7064421&amp;Result=3","7064421")</f>
        <v>0</v>
      </c>
      <c r="B11682" t="s">
        <v>48</v>
      </c>
      <c r="C11682" t="s">
        <v>14671</v>
      </c>
      <c r="D11682" t="s">
        <v>18117</v>
      </c>
      <c r="E11682" t="s">
        <v>28326</v>
      </c>
      <c r="F11682" t="s">
        <v>31362</v>
      </c>
      <c r="G11682" t="s">
        <v>31369</v>
      </c>
      <c r="H11682" t="s">
        <v>15799</v>
      </c>
      <c r="I11682" t="s">
        <v>4283</v>
      </c>
      <c r="J11682" t="s">
        <v>38648</v>
      </c>
      <c r="K11682" t="s">
        <v>40699</v>
      </c>
      <c r="M11682" t="s">
        <v>44372</v>
      </c>
      <c r="N11682" t="s">
        <v>44905</v>
      </c>
      <c r="O11682" t="s">
        <v>44906</v>
      </c>
      <c r="P11682">
        <v>0</v>
      </c>
      <c r="Q11682">
        <v>3</v>
      </c>
      <c r="R11682" t="s">
        <v>44916</v>
      </c>
      <c r="S11682" t="s">
        <v>45313</v>
      </c>
      <c r="T11682" t="s">
        <v>46519</v>
      </c>
      <c r="U11682" t="s">
        <v>56261</v>
      </c>
      <c r="V11682" t="s">
        <v>59085</v>
      </c>
      <c r="W11682" t="s">
        <v>44372</v>
      </c>
      <c r="X11682" t="s">
        <v>44917</v>
      </c>
    </row>
    <row r="11683" spans="1:24">
      <c r="A11683">
        <f>HYPERLINK("https://www.philgeps.gov.ph/GEPSNONPILOT/Tender/SplashBidNoticeAbstractUI.aspx?menuIndex=3&amp;refID=7059073&amp;Result=3","7059073")</f>
        <v>0</v>
      </c>
      <c r="B11683" t="s">
        <v>1988</v>
      </c>
      <c r="C11683" t="s">
        <v>14672</v>
      </c>
      <c r="D11683" t="s">
        <v>18163</v>
      </c>
      <c r="E11683" t="s">
        <v>28327</v>
      </c>
      <c r="F11683" t="s">
        <v>31362</v>
      </c>
      <c r="G11683" t="s">
        <v>31369</v>
      </c>
      <c r="H11683" t="s">
        <v>15799</v>
      </c>
      <c r="I11683" t="s">
        <v>31409</v>
      </c>
      <c r="J11683" t="s">
        <v>33028</v>
      </c>
      <c r="K11683" t="s">
        <v>40665</v>
      </c>
      <c r="M11683" t="s">
        <v>43097</v>
      </c>
      <c r="N11683" t="s">
        <v>44905</v>
      </c>
      <c r="O11683" t="s">
        <v>44906</v>
      </c>
      <c r="P11683">
        <v>0</v>
      </c>
      <c r="Q11683">
        <v>2</v>
      </c>
      <c r="R11683" t="s">
        <v>44917</v>
      </c>
      <c r="S11683" t="s">
        <v>45386</v>
      </c>
      <c r="T11683" t="s">
        <v>46462</v>
      </c>
      <c r="U11683" t="s">
        <v>56262</v>
      </c>
      <c r="W11683" t="s">
        <v>43097</v>
      </c>
      <c r="X11683" t="s">
        <v>44918</v>
      </c>
    </row>
    <row r="11684" spans="1:24">
      <c r="A11684">
        <f>HYPERLINK("https://www.philgeps.gov.ph/GEPSNONPILOT/Tender/SplashBidNoticeAbstractUI.aspx?menuIndex=3&amp;refID=7059066&amp;Result=3","7059066")</f>
        <v>0</v>
      </c>
      <c r="B11684" t="s">
        <v>63</v>
      </c>
      <c r="C11684" t="s">
        <v>14673</v>
      </c>
      <c r="D11684" t="s">
        <v>18108</v>
      </c>
      <c r="E11684" t="s">
        <v>28328</v>
      </c>
      <c r="F11684" t="s">
        <v>31362</v>
      </c>
      <c r="G11684" t="s">
        <v>31369</v>
      </c>
      <c r="H11684" t="s">
        <v>31379</v>
      </c>
      <c r="I11684" t="s">
        <v>31393</v>
      </c>
      <c r="J11684" t="s">
        <v>38649</v>
      </c>
      <c r="K11684" t="s">
        <v>40661</v>
      </c>
      <c r="M11684" t="s">
        <v>44373</v>
      </c>
      <c r="N11684" t="s">
        <v>44905</v>
      </c>
      <c r="O11684" t="s">
        <v>44906</v>
      </c>
      <c r="P11684">
        <v>0</v>
      </c>
      <c r="Q11684">
        <v>19</v>
      </c>
      <c r="R11684" t="s">
        <v>44917</v>
      </c>
      <c r="S11684" t="s">
        <v>45386</v>
      </c>
      <c r="T11684" t="s">
        <v>46815</v>
      </c>
      <c r="U11684" t="s">
        <v>56263</v>
      </c>
      <c r="W11684" t="s">
        <v>44373</v>
      </c>
      <c r="X11684" t="s">
        <v>44918</v>
      </c>
    </row>
    <row r="11685" spans="1:24">
      <c r="A11685">
        <f>HYPERLINK("https://www.philgeps.gov.ph/GEPSNONPILOT/Tender/SplashBidNoticeAbstractUI.aspx?menuIndex=3&amp;refID=7059064&amp;Result=3","7059064")</f>
        <v>0</v>
      </c>
      <c r="B11685" t="s">
        <v>3120</v>
      </c>
      <c r="C11685" t="s">
        <v>14674</v>
      </c>
      <c r="D11685" t="s">
        <v>18116</v>
      </c>
      <c r="E11685" t="s">
        <v>28329</v>
      </c>
      <c r="F11685" t="s">
        <v>31362</v>
      </c>
      <c r="G11685" t="s">
        <v>31369</v>
      </c>
      <c r="H11685" t="s">
        <v>31378</v>
      </c>
      <c r="I11685" t="s">
        <v>3815</v>
      </c>
      <c r="J11685" t="s">
        <v>31709</v>
      </c>
      <c r="K11685" t="s">
        <v>40683</v>
      </c>
      <c r="M11685" t="s">
        <v>44374</v>
      </c>
      <c r="N11685" t="s">
        <v>44905</v>
      </c>
      <c r="O11685" t="s">
        <v>44906</v>
      </c>
      <c r="P11685">
        <v>0</v>
      </c>
      <c r="Q11685">
        <v>0</v>
      </c>
      <c r="R11685" t="s">
        <v>44917</v>
      </c>
      <c r="S11685" t="s">
        <v>45386</v>
      </c>
      <c r="T11685" t="s">
        <v>46438</v>
      </c>
      <c r="U11685" t="s">
        <v>56264</v>
      </c>
      <c r="V11685" t="s">
        <v>50030</v>
      </c>
      <c r="W11685" t="s">
        <v>44374</v>
      </c>
      <c r="X11685" t="s">
        <v>44918</v>
      </c>
    </row>
    <row r="11686" spans="1:24">
      <c r="A11686">
        <f>HYPERLINK("https://www.philgeps.gov.ph/GEPSNONPILOT/Tender/SplashBidNoticeAbstractUI.aspx?menuIndex=3&amp;refID=7056914&amp;Result=3","7056914")</f>
        <v>0</v>
      </c>
      <c r="B11686" t="s">
        <v>2202</v>
      </c>
      <c r="C11686" t="s">
        <v>14675</v>
      </c>
      <c r="D11686" t="s">
        <v>18105</v>
      </c>
      <c r="E11686" t="s">
        <v>28330</v>
      </c>
      <c r="F11686" t="s">
        <v>31362</v>
      </c>
      <c r="G11686" t="s">
        <v>31369</v>
      </c>
      <c r="H11686" t="s">
        <v>31379</v>
      </c>
      <c r="I11686" t="s">
        <v>31443</v>
      </c>
      <c r="J11686" t="s">
        <v>31734</v>
      </c>
      <c r="K11686" t="s">
        <v>40682</v>
      </c>
      <c r="M11686" t="s">
        <v>43333</v>
      </c>
      <c r="N11686" t="s">
        <v>44905</v>
      </c>
      <c r="O11686" t="s">
        <v>44906</v>
      </c>
      <c r="P11686">
        <v>0</v>
      </c>
      <c r="Q11686">
        <v>0</v>
      </c>
      <c r="R11686" t="s">
        <v>44917</v>
      </c>
      <c r="S11686" t="s">
        <v>45386</v>
      </c>
      <c r="T11686" t="s">
        <v>46560</v>
      </c>
      <c r="U11686" t="s">
        <v>56265</v>
      </c>
      <c r="W11686" t="s">
        <v>43333</v>
      </c>
      <c r="X11686" t="s">
        <v>44921</v>
      </c>
    </row>
    <row r="11687" spans="1:24">
      <c r="A11687">
        <f>HYPERLINK("https://www.philgeps.gov.ph/GEPSNONPILOT/Tender/SplashBidNoticeAbstractUI.aspx?menuIndex=3&amp;refID=7059058&amp;Result=3","7059058")</f>
        <v>0</v>
      </c>
      <c r="B11687" t="s">
        <v>1988</v>
      </c>
      <c r="C11687" t="s">
        <v>14676</v>
      </c>
      <c r="D11687" t="s">
        <v>18163</v>
      </c>
      <c r="E11687" t="s">
        <v>28331</v>
      </c>
      <c r="F11687" t="s">
        <v>31362</v>
      </c>
      <c r="G11687" t="s">
        <v>31369</v>
      </c>
      <c r="H11687" t="s">
        <v>15799</v>
      </c>
      <c r="I11687" t="s">
        <v>31409</v>
      </c>
      <c r="J11687" t="s">
        <v>33046</v>
      </c>
      <c r="K11687" t="s">
        <v>40665</v>
      </c>
      <c r="M11687" t="s">
        <v>43097</v>
      </c>
      <c r="N11687" t="s">
        <v>44905</v>
      </c>
      <c r="O11687" t="s">
        <v>44906</v>
      </c>
      <c r="Q11687">
        <v>7</v>
      </c>
      <c r="R11687" t="s">
        <v>44917</v>
      </c>
      <c r="S11687" t="s">
        <v>45398</v>
      </c>
      <c r="T11687" t="s">
        <v>46462</v>
      </c>
      <c r="U11687" t="s">
        <v>56266</v>
      </c>
      <c r="W11687" t="s">
        <v>43097</v>
      </c>
      <c r="X11687" t="s">
        <v>44918</v>
      </c>
    </row>
    <row r="11688" spans="1:24">
      <c r="A11688">
        <f>HYPERLINK("https://www.philgeps.gov.ph/GEPSNONPILOT/Tender/SplashBidNoticeAbstractUI.aspx?menuIndex=3&amp;refID=7059043&amp;Result=3","7059043")</f>
        <v>0</v>
      </c>
      <c r="B11688" t="s">
        <v>1988</v>
      </c>
      <c r="C11688" t="s">
        <v>14677</v>
      </c>
      <c r="D11688" t="s">
        <v>18163</v>
      </c>
      <c r="E11688" t="s">
        <v>28332</v>
      </c>
      <c r="F11688" t="s">
        <v>31362</v>
      </c>
      <c r="G11688" t="s">
        <v>31369</v>
      </c>
      <c r="H11688" t="s">
        <v>15799</v>
      </c>
      <c r="I11688" t="s">
        <v>31409</v>
      </c>
      <c r="J11688" t="s">
        <v>33028</v>
      </c>
      <c r="K11688" t="s">
        <v>40665</v>
      </c>
      <c r="M11688" t="s">
        <v>43097</v>
      </c>
      <c r="N11688" t="s">
        <v>44905</v>
      </c>
      <c r="O11688" t="s">
        <v>44906</v>
      </c>
      <c r="P11688">
        <v>0</v>
      </c>
      <c r="Q11688">
        <v>3</v>
      </c>
      <c r="R11688" t="s">
        <v>44917</v>
      </c>
      <c r="S11688" t="s">
        <v>45386</v>
      </c>
      <c r="T11688" t="s">
        <v>46462</v>
      </c>
      <c r="U11688" t="s">
        <v>56267</v>
      </c>
      <c r="W11688" t="s">
        <v>43097</v>
      </c>
      <c r="X11688" t="s">
        <v>44918</v>
      </c>
    </row>
    <row r="11689" spans="1:24">
      <c r="A11689">
        <f>HYPERLINK("https://www.philgeps.gov.ph/GEPSNONPILOT/Tender/SplashBidNoticeAbstractUI.aspx?menuIndex=3&amp;refID=7056447&amp;Result=3","7056447")</f>
        <v>0</v>
      </c>
      <c r="B11689" t="s">
        <v>2061</v>
      </c>
      <c r="C11689" t="s">
        <v>14678</v>
      </c>
      <c r="D11689" t="s">
        <v>18100</v>
      </c>
      <c r="E11689" t="s">
        <v>28333</v>
      </c>
      <c r="F11689" t="s">
        <v>31362</v>
      </c>
      <c r="G11689" t="s">
        <v>31369</v>
      </c>
      <c r="H11689" t="s">
        <v>31378</v>
      </c>
      <c r="I11689" t="s">
        <v>31386</v>
      </c>
      <c r="J11689" t="s">
        <v>38650</v>
      </c>
      <c r="K11689" t="s">
        <v>40675</v>
      </c>
      <c r="M11689" t="s">
        <v>44375</v>
      </c>
      <c r="N11689" t="s">
        <v>44905</v>
      </c>
      <c r="O11689" t="s">
        <v>44906</v>
      </c>
      <c r="P11689">
        <v>0</v>
      </c>
      <c r="Q11689">
        <v>4</v>
      </c>
      <c r="R11689" t="s">
        <v>44917</v>
      </c>
      <c r="S11689" t="s">
        <v>45386</v>
      </c>
      <c r="T11689" t="s">
        <v>46499</v>
      </c>
      <c r="U11689" t="s">
        <v>56268</v>
      </c>
      <c r="W11689" t="s">
        <v>44375</v>
      </c>
      <c r="X11689" t="s">
        <v>44921</v>
      </c>
    </row>
    <row r="11690" spans="1:24">
      <c r="A11690">
        <f>HYPERLINK("https://www.philgeps.gov.ph/GEPSNONPILOT/Tender/SplashBidNoticeAbstractUI.aspx?menuIndex=3&amp;refID=7059108&amp;Result=3","7059108")</f>
        <v>0</v>
      </c>
      <c r="B11690" t="s">
        <v>321</v>
      </c>
      <c r="C11690" t="s">
        <v>14679</v>
      </c>
      <c r="D11690" t="s">
        <v>18104</v>
      </c>
      <c r="E11690" t="s">
        <v>28334</v>
      </c>
      <c r="F11690" t="s">
        <v>31362</v>
      </c>
      <c r="G11690" t="s">
        <v>31369</v>
      </c>
      <c r="H11690" t="s">
        <v>31378</v>
      </c>
      <c r="I11690" t="s">
        <v>3815</v>
      </c>
      <c r="J11690" t="s">
        <v>38651</v>
      </c>
      <c r="K11690" t="s">
        <v>40679</v>
      </c>
      <c r="M11690" t="s">
        <v>41267</v>
      </c>
      <c r="N11690" t="s">
        <v>44905</v>
      </c>
      <c r="O11690" t="s">
        <v>44906</v>
      </c>
      <c r="P11690">
        <v>0</v>
      </c>
      <c r="Q11690">
        <v>5</v>
      </c>
      <c r="R11690" t="s">
        <v>44917</v>
      </c>
      <c r="S11690" t="s">
        <v>45386</v>
      </c>
      <c r="T11690" t="s">
        <v>46519</v>
      </c>
      <c r="U11690" t="s">
        <v>47466</v>
      </c>
      <c r="V11690" t="s">
        <v>59134</v>
      </c>
      <c r="W11690" t="s">
        <v>41267</v>
      </c>
      <c r="X11690" t="s">
        <v>44918</v>
      </c>
    </row>
    <row r="11691" spans="1:24">
      <c r="A11691">
        <f>HYPERLINK("https://www.philgeps.gov.ph/GEPSNONPILOT/Tender/SplashBidNoticeAbstractUI.aspx?menuIndex=3&amp;refID=7059039&amp;Result=3","7059039")</f>
        <v>0</v>
      </c>
      <c r="B11691" t="s">
        <v>3120</v>
      </c>
      <c r="C11691" t="s">
        <v>14680</v>
      </c>
      <c r="D11691" t="s">
        <v>18116</v>
      </c>
      <c r="E11691" t="s">
        <v>28335</v>
      </c>
      <c r="F11691" t="s">
        <v>31362</v>
      </c>
      <c r="G11691" t="s">
        <v>31369</v>
      </c>
      <c r="H11691" t="s">
        <v>31378</v>
      </c>
      <c r="I11691" t="s">
        <v>3815</v>
      </c>
      <c r="J11691" t="s">
        <v>31709</v>
      </c>
      <c r="K11691" t="s">
        <v>40683</v>
      </c>
      <c r="M11691" t="s">
        <v>44374</v>
      </c>
      <c r="N11691" t="s">
        <v>44905</v>
      </c>
      <c r="O11691" t="s">
        <v>44906</v>
      </c>
      <c r="P11691">
        <v>0</v>
      </c>
      <c r="Q11691">
        <v>0</v>
      </c>
      <c r="R11691" t="s">
        <v>44917</v>
      </c>
      <c r="S11691" t="s">
        <v>45386</v>
      </c>
      <c r="T11691" t="s">
        <v>46438</v>
      </c>
      <c r="U11691" t="s">
        <v>56264</v>
      </c>
      <c r="V11691" t="s">
        <v>50030</v>
      </c>
      <c r="W11691" t="s">
        <v>44374</v>
      </c>
      <c r="X11691" t="s">
        <v>44918</v>
      </c>
    </row>
    <row r="11692" spans="1:24">
      <c r="A11692">
        <f>HYPERLINK("https://www.philgeps.gov.ph/GEPSNONPILOT/Tender/SplashBidNoticeAbstractUI.aspx?menuIndex=3&amp;refID=7059086&amp;Result=3","7059086")</f>
        <v>0</v>
      </c>
      <c r="B11692" t="s">
        <v>3121</v>
      </c>
      <c r="C11692" t="s">
        <v>14681</v>
      </c>
      <c r="D11692" t="s">
        <v>18158</v>
      </c>
      <c r="E11692" t="s">
        <v>28336</v>
      </c>
      <c r="F11692" t="s">
        <v>31362</v>
      </c>
      <c r="G11692" t="s">
        <v>31368</v>
      </c>
      <c r="H11692" t="s">
        <v>31378</v>
      </c>
      <c r="I11692" t="s">
        <v>31433</v>
      </c>
      <c r="J11692" t="s">
        <v>34779</v>
      </c>
      <c r="K11692" t="s">
        <v>40683</v>
      </c>
      <c r="L11692" t="s">
        <v>3121</v>
      </c>
      <c r="M11692" t="s">
        <v>44376</v>
      </c>
      <c r="N11692" t="s">
        <v>44905</v>
      </c>
      <c r="O11692" t="s">
        <v>44906</v>
      </c>
      <c r="P11692">
        <v>0</v>
      </c>
      <c r="Q11692">
        <v>0</v>
      </c>
      <c r="R11692" t="s">
        <v>44917</v>
      </c>
      <c r="S11692" t="s">
        <v>45386</v>
      </c>
      <c r="T11692" t="s">
        <v>46549</v>
      </c>
      <c r="U11692" t="s">
        <v>56269</v>
      </c>
      <c r="W11692" t="s">
        <v>44376</v>
      </c>
      <c r="X11692" t="s">
        <v>44918</v>
      </c>
    </row>
    <row r="11693" spans="1:24">
      <c r="A11693">
        <f>HYPERLINK("https://www.philgeps.gov.ph/GEPSNONPILOT/Tender/SplashBidNoticeAbstractUI.aspx?menuIndex=3&amp;refID=7059037&amp;Result=3","7059037")</f>
        <v>0</v>
      </c>
      <c r="B11693" t="s">
        <v>1038</v>
      </c>
      <c r="C11693" t="s">
        <v>14682</v>
      </c>
      <c r="D11693" t="s">
        <v>18106</v>
      </c>
      <c r="E11693" t="s">
        <v>28337</v>
      </c>
      <c r="F11693" t="s">
        <v>31362</v>
      </c>
      <c r="G11693" t="s">
        <v>31369</v>
      </c>
      <c r="H11693" t="s">
        <v>15799</v>
      </c>
      <c r="I11693" t="s">
        <v>31427</v>
      </c>
      <c r="J11693" t="s">
        <v>38652</v>
      </c>
      <c r="K11693" t="s">
        <v>40661</v>
      </c>
      <c r="M11693" t="s">
        <v>42037</v>
      </c>
      <c r="N11693" t="s">
        <v>44905</v>
      </c>
      <c r="O11693" t="s">
        <v>44906</v>
      </c>
      <c r="P11693">
        <v>0</v>
      </c>
      <c r="Q11693">
        <v>11</v>
      </c>
      <c r="R11693" t="s">
        <v>44917</v>
      </c>
      <c r="S11693" t="s">
        <v>45386</v>
      </c>
      <c r="T11693" t="s">
        <v>46430</v>
      </c>
      <c r="U11693" t="s">
        <v>56270</v>
      </c>
      <c r="W11693" t="s">
        <v>42037</v>
      </c>
      <c r="X11693" t="s">
        <v>44918</v>
      </c>
    </row>
    <row r="11694" spans="1:24">
      <c r="A11694">
        <f>HYPERLINK("https://www.philgeps.gov.ph/GEPSNONPILOT/Tender/SplashBidNoticeAbstractUI.aspx?menuIndex=3&amp;refID=7059253&amp;Result=3","7059253")</f>
        <v>0</v>
      </c>
      <c r="B11694" t="s">
        <v>3122</v>
      </c>
      <c r="C11694" t="s">
        <v>14683</v>
      </c>
      <c r="D11694" t="s">
        <v>18113</v>
      </c>
      <c r="E11694" t="s">
        <v>28338</v>
      </c>
      <c r="F11694" t="s">
        <v>31362</v>
      </c>
      <c r="G11694" t="s">
        <v>31369</v>
      </c>
      <c r="H11694" t="s">
        <v>31378</v>
      </c>
      <c r="I11694" t="s">
        <v>31386</v>
      </c>
      <c r="J11694" t="s">
        <v>31591</v>
      </c>
      <c r="K11694" t="s">
        <v>40665</v>
      </c>
      <c r="M11694" t="s">
        <v>44377</v>
      </c>
      <c r="N11694" t="s">
        <v>44905</v>
      </c>
      <c r="O11694" t="s">
        <v>44906</v>
      </c>
      <c r="P11694">
        <v>0</v>
      </c>
      <c r="Q11694">
        <v>0</v>
      </c>
      <c r="R11694" t="s">
        <v>44917</v>
      </c>
      <c r="S11694" t="s">
        <v>45386</v>
      </c>
      <c r="T11694" t="s">
        <v>46560</v>
      </c>
      <c r="U11694" t="s">
        <v>56271</v>
      </c>
      <c r="W11694" t="s">
        <v>44377</v>
      </c>
      <c r="X11694" t="s">
        <v>44918</v>
      </c>
    </row>
    <row r="11695" spans="1:24">
      <c r="A11695">
        <f>HYPERLINK("https://www.philgeps.gov.ph/GEPSNONPILOT/Tender/SplashBidNoticeAbstractUI.aspx?menuIndex=3&amp;refID=7059313&amp;Result=3","7059313")</f>
        <v>0</v>
      </c>
      <c r="B11695" t="s">
        <v>1152</v>
      </c>
      <c r="C11695" t="s">
        <v>14684</v>
      </c>
      <c r="D11695" t="s">
        <v>18138</v>
      </c>
      <c r="E11695" t="s">
        <v>28339</v>
      </c>
      <c r="F11695" t="s">
        <v>31362</v>
      </c>
      <c r="G11695" t="s">
        <v>31369</v>
      </c>
      <c r="H11695" t="s">
        <v>15799</v>
      </c>
      <c r="I11695" t="s">
        <v>3815</v>
      </c>
      <c r="J11695" t="s">
        <v>38653</v>
      </c>
      <c r="K11695" t="s">
        <v>40680</v>
      </c>
      <c r="M11695" t="s">
        <v>42161</v>
      </c>
      <c r="N11695" t="s">
        <v>44905</v>
      </c>
      <c r="O11695" t="s">
        <v>44906</v>
      </c>
      <c r="P11695">
        <v>0</v>
      </c>
      <c r="Q11695">
        <v>4</v>
      </c>
      <c r="R11695" t="s">
        <v>44917</v>
      </c>
      <c r="S11695" t="s">
        <v>45386</v>
      </c>
      <c r="T11695" t="s">
        <v>46462</v>
      </c>
      <c r="U11695" t="s">
        <v>56272</v>
      </c>
      <c r="V11695" t="s">
        <v>59384</v>
      </c>
      <c r="W11695" t="s">
        <v>42161</v>
      </c>
      <c r="X11695" t="s">
        <v>44918</v>
      </c>
    </row>
    <row r="11696" spans="1:24">
      <c r="A11696">
        <f>HYPERLINK("https://www.philgeps.gov.ph/GEPSNONPILOT/Tender/SplashBidNoticeAbstractUI.aspx?menuIndex=3&amp;refID=7059000&amp;Result=3","7059000")</f>
        <v>0</v>
      </c>
      <c r="B11696" t="s">
        <v>3123</v>
      </c>
      <c r="C11696" t="s">
        <v>14685</v>
      </c>
      <c r="D11696" t="s">
        <v>18154</v>
      </c>
      <c r="E11696" t="s">
        <v>24643</v>
      </c>
      <c r="F11696" t="s">
        <v>31362</v>
      </c>
      <c r="G11696" t="s">
        <v>31369</v>
      </c>
      <c r="H11696" t="s">
        <v>15799</v>
      </c>
      <c r="I11696" t="s">
        <v>31466</v>
      </c>
      <c r="J11696" t="s">
        <v>38654</v>
      </c>
      <c r="K11696" t="s">
        <v>40662</v>
      </c>
      <c r="M11696" t="s">
        <v>44378</v>
      </c>
      <c r="N11696" t="s">
        <v>44905</v>
      </c>
      <c r="O11696" t="s">
        <v>44906</v>
      </c>
      <c r="P11696">
        <v>0</v>
      </c>
      <c r="Q11696">
        <v>2</v>
      </c>
      <c r="R11696" t="s">
        <v>44917</v>
      </c>
      <c r="S11696" t="s">
        <v>45386</v>
      </c>
      <c r="T11696" t="s">
        <v>46486</v>
      </c>
      <c r="U11696" t="s">
        <v>56273</v>
      </c>
      <c r="W11696" t="s">
        <v>44378</v>
      </c>
      <c r="X11696" t="s">
        <v>44918</v>
      </c>
    </row>
    <row r="11697" spans="1:24">
      <c r="A11697">
        <f>HYPERLINK("https://www.philgeps.gov.ph/GEPSNONPILOT/Tender/SplashBidNoticeAbstractUI.aspx?menuIndex=3&amp;refID=7059065&amp;Result=3","7059065")</f>
        <v>0</v>
      </c>
      <c r="B11697" t="s">
        <v>2788</v>
      </c>
      <c r="C11697" t="s">
        <v>14686</v>
      </c>
      <c r="D11697" t="s">
        <v>18108</v>
      </c>
      <c r="E11697" t="s">
        <v>20179</v>
      </c>
      <c r="F11697" t="s">
        <v>31362</v>
      </c>
      <c r="G11697" t="s">
        <v>31370</v>
      </c>
      <c r="H11697" t="s">
        <v>15799</v>
      </c>
      <c r="I11697" t="s">
        <v>31393</v>
      </c>
      <c r="J11697" t="s">
        <v>31536</v>
      </c>
      <c r="K11697" t="s">
        <v>40661</v>
      </c>
      <c r="M11697" t="s">
        <v>43985</v>
      </c>
      <c r="N11697" t="s">
        <v>44905</v>
      </c>
      <c r="O11697" t="s">
        <v>44906</v>
      </c>
      <c r="Q11697">
        <v>4</v>
      </c>
      <c r="R11697" t="s">
        <v>44917</v>
      </c>
      <c r="S11697" t="s">
        <v>45399</v>
      </c>
      <c r="T11697" t="s">
        <v>46593</v>
      </c>
      <c r="U11697" t="s">
        <v>56274</v>
      </c>
      <c r="V11697" t="s">
        <v>60090</v>
      </c>
      <c r="W11697" t="s">
        <v>43985</v>
      </c>
      <c r="X11697" t="s">
        <v>44918</v>
      </c>
    </row>
    <row r="11698" spans="1:24">
      <c r="A11698">
        <f>HYPERLINK("https://www.philgeps.gov.ph/GEPSNONPILOT/Tender/SplashBidNoticeAbstractUI.aspx?menuIndex=3&amp;refID=7059304&amp;Result=3","7059304")</f>
        <v>0</v>
      </c>
      <c r="B11698" t="s">
        <v>3122</v>
      </c>
      <c r="C11698" t="s">
        <v>14687</v>
      </c>
      <c r="D11698" t="s">
        <v>18113</v>
      </c>
      <c r="E11698" t="s">
        <v>28340</v>
      </c>
      <c r="F11698" t="s">
        <v>31362</v>
      </c>
      <c r="G11698" t="s">
        <v>31369</v>
      </c>
      <c r="H11698" t="s">
        <v>31378</v>
      </c>
      <c r="I11698" t="s">
        <v>31386</v>
      </c>
      <c r="J11698" t="s">
        <v>31542</v>
      </c>
      <c r="K11698" t="s">
        <v>40679</v>
      </c>
      <c r="M11698" t="s">
        <v>44377</v>
      </c>
      <c r="N11698" t="s">
        <v>44905</v>
      </c>
      <c r="O11698" t="s">
        <v>44906</v>
      </c>
      <c r="P11698">
        <v>0</v>
      </c>
      <c r="Q11698">
        <v>1</v>
      </c>
      <c r="R11698" t="s">
        <v>44917</v>
      </c>
      <c r="S11698" t="s">
        <v>45386</v>
      </c>
      <c r="T11698" t="s">
        <v>46560</v>
      </c>
      <c r="U11698" t="s">
        <v>56275</v>
      </c>
      <c r="W11698" t="s">
        <v>44377</v>
      </c>
      <c r="X11698" t="s">
        <v>44918</v>
      </c>
    </row>
    <row r="11699" spans="1:24">
      <c r="A11699">
        <f>HYPERLINK("https://www.philgeps.gov.ph/GEPSNONPILOT/Tender/SplashBidNoticeAbstractUI.aspx?menuIndex=3&amp;refID=7059289&amp;Result=3","7059289")</f>
        <v>0</v>
      </c>
      <c r="B11699" t="s">
        <v>3124</v>
      </c>
      <c r="C11699" t="s">
        <v>14688</v>
      </c>
      <c r="D11699" t="s">
        <v>18106</v>
      </c>
      <c r="E11699" t="s">
        <v>18466</v>
      </c>
      <c r="F11699" t="s">
        <v>31362</v>
      </c>
      <c r="G11699" t="s">
        <v>31369</v>
      </c>
      <c r="H11699" t="s">
        <v>15799</v>
      </c>
      <c r="I11699" t="s">
        <v>31427</v>
      </c>
      <c r="J11699" t="s">
        <v>32339</v>
      </c>
      <c r="K11699" t="s">
        <v>40666</v>
      </c>
      <c r="M11699" t="s">
        <v>44379</v>
      </c>
      <c r="N11699" t="s">
        <v>44905</v>
      </c>
      <c r="O11699" t="s">
        <v>44906</v>
      </c>
      <c r="P11699">
        <v>0</v>
      </c>
      <c r="Q11699">
        <v>13</v>
      </c>
      <c r="R11699" t="s">
        <v>44917</v>
      </c>
      <c r="S11699" t="s">
        <v>45386</v>
      </c>
      <c r="T11699" t="s">
        <v>46536</v>
      </c>
      <c r="U11699" t="s">
        <v>56276</v>
      </c>
      <c r="W11699" t="s">
        <v>44379</v>
      </c>
      <c r="X11699" t="s">
        <v>44918</v>
      </c>
    </row>
    <row r="11700" spans="1:24">
      <c r="A11700">
        <f>HYPERLINK("https://www.philgeps.gov.ph/GEPSNONPILOT/Tender/SplashBidNoticeAbstractUI.aspx?menuIndex=3&amp;refID=7059050&amp;Result=3","7059050")</f>
        <v>0</v>
      </c>
      <c r="B11700" t="s">
        <v>3120</v>
      </c>
      <c r="C11700" t="s">
        <v>14689</v>
      </c>
      <c r="D11700" t="s">
        <v>18116</v>
      </c>
      <c r="E11700" t="s">
        <v>28341</v>
      </c>
      <c r="F11700" t="s">
        <v>31362</v>
      </c>
      <c r="G11700" t="s">
        <v>31369</v>
      </c>
      <c r="H11700" t="s">
        <v>31378</v>
      </c>
      <c r="I11700" t="s">
        <v>3815</v>
      </c>
      <c r="J11700" t="s">
        <v>31542</v>
      </c>
      <c r="K11700" t="s">
        <v>40686</v>
      </c>
      <c r="M11700" t="s">
        <v>44374</v>
      </c>
      <c r="N11700" t="s">
        <v>44905</v>
      </c>
      <c r="O11700" t="s">
        <v>44906</v>
      </c>
      <c r="P11700">
        <v>0</v>
      </c>
      <c r="Q11700">
        <v>0</v>
      </c>
      <c r="R11700" t="s">
        <v>44917</v>
      </c>
      <c r="S11700" t="s">
        <v>45386</v>
      </c>
      <c r="T11700" t="s">
        <v>46438</v>
      </c>
      <c r="U11700" t="s">
        <v>56264</v>
      </c>
      <c r="V11700" t="s">
        <v>50030</v>
      </c>
      <c r="W11700" t="s">
        <v>44374</v>
      </c>
      <c r="X11700" t="s">
        <v>44918</v>
      </c>
    </row>
    <row r="11701" spans="1:24">
      <c r="A11701">
        <f>HYPERLINK("https://www.philgeps.gov.ph/GEPSNONPILOT/Tender/SplashBidNoticeAbstractUI.aspx?menuIndex=3&amp;refID=7059276&amp;Result=3","7059276")</f>
        <v>0</v>
      </c>
      <c r="B11701" t="s">
        <v>385</v>
      </c>
      <c r="C11701" t="s">
        <v>14690</v>
      </c>
      <c r="D11701" t="s">
        <v>18108</v>
      </c>
      <c r="E11701" t="s">
        <v>28342</v>
      </c>
      <c r="F11701" t="s">
        <v>31362</v>
      </c>
      <c r="G11701" t="s">
        <v>31369</v>
      </c>
      <c r="H11701" t="s">
        <v>31378</v>
      </c>
      <c r="I11701" t="s">
        <v>31386</v>
      </c>
      <c r="J11701" t="s">
        <v>38655</v>
      </c>
      <c r="K11701" t="s">
        <v>40665</v>
      </c>
      <c r="M11701" t="s">
        <v>41333</v>
      </c>
      <c r="N11701" t="s">
        <v>44905</v>
      </c>
      <c r="O11701" t="s">
        <v>44906</v>
      </c>
      <c r="P11701">
        <v>0</v>
      </c>
      <c r="Q11701">
        <v>6</v>
      </c>
      <c r="R11701" t="s">
        <v>44917</v>
      </c>
      <c r="S11701" t="s">
        <v>45386</v>
      </c>
      <c r="T11701" t="s">
        <v>46470</v>
      </c>
      <c r="U11701" t="s">
        <v>56277</v>
      </c>
      <c r="W11701" t="s">
        <v>60851</v>
      </c>
      <c r="X11701" t="s">
        <v>44918</v>
      </c>
    </row>
    <row r="11702" spans="1:24">
      <c r="A11702">
        <f>HYPERLINK("https://www.philgeps.gov.ph/GEPSNONPILOT/Tender/SplashBidNoticeAbstractUI.aspx?menuIndex=3&amp;refID=7059180&amp;Result=3","7059180")</f>
        <v>0</v>
      </c>
      <c r="B11702" t="s">
        <v>385</v>
      </c>
      <c r="C11702" t="s">
        <v>14691</v>
      </c>
      <c r="D11702" t="s">
        <v>18108</v>
      </c>
      <c r="E11702" t="s">
        <v>28343</v>
      </c>
      <c r="F11702" t="s">
        <v>31362</v>
      </c>
      <c r="G11702" t="s">
        <v>31369</v>
      </c>
      <c r="H11702" t="s">
        <v>31378</v>
      </c>
      <c r="I11702" t="s">
        <v>31386</v>
      </c>
      <c r="J11702" t="s">
        <v>34105</v>
      </c>
      <c r="K11702" t="s">
        <v>40665</v>
      </c>
      <c r="M11702" t="s">
        <v>41333</v>
      </c>
      <c r="N11702" t="s">
        <v>44905</v>
      </c>
      <c r="O11702" t="s">
        <v>44906</v>
      </c>
      <c r="P11702">
        <v>0</v>
      </c>
      <c r="Q11702">
        <v>6</v>
      </c>
      <c r="R11702" t="s">
        <v>44917</v>
      </c>
      <c r="S11702" t="s">
        <v>45386</v>
      </c>
      <c r="T11702" t="s">
        <v>46470</v>
      </c>
      <c r="U11702" t="s">
        <v>56278</v>
      </c>
      <c r="W11702" t="s">
        <v>60851</v>
      </c>
      <c r="X11702" t="s">
        <v>44918</v>
      </c>
    </row>
    <row r="11703" spans="1:24">
      <c r="A11703">
        <f>HYPERLINK("https://www.philgeps.gov.ph/GEPSNONPILOT/Tender/SplashBidNoticeAbstractUI.aspx?menuIndex=3&amp;refID=7059254&amp;Result=3","7059254")</f>
        <v>0</v>
      </c>
      <c r="B11703" t="s">
        <v>268</v>
      </c>
      <c r="C11703" t="s">
        <v>11261</v>
      </c>
      <c r="D11703" t="s">
        <v>18165</v>
      </c>
      <c r="E11703" t="s">
        <v>28344</v>
      </c>
      <c r="F11703" t="s">
        <v>31362</v>
      </c>
      <c r="G11703" t="s">
        <v>31369</v>
      </c>
      <c r="H11703" t="s">
        <v>15799</v>
      </c>
      <c r="I11703" t="s">
        <v>31380</v>
      </c>
      <c r="J11703" t="s">
        <v>38656</v>
      </c>
      <c r="K11703" t="s">
        <v>40661</v>
      </c>
      <c r="M11703" t="s">
        <v>41210</v>
      </c>
      <c r="N11703" t="s">
        <v>44905</v>
      </c>
      <c r="O11703" t="s">
        <v>44906</v>
      </c>
      <c r="P11703">
        <v>0</v>
      </c>
      <c r="Q11703">
        <v>6</v>
      </c>
      <c r="R11703" t="s">
        <v>44917</v>
      </c>
      <c r="S11703" t="s">
        <v>45386</v>
      </c>
      <c r="T11703" t="s">
        <v>46411</v>
      </c>
      <c r="U11703" t="s">
        <v>53456</v>
      </c>
      <c r="V11703" t="s">
        <v>60312</v>
      </c>
      <c r="W11703" t="s">
        <v>41210</v>
      </c>
      <c r="X11703" t="s">
        <v>44918</v>
      </c>
    </row>
    <row r="11704" spans="1:24">
      <c r="A11704">
        <f>HYPERLINK("https://www.philgeps.gov.ph/GEPSNONPILOT/Tender/SplashBidNoticeAbstractUI.aspx?menuIndex=3&amp;refID=7059228&amp;Result=3","7059228")</f>
        <v>0</v>
      </c>
      <c r="B11704" t="s">
        <v>3125</v>
      </c>
      <c r="C11704" t="s">
        <v>14692</v>
      </c>
      <c r="D11704" t="s">
        <v>18146</v>
      </c>
      <c r="E11704" t="s">
        <v>28345</v>
      </c>
      <c r="F11704" t="s">
        <v>31362</v>
      </c>
      <c r="G11704" t="s">
        <v>31371</v>
      </c>
      <c r="H11704" t="s">
        <v>15799</v>
      </c>
      <c r="I11704" t="s">
        <v>31385</v>
      </c>
      <c r="J11704" t="s">
        <v>31806</v>
      </c>
      <c r="K11704" t="s">
        <v>40670</v>
      </c>
      <c r="M11704" t="s">
        <v>44380</v>
      </c>
      <c r="N11704" t="s">
        <v>44905</v>
      </c>
      <c r="O11704" t="s">
        <v>44906</v>
      </c>
      <c r="P11704">
        <v>0</v>
      </c>
      <c r="Q11704">
        <v>2</v>
      </c>
      <c r="R11704" t="s">
        <v>44917</v>
      </c>
      <c r="S11704" t="s">
        <v>45386</v>
      </c>
      <c r="T11704" t="s">
        <v>46435</v>
      </c>
      <c r="U11704" t="s">
        <v>56279</v>
      </c>
      <c r="W11704" t="s">
        <v>44380</v>
      </c>
      <c r="X11704" t="s">
        <v>44918</v>
      </c>
    </row>
    <row r="11705" spans="1:24">
      <c r="A11705">
        <f>HYPERLINK("https://www.philgeps.gov.ph/GEPSNONPILOT/Tender/SplashBidNoticeAbstractUI.aspx?menuIndex=3&amp;refID=7059225&amp;Result=3","7059225")</f>
        <v>0</v>
      </c>
      <c r="B11705" t="s">
        <v>385</v>
      </c>
      <c r="C11705" t="s">
        <v>14693</v>
      </c>
      <c r="D11705" t="s">
        <v>18108</v>
      </c>
      <c r="E11705" t="s">
        <v>28346</v>
      </c>
      <c r="F11705" t="s">
        <v>31362</v>
      </c>
      <c r="G11705" t="s">
        <v>31369</v>
      </c>
      <c r="H11705" t="s">
        <v>31378</v>
      </c>
      <c r="I11705" t="s">
        <v>31386</v>
      </c>
      <c r="J11705" t="s">
        <v>34105</v>
      </c>
      <c r="K11705" t="s">
        <v>40665</v>
      </c>
      <c r="M11705" t="s">
        <v>41333</v>
      </c>
      <c r="N11705" t="s">
        <v>44905</v>
      </c>
      <c r="O11705" t="s">
        <v>44906</v>
      </c>
      <c r="P11705">
        <v>0</v>
      </c>
      <c r="Q11705">
        <v>5</v>
      </c>
      <c r="R11705" t="s">
        <v>44917</v>
      </c>
      <c r="S11705" t="s">
        <v>45386</v>
      </c>
      <c r="T11705" t="s">
        <v>46470</v>
      </c>
      <c r="U11705" t="s">
        <v>56278</v>
      </c>
      <c r="W11705" t="s">
        <v>60851</v>
      </c>
      <c r="X11705" t="s">
        <v>44918</v>
      </c>
    </row>
    <row r="11706" spans="1:24">
      <c r="A11706">
        <f>HYPERLINK("https://www.philgeps.gov.ph/GEPSNONPILOT/Tender/SplashBidNoticeAbstractUI.aspx?menuIndex=3&amp;refID=7059205&amp;Result=3","7059205")</f>
        <v>0</v>
      </c>
      <c r="B11706" t="s">
        <v>2987</v>
      </c>
      <c r="C11706" t="s">
        <v>14694</v>
      </c>
      <c r="D11706" t="s">
        <v>18124</v>
      </c>
      <c r="E11706" t="s">
        <v>28347</v>
      </c>
      <c r="F11706" t="s">
        <v>31364</v>
      </c>
      <c r="G11706" t="s">
        <v>31369</v>
      </c>
      <c r="H11706" t="s">
        <v>15799</v>
      </c>
      <c r="I11706" t="s">
        <v>31409</v>
      </c>
      <c r="J11706" t="s">
        <v>31637</v>
      </c>
      <c r="K11706" t="s">
        <v>40666</v>
      </c>
      <c r="M11706" t="s">
        <v>44212</v>
      </c>
      <c r="N11706" t="s">
        <v>44905</v>
      </c>
      <c r="O11706" t="s">
        <v>44906</v>
      </c>
      <c r="P11706">
        <v>0</v>
      </c>
      <c r="Q11706">
        <v>7</v>
      </c>
      <c r="R11706" t="s">
        <v>44917</v>
      </c>
      <c r="S11706" t="s">
        <v>45386</v>
      </c>
      <c r="T11706" t="s">
        <v>46533</v>
      </c>
      <c r="U11706" t="s">
        <v>56280</v>
      </c>
      <c r="W11706" t="s">
        <v>44212</v>
      </c>
      <c r="X11706" t="s">
        <v>44918</v>
      </c>
    </row>
    <row r="11707" spans="1:24">
      <c r="A11707">
        <f>HYPERLINK("https://www.philgeps.gov.ph/GEPSNONPILOT/Tender/SplashBidNoticeAbstractUI.aspx?menuIndex=3&amp;refID=7059279&amp;Result=3","7059279")</f>
        <v>0</v>
      </c>
      <c r="B11707" t="s">
        <v>268</v>
      </c>
      <c r="C11707" t="s">
        <v>14695</v>
      </c>
      <c r="D11707" t="s">
        <v>18165</v>
      </c>
      <c r="E11707" t="s">
        <v>28348</v>
      </c>
      <c r="F11707" t="s">
        <v>31362</v>
      </c>
      <c r="G11707" t="s">
        <v>31369</v>
      </c>
      <c r="H11707" t="s">
        <v>15799</v>
      </c>
      <c r="I11707" t="s">
        <v>7188</v>
      </c>
      <c r="J11707" t="s">
        <v>38269</v>
      </c>
      <c r="K11707" t="s">
        <v>40661</v>
      </c>
      <c r="M11707" t="s">
        <v>41210</v>
      </c>
      <c r="N11707" t="s">
        <v>44905</v>
      </c>
      <c r="O11707" t="s">
        <v>44906</v>
      </c>
      <c r="P11707">
        <v>0</v>
      </c>
      <c r="Q11707">
        <v>1</v>
      </c>
      <c r="R11707" t="s">
        <v>44917</v>
      </c>
      <c r="S11707" t="s">
        <v>45386</v>
      </c>
      <c r="T11707" t="s">
        <v>46411</v>
      </c>
      <c r="U11707" t="s">
        <v>56281</v>
      </c>
      <c r="V11707" t="s">
        <v>60313</v>
      </c>
      <c r="W11707" t="s">
        <v>41210</v>
      </c>
      <c r="X11707" t="s">
        <v>44918</v>
      </c>
    </row>
    <row r="11708" spans="1:24">
      <c r="A11708">
        <f>HYPERLINK("https://www.philgeps.gov.ph/GEPSNONPILOT/Tender/SplashBidNoticeAbstractUI.aspx?menuIndex=3&amp;refID=7059200&amp;Result=3","7059200")</f>
        <v>0</v>
      </c>
      <c r="B11708" t="s">
        <v>3112</v>
      </c>
      <c r="C11708" t="s">
        <v>14696</v>
      </c>
      <c r="D11708" t="s">
        <v>18140</v>
      </c>
      <c r="E11708" t="s">
        <v>28349</v>
      </c>
      <c r="F11708" t="s">
        <v>31362</v>
      </c>
      <c r="G11708" t="s">
        <v>31369</v>
      </c>
      <c r="H11708" t="s">
        <v>15799</v>
      </c>
      <c r="I11708" t="s">
        <v>31393</v>
      </c>
      <c r="J11708" t="s">
        <v>34473</v>
      </c>
      <c r="K11708" t="s">
        <v>40670</v>
      </c>
      <c r="M11708" t="s">
        <v>44364</v>
      </c>
      <c r="N11708" t="s">
        <v>44905</v>
      </c>
      <c r="O11708" t="s">
        <v>44906</v>
      </c>
      <c r="P11708">
        <v>0</v>
      </c>
      <c r="Q11708">
        <v>7</v>
      </c>
      <c r="R11708" t="s">
        <v>44917</v>
      </c>
      <c r="S11708" t="s">
        <v>45386</v>
      </c>
      <c r="T11708" t="s">
        <v>46560</v>
      </c>
      <c r="U11708" t="s">
        <v>56282</v>
      </c>
      <c r="V11708" t="s">
        <v>60310</v>
      </c>
      <c r="W11708" t="s">
        <v>44364</v>
      </c>
      <c r="X11708" t="s">
        <v>44918</v>
      </c>
    </row>
    <row r="11709" spans="1:24">
      <c r="A11709">
        <f>HYPERLINK("https://www.philgeps.gov.ph/GEPSNONPILOT/Tender/SplashBidNoticeAbstractUI.aspx?menuIndex=3&amp;refID=7059256&amp;Result=3","7059256")</f>
        <v>0</v>
      </c>
      <c r="B11709" t="s">
        <v>2202</v>
      </c>
      <c r="C11709" t="s">
        <v>14697</v>
      </c>
      <c r="D11709" t="s">
        <v>18105</v>
      </c>
      <c r="E11709" t="s">
        <v>28350</v>
      </c>
      <c r="F11709" t="s">
        <v>31362</v>
      </c>
      <c r="G11709" t="s">
        <v>31369</v>
      </c>
      <c r="H11709" t="s">
        <v>15799</v>
      </c>
      <c r="I11709" t="s">
        <v>4942</v>
      </c>
      <c r="J11709" t="s">
        <v>38657</v>
      </c>
      <c r="K11709" t="s">
        <v>40682</v>
      </c>
      <c r="M11709" t="s">
        <v>43333</v>
      </c>
      <c r="N11709" t="s">
        <v>44905</v>
      </c>
      <c r="O11709" t="s">
        <v>44906</v>
      </c>
      <c r="P11709">
        <v>0</v>
      </c>
      <c r="Q11709">
        <v>0</v>
      </c>
      <c r="R11709" t="s">
        <v>44917</v>
      </c>
      <c r="S11709" t="s">
        <v>45386</v>
      </c>
      <c r="T11709" t="s">
        <v>46560</v>
      </c>
      <c r="U11709" t="s">
        <v>56283</v>
      </c>
      <c r="W11709" t="s">
        <v>43333</v>
      </c>
      <c r="X11709" t="s">
        <v>44918</v>
      </c>
    </row>
    <row r="11710" spans="1:24">
      <c r="A11710">
        <f>HYPERLINK("https://www.philgeps.gov.ph/GEPSNONPILOT/Tender/SplashBidNoticeAbstractUI.aspx?menuIndex=3&amp;refID=7059188&amp;Result=3","7059188")</f>
        <v>0</v>
      </c>
      <c r="B11710" t="s">
        <v>1927</v>
      </c>
      <c r="C11710" t="s">
        <v>14698</v>
      </c>
      <c r="D11710" t="s">
        <v>18148</v>
      </c>
      <c r="E11710" t="s">
        <v>28351</v>
      </c>
      <c r="F11710" t="s">
        <v>31362</v>
      </c>
      <c r="G11710" t="s">
        <v>31369</v>
      </c>
      <c r="H11710" t="s">
        <v>31378</v>
      </c>
      <c r="I11710" t="s">
        <v>31386</v>
      </c>
      <c r="J11710" t="s">
        <v>38658</v>
      </c>
      <c r="K11710" t="s">
        <v>40825</v>
      </c>
      <c r="M11710" t="s">
        <v>43025</v>
      </c>
      <c r="N11710" t="s">
        <v>44905</v>
      </c>
      <c r="O11710" t="s">
        <v>44906</v>
      </c>
      <c r="P11710">
        <v>0</v>
      </c>
      <c r="Q11710">
        <v>4</v>
      </c>
      <c r="R11710" t="s">
        <v>44917</v>
      </c>
      <c r="S11710" t="s">
        <v>45386</v>
      </c>
      <c r="T11710" t="s">
        <v>46504</v>
      </c>
      <c r="U11710" t="s">
        <v>56284</v>
      </c>
      <c r="V11710" t="s">
        <v>59627</v>
      </c>
      <c r="W11710" t="s">
        <v>43025</v>
      </c>
      <c r="X11710" t="s">
        <v>44918</v>
      </c>
    </row>
    <row r="11711" spans="1:24">
      <c r="A11711">
        <f>HYPERLINK("https://www.philgeps.gov.ph/GEPSNONPILOT/Tender/SplashBidNoticeAbstractUI.aspx?menuIndex=3&amp;refID=7059184&amp;Result=3","7059184")</f>
        <v>0</v>
      </c>
      <c r="B11711" t="s">
        <v>972</v>
      </c>
      <c r="C11711" t="s">
        <v>14699</v>
      </c>
      <c r="D11711" t="s">
        <v>18141</v>
      </c>
      <c r="E11711" t="s">
        <v>28352</v>
      </c>
      <c r="F11711" t="s">
        <v>31362</v>
      </c>
      <c r="G11711" t="s">
        <v>31369</v>
      </c>
      <c r="H11711" t="s">
        <v>31378</v>
      </c>
      <c r="I11711" t="s">
        <v>31386</v>
      </c>
      <c r="J11711" t="s">
        <v>38659</v>
      </c>
      <c r="K11711" t="s">
        <v>40682</v>
      </c>
      <c r="M11711" t="s">
        <v>42216</v>
      </c>
      <c r="N11711" t="s">
        <v>44905</v>
      </c>
      <c r="O11711" t="s">
        <v>44906</v>
      </c>
      <c r="P11711">
        <v>0</v>
      </c>
      <c r="Q11711">
        <v>0</v>
      </c>
      <c r="R11711" t="s">
        <v>44917</v>
      </c>
      <c r="S11711" t="s">
        <v>45386</v>
      </c>
      <c r="T11711" t="s">
        <v>46392</v>
      </c>
      <c r="U11711" t="s">
        <v>49558</v>
      </c>
      <c r="W11711" t="s">
        <v>42216</v>
      </c>
      <c r="X11711" t="s">
        <v>44918</v>
      </c>
    </row>
    <row r="11712" spans="1:24">
      <c r="A11712">
        <f>HYPERLINK("https://www.philgeps.gov.ph/GEPSNONPILOT/Tender/SplashBidNoticeAbstractUI.aspx?menuIndex=3&amp;refID=7059128&amp;Result=3","7059128")</f>
        <v>0</v>
      </c>
      <c r="B11712" t="s">
        <v>3126</v>
      </c>
      <c r="C11712" t="s">
        <v>14700</v>
      </c>
      <c r="D11712" t="s">
        <v>18148</v>
      </c>
      <c r="E11712" t="s">
        <v>25551</v>
      </c>
      <c r="F11712" t="s">
        <v>31362</v>
      </c>
      <c r="G11712" t="s">
        <v>31369</v>
      </c>
      <c r="H11712" t="s">
        <v>15799</v>
      </c>
      <c r="I11712" t="s">
        <v>31409</v>
      </c>
      <c r="J11712" t="s">
        <v>31606</v>
      </c>
      <c r="K11712" t="s">
        <v>40666</v>
      </c>
      <c r="M11712" t="s">
        <v>44381</v>
      </c>
      <c r="N11712" t="s">
        <v>44905</v>
      </c>
      <c r="O11712" t="s">
        <v>44906</v>
      </c>
      <c r="P11712">
        <v>0</v>
      </c>
      <c r="Q11712">
        <v>7</v>
      </c>
      <c r="R11712" t="s">
        <v>44917</v>
      </c>
      <c r="S11712" t="s">
        <v>45386</v>
      </c>
      <c r="T11712" t="s">
        <v>46846</v>
      </c>
      <c r="U11712" t="s">
        <v>56285</v>
      </c>
      <c r="W11712" t="s">
        <v>44381</v>
      </c>
      <c r="X11712" t="s">
        <v>44918</v>
      </c>
    </row>
    <row r="11713" spans="1:24">
      <c r="A11713">
        <f>HYPERLINK("https://www.philgeps.gov.ph/GEPSNONPILOT/Tender/SplashBidNoticeAbstractUI.aspx?menuIndex=3&amp;refID=7059026&amp;Result=3","7059026")</f>
        <v>0</v>
      </c>
      <c r="B11713" t="s">
        <v>63</v>
      </c>
      <c r="C11713" t="s">
        <v>14701</v>
      </c>
      <c r="D11713" t="s">
        <v>18108</v>
      </c>
      <c r="E11713" t="s">
        <v>28353</v>
      </c>
      <c r="F11713" t="s">
        <v>31362</v>
      </c>
      <c r="G11713" t="s">
        <v>31369</v>
      </c>
      <c r="H11713" t="s">
        <v>15799</v>
      </c>
      <c r="I11713" t="s">
        <v>6218</v>
      </c>
      <c r="J11713" t="s">
        <v>38660</v>
      </c>
      <c r="K11713" t="s">
        <v>40661</v>
      </c>
      <c r="M11713" t="s">
        <v>44373</v>
      </c>
      <c r="N11713" t="s">
        <v>44905</v>
      </c>
      <c r="O11713" t="s">
        <v>44906</v>
      </c>
      <c r="P11713">
        <v>0</v>
      </c>
      <c r="Q11713">
        <v>9</v>
      </c>
      <c r="R11713" t="s">
        <v>44917</v>
      </c>
      <c r="S11713" t="s">
        <v>45386</v>
      </c>
      <c r="T11713" t="s">
        <v>46815</v>
      </c>
      <c r="U11713" t="s">
        <v>56286</v>
      </c>
      <c r="W11713" t="s">
        <v>44373</v>
      </c>
      <c r="X11713" t="s">
        <v>44918</v>
      </c>
    </row>
    <row r="11714" spans="1:24">
      <c r="A11714">
        <f>HYPERLINK("https://www.philgeps.gov.ph/GEPSNONPILOT/Tender/SplashBidNoticeAbstractUI.aspx?menuIndex=3&amp;refID=7059211&amp;Result=3","7059211")</f>
        <v>0</v>
      </c>
      <c r="B11714" t="s">
        <v>3051</v>
      </c>
      <c r="C11714" t="s">
        <v>14702</v>
      </c>
      <c r="D11714" t="s">
        <v>18170</v>
      </c>
      <c r="E11714" t="s">
        <v>28354</v>
      </c>
      <c r="F11714" t="s">
        <v>31362</v>
      </c>
      <c r="G11714" t="s">
        <v>31369</v>
      </c>
      <c r="H11714" t="s">
        <v>15799</v>
      </c>
      <c r="I11714" t="s">
        <v>4283</v>
      </c>
      <c r="J11714" t="s">
        <v>38661</v>
      </c>
      <c r="K11714" t="s">
        <v>40665</v>
      </c>
      <c r="M11714" t="s">
        <v>44285</v>
      </c>
      <c r="N11714" t="s">
        <v>44905</v>
      </c>
      <c r="O11714" t="s">
        <v>44906</v>
      </c>
      <c r="P11714">
        <v>0</v>
      </c>
      <c r="Q11714">
        <v>3</v>
      </c>
      <c r="R11714" t="s">
        <v>44917</v>
      </c>
      <c r="S11714" t="s">
        <v>45386</v>
      </c>
      <c r="T11714" t="s">
        <v>46499</v>
      </c>
      <c r="U11714" t="s">
        <v>56287</v>
      </c>
      <c r="W11714" t="s">
        <v>44285</v>
      </c>
      <c r="X11714" t="s">
        <v>44918</v>
      </c>
    </row>
    <row r="11715" spans="1:24">
      <c r="A11715">
        <f>HYPERLINK("https://www.philgeps.gov.ph/GEPSNONPILOT/Tender/SplashBidNoticeAbstractUI.aspx?menuIndex=3&amp;refID=7059015&amp;Result=3","7059015")</f>
        <v>0</v>
      </c>
      <c r="B11715" t="s">
        <v>3111</v>
      </c>
      <c r="C11715" t="s">
        <v>14703</v>
      </c>
      <c r="D11715" t="s">
        <v>18102</v>
      </c>
      <c r="E11715" t="s">
        <v>28355</v>
      </c>
      <c r="F11715" t="s">
        <v>31362</v>
      </c>
      <c r="G11715" t="s">
        <v>31369</v>
      </c>
      <c r="H11715" t="s">
        <v>15799</v>
      </c>
      <c r="I11715" t="s">
        <v>31427</v>
      </c>
      <c r="J11715" t="s">
        <v>36084</v>
      </c>
      <c r="K11715" t="s">
        <v>40666</v>
      </c>
      <c r="M11715" t="s">
        <v>44363</v>
      </c>
      <c r="N11715" t="s">
        <v>44905</v>
      </c>
      <c r="O11715" t="s">
        <v>44906</v>
      </c>
      <c r="P11715">
        <v>0</v>
      </c>
      <c r="Q11715">
        <v>8</v>
      </c>
      <c r="R11715" t="s">
        <v>44917</v>
      </c>
      <c r="S11715" t="s">
        <v>45386</v>
      </c>
      <c r="T11715" t="s">
        <v>46430</v>
      </c>
      <c r="U11715" t="s">
        <v>56288</v>
      </c>
      <c r="W11715" t="s">
        <v>44363</v>
      </c>
      <c r="X11715" t="s">
        <v>44918</v>
      </c>
    </row>
    <row r="11716" spans="1:24">
      <c r="A11716">
        <f>HYPERLINK("https://www.philgeps.gov.ph/GEPSNONPILOT/Tender/SplashBidNoticeAbstractUI.aspx?menuIndex=3&amp;refID=7059303&amp;Result=3","7059303")</f>
        <v>0</v>
      </c>
      <c r="B11716" t="s">
        <v>118</v>
      </c>
      <c r="C11716" t="s">
        <v>14704</v>
      </c>
      <c r="D11716" t="s">
        <v>18142</v>
      </c>
      <c r="E11716" t="s">
        <v>28356</v>
      </c>
      <c r="F11716" t="s">
        <v>31362</v>
      </c>
      <c r="G11716" t="s">
        <v>31369</v>
      </c>
      <c r="H11716" t="s">
        <v>31378</v>
      </c>
      <c r="I11716" t="s">
        <v>31386</v>
      </c>
      <c r="J11716" t="s">
        <v>31625</v>
      </c>
      <c r="K11716" t="s">
        <v>40679</v>
      </c>
      <c r="M11716" t="s">
        <v>41055</v>
      </c>
      <c r="N11716" t="s">
        <v>44905</v>
      </c>
      <c r="O11716" t="s">
        <v>44906</v>
      </c>
      <c r="P11716">
        <v>0</v>
      </c>
      <c r="Q11716">
        <v>0</v>
      </c>
      <c r="R11716" t="s">
        <v>44917</v>
      </c>
      <c r="S11716" t="s">
        <v>45386</v>
      </c>
      <c r="T11716" t="s">
        <v>46611</v>
      </c>
      <c r="U11716" t="s">
        <v>56289</v>
      </c>
      <c r="W11716" t="s">
        <v>41055</v>
      </c>
      <c r="X11716" t="s">
        <v>44918</v>
      </c>
    </row>
    <row r="11717" spans="1:24">
      <c r="A11717">
        <f>HYPERLINK("https://www.philgeps.gov.ph/GEPSNONPILOT/Tender/SplashBidNoticeAbstractUI.aspx?menuIndex=3&amp;refID=7059322&amp;Result=3","7059322")</f>
        <v>0</v>
      </c>
      <c r="B11717" t="s">
        <v>385</v>
      </c>
      <c r="C11717" t="s">
        <v>14705</v>
      </c>
      <c r="D11717" t="s">
        <v>18108</v>
      </c>
      <c r="E11717" t="s">
        <v>28357</v>
      </c>
      <c r="F11717" t="s">
        <v>31362</v>
      </c>
      <c r="G11717" t="s">
        <v>31369</v>
      </c>
      <c r="H11717" t="s">
        <v>31378</v>
      </c>
      <c r="I11717" t="s">
        <v>31386</v>
      </c>
      <c r="J11717" t="s">
        <v>38662</v>
      </c>
      <c r="K11717" t="s">
        <v>40686</v>
      </c>
      <c r="M11717" t="s">
        <v>41333</v>
      </c>
      <c r="N11717" t="s">
        <v>44905</v>
      </c>
      <c r="O11717" t="s">
        <v>44906</v>
      </c>
      <c r="P11717">
        <v>0</v>
      </c>
      <c r="Q11717">
        <v>6</v>
      </c>
      <c r="R11717" t="s">
        <v>44917</v>
      </c>
      <c r="S11717" t="s">
        <v>45386</v>
      </c>
      <c r="T11717" t="s">
        <v>46470</v>
      </c>
      <c r="U11717" t="s">
        <v>56290</v>
      </c>
      <c r="W11717" t="s">
        <v>60851</v>
      </c>
      <c r="X11717" t="s">
        <v>44918</v>
      </c>
    </row>
    <row r="11718" spans="1:24">
      <c r="A11718">
        <f>HYPERLINK("https://www.philgeps.gov.ph/GEPSNONPILOT/Tender/SplashBidNoticeAbstractUI.aspx?menuIndex=3&amp;refID=7059249&amp;Result=3","7059249")</f>
        <v>0</v>
      </c>
      <c r="B11718" t="s">
        <v>3125</v>
      </c>
      <c r="C11718" t="s">
        <v>14706</v>
      </c>
      <c r="D11718" t="s">
        <v>18146</v>
      </c>
      <c r="E11718" t="s">
        <v>28358</v>
      </c>
      <c r="F11718" t="s">
        <v>31362</v>
      </c>
      <c r="G11718" t="s">
        <v>31371</v>
      </c>
      <c r="H11718" t="s">
        <v>15799</v>
      </c>
      <c r="I11718" t="s">
        <v>31385</v>
      </c>
      <c r="J11718" t="s">
        <v>38663</v>
      </c>
      <c r="K11718" t="s">
        <v>40670</v>
      </c>
      <c r="M11718" t="s">
        <v>44380</v>
      </c>
      <c r="N11718" t="s">
        <v>44905</v>
      </c>
      <c r="O11718" t="s">
        <v>44906</v>
      </c>
      <c r="P11718">
        <v>0</v>
      </c>
      <c r="Q11718">
        <v>6</v>
      </c>
      <c r="R11718" t="s">
        <v>44917</v>
      </c>
      <c r="S11718" t="s">
        <v>45386</v>
      </c>
      <c r="T11718" t="s">
        <v>46435</v>
      </c>
      <c r="U11718" t="s">
        <v>56291</v>
      </c>
      <c r="W11718" t="s">
        <v>44380</v>
      </c>
      <c r="X11718" t="s">
        <v>44918</v>
      </c>
    </row>
    <row r="11719" spans="1:24">
      <c r="A11719">
        <f>HYPERLINK("https://www.philgeps.gov.ph/GEPSNONPILOT/Tender/SplashBidNoticeAbstractUI.aspx?menuIndex=3&amp;refID=7059394&amp;Result=3","7059394")</f>
        <v>0</v>
      </c>
      <c r="B11719" t="s">
        <v>1033</v>
      </c>
      <c r="C11719" t="s">
        <v>14707</v>
      </c>
      <c r="D11719" t="s">
        <v>18162</v>
      </c>
      <c r="E11719" t="s">
        <v>28359</v>
      </c>
      <c r="F11719" t="s">
        <v>31362</v>
      </c>
      <c r="G11719" t="s">
        <v>31369</v>
      </c>
      <c r="H11719" t="s">
        <v>15799</v>
      </c>
      <c r="I11719" t="s">
        <v>7188</v>
      </c>
      <c r="J11719" t="s">
        <v>37994</v>
      </c>
      <c r="K11719" t="s">
        <v>40670</v>
      </c>
      <c r="M11719" t="s">
        <v>42032</v>
      </c>
      <c r="N11719" t="s">
        <v>44905</v>
      </c>
      <c r="O11719" t="s">
        <v>44906</v>
      </c>
      <c r="P11719">
        <v>0</v>
      </c>
      <c r="Q11719">
        <v>0</v>
      </c>
      <c r="R11719" t="s">
        <v>44917</v>
      </c>
      <c r="S11719" t="s">
        <v>45386</v>
      </c>
      <c r="T11719" t="s">
        <v>46509</v>
      </c>
      <c r="U11719" t="s">
        <v>56292</v>
      </c>
      <c r="W11719" t="s">
        <v>42032</v>
      </c>
      <c r="X11719" t="s">
        <v>44918</v>
      </c>
    </row>
    <row r="11720" spans="1:24">
      <c r="A11720">
        <f>HYPERLINK("https://www.philgeps.gov.ph/GEPSNONPILOT/Tender/SplashBidNoticeAbstractUI.aspx?menuIndex=3&amp;refID=7059022&amp;Result=3","7059022")</f>
        <v>0</v>
      </c>
      <c r="B11720" t="s">
        <v>3120</v>
      </c>
      <c r="C11720" t="s">
        <v>14708</v>
      </c>
      <c r="D11720" t="s">
        <v>18116</v>
      </c>
      <c r="E11720" t="s">
        <v>28360</v>
      </c>
      <c r="F11720" t="s">
        <v>31362</v>
      </c>
      <c r="G11720" t="s">
        <v>31369</v>
      </c>
      <c r="H11720" t="s">
        <v>31378</v>
      </c>
      <c r="I11720" t="s">
        <v>3815</v>
      </c>
      <c r="J11720" t="s">
        <v>31606</v>
      </c>
      <c r="K11720" t="s">
        <v>40686</v>
      </c>
      <c r="M11720" t="s">
        <v>44374</v>
      </c>
      <c r="N11720" t="s">
        <v>44905</v>
      </c>
      <c r="O11720" t="s">
        <v>44906</v>
      </c>
      <c r="P11720">
        <v>0</v>
      </c>
      <c r="Q11720">
        <v>1</v>
      </c>
      <c r="R11720" t="s">
        <v>44917</v>
      </c>
      <c r="S11720" t="s">
        <v>45386</v>
      </c>
      <c r="T11720" t="s">
        <v>46438</v>
      </c>
      <c r="U11720" t="s">
        <v>56264</v>
      </c>
      <c r="V11720" t="s">
        <v>50030</v>
      </c>
      <c r="W11720" t="s">
        <v>44374</v>
      </c>
      <c r="X11720" t="s">
        <v>44918</v>
      </c>
    </row>
    <row r="11721" spans="1:24">
      <c r="A11721">
        <f>HYPERLINK("https://www.philgeps.gov.ph/GEPSNONPILOT/Tender/SplashBidNoticeAbstractUI.aspx?menuIndex=3&amp;refID=7059035&amp;Result=3","7059035")</f>
        <v>0</v>
      </c>
      <c r="B11721" t="s">
        <v>321</v>
      </c>
      <c r="C11721" t="s">
        <v>14709</v>
      </c>
      <c r="D11721" t="s">
        <v>18150</v>
      </c>
      <c r="E11721" t="s">
        <v>28361</v>
      </c>
      <c r="F11721" t="s">
        <v>31362</v>
      </c>
      <c r="G11721" t="s">
        <v>31369</v>
      </c>
      <c r="H11721" t="s">
        <v>31378</v>
      </c>
      <c r="I11721" t="s">
        <v>3815</v>
      </c>
      <c r="J11721" t="s">
        <v>38664</v>
      </c>
      <c r="K11721" t="s">
        <v>40679</v>
      </c>
      <c r="M11721" t="s">
        <v>41267</v>
      </c>
      <c r="N11721" t="s">
        <v>44905</v>
      </c>
      <c r="O11721" t="s">
        <v>44906</v>
      </c>
      <c r="P11721">
        <v>0</v>
      </c>
      <c r="Q11721">
        <v>4</v>
      </c>
      <c r="R11721" t="s">
        <v>44917</v>
      </c>
      <c r="S11721" t="s">
        <v>45386</v>
      </c>
      <c r="T11721" t="s">
        <v>46519</v>
      </c>
      <c r="U11721" t="s">
        <v>47466</v>
      </c>
      <c r="V11721" t="s">
        <v>59133</v>
      </c>
      <c r="W11721" t="s">
        <v>41267</v>
      </c>
      <c r="X11721" t="s">
        <v>44918</v>
      </c>
    </row>
    <row r="11722" spans="1:24">
      <c r="A11722">
        <f>HYPERLINK("https://www.philgeps.gov.ph/GEPSNONPILOT/Tender/SplashBidNoticeAbstractUI.aspx?menuIndex=3&amp;refID=7058998&amp;Result=3","7058998")</f>
        <v>0</v>
      </c>
      <c r="B11722" t="s">
        <v>2963</v>
      </c>
      <c r="C11722" t="s">
        <v>14710</v>
      </c>
      <c r="D11722" t="s">
        <v>18116</v>
      </c>
      <c r="E11722" t="s">
        <v>28362</v>
      </c>
      <c r="F11722" t="s">
        <v>31362</v>
      </c>
      <c r="G11722" t="s">
        <v>31370</v>
      </c>
      <c r="H11722" t="s">
        <v>15799</v>
      </c>
      <c r="I11722" t="s">
        <v>31404</v>
      </c>
      <c r="J11722" t="s">
        <v>38665</v>
      </c>
      <c r="K11722" t="s">
        <v>40679</v>
      </c>
      <c r="L11722" t="s">
        <v>2963</v>
      </c>
      <c r="M11722" t="s">
        <v>44382</v>
      </c>
      <c r="N11722" t="s">
        <v>44905</v>
      </c>
      <c r="O11722" t="s">
        <v>44906</v>
      </c>
      <c r="Q11722">
        <v>0</v>
      </c>
      <c r="R11722" t="s">
        <v>44917</v>
      </c>
      <c r="S11722" t="s">
        <v>45400</v>
      </c>
      <c r="T11722" t="s">
        <v>46409</v>
      </c>
      <c r="U11722" t="s">
        <v>56293</v>
      </c>
      <c r="W11722" t="s">
        <v>44382</v>
      </c>
      <c r="X11722" t="s">
        <v>44918</v>
      </c>
    </row>
    <row r="11723" spans="1:24">
      <c r="A11723">
        <f>HYPERLINK("https://www.philgeps.gov.ph/GEPSNONPILOT/Tender/SplashBidNoticeAbstractUI.aspx?menuIndex=3&amp;refID=7059433&amp;Result=3","7059433")</f>
        <v>0</v>
      </c>
      <c r="B11723" t="s">
        <v>3127</v>
      </c>
      <c r="C11723" t="s">
        <v>14711</v>
      </c>
      <c r="D11723" t="s">
        <v>18127</v>
      </c>
      <c r="E11723" t="s">
        <v>28363</v>
      </c>
      <c r="F11723" t="s">
        <v>31362</v>
      </c>
      <c r="G11723" t="s">
        <v>31369</v>
      </c>
      <c r="H11723" t="s">
        <v>15799</v>
      </c>
      <c r="I11723" t="s">
        <v>31393</v>
      </c>
      <c r="J11723" t="s">
        <v>38666</v>
      </c>
      <c r="K11723" t="s">
        <v>40675</v>
      </c>
      <c r="M11723" t="s">
        <v>44383</v>
      </c>
      <c r="N11723" t="s">
        <v>44905</v>
      </c>
      <c r="O11723" t="s">
        <v>44906</v>
      </c>
      <c r="P11723">
        <v>0</v>
      </c>
      <c r="Q11723">
        <v>6</v>
      </c>
      <c r="R11723" t="s">
        <v>44917</v>
      </c>
      <c r="S11723" t="s">
        <v>45386</v>
      </c>
      <c r="T11723" t="s">
        <v>46636</v>
      </c>
      <c r="U11723" t="s">
        <v>56294</v>
      </c>
      <c r="V11723" t="s">
        <v>56294</v>
      </c>
      <c r="W11723" t="s">
        <v>44383</v>
      </c>
      <c r="X11723" t="s">
        <v>44918</v>
      </c>
    </row>
    <row r="11724" spans="1:24">
      <c r="A11724">
        <f>HYPERLINK("https://www.philgeps.gov.ph/GEPSNONPILOT/Tender/SplashBidNoticeAbstractUI.aspx?menuIndex=3&amp;refID=7059411&amp;Result=3","7059411")</f>
        <v>0</v>
      </c>
      <c r="B11724" t="s">
        <v>1152</v>
      </c>
      <c r="C11724" t="s">
        <v>14712</v>
      </c>
      <c r="D11724" t="s">
        <v>18138</v>
      </c>
      <c r="E11724" t="s">
        <v>28364</v>
      </c>
      <c r="F11724" t="s">
        <v>31362</v>
      </c>
      <c r="G11724" t="s">
        <v>31369</v>
      </c>
      <c r="H11724" t="s">
        <v>15799</v>
      </c>
      <c r="I11724" t="s">
        <v>3815</v>
      </c>
      <c r="J11724" t="s">
        <v>38667</v>
      </c>
      <c r="K11724" t="s">
        <v>40680</v>
      </c>
      <c r="M11724" t="s">
        <v>42161</v>
      </c>
      <c r="N11724" t="s">
        <v>44905</v>
      </c>
      <c r="O11724" t="s">
        <v>44906</v>
      </c>
      <c r="P11724">
        <v>0</v>
      </c>
      <c r="Q11724">
        <v>3</v>
      </c>
      <c r="R11724" t="s">
        <v>44917</v>
      </c>
      <c r="S11724" t="s">
        <v>45386</v>
      </c>
      <c r="T11724" t="s">
        <v>46462</v>
      </c>
      <c r="U11724" t="s">
        <v>56295</v>
      </c>
      <c r="W11724" t="s">
        <v>42161</v>
      </c>
      <c r="X11724" t="s">
        <v>44918</v>
      </c>
    </row>
    <row r="11725" spans="1:24">
      <c r="A11725">
        <f>HYPERLINK("https://www.philgeps.gov.ph/GEPSNONPILOT/Tender/SplashBidNoticeAbstractUI.aspx?menuIndex=3&amp;refID=7059245&amp;Result=3","7059245")</f>
        <v>0</v>
      </c>
      <c r="B11725" t="s">
        <v>3128</v>
      </c>
      <c r="C11725" t="s">
        <v>14713</v>
      </c>
      <c r="D11725" t="s">
        <v>18115</v>
      </c>
      <c r="E11725" t="s">
        <v>23036</v>
      </c>
      <c r="F11725" t="s">
        <v>31365</v>
      </c>
      <c r="G11725" t="s">
        <v>31369</v>
      </c>
      <c r="H11725" t="s">
        <v>15799</v>
      </c>
      <c r="I11725" t="s">
        <v>3815</v>
      </c>
      <c r="J11725" t="s">
        <v>38668</v>
      </c>
      <c r="K11725" t="s">
        <v>40666</v>
      </c>
      <c r="M11725" t="s">
        <v>44384</v>
      </c>
      <c r="N11725" t="s">
        <v>44905</v>
      </c>
      <c r="O11725" t="s">
        <v>44906</v>
      </c>
      <c r="P11725">
        <v>0</v>
      </c>
      <c r="Q11725">
        <v>3</v>
      </c>
      <c r="R11725" t="s">
        <v>44917</v>
      </c>
      <c r="S11725" t="s">
        <v>45386</v>
      </c>
      <c r="T11725" t="s">
        <v>46403</v>
      </c>
      <c r="U11725" t="s">
        <v>56296</v>
      </c>
      <c r="V11725" t="s">
        <v>59162</v>
      </c>
      <c r="W11725" t="s">
        <v>44384</v>
      </c>
      <c r="X11725" t="s">
        <v>44918</v>
      </c>
    </row>
    <row r="11726" spans="1:24">
      <c r="A11726">
        <f>HYPERLINK("https://www.philgeps.gov.ph/GEPSNONPILOT/Tender/SplashBidNoticeAbstractUI.aspx?menuIndex=3&amp;refID=7059396&amp;Result=3","7059396")</f>
        <v>0</v>
      </c>
      <c r="B11726" t="s">
        <v>1361</v>
      </c>
      <c r="C11726" t="s">
        <v>14714</v>
      </c>
      <c r="D11726" t="s">
        <v>18140</v>
      </c>
      <c r="E11726" t="s">
        <v>28365</v>
      </c>
      <c r="F11726" t="s">
        <v>31362</v>
      </c>
      <c r="G11726" t="s">
        <v>31369</v>
      </c>
      <c r="H11726" t="s">
        <v>31378</v>
      </c>
      <c r="I11726" t="s">
        <v>31386</v>
      </c>
      <c r="J11726" t="s">
        <v>38669</v>
      </c>
      <c r="K11726" t="s">
        <v>40895</v>
      </c>
      <c r="M11726" t="s">
        <v>42382</v>
      </c>
      <c r="N11726" t="s">
        <v>44905</v>
      </c>
      <c r="O11726" t="s">
        <v>44906</v>
      </c>
      <c r="P11726">
        <v>0</v>
      </c>
      <c r="Q11726">
        <v>1</v>
      </c>
      <c r="R11726" t="s">
        <v>44917</v>
      </c>
      <c r="S11726" t="s">
        <v>45386</v>
      </c>
      <c r="T11726" t="s">
        <v>46481</v>
      </c>
      <c r="U11726" t="s">
        <v>53874</v>
      </c>
      <c r="W11726" t="s">
        <v>42382</v>
      </c>
      <c r="X11726" t="s">
        <v>44918</v>
      </c>
    </row>
    <row r="11727" spans="1:24">
      <c r="A11727">
        <f>HYPERLINK("https://www.philgeps.gov.ph/GEPSNONPILOT/Tender/SplashBidNoticeAbstractUI.aspx?menuIndex=3&amp;refID=7059400&amp;Result=3","7059400")</f>
        <v>0</v>
      </c>
      <c r="B11727" t="s">
        <v>2231</v>
      </c>
      <c r="C11727" t="s">
        <v>14715</v>
      </c>
      <c r="D11727" t="s">
        <v>18117</v>
      </c>
      <c r="E11727" t="s">
        <v>24865</v>
      </c>
      <c r="F11727" t="s">
        <v>31362</v>
      </c>
      <c r="G11727" t="s">
        <v>31369</v>
      </c>
      <c r="H11727" t="s">
        <v>15799</v>
      </c>
      <c r="I11727" t="s">
        <v>31463</v>
      </c>
      <c r="J11727" t="s">
        <v>32296</v>
      </c>
      <c r="K11727" t="s">
        <v>40675</v>
      </c>
      <c r="M11727" t="s">
        <v>43367</v>
      </c>
      <c r="N11727" t="s">
        <v>44905</v>
      </c>
      <c r="O11727" t="s">
        <v>44906</v>
      </c>
      <c r="P11727">
        <v>0</v>
      </c>
      <c r="Q11727">
        <v>2</v>
      </c>
      <c r="R11727" t="s">
        <v>44917</v>
      </c>
      <c r="S11727" t="s">
        <v>45386</v>
      </c>
      <c r="T11727" t="s">
        <v>46413</v>
      </c>
      <c r="U11727" t="s">
        <v>56297</v>
      </c>
      <c r="W11727" t="s">
        <v>43367</v>
      </c>
      <c r="X11727" t="s">
        <v>44918</v>
      </c>
    </row>
    <row r="11728" spans="1:24">
      <c r="A11728">
        <f>HYPERLINK("https://www.philgeps.gov.ph/GEPSNONPILOT/Tender/SplashBidNoticeAbstractUI.aspx?menuIndex=3&amp;refID=7059379&amp;Result=3","7059379")</f>
        <v>0</v>
      </c>
      <c r="B11728" t="s">
        <v>2396</v>
      </c>
      <c r="C11728" t="s">
        <v>14716</v>
      </c>
      <c r="D11728" t="s">
        <v>18143</v>
      </c>
      <c r="E11728" t="s">
        <v>23856</v>
      </c>
      <c r="F11728" t="s">
        <v>31362</v>
      </c>
      <c r="G11728" t="s">
        <v>31369</v>
      </c>
      <c r="H11728" t="s">
        <v>15799</v>
      </c>
      <c r="I11728" t="s">
        <v>3815</v>
      </c>
      <c r="J11728" t="s">
        <v>38670</v>
      </c>
      <c r="K11728" t="s">
        <v>40795</v>
      </c>
      <c r="M11728" t="s">
        <v>43546</v>
      </c>
      <c r="N11728" t="s">
        <v>44905</v>
      </c>
      <c r="O11728" t="s">
        <v>44906</v>
      </c>
      <c r="P11728">
        <v>0</v>
      </c>
      <c r="Q11728">
        <v>3</v>
      </c>
      <c r="R11728" t="s">
        <v>44917</v>
      </c>
      <c r="S11728" t="s">
        <v>45386</v>
      </c>
      <c r="T11728" t="s">
        <v>46426</v>
      </c>
      <c r="U11728" t="s">
        <v>56298</v>
      </c>
      <c r="W11728" t="s">
        <v>60932</v>
      </c>
      <c r="X11728" t="s">
        <v>44918</v>
      </c>
    </row>
    <row r="11729" spans="1:24">
      <c r="A11729">
        <f>HYPERLINK("https://www.philgeps.gov.ph/GEPSNONPILOT/Tender/SplashBidNoticeAbstractUI.aspx?menuIndex=3&amp;refID=7059375&amp;Result=3","7059375")</f>
        <v>0</v>
      </c>
      <c r="B11729" t="s">
        <v>1032</v>
      </c>
      <c r="C11729" t="s">
        <v>6124</v>
      </c>
      <c r="D11729" t="s">
        <v>18103</v>
      </c>
      <c r="E11729" t="s">
        <v>20667</v>
      </c>
      <c r="F11729" t="s">
        <v>31366</v>
      </c>
      <c r="G11729" t="s">
        <v>31369</v>
      </c>
      <c r="H11729" t="s">
        <v>15799</v>
      </c>
      <c r="I11729" t="s">
        <v>31400</v>
      </c>
      <c r="J11729" t="s">
        <v>32244</v>
      </c>
      <c r="K11729" t="s">
        <v>40665</v>
      </c>
      <c r="M11729" t="s">
        <v>42031</v>
      </c>
      <c r="N11729" t="s">
        <v>44905</v>
      </c>
      <c r="O11729" t="s">
        <v>44906</v>
      </c>
      <c r="P11729">
        <v>0</v>
      </c>
      <c r="Q11729">
        <v>4</v>
      </c>
      <c r="R11729" t="s">
        <v>44917</v>
      </c>
      <c r="S11729" t="s">
        <v>45386</v>
      </c>
      <c r="T11729" t="s">
        <v>46391</v>
      </c>
      <c r="U11729" t="s">
        <v>49159</v>
      </c>
      <c r="W11729" t="s">
        <v>42031</v>
      </c>
      <c r="X11729" t="s">
        <v>44918</v>
      </c>
    </row>
    <row r="11730" spans="1:24">
      <c r="A11730">
        <f>HYPERLINK("https://www.philgeps.gov.ph/GEPSNONPILOT/Tender/SplashBidNoticeAbstractUI.aspx?menuIndex=3&amp;refID=7059355&amp;Result=3","7059355")</f>
        <v>0</v>
      </c>
      <c r="B11730" t="s">
        <v>2396</v>
      </c>
      <c r="C11730" t="s">
        <v>14717</v>
      </c>
      <c r="D11730" t="s">
        <v>18143</v>
      </c>
      <c r="E11730" t="s">
        <v>25799</v>
      </c>
      <c r="F11730" t="s">
        <v>31362</v>
      </c>
      <c r="G11730" t="s">
        <v>31369</v>
      </c>
      <c r="H11730" t="s">
        <v>31378</v>
      </c>
      <c r="I11730" t="s">
        <v>31386</v>
      </c>
      <c r="J11730" t="s">
        <v>38671</v>
      </c>
      <c r="K11730" t="s">
        <v>40841</v>
      </c>
      <c r="M11730" t="s">
        <v>43546</v>
      </c>
      <c r="N11730" t="s">
        <v>44905</v>
      </c>
      <c r="O11730" t="s">
        <v>44906</v>
      </c>
      <c r="P11730">
        <v>0</v>
      </c>
      <c r="Q11730">
        <v>1</v>
      </c>
      <c r="R11730" t="s">
        <v>44917</v>
      </c>
      <c r="S11730" t="s">
        <v>45386</v>
      </c>
      <c r="T11730" t="s">
        <v>46663</v>
      </c>
      <c r="U11730" t="s">
        <v>56299</v>
      </c>
      <c r="W11730" t="s">
        <v>60932</v>
      </c>
      <c r="X11730" t="s">
        <v>44918</v>
      </c>
    </row>
    <row r="11731" spans="1:24">
      <c r="A11731">
        <f>HYPERLINK("https://www.philgeps.gov.ph/GEPSNONPILOT/Tender/SplashBidNoticeAbstractUI.aspx?menuIndex=3&amp;refID=7059354&amp;Result=3","7059354")</f>
        <v>0</v>
      </c>
      <c r="B11731" t="s">
        <v>255</v>
      </c>
      <c r="C11731" t="s">
        <v>14718</v>
      </c>
      <c r="E11731" t="s">
        <v>28366</v>
      </c>
      <c r="F11731" t="s">
        <v>31362</v>
      </c>
      <c r="G11731" t="s">
        <v>31369</v>
      </c>
      <c r="H11731" t="s">
        <v>15799</v>
      </c>
      <c r="I11731" t="s">
        <v>31387</v>
      </c>
      <c r="J11731" t="s">
        <v>38672</v>
      </c>
      <c r="K11731" t="s">
        <v>40662</v>
      </c>
      <c r="M11731" t="s">
        <v>44385</v>
      </c>
      <c r="N11731" t="s">
        <v>44905</v>
      </c>
      <c r="O11731" t="s">
        <v>44906</v>
      </c>
      <c r="P11731">
        <v>0</v>
      </c>
      <c r="Q11731">
        <v>2</v>
      </c>
      <c r="R11731" t="s">
        <v>44917</v>
      </c>
      <c r="S11731" t="s">
        <v>45386</v>
      </c>
      <c r="T11731" t="s">
        <v>46410</v>
      </c>
      <c r="U11731" t="s">
        <v>56300</v>
      </c>
      <c r="W11731" t="s">
        <v>44385</v>
      </c>
      <c r="X11731" t="s">
        <v>44918</v>
      </c>
    </row>
    <row r="11732" spans="1:24">
      <c r="A11732">
        <f>HYPERLINK("https://www.philgeps.gov.ph/GEPSNONPILOT/Tender/SplashBidNoticeAbstractUI.aspx?menuIndex=3&amp;refID=7059349&amp;Result=3","7059349")</f>
        <v>0</v>
      </c>
      <c r="B11732" t="s">
        <v>385</v>
      </c>
      <c r="C11732" t="s">
        <v>14719</v>
      </c>
      <c r="D11732" t="s">
        <v>18108</v>
      </c>
      <c r="E11732" t="s">
        <v>28367</v>
      </c>
      <c r="F11732" t="s">
        <v>31362</v>
      </c>
      <c r="G11732" t="s">
        <v>31369</v>
      </c>
      <c r="H11732" t="s">
        <v>31378</v>
      </c>
      <c r="I11732" t="s">
        <v>31386</v>
      </c>
      <c r="J11732" t="s">
        <v>38673</v>
      </c>
      <c r="K11732" t="s">
        <v>40679</v>
      </c>
      <c r="M11732" t="s">
        <v>41333</v>
      </c>
      <c r="N11732" t="s">
        <v>44905</v>
      </c>
      <c r="O11732" t="s">
        <v>44906</v>
      </c>
      <c r="P11732">
        <v>0</v>
      </c>
      <c r="Q11732">
        <v>6</v>
      </c>
      <c r="R11732" t="s">
        <v>44917</v>
      </c>
      <c r="S11732" t="s">
        <v>45386</v>
      </c>
      <c r="T11732" t="s">
        <v>46470</v>
      </c>
      <c r="U11732" t="s">
        <v>56278</v>
      </c>
      <c r="W11732" t="s">
        <v>60851</v>
      </c>
      <c r="X11732" t="s">
        <v>44918</v>
      </c>
    </row>
    <row r="11733" spans="1:24">
      <c r="A11733">
        <f>HYPERLINK("https://www.philgeps.gov.ph/GEPSNONPILOT/Tender/SplashBidNoticeAbstractUI.aspx?menuIndex=3&amp;refID=7059343&amp;Result=3","7059343")</f>
        <v>0</v>
      </c>
      <c r="B11733" t="s">
        <v>2879</v>
      </c>
      <c r="C11733" t="s">
        <v>14720</v>
      </c>
      <c r="D11733" t="s">
        <v>18169</v>
      </c>
      <c r="E11733" t="s">
        <v>28368</v>
      </c>
      <c r="F11733" t="s">
        <v>31362</v>
      </c>
      <c r="G11733" t="s">
        <v>31369</v>
      </c>
      <c r="H11733" t="s">
        <v>15799</v>
      </c>
      <c r="I11733" t="s">
        <v>6373</v>
      </c>
      <c r="J11733" t="s">
        <v>38674</v>
      </c>
      <c r="K11733" t="s">
        <v>40665</v>
      </c>
      <c r="M11733" t="s">
        <v>44090</v>
      </c>
      <c r="N11733" t="s">
        <v>44905</v>
      </c>
      <c r="O11733" t="s">
        <v>44906</v>
      </c>
      <c r="P11733">
        <v>0</v>
      </c>
      <c r="Q11733">
        <v>10</v>
      </c>
      <c r="R11733" t="s">
        <v>44917</v>
      </c>
      <c r="S11733" t="s">
        <v>45386</v>
      </c>
      <c r="T11733" t="s">
        <v>46524</v>
      </c>
      <c r="U11733" t="s">
        <v>56301</v>
      </c>
      <c r="W11733" t="s">
        <v>60947</v>
      </c>
      <c r="X11733" t="s">
        <v>44918</v>
      </c>
    </row>
    <row r="11734" spans="1:24">
      <c r="A11734">
        <f>HYPERLINK("https://www.philgeps.gov.ph/GEPSNONPILOT/Tender/SplashBidNoticeAbstractUI.aspx?menuIndex=3&amp;refID=7059426&amp;Result=3","7059426")</f>
        <v>0</v>
      </c>
      <c r="B11734" t="s">
        <v>1373</v>
      </c>
      <c r="C11734" t="s">
        <v>14721</v>
      </c>
      <c r="D11734" t="s">
        <v>18109</v>
      </c>
      <c r="E11734" t="s">
        <v>28369</v>
      </c>
      <c r="F11734" t="s">
        <v>31362</v>
      </c>
      <c r="G11734" t="s">
        <v>31370</v>
      </c>
      <c r="H11734" t="s">
        <v>15799</v>
      </c>
      <c r="I11734" t="s">
        <v>7719</v>
      </c>
      <c r="J11734" t="s">
        <v>38675</v>
      </c>
      <c r="K11734" t="s">
        <v>40675</v>
      </c>
      <c r="M11734" t="s">
        <v>42396</v>
      </c>
      <c r="N11734" t="s">
        <v>44905</v>
      </c>
      <c r="O11734" t="s">
        <v>44906</v>
      </c>
      <c r="Q11734">
        <v>26</v>
      </c>
      <c r="R11734" t="s">
        <v>44917</v>
      </c>
      <c r="S11734" t="s">
        <v>45401</v>
      </c>
      <c r="T11734" t="s">
        <v>46454</v>
      </c>
      <c r="U11734" t="s">
        <v>55368</v>
      </c>
      <c r="W11734" t="s">
        <v>42396</v>
      </c>
      <c r="X11734" t="s">
        <v>44918</v>
      </c>
    </row>
    <row r="11735" spans="1:24">
      <c r="A11735">
        <f>HYPERLINK("https://www.philgeps.gov.ph/GEPSNONPILOT/Tender/SplashBidNoticeAbstractUI.aspx?menuIndex=3&amp;refID=7059341&amp;Result=3","7059341")</f>
        <v>0</v>
      </c>
      <c r="B11735" t="s">
        <v>1655</v>
      </c>
      <c r="C11735" t="s">
        <v>14722</v>
      </c>
      <c r="D11735" t="s">
        <v>18136</v>
      </c>
      <c r="E11735" t="s">
        <v>28370</v>
      </c>
      <c r="F11735" t="s">
        <v>31362</v>
      </c>
      <c r="G11735" t="s">
        <v>31369</v>
      </c>
      <c r="H11735" t="s">
        <v>31378</v>
      </c>
      <c r="I11735" t="s">
        <v>31386</v>
      </c>
      <c r="J11735" t="s">
        <v>33653</v>
      </c>
      <c r="K11735" t="s">
        <v>40686</v>
      </c>
      <c r="M11735" t="s">
        <v>43362</v>
      </c>
      <c r="N11735" t="s">
        <v>44905</v>
      </c>
      <c r="O11735" t="s">
        <v>44906</v>
      </c>
      <c r="P11735">
        <v>0</v>
      </c>
      <c r="Q11735">
        <v>1</v>
      </c>
      <c r="R11735" t="s">
        <v>44917</v>
      </c>
      <c r="S11735" t="s">
        <v>45386</v>
      </c>
      <c r="T11735" t="s">
        <v>46524</v>
      </c>
      <c r="U11735" t="s">
        <v>56302</v>
      </c>
      <c r="W11735" t="s">
        <v>43362</v>
      </c>
      <c r="X11735" t="s">
        <v>44918</v>
      </c>
    </row>
    <row r="11736" spans="1:24">
      <c r="A11736">
        <f>HYPERLINK("https://www.philgeps.gov.ph/GEPSNONPILOT/Tender/SplashBidNoticeAbstractUI.aspx?menuIndex=3&amp;refID=7059338&amp;Result=3","7059338")</f>
        <v>0</v>
      </c>
      <c r="B11736" t="s">
        <v>2202</v>
      </c>
      <c r="C11736" t="s">
        <v>14723</v>
      </c>
      <c r="D11736" t="s">
        <v>18105</v>
      </c>
      <c r="E11736" t="s">
        <v>28371</v>
      </c>
      <c r="F11736" t="s">
        <v>31362</v>
      </c>
      <c r="G11736" t="s">
        <v>31369</v>
      </c>
      <c r="H11736" t="s">
        <v>15799</v>
      </c>
      <c r="I11736" t="s">
        <v>4942</v>
      </c>
      <c r="J11736" t="s">
        <v>32751</v>
      </c>
      <c r="K11736" t="s">
        <v>40682</v>
      </c>
      <c r="M11736" t="s">
        <v>43333</v>
      </c>
      <c r="N11736" t="s">
        <v>44905</v>
      </c>
      <c r="O11736" t="s">
        <v>44906</v>
      </c>
      <c r="P11736">
        <v>0</v>
      </c>
      <c r="Q11736">
        <v>0</v>
      </c>
      <c r="R11736" t="s">
        <v>44917</v>
      </c>
      <c r="S11736" t="s">
        <v>45386</v>
      </c>
      <c r="T11736" t="s">
        <v>46560</v>
      </c>
      <c r="U11736" t="s">
        <v>56303</v>
      </c>
      <c r="W11736" t="s">
        <v>43333</v>
      </c>
      <c r="X11736" t="s">
        <v>44918</v>
      </c>
    </row>
    <row r="11737" spans="1:24">
      <c r="A11737">
        <f>HYPERLINK("https://www.philgeps.gov.ph/GEPSNONPILOT/Tender/SplashBidNoticeAbstractUI.aspx?menuIndex=3&amp;refID=7059403&amp;Result=3","7059403")</f>
        <v>0</v>
      </c>
      <c r="B11737" t="s">
        <v>2396</v>
      </c>
      <c r="C11737" t="s">
        <v>14724</v>
      </c>
      <c r="D11737" t="s">
        <v>18143</v>
      </c>
      <c r="E11737" t="s">
        <v>28372</v>
      </c>
      <c r="F11737" t="s">
        <v>31362</v>
      </c>
      <c r="G11737" t="s">
        <v>31369</v>
      </c>
      <c r="H11737" t="s">
        <v>15799</v>
      </c>
      <c r="I11737" t="s">
        <v>3815</v>
      </c>
      <c r="J11737" t="s">
        <v>38676</v>
      </c>
      <c r="K11737" t="s">
        <v>40711</v>
      </c>
      <c r="M11737" t="s">
        <v>43546</v>
      </c>
      <c r="N11737" t="s">
        <v>44905</v>
      </c>
      <c r="O11737" t="s">
        <v>44906</v>
      </c>
      <c r="P11737">
        <v>0</v>
      </c>
      <c r="Q11737">
        <v>2</v>
      </c>
      <c r="R11737" t="s">
        <v>44917</v>
      </c>
      <c r="S11737" t="s">
        <v>45386</v>
      </c>
      <c r="T11737" t="s">
        <v>46444</v>
      </c>
      <c r="U11737" t="s">
        <v>56304</v>
      </c>
      <c r="W11737" t="s">
        <v>60932</v>
      </c>
      <c r="X11737" t="s">
        <v>44918</v>
      </c>
    </row>
    <row r="11738" spans="1:24">
      <c r="A11738">
        <f>HYPERLINK("https://www.philgeps.gov.ph/GEPSNONPILOT/Tender/SplashBidNoticeAbstractUI.aspx?menuIndex=3&amp;refID=7059393&amp;Result=3","7059393")</f>
        <v>0</v>
      </c>
      <c r="B11738" t="s">
        <v>2396</v>
      </c>
      <c r="C11738" t="s">
        <v>14725</v>
      </c>
      <c r="D11738" t="s">
        <v>18143</v>
      </c>
      <c r="E11738" t="s">
        <v>19257</v>
      </c>
      <c r="F11738" t="s">
        <v>31362</v>
      </c>
      <c r="G11738" t="s">
        <v>31369</v>
      </c>
      <c r="H11738" t="s">
        <v>15799</v>
      </c>
      <c r="I11738" t="s">
        <v>3815</v>
      </c>
      <c r="J11738" t="s">
        <v>38677</v>
      </c>
      <c r="K11738" t="s">
        <v>40825</v>
      </c>
      <c r="M11738" t="s">
        <v>43546</v>
      </c>
      <c r="N11738" t="s">
        <v>44905</v>
      </c>
      <c r="O11738" t="s">
        <v>44906</v>
      </c>
      <c r="P11738">
        <v>0</v>
      </c>
      <c r="Q11738">
        <v>2</v>
      </c>
      <c r="R11738" t="s">
        <v>44917</v>
      </c>
      <c r="S11738" t="s">
        <v>45386</v>
      </c>
      <c r="T11738" t="s">
        <v>46470</v>
      </c>
      <c r="U11738" t="s">
        <v>56305</v>
      </c>
      <c r="W11738" t="s">
        <v>60932</v>
      </c>
      <c r="X11738" t="s">
        <v>44918</v>
      </c>
    </row>
    <row r="11739" spans="1:24">
      <c r="A11739">
        <f>HYPERLINK("https://www.philgeps.gov.ph/GEPSNONPILOT/Tender/SplashBidNoticeAbstractUI.aspx?menuIndex=3&amp;refID=7059319&amp;Result=3","7059319")</f>
        <v>0</v>
      </c>
      <c r="B11739" t="s">
        <v>61</v>
      </c>
      <c r="C11739" t="s">
        <v>14726</v>
      </c>
      <c r="D11739" t="s">
        <v>18124</v>
      </c>
      <c r="E11739" t="s">
        <v>28373</v>
      </c>
      <c r="F11739" t="s">
        <v>31362</v>
      </c>
      <c r="G11739" t="s">
        <v>31368</v>
      </c>
      <c r="H11739" t="s">
        <v>15799</v>
      </c>
      <c r="I11739" t="s">
        <v>31385</v>
      </c>
      <c r="J11739" t="s">
        <v>31576</v>
      </c>
      <c r="K11739" t="s">
        <v>40679</v>
      </c>
      <c r="M11739" t="s">
        <v>40996</v>
      </c>
      <c r="N11739" t="s">
        <v>44905</v>
      </c>
      <c r="O11739" t="s">
        <v>44906</v>
      </c>
      <c r="P11739">
        <v>0</v>
      </c>
      <c r="Q11739">
        <v>0</v>
      </c>
      <c r="R11739" t="s">
        <v>44917</v>
      </c>
      <c r="S11739" t="s">
        <v>45386</v>
      </c>
      <c r="T11739" t="s">
        <v>46441</v>
      </c>
      <c r="U11739" t="s">
        <v>46986</v>
      </c>
      <c r="W11739" t="s">
        <v>40996</v>
      </c>
      <c r="X11739" t="s">
        <v>44918</v>
      </c>
    </row>
    <row r="11740" spans="1:24">
      <c r="A11740">
        <f>HYPERLINK("https://www.philgeps.gov.ph/GEPSNONPILOT/Tender/SplashBidNoticeAbstractUI.aspx?menuIndex=3&amp;refID=7059324&amp;Result=3","7059324")</f>
        <v>0</v>
      </c>
      <c r="B11740" t="s">
        <v>1033</v>
      </c>
      <c r="C11740" t="s">
        <v>14727</v>
      </c>
      <c r="D11740" t="s">
        <v>18162</v>
      </c>
      <c r="E11740" t="s">
        <v>28374</v>
      </c>
      <c r="F11740" t="s">
        <v>31362</v>
      </c>
      <c r="G11740" t="s">
        <v>31369</v>
      </c>
      <c r="H11740" t="s">
        <v>15799</v>
      </c>
      <c r="I11740" t="s">
        <v>31409</v>
      </c>
      <c r="J11740" t="s">
        <v>31641</v>
      </c>
      <c r="K11740" t="s">
        <v>40670</v>
      </c>
      <c r="M11740" t="s">
        <v>42032</v>
      </c>
      <c r="N11740" t="s">
        <v>44905</v>
      </c>
      <c r="O11740" t="s">
        <v>44906</v>
      </c>
      <c r="P11740">
        <v>0</v>
      </c>
      <c r="Q11740">
        <v>3</v>
      </c>
      <c r="R11740" t="s">
        <v>44917</v>
      </c>
      <c r="S11740" t="s">
        <v>45386</v>
      </c>
      <c r="T11740" t="s">
        <v>46466</v>
      </c>
      <c r="U11740" t="s">
        <v>56306</v>
      </c>
      <c r="W11740" t="s">
        <v>42032</v>
      </c>
      <c r="X11740" t="s">
        <v>44918</v>
      </c>
    </row>
    <row r="11741" spans="1:24">
      <c r="A11741">
        <f>HYPERLINK("https://www.philgeps.gov.ph/GEPSNONPILOT/Tender/SplashBidNoticeAbstractUI.aspx?menuIndex=3&amp;refID=7059344&amp;Result=3","7059344")</f>
        <v>0</v>
      </c>
      <c r="B11741" t="s">
        <v>2194</v>
      </c>
      <c r="C11741" t="s">
        <v>14728</v>
      </c>
      <c r="D11741" t="s">
        <v>18154</v>
      </c>
      <c r="E11741" t="s">
        <v>28375</v>
      </c>
      <c r="F11741" t="s">
        <v>31362</v>
      </c>
      <c r="G11741" t="s">
        <v>31369</v>
      </c>
      <c r="H11741" t="s">
        <v>15799</v>
      </c>
      <c r="I11741" t="s">
        <v>31409</v>
      </c>
      <c r="J11741" t="s">
        <v>32296</v>
      </c>
      <c r="K11741" t="s">
        <v>40661</v>
      </c>
      <c r="M11741" t="s">
        <v>43325</v>
      </c>
      <c r="N11741" t="s">
        <v>44905</v>
      </c>
      <c r="O11741" t="s">
        <v>44906</v>
      </c>
      <c r="P11741">
        <v>0</v>
      </c>
      <c r="Q11741">
        <v>6</v>
      </c>
      <c r="R11741" t="s">
        <v>44917</v>
      </c>
      <c r="S11741" t="s">
        <v>45386</v>
      </c>
      <c r="T11741" t="s">
        <v>46525</v>
      </c>
      <c r="U11741" t="s">
        <v>56307</v>
      </c>
      <c r="W11741" t="s">
        <v>43325</v>
      </c>
      <c r="X11741" t="s">
        <v>44918</v>
      </c>
    </row>
    <row r="11742" spans="1:24">
      <c r="A11742">
        <f>HYPERLINK("https://www.philgeps.gov.ph/GEPSNONPILOT/Tender/SplashBidNoticeAbstractUI.aspx?menuIndex=3&amp;refID=7059436&amp;Result=3","7059436")</f>
        <v>0</v>
      </c>
      <c r="B11742" t="s">
        <v>2194</v>
      </c>
      <c r="C11742" t="s">
        <v>14729</v>
      </c>
      <c r="D11742" t="s">
        <v>18154</v>
      </c>
      <c r="E11742" t="s">
        <v>28376</v>
      </c>
      <c r="F11742" t="s">
        <v>31362</v>
      </c>
      <c r="G11742" t="s">
        <v>31369</v>
      </c>
      <c r="H11742" t="s">
        <v>15799</v>
      </c>
      <c r="I11742" t="s">
        <v>3815</v>
      </c>
      <c r="J11742" t="s">
        <v>38678</v>
      </c>
      <c r="K11742" t="s">
        <v>40661</v>
      </c>
      <c r="M11742" t="s">
        <v>43325</v>
      </c>
      <c r="N11742" t="s">
        <v>44905</v>
      </c>
      <c r="O11742" t="s">
        <v>44906</v>
      </c>
      <c r="P11742">
        <v>0</v>
      </c>
      <c r="Q11742">
        <v>0</v>
      </c>
      <c r="R11742" t="s">
        <v>44917</v>
      </c>
      <c r="S11742" t="s">
        <v>45386</v>
      </c>
      <c r="T11742" t="s">
        <v>46525</v>
      </c>
      <c r="U11742" t="s">
        <v>56308</v>
      </c>
      <c r="W11742" t="s">
        <v>43325</v>
      </c>
      <c r="X11742" t="s">
        <v>44918</v>
      </c>
    </row>
    <row r="11743" spans="1:24">
      <c r="A11743">
        <f>HYPERLINK("https://www.philgeps.gov.ph/GEPSNONPILOT/Tender/SplashBidNoticeAbstractUI.aspx?menuIndex=3&amp;refID=7059540&amp;Result=3","7059540")</f>
        <v>0</v>
      </c>
      <c r="B11743" t="s">
        <v>487</v>
      </c>
      <c r="C11743" t="s">
        <v>14730</v>
      </c>
      <c r="E11743" t="s">
        <v>28377</v>
      </c>
      <c r="F11743" t="s">
        <v>31362</v>
      </c>
      <c r="G11743" t="s">
        <v>31369</v>
      </c>
      <c r="H11743" t="s">
        <v>31378</v>
      </c>
      <c r="I11743" t="s">
        <v>31386</v>
      </c>
      <c r="J11743" t="s">
        <v>31637</v>
      </c>
      <c r="K11743" t="s">
        <v>40679</v>
      </c>
      <c r="M11743" t="s">
        <v>41442</v>
      </c>
      <c r="N11743" t="s">
        <v>44905</v>
      </c>
      <c r="O11743" t="s">
        <v>44906</v>
      </c>
      <c r="P11743">
        <v>0</v>
      </c>
      <c r="Q11743">
        <v>0</v>
      </c>
      <c r="R11743" t="s">
        <v>44917</v>
      </c>
      <c r="S11743" t="s">
        <v>45386</v>
      </c>
      <c r="T11743" t="s">
        <v>46418</v>
      </c>
      <c r="U11743" t="s">
        <v>56309</v>
      </c>
      <c r="W11743" t="s">
        <v>41442</v>
      </c>
      <c r="X11743" t="s">
        <v>44918</v>
      </c>
    </row>
    <row r="11744" spans="1:24">
      <c r="A11744">
        <f>HYPERLINK("https://www.philgeps.gov.ph/GEPSNONPILOT/Tender/SplashBidNoticeAbstractUI.aspx?menuIndex=3&amp;refID=7059491&amp;Result=3","7059491")</f>
        <v>0</v>
      </c>
      <c r="B11744" t="s">
        <v>2879</v>
      </c>
      <c r="C11744" t="s">
        <v>14731</v>
      </c>
      <c r="D11744" t="s">
        <v>18169</v>
      </c>
      <c r="E11744" t="s">
        <v>28378</v>
      </c>
      <c r="F11744" t="s">
        <v>31362</v>
      </c>
      <c r="G11744" t="s">
        <v>31369</v>
      </c>
      <c r="H11744" t="s">
        <v>15799</v>
      </c>
      <c r="I11744" t="s">
        <v>31429</v>
      </c>
      <c r="J11744" t="s">
        <v>31602</v>
      </c>
      <c r="K11744" t="s">
        <v>40682</v>
      </c>
      <c r="M11744" t="s">
        <v>44090</v>
      </c>
      <c r="N11744" t="s">
        <v>44905</v>
      </c>
      <c r="O11744" t="s">
        <v>44906</v>
      </c>
      <c r="P11744">
        <v>0</v>
      </c>
      <c r="Q11744">
        <v>9</v>
      </c>
      <c r="R11744" t="s">
        <v>44917</v>
      </c>
      <c r="S11744" t="s">
        <v>45386</v>
      </c>
      <c r="T11744" t="s">
        <v>46524</v>
      </c>
      <c r="U11744" t="s">
        <v>56310</v>
      </c>
      <c r="W11744" t="s">
        <v>60947</v>
      </c>
      <c r="X11744" t="s">
        <v>44918</v>
      </c>
    </row>
    <row r="11745" spans="1:24">
      <c r="A11745">
        <f>HYPERLINK("https://www.philgeps.gov.ph/GEPSNONPILOT/Tender/SplashBidNoticeAbstractUI.aspx?menuIndex=3&amp;refID=7059470&amp;Result=3","7059470")</f>
        <v>0</v>
      </c>
      <c r="B11745" t="s">
        <v>3112</v>
      </c>
      <c r="C11745" t="s">
        <v>14732</v>
      </c>
      <c r="D11745" t="s">
        <v>18140</v>
      </c>
      <c r="E11745" t="s">
        <v>28379</v>
      </c>
      <c r="F11745" t="s">
        <v>31362</v>
      </c>
      <c r="G11745" t="s">
        <v>31369</v>
      </c>
      <c r="H11745" t="s">
        <v>15799</v>
      </c>
      <c r="I11745" t="s">
        <v>31477</v>
      </c>
      <c r="J11745" t="s">
        <v>38679</v>
      </c>
      <c r="K11745" t="s">
        <v>40670</v>
      </c>
      <c r="M11745" t="s">
        <v>44364</v>
      </c>
      <c r="N11745" t="s">
        <v>44905</v>
      </c>
      <c r="O11745" t="s">
        <v>44906</v>
      </c>
      <c r="P11745">
        <v>0</v>
      </c>
      <c r="Q11745">
        <v>2</v>
      </c>
      <c r="R11745" t="s">
        <v>44917</v>
      </c>
      <c r="S11745" t="s">
        <v>45386</v>
      </c>
      <c r="T11745" t="s">
        <v>46560</v>
      </c>
      <c r="U11745" t="s">
        <v>56311</v>
      </c>
      <c r="V11745" t="s">
        <v>60310</v>
      </c>
      <c r="W11745" t="s">
        <v>44364</v>
      </c>
      <c r="X11745" t="s">
        <v>44918</v>
      </c>
    </row>
    <row r="11746" spans="1:24">
      <c r="A11746">
        <f>HYPERLINK("https://www.philgeps.gov.ph/GEPSNONPILOT/Tender/SplashBidNoticeAbstractUI.aspx?menuIndex=3&amp;refID=7059466&amp;Result=3","7059466")</f>
        <v>0</v>
      </c>
      <c r="B11746" t="s">
        <v>2194</v>
      </c>
      <c r="C11746" t="s">
        <v>14733</v>
      </c>
      <c r="D11746" t="s">
        <v>18154</v>
      </c>
      <c r="E11746" t="s">
        <v>28380</v>
      </c>
      <c r="F11746" t="s">
        <v>31362</v>
      </c>
      <c r="G11746" t="s">
        <v>31369</v>
      </c>
      <c r="H11746" t="s">
        <v>15799</v>
      </c>
      <c r="I11746" t="s">
        <v>31419</v>
      </c>
      <c r="J11746" t="s">
        <v>33492</v>
      </c>
      <c r="K11746" t="s">
        <v>40661</v>
      </c>
      <c r="M11746" t="s">
        <v>43325</v>
      </c>
      <c r="N11746" t="s">
        <v>44905</v>
      </c>
      <c r="O11746" t="s">
        <v>44906</v>
      </c>
      <c r="P11746">
        <v>0</v>
      </c>
      <c r="Q11746">
        <v>1</v>
      </c>
      <c r="R11746" t="s">
        <v>44917</v>
      </c>
      <c r="S11746" t="s">
        <v>45386</v>
      </c>
      <c r="T11746" t="s">
        <v>46525</v>
      </c>
      <c r="U11746" t="s">
        <v>56312</v>
      </c>
      <c r="W11746" t="s">
        <v>43325</v>
      </c>
      <c r="X11746" t="s">
        <v>44918</v>
      </c>
    </row>
    <row r="11747" spans="1:24">
      <c r="A11747">
        <f>HYPERLINK("https://www.philgeps.gov.ph/GEPSNONPILOT/Tender/SplashBidNoticeAbstractUI.aspx?menuIndex=3&amp;refID=7059463&amp;Result=3","7059463")</f>
        <v>0</v>
      </c>
      <c r="B11747" t="s">
        <v>287</v>
      </c>
      <c r="C11747" t="s">
        <v>14734</v>
      </c>
      <c r="D11747" t="s">
        <v>18147</v>
      </c>
      <c r="E11747" t="s">
        <v>28381</v>
      </c>
      <c r="F11747" t="s">
        <v>31362</v>
      </c>
      <c r="G11747" t="s">
        <v>31369</v>
      </c>
      <c r="H11747" t="s">
        <v>15799</v>
      </c>
      <c r="I11747" t="s">
        <v>3815</v>
      </c>
      <c r="J11747" t="s">
        <v>38680</v>
      </c>
      <c r="K11747" t="s">
        <v>40696</v>
      </c>
      <c r="L11747" t="s">
        <v>287</v>
      </c>
      <c r="M11747" t="s">
        <v>41230</v>
      </c>
      <c r="N11747" t="s">
        <v>44905</v>
      </c>
      <c r="O11747" t="s">
        <v>44906</v>
      </c>
      <c r="P11747">
        <v>0</v>
      </c>
      <c r="Q11747">
        <v>1</v>
      </c>
      <c r="R11747" t="s">
        <v>44917</v>
      </c>
      <c r="S11747" t="s">
        <v>45386</v>
      </c>
      <c r="T11747" t="s">
        <v>46503</v>
      </c>
      <c r="U11747" t="s">
        <v>47399</v>
      </c>
      <c r="W11747" t="s">
        <v>41230</v>
      </c>
      <c r="X11747" t="s">
        <v>44918</v>
      </c>
    </row>
    <row r="11748" spans="1:24">
      <c r="A11748">
        <f>HYPERLINK("https://www.philgeps.gov.ph/GEPSNONPILOT/Tender/SplashBidNoticeAbstractUI.aspx?menuIndex=3&amp;refID=7059441&amp;Result=3","7059441")</f>
        <v>0</v>
      </c>
      <c r="B11748" t="s">
        <v>1033</v>
      </c>
      <c r="C11748" t="s">
        <v>14735</v>
      </c>
      <c r="D11748" t="s">
        <v>18162</v>
      </c>
      <c r="E11748" t="s">
        <v>28382</v>
      </c>
      <c r="F11748" t="s">
        <v>31362</v>
      </c>
      <c r="G11748" t="s">
        <v>31369</v>
      </c>
      <c r="H11748" t="s">
        <v>15799</v>
      </c>
      <c r="I11748" t="s">
        <v>31397</v>
      </c>
      <c r="J11748" t="s">
        <v>31530</v>
      </c>
      <c r="K11748" t="s">
        <v>40670</v>
      </c>
      <c r="M11748" t="s">
        <v>42032</v>
      </c>
      <c r="N11748" t="s">
        <v>44905</v>
      </c>
      <c r="O11748" t="s">
        <v>44906</v>
      </c>
      <c r="P11748">
        <v>0</v>
      </c>
      <c r="Q11748">
        <v>0</v>
      </c>
      <c r="R11748" t="s">
        <v>44917</v>
      </c>
      <c r="S11748" t="s">
        <v>45386</v>
      </c>
      <c r="T11748" t="s">
        <v>46509</v>
      </c>
      <c r="U11748" t="s">
        <v>56313</v>
      </c>
      <c r="W11748" t="s">
        <v>42032</v>
      </c>
      <c r="X11748" t="s">
        <v>44918</v>
      </c>
    </row>
    <row r="11749" spans="1:24">
      <c r="A11749">
        <f>HYPERLINK("https://www.philgeps.gov.ph/GEPSNONPILOT/Tender/SplashBidNoticeAbstractUI.aspx?menuIndex=3&amp;refID=7059447&amp;Result=3","7059447")</f>
        <v>0</v>
      </c>
      <c r="B11749" t="s">
        <v>2202</v>
      </c>
      <c r="C11749" t="s">
        <v>14736</v>
      </c>
      <c r="D11749" t="s">
        <v>18105</v>
      </c>
      <c r="E11749" t="s">
        <v>28383</v>
      </c>
      <c r="F11749" t="s">
        <v>31362</v>
      </c>
      <c r="G11749" t="s">
        <v>31369</v>
      </c>
      <c r="H11749" t="s">
        <v>15799</v>
      </c>
      <c r="I11749" t="s">
        <v>4942</v>
      </c>
      <c r="J11749" t="s">
        <v>33255</v>
      </c>
      <c r="K11749" t="s">
        <v>40682</v>
      </c>
      <c r="M11749" t="s">
        <v>43333</v>
      </c>
      <c r="N11749" t="s">
        <v>44905</v>
      </c>
      <c r="O11749" t="s">
        <v>44906</v>
      </c>
      <c r="P11749">
        <v>0</v>
      </c>
      <c r="Q11749">
        <v>0</v>
      </c>
      <c r="R11749" t="s">
        <v>44917</v>
      </c>
      <c r="S11749" t="s">
        <v>45386</v>
      </c>
      <c r="T11749" t="s">
        <v>46560</v>
      </c>
      <c r="U11749" t="s">
        <v>56314</v>
      </c>
      <c r="W11749" t="s">
        <v>43333</v>
      </c>
      <c r="X11749" t="s">
        <v>44918</v>
      </c>
    </row>
    <row r="11750" spans="1:24">
      <c r="A11750">
        <f>HYPERLINK("https://www.philgeps.gov.ph/GEPSNONPILOT/Tender/SplashBidNoticeAbstractUI.aspx?menuIndex=3&amp;refID=7059535&amp;Result=3","7059535")</f>
        <v>0</v>
      </c>
      <c r="B11750" t="s">
        <v>3129</v>
      </c>
      <c r="C11750" t="s">
        <v>14737</v>
      </c>
      <c r="E11750" t="s">
        <v>28384</v>
      </c>
      <c r="F11750" t="s">
        <v>31362</v>
      </c>
      <c r="G11750" t="s">
        <v>31370</v>
      </c>
      <c r="H11750" t="s">
        <v>31379</v>
      </c>
      <c r="I11750" t="s">
        <v>31436</v>
      </c>
      <c r="J11750" t="s">
        <v>31983</v>
      </c>
      <c r="K11750" t="s">
        <v>40670</v>
      </c>
      <c r="M11750" t="s">
        <v>44386</v>
      </c>
      <c r="N11750" t="s">
        <v>44905</v>
      </c>
      <c r="O11750" t="s">
        <v>44906</v>
      </c>
      <c r="P11750">
        <v>0</v>
      </c>
      <c r="Q11750">
        <v>0</v>
      </c>
      <c r="R11750" t="s">
        <v>44917</v>
      </c>
      <c r="S11750" t="s">
        <v>45386</v>
      </c>
      <c r="T11750" t="s">
        <v>46400</v>
      </c>
      <c r="U11750" t="s">
        <v>56315</v>
      </c>
      <c r="W11750" t="s">
        <v>44386</v>
      </c>
      <c r="X11750" t="s">
        <v>44918</v>
      </c>
    </row>
    <row r="11751" spans="1:24">
      <c r="A11751">
        <f>HYPERLINK("https://www.philgeps.gov.ph/GEPSNONPILOT/Tender/SplashBidNoticeAbstractUI.aspx?menuIndex=3&amp;refID=7059594&amp;Result=3","7059594")</f>
        <v>0</v>
      </c>
      <c r="B11751" t="s">
        <v>3122</v>
      </c>
      <c r="C11751" t="s">
        <v>14738</v>
      </c>
      <c r="D11751" t="s">
        <v>18113</v>
      </c>
      <c r="E11751" t="s">
        <v>28385</v>
      </c>
      <c r="F11751" t="s">
        <v>31362</v>
      </c>
      <c r="G11751" t="s">
        <v>31369</v>
      </c>
      <c r="H11751" t="s">
        <v>15799</v>
      </c>
      <c r="I11751" t="s">
        <v>13635</v>
      </c>
      <c r="J11751" t="s">
        <v>38681</v>
      </c>
      <c r="K11751" t="s">
        <v>40677</v>
      </c>
      <c r="M11751" t="s">
        <v>44377</v>
      </c>
      <c r="N11751" t="s">
        <v>44905</v>
      </c>
      <c r="O11751" t="s">
        <v>44906</v>
      </c>
      <c r="P11751">
        <v>0</v>
      </c>
      <c r="Q11751">
        <v>4</v>
      </c>
      <c r="R11751" t="s">
        <v>44917</v>
      </c>
      <c r="S11751" t="s">
        <v>45386</v>
      </c>
      <c r="T11751" t="s">
        <v>46560</v>
      </c>
      <c r="U11751" t="s">
        <v>56316</v>
      </c>
      <c r="W11751" t="s">
        <v>44377</v>
      </c>
      <c r="X11751" t="s">
        <v>44918</v>
      </c>
    </row>
    <row r="11752" spans="1:24">
      <c r="A11752">
        <f>HYPERLINK("https://www.philgeps.gov.ph/GEPSNONPILOT/Tender/SplashBidNoticeAbstractUI.aspx?menuIndex=3&amp;refID=7059577&amp;Result=3","7059577")</f>
        <v>0</v>
      </c>
      <c r="B11752" t="s">
        <v>3112</v>
      </c>
      <c r="C11752" t="s">
        <v>14739</v>
      </c>
      <c r="D11752" t="s">
        <v>18140</v>
      </c>
      <c r="E11752" t="s">
        <v>28386</v>
      </c>
      <c r="F11752" t="s">
        <v>31362</v>
      </c>
      <c r="G11752" t="s">
        <v>31369</v>
      </c>
      <c r="H11752" t="s">
        <v>15799</v>
      </c>
      <c r="I11752" t="s">
        <v>31393</v>
      </c>
      <c r="J11752" t="s">
        <v>31577</v>
      </c>
      <c r="K11752" t="s">
        <v>40670</v>
      </c>
      <c r="M11752" t="s">
        <v>44364</v>
      </c>
      <c r="N11752" t="s">
        <v>44905</v>
      </c>
      <c r="O11752" t="s">
        <v>44906</v>
      </c>
      <c r="P11752">
        <v>0</v>
      </c>
      <c r="Q11752">
        <v>3</v>
      </c>
      <c r="R11752" t="s">
        <v>44917</v>
      </c>
      <c r="S11752" t="s">
        <v>45386</v>
      </c>
      <c r="T11752" t="s">
        <v>46560</v>
      </c>
      <c r="U11752" t="s">
        <v>56317</v>
      </c>
      <c r="V11752" t="s">
        <v>60310</v>
      </c>
      <c r="W11752" t="s">
        <v>44364</v>
      </c>
      <c r="X11752" t="s">
        <v>44918</v>
      </c>
    </row>
    <row r="11753" spans="1:24">
      <c r="A11753">
        <f>HYPERLINK("https://www.philgeps.gov.ph/GEPSNONPILOT/Tender/SplashBidNoticeAbstractUI.aspx?menuIndex=3&amp;refID=7059513&amp;Result=3","7059513")</f>
        <v>0</v>
      </c>
      <c r="B11753" t="s">
        <v>3111</v>
      </c>
      <c r="C11753" t="s">
        <v>14740</v>
      </c>
      <c r="D11753" t="s">
        <v>18102</v>
      </c>
      <c r="E11753" t="s">
        <v>28387</v>
      </c>
      <c r="F11753" t="s">
        <v>31362</v>
      </c>
      <c r="G11753" t="s">
        <v>31369</v>
      </c>
      <c r="H11753" t="s">
        <v>15799</v>
      </c>
      <c r="I11753" t="s">
        <v>31427</v>
      </c>
      <c r="J11753" t="s">
        <v>38682</v>
      </c>
      <c r="K11753" t="s">
        <v>40666</v>
      </c>
      <c r="M11753" t="s">
        <v>44363</v>
      </c>
      <c r="N11753" t="s">
        <v>44905</v>
      </c>
      <c r="O11753" t="s">
        <v>44906</v>
      </c>
      <c r="P11753">
        <v>0</v>
      </c>
      <c r="Q11753">
        <v>11</v>
      </c>
      <c r="R11753" t="s">
        <v>44917</v>
      </c>
      <c r="S11753" t="s">
        <v>45386</v>
      </c>
      <c r="T11753" t="s">
        <v>46585</v>
      </c>
      <c r="U11753" t="s">
        <v>56318</v>
      </c>
      <c r="W11753" t="s">
        <v>44363</v>
      </c>
      <c r="X11753" t="s">
        <v>44918</v>
      </c>
    </row>
    <row r="11754" spans="1:24">
      <c r="A11754">
        <f>HYPERLINK("https://www.philgeps.gov.ph/GEPSNONPILOT/Tender/SplashBidNoticeAbstractUI.aspx?menuIndex=3&amp;refID=7059593&amp;Result=3","7059593")</f>
        <v>0</v>
      </c>
      <c r="B11754" t="s">
        <v>3130</v>
      </c>
      <c r="C11754" t="s">
        <v>14741</v>
      </c>
      <c r="D11754" t="s">
        <v>18116</v>
      </c>
      <c r="E11754" t="s">
        <v>28388</v>
      </c>
      <c r="F11754" t="s">
        <v>31362</v>
      </c>
      <c r="G11754" t="s">
        <v>31369</v>
      </c>
      <c r="H11754" t="s">
        <v>31378</v>
      </c>
      <c r="I11754" t="s">
        <v>31386</v>
      </c>
      <c r="J11754" t="s">
        <v>38683</v>
      </c>
      <c r="K11754" t="s">
        <v>40686</v>
      </c>
      <c r="M11754" t="s">
        <v>44387</v>
      </c>
      <c r="N11754" t="s">
        <v>44905</v>
      </c>
      <c r="O11754" t="s">
        <v>44906</v>
      </c>
      <c r="P11754">
        <v>0</v>
      </c>
      <c r="Q11754">
        <v>0</v>
      </c>
      <c r="R11754" t="s">
        <v>44917</v>
      </c>
      <c r="S11754" t="s">
        <v>45386</v>
      </c>
      <c r="T11754" t="s">
        <v>46481</v>
      </c>
      <c r="U11754" t="s">
        <v>56319</v>
      </c>
      <c r="V11754" t="s">
        <v>60314</v>
      </c>
      <c r="W11754" t="s">
        <v>44387</v>
      </c>
      <c r="X11754" t="s">
        <v>44918</v>
      </c>
    </row>
    <row r="11755" spans="1:24">
      <c r="A11755">
        <f>HYPERLINK("https://www.philgeps.gov.ph/GEPSNONPILOT/Tender/SplashBidNoticeAbstractUI.aspx?menuIndex=3&amp;refID=7059547&amp;Result=3","7059547")</f>
        <v>0</v>
      </c>
      <c r="B11755" t="s">
        <v>558</v>
      </c>
      <c r="C11755" t="s">
        <v>14742</v>
      </c>
      <c r="D11755" t="s">
        <v>18107</v>
      </c>
      <c r="E11755" t="s">
        <v>28389</v>
      </c>
      <c r="F11755" t="s">
        <v>31362</v>
      </c>
      <c r="G11755" t="s">
        <v>31369</v>
      </c>
      <c r="H11755" t="s">
        <v>15799</v>
      </c>
      <c r="I11755" t="s">
        <v>31380</v>
      </c>
      <c r="J11755" t="s">
        <v>38684</v>
      </c>
      <c r="K11755" t="s">
        <v>40665</v>
      </c>
      <c r="M11755" t="s">
        <v>41514</v>
      </c>
      <c r="N11755" t="s">
        <v>44905</v>
      </c>
      <c r="O11755" t="s">
        <v>44906</v>
      </c>
      <c r="P11755">
        <v>0</v>
      </c>
      <c r="Q11755">
        <v>9</v>
      </c>
      <c r="R11755" t="s">
        <v>44917</v>
      </c>
      <c r="S11755" t="s">
        <v>45386</v>
      </c>
      <c r="T11755" t="s">
        <v>46507</v>
      </c>
      <c r="U11755" t="s">
        <v>56320</v>
      </c>
      <c r="W11755" t="s">
        <v>41514</v>
      </c>
      <c r="X11755" t="s">
        <v>44918</v>
      </c>
    </row>
    <row r="11756" spans="1:24">
      <c r="A11756">
        <f>HYPERLINK("https://www.philgeps.gov.ph/GEPSNONPILOT/Tender/SplashBidNoticeAbstractUI.aspx?menuIndex=3&amp;refID=7059605&amp;Result=3","7059605")</f>
        <v>0</v>
      </c>
      <c r="B11756" t="s">
        <v>3112</v>
      </c>
      <c r="C11756" t="s">
        <v>14743</v>
      </c>
      <c r="D11756" t="s">
        <v>18140</v>
      </c>
      <c r="E11756" t="s">
        <v>28390</v>
      </c>
      <c r="F11756" t="s">
        <v>31362</v>
      </c>
      <c r="G11756" t="s">
        <v>31369</v>
      </c>
      <c r="H11756" t="s">
        <v>15799</v>
      </c>
      <c r="I11756" t="s">
        <v>31393</v>
      </c>
      <c r="J11756" t="s">
        <v>38685</v>
      </c>
      <c r="K11756" t="s">
        <v>40670</v>
      </c>
      <c r="M11756" t="s">
        <v>44364</v>
      </c>
      <c r="N11756" t="s">
        <v>44905</v>
      </c>
      <c r="O11756" t="s">
        <v>44906</v>
      </c>
      <c r="P11756">
        <v>0</v>
      </c>
      <c r="Q11756">
        <v>4</v>
      </c>
      <c r="R11756" t="s">
        <v>44917</v>
      </c>
      <c r="S11756" t="s">
        <v>45386</v>
      </c>
      <c r="T11756" t="s">
        <v>46560</v>
      </c>
      <c r="U11756" t="s">
        <v>56321</v>
      </c>
      <c r="V11756" t="s">
        <v>60310</v>
      </c>
      <c r="W11756" t="s">
        <v>44364</v>
      </c>
      <c r="X11756" t="s">
        <v>44918</v>
      </c>
    </row>
    <row r="11757" spans="1:24">
      <c r="A11757">
        <f>HYPERLINK("https://www.philgeps.gov.ph/GEPSNONPILOT/Tender/SplashBidNoticeAbstractUI.aspx?menuIndex=3&amp;refID=7059754&amp;Result=3","7059754")</f>
        <v>0</v>
      </c>
      <c r="B11757" t="s">
        <v>2910</v>
      </c>
      <c r="C11757" t="s">
        <v>14744</v>
      </c>
      <c r="D11757" t="s">
        <v>18171</v>
      </c>
      <c r="E11757" t="s">
        <v>28391</v>
      </c>
      <c r="F11757" t="s">
        <v>31362</v>
      </c>
      <c r="G11757" t="s">
        <v>31370</v>
      </c>
      <c r="H11757" t="s">
        <v>15799</v>
      </c>
      <c r="I11757" t="s">
        <v>7188</v>
      </c>
      <c r="J11757" t="s">
        <v>31890</v>
      </c>
      <c r="K11757" t="s">
        <v>40662</v>
      </c>
      <c r="M11757" t="s">
        <v>44125</v>
      </c>
      <c r="N11757" t="s">
        <v>44905</v>
      </c>
      <c r="O11757" t="s">
        <v>44906</v>
      </c>
      <c r="P11757">
        <v>0</v>
      </c>
      <c r="Q11757">
        <v>0</v>
      </c>
      <c r="R11757" t="s">
        <v>44917</v>
      </c>
      <c r="S11757" t="s">
        <v>45386</v>
      </c>
      <c r="T11757" t="s">
        <v>46414</v>
      </c>
      <c r="U11757" t="s">
        <v>55355</v>
      </c>
      <c r="W11757" t="s">
        <v>44125</v>
      </c>
      <c r="X11757" t="s">
        <v>44918</v>
      </c>
    </row>
    <row r="11758" spans="1:24">
      <c r="A11758">
        <f>HYPERLINK("https://www.philgeps.gov.ph/GEPSNONPILOT/Tender/SplashBidNoticeAbstractUI.aspx?menuIndex=3&amp;refID=7059745&amp;Result=3","7059745")</f>
        <v>0</v>
      </c>
      <c r="B11758" t="s">
        <v>1655</v>
      </c>
      <c r="C11758" t="s">
        <v>14745</v>
      </c>
      <c r="D11758" t="s">
        <v>18136</v>
      </c>
      <c r="E11758" t="s">
        <v>28392</v>
      </c>
      <c r="F11758" t="s">
        <v>31362</v>
      </c>
      <c r="G11758" t="s">
        <v>31369</v>
      </c>
      <c r="H11758" t="s">
        <v>31378</v>
      </c>
      <c r="I11758" t="s">
        <v>31386</v>
      </c>
      <c r="J11758" t="s">
        <v>38686</v>
      </c>
      <c r="K11758" t="s">
        <v>40714</v>
      </c>
      <c r="M11758" t="s">
        <v>43362</v>
      </c>
      <c r="N11758" t="s">
        <v>44905</v>
      </c>
      <c r="O11758" t="s">
        <v>44906</v>
      </c>
      <c r="P11758">
        <v>0</v>
      </c>
      <c r="Q11758">
        <v>2</v>
      </c>
      <c r="R11758" t="s">
        <v>44917</v>
      </c>
      <c r="S11758" t="s">
        <v>45386</v>
      </c>
      <c r="T11758" t="s">
        <v>46524</v>
      </c>
      <c r="U11758" t="s">
        <v>56322</v>
      </c>
      <c r="W11758" t="s">
        <v>43362</v>
      </c>
      <c r="X11758" t="s">
        <v>44918</v>
      </c>
    </row>
    <row r="11759" spans="1:24">
      <c r="A11759">
        <f>HYPERLINK("https://www.philgeps.gov.ph/GEPSNONPILOT/Tender/SplashBidNoticeAbstractUI.aspx?menuIndex=3&amp;refID=7059576&amp;Result=3","7059576")</f>
        <v>0</v>
      </c>
      <c r="B11759" t="s">
        <v>122</v>
      </c>
      <c r="C11759" t="s">
        <v>14746</v>
      </c>
      <c r="D11759" t="s">
        <v>18108</v>
      </c>
      <c r="E11759" t="s">
        <v>28393</v>
      </c>
      <c r="F11759" t="s">
        <v>31362</v>
      </c>
      <c r="G11759" t="s">
        <v>31371</v>
      </c>
      <c r="H11759" t="s">
        <v>15799</v>
      </c>
      <c r="I11759" t="s">
        <v>6373</v>
      </c>
      <c r="J11759" t="s">
        <v>38687</v>
      </c>
      <c r="K11759" t="s">
        <v>40666</v>
      </c>
      <c r="M11759" t="s">
        <v>43854</v>
      </c>
      <c r="N11759" t="s">
        <v>44905</v>
      </c>
      <c r="O11759" t="s">
        <v>44906</v>
      </c>
      <c r="P11759">
        <v>0</v>
      </c>
      <c r="Q11759">
        <v>9</v>
      </c>
      <c r="R11759" t="s">
        <v>44917</v>
      </c>
      <c r="S11759" t="s">
        <v>45386</v>
      </c>
      <c r="T11759" t="s">
        <v>46411</v>
      </c>
      <c r="U11759" t="s">
        <v>54306</v>
      </c>
      <c r="V11759" t="s">
        <v>60315</v>
      </c>
      <c r="W11759" t="s">
        <v>43854</v>
      </c>
      <c r="X11759" t="s">
        <v>44918</v>
      </c>
    </row>
    <row r="11760" spans="1:24">
      <c r="A11760">
        <f>HYPERLINK("https://www.philgeps.gov.ph/GEPSNONPILOT/Tender/SplashBidNoticeAbstractUI.aspx?menuIndex=3&amp;refID=7059546&amp;Result=3","7059546")</f>
        <v>0</v>
      </c>
      <c r="B11760" t="s">
        <v>3112</v>
      </c>
      <c r="C11760" t="s">
        <v>14747</v>
      </c>
      <c r="D11760" t="s">
        <v>18140</v>
      </c>
      <c r="E11760" t="s">
        <v>28394</v>
      </c>
      <c r="F11760" t="s">
        <v>31362</v>
      </c>
      <c r="G11760" t="s">
        <v>31369</v>
      </c>
      <c r="H11760" t="s">
        <v>15799</v>
      </c>
      <c r="I11760" t="s">
        <v>31393</v>
      </c>
      <c r="J11760" t="s">
        <v>37149</v>
      </c>
      <c r="K11760" t="s">
        <v>40670</v>
      </c>
      <c r="M11760" t="s">
        <v>44364</v>
      </c>
      <c r="N11760" t="s">
        <v>44905</v>
      </c>
      <c r="O11760" t="s">
        <v>44906</v>
      </c>
      <c r="P11760">
        <v>0</v>
      </c>
      <c r="Q11760">
        <v>4</v>
      </c>
      <c r="R11760" t="s">
        <v>44917</v>
      </c>
      <c r="S11760" t="s">
        <v>45386</v>
      </c>
      <c r="T11760" t="s">
        <v>46560</v>
      </c>
      <c r="U11760" t="s">
        <v>56323</v>
      </c>
      <c r="V11760" t="s">
        <v>60310</v>
      </c>
      <c r="W11760" t="s">
        <v>44364</v>
      </c>
      <c r="X11760" t="s">
        <v>44918</v>
      </c>
    </row>
    <row r="11761" spans="1:24">
      <c r="A11761">
        <f>HYPERLINK("https://www.philgeps.gov.ph/GEPSNONPILOT/Tender/SplashBidNoticeAbstractUI.aspx?menuIndex=3&amp;refID=7059740&amp;Result=3","7059740")</f>
        <v>0</v>
      </c>
      <c r="B11761" t="s">
        <v>2910</v>
      </c>
      <c r="C11761" t="s">
        <v>14748</v>
      </c>
      <c r="D11761" t="s">
        <v>18171</v>
      </c>
      <c r="E11761" t="s">
        <v>28395</v>
      </c>
      <c r="F11761" t="s">
        <v>31362</v>
      </c>
      <c r="G11761" t="s">
        <v>31370</v>
      </c>
      <c r="H11761" t="s">
        <v>15799</v>
      </c>
      <c r="I11761" t="s">
        <v>7188</v>
      </c>
      <c r="J11761" t="s">
        <v>31890</v>
      </c>
      <c r="K11761" t="s">
        <v>40662</v>
      </c>
      <c r="M11761" t="s">
        <v>44125</v>
      </c>
      <c r="N11761" t="s">
        <v>44905</v>
      </c>
      <c r="O11761" t="s">
        <v>44906</v>
      </c>
      <c r="P11761">
        <v>0</v>
      </c>
      <c r="Q11761">
        <v>1</v>
      </c>
      <c r="R11761" t="s">
        <v>44917</v>
      </c>
      <c r="S11761" t="s">
        <v>45386</v>
      </c>
      <c r="T11761" t="s">
        <v>46414</v>
      </c>
      <c r="U11761" t="s">
        <v>55355</v>
      </c>
      <c r="W11761" t="s">
        <v>44125</v>
      </c>
      <c r="X11761" t="s">
        <v>44918</v>
      </c>
    </row>
    <row r="11762" spans="1:24">
      <c r="A11762">
        <f>HYPERLINK("https://www.philgeps.gov.ph/GEPSNONPILOT/Tender/SplashBidNoticeAbstractUI.aspx?menuIndex=3&amp;refID=7059739&amp;Result=3","7059739")</f>
        <v>0</v>
      </c>
      <c r="B11762" t="s">
        <v>2949</v>
      </c>
      <c r="C11762" t="s">
        <v>14749</v>
      </c>
      <c r="E11762" t="s">
        <v>28396</v>
      </c>
      <c r="F11762" t="s">
        <v>31362</v>
      </c>
      <c r="G11762" t="s">
        <v>31369</v>
      </c>
      <c r="H11762" t="s">
        <v>31378</v>
      </c>
      <c r="I11762" t="s">
        <v>31386</v>
      </c>
      <c r="J11762" t="s">
        <v>38688</v>
      </c>
      <c r="K11762" t="s">
        <v>40682</v>
      </c>
      <c r="M11762" t="s">
        <v>44171</v>
      </c>
      <c r="N11762" t="s">
        <v>44905</v>
      </c>
      <c r="O11762" t="s">
        <v>44906</v>
      </c>
      <c r="P11762">
        <v>0</v>
      </c>
      <c r="Q11762">
        <v>1</v>
      </c>
      <c r="R11762" t="s">
        <v>44917</v>
      </c>
      <c r="S11762" t="s">
        <v>45386</v>
      </c>
      <c r="T11762" t="s">
        <v>46504</v>
      </c>
      <c r="U11762" t="s">
        <v>56324</v>
      </c>
      <c r="W11762" t="s">
        <v>44171</v>
      </c>
      <c r="X11762" t="s">
        <v>44918</v>
      </c>
    </row>
    <row r="11763" spans="1:24">
      <c r="A11763">
        <f>HYPERLINK("https://www.philgeps.gov.ph/GEPSNONPILOT/Tender/SplashBidNoticeAbstractUI.aspx?menuIndex=3&amp;refID=7059718&amp;Result=3","7059718")</f>
        <v>0</v>
      </c>
      <c r="B11763" t="s">
        <v>1521</v>
      </c>
      <c r="C11763" t="s">
        <v>14750</v>
      </c>
      <c r="D11763" t="s">
        <v>18107</v>
      </c>
      <c r="E11763" t="s">
        <v>28397</v>
      </c>
      <c r="F11763" t="s">
        <v>31362</v>
      </c>
      <c r="G11763" t="s">
        <v>31369</v>
      </c>
      <c r="H11763" t="s">
        <v>15799</v>
      </c>
      <c r="I11763" t="s">
        <v>4942</v>
      </c>
      <c r="J11763" t="s">
        <v>36555</v>
      </c>
      <c r="K11763" t="s">
        <v>40669</v>
      </c>
      <c r="M11763" t="s">
        <v>42565</v>
      </c>
      <c r="N11763" t="s">
        <v>44905</v>
      </c>
      <c r="O11763" t="s">
        <v>44906</v>
      </c>
      <c r="P11763">
        <v>0</v>
      </c>
      <c r="Q11763">
        <v>0</v>
      </c>
      <c r="R11763" t="s">
        <v>44917</v>
      </c>
      <c r="S11763" t="s">
        <v>45386</v>
      </c>
      <c r="T11763" t="s">
        <v>46847</v>
      </c>
      <c r="U11763" t="s">
        <v>56325</v>
      </c>
      <c r="W11763" t="s">
        <v>42565</v>
      </c>
      <c r="X11763" t="s">
        <v>44918</v>
      </c>
    </row>
    <row r="11764" spans="1:24">
      <c r="A11764">
        <f>HYPERLINK("https://www.philgeps.gov.ph/GEPSNONPILOT/Tender/SplashBidNoticeAbstractUI.aspx?menuIndex=3&amp;refID=7059711&amp;Result=3","7059711")</f>
        <v>0</v>
      </c>
      <c r="B11764" t="s">
        <v>2949</v>
      </c>
      <c r="C11764" t="s">
        <v>14751</v>
      </c>
      <c r="E11764" t="s">
        <v>28398</v>
      </c>
      <c r="F11764" t="s">
        <v>31362</v>
      </c>
      <c r="G11764" t="s">
        <v>31369</v>
      </c>
      <c r="H11764" t="s">
        <v>31378</v>
      </c>
      <c r="I11764" t="s">
        <v>31386</v>
      </c>
      <c r="J11764" t="s">
        <v>38689</v>
      </c>
      <c r="K11764" t="s">
        <v>40682</v>
      </c>
      <c r="M11764" t="s">
        <v>44171</v>
      </c>
      <c r="N11764" t="s">
        <v>44905</v>
      </c>
      <c r="O11764" t="s">
        <v>44906</v>
      </c>
      <c r="P11764">
        <v>0</v>
      </c>
      <c r="Q11764">
        <v>0</v>
      </c>
      <c r="R11764" t="s">
        <v>44917</v>
      </c>
      <c r="S11764" t="s">
        <v>45386</v>
      </c>
      <c r="T11764" t="s">
        <v>46519</v>
      </c>
      <c r="U11764" t="s">
        <v>56326</v>
      </c>
      <c r="W11764" t="s">
        <v>44171</v>
      </c>
      <c r="X11764" t="s">
        <v>44918</v>
      </c>
    </row>
    <row r="11765" spans="1:24">
      <c r="A11765">
        <f>HYPERLINK("https://www.philgeps.gov.ph/GEPSNONPILOT/Tender/SplashBidNoticeAbstractUI.aspx?menuIndex=3&amp;refID=7059596&amp;Result=3","7059596")</f>
        <v>0</v>
      </c>
      <c r="B11765" t="s">
        <v>2202</v>
      </c>
      <c r="C11765" t="s">
        <v>14752</v>
      </c>
      <c r="D11765" t="s">
        <v>18105</v>
      </c>
      <c r="E11765" t="s">
        <v>28383</v>
      </c>
      <c r="F11765" t="s">
        <v>31362</v>
      </c>
      <c r="G11765" t="s">
        <v>31369</v>
      </c>
      <c r="H11765" t="s">
        <v>15799</v>
      </c>
      <c r="I11765" t="s">
        <v>4283</v>
      </c>
      <c r="J11765" t="s">
        <v>34228</v>
      </c>
      <c r="K11765" t="s">
        <v>40682</v>
      </c>
      <c r="M11765" t="s">
        <v>43333</v>
      </c>
      <c r="N11765" t="s">
        <v>44905</v>
      </c>
      <c r="O11765" t="s">
        <v>44906</v>
      </c>
      <c r="P11765">
        <v>0</v>
      </c>
      <c r="Q11765">
        <v>0</v>
      </c>
      <c r="R11765" t="s">
        <v>44917</v>
      </c>
      <c r="S11765" t="s">
        <v>45386</v>
      </c>
      <c r="T11765" t="s">
        <v>46560</v>
      </c>
      <c r="U11765" t="s">
        <v>56327</v>
      </c>
      <c r="W11765" t="s">
        <v>43333</v>
      </c>
      <c r="X11765" t="s">
        <v>44918</v>
      </c>
    </row>
    <row r="11766" spans="1:24">
      <c r="A11766">
        <f>HYPERLINK("https://www.philgeps.gov.ph/GEPSNONPILOT/Tender/SplashBidNoticeAbstractUI.aspx?menuIndex=3&amp;refID=7059771&amp;Result=3","7059771")</f>
        <v>0</v>
      </c>
      <c r="B11766" t="s">
        <v>3122</v>
      </c>
      <c r="C11766" t="s">
        <v>14753</v>
      </c>
      <c r="D11766" t="s">
        <v>18113</v>
      </c>
      <c r="E11766" t="s">
        <v>28399</v>
      </c>
      <c r="F11766" t="s">
        <v>31362</v>
      </c>
      <c r="G11766" t="s">
        <v>31369</v>
      </c>
      <c r="H11766" t="s">
        <v>15799</v>
      </c>
      <c r="I11766" t="s">
        <v>3815</v>
      </c>
      <c r="J11766" t="s">
        <v>38690</v>
      </c>
      <c r="K11766" t="s">
        <v>40677</v>
      </c>
      <c r="M11766" t="s">
        <v>44377</v>
      </c>
      <c r="N11766" t="s">
        <v>44905</v>
      </c>
      <c r="O11766" t="s">
        <v>44906</v>
      </c>
      <c r="P11766">
        <v>0</v>
      </c>
      <c r="Q11766">
        <v>2</v>
      </c>
      <c r="R11766" t="s">
        <v>44917</v>
      </c>
      <c r="S11766" t="s">
        <v>45386</v>
      </c>
      <c r="T11766" t="s">
        <v>46560</v>
      </c>
      <c r="U11766" t="s">
        <v>56328</v>
      </c>
      <c r="W11766" t="s">
        <v>44377</v>
      </c>
      <c r="X11766" t="s">
        <v>44918</v>
      </c>
    </row>
    <row r="11767" spans="1:24">
      <c r="A11767">
        <f>HYPERLINK("https://www.philgeps.gov.ph/GEPSNONPILOT/Tender/SplashBidNoticeAbstractUI.aspx?menuIndex=3&amp;refID=7059465&amp;Result=3","7059465")</f>
        <v>0</v>
      </c>
      <c r="B11767" t="s">
        <v>1152</v>
      </c>
      <c r="C11767" t="s">
        <v>14754</v>
      </c>
      <c r="D11767" t="s">
        <v>18138</v>
      </c>
      <c r="E11767" t="s">
        <v>28400</v>
      </c>
      <c r="F11767" t="s">
        <v>31362</v>
      </c>
      <c r="G11767" t="s">
        <v>31369</v>
      </c>
      <c r="H11767" t="s">
        <v>15799</v>
      </c>
      <c r="I11767" t="s">
        <v>3815</v>
      </c>
      <c r="J11767" t="s">
        <v>38691</v>
      </c>
      <c r="K11767" t="s">
        <v>40680</v>
      </c>
      <c r="M11767" t="s">
        <v>42161</v>
      </c>
      <c r="N11767" t="s">
        <v>44905</v>
      </c>
      <c r="O11767" t="s">
        <v>44906</v>
      </c>
      <c r="P11767">
        <v>0</v>
      </c>
      <c r="Q11767">
        <v>4</v>
      </c>
      <c r="R11767" t="s">
        <v>44917</v>
      </c>
      <c r="S11767" t="s">
        <v>45386</v>
      </c>
      <c r="T11767" t="s">
        <v>46462</v>
      </c>
      <c r="U11767" t="s">
        <v>56329</v>
      </c>
      <c r="V11767" t="s">
        <v>59384</v>
      </c>
      <c r="W11767" t="s">
        <v>42161</v>
      </c>
      <c r="X11767" t="s">
        <v>44918</v>
      </c>
    </row>
    <row r="11768" spans="1:24">
      <c r="A11768">
        <f>HYPERLINK("https://www.philgeps.gov.ph/GEPSNONPILOT/Tender/SplashBidNoticeAbstractUI.aspx?menuIndex=3&amp;refID=7059496&amp;Result=3","7059496")</f>
        <v>0</v>
      </c>
      <c r="B11768" t="s">
        <v>424</v>
      </c>
      <c r="C11768" t="s">
        <v>14755</v>
      </c>
      <c r="D11768" t="s">
        <v>18168</v>
      </c>
      <c r="E11768" t="s">
        <v>28401</v>
      </c>
      <c r="F11768" t="s">
        <v>31362</v>
      </c>
      <c r="G11768" t="s">
        <v>31368</v>
      </c>
      <c r="H11768" t="s">
        <v>15799</v>
      </c>
      <c r="I11768" t="s">
        <v>31388</v>
      </c>
      <c r="J11768" t="s">
        <v>31536</v>
      </c>
      <c r="K11768" t="s">
        <v>40677</v>
      </c>
      <c r="M11768" t="s">
        <v>43973</v>
      </c>
      <c r="N11768" t="s">
        <v>44905</v>
      </c>
      <c r="O11768" t="s">
        <v>44906</v>
      </c>
      <c r="Q11768">
        <v>1</v>
      </c>
      <c r="R11768" t="s">
        <v>44917</v>
      </c>
      <c r="S11768" t="s">
        <v>45402</v>
      </c>
      <c r="T11768" t="s">
        <v>46435</v>
      </c>
      <c r="U11768" t="s">
        <v>56330</v>
      </c>
      <c r="W11768" t="s">
        <v>43973</v>
      </c>
      <c r="X11768" t="s">
        <v>44918</v>
      </c>
    </row>
    <row r="11769" spans="1:24">
      <c r="A11769">
        <f>HYPERLINK("https://www.philgeps.gov.ph/GEPSNONPILOT/Tender/SplashBidNoticeAbstractUI.aspx?menuIndex=3&amp;refID=7059767&amp;Result=3","7059767")</f>
        <v>0</v>
      </c>
      <c r="B11769" t="s">
        <v>1786</v>
      </c>
      <c r="C11769" t="s">
        <v>14756</v>
      </c>
      <c r="D11769" t="s">
        <v>18133</v>
      </c>
      <c r="E11769" t="s">
        <v>28402</v>
      </c>
      <c r="F11769" t="s">
        <v>31362</v>
      </c>
      <c r="G11769" t="s">
        <v>31369</v>
      </c>
      <c r="H11769" t="s">
        <v>15799</v>
      </c>
      <c r="I11769" t="s">
        <v>3815</v>
      </c>
      <c r="J11769" t="s">
        <v>31688</v>
      </c>
      <c r="K11769" t="s">
        <v>40665</v>
      </c>
      <c r="M11769" t="s">
        <v>42867</v>
      </c>
      <c r="N11769" t="s">
        <v>44905</v>
      </c>
      <c r="O11769" t="s">
        <v>44906</v>
      </c>
      <c r="P11769">
        <v>0</v>
      </c>
      <c r="Q11769">
        <v>0</v>
      </c>
      <c r="R11769" t="s">
        <v>44917</v>
      </c>
      <c r="S11769" t="s">
        <v>45386</v>
      </c>
      <c r="T11769" t="s">
        <v>46538</v>
      </c>
      <c r="U11769" t="s">
        <v>54828</v>
      </c>
      <c r="W11769" t="s">
        <v>42867</v>
      </c>
      <c r="X11769" t="s">
        <v>44918</v>
      </c>
    </row>
    <row r="11770" spans="1:24">
      <c r="A11770">
        <f>HYPERLINK("https://www.philgeps.gov.ph/GEPSNONPILOT/Tender/SplashBidNoticeAbstractUI.aspx?menuIndex=3&amp;refID=7059766&amp;Result=3","7059766")</f>
        <v>0</v>
      </c>
      <c r="B11770" t="s">
        <v>1373</v>
      </c>
      <c r="C11770" t="s">
        <v>14757</v>
      </c>
      <c r="D11770" t="s">
        <v>18109</v>
      </c>
      <c r="E11770" t="s">
        <v>28403</v>
      </c>
      <c r="F11770" t="s">
        <v>31362</v>
      </c>
      <c r="G11770" t="s">
        <v>31370</v>
      </c>
      <c r="H11770" t="s">
        <v>15799</v>
      </c>
      <c r="I11770" t="s">
        <v>31427</v>
      </c>
      <c r="J11770" t="s">
        <v>31969</v>
      </c>
      <c r="K11770" t="s">
        <v>40675</v>
      </c>
      <c r="M11770" t="s">
        <v>42396</v>
      </c>
      <c r="N11770" t="s">
        <v>44905</v>
      </c>
      <c r="O11770" t="s">
        <v>44906</v>
      </c>
      <c r="Q11770">
        <v>1</v>
      </c>
      <c r="R11770" t="s">
        <v>44917</v>
      </c>
      <c r="S11770" t="s">
        <v>45403</v>
      </c>
      <c r="T11770" t="s">
        <v>46454</v>
      </c>
      <c r="U11770" t="s">
        <v>49998</v>
      </c>
      <c r="W11770" t="s">
        <v>42396</v>
      </c>
      <c r="X11770" t="s">
        <v>44918</v>
      </c>
    </row>
    <row r="11771" spans="1:24">
      <c r="A11771">
        <f>HYPERLINK("https://www.philgeps.gov.ph/GEPSNONPILOT/Tender/SplashBidNoticeAbstractUI.aspx?menuIndex=3&amp;refID=7059684&amp;Result=3","7059684")</f>
        <v>0</v>
      </c>
      <c r="B11771" t="s">
        <v>1373</v>
      </c>
      <c r="C11771" t="s">
        <v>14758</v>
      </c>
      <c r="D11771" t="s">
        <v>18109</v>
      </c>
      <c r="E11771" t="s">
        <v>28404</v>
      </c>
      <c r="F11771" t="s">
        <v>31362</v>
      </c>
      <c r="G11771" t="s">
        <v>31370</v>
      </c>
      <c r="H11771" t="s">
        <v>15799</v>
      </c>
      <c r="I11771" t="s">
        <v>31413</v>
      </c>
      <c r="J11771" t="s">
        <v>32229</v>
      </c>
      <c r="K11771" t="s">
        <v>40675</v>
      </c>
      <c r="M11771" t="s">
        <v>42396</v>
      </c>
      <c r="N11771" t="s">
        <v>44905</v>
      </c>
      <c r="O11771" t="s">
        <v>44906</v>
      </c>
      <c r="Q11771">
        <v>6</v>
      </c>
      <c r="R11771" t="s">
        <v>44917</v>
      </c>
      <c r="S11771" t="s">
        <v>45252</v>
      </c>
      <c r="T11771" t="s">
        <v>46454</v>
      </c>
      <c r="U11771" t="s">
        <v>49998</v>
      </c>
      <c r="W11771" t="s">
        <v>42396</v>
      </c>
      <c r="X11771" t="s">
        <v>44918</v>
      </c>
    </row>
    <row r="11772" spans="1:24">
      <c r="A11772">
        <f>HYPERLINK("https://www.philgeps.gov.ph/GEPSNONPILOT/Tender/SplashBidNoticeAbstractUI.aspx?menuIndex=3&amp;refID=7059509&amp;Result=3","7059509")</f>
        <v>0</v>
      </c>
      <c r="B11772" t="s">
        <v>92</v>
      </c>
      <c r="C11772" t="s">
        <v>14759</v>
      </c>
      <c r="D11772" t="s">
        <v>18100</v>
      </c>
      <c r="E11772" t="s">
        <v>28405</v>
      </c>
      <c r="F11772" t="s">
        <v>31362</v>
      </c>
      <c r="G11772" t="s">
        <v>31369</v>
      </c>
      <c r="H11772" t="s">
        <v>31378</v>
      </c>
      <c r="I11772" t="s">
        <v>31386</v>
      </c>
      <c r="J11772" t="s">
        <v>38692</v>
      </c>
      <c r="K11772" t="s">
        <v>40683</v>
      </c>
      <c r="M11772" t="s">
        <v>41029</v>
      </c>
      <c r="N11772" t="s">
        <v>44905</v>
      </c>
      <c r="O11772" t="s">
        <v>44906</v>
      </c>
      <c r="P11772">
        <v>0</v>
      </c>
      <c r="Q11772">
        <v>14</v>
      </c>
      <c r="R11772" t="s">
        <v>44917</v>
      </c>
      <c r="S11772" t="s">
        <v>45386</v>
      </c>
      <c r="T11772" t="s">
        <v>46560</v>
      </c>
      <c r="U11772" t="s">
        <v>56331</v>
      </c>
      <c r="W11772" t="s">
        <v>60961</v>
      </c>
      <c r="X11772" t="s">
        <v>44918</v>
      </c>
    </row>
    <row r="11773" spans="1:24">
      <c r="A11773">
        <f>HYPERLINK("https://www.philgeps.gov.ph/GEPSNONPILOT/Tender/SplashBidNoticeAbstractUI.aspx?menuIndex=3&amp;refID=7059679&amp;Result=3","7059679")</f>
        <v>0</v>
      </c>
      <c r="B11773" t="s">
        <v>1709</v>
      </c>
      <c r="C11773" t="s">
        <v>14760</v>
      </c>
      <c r="D11773" t="s">
        <v>18136</v>
      </c>
      <c r="E11773" t="s">
        <v>28406</v>
      </c>
      <c r="F11773" t="s">
        <v>31362</v>
      </c>
      <c r="G11773" t="s">
        <v>31369</v>
      </c>
      <c r="H11773" t="s">
        <v>15799</v>
      </c>
      <c r="I11773" t="s">
        <v>31404</v>
      </c>
      <c r="J11773" t="s">
        <v>36614</v>
      </c>
      <c r="K11773" t="s">
        <v>40665</v>
      </c>
      <c r="M11773" t="s">
        <v>42777</v>
      </c>
      <c r="N11773" t="s">
        <v>44905</v>
      </c>
      <c r="O11773" t="s">
        <v>44906</v>
      </c>
      <c r="P11773">
        <v>0</v>
      </c>
      <c r="Q11773">
        <v>1</v>
      </c>
      <c r="R11773" t="s">
        <v>44917</v>
      </c>
      <c r="S11773" t="s">
        <v>45386</v>
      </c>
      <c r="T11773" t="s">
        <v>46560</v>
      </c>
      <c r="U11773" t="s">
        <v>56332</v>
      </c>
      <c r="W11773" t="s">
        <v>42777</v>
      </c>
      <c r="X11773" t="s">
        <v>44918</v>
      </c>
    </row>
    <row r="11774" spans="1:24">
      <c r="A11774">
        <f>HYPERLINK("https://www.philgeps.gov.ph/GEPSNONPILOT/Tender/SplashBidNoticeAbstractUI.aspx?menuIndex=3&amp;refID=7059721&amp;Result=3","7059721")</f>
        <v>0</v>
      </c>
      <c r="B11774" t="s">
        <v>1373</v>
      </c>
      <c r="C11774" t="s">
        <v>14761</v>
      </c>
      <c r="D11774" t="s">
        <v>18109</v>
      </c>
      <c r="E11774" t="s">
        <v>28407</v>
      </c>
      <c r="F11774" t="s">
        <v>31362</v>
      </c>
      <c r="G11774" t="s">
        <v>31370</v>
      </c>
      <c r="H11774" t="s">
        <v>15799</v>
      </c>
      <c r="I11774" t="s">
        <v>31427</v>
      </c>
      <c r="J11774" t="s">
        <v>31987</v>
      </c>
      <c r="K11774" t="s">
        <v>40675</v>
      </c>
      <c r="M11774" t="s">
        <v>42396</v>
      </c>
      <c r="N11774" t="s">
        <v>44905</v>
      </c>
      <c r="O11774" t="s">
        <v>44906</v>
      </c>
      <c r="Q11774">
        <v>2</v>
      </c>
      <c r="R11774" t="s">
        <v>44917</v>
      </c>
      <c r="S11774" t="s">
        <v>45404</v>
      </c>
      <c r="T11774" t="s">
        <v>46454</v>
      </c>
      <c r="U11774" t="s">
        <v>49998</v>
      </c>
      <c r="W11774" t="s">
        <v>42396</v>
      </c>
      <c r="X11774" t="s">
        <v>44918</v>
      </c>
    </row>
    <row r="11775" spans="1:24">
      <c r="A11775">
        <f>HYPERLINK("https://www.philgeps.gov.ph/GEPSNONPILOT/Tender/SplashBidNoticeAbstractUI.aspx?menuIndex=3&amp;refID=7059761&amp;Result=3","7059761")</f>
        <v>0</v>
      </c>
      <c r="B11775" t="s">
        <v>2879</v>
      </c>
      <c r="C11775" t="s">
        <v>14762</v>
      </c>
      <c r="D11775" t="s">
        <v>18169</v>
      </c>
      <c r="E11775" t="s">
        <v>28408</v>
      </c>
      <c r="F11775" t="s">
        <v>31362</v>
      </c>
      <c r="G11775" t="s">
        <v>31369</v>
      </c>
      <c r="H11775" t="s">
        <v>15799</v>
      </c>
      <c r="I11775" t="s">
        <v>31419</v>
      </c>
      <c r="J11775" t="s">
        <v>34085</v>
      </c>
      <c r="K11775" t="s">
        <v>40682</v>
      </c>
      <c r="M11775" t="s">
        <v>44090</v>
      </c>
      <c r="N11775" t="s">
        <v>44905</v>
      </c>
      <c r="O11775" t="s">
        <v>44906</v>
      </c>
      <c r="P11775">
        <v>0</v>
      </c>
      <c r="Q11775">
        <v>20</v>
      </c>
      <c r="R11775" t="s">
        <v>44917</v>
      </c>
      <c r="S11775" t="s">
        <v>45386</v>
      </c>
      <c r="T11775" t="s">
        <v>46524</v>
      </c>
      <c r="U11775" t="s">
        <v>56333</v>
      </c>
      <c r="W11775" t="s">
        <v>60947</v>
      </c>
      <c r="X11775" t="s">
        <v>44918</v>
      </c>
    </row>
    <row r="11776" spans="1:24">
      <c r="A11776">
        <f>HYPERLINK("https://www.philgeps.gov.ph/GEPSNONPILOT/Tender/SplashBidNoticeAbstractUI.aspx?menuIndex=3&amp;refID=7059624&amp;Result=3","7059624")</f>
        <v>0</v>
      </c>
      <c r="B11776" t="s">
        <v>329</v>
      </c>
      <c r="C11776" t="s">
        <v>14763</v>
      </c>
      <c r="D11776" t="s">
        <v>18160</v>
      </c>
      <c r="E11776" t="s">
        <v>28409</v>
      </c>
      <c r="F11776" t="s">
        <v>31362</v>
      </c>
      <c r="G11776" t="s">
        <v>31369</v>
      </c>
      <c r="H11776" t="s">
        <v>15799</v>
      </c>
      <c r="I11776" t="s">
        <v>31382</v>
      </c>
      <c r="J11776" t="s">
        <v>38693</v>
      </c>
      <c r="K11776" t="s">
        <v>40662</v>
      </c>
      <c r="M11776" t="s">
        <v>44388</v>
      </c>
      <c r="N11776" t="s">
        <v>44905</v>
      </c>
      <c r="O11776" t="s">
        <v>44906</v>
      </c>
      <c r="Q11776">
        <v>52</v>
      </c>
      <c r="R11776" t="s">
        <v>44917</v>
      </c>
      <c r="S11776" t="s">
        <v>45106</v>
      </c>
      <c r="T11776" t="s">
        <v>46499</v>
      </c>
      <c r="U11776" t="s">
        <v>56334</v>
      </c>
      <c r="W11776" t="s">
        <v>44388</v>
      </c>
      <c r="X11776" t="s">
        <v>44918</v>
      </c>
    </row>
    <row r="11777" spans="1:24">
      <c r="A11777">
        <f>HYPERLINK("https://www.philgeps.gov.ph/GEPSNONPILOT/Tender/SplashBidNoticeAbstractUI.aspx?menuIndex=3&amp;refID=7059495&amp;Result=3","7059495")</f>
        <v>0</v>
      </c>
      <c r="B11777" t="s">
        <v>1655</v>
      </c>
      <c r="C11777" t="s">
        <v>14764</v>
      </c>
      <c r="D11777" t="s">
        <v>18136</v>
      </c>
      <c r="E11777" t="s">
        <v>28410</v>
      </c>
      <c r="F11777" t="s">
        <v>31362</v>
      </c>
      <c r="G11777" t="s">
        <v>31369</v>
      </c>
      <c r="H11777" t="s">
        <v>31378</v>
      </c>
      <c r="I11777" t="s">
        <v>31386</v>
      </c>
      <c r="J11777" t="s">
        <v>33653</v>
      </c>
      <c r="K11777" t="s">
        <v>40686</v>
      </c>
      <c r="M11777" t="s">
        <v>43362</v>
      </c>
      <c r="N11777" t="s">
        <v>44905</v>
      </c>
      <c r="O11777" t="s">
        <v>44906</v>
      </c>
      <c r="P11777">
        <v>0</v>
      </c>
      <c r="Q11777">
        <v>2</v>
      </c>
      <c r="R11777" t="s">
        <v>44917</v>
      </c>
      <c r="S11777" t="s">
        <v>45386</v>
      </c>
      <c r="T11777" t="s">
        <v>46524</v>
      </c>
      <c r="U11777" t="s">
        <v>56335</v>
      </c>
      <c r="W11777" t="s">
        <v>43362</v>
      </c>
      <c r="X11777" t="s">
        <v>44918</v>
      </c>
    </row>
    <row r="11778" spans="1:24">
      <c r="A11778">
        <f>HYPERLINK("https://www.philgeps.gov.ph/GEPSNONPILOT/Tender/SplashBidNoticeAbstractUI.aspx?menuIndex=3&amp;refID=7059663&amp;Result=3","7059663")</f>
        <v>0</v>
      </c>
      <c r="B11778" t="s">
        <v>1521</v>
      </c>
      <c r="C11778" t="s">
        <v>14765</v>
      </c>
      <c r="D11778" t="s">
        <v>18107</v>
      </c>
      <c r="E11778" t="s">
        <v>28411</v>
      </c>
      <c r="F11778" t="s">
        <v>31362</v>
      </c>
      <c r="G11778" t="s">
        <v>31369</v>
      </c>
      <c r="H11778" t="s">
        <v>15799</v>
      </c>
      <c r="I11778" t="s">
        <v>4942</v>
      </c>
      <c r="J11778" t="s">
        <v>33393</v>
      </c>
      <c r="K11778" t="s">
        <v>40728</v>
      </c>
      <c r="M11778" t="s">
        <v>42565</v>
      </c>
      <c r="N11778" t="s">
        <v>44905</v>
      </c>
      <c r="O11778" t="s">
        <v>44906</v>
      </c>
      <c r="P11778">
        <v>0</v>
      </c>
      <c r="Q11778">
        <v>0</v>
      </c>
      <c r="R11778" t="s">
        <v>44917</v>
      </c>
      <c r="S11778" t="s">
        <v>45386</v>
      </c>
      <c r="T11778" t="s">
        <v>46560</v>
      </c>
      <c r="U11778" t="s">
        <v>56336</v>
      </c>
      <c r="W11778" t="s">
        <v>42565</v>
      </c>
      <c r="X11778" t="s">
        <v>44918</v>
      </c>
    </row>
    <row r="11779" spans="1:24">
      <c r="A11779">
        <f>HYPERLINK("https://www.philgeps.gov.ph/GEPSNONPILOT/Tender/SplashBidNoticeAbstractUI.aspx?menuIndex=3&amp;refID=7059638&amp;Result=3","7059638")</f>
        <v>0</v>
      </c>
      <c r="B11779" t="s">
        <v>287</v>
      </c>
      <c r="C11779" t="s">
        <v>14766</v>
      </c>
      <c r="D11779" t="s">
        <v>18147</v>
      </c>
      <c r="E11779" t="s">
        <v>28412</v>
      </c>
      <c r="F11779" t="s">
        <v>31362</v>
      </c>
      <c r="G11779" t="s">
        <v>31369</v>
      </c>
      <c r="H11779" t="s">
        <v>31378</v>
      </c>
      <c r="I11779" t="s">
        <v>31386</v>
      </c>
      <c r="J11779" t="s">
        <v>38694</v>
      </c>
      <c r="K11779" t="s">
        <v>40682</v>
      </c>
      <c r="L11779" t="s">
        <v>287</v>
      </c>
      <c r="M11779" t="s">
        <v>41230</v>
      </c>
      <c r="N11779" t="s">
        <v>44905</v>
      </c>
      <c r="O11779" t="s">
        <v>44906</v>
      </c>
      <c r="P11779">
        <v>0</v>
      </c>
      <c r="Q11779">
        <v>2</v>
      </c>
      <c r="R11779" t="s">
        <v>44917</v>
      </c>
      <c r="S11779" t="s">
        <v>45386</v>
      </c>
      <c r="T11779" t="s">
        <v>46848</v>
      </c>
      <c r="U11779" t="s">
        <v>47399</v>
      </c>
      <c r="W11779" t="s">
        <v>41230</v>
      </c>
      <c r="X11779" t="s">
        <v>44918</v>
      </c>
    </row>
    <row r="11780" spans="1:24">
      <c r="A11780">
        <f>HYPERLINK("https://www.philgeps.gov.ph/GEPSNONPILOT/Tender/SplashBidNoticeAbstractUI.aspx?menuIndex=3&amp;refID=7059647&amp;Result=3","7059647")</f>
        <v>0</v>
      </c>
      <c r="B11780" t="s">
        <v>366</v>
      </c>
      <c r="C11780" t="s">
        <v>14767</v>
      </c>
      <c r="D11780" t="s">
        <v>18100</v>
      </c>
      <c r="E11780" t="s">
        <v>28413</v>
      </c>
      <c r="F11780" t="s">
        <v>31362</v>
      </c>
      <c r="G11780" t="s">
        <v>31372</v>
      </c>
      <c r="H11780" t="s">
        <v>15799</v>
      </c>
      <c r="I11780" t="s">
        <v>31421</v>
      </c>
      <c r="J11780" t="s">
        <v>38695</v>
      </c>
      <c r="K11780" t="s">
        <v>40693</v>
      </c>
      <c r="M11780" t="s">
        <v>41313</v>
      </c>
      <c r="N11780" t="s">
        <v>44905</v>
      </c>
      <c r="O11780" t="s">
        <v>44906</v>
      </c>
      <c r="P11780">
        <v>0</v>
      </c>
      <c r="Q11780">
        <v>1</v>
      </c>
      <c r="R11780" t="s">
        <v>44917</v>
      </c>
      <c r="S11780" t="s">
        <v>45386</v>
      </c>
      <c r="T11780" t="s">
        <v>46508</v>
      </c>
      <c r="U11780" t="s">
        <v>56337</v>
      </c>
      <c r="W11780" t="s">
        <v>41313</v>
      </c>
      <c r="X11780" t="s">
        <v>44918</v>
      </c>
    </row>
    <row r="11781" spans="1:24">
      <c r="A11781">
        <f>HYPERLINK("https://www.philgeps.gov.ph/GEPSNONPILOT/Tender/SplashBidNoticeAbstractUI.aspx?menuIndex=3&amp;refID=7059773&amp;Result=3","7059773")</f>
        <v>0</v>
      </c>
      <c r="B11781" t="s">
        <v>3131</v>
      </c>
      <c r="C11781" t="s">
        <v>14768</v>
      </c>
      <c r="D11781" t="s">
        <v>18148</v>
      </c>
      <c r="E11781" t="s">
        <v>28414</v>
      </c>
      <c r="F11781" t="s">
        <v>31362</v>
      </c>
      <c r="G11781" t="s">
        <v>31369</v>
      </c>
      <c r="H11781" t="s">
        <v>15799</v>
      </c>
      <c r="I11781" t="s">
        <v>31398</v>
      </c>
      <c r="J11781" t="s">
        <v>38696</v>
      </c>
      <c r="K11781" t="s">
        <v>40665</v>
      </c>
      <c r="M11781" t="s">
        <v>44389</v>
      </c>
      <c r="N11781" t="s">
        <v>44905</v>
      </c>
      <c r="O11781" t="s">
        <v>44906</v>
      </c>
      <c r="P11781">
        <v>0</v>
      </c>
      <c r="Q11781">
        <v>3</v>
      </c>
      <c r="R11781" t="s">
        <v>44917</v>
      </c>
      <c r="S11781" t="s">
        <v>45386</v>
      </c>
      <c r="T11781" t="s">
        <v>46481</v>
      </c>
      <c r="U11781" t="s">
        <v>56338</v>
      </c>
      <c r="W11781" t="s">
        <v>44389</v>
      </c>
      <c r="X11781" t="s">
        <v>44918</v>
      </c>
    </row>
    <row r="11782" spans="1:24">
      <c r="A11782">
        <f>HYPERLINK("https://www.philgeps.gov.ph/GEPSNONPILOT/Tender/SplashBidNoticeAbstractUI.aspx?menuIndex=3&amp;refID=7059857&amp;Result=3","7059857")</f>
        <v>0</v>
      </c>
      <c r="B11782" t="s">
        <v>3132</v>
      </c>
      <c r="C11782" t="s">
        <v>14769</v>
      </c>
      <c r="D11782" t="s">
        <v>18109</v>
      </c>
      <c r="E11782" t="s">
        <v>25839</v>
      </c>
      <c r="F11782" t="s">
        <v>31362</v>
      </c>
      <c r="G11782" t="s">
        <v>31370</v>
      </c>
      <c r="H11782" t="s">
        <v>15799</v>
      </c>
      <c r="I11782" t="s">
        <v>6373</v>
      </c>
      <c r="J11782" t="s">
        <v>38697</v>
      </c>
      <c r="K11782" t="s">
        <v>40697</v>
      </c>
      <c r="M11782" t="s">
        <v>44390</v>
      </c>
      <c r="N11782" t="s">
        <v>44905</v>
      </c>
      <c r="O11782" t="s">
        <v>44906</v>
      </c>
      <c r="P11782">
        <v>0</v>
      </c>
      <c r="Q11782">
        <v>3</v>
      </c>
      <c r="R11782" t="s">
        <v>44917</v>
      </c>
      <c r="S11782" t="s">
        <v>45386</v>
      </c>
      <c r="T11782" t="s">
        <v>46849</v>
      </c>
      <c r="U11782" t="s">
        <v>56339</v>
      </c>
      <c r="V11782" t="s">
        <v>60316</v>
      </c>
      <c r="W11782" t="s">
        <v>44390</v>
      </c>
      <c r="X11782" t="s">
        <v>44918</v>
      </c>
    </row>
    <row r="11783" spans="1:24">
      <c r="A11783">
        <f>HYPERLINK("https://www.philgeps.gov.ph/GEPSNONPILOT/Tender/SplashBidNoticeAbstractUI.aspx?menuIndex=3&amp;refID=7059808&amp;Result=3","7059808")</f>
        <v>0</v>
      </c>
      <c r="B11783" t="s">
        <v>3131</v>
      </c>
      <c r="C11783" t="s">
        <v>14770</v>
      </c>
      <c r="D11783" t="s">
        <v>18148</v>
      </c>
      <c r="E11783" t="s">
        <v>28415</v>
      </c>
      <c r="F11783" t="s">
        <v>31362</v>
      </c>
      <c r="G11783" t="s">
        <v>31369</v>
      </c>
      <c r="H11783" t="s">
        <v>15799</v>
      </c>
      <c r="I11783" t="s">
        <v>31399</v>
      </c>
      <c r="J11783" t="s">
        <v>38698</v>
      </c>
      <c r="K11783" t="s">
        <v>40665</v>
      </c>
      <c r="M11783" t="s">
        <v>44389</v>
      </c>
      <c r="N11783" t="s">
        <v>44905</v>
      </c>
      <c r="O11783" t="s">
        <v>44906</v>
      </c>
      <c r="P11783">
        <v>0</v>
      </c>
      <c r="Q11783">
        <v>4</v>
      </c>
      <c r="R11783" t="s">
        <v>44917</v>
      </c>
      <c r="S11783" t="s">
        <v>45386</v>
      </c>
      <c r="T11783" t="s">
        <v>46481</v>
      </c>
      <c r="U11783" t="s">
        <v>56340</v>
      </c>
      <c r="W11783" t="s">
        <v>44389</v>
      </c>
      <c r="X11783" t="s">
        <v>44918</v>
      </c>
    </row>
    <row r="11784" spans="1:24">
      <c r="A11784">
        <f>HYPERLINK("https://www.philgeps.gov.ph/GEPSNONPILOT/Tender/SplashBidNoticeAbstractUI.aspx?menuIndex=3&amp;refID=7059800&amp;Result=3","7059800")</f>
        <v>0</v>
      </c>
      <c r="B11784" t="s">
        <v>1655</v>
      </c>
      <c r="C11784" t="s">
        <v>14771</v>
      </c>
      <c r="D11784" t="s">
        <v>18136</v>
      </c>
      <c r="E11784" t="s">
        <v>28416</v>
      </c>
      <c r="F11784" t="s">
        <v>31362</v>
      </c>
      <c r="G11784" t="s">
        <v>31369</v>
      </c>
      <c r="H11784" t="s">
        <v>31378</v>
      </c>
      <c r="I11784" t="s">
        <v>31386</v>
      </c>
      <c r="J11784" t="s">
        <v>38699</v>
      </c>
      <c r="K11784" t="s">
        <v>40686</v>
      </c>
      <c r="M11784" t="s">
        <v>43362</v>
      </c>
      <c r="N11784" t="s">
        <v>44905</v>
      </c>
      <c r="O11784" t="s">
        <v>44906</v>
      </c>
      <c r="P11784">
        <v>0</v>
      </c>
      <c r="Q11784">
        <v>3</v>
      </c>
      <c r="R11784" t="s">
        <v>44917</v>
      </c>
      <c r="S11784" t="s">
        <v>45386</v>
      </c>
      <c r="T11784" t="s">
        <v>46524</v>
      </c>
      <c r="U11784" t="s">
        <v>56341</v>
      </c>
      <c r="W11784" t="s">
        <v>43362</v>
      </c>
      <c r="X11784" t="s">
        <v>44918</v>
      </c>
    </row>
    <row r="11785" spans="1:24">
      <c r="A11785">
        <f>HYPERLINK("https://www.philgeps.gov.ph/GEPSNONPILOT/Tender/SplashBidNoticeAbstractUI.aspx?menuIndex=3&amp;refID=7059799&amp;Result=3","7059799")</f>
        <v>0</v>
      </c>
      <c r="B11785" t="s">
        <v>3131</v>
      </c>
      <c r="C11785" t="s">
        <v>5734</v>
      </c>
      <c r="D11785" t="s">
        <v>18148</v>
      </c>
      <c r="E11785" t="s">
        <v>28417</v>
      </c>
      <c r="F11785" t="s">
        <v>31362</v>
      </c>
      <c r="G11785" t="s">
        <v>31369</v>
      </c>
      <c r="H11785" t="s">
        <v>15799</v>
      </c>
      <c r="I11785" t="s">
        <v>7188</v>
      </c>
      <c r="J11785" t="s">
        <v>31577</v>
      </c>
      <c r="K11785" t="s">
        <v>40665</v>
      </c>
      <c r="M11785" t="s">
        <v>44389</v>
      </c>
      <c r="N11785" t="s">
        <v>44905</v>
      </c>
      <c r="O11785" t="s">
        <v>44906</v>
      </c>
      <c r="P11785">
        <v>0</v>
      </c>
      <c r="Q11785">
        <v>4</v>
      </c>
      <c r="R11785" t="s">
        <v>44917</v>
      </c>
      <c r="S11785" t="s">
        <v>45386</v>
      </c>
      <c r="T11785" t="s">
        <v>46481</v>
      </c>
      <c r="U11785" t="s">
        <v>56342</v>
      </c>
      <c r="W11785" t="s">
        <v>44389</v>
      </c>
      <c r="X11785" t="s">
        <v>44918</v>
      </c>
    </row>
    <row r="11786" spans="1:24">
      <c r="A11786">
        <f>HYPERLINK("https://www.philgeps.gov.ph/GEPSNONPILOT/Tender/SplashBidNoticeAbstractUI.aspx?menuIndex=3&amp;refID=7059786&amp;Result=3","7059786")</f>
        <v>0</v>
      </c>
      <c r="B11786" t="s">
        <v>1786</v>
      </c>
      <c r="C11786" t="s">
        <v>14772</v>
      </c>
      <c r="D11786" t="s">
        <v>18133</v>
      </c>
      <c r="E11786" t="s">
        <v>28418</v>
      </c>
      <c r="F11786" t="s">
        <v>31362</v>
      </c>
      <c r="G11786" t="s">
        <v>31369</v>
      </c>
      <c r="H11786" t="s">
        <v>15799</v>
      </c>
      <c r="I11786" t="s">
        <v>4942</v>
      </c>
      <c r="J11786" t="s">
        <v>38700</v>
      </c>
      <c r="K11786" t="s">
        <v>40665</v>
      </c>
      <c r="M11786" t="s">
        <v>42867</v>
      </c>
      <c r="N11786" t="s">
        <v>44905</v>
      </c>
      <c r="O11786" t="s">
        <v>44906</v>
      </c>
      <c r="P11786">
        <v>0</v>
      </c>
      <c r="Q11786">
        <v>0</v>
      </c>
      <c r="R11786" t="s">
        <v>44917</v>
      </c>
      <c r="S11786" t="s">
        <v>45386</v>
      </c>
      <c r="T11786" t="s">
        <v>46414</v>
      </c>
      <c r="U11786" t="s">
        <v>56343</v>
      </c>
      <c r="W11786" t="s">
        <v>42867</v>
      </c>
      <c r="X11786" t="s">
        <v>44918</v>
      </c>
    </row>
    <row r="11787" spans="1:24">
      <c r="A11787">
        <f>HYPERLINK("https://www.philgeps.gov.ph/GEPSNONPILOT/Tender/SplashBidNoticeAbstractUI.aspx?menuIndex=3&amp;refID=7059768&amp;Result=3","7059768")</f>
        <v>0</v>
      </c>
      <c r="B11787" t="s">
        <v>2949</v>
      </c>
      <c r="C11787" t="s">
        <v>14773</v>
      </c>
      <c r="E11787" t="s">
        <v>28419</v>
      </c>
      <c r="F11787" t="s">
        <v>31362</v>
      </c>
      <c r="G11787" t="s">
        <v>31369</v>
      </c>
      <c r="H11787" t="s">
        <v>31378</v>
      </c>
      <c r="I11787" t="s">
        <v>31386</v>
      </c>
      <c r="J11787" t="s">
        <v>38701</v>
      </c>
      <c r="K11787" t="s">
        <v>40682</v>
      </c>
      <c r="M11787" t="s">
        <v>44171</v>
      </c>
      <c r="N11787" t="s">
        <v>44905</v>
      </c>
      <c r="O11787" t="s">
        <v>44906</v>
      </c>
      <c r="P11787">
        <v>0</v>
      </c>
      <c r="Q11787">
        <v>1</v>
      </c>
      <c r="R11787" t="s">
        <v>44917</v>
      </c>
      <c r="S11787" t="s">
        <v>45386</v>
      </c>
      <c r="T11787" t="s">
        <v>46635</v>
      </c>
      <c r="U11787" t="s">
        <v>56344</v>
      </c>
      <c r="W11787" t="s">
        <v>44171</v>
      </c>
      <c r="X11787" t="s">
        <v>44918</v>
      </c>
    </row>
    <row r="11788" spans="1:24">
      <c r="A11788">
        <f>HYPERLINK("https://www.philgeps.gov.ph/GEPSNONPILOT/Tender/SplashBidNoticeAbstractUI.aspx?menuIndex=3&amp;refID=7059784&amp;Result=3","7059784")</f>
        <v>0</v>
      </c>
      <c r="B11788" t="s">
        <v>3131</v>
      </c>
      <c r="C11788" t="s">
        <v>14768</v>
      </c>
      <c r="D11788" t="s">
        <v>18148</v>
      </c>
      <c r="E11788" t="s">
        <v>28420</v>
      </c>
      <c r="F11788" t="s">
        <v>31362</v>
      </c>
      <c r="G11788" t="s">
        <v>31369</v>
      </c>
      <c r="H11788" t="s">
        <v>15799</v>
      </c>
      <c r="I11788" t="s">
        <v>31398</v>
      </c>
      <c r="J11788" t="s">
        <v>31531</v>
      </c>
      <c r="K11788" t="s">
        <v>40665</v>
      </c>
      <c r="M11788" t="s">
        <v>44389</v>
      </c>
      <c r="N11788" t="s">
        <v>44905</v>
      </c>
      <c r="O11788" t="s">
        <v>44906</v>
      </c>
      <c r="P11788">
        <v>0</v>
      </c>
      <c r="Q11788">
        <v>3</v>
      </c>
      <c r="R11788" t="s">
        <v>44917</v>
      </c>
      <c r="S11788" t="s">
        <v>45386</v>
      </c>
      <c r="T11788" t="s">
        <v>46481</v>
      </c>
      <c r="U11788" t="s">
        <v>56345</v>
      </c>
      <c r="W11788" t="s">
        <v>44389</v>
      </c>
      <c r="X11788" t="s">
        <v>44918</v>
      </c>
    </row>
    <row r="11789" spans="1:24">
      <c r="A11789">
        <f>HYPERLINK("https://www.philgeps.gov.ph/GEPSNONPILOT/Tender/SplashBidNoticeAbstractUI.aspx?menuIndex=3&amp;refID=7059778&amp;Result=3","7059778")</f>
        <v>0</v>
      </c>
      <c r="B11789" t="s">
        <v>1655</v>
      </c>
      <c r="C11789" t="s">
        <v>14774</v>
      </c>
      <c r="D11789" t="s">
        <v>18136</v>
      </c>
      <c r="E11789" t="s">
        <v>28421</v>
      </c>
      <c r="F11789" t="s">
        <v>31362</v>
      </c>
      <c r="G11789" t="s">
        <v>31369</v>
      </c>
      <c r="H11789" t="s">
        <v>31378</v>
      </c>
      <c r="I11789" t="s">
        <v>31386</v>
      </c>
      <c r="J11789" t="s">
        <v>38702</v>
      </c>
      <c r="K11789" t="s">
        <v>40682</v>
      </c>
      <c r="M11789" t="s">
        <v>43362</v>
      </c>
      <c r="N11789" t="s">
        <v>44905</v>
      </c>
      <c r="O11789" t="s">
        <v>44906</v>
      </c>
      <c r="P11789">
        <v>0</v>
      </c>
      <c r="Q11789">
        <v>2</v>
      </c>
      <c r="R11789" t="s">
        <v>44917</v>
      </c>
      <c r="S11789" t="s">
        <v>45386</v>
      </c>
      <c r="T11789" t="s">
        <v>46524</v>
      </c>
      <c r="U11789" t="s">
        <v>56346</v>
      </c>
      <c r="W11789" t="s">
        <v>43362</v>
      </c>
      <c r="X11789" t="s">
        <v>44918</v>
      </c>
    </row>
    <row r="11790" spans="1:24">
      <c r="A11790">
        <f>HYPERLINK("https://www.philgeps.gov.ph/GEPSNONPILOT/Tender/SplashBidNoticeAbstractUI.aspx?menuIndex=3&amp;refID=7059801&amp;Result=3","7059801")</f>
        <v>0</v>
      </c>
      <c r="B11790" t="s">
        <v>1373</v>
      </c>
      <c r="C11790" t="s">
        <v>14775</v>
      </c>
      <c r="D11790" t="s">
        <v>18109</v>
      </c>
      <c r="E11790" t="s">
        <v>28422</v>
      </c>
      <c r="F11790" t="s">
        <v>31362</v>
      </c>
      <c r="G11790" t="s">
        <v>31370</v>
      </c>
      <c r="H11790" t="s">
        <v>15799</v>
      </c>
      <c r="I11790" t="s">
        <v>31445</v>
      </c>
      <c r="J11790" t="s">
        <v>31987</v>
      </c>
      <c r="K11790" t="s">
        <v>40662</v>
      </c>
      <c r="M11790" t="s">
        <v>42396</v>
      </c>
      <c r="N11790" t="s">
        <v>44905</v>
      </c>
      <c r="O11790" t="s">
        <v>44906</v>
      </c>
      <c r="Q11790">
        <v>3</v>
      </c>
      <c r="R11790" t="s">
        <v>44917</v>
      </c>
      <c r="S11790" t="s">
        <v>45405</v>
      </c>
      <c r="T11790" t="s">
        <v>46454</v>
      </c>
      <c r="U11790" t="s">
        <v>49998</v>
      </c>
      <c r="W11790" t="s">
        <v>42396</v>
      </c>
      <c r="X11790" t="s">
        <v>44918</v>
      </c>
    </row>
    <row r="11791" spans="1:24">
      <c r="A11791">
        <f>HYPERLINK("https://www.philgeps.gov.ph/GEPSNONPILOT/Tender/SplashBidNoticeAbstractUI.aspx?menuIndex=3&amp;refID=7059906&amp;Result=3","7059906")</f>
        <v>0</v>
      </c>
      <c r="B11791" t="s">
        <v>2288</v>
      </c>
      <c r="C11791" t="s">
        <v>14776</v>
      </c>
      <c r="D11791" t="s">
        <v>18108</v>
      </c>
      <c r="E11791" t="s">
        <v>28423</v>
      </c>
      <c r="F11791" t="s">
        <v>31362</v>
      </c>
      <c r="G11791" t="s">
        <v>31369</v>
      </c>
      <c r="H11791" t="s">
        <v>15799</v>
      </c>
      <c r="I11791" t="s">
        <v>31393</v>
      </c>
      <c r="J11791" t="s">
        <v>38703</v>
      </c>
      <c r="K11791" t="s">
        <v>40678</v>
      </c>
      <c r="M11791" t="s">
        <v>43428</v>
      </c>
      <c r="N11791" t="s">
        <v>44905</v>
      </c>
      <c r="O11791" t="s">
        <v>44906</v>
      </c>
      <c r="P11791">
        <v>0</v>
      </c>
      <c r="Q11791">
        <v>25</v>
      </c>
      <c r="R11791" t="s">
        <v>44917</v>
      </c>
      <c r="S11791" t="s">
        <v>45386</v>
      </c>
      <c r="T11791" t="s">
        <v>46561</v>
      </c>
      <c r="U11791" t="s">
        <v>56347</v>
      </c>
      <c r="W11791" t="s">
        <v>43428</v>
      </c>
      <c r="X11791" t="s">
        <v>44918</v>
      </c>
    </row>
    <row r="11792" spans="1:24">
      <c r="A11792">
        <f>HYPERLINK("https://www.philgeps.gov.ph/GEPSNONPILOT/Tender/SplashBidNoticeAbstractUI.aspx?menuIndex=3&amp;refID=7059896&amp;Result=3","7059896")</f>
        <v>0</v>
      </c>
      <c r="B11792" t="s">
        <v>3133</v>
      </c>
      <c r="C11792" t="s">
        <v>14777</v>
      </c>
      <c r="D11792" t="s">
        <v>18136</v>
      </c>
      <c r="E11792" t="s">
        <v>28424</v>
      </c>
      <c r="F11792" t="s">
        <v>31362</v>
      </c>
      <c r="G11792" t="s">
        <v>31369</v>
      </c>
      <c r="H11792" t="s">
        <v>15799</v>
      </c>
      <c r="I11792" t="s">
        <v>31415</v>
      </c>
      <c r="J11792" t="s">
        <v>31578</v>
      </c>
      <c r="K11792" t="s">
        <v>40666</v>
      </c>
      <c r="M11792" t="s">
        <v>44391</v>
      </c>
      <c r="N11792" t="s">
        <v>44905</v>
      </c>
      <c r="O11792" t="s">
        <v>44906</v>
      </c>
      <c r="P11792">
        <v>0</v>
      </c>
      <c r="Q11792">
        <v>0</v>
      </c>
      <c r="R11792" t="s">
        <v>44917</v>
      </c>
      <c r="S11792" t="s">
        <v>45386</v>
      </c>
      <c r="T11792" t="s">
        <v>46416</v>
      </c>
      <c r="U11792" t="s">
        <v>56348</v>
      </c>
      <c r="V11792" t="s">
        <v>60317</v>
      </c>
      <c r="W11792" t="s">
        <v>44391</v>
      </c>
      <c r="X11792" t="s">
        <v>44918</v>
      </c>
    </row>
    <row r="11793" spans="1:24">
      <c r="A11793">
        <f>HYPERLINK("https://www.philgeps.gov.ph/GEPSNONPILOT/Tender/SplashBidNoticeAbstractUI.aspx?menuIndex=3&amp;refID=7059880&amp;Result=3","7059880")</f>
        <v>0</v>
      </c>
      <c r="B11793" t="s">
        <v>1674</v>
      </c>
      <c r="C11793" t="s">
        <v>14778</v>
      </c>
      <c r="D11793" t="s">
        <v>18155</v>
      </c>
      <c r="E11793" t="s">
        <v>28425</v>
      </c>
      <c r="F11793" t="s">
        <v>31362</v>
      </c>
      <c r="G11793" t="s">
        <v>31369</v>
      </c>
      <c r="H11793" t="s">
        <v>31378</v>
      </c>
      <c r="I11793" t="s">
        <v>31386</v>
      </c>
      <c r="J11793" t="s">
        <v>38704</v>
      </c>
      <c r="K11793" t="s">
        <v>40686</v>
      </c>
      <c r="M11793" t="s">
        <v>44392</v>
      </c>
      <c r="N11793" t="s">
        <v>44905</v>
      </c>
      <c r="O11793" t="s">
        <v>44906</v>
      </c>
      <c r="Q11793">
        <v>0</v>
      </c>
      <c r="R11793" t="s">
        <v>44917</v>
      </c>
      <c r="S11793" t="s">
        <v>45406</v>
      </c>
      <c r="T11793" t="s">
        <v>46481</v>
      </c>
      <c r="U11793" t="s">
        <v>56349</v>
      </c>
      <c r="W11793" t="s">
        <v>44392</v>
      </c>
      <c r="X11793" t="s">
        <v>44918</v>
      </c>
    </row>
    <row r="11794" spans="1:24">
      <c r="A11794">
        <f>HYPERLINK("https://www.philgeps.gov.ph/GEPSNONPILOT/Tender/SplashBidNoticeAbstractUI.aspx?menuIndex=3&amp;refID=7059879&amp;Result=3","7059879")</f>
        <v>0</v>
      </c>
      <c r="B11794" t="s">
        <v>2391</v>
      </c>
      <c r="C11794" t="s">
        <v>14779</v>
      </c>
      <c r="D11794" t="s">
        <v>18106</v>
      </c>
      <c r="E11794" t="s">
        <v>28426</v>
      </c>
      <c r="F11794" t="s">
        <v>31362</v>
      </c>
      <c r="G11794" t="s">
        <v>31369</v>
      </c>
      <c r="H11794" t="s">
        <v>31378</v>
      </c>
      <c r="I11794" t="s">
        <v>31386</v>
      </c>
      <c r="J11794" t="s">
        <v>33435</v>
      </c>
      <c r="K11794" t="s">
        <v>40678</v>
      </c>
      <c r="M11794" t="s">
        <v>43543</v>
      </c>
      <c r="N11794" t="s">
        <v>44905</v>
      </c>
      <c r="O11794" t="s">
        <v>44906</v>
      </c>
      <c r="P11794">
        <v>0</v>
      </c>
      <c r="Q11794">
        <v>3</v>
      </c>
      <c r="R11794" t="s">
        <v>44917</v>
      </c>
      <c r="S11794" t="s">
        <v>45386</v>
      </c>
      <c r="T11794" t="s">
        <v>46542</v>
      </c>
      <c r="U11794" t="s">
        <v>56350</v>
      </c>
      <c r="W11794" t="s">
        <v>43543</v>
      </c>
      <c r="X11794" t="s">
        <v>44918</v>
      </c>
    </row>
    <row r="11795" spans="1:24">
      <c r="A11795">
        <f>HYPERLINK("https://www.philgeps.gov.ph/GEPSNONPILOT/Tender/SplashBidNoticeAbstractUI.aspx?menuIndex=3&amp;refID=7059845&amp;Result=3","7059845")</f>
        <v>0</v>
      </c>
      <c r="B11795" t="s">
        <v>3134</v>
      </c>
      <c r="C11795" t="s">
        <v>14780</v>
      </c>
      <c r="D11795" t="s">
        <v>18142</v>
      </c>
      <c r="E11795" t="s">
        <v>19877</v>
      </c>
      <c r="F11795" t="s">
        <v>31362</v>
      </c>
      <c r="G11795" t="s">
        <v>31369</v>
      </c>
      <c r="H11795" t="s">
        <v>15799</v>
      </c>
      <c r="I11795" t="s">
        <v>31409</v>
      </c>
      <c r="J11795" t="s">
        <v>34906</v>
      </c>
      <c r="K11795" t="s">
        <v>40677</v>
      </c>
      <c r="M11795" t="s">
        <v>44393</v>
      </c>
      <c r="N11795" t="s">
        <v>44905</v>
      </c>
      <c r="O11795" t="s">
        <v>44906</v>
      </c>
      <c r="P11795">
        <v>0</v>
      </c>
      <c r="Q11795">
        <v>3</v>
      </c>
      <c r="R11795" t="s">
        <v>44917</v>
      </c>
      <c r="S11795" t="s">
        <v>45386</v>
      </c>
      <c r="T11795" t="s">
        <v>46447</v>
      </c>
      <c r="U11795" t="s">
        <v>56351</v>
      </c>
      <c r="V11795" t="s">
        <v>60318</v>
      </c>
      <c r="W11795" t="s">
        <v>44393</v>
      </c>
      <c r="X11795" t="s">
        <v>44918</v>
      </c>
    </row>
    <row r="11796" spans="1:24">
      <c r="A11796">
        <f>HYPERLINK("https://www.philgeps.gov.ph/GEPSNONPILOT/Tender/SplashBidNoticeAbstractUI.aspx?menuIndex=3&amp;refID=7059868&amp;Result=3","7059868")</f>
        <v>0</v>
      </c>
      <c r="B11796" t="s">
        <v>629</v>
      </c>
      <c r="C11796" t="s">
        <v>14781</v>
      </c>
      <c r="D11796" t="s">
        <v>18160</v>
      </c>
      <c r="E11796" t="s">
        <v>28427</v>
      </c>
      <c r="F11796" t="s">
        <v>31362</v>
      </c>
      <c r="G11796" t="s">
        <v>31369</v>
      </c>
      <c r="H11796" t="s">
        <v>31378</v>
      </c>
      <c r="I11796" t="s">
        <v>31386</v>
      </c>
      <c r="J11796" t="s">
        <v>38705</v>
      </c>
      <c r="K11796" t="s">
        <v>40686</v>
      </c>
      <c r="M11796" t="s">
        <v>41589</v>
      </c>
      <c r="N11796" t="s">
        <v>44905</v>
      </c>
      <c r="O11796" t="s">
        <v>44906</v>
      </c>
      <c r="P11796">
        <v>0</v>
      </c>
      <c r="Q11796">
        <v>0</v>
      </c>
      <c r="R11796" t="s">
        <v>44917</v>
      </c>
      <c r="S11796" t="s">
        <v>45386</v>
      </c>
      <c r="T11796" t="s">
        <v>46481</v>
      </c>
      <c r="U11796" t="s">
        <v>55055</v>
      </c>
      <c r="W11796" t="s">
        <v>41589</v>
      </c>
      <c r="X11796" t="s">
        <v>44918</v>
      </c>
    </row>
    <row r="11797" spans="1:24">
      <c r="A11797">
        <f>HYPERLINK("https://www.philgeps.gov.ph/GEPSNONPILOT/Tender/SplashBidNoticeAbstractUI.aspx?menuIndex=3&amp;refID=7059917&amp;Result=3","7059917")</f>
        <v>0</v>
      </c>
      <c r="B11797" t="s">
        <v>3092</v>
      </c>
      <c r="C11797" t="s">
        <v>14782</v>
      </c>
      <c r="D11797" t="s">
        <v>18155</v>
      </c>
      <c r="E11797" t="s">
        <v>28428</v>
      </c>
      <c r="F11797" t="s">
        <v>31362</v>
      </c>
      <c r="G11797" t="s">
        <v>31369</v>
      </c>
      <c r="H11797" t="s">
        <v>31378</v>
      </c>
      <c r="I11797" t="s">
        <v>31386</v>
      </c>
      <c r="J11797" t="s">
        <v>31625</v>
      </c>
      <c r="K11797" t="s">
        <v>40682</v>
      </c>
      <c r="M11797" t="s">
        <v>44336</v>
      </c>
      <c r="N11797" t="s">
        <v>44905</v>
      </c>
      <c r="O11797" t="s">
        <v>44906</v>
      </c>
      <c r="P11797">
        <v>0</v>
      </c>
      <c r="Q11797">
        <v>0</v>
      </c>
      <c r="R11797" t="s">
        <v>44917</v>
      </c>
      <c r="S11797" t="s">
        <v>45386</v>
      </c>
      <c r="T11797" t="s">
        <v>46392</v>
      </c>
      <c r="U11797" t="s">
        <v>56352</v>
      </c>
      <c r="V11797" t="s">
        <v>60295</v>
      </c>
      <c r="W11797" t="s">
        <v>44336</v>
      </c>
      <c r="X11797" t="s">
        <v>44918</v>
      </c>
    </row>
    <row r="11798" spans="1:24">
      <c r="A11798">
        <f>HYPERLINK("https://www.philgeps.gov.ph/GEPSNONPILOT/Tender/SplashBidNoticeAbstractUI.aspx?menuIndex=3&amp;refID=7059984&amp;Result=3","7059984")</f>
        <v>0</v>
      </c>
      <c r="B11798" t="s">
        <v>3135</v>
      </c>
      <c r="C11798" t="s">
        <v>14783</v>
      </c>
      <c r="D11798" t="s">
        <v>18104</v>
      </c>
      <c r="E11798" t="s">
        <v>28429</v>
      </c>
      <c r="F11798" t="s">
        <v>31362</v>
      </c>
      <c r="G11798" t="s">
        <v>31369</v>
      </c>
      <c r="H11798" t="s">
        <v>15799</v>
      </c>
      <c r="I11798" t="s">
        <v>31422</v>
      </c>
      <c r="J11798" t="s">
        <v>31591</v>
      </c>
      <c r="K11798" t="s">
        <v>40665</v>
      </c>
      <c r="L11798" t="s">
        <v>3135</v>
      </c>
      <c r="M11798" t="s">
        <v>44394</v>
      </c>
      <c r="N11798" t="s">
        <v>44905</v>
      </c>
      <c r="O11798" t="s">
        <v>44906</v>
      </c>
      <c r="P11798">
        <v>0</v>
      </c>
      <c r="Q11798">
        <v>3</v>
      </c>
      <c r="R11798" t="s">
        <v>44917</v>
      </c>
      <c r="S11798" t="s">
        <v>45386</v>
      </c>
      <c r="T11798" t="s">
        <v>46425</v>
      </c>
      <c r="U11798" t="s">
        <v>56353</v>
      </c>
      <c r="W11798" t="s">
        <v>44394</v>
      </c>
      <c r="X11798" t="s">
        <v>44918</v>
      </c>
    </row>
    <row r="11799" spans="1:24">
      <c r="A11799">
        <f>HYPERLINK("https://www.philgeps.gov.ph/GEPSNONPILOT/Tender/SplashBidNoticeAbstractUI.aspx?menuIndex=3&amp;refID=7059981&amp;Result=3","7059981")</f>
        <v>0</v>
      </c>
      <c r="B11799" t="s">
        <v>1846</v>
      </c>
      <c r="C11799" t="s">
        <v>14784</v>
      </c>
      <c r="D11799" t="s">
        <v>18127</v>
      </c>
      <c r="E11799" t="s">
        <v>28430</v>
      </c>
      <c r="F11799" t="s">
        <v>31362</v>
      </c>
      <c r="G11799" t="s">
        <v>31369</v>
      </c>
      <c r="H11799" t="s">
        <v>15799</v>
      </c>
      <c r="I11799" t="s">
        <v>6373</v>
      </c>
      <c r="J11799" t="s">
        <v>38706</v>
      </c>
      <c r="K11799" t="s">
        <v>40666</v>
      </c>
      <c r="M11799" t="s">
        <v>42934</v>
      </c>
      <c r="N11799" t="s">
        <v>44905</v>
      </c>
      <c r="O11799" t="s">
        <v>44906</v>
      </c>
      <c r="P11799">
        <v>0</v>
      </c>
      <c r="Q11799">
        <v>2</v>
      </c>
      <c r="R11799" t="s">
        <v>44917</v>
      </c>
      <c r="S11799" t="s">
        <v>45386</v>
      </c>
      <c r="T11799" t="s">
        <v>46447</v>
      </c>
      <c r="U11799" t="s">
        <v>56354</v>
      </c>
      <c r="W11799" t="s">
        <v>42934</v>
      </c>
      <c r="X11799" t="s">
        <v>44918</v>
      </c>
    </row>
    <row r="11800" spans="1:24">
      <c r="A11800">
        <f>HYPERLINK("https://www.philgeps.gov.ph/GEPSNONPILOT/Tender/SplashBidNoticeAbstractUI.aspx?menuIndex=3&amp;refID=7059887&amp;Result=3","7059887")</f>
        <v>0</v>
      </c>
      <c r="B11800" t="s">
        <v>2391</v>
      </c>
      <c r="C11800" t="s">
        <v>14785</v>
      </c>
      <c r="D11800" t="s">
        <v>18106</v>
      </c>
      <c r="E11800" t="s">
        <v>28431</v>
      </c>
      <c r="F11800" t="s">
        <v>31362</v>
      </c>
      <c r="G11800" t="s">
        <v>31369</v>
      </c>
      <c r="H11800" t="s">
        <v>31378</v>
      </c>
      <c r="I11800" t="s">
        <v>31386</v>
      </c>
      <c r="J11800" t="s">
        <v>33435</v>
      </c>
      <c r="K11800" t="s">
        <v>40678</v>
      </c>
      <c r="M11800" t="s">
        <v>43543</v>
      </c>
      <c r="N11800" t="s">
        <v>44905</v>
      </c>
      <c r="O11800" t="s">
        <v>44906</v>
      </c>
      <c r="P11800">
        <v>0</v>
      </c>
      <c r="Q11800">
        <v>2</v>
      </c>
      <c r="R11800" t="s">
        <v>44917</v>
      </c>
      <c r="S11800" t="s">
        <v>45386</v>
      </c>
      <c r="T11800" t="s">
        <v>46542</v>
      </c>
      <c r="U11800" t="s">
        <v>49253</v>
      </c>
      <c r="W11800" t="s">
        <v>43543</v>
      </c>
      <c r="X11800" t="s">
        <v>44918</v>
      </c>
    </row>
    <row r="11801" spans="1:24">
      <c r="A11801">
        <f>HYPERLINK("https://www.philgeps.gov.ph/GEPSNONPILOT/Tender/SplashBidNoticeAbstractUI.aspx?menuIndex=3&amp;refID=7059817&amp;Result=3","7059817")</f>
        <v>0</v>
      </c>
      <c r="B11801" t="s">
        <v>2962</v>
      </c>
      <c r="C11801" t="s">
        <v>14786</v>
      </c>
      <c r="D11801" t="s">
        <v>18122</v>
      </c>
      <c r="E11801" t="s">
        <v>18475</v>
      </c>
      <c r="F11801" t="s">
        <v>31362</v>
      </c>
      <c r="G11801" t="s">
        <v>31369</v>
      </c>
      <c r="H11801" t="s">
        <v>31379</v>
      </c>
      <c r="I11801" t="s">
        <v>31399</v>
      </c>
      <c r="J11801" t="s">
        <v>31546</v>
      </c>
      <c r="K11801" t="s">
        <v>40665</v>
      </c>
      <c r="M11801" t="s">
        <v>44185</v>
      </c>
      <c r="N11801" t="s">
        <v>44905</v>
      </c>
      <c r="O11801" t="s">
        <v>44906</v>
      </c>
      <c r="P11801">
        <v>0</v>
      </c>
      <c r="Q11801">
        <v>0</v>
      </c>
      <c r="R11801" t="s">
        <v>44917</v>
      </c>
      <c r="S11801" t="s">
        <v>45386</v>
      </c>
      <c r="T11801" t="s">
        <v>46400</v>
      </c>
      <c r="U11801" t="s">
        <v>56355</v>
      </c>
      <c r="W11801" t="s">
        <v>44185</v>
      </c>
      <c r="X11801" t="s">
        <v>44918</v>
      </c>
    </row>
    <row r="11802" spans="1:24">
      <c r="A11802">
        <f>HYPERLINK("https://www.philgeps.gov.ph/GEPSNONPILOT/Tender/SplashBidNoticeAbstractUI.aspx?menuIndex=3&amp;refID=7059968&amp;Result=3","7059968")</f>
        <v>0</v>
      </c>
      <c r="B11802" t="s">
        <v>92</v>
      </c>
      <c r="C11802" t="s">
        <v>14787</v>
      </c>
      <c r="D11802" t="s">
        <v>18100</v>
      </c>
      <c r="E11802" t="s">
        <v>28432</v>
      </c>
      <c r="F11802" t="s">
        <v>31362</v>
      </c>
      <c r="G11802" t="s">
        <v>31369</v>
      </c>
      <c r="H11802" t="s">
        <v>31378</v>
      </c>
      <c r="I11802" t="s">
        <v>31386</v>
      </c>
      <c r="J11802" t="s">
        <v>31957</v>
      </c>
      <c r="K11802" t="s">
        <v>40898</v>
      </c>
      <c r="M11802" t="s">
        <v>41029</v>
      </c>
      <c r="N11802" t="s">
        <v>44905</v>
      </c>
      <c r="O11802" t="s">
        <v>44906</v>
      </c>
      <c r="P11802">
        <v>0</v>
      </c>
      <c r="Q11802">
        <v>14</v>
      </c>
      <c r="R11802" t="s">
        <v>44917</v>
      </c>
      <c r="S11802" t="s">
        <v>45386</v>
      </c>
      <c r="T11802" t="s">
        <v>46560</v>
      </c>
      <c r="U11802" t="s">
        <v>56356</v>
      </c>
      <c r="W11802" t="s">
        <v>60961</v>
      </c>
      <c r="X11802" t="s">
        <v>44918</v>
      </c>
    </row>
    <row r="11803" spans="1:24">
      <c r="A11803">
        <f>HYPERLINK("https://www.philgeps.gov.ph/GEPSNONPILOT/Tender/SplashBidNoticeAbstractUI.aspx?menuIndex=3&amp;refID=7059962&amp;Result=3","7059962")</f>
        <v>0</v>
      </c>
      <c r="B11803" t="s">
        <v>1740</v>
      </c>
      <c r="C11803" t="s">
        <v>14788</v>
      </c>
      <c r="D11803" t="s">
        <v>18164</v>
      </c>
      <c r="E11803" t="s">
        <v>28433</v>
      </c>
      <c r="F11803" t="s">
        <v>31362</v>
      </c>
      <c r="G11803" t="s">
        <v>31369</v>
      </c>
      <c r="H11803" t="s">
        <v>15799</v>
      </c>
      <c r="I11803" t="s">
        <v>6240</v>
      </c>
      <c r="J11803" t="s">
        <v>38707</v>
      </c>
      <c r="K11803" t="s">
        <v>40665</v>
      </c>
      <c r="M11803" t="s">
        <v>42815</v>
      </c>
      <c r="N11803" t="s">
        <v>44905</v>
      </c>
      <c r="O11803" t="s">
        <v>44906</v>
      </c>
      <c r="P11803">
        <v>0</v>
      </c>
      <c r="Q11803">
        <v>0</v>
      </c>
      <c r="R11803" t="s">
        <v>44917</v>
      </c>
      <c r="S11803" t="s">
        <v>45386</v>
      </c>
      <c r="T11803" t="s">
        <v>46457</v>
      </c>
      <c r="U11803" t="s">
        <v>56357</v>
      </c>
      <c r="W11803" t="s">
        <v>42815</v>
      </c>
      <c r="X11803" t="s">
        <v>44918</v>
      </c>
    </row>
    <row r="11804" spans="1:24">
      <c r="A11804">
        <f>HYPERLINK("https://www.philgeps.gov.ph/GEPSNONPILOT/Tender/SplashBidNoticeAbstractUI.aspx?menuIndex=3&amp;refID=7059954&amp;Result=3","7059954")</f>
        <v>0</v>
      </c>
      <c r="B11804" t="s">
        <v>3136</v>
      </c>
      <c r="C11804" t="s">
        <v>14789</v>
      </c>
      <c r="D11804" t="s">
        <v>18117</v>
      </c>
      <c r="E11804" t="s">
        <v>28434</v>
      </c>
      <c r="F11804" t="s">
        <v>31362</v>
      </c>
      <c r="G11804" t="s">
        <v>31369</v>
      </c>
      <c r="H11804" t="s">
        <v>15799</v>
      </c>
      <c r="I11804" t="s">
        <v>3815</v>
      </c>
      <c r="J11804" t="s">
        <v>38708</v>
      </c>
      <c r="K11804" t="s">
        <v>40670</v>
      </c>
      <c r="M11804" t="s">
        <v>44395</v>
      </c>
      <c r="N11804" t="s">
        <v>44905</v>
      </c>
      <c r="O11804" t="s">
        <v>44906</v>
      </c>
      <c r="P11804">
        <v>0</v>
      </c>
      <c r="Q11804">
        <v>0</v>
      </c>
      <c r="R11804" t="s">
        <v>44917</v>
      </c>
      <c r="S11804" t="s">
        <v>45386</v>
      </c>
      <c r="T11804" t="s">
        <v>46481</v>
      </c>
      <c r="U11804" t="s">
        <v>56358</v>
      </c>
      <c r="V11804" t="s">
        <v>60319</v>
      </c>
      <c r="W11804" t="s">
        <v>44395</v>
      </c>
      <c r="X11804" t="s">
        <v>44918</v>
      </c>
    </row>
    <row r="11805" spans="1:24">
      <c r="A11805">
        <f>HYPERLINK("https://www.philgeps.gov.ph/GEPSNONPILOT/Tender/SplashBidNoticeAbstractUI.aspx?menuIndex=3&amp;refID=7060017&amp;Result=3","7060017")</f>
        <v>0</v>
      </c>
      <c r="B11805" t="s">
        <v>400</v>
      </c>
      <c r="C11805" t="s">
        <v>14790</v>
      </c>
      <c r="D11805" t="s">
        <v>18178</v>
      </c>
      <c r="E11805" t="s">
        <v>28435</v>
      </c>
      <c r="F11805" t="s">
        <v>31362</v>
      </c>
      <c r="G11805" t="s">
        <v>31369</v>
      </c>
      <c r="H11805" t="s">
        <v>15799</v>
      </c>
      <c r="I11805" t="s">
        <v>31414</v>
      </c>
      <c r="J11805" t="s">
        <v>31625</v>
      </c>
      <c r="K11805" t="s">
        <v>40661</v>
      </c>
      <c r="M11805" t="s">
        <v>41349</v>
      </c>
      <c r="N11805" t="s">
        <v>44905</v>
      </c>
      <c r="O11805" t="s">
        <v>44906</v>
      </c>
      <c r="P11805">
        <v>0</v>
      </c>
      <c r="Q11805">
        <v>3</v>
      </c>
      <c r="R11805" t="s">
        <v>44917</v>
      </c>
      <c r="S11805" t="s">
        <v>45386</v>
      </c>
      <c r="T11805" t="s">
        <v>46442</v>
      </c>
      <c r="U11805" t="s">
        <v>56359</v>
      </c>
      <c r="V11805" t="s">
        <v>60320</v>
      </c>
      <c r="W11805" t="s">
        <v>41349</v>
      </c>
      <c r="X11805" t="s">
        <v>44918</v>
      </c>
    </row>
    <row r="11806" spans="1:24">
      <c r="A11806">
        <f>HYPERLINK("https://www.philgeps.gov.ph/GEPSNONPILOT/Tender/SplashBidNoticeAbstractUI.aspx?menuIndex=3&amp;refID=7059976&amp;Result=3","7059976")</f>
        <v>0</v>
      </c>
      <c r="B11806" t="s">
        <v>2756</v>
      </c>
      <c r="C11806" t="s">
        <v>14791</v>
      </c>
      <c r="D11806" t="s">
        <v>18158</v>
      </c>
      <c r="E11806" t="s">
        <v>18548</v>
      </c>
      <c r="F11806" t="s">
        <v>31362</v>
      </c>
      <c r="G11806" t="s">
        <v>31369</v>
      </c>
      <c r="H11806" t="s">
        <v>31379</v>
      </c>
      <c r="I11806" t="s">
        <v>3815</v>
      </c>
      <c r="J11806" t="s">
        <v>37926</v>
      </c>
      <c r="K11806" t="s">
        <v>40666</v>
      </c>
      <c r="M11806" t="s">
        <v>43947</v>
      </c>
      <c r="N11806" t="s">
        <v>44905</v>
      </c>
      <c r="O11806" t="s">
        <v>44906</v>
      </c>
      <c r="P11806">
        <v>0</v>
      </c>
      <c r="Q11806">
        <v>0</v>
      </c>
      <c r="R11806" t="s">
        <v>44917</v>
      </c>
      <c r="S11806" t="s">
        <v>45386</v>
      </c>
      <c r="T11806" t="s">
        <v>46396</v>
      </c>
      <c r="U11806" t="s">
        <v>56360</v>
      </c>
      <c r="W11806" t="s">
        <v>43947</v>
      </c>
      <c r="X11806" t="s">
        <v>44918</v>
      </c>
    </row>
    <row r="11807" spans="1:24">
      <c r="A11807">
        <f>HYPERLINK("https://www.philgeps.gov.ph/GEPSNONPILOT/Tender/SplashBidNoticeAbstractUI.aspx?menuIndex=3&amp;refID=7059971&amp;Result=3","7059971")</f>
        <v>0</v>
      </c>
      <c r="B11807" t="s">
        <v>3135</v>
      </c>
      <c r="C11807" t="s">
        <v>14792</v>
      </c>
      <c r="E11807" t="s">
        <v>28436</v>
      </c>
      <c r="F11807" t="s">
        <v>31362</v>
      </c>
      <c r="G11807" t="s">
        <v>31369</v>
      </c>
      <c r="H11807" t="s">
        <v>15799</v>
      </c>
      <c r="I11807" t="s">
        <v>31398</v>
      </c>
      <c r="J11807" t="s">
        <v>31578</v>
      </c>
      <c r="K11807" t="s">
        <v>40682</v>
      </c>
      <c r="L11807" t="s">
        <v>3135</v>
      </c>
      <c r="M11807" t="s">
        <v>44394</v>
      </c>
      <c r="N11807" t="s">
        <v>44905</v>
      </c>
      <c r="O11807" t="s">
        <v>44906</v>
      </c>
      <c r="P11807">
        <v>0</v>
      </c>
      <c r="Q11807">
        <v>0</v>
      </c>
      <c r="R11807" t="s">
        <v>44917</v>
      </c>
      <c r="S11807" t="s">
        <v>45386</v>
      </c>
      <c r="T11807" t="s">
        <v>46425</v>
      </c>
      <c r="U11807" t="s">
        <v>56361</v>
      </c>
      <c r="W11807" t="s">
        <v>44394</v>
      </c>
      <c r="X11807" t="s">
        <v>44918</v>
      </c>
    </row>
    <row r="11808" spans="1:24">
      <c r="A11808">
        <f>HYPERLINK("https://www.philgeps.gov.ph/GEPSNONPILOT/Tender/SplashBidNoticeAbstractUI.aspx?menuIndex=3&amp;refID=7060001&amp;Result=3","7060001")</f>
        <v>0</v>
      </c>
      <c r="B11808" t="s">
        <v>3136</v>
      </c>
      <c r="C11808" t="s">
        <v>14793</v>
      </c>
      <c r="D11808" t="s">
        <v>18117</v>
      </c>
      <c r="E11808" t="s">
        <v>28437</v>
      </c>
      <c r="F11808" t="s">
        <v>31362</v>
      </c>
      <c r="G11808" t="s">
        <v>31369</v>
      </c>
      <c r="H11808" t="s">
        <v>15799</v>
      </c>
      <c r="I11808" t="s">
        <v>3815</v>
      </c>
      <c r="J11808" t="s">
        <v>38709</v>
      </c>
      <c r="K11808" t="s">
        <v>40670</v>
      </c>
      <c r="M11808" t="s">
        <v>44395</v>
      </c>
      <c r="N11808" t="s">
        <v>44905</v>
      </c>
      <c r="O11808" t="s">
        <v>44906</v>
      </c>
      <c r="P11808">
        <v>0</v>
      </c>
      <c r="Q11808">
        <v>0</v>
      </c>
      <c r="R11808" t="s">
        <v>44917</v>
      </c>
      <c r="S11808" t="s">
        <v>45386</v>
      </c>
      <c r="T11808" t="s">
        <v>46481</v>
      </c>
      <c r="U11808" t="s">
        <v>56362</v>
      </c>
      <c r="V11808" t="s">
        <v>60319</v>
      </c>
      <c r="W11808" t="s">
        <v>44395</v>
      </c>
      <c r="X11808" t="s">
        <v>44918</v>
      </c>
    </row>
    <row r="11809" spans="1:24">
      <c r="A11809">
        <f>HYPERLINK("https://www.philgeps.gov.ph/GEPSNONPILOT/Tender/SplashBidNoticeAbstractUI.aspx?menuIndex=3&amp;refID=7059992&amp;Result=3","7059992")</f>
        <v>0</v>
      </c>
      <c r="B11809" t="s">
        <v>287</v>
      </c>
      <c r="C11809" t="s">
        <v>14794</v>
      </c>
      <c r="D11809" t="s">
        <v>18147</v>
      </c>
      <c r="E11809" t="s">
        <v>28438</v>
      </c>
      <c r="F11809" t="s">
        <v>31362</v>
      </c>
      <c r="G11809" t="s">
        <v>31369</v>
      </c>
      <c r="H11809" t="s">
        <v>31378</v>
      </c>
      <c r="I11809" t="s">
        <v>31386</v>
      </c>
      <c r="J11809" t="s">
        <v>38710</v>
      </c>
      <c r="K11809" t="s">
        <v>40665</v>
      </c>
      <c r="L11809" t="s">
        <v>287</v>
      </c>
      <c r="M11809" t="s">
        <v>41230</v>
      </c>
      <c r="N11809" t="s">
        <v>44905</v>
      </c>
      <c r="O11809" t="s">
        <v>44906</v>
      </c>
      <c r="P11809">
        <v>0</v>
      </c>
      <c r="Q11809">
        <v>0</v>
      </c>
      <c r="R11809" t="s">
        <v>44917</v>
      </c>
      <c r="S11809" t="s">
        <v>45386</v>
      </c>
      <c r="T11809" t="s">
        <v>46460</v>
      </c>
      <c r="U11809" t="s">
        <v>47399</v>
      </c>
      <c r="W11809" t="s">
        <v>41230</v>
      </c>
      <c r="X11809" t="s">
        <v>44918</v>
      </c>
    </row>
    <row r="11810" spans="1:24">
      <c r="A11810">
        <f>HYPERLINK("https://www.philgeps.gov.ph/GEPSNONPILOT/Tender/SplashBidNoticeAbstractUI.aspx?menuIndex=3&amp;refID=7059995&amp;Result=3","7059995")</f>
        <v>0</v>
      </c>
      <c r="B11810" t="s">
        <v>366</v>
      </c>
      <c r="C11810" t="s">
        <v>14795</v>
      </c>
      <c r="D11810" t="s">
        <v>18100</v>
      </c>
      <c r="E11810" t="s">
        <v>24658</v>
      </c>
      <c r="F11810" t="s">
        <v>31362</v>
      </c>
      <c r="G11810" t="s">
        <v>31369</v>
      </c>
      <c r="H11810" t="s">
        <v>15799</v>
      </c>
      <c r="I11810" t="s">
        <v>31385</v>
      </c>
      <c r="J11810" t="s">
        <v>31983</v>
      </c>
      <c r="K11810" t="s">
        <v>40693</v>
      </c>
      <c r="M11810" t="s">
        <v>41313</v>
      </c>
      <c r="N11810" t="s">
        <v>44905</v>
      </c>
      <c r="O11810" t="s">
        <v>44906</v>
      </c>
      <c r="P11810">
        <v>0</v>
      </c>
      <c r="Q11810">
        <v>2</v>
      </c>
      <c r="R11810" t="s">
        <v>44917</v>
      </c>
      <c r="S11810" t="s">
        <v>45386</v>
      </c>
      <c r="T11810" t="s">
        <v>46508</v>
      </c>
      <c r="U11810" t="s">
        <v>56363</v>
      </c>
      <c r="W11810" t="s">
        <v>41313</v>
      </c>
      <c r="X11810" t="s">
        <v>44918</v>
      </c>
    </row>
    <row r="11811" spans="1:24">
      <c r="A11811">
        <f>HYPERLINK("https://www.philgeps.gov.ph/GEPSNONPILOT/Tender/SplashBidNoticeAbstractUI.aspx?menuIndex=3&amp;refID=7059946&amp;Result=3","7059946")</f>
        <v>0</v>
      </c>
      <c r="B11811" t="s">
        <v>3135</v>
      </c>
      <c r="C11811" t="s">
        <v>14796</v>
      </c>
      <c r="D11811" t="s">
        <v>18104</v>
      </c>
      <c r="E11811" t="s">
        <v>28439</v>
      </c>
      <c r="F11811" t="s">
        <v>31362</v>
      </c>
      <c r="G11811" t="s">
        <v>31369</v>
      </c>
      <c r="H11811" t="s">
        <v>31378</v>
      </c>
      <c r="I11811" t="s">
        <v>31386</v>
      </c>
      <c r="J11811" t="s">
        <v>38711</v>
      </c>
      <c r="K11811" t="s">
        <v>40686</v>
      </c>
      <c r="L11811" t="s">
        <v>3135</v>
      </c>
      <c r="M11811" t="s">
        <v>44394</v>
      </c>
      <c r="N11811" t="s">
        <v>44905</v>
      </c>
      <c r="O11811" t="s">
        <v>44906</v>
      </c>
      <c r="P11811">
        <v>0</v>
      </c>
      <c r="Q11811">
        <v>0</v>
      </c>
      <c r="R11811" t="s">
        <v>44917</v>
      </c>
      <c r="S11811" t="s">
        <v>45386</v>
      </c>
      <c r="T11811" t="s">
        <v>46425</v>
      </c>
      <c r="U11811" t="s">
        <v>56364</v>
      </c>
      <c r="W11811" t="s">
        <v>44394</v>
      </c>
      <c r="X11811" t="s">
        <v>44918</v>
      </c>
    </row>
    <row r="11812" spans="1:24">
      <c r="A11812">
        <f>HYPERLINK("https://www.philgeps.gov.ph/GEPSNONPILOT/Tender/SplashBidNoticeAbstractUI.aspx?menuIndex=3&amp;refID=7059944&amp;Result=3","7059944")</f>
        <v>0</v>
      </c>
      <c r="B11812" t="s">
        <v>347</v>
      </c>
      <c r="C11812" t="s">
        <v>14797</v>
      </c>
      <c r="D11812" t="s">
        <v>18120</v>
      </c>
      <c r="E11812" t="s">
        <v>28440</v>
      </c>
      <c r="F11812" t="s">
        <v>31362</v>
      </c>
      <c r="G11812" t="s">
        <v>31369</v>
      </c>
      <c r="H11812" t="s">
        <v>15799</v>
      </c>
      <c r="I11812" t="s">
        <v>31384</v>
      </c>
      <c r="J11812" t="s">
        <v>31625</v>
      </c>
      <c r="K11812" t="s">
        <v>40666</v>
      </c>
      <c r="M11812" t="s">
        <v>41293</v>
      </c>
      <c r="N11812" t="s">
        <v>44905</v>
      </c>
      <c r="O11812" t="s">
        <v>44906</v>
      </c>
      <c r="P11812">
        <v>0</v>
      </c>
      <c r="Q11812">
        <v>16</v>
      </c>
      <c r="R11812" t="s">
        <v>44917</v>
      </c>
      <c r="S11812" t="s">
        <v>45386</v>
      </c>
      <c r="T11812" t="s">
        <v>46533</v>
      </c>
      <c r="U11812" t="s">
        <v>56365</v>
      </c>
      <c r="W11812" t="s">
        <v>41293</v>
      </c>
      <c r="X11812" t="s">
        <v>44918</v>
      </c>
    </row>
    <row r="11813" spans="1:24">
      <c r="A11813">
        <f>HYPERLINK("https://www.philgeps.gov.ph/GEPSNONPILOT/Tender/SplashBidNoticeAbstractUI.aspx?menuIndex=3&amp;refID=7060011&amp;Result=3","7060011")</f>
        <v>0</v>
      </c>
      <c r="B11813" t="s">
        <v>1373</v>
      </c>
      <c r="C11813" t="s">
        <v>14798</v>
      </c>
      <c r="D11813" t="s">
        <v>18109</v>
      </c>
      <c r="E11813" t="s">
        <v>28441</v>
      </c>
      <c r="F11813" t="s">
        <v>31362</v>
      </c>
      <c r="G11813" t="s">
        <v>31370</v>
      </c>
      <c r="H11813" t="s">
        <v>15799</v>
      </c>
      <c r="I11813" t="s">
        <v>31393</v>
      </c>
      <c r="J11813" t="s">
        <v>34433</v>
      </c>
      <c r="K11813" t="s">
        <v>40665</v>
      </c>
      <c r="M11813" t="s">
        <v>42396</v>
      </c>
      <c r="N11813" t="s">
        <v>44905</v>
      </c>
      <c r="O11813" t="s">
        <v>44906</v>
      </c>
      <c r="Q11813">
        <v>9</v>
      </c>
      <c r="R11813" t="s">
        <v>44917</v>
      </c>
      <c r="S11813" t="s">
        <v>45278</v>
      </c>
      <c r="T11813" t="s">
        <v>46454</v>
      </c>
      <c r="U11813" t="s">
        <v>49998</v>
      </c>
      <c r="W11813" t="s">
        <v>42396</v>
      </c>
      <c r="X11813" t="s">
        <v>44918</v>
      </c>
    </row>
    <row r="11814" spans="1:24">
      <c r="A11814">
        <f>HYPERLINK("https://www.philgeps.gov.ph/GEPSNONPILOT/Tender/SplashBidNoticeAbstractUI.aspx?menuIndex=3&amp;refID=7059939&amp;Result=3","7059939")</f>
        <v>0</v>
      </c>
      <c r="B11814" t="s">
        <v>3136</v>
      </c>
      <c r="C11814" t="s">
        <v>14799</v>
      </c>
      <c r="D11814" t="s">
        <v>18117</v>
      </c>
      <c r="E11814" t="s">
        <v>28442</v>
      </c>
      <c r="F11814" t="s">
        <v>31362</v>
      </c>
      <c r="G11814" t="s">
        <v>31369</v>
      </c>
      <c r="H11814" t="s">
        <v>15799</v>
      </c>
      <c r="I11814" t="s">
        <v>3815</v>
      </c>
      <c r="J11814" t="s">
        <v>38712</v>
      </c>
      <c r="K11814" t="s">
        <v>40670</v>
      </c>
      <c r="M11814" t="s">
        <v>44395</v>
      </c>
      <c r="N11814" t="s">
        <v>44905</v>
      </c>
      <c r="O11814" t="s">
        <v>44906</v>
      </c>
      <c r="P11814">
        <v>0</v>
      </c>
      <c r="Q11814">
        <v>0</v>
      </c>
      <c r="R11814" t="s">
        <v>44917</v>
      </c>
      <c r="S11814" t="s">
        <v>45386</v>
      </c>
      <c r="T11814" t="s">
        <v>46538</v>
      </c>
      <c r="U11814" t="s">
        <v>56366</v>
      </c>
      <c r="V11814" t="s">
        <v>60319</v>
      </c>
      <c r="W11814" t="s">
        <v>44395</v>
      </c>
      <c r="X11814" t="s">
        <v>44918</v>
      </c>
    </row>
    <row r="11815" spans="1:24">
      <c r="A11815">
        <f>HYPERLINK("https://www.philgeps.gov.ph/GEPSNONPILOT/Tender/SplashBidNoticeAbstractUI.aspx?menuIndex=3&amp;refID=7059935&amp;Result=3","7059935")</f>
        <v>0</v>
      </c>
      <c r="B11815" t="s">
        <v>3135</v>
      </c>
      <c r="C11815" t="s">
        <v>14800</v>
      </c>
      <c r="D11815" t="s">
        <v>18104</v>
      </c>
      <c r="E11815" t="s">
        <v>28439</v>
      </c>
      <c r="F11815" t="s">
        <v>31362</v>
      </c>
      <c r="G11815" t="s">
        <v>31369</v>
      </c>
      <c r="H11815" t="s">
        <v>31378</v>
      </c>
      <c r="I11815" t="s">
        <v>3815</v>
      </c>
      <c r="J11815" t="s">
        <v>38713</v>
      </c>
      <c r="K11815" t="s">
        <v>40686</v>
      </c>
      <c r="L11815" t="s">
        <v>3135</v>
      </c>
      <c r="M11815" t="s">
        <v>44394</v>
      </c>
      <c r="N11815" t="s">
        <v>44905</v>
      </c>
      <c r="O11815" t="s">
        <v>44906</v>
      </c>
      <c r="P11815">
        <v>0</v>
      </c>
      <c r="Q11815">
        <v>1</v>
      </c>
      <c r="R11815" t="s">
        <v>44917</v>
      </c>
      <c r="S11815" t="s">
        <v>45386</v>
      </c>
      <c r="T11815" t="s">
        <v>46425</v>
      </c>
      <c r="U11815" t="s">
        <v>56367</v>
      </c>
      <c r="W11815" t="s">
        <v>44394</v>
      </c>
      <c r="X11815" t="s">
        <v>44918</v>
      </c>
    </row>
    <row r="11816" spans="1:24">
      <c r="A11816">
        <f>HYPERLINK("https://www.philgeps.gov.ph/GEPSNONPILOT/Tender/SplashBidNoticeAbstractUI.aspx?menuIndex=3&amp;refID=7060033&amp;Result=3","7060033")</f>
        <v>0</v>
      </c>
      <c r="B11816" t="s">
        <v>130</v>
      </c>
      <c r="C11816" t="s">
        <v>14801</v>
      </c>
      <c r="D11816" t="s">
        <v>18109</v>
      </c>
      <c r="E11816" t="s">
        <v>28443</v>
      </c>
      <c r="F11816" t="s">
        <v>31362</v>
      </c>
      <c r="G11816" t="s">
        <v>31369</v>
      </c>
      <c r="H11816" t="s">
        <v>15799</v>
      </c>
      <c r="I11816" t="s">
        <v>31433</v>
      </c>
      <c r="J11816" t="s">
        <v>38714</v>
      </c>
      <c r="K11816" t="s">
        <v>40662</v>
      </c>
      <c r="M11816" t="s">
        <v>44396</v>
      </c>
      <c r="N11816" t="s">
        <v>44905</v>
      </c>
      <c r="O11816" t="s">
        <v>44906</v>
      </c>
      <c r="Q11816">
        <v>4</v>
      </c>
      <c r="R11816" t="s">
        <v>44917</v>
      </c>
      <c r="S11816" t="s">
        <v>45407</v>
      </c>
      <c r="T11816" t="s">
        <v>46528</v>
      </c>
      <c r="U11816" t="s">
        <v>56368</v>
      </c>
      <c r="W11816" t="s">
        <v>44396</v>
      </c>
      <c r="X11816" t="s">
        <v>44918</v>
      </c>
    </row>
    <row r="11817" spans="1:24">
      <c r="A11817">
        <f>HYPERLINK("https://www.philgeps.gov.ph/GEPSNONPILOT/Tender/SplashBidNoticeAbstractUI.aspx?menuIndex=3&amp;refID=7060024&amp;Result=3","7060024")</f>
        <v>0</v>
      </c>
      <c r="B11817" t="s">
        <v>1640</v>
      </c>
      <c r="C11817" t="s">
        <v>14802</v>
      </c>
      <c r="D11817" t="s">
        <v>18100</v>
      </c>
      <c r="E11817" t="s">
        <v>28444</v>
      </c>
      <c r="F11817" t="s">
        <v>31362</v>
      </c>
      <c r="G11817" t="s">
        <v>31369</v>
      </c>
      <c r="H11817" t="s">
        <v>15799</v>
      </c>
      <c r="I11817" t="s">
        <v>6373</v>
      </c>
      <c r="J11817" t="s">
        <v>31983</v>
      </c>
      <c r="K11817" t="s">
        <v>40693</v>
      </c>
      <c r="M11817" t="s">
        <v>42703</v>
      </c>
      <c r="N11817" t="s">
        <v>44905</v>
      </c>
      <c r="O11817" t="s">
        <v>44906</v>
      </c>
      <c r="P11817">
        <v>0</v>
      </c>
      <c r="Q11817">
        <v>0</v>
      </c>
      <c r="R11817" t="s">
        <v>44917</v>
      </c>
      <c r="S11817" t="s">
        <v>45386</v>
      </c>
      <c r="T11817" t="s">
        <v>46810</v>
      </c>
      <c r="U11817" t="s">
        <v>56369</v>
      </c>
      <c r="W11817" t="s">
        <v>42703</v>
      </c>
      <c r="X11817" t="s">
        <v>44918</v>
      </c>
    </row>
    <row r="11818" spans="1:24">
      <c r="A11818">
        <f>HYPERLINK("https://www.philgeps.gov.ph/GEPSNONPILOT/Tender/SplashBidNoticeAbstractUI.aspx?menuIndex=3&amp;refID=7059826&amp;Result=3","7059826")</f>
        <v>0</v>
      </c>
      <c r="B11818" t="s">
        <v>3137</v>
      </c>
      <c r="C11818" t="s">
        <v>14803</v>
      </c>
      <c r="D11818" t="s">
        <v>18108</v>
      </c>
      <c r="E11818" t="s">
        <v>28445</v>
      </c>
      <c r="F11818" t="s">
        <v>31362</v>
      </c>
      <c r="G11818" t="s">
        <v>31369</v>
      </c>
      <c r="H11818" t="s">
        <v>15799</v>
      </c>
      <c r="I11818" t="s">
        <v>7188</v>
      </c>
      <c r="J11818" t="s">
        <v>38715</v>
      </c>
      <c r="K11818" t="s">
        <v>40666</v>
      </c>
      <c r="M11818" t="s">
        <v>44397</v>
      </c>
      <c r="N11818" t="s">
        <v>44905</v>
      </c>
      <c r="O11818" t="s">
        <v>44906</v>
      </c>
      <c r="Q11818">
        <v>12</v>
      </c>
      <c r="R11818" t="s">
        <v>44917</v>
      </c>
      <c r="S11818" t="s">
        <v>45408</v>
      </c>
      <c r="T11818" t="s">
        <v>46542</v>
      </c>
      <c r="U11818" t="s">
        <v>56370</v>
      </c>
      <c r="W11818" t="s">
        <v>44397</v>
      </c>
      <c r="X11818" t="s">
        <v>44918</v>
      </c>
    </row>
    <row r="11819" spans="1:24">
      <c r="A11819">
        <f>HYPERLINK("https://www.philgeps.gov.ph/GEPSNONPILOT/Tender/SplashBidNoticeAbstractUI.aspx?menuIndex=3&amp;refID=7059938&amp;Result=3","7059938")</f>
        <v>0</v>
      </c>
      <c r="B11819" t="s">
        <v>3138</v>
      </c>
      <c r="C11819" t="s">
        <v>3894</v>
      </c>
      <c r="D11819" t="s">
        <v>18114</v>
      </c>
      <c r="E11819" t="s">
        <v>10823</v>
      </c>
      <c r="F11819" t="s">
        <v>31362</v>
      </c>
      <c r="G11819" t="s">
        <v>31369</v>
      </c>
      <c r="H11819" t="s">
        <v>15799</v>
      </c>
      <c r="I11819" t="s">
        <v>13635</v>
      </c>
      <c r="J11819" t="s">
        <v>38716</v>
      </c>
      <c r="K11819" t="s">
        <v>40715</v>
      </c>
      <c r="M11819" t="s">
        <v>44398</v>
      </c>
      <c r="N11819" t="s">
        <v>44905</v>
      </c>
      <c r="O11819" t="s">
        <v>44906</v>
      </c>
      <c r="P11819">
        <v>0</v>
      </c>
      <c r="Q11819">
        <v>1</v>
      </c>
      <c r="R11819" t="s">
        <v>44917</v>
      </c>
      <c r="S11819" t="s">
        <v>45386</v>
      </c>
      <c r="T11819" t="s">
        <v>46505</v>
      </c>
      <c r="U11819" t="s">
        <v>56371</v>
      </c>
      <c r="W11819" t="s">
        <v>44398</v>
      </c>
      <c r="X11819" t="s">
        <v>44918</v>
      </c>
    </row>
    <row r="11820" spans="1:24">
      <c r="A11820">
        <f>HYPERLINK("https://www.philgeps.gov.ph/GEPSNONPILOT/Tender/SplashBidNoticeAbstractUI.aspx?menuIndex=3&amp;refID=7060147&amp;Result=3","7060147")</f>
        <v>0</v>
      </c>
      <c r="B11820" t="s">
        <v>2910</v>
      </c>
      <c r="C11820" t="s">
        <v>14804</v>
      </c>
      <c r="D11820" t="s">
        <v>18171</v>
      </c>
      <c r="E11820" t="s">
        <v>28446</v>
      </c>
      <c r="F11820" t="s">
        <v>31362</v>
      </c>
      <c r="G11820" t="s">
        <v>31369</v>
      </c>
      <c r="H11820" t="s">
        <v>15799</v>
      </c>
      <c r="I11820" t="s">
        <v>31380</v>
      </c>
      <c r="J11820" t="s">
        <v>31546</v>
      </c>
      <c r="K11820" t="s">
        <v>40662</v>
      </c>
      <c r="M11820" t="s">
        <v>44125</v>
      </c>
      <c r="N11820" t="s">
        <v>44905</v>
      </c>
      <c r="O11820" t="s">
        <v>44906</v>
      </c>
      <c r="P11820">
        <v>0</v>
      </c>
      <c r="Q11820">
        <v>2</v>
      </c>
      <c r="R11820" t="s">
        <v>44917</v>
      </c>
      <c r="S11820" t="s">
        <v>45386</v>
      </c>
      <c r="T11820" t="s">
        <v>46471</v>
      </c>
      <c r="U11820" t="s">
        <v>56372</v>
      </c>
      <c r="W11820" t="s">
        <v>44125</v>
      </c>
      <c r="X11820" t="s">
        <v>44918</v>
      </c>
    </row>
    <row r="11821" spans="1:24">
      <c r="A11821">
        <f>HYPERLINK("https://www.philgeps.gov.ph/GEPSNONPILOT/Tender/SplashBidNoticeAbstractUI.aspx?menuIndex=3&amp;refID=7060125&amp;Result=3","7060125")</f>
        <v>0</v>
      </c>
      <c r="B11821" t="s">
        <v>130</v>
      </c>
      <c r="C11821" t="s">
        <v>14805</v>
      </c>
      <c r="D11821" t="s">
        <v>18109</v>
      </c>
      <c r="E11821" t="s">
        <v>28447</v>
      </c>
      <c r="F11821" t="s">
        <v>31362</v>
      </c>
      <c r="G11821" t="s">
        <v>31369</v>
      </c>
      <c r="H11821" t="s">
        <v>15799</v>
      </c>
      <c r="I11821" t="s">
        <v>31409</v>
      </c>
      <c r="J11821" t="s">
        <v>31611</v>
      </c>
      <c r="K11821" t="s">
        <v>40662</v>
      </c>
      <c r="M11821" t="s">
        <v>44396</v>
      </c>
      <c r="N11821" t="s">
        <v>44905</v>
      </c>
      <c r="O11821" t="s">
        <v>44906</v>
      </c>
      <c r="Q11821">
        <v>3</v>
      </c>
      <c r="R11821" t="s">
        <v>44917</v>
      </c>
      <c r="S11821" t="s">
        <v>45409</v>
      </c>
      <c r="T11821" t="s">
        <v>46528</v>
      </c>
      <c r="U11821" t="s">
        <v>56373</v>
      </c>
      <c r="W11821" t="s">
        <v>44396</v>
      </c>
      <c r="X11821" t="s">
        <v>44918</v>
      </c>
    </row>
    <row r="11822" spans="1:24">
      <c r="A11822">
        <f>HYPERLINK("https://www.philgeps.gov.ph/GEPSNONPILOT/Tender/SplashBidNoticeAbstractUI.aspx?menuIndex=3&amp;refID=7059821&amp;Result=3","7059821")</f>
        <v>0</v>
      </c>
      <c r="B11822" t="s">
        <v>444</v>
      </c>
      <c r="C11822" t="s">
        <v>14806</v>
      </c>
      <c r="D11822" t="s">
        <v>18146</v>
      </c>
      <c r="E11822" t="s">
        <v>28448</v>
      </c>
      <c r="F11822" t="s">
        <v>31362</v>
      </c>
      <c r="G11822" t="s">
        <v>31369</v>
      </c>
      <c r="H11822" t="s">
        <v>15799</v>
      </c>
      <c r="I11822" t="s">
        <v>7090</v>
      </c>
      <c r="J11822" t="s">
        <v>32391</v>
      </c>
      <c r="K11822" t="s">
        <v>40672</v>
      </c>
      <c r="M11822" t="s">
        <v>41397</v>
      </c>
      <c r="N11822" t="s">
        <v>44905</v>
      </c>
      <c r="O11822" t="s">
        <v>44906</v>
      </c>
      <c r="P11822">
        <v>0</v>
      </c>
      <c r="Q11822">
        <v>2</v>
      </c>
      <c r="R11822" t="s">
        <v>44917</v>
      </c>
      <c r="S11822" t="s">
        <v>45386</v>
      </c>
      <c r="T11822" t="s">
        <v>46481</v>
      </c>
      <c r="U11822" t="s">
        <v>56374</v>
      </c>
      <c r="W11822" t="s">
        <v>41397</v>
      </c>
      <c r="X11822" t="s">
        <v>44918</v>
      </c>
    </row>
    <row r="11823" spans="1:24">
      <c r="A11823">
        <f>HYPERLINK("https://www.philgeps.gov.ph/GEPSNONPILOT/Tender/SplashBidNoticeAbstractUI.aspx?menuIndex=3&amp;refID=7060130&amp;Result=3","7060130")</f>
        <v>0</v>
      </c>
      <c r="B11823" t="s">
        <v>3139</v>
      </c>
      <c r="C11823" t="s">
        <v>14807</v>
      </c>
      <c r="D11823" t="s">
        <v>18138</v>
      </c>
      <c r="E11823" t="s">
        <v>28449</v>
      </c>
      <c r="F11823" t="s">
        <v>31362</v>
      </c>
      <c r="G11823" t="s">
        <v>31369</v>
      </c>
      <c r="H11823" t="s">
        <v>15799</v>
      </c>
      <c r="I11823" t="s">
        <v>3815</v>
      </c>
      <c r="J11823" t="s">
        <v>38717</v>
      </c>
      <c r="K11823" t="s">
        <v>40661</v>
      </c>
      <c r="M11823" t="s">
        <v>44399</v>
      </c>
      <c r="N11823" t="s">
        <v>44905</v>
      </c>
      <c r="O11823" t="s">
        <v>44906</v>
      </c>
      <c r="P11823">
        <v>0</v>
      </c>
      <c r="Q11823">
        <v>0</v>
      </c>
      <c r="R11823" t="s">
        <v>44917</v>
      </c>
      <c r="S11823" t="s">
        <v>45386</v>
      </c>
      <c r="T11823" t="s">
        <v>46415</v>
      </c>
      <c r="U11823" t="s">
        <v>56375</v>
      </c>
      <c r="W11823" t="s">
        <v>44399</v>
      </c>
      <c r="X11823" t="s">
        <v>44918</v>
      </c>
    </row>
    <row r="11824" spans="1:24">
      <c r="A11824">
        <f>HYPERLINK("https://www.philgeps.gov.ph/GEPSNONPILOT/Tender/SplashBidNoticeAbstractUI.aspx?menuIndex=3&amp;refID=7060123&amp;Result=3","7060123")</f>
        <v>0</v>
      </c>
      <c r="B11824" t="s">
        <v>1719</v>
      </c>
      <c r="C11824" t="s">
        <v>14808</v>
      </c>
      <c r="D11824" t="s">
        <v>18108</v>
      </c>
      <c r="E11824" t="s">
        <v>28450</v>
      </c>
      <c r="F11824" t="s">
        <v>31362</v>
      </c>
      <c r="G11824" t="s">
        <v>31369</v>
      </c>
      <c r="H11824" t="s">
        <v>15799</v>
      </c>
      <c r="I11824" t="s">
        <v>31393</v>
      </c>
      <c r="J11824" t="s">
        <v>32891</v>
      </c>
      <c r="K11824" t="s">
        <v>40662</v>
      </c>
      <c r="M11824" t="s">
        <v>44400</v>
      </c>
      <c r="N11824" t="s">
        <v>44905</v>
      </c>
      <c r="O11824" t="s">
        <v>44906</v>
      </c>
      <c r="P11824">
        <v>0</v>
      </c>
      <c r="Q11824">
        <v>17</v>
      </c>
      <c r="R11824" t="s">
        <v>44917</v>
      </c>
      <c r="S11824" t="s">
        <v>45386</v>
      </c>
      <c r="T11824" t="s">
        <v>46519</v>
      </c>
      <c r="U11824" t="s">
        <v>56376</v>
      </c>
      <c r="W11824" t="s">
        <v>44400</v>
      </c>
      <c r="X11824" t="s">
        <v>44918</v>
      </c>
    </row>
    <row r="11825" spans="1:24">
      <c r="A11825">
        <f>HYPERLINK("https://www.philgeps.gov.ph/GEPSNONPILOT/Tender/SplashBidNoticeAbstractUI.aspx?menuIndex=3&amp;refID=7060120&amp;Result=3","7060120")</f>
        <v>0</v>
      </c>
      <c r="B11825" t="s">
        <v>1521</v>
      </c>
      <c r="C11825" t="s">
        <v>14809</v>
      </c>
      <c r="D11825" t="s">
        <v>18107</v>
      </c>
      <c r="E11825" t="s">
        <v>26401</v>
      </c>
      <c r="F11825" t="s">
        <v>31362</v>
      </c>
      <c r="G11825" t="s">
        <v>31369</v>
      </c>
      <c r="H11825" t="s">
        <v>15799</v>
      </c>
      <c r="I11825" t="s">
        <v>13635</v>
      </c>
      <c r="J11825" t="s">
        <v>31981</v>
      </c>
      <c r="K11825" t="s">
        <v>40665</v>
      </c>
      <c r="M11825" t="s">
        <v>42565</v>
      </c>
      <c r="N11825" t="s">
        <v>44905</v>
      </c>
      <c r="O11825" t="s">
        <v>44906</v>
      </c>
      <c r="P11825">
        <v>0</v>
      </c>
      <c r="Q11825">
        <v>0</v>
      </c>
      <c r="R11825" t="s">
        <v>44917</v>
      </c>
      <c r="S11825" t="s">
        <v>45386</v>
      </c>
      <c r="T11825" t="s">
        <v>46850</v>
      </c>
      <c r="U11825" t="s">
        <v>56377</v>
      </c>
      <c r="W11825" t="s">
        <v>42565</v>
      </c>
      <c r="X11825" t="s">
        <v>44918</v>
      </c>
    </row>
    <row r="11826" spans="1:24">
      <c r="A11826">
        <f>HYPERLINK("https://www.philgeps.gov.ph/GEPSNONPILOT/Tender/SplashBidNoticeAbstractUI.aspx?menuIndex=3&amp;refID=7060108&amp;Result=3","7060108")</f>
        <v>0</v>
      </c>
      <c r="B11826" t="s">
        <v>1426</v>
      </c>
      <c r="C11826" t="s">
        <v>14810</v>
      </c>
      <c r="D11826" t="s">
        <v>18131</v>
      </c>
      <c r="E11826" t="s">
        <v>28451</v>
      </c>
      <c r="F11826" t="s">
        <v>31362</v>
      </c>
      <c r="G11826" t="s">
        <v>31369</v>
      </c>
      <c r="H11826" t="s">
        <v>15799</v>
      </c>
      <c r="I11826" t="s">
        <v>31464</v>
      </c>
      <c r="J11826" t="s">
        <v>33868</v>
      </c>
      <c r="K11826" t="s">
        <v>40723</v>
      </c>
      <c r="M11826" t="s">
        <v>42602</v>
      </c>
      <c r="N11826" t="s">
        <v>44905</v>
      </c>
      <c r="O11826" t="s">
        <v>44906</v>
      </c>
      <c r="P11826">
        <v>0</v>
      </c>
      <c r="Q11826">
        <v>4</v>
      </c>
      <c r="R11826" t="s">
        <v>44917</v>
      </c>
      <c r="S11826" t="s">
        <v>45386</v>
      </c>
      <c r="T11826" t="s">
        <v>46585</v>
      </c>
      <c r="U11826" t="s">
        <v>56378</v>
      </c>
      <c r="W11826" t="s">
        <v>42602</v>
      </c>
      <c r="X11826" t="s">
        <v>44918</v>
      </c>
    </row>
    <row r="11827" spans="1:24">
      <c r="A11827">
        <f>HYPERLINK("https://www.philgeps.gov.ph/GEPSNONPILOT/Tender/SplashBidNoticeAbstractUI.aspx?menuIndex=3&amp;refID=7060103&amp;Result=3","7060103")</f>
        <v>0</v>
      </c>
      <c r="B11827" t="s">
        <v>287</v>
      </c>
      <c r="C11827" t="s">
        <v>14811</v>
      </c>
      <c r="D11827" t="s">
        <v>18147</v>
      </c>
      <c r="E11827" t="s">
        <v>28452</v>
      </c>
      <c r="F11827" t="s">
        <v>31362</v>
      </c>
      <c r="G11827" t="s">
        <v>31369</v>
      </c>
      <c r="H11827" t="s">
        <v>15799</v>
      </c>
      <c r="I11827" t="s">
        <v>4283</v>
      </c>
      <c r="J11827" t="s">
        <v>38718</v>
      </c>
      <c r="K11827" t="s">
        <v>40677</v>
      </c>
      <c r="L11827" t="s">
        <v>287</v>
      </c>
      <c r="M11827" t="s">
        <v>41230</v>
      </c>
      <c r="N11827" t="s">
        <v>44905</v>
      </c>
      <c r="O11827" t="s">
        <v>44906</v>
      </c>
      <c r="P11827">
        <v>0</v>
      </c>
      <c r="Q11827">
        <v>1</v>
      </c>
      <c r="R11827" t="s">
        <v>44917</v>
      </c>
      <c r="S11827" t="s">
        <v>45386</v>
      </c>
      <c r="T11827" t="s">
        <v>46460</v>
      </c>
      <c r="U11827" t="s">
        <v>47399</v>
      </c>
      <c r="W11827" t="s">
        <v>41230</v>
      </c>
      <c r="X11827" t="s">
        <v>44918</v>
      </c>
    </row>
    <row r="11828" spans="1:24">
      <c r="A11828">
        <f>HYPERLINK("https://www.philgeps.gov.ph/GEPSNONPILOT/Tender/SplashBidNoticeAbstractUI.aspx?menuIndex=3&amp;refID=7060100&amp;Result=3","7060100")</f>
        <v>0</v>
      </c>
      <c r="B11828" t="s">
        <v>130</v>
      </c>
      <c r="C11828" t="s">
        <v>14812</v>
      </c>
      <c r="D11828" t="s">
        <v>18109</v>
      </c>
      <c r="E11828" t="s">
        <v>28453</v>
      </c>
      <c r="F11828" t="s">
        <v>31362</v>
      </c>
      <c r="G11828" t="s">
        <v>31369</v>
      </c>
      <c r="H11828" t="s">
        <v>15799</v>
      </c>
      <c r="I11828" t="s">
        <v>4942</v>
      </c>
      <c r="J11828" t="s">
        <v>36644</v>
      </c>
      <c r="K11828" t="s">
        <v>40662</v>
      </c>
      <c r="M11828" t="s">
        <v>44396</v>
      </c>
      <c r="N11828" t="s">
        <v>44905</v>
      </c>
      <c r="O11828" t="s">
        <v>44906</v>
      </c>
      <c r="Q11828">
        <v>0</v>
      </c>
      <c r="R11828" t="s">
        <v>44917</v>
      </c>
      <c r="S11828" t="s">
        <v>45410</v>
      </c>
      <c r="T11828" t="s">
        <v>46528</v>
      </c>
      <c r="U11828" t="s">
        <v>56379</v>
      </c>
      <c r="W11828" t="s">
        <v>44396</v>
      </c>
      <c r="X11828" t="s">
        <v>44918</v>
      </c>
    </row>
    <row r="11829" spans="1:24">
      <c r="A11829">
        <f>HYPERLINK("https://www.philgeps.gov.ph/GEPSNONPILOT/Tender/SplashBidNoticeAbstractUI.aspx?menuIndex=3&amp;refID=7060091&amp;Result=3","7060091")</f>
        <v>0</v>
      </c>
      <c r="B11829" t="s">
        <v>1058</v>
      </c>
      <c r="C11829" t="s">
        <v>14813</v>
      </c>
      <c r="D11829" t="s">
        <v>18104</v>
      </c>
      <c r="E11829" t="s">
        <v>28454</v>
      </c>
      <c r="F11829" t="s">
        <v>31362</v>
      </c>
      <c r="G11829" t="s">
        <v>31369</v>
      </c>
      <c r="H11829" t="s">
        <v>31378</v>
      </c>
      <c r="I11829" t="s">
        <v>3815</v>
      </c>
      <c r="J11829" t="s">
        <v>38719</v>
      </c>
      <c r="K11829" t="s">
        <v>40670</v>
      </c>
      <c r="M11829" t="s">
        <v>42059</v>
      </c>
      <c r="N11829" t="s">
        <v>44905</v>
      </c>
      <c r="O11829" t="s">
        <v>44906</v>
      </c>
      <c r="P11829">
        <v>0</v>
      </c>
      <c r="Q11829">
        <v>0</v>
      </c>
      <c r="R11829" t="s">
        <v>44917</v>
      </c>
      <c r="S11829" t="s">
        <v>45386</v>
      </c>
      <c r="T11829" t="s">
        <v>46504</v>
      </c>
      <c r="U11829" t="s">
        <v>56380</v>
      </c>
      <c r="W11829" t="s">
        <v>42059</v>
      </c>
      <c r="X11829" t="s">
        <v>44918</v>
      </c>
    </row>
    <row r="11830" spans="1:24">
      <c r="A11830">
        <f>HYPERLINK("https://www.philgeps.gov.ph/GEPSNONPILOT/Tender/SplashBidNoticeAbstractUI.aspx?menuIndex=3&amp;refID=7060291&amp;Result=3","7060291")</f>
        <v>0</v>
      </c>
      <c r="B11830" t="s">
        <v>299</v>
      </c>
      <c r="C11830" t="s">
        <v>14814</v>
      </c>
      <c r="D11830" t="s">
        <v>18108</v>
      </c>
      <c r="E11830" t="s">
        <v>28455</v>
      </c>
      <c r="F11830" t="s">
        <v>31362</v>
      </c>
      <c r="G11830" t="s">
        <v>31369</v>
      </c>
      <c r="H11830" t="s">
        <v>15799</v>
      </c>
      <c r="I11830" t="s">
        <v>31387</v>
      </c>
      <c r="J11830" t="s">
        <v>38720</v>
      </c>
      <c r="K11830" t="s">
        <v>40666</v>
      </c>
      <c r="M11830" t="s">
        <v>44401</v>
      </c>
      <c r="N11830" t="s">
        <v>44905</v>
      </c>
      <c r="O11830" t="s">
        <v>44906</v>
      </c>
      <c r="P11830">
        <v>0</v>
      </c>
      <c r="Q11830">
        <v>14</v>
      </c>
      <c r="R11830" t="s">
        <v>44917</v>
      </c>
      <c r="S11830" t="s">
        <v>45386</v>
      </c>
      <c r="T11830" t="s">
        <v>46625</v>
      </c>
      <c r="U11830" t="s">
        <v>56381</v>
      </c>
      <c r="W11830" t="s">
        <v>44401</v>
      </c>
      <c r="X11830" t="s">
        <v>44918</v>
      </c>
    </row>
    <row r="11831" spans="1:24">
      <c r="A11831">
        <f>HYPERLINK("https://www.philgeps.gov.ph/GEPSNONPILOT/Tender/SplashBidNoticeAbstractUI.aspx?menuIndex=3&amp;refID=7060275&amp;Result=3","7060275")</f>
        <v>0</v>
      </c>
      <c r="B11831" t="s">
        <v>3140</v>
      </c>
      <c r="C11831" t="s">
        <v>14815</v>
      </c>
      <c r="E11831" t="s">
        <v>28456</v>
      </c>
      <c r="F11831" t="s">
        <v>31362</v>
      </c>
      <c r="G11831" t="s">
        <v>31369</v>
      </c>
      <c r="H11831" t="s">
        <v>31378</v>
      </c>
      <c r="I11831" t="s">
        <v>31386</v>
      </c>
      <c r="J11831" t="s">
        <v>38721</v>
      </c>
      <c r="K11831" t="s">
        <v>40783</v>
      </c>
      <c r="M11831" t="s">
        <v>44402</v>
      </c>
      <c r="N11831" t="s">
        <v>44905</v>
      </c>
      <c r="O11831" t="s">
        <v>44906</v>
      </c>
      <c r="P11831">
        <v>0</v>
      </c>
      <c r="Q11831">
        <v>2</v>
      </c>
      <c r="R11831" t="s">
        <v>44917</v>
      </c>
      <c r="S11831" t="s">
        <v>45386</v>
      </c>
      <c r="T11831" t="s">
        <v>46481</v>
      </c>
      <c r="U11831" t="s">
        <v>56382</v>
      </c>
      <c r="W11831" t="s">
        <v>44402</v>
      </c>
      <c r="X11831" t="s">
        <v>44918</v>
      </c>
    </row>
    <row r="11832" spans="1:24">
      <c r="A11832">
        <f>HYPERLINK("https://www.philgeps.gov.ph/GEPSNONPILOT/Tender/SplashBidNoticeAbstractUI.aspx?menuIndex=3&amp;refID=7059949&amp;Result=3","7059949")</f>
        <v>0</v>
      </c>
      <c r="B11832" t="s">
        <v>3092</v>
      </c>
      <c r="C11832" t="s">
        <v>14816</v>
      </c>
      <c r="D11832" t="s">
        <v>18155</v>
      </c>
      <c r="E11832" t="s">
        <v>28457</v>
      </c>
      <c r="F11832" t="s">
        <v>31362</v>
      </c>
      <c r="G11832" t="s">
        <v>31369</v>
      </c>
      <c r="H11832" t="s">
        <v>31378</v>
      </c>
      <c r="I11832" t="s">
        <v>31386</v>
      </c>
      <c r="J11832" t="s">
        <v>31542</v>
      </c>
      <c r="K11832" t="s">
        <v>40706</v>
      </c>
      <c r="M11832" t="s">
        <v>44336</v>
      </c>
      <c r="N11832" t="s">
        <v>44905</v>
      </c>
      <c r="O11832" t="s">
        <v>44906</v>
      </c>
      <c r="P11832">
        <v>0</v>
      </c>
      <c r="Q11832">
        <v>0</v>
      </c>
      <c r="R11832" t="s">
        <v>44917</v>
      </c>
      <c r="S11832" t="s">
        <v>45386</v>
      </c>
      <c r="T11832" t="s">
        <v>46392</v>
      </c>
      <c r="U11832" t="s">
        <v>56383</v>
      </c>
      <c r="V11832" t="s">
        <v>60295</v>
      </c>
      <c r="W11832" t="s">
        <v>44336</v>
      </c>
      <c r="X11832" t="s">
        <v>44918</v>
      </c>
    </row>
    <row r="11833" spans="1:24">
      <c r="A11833">
        <f>HYPERLINK("https://www.philgeps.gov.ph/GEPSNONPILOT/Tender/SplashBidNoticeAbstractUI.aspx?menuIndex=3&amp;refID=7060086&amp;Result=3","7060086")</f>
        <v>0</v>
      </c>
      <c r="B11833" t="s">
        <v>332</v>
      </c>
      <c r="C11833" t="s">
        <v>14817</v>
      </c>
      <c r="D11833" t="s">
        <v>18153</v>
      </c>
      <c r="E11833" t="s">
        <v>28458</v>
      </c>
      <c r="F11833" t="s">
        <v>31363</v>
      </c>
      <c r="G11833" t="s">
        <v>31369</v>
      </c>
      <c r="H11833" t="s">
        <v>15799</v>
      </c>
      <c r="I11833" t="s">
        <v>3815</v>
      </c>
      <c r="J11833" t="s">
        <v>38722</v>
      </c>
      <c r="K11833" t="s">
        <v>40666</v>
      </c>
      <c r="M11833" t="s">
        <v>41278</v>
      </c>
      <c r="N11833" t="s">
        <v>44905</v>
      </c>
      <c r="O11833" t="s">
        <v>44906</v>
      </c>
      <c r="P11833">
        <v>0</v>
      </c>
      <c r="Q11833">
        <v>1</v>
      </c>
      <c r="R11833" t="s">
        <v>44917</v>
      </c>
      <c r="S11833" t="s">
        <v>45386</v>
      </c>
      <c r="T11833" t="s">
        <v>46416</v>
      </c>
      <c r="U11833" t="s">
        <v>56384</v>
      </c>
      <c r="W11833" t="s">
        <v>41278</v>
      </c>
      <c r="X11833" t="s">
        <v>44918</v>
      </c>
    </row>
    <row r="11834" spans="1:24">
      <c r="A11834">
        <f>HYPERLINK("https://www.philgeps.gov.ph/GEPSNONPILOT/Tender/SplashBidNoticeAbstractUI.aspx?menuIndex=3&amp;refID=7060266&amp;Result=3","7060266")</f>
        <v>0</v>
      </c>
      <c r="B11834" t="s">
        <v>1859</v>
      </c>
      <c r="C11834" t="s">
        <v>14818</v>
      </c>
      <c r="D11834" t="s">
        <v>18102</v>
      </c>
      <c r="E11834" t="s">
        <v>28459</v>
      </c>
      <c r="F11834" t="s">
        <v>31362</v>
      </c>
      <c r="G11834" t="s">
        <v>31369</v>
      </c>
      <c r="H11834" t="s">
        <v>15799</v>
      </c>
      <c r="I11834" t="s">
        <v>31501</v>
      </c>
      <c r="J11834" t="s">
        <v>33004</v>
      </c>
      <c r="K11834" t="s">
        <v>40662</v>
      </c>
      <c r="M11834" t="s">
        <v>42949</v>
      </c>
      <c r="N11834" t="s">
        <v>44905</v>
      </c>
      <c r="O11834" t="s">
        <v>44906</v>
      </c>
      <c r="P11834">
        <v>0</v>
      </c>
      <c r="Q11834">
        <v>2</v>
      </c>
      <c r="R11834" t="s">
        <v>44917</v>
      </c>
      <c r="S11834" t="s">
        <v>45386</v>
      </c>
      <c r="T11834" t="s">
        <v>46479</v>
      </c>
      <c r="U11834" t="s">
        <v>56385</v>
      </c>
      <c r="V11834" t="s">
        <v>60321</v>
      </c>
      <c r="W11834" t="s">
        <v>42949</v>
      </c>
      <c r="X11834" t="s">
        <v>44918</v>
      </c>
    </row>
    <row r="11835" spans="1:24">
      <c r="A11835">
        <f>HYPERLINK("https://www.philgeps.gov.ph/GEPSNONPILOT/Tender/SplashBidNoticeAbstractUI.aspx?menuIndex=3&amp;refID=7060238&amp;Result=3","7060238")</f>
        <v>0</v>
      </c>
      <c r="B11835" t="s">
        <v>3136</v>
      </c>
      <c r="C11835" t="s">
        <v>14819</v>
      </c>
      <c r="D11835" t="s">
        <v>18117</v>
      </c>
      <c r="E11835" t="s">
        <v>28460</v>
      </c>
      <c r="F11835" t="s">
        <v>31362</v>
      </c>
      <c r="G11835" t="s">
        <v>31369</v>
      </c>
      <c r="H11835" t="s">
        <v>15799</v>
      </c>
      <c r="I11835" t="s">
        <v>3815</v>
      </c>
      <c r="J11835" t="s">
        <v>38723</v>
      </c>
      <c r="K11835" t="s">
        <v>40670</v>
      </c>
      <c r="M11835" t="s">
        <v>44395</v>
      </c>
      <c r="N11835" t="s">
        <v>44905</v>
      </c>
      <c r="O11835" t="s">
        <v>44906</v>
      </c>
      <c r="P11835">
        <v>0</v>
      </c>
      <c r="Q11835">
        <v>0</v>
      </c>
      <c r="R11835" t="s">
        <v>44917</v>
      </c>
      <c r="S11835" t="s">
        <v>45386</v>
      </c>
      <c r="T11835" t="s">
        <v>46481</v>
      </c>
      <c r="U11835" t="s">
        <v>56386</v>
      </c>
      <c r="V11835" t="s">
        <v>60319</v>
      </c>
      <c r="W11835" t="s">
        <v>44395</v>
      </c>
      <c r="X11835" t="s">
        <v>44918</v>
      </c>
    </row>
    <row r="11836" spans="1:24">
      <c r="A11836">
        <f>HYPERLINK("https://www.philgeps.gov.ph/GEPSNONPILOT/Tender/SplashBidNoticeAbstractUI.aspx?menuIndex=3&amp;refID=7059945&amp;Result=3","7059945")</f>
        <v>0</v>
      </c>
      <c r="B11836" t="s">
        <v>934</v>
      </c>
      <c r="C11836" t="s">
        <v>14820</v>
      </c>
      <c r="D11836" t="s">
        <v>18172</v>
      </c>
      <c r="E11836" t="s">
        <v>19989</v>
      </c>
      <c r="F11836" t="s">
        <v>31362</v>
      </c>
      <c r="G11836" t="s">
        <v>31369</v>
      </c>
      <c r="H11836" t="s">
        <v>15799</v>
      </c>
      <c r="I11836" t="s">
        <v>31387</v>
      </c>
      <c r="J11836" t="s">
        <v>32249</v>
      </c>
      <c r="K11836" t="s">
        <v>40665</v>
      </c>
      <c r="M11836" t="s">
        <v>41921</v>
      </c>
      <c r="N11836" t="s">
        <v>44905</v>
      </c>
      <c r="O11836" t="s">
        <v>44906</v>
      </c>
      <c r="P11836">
        <v>0</v>
      </c>
      <c r="Q11836">
        <v>1</v>
      </c>
      <c r="R11836" t="s">
        <v>44917</v>
      </c>
      <c r="S11836" t="s">
        <v>45386</v>
      </c>
      <c r="T11836" t="s">
        <v>46499</v>
      </c>
      <c r="U11836" t="s">
        <v>56387</v>
      </c>
      <c r="W11836" t="s">
        <v>41921</v>
      </c>
      <c r="X11836" t="s">
        <v>44918</v>
      </c>
    </row>
    <row r="11837" spans="1:24">
      <c r="A11837">
        <f>HYPERLINK("https://www.philgeps.gov.ph/GEPSNONPILOT/Tender/SplashBidNoticeAbstractUI.aspx?menuIndex=3&amp;refID=7059863&amp;Result=3","7059863")</f>
        <v>0</v>
      </c>
      <c r="B11837" t="s">
        <v>3141</v>
      </c>
      <c r="C11837" t="s">
        <v>14821</v>
      </c>
      <c r="D11837" t="s">
        <v>18116</v>
      </c>
      <c r="E11837" t="s">
        <v>28461</v>
      </c>
      <c r="F11837" t="s">
        <v>31362</v>
      </c>
      <c r="G11837" t="s">
        <v>31369</v>
      </c>
      <c r="H11837" t="s">
        <v>15799</v>
      </c>
      <c r="I11837" t="s">
        <v>31439</v>
      </c>
      <c r="J11837" t="s">
        <v>38724</v>
      </c>
      <c r="K11837" t="s">
        <v>40679</v>
      </c>
      <c r="M11837" t="s">
        <v>44403</v>
      </c>
      <c r="N11837" t="s">
        <v>44905</v>
      </c>
      <c r="O11837" t="s">
        <v>44906</v>
      </c>
      <c r="P11837">
        <v>0</v>
      </c>
      <c r="Q11837">
        <v>0</v>
      </c>
      <c r="R11837" t="s">
        <v>44917</v>
      </c>
      <c r="S11837" t="s">
        <v>45386</v>
      </c>
      <c r="T11837" t="s">
        <v>46538</v>
      </c>
      <c r="U11837" t="s">
        <v>56388</v>
      </c>
      <c r="W11837" t="s">
        <v>44403</v>
      </c>
      <c r="X11837" t="s">
        <v>44918</v>
      </c>
    </row>
    <row r="11838" spans="1:24">
      <c r="A11838">
        <f>HYPERLINK("https://www.philgeps.gov.ph/GEPSNONPILOT/Tender/SplashBidNoticeAbstractUI.aspx?menuIndex=3&amp;refID=7060226&amp;Result=3","7060226")</f>
        <v>0</v>
      </c>
      <c r="B11838" t="s">
        <v>2907</v>
      </c>
      <c r="C11838" t="s">
        <v>14822</v>
      </c>
      <c r="D11838" t="s">
        <v>18158</v>
      </c>
      <c r="E11838" t="s">
        <v>28462</v>
      </c>
      <c r="F11838" t="s">
        <v>31362</v>
      </c>
      <c r="G11838" t="s">
        <v>31369</v>
      </c>
      <c r="H11838" t="s">
        <v>15799</v>
      </c>
      <c r="I11838" t="s">
        <v>31430</v>
      </c>
      <c r="J11838" t="s">
        <v>38725</v>
      </c>
      <c r="K11838" t="s">
        <v>40665</v>
      </c>
      <c r="M11838" t="s">
        <v>44122</v>
      </c>
      <c r="N11838" t="s">
        <v>44905</v>
      </c>
      <c r="O11838" t="s">
        <v>44906</v>
      </c>
      <c r="P11838">
        <v>0</v>
      </c>
      <c r="Q11838">
        <v>0</v>
      </c>
      <c r="R11838" t="s">
        <v>44917</v>
      </c>
      <c r="S11838" t="s">
        <v>45386</v>
      </c>
      <c r="T11838" t="s">
        <v>46392</v>
      </c>
      <c r="U11838" t="s">
        <v>56389</v>
      </c>
      <c r="W11838" t="s">
        <v>44122</v>
      </c>
      <c r="X11838" t="s">
        <v>44918</v>
      </c>
    </row>
    <row r="11839" spans="1:24">
      <c r="A11839">
        <f>HYPERLINK("https://www.philgeps.gov.ph/GEPSNONPILOT/Tender/SplashBidNoticeAbstractUI.aspx?menuIndex=3&amp;refID=7060225&amp;Result=3","7060225")</f>
        <v>0</v>
      </c>
      <c r="B11839" t="s">
        <v>2123</v>
      </c>
      <c r="C11839" t="s">
        <v>14823</v>
      </c>
      <c r="D11839" t="s">
        <v>18136</v>
      </c>
      <c r="E11839" t="s">
        <v>28463</v>
      </c>
      <c r="F11839" t="s">
        <v>31362</v>
      </c>
      <c r="G11839" t="s">
        <v>31369</v>
      </c>
      <c r="H11839" t="s">
        <v>15799</v>
      </c>
      <c r="I11839" t="s">
        <v>3815</v>
      </c>
      <c r="J11839" t="s">
        <v>38726</v>
      </c>
      <c r="K11839" t="s">
        <v>40665</v>
      </c>
      <c r="M11839" t="s">
        <v>43251</v>
      </c>
      <c r="N11839" t="s">
        <v>44905</v>
      </c>
      <c r="O11839" t="s">
        <v>44906</v>
      </c>
      <c r="P11839">
        <v>0</v>
      </c>
      <c r="Q11839">
        <v>0</v>
      </c>
      <c r="R11839" t="s">
        <v>44917</v>
      </c>
      <c r="S11839" t="s">
        <v>45386</v>
      </c>
      <c r="T11839" t="s">
        <v>46560</v>
      </c>
      <c r="U11839" t="s">
        <v>52573</v>
      </c>
      <c r="W11839" t="s">
        <v>43251</v>
      </c>
      <c r="X11839" t="s">
        <v>44918</v>
      </c>
    </row>
    <row r="11840" spans="1:24">
      <c r="A11840">
        <f>HYPERLINK("https://www.philgeps.gov.ph/GEPSNONPILOT/Tender/SplashBidNoticeAbstractUI.aspx?menuIndex=3&amp;refID=7060217&amp;Result=3","7060217")</f>
        <v>0</v>
      </c>
      <c r="B11840" t="s">
        <v>3136</v>
      </c>
      <c r="C11840" t="s">
        <v>14824</v>
      </c>
      <c r="D11840" t="s">
        <v>18117</v>
      </c>
      <c r="E11840" t="s">
        <v>28464</v>
      </c>
      <c r="F11840" t="s">
        <v>31362</v>
      </c>
      <c r="G11840" t="s">
        <v>31369</v>
      </c>
      <c r="H11840" t="s">
        <v>15799</v>
      </c>
      <c r="I11840" t="s">
        <v>3815</v>
      </c>
      <c r="J11840" t="s">
        <v>38727</v>
      </c>
      <c r="K11840" t="s">
        <v>40670</v>
      </c>
      <c r="M11840" t="s">
        <v>44395</v>
      </c>
      <c r="N11840" t="s">
        <v>44905</v>
      </c>
      <c r="O11840" t="s">
        <v>44906</v>
      </c>
      <c r="P11840">
        <v>0</v>
      </c>
      <c r="Q11840">
        <v>0</v>
      </c>
      <c r="R11840" t="s">
        <v>44917</v>
      </c>
      <c r="S11840" t="s">
        <v>45386</v>
      </c>
      <c r="T11840" t="s">
        <v>46481</v>
      </c>
      <c r="U11840" t="s">
        <v>56390</v>
      </c>
      <c r="V11840" t="s">
        <v>60319</v>
      </c>
      <c r="W11840" t="s">
        <v>44395</v>
      </c>
      <c r="X11840" t="s">
        <v>44918</v>
      </c>
    </row>
    <row r="11841" spans="1:24">
      <c r="A11841">
        <f>HYPERLINK("https://www.philgeps.gov.ph/GEPSNONPILOT/Tender/SplashBidNoticeAbstractUI.aspx?menuIndex=3&amp;refID=7060381&amp;Result=3","7060381")</f>
        <v>0</v>
      </c>
      <c r="B11841" t="s">
        <v>947</v>
      </c>
      <c r="C11841" t="s">
        <v>14825</v>
      </c>
      <c r="D11841" t="s">
        <v>18135</v>
      </c>
      <c r="E11841" t="s">
        <v>14825</v>
      </c>
      <c r="F11841" t="s">
        <v>31362</v>
      </c>
      <c r="G11841" t="s">
        <v>31369</v>
      </c>
      <c r="H11841" t="s">
        <v>31378</v>
      </c>
      <c r="I11841" t="s">
        <v>31386</v>
      </c>
      <c r="J11841" t="s">
        <v>31625</v>
      </c>
      <c r="K11841" t="s">
        <v>40668</v>
      </c>
      <c r="M11841" t="s">
        <v>41935</v>
      </c>
      <c r="N11841" t="s">
        <v>44905</v>
      </c>
      <c r="O11841" t="s">
        <v>44906</v>
      </c>
      <c r="P11841">
        <v>0</v>
      </c>
      <c r="Q11841">
        <v>1</v>
      </c>
      <c r="R11841" t="s">
        <v>44917</v>
      </c>
      <c r="S11841" t="s">
        <v>45386</v>
      </c>
      <c r="T11841" t="s">
        <v>46481</v>
      </c>
      <c r="U11841" t="s">
        <v>56391</v>
      </c>
      <c r="W11841" t="s">
        <v>41935</v>
      </c>
      <c r="X11841" t="s">
        <v>44918</v>
      </c>
    </row>
    <row r="11842" spans="1:24">
      <c r="A11842">
        <f>HYPERLINK("https://www.philgeps.gov.ph/GEPSNONPILOT/Tender/SplashBidNoticeAbstractUI.aspx?menuIndex=3&amp;refID=7060397&amp;Result=3","7060397")</f>
        <v>0</v>
      </c>
      <c r="B11842" t="s">
        <v>1579</v>
      </c>
      <c r="C11842" t="s">
        <v>14826</v>
      </c>
      <c r="D11842" t="s">
        <v>18117</v>
      </c>
      <c r="E11842" t="s">
        <v>28465</v>
      </c>
      <c r="F11842" t="s">
        <v>31362</v>
      </c>
      <c r="G11842" t="s">
        <v>31369</v>
      </c>
      <c r="H11842" t="s">
        <v>15799</v>
      </c>
      <c r="I11842" t="s">
        <v>31455</v>
      </c>
      <c r="J11842" t="s">
        <v>38728</v>
      </c>
      <c r="K11842" t="s">
        <v>40679</v>
      </c>
      <c r="M11842" t="s">
        <v>42956</v>
      </c>
      <c r="N11842" t="s">
        <v>44905</v>
      </c>
      <c r="O11842" t="s">
        <v>44906</v>
      </c>
      <c r="P11842">
        <v>0</v>
      </c>
      <c r="Q11842">
        <v>1</v>
      </c>
      <c r="R11842" t="s">
        <v>44917</v>
      </c>
      <c r="S11842" t="s">
        <v>45386</v>
      </c>
      <c r="T11842" t="s">
        <v>46533</v>
      </c>
      <c r="U11842" t="s">
        <v>56392</v>
      </c>
      <c r="W11842" t="s">
        <v>42956</v>
      </c>
      <c r="X11842" t="s">
        <v>44918</v>
      </c>
    </row>
    <row r="11843" spans="1:24">
      <c r="A11843">
        <f>HYPERLINK("https://www.philgeps.gov.ph/GEPSNONPILOT/Tender/SplashBidNoticeAbstractUI.aspx?menuIndex=3&amp;refID=7060268&amp;Result=3","7060268")</f>
        <v>0</v>
      </c>
      <c r="B11843" t="s">
        <v>51</v>
      </c>
      <c r="C11843" t="s">
        <v>14827</v>
      </c>
      <c r="D11843" t="s">
        <v>18118</v>
      </c>
      <c r="E11843" t="s">
        <v>11017</v>
      </c>
      <c r="F11843" t="s">
        <v>31362</v>
      </c>
      <c r="G11843" t="s">
        <v>31369</v>
      </c>
      <c r="H11843" t="s">
        <v>15799</v>
      </c>
      <c r="I11843" t="s">
        <v>3815</v>
      </c>
      <c r="J11843" t="s">
        <v>38729</v>
      </c>
      <c r="K11843" t="s">
        <v>40666</v>
      </c>
      <c r="M11843" t="s">
        <v>40985</v>
      </c>
      <c r="N11843" t="s">
        <v>44905</v>
      </c>
      <c r="O11843" t="s">
        <v>44906</v>
      </c>
      <c r="P11843">
        <v>0</v>
      </c>
      <c r="Q11843">
        <v>3</v>
      </c>
      <c r="R11843" t="s">
        <v>44917</v>
      </c>
      <c r="S11843" t="s">
        <v>45386</v>
      </c>
      <c r="T11843" t="s">
        <v>46410</v>
      </c>
      <c r="U11843" t="s">
        <v>56393</v>
      </c>
      <c r="W11843" t="s">
        <v>40985</v>
      </c>
      <c r="X11843" t="s">
        <v>44918</v>
      </c>
    </row>
    <row r="11844" spans="1:24">
      <c r="A11844">
        <f>HYPERLINK("https://www.philgeps.gov.ph/GEPSNONPILOT/Tender/SplashBidNoticeAbstractUI.aspx?menuIndex=3&amp;refID=7060139&amp;Result=3","7060139")</f>
        <v>0</v>
      </c>
      <c r="B11844" t="s">
        <v>3142</v>
      </c>
      <c r="C11844" t="s">
        <v>14828</v>
      </c>
      <c r="D11844" t="s">
        <v>18159</v>
      </c>
      <c r="E11844" t="s">
        <v>20367</v>
      </c>
      <c r="F11844" t="s">
        <v>31363</v>
      </c>
      <c r="G11844" t="s">
        <v>31369</v>
      </c>
      <c r="H11844" t="s">
        <v>31378</v>
      </c>
      <c r="I11844" t="s">
        <v>31386</v>
      </c>
      <c r="J11844" t="s">
        <v>38730</v>
      </c>
      <c r="K11844" t="s">
        <v>40666</v>
      </c>
      <c r="M11844" t="s">
        <v>44404</v>
      </c>
      <c r="N11844" t="s">
        <v>44905</v>
      </c>
      <c r="O11844" t="s">
        <v>44906</v>
      </c>
      <c r="P11844">
        <v>0</v>
      </c>
      <c r="Q11844">
        <v>0</v>
      </c>
      <c r="R11844" t="s">
        <v>44917</v>
      </c>
      <c r="S11844" t="s">
        <v>45386</v>
      </c>
      <c r="T11844" t="s">
        <v>46555</v>
      </c>
      <c r="U11844" t="s">
        <v>56394</v>
      </c>
      <c r="W11844" t="s">
        <v>44404</v>
      </c>
      <c r="X11844" t="s">
        <v>44918</v>
      </c>
    </row>
    <row r="11845" spans="1:24">
      <c r="A11845">
        <f>HYPERLINK("https://www.philgeps.gov.ph/GEPSNONPILOT/Tender/SplashBidNoticeAbstractUI.aspx?menuIndex=3&amp;refID=7060396&amp;Result=3","7060396")</f>
        <v>0</v>
      </c>
      <c r="B11845" t="s">
        <v>3143</v>
      </c>
      <c r="C11845" t="s">
        <v>14829</v>
      </c>
      <c r="D11845" t="s">
        <v>18112</v>
      </c>
      <c r="E11845" t="s">
        <v>28466</v>
      </c>
      <c r="F11845" t="s">
        <v>31362</v>
      </c>
      <c r="G11845" t="s">
        <v>31369</v>
      </c>
      <c r="H11845" t="s">
        <v>15799</v>
      </c>
      <c r="I11845" t="s">
        <v>3815</v>
      </c>
      <c r="J11845" t="s">
        <v>38731</v>
      </c>
      <c r="K11845" t="s">
        <v>40662</v>
      </c>
      <c r="M11845" t="s">
        <v>44405</v>
      </c>
      <c r="N11845" t="s">
        <v>44905</v>
      </c>
      <c r="O11845" t="s">
        <v>44906</v>
      </c>
      <c r="P11845">
        <v>0</v>
      </c>
      <c r="Q11845">
        <v>3</v>
      </c>
      <c r="R11845" t="s">
        <v>44917</v>
      </c>
      <c r="S11845" t="s">
        <v>45386</v>
      </c>
      <c r="T11845" t="s">
        <v>46481</v>
      </c>
      <c r="U11845" t="s">
        <v>56395</v>
      </c>
      <c r="V11845" t="s">
        <v>59584</v>
      </c>
      <c r="W11845" t="s">
        <v>44405</v>
      </c>
      <c r="X11845" t="s">
        <v>44918</v>
      </c>
    </row>
    <row r="11846" spans="1:24">
      <c r="A11846">
        <f>HYPERLINK("https://www.philgeps.gov.ph/GEPSNONPILOT/Tender/SplashBidNoticeAbstractUI.aspx?menuIndex=3&amp;refID=7060372&amp;Result=3","7060372")</f>
        <v>0</v>
      </c>
      <c r="B11846" t="s">
        <v>3143</v>
      </c>
      <c r="C11846" t="s">
        <v>5171</v>
      </c>
      <c r="D11846" t="s">
        <v>18112</v>
      </c>
      <c r="E11846" t="s">
        <v>28467</v>
      </c>
      <c r="F11846" t="s">
        <v>31362</v>
      </c>
      <c r="G11846" t="s">
        <v>31369</v>
      </c>
      <c r="H11846" t="s">
        <v>15799</v>
      </c>
      <c r="I11846" t="s">
        <v>31409</v>
      </c>
      <c r="J11846" t="s">
        <v>31625</v>
      </c>
      <c r="K11846" t="s">
        <v>40662</v>
      </c>
      <c r="M11846" t="s">
        <v>44405</v>
      </c>
      <c r="N11846" t="s">
        <v>44905</v>
      </c>
      <c r="O11846" t="s">
        <v>44906</v>
      </c>
      <c r="P11846">
        <v>0</v>
      </c>
      <c r="Q11846">
        <v>1</v>
      </c>
      <c r="R11846" t="s">
        <v>44917</v>
      </c>
      <c r="S11846" t="s">
        <v>45386</v>
      </c>
      <c r="T11846" t="s">
        <v>46481</v>
      </c>
      <c r="U11846" t="s">
        <v>56396</v>
      </c>
      <c r="V11846" t="s">
        <v>60322</v>
      </c>
      <c r="W11846" t="s">
        <v>44405</v>
      </c>
      <c r="X11846" t="s">
        <v>44918</v>
      </c>
    </row>
    <row r="11847" spans="1:24">
      <c r="A11847">
        <f>HYPERLINK("https://www.philgeps.gov.ph/GEPSNONPILOT/Tender/SplashBidNoticeAbstractUI.aspx?menuIndex=3&amp;refID=7060218&amp;Result=3","7060218")</f>
        <v>0</v>
      </c>
      <c r="B11847" t="s">
        <v>378</v>
      </c>
      <c r="C11847" t="s">
        <v>14830</v>
      </c>
      <c r="D11847" t="s">
        <v>18156</v>
      </c>
      <c r="E11847" t="s">
        <v>28468</v>
      </c>
      <c r="F11847" t="s">
        <v>31362</v>
      </c>
      <c r="G11847" t="s">
        <v>31369</v>
      </c>
      <c r="H11847" t="s">
        <v>31379</v>
      </c>
      <c r="I11847" t="s">
        <v>3815</v>
      </c>
      <c r="J11847" t="s">
        <v>31615</v>
      </c>
      <c r="K11847" t="s">
        <v>40666</v>
      </c>
      <c r="M11847" t="s">
        <v>41350</v>
      </c>
      <c r="N11847" t="s">
        <v>44905</v>
      </c>
      <c r="O11847" t="s">
        <v>44906</v>
      </c>
      <c r="P11847">
        <v>0</v>
      </c>
      <c r="Q11847">
        <v>2</v>
      </c>
      <c r="R11847" t="s">
        <v>44917</v>
      </c>
      <c r="S11847" t="s">
        <v>45386</v>
      </c>
      <c r="T11847" t="s">
        <v>46481</v>
      </c>
      <c r="U11847" t="s">
        <v>56397</v>
      </c>
      <c r="W11847" t="s">
        <v>41350</v>
      </c>
      <c r="X11847" t="s">
        <v>44918</v>
      </c>
    </row>
    <row r="11848" spans="1:24">
      <c r="A11848">
        <f>HYPERLINK("https://www.philgeps.gov.ph/GEPSNONPILOT/Tender/SplashBidNoticeAbstractUI.aspx?menuIndex=3&amp;refID=7060362&amp;Result=3","7060362")</f>
        <v>0</v>
      </c>
      <c r="B11848" t="s">
        <v>2186</v>
      </c>
      <c r="C11848" t="s">
        <v>14831</v>
      </c>
      <c r="E11848" t="s">
        <v>28469</v>
      </c>
      <c r="F11848" t="s">
        <v>31362</v>
      </c>
      <c r="G11848" t="s">
        <v>31369</v>
      </c>
      <c r="H11848" t="s">
        <v>31379</v>
      </c>
      <c r="I11848" t="s">
        <v>31438</v>
      </c>
      <c r="J11848" t="s">
        <v>38732</v>
      </c>
      <c r="K11848" t="s">
        <v>40666</v>
      </c>
      <c r="M11848" t="s">
        <v>43317</v>
      </c>
      <c r="N11848" t="s">
        <v>44905</v>
      </c>
      <c r="O11848" t="s">
        <v>44906</v>
      </c>
      <c r="P11848">
        <v>0</v>
      </c>
      <c r="Q11848">
        <v>2</v>
      </c>
      <c r="R11848" t="s">
        <v>44917</v>
      </c>
      <c r="S11848" t="s">
        <v>45386</v>
      </c>
      <c r="T11848" t="s">
        <v>46400</v>
      </c>
      <c r="U11848" t="s">
        <v>56398</v>
      </c>
      <c r="V11848" t="s">
        <v>60323</v>
      </c>
      <c r="W11848" t="s">
        <v>43317</v>
      </c>
      <c r="X11848" t="s">
        <v>44918</v>
      </c>
    </row>
    <row r="11849" spans="1:24">
      <c r="A11849">
        <f>HYPERLINK("https://www.philgeps.gov.ph/GEPSNONPILOT/Tender/SplashBidNoticeAbstractUI.aspx?menuIndex=3&amp;refID=7060279&amp;Result=3","7060279")</f>
        <v>0</v>
      </c>
      <c r="B11849" t="s">
        <v>3136</v>
      </c>
      <c r="C11849" t="s">
        <v>14832</v>
      </c>
      <c r="D11849" t="s">
        <v>18117</v>
      </c>
      <c r="E11849" t="s">
        <v>28470</v>
      </c>
      <c r="F11849" t="s">
        <v>31362</v>
      </c>
      <c r="G11849" t="s">
        <v>31369</v>
      </c>
      <c r="H11849" t="s">
        <v>15799</v>
      </c>
      <c r="I11849" t="s">
        <v>3815</v>
      </c>
      <c r="J11849" t="s">
        <v>38733</v>
      </c>
      <c r="K11849" t="s">
        <v>40670</v>
      </c>
      <c r="M11849" t="s">
        <v>44395</v>
      </c>
      <c r="N11849" t="s">
        <v>44905</v>
      </c>
      <c r="O11849" t="s">
        <v>44906</v>
      </c>
      <c r="P11849">
        <v>0</v>
      </c>
      <c r="Q11849">
        <v>0</v>
      </c>
      <c r="R11849" t="s">
        <v>44917</v>
      </c>
      <c r="S11849" t="s">
        <v>45386</v>
      </c>
      <c r="T11849" t="s">
        <v>46481</v>
      </c>
      <c r="U11849" t="s">
        <v>56399</v>
      </c>
      <c r="V11849" t="s">
        <v>60319</v>
      </c>
      <c r="W11849" t="s">
        <v>44395</v>
      </c>
      <c r="X11849" t="s">
        <v>44918</v>
      </c>
    </row>
    <row r="11850" spans="1:24">
      <c r="A11850">
        <f>HYPERLINK("https://www.philgeps.gov.ph/GEPSNONPILOT/Tender/SplashBidNoticeAbstractUI.aspx?menuIndex=3&amp;refID=7060361&amp;Result=3","7060361")</f>
        <v>0</v>
      </c>
      <c r="B11850" t="s">
        <v>3144</v>
      </c>
      <c r="C11850" t="s">
        <v>14833</v>
      </c>
      <c r="D11850" t="s">
        <v>18134</v>
      </c>
      <c r="E11850" t="s">
        <v>22241</v>
      </c>
      <c r="F11850" t="s">
        <v>31362</v>
      </c>
      <c r="G11850" t="s">
        <v>31369</v>
      </c>
      <c r="H11850" t="s">
        <v>15799</v>
      </c>
      <c r="I11850" t="s">
        <v>31392</v>
      </c>
      <c r="J11850" t="s">
        <v>31530</v>
      </c>
      <c r="K11850" t="s">
        <v>40681</v>
      </c>
      <c r="M11850" t="s">
        <v>44406</v>
      </c>
      <c r="N11850" t="s">
        <v>44905</v>
      </c>
      <c r="O11850" t="s">
        <v>44906</v>
      </c>
      <c r="P11850">
        <v>0</v>
      </c>
      <c r="Q11850">
        <v>0</v>
      </c>
      <c r="R11850" t="s">
        <v>44917</v>
      </c>
      <c r="S11850" t="s">
        <v>45386</v>
      </c>
      <c r="T11850" t="s">
        <v>46447</v>
      </c>
      <c r="U11850" t="s">
        <v>56400</v>
      </c>
      <c r="W11850" t="s">
        <v>44406</v>
      </c>
      <c r="X11850" t="s">
        <v>44918</v>
      </c>
    </row>
    <row r="11851" spans="1:24">
      <c r="A11851">
        <f>HYPERLINK("https://www.philgeps.gov.ph/GEPSNONPILOT/Tender/SplashBidNoticeAbstractUI.aspx?menuIndex=3&amp;refID=7060357&amp;Result=3","7060357")</f>
        <v>0</v>
      </c>
      <c r="B11851" t="s">
        <v>3145</v>
      </c>
      <c r="C11851" t="s">
        <v>14834</v>
      </c>
      <c r="D11851" t="s">
        <v>18117</v>
      </c>
      <c r="E11851" t="s">
        <v>28471</v>
      </c>
      <c r="F11851" t="s">
        <v>31362</v>
      </c>
      <c r="G11851" t="s">
        <v>31369</v>
      </c>
      <c r="H11851" t="s">
        <v>31378</v>
      </c>
      <c r="I11851" t="s">
        <v>3582</v>
      </c>
      <c r="J11851" t="s">
        <v>38734</v>
      </c>
      <c r="K11851" t="s">
        <v>40662</v>
      </c>
      <c r="M11851" t="s">
        <v>44407</v>
      </c>
      <c r="N11851" t="s">
        <v>44905</v>
      </c>
      <c r="O11851" t="s">
        <v>44906</v>
      </c>
      <c r="P11851">
        <v>0</v>
      </c>
      <c r="Q11851">
        <v>2</v>
      </c>
      <c r="R11851" t="s">
        <v>44917</v>
      </c>
      <c r="S11851" t="s">
        <v>45386</v>
      </c>
      <c r="T11851" t="s">
        <v>46418</v>
      </c>
      <c r="U11851" t="s">
        <v>56401</v>
      </c>
      <c r="V11851" t="s">
        <v>51466</v>
      </c>
      <c r="W11851" t="s">
        <v>44407</v>
      </c>
      <c r="X11851" t="s">
        <v>44918</v>
      </c>
    </row>
    <row r="11852" spans="1:24">
      <c r="A11852">
        <f>HYPERLINK("https://www.philgeps.gov.ph/GEPSNONPILOT/Tender/SplashBidNoticeAbstractUI.aspx?menuIndex=3&amp;refID=7060338&amp;Result=3","7060338")</f>
        <v>0</v>
      </c>
      <c r="B11852" t="s">
        <v>130</v>
      </c>
      <c r="C11852" t="s">
        <v>14835</v>
      </c>
      <c r="D11852" t="s">
        <v>18109</v>
      </c>
      <c r="E11852" t="s">
        <v>28472</v>
      </c>
      <c r="F11852" t="s">
        <v>31362</v>
      </c>
      <c r="G11852" t="s">
        <v>31369</v>
      </c>
      <c r="H11852" t="s">
        <v>15799</v>
      </c>
      <c r="I11852" t="s">
        <v>31428</v>
      </c>
      <c r="J11852" t="s">
        <v>38735</v>
      </c>
      <c r="K11852" t="s">
        <v>40662</v>
      </c>
      <c r="M11852" t="s">
        <v>44396</v>
      </c>
      <c r="N11852" t="s">
        <v>44905</v>
      </c>
      <c r="O11852" t="s">
        <v>44906</v>
      </c>
      <c r="Q11852">
        <v>7</v>
      </c>
      <c r="R11852" t="s">
        <v>44917</v>
      </c>
      <c r="S11852" t="s">
        <v>45411</v>
      </c>
      <c r="T11852" t="s">
        <v>46528</v>
      </c>
      <c r="U11852" t="s">
        <v>56402</v>
      </c>
      <c r="W11852" t="s">
        <v>44396</v>
      </c>
      <c r="X11852" t="s">
        <v>44918</v>
      </c>
    </row>
    <row r="11853" spans="1:24">
      <c r="A11853">
        <f>HYPERLINK("https://www.philgeps.gov.ph/GEPSNONPILOT/Tender/SplashBidNoticeAbstractUI.aspx?menuIndex=3&amp;refID=7060389&amp;Result=3","7060389")</f>
        <v>0</v>
      </c>
      <c r="B11853" t="s">
        <v>130</v>
      </c>
      <c r="C11853" t="s">
        <v>14836</v>
      </c>
      <c r="D11853" t="s">
        <v>18109</v>
      </c>
      <c r="E11853" t="s">
        <v>28473</v>
      </c>
      <c r="F11853" t="s">
        <v>31362</v>
      </c>
      <c r="G11853" t="s">
        <v>31369</v>
      </c>
      <c r="H11853" t="s">
        <v>15799</v>
      </c>
      <c r="I11853" t="s">
        <v>31395</v>
      </c>
      <c r="J11853" t="s">
        <v>38736</v>
      </c>
      <c r="K11853" t="s">
        <v>40662</v>
      </c>
      <c r="M11853" t="s">
        <v>44396</v>
      </c>
      <c r="N11853" t="s">
        <v>44905</v>
      </c>
      <c r="O11853" t="s">
        <v>44906</v>
      </c>
      <c r="Q11853">
        <v>6</v>
      </c>
      <c r="R11853" t="s">
        <v>44917</v>
      </c>
      <c r="S11853" t="s">
        <v>45412</v>
      </c>
      <c r="T11853" t="s">
        <v>46528</v>
      </c>
      <c r="U11853" t="s">
        <v>56403</v>
      </c>
      <c r="W11853" t="s">
        <v>44396</v>
      </c>
      <c r="X11853" t="s">
        <v>44918</v>
      </c>
    </row>
    <row r="11854" spans="1:24">
      <c r="A11854">
        <f>HYPERLINK("https://www.philgeps.gov.ph/GEPSNONPILOT/Tender/SplashBidNoticeAbstractUI.aspx?menuIndex=3&amp;refID=7060371&amp;Result=3","7060371")</f>
        <v>0</v>
      </c>
      <c r="B11854" t="s">
        <v>631</v>
      </c>
      <c r="C11854" t="s">
        <v>14837</v>
      </c>
      <c r="D11854" t="s">
        <v>18148</v>
      </c>
      <c r="E11854" t="s">
        <v>28474</v>
      </c>
      <c r="F11854" t="s">
        <v>31362</v>
      </c>
      <c r="G11854" t="s">
        <v>31369</v>
      </c>
      <c r="H11854" t="s">
        <v>31378</v>
      </c>
      <c r="I11854" t="s">
        <v>31386</v>
      </c>
      <c r="J11854" t="s">
        <v>33300</v>
      </c>
      <c r="K11854" t="s">
        <v>40682</v>
      </c>
      <c r="M11854" t="s">
        <v>44126</v>
      </c>
      <c r="N11854" t="s">
        <v>44905</v>
      </c>
      <c r="O11854" t="s">
        <v>44906</v>
      </c>
      <c r="P11854">
        <v>0</v>
      </c>
      <c r="Q11854">
        <v>0</v>
      </c>
      <c r="R11854" t="s">
        <v>44917</v>
      </c>
      <c r="S11854" t="s">
        <v>45386</v>
      </c>
      <c r="T11854" t="s">
        <v>46481</v>
      </c>
      <c r="U11854" t="s">
        <v>56404</v>
      </c>
      <c r="W11854" t="s">
        <v>44126</v>
      </c>
      <c r="X11854" t="s">
        <v>44918</v>
      </c>
    </row>
    <row r="11855" spans="1:24">
      <c r="A11855">
        <f>HYPERLINK("https://www.philgeps.gov.ph/GEPSNONPILOT/Tender/SplashBidNoticeAbstractUI.aspx?menuIndex=3&amp;refID=7060363&amp;Result=3","7060363")</f>
        <v>0</v>
      </c>
      <c r="B11855" t="s">
        <v>130</v>
      </c>
      <c r="C11855" t="s">
        <v>14838</v>
      </c>
      <c r="D11855" t="s">
        <v>18109</v>
      </c>
      <c r="E11855" t="s">
        <v>28475</v>
      </c>
      <c r="F11855" t="s">
        <v>31362</v>
      </c>
      <c r="G11855" t="s">
        <v>31369</v>
      </c>
      <c r="H11855" t="s">
        <v>15799</v>
      </c>
      <c r="I11855" t="s">
        <v>31404</v>
      </c>
      <c r="J11855" t="s">
        <v>38737</v>
      </c>
      <c r="K11855" t="s">
        <v>40662</v>
      </c>
      <c r="M11855" t="s">
        <v>44396</v>
      </c>
      <c r="N11855" t="s">
        <v>44905</v>
      </c>
      <c r="O11855" t="s">
        <v>44906</v>
      </c>
      <c r="Q11855">
        <v>6</v>
      </c>
      <c r="R11855" t="s">
        <v>44917</v>
      </c>
      <c r="S11855" t="s">
        <v>45413</v>
      </c>
      <c r="T11855" t="s">
        <v>46528</v>
      </c>
      <c r="U11855" t="s">
        <v>56405</v>
      </c>
      <c r="W11855" t="s">
        <v>44396</v>
      </c>
      <c r="X11855" t="s">
        <v>44918</v>
      </c>
    </row>
    <row r="11856" spans="1:24">
      <c r="A11856">
        <f>HYPERLINK("https://www.philgeps.gov.ph/GEPSNONPILOT/Tender/SplashBidNoticeAbstractUI.aspx?menuIndex=3&amp;refID=7060221&amp;Result=3","7060221")</f>
        <v>0</v>
      </c>
      <c r="B11856" t="s">
        <v>130</v>
      </c>
      <c r="C11856" t="s">
        <v>14839</v>
      </c>
      <c r="D11856" t="s">
        <v>18109</v>
      </c>
      <c r="E11856" t="s">
        <v>28476</v>
      </c>
      <c r="F11856" t="s">
        <v>31362</v>
      </c>
      <c r="G11856" t="s">
        <v>31369</v>
      </c>
      <c r="H11856" t="s">
        <v>15799</v>
      </c>
      <c r="I11856" t="s">
        <v>31430</v>
      </c>
      <c r="J11856" t="s">
        <v>38738</v>
      </c>
      <c r="K11856" t="s">
        <v>40662</v>
      </c>
      <c r="M11856" t="s">
        <v>44396</v>
      </c>
      <c r="N11856" t="s">
        <v>44905</v>
      </c>
      <c r="O11856" t="s">
        <v>44906</v>
      </c>
      <c r="Q11856">
        <v>7</v>
      </c>
      <c r="R11856" t="s">
        <v>44917</v>
      </c>
      <c r="S11856" t="s">
        <v>45414</v>
      </c>
      <c r="T11856" t="s">
        <v>46528</v>
      </c>
      <c r="U11856" t="s">
        <v>56406</v>
      </c>
      <c r="W11856" t="s">
        <v>44396</v>
      </c>
      <c r="X11856" t="s">
        <v>44918</v>
      </c>
    </row>
    <row r="11857" spans="1:24">
      <c r="A11857">
        <f>HYPERLINK("https://www.philgeps.gov.ph/GEPSNONPILOT/Tender/SplashBidNoticeAbstractUI.aspx?menuIndex=3&amp;refID=7060311&amp;Result=3","7060311")</f>
        <v>0</v>
      </c>
      <c r="B11857" t="s">
        <v>3146</v>
      </c>
      <c r="C11857" t="s">
        <v>14840</v>
      </c>
      <c r="D11857" t="s">
        <v>18175</v>
      </c>
      <c r="E11857" t="s">
        <v>28477</v>
      </c>
      <c r="F11857" t="s">
        <v>31362</v>
      </c>
      <c r="G11857" t="s">
        <v>31369</v>
      </c>
      <c r="H11857" t="s">
        <v>31378</v>
      </c>
      <c r="I11857" t="s">
        <v>31386</v>
      </c>
      <c r="J11857" t="s">
        <v>31806</v>
      </c>
      <c r="K11857" t="s">
        <v>40662</v>
      </c>
      <c r="M11857" t="s">
        <v>44408</v>
      </c>
      <c r="N11857" t="s">
        <v>44905</v>
      </c>
      <c r="O11857" t="s">
        <v>44906</v>
      </c>
      <c r="P11857">
        <v>0</v>
      </c>
      <c r="Q11857">
        <v>0</v>
      </c>
      <c r="R11857" t="s">
        <v>44917</v>
      </c>
      <c r="S11857" t="s">
        <v>45386</v>
      </c>
      <c r="T11857" t="s">
        <v>46481</v>
      </c>
      <c r="U11857" t="s">
        <v>56407</v>
      </c>
      <c r="W11857" t="s">
        <v>44408</v>
      </c>
      <c r="X11857" t="s">
        <v>44918</v>
      </c>
    </row>
    <row r="11858" spans="1:24">
      <c r="A11858">
        <f>HYPERLINK("https://www.philgeps.gov.ph/GEPSNONPILOT/Tender/SplashBidNoticeAbstractUI.aspx?menuIndex=3&amp;refID=7060407&amp;Result=3","7060407")</f>
        <v>0</v>
      </c>
      <c r="B11858" t="s">
        <v>665</v>
      </c>
      <c r="C11858" t="s">
        <v>14841</v>
      </c>
      <c r="D11858" t="s">
        <v>18139</v>
      </c>
      <c r="E11858" t="s">
        <v>28478</v>
      </c>
      <c r="F11858" t="s">
        <v>31362</v>
      </c>
      <c r="G11858" t="s">
        <v>31369</v>
      </c>
      <c r="H11858" t="s">
        <v>15799</v>
      </c>
      <c r="I11858" t="s">
        <v>31430</v>
      </c>
      <c r="J11858" t="s">
        <v>38739</v>
      </c>
      <c r="K11858" t="s">
        <v>40665</v>
      </c>
      <c r="M11858" t="s">
        <v>44150</v>
      </c>
      <c r="N11858" t="s">
        <v>44905</v>
      </c>
      <c r="O11858" t="s">
        <v>44906</v>
      </c>
      <c r="P11858">
        <v>0</v>
      </c>
      <c r="Q11858">
        <v>1</v>
      </c>
      <c r="R11858" t="s">
        <v>44917</v>
      </c>
      <c r="S11858" t="s">
        <v>45386</v>
      </c>
      <c r="T11858" t="s">
        <v>46553</v>
      </c>
      <c r="U11858" t="s">
        <v>56408</v>
      </c>
      <c r="W11858" t="s">
        <v>44150</v>
      </c>
      <c r="X11858" t="s">
        <v>44918</v>
      </c>
    </row>
    <row r="11859" spans="1:24">
      <c r="A11859">
        <f>HYPERLINK("https://www.philgeps.gov.ph/GEPSNONPILOT/Tender/SplashBidNoticeAbstractUI.aspx?menuIndex=3&amp;refID=7060141&amp;Result=3","7060141")</f>
        <v>0</v>
      </c>
      <c r="B11859" t="s">
        <v>1740</v>
      </c>
      <c r="C11859" t="s">
        <v>14842</v>
      </c>
      <c r="D11859" t="s">
        <v>18164</v>
      </c>
      <c r="E11859" t="s">
        <v>28479</v>
      </c>
      <c r="F11859" t="s">
        <v>31362</v>
      </c>
      <c r="G11859" t="s">
        <v>31369</v>
      </c>
      <c r="H11859" t="s">
        <v>15799</v>
      </c>
      <c r="I11859" t="s">
        <v>31393</v>
      </c>
      <c r="J11859" t="s">
        <v>38740</v>
      </c>
      <c r="K11859" t="s">
        <v>40666</v>
      </c>
      <c r="M11859" t="s">
        <v>42815</v>
      </c>
      <c r="N11859" t="s">
        <v>44905</v>
      </c>
      <c r="O11859" t="s">
        <v>44906</v>
      </c>
      <c r="P11859">
        <v>0</v>
      </c>
      <c r="Q11859">
        <v>2</v>
      </c>
      <c r="R11859" t="s">
        <v>44917</v>
      </c>
      <c r="S11859" t="s">
        <v>45386</v>
      </c>
      <c r="T11859" t="s">
        <v>46457</v>
      </c>
      <c r="U11859" t="s">
        <v>56409</v>
      </c>
      <c r="W11859" t="s">
        <v>42815</v>
      </c>
      <c r="X11859" t="s">
        <v>44918</v>
      </c>
    </row>
    <row r="11860" spans="1:24">
      <c r="A11860">
        <f>HYPERLINK("https://www.philgeps.gov.ph/GEPSNONPILOT/Tender/SplashBidNoticeAbstractUI.aspx?menuIndex=3&amp;refID=7060505&amp;Result=3","7060505")</f>
        <v>0</v>
      </c>
      <c r="B11860" t="s">
        <v>3147</v>
      </c>
      <c r="C11860" t="s">
        <v>14843</v>
      </c>
      <c r="D11860" t="s">
        <v>18143</v>
      </c>
      <c r="E11860" t="s">
        <v>19788</v>
      </c>
      <c r="F11860" t="s">
        <v>31362</v>
      </c>
      <c r="G11860" t="s">
        <v>31369</v>
      </c>
      <c r="H11860" t="s">
        <v>15799</v>
      </c>
      <c r="I11860" t="s">
        <v>3815</v>
      </c>
      <c r="J11860" t="s">
        <v>38741</v>
      </c>
      <c r="K11860" t="s">
        <v>40672</v>
      </c>
      <c r="M11860" t="s">
        <v>44409</v>
      </c>
      <c r="N11860" t="s">
        <v>44905</v>
      </c>
      <c r="O11860" t="s">
        <v>44906</v>
      </c>
      <c r="P11860">
        <v>0</v>
      </c>
      <c r="Q11860">
        <v>0</v>
      </c>
      <c r="R11860" t="s">
        <v>44917</v>
      </c>
      <c r="S11860" t="s">
        <v>45386</v>
      </c>
      <c r="T11860" t="s">
        <v>46597</v>
      </c>
      <c r="U11860" t="s">
        <v>56410</v>
      </c>
      <c r="W11860" t="s">
        <v>44409</v>
      </c>
      <c r="X11860" t="s">
        <v>44918</v>
      </c>
    </row>
    <row r="11861" spans="1:24">
      <c r="A11861">
        <f>HYPERLINK("https://www.philgeps.gov.ph/GEPSNONPILOT/Tender/SplashBidNoticeAbstractUI.aspx?menuIndex=3&amp;refID=7060330&amp;Result=3","7060330")</f>
        <v>0</v>
      </c>
      <c r="B11861" t="s">
        <v>2327</v>
      </c>
      <c r="C11861" t="s">
        <v>14844</v>
      </c>
      <c r="D11861" t="s">
        <v>18149</v>
      </c>
      <c r="E11861" t="s">
        <v>28480</v>
      </c>
      <c r="F11861" t="s">
        <v>31362</v>
      </c>
      <c r="G11861" t="s">
        <v>31369</v>
      </c>
      <c r="H11861" t="s">
        <v>31378</v>
      </c>
      <c r="I11861" t="s">
        <v>31386</v>
      </c>
      <c r="J11861" t="s">
        <v>31637</v>
      </c>
      <c r="K11861" t="s">
        <v>40682</v>
      </c>
      <c r="M11861" t="s">
        <v>43467</v>
      </c>
      <c r="N11861" t="s">
        <v>44905</v>
      </c>
      <c r="O11861" t="s">
        <v>44906</v>
      </c>
      <c r="P11861">
        <v>0</v>
      </c>
      <c r="Q11861">
        <v>0</v>
      </c>
      <c r="R11861" t="s">
        <v>44917</v>
      </c>
      <c r="S11861" t="s">
        <v>45386</v>
      </c>
      <c r="T11861" t="s">
        <v>46499</v>
      </c>
      <c r="U11861" t="s">
        <v>56411</v>
      </c>
      <c r="W11861" t="s">
        <v>43467</v>
      </c>
      <c r="X11861" t="s">
        <v>44918</v>
      </c>
    </row>
    <row r="11862" spans="1:24">
      <c r="A11862">
        <f>HYPERLINK("https://www.philgeps.gov.ph/GEPSNONPILOT/Tender/SplashBidNoticeAbstractUI.aspx?menuIndex=3&amp;refID=7060540&amp;Result=3","7060540")</f>
        <v>0</v>
      </c>
      <c r="B11862" t="s">
        <v>3148</v>
      </c>
      <c r="C11862" t="s">
        <v>14845</v>
      </c>
      <c r="D11862" t="s">
        <v>18108</v>
      </c>
      <c r="E11862" t="s">
        <v>28481</v>
      </c>
      <c r="F11862" t="s">
        <v>31362</v>
      </c>
      <c r="G11862" t="s">
        <v>31369</v>
      </c>
      <c r="H11862" t="s">
        <v>15799</v>
      </c>
      <c r="I11862" t="s">
        <v>4283</v>
      </c>
      <c r="J11862" t="s">
        <v>38742</v>
      </c>
      <c r="K11862" t="s">
        <v>40662</v>
      </c>
      <c r="M11862" t="s">
        <v>44410</v>
      </c>
      <c r="N11862" t="s">
        <v>44905</v>
      </c>
      <c r="O11862" t="s">
        <v>44906</v>
      </c>
      <c r="P11862">
        <v>0</v>
      </c>
      <c r="Q11862">
        <v>7</v>
      </c>
      <c r="R11862" t="s">
        <v>44917</v>
      </c>
      <c r="S11862" t="s">
        <v>45386</v>
      </c>
      <c r="T11862" t="s">
        <v>46499</v>
      </c>
      <c r="U11862" t="s">
        <v>56412</v>
      </c>
      <c r="W11862" t="s">
        <v>44410</v>
      </c>
      <c r="X11862" t="s">
        <v>44918</v>
      </c>
    </row>
    <row r="11863" spans="1:24">
      <c r="A11863">
        <f>HYPERLINK("https://www.philgeps.gov.ph/GEPSNONPILOT/Tender/SplashBidNoticeAbstractUI.aspx?menuIndex=3&amp;refID=7060321&amp;Result=3","7060321")</f>
        <v>0</v>
      </c>
      <c r="B11863" t="s">
        <v>3149</v>
      </c>
      <c r="C11863" t="s">
        <v>14846</v>
      </c>
      <c r="D11863" t="s">
        <v>18114</v>
      </c>
      <c r="E11863" t="s">
        <v>18476</v>
      </c>
      <c r="F11863" t="s">
        <v>31363</v>
      </c>
      <c r="G11863" t="s">
        <v>31369</v>
      </c>
      <c r="H11863" t="s">
        <v>31379</v>
      </c>
      <c r="I11863" t="s">
        <v>4283</v>
      </c>
      <c r="J11863" t="s">
        <v>31545</v>
      </c>
      <c r="K11863" t="s">
        <v>40673</v>
      </c>
      <c r="M11863" t="s">
        <v>44411</v>
      </c>
      <c r="N11863" t="s">
        <v>44905</v>
      </c>
      <c r="O11863" t="s">
        <v>44906</v>
      </c>
      <c r="P11863">
        <v>0</v>
      </c>
      <c r="Q11863">
        <v>0</v>
      </c>
      <c r="R11863" t="s">
        <v>44917</v>
      </c>
      <c r="S11863" t="s">
        <v>45386</v>
      </c>
      <c r="T11863" t="s">
        <v>46446</v>
      </c>
      <c r="U11863" t="s">
        <v>56413</v>
      </c>
      <c r="W11863" t="s">
        <v>44411</v>
      </c>
      <c r="X11863" t="s">
        <v>44918</v>
      </c>
    </row>
    <row r="11864" spans="1:24">
      <c r="A11864">
        <f>HYPERLINK("https://www.philgeps.gov.ph/GEPSNONPILOT/Tender/SplashBidNoticeAbstractUI.aspx?menuIndex=3&amp;refID=7060538&amp;Result=3","7060538")</f>
        <v>0</v>
      </c>
      <c r="B11864" t="s">
        <v>1579</v>
      </c>
      <c r="C11864" t="s">
        <v>14847</v>
      </c>
      <c r="D11864" t="s">
        <v>18117</v>
      </c>
      <c r="E11864" t="s">
        <v>28482</v>
      </c>
      <c r="F11864" t="s">
        <v>31362</v>
      </c>
      <c r="G11864" t="s">
        <v>31369</v>
      </c>
      <c r="H11864" t="s">
        <v>15799</v>
      </c>
      <c r="I11864" t="s">
        <v>31455</v>
      </c>
      <c r="J11864" t="s">
        <v>38743</v>
      </c>
      <c r="K11864" t="s">
        <v>40679</v>
      </c>
      <c r="M11864" t="s">
        <v>42956</v>
      </c>
      <c r="N11864" t="s">
        <v>44905</v>
      </c>
      <c r="O11864" t="s">
        <v>44906</v>
      </c>
      <c r="P11864">
        <v>0</v>
      </c>
      <c r="Q11864">
        <v>1</v>
      </c>
      <c r="R11864" t="s">
        <v>44917</v>
      </c>
      <c r="S11864" t="s">
        <v>45386</v>
      </c>
      <c r="T11864" t="s">
        <v>46533</v>
      </c>
      <c r="U11864" t="s">
        <v>56414</v>
      </c>
      <c r="W11864" t="s">
        <v>42956</v>
      </c>
      <c r="X11864" t="s">
        <v>44918</v>
      </c>
    </row>
    <row r="11865" spans="1:24">
      <c r="A11865">
        <f>HYPERLINK("https://www.philgeps.gov.ph/GEPSNONPILOT/Tender/SplashBidNoticeAbstractUI.aspx?menuIndex=3&amp;refID=7060501&amp;Result=3","7060501")</f>
        <v>0</v>
      </c>
      <c r="B11865" t="s">
        <v>3150</v>
      </c>
      <c r="C11865" t="s">
        <v>14848</v>
      </c>
      <c r="D11865" t="s">
        <v>18157</v>
      </c>
      <c r="E11865" t="s">
        <v>28483</v>
      </c>
      <c r="F11865" t="s">
        <v>31362</v>
      </c>
      <c r="G11865" t="s">
        <v>31369</v>
      </c>
      <c r="H11865" t="s">
        <v>15799</v>
      </c>
      <c r="I11865" t="s">
        <v>31386</v>
      </c>
      <c r="J11865" t="s">
        <v>38744</v>
      </c>
      <c r="K11865" t="s">
        <v>40665</v>
      </c>
      <c r="M11865" t="s">
        <v>44412</v>
      </c>
      <c r="N11865" t="s">
        <v>44905</v>
      </c>
      <c r="O11865" t="s">
        <v>44906</v>
      </c>
      <c r="P11865">
        <v>0</v>
      </c>
      <c r="Q11865">
        <v>0</v>
      </c>
      <c r="R11865" t="s">
        <v>44917</v>
      </c>
      <c r="S11865" t="s">
        <v>45386</v>
      </c>
      <c r="T11865" t="s">
        <v>46481</v>
      </c>
      <c r="U11865" t="s">
        <v>56415</v>
      </c>
      <c r="W11865" t="s">
        <v>44412</v>
      </c>
      <c r="X11865" t="s">
        <v>44918</v>
      </c>
    </row>
    <row r="11866" spans="1:24">
      <c r="A11866">
        <f>HYPERLINK("https://www.philgeps.gov.ph/GEPSNONPILOT/Tender/SplashBidNoticeAbstractUI.aspx?menuIndex=3&amp;refID=7060458&amp;Result=3","7060458")</f>
        <v>0</v>
      </c>
      <c r="B11866" t="s">
        <v>130</v>
      </c>
      <c r="C11866" t="s">
        <v>14849</v>
      </c>
      <c r="D11866" t="s">
        <v>18109</v>
      </c>
      <c r="E11866" t="s">
        <v>28484</v>
      </c>
      <c r="F11866" t="s">
        <v>31362</v>
      </c>
      <c r="G11866" t="s">
        <v>31369</v>
      </c>
      <c r="H11866" t="s">
        <v>15799</v>
      </c>
      <c r="I11866" t="s">
        <v>6373</v>
      </c>
      <c r="J11866" t="s">
        <v>38745</v>
      </c>
      <c r="K11866" t="s">
        <v>40662</v>
      </c>
      <c r="M11866" t="s">
        <v>44396</v>
      </c>
      <c r="N11866" t="s">
        <v>44905</v>
      </c>
      <c r="O11866" t="s">
        <v>44906</v>
      </c>
      <c r="Q11866">
        <v>8</v>
      </c>
      <c r="R11866" t="s">
        <v>44917</v>
      </c>
      <c r="S11866" t="s">
        <v>45415</v>
      </c>
      <c r="T11866" t="s">
        <v>46528</v>
      </c>
      <c r="U11866" t="s">
        <v>56416</v>
      </c>
      <c r="W11866" t="s">
        <v>44396</v>
      </c>
      <c r="X11866" t="s">
        <v>44918</v>
      </c>
    </row>
    <row r="11867" spans="1:24">
      <c r="A11867">
        <f>HYPERLINK("https://www.philgeps.gov.ph/GEPSNONPILOT/Tender/SplashBidNoticeAbstractUI.aspx?menuIndex=3&amp;refID=7060489&amp;Result=3","7060489")</f>
        <v>0</v>
      </c>
      <c r="B11867" t="s">
        <v>1579</v>
      </c>
      <c r="C11867" t="s">
        <v>14850</v>
      </c>
      <c r="D11867" t="s">
        <v>18117</v>
      </c>
      <c r="E11867" t="s">
        <v>28485</v>
      </c>
      <c r="F11867" t="s">
        <v>31362</v>
      </c>
      <c r="G11867" t="s">
        <v>31369</v>
      </c>
      <c r="H11867" t="s">
        <v>15799</v>
      </c>
      <c r="I11867" t="s">
        <v>31455</v>
      </c>
      <c r="J11867" t="s">
        <v>38746</v>
      </c>
      <c r="K11867" t="s">
        <v>40679</v>
      </c>
      <c r="M11867" t="s">
        <v>42956</v>
      </c>
      <c r="N11867" t="s">
        <v>44905</v>
      </c>
      <c r="O11867" t="s">
        <v>44906</v>
      </c>
      <c r="P11867">
        <v>0</v>
      </c>
      <c r="Q11867">
        <v>2</v>
      </c>
      <c r="R11867" t="s">
        <v>44917</v>
      </c>
      <c r="S11867" t="s">
        <v>45386</v>
      </c>
      <c r="T11867" t="s">
        <v>46533</v>
      </c>
      <c r="U11867" t="s">
        <v>56417</v>
      </c>
      <c r="W11867" t="s">
        <v>42956</v>
      </c>
      <c r="X11867" t="s">
        <v>44918</v>
      </c>
    </row>
    <row r="11868" spans="1:24">
      <c r="A11868">
        <f>HYPERLINK("https://www.philgeps.gov.ph/GEPSNONPILOT/Tender/SplashBidNoticeAbstractUI.aspx?menuIndex=3&amp;refID=7060457&amp;Result=3","7060457")</f>
        <v>0</v>
      </c>
      <c r="B11868" t="s">
        <v>3136</v>
      </c>
      <c r="C11868" t="s">
        <v>14851</v>
      </c>
      <c r="D11868" t="s">
        <v>18117</v>
      </c>
      <c r="E11868" t="s">
        <v>28486</v>
      </c>
      <c r="F11868" t="s">
        <v>31362</v>
      </c>
      <c r="G11868" t="s">
        <v>31369</v>
      </c>
      <c r="H11868" t="s">
        <v>15799</v>
      </c>
      <c r="I11868" t="s">
        <v>3815</v>
      </c>
      <c r="J11868" t="s">
        <v>38747</v>
      </c>
      <c r="K11868" t="s">
        <v>40670</v>
      </c>
      <c r="M11868" t="s">
        <v>44395</v>
      </c>
      <c r="N11868" t="s">
        <v>44905</v>
      </c>
      <c r="O11868" t="s">
        <v>44906</v>
      </c>
      <c r="P11868">
        <v>0</v>
      </c>
      <c r="Q11868">
        <v>0</v>
      </c>
      <c r="R11868" t="s">
        <v>44917</v>
      </c>
      <c r="S11868" t="s">
        <v>45386</v>
      </c>
      <c r="T11868" t="s">
        <v>46481</v>
      </c>
      <c r="U11868" t="s">
        <v>56418</v>
      </c>
      <c r="V11868" t="s">
        <v>60319</v>
      </c>
      <c r="W11868" t="s">
        <v>44395</v>
      </c>
      <c r="X11868" t="s">
        <v>44918</v>
      </c>
    </row>
    <row r="11869" spans="1:24">
      <c r="A11869">
        <f>HYPERLINK("https://www.philgeps.gov.ph/GEPSNONPILOT/Tender/SplashBidNoticeAbstractUI.aspx?menuIndex=3&amp;refID=7060446&amp;Result=3","7060446")</f>
        <v>0</v>
      </c>
      <c r="B11869" t="s">
        <v>1579</v>
      </c>
      <c r="C11869" t="s">
        <v>14852</v>
      </c>
      <c r="D11869" t="s">
        <v>18117</v>
      </c>
      <c r="E11869" t="s">
        <v>28487</v>
      </c>
      <c r="F11869" t="s">
        <v>31362</v>
      </c>
      <c r="G11869" t="s">
        <v>31369</v>
      </c>
      <c r="H11869" t="s">
        <v>15799</v>
      </c>
      <c r="I11869" t="s">
        <v>31455</v>
      </c>
      <c r="J11869" t="s">
        <v>32006</v>
      </c>
      <c r="K11869" t="s">
        <v>40679</v>
      </c>
      <c r="M11869" t="s">
        <v>42956</v>
      </c>
      <c r="N11869" t="s">
        <v>44905</v>
      </c>
      <c r="O11869" t="s">
        <v>44906</v>
      </c>
      <c r="P11869">
        <v>0</v>
      </c>
      <c r="Q11869">
        <v>0</v>
      </c>
      <c r="R11869" t="s">
        <v>44917</v>
      </c>
      <c r="S11869" t="s">
        <v>45386</v>
      </c>
      <c r="T11869" t="s">
        <v>46533</v>
      </c>
      <c r="U11869" t="s">
        <v>56419</v>
      </c>
      <c r="W11869" t="s">
        <v>42956</v>
      </c>
      <c r="X11869" t="s">
        <v>44918</v>
      </c>
    </row>
    <row r="11870" spans="1:24">
      <c r="A11870">
        <f>HYPERLINK("https://www.philgeps.gov.ph/GEPSNONPILOT/Tender/SplashBidNoticeAbstractUI.aspx?menuIndex=3&amp;refID=7060550&amp;Result=3","7060550")</f>
        <v>0</v>
      </c>
      <c r="B11870" t="s">
        <v>136</v>
      </c>
      <c r="C11870" t="s">
        <v>14853</v>
      </c>
      <c r="D11870" t="s">
        <v>18108</v>
      </c>
      <c r="E11870" t="s">
        <v>25831</v>
      </c>
      <c r="F11870" t="s">
        <v>31362</v>
      </c>
      <c r="G11870" t="s">
        <v>31369</v>
      </c>
      <c r="H11870" t="s">
        <v>15799</v>
      </c>
      <c r="I11870" t="s">
        <v>31393</v>
      </c>
      <c r="J11870" t="s">
        <v>38748</v>
      </c>
      <c r="K11870" t="s">
        <v>40679</v>
      </c>
      <c r="M11870" t="s">
        <v>41074</v>
      </c>
      <c r="N11870" t="s">
        <v>44905</v>
      </c>
      <c r="O11870" t="s">
        <v>44906</v>
      </c>
      <c r="P11870">
        <v>0</v>
      </c>
      <c r="Q11870">
        <v>15</v>
      </c>
      <c r="R11870" t="s">
        <v>44917</v>
      </c>
      <c r="S11870" t="s">
        <v>45386</v>
      </c>
      <c r="T11870" t="s">
        <v>46538</v>
      </c>
      <c r="U11870" t="s">
        <v>56420</v>
      </c>
      <c r="W11870" t="s">
        <v>60836</v>
      </c>
      <c r="X11870" t="s">
        <v>44918</v>
      </c>
    </row>
    <row r="11871" spans="1:24">
      <c r="A11871">
        <f>HYPERLINK("https://www.philgeps.gov.ph/GEPSNONPILOT/Tender/SplashBidNoticeAbstractUI.aspx?menuIndex=3&amp;refID=7060571&amp;Result=3","7060571")</f>
        <v>0</v>
      </c>
      <c r="B11871" t="s">
        <v>2366</v>
      </c>
      <c r="C11871" t="s">
        <v>14854</v>
      </c>
      <c r="D11871" t="s">
        <v>18168</v>
      </c>
      <c r="E11871" t="s">
        <v>28488</v>
      </c>
      <c r="F11871" t="s">
        <v>31362</v>
      </c>
      <c r="G11871" t="s">
        <v>31369</v>
      </c>
      <c r="H11871" t="s">
        <v>15799</v>
      </c>
      <c r="I11871" t="s">
        <v>3815</v>
      </c>
      <c r="J11871" t="s">
        <v>38749</v>
      </c>
      <c r="K11871" t="s">
        <v>40662</v>
      </c>
      <c r="M11871" t="s">
        <v>43512</v>
      </c>
      <c r="N11871" t="s">
        <v>44905</v>
      </c>
      <c r="O11871" t="s">
        <v>44906</v>
      </c>
      <c r="P11871">
        <v>0</v>
      </c>
      <c r="Q11871">
        <v>0</v>
      </c>
      <c r="R11871" t="s">
        <v>44917</v>
      </c>
      <c r="S11871" t="s">
        <v>45386</v>
      </c>
      <c r="T11871" t="s">
        <v>46851</v>
      </c>
      <c r="U11871" t="s">
        <v>56421</v>
      </c>
      <c r="V11871" t="s">
        <v>60324</v>
      </c>
      <c r="W11871" t="s">
        <v>43512</v>
      </c>
      <c r="X11871" t="s">
        <v>44918</v>
      </c>
    </row>
    <row r="11872" spans="1:24">
      <c r="A11872">
        <f>HYPERLINK("https://www.philgeps.gov.ph/GEPSNONPILOT/Tender/SplashBidNoticeAbstractUI.aspx?menuIndex=3&amp;refID=7060485&amp;Result=3","7060485")</f>
        <v>0</v>
      </c>
      <c r="B11872" t="s">
        <v>130</v>
      </c>
      <c r="C11872" t="s">
        <v>14855</v>
      </c>
      <c r="D11872" t="s">
        <v>18109</v>
      </c>
      <c r="E11872" t="s">
        <v>28489</v>
      </c>
      <c r="F11872" t="s">
        <v>31362</v>
      </c>
      <c r="G11872" t="s">
        <v>31369</v>
      </c>
      <c r="H11872" t="s">
        <v>15799</v>
      </c>
      <c r="I11872" t="s">
        <v>6373</v>
      </c>
      <c r="J11872" t="s">
        <v>38750</v>
      </c>
      <c r="K11872" t="s">
        <v>40662</v>
      </c>
      <c r="M11872" t="s">
        <v>44396</v>
      </c>
      <c r="N11872" t="s">
        <v>44905</v>
      </c>
      <c r="O11872" t="s">
        <v>44906</v>
      </c>
      <c r="Q11872">
        <v>8</v>
      </c>
      <c r="R11872" t="s">
        <v>44917</v>
      </c>
      <c r="S11872" t="s">
        <v>45416</v>
      </c>
      <c r="T11872" t="s">
        <v>46528</v>
      </c>
      <c r="U11872" t="s">
        <v>56422</v>
      </c>
      <c r="W11872" t="s">
        <v>44396</v>
      </c>
      <c r="X11872" t="s">
        <v>44918</v>
      </c>
    </row>
    <row r="11873" spans="1:24">
      <c r="A11873">
        <f>HYPERLINK("https://www.philgeps.gov.ph/GEPSNONPILOT/Tender/SplashBidNoticeAbstractUI.aspx?menuIndex=3&amp;refID=7060349&amp;Result=3","7060349")</f>
        <v>0</v>
      </c>
      <c r="B11873" t="s">
        <v>3151</v>
      </c>
      <c r="C11873" t="s">
        <v>14856</v>
      </c>
      <c r="D11873" t="s">
        <v>18153</v>
      </c>
      <c r="E11873" t="s">
        <v>28490</v>
      </c>
      <c r="F11873" t="s">
        <v>31362</v>
      </c>
      <c r="G11873" t="s">
        <v>31369</v>
      </c>
      <c r="H11873" t="s">
        <v>15799</v>
      </c>
      <c r="I11873" t="s">
        <v>31387</v>
      </c>
      <c r="J11873" t="s">
        <v>38751</v>
      </c>
      <c r="K11873" t="s">
        <v>40675</v>
      </c>
      <c r="M11873" t="s">
        <v>44413</v>
      </c>
      <c r="N11873" t="s">
        <v>44905</v>
      </c>
      <c r="O11873" t="s">
        <v>44906</v>
      </c>
      <c r="P11873">
        <v>0</v>
      </c>
      <c r="Q11873">
        <v>1</v>
      </c>
      <c r="R11873" t="s">
        <v>44917</v>
      </c>
      <c r="S11873" t="s">
        <v>45386</v>
      </c>
      <c r="T11873" t="s">
        <v>46481</v>
      </c>
      <c r="U11873" t="s">
        <v>56423</v>
      </c>
      <c r="W11873" t="s">
        <v>44413</v>
      </c>
      <c r="X11873" t="s">
        <v>44918</v>
      </c>
    </row>
    <row r="11874" spans="1:24">
      <c r="A11874">
        <f>HYPERLINK("https://www.philgeps.gov.ph/GEPSNONPILOT/Tender/SplashBidNoticeAbstractUI.aspx?menuIndex=3&amp;refID=7060691&amp;Result=3","7060691")</f>
        <v>0</v>
      </c>
      <c r="B11874" t="s">
        <v>2843</v>
      </c>
      <c r="C11874" t="s">
        <v>14857</v>
      </c>
      <c r="E11874" t="s">
        <v>21820</v>
      </c>
      <c r="F11874" t="s">
        <v>31362</v>
      </c>
      <c r="G11874" t="s">
        <v>31369</v>
      </c>
      <c r="H11874" t="s">
        <v>15799</v>
      </c>
      <c r="I11874" t="s">
        <v>7719</v>
      </c>
      <c r="J11874" t="s">
        <v>31606</v>
      </c>
      <c r="K11874" t="s">
        <v>40662</v>
      </c>
      <c r="M11874" t="s">
        <v>44044</v>
      </c>
      <c r="N11874" t="s">
        <v>44905</v>
      </c>
      <c r="O11874" t="s">
        <v>44906</v>
      </c>
      <c r="Q11874">
        <v>38</v>
      </c>
      <c r="R11874" t="s">
        <v>44917</v>
      </c>
      <c r="S11874" t="s">
        <v>45417</v>
      </c>
      <c r="T11874" t="s">
        <v>46481</v>
      </c>
      <c r="U11874" t="s">
        <v>56424</v>
      </c>
      <c r="W11874" t="s">
        <v>44044</v>
      </c>
      <c r="X11874" t="s">
        <v>44918</v>
      </c>
    </row>
    <row r="11875" spans="1:24">
      <c r="A11875">
        <f>HYPERLINK("https://www.philgeps.gov.ph/GEPSNONPILOT/Tender/SplashBidNoticeAbstractUI.aspx?menuIndex=3&amp;refID=7060451&amp;Result=3","7060451")</f>
        <v>0</v>
      </c>
      <c r="B11875" t="s">
        <v>1864</v>
      </c>
      <c r="C11875" t="s">
        <v>14858</v>
      </c>
      <c r="D11875" t="s">
        <v>18140</v>
      </c>
      <c r="E11875" t="s">
        <v>28491</v>
      </c>
      <c r="F11875" t="s">
        <v>31362</v>
      </c>
      <c r="G11875" t="s">
        <v>31369</v>
      </c>
      <c r="H11875" t="s">
        <v>15799</v>
      </c>
      <c r="I11875" t="s">
        <v>31393</v>
      </c>
      <c r="J11875" t="s">
        <v>38752</v>
      </c>
      <c r="K11875" t="s">
        <v>40677</v>
      </c>
      <c r="M11875" t="s">
        <v>42954</v>
      </c>
      <c r="N11875" t="s">
        <v>44905</v>
      </c>
      <c r="O11875" t="s">
        <v>44906</v>
      </c>
      <c r="Q11875">
        <v>9</v>
      </c>
      <c r="R11875" t="s">
        <v>44917</v>
      </c>
      <c r="S11875" t="s">
        <v>45418</v>
      </c>
      <c r="T11875" t="s">
        <v>46569</v>
      </c>
      <c r="U11875" t="s">
        <v>56425</v>
      </c>
      <c r="W11875" t="s">
        <v>42954</v>
      </c>
      <c r="X11875" t="s">
        <v>44918</v>
      </c>
    </row>
    <row r="11876" spans="1:24">
      <c r="A11876">
        <f>HYPERLINK("https://www.philgeps.gov.ph/GEPSNONPILOT/Tender/SplashBidNoticeAbstractUI.aspx?menuIndex=3&amp;refID=7060668&amp;Result=3","7060668")</f>
        <v>0</v>
      </c>
      <c r="B11876" t="s">
        <v>2843</v>
      </c>
      <c r="C11876" t="s">
        <v>14859</v>
      </c>
      <c r="D11876" t="s">
        <v>18108</v>
      </c>
      <c r="E11876" t="s">
        <v>21404</v>
      </c>
      <c r="F11876" t="s">
        <v>31362</v>
      </c>
      <c r="G11876" t="s">
        <v>31369</v>
      </c>
      <c r="H11876" t="s">
        <v>15799</v>
      </c>
      <c r="I11876" t="s">
        <v>31436</v>
      </c>
      <c r="J11876" t="s">
        <v>38753</v>
      </c>
      <c r="K11876" t="s">
        <v>40662</v>
      </c>
      <c r="M11876" t="s">
        <v>44044</v>
      </c>
      <c r="N11876" t="s">
        <v>44905</v>
      </c>
      <c r="O11876" t="s">
        <v>44906</v>
      </c>
      <c r="Q11876">
        <v>8</v>
      </c>
      <c r="R11876" t="s">
        <v>44917</v>
      </c>
      <c r="S11876" t="s">
        <v>45124</v>
      </c>
      <c r="T11876" t="s">
        <v>46481</v>
      </c>
      <c r="U11876" t="s">
        <v>56426</v>
      </c>
      <c r="W11876" t="s">
        <v>44044</v>
      </c>
      <c r="X11876" t="s">
        <v>44918</v>
      </c>
    </row>
    <row r="11877" spans="1:24">
      <c r="A11877">
        <f>HYPERLINK("https://www.philgeps.gov.ph/GEPSNONPILOT/Tender/SplashBidNoticeAbstractUI.aspx?menuIndex=3&amp;refID=7060656&amp;Result=3","7060656")</f>
        <v>0</v>
      </c>
      <c r="B11877" t="s">
        <v>3152</v>
      </c>
      <c r="C11877" t="s">
        <v>14860</v>
      </c>
      <c r="D11877" t="s">
        <v>18130</v>
      </c>
      <c r="E11877" t="s">
        <v>28492</v>
      </c>
      <c r="F11877" t="s">
        <v>31362</v>
      </c>
      <c r="G11877" t="s">
        <v>31369</v>
      </c>
      <c r="H11877" t="s">
        <v>15799</v>
      </c>
      <c r="I11877" t="s">
        <v>31414</v>
      </c>
      <c r="J11877" t="s">
        <v>31542</v>
      </c>
      <c r="K11877" t="s">
        <v>40665</v>
      </c>
      <c r="M11877" t="s">
        <v>44414</v>
      </c>
      <c r="N11877" t="s">
        <v>44905</v>
      </c>
      <c r="O11877" t="s">
        <v>44906</v>
      </c>
      <c r="Q11877">
        <v>1</v>
      </c>
      <c r="R11877" t="s">
        <v>44917</v>
      </c>
      <c r="S11877" t="s">
        <v>45419</v>
      </c>
      <c r="T11877" t="s">
        <v>46638</v>
      </c>
      <c r="U11877" t="s">
        <v>56427</v>
      </c>
      <c r="V11877" t="s">
        <v>60325</v>
      </c>
      <c r="W11877" t="s">
        <v>44414</v>
      </c>
      <c r="X11877" t="s">
        <v>44918</v>
      </c>
    </row>
    <row r="11878" spans="1:24">
      <c r="A11878">
        <f>HYPERLINK("https://www.philgeps.gov.ph/GEPSNONPILOT/Tender/SplashBidNoticeAbstractUI.aspx?menuIndex=3&amp;refID=7060641&amp;Result=3","7060641")</f>
        <v>0</v>
      </c>
      <c r="B11878" t="s">
        <v>2366</v>
      </c>
      <c r="C11878" t="s">
        <v>14861</v>
      </c>
      <c r="D11878" t="s">
        <v>18168</v>
      </c>
      <c r="E11878" t="s">
        <v>28493</v>
      </c>
      <c r="F11878" t="s">
        <v>31362</v>
      </c>
      <c r="G11878" t="s">
        <v>31369</v>
      </c>
      <c r="H11878" t="s">
        <v>15799</v>
      </c>
      <c r="I11878" t="s">
        <v>3815</v>
      </c>
      <c r="J11878" t="s">
        <v>38754</v>
      </c>
      <c r="K11878" t="s">
        <v>40662</v>
      </c>
      <c r="M11878" t="s">
        <v>43512</v>
      </c>
      <c r="N11878" t="s">
        <v>44905</v>
      </c>
      <c r="O11878" t="s">
        <v>44906</v>
      </c>
      <c r="P11878">
        <v>0</v>
      </c>
      <c r="Q11878">
        <v>0</v>
      </c>
      <c r="R11878" t="s">
        <v>44917</v>
      </c>
      <c r="S11878" t="s">
        <v>45386</v>
      </c>
      <c r="T11878" t="s">
        <v>46851</v>
      </c>
      <c r="U11878" t="s">
        <v>56421</v>
      </c>
      <c r="V11878" t="s">
        <v>60326</v>
      </c>
      <c r="W11878" t="s">
        <v>43512</v>
      </c>
      <c r="X11878" t="s">
        <v>44918</v>
      </c>
    </row>
    <row r="11879" spans="1:24">
      <c r="A11879">
        <f>HYPERLINK("https://www.philgeps.gov.ph/GEPSNONPILOT/Tender/SplashBidNoticeAbstractUI.aspx?menuIndex=3&amp;refID=7060635&amp;Result=3","7060635")</f>
        <v>0</v>
      </c>
      <c r="B11879" t="s">
        <v>3153</v>
      </c>
      <c r="C11879" t="s">
        <v>14862</v>
      </c>
      <c r="D11879" t="s">
        <v>18127</v>
      </c>
      <c r="E11879" t="s">
        <v>28494</v>
      </c>
      <c r="F11879" t="s">
        <v>31362</v>
      </c>
      <c r="G11879" t="s">
        <v>31369</v>
      </c>
      <c r="H11879" t="s">
        <v>31377</v>
      </c>
      <c r="I11879" t="s">
        <v>31377</v>
      </c>
      <c r="J11879" t="s">
        <v>31607</v>
      </c>
      <c r="K11879" t="s">
        <v>40686</v>
      </c>
      <c r="M11879" t="s">
        <v>44415</v>
      </c>
      <c r="N11879" t="s">
        <v>44905</v>
      </c>
      <c r="O11879" t="s">
        <v>44906</v>
      </c>
      <c r="P11879">
        <v>0</v>
      </c>
      <c r="Q11879">
        <v>7</v>
      </c>
      <c r="R11879" t="s">
        <v>44917</v>
      </c>
      <c r="S11879" t="s">
        <v>45386</v>
      </c>
      <c r="T11879" t="s">
        <v>46555</v>
      </c>
      <c r="U11879" t="s">
        <v>56428</v>
      </c>
      <c r="W11879" t="s">
        <v>44415</v>
      </c>
      <c r="X11879" t="s">
        <v>44918</v>
      </c>
    </row>
    <row r="11880" spans="1:24">
      <c r="A11880">
        <f>HYPERLINK("https://www.philgeps.gov.ph/GEPSNONPILOT/Tender/SplashBidNoticeAbstractUI.aspx?menuIndex=3&amp;refID=7060628&amp;Result=3","7060628")</f>
        <v>0</v>
      </c>
      <c r="B11880" t="s">
        <v>1814</v>
      </c>
      <c r="C11880" t="s">
        <v>14863</v>
      </c>
      <c r="D11880" t="s">
        <v>18104</v>
      </c>
      <c r="E11880" t="s">
        <v>28495</v>
      </c>
      <c r="F11880" t="s">
        <v>31363</v>
      </c>
      <c r="G11880" t="s">
        <v>31369</v>
      </c>
      <c r="H11880" t="s">
        <v>31379</v>
      </c>
      <c r="I11880" t="s">
        <v>31483</v>
      </c>
      <c r="J11880" t="s">
        <v>38755</v>
      </c>
      <c r="K11880" t="s">
        <v>40675</v>
      </c>
      <c r="M11880" t="s">
        <v>42897</v>
      </c>
      <c r="N11880" t="s">
        <v>44905</v>
      </c>
      <c r="O11880" t="s">
        <v>44906</v>
      </c>
      <c r="P11880">
        <v>0</v>
      </c>
      <c r="Q11880">
        <v>0</v>
      </c>
      <c r="R11880" t="s">
        <v>44917</v>
      </c>
      <c r="S11880" t="s">
        <v>45386</v>
      </c>
      <c r="T11880" t="s">
        <v>46506</v>
      </c>
      <c r="U11880" t="s">
        <v>56429</v>
      </c>
      <c r="V11880" t="s">
        <v>60327</v>
      </c>
      <c r="W11880" t="s">
        <v>42897</v>
      </c>
      <c r="X11880" t="s">
        <v>44918</v>
      </c>
    </row>
    <row r="11881" spans="1:24">
      <c r="A11881">
        <f>HYPERLINK("https://www.philgeps.gov.ph/GEPSNONPILOT/Tender/SplashBidNoticeAbstractUI.aspx?menuIndex=3&amp;refID=7060626&amp;Result=3","7060626")</f>
        <v>0</v>
      </c>
      <c r="B11881" t="s">
        <v>1058</v>
      </c>
      <c r="C11881" t="s">
        <v>14864</v>
      </c>
      <c r="D11881" t="s">
        <v>18104</v>
      </c>
      <c r="E11881" t="s">
        <v>28496</v>
      </c>
      <c r="F11881" t="s">
        <v>31362</v>
      </c>
      <c r="G11881" t="s">
        <v>31369</v>
      </c>
      <c r="H11881" t="s">
        <v>15799</v>
      </c>
      <c r="I11881" t="s">
        <v>6373</v>
      </c>
      <c r="J11881" t="s">
        <v>38756</v>
      </c>
      <c r="K11881" t="s">
        <v>40670</v>
      </c>
      <c r="M11881" t="s">
        <v>42059</v>
      </c>
      <c r="N11881" t="s">
        <v>44905</v>
      </c>
      <c r="O11881" t="s">
        <v>44906</v>
      </c>
      <c r="P11881">
        <v>0</v>
      </c>
      <c r="Q11881">
        <v>2</v>
      </c>
      <c r="R11881" t="s">
        <v>44917</v>
      </c>
      <c r="S11881" t="s">
        <v>45386</v>
      </c>
      <c r="T11881" t="s">
        <v>46504</v>
      </c>
      <c r="U11881" t="s">
        <v>56430</v>
      </c>
      <c r="W11881" t="s">
        <v>42059</v>
      </c>
      <c r="X11881" t="s">
        <v>44918</v>
      </c>
    </row>
    <row r="11882" spans="1:24">
      <c r="A11882">
        <f>HYPERLINK("https://www.philgeps.gov.ph/GEPSNONPILOT/Tender/SplashBidNoticeAbstractUI.aspx?menuIndex=3&amp;refID=7060445&amp;Result=3","7060445")</f>
        <v>0</v>
      </c>
      <c r="B11882" t="s">
        <v>3142</v>
      </c>
      <c r="C11882" t="s">
        <v>14865</v>
      </c>
      <c r="D11882" t="s">
        <v>18159</v>
      </c>
      <c r="E11882" t="s">
        <v>19498</v>
      </c>
      <c r="F11882" t="s">
        <v>31363</v>
      </c>
      <c r="G11882" t="s">
        <v>31369</v>
      </c>
      <c r="H11882" t="s">
        <v>15799</v>
      </c>
      <c r="I11882" t="s">
        <v>31386</v>
      </c>
      <c r="J11882" t="s">
        <v>38757</v>
      </c>
      <c r="K11882" t="s">
        <v>40688</v>
      </c>
      <c r="M11882" t="s">
        <v>44404</v>
      </c>
      <c r="N11882" t="s">
        <v>44905</v>
      </c>
      <c r="O11882" t="s">
        <v>44906</v>
      </c>
      <c r="P11882">
        <v>0</v>
      </c>
      <c r="Q11882">
        <v>0</v>
      </c>
      <c r="R11882" t="s">
        <v>44917</v>
      </c>
      <c r="S11882" t="s">
        <v>45386</v>
      </c>
      <c r="T11882" t="s">
        <v>46555</v>
      </c>
      <c r="U11882" t="s">
        <v>56431</v>
      </c>
      <c r="V11882" t="s">
        <v>60328</v>
      </c>
      <c r="W11882" t="s">
        <v>44404</v>
      </c>
      <c r="X11882" t="s">
        <v>44918</v>
      </c>
    </row>
    <row r="11883" spans="1:24">
      <c r="A11883">
        <f>HYPERLINK("https://www.philgeps.gov.ph/GEPSNONPILOT/Tender/SplashBidNoticeAbstractUI.aspx?menuIndex=3&amp;refID=7060619&amp;Result=3","7060619")</f>
        <v>0</v>
      </c>
      <c r="B11883" t="s">
        <v>2843</v>
      </c>
      <c r="C11883" t="s">
        <v>14866</v>
      </c>
      <c r="E11883" t="s">
        <v>25769</v>
      </c>
      <c r="F11883" t="s">
        <v>31362</v>
      </c>
      <c r="G11883" t="s">
        <v>31369</v>
      </c>
      <c r="H11883" t="s">
        <v>15799</v>
      </c>
      <c r="I11883" t="s">
        <v>31393</v>
      </c>
      <c r="J11883" t="s">
        <v>38758</v>
      </c>
      <c r="K11883" t="s">
        <v>40662</v>
      </c>
      <c r="M11883" t="s">
        <v>44044</v>
      </c>
      <c r="N11883" t="s">
        <v>44905</v>
      </c>
      <c r="O11883" t="s">
        <v>44906</v>
      </c>
      <c r="Q11883">
        <v>22</v>
      </c>
      <c r="R11883" t="s">
        <v>44917</v>
      </c>
      <c r="S11883" t="s">
        <v>45135</v>
      </c>
      <c r="T11883" t="s">
        <v>46481</v>
      </c>
      <c r="U11883" t="s">
        <v>56432</v>
      </c>
      <c r="W11883" t="s">
        <v>44044</v>
      </c>
      <c r="X11883" t="s">
        <v>44918</v>
      </c>
    </row>
    <row r="11884" spans="1:24">
      <c r="A11884">
        <f>HYPERLINK("https://www.philgeps.gov.ph/GEPSNONPILOT/Tender/SplashBidNoticeAbstractUI.aspx?menuIndex=3&amp;refID=7060674&amp;Result=3","7060674")</f>
        <v>0</v>
      </c>
      <c r="B11884" t="s">
        <v>2391</v>
      </c>
      <c r="C11884" t="s">
        <v>14867</v>
      </c>
      <c r="D11884" t="s">
        <v>18106</v>
      </c>
      <c r="E11884" t="s">
        <v>28497</v>
      </c>
      <c r="F11884" t="s">
        <v>31362</v>
      </c>
      <c r="G11884" t="s">
        <v>31369</v>
      </c>
      <c r="H11884" t="s">
        <v>31378</v>
      </c>
      <c r="I11884" t="s">
        <v>31386</v>
      </c>
      <c r="J11884" t="s">
        <v>38759</v>
      </c>
      <c r="K11884" t="s">
        <v>40683</v>
      </c>
      <c r="M11884" t="s">
        <v>43540</v>
      </c>
      <c r="N11884" t="s">
        <v>44905</v>
      </c>
      <c r="O11884" t="s">
        <v>44906</v>
      </c>
      <c r="Q11884">
        <v>4</v>
      </c>
      <c r="R11884" t="s">
        <v>44917</v>
      </c>
      <c r="S11884" t="s">
        <v>45420</v>
      </c>
      <c r="T11884" t="s">
        <v>46542</v>
      </c>
      <c r="U11884" t="s">
        <v>56433</v>
      </c>
      <c r="W11884" t="s">
        <v>43540</v>
      </c>
      <c r="X11884" t="s">
        <v>44918</v>
      </c>
    </row>
    <row r="11885" spans="1:24">
      <c r="A11885">
        <f>HYPERLINK("https://www.philgeps.gov.ph/GEPSNONPILOT/Tender/SplashBidNoticeAbstractUI.aspx?menuIndex=3&amp;refID=7060616&amp;Result=3","7060616")</f>
        <v>0</v>
      </c>
      <c r="B11885" t="s">
        <v>2391</v>
      </c>
      <c r="C11885" t="s">
        <v>14868</v>
      </c>
      <c r="D11885" t="s">
        <v>18106</v>
      </c>
      <c r="E11885" t="s">
        <v>28498</v>
      </c>
      <c r="F11885" t="s">
        <v>31362</v>
      </c>
      <c r="G11885" t="s">
        <v>31369</v>
      </c>
      <c r="H11885" t="s">
        <v>31378</v>
      </c>
      <c r="I11885" t="s">
        <v>31386</v>
      </c>
      <c r="J11885" t="s">
        <v>38760</v>
      </c>
      <c r="K11885" t="s">
        <v>40692</v>
      </c>
      <c r="M11885" t="s">
        <v>43540</v>
      </c>
      <c r="N11885" t="s">
        <v>44905</v>
      </c>
      <c r="O11885" t="s">
        <v>44906</v>
      </c>
      <c r="P11885">
        <v>0</v>
      </c>
      <c r="Q11885">
        <v>0</v>
      </c>
      <c r="R11885" t="s">
        <v>44917</v>
      </c>
      <c r="S11885" t="s">
        <v>45386</v>
      </c>
      <c r="T11885" t="s">
        <v>46542</v>
      </c>
      <c r="U11885" t="s">
        <v>53764</v>
      </c>
      <c r="W11885" t="s">
        <v>43540</v>
      </c>
      <c r="X11885" t="s">
        <v>44918</v>
      </c>
    </row>
    <row r="11886" spans="1:24">
      <c r="A11886">
        <f>HYPERLINK("https://www.philgeps.gov.ph/GEPSNONPILOT/Tender/SplashBidNoticeAbstractUI.aspx?menuIndex=3&amp;refID=7060568&amp;Result=3","7060568")</f>
        <v>0</v>
      </c>
      <c r="B11886" t="s">
        <v>2391</v>
      </c>
      <c r="C11886" t="s">
        <v>14869</v>
      </c>
      <c r="D11886" t="s">
        <v>18106</v>
      </c>
      <c r="E11886" t="s">
        <v>28499</v>
      </c>
      <c r="F11886" t="s">
        <v>31362</v>
      </c>
      <c r="G11886" t="s">
        <v>31369</v>
      </c>
      <c r="H11886" t="s">
        <v>31378</v>
      </c>
      <c r="I11886" t="s">
        <v>31386</v>
      </c>
      <c r="J11886" t="s">
        <v>33435</v>
      </c>
      <c r="K11886" t="s">
        <v>40678</v>
      </c>
      <c r="M11886" t="s">
        <v>43540</v>
      </c>
      <c r="N11886" t="s">
        <v>44905</v>
      </c>
      <c r="O11886" t="s">
        <v>44906</v>
      </c>
      <c r="P11886">
        <v>0</v>
      </c>
      <c r="Q11886">
        <v>3</v>
      </c>
      <c r="R11886" t="s">
        <v>44917</v>
      </c>
      <c r="S11886" t="s">
        <v>45386</v>
      </c>
      <c r="T11886" t="s">
        <v>46542</v>
      </c>
      <c r="U11886" t="s">
        <v>53764</v>
      </c>
      <c r="W11886" t="s">
        <v>43540</v>
      </c>
      <c r="X11886" t="s">
        <v>44918</v>
      </c>
    </row>
    <row r="11887" spans="1:24">
      <c r="A11887">
        <f>HYPERLINK("https://www.philgeps.gov.ph/GEPSNONPILOT/Tender/SplashBidNoticeAbstractUI.aspx?menuIndex=3&amp;refID=7060609&amp;Result=3","7060609")</f>
        <v>0</v>
      </c>
      <c r="B11887" t="s">
        <v>3148</v>
      </c>
      <c r="C11887" t="s">
        <v>14870</v>
      </c>
      <c r="D11887" t="s">
        <v>18108</v>
      </c>
      <c r="E11887" t="s">
        <v>28500</v>
      </c>
      <c r="F11887" t="s">
        <v>31362</v>
      </c>
      <c r="G11887" t="s">
        <v>31369</v>
      </c>
      <c r="H11887" t="s">
        <v>15799</v>
      </c>
      <c r="I11887" t="s">
        <v>31380</v>
      </c>
      <c r="J11887" t="s">
        <v>33789</v>
      </c>
      <c r="K11887" t="s">
        <v>40662</v>
      </c>
      <c r="M11887" t="s">
        <v>44410</v>
      </c>
      <c r="N11887" t="s">
        <v>44905</v>
      </c>
      <c r="O11887" t="s">
        <v>44906</v>
      </c>
      <c r="P11887">
        <v>0</v>
      </c>
      <c r="Q11887">
        <v>4</v>
      </c>
      <c r="R11887" t="s">
        <v>44917</v>
      </c>
      <c r="S11887" t="s">
        <v>45386</v>
      </c>
      <c r="T11887" t="s">
        <v>46499</v>
      </c>
      <c r="U11887" t="s">
        <v>56434</v>
      </c>
      <c r="W11887" t="s">
        <v>44410</v>
      </c>
      <c r="X11887" t="s">
        <v>44918</v>
      </c>
    </row>
    <row r="11888" spans="1:24">
      <c r="A11888">
        <f>HYPERLINK("https://www.philgeps.gov.ph/GEPSNONPILOT/Tender/SplashBidNoticeAbstractUI.aspx?menuIndex=3&amp;refID=7060623&amp;Result=3","7060623")</f>
        <v>0</v>
      </c>
      <c r="B11888" t="s">
        <v>3148</v>
      </c>
      <c r="C11888" t="s">
        <v>14871</v>
      </c>
      <c r="D11888" t="s">
        <v>18108</v>
      </c>
      <c r="E11888" t="s">
        <v>28501</v>
      </c>
      <c r="F11888" t="s">
        <v>31362</v>
      </c>
      <c r="G11888" t="s">
        <v>31369</v>
      </c>
      <c r="H11888" t="s">
        <v>15799</v>
      </c>
      <c r="I11888" t="s">
        <v>4283</v>
      </c>
      <c r="J11888" t="s">
        <v>38761</v>
      </c>
      <c r="K11888" t="s">
        <v>40662</v>
      </c>
      <c r="M11888" t="s">
        <v>44410</v>
      </c>
      <c r="N11888" t="s">
        <v>44905</v>
      </c>
      <c r="O11888" t="s">
        <v>44906</v>
      </c>
      <c r="P11888">
        <v>0</v>
      </c>
      <c r="Q11888">
        <v>3</v>
      </c>
      <c r="R11888" t="s">
        <v>44917</v>
      </c>
      <c r="S11888" t="s">
        <v>45386</v>
      </c>
      <c r="T11888" t="s">
        <v>46499</v>
      </c>
      <c r="U11888" t="s">
        <v>56435</v>
      </c>
      <c r="W11888" t="s">
        <v>44410</v>
      </c>
      <c r="X11888" t="s">
        <v>44918</v>
      </c>
    </row>
    <row r="11889" spans="1:24">
      <c r="A11889">
        <f>HYPERLINK("https://www.philgeps.gov.ph/GEPSNONPILOT/Tender/SplashBidNoticeAbstractUI.aspx?menuIndex=3&amp;refID=7060683&amp;Result=3","7060683")</f>
        <v>0</v>
      </c>
      <c r="B11889" t="s">
        <v>1058</v>
      </c>
      <c r="C11889" t="s">
        <v>4283</v>
      </c>
      <c r="D11889" t="s">
        <v>18104</v>
      </c>
      <c r="E11889" t="s">
        <v>28502</v>
      </c>
      <c r="F11889" t="s">
        <v>31362</v>
      </c>
      <c r="G11889" t="s">
        <v>31369</v>
      </c>
      <c r="H11889" t="s">
        <v>15799</v>
      </c>
      <c r="I11889" t="s">
        <v>4283</v>
      </c>
      <c r="J11889" t="s">
        <v>31591</v>
      </c>
      <c r="K11889" t="s">
        <v>40670</v>
      </c>
      <c r="M11889" t="s">
        <v>42059</v>
      </c>
      <c r="N11889" t="s">
        <v>44905</v>
      </c>
      <c r="O11889" t="s">
        <v>44906</v>
      </c>
      <c r="Q11889">
        <v>2</v>
      </c>
      <c r="R11889" t="s">
        <v>44917</v>
      </c>
      <c r="S11889" t="s">
        <v>45421</v>
      </c>
      <c r="T11889" t="s">
        <v>46504</v>
      </c>
      <c r="U11889" t="s">
        <v>56436</v>
      </c>
      <c r="W11889" t="s">
        <v>42059</v>
      </c>
      <c r="X11889" t="s">
        <v>44918</v>
      </c>
    </row>
    <row r="11890" spans="1:24">
      <c r="A11890">
        <f>HYPERLINK("https://www.philgeps.gov.ph/GEPSNONPILOT/Tender/SplashBidNoticeAbstractUI.aspx?menuIndex=3&amp;refID=7060825&amp;Result=3","7060825")</f>
        <v>0</v>
      </c>
      <c r="B11890" t="s">
        <v>666</v>
      </c>
      <c r="C11890" t="s">
        <v>14872</v>
      </c>
      <c r="D11890" t="s">
        <v>18108</v>
      </c>
      <c r="E11890" t="s">
        <v>28503</v>
      </c>
      <c r="F11890" t="s">
        <v>31362</v>
      </c>
      <c r="G11890" t="s">
        <v>31371</v>
      </c>
      <c r="H11890" t="s">
        <v>15799</v>
      </c>
      <c r="I11890" t="s">
        <v>31419</v>
      </c>
      <c r="J11890" t="s">
        <v>38762</v>
      </c>
      <c r="K11890" t="s">
        <v>40661</v>
      </c>
      <c r="M11890" t="s">
        <v>41628</v>
      </c>
      <c r="N11890" t="s">
        <v>44905</v>
      </c>
      <c r="O11890" t="s">
        <v>44906</v>
      </c>
      <c r="Q11890">
        <v>7</v>
      </c>
      <c r="R11890" t="s">
        <v>44917</v>
      </c>
      <c r="S11890" t="s">
        <v>45422</v>
      </c>
      <c r="T11890" t="s">
        <v>46488</v>
      </c>
      <c r="U11890" t="s">
        <v>56437</v>
      </c>
      <c r="W11890" t="s">
        <v>41628</v>
      </c>
      <c r="X11890" t="s">
        <v>44918</v>
      </c>
    </row>
    <row r="11891" spans="1:24">
      <c r="A11891">
        <f>HYPERLINK("https://www.philgeps.gov.ph/GEPSNONPILOT/Tender/SplashBidNoticeAbstractUI.aspx?menuIndex=3&amp;refID=7060804&amp;Result=3","7060804")</f>
        <v>0</v>
      </c>
      <c r="B11891" t="s">
        <v>3154</v>
      </c>
      <c r="C11891" t="s">
        <v>14873</v>
      </c>
      <c r="D11891" t="s">
        <v>18133</v>
      </c>
      <c r="E11891" t="s">
        <v>28504</v>
      </c>
      <c r="F11891" t="s">
        <v>31362</v>
      </c>
      <c r="G11891" t="s">
        <v>31369</v>
      </c>
      <c r="H11891" t="s">
        <v>31378</v>
      </c>
      <c r="I11891" t="s">
        <v>31386</v>
      </c>
      <c r="J11891" t="s">
        <v>38763</v>
      </c>
      <c r="K11891" t="s">
        <v>40816</v>
      </c>
      <c r="M11891" t="s">
        <v>44416</v>
      </c>
      <c r="N11891" t="s">
        <v>44905</v>
      </c>
      <c r="O11891" t="s">
        <v>44906</v>
      </c>
      <c r="P11891">
        <v>0</v>
      </c>
      <c r="Q11891">
        <v>1</v>
      </c>
      <c r="R11891" t="s">
        <v>44917</v>
      </c>
      <c r="S11891" t="s">
        <v>45386</v>
      </c>
      <c r="T11891" t="s">
        <v>46481</v>
      </c>
      <c r="U11891" t="s">
        <v>56438</v>
      </c>
      <c r="W11891" t="s">
        <v>44416</v>
      </c>
      <c r="X11891" t="s">
        <v>44918</v>
      </c>
    </row>
    <row r="11892" spans="1:24">
      <c r="A11892">
        <f>HYPERLINK("https://www.philgeps.gov.ph/GEPSNONPILOT/Tender/SplashBidNoticeAbstractUI.aspx?menuIndex=3&amp;refID=7060595&amp;Result=3","7060595")</f>
        <v>0</v>
      </c>
      <c r="B11892" t="s">
        <v>299</v>
      </c>
      <c r="C11892" t="s">
        <v>14874</v>
      </c>
      <c r="D11892" t="s">
        <v>18108</v>
      </c>
      <c r="E11892" t="s">
        <v>28505</v>
      </c>
      <c r="F11892" t="s">
        <v>31362</v>
      </c>
      <c r="G11892" t="s">
        <v>31369</v>
      </c>
      <c r="H11892" t="s">
        <v>15799</v>
      </c>
      <c r="I11892" t="s">
        <v>31387</v>
      </c>
      <c r="J11892" t="s">
        <v>38764</v>
      </c>
      <c r="K11892" t="s">
        <v>40666</v>
      </c>
      <c r="M11892" t="s">
        <v>44401</v>
      </c>
      <c r="N11892" t="s">
        <v>44905</v>
      </c>
      <c r="O11892" t="s">
        <v>44906</v>
      </c>
      <c r="P11892">
        <v>0</v>
      </c>
      <c r="Q11892">
        <v>8</v>
      </c>
      <c r="R11892" t="s">
        <v>44917</v>
      </c>
      <c r="S11892" t="s">
        <v>45386</v>
      </c>
      <c r="T11892" t="s">
        <v>46625</v>
      </c>
      <c r="U11892" t="s">
        <v>56439</v>
      </c>
      <c r="W11892" t="s">
        <v>44401</v>
      </c>
      <c r="X11892" t="s">
        <v>44918</v>
      </c>
    </row>
    <row r="11893" spans="1:24">
      <c r="A11893">
        <f>HYPERLINK("https://www.philgeps.gov.ph/GEPSNONPILOT/Tender/SplashBidNoticeAbstractUI.aspx?menuIndex=3&amp;refID=7060559&amp;Result=3","7060559")</f>
        <v>0</v>
      </c>
      <c r="B11893" t="s">
        <v>1215</v>
      </c>
      <c r="C11893" t="s">
        <v>14875</v>
      </c>
      <c r="D11893" t="s">
        <v>18108</v>
      </c>
      <c r="E11893" t="s">
        <v>28506</v>
      </c>
      <c r="F11893" t="s">
        <v>31362</v>
      </c>
      <c r="G11893" t="s">
        <v>31368</v>
      </c>
      <c r="H11893" t="s">
        <v>15799</v>
      </c>
      <c r="I11893" t="s">
        <v>7188</v>
      </c>
      <c r="J11893" t="s">
        <v>38765</v>
      </c>
      <c r="K11893" t="s">
        <v>40665</v>
      </c>
      <c r="M11893" t="s">
        <v>42228</v>
      </c>
      <c r="N11893" t="s">
        <v>44905</v>
      </c>
      <c r="O11893" t="s">
        <v>44906</v>
      </c>
      <c r="Q11893">
        <v>11</v>
      </c>
      <c r="R11893" t="s">
        <v>44917</v>
      </c>
      <c r="S11893" t="s">
        <v>45423</v>
      </c>
      <c r="T11893" t="s">
        <v>46432</v>
      </c>
      <c r="U11893" t="s">
        <v>56440</v>
      </c>
      <c r="W11893" t="s">
        <v>42228</v>
      </c>
      <c r="X11893" t="s">
        <v>44918</v>
      </c>
    </row>
    <row r="11894" spans="1:24">
      <c r="A11894">
        <f>HYPERLINK("https://www.philgeps.gov.ph/GEPSNONPILOT/Tender/SplashBidNoticeAbstractUI.aspx?menuIndex=3&amp;refID=7060783&amp;Result=3","7060783")</f>
        <v>0</v>
      </c>
      <c r="B11894" t="s">
        <v>3148</v>
      </c>
      <c r="C11894" t="s">
        <v>14876</v>
      </c>
      <c r="D11894" t="s">
        <v>18108</v>
      </c>
      <c r="E11894" t="s">
        <v>28507</v>
      </c>
      <c r="F11894" t="s">
        <v>31362</v>
      </c>
      <c r="G11894" t="s">
        <v>31369</v>
      </c>
      <c r="H11894" t="s">
        <v>15799</v>
      </c>
      <c r="I11894" t="s">
        <v>4283</v>
      </c>
      <c r="J11894" t="s">
        <v>38766</v>
      </c>
      <c r="K11894" t="s">
        <v>40662</v>
      </c>
      <c r="M11894" t="s">
        <v>44410</v>
      </c>
      <c r="N11894" t="s">
        <v>44905</v>
      </c>
      <c r="O11894" t="s">
        <v>44906</v>
      </c>
      <c r="P11894">
        <v>0</v>
      </c>
      <c r="Q11894">
        <v>8</v>
      </c>
      <c r="R11894" t="s">
        <v>44917</v>
      </c>
      <c r="S11894" t="s">
        <v>45386</v>
      </c>
      <c r="T11894" t="s">
        <v>46499</v>
      </c>
      <c r="U11894" t="s">
        <v>56441</v>
      </c>
      <c r="W11894" t="s">
        <v>44410</v>
      </c>
      <c r="X11894" t="s">
        <v>44918</v>
      </c>
    </row>
    <row r="11895" spans="1:24">
      <c r="A11895">
        <f>HYPERLINK("https://www.philgeps.gov.ph/GEPSNONPILOT/Tender/SplashBidNoticeAbstractUI.aspx?menuIndex=3&amp;refID=7060779&amp;Result=3","7060779")</f>
        <v>0</v>
      </c>
      <c r="B11895" t="s">
        <v>1896</v>
      </c>
      <c r="C11895" t="s">
        <v>14877</v>
      </c>
      <c r="E11895" t="s">
        <v>28508</v>
      </c>
      <c r="F11895" t="s">
        <v>31362</v>
      </c>
      <c r="G11895" t="s">
        <v>31372</v>
      </c>
      <c r="H11895" t="s">
        <v>15799</v>
      </c>
      <c r="I11895" t="s">
        <v>31382</v>
      </c>
      <c r="J11895" t="s">
        <v>38767</v>
      </c>
      <c r="K11895" t="s">
        <v>40662</v>
      </c>
      <c r="M11895" t="s">
        <v>44417</v>
      </c>
      <c r="N11895" t="s">
        <v>44905</v>
      </c>
      <c r="O11895" t="s">
        <v>44906</v>
      </c>
      <c r="P11895">
        <v>0</v>
      </c>
      <c r="Q11895">
        <v>34</v>
      </c>
      <c r="R11895" t="s">
        <v>44917</v>
      </c>
      <c r="S11895" t="s">
        <v>45386</v>
      </c>
      <c r="T11895" t="s">
        <v>46499</v>
      </c>
      <c r="U11895" t="s">
        <v>56442</v>
      </c>
      <c r="W11895" t="s">
        <v>44417</v>
      </c>
      <c r="X11895" t="s">
        <v>44918</v>
      </c>
    </row>
    <row r="11896" spans="1:24">
      <c r="A11896">
        <f>HYPERLINK("https://www.philgeps.gov.ph/GEPSNONPILOT/Tender/SplashBidNoticeAbstractUI.aspx?menuIndex=3&amp;refID=7060692&amp;Result=3","7060692")</f>
        <v>0</v>
      </c>
      <c r="B11896" t="s">
        <v>3122</v>
      </c>
      <c r="C11896" t="s">
        <v>14878</v>
      </c>
      <c r="D11896" t="s">
        <v>18113</v>
      </c>
      <c r="E11896" t="s">
        <v>28509</v>
      </c>
      <c r="F11896" t="s">
        <v>31362</v>
      </c>
      <c r="G11896" t="s">
        <v>31369</v>
      </c>
      <c r="H11896" t="s">
        <v>15799</v>
      </c>
      <c r="I11896" t="s">
        <v>3815</v>
      </c>
      <c r="J11896" t="s">
        <v>38768</v>
      </c>
      <c r="K11896" t="s">
        <v>40677</v>
      </c>
      <c r="M11896" t="s">
        <v>44377</v>
      </c>
      <c r="N11896" t="s">
        <v>44905</v>
      </c>
      <c r="O11896" t="s">
        <v>44906</v>
      </c>
      <c r="P11896">
        <v>0</v>
      </c>
      <c r="Q11896">
        <v>1</v>
      </c>
      <c r="R11896" t="s">
        <v>44917</v>
      </c>
      <c r="S11896" t="s">
        <v>45386</v>
      </c>
      <c r="T11896" t="s">
        <v>46560</v>
      </c>
      <c r="U11896" t="s">
        <v>56443</v>
      </c>
      <c r="W11896" t="s">
        <v>44377</v>
      </c>
      <c r="X11896" t="s">
        <v>44918</v>
      </c>
    </row>
    <row r="11897" spans="1:24">
      <c r="A11897">
        <f>HYPERLINK("https://www.philgeps.gov.ph/GEPSNONPILOT/Tender/SplashBidNoticeAbstractUI.aspx?menuIndex=3&amp;refID=7060775&amp;Result=3","7060775")</f>
        <v>0</v>
      </c>
      <c r="B11897" t="s">
        <v>3155</v>
      </c>
      <c r="C11897" t="s">
        <v>14879</v>
      </c>
      <c r="D11897" t="s">
        <v>18148</v>
      </c>
      <c r="E11897" t="s">
        <v>28510</v>
      </c>
      <c r="F11897" t="s">
        <v>31362</v>
      </c>
      <c r="G11897" t="s">
        <v>31369</v>
      </c>
      <c r="H11897" t="s">
        <v>31378</v>
      </c>
      <c r="I11897" t="s">
        <v>31386</v>
      </c>
      <c r="J11897" t="s">
        <v>31615</v>
      </c>
      <c r="K11897" t="s">
        <v>40662</v>
      </c>
      <c r="M11897" t="s">
        <v>44418</v>
      </c>
      <c r="N11897" t="s">
        <v>44905</v>
      </c>
      <c r="O11897" t="s">
        <v>44906</v>
      </c>
      <c r="P11897">
        <v>0</v>
      </c>
      <c r="Q11897">
        <v>1</v>
      </c>
      <c r="R11897" t="s">
        <v>44917</v>
      </c>
      <c r="S11897" t="s">
        <v>45386</v>
      </c>
      <c r="T11897" t="s">
        <v>46524</v>
      </c>
      <c r="U11897" t="s">
        <v>56444</v>
      </c>
      <c r="W11897" t="s">
        <v>44418</v>
      </c>
      <c r="X11897" t="s">
        <v>44918</v>
      </c>
    </row>
    <row r="11898" spans="1:24">
      <c r="A11898">
        <f>HYPERLINK("https://www.philgeps.gov.ph/GEPSNONPILOT/Tender/SplashBidNoticeAbstractUI.aspx?menuIndex=3&amp;refID=7060770&amp;Result=3","7060770")</f>
        <v>0</v>
      </c>
      <c r="B11898" t="s">
        <v>3148</v>
      </c>
      <c r="C11898" t="s">
        <v>14880</v>
      </c>
      <c r="D11898" t="s">
        <v>18108</v>
      </c>
      <c r="E11898" t="s">
        <v>28511</v>
      </c>
      <c r="F11898" t="s">
        <v>31362</v>
      </c>
      <c r="G11898" t="s">
        <v>31369</v>
      </c>
      <c r="H11898" t="s">
        <v>15799</v>
      </c>
      <c r="I11898" t="s">
        <v>4283</v>
      </c>
      <c r="J11898" t="s">
        <v>38769</v>
      </c>
      <c r="K11898" t="s">
        <v>40662</v>
      </c>
      <c r="M11898" t="s">
        <v>44410</v>
      </c>
      <c r="N11898" t="s">
        <v>44905</v>
      </c>
      <c r="O11898" t="s">
        <v>44906</v>
      </c>
      <c r="P11898">
        <v>0</v>
      </c>
      <c r="Q11898">
        <v>4</v>
      </c>
      <c r="R11898" t="s">
        <v>44917</v>
      </c>
      <c r="S11898" t="s">
        <v>45386</v>
      </c>
      <c r="T11898" t="s">
        <v>46499</v>
      </c>
      <c r="U11898" t="s">
        <v>56445</v>
      </c>
      <c r="W11898" t="s">
        <v>44410</v>
      </c>
      <c r="X11898" t="s">
        <v>44918</v>
      </c>
    </row>
    <row r="11899" spans="1:24">
      <c r="A11899">
        <f>HYPERLINK("https://www.philgeps.gov.ph/GEPSNONPILOT/Tender/SplashBidNoticeAbstractUI.aspx?menuIndex=3&amp;refID=7060762&amp;Result=3","7060762")</f>
        <v>0</v>
      </c>
      <c r="B11899" t="s">
        <v>3148</v>
      </c>
      <c r="C11899" t="s">
        <v>14881</v>
      </c>
      <c r="D11899" t="s">
        <v>18108</v>
      </c>
      <c r="E11899" t="s">
        <v>28512</v>
      </c>
      <c r="F11899" t="s">
        <v>31362</v>
      </c>
      <c r="G11899" t="s">
        <v>31369</v>
      </c>
      <c r="H11899" t="s">
        <v>15799</v>
      </c>
      <c r="I11899" t="s">
        <v>31382</v>
      </c>
      <c r="J11899" t="s">
        <v>38770</v>
      </c>
      <c r="K11899" t="s">
        <v>40662</v>
      </c>
      <c r="M11899" t="s">
        <v>44410</v>
      </c>
      <c r="N11899" t="s">
        <v>44905</v>
      </c>
      <c r="O11899" t="s">
        <v>44906</v>
      </c>
      <c r="P11899">
        <v>0</v>
      </c>
      <c r="Q11899">
        <v>31</v>
      </c>
      <c r="R11899" t="s">
        <v>44917</v>
      </c>
      <c r="S11899" t="s">
        <v>45386</v>
      </c>
      <c r="T11899" t="s">
        <v>46499</v>
      </c>
      <c r="U11899" t="s">
        <v>56446</v>
      </c>
      <c r="W11899" t="s">
        <v>44410</v>
      </c>
      <c r="X11899" t="s">
        <v>44918</v>
      </c>
    </row>
    <row r="11900" spans="1:24">
      <c r="A11900">
        <f>HYPERLINK("https://www.philgeps.gov.ph/GEPSNONPILOT/Tender/SplashBidNoticeAbstractUI.aspx?menuIndex=3&amp;refID=7060753&amp;Result=3","7060753")</f>
        <v>0</v>
      </c>
      <c r="B11900" t="s">
        <v>665</v>
      </c>
      <c r="C11900" t="s">
        <v>14882</v>
      </c>
      <c r="D11900" t="s">
        <v>18139</v>
      </c>
      <c r="E11900" t="s">
        <v>28513</v>
      </c>
      <c r="F11900" t="s">
        <v>31362</v>
      </c>
      <c r="G11900" t="s">
        <v>31369</v>
      </c>
      <c r="H11900" t="s">
        <v>15799</v>
      </c>
      <c r="I11900" t="s">
        <v>6240</v>
      </c>
      <c r="J11900" t="s">
        <v>38771</v>
      </c>
      <c r="K11900" t="s">
        <v>40665</v>
      </c>
      <c r="M11900" t="s">
        <v>44150</v>
      </c>
      <c r="N11900" t="s">
        <v>44905</v>
      </c>
      <c r="O11900" t="s">
        <v>44906</v>
      </c>
      <c r="P11900">
        <v>0</v>
      </c>
      <c r="Q11900">
        <v>1</v>
      </c>
      <c r="R11900" t="s">
        <v>44917</v>
      </c>
      <c r="S11900" t="s">
        <v>45386</v>
      </c>
      <c r="T11900" t="s">
        <v>46533</v>
      </c>
      <c r="U11900" t="s">
        <v>56447</v>
      </c>
      <c r="W11900" t="s">
        <v>44150</v>
      </c>
      <c r="X11900" t="s">
        <v>44918</v>
      </c>
    </row>
    <row r="11901" spans="1:24">
      <c r="A11901">
        <f>HYPERLINK("https://www.philgeps.gov.ph/GEPSNONPILOT/Tender/SplashBidNoticeAbstractUI.aspx?menuIndex=3&amp;refID=7060342&amp;Result=3","7060342")</f>
        <v>0</v>
      </c>
      <c r="B11901" t="s">
        <v>3136</v>
      </c>
      <c r="C11901" t="s">
        <v>14883</v>
      </c>
      <c r="D11901" t="s">
        <v>18117</v>
      </c>
      <c r="E11901" t="s">
        <v>28514</v>
      </c>
      <c r="F11901" t="s">
        <v>31362</v>
      </c>
      <c r="G11901" t="s">
        <v>31369</v>
      </c>
      <c r="H11901" t="s">
        <v>15799</v>
      </c>
      <c r="I11901" t="s">
        <v>3815</v>
      </c>
      <c r="J11901" t="s">
        <v>38772</v>
      </c>
      <c r="K11901" t="s">
        <v>40670</v>
      </c>
      <c r="M11901" t="s">
        <v>44395</v>
      </c>
      <c r="N11901" t="s">
        <v>44905</v>
      </c>
      <c r="O11901" t="s">
        <v>44906</v>
      </c>
      <c r="P11901">
        <v>0</v>
      </c>
      <c r="Q11901">
        <v>0</v>
      </c>
      <c r="R11901" t="s">
        <v>44917</v>
      </c>
      <c r="S11901" t="s">
        <v>45386</v>
      </c>
      <c r="T11901" t="s">
        <v>46481</v>
      </c>
      <c r="U11901" t="s">
        <v>56448</v>
      </c>
      <c r="V11901" t="s">
        <v>60319</v>
      </c>
      <c r="W11901" t="s">
        <v>44395</v>
      </c>
      <c r="X11901" t="s">
        <v>44918</v>
      </c>
    </row>
    <row r="11902" spans="1:24">
      <c r="A11902">
        <f>HYPERLINK("https://www.philgeps.gov.ph/GEPSNONPILOT/Tender/SplashBidNoticeAbstractUI.aspx?menuIndex=3&amp;refID=7060930&amp;Result=3","7060930")</f>
        <v>0</v>
      </c>
      <c r="B11902" t="s">
        <v>291</v>
      </c>
      <c r="C11902" t="s">
        <v>14884</v>
      </c>
      <c r="D11902" t="s">
        <v>18158</v>
      </c>
      <c r="E11902" t="s">
        <v>28515</v>
      </c>
      <c r="F11902" t="s">
        <v>31362</v>
      </c>
      <c r="G11902" t="s">
        <v>31369</v>
      </c>
      <c r="H11902" t="s">
        <v>15799</v>
      </c>
      <c r="I11902" t="s">
        <v>7090</v>
      </c>
      <c r="J11902" t="s">
        <v>31687</v>
      </c>
      <c r="K11902" t="s">
        <v>40662</v>
      </c>
      <c r="M11902" t="s">
        <v>41234</v>
      </c>
      <c r="N11902" t="s">
        <v>44905</v>
      </c>
      <c r="O11902" t="s">
        <v>44906</v>
      </c>
      <c r="P11902">
        <v>0</v>
      </c>
      <c r="Q11902">
        <v>1</v>
      </c>
      <c r="R11902" t="s">
        <v>44917</v>
      </c>
      <c r="S11902" t="s">
        <v>45386</v>
      </c>
      <c r="T11902" t="s">
        <v>46409</v>
      </c>
      <c r="U11902" t="s">
        <v>56449</v>
      </c>
      <c r="W11902" t="s">
        <v>41234</v>
      </c>
      <c r="X11902" t="s">
        <v>44918</v>
      </c>
    </row>
    <row r="11903" spans="1:24">
      <c r="A11903">
        <f>HYPERLINK("https://www.philgeps.gov.ph/GEPSNONPILOT/Tender/SplashBidNoticeAbstractUI.aspx?menuIndex=3&amp;refID=7060928&amp;Result=3","7060928")</f>
        <v>0</v>
      </c>
      <c r="B11903" t="s">
        <v>3156</v>
      </c>
      <c r="C11903" t="s">
        <v>14885</v>
      </c>
      <c r="D11903" t="s">
        <v>18128</v>
      </c>
      <c r="E11903" t="s">
        <v>28516</v>
      </c>
      <c r="F11903" t="s">
        <v>31362</v>
      </c>
      <c r="G11903" t="s">
        <v>31369</v>
      </c>
      <c r="H11903" t="s">
        <v>15799</v>
      </c>
      <c r="I11903" t="s">
        <v>31404</v>
      </c>
      <c r="J11903" t="s">
        <v>38773</v>
      </c>
      <c r="K11903" t="s">
        <v>40665</v>
      </c>
      <c r="M11903" t="s">
        <v>44419</v>
      </c>
      <c r="N11903" t="s">
        <v>44905</v>
      </c>
      <c r="O11903" t="s">
        <v>44906</v>
      </c>
      <c r="P11903">
        <v>0</v>
      </c>
      <c r="Q11903">
        <v>2</v>
      </c>
      <c r="R11903" t="s">
        <v>44917</v>
      </c>
      <c r="S11903" t="s">
        <v>45386</v>
      </c>
      <c r="T11903" t="s">
        <v>46470</v>
      </c>
      <c r="U11903" t="s">
        <v>56450</v>
      </c>
      <c r="W11903" t="s">
        <v>44419</v>
      </c>
      <c r="X11903" t="s">
        <v>44918</v>
      </c>
    </row>
    <row r="11904" spans="1:24">
      <c r="A11904">
        <f>HYPERLINK("https://www.philgeps.gov.ph/GEPSNONPILOT/Tender/SplashBidNoticeAbstractUI.aspx?menuIndex=3&amp;refID=7060924&amp;Result=3","7060924")</f>
        <v>0</v>
      </c>
      <c r="B11904" t="s">
        <v>672</v>
      </c>
      <c r="C11904" t="s">
        <v>14886</v>
      </c>
      <c r="D11904" t="s">
        <v>18103</v>
      </c>
      <c r="E11904" t="s">
        <v>28517</v>
      </c>
      <c r="F11904" t="s">
        <v>31362</v>
      </c>
      <c r="G11904" t="s">
        <v>31369</v>
      </c>
      <c r="H11904" t="s">
        <v>31378</v>
      </c>
      <c r="I11904" t="s">
        <v>31386</v>
      </c>
      <c r="J11904" t="s">
        <v>32965</v>
      </c>
      <c r="K11904" t="s">
        <v>40682</v>
      </c>
      <c r="M11904" t="s">
        <v>41634</v>
      </c>
      <c r="N11904" t="s">
        <v>44905</v>
      </c>
      <c r="O11904" t="s">
        <v>44906</v>
      </c>
      <c r="P11904">
        <v>0</v>
      </c>
      <c r="Q11904">
        <v>6</v>
      </c>
      <c r="R11904" t="s">
        <v>44917</v>
      </c>
      <c r="S11904" t="s">
        <v>45386</v>
      </c>
      <c r="T11904" t="s">
        <v>46392</v>
      </c>
      <c r="U11904" t="s">
        <v>56451</v>
      </c>
      <c r="W11904" t="s">
        <v>60863</v>
      </c>
      <c r="X11904" t="s">
        <v>44918</v>
      </c>
    </row>
    <row r="11905" spans="1:24">
      <c r="A11905">
        <f>HYPERLINK("https://www.philgeps.gov.ph/GEPSNONPILOT/Tender/SplashBidNoticeAbstractUI.aspx?menuIndex=3&amp;refID=7060920&amp;Result=3","7060920")</f>
        <v>0</v>
      </c>
      <c r="B11905" t="s">
        <v>2084</v>
      </c>
      <c r="C11905" t="s">
        <v>14887</v>
      </c>
      <c r="D11905" t="s">
        <v>18171</v>
      </c>
      <c r="E11905" t="s">
        <v>28518</v>
      </c>
      <c r="F11905" t="s">
        <v>31362</v>
      </c>
      <c r="G11905" t="s">
        <v>31369</v>
      </c>
      <c r="H11905" t="s">
        <v>15799</v>
      </c>
      <c r="I11905" t="s">
        <v>4057</v>
      </c>
      <c r="J11905" t="s">
        <v>38774</v>
      </c>
      <c r="K11905" t="s">
        <v>40662</v>
      </c>
      <c r="M11905" t="s">
        <v>44330</v>
      </c>
      <c r="N11905" t="s">
        <v>44905</v>
      </c>
      <c r="O11905" t="s">
        <v>44906</v>
      </c>
      <c r="Q11905">
        <v>3</v>
      </c>
      <c r="R11905" t="s">
        <v>44917</v>
      </c>
      <c r="S11905" t="s">
        <v>45424</v>
      </c>
      <c r="T11905" t="s">
        <v>46452</v>
      </c>
      <c r="U11905" t="s">
        <v>56452</v>
      </c>
      <c r="V11905" t="s">
        <v>60329</v>
      </c>
      <c r="W11905" t="s">
        <v>43207</v>
      </c>
      <c r="X11905" t="s">
        <v>44918</v>
      </c>
    </row>
    <row r="11906" spans="1:24">
      <c r="A11906">
        <f>HYPERLINK("https://www.philgeps.gov.ph/GEPSNONPILOT/Tender/SplashBidNoticeAbstractUI.aspx?menuIndex=3&amp;refID=7060603&amp;Result=3","7060603")</f>
        <v>0</v>
      </c>
      <c r="B11906" t="s">
        <v>3157</v>
      </c>
      <c r="C11906" t="s">
        <v>14888</v>
      </c>
      <c r="D11906" t="s">
        <v>18106</v>
      </c>
      <c r="E11906" t="s">
        <v>20367</v>
      </c>
      <c r="F11906" t="s">
        <v>31367</v>
      </c>
      <c r="G11906" t="s">
        <v>31369</v>
      </c>
      <c r="H11906" t="s">
        <v>15799</v>
      </c>
      <c r="I11906" t="s">
        <v>31421</v>
      </c>
      <c r="J11906" t="s">
        <v>31536</v>
      </c>
      <c r="K11906" t="s">
        <v>40697</v>
      </c>
      <c r="M11906" t="s">
        <v>44420</v>
      </c>
      <c r="N11906" t="s">
        <v>44905</v>
      </c>
      <c r="O11906" t="s">
        <v>44906</v>
      </c>
      <c r="P11906">
        <v>0</v>
      </c>
      <c r="Q11906">
        <v>1</v>
      </c>
      <c r="R11906" t="s">
        <v>44917</v>
      </c>
      <c r="S11906" t="s">
        <v>45386</v>
      </c>
      <c r="T11906" t="s">
        <v>46416</v>
      </c>
      <c r="U11906" t="s">
        <v>56453</v>
      </c>
      <c r="W11906" t="s">
        <v>60962</v>
      </c>
      <c r="X11906" t="s">
        <v>44918</v>
      </c>
    </row>
    <row r="11907" spans="1:24">
      <c r="A11907">
        <f>HYPERLINK("https://www.philgeps.gov.ph/GEPSNONPILOT/Tender/SplashBidNoticeAbstractUI.aspx?menuIndex=3&amp;refID=7060918&amp;Result=3","7060918")</f>
        <v>0</v>
      </c>
      <c r="B11907" t="s">
        <v>2202</v>
      </c>
      <c r="C11907" t="s">
        <v>14889</v>
      </c>
      <c r="D11907" t="s">
        <v>18105</v>
      </c>
      <c r="E11907" t="s">
        <v>28519</v>
      </c>
      <c r="F11907" t="s">
        <v>31362</v>
      </c>
      <c r="G11907" t="s">
        <v>31369</v>
      </c>
      <c r="H11907" t="s">
        <v>15799</v>
      </c>
      <c r="I11907" t="s">
        <v>4942</v>
      </c>
      <c r="J11907" t="s">
        <v>38775</v>
      </c>
      <c r="K11907" t="s">
        <v>40682</v>
      </c>
      <c r="M11907" t="s">
        <v>43333</v>
      </c>
      <c r="N11907" t="s">
        <v>44905</v>
      </c>
      <c r="O11907" t="s">
        <v>44906</v>
      </c>
      <c r="P11907">
        <v>0</v>
      </c>
      <c r="Q11907">
        <v>0</v>
      </c>
      <c r="R11907" t="s">
        <v>44917</v>
      </c>
      <c r="S11907" t="s">
        <v>45386</v>
      </c>
      <c r="T11907" t="s">
        <v>46560</v>
      </c>
      <c r="U11907" t="s">
        <v>56454</v>
      </c>
      <c r="W11907" t="s">
        <v>43333</v>
      </c>
      <c r="X11907" t="s">
        <v>44918</v>
      </c>
    </row>
    <row r="11908" spans="1:24">
      <c r="A11908">
        <f>HYPERLINK("https://www.philgeps.gov.ph/GEPSNONPILOT/Tender/SplashBidNoticeAbstractUI.aspx?menuIndex=3&amp;refID=7060906&amp;Result=3","7060906")</f>
        <v>0</v>
      </c>
      <c r="B11908" t="s">
        <v>672</v>
      </c>
      <c r="C11908" t="s">
        <v>14890</v>
      </c>
      <c r="D11908" t="s">
        <v>18103</v>
      </c>
      <c r="E11908" t="s">
        <v>28520</v>
      </c>
      <c r="F11908" t="s">
        <v>31362</v>
      </c>
      <c r="G11908" t="s">
        <v>31369</v>
      </c>
      <c r="H11908" t="s">
        <v>31378</v>
      </c>
      <c r="I11908" t="s">
        <v>31386</v>
      </c>
      <c r="J11908" t="s">
        <v>31726</v>
      </c>
      <c r="K11908" t="s">
        <v>40694</v>
      </c>
      <c r="M11908" t="s">
        <v>41634</v>
      </c>
      <c r="N11908" t="s">
        <v>44905</v>
      </c>
      <c r="O11908" t="s">
        <v>44906</v>
      </c>
      <c r="P11908">
        <v>0</v>
      </c>
      <c r="Q11908">
        <v>6</v>
      </c>
      <c r="R11908" t="s">
        <v>44917</v>
      </c>
      <c r="S11908" t="s">
        <v>45386</v>
      </c>
      <c r="T11908" t="s">
        <v>46392</v>
      </c>
      <c r="U11908" t="s">
        <v>56451</v>
      </c>
      <c r="W11908" t="s">
        <v>60863</v>
      </c>
      <c r="X11908" t="s">
        <v>44918</v>
      </c>
    </row>
    <row r="11909" spans="1:24">
      <c r="A11909">
        <f>HYPERLINK("https://www.philgeps.gov.ph/GEPSNONPILOT/Tender/SplashBidNoticeAbstractUI.aspx?menuIndex=3&amp;refID=7060799&amp;Result=3","7060799")</f>
        <v>0</v>
      </c>
      <c r="B11909" t="s">
        <v>491</v>
      </c>
      <c r="C11909" t="s">
        <v>14891</v>
      </c>
      <c r="D11909" t="s">
        <v>18126</v>
      </c>
      <c r="E11909" t="s">
        <v>28521</v>
      </c>
      <c r="F11909" t="s">
        <v>31362</v>
      </c>
      <c r="G11909" t="s">
        <v>31369</v>
      </c>
      <c r="H11909" t="s">
        <v>31378</v>
      </c>
      <c r="I11909" t="s">
        <v>31386</v>
      </c>
      <c r="J11909" t="s">
        <v>38776</v>
      </c>
      <c r="K11909" t="s">
        <v>40825</v>
      </c>
      <c r="M11909" t="s">
        <v>41446</v>
      </c>
      <c r="N11909" t="s">
        <v>44905</v>
      </c>
      <c r="O11909" t="s">
        <v>44906</v>
      </c>
      <c r="Q11909">
        <v>1</v>
      </c>
      <c r="R11909" t="s">
        <v>44917</v>
      </c>
      <c r="S11909" t="s">
        <v>45425</v>
      </c>
      <c r="T11909" t="s">
        <v>46506</v>
      </c>
      <c r="U11909" t="s">
        <v>56455</v>
      </c>
      <c r="W11909" t="s">
        <v>41446</v>
      </c>
      <c r="X11909" t="s">
        <v>44918</v>
      </c>
    </row>
    <row r="11910" spans="1:24">
      <c r="A11910">
        <f>HYPERLINK("https://www.philgeps.gov.ph/GEPSNONPILOT/Tender/SplashBidNoticeAbstractUI.aspx?menuIndex=3&amp;refID=7060887&amp;Result=3","7060887")</f>
        <v>0</v>
      </c>
      <c r="B11910" t="s">
        <v>672</v>
      </c>
      <c r="C11910" t="s">
        <v>14892</v>
      </c>
      <c r="D11910" t="s">
        <v>18103</v>
      </c>
      <c r="E11910" t="s">
        <v>28522</v>
      </c>
      <c r="F11910" t="s">
        <v>31362</v>
      </c>
      <c r="G11910" t="s">
        <v>31369</v>
      </c>
      <c r="H11910" t="s">
        <v>31378</v>
      </c>
      <c r="I11910" t="s">
        <v>31386</v>
      </c>
      <c r="J11910" t="s">
        <v>31726</v>
      </c>
      <c r="K11910" t="s">
        <v>40682</v>
      </c>
      <c r="M11910" t="s">
        <v>41634</v>
      </c>
      <c r="N11910" t="s">
        <v>44905</v>
      </c>
      <c r="O11910" t="s">
        <v>44906</v>
      </c>
      <c r="P11910">
        <v>0</v>
      </c>
      <c r="Q11910">
        <v>7</v>
      </c>
      <c r="R11910" t="s">
        <v>44917</v>
      </c>
      <c r="S11910" t="s">
        <v>45386</v>
      </c>
      <c r="T11910" t="s">
        <v>46392</v>
      </c>
      <c r="U11910" t="s">
        <v>56451</v>
      </c>
      <c r="W11910" t="s">
        <v>60863</v>
      </c>
      <c r="X11910" t="s">
        <v>44918</v>
      </c>
    </row>
    <row r="11911" spans="1:24">
      <c r="A11911">
        <f>HYPERLINK("https://www.philgeps.gov.ph/GEPSNONPILOT/Tender/SplashBidNoticeAbstractUI.aspx?menuIndex=3&amp;refID=7060822&amp;Result=3","7060822")</f>
        <v>0</v>
      </c>
      <c r="B11911" t="s">
        <v>2366</v>
      </c>
      <c r="C11911" t="s">
        <v>14893</v>
      </c>
      <c r="D11911" t="s">
        <v>18168</v>
      </c>
      <c r="E11911" t="s">
        <v>28493</v>
      </c>
      <c r="F11911" t="s">
        <v>31362</v>
      </c>
      <c r="G11911" t="s">
        <v>31369</v>
      </c>
      <c r="H11911" t="s">
        <v>15799</v>
      </c>
      <c r="I11911" t="s">
        <v>3815</v>
      </c>
      <c r="J11911" t="s">
        <v>38777</v>
      </c>
      <c r="K11911" t="s">
        <v>40662</v>
      </c>
      <c r="M11911" t="s">
        <v>43512</v>
      </c>
      <c r="N11911" t="s">
        <v>44905</v>
      </c>
      <c r="O11911" t="s">
        <v>44906</v>
      </c>
      <c r="P11911">
        <v>0</v>
      </c>
      <c r="Q11911">
        <v>0</v>
      </c>
      <c r="R11911" t="s">
        <v>44917</v>
      </c>
      <c r="S11911" t="s">
        <v>45386</v>
      </c>
      <c r="T11911" t="s">
        <v>46851</v>
      </c>
      <c r="U11911" t="s">
        <v>56421</v>
      </c>
      <c r="V11911" t="s">
        <v>60330</v>
      </c>
      <c r="W11911" t="s">
        <v>43512</v>
      </c>
      <c r="X11911" t="s">
        <v>44918</v>
      </c>
    </row>
    <row r="11912" spans="1:24">
      <c r="A11912">
        <f>HYPERLINK("https://www.philgeps.gov.ph/GEPSNONPILOT/Tender/SplashBidNoticeAbstractUI.aspx?menuIndex=3&amp;refID=7060885&amp;Result=3","7060885")</f>
        <v>0</v>
      </c>
      <c r="B11912" t="s">
        <v>666</v>
      </c>
      <c r="C11912" t="s">
        <v>14894</v>
      </c>
      <c r="D11912" t="s">
        <v>18108</v>
      </c>
      <c r="E11912" t="s">
        <v>28523</v>
      </c>
      <c r="F11912" t="s">
        <v>31362</v>
      </c>
      <c r="G11912" t="s">
        <v>31371</v>
      </c>
      <c r="H11912" t="s">
        <v>15799</v>
      </c>
      <c r="I11912" t="s">
        <v>7188</v>
      </c>
      <c r="J11912" t="s">
        <v>38778</v>
      </c>
      <c r="K11912" t="s">
        <v>40661</v>
      </c>
      <c r="M11912" t="s">
        <v>41628</v>
      </c>
      <c r="N11912" t="s">
        <v>44905</v>
      </c>
      <c r="O11912" t="s">
        <v>44906</v>
      </c>
      <c r="Q11912">
        <v>4</v>
      </c>
      <c r="R11912" t="s">
        <v>44917</v>
      </c>
      <c r="S11912" t="s">
        <v>45426</v>
      </c>
      <c r="T11912" t="s">
        <v>46534</v>
      </c>
      <c r="U11912" t="s">
        <v>48220</v>
      </c>
      <c r="W11912" t="s">
        <v>41628</v>
      </c>
      <c r="X11912" t="s">
        <v>44918</v>
      </c>
    </row>
    <row r="11913" spans="1:24">
      <c r="A11913">
        <f>HYPERLINK("https://www.philgeps.gov.ph/GEPSNONPILOT/Tender/SplashBidNoticeAbstractUI.aspx?menuIndex=3&amp;refID=7060748&amp;Result=3","7060748")</f>
        <v>0</v>
      </c>
      <c r="B11913" t="s">
        <v>1896</v>
      </c>
      <c r="C11913" t="s">
        <v>14895</v>
      </c>
      <c r="E11913" t="s">
        <v>28524</v>
      </c>
      <c r="F11913" t="s">
        <v>31362</v>
      </c>
      <c r="G11913" t="s">
        <v>31372</v>
      </c>
      <c r="H11913" t="s">
        <v>15799</v>
      </c>
      <c r="I11913" t="s">
        <v>31382</v>
      </c>
      <c r="J11913" t="s">
        <v>38779</v>
      </c>
      <c r="K11913" t="s">
        <v>40662</v>
      </c>
      <c r="M11913" t="s">
        <v>44417</v>
      </c>
      <c r="N11913" t="s">
        <v>44905</v>
      </c>
      <c r="O11913" t="s">
        <v>44906</v>
      </c>
      <c r="P11913">
        <v>0</v>
      </c>
      <c r="Q11913">
        <v>35</v>
      </c>
      <c r="R11913" t="s">
        <v>44917</v>
      </c>
      <c r="S11913" t="s">
        <v>45386</v>
      </c>
      <c r="T11913" t="s">
        <v>46499</v>
      </c>
      <c r="U11913" t="s">
        <v>56442</v>
      </c>
      <c r="W11913" t="s">
        <v>44417</v>
      </c>
      <c r="X11913" t="s">
        <v>44918</v>
      </c>
    </row>
    <row r="11914" spans="1:24">
      <c r="A11914">
        <f>HYPERLINK("https://www.philgeps.gov.ph/GEPSNONPILOT/Tender/SplashBidNoticeAbstractUI.aspx?menuIndex=3&amp;refID=7060873&amp;Result=3","7060873")</f>
        <v>0</v>
      </c>
      <c r="B11914" t="s">
        <v>2907</v>
      </c>
      <c r="C11914" t="s">
        <v>14896</v>
      </c>
      <c r="D11914" t="s">
        <v>18158</v>
      </c>
      <c r="E11914" t="s">
        <v>28525</v>
      </c>
      <c r="F11914" t="s">
        <v>31362</v>
      </c>
      <c r="G11914" t="s">
        <v>31369</v>
      </c>
      <c r="H11914" t="s">
        <v>15799</v>
      </c>
      <c r="I11914" t="s">
        <v>31385</v>
      </c>
      <c r="J11914" t="s">
        <v>38780</v>
      </c>
      <c r="K11914" t="s">
        <v>40665</v>
      </c>
      <c r="M11914" t="s">
        <v>44122</v>
      </c>
      <c r="N11914" t="s">
        <v>44905</v>
      </c>
      <c r="O11914" t="s">
        <v>44906</v>
      </c>
      <c r="P11914">
        <v>0</v>
      </c>
      <c r="Q11914">
        <v>3</v>
      </c>
      <c r="R11914" t="s">
        <v>44917</v>
      </c>
      <c r="S11914" t="s">
        <v>45386</v>
      </c>
      <c r="T11914" t="s">
        <v>46392</v>
      </c>
      <c r="U11914" t="s">
        <v>56456</v>
      </c>
      <c r="W11914" t="s">
        <v>44122</v>
      </c>
      <c r="X11914" t="s">
        <v>44918</v>
      </c>
    </row>
    <row r="11915" spans="1:24">
      <c r="A11915">
        <f>HYPERLINK("https://www.philgeps.gov.ph/GEPSNONPILOT/Tender/SplashBidNoticeAbstractUI.aspx?menuIndex=3&amp;refID=7060868&amp;Result=3","7060868")</f>
        <v>0</v>
      </c>
      <c r="B11915" t="s">
        <v>2366</v>
      </c>
      <c r="C11915" t="s">
        <v>14897</v>
      </c>
      <c r="D11915" t="s">
        <v>18168</v>
      </c>
      <c r="E11915" t="s">
        <v>28526</v>
      </c>
      <c r="F11915" t="s">
        <v>31362</v>
      </c>
      <c r="G11915" t="s">
        <v>31369</v>
      </c>
      <c r="H11915" t="s">
        <v>15799</v>
      </c>
      <c r="I11915" t="s">
        <v>3815</v>
      </c>
      <c r="J11915" t="s">
        <v>38781</v>
      </c>
      <c r="K11915" t="s">
        <v>40662</v>
      </c>
      <c r="M11915" t="s">
        <v>43512</v>
      </c>
      <c r="N11915" t="s">
        <v>44905</v>
      </c>
      <c r="O11915" t="s">
        <v>44906</v>
      </c>
      <c r="P11915">
        <v>0</v>
      </c>
      <c r="Q11915">
        <v>0</v>
      </c>
      <c r="R11915" t="s">
        <v>44917</v>
      </c>
      <c r="S11915" t="s">
        <v>45386</v>
      </c>
      <c r="T11915" t="s">
        <v>46851</v>
      </c>
      <c r="U11915" t="s">
        <v>56421</v>
      </c>
      <c r="V11915" t="s">
        <v>60331</v>
      </c>
      <c r="W11915" t="s">
        <v>43512</v>
      </c>
      <c r="X11915" t="s">
        <v>44918</v>
      </c>
    </row>
    <row r="11916" spans="1:24">
      <c r="A11916">
        <f>HYPERLINK("https://www.philgeps.gov.ph/GEPSNONPILOT/Tender/SplashBidNoticeAbstractUI.aspx?menuIndex=3&amp;refID=7060914&amp;Result=3","7060914")</f>
        <v>0</v>
      </c>
      <c r="B11916" t="s">
        <v>3158</v>
      </c>
      <c r="C11916" t="s">
        <v>14898</v>
      </c>
      <c r="D11916" t="s">
        <v>18144</v>
      </c>
      <c r="E11916" t="s">
        <v>28527</v>
      </c>
      <c r="F11916" t="s">
        <v>31362</v>
      </c>
      <c r="G11916" t="s">
        <v>31369</v>
      </c>
      <c r="H11916" t="s">
        <v>15799</v>
      </c>
      <c r="I11916" t="s">
        <v>31465</v>
      </c>
      <c r="J11916" t="s">
        <v>38782</v>
      </c>
      <c r="K11916" t="s">
        <v>40665</v>
      </c>
      <c r="M11916" t="s">
        <v>44421</v>
      </c>
      <c r="N11916" t="s">
        <v>44905</v>
      </c>
      <c r="O11916" t="s">
        <v>44906</v>
      </c>
      <c r="Q11916">
        <v>2</v>
      </c>
      <c r="R11916" t="s">
        <v>44917</v>
      </c>
      <c r="S11916" t="s">
        <v>45427</v>
      </c>
      <c r="T11916" t="s">
        <v>46392</v>
      </c>
      <c r="U11916" t="s">
        <v>56457</v>
      </c>
      <c r="W11916" t="s">
        <v>44421</v>
      </c>
      <c r="X11916" t="s">
        <v>44918</v>
      </c>
    </row>
    <row r="11917" spans="1:24">
      <c r="A11917">
        <f>HYPERLINK("https://www.philgeps.gov.ph/GEPSNONPILOT/Tender/SplashBidNoticeAbstractUI.aspx?menuIndex=3&amp;refID=7060860&amp;Result=3","7060860")</f>
        <v>0</v>
      </c>
      <c r="B11917" t="s">
        <v>3156</v>
      </c>
      <c r="C11917" t="s">
        <v>14899</v>
      </c>
      <c r="D11917" t="s">
        <v>18128</v>
      </c>
      <c r="E11917" t="s">
        <v>28528</v>
      </c>
      <c r="F11917" t="s">
        <v>31362</v>
      </c>
      <c r="G11917" t="s">
        <v>31369</v>
      </c>
      <c r="H11917" t="s">
        <v>15799</v>
      </c>
      <c r="I11917" t="s">
        <v>31430</v>
      </c>
      <c r="J11917" t="s">
        <v>38783</v>
      </c>
      <c r="K11917" t="s">
        <v>40665</v>
      </c>
      <c r="M11917" t="s">
        <v>44419</v>
      </c>
      <c r="N11917" t="s">
        <v>44905</v>
      </c>
      <c r="O11917" t="s">
        <v>44906</v>
      </c>
      <c r="P11917">
        <v>0</v>
      </c>
      <c r="Q11917">
        <v>1</v>
      </c>
      <c r="R11917" t="s">
        <v>44917</v>
      </c>
      <c r="S11917" t="s">
        <v>45386</v>
      </c>
      <c r="T11917" t="s">
        <v>46470</v>
      </c>
      <c r="U11917" t="s">
        <v>56458</v>
      </c>
      <c r="W11917" t="s">
        <v>44419</v>
      </c>
      <c r="X11917" t="s">
        <v>44918</v>
      </c>
    </row>
    <row r="11918" spans="1:24">
      <c r="A11918">
        <f>HYPERLINK("https://www.philgeps.gov.ph/GEPSNONPILOT/Tender/SplashBidNoticeAbstractUI.aspx?menuIndex=3&amp;refID=7060845&amp;Result=3","7060845")</f>
        <v>0</v>
      </c>
      <c r="B11918" t="s">
        <v>1968</v>
      </c>
      <c r="C11918" t="s">
        <v>14900</v>
      </c>
      <c r="D11918" t="s">
        <v>18144</v>
      </c>
      <c r="E11918" t="s">
        <v>19832</v>
      </c>
      <c r="F11918" t="s">
        <v>31362</v>
      </c>
      <c r="G11918" t="s">
        <v>31369</v>
      </c>
      <c r="H11918" t="s">
        <v>15799</v>
      </c>
      <c r="I11918" t="s">
        <v>31382</v>
      </c>
      <c r="J11918" t="s">
        <v>38784</v>
      </c>
      <c r="K11918" t="s">
        <v>40682</v>
      </c>
      <c r="M11918" t="s">
        <v>43074</v>
      </c>
      <c r="N11918" t="s">
        <v>44905</v>
      </c>
      <c r="O11918" t="s">
        <v>44906</v>
      </c>
      <c r="Q11918">
        <v>48</v>
      </c>
      <c r="R11918" t="s">
        <v>44917</v>
      </c>
      <c r="S11918" t="s">
        <v>45428</v>
      </c>
      <c r="T11918" t="s">
        <v>46392</v>
      </c>
      <c r="U11918" t="s">
        <v>56459</v>
      </c>
      <c r="V11918" t="s">
        <v>60332</v>
      </c>
      <c r="W11918" t="s">
        <v>43074</v>
      </c>
      <c r="X11918" t="s">
        <v>44918</v>
      </c>
    </row>
    <row r="11919" spans="1:24">
      <c r="A11919">
        <f>HYPERLINK("https://www.philgeps.gov.ph/GEPSNONPILOT/Tender/SplashBidNoticeAbstractUI.aspx?menuIndex=3&amp;refID=7060900&amp;Result=3","7060900")</f>
        <v>0</v>
      </c>
      <c r="B11919" t="s">
        <v>255</v>
      </c>
      <c r="C11919" t="s">
        <v>14901</v>
      </c>
      <c r="E11919" t="s">
        <v>28529</v>
      </c>
      <c r="F11919" t="s">
        <v>31362</v>
      </c>
      <c r="G11919" t="s">
        <v>31369</v>
      </c>
      <c r="H11919" t="s">
        <v>15799</v>
      </c>
      <c r="I11919" t="s">
        <v>4283</v>
      </c>
      <c r="J11919" t="s">
        <v>38785</v>
      </c>
      <c r="K11919" t="s">
        <v>40662</v>
      </c>
      <c r="M11919" t="s">
        <v>41195</v>
      </c>
      <c r="N11919" t="s">
        <v>44905</v>
      </c>
      <c r="O11919" t="s">
        <v>44906</v>
      </c>
      <c r="P11919">
        <v>0</v>
      </c>
      <c r="Q11919">
        <v>4</v>
      </c>
      <c r="R11919" t="s">
        <v>44917</v>
      </c>
      <c r="S11919" t="s">
        <v>45386</v>
      </c>
      <c r="T11919" t="s">
        <v>46410</v>
      </c>
      <c r="U11919" t="s">
        <v>56460</v>
      </c>
      <c r="W11919" t="s">
        <v>41195</v>
      </c>
      <c r="X11919" t="s">
        <v>44918</v>
      </c>
    </row>
    <row r="11920" spans="1:24">
      <c r="A11920">
        <f>HYPERLINK("https://www.philgeps.gov.ph/GEPSNONPILOT/Tender/SplashBidNoticeAbstractUI.aspx?menuIndex=3&amp;refID=7060836&amp;Result=3","7060836")</f>
        <v>0</v>
      </c>
      <c r="B11920" t="s">
        <v>2112</v>
      </c>
      <c r="C11920" t="s">
        <v>14902</v>
      </c>
      <c r="D11920" t="s">
        <v>18139</v>
      </c>
      <c r="E11920" t="s">
        <v>28530</v>
      </c>
      <c r="F11920" t="s">
        <v>31364</v>
      </c>
      <c r="G11920" t="s">
        <v>31373</v>
      </c>
      <c r="H11920" t="s">
        <v>31378</v>
      </c>
      <c r="I11920" t="s">
        <v>31386</v>
      </c>
      <c r="J11920" t="s">
        <v>38786</v>
      </c>
      <c r="K11920" t="s">
        <v>40727</v>
      </c>
      <c r="M11920" t="s">
        <v>43238</v>
      </c>
      <c r="N11920" t="s">
        <v>44905</v>
      </c>
      <c r="O11920" t="s">
        <v>44906</v>
      </c>
      <c r="P11920">
        <v>0</v>
      </c>
      <c r="Q11920">
        <v>2</v>
      </c>
      <c r="R11920" t="s">
        <v>44917</v>
      </c>
      <c r="S11920" t="s">
        <v>45386</v>
      </c>
      <c r="T11920" t="s">
        <v>46429</v>
      </c>
      <c r="U11920" t="s">
        <v>56461</v>
      </c>
      <c r="W11920" t="s">
        <v>43238</v>
      </c>
      <c r="X11920" t="s">
        <v>44918</v>
      </c>
    </row>
    <row r="11921" spans="1:24">
      <c r="A11921">
        <f>HYPERLINK("https://www.philgeps.gov.ph/GEPSNONPILOT/Tender/SplashBidNoticeAbstractUI.aspx?menuIndex=3&amp;refID=7061023&amp;Result=3","7061023")</f>
        <v>0</v>
      </c>
      <c r="B11921" t="s">
        <v>672</v>
      </c>
      <c r="C11921" t="s">
        <v>14903</v>
      </c>
      <c r="D11921" t="s">
        <v>18103</v>
      </c>
      <c r="E11921" t="s">
        <v>28531</v>
      </c>
      <c r="F11921" t="s">
        <v>31362</v>
      </c>
      <c r="G11921" t="s">
        <v>31369</v>
      </c>
      <c r="H11921" t="s">
        <v>31378</v>
      </c>
      <c r="I11921" t="s">
        <v>31386</v>
      </c>
      <c r="J11921" t="s">
        <v>32673</v>
      </c>
      <c r="K11921" t="s">
        <v>40686</v>
      </c>
      <c r="M11921" t="s">
        <v>41634</v>
      </c>
      <c r="N11921" t="s">
        <v>44905</v>
      </c>
      <c r="O11921" t="s">
        <v>44906</v>
      </c>
      <c r="P11921">
        <v>0</v>
      </c>
      <c r="Q11921">
        <v>7</v>
      </c>
      <c r="R11921" t="s">
        <v>44917</v>
      </c>
      <c r="S11921" t="s">
        <v>45386</v>
      </c>
      <c r="T11921" t="s">
        <v>46392</v>
      </c>
      <c r="U11921" t="s">
        <v>56451</v>
      </c>
      <c r="W11921" t="s">
        <v>60863</v>
      </c>
      <c r="X11921" t="s">
        <v>44918</v>
      </c>
    </row>
    <row r="11922" spans="1:24">
      <c r="A11922">
        <f>HYPERLINK("https://www.philgeps.gov.ph/GEPSNONPILOT/Tender/SplashBidNoticeAbstractUI.aspx?menuIndex=3&amp;refID=7060820&amp;Result=3","7060820")</f>
        <v>0</v>
      </c>
      <c r="B11922" t="s">
        <v>2202</v>
      </c>
      <c r="C11922" t="s">
        <v>14904</v>
      </c>
      <c r="D11922" t="s">
        <v>18105</v>
      </c>
      <c r="E11922" t="s">
        <v>28532</v>
      </c>
      <c r="F11922" t="s">
        <v>31362</v>
      </c>
      <c r="G11922" t="s">
        <v>31369</v>
      </c>
      <c r="H11922" t="s">
        <v>15799</v>
      </c>
      <c r="I11922" t="s">
        <v>4942</v>
      </c>
      <c r="J11922" t="s">
        <v>33058</v>
      </c>
      <c r="K11922" t="s">
        <v>40682</v>
      </c>
      <c r="M11922" t="s">
        <v>43333</v>
      </c>
      <c r="N11922" t="s">
        <v>44905</v>
      </c>
      <c r="O11922" t="s">
        <v>44906</v>
      </c>
      <c r="P11922">
        <v>0</v>
      </c>
      <c r="Q11922">
        <v>0</v>
      </c>
      <c r="R11922" t="s">
        <v>44917</v>
      </c>
      <c r="S11922" t="s">
        <v>45386</v>
      </c>
      <c r="T11922" t="s">
        <v>46560</v>
      </c>
      <c r="U11922" t="s">
        <v>56462</v>
      </c>
      <c r="W11922" t="s">
        <v>43333</v>
      </c>
      <c r="X11922" t="s">
        <v>44918</v>
      </c>
    </row>
    <row r="11923" spans="1:24">
      <c r="A11923">
        <f>HYPERLINK("https://www.philgeps.gov.ph/GEPSNONPILOT/Tender/SplashBidNoticeAbstractUI.aspx?menuIndex=3&amp;refID=7061022&amp;Result=3","7061022")</f>
        <v>0</v>
      </c>
      <c r="B11923" t="s">
        <v>484</v>
      </c>
      <c r="C11923" t="s">
        <v>14905</v>
      </c>
      <c r="D11923" t="s">
        <v>18108</v>
      </c>
      <c r="E11923" t="s">
        <v>28533</v>
      </c>
      <c r="F11923" t="s">
        <v>31362</v>
      </c>
      <c r="G11923" t="s">
        <v>31369</v>
      </c>
      <c r="H11923" t="s">
        <v>31378</v>
      </c>
      <c r="I11923" t="s">
        <v>31386</v>
      </c>
      <c r="J11923" t="s">
        <v>38787</v>
      </c>
      <c r="K11923" t="s">
        <v>40662</v>
      </c>
      <c r="M11923" t="s">
        <v>41438</v>
      </c>
      <c r="N11923" t="s">
        <v>44905</v>
      </c>
      <c r="O11923" t="s">
        <v>44906</v>
      </c>
      <c r="P11923">
        <v>0</v>
      </c>
      <c r="Q11923">
        <v>1</v>
      </c>
      <c r="R11923" t="s">
        <v>44917</v>
      </c>
      <c r="S11923" t="s">
        <v>45386</v>
      </c>
      <c r="T11923" t="s">
        <v>46611</v>
      </c>
      <c r="U11923" t="s">
        <v>56463</v>
      </c>
      <c r="W11923" t="s">
        <v>41438</v>
      </c>
      <c r="X11923" t="s">
        <v>44918</v>
      </c>
    </row>
    <row r="11924" spans="1:24">
      <c r="A11924">
        <f>HYPERLINK("https://www.philgeps.gov.ph/GEPSNONPILOT/Tender/SplashBidNoticeAbstractUI.aspx?menuIndex=3&amp;refID=7060880&amp;Result=3","7060880")</f>
        <v>0</v>
      </c>
      <c r="B11924" t="s">
        <v>491</v>
      </c>
      <c r="C11924" t="s">
        <v>14906</v>
      </c>
      <c r="D11924" t="s">
        <v>18126</v>
      </c>
      <c r="E11924" t="s">
        <v>28534</v>
      </c>
      <c r="F11924" t="s">
        <v>31362</v>
      </c>
      <c r="G11924" t="s">
        <v>31369</v>
      </c>
      <c r="H11924" t="s">
        <v>31378</v>
      </c>
      <c r="I11924" t="s">
        <v>31386</v>
      </c>
      <c r="J11924" t="s">
        <v>38788</v>
      </c>
      <c r="K11924" t="s">
        <v>40679</v>
      </c>
      <c r="M11924" t="s">
        <v>41446</v>
      </c>
      <c r="N11924" t="s">
        <v>44905</v>
      </c>
      <c r="O11924" t="s">
        <v>44906</v>
      </c>
      <c r="Q11924">
        <v>0</v>
      </c>
      <c r="R11924" t="s">
        <v>44917</v>
      </c>
      <c r="S11924" t="s">
        <v>45429</v>
      </c>
      <c r="T11924" t="s">
        <v>46506</v>
      </c>
      <c r="U11924" t="s">
        <v>56464</v>
      </c>
      <c r="W11924" t="s">
        <v>41446</v>
      </c>
      <c r="X11924" t="s">
        <v>44918</v>
      </c>
    </row>
    <row r="11925" spans="1:24">
      <c r="A11925">
        <f>HYPERLINK("https://www.philgeps.gov.ph/GEPSNONPILOT/Tender/SplashBidNoticeAbstractUI.aspx?menuIndex=3&amp;refID=7061019&amp;Result=3","7061019")</f>
        <v>0</v>
      </c>
      <c r="B11925" t="s">
        <v>3136</v>
      </c>
      <c r="C11925" t="s">
        <v>14907</v>
      </c>
      <c r="D11925" t="s">
        <v>18117</v>
      </c>
      <c r="E11925" t="s">
        <v>28535</v>
      </c>
      <c r="F11925" t="s">
        <v>31362</v>
      </c>
      <c r="G11925" t="s">
        <v>31369</v>
      </c>
      <c r="H11925" t="s">
        <v>15799</v>
      </c>
      <c r="I11925" t="s">
        <v>3815</v>
      </c>
      <c r="J11925" t="s">
        <v>38789</v>
      </c>
      <c r="K11925" t="s">
        <v>40670</v>
      </c>
      <c r="M11925" t="s">
        <v>44395</v>
      </c>
      <c r="N11925" t="s">
        <v>44905</v>
      </c>
      <c r="O11925" t="s">
        <v>44906</v>
      </c>
      <c r="P11925">
        <v>0</v>
      </c>
      <c r="Q11925">
        <v>0</v>
      </c>
      <c r="R11925" t="s">
        <v>44917</v>
      </c>
      <c r="S11925" t="s">
        <v>45386</v>
      </c>
      <c r="T11925" t="s">
        <v>46481</v>
      </c>
      <c r="U11925" t="s">
        <v>56465</v>
      </c>
      <c r="V11925" t="s">
        <v>60319</v>
      </c>
      <c r="W11925" t="s">
        <v>44395</v>
      </c>
      <c r="X11925" t="s">
        <v>44918</v>
      </c>
    </row>
    <row r="11926" spans="1:24">
      <c r="A11926">
        <f>HYPERLINK("https://www.philgeps.gov.ph/GEPSNONPILOT/Tender/SplashBidNoticeAbstractUI.aspx?menuIndex=3&amp;refID=7060879&amp;Result=3","7060879")</f>
        <v>0</v>
      </c>
      <c r="B11926" t="s">
        <v>89</v>
      </c>
      <c r="C11926" t="s">
        <v>14908</v>
      </c>
      <c r="D11926" t="s">
        <v>18109</v>
      </c>
      <c r="E11926" t="s">
        <v>28536</v>
      </c>
      <c r="F11926" t="s">
        <v>31362</v>
      </c>
      <c r="G11926" t="s">
        <v>31369</v>
      </c>
      <c r="H11926" t="s">
        <v>15799</v>
      </c>
      <c r="I11926" t="s">
        <v>3815</v>
      </c>
      <c r="J11926" t="s">
        <v>38790</v>
      </c>
      <c r="K11926" t="s">
        <v>40662</v>
      </c>
      <c r="M11926" t="s">
        <v>44422</v>
      </c>
      <c r="N11926" t="s">
        <v>44905</v>
      </c>
      <c r="O11926" t="s">
        <v>44906</v>
      </c>
      <c r="P11926">
        <v>0</v>
      </c>
      <c r="Q11926">
        <v>0</v>
      </c>
      <c r="R11926" t="s">
        <v>44917</v>
      </c>
      <c r="S11926" t="s">
        <v>45386</v>
      </c>
      <c r="T11926" t="s">
        <v>46533</v>
      </c>
      <c r="U11926" t="s">
        <v>56466</v>
      </c>
      <c r="W11926" t="s">
        <v>44422</v>
      </c>
      <c r="X11926" t="s">
        <v>44918</v>
      </c>
    </row>
    <row r="11927" spans="1:24">
      <c r="A11927">
        <f>HYPERLINK("https://www.philgeps.gov.ph/GEPSNONPILOT/Tender/SplashBidNoticeAbstractUI.aspx?menuIndex=3&amp;refID=7061016&amp;Result=3","7061016")</f>
        <v>0</v>
      </c>
      <c r="B11927" t="s">
        <v>2976</v>
      </c>
      <c r="C11927" t="s">
        <v>14909</v>
      </c>
      <c r="D11927" t="s">
        <v>18110</v>
      </c>
      <c r="E11927" t="s">
        <v>28537</v>
      </c>
      <c r="F11927" t="s">
        <v>31362</v>
      </c>
      <c r="G11927" t="s">
        <v>31370</v>
      </c>
      <c r="H11927" t="s">
        <v>15799</v>
      </c>
      <c r="I11927" t="s">
        <v>31430</v>
      </c>
      <c r="J11927" t="s">
        <v>38791</v>
      </c>
      <c r="K11927" t="s">
        <v>40670</v>
      </c>
      <c r="M11927" t="s">
        <v>44200</v>
      </c>
      <c r="N11927" t="s">
        <v>44905</v>
      </c>
      <c r="O11927" t="s">
        <v>44906</v>
      </c>
      <c r="P11927">
        <v>0</v>
      </c>
      <c r="Q11927">
        <v>4</v>
      </c>
      <c r="R11927" t="s">
        <v>44917</v>
      </c>
      <c r="S11927" t="s">
        <v>45386</v>
      </c>
      <c r="T11927" t="s">
        <v>46393</v>
      </c>
      <c r="U11927" t="s">
        <v>56467</v>
      </c>
      <c r="W11927" t="s">
        <v>44200</v>
      </c>
      <c r="X11927" t="s">
        <v>44918</v>
      </c>
    </row>
    <row r="11928" spans="1:24">
      <c r="A11928">
        <f>HYPERLINK("https://www.philgeps.gov.ph/GEPSNONPILOT/Tender/SplashBidNoticeAbstractUI.aspx?menuIndex=3&amp;refID=7061002&amp;Result=3","7061002")</f>
        <v>0</v>
      </c>
      <c r="B11928" t="s">
        <v>3159</v>
      </c>
      <c r="C11928" t="s">
        <v>14910</v>
      </c>
      <c r="D11928" t="s">
        <v>18108</v>
      </c>
      <c r="E11928" t="s">
        <v>18548</v>
      </c>
      <c r="F11928" t="s">
        <v>31362</v>
      </c>
      <c r="G11928" t="s">
        <v>31369</v>
      </c>
      <c r="H11928" t="s">
        <v>15799</v>
      </c>
      <c r="I11928" t="s">
        <v>6373</v>
      </c>
      <c r="J11928" t="s">
        <v>31711</v>
      </c>
      <c r="K11928" t="s">
        <v>40666</v>
      </c>
      <c r="M11928" t="s">
        <v>44423</v>
      </c>
      <c r="N11928" t="s">
        <v>44905</v>
      </c>
      <c r="O11928" t="s">
        <v>44906</v>
      </c>
      <c r="P11928">
        <v>0</v>
      </c>
      <c r="Q11928">
        <v>2</v>
      </c>
      <c r="R11928" t="s">
        <v>44917</v>
      </c>
      <c r="S11928" t="s">
        <v>45386</v>
      </c>
      <c r="T11928" t="s">
        <v>46414</v>
      </c>
      <c r="U11928" t="s">
        <v>56468</v>
      </c>
      <c r="W11928" t="s">
        <v>44423</v>
      </c>
      <c r="X11928" t="s">
        <v>44918</v>
      </c>
    </row>
    <row r="11929" spans="1:24">
      <c r="A11929">
        <f>HYPERLINK("https://www.philgeps.gov.ph/GEPSNONPILOT/Tender/SplashBidNoticeAbstractUI.aspx?menuIndex=3&amp;refID=7060834&amp;Result=3","7060834")</f>
        <v>0</v>
      </c>
      <c r="B11929" t="s">
        <v>3160</v>
      </c>
      <c r="C11929" t="s">
        <v>14911</v>
      </c>
      <c r="D11929" t="s">
        <v>18109</v>
      </c>
      <c r="E11929" t="s">
        <v>28538</v>
      </c>
      <c r="F11929" t="s">
        <v>31364</v>
      </c>
      <c r="G11929" t="s">
        <v>31370</v>
      </c>
      <c r="H11929" t="s">
        <v>15799</v>
      </c>
      <c r="I11929" t="s">
        <v>31385</v>
      </c>
      <c r="J11929" t="s">
        <v>38792</v>
      </c>
      <c r="K11929" t="s">
        <v>40665</v>
      </c>
      <c r="M11929" t="s">
        <v>44424</v>
      </c>
      <c r="N11929" t="s">
        <v>44905</v>
      </c>
      <c r="O11929" t="s">
        <v>44906</v>
      </c>
      <c r="Q11929">
        <v>2</v>
      </c>
      <c r="R11929" t="s">
        <v>44917</v>
      </c>
      <c r="S11929" t="s">
        <v>45430</v>
      </c>
      <c r="T11929" t="s">
        <v>46470</v>
      </c>
      <c r="U11929" t="s">
        <v>56469</v>
      </c>
      <c r="W11929" t="s">
        <v>44424</v>
      </c>
      <c r="X11929" t="s">
        <v>44918</v>
      </c>
    </row>
    <row r="11930" spans="1:24">
      <c r="A11930">
        <f>HYPERLINK("https://www.philgeps.gov.ph/GEPSNONPILOT/Tender/SplashBidNoticeAbstractUI.aspx?menuIndex=3&amp;refID=7061000&amp;Result=3","7061000")</f>
        <v>0</v>
      </c>
      <c r="B11930" t="s">
        <v>2202</v>
      </c>
      <c r="C11930" t="s">
        <v>14912</v>
      </c>
      <c r="D11930" t="s">
        <v>18105</v>
      </c>
      <c r="E11930" t="s">
        <v>28539</v>
      </c>
      <c r="F11930" t="s">
        <v>31362</v>
      </c>
      <c r="G11930" t="s">
        <v>31369</v>
      </c>
      <c r="H11930" t="s">
        <v>15799</v>
      </c>
      <c r="I11930" t="s">
        <v>4283</v>
      </c>
      <c r="J11930" t="s">
        <v>38793</v>
      </c>
      <c r="K11930" t="s">
        <v>40682</v>
      </c>
      <c r="M11930" t="s">
        <v>43333</v>
      </c>
      <c r="N11930" t="s">
        <v>44905</v>
      </c>
      <c r="O11930" t="s">
        <v>44906</v>
      </c>
      <c r="P11930">
        <v>0</v>
      </c>
      <c r="Q11930">
        <v>0</v>
      </c>
      <c r="R11930" t="s">
        <v>44917</v>
      </c>
      <c r="S11930" t="s">
        <v>45386</v>
      </c>
      <c r="T11930" t="s">
        <v>46560</v>
      </c>
      <c r="U11930" t="s">
        <v>56470</v>
      </c>
      <c r="W11930" t="s">
        <v>43333</v>
      </c>
      <c r="X11930" t="s">
        <v>44918</v>
      </c>
    </row>
    <row r="11931" spans="1:24">
      <c r="A11931">
        <f>HYPERLINK("https://www.philgeps.gov.ph/GEPSNONPILOT/Tender/SplashBidNoticeAbstractUI.aspx?menuIndex=3&amp;refID=7060983&amp;Result=3","7060983")</f>
        <v>0</v>
      </c>
      <c r="B11931" t="s">
        <v>291</v>
      </c>
      <c r="C11931" t="s">
        <v>14913</v>
      </c>
      <c r="D11931" t="s">
        <v>18158</v>
      </c>
      <c r="E11931" t="s">
        <v>28540</v>
      </c>
      <c r="F11931" t="s">
        <v>31362</v>
      </c>
      <c r="G11931" t="s">
        <v>31372</v>
      </c>
      <c r="H11931" t="s">
        <v>15799</v>
      </c>
      <c r="I11931" t="s">
        <v>3815</v>
      </c>
      <c r="J11931" t="s">
        <v>38794</v>
      </c>
      <c r="K11931" t="s">
        <v>40662</v>
      </c>
      <c r="M11931" t="s">
        <v>41234</v>
      </c>
      <c r="N11931" t="s">
        <v>44905</v>
      </c>
      <c r="O11931" t="s">
        <v>44906</v>
      </c>
      <c r="P11931">
        <v>0</v>
      </c>
      <c r="Q11931">
        <v>0</v>
      </c>
      <c r="R11931" t="s">
        <v>44917</v>
      </c>
      <c r="S11931" t="s">
        <v>45386</v>
      </c>
      <c r="T11931" t="s">
        <v>46409</v>
      </c>
      <c r="U11931" t="s">
        <v>56471</v>
      </c>
      <c r="W11931" t="s">
        <v>41234</v>
      </c>
      <c r="X11931" t="s">
        <v>44918</v>
      </c>
    </row>
    <row r="11932" spans="1:24">
      <c r="A11932">
        <f>HYPERLINK("https://www.philgeps.gov.ph/GEPSNONPILOT/Tender/SplashBidNoticeAbstractUI.aspx?menuIndex=3&amp;refID=7061015&amp;Result=3","7061015")</f>
        <v>0</v>
      </c>
      <c r="B11932" t="s">
        <v>3161</v>
      </c>
      <c r="C11932" t="s">
        <v>14914</v>
      </c>
      <c r="D11932" t="s">
        <v>18102</v>
      </c>
      <c r="E11932" t="s">
        <v>28541</v>
      </c>
      <c r="F11932" t="s">
        <v>31365</v>
      </c>
      <c r="G11932" t="s">
        <v>31369</v>
      </c>
      <c r="H11932" t="s">
        <v>31378</v>
      </c>
      <c r="I11932" t="s">
        <v>31386</v>
      </c>
      <c r="J11932" t="s">
        <v>38795</v>
      </c>
      <c r="K11932" t="s">
        <v>40670</v>
      </c>
      <c r="M11932" t="s">
        <v>44425</v>
      </c>
      <c r="N11932" t="s">
        <v>44905</v>
      </c>
      <c r="O11932" t="s">
        <v>44906</v>
      </c>
      <c r="P11932">
        <v>0</v>
      </c>
      <c r="Q11932">
        <v>1</v>
      </c>
      <c r="R11932" t="s">
        <v>44917</v>
      </c>
      <c r="S11932" t="s">
        <v>45386</v>
      </c>
      <c r="T11932" t="s">
        <v>46446</v>
      </c>
      <c r="U11932" t="s">
        <v>56472</v>
      </c>
      <c r="W11932" t="s">
        <v>44425</v>
      </c>
      <c r="X11932" t="s">
        <v>44918</v>
      </c>
    </row>
    <row r="11933" spans="1:24">
      <c r="A11933">
        <f>HYPERLINK("https://www.philgeps.gov.ph/GEPSNONPILOT/Tender/SplashBidNoticeAbstractUI.aspx?menuIndex=3&amp;refID=7060968&amp;Result=3","7060968")</f>
        <v>0</v>
      </c>
      <c r="B11933" t="s">
        <v>672</v>
      </c>
      <c r="C11933" t="s">
        <v>14915</v>
      </c>
      <c r="D11933" t="s">
        <v>18103</v>
      </c>
      <c r="E11933" t="s">
        <v>28542</v>
      </c>
      <c r="F11933" t="s">
        <v>31362</v>
      </c>
      <c r="G11933" t="s">
        <v>31369</v>
      </c>
      <c r="H11933" t="s">
        <v>31378</v>
      </c>
      <c r="I11933" t="s">
        <v>31386</v>
      </c>
      <c r="J11933" t="s">
        <v>32965</v>
      </c>
      <c r="K11933" t="s">
        <v>40679</v>
      </c>
      <c r="M11933" t="s">
        <v>41634</v>
      </c>
      <c r="N11933" t="s">
        <v>44905</v>
      </c>
      <c r="O11933" t="s">
        <v>44906</v>
      </c>
      <c r="P11933">
        <v>0</v>
      </c>
      <c r="Q11933">
        <v>6</v>
      </c>
      <c r="R11933" t="s">
        <v>44917</v>
      </c>
      <c r="S11933" t="s">
        <v>45386</v>
      </c>
      <c r="T11933" t="s">
        <v>46392</v>
      </c>
      <c r="U11933" t="s">
        <v>56451</v>
      </c>
      <c r="W11933" t="s">
        <v>60863</v>
      </c>
      <c r="X11933" t="s">
        <v>44918</v>
      </c>
    </row>
    <row r="11934" spans="1:24">
      <c r="A11934">
        <f>HYPERLINK("https://www.philgeps.gov.ph/GEPSNONPILOT/Tender/SplashBidNoticeAbstractUI.aspx?menuIndex=3&amp;refID=7060966&amp;Result=3","7060966")</f>
        <v>0</v>
      </c>
      <c r="B11934" t="s">
        <v>2976</v>
      </c>
      <c r="C11934" t="s">
        <v>14916</v>
      </c>
      <c r="D11934" t="s">
        <v>18110</v>
      </c>
      <c r="E11934" t="s">
        <v>28543</v>
      </c>
      <c r="F11934" t="s">
        <v>31362</v>
      </c>
      <c r="G11934" t="s">
        <v>31370</v>
      </c>
      <c r="H11934" t="s">
        <v>15799</v>
      </c>
      <c r="I11934" t="s">
        <v>31466</v>
      </c>
      <c r="J11934" t="s">
        <v>38796</v>
      </c>
      <c r="K11934" t="s">
        <v>40670</v>
      </c>
      <c r="M11934" t="s">
        <v>44200</v>
      </c>
      <c r="N11934" t="s">
        <v>44905</v>
      </c>
      <c r="O11934" t="s">
        <v>44906</v>
      </c>
      <c r="P11934">
        <v>0</v>
      </c>
      <c r="Q11934">
        <v>6</v>
      </c>
      <c r="R11934" t="s">
        <v>44917</v>
      </c>
      <c r="S11934" t="s">
        <v>45386</v>
      </c>
      <c r="T11934" t="s">
        <v>46393</v>
      </c>
      <c r="U11934" t="s">
        <v>56467</v>
      </c>
      <c r="W11934" t="s">
        <v>44200</v>
      </c>
      <c r="X11934" t="s">
        <v>44918</v>
      </c>
    </row>
    <row r="11935" spans="1:24">
      <c r="A11935">
        <f>HYPERLINK("https://www.philgeps.gov.ph/GEPSNONPILOT/Tender/SplashBidNoticeAbstractUI.aspx?menuIndex=3&amp;refID=7061011&amp;Result=3","7061011")</f>
        <v>0</v>
      </c>
      <c r="B11935" t="s">
        <v>3162</v>
      </c>
      <c r="C11935" t="s">
        <v>14917</v>
      </c>
      <c r="D11935" t="s">
        <v>18122</v>
      </c>
      <c r="E11935" t="s">
        <v>28544</v>
      </c>
      <c r="F11935" t="s">
        <v>31362</v>
      </c>
      <c r="G11935" t="s">
        <v>31369</v>
      </c>
      <c r="H11935" t="s">
        <v>31377</v>
      </c>
      <c r="I11935" t="s">
        <v>31377</v>
      </c>
      <c r="J11935" t="s">
        <v>31606</v>
      </c>
      <c r="K11935" t="s">
        <v>40813</v>
      </c>
      <c r="M11935" t="s">
        <v>44426</v>
      </c>
      <c r="N11935" t="s">
        <v>44905</v>
      </c>
      <c r="O11935" t="s">
        <v>44906</v>
      </c>
      <c r="P11935">
        <v>0</v>
      </c>
      <c r="Q11935">
        <v>5</v>
      </c>
      <c r="R11935" t="s">
        <v>44917</v>
      </c>
      <c r="S11935" t="s">
        <v>45386</v>
      </c>
      <c r="T11935" t="s">
        <v>46599</v>
      </c>
      <c r="U11935" t="s">
        <v>56473</v>
      </c>
      <c r="W11935" t="s">
        <v>44426</v>
      </c>
      <c r="X11935" t="s">
        <v>44918</v>
      </c>
    </row>
    <row r="11936" spans="1:24">
      <c r="A11936">
        <f>HYPERLINK("https://www.philgeps.gov.ph/GEPSNONPILOT/Tender/SplashBidNoticeAbstractUI.aspx?menuIndex=3&amp;refID=7060959&amp;Result=3","7060959")</f>
        <v>0</v>
      </c>
      <c r="B11936" t="s">
        <v>2202</v>
      </c>
      <c r="C11936" t="s">
        <v>14918</v>
      </c>
      <c r="D11936" t="s">
        <v>18105</v>
      </c>
      <c r="E11936" t="s">
        <v>28545</v>
      </c>
      <c r="F11936" t="s">
        <v>31362</v>
      </c>
      <c r="G11936" t="s">
        <v>31369</v>
      </c>
      <c r="H11936" t="s">
        <v>15799</v>
      </c>
      <c r="I11936" t="s">
        <v>4283</v>
      </c>
      <c r="J11936" t="s">
        <v>38797</v>
      </c>
      <c r="K11936" t="s">
        <v>40682</v>
      </c>
      <c r="M11936" t="s">
        <v>43333</v>
      </c>
      <c r="N11936" t="s">
        <v>44905</v>
      </c>
      <c r="O11936" t="s">
        <v>44906</v>
      </c>
      <c r="P11936">
        <v>0</v>
      </c>
      <c r="Q11936">
        <v>0</v>
      </c>
      <c r="R11936" t="s">
        <v>44917</v>
      </c>
      <c r="S11936" t="s">
        <v>45386</v>
      </c>
      <c r="T11936" t="s">
        <v>46560</v>
      </c>
      <c r="U11936" t="s">
        <v>56474</v>
      </c>
      <c r="W11936" t="s">
        <v>43333</v>
      </c>
      <c r="X11936" t="s">
        <v>44918</v>
      </c>
    </row>
    <row r="11937" spans="1:24">
      <c r="A11937">
        <f>HYPERLINK("https://www.philgeps.gov.ph/GEPSNONPILOT/Tender/SplashBidNoticeAbstractUI.aspx?menuIndex=3&amp;refID=7060954&amp;Result=3","7060954")</f>
        <v>0</v>
      </c>
      <c r="B11937" t="s">
        <v>2924</v>
      </c>
      <c r="C11937" t="s">
        <v>14919</v>
      </c>
      <c r="D11937" t="s">
        <v>18116</v>
      </c>
      <c r="E11937" t="s">
        <v>28546</v>
      </c>
      <c r="F11937" t="s">
        <v>31362</v>
      </c>
      <c r="G11937" t="s">
        <v>31369</v>
      </c>
      <c r="H11937" t="s">
        <v>31378</v>
      </c>
      <c r="I11937" t="s">
        <v>31386</v>
      </c>
      <c r="J11937" t="s">
        <v>31578</v>
      </c>
      <c r="K11937" t="s">
        <v>40670</v>
      </c>
      <c r="M11937" t="s">
        <v>44140</v>
      </c>
      <c r="N11937" t="s">
        <v>44905</v>
      </c>
      <c r="O11937" t="s">
        <v>44906</v>
      </c>
      <c r="P11937">
        <v>0</v>
      </c>
      <c r="Q11937">
        <v>0</v>
      </c>
      <c r="R11937" t="s">
        <v>44917</v>
      </c>
      <c r="S11937" t="s">
        <v>45386</v>
      </c>
      <c r="T11937" t="s">
        <v>46852</v>
      </c>
      <c r="U11937" t="s">
        <v>56475</v>
      </c>
      <c r="V11937" t="s">
        <v>60314</v>
      </c>
      <c r="W11937" t="s">
        <v>44140</v>
      </c>
      <c r="X11937" t="s">
        <v>44918</v>
      </c>
    </row>
    <row r="11938" spans="1:24">
      <c r="A11938">
        <f>HYPERLINK("https://www.philgeps.gov.ph/GEPSNONPILOT/Tender/SplashBidNoticeAbstractUI.aspx?menuIndex=3&amp;refID=7060941&amp;Result=3","7060941")</f>
        <v>0</v>
      </c>
      <c r="B11938" t="s">
        <v>584</v>
      </c>
      <c r="C11938" t="s">
        <v>14920</v>
      </c>
      <c r="D11938" t="s">
        <v>18158</v>
      </c>
      <c r="E11938" t="s">
        <v>28547</v>
      </c>
      <c r="F11938" t="s">
        <v>31362</v>
      </c>
      <c r="G11938" t="s">
        <v>31369</v>
      </c>
      <c r="H11938" t="s">
        <v>31378</v>
      </c>
      <c r="I11938" t="s">
        <v>31386</v>
      </c>
      <c r="J11938" t="s">
        <v>37006</v>
      </c>
      <c r="K11938" t="s">
        <v>40796</v>
      </c>
      <c r="M11938" t="s">
        <v>41541</v>
      </c>
      <c r="N11938" t="s">
        <v>44905</v>
      </c>
      <c r="O11938" t="s">
        <v>44906</v>
      </c>
      <c r="P11938">
        <v>0</v>
      </c>
      <c r="Q11938">
        <v>0</v>
      </c>
      <c r="R11938" t="s">
        <v>44917</v>
      </c>
      <c r="S11938" t="s">
        <v>45386</v>
      </c>
      <c r="T11938" t="s">
        <v>46560</v>
      </c>
      <c r="U11938" t="s">
        <v>48048</v>
      </c>
      <c r="W11938" t="s">
        <v>41541</v>
      </c>
      <c r="X11938" t="s">
        <v>44918</v>
      </c>
    </row>
    <row r="11939" spans="1:24">
      <c r="A11939">
        <f>HYPERLINK("https://www.philgeps.gov.ph/GEPSNONPILOT/Tender/SplashBidNoticeAbstractUI.aspx?menuIndex=3&amp;refID=7060926&amp;Result=3","7060926")</f>
        <v>0</v>
      </c>
      <c r="B11939" t="s">
        <v>1110</v>
      </c>
      <c r="C11939" t="s">
        <v>14921</v>
      </c>
      <c r="D11939" t="s">
        <v>18153</v>
      </c>
      <c r="E11939" t="s">
        <v>28548</v>
      </c>
      <c r="F11939" t="s">
        <v>31362</v>
      </c>
      <c r="G11939" t="s">
        <v>31369</v>
      </c>
      <c r="H11939" t="s">
        <v>15799</v>
      </c>
      <c r="I11939" t="s">
        <v>3815</v>
      </c>
      <c r="J11939" t="s">
        <v>38798</v>
      </c>
      <c r="K11939" t="s">
        <v>40665</v>
      </c>
      <c r="M11939" t="s">
        <v>42115</v>
      </c>
      <c r="N11939" t="s">
        <v>44905</v>
      </c>
      <c r="O11939" t="s">
        <v>44906</v>
      </c>
      <c r="P11939">
        <v>0</v>
      </c>
      <c r="Q11939">
        <v>1</v>
      </c>
      <c r="R11939" t="s">
        <v>44917</v>
      </c>
      <c r="S11939" t="s">
        <v>45386</v>
      </c>
      <c r="T11939" t="s">
        <v>46483</v>
      </c>
      <c r="U11939" t="s">
        <v>56476</v>
      </c>
      <c r="W11939" t="s">
        <v>42115</v>
      </c>
      <c r="X11939" t="s">
        <v>44918</v>
      </c>
    </row>
    <row r="11940" spans="1:24">
      <c r="A11940">
        <f>HYPERLINK("https://www.philgeps.gov.ph/GEPSNONPILOT/Tender/SplashBidNoticeAbstractUI.aspx?menuIndex=3&amp;refID=7060828&amp;Result=3","7060828")</f>
        <v>0</v>
      </c>
      <c r="B11940" t="s">
        <v>2446</v>
      </c>
      <c r="C11940" t="s">
        <v>14922</v>
      </c>
      <c r="E11940" t="s">
        <v>28549</v>
      </c>
      <c r="F11940" t="s">
        <v>31362</v>
      </c>
      <c r="G11940" t="s">
        <v>31369</v>
      </c>
      <c r="H11940" t="s">
        <v>31378</v>
      </c>
      <c r="I11940" t="s">
        <v>3582</v>
      </c>
      <c r="J11940" t="s">
        <v>38799</v>
      </c>
      <c r="K11940" t="s">
        <v>40679</v>
      </c>
      <c r="M11940" t="s">
        <v>43605</v>
      </c>
      <c r="N11940" t="s">
        <v>44905</v>
      </c>
      <c r="O11940" t="s">
        <v>44906</v>
      </c>
      <c r="P11940">
        <v>0</v>
      </c>
      <c r="Q11940">
        <v>9</v>
      </c>
      <c r="R11940" t="s">
        <v>44917</v>
      </c>
      <c r="S11940" t="s">
        <v>45386</v>
      </c>
      <c r="T11940" t="s">
        <v>46481</v>
      </c>
      <c r="U11940" t="s">
        <v>56477</v>
      </c>
      <c r="W11940" t="s">
        <v>60934</v>
      </c>
      <c r="X11940" t="s">
        <v>44918</v>
      </c>
    </row>
    <row r="11941" spans="1:24">
      <c r="A11941">
        <f>HYPERLINK("https://www.philgeps.gov.ph/GEPSNONPILOT/Tender/SplashBidNoticeAbstractUI.aspx?menuIndex=3&amp;refID=7060731&amp;Result=3","7060731")</f>
        <v>0</v>
      </c>
      <c r="B11941" t="s">
        <v>2202</v>
      </c>
      <c r="C11941" t="s">
        <v>14923</v>
      </c>
      <c r="D11941" t="s">
        <v>18105</v>
      </c>
      <c r="E11941" t="s">
        <v>28550</v>
      </c>
      <c r="F11941" t="s">
        <v>31362</v>
      </c>
      <c r="G11941" t="s">
        <v>31369</v>
      </c>
      <c r="H11941" t="s">
        <v>15799</v>
      </c>
      <c r="I11941" t="s">
        <v>4942</v>
      </c>
      <c r="J11941" t="s">
        <v>38800</v>
      </c>
      <c r="K11941" t="s">
        <v>40682</v>
      </c>
      <c r="M11941" t="s">
        <v>43333</v>
      </c>
      <c r="N11941" t="s">
        <v>44905</v>
      </c>
      <c r="O11941" t="s">
        <v>44906</v>
      </c>
      <c r="P11941">
        <v>0</v>
      </c>
      <c r="Q11941">
        <v>0</v>
      </c>
      <c r="R11941" t="s">
        <v>44917</v>
      </c>
      <c r="S11941" t="s">
        <v>45386</v>
      </c>
      <c r="T11941" t="s">
        <v>46560</v>
      </c>
      <c r="U11941" t="s">
        <v>56478</v>
      </c>
      <c r="W11941" t="s">
        <v>43333</v>
      </c>
      <c r="X11941" t="s">
        <v>44918</v>
      </c>
    </row>
    <row r="11942" spans="1:24">
      <c r="A11942">
        <f>HYPERLINK("https://www.philgeps.gov.ph/GEPSNONPILOT/Tender/SplashBidNoticeAbstractUI.aspx?menuIndex=3&amp;refID=7061014&amp;Result=3","7061014")</f>
        <v>0</v>
      </c>
      <c r="B11942" t="s">
        <v>3163</v>
      </c>
      <c r="C11942" t="s">
        <v>14924</v>
      </c>
      <c r="D11942" t="s">
        <v>18177</v>
      </c>
      <c r="E11942" t="s">
        <v>21120</v>
      </c>
      <c r="F11942" t="s">
        <v>31362</v>
      </c>
      <c r="G11942" t="s">
        <v>31369</v>
      </c>
      <c r="H11942" t="s">
        <v>15799</v>
      </c>
      <c r="I11942" t="s">
        <v>31393</v>
      </c>
      <c r="J11942" t="s">
        <v>38801</v>
      </c>
      <c r="K11942" t="s">
        <v>40682</v>
      </c>
      <c r="M11942" t="s">
        <v>44427</v>
      </c>
      <c r="N11942" t="s">
        <v>44905</v>
      </c>
      <c r="O11942" t="s">
        <v>44906</v>
      </c>
      <c r="P11942">
        <v>0</v>
      </c>
      <c r="Q11942">
        <v>10</v>
      </c>
      <c r="R11942" t="s">
        <v>44917</v>
      </c>
      <c r="S11942" t="s">
        <v>45386</v>
      </c>
      <c r="T11942" t="s">
        <v>46538</v>
      </c>
      <c r="U11942" t="s">
        <v>56479</v>
      </c>
      <c r="V11942" t="s">
        <v>60333</v>
      </c>
      <c r="W11942" t="s">
        <v>44427</v>
      </c>
      <c r="X11942" t="s">
        <v>44918</v>
      </c>
    </row>
    <row r="11943" spans="1:24">
      <c r="A11943">
        <f>HYPERLINK("https://www.philgeps.gov.ph/GEPSNONPILOT/Tender/SplashBidNoticeAbstractUI.aspx?menuIndex=3&amp;refID=7061122&amp;Result=3","7061122")</f>
        <v>0</v>
      </c>
      <c r="B11943" t="s">
        <v>590</v>
      </c>
      <c r="C11943" t="s">
        <v>14925</v>
      </c>
      <c r="D11943" t="s">
        <v>18162</v>
      </c>
      <c r="E11943" t="s">
        <v>28551</v>
      </c>
      <c r="F11943" t="s">
        <v>31362</v>
      </c>
      <c r="G11943" t="s">
        <v>31369</v>
      </c>
      <c r="H11943" t="s">
        <v>31378</v>
      </c>
      <c r="I11943" t="s">
        <v>31386</v>
      </c>
      <c r="J11943" t="s">
        <v>38802</v>
      </c>
      <c r="K11943" t="s">
        <v>40662</v>
      </c>
      <c r="M11943" t="s">
        <v>41547</v>
      </c>
      <c r="N11943" t="s">
        <v>44905</v>
      </c>
      <c r="O11943" t="s">
        <v>44906</v>
      </c>
      <c r="P11943">
        <v>0</v>
      </c>
      <c r="Q11943">
        <v>0</v>
      </c>
      <c r="R11943" t="s">
        <v>44917</v>
      </c>
      <c r="S11943" t="s">
        <v>45386</v>
      </c>
      <c r="T11943" t="s">
        <v>46411</v>
      </c>
      <c r="U11943" t="s">
        <v>56480</v>
      </c>
      <c r="W11943" t="s">
        <v>41547</v>
      </c>
      <c r="X11943" t="s">
        <v>44918</v>
      </c>
    </row>
    <row r="11944" spans="1:24">
      <c r="A11944">
        <f>HYPERLINK("https://www.philgeps.gov.ph/GEPSNONPILOT/Tender/SplashBidNoticeAbstractUI.aspx?menuIndex=3&amp;refID=7060986&amp;Result=3","7060986")</f>
        <v>0</v>
      </c>
      <c r="B11944" t="s">
        <v>672</v>
      </c>
      <c r="C11944" t="s">
        <v>14926</v>
      </c>
      <c r="D11944" t="s">
        <v>18103</v>
      </c>
      <c r="E11944" t="s">
        <v>28552</v>
      </c>
      <c r="F11944" t="s">
        <v>31362</v>
      </c>
      <c r="G11944" t="s">
        <v>31369</v>
      </c>
      <c r="H11944" t="s">
        <v>31378</v>
      </c>
      <c r="I11944" t="s">
        <v>31386</v>
      </c>
      <c r="J11944" t="s">
        <v>32673</v>
      </c>
      <c r="K11944" t="s">
        <v>40686</v>
      </c>
      <c r="M11944" t="s">
        <v>41634</v>
      </c>
      <c r="N11944" t="s">
        <v>44905</v>
      </c>
      <c r="O11944" t="s">
        <v>44906</v>
      </c>
      <c r="P11944">
        <v>0</v>
      </c>
      <c r="Q11944">
        <v>7</v>
      </c>
      <c r="R11944" t="s">
        <v>44917</v>
      </c>
      <c r="S11944" t="s">
        <v>45386</v>
      </c>
      <c r="T11944" t="s">
        <v>46392</v>
      </c>
      <c r="U11944" t="s">
        <v>56451</v>
      </c>
      <c r="W11944" t="s">
        <v>60863</v>
      </c>
      <c r="X11944" t="s">
        <v>44918</v>
      </c>
    </row>
    <row r="11945" spans="1:24">
      <c r="A11945">
        <f>HYPERLINK("https://www.philgeps.gov.ph/GEPSNONPILOT/Tender/SplashBidNoticeAbstractUI.aspx?menuIndex=3&amp;refID=7060942&amp;Result=3","7060942")</f>
        <v>0</v>
      </c>
      <c r="B11945" t="s">
        <v>2834</v>
      </c>
      <c r="C11945" t="s">
        <v>14927</v>
      </c>
      <c r="D11945" t="s">
        <v>18139</v>
      </c>
      <c r="E11945" t="s">
        <v>28553</v>
      </c>
      <c r="F11945" t="s">
        <v>31362</v>
      </c>
      <c r="G11945" t="s">
        <v>31369</v>
      </c>
      <c r="H11945" t="s">
        <v>15799</v>
      </c>
      <c r="I11945" t="s">
        <v>31380</v>
      </c>
      <c r="J11945" t="s">
        <v>38803</v>
      </c>
      <c r="K11945" t="s">
        <v>40662</v>
      </c>
      <c r="M11945" t="s">
        <v>44035</v>
      </c>
      <c r="N11945" t="s">
        <v>44905</v>
      </c>
      <c r="O11945" t="s">
        <v>44906</v>
      </c>
      <c r="Q11945">
        <v>22</v>
      </c>
      <c r="R11945" t="s">
        <v>44917</v>
      </c>
      <c r="S11945" t="s">
        <v>45431</v>
      </c>
      <c r="T11945" t="s">
        <v>46481</v>
      </c>
      <c r="U11945" t="s">
        <v>56481</v>
      </c>
      <c r="W11945" t="s">
        <v>44035</v>
      </c>
      <c r="X11945" t="s">
        <v>44918</v>
      </c>
    </row>
    <row r="11946" spans="1:24">
      <c r="A11946">
        <f>HYPERLINK("https://www.philgeps.gov.ph/GEPSNONPILOT/Tender/SplashBidNoticeAbstractUI.aspx?menuIndex=3&amp;refID=7061121&amp;Result=3","7061121")</f>
        <v>0</v>
      </c>
      <c r="B11946" t="s">
        <v>542</v>
      </c>
      <c r="C11946" t="s">
        <v>14928</v>
      </c>
      <c r="E11946" t="s">
        <v>28554</v>
      </c>
      <c r="F11946" t="s">
        <v>31362</v>
      </c>
      <c r="G11946" t="s">
        <v>31369</v>
      </c>
      <c r="H11946" t="s">
        <v>31378</v>
      </c>
      <c r="I11946" t="s">
        <v>31386</v>
      </c>
      <c r="J11946" t="s">
        <v>31625</v>
      </c>
      <c r="K11946" t="s">
        <v>40662</v>
      </c>
      <c r="M11946" t="s">
        <v>41498</v>
      </c>
      <c r="N11946" t="s">
        <v>44905</v>
      </c>
      <c r="O11946" t="s">
        <v>44906</v>
      </c>
      <c r="P11946">
        <v>0</v>
      </c>
      <c r="Q11946">
        <v>0</v>
      </c>
      <c r="R11946" t="s">
        <v>44917</v>
      </c>
      <c r="S11946" t="s">
        <v>45386</v>
      </c>
      <c r="T11946" t="s">
        <v>46462</v>
      </c>
      <c r="U11946" t="s">
        <v>56482</v>
      </c>
      <c r="W11946" t="s">
        <v>41498</v>
      </c>
      <c r="X11946" t="s">
        <v>44918</v>
      </c>
    </row>
    <row r="11947" spans="1:24">
      <c r="A11947">
        <f>HYPERLINK("https://www.philgeps.gov.ph/GEPSNONPILOT/Tender/SplashBidNoticeAbstractUI.aspx?menuIndex=3&amp;refID=7061113&amp;Result=3","7061113")</f>
        <v>0</v>
      </c>
      <c r="B11947" t="s">
        <v>1483</v>
      </c>
      <c r="C11947" t="s">
        <v>14929</v>
      </c>
      <c r="D11947" t="s">
        <v>18131</v>
      </c>
      <c r="E11947" t="s">
        <v>28555</v>
      </c>
      <c r="F11947" t="s">
        <v>31362</v>
      </c>
      <c r="G11947" t="s">
        <v>31369</v>
      </c>
      <c r="H11947" t="s">
        <v>31378</v>
      </c>
      <c r="I11947" t="s">
        <v>31386</v>
      </c>
      <c r="J11947" t="s">
        <v>37624</v>
      </c>
      <c r="K11947" t="s">
        <v>40833</v>
      </c>
      <c r="M11947" t="s">
        <v>42520</v>
      </c>
      <c r="N11947" t="s">
        <v>44905</v>
      </c>
      <c r="O11947" t="s">
        <v>44906</v>
      </c>
      <c r="P11947">
        <v>0</v>
      </c>
      <c r="Q11947">
        <v>22</v>
      </c>
      <c r="R11947" t="s">
        <v>44917</v>
      </c>
      <c r="S11947" t="s">
        <v>45386</v>
      </c>
      <c r="T11947" t="s">
        <v>46481</v>
      </c>
      <c r="U11947" t="s">
        <v>56483</v>
      </c>
      <c r="V11947" t="s">
        <v>59468</v>
      </c>
      <c r="W11947" t="s">
        <v>42520</v>
      </c>
      <c r="X11947" t="s">
        <v>44918</v>
      </c>
    </row>
    <row r="11948" spans="1:24">
      <c r="A11948">
        <f>HYPERLINK("https://www.philgeps.gov.ph/GEPSNONPILOT/Tender/SplashBidNoticeAbstractUI.aspx?menuIndex=3&amp;refID=7061116&amp;Result=3","7061116")</f>
        <v>0</v>
      </c>
      <c r="B11948" t="s">
        <v>672</v>
      </c>
      <c r="C11948" t="s">
        <v>14930</v>
      </c>
      <c r="D11948" t="s">
        <v>18103</v>
      </c>
      <c r="E11948" t="s">
        <v>28556</v>
      </c>
      <c r="F11948" t="s">
        <v>31362</v>
      </c>
      <c r="G11948" t="s">
        <v>31369</v>
      </c>
      <c r="H11948" t="s">
        <v>31378</v>
      </c>
      <c r="I11948" t="s">
        <v>31386</v>
      </c>
      <c r="J11948" t="s">
        <v>32673</v>
      </c>
      <c r="K11948" t="s">
        <v>40679</v>
      </c>
      <c r="M11948" t="s">
        <v>41634</v>
      </c>
      <c r="N11948" t="s">
        <v>44905</v>
      </c>
      <c r="O11948" t="s">
        <v>44906</v>
      </c>
      <c r="P11948">
        <v>0</v>
      </c>
      <c r="Q11948">
        <v>7</v>
      </c>
      <c r="R11948" t="s">
        <v>44917</v>
      </c>
      <c r="S11948" t="s">
        <v>45386</v>
      </c>
      <c r="T11948" t="s">
        <v>46392</v>
      </c>
      <c r="U11948" t="s">
        <v>56451</v>
      </c>
      <c r="W11948" t="s">
        <v>60863</v>
      </c>
      <c r="X11948" t="s">
        <v>44918</v>
      </c>
    </row>
    <row r="11949" spans="1:24">
      <c r="A11949">
        <f>HYPERLINK("https://www.philgeps.gov.ph/GEPSNONPILOT/Tender/SplashBidNoticeAbstractUI.aspx?menuIndex=3&amp;refID=7060981&amp;Result=3","7060981")</f>
        <v>0</v>
      </c>
      <c r="B11949" t="s">
        <v>3156</v>
      </c>
      <c r="C11949" t="s">
        <v>14931</v>
      </c>
      <c r="D11949" t="s">
        <v>18128</v>
      </c>
      <c r="E11949" t="s">
        <v>28557</v>
      </c>
      <c r="F11949" t="s">
        <v>31362</v>
      </c>
      <c r="G11949" t="s">
        <v>31369</v>
      </c>
      <c r="H11949" t="s">
        <v>15799</v>
      </c>
      <c r="I11949" t="s">
        <v>31430</v>
      </c>
      <c r="J11949" t="s">
        <v>38804</v>
      </c>
      <c r="K11949" t="s">
        <v>40665</v>
      </c>
      <c r="M11949" t="s">
        <v>44419</v>
      </c>
      <c r="N11949" t="s">
        <v>44905</v>
      </c>
      <c r="O11949" t="s">
        <v>44906</v>
      </c>
      <c r="P11949">
        <v>0</v>
      </c>
      <c r="Q11949">
        <v>3</v>
      </c>
      <c r="R11949" t="s">
        <v>44917</v>
      </c>
      <c r="S11949" t="s">
        <v>45386</v>
      </c>
      <c r="T11949" t="s">
        <v>46470</v>
      </c>
      <c r="U11949" t="s">
        <v>56484</v>
      </c>
      <c r="W11949" t="s">
        <v>44419</v>
      </c>
      <c r="X11949" t="s">
        <v>44918</v>
      </c>
    </row>
    <row r="11950" spans="1:24">
      <c r="A11950">
        <f>HYPERLINK("https://www.philgeps.gov.ph/GEPSNONPILOT/Tender/SplashBidNoticeAbstractUI.aspx?menuIndex=3&amp;refID=7061103&amp;Result=3","7061103")</f>
        <v>0</v>
      </c>
      <c r="B11950" t="s">
        <v>3161</v>
      </c>
      <c r="C11950" t="s">
        <v>14932</v>
      </c>
      <c r="D11950" t="s">
        <v>18102</v>
      </c>
      <c r="E11950" t="s">
        <v>28558</v>
      </c>
      <c r="F11950" t="s">
        <v>31365</v>
      </c>
      <c r="G11950" t="s">
        <v>31369</v>
      </c>
      <c r="H11950" t="s">
        <v>31378</v>
      </c>
      <c r="I11950" t="s">
        <v>31386</v>
      </c>
      <c r="J11950" t="s">
        <v>38805</v>
      </c>
      <c r="K11950" t="s">
        <v>40670</v>
      </c>
      <c r="M11950" t="s">
        <v>44425</v>
      </c>
      <c r="N11950" t="s">
        <v>44905</v>
      </c>
      <c r="O11950" t="s">
        <v>44906</v>
      </c>
      <c r="P11950">
        <v>0</v>
      </c>
      <c r="Q11950">
        <v>1</v>
      </c>
      <c r="R11950" t="s">
        <v>44917</v>
      </c>
      <c r="S11950" t="s">
        <v>45386</v>
      </c>
      <c r="T11950" t="s">
        <v>46446</v>
      </c>
      <c r="U11950" t="s">
        <v>56485</v>
      </c>
      <c r="W11950" t="s">
        <v>44425</v>
      </c>
      <c r="X11950" t="s">
        <v>44918</v>
      </c>
    </row>
    <row r="11951" spans="1:24">
      <c r="A11951">
        <f>HYPERLINK("https://www.philgeps.gov.ph/GEPSNONPILOT/Tender/SplashBidNoticeAbstractUI.aspx?menuIndex=3&amp;refID=7061101&amp;Result=3","7061101")</f>
        <v>0</v>
      </c>
      <c r="B11951" t="s">
        <v>672</v>
      </c>
      <c r="C11951" t="s">
        <v>14933</v>
      </c>
      <c r="D11951" t="s">
        <v>18103</v>
      </c>
      <c r="E11951" t="s">
        <v>28559</v>
      </c>
      <c r="F11951" t="s">
        <v>31362</v>
      </c>
      <c r="G11951" t="s">
        <v>31369</v>
      </c>
      <c r="H11951" t="s">
        <v>31378</v>
      </c>
      <c r="I11951" t="s">
        <v>31386</v>
      </c>
      <c r="J11951" t="s">
        <v>32673</v>
      </c>
      <c r="K11951" t="s">
        <v>40679</v>
      </c>
      <c r="M11951" t="s">
        <v>41634</v>
      </c>
      <c r="N11951" t="s">
        <v>44905</v>
      </c>
      <c r="O11951" t="s">
        <v>44906</v>
      </c>
      <c r="P11951">
        <v>0</v>
      </c>
      <c r="Q11951">
        <v>7</v>
      </c>
      <c r="R11951" t="s">
        <v>44917</v>
      </c>
      <c r="S11951" t="s">
        <v>45386</v>
      </c>
      <c r="T11951" t="s">
        <v>46392</v>
      </c>
      <c r="U11951" t="s">
        <v>56451</v>
      </c>
      <c r="W11951" t="s">
        <v>60863</v>
      </c>
      <c r="X11951" t="s">
        <v>44918</v>
      </c>
    </row>
    <row r="11952" spans="1:24">
      <c r="A11952">
        <f>HYPERLINK("https://www.philgeps.gov.ph/GEPSNONPILOT/Tender/SplashBidNoticeAbstractUI.aspx?menuIndex=3&amp;refID=7061090&amp;Result=3","7061090")</f>
        <v>0</v>
      </c>
      <c r="B11952" t="s">
        <v>1579</v>
      </c>
      <c r="C11952" t="s">
        <v>14934</v>
      </c>
      <c r="D11952" t="s">
        <v>18196</v>
      </c>
      <c r="E11952" t="s">
        <v>28560</v>
      </c>
      <c r="F11952" t="s">
        <v>31362</v>
      </c>
      <c r="G11952" t="s">
        <v>31369</v>
      </c>
      <c r="H11952" t="s">
        <v>15799</v>
      </c>
      <c r="I11952" t="s">
        <v>31459</v>
      </c>
      <c r="J11952" t="s">
        <v>38806</v>
      </c>
      <c r="K11952" t="s">
        <v>40665</v>
      </c>
      <c r="M11952" t="s">
        <v>42956</v>
      </c>
      <c r="N11952" t="s">
        <v>44905</v>
      </c>
      <c r="O11952" t="s">
        <v>44906</v>
      </c>
      <c r="P11952">
        <v>0</v>
      </c>
      <c r="Q11952">
        <v>0</v>
      </c>
      <c r="R11952" t="s">
        <v>44917</v>
      </c>
      <c r="S11952" t="s">
        <v>45386</v>
      </c>
      <c r="T11952" t="s">
        <v>46533</v>
      </c>
      <c r="U11952" t="s">
        <v>56486</v>
      </c>
      <c r="W11952" t="s">
        <v>42956</v>
      </c>
      <c r="X11952" t="s">
        <v>44918</v>
      </c>
    </row>
    <row r="11953" spans="1:24">
      <c r="A11953">
        <f>HYPERLINK("https://www.philgeps.gov.ph/GEPSNONPILOT/Tender/SplashBidNoticeAbstractUI.aspx?menuIndex=3&amp;refID=7060951&amp;Result=3","7060951")</f>
        <v>0</v>
      </c>
      <c r="B11953" t="s">
        <v>672</v>
      </c>
      <c r="C11953" t="s">
        <v>14935</v>
      </c>
      <c r="D11953" t="s">
        <v>18103</v>
      </c>
      <c r="E11953" t="s">
        <v>28561</v>
      </c>
      <c r="F11953" t="s">
        <v>31362</v>
      </c>
      <c r="G11953" t="s">
        <v>31369</v>
      </c>
      <c r="H11953" t="s">
        <v>31378</v>
      </c>
      <c r="I11953" t="s">
        <v>31386</v>
      </c>
      <c r="J11953" t="s">
        <v>31726</v>
      </c>
      <c r="K11953" t="s">
        <v>40679</v>
      </c>
      <c r="M11953" t="s">
        <v>41634</v>
      </c>
      <c r="N11953" t="s">
        <v>44905</v>
      </c>
      <c r="O11953" t="s">
        <v>44906</v>
      </c>
      <c r="P11953">
        <v>0</v>
      </c>
      <c r="Q11953">
        <v>7</v>
      </c>
      <c r="R11953" t="s">
        <v>44917</v>
      </c>
      <c r="S11953" t="s">
        <v>45386</v>
      </c>
      <c r="T11953" t="s">
        <v>46392</v>
      </c>
      <c r="U11953" t="s">
        <v>56451</v>
      </c>
      <c r="W11953" t="s">
        <v>60863</v>
      </c>
      <c r="X11953" t="s">
        <v>44918</v>
      </c>
    </row>
    <row r="11954" spans="1:24">
      <c r="A11954">
        <f>HYPERLINK("https://www.philgeps.gov.ph/GEPSNONPILOT/Tender/SplashBidNoticeAbstractUI.aspx?menuIndex=3&amp;refID=7061087&amp;Result=3","7061087")</f>
        <v>0</v>
      </c>
      <c r="B11954" t="s">
        <v>3164</v>
      </c>
      <c r="C11954" t="s">
        <v>14936</v>
      </c>
      <c r="D11954" t="s">
        <v>18124</v>
      </c>
      <c r="E11954" t="s">
        <v>28562</v>
      </c>
      <c r="F11954" t="s">
        <v>31362</v>
      </c>
      <c r="G11954" t="s">
        <v>31372</v>
      </c>
      <c r="H11954" t="s">
        <v>15799</v>
      </c>
      <c r="I11954" t="s">
        <v>3815</v>
      </c>
      <c r="J11954" t="s">
        <v>35116</v>
      </c>
      <c r="K11954" t="s">
        <v>40686</v>
      </c>
      <c r="M11954" t="s">
        <v>44428</v>
      </c>
      <c r="N11954" t="s">
        <v>44905</v>
      </c>
      <c r="O11954" t="s">
        <v>44906</v>
      </c>
      <c r="P11954">
        <v>0</v>
      </c>
      <c r="Q11954">
        <v>0</v>
      </c>
      <c r="R11954" t="s">
        <v>44917</v>
      </c>
      <c r="S11954" t="s">
        <v>45386</v>
      </c>
      <c r="T11954" t="s">
        <v>46499</v>
      </c>
      <c r="U11954" t="s">
        <v>56487</v>
      </c>
      <c r="W11954" t="s">
        <v>44428</v>
      </c>
      <c r="X11954" t="s">
        <v>44918</v>
      </c>
    </row>
    <row r="11955" spans="1:24">
      <c r="A11955">
        <f>HYPERLINK("https://www.philgeps.gov.ph/GEPSNONPILOT/Tender/SplashBidNoticeAbstractUI.aspx?menuIndex=3&amp;refID=7061080&amp;Result=3","7061080")</f>
        <v>0</v>
      </c>
      <c r="B11955" t="s">
        <v>2976</v>
      </c>
      <c r="C11955" t="s">
        <v>14937</v>
      </c>
      <c r="D11955" t="s">
        <v>18110</v>
      </c>
      <c r="E11955" t="s">
        <v>28563</v>
      </c>
      <c r="F11955" t="s">
        <v>31362</v>
      </c>
      <c r="G11955" t="s">
        <v>31370</v>
      </c>
      <c r="H11955" t="s">
        <v>15799</v>
      </c>
      <c r="I11955" t="s">
        <v>3815</v>
      </c>
      <c r="J11955" t="s">
        <v>38807</v>
      </c>
      <c r="K11955" t="s">
        <v>40670</v>
      </c>
      <c r="M11955" t="s">
        <v>44200</v>
      </c>
      <c r="N11955" t="s">
        <v>44905</v>
      </c>
      <c r="O11955" t="s">
        <v>44906</v>
      </c>
      <c r="P11955">
        <v>0</v>
      </c>
      <c r="Q11955">
        <v>4</v>
      </c>
      <c r="R11955" t="s">
        <v>44917</v>
      </c>
      <c r="S11955" t="s">
        <v>45386</v>
      </c>
      <c r="T11955" t="s">
        <v>46393</v>
      </c>
      <c r="U11955" t="s">
        <v>56467</v>
      </c>
      <c r="W11955" t="s">
        <v>44200</v>
      </c>
      <c r="X11955" t="s">
        <v>44918</v>
      </c>
    </row>
    <row r="11956" spans="1:24">
      <c r="A11956">
        <f>HYPERLINK("https://www.philgeps.gov.ph/GEPSNONPILOT/Tender/SplashBidNoticeAbstractUI.aspx?menuIndex=3&amp;refID=7061107&amp;Result=3","7061107")</f>
        <v>0</v>
      </c>
      <c r="B11956" t="s">
        <v>781</v>
      </c>
      <c r="C11956" t="s">
        <v>14938</v>
      </c>
      <c r="D11956" t="s">
        <v>18156</v>
      </c>
      <c r="E11956" t="s">
        <v>28564</v>
      </c>
      <c r="F11956" t="s">
        <v>31362</v>
      </c>
      <c r="G11956" t="s">
        <v>31369</v>
      </c>
      <c r="H11956" t="s">
        <v>15799</v>
      </c>
      <c r="I11956" t="s">
        <v>7188</v>
      </c>
      <c r="J11956" t="s">
        <v>34492</v>
      </c>
      <c r="K11956" t="s">
        <v>40665</v>
      </c>
      <c r="M11956" t="s">
        <v>41749</v>
      </c>
      <c r="N11956" t="s">
        <v>44905</v>
      </c>
      <c r="O11956" t="s">
        <v>44906</v>
      </c>
      <c r="P11956">
        <v>0</v>
      </c>
      <c r="Q11956">
        <v>7</v>
      </c>
      <c r="R11956" t="s">
        <v>44917</v>
      </c>
      <c r="S11956" t="s">
        <v>45386</v>
      </c>
      <c r="T11956" t="s">
        <v>46418</v>
      </c>
      <c r="U11956" t="s">
        <v>56488</v>
      </c>
      <c r="W11956" t="s">
        <v>41749</v>
      </c>
      <c r="X11956" t="s">
        <v>44918</v>
      </c>
    </row>
    <row r="11957" spans="1:24">
      <c r="A11957">
        <f>HYPERLINK("https://www.philgeps.gov.ph/GEPSNONPILOT/Tender/SplashBidNoticeAbstractUI.aspx?menuIndex=3&amp;refID=7061077&amp;Result=3","7061077")</f>
        <v>0</v>
      </c>
      <c r="B11957" t="s">
        <v>672</v>
      </c>
      <c r="C11957" t="s">
        <v>14939</v>
      </c>
      <c r="D11957" t="s">
        <v>18103</v>
      </c>
      <c r="E11957" t="s">
        <v>28565</v>
      </c>
      <c r="F11957" t="s">
        <v>31362</v>
      </c>
      <c r="G11957" t="s">
        <v>31369</v>
      </c>
      <c r="H11957" t="s">
        <v>31378</v>
      </c>
      <c r="I11957" t="s">
        <v>31386</v>
      </c>
      <c r="J11957" t="s">
        <v>32673</v>
      </c>
      <c r="K11957" t="s">
        <v>40679</v>
      </c>
      <c r="M11957" t="s">
        <v>41634</v>
      </c>
      <c r="N11957" t="s">
        <v>44905</v>
      </c>
      <c r="O11957" t="s">
        <v>44906</v>
      </c>
      <c r="P11957">
        <v>0</v>
      </c>
      <c r="Q11957">
        <v>8</v>
      </c>
      <c r="R11957" t="s">
        <v>44917</v>
      </c>
      <c r="S11957" t="s">
        <v>45386</v>
      </c>
      <c r="T11957" t="s">
        <v>46392</v>
      </c>
      <c r="U11957" t="s">
        <v>56451</v>
      </c>
      <c r="W11957" t="s">
        <v>60863</v>
      </c>
      <c r="X11957" t="s">
        <v>44918</v>
      </c>
    </row>
    <row r="11958" spans="1:24">
      <c r="A11958">
        <f>HYPERLINK("https://www.philgeps.gov.ph/GEPSNONPILOT/Tender/SplashBidNoticeAbstractUI.aspx?menuIndex=3&amp;refID=7061074&amp;Result=3","7061074")</f>
        <v>0</v>
      </c>
      <c r="B11958" t="s">
        <v>2879</v>
      </c>
      <c r="C11958" t="s">
        <v>14940</v>
      </c>
      <c r="D11958" t="s">
        <v>18169</v>
      </c>
      <c r="E11958" t="s">
        <v>28566</v>
      </c>
      <c r="F11958" t="s">
        <v>31362</v>
      </c>
      <c r="G11958" t="s">
        <v>31369</v>
      </c>
      <c r="H11958" t="s">
        <v>31379</v>
      </c>
      <c r="I11958" t="s">
        <v>31421</v>
      </c>
      <c r="J11958" t="s">
        <v>38808</v>
      </c>
      <c r="K11958" t="s">
        <v>40683</v>
      </c>
      <c r="M11958" t="s">
        <v>44090</v>
      </c>
      <c r="N11958" t="s">
        <v>44905</v>
      </c>
      <c r="O11958" t="s">
        <v>44906</v>
      </c>
      <c r="P11958">
        <v>0</v>
      </c>
      <c r="Q11958">
        <v>9</v>
      </c>
      <c r="R11958" t="s">
        <v>44917</v>
      </c>
      <c r="S11958" t="s">
        <v>45386</v>
      </c>
      <c r="T11958" t="s">
        <v>46524</v>
      </c>
      <c r="U11958" t="s">
        <v>56489</v>
      </c>
      <c r="W11958" t="s">
        <v>60947</v>
      </c>
      <c r="X11958" t="s">
        <v>44918</v>
      </c>
    </row>
    <row r="11959" spans="1:24">
      <c r="A11959">
        <f>HYPERLINK("https://www.philgeps.gov.ph/GEPSNONPILOT/Tender/SplashBidNoticeAbstractUI.aspx?menuIndex=3&amp;refID=7061060&amp;Result=3","7061060")</f>
        <v>0</v>
      </c>
      <c r="B11959" t="s">
        <v>3159</v>
      </c>
      <c r="C11959" t="s">
        <v>14941</v>
      </c>
      <c r="D11959" t="s">
        <v>18108</v>
      </c>
      <c r="E11959" t="s">
        <v>18476</v>
      </c>
      <c r="F11959" t="s">
        <v>31362</v>
      </c>
      <c r="G11959" t="s">
        <v>31369</v>
      </c>
      <c r="H11959" t="s">
        <v>15799</v>
      </c>
      <c r="I11959" t="s">
        <v>31463</v>
      </c>
      <c r="J11959" t="s">
        <v>31531</v>
      </c>
      <c r="K11959" t="s">
        <v>40666</v>
      </c>
      <c r="M11959" t="s">
        <v>44423</v>
      </c>
      <c r="N11959" t="s">
        <v>44905</v>
      </c>
      <c r="O11959" t="s">
        <v>44906</v>
      </c>
      <c r="P11959">
        <v>0</v>
      </c>
      <c r="Q11959">
        <v>3</v>
      </c>
      <c r="R11959" t="s">
        <v>44917</v>
      </c>
      <c r="S11959" t="s">
        <v>45386</v>
      </c>
      <c r="T11959" t="s">
        <v>46414</v>
      </c>
      <c r="U11959" t="s">
        <v>56468</v>
      </c>
      <c r="W11959" t="s">
        <v>44423</v>
      </c>
      <c r="X11959" t="s">
        <v>44918</v>
      </c>
    </row>
    <row r="11960" spans="1:24">
      <c r="A11960">
        <f>HYPERLINK("https://www.philgeps.gov.ph/GEPSNONPILOT/Tender/SplashBidNoticeAbstractUI.aspx?menuIndex=3&amp;refID=7061102&amp;Result=3","7061102")</f>
        <v>0</v>
      </c>
      <c r="B11960" t="s">
        <v>1846</v>
      </c>
      <c r="C11960" t="s">
        <v>14942</v>
      </c>
      <c r="D11960" t="s">
        <v>18127</v>
      </c>
      <c r="E11960" t="s">
        <v>28567</v>
      </c>
      <c r="F11960" t="s">
        <v>31362</v>
      </c>
      <c r="G11960" t="s">
        <v>31369</v>
      </c>
      <c r="H11960" t="s">
        <v>15799</v>
      </c>
      <c r="I11960" t="s">
        <v>31393</v>
      </c>
      <c r="J11960" t="s">
        <v>38809</v>
      </c>
      <c r="K11960" t="s">
        <v>40666</v>
      </c>
      <c r="M11960" t="s">
        <v>42934</v>
      </c>
      <c r="N11960" t="s">
        <v>44905</v>
      </c>
      <c r="O11960" t="s">
        <v>44906</v>
      </c>
      <c r="P11960">
        <v>0</v>
      </c>
      <c r="Q11960">
        <v>2</v>
      </c>
      <c r="R11960" t="s">
        <v>44917</v>
      </c>
      <c r="S11960" t="s">
        <v>45386</v>
      </c>
      <c r="T11960" t="s">
        <v>46447</v>
      </c>
      <c r="U11960" t="s">
        <v>56490</v>
      </c>
      <c r="W11960" t="s">
        <v>42934</v>
      </c>
      <c r="X11960" t="s">
        <v>44918</v>
      </c>
    </row>
    <row r="11961" spans="1:24">
      <c r="A11961">
        <f>HYPERLINK("https://www.philgeps.gov.ph/GEPSNONPILOT/Tender/SplashBidNoticeAbstractUI.aspx?menuIndex=3&amp;refID=7061056&amp;Result=3","7061056")</f>
        <v>0</v>
      </c>
      <c r="B11961" t="s">
        <v>3165</v>
      </c>
      <c r="C11961" t="s">
        <v>14943</v>
      </c>
      <c r="D11961" t="s">
        <v>18108</v>
      </c>
      <c r="E11961" t="s">
        <v>28568</v>
      </c>
      <c r="F11961" t="s">
        <v>31362</v>
      </c>
      <c r="G11961" t="s">
        <v>31369</v>
      </c>
      <c r="H11961" t="s">
        <v>31379</v>
      </c>
      <c r="I11961" t="s">
        <v>7090</v>
      </c>
      <c r="J11961" t="s">
        <v>31591</v>
      </c>
      <c r="K11961" t="s">
        <v>40680</v>
      </c>
      <c r="M11961" t="s">
        <v>44429</v>
      </c>
      <c r="N11961" t="s">
        <v>44905</v>
      </c>
      <c r="O11961" t="s">
        <v>44906</v>
      </c>
      <c r="P11961">
        <v>0</v>
      </c>
      <c r="Q11961">
        <v>0</v>
      </c>
      <c r="R11961" t="s">
        <v>44917</v>
      </c>
      <c r="S11961" t="s">
        <v>45386</v>
      </c>
      <c r="T11961" t="s">
        <v>46538</v>
      </c>
      <c r="U11961" t="s">
        <v>56491</v>
      </c>
      <c r="W11961" t="s">
        <v>44429</v>
      </c>
      <c r="X11961" t="s">
        <v>44918</v>
      </c>
    </row>
    <row r="11962" spans="1:24">
      <c r="A11962">
        <f>HYPERLINK("https://www.philgeps.gov.ph/GEPSNONPILOT/Tender/SplashBidNoticeAbstractUI.aspx?menuIndex=3&amp;refID=7060725&amp;Result=3","7060725")</f>
        <v>0</v>
      </c>
      <c r="B11962" t="s">
        <v>3148</v>
      </c>
      <c r="C11962" t="s">
        <v>14944</v>
      </c>
      <c r="D11962" t="s">
        <v>18108</v>
      </c>
      <c r="E11962" t="s">
        <v>28569</v>
      </c>
      <c r="F11962" t="s">
        <v>31362</v>
      </c>
      <c r="G11962" t="s">
        <v>31369</v>
      </c>
      <c r="H11962" t="s">
        <v>15799</v>
      </c>
      <c r="I11962" t="s">
        <v>31394</v>
      </c>
      <c r="J11962" t="s">
        <v>38810</v>
      </c>
      <c r="K11962" t="s">
        <v>40662</v>
      </c>
      <c r="M11962" t="s">
        <v>44410</v>
      </c>
      <c r="N11962" t="s">
        <v>44905</v>
      </c>
      <c r="O11962" t="s">
        <v>44906</v>
      </c>
      <c r="P11962">
        <v>0</v>
      </c>
      <c r="Q11962">
        <v>22</v>
      </c>
      <c r="R11962" t="s">
        <v>44917</v>
      </c>
      <c r="S11962" t="s">
        <v>45386</v>
      </c>
      <c r="T11962" t="s">
        <v>46499</v>
      </c>
      <c r="U11962" t="s">
        <v>56492</v>
      </c>
      <c r="W11962" t="s">
        <v>44410</v>
      </c>
      <c r="X11962" t="s">
        <v>44918</v>
      </c>
    </row>
    <row r="11963" spans="1:24">
      <c r="A11963">
        <f>HYPERLINK("https://www.philgeps.gov.ph/GEPSNONPILOT/Tender/SplashBidNoticeAbstractUI.aspx?menuIndex=3&amp;refID=7060722&amp;Result=3","7060722")</f>
        <v>0</v>
      </c>
      <c r="B11963" t="s">
        <v>3155</v>
      </c>
      <c r="C11963" t="s">
        <v>14945</v>
      </c>
      <c r="D11963" t="s">
        <v>18148</v>
      </c>
      <c r="E11963" t="s">
        <v>28570</v>
      </c>
      <c r="F11963" t="s">
        <v>31362</v>
      </c>
      <c r="G11963" t="s">
        <v>31369</v>
      </c>
      <c r="H11963" t="s">
        <v>31378</v>
      </c>
      <c r="I11963" t="s">
        <v>31386</v>
      </c>
      <c r="J11963" t="s">
        <v>31615</v>
      </c>
      <c r="K11963" t="s">
        <v>40662</v>
      </c>
      <c r="M11963" t="s">
        <v>44418</v>
      </c>
      <c r="N11963" t="s">
        <v>44905</v>
      </c>
      <c r="O11963" t="s">
        <v>44906</v>
      </c>
      <c r="P11963">
        <v>0</v>
      </c>
      <c r="Q11963">
        <v>2</v>
      </c>
      <c r="R11963" t="s">
        <v>44917</v>
      </c>
      <c r="S11963" t="s">
        <v>45386</v>
      </c>
      <c r="T11963" t="s">
        <v>46524</v>
      </c>
      <c r="U11963" t="s">
        <v>56493</v>
      </c>
      <c r="W11963" t="s">
        <v>44418</v>
      </c>
      <c r="X11963" t="s">
        <v>44918</v>
      </c>
    </row>
    <row r="11964" spans="1:24">
      <c r="A11964">
        <f>HYPERLINK("https://www.philgeps.gov.ph/GEPSNONPILOT/Tender/SplashBidNoticeAbstractUI.aspx?menuIndex=3&amp;refID=7061088&amp;Result=3","7061088")</f>
        <v>0</v>
      </c>
      <c r="B11964" t="s">
        <v>672</v>
      </c>
      <c r="C11964" t="s">
        <v>14946</v>
      </c>
      <c r="D11964" t="s">
        <v>18103</v>
      </c>
      <c r="E11964" t="s">
        <v>28571</v>
      </c>
      <c r="F11964" t="s">
        <v>31362</v>
      </c>
      <c r="G11964" t="s">
        <v>31369</v>
      </c>
      <c r="H11964" t="s">
        <v>31378</v>
      </c>
      <c r="I11964" t="s">
        <v>31386</v>
      </c>
      <c r="J11964" t="s">
        <v>32673</v>
      </c>
      <c r="K11964" t="s">
        <v>40679</v>
      </c>
      <c r="M11964" t="s">
        <v>41634</v>
      </c>
      <c r="N11964" t="s">
        <v>44905</v>
      </c>
      <c r="O11964" t="s">
        <v>44906</v>
      </c>
      <c r="P11964">
        <v>0</v>
      </c>
      <c r="Q11964">
        <v>7</v>
      </c>
      <c r="R11964" t="s">
        <v>44917</v>
      </c>
      <c r="S11964" t="s">
        <v>45386</v>
      </c>
      <c r="T11964" t="s">
        <v>46392</v>
      </c>
      <c r="U11964" t="s">
        <v>56451</v>
      </c>
      <c r="W11964" t="s">
        <v>60863</v>
      </c>
      <c r="X11964" t="s">
        <v>44918</v>
      </c>
    </row>
    <row r="11965" spans="1:24">
      <c r="A11965">
        <f>HYPERLINK("https://www.philgeps.gov.ph/GEPSNONPILOT/Tender/SplashBidNoticeAbstractUI.aspx?menuIndex=3&amp;refID=7060720&amp;Result=3","7060720")</f>
        <v>0</v>
      </c>
      <c r="B11965" t="s">
        <v>299</v>
      </c>
      <c r="C11965" t="s">
        <v>14947</v>
      </c>
      <c r="D11965" t="s">
        <v>18108</v>
      </c>
      <c r="E11965" t="s">
        <v>28572</v>
      </c>
      <c r="F11965" t="s">
        <v>31362</v>
      </c>
      <c r="G11965" t="s">
        <v>31369</v>
      </c>
      <c r="H11965" t="s">
        <v>15799</v>
      </c>
      <c r="I11965" t="s">
        <v>31387</v>
      </c>
      <c r="J11965" t="s">
        <v>38811</v>
      </c>
      <c r="K11965" t="s">
        <v>40666</v>
      </c>
      <c r="M11965" t="s">
        <v>44401</v>
      </c>
      <c r="N11965" t="s">
        <v>44905</v>
      </c>
      <c r="O11965" t="s">
        <v>44906</v>
      </c>
      <c r="P11965">
        <v>0</v>
      </c>
      <c r="Q11965">
        <v>7</v>
      </c>
      <c r="R11965" t="s">
        <v>44917</v>
      </c>
      <c r="S11965" t="s">
        <v>45386</v>
      </c>
      <c r="T11965" t="s">
        <v>46625</v>
      </c>
      <c r="U11965" t="s">
        <v>56494</v>
      </c>
      <c r="W11965" t="s">
        <v>44401</v>
      </c>
      <c r="X11965" t="s">
        <v>44918</v>
      </c>
    </row>
    <row r="11966" spans="1:24">
      <c r="A11966">
        <f>HYPERLINK("https://www.philgeps.gov.ph/GEPSNONPILOT/Tender/SplashBidNoticeAbstractUI.aspx?menuIndex=3&amp;refID=7060706&amp;Result=3","7060706")</f>
        <v>0</v>
      </c>
      <c r="B11966" t="s">
        <v>2949</v>
      </c>
      <c r="C11966" t="s">
        <v>14948</v>
      </c>
      <c r="E11966" t="s">
        <v>28573</v>
      </c>
      <c r="F11966" t="s">
        <v>31362</v>
      </c>
      <c r="G11966" t="s">
        <v>31369</v>
      </c>
      <c r="H11966" t="s">
        <v>31378</v>
      </c>
      <c r="I11966" t="s">
        <v>31386</v>
      </c>
      <c r="J11966" t="s">
        <v>38812</v>
      </c>
      <c r="K11966" t="s">
        <v>40662</v>
      </c>
      <c r="M11966" t="s">
        <v>44171</v>
      </c>
      <c r="N11966" t="s">
        <v>44905</v>
      </c>
      <c r="O11966" t="s">
        <v>44906</v>
      </c>
      <c r="P11966">
        <v>0</v>
      </c>
      <c r="Q11966">
        <v>1</v>
      </c>
      <c r="R11966" t="s">
        <v>44917</v>
      </c>
      <c r="S11966" t="s">
        <v>45386</v>
      </c>
      <c r="T11966" t="s">
        <v>46519</v>
      </c>
      <c r="U11966" t="s">
        <v>56495</v>
      </c>
      <c r="W11966" t="s">
        <v>44171</v>
      </c>
      <c r="X11966" t="s">
        <v>44918</v>
      </c>
    </row>
    <row r="11967" spans="1:24">
      <c r="A11967">
        <f>HYPERLINK("https://www.philgeps.gov.ph/GEPSNONPILOT/Tender/SplashBidNoticeAbstractUI.aspx?menuIndex=3&amp;refID=7061038&amp;Result=3","7061038")</f>
        <v>0</v>
      </c>
      <c r="B11967" t="s">
        <v>3164</v>
      </c>
      <c r="C11967" t="s">
        <v>14949</v>
      </c>
      <c r="D11967" t="s">
        <v>18124</v>
      </c>
      <c r="E11967" t="s">
        <v>28562</v>
      </c>
      <c r="F11967" t="s">
        <v>31362</v>
      </c>
      <c r="G11967" t="s">
        <v>31372</v>
      </c>
      <c r="H11967" t="s">
        <v>15799</v>
      </c>
      <c r="I11967" t="s">
        <v>3815</v>
      </c>
      <c r="J11967" t="s">
        <v>38813</v>
      </c>
      <c r="K11967" t="s">
        <v>40684</v>
      </c>
      <c r="M11967" t="s">
        <v>44428</v>
      </c>
      <c r="N11967" t="s">
        <v>44905</v>
      </c>
      <c r="O11967" t="s">
        <v>44906</v>
      </c>
      <c r="P11967">
        <v>0</v>
      </c>
      <c r="Q11967">
        <v>0</v>
      </c>
      <c r="R11967" t="s">
        <v>44917</v>
      </c>
      <c r="S11967" t="s">
        <v>45386</v>
      </c>
      <c r="T11967" t="s">
        <v>46499</v>
      </c>
      <c r="U11967" t="s">
        <v>56496</v>
      </c>
      <c r="W11967" t="s">
        <v>44428</v>
      </c>
      <c r="X11967" t="s">
        <v>44918</v>
      </c>
    </row>
    <row r="11968" spans="1:24">
      <c r="A11968">
        <f>HYPERLINK("https://www.philgeps.gov.ph/GEPSNONPILOT/Tender/SplashBidNoticeAbstractUI.aspx?menuIndex=3&amp;refID=7061045&amp;Result=3","7061045")</f>
        <v>0</v>
      </c>
      <c r="B11968" t="s">
        <v>255</v>
      </c>
      <c r="C11968" t="s">
        <v>14950</v>
      </c>
      <c r="E11968" t="s">
        <v>28574</v>
      </c>
      <c r="F11968" t="s">
        <v>31362</v>
      </c>
      <c r="G11968" t="s">
        <v>31369</v>
      </c>
      <c r="H11968" t="s">
        <v>15799</v>
      </c>
      <c r="I11968" t="s">
        <v>31382</v>
      </c>
      <c r="J11968" t="s">
        <v>38814</v>
      </c>
      <c r="K11968" t="s">
        <v>40662</v>
      </c>
      <c r="M11968" t="s">
        <v>41195</v>
      </c>
      <c r="N11968" t="s">
        <v>44905</v>
      </c>
      <c r="O11968" t="s">
        <v>44906</v>
      </c>
      <c r="P11968">
        <v>0</v>
      </c>
      <c r="Q11968">
        <v>14</v>
      </c>
      <c r="R11968" t="s">
        <v>44917</v>
      </c>
      <c r="S11968" t="s">
        <v>45386</v>
      </c>
      <c r="T11968" t="s">
        <v>46410</v>
      </c>
      <c r="U11968" t="s">
        <v>56497</v>
      </c>
      <c r="W11968" t="s">
        <v>41195</v>
      </c>
      <c r="X11968" t="s">
        <v>44918</v>
      </c>
    </row>
    <row r="11969" spans="1:24">
      <c r="A11969">
        <f>HYPERLINK("https://www.philgeps.gov.ph/GEPSNONPILOT/Tender/SplashBidNoticeAbstractUI.aspx?menuIndex=3&amp;refID=7061203&amp;Result=3","7061203")</f>
        <v>0</v>
      </c>
      <c r="B11969" t="s">
        <v>3166</v>
      </c>
      <c r="C11969" t="s">
        <v>14951</v>
      </c>
      <c r="D11969" t="s">
        <v>18125</v>
      </c>
      <c r="E11969" t="s">
        <v>20720</v>
      </c>
      <c r="F11969" t="s">
        <v>31363</v>
      </c>
      <c r="G11969" t="s">
        <v>31369</v>
      </c>
      <c r="H11969" t="s">
        <v>31379</v>
      </c>
      <c r="I11969" t="s">
        <v>3815</v>
      </c>
      <c r="J11969" t="s">
        <v>34831</v>
      </c>
      <c r="K11969" t="s">
        <v>40665</v>
      </c>
      <c r="M11969" t="s">
        <v>44430</v>
      </c>
      <c r="N11969" t="s">
        <v>44905</v>
      </c>
      <c r="O11969" t="s">
        <v>44906</v>
      </c>
      <c r="P11969">
        <v>0</v>
      </c>
      <c r="Q11969">
        <v>1</v>
      </c>
      <c r="R11969" t="s">
        <v>44917</v>
      </c>
      <c r="S11969" t="s">
        <v>45386</v>
      </c>
      <c r="T11969" t="s">
        <v>46393</v>
      </c>
      <c r="U11969" t="s">
        <v>56498</v>
      </c>
      <c r="W11969" t="s">
        <v>44430</v>
      </c>
      <c r="X11969" t="s">
        <v>44918</v>
      </c>
    </row>
    <row r="11970" spans="1:24">
      <c r="A11970">
        <f>HYPERLINK("https://www.philgeps.gov.ph/GEPSNONPILOT/Tender/SplashBidNoticeAbstractUI.aspx?menuIndex=3&amp;refID=7061193&amp;Result=3","7061193")</f>
        <v>0</v>
      </c>
      <c r="B11970" t="s">
        <v>2463</v>
      </c>
      <c r="C11970" t="s">
        <v>14952</v>
      </c>
      <c r="D11970" t="s">
        <v>18116</v>
      </c>
      <c r="E11970" t="s">
        <v>28575</v>
      </c>
      <c r="F11970" t="s">
        <v>31362</v>
      </c>
      <c r="G11970" t="s">
        <v>31369</v>
      </c>
      <c r="H11970" t="s">
        <v>15799</v>
      </c>
      <c r="I11970" t="s">
        <v>31393</v>
      </c>
      <c r="J11970" t="s">
        <v>38815</v>
      </c>
      <c r="K11970" t="s">
        <v>40662</v>
      </c>
      <c r="L11970" t="s">
        <v>2463</v>
      </c>
      <c r="M11970" t="s">
        <v>43624</v>
      </c>
      <c r="N11970" t="s">
        <v>44905</v>
      </c>
      <c r="O11970" t="s">
        <v>44906</v>
      </c>
      <c r="P11970">
        <v>0</v>
      </c>
      <c r="Q11970">
        <v>17</v>
      </c>
      <c r="R11970" t="s">
        <v>44917</v>
      </c>
      <c r="S11970" t="s">
        <v>45386</v>
      </c>
      <c r="T11970" t="s">
        <v>46418</v>
      </c>
      <c r="U11970" t="s">
        <v>56499</v>
      </c>
      <c r="W11970" t="s">
        <v>43624</v>
      </c>
      <c r="X11970" t="s">
        <v>44918</v>
      </c>
    </row>
    <row r="11971" spans="1:24">
      <c r="A11971">
        <f>HYPERLINK("https://www.philgeps.gov.ph/GEPSNONPILOT/Tender/SplashBidNoticeAbstractUI.aspx?menuIndex=3&amp;refID=7060718&amp;Result=3","7060718")</f>
        <v>0</v>
      </c>
      <c r="B11971" t="s">
        <v>3148</v>
      </c>
      <c r="C11971" t="s">
        <v>14953</v>
      </c>
      <c r="D11971" t="s">
        <v>18108</v>
      </c>
      <c r="E11971" t="s">
        <v>28576</v>
      </c>
      <c r="F11971" t="s">
        <v>31362</v>
      </c>
      <c r="G11971" t="s">
        <v>31369</v>
      </c>
      <c r="H11971" t="s">
        <v>15799</v>
      </c>
      <c r="I11971" t="s">
        <v>31513</v>
      </c>
      <c r="J11971" t="s">
        <v>38816</v>
      </c>
      <c r="K11971" t="s">
        <v>40662</v>
      </c>
      <c r="M11971" t="s">
        <v>44410</v>
      </c>
      <c r="N11971" t="s">
        <v>44905</v>
      </c>
      <c r="O11971" t="s">
        <v>44906</v>
      </c>
      <c r="P11971">
        <v>0</v>
      </c>
      <c r="Q11971">
        <v>5</v>
      </c>
      <c r="R11971" t="s">
        <v>44917</v>
      </c>
      <c r="S11971" t="s">
        <v>45386</v>
      </c>
      <c r="T11971" t="s">
        <v>46499</v>
      </c>
      <c r="U11971" t="s">
        <v>56500</v>
      </c>
      <c r="W11971" t="s">
        <v>44410</v>
      </c>
      <c r="X11971" t="s">
        <v>44918</v>
      </c>
    </row>
    <row r="11972" spans="1:24">
      <c r="A11972">
        <f>HYPERLINK("https://www.philgeps.gov.ph/GEPSNONPILOT/Tender/SplashBidNoticeAbstractUI.aspx?menuIndex=3&amp;refID=7061061&amp;Result=3","7061061")</f>
        <v>0</v>
      </c>
      <c r="B11972" t="s">
        <v>3161</v>
      </c>
      <c r="C11972" t="s">
        <v>14954</v>
      </c>
      <c r="D11972" t="s">
        <v>18102</v>
      </c>
      <c r="E11972" t="s">
        <v>28577</v>
      </c>
      <c r="F11972" t="s">
        <v>31365</v>
      </c>
      <c r="G11972" t="s">
        <v>31369</v>
      </c>
      <c r="H11972" t="s">
        <v>31378</v>
      </c>
      <c r="I11972" t="s">
        <v>31386</v>
      </c>
      <c r="J11972" t="s">
        <v>38817</v>
      </c>
      <c r="K11972" t="s">
        <v>40670</v>
      </c>
      <c r="M11972" t="s">
        <v>44425</v>
      </c>
      <c r="N11972" t="s">
        <v>44905</v>
      </c>
      <c r="O11972" t="s">
        <v>44906</v>
      </c>
      <c r="P11972">
        <v>0</v>
      </c>
      <c r="Q11972">
        <v>1</v>
      </c>
      <c r="R11972" t="s">
        <v>44917</v>
      </c>
      <c r="S11972" t="s">
        <v>45386</v>
      </c>
      <c r="T11972" t="s">
        <v>46446</v>
      </c>
      <c r="U11972" t="s">
        <v>56501</v>
      </c>
      <c r="W11972" t="s">
        <v>44425</v>
      </c>
      <c r="X11972" t="s">
        <v>44918</v>
      </c>
    </row>
    <row r="11973" spans="1:24">
      <c r="A11973">
        <f>HYPERLINK("https://www.philgeps.gov.ph/GEPSNONPILOT/Tender/SplashBidNoticeAbstractUI.aspx?menuIndex=3&amp;refID=7060703&amp;Result=3","7060703")</f>
        <v>0</v>
      </c>
      <c r="B11973" t="s">
        <v>3154</v>
      </c>
      <c r="C11973" t="s">
        <v>14955</v>
      </c>
      <c r="D11973" t="s">
        <v>18133</v>
      </c>
      <c r="E11973" t="s">
        <v>28578</v>
      </c>
      <c r="F11973" t="s">
        <v>31362</v>
      </c>
      <c r="G11973" t="s">
        <v>31369</v>
      </c>
      <c r="H11973" t="s">
        <v>31378</v>
      </c>
      <c r="I11973" t="s">
        <v>31386</v>
      </c>
      <c r="J11973" t="s">
        <v>38818</v>
      </c>
      <c r="K11973" t="s">
        <v>40725</v>
      </c>
      <c r="M11973" t="s">
        <v>44416</v>
      </c>
      <c r="N11973" t="s">
        <v>44905</v>
      </c>
      <c r="O11973" t="s">
        <v>44906</v>
      </c>
      <c r="P11973">
        <v>0</v>
      </c>
      <c r="Q11973">
        <v>1</v>
      </c>
      <c r="R11973" t="s">
        <v>44917</v>
      </c>
      <c r="S11973" t="s">
        <v>45386</v>
      </c>
      <c r="T11973" t="s">
        <v>46479</v>
      </c>
      <c r="U11973" t="s">
        <v>56502</v>
      </c>
      <c r="W11973" t="s">
        <v>44416</v>
      </c>
      <c r="X11973" t="s">
        <v>44918</v>
      </c>
    </row>
    <row r="11974" spans="1:24">
      <c r="A11974">
        <f>HYPERLINK("https://www.philgeps.gov.ph/GEPSNONPILOT/Tender/SplashBidNoticeAbstractUI.aspx?menuIndex=3&amp;refID=7061184&amp;Result=3","7061184")</f>
        <v>0</v>
      </c>
      <c r="B11974" t="s">
        <v>1483</v>
      </c>
      <c r="C11974" t="s">
        <v>14956</v>
      </c>
      <c r="D11974" t="s">
        <v>18131</v>
      </c>
      <c r="E11974" t="s">
        <v>28579</v>
      </c>
      <c r="F11974" t="s">
        <v>31362</v>
      </c>
      <c r="G11974" t="s">
        <v>31369</v>
      </c>
      <c r="H11974" t="s">
        <v>31378</v>
      </c>
      <c r="I11974" t="s">
        <v>31386</v>
      </c>
      <c r="J11974" t="s">
        <v>38819</v>
      </c>
      <c r="K11974" t="s">
        <v>40679</v>
      </c>
      <c r="M11974" t="s">
        <v>42520</v>
      </c>
      <c r="N11974" t="s">
        <v>44905</v>
      </c>
      <c r="O11974" t="s">
        <v>44906</v>
      </c>
      <c r="P11974">
        <v>0</v>
      </c>
      <c r="Q11974">
        <v>19</v>
      </c>
      <c r="R11974" t="s">
        <v>44917</v>
      </c>
      <c r="S11974" t="s">
        <v>45386</v>
      </c>
      <c r="T11974" t="s">
        <v>46481</v>
      </c>
      <c r="U11974" t="s">
        <v>56503</v>
      </c>
      <c r="V11974" t="s">
        <v>59468</v>
      </c>
      <c r="W11974" t="s">
        <v>42520</v>
      </c>
      <c r="X11974" t="s">
        <v>44918</v>
      </c>
    </row>
    <row r="11975" spans="1:24">
      <c r="A11975">
        <f>HYPERLINK("https://www.philgeps.gov.ph/GEPSNONPILOT/Tender/SplashBidNoticeAbstractUI.aspx?menuIndex=3&amp;refID=7061172&amp;Result=3","7061172")</f>
        <v>0</v>
      </c>
      <c r="B11975" t="s">
        <v>1215</v>
      </c>
      <c r="C11975" t="s">
        <v>14957</v>
      </c>
      <c r="D11975" t="s">
        <v>18108</v>
      </c>
      <c r="E11975" t="s">
        <v>28580</v>
      </c>
      <c r="F11975" t="s">
        <v>31362</v>
      </c>
      <c r="G11975" t="s">
        <v>31368</v>
      </c>
      <c r="H11975" t="s">
        <v>15799</v>
      </c>
      <c r="I11975" t="s">
        <v>13635</v>
      </c>
      <c r="J11975" t="s">
        <v>38820</v>
      </c>
      <c r="K11975" t="s">
        <v>40665</v>
      </c>
      <c r="M11975" t="s">
        <v>42228</v>
      </c>
      <c r="N11975" t="s">
        <v>44905</v>
      </c>
      <c r="O11975" t="s">
        <v>44906</v>
      </c>
      <c r="Q11975">
        <v>5</v>
      </c>
      <c r="R11975" t="s">
        <v>44917</v>
      </c>
      <c r="S11975" t="s">
        <v>45432</v>
      </c>
      <c r="T11975" t="s">
        <v>46432</v>
      </c>
      <c r="U11975" t="s">
        <v>56504</v>
      </c>
      <c r="W11975" t="s">
        <v>42228</v>
      </c>
      <c r="X11975" t="s">
        <v>44918</v>
      </c>
    </row>
    <row r="11976" spans="1:24">
      <c r="A11976">
        <f>HYPERLINK("https://www.philgeps.gov.ph/GEPSNONPILOT/Tender/SplashBidNoticeAbstractUI.aspx?menuIndex=3&amp;refID=7061171&amp;Result=3","7061171")</f>
        <v>0</v>
      </c>
      <c r="B11976" t="s">
        <v>255</v>
      </c>
      <c r="C11976" t="s">
        <v>14958</v>
      </c>
      <c r="E11976" t="s">
        <v>28581</v>
      </c>
      <c r="F11976" t="s">
        <v>31362</v>
      </c>
      <c r="G11976" t="s">
        <v>31369</v>
      </c>
      <c r="H11976" t="s">
        <v>15799</v>
      </c>
      <c r="I11976" t="s">
        <v>31393</v>
      </c>
      <c r="J11976" t="s">
        <v>38821</v>
      </c>
      <c r="K11976" t="s">
        <v>40662</v>
      </c>
      <c r="M11976" t="s">
        <v>44357</v>
      </c>
      <c r="N11976" t="s">
        <v>44905</v>
      </c>
      <c r="O11976" t="s">
        <v>44906</v>
      </c>
      <c r="P11976">
        <v>0</v>
      </c>
      <c r="Q11976">
        <v>4</v>
      </c>
      <c r="R11976" t="s">
        <v>44917</v>
      </c>
      <c r="S11976" t="s">
        <v>45386</v>
      </c>
      <c r="T11976" t="s">
        <v>46410</v>
      </c>
      <c r="U11976" t="s">
        <v>56219</v>
      </c>
      <c r="W11976" t="s">
        <v>44357</v>
      </c>
      <c r="X11976" t="s">
        <v>44918</v>
      </c>
    </row>
    <row r="11977" spans="1:24">
      <c r="A11977">
        <f>HYPERLINK("https://www.philgeps.gov.ph/GEPSNONPILOT/Tender/SplashBidNoticeAbstractUI.aspx?menuIndex=3&amp;refID=7061161&amp;Result=3","7061161")</f>
        <v>0</v>
      </c>
      <c r="B11977" t="s">
        <v>672</v>
      </c>
      <c r="C11977" t="s">
        <v>14959</v>
      </c>
      <c r="D11977" t="s">
        <v>18103</v>
      </c>
      <c r="E11977" t="s">
        <v>28582</v>
      </c>
      <c r="F11977" t="s">
        <v>31362</v>
      </c>
      <c r="G11977" t="s">
        <v>31369</v>
      </c>
      <c r="H11977" t="s">
        <v>31378</v>
      </c>
      <c r="I11977" t="s">
        <v>31386</v>
      </c>
      <c r="J11977" t="s">
        <v>38822</v>
      </c>
      <c r="K11977" t="s">
        <v>40678</v>
      </c>
      <c r="M11977" t="s">
        <v>41634</v>
      </c>
      <c r="N11977" t="s">
        <v>44905</v>
      </c>
      <c r="O11977" t="s">
        <v>44906</v>
      </c>
      <c r="P11977">
        <v>0</v>
      </c>
      <c r="Q11977">
        <v>6</v>
      </c>
      <c r="R11977" t="s">
        <v>44917</v>
      </c>
      <c r="S11977" t="s">
        <v>45386</v>
      </c>
      <c r="T11977" t="s">
        <v>46392</v>
      </c>
      <c r="U11977" t="s">
        <v>56451</v>
      </c>
      <c r="W11977" t="s">
        <v>60863</v>
      </c>
      <c r="X11977" t="s">
        <v>44918</v>
      </c>
    </row>
    <row r="11978" spans="1:24">
      <c r="A11978">
        <f>HYPERLINK("https://www.philgeps.gov.ph/GEPSNONPILOT/Tender/SplashBidNoticeAbstractUI.aspx?menuIndex=3&amp;refID=7061156&amp;Result=3","7061156")</f>
        <v>0</v>
      </c>
      <c r="B11978" t="s">
        <v>2976</v>
      </c>
      <c r="C11978" t="s">
        <v>14960</v>
      </c>
      <c r="D11978" t="s">
        <v>18110</v>
      </c>
      <c r="E11978" t="s">
        <v>28583</v>
      </c>
      <c r="F11978" t="s">
        <v>31362</v>
      </c>
      <c r="G11978" t="s">
        <v>31370</v>
      </c>
      <c r="H11978" t="s">
        <v>31378</v>
      </c>
      <c r="I11978" t="s">
        <v>31380</v>
      </c>
      <c r="J11978" t="s">
        <v>38823</v>
      </c>
      <c r="K11978" t="s">
        <v>40670</v>
      </c>
      <c r="M11978" t="s">
        <v>44200</v>
      </c>
      <c r="N11978" t="s">
        <v>44905</v>
      </c>
      <c r="O11978" t="s">
        <v>44906</v>
      </c>
      <c r="P11978">
        <v>0</v>
      </c>
      <c r="Q11978">
        <v>8</v>
      </c>
      <c r="R11978" t="s">
        <v>44917</v>
      </c>
      <c r="S11978" t="s">
        <v>45386</v>
      </c>
      <c r="T11978" t="s">
        <v>46393</v>
      </c>
      <c r="U11978" t="s">
        <v>56467</v>
      </c>
      <c r="W11978" t="s">
        <v>44200</v>
      </c>
      <c r="X11978" t="s">
        <v>44918</v>
      </c>
    </row>
    <row r="11979" spans="1:24">
      <c r="A11979">
        <f>HYPERLINK("https://www.philgeps.gov.ph/GEPSNONPILOT/Tender/SplashBidNoticeAbstractUI.aspx?menuIndex=3&amp;refID=7061195&amp;Result=3","7061195")</f>
        <v>0</v>
      </c>
      <c r="B11979" t="s">
        <v>3167</v>
      </c>
      <c r="C11979" t="s">
        <v>14961</v>
      </c>
      <c r="E11979" t="s">
        <v>18548</v>
      </c>
      <c r="F11979" t="s">
        <v>31362</v>
      </c>
      <c r="G11979" t="s">
        <v>31369</v>
      </c>
      <c r="H11979" t="s">
        <v>31378</v>
      </c>
      <c r="I11979" t="s">
        <v>31386</v>
      </c>
      <c r="J11979" t="s">
        <v>31578</v>
      </c>
      <c r="K11979" t="s">
        <v>40662</v>
      </c>
      <c r="M11979" t="s">
        <v>44431</v>
      </c>
      <c r="N11979" t="s">
        <v>44905</v>
      </c>
      <c r="O11979" t="s">
        <v>44906</v>
      </c>
      <c r="P11979">
        <v>0</v>
      </c>
      <c r="Q11979">
        <v>0</v>
      </c>
      <c r="R11979" t="s">
        <v>44917</v>
      </c>
      <c r="S11979" t="s">
        <v>45386</v>
      </c>
      <c r="T11979" t="s">
        <v>46410</v>
      </c>
      <c r="U11979" t="s">
        <v>56505</v>
      </c>
      <c r="W11979" t="s">
        <v>44431</v>
      </c>
      <c r="X11979" t="s">
        <v>44918</v>
      </c>
    </row>
    <row r="11980" spans="1:24">
      <c r="A11980">
        <f>HYPERLINK("https://www.philgeps.gov.ph/GEPSNONPILOT/Tender/SplashBidNoticeAbstractUI.aspx?menuIndex=3&amp;refID=7061306&amp;Result=3","7061306")</f>
        <v>0</v>
      </c>
      <c r="B11980" t="s">
        <v>1215</v>
      </c>
      <c r="C11980" t="s">
        <v>14962</v>
      </c>
      <c r="D11980" t="s">
        <v>18108</v>
      </c>
      <c r="E11980" t="s">
        <v>28584</v>
      </c>
      <c r="F11980" t="s">
        <v>31362</v>
      </c>
      <c r="G11980" t="s">
        <v>31368</v>
      </c>
      <c r="H11980" t="s">
        <v>15799</v>
      </c>
      <c r="I11980" t="s">
        <v>7188</v>
      </c>
      <c r="J11980" t="s">
        <v>32348</v>
      </c>
      <c r="K11980" t="s">
        <v>40665</v>
      </c>
      <c r="M11980" t="s">
        <v>42228</v>
      </c>
      <c r="N11980" t="s">
        <v>44905</v>
      </c>
      <c r="O11980" t="s">
        <v>44906</v>
      </c>
      <c r="Q11980">
        <v>5</v>
      </c>
      <c r="R11980" t="s">
        <v>44917</v>
      </c>
      <c r="S11980" t="s">
        <v>45433</v>
      </c>
      <c r="T11980" t="s">
        <v>46432</v>
      </c>
      <c r="U11980" t="s">
        <v>56506</v>
      </c>
      <c r="W11980" t="s">
        <v>42228</v>
      </c>
      <c r="X11980" t="s">
        <v>44918</v>
      </c>
    </row>
    <row r="11981" spans="1:24">
      <c r="A11981">
        <f>HYPERLINK("https://www.philgeps.gov.ph/GEPSNONPILOT/Tender/SplashBidNoticeAbstractUI.aspx?menuIndex=3&amp;refID=7061152&amp;Result=3","7061152")</f>
        <v>0</v>
      </c>
      <c r="B11981" t="s">
        <v>672</v>
      </c>
      <c r="C11981" t="s">
        <v>14963</v>
      </c>
      <c r="D11981" t="s">
        <v>18103</v>
      </c>
      <c r="E11981" t="s">
        <v>28585</v>
      </c>
      <c r="F11981" t="s">
        <v>31362</v>
      </c>
      <c r="G11981" t="s">
        <v>31369</v>
      </c>
      <c r="H11981" t="s">
        <v>31378</v>
      </c>
      <c r="I11981" t="s">
        <v>31386</v>
      </c>
      <c r="J11981" t="s">
        <v>32965</v>
      </c>
      <c r="K11981" t="s">
        <v>40675</v>
      </c>
      <c r="M11981" t="s">
        <v>41634</v>
      </c>
      <c r="N11981" t="s">
        <v>44905</v>
      </c>
      <c r="O11981" t="s">
        <v>44906</v>
      </c>
      <c r="P11981">
        <v>0</v>
      </c>
      <c r="Q11981">
        <v>6</v>
      </c>
      <c r="R11981" t="s">
        <v>44917</v>
      </c>
      <c r="S11981" t="s">
        <v>45386</v>
      </c>
      <c r="T11981" t="s">
        <v>46392</v>
      </c>
      <c r="U11981" t="s">
        <v>56451</v>
      </c>
      <c r="W11981" t="s">
        <v>60863</v>
      </c>
      <c r="X11981" t="s">
        <v>44918</v>
      </c>
    </row>
    <row r="11982" spans="1:24">
      <c r="A11982">
        <f>HYPERLINK("https://www.philgeps.gov.ph/GEPSNONPILOT/Tender/SplashBidNoticeAbstractUI.aspx?menuIndex=3&amp;refID=7061192&amp;Result=3","7061192")</f>
        <v>0</v>
      </c>
      <c r="B11982" t="s">
        <v>716</v>
      </c>
      <c r="C11982" t="s">
        <v>14964</v>
      </c>
      <c r="D11982" t="s">
        <v>18160</v>
      </c>
      <c r="E11982" t="s">
        <v>28586</v>
      </c>
      <c r="F11982" t="s">
        <v>31362</v>
      </c>
      <c r="G11982" t="s">
        <v>31369</v>
      </c>
      <c r="H11982" t="s">
        <v>15799</v>
      </c>
      <c r="I11982" t="s">
        <v>31399</v>
      </c>
      <c r="J11982" t="s">
        <v>38824</v>
      </c>
      <c r="K11982" t="s">
        <v>40682</v>
      </c>
      <c r="M11982" t="s">
        <v>43557</v>
      </c>
      <c r="N11982" t="s">
        <v>44905</v>
      </c>
      <c r="O11982" t="s">
        <v>44906</v>
      </c>
      <c r="Q11982">
        <v>4</v>
      </c>
      <c r="R11982" t="s">
        <v>44917</v>
      </c>
      <c r="S11982" t="s">
        <v>45434</v>
      </c>
      <c r="T11982" t="s">
        <v>46533</v>
      </c>
      <c r="U11982" t="s">
        <v>53433</v>
      </c>
      <c r="W11982" t="s">
        <v>60933</v>
      </c>
      <c r="X11982" t="s">
        <v>44918</v>
      </c>
    </row>
    <row r="11983" spans="1:24">
      <c r="A11983">
        <f>HYPERLINK("https://www.philgeps.gov.ph/GEPSNONPILOT/Tender/SplashBidNoticeAbstractUI.aspx?menuIndex=3&amp;refID=7061013&amp;Result=3","7061013")</f>
        <v>0</v>
      </c>
      <c r="B11983" t="s">
        <v>3165</v>
      </c>
      <c r="C11983" t="s">
        <v>14965</v>
      </c>
      <c r="D11983" t="s">
        <v>18108</v>
      </c>
      <c r="E11983" t="s">
        <v>28587</v>
      </c>
      <c r="F11983" t="s">
        <v>31362</v>
      </c>
      <c r="G11983" t="s">
        <v>31369</v>
      </c>
      <c r="H11983" t="s">
        <v>15799</v>
      </c>
      <c r="I11983" t="s">
        <v>31446</v>
      </c>
      <c r="J11983" t="s">
        <v>31738</v>
      </c>
      <c r="K11983" t="s">
        <v>40680</v>
      </c>
      <c r="M11983" t="s">
        <v>44429</v>
      </c>
      <c r="N11983" t="s">
        <v>44905</v>
      </c>
      <c r="O11983" t="s">
        <v>44906</v>
      </c>
      <c r="P11983">
        <v>0</v>
      </c>
      <c r="Q11983">
        <v>12</v>
      </c>
      <c r="R11983" t="s">
        <v>44917</v>
      </c>
      <c r="S11983" t="s">
        <v>45386</v>
      </c>
      <c r="T11983" t="s">
        <v>46585</v>
      </c>
      <c r="U11983" t="s">
        <v>56507</v>
      </c>
      <c r="W11983" t="s">
        <v>44429</v>
      </c>
      <c r="X11983" t="s">
        <v>44918</v>
      </c>
    </row>
    <row r="11984" spans="1:24">
      <c r="A11984">
        <f>HYPERLINK("https://www.philgeps.gov.ph/GEPSNONPILOT/Tender/SplashBidNoticeAbstractUI.aspx?menuIndex=3&amp;refID=7061158&amp;Result=3","7061158")</f>
        <v>0</v>
      </c>
      <c r="B11984" t="s">
        <v>2463</v>
      </c>
      <c r="C11984" t="s">
        <v>14966</v>
      </c>
      <c r="D11984" t="s">
        <v>18116</v>
      </c>
      <c r="E11984" t="s">
        <v>28588</v>
      </c>
      <c r="F11984" t="s">
        <v>31362</v>
      </c>
      <c r="G11984" t="s">
        <v>31369</v>
      </c>
      <c r="H11984" t="s">
        <v>15799</v>
      </c>
      <c r="I11984" t="s">
        <v>31393</v>
      </c>
      <c r="J11984" t="s">
        <v>38825</v>
      </c>
      <c r="K11984" t="s">
        <v>40662</v>
      </c>
      <c r="L11984" t="s">
        <v>2463</v>
      </c>
      <c r="M11984" t="s">
        <v>43624</v>
      </c>
      <c r="N11984" t="s">
        <v>44905</v>
      </c>
      <c r="O11984" t="s">
        <v>44906</v>
      </c>
      <c r="P11984">
        <v>0</v>
      </c>
      <c r="Q11984">
        <v>14</v>
      </c>
      <c r="R11984" t="s">
        <v>44917</v>
      </c>
      <c r="S11984" t="s">
        <v>45386</v>
      </c>
      <c r="T11984" t="s">
        <v>46418</v>
      </c>
      <c r="U11984" t="s">
        <v>56508</v>
      </c>
      <c r="W11984" t="s">
        <v>43624</v>
      </c>
      <c r="X11984" t="s">
        <v>44918</v>
      </c>
    </row>
    <row r="11985" spans="1:24">
      <c r="A11985">
        <f>HYPERLINK("https://www.philgeps.gov.ph/GEPSNONPILOT/Tender/SplashBidNoticeAbstractUI.aspx?menuIndex=3&amp;refID=7061201&amp;Result=3","7061201")</f>
        <v>0</v>
      </c>
      <c r="B11985" t="s">
        <v>1441</v>
      </c>
      <c r="C11985" t="s">
        <v>14967</v>
      </c>
      <c r="D11985" t="s">
        <v>18127</v>
      </c>
      <c r="E11985" t="s">
        <v>28589</v>
      </c>
      <c r="F11985" t="s">
        <v>31362</v>
      </c>
      <c r="G11985" t="s">
        <v>31369</v>
      </c>
      <c r="H11985" t="s">
        <v>31378</v>
      </c>
      <c r="I11985" t="s">
        <v>31392</v>
      </c>
      <c r="J11985" t="s">
        <v>38826</v>
      </c>
      <c r="K11985" t="s">
        <v>40696</v>
      </c>
      <c r="M11985" t="s">
        <v>42470</v>
      </c>
      <c r="N11985" t="s">
        <v>44905</v>
      </c>
      <c r="O11985" t="s">
        <v>44906</v>
      </c>
      <c r="P11985">
        <v>0</v>
      </c>
      <c r="Q11985">
        <v>0</v>
      </c>
      <c r="R11985" t="s">
        <v>44917</v>
      </c>
      <c r="S11985" t="s">
        <v>45386</v>
      </c>
      <c r="T11985" t="s">
        <v>46462</v>
      </c>
      <c r="U11985" t="s">
        <v>56509</v>
      </c>
      <c r="W11985" t="s">
        <v>42470</v>
      </c>
      <c r="X11985" t="s">
        <v>44918</v>
      </c>
    </row>
    <row r="11986" spans="1:24">
      <c r="A11986">
        <f>HYPERLINK("https://www.philgeps.gov.ph/GEPSNONPILOT/Tender/SplashBidNoticeAbstractUI.aspx?menuIndex=3&amp;refID=7061328&amp;Result=3","7061328")</f>
        <v>0</v>
      </c>
      <c r="B11986" t="s">
        <v>2448</v>
      </c>
      <c r="C11986" t="s">
        <v>14968</v>
      </c>
      <c r="D11986" t="s">
        <v>18108</v>
      </c>
      <c r="E11986" t="s">
        <v>28590</v>
      </c>
      <c r="F11986" t="s">
        <v>31362</v>
      </c>
      <c r="G11986" t="s">
        <v>31369</v>
      </c>
      <c r="H11986" t="s">
        <v>15799</v>
      </c>
      <c r="I11986" t="s">
        <v>31400</v>
      </c>
      <c r="J11986" t="s">
        <v>37674</v>
      </c>
      <c r="K11986" t="s">
        <v>40682</v>
      </c>
      <c r="M11986" t="s">
        <v>43607</v>
      </c>
      <c r="N11986" t="s">
        <v>44905</v>
      </c>
      <c r="O11986" t="s">
        <v>44906</v>
      </c>
      <c r="P11986">
        <v>0</v>
      </c>
      <c r="Q11986">
        <v>16</v>
      </c>
      <c r="R11986" t="s">
        <v>44917</v>
      </c>
      <c r="S11986" t="s">
        <v>45386</v>
      </c>
      <c r="T11986" t="s">
        <v>46618</v>
      </c>
      <c r="U11986" t="s">
        <v>56510</v>
      </c>
      <c r="V11986" t="s">
        <v>59873</v>
      </c>
      <c r="W11986" t="s">
        <v>43607</v>
      </c>
      <c r="X11986" t="s">
        <v>44918</v>
      </c>
    </row>
    <row r="11987" spans="1:24">
      <c r="A11987">
        <f>HYPERLINK("https://www.philgeps.gov.ph/GEPSNONPILOT/Tender/SplashBidNoticeAbstractUI.aspx?menuIndex=3&amp;refID=7061278&amp;Result=3","7061278")</f>
        <v>0</v>
      </c>
      <c r="B11987" t="s">
        <v>665</v>
      </c>
      <c r="C11987" t="s">
        <v>14969</v>
      </c>
      <c r="D11987" t="s">
        <v>18139</v>
      </c>
      <c r="E11987" t="s">
        <v>28591</v>
      </c>
      <c r="F11987" t="s">
        <v>31362</v>
      </c>
      <c r="G11987" t="s">
        <v>31369</v>
      </c>
      <c r="H11987" t="s">
        <v>15799</v>
      </c>
      <c r="I11987" t="s">
        <v>31430</v>
      </c>
      <c r="J11987" t="s">
        <v>38827</v>
      </c>
      <c r="K11987" t="s">
        <v>40665</v>
      </c>
      <c r="M11987" t="s">
        <v>44150</v>
      </c>
      <c r="N11987" t="s">
        <v>44905</v>
      </c>
      <c r="O11987" t="s">
        <v>44906</v>
      </c>
      <c r="Q11987">
        <v>2</v>
      </c>
      <c r="R11987" t="s">
        <v>44917</v>
      </c>
      <c r="S11987" t="s">
        <v>45435</v>
      </c>
      <c r="T11987" t="s">
        <v>46566</v>
      </c>
      <c r="U11987" t="s">
        <v>56511</v>
      </c>
      <c r="W11987" t="s">
        <v>44150</v>
      </c>
      <c r="X11987" t="s">
        <v>44918</v>
      </c>
    </row>
    <row r="11988" spans="1:24">
      <c r="A11988">
        <f>HYPERLINK("https://www.philgeps.gov.ph/GEPSNONPILOT/Tender/SplashBidNoticeAbstractUI.aspx?menuIndex=3&amp;refID=7061337&amp;Result=3","7061337")</f>
        <v>0</v>
      </c>
      <c r="B11988" t="s">
        <v>2927</v>
      </c>
      <c r="C11988" t="s">
        <v>14970</v>
      </c>
      <c r="D11988" t="s">
        <v>18148</v>
      </c>
      <c r="E11988" t="s">
        <v>23461</v>
      </c>
      <c r="F11988" t="s">
        <v>31365</v>
      </c>
      <c r="G11988" t="s">
        <v>31369</v>
      </c>
      <c r="H11988" t="s">
        <v>31378</v>
      </c>
      <c r="I11988" t="s">
        <v>31439</v>
      </c>
      <c r="J11988" t="s">
        <v>31536</v>
      </c>
      <c r="K11988" t="s">
        <v>40677</v>
      </c>
      <c r="M11988" t="s">
        <v>44144</v>
      </c>
      <c r="N11988" t="s">
        <v>44905</v>
      </c>
      <c r="O11988" t="s">
        <v>44906</v>
      </c>
      <c r="P11988">
        <v>0</v>
      </c>
      <c r="Q11988">
        <v>0</v>
      </c>
      <c r="R11988" t="s">
        <v>44917</v>
      </c>
      <c r="S11988" t="s">
        <v>45386</v>
      </c>
      <c r="T11988" t="s">
        <v>46400</v>
      </c>
      <c r="U11988" t="s">
        <v>56512</v>
      </c>
      <c r="W11988" t="s">
        <v>44144</v>
      </c>
      <c r="X11988" t="s">
        <v>44918</v>
      </c>
    </row>
    <row r="11989" spans="1:24">
      <c r="A11989">
        <f>HYPERLINK("https://www.philgeps.gov.ph/GEPSNONPILOT/Tender/SplashBidNoticeAbstractUI.aspx?menuIndex=3&amp;refID=7061330&amp;Result=3","7061330")</f>
        <v>0</v>
      </c>
      <c r="B11989" t="s">
        <v>3168</v>
      </c>
      <c r="C11989" t="s">
        <v>14971</v>
      </c>
      <c r="D11989" t="s">
        <v>18113</v>
      </c>
      <c r="E11989" t="s">
        <v>28592</v>
      </c>
      <c r="F11989" t="s">
        <v>31362</v>
      </c>
      <c r="G11989" t="s">
        <v>31369</v>
      </c>
      <c r="H11989" t="s">
        <v>15799</v>
      </c>
      <c r="I11989" t="s">
        <v>31427</v>
      </c>
      <c r="J11989" t="s">
        <v>38828</v>
      </c>
      <c r="K11989" t="s">
        <v>40675</v>
      </c>
      <c r="M11989" t="s">
        <v>44432</v>
      </c>
      <c r="N11989" t="s">
        <v>44905</v>
      </c>
      <c r="O11989" t="s">
        <v>44906</v>
      </c>
      <c r="Q11989">
        <v>12</v>
      </c>
      <c r="R11989" t="s">
        <v>44917</v>
      </c>
      <c r="S11989" t="s">
        <v>45329</v>
      </c>
      <c r="T11989" t="s">
        <v>46452</v>
      </c>
      <c r="U11989" t="s">
        <v>56513</v>
      </c>
      <c r="W11989" t="s">
        <v>44432</v>
      </c>
      <c r="X11989" t="s">
        <v>44918</v>
      </c>
    </row>
    <row r="11990" spans="1:24">
      <c r="A11990">
        <f>HYPERLINK("https://www.philgeps.gov.ph/GEPSNONPILOT/Tender/SplashBidNoticeAbstractUI.aspx?menuIndex=3&amp;refID=7061323&amp;Result=3","7061323")</f>
        <v>0</v>
      </c>
      <c r="B11990" t="s">
        <v>3168</v>
      </c>
      <c r="C11990" t="s">
        <v>14972</v>
      </c>
      <c r="D11990" t="s">
        <v>18113</v>
      </c>
      <c r="E11990" t="s">
        <v>28593</v>
      </c>
      <c r="F11990" t="s">
        <v>31362</v>
      </c>
      <c r="G11990" t="s">
        <v>31369</v>
      </c>
      <c r="H11990" t="s">
        <v>15799</v>
      </c>
      <c r="I11990" t="s">
        <v>31427</v>
      </c>
      <c r="J11990" t="s">
        <v>38829</v>
      </c>
      <c r="K11990" t="s">
        <v>40675</v>
      </c>
      <c r="M11990" t="s">
        <v>44432</v>
      </c>
      <c r="N11990" t="s">
        <v>44905</v>
      </c>
      <c r="O11990" t="s">
        <v>44906</v>
      </c>
      <c r="Q11990">
        <v>14</v>
      </c>
      <c r="R11990" t="s">
        <v>44917</v>
      </c>
      <c r="S11990" t="s">
        <v>45331</v>
      </c>
      <c r="T11990" t="s">
        <v>46452</v>
      </c>
      <c r="U11990" t="s">
        <v>56514</v>
      </c>
      <c r="W11990" t="s">
        <v>44432</v>
      </c>
      <c r="X11990" t="s">
        <v>44918</v>
      </c>
    </row>
    <row r="11991" spans="1:24">
      <c r="A11991">
        <f>HYPERLINK("https://www.philgeps.gov.ph/GEPSNONPILOT/Tender/SplashBidNoticeAbstractUI.aspx?menuIndex=3&amp;refID=7061338&amp;Result=3","7061338")</f>
        <v>0</v>
      </c>
      <c r="B11991" t="s">
        <v>3168</v>
      </c>
      <c r="C11991" t="s">
        <v>14973</v>
      </c>
      <c r="D11991" t="s">
        <v>18113</v>
      </c>
      <c r="E11991" t="s">
        <v>28594</v>
      </c>
      <c r="F11991" t="s">
        <v>31362</v>
      </c>
      <c r="G11991" t="s">
        <v>31369</v>
      </c>
      <c r="H11991" t="s">
        <v>15799</v>
      </c>
      <c r="I11991" t="s">
        <v>31436</v>
      </c>
      <c r="J11991" t="s">
        <v>31950</v>
      </c>
      <c r="K11991" t="s">
        <v>40876</v>
      </c>
      <c r="M11991" t="s">
        <v>44432</v>
      </c>
      <c r="N11991" t="s">
        <v>44905</v>
      </c>
      <c r="O11991" t="s">
        <v>44906</v>
      </c>
      <c r="Q11991">
        <v>4</v>
      </c>
      <c r="R11991" t="s">
        <v>44917</v>
      </c>
      <c r="S11991" t="s">
        <v>45436</v>
      </c>
      <c r="T11991" t="s">
        <v>46452</v>
      </c>
      <c r="U11991" t="s">
        <v>56515</v>
      </c>
      <c r="W11991" t="s">
        <v>44432</v>
      </c>
      <c r="X11991" t="s">
        <v>44918</v>
      </c>
    </row>
    <row r="11992" spans="1:24">
      <c r="A11992">
        <f>HYPERLINK("https://www.philgeps.gov.ph/GEPSNONPILOT/Tender/SplashBidNoticeAbstractUI.aspx?menuIndex=3&amp;refID=7061256&amp;Result=3","7061256")</f>
        <v>0</v>
      </c>
      <c r="B11992" t="s">
        <v>81</v>
      </c>
      <c r="C11992" t="s">
        <v>14974</v>
      </c>
      <c r="E11992" t="s">
        <v>28595</v>
      </c>
      <c r="F11992" t="s">
        <v>31362</v>
      </c>
      <c r="G11992" t="s">
        <v>31372</v>
      </c>
      <c r="H11992" t="s">
        <v>31378</v>
      </c>
      <c r="I11992" t="s">
        <v>31386</v>
      </c>
      <c r="J11992" t="s">
        <v>38830</v>
      </c>
      <c r="K11992" t="s">
        <v>40662</v>
      </c>
      <c r="M11992" t="s">
        <v>41999</v>
      </c>
      <c r="N11992" t="s">
        <v>44905</v>
      </c>
      <c r="O11992" t="s">
        <v>44906</v>
      </c>
      <c r="Q11992">
        <v>2</v>
      </c>
      <c r="R11992" t="s">
        <v>44917</v>
      </c>
      <c r="S11992" t="s">
        <v>45437</v>
      </c>
      <c r="T11992" t="s">
        <v>46553</v>
      </c>
      <c r="U11992" t="s">
        <v>56516</v>
      </c>
      <c r="V11992" t="s">
        <v>60334</v>
      </c>
      <c r="W11992" t="s">
        <v>41999</v>
      </c>
      <c r="X11992" t="s">
        <v>44918</v>
      </c>
    </row>
    <row r="11993" spans="1:24">
      <c r="A11993">
        <f>HYPERLINK("https://www.philgeps.gov.ph/GEPSNONPILOT/Tender/SplashBidNoticeAbstractUI.aspx?menuIndex=3&amp;refID=7061265&amp;Result=3","7061265")</f>
        <v>0</v>
      </c>
      <c r="B11993" t="s">
        <v>81</v>
      </c>
      <c r="C11993" t="s">
        <v>14975</v>
      </c>
      <c r="E11993" t="s">
        <v>28596</v>
      </c>
      <c r="F11993" t="s">
        <v>31362</v>
      </c>
      <c r="G11993" t="s">
        <v>31369</v>
      </c>
      <c r="H11993" t="s">
        <v>31378</v>
      </c>
      <c r="I11993" t="s">
        <v>31386</v>
      </c>
      <c r="J11993" t="s">
        <v>38831</v>
      </c>
      <c r="K11993" t="s">
        <v>40662</v>
      </c>
      <c r="M11993" t="s">
        <v>41999</v>
      </c>
      <c r="N11993" t="s">
        <v>44905</v>
      </c>
      <c r="O11993" t="s">
        <v>44906</v>
      </c>
      <c r="Q11993">
        <v>2</v>
      </c>
      <c r="R11993" t="s">
        <v>44917</v>
      </c>
      <c r="S11993" t="s">
        <v>45438</v>
      </c>
      <c r="T11993" t="s">
        <v>46533</v>
      </c>
      <c r="U11993" t="s">
        <v>56517</v>
      </c>
      <c r="W11993" t="s">
        <v>41999</v>
      </c>
      <c r="X11993" t="s">
        <v>44918</v>
      </c>
    </row>
    <row r="11994" spans="1:24">
      <c r="A11994">
        <f>HYPERLINK("https://www.philgeps.gov.ph/GEPSNONPILOT/Tender/SplashBidNoticeAbstractUI.aspx?menuIndex=3&amp;refID=7061249&amp;Result=3","7061249")</f>
        <v>0</v>
      </c>
      <c r="B11994" t="s">
        <v>3169</v>
      </c>
      <c r="C11994" t="s">
        <v>14976</v>
      </c>
      <c r="D11994" t="s">
        <v>18146</v>
      </c>
      <c r="E11994" t="s">
        <v>28597</v>
      </c>
      <c r="F11994" t="s">
        <v>31362</v>
      </c>
      <c r="G11994" t="s">
        <v>31369</v>
      </c>
      <c r="H11994" t="s">
        <v>15799</v>
      </c>
      <c r="I11994" t="s">
        <v>31385</v>
      </c>
      <c r="J11994" t="s">
        <v>38832</v>
      </c>
      <c r="K11994" t="s">
        <v>40665</v>
      </c>
      <c r="L11994" t="s">
        <v>3169</v>
      </c>
      <c r="M11994" t="s">
        <v>44433</v>
      </c>
      <c r="N11994" t="s">
        <v>44905</v>
      </c>
      <c r="O11994" t="s">
        <v>44906</v>
      </c>
      <c r="P11994">
        <v>0</v>
      </c>
      <c r="Q11994">
        <v>4</v>
      </c>
      <c r="R11994" t="s">
        <v>44917</v>
      </c>
      <c r="S11994" t="s">
        <v>45386</v>
      </c>
      <c r="T11994" t="s">
        <v>46569</v>
      </c>
      <c r="U11994" t="s">
        <v>56518</v>
      </c>
      <c r="W11994" t="s">
        <v>44433</v>
      </c>
      <c r="X11994" t="s">
        <v>44918</v>
      </c>
    </row>
    <row r="11995" spans="1:24">
      <c r="A11995">
        <f>HYPERLINK("https://www.philgeps.gov.ph/GEPSNONPILOT/Tender/SplashBidNoticeAbstractUI.aspx?menuIndex=3&amp;refID=7061243&amp;Result=3","7061243")</f>
        <v>0</v>
      </c>
      <c r="B11995" t="s">
        <v>81</v>
      </c>
      <c r="C11995" t="s">
        <v>14977</v>
      </c>
      <c r="E11995" t="s">
        <v>28598</v>
      </c>
      <c r="F11995" t="s">
        <v>31362</v>
      </c>
      <c r="G11995" t="s">
        <v>31372</v>
      </c>
      <c r="H11995" t="s">
        <v>31378</v>
      </c>
      <c r="I11995" t="s">
        <v>31386</v>
      </c>
      <c r="J11995" t="s">
        <v>38833</v>
      </c>
      <c r="K11995" t="s">
        <v>40662</v>
      </c>
      <c r="M11995" t="s">
        <v>41999</v>
      </c>
      <c r="N11995" t="s">
        <v>44905</v>
      </c>
      <c r="O11995" t="s">
        <v>44906</v>
      </c>
      <c r="Q11995">
        <v>2</v>
      </c>
      <c r="R11995" t="s">
        <v>44917</v>
      </c>
      <c r="S11995" t="s">
        <v>45439</v>
      </c>
      <c r="T11995" t="s">
        <v>46392</v>
      </c>
      <c r="U11995" t="s">
        <v>56519</v>
      </c>
      <c r="V11995" t="s">
        <v>60334</v>
      </c>
      <c r="W11995" t="s">
        <v>41999</v>
      </c>
      <c r="X11995" t="s">
        <v>44918</v>
      </c>
    </row>
    <row r="11996" spans="1:24">
      <c r="A11996">
        <f>HYPERLINK("https://www.philgeps.gov.ph/GEPSNONPILOT/Tender/SplashBidNoticeAbstractUI.aspx?menuIndex=3&amp;refID=7061237&amp;Result=3","7061237")</f>
        <v>0</v>
      </c>
      <c r="B11996" t="s">
        <v>716</v>
      </c>
      <c r="C11996" t="s">
        <v>14978</v>
      </c>
      <c r="D11996" t="s">
        <v>18160</v>
      </c>
      <c r="E11996" t="s">
        <v>28599</v>
      </c>
      <c r="F11996" t="s">
        <v>31362</v>
      </c>
      <c r="G11996" t="s">
        <v>31369</v>
      </c>
      <c r="H11996" t="s">
        <v>15799</v>
      </c>
      <c r="I11996" t="s">
        <v>31399</v>
      </c>
      <c r="J11996" t="s">
        <v>33653</v>
      </c>
      <c r="K11996" t="s">
        <v>40665</v>
      </c>
      <c r="M11996" t="s">
        <v>43557</v>
      </c>
      <c r="N11996" t="s">
        <v>44905</v>
      </c>
      <c r="O11996" t="s">
        <v>44906</v>
      </c>
      <c r="Q11996">
        <v>8</v>
      </c>
      <c r="R11996" t="s">
        <v>44917</v>
      </c>
      <c r="S11996" t="s">
        <v>45440</v>
      </c>
      <c r="T11996" t="s">
        <v>46533</v>
      </c>
      <c r="U11996" t="s">
        <v>55637</v>
      </c>
      <c r="W11996" t="s">
        <v>60933</v>
      </c>
      <c r="X11996" t="s">
        <v>44918</v>
      </c>
    </row>
    <row r="11997" spans="1:24">
      <c r="A11997">
        <f>HYPERLINK("https://www.philgeps.gov.ph/GEPSNONPILOT/Tender/SplashBidNoticeAbstractUI.aspx?menuIndex=3&amp;refID=7061229&amp;Result=3","7061229")</f>
        <v>0</v>
      </c>
      <c r="B11997" t="s">
        <v>1483</v>
      </c>
      <c r="C11997" t="s">
        <v>14979</v>
      </c>
      <c r="D11997" t="s">
        <v>18131</v>
      </c>
      <c r="E11997" t="s">
        <v>28600</v>
      </c>
      <c r="F11997" t="s">
        <v>31362</v>
      </c>
      <c r="G11997" t="s">
        <v>31369</v>
      </c>
      <c r="H11997" t="s">
        <v>15799</v>
      </c>
      <c r="I11997" t="s">
        <v>31404</v>
      </c>
      <c r="J11997" t="s">
        <v>38834</v>
      </c>
      <c r="K11997" t="s">
        <v>40665</v>
      </c>
      <c r="M11997" t="s">
        <v>42520</v>
      </c>
      <c r="N11997" t="s">
        <v>44905</v>
      </c>
      <c r="O11997" t="s">
        <v>44906</v>
      </c>
      <c r="P11997">
        <v>0</v>
      </c>
      <c r="Q11997">
        <v>0</v>
      </c>
      <c r="R11997" t="s">
        <v>44917</v>
      </c>
      <c r="S11997" t="s">
        <v>45386</v>
      </c>
      <c r="T11997" t="s">
        <v>46481</v>
      </c>
      <c r="U11997" t="s">
        <v>56483</v>
      </c>
      <c r="V11997" t="s">
        <v>59468</v>
      </c>
      <c r="W11997" t="s">
        <v>42520</v>
      </c>
      <c r="X11997" t="s">
        <v>44918</v>
      </c>
    </row>
    <row r="11998" spans="1:24">
      <c r="A11998">
        <f>HYPERLINK("https://www.philgeps.gov.ph/GEPSNONPILOT/Tender/SplashBidNoticeAbstractUI.aspx?menuIndex=3&amp;refID=7061067&amp;Result=3","7061067")</f>
        <v>0</v>
      </c>
      <c r="B11998" t="s">
        <v>1258</v>
      </c>
      <c r="C11998" t="s">
        <v>14980</v>
      </c>
      <c r="D11998" t="s">
        <v>18110</v>
      </c>
      <c r="E11998" t="s">
        <v>28567</v>
      </c>
      <c r="F11998" t="s">
        <v>31362</v>
      </c>
      <c r="G11998" t="s">
        <v>31369</v>
      </c>
      <c r="H11998" t="s">
        <v>31379</v>
      </c>
      <c r="I11998" t="s">
        <v>31404</v>
      </c>
      <c r="J11998" t="s">
        <v>38835</v>
      </c>
      <c r="K11998" t="s">
        <v>40712</v>
      </c>
      <c r="M11998" t="s">
        <v>42274</v>
      </c>
      <c r="N11998" t="s">
        <v>44905</v>
      </c>
      <c r="O11998" t="s">
        <v>44906</v>
      </c>
      <c r="P11998">
        <v>0</v>
      </c>
      <c r="Q11998">
        <v>0</v>
      </c>
      <c r="R11998" t="s">
        <v>44917</v>
      </c>
      <c r="S11998" t="s">
        <v>45386</v>
      </c>
      <c r="T11998" t="s">
        <v>46560</v>
      </c>
      <c r="U11998" t="s">
        <v>56520</v>
      </c>
      <c r="W11998" t="s">
        <v>42274</v>
      </c>
      <c r="X11998" t="s">
        <v>44918</v>
      </c>
    </row>
    <row r="11999" spans="1:24">
      <c r="A11999">
        <f>HYPERLINK("https://www.philgeps.gov.ph/GEPSNONPILOT/Tender/SplashBidNoticeAbstractUI.aspx?menuIndex=3&amp;refID=7061429&amp;Result=3","7061429")</f>
        <v>0</v>
      </c>
      <c r="B11999" t="s">
        <v>854</v>
      </c>
      <c r="C11999" t="s">
        <v>14981</v>
      </c>
      <c r="D11999" t="s">
        <v>18147</v>
      </c>
      <c r="E11999" t="s">
        <v>28601</v>
      </c>
      <c r="F11999" t="s">
        <v>31362</v>
      </c>
      <c r="G11999" t="s">
        <v>31369</v>
      </c>
      <c r="H11999" t="s">
        <v>31378</v>
      </c>
      <c r="I11999" t="s">
        <v>31386</v>
      </c>
      <c r="J11999" t="s">
        <v>38836</v>
      </c>
      <c r="K11999" t="s">
        <v>40686</v>
      </c>
      <c r="M11999" t="s">
        <v>41830</v>
      </c>
      <c r="N11999" t="s">
        <v>44905</v>
      </c>
      <c r="O11999" t="s">
        <v>44906</v>
      </c>
      <c r="P11999">
        <v>0</v>
      </c>
      <c r="Q11999">
        <v>0</v>
      </c>
      <c r="R11999" t="s">
        <v>44917</v>
      </c>
      <c r="S11999" t="s">
        <v>45386</v>
      </c>
      <c r="T11999" t="s">
        <v>46452</v>
      </c>
      <c r="U11999" t="s">
        <v>56521</v>
      </c>
      <c r="W11999" t="s">
        <v>41830</v>
      </c>
      <c r="X11999" t="s">
        <v>44918</v>
      </c>
    </row>
    <row r="12000" spans="1:24">
      <c r="A12000">
        <f>HYPERLINK("https://www.philgeps.gov.ph/GEPSNONPILOT/Tender/SplashBidNoticeAbstractUI.aspx?menuIndex=3&amp;refID=7061426&amp;Result=3","7061426")</f>
        <v>0</v>
      </c>
      <c r="B12000" t="s">
        <v>1215</v>
      </c>
      <c r="C12000" t="s">
        <v>14982</v>
      </c>
      <c r="D12000" t="s">
        <v>18108</v>
      </c>
      <c r="E12000" t="s">
        <v>28602</v>
      </c>
      <c r="F12000" t="s">
        <v>31362</v>
      </c>
      <c r="G12000" t="s">
        <v>31368</v>
      </c>
      <c r="H12000" t="s">
        <v>15799</v>
      </c>
      <c r="I12000" t="s">
        <v>31430</v>
      </c>
      <c r="J12000" t="s">
        <v>31943</v>
      </c>
      <c r="K12000" t="s">
        <v>40665</v>
      </c>
      <c r="M12000" t="s">
        <v>42228</v>
      </c>
      <c r="N12000" t="s">
        <v>44905</v>
      </c>
      <c r="O12000" t="s">
        <v>44906</v>
      </c>
      <c r="Q12000">
        <v>3</v>
      </c>
      <c r="R12000" t="s">
        <v>44917</v>
      </c>
      <c r="S12000" t="s">
        <v>45441</v>
      </c>
      <c r="T12000" t="s">
        <v>46432</v>
      </c>
      <c r="U12000" t="s">
        <v>56522</v>
      </c>
      <c r="W12000" t="s">
        <v>42228</v>
      </c>
      <c r="X12000" t="s">
        <v>44918</v>
      </c>
    </row>
    <row r="12001" spans="1:24">
      <c r="A12001">
        <f>HYPERLINK("https://www.philgeps.gov.ph/GEPSNONPILOT/Tender/SplashBidNoticeAbstractUI.aspx?menuIndex=3&amp;refID=7061422&amp;Result=3","7061422")</f>
        <v>0</v>
      </c>
      <c r="B12001" t="s">
        <v>1174</v>
      </c>
      <c r="C12001" t="s">
        <v>14983</v>
      </c>
      <c r="D12001" t="s">
        <v>18127</v>
      </c>
      <c r="E12001" t="s">
        <v>28603</v>
      </c>
      <c r="F12001" t="s">
        <v>31362</v>
      </c>
      <c r="G12001" t="s">
        <v>31369</v>
      </c>
      <c r="H12001" t="s">
        <v>31378</v>
      </c>
      <c r="I12001" t="s">
        <v>31443</v>
      </c>
      <c r="J12001" t="s">
        <v>38837</v>
      </c>
      <c r="K12001" t="s">
        <v>40786</v>
      </c>
      <c r="M12001" t="s">
        <v>43941</v>
      </c>
      <c r="N12001" t="s">
        <v>44905</v>
      </c>
      <c r="O12001" t="s">
        <v>44906</v>
      </c>
      <c r="P12001">
        <v>0</v>
      </c>
      <c r="Q12001">
        <v>0</v>
      </c>
      <c r="R12001" t="s">
        <v>44917</v>
      </c>
      <c r="S12001" t="s">
        <v>45386</v>
      </c>
      <c r="T12001" t="s">
        <v>46694</v>
      </c>
      <c r="U12001" t="s">
        <v>56523</v>
      </c>
      <c r="W12001" t="s">
        <v>43941</v>
      </c>
      <c r="X12001" t="s">
        <v>44918</v>
      </c>
    </row>
    <row r="12002" spans="1:24">
      <c r="A12002">
        <f>HYPERLINK("https://www.philgeps.gov.ph/GEPSNONPILOT/Tender/SplashBidNoticeAbstractUI.aspx?menuIndex=3&amp;refID=7061398&amp;Result=3","7061398")</f>
        <v>0</v>
      </c>
      <c r="B12002" t="s">
        <v>2864</v>
      </c>
      <c r="C12002" t="s">
        <v>14984</v>
      </c>
      <c r="D12002" t="s">
        <v>18135</v>
      </c>
      <c r="E12002" t="s">
        <v>28604</v>
      </c>
      <c r="F12002" t="s">
        <v>31362</v>
      </c>
      <c r="G12002" t="s">
        <v>31369</v>
      </c>
      <c r="H12002" t="s">
        <v>15799</v>
      </c>
      <c r="I12002" t="s">
        <v>3815</v>
      </c>
      <c r="J12002" t="s">
        <v>38838</v>
      </c>
      <c r="K12002" t="s">
        <v>40682</v>
      </c>
      <c r="M12002" t="s">
        <v>44068</v>
      </c>
      <c r="N12002" t="s">
        <v>44905</v>
      </c>
      <c r="O12002" t="s">
        <v>44906</v>
      </c>
      <c r="P12002">
        <v>0</v>
      </c>
      <c r="Q12002">
        <v>0</v>
      </c>
      <c r="R12002" t="s">
        <v>44917</v>
      </c>
      <c r="S12002" t="s">
        <v>45386</v>
      </c>
      <c r="T12002" t="s">
        <v>46435</v>
      </c>
      <c r="U12002" t="s">
        <v>56524</v>
      </c>
      <c r="W12002" t="s">
        <v>44068</v>
      </c>
      <c r="X12002" t="s">
        <v>44918</v>
      </c>
    </row>
    <row r="12003" spans="1:24">
      <c r="A12003">
        <f>HYPERLINK("https://www.philgeps.gov.ph/GEPSNONPILOT/Tender/SplashBidNoticeAbstractUI.aspx?menuIndex=3&amp;refID=7061324&amp;Result=3","7061324")</f>
        <v>0</v>
      </c>
      <c r="B12003" t="s">
        <v>1831</v>
      </c>
      <c r="C12003" t="s">
        <v>14985</v>
      </c>
      <c r="D12003" t="s">
        <v>18167</v>
      </c>
      <c r="E12003" t="s">
        <v>28605</v>
      </c>
      <c r="F12003" t="s">
        <v>31362</v>
      </c>
      <c r="G12003" t="s">
        <v>31369</v>
      </c>
      <c r="H12003" t="s">
        <v>31378</v>
      </c>
      <c r="I12003" t="s">
        <v>31386</v>
      </c>
      <c r="J12003" t="s">
        <v>31641</v>
      </c>
      <c r="K12003" t="s">
        <v>40665</v>
      </c>
      <c r="M12003" t="s">
        <v>42917</v>
      </c>
      <c r="N12003" t="s">
        <v>44905</v>
      </c>
      <c r="O12003" t="s">
        <v>44906</v>
      </c>
      <c r="P12003">
        <v>0</v>
      </c>
      <c r="Q12003">
        <v>0</v>
      </c>
      <c r="R12003" t="s">
        <v>44917</v>
      </c>
      <c r="S12003" t="s">
        <v>45386</v>
      </c>
      <c r="T12003" t="s">
        <v>46533</v>
      </c>
      <c r="U12003" t="s">
        <v>56525</v>
      </c>
      <c r="W12003" t="s">
        <v>42917</v>
      </c>
      <c r="X12003" t="s">
        <v>44918</v>
      </c>
    </row>
    <row r="12004" spans="1:24">
      <c r="A12004">
        <f>HYPERLINK("https://www.philgeps.gov.ph/GEPSNONPILOT/Tender/SplashBidNoticeAbstractUI.aspx?menuIndex=3&amp;refID=7061394&amp;Result=3","7061394")</f>
        <v>0</v>
      </c>
      <c r="B12004" t="s">
        <v>2864</v>
      </c>
      <c r="C12004" t="s">
        <v>14986</v>
      </c>
      <c r="D12004" t="s">
        <v>18135</v>
      </c>
      <c r="E12004" t="s">
        <v>28606</v>
      </c>
      <c r="F12004" t="s">
        <v>31362</v>
      </c>
      <c r="G12004" t="s">
        <v>31369</v>
      </c>
      <c r="H12004" t="s">
        <v>15799</v>
      </c>
      <c r="I12004" t="s">
        <v>3815</v>
      </c>
      <c r="J12004" t="s">
        <v>38839</v>
      </c>
      <c r="K12004" t="s">
        <v>40682</v>
      </c>
      <c r="M12004" t="s">
        <v>44068</v>
      </c>
      <c r="N12004" t="s">
        <v>44905</v>
      </c>
      <c r="O12004" t="s">
        <v>44906</v>
      </c>
      <c r="P12004">
        <v>0</v>
      </c>
      <c r="Q12004">
        <v>0</v>
      </c>
      <c r="R12004" t="s">
        <v>44917</v>
      </c>
      <c r="S12004" t="s">
        <v>45386</v>
      </c>
      <c r="T12004" t="s">
        <v>46435</v>
      </c>
      <c r="U12004" t="s">
        <v>56524</v>
      </c>
      <c r="W12004" t="s">
        <v>44068</v>
      </c>
      <c r="X12004" t="s">
        <v>44918</v>
      </c>
    </row>
    <row r="12005" spans="1:24">
      <c r="A12005">
        <f>HYPERLINK("https://www.philgeps.gov.ph/GEPSNONPILOT/Tender/SplashBidNoticeAbstractUI.aspx?menuIndex=3&amp;refID=7061391&amp;Result=3","7061391")</f>
        <v>0</v>
      </c>
      <c r="B12005" t="s">
        <v>1215</v>
      </c>
      <c r="C12005" t="s">
        <v>14987</v>
      </c>
      <c r="D12005" t="s">
        <v>18108</v>
      </c>
      <c r="E12005" t="s">
        <v>28607</v>
      </c>
      <c r="F12005" t="s">
        <v>31362</v>
      </c>
      <c r="G12005" t="s">
        <v>31368</v>
      </c>
      <c r="H12005" t="s">
        <v>15799</v>
      </c>
      <c r="I12005" t="s">
        <v>31430</v>
      </c>
      <c r="J12005" t="s">
        <v>38840</v>
      </c>
      <c r="K12005" t="s">
        <v>40665</v>
      </c>
      <c r="M12005" t="s">
        <v>42228</v>
      </c>
      <c r="N12005" t="s">
        <v>44905</v>
      </c>
      <c r="O12005" t="s">
        <v>44906</v>
      </c>
      <c r="Q12005">
        <v>0</v>
      </c>
      <c r="R12005" t="s">
        <v>44917</v>
      </c>
      <c r="S12005" t="s">
        <v>45442</v>
      </c>
      <c r="T12005" t="s">
        <v>46432</v>
      </c>
      <c r="U12005" t="s">
        <v>56526</v>
      </c>
      <c r="W12005" t="s">
        <v>42228</v>
      </c>
      <c r="X12005" t="s">
        <v>44918</v>
      </c>
    </row>
    <row r="12006" spans="1:24">
      <c r="A12006">
        <f>HYPERLINK("https://www.philgeps.gov.ph/GEPSNONPILOT/Tender/SplashBidNoticeAbstractUI.aspx?menuIndex=3&amp;refID=7061289&amp;Result=3","7061289")</f>
        <v>0</v>
      </c>
      <c r="B12006" t="s">
        <v>665</v>
      </c>
      <c r="C12006" t="s">
        <v>6054</v>
      </c>
      <c r="D12006" t="s">
        <v>18139</v>
      </c>
      <c r="E12006" t="s">
        <v>26662</v>
      </c>
      <c r="F12006" t="s">
        <v>31362</v>
      </c>
      <c r="G12006" t="s">
        <v>31369</v>
      </c>
      <c r="H12006" t="s">
        <v>15799</v>
      </c>
      <c r="I12006" t="s">
        <v>7719</v>
      </c>
      <c r="J12006" t="s">
        <v>38841</v>
      </c>
      <c r="K12006" t="s">
        <v>40679</v>
      </c>
      <c r="M12006" t="s">
        <v>44163</v>
      </c>
      <c r="N12006" t="s">
        <v>44905</v>
      </c>
      <c r="O12006" t="s">
        <v>44906</v>
      </c>
      <c r="P12006">
        <v>0</v>
      </c>
      <c r="Q12006">
        <v>18</v>
      </c>
      <c r="R12006" t="s">
        <v>44917</v>
      </c>
      <c r="S12006" t="s">
        <v>45386</v>
      </c>
      <c r="T12006" t="s">
        <v>46418</v>
      </c>
      <c r="U12006" t="s">
        <v>56527</v>
      </c>
      <c r="W12006" t="s">
        <v>44163</v>
      </c>
      <c r="X12006" t="s">
        <v>44918</v>
      </c>
    </row>
    <row r="12007" spans="1:24">
      <c r="A12007">
        <f>HYPERLINK("https://www.philgeps.gov.ph/GEPSNONPILOT/Tender/SplashBidNoticeAbstractUI.aspx?menuIndex=3&amp;refID=7061390&amp;Result=3","7061390")</f>
        <v>0</v>
      </c>
      <c r="B12007" t="s">
        <v>2864</v>
      </c>
      <c r="C12007" t="s">
        <v>14988</v>
      </c>
      <c r="D12007" t="s">
        <v>18135</v>
      </c>
      <c r="E12007" t="s">
        <v>28608</v>
      </c>
      <c r="F12007" t="s">
        <v>31362</v>
      </c>
      <c r="G12007" t="s">
        <v>31369</v>
      </c>
      <c r="H12007" t="s">
        <v>15799</v>
      </c>
      <c r="I12007" t="s">
        <v>7188</v>
      </c>
      <c r="J12007" t="s">
        <v>38842</v>
      </c>
      <c r="K12007" t="s">
        <v>40665</v>
      </c>
      <c r="M12007" t="s">
        <v>44068</v>
      </c>
      <c r="N12007" t="s">
        <v>44905</v>
      </c>
      <c r="O12007" t="s">
        <v>44906</v>
      </c>
      <c r="P12007">
        <v>0</v>
      </c>
      <c r="Q12007">
        <v>2</v>
      </c>
      <c r="R12007" t="s">
        <v>44917</v>
      </c>
      <c r="S12007" t="s">
        <v>45386</v>
      </c>
      <c r="T12007" t="s">
        <v>46435</v>
      </c>
      <c r="U12007" t="s">
        <v>56524</v>
      </c>
      <c r="W12007" t="s">
        <v>44068</v>
      </c>
      <c r="X12007" t="s">
        <v>44918</v>
      </c>
    </row>
    <row r="12008" spans="1:24">
      <c r="A12008">
        <f>HYPERLINK("https://www.philgeps.gov.ph/GEPSNONPILOT/Tender/SplashBidNoticeAbstractUI.aspx?menuIndex=3&amp;refID=7061388&amp;Result=3","7061388")</f>
        <v>0</v>
      </c>
      <c r="B12008" t="s">
        <v>2864</v>
      </c>
      <c r="C12008" t="s">
        <v>14989</v>
      </c>
      <c r="D12008" t="s">
        <v>18135</v>
      </c>
      <c r="E12008" t="s">
        <v>28609</v>
      </c>
      <c r="F12008" t="s">
        <v>31362</v>
      </c>
      <c r="G12008" t="s">
        <v>31369</v>
      </c>
      <c r="H12008" t="s">
        <v>15799</v>
      </c>
      <c r="I12008" t="s">
        <v>31430</v>
      </c>
      <c r="J12008" t="s">
        <v>38843</v>
      </c>
      <c r="K12008" t="s">
        <v>40666</v>
      </c>
      <c r="M12008" t="s">
        <v>44068</v>
      </c>
      <c r="N12008" t="s">
        <v>44905</v>
      </c>
      <c r="O12008" t="s">
        <v>44906</v>
      </c>
      <c r="P12008">
        <v>0</v>
      </c>
      <c r="Q12008">
        <v>2</v>
      </c>
      <c r="R12008" t="s">
        <v>44917</v>
      </c>
      <c r="S12008" t="s">
        <v>45386</v>
      </c>
      <c r="T12008" t="s">
        <v>46435</v>
      </c>
      <c r="U12008" t="s">
        <v>56524</v>
      </c>
      <c r="W12008" t="s">
        <v>44068</v>
      </c>
      <c r="X12008" t="s">
        <v>44918</v>
      </c>
    </row>
    <row r="12009" spans="1:24">
      <c r="A12009">
        <f>HYPERLINK("https://www.philgeps.gov.ph/GEPSNONPILOT/Tender/SplashBidNoticeAbstractUI.aspx?menuIndex=3&amp;refID=7061382&amp;Result=3","7061382")</f>
        <v>0</v>
      </c>
      <c r="B12009" t="s">
        <v>2864</v>
      </c>
      <c r="C12009" t="s">
        <v>14990</v>
      </c>
      <c r="D12009" t="s">
        <v>18135</v>
      </c>
      <c r="E12009" t="s">
        <v>28610</v>
      </c>
      <c r="F12009" t="s">
        <v>31362</v>
      </c>
      <c r="G12009" t="s">
        <v>31369</v>
      </c>
      <c r="H12009" t="s">
        <v>15799</v>
      </c>
      <c r="I12009" t="s">
        <v>3815</v>
      </c>
      <c r="J12009" t="s">
        <v>38844</v>
      </c>
      <c r="K12009" t="s">
        <v>40666</v>
      </c>
      <c r="M12009" t="s">
        <v>44068</v>
      </c>
      <c r="N12009" t="s">
        <v>44905</v>
      </c>
      <c r="O12009" t="s">
        <v>44906</v>
      </c>
      <c r="P12009">
        <v>0</v>
      </c>
      <c r="Q12009">
        <v>0</v>
      </c>
      <c r="R12009" t="s">
        <v>44917</v>
      </c>
      <c r="S12009" t="s">
        <v>45386</v>
      </c>
      <c r="T12009" t="s">
        <v>46435</v>
      </c>
      <c r="U12009" t="s">
        <v>56524</v>
      </c>
      <c r="W12009" t="s">
        <v>44068</v>
      </c>
      <c r="X12009" t="s">
        <v>44918</v>
      </c>
    </row>
    <row r="12010" spans="1:24">
      <c r="A12010">
        <f>HYPERLINK("https://www.philgeps.gov.ph/GEPSNONPILOT/Tender/SplashBidNoticeAbstractUI.aspx?menuIndex=3&amp;refID=7061401&amp;Result=3","7061401")</f>
        <v>0</v>
      </c>
      <c r="B12010" t="s">
        <v>854</v>
      </c>
      <c r="C12010" t="s">
        <v>14991</v>
      </c>
      <c r="D12010" t="s">
        <v>18147</v>
      </c>
      <c r="E12010" t="s">
        <v>20166</v>
      </c>
      <c r="F12010" t="s">
        <v>31362</v>
      </c>
      <c r="G12010" t="s">
        <v>31369</v>
      </c>
      <c r="H12010" t="s">
        <v>15799</v>
      </c>
      <c r="I12010" t="s">
        <v>3815</v>
      </c>
      <c r="J12010" t="s">
        <v>38845</v>
      </c>
      <c r="K12010" t="s">
        <v>40666</v>
      </c>
      <c r="M12010" t="s">
        <v>41830</v>
      </c>
      <c r="N12010" t="s">
        <v>44905</v>
      </c>
      <c r="O12010" t="s">
        <v>44906</v>
      </c>
      <c r="P12010">
        <v>0</v>
      </c>
      <c r="Q12010">
        <v>0</v>
      </c>
      <c r="R12010" t="s">
        <v>44917</v>
      </c>
      <c r="S12010" t="s">
        <v>45386</v>
      </c>
      <c r="T12010" t="s">
        <v>46452</v>
      </c>
      <c r="U12010" t="s">
        <v>56528</v>
      </c>
      <c r="W12010" t="s">
        <v>41830</v>
      </c>
      <c r="X12010" t="s">
        <v>44918</v>
      </c>
    </row>
    <row r="12011" spans="1:24">
      <c r="A12011">
        <f>HYPERLINK("https://www.philgeps.gov.ph/GEPSNONPILOT/Tender/SplashBidNoticeAbstractUI.aspx?menuIndex=3&amp;refID=7061369&amp;Result=3","7061369")</f>
        <v>0</v>
      </c>
      <c r="B12011" t="s">
        <v>1215</v>
      </c>
      <c r="C12011" t="s">
        <v>14992</v>
      </c>
      <c r="D12011" t="s">
        <v>18108</v>
      </c>
      <c r="E12011" t="s">
        <v>28611</v>
      </c>
      <c r="F12011" t="s">
        <v>31362</v>
      </c>
      <c r="G12011" t="s">
        <v>31368</v>
      </c>
      <c r="H12011" t="s">
        <v>15799</v>
      </c>
      <c r="I12011" t="s">
        <v>31400</v>
      </c>
      <c r="J12011" t="s">
        <v>32127</v>
      </c>
      <c r="K12011" t="s">
        <v>40665</v>
      </c>
      <c r="M12011" t="s">
        <v>42228</v>
      </c>
      <c r="N12011" t="s">
        <v>44905</v>
      </c>
      <c r="O12011" t="s">
        <v>44906</v>
      </c>
      <c r="Q12011">
        <v>13</v>
      </c>
      <c r="R12011" t="s">
        <v>44917</v>
      </c>
      <c r="S12011" t="s">
        <v>45443</v>
      </c>
      <c r="T12011" t="s">
        <v>46432</v>
      </c>
      <c r="U12011" t="s">
        <v>56529</v>
      </c>
      <c r="W12011" t="s">
        <v>42228</v>
      </c>
      <c r="X12011" t="s">
        <v>44918</v>
      </c>
    </row>
    <row r="12012" spans="1:24">
      <c r="A12012">
        <f>HYPERLINK("https://www.philgeps.gov.ph/GEPSNONPILOT/Tender/SplashBidNoticeAbstractUI.aspx?menuIndex=3&amp;refID=7061557&amp;Result=3","7061557")</f>
        <v>0</v>
      </c>
      <c r="B12012" t="s">
        <v>299</v>
      </c>
      <c r="C12012" t="s">
        <v>14993</v>
      </c>
      <c r="D12012" t="s">
        <v>18108</v>
      </c>
      <c r="E12012" t="s">
        <v>28612</v>
      </c>
      <c r="F12012" t="s">
        <v>31362</v>
      </c>
      <c r="G12012" t="s">
        <v>31369</v>
      </c>
      <c r="H12012" t="s">
        <v>15799</v>
      </c>
      <c r="I12012" t="s">
        <v>31395</v>
      </c>
      <c r="J12012" t="s">
        <v>33046</v>
      </c>
      <c r="K12012" t="s">
        <v>40666</v>
      </c>
      <c r="M12012" t="s">
        <v>44401</v>
      </c>
      <c r="N12012" t="s">
        <v>44905</v>
      </c>
      <c r="O12012" t="s">
        <v>44906</v>
      </c>
      <c r="P12012">
        <v>0</v>
      </c>
      <c r="Q12012">
        <v>14</v>
      </c>
      <c r="R12012" t="s">
        <v>44917</v>
      </c>
      <c r="S12012" t="s">
        <v>45386</v>
      </c>
      <c r="T12012" t="s">
        <v>46625</v>
      </c>
      <c r="U12012" t="s">
        <v>56530</v>
      </c>
      <c r="W12012" t="s">
        <v>44401</v>
      </c>
      <c r="X12012" t="s">
        <v>44918</v>
      </c>
    </row>
    <row r="12013" spans="1:24">
      <c r="A12013">
        <f>HYPERLINK("https://www.philgeps.gov.ph/GEPSNONPILOT/Tender/SplashBidNoticeAbstractUI.aspx?menuIndex=3&amp;refID=7061554&amp;Result=3","7061554")</f>
        <v>0</v>
      </c>
      <c r="B12013" t="s">
        <v>3170</v>
      </c>
      <c r="C12013" t="s">
        <v>14994</v>
      </c>
      <c r="D12013" t="s">
        <v>18103</v>
      </c>
      <c r="E12013" t="s">
        <v>28613</v>
      </c>
      <c r="F12013" t="s">
        <v>31362</v>
      </c>
      <c r="G12013" t="s">
        <v>31369</v>
      </c>
      <c r="H12013" t="s">
        <v>31377</v>
      </c>
      <c r="I12013" t="s">
        <v>31377</v>
      </c>
      <c r="J12013" t="s">
        <v>38162</v>
      </c>
      <c r="K12013" t="s">
        <v>40899</v>
      </c>
      <c r="M12013" t="s">
        <v>44434</v>
      </c>
      <c r="N12013" t="s">
        <v>44905</v>
      </c>
      <c r="O12013" t="s">
        <v>44906</v>
      </c>
      <c r="Q12013">
        <v>5</v>
      </c>
      <c r="R12013" t="s">
        <v>44917</v>
      </c>
      <c r="S12013" t="s">
        <v>45130</v>
      </c>
      <c r="T12013" t="s">
        <v>46527</v>
      </c>
      <c r="U12013" t="s">
        <v>56531</v>
      </c>
      <c r="V12013" t="s">
        <v>60335</v>
      </c>
      <c r="W12013" t="s">
        <v>44434</v>
      </c>
      <c r="X12013" t="s">
        <v>44918</v>
      </c>
    </row>
    <row r="12014" spans="1:24">
      <c r="A12014">
        <f>HYPERLINK("https://www.philgeps.gov.ph/GEPSNONPILOT/Tender/SplashBidNoticeAbstractUI.aspx?menuIndex=3&amp;refID=7061407&amp;Result=3","7061407")</f>
        <v>0</v>
      </c>
      <c r="B12014" t="s">
        <v>854</v>
      </c>
      <c r="C12014" t="s">
        <v>14995</v>
      </c>
      <c r="D12014" t="s">
        <v>18147</v>
      </c>
      <c r="E12014" t="s">
        <v>28614</v>
      </c>
      <c r="F12014" t="s">
        <v>31362</v>
      </c>
      <c r="G12014" t="s">
        <v>31369</v>
      </c>
      <c r="H12014" t="s">
        <v>31378</v>
      </c>
      <c r="I12014" t="s">
        <v>31386</v>
      </c>
      <c r="J12014" t="s">
        <v>38846</v>
      </c>
      <c r="K12014" t="s">
        <v>40682</v>
      </c>
      <c r="M12014" t="s">
        <v>41830</v>
      </c>
      <c r="N12014" t="s">
        <v>44905</v>
      </c>
      <c r="O12014" t="s">
        <v>44906</v>
      </c>
      <c r="P12014">
        <v>0</v>
      </c>
      <c r="Q12014">
        <v>0</v>
      </c>
      <c r="R12014" t="s">
        <v>44917</v>
      </c>
      <c r="S12014" t="s">
        <v>45386</v>
      </c>
      <c r="T12014" t="s">
        <v>46452</v>
      </c>
      <c r="U12014" t="s">
        <v>56532</v>
      </c>
      <c r="W12014" t="s">
        <v>41830</v>
      </c>
      <c r="X12014" t="s">
        <v>44918</v>
      </c>
    </row>
    <row r="12015" spans="1:24">
      <c r="A12015">
        <f>HYPERLINK("https://www.philgeps.gov.ph/GEPSNONPILOT/Tender/SplashBidNoticeAbstractUI.aspx?menuIndex=3&amp;refID=7061542&amp;Result=3","7061542")</f>
        <v>0</v>
      </c>
      <c r="B12015" t="s">
        <v>3171</v>
      </c>
      <c r="C12015" t="s">
        <v>14996</v>
      </c>
      <c r="D12015" t="s">
        <v>18111</v>
      </c>
      <c r="E12015" t="s">
        <v>21508</v>
      </c>
      <c r="F12015" t="s">
        <v>31362</v>
      </c>
      <c r="G12015" t="s">
        <v>31369</v>
      </c>
      <c r="H12015" t="s">
        <v>15799</v>
      </c>
      <c r="I12015" t="s">
        <v>31409</v>
      </c>
      <c r="J12015" t="s">
        <v>31606</v>
      </c>
      <c r="K12015" t="s">
        <v>40665</v>
      </c>
      <c r="M12015" t="s">
        <v>44435</v>
      </c>
      <c r="N12015" t="s">
        <v>44905</v>
      </c>
      <c r="O12015" t="s">
        <v>44906</v>
      </c>
      <c r="P12015">
        <v>0</v>
      </c>
      <c r="Q12015">
        <v>5</v>
      </c>
      <c r="R12015" t="s">
        <v>44917</v>
      </c>
      <c r="S12015" t="s">
        <v>45386</v>
      </c>
      <c r="T12015" t="s">
        <v>46560</v>
      </c>
      <c r="U12015" t="s">
        <v>56533</v>
      </c>
      <c r="V12015" t="s">
        <v>60336</v>
      </c>
      <c r="W12015" t="s">
        <v>44435</v>
      </c>
      <c r="X12015" t="s">
        <v>44918</v>
      </c>
    </row>
    <row r="12016" spans="1:24">
      <c r="A12016">
        <f>HYPERLINK("https://www.philgeps.gov.ph/GEPSNONPILOT/Tender/SplashBidNoticeAbstractUI.aspx?menuIndex=3&amp;refID=7061534&amp;Result=3","7061534")</f>
        <v>0</v>
      </c>
      <c r="B12016" t="s">
        <v>2813</v>
      </c>
      <c r="C12016" t="s">
        <v>14997</v>
      </c>
      <c r="D12016" t="s">
        <v>18118</v>
      </c>
      <c r="E12016" t="s">
        <v>28615</v>
      </c>
      <c r="F12016" t="s">
        <v>31362</v>
      </c>
      <c r="G12016" t="s">
        <v>31369</v>
      </c>
      <c r="H12016" t="s">
        <v>31378</v>
      </c>
      <c r="I12016" t="s">
        <v>31386</v>
      </c>
      <c r="J12016" t="s">
        <v>38847</v>
      </c>
      <c r="K12016" t="s">
        <v>40662</v>
      </c>
      <c r="M12016" t="s">
        <v>44101</v>
      </c>
      <c r="N12016" t="s">
        <v>44905</v>
      </c>
      <c r="O12016" t="s">
        <v>44906</v>
      </c>
      <c r="P12016">
        <v>0</v>
      </c>
      <c r="Q12016">
        <v>0</v>
      </c>
      <c r="R12016" t="s">
        <v>44917</v>
      </c>
      <c r="S12016" t="s">
        <v>45386</v>
      </c>
      <c r="T12016" t="s">
        <v>46418</v>
      </c>
      <c r="U12016" t="s">
        <v>55273</v>
      </c>
      <c r="W12016" t="s">
        <v>44101</v>
      </c>
      <c r="X12016" t="s">
        <v>44918</v>
      </c>
    </row>
    <row r="12017" spans="1:24">
      <c r="A12017">
        <f>HYPERLINK("https://www.philgeps.gov.ph/GEPSNONPILOT/Tender/SplashBidNoticeAbstractUI.aspx?menuIndex=3&amp;refID=7061528&amp;Result=3","7061528")</f>
        <v>0</v>
      </c>
      <c r="B12017" t="s">
        <v>68</v>
      </c>
      <c r="C12017" t="s">
        <v>14998</v>
      </c>
      <c r="D12017" t="s">
        <v>18117</v>
      </c>
      <c r="E12017" t="s">
        <v>28616</v>
      </c>
      <c r="F12017" t="s">
        <v>31362</v>
      </c>
      <c r="G12017" t="s">
        <v>31369</v>
      </c>
      <c r="H12017" t="s">
        <v>15799</v>
      </c>
      <c r="I12017" t="s">
        <v>31380</v>
      </c>
      <c r="J12017" t="s">
        <v>38848</v>
      </c>
      <c r="K12017" t="s">
        <v>40662</v>
      </c>
      <c r="M12017" t="s">
        <v>41004</v>
      </c>
      <c r="N12017" t="s">
        <v>44905</v>
      </c>
      <c r="O12017" t="s">
        <v>44906</v>
      </c>
      <c r="P12017">
        <v>0</v>
      </c>
      <c r="Q12017">
        <v>22</v>
      </c>
      <c r="R12017" t="s">
        <v>44917</v>
      </c>
      <c r="S12017" t="s">
        <v>45386</v>
      </c>
      <c r="T12017" t="s">
        <v>46481</v>
      </c>
      <c r="U12017" t="s">
        <v>56534</v>
      </c>
      <c r="W12017" t="s">
        <v>41004</v>
      </c>
      <c r="X12017" t="s">
        <v>44918</v>
      </c>
    </row>
    <row r="12018" spans="1:24">
      <c r="A12018">
        <f>HYPERLINK("https://www.philgeps.gov.ph/GEPSNONPILOT/Tender/SplashBidNoticeAbstractUI.aspx?menuIndex=3&amp;refID=7061420&amp;Result=3","7061420")</f>
        <v>0</v>
      </c>
      <c r="B12018" t="s">
        <v>830</v>
      </c>
      <c r="C12018" t="s">
        <v>14999</v>
      </c>
      <c r="D12018" t="s">
        <v>18110</v>
      </c>
      <c r="E12018" t="s">
        <v>28617</v>
      </c>
      <c r="F12018" t="s">
        <v>31362</v>
      </c>
      <c r="G12018" t="s">
        <v>31369</v>
      </c>
      <c r="H12018" t="s">
        <v>15799</v>
      </c>
      <c r="I12018" t="s">
        <v>31457</v>
      </c>
      <c r="J12018" t="s">
        <v>31637</v>
      </c>
      <c r="K12018" t="s">
        <v>40678</v>
      </c>
      <c r="M12018" t="s">
        <v>41804</v>
      </c>
      <c r="N12018" t="s">
        <v>44905</v>
      </c>
      <c r="O12018" t="s">
        <v>44906</v>
      </c>
      <c r="Q12018">
        <v>3</v>
      </c>
      <c r="R12018" t="s">
        <v>44917</v>
      </c>
      <c r="S12018" t="s">
        <v>45444</v>
      </c>
      <c r="T12018" t="s">
        <v>46560</v>
      </c>
      <c r="U12018" t="s">
        <v>56535</v>
      </c>
      <c r="W12018" t="s">
        <v>41804</v>
      </c>
      <c r="X12018" t="s">
        <v>44918</v>
      </c>
    </row>
    <row r="12019" spans="1:24">
      <c r="A12019">
        <f>HYPERLINK("https://www.philgeps.gov.ph/GEPSNONPILOT/Tender/SplashBidNoticeAbstractUI.aspx?menuIndex=3&amp;refID=7061378&amp;Result=3","7061378")</f>
        <v>0</v>
      </c>
      <c r="B12019" t="s">
        <v>2401</v>
      </c>
      <c r="C12019" t="s">
        <v>15000</v>
      </c>
      <c r="D12019" t="s">
        <v>18134</v>
      </c>
      <c r="E12019" t="s">
        <v>28618</v>
      </c>
      <c r="F12019" t="s">
        <v>31362</v>
      </c>
      <c r="G12019" t="s">
        <v>31369</v>
      </c>
      <c r="H12019" t="s">
        <v>15799</v>
      </c>
      <c r="I12019" t="s">
        <v>31487</v>
      </c>
      <c r="J12019" t="s">
        <v>38849</v>
      </c>
      <c r="K12019" t="s">
        <v>40691</v>
      </c>
      <c r="M12019" t="s">
        <v>43552</v>
      </c>
      <c r="N12019" t="s">
        <v>44905</v>
      </c>
      <c r="O12019" t="s">
        <v>44906</v>
      </c>
      <c r="P12019">
        <v>0</v>
      </c>
      <c r="Q12019">
        <v>2</v>
      </c>
      <c r="R12019" t="s">
        <v>44917</v>
      </c>
      <c r="S12019" t="s">
        <v>45386</v>
      </c>
      <c r="T12019" t="s">
        <v>46392</v>
      </c>
      <c r="U12019" t="s">
        <v>56536</v>
      </c>
      <c r="W12019" t="s">
        <v>43552</v>
      </c>
      <c r="X12019" t="s">
        <v>44918</v>
      </c>
    </row>
    <row r="12020" spans="1:24">
      <c r="A12020">
        <f>HYPERLINK("https://www.philgeps.gov.ph/GEPSNONPILOT/Tender/SplashBidNoticeAbstractUI.aspx?menuIndex=3&amp;refID=7061500&amp;Result=3","7061500")</f>
        <v>0</v>
      </c>
      <c r="B12020" t="s">
        <v>288</v>
      </c>
      <c r="C12020" t="s">
        <v>15001</v>
      </c>
      <c r="D12020" t="s">
        <v>18102</v>
      </c>
      <c r="E12020" t="s">
        <v>28619</v>
      </c>
      <c r="F12020" t="s">
        <v>31362</v>
      </c>
      <c r="G12020" t="s">
        <v>31373</v>
      </c>
      <c r="H12020" t="s">
        <v>31378</v>
      </c>
      <c r="I12020" t="s">
        <v>31386</v>
      </c>
      <c r="J12020" t="s">
        <v>38850</v>
      </c>
      <c r="K12020" t="s">
        <v>40684</v>
      </c>
      <c r="M12020" t="s">
        <v>41231</v>
      </c>
      <c r="N12020" t="s">
        <v>44905</v>
      </c>
      <c r="O12020" t="s">
        <v>44906</v>
      </c>
      <c r="P12020">
        <v>0</v>
      </c>
      <c r="Q12020">
        <v>33</v>
      </c>
      <c r="R12020" t="s">
        <v>44917</v>
      </c>
      <c r="S12020" t="s">
        <v>45386</v>
      </c>
      <c r="T12020" t="s">
        <v>46392</v>
      </c>
      <c r="U12020" t="s">
        <v>56537</v>
      </c>
      <c r="V12020" t="s">
        <v>60337</v>
      </c>
      <c r="W12020" t="s">
        <v>41231</v>
      </c>
      <c r="X12020" t="s">
        <v>44918</v>
      </c>
    </row>
    <row r="12021" spans="1:24">
      <c r="A12021">
        <f>HYPERLINK("https://www.philgeps.gov.ph/GEPSNONPILOT/Tender/SplashBidNoticeAbstractUI.aspx?menuIndex=3&amp;refID=7061533&amp;Result=3","7061533")</f>
        <v>0</v>
      </c>
      <c r="B12021" t="s">
        <v>299</v>
      </c>
      <c r="C12021" t="s">
        <v>15002</v>
      </c>
      <c r="D12021" t="s">
        <v>18108</v>
      </c>
      <c r="E12021" t="s">
        <v>28620</v>
      </c>
      <c r="F12021" t="s">
        <v>31362</v>
      </c>
      <c r="G12021" t="s">
        <v>31369</v>
      </c>
      <c r="H12021" t="s">
        <v>15799</v>
      </c>
      <c r="I12021" t="s">
        <v>31387</v>
      </c>
      <c r="J12021" t="s">
        <v>38851</v>
      </c>
      <c r="K12021" t="s">
        <v>40666</v>
      </c>
      <c r="M12021" t="s">
        <v>44401</v>
      </c>
      <c r="N12021" t="s">
        <v>44905</v>
      </c>
      <c r="O12021" t="s">
        <v>44906</v>
      </c>
      <c r="P12021">
        <v>0</v>
      </c>
      <c r="Q12021">
        <v>1</v>
      </c>
      <c r="R12021" t="s">
        <v>44917</v>
      </c>
      <c r="S12021" t="s">
        <v>45386</v>
      </c>
      <c r="T12021" t="s">
        <v>46625</v>
      </c>
      <c r="U12021" t="s">
        <v>56538</v>
      </c>
      <c r="W12021" t="s">
        <v>44401</v>
      </c>
      <c r="X12021" t="s">
        <v>44918</v>
      </c>
    </row>
    <row r="12022" spans="1:24">
      <c r="A12022">
        <f>HYPERLINK("https://www.philgeps.gov.ph/GEPSNONPILOT/Tender/SplashBidNoticeAbstractUI.aspx?menuIndex=3&amp;refID=7061496&amp;Result=3","7061496")</f>
        <v>0</v>
      </c>
      <c r="B12022" t="s">
        <v>288</v>
      </c>
      <c r="C12022" t="s">
        <v>15003</v>
      </c>
      <c r="D12022" t="s">
        <v>18102</v>
      </c>
      <c r="E12022" t="s">
        <v>28621</v>
      </c>
      <c r="F12022" t="s">
        <v>31362</v>
      </c>
      <c r="G12022" t="s">
        <v>31373</v>
      </c>
      <c r="H12022" t="s">
        <v>31378</v>
      </c>
      <c r="I12022" t="s">
        <v>31386</v>
      </c>
      <c r="J12022" t="s">
        <v>38852</v>
      </c>
      <c r="K12022" t="s">
        <v>40691</v>
      </c>
      <c r="M12022" t="s">
        <v>41231</v>
      </c>
      <c r="N12022" t="s">
        <v>44905</v>
      </c>
      <c r="O12022" t="s">
        <v>44906</v>
      </c>
      <c r="P12022">
        <v>0</v>
      </c>
      <c r="Q12022">
        <v>35</v>
      </c>
      <c r="R12022" t="s">
        <v>44917</v>
      </c>
      <c r="S12022" t="s">
        <v>45386</v>
      </c>
      <c r="T12022" t="s">
        <v>46392</v>
      </c>
      <c r="U12022" t="s">
        <v>56539</v>
      </c>
      <c r="V12022" t="s">
        <v>60338</v>
      </c>
      <c r="W12022" t="s">
        <v>41231</v>
      </c>
      <c r="X12022" t="s">
        <v>44918</v>
      </c>
    </row>
    <row r="12023" spans="1:24">
      <c r="A12023">
        <f>HYPERLINK("https://www.philgeps.gov.ph/GEPSNONPILOT/Tender/SplashBidNoticeAbstractUI.aspx?menuIndex=3&amp;refID=7061520&amp;Result=3","7061520")</f>
        <v>0</v>
      </c>
      <c r="B12023" t="s">
        <v>2813</v>
      </c>
      <c r="C12023" t="s">
        <v>15004</v>
      </c>
      <c r="D12023" t="s">
        <v>18118</v>
      </c>
      <c r="E12023" t="s">
        <v>28622</v>
      </c>
      <c r="F12023" t="s">
        <v>31362</v>
      </c>
      <c r="G12023" t="s">
        <v>31369</v>
      </c>
      <c r="H12023" t="s">
        <v>31378</v>
      </c>
      <c r="I12023" t="s">
        <v>31386</v>
      </c>
      <c r="J12023" t="s">
        <v>38853</v>
      </c>
      <c r="K12023" t="s">
        <v>40662</v>
      </c>
      <c r="M12023" t="s">
        <v>44101</v>
      </c>
      <c r="N12023" t="s">
        <v>44905</v>
      </c>
      <c r="O12023" t="s">
        <v>44906</v>
      </c>
      <c r="P12023">
        <v>0</v>
      </c>
      <c r="Q12023">
        <v>2</v>
      </c>
      <c r="R12023" t="s">
        <v>44917</v>
      </c>
      <c r="S12023" t="s">
        <v>45386</v>
      </c>
      <c r="T12023" t="s">
        <v>46418</v>
      </c>
      <c r="U12023" t="s">
        <v>55273</v>
      </c>
      <c r="W12023" t="s">
        <v>44101</v>
      </c>
      <c r="X12023" t="s">
        <v>44918</v>
      </c>
    </row>
    <row r="12024" spans="1:24">
      <c r="A12024">
        <f>HYPERLINK("https://www.philgeps.gov.ph/GEPSNONPILOT/Tender/SplashBidNoticeAbstractUI.aspx?menuIndex=3&amp;refID=7061476&amp;Result=3","7061476")</f>
        <v>0</v>
      </c>
      <c r="B12024" t="s">
        <v>299</v>
      </c>
      <c r="C12024" t="s">
        <v>15005</v>
      </c>
      <c r="D12024" t="s">
        <v>18108</v>
      </c>
      <c r="E12024" t="s">
        <v>28623</v>
      </c>
      <c r="F12024" t="s">
        <v>31362</v>
      </c>
      <c r="G12024" t="s">
        <v>31369</v>
      </c>
      <c r="H12024" t="s">
        <v>15799</v>
      </c>
      <c r="I12024" t="s">
        <v>31387</v>
      </c>
      <c r="J12024" t="s">
        <v>38854</v>
      </c>
      <c r="K12024" t="s">
        <v>40666</v>
      </c>
      <c r="M12024" t="s">
        <v>44401</v>
      </c>
      <c r="N12024" t="s">
        <v>44905</v>
      </c>
      <c r="O12024" t="s">
        <v>44906</v>
      </c>
      <c r="P12024">
        <v>0</v>
      </c>
      <c r="Q12024">
        <v>10</v>
      </c>
      <c r="R12024" t="s">
        <v>44917</v>
      </c>
      <c r="S12024" t="s">
        <v>45386</v>
      </c>
      <c r="T12024" t="s">
        <v>46625</v>
      </c>
      <c r="U12024" t="s">
        <v>56538</v>
      </c>
      <c r="W12024" t="s">
        <v>44401</v>
      </c>
      <c r="X12024" t="s">
        <v>44918</v>
      </c>
    </row>
    <row r="12025" spans="1:24">
      <c r="A12025">
        <f>HYPERLINK("https://www.philgeps.gov.ph/GEPSNONPILOT/Tender/SplashBidNoticeAbstractUI.aspx?menuIndex=3&amp;refID=7061516&amp;Result=3","7061516")</f>
        <v>0</v>
      </c>
      <c r="B12025" t="s">
        <v>299</v>
      </c>
      <c r="C12025" t="s">
        <v>15006</v>
      </c>
      <c r="D12025" t="s">
        <v>18108</v>
      </c>
      <c r="E12025" t="s">
        <v>28624</v>
      </c>
      <c r="F12025" t="s">
        <v>31362</v>
      </c>
      <c r="G12025" t="s">
        <v>31369</v>
      </c>
      <c r="H12025" t="s">
        <v>15799</v>
      </c>
      <c r="I12025" t="s">
        <v>31387</v>
      </c>
      <c r="J12025" t="s">
        <v>38855</v>
      </c>
      <c r="K12025" t="s">
        <v>40666</v>
      </c>
      <c r="M12025" t="s">
        <v>44401</v>
      </c>
      <c r="N12025" t="s">
        <v>44905</v>
      </c>
      <c r="O12025" t="s">
        <v>44906</v>
      </c>
      <c r="P12025">
        <v>0</v>
      </c>
      <c r="Q12025">
        <v>2</v>
      </c>
      <c r="R12025" t="s">
        <v>44917</v>
      </c>
      <c r="S12025" t="s">
        <v>45386</v>
      </c>
      <c r="T12025" t="s">
        <v>46625</v>
      </c>
      <c r="U12025" t="s">
        <v>56538</v>
      </c>
      <c r="W12025" t="s">
        <v>44401</v>
      </c>
      <c r="X12025" t="s">
        <v>44918</v>
      </c>
    </row>
    <row r="12026" spans="1:24">
      <c r="A12026">
        <f>HYPERLINK("https://www.philgeps.gov.ph/GEPSNONPILOT/Tender/SplashBidNoticeAbstractUI.aspx?menuIndex=3&amp;refID=7061509&amp;Result=3","7061509")</f>
        <v>0</v>
      </c>
      <c r="B12026" t="s">
        <v>2813</v>
      </c>
      <c r="C12026" t="s">
        <v>15007</v>
      </c>
      <c r="D12026" t="s">
        <v>18118</v>
      </c>
      <c r="E12026" t="s">
        <v>28625</v>
      </c>
      <c r="F12026" t="s">
        <v>31362</v>
      </c>
      <c r="G12026" t="s">
        <v>31369</v>
      </c>
      <c r="H12026" t="s">
        <v>31378</v>
      </c>
      <c r="I12026" t="s">
        <v>31386</v>
      </c>
      <c r="J12026" t="s">
        <v>38856</v>
      </c>
      <c r="K12026" t="s">
        <v>40662</v>
      </c>
      <c r="M12026" t="s">
        <v>44101</v>
      </c>
      <c r="N12026" t="s">
        <v>44905</v>
      </c>
      <c r="O12026" t="s">
        <v>44906</v>
      </c>
      <c r="P12026">
        <v>0</v>
      </c>
      <c r="Q12026">
        <v>0</v>
      </c>
      <c r="R12026" t="s">
        <v>44917</v>
      </c>
      <c r="S12026" t="s">
        <v>45386</v>
      </c>
      <c r="T12026" t="s">
        <v>46418</v>
      </c>
      <c r="U12026" t="s">
        <v>55273</v>
      </c>
      <c r="W12026" t="s">
        <v>44101</v>
      </c>
      <c r="X12026" t="s">
        <v>44918</v>
      </c>
    </row>
    <row r="12027" spans="1:24">
      <c r="A12027">
        <f>HYPERLINK("https://www.philgeps.gov.ph/GEPSNONPILOT/Tender/SplashBidNoticeAbstractUI.aspx?menuIndex=3&amp;refID=7061456&amp;Result=3","7061456")</f>
        <v>0</v>
      </c>
      <c r="B12027" t="s">
        <v>854</v>
      </c>
      <c r="C12027" t="s">
        <v>15008</v>
      </c>
      <c r="D12027" t="s">
        <v>18147</v>
      </c>
      <c r="E12027" t="s">
        <v>28626</v>
      </c>
      <c r="F12027" t="s">
        <v>31362</v>
      </c>
      <c r="G12027" t="s">
        <v>31369</v>
      </c>
      <c r="H12027" t="s">
        <v>15799</v>
      </c>
      <c r="I12027" t="s">
        <v>3815</v>
      </c>
      <c r="J12027" t="s">
        <v>38857</v>
      </c>
      <c r="K12027" t="s">
        <v>40666</v>
      </c>
      <c r="M12027" t="s">
        <v>41830</v>
      </c>
      <c r="N12027" t="s">
        <v>44905</v>
      </c>
      <c r="O12027" t="s">
        <v>44906</v>
      </c>
      <c r="P12027">
        <v>0</v>
      </c>
      <c r="Q12027">
        <v>1</v>
      </c>
      <c r="R12027" t="s">
        <v>44917</v>
      </c>
      <c r="S12027" t="s">
        <v>45386</v>
      </c>
      <c r="T12027" t="s">
        <v>46452</v>
      </c>
      <c r="U12027" t="s">
        <v>48694</v>
      </c>
      <c r="W12027" t="s">
        <v>41830</v>
      </c>
      <c r="X12027" t="s">
        <v>44918</v>
      </c>
    </row>
    <row r="12028" spans="1:24">
      <c r="A12028">
        <f>HYPERLINK("https://www.philgeps.gov.ph/GEPSNONPILOT/Tender/SplashBidNoticeAbstractUI.aspx?menuIndex=3&amp;refID=7061447&amp;Result=3","7061447")</f>
        <v>0</v>
      </c>
      <c r="B12028" t="s">
        <v>830</v>
      </c>
      <c r="C12028" t="s">
        <v>15009</v>
      </c>
      <c r="D12028" t="s">
        <v>18110</v>
      </c>
      <c r="E12028" t="s">
        <v>28627</v>
      </c>
      <c r="F12028" t="s">
        <v>31362</v>
      </c>
      <c r="G12028" t="s">
        <v>31369</v>
      </c>
      <c r="H12028" t="s">
        <v>15799</v>
      </c>
      <c r="I12028" t="s">
        <v>31466</v>
      </c>
      <c r="J12028" t="s">
        <v>31734</v>
      </c>
      <c r="K12028" t="s">
        <v>40665</v>
      </c>
      <c r="M12028" t="s">
        <v>41804</v>
      </c>
      <c r="N12028" t="s">
        <v>44905</v>
      </c>
      <c r="O12028" t="s">
        <v>44906</v>
      </c>
      <c r="P12028">
        <v>0</v>
      </c>
      <c r="Q12028">
        <v>6</v>
      </c>
      <c r="R12028" t="s">
        <v>44917</v>
      </c>
      <c r="S12028" t="s">
        <v>45386</v>
      </c>
      <c r="T12028" t="s">
        <v>46560</v>
      </c>
      <c r="U12028" t="s">
        <v>56540</v>
      </c>
      <c r="W12028" t="s">
        <v>41804</v>
      </c>
      <c r="X12028" t="s">
        <v>44918</v>
      </c>
    </row>
    <row r="12029" spans="1:24">
      <c r="A12029">
        <f>HYPERLINK("https://www.philgeps.gov.ph/GEPSNONPILOT/Tender/SplashBidNoticeAbstractUI.aspx?menuIndex=3&amp;refID=7061491&amp;Result=3","7061491")</f>
        <v>0</v>
      </c>
      <c r="B12029" t="s">
        <v>288</v>
      </c>
      <c r="C12029" t="s">
        <v>15010</v>
      </c>
      <c r="D12029" t="s">
        <v>18102</v>
      </c>
      <c r="E12029" t="s">
        <v>28628</v>
      </c>
      <c r="F12029" t="s">
        <v>31362</v>
      </c>
      <c r="G12029" t="s">
        <v>31373</v>
      </c>
      <c r="H12029" t="s">
        <v>31378</v>
      </c>
      <c r="I12029" t="s">
        <v>31386</v>
      </c>
      <c r="J12029" t="s">
        <v>38858</v>
      </c>
      <c r="K12029" t="s">
        <v>40811</v>
      </c>
      <c r="M12029" t="s">
        <v>41231</v>
      </c>
      <c r="N12029" t="s">
        <v>44905</v>
      </c>
      <c r="O12029" t="s">
        <v>44906</v>
      </c>
      <c r="P12029">
        <v>0</v>
      </c>
      <c r="Q12029">
        <v>21</v>
      </c>
      <c r="R12029" t="s">
        <v>44917</v>
      </c>
      <c r="S12029" t="s">
        <v>45386</v>
      </c>
      <c r="T12029" t="s">
        <v>46392</v>
      </c>
      <c r="U12029" t="s">
        <v>56541</v>
      </c>
      <c r="V12029" t="s">
        <v>60339</v>
      </c>
      <c r="W12029" t="s">
        <v>41231</v>
      </c>
      <c r="X12029" t="s">
        <v>44918</v>
      </c>
    </row>
    <row r="12030" spans="1:24">
      <c r="A12030">
        <f>HYPERLINK("https://www.philgeps.gov.ph/GEPSNONPILOT/Tender/SplashBidNoticeAbstractUI.aspx?menuIndex=3&amp;refID=7061487&amp;Result=3","7061487")</f>
        <v>0</v>
      </c>
      <c r="B12030" t="s">
        <v>288</v>
      </c>
      <c r="C12030" t="s">
        <v>15011</v>
      </c>
      <c r="D12030" t="s">
        <v>18102</v>
      </c>
      <c r="E12030" t="s">
        <v>28629</v>
      </c>
      <c r="F12030" t="s">
        <v>31362</v>
      </c>
      <c r="G12030" t="s">
        <v>31373</v>
      </c>
      <c r="H12030" t="s">
        <v>31378</v>
      </c>
      <c r="I12030" t="s">
        <v>31386</v>
      </c>
      <c r="J12030" t="s">
        <v>38859</v>
      </c>
      <c r="K12030" t="s">
        <v>40682</v>
      </c>
      <c r="M12030" t="s">
        <v>41231</v>
      </c>
      <c r="N12030" t="s">
        <v>44905</v>
      </c>
      <c r="O12030" t="s">
        <v>44906</v>
      </c>
      <c r="P12030">
        <v>0</v>
      </c>
      <c r="Q12030">
        <v>17</v>
      </c>
      <c r="R12030" t="s">
        <v>44917</v>
      </c>
      <c r="S12030" t="s">
        <v>45386</v>
      </c>
      <c r="T12030" t="s">
        <v>46392</v>
      </c>
      <c r="U12030" t="s">
        <v>56542</v>
      </c>
      <c r="V12030" t="s">
        <v>60340</v>
      </c>
      <c r="W12030" t="s">
        <v>41231</v>
      </c>
      <c r="X12030" t="s">
        <v>44918</v>
      </c>
    </row>
    <row r="12031" spans="1:24">
      <c r="A12031">
        <f>HYPERLINK("https://www.philgeps.gov.ph/GEPSNONPILOT/Tender/SplashBidNoticeAbstractUI.aspx?menuIndex=3&amp;refID=7061648&amp;Result=3","7061648")</f>
        <v>0</v>
      </c>
      <c r="B12031" t="s">
        <v>3172</v>
      </c>
      <c r="C12031" t="s">
        <v>15012</v>
      </c>
      <c r="D12031" t="s">
        <v>18110</v>
      </c>
      <c r="E12031" t="s">
        <v>18896</v>
      </c>
      <c r="F12031" t="s">
        <v>31362</v>
      </c>
      <c r="G12031" t="s">
        <v>31369</v>
      </c>
      <c r="H12031" t="s">
        <v>15799</v>
      </c>
      <c r="I12031" t="s">
        <v>31409</v>
      </c>
      <c r="J12031" t="s">
        <v>38860</v>
      </c>
      <c r="K12031" t="s">
        <v>40665</v>
      </c>
      <c r="M12031" t="s">
        <v>44436</v>
      </c>
      <c r="N12031" t="s">
        <v>44905</v>
      </c>
      <c r="O12031" t="s">
        <v>44906</v>
      </c>
      <c r="Q12031">
        <v>14</v>
      </c>
      <c r="R12031" t="s">
        <v>44917</v>
      </c>
      <c r="S12031" t="s">
        <v>45049</v>
      </c>
      <c r="T12031" t="s">
        <v>46481</v>
      </c>
      <c r="U12031" t="s">
        <v>56543</v>
      </c>
      <c r="W12031" t="s">
        <v>44436</v>
      </c>
      <c r="X12031" t="s">
        <v>44918</v>
      </c>
    </row>
    <row r="12032" spans="1:24">
      <c r="A12032">
        <f>HYPERLINK("https://www.philgeps.gov.ph/GEPSNONPILOT/Tender/SplashBidNoticeAbstractUI.aspx?menuIndex=3&amp;refID=7061645&amp;Result=3","7061645")</f>
        <v>0</v>
      </c>
      <c r="B12032" t="s">
        <v>1010</v>
      </c>
      <c r="C12032" t="s">
        <v>15013</v>
      </c>
      <c r="D12032" t="s">
        <v>18147</v>
      </c>
      <c r="E12032" t="s">
        <v>21666</v>
      </c>
      <c r="F12032" t="s">
        <v>31362</v>
      </c>
      <c r="G12032" t="s">
        <v>31369</v>
      </c>
      <c r="H12032" t="s">
        <v>31378</v>
      </c>
      <c r="I12032" t="s">
        <v>31386</v>
      </c>
      <c r="J12032" t="s">
        <v>31709</v>
      </c>
      <c r="K12032" t="s">
        <v>40759</v>
      </c>
      <c r="L12032" t="s">
        <v>1010</v>
      </c>
      <c r="M12032" t="s">
        <v>42007</v>
      </c>
      <c r="N12032" t="s">
        <v>44905</v>
      </c>
      <c r="O12032" t="s">
        <v>44906</v>
      </c>
      <c r="P12032">
        <v>0</v>
      </c>
      <c r="Q12032">
        <v>0</v>
      </c>
      <c r="R12032" t="s">
        <v>44917</v>
      </c>
      <c r="S12032" t="s">
        <v>45386</v>
      </c>
      <c r="T12032" t="s">
        <v>46553</v>
      </c>
      <c r="U12032" t="s">
        <v>56544</v>
      </c>
      <c r="W12032" t="s">
        <v>42007</v>
      </c>
      <c r="X12032" t="s">
        <v>44918</v>
      </c>
    </row>
    <row r="12033" spans="1:24">
      <c r="A12033">
        <f>HYPERLINK("https://www.philgeps.gov.ph/GEPSNONPILOT/Tender/SplashBidNoticeAbstractUI.aspx?menuIndex=3&amp;refID=7061643&amp;Result=3","7061643")</f>
        <v>0</v>
      </c>
      <c r="B12033" t="s">
        <v>1719</v>
      </c>
      <c r="C12033" t="s">
        <v>15014</v>
      </c>
      <c r="E12033" t="s">
        <v>28630</v>
      </c>
      <c r="F12033" t="s">
        <v>31362</v>
      </c>
      <c r="G12033" t="s">
        <v>31369</v>
      </c>
      <c r="H12033" t="s">
        <v>15799</v>
      </c>
      <c r="I12033" t="s">
        <v>31409</v>
      </c>
      <c r="J12033" t="s">
        <v>35993</v>
      </c>
      <c r="K12033" t="s">
        <v>40662</v>
      </c>
      <c r="M12033" t="s">
        <v>44437</v>
      </c>
      <c r="N12033" t="s">
        <v>44905</v>
      </c>
      <c r="O12033" t="s">
        <v>44906</v>
      </c>
      <c r="P12033">
        <v>0</v>
      </c>
      <c r="Q12033">
        <v>10</v>
      </c>
      <c r="R12033" t="s">
        <v>44917</v>
      </c>
      <c r="S12033" t="s">
        <v>45386</v>
      </c>
      <c r="T12033" t="s">
        <v>46519</v>
      </c>
      <c r="U12033" t="s">
        <v>56545</v>
      </c>
      <c r="V12033" t="s">
        <v>60341</v>
      </c>
      <c r="W12033" t="s">
        <v>44437</v>
      </c>
      <c r="X12033" t="s">
        <v>44918</v>
      </c>
    </row>
    <row r="12034" spans="1:24">
      <c r="A12034">
        <f>HYPERLINK("https://www.philgeps.gov.ph/GEPSNONPILOT/Tender/SplashBidNoticeAbstractUI.aspx?menuIndex=3&amp;refID=7061621&amp;Result=3","7061621")</f>
        <v>0</v>
      </c>
      <c r="B12034" t="s">
        <v>3173</v>
      </c>
      <c r="C12034" t="s">
        <v>15015</v>
      </c>
      <c r="D12034" t="s">
        <v>18108</v>
      </c>
      <c r="E12034" t="s">
        <v>28631</v>
      </c>
      <c r="F12034" t="s">
        <v>31362</v>
      </c>
      <c r="G12034" t="s">
        <v>31369</v>
      </c>
      <c r="H12034" t="s">
        <v>31377</v>
      </c>
      <c r="I12034" t="s">
        <v>31377</v>
      </c>
      <c r="J12034" t="s">
        <v>38861</v>
      </c>
      <c r="K12034" t="s">
        <v>40686</v>
      </c>
      <c r="M12034" t="s">
        <v>44438</v>
      </c>
      <c r="N12034" t="s">
        <v>44905</v>
      </c>
      <c r="O12034" t="s">
        <v>44906</v>
      </c>
      <c r="P12034">
        <v>0</v>
      </c>
      <c r="Q12034">
        <v>11</v>
      </c>
      <c r="R12034" t="s">
        <v>44917</v>
      </c>
      <c r="S12034" t="s">
        <v>45386</v>
      </c>
      <c r="T12034" t="s">
        <v>46604</v>
      </c>
      <c r="U12034" t="s">
        <v>56546</v>
      </c>
      <c r="W12034" t="s">
        <v>44438</v>
      </c>
      <c r="X12034" t="s">
        <v>44918</v>
      </c>
    </row>
    <row r="12035" spans="1:24">
      <c r="A12035">
        <f>HYPERLINK("https://www.philgeps.gov.ph/GEPSNONPILOT/Tender/SplashBidNoticeAbstractUI.aspx?menuIndex=3&amp;refID=7061438&amp;Result=3","7061438")</f>
        <v>0</v>
      </c>
      <c r="B12035" t="s">
        <v>299</v>
      </c>
      <c r="C12035" t="s">
        <v>15016</v>
      </c>
      <c r="D12035" t="s">
        <v>18108</v>
      </c>
      <c r="E12035" t="s">
        <v>28632</v>
      </c>
      <c r="F12035" t="s">
        <v>31362</v>
      </c>
      <c r="G12035" t="s">
        <v>31369</v>
      </c>
      <c r="H12035" t="s">
        <v>15799</v>
      </c>
      <c r="I12035" t="s">
        <v>31387</v>
      </c>
      <c r="J12035" t="s">
        <v>38862</v>
      </c>
      <c r="K12035" t="s">
        <v>40666</v>
      </c>
      <c r="M12035" t="s">
        <v>44401</v>
      </c>
      <c r="N12035" t="s">
        <v>44905</v>
      </c>
      <c r="O12035" t="s">
        <v>44906</v>
      </c>
      <c r="P12035">
        <v>0</v>
      </c>
      <c r="Q12035">
        <v>9</v>
      </c>
      <c r="R12035" t="s">
        <v>44917</v>
      </c>
      <c r="S12035" t="s">
        <v>45386</v>
      </c>
      <c r="T12035" t="s">
        <v>46625</v>
      </c>
      <c r="U12035" t="s">
        <v>56538</v>
      </c>
      <c r="W12035" t="s">
        <v>44401</v>
      </c>
      <c r="X12035" t="s">
        <v>44918</v>
      </c>
    </row>
    <row r="12036" spans="1:24">
      <c r="A12036">
        <f>HYPERLINK("https://www.philgeps.gov.ph/GEPSNONPILOT/Tender/SplashBidNoticeAbstractUI.aspx?menuIndex=3&amp;refID=7061467&amp;Result=3","7061467")</f>
        <v>0</v>
      </c>
      <c r="B12036" t="s">
        <v>299</v>
      </c>
      <c r="C12036" t="s">
        <v>15017</v>
      </c>
      <c r="D12036" t="s">
        <v>18108</v>
      </c>
      <c r="E12036" t="s">
        <v>28633</v>
      </c>
      <c r="F12036" t="s">
        <v>31362</v>
      </c>
      <c r="G12036" t="s">
        <v>31369</v>
      </c>
      <c r="H12036" t="s">
        <v>15799</v>
      </c>
      <c r="I12036" t="s">
        <v>31387</v>
      </c>
      <c r="J12036" t="s">
        <v>38863</v>
      </c>
      <c r="K12036" t="s">
        <v>40666</v>
      </c>
      <c r="M12036" t="s">
        <v>44401</v>
      </c>
      <c r="N12036" t="s">
        <v>44905</v>
      </c>
      <c r="O12036" t="s">
        <v>44906</v>
      </c>
      <c r="P12036">
        <v>0</v>
      </c>
      <c r="Q12036">
        <v>13</v>
      </c>
      <c r="R12036" t="s">
        <v>44917</v>
      </c>
      <c r="S12036" t="s">
        <v>45386</v>
      </c>
      <c r="T12036" t="s">
        <v>46625</v>
      </c>
      <c r="U12036" t="s">
        <v>56538</v>
      </c>
      <c r="W12036" t="s">
        <v>44401</v>
      </c>
      <c r="X12036" t="s">
        <v>44918</v>
      </c>
    </row>
    <row r="12037" spans="1:24">
      <c r="A12037">
        <f>HYPERLINK("https://www.philgeps.gov.ph/GEPSNONPILOT/Tender/SplashBidNoticeAbstractUI.aspx?menuIndex=3&amp;refID=7061642&amp;Result=3","7061642")</f>
        <v>0</v>
      </c>
      <c r="B12037" t="s">
        <v>3172</v>
      </c>
      <c r="C12037" t="s">
        <v>15018</v>
      </c>
      <c r="D12037" t="s">
        <v>18110</v>
      </c>
      <c r="E12037" t="s">
        <v>28634</v>
      </c>
      <c r="F12037" t="s">
        <v>31362</v>
      </c>
      <c r="G12037" t="s">
        <v>31369</v>
      </c>
      <c r="H12037" t="s">
        <v>15799</v>
      </c>
      <c r="I12037" t="s">
        <v>31409</v>
      </c>
      <c r="J12037" t="s">
        <v>38864</v>
      </c>
      <c r="K12037" t="s">
        <v>40665</v>
      </c>
      <c r="M12037" t="s">
        <v>44436</v>
      </c>
      <c r="N12037" t="s">
        <v>44905</v>
      </c>
      <c r="O12037" t="s">
        <v>44906</v>
      </c>
      <c r="Q12037">
        <v>9</v>
      </c>
      <c r="R12037" t="s">
        <v>44917</v>
      </c>
      <c r="S12037" t="s">
        <v>45445</v>
      </c>
      <c r="T12037" t="s">
        <v>46481</v>
      </c>
      <c r="U12037" t="s">
        <v>56547</v>
      </c>
      <c r="W12037" t="s">
        <v>44436</v>
      </c>
      <c r="X12037" t="s">
        <v>44918</v>
      </c>
    </row>
    <row r="12038" spans="1:24">
      <c r="A12038">
        <f>HYPERLINK("https://www.philgeps.gov.ph/GEPSNONPILOT/Tender/SplashBidNoticeAbstractUI.aspx?menuIndex=3&amp;refID=7061385&amp;Result=3","7061385")</f>
        <v>0</v>
      </c>
      <c r="B12038" t="s">
        <v>830</v>
      </c>
      <c r="C12038" t="s">
        <v>15019</v>
      </c>
      <c r="D12038" t="s">
        <v>18110</v>
      </c>
      <c r="E12038" t="s">
        <v>28635</v>
      </c>
      <c r="F12038" t="s">
        <v>31362</v>
      </c>
      <c r="G12038" t="s">
        <v>31369</v>
      </c>
      <c r="H12038" t="s">
        <v>15799</v>
      </c>
      <c r="I12038" t="s">
        <v>4283</v>
      </c>
      <c r="J12038" t="s">
        <v>38865</v>
      </c>
      <c r="K12038" t="s">
        <v>40665</v>
      </c>
      <c r="M12038" t="s">
        <v>41804</v>
      </c>
      <c r="N12038" t="s">
        <v>44905</v>
      </c>
      <c r="O12038" t="s">
        <v>44906</v>
      </c>
      <c r="P12038">
        <v>0</v>
      </c>
      <c r="Q12038">
        <v>8</v>
      </c>
      <c r="R12038" t="s">
        <v>44917</v>
      </c>
      <c r="S12038" t="s">
        <v>45386</v>
      </c>
      <c r="T12038" t="s">
        <v>46560</v>
      </c>
      <c r="U12038" t="s">
        <v>56548</v>
      </c>
      <c r="W12038" t="s">
        <v>41804</v>
      </c>
      <c r="X12038" t="s">
        <v>44918</v>
      </c>
    </row>
    <row r="12039" spans="1:24">
      <c r="A12039">
        <f>HYPERLINK("https://www.philgeps.gov.ph/GEPSNONPILOT/Tender/SplashBidNoticeAbstractUI.aspx?menuIndex=3&amp;refID=7061602&amp;Result=3","7061602")</f>
        <v>0</v>
      </c>
      <c r="B12039" t="s">
        <v>660</v>
      </c>
      <c r="C12039" t="s">
        <v>15020</v>
      </c>
      <c r="D12039" t="s">
        <v>18116</v>
      </c>
      <c r="E12039" t="s">
        <v>28636</v>
      </c>
      <c r="F12039" t="s">
        <v>31362</v>
      </c>
      <c r="G12039" t="s">
        <v>31369</v>
      </c>
      <c r="H12039" t="s">
        <v>31378</v>
      </c>
      <c r="I12039" t="s">
        <v>31386</v>
      </c>
      <c r="J12039" t="s">
        <v>33435</v>
      </c>
      <c r="K12039" t="s">
        <v>40900</v>
      </c>
      <c r="M12039" t="s">
        <v>41622</v>
      </c>
      <c r="N12039" t="s">
        <v>44905</v>
      </c>
      <c r="O12039" t="s">
        <v>44906</v>
      </c>
      <c r="P12039">
        <v>0</v>
      </c>
      <c r="Q12039">
        <v>13</v>
      </c>
      <c r="R12039" t="s">
        <v>44917</v>
      </c>
      <c r="S12039" t="s">
        <v>45386</v>
      </c>
      <c r="T12039" t="s">
        <v>46462</v>
      </c>
      <c r="U12039" t="s">
        <v>56549</v>
      </c>
      <c r="W12039" t="s">
        <v>41622</v>
      </c>
      <c r="X12039" t="s">
        <v>44918</v>
      </c>
    </row>
    <row r="12040" spans="1:24">
      <c r="A12040">
        <f>HYPERLINK("https://www.philgeps.gov.ph/GEPSNONPILOT/Tender/SplashBidNoticeAbstractUI.aspx?menuIndex=3&amp;refID=7061598&amp;Result=3","7061598")</f>
        <v>0</v>
      </c>
      <c r="B12040" t="s">
        <v>1883</v>
      </c>
      <c r="C12040" t="s">
        <v>15021</v>
      </c>
      <c r="D12040" t="s">
        <v>18108</v>
      </c>
      <c r="E12040" t="s">
        <v>28637</v>
      </c>
      <c r="F12040" t="s">
        <v>31362</v>
      </c>
      <c r="G12040" t="s">
        <v>31369</v>
      </c>
      <c r="H12040" t="s">
        <v>15799</v>
      </c>
      <c r="I12040" t="s">
        <v>7090</v>
      </c>
      <c r="J12040" t="s">
        <v>38866</v>
      </c>
      <c r="K12040" t="s">
        <v>40679</v>
      </c>
      <c r="M12040" t="s">
        <v>42976</v>
      </c>
      <c r="N12040" t="s">
        <v>44905</v>
      </c>
      <c r="O12040" t="s">
        <v>44906</v>
      </c>
      <c r="P12040">
        <v>0</v>
      </c>
      <c r="Q12040">
        <v>6</v>
      </c>
      <c r="R12040" t="s">
        <v>44917</v>
      </c>
      <c r="S12040" t="s">
        <v>45386</v>
      </c>
      <c r="T12040" t="s">
        <v>46392</v>
      </c>
      <c r="U12040" t="s">
        <v>56550</v>
      </c>
      <c r="W12040" t="s">
        <v>42976</v>
      </c>
      <c r="X12040" t="s">
        <v>44918</v>
      </c>
    </row>
    <row r="12041" spans="1:24">
      <c r="A12041">
        <f>HYPERLINK("https://www.philgeps.gov.ph/GEPSNONPILOT/Tender/SplashBidNoticeAbstractUI.aspx?menuIndex=3&amp;refID=7061597&amp;Result=3","7061597")</f>
        <v>0</v>
      </c>
      <c r="B12041" t="s">
        <v>660</v>
      </c>
      <c r="C12041" t="s">
        <v>15022</v>
      </c>
      <c r="D12041" t="s">
        <v>18116</v>
      </c>
      <c r="E12041" t="s">
        <v>28638</v>
      </c>
      <c r="F12041" t="s">
        <v>31362</v>
      </c>
      <c r="G12041" t="s">
        <v>31369</v>
      </c>
      <c r="H12041" t="s">
        <v>31378</v>
      </c>
      <c r="I12041" t="s">
        <v>31386</v>
      </c>
      <c r="J12041" t="s">
        <v>33435</v>
      </c>
      <c r="K12041" t="s">
        <v>40901</v>
      </c>
      <c r="M12041" t="s">
        <v>41622</v>
      </c>
      <c r="N12041" t="s">
        <v>44905</v>
      </c>
      <c r="O12041" t="s">
        <v>44906</v>
      </c>
      <c r="P12041">
        <v>0</v>
      </c>
      <c r="Q12041">
        <v>15</v>
      </c>
      <c r="R12041" t="s">
        <v>44917</v>
      </c>
      <c r="S12041" t="s">
        <v>45386</v>
      </c>
      <c r="T12041" t="s">
        <v>46462</v>
      </c>
      <c r="U12041" t="s">
        <v>56551</v>
      </c>
      <c r="W12041" t="s">
        <v>41622</v>
      </c>
      <c r="X12041" t="s">
        <v>44918</v>
      </c>
    </row>
    <row r="12042" spans="1:24">
      <c r="A12042">
        <f>HYPERLINK("https://www.philgeps.gov.ph/GEPSNONPILOT/Tender/SplashBidNoticeAbstractUI.aspx?menuIndex=3&amp;refID=7061586&amp;Result=3","7061586")</f>
        <v>0</v>
      </c>
      <c r="B12042" t="s">
        <v>3174</v>
      </c>
      <c r="C12042" t="s">
        <v>15023</v>
      </c>
      <c r="D12042" t="s">
        <v>18117</v>
      </c>
      <c r="E12042" t="s">
        <v>19737</v>
      </c>
      <c r="F12042" t="s">
        <v>31362</v>
      </c>
      <c r="G12042" t="s">
        <v>31369</v>
      </c>
      <c r="H12042" t="s">
        <v>15799</v>
      </c>
      <c r="I12042" t="s">
        <v>3815</v>
      </c>
      <c r="J12042" t="s">
        <v>38867</v>
      </c>
      <c r="K12042" t="s">
        <v>40666</v>
      </c>
      <c r="M12042" t="s">
        <v>44439</v>
      </c>
      <c r="N12042" t="s">
        <v>44905</v>
      </c>
      <c r="O12042" t="s">
        <v>44906</v>
      </c>
      <c r="P12042">
        <v>0</v>
      </c>
      <c r="Q12042">
        <v>0</v>
      </c>
      <c r="R12042" t="s">
        <v>44917</v>
      </c>
      <c r="S12042" t="s">
        <v>45386</v>
      </c>
      <c r="T12042" t="s">
        <v>46481</v>
      </c>
      <c r="U12042" t="s">
        <v>56552</v>
      </c>
      <c r="V12042" t="s">
        <v>60342</v>
      </c>
      <c r="W12042" t="s">
        <v>44439</v>
      </c>
      <c r="X12042" t="s">
        <v>44918</v>
      </c>
    </row>
    <row r="12043" spans="1:24">
      <c r="A12043">
        <f>HYPERLINK("https://www.philgeps.gov.ph/GEPSNONPILOT/Tender/SplashBidNoticeAbstractUI.aspx?menuIndex=3&amp;refID=7061595&amp;Result=3","7061595")</f>
        <v>0</v>
      </c>
      <c r="B12043" t="s">
        <v>2096</v>
      </c>
      <c r="C12043" t="s">
        <v>3918</v>
      </c>
      <c r="D12043" t="s">
        <v>18100</v>
      </c>
      <c r="E12043" t="s">
        <v>24277</v>
      </c>
      <c r="F12043" t="s">
        <v>31362</v>
      </c>
      <c r="G12043" t="s">
        <v>31369</v>
      </c>
      <c r="H12043" t="s">
        <v>15799</v>
      </c>
      <c r="I12043" t="s">
        <v>31385</v>
      </c>
      <c r="J12043" t="s">
        <v>36077</v>
      </c>
      <c r="K12043" t="s">
        <v>40693</v>
      </c>
      <c r="M12043" t="s">
        <v>43220</v>
      </c>
      <c r="N12043" t="s">
        <v>44905</v>
      </c>
      <c r="O12043" t="s">
        <v>44906</v>
      </c>
      <c r="P12043">
        <v>0</v>
      </c>
      <c r="Q12043">
        <v>1</v>
      </c>
      <c r="R12043" t="s">
        <v>44917</v>
      </c>
      <c r="S12043" t="s">
        <v>45386</v>
      </c>
      <c r="T12043" t="s">
        <v>46538</v>
      </c>
      <c r="U12043" t="s">
        <v>56553</v>
      </c>
      <c r="V12043" t="s">
        <v>60343</v>
      </c>
      <c r="W12043" t="s">
        <v>43220</v>
      </c>
      <c r="X12043" t="s">
        <v>44918</v>
      </c>
    </row>
    <row r="12044" spans="1:24">
      <c r="A12044">
        <f>HYPERLINK("https://www.philgeps.gov.ph/GEPSNONPILOT/Tender/SplashBidNoticeAbstractUI.aspx?menuIndex=3&amp;refID=7061583&amp;Result=3","7061583")</f>
        <v>0</v>
      </c>
      <c r="B12044" t="s">
        <v>2658</v>
      </c>
      <c r="C12044" t="s">
        <v>15024</v>
      </c>
      <c r="D12044" t="s">
        <v>18100</v>
      </c>
      <c r="E12044" t="s">
        <v>28639</v>
      </c>
      <c r="F12044" t="s">
        <v>31362</v>
      </c>
      <c r="G12044" t="s">
        <v>31368</v>
      </c>
      <c r="H12044" t="s">
        <v>15799</v>
      </c>
      <c r="I12044" t="s">
        <v>7719</v>
      </c>
      <c r="J12044" t="s">
        <v>31536</v>
      </c>
      <c r="K12044" t="s">
        <v>40682</v>
      </c>
      <c r="M12044" t="s">
        <v>43842</v>
      </c>
      <c r="N12044" t="s">
        <v>44905</v>
      </c>
      <c r="O12044" t="s">
        <v>44906</v>
      </c>
      <c r="Q12044">
        <v>26</v>
      </c>
      <c r="R12044" t="s">
        <v>44917</v>
      </c>
      <c r="S12044" t="s">
        <v>45446</v>
      </c>
      <c r="T12044" t="s">
        <v>46454</v>
      </c>
      <c r="U12044" t="s">
        <v>56554</v>
      </c>
      <c r="W12044" t="s">
        <v>43842</v>
      </c>
      <c r="X12044" t="s">
        <v>44918</v>
      </c>
    </row>
    <row r="12045" spans="1:24">
      <c r="A12045">
        <f>HYPERLINK("https://www.philgeps.gov.ph/GEPSNONPILOT/Tender/SplashBidNoticeAbstractUI.aspx?menuIndex=3&amp;refID=7061575&amp;Result=3","7061575")</f>
        <v>0</v>
      </c>
      <c r="B12045" t="s">
        <v>299</v>
      </c>
      <c r="C12045" t="s">
        <v>15025</v>
      </c>
      <c r="D12045" t="s">
        <v>18108</v>
      </c>
      <c r="E12045" t="s">
        <v>28640</v>
      </c>
      <c r="F12045" t="s">
        <v>31362</v>
      </c>
      <c r="G12045" t="s">
        <v>31369</v>
      </c>
      <c r="H12045" t="s">
        <v>15799</v>
      </c>
      <c r="I12045" t="s">
        <v>6155</v>
      </c>
      <c r="J12045" t="s">
        <v>38868</v>
      </c>
      <c r="K12045" t="s">
        <v>40661</v>
      </c>
      <c r="M12045" t="s">
        <v>44401</v>
      </c>
      <c r="N12045" t="s">
        <v>44905</v>
      </c>
      <c r="O12045" t="s">
        <v>44906</v>
      </c>
      <c r="P12045">
        <v>0</v>
      </c>
      <c r="Q12045">
        <v>17</v>
      </c>
      <c r="R12045" t="s">
        <v>44917</v>
      </c>
      <c r="S12045" t="s">
        <v>45386</v>
      </c>
      <c r="T12045" t="s">
        <v>46625</v>
      </c>
      <c r="U12045" t="s">
        <v>56530</v>
      </c>
      <c r="W12045" t="s">
        <v>44401</v>
      </c>
      <c r="X12045" t="s">
        <v>44918</v>
      </c>
    </row>
    <row r="12046" spans="1:24">
      <c r="A12046">
        <f>HYPERLINK("https://www.philgeps.gov.ph/GEPSNONPILOT/Tender/SplashBidNoticeAbstractUI.aspx?menuIndex=3&amp;refID=7061605&amp;Result=3","7061605")</f>
        <v>0</v>
      </c>
      <c r="B12046" t="s">
        <v>3175</v>
      </c>
      <c r="C12046" t="s">
        <v>15026</v>
      </c>
      <c r="D12046" t="s">
        <v>18148</v>
      </c>
      <c r="E12046" t="s">
        <v>28641</v>
      </c>
      <c r="F12046" t="s">
        <v>31363</v>
      </c>
      <c r="G12046" t="s">
        <v>31369</v>
      </c>
      <c r="H12046" t="s">
        <v>15799</v>
      </c>
      <c r="I12046" t="s">
        <v>31444</v>
      </c>
      <c r="J12046" t="s">
        <v>32018</v>
      </c>
      <c r="K12046" t="s">
        <v>40670</v>
      </c>
      <c r="M12046" t="s">
        <v>44440</v>
      </c>
      <c r="N12046" t="s">
        <v>44905</v>
      </c>
      <c r="O12046" t="s">
        <v>44906</v>
      </c>
      <c r="P12046">
        <v>0</v>
      </c>
      <c r="Q12046">
        <v>3</v>
      </c>
      <c r="R12046" t="s">
        <v>44917</v>
      </c>
      <c r="S12046" t="s">
        <v>45386</v>
      </c>
      <c r="T12046" t="s">
        <v>46435</v>
      </c>
      <c r="U12046" t="s">
        <v>56555</v>
      </c>
      <c r="W12046" t="s">
        <v>44440</v>
      </c>
      <c r="X12046" t="s">
        <v>44918</v>
      </c>
    </row>
    <row r="12047" spans="1:24">
      <c r="A12047">
        <f>HYPERLINK("https://www.philgeps.gov.ph/GEPSNONPILOT/Tender/SplashBidNoticeAbstractUI.aspx?menuIndex=3&amp;refID=7061267&amp;Result=3","7061267")</f>
        <v>0</v>
      </c>
      <c r="B12047" t="s">
        <v>3176</v>
      </c>
      <c r="C12047" t="s">
        <v>15027</v>
      </c>
      <c r="D12047" t="s">
        <v>18118</v>
      </c>
      <c r="E12047" t="s">
        <v>28642</v>
      </c>
      <c r="F12047" t="s">
        <v>31362</v>
      </c>
      <c r="G12047" t="s">
        <v>31372</v>
      </c>
      <c r="H12047" t="s">
        <v>31378</v>
      </c>
      <c r="I12047" t="s">
        <v>31386</v>
      </c>
      <c r="J12047" t="s">
        <v>31607</v>
      </c>
      <c r="K12047" t="s">
        <v>40686</v>
      </c>
      <c r="M12047" t="s">
        <v>44441</v>
      </c>
      <c r="N12047" t="s">
        <v>44905</v>
      </c>
      <c r="O12047" t="s">
        <v>44906</v>
      </c>
      <c r="P12047">
        <v>0</v>
      </c>
      <c r="Q12047">
        <v>1</v>
      </c>
      <c r="R12047" t="s">
        <v>44917</v>
      </c>
      <c r="S12047" t="s">
        <v>45386</v>
      </c>
      <c r="T12047" t="s">
        <v>46560</v>
      </c>
      <c r="U12047" t="s">
        <v>56556</v>
      </c>
      <c r="W12047" t="s">
        <v>44441</v>
      </c>
      <c r="X12047" t="s">
        <v>44918</v>
      </c>
    </row>
    <row r="12048" spans="1:24">
      <c r="A12048">
        <f>HYPERLINK("https://www.philgeps.gov.ph/GEPSNONPILOT/Tender/SplashBidNoticeAbstractUI.aspx?menuIndex=3&amp;refID=7043995&amp;Result=3","7043995")</f>
        <v>0</v>
      </c>
      <c r="B12048" t="s">
        <v>183</v>
      </c>
      <c r="C12048" t="s">
        <v>15028</v>
      </c>
      <c r="D12048" t="s">
        <v>18129</v>
      </c>
      <c r="E12048" t="s">
        <v>28643</v>
      </c>
      <c r="F12048" t="s">
        <v>31362</v>
      </c>
      <c r="G12048" t="s">
        <v>31369</v>
      </c>
      <c r="H12048" t="s">
        <v>31378</v>
      </c>
      <c r="I12048" t="s">
        <v>31386</v>
      </c>
      <c r="J12048" t="s">
        <v>33068</v>
      </c>
      <c r="K12048" t="s">
        <v>40679</v>
      </c>
      <c r="M12048" t="s">
        <v>41121</v>
      </c>
      <c r="N12048" t="s">
        <v>44905</v>
      </c>
      <c r="O12048" t="s">
        <v>44906</v>
      </c>
      <c r="P12048">
        <v>0</v>
      </c>
      <c r="Q12048">
        <v>0</v>
      </c>
      <c r="R12048" t="s">
        <v>44918</v>
      </c>
      <c r="S12048" t="s">
        <v>45447</v>
      </c>
      <c r="T12048" t="s">
        <v>46392</v>
      </c>
      <c r="U12048" t="s">
        <v>56557</v>
      </c>
      <c r="W12048" t="s">
        <v>41121</v>
      </c>
      <c r="X12048" t="s">
        <v>44926</v>
      </c>
    </row>
    <row r="12049" spans="1:24">
      <c r="A12049">
        <f>HYPERLINK("https://www.philgeps.gov.ph/GEPSNONPILOT/Tender/SplashBidNoticeAbstractUI.aspx?menuIndex=3&amp;refID=7043993&amp;Result=3","7043993")</f>
        <v>0</v>
      </c>
      <c r="B12049" t="s">
        <v>183</v>
      </c>
      <c r="C12049" t="s">
        <v>15029</v>
      </c>
      <c r="D12049" t="s">
        <v>18129</v>
      </c>
      <c r="E12049" t="s">
        <v>28644</v>
      </c>
      <c r="F12049" t="s">
        <v>31362</v>
      </c>
      <c r="G12049" t="s">
        <v>31369</v>
      </c>
      <c r="H12049" t="s">
        <v>31378</v>
      </c>
      <c r="I12049" t="s">
        <v>31386</v>
      </c>
      <c r="J12049" t="s">
        <v>33068</v>
      </c>
      <c r="K12049" t="s">
        <v>40679</v>
      </c>
      <c r="M12049" t="s">
        <v>41121</v>
      </c>
      <c r="N12049" t="s">
        <v>44905</v>
      </c>
      <c r="O12049" t="s">
        <v>44906</v>
      </c>
      <c r="P12049">
        <v>0</v>
      </c>
      <c r="Q12049">
        <v>0</v>
      </c>
      <c r="R12049" t="s">
        <v>44918</v>
      </c>
      <c r="S12049" t="s">
        <v>45447</v>
      </c>
      <c r="T12049" t="s">
        <v>46392</v>
      </c>
      <c r="U12049" t="s">
        <v>56558</v>
      </c>
      <c r="W12049" t="s">
        <v>41121</v>
      </c>
      <c r="X12049" t="s">
        <v>44926</v>
      </c>
    </row>
    <row r="12050" spans="1:24">
      <c r="A12050">
        <f>HYPERLINK("https://www.philgeps.gov.ph/GEPSNONPILOT/Tender/SplashBidNoticeAbstractUI.aspx?menuIndex=3&amp;refID=7061589&amp;Result=3","7061589")</f>
        <v>0</v>
      </c>
      <c r="B12050" t="s">
        <v>3175</v>
      </c>
      <c r="C12050" t="s">
        <v>15030</v>
      </c>
      <c r="D12050" t="s">
        <v>18148</v>
      </c>
      <c r="E12050" t="s">
        <v>28645</v>
      </c>
      <c r="F12050" t="s">
        <v>31363</v>
      </c>
      <c r="G12050" t="s">
        <v>31369</v>
      </c>
      <c r="H12050" t="s">
        <v>31378</v>
      </c>
      <c r="I12050" t="s">
        <v>31386</v>
      </c>
      <c r="J12050" t="s">
        <v>38869</v>
      </c>
      <c r="K12050" t="s">
        <v>40679</v>
      </c>
      <c r="M12050" t="s">
        <v>44442</v>
      </c>
      <c r="N12050" t="s">
        <v>44905</v>
      </c>
      <c r="O12050" t="s">
        <v>44906</v>
      </c>
      <c r="P12050">
        <v>0</v>
      </c>
      <c r="Q12050">
        <v>1</v>
      </c>
      <c r="R12050" t="s">
        <v>44917</v>
      </c>
      <c r="S12050" t="s">
        <v>45386</v>
      </c>
      <c r="T12050" t="s">
        <v>46504</v>
      </c>
      <c r="U12050" t="s">
        <v>56559</v>
      </c>
      <c r="W12050" t="s">
        <v>44442</v>
      </c>
      <c r="X12050" t="s">
        <v>44918</v>
      </c>
    </row>
    <row r="12051" spans="1:24">
      <c r="A12051">
        <f>HYPERLINK("https://www.philgeps.gov.ph/GEPSNONPILOT/Tender/SplashBidNoticeAbstractUI.aspx?menuIndex=3&amp;refID=7043988&amp;Result=3","7043988")</f>
        <v>0</v>
      </c>
      <c r="B12051" t="s">
        <v>183</v>
      </c>
      <c r="C12051" t="s">
        <v>15031</v>
      </c>
      <c r="D12051" t="s">
        <v>18129</v>
      </c>
      <c r="E12051" t="s">
        <v>28646</v>
      </c>
      <c r="F12051" t="s">
        <v>31362</v>
      </c>
      <c r="G12051" t="s">
        <v>31369</v>
      </c>
      <c r="H12051" t="s">
        <v>31378</v>
      </c>
      <c r="I12051" t="s">
        <v>31386</v>
      </c>
      <c r="J12051" t="s">
        <v>33068</v>
      </c>
      <c r="K12051" t="s">
        <v>40679</v>
      </c>
      <c r="M12051" t="s">
        <v>41121</v>
      </c>
      <c r="N12051" t="s">
        <v>44905</v>
      </c>
      <c r="O12051" t="s">
        <v>44906</v>
      </c>
      <c r="P12051">
        <v>0</v>
      </c>
      <c r="Q12051">
        <v>2</v>
      </c>
      <c r="R12051" t="s">
        <v>44918</v>
      </c>
      <c r="S12051" t="s">
        <v>45447</v>
      </c>
      <c r="T12051" t="s">
        <v>46392</v>
      </c>
      <c r="U12051" t="s">
        <v>56560</v>
      </c>
      <c r="W12051" t="s">
        <v>41121</v>
      </c>
      <c r="X12051" t="s">
        <v>44926</v>
      </c>
    </row>
    <row r="12052" spans="1:24">
      <c r="A12052">
        <f>HYPERLINK("https://www.philgeps.gov.ph/GEPSNONPILOT/Tender/SplashBidNoticeAbstractUI.aspx?menuIndex=3&amp;refID=7061274&amp;Result=3","7061274")</f>
        <v>0</v>
      </c>
      <c r="B12052" t="s">
        <v>3177</v>
      </c>
      <c r="C12052" t="s">
        <v>15032</v>
      </c>
      <c r="D12052" t="s">
        <v>18134</v>
      </c>
      <c r="E12052" t="s">
        <v>28647</v>
      </c>
      <c r="F12052" t="s">
        <v>31362</v>
      </c>
      <c r="G12052" t="s">
        <v>31370</v>
      </c>
      <c r="H12052" t="s">
        <v>15799</v>
      </c>
      <c r="I12052" t="s">
        <v>6373</v>
      </c>
      <c r="J12052" t="s">
        <v>38870</v>
      </c>
      <c r="K12052" t="s">
        <v>40661</v>
      </c>
      <c r="M12052" t="s">
        <v>44443</v>
      </c>
      <c r="N12052" t="s">
        <v>44905</v>
      </c>
      <c r="O12052" t="s">
        <v>44906</v>
      </c>
      <c r="P12052">
        <v>0</v>
      </c>
      <c r="Q12052">
        <v>6</v>
      </c>
      <c r="R12052" t="s">
        <v>44917</v>
      </c>
      <c r="S12052" t="s">
        <v>45386</v>
      </c>
      <c r="T12052" t="s">
        <v>46470</v>
      </c>
      <c r="U12052" t="s">
        <v>56561</v>
      </c>
      <c r="W12052" t="s">
        <v>44443</v>
      </c>
      <c r="X12052" t="s">
        <v>44918</v>
      </c>
    </row>
    <row r="12053" spans="1:24">
      <c r="A12053">
        <f>HYPERLINK("https://www.philgeps.gov.ph/GEPSNONPILOT/Tender/SplashBidNoticeAbstractUI.aspx?menuIndex=3&amp;refID=7061579&amp;Result=3","7061579")</f>
        <v>0</v>
      </c>
      <c r="B12053" t="s">
        <v>3178</v>
      </c>
      <c r="C12053" t="s">
        <v>15033</v>
      </c>
      <c r="D12053" t="s">
        <v>18111</v>
      </c>
      <c r="E12053" t="s">
        <v>28648</v>
      </c>
      <c r="F12053" t="s">
        <v>31362</v>
      </c>
      <c r="G12053" t="s">
        <v>31369</v>
      </c>
      <c r="H12053" t="s">
        <v>31378</v>
      </c>
      <c r="I12053" t="s">
        <v>31386</v>
      </c>
      <c r="J12053" t="s">
        <v>38871</v>
      </c>
      <c r="K12053" t="s">
        <v>40771</v>
      </c>
      <c r="M12053" t="s">
        <v>44444</v>
      </c>
      <c r="N12053" t="s">
        <v>44905</v>
      </c>
      <c r="O12053" t="s">
        <v>44906</v>
      </c>
      <c r="P12053">
        <v>0</v>
      </c>
      <c r="Q12053">
        <v>2</v>
      </c>
      <c r="R12053" t="s">
        <v>44917</v>
      </c>
      <c r="S12053" t="s">
        <v>45386</v>
      </c>
      <c r="T12053" t="s">
        <v>46392</v>
      </c>
      <c r="U12053" t="s">
        <v>56562</v>
      </c>
      <c r="W12053" t="s">
        <v>44444</v>
      </c>
      <c r="X12053" t="s">
        <v>44918</v>
      </c>
    </row>
    <row r="12054" spans="1:24">
      <c r="A12054">
        <f>HYPERLINK("https://www.philgeps.gov.ph/GEPSNONPILOT/Tender/SplashBidNoticeAbstractUI.aspx?menuIndex=3&amp;refID=7043985&amp;Result=3","7043985")</f>
        <v>0</v>
      </c>
      <c r="B12054" t="s">
        <v>183</v>
      </c>
      <c r="C12054" t="s">
        <v>15034</v>
      </c>
      <c r="D12054" t="s">
        <v>18129</v>
      </c>
      <c r="E12054" t="s">
        <v>28649</v>
      </c>
      <c r="F12054" t="s">
        <v>31362</v>
      </c>
      <c r="G12054" t="s">
        <v>31369</v>
      </c>
      <c r="H12054" t="s">
        <v>31378</v>
      </c>
      <c r="I12054" t="s">
        <v>31386</v>
      </c>
      <c r="J12054" t="s">
        <v>33068</v>
      </c>
      <c r="K12054" t="s">
        <v>40679</v>
      </c>
      <c r="M12054" t="s">
        <v>41121</v>
      </c>
      <c r="N12054" t="s">
        <v>44905</v>
      </c>
      <c r="O12054" t="s">
        <v>44906</v>
      </c>
      <c r="P12054">
        <v>0</v>
      </c>
      <c r="Q12054">
        <v>2</v>
      </c>
      <c r="R12054" t="s">
        <v>44918</v>
      </c>
      <c r="S12054" t="s">
        <v>45447</v>
      </c>
      <c r="T12054" t="s">
        <v>46392</v>
      </c>
      <c r="U12054" t="s">
        <v>56563</v>
      </c>
      <c r="W12054" t="s">
        <v>41121</v>
      </c>
      <c r="X12054" t="s">
        <v>44926</v>
      </c>
    </row>
    <row r="12055" spans="1:24">
      <c r="A12055">
        <f>HYPERLINK("https://www.philgeps.gov.ph/GEPSNONPILOT/Tender/SplashBidNoticeAbstractUI.aspx?menuIndex=3&amp;refID=7043981&amp;Result=3","7043981")</f>
        <v>0</v>
      </c>
      <c r="B12055" t="s">
        <v>183</v>
      </c>
      <c r="C12055" t="s">
        <v>15035</v>
      </c>
      <c r="D12055" t="s">
        <v>18129</v>
      </c>
      <c r="E12055" t="s">
        <v>28650</v>
      </c>
      <c r="F12055" t="s">
        <v>31362</v>
      </c>
      <c r="G12055" t="s">
        <v>31369</v>
      </c>
      <c r="H12055" t="s">
        <v>31378</v>
      </c>
      <c r="I12055" t="s">
        <v>31386</v>
      </c>
      <c r="J12055" t="s">
        <v>33068</v>
      </c>
      <c r="K12055" t="s">
        <v>40679</v>
      </c>
      <c r="M12055" t="s">
        <v>41121</v>
      </c>
      <c r="N12055" t="s">
        <v>44905</v>
      </c>
      <c r="O12055" t="s">
        <v>44906</v>
      </c>
      <c r="P12055">
        <v>0</v>
      </c>
      <c r="Q12055">
        <v>2</v>
      </c>
      <c r="R12055" t="s">
        <v>44918</v>
      </c>
      <c r="S12055" t="s">
        <v>45447</v>
      </c>
      <c r="T12055" t="s">
        <v>46392</v>
      </c>
      <c r="U12055" t="s">
        <v>56564</v>
      </c>
      <c r="W12055" t="s">
        <v>41121</v>
      </c>
      <c r="X12055" t="s">
        <v>44926</v>
      </c>
    </row>
    <row r="12056" spans="1:24">
      <c r="A12056">
        <f>HYPERLINK("https://www.philgeps.gov.ph/GEPSNONPILOT/Tender/SplashBidNoticeAbstractUI.aspx?menuIndex=3&amp;refID=7043978&amp;Result=3","7043978")</f>
        <v>0</v>
      </c>
      <c r="B12056" t="s">
        <v>183</v>
      </c>
      <c r="C12056" t="s">
        <v>15036</v>
      </c>
      <c r="D12056" t="s">
        <v>18129</v>
      </c>
      <c r="E12056" t="s">
        <v>28651</v>
      </c>
      <c r="F12056" t="s">
        <v>31362</v>
      </c>
      <c r="G12056" t="s">
        <v>31369</v>
      </c>
      <c r="H12056" t="s">
        <v>31378</v>
      </c>
      <c r="I12056" t="s">
        <v>31386</v>
      </c>
      <c r="J12056" t="s">
        <v>33068</v>
      </c>
      <c r="K12056" t="s">
        <v>40679</v>
      </c>
      <c r="M12056" t="s">
        <v>41121</v>
      </c>
      <c r="N12056" t="s">
        <v>44905</v>
      </c>
      <c r="O12056" t="s">
        <v>44906</v>
      </c>
      <c r="P12056">
        <v>0</v>
      </c>
      <c r="Q12056">
        <v>2</v>
      </c>
      <c r="R12056" t="s">
        <v>44918</v>
      </c>
      <c r="S12056" t="s">
        <v>45447</v>
      </c>
      <c r="T12056" t="s">
        <v>46392</v>
      </c>
      <c r="U12056" t="s">
        <v>56565</v>
      </c>
      <c r="W12056" t="s">
        <v>41121</v>
      </c>
      <c r="X12056" t="s">
        <v>44926</v>
      </c>
    </row>
    <row r="12057" spans="1:24">
      <c r="A12057">
        <f>HYPERLINK("https://www.philgeps.gov.ph/GEPSNONPILOT/Tender/SplashBidNoticeAbstractUI.aspx?menuIndex=3&amp;refID=7061682&amp;Result=3","7061682")</f>
        <v>0</v>
      </c>
      <c r="B12057" t="s">
        <v>3179</v>
      </c>
      <c r="C12057" t="s">
        <v>15037</v>
      </c>
      <c r="D12057" t="s">
        <v>18178</v>
      </c>
      <c r="E12057" t="s">
        <v>28652</v>
      </c>
      <c r="F12057" t="s">
        <v>31362</v>
      </c>
      <c r="G12057" t="s">
        <v>31369</v>
      </c>
      <c r="H12057" t="s">
        <v>31378</v>
      </c>
      <c r="I12057" t="s">
        <v>31386</v>
      </c>
      <c r="J12057" t="s">
        <v>31709</v>
      </c>
      <c r="K12057" t="s">
        <v>40841</v>
      </c>
      <c r="M12057" t="s">
        <v>44445</v>
      </c>
      <c r="N12057" t="s">
        <v>44905</v>
      </c>
      <c r="O12057" t="s">
        <v>44906</v>
      </c>
      <c r="P12057">
        <v>0</v>
      </c>
      <c r="Q12057">
        <v>0</v>
      </c>
      <c r="R12057" t="s">
        <v>44917</v>
      </c>
      <c r="S12057" t="s">
        <v>45386</v>
      </c>
      <c r="T12057" t="s">
        <v>46435</v>
      </c>
      <c r="U12057" t="s">
        <v>56566</v>
      </c>
      <c r="W12057" t="s">
        <v>44445</v>
      </c>
      <c r="X12057" t="s">
        <v>44918</v>
      </c>
    </row>
    <row r="12058" spans="1:24">
      <c r="A12058">
        <f>HYPERLINK("https://www.philgeps.gov.ph/GEPSNONPILOT/Tender/SplashBidNoticeAbstractUI.aspx?menuIndex=3&amp;refID=7061678&amp;Result=3","7061678")</f>
        <v>0</v>
      </c>
      <c r="B12058" t="s">
        <v>3179</v>
      </c>
      <c r="C12058" t="s">
        <v>15038</v>
      </c>
      <c r="D12058" t="s">
        <v>18178</v>
      </c>
      <c r="E12058" t="s">
        <v>28653</v>
      </c>
      <c r="F12058" t="s">
        <v>31362</v>
      </c>
      <c r="G12058" t="s">
        <v>31369</v>
      </c>
      <c r="H12058" t="s">
        <v>31378</v>
      </c>
      <c r="I12058" t="s">
        <v>31386</v>
      </c>
      <c r="J12058" t="s">
        <v>31709</v>
      </c>
      <c r="K12058" t="s">
        <v>40902</v>
      </c>
      <c r="M12058" t="s">
        <v>44445</v>
      </c>
      <c r="N12058" t="s">
        <v>44905</v>
      </c>
      <c r="O12058" t="s">
        <v>44906</v>
      </c>
      <c r="P12058">
        <v>0</v>
      </c>
      <c r="Q12058">
        <v>0</v>
      </c>
      <c r="R12058" t="s">
        <v>44917</v>
      </c>
      <c r="S12058" t="s">
        <v>45386</v>
      </c>
      <c r="T12058" t="s">
        <v>46435</v>
      </c>
      <c r="U12058" t="s">
        <v>56567</v>
      </c>
      <c r="W12058" t="s">
        <v>44445</v>
      </c>
      <c r="X12058" t="s">
        <v>44918</v>
      </c>
    </row>
    <row r="12059" spans="1:24">
      <c r="A12059">
        <f>HYPERLINK("https://www.philgeps.gov.ph/GEPSNONPILOT/Tender/SplashBidNoticeAbstractUI.aspx?menuIndex=3&amp;refID=7061676&amp;Result=3","7061676")</f>
        <v>0</v>
      </c>
      <c r="B12059" t="s">
        <v>3179</v>
      </c>
      <c r="C12059" t="s">
        <v>15039</v>
      </c>
      <c r="D12059" t="s">
        <v>18178</v>
      </c>
      <c r="E12059" t="s">
        <v>28654</v>
      </c>
      <c r="F12059" t="s">
        <v>31362</v>
      </c>
      <c r="G12059" t="s">
        <v>31369</v>
      </c>
      <c r="H12059" t="s">
        <v>31378</v>
      </c>
      <c r="I12059" t="s">
        <v>31386</v>
      </c>
      <c r="J12059" t="s">
        <v>36067</v>
      </c>
      <c r="K12059" t="s">
        <v>40903</v>
      </c>
      <c r="M12059" t="s">
        <v>44445</v>
      </c>
      <c r="N12059" t="s">
        <v>44905</v>
      </c>
      <c r="O12059" t="s">
        <v>44906</v>
      </c>
      <c r="P12059">
        <v>0</v>
      </c>
      <c r="Q12059">
        <v>0</v>
      </c>
      <c r="R12059" t="s">
        <v>44917</v>
      </c>
      <c r="S12059" t="s">
        <v>45386</v>
      </c>
      <c r="T12059" t="s">
        <v>46435</v>
      </c>
      <c r="U12059" t="s">
        <v>56566</v>
      </c>
      <c r="W12059" t="s">
        <v>44445</v>
      </c>
      <c r="X12059" t="s">
        <v>44918</v>
      </c>
    </row>
    <row r="12060" spans="1:24">
      <c r="A12060">
        <f>HYPERLINK("https://www.philgeps.gov.ph/GEPSNONPILOT/Tender/SplashBidNoticeAbstractUI.aspx?menuIndex=3&amp;refID=7061607&amp;Result=3","7061607")</f>
        <v>0</v>
      </c>
      <c r="B12060" t="s">
        <v>660</v>
      </c>
      <c r="C12060" t="s">
        <v>15040</v>
      </c>
      <c r="D12060" t="s">
        <v>18116</v>
      </c>
      <c r="E12060" t="s">
        <v>28655</v>
      </c>
      <c r="F12060" t="s">
        <v>31362</v>
      </c>
      <c r="G12060" t="s">
        <v>31369</v>
      </c>
      <c r="H12060" t="s">
        <v>31378</v>
      </c>
      <c r="I12060" t="s">
        <v>31386</v>
      </c>
      <c r="J12060" t="s">
        <v>32877</v>
      </c>
      <c r="K12060" t="s">
        <v>40900</v>
      </c>
      <c r="M12060" t="s">
        <v>41622</v>
      </c>
      <c r="N12060" t="s">
        <v>44905</v>
      </c>
      <c r="O12060" t="s">
        <v>44906</v>
      </c>
      <c r="P12060">
        <v>0</v>
      </c>
      <c r="Q12060">
        <v>13</v>
      </c>
      <c r="R12060" t="s">
        <v>44917</v>
      </c>
      <c r="S12060" t="s">
        <v>45386</v>
      </c>
      <c r="T12060" t="s">
        <v>46462</v>
      </c>
      <c r="U12060" t="s">
        <v>56568</v>
      </c>
      <c r="W12060" t="s">
        <v>41622</v>
      </c>
      <c r="X12060" t="s">
        <v>44918</v>
      </c>
    </row>
    <row r="12061" spans="1:24">
      <c r="A12061">
        <f>HYPERLINK("https://www.philgeps.gov.ph/GEPSNONPILOT/Tender/SplashBidNoticeAbstractUI.aspx?menuIndex=3&amp;refID=7061675&amp;Result=3","7061675")</f>
        <v>0</v>
      </c>
      <c r="B12061" t="s">
        <v>2087</v>
      </c>
      <c r="C12061" t="s">
        <v>15041</v>
      </c>
      <c r="D12061" t="s">
        <v>18177</v>
      </c>
      <c r="E12061" t="s">
        <v>28656</v>
      </c>
      <c r="F12061" t="s">
        <v>31363</v>
      </c>
      <c r="G12061" t="s">
        <v>31369</v>
      </c>
      <c r="H12061" t="s">
        <v>31378</v>
      </c>
      <c r="I12061" t="s">
        <v>31435</v>
      </c>
      <c r="J12061" t="s">
        <v>33868</v>
      </c>
      <c r="K12061" t="s">
        <v>40684</v>
      </c>
      <c r="L12061" t="s">
        <v>2087</v>
      </c>
      <c r="M12061" t="s">
        <v>43210</v>
      </c>
      <c r="N12061" t="s">
        <v>44905</v>
      </c>
      <c r="O12061" t="s">
        <v>44906</v>
      </c>
      <c r="P12061">
        <v>0</v>
      </c>
      <c r="Q12061">
        <v>2</v>
      </c>
      <c r="R12061" t="s">
        <v>44917</v>
      </c>
      <c r="S12061" t="s">
        <v>45386</v>
      </c>
      <c r="T12061" t="s">
        <v>46418</v>
      </c>
      <c r="U12061" t="s">
        <v>56569</v>
      </c>
      <c r="W12061" t="s">
        <v>43210</v>
      </c>
      <c r="X12061" t="s">
        <v>44918</v>
      </c>
    </row>
    <row r="12062" spans="1:24">
      <c r="A12062">
        <f>HYPERLINK("https://www.philgeps.gov.ph/GEPSNONPILOT/Tender/SplashBidNoticeAbstractUI.aspx?menuIndex=3&amp;refID=7061674&amp;Result=3","7061674")</f>
        <v>0</v>
      </c>
      <c r="B12062" t="s">
        <v>3179</v>
      </c>
      <c r="C12062" t="s">
        <v>15042</v>
      </c>
      <c r="D12062" t="s">
        <v>18178</v>
      </c>
      <c r="E12062" t="s">
        <v>28657</v>
      </c>
      <c r="F12062" t="s">
        <v>31362</v>
      </c>
      <c r="G12062" t="s">
        <v>31369</v>
      </c>
      <c r="H12062" t="s">
        <v>31378</v>
      </c>
      <c r="I12062" t="s">
        <v>31386</v>
      </c>
      <c r="J12062" t="s">
        <v>33868</v>
      </c>
      <c r="K12062" t="s">
        <v>40904</v>
      </c>
      <c r="M12062" t="s">
        <v>44445</v>
      </c>
      <c r="N12062" t="s">
        <v>44905</v>
      </c>
      <c r="O12062" t="s">
        <v>44906</v>
      </c>
      <c r="P12062">
        <v>0</v>
      </c>
      <c r="Q12062">
        <v>0</v>
      </c>
      <c r="R12062" t="s">
        <v>44917</v>
      </c>
      <c r="S12062" t="s">
        <v>45386</v>
      </c>
      <c r="T12062" t="s">
        <v>46435</v>
      </c>
      <c r="U12062" t="s">
        <v>56570</v>
      </c>
      <c r="W12062" t="s">
        <v>44445</v>
      </c>
      <c r="X12062" t="s">
        <v>44918</v>
      </c>
    </row>
    <row r="12063" spans="1:24">
      <c r="A12063">
        <f>HYPERLINK("https://www.philgeps.gov.ph/GEPSNONPILOT/Tender/SplashBidNoticeAbstractUI.aspx?menuIndex=3&amp;refID=7061672&amp;Result=3","7061672")</f>
        <v>0</v>
      </c>
      <c r="B12063" t="s">
        <v>1610</v>
      </c>
      <c r="C12063" t="s">
        <v>15043</v>
      </c>
      <c r="D12063" t="s">
        <v>18133</v>
      </c>
      <c r="E12063" t="s">
        <v>20179</v>
      </c>
      <c r="F12063" t="s">
        <v>31362</v>
      </c>
      <c r="G12063" t="s">
        <v>31369</v>
      </c>
      <c r="H12063" t="s">
        <v>15799</v>
      </c>
      <c r="I12063" t="s">
        <v>31455</v>
      </c>
      <c r="J12063" t="s">
        <v>33161</v>
      </c>
      <c r="K12063" t="s">
        <v>40661</v>
      </c>
      <c r="L12063" t="s">
        <v>1610</v>
      </c>
      <c r="M12063" t="s">
        <v>42669</v>
      </c>
      <c r="N12063" t="s">
        <v>44905</v>
      </c>
      <c r="O12063" t="s">
        <v>44906</v>
      </c>
      <c r="P12063">
        <v>0</v>
      </c>
      <c r="Q12063">
        <v>0</v>
      </c>
      <c r="R12063" t="s">
        <v>44917</v>
      </c>
      <c r="S12063" t="s">
        <v>45386</v>
      </c>
      <c r="T12063" t="s">
        <v>46530</v>
      </c>
      <c r="U12063" t="s">
        <v>56571</v>
      </c>
      <c r="W12063" t="s">
        <v>42669</v>
      </c>
      <c r="X12063" t="s">
        <v>44918</v>
      </c>
    </row>
    <row r="12064" spans="1:24">
      <c r="A12064">
        <f>HYPERLINK("https://www.philgeps.gov.ph/GEPSNONPILOT/Tender/SplashBidNoticeAbstractUI.aspx?menuIndex=3&amp;refID=7061668&amp;Result=3","7061668")</f>
        <v>0</v>
      </c>
      <c r="B12064" t="s">
        <v>1610</v>
      </c>
      <c r="C12064" t="s">
        <v>15044</v>
      </c>
      <c r="D12064" t="s">
        <v>18133</v>
      </c>
      <c r="E12064" t="s">
        <v>24154</v>
      </c>
      <c r="F12064" t="s">
        <v>31362</v>
      </c>
      <c r="G12064" t="s">
        <v>31369</v>
      </c>
      <c r="H12064" t="s">
        <v>15799</v>
      </c>
      <c r="I12064" t="s">
        <v>31459</v>
      </c>
      <c r="J12064" t="s">
        <v>38872</v>
      </c>
      <c r="K12064" t="s">
        <v>40661</v>
      </c>
      <c r="L12064" t="s">
        <v>1610</v>
      </c>
      <c r="M12064" t="s">
        <v>42669</v>
      </c>
      <c r="N12064" t="s">
        <v>44905</v>
      </c>
      <c r="O12064" t="s">
        <v>44906</v>
      </c>
      <c r="P12064">
        <v>0</v>
      </c>
      <c r="Q12064">
        <v>2</v>
      </c>
      <c r="R12064" t="s">
        <v>44917</v>
      </c>
      <c r="S12064" t="s">
        <v>45386</v>
      </c>
      <c r="T12064" t="s">
        <v>46530</v>
      </c>
      <c r="U12064" t="s">
        <v>56572</v>
      </c>
      <c r="W12064" t="s">
        <v>42669</v>
      </c>
      <c r="X12064" t="s">
        <v>44918</v>
      </c>
    </row>
    <row r="12065" spans="1:24">
      <c r="A12065">
        <f>HYPERLINK("https://www.philgeps.gov.ph/GEPSNONPILOT/Tender/SplashBidNoticeAbstractUI.aspx?menuIndex=3&amp;refID=7043997&amp;Result=3","7043997")</f>
        <v>0</v>
      </c>
      <c r="B12065" t="s">
        <v>183</v>
      </c>
      <c r="C12065" t="s">
        <v>15045</v>
      </c>
      <c r="D12065" t="s">
        <v>18129</v>
      </c>
      <c r="E12065" t="s">
        <v>28658</v>
      </c>
      <c r="F12065" t="s">
        <v>31362</v>
      </c>
      <c r="G12065" t="s">
        <v>31369</v>
      </c>
      <c r="H12065" t="s">
        <v>31378</v>
      </c>
      <c r="I12065" t="s">
        <v>31386</v>
      </c>
      <c r="J12065" t="s">
        <v>33068</v>
      </c>
      <c r="K12065" t="s">
        <v>40679</v>
      </c>
      <c r="M12065" t="s">
        <v>41121</v>
      </c>
      <c r="N12065" t="s">
        <v>44905</v>
      </c>
      <c r="O12065" t="s">
        <v>44906</v>
      </c>
      <c r="P12065">
        <v>0</v>
      </c>
      <c r="Q12065">
        <v>0</v>
      </c>
      <c r="R12065" t="s">
        <v>44918</v>
      </c>
      <c r="S12065" t="s">
        <v>45447</v>
      </c>
      <c r="T12065" t="s">
        <v>46392</v>
      </c>
      <c r="U12065" t="s">
        <v>56573</v>
      </c>
      <c r="W12065" t="s">
        <v>41121</v>
      </c>
      <c r="X12065" t="s">
        <v>44926</v>
      </c>
    </row>
    <row r="12066" spans="1:24">
      <c r="A12066">
        <f>HYPERLINK("https://www.philgeps.gov.ph/GEPSNONPILOT/Tender/SplashBidNoticeAbstractUI.aspx?menuIndex=3&amp;refID=7054026&amp;Result=3","7054026")</f>
        <v>0</v>
      </c>
      <c r="B12066" t="s">
        <v>697</v>
      </c>
      <c r="C12066" t="s">
        <v>15046</v>
      </c>
      <c r="D12066" t="s">
        <v>18146</v>
      </c>
      <c r="E12066" t="s">
        <v>28659</v>
      </c>
      <c r="F12066" t="s">
        <v>31364</v>
      </c>
      <c r="G12066" t="s">
        <v>31369</v>
      </c>
      <c r="H12066" t="s">
        <v>31378</v>
      </c>
      <c r="I12066" t="s">
        <v>31386</v>
      </c>
      <c r="J12066" t="s">
        <v>38873</v>
      </c>
      <c r="K12066" t="s">
        <v>40682</v>
      </c>
      <c r="M12066" t="s">
        <v>41662</v>
      </c>
      <c r="N12066" t="s">
        <v>44905</v>
      </c>
      <c r="O12066" t="s">
        <v>44906</v>
      </c>
      <c r="P12066">
        <v>0</v>
      </c>
      <c r="Q12066">
        <v>0</v>
      </c>
      <c r="R12066" t="s">
        <v>44918</v>
      </c>
      <c r="S12066" t="s">
        <v>45447</v>
      </c>
      <c r="T12066" t="s">
        <v>46837</v>
      </c>
      <c r="U12066" t="s">
        <v>56574</v>
      </c>
      <c r="W12066" t="s">
        <v>41662</v>
      </c>
      <c r="X12066" t="s">
        <v>44922</v>
      </c>
    </row>
    <row r="12067" spans="1:24">
      <c r="A12067">
        <f>HYPERLINK("https://www.philgeps.gov.ph/GEPSNONPILOT/Tender/SplashBidNoticeAbstractUI.aspx?menuIndex=3&amp;refID=7030335&amp;Result=3","7030335")</f>
        <v>0</v>
      </c>
      <c r="B12067" t="s">
        <v>2770</v>
      </c>
      <c r="C12067" t="s">
        <v>15047</v>
      </c>
      <c r="D12067" t="s">
        <v>18117</v>
      </c>
      <c r="E12067" t="s">
        <v>28660</v>
      </c>
      <c r="F12067" t="s">
        <v>31362</v>
      </c>
      <c r="G12067" t="s">
        <v>31369</v>
      </c>
      <c r="H12067" t="s">
        <v>15799</v>
      </c>
      <c r="I12067" t="s">
        <v>4283</v>
      </c>
      <c r="J12067" t="s">
        <v>38874</v>
      </c>
      <c r="K12067" t="s">
        <v>40677</v>
      </c>
      <c r="M12067" t="s">
        <v>43963</v>
      </c>
      <c r="N12067" t="s">
        <v>44905</v>
      </c>
      <c r="O12067" t="s">
        <v>44906</v>
      </c>
      <c r="P12067">
        <v>0</v>
      </c>
      <c r="Q12067">
        <v>12</v>
      </c>
      <c r="R12067" t="s">
        <v>44918</v>
      </c>
      <c r="S12067" t="s">
        <v>45447</v>
      </c>
      <c r="T12067" t="s">
        <v>46419</v>
      </c>
      <c r="U12067" t="s">
        <v>56575</v>
      </c>
      <c r="V12067" t="s">
        <v>60344</v>
      </c>
      <c r="W12067" t="s">
        <v>43963</v>
      </c>
      <c r="X12067" t="s">
        <v>44935</v>
      </c>
    </row>
    <row r="12068" spans="1:24">
      <c r="A12068">
        <f>HYPERLINK("https://www.philgeps.gov.ph/GEPSNONPILOT/Tender/SplashBidNoticeAbstractUI.aspx?menuIndex=3&amp;refID=7043992&amp;Result=3","7043992")</f>
        <v>0</v>
      </c>
      <c r="B12068" t="s">
        <v>183</v>
      </c>
      <c r="C12068" t="s">
        <v>15048</v>
      </c>
      <c r="D12068" t="s">
        <v>18129</v>
      </c>
      <c r="E12068" t="s">
        <v>28661</v>
      </c>
      <c r="F12068" t="s">
        <v>31362</v>
      </c>
      <c r="G12068" t="s">
        <v>31369</v>
      </c>
      <c r="H12068" t="s">
        <v>31378</v>
      </c>
      <c r="I12068" t="s">
        <v>31386</v>
      </c>
      <c r="J12068" t="s">
        <v>33068</v>
      </c>
      <c r="K12068" t="s">
        <v>40679</v>
      </c>
      <c r="M12068" t="s">
        <v>41121</v>
      </c>
      <c r="N12068" t="s">
        <v>44905</v>
      </c>
      <c r="O12068" t="s">
        <v>44906</v>
      </c>
      <c r="P12068">
        <v>0</v>
      </c>
      <c r="Q12068">
        <v>0</v>
      </c>
      <c r="R12068" t="s">
        <v>44918</v>
      </c>
      <c r="S12068" t="s">
        <v>45447</v>
      </c>
      <c r="T12068" t="s">
        <v>46392</v>
      </c>
      <c r="U12068" t="s">
        <v>56576</v>
      </c>
      <c r="W12068" t="s">
        <v>41121</v>
      </c>
      <c r="X12068" t="s">
        <v>44926</v>
      </c>
    </row>
    <row r="12069" spans="1:24">
      <c r="A12069">
        <f>HYPERLINK("https://www.philgeps.gov.ph/GEPSNONPILOT/Tender/SplashBidNoticeAbstractUI.aspx?menuIndex=3&amp;refID=7054224&amp;Result=3","7054224")</f>
        <v>0</v>
      </c>
      <c r="B12069" t="s">
        <v>2510</v>
      </c>
      <c r="C12069" t="s">
        <v>15049</v>
      </c>
      <c r="D12069" t="s">
        <v>18117</v>
      </c>
      <c r="E12069" t="s">
        <v>20853</v>
      </c>
      <c r="F12069" t="s">
        <v>31362</v>
      </c>
      <c r="G12069" t="s">
        <v>31369</v>
      </c>
      <c r="H12069" t="s">
        <v>15799</v>
      </c>
      <c r="I12069" t="s">
        <v>31409</v>
      </c>
      <c r="J12069" t="s">
        <v>38875</v>
      </c>
      <c r="K12069" t="s">
        <v>40665</v>
      </c>
      <c r="M12069" t="s">
        <v>43679</v>
      </c>
      <c r="N12069" t="s">
        <v>44905</v>
      </c>
      <c r="O12069" t="s">
        <v>44906</v>
      </c>
      <c r="P12069">
        <v>0</v>
      </c>
      <c r="Q12069">
        <v>4</v>
      </c>
      <c r="R12069" t="s">
        <v>44918</v>
      </c>
      <c r="S12069" t="s">
        <v>45447</v>
      </c>
      <c r="T12069" t="s">
        <v>46499</v>
      </c>
      <c r="U12069" t="s">
        <v>56577</v>
      </c>
      <c r="W12069" t="s">
        <v>43679</v>
      </c>
      <c r="X12069" t="s">
        <v>44922</v>
      </c>
    </row>
    <row r="12070" spans="1:24">
      <c r="A12070">
        <f>HYPERLINK("https://www.philgeps.gov.ph/GEPSNONPILOT/Tender/SplashBidNoticeAbstractUI.aspx?menuIndex=3&amp;refID=7054136&amp;Result=3","7054136")</f>
        <v>0</v>
      </c>
      <c r="B12070" t="s">
        <v>2510</v>
      </c>
      <c r="C12070" t="s">
        <v>15050</v>
      </c>
      <c r="D12070" t="s">
        <v>18117</v>
      </c>
      <c r="E12070" t="s">
        <v>19064</v>
      </c>
      <c r="F12070" t="s">
        <v>31362</v>
      </c>
      <c r="G12070" t="s">
        <v>31369</v>
      </c>
      <c r="H12070" t="s">
        <v>15799</v>
      </c>
      <c r="I12070" t="s">
        <v>31409</v>
      </c>
      <c r="J12070" t="s">
        <v>38767</v>
      </c>
      <c r="K12070" t="s">
        <v>40665</v>
      </c>
      <c r="M12070" t="s">
        <v>43679</v>
      </c>
      <c r="N12070" t="s">
        <v>44905</v>
      </c>
      <c r="O12070" t="s">
        <v>44906</v>
      </c>
      <c r="P12070">
        <v>0</v>
      </c>
      <c r="Q12070">
        <v>3</v>
      </c>
      <c r="R12070" t="s">
        <v>44918</v>
      </c>
      <c r="S12070" t="s">
        <v>45447</v>
      </c>
      <c r="T12070" t="s">
        <v>46499</v>
      </c>
      <c r="U12070" t="s">
        <v>56577</v>
      </c>
      <c r="W12070" t="s">
        <v>43679</v>
      </c>
      <c r="X12070" t="s">
        <v>44922</v>
      </c>
    </row>
    <row r="12071" spans="1:24">
      <c r="A12071">
        <f>HYPERLINK("https://www.philgeps.gov.ph/GEPSNONPILOT/Tender/SplashBidNoticeAbstractUI.aspx?menuIndex=3&amp;refID=7053398&amp;Result=3","7053398")</f>
        <v>0</v>
      </c>
      <c r="B12071" t="s">
        <v>2498</v>
      </c>
      <c r="C12071" t="s">
        <v>15051</v>
      </c>
      <c r="D12071" t="s">
        <v>18142</v>
      </c>
      <c r="E12071" t="s">
        <v>28662</v>
      </c>
      <c r="F12071" t="s">
        <v>31362</v>
      </c>
      <c r="G12071" t="s">
        <v>31369</v>
      </c>
      <c r="H12071" t="s">
        <v>31378</v>
      </c>
      <c r="I12071" t="s">
        <v>31386</v>
      </c>
      <c r="J12071" t="s">
        <v>38876</v>
      </c>
      <c r="K12071" t="s">
        <v>40686</v>
      </c>
      <c r="M12071" t="s">
        <v>43665</v>
      </c>
      <c r="N12071" t="s">
        <v>44905</v>
      </c>
      <c r="O12071" t="s">
        <v>44906</v>
      </c>
      <c r="P12071">
        <v>0</v>
      </c>
      <c r="Q12071">
        <v>0</v>
      </c>
      <c r="R12071" t="s">
        <v>44918</v>
      </c>
      <c r="S12071" t="s">
        <v>45447</v>
      </c>
      <c r="T12071" t="s">
        <v>46585</v>
      </c>
      <c r="U12071" t="s">
        <v>56578</v>
      </c>
      <c r="V12071" t="s">
        <v>60345</v>
      </c>
      <c r="W12071" t="s">
        <v>43665</v>
      </c>
      <c r="X12071" t="s">
        <v>44922</v>
      </c>
    </row>
    <row r="12072" spans="1:24">
      <c r="A12072">
        <f>HYPERLINK("https://www.philgeps.gov.ph/GEPSNONPILOT/Tender/SplashBidNoticeAbstractUI.aspx?menuIndex=3&amp;refID=7052888&amp;Result=3","7052888")</f>
        <v>0</v>
      </c>
      <c r="B12072" t="s">
        <v>501</v>
      </c>
      <c r="C12072" t="s">
        <v>15052</v>
      </c>
      <c r="E12072" t="s">
        <v>28663</v>
      </c>
      <c r="F12072" t="s">
        <v>31362</v>
      </c>
      <c r="G12072" t="s">
        <v>31369</v>
      </c>
      <c r="H12072" t="s">
        <v>15799</v>
      </c>
      <c r="I12072" t="s">
        <v>31433</v>
      </c>
      <c r="J12072" t="s">
        <v>38877</v>
      </c>
      <c r="K12072" t="s">
        <v>40672</v>
      </c>
      <c r="M12072" t="s">
        <v>41456</v>
      </c>
      <c r="N12072" t="s">
        <v>44905</v>
      </c>
      <c r="O12072" t="s">
        <v>44906</v>
      </c>
      <c r="Q12072">
        <v>1</v>
      </c>
      <c r="R12072" t="s">
        <v>44918</v>
      </c>
      <c r="S12072" t="s">
        <v>45448</v>
      </c>
      <c r="T12072" t="s">
        <v>46560</v>
      </c>
      <c r="U12072" t="s">
        <v>56579</v>
      </c>
      <c r="W12072" t="s">
        <v>41456</v>
      </c>
      <c r="X12072" t="s">
        <v>44922</v>
      </c>
    </row>
    <row r="12073" spans="1:24">
      <c r="A12073">
        <f>HYPERLINK("https://www.philgeps.gov.ph/GEPSNONPILOT/Tender/SplashBidNoticeAbstractUI.aspx?menuIndex=3&amp;refID=7053665&amp;Result=3","7053665")</f>
        <v>0</v>
      </c>
      <c r="B12073" t="s">
        <v>3180</v>
      </c>
      <c r="C12073" t="s">
        <v>15053</v>
      </c>
      <c r="E12073" t="s">
        <v>28664</v>
      </c>
      <c r="F12073" t="s">
        <v>31362</v>
      </c>
      <c r="G12073" t="s">
        <v>31369</v>
      </c>
      <c r="H12073" t="s">
        <v>31378</v>
      </c>
      <c r="I12073" t="s">
        <v>31386</v>
      </c>
      <c r="J12073" t="s">
        <v>31606</v>
      </c>
      <c r="K12073" t="s">
        <v>40662</v>
      </c>
      <c r="M12073" t="s">
        <v>44446</v>
      </c>
      <c r="N12073" t="s">
        <v>44905</v>
      </c>
      <c r="O12073" t="s">
        <v>44906</v>
      </c>
      <c r="P12073">
        <v>0</v>
      </c>
      <c r="Q12073">
        <v>0</v>
      </c>
      <c r="R12073" t="s">
        <v>44918</v>
      </c>
      <c r="S12073" t="s">
        <v>45447</v>
      </c>
      <c r="T12073" t="s">
        <v>46549</v>
      </c>
      <c r="U12073" t="s">
        <v>56580</v>
      </c>
      <c r="W12073" t="s">
        <v>44446</v>
      </c>
      <c r="X12073" t="s">
        <v>44922</v>
      </c>
    </row>
    <row r="12074" spans="1:24">
      <c r="A12074">
        <f>HYPERLINK("https://www.philgeps.gov.ph/GEPSNONPILOT/Tender/SplashBidNoticeAbstractUI.aspx?menuIndex=3&amp;refID=7061680&amp;Result=3","7061680")</f>
        <v>0</v>
      </c>
      <c r="B12074" t="s">
        <v>3179</v>
      </c>
      <c r="C12074" t="s">
        <v>15054</v>
      </c>
      <c r="D12074" t="s">
        <v>18178</v>
      </c>
      <c r="E12074" t="s">
        <v>28665</v>
      </c>
      <c r="F12074" t="s">
        <v>31362</v>
      </c>
      <c r="G12074" t="s">
        <v>31369</v>
      </c>
      <c r="H12074" t="s">
        <v>31378</v>
      </c>
      <c r="I12074" t="s">
        <v>31386</v>
      </c>
      <c r="J12074" t="s">
        <v>31709</v>
      </c>
      <c r="K12074" t="s">
        <v>40903</v>
      </c>
      <c r="M12074" t="s">
        <v>44445</v>
      </c>
      <c r="N12074" t="s">
        <v>44905</v>
      </c>
      <c r="O12074" t="s">
        <v>44906</v>
      </c>
      <c r="P12074">
        <v>0</v>
      </c>
      <c r="Q12074">
        <v>0</v>
      </c>
      <c r="R12074" t="s">
        <v>44917</v>
      </c>
      <c r="S12074" t="s">
        <v>45386</v>
      </c>
      <c r="T12074" t="s">
        <v>46435</v>
      </c>
      <c r="U12074" t="s">
        <v>56566</v>
      </c>
      <c r="W12074" t="s">
        <v>44445</v>
      </c>
      <c r="X12074" t="s">
        <v>44918</v>
      </c>
    </row>
    <row r="12075" spans="1:24">
      <c r="A12075">
        <f>HYPERLINK("https://www.philgeps.gov.ph/GEPSNONPILOT/Tender/SplashBidNoticeAbstractUI.aspx?menuIndex=3&amp;refID=7051199&amp;Result=3","7051199")</f>
        <v>0</v>
      </c>
      <c r="B12075" t="s">
        <v>1647</v>
      </c>
      <c r="C12075" t="s">
        <v>15055</v>
      </c>
      <c r="D12075" t="s">
        <v>18123</v>
      </c>
      <c r="E12075" t="s">
        <v>28666</v>
      </c>
      <c r="F12075" t="s">
        <v>31362</v>
      </c>
      <c r="G12075" t="s">
        <v>31369</v>
      </c>
      <c r="H12075" t="s">
        <v>15799</v>
      </c>
      <c r="I12075" t="s">
        <v>31409</v>
      </c>
      <c r="J12075" t="s">
        <v>38302</v>
      </c>
      <c r="K12075" t="s">
        <v>40683</v>
      </c>
      <c r="M12075" t="s">
        <v>43265</v>
      </c>
      <c r="N12075" t="s">
        <v>44905</v>
      </c>
      <c r="O12075" t="s">
        <v>44906</v>
      </c>
      <c r="Q12075">
        <v>16</v>
      </c>
      <c r="R12075" t="s">
        <v>44918</v>
      </c>
      <c r="S12075" t="s">
        <v>45449</v>
      </c>
      <c r="T12075" t="s">
        <v>46462</v>
      </c>
      <c r="U12075" t="s">
        <v>56581</v>
      </c>
      <c r="V12075" t="s">
        <v>59534</v>
      </c>
      <c r="W12075" t="s">
        <v>43265</v>
      </c>
      <c r="X12075" t="s">
        <v>44923</v>
      </c>
    </row>
    <row r="12076" spans="1:24">
      <c r="A12076">
        <f>HYPERLINK("https://www.philgeps.gov.ph/GEPSNONPILOT/Tender/SplashBidNoticeAbstractUI.aspx?menuIndex=3&amp;refID=7055943&amp;Result=3","7055943")</f>
        <v>0</v>
      </c>
      <c r="B12076" t="s">
        <v>183</v>
      </c>
      <c r="C12076" t="s">
        <v>15056</v>
      </c>
      <c r="D12076" t="s">
        <v>18129</v>
      </c>
      <c r="E12076" t="s">
        <v>28667</v>
      </c>
      <c r="F12076" t="s">
        <v>31362</v>
      </c>
      <c r="G12076" t="s">
        <v>31369</v>
      </c>
      <c r="H12076" t="s">
        <v>31378</v>
      </c>
      <c r="I12076" t="s">
        <v>31386</v>
      </c>
      <c r="J12076" t="s">
        <v>33393</v>
      </c>
      <c r="K12076" t="s">
        <v>40694</v>
      </c>
      <c r="M12076" t="s">
        <v>41121</v>
      </c>
      <c r="N12076" t="s">
        <v>44905</v>
      </c>
      <c r="O12076" t="s">
        <v>44906</v>
      </c>
      <c r="P12076">
        <v>0</v>
      </c>
      <c r="Q12076">
        <v>0</v>
      </c>
      <c r="R12076" t="s">
        <v>44918</v>
      </c>
      <c r="S12076" t="s">
        <v>45447</v>
      </c>
      <c r="T12076" t="s">
        <v>46392</v>
      </c>
      <c r="U12076" t="s">
        <v>56582</v>
      </c>
      <c r="W12076" t="s">
        <v>41121</v>
      </c>
      <c r="X12076" t="s">
        <v>44921</v>
      </c>
    </row>
    <row r="12077" spans="1:24">
      <c r="A12077">
        <f>HYPERLINK("https://www.philgeps.gov.ph/GEPSNONPILOT/Tender/SplashBidNoticeAbstractUI.aspx?menuIndex=3&amp;refID=7056115&amp;Result=3","7056115")</f>
        <v>0</v>
      </c>
      <c r="B12077" t="s">
        <v>1013</v>
      </c>
      <c r="C12077" t="s">
        <v>15057</v>
      </c>
      <c r="D12077" t="s">
        <v>18119</v>
      </c>
      <c r="E12077" t="s">
        <v>28668</v>
      </c>
      <c r="F12077" t="s">
        <v>31362</v>
      </c>
      <c r="G12077" t="s">
        <v>31369</v>
      </c>
      <c r="H12077" t="s">
        <v>15799</v>
      </c>
      <c r="I12077" t="s">
        <v>31414</v>
      </c>
      <c r="J12077" t="s">
        <v>38878</v>
      </c>
      <c r="K12077" t="s">
        <v>40665</v>
      </c>
      <c r="M12077" t="s">
        <v>42010</v>
      </c>
      <c r="N12077" t="s">
        <v>44905</v>
      </c>
      <c r="O12077" t="s">
        <v>44906</v>
      </c>
      <c r="P12077">
        <v>0</v>
      </c>
      <c r="Q12077">
        <v>3</v>
      </c>
      <c r="R12077" t="s">
        <v>44918</v>
      </c>
      <c r="S12077" t="s">
        <v>45447</v>
      </c>
      <c r="T12077" t="s">
        <v>46498</v>
      </c>
      <c r="U12077" t="s">
        <v>56583</v>
      </c>
      <c r="W12077" t="s">
        <v>42010</v>
      </c>
      <c r="X12077" t="s">
        <v>44921</v>
      </c>
    </row>
    <row r="12078" spans="1:24">
      <c r="A12078">
        <f>HYPERLINK("https://www.philgeps.gov.ph/GEPSNONPILOT/Tender/SplashBidNoticeAbstractUI.aspx?menuIndex=3&amp;refID=7052843&amp;Result=3","7052843")</f>
        <v>0</v>
      </c>
      <c r="B12078" t="s">
        <v>501</v>
      </c>
      <c r="C12078" t="s">
        <v>15058</v>
      </c>
      <c r="E12078" t="s">
        <v>28669</v>
      </c>
      <c r="F12078" t="s">
        <v>31362</v>
      </c>
      <c r="G12078" t="s">
        <v>31369</v>
      </c>
      <c r="H12078" t="s">
        <v>15799</v>
      </c>
      <c r="I12078" t="s">
        <v>31385</v>
      </c>
      <c r="J12078" t="s">
        <v>38879</v>
      </c>
      <c r="K12078" t="s">
        <v>40666</v>
      </c>
      <c r="M12078" t="s">
        <v>41456</v>
      </c>
      <c r="N12078" t="s">
        <v>44905</v>
      </c>
      <c r="O12078" t="s">
        <v>44906</v>
      </c>
      <c r="P12078">
        <v>0</v>
      </c>
      <c r="Q12078">
        <v>10</v>
      </c>
      <c r="R12078" t="s">
        <v>44918</v>
      </c>
      <c r="S12078" t="s">
        <v>45447</v>
      </c>
      <c r="T12078" t="s">
        <v>46560</v>
      </c>
      <c r="U12078" t="s">
        <v>56584</v>
      </c>
      <c r="W12078" t="s">
        <v>41456</v>
      </c>
      <c r="X12078" t="s">
        <v>44922</v>
      </c>
    </row>
    <row r="12079" spans="1:24">
      <c r="A12079">
        <f>HYPERLINK("https://www.philgeps.gov.ph/GEPSNONPILOT/Tender/SplashBidNoticeAbstractUI.aspx?menuIndex=3&amp;refID=7052015&amp;Result=3","7052015")</f>
        <v>0</v>
      </c>
      <c r="B12079" t="s">
        <v>760</v>
      </c>
      <c r="C12079" t="s">
        <v>15059</v>
      </c>
      <c r="D12079" t="s">
        <v>18167</v>
      </c>
      <c r="E12079" t="s">
        <v>28670</v>
      </c>
      <c r="F12079" t="s">
        <v>31362</v>
      </c>
      <c r="G12079" t="s">
        <v>31369</v>
      </c>
      <c r="H12079" t="s">
        <v>31378</v>
      </c>
      <c r="I12079" t="s">
        <v>31386</v>
      </c>
      <c r="J12079" t="s">
        <v>38880</v>
      </c>
      <c r="K12079" t="s">
        <v>40694</v>
      </c>
      <c r="M12079" t="s">
        <v>41728</v>
      </c>
      <c r="N12079" t="s">
        <v>44905</v>
      </c>
      <c r="O12079" t="s">
        <v>44906</v>
      </c>
      <c r="P12079">
        <v>0</v>
      </c>
      <c r="Q12079">
        <v>3</v>
      </c>
      <c r="R12079" t="s">
        <v>44918</v>
      </c>
      <c r="S12079" t="s">
        <v>45447</v>
      </c>
      <c r="T12079" t="s">
        <v>46847</v>
      </c>
      <c r="U12079" t="s">
        <v>56585</v>
      </c>
      <c r="W12079" t="s">
        <v>41728</v>
      </c>
      <c r="X12079" t="s">
        <v>44923</v>
      </c>
    </row>
    <row r="12080" spans="1:24">
      <c r="A12080">
        <f>HYPERLINK("https://www.philgeps.gov.ph/GEPSNONPILOT/Tender/SplashBidNoticeAbstractUI.aspx?menuIndex=3&amp;refID=7056090&amp;Result=3","7056090")</f>
        <v>0</v>
      </c>
      <c r="B12080" t="s">
        <v>1013</v>
      </c>
      <c r="C12080" t="s">
        <v>15060</v>
      </c>
      <c r="D12080" t="s">
        <v>18119</v>
      </c>
      <c r="E12080" t="s">
        <v>28671</v>
      </c>
      <c r="F12080" t="s">
        <v>31362</v>
      </c>
      <c r="G12080" t="s">
        <v>31369</v>
      </c>
      <c r="H12080" t="s">
        <v>15799</v>
      </c>
      <c r="I12080" t="s">
        <v>31414</v>
      </c>
      <c r="J12080" t="s">
        <v>31531</v>
      </c>
      <c r="K12080" t="s">
        <v>40665</v>
      </c>
      <c r="M12080" t="s">
        <v>42010</v>
      </c>
      <c r="N12080" t="s">
        <v>44905</v>
      </c>
      <c r="O12080" t="s">
        <v>44906</v>
      </c>
      <c r="P12080">
        <v>0</v>
      </c>
      <c r="Q12080">
        <v>3</v>
      </c>
      <c r="R12080" t="s">
        <v>44918</v>
      </c>
      <c r="S12080" t="s">
        <v>45447</v>
      </c>
      <c r="T12080" t="s">
        <v>46498</v>
      </c>
      <c r="U12080" t="s">
        <v>56586</v>
      </c>
      <c r="W12080" t="s">
        <v>42010</v>
      </c>
      <c r="X12080" t="s">
        <v>44921</v>
      </c>
    </row>
    <row r="12081" spans="1:24">
      <c r="A12081">
        <f>HYPERLINK("https://www.philgeps.gov.ph/GEPSNONPILOT/Tender/SplashBidNoticeAbstractUI.aspx?menuIndex=3&amp;refID=7054010&amp;Result=3","7054010")</f>
        <v>0</v>
      </c>
      <c r="B12081" t="s">
        <v>2338</v>
      </c>
      <c r="C12081" t="s">
        <v>15061</v>
      </c>
      <c r="D12081" t="s">
        <v>18169</v>
      </c>
      <c r="E12081" t="s">
        <v>28672</v>
      </c>
      <c r="F12081" t="s">
        <v>31362</v>
      </c>
      <c r="G12081" t="s">
        <v>31369</v>
      </c>
      <c r="H12081" t="s">
        <v>31378</v>
      </c>
      <c r="I12081" t="s">
        <v>31386</v>
      </c>
      <c r="J12081" t="s">
        <v>33868</v>
      </c>
      <c r="K12081" t="s">
        <v>40678</v>
      </c>
      <c r="L12081" t="s">
        <v>2338</v>
      </c>
      <c r="M12081" t="s">
        <v>43479</v>
      </c>
      <c r="N12081" t="s">
        <v>44905</v>
      </c>
      <c r="O12081" t="s">
        <v>44906</v>
      </c>
      <c r="Q12081">
        <v>0</v>
      </c>
      <c r="R12081" t="s">
        <v>44918</v>
      </c>
      <c r="S12081" t="s">
        <v>45450</v>
      </c>
      <c r="T12081" t="s">
        <v>46481</v>
      </c>
      <c r="U12081" t="s">
        <v>53211</v>
      </c>
      <c r="V12081" t="s">
        <v>59823</v>
      </c>
      <c r="W12081" t="s">
        <v>43479</v>
      </c>
      <c r="X12081" t="s">
        <v>44922</v>
      </c>
    </row>
    <row r="12082" spans="1:24">
      <c r="A12082">
        <f>HYPERLINK("https://www.philgeps.gov.ph/GEPSNONPILOT/Tender/SplashBidNoticeAbstractUI.aspx?menuIndex=3&amp;refID=7055970&amp;Result=3","7055970")</f>
        <v>0</v>
      </c>
      <c r="B12082" t="s">
        <v>1373</v>
      </c>
      <c r="C12082" t="s">
        <v>15062</v>
      </c>
      <c r="D12082" t="s">
        <v>18109</v>
      </c>
      <c r="E12082" t="s">
        <v>28673</v>
      </c>
      <c r="F12082" t="s">
        <v>31362</v>
      </c>
      <c r="G12082" t="s">
        <v>31369</v>
      </c>
      <c r="H12082" t="s">
        <v>15799</v>
      </c>
      <c r="I12082" t="s">
        <v>6155</v>
      </c>
      <c r="J12082" t="s">
        <v>38881</v>
      </c>
      <c r="K12082" t="s">
        <v>40825</v>
      </c>
      <c r="M12082" t="s">
        <v>44447</v>
      </c>
      <c r="N12082" t="s">
        <v>44905</v>
      </c>
      <c r="O12082" t="s">
        <v>44906</v>
      </c>
      <c r="P12082">
        <v>0</v>
      </c>
      <c r="Q12082">
        <v>11</v>
      </c>
      <c r="R12082" t="s">
        <v>44918</v>
      </c>
      <c r="S12082" t="s">
        <v>45447</v>
      </c>
      <c r="T12082" t="s">
        <v>46511</v>
      </c>
      <c r="U12082" t="s">
        <v>56587</v>
      </c>
      <c r="W12082" t="s">
        <v>44447</v>
      </c>
      <c r="X12082" t="s">
        <v>44921</v>
      </c>
    </row>
    <row r="12083" spans="1:24">
      <c r="A12083">
        <f>HYPERLINK("https://www.philgeps.gov.ph/GEPSNONPILOT/Tender/SplashBidNoticeAbstractUI.aspx?menuIndex=3&amp;refID=7055948&amp;Result=3","7055948")</f>
        <v>0</v>
      </c>
      <c r="B12083" t="s">
        <v>366</v>
      </c>
      <c r="C12083" t="s">
        <v>15063</v>
      </c>
      <c r="D12083" t="s">
        <v>18100</v>
      </c>
      <c r="E12083" t="s">
        <v>28674</v>
      </c>
      <c r="F12083" t="s">
        <v>31362</v>
      </c>
      <c r="G12083" t="s">
        <v>31369</v>
      </c>
      <c r="H12083" t="s">
        <v>15799</v>
      </c>
      <c r="I12083" t="s">
        <v>31418</v>
      </c>
      <c r="J12083" t="s">
        <v>32356</v>
      </c>
      <c r="K12083" t="s">
        <v>40693</v>
      </c>
      <c r="M12083" t="s">
        <v>41313</v>
      </c>
      <c r="N12083" t="s">
        <v>44905</v>
      </c>
      <c r="O12083" t="s">
        <v>44906</v>
      </c>
      <c r="P12083">
        <v>0</v>
      </c>
      <c r="Q12083">
        <v>0</v>
      </c>
      <c r="R12083" t="s">
        <v>44918</v>
      </c>
      <c r="S12083" t="s">
        <v>45447</v>
      </c>
      <c r="T12083" t="s">
        <v>46505</v>
      </c>
      <c r="U12083" t="s">
        <v>56588</v>
      </c>
      <c r="W12083" t="s">
        <v>41313</v>
      </c>
      <c r="X12083" t="s">
        <v>44921</v>
      </c>
    </row>
    <row r="12084" spans="1:24">
      <c r="A12084">
        <f>HYPERLINK("https://www.philgeps.gov.ph/GEPSNONPILOT/Tender/SplashBidNoticeAbstractUI.aspx?menuIndex=3&amp;refID=7043991&amp;Result=3","7043991")</f>
        <v>0</v>
      </c>
      <c r="B12084" t="s">
        <v>183</v>
      </c>
      <c r="C12084" t="s">
        <v>15064</v>
      </c>
      <c r="D12084" t="s">
        <v>18129</v>
      </c>
      <c r="E12084" t="s">
        <v>28675</v>
      </c>
      <c r="F12084" t="s">
        <v>31362</v>
      </c>
      <c r="G12084" t="s">
        <v>31369</v>
      </c>
      <c r="H12084" t="s">
        <v>31378</v>
      </c>
      <c r="I12084" t="s">
        <v>31386</v>
      </c>
      <c r="J12084" t="s">
        <v>33068</v>
      </c>
      <c r="K12084" t="s">
        <v>40679</v>
      </c>
      <c r="M12084" t="s">
        <v>41121</v>
      </c>
      <c r="N12084" t="s">
        <v>44905</v>
      </c>
      <c r="O12084" t="s">
        <v>44906</v>
      </c>
      <c r="P12084">
        <v>0</v>
      </c>
      <c r="Q12084">
        <v>2</v>
      </c>
      <c r="R12084" t="s">
        <v>44918</v>
      </c>
      <c r="S12084" t="s">
        <v>45447</v>
      </c>
      <c r="T12084" t="s">
        <v>46392</v>
      </c>
      <c r="U12084" t="s">
        <v>56589</v>
      </c>
      <c r="W12084" t="s">
        <v>41121</v>
      </c>
      <c r="X12084" t="s">
        <v>44926</v>
      </c>
    </row>
    <row r="12085" spans="1:24">
      <c r="A12085">
        <f>HYPERLINK("https://www.philgeps.gov.ph/GEPSNONPILOT/Tender/SplashBidNoticeAbstractUI.aspx?menuIndex=3&amp;refID=7055908&amp;Result=3","7055908")</f>
        <v>0</v>
      </c>
      <c r="B12085" t="s">
        <v>1895</v>
      </c>
      <c r="C12085" t="s">
        <v>15065</v>
      </c>
      <c r="D12085" t="s">
        <v>18151</v>
      </c>
      <c r="E12085" t="s">
        <v>28676</v>
      </c>
      <c r="F12085" t="s">
        <v>31362</v>
      </c>
      <c r="G12085" t="s">
        <v>31369</v>
      </c>
      <c r="H12085" t="s">
        <v>15799</v>
      </c>
      <c r="I12085" t="s">
        <v>31393</v>
      </c>
      <c r="J12085" t="s">
        <v>38882</v>
      </c>
      <c r="K12085" t="s">
        <v>40686</v>
      </c>
      <c r="M12085" t="s">
        <v>42990</v>
      </c>
      <c r="N12085" t="s">
        <v>44905</v>
      </c>
      <c r="O12085" t="s">
        <v>44906</v>
      </c>
      <c r="P12085">
        <v>0</v>
      </c>
      <c r="Q12085">
        <v>10</v>
      </c>
      <c r="R12085" t="s">
        <v>44918</v>
      </c>
      <c r="S12085" t="s">
        <v>45447</v>
      </c>
      <c r="T12085" t="s">
        <v>46481</v>
      </c>
      <c r="U12085" t="s">
        <v>56590</v>
      </c>
      <c r="W12085" t="s">
        <v>42990</v>
      </c>
      <c r="X12085" t="s">
        <v>44921</v>
      </c>
    </row>
    <row r="12086" spans="1:24">
      <c r="A12086">
        <f>HYPERLINK("https://www.philgeps.gov.ph/GEPSNONPILOT/Tender/SplashBidNoticeAbstractUI.aspx?menuIndex=3&amp;refID=7055743&amp;Result=3","7055743")</f>
        <v>0</v>
      </c>
      <c r="B12086" t="s">
        <v>3135</v>
      </c>
      <c r="C12086" t="s">
        <v>15066</v>
      </c>
      <c r="D12086" t="s">
        <v>18104</v>
      </c>
      <c r="E12086" t="s">
        <v>28677</v>
      </c>
      <c r="F12086" t="s">
        <v>31362</v>
      </c>
      <c r="G12086" t="s">
        <v>31369</v>
      </c>
      <c r="H12086" t="s">
        <v>15799</v>
      </c>
      <c r="I12086" t="s">
        <v>4283</v>
      </c>
      <c r="J12086" t="s">
        <v>34265</v>
      </c>
      <c r="K12086" t="s">
        <v>40665</v>
      </c>
      <c r="L12086" t="s">
        <v>3135</v>
      </c>
      <c r="M12086" t="s">
        <v>44394</v>
      </c>
      <c r="N12086" t="s">
        <v>44905</v>
      </c>
      <c r="O12086" t="s">
        <v>44906</v>
      </c>
      <c r="P12086">
        <v>0</v>
      </c>
      <c r="Q12086">
        <v>1</v>
      </c>
      <c r="R12086" t="s">
        <v>44918</v>
      </c>
      <c r="S12086" t="s">
        <v>45447</v>
      </c>
      <c r="T12086" t="s">
        <v>46425</v>
      </c>
      <c r="U12086" t="s">
        <v>56591</v>
      </c>
      <c r="W12086" t="s">
        <v>44394</v>
      </c>
      <c r="X12086" t="s">
        <v>44921</v>
      </c>
    </row>
    <row r="12087" spans="1:24">
      <c r="A12087">
        <f>HYPERLINK("https://www.philgeps.gov.ph/GEPSNONPILOT/Tender/SplashBidNoticeAbstractUI.aspx?menuIndex=3&amp;refID=7056092&amp;Result=3","7056092")</f>
        <v>0</v>
      </c>
      <c r="B12087" t="s">
        <v>3127</v>
      </c>
      <c r="C12087" t="s">
        <v>15067</v>
      </c>
      <c r="D12087" t="s">
        <v>18127</v>
      </c>
      <c r="E12087" t="s">
        <v>28678</v>
      </c>
      <c r="F12087" t="s">
        <v>31362</v>
      </c>
      <c r="G12087" t="s">
        <v>31369</v>
      </c>
      <c r="H12087" t="s">
        <v>31378</v>
      </c>
      <c r="I12087" t="s">
        <v>31386</v>
      </c>
      <c r="J12087" t="s">
        <v>32594</v>
      </c>
      <c r="K12087" t="s">
        <v>40663</v>
      </c>
      <c r="M12087" t="s">
        <v>44383</v>
      </c>
      <c r="N12087" t="s">
        <v>44905</v>
      </c>
      <c r="O12087" t="s">
        <v>44906</v>
      </c>
      <c r="P12087">
        <v>0</v>
      </c>
      <c r="Q12087">
        <v>1</v>
      </c>
      <c r="R12087" t="s">
        <v>44918</v>
      </c>
      <c r="S12087" t="s">
        <v>45447</v>
      </c>
      <c r="T12087" t="s">
        <v>46547</v>
      </c>
      <c r="U12087" t="s">
        <v>56592</v>
      </c>
      <c r="V12087" t="s">
        <v>56592</v>
      </c>
      <c r="W12087" t="s">
        <v>44383</v>
      </c>
      <c r="X12087" t="s">
        <v>44921</v>
      </c>
    </row>
    <row r="12088" spans="1:24">
      <c r="A12088">
        <f>HYPERLINK("https://www.philgeps.gov.ph/GEPSNONPILOT/Tender/SplashBidNoticeAbstractUI.aspx?menuIndex=3&amp;refID=7061620&amp;Result=3","7061620")</f>
        <v>0</v>
      </c>
      <c r="B12088" t="s">
        <v>3175</v>
      </c>
      <c r="C12088" t="s">
        <v>15068</v>
      </c>
      <c r="D12088" t="s">
        <v>18148</v>
      </c>
      <c r="E12088" t="s">
        <v>28679</v>
      </c>
      <c r="F12088" t="s">
        <v>31363</v>
      </c>
      <c r="G12088" t="s">
        <v>31369</v>
      </c>
      <c r="H12088" t="s">
        <v>15799</v>
      </c>
      <c r="I12088" t="s">
        <v>31409</v>
      </c>
      <c r="J12088" t="s">
        <v>38767</v>
      </c>
      <c r="K12088" t="s">
        <v>40665</v>
      </c>
      <c r="M12088" t="s">
        <v>44448</v>
      </c>
      <c r="N12088" t="s">
        <v>44905</v>
      </c>
      <c r="O12088" t="s">
        <v>44906</v>
      </c>
      <c r="P12088">
        <v>0</v>
      </c>
      <c r="Q12088">
        <v>2</v>
      </c>
      <c r="R12088" t="s">
        <v>44917</v>
      </c>
      <c r="S12088" t="s">
        <v>45386</v>
      </c>
      <c r="T12088" t="s">
        <v>46504</v>
      </c>
      <c r="U12088" t="s">
        <v>56593</v>
      </c>
      <c r="W12088" t="s">
        <v>44448</v>
      </c>
      <c r="X12088" t="s">
        <v>44918</v>
      </c>
    </row>
    <row r="12089" spans="1:24">
      <c r="A12089">
        <f>HYPERLINK("https://www.philgeps.gov.ph/GEPSNONPILOT/Tender/SplashBidNoticeAbstractUI.aspx?menuIndex=3&amp;refID=7055264&amp;Result=3","7055264")</f>
        <v>0</v>
      </c>
      <c r="B12089" t="s">
        <v>2093</v>
      </c>
      <c r="C12089" t="s">
        <v>15069</v>
      </c>
      <c r="D12089" t="s">
        <v>18101</v>
      </c>
      <c r="E12089" t="s">
        <v>25939</v>
      </c>
      <c r="F12089" t="s">
        <v>31362</v>
      </c>
      <c r="G12089" t="s">
        <v>31369</v>
      </c>
      <c r="H12089" t="s">
        <v>31378</v>
      </c>
      <c r="I12089" t="s">
        <v>31386</v>
      </c>
      <c r="J12089" t="s">
        <v>31606</v>
      </c>
      <c r="K12089" t="s">
        <v>40679</v>
      </c>
      <c r="M12089" t="s">
        <v>43217</v>
      </c>
      <c r="N12089" t="s">
        <v>44905</v>
      </c>
      <c r="O12089" t="s">
        <v>44906</v>
      </c>
      <c r="P12089">
        <v>0</v>
      </c>
      <c r="Q12089">
        <v>2</v>
      </c>
      <c r="R12089" t="s">
        <v>44918</v>
      </c>
      <c r="S12089" t="s">
        <v>45447</v>
      </c>
      <c r="T12089" t="s">
        <v>46560</v>
      </c>
      <c r="U12089" t="s">
        <v>56594</v>
      </c>
      <c r="W12089" t="s">
        <v>43217</v>
      </c>
      <c r="X12089" t="s">
        <v>44922</v>
      </c>
    </row>
    <row r="12090" spans="1:24">
      <c r="A12090">
        <f>HYPERLINK("https://www.philgeps.gov.ph/GEPSNONPILOT/Tender/SplashBidNoticeAbstractUI.aspx?menuIndex=3&amp;refID=7055951&amp;Result=3","7055951")</f>
        <v>0</v>
      </c>
      <c r="B12090" t="s">
        <v>363</v>
      </c>
      <c r="C12090" t="s">
        <v>15070</v>
      </c>
      <c r="D12090" t="s">
        <v>18136</v>
      </c>
      <c r="E12090" t="s">
        <v>28680</v>
      </c>
      <c r="F12090" t="s">
        <v>31362</v>
      </c>
      <c r="G12090" t="s">
        <v>31369</v>
      </c>
      <c r="H12090" t="s">
        <v>15799</v>
      </c>
      <c r="I12090" t="s">
        <v>31397</v>
      </c>
      <c r="J12090" t="s">
        <v>38883</v>
      </c>
      <c r="K12090" t="s">
        <v>40665</v>
      </c>
      <c r="M12090" t="s">
        <v>41310</v>
      </c>
      <c r="N12090" t="s">
        <v>44905</v>
      </c>
      <c r="O12090" t="s">
        <v>44906</v>
      </c>
      <c r="P12090">
        <v>0</v>
      </c>
      <c r="Q12090">
        <v>1</v>
      </c>
      <c r="R12090" t="s">
        <v>44918</v>
      </c>
      <c r="S12090" t="s">
        <v>45447</v>
      </c>
      <c r="T12090" t="s">
        <v>46499</v>
      </c>
      <c r="U12090" t="s">
        <v>56595</v>
      </c>
      <c r="W12090" t="s">
        <v>41310</v>
      </c>
      <c r="X12090" t="s">
        <v>44921</v>
      </c>
    </row>
    <row r="12091" spans="1:24">
      <c r="A12091">
        <f>HYPERLINK("https://www.philgeps.gov.ph/GEPSNONPILOT/Tender/SplashBidNoticeAbstractUI.aspx?menuIndex=3&amp;refID=7054587&amp;Result=3","7054587")</f>
        <v>0</v>
      </c>
      <c r="B12091" t="s">
        <v>115</v>
      </c>
      <c r="C12091" t="s">
        <v>15071</v>
      </c>
      <c r="D12091" t="s">
        <v>18137</v>
      </c>
      <c r="E12091" t="s">
        <v>28681</v>
      </c>
      <c r="F12091" t="s">
        <v>31362</v>
      </c>
      <c r="G12091" t="s">
        <v>31373</v>
      </c>
      <c r="H12091" t="s">
        <v>31378</v>
      </c>
      <c r="I12091" t="s">
        <v>31386</v>
      </c>
      <c r="J12091" t="s">
        <v>38884</v>
      </c>
      <c r="K12091" t="s">
        <v>40662</v>
      </c>
      <c r="L12091" t="s">
        <v>115</v>
      </c>
      <c r="M12091" t="s">
        <v>41052</v>
      </c>
      <c r="N12091" t="s">
        <v>44905</v>
      </c>
      <c r="O12091" t="s">
        <v>44906</v>
      </c>
      <c r="Q12091">
        <v>5</v>
      </c>
      <c r="R12091" t="s">
        <v>44918</v>
      </c>
      <c r="S12091" t="s">
        <v>45451</v>
      </c>
      <c r="T12091" t="s">
        <v>46560</v>
      </c>
      <c r="U12091" t="s">
        <v>56596</v>
      </c>
      <c r="W12091" t="s">
        <v>41052</v>
      </c>
      <c r="X12091" t="s">
        <v>44922</v>
      </c>
    </row>
    <row r="12092" spans="1:24">
      <c r="A12092">
        <f>HYPERLINK("https://www.philgeps.gov.ph/GEPSNONPILOT/Tender/SplashBidNoticeAbstractUI.aspx?menuIndex=3&amp;refID=7055844&amp;Result=3","7055844")</f>
        <v>0</v>
      </c>
      <c r="B12092" t="s">
        <v>3181</v>
      </c>
      <c r="C12092" t="s">
        <v>15072</v>
      </c>
      <c r="D12092" t="s">
        <v>18100</v>
      </c>
      <c r="E12092" t="s">
        <v>28682</v>
      </c>
      <c r="F12092" t="s">
        <v>31362</v>
      </c>
      <c r="G12092" t="s">
        <v>31369</v>
      </c>
      <c r="H12092" t="s">
        <v>15799</v>
      </c>
      <c r="I12092" t="s">
        <v>31404</v>
      </c>
      <c r="J12092" t="s">
        <v>38885</v>
      </c>
      <c r="K12092" t="s">
        <v>40665</v>
      </c>
      <c r="M12092" t="s">
        <v>44449</v>
      </c>
      <c r="N12092" t="s">
        <v>44905</v>
      </c>
      <c r="O12092" t="s">
        <v>44906</v>
      </c>
      <c r="P12092">
        <v>0</v>
      </c>
      <c r="Q12092">
        <v>1</v>
      </c>
      <c r="R12092" t="s">
        <v>44918</v>
      </c>
      <c r="S12092" t="s">
        <v>45447</v>
      </c>
      <c r="T12092" t="s">
        <v>46538</v>
      </c>
      <c r="U12092" t="s">
        <v>56597</v>
      </c>
      <c r="W12092" t="s">
        <v>44449</v>
      </c>
      <c r="X12092" t="s">
        <v>44921</v>
      </c>
    </row>
    <row r="12093" spans="1:24">
      <c r="A12093">
        <f>HYPERLINK("https://www.philgeps.gov.ph/GEPSNONPILOT/Tender/SplashBidNoticeAbstractUI.aspx?menuIndex=3&amp;refID=7055759&amp;Result=3","7055759")</f>
        <v>0</v>
      </c>
      <c r="B12093" t="s">
        <v>3135</v>
      </c>
      <c r="C12093" t="s">
        <v>15073</v>
      </c>
      <c r="D12093" t="s">
        <v>18104</v>
      </c>
      <c r="E12093" t="s">
        <v>28683</v>
      </c>
      <c r="F12093" t="s">
        <v>31362</v>
      </c>
      <c r="G12093" t="s">
        <v>31368</v>
      </c>
      <c r="H12093" t="s">
        <v>15799</v>
      </c>
      <c r="I12093" t="s">
        <v>31430</v>
      </c>
      <c r="J12093" t="s">
        <v>31625</v>
      </c>
      <c r="K12093" t="s">
        <v>40682</v>
      </c>
      <c r="L12093" t="s">
        <v>3135</v>
      </c>
      <c r="M12093" t="s">
        <v>44394</v>
      </c>
      <c r="N12093" t="s">
        <v>44905</v>
      </c>
      <c r="O12093" t="s">
        <v>44906</v>
      </c>
      <c r="P12093">
        <v>0</v>
      </c>
      <c r="Q12093">
        <v>1</v>
      </c>
      <c r="R12093" t="s">
        <v>44918</v>
      </c>
      <c r="S12093" t="s">
        <v>45447</v>
      </c>
      <c r="T12093" t="s">
        <v>46425</v>
      </c>
      <c r="U12093" t="s">
        <v>56598</v>
      </c>
      <c r="W12093" t="s">
        <v>44394</v>
      </c>
      <c r="X12093" t="s">
        <v>44921</v>
      </c>
    </row>
    <row r="12094" spans="1:24">
      <c r="A12094">
        <f>HYPERLINK("https://www.philgeps.gov.ph/GEPSNONPILOT/Tender/SplashBidNoticeAbstractUI.aspx?menuIndex=3&amp;refID=7054403&amp;Result=3","7054403")</f>
        <v>0</v>
      </c>
      <c r="B12094" t="s">
        <v>2510</v>
      </c>
      <c r="C12094" t="s">
        <v>15074</v>
      </c>
      <c r="D12094" t="s">
        <v>18117</v>
      </c>
      <c r="E12094" t="s">
        <v>20762</v>
      </c>
      <c r="F12094" t="s">
        <v>31362</v>
      </c>
      <c r="G12094" t="s">
        <v>31369</v>
      </c>
      <c r="H12094" t="s">
        <v>15799</v>
      </c>
      <c r="I12094" t="s">
        <v>31414</v>
      </c>
      <c r="J12094" t="s">
        <v>32296</v>
      </c>
      <c r="K12094" t="s">
        <v>40670</v>
      </c>
      <c r="M12094" t="s">
        <v>43679</v>
      </c>
      <c r="N12094" t="s">
        <v>44905</v>
      </c>
      <c r="O12094" t="s">
        <v>44906</v>
      </c>
      <c r="P12094">
        <v>0</v>
      </c>
      <c r="Q12094">
        <v>1</v>
      </c>
      <c r="R12094" t="s">
        <v>44918</v>
      </c>
      <c r="S12094" t="s">
        <v>45447</v>
      </c>
      <c r="T12094" t="s">
        <v>46499</v>
      </c>
      <c r="U12094" t="s">
        <v>56599</v>
      </c>
      <c r="W12094" t="s">
        <v>43679</v>
      </c>
      <c r="X12094" t="s">
        <v>44922</v>
      </c>
    </row>
    <row r="12095" spans="1:24">
      <c r="A12095">
        <f>HYPERLINK("https://www.philgeps.gov.ph/GEPSNONPILOT/Tender/SplashBidNoticeAbstractUI.aspx?menuIndex=3&amp;refID=7054400&amp;Result=3","7054400")</f>
        <v>0</v>
      </c>
      <c r="B12095" t="s">
        <v>2338</v>
      </c>
      <c r="C12095" t="s">
        <v>15075</v>
      </c>
      <c r="D12095" t="s">
        <v>18169</v>
      </c>
      <c r="E12095" t="s">
        <v>28684</v>
      </c>
      <c r="F12095" t="s">
        <v>31362</v>
      </c>
      <c r="G12095" t="s">
        <v>31369</v>
      </c>
      <c r="H12095" t="s">
        <v>31378</v>
      </c>
      <c r="I12095" t="s">
        <v>31386</v>
      </c>
      <c r="J12095" t="s">
        <v>31738</v>
      </c>
      <c r="K12095" t="s">
        <v>40665</v>
      </c>
      <c r="L12095" t="s">
        <v>2338</v>
      </c>
      <c r="M12095" t="s">
        <v>43479</v>
      </c>
      <c r="N12095" t="s">
        <v>44905</v>
      </c>
      <c r="O12095" t="s">
        <v>44906</v>
      </c>
      <c r="P12095">
        <v>0</v>
      </c>
      <c r="Q12095">
        <v>0</v>
      </c>
      <c r="R12095" t="s">
        <v>44918</v>
      </c>
      <c r="S12095" t="s">
        <v>45447</v>
      </c>
      <c r="T12095" t="s">
        <v>46481</v>
      </c>
      <c r="U12095" t="s">
        <v>53211</v>
      </c>
      <c r="V12095" t="s">
        <v>59823</v>
      </c>
      <c r="W12095" t="s">
        <v>43479</v>
      </c>
      <c r="X12095" t="s">
        <v>44922</v>
      </c>
    </row>
    <row r="12096" spans="1:24">
      <c r="A12096">
        <f>HYPERLINK("https://www.philgeps.gov.ph/GEPSNONPILOT/Tender/SplashBidNoticeAbstractUI.aspx?menuIndex=3&amp;refID=7054300&amp;Result=3","7054300")</f>
        <v>0</v>
      </c>
      <c r="B12096" t="s">
        <v>2510</v>
      </c>
      <c r="C12096" t="s">
        <v>15076</v>
      </c>
      <c r="D12096" t="s">
        <v>18117</v>
      </c>
      <c r="E12096" t="s">
        <v>19253</v>
      </c>
      <c r="F12096" t="s">
        <v>31362</v>
      </c>
      <c r="G12096" t="s">
        <v>31369</v>
      </c>
      <c r="H12096" t="s">
        <v>15799</v>
      </c>
      <c r="I12096" t="s">
        <v>31409</v>
      </c>
      <c r="J12096" t="s">
        <v>38886</v>
      </c>
      <c r="K12096" t="s">
        <v>40665</v>
      </c>
      <c r="M12096" t="s">
        <v>43679</v>
      </c>
      <c r="N12096" t="s">
        <v>44905</v>
      </c>
      <c r="O12096" t="s">
        <v>44906</v>
      </c>
      <c r="P12096">
        <v>0</v>
      </c>
      <c r="Q12096">
        <v>2</v>
      </c>
      <c r="R12096" t="s">
        <v>44918</v>
      </c>
      <c r="S12096" t="s">
        <v>45447</v>
      </c>
      <c r="T12096" t="s">
        <v>46499</v>
      </c>
      <c r="U12096" t="s">
        <v>56600</v>
      </c>
      <c r="W12096" t="s">
        <v>43679</v>
      </c>
      <c r="X12096" t="s">
        <v>44922</v>
      </c>
    </row>
    <row r="12097" spans="1:24">
      <c r="A12097">
        <f>HYPERLINK("https://www.philgeps.gov.ph/GEPSNONPILOT/Tender/SplashBidNoticeAbstractUI.aspx?menuIndex=3&amp;refID=7051173&amp;Result=3","7051173")</f>
        <v>0</v>
      </c>
      <c r="B12097" t="s">
        <v>1647</v>
      </c>
      <c r="C12097" t="s">
        <v>15077</v>
      </c>
      <c r="D12097" t="s">
        <v>18123</v>
      </c>
      <c r="E12097" t="s">
        <v>28685</v>
      </c>
      <c r="F12097" t="s">
        <v>31362</v>
      </c>
      <c r="G12097" t="s">
        <v>31369</v>
      </c>
      <c r="H12097" t="s">
        <v>15799</v>
      </c>
      <c r="I12097" t="s">
        <v>31409</v>
      </c>
      <c r="J12097" t="s">
        <v>31602</v>
      </c>
      <c r="K12097" t="s">
        <v>40683</v>
      </c>
      <c r="M12097" t="s">
        <v>43265</v>
      </c>
      <c r="N12097" t="s">
        <v>44905</v>
      </c>
      <c r="O12097" t="s">
        <v>44906</v>
      </c>
      <c r="P12097">
        <v>0</v>
      </c>
      <c r="Q12097">
        <v>9</v>
      </c>
      <c r="R12097" t="s">
        <v>44918</v>
      </c>
      <c r="S12097" t="s">
        <v>45447</v>
      </c>
      <c r="T12097" t="s">
        <v>46462</v>
      </c>
      <c r="U12097" t="s">
        <v>56601</v>
      </c>
      <c r="V12097" t="s">
        <v>59534</v>
      </c>
      <c r="W12097" t="s">
        <v>43265</v>
      </c>
      <c r="X12097" t="s">
        <v>44923</v>
      </c>
    </row>
    <row r="12098" spans="1:24">
      <c r="A12098">
        <f>HYPERLINK("https://www.philgeps.gov.ph/GEPSNONPILOT/Tender/SplashBidNoticeAbstractUI.aspx?menuIndex=3&amp;refID=7051166&amp;Result=3","7051166")</f>
        <v>0</v>
      </c>
      <c r="B12098" t="s">
        <v>1647</v>
      </c>
      <c r="C12098" t="s">
        <v>15078</v>
      </c>
      <c r="D12098" t="s">
        <v>18123</v>
      </c>
      <c r="E12098" t="s">
        <v>28686</v>
      </c>
      <c r="F12098" t="s">
        <v>31362</v>
      </c>
      <c r="G12098" t="s">
        <v>31369</v>
      </c>
      <c r="H12098" t="s">
        <v>15799</v>
      </c>
      <c r="I12098" t="s">
        <v>31409</v>
      </c>
      <c r="J12098" t="s">
        <v>38887</v>
      </c>
      <c r="K12098" t="s">
        <v>40683</v>
      </c>
      <c r="M12098" t="s">
        <v>43265</v>
      </c>
      <c r="N12098" t="s">
        <v>44905</v>
      </c>
      <c r="O12098" t="s">
        <v>44906</v>
      </c>
      <c r="Q12098">
        <v>17</v>
      </c>
      <c r="R12098" t="s">
        <v>44918</v>
      </c>
      <c r="S12098" t="s">
        <v>45452</v>
      </c>
      <c r="T12098" t="s">
        <v>46462</v>
      </c>
      <c r="U12098" t="s">
        <v>56602</v>
      </c>
      <c r="V12098" t="s">
        <v>59534</v>
      </c>
      <c r="W12098" t="s">
        <v>43265</v>
      </c>
      <c r="X12098" t="s">
        <v>44923</v>
      </c>
    </row>
    <row r="12099" spans="1:24">
      <c r="A12099">
        <f>HYPERLINK("https://www.philgeps.gov.ph/GEPSNONPILOT/Tender/SplashBidNoticeAbstractUI.aspx?menuIndex=3&amp;refID=7055037&amp;Result=3","7055037")</f>
        <v>0</v>
      </c>
      <c r="B12099" t="s">
        <v>1896</v>
      </c>
      <c r="C12099" t="s">
        <v>15079</v>
      </c>
      <c r="E12099" t="s">
        <v>28687</v>
      </c>
      <c r="F12099" t="s">
        <v>31362</v>
      </c>
      <c r="G12099" t="s">
        <v>31372</v>
      </c>
      <c r="H12099" t="s">
        <v>31378</v>
      </c>
      <c r="I12099" t="s">
        <v>31386</v>
      </c>
      <c r="J12099" t="s">
        <v>31625</v>
      </c>
      <c r="K12099" t="s">
        <v>40662</v>
      </c>
      <c r="M12099" t="s">
        <v>44417</v>
      </c>
      <c r="N12099" t="s">
        <v>44905</v>
      </c>
      <c r="O12099" t="s">
        <v>44906</v>
      </c>
      <c r="Q12099">
        <v>4</v>
      </c>
      <c r="R12099" t="s">
        <v>44918</v>
      </c>
      <c r="S12099" t="s">
        <v>45453</v>
      </c>
      <c r="T12099" t="s">
        <v>46560</v>
      </c>
      <c r="U12099" t="s">
        <v>56603</v>
      </c>
      <c r="W12099" t="s">
        <v>44417</v>
      </c>
      <c r="X12099" t="s">
        <v>44922</v>
      </c>
    </row>
    <row r="12100" spans="1:24">
      <c r="A12100">
        <f>HYPERLINK("https://www.philgeps.gov.ph/GEPSNONPILOT/Tender/SplashBidNoticeAbstractUI.aspx?menuIndex=3&amp;refID=7050494&amp;Result=3","7050494")</f>
        <v>0</v>
      </c>
      <c r="B12100" t="s">
        <v>3182</v>
      </c>
      <c r="C12100" t="s">
        <v>9062</v>
      </c>
      <c r="D12100" t="s">
        <v>18134</v>
      </c>
      <c r="E12100" t="s">
        <v>28688</v>
      </c>
      <c r="F12100" t="s">
        <v>31362</v>
      </c>
      <c r="G12100" t="s">
        <v>31371</v>
      </c>
      <c r="H12100" t="s">
        <v>15799</v>
      </c>
      <c r="I12100" t="s">
        <v>7188</v>
      </c>
      <c r="J12100" t="s">
        <v>36140</v>
      </c>
      <c r="K12100" t="s">
        <v>40677</v>
      </c>
      <c r="M12100" t="s">
        <v>44450</v>
      </c>
      <c r="N12100" t="s">
        <v>44905</v>
      </c>
      <c r="O12100" t="s">
        <v>44906</v>
      </c>
      <c r="P12100">
        <v>0</v>
      </c>
      <c r="Q12100">
        <v>1</v>
      </c>
      <c r="R12100" t="s">
        <v>44918</v>
      </c>
      <c r="S12100" t="s">
        <v>45447</v>
      </c>
      <c r="T12100" t="s">
        <v>46400</v>
      </c>
      <c r="U12100" t="s">
        <v>56604</v>
      </c>
      <c r="W12100" t="s">
        <v>44450</v>
      </c>
      <c r="X12100" t="s">
        <v>44923</v>
      </c>
    </row>
    <row r="12101" spans="1:24">
      <c r="A12101">
        <f>HYPERLINK("https://www.philgeps.gov.ph/GEPSNONPILOT/Tender/SplashBidNoticeAbstractUI.aspx?menuIndex=3&amp;refID=7048515&amp;Result=3","7048515")</f>
        <v>0</v>
      </c>
      <c r="B12101" t="s">
        <v>26</v>
      </c>
      <c r="C12101" t="s">
        <v>15080</v>
      </c>
      <c r="E12101" t="s">
        <v>28689</v>
      </c>
      <c r="F12101" t="s">
        <v>31362</v>
      </c>
      <c r="G12101" t="s">
        <v>31372</v>
      </c>
      <c r="H12101" t="s">
        <v>15799</v>
      </c>
      <c r="I12101" t="s">
        <v>31409</v>
      </c>
      <c r="J12101" t="s">
        <v>31615</v>
      </c>
      <c r="K12101" t="s">
        <v>40662</v>
      </c>
      <c r="M12101" t="s">
        <v>40960</v>
      </c>
      <c r="N12101" t="s">
        <v>44905</v>
      </c>
      <c r="O12101" t="s">
        <v>44906</v>
      </c>
      <c r="Q12101">
        <v>3</v>
      </c>
      <c r="R12101" t="s">
        <v>44918</v>
      </c>
      <c r="S12101" t="s">
        <v>45454</v>
      </c>
      <c r="T12101" t="s">
        <v>46853</v>
      </c>
      <c r="U12101" t="s">
        <v>56605</v>
      </c>
      <c r="W12101" t="s">
        <v>40960</v>
      </c>
      <c r="X12101" t="s">
        <v>44924</v>
      </c>
    </row>
    <row r="12102" spans="1:24">
      <c r="A12102">
        <f>HYPERLINK("https://www.philgeps.gov.ph/GEPSNONPILOT/Tender/SplashBidNoticeAbstractUI.aspx?menuIndex=3&amp;refID=7044395&amp;Result=3","7044395")</f>
        <v>0</v>
      </c>
      <c r="B12102" t="s">
        <v>3183</v>
      </c>
      <c r="C12102" t="s">
        <v>15081</v>
      </c>
      <c r="D12102" t="s">
        <v>18151</v>
      </c>
      <c r="E12102" t="s">
        <v>28690</v>
      </c>
      <c r="F12102" t="s">
        <v>31362</v>
      </c>
      <c r="G12102" t="s">
        <v>31369</v>
      </c>
      <c r="H12102" t="s">
        <v>31378</v>
      </c>
      <c r="I12102" t="s">
        <v>31386</v>
      </c>
      <c r="J12102" t="s">
        <v>38888</v>
      </c>
      <c r="K12102" t="s">
        <v>40678</v>
      </c>
      <c r="M12102" t="s">
        <v>44451</v>
      </c>
      <c r="N12102" t="s">
        <v>44905</v>
      </c>
      <c r="O12102" t="s">
        <v>44906</v>
      </c>
      <c r="P12102">
        <v>0</v>
      </c>
      <c r="Q12102">
        <v>3</v>
      </c>
      <c r="R12102" t="s">
        <v>44918</v>
      </c>
      <c r="S12102" t="s">
        <v>45447</v>
      </c>
      <c r="T12102" t="s">
        <v>46413</v>
      </c>
      <c r="U12102" t="s">
        <v>56606</v>
      </c>
      <c r="V12102" t="s">
        <v>59800</v>
      </c>
      <c r="W12102" t="s">
        <v>44451</v>
      </c>
      <c r="X12102" t="s">
        <v>44925</v>
      </c>
    </row>
    <row r="12103" spans="1:24">
      <c r="A12103">
        <f>HYPERLINK("https://www.philgeps.gov.ph/GEPSNONPILOT/Tender/SplashBidNoticeAbstractUI.aspx?menuIndex=3&amp;refID=7044001&amp;Result=3","7044001")</f>
        <v>0</v>
      </c>
      <c r="B12103" t="s">
        <v>183</v>
      </c>
      <c r="C12103" t="s">
        <v>15082</v>
      </c>
      <c r="D12103" t="s">
        <v>18129</v>
      </c>
      <c r="E12103" t="s">
        <v>28691</v>
      </c>
      <c r="F12103" t="s">
        <v>31362</v>
      </c>
      <c r="G12103" t="s">
        <v>31369</v>
      </c>
      <c r="H12103" t="s">
        <v>31378</v>
      </c>
      <c r="I12103" t="s">
        <v>31386</v>
      </c>
      <c r="J12103" t="s">
        <v>33068</v>
      </c>
      <c r="K12103" t="s">
        <v>40679</v>
      </c>
      <c r="M12103" t="s">
        <v>41121</v>
      </c>
      <c r="N12103" t="s">
        <v>44905</v>
      </c>
      <c r="O12103" t="s">
        <v>44906</v>
      </c>
      <c r="P12103">
        <v>0</v>
      </c>
      <c r="Q12103">
        <v>0</v>
      </c>
      <c r="R12103" t="s">
        <v>44918</v>
      </c>
      <c r="S12103" t="s">
        <v>45447</v>
      </c>
      <c r="T12103" t="s">
        <v>46392</v>
      </c>
      <c r="U12103" t="s">
        <v>56607</v>
      </c>
      <c r="W12103" t="s">
        <v>41121</v>
      </c>
      <c r="X12103" t="s">
        <v>44926</v>
      </c>
    </row>
    <row r="12104" spans="1:24">
      <c r="A12104">
        <f>HYPERLINK("https://www.philgeps.gov.ph/GEPSNONPILOT/Tender/SplashBidNoticeAbstractUI.aspx?menuIndex=3&amp;refID=7054278&amp;Result=3","7054278")</f>
        <v>0</v>
      </c>
      <c r="B12104" t="s">
        <v>2338</v>
      </c>
      <c r="C12104" t="s">
        <v>15083</v>
      </c>
      <c r="E12104" t="s">
        <v>28692</v>
      </c>
      <c r="F12104" t="s">
        <v>31362</v>
      </c>
      <c r="G12104" t="s">
        <v>31369</v>
      </c>
      <c r="H12104" t="s">
        <v>31378</v>
      </c>
      <c r="I12104" t="s">
        <v>31386</v>
      </c>
      <c r="J12104" t="s">
        <v>31625</v>
      </c>
      <c r="K12104" t="s">
        <v>40682</v>
      </c>
      <c r="L12104" t="s">
        <v>2338</v>
      </c>
      <c r="M12104" t="s">
        <v>43479</v>
      </c>
      <c r="N12104" t="s">
        <v>44905</v>
      </c>
      <c r="O12104" t="s">
        <v>44906</v>
      </c>
      <c r="P12104">
        <v>0</v>
      </c>
      <c r="Q12104">
        <v>0</v>
      </c>
      <c r="R12104" t="s">
        <v>44918</v>
      </c>
      <c r="S12104" t="s">
        <v>45447</v>
      </c>
      <c r="T12104" t="s">
        <v>46481</v>
      </c>
      <c r="U12104" t="s">
        <v>53211</v>
      </c>
      <c r="V12104" t="s">
        <v>59823</v>
      </c>
      <c r="W12104" t="s">
        <v>43479</v>
      </c>
      <c r="X12104" t="s">
        <v>44922</v>
      </c>
    </row>
    <row r="12105" spans="1:24">
      <c r="A12105">
        <f>HYPERLINK("https://www.philgeps.gov.ph/GEPSNONPILOT/Tender/SplashBidNoticeAbstractUI.aspx?menuIndex=3&amp;refID=7061657&amp;Result=3","7061657")</f>
        <v>0</v>
      </c>
      <c r="B12105" t="s">
        <v>1610</v>
      </c>
      <c r="C12105" t="s">
        <v>15084</v>
      </c>
      <c r="D12105" t="s">
        <v>18133</v>
      </c>
      <c r="E12105" t="s">
        <v>23047</v>
      </c>
      <c r="F12105" t="s">
        <v>31362</v>
      </c>
      <c r="G12105" t="s">
        <v>31369</v>
      </c>
      <c r="H12105" t="s">
        <v>31378</v>
      </c>
      <c r="I12105" t="s">
        <v>31386</v>
      </c>
      <c r="J12105" t="s">
        <v>34854</v>
      </c>
      <c r="K12105" t="s">
        <v>40735</v>
      </c>
      <c r="L12105" t="s">
        <v>1610</v>
      </c>
      <c r="M12105" t="s">
        <v>42669</v>
      </c>
      <c r="N12105" t="s">
        <v>44905</v>
      </c>
      <c r="O12105" t="s">
        <v>44906</v>
      </c>
      <c r="P12105">
        <v>0</v>
      </c>
      <c r="Q12105">
        <v>0</v>
      </c>
      <c r="R12105" t="s">
        <v>44917</v>
      </c>
      <c r="S12105" t="s">
        <v>45386</v>
      </c>
      <c r="T12105" t="s">
        <v>46530</v>
      </c>
      <c r="U12105" t="s">
        <v>56608</v>
      </c>
      <c r="W12105" t="s">
        <v>42669</v>
      </c>
      <c r="X12105" t="s">
        <v>44918</v>
      </c>
    </row>
    <row r="12106" spans="1:24">
      <c r="A12106">
        <f>HYPERLINK("https://www.philgeps.gov.ph/GEPSNONPILOT/Tender/SplashBidNoticeAbstractUI.aspx?menuIndex=3&amp;refID=7054980&amp;Result=3","7054980")</f>
        <v>0</v>
      </c>
      <c r="B12106" t="s">
        <v>1896</v>
      </c>
      <c r="C12106" t="s">
        <v>15085</v>
      </c>
      <c r="E12106" t="s">
        <v>28693</v>
      </c>
      <c r="F12106" t="s">
        <v>31362</v>
      </c>
      <c r="G12106" t="s">
        <v>31372</v>
      </c>
      <c r="H12106" t="s">
        <v>31378</v>
      </c>
      <c r="I12106" t="s">
        <v>31386</v>
      </c>
      <c r="J12106" t="s">
        <v>32673</v>
      </c>
      <c r="K12106" t="s">
        <v>40662</v>
      </c>
      <c r="M12106" t="s">
        <v>44417</v>
      </c>
      <c r="N12106" t="s">
        <v>44905</v>
      </c>
      <c r="O12106" t="s">
        <v>44906</v>
      </c>
      <c r="Q12106">
        <v>6</v>
      </c>
      <c r="R12106" t="s">
        <v>44918</v>
      </c>
      <c r="S12106" t="s">
        <v>45455</v>
      </c>
      <c r="T12106" t="s">
        <v>46560</v>
      </c>
      <c r="U12106" t="s">
        <v>56603</v>
      </c>
      <c r="W12106" t="s">
        <v>44417</v>
      </c>
      <c r="X12106" t="s">
        <v>44922</v>
      </c>
    </row>
    <row r="12107" spans="1:24">
      <c r="A12107">
        <f>HYPERLINK("https://www.philgeps.gov.ph/GEPSNONPILOT/Tender/SplashBidNoticeAbstractUI.aspx?menuIndex=3&amp;refID=7054544&amp;Result=3","7054544")</f>
        <v>0</v>
      </c>
      <c r="B12107" t="s">
        <v>115</v>
      </c>
      <c r="C12107" t="s">
        <v>15086</v>
      </c>
      <c r="D12107" t="s">
        <v>18137</v>
      </c>
      <c r="E12107" t="s">
        <v>28694</v>
      </c>
      <c r="F12107" t="s">
        <v>31362</v>
      </c>
      <c r="G12107" t="s">
        <v>31373</v>
      </c>
      <c r="H12107" t="s">
        <v>31378</v>
      </c>
      <c r="I12107" t="s">
        <v>31386</v>
      </c>
      <c r="J12107" t="s">
        <v>35755</v>
      </c>
      <c r="K12107" t="s">
        <v>40662</v>
      </c>
      <c r="L12107" t="s">
        <v>115</v>
      </c>
      <c r="M12107" t="s">
        <v>41052</v>
      </c>
      <c r="N12107" t="s">
        <v>44905</v>
      </c>
      <c r="O12107" t="s">
        <v>44906</v>
      </c>
      <c r="P12107">
        <v>0</v>
      </c>
      <c r="Q12107">
        <v>0</v>
      </c>
      <c r="R12107" t="s">
        <v>44918</v>
      </c>
      <c r="S12107" t="s">
        <v>45447</v>
      </c>
      <c r="T12107" t="s">
        <v>46560</v>
      </c>
      <c r="U12107" t="s">
        <v>56609</v>
      </c>
      <c r="W12107" t="s">
        <v>41052</v>
      </c>
      <c r="X12107" t="s">
        <v>44922</v>
      </c>
    </row>
    <row r="12108" spans="1:24">
      <c r="A12108">
        <f>HYPERLINK("https://www.philgeps.gov.ph/GEPSNONPILOT/Tender/SplashBidNoticeAbstractUI.aspx?menuIndex=3&amp;refID=7061566&amp;Result=3","7061566")</f>
        <v>0</v>
      </c>
      <c r="B12108" t="s">
        <v>2455</v>
      </c>
      <c r="C12108" t="s">
        <v>8036</v>
      </c>
      <c r="D12108" t="s">
        <v>18101</v>
      </c>
      <c r="E12108" t="s">
        <v>28695</v>
      </c>
      <c r="F12108" t="s">
        <v>31362</v>
      </c>
      <c r="G12108" t="s">
        <v>31369</v>
      </c>
      <c r="H12108" t="s">
        <v>31378</v>
      </c>
      <c r="I12108" t="s">
        <v>31386</v>
      </c>
      <c r="J12108" t="s">
        <v>38889</v>
      </c>
      <c r="K12108" t="s">
        <v>40683</v>
      </c>
      <c r="M12108" t="s">
        <v>43614</v>
      </c>
      <c r="N12108" t="s">
        <v>44905</v>
      </c>
      <c r="O12108" t="s">
        <v>44906</v>
      </c>
      <c r="P12108">
        <v>0</v>
      </c>
      <c r="Q12108">
        <v>2</v>
      </c>
      <c r="R12108" t="s">
        <v>44917</v>
      </c>
      <c r="S12108" t="s">
        <v>45386</v>
      </c>
      <c r="T12108" t="s">
        <v>46447</v>
      </c>
      <c r="U12108" t="s">
        <v>53631</v>
      </c>
      <c r="W12108" t="s">
        <v>43614</v>
      </c>
      <c r="X12108" t="s">
        <v>44918</v>
      </c>
    </row>
    <row r="12109" spans="1:24">
      <c r="A12109">
        <f>HYPERLINK("https://www.philgeps.gov.ph/GEPSNONPILOT/Tender/SplashBidNoticeAbstractUI.aspx?menuIndex=3&amp;refID=7044002&amp;Result=3","7044002")</f>
        <v>0</v>
      </c>
      <c r="B12109" t="s">
        <v>183</v>
      </c>
      <c r="C12109" t="s">
        <v>15087</v>
      </c>
      <c r="D12109" t="s">
        <v>18129</v>
      </c>
      <c r="E12109" t="s">
        <v>28696</v>
      </c>
      <c r="F12109" t="s">
        <v>31362</v>
      </c>
      <c r="G12109" t="s">
        <v>31369</v>
      </c>
      <c r="H12109" t="s">
        <v>31378</v>
      </c>
      <c r="I12109" t="s">
        <v>31386</v>
      </c>
      <c r="J12109" t="s">
        <v>33068</v>
      </c>
      <c r="K12109" t="s">
        <v>40679</v>
      </c>
      <c r="M12109" t="s">
        <v>41121</v>
      </c>
      <c r="N12109" t="s">
        <v>44905</v>
      </c>
      <c r="O12109" t="s">
        <v>44906</v>
      </c>
      <c r="P12109">
        <v>0</v>
      </c>
      <c r="Q12109">
        <v>0</v>
      </c>
      <c r="R12109" t="s">
        <v>44918</v>
      </c>
      <c r="S12109" t="s">
        <v>45447</v>
      </c>
      <c r="T12109" t="s">
        <v>46392</v>
      </c>
      <c r="U12109" t="s">
        <v>56610</v>
      </c>
      <c r="W12109" t="s">
        <v>41121</v>
      </c>
      <c r="X12109" t="s">
        <v>44926</v>
      </c>
    </row>
    <row r="12110" spans="1:24">
      <c r="A12110">
        <f>HYPERLINK("https://www.philgeps.gov.ph/GEPSNONPILOT/Tender/SplashBidNoticeAbstractUI.aspx?menuIndex=3&amp;refID=7061664&amp;Result=3","7061664")</f>
        <v>0</v>
      </c>
      <c r="B12110" t="s">
        <v>1610</v>
      </c>
      <c r="C12110" t="s">
        <v>15088</v>
      </c>
      <c r="D12110" t="s">
        <v>18133</v>
      </c>
      <c r="E12110" t="s">
        <v>27794</v>
      </c>
      <c r="F12110" t="s">
        <v>31362</v>
      </c>
      <c r="G12110" t="s">
        <v>31369</v>
      </c>
      <c r="H12110" t="s">
        <v>31378</v>
      </c>
      <c r="I12110" t="s">
        <v>31386</v>
      </c>
      <c r="J12110" t="s">
        <v>38890</v>
      </c>
      <c r="K12110" t="s">
        <v>40905</v>
      </c>
      <c r="L12110" t="s">
        <v>1610</v>
      </c>
      <c r="M12110" t="s">
        <v>42669</v>
      </c>
      <c r="N12110" t="s">
        <v>44905</v>
      </c>
      <c r="O12110" t="s">
        <v>44906</v>
      </c>
      <c r="P12110">
        <v>0</v>
      </c>
      <c r="Q12110">
        <v>0</v>
      </c>
      <c r="R12110" t="s">
        <v>44917</v>
      </c>
      <c r="S12110" t="s">
        <v>45386</v>
      </c>
      <c r="T12110" t="s">
        <v>46530</v>
      </c>
      <c r="U12110" t="s">
        <v>56611</v>
      </c>
      <c r="W12110" t="s">
        <v>42669</v>
      </c>
      <c r="X12110" t="s">
        <v>44918</v>
      </c>
    </row>
    <row r="12111" spans="1:24">
      <c r="A12111">
        <f>HYPERLINK("https://www.philgeps.gov.ph/GEPSNONPILOT/Tender/SplashBidNoticeAbstractUI.aspx?menuIndex=3&amp;refID=7061436&amp;Result=3","7061436")</f>
        <v>0</v>
      </c>
      <c r="B12111" t="s">
        <v>3184</v>
      </c>
      <c r="C12111" t="s">
        <v>15089</v>
      </c>
      <c r="D12111" t="s">
        <v>18123</v>
      </c>
      <c r="E12111" t="s">
        <v>28697</v>
      </c>
      <c r="F12111" t="s">
        <v>31365</v>
      </c>
      <c r="G12111" t="s">
        <v>31369</v>
      </c>
      <c r="H12111" t="s">
        <v>15799</v>
      </c>
      <c r="I12111" t="s">
        <v>31435</v>
      </c>
      <c r="J12111" t="s">
        <v>38891</v>
      </c>
      <c r="K12111" t="s">
        <v>40679</v>
      </c>
      <c r="M12111" t="s">
        <v>44452</v>
      </c>
      <c r="N12111" t="s">
        <v>44905</v>
      </c>
      <c r="O12111" t="s">
        <v>44906</v>
      </c>
      <c r="P12111">
        <v>0</v>
      </c>
      <c r="Q12111">
        <v>12</v>
      </c>
      <c r="R12111" t="s">
        <v>44917</v>
      </c>
      <c r="S12111" t="s">
        <v>45386</v>
      </c>
      <c r="T12111" t="s">
        <v>46627</v>
      </c>
      <c r="U12111" t="s">
        <v>56612</v>
      </c>
      <c r="W12111" t="s">
        <v>44452</v>
      </c>
      <c r="X12111" t="s">
        <v>44918</v>
      </c>
    </row>
    <row r="12112" spans="1:24">
      <c r="A12112">
        <f>HYPERLINK("https://www.philgeps.gov.ph/GEPSNONPILOT/Tender/SplashBidNoticeAbstractUI.aspx?menuIndex=3&amp;refID=7061431&amp;Result=3","7061431")</f>
        <v>0</v>
      </c>
      <c r="B12112" t="s">
        <v>1525</v>
      </c>
      <c r="C12112" t="s">
        <v>15090</v>
      </c>
      <c r="D12112" t="s">
        <v>18155</v>
      </c>
      <c r="E12112" t="s">
        <v>28698</v>
      </c>
      <c r="F12112" t="s">
        <v>31362</v>
      </c>
      <c r="G12112" t="s">
        <v>31369</v>
      </c>
      <c r="H12112" t="s">
        <v>31379</v>
      </c>
      <c r="I12112" t="s">
        <v>31409</v>
      </c>
      <c r="J12112" t="s">
        <v>33100</v>
      </c>
      <c r="K12112" t="s">
        <v>40699</v>
      </c>
      <c r="M12112" t="s">
        <v>44453</v>
      </c>
      <c r="N12112" t="s">
        <v>44905</v>
      </c>
      <c r="O12112" t="s">
        <v>44906</v>
      </c>
      <c r="Q12112">
        <v>6</v>
      </c>
      <c r="R12112" t="s">
        <v>44917</v>
      </c>
      <c r="S12112" t="s">
        <v>45456</v>
      </c>
      <c r="T12112" t="s">
        <v>46481</v>
      </c>
      <c r="U12112" t="s">
        <v>56613</v>
      </c>
      <c r="V12112" t="s">
        <v>60346</v>
      </c>
      <c r="W12112" t="s">
        <v>44453</v>
      </c>
      <c r="X12112" t="s">
        <v>44918</v>
      </c>
    </row>
    <row r="12113" spans="1:24">
      <c r="A12113">
        <f>HYPERLINK("https://www.philgeps.gov.ph/GEPSNONPILOT/Tender/SplashBidNoticeAbstractUI.aspx?menuIndex=3&amp;refID=7061558&amp;Result=3","7061558")</f>
        <v>0</v>
      </c>
      <c r="B12113" t="s">
        <v>1010</v>
      </c>
      <c r="C12113" t="s">
        <v>15091</v>
      </c>
      <c r="D12113" t="s">
        <v>18147</v>
      </c>
      <c r="E12113" t="s">
        <v>21371</v>
      </c>
      <c r="F12113" t="s">
        <v>31362</v>
      </c>
      <c r="G12113" t="s">
        <v>31369</v>
      </c>
      <c r="H12113" t="s">
        <v>31378</v>
      </c>
      <c r="I12113" t="s">
        <v>31386</v>
      </c>
      <c r="J12113" t="s">
        <v>38892</v>
      </c>
      <c r="K12113" t="s">
        <v>40777</v>
      </c>
      <c r="L12113" t="s">
        <v>1010</v>
      </c>
      <c r="M12113" t="s">
        <v>42007</v>
      </c>
      <c r="N12113" t="s">
        <v>44905</v>
      </c>
      <c r="O12113" t="s">
        <v>44906</v>
      </c>
      <c r="P12113">
        <v>0</v>
      </c>
      <c r="Q12113">
        <v>0</v>
      </c>
      <c r="R12113" t="s">
        <v>44917</v>
      </c>
      <c r="S12113" t="s">
        <v>45386</v>
      </c>
      <c r="T12113" t="s">
        <v>46392</v>
      </c>
      <c r="U12113" t="s">
        <v>56614</v>
      </c>
      <c r="W12113" t="s">
        <v>42007</v>
      </c>
      <c r="X12113" t="s">
        <v>44918</v>
      </c>
    </row>
    <row r="12114" spans="1:24">
      <c r="A12114">
        <f>HYPERLINK("https://www.philgeps.gov.ph/GEPSNONPILOT/Tender/SplashBidNoticeAbstractUI.aspx?menuIndex=3&amp;refID=7061358&amp;Result=3","7061358")</f>
        <v>0</v>
      </c>
      <c r="B12114" t="s">
        <v>2744</v>
      </c>
      <c r="C12114" t="s">
        <v>15092</v>
      </c>
      <c r="D12114" t="s">
        <v>18107</v>
      </c>
      <c r="E12114" t="s">
        <v>28699</v>
      </c>
      <c r="F12114" t="s">
        <v>31362</v>
      </c>
      <c r="G12114" t="s">
        <v>31369</v>
      </c>
      <c r="H12114" t="s">
        <v>31378</v>
      </c>
      <c r="I12114" t="s">
        <v>31386</v>
      </c>
      <c r="J12114" t="s">
        <v>38893</v>
      </c>
      <c r="K12114" t="s">
        <v>40804</v>
      </c>
      <c r="M12114" t="s">
        <v>44454</v>
      </c>
      <c r="N12114" t="s">
        <v>44905</v>
      </c>
      <c r="O12114" t="s">
        <v>44906</v>
      </c>
      <c r="P12114">
        <v>0</v>
      </c>
      <c r="Q12114">
        <v>0</v>
      </c>
      <c r="R12114" t="s">
        <v>44917</v>
      </c>
      <c r="S12114" t="s">
        <v>45386</v>
      </c>
      <c r="T12114" t="s">
        <v>46392</v>
      </c>
      <c r="U12114" t="s">
        <v>54544</v>
      </c>
      <c r="W12114" t="s">
        <v>44454</v>
      </c>
      <c r="X12114" t="s">
        <v>44918</v>
      </c>
    </row>
    <row r="12115" spans="1:24">
      <c r="A12115">
        <f>HYPERLINK("https://www.philgeps.gov.ph/GEPSNONPILOT/Tender/SplashBidNoticeAbstractUI.aspx?menuIndex=3&amp;refID=7061355&amp;Result=3","7061355")</f>
        <v>0</v>
      </c>
      <c r="B12115" t="s">
        <v>3168</v>
      </c>
      <c r="C12115" t="s">
        <v>15093</v>
      </c>
      <c r="D12115" t="s">
        <v>18113</v>
      </c>
      <c r="E12115" t="s">
        <v>28700</v>
      </c>
      <c r="F12115" t="s">
        <v>31362</v>
      </c>
      <c r="G12115" t="s">
        <v>31369</v>
      </c>
      <c r="H12115" t="s">
        <v>15799</v>
      </c>
      <c r="I12115" t="s">
        <v>31437</v>
      </c>
      <c r="J12115" t="s">
        <v>38894</v>
      </c>
      <c r="K12115" t="s">
        <v>40675</v>
      </c>
      <c r="M12115" t="s">
        <v>44432</v>
      </c>
      <c r="N12115" t="s">
        <v>44905</v>
      </c>
      <c r="O12115" t="s">
        <v>44906</v>
      </c>
      <c r="Q12115">
        <v>8</v>
      </c>
      <c r="R12115" t="s">
        <v>44917</v>
      </c>
      <c r="S12115" t="s">
        <v>45381</v>
      </c>
      <c r="T12115" t="s">
        <v>46611</v>
      </c>
      <c r="U12115" t="s">
        <v>56615</v>
      </c>
      <c r="W12115" t="s">
        <v>44432</v>
      </c>
      <c r="X12115" t="s">
        <v>44918</v>
      </c>
    </row>
    <row r="12116" spans="1:24">
      <c r="A12116">
        <f>HYPERLINK("https://www.philgeps.gov.ph/GEPSNONPILOT/Tender/SplashBidNoticeAbstractUI.aspx?menuIndex=3&amp;refID=7061652&amp;Result=3","7061652")</f>
        <v>0</v>
      </c>
      <c r="B12116" t="s">
        <v>1719</v>
      </c>
      <c r="C12116" t="s">
        <v>15094</v>
      </c>
      <c r="E12116" t="s">
        <v>28701</v>
      </c>
      <c r="F12116" t="s">
        <v>31362</v>
      </c>
      <c r="G12116" t="s">
        <v>31369</v>
      </c>
      <c r="H12116" t="s">
        <v>15799</v>
      </c>
      <c r="I12116" t="s">
        <v>3582</v>
      </c>
      <c r="J12116" t="s">
        <v>38895</v>
      </c>
      <c r="K12116" t="s">
        <v>40662</v>
      </c>
      <c r="M12116" t="s">
        <v>44437</v>
      </c>
      <c r="N12116" t="s">
        <v>44905</v>
      </c>
      <c r="O12116" t="s">
        <v>44906</v>
      </c>
      <c r="P12116">
        <v>0</v>
      </c>
      <c r="Q12116">
        <v>3</v>
      </c>
      <c r="R12116" t="s">
        <v>44917</v>
      </c>
      <c r="S12116" t="s">
        <v>45386</v>
      </c>
      <c r="T12116" t="s">
        <v>46519</v>
      </c>
      <c r="U12116" t="s">
        <v>56616</v>
      </c>
      <c r="V12116" t="s">
        <v>60341</v>
      </c>
      <c r="W12116" t="s">
        <v>44437</v>
      </c>
      <c r="X12116" t="s">
        <v>44918</v>
      </c>
    </row>
    <row r="12117" spans="1:24">
      <c r="A12117">
        <f>HYPERLINK("https://www.philgeps.gov.ph/GEPSNONPILOT/Tender/SplashBidNoticeAbstractUI.aspx?menuIndex=3&amp;refID=7061343&amp;Result=3","7061343")</f>
        <v>0</v>
      </c>
      <c r="B12117" t="s">
        <v>84</v>
      </c>
      <c r="C12117" t="s">
        <v>15095</v>
      </c>
      <c r="D12117" t="s">
        <v>18132</v>
      </c>
      <c r="E12117" t="s">
        <v>28702</v>
      </c>
      <c r="F12117" t="s">
        <v>31362</v>
      </c>
      <c r="G12117" t="s">
        <v>31369</v>
      </c>
      <c r="H12117" t="s">
        <v>15799</v>
      </c>
      <c r="I12117" t="s">
        <v>31393</v>
      </c>
      <c r="J12117" t="s">
        <v>38896</v>
      </c>
      <c r="K12117" t="s">
        <v>40670</v>
      </c>
      <c r="M12117" t="s">
        <v>41020</v>
      </c>
      <c r="N12117" t="s">
        <v>44905</v>
      </c>
      <c r="O12117" t="s">
        <v>44906</v>
      </c>
      <c r="P12117">
        <v>0</v>
      </c>
      <c r="Q12117">
        <v>7</v>
      </c>
      <c r="R12117" t="s">
        <v>44917</v>
      </c>
      <c r="S12117" t="s">
        <v>45386</v>
      </c>
      <c r="T12117" t="s">
        <v>46481</v>
      </c>
      <c r="U12117" t="s">
        <v>56617</v>
      </c>
      <c r="W12117" t="s">
        <v>41020</v>
      </c>
      <c r="X12117" t="s">
        <v>44918</v>
      </c>
    </row>
    <row r="12118" spans="1:24">
      <c r="A12118">
        <f>HYPERLINK("https://www.philgeps.gov.ph/GEPSNONPILOT/Tender/SplashBidNoticeAbstractUI.aspx?menuIndex=3&amp;refID=7061212&amp;Result=3","7061212")</f>
        <v>0</v>
      </c>
      <c r="B12118" t="s">
        <v>3185</v>
      </c>
      <c r="C12118" t="s">
        <v>15096</v>
      </c>
      <c r="D12118" t="s">
        <v>18121</v>
      </c>
      <c r="E12118" t="s">
        <v>28703</v>
      </c>
      <c r="F12118" t="s">
        <v>31362</v>
      </c>
      <c r="G12118" t="s">
        <v>31369</v>
      </c>
      <c r="H12118" t="s">
        <v>31378</v>
      </c>
      <c r="I12118" t="s">
        <v>31386</v>
      </c>
      <c r="J12118" t="s">
        <v>38897</v>
      </c>
      <c r="K12118" t="s">
        <v>40686</v>
      </c>
      <c r="M12118" t="s">
        <v>44455</v>
      </c>
      <c r="N12118" t="s">
        <v>44905</v>
      </c>
      <c r="O12118" t="s">
        <v>44906</v>
      </c>
      <c r="P12118">
        <v>0</v>
      </c>
      <c r="Q12118">
        <v>9</v>
      </c>
      <c r="R12118" t="s">
        <v>44917</v>
      </c>
      <c r="S12118" t="s">
        <v>45386</v>
      </c>
      <c r="T12118" t="s">
        <v>46542</v>
      </c>
      <c r="U12118" t="s">
        <v>56618</v>
      </c>
      <c r="W12118" t="s">
        <v>44455</v>
      </c>
      <c r="X12118" t="s">
        <v>44918</v>
      </c>
    </row>
    <row r="12119" spans="1:24">
      <c r="A12119">
        <f>HYPERLINK("https://www.philgeps.gov.ph/GEPSNONPILOT/Tender/SplashBidNoticeAbstractUI.aspx?menuIndex=3&amp;refID=7061563&amp;Result=3","7061563")</f>
        <v>0</v>
      </c>
      <c r="B12119" t="s">
        <v>3178</v>
      </c>
      <c r="C12119" t="s">
        <v>15097</v>
      </c>
      <c r="D12119" t="s">
        <v>18111</v>
      </c>
      <c r="E12119" t="s">
        <v>28704</v>
      </c>
      <c r="F12119" t="s">
        <v>31362</v>
      </c>
      <c r="G12119" t="s">
        <v>31369</v>
      </c>
      <c r="H12119" t="s">
        <v>31378</v>
      </c>
      <c r="I12119" t="s">
        <v>31386</v>
      </c>
      <c r="J12119" t="s">
        <v>38898</v>
      </c>
      <c r="K12119" t="s">
        <v>40686</v>
      </c>
      <c r="M12119" t="s">
        <v>44444</v>
      </c>
      <c r="N12119" t="s">
        <v>44905</v>
      </c>
      <c r="O12119" t="s">
        <v>44906</v>
      </c>
      <c r="P12119">
        <v>0</v>
      </c>
      <c r="Q12119">
        <v>3</v>
      </c>
      <c r="R12119" t="s">
        <v>44917</v>
      </c>
      <c r="S12119" t="s">
        <v>45386</v>
      </c>
      <c r="T12119" t="s">
        <v>46392</v>
      </c>
      <c r="U12119" t="s">
        <v>56562</v>
      </c>
      <c r="W12119" t="s">
        <v>44444</v>
      </c>
      <c r="X12119" t="s">
        <v>44918</v>
      </c>
    </row>
    <row r="12120" spans="1:24">
      <c r="A12120">
        <f>HYPERLINK("https://www.philgeps.gov.ph/GEPSNONPILOT/Tender/SplashBidNoticeAbstractUI.aspx?menuIndex=3&amp;refID=7061207&amp;Result=3","7061207")</f>
        <v>0</v>
      </c>
      <c r="B12120" t="s">
        <v>665</v>
      </c>
      <c r="C12120" t="s">
        <v>13639</v>
      </c>
      <c r="D12120" t="s">
        <v>18139</v>
      </c>
      <c r="E12120" t="s">
        <v>27935</v>
      </c>
      <c r="F12120" t="s">
        <v>31362</v>
      </c>
      <c r="G12120" t="s">
        <v>31369</v>
      </c>
      <c r="H12120" t="s">
        <v>15799</v>
      </c>
      <c r="I12120" t="s">
        <v>4283</v>
      </c>
      <c r="J12120" t="s">
        <v>38899</v>
      </c>
      <c r="K12120" t="s">
        <v>40679</v>
      </c>
      <c r="M12120" t="s">
        <v>44163</v>
      </c>
      <c r="N12120" t="s">
        <v>44905</v>
      </c>
      <c r="O12120" t="s">
        <v>44906</v>
      </c>
      <c r="P12120">
        <v>0</v>
      </c>
      <c r="Q12120">
        <v>6</v>
      </c>
      <c r="R12120" t="s">
        <v>44917</v>
      </c>
      <c r="S12120" t="s">
        <v>45386</v>
      </c>
      <c r="T12120" t="s">
        <v>46392</v>
      </c>
      <c r="U12120" t="s">
        <v>56619</v>
      </c>
      <c r="W12120" t="s">
        <v>44163</v>
      </c>
      <c r="X12120" t="s">
        <v>44918</v>
      </c>
    </row>
    <row r="12121" spans="1:24">
      <c r="A12121">
        <f>HYPERLINK("https://www.philgeps.gov.ph/GEPSNONPILOT/Tender/SplashBidNoticeAbstractUI.aspx?menuIndex=3&amp;refID=7061148&amp;Result=3","7061148")</f>
        <v>0</v>
      </c>
      <c r="B12121" t="s">
        <v>3186</v>
      </c>
      <c r="C12121" t="s">
        <v>14666</v>
      </c>
      <c r="D12121" t="s">
        <v>18105</v>
      </c>
      <c r="E12121" t="s">
        <v>28705</v>
      </c>
      <c r="F12121" t="s">
        <v>31362</v>
      </c>
      <c r="G12121" t="s">
        <v>31369</v>
      </c>
      <c r="H12121" t="s">
        <v>31378</v>
      </c>
      <c r="I12121" t="s">
        <v>31386</v>
      </c>
      <c r="J12121" t="s">
        <v>31625</v>
      </c>
      <c r="K12121" t="s">
        <v>40686</v>
      </c>
      <c r="M12121" t="s">
        <v>44456</v>
      </c>
      <c r="N12121" t="s">
        <v>44905</v>
      </c>
      <c r="O12121" t="s">
        <v>44906</v>
      </c>
      <c r="P12121">
        <v>0</v>
      </c>
      <c r="Q12121">
        <v>3</v>
      </c>
      <c r="R12121" t="s">
        <v>44917</v>
      </c>
      <c r="S12121" t="s">
        <v>45386</v>
      </c>
      <c r="T12121" t="s">
        <v>46508</v>
      </c>
      <c r="U12121" t="s">
        <v>56620</v>
      </c>
      <c r="W12121" t="s">
        <v>44456</v>
      </c>
      <c r="X12121" t="s">
        <v>44918</v>
      </c>
    </row>
    <row r="12122" spans="1:24">
      <c r="A12122">
        <f>HYPERLINK("https://www.philgeps.gov.ph/GEPSNONPILOT/Tender/SplashBidNoticeAbstractUI.aspx?menuIndex=3&amp;refID=7061138&amp;Result=3","7061138")</f>
        <v>0</v>
      </c>
      <c r="B12122" t="s">
        <v>542</v>
      </c>
      <c r="C12122" t="s">
        <v>15098</v>
      </c>
      <c r="E12122" t="s">
        <v>28706</v>
      </c>
      <c r="F12122" t="s">
        <v>31362</v>
      </c>
      <c r="G12122" t="s">
        <v>31369</v>
      </c>
      <c r="H12122" t="s">
        <v>31378</v>
      </c>
      <c r="I12122" t="s">
        <v>31386</v>
      </c>
      <c r="J12122" t="s">
        <v>31625</v>
      </c>
      <c r="K12122" t="s">
        <v>40662</v>
      </c>
      <c r="M12122" t="s">
        <v>41498</v>
      </c>
      <c r="N12122" t="s">
        <v>44905</v>
      </c>
      <c r="O12122" t="s">
        <v>44906</v>
      </c>
      <c r="P12122">
        <v>0</v>
      </c>
      <c r="Q12122">
        <v>0</v>
      </c>
      <c r="R12122" t="s">
        <v>44917</v>
      </c>
      <c r="S12122" t="s">
        <v>45386</v>
      </c>
      <c r="T12122" t="s">
        <v>46542</v>
      </c>
      <c r="U12122" t="s">
        <v>56621</v>
      </c>
      <c r="W12122" t="s">
        <v>41498</v>
      </c>
      <c r="X12122" t="s">
        <v>44918</v>
      </c>
    </row>
    <row r="12123" spans="1:24">
      <c r="A12123">
        <f>HYPERLINK("https://www.philgeps.gov.ph/GEPSNONPILOT/Tender/SplashBidNoticeAbstractUI.aspx?menuIndex=3&amp;refID=7053444&amp;Result=3","7053444")</f>
        <v>0</v>
      </c>
      <c r="B12123" t="s">
        <v>3187</v>
      </c>
      <c r="C12123" t="s">
        <v>15099</v>
      </c>
      <c r="D12123" t="s">
        <v>18138</v>
      </c>
      <c r="E12123" t="s">
        <v>28707</v>
      </c>
      <c r="F12123" t="s">
        <v>31362</v>
      </c>
      <c r="G12123" t="s">
        <v>31369</v>
      </c>
      <c r="H12123" t="s">
        <v>15799</v>
      </c>
      <c r="I12123" t="s">
        <v>31404</v>
      </c>
      <c r="J12123" t="s">
        <v>38900</v>
      </c>
      <c r="K12123" t="s">
        <v>40665</v>
      </c>
      <c r="M12123" t="s">
        <v>44457</v>
      </c>
      <c r="N12123" t="s">
        <v>44905</v>
      </c>
      <c r="O12123" t="s">
        <v>44906</v>
      </c>
      <c r="Q12123">
        <v>3</v>
      </c>
      <c r="R12123" t="s">
        <v>44918</v>
      </c>
      <c r="S12123" t="s">
        <v>45457</v>
      </c>
      <c r="T12123" t="s">
        <v>46486</v>
      </c>
      <c r="U12123" t="s">
        <v>56622</v>
      </c>
      <c r="W12123" t="s">
        <v>44457</v>
      </c>
      <c r="X12123" t="s">
        <v>44922</v>
      </c>
    </row>
    <row r="12124" spans="1:24">
      <c r="A12124">
        <f>HYPERLINK("https://www.philgeps.gov.ph/GEPSNONPILOT/Tender/SplashBidNoticeAbstractUI.aspx?menuIndex=3&amp;refID=7061137&amp;Result=3","7061137")</f>
        <v>0</v>
      </c>
      <c r="B12124" t="s">
        <v>3161</v>
      </c>
      <c r="C12124" t="s">
        <v>15100</v>
      </c>
      <c r="D12124" t="s">
        <v>18102</v>
      </c>
      <c r="E12124" t="s">
        <v>28708</v>
      </c>
      <c r="F12124" t="s">
        <v>31365</v>
      </c>
      <c r="G12124" t="s">
        <v>31369</v>
      </c>
      <c r="H12124" t="s">
        <v>31377</v>
      </c>
      <c r="I12124" t="s">
        <v>31436</v>
      </c>
      <c r="J12124" t="s">
        <v>32249</v>
      </c>
      <c r="K12124" t="s">
        <v>40672</v>
      </c>
      <c r="M12124" t="s">
        <v>44425</v>
      </c>
      <c r="N12124" t="s">
        <v>44905</v>
      </c>
      <c r="O12124" t="s">
        <v>44906</v>
      </c>
      <c r="P12124">
        <v>0</v>
      </c>
      <c r="Q12124">
        <v>1</v>
      </c>
      <c r="R12124" t="s">
        <v>44917</v>
      </c>
      <c r="S12124" t="s">
        <v>45386</v>
      </c>
      <c r="T12124" t="s">
        <v>46446</v>
      </c>
      <c r="U12124" t="s">
        <v>56623</v>
      </c>
      <c r="W12124" t="s">
        <v>44425</v>
      </c>
      <c r="X12124" t="s">
        <v>44918</v>
      </c>
    </row>
    <row r="12125" spans="1:24">
      <c r="A12125">
        <f>HYPERLINK("https://www.philgeps.gov.ph/GEPSNONPILOT/Tender/SplashBidNoticeAbstractUI.aspx?menuIndex=3&amp;refID=7043998&amp;Result=3","7043998")</f>
        <v>0</v>
      </c>
      <c r="B12125" t="s">
        <v>183</v>
      </c>
      <c r="C12125" t="s">
        <v>15101</v>
      </c>
      <c r="D12125" t="s">
        <v>18129</v>
      </c>
      <c r="E12125" t="s">
        <v>28709</v>
      </c>
      <c r="F12125" t="s">
        <v>31362</v>
      </c>
      <c r="G12125" t="s">
        <v>31369</v>
      </c>
      <c r="H12125" t="s">
        <v>31378</v>
      </c>
      <c r="I12125" t="s">
        <v>31386</v>
      </c>
      <c r="J12125" t="s">
        <v>33068</v>
      </c>
      <c r="K12125" t="s">
        <v>40679</v>
      </c>
      <c r="M12125" t="s">
        <v>41121</v>
      </c>
      <c r="N12125" t="s">
        <v>44905</v>
      </c>
      <c r="O12125" t="s">
        <v>44906</v>
      </c>
      <c r="P12125">
        <v>0</v>
      </c>
      <c r="Q12125">
        <v>0</v>
      </c>
      <c r="R12125" t="s">
        <v>44918</v>
      </c>
      <c r="S12125" t="s">
        <v>45447</v>
      </c>
      <c r="T12125" t="s">
        <v>46392</v>
      </c>
      <c r="U12125" t="s">
        <v>56624</v>
      </c>
      <c r="W12125" t="s">
        <v>41121</v>
      </c>
      <c r="X12125" t="s">
        <v>44926</v>
      </c>
    </row>
    <row r="12126" spans="1:24">
      <c r="A12126">
        <f>HYPERLINK("https://www.philgeps.gov.ph/GEPSNONPILOT/Tender/SplashBidNoticeAbstractUI.aspx?menuIndex=3&amp;refID=7061221&amp;Result=3","7061221")</f>
        <v>0</v>
      </c>
      <c r="B12126" t="s">
        <v>81</v>
      </c>
      <c r="C12126" t="s">
        <v>15102</v>
      </c>
      <c r="E12126" t="s">
        <v>28710</v>
      </c>
      <c r="F12126" t="s">
        <v>31362</v>
      </c>
      <c r="G12126" t="s">
        <v>31372</v>
      </c>
      <c r="H12126" t="s">
        <v>31378</v>
      </c>
      <c r="I12126" t="s">
        <v>31386</v>
      </c>
      <c r="J12126" t="s">
        <v>38901</v>
      </c>
      <c r="K12126" t="s">
        <v>40662</v>
      </c>
      <c r="M12126" t="s">
        <v>41999</v>
      </c>
      <c r="N12126" t="s">
        <v>44905</v>
      </c>
      <c r="O12126" t="s">
        <v>44906</v>
      </c>
      <c r="Q12126">
        <v>2</v>
      </c>
      <c r="R12126" t="s">
        <v>44917</v>
      </c>
      <c r="S12126" t="s">
        <v>45458</v>
      </c>
      <c r="T12126" t="s">
        <v>46462</v>
      </c>
      <c r="U12126" t="s">
        <v>56625</v>
      </c>
      <c r="V12126" t="s">
        <v>60334</v>
      </c>
      <c r="W12126" t="s">
        <v>41999</v>
      </c>
      <c r="X12126" t="s">
        <v>44918</v>
      </c>
    </row>
    <row r="12127" spans="1:24">
      <c r="A12127">
        <f>HYPERLINK("https://www.philgeps.gov.ph/GEPSNONPILOT/Tender/SplashBidNoticeAbstractUI.aspx?menuIndex=3&amp;refID=7061129&amp;Result=3","7061129")</f>
        <v>0</v>
      </c>
      <c r="B12127" t="s">
        <v>672</v>
      </c>
      <c r="C12127" t="s">
        <v>15103</v>
      </c>
      <c r="D12127" t="s">
        <v>18103</v>
      </c>
      <c r="E12127" t="s">
        <v>28711</v>
      </c>
      <c r="F12127" t="s">
        <v>31362</v>
      </c>
      <c r="G12127" t="s">
        <v>31369</v>
      </c>
      <c r="H12127" t="s">
        <v>31378</v>
      </c>
      <c r="I12127" t="s">
        <v>31386</v>
      </c>
      <c r="J12127" t="s">
        <v>32673</v>
      </c>
      <c r="K12127" t="s">
        <v>40679</v>
      </c>
      <c r="M12127" t="s">
        <v>41634</v>
      </c>
      <c r="N12127" t="s">
        <v>44905</v>
      </c>
      <c r="O12127" t="s">
        <v>44906</v>
      </c>
      <c r="P12127">
        <v>0</v>
      </c>
      <c r="Q12127">
        <v>8</v>
      </c>
      <c r="R12127" t="s">
        <v>44917</v>
      </c>
      <c r="S12127" t="s">
        <v>45386</v>
      </c>
      <c r="T12127" t="s">
        <v>46392</v>
      </c>
      <c r="U12127" t="s">
        <v>56451</v>
      </c>
      <c r="W12127" t="s">
        <v>60863</v>
      </c>
      <c r="X12127" t="s">
        <v>44918</v>
      </c>
    </row>
    <row r="12128" spans="1:24">
      <c r="A12128">
        <f>HYPERLINK("https://www.philgeps.gov.ph/GEPSNONPILOT/Tender/SplashBidNoticeAbstractUI.aspx?menuIndex=3&amp;refID=7056122&amp;Result=3","7056122")</f>
        <v>0</v>
      </c>
      <c r="B12128" t="s">
        <v>234</v>
      </c>
      <c r="C12128" t="s">
        <v>15104</v>
      </c>
      <c r="D12128" t="s">
        <v>18108</v>
      </c>
      <c r="E12128" t="s">
        <v>28712</v>
      </c>
      <c r="F12128" t="s">
        <v>31362</v>
      </c>
      <c r="G12128" t="s">
        <v>31369</v>
      </c>
      <c r="H12128" t="s">
        <v>15799</v>
      </c>
      <c r="I12128" t="s">
        <v>31413</v>
      </c>
      <c r="J12128" t="s">
        <v>38902</v>
      </c>
      <c r="K12128" t="s">
        <v>40665</v>
      </c>
      <c r="M12128" t="s">
        <v>43744</v>
      </c>
      <c r="N12128" t="s">
        <v>44905</v>
      </c>
      <c r="O12128" t="s">
        <v>44906</v>
      </c>
      <c r="P12128">
        <v>0</v>
      </c>
      <c r="Q12128">
        <v>2</v>
      </c>
      <c r="R12128" t="s">
        <v>44918</v>
      </c>
      <c r="S12128" t="s">
        <v>45447</v>
      </c>
      <c r="T12128" t="s">
        <v>46481</v>
      </c>
      <c r="U12128" t="s">
        <v>56626</v>
      </c>
      <c r="W12128" t="s">
        <v>43744</v>
      </c>
      <c r="X12128" t="s">
        <v>44921</v>
      </c>
    </row>
    <row r="12129" spans="1:24">
      <c r="A12129">
        <f>HYPERLINK("https://www.philgeps.gov.ph/GEPSNONPILOT/Tender/SplashBidNoticeAbstractUI.aspx?menuIndex=3&amp;refID=7056304&amp;Result=3","7056304")</f>
        <v>0</v>
      </c>
      <c r="B12129" t="s">
        <v>3188</v>
      </c>
      <c r="C12129" t="s">
        <v>15105</v>
      </c>
      <c r="D12129" t="s">
        <v>18108</v>
      </c>
      <c r="E12129" t="s">
        <v>22876</v>
      </c>
      <c r="F12129" t="s">
        <v>31365</v>
      </c>
      <c r="G12129" t="s">
        <v>31369</v>
      </c>
      <c r="H12129" t="s">
        <v>15799</v>
      </c>
      <c r="I12129" t="s">
        <v>7090</v>
      </c>
      <c r="J12129" t="s">
        <v>31724</v>
      </c>
      <c r="K12129" t="s">
        <v>40665</v>
      </c>
      <c r="M12129" t="s">
        <v>44458</v>
      </c>
      <c r="N12129" t="s">
        <v>44905</v>
      </c>
      <c r="O12129" t="s">
        <v>44906</v>
      </c>
      <c r="P12129">
        <v>0</v>
      </c>
      <c r="Q12129">
        <v>0</v>
      </c>
      <c r="R12129" t="s">
        <v>44918</v>
      </c>
      <c r="S12129" t="s">
        <v>45447</v>
      </c>
      <c r="T12129" t="s">
        <v>46478</v>
      </c>
      <c r="U12129" t="s">
        <v>56627</v>
      </c>
      <c r="W12129" t="s">
        <v>44458</v>
      </c>
      <c r="X12129" t="s">
        <v>44921</v>
      </c>
    </row>
    <row r="12130" spans="1:24">
      <c r="A12130">
        <f>HYPERLINK("https://www.philgeps.gov.ph/GEPSNONPILOT/Tender/SplashBidNoticeAbstractUI.aspx?menuIndex=3&amp;refID=7061139&amp;Result=3","7061139")</f>
        <v>0</v>
      </c>
      <c r="B12130" t="s">
        <v>672</v>
      </c>
      <c r="C12130" t="s">
        <v>15106</v>
      </c>
      <c r="D12130" t="s">
        <v>18103</v>
      </c>
      <c r="E12130" t="s">
        <v>28713</v>
      </c>
      <c r="F12130" t="s">
        <v>31362</v>
      </c>
      <c r="G12130" t="s">
        <v>31369</v>
      </c>
      <c r="H12130" t="s">
        <v>31378</v>
      </c>
      <c r="I12130" t="s">
        <v>31386</v>
      </c>
      <c r="J12130" t="s">
        <v>36377</v>
      </c>
      <c r="K12130" t="s">
        <v>40675</v>
      </c>
      <c r="M12130" t="s">
        <v>41634</v>
      </c>
      <c r="N12130" t="s">
        <v>44905</v>
      </c>
      <c r="O12130" t="s">
        <v>44906</v>
      </c>
      <c r="P12130">
        <v>0</v>
      </c>
      <c r="Q12130">
        <v>5</v>
      </c>
      <c r="R12130" t="s">
        <v>44917</v>
      </c>
      <c r="S12130" t="s">
        <v>45386</v>
      </c>
      <c r="T12130" t="s">
        <v>46392</v>
      </c>
      <c r="U12130" t="s">
        <v>56451</v>
      </c>
      <c r="W12130" t="s">
        <v>60863</v>
      </c>
      <c r="X12130" t="s">
        <v>44918</v>
      </c>
    </row>
    <row r="12131" spans="1:24">
      <c r="A12131">
        <f>HYPERLINK("https://www.philgeps.gov.ph/GEPSNONPILOT/Tender/SplashBidNoticeAbstractUI.aspx?menuIndex=3&amp;refID=7056362&amp;Result=3","7056362")</f>
        <v>0</v>
      </c>
      <c r="B12131" t="s">
        <v>3189</v>
      </c>
      <c r="C12131" t="s">
        <v>15107</v>
      </c>
      <c r="D12131" t="s">
        <v>18123</v>
      </c>
      <c r="E12131" t="s">
        <v>28714</v>
      </c>
      <c r="F12131" t="s">
        <v>31362</v>
      </c>
      <c r="G12131" t="s">
        <v>31369</v>
      </c>
      <c r="H12131" t="s">
        <v>15799</v>
      </c>
      <c r="I12131" t="s">
        <v>31414</v>
      </c>
      <c r="J12131" t="s">
        <v>32239</v>
      </c>
      <c r="K12131" t="s">
        <v>40665</v>
      </c>
      <c r="M12131" t="s">
        <v>44459</v>
      </c>
      <c r="N12131" t="s">
        <v>44905</v>
      </c>
      <c r="O12131" t="s">
        <v>44906</v>
      </c>
      <c r="P12131">
        <v>0</v>
      </c>
      <c r="Q12131">
        <v>2</v>
      </c>
      <c r="R12131" t="s">
        <v>44918</v>
      </c>
      <c r="S12131" t="s">
        <v>45447</v>
      </c>
      <c r="T12131" t="s">
        <v>46499</v>
      </c>
      <c r="U12131" t="s">
        <v>56628</v>
      </c>
      <c r="W12131" t="s">
        <v>44459</v>
      </c>
      <c r="X12131" t="s">
        <v>44921</v>
      </c>
    </row>
    <row r="12132" spans="1:24">
      <c r="A12132">
        <f>HYPERLINK("https://www.philgeps.gov.ph/GEPSNONPILOT/Tender/SplashBidNoticeAbstractUI.aspx?menuIndex=3&amp;refID=7056321&amp;Result=3","7056321")</f>
        <v>0</v>
      </c>
      <c r="B12132" t="s">
        <v>452</v>
      </c>
      <c r="C12132" t="s">
        <v>15108</v>
      </c>
      <c r="D12132" t="s">
        <v>18122</v>
      </c>
      <c r="E12132" t="s">
        <v>28715</v>
      </c>
      <c r="F12132" t="s">
        <v>31362</v>
      </c>
      <c r="G12132" t="s">
        <v>31369</v>
      </c>
      <c r="H12132" t="s">
        <v>31378</v>
      </c>
      <c r="I12132" t="s">
        <v>31386</v>
      </c>
      <c r="J12132" t="s">
        <v>38903</v>
      </c>
      <c r="K12132" t="s">
        <v>40725</v>
      </c>
      <c r="M12132" t="s">
        <v>41406</v>
      </c>
      <c r="N12132" t="s">
        <v>44905</v>
      </c>
      <c r="O12132" t="s">
        <v>44906</v>
      </c>
      <c r="P12132">
        <v>0</v>
      </c>
      <c r="Q12132">
        <v>8</v>
      </c>
      <c r="R12132" t="s">
        <v>44918</v>
      </c>
      <c r="S12132" t="s">
        <v>45447</v>
      </c>
      <c r="T12132" t="s">
        <v>46481</v>
      </c>
      <c r="U12132" t="s">
        <v>47758</v>
      </c>
      <c r="W12132" t="s">
        <v>41406</v>
      </c>
      <c r="X12132" t="s">
        <v>44921</v>
      </c>
    </row>
    <row r="12133" spans="1:24">
      <c r="A12133">
        <f>HYPERLINK("https://www.philgeps.gov.ph/GEPSNONPILOT/Tender/SplashBidNoticeAbstractUI.aspx?menuIndex=3&amp;refID=7061130&amp;Result=3","7061130")</f>
        <v>0</v>
      </c>
      <c r="B12133" t="s">
        <v>1312</v>
      </c>
      <c r="C12133" t="s">
        <v>15109</v>
      </c>
      <c r="D12133" t="s">
        <v>18174</v>
      </c>
      <c r="E12133" t="s">
        <v>28716</v>
      </c>
      <c r="F12133" t="s">
        <v>31362</v>
      </c>
      <c r="G12133" t="s">
        <v>31369</v>
      </c>
      <c r="H12133" t="s">
        <v>31378</v>
      </c>
      <c r="I12133" t="s">
        <v>31386</v>
      </c>
      <c r="J12133" t="s">
        <v>33300</v>
      </c>
      <c r="K12133" t="s">
        <v>40683</v>
      </c>
      <c r="M12133" t="s">
        <v>42330</v>
      </c>
      <c r="N12133" t="s">
        <v>44905</v>
      </c>
      <c r="O12133" t="s">
        <v>44906</v>
      </c>
      <c r="P12133">
        <v>0</v>
      </c>
      <c r="Q12133">
        <v>0</v>
      </c>
      <c r="R12133" t="s">
        <v>44917</v>
      </c>
      <c r="S12133" t="s">
        <v>45386</v>
      </c>
      <c r="T12133" t="s">
        <v>46560</v>
      </c>
      <c r="U12133" t="s">
        <v>56629</v>
      </c>
      <c r="V12133" t="s">
        <v>60347</v>
      </c>
      <c r="W12133" t="s">
        <v>42330</v>
      </c>
      <c r="X12133" t="s">
        <v>44918</v>
      </c>
    </row>
    <row r="12134" spans="1:24">
      <c r="A12134">
        <f>HYPERLINK("https://www.philgeps.gov.ph/GEPSNONPILOT/Tender/SplashBidNoticeAbstractUI.aspx?menuIndex=3&amp;refID=7056320&amp;Result=3","7056320")</f>
        <v>0</v>
      </c>
      <c r="B12134" t="s">
        <v>3188</v>
      </c>
      <c r="C12134" t="s">
        <v>15105</v>
      </c>
      <c r="D12134" t="s">
        <v>18108</v>
      </c>
      <c r="E12134" t="s">
        <v>22876</v>
      </c>
      <c r="F12134" t="s">
        <v>31365</v>
      </c>
      <c r="G12134" t="s">
        <v>31369</v>
      </c>
      <c r="H12134" t="s">
        <v>15799</v>
      </c>
      <c r="I12134" t="s">
        <v>7090</v>
      </c>
      <c r="J12134" t="s">
        <v>38904</v>
      </c>
      <c r="K12134" t="s">
        <v>40665</v>
      </c>
      <c r="M12134" t="s">
        <v>44458</v>
      </c>
      <c r="N12134" t="s">
        <v>44905</v>
      </c>
      <c r="O12134" t="s">
        <v>44906</v>
      </c>
      <c r="P12134">
        <v>0</v>
      </c>
      <c r="Q12134">
        <v>1</v>
      </c>
      <c r="R12134" t="s">
        <v>44918</v>
      </c>
      <c r="S12134" t="s">
        <v>45447</v>
      </c>
      <c r="T12134" t="s">
        <v>46478</v>
      </c>
      <c r="U12134" t="s">
        <v>56630</v>
      </c>
      <c r="W12134" t="s">
        <v>44458</v>
      </c>
      <c r="X12134" t="s">
        <v>44921</v>
      </c>
    </row>
    <row r="12135" spans="1:24">
      <c r="A12135">
        <f>HYPERLINK("https://www.philgeps.gov.ph/GEPSNONPILOT/Tender/SplashBidNoticeAbstractUI.aspx?menuIndex=3&amp;refID=7061345&amp;Result=3","7061345")</f>
        <v>0</v>
      </c>
      <c r="B12135" t="s">
        <v>3168</v>
      </c>
      <c r="C12135" t="s">
        <v>15110</v>
      </c>
      <c r="D12135" t="s">
        <v>18113</v>
      </c>
      <c r="E12135" t="s">
        <v>28717</v>
      </c>
      <c r="F12135" t="s">
        <v>31362</v>
      </c>
      <c r="G12135" t="s">
        <v>31369</v>
      </c>
      <c r="H12135" t="s">
        <v>15799</v>
      </c>
      <c r="I12135" t="s">
        <v>31426</v>
      </c>
      <c r="J12135" t="s">
        <v>34854</v>
      </c>
      <c r="K12135" t="s">
        <v>40675</v>
      </c>
      <c r="M12135" t="s">
        <v>44432</v>
      </c>
      <c r="N12135" t="s">
        <v>44905</v>
      </c>
      <c r="O12135" t="s">
        <v>44906</v>
      </c>
      <c r="Q12135">
        <v>9</v>
      </c>
      <c r="R12135" t="s">
        <v>44917</v>
      </c>
      <c r="S12135" t="s">
        <v>45382</v>
      </c>
      <c r="T12135" t="s">
        <v>46611</v>
      </c>
      <c r="U12135" t="s">
        <v>56631</v>
      </c>
      <c r="W12135" t="s">
        <v>44432</v>
      </c>
      <c r="X12135" t="s">
        <v>44918</v>
      </c>
    </row>
    <row r="12136" spans="1:24">
      <c r="A12136">
        <f>HYPERLINK("https://www.philgeps.gov.ph/GEPSNONPILOT/Tender/SplashBidNoticeAbstractUI.aspx?menuIndex=3&amp;refID=7056273&amp;Result=3","7056273")</f>
        <v>0</v>
      </c>
      <c r="B12136" t="s">
        <v>68</v>
      </c>
      <c r="C12136" t="s">
        <v>15111</v>
      </c>
      <c r="E12136" t="s">
        <v>28718</v>
      </c>
      <c r="F12136" t="s">
        <v>31362</v>
      </c>
      <c r="G12136" t="s">
        <v>31369</v>
      </c>
      <c r="H12136" t="s">
        <v>31379</v>
      </c>
      <c r="I12136" t="s">
        <v>31477</v>
      </c>
      <c r="J12136" t="s">
        <v>38905</v>
      </c>
      <c r="K12136" t="s">
        <v>40723</v>
      </c>
      <c r="M12136" t="s">
        <v>44460</v>
      </c>
      <c r="N12136" t="s">
        <v>44905</v>
      </c>
      <c r="O12136" t="s">
        <v>44906</v>
      </c>
      <c r="P12136">
        <v>0</v>
      </c>
      <c r="Q12136">
        <v>3</v>
      </c>
      <c r="R12136" t="s">
        <v>44918</v>
      </c>
      <c r="S12136" t="s">
        <v>45447</v>
      </c>
      <c r="T12136" t="s">
        <v>46499</v>
      </c>
      <c r="U12136" t="s">
        <v>56632</v>
      </c>
      <c r="W12136" t="s">
        <v>44460</v>
      </c>
      <c r="X12136" t="s">
        <v>44921</v>
      </c>
    </row>
    <row r="12137" spans="1:24">
      <c r="A12137">
        <f>HYPERLINK("https://www.philgeps.gov.ph/GEPSNONPILOT/Tender/SplashBidNoticeAbstractUI.aspx?menuIndex=3&amp;refID=7056354&amp;Result=3","7056354")</f>
        <v>0</v>
      </c>
      <c r="B12137" t="s">
        <v>1895</v>
      </c>
      <c r="C12137" t="s">
        <v>15112</v>
      </c>
      <c r="D12137" t="s">
        <v>18151</v>
      </c>
      <c r="E12137" t="s">
        <v>28719</v>
      </c>
      <c r="F12137" t="s">
        <v>31362</v>
      </c>
      <c r="G12137" t="s">
        <v>31369</v>
      </c>
      <c r="H12137" t="s">
        <v>15799</v>
      </c>
      <c r="I12137" t="s">
        <v>31380</v>
      </c>
      <c r="J12137" t="s">
        <v>38906</v>
      </c>
      <c r="K12137" t="s">
        <v>40682</v>
      </c>
      <c r="M12137" t="s">
        <v>42990</v>
      </c>
      <c r="N12137" t="s">
        <v>44905</v>
      </c>
      <c r="O12137" t="s">
        <v>44906</v>
      </c>
      <c r="P12137">
        <v>0</v>
      </c>
      <c r="Q12137">
        <v>5</v>
      </c>
      <c r="R12137" t="s">
        <v>44918</v>
      </c>
      <c r="S12137" t="s">
        <v>45447</v>
      </c>
      <c r="T12137" t="s">
        <v>46481</v>
      </c>
      <c r="U12137" t="s">
        <v>56633</v>
      </c>
      <c r="W12137" t="s">
        <v>42990</v>
      </c>
      <c r="X12137" t="s">
        <v>44921</v>
      </c>
    </row>
    <row r="12138" spans="1:24">
      <c r="A12138">
        <f>HYPERLINK("https://www.philgeps.gov.ph/GEPSNONPILOT/Tender/SplashBidNoticeAbstractUI.aspx?menuIndex=3&amp;refID=7056246&amp;Result=3","7056246")</f>
        <v>0</v>
      </c>
      <c r="B12138" t="s">
        <v>482</v>
      </c>
      <c r="C12138" t="s">
        <v>15113</v>
      </c>
      <c r="D12138" t="s">
        <v>18108</v>
      </c>
      <c r="E12138" t="s">
        <v>28720</v>
      </c>
      <c r="F12138" t="s">
        <v>31362</v>
      </c>
      <c r="G12138" t="s">
        <v>31369</v>
      </c>
      <c r="H12138" t="s">
        <v>15799</v>
      </c>
      <c r="I12138" t="s">
        <v>7719</v>
      </c>
      <c r="J12138" t="s">
        <v>31637</v>
      </c>
      <c r="K12138" t="s">
        <v>40682</v>
      </c>
      <c r="M12138" t="s">
        <v>43754</v>
      </c>
      <c r="N12138" t="s">
        <v>44905</v>
      </c>
      <c r="O12138" t="s">
        <v>44906</v>
      </c>
      <c r="Q12138">
        <v>11</v>
      </c>
      <c r="R12138" t="s">
        <v>44918</v>
      </c>
      <c r="S12138" t="s">
        <v>45459</v>
      </c>
      <c r="T12138" t="s">
        <v>46392</v>
      </c>
      <c r="U12138" t="s">
        <v>56634</v>
      </c>
      <c r="W12138" t="s">
        <v>43754</v>
      </c>
      <c r="X12138" t="s">
        <v>44921</v>
      </c>
    </row>
    <row r="12139" spans="1:24">
      <c r="A12139">
        <f>HYPERLINK("https://www.philgeps.gov.ph/GEPSNONPILOT/Tender/SplashBidNoticeAbstractUI.aspx?menuIndex=3&amp;refID=7061146&amp;Result=3","7061146")</f>
        <v>0</v>
      </c>
      <c r="B12139" t="s">
        <v>672</v>
      </c>
      <c r="C12139" t="s">
        <v>15114</v>
      </c>
      <c r="D12139" t="s">
        <v>18103</v>
      </c>
      <c r="E12139" t="s">
        <v>28721</v>
      </c>
      <c r="F12139" t="s">
        <v>31362</v>
      </c>
      <c r="G12139" t="s">
        <v>31369</v>
      </c>
      <c r="H12139" t="s">
        <v>31378</v>
      </c>
      <c r="I12139" t="s">
        <v>31386</v>
      </c>
      <c r="J12139" t="s">
        <v>36377</v>
      </c>
      <c r="K12139" t="s">
        <v>40675</v>
      </c>
      <c r="M12139" t="s">
        <v>41634</v>
      </c>
      <c r="N12139" t="s">
        <v>44905</v>
      </c>
      <c r="O12139" t="s">
        <v>44906</v>
      </c>
      <c r="P12139">
        <v>0</v>
      </c>
      <c r="Q12139">
        <v>5</v>
      </c>
      <c r="R12139" t="s">
        <v>44917</v>
      </c>
      <c r="S12139" t="s">
        <v>45386</v>
      </c>
      <c r="T12139" t="s">
        <v>46392</v>
      </c>
      <c r="U12139" t="s">
        <v>56451</v>
      </c>
      <c r="W12139" t="s">
        <v>60863</v>
      </c>
      <c r="X12139" t="s">
        <v>44918</v>
      </c>
    </row>
    <row r="12140" spans="1:24">
      <c r="A12140">
        <f>HYPERLINK("https://www.philgeps.gov.ph/GEPSNONPILOT/Tender/SplashBidNoticeAbstractUI.aspx?menuIndex=3&amp;refID=7056238&amp;Result=3","7056238")</f>
        <v>0</v>
      </c>
      <c r="B12140" t="s">
        <v>3188</v>
      </c>
      <c r="C12140" t="s">
        <v>15115</v>
      </c>
      <c r="D12140" t="s">
        <v>18108</v>
      </c>
      <c r="E12140" t="s">
        <v>22876</v>
      </c>
      <c r="F12140" t="s">
        <v>31365</v>
      </c>
      <c r="G12140" t="s">
        <v>31369</v>
      </c>
      <c r="H12140" t="s">
        <v>15799</v>
      </c>
      <c r="I12140" t="s">
        <v>7090</v>
      </c>
      <c r="J12140" t="s">
        <v>31536</v>
      </c>
      <c r="K12140" t="s">
        <v>40665</v>
      </c>
      <c r="M12140" t="s">
        <v>44458</v>
      </c>
      <c r="N12140" t="s">
        <v>44905</v>
      </c>
      <c r="O12140" t="s">
        <v>44906</v>
      </c>
      <c r="P12140">
        <v>0</v>
      </c>
      <c r="Q12140">
        <v>0</v>
      </c>
      <c r="R12140" t="s">
        <v>44918</v>
      </c>
      <c r="S12140" t="s">
        <v>45447</v>
      </c>
      <c r="T12140" t="s">
        <v>46478</v>
      </c>
      <c r="U12140" t="s">
        <v>56635</v>
      </c>
      <c r="W12140" t="s">
        <v>44458</v>
      </c>
      <c r="X12140" t="s">
        <v>44921</v>
      </c>
    </row>
    <row r="12141" spans="1:24">
      <c r="A12141">
        <f>HYPERLINK("https://www.philgeps.gov.ph/GEPSNONPILOT/Tender/SplashBidNoticeAbstractUI.aspx?menuIndex=3&amp;refID=7056217&amp;Result=3","7056217")</f>
        <v>0</v>
      </c>
      <c r="B12141" t="s">
        <v>3188</v>
      </c>
      <c r="C12141" t="s">
        <v>15116</v>
      </c>
      <c r="D12141" t="s">
        <v>18108</v>
      </c>
      <c r="E12141" t="s">
        <v>22876</v>
      </c>
      <c r="F12141" t="s">
        <v>31365</v>
      </c>
      <c r="G12141" t="s">
        <v>31369</v>
      </c>
      <c r="H12141" t="s">
        <v>15799</v>
      </c>
      <c r="I12141" t="s">
        <v>7090</v>
      </c>
      <c r="J12141" t="s">
        <v>38907</v>
      </c>
      <c r="K12141" t="s">
        <v>40665</v>
      </c>
      <c r="M12141" t="s">
        <v>44458</v>
      </c>
      <c r="N12141" t="s">
        <v>44905</v>
      </c>
      <c r="O12141" t="s">
        <v>44906</v>
      </c>
      <c r="P12141">
        <v>0</v>
      </c>
      <c r="Q12141">
        <v>0</v>
      </c>
      <c r="R12141" t="s">
        <v>44918</v>
      </c>
      <c r="S12141" t="s">
        <v>45447</v>
      </c>
      <c r="T12141" t="s">
        <v>46478</v>
      </c>
      <c r="U12141" t="s">
        <v>56636</v>
      </c>
      <c r="W12141" t="s">
        <v>44458</v>
      </c>
      <c r="X12141" t="s">
        <v>44921</v>
      </c>
    </row>
    <row r="12142" spans="1:24">
      <c r="A12142">
        <f>HYPERLINK("https://www.philgeps.gov.ph/GEPSNONPILOT/Tender/SplashBidNoticeAbstractUI.aspx?menuIndex=3&amp;refID=7056214&amp;Result=3","7056214")</f>
        <v>0</v>
      </c>
      <c r="B12142" t="s">
        <v>1013</v>
      </c>
      <c r="C12142" t="s">
        <v>15117</v>
      </c>
      <c r="D12142" t="s">
        <v>18119</v>
      </c>
      <c r="E12142" t="s">
        <v>28722</v>
      </c>
      <c r="F12142" t="s">
        <v>31362</v>
      </c>
      <c r="G12142" t="s">
        <v>31369</v>
      </c>
      <c r="H12142" t="s">
        <v>15799</v>
      </c>
      <c r="I12142" t="s">
        <v>31430</v>
      </c>
      <c r="J12142" t="s">
        <v>31591</v>
      </c>
      <c r="K12142" t="s">
        <v>40665</v>
      </c>
      <c r="M12142" t="s">
        <v>42010</v>
      </c>
      <c r="N12142" t="s">
        <v>44905</v>
      </c>
      <c r="O12142" t="s">
        <v>44906</v>
      </c>
      <c r="P12142">
        <v>0</v>
      </c>
      <c r="Q12142">
        <v>0</v>
      </c>
      <c r="R12142" t="s">
        <v>44918</v>
      </c>
      <c r="S12142" t="s">
        <v>45447</v>
      </c>
      <c r="T12142" t="s">
        <v>46498</v>
      </c>
      <c r="U12142" t="s">
        <v>56637</v>
      </c>
      <c r="W12142" t="s">
        <v>42010</v>
      </c>
      <c r="X12142" t="s">
        <v>44921</v>
      </c>
    </row>
    <row r="12143" spans="1:24">
      <c r="A12143">
        <f>HYPERLINK("https://www.philgeps.gov.ph/GEPSNONPILOT/Tender/SplashBidNoticeAbstractUI.aspx?menuIndex=3&amp;refID=7061354&amp;Result=3","7061354")</f>
        <v>0</v>
      </c>
      <c r="B12143" t="s">
        <v>1174</v>
      </c>
      <c r="C12143" t="s">
        <v>15118</v>
      </c>
      <c r="D12143" t="s">
        <v>18127</v>
      </c>
      <c r="E12143" t="s">
        <v>28603</v>
      </c>
      <c r="F12143" t="s">
        <v>31362</v>
      </c>
      <c r="G12143" t="s">
        <v>31369</v>
      </c>
      <c r="H12143" t="s">
        <v>31378</v>
      </c>
      <c r="I12143" t="s">
        <v>31443</v>
      </c>
      <c r="J12143" t="s">
        <v>38908</v>
      </c>
      <c r="K12143" t="s">
        <v>40813</v>
      </c>
      <c r="M12143" t="s">
        <v>43941</v>
      </c>
      <c r="N12143" t="s">
        <v>44905</v>
      </c>
      <c r="O12143" t="s">
        <v>44906</v>
      </c>
      <c r="P12143">
        <v>0</v>
      </c>
      <c r="Q12143">
        <v>0</v>
      </c>
      <c r="R12143" t="s">
        <v>44917</v>
      </c>
      <c r="S12143" t="s">
        <v>45386</v>
      </c>
      <c r="T12143" t="s">
        <v>46824</v>
      </c>
      <c r="U12143" t="s">
        <v>56638</v>
      </c>
      <c r="W12143" t="s">
        <v>43941</v>
      </c>
      <c r="X12143" t="s">
        <v>44918</v>
      </c>
    </row>
    <row r="12144" spans="1:24">
      <c r="A12144">
        <f>HYPERLINK("https://www.philgeps.gov.ph/GEPSNONPILOT/Tender/SplashBidNoticeAbstractUI.aspx?menuIndex=3&amp;refID=7056201&amp;Result=3","7056201")</f>
        <v>0</v>
      </c>
      <c r="B12144" t="s">
        <v>3188</v>
      </c>
      <c r="C12144" t="s">
        <v>15115</v>
      </c>
      <c r="D12144" t="s">
        <v>18108</v>
      </c>
      <c r="E12144" t="s">
        <v>22876</v>
      </c>
      <c r="F12144" t="s">
        <v>31365</v>
      </c>
      <c r="G12144" t="s">
        <v>31369</v>
      </c>
      <c r="H12144" t="s">
        <v>15799</v>
      </c>
      <c r="I12144" t="s">
        <v>7090</v>
      </c>
      <c r="J12144" t="s">
        <v>38909</v>
      </c>
      <c r="K12144" t="s">
        <v>40665</v>
      </c>
      <c r="M12144" t="s">
        <v>44458</v>
      </c>
      <c r="N12144" t="s">
        <v>44905</v>
      </c>
      <c r="O12144" t="s">
        <v>44906</v>
      </c>
      <c r="P12144">
        <v>0</v>
      </c>
      <c r="Q12144">
        <v>0</v>
      </c>
      <c r="R12144" t="s">
        <v>44918</v>
      </c>
      <c r="S12144" t="s">
        <v>45447</v>
      </c>
      <c r="T12144" t="s">
        <v>46478</v>
      </c>
      <c r="U12144" t="s">
        <v>56639</v>
      </c>
      <c r="W12144" t="s">
        <v>44458</v>
      </c>
      <c r="X12144" t="s">
        <v>44921</v>
      </c>
    </row>
    <row r="12145" spans="1:24">
      <c r="A12145">
        <f>HYPERLINK("https://www.philgeps.gov.ph/GEPSNONPILOT/Tender/SplashBidNoticeAbstractUI.aspx?menuIndex=3&amp;refID=7056190&amp;Result=3","7056190")</f>
        <v>0</v>
      </c>
      <c r="B12145" t="s">
        <v>1196</v>
      </c>
      <c r="C12145" t="s">
        <v>15119</v>
      </c>
      <c r="D12145" t="s">
        <v>18117</v>
      </c>
      <c r="E12145" t="s">
        <v>27162</v>
      </c>
      <c r="F12145" t="s">
        <v>31362</v>
      </c>
      <c r="G12145" t="s">
        <v>31369</v>
      </c>
      <c r="H12145" t="s">
        <v>15799</v>
      </c>
      <c r="I12145" t="s">
        <v>3815</v>
      </c>
      <c r="J12145" t="s">
        <v>35370</v>
      </c>
      <c r="K12145" t="s">
        <v>40666</v>
      </c>
      <c r="M12145" t="s">
        <v>42208</v>
      </c>
      <c r="N12145" t="s">
        <v>44905</v>
      </c>
      <c r="O12145" t="s">
        <v>44906</v>
      </c>
      <c r="P12145">
        <v>0</v>
      </c>
      <c r="Q12145">
        <v>0</v>
      </c>
      <c r="R12145" t="s">
        <v>44918</v>
      </c>
      <c r="S12145" t="s">
        <v>45447</v>
      </c>
      <c r="T12145" t="s">
        <v>46553</v>
      </c>
      <c r="U12145" t="s">
        <v>56640</v>
      </c>
      <c r="V12145" t="s">
        <v>60348</v>
      </c>
      <c r="W12145" t="s">
        <v>42208</v>
      </c>
      <c r="X12145" t="s">
        <v>44921</v>
      </c>
    </row>
    <row r="12146" spans="1:24">
      <c r="A12146">
        <f>HYPERLINK("https://www.philgeps.gov.ph/GEPSNONPILOT/Tender/SplashBidNoticeAbstractUI.aspx?menuIndex=3&amp;refID=7056145&amp;Result=3","7056145")</f>
        <v>0</v>
      </c>
      <c r="B12146" t="s">
        <v>366</v>
      </c>
      <c r="C12146" t="s">
        <v>15120</v>
      </c>
      <c r="D12146" t="s">
        <v>18100</v>
      </c>
      <c r="E12146" t="s">
        <v>27665</v>
      </c>
      <c r="F12146" t="s">
        <v>31362</v>
      </c>
      <c r="G12146" t="s">
        <v>31372</v>
      </c>
      <c r="H12146" t="s">
        <v>15799</v>
      </c>
      <c r="I12146" t="s">
        <v>31418</v>
      </c>
      <c r="J12146" t="s">
        <v>33631</v>
      </c>
      <c r="K12146" t="s">
        <v>40693</v>
      </c>
      <c r="M12146" t="s">
        <v>41313</v>
      </c>
      <c r="N12146" t="s">
        <v>44905</v>
      </c>
      <c r="O12146" t="s">
        <v>44906</v>
      </c>
      <c r="P12146">
        <v>0</v>
      </c>
      <c r="Q12146">
        <v>0</v>
      </c>
      <c r="R12146" t="s">
        <v>44918</v>
      </c>
      <c r="S12146" t="s">
        <v>45447</v>
      </c>
      <c r="T12146" t="s">
        <v>46505</v>
      </c>
      <c r="U12146" t="s">
        <v>56641</v>
      </c>
      <c r="W12146" t="s">
        <v>41313</v>
      </c>
      <c r="X12146" t="s">
        <v>44921</v>
      </c>
    </row>
    <row r="12147" spans="1:24">
      <c r="A12147">
        <f>HYPERLINK("https://www.philgeps.gov.ph/GEPSNONPILOT/Tender/SplashBidNoticeAbstractUI.aspx?menuIndex=3&amp;refID=7056132&amp;Result=3","7056132")</f>
        <v>0</v>
      </c>
      <c r="B12147" t="s">
        <v>3190</v>
      </c>
      <c r="C12147" t="s">
        <v>15121</v>
      </c>
      <c r="D12147" t="s">
        <v>18175</v>
      </c>
      <c r="E12147" t="s">
        <v>28723</v>
      </c>
      <c r="F12147" t="s">
        <v>31362</v>
      </c>
      <c r="G12147" t="s">
        <v>31369</v>
      </c>
      <c r="H12147" t="s">
        <v>31378</v>
      </c>
      <c r="I12147" t="s">
        <v>31386</v>
      </c>
      <c r="J12147" t="s">
        <v>38910</v>
      </c>
      <c r="K12147" t="s">
        <v>40662</v>
      </c>
      <c r="M12147" t="s">
        <v>44461</v>
      </c>
      <c r="N12147" t="s">
        <v>44905</v>
      </c>
      <c r="O12147" t="s">
        <v>44906</v>
      </c>
      <c r="P12147">
        <v>0</v>
      </c>
      <c r="Q12147">
        <v>0</v>
      </c>
      <c r="R12147" t="s">
        <v>44918</v>
      </c>
      <c r="S12147" t="s">
        <v>45447</v>
      </c>
      <c r="T12147" t="s">
        <v>46499</v>
      </c>
      <c r="U12147" t="s">
        <v>56642</v>
      </c>
      <c r="W12147" t="s">
        <v>44461</v>
      </c>
      <c r="X12147" t="s">
        <v>44921</v>
      </c>
    </row>
    <row r="12148" spans="1:24">
      <c r="A12148">
        <f>HYPERLINK("https://www.philgeps.gov.ph/GEPSNONPILOT/Tender/SplashBidNoticeAbstractUI.aspx?menuIndex=3&amp;refID=7061123&amp;Result=3","7061123")</f>
        <v>0</v>
      </c>
      <c r="B12148" t="s">
        <v>2391</v>
      </c>
      <c r="C12148" t="s">
        <v>15122</v>
      </c>
      <c r="D12148" t="s">
        <v>18106</v>
      </c>
      <c r="E12148" t="s">
        <v>28724</v>
      </c>
      <c r="F12148" t="s">
        <v>31362</v>
      </c>
      <c r="G12148" t="s">
        <v>31369</v>
      </c>
      <c r="H12148" t="s">
        <v>31378</v>
      </c>
      <c r="I12148" t="s">
        <v>31386</v>
      </c>
      <c r="J12148" t="s">
        <v>38911</v>
      </c>
      <c r="K12148" t="s">
        <v>40683</v>
      </c>
      <c r="M12148" t="s">
        <v>43543</v>
      </c>
      <c r="N12148" t="s">
        <v>44905</v>
      </c>
      <c r="O12148" t="s">
        <v>44906</v>
      </c>
      <c r="Q12148">
        <v>3</v>
      </c>
      <c r="R12148" t="s">
        <v>44917</v>
      </c>
      <c r="S12148" t="s">
        <v>45460</v>
      </c>
      <c r="T12148" t="s">
        <v>46542</v>
      </c>
      <c r="U12148" t="s">
        <v>56643</v>
      </c>
      <c r="W12148" t="s">
        <v>43543</v>
      </c>
      <c r="X12148" t="s">
        <v>44918</v>
      </c>
    </row>
    <row r="12149" spans="1:24">
      <c r="A12149">
        <f>HYPERLINK("https://www.philgeps.gov.ph/GEPSNONPILOT/Tender/SplashBidNoticeAbstractUI.aspx?menuIndex=3&amp;refID=7060591&amp;Result=3","7060591")</f>
        <v>0</v>
      </c>
      <c r="B12149" t="s">
        <v>3148</v>
      </c>
      <c r="C12149" t="s">
        <v>15123</v>
      </c>
      <c r="D12149" t="s">
        <v>18108</v>
      </c>
      <c r="E12149" t="s">
        <v>28725</v>
      </c>
      <c r="F12149" t="s">
        <v>31362</v>
      </c>
      <c r="G12149" t="s">
        <v>31369</v>
      </c>
      <c r="H12149" t="s">
        <v>15799</v>
      </c>
      <c r="I12149" t="s">
        <v>31382</v>
      </c>
      <c r="J12149" t="s">
        <v>38912</v>
      </c>
      <c r="K12149" t="s">
        <v>40662</v>
      </c>
      <c r="M12149" t="s">
        <v>44410</v>
      </c>
      <c r="N12149" t="s">
        <v>44905</v>
      </c>
      <c r="O12149" t="s">
        <v>44906</v>
      </c>
      <c r="P12149">
        <v>0</v>
      </c>
      <c r="Q12149">
        <v>5</v>
      </c>
      <c r="R12149" t="s">
        <v>44917</v>
      </c>
      <c r="S12149" t="s">
        <v>45386</v>
      </c>
      <c r="T12149" t="s">
        <v>46499</v>
      </c>
      <c r="U12149" t="s">
        <v>56644</v>
      </c>
      <c r="W12149" t="s">
        <v>44410</v>
      </c>
      <c r="X12149" t="s">
        <v>44918</v>
      </c>
    </row>
    <row r="12150" spans="1:24">
      <c r="A12150">
        <f>HYPERLINK("https://www.philgeps.gov.ph/GEPSNONPILOT/Tender/SplashBidNoticeAbstractUI.aspx?menuIndex=3&amp;refID=7060588&amp;Result=3","7060588")</f>
        <v>0</v>
      </c>
      <c r="B12150" t="s">
        <v>359</v>
      </c>
      <c r="C12150" t="s">
        <v>15124</v>
      </c>
      <c r="D12150" t="s">
        <v>18123</v>
      </c>
      <c r="E12150" t="s">
        <v>28726</v>
      </c>
      <c r="F12150" t="s">
        <v>31362</v>
      </c>
      <c r="G12150" t="s">
        <v>31369</v>
      </c>
      <c r="H12150" t="s">
        <v>15799</v>
      </c>
      <c r="I12150" t="s">
        <v>7188</v>
      </c>
      <c r="J12150" t="s">
        <v>33058</v>
      </c>
      <c r="K12150" t="s">
        <v>40666</v>
      </c>
      <c r="M12150" t="s">
        <v>41306</v>
      </c>
      <c r="N12150" t="s">
        <v>44905</v>
      </c>
      <c r="O12150" t="s">
        <v>44906</v>
      </c>
      <c r="P12150">
        <v>0</v>
      </c>
      <c r="Q12150">
        <v>5</v>
      </c>
      <c r="R12150" t="s">
        <v>44917</v>
      </c>
      <c r="S12150" t="s">
        <v>45386</v>
      </c>
      <c r="T12150" t="s">
        <v>46641</v>
      </c>
      <c r="U12150" t="s">
        <v>56645</v>
      </c>
      <c r="W12150" t="s">
        <v>60848</v>
      </c>
      <c r="X12150" t="s">
        <v>44918</v>
      </c>
    </row>
    <row r="12151" spans="1:24">
      <c r="A12151">
        <f>HYPERLINK("https://www.philgeps.gov.ph/GEPSNONPILOT/Tender/SplashBidNoticeAbstractUI.aspx?menuIndex=3&amp;refID=7060578&amp;Result=3","7060578")</f>
        <v>0</v>
      </c>
      <c r="B12151" t="s">
        <v>1579</v>
      </c>
      <c r="C12151" t="s">
        <v>15125</v>
      </c>
      <c r="D12151" t="s">
        <v>18117</v>
      </c>
      <c r="E12151" t="s">
        <v>28727</v>
      </c>
      <c r="F12151" t="s">
        <v>31362</v>
      </c>
      <c r="G12151" t="s">
        <v>31369</v>
      </c>
      <c r="H12151" t="s">
        <v>15799</v>
      </c>
      <c r="I12151" t="s">
        <v>31455</v>
      </c>
      <c r="J12151" t="s">
        <v>38913</v>
      </c>
      <c r="K12151" t="s">
        <v>40679</v>
      </c>
      <c r="M12151" t="s">
        <v>42956</v>
      </c>
      <c r="N12151" t="s">
        <v>44905</v>
      </c>
      <c r="O12151" t="s">
        <v>44906</v>
      </c>
      <c r="P12151">
        <v>0</v>
      </c>
      <c r="Q12151">
        <v>1</v>
      </c>
      <c r="R12151" t="s">
        <v>44917</v>
      </c>
      <c r="S12151" t="s">
        <v>45386</v>
      </c>
      <c r="T12151" t="s">
        <v>46533</v>
      </c>
      <c r="U12151" t="s">
        <v>56646</v>
      </c>
      <c r="W12151" t="s">
        <v>42956</v>
      </c>
      <c r="X12151" t="s">
        <v>44918</v>
      </c>
    </row>
    <row r="12152" spans="1:24">
      <c r="A12152">
        <f>HYPERLINK("https://www.philgeps.gov.ph/GEPSNONPILOT/Tender/SplashBidNoticeAbstractUI.aspx?menuIndex=3&amp;refID=7060577&amp;Result=3","7060577")</f>
        <v>0</v>
      </c>
      <c r="B12152" t="s">
        <v>1058</v>
      </c>
      <c r="C12152" t="s">
        <v>3815</v>
      </c>
      <c r="D12152" t="s">
        <v>18104</v>
      </c>
      <c r="E12152" t="s">
        <v>28728</v>
      </c>
      <c r="F12152" t="s">
        <v>31362</v>
      </c>
      <c r="G12152" t="s">
        <v>31369</v>
      </c>
      <c r="H12152" t="s">
        <v>31378</v>
      </c>
      <c r="I12152" t="s">
        <v>3815</v>
      </c>
      <c r="J12152" t="s">
        <v>38914</v>
      </c>
      <c r="K12152" t="s">
        <v>40670</v>
      </c>
      <c r="M12152" t="s">
        <v>42059</v>
      </c>
      <c r="N12152" t="s">
        <v>44905</v>
      </c>
      <c r="O12152" t="s">
        <v>44906</v>
      </c>
      <c r="P12152">
        <v>0</v>
      </c>
      <c r="Q12152">
        <v>0</v>
      </c>
      <c r="R12152" t="s">
        <v>44917</v>
      </c>
      <c r="S12152" t="s">
        <v>45386</v>
      </c>
      <c r="T12152" t="s">
        <v>46504</v>
      </c>
      <c r="U12152" t="s">
        <v>56647</v>
      </c>
      <c r="W12152" t="s">
        <v>42059</v>
      </c>
      <c r="X12152" t="s">
        <v>44918</v>
      </c>
    </row>
    <row r="12153" spans="1:24">
      <c r="A12153">
        <f>HYPERLINK("https://www.philgeps.gov.ph/GEPSNONPILOT/Tender/SplashBidNoticeAbstractUI.aspx?menuIndex=3&amp;refID=7060441&amp;Result=3","7060441")</f>
        <v>0</v>
      </c>
      <c r="B12153" t="s">
        <v>130</v>
      </c>
      <c r="C12153" t="s">
        <v>15126</v>
      </c>
      <c r="D12153" t="s">
        <v>18109</v>
      </c>
      <c r="E12153" t="s">
        <v>28729</v>
      </c>
      <c r="F12153" t="s">
        <v>31362</v>
      </c>
      <c r="G12153" t="s">
        <v>31369</v>
      </c>
      <c r="H12153" t="s">
        <v>15799</v>
      </c>
      <c r="I12153" t="s">
        <v>31461</v>
      </c>
      <c r="J12153" t="s">
        <v>38915</v>
      </c>
      <c r="K12153" t="s">
        <v>40662</v>
      </c>
      <c r="M12153" t="s">
        <v>44396</v>
      </c>
      <c r="N12153" t="s">
        <v>44905</v>
      </c>
      <c r="O12153" t="s">
        <v>44906</v>
      </c>
      <c r="Q12153">
        <v>5</v>
      </c>
      <c r="R12153" t="s">
        <v>44917</v>
      </c>
      <c r="S12153" t="s">
        <v>45461</v>
      </c>
      <c r="T12153" t="s">
        <v>46528</v>
      </c>
      <c r="U12153" t="s">
        <v>56648</v>
      </c>
      <c r="W12153" t="s">
        <v>44396</v>
      </c>
      <c r="X12153" t="s">
        <v>44918</v>
      </c>
    </row>
    <row r="12154" spans="1:24">
      <c r="A12154">
        <f>HYPERLINK("https://www.philgeps.gov.ph/GEPSNONPILOT/Tender/SplashBidNoticeAbstractUI.aspx?menuIndex=3&amp;refID=7060433&amp;Result=3","7060433")</f>
        <v>0</v>
      </c>
      <c r="B12154" t="s">
        <v>299</v>
      </c>
      <c r="C12154" t="s">
        <v>15127</v>
      </c>
      <c r="D12154" t="s">
        <v>18108</v>
      </c>
      <c r="E12154" t="s">
        <v>28730</v>
      </c>
      <c r="F12154" t="s">
        <v>31362</v>
      </c>
      <c r="G12154" t="s">
        <v>31369</v>
      </c>
      <c r="H12154" t="s">
        <v>15799</v>
      </c>
      <c r="I12154" t="s">
        <v>31387</v>
      </c>
      <c r="J12154" t="s">
        <v>38916</v>
      </c>
      <c r="K12154" t="s">
        <v>40666</v>
      </c>
      <c r="M12154" t="s">
        <v>44401</v>
      </c>
      <c r="N12154" t="s">
        <v>44905</v>
      </c>
      <c r="O12154" t="s">
        <v>44906</v>
      </c>
      <c r="P12154">
        <v>0</v>
      </c>
      <c r="Q12154">
        <v>8</v>
      </c>
      <c r="R12154" t="s">
        <v>44917</v>
      </c>
      <c r="S12154" t="s">
        <v>45386</v>
      </c>
      <c r="T12154" t="s">
        <v>46625</v>
      </c>
      <c r="U12154" t="s">
        <v>56649</v>
      </c>
      <c r="W12154" t="s">
        <v>44401</v>
      </c>
      <c r="X12154" t="s">
        <v>44918</v>
      </c>
    </row>
    <row r="12155" spans="1:24">
      <c r="A12155">
        <f>HYPERLINK("https://www.philgeps.gov.ph/GEPSNONPILOT/Tender/SplashBidNoticeAbstractUI.aspx?menuIndex=3&amp;refID=7060431&amp;Result=3","7060431")</f>
        <v>0</v>
      </c>
      <c r="B12155" t="s">
        <v>1058</v>
      </c>
      <c r="C12155" t="s">
        <v>3815</v>
      </c>
      <c r="D12155" t="s">
        <v>18104</v>
      </c>
      <c r="E12155" t="s">
        <v>28731</v>
      </c>
      <c r="F12155" t="s">
        <v>31362</v>
      </c>
      <c r="G12155" t="s">
        <v>31369</v>
      </c>
      <c r="H12155" t="s">
        <v>31378</v>
      </c>
      <c r="I12155" t="s">
        <v>3815</v>
      </c>
      <c r="J12155" t="s">
        <v>38917</v>
      </c>
      <c r="K12155" t="s">
        <v>40670</v>
      </c>
      <c r="M12155" t="s">
        <v>42059</v>
      </c>
      <c r="N12155" t="s">
        <v>44905</v>
      </c>
      <c r="O12155" t="s">
        <v>44906</v>
      </c>
      <c r="P12155">
        <v>0</v>
      </c>
      <c r="Q12155">
        <v>0</v>
      </c>
      <c r="R12155" t="s">
        <v>44917</v>
      </c>
      <c r="S12155" t="s">
        <v>45386</v>
      </c>
      <c r="T12155" t="s">
        <v>46504</v>
      </c>
      <c r="U12155" t="s">
        <v>56650</v>
      </c>
      <c r="W12155" t="s">
        <v>42059</v>
      </c>
      <c r="X12155" t="s">
        <v>44918</v>
      </c>
    </row>
    <row r="12156" spans="1:24">
      <c r="A12156">
        <f>HYPERLINK("https://www.philgeps.gov.ph/GEPSNONPILOT/Tender/SplashBidNoticeAbstractUI.aspx?menuIndex=3&amp;refID=7060413&amp;Result=3","7060413")</f>
        <v>0</v>
      </c>
      <c r="B12156" t="s">
        <v>1864</v>
      </c>
      <c r="C12156" t="s">
        <v>15128</v>
      </c>
      <c r="D12156" t="s">
        <v>18140</v>
      </c>
      <c r="E12156" t="s">
        <v>28732</v>
      </c>
      <c r="F12156" t="s">
        <v>31362</v>
      </c>
      <c r="G12156" t="s">
        <v>31369</v>
      </c>
      <c r="H12156" t="s">
        <v>15799</v>
      </c>
      <c r="I12156" t="s">
        <v>31385</v>
      </c>
      <c r="J12156" t="s">
        <v>38918</v>
      </c>
      <c r="K12156" t="s">
        <v>40677</v>
      </c>
      <c r="M12156" t="s">
        <v>42954</v>
      </c>
      <c r="N12156" t="s">
        <v>44905</v>
      </c>
      <c r="O12156" t="s">
        <v>44906</v>
      </c>
      <c r="P12156">
        <v>0</v>
      </c>
      <c r="Q12156">
        <v>8</v>
      </c>
      <c r="R12156" t="s">
        <v>44917</v>
      </c>
      <c r="S12156" t="s">
        <v>45386</v>
      </c>
      <c r="T12156" t="s">
        <v>46569</v>
      </c>
      <c r="U12156" t="s">
        <v>55279</v>
      </c>
      <c r="W12156" t="s">
        <v>42954</v>
      </c>
      <c r="X12156" t="s">
        <v>44918</v>
      </c>
    </row>
    <row r="12157" spans="1:24">
      <c r="A12157">
        <f>HYPERLINK("https://www.philgeps.gov.ph/GEPSNONPILOT/Tender/SplashBidNoticeAbstractUI.aspx?menuIndex=3&amp;refID=7060399&amp;Result=3","7060399")</f>
        <v>0</v>
      </c>
      <c r="B12157" t="s">
        <v>3191</v>
      </c>
      <c r="C12157" t="s">
        <v>15129</v>
      </c>
      <c r="D12157" t="s">
        <v>18104</v>
      </c>
      <c r="E12157" t="s">
        <v>23592</v>
      </c>
      <c r="F12157" t="s">
        <v>31362</v>
      </c>
      <c r="G12157" t="s">
        <v>31372</v>
      </c>
      <c r="H12157" t="s">
        <v>15799</v>
      </c>
      <c r="I12157" t="s">
        <v>3815</v>
      </c>
      <c r="J12157" t="s">
        <v>38919</v>
      </c>
      <c r="K12157" t="s">
        <v>40661</v>
      </c>
      <c r="M12157" t="s">
        <v>44462</v>
      </c>
      <c r="N12157" t="s">
        <v>44905</v>
      </c>
      <c r="O12157" t="s">
        <v>44906</v>
      </c>
      <c r="P12157">
        <v>0</v>
      </c>
      <c r="Q12157">
        <v>0</v>
      </c>
      <c r="R12157" t="s">
        <v>44917</v>
      </c>
      <c r="S12157" t="s">
        <v>45386</v>
      </c>
      <c r="T12157" t="s">
        <v>46392</v>
      </c>
      <c r="U12157" t="s">
        <v>56651</v>
      </c>
      <c r="W12157" t="s">
        <v>44462</v>
      </c>
      <c r="X12157" t="s">
        <v>44918</v>
      </c>
    </row>
    <row r="12158" spans="1:24">
      <c r="A12158">
        <f>HYPERLINK("https://www.philgeps.gov.ph/GEPSNONPILOT/Tender/SplashBidNoticeAbstractUI.aspx?menuIndex=3&amp;refID=7060306&amp;Result=3","7060306")</f>
        <v>0</v>
      </c>
      <c r="B12158" t="s">
        <v>130</v>
      </c>
      <c r="C12158" t="s">
        <v>15130</v>
      </c>
      <c r="D12158" t="s">
        <v>18109</v>
      </c>
      <c r="E12158" t="s">
        <v>28733</v>
      </c>
      <c r="F12158" t="s">
        <v>31362</v>
      </c>
      <c r="G12158" t="s">
        <v>31369</v>
      </c>
      <c r="H12158" t="s">
        <v>15799</v>
      </c>
      <c r="I12158" t="s">
        <v>3815</v>
      </c>
      <c r="J12158" t="s">
        <v>38920</v>
      </c>
      <c r="K12158" t="s">
        <v>40662</v>
      </c>
      <c r="M12158" t="s">
        <v>44396</v>
      </c>
      <c r="N12158" t="s">
        <v>44905</v>
      </c>
      <c r="O12158" t="s">
        <v>44906</v>
      </c>
      <c r="Q12158">
        <v>1</v>
      </c>
      <c r="R12158" t="s">
        <v>44917</v>
      </c>
      <c r="S12158" t="s">
        <v>45462</v>
      </c>
      <c r="T12158" t="s">
        <v>46528</v>
      </c>
      <c r="U12158" t="s">
        <v>56652</v>
      </c>
      <c r="W12158" t="s">
        <v>44396</v>
      </c>
      <c r="X12158" t="s">
        <v>44918</v>
      </c>
    </row>
    <row r="12159" spans="1:24">
      <c r="A12159">
        <f>HYPERLINK("https://www.philgeps.gov.ph/GEPSNONPILOT/Tender/SplashBidNoticeAbstractUI.aspx?menuIndex=3&amp;refID=7060302&amp;Result=3","7060302")</f>
        <v>0</v>
      </c>
      <c r="B12159" t="s">
        <v>1891</v>
      </c>
      <c r="C12159" t="s">
        <v>15131</v>
      </c>
      <c r="D12159" t="s">
        <v>18146</v>
      </c>
      <c r="E12159" t="s">
        <v>28734</v>
      </c>
      <c r="F12159" t="s">
        <v>31362</v>
      </c>
      <c r="G12159" t="s">
        <v>31369</v>
      </c>
      <c r="H12159" t="s">
        <v>31378</v>
      </c>
      <c r="I12159" t="s">
        <v>31386</v>
      </c>
      <c r="J12159" t="s">
        <v>38921</v>
      </c>
      <c r="K12159" t="s">
        <v>40678</v>
      </c>
      <c r="M12159" t="s">
        <v>42986</v>
      </c>
      <c r="N12159" t="s">
        <v>44905</v>
      </c>
      <c r="O12159" t="s">
        <v>44906</v>
      </c>
      <c r="P12159">
        <v>0</v>
      </c>
      <c r="Q12159">
        <v>1</v>
      </c>
      <c r="R12159" t="s">
        <v>44917</v>
      </c>
      <c r="S12159" t="s">
        <v>45386</v>
      </c>
      <c r="T12159" t="s">
        <v>46452</v>
      </c>
      <c r="U12159" t="s">
        <v>56653</v>
      </c>
      <c r="V12159" t="s">
        <v>60349</v>
      </c>
      <c r="W12159" t="s">
        <v>42986</v>
      </c>
      <c r="X12159" t="s">
        <v>44918</v>
      </c>
    </row>
    <row r="12160" spans="1:24">
      <c r="A12160">
        <f>HYPERLINK("https://www.philgeps.gov.ph/GEPSNONPILOT/Tender/SplashBidNoticeAbstractUI.aspx?menuIndex=3&amp;refID=7060299&amp;Result=3","7060299")</f>
        <v>0</v>
      </c>
      <c r="B12160" t="s">
        <v>3145</v>
      </c>
      <c r="C12160" t="s">
        <v>15132</v>
      </c>
      <c r="D12160" t="s">
        <v>18117</v>
      </c>
      <c r="E12160" t="s">
        <v>28735</v>
      </c>
      <c r="F12160" t="s">
        <v>31362</v>
      </c>
      <c r="G12160" t="s">
        <v>31369</v>
      </c>
      <c r="H12160" t="s">
        <v>31378</v>
      </c>
      <c r="I12160" t="s">
        <v>31386</v>
      </c>
      <c r="J12160" t="s">
        <v>38922</v>
      </c>
      <c r="K12160" t="s">
        <v>40662</v>
      </c>
      <c r="M12160" t="s">
        <v>44407</v>
      </c>
      <c r="N12160" t="s">
        <v>44905</v>
      </c>
      <c r="O12160" t="s">
        <v>44906</v>
      </c>
      <c r="P12160">
        <v>0</v>
      </c>
      <c r="Q12160">
        <v>7</v>
      </c>
      <c r="R12160" t="s">
        <v>44917</v>
      </c>
      <c r="S12160" t="s">
        <v>45386</v>
      </c>
      <c r="T12160" t="s">
        <v>46392</v>
      </c>
      <c r="U12160" t="s">
        <v>56654</v>
      </c>
      <c r="V12160" t="s">
        <v>51466</v>
      </c>
      <c r="W12160" t="s">
        <v>44407</v>
      </c>
      <c r="X12160" t="s">
        <v>44918</v>
      </c>
    </row>
    <row r="12161" spans="1:24">
      <c r="A12161">
        <f>HYPERLINK("https://www.philgeps.gov.ph/GEPSNONPILOT/Tender/SplashBidNoticeAbstractUI.aspx?menuIndex=3&amp;refID=7060292&amp;Result=3","7060292")</f>
        <v>0</v>
      </c>
      <c r="B12161" t="s">
        <v>1676</v>
      </c>
      <c r="C12161" t="s">
        <v>15133</v>
      </c>
      <c r="D12161" t="s">
        <v>18139</v>
      </c>
      <c r="E12161" t="s">
        <v>28736</v>
      </c>
      <c r="F12161" t="s">
        <v>31362</v>
      </c>
      <c r="G12161" t="s">
        <v>31369</v>
      </c>
      <c r="H12161" t="s">
        <v>15799</v>
      </c>
      <c r="I12161" t="s">
        <v>3815</v>
      </c>
      <c r="J12161" t="s">
        <v>38923</v>
      </c>
      <c r="K12161" t="s">
        <v>40666</v>
      </c>
      <c r="M12161" t="s">
        <v>42741</v>
      </c>
      <c r="N12161" t="s">
        <v>44905</v>
      </c>
      <c r="O12161" t="s">
        <v>44906</v>
      </c>
      <c r="P12161">
        <v>0</v>
      </c>
      <c r="Q12161">
        <v>2</v>
      </c>
      <c r="R12161" t="s">
        <v>44917</v>
      </c>
      <c r="S12161" t="s">
        <v>45386</v>
      </c>
      <c r="T12161" t="s">
        <v>46585</v>
      </c>
      <c r="U12161" t="s">
        <v>56655</v>
      </c>
      <c r="W12161" t="s">
        <v>60907</v>
      </c>
      <c r="X12161" t="s">
        <v>44918</v>
      </c>
    </row>
    <row r="12162" spans="1:24">
      <c r="A12162">
        <f>HYPERLINK("https://www.philgeps.gov.ph/GEPSNONPILOT/Tender/SplashBidNoticeAbstractUI.aspx?menuIndex=3&amp;refID=7060197&amp;Result=3","7060197")</f>
        <v>0</v>
      </c>
      <c r="B12162" t="s">
        <v>1709</v>
      </c>
      <c r="C12162" t="s">
        <v>15134</v>
      </c>
      <c r="D12162" t="s">
        <v>18136</v>
      </c>
      <c r="E12162" t="s">
        <v>28737</v>
      </c>
      <c r="F12162" t="s">
        <v>31362</v>
      </c>
      <c r="G12162" t="s">
        <v>31369</v>
      </c>
      <c r="H12162" t="s">
        <v>15799</v>
      </c>
      <c r="I12162" t="s">
        <v>6373</v>
      </c>
      <c r="J12162" t="s">
        <v>38924</v>
      </c>
      <c r="K12162" t="s">
        <v>40665</v>
      </c>
      <c r="M12162" t="s">
        <v>42777</v>
      </c>
      <c r="N12162" t="s">
        <v>44905</v>
      </c>
      <c r="O12162" t="s">
        <v>44906</v>
      </c>
      <c r="P12162">
        <v>0</v>
      </c>
      <c r="Q12162">
        <v>3</v>
      </c>
      <c r="R12162" t="s">
        <v>44917</v>
      </c>
      <c r="S12162" t="s">
        <v>45386</v>
      </c>
      <c r="T12162" t="s">
        <v>46560</v>
      </c>
      <c r="U12162" t="s">
        <v>56656</v>
      </c>
      <c r="W12162" t="s">
        <v>42777</v>
      </c>
      <c r="X12162" t="s">
        <v>44918</v>
      </c>
    </row>
    <row r="12163" spans="1:24">
      <c r="A12163">
        <f>HYPERLINK("https://www.philgeps.gov.ph/GEPSNONPILOT/Tender/SplashBidNoticeAbstractUI.aspx?menuIndex=3&amp;refID=7056137&amp;Result=3","7056137")</f>
        <v>0</v>
      </c>
      <c r="B12163" t="s">
        <v>1013</v>
      </c>
      <c r="C12163" t="s">
        <v>15135</v>
      </c>
      <c r="D12163" t="s">
        <v>18119</v>
      </c>
      <c r="E12163" t="s">
        <v>28738</v>
      </c>
      <c r="F12163" t="s">
        <v>31362</v>
      </c>
      <c r="G12163" t="s">
        <v>31369</v>
      </c>
      <c r="H12163" t="s">
        <v>15799</v>
      </c>
      <c r="I12163" t="s">
        <v>31397</v>
      </c>
      <c r="J12163" t="s">
        <v>31625</v>
      </c>
      <c r="K12163" t="s">
        <v>40665</v>
      </c>
      <c r="M12163" t="s">
        <v>42010</v>
      </c>
      <c r="N12163" t="s">
        <v>44905</v>
      </c>
      <c r="O12163" t="s">
        <v>44906</v>
      </c>
      <c r="P12163">
        <v>0</v>
      </c>
      <c r="Q12163">
        <v>2</v>
      </c>
      <c r="R12163" t="s">
        <v>44918</v>
      </c>
      <c r="S12163" t="s">
        <v>45447</v>
      </c>
      <c r="T12163" t="s">
        <v>46498</v>
      </c>
      <c r="U12163" t="s">
        <v>56657</v>
      </c>
      <c r="W12163" t="s">
        <v>42010</v>
      </c>
      <c r="X12163" t="s">
        <v>44921</v>
      </c>
    </row>
    <row r="12164" spans="1:24">
      <c r="A12164">
        <f>HYPERLINK("https://www.philgeps.gov.ph/GEPSNONPILOT/Tender/SplashBidNoticeAbstractUI.aspx?menuIndex=3&amp;refID=7060182&amp;Result=3","7060182")</f>
        <v>0</v>
      </c>
      <c r="B12164" t="s">
        <v>3136</v>
      </c>
      <c r="C12164" t="s">
        <v>15136</v>
      </c>
      <c r="D12164" t="s">
        <v>18117</v>
      </c>
      <c r="E12164" t="s">
        <v>28739</v>
      </c>
      <c r="F12164" t="s">
        <v>31362</v>
      </c>
      <c r="G12164" t="s">
        <v>31369</v>
      </c>
      <c r="H12164" t="s">
        <v>15799</v>
      </c>
      <c r="I12164" t="s">
        <v>3815</v>
      </c>
      <c r="J12164" t="s">
        <v>38925</v>
      </c>
      <c r="K12164" t="s">
        <v>40670</v>
      </c>
      <c r="M12164" t="s">
        <v>44395</v>
      </c>
      <c r="N12164" t="s">
        <v>44905</v>
      </c>
      <c r="O12164" t="s">
        <v>44906</v>
      </c>
      <c r="P12164">
        <v>0</v>
      </c>
      <c r="Q12164">
        <v>0</v>
      </c>
      <c r="R12164" t="s">
        <v>44917</v>
      </c>
      <c r="S12164" t="s">
        <v>45386</v>
      </c>
      <c r="T12164" t="s">
        <v>46481</v>
      </c>
      <c r="U12164" t="s">
        <v>56658</v>
      </c>
      <c r="V12164" t="s">
        <v>60319</v>
      </c>
      <c r="W12164" t="s">
        <v>44395</v>
      </c>
      <c r="X12164" t="s">
        <v>44918</v>
      </c>
    </row>
    <row r="12165" spans="1:24">
      <c r="A12165">
        <f>HYPERLINK("https://www.philgeps.gov.ph/GEPSNONPILOT/Tender/SplashBidNoticeAbstractUI.aspx?menuIndex=3&amp;refID=7060167&amp;Result=3","7060167")</f>
        <v>0</v>
      </c>
      <c r="B12165" t="s">
        <v>3192</v>
      </c>
      <c r="C12165" t="s">
        <v>14795</v>
      </c>
      <c r="D12165" t="s">
        <v>18100</v>
      </c>
      <c r="E12165" t="s">
        <v>28740</v>
      </c>
      <c r="F12165" t="s">
        <v>31362</v>
      </c>
      <c r="G12165" t="s">
        <v>31369</v>
      </c>
      <c r="H12165" t="s">
        <v>15799</v>
      </c>
      <c r="I12165" t="s">
        <v>31385</v>
      </c>
      <c r="J12165" t="s">
        <v>31843</v>
      </c>
      <c r="K12165" t="s">
        <v>40693</v>
      </c>
      <c r="M12165" t="s">
        <v>44463</v>
      </c>
      <c r="N12165" t="s">
        <v>44905</v>
      </c>
      <c r="O12165" t="s">
        <v>44906</v>
      </c>
      <c r="P12165">
        <v>0</v>
      </c>
      <c r="Q12165">
        <v>3</v>
      </c>
      <c r="R12165" t="s">
        <v>44917</v>
      </c>
      <c r="S12165" t="s">
        <v>45386</v>
      </c>
      <c r="T12165" t="s">
        <v>46508</v>
      </c>
      <c r="U12165" t="s">
        <v>56659</v>
      </c>
      <c r="W12165" t="s">
        <v>44463</v>
      </c>
      <c r="X12165" t="s">
        <v>44918</v>
      </c>
    </row>
    <row r="12166" spans="1:24">
      <c r="A12166">
        <f>HYPERLINK("https://www.philgeps.gov.ph/GEPSNONPILOT/Tender/SplashBidNoticeAbstractUI.aspx?menuIndex=3&amp;refID=7056276&amp;Result=3","7056276")</f>
        <v>0</v>
      </c>
      <c r="B12166" t="s">
        <v>3188</v>
      </c>
      <c r="C12166" t="s">
        <v>15105</v>
      </c>
      <c r="D12166" t="s">
        <v>18108</v>
      </c>
      <c r="E12166" t="s">
        <v>22876</v>
      </c>
      <c r="F12166" t="s">
        <v>31365</v>
      </c>
      <c r="G12166" t="s">
        <v>31369</v>
      </c>
      <c r="H12166" t="s">
        <v>15799</v>
      </c>
      <c r="I12166" t="s">
        <v>7090</v>
      </c>
      <c r="J12166" t="s">
        <v>31530</v>
      </c>
      <c r="K12166" t="s">
        <v>40665</v>
      </c>
      <c r="M12166" t="s">
        <v>44458</v>
      </c>
      <c r="N12166" t="s">
        <v>44905</v>
      </c>
      <c r="O12166" t="s">
        <v>44906</v>
      </c>
      <c r="P12166">
        <v>0</v>
      </c>
      <c r="Q12166">
        <v>1</v>
      </c>
      <c r="R12166" t="s">
        <v>44918</v>
      </c>
      <c r="S12166" t="s">
        <v>45447</v>
      </c>
      <c r="T12166" t="s">
        <v>46478</v>
      </c>
      <c r="U12166" t="s">
        <v>56660</v>
      </c>
      <c r="W12166" t="s">
        <v>44458</v>
      </c>
      <c r="X12166" t="s">
        <v>44921</v>
      </c>
    </row>
    <row r="12167" spans="1:24">
      <c r="A12167">
        <f>HYPERLINK("https://www.philgeps.gov.ph/GEPSNONPILOT/Tender/SplashBidNoticeAbstractUI.aspx?menuIndex=3&amp;refID=7060203&amp;Result=3","7060203")</f>
        <v>0</v>
      </c>
      <c r="B12167" t="s">
        <v>3193</v>
      </c>
      <c r="C12167" t="s">
        <v>15137</v>
      </c>
      <c r="D12167" t="s">
        <v>18110</v>
      </c>
      <c r="E12167" t="s">
        <v>19844</v>
      </c>
      <c r="F12167" t="s">
        <v>31362</v>
      </c>
      <c r="G12167" t="s">
        <v>31369</v>
      </c>
      <c r="H12167" t="s">
        <v>15799</v>
      </c>
      <c r="I12167" t="s">
        <v>31457</v>
      </c>
      <c r="J12167" t="s">
        <v>33482</v>
      </c>
      <c r="K12167" t="s">
        <v>40876</v>
      </c>
      <c r="M12167" t="s">
        <v>44464</v>
      </c>
      <c r="N12167" t="s">
        <v>44905</v>
      </c>
      <c r="O12167" t="s">
        <v>44906</v>
      </c>
      <c r="P12167">
        <v>0</v>
      </c>
      <c r="Q12167">
        <v>2</v>
      </c>
      <c r="R12167" t="s">
        <v>44917</v>
      </c>
      <c r="S12167" t="s">
        <v>45386</v>
      </c>
      <c r="T12167" t="s">
        <v>46560</v>
      </c>
      <c r="U12167" t="s">
        <v>56661</v>
      </c>
      <c r="W12167" t="s">
        <v>44464</v>
      </c>
      <c r="X12167" t="s">
        <v>44918</v>
      </c>
    </row>
    <row r="12168" spans="1:24">
      <c r="A12168">
        <f>HYPERLINK("https://www.philgeps.gov.ph/GEPSNONPILOT/Tender/SplashBidNoticeAbstractUI.aspx?menuIndex=3&amp;refID=7056378&amp;Result=3","7056378")</f>
        <v>0</v>
      </c>
      <c r="B12168" t="s">
        <v>1013</v>
      </c>
      <c r="C12168" t="s">
        <v>15138</v>
      </c>
      <c r="D12168" t="s">
        <v>18119</v>
      </c>
      <c r="E12168" t="s">
        <v>28741</v>
      </c>
      <c r="F12168" t="s">
        <v>31362</v>
      </c>
      <c r="G12168" t="s">
        <v>31369</v>
      </c>
      <c r="H12168" t="s">
        <v>15799</v>
      </c>
      <c r="I12168" t="s">
        <v>31380</v>
      </c>
      <c r="J12168" t="s">
        <v>38926</v>
      </c>
      <c r="K12168" t="s">
        <v>40665</v>
      </c>
      <c r="M12168" t="s">
        <v>42010</v>
      </c>
      <c r="N12168" t="s">
        <v>44905</v>
      </c>
      <c r="O12168" t="s">
        <v>44906</v>
      </c>
      <c r="P12168">
        <v>0</v>
      </c>
      <c r="Q12168">
        <v>2</v>
      </c>
      <c r="R12168" t="s">
        <v>44918</v>
      </c>
      <c r="S12168" t="s">
        <v>45447</v>
      </c>
      <c r="T12168" t="s">
        <v>46498</v>
      </c>
      <c r="U12168" t="s">
        <v>56662</v>
      </c>
      <c r="W12168" t="s">
        <v>42010</v>
      </c>
      <c r="X12168" t="s">
        <v>44921</v>
      </c>
    </row>
    <row r="12169" spans="1:24">
      <c r="A12169">
        <f>HYPERLINK("https://www.philgeps.gov.ph/GEPSNONPILOT/Tender/SplashBidNoticeAbstractUI.aspx?menuIndex=3&amp;refID=7060187&amp;Result=3","7060187")</f>
        <v>0</v>
      </c>
      <c r="B12169" t="s">
        <v>130</v>
      </c>
      <c r="C12169" t="s">
        <v>15139</v>
      </c>
      <c r="D12169" t="s">
        <v>18109</v>
      </c>
      <c r="E12169" t="s">
        <v>28742</v>
      </c>
      <c r="F12169" t="s">
        <v>31362</v>
      </c>
      <c r="G12169" t="s">
        <v>31369</v>
      </c>
      <c r="H12169" t="s">
        <v>15799</v>
      </c>
      <c r="I12169" t="s">
        <v>31400</v>
      </c>
      <c r="J12169" t="s">
        <v>38927</v>
      </c>
      <c r="K12169" t="s">
        <v>40662</v>
      </c>
      <c r="M12169" t="s">
        <v>44396</v>
      </c>
      <c r="N12169" t="s">
        <v>44905</v>
      </c>
      <c r="O12169" t="s">
        <v>44906</v>
      </c>
      <c r="Q12169">
        <v>8</v>
      </c>
      <c r="R12169" t="s">
        <v>44917</v>
      </c>
      <c r="S12169" t="s">
        <v>45463</v>
      </c>
      <c r="T12169" t="s">
        <v>46528</v>
      </c>
      <c r="U12169" t="s">
        <v>56663</v>
      </c>
      <c r="W12169" t="s">
        <v>44396</v>
      </c>
      <c r="X12169" t="s">
        <v>44918</v>
      </c>
    </row>
    <row r="12170" spans="1:24">
      <c r="A12170">
        <f>HYPERLINK("https://www.philgeps.gov.ph/GEPSNONPILOT/Tender/SplashBidNoticeAbstractUI.aspx?menuIndex=3&amp;refID=7056260&amp;Result=3","7056260")</f>
        <v>0</v>
      </c>
      <c r="B12170" t="s">
        <v>1013</v>
      </c>
      <c r="C12170" t="s">
        <v>15140</v>
      </c>
      <c r="D12170" t="s">
        <v>18119</v>
      </c>
      <c r="E12170" t="s">
        <v>28743</v>
      </c>
      <c r="F12170" t="s">
        <v>31362</v>
      </c>
      <c r="G12170" t="s">
        <v>31369</v>
      </c>
      <c r="H12170" t="s">
        <v>15799</v>
      </c>
      <c r="I12170" t="s">
        <v>31380</v>
      </c>
      <c r="J12170" t="s">
        <v>38755</v>
      </c>
      <c r="K12170" t="s">
        <v>40665</v>
      </c>
      <c r="M12170" t="s">
        <v>42010</v>
      </c>
      <c r="N12170" t="s">
        <v>44905</v>
      </c>
      <c r="O12170" t="s">
        <v>44906</v>
      </c>
      <c r="P12170">
        <v>0</v>
      </c>
      <c r="Q12170">
        <v>1</v>
      </c>
      <c r="R12170" t="s">
        <v>44918</v>
      </c>
      <c r="S12170" t="s">
        <v>45447</v>
      </c>
      <c r="T12170" t="s">
        <v>46498</v>
      </c>
      <c r="U12170" t="s">
        <v>56664</v>
      </c>
      <c r="W12170" t="s">
        <v>42010</v>
      </c>
      <c r="X12170" t="s">
        <v>44921</v>
      </c>
    </row>
    <row r="12171" spans="1:24">
      <c r="A12171">
        <f>HYPERLINK("https://www.philgeps.gov.ph/GEPSNONPILOT/Tender/SplashBidNoticeAbstractUI.aspx?menuIndex=3&amp;refID=7060166&amp;Result=3","7060166")</f>
        <v>0</v>
      </c>
      <c r="B12171" t="s">
        <v>2917</v>
      </c>
      <c r="C12171" t="s">
        <v>15141</v>
      </c>
      <c r="D12171" t="s">
        <v>18109</v>
      </c>
      <c r="E12171" t="s">
        <v>28744</v>
      </c>
      <c r="F12171" t="s">
        <v>31362</v>
      </c>
      <c r="G12171" t="s">
        <v>31370</v>
      </c>
      <c r="H12171" t="s">
        <v>31379</v>
      </c>
      <c r="I12171" t="s">
        <v>31390</v>
      </c>
      <c r="J12171" t="s">
        <v>38928</v>
      </c>
      <c r="K12171" t="s">
        <v>40672</v>
      </c>
      <c r="M12171" t="s">
        <v>44133</v>
      </c>
      <c r="N12171" t="s">
        <v>44905</v>
      </c>
      <c r="O12171" t="s">
        <v>44906</v>
      </c>
      <c r="P12171">
        <v>0</v>
      </c>
      <c r="Q12171">
        <v>0</v>
      </c>
      <c r="R12171" t="s">
        <v>44917</v>
      </c>
      <c r="S12171" t="s">
        <v>45386</v>
      </c>
      <c r="T12171" t="s">
        <v>46416</v>
      </c>
      <c r="U12171" t="s">
        <v>49824</v>
      </c>
      <c r="W12171" t="s">
        <v>44133</v>
      </c>
      <c r="X12171" t="s">
        <v>44918</v>
      </c>
    </row>
    <row r="12172" spans="1:24">
      <c r="A12172">
        <f>HYPERLINK("https://www.philgeps.gov.ph/GEPSNONPILOT/Tender/SplashBidNoticeAbstractUI.aspx?menuIndex=3&amp;refID=7056757&amp;Result=3","7056757")</f>
        <v>0</v>
      </c>
      <c r="B12172" t="s">
        <v>3118</v>
      </c>
      <c r="C12172" t="s">
        <v>15142</v>
      </c>
      <c r="D12172" t="s">
        <v>18162</v>
      </c>
      <c r="E12172" t="s">
        <v>28745</v>
      </c>
      <c r="F12172" t="s">
        <v>31362</v>
      </c>
      <c r="G12172" t="s">
        <v>31369</v>
      </c>
      <c r="H12172" t="s">
        <v>31378</v>
      </c>
      <c r="I12172" t="s">
        <v>31386</v>
      </c>
      <c r="J12172" t="s">
        <v>38929</v>
      </c>
      <c r="K12172" t="s">
        <v>40860</v>
      </c>
      <c r="M12172" t="s">
        <v>44370</v>
      </c>
      <c r="N12172" t="s">
        <v>44905</v>
      </c>
      <c r="O12172" t="s">
        <v>44906</v>
      </c>
      <c r="P12172">
        <v>0</v>
      </c>
      <c r="Q12172">
        <v>0</v>
      </c>
      <c r="R12172" t="s">
        <v>44918</v>
      </c>
      <c r="S12172" t="s">
        <v>45447</v>
      </c>
      <c r="T12172" t="s">
        <v>46837</v>
      </c>
      <c r="U12172" t="s">
        <v>56665</v>
      </c>
      <c r="W12172" t="s">
        <v>60960</v>
      </c>
      <c r="X12172" t="s">
        <v>44921</v>
      </c>
    </row>
    <row r="12173" spans="1:24">
      <c r="A12173">
        <f>HYPERLINK("https://www.philgeps.gov.ph/GEPSNONPILOT/Tender/SplashBidNoticeAbstractUI.aspx?menuIndex=3&amp;refID=7060162&amp;Result=3","7060162")</f>
        <v>0</v>
      </c>
      <c r="B12173" t="s">
        <v>130</v>
      </c>
      <c r="C12173" t="s">
        <v>15143</v>
      </c>
      <c r="D12173" t="s">
        <v>18109</v>
      </c>
      <c r="E12173" t="s">
        <v>28746</v>
      </c>
      <c r="F12173" t="s">
        <v>31362</v>
      </c>
      <c r="G12173" t="s">
        <v>31369</v>
      </c>
      <c r="H12173" t="s">
        <v>15799</v>
      </c>
      <c r="I12173" t="s">
        <v>31409</v>
      </c>
      <c r="J12173" t="s">
        <v>38767</v>
      </c>
      <c r="K12173" t="s">
        <v>40662</v>
      </c>
      <c r="M12173" t="s">
        <v>44396</v>
      </c>
      <c r="N12173" t="s">
        <v>44905</v>
      </c>
      <c r="O12173" t="s">
        <v>44906</v>
      </c>
      <c r="Q12173">
        <v>4</v>
      </c>
      <c r="R12173" t="s">
        <v>44917</v>
      </c>
      <c r="S12173" t="s">
        <v>45464</v>
      </c>
      <c r="T12173" t="s">
        <v>46528</v>
      </c>
      <c r="U12173" t="s">
        <v>56666</v>
      </c>
      <c r="W12173" t="s">
        <v>44396</v>
      </c>
      <c r="X12173" t="s">
        <v>44918</v>
      </c>
    </row>
    <row r="12174" spans="1:24">
      <c r="A12174">
        <f>HYPERLINK("https://www.philgeps.gov.ph/GEPSNONPILOT/Tender/SplashBidNoticeAbstractUI.aspx?menuIndex=3&amp;refID=7056694&amp;Result=3","7056694")</f>
        <v>0</v>
      </c>
      <c r="B12174" t="s">
        <v>262</v>
      </c>
      <c r="C12174" t="s">
        <v>15144</v>
      </c>
      <c r="D12174" t="s">
        <v>18127</v>
      </c>
      <c r="E12174" t="s">
        <v>28747</v>
      </c>
      <c r="F12174" t="s">
        <v>31362</v>
      </c>
      <c r="G12174" t="s">
        <v>31369</v>
      </c>
      <c r="H12174" t="s">
        <v>15799</v>
      </c>
      <c r="I12174" t="s">
        <v>31393</v>
      </c>
      <c r="J12174" t="s">
        <v>38930</v>
      </c>
      <c r="K12174" t="s">
        <v>40678</v>
      </c>
      <c r="M12174" t="s">
        <v>42051</v>
      </c>
      <c r="N12174" t="s">
        <v>44905</v>
      </c>
      <c r="O12174" t="s">
        <v>44906</v>
      </c>
      <c r="P12174">
        <v>0</v>
      </c>
      <c r="Q12174">
        <v>10</v>
      </c>
      <c r="R12174" t="s">
        <v>44918</v>
      </c>
      <c r="S12174" t="s">
        <v>45447</v>
      </c>
      <c r="T12174" t="s">
        <v>46519</v>
      </c>
      <c r="U12174" t="s">
        <v>56667</v>
      </c>
      <c r="W12174" t="s">
        <v>42051</v>
      </c>
      <c r="X12174" t="s">
        <v>44921</v>
      </c>
    </row>
    <row r="12175" spans="1:24">
      <c r="A12175">
        <f>HYPERLINK("https://www.philgeps.gov.ph/GEPSNONPILOT/Tender/SplashBidNoticeAbstractUI.aspx?menuIndex=3&amp;refID=7056255&amp;Result=3","7056255")</f>
        <v>0</v>
      </c>
      <c r="B12175" t="s">
        <v>3188</v>
      </c>
      <c r="C12175" t="s">
        <v>15105</v>
      </c>
      <c r="D12175" t="s">
        <v>18108</v>
      </c>
      <c r="E12175" t="s">
        <v>22876</v>
      </c>
      <c r="F12175" t="s">
        <v>31365</v>
      </c>
      <c r="G12175" t="s">
        <v>31369</v>
      </c>
      <c r="H12175" t="s">
        <v>15799</v>
      </c>
      <c r="I12175" t="s">
        <v>7090</v>
      </c>
      <c r="J12175" t="s">
        <v>31530</v>
      </c>
      <c r="K12175" t="s">
        <v>40665</v>
      </c>
      <c r="M12175" t="s">
        <v>44458</v>
      </c>
      <c r="N12175" t="s">
        <v>44905</v>
      </c>
      <c r="O12175" t="s">
        <v>44906</v>
      </c>
      <c r="P12175">
        <v>0</v>
      </c>
      <c r="Q12175">
        <v>1</v>
      </c>
      <c r="R12175" t="s">
        <v>44918</v>
      </c>
      <c r="S12175" t="s">
        <v>45447</v>
      </c>
      <c r="T12175" t="s">
        <v>46478</v>
      </c>
      <c r="U12175" t="s">
        <v>56668</v>
      </c>
      <c r="W12175" t="s">
        <v>44458</v>
      </c>
      <c r="X12175" t="s">
        <v>44921</v>
      </c>
    </row>
    <row r="12176" spans="1:24">
      <c r="A12176">
        <f>HYPERLINK("https://www.philgeps.gov.ph/GEPSNONPILOT/Tender/SplashBidNoticeAbstractUI.aspx?menuIndex=3&amp;refID=7056631&amp;Result=3","7056631")</f>
        <v>0</v>
      </c>
      <c r="B12176" t="s">
        <v>1558</v>
      </c>
      <c r="C12176" t="s">
        <v>15145</v>
      </c>
      <c r="D12176" t="s">
        <v>18173</v>
      </c>
      <c r="E12176" t="s">
        <v>25615</v>
      </c>
      <c r="F12176" t="s">
        <v>31362</v>
      </c>
      <c r="G12176" t="s">
        <v>31369</v>
      </c>
      <c r="H12176" t="s">
        <v>15799</v>
      </c>
      <c r="I12176" t="s">
        <v>31433</v>
      </c>
      <c r="J12176" t="s">
        <v>38162</v>
      </c>
      <c r="K12176" t="s">
        <v>40686</v>
      </c>
      <c r="M12176" t="s">
        <v>42609</v>
      </c>
      <c r="N12176" t="s">
        <v>44905</v>
      </c>
      <c r="O12176" t="s">
        <v>44906</v>
      </c>
      <c r="P12176">
        <v>0</v>
      </c>
      <c r="Q12176">
        <v>1</v>
      </c>
      <c r="R12176" t="s">
        <v>44918</v>
      </c>
      <c r="S12176" t="s">
        <v>45447</v>
      </c>
      <c r="T12176" t="s">
        <v>46585</v>
      </c>
      <c r="U12176" t="s">
        <v>55519</v>
      </c>
      <c r="W12176" t="s">
        <v>42609</v>
      </c>
      <c r="X12176" t="s">
        <v>44921</v>
      </c>
    </row>
    <row r="12177" spans="1:24">
      <c r="A12177">
        <f>HYPERLINK("https://www.philgeps.gov.ph/GEPSNONPILOT/Tender/SplashBidNoticeAbstractUI.aspx?menuIndex=3&amp;refID=7056554&amp;Result=3","7056554")</f>
        <v>0</v>
      </c>
      <c r="B12177" t="s">
        <v>1895</v>
      </c>
      <c r="C12177" t="s">
        <v>15146</v>
      </c>
      <c r="D12177" t="s">
        <v>18151</v>
      </c>
      <c r="E12177" t="s">
        <v>28748</v>
      </c>
      <c r="F12177" t="s">
        <v>31362</v>
      </c>
      <c r="G12177" t="s">
        <v>31369</v>
      </c>
      <c r="H12177" t="s">
        <v>15799</v>
      </c>
      <c r="I12177" t="s">
        <v>31433</v>
      </c>
      <c r="J12177" t="s">
        <v>32902</v>
      </c>
      <c r="K12177" t="s">
        <v>40686</v>
      </c>
      <c r="M12177" t="s">
        <v>42990</v>
      </c>
      <c r="N12177" t="s">
        <v>44905</v>
      </c>
      <c r="O12177" t="s">
        <v>44906</v>
      </c>
      <c r="Q12177">
        <v>3</v>
      </c>
      <c r="R12177" t="s">
        <v>44918</v>
      </c>
      <c r="S12177" t="s">
        <v>45465</v>
      </c>
      <c r="T12177" t="s">
        <v>46481</v>
      </c>
      <c r="U12177" t="s">
        <v>56669</v>
      </c>
      <c r="W12177" t="s">
        <v>42990</v>
      </c>
      <c r="X12177" t="s">
        <v>44921</v>
      </c>
    </row>
    <row r="12178" spans="1:24">
      <c r="A12178">
        <f>HYPERLINK("https://www.philgeps.gov.ph/GEPSNONPILOT/Tender/SplashBidNoticeAbstractUI.aspx?menuIndex=3&amp;refID=7056765&amp;Result=3","7056765")</f>
        <v>0</v>
      </c>
      <c r="B12178" t="s">
        <v>418</v>
      </c>
      <c r="C12178" t="s">
        <v>15147</v>
      </c>
      <c r="D12178" t="s">
        <v>18100</v>
      </c>
      <c r="E12178" t="s">
        <v>28749</v>
      </c>
      <c r="F12178" t="s">
        <v>31362</v>
      </c>
      <c r="G12178" t="s">
        <v>31369</v>
      </c>
      <c r="H12178" t="s">
        <v>31378</v>
      </c>
      <c r="I12178" t="s">
        <v>31386</v>
      </c>
      <c r="J12178" t="s">
        <v>32891</v>
      </c>
      <c r="K12178" t="s">
        <v>40662</v>
      </c>
      <c r="M12178" t="s">
        <v>41368</v>
      </c>
      <c r="N12178" t="s">
        <v>44905</v>
      </c>
      <c r="O12178" t="s">
        <v>44906</v>
      </c>
      <c r="P12178">
        <v>0</v>
      </c>
      <c r="Q12178">
        <v>2</v>
      </c>
      <c r="R12178" t="s">
        <v>44918</v>
      </c>
      <c r="S12178" t="s">
        <v>45447</v>
      </c>
      <c r="T12178" t="s">
        <v>46481</v>
      </c>
      <c r="U12178" t="s">
        <v>56670</v>
      </c>
      <c r="W12178" t="s">
        <v>41368</v>
      </c>
      <c r="X12178" t="s">
        <v>44921</v>
      </c>
    </row>
    <row r="12179" spans="1:24">
      <c r="A12179">
        <f>HYPERLINK("https://www.philgeps.gov.ph/GEPSNONPILOT/Tender/SplashBidNoticeAbstractUI.aspx?menuIndex=3&amp;refID=7056531&amp;Result=3","7056531")</f>
        <v>0</v>
      </c>
      <c r="B12179" t="s">
        <v>3118</v>
      </c>
      <c r="C12179" t="s">
        <v>15148</v>
      </c>
      <c r="D12179" t="s">
        <v>18162</v>
      </c>
      <c r="E12179" t="s">
        <v>28750</v>
      </c>
      <c r="F12179" t="s">
        <v>31362</v>
      </c>
      <c r="G12179" t="s">
        <v>31369</v>
      </c>
      <c r="H12179" t="s">
        <v>31378</v>
      </c>
      <c r="I12179" t="s">
        <v>31386</v>
      </c>
      <c r="J12179" t="s">
        <v>38931</v>
      </c>
      <c r="K12179" t="s">
        <v>40765</v>
      </c>
      <c r="M12179" t="s">
        <v>44370</v>
      </c>
      <c r="N12179" t="s">
        <v>44905</v>
      </c>
      <c r="O12179" t="s">
        <v>44906</v>
      </c>
      <c r="P12179">
        <v>0</v>
      </c>
      <c r="Q12179">
        <v>0</v>
      </c>
      <c r="R12179" t="s">
        <v>44918</v>
      </c>
      <c r="S12179" t="s">
        <v>45447</v>
      </c>
      <c r="T12179" t="s">
        <v>46837</v>
      </c>
      <c r="U12179" t="s">
        <v>56671</v>
      </c>
      <c r="W12179" t="s">
        <v>60960</v>
      </c>
      <c r="X12179" t="s">
        <v>44921</v>
      </c>
    </row>
    <row r="12180" spans="1:24">
      <c r="A12180">
        <f>HYPERLINK("https://www.philgeps.gov.ph/GEPSNONPILOT/Tender/SplashBidNoticeAbstractUI.aspx?menuIndex=3&amp;refID=7056515&amp;Result=3","7056515")</f>
        <v>0</v>
      </c>
      <c r="B12180" t="s">
        <v>1013</v>
      </c>
      <c r="C12180" t="s">
        <v>15149</v>
      </c>
      <c r="D12180" t="s">
        <v>18119</v>
      </c>
      <c r="E12180" t="s">
        <v>28751</v>
      </c>
      <c r="F12180" t="s">
        <v>31362</v>
      </c>
      <c r="G12180" t="s">
        <v>31369</v>
      </c>
      <c r="H12180" t="s">
        <v>31378</v>
      </c>
      <c r="I12180" t="s">
        <v>31386</v>
      </c>
      <c r="J12180" t="s">
        <v>31591</v>
      </c>
      <c r="K12180" t="s">
        <v>40679</v>
      </c>
      <c r="M12180" t="s">
        <v>42010</v>
      </c>
      <c r="N12180" t="s">
        <v>44905</v>
      </c>
      <c r="O12180" t="s">
        <v>44906</v>
      </c>
      <c r="P12180">
        <v>0</v>
      </c>
      <c r="Q12180">
        <v>0</v>
      </c>
      <c r="R12180" t="s">
        <v>44918</v>
      </c>
      <c r="S12180" t="s">
        <v>45447</v>
      </c>
      <c r="T12180" t="s">
        <v>46498</v>
      </c>
      <c r="U12180" t="s">
        <v>56672</v>
      </c>
      <c r="W12180" t="s">
        <v>42010</v>
      </c>
      <c r="X12180" t="s">
        <v>44921</v>
      </c>
    </row>
    <row r="12181" spans="1:24">
      <c r="A12181">
        <f>HYPERLINK("https://www.philgeps.gov.ph/GEPSNONPILOT/Tender/SplashBidNoticeAbstractUI.aspx?menuIndex=3&amp;refID=7060157&amp;Result=3","7060157")</f>
        <v>0</v>
      </c>
      <c r="B12181" t="s">
        <v>1666</v>
      </c>
      <c r="C12181" t="s">
        <v>15150</v>
      </c>
      <c r="D12181" t="s">
        <v>18152</v>
      </c>
      <c r="E12181" t="s">
        <v>18476</v>
      </c>
      <c r="F12181" t="s">
        <v>31362</v>
      </c>
      <c r="G12181" t="s">
        <v>31369</v>
      </c>
      <c r="H12181" t="s">
        <v>31378</v>
      </c>
      <c r="I12181" t="s">
        <v>31386</v>
      </c>
      <c r="J12181" t="s">
        <v>38932</v>
      </c>
      <c r="K12181" t="s">
        <v>40670</v>
      </c>
      <c r="M12181" t="s">
        <v>42731</v>
      </c>
      <c r="N12181" t="s">
        <v>44905</v>
      </c>
      <c r="O12181" t="s">
        <v>44906</v>
      </c>
      <c r="P12181">
        <v>0</v>
      </c>
      <c r="Q12181">
        <v>0</v>
      </c>
      <c r="R12181" t="s">
        <v>44917</v>
      </c>
      <c r="S12181" t="s">
        <v>45386</v>
      </c>
      <c r="T12181" t="s">
        <v>46585</v>
      </c>
      <c r="U12181" t="s">
        <v>56673</v>
      </c>
      <c r="W12181" t="s">
        <v>42731</v>
      </c>
      <c r="X12181" t="s">
        <v>44918</v>
      </c>
    </row>
    <row r="12182" spans="1:24">
      <c r="A12182">
        <f>HYPERLINK("https://www.philgeps.gov.ph/GEPSNONPILOT/Tender/SplashBidNoticeAbstractUI.aspx?menuIndex=3&amp;refID=7056611&amp;Result=3","7056611")</f>
        <v>0</v>
      </c>
      <c r="B12182" t="s">
        <v>3118</v>
      </c>
      <c r="C12182" t="s">
        <v>15151</v>
      </c>
      <c r="D12182" t="s">
        <v>18162</v>
      </c>
      <c r="E12182" t="s">
        <v>28752</v>
      </c>
      <c r="F12182" t="s">
        <v>31362</v>
      </c>
      <c r="G12182" t="s">
        <v>31369</v>
      </c>
      <c r="H12182" t="s">
        <v>31378</v>
      </c>
      <c r="I12182" t="s">
        <v>31386</v>
      </c>
      <c r="J12182" t="s">
        <v>35755</v>
      </c>
      <c r="K12182" t="s">
        <v>40683</v>
      </c>
      <c r="M12182" t="s">
        <v>44370</v>
      </c>
      <c r="N12182" t="s">
        <v>44905</v>
      </c>
      <c r="O12182" t="s">
        <v>44906</v>
      </c>
      <c r="P12182">
        <v>0</v>
      </c>
      <c r="Q12182">
        <v>0</v>
      </c>
      <c r="R12182" t="s">
        <v>44918</v>
      </c>
      <c r="S12182" t="s">
        <v>45447</v>
      </c>
      <c r="T12182" t="s">
        <v>46837</v>
      </c>
      <c r="U12182" t="s">
        <v>56674</v>
      </c>
      <c r="W12182" t="s">
        <v>60960</v>
      </c>
      <c r="X12182" t="s">
        <v>44921</v>
      </c>
    </row>
    <row r="12183" spans="1:24">
      <c r="A12183">
        <f>HYPERLINK("https://www.philgeps.gov.ph/GEPSNONPILOT/Tender/SplashBidNoticeAbstractUI.aspx?menuIndex=3&amp;refID=7056322&amp;Result=3","7056322")</f>
        <v>0</v>
      </c>
      <c r="B12183" t="s">
        <v>1013</v>
      </c>
      <c r="C12183" t="s">
        <v>15152</v>
      </c>
      <c r="D12183" t="s">
        <v>18119</v>
      </c>
      <c r="E12183" t="s">
        <v>28753</v>
      </c>
      <c r="F12183" t="s">
        <v>31362</v>
      </c>
      <c r="G12183" t="s">
        <v>31369</v>
      </c>
      <c r="H12183" t="s">
        <v>15799</v>
      </c>
      <c r="I12183" t="s">
        <v>4283</v>
      </c>
      <c r="J12183" t="s">
        <v>36201</v>
      </c>
      <c r="K12183" t="s">
        <v>40665</v>
      </c>
      <c r="M12183" t="s">
        <v>42010</v>
      </c>
      <c r="N12183" t="s">
        <v>44905</v>
      </c>
      <c r="O12183" t="s">
        <v>44906</v>
      </c>
      <c r="P12183">
        <v>0</v>
      </c>
      <c r="Q12183">
        <v>5</v>
      </c>
      <c r="R12183" t="s">
        <v>44918</v>
      </c>
      <c r="S12183" t="s">
        <v>45447</v>
      </c>
      <c r="T12183" t="s">
        <v>46498</v>
      </c>
      <c r="U12183" t="s">
        <v>56675</v>
      </c>
      <c r="W12183" t="s">
        <v>42010</v>
      </c>
      <c r="X12183" t="s">
        <v>44921</v>
      </c>
    </row>
    <row r="12184" spans="1:24">
      <c r="A12184">
        <f>HYPERLINK("https://www.philgeps.gov.ph/GEPSNONPILOT/Tender/SplashBidNoticeAbstractUI.aspx?menuIndex=3&amp;refID=7056422&amp;Result=3","7056422")</f>
        <v>0</v>
      </c>
      <c r="B12184" t="s">
        <v>1013</v>
      </c>
      <c r="C12184" t="s">
        <v>15153</v>
      </c>
      <c r="D12184" t="s">
        <v>18119</v>
      </c>
      <c r="E12184" t="s">
        <v>28754</v>
      </c>
      <c r="F12184" t="s">
        <v>31362</v>
      </c>
      <c r="G12184" t="s">
        <v>31369</v>
      </c>
      <c r="H12184" t="s">
        <v>31378</v>
      </c>
      <c r="I12184" t="s">
        <v>31386</v>
      </c>
      <c r="J12184" t="s">
        <v>33653</v>
      </c>
      <c r="K12184" t="s">
        <v>40679</v>
      </c>
      <c r="M12184" t="s">
        <v>42010</v>
      </c>
      <c r="N12184" t="s">
        <v>44905</v>
      </c>
      <c r="O12184" t="s">
        <v>44906</v>
      </c>
      <c r="P12184">
        <v>0</v>
      </c>
      <c r="Q12184">
        <v>1</v>
      </c>
      <c r="R12184" t="s">
        <v>44918</v>
      </c>
      <c r="S12184" t="s">
        <v>45447</v>
      </c>
      <c r="T12184" t="s">
        <v>46498</v>
      </c>
      <c r="U12184" t="s">
        <v>56676</v>
      </c>
      <c r="W12184" t="s">
        <v>42010</v>
      </c>
      <c r="X12184" t="s">
        <v>44921</v>
      </c>
    </row>
    <row r="12185" spans="1:24">
      <c r="A12185">
        <f>HYPERLINK("https://www.philgeps.gov.ph/GEPSNONPILOT/Tender/SplashBidNoticeAbstractUI.aspx?menuIndex=3&amp;refID=7056499&amp;Result=3","7056499")</f>
        <v>0</v>
      </c>
      <c r="B12185" t="s">
        <v>1013</v>
      </c>
      <c r="C12185" t="s">
        <v>15154</v>
      </c>
      <c r="D12185" t="s">
        <v>18119</v>
      </c>
      <c r="E12185" t="s">
        <v>28755</v>
      </c>
      <c r="F12185" t="s">
        <v>31362</v>
      </c>
      <c r="G12185" t="s">
        <v>31369</v>
      </c>
      <c r="H12185" t="s">
        <v>31378</v>
      </c>
      <c r="I12185" t="s">
        <v>31386</v>
      </c>
      <c r="J12185" t="s">
        <v>38933</v>
      </c>
      <c r="K12185" t="s">
        <v>40682</v>
      </c>
      <c r="M12185" t="s">
        <v>42010</v>
      </c>
      <c r="N12185" t="s">
        <v>44905</v>
      </c>
      <c r="O12185" t="s">
        <v>44906</v>
      </c>
      <c r="P12185">
        <v>0</v>
      </c>
      <c r="Q12185">
        <v>0</v>
      </c>
      <c r="R12185" t="s">
        <v>44918</v>
      </c>
      <c r="S12185" t="s">
        <v>45447</v>
      </c>
      <c r="T12185" t="s">
        <v>46498</v>
      </c>
      <c r="U12185" t="s">
        <v>56677</v>
      </c>
      <c r="W12185" t="s">
        <v>42010</v>
      </c>
      <c r="X12185" t="s">
        <v>44921</v>
      </c>
    </row>
    <row r="12186" spans="1:24">
      <c r="A12186">
        <f>HYPERLINK("https://www.philgeps.gov.ph/GEPSNONPILOT/Tender/SplashBidNoticeAbstractUI.aspx?menuIndex=3&amp;refID=7056397&amp;Result=3","7056397")</f>
        <v>0</v>
      </c>
      <c r="B12186" t="s">
        <v>452</v>
      </c>
      <c r="C12186" t="s">
        <v>15155</v>
      </c>
      <c r="D12186" t="s">
        <v>18122</v>
      </c>
      <c r="E12186" t="s">
        <v>28756</v>
      </c>
      <c r="F12186" t="s">
        <v>31362</v>
      </c>
      <c r="G12186" t="s">
        <v>31369</v>
      </c>
      <c r="H12186" t="s">
        <v>31378</v>
      </c>
      <c r="I12186" t="s">
        <v>31386</v>
      </c>
      <c r="J12186" t="s">
        <v>38934</v>
      </c>
      <c r="K12186" t="s">
        <v>40725</v>
      </c>
      <c r="M12186" t="s">
        <v>41406</v>
      </c>
      <c r="N12186" t="s">
        <v>44905</v>
      </c>
      <c r="O12186" t="s">
        <v>44906</v>
      </c>
      <c r="P12186">
        <v>0</v>
      </c>
      <c r="Q12186">
        <v>8</v>
      </c>
      <c r="R12186" t="s">
        <v>44918</v>
      </c>
      <c r="S12186" t="s">
        <v>45447</v>
      </c>
      <c r="T12186" t="s">
        <v>46481</v>
      </c>
      <c r="U12186" t="s">
        <v>47758</v>
      </c>
      <c r="W12186" t="s">
        <v>41406</v>
      </c>
      <c r="X12186" t="s">
        <v>44921</v>
      </c>
    </row>
    <row r="12187" spans="1:24">
      <c r="A12187">
        <f>HYPERLINK("https://www.philgeps.gov.ph/GEPSNONPILOT/Tender/SplashBidNoticeAbstractUI.aspx?menuIndex=3&amp;refID=7056420&amp;Result=3","7056420")</f>
        <v>0</v>
      </c>
      <c r="B12187" t="s">
        <v>452</v>
      </c>
      <c r="C12187" t="s">
        <v>15156</v>
      </c>
      <c r="D12187" t="s">
        <v>18122</v>
      </c>
      <c r="E12187" t="s">
        <v>28757</v>
      </c>
      <c r="F12187" t="s">
        <v>31362</v>
      </c>
      <c r="G12187" t="s">
        <v>31369</v>
      </c>
      <c r="H12187" t="s">
        <v>31378</v>
      </c>
      <c r="I12187" t="s">
        <v>31386</v>
      </c>
      <c r="J12187" t="s">
        <v>38935</v>
      </c>
      <c r="K12187" t="s">
        <v>40686</v>
      </c>
      <c r="M12187" t="s">
        <v>41406</v>
      </c>
      <c r="N12187" t="s">
        <v>44905</v>
      </c>
      <c r="O12187" t="s">
        <v>44906</v>
      </c>
      <c r="P12187">
        <v>0</v>
      </c>
      <c r="Q12187">
        <v>8</v>
      </c>
      <c r="R12187" t="s">
        <v>44918</v>
      </c>
      <c r="S12187" t="s">
        <v>45447</v>
      </c>
      <c r="T12187" t="s">
        <v>46481</v>
      </c>
      <c r="U12187" t="s">
        <v>47758</v>
      </c>
      <c r="W12187" t="s">
        <v>41406</v>
      </c>
      <c r="X12187" t="s">
        <v>44921</v>
      </c>
    </row>
    <row r="12188" spans="1:24">
      <c r="A12188">
        <f>HYPERLINK("https://www.philgeps.gov.ph/GEPSNONPILOT/Tender/SplashBidNoticeAbstractUI.aspx?menuIndex=3&amp;refID=7056582&amp;Result=3","7056582")</f>
        <v>0</v>
      </c>
      <c r="B12188" t="s">
        <v>3118</v>
      </c>
      <c r="C12188" t="s">
        <v>15157</v>
      </c>
      <c r="D12188" t="s">
        <v>18162</v>
      </c>
      <c r="E12188" t="s">
        <v>28758</v>
      </c>
      <c r="F12188" t="s">
        <v>31362</v>
      </c>
      <c r="G12188" t="s">
        <v>31369</v>
      </c>
      <c r="H12188" t="s">
        <v>31378</v>
      </c>
      <c r="I12188" t="s">
        <v>31386</v>
      </c>
      <c r="J12188" t="s">
        <v>38936</v>
      </c>
      <c r="K12188" t="s">
        <v>40906</v>
      </c>
      <c r="M12188" t="s">
        <v>44370</v>
      </c>
      <c r="N12188" t="s">
        <v>44905</v>
      </c>
      <c r="O12188" t="s">
        <v>44906</v>
      </c>
      <c r="Q12188">
        <v>0</v>
      </c>
      <c r="R12188" t="s">
        <v>44918</v>
      </c>
      <c r="S12188" t="s">
        <v>45466</v>
      </c>
      <c r="T12188" t="s">
        <v>46837</v>
      </c>
      <c r="U12188" t="s">
        <v>56678</v>
      </c>
      <c r="W12188" t="s">
        <v>60960</v>
      </c>
      <c r="X12188" t="s">
        <v>44921</v>
      </c>
    </row>
    <row r="12189" spans="1:24">
      <c r="A12189">
        <f>HYPERLINK("https://www.philgeps.gov.ph/GEPSNONPILOT/Tender/SplashBidNoticeAbstractUI.aspx?menuIndex=3&amp;refID=7056367&amp;Result=3","7056367")</f>
        <v>0</v>
      </c>
      <c r="B12189" t="s">
        <v>3194</v>
      </c>
      <c r="C12189" t="s">
        <v>15158</v>
      </c>
      <c r="D12189" t="s">
        <v>18168</v>
      </c>
      <c r="E12189" t="s">
        <v>28759</v>
      </c>
      <c r="F12189" t="s">
        <v>31362</v>
      </c>
      <c r="G12189" t="s">
        <v>31369</v>
      </c>
      <c r="H12189" t="s">
        <v>15799</v>
      </c>
      <c r="I12189" t="s">
        <v>3815</v>
      </c>
      <c r="J12189" t="s">
        <v>38937</v>
      </c>
      <c r="K12189" t="s">
        <v>40665</v>
      </c>
      <c r="M12189" t="s">
        <v>44465</v>
      </c>
      <c r="N12189" t="s">
        <v>44905</v>
      </c>
      <c r="O12189" t="s">
        <v>44906</v>
      </c>
      <c r="P12189">
        <v>0</v>
      </c>
      <c r="Q12189">
        <v>0</v>
      </c>
      <c r="R12189" t="s">
        <v>44918</v>
      </c>
      <c r="S12189" t="s">
        <v>45447</v>
      </c>
      <c r="T12189" t="s">
        <v>46499</v>
      </c>
      <c r="U12189" t="s">
        <v>56679</v>
      </c>
      <c r="W12189" t="s">
        <v>44465</v>
      </c>
      <c r="X12189" t="s">
        <v>44921</v>
      </c>
    </row>
    <row r="12190" spans="1:24">
      <c r="A12190">
        <f>HYPERLINK("https://www.philgeps.gov.ph/GEPSNONPILOT/Tender/SplashBidNoticeAbstractUI.aspx?menuIndex=3&amp;refID=7056544&amp;Result=3","7056544")</f>
        <v>0</v>
      </c>
      <c r="B12190" t="s">
        <v>1013</v>
      </c>
      <c r="C12190" t="s">
        <v>15159</v>
      </c>
      <c r="D12190" t="s">
        <v>18119</v>
      </c>
      <c r="E12190" t="s">
        <v>28760</v>
      </c>
      <c r="F12190" t="s">
        <v>31362</v>
      </c>
      <c r="G12190" t="s">
        <v>31369</v>
      </c>
      <c r="H12190" t="s">
        <v>31378</v>
      </c>
      <c r="I12190" t="s">
        <v>31386</v>
      </c>
      <c r="J12190" t="s">
        <v>38938</v>
      </c>
      <c r="K12190" t="s">
        <v>40682</v>
      </c>
      <c r="M12190" t="s">
        <v>42010</v>
      </c>
      <c r="N12190" t="s">
        <v>44905</v>
      </c>
      <c r="O12190" t="s">
        <v>44906</v>
      </c>
      <c r="P12190">
        <v>0</v>
      </c>
      <c r="Q12190">
        <v>1</v>
      </c>
      <c r="R12190" t="s">
        <v>44918</v>
      </c>
      <c r="S12190" t="s">
        <v>45447</v>
      </c>
      <c r="T12190" t="s">
        <v>46498</v>
      </c>
      <c r="U12190" t="s">
        <v>56680</v>
      </c>
      <c r="W12190" t="s">
        <v>42010</v>
      </c>
      <c r="X12190" t="s">
        <v>44921</v>
      </c>
    </row>
    <row r="12191" spans="1:24">
      <c r="A12191">
        <f>HYPERLINK("https://www.philgeps.gov.ph/GEPSNONPILOT/Tender/SplashBidNoticeAbstractUI.aspx?menuIndex=3&amp;refID=7056479&amp;Result=3","7056479")</f>
        <v>0</v>
      </c>
      <c r="B12191" t="s">
        <v>1013</v>
      </c>
      <c r="C12191" t="s">
        <v>15160</v>
      </c>
      <c r="D12191" t="s">
        <v>18119</v>
      </c>
      <c r="E12191" t="s">
        <v>28761</v>
      </c>
      <c r="F12191" t="s">
        <v>31362</v>
      </c>
      <c r="G12191" t="s">
        <v>31369</v>
      </c>
      <c r="H12191" t="s">
        <v>31378</v>
      </c>
      <c r="I12191" t="s">
        <v>31386</v>
      </c>
      <c r="J12191" t="s">
        <v>31625</v>
      </c>
      <c r="K12191" t="s">
        <v>40679</v>
      </c>
      <c r="M12191" t="s">
        <v>42010</v>
      </c>
      <c r="N12191" t="s">
        <v>44905</v>
      </c>
      <c r="O12191" t="s">
        <v>44906</v>
      </c>
      <c r="P12191">
        <v>0</v>
      </c>
      <c r="Q12191">
        <v>1</v>
      </c>
      <c r="R12191" t="s">
        <v>44918</v>
      </c>
      <c r="S12191" t="s">
        <v>45447</v>
      </c>
      <c r="T12191" t="s">
        <v>46498</v>
      </c>
      <c r="U12191" t="s">
        <v>56681</v>
      </c>
      <c r="W12191" t="s">
        <v>42010</v>
      </c>
      <c r="X12191" t="s">
        <v>44921</v>
      </c>
    </row>
    <row r="12192" spans="1:24">
      <c r="A12192">
        <f>HYPERLINK("https://www.philgeps.gov.ph/GEPSNONPILOT/Tender/SplashBidNoticeAbstractUI.aspx?menuIndex=3&amp;refID=7056450&amp;Result=3","7056450")</f>
        <v>0</v>
      </c>
      <c r="B12192" t="s">
        <v>452</v>
      </c>
      <c r="C12192" t="s">
        <v>15161</v>
      </c>
      <c r="D12192" t="s">
        <v>18122</v>
      </c>
      <c r="E12192" t="s">
        <v>28762</v>
      </c>
      <c r="F12192" t="s">
        <v>31362</v>
      </c>
      <c r="G12192" t="s">
        <v>31369</v>
      </c>
      <c r="H12192" t="s">
        <v>31378</v>
      </c>
      <c r="I12192" t="s">
        <v>31386</v>
      </c>
      <c r="J12192" t="s">
        <v>38939</v>
      </c>
      <c r="K12192" t="s">
        <v>40683</v>
      </c>
      <c r="M12192" t="s">
        <v>41406</v>
      </c>
      <c r="N12192" t="s">
        <v>44905</v>
      </c>
      <c r="O12192" t="s">
        <v>44906</v>
      </c>
      <c r="P12192">
        <v>0</v>
      </c>
      <c r="Q12192">
        <v>7</v>
      </c>
      <c r="R12192" t="s">
        <v>44918</v>
      </c>
      <c r="S12192" t="s">
        <v>45447</v>
      </c>
      <c r="T12192" t="s">
        <v>46481</v>
      </c>
      <c r="U12192" t="s">
        <v>47758</v>
      </c>
      <c r="W12192" t="s">
        <v>41406</v>
      </c>
      <c r="X12192" t="s">
        <v>44921</v>
      </c>
    </row>
    <row r="12193" spans="1:24">
      <c r="A12193">
        <f>HYPERLINK("https://www.philgeps.gov.ph/GEPSNONPILOT/Tender/SplashBidNoticeAbstractUI.aspx?menuIndex=3&amp;refID=7056779&amp;Result=3","7056779")</f>
        <v>0</v>
      </c>
      <c r="B12193" t="s">
        <v>3195</v>
      </c>
      <c r="C12193" t="s">
        <v>15162</v>
      </c>
      <c r="D12193" t="s">
        <v>18114</v>
      </c>
      <c r="E12193" t="s">
        <v>28763</v>
      </c>
      <c r="F12193" t="s">
        <v>31362</v>
      </c>
      <c r="G12193" t="s">
        <v>31369</v>
      </c>
      <c r="H12193" t="s">
        <v>31378</v>
      </c>
      <c r="I12193" t="s">
        <v>31386</v>
      </c>
      <c r="J12193" t="s">
        <v>38940</v>
      </c>
      <c r="K12193" t="s">
        <v>40742</v>
      </c>
      <c r="M12193" t="s">
        <v>41923</v>
      </c>
      <c r="N12193" t="s">
        <v>44905</v>
      </c>
      <c r="O12193" t="s">
        <v>44906</v>
      </c>
      <c r="Q12193">
        <v>3</v>
      </c>
      <c r="R12193" t="s">
        <v>44918</v>
      </c>
      <c r="S12193" t="s">
        <v>45467</v>
      </c>
      <c r="T12193" t="s">
        <v>46481</v>
      </c>
      <c r="U12193" t="s">
        <v>56682</v>
      </c>
      <c r="V12193" t="s">
        <v>60350</v>
      </c>
      <c r="W12193" t="s">
        <v>41923</v>
      </c>
      <c r="X12193" t="s">
        <v>44921</v>
      </c>
    </row>
    <row r="12194" spans="1:24">
      <c r="A12194">
        <f>HYPERLINK("https://www.philgeps.gov.ph/GEPSNONPILOT/Tender/SplashBidNoticeAbstractUI.aspx?menuIndex=3&amp;refID=7057177&amp;Result=3","7057177")</f>
        <v>0</v>
      </c>
      <c r="B12194" t="s">
        <v>2005</v>
      </c>
      <c r="C12194" t="s">
        <v>15163</v>
      </c>
      <c r="D12194" t="s">
        <v>18134</v>
      </c>
      <c r="E12194" t="s">
        <v>18547</v>
      </c>
      <c r="F12194" t="s">
        <v>31362</v>
      </c>
      <c r="G12194" t="s">
        <v>31369</v>
      </c>
      <c r="H12194" t="s">
        <v>31378</v>
      </c>
      <c r="I12194" t="s">
        <v>31386</v>
      </c>
      <c r="J12194" t="s">
        <v>38941</v>
      </c>
      <c r="K12194" t="s">
        <v>40907</v>
      </c>
      <c r="M12194" t="s">
        <v>43116</v>
      </c>
      <c r="N12194" t="s">
        <v>44905</v>
      </c>
      <c r="O12194" t="s">
        <v>44906</v>
      </c>
      <c r="P12194">
        <v>0</v>
      </c>
      <c r="Q12194">
        <v>9</v>
      </c>
      <c r="R12194" t="s">
        <v>44918</v>
      </c>
      <c r="S12194" t="s">
        <v>45447</v>
      </c>
      <c r="T12194" t="s">
        <v>46511</v>
      </c>
      <c r="U12194" t="s">
        <v>56683</v>
      </c>
      <c r="W12194" t="s">
        <v>43116</v>
      </c>
      <c r="X12194" t="s">
        <v>44921</v>
      </c>
    </row>
    <row r="12195" spans="1:24">
      <c r="A12195">
        <f>HYPERLINK("https://www.philgeps.gov.ph/GEPSNONPILOT/Tender/SplashBidNoticeAbstractUI.aspx?menuIndex=3&amp;refID=7056741&amp;Result=3","7056741")</f>
        <v>0</v>
      </c>
      <c r="B12195" t="s">
        <v>2240</v>
      </c>
      <c r="C12195" t="s">
        <v>15164</v>
      </c>
      <c r="D12195" t="s">
        <v>18140</v>
      </c>
      <c r="E12195" t="s">
        <v>28764</v>
      </c>
      <c r="F12195" t="s">
        <v>31362</v>
      </c>
      <c r="G12195" t="s">
        <v>31369</v>
      </c>
      <c r="H12195" t="s">
        <v>15799</v>
      </c>
      <c r="I12195" t="s">
        <v>31413</v>
      </c>
      <c r="J12195" t="s">
        <v>31634</v>
      </c>
      <c r="K12195" t="s">
        <v>40666</v>
      </c>
      <c r="M12195" t="s">
        <v>43377</v>
      </c>
      <c r="N12195" t="s">
        <v>44905</v>
      </c>
      <c r="O12195" t="s">
        <v>44906</v>
      </c>
      <c r="P12195">
        <v>0</v>
      </c>
      <c r="Q12195">
        <v>10</v>
      </c>
      <c r="R12195" t="s">
        <v>44918</v>
      </c>
      <c r="S12195" t="s">
        <v>45447</v>
      </c>
      <c r="T12195" t="s">
        <v>46569</v>
      </c>
      <c r="U12195" t="s">
        <v>56684</v>
      </c>
      <c r="V12195" t="s">
        <v>60351</v>
      </c>
      <c r="W12195" t="s">
        <v>43377</v>
      </c>
      <c r="X12195" t="s">
        <v>44921</v>
      </c>
    </row>
    <row r="12196" spans="1:24">
      <c r="A12196">
        <f>HYPERLINK("https://www.philgeps.gov.ph/GEPSNONPILOT/Tender/SplashBidNoticeAbstractUI.aspx?menuIndex=3&amp;refID=7060078&amp;Result=3","7060078")</f>
        <v>0</v>
      </c>
      <c r="B12196" t="s">
        <v>2337</v>
      </c>
      <c r="C12196" t="s">
        <v>15165</v>
      </c>
      <c r="D12196" t="s">
        <v>18162</v>
      </c>
      <c r="E12196" t="s">
        <v>28765</v>
      </c>
      <c r="F12196" t="s">
        <v>31362</v>
      </c>
      <c r="G12196" t="s">
        <v>31369</v>
      </c>
      <c r="H12196" t="s">
        <v>15799</v>
      </c>
      <c r="I12196" t="s">
        <v>3815</v>
      </c>
      <c r="J12196" t="s">
        <v>38942</v>
      </c>
      <c r="K12196" t="s">
        <v>40665</v>
      </c>
      <c r="M12196" t="s">
        <v>43478</v>
      </c>
      <c r="N12196" t="s">
        <v>44905</v>
      </c>
      <c r="O12196" t="s">
        <v>44906</v>
      </c>
      <c r="P12196">
        <v>0</v>
      </c>
      <c r="Q12196">
        <v>2</v>
      </c>
      <c r="R12196" t="s">
        <v>44917</v>
      </c>
      <c r="S12196" t="s">
        <v>45386</v>
      </c>
      <c r="T12196" t="s">
        <v>46499</v>
      </c>
      <c r="U12196" t="s">
        <v>56685</v>
      </c>
      <c r="W12196" t="s">
        <v>43478</v>
      </c>
      <c r="X12196" t="s">
        <v>44918</v>
      </c>
    </row>
    <row r="12197" spans="1:24">
      <c r="A12197">
        <f>HYPERLINK("https://www.philgeps.gov.ph/GEPSNONPILOT/Tender/SplashBidNoticeAbstractUI.aspx?menuIndex=3&amp;refID=7057082&amp;Result=3","7057082")</f>
        <v>0</v>
      </c>
      <c r="B12197" t="s">
        <v>452</v>
      </c>
      <c r="C12197" t="s">
        <v>15166</v>
      </c>
      <c r="D12197" t="s">
        <v>18122</v>
      </c>
      <c r="E12197" t="s">
        <v>28766</v>
      </c>
      <c r="F12197" t="s">
        <v>31362</v>
      </c>
      <c r="G12197" t="s">
        <v>31369</v>
      </c>
      <c r="H12197" t="s">
        <v>31378</v>
      </c>
      <c r="I12197" t="s">
        <v>31386</v>
      </c>
      <c r="J12197" t="s">
        <v>38943</v>
      </c>
      <c r="K12197" t="s">
        <v>40725</v>
      </c>
      <c r="M12197" t="s">
        <v>41406</v>
      </c>
      <c r="N12197" t="s">
        <v>44905</v>
      </c>
      <c r="O12197" t="s">
        <v>44906</v>
      </c>
      <c r="P12197">
        <v>0</v>
      </c>
      <c r="Q12197">
        <v>8</v>
      </c>
      <c r="R12197" t="s">
        <v>44918</v>
      </c>
      <c r="S12197" t="s">
        <v>45447</v>
      </c>
      <c r="T12197" t="s">
        <v>46481</v>
      </c>
      <c r="U12197" t="s">
        <v>47758</v>
      </c>
      <c r="W12197" t="s">
        <v>41406</v>
      </c>
      <c r="X12197" t="s">
        <v>44921</v>
      </c>
    </row>
    <row r="12198" spans="1:24">
      <c r="A12198">
        <f>HYPERLINK("https://www.philgeps.gov.ph/GEPSNONPILOT/Tender/SplashBidNoticeAbstractUI.aspx?menuIndex=3&amp;refID=7057190&amp;Result=3","7057190")</f>
        <v>0</v>
      </c>
      <c r="B12198" t="s">
        <v>663</v>
      </c>
      <c r="C12198" t="s">
        <v>15167</v>
      </c>
      <c r="D12198" t="s">
        <v>18103</v>
      </c>
      <c r="E12198" t="s">
        <v>20865</v>
      </c>
      <c r="F12198" t="s">
        <v>31362</v>
      </c>
      <c r="G12198" t="s">
        <v>31369</v>
      </c>
      <c r="H12198" t="s">
        <v>15799</v>
      </c>
      <c r="I12198" t="s">
        <v>4283</v>
      </c>
      <c r="J12198" t="s">
        <v>33446</v>
      </c>
      <c r="K12198" t="s">
        <v>40682</v>
      </c>
      <c r="M12198" t="s">
        <v>41625</v>
      </c>
      <c r="N12198" t="s">
        <v>44905</v>
      </c>
      <c r="O12198" t="s">
        <v>44906</v>
      </c>
      <c r="P12198">
        <v>0</v>
      </c>
      <c r="Q12198">
        <v>15</v>
      </c>
      <c r="R12198" t="s">
        <v>44918</v>
      </c>
      <c r="S12198" t="s">
        <v>45447</v>
      </c>
      <c r="T12198" t="s">
        <v>46845</v>
      </c>
      <c r="U12198" t="s">
        <v>56686</v>
      </c>
      <c r="W12198" t="s">
        <v>41625</v>
      </c>
      <c r="X12198" t="s">
        <v>44921</v>
      </c>
    </row>
    <row r="12199" spans="1:24">
      <c r="A12199">
        <f>HYPERLINK("https://www.philgeps.gov.ph/GEPSNONPILOT/Tender/SplashBidNoticeAbstractUI.aspx?menuIndex=3&amp;refID=7056371&amp;Result=3","7056371")</f>
        <v>0</v>
      </c>
      <c r="B12199" t="s">
        <v>3196</v>
      </c>
      <c r="C12199" t="s">
        <v>15168</v>
      </c>
      <c r="D12199" t="s">
        <v>18101</v>
      </c>
      <c r="E12199" t="s">
        <v>28767</v>
      </c>
      <c r="F12199" t="s">
        <v>31362</v>
      </c>
      <c r="G12199" t="s">
        <v>31369</v>
      </c>
      <c r="H12199" t="s">
        <v>31378</v>
      </c>
      <c r="I12199" t="s">
        <v>31386</v>
      </c>
      <c r="J12199" t="s">
        <v>31625</v>
      </c>
      <c r="K12199" t="s">
        <v>40662</v>
      </c>
      <c r="M12199" t="s">
        <v>44466</v>
      </c>
      <c r="N12199" t="s">
        <v>44905</v>
      </c>
      <c r="O12199" t="s">
        <v>44906</v>
      </c>
      <c r="P12199">
        <v>0</v>
      </c>
      <c r="Q12199">
        <v>0</v>
      </c>
      <c r="R12199" t="s">
        <v>44918</v>
      </c>
      <c r="S12199" t="s">
        <v>45447</v>
      </c>
      <c r="T12199" t="s">
        <v>46538</v>
      </c>
      <c r="U12199" t="s">
        <v>56687</v>
      </c>
      <c r="W12199" t="s">
        <v>44466</v>
      </c>
      <c r="X12199" t="s">
        <v>44921</v>
      </c>
    </row>
    <row r="12200" spans="1:24">
      <c r="A12200">
        <f>HYPERLINK("https://www.philgeps.gov.ph/GEPSNONPILOT/Tender/SplashBidNoticeAbstractUI.aspx?menuIndex=3&amp;refID=7057008&amp;Result=3","7057008")</f>
        <v>0</v>
      </c>
      <c r="B12200" t="s">
        <v>1495</v>
      </c>
      <c r="C12200" t="s">
        <v>15169</v>
      </c>
      <c r="D12200" t="s">
        <v>18133</v>
      </c>
      <c r="E12200" t="s">
        <v>28768</v>
      </c>
      <c r="F12200" t="s">
        <v>31362</v>
      </c>
      <c r="G12200" t="s">
        <v>31369</v>
      </c>
      <c r="H12200" t="s">
        <v>15799</v>
      </c>
      <c r="I12200" t="s">
        <v>31414</v>
      </c>
      <c r="J12200" t="s">
        <v>38944</v>
      </c>
      <c r="K12200" t="s">
        <v>40665</v>
      </c>
      <c r="M12200" t="s">
        <v>42532</v>
      </c>
      <c r="N12200" t="s">
        <v>44905</v>
      </c>
      <c r="O12200" t="s">
        <v>44906</v>
      </c>
      <c r="Q12200">
        <v>7</v>
      </c>
      <c r="R12200" t="s">
        <v>44918</v>
      </c>
      <c r="S12200" t="s">
        <v>45468</v>
      </c>
      <c r="T12200" t="s">
        <v>46481</v>
      </c>
      <c r="U12200" t="s">
        <v>56688</v>
      </c>
      <c r="W12200" t="s">
        <v>42532</v>
      </c>
      <c r="X12200" t="s">
        <v>44921</v>
      </c>
    </row>
    <row r="12201" spans="1:24">
      <c r="A12201">
        <f>HYPERLINK("https://www.philgeps.gov.ph/GEPSNONPILOT/Tender/SplashBidNoticeAbstractUI.aspx?menuIndex=3&amp;refID=7060148&amp;Result=3","7060148")</f>
        <v>0</v>
      </c>
      <c r="B12201" t="s">
        <v>1859</v>
      </c>
      <c r="C12201" t="s">
        <v>15170</v>
      </c>
      <c r="D12201" t="s">
        <v>18102</v>
      </c>
      <c r="E12201" t="s">
        <v>28769</v>
      </c>
      <c r="F12201" t="s">
        <v>31362</v>
      </c>
      <c r="G12201" t="s">
        <v>31372</v>
      </c>
      <c r="H12201" t="s">
        <v>15799</v>
      </c>
      <c r="I12201" t="s">
        <v>31409</v>
      </c>
      <c r="J12201" t="s">
        <v>36614</v>
      </c>
      <c r="K12201" t="s">
        <v>40662</v>
      </c>
      <c r="M12201" t="s">
        <v>42949</v>
      </c>
      <c r="N12201" t="s">
        <v>44905</v>
      </c>
      <c r="O12201" t="s">
        <v>44906</v>
      </c>
      <c r="P12201">
        <v>0</v>
      </c>
      <c r="Q12201">
        <v>9</v>
      </c>
      <c r="R12201" t="s">
        <v>44917</v>
      </c>
      <c r="S12201" t="s">
        <v>45386</v>
      </c>
      <c r="T12201" t="s">
        <v>46479</v>
      </c>
      <c r="U12201" t="s">
        <v>56689</v>
      </c>
      <c r="V12201" t="s">
        <v>60321</v>
      </c>
      <c r="W12201" t="s">
        <v>42949</v>
      </c>
      <c r="X12201" t="s">
        <v>44918</v>
      </c>
    </row>
    <row r="12202" spans="1:24">
      <c r="A12202">
        <f>HYPERLINK("https://www.philgeps.gov.ph/GEPSNONPILOT/Tender/SplashBidNoticeAbstractUI.aspx?menuIndex=3&amp;refID=7056976&amp;Result=3","7056976")</f>
        <v>0</v>
      </c>
      <c r="B12202" t="s">
        <v>948</v>
      </c>
      <c r="C12202" t="s">
        <v>15171</v>
      </c>
      <c r="D12202" t="s">
        <v>18107</v>
      </c>
      <c r="E12202" t="s">
        <v>28770</v>
      </c>
      <c r="F12202" t="s">
        <v>31362</v>
      </c>
      <c r="G12202" t="s">
        <v>31369</v>
      </c>
      <c r="H12202" t="s">
        <v>31378</v>
      </c>
      <c r="I12202" t="s">
        <v>31386</v>
      </c>
      <c r="J12202" t="s">
        <v>38945</v>
      </c>
      <c r="K12202" t="s">
        <v>40686</v>
      </c>
      <c r="M12202" t="s">
        <v>41936</v>
      </c>
      <c r="N12202" t="s">
        <v>44905</v>
      </c>
      <c r="O12202" t="s">
        <v>44906</v>
      </c>
      <c r="P12202">
        <v>0</v>
      </c>
      <c r="Q12202">
        <v>0</v>
      </c>
      <c r="R12202" t="s">
        <v>44918</v>
      </c>
      <c r="S12202" t="s">
        <v>45447</v>
      </c>
      <c r="T12202" t="s">
        <v>46560</v>
      </c>
      <c r="U12202" t="s">
        <v>48959</v>
      </c>
      <c r="V12202" t="s">
        <v>60352</v>
      </c>
      <c r="W12202" t="s">
        <v>41936</v>
      </c>
      <c r="X12202" t="s">
        <v>44921</v>
      </c>
    </row>
    <row r="12203" spans="1:24">
      <c r="A12203">
        <f>HYPERLINK("https://www.philgeps.gov.ph/GEPSNONPILOT/Tender/SplashBidNoticeAbstractUI.aspx?menuIndex=3&amp;refID=7056956&amp;Result=3","7056956")</f>
        <v>0</v>
      </c>
      <c r="B12203" t="s">
        <v>2495</v>
      </c>
      <c r="C12203" t="s">
        <v>15172</v>
      </c>
      <c r="D12203" t="s">
        <v>18127</v>
      </c>
      <c r="E12203" t="s">
        <v>28771</v>
      </c>
      <c r="F12203" t="s">
        <v>31362</v>
      </c>
      <c r="G12203" t="s">
        <v>31369</v>
      </c>
      <c r="H12203" t="s">
        <v>31378</v>
      </c>
      <c r="I12203" t="s">
        <v>31386</v>
      </c>
      <c r="J12203" t="s">
        <v>33653</v>
      </c>
      <c r="K12203" t="s">
        <v>40679</v>
      </c>
      <c r="M12203" t="s">
        <v>43662</v>
      </c>
      <c r="N12203" t="s">
        <v>44905</v>
      </c>
      <c r="O12203" t="s">
        <v>44906</v>
      </c>
      <c r="P12203">
        <v>0</v>
      </c>
      <c r="Q12203">
        <v>0</v>
      </c>
      <c r="R12203" t="s">
        <v>44918</v>
      </c>
      <c r="S12203" t="s">
        <v>45447</v>
      </c>
      <c r="T12203" t="s">
        <v>46499</v>
      </c>
      <c r="U12203" t="s">
        <v>53764</v>
      </c>
      <c r="V12203" t="s">
        <v>59900</v>
      </c>
      <c r="W12203" t="s">
        <v>43662</v>
      </c>
      <c r="X12203" t="s">
        <v>44921</v>
      </c>
    </row>
    <row r="12204" spans="1:24">
      <c r="A12204">
        <f>HYPERLINK("https://www.philgeps.gov.ph/GEPSNONPILOT/Tender/SplashBidNoticeAbstractUI.aspx?menuIndex=3&amp;refID=7056901&amp;Result=3","7056901")</f>
        <v>0</v>
      </c>
      <c r="B12204" t="s">
        <v>3194</v>
      </c>
      <c r="C12204" t="s">
        <v>15173</v>
      </c>
      <c r="D12204" t="s">
        <v>18168</v>
      </c>
      <c r="E12204" t="s">
        <v>28772</v>
      </c>
      <c r="F12204" t="s">
        <v>31362</v>
      </c>
      <c r="G12204" t="s">
        <v>31369</v>
      </c>
      <c r="H12204" t="s">
        <v>15799</v>
      </c>
      <c r="I12204" t="s">
        <v>3815</v>
      </c>
      <c r="J12204" t="s">
        <v>38946</v>
      </c>
      <c r="K12204" t="s">
        <v>40665</v>
      </c>
      <c r="M12204" t="s">
        <v>44465</v>
      </c>
      <c r="N12204" t="s">
        <v>44905</v>
      </c>
      <c r="O12204" t="s">
        <v>44906</v>
      </c>
      <c r="P12204">
        <v>0</v>
      </c>
      <c r="Q12204">
        <v>0</v>
      </c>
      <c r="R12204" t="s">
        <v>44918</v>
      </c>
      <c r="S12204" t="s">
        <v>45447</v>
      </c>
      <c r="T12204" t="s">
        <v>46499</v>
      </c>
      <c r="U12204" t="s">
        <v>56690</v>
      </c>
      <c r="W12204" t="s">
        <v>44465</v>
      </c>
      <c r="X12204" t="s">
        <v>44921</v>
      </c>
    </row>
    <row r="12205" spans="1:24">
      <c r="A12205">
        <f>HYPERLINK("https://www.philgeps.gov.ph/GEPSNONPILOT/Tender/SplashBidNoticeAbstractUI.aspx?menuIndex=3&amp;refID=7056888&amp;Result=3","7056888")</f>
        <v>0</v>
      </c>
      <c r="B12205" t="s">
        <v>948</v>
      </c>
      <c r="C12205" t="s">
        <v>15174</v>
      </c>
      <c r="D12205" t="s">
        <v>18107</v>
      </c>
      <c r="E12205" t="s">
        <v>28773</v>
      </c>
      <c r="F12205" t="s">
        <v>31362</v>
      </c>
      <c r="G12205" t="s">
        <v>31369</v>
      </c>
      <c r="H12205" t="s">
        <v>31378</v>
      </c>
      <c r="I12205" t="s">
        <v>31386</v>
      </c>
      <c r="J12205" t="s">
        <v>38947</v>
      </c>
      <c r="K12205" t="s">
        <v>40783</v>
      </c>
      <c r="M12205" t="s">
        <v>41936</v>
      </c>
      <c r="N12205" t="s">
        <v>44905</v>
      </c>
      <c r="O12205" t="s">
        <v>44906</v>
      </c>
      <c r="P12205">
        <v>0</v>
      </c>
      <c r="Q12205">
        <v>0</v>
      </c>
      <c r="R12205" t="s">
        <v>44918</v>
      </c>
      <c r="S12205" t="s">
        <v>45447</v>
      </c>
      <c r="T12205" t="s">
        <v>46560</v>
      </c>
      <c r="U12205" t="s">
        <v>48959</v>
      </c>
      <c r="V12205" t="s">
        <v>60352</v>
      </c>
      <c r="W12205" t="s">
        <v>41936</v>
      </c>
      <c r="X12205" t="s">
        <v>44921</v>
      </c>
    </row>
    <row r="12206" spans="1:24">
      <c r="A12206">
        <f>HYPERLINK("https://www.philgeps.gov.ph/GEPSNONPILOT/Tender/SplashBidNoticeAbstractUI.aspx?menuIndex=3&amp;refID=7056884&amp;Result=3","7056884")</f>
        <v>0</v>
      </c>
      <c r="B12206" t="s">
        <v>1816</v>
      </c>
      <c r="C12206" t="s">
        <v>15175</v>
      </c>
      <c r="D12206" t="s">
        <v>18141</v>
      </c>
      <c r="E12206" t="s">
        <v>28774</v>
      </c>
      <c r="F12206" t="s">
        <v>31362</v>
      </c>
      <c r="G12206" t="s">
        <v>31369</v>
      </c>
      <c r="H12206" t="s">
        <v>31378</v>
      </c>
      <c r="I12206" t="s">
        <v>31386</v>
      </c>
      <c r="J12206" t="s">
        <v>38948</v>
      </c>
      <c r="K12206" t="s">
        <v>40679</v>
      </c>
      <c r="M12206" t="s">
        <v>42899</v>
      </c>
      <c r="N12206" t="s">
        <v>44905</v>
      </c>
      <c r="O12206" t="s">
        <v>44906</v>
      </c>
      <c r="P12206">
        <v>0</v>
      </c>
      <c r="Q12206">
        <v>0</v>
      </c>
      <c r="R12206" t="s">
        <v>44918</v>
      </c>
      <c r="S12206" t="s">
        <v>45447</v>
      </c>
      <c r="T12206" t="s">
        <v>46560</v>
      </c>
      <c r="U12206" t="s">
        <v>56691</v>
      </c>
      <c r="W12206" t="s">
        <v>42899</v>
      </c>
      <c r="X12206" t="s">
        <v>44921</v>
      </c>
    </row>
    <row r="12207" spans="1:24">
      <c r="A12207">
        <f>HYPERLINK("https://www.philgeps.gov.ph/GEPSNONPILOT/Tender/SplashBidNoticeAbstractUI.aspx?menuIndex=3&amp;refID=7056868&amp;Result=3","7056868")</f>
        <v>0</v>
      </c>
      <c r="B12207" t="s">
        <v>3197</v>
      </c>
      <c r="C12207" t="s">
        <v>15176</v>
      </c>
      <c r="D12207" t="s">
        <v>18112</v>
      </c>
      <c r="E12207" t="s">
        <v>25839</v>
      </c>
      <c r="F12207" t="s">
        <v>31362</v>
      </c>
      <c r="G12207" t="s">
        <v>31369</v>
      </c>
      <c r="H12207" t="s">
        <v>31378</v>
      </c>
      <c r="I12207" t="s">
        <v>3815</v>
      </c>
      <c r="J12207" t="s">
        <v>38949</v>
      </c>
      <c r="K12207" t="s">
        <v>40679</v>
      </c>
      <c r="M12207" t="s">
        <v>44467</v>
      </c>
      <c r="N12207" t="s">
        <v>44905</v>
      </c>
      <c r="O12207" t="s">
        <v>44906</v>
      </c>
      <c r="P12207">
        <v>0</v>
      </c>
      <c r="Q12207">
        <v>3</v>
      </c>
      <c r="R12207" t="s">
        <v>44918</v>
      </c>
      <c r="S12207" t="s">
        <v>45447</v>
      </c>
      <c r="T12207" t="s">
        <v>46519</v>
      </c>
      <c r="U12207" t="s">
        <v>56692</v>
      </c>
      <c r="V12207" t="s">
        <v>60353</v>
      </c>
      <c r="W12207" t="s">
        <v>44467</v>
      </c>
      <c r="X12207" t="s">
        <v>44921</v>
      </c>
    </row>
    <row r="12208" spans="1:24">
      <c r="A12208">
        <f>HYPERLINK("https://www.philgeps.gov.ph/GEPSNONPILOT/Tender/SplashBidNoticeAbstractUI.aspx?menuIndex=3&amp;refID=7056822&amp;Result=3","7056822")</f>
        <v>0</v>
      </c>
      <c r="B12208" t="s">
        <v>3198</v>
      </c>
      <c r="C12208" t="s">
        <v>15177</v>
      </c>
      <c r="D12208" t="s">
        <v>18122</v>
      </c>
      <c r="E12208" t="s">
        <v>28775</v>
      </c>
      <c r="F12208" t="s">
        <v>31362</v>
      </c>
      <c r="G12208" t="s">
        <v>31369</v>
      </c>
      <c r="H12208" t="s">
        <v>31378</v>
      </c>
      <c r="I12208" t="s">
        <v>31386</v>
      </c>
      <c r="J12208" t="s">
        <v>31606</v>
      </c>
      <c r="K12208" t="s">
        <v>40664</v>
      </c>
      <c r="M12208" t="s">
        <v>44468</v>
      </c>
      <c r="N12208" t="s">
        <v>44905</v>
      </c>
      <c r="O12208" t="s">
        <v>44906</v>
      </c>
      <c r="P12208">
        <v>0</v>
      </c>
      <c r="Q12208">
        <v>15</v>
      </c>
      <c r="R12208" t="s">
        <v>44918</v>
      </c>
      <c r="S12208" t="s">
        <v>45447</v>
      </c>
      <c r="T12208" t="s">
        <v>46462</v>
      </c>
      <c r="U12208" t="s">
        <v>56693</v>
      </c>
      <c r="W12208" t="s">
        <v>44468</v>
      </c>
      <c r="X12208" t="s">
        <v>44921</v>
      </c>
    </row>
    <row r="12209" spans="1:24">
      <c r="A12209">
        <f>HYPERLINK("https://www.philgeps.gov.ph/GEPSNONPILOT/Tender/SplashBidNoticeAbstractUI.aspx?menuIndex=3&amp;refID=7056783&amp;Result=3","7056783")</f>
        <v>0</v>
      </c>
      <c r="B12209" t="s">
        <v>424</v>
      </c>
      <c r="C12209" t="s">
        <v>15178</v>
      </c>
      <c r="D12209" t="s">
        <v>18137</v>
      </c>
      <c r="E12209" t="s">
        <v>28776</v>
      </c>
      <c r="F12209" t="s">
        <v>31362</v>
      </c>
      <c r="G12209" t="s">
        <v>31369</v>
      </c>
      <c r="H12209" t="s">
        <v>31378</v>
      </c>
      <c r="I12209" t="s">
        <v>31386</v>
      </c>
      <c r="J12209" t="s">
        <v>38950</v>
      </c>
      <c r="K12209" t="s">
        <v>40682</v>
      </c>
      <c r="M12209" t="s">
        <v>44172</v>
      </c>
      <c r="N12209" t="s">
        <v>44905</v>
      </c>
      <c r="O12209" t="s">
        <v>44906</v>
      </c>
      <c r="Q12209">
        <v>4</v>
      </c>
      <c r="R12209" t="s">
        <v>44918</v>
      </c>
      <c r="S12209" t="s">
        <v>45469</v>
      </c>
      <c r="T12209" t="s">
        <v>46810</v>
      </c>
      <c r="U12209" t="s">
        <v>56694</v>
      </c>
      <c r="W12209" t="s">
        <v>44172</v>
      </c>
      <c r="X12209" t="s">
        <v>44921</v>
      </c>
    </row>
    <row r="12210" spans="1:24">
      <c r="A12210">
        <f>HYPERLINK("https://www.philgeps.gov.ph/GEPSNONPILOT/Tender/SplashBidNoticeAbstractUI.aspx?menuIndex=3&amp;refID=7056846&amp;Result=3","7056846")</f>
        <v>0</v>
      </c>
      <c r="B12210" t="s">
        <v>3195</v>
      </c>
      <c r="C12210" t="s">
        <v>15179</v>
      </c>
      <c r="D12210" t="s">
        <v>18114</v>
      </c>
      <c r="E12210" t="s">
        <v>28777</v>
      </c>
      <c r="F12210" t="s">
        <v>31362</v>
      </c>
      <c r="G12210" t="s">
        <v>31369</v>
      </c>
      <c r="H12210" t="s">
        <v>31378</v>
      </c>
      <c r="I12210" t="s">
        <v>31386</v>
      </c>
      <c r="J12210" t="s">
        <v>38951</v>
      </c>
      <c r="K12210" t="s">
        <v>40679</v>
      </c>
      <c r="M12210" t="s">
        <v>41923</v>
      </c>
      <c r="N12210" t="s">
        <v>44905</v>
      </c>
      <c r="O12210" t="s">
        <v>44906</v>
      </c>
      <c r="P12210">
        <v>0</v>
      </c>
      <c r="Q12210">
        <v>3</v>
      </c>
      <c r="R12210" t="s">
        <v>44918</v>
      </c>
      <c r="S12210" t="s">
        <v>45447</v>
      </c>
      <c r="T12210" t="s">
        <v>46481</v>
      </c>
      <c r="U12210" t="s">
        <v>56695</v>
      </c>
      <c r="V12210" t="s">
        <v>60350</v>
      </c>
      <c r="W12210" t="s">
        <v>41923</v>
      </c>
      <c r="X12210" t="s">
        <v>44921</v>
      </c>
    </row>
    <row r="12211" spans="1:24">
      <c r="A12211">
        <f>HYPERLINK("https://www.philgeps.gov.ph/GEPSNONPILOT/Tender/SplashBidNoticeAbstractUI.aspx?menuIndex=3&amp;refID=7060074&amp;Result=3","7060074")</f>
        <v>0</v>
      </c>
      <c r="B12211" t="s">
        <v>130</v>
      </c>
      <c r="C12211" t="s">
        <v>15180</v>
      </c>
      <c r="D12211" t="s">
        <v>18109</v>
      </c>
      <c r="E12211" t="s">
        <v>28778</v>
      </c>
      <c r="F12211" t="s">
        <v>31362</v>
      </c>
      <c r="G12211" t="s">
        <v>31369</v>
      </c>
      <c r="H12211" t="s">
        <v>15799</v>
      </c>
      <c r="I12211" t="s">
        <v>31415</v>
      </c>
      <c r="J12211" t="s">
        <v>38952</v>
      </c>
      <c r="K12211" t="s">
        <v>40662</v>
      </c>
      <c r="M12211" t="s">
        <v>44396</v>
      </c>
      <c r="N12211" t="s">
        <v>44905</v>
      </c>
      <c r="O12211" t="s">
        <v>44906</v>
      </c>
      <c r="Q12211">
        <v>3</v>
      </c>
      <c r="R12211" t="s">
        <v>44917</v>
      </c>
      <c r="S12211" t="s">
        <v>45470</v>
      </c>
      <c r="T12211" t="s">
        <v>46528</v>
      </c>
      <c r="U12211" t="s">
        <v>56696</v>
      </c>
      <c r="W12211" t="s">
        <v>44396</v>
      </c>
      <c r="X12211" t="s">
        <v>44918</v>
      </c>
    </row>
    <row r="12212" spans="1:24">
      <c r="A12212">
        <f>HYPERLINK("https://www.philgeps.gov.ph/GEPSNONPILOT/Tender/SplashBidNoticeAbstractUI.aspx?menuIndex=3&amp;refID=7056826&amp;Result=3","7056826")</f>
        <v>0</v>
      </c>
      <c r="B12212" t="s">
        <v>2240</v>
      </c>
      <c r="C12212" t="s">
        <v>15181</v>
      </c>
      <c r="D12212" t="s">
        <v>18140</v>
      </c>
      <c r="E12212" t="s">
        <v>28779</v>
      </c>
      <c r="F12212" t="s">
        <v>31362</v>
      </c>
      <c r="G12212" t="s">
        <v>31369</v>
      </c>
      <c r="H12212" t="s">
        <v>15799</v>
      </c>
      <c r="I12212" t="s">
        <v>31409</v>
      </c>
      <c r="J12212" t="s">
        <v>33482</v>
      </c>
      <c r="K12212" t="s">
        <v>40665</v>
      </c>
      <c r="M12212" t="s">
        <v>43377</v>
      </c>
      <c r="N12212" t="s">
        <v>44905</v>
      </c>
      <c r="O12212" t="s">
        <v>44906</v>
      </c>
      <c r="Q12212">
        <v>11</v>
      </c>
      <c r="R12212" t="s">
        <v>44918</v>
      </c>
      <c r="S12212" t="s">
        <v>45471</v>
      </c>
      <c r="T12212" t="s">
        <v>46418</v>
      </c>
      <c r="U12212" t="s">
        <v>56697</v>
      </c>
      <c r="V12212" t="s">
        <v>60354</v>
      </c>
      <c r="W12212" t="s">
        <v>43377</v>
      </c>
      <c r="X12212" t="s">
        <v>44921</v>
      </c>
    </row>
    <row r="12213" spans="1:24">
      <c r="A12213">
        <f>HYPERLINK("https://www.philgeps.gov.ph/GEPSNONPILOT/Tender/SplashBidNoticeAbstractUI.aspx?menuIndex=3&amp;refID=7060069&amp;Result=3","7060069")</f>
        <v>0</v>
      </c>
      <c r="B12213" t="s">
        <v>3199</v>
      </c>
      <c r="C12213" t="s">
        <v>15182</v>
      </c>
      <c r="E12213" t="s">
        <v>28780</v>
      </c>
      <c r="F12213" t="s">
        <v>31362</v>
      </c>
      <c r="G12213" t="s">
        <v>31369</v>
      </c>
      <c r="H12213" t="s">
        <v>15799</v>
      </c>
      <c r="I12213" t="s">
        <v>4283</v>
      </c>
      <c r="J12213" t="s">
        <v>38953</v>
      </c>
      <c r="K12213" t="s">
        <v>40662</v>
      </c>
      <c r="M12213" t="s">
        <v>44469</v>
      </c>
      <c r="N12213" t="s">
        <v>44905</v>
      </c>
      <c r="O12213" t="s">
        <v>44906</v>
      </c>
      <c r="P12213">
        <v>0</v>
      </c>
      <c r="Q12213">
        <v>10</v>
      </c>
      <c r="R12213" t="s">
        <v>44917</v>
      </c>
      <c r="S12213" t="s">
        <v>45386</v>
      </c>
      <c r="T12213" t="s">
        <v>46853</v>
      </c>
      <c r="U12213" t="s">
        <v>56698</v>
      </c>
      <c r="V12213" t="s">
        <v>60355</v>
      </c>
      <c r="W12213" t="s">
        <v>44469</v>
      </c>
      <c r="X12213" t="s">
        <v>44918</v>
      </c>
    </row>
    <row r="12214" spans="1:24">
      <c r="A12214">
        <f>HYPERLINK("https://www.philgeps.gov.ph/GEPSNONPILOT/Tender/SplashBidNoticeAbstractUI.aspx?menuIndex=3&amp;refID=7057066&amp;Result=3","7057066")</f>
        <v>0</v>
      </c>
      <c r="B12214" t="s">
        <v>3156</v>
      </c>
      <c r="C12214" t="s">
        <v>15183</v>
      </c>
      <c r="D12214" t="s">
        <v>18128</v>
      </c>
      <c r="E12214" t="s">
        <v>28781</v>
      </c>
      <c r="F12214" t="s">
        <v>31362</v>
      </c>
      <c r="G12214" t="s">
        <v>31369</v>
      </c>
      <c r="H12214" t="s">
        <v>31378</v>
      </c>
      <c r="I12214" t="s">
        <v>31386</v>
      </c>
      <c r="J12214" t="s">
        <v>38954</v>
      </c>
      <c r="K12214" t="s">
        <v>40888</v>
      </c>
      <c r="M12214" t="s">
        <v>44419</v>
      </c>
      <c r="N12214" t="s">
        <v>44905</v>
      </c>
      <c r="O12214" t="s">
        <v>44906</v>
      </c>
      <c r="P12214">
        <v>0</v>
      </c>
      <c r="Q12214">
        <v>8</v>
      </c>
      <c r="R12214" t="s">
        <v>44918</v>
      </c>
      <c r="S12214" t="s">
        <v>45447</v>
      </c>
      <c r="T12214" t="s">
        <v>46569</v>
      </c>
      <c r="U12214" t="s">
        <v>56699</v>
      </c>
      <c r="W12214" t="s">
        <v>44419</v>
      </c>
      <c r="X12214" t="s">
        <v>44921</v>
      </c>
    </row>
    <row r="12215" spans="1:24">
      <c r="A12215">
        <f>HYPERLINK("https://www.philgeps.gov.ph/GEPSNONPILOT/Tender/SplashBidNoticeAbstractUI.aspx?menuIndex=3&amp;refID=7060041&amp;Result=3","7060041")</f>
        <v>0</v>
      </c>
      <c r="B12215" t="s">
        <v>3136</v>
      </c>
      <c r="C12215" t="s">
        <v>15184</v>
      </c>
      <c r="D12215" t="s">
        <v>18117</v>
      </c>
      <c r="E12215" t="s">
        <v>28782</v>
      </c>
      <c r="F12215" t="s">
        <v>31362</v>
      </c>
      <c r="G12215" t="s">
        <v>31369</v>
      </c>
      <c r="H12215" t="s">
        <v>15799</v>
      </c>
      <c r="I12215" t="s">
        <v>3815</v>
      </c>
      <c r="J12215" t="s">
        <v>38955</v>
      </c>
      <c r="K12215" t="s">
        <v>40670</v>
      </c>
      <c r="M12215" t="s">
        <v>44395</v>
      </c>
      <c r="N12215" t="s">
        <v>44905</v>
      </c>
      <c r="O12215" t="s">
        <v>44906</v>
      </c>
      <c r="P12215">
        <v>0</v>
      </c>
      <c r="Q12215">
        <v>1</v>
      </c>
      <c r="R12215" t="s">
        <v>44917</v>
      </c>
      <c r="S12215" t="s">
        <v>45386</v>
      </c>
      <c r="T12215" t="s">
        <v>46481</v>
      </c>
      <c r="U12215" t="s">
        <v>56700</v>
      </c>
      <c r="V12215" t="s">
        <v>60319</v>
      </c>
      <c r="W12215" t="s">
        <v>44395</v>
      </c>
      <c r="X12215" t="s">
        <v>44918</v>
      </c>
    </row>
    <row r="12216" spans="1:24">
      <c r="A12216">
        <f>HYPERLINK("https://www.philgeps.gov.ph/GEPSNONPILOT/Tender/SplashBidNoticeAbstractUI.aspx?menuIndex=3&amp;refID=7057226&amp;Result=3","7057226")</f>
        <v>0</v>
      </c>
      <c r="B12216" t="s">
        <v>460</v>
      </c>
      <c r="C12216" t="s">
        <v>15185</v>
      </c>
      <c r="D12216" t="s">
        <v>18108</v>
      </c>
      <c r="E12216" t="s">
        <v>19737</v>
      </c>
      <c r="F12216" t="s">
        <v>31363</v>
      </c>
      <c r="G12216" t="s">
        <v>31369</v>
      </c>
      <c r="H12216" t="s">
        <v>15799</v>
      </c>
      <c r="I12216" t="s">
        <v>31398</v>
      </c>
      <c r="J12216" t="s">
        <v>31591</v>
      </c>
      <c r="K12216" t="s">
        <v>40665</v>
      </c>
      <c r="M12216" t="s">
        <v>41414</v>
      </c>
      <c r="N12216" t="s">
        <v>44905</v>
      </c>
      <c r="O12216" t="s">
        <v>44906</v>
      </c>
      <c r="P12216">
        <v>0</v>
      </c>
      <c r="Q12216">
        <v>3</v>
      </c>
      <c r="R12216" t="s">
        <v>44918</v>
      </c>
      <c r="S12216" t="s">
        <v>45447</v>
      </c>
      <c r="T12216" t="s">
        <v>46854</v>
      </c>
      <c r="U12216" t="s">
        <v>56701</v>
      </c>
      <c r="W12216" t="s">
        <v>41414</v>
      </c>
      <c r="X12216" t="s">
        <v>44921</v>
      </c>
    </row>
    <row r="12217" spans="1:24">
      <c r="A12217">
        <f>HYPERLINK("https://www.philgeps.gov.ph/GEPSNONPILOT/Tender/SplashBidNoticeAbstractUI.aspx?menuIndex=3&amp;refID=7057061&amp;Result=3","7057061")</f>
        <v>0</v>
      </c>
      <c r="B12217" t="s">
        <v>948</v>
      </c>
      <c r="C12217" t="s">
        <v>15186</v>
      </c>
      <c r="D12217" t="s">
        <v>18107</v>
      </c>
      <c r="E12217" t="s">
        <v>28783</v>
      </c>
      <c r="F12217" t="s">
        <v>31362</v>
      </c>
      <c r="G12217" t="s">
        <v>31369</v>
      </c>
      <c r="H12217" t="s">
        <v>31378</v>
      </c>
      <c r="I12217" t="s">
        <v>31386</v>
      </c>
      <c r="J12217" t="s">
        <v>38956</v>
      </c>
      <c r="K12217" t="s">
        <v>40725</v>
      </c>
      <c r="M12217" t="s">
        <v>41936</v>
      </c>
      <c r="N12217" t="s">
        <v>44905</v>
      </c>
      <c r="O12217" t="s">
        <v>44906</v>
      </c>
      <c r="P12217">
        <v>0</v>
      </c>
      <c r="Q12217">
        <v>0</v>
      </c>
      <c r="R12217" t="s">
        <v>44918</v>
      </c>
      <c r="S12217" t="s">
        <v>45447</v>
      </c>
      <c r="T12217" t="s">
        <v>46560</v>
      </c>
      <c r="U12217" t="s">
        <v>48959</v>
      </c>
      <c r="V12217" t="s">
        <v>60352</v>
      </c>
      <c r="W12217" t="s">
        <v>41936</v>
      </c>
      <c r="X12217" t="s">
        <v>44921</v>
      </c>
    </row>
    <row r="12218" spans="1:24">
      <c r="A12218">
        <f>HYPERLINK("https://www.philgeps.gov.ph/GEPSNONPILOT/Tender/SplashBidNoticeAbstractUI.aspx?menuIndex=3&amp;refID=7057133&amp;Result=3","7057133")</f>
        <v>0</v>
      </c>
      <c r="B12218" t="s">
        <v>2495</v>
      </c>
      <c r="C12218" t="s">
        <v>15187</v>
      </c>
      <c r="D12218" t="s">
        <v>18127</v>
      </c>
      <c r="E12218" t="s">
        <v>28784</v>
      </c>
      <c r="F12218" t="s">
        <v>31362</v>
      </c>
      <c r="G12218" t="s">
        <v>31369</v>
      </c>
      <c r="H12218" t="s">
        <v>31378</v>
      </c>
      <c r="I12218" t="s">
        <v>31386</v>
      </c>
      <c r="J12218" t="s">
        <v>33868</v>
      </c>
      <c r="K12218" t="s">
        <v>40678</v>
      </c>
      <c r="M12218" t="s">
        <v>43662</v>
      </c>
      <c r="N12218" t="s">
        <v>44905</v>
      </c>
      <c r="O12218" t="s">
        <v>44906</v>
      </c>
      <c r="P12218">
        <v>0</v>
      </c>
      <c r="Q12218">
        <v>0</v>
      </c>
      <c r="R12218" t="s">
        <v>44918</v>
      </c>
      <c r="S12218" t="s">
        <v>45447</v>
      </c>
      <c r="T12218" t="s">
        <v>46481</v>
      </c>
      <c r="U12218" t="s">
        <v>56702</v>
      </c>
      <c r="V12218" t="s">
        <v>60356</v>
      </c>
      <c r="W12218" t="s">
        <v>43662</v>
      </c>
      <c r="X12218" t="s">
        <v>44921</v>
      </c>
    </row>
    <row r="12219" spans="1:24">
      <c r="A12219">
        <f>HYPERLINK("https://www.philgeps.gov.ph/GEPSNONPILOT/Tender/SplashBidNoticeAbstractUI.aspx?menuIndex=3&amp;refID=7060054&amp;Result=3","7060054")</f>
        <v>0</v>
      </c>
      <c r="B12219" t="s">
        <v>1740</v>
      </c>
      <c r="C12219" t="s">
        <v>15188</v>
      </c>
      <c r="D12219" t="s">
        <v>18164</v>
      </c>
      <c r="E12219" t="s">
        <v>28785</v>
      </c>
      <c r="F12219" t="s">
        <v>31362</v>
      </c>
      <c r="G12219" t="s">
        <v>31369</v>
      </c>
      <c r="H12219" t="s">
        <v>15799</v>
      </c>
      <c r="I12219" t="s">
        <v>31397</v>
      </c>
      <c r="J12219" t="s">
        <v>32278</v>
      </c>
      <c r="K12219" t="s">
        <v>40665</v>
      </c>
      <c r="M12219" t="s">
        <v>42815</v>
      </c>
      <c r="N12219" t="s">
        <v>44905</v>
      </c>
      <c r="O12219" t="s">
        <v>44906</v>
      </c>
      <c r="P12219">
        <v>0</v>
      </c>
      <c r="Q12219">
        <v>3</v>
      </c>
      <c r="R12219" t="s">
        <v>44917</v>
      </c>
      <c r="S12219" t="s">
        <v>45386</v>
      </c>
      <c r="T12219" t="s">
        <v>46457</v>
      </c>
      <c r="U12219" t="s">
        <v>56703</v>
      </c>
      <c r="W12219" t="s">
        <v>42815</v>
      </c>
      <c r="X12219" t="s">
        <v>44918</v>
      </c>
    </row>
    <row r="12220" spans="1:24">
      <c r="A12220">
        <f>HYPERLINK("https://www.philgeps.gov.ph/GEPSNONPILOT/Tender/SplashBidNoticeAbstractUI.aspx?menuIndex=3&amp;refID=7057104&amp;Result=3","7057104")</f>
        <v>0</v>
      </c>
      <c r="B12220" t="s">
        <v>1495</v>
      </c>
      <c r="C12220" t="s">
        <v>15189</v>
      </c>
      <c r="D12220" t="s">
        <v>18133</v>
      </c>
      <c r="E12220" t="s">
        <v>28786</v>
      </c>
      <c r="F12220" t="s">
        <v>31362</v>
      </c>
      <c r="G12220" t="s">
        <v>31369</v>
      </c>
      <c r="H12220" t="s">
        <v>15799</v>
      </c>
      <c r="I12220" t="s">
        <v>31455</v>
      </c>
      <c r="J12220" t="s">
        <v>38957</v>
      </c>
      <c r="K12220" t="s">
        <v>40682</v>
      </c>
      <c r="M12220" t="s">
        <v>42532</v>
      </c>
      <c r="N12220" t="s">
        <v>44905</v>
      </c>
      <c r="O12220" t="s">
        <v>44906</v>
      </c>
      <c r="P12220">
        <v>0</v>
      </c>
      <c r="Q12220">
        <v>1</v>
      </c>
      <c r="R12220" t="s">
        <v>44918</v>
      </c>
      <c r="S12220" t="s">
        <v>45447</v>
      </c>
      <c r="T12220" t="s">
        <v>46481</v>
      </c>
      <c r="U12220" t="s">
        <v>46940</v>
      </c>
      <c r="W12220" t="s">
        <v>42532</v>
      </c>
      <c r="X12220" t="s">
        <v>44921</v>
      </c>
    </row>
    <row r="12221" spans="1:24">
      <c r="A12221">
        <f>HYPERLINK("https://www.philgeps.gov.ph/GEPSNONPILOT/Tender/SplashBidNoticeAbstractUI.aspx?menuIndex=3&amp;refID=7057447&amp;Result=3","7057447")</f>
        <v>0</v>
      </c>
      <c r="B12221" t="s">
        <v>3200</v>
      </c>
      <c r="C12221" t="s">
        <v>15190</v>
      </c>
      <c r="D12221" t="s">
        <v>18124</v>
      </c>
      <c r="E12221" t="s">
        <v>28787</v>
      </c>
      <c r="F12221" t="s">
        <v>31362</v>
      </c>
      <c r="G12221" t="s">
        <v>31369</v>
      </c>
      <c r="H12221" t="s">
        <v>31378</v>
      </c>
      <c r="I12221" t="s">
        <v>31386</v>
      </c>
      <c r="J12221" t="s">
        <v>38958</v>
      </c>
      <c r="K12221" t="s">
        <v>40746</v>
      </c>
      <c r="M12221" t="s">
        <v>44470</v>
      </c>
      <c r="N12221" t="s">
        <v>44905</v>
      </c>
      <c r="O12221" t="s">
        <v>44906</v>
      </c>
      <c r="P12221">
        <v>0</v>
      </c>
      <c r="Q12221">
        <v>62</v>
      </c>
      <c r="R12221" t="s">
        <v>44918</v>
      </c>
      <c r="S12221" t="s">
        <v>45447</v>
      </c>
      <c r="T12221" t="s">
        <v>46538</v>
      </c>
      <c r="U12221" t="s">
        <v>56704</v>
      </c>
      <c r="W12221" t="s">
        <v>44470</v>
      </c>
      <c r="X12221" t="s">
        <v>44921</v>
      </c>
    </row>
    <row r="12222" spans="1:24">
      <c r="A12222">
        <f>HYPERLINK("https://www.philgeps.gov.ph/GEPSNONPILOT/Tender/SplashBidNoticeAbstractUI.aspx?menuIndex=3&amp;refID=7057385&amp;Result=3","7057385")</f>
        <v>0</v>
      </c>
      <c r="B12222" t="s">
        <v>3200</v>
      </c>
      <c r="C12222" t="s">
        <v>15191</v>
      </c>
      <c r="D12222" t="s">
        <v>18124</v>
      </c>
      <c r="E12222" t="s">
        <v>28788</v>
      </c>
      <c r="F12222" t="s">
        <v>31362</v>
      </c>
      <c r="G12222" t="s">
        <v>31369</v>
      </c>
      <c r="H12222" t="s">
        <v>31378</v>
      </c>
      <c r="I12222" t="s">
        <v>31386</v>
      </c>
      <c r="J12222" t="s">
        <v>31637</v>
      </c>
      <c r="K12222" t="s">
        <v>40908</v>
      </c>
      <c r="M12222" t="s">
        <v>44470</v>
      </c>
      <c r="N12222" t="s">
        <v>44905</v>
      </c>
      <c r="O12222" t="s">
        <v>44906</v>
      </c>
      <c r="P12222">
        <v>0</v>
      </c>
      <c r="Q12222">
        <v>63</v>
      </c>
      <c r="R12222" t="s">
        <v>44918</v>
      </c>
      <c r="S12222" t="s">
        <v>45447</v>
      </c>
      <c r="T12222" t="s">
        <v>46538</v>
      </c>
      <c r="U12222" t="s">
        <v>56705</v>
      </c>
      <c r="W12222" t="s">
        <v>44470</v>
      </c>
      <c r="X12222" t="s">
        <v>44921</v>
      </c>
    </row>
    <row r="12223" spans="1:24">
      <c r="A12223">
        <f>HYPERLINK("https://www.philgeps.gov.ph/GEPSNONPILOT/Tender/SplashBidNoticeAbstractUI.aspx?menuIndex=3&amp;refID=7057227&amp;Result=3","7057227")</f>
        <v>0</v>
      </c>
      <c r="B12223" t="s">
        <v>2005</v>
      </c>
      <c r="C12223" t="s">
        <v>15192</v>
      </c>
      <c r="D12223" t="s">
        <v>18134</v>
      </c>
      <c r="E12223" t="s">
        <v>18494</v>
      </c>
      <c r="F12223" t="s">
        <v>31362</v>
      </c>
      <c r="G12223" t="s">
        <v>31369</v>
      </c>
      <c r="H12223" t="s">
        <v>31378</v>
      </c>
      <c r="I12223" t="s">
        <v>31386</v>
      </c>
      <c r="J12223" t="s">
        <v>38959</v>
      </c>
      <c r="K12223" t="s">
        <v>40909</v>
      </c>
      <c r="M12223" t="s">
        <v>43116</v>
      </c>
      <c r="N12223" t="s">
        <v>44905</v>
      </c>
      <c r="O12223" t="s">
        <v>44906</v>
      </c>
      <c r="P12223">
        <v>0</v>
      </c>
      <c r="Q12223">
        <v>7</v>
      </c>
      <c r="R12223" t="s">
        <v>44918</v>
      </c>
      <c r="S12223" t="s">
        <v>45447</v>
      </c>
      <c r="T12223" t="s">
        <v>46511</v>
      </c>
      <c r="U12223" t="s">
        <v>56683</v>
      </c>
      <c r="W12223" t="s">
        <v>43116</v>
      </c>
      <c r="X12223" t="s">
        <v>44921</v>
      </c>
    </row>
    <row r="12224" spans="1:24">
      <c r="A12224">
        <f>HYPERLINK("https://www.philgeps.gov.ph/GEPSNONPILOT/Tender/SplashBidNoticeAbstractUI.aspx?menuIndex=3&amp;refID=7056950&amp;Result=3","7056950")</f>
        <v>0</v>
      </c>
      <c r="B12224" t="s">
        <v>424</v>
      </c>
      <c r="C12224" t="s">
        <v>15193</v>
      </c>
      <c r="D12224" t="s">
        <v>18137</v>
      </c>
      <c r="E12224" t="s">
        <v>28789</v>
      </c>
      <c r="F12224" t="s">
        <v>31362</v>
      </c>
      <c r="G12224" t="s">
        <v>31369</v>
      </c>
      <c r="H12224" t="s">
        <v>31378</v>
      </c>
      <c r="I12224" t="s">
        <v>31386</v>
      </c>
      <c r="J12224" t="s">
        <v>38960</v>
      </c>
      <c r="K12224" t="s">
        <v>40679</v>
      </c>
      <c r="M12224" t="s">
        <v>44172</v>
      </c>
      <c r="N12224" t="s">
        <v>44905</v>
      </c>
      <c r="O12224" t="s">
        <v>44906</v>
      </c>
      <c r="Q12224">
        <v>2</v>
      </c>
      <c r="R12224" t="s">
        <v>44918</v>
      </c>
      <c r="S12224" t="s">
        <v>45472</v>
      </c>
      <c r="T12224" t="s">
        <v>46810</v>
      </c>
      <c r="U12224" t="s">
        <v>56706</v>
      </c>
      <c r="W12224" t="s">
        <v>44172</v>
      </c>
      <c r="X12224" t="s">
        <v>44921</v>
      </c>
    </row>
    <row r="12225" spans="1:24">
      <c r="A12225">
        <f>HYPERLINK("https://www.philgeps.gov.ph/GEPSNONPILOT/Tender/SplashBidNoticeAbstractUI.aspx?menuIndex=3&amp;refID=7057339&amp;Result=3","7057339")</f>
        <v>0</v>
      </c>
      <c r="B12225" t="s">
        <v>3200</v>
      </c>
      <c r="C12225" t="s">
        <v>15194</v>
      </c>
      <c r="D12225" t="s">
        <v>18124</v>
      </c>
      <c r="E12225" t="s">
        <v>28790</v>
      </c>
      <c r="F12225" t="s">
        <v>31362</v>
      </c>
      <c r="G12225" t="s">
        <v>31369</v>
      </c>
      <c r="H12225" t="s">
        <v>31378</v>
      </c>
      <c r="I12225" t="s">
        <v>31386</v>
      </c>
      <c r="J12225" t="s">
        <v>38961</v>
      </c>
      <c r="K12225" t="s">
        <v>40774</v>
      </c>
      <c r="M12225" t="s">
        <v>44470</v>
      </c>
      <c r="N12225" t="s">
        <v>44905</v>
      </c>
      <c r="O12225" t="s">
        <v>44906</v>
      </c>
      <c r="P12225">
        <v>0</v>
      </c>
      <c r="Q12225">
        <v>63</v>
      </c>
      <c r="R12225" t="s">
        <v>44918</v>
      </c>
      <c r="S12225" t="s">
        <v>45447</v>
      </c>
      <c r="T12225" t="s">
        <v>46538</v>
      </c>
      <c r="U12225" t="s">
        <v>56707</v>
      </c>
      <c r="W12225" t="s">
        <v>44470</v>
      </c>
      <c r="X12225" t="s">
        <v>44921</v>
      </c>
    </row>
    <row r="12226" spans="1:24">
      <c r="A12226">
        <f>HYPERLINK("https://www.philgeps.gov.ph/GEPSNONPILOT/Tender/SplashBidNoticeAbstractUI.aspx?menuIndex=3&amp;refID=7057359&amp;Result=3","7057359")</f>
        <v>0</v>
      </c>
      <c r="B12226" t="s">
        <v>3200</v>
      </c>
      <c r="C12226" t="s">
        <v>15195</v>
      </c>
      <c r="D12226" t="s">
        <v>18124</v>
      </c>
      <c r="E12226" t="s">
        <v>28791</v>
      </c>
      <c r="F12226" t="s">
        <v>31362</v>
      </c>
      <c r="G12226" t="s">
        <v>31369</v>
      </c>
      <c r="H12226" t="s">
        <v>31378</v>
      </c>
      <c r="I12226" t="s">
        <v>31386</v>
      </c>
      <c r="J12226" t="s">
        <v>38962</v>
      </c>
      <c r="K12226" t="s">
        <v>40705</v>
      </c>
      <c r="M12226" t="s">
        <v>44470</v>
      </c>
      <c r="N12226" t="s">
        <v>44905</v>
      </c>
      <c r="O12226" t="s">
        <v>44906</v>
      </c>
      <c r="P12226">
        <v>0</v>
      </c>
      <c r="Q12226">
        <v>61</v>
      </c>
      <c r="R12226" t="s">
        <v>44918</v>
      </c>
      <c r="S12226" t="s">
        <v>45447</v>
      </c>
      <c r="T12226" t="s">
        <v>46538</v>
      </c>
      <c r="U12226" t="s">
        <v>56708</v>
      </c>
      <c r="W12226" t="s">
        <v>44470</v>
      </c>
      <c r="X12226" t="s">
        <v>44921</v>
      </c>
    </row>
    <row r="12227" spans="1:24">
      <c r="A12227">
        <f>HYPERLINK("https://www.philgeps.gov.ph/GEPSNONPILOT/Tender/SplashBidNoticeAbstractUI.aspx?menuIndex=3&amp;refID=7057406&amp;Result=3","7057406")</f>
        <v>0</v>
      </c>
      <c r="B12227" t="s">
        <v>3200</v>
      </c>
      <c r="C12227" t="s">
        <v>15196</v>
      </c>
      <c r="D12227" t="s">
        <v>18124</v>
      </c>
      <c r="E12227" t="s">
        <v>28792</v>
      </c>
      <c r="F12227" t="s">
        <v>31362</v>
      </c>
      <c r="G12227" t="s">
        <v>31369</v>
      </c>
      <c r="H12227" t="s">
        <v>31378</v>
      </c>
      <c r="I12227" t="s">
        <v>31386</v>
      </c>
      <c r="J12227" t="s">
        <v>31637</v>
      </c>
      <c r="K12227" t="s">
        <v>40878</v>
      </c>
      <c r="M12227" t="s">
        <v>44470</v>
      </c>
      <c r="N12227" t="s">
        <v>44905</v>
      </c>
      <c r="O12227" t="s">
        <v>44906</v>
      </c>
      <c r="P12227">
        <v>0</v>
      </c>
      <c r="Q12227">
        <v>61</v>
      </c>
      <c r="R12227" t="s">
        <v>44918</v>
      </c>
      <c r="S12227" t="s">
        <v>45447</v>
      </c>
      <c r="T12227" t="s">
        <v>46538</v>
      </c>
      <c r="U12227" t="s">
        <v>56709</v>
      </c>
      <c r="W12227" t="s">
        <v>44470</v>
      </c>
      <c r="X12227" t="s">
        <v>44921</v>
      </c>
    </row>
    <row r="12228" spans="1:24">
      <c r="A12228">
        <f>HYPERLINK("https://www.philgeps.gov.ph/GEPSNONPILOT/Tender/SplashBidNoticeAbstractUI.aspx?menuIndex=3&amp;refID=7057313&amp;Result=3","7057313")</f>
        <v>0</v>
      </c>
      <c r="B12228" t="s">
        <v>2005</v>
      </c>
      <c r="C12228" t="s">
        <v>15197</v>
      </c>
      <c r="D12228" t="s">
        <v>18118</v>
      </c>
      <c r="E12228" t="s">
        <v>20721</v>
      </c>
      <c r="F12228" t="s">
        <v>31362</v>
      </c>
      <c r="G12228" t="s">
        <v>31369</v>
      </c>
      <c r="H12228" t="s">
        <v>31378</v>
      </c>
      <c r="I12228" t="s">
        <v>31386</v>
      </c>
      <c r="J12228" t="s">
        <v>38963</v>
      </c>
      <c r="K12228" t="s">
        <v>40910</v>
      </c>
      <c r="M12228" t="s">
        <v>43116</v>
      </c>
      <c r="N12228" t="s">
        <v>44905</v>
      </c>
      <c r="O12228" t="s">
        <v>44906</v>
      </c>
      <c r="P12228">
        <v>0</v>
      </c>
      <c r="Q12228">
        <v>6</v>
      </c>
      <c r="R12228" t="s">
        <v>44918</v>
      </c>
      <c r="S12228" t="s">
        <v>45447</v>
      </c>
      <c r="T12228" t="s">
        <v>46511</v>
      </c>
      <c r="U12228" t="s">
        <v>56683</v>
      </c>
      <c r="W12228" t="s">
        <v>43116</v>
      </c>
      <c r="X12228" t="s">
        <v>44921</v>
      </c>
    </row>
    <row r="12229" spans="1:24">
      <c r="A12229">
        <f>HYPERLINK("https://www.philgeps.gov.ph/GEPSNONPILOT/Tender/SplashBidNoticeAbstractUI.aspx?menuIndex=3&amp;refID=7057277&amp;Result=3","7057277")</f>
        <v>0</v>
      </c>
      <c r="B12229" t="s">
        <v>2495</v>
      </c>
      <c r="C12229" t="s">
        <v>15198</v>
      </c>
      <c r="D12229" t="s">
        <v>18127</v>
      </c>
      <c r="E12229" t="s">
        <v>19253</v>
      </c>
      <c r="F12229" t="s">
        <v>31362</v>
      </c>
      <c r="G12229" t="s">
        <v>31369</v>
      </c>
      <c r="H12229" t="s">
        <v>31378</v>
      </c>
      <c r="I12229" t="s">
        <v>31386</v>
      </c>
      <c r="J12229" t="s">
        <v>36460</v>
      </c>
      <c r="K12229" t="s">
        <v>40686</v>
      </c>
      <c r="M12229" t="s">
        <v>43662</v>
      </c>
      <c r="N12229" t="s">
        <v>44905</v>
      </c>
      <c r="O12229" t="s">
        <v>44906</v>
      </c>
      <c r="P12229">
        <v>0</v>
      </c>
      <c r="Q12229">
        <v>0</v>
      </c>
      <c r="R12229" t="s">
        <v>44918</v>
      </c>
      <c r="S12229" t="s">
        <v>45447</v>
      </c>
      <c r="T12229" t="s">
        <v>46430</v>
      </c>
      <c r="U12229" t="s">
        <v>47185</v>
      </c>
      <c r="V12229" t="s">
        <v>59900</v>
      </c>
      <c r="W12229" t="s">
        <v>43662</v>
      </c>
      <c r="X12229" t="s">
        <v>44921</v>
      </c>
    </row>
    <row r="12230" spans="1:24">
      <c r="A12230">
        <f>HYPERLINK("https://www.philgeps.gov.ph/GEPSNONPILOT/Tender/SplashBidNoticeAbstractUI.aspx?menuIndex=3&amp;refID=7057384&amp;Result=3","7057384")</f>
        <v>0</v>
      </c>
      <c r="B12230" t="s">
        <v>3194</v>
      </c>
      <c r="C12230" t="s">
        <v>15199</v>
      </c>
      <c r="D12230" t="s">
        <v>18168</v>
      </c>
      <c r="E12230" t="s">
        <v>28793</v>
      </c>
      <c r="F12230" t="s">
        <v>31362</v>
      </c>
      <c r="G12230" t="s">
        <v>31369</v>
      </c>
      <c r="H12230" t="s">
        <v>31378</v>
      </c>
      <c r="I12230" t="s">
        <v>31386</v>
      </c>
      <c r="J12230" t="s">
        <v>31606</v>
      </c>
      <c r="K12230" t="s">
        <v>40664</v>
      </c>
      <c r="M12230" t="s">
        <v>44465</v>
      </c>
      <c r="N12230" t="s">
        <v>44905</v>
      </c>
      <c r="O12230" t="s">
        <v>44906</v>
      </c>
      <c r="P12230">
        <v>0</v>
      </c>
      <c r="Q12230">
        <v>1</v>
      </c>
      <c r="R12230" t="s">
        <v>44918</v>
      </c>
      <c r="S12230" t="s">
        <v>45447</v>
      </c>
      <c r="T12230" t="s">
        <v>46499</v>
      </c>
      <c r="U12230" t="s">
        <v>56710</v>
      </c>
      <c r="W12230" t="s">
        <v>44465</v>
      </c>
      <c r="X12230" t="s">
        <v>44921</v>
      </c>
    </row>
    <row r="12231" spans="1:24">
      <c r="A12231">
        <f>HYPERLINK("https://www.philgeps.gov.ph/GEPSNONPILOT/Tender/SplashBidNoticeAbstractUI.aspx?menuIndex=3&amp;refID=7057271&amp;Result=3","7057271")</f>
        <v>0</v>
      </c>
      <c r="B12231" t="s">
        <v>663</v>
      </c>
      <c r="C12231" t="s">
        <v>15200</v>
      </c>
      <c r="D12231" t="s">
        <v>18103</v>
      </c>
      <c r="E12231" t="s">
        <v>19457</v>
      </c>
      <c r="F12231" t="s">
        <v>31362</v>
      </c>
      <c r="G12231" t="s">
        <v>31369</v>
      </c>
      <c r="H12231" t="s">
        <v>31378</v>
      </c>
      <c r="I12231" t="s">
        <v>31386</v>
      </c>
      <c r="J12231" t="s">
        <v>33653</v>
      </c>
      <c r="K12231" t="s">
        <v>40682</v>
      </c>
      <c r="M12231" t="s">
        <v>41625</v>
      </c>
      <c r="N12231" t="s">
        <v>44905</v>
      </c>
      <c r="O12231" t="s">
        <v>44906</v>
      </c>
      <c r="P12231">
        <v>0</v>
      </c>
      <c r="Q12231">
        <v>5</v>
      </c>
      <c r="R12231" t="s">
        <v>44918</v>
      </c>
      <c r="S12231" t="s">
        <v>45447</v>
      </c>
      <c r="T12231" t="s">
        <v>46845</v>
      </c>
      <c r="U12231" t="s">
        <v>56711</v>
      </c>
      <c r="W12231" t="s">
        <v>41625</v>
      </c>
      <c r="X12231" t="s">
        <v>44921</v>
      </c>
    </row>
    <row r="12232" spans="1:24">
      <c r="A12232">
        <f>HYPERLINK("https://www.philgeps.gov.ph/GEPSNONPILOT/Tender/SplashBidNoticeAbstractUI.aspx?menuIndex=3&amp;refID=7058279&amp;Result=3","7058279")</f>
        <v>0</v>
      </c>
      <c r="B12232" t="s">
        <v>1507</v>
      </c>
      <c r="C12232" t="s">
        <v>15201</v>
      </c>
      <c r="D12232" t="s">
        <v>18113</v>
      </c>
      <c r="E12232" t="s">
        <v>28794</v>
      </c>
      <c r="F12232" t="s">
        <v>31362</v>
      </c>
      <c r="G12232" t="s">
        <v>31369</v>
      </c>
      <c r="H12232" t="s">
        <v>31378</v>
      </c>
      <c r="I12232" t="s">
        <v>31386</v>
      </c>
      <c r="J12232" t="s">
        <v>38964</v>
      </c>
      <c r="K12232" t="s">
        <v>40679</v>
      </c>
      <c r="M12232" t="s">
        <v>42547</v>
      </c>
      <c r="N12232" t="s">
        <v>44905</v>
      </c>
      <c r="O12232" t="s">
        <v>44906</v>
      </c>
      <c r="P12232">
        <v>0</v>
      </c>
      <c r="Q12232">
        <v>0</v>
      </c>
      <c r="R12232" t="s">
        <v>44918</v>
      </c>
      <c r="S12232" t="s">
        <v>45447</v>
      </c>
      <c r="T12232" t="s">
        <v>46611</v>
      </c>
      <c r="U12232" t="s">
        <v>56712</v>
      </c>
      <c r="V12232" t="s">
        <v>59473</v>
      </c>
      <c r="W12232" t="s">
        <v>42547</v>
      </c>
      <c r="X12232" t="s">
        <v>44920</v>
      </c>
    </row>
    <row r="12233" spans="1:24">
      <c r="A12233">
        <f>HYPERLINK("https://www.philgeps.gov.ph/GEPSNONPILOT/Tender/SplashBidNoticeAbstractUI.aspx?menuIndex=3&amp;refID=7057426&amp;Result=3","7057426")</f>
        <v>0</v>
      </c>
      <c r="B12233" t="s">
        <v>3200</v>
      </c>
      <c r="C12233" t="s">
        <v>15202</v>
      </c>
      <c r="D12233" t="s">
        <v>18124</v>
      </c>
      <c r="E12233" t="s">
        <v>28795</v>
      </c>
      <c r="F12233" t="s">
        <v>31362</v>
      </c>
      <c r="G12233" t="s">
        <v>31369</v>
      </c>
      <c r="H12233" t="s">
        <v>31378</v>
      </c>
      <c r="I12233" t="s">
        <v>31386</v>
      </c>
      <c r="J12233" t="s">
        <v>31637</v>
      </c>
      <c r="K12233" t="s">
        <v>40908</v>
      </c>
      <c r="M12233" t="s">
        <v>44470</v>
      </c>
      <c r="N12233" t="s">
        <v>44905</v>
      </c>
      <c r="O12233" t="s">
        <v>44906</v>
      </c>
      <c r="P12233">
        <v>0</v>
      </c>
      <c r="Q12233">
        <v>60</v>
      </c>
      <c r="R12233" t="s">
        <v>44918</v>
      </c>
      <c r="S12233" t="s">
        <v>45447</v>
      </c>
      <c r="T12233" t="s">
        <v>46538</v>
      </c>
      <c r="U12233" t="s">
        <v>56713</v>
      </c>
      <c r="W12233" t="s">
        <v>44470</v>
      </c>
      <c r="X12233" t="s">
        <v>44921</v>
      </c>
    </row>
    <row r="12234" spans="1:24">
      <c r="A12234">
        <f>HYPERLINK("https://www.philgeps.gov.ph/GEPSNONPILOT/Tender/SplashBidNoticeAbstractUI.aspx?menuIndex=3&amp;refID=7058075&amp;Result=3","7058075")</f>
        <v>0</v>
      </c>
      <c r="B12234" t="s">
        <v>2099</v>
      </c>
      <c r="C12234" t="s">
        <v>15203</v>
      </c>
      <c r="D12234" t="s">
        <v>18134</v>
      </c>
      <c r="E12234" t="s">
        <v>28796</v>
      </c>
      <c r="F12234" t="s">
        <v>31362</v>
      </c>
      <c r="G12234" t="s">
        <v>31369</v>
      </c>
      <c r="H12234" t="s">
        <v>31378</v>
      </c>
      <c r="I12234" t="s">
        <v>31386</v>
      </c>
      <c r="J12234" t="s">
        <v>38965</v>
      </c>
      <c r="K12234" t="s">
        <v>40905</v>
      </c>
      <c r="M12234" t="s">
        <v>43223</v>
      </c>
      <c r="N12234" t="s">
        <v>44905</v>
      </c>
      <c r="O12234" t="s">
        <v>44906</v>
      </c>
      <c r="Q12234">
        <v>0</v>
      </c>
      <c r="R12234" t="s">
        <v>44918</v>
      </c>
      <c r="S12234" t="s">
        <v>45473</v>
      </c>
      <c r="T12234" t="s">
        <v>46481</v>
      </c>
      <c r="U12234" t="s">
        <v>56714</v>
      </c>
      <c r="W12234" t="s">
        <v>43223</v>
      </c>
      <c r="X12234" t="s">
        <v>44920</v>
      </c>
    </row>
    <row r="12235" spans="1:24">
      <c r="A12235">
        <f>HYPERLINK("https://www.philgeps.gov.ph/GEPSNONPILOT/Tender/SplashBidNoticeAbstractUI.aspx?menuIndex=3&amp;refID=7057312&amp;Result=3","7057312")</f>
        <v>0</v>
      </c>
      <c r="B12235" t="s">
        <v>3200</v>
      </c>
      <c r="C12235" t="s">
        <v>15204</v>
      </c>
      <c r="D12235" t="s">
        <v>18124</v>
      </c>
      <c r="E12235" t="s">
        <v>28797</v>
      </c>
      <c r="F12235" t="s">
        <v>31362</v>
      </c>
      <c r="G12235" t="s">
        <v>31369</v>
      </c>
      <c r="H12235" t="s">
        <v>31378</v>
      </c>
      <c r="I12235" t="s">
        <v>31386</v>
      </c>
      <c r="J12235" t="s">
        <v>38966</v>
      </c>
      <c r="K12235" t="s">
        <v>40730</v>
      </c>
      <c r="M12235" t="s">
        <v>44470</v>
      </c>
      <c r="N12235" t="s">
        <v>44905</v>
      </c>
      <c r="O12235" t="s">
        <v>44906</v>
      </c>
      <c r="P12235">
        <v>0</v>
      </c>
      <c r="Q12235">
        <v>64</v>
      </c>
      <c r="R12235" t="s">
        <v>44918</v>
      </c>
      <c r="S12235" t="s">
        <v>45447</v>
      </c>
      <c r="T12235" t="s">
        <v>46538</v>
      </c>
      <c r="U12235" t="s">
        <v>56715</v>
      </c>
      <c r="W12235" t="s">
        <v>44470</v>
      </c>
      <c r="X12235" t="s">
        <v>44921</v>
      </c>
    </row>
    <row r="12236" spans="1:24">
      <c r="A12236">
        <f>HYPERLINK("https://www.philgeps.gov.ph/GEPSNONPILOT/Tender/SplashBidNoticeAbstractUI.aspx?menuIndex=3&amp;refID=7057455&amp;Result=3","7057455")</f>
        <v>0</v>
      </c>
      <c r="B12236" t="s">
        <v>3201</v>
      </c>
      <c r="C12236" t="s">
        <v>15205</v>
      </c>
      <c r="D12236" t="s">
        <v>18106</v>
      </c>
      <c r="E12236" t="s">
        <v>28798</v>
      </c>
      <c r="F12236" t="s">
        <v>31362</v>
      </c>
      <c r="G12236" t="s">
        <v>31369</v>
      </c>
      <c r="H12236" t="s">
        <v>31379</v>
      </c>
      <c r="I12236" t="s">
        <v>31400</v>
      </c>
      <c r="J12236" t="s">
        <v>38967</v>
      </c>
      <c r="K12236" t="s">
        <v>40666</v>
      </c>
      <c r="M12236" t="s">
        <v>44471</v>
      </c>
      <c r="N12236" t="s">
        <v>44905</v>
      </c>
      <c r="O12236" t="s">
        <v>44906</v>
      </c>
      <c r="P12236">
        <v>0</v>
      </c>
      <c r="Q12236">
        <v>2</v>
      </c>
      <c r="R12236" t="s">
        <v>44918</v>
      </c>
      <c r="S12236" t="s">
        <v>45447</v>
      </c>
      <c r="T12236" t="s">
        <v>46481</v>
      </c>
      <c r="U12236" t="s">
        <v>56716</v>
      </c>
      <c r="W12236" t="s">
        <v>44471</v>
      </c>
      <c r="X12236" t="s">
        <v>44921</v>
      </c>
    </row>
    <row r="12237" spans="1:24">
      <c r="A12237">
        <f>HYPERLINK("https://www.philgeps.gov.ph/GEPSNONPILOT/Tender/SplashBidNoticeAbstractUI.aspx?menuIndex=3&amp;refID=7057902&amp;Result=3","7057902")</f>
        <v>0</v>
      </c>
      <c r="B12237" t="s">
        <v>866</v>
      </c>
      <c r="C12237" t="s">
        <v>15206</v>
      </c>
      <c r="D12237" t="s">
        <v>18108</v>
      </c>
      <c r="E12237" t="s">
        <v>28799</v>
      </c>
      <c r="F12237" t="s">
        <v>31362</v>
      </c>
      <c r="G12237" t="s">
        <v>31369</v>
      </c>
      <c r="H12237" t="s">
        <v>31378</v>
      </c>
      <c r="I12237" t="s">
        <v>31405</v>
      </c>
      <c r="J12237" t="s">
        <v>36460</v>
      </c>
      <c r="K12237" t="s">
        <v>40683</v>
      </c>
      <c r="M12237" t="s">
        <v>41842</v>
      </c>
      <c r="N12237" t="s">
        <v>44905</v>
      </c>
      <c r="O12237" t="s">
        <v>44906</v>
      </c>
      <c r="P12237">
        <v>0</v>
      </c>
      <c r="Q12237">
        <v>6</v>
      </c>
      <c r="R12237" t="s">
        <v>44918</v>
      </c>
      <c r="S12237" t="s">
        <v>45447</v>
      </c>
      <c r="T12237" t="s">
        <v>46499</v>
      </c>
      <c r="U12237" t="s">
        <v>56717</v>
      </c>
      <c r="W12237" t="s">
        <v>41842</v>
      </c>
      <c r="X12237" t="s">
        <v>44921</v>
      </c>
    </row>
    <row r="12238" spans="1:24">
      <c r="A12238">
        <f>HYPERLINK("https://www.philgeps.gov.ph/GEPSNONPILOT/Tender/SplashBidNoticeAbstractUI.aspx?menuIndex=3&amp;refID=7057820&amp;Result=3","7057820")</f>
        <v>0</v>
      </c>
      <c r="B12238" t="s">
        <v>3202</v>
      </c>
      <c r="C12238" t="s">
        <v>15207</v>
      </c>
      <c r="D12238" t="s">
        <v>18120</v>
      </c>
      <c r="E12238" t="s">
        <v>28800</v>
      </c>
      <c r="F12238" t="s">
        <v>31362</v>
      </c>
      <c r="G12238" t="s">
        <v>31369</v>
      </c>
      <c r="H12238" t="s">
        <v>15799</v>
      </c>
      <c r="I12238" t="s">
        <v>31404</v>
      </c>
      <c r="J12238" t="s">
        <v>38968</v>
      </c>
      <c r="K12238" t="s">
        <v>40662</v>
      </c>
      <c r="M12238" t="s">
        <v>44472</v>
      </c>
      <c r="N12238" t="s">
        <v>44905</v>
      </c>
      <c r="O12238" t="s">
        <v>44906</v>
      </c>
      <c r="P12238">
        <v>0</v>
      </c>
      <c r="Q12238">
        <v>1</v>
      </c>
      <c r="R12238" t="s">
        <v>44918</v>
      </c>
      <c r="S12238" t="s">
        <v>45447</v>
      </c>
      <c r="T12238" t="s">
        <v>46392</v>
      </c>
      <c r="U12238" t="s">
        <v>56718</v>
      </c>
      <c r="W12238" t="s">
        <v>60963</v>
      </c>
      <c r="X12238" t="s">
        <v>44921</v>
      </c>
    </row>
    <row r="12239" spans="1:24">
      <c r="A12239">
        <f>HYPERLINK("https://www.philgeps.gov.ph/GEPSNONPILOT/Tender/SplashBidNoticeAbstractUI.aspx?menuIndex=3&amp;refID=7057723&amp;Result=3","7057723")</f>
        <v>0</v>
      </c>
      <c r="B12239" t="s">
        <v>3203</v>
      </c>
      <c r="C12239" t="s">
        <v>15208</v>
      </c>
      <c r="D12239" t="s">
        <v>18126</v>
      </c>
      <c r="E12239" t="s">
        <v>28801</v>
      </c>
      <c r="F12239" t="s">
        <v>31362</v>
      </c>
      <c r="G12239" t="s">
        <v>31369</v>
      </c>
      <c r="H12239" t="s">
        <v>31378</v>
      </c>
      <c r="I12239" t="s">
        <v>31384</v>
      </c>
      <c r="J12239" t="s">
        <v>31586</v>
      </c>
      <c r="K12239" t="s">
        <v>40665</v>
      </c>
      <c r="M12239" t="s">
        <v>44473</v>
      </c>
      <c r="N12239" t="s">
        <v>44905</v>
      </c>
      <c r="O12239" t="s">
        <v>44906</v>
      </c>
      <c r="P12239">
        <v>0</v>
      </c>
      <c r="Q12239">
        <v>4</v>
      </c>
      <c r="R12239" t="s">
        <v>44918</v>
      </c>
      <c r="S12239" t="s">
        <v>45447</v>
      </c>
      <c r="T12239" t="s">
        <v>46530</v>
      </c>
      <c r="U12239" t="s">
        <v>56719</v>
      </c>
      <c r="V12239" t="s">
        <v>60357</v>
      </c>
      <c r="W12239" t="s">
        <v>44473</v>
      </c>
      <c r="X12239" t="s">
        <v>44921</v>
      </c>
    </row>
    <row r="12240" spans="1:24">
      <c r="A12240">
        <f>HYPERLINK("https://www.philgeps.gov.ph/GEPSNONPILOT/Tender/SplashBidNoticeAbstractUI.aspx?menuIndex=3&amp;refID=7058153&amp;Result=3","7058153")</f>
        <v>0</v>
      </c>
      <c r="B12240" t="s">
        <v>2756</v>
      </c>
      <c r="C12240" t="s">
        <v>15209</v>
      </c>
      <c r="D12240" t="s">
        <v>18158</v>
      </c>
      <c r="E12240" t="s">
        <v>28802</v>
      </c>
      <c r="F12240" t="s">
        <v>31362</v>
      </c>
      <c r="G12240" t="s">
        <v>31369</v>
      </c>
      <c r="H12240" t="s">
        <v>15799</v>
      </c>
      <c r="I12240" t="s">
        <v>3815</v>
      </c>
      <c r="J12240" t="s">
        <v>38969</v>
      </c>
      <c r="K12240" t="s">
        <v>40666</v>
      </c>
      <c r="M12240" t="s">
        <v>43947</v>
      </c>
      <c r="N12240" t="s">
        <v>44905</v>
      </c>
      <c r="O12240" t="s">
        <v>44906</v>
      </c>
      <c r="P12240">
        <v>0</v>
      </c>
      <c r="Q12240">
        <v>0</v>
      </c>
      <c r="R12240" t="s">
        <v>44918</v>
      </c>
      <c r="S12240" t="s">
        <v>45447</v>
      </c>
      <c r="T12240" t="s">
        <v>46470</v>
      </c>
      <c r="U12240" t="s">
        <v>56720</v>
      </c>
      <c r="W12240" t="s">
        <v>43947</v>
      </c>
      <c r="X12240" t="s">
        <v>44920</v>
      </c>
    </row>
    <row r="12241" spans="1:24">
      <c r="A12241">
        <f>HYPERLINK("https://www.philgeps.gov.ph/GEPSNONPILOT/Tender/SplashBidNoticeAbstractUI.aspx?menuIndex=3&amp;refID=7057929&amp;Result=3","7057929")</f>
        <v>0</v>
      </c>
      <c r="B12241" t="s">
        <v>3204</v>
      </c>
      <c r="C12241" t="s">
        <v>15210</v>
      </c>
      <c r="D12241" t="s">
        <v>18148</v>
      </c>
      <c r="E12241" t="s">
        <v>28803</v>
      </c>
      <c r="F12241" t="s">
        <v>31362</v>
      </c>
      <c r="G12241" t="s">
        <v>31369</v>
      </c>
      <c r="H12241" t="s">
        <v>31378</v>
      </c>
      <c r="I12241" t="s">
        <v>31386</v>
      </c>
      <c r="J12241" t="s">
        <v>38970</v>
      </c>
      <c r="K12241" t="s">
        <v>40682</v>
      </c>
      <c r="M12241" t="s">
        <v>44474</v>
      </c>
      <c r="N12241" t="s">
        <v>44905</v>
      </c>
      <c r="O12241" t="s">
        <v>44906</v>
      </c>
      <c r="P12241">
        <v>0</v>
      </c>
      <c r="Q12241">
        <v>4</v>
      </c>
      <c r="R12241" t="s">
        <v>44918</v>
      </c>
      <c r="S12241" t="s">
        <v>45447</v>
      </c>
      <c r="T12241" t="s">
        <v>46649</v>
      </c>
      <c r="U12241" t="s">
        <v>56721</v>
      </c>
      <c r="V12241" t="s">
        <v>60358</v>
      </c>
      <c r="W12241" t="s">
        <v>44474</v>
      </c>
      <c r="X12241" t="s">
        <v>44921</v>
      </c>
    </row>
    <row r="12242" spans="1:24">
      <c r="A12242">
        <f>HYPERLINK("https://www.philgeps.gov.ph/GEPSNONPILOT/Tender/SplashBidNoticeAbstractUI.aspx?menuIndex=3&amp;refID=7057635&amp;Result=3","7057635")</f>
        <v>0</v>
      </c>
      <c r="B12242" t="s">
        <v>460</v>
      </c>
      <c r="C12242" t="s">
        <v>15211</v>
      </c>
      <c r="D12242" t="s">
        <v>18108</v>
      </c>
      <c r="E12242" t="s">
        <v>19224</v>
      </c>
      <c r="F12242" t="s">
        <v>31363</v>
      </c>
      <c r="G12242" t="s">
        <v>31369</v>
      </c>
      <c r="H12242" t="s">
        <v>15799</v>
      </c>
      <c r="I12242" t="s">
        <v>7090</v>
      </c>
      <c r="J12242" t="s">
        <v>38971</v>
      </c>
      <c r="K12242" t="s">
        <v>40665</v>
      </c>
      <c r="M12242" t="s">
        <v>41414</v>
      </c>
      <c r="N12242" t="s">
        <v>44905</v>
      </c>
      <c r="O12242" t="s">
        <v>44906</v>
      </c>
      <c r="P12242">
        <v>0</v>
      </c>
      <c r="Q12242">
        <v>1</v>
      </c>
      <c r="R12242" t="s">
        <v>44918</v>
      </c>
      <c r="S12242" t="s">
        <v>45447</v>
      </c>
      <c r="T12242" t="s">
        <v>46854</v>
      </c>
      <c r="U12242" t="s">
        <v>56722</v>
      </c>
      <c r="W12242" t="s">
        <v>41414</v>
      </c>
      <c r="X12242" t="s">
        <v>44921</v>
      </c>
    </row>
    <row r="12243" spans="1:24">
      <c r="A12243">
        <f>HYPERLINK("https://www.philgeps.gov.ph/GEPSNONPILOT/Tender/SplashBidNoticeAbstractUI.aspx?menuIndex=3&amp;refID=7057286&amp;Result=3","7057286")</f>
        <v>0</v>
      </c>
      <c r="B12243" t="s">
        <v>2005</v>
      </c>
      <c r="C12243" t="s">
        <v>15212</v>
      </c>
      <c r="D12243" t="s">
        <v>18118</v>
      </c>
      <c r="E12243" t="s">
        <v>26539</v>
      </c>
      <c r="F12243" t="s">
        <v>31362</v>
      </c>
      <c r="G12243" t="s">
        <v>31369</v>
      </c>
      <c r="H12243" t="s">
        <v>31378</v>
      </c>
      <c r="I12243" t="s">
        <v>31386</v>
      </c>
      <c r="J12243" t="s">
        <v>38972</v>
      </c>
      <c r="K12243" t="s">
        <v>40910</v>
      </c>
      <c r="M12243" t="s">
        <v>43116</v>
      </c>
      <c r="N12243" t="s">
        <v>44905</v>
      </c>
      <c r="O12243" t="s">
        <v>44906</v>
      </c>
      <c r="P12243">
        <v>0</v>
      </c>
      <c r="Q12243">
        <v>6</v>
      </c>
      <c r="R12243" t="s">
        <v>44918</v>
      </c>
      <c r="S12243" t="s">
        <v>45447</v>
      </c>
      <c r="T12243" t="s">
        <v>46511</v>
      </c>
      <c r="U12243" t="s">
        <v>56683</v>
      </c>
      <c r="W12243" t="s">
        <v>43116</v>
      </c>
      <c r="X12243" t="s">
        <v>44921</v>
      </c>
    </row>
    <row r="12244" spans="1:24">
      <c r="A12244">
        <f>HYPERLINK("https://www.philgeps.gov.ph/GEPSNONPILOT/Tender/SplashBidNoticeAbstractUI.aspx?menuIndex=3&amp;refID=7057602&amp;Result=3","7057602")</f>
        <v>0</v>
      </c>
      <c r="B12244" t="s">
        <v>460</v>
      </c>
      <c r="C12244" t="s">
        <v>15213</v>
      </c>
      <c r="D12244" t="s">
        <v>18108</v>
      </c>
      <c r="E12244" t="s">
        <v>20328</v>
      </c>
      <c r="F12244" t="s">
        <v>31363</v>
      </c>
      <c r="G12244" t="s">
        <v>31369</v>
      </c>
      <c r="H12244" t="s">
        <v>15799</v>
      </c>
      <c r="I12244" t="s">
        <v>31398</v>
      </c>
      <c r="J12244" t="s">
        <v>31542</v>
      </c>
      <c r="K12244" t="s">
        <v>40665</v>
      </c>
      <c r="M12244" t="s">
        <v>41414</v>
      </c>
      <c r="N12244" t="s">
        <v>44905</v>
      </c>
      <c r="O12244" t="s">
        <v>44906</v>
      </c>
      <c r="P12244">
        <v>0</v>
      </c>
      <c r="Q12244">
        <v>5</v>
      </c>
      <c r="R12244" t="s">
        <v>44918</v>
      </c>
      <c r="S12244" t="s">
        <v>45447</v>
      </c>
      <c r="T12244" t="s">
        <v>46854</v>
      </c>
      <c r="U12244" t="s">
        <v>56723</v>
      </c>
      <c r="W12244" t="s">
        <v>41414</v>
      </c>
      <c r="X12244" t="s">
        <v>44921</v>
      </c>
    </row>
    <row r="12245" spans="1:24">
      <c r="A12245">
        <f>HYPERLINK("https://www.philgeps.gov.ph/GEPSNONPILOT/Tender/SplashBidNoticeAbstractUI.aspx?menuIndex=3&amp;refID=7057576&amp;Result=3","7057576")</f>
        <v>0</v>
      </c>
      <c r="B12245" t="s">
        <v>3185</v>
      </c>
      <c r="C12245" t="s">
        <v>15214</v>
      </c>
      <c r="D12245" t="s">
        <v>18134</v>
      </c>
      <c r="E12245" t="s">
        <v>28804</v>
      </c>
      <c r="F12245" t="s">
        <v>31362</v>
      </c>
      <c r="G12245" t="s">
        <v>31369</v>
      </c>
      <c r="H12245" t="s">
        <v>15799</v>
      </c>
      <c r="I12245" t="s">
        <v>31388</v>
      </c>
      <c r="J12245" t="s">
        <v>38973</v>
      </c>
      <c r="K12245" t="s">
        <v>40699</v>
      </c>
      <c r="M12245" t="s">
        <v>44455</v>
      </c>
      <c r="N12245" t="s">
        <v>44905</v>
      </c>
      <c r="O12245" t="s">
        <v>44906</v>
      </c>
      <c r="Q12245">
        <v>0</v>
      </c>
      <c r="R12245" t="s">
        <v>44918</v>
      </c>
      <c r="S12245" t="s">
        <v>45474</v>
      </c>
      <c r="T12245" t="s">
        <v>46810</v>
      </c>
      <c r="U12245" t="s">
        <v>56724</v>
      </c>
      <c r="W12245" t="s">
        <v>44455</v>
      </c>
      <c r="X12245" t="s">
        <v>44921</v>
      </c>
    </row>
    <row r="12246" spans="1:24">
      <c r="A12246">
        <f>HYPERLINK("https://www.philgeps.gov.ph/GEPSNONPILOT/Tender/SplashBidNoticeAbstractUI.aspx?menuIndex=3&amp;refID=7057868&amp;Result=3","7057868")</f>
        <v>0</v>
      </c>
      <c r="B12246" t="s">
        <v>3205</v>
      </c>
      <c r="C12246" t="s">
        <v>15215</v>
      </c>
      <c r="D12246" t="s">
        <v>18134</v>
      </c>
      <c r="E12246" t="s">
        <v>28805</v>
      </c>
      <c r="F12246" t="s">
        <v>31362</v>
      </c>
      <c r="G12246" t="s">
        <v>31369</v>
      </c>
      <c r="H12246" t="s">
        <v>31378</v>
      </c>
      <c r="I12246" t="s">
        <v>31386</v>
      </c>
      <c r="J12246" t="s">
        <v>38974</v>
      </c>
      <c r="K12246" t="s">
        <v>40670</v>
      </c>
      <c r="M12246" t="s">
        <v>44475</v>
      </c>
      <c r="N12246" t="s">
        <v>44905</v>
      </c>
      <c r="O12246" t="s">
        <v>44906</v>
      </c>
      <c r="P12246">
        <v>0</v>
      </c>
      <c r="Q12246">
        <v>0</v>
      </c>
      <c r="R12246" t="s">
        <v>44918</v>
      </c>
      <c r="S12246" t="s">
        <v>45447</v>
      </c>
      <c r="T12246" t="s">
        <v>46411</v>
      </c>
      <c r="U12246" t="s">
        <v>56725</v>
      </c>
      <c r="W12246" t="s">
        <v>44475</v>
      </c>
      <c r="X12246" t="s">
        <v>44921</v>
      </c>
    </row>
    <row r="12247" spans="1:24">
      <c r="A12247">
        <f>HYPERLINK("https://www.philgeps.gov.ph/GEPSNONPILOT/Tender/SplashBidNoticeAbstractUI.aspx?menuIndex=3&amp;refID=7058551&amp;Result=3","7058551")</f>
        <v>0</v>
      </c>
      <c r="B12247" t="s">
        <v>3206</v>
      </c>
      <c r="C12247" t="s">
        <v>15216</v>
      </c>
      <c r="D12247" t="s">
        <v>18129</v>
      </c>
      <c r="E12247" t="s">
        <v>21946</v>
      </c>
      <c r="F12247" t="s">
        <v>31362</v>
      </c>
      <c r="G12247" t="s">
        <v>31369</v>
      </c>
      <c r="H12247" t="s">
        <v>31378</v>
      </c>
      <c r="I12247" t="s">
        <v>31386</v>
      </c>
      <c r="J12247" t="s">
        <v>31591</v>
      </c>
      <c r="K12247" t="s">
        <v>40665</v>
      </c>
      <c r="M12247" t="s">
        <v>44476</v>
      </c>
      <c r="N12247" t="s">
        <v>44905</v>
      </c>
      <c r="O12247" t="s">
        <v>44906</v>
      </c>
      <c r="P12247">
        <v>0</v>
      </c>
      <c r="Q12247">
        <v>0</v>
      </c>
      <c r="R12247" t="s">
        <v>44918</v>
      </c>
      <c r="S12247" t="s">
        <v>45447</v>
      </c>
      <c r="T12247" t="s">
        <v>46481</v>
      </c>
      <c r="U12247" t="s">
        <v>56726</v>
      </c>
      <c r="W12247" t="s">
        <v>44476</v>
      </c>
      <c r="X12247" t="s">
        <v>44919</v>
      </c>
    </row>
    <row r="12248" spans="1:24">
      <c r="A12248">
        <f>HYPERLINK("https://www.philgeps.gov.ph/GEPSNONPILOT/Tender/SplashBidNoticeAbstractUI.aspx?menuIndex=3&amp;refID=7057462&amp;Result=3","7057462")</f>
        <v>0</v>
      </c>
      <c r="B12248" t="s">
        <v>3200</v>
      </c>
      <c r="C12248" t="s">
        <v>15217</v>
      </c>
      <c r="D12248" t="s">
        <v>18124</v>
      </c>
      <c r="E12248" t="s">
        <v>28806</v>
      </c>
      <c r="F12248" t="s">
        <v>31362</v>
      </c>
      <c r="G12248" t="s">
        <v>31369</v>
      </c>
      <c r="H12248" t="s">
        <v>31378</v>
      </c>
      <c r="I12248" t="s">
        <v>31386</v>
      </c>
      <c r="J12248" t="s">
        <v>38958</v>
      </c>
      <c r="K12248" t="s">
        <v>40746</v>
      </c>
      <c r="M12248" t="s">
        <v>44470</v>
      </c>
      <c r="N12248" t="s">
        <v>44905</v>
      </c>
      <c r="O12248" t="s">
        <v>44906</v>
      </c>
      <c r="P12248">
        <v>0</v>
      </c>
      <c r="Q12248">
        <v>63</v>
      </c>
      <c r="R12248" t="s">
        <v>44918</v>
      </c>
      <c r="S12248" t="s">
        <v>45447</v>
      </c>
      <c r="T12248" t="s">
        <v>46538</v>
      </c>
      <c r="U12248" t="s">
        <v>56727</v>
      </c>
      <c r="W12248" t="s">
        <v>44470</v>
      </c>
      <c r="X12248" t="s">
        <v>44921</v>
      </c>
    </row>
    <row r="12249" spans="1:24">
      <c r="A12249">
        <f>HYPERLINK("https://www.philgeps.gov.ph/GEPSNONPILOT/Tender/SplashBidNoticeAbstractUI.aspx?menuIndex=3&amp;refID=7057662&amp;Result=3","7057662")</f>
        <v>0</v>
      </c>
      <c r="B12249" t="s">
        <v>3207</v>
      </c>
      <c r="C12249" t="s">
        <v>15218</v>
      </c>
      <c r="D12249" t="s">
        <v>18167</v>
      </c>
      <c r="E12249" t="s">
        <v>28807</v>
      </c>
      <c r="F12249" t="s">
        <v>31362</v>
      </c>
      <c r="G12249" t="s">
        <v>31369</v>
      </c>
      <c r="H12249" t="s">
        <v>15799</v>
      </c>
      <c r="I12249" t="s">
        <v>31409</v>
      </c>
      <c r="J12249" t="s">
        <v>38975</v>
      </c>
      <c r="K12249" t="s">
        <v>40679</v>
      </c>
      <c r="M12249" t="s">
        <v>44477</v>
      </c>
      <c r="N12249" t="s">
        <v>44905</v>
      </c>
      <c r="O12249" t="s">
        <v>44906</v>
      </c>
      <c r="P12249">
        <v>0</v>
      </c>
      <c r="Q12249">
        <v>16</v>
      </c>
      <c r="R12249" t="s">
        <v>44918</v>
      </c>
      <c r="S12249" t="s">
        <v>45447</v>
      </c>
      <c r="T12249" t="s">
        <v>46547</v>
      </c>
      <c r="U12249" t="s">
        <v>56728</v>
      </c>
      <c r="W12249" t="s">
        <v>44477</v>
      </c>
      <c r="X12249" t="s">
        <v>44921</v>
      </c>
    </row>
    <row r="12250" spans="1:24">
      <c r="A12250">
        <f>HYPERLINK("https://www.philgeps.gov.ph/GEPSNONPILOT/Tender/SplashBidNoticeAbstractUI.aspx?menuIndex=3&amp;refID=7058536&amp;Result=3","7058536")</f>
        <v>0</v>
      </c>
      <c r="B12250" t="s">
        <v>572</v>
      </c>
      <c r="C12250" t="s">
        <v>15219</v>
      </c>
      <c r="D12250" t="s">
        <v>18108</v>
      </c>
      <c r="E12250" t="s">
        <v>28808</v>
      </c>
      <c r="F12250" t="s">
        <v>31362</v>
      </c>
      <c r="G12250" t="s">
        <v>31369</v>
      </c>
      <c r="H12250" t="s">
        <v>15799</v>
      </c>
      <c r="I12250" t="s">
        <v>31422</v>
      </c>
      <c r="J12250" t="s">
        <v>38976</v>
      </c>
      <c r="K12250" t="s">
        <v>40675</v>
      </c>
      <c r="M12250" t="s">
        <v>44478</v>
      </c>
      <c r="N12250" t="s">
        <v>44905</v>
      </c>
      <c r="O12250" t="s">
        <v>44906</v>
      </c>
      <c r="P12250">
        <v>0</v>
      </c>
      <c r="Q12250">
        <v>17</v>
      </c>
      <c r="R12250" t="s">
        <v>44918</v>
      </c>
      <c r="S12250" t="s">
        <v>45447</v>
      </c>
      <c r="T12250" t="s">
        <v>46598</v>
      </c>
      <c r="U12250" t="s">
        <v>56729</v>
      </c>
      <c r="W12250" t="s">
        <v>44478</v>
      </c>
      <c r="X12250" t="s">
        <v>44919</v>
      </c>
    </row>
    <row r="12251" spans="1:24">
      <c r="A12251">
        <f>HYPERLINK("https://www.philgeps.gov.ph/GEPSNONPILOT/Tender/SplashBidNoticeAbstractUI.aspx?menuIndex=3&amp;refID=7058524&amp;Result=3","7058524")</f>
        <v>0</v>
      </c>
      <c r="B12251" t="s">
        <v>3208</v>
      </c>
      <c r="C12251" t="s">
        <v>15220</v>
      </c>
      <c r="E12251" t="s">
        <v>28809</v>
      </c>
      <c r="F12251" t="s">
        <v>31362</v>
      </c>
      <c r="G12251" t="s">
        <v>31369</v>
      </c>
      <c r="H12251" t="s">
        <v>15799</v>
      </c>
      <c r="I12251" t="s">
        <v>31380</v>
      </c>
      <c r="J12251" t="s">
        <v>38977</v>
      </c>
      <c r="K12251" t="s">
        <v>40662</v>
      </c>
      <c r="M12251" t="s">
        <v>44479</v>
      </c>
      <c r="N12251" t="s">
        <v>44905</v>
      </c>
      <c r="O12251" t="s">
        <v>44906</v>
      </c>
      <c r="Q12251">
        <v>28</v>
      </c>
      <c r="R12251" t="s">
        <v>44918</v>
      </c>
      <c r="S12251" t="s">
        <v>45181</v>
      </c>
      <c r="T12251" t="s">
        <v>46481</v>
      </c>
      <c r="U12251" t="s">
        <v>56730</v>
      </c>
      <c r="W12251" t="s">
        <v>44479</v>
      </c>
      <c r="X12251" t="s">
        <v>44919</v>
      </c>
    </row>
    <row r="12252" spans="1:24">
      <c r="A12252">
        <f>HYPERLINK("https://www.philgeps.gov.ph/GEPSNONPILOT/Tender/SplashBidNoticeAbstractUI.aspx?menuIndex=3&amp;refID=7057766&amp;Result=3","7057766")</f>
        <v>0</v>
      </c>
      <c r="B12252" t="s">
        <v>899</v>
      </c>
      <c r="C12252" t="s">
        <v>15221</v>
      </c>
      <c r="E12252" t="s">
        <v>28810</v>
      </c>
      <c r="F12252" t="s">
        <v>31362</v>
      </c>
      <c r="G12252" t="s">
        <v>31369</v>
      </c>
      <c r="H12252" t="s">
        <v>15799</v>
      </c>
      <c r="I12252" t="s">
        <v>31393</v>
      </c>
      <c r="J12252" t="s">
        <v>38978</v>
      </c>
      <c r="K12252" t="s">
        <v>40662</v>
      </c>
      <c r="M12252" t="s">
        <v>41879</v>
      </c>
      <c r="N12252" t="s">
        <v>44905</v>
      </c>
      <c r="O12252" t="s">
        <v>44906</v>
      </c>
      <c r="Q12252">
        <v>29</v>
      </c>
      <c r="R12252" t="s">
        <v>44918</v>
      </c>
      <c r="S12252" t="s">
        <v>45475</v>
      </c>
      <c r="T12252" t="s">
        <v>46697</v>
      </c>
      <c r="U12252" t="s">
        <v>49008</v>
      </c>
      <c r="W12252" t="s">
        <v>41879</v>
      </c>
      <c r="X12252" t="s">
        <v>44921</v>
      </c>
    </row>
    <row r="12253" spans="1:24">
      <c r="A12253">
        <f>HYPERLINK("https://www.philgeps.gov.ph/GEPSNONPILOT/Tender/SplashBidNoticeAbstractUI.aspx?menuIndex=3&amp;refID=7058552&amp;Result=3","7058552")</f>
        <v>0</v>
      </c>
      <c r="B12253" t="s">
        <v>3206</v>
      </c>
      <c r="C12253" t="s">
        <v>15222</v>
      </c>
      <c r="D12253" t="s">
        <v>18129</v>
      </c>
      <c r="E12253" t="s">
        <v>18232</v>
      </c>
      <c r="F12253" t="s">
        <v>31362</v>
      </c>
      <c r="G12253" t="s">
        <v>31369</v>
      </c>
      <c r="H12253" t="s">
        <v>31378</v>
      </c>
      <c r="I12253" t="s">
        <v>31386</v>
      </c>
      <c r="J12253" t="s">
        <v>31606</v>
      </c>
      <c r="K12253" t="s">
        <v>40679</v>
      </c>
      <c r="M12253" t="s">
        <v>44476</v>
      </c>
      <c r="N12253" t="s">
        <v>44905</v>
      </c>
      <c r="O12253" t="s">
        <v>44906</v>
      </c>
      <c r="P12253">
        <v>0</v>
      </c>
      <c r="Q12253">
        <v>0</v>
      </c>
      <c r="R12253" t="s">
        <v>44918</v>
      </c>
      <c r="S12253" t="s">
        <v>45447</v>
      </c>
      <c r="T12253" t="s">
        <v>46481</v>
      </c>
      <c r="U12253" t="s">
        <v>56726</v>
      </c>
      <c r="W12253" t="s">
        <v>44476</v>
      </c>
      <c r="X12253" t="s">
        <v>44919</v>
      </c>
    </row>
    <row r="12254" spans="1:24">
      <c r="A12254">
        <f>HYPERLINK("https://www.philgeps.gov.ph/GEPSNONPILOT/Tender/SplashBidNoticeAbstractUI.aspx?menuIndex=3&amp;refID=7058519&amp;Result=3","7058519")</f>
        <v>0</v>
      </c>
      <c r="B12254" t="s">
        <v>155</v>
      </c>
      <c r="C12254" t="s">
        <v>15223</v>
      </c>
      <c r="D12254" t="s">
        <v>18110</v>
      </c>
      <c r="E12254" t="s">
        <v>28811</v>
      </c>
      <c r="F12254" t="s">
        <v>31362</v>
      </c>
      <c r="G12254" t="s">
        <v>31369</v>
      </c>
      <c r="H12254" t="s">
        <v>31378</v>
      </c>
      <c r="I12254" t="s">
        <v>31386</v>
      </c>
      <c r="J12254" t="s">
        <v>31641</v>
      </c>
      <c r="K12254" t="s">
        <v>40679</v>
      </c>
      <c r="M12254" t="s">
        <v>44480</v>
      </c>
      <c r="N12254" t="s">
        <v>44905</v>
      </c>
      <c r="O12254" t="s">
        <v>44906</v>
      </c>
      <c r="P12254">
        <v>0</v>
      </c>
      <c r="Q12254">
        <v>6</v>
      </c>
      <c r="R12254" t="s">
        <v>44918</v>
      </c>
      <c r="S12254" t="s">
        <v>45447</v>
      </c>
      <c r="T12254" t="s">
        <v>46596</v>
      </c>
      <c r="U12254" t="s">
        <v>56731</v>
      </c>
      <c r="W12254" t="s">
        <v>44480</v>
      </c>
      <c r="X12254" t="s">
        <v>44919</v>
      </c>
    </row>
    <row r="12255" spans="1:24">
      <c r="A12255">
        <f>HYPERLINK("https://www.philgeps.gov.ph/GEPSNONPILOT/Tender/SplashBidNoticeAbstractUI.aspx?menuIndex=3&amp;refID=7058402&amp;Result=3","7058402")</f>
        <v>0</v>
      </c>
      <c r="B12255" t="s">
        <v>1410</v>
      </c>
      <c r="C12255" t="s">
        <v>15224</v>
      </c>
      <c r="D12255" t="s">
        <v>18108</v>
      </c>
      <c r="E12255" t="s">
        <v>28812</v>
      </c>
      <c r="F12255" t="s">
        <v>31362</v>
      </c>
      <c r="G12255" t="s">
        <v>31369</v>
      </c>
      <c r="H12255" t="s">
        <v>31379</v>
      </c>
      <c r="I12255" t="s">
        <v>31393</v>
      </c>
      <c r="J12255" t="s">
        <v>38979</v>
      </c>
      <c r="K12255" t="s">
        <v>40739</v>
      </c>
      <c r="M12255" t="s">
        <v>43761</v>
      </c>
      <c r="N12255" t="s">
        <v>44905</v>
      </c>
      <c r="O12255" t="s">
        <v>44906</v>
      </c>
      <c r="P12255">
        <v>0</v>
      </c>
      <c r="Q12255">
        <v>14</v>
      </c>
      <c r="R12255" t="s">
        <v>44918</v>
      </c>
      <c r="S12255" t="s">
        <v>45447</v>
      </c>
      <c r="T12255" t="s">
        <v>46530</v>
      </c>
      <c r="U12255" t="s">
        <v>56732</v>
      </c>
      <c r="W12255" t="s">
        <v>43761</v>
      </c>
      <c r="X12255" t="s">
        <v>44920</v>
      </c>
    </row>
    <row r="12256" spans="1:24">
      <c r="A12256">
        <f>HYPERLINK("https://www.philgeps.gov.ph/GEPSNONPILOT/Tender/SplashBidNoticeAbstractUI.aspx?menuIndex=3&amp;refID=7058415&amp;Result=3","7058415")</f>
        <v>0</v>
      </c>
      <c r="B12256" t="s">
        <v>366</v>
      </c>
      <c r="C12256" t="s">
        <v>15225</v>
      </c>
      <c r="D12256" t="s">
        <v>18100</v>
      </c>
      <c r="E12256" t="s">
        <v>28813</v>
      </c>
      <c r="F12256" t="s">
        <v>31362</v>
      </c>
      <c r="G12256" t="s">
        <v>31368</v>
      </c>
      <c r="H12256" t="s">
        <v>15799</v>
      </c>
      <c r="I12256" t="s">
        <v>31418</v>
      </c>
      <c r="J12256" t="s">
        <v>38980</v>
      </c>
      <c r="K12256" t="s">
        <v>40693</v>
      </c>
      <c r="M12256" t="s">
        <v>41313</v>
      </c>
      <c r="N12256" t="s">
        <v>44905</v>
      </c>
      <c r="O12256" t="s">
        <v>44906</v>
      </c>
      <c r="P12256">
        <v>0</v>
      </c>
      <c r="Q12256">
        <v>0</v>
      </c>
      <c r="R12256" t="s">
        <v>44918</v>
      </c>
      <c r="S12256" t="s">
        <v>45447</v>
      </c>
      <c r="T12256" t="s">
        <v>46408</v>
      </c>
      <c r="U12256" t="s">
        <v>56733</v>
      </c>
      <c r="W12256" t="s">
        <v>41313</v>
      </c>
      <c r="X12256" t="s">
        <v>44920</v>
      </c>
    </row>
    <row r="12257" spans="1:24">
      <c r="A12257">
        <f>HYPERLINK("https://www.philgeps.gov.ph/GEPSNONPILOT/Tender/SplashBidNoticeAbstractUI.aspx?menuIndex=3&amp;refID=7057632&amp;Result=3","7057632")</f>
        <v>0</v>
      </c>
      <c r="B12257" t="s">
        <v>262</v>
      </c>
      <c r="C12257" t="s">
        <v>15226</v>
      </c>
      <c r="D12257" t="s">
        <v>18127</v>
      </c>
      <c r="E12257" t="s">
        <v>28814</v>
      </c>
      <c r="F12257" t="s">
        <v>31362</v>
      </c>
      <c r="G12257" t="s">
        <v>31369</v>
      </c>
      <c r="H12257" t="s">
        <v>31379</v>
      </c>
      <c r="I12257" t="s">
        <v>31436</v>
      </c>
      <c r="J12257" t="s">
        <v>38981</v>
      </c>
      <c r="K12257" t="s">
        <v>40669</v>
      </c>
      <c r="M12257" t="s">
        <v>42051</v>
      </c>
      <c r="N12257" t="s">
        <v>44905</v>
      </c>
      <c r="O12257" t="s">
        <v>44906</v>
      </c>
      <c r="P12257">
        <v>0</v>
      </c>
      <c r="Q12257">
        <v>5</v>
      </c>
      <c r="R12257" t="s">
        <v>44918</v>
      </c>
      <c r="S12257" t="s">
        <v>45447</v>
      </c>
      <c r="T12257" t="s">
        <v>46636</v>
      </c>
      <c r="U12257" t="s">
        <v>56734</v>
      </c>
      <c r="W12257" t="s">
        <v>42051</v>
      </c>
      <c r="X12257" t="s">
        <v>44921</v>
      </c>
    </row>
    <row r="12258" spans="1:24">
      <c r="A12258">
        <f>HYPERLINK("https://www.philgeps.gov.ph/GEPSNONPILOT/Tender/SplashBidNoticeAbstractUI.aspx?menuIndex=3&amp;refID=7058523&amp;Result=3","7058523")</f>
        <v>0</v>
      </c>
      <c r="B12258" t="s">
        <v>2158</v>
      </c>
      <c r="C12258" t="s">
        <v>15227</v>
      </c>
      <c r="D12258" t="s">
        <v>18107</v>
      </c>
      <c r="E12258" t="s">
        <v>21896</v>
      </c>
      <c r="F12258" t="s">
        <v>31362</v>
      </c>
      <c r="G12258" t="s">
        <v>31369</v>
      </c>
      <c r="H12258" t="s">
        <v>31377</v>
      </c>
      <c r="I12258" t="s">
        <v>31377</v>
      </c>
      <c r="J12258" t="s">
        <v>31625</v>
      </c>
      <c r="K12258" t="s">
        <v>40679</v>
      </c>
      <c r="M12258" t="s">
        <v>43288</v>
      </c>
      <c r="N12258" t="s">
        <v>44905</v>
      </c>
      <c r="O12258" t="s">
        <v>44906</v>
      </c>
      <c r="P12258">
        <v>0</v>
      </c>
      <c r="Q12258">
        <v>2</v>
      </c>
      <c r="R12258" t="s">
        <v>44918</v>
      </c>
      <c r="S12258" t="s">
        <v>45447</v>
      </c>
      <c r="T12258" t="s">
        <v>46591</v>
      </c>
      <c r="U12258" t="s">
        <v>56735</v>
      </c>
      <c r="W12258" t="s">
        <v>43288</v>
      </c>
      <c r="X12258" t="s">
        <v>44919</v>
      </c>
    </row>
    <row r="12259" spans="1:24">
      <c r="A12259">
        <f>HYPERLINK("https://www.philgeps.gov.ph/GEPSNONPILOT/Tender/SplashBidNoticeAbstractUI.aspx?menuIndex=3&amp;refID=7058674&amp;Result=3","7058674")</f>
        <v>0</v>
      </c>
      <c r="B12259" t="s">
        <v>183</v>
      </c>
      <c r="C12259" t="s">
        <v>15228</v>
      </c>
      <c r="D12259" t="s">
        <v>18129</v>
      </c>
      <c r="E12259" t="s">
        <v>28815</v>
      </c>
      <c r="F12259" t="s">
        <v>31362</v>
      </c>
      <c r="G12259" t="s">
        <v>31369</v>
      </c>
      <c r="H12259" t="s">
        <v>15799</v>
      </c>
      <c r="I12259" t="s">
        <v>31381</v>
      </c>
      <c r="J12259" t="s">
        <v>34497</v>
      </c>
      <c r="K12259" t="s">
        <v>40661</v>
      </c>
      <c r="L12259" t="s">
        <v>183</v>
      </c>
      <c r="M12259" t="s">
        <v>41121</v>
      </c>
      <c r="N12259" t="s">
        <v>44905</v>
      </c>
      <c r="O12259" t="s">
        <v>44906</v>
      </c>
      <c r="P12259">
        <v>0</v>
      </c>
      <c r="Q12259">
        <v>1</v>
      </c>
      <c r="R12259" t="s">
        <v>44918</v>
      </c>
      <c r="S12259" t="s">
        <v>45447</v>
      </c>
      <c r="T12259" t="s">
        <v>46396</v>
      </c>
      <c r="U12259" t="s">
        <v>56736</v>
      </c>
      <c r="W12259" t="s">
        <v>41121</v>
      </c>
      <c r="X12259" t="s">
        <v>44919</v>
      </c>
    </row>
    <row r="12260" spans="1:24">
      <c r="A12260">
        <f>HYPERLINK("https://www.philgeps.gov.ph/GEPSNONPILOT/Tender/SplashBidNoticeAbstractUI.aspx?menuIndex=3&amp;refID=7058527&amp;Result=3","7058527")</f>
        <v>0</v>
      </c>
      <c r="B12260" t="s">
        <v>3209</v>
      </c>
      <c r="C12260" t="s">
        <v>15229</v>
      </c>
      <c r="D12260" t="s">
        <v>18114</v>
      </c>
      <c r="E12260" t="s">
        <v>18476</v>
      </c>
      <c r="F12260" t="s">
        <v>31362</v>
      </c>
      <c r="G12260" t="s">
        <v>31369</v>
      </c>
      <c r="H12260" t="s">
        <v>15799</v>
      </c>
      <c r="I12260" t="s">
        <v>31440</v>
      </c>
      <c r="J12260" t="s">
        <v>38982</v>
      </c>
      <c r="K12260" t="s">
        <v>40665</v>
      </c>
      <c r="M12260" t="s">
        <v>44481</v>
      </c>
      <c r="N12260" t="s">
        <v>44905</v>
      </c>
      <c r="O12260" t="s">
        <v>44906</v>
      </c>
      <c r="P12260">
        <v>0</v>
      </c>
      <c r="Q12260">
        <v>12</v>
      </c>
      <c r="R12260" t="s">
        <v>44918</v>
      </c>
      <c r="S12260" t="s">
        <v>45447</v>
      </c>
      <c r="T12260" t="s">
        <v>46538</v>
      </c>
      <c r="U12260" t="s">
        <v>56737</v>
      </c>
      <c r="W12260" t="s">
        <v>44481</v>
      </c>
      <c r="X12260" t="s">
        <v>44919</v>
      </c>
    </row>
    <row r="12261" spans="1:24">
      <c r="A12261">
        <f>HYPERLINK("https://www.philgeps.gov.ph/GEPSNONPILOT/Tender/SplashBidNoticeAbstractUI.aspx?menuIndex=3&amp;refID=7058714&amp;Result=3","7058714")</f>
        <v>0</v>
      </c>
      <c r="B12261" t="s">
        <v>3114</v>
      </c>
      <c r="C12261" t="s">
        <v>15230</v>
      </c>
      <c r="D12261" t="s">
        <v>18136</v>
      </c>
      <c r="E12261" t="s">
        <v>28816</v>
      </c>
      <c r="F12261" t="s">
        <v>31362</v>
      </c>
      <c r="G12261" t="s">
        <v>31369</v>
      </c>
      <c r="H12261" t="s">
        <v>15799</v>
      </c>
      <c r="I12261" t="s">
        <v>31427</v>
      </c>
      <c r="J12261" t="s">
        <v>38983</v>
      </c>
      <c r="K12261" t="s">
        <v>40670</v>
      </c>
      <c r="M12261" t="s">
        <v>44366</v>
      </c>
      <c r="N12261" t="s">
        <v>44905</v>
      </c>
      <c r="O12261" t="s">
        <v>44906</v>
      </c>
      <c r="P12261">
        <v>0</v>
      </c>
      <c r="Q12261">
        <v>5</v>
      </c>
      <c r="R12261" t="s">
        <v>44918</v>
      </c>
      <c r="S12261" t="s">
        <v>45447</v>
      </c>
      <c r="T12261" t="s">
        <v>46410</v>
      </c>
      <c r="U12261" t="s">
        <v>56738</v>
      </c>
      <c r="W12261" t="s">
        <v>44366</v>
      </c>
      <c r="X12261" t="s">
        <v>44919</v>
      </c>
    </row>
    <row r="12262" spans="1:24">
      <c r="A12262">
        <f>HYPERLINK("https://www.philgeps.gov.ph/GEPSNONPILOT/Tender/SplashBidNoticeAbstractUI.aspx?menuIndex=3&amp;refID=7058480&amp;Result=3","7058480")</f>
        <v>0</v>
      </c>
      <c r="B12262" t="s">
        <v>572</v>
      </c>
      <c r="C12262" t="s">
        <v>15231</v>
      </c>
      <c r="D12262" t="s">
        <v>18108</v>
      </c>
      <c r="E12262" t="s">
        <v>28817</v>
      </c>
      <c r="F12262" t="s">
        <v>31362</v>
      </c>
      <c r="G12262" t="s">
        <v>31369</v>
      </c>
      <c r="H12262" t="s">
        <v>15799</v>
      </c>
      <c r="I12262" t="s">
        <v>3815</v>
      </c>
      <c r="J12262" t="s">
        <v>31709</v>
      </c>
      <c r="K12262" t="s">
        <v>40675</v>
      </c>
      <c r="M12262" t="s">
        <v>44482</v>
      </c>
      <c r="N12262" t="s">
        <v>44905</v>
      </c>
      <c r="O12262" t="s">
        <v>44906</v>
      </c>
      <c r="P12262">
        <v>0</v>
      </c>
      <c r="Q12262">
        <v>9</v>
      </c>
      <c r="R12262" t="s">
        <v>44918</v>
      </c>
      <c r="S12262" t="s">
        <v>45447</v>
      </c>
      <c r="T12262" t="s">
        <v>46598</v>
      </c>
      <c r="U12262" t="s">
        <v>56739</v>
      </c>
      <c r="W12262" t="s">
        <v>44482</v>
      </c>
      <c r="X12262" t="s">
        <v>44920</v>
      </c>
    </row>
    <row r="12263" spans="1:24">
      <c r="A12263">
        <f>HYPERLINK("https://www.philgeps.gov.ph/GEPSNONPILOT/Tender/SplashBidNoticeAbstractUI.aspx?menuIndex=3&amp;refID=7058549&amp;Result=3","7058549")</f>
        <v>0</v>
      </c>
      <c r="B12263" t="s">
        <v>3210</v>
      </c>
      <c r="C12263" t="s">
        <v>15232</v>
      </c>
      <c r="D12263" t="s">
        <v>18134</v>
      </c>
      <c r="E12263" t="s">
        <v>28818</v>
      </c>
      <c r="F12263" t="s">
        <v>31362</v>
      </c>
      <c r="G12263" t="s">
        <v>31369</v>
      </c>
      <c r="H12263" t="s">
        <v>31378</v>
      </c>
      <c r="I12263" t="s">
        <v>31386</v>
      </c>
      <c r="J12263" t="s">
        <v>38984</v>
      </c>
      <c r="K12263" t="s">
        <v>40792</v>
      </c>
      <c r="M12263" t="s">
        <v>44483</v>
      </c>
      <c r="N12263" t="s">
        <v>44905</v>
      </c>
      <c r="O12263" t="s">
        <v>44906</v>
      </c>
      <c r="P12263">
        <v>0</v>
      </c>
      <c r="Q12263">
        <v>2</v>
      </c>
      <c r="R12263" t="s">
        <v>44918</v>
      </c>
      <c r="S12263" t="s">
        <v>45447</v>
      </c>
      <c r="T12263" t="s">
        <v>46538</v>
      </c>
      <c r="U12263" t="s">
        <v>56740</v>
      </c>
      <c r="W12263" t="s">
        <v>44483</v>
      </c>
      <c r="X12263" t="s">
        <v>44919</v>
      </c>
    </row>
    <row r="12264" spans="1:24">
      <c r="A12264">
        <f>HYPERLINK("https://www.philgeps.gov.ph/GEPSNONPILOT/Tender/SplashBidNoticeAbstractUI.aspx?menuIndex=3&amp;refID=7058712&amp;Result=3","7058712")</f>
        <v>0</v>
      </c>
      <c r="B12264" t="s">
        <v>3114</v>
      </c>
      <c r="C12264" t="s">
        <v>15233</v>
      </c>
      <c r="D12264" t="s">
        <v>18136</v>
      </c>
      <c r="E12264" t="s">
        <v>28819</v>
      </c>
      <c r="F12264" t="s">
        <v>31362</v>
      </c>
      <c r="G12264" t="s">
        <v>31372</v>
      </c>
      <c r="H12264" t="s">
        <v>15799</v>
      </c>
      <c r="I12264" t="s">
        <v>3815</v>
      </c>
      <c r="J12264" t="s">
        <v>38985</v>
      </c>
      <c r="K12264" t="s">
        <v>40670</v>
      </c>
      <c r="M12264" t="s">
        <v>44366</v>
      </c>
      <c r="N12264" t="s">
        <v>44905</v>
      </c>
      <c r="O12264" t="s">
        <v>44906</v>
      </c>
      <c r="P12264">
        <v>0</v>
      </c>
      <c r="Q12264">
        <v>0</v>
      </c>
      <c r="R12264" t="s">
        <v>44918</v>
      </c>
      <c r="S12264" t="s">
        <v>45447</v>
      </c>
      <c r="T12264" t="s">
        <v>46410</v>
      </c>
      <c r="U12264" t="s">
        <v>56741</v>
      </c>
      <c r="W12264" t="s">
        <v>44366</v>
      </c>
      <c r="X12264" t="s">
        <v>44919</v>
      </c>
    </row>
    <row r="12265" spans="1:24">
      <c r="A12265">
        <f>HYPERLINK("https://www.philgeps.gov.ph/GEPSNONPILOT/Tender/SplashBidNoticeAbstractUI.aspx?menuIndex=3&amp;refID=7058711&amp;Result=3","7058711")</f>
        <v>0</v>
      </c>
      <c r="B12265" t="s">
        <v>3114</v>
      </c>
      <c r="C12265" t="s">
        <v>15234</v>
      </c>
      <c r="D12265" t="s">
        <v>18136</v>
      </c>
      <c r="E12265" t="s">
        <v>28820</v>
      </c>
      <c r="F12265" t="s">
        <v>31362</v>
      </c>
      <c r="G12265" t="s">
        <v>31369</v>
      </c>
      <c r="H12265" t="s">
        <v>15799</v>
      </c>
      <c r="I12265" t="s">
        <v>3815</v>
      </c>
      <c r="J12265" t="s">
        <v>38986</v>
      </c>
      <c r="K12265" t="s">
        <v>40670</v>
      </c>
      <c r="M12265" t="s">
        <v>44366</v>
      </c>
      <c r="N12265" t="s">
        <v>44905</v>
      </c>
      <c r="O12265" t="s">
        <v>44906</v>
      </c>
      <c r="P12265">
        <v>0</v>
      </c>
      <c r="Q12265">
        <v>1</v>
      </c>
      <c r="R12265" t="s">
        <v>44918</v>
      </c>
      <c r="S12265" t="s">
        <v>45447</v>
      </c>
      <c r="T12265" t="s">
        <v>46410</v>
      </c>
      <c r="U12265" t="s">
        <v>56742</v>
      </c>
      <c r="W12265" t="s">
        <v>44366</v>
      </c>
      <c r="X12265" t="s">
        <v>44919</v>
      </c>
    </row>
    <row r="12266" spans="1:24">
      <c r="A12266">
        <f>HYPERLINK("https://www.philgeps.gov.ph/GEPSNONPILOT/Tender/SplashBidNoticeAbstractUI.aspx?menuIndex=3&amp;refID=7058667&amp;Result=3","7058667")</f>
        <v>0</v>
      </c>
      <c r="B12266" t="s">
        <v>183</v>
      </c>
      <c r="C12266" t="s">
        <v>15235</v>
      </c>
      <c r="D12266" t="s">
        <v>18129</v>
      </c>
      <c r="E12266" t="s">
        <v>28821</v>
      </c>
      <c r="F12266" t="s">
        <v>31362</v>
      </c>
      <c r="G12266" t="s">
        <v>31369</v>
      </c>
      <c r="H12266" t="s">
        <v>15799</v>
      </c>
      <c r="I12266" t="s">
        <v>6373</v>
      </c>
      <c r="J12266" t="s">
        <v>38987</v>
      </c>
      <c r="K12266" t="s">
        <v>40661</v>
      </c>
      <c r="L12266" t="s">
        <v>183</v>
      </c>
      <c r="M12266" t="s">
        <v>41121</v>
      </c>
      <c r="N12266" t="s">
        <v>44905</v>
      </c>
      <c r="O12266" t="s">
        <v>44906</v>
      </c>
      <c r="P12266">
        <v>0</v>
      </c>
      <c r="Q12266">
        <v>5</v>
      </c>
      <c r="R12266" t="s">
        <v>44918</v>
      </c>
      <c r="S12266" t="s">
        <v>45447</v>
      </c>
      <c r="T12266" t="s">
        <v>46408</v>
      </c>
      <c r="U12266" t="s">
        <v>56736</v>
      </c>
      <c r="W12266" t="s">
        <v>41121</v>
      </c>
      <c r="X12266" t="s">
        <v>44919</v>
      </c>
    </row>
    <row r="12267" spans="1:24">
      <c r="A12267">
        <f>HYPERLINK("https://www.philgeps.gov.ph/GEPSNONPILOT/Tender/SplashBidNoticeAbstractUI.aspx?menuIndex=3&amp;refID=7058715&amp;Result=3","7058715")</f>
        <v>0</v>
      </c>
      <c r="B12267" t="s">
        <v>2296</v>
      </c>
      <c r="C12267" t="s">
        <v>15236</v>
      </c>
      <c r="D12267" t="s">
        <v>18113</v>
      </c>
      <c r="E12267" t="s">
        <v>28240</v>
      </c>
      <c r="F12267" t="s">
        <v>31362</v>
      </c>
      <c r="G12267" t="s">
        <v>31369</v>
      </c>
      <c r="H12267" t="s">
        <v>15799</v>
      </c>
      <c r="I12267" t="s">
        <v>31409</v>
      </c>
      <c r="J12267" t="s">
        <v>38988</v>
      </c>
      <c r="K12267" t="s">
        <v>40675</v>
      </c>
      <c r="L12267" t="s">
        <v>2296</v>
      </c>
      <c r="M12267" t="s">
        <v>43436</v>
      </c>
      <c r="N12267" t="s">
        <v>44905</v>
      </c>
      <c r="O12267" t="s">
        <v>44906</v>
      </c>
      <c r="P12267">
        <v>0</v>
      </c>
      <c r="Q12267">
        <v>6</v>
      </c>
      <c r="R12267" t="s">
        <v>44918</v>
      </c>
      <c r="S12267" t="s">
        <v>45447</v>
      </c>
      <c r="T12267" t="s">
        <v>46435</v>
      </c>
      <c r="U12267" t="s">
        <v>56743</v>
      </c>
      <c r="V12267" t="s">
        <v>60359</v>
      </c>
      <c r="W12267" t="s">
        <v>43436</v>
      </c>
      <c r="X12267" t="s">
        <v>44919</v>
      </c>
    </row>
    <row r="12268" spans="1:24">
      <c r="A12268">
        <f>HYPERLINK("https://www.philgeps.gov.ph/GEPSNONPILOT/Tender/SplashBidNoticeAbstractUI.aspx?menuIndex=3&amp;refID=7058663&amp;Result=3","7058663")</f>
        <v>0</v>
      </c>
      <c r="B12268" t="s">
        <v>183</v>
      </c>
      <c r="C12268" t="s">
        <v>15237</v>
      </c>
      <c r="D12268" t="s">
        <v>18129</v>
      </c>
      <c r="E12268" t="s">
        <v>28822</v>
      </c>
      <c r="F12268" t="s">
        <v>31362</v>
      </c>
      <c r="G12268" t="s">
        <v>31369</v>
      </c>
      <c r="H12268" t="s">
        <v>15799</v>
      </c>
      <c r="I12268" t="s">
        <v>31415</v>
      </c>
      <c r="J12268" t="s">
        <v>32594</v>
      </c>
      <c r="K12268" t="s">
        <v>40661</v>
      </c>
      <c r="L12268" t="s">
        <v>183</v>
      </c>
      <c r="M12268" t="s">
        <v>41121</v>
      </c>
      <c r="N12268" t="s">
        <v>44905</v>
      </c>
      <c r="O12268" t="s">
        <v>44906</v>
      </c>
      <c r="P12268">
        <v>0</v>
      </c>
      <c r="Q12268">
        <v>3</v>
      </c>
      <c r="R12268" t="s">
        <v>44918</v>
      </c>
      <c r="S12268" t="s">
        <v>45447</v>
      </c>
      <c r="T12268" t="s">
        <v>46396</v>
      </c>
      <c r="U12268" t="s">
        <v>56736</v>
      </c>
      <c r="W12268" t="s">
        <v>41121</v>
      </c>
      <c r="X12268" t="s">
        <v>44919</v>
      </c>
    </row>
    <row r="12269" spans="1:24">
      <c r="A12269">
        <f>HYPERLINK("https://www.philgeps.gov.ph/GEPSNONPILOT/Tender/SplashBidNoticeAbstractUI.aspx?menuIndex=3&amp;refID=7058656&amp;Result=3","7058656")</f>
        <v>0</v>
      </c>
      <c r="B12269" t="s">
        <v>1255</v>
      </c>
      <c r="C12269" t="s">
        <v>15238</v>
      </c>
      <c r="D12269" t="s">
        <v>18179</v>
      </c>
      <c r="E12269" t="s">
        <v>28823</v>
      </c>
      <c r="F12269" t="s">
        <v>31362</v>
      </c>
      <c r="G12269" t="s">
        <v>31368</v>
      </c>
      <c r="H12269" t="s">
        <v>15799</v>
      </c>
      <c r="I12269" t="s">
        <v>3815</v>
      </c>
      <c r="J12269" t="s">
        <v>38989</v>
      </c>
      <c r="K12269" t="s">
        <v>40665</v>
      </c>
      <c r="M12269" t="s">
        <v>42271</v>
      </c>
      <c r="N12269" t="s">
        <v>44905</v>
      </c>
      <c r="O12269" t="s">
        <v>44906</v>
      </c>
      <c r="P12269">
        <v>0</v>
      </c>
      <c r="Q12269">
        <v>0</v>
      </c>
      <c r="R12269" t="s">
        <v>44918</v>
      </c>
      <c r="S12269" t="s">
        <v>45447</v>
      </c>
      <c r="T12269" t="s">
        <v>46549</v>
      </c>
      <c r="U12269" t="s">
        <v>56744</v>
      </c>
      <c r="W12269" t="s">
        <v>42271</v>
      </c>
      <c r="X12269" t="s">
        <v>44919</v>
      </c>
    </row>
    <row r="12270" spans="1:24">
      <c r="A12270">
        <f>HYPERLINK("https://www.philgeps.gov.ph/GEPSNONPILOT/Tender/SplashBidNoticeAbstractUI.aspx?menuIndex=3&amp;refID=7058706&amp;Result=3","7058706")</f>
        <v>0</v>
      </c>
      <c r="B12270" t="s">
        <v>439</v>
      </c>
      <c r="C12270" t="s">
        <v>15239</v>
      </c>
      <c r="D12270" t="s">
        <v>18115</v>
      </c>
      <c r="E12270" t="s">
        <v>28824</v>
      </c>
      <c r="F12270" t="s">
        <v>31362</v>
      </c>
      <c r="G12270" t="s">
        <v>31369</v>
      </c>
      <c r="H12270" t="s">
        <v>15799</v>
      </c>
      <c r="I12270" t="s">
        <v>31387</v>
      </c>
      <c r="J12270" t="s">
        <v>32894</v>
      </c>
      <c r="K12270" t="s">
        <v>40665</v>
      </c>
      <c r="M12270" t="s">
        <v>41391</v>
      </c>
      <c r="N12270" t="s">
        <v>44905</v>
      </c>
      <c r="O12270" t="s">
        <v>44906</v>
      </c>
      <c r="P12270">
        <v>0</v>
      </c>
      <c r="Q12270">
        <v>8</v>
      </c>
      <c r="R12270" t="s">
        <v>44918</v>
      </c>
      <c r="S12270" t="s">
        <v>45447</v>
      </c>
      <c r="T12270" t="s">
        <v>46508</v>
      </c>
      <c r="U12270" t="s">
        <v>56745</v>
      </c>
      <c r="V12270" t="s">
        <v>60360</v>
      </c>
      <c r="W12270" t="s">
        <v>41391</v>
      </c>
      <c r="X12270" t="s">
        <v>44919</v>
      </c>
    </row>
    <row r="12271" spans="1:24">
      <c r="A12271">
        <f>HYPERLINK("https://www.philgeps.gov.ph/GEPSNONPILOT/Tender/SplashBidNoticeAbstractUI.aspx?menuIndex=3&amp;refID=7058576&amp;Result=3","7058576")</f>
        <v>0</v>
      </c>
      <c r="B12271" t="s">
        <v>643</v>
      </c>
      <c r="C12271" t="s">
        <v>15240</v>
      </c>
      <c r="D12271" t="s">
        <v>18103</v>
      </c>
      <c r="E12271" t="s">
        <v>28825</v>
      </c>
      <c r="F12271" t="s">
        <v>31362</v>
      </c>
      <c r="G12271" t="s">
        <v>31369</v>
      </c>
      <c r="H12271" t="s">
        <v>15799</v>
      </c>
      <c r="I12271" t="s">
        <v>4283</v>
      </c>
      <c r="J12271" t="s">
        <v>38990</v>
      </c>
      <c r="K12271" t="s">
        <v>40666</v>
      </c>
      <c r="M12271" t="s">
        <v>41603</v>
      </c>
      <c r="N12271" t="s">
        <v>44905</v>
      </c>
      <c r="O12271" t="s">
        <v>44906</v>
      </c>
      <c r="P12271">
        <v>0</v>
      </c>
      <c r="Q12271">
        <v>5</v>
      </c>
      <c r="R12271" t="s">
        <v>44918</v>
      </c>
      <c r="S12271" t="s">
        <v>45447</v>
      </c>
      <c r="T12271" t="s">
        <v>46482</v>
      </c>
      <c r="U12271" t="s">
        <v>56746</v>
      </c>
      <c r="W12271" t="s">
        <v>41603</v>
      </c>
      <c r="X12271" t="s">
        <v>44919</v>
      </c>
    </row>
    <row r="12272" spans="1:24">
      <c r="A12272">
        <f>HYPERLINK("https://www.philgeps.gov.ph/GEPSNONPILOT/Tender/SplashBidNoticeAbstractUI.aspx?menuIndex=3&amp;refID=7058665&amp;Result=3","7058665")</f>
        <v>0</v>
      </c>
      <c r="B12272" t="s">
        <v>1745</v>
      </c>
      <c r="C12272" t="s">
        <v>15241</v>
      </c>
      <c r="D12272" t="s">
        <v>18148</v>
      </c>
      <c r="E12272" t="s">
        <v>28826</v>
      </c>
      <c r="F12272" t="s">
        <v>31362</v>
      </c>
      <c r="G12272" t="s">
        <v>31369</v>
      </c>
      <c r="H12272" t="s">
        <v>15799</v>
      </c>
      <c r="I12272" t="s">
        <v>31434</v>
      </c>
      <c r="J12272" t="s">
        <v>38991</v>
      </c>
      <c r="K12272" t="s">
        <v>40665</v>
      </c>
      <c r="M12272" t="s">
        <v>42820</v>
      </c>
      <c r="N12272" t="s">
        <v>44905</v>
      </c>
      <c r="O12272" t="s">
        <v>44906</v>
      </c>
      <c r="P12272">
        <v>0</v>
      </c>
      <c r="Q12272">
        <v>3</v>
      </c>
      <c r="R12272" t="s">
        <v>44918</v>
      </c>
      <c r="S12272" t="s">
        <v>45447</v>
      </c>
      <c r="T12272" t="s">
        <v>46525</v>
      </c>
      <c r="U12272" t="s">
        <v>56747</v>
      </c>
      <c r="W12272" t="s">
        <v>42820</v>
      </c>
      <c r="X12272" t="s">
        <v>44919</v>
      </c>
    </row>
    <row r="12273" spans="1:24">
      <c r="A12273">
        <f>HYPERLINK("https://www.philgeps.gov.ph/GEPSNONPILOT/Tender/SplashBidNoticeAbstractUI.aspx?menuIndex=3&amp;refID=7058571&amp;Result=3","7058571")</f>
        <v>0</v>
      </c>
      <c r="B12273" t="s">
        <v>643</v>
      </c>
      <c r="C12273" t="s">
        <v>15242</v>
      </c>
      <c r="D12273" t="s">
        <v>18103</v>
      </c>
      <c r="E12273" t="s">
        <v>28827</v>
      </c>
      <c r="F12273" t="s">
        <v>31362</v>
      </c>
      <c r="G12273" t="s">
        <v>31369</v>
      </c>
      <c r="H12273" t="s">
        <v>15799</v>
      </c>
      <c r="I12273" t="s">
        <v>4283</v>
      </c>
      <c r="J12273" t="s">
        <v>38992</v>
      </c>
      <c r="K12273" t="s">
        <v>40665</v>
      </c>
      <c r="M12273" t="s">
        <v>41603</v>
      </c>
      <c r="N12273" t="s">
        <v>44905</v>
      </c>
      <c r="O12273" t="s">
        <v>44906</v>
      </c>
      <c r="P12273">
        <v>0</v>
      </c>
      <c r="Q12273">
        <v>12</v>
      </c>
      <c r="R12273" t="s">
        <v>44918</v>
      </c>
      <c r="S12273" t="s">
        <v>45447</v>
      </c>
      <c r="T12273" t="s">
        <v>46482</v>
      </c>
      <c r="U12273" t="s">
        <v>56748</v>
      </c>
      <c r="W12273" t="s">
        <v>41603</v>
      </c>
      <c r="X12273" t="s">
        <v>44919</v>
      </c>
    </row>
    <row r="12274" spans="1:24">
      <c r="A12274">
        <f>HYPERLINK("https://www.philgeps.gov.ph/GEPSNONPILOT/Tender/SplashBidNoticeAbstractUI.aspx?menuIndex=3&amp;refID=7058569&amp;Result=3","7058569")</f>
        <v>0</v>
      </c>
      <c r="B12274" t="s">
        <v>643</v>
      </c>
      <c r="C12274" t="s">
        <v>15243</v>
      </c>
      <c r="D12274" t="s">
        <v>18103</v>
      </c>
      <c r="E12274" t="s">
        <v>28828</v>
      </c>
      <c r="F12274" t="s">
        <v>31362</v>
      </c>
      <c r="G12274" t="s">
        <v>31369</v>
      </c>
      <c r="H12274" t="s">
        <v>15799</v>
      </c>
      <c r="I12274" t="s">
        <v>31431</v>
      </c>
      <c r="J12274" t="s">
        <v>38993</v>
      </c>
      <c r="K12274" t="s">
        <v>40677</v>
      </c>
      <c r="M12274" t="s">
        <v>41603</v>
      </c>
      <c r="N12274" t="s">
        <v>44905</v>
      </c>
      <c r="O12274" t="s">
        <v>44906</v>
      </c>
      <c r="P12274">
        <v>0</v>
      </c>
      <c r="Q12274">
        <v>7</v>
      </c>
      <c r="R12274" t="s">
        <v>44918</v>
      </c>
      <c r="S12274" t="s">
        <v>45447</v>
      </c>
      <c r="T12274" t="s">
        <v>46482</v>
      </c>
      <c r="U12274" t="s">
        <v>56749</v>
      </c>
      <c r="W12274" t="s">
        <v>41603</v>
      </c>
      <c r="X12274" t="s">
        <v>44919</v>
      </c>
    </row>
    <row r="12275" spans="1:24">
      <c r="A12275">
        <f>HYPERLINK("https://www.philgeps.gov.ph/GEPSNONPILOT/Tender/SplashBidNoticeAbstractUI.aspx?menuIndex=3&amp;refID=7058587&amp;Result=3","7058587")</f>
        <v>0</v>
      </c>
      <c r="B12275" t="s">
        <v>2784</v>
      </c>
      <c r="C12275" t="s">
        <v>15244</v>
      </c>
      <c r="D12275" t="s">
        <v>18155</v>
      </c>
      <c r="E12275" t="s">
        <v>28829</v>
      </c>
      <c r="F12275" t="s">
        <v>31362</v>
      </c>
      <c r="G12275" t="s">
        <v>31369</v>
      </c>
      <c r="H12275" t="s">
        <v>15799</v>
      </c>
      <c r="I12275" t="s">
        <v>4283</v>
      </c>
      <c r="J12275" t="s">
        <v>38994</v>
      </c>
      <c r="K12275" t="s">
        <v>40662</v>
      </c>
      <c r="M12275" t="s">
        <v>43979</v>
      </c>
      <c r="N12275" t="s">
        <v>44905</v>
      </c>
      <c r="O12275" t="s">
        <v>44906</v>
      </c>
      <c r="P12275">
        <v>0</v>
      </c>
      <c r="Q12275">
        <v>2</v>
      </c>
      <c r="R12275" t="s">
        <v>44918</v>
      </c>
      <c r="S12275" t="s">
        <v>45447</v>
      </c>
      <c r="T12275" t="s">
        <v>46519</v>
      </c>
      <c r="U12275" t="s">
        <v>56750</v>
      </c>
      <c r="V12275" t="s">
        <v>60361</v>
      </c>
      <c r="W12275" t="s">
        <v>43979</v>
      </c>
      <c r="X12275" t="s">
        <v>44919</v>
      </c>
    </row>
    <row r="12276" spans="1:24">
      <c r="A12276">
        <f>HYPERLINK("https://www.philgeps.gov.ph/GEPSNONPILOT/Tender/SplashBidNoticeAbstractUI.aspx?menuIndex=3&amp;refID=7058558&amp;Result=3","7058558")</f>
        <v>0</v>
      </c>
      <c r="B12276" t="s">
        <v>2687</v>
      </c>
      <c r="C12276" t="s">
        <v>15245</v>
      </c>
      <c r="D12276" t="s">
        <v>18108</v>
      </c>
      <c r="E12276" t="s">
        <v>28830</v>
      </c>
      <c r="F12276" t="s">
        <v>31362</v>
      </c>
      <c r="G12276" t="s">
        <v>31369</v>
      </c>
      <c r="H12276" t="s">
        <v>31379</v>
      </c>
      <c r="I12276" t="s">
        <v>31388</v>
      </c>
      <c r="J12276" t="s">
        <v>38995</v>
      </c>
      <c r="K12276" t="s">
        <v>40745</v>
      </c>
      <c r="M12276" t="s">
        <v>43873</v>
      </c>
      <c r="N12276" t="s">
        <v>44905</v>
      </c>
      <c r="O12276" t="s">
        <v>44906</v>
      </c>
      <c r="Q12276">
        <v>1</v>
      </c>
      <c r="R12276" t="s">
        <v>44918</v>
      </c>
      <c r="S12276" t="s">
        <v>45476</v>
      </c>
      <c r="T12276" t="s">
        <v>46499</v>
      </c>
      <c r="U12276" t="s">
        <v>56751</v>
      </c>
      <c r="W12276" t="s">
        <v>43873</v>
      </c>
      <c r="X12276" t="s">
        <v>44919</v>
      </c>
    </row>
    <row r="12277" spans="1:24">
      <c r="A12277">
        <f>HYPERLINK("https://www.philgeps.gov.ph/GEPSNONPILOT/Tender/SplashBidNoticeAbstractUI.aspx?menuIndex=3&amp;refID=7060049&amp;Result=3","7060049")</f>
        <v>0</v>
      </c>
      <c r="B12277" t="s">
        <v>3211</v>
      </c>
      <c r="C12277" t="s">
        <v>15246</v>
      </c>
      <c r="D12277" t="s">
        <v>18160</v>
      </c>
      <c r="E12277" t="s">
        <v>28831</v>
      </c>
      <c r="F12277" t="s">
        <v>31362</v>
      </c>
      <c r="G12277" t="s">
        <v>31369</v>
      </c>
      <c r="H12277" t="s">
        <v>31378</v>
      </c>
      <c r="I12277" t="s">
        <v>31386</v>
      </c>
      <c r="J12277" t="s">
        <v>38996</v>
      </c>
      <c r="K12277" t="s">
        <v>40662</v>
      </c>
      <c r="M12277" t="s">
        <v>44484</v>
      </c>
      <c r="N12277" t="s">
        <v>44905</v>
      </c>
      <c r="O12277" t="s">
        <v>44906</v>
      </c>
      <c r="P12277">
        <v>0</v>
      </c>
      <c r="Q12277">
        <v>1</v>
      </c>
      <c r="R12277" t="s">
        <v>44917</v>
      </c>
      <c r="S12277" t="s">
        <v>45386</v>
      </c>
      <c r="T12277" t="s">
        <v>46392</v>
      </c>
      <c r="U12277" t="s">
        <v>56752</v>
      </c>
      <c r="W12277" t="s">
        <v>44484</v>
      </c>
      <c r="X12277" t="s">
        <v>44918</v>
      </c>
    </row>
    <row r="12278" spans="1:24">
      <c r="A12278">
        <f>HYPERLINK("https://www.philgeps.gov.ph/GEPSNONPILOT/Tender/SplashBidNoticeAbstractUI.aspx?menuIndex=3&amp;refID=7058848&amp;Result=3","7058848")</f>
        <v>0</v>
      </c>
      <c r="B12278" t="s">
        <v>345</v>
      </c>
      <c r="C12278" t="s">
        <v>15247</v>
      </c>
      <c r="D12278" t="s">
        <v>18149</v>
      </c>
      <c r="E12278" t="s">
        <v>28832</v>
      </c>
      <c r="F12278" t="s">
        <v>31362</v>
      </c>
      <c r="G12278" t="s">
        <v>31369</v>
      </c>
      <c r="H12278" t="s">
        <v>31378</v>
      </c>
      <c r="I12278" t="s">
        <v>31386</v>
      </c>
      <c r="J12278" t="s">
        <v>31625</v>
      </c>
      <c r="K12278" t="s">
        <v>40679</v>
      </c>
      <c r="M12278" t="s">
        <v>41291</v>
      </c>
      <c r="N12278" t="s">
        <v>44905</v>
      </c>
      <c r="O12278" t="s">
        <v>44906</v>
      </c>
      <c r="P12278">
        <v>0</v>
      </c>
      <c r="Q12278">
        <v>1</v>
      </c>
      <c r="R12278" t="s">
        <v>44918</v>
      </c>
      <c r="S12278" t="s">
        <v>45447</v>
      </c>
      <c r="T12278" t="s">
        <v>46822</v>
      </c>
      <c r="U12278" t="s">
        <v>47513</v>
      </c>
      <c r="W12278" t="s">
        <v>41291</v>
      </c>
      <c r="X12278" t="s">
        <v>44919</v>
      </c>
    </row>
    <row r="12279" spans="1:24">
      <c r="A12279">
        <f>HYPERLINK("https://www.philgeps.gov.ph/GEPSNONPILOT/Tender/SplashBidNoticeAbstractUI.aspx?menuIndex=3&amp;refID=7058573&amp;Result=3","7058573")</f>
        <v>0</v>
      </c>
      <c r="B12279" t="s">
        <v>643</v>
      </c>
      <c r="C12279" t="s">
        <v>15248</v>
      </c>
      <c r="D12279" t="s">
        <v>18103</v>
      </c>
      <c r="E12279" t="s">
        <v>28833</v>
      </c>
      <c r="F12279" t="s">
        <v>31362</v>
      </c>
      <c r="G12279" t="s">
        <v>31369</v>
      </c>
      <c r="H12279" t="s">
        <v>15799</v>
      </c>
      <c r="I12279" t="s">
        <v>7090</v>
      </c>
      <c r="J12279" t="s">
        <v>36662</v>
      </c>
      <c r="K12279" t="s">
        <v>40677</v>
      </c>
      <c r="M12279" t="s">
        <v>41603</v>
      </c>
      <c r="N12279" t="s">
        <v>44905</v>
      </c>
      <c r="O12279" t="s">
        <v>44906</v>
      </c>
      <c r="P12279">
        <v>0</v>
      </c>
      <c r="Q12279">
        <v>2</v>
      </c>
      <c r="R12279" t="s">
        <v>44918</v>
      </c>
      <c r="S12279" t="s">
        <v>45447</v>
      </c>
      <c r="T12279" t="s">
        <v>46482</v>
      </c>
      <c r="U12279" t="s">
        <v>56753</v>
      </c>
      <c r="W12279" t="s">
        <v>41603</v>
      </c>
      <c r="X12279" t="s">
        <v>44919</v>
      </c>
    </row>
    <row r="12280" spans="1:24">
      <c r="A12280">
        <f>HYPERLINK("https://www.philgeps.gov.ph/GEPSNONPILOT/Tender/SplashBidNoticeAbstractUI.aspx?menuIndex=3&amp;refID=7058869&amp;Result=3","7058869")</f>
        <v>0</v>
      </c>
      <c r="B12280" t="s">
        <v>958</v>
      </c>
      <c r="C12280" t="s">
        <v>15249</v>
      </c>
      <c r="D12280" t="s">
        <v>18141</v>
      </c>
      <c r="E12280" t="s">
        <v>28834</v>
      </c>
      <c r="F12280" t="s">
        <v>31362</v>
      </c>
      <c r="G12280" t="s">
        <v>31369</v>
      </c>
      <c r="H12280" t="s">
        <v>15799</v>
      </c>
      <c r="I12280" t="s">
        <v>7719</v>
      </c>
      <c r="J12280" t="s">
        <v>38997</v>
      </c>
      <c r="K12280" t="s">
        <v>40665</v>
      </c>
      <c r="M12280" t="s">
        <v>43554</v>
      </c>
      <c r="N12280" t="s">
        <v>44905</v>
      </c>
      <c r="O12280" t="s">
        <v>44906</v>
      </c>
      <c r="P12280">
        <v>0</v>
      </c>
      <c r="Q12280">
        <v>37</v>
      </c>
      <c r="R12280" t="s">
        <v>44918</v>
      </c>
      <c r="S12280" t="s">
        <v>45447</v>
      </c>
      <c r="T12280" t="s">
        <v>46499</v>
      </c>
      <c r="U12280" t="s">
        <v>56754</v>
      </c>
      <c r="W12280" t="s">
        <v>43554</v>
      </c>
      <c r="X12280" t="s">
        <v>44919</v>
      </c>
    </row>
    <row r="12281" spans="1:24">
      <c r="A12281">
        <f>HYPERLINK("https://www.philgeps.gov.ph/GEPSNONPILOT/Tender/SplashBidNoticeAbstractUI.aspx?menuIndex=3&amp;refID=7058564&amp;Result=3","7058564")</f>
        <v>0</v>
      </c>
      <c r="B12281" t="s">
        <v>233</v>
      </c>
      <c r="C12281" t="s">
        <v>15250</v>
      </c>
      <c r="D12281" t="s">
        <v>18108</v>
      </c>
      <c r="E12281" t="s">
        <v>28835</v>
      </c>
      <c r="F12281" t="s">
        <v>31362</v>
      </c>
      <c r="G12281" t="s">
        <v>31369</v>
      </c>
      <c r="H12281" t="s">
        <v>15799</v>
      </c>
      <c r="I12281" t="s">
        <v>31388</v>
      </c>
      <c r="J12281" t="s">
        <v>38998</v>
      </c>
      <c r="K12281" t="s">
        <v>40662</v>
      </c>
      <c r="M12281" t="s">
        <v>44485</v>
      </c>
      <c r="N12281" t="s">
        <v>44905</v>
      </c>
      <c r="O12281" t="s">
        <v>44906</v>
      </c>
      <c r="P12281">
        <v>0</v>
      </c>
      <c r="Q12281">
        <v>1</v>
      </c>
      <c r="R12281" t="s">
        <v>44918</v>
      </c>
      <c r="S12281" t="s">
        <v>45447</v>
      </c>
      <c r="T12281" t="s">
        <v>46585</v>
      </c>
      <c r="U12281" t="s">
        <v>56755</v>
      </c>
      <c r="V12281" t="s">
        <v>60362</v>
      </c>
      <c r="W12281" t="s">
        <v>44485</v>
      </c>
      <c r="X12281" t="s">
        <v>44919</v>
      </c>
    </row>
    <row r="12282" spans="1:24">
      <c r="A12282">
        <f>HYPERLINK("https://www.philgeps.gov.ph/GEPSNONPILOT/Tender/SplashBidNoticeAbstractUI.aspx?menuIndex=3&amp;refID=7058865&amp;Result=3","7058865")</f>
        <v>0</v>
      </c>
      <c r="B12282" t="s">
        <v>2868</v>
      </c>
      <c r="C12282" t="s">
        <v>15251</v>
      </c>
      <c r="D12282" t="s">
        <v>18107</v>
      </c>
      <c r="E12282" t="s">
        <v>28836</v>
      </c>
      <c r="F12282" t="s">
        <v>31362</v>
      </c>
      <c r="G12282" t="s">
        <v>31369</v>
      </c>
      <c r="H12282" t="s">
        <v>31378</v>
      </c>
      <c r="I12282" t="s">
        <v>31386</v>
      </c>
      <c r="J12282" t="s">
        <v>31709</v>
      </c>
      <c r="K12282" t="s">
        <v>40675</v>
      </c>
      <c r="M12282" t="s">
        <v>44073</v>
      </c>
      <c r="N12282" t="s">
        <v>44905</v>
      </c>
      <c r="O12282" t="s">
        <v>44906</v>
      </c>
      <c r="P12282">
        <v>0</v>
      </c>
      <c r="Q12282">
        <v>0</v>
      </c>
      <c r="R12282" t="s">
        <v>44918</v>
      </c>
      <c r="S12282" t="s">
        <v>45447</v>
      </c>
      <c r="T12282" t="s">
        <v>46499</v>
      </c>
      <c r="U12282" t="s">
        <v>56756</v>
      </c>
      <c r="W12282" t="s">
        <v>60945</v>
      </c>
      <c r="X12282" t="s">
        <v>44919</v>
      </c>
    </row>
    <row r="12283" spans="1:24">
      <c r="A12283">
        <f>HYPERLINK("https://www.philgeps.gov.ph/GEPSNONPILOT/Tender/SplashBidNoticeAbstractUI.aspx?menuIndex=3&amp;refID=7058367&amp;Result=3","7058367")</f>
        <v>0</v>
      </c>
      <c r="B12283" t="s">
        <v>233</v>
      </c>
      <c r="C12283" t="s">
        <v>15252</v>
      </c>
      <c r="D12283" t="s">
        <v>18108</v>
      </c>
      <c r="E12283" t="s">
        <v>28837</v>
      </c>
      <c r="F12283" t="s">
        <v>31362</v>
      </c>
      <c r="G12283" t="s">
        <v>31369</v>
      </c>
      <c r="H12283" t="s">
        <v>15799</v>
      </c>
      <c r="I12283" t="s">
        <v>31403</v>
      </c>
      <c r="J12283" t="s">
        <v>38999</v>
      </c>
      <c r="K12283" t="s">
        <v>40682</v>
      </c>
      <c r="M12283" t="s">
        <v>44485</v>
      </c>
      <c r="N12283" t="s">
        <v>44905</v>
      </c>
      <c r="O12283" t="s">
        <v>44906</v>
      </c>
      <c r="P12283">
        <v>0</v>
      </c>
      <c r="Q12283">
        <v>4</v>
      </c>
      <c r="R12283" t="s">
        <v>44918</v>
      </c>
      <c r="S12283" t="s">
        <v>45447</v>
      </c>
      <c r="T12283" t="s">
        <v>46585</v>
      </c>
      <c r="U12283" t="s">
        <v>56757</v>
      </c>
      <c r="V12283" t="s">
        <v>60363</v>
      </c>
      <c r="W12283" t="s">
        <v>44485</v>
      </c>
      <c r="X12283" t="s">
        <v>44920</v>
      </c>
    </row>
    <row r="12284" spans="1:24">
      <c r="A12284">
        <f>HYPERLINK("https://www.philgeps.gov.ph/GEPSNONPILOT/Tender/SplashBidNoticeAbstractUI.aspx?menuIndex=3&amp;refID=7058859&amp;Result=3","7058859")</f>
        <v>0</v>
      </c>
      <c r="B12284" t="s">
        <v>2868</v>
      </c>
      <c r="C12284" t="s">
        <v>15253</v>
      </c>
      <c r="D12284" t="s">
        <v>18107</v>
      </c>
      <c r="E12284" t="s">
        <v>28838</v>
      </c>
      <c r="F12284" t="s">
        <v>31362</v>
      </c>
      <c r="G12284" t="s">
        <v>31369</v>
      </c>
      <c r="H12284" t="s">
        <v>31378</v>
      </c>
      <c r="I12284" t="s">
        <v>31386</v>
      </c>
      <c r="J12284" t="s">
        <v>33653</v>
      </c>
      <c r="K12284" t="s">
        <v>40675</v>
      </c>
      <c r="M12284" t="s">
        <v>44073</v>
      </c>
      <c r="N12284" t="s">
        <v>44905</v>
      </c>
      <c r="O12284" t="s">
        <v>44906</v>
      </c>
      <c r="P12284">
        <v>0</v>
      </c>
      <c r="Q12284">
        <v>0</v>
      </c>
      <c r="R12284" t="s">
        <v>44918</v>
      </c>
      <c r="S12284" t="s">
        <v>45447</v>
      </c>
      <c r="T12284" t="s">
        <v>46499</v>
      </c>
      <c r="U12284" t="s">
        <v>56758</v>
      </c>
      <c r="W12284" t="s">
        <v>60945</v>
      </c>
      <c r="X12284" t="s">
        <v>44919</v>
      </c>
    </row>
    <row r="12285" spans="1:24">
      <c r="A12285">
        <f>HYPERLINK("https://www.philgeps.gov.ph/GEPSNONPILOT/Tender/SplashBidNoticeAbstractUI.aspx?menuIndex=3&amp;refID=7058839&amp;Result=3","7058839")</f>
        <v>0</v>
      </c>
      <c r="B12285" t="s">
        <v>3212</v>
      </c>
      <c r="C12285" t="s">
        <v>15254</v>
      </c>
      <c r="D12285" t="s">
        <v>18138</v>
      </c>
      <c r="E12285" t="s">
        <v>28839</v>
      </c>
      <c r="F12285" t="s">
        <v>31362</v>
      </c>
      <c r="G12285" t="s">
        <v>31369</v>
      </c>
      <c r="H12285" t="s">
        <v>31378</v>
      </c>
      <c r="I12285" t="s">
        <v>31386</v>
      </c>
      <c r="J12285" t="s">
        <v>39000</v>
      </c>
      <c r="K12285" t="s">
        <v>40682</v>
      </c>
      <c r="M12285" t="s">
        <v>44486</v>
      </c>
      <c r="N12285" t="s">
        <v>44905</v>
      </c>
      <c r="O12285" t="s">
        <v>44906</v>
      </c>
      <c r="Q12285">
        <v>12</v>
      </c>
      <c r="R12285" t="s">
        <v>44918</v>
      </c>
      <c r="S12285" t="s">
        <v>45477</v>
      </c>
      <c r="T12285" t="s">
        <v>46847</v>
      </c>
      <c r="U12285" t="s">
        <v>56759</v>
      </c>
      <c r="W12285" t="s">
        <v>44486</v>
      </c>
      <c r="X12285" t="s">
        <v>44919</v>
      </c>
    </row>
    <row r="12286" spans="1:24">
      <c r="A12286">
        <f>HYPERLINK("https://www.philgeps.gov.ph/GEPSNONPILOT/Tender/SplashBidNoticeAbstractUI.aspx?menuIndex=3&amp;refID=7058812&amp;Result=3","7058812")</f>
        <v>0</v>
      </c>
      <c r="B12286" t="s">
        <v>3213</v>
      </c>
      <c r="C12286" t="s">
        <v>15255</v>
      </c>
      <c r="D12286" t="s">
        <v>18126</v>
      </c>
      <c r="E12286" t="s">
        <v>28840</v>
      </c>
      <c r="F12286" t="s">
        <v>31362</v>
      </c>
      <c r="G12286" t="s">
        <v>31370</v>
      </c>
      <c r="H12286" t="s">
        <v>15799</v>
      </c>
      <c r="I12286" t="s">
        <v>31492</v>
      </c>
      <c r="J12286" t="s">
        <v>31933</v>
      </c>
      <c r="K12286" t="s">
        <v>40661</v>
      </c>
      <c r="M12286" t="s">
        <v>44487</v>
      </c>
      <c r="N12286" t="s">
        <v>44905</v>
      </c>
      <c r="O12286" t="s">
        <v>44906</v>
      </c>
      <c r="P12286">
        <v>0</v>
      </c>
      <c r="Q12286">
        <v>0</v>
      </c>
      <c r="R12286" t="s">
        <v>44918</v>
      </c>
      <c r="S12286" t="s">
        <v>45447</v>
      </c>
      <c r="T12286" t="s">
        <v>46700</v>
      </c>
      <c r="U12286" t="s">
        <v>56760</v>
      </c>
      <c r="W12286" t="s">
        <v>44487</v>
      </c>
      <c r="X12286" t="s">
        <v>44919</v>
      </c>
    </row>
    <row r="12287" spans="1:24">
      <c r="A12287">
        <f>HYPERLINK("https://www.philgeps.gov.ph/GEPSNONPILOT/Tender/SplashBidNoticeAbstractUI.aspx?menuIndex=3&amp;refID=7058555&amp;Result=3","7058555")</f>
        <v>0</v>
      </c>
      <c r="B12287" t="s">
        <v>3206</v>
      </c>
      <c r="C12287" t="s">
        <v>15256</v>
      </c>
      <c r="D12287" t="s">
        <v>18129</v>
      </c>
      <c r="E12287" t="s">
        <v>19709</v>
      </c>
      <c r="F12287" t="s">
        <v>31362</v>
      </c>
      <c r="G12287" t="s">
        <v>31369</v>
      </c>
      <c r="H12287" t="s">
        <v>15799</v>
      </c>
      <c r="I12287" t="s">
        <v>31455</v>
      </c>
      <c r="J12287" t="s">
        <v>31625</v>
      </c>
      <c r="K12287" t="s">
        <v>40682</v>
      </c>
      <c r="M12287" t="s">
        <v>44476</v>
      </c>
      <c r="N12287" t="s">
        <v>44905</v>
      </c>
      <c r="O12287" t="s">
        <v>44906</v>
      </c>
      <c r="P12287">
        <v>0</v>
      </c>
      <c r="Q12287">
        <v>5</v>
      </c>
      <c r="R12287" t="s">
        <v>44918</v>
      </c>
      <c r="S12287" t="s">
        <v>45447</v>
      </c>
      <c r="T12287" t="s">
        <v>46481</v>
      </c>
      <c r="U12287" t="s">
        <v>56726</v>
      </c>
      <c r="W12287" t="s">
        <v>44476</v>
      </c>
      <c r="X12287" t="s">
        <v>44919</v>
      </c>
    </row>
    <row r="12288" spans="1:24">
      <c r="A12288">
        <f>HYPERLINK("https://www.philgeps.gov.ph/GEPSNONPILOT/Tender/SplashBidNoticeAbstractUI.aspx?menuIndex=3&amp;refID=7058791&amp;Result=3","7058791")</f>
        <v>0</v>
      </c>
      <c r="B12288" t="s">
        <v>54</v>
      </c>
      <c r="C12288" t="s">
        <v>15257</v>
      </c>
      <c r="E12288" t="s">
        <v>28841</v>
      </c>
      <c r="F12288" t="s">
        <v>31362</v>
      </c>
      <c r="G12288" t="s">
        <v>31369</v>
      </c>
      <c r="H12288" t="s">
        <v>15799</v>
      </c>
      <c r="I12288" t="s">
        <v>31460</v>
      </c>
      <c r="J12288" t="s">
        <v>39001</v>
      </c>
      <c r="K12288" t="s">
        <v>40662</v>
      </c>
      <c r="M12288" t="s">
        <v>41869</v>
      </c>
      <c r="N12288" t="s">
        <v>44905</v>
      </c>
      <c r="O12288" t="s">
        <v>44906</v>
      </c>
      <c r="Q12288">
        <v>2</v>
      </c>
      <c r="R12288" t="s">
        <v>44918</v>
      </c>
      <c r="S12288" t="s">
        <v>45478</v>
      </c>
      <c r="T12288" t="s">
        <v>46560</v>
      </c>
      <c r="U12288" t="s">
        <v>56761</v>
      </c>
      <c r="V12288" t="s">
        <v>59287</v>
      </c>
      <c r="W12288" t="s">
        <v>41869</v>
      </c>
      <c r="X12288" t="s">
        <v>44919</v>
      </c>
    </row>
    <row r="12289" spans="1:24">
      <c r="A12289">
        <f>HYPERLINK("https://www.philgeps.gov.ph/GEPSNONPILOT/Tender/SplashBidNoticeAbstractUI.aspx?menuIndex=3&amp;refID=7058832&amp;Result=3","7058832")</f>
        <v>0</v>
      </c>
      <c r="B12289" t="s">
        <v>345</v>
      </c>
      <c r="C12289" t="s">
        <v>15258</v>
      </c>
      <c r="D12289" t="s">
        <v>18149</v>
      </c>
      <c r="E12289" t="s">
        <v>28842</v>
      </c>
      <c r="F12289" t="s">
        <v>31362</v>
      </c>
      <c r="G12289" t="s">
        <v>31369</v>
      </c>
      <c r="H12289" t="s">
        <v>31379</v>
      </c>
      <c r="I12289" t="s">
        <v>31400</v>
      </c>
      <c r="J12289" t="s">
        <v>39002</v>
      </c>
      <c r="K12289" t="s">
        <v>40665</v>
      </c>
      <c r="M12289" t="s">
        <v>41291</v>
      </c>
      <c r="N12289" t="s">
        <v>44905</v>
      </c>
      <c r="O12289" t="s">
        <v>44906</v>
      </c>
      <c r="P12289">
        <v>0</v>
      </c>
      <c r="Q12289">
        <v>7</v>
      </c>
      <c r="R12289" t="s">
        <v>44918</v>
      </c>
      <c r="S12289" t="s">
        <v>45447</v>
      </c>
      <c r="T12289" t="s">
        <v>46407</v>
      </c>
      <c r="U12289" t="s">
        <v>56762</v>
      </c>
      <c r="W12289" t="s">
        <v>41291</v>
      </c>
      <c r="X12289" t="s">
        <v>44919</v>
      </c>
    </row>
    <row r="12290" spans="1:24">
      <c r="A12290">
        <f>HYPERLINK("https://www.philgeps.gov.ph/GEPSNONPILOT/Tender/SplashBidNoticeAbstractUI.aspx?menuIndex=3&amp;refID=7058855&amp;Result=3","7058855")</f>
        <v>0</v>
      </c>
      <c r="B12290" t="s">
        <v>958</v>
      </c>
      <c r="C12290" t="s">
        <v>15259</v>
      </c>
      <c r="D12290" t="s">
        <v>18141</v>
      </c>
      <c r="E12290" t="s">
        <v>28843</v>
      </c>
      <c r="F12290" t="s">
        <v>31362</v>
      </c>
      <c r="G12290" t="s">
        <v>31369</v>
      </c>
      <c r="H12290" t="s">
        <v>15799</v>
      </c>
      <c r="I12290" t="s">
        <v>31380</v>
      </c>
      <c r="J12290" t="s">
        <v>39003</v>
      </c>
      <c r="K12290" t="s">
        <v>40665</v>
      </c>
      <c r="M12290" t="s">
        <v>43554</v>
      </c>
      <c r="N12290" t="s">
        <v>44905</v>
      </c>
      <c r="O12290" t="s">
        <v>44906</v>
      </c>
      <c r="P12290">
        <v>0</v>
      </c>
      <c r="Q12290">
        <v>37</v>
      </c>
      <c r="R12290" t="s">
        <v>44918</v>
      </c>
      <c r="S12290" t="s">
        <v>45447</v>
      </c>
      <c r="T12290" t="s">
        <v>46519</v>
      </c>
      <c r="U12290" t="s">
        <v>56763</v>
      </c>
      <c r="W12290" t="s">
        <v>43554</v>
      </c>
      <c r="X12290" t="s">
        <v>44919</v>
      </c>
    </row>
    <row r="12291" spans="1:24">
      <c r="A12291">
        <f>HYPERLINK("https://www.philgeps.gov.ph/GEPSNONPILOT/Tender/SplashBidNoticeAbstractUI.aspx?menuIndex=3&amp;refID=7058786&amp;Result=3","7058786")</f>
        <v>0</v>
      </c>
      <c r="B12291" t="s">
        <v>377</v>
      </c>
      <c r="C12291" t="s">
        <v>15260</v>
      </c>
      <c r="D12291" t="s">
        <v>18108</v>
      </c>
      <c r="E12291" t="s">
        <v>28844</v>
      </c>
      <c r="F12291" t="s">
        <v>31362</v>
      </c>
      <c r="G12291" t="s">
        <v>31369</v>
      </c>
      <c r="H12291" t="s">
        <v>31378</v>
      </c>
      <c r="I12291" t="s">
        <v>31386</v>
      </c>
      <c r="J12291" t="s">
        <v>39004</v>
      </c>
      <c r="K12291" t="s">
        <v>40678</v>
      </c>
      <c r="M12291" t="s">
        <v>44096</v>
      </c>
      <c r="N12291" t="s">
        <v>44905</v>
      </c>
      <c r="O12291" t="s">
        <v>44906</v>
      </c>
      <c r="P12291">
        <v>0</v>
      </c>
      <c r="Q12291">
        <v>30</v>
      </c>
      <c r="R12291" t="s">
        <v>44918</v>
      </c>
      <c r="S12291" t="s">
        <v>45447</v>
      </c>
      <c r="T12291" t="s">
        <v>46618</v>
      </c>
      <c r="U12291" t="s">
        <v>56764</v>
      </c>
      <c r="W12291" t="s">
        <v>44096</v>
      </c>
      <c r="X12291" t="s">
        <v>44919</v>
      </c>
    </row>
    <row r="12292" spans="1:24">
      <c r="A12292">
        <f>HYPERLINK("https://www.philgeps.gov.ph/GEPSNONPILOT/Tender/SplashBidNoticeAbstractUI.aspx?menuIndex=3&amp;refID=7058755&amp;Result=3","7058755")</f>
        <v>0</v>
      </c>
      <c r="B12292" t="s">
        <v>377</v>
      </c>
      <c r="C12292" t="s">
        <v>15261</v>
      </c>
      <c r="D12292" t="s">
        <v>18108</v>
      </c>
      <c r="E12292" t="s">
        <v>28845</v>
      </c>
      <c r="F12292" t="s">
        <v>31362</v>
      </c>
      <c r="G12292" t="s">
        <v>31369</v>
      </c>
      <c r="H12292" t="s">
        <v>31378</v>
      </c>
      <c r="I12292" t="s">
        <v>31386</v>
      </c>
      <c r="J12292" t="s">
        <v>39005</v>
      </c>
      <c r="K12292" t="s">
        <v>40883</v>
      </c>
      <c r="M12292" t="s">
        <v>44096</v>
      </c>
      <c r="N12292" t="s">
        <v>44905</v>
      </c>
      <c r="O12292" t="s">
        <v>44906</v>
      </c>
      <c r="P12292">
        <v>0</v>
      </c>
      <c r="Q12292">
        <v>31</v>
      </c>
      <c r="R12292" t="s">
        <v>44918</v>
      </c>
      <c r="S12292" t="s">
        <v>45447</v>
      </c>
      <c r="T12292" t="s">
        <v>46618</v>
      </c>
      <c r="U12292" t="s">
        <v>56765</v>
      </c>
      <c r="W12292" t="s">
        <v>44096</v>
      </c>
      <c r="X12292" t="s">
        <v>44919</v>
      </c>
    </row>
    <row r="12293" spans="1:24">
      <c r="A12293">
        <f>HYPERLINK("https://www.philgeps.gov.ph/GEPSNONPILOT/Tender/SplashBidNoticeAbstractUI.aspx?menuIndex=3&amp;refID=7058032&amp;Result=3","7058032")</f>
        <v>0</v>
      </c>
      <c r="B12293" t="s">
        <v>2577</v>
      </c>
      <c r="C12293" t="s">
        <v>15262</v>
      </c>
      <c r="D12293" t="s">
        <v>18153</v>
      </c>
      <c r="E12293" t="s">
        <v>28846</v>
      </c>
      <c r="F12293" t="s">
        <v>31362</v>
      </c>
      <c r="G12293" t="s">
        <v>31369</v>
      </c>
      <c r="H12293" t="s">
        <v>15799</v>
      </c>
      <c r="I12293" t="s">
        <v>31387</v>
      </c>
      <c r="J12293" t="s">
        <v>39006</v>
      </c>
      <c r="K12293" t="s">
        <v>40665</v>
      </c>
      <c r="M12293" t="s">
        <v>43751</v>
      </c>
      <c r="N12293" t="s">
        <v>44905</v>
      </c>
      <c r="O12293" t="s">
        <v>44906</v>
      </c>
      <c r="P12293">
        <v>0</v>
      </c>
      <c r="Q12293">
        <v>0</v>
      </c>
      <c r="R12293" t="s">
        <v>44919</v>
      </c>
      <c r="S12293" t="s">
        <v>45479</v>
      </c>
      <c r="T12293" t="s">
        <v>46560</v>
      </c>
      <c r="U12293" t="s">
        <v>56766</v>
      </c>
      <c r="V12293" t="s">
        <v>59961</v>
      </c>
      <c r="W12293" t="s">
        <v>43751</v>
      </c>
      <c r="X12293" t="s">
        <v>44921</v>
      </c>
    </row>
    <row r="12294" spans="1:24">
      <c r="A12294">
        <f>HYPERLINK("https://www.philgeps.gov.ph/GEPSNONPILOT/Tender/SplashBidNoticeAbstractUI.aspx?menuIndex=3&amp;refID=7058030&amp;Result=3","7058030")</f>
        <v>0</v>
      </c>
      <c r="B12294" t="s">
        <v>2577</v>
      </c>
      <c r="C12294" t="s">
        <v>15263</v>
      </c>
      <c r="D12294" t="s">
        <v>18153</v>
      </c>
      <c r="E12294" t="s">
        <v>28847</v>
      </c>
      <c r="F12294" t="s">
        <v>31362</v>
      </c>
      <c r="G12294" t="s">
        <v>31369</v>
      </c>
      <c r="H12294" t="s">
        <v>15799</v>
      </c>
      <c r="I12294" t="s">
        <v>31387</v>
      </c>
      <c r="J12294" t="s">
        <v>39007</v>
      </c>
      <c r="K12294" t="s">
        <v>40665</v>
      </c>
      <c r="M12294" t="s">
        <v>43751</v>
      </c>
      <c r="N12294" t="s">
        <v>44905</v>
      </c>
      <c r="O12294" t="s">
        <v>44906</v>
      </c>
      <c r="P12294">
        <v>0</v>
      </c>
      <c r="Q12294">
        <v>0</v>
      </c>
      <c r="R12294" t="s">
        <v>44919</v>
      </c>
      <c r="S12294" t="s">
        <v>45479</v>
      </c>
      <c r="T12294" t="s">
        <v>46560</v>
      </c>
      <c r="U12294" t="s">
        <v>56767</v>
      </c>
      <c r="V12294" t="s">
        <v>59961</v>
      </c>
      <c r="W12294" t="s">
        <v>43751</v>
      </c>
      <c r="X12294" t="s">
        <v>44921</v>
      </c>
    </row>
    <row r="12295" spans="1:24">
      <c r="A12295">
        <f>HYPERLINK("https://www.philgeps.gov.ph/GEPSNONPILOT/Tender/SplashBidNoticeAbstractUI.aspx?menuIndex=3&amp;refID=7058028&amp;Result=3","7058028")</f>
        <v>0</v>
      </c>
      <c r="B12295" t="s">
        <v>2577</v>
      </c>
      <c r="C12295" t="s">
        <v>15264</v>
      </c>
      <c r="D12295" t="s">
        <v>18153</v>
      </c>
      <c r="E12295" t="s">
        <v>28848</v>
      </c>
      <c r="F12295" t="s">
        <v>31362</v>
      </c>
      <c r="G12295" t="s">
        <v>31369</v>
      </c>
      <c r="H12295" t="s">
        <v>15799</v>
      </c>
      <c r="I12295" t="s">
        <v>31397</v>
      </c>
      <c r="J12295" t="s">
        <v>32959</v>
      </c>
      <c r="K12295" t="s">
        <v>40665</v>
      </c>
      <c r="M12295" t="s">
        <v>43751</v>
      </c>
      <c r="N12295" t="s">
        <v>44905</v>
      </c>
      <c r="O12295" t="s">
        <v>44906</v>
      </c>
      <c r="P12295">
        <v>0</v>
      </c>
      <c r="Q12295">
        <v>3</v>
      </c>
      <c r="R12295" t="s">
        <v>44919</v>
      </c>
      <c r="S12295" t="s">
        <v>45479</v>
      </c>
      <c r="T12295" t="s">
        <v>46560</v>
      </c>
      <c r="U12295" t="s">
        <v>56768</v>
      </c>
      <c r="V12295" t="s">
        <v>59961</v>
      </c>
      <c r="W12295" t="s">
        <v>43751</v>
      </c>
      <c r="X12295" t="s">
        <v>44921</v>
      </c>
    </row>
    <row r="12296" spans="1:24">
      <c r="A12296">
        <f>HYPERLINK("https://www.philgeps.gov.ph/GEPSNONPILOT/Tender/SplashBidNoticeAbstractUI.aspx?menuIndex=3&amp;refID=7058757&amp;Result=3","7058757")</f>
        <v>0</v>
      </c>
      <c r="B12296" t="s">
        <v>54</v>
      </c>
      <c r="C12296" t="s">
        <v>15265</v>
      </c>
      <c r="E12296" t="s">
        <v>28849</v>
      </c>
      <c r="F12296" t="s">
        <v>31362</v>
      </c>
      <c r="G12296" t="s">
        <v>31369</v>
      </c>
      <c r="H12296" t="s">
        <v>15799</v>
      </c>
      <c r="I12296" t="s">
        <v>31460</v>
      </c>
      <c r="J12296" t="s">
        <v>38894</v>
      </c>
      <c r="K12296" t="s">
        <v>40662</v>
      </c>
      <c r="M12296" t="s">
        <v>41869</v>
      </c>
      <c r="N12296" t="s">
        <v>44905</v>
      </c>
      <c r="O12296" t="s">
        <v>44906</v>
      </c>
      <c r="Q12296">
        <v>1</v>
      </c>
      <c r="R12296" t="s">
        <v>44918</v>
      </c>
      <c r="S12296" t="s">
        <v>45480</v>
      </c>
      <c r="T12296" t="s">
        <v>46560</v>
      </c>
      <c r="U12296" t="s">
        <v>56769</v>
      </c>
      <c r="V12296" t="s">
        <v>59287</v>
      </c>
      <c r="W12296" t="s">
        <v>41869</v>
      </c>
      <c r="X12296" t="s">
        <v>44919</v>
      </c>
    </row>
    <row r="12297" spans="1:24">
      <c r="A12297">
        <f>HYPERLINK("https://www.philgeps.gov.ph/GEPSNONPILOT/Tender/SplashBidNoticeAbstractUI.aspx?menuIndex=3&amp;refID=7054801&amp;Result=3","7054801")</f>
        <v>0</v>
      </c>
      <c r="B12297" t="s">
        <v>1025</v>
      </c>
      <c r="C12297" t="s">
        <v>15266</v>
      </c>
      <c r="E12297" t="s">
        <v>28850</v>
      </c>
      <c r="F12297" t="s">
        <v>31362</v>
      </c>
      <c r="G12297" t="s">
        <v>31369</v>
      </c>
      <c r="H12297" t="s">
        <v>15799</v>
      </c>
      <c r="I12297" t="s">
        <v>31414</v>
      </c>
      <c r="J12297" t="s">
        <v>39008</v>
      </c>
      <c r="K12297" t="s">
        <v>40665</v>
      </c>
      <c r="M12297" t="s">
        <v>42023</v>
      </c>
      <c r="N12297" t="s">
        <v>44905</v>
      </c>
      <c r="O12297" t="s">
        <v>44906</v>
      </c>
      <c r="Q12297">
        <v>2</v>
      </c>
      <c r="R12297" t="s">
        <v>44919</v>
      </c>
      <c r="S12297" t="s">
        <v>45481</v>
      </c>
      <c r="T12297" t="s">
        <v>46499</v>
      </c>
      <c r="U12297" t="s">
        <v>56770</v>
      </c>
      <c r="V12297" t="s">
        <v>60364</v>
      </c>
      <c r="W12297" t="s">
        <v>42023</v>
      </c>
      <c r="X12297" t="s">
        <v>44922</v>
      </c>
    </row>
    <row r="12298" spans="1:24">
      <c r="A12298">
        <f>HYPERLINK("https://www.philgeps.gov.ph/GEPSNONPILOT/Tender/SplashBidNoticeAbstractUI.aspx?menuIndex=3&amp;refID=7054111&amp;Result=3","7054111")</f>
        <v>0</v>
      </c>
      <c r="B12298" t="s">
        <v>916</v>
      </c>
      <c r="C12298" t="s">
        <v>15267</v>
      </c>
      <c r="D12298" t="s">
        <v>18101</v>
      </c>
      <c r="E12298" t="s">
        <v>28851</v>
      </c>
      <c r="F12298" t="s">
        <v>31362</v>
      </c>
      <c r="G12298" t="s">
        <v>31369</v>
      </c>
      <c r="H12298" t="s">
        <v>15799</v>
      </c>
      <c r="I12298" t="s">
        <v>4283</v>
      </c>
      <c r="J12298" t="s">
        <v>39009</v>
      </c>
      <c r="K12298" t="s">
        <v>40665</v>
      </c>
      <c r="M12298" t="s">
        <v>43804</v>
      </c>
      <c r="N12298" t="s">
        <v>44905</v>
      </c>
      <c r="O12298" t="s">
        <v>44906</v>
      </c>
      <c r="Q12298">
        <v>3</v>
      </c>
      <c r="R12298" t="s">
        <v>44919</v>
      </c>
      <c r="S12298" t="s">
        <v>45482</v>
      </c>
      <c r="T12298" t="s">
        <v>46481</v>
      </c>
      <c r="U12298" t="s">
        <v>56771</v>
      </c>
      <c r="V12298" t="s">
        <v>59976</v>
      </c>
      <c r="W12298" t="s">
        <v>43804</v>
      </c>
      <c r="X12298" t="s">
        <v>44922</v>
      </c>
    </row>
    <row r="12299" spans="1:24">
      <c r="A12299">
        <f>HYPERLINK("https://www.philgeps.gov.ph/GEPSNONPILOT/Tender/SplashBidNoticeAbstractUI.aspx?menuIndex=3&amp;refID=7053984&amp;Result=3","7053984")</f>
        <v>0</v>
      </c>
      <c r="B12299" t="s">
        <v>1025</v>
      </c>
      <c r="C12299" t="s">
        <v>15268</v>
      </c>
      <c r="E12299" t="s">
        <v>28852</v>
      </c>
      <c r="F12299" t="s">
        <v>31362</v>
      </c>
      <c r="G12299" t="s">
        <v>31369</v>
      </c>
      <c r="H12299" t="s">
        <v>15799</v>
      </c>
      <c r="I12299" t="s">
        <v>31414</v>
      </c>
      <c r="J12299" t="s">
        <v>39010</v>
      </c>
      <c r="K12299" t="s">
        <v>40662</v>
      </c>
      <c r="M12299" t="s">
        <v>42023</v>
      </c>
      <c r="N12299" t="s">
        <v>44905</v>
      </c>
      <c r="O12299" t="s">
        <v>44906</v>
      </c>
      <c r="P12299">
        <v>0</v>
      </c>
      <c r="Q12299">
        <v>1</v>
      </c>
      <c r="R12299" t="s">
        <v>44919</v>
      </c>
      <c r="S12299" t="s">
        <v>45479</v>
      </c>
      <c r="T12299" t="s">
        <v>46499</v>
      </c>
      <c r="U12299" t="s">
        <v>56772</v>
      </c>
      <c r="V12299" t="s">
        <v>60364</v>
      </c>
      <c r="W12299" t="s">
        <v>42023</v>
      </c>
      <c r="X12299" t="s">
        <v>44922</v>
      </c>
    </row>
    <row r="12300" spans="1:24">
      <c r="A12300">
        <f>HYPERLINK("https://www.philgeps.gov.ph/GEPSNONPILOT/Tender/SplashBidNoticeAbstractUI.aspx?menuIndex=3&amp;refID=7053962&amp;Result=3","7053962")</f>
        <v>0</v>
      </c>
      <c r="B12300" t="s">
        <v>1025</v>
      </c>
      <c r="C12300" t="s">
        <v>15269</v>
      </c>
      <c r="D12300" t="s">
        <v>18134</v>
      </c>
      <c r="E12300" t="s">
        <v>28853</v>
      </c>
      <c r="F12300" t="s">
        <v>31362</v>
      </c>
      <c r="G12300" t="s">
        <v>31369</v>
      </c>
      <c r="H12300" t="s">
        <v>15799</v>
      </c>
      <c r="I12300" t="s">
        <v>31410</v>
      </c>
      <c r="J12300" t="s">
        <v>39011</v>
      </c>
      <c r="K12300" t="s">
        <v>40662</v>
      </c>
      <c r="M12300" t="s">
        <v>42023</v>
      </c>
      <c r="N12300" t="s">
        <v>44905</v>
      </c>
      <c r="O12300" t="s">
        <v>44906</v>
      </c>
      <c r="P12300">
        <v>0</v>
      </c>
      <c r="Q12300">
        <v>2</v>
      </c>
      <c r="R12300" t="s">
        <v>44919</v>
      </c>
      <c r="S12300" t="s">
        <v>45479</v>
      </c>
      <c r="T12300" t="s">
        <v>46499</v>
      </c>
      <c r="U12300" t="s">
        <v>56773</v>
      </c>
      <c r="V12300" t="s">
        <v>60364</v>
      </c>
      <c r="W12300" t="s">
        <v>42023</v>
      </c>
      <c r="X12300" t="s">
        <v>44922</v>
      </c>
    </row>
    <row r="12301" spans="1:24">
      <c r="A12301">
        <f>HYPERLINK("https://www.philgeps.gov.ph/GEPSNONPILOT/Tender/SplashBidNoticeAbstractUI.aspx?menuIndex=3&amp;refID=7058930&amp;Result=3","7058930")</f>
        <v>0</v>
      </c>
      <c r="B12301" t="s">
        <v>3214</v>
      </c>
      <c r="C12301" t="s">
        <v>15270</v>
      </c>
      <c r="D12301" t="s">
        <v>18160</v>
      </c>
      <c r="E12301" t="s">
        <v>28854</v>
      </c>
      <c r="F12301" t="s">
        <v>31362</v>
      </c>
      <c r="G12301" t="s">
        <v>31369</v>
      </c>
      <c r="H12301" t="s">
        <v>31378</v>
      </c>
      <c r="I12301" t="s">
        <v>31386</v>
      </c>
      <c r="J12301" t="s">
        <v>39012</v>
      </c>
      <c r="K12301" t="s">
        <v>40662</v>
      </c>
      <c r="M12301" t="s">
        <v>44488</v>
      </c>
      <c r="N12301" t="s">
        <v>44905</v>
      </c>
      <c r="O12301" t="s">
        <v>44906</v>
      </c>
      <c r="P12301">
        <v>0</v>
      </c>
      <c r="Q12301">
        <v>0</v>
      </c>
      <c r="R12301" t="s">
        <v>44918</v>
      </c>
      <c r="S12301" t="s">
        <v>45447</v>
      </c>
      <c r="T12301" t="s">
        <v>46481</v>
      </c>
      <c r="U12301" t="s">
        <v>56774</v>
      </c>
      <c r="W12301" t="s">
        <v>44488</v>
      </c>
      <c r="X12301" t="s">
        <v>44919</v>
      </c>
    </row>
    <row r="12302" spans="1:24">
      <c r="A12302">
        <f>HYPERLINK("https://www.philgeps.gov.ph/GEPSNONPILOT/Tender/SplashBidNoticeAbstractUI.aspx?menuIndex=3&amp;refID=7058927&amp;Result=3","7058927")</f>
        <v>0</v>
      </c>
      <c r="B12302" t="s">
        <v>3214</v>
      </c>
      <c r="C12302" t="s">
        <v>15271</v>
      </c>
      <c r="D12302" t="s">
        <v>18160</v>
      </c>
      <c r="E12302" t="s">
        <v>28855</v>
      </c>
      <c r="F12302" t="s">
        <v>31362</v>
      </c>
      <c r="G12302" t="s">
        <v>31369</v>
      </c>
      <c r="H12302" t="s">
        <v>31378</v>
      </c>
      <c r="I12302" t="s">
        <v>31386</v>
      </c>
      <c r="J12302" t="s">
        <v>39013</v>
      </c>
      <c r="K12302" t="s">
        <v>40662</v>
      </c>
      <c r="M12302" t="s">
        <v>44488</v>
      </c>
      <c r="N12302" t="s">
        <v>44905</v>
      </c>
      <c r="O12302" t="s">
        <v>44906</v>
      </c>
      <c r="P12302">
        <v>0</v>
      </c>
      <c r="Q12302">
        <v>1</v>
      </c>
      <c r="R12302" t="s">
        <v>44918</v>
      </c>
      <c r="S12302" t="s">
        <v>45447</v>
      </c>
      <c r="T12302" t="s">
        <v>46481</v>
      </c>
      <c r="U12302" t="s">
        <v>56775</v>
      </c>
      <c r="W12302" t="s">
        <v>44488</v>
      </c>
      <c r="X12302" t="s">
        <v>44919</v>
      </c>
    </row>
    <row r="12303" spans="1:24">
      <c r="A12303">
        <f>HYPERLINK("https://www.philgeps.gov.ph/GEPSNONPILOT/Tender/SplashBidNoticeAbstractUI.aspx?menuIndex=3&amp;refID=7058923&amp;Result=3","7058923")</f>
        <v>0</v>
      </c>
      <c r="B12303" t="s">
        <v>3214</v>
      </c>
      <c r="C12303" t="s">
        <v>15272</v>
      </c>
      <c r="D12303" t="s">
        <v>18160</v>
      </c>
      <c r="E12303" t="s">
        <v>28856</v>
      </c>
      <c r="F12303" t="s">
        <v>31362</v>
      </c>
      <c r="G12303" t="s">
        <v>31369</v>
      </c>
      <c r="H12303" t="s">
        <v>31378</v>
      </c>
      <c r="I12303" t="s">
        <v>31386</v>
      </c>
      <c r="J12303" t="s">
        <v>39014</v>
      </c>
      <c r="K12303" t="s">
        <v>40662</v>
      </c>
      <c r="M12303" t="s">
        <v>44488</v>
      </c>
      <c r="N12303" t="s">
        <v>44905</v>
      </c>
      <c r="O12303" t="s">
        <v>44906</v>
      </c>
      <c r="P12303">
        <v>0</v>
      </c>
      <c r="Q12303">
        <v>0</v>
      </c>
      <c r="R12303" t="s">
        <v>44918</v>
      </c>
      <c r="S12303" t="s">
        <v>45447</v>
      </c>
      <c r="T12303" t="s">
        <v>46481</v>
      </c>
      <c r="U12303" t="s">
        <v>56776</v>
      </c>
      <c r="W12303" t="s">
        <v>44488</v>
      </c>
      <c r="X12303" t="s">
        <v>44919</v>
      </c>
    </row>
    <row r="12304" spans="1:24">
      <c r="A12304">
        <f>HYPERLINK("https://www.philgeps.gov.ph/GEPSNONPILOT/Tender/SplashBidNoticeAbstractUI.aspx?menuIndex=3&amp;refID=7058922&amp;Result=3","7058922")</f>
        <v>0</v>
      </c>
      <c r="B12304" t="s">
        <v>3214</v>
      </c>
      <c r="C12304" t="s">
        <v>15273</v>
      </c>
      <c r="D12304" t="s">
        <v>18160</v>
      </c>
      <c r="E12304" t="s">
        <v>28857</v>
      </c>
      <c r="F12304" t="s">
        <v>31362</v>
      </c>
      <c r="G12304" t="s">
        <v>31369</v>
      </c>
      <c r="H12304" t="s">
        <v>31378</v>
      </c>
      <c r="I12304" t="s">
        <v>31386</v>
      </c>
      <c r="J12304" t="s">
        <v>39015</v>
      </c>
      <c r="K12304" t="s">
        <v>40662</v>
      </c>
      <c r="M12304" t="s">
        <v>44488</v>
      </c>
      <c r="N12304" t="s">
        <v>44905</v>
      </c>
      <c r="O12304" t="s">
        <v>44906</v>
      </c>
      <c r="P12304">
        <v>0</v>
      </c>
      <c r="Q12304">
        <v>0</v>
      </c>
      <c r="R12304" t="s">
        <v>44918</v>
      </c>
      <c r="S12304" t="s">
        <v>45447</v>
      </c>
      <c r="T12304" t="s">
        <v>46481</v>
      </c>
      <c r="U12304" t="s">
        <v>56777</v>
      </c>
      <c r="W12304" t="s">
        <v>44488</v>
      </c>
      <c r="X12304" t="s">
        <v>44919</v>
      </c>
    </row>
    <row r="12305" spans="1:24">
      <c r="A12305">
        <f>HYPERLINK("https://www.philgeps.gov.ph/GEPSNONPILOT/Tender/SplashBidNoticeAbstractUI.aspx?menuIndex=3&amp;refID=7058912&amp;Result=3","7058912")</f>
        <v>0</v>
      </c>
      <c r="B12305" t="s">
        <v>2474</v>
      </c>
      <c r="C12305" t="s">
        <v>15274</v>
      </c>
      <c r="D12305" t="s">
        <v>18107</v>
      </c>
      <c r="E12305" t="s">
        <v>28858</v>
      </c>
      <c r="F12305" t="s">
        <v>31362</v>
      </c>
      <c r="G12305" t="s">
        <v>31369</v>
      </c>
      <c r="H12305" t="s">
        <v>31378</v>
      </c>
      <c r="I12305" t="s">
        <v>31386</v>
      </c>
      <c r="J12305" t="s">
        <v>31821</v>
      </c>
      <c r="K12305" t="s">
        <v>40812</v>
      </c>
      <c r="M12305" t="s">
        <v>43637</v>
      </c>
      <c r="N12305" t="s">
        <v>44905</v>
      </c>
      <c r="O12305" t="s">
        <v>44906</v>
      </c>
      <c r="P12305">
        <v>0</v>
      </c>
      <c r="Q12305">
        <v>0</v>
      </c>
      <c r="R12305" t="s">
        <v>44918</v>
      </c>
      <c r="S12305" t="s">
        <v>45447</v>
      </c>
      <c r="T12305" t="s">
        <v>46392</v>
      </c>
      <c r="U12305" t="s">
        <v>56778</v>
      </c>
      <c r="V12305" t="s">
        <v>60365</v>
      </c>
      <c r="W12305" t="s">
        <v>43637</v>
      </c>
      <c r="X12305" t="s">
        <v>44919</v>
      </c>
    </row>
    <row r="12306" spans="1:24">
      <c r="A12306">
        <f>HYPERLINK("https://www.philgeps.gov.ph/GEPSNONPILOT/Tender/SplashBidNoticeAbstractUI.aspx?menuIndex=3&amp;refID=7058780&amp;Result=3","7058780")</f>
        <v>0</v>
      </c>
      <c r="B12306" t="s">
        <v>377</v>
      </c>
      <c r="C12306" t="s">
        <v>15275</v>
      </c>
      <c r="D12306" t="s">
        <v>18108</v>
      </c>
      <c r="E12306" t="s">
        <v>28859</v>
      </c>
      <c r="F12306" t="s">
        <v>31362</v>
      </c>
      <c r="G12306" t="s">
        <v>31369</v>
      </c>
      <c r="H12306" t="s">
        <v>31378</v>
      </c>
      <c r="I12306" t="s">
        <v>31386</v>
      </c>
      <c r="J12306" t="s">
        <v>39016</v>
      </c>
      <c r="K12306" t="s">
        <v>40669</v>
      </c>
      <c r="M12306" t="s">
        <v>44096</v>
      </c>
      <c r="N12306" t="s">
        <v>44905</v>
      </c>
      <c r="O12306" t="s">
        <v>44906</v>
      </c>
      <c r="P12306">
        <v>0</v>
      </c>
      <c r="Q12306">
        <v>26</v>
      </c>
      <c r="R12306" t="s">
        <v>44918</v>
      </c>
      <c r="S12306" t="s">
        <v>45447</v>
      </c>
      <c r="T12306" t="s">
        <v>46618</v>
      </c>
      <c r="U12306" t="s">
        <v>56779</v>
      </c>
      <c r="W12306" t="s">
        <v>44096</v>
      </c>
      <c r="X12306" t="s">
        <v>44919</v>
      </c>
    </row>
    <row r="12307" spans="1:24">
      <c r="A12307">
        <f>HYPERLINK("https://www.philgeps.gov.ph/GEPSNONPILOT/Tender/SplashBidNoticeAbstractUI.aspx?menuIndex=3&amp;refID=7058911&amp;Result=3","7058911")</f>
        <v>0</v>
      </c>
      <c r="B12307" t="s">
        <v>3214</v>
      </c>
      <c r="C12307" t="s">
        <v>15276</v>
      </c>
      <c r="D12307" t="s">
        <v>18160</v>
      </c>
      <c r="E12307" t="s">
        <v>28860</v>
      </c>
      <c r="F12307" t="s">
        <v>31362</v>
      </c>
      <c r="G12307" t="s">
        <v>31369</v>
      </c>
      <c r="H12307" t="s">
        <v>15799</v>
      </c>
      <c r="I12307" t="s">
        <v>31404</v>
      </c>
      <c r="J12307" t="s">
        <v>39017</v>
      </c>
      <c r="K12307" t="s">
        <v>40712</v>
      </c>
      <c r="M12307" t="s">
        <v>44489</v>
      </c>
      <c r="N12307" t="s">
        <v>44905</v>
      </c>
      <c r="O12307" t="s">
        <v>44906</v>
      </c>
      <c r="P12307">
        <v>0</v>
      </c>
      <c r="Q12307">
        <v>1</v>
      </c>
      <c r="R12307" t="s">
        <v>44918</v>
      </c>
      <c r="S12307" t="s">
        <v>45447</v>
      </c>
      <c r="T12307" t="s">
        <v>46481</v>
      </c>
      <c r="U12307" t="s">
        <v>56780</v>
      </c>
      <c r="W12307" t="s">
        <v>44488</v>
      </c>
      <c r="X12307" t="s">
        <v>44919</v>
      </c>
    </row>
    <row r="12308" spans="1:24">
      <c r="A12308">
        <f>HYPERLINK("https://www.philgeps.gov.ph/GEPSNONPILOT/Tender/SplashBidNoticeAbstractUI.aspx?menuIndex=3&amp;refID=7058209&amp;Result=3","7058209")</f>
        <v>0</v>
      </c>
      <c r="B12308" t="s">
        <v>385</v>
      </c>
      <c r="C12308" t="s">
        <v>15277</v>
      </c>
      <c r="D12308" t="s">
        <v>18108</v>
      </c>
      <c r="E12308" t="s">
        <v>28861</v>
      </c>
      <c r="F12308" t="s">
        <v>31362</v>
      </c>
      <c r="G12308" t="s">
        <v>31369</v>
      </c>
      <c r="H12308" t="s">
        <v>15799</v>
      </c>
      <c r="I12308" t="s">
        <v>3815</v>
      </c>
      <c r="J12308" t="s">
        <v>39018</v>
      </c>
      <c r="K12308" t="s">
        <v>40666</v>
      </c>
      <c r="M12308" t="s">
        <v>41333</v>
      </c>
      <c r="N12308" t="s">
        <v>44905</v>
      </c>
      <c r="O12308" t="s">
        <v>44906</v>
      </c>
      <c r="P12308">
        <v>0</v>
      </c>
      <c r="Q12308">
        <v>0</v>
      </c>
      <c r="R12308" t="s">
        <v>44919</v>
      </c>
      <c r="S12308" t="s">
        <v>45479</v>
      </c>
      <c r="T12308" t="s">
        <v>46470</v>
      </c>
      <c r="U12308" t="s">
        <v>56781</v>
      </c>
      <c r="W12308" t="s">
        <v>60851</v>
      </c>
      <c r="X12308" t="s">
        <v>44920</v>
      </c>
    </row>
    <row r="12309" spans="1:24">
      <c r="A12309">
        <f>HYPERLINK("https://www.philgeps.gov.ph/GEPSNONPILOT/Tender/SplashBidNoticeAbstractUI.aspx?menuIndex=3&amp;refID=7058207&amp;Result=3","7058207")</f>
        <v>0</v>
      </c>
      <c r="B12309" t="s">
        <v>3215</v>
      </c>
      <c r="C12309" t="s">
        <v>15278</v>
      </c>
      <c r="D12309" t="s">
        <v>18123</v>
      </c>
      <c r="E12309" t="s">
        <v>28862</v>
      </c>
      <c r="F12309" t="s">
        <v>31362</v>
      </c>
      <c r="G12309" t="s">
        <v>31369</v>
      </c>
      <c r="H12309" t="s">
        <v>15799</v>
      </c>
      <c r="I12309" t="s">
        <v>7090</v>
      </c>
      <c r="J12309" t="s">
        <v>39019</v>
      </c>
      <c r="K12309" t="s">
        <v>40666</v>
      </c>
      <c r="M12309" t="s">
        <v>44490</v>
      </c>
      <c r="N12309" t="s">
        <v>44905</v>
      </c>
      <c r="O12309" t="s">
        <v>44906</v>
      </c>
      <c r="P12309">
        <v>0</v>
      </c>
      <c r="Q12309">
        <v>1</v>
      </c>
      <c r="R12309" t="s">
        <v>44919</v>
      </c>
      <c r="S12309" t="s">
        <v>45479</v>
      </c>
      <c r="T12309" t="s">
        <v>46392</v>
      </c>
      <c r="U12309" t="s">
        <v>56782</v>
      </c>
      <c r="W12309" t="s">
        <v>44490</v>
      </c>
      <c r="X12309" t="s">
        <v>44920</v>
      </c>
    </row>
    <row r="12310" spans="1:24">
      <c r="A12310">
        <f>HYPERLINK("https://www.philgeps.gov.ph/GEPSNONPILOT/Tender/SplashBidNoticeAbstractUI.aspx?menuIndex=3&amp;refID=7054016&amp;Result=3","7054016")</f>
        <v>0</v>
      </c>
      <c r="B12310" t="s">
        <v>1025</v>
      </c>
      <c r="C12310" t="s">
        <v>15279</v>
      </c>
      <c r="E12310" t="s">
        <v>28863</v>
      </c>
      <c r="F12310" t="s">
        <v>31362</v>
      </c>
      <c r="G12310" t="s">
        <v>31369</v>
      </c>
      <c r="H12310" t="s">
        <v>15799</v>
      </c>
      <c r="I12310" t="s">
        <v>31414</v>
      </c>
      <c r="J12310" t="s">
        <v>39020</v>
      </c>
      <c r="K12310" t="s">
        <v>40662</v>
      </c>
      <c r="M12310" t="s">
        <v>42023</v>
      </c>
      <c r="N12310" t="s">
        <v>44905</v>
      </c>
      <c r="O12310" t="s">
        <v>44906</v>
      </c>
      <c r="P12310">
        <v>0</v>
      </c>
      <c r="Q12310">
        <v>1</v>
      </c>
      <c r="R12310" t="s">
        <v>44919</v>
      </c>
      <c r="S12310" t="s">
        <v>45479</v>
      </c>
      <c r="T12310" t="s">
        <v>46499</v>
      </c>
      <c r="U12310" t="s">
        <v>56783</v>
      </c>
      <c r="V12310" t="s">
        <v>60364</v>
      </c>
      <c r="W12310" t="s">
        <v>42023</v>
      </c>
      <c r="X12310" t="s">
        <v>44922</v>
      </c>
    </row>
    <row r="12311" spans="1:24">
      <c r="A12311">
        <f>HYPERLINK("https://www.philgeps.gov.ph/GEPSNONPILOT/Tender/SplashBidNoticeAbstractUI.aspx?menuIndex=3&amp;refID=7058205&amp;Result=3","7058205")</f>
        <v>0</v>
      </c>
      <c r="B12311" t="s">
        <v>385</v>
      </c>
      <c r="C12311" t="s">
        <v>15280</v>
      </c>
      <c r="D12311" t="s">
        <v>18108</v>
      </c>
      <c r="E12311" t="s">
        <v>28864</v>
      </c>
      <c r="F12311" t="s">
        <v>31362</v>
      </c>
      <c r="G12311" t="s">
        <v>31369</v>
      </c>
      <c r="H12311" t="s">
        <v>15799</v>
      </c>
      <c r="I12311" t="s">
        <v>3815</v>
      </c>
      <c r="J12311" t="s">
        <v>39021</v>
      </c>
      <c r="K12311" t="s">
        <v>40666</v>
      </c>
      <c r="M12311" t="s">
        <v>41333</v>
      </c>
      <c r="N12311" t="s">
        <v>44905</v>
      </c>
      <c r="O12311" t="s">
        <v>44906</v>
      </c>
      <c r="P12311">
        <v>0</v>
      </c>
      <c r="Q12311">
        <v>0</v>
      </c>
      <c r="R12311" t="s">
        <v>44919</v>
      </c>
      <c r="S12311" t="s">
        <v>45479</v>
      </c>
      <c r="T12311" t="s">
        <v>46470</v>
      </c>
      <c r="U12311" t="s">
        <v>56784</v>
      </c>
      <c r="W12311" t="s">
        <v>60851</v>
      </c>
      <c r="X12311" t="s">
        <v>44920</v>
      </c>
    </row>
    <row r="12312" spans="1:24">
      <c r="A12312">
        <f>HYPERLINK("https://www.philgeps.gov.ph/GEPSNONPILOT/Tender/SplashBidNoticeAbstractUI.aspx?menuIndex=3&amp;refID=7058184&amp;Result=3","7058184")</f>
        <v>0</v>
      </c>
      <c r="B12312" t="s">
        <v>1849</v>
      </c>
      <c r="C12312" t="s">
        <v>8972</v>
      </c>
      <c r="D12312" t="s">
        <v>18108</v>
      </c>
      <c r="E12312" t="s">
        <v>28865</v>
      </c>
      <c r="F12312" t="s">
        <v>31362</v>
      </c>
      <c r="G12312" t="s">
        <v>31369</v>
      </c>
      <c r="H12312" t="s">
        <v>15799</v>
      </c>
      <c r="I12312" t="s">
        <v>31466</v>
      </c>
      <c r="J12312" t="s">
        <v>39022</v>
      </c>
      <c r="K12312" t="s">
        <v>40661</v>
      </c>
      <c r="M12312" t="s">
        <v>42938</v>
      </c>
      <c r="N12312" t="s">
        <v>44905</v>
      </c>
      <c r="O12312" t="s">
        <v>44906</v>
      </c>
      <c r="P12312">
        <v>0</v>
      </c>
      <c r="Q12312">
        <v>0</v>
      </c>
      <c r="R12312" t="s">
        <v>44919</v>
      </c>
      <c r="S12312" t="s">
        <v>45479</v>
      </c>
      <c r="T12312" t="s">
        <v>46560</v>
      </c>
      <c r="U12312" t="s">
        <v>56785</v>
      </c>
      <c r="W12312" t="s">
        <v>42938</v>
      </c>
      <c r="X12312" t="s">
        <v>44920</v>
      </c>
    </row>
    <row r="12313" spans="1:24">
      <c r="A12313">
        <f>HYPERLINK("https://www.philgeps.gov.ph/GEPSNONPILOT/Tender/SplashBidNoticeAbstractUI.aspx?menuIndex=3&amp;refID=7058917&amp;Result=3","7058917")</f>
        <v>0</v>
      </c>
      <c r="B12313" t="s">
        <v>3112</v>
      </c>
      <c r="C12313" t="s">
        <v>15281</v>
      </c>
      <c r="D12313" t="s">
        <v>18140</v>
      </c>
      <c r="E12313" t="s">
        <v>28866</v>
      </c>
      <c r="F12313" t="s">
        <v>31362</v>
      </c>
      <c r="G12313" t="s">
        <v>31369</v>
      </c>
      <c r="H12313" t="s">
        <v>15799</v>
      </c>
      <c r="I12313" t="s">
        <v>31413</v>
      </c>
      <c r="J12313" t="s">
        <v>39023</v>
      </c>
      <c r="K12313" t="s">
        <v>40670</v>
      </c>
      <c r="M12313" t="s">
        <v>44364</v>
      </c>
      <c r="N12313" t="s">
        <v>44905</v>
      </c>
      <c r="O12313" t="s">
        <v>44906</v>
      </c>
      <c r="P12313">
        <v>0</v>
      </c>
      <c r="Q12313">
        <v>6</v>
      </c>
      <c r="R12313" t="s">
        <v>44918</v>
      </c>
      <c r="S12313" t="s">
        <v>45447</v>
      </c>
      <c r="T12313" t="s">
        <v>46560</v>
      </c>
      <c r="U12313" t="s">
        <v>56786</v>
      </c>
      <c r="V12313" t="s">
        <v>60310</v>
      </c>
      <c r="W12313" t="s">
        <v>44364</v>
      </c>
      <c r="X12313" t="s">
        <v>44919</v>
      </c>
    </row>
    <row r="12314" spans="1:24">
      <c r="A12314">
        <f>HYPERLINK("https://www.philgeps.gov.ph/GEPSNONPILOT/Tender/SplashBidNoticeAbstractUI.aspx?menuIndex=3&amp;refID=7058133&amp;Result=3","7058133")</f>
        <v>0</v>
      </c>
      <c r="B12314" t="s">
        <v>3128</v>
      </c>
      <c r="C12314" t="s">
        <v>15282</v>
      </c>
      <c r="D12314" t="s">
        <v>18115</v>
      </c>
      <c r="E12314" t="s">
        <v>21491</v>
      </c>
      <c r="F12314" t="s">
        <v>31365</v>
      </c>
      <c r="G12314" t="s">
        <v>31369</v>
      </c>
      <c r="H12314" t="s">
        <v>15799</v>
      </c>
      <c r="I12314" t="s">
        <v>31409</v>
      </c>
      <c r="J12314" t="s">
        <v>38631</v>
      </c>
      <c r="K12314" t="s">
        <v>40666</v>
      </c>
      <c r="M12314" t="s">
        <v>44384</v>
      </c>
      <c r="N12314" t="s">
        <v>44905</v>
      </c>
      <c r="O12314" t="s">
        <v>44906</v>
      </c>
      <c r="P12314">
        <v>0</v>
      </c>
      <c r="Q12314">
        <v>1</v>
      </c>
      <c r="R12314" t="s">
        <v>44919</v>
      </c>
      <c r="S12314" t="s">
        <v>45479</v>
      </c>
      <c r="T12314" t="s">
        <v>46411</v>
      </c>
      <c r="U12314" t="s">
        <v>56787</v>
      </c>
      <c r="V12314" t="s">
        <v>60366</v>
      </c>
      <c r="W12314" t="s">
        <v>44384</v>
      </c>
      <c r="X12314" t="s">
        <v>44920</v>
      </c>
    </row>
    <row r="12315" spans="1:24">
      <c r="A12315">
        <f>HYPERLINK("https://www.philgeps.gov.ph/GEPSNONPILOT/Tender/SplashBidNoticeAbstractUI.aspx?menuIndex=3&amp;refID=7058119&amp;Result=3","7058119")</f>
        <v>0</v>
      </c>
      <c r="B12315" t="s">
        <v>1153</v>
      </c>
      <c r="C12315" t="s">
        <v>15283</v>
      </c>
      <c r="D12315" t="s">
        <v>18122</v>
      </c>
      <c r="E12315" t="s">
        <v>28867</v>
      </c>
      <c r="F12315" t="s">
        <v>31362</v>
      </c>
      <c r="G12315" t="s">
        <v>31369</v>
      </c>
      <c r="H12315" t="s">
        <v>15799</v>
      </c>
      <c r="I12315" t="s">
        <v>3815</v>
      </c>
      <c r="J12315" t="s">
        <v>39024</v>
      </c>
      <c r="K12315" t="s">
        <v>40665</v>
      </c>
      <c r="M12315" t="s">
        <v>42162</v>
      </c>
      <c r="N12315" t="s">
        <v>44905</v>
      </c>
      <c r="O12315" t="s">
        <v>44906</v>
      </c>
      <c r="P12315">
        <v>0</v>
      </c>
      <c r="Q12315">
        <v>2</v>
      </c>
      <c r="R12315" t="s">
        <v>44919</v>
      </c>
      <c r="S12315" t="s">
        <v>45479</v>
      </c>
      <c r="T12315" t="s">
        <v>46482</v>
      </c>
      <c r="U12315" t="s">
        <v>56788</v>
      </c>
      <c r="W12315" t="s">
        <v>42162</v>
      </c>
      <c r="X12315" t="s">
        <v>44920</v>
      </c>
    </row>
    <row r="12316" spans="1:24">
      <c r="A12316">
        <f>HYPERLINK("https://www.philgeps.gov.ph/GEPSNONPILOT/Tender/SplashBidNoticeAbstractUI.aspx?menuIndex=3&amp;refID=7058158&amp;Result=3","7058158")</f>
        <v>0</v>
      </c>
      <c r="B12316" t="s">
        <v>3216</v>
      </c>
      <c r="C12316" t="s">
        <v>15284</v>
      </c>
      <c r="D12316" t="s">
        <v>18140</v>
      </c>
      <c r="E12316" t="s">
        <v>28868</v>
      </c>
      <c r="F12316" t="s">
        <v>31363</v>
      </c>
      <c r="G12316" t="s">
        <v>31369</v>
      </c>
      <c r="H12316" t="s">
        <v>31378</v>
      </c>
      <c r="I12316" t="s">
        <v>31386</v>
      </c>
      <c r="J12316" t="s">
        <v>31969</v>
      </c>
      <c r="K12316" t="s">
        <v>40662</v>
      </c>
      <c r="M12316" t="s">
        <v>44491</v>
      </c>
      <c r="N12316" t="s">
        <v>44905</v>
      </c>
      <c r="O12316" t="s">
        <v>44906</v>
      </c>
      <c r="P12316">
        <v>0</v>
      </c>
      <c r="Q12316">
        <v>0</v>
      </c>
      <c r="R12316" t="s">
        <v>44919</v>
      </c>
      <c r="S12316" t="s">
        <v>45479</v>
      </c>
      <c r="T12316" t="s">
        <v>46415</v>
      </c>
      <c r="U12316" t="s">
        <v>56789</v>
      </c>
      <c r="W12316" t="s">
        <v>44491</v>
      </c>
      <c r="X12316" t="s">
        <v>44920</v>
      </c>
    </row>
    <row r="12317" spans="1:24">
      <c r="A12317">
        <f>HYPERLINK("https://www.philgeps.gov.ph/GEPSNONPILOT/Tender/SplashBidNoticeAbstractUI.aspx?menuIndex=3&amp;refID=7058110&amp;Result=3","7058110")</f>
        <v>0</v>
      </c>
      <c r="B12317" t="s">
        <v>3217</v>
      </c>
      <c r="C12317" t="s">
        <v>15285</v>
      </c>
      <c r="D12317" t="s">
        <v>18180</v>
      </c>
      <c r="E12317" t="s">
        <v>28869</v>
      </c>
      <c r="F12317" t="s">
        <v>31362</v>
      </c>
      <c r="G12317" t="s">
        <v>31369</v>
      </c>
      <c r="H12317" t="s">
        <v>31377</v>
      </c>
      <c r="I12317" t="s">
        <v>31377</v>
      </c>
      <c r="J12317" t="s">
        <v>37729</v>
      </c>
      <c r="K12317" t="s">
        <v>40665</v>
      </c>
      <c r="M12317" t="s">
        <v>44492</v>
      </c>
      <c r="N12317" t="s">
        <v>44905</v>
      </c>
      <c r="O12317" t="s">
        <v>44906</v>
      </c>
      <c r="P12317">
        <v>0</v>
      </c>
      <c r="Q12317">
        <v>0</v>
      </c>
      <c r="R12317" t="s">
        <v>44919</v>
      </c>
      <c r="S12317" t="s">
        <v>45479</v>
      </c>
      <c r="T12317" t="s">
        <v>46447</v>
      </c>
      <c r="U12317" t="s">
        <v>56790</v>
      </c>
      <c r="W12317" t="s">
        <v>44492</v>
      </c>
      <c r="X12317" t="s">
        <v>44920</v>
      </c>
    </row>
    <row r="12318" spans="1:24">
      <c r="A12318">
        <f>HYPERLINK("https://www.philgeps.gov.ph/GEPSNONPILOT/Tender/SplashBidNoticeAbstractUI.aspx?menuIndex=3&amp;refID=7058104&amp;Result=3","7058104")</f>
        <v>0</v>
      </c>
      <c r="B12318" t="s">
        <v>3218</v>
      </c>
      <c r="C12318" t="s">
        <v>15286</v>
      </c>
      <c r="D12318" t="s">
        <v>18107</v>
      </c>
      <c r="E12318" t="s">
        <v>28870</v>
      </c>
      <c r="F12318" t="s">
        <v>31363</v>
      </c>
      <c r="G12318" t="s">
        <v>31369</v>
      </c>
      <c r="H12318" t="s">
        <v>15799</v>
      </c>
      <c r="I12318" t="s">
        <v>31409</v>
      </c>
      <c r="J12318" t="s">
        <v>39025</v>
      </c>
      <c r="K12318" t="s">
        <v>40680</v>
      </c>
      <c r="M12318" t="s">
        <v>44493</v>
      </c>
      <c r="N12318" t="s">
        <v>44905</v>
      </c>
      <c r="O12318" t="s">
        <v>44906</v>
      </c>
      <c r="P12318">
        <v>0</v>
      </c>
      <c r="Q12318">
        <v>4</v>
      </c>
      <c r="R12318" t="s">
        <v>44919</v>
      </c>
      <c r="S12318" t="s">
        <v>45479</v>
      </c>
      <c r="T12318" t="s">
        <v>46414</v>
      </c>
      <c r="U12318" t="s">
        <v>56791</v>
      </c>
      <c r="W12318" t="s">
        <v>44493</v>
      </c>
      <c r="X12318" t="s">
        <v>44920</v>
      </c>
    </row>
    <row r="12319" spans="1:24">
      <c r="A12319">
        <f>HYPERLINK("https://www.philgeps.gov.ph/GEPSNONPILOT/Tender/SplashBidNoticeAbstractUI.aspx?menuIndex=3&amp;refID=7058095&amp;Result=3","7058095")</f>
        <v>0</v>
      </c>
      <c r="B12319" t="s">
        <v>3217</v>
      </c>
      <c r="C12319" t="s">
        <v>15287</v>
      </c>
      <c r="D12319" t="s">
        <v>18180</v>
      </c>
      <c r="E12319" t="s">
        <v>28871</v>
      </c>
      <c r="F12319" t="s">
        <v>31362</v>
      </c>
      <c r="G12319" t="s">
        <v>31369</v>
      </c>
      <c r="H12319" t="s">
        <v>31378</v>
      </c>
      <c r="I12319" t="s">
        <v>31386</v>
      </c>
      <c r="J12319" t="s">
        <v>39026</v>
      </c>
      <c r="K12319" t="s">
        <v>40725</v>
      </c>
      <c r="M12319" t="s">
        <v>44492</v>
      </c>
      <c r="N12319" t="s">
        <v>44905</v>
      </c>
      <c r="O12319" t="s">
        <v>44906</v>
      </c>
      <c r="P12319">
        <v>0</v>
      </c>
      <c r="Q12319">
        <v>0</v>
      </c>
      <c r="R12319" t="s">
        <v>44919</v>
      </c>
      <c r="S12319" t="s">
        <v>45479</v>
      </c>
      <c r="T12319" t="s">
        <v>46470</v>
      </c>
      <c r="U12319" t="s">
        <v>56792</v>
      </c>
      <c r="W12319" t="s">
        <v>44492</v>
      </c>
      <c r="X12319" t="s">
        <v>44920</v>
      </c>
    </row>
    <row r="12320" spans="1:24">
      <c r="A12320">
        <f>HYPERLINK("https://www.philgeps.gov.ph/GEPSNONPILOT/Tender/SplashBidNoticeAbstractUI.aspx?menuIndex=3&amp;refID=7058115&amp;Result=3","7058115")</f>
        <v>0</v>
      </c>
      <c r="B12320" t="s">
        <v>1153</v>
      </c>
      <c r="C12320" t="s">
        <v>15288</v>
      </c>
      <c r="D12320" t="s">
        <v>18122</v>
      </c>
      <c r="E12320" t="s">
        <v>28872</v>
      </c>
      <c r="F12320" t="s">
        <v>31362</v>
      </c>
      <c r="G12320" t="s">
        <v>31369</v>
      </c>
      <c r="H12320" t="s">
        <v>15799</v>
      </c>
      <c r="I12320" t="s">
        <v>3815</v>
      </c>
      <c r="J12320" t="s">
        <v>39027</v>
      </c>
      <c r="K12320" t="s">
        <v>40665</v>
      </c>
      <c r="M12320" t="s">
        <v>42162</v>
      </c>
      <c r="N12320" t="s">
        <v>44905</v>
      </c>
      <c r="O12320" t="s">
        <v>44906</v>
      </c>
      <c r="P12320">
        <v>0</v>
      </c>
      <c r="Q12320">
        <v>4</v>
      </c>
      <c r="R12320" t="s">
        <v>44919</v>
      </c>
      <c r="S12320" t="s">
        <v>45479</v>
      </c>
      <c r="T12320" t="s">
        <v>46482</v>
      </c>
      <c r="U12320" t="s">
        <v>56793</v>
      </c>
      <c r="W12320" t="s">
        <v>42162</v>
      </c>
      <c r="X12320" t="s">
        <v>44920</v>
      </c>
    </row>
    <row r="12321" spans="1:24">
      <c r="A12321">
        <f>HYPERLINK("https://www.philgeps.gov.ph/GEPSNONPILOT/Tender/SplashBidNoticeAbstractUI.aspx?menuIndex=3&amp;refID=7058107&amp;Result=3","7058107")</f>
        <v>0</v>
      </c>
      <c r="B12321" t="s">
        <v>3217</v>
      </c>
      <c r="C12321" t="s">
        <v>15289</v>
      </c>
      <c r="D12321" t="s">
        <v>18180</v>
      </c>
      <c r="E12321" t="s">
        <v>28873</v>
      </c>
      <c r="F12321" t="s">
        <v>31362</v>
      </c>
      <c r="G12321" t="s">
        <v>31369</v>
      </c>
      <c r="H12321" t="s">
        <v>31378</v>
      </c>
      <c r="I12321" t="s">
        <v>31386</v>
      </c>
      <c r="J12321" t="s">
        <v>39028</v>
      </c>
      <c r="K12321" t="s">
        <v>40682</v>
      </c>
      <c r="M12321" t="s">
        <v>44492</v>
      </c>
      <c r="N12321" t="s">
        <v>44905</v>
      </c>
      <c r="O12321" t="s">
        <v>44906</v>
      </c>
      <c r="P12321">
        <v>0</v>
      </c>
      <c r="Q12321">
        <v>0</v>
      </c>
      <c r="R12321" t="s">
        <v>44919</v>
      </c>
      <c r="S12321" t="s">
        <v>45479</v>
      </c>
      <c r="T12321" t="s">
        <v>46470</v>
      </c>
      <c r="U12321" t="s">
        <v>56794</v>
      </c>
      <c r="W12321" t="s">
        <v>44492</v>
      </c>
      <c r="X12321" t="s">
        <v>44920</v>
      </c>
    </row>
    <row r="12322" spans="1:24">
      <c r="A12322">
        <f>HYPERLINK("https://www.philgeps.gov.ph/GEPSNONPILOT/Tender/SplashBidNoticeAbstractUI.aspx?menuIndex=3&amp;refID=7058080&amp;Result=3","7058080")</f>
        <v>0</v>
      </c>
      <c r="B12322" t="s">
        <v>3219</v>
      </c>
      <c r="C12322" t="s">
        <v>15290</v>
      </c>
      <c r="D12322" t="s">
        <v>18154</v>
      </c>
      <c r="E12322" t="s">
        <v>22044</v>
      </c>
      <c r="F12322" t="s">
        <v>31362</v>
      </c>
      <c r="G12322" t="s">
        <v>31369</v>
      </c>
      <c r="H12322" t="s">
        <v>15799</v>
      </c>
      <c r="I12322" t="s">
        <v>31409</v>
      </c>
      <c r="J12322" t="s">
        <v>33446</v>
      </c>
      <c r="K12322" t="s">
        <v>40665</v>
      </c>
      <c r="M12322" t="s">
        <v>44494</v>
      </c>
      <c r="N12322" t="s">
        <v>44905</v>
      </c>
      <c r="O12322" t="s">
        <v>44906</v>
      </c>
      <c r="P12322">
        <v>0</v>
      </c>
      <c r="Q12322">
        <v>4</v>
      </c>
      <c r="R12322" t="s">
        <v>44919</v>
      </c>
      <c r="S12322" t="s">
        <v>45479</v>
      </c>
      <c r="T12322" t="s">
        <v>46481</v>
      </c>
      <c r="U12322" t="s">
        <v>56795</v>
      </c>
      <c r="W12322" t="s">
        <v>44494</v>
      </c>
      <c r="X12322" t="s">
        <v>44920</v>
      </c>
    </row>
    <row r="12323" spans="1:24">
      <c r="A12323">
        <f>HYPERLINK("https://www.philgeps.gov.ph/GEPSNONPILOT/Tender/SplashBidNoticeAbstractUI.aspx?menuIndex=3&amp;refID=7058055&amp;Result=3","7058055")</f>
        <v>0</v>
      </c>
      <c r="B12323" t="s">
        <v>403</v>
      </c>
      <c r="C12323" t="s">
        <v>15291</v>
      </c>
      <c r="E12323" t="s">
        <v>19781</v>
      </c>
      <c r="F12323" t="s">
        <v>31362</v>
      </c>
      <c r="G12323" t="s">
        <v>31369</v>
      </c>
      <c r="H12323" t="s">
        <v>31378</v>
      </c>
      <c r="I12323" t="s">
        <v>3815</v>
      </c>
      <c r="J12323" t="s">
        <v>39029</v>
      </c>
      <c r="K12323" t="s">
        <v>40662</v>
      </c>
      <c r="M12323" t="s">
        <v>41353</v>
      </c>
      <c r="N12323" t="s">
        <v>44905</v>
      </c>
      <c r="O12323" t="s">
        <v>44906</v>
      </c>
      <c r="P12323">
        <v>0</v>
      </c>
      <c r="Q12323">
        <v>0</v>
      </c>
      <c r="R12323" t="s">
        <v>44919</v>
      </c>
      <c r="S12323" t="s">
        <v>45479</v>
      </c>
      <c r="T12323" t="s">
        <v>46470</v>
      </c>
      <c r="U12323" t="s">
        <v>56796</v>
      </c>
      <c r="W12323" t="s">
        <v>41353</v>
      </c>
      <c r="X12323" t="s">
        <v>44920</v>
      </c>
    </row>
    <row r="12324" spans="1:24">
      <c r="A12324">
        <f>HYPERLINK("https://www.philgeps.gov.ph/GEPSNONPILOT/Tender/SplashBidNoticeAbstractUI.aspx?menuIndex=3&amp;refID=7058669&amp;Result=3","7058669")</f>
        <v>0</v>
      </c>
      <c r="B12324" t="s">
        <v>1745</v>
      </c>
      <c r="C12324" t="s">
        <v>15292</v>
      </c>
      <c r="D12324" t="s">
        <v>18148</v>
      </c>
      <c r="E12324" t="s">
        <v>23142</v>
      </c>
      <c r="F12324" t="s">
        <v>31362</v>
      </c>
      <c r="G12324" t="s">
        <v>31369</v>
      </c>
      <c r="H12324" t="s">
        <v>15799</v>
      </c>
      <c r="I12324" t="s">
        <v>31393</v>
      </c>
      <c r="J12324" t="s">
        <v>33271</v>
      </c>
      <c r="K12324" t="s">
        <v>40670</v>
      </c>
      <c r="M12324" t="s">
        <v>42820</v>
      </c>
      <c r="N12324" t="s">
        <v>44905</v>
      </c>
      <c r="O12324" t="s">
        <v>44906</v>
      </c>
      <c r="P12324">
        <v>0</v>
      </c>
      <c r="Q12324">
        <v>8</v>
      </c>
      <c r="R12324" t="s">
        <v>44918</v>
      </c>
      <c r="S12324" t="s">
        <v>45447</v>
      </c>
      <c r="T12324" t="s">
        <v>46525</v>
      </c>
      <c r="U12324" t="s">
        <v>56797</v>
      </c>
      <c r="W12324" t="s">
        <v>42820</v>
      </c>
      <c r="X12324" t="s">
        <v>44919</v>
      </c>
    </row>
    <row r="12325" spans="1:24">
      <c r="A12325">
        <f>HYPERLINK("https://www.philgeps.gov.ph/GEPSNONPILOT/Tender/SplashBidNoticeAbstractUI.aspx?menuIndex=3&amp;refID=7058230&amp;Result=3","7058230")</f>
        <v>0</v>
      </c>
      <c r="B12325" t="s">
        <v>3220</v>
      </c>
      <c r="C12325" t="s">
        <v>15293</v>
      </c>
      <c r="D12325" t="s">
        <v>18131</v>
      </c>
      <c r="E12325" t="s">
        <v>19844</v>
      </c>
      <c r="F12325" t="s">
        <v>31362</v>
      </c>
      <c r="G12325" t="s">
        <v>31369</v>
      </c>
      <c r="H12325" t="s">
        <v>31378</v>
      </c>
      <c r="I12325" t="s">
        <v>31386</v>
      </c>
      <c r="J12325" t="s">
        <v>39030</v>
      </c>
      <c r="K12325" t="s">
        <v>40724</v>
      </c>
      <c r="M12325" t="s">
        <v>44495</v>
      </c>
      <c r="N12325" t="s">
        <v>44905</v>
      </c>
      <c r="O12325" t="s">
        <v>44906</v>
      </c>
      <c r="P12325">
        <v>0</v>
      </c>
      <c r="Q12325">
        <v>4</v>
      </c>
      <c r="R12325" t="s">
        <v>44919</v>
      </c>
      <c r="S12325" t="s">
        <v>45479</v>
      </c>
      <c r="T12325" t="s">
        <v>46454</v>
      </c>
      <c r="U12325" t="s">
        <v>56798</v>
      </c>
      <c r="W12325" t="s">
        <v>44495</v>
      </c>
      <c r="X12325" t="s">
        <v>44920</v>
      </c>
    </row>
    <row r="12326" spans="1:24">
      <c r="A12326">
        <f>HYPERLINK("https://www.philgeps.gov.ph/GEPSNONPILOT/Tender/SplashBidNoticeAbstractUI.aspx?menuIndex=3&amp;refID=7058091&amp;Result=3","7058091")</f>
        <v>0</v>
      </c>
      <c r="B12326" t="s">
        <v>1520</v>
      </c>
      <c r="C12326" t="s">
        <v>15294</v>
      </c>
      <c r="D12326" t="s">
        <v>18133</v>
      </c>
      <c r="E12326" t="s">
        <v>28874</v>
      </c>
      <c r="F12326" t="s">
        <v>31362</v>
      </c>
      <c r="G12326" t="s">
        <v>31369</v>
      </c>
      <c r="H12326" t="s">
        <v>15799</v>
      </c>
      <c r="I12326" t="s">
        <v>3815</v>
      </c>
      <c r="J12326" t="s">
        <v>39031</v>
      </c>
      <c r="K12326" t="s">
        <v>40665</v>
      </c>
      <c r="M12326" t="s">
        <v>42564</v>
      </c>
      <c r="N12326" t="s">
        <v>44905</v>
      </c>
      <c r="O12326" t="s">
        <v>44906</v>
      </c>
      <c r="P12326">
        <v>0</v>
      </c>
      <c r="Q12326">
        <v>4</v>
      </c>
      <c r="R12326" t="s">
        <v>44919</v>
      </c>
      <c r="S12326" t="s">
        <v>45479</v>
      </c>
      <c r="T12326" t="s">
        <v>46415</v>
      </c>
      <c r="U12326" t="s">
        <v>56799</v>
      </c>
      <c r="V12326" t="s">
        <v>60367</v>
      </c>
      <c r="W12326" t="s">
        <v>42564</v>
      </c>
      <c r="X12326" t="s">
        <v>44920</v>
      </c>
    </row>
    <row r="12327" spans="1:24">
      <c r="A12327">
        <f>HYPERLINK("https://www.philgeps.gov.ph/GEPSNONPILOT/Tender/SplashBidNoticeAbstractUI.aspx?menuIndex=3&amp;refID=7058277&amp;Result=3","7058277")</f>
        <v>0</v>
      </c>
      <c r="B12327" t="s">
        <v>2181</v>
      </c>
      <c r="C12327" t="s">
        <v>15295</v>
      </c>
      <c r="D12327" t="s">
        <v>18156</v>
      </c>
      <c r="E12327" t="s">
        <v>28875</v>
      </c>
      <c r="F12327" t="s">
        <v>31362</v>
      </c>
      <c r="G12327" t="s">
        <v>31369</v>
      </c>
      <c r="H12327" t="s">
        <v>31378</v>
      </c>
      <c r="I12327" t="s">
        <v>31386</v>
      </c>
      <c r="J12327" t="s">
        <v>39032</v>
      </c>
      <c r="K12327" t="s">
        <v>40683</v>
      </c>
      <c r="M12327" t="s">
        <v>43312</v>
      </c>
      <c r="N12327" t="s">
        <v>44905</v>
      </c>
      <c r="O12327" t="s">
        <v>44906</v>
      </c>
      <c r="Q12327">
        <v>4</v>
      </c>
      <c r="R12327" t="s">
        <v>44919</v>
      </c>
      <c r="S12327" t="s">
        <v>45483</v>
      </c>
      <c r="T12327" t="s">
        <v>46855</v>
      </c>
      <c r="U12327" t="s">
        <v>52776</v>
      </c>
      <c r="W12327" t="s">
        <v>43312</v>
      </c>
      <c r="X12327" t="s">
        <v>44920</v>
      </c>
    </row>
    <row r="12328" spans="1:24">
      <c r="A12328">
        <f>HYPERLINK("https://www.philgeps.gov.ph/GEPSNONPILOT/Tender/SplashBidNoticeAbstractUI.aspx?menuIndex=3&amp;refID=7058285&amp;Result=3","7058285")</f>
        <v>0</v>
      </c>
      <c r="B12328" t="s">
        <v>2181</v>
      </c>
      <c r="C12328" t="s">
        <v>15296</v>
      </c>
      <c r="D12328" t="s">
        <v>18156</v>
      </c>
      <c r="E12328" t="s">
        <v>28876</v>
      </c>
      <c r="F12328" t="s">
        <v>31362</v>
      </c>
      <c r="G12328" t="s">
        <v>31369</v>
      </c>
      <c r="H12328" t="s">
        <v>15799</v>
      </c>
      <c r="I12328" t="s">
        <v>31386</v>
      </c>
      <c r="J12328" t="s">
        <v>39033</v>
      </c>
      <c r="K12328" t="s">
        <v>40679</v>
      </c>
      <c r="M12328" t="s">
        <v>43312</v>
      </c>
      <c r="N12328" t="s">
        <v>44905</v>
      </c>
      <c r="O12328" t="s">
        <v>44906</v>
      </c>
      <c r="P12328">
        <v>0</v>
      </c>
      <c r="Q12328">
        <v>4</v>
      </c>
      <c r="R12328" t="s">
        <v>44919</v>
      </c>
      <c r="S12328" t="s">
        <v>45479</v>
      </c>
      <c r="T12328" t="s">
        <v>46447</v>
      </c>
      <c r="U12328" t="s">
        <v>56800</v>
      </c>
      <c r="W12328" t="s">
        <v>43312</v>
      </c>
      <c r="X12328" t="s">
        <v>44920</v>
      </c>
    </row>
    <row r="12329" spans="1:24">
      <c r="A12329">
        <f>HYPERLINK("https://www.philgeps.gov.ph/GEPSNONPILOT/Tender/SplashBidNoticeAbstractUI.aspx?menuIndex=3&amp;refID=7058377&amp;Result=3","7058377")</f>
        <v>0</v>
      </c>
      <c r="B12329" t="s">
        <v>3221</v>
      </c>
      <c r="C12329" t="s">
        <v>15297</v>
      </c>
      <c r="D12329" t="s">
        <v>18147</v>
      </c>
      <c r="E12329" t="s">
        <v>28877</v>
      </c>
      <c r="F12329" t="s">
        <v>31362</v>
      </c>
      <c r="G12329" t="s">
        <v>31369</v>
      </c>
      <c r="H12329" t="s">
        <v>31378</v>
      </c>
      <c r="I12329" t="s">
        <v>31386</v>
      </c>
      <c r="J12329" t="s">
        <v>39034</v>
      </c>
      <c r="K12329" t="s">
        <v>40666</v>
      </c>
      <c r="M12329" t="s">
        <v>44496</v>
      </c>
      <c r="N12329" t="s">
        <v>44905</v>
      </c>
      <c r="O12329" t="s">
        <v>44906</v>
      </c>
      <c r="P12329">
        <v>0</v>
      </c>
      <c r="Q12329">
        <v>0</v>
      </c>
      <c r="R12329" t="s">
        <v>44919</v>
      </c>
      <c r="S12329" t="s">
        <v>45479</v>
      </c>
      <c r="T12329" t="s">
        <v>46415</v>
      </c>
      <c r="U12329" t="s">
        <v>56801</v>
      </c>
      <c r="W12329" t="s">
        <v>44496</v>
      </c>
      <c r="X12329" t="s">
        <v>44920</v>
      </c>
    </row>
    <row r="12330" spans="1:24">
      <c r="A12330">
        <f>HYPERLINK("https://www.philgeps.gov.ph/GEPSNONPILOT/Tender/SplashBidNoticeAbstractUI.aspx?menuIndex=3&amp;refID=7057517&amp;Result=3","7057517")</f>
        <v>0</v>
      </c>
      <c r="B12330" t="s">
        <v>1520</v>
      </c>
      <c r="C12330" t="s">
        <v>15298</v>
      </c>
      <c r="D12330" t="s">
        <v>18133</v>
      </c>
      <c r="E12330" t="s">
        <v>28878</v>
      </c>
      <c r="F12330" t="s">
        <v>31362</v>
      </c>
      <c r="G12330" t="s">
        <v>31369</v>
      </c>
      <c r="H12330" t="s">
        <v>15799</v>
      </c>
      <c r="I12330" t="s">
        <v>3815</v>
      </c>
      <c r="J12330" t="s">
        <v>39035</v>
      </c>
      <c r="K12330" t="s">
        <v>40665</v>
      </c>
      <c r="M12330" t="s">
        <v>42564</v>
      </c>
      <c r="N12330" t="s">
        <v>44905</v>
      </c>
      <c r="O12330" t="s">
        <v>44906</v>
      </c>
      <c r="P12330">
        <v>0</v>
      </c>
      <c r="Q12330">
        <v>4</v>
      </c>
      <c r="R12330" t="s">
        <v>44919</v>
      </c>
      <c r="S12330" t="s">
        <v>45479</v>
      </c>
      <c r="T12330" t="s">
        <v>46415</v>
      </c>
      <c r="U12330" t="s">
        <v>56802</v>
      </c>
      <c r="V12330" t="s">
        <v>60367</v>
      </c>
      <c r="W12330" t="s">
        <v>42564</v>
      </c>
      <c r="X12330" t="s">
        <v>44921</v>
      </c>
    </row>
    <row r="12331" spans="1:24">
      <c r="A12331">
        <f>HYPERLINK("https://www.philgeps.gov.ph/GEPSNONPILOT/Tender/SplashBidNoticeAbstractUI.aspx?menuIndex=3&amp;refID=7058278&amp;Result=3","7058278")</f>
        <v>0</v>
      </c>
      <c r="B12331" t="s">
        <v>2181</v>
      </c>
      <c r="C12331" t="s">
        <v>15299</v>
      </c>
      <c r="D12331" t="s">
        <v>18156</v>
      </c>
      <c r="E12331" t="s">
        <v>28879</v>
      </c>
      <c r="F12331" t="s">
        <v>31362</v>
      </c>
      <c r="G12331" t="s">
        <v>31369</v>
      </c>
      <c r="H12331" t="s">
        <v>31378</v>
      </c>
      <c r="I12331" t="s">
        <v>31386</v>
      </c>
      <c r="J12331" t="s">
        <v>32965</v>
      </c>
      <c r="K12331" t="s">
        <v>40686</v>
      </c>
      <c r="M12331" t="s">
        <v>43312</v>
      </c>
      <c r="N12331" t="s">
        <v>44905</v>
      </c>
      <c r="O12331" t="s">
        <v>44906</v>
      </c>
      <c r="P12331">
        <v>0</v>
      </c>
      <c r="Q12331">
        <v>2</v>
      </c>
      <c r="R12331" t="s">
        <v>44919</v>
      </c>
      <c r="S12331" t="s">
        <v>45479</v>
      </c>
      <c r="T12331" t="s">
        <v>46447</v>
      </c>
      <c r="U12331" t="s">
        <v>56803</v>
      </c>
      <c r="W12331" t="s">
        <v>43312</v>
      </c>
      <c r="X12331" t="s">
        <v>44920</v>
      </c>
    </row>
    <row r="12332" spans="1:24">
      <c r="A12332">
        <f>HYPERLINK("https://www.philgeps.gov.ph/GEPSNONPILOT/Tender/SplashBidNoticeAbstractUI.aspx?menuIndex=3&amp;refID=7058369&amp;Result=3","7058369")</f>
        <v>0</v>
      </c>
      <c r="B12332" t="s">
        <v>3222</v>
      </c>
      <c r="C12332" t="s">
        <v>15300</v>
      </c>
      <c r="D12332" t="s">
        <v>18116</v>
      </c>
      <c r="E12332" t="s">
        <v>28880</v>
      </c>
      <c r="F12332" t="s">
        <v>31362</v>
      </c>
      <c r="G12332" t="s">
        <v>31369</v>
      </c>
      <c r="H12332" t="s">
        <v>15799</v>
      </c>
      <c r="I12332" t="s">
        <v>4283</v>
      </c>
      <c r="J12332" t="s">
        <v>39036</v>
      </c>
      <c r="K12332" t="s">
        <v>40661</v>
      </c>
      <c r="M12332" t="s">
        <v>44497</v>
      </c>
      <c r="N12332" t="s">
        <v>44905</v>
      </c>
      <c r="O12332" t="s">
        <v>44906</v>
      </c>
      <c r="P12332">
        <v>0</v>
      </c>
      <c r="Q12332">
        <v>10</v>
      </c>
      <c r="R12332" t="s">
        <v>44918</v>
      </c>
      <c r="S12332" t="s">
        <v>45447</v>
      </c>
      <c r="T12332" t="s">
        <v>46481</v>
      </c>
      <c r="U12332" t="s">
        <v>56804</v>
      </c>
      <c r="W12332" t="s">
        <v>44497</v>
      </c>
      <c r="X12332" t="s">
        <v>44920</v>
      </c>
    </row>
    <row r="12333" spans="1:24">
      <c r="A12333">
        <f>HYPERLINK("https://www.philgeps.gov.ph/GEPSNONPILOT/Tender/SplashBidNoticeAbstractUI.aspx?menuIndex=3&amp;refID=7058275&amp;Result=3","7058275")</f>
        <v>0</v>
      </c>
      <c r="B12333" t="s">
        <v>2181</v>
      </c>
      <c r="C12333" t="s">
        <v>15301</v>
      </c>
      <c r="D12333" t="s">
        <v>18156</v>
      </c>
      <c r="E12333" t="s">
        <v>28881</v>
      </c>
      <c r="F12333" t="s">
        <v>31362</v>
      </c>
      <c r="G12333" t="s">
        <v>31369</v>
      </c>
      <c r="H12333" t="s">
        <v>31378</v>
      </c>
      <c r="I12333" t="s">
        <v>31386</v>
      </c>
      <c r="J12333" t="s">
        <v>35695</v>
      </c>
      <c r="K12333" t="s">
        <v>40692</v>
      </c>
      <c r="M12333" t="s">
        <v>43312</v>
      </c>
      <c r="N12333" t="s">
        <v>44905</v>
      </c>
      <c r="O12333" t="s">
        <v>44906</v>
      </c>
      <c r="Q12333">
        <v>7</v>
      </c>
      <c r="R12333" t="s">
        <v>44919</v>
      </c>
      <c r="S12333" t="s">
        <v>45484</v>
      </c>
      <c r="T12333" t="s">
        <v>46855</v>
      </c>
      <c r="U12333" t="s">
        <v>52767</v>
      </c>
      <c r="W12333" t="s">
        <v>43312</v>
      </c>
      <c r="X12333" t="s">
        <v>44920</v>
      </c>
    </row>
    <row r="12334" spans="1:24">
      <c r="A12334">
        <f>HYPERLINK("https://www.philgeps.gov.ph/GEPSNONPILOT/Tender/SplashBidNoticeAbstractUI.aspx?menuIndex=3&amp;refID=7058272&amp;Result=3","7058272")</f>
        <v>0</v>
      </c>
      <c r="B12334" t="s">
        <v>2181</v>
      </c>
      <c r="C12334" t="s">
        <v>15302</v>
      </c>
      <c r="D12334" t="s">
        <v>18156</v>
      </c>
      <c r="E12334" t="s">
        <v>28882</v>
      </c>
      <c r="F12334" t="s">
        <v>31362</v>
      </c>
      <c r="G12334" t="s">
        <v>31369</v>
      </c>
      <c r="H12334" t="s">
        <v>31378</v>
      </c>
      <c r="I12334" t="s">
        <v>31386</v>
      </c>
      <c r="J12334" t="s">
        <v>32964</v>
      </c>
      <c r="K12334" t="s">
        <v>40679</v>
      </c>
      <c r="M12334" t="s">
        <v>43312</v>
      </c>
      <c r="N12334" t="s">
        <v>44905</v>
      </c>
      <c r="O12334" t="s">
        <v>44906</v>
      </c>
      <c r="P12334">
        <v>0</v>
      </c>
      <c r="Q12334">
        <v>2</v>
      </c>
      <c r="R12334" t="s">
        <v>44919</v>
      </c>
      <c r="S12334" t="s">
        <v>45479</v>
      </c>
      <c r="T12334" t="s">
        <v>46447</v>
      </c>
      <c r="U12334" t="s">
        <v>52767</v>
      </c>
      <c r="W12334" t="s">
        <v>43312</v>
      </c>
      <c r="X12334" t="s">
        <v>44920</v>
      </c>
    </row>
    <row r="12335" spans="1:24">
      <c r="A12335">
        <f>HYPERLINK("https://www.philgeps.gov.ph/GEPSNONPILOT/Tender/SplashBidNoticeAbstractUI.aspx?menuIndex=3&amp;refID=7058270&amp;Result=3","7058270")</f>
        <v>0</v>
      </c>
      <c r="B12335" t="s">
        <v>2181</v>
      </c>
      <c r="C12335" t="s">
        <v>15303</v>
      </c>
      <c r="D12335" t="s">
        <v>18156</v>
      </c>
      <c r="E12335" t="s">
        <v>28883</v>
      </c>
      <c r="F12335" t="s">
        <v>31362</v>
      </c>
      <c r="G12335" t="s">
        <v>31369</v>
      </c>
      <c r="H12335" t="s">
        <v>31378</v>
      </c>
      <c r="I12335" t="s">
        <v>31386</v>
      </c>
      <c r="J12335" t="s">
        <v>32711</v>
      </c>
      <c r="K12335" t="s">
        <v>40686</v>
      </c>
      <c r="M12335" t="s">
        <v>43312</v>
      </c>
      <c r="N12335" t="s">
        <v>44905</v>
      </c>
      <c r="O12335" t="s">
        <v>44906</v>
      </c>
      <c r="Q12335">
        <v>4</v>
      </c>
      <c r="R12335" t="s">
        <v>44919</v>
      </c>
      <c r="S12335" t="s">
        <v>45044</v>
      </c>
      <c r="T12335" t="s">
        <v>46855</v>
      </c>
      <c r="U12335" t="s">
        <v>56803</v>
      </c>
      <c r="W12335" t="s">
        <v>43312</v>
      </c>
      <c r="X12335" t="s">
        <v>44920</v>
      </c>
    </row>
    <row r="12336" spans="1:24">
      <c r="A12336">
        <f>HYPERLINK("https://www.philgeps.gov.ph/GEPSNONPILOT/Tender/SplashBidNoticeAbstractUI.aspx?menuIndex=3&amp;refID=7058269&amp;Result=3","7058269")</f>
        <v>0</v>
      </c>
      <c r="B12336" t="s">
        <v>2638</v>
      </c>
      <c r="C12336" t="s">
        <v>15304</v>
      </c>
      <c r="E12336" t="s">
        <v>28884</v>
      </c>
      <c r="F12336" t="s">
        <v>31362</v>
      </c>
      <c r="G12336" t="s">
        <v>31369</v>
      </c>
      <c r="H12336" t="s">
        <v>31378</v>
      </c>
      <c r="I12336" t="s">
        <v>31386</v>
      </c>
      <c r="J12336" t="s">
        <v>39037</v>
      </c>
      <c r="K12336" t="s">
        <v>40662</v>
      </c>
      <c r="M12336" t="s">
        <v>43819</v>
      </c>
      <c r="N12336" t="s">
        <v>44905</v>
      </c>
      <c r="O12336" t="s">
        <v>44906</v>
      </c>
      <c r="P12336">
        <v>0</v>
      </c>
      <c r="Q12336">
        <v>0</v>
      </c>
      <c r="R12336" t="s">
        <v>44919</v>
      </c>
      <c r="S12336" t="s">
        <v>45479</v>
      </c>
      <c r="T12336" t="s">
        <v>46585</v>
      </c>
      <c r="U12336" t="s">
        <v>56805</v>
      </c>
      <c r="W12336" t="s">
        <v>43819</v>
      </c>
      <c r="X12336" t="s">
        <v>44920</v>
      </c>
    </row>
    <row r="12337" spans="1:24">
      <c r="A12337">
        <f>HYPERLINK("https://www.philgeps.gov.ph/GEPSNONPILOT/Tender/SplashBidNoticeAbstractUI.aspx?menuIndex=3&amp;refID=7058263&amp;Result=3","7058263")</f>
        <v>0</v>
      </c>
      <c r="B12337" t="s">
        <v>2615</v>
      </c>
      <c r="C12337" t="s">
        <v>15305</v>
      </c>
      <c r="D12337" t="s">
        <v>18147</v>
      </c>
      <c r="E12337" t="s">
        <v>28885</v>
      </c>
      <c r="F12337" t="s">
        <v>31362</v>
      </c>
      <c r="G12337" t="s">
        <v>31372</v>
      </c>
      <c r="H12337" t="s">
        <v>31378</v>
      </c>
      <c r="I12337" t="s">
        <v>31386</v>
      </c>
      <c r="J12337" t="s">
        <v>39038</v>
      </c>
      <c r="K12337" t="s">
        <v>40665</v>
      </c>
      <c r="M12337" t="s">
        <v>43795</v>
      </c>
      <c r="N12337" t="s">
        <v>44905</v>
      </c>
      <c r="O12337" t="s">
        <v>44906</v>
      </c>
      <c r="P12337">
        <v>0</v>
      </c>
      <c r="Q12337">
        <v>1</v>
      </c>
      <c r="R12337" t="s">
        <v>44919</v>
      </c>
      <c r="S12337" t="s">
        <v>45479</v>
      </c>
      <c r="T12337" t="s">
        <v>46478</v>
      </c>
      <c r="U12337" t="s">
        <v>56806</v>
      </c>
      <c r="W12337" t="s">
        <v>43795</v>
      </c>
      <c r="X12337" t="s">
        <v>44920</v>
      </c>
    </row>
    <row r="12338" spans="1:24">
      <c r="A12338">
        <f>HYPERLINK("https://www.philgeps.gov.ph/GEPSNONPILOT/Tender/SplashBidNoticeAbstractUI.aspx?menuIndex=3&amp;refID=7058261&amp;Result=3","7058261")</f>
        <v>0</v>
      </c>
      <c r="B12338" t="s">
        <v>2181</v>
      </c>
      <c r="C12338" t="s">
        <v>15306</v>
      </c>
      <c r="D12338" t="s">
        <v>18156</v>
      </c>
      <c r="E12338" t="s">
        <v>28886</v>
      </c>
      <c r="F12338" t="s">
        <v>31362</v>
      </c>
      <c r="G12338" t="s">
        <v>31369</v>
      </c>
      <c r="H12338" t="s">
        <v>31378</v>
      </c>
      <c r="I12338" t="s">
        <v>31386</v>
      </c>
      <c r="J12338" t="s">
        <v>31726</v>
      </c>
      <c r="K12338" t="s">
        <v>40686</v>
      </c>
      <c r="M12338" t="s">
        <v>43312</v>
      </c>
      <c r="N12338" t="s">
        <v>44905</v>
      </c>
      <c r="O12338" t="s">
        <v>44906</v>
      </c>
      <c r="P12338">
        <v>0</v>
      </c>
      <c r="Q12338">
        <v>2</v>
      </c>
      <c r="R12338" t="s">
        <v>44919</v>
      </c>
      <c r="S12338" t="s">
        <v>45479</v>
      </c>
      <c r="T12338" t="s">
        <v>46447</v>
      </c>
      <c r="U12338" t="s">
        <v>52767</v>
      </c>
      <c r="W12338" t="s">
        <v>43312</v>
      </c>
      <c r="X12338" t="s">
        <v>44920</v>
      </c>
    </row>
    <row r="12339" spans="1:24">
      <c r="A12339">
        <f>HYPERLINK("https://www.philgeps.gov.ph/GEPSNONPILOT/Tender/SplashBidNoticeAbstractUI.aspx?menuIndex=3&amp;refID=7058256&amp;Result=3","7058256")</f>
        <v>0</v>
      </c>
      <c r="B12339" t="s">
        <v>2181</v>
      </c>
      <c r="C12339" t="s">
        <v>15307</v>
      </c>
      <c r="D12339" t="s">
        <v>18156</v>
      </c>
      <c r="E12339" t="s">
        <v>28887</v>
      </c>
      <c r="F12339" t="s">
        <v>31362</v>
      </c>
      <c r="G12339" t="s">
        <v>31369</v>
      </c>
      <c r="H12339" t="s">
        <v>31378</v>
      </c>
      <c r="I12339" t="s">
        <v>31386</v>
      </c>
      <c r="J12339" t="s">
        <v>32673</v>
      </c>
      <c r="K12339" t="s">
        <v>40686</v>
      </c>
      <c r="M12339" t="s">
        <v>43312</v>
      </c>
      <c r="N12339" t="s">
        <v>44905</v>
      </c>
      <c r="O12339" t="s">
        <v>44906</v>
      </c>
      <c r="P12339">
        <v>0</v>
      </c>
      <c r="Q12339">
        <v>3</v>
      </c>
      <c r="R12339" t="s">
        <v>44919</v>
      </c>
      <c r="S12339" t="s">
        <v>45479</v>
      </c>
      <c r="T12339" t="s">
        <v>46447</v>
      </c>
      <c r="U12339" t="s">
        <v>56807</v>
      </c>
      <c r="W12339" t="s">
        <v>43312</v>
      </c>
      <c r="X12339" t="s">
        <v>44920</v>
      </c>
    </row>
    <row r="12340" spans="1:24">
      <c r="A12340">
        <f>HYPERLINK("https://www.philgeps.gov.ph/GEPSNONPILOT/Tender/SplashBidNoticeAbstractUI.aspx?menuIndex=3&amp;refID=7058241&amp;Result=3","7058241")</f>
        <v>0</v>
      </c>
      <c r="B12340" t="s">
        <v>2181</v>
      </c>
      <c r="C12340" t="s">
        <v>15308</v>
      </c>
      <c r="D12340" t="s">
        <v>18156</v>
      </c>
      <c r="E12340" t="s">
        <v>28888</v>
      </c>
      <c r="F12340" t="s">
        <v>31362</v>
      </c>
      <c r="G12340" t="s">
        <v>31369</v>
      </c>
      <c r="H12340" t="s">
        <v>31378</v>
      </c>
      <c r="I12340" t="s">
        <v>31386</v>
      </c>
      <c r="J12340" t="s">
        <v>34081</v>
      </c>
      <c r="K12340" t="s">
        <v>40686</v>
      </c>
      <c r="M12340" t="s">
        <v>43312</v>
      </c>
      <c r="N12340" t="s">
        <v>44905</v>
      </c>
      <c r="O12340" t="s">
        <v>44906</v>
      </c>
      <c r="Q12340">
        <v>3</v>
      </c>
      <c r="R12340" t="s">
        <v>44919</v>
      </c>
      <c r="S12340" t="s">
        <v>45485</v>
      </c>
      <c r="T12340" t="s">
        <v>46855</v>
      </c>
      <c r="U12340" t="s">
        <v>52776</v>
      </c>
      <c r="W12340" t="s">
        <v>43312</v>
      </c>
      <c r="X12340" t="s">
        <v>44920</v>
      </c>
    </row>
    <row r="12341" spans="1:24">
      <c r="A12341">
        <f>HYPERLINK("https://www.philgeps.gov.ph/GEPSNONPILOT/Tender/SplashBidNoticeAbstractUI.aspx?menuIndex=3&amp;refID=7058235&amp;Result=3","7058235")</f>
        <v>0</v>
      </c>
      <c r="B12341" t="s">
        <v>2615</v>
      </c>
      <c r="C12341" t="s">
        <v>15309</v>
      </c>
      <c r="D12341" t="s">
        <v>18147</v>
      </c>
      <c r="E12341" t="s">
        <v>28889</v>
      </c>
      <c r="F12341" t="s">
        <v>31362</v>
      </c>
      <c r="G12341" t="s">
        <v>31372</v>
      </c>
      <c r="H12341" t="s">
        <v>31378</v>
      </c>
      <c r="I12341" t="s">
        <v>31386</v>
      </c>
      <c r="J12341" t="s">
        <v>39039</v>
      </c>
      <c r="K12341" t="s">
        <v>40682</v>
      </c>
      <c r="M12341" t="s">
        <v>43795</v>
      </c>
      <c r="N12341" t="s">
        <v>44905</v>
      </c>
      <c r="O12341" t="s">
        <v>44906</v>
      </c>
      <c r="P12341">
        <v>0</v>
      </c>
      <c r="Q12341">
        <v>1</v>
      </c>
      <c r="R12341" t="s">
        <v>44919</v>
      </c>
      <c r="S12341" t="s">
        <v>45479</v>
      </c>
      <c r="T12341" t="s">
        <v>46411</v>
      </c>
      <c r="U12341" t="s">
        <v>56808</v>
      </c>
      <c r="W12341" t="s">
        <v>43795</v>
      </c>
      <c r="X12341" t="s">
        <v>44920</v>
      </c>
    </row>
    <row r="12342" spans="1:24">
      <c r="A12342">
        <f>HYPERLINK("https://www.philgeps.gov.ph/GEPSNONPILOT/Tender/SplashBidNoticeAbstractUI.aspx?menuIndex=3&amp;refID=7058553&amp;Result=3","7058553")</f>
        <v>0</v>
      </c>
      <c r="B12342" t="s">
        <v>3206</v>
      </c>
      <c r="C12342" t="s">
        <v>15310</v>
      </c>
      <c r="D12342" t="s">
        <v>18129</v>
      </c>
      <c r="E12342" t="s">
        <v>22113</v>
      </c>
      <c r="F12342" t="s">
        <v>31362</v>
      </c>
      <c r="G12342" t="s">
        <v>31369</v>
      </c>
      <c r="H12342" t="s">
        <v>31378</v>
      </c>
      <c r="I12342" t="s">
        <v>31386</v>
      </c>
      <c r="J12342" t="s">
        <v>35217</v>
      </c>
      <c r="K12342" t="s">
        <v>40682</v>
      </c>
      <c r="M12342" t="s">
        <v>44476</v>
      </c>
      <c r="N12342" t="s">
        <v>44905</v>
      </c>
      <c r="O12342" t="s">
        <v>44906</v>
      </c>
      <c r="P12342">
        <v>0</v>
      </c>
      <c r="Q12342">
        <v>0</v>
      </c>
      <c r="R12342" t="s">
        <v>44918</v>
      </c>
      <c r="S12342" t="s">
        <v>45447</v>
      </c>
      <c r="T12342" t="s">
        <v>46481</v>
      </c>
      <c r="U12342" t="s">
        <v>56726</v>
      </c>
      <c r="W12342" t="s">
        <v>44476</v>
      </c>
      <c r="X12342" t="s">
        <v>44919</v>
      </c>
    </row>
    <row r="12343" spans="1:24">
      <c r="A12343">
        <f>HYPERLINK("https://www.philgeps.gov.ph/GEPSNONPILOT/Tender/SplashBidNoticeAbstractUI.aspx?menuIndex=3&amp;refID=7058232&amp;Result=3","7058232")</f>
        <v>0</v>
      </c>
      <c r="B12343" t="s">
        <v>2181</v>
      </c>
      <c r="C12343" t="s">
        <v>15311</v>
      </c>
      <c r="D12343" t="s">
        <v>18156</v>
      </c>
      <c r="E12343" t="s">
        <v>28890</v>
      </c>
      <c r="F12343" t="s">
        <v>31362</v>
      </c>
      <c r="G12343" t="s">
        <v>31369</v>
      </c>
      <c r="H12343" t="s">
        <v>31378</v>
      </c>
      <c r="I12343" t="s">
        <v>31386</v>
      </c>
      <c r="J12343" t="s">
        <v>34023</v>
      </c>
      <c r="K12343" t="s">
        <v>40683</v>
      </c>
      <c r="M12343" t="s">
        <v>43312</v>
      </c>
      <c r="N12343" t="s">
        <v>44905</v>
      </c>
      <c r="O12343" t="s">
        <v>44906</v>
      </c>
      <c r="Q12343">
        <v>6</v>
      </c>
      <c r="R12343" t="s">
        <v>44919</v>
      </c>
      <c r="S12343" t="s">
        <v>45194</v>
      </c>
      <c r="T12343" t="s">
        <v>46855</v>
      </c>
      <c r="U12343" t="s">
        <v>52943</v>
      </c>
      <c r="W12343" t="s">
        <v>43312</v>
      </c>
      <c r="X12343" t="s">
        <v>44920</v>
      </c>
    </row>
    <row r="12344" spans="1:24">
      <c r="A12344">
        <f>HYPERLINK("https://www.philgeps.gov.ph/GEPSNONPILOT/Tender/SplashBidNoticeAbstractUI.aspx?menuIndex=3&amp;refID=7058265&amp;Result=3","7058265")</f>
        <v>0</v>
      </c>
      <c r="B12344" t="s">
        <v>2181</v>
      </c>
      <c r="C12344" t="s">
        <v>15312</v>
      </c>
      <c r="D12344" t="s">
        <v>18156</v>
      </c>
      <c r="E12344" t="s">
        <v>28891</v>
      </c>
      <c r="F12344" t="s">
        <v>31362</v>
      </c>
      <c r="G12344" t="s">
        <v>31369</v>
      </c>
      <c r="H12344" t="s">
        <v>31378</v>
      </c>
      <c r="I12344" t="s">
        <v>31386</v>
      </c>
      <c r="J12344" t="s">
        <v>33300</v>
      </c>
      <c r="K12344" t="s">
        <v>40679</v>
      </c>
      <c r="M12344" t="s">
        <v>43312</v>
      </c>
      <c r="N12344" t="s">
        <v>44905</v>
      </c>
      <c r="O12344" t="s">
        <v>44906</v>
      </c>
      <c r="P12344">
        <v>0</v>
      </c>
      <c r="Q12344">
        <v>3</v>
      </c>
      <c r="R12344" t="s">
        <v>44919</v>
      </c>
      <c r="S12344" t="s">
        <v>45479</v>
      </c>
      <c r="T12344" t="s">
        <v>46447</v>
      </c>
      <c r="U12344" t="s">
        <v>56809</v>
      </c>
      <c r="W12344" t="s">
        <v>43312</v>
      </c>
      <c r="X12344" t="s">
        <v>44920</v>
      </c>
    </row>
    <row r="12345" spans="1:24">
      <c r="A12345">
        <f>HYPERLINK("https://www.philgeps.gov.ph/GEPSNONPILOT/Tender/SplashBidNoticeAbstractUI.aspx?menuIndex=3&amp;refID=7058039&amp;Result=3","7058039")</f>
        <v>0</v>
      </c>
      <c r="B12345" t="s">
        <v>2577</v>
      </c>
      <c r="C12345" t="s">
        <v>15313</v>
      </c>
      <c r="D12345" t="s">
        <v>18153</v>
      </c>
      <c r="E12345" t="s">
        <v>28892</v>
      </c>
      <c r="F12345" t="s">
        <v>31362</v>
      </c>
      <c r="G12345" t="s">
        <v>31369</v>
      </c>
      <c r="H12345" t="s">
        <v>15799</v>
      </c>
      <c r="I12345" t="s">
        <v>31387</v>
      </c>
      <c r="J12345" t="s">
        <v>39040</v>
      </c>
      <c r="K12345" t="s">
        <v>40665</v>
      </c>
      <c r="M12345" t="s">
        <v>43751</v>
      </c>
      <c r="N12345" t="s">
        <v>44905</v>
      </c>
      <c r="O12345" t="s">
        <v>44906</v>
      </c>
      <c r="P12345">
        <v>0</v>
      </c>
      <c r="Q12345">
        <v>0</v>
      </c>
      <c r="R12345" t="s">
        <v>44919</v>
      </c>
      <c r="S12345" t="s">
        <v>45479</v>
      </c>
      <c r="T12345" t="s">
        <v>46560</v>
      </c>
      <c r="U12345" t="s">
        <v>56810</v>
      </c>
      <c r="V12345" t="s">
        <v>59961</v>
      </c>
      <c r="W12345" t="s">
        <v>43751</v>
      </c>
      <c r="X12345" t="s">
        <v>44921</v>
      </c>
    </row>
    <row r="12346" spans="1:24">
      <c r="A12346">
        <f>HYPERLINK("https://www.philgeps.gov.ph/GEPSNONPILOT/Tender/SplashBidNoticeAbstractUI.aspx?menuIndex=3&amp;refID=7058145&amp;Result=3","7058145")</f>
        <v>0</v>
      </c>
      <c r="B12346" t="s">
        <v>824</v>
      </c>
      <c r="C12346" t="s">
        <v>15314</v>
      </c>
      <c r="D12346" t="s">
        <v>18131</v>
      </c>
      <c r="E12346" t="s">
        <v>28893</v>
      </c>
      <c r="F12346" t="s">
        <v>31362</v>
      </c>
      <c r="G12346" t="s">
        <v>31369</v>
      </c>
      <c r="H12346" t="s">
        <v>31378</v>
      </c>
      <c r="I12346" t="s">
        <v>31386</v>
      </c>
      <c r="J12346" t="s">
        <v>39041</v>
      </c>
      <c r="K12346" t="s">
        <v>40686</v>
      </c>
      <c r="M12346" t="s">
        <v>41797</v>
      </c>
      <c r="N12346" t="s">
        <v>44905</v>
      </c>
      <c r="O12346" t="s">
        <v>44906</v>
      </c>
      <c r="P12346">
        <v>0</v>
      </c>
      <c r="Q12346">
        <v>16</v>
      </c>
      <c r="R12346" t="s">
        <v>44919</v>
      </c>
      <c r="S12346" t="s">
        <v>45479</v>
      </c>
      <c r="T12346" t="s">
        <v>46396</v>
      </c>
      <c r="U12346" t="s">
        <v>56811</v>
      </c>
      <c r="V12346" t="s">
        <v>60368</v>
      </c>
      <c r="W12346" t="s">
        <v>41797</v>
      </c>
      <c r="X12346" t="s">
        <v>44920</v>
      </c>
    </row>
    <row r="12347" spans="1:24">
      <c r="A12347">
        <f>HYPERLINK("https://www.philgeps.gov.ph/GEPSNONPILOT/Tender/SplashBidNoticeAbstractUI.aspx?menuIndex=3&amp;refID=7058033&amp;Result=3","7058033")</f>
        <v>0</v>
      </c>
      <c r="B12347" t="s">
        <v>2577</v>
      </c>
      <c r="C12347" t="s">
        <v>15315</v>
      </c>
      <c r="D12347" t="s">
        <v>18153</v>
      </c>
      <c r="E12347" t="s">
        <v>28894</v>
      </c>
      <c r="F12347" t="s">
        <v>31362</v>
      </c>
      <c r="G12347" t="s">
        <v>31369</v>
      </c>
      <c r="H12347" t="s">
        <v>15799</v>
      </c>
      <c r="I12347" t="s">
        <v>31387</v>
      </c>
      <c r="J12347" t="s">
        <v>39042</v>
      </c>
      <c r="K12347" t="s">
        <v>40665</v>
      </c>
      <c r="M12347" t="s">
        <v>43751</v>
      </c>
      <c r="N12347" t="s">
        <v>44905</v>
      </c>
      <c r="O12347" t="s">
        <v>44906</v>
      </c>
      <c r="P12347">
        <v>0</v>
      </c>
      <c r="Q12347">
        <v>0</v>
      </c>
      <c r="R12347" t="s">
        <v>44919</v>
      </c>
      <c r="S12347" t="s">
        <v>45479</v>
      </c>
      <c r="T12347" t="s">
        <v>46560</v>
      </c>
      <c r="U12347" t="s">
        <v>56812</v>
      </c>
      <c r="V12347" t="s">
        <v>59961</v>
      </c>
      <c r="W12347" t="s">
        <v>43751</v>
      </c>
      <c r="X12347" t="s">
        <v>44921</v>
      </c>
    </row>
    <row r="12348" spans="1:24">
      <c r="A12348">
        <f>HYPERLINK("https://www.philgeps.gov.ph/GEPSNONPILOT/Tender/SplashBidNoticeAbstractUI.aspx?menuIndex=3&amp;refID=7058904&amp;Result=3","7058904")</f>
        <v>0</v>
      </c>
      <c r="B12348" t="s">
        <v>3214</v>
      </c>
      <c r="C12348" t="s">
        <v>15316</v>
      </c>
      <c r="D12348" t="s">
        <v>18160</v>
      </c>
      <c r="E12348" t="s">
        <v>28895</v>
      </c>
      <c r="F12348" t="s">
        <v>31362</v>
      </c>
      <c r="G12348" t="s">
        <v>31369</v>
      </c>
      <c r="H12348" t="s">
        <v>31379</v>
      </c>
      <c r="I12348" t="s">
        <v>31457</v>
      </c>
      <c r="J12348" t="s">
        <v>31542</v>
      </c>
      <c r="K12348" t="s">
        <v>40712</v>
      </c>
      <c r="M12348" t="s">
        <v>44489</v>
      </c>
      <c r="N12348" t="s">
        <v>44905</v>
      </c>
      <c r="O12348" t="s">
        <v>44906</v>
      </c>
      <c r="Q12348">
        <v>5</v>
      </c>
      <c r="R12348" t="s">
        <v>44918</v>
      </c>
      <c r="S12348" t="s">
        <v>45486</v>
      </c>
      <c r="T12348" t="s">
        <v>46481</v>
      </c>
      <c r="U12348" t="s">
        <v>56813</v>
      </c>
      <c r="W12348" t="s">
        <v>44488</v>
      </c>
      <c r="X12348" t="s">
        <v>44919</v>
      </c>
    </row>
    <row r="12349" spans="1:24">
      <c r="A12349">
        <f>HYPERLINK("https://www.philgeps.gov.ph/GEPSNONPILOT/Tender/SplashBidNoticeAbstractUI.aspx?menuIndex=3&amp;refID=7058897&amp;Result=3","7058897")</f>
        <v>0</v>
      </c>
      <c r="B12349" t="s">
        <v>2460</v>
      </c>
      <c r="C12349" t="s">
        <v>15317</v>
      </c>
      <c r="D12349" t="s">
        <v>18172</v>
      </c>
      <c r="E12349" t="s">
        <v>28896</v>
      </c>
      <c r="F12349" t="s">
        <v>31362</v>
      </c>
      <c r="G12349" t="s">
        <v>31369</v>
      </c>
      <c r="H12349" t="s">
        <v>15799</v>
      </c>
      <c r="I12349" t="s">
        <v>31429</v>
      </c>
      <c r="J12349" t="s">
        <v>31806</v>
      </c>
      <c r="K12349" t="s">
        <v>40666</v>
      </c>
      <c r="M12349" t="s">
        <v>43620</v>
      </c>
      <c r="N12349" t="s">
        <v>44905</v>
      </c>
      <c r="O12349" t="s">
        <v>44906</v>
      </c>
      <c r="P12349">
        <v>0</v>
      </c>
      <c r="Q12349">
        <v>0</v>
      </c>
      <c r="R12349" t="s">
        <v>44918</v>
      </c>
      <c r="S12349" t="s">
        <v>45447</v>
      </c>
      <c r="T12349" t="s">
        <v>46418</v>
      </c>
      <c r="U12349" t="s">
        <v>56814</v>
      </c>
      <c r="W12349" t="s">
        <v>43620</v>
      </c>
      <c r="X12349" t="s">
        <v>44919</v>
      </c>
    </row>
    <row r="12350" spans="1:24">
      <c r="A12350">
        <f>HYPERLINK("https://www.philgeps.gov.ph/GEPSNONPILOT/Tender/SplashBidNoticeAbstractUI.aspx?menuIndex=3&amp;refID=7058875&amp;Result=3","7058875")</f>
        <v>0</v>
      </c>
      <c r="B12350" t="s">
        <v>839</v>
      </c>
      <c r="C12350" t="s">
        <v>15318</v>
      </c>
      <c r="D12350" t="s">
        <v>18161</v>
      </c>
      <c r="E12350" t="s">
        <v>28897</v>
      </c>
      <c r="F12350" t="s">
        <v>31362</v>
      </c>
      <c r="G12350" t="s">
        <v>31369</v>
      </c>
      <c r="H12350" t="s">
        <v>15799</v>
      </c>
      <c r="I12350" t="s">
        <v>31399</v>
      </c>
      <c r="J12350" t="s">
        <v>39043</v>
      </c>
      <c r="K12350" t="s">
        <v>40666</v>
      </c>
      <c r="M12350" t="s">
        <v>41814</v>
      </c>
      <c r="N12350" t="s">
        <v>44905</v>
      </c>
      <c r="O12350" t="s">
        <v>44906</v>
      </c>
      <c r="P12350">
        <v>0</v>
      </c>
      <c r="Q12350">
        <v>7</v>
      </c>
      <c r="R12350" t="s">
        <v>44918</v>
      </c>
      <c r="S12350" t="s">
        <v>45447</v>
      </c>
      <c r="T12350" t="s">
        <v>46454</v>
      </c>
      <c r="U12350" t="s">
        <v>56815</v>
      </c>
      <c r="V12350" t="s">
        <v>60369</v>
      </c>
      <c r="W12350" t="s">
        <v>41814</v>
      </c>
      <c r="X12350" t="s">
        <v>44919</v>
      </c>
    </row>
    <row r="12351" spans="1:24">
      <c r="A12351">
        <f>HYPERLINK("https://www.philgeps.gov.ph/GEPSNONPILOT/Tender/SplashBidNoticeAbstractUI.aspx?menuIndex=3&amp;refID=7058237&amp;Result=3","7058237")</f>
        <v>0</v>
      </c>
      <c r="B12351" t="s">
        <v>2181</v>
      </c>
      <c r="C12351" t="s">
        <v>15319</v>
      </c>
      <c r="D12351" t="s">
        <v>18156</v>
      </c>
      <c r="E12351" t="s">
        <v>28898</v>
      </c>
      <c r="F12351" t="s">
        <v>31362</v>
      </c>
      <c r="G12351" t="s">
        <v>31369</v>
      </c>
      <c r="H12351" t="s">
        <v>31378</v>
      </c>
      <c r="I12351" t="s">
        <v>31386</v>
      </c>
      <c r="J12351" t="s">
        <v>36104</v>
      </c>
      <c r="K12351" t="s">
        <v>40686</v>
      </c>
      <c r="M12351" t="s">
        <v>43312</v>
      </c>
      <c r="N12351" t="s">
        <v>44905</v>
      </c>
      <c r="O12351" t="s">
        <v>44906</v>
      </c>
      <c r="P12351">
        <v>0</v>
      </c>
      <c r="Q12351">
        <v>3</v>
      </c>
      <c r="R12351" t="s">
        <v>44919</v>
      </c>
      <c r="S12351" t="s">
        <v>45479</v>
      </c>
      <c r="T12351" t="s">
        <v>46447</v>
      </c>
      <c r="U12351" t="s">
        <v>52767</v>
      </c>
      <c r="W12351" t="s">
        <v>43312</v>
      </c>
      <c r="X12351" t="s">
        <v>44920</v>
      </c>
    </row>
    <row r="12352" spans="1:24">
      <c r="A12352">
        <f>HYPERLINK("https://www.philgeps.gov.ph/GEPSNONPILOT/Tender/SplashBidNoticeAbstractUI.aspx?menuIndex=3&amp;refID=7058751&amp;Result=3","7058751")</f>
        <v>0</v>
      </c>
      <c r="B12352" t="s">
        <v>3223</v>
      </c>
      <c r="C12352" t="s">
        <v>15320</v>
      </c>
      <c r="D12352" t="s">
        <v>18108</v>
      </c>
      <c r="E12352" t="s">
        <v>28899</v>
      </c>
      <c r="F12352" t="s">
        <v>31362</v>
      </c>
      <c r="G12352" t="s">
        <v>31369</v>
      </c>
      <c r="H12352" t="s">
        <v>31379</v>
      </c>
      <c r="I12352" t="s">
        <v>7090</v>
      </c>
      <c r="J12352" t="s">
        <v>39044</v>
      </c>
      <c r="K12352" t="s">
        <v>40665</v>
      </c>
      <c r="M12352" t="s">
        <v>44498</v>
      </c>
      <c r="N12352" t="s">
        <v>44905</v>
      </c>
      <c r="O12352" t="s">
        <v>44906</v>
      </c>
      <c r="P12352">
        <v>0</v>
      </c>
      <c r="Q12352">
        <v>5</v>
      </c>
      <c r="R12352" t="s">
        <v>44918</v>
      </c>
      <c r="S12352" t="s">
        <v>45447</v>
      </c>
      <c r="T12352" t="s">
        <v>46403</v>
      </c>
      <c r="U12352" t="s">
        <v>56816</v>
      </c>
      <c r="V12352" t="s">
        <v>60370</v>
      </c>
      <c r="W12352" t="s">
        <v>44498</v>
      </c>
      <c r="X12352" t="s">
        <v>44919</v>
      </c>
    </row>
    <row r="12353" spans="1:24">
      <c r="A12353">
        <f>HYPERLINK("https://www.philgeps.gov.ph/GEPSNONPILOT/Tender/SplashBidNoticeAbstractUI.aspx?menuIndex=3&amp;refID=7058907&amp;Result=3","7058907")</f>
        <v>0</v>
      </c>
      <c r="B12353" t="s">
        <v>3214</v>
      </c>
      <c r="C12353" t="s">
        <v>15321</v>
      </c>
      <c r="D12353" t="s">
        <v>18160</v>
      </c>
      <c r="E12353" t="s">
        <v>28900</v>
      </c>
      <c r="F12353" t="s">
        <v>31362</v>
      </c>
      <c r="G12353" t="s">
        <v>31369</v>
      </c>
      <c r="H12353" t="s">
        <v>15799</v>
      </c>
      <c r="I12353" t="s">
        <v>31384</v>
      </c>
      <c r="J12353" t="s">
        <v>39045</v>
      </c>
      <c r="K12353" t="s">
        <v>40662</v>
      </c>
      <c r="M12353" t="s">
        <v>44489</v>
      </c>
      <c r="N12353" t="s">
        <v>44905</v>
      </c>
      <c r="O12353" t="s">
        <v>44906</v>
      </c>
      <c r="P12353">
        <v>0</v>
      </c>
      <c r="Q12353">
        <v>12</v>
      </c>
      <c r="R12353" t="s">
        <v>44918</v>
      </c>
      <c r="S12353" t="s">
        <v>45447</v>
      </c>
      <c r="T12353" t="s">
        <v>46481</v>
      </c>
      <c r="U12353" t="s">
        <v>56817</v>
      </c>
      <c r="W12353" t="s">
        <v>44488</v>
      </c>
      <c r="X12353" t="s">
        <v>44919</v>
      </c>
    </row>
    <row r="12354" spans="1:24">
      <c r="A12354">
        <f>HYPERLINK("https://www.philgeps.gov.ph/GEPSNONPILOT/Tender/SplashBidNoticeAbstractUI.aspx?menuIndex=3&amp;refID=7058413&amp;Result=3","7058413")</f>
        <v>0</v>
      </c>
      <c r="B12354" t="s">
        <v>3210</v>
      </c>
      <c r="C12354" t="s">
        <v>15322</v>
      </c>
      <c r="D12354" t="s">
        <v>18134</v>
      </c>
      <c r="E12354" t="s">
        <v>28901</v>
      </c>
      <c r="F12354" t="s">
        <v>31362</v>
      </c>
      <c r="G12354" t="s">
        <v>31369</v>
      </c>
      <c r="H12354" t="s">
        <v>31378</v>
      </c>
      <c r="I12354" t="s">
        <v>31386</v>
      </c>
      <c r="J12354" t="s">
        <v>39046</v>
      </c>
      <c r="K12354" t="s">
        <v>40717</v>
      </c>
      <c r="M12354" t="s">
        <v>44483</v>
      </c>
      <c r="N12354" t="s">
        <v>44905</v>
      </c>
      <c r="O12354" t="s">
        <v>44906</v>
      </c>
      <c r="P12354">
        <v>0</v>
      </c>
      <c r="Q12354">
        <v>3</v>
      </c>
      <c r="R12354" t="s">
        <v>44919</v>
      </c>
      <c r="S12354" t="s">
        <v>45479</v>
      </c>
      <c r="T12354" t="s">
        <v>46560</v>
      </c>
      <c r="U12354" t="s">
        <v>56818</v>
      </c>
      <c r="W12354" t="s">
        <v>44483</v>
      </c>
      <c r="X12354" t="s">
        <v>44920</v>
      </c>
    </row>
    <row r="12355" spans="1:24">
      <c r="A12355">
        <f>HYPERLINK("https://www.philgeps.gov.ph/GEPSNONPILOT/Tender/SplashBidNoticeAbstractUI.aspx?menuIndex=3&amp;refID=7058216&amp;Result=3","7058216")</f>
        <v>0</v>
      </c>
      <c r="B12355" t="s">
        <v>3215</v>
      </c>
      <c r="C12355" t="s">
        <v>15323</v>
      </c>
      <c r="D12355" t="s">
        <v>18123</v>
      </c>
      <c r="E12355" t="s">
        <v>28902</v>
      </c>
      <c r="F12355" t="s">
        <v>31362</v>
      </c>
      <c r="G12355" t="s">
        <v>31369</v>
      </c>
      <c r="H12355" t="s">
        <v>15799</v>
      </c>
      <c r="I12355" t="s">
        <v>4057</v>
      </c>
      <c r="J12355" t="s">
        <v>32617</v>
      </c>
      <c r="K12355" t="s">
        <v>40666</v>
      </c>
      <c r="M12355" t="s">
        <v>44490</v>
      </c>
      <c r="N12355" t="s">
        <v>44905</v>
      </c>
      <c r="O12355" t="s">
        <v>44906</v>
      </c>
      <c r="P12355">
        <v>0</v>
      </c>
      <c r="Q12355">
        <v>0</v>
      </c>
      <c r="R12355" t="s">
        <v>44919</v>
      </c>
      <c r="S12355" t="s">
        <v>45479</v>
      </c>
      <c r="T12355" t="s">
        <v>46392</v>
      </c>
      <c r="U12355" t="s">
        <v>56819</v>
      </c>
      <c r="W12355" t="s">
        <v>44490</v>
      </c>
      <c r="X12355" t="s">
        <v>44920</v>
      </c>
    </row>
    <row r="12356" spans="1:24">
      <c r="A12356">
        <f>HYPERLINK("https://www.philgeps.gov.ph/GEPSNONPILOT/Tender/SplashBidNoticeAbstractUI.aspx?menuIndex=3&amp;refID=7058036&amp;Result=3","7058036")</f>
        <v>0</v>
      </c>
      <c r="B12356" t="s">
        <v>2577</v>
      </c>
      <c r="C12356" t="s">
        <v>15324</v>
      </c>
      <c r="D12356" t="s">
        <v>18153</v>
      </c>
      <c r="E12356" t="s">
        <v>28903</v>
      </c>
      <c r="F12356" t="s">
        <v>31362</v>
      </c>
      <c r="G12356" t="s">
        <v>31369</v>
      </c>
      <c r="H12356" t="s">
        <v>15799</v>
      </c>
      <c r="I12356" t="s">
        <v>31387</v>
      </c>
      <c r="J12356" t="s">
        <v>39047</v>
      </c>
      <c r="K12356" t="s">
        <v>40665</v>
      </c>
      <c r="M12356" t="s">
        <v>43751</v>
      </c>
      <c r="N12356" t="s">
        <v>44905</v>
      </c>
      <c r="O12356" t="s">
        <v>44906</v>
      </c>
      <c r="P12356">
        <v>0</v>
      </c>
      <c r="Q12356">
        <v>0</v>
      </c>
      <c r="R12356" t="s">
        <v>44919</v>
      </c>
      <c r="S12356" t="s">
        <v>45479</v>
      </c>
      <c r="T12356" t="s">
        <v>46560</v>
      </c>
      <c r="U12356" t="s">
        <v>56812</v>
      </c>
      <c r="V12356" t="s">
        <v>59961</v>
      </c>
      <c r="W12356" t="s">
        <v>43751</v>
      </c>
      <c r="X12356" t="s">
        <v>44921</v>
      </c>
    </row>
    <row r="12357" spans="1:24">
      <c r="A12357">
        <f>HYPERLINK("https://www.philgeps.gov.ph/GEPSNONPILOT/Tender/SplashBidNoticeAbstractUI.aspx?menuIndex=3&amp;refID=7058291&amp;Result=3","7058291")</f>
        <v>0</v>
      </c>
      <c r="B12357" t="s">
        <v>2181</v>
      </c>
      <c r="C12357" t="s">
        <v>15325</v>
      </c>
      <c r="D12357" t="s">
        <v>18156</v>
      </c>
      <c r="E12357" t="s">
        <v>28904</v>
      </c>
      <c r="F12357" t="s">
        <v>31362</v>
      </c>
      <c r="G12357" t="s">
        <v>31369</v>
      </c>
      <c r="H12357" t="s">
        <v>15799</v>
      </c>
      <c r="I12357" t="s">
        <v>3815</v>
      </c>
      <c r="J12357" t="s">
        <v>39048</v>
      </c>
      <c r="K12357" t="s">
        <v>40665</v>
      </c>
      <c r="M12357" t="s">
        <v>43312</v>
      </c>
      <c r="N12357" t="s">
        <v>44905</v>
      </c>
      <c r="O12357" t="s">
        <v>44906</v>
      </c>
      <c r="Q12357">
        <v>1</v>
      </c>
      <c r="R12357" t="s">
        <v>44919</v>
      </c>
      <c r="S12357" t="s">
        <v>45487</v>
      </c>
      <c r="T12357" t="s">
        <v>46447</v>
      </c>
      <c r="U12357" t="s">
        <v>56820</v>
      </c>
      <c r="W12357" t="s">
        <v>43312</v>
      </c>
      <c r="X12357" t="s">
        <v>44920</v>
      </c>
    </row>
    <row r="12358" spans="1:24">
      <c r="A12358">
        <f>HYPERLINK("https://www.philgeps.gov.ph/GEPSNONPILOT/Tender/SplashBidNoticeAbstractUI.aspx?menuIndex=3&amp;refID=7058387&amp;Result=3","7058387")</f>
        <v>0</v>
      </c>
      <c r="B12358" t="s">
        <v>2181</v>
      </c>
      <c r="C12358" t="s">
        <v>15326</v>
      </c>
      <c r="D12358" t="s">
        <v>18156</v>
      </c>
      <c r="E12358" t="s">
        <v>28905</v>
      </c>
      <c r="F12358" t="s">
        <v>31362</v>
      </c>
      <c r="G12358" t="s">
        <v>31369</v>
      </c>
      <c r="H12358" t="s">
        <v>31378</v>
      </c>
      <c r="I12358" t="s">
        <v>31386</v>
      </c>
      <c r="J12358" t="s">
        <v>31726</v>
      </c>
      <c r="K12358" t="s">
        <v>40686</v>
      </c>
      <c r="M12358" t="s">
        <v>43312</v>
      </c>
      <c r="N12358" t="s">
        <v>44905</v>
      </c>
      <c r="O12358" t="s">
        <v>44906</v>
      </c>
      <c r="P12358">
        <v>0</v>
      </c>
      <c r="Q12358">
        <v>2</v>
      </c>
      <c r="R12358" t="s">
        <v>44919</v>
      </c>
      <c r="S12358" t="s">
        <v>45479</v>
      </c>
      <c r="T12358" t="s">
        <v>46470</v>
      </c>
      <c r="U12358" t="s">
        <v>52767</v>
      </c>
      <c r="W12358" t="s">
        <v>43312</v>
      </c>
      <c r="X12358" t="s">
        <v>44920</v>
      </c>
    </row>
    <row r="12359" spans="1:24">
      <c r="A12359">
        <f>HYPERLINK("https://www.philgeps.gov.ph/GEPSNONPILOT/Tender/SplashBidNoticeAbstractUI.aspx?menuIndex=3&amp;refID=7058441&amp;Result=3","7058441")</f>
        <v>0</v>
      </c>
      <c r="B12359" t="s">
        <v>1412</v>
      </c>
      <c r="C12359" t="s">
        <v>15327</v>
      </c>
      <c r="D12359" t="s">
        <v>18108</v>
      </c>
      <c r="E12359" t="s">
        <v>28906</v>
      </c>
      <c r="F12359" t="s">
        <v>31362</v>
      </c>
      <c r="G12359" t="s">
        <v>31369</v>
      </c>
      <c r="H12359" t="s">
        <v>15799</v>
      </c>
      <c r="I12359" t="s">
        <v>31393</v>
      </c>
      <c r="J12359" t="s">
        <v>31634</v>
      </c>
      <c r="K12359" t="s">
        <v>40723</v>
      </c>
      <c r="M12359" t="s">
        <v>42437</v>
      </c>
      <c r="N12359" t="s">
        <v>44905</v>
      </c>
      <c r="O12359" t="s">
        <v>44906</v>
      </c>
      <c r="P12359">
        <v>0</v>
      </c>
      <c r="Q12359">
        <v>8</v>
      </c>
      <c r="R12359" t="s">
        <v>44919</v>
      </c>
      <c r="S12359" t="s">
        <v>45479</v>
      </c>
      <c r="T12359" t="s">
        <v>46407</v>
      </c>
      <c r="U12359" t="s">
        <v>56821</v>
      </c>
      <c r="W12359" t="s">
        <v>42437</v>
      </c>
      <c r="X12359" t="s">
        <v>44920</v>
      </c>
    </row>
    <row r="12360" spans="1:24">
      <c r="A12360">
        <f>HYPERLINK("https://www.philgeps.gov.ph/GEPSNONPILOT/Tender/SplashBidNoticeAbstractUI.aspx?menuIndex=3&amp;refID=7058431&amp;Result=3","7058431")</f>
        <v>0</v>
      </c>
      <c r="B12360" t="s">
        <v>351</v>
      </c>
      <c r="C12360" t="s">
        <v>15328</v>
      </c>
      <c r="D12360" t="s">
        <v>18142</v>
      </c>
      <c r="E12360" t="s">
        <v>28907</v>
      </c>
      <c r="F12360" t="s">
        <v>31362</v>
      </c>
      <c r="G12360" t="s">
        <v>31369</v>
      </c>
      <c r="H12360" t="s">
        <v>15799</v>
      </c>
      <c r="I12360" t="s">
        <v>31469</v>
      </c>
      <c r="J12360" t="s">
        <v>37387</v>
      </c>
      <c r="K12360" t="s">
        <v>40682</v>
      </c>
      <c r="M12360" t="s">
        <v>44499</v>
      </c>
      <c r="N12360" t="s">
        <v>44905</v>
      </c>
      <c r="O12360" t="s">
        <v>44906</v>
      </c>
      <c r="P12360">
        <v>0</v>
      </c>
      <c r="Q12360">
        <v>4</v>
      </c>
      <c r="R12360" t="s">
        <v>44919</v>
      </c>
      <c r="S12360" t="s">
        <v>45479</v>
      </c>
      <c r="T12360" t="s">
        <v>46393</v>
      </c>
      <c r="U12360" t="s">
        <v>56822</v>
      </c>
      <c r="W12360" t="s">
        <v>44499</v>
      </c>
      <c r="X12360" t="s">
        <v>44920</v>
      </c>
    </row>
    <row r="12361" spans="1:24">
      <c r="A12361">
        <f>HYPERLINK("https://www.philgeps.gov.ph/GEPSNONPILOT/Tender/SplashBidNoticeAbstractUI.aspx?menuIndex=3&amp;refID=7058420&amp;Result=3","7058420")</f>
        <v>0</v>
      </c>
      <c r="B12361" t="s">
        <v>3224</v>
      </c>
      <c r="C12361" t="s">
        <v>15329</v>
      </c>
      <c r="D12361" t="s">
        <v>18113</v>
      </c>
      <c r="E12361" t="s">
        <v>28908</v>
      </c>
      <c r="F12361" t="s">
        <v>31362</v>
      </c>
      <c r="G12361" t="s">
        <v>31369</v>
      </c>
      <c r="H12361" t="s">
        <v>31378</v>
      </c>
      <c r="I12361" t="s">
        <v>31386</v>
      </c>
      <c r="J12361" t="s">
        <v>31709</v>
      </c>
      <c r="K12361" t="s">
        <v>40686</v>
      </c>
      <c r="M12361" t="s">
        <v>44500</v>
      </c>
      <c r="N12361" t="s">
        <v>44905</v>
      </c>
      <c r="O12361" t="s">
        <v>44906</v>
      </c>
      <c r="Q12361">
        <v>3</v>
      </c>
      <c r="R12361" t="s">
        <v>44919</v>
      </c>
      <c r="S12361" t="s">
        <v>45488</v>
      </c>
      <c r="T12361" t="s">
        <v>46499</v>
      </c>
      <c r="U12361" t="s">
        <v>56823</v>
      </c>
      <c r="W12361" t="s">
        <v>44500</v>
      </c>
      <c r="X12361" t="s">
        <v>44920</v>
      </c>
    </row>
    <row r="12362" spans="1:24">
      <c r="A12362">
        <f>HYPERLINK("https://www.philgeps.gov.ph/GEPSNONPILOT/Tender/SplashBidNoticeAbstractUI.aspx?menuIndex=3&amp;refID=7058462&amp;Result=3","7058462")</f>
        <v>0</v>
      </c>
      <c r="B12362" t="s">
        <v>3225</v>
      </c>
      <c r="C12362" t="s">
        <v>15330</v>
      </c>
      <c r="E12362" t="s">
        <v>28909</v>
      </c>
      <c r="F12362" t="s">
        <v>31362</v>
      </c>
      <c r="G12362" t="s">
        <v>31369</v>
      </c>
      <c r="H12362" t="s">
        <v>15799</v>
      </c>
      <c r="I12362" t="s">
        <v>4283</v>
      </c>
      <c r="J12362" t="s">
        <v>39049</v>
      </c>
      <c r="K12362" t="s">
        <v>40662</v>
      </c>
      <c r="M12362" t="s">
        <v>44501</v>
      </c>
      <c r="N12362" t="s">
        <v>44905</v>
      </c>
      <c r="O12362" t="s">
        <v>44906</v>
      </c>
      <c r="P12362">
        <v>0</v>
      </c>
      <c r="Q12362">
        <v>23</v>
      </c>
      <c r="R12362" t="s">
        <v>44919</v>
      </c>
      <c r="S12362" t="s">
        <v>45479</v>
      </c>
      <c r="T12362" t="s">
        <v>46504</v>
      </c>
      <c r="U12362" t="s">
        <v>56824</v>
      </c>
      <c r="V12362" t="s">
        <v>60371</v>
      </c>
      <c r="W12362" t="s">
        <v>44501</v>
      </c>
      <c r="X12362" t="s">
        <v>44920</v>
      </c>
    </row>
    <row r="12363" spans="1:24">
      <c r="A12363">
        <f>HYPERLINK("https://www.philgeps.gov.ph/GEPSNONPILOT/Tender/SplashBidNoticeAbstractUI.aspx?menuIndex=3&amp;refID=7058414&amp;Result=3","7058414")</f>
        <v>0</v>
      </c>
      <c r="B12363" t="s">
        <v>2181</v>
      </c>
      <c r="C12363" t="s">
        <v>15331</v>
      </c>
      <c r="D12363" t="s">
        <v>18156</v>
      </c>
      <c r="E12363" t="s">
        <v>28910</v>
      </c>
      <c r="F12363" t="s">
        <v>31362</v>
      </c>
      <c r="G12363" t="s">
        <v>31369</v>
      </c>
      <c r="H12363" t="s">
        <v>31378</v>
      </c>
      <c r="I12363" t="s">
        <v>31386</v>
      </c>
      <c r="J12363" t="s">
        <v>35947</v>
      </c>
      <c r="K12363" t="s">
        <v>40691</v>
      </c>
      <c r="M12363" t="s">
        <v>43312</v>
      </c>
      <c r="N12363" t="s">
        <v>44905</v>
      </c>
      <c r="O12363" t="s">
        <v>44906</v>
      </c>
      <c r="Q12363">
        <v>3</v>
      </c>
      <c r="R12363" t="s">
        <v>44919</v>
      </c>
      <c r="S12363" t="s">
        <v>45489</v>
      </c>
      <c r="T12363" t="s">
        <v>46855</v>
      </c>
      <c r="U12363" t="s">
        <v>52749</v>
      </c>
      <c r="W12363" t="s">
        <v>43312</v>
      </c>
      <c r="X12363" t="s">
        <v>44920</v>
      </c>
    </row>
    <row r="12364" spans="1:24">
      <c r="A12364">
        <f>HYPERLINK("https://www.philgeps.gov.ph/GEPSNONPILOT/Tender/SplashBidNoticeAbstractUI.aspx?menuIndex=3&amp;refID=7058410&amp;Result=3","7058410")</f>
        <v>0</v>
      </c>
      <c r="B12364" t="s">
        <v>2181</v>
      </c>
      <c r="C12364" t="s">
        <v>15332</v>
      </c>
      <c r="D12364" t="s">
        <v>18156</v>
      </c>
      <c r="E12364" t="s">
        <v>28911</v>
      </c>
      <c r="F12364" t="s">
        <v>31362</v>
      </c>
      <c r="G12364" t="s">
        <v>31369</v>
      </c>
      <c r="H12364" t="s">
        <v>31378</v>
      </c>
      <c r="I12364" t="s">
        <v>31386</v>
      </c>
      <c r="J12364" t="s">
        <v>32964</v>
      </c>
      <c r="K12364" t="s">
        <v>40686</v>
      </c>
      <c r="M12364" t="s">
        <v>43312</v>
      </c>
      <c r="N12364" t="s">
        <v>44905</v>
      </c>
      <c r="O12364" t="s">
        <v>44906</v>
      </c>
      <c r="P12364">
        <v>0</v>
      </c>
      <c r="Q12364">
        <v>1</v>
      </c>
      <c r="R12364" t="s">
        <v>44919</v>
      </c>
      <c r="S12364" t="s">
        <v>45479</v>
      </c>
      <c r="T12364" t="s">
        <v>46470</v>
      </c>
      <c r="U12364" t="s">
        <v>52767</v>
      </c>
      <c r="W12364" t="s">
        <v>43312</v>
      </c>
      <c r="X12364" t="s">
        <v>44920</v>
      </c>
    </row>
    <row r="12365" spans="1:24">
      <c r="A12365">
        <f>HYPERLINK("https://www.philgeps.gov.ph/GEPSNONPILOT/Tender/SplashBidNoticeAbstractUI.aspx?menuIndex=3&amp;refID=7058409&amp;Result=3","7058409")</f>
        <v>0</v>
      </c>
      <c r="B12365" t="s">
        <v>2181</v>
      </c>
      <c r="C12365" t="s">
        <v>15333</v>
      </c>
      <c r="D12365" t="s">
        <v>18156</v>
      </c>
      <c r="E12365" t="s">
        <v>28912</v>
      </c>
      <c r="F12365" t="s">
        <v>31362</v>
      </c>
      <c r="G12365" t="s">
        <v>31369</v>
      </c>
      <c r="H12365" t="s">
        <v>31378</v>
      </c>
      <c r="I12365" t="s">
        <v>31386</v>
      </c>
      <c r="J12365" t="s">
        <v>32964</v>
      </c>
      <c r="K12365" t="s">
        <v>40686</v>
      </c>
      <c r="M12365" t="s">
        <v>43312</v>
      </c>
      <c r="N12365" t="s">
        <v>44905</v>
      </c>
      <c r="O12365" t="s">
        <v>44906</v>
      </c>
      <c r="P12365">
        <v>0</v>
      </c>
      <c r="Q12365">
        <v>1</v>
      </c>
      <c r="R12365" t="s">
        <v>44919</v>
      </c>
      <c r="S12365" t="s">
        <v>45479</v>
      </c>
      <c r="T12365" t="s">
        <v>46470</v>
      </c>
      <c r="U12365" t="s">
        <v>52767</v>
      </c>
      <c r="W12365" t="s">
        <v>43312</v>
      </c>
      <c r="X12365" t="s">
        <v>44920</v>
      </c>
    </row>
    <row r="12366" spans="1:24">
      <c r="A12366">
        <f>HYPERLINK("https://www.philgeps.gov.ph/GEPSNONPILOT/Tender/SplashBidNoticeAbstractUI.aspx?menuIndex=3&amp;refID=7058472&amp;Result=3","7058472")</f>
        <v>0</v>
      </c>
      <c r="B12366" t="s">
        <v>3225</v>
      </c>
      <c r="C12366" t="s">
        <v>15334</v>
      </c>
      <c r="E12366" t="s">
        <v>28913</v>
      </c>
      <c r="F12366" t="s">
        <v>31362</v>
      </c>
      <c r="G12366" t="s">
        <v>31369</v>
      </c>
      <c r="H12366" t="s">
        <v>15799</v>
      </c>
      <c r="I12366" t="s">
        <v>7090</v>
      </c>
      <c r="J12366" t="s">
        <v>39050</v>
      </c>
      <c r="K12366" t="s">
        <v>40662</v>
      </c>
      <c r="M12366" t="s">
        <v>44501</v>
      </c>
      <c r="N12366" t="s">
        <v>44905</v>
      </c>
      <c r="O12366" t="s">
        <v>44906</v>
      </c>
      <c r="P12366">
        <v>0</v>
      </c>
      <c r="Q12366">
        <v>6</v>
      </c>
      <c r="R12366" t="s">
        <v>44919</v>
      </c>
      <c r="S12366" t="s">
        <v>45479</v>
      </c>
      <c r="T12366" t="s">
        <v>46504</v>
      </c>
      <c r="U12366" t="s">
        <v>56825</v>
      </c>
      <c r="V12366" t="s">
        <v>60372</v>
      </c>
      <c r="W12366" t="s">
        <v>44501</v>
      </c>
      <c r="X12366" t="s">
        <v>44920</v>
      </c>
    </row>
    <row r="12367" spans="1:24">
      <c r="A12367">
        <f>HYPERLINK("https://www.philgeps.gov.ph/GEPSNONPILOT/Tender/SplashBidNoticeAbstractUI.aspx?menuIndex=3&amp;refID=7058408&amp;Result=3","7058408")</f>
        <v>0</v>
      </c>
      <c r="B12367" t="s">
        <v>3210</v>
      </c>
      <c r="C12367" t="s">
        <v>15335</v>
      </c>
      <c r="D12367" t="s">
        <v>18134</v>
      </c>
      <c r="E12367" t="s">
        <v>28914</v>
      </c>
      <c r="F12367" t="s">
        <v>31362</v>
      </c>
      <c r="G12367" t="s">
        <v>31369</v>
      </c>
      <c r="H12367" t="s">
        <v>31378</v>
      </c>
      <c r="I12367" t="s">
        <v>31386</v>
      </c>
      <c r="J12367" t="s">
        <v>39051</v>
      </c>
      <c r="K12367" t="s">
        <v>40705</v>
      </c>
      <c r="M12367" t="s">
        <v>44483</v>
      </c>
      <c r="N12367" t="s">
        <v>44905</v>
      </c>
      <c r="O12367" t="s">
        <v>44906</v>
      </c>
      <c r="P12367">
        <v>0</v>
      </c>
      <c r="Q12367">
        <v>1</v>
      </c>
      <c r="R12367" t="s">
        <v>44919</v>
      </c>
      <c r="S12367" t="s">
        <v>45479</v>
      </c>
      <c r="T12367" t="s">
        <v>46560</v>
      </c>
      <c r="U12367" t="s">
        <v>56826</v>
      </c>
      <c r="W12367" t="s">
        <v>44483</v>
      </c>
      <c r="X12367" t="s">
        <v>44920</v>
      </c>
    </row>
    <row r="12368" spans="1:24">
      <c r="A12368">
        <f>HYPERLINK("https://www.philgeps.gov.ph/GEPSNONPILOT/Tender/SplashBidNoticeAbstractUI.aspx?menuIndex=3&amp;refID=7058406&amp;Result=3","7058406")</f>
        <v>0</v>
      </c>
      <c r="B12368" t="s">
        <v>2181</v>
      </c>
      <c r="C12368" t="s">
        <v>15336</v>
      </c>
      <c r="D12368" t="s">
        <v>18156</v>
      </c>
      <c r="E12368" t="s">
        <v>28915</v>
      </c>
      <c r="F12368" t="s">
        <v>31362</v>
      </c>
      <c r="G12368" t="s">
        <v>31369</v>
      </c>
      <c r="H12368" t="s">
        <v>31378</v>
      </c>
      <c r="I12368" t="s">
        <v>31386</v>
      </c>
      <c r="J12368" t="s">
        <v>35723</v>
      </c>
      <c r="K12368" t="s">
        <v>40682</v>
      </c>
      <c r="M12368" t="s">
        <v>43312</v>
      </c>
      <c r="N12368" t="s">
        <v>44905</v>
      </c>
      <c r="O12368" t="s">
        <v>44906</v>
      </c>
      <c r="Q12368">
        <v>1</v>
      </c>
      <c r="R12368" t="s">
        <v>44919</v>
      </c>
      <c r="S12368" t="s">
        <v>45490</v>
      </c>
      <c r="T12368" t="s">
        <v>46855</v>
      </c>
      <c r="U12368" t="s">
        <v>52826</v>
      </c>
      <c r="W12368" t="s">
        <v>43312</v>
      </c>
      <c r="X12368" t="s">
        <v>44920</v>
      </c>
    </row>
    <row r="12369" spans="1:24">
      <c r="A12369">
        <f>HYPERLINK("https://www.philgeps.gov.ph/GEPSNONPILOT/Tender/SplashBidNoticeAbstractUI.aspx?menuIndex=3&amp;refID=7058404&amp;Result=3","7058404")</f>
        <v>0</v>
      </c>
      <c r="B12369" t="s">
        <v>3210</v>
      </c>
      <c r="C12369" t="s">
        <v>15337</v>
      </c>
      <c r="D12369" t="s">
        <v>18134</v>
      </c>
      <c r="E12369" t="s">
        <v>28916</v>
      </c>
      <c r="F12369" t="s">
        <v>31362</v>
      </c>
      <c r="G12369" t="s">
        <v>31369</v>
      </c>
      <c r="H12369" t="s">
        <v>15799</v>
      </c>
      <c r="I12369" t="s">
        <v>31409</v>
      </c>
      <c r="J12369" t="s">
        <v>31693</v>
      </c>
      <c r="K12369" t="s">
        <v>40682</v>
      </c>
      <c r="M12369" t="s">
        <v>44483</v>
      </c>
      <c r="N12369" t="s">
        <v>44905</v>
      </c>
      <c r="O12369" t="s">
        <v>44906</v>
      </c>
      <c r="P12369">
        <v>0</v>
      </c>
      <c r="Q12369">
        <v>2</v>
      </c>
      <c r="R12369" t="s">
        <v>44919</v>
      </c>
      <c r="S12369" t="s">
        <v>45479</v>
      </c>
      <c r="T12369" t="s">
        <v>46560</v>
      </c>
      <c r="U12369" t="s">
        <v>56827</v>
      </c>
      <c r="W12369" t="s">
        <v>44483</v>
      </c>
      <c r="X12369" t="s">
        <v>44920</v>
      </c>
    </row>
    <row r="12370" spans="1:24">
      <c r="A12370">
        <f>HYPERLINK("https://www.philgeps.gov.ph/GEPSNONPILOT/Tender/SplashBidNoticeAbstractUI.aspx?menuIndex=3&amp;refID=7058401&amp;Result=3","7058401")</f>
        <v>0</v>
      </c>
      <c r="B12370" t="s">
        <v>2181</v>
      </c>
      <c r="C12370" t="s">
        <v>15338</v>
      </c>
      <c r="D12370" t="s">
        <v>18156</v>
      </c>
      <c r="E12370" t="s">
        <v>28917</v>
      </c>
      <c r="F12370" t="s">
        <v>31362</v>
      </c>
      <c r="G12370" t="s">
        <v>31369</v>
      </c>
      <c r="H12370" t="s">
        <v>31378</v>
      </c>
      <c r="I12370" t="s">
        <v>31386</v>
      </c>
      <c r="J12370" t="s">
        <v>35947</v>
      </c>
      <c r="K12370" t="s">
        <v>40678</v>
      </c>
      <c r="M12370" t="s">
        <v>43312</v>
      </c>
      <c r="N12370" t="s">
        <v>44905</v>
      </c>
      <c r="O12370" t="s">
        <v>44906</v>
      </c>
      <c r="Q12370">
        <v>6</v>
      </c>
      <c r="R12370" t="s">
        <v>44919</v>
      </c>
      <c r="S12370" t="s">
        <v>45277</v>
      </c>
      <c r="T12370" t="s">
        <v>46855</v>
      </c>
      <c r="U12370" t="s">
        <v>52749</v>
      </c>
      <c r="W12370" t="s">
        <v>43312</v>
      </c>
      <c r="X12370" t="s">
        <v>44920</v>
      </c>
    </row>
    <row r="12371" spans="1:24">
      <c r="A12371">
        <f>HYPERLINK("https://www.philgeps.gov.ph/GEPSNONPILOT/Tender/SplashBidNoticeAbstractUI.aspx?menuIndex=3&amp;refID=7058399&amp;Result=3","7058399")</f>
        <v>0</v>
      </c>
      <c r="B12371" t="s">
        <v>2181</v>
      </c>
      <c r="C12371" t="s">
        <v>15339</v>
      </c>
      <c r="D12371" t="s">
        <v>18156</v>
      </c>
      <c r="E12371" t="s">
        <v>28918</v>
      </c>
      <c r="F12371" t="s">
        <v>31362</v>
      </c>
      <c r="G12371" t="s">
        <v>31369</v>
      </c>
      <c r="H12371" t="s">
        <v>31378</v>
      </c>
      <c r="I12371" t="s">
        <v>31386</v>
      </c>
      <c r="J12371" t="s">
        <v>37006</v>
      </c>
      <c r="K12371" t="s">
        <v>40686</v>
      </c>
      <c r="M12371" t="s">
        <v>43312</v>
      </c>
      <c r="N12371" t="s">
        <v>44905</v>
      </c>
      <c r="O12371" t="s">
        <v>44906</v>
      </c>
      <c r="Q12371">
        <v>2</v>
      </c>
      <c r="R12371" t="s">
        <v>44919</v>
      </c>
      <c r="S12371" t="s">
        <v>45491</v>
      </c>
      <c r="T12371" t="s">
        <v>46855</v>
      </c>
      <c r="U12371" t="s">
        <v>52776</v>
      </c>
      <c r="W12371" t="s">
        <v>43312</v>
      </c>
      <c r="X12371" t="s">
        <v>44920</v>
      </c>
    </row>
    <row r="12372" spans="1:24">
      <c r="A12372">
        <f>HYPERLINK("https://www.philgeps.gov.ph/GEPSNONPILOT/Tender/SplashBidNoticeAbstractUI.aspx?menuIndex=3&amp;refID=7050598&amp;Result=3","7050598")</f>
        <v>0</v>
      </c>
      <c r="B12372" t="s">
        <v>25</v>
      </c>
      <c r="C12372" t="s">
        <v>15340</v>
      </c>
      <c r="E12372" t="s">
        <v>28919</v>
      </c>
      <c r="F12372" t="s">
        <v>31362</v>
      </c>
      <c r="G12372" t="s">
        <v>31369</v>
      </c>
      <c r="H12372" t="s">
        <v>31378</v>
      </c>
      <c r="I12372" t="s">
        <v>31386</v>
      </c>
      <c r="J12372" t="s">
        <v>39052</v>
      </c>
      <c r="K12372" t="s">
        <v>40662</v>
      </c>
      <c r="M12372" t="s">
        <v>40959</v>
      </c>
      <c r="N12372" t="s">
        <v>44905</v>
      </c>
      <c r="O12372" t="s">
        <v>44906</v>
      </c>
      <c r="P12372">
        <v>0</v>
      </c>
      <c r="Q12372">
        <v>6</v>
      </c>
      <c r="R12372" t="s">
        <v>44920</v>
      </c>
      <c r="S12372" t="s">
        <v>45492</v>
      </c>
      <c r="T12372" t="s">
        <v>46392</v>
      </c>
      <c r="U12372" t="s">
        <v>56828</v>
      </c>
      <c r="V12372" t="s">
        <v>60373</v>
      </c>
      <c r="W12372" t="s">
        <v>40959</v>
      </c>
      <c r="X12372" t="s">
        <v>44923</v>
      </c>
    </row>
    <row r="12373" spans="1:24">
      <c r="A12373">
        <f>HYPERLINK("https://www.philgeps.gov.ph/GEPSNONPILOT/Tender/SplashBidNoticeAbstractUI.aspx?menuIndex=3&amp;refID=7058459&amp;Result=3","7058459")</f>
        <v>0</v>
      </c>
      <c r="B12373" t="s">
        <v>3210</v>
      </c>
      <c r="C12373" t="s">
        <v>15341</v>
      </c>
      <c r="D12373" t="s">
        <v>18134</v>
      </c>
      <c r="E12373" t="s">
        <v>28920</v>
      </c>
      <c r="F12373" t="s">
        <v>31362</v>
      </c>
      <c r="G12373" t="s">
        <v>31369</v>
      </c>
      <c r="H12373" t="s">
        <v>31378</v>
      </c>
      <c r="I12373" t="s">
        <v>31386</v>
      </c>
      <c r="J12373" t="s">
        <v>39053</v>
      </c>
      <c r="K12373" t="s">
        <v>40711</v>
      </c>
      <c r="M12373" t="s">
        <v>44483</v>
      </c>
      <c r="N12373" t="s">
        <v>44905</v>
      </c>
      <c r="O12373" t="s">
        <v>44906</v>
      </c>
      <c r="P12373">
        <v>0</v>
      </c>
      <c r="Q12373">
        <v>1</v>
      </c>
      <c r="R12373" t="s">
        <v>44919</v>
      </c>
      <c r="S12373" t="s">
        <v>45479</v>
      </c>
      <c r="T12373" t="s">
        <v>46560</v>
      </c>
      <c r="U12373" t="s">
        <v>56829</v>
      </c>
      <c r="W12373" t="s">
        <v>44483</v>
      </c>
      <c r="X12373" t="s">
        <v>44920</v>
      </c>
    </row>
    <row r="12374" spans="1:24">
      <c r="A12374">
        <f>HYPERLINK("https://www.philgeps.gov.ph/GEPSNONPILOT/Tender/SplashBidNoticeAbstractUI.aspx?menuIndex=3&amp;refID=7050686&amp;Result=3","7050686")</f>
        <v>0</v>
      </c>
      <c r="B12374" t="s">
        <v>25</v>
      </c>
      <c r="C12374" t="s">
        <v>15342</v>
      </c>
      <c r="E12374" t="s">
        <v>28921</v>
      </c>
      <c r="F12374" t="s">
        <v>31362</v>
      </c>
      <c r="G12374" t="s">
        <v>31369</v>
      </c>
      <c r="H12374" t="s">
        <v>15799</v>
      </c>
      <c r="I12374" t="s">
        <v>31409</v>
      </c>
      <c r="J12374" t="s">
        <v>39054</v>
      </c>
      <c r="K12374" t="s">
        <v>40662</v>
      </c>
      <c r="M12374" t="s">
        <v>40959</v>
      </c>
      <c r="N12374" t="s">
        <v>44905</v>
      </c>
      <c r="O12374" t="s">
        <v>44906</v>
      </c>
      <c r="P12374">
        <v>0</v>
      </c>
      <c r="Q12374">
        <v>6</v>
      </c>
      <c r="R12374" t="s">
        <v>44920</v>
      </c>
      <c r="S12374" t="s">
        <v>45492</v>
      </c>
      <c r="T12374" t="s">
        <v>46392</v>
      </c>
      <c r="U12374" t="s">
        <v>56830</v>
      </c>
      <c r="V12374" t="s">
        <v>60373</v>
      </c>
      <c r="W12374" t="s">
        <v>40959</v>
      </c>
      <c r="X12374" t="s">
        <v>44923</v>
      </c>
    </row>
    <row r="12375" spans="1:24">
      <c r="A12375">
        <f>HYPERLINK("https://www.philgeps.gov.ph/GEPSNONPILOT/Tender/SplashBidNoticeAbstractUI.aspx?menuIndex=3&amp;refID=7058465&amp;Result=3","7058465")</f>
        <v>0</v>
      </c>
      <c r="B12375" t="s">
        <v>3225</v>
      </c>
      <c r="C12375" t="s">
        <v>15343</v>
      </c>
      <c r="E12375" t="s">
        <v>28922</v>
      </c>
      <c r="F12375" t="s">
        <v>31362</v>
      </c>
      <c r="G12375" t="s">
        <v>31369</v>
      </c>
      <c r="H12375" t="s">
        <v>31378</v>
      </c>
      <c r="I12375" t="s">
        <v>31386</v>
      </c>
      <c r="J12375" t="s">
        <v>39055</v>
      </c>
      <c r="K12375" t="s">
        <v>40662</v>
      </c>
      <c r="M12375" t="s">
        <v>44501</v>
      </c>
      <c r="N12375" t="s">
        <v>44905</v>
      </c>
      <c r="O12375" t="s">
        <v>44906</v>
      </c>
      <c r="P12375">
        <v>0</v>
      </c>
      <c r="Q12375">
        <v>5</v>
      </c>
      <c r="R12375" t="s">
        <v>44919</v>
      </c>
      <c r="S12375" t="s">
        <v>45479</v>
      </c>
      <c r="T12375" t="s">
        <v>46504</v>
      </c>
      <c r="U12375" t="s">
        <v>56831</v>
      </c>
      <c r="V12375" t="s">
        <v>60374</v>
      </c>
      <c r="W12375" t="s">
        <v>44501</v>
      </c>
      <c r="X12375" t="s">
        <v>44920</v>
      </c>
    </row>
    <row r="12376" spans="1:24">
      <c r="A12376">
        <f>HYPERLINK("https://www.philgeps.gov.ph/GEPSNONPILOT/Tender/SplashBidNoticeAbstractUI.aspx?menuIndex=3&amp;refID=7050669&amp;Result=3","7050669")</f>
        <v>0</v>
      </c>
      <c r="B12376" t="s">
        <v>25</v>
      </c>
      <c r="C12376" t="s">
        <v>15344</v>
      </c>
      <c r="E12376" t="s">
        <v>28923</v>
      </c>
      <c r="F12376" t="s">
        <v>31362</v>
      </c>
      <c r="G12376" t="s">
        <v>31369</v>
      </c>
      <c r="H12376" t="s">
        <v>31378</v>
      </c>
      <c r="I12376" t="s">
        <v>31386</v>
      </c>
      <c r="J12376" t="s">
        <v>39056</v>
      </c>
      <c r="K12376" t="s">
        <v>40662</v>
      </c>
      <c r="M12376" t="s">
        <v>40959</v>
      </c>
      <c r="N12376" t="s">
        <v>44905</v>
      </c>
      <c r="O12376" t="s">
        <v>44906</v>
      </c>
      <c r="P12376">
        <v>0</v>
      </c>
      <c r="Q12376">
        <v>4</v>
      </c>
      <c r="R12376" t="s">
        <v>44920</v>
      </c>
      <c r="S12376" t="s">
        <v>45492</v>
      </c>
      <c r="T12376" t="s">
        <v>46392</v>
      </c>
      <c r="U12376" t="s">
        <v>56832</v>
      </c>
      <c r="V12376" t="s">
        <v>60373</v>
      </c>
      <c r="W12376" t="s">
        <v>40959</v>
      </c>
      <c r="X12376" t="s">
        <v>44923</v>
      </c>
    </row>
    <row r="12377" spans="1:24">
      <c r="A12377">
        <f>HYPERLINK("https://www.philgeps.gov.ph/GEPSNONPILOT/Tender/SplashBidNoticeAbstractUI.aspx?menuIndex=3&amp;refID=7050641&amp;Result=3","7050641")</f>
        <v>0</v>
      </c>
      <c r="B12377" t="s">
        <v>25</v>
      </c>
      <c r="C12377" t="s">
        <v>15345</v>
      </c>
      <c r="E12377" t="s">
        <v>28924</v>
      </c>
      <c r="F12377" t="s">
        <v>31362</v>
      </c>
      <c r="G12377" t="s">
        <v>31369</v>
      </c>
      <c r="H12377" t="s">
        <v>31378</v>
      </c>
      <c r="I12377" t="s">
        <v>31386</v>
      </c>
      <c r="J12377" t="s">
        <v>39057</v>
      </c>
      <c r="K12377" t="s">
        <v>40662</v>
      </c>
      <c r="M12377" t="s">
        <v>40959</v>
      </c>
      <c r="N12377" t="s">
        <v>44905</v>
      </c>
      <c r="O12377" t="s">
        <v>44906</v>
      </c>
      <c r="P12377">
        <v>0</v>
      </c>
      <c r="Q12377">
        <v>5</v>
      </c>
      <c r="R12377" t="s">
        <v>44920</v>
      </c>
      <c r="S12377" t="s">
        <v>45492</v>
      </c>
      <c r="T12377" t="s">
        <v>46392</v>
      </c>
      <c r="U12377" t="s">
        <v>56833</v>
      </c>
      <c r="V12377" t="s">
        <v>60373</v>
      </c>
      <c r="W12377" t="s">
        <v>40959</v>
      </c>
      <c r="X12377" t="s">
        <v>44923</v>
      </c>
    </row>
    <row r="12378" spans="1:24">
      <c r="A12378">
        <f>HYPERLINK("https://www.philgeps.gov.ph/GEPSNONPILOT/Tender/SplashBidNoticeAbstractUI.aspx?menuIndex=3&amp;refID=7058405&amp;Result=3","7058405")</f>
        <v>0</v>
      </c>
      <c r="B12378" t="s">
        <v>2181</v>
      </c>
      <c r="C12378" t="s">
        <v>15346</v>
      </c>
      <c r="D12378" t="s">
        <v>18156</v>
      </c>
      <c r="E12378" t="s">
        <v>28925</v>
      </c>
      <c r="F12378" t="s">
        <v>31362</v>
      </c>
      <c r="G12378" t="s">
        <v>31369</v>
      </c>
      <c r="H12378" t="s">
        <v>31378</v>
      </c>
      <c r="I12378" t="s">
        <v>31386</v>
      </c>
      <c r="J12378" t="s">
        <v>35947</v>
      </c>
      <c r="K12378" t="s">
        <v>40691</v>
      </c>
      <c r="M12378" t="s">
        <v>43312</v>
      </c>
      <c r="N12378" t="s">
        <v>44905</v>
      </c>
      <c r="O12378" t="s">
        <v>44906</v>
      </c>
      <c r="Q12378">
        <v>3</v>
      </c>
      <c r="R12378" t="s">
        <v>44919</v>
      </c>
      <c r="S12378" t="s">
        <v>45214</v>
      </c>
      <c r="T12378" t="s">
        <v>46855</v>
      </c>
      <c r="U12378" t="s">
        <v>52749</v>
      </c>
      <c r="W12378" t="s">
        <v>43312</v>
      </c>
      <c r="X12378" t="s">
        <v>44920</v>
      </c>
    </row>
    <row r="12379" spans="1:24">
      <c r="A12379">
        <f>HYPERLINK("https://www.philgeps.gov.ph/GEPSNONPILOT/Tender/SplashBidNoticeAbstractUI.aspx?menuIndex=3&amp;refID=7050371&amp;Result=3","7050371")</f>
        <v>0</v>
      </c>
      <c r="B12379" t="s">
        <v>3226</v>
      </c>
      <c r="C12379" t="s">
        <v>15347</v>
      </c>
      <c r="D12379" t="s">
        <v>18102</v>
      </c>
      <c r="E12379" t="s">
        <v>28926</v>
      </c>
      <c r="F12379" t="s">
        <v>31362</v>
      </c>
      <c r="G12379" t="s">
        <v>31369</v>
      </c>
      <c r="H12379" t="s">
        <v>31378</v>
      </c>
      <c r="I12379" t="s">
        <v>31386</v>
      </c>
      <c r="J12379" t="s">
        <v>31709</v>
      </c>
      <c r="K12379" t="s">
        <v>40662</v>
      </c>
      <c r="M12379" t="s">
        <v>44502</v>
      </c>
      <c r="N12379" t="s">
        <v>44905</v>
      </c>
      <c r="O12379" t="s">
        <v>44906</v>
      </c>
      <c r="P12379">
        <v>0</v>
      </c>
      <c r="Q12379">
        <v>1</v>
      </c>
      <c r="R12379" t="s">
        <v>44920</v>
      </c>
      <c r="S12379" t="s">
        <v>45492</v>
      </c>
      <c r="T12379" t="s">
        <v>46470</v>
      </c>
      <c r="U12379" t="s">
        <v>56834</v>
      </c>
      <c r="W12379" t="s">
        <v>44502</v>
      </c>
      <c r="X12379" t="s">
        <v>44923</v>
      </c>
    </row>
    <row r="12380" spans="1:24">
      <c r="A12380">
        <f>HYPERLINK("https://www.philgeps.gov.ph/GEPSNONPILOT/Tender/SplashBidNoticeAbstractUI.aspx?menuIndex=3&amp;refID=7050349&amp;Result=3","7050349")</f>
        <v>0</v>
      </c>
      <c r="B12380" t="s">
        <v>3226</v>
      </c>
      <c r="C12380" t="s">
        <v>15348</v>
      </c>
      <c r="D12380" t="s">
        <v>18102</v>
      </c>
      <c r="E12380" t="s">
        <v>28927</v>
      </c>
      <c r="F12380" t="s">
        <v>31362</v>
      </c>
      <c r="G12380" t="s">
        <v>31369</v>
      </c>
      <c r="H12380" t="s">
        <v>31378</v>
      </c>
      <c r="I12380" t="s">
        <v>31386</v>
      </c>
      <c r="J12380" t="s">
        <v>31709</v>
      </c>
      <c r="K12380" t="s">
        <v>40662</v>
      </c>
      <c r="M12380" t="s">
        <v>44502</v>
      </c>
      <c r="N12380" t="s">
        <v>44905</v>
      </c>
      <c r="O12380" t="s">
        <v>44906</v>
      </c>
      <c r="P12380">
        <v>0</v>
      </c>
      <c r="Q12380">
        <v>1</v>
      </c>
      <c r="R12380" t="s">
        <v>44920</v>
      </c>
      <c r="S12380" t="s">
        <v>45492</v>
      </c>
      <c r="T12380" t="s">
        <v>46470</v>
      </c>
      <c r="U12380" t="s">
        <v>56835</v>
      </c>
      <c r="W12380" t="s">
        <v>44502</v>
      </c>
      <c r="X12380" t="s">
        <v>44923</v>
      </c>
    </row>
    <row r="12381" spans="1:24">
      <c r="A12381">
        <f>HYPERLINK("https://www.philgeps.gov.ph/GEPSNONPILOT/Tender/SplashBidNoticeAbstractUI.aspx?menuIndex=3&amp;refID=7058246&amp;Result=3","7058246")</f>
        <v>0</v>
      </c>
      <c r="B12381" t="s">
        <v>2181</v>
      </c>
      <c r="C12381" t="s">
        <v>15349</v>
      </c>
      <c r="D12381" t="s">
        <v>18156</v>
      </c>
      <c r="E12381" t="s">
        <v>28928</v>
      </c>
      <c r="F12381" t="s">
        <v>31362</v>
      </c>
      <c r="G12381" t="s">
        <v>31369</v>
      </c>
      <c r="H12381" t="s">
        <v>31378</v>
      </c>
      <c r="I12381" t="s">
        <v>31386</v>
      </c>
      <c r="J12381" t="s">
        <v>34081</v>
      </c>
      <c r="K12381" t="s">
        <v>40683</v>
      </c>
      <c r="M12381" t="s">
        <v>43312</v>
      </c>
      <c r="N12381" t="s">
        <v>44905</v>
      </c>
      <c r="O12381" t="s">
        <v>44906</v>
      </c>
      <c r="Q12381">
        <v>3</v>
      </c>
      <c r="R12381" t="s">
        <v>44919</v>
      </c>
      <c r="S12381" t="s">
        <v>45493</v>
      </c>
      <c r="T12381" t="s">
        <v>46855</v>
      </c>
      <c r="U12381" t="s">
        <v>52776</v>
      </c>
      <c r="W12381" t="s">
        <v>43312</v>
      </c>
      <c r="X12381" t="s">
        <v>44920</v>
      </c>
    </row>
    <row r="12382" spans="1:24">
      <c r="A12382">
        <f>HYPERLINK("https://www.philgeps.gov.ph/GEPSNONPILOT/Tender/SplashBidNoticeAbstractUI.aspx?menuIndex=3&amp;refID=7058041&amp;Result=3","7058041")</f>
        <v>0</v>
      </c>
      <c r="B12382" t="s">
        <v>2577</v>
      </c>
      <c r="C12382" t="s">
        <v>15350</v>
      </c>
      <c r="D12382" t="s">
        <v>18153</v>
      </c>
      <c r="E12382" t="s">
        <v>28929</v>
      </c>
      <c r="F12382" t="s">
        <v>31362</v>
      </c>
      <c r="G12382" t="s">
        <v>31369</v>
      </c>
      <c r="H12382" t="s">
        <v>15799</v>
      </c>
      <c r="I12382" t="s">
        <v>31387</v>
      </c>
      <c r="J12382" t="s">
        <v>39058</v>
      </c>
      <c r="K12382" t="s">
        <v>40665</v>
      </c>
      <c r="M12382" t="s">
        <v>43751</v>
      </c>
      <c r="N12382" t="s">
        <v>44905</v>
      </c>
      <c r="O12382" t="s">
        <v>44906</v>
      </c>
      <c r="P12382">
        <v>0</v>
      </c>
      <c r="Q12382">
        <v>0</v>
      </c>
      <c r="R12382" t="s">
        <v>44919</v>
      </c>
      <c r="S12382" t="s">
        <v>45479</v>
      </c>
      <c r="T12382" t="s">
        <v>46560</v>
      </c>
      <c r="U12382" t="s">
        <v>56836</v>
      </c>
      <c r="V12382" t="s">
        <v>59961</v>
      </c>
      <c r="W12382" t="s">
        <v>43751</v>
      </c>
      <c r="X12382" t="s">
        <v>44921</v>
      </c>
    </row>
    <row r="12383" spans="1:24">
      <c r="A12383">
        <f>HYPERLINK("https://www.philgeps.gov.ph/GEPSNONPILOT/Tender/SplashBidNoticeAbstractUI.aspx?menuIndex=3&amp;refID=7045175&amp;Result=3","7045175")</f>
        <v>0</v>
      </c>
      <c r="B12383" t="s">
        <v>1742</v>
      </c>
      <c r="C12383" t="s">
        <v>15351</v>
      </c>
      <c r="D12383" t="s">
        <v>18134</v>
      </c>
      <c r="E12383" t="s">
        <v>28930</v>
      </c>
      <c r="F12383" t="s">
        <v>31362</v>
      </c>
      <c r="G12383" t="s">
        <v>31369</v>
      </c>
      <c r="H12383" t="s">
        <v>15799</v>
      </c>
      <c r="I12383" t="s">
        <v>31385</v>
      </c>
      <c r="J12383" t="s">
        <v>39059</v>
      </c>
      <c r="K12383" t="s">
        <v>40662</v>
      </c>
      <c r="M12383" t="s">
        <v>42817</v>
      </c>
      <c r="N12383" t="s">
        <v>44905</v>
      </c>
      <c r="O12383" t="s">
        <v>44906</v>
      </c>
      <c r="P12383">
        <v>0</v>
      </c>
      <c r="Q12383">
        <v>5</v>
      </c>
      <c r="R12383" t="s">
        <v>44920</v>
      </c>
      <c r="S12383" t="s">
        <v>45492</v>
      </c>
      <c r="T12383" t="s">
        <v>46392</v>
      </c>
      <c r="U12383" t="s">
        <v>56837</v>
      </c>
      <c r="W12383" t="s">
        <v>42817</v>
      </c>
      <c r="X12383" t="s">
        <v>44925</v>
      </c>
    </row>
    <row r="12384" spans="1:24">
      <c r="A12384">
        <f>HYPERLINK("https://www.philgeps.gov.ph/GEPSNONPILOT/Tender/SplashBidNoticeAbstractUI.aspx?menuIndex=3&amp;refID=7050657&amp;Result=3","7050657")</f>
        <v>0</v>
      </c>
      <c r="B12384" t="s">
        <v>25</v>
      </c>
      <c r="C12384" t="s">
        <v>15352</v>
      </c>
      <c r="E12384" t="s">
        <v>28931</v>
      </c>
      <c r="F12384" t="s">
        <v>31362</v>
      </c>
      <c r="G12384" t="s">
        <v>31369</v>
      </c>
      <c r="H12384" t="s">
        <v>31378</v>
      </c>
      <c r="I12384" t="s">
        <v>31386</v>
      </c>
      <c r="J12384" t="s">
        <v>39060</v>
      </c>
      <c r="K12384" t="s">
        <v>40662</v>
      </c>
      <c r="M12384" t="s">
        <v>40959</v>
      </c>
      <c r="N12384" t="s">
        <v>44905</v>
      </c>
      <c r="O12384" t="s">
        <v>44906</v>
      </c>
      <c r="P12384">
        <v>0</v>
      </c>
      <c r="Q12384">
        <v>4</v>
      </c>
      <c r="R12384" t="s">
        <v>44920</v>
      </c>
      <c r="S12384" t="s">
        <v>45492</v>
      </c>
      <c r="T12384" t="s">
        <v>46392</v>
      </c>
      <c r="U12384" t="s">
        <v>56838</v>
      </c>
      <c r="V12384" t="s">
        <v>60373</v>
      </c>
      <c r="W12384" t="s">
        <v>40959</v>
      </c>
      <c r="X12384" t="s">
        <v>44923</v>
      </c>
    </row>
    <row r="12385" spans="1:24">
      <c r="A12385">
        <f>HYPERLINK("https://www.philgeps.gov.ph/GEPSNONPILOT/Tender/SplashBidNoticeAbstractUI.aspx?menuIndex=3&amp;refID=7050623&amp;Result=3","7050623")</f>
        <v>0</v>
      </c>
      <c r="B12385" t="s">
        <v>25</v>
      </c>
      <c r="C12385" t="s">
        <v>15353</v>
      </c>
      <c r="E12385" t="s">
        <v>28932</v>
      </c>
      <c r="F12385" t="s">
        <v>31362</v>
      </c>
      <c r="G12385" t="s">
        <v>31369</v>
      </c>
      <c r="H12385" t="s">
        <v>31378</v>
      </c>
      <c r="I12385" t="s">
        <v>31386</v>
      </c>
      <c r="J12385" t="s">
        <v>39061</v>
      </c>
      <c r="K12385" t="s">
        <v>40662</v>
      </c>
      <c r="M12385" t="s">
        <v>40959</v>
      </c>
      <c r="N12385" t="s">
        <v>44905</v>
      </c>
      <c r="O12385" t="s">
        <v>44906</v>
      </c>
      <c r="P12385">
        <v>0</v>
      </c>
      <c r="Q12385">
        <v>9</v>
      </c>
      <c r="R12385" t="s">
        <v>44920</v>
      </c>
      <c r="S12385" t="s">
        <v>45492</v>
      </c>
      <c r="T12385" t="s">
        <v>46392</v>
      </c>
      <c r="U12385" t="s">
        <v>56839</v>
      </c>
      <c r="V12385" t="s">
        <v>60373</v>
      </c>
      <c r="W12385" t="s">
        <v>40959</v>
      </c>
      <c r="X12385" t="s">
        <v>44923</v>
      </c>
    </row>
    <row r="12386" spans="1:24">
      <c r="A12386">
        <f>HYPERLINK("https://www.philgeps.gov.ph/GEPSNONPILOT/Tender/SplashBidNoticeAbstractUI.aspx?menuIndex=3&amp;refID=7058492&amp;Result=3","7058492")</f>
        <v>0</v>
      </c>
      <c r="B12386" t="s">
        <v>3227</v>
      </c>
      <c r="C12386" t="s">
        <v>15354</v>
      </c>
      <c r="D12386" t="s">
        <v>18130</v>
      </c>
      <c r="E12386" t="s">
        <v>28933</v>
      </c>
      <c r="F12386" t="s">
        <v>31362</v>
      </c>
      <c r="G12386" t="s">
        <v>31369</v>
      </c>
      <c r="H12386" t="s">
        <v>15799</v>
      </c>
      <c r="I12386" t="s">
        <v>31409</v>
      </c>
      <c r="J12386" t="s">
        <v>31641</v>
      </c>
      <c r="K12386" t="s">
        <v>40682</v>
      </c>
      <c r="M12386" t="s">
        <v>44503</v>
      </c>
      <c r="N12386" t="s">
        <v>44905</v>
      </c>
      <c r="O12386" t="s">
        <v>44906</v>
      </c>
      <c r="P12386">
        <v>0</v>
      </c>
      <c r="Q12386">
        <v>5</v>
      </c>
      <c r="R12386" t="s">
        <v>44919</v>
      </c>
      <c r="S12386" t="s">
        <v>45479</v>
      </c>
      <c r="T12386" t="s">
        <v>46585</v>
      </c>
      <c r="U12386" t="s">
        <v>56840</v>
      </c>
      <c r="W12386" t="s">
        <v>44503</v>
      </c>
      <c r="X12386" t="s">
        <v>44920</v>
      </c>
    </row>
    <row r="12387" spans="1:24">
      <c r="A12387">
        <f>HYPERLINK("https://www.philgeps.gov.ph/GEPSNONPILOT/Tender/SplashBidNoticeAbstractUI.aspx?menuIndex=3&amp;refID=7028208&amp;Result=3","7028208")</f>
        <v>0</v>
      </c>
      <c r="B12387" t="s">
        <v>3228</v>
      </c>
      <c r="C12387" t="s">
        <v>15355</v>
      </c>
      <c r="D12387" t="s">
        <v>18109</v>
      </c>
      <c r="E12387" t="s">
        <v>28934</v>
      </c>
      <c r="F12387" t="s">
        <v>31363</v>
      </c>
      <c r="G12387" t="s">
        <v>31369</v>
      </c>
      <c r="H12387" t="s">
        <v>31378</v>
      </c>
      <c r="I12387" t="s">
        <v>31386</v>
      </c>
      <c r="J12387" t="s">
        <v>39062</v>
      </c>
      <c r="K12387" t="s">
        <v>40670</v>
      </c>
      <c r="M12387" t="s">
        <v>44504</v>
      </c>
      <c r="N12387" t="s">
        <v>44905</v>
      </c>
      <c r="O12387" t="s">
        <v>44906</v>
      </c>
      <c r="P12387">
        <v>0</v>
      </c>
      <c r="Q12387">
        <v>0</v>
      </c>
      <c r="R12387" t="s">
        <v>44920</v>
      </c>
      <c r="S12387" t="s">
        <v>45492</v>
      </c>
      <c r="T12387" t="s">
        <v>46392</v>
      </c>
      <c r="U12387" t="s">
        <v>56841</v>
      </c>
      <c r="W12387" t="s">
        <v>44504</v>
      </c>
      <c r="X12387" t="s">
        <v>44936</v>
      </c>
    </row>
    <row r="12388" spans="1:24">
      <c r="A12388">
        <f>HYPERLINK("https://www.philgeps.gov.ph/GEPSNONPILOT/Tender/SplashBidNoticeAbstractUI.aspx?menuIndex=3&amp;refID=6960529-2&amp;Result=3","6960529-2")</f>
        <v>0</v>
      </c>
      <c r="B12388" t="s">
        <v>1719</v>
      </c>
      <c r="C12388" t="s">
        <v>15356</v>
      </c>
      <c r="E12388" t="s">
        <v>28935</v>
      </c>
      <c r="F12388" t="s">
        <v>31362</v>
      </c>
      <c r="G12388" t="s">
        <v>31373</v>
      </c>
      <c r="H12388" t="s">
        <v>31377</v>
      </c>
      <c r="I12388" t="s">
        <v>31377</v>
      </c>
      <c r="J12388" t="s">
        <v>39063</v>
      </c>
      <c r="K12388" t="s">
        <v>40662</v>
      </c>
      <c r="M12388" t="s">
        <v>44356</v>
      </c>
      <c r="N12388" t="s">
        <v>44905</v>
      </c>
      <c r="O12388" t="s">
        <v>44906</v>
      </c>
      <c r="P12388">
        <v>0</v>
      </c>
      <c r="Q12388">
        <v>3</v>
      </c>
      <c r="R12388" t="s">
        <v>44920</v>
      </c>
      <c r="S12388" t="s">
        <v>45492</v>
      </c>
      <c r="T12388" t="s">
        <v>46519</v>
      </c>
      <c r="U12388" t="s">
        <v>56842</v>
      </c>
      <c r="V12388" t="s">
        <v>60375</v>
      </c>
      <c r="W12388" t="s">
        <v>44356</v>
      </c>
      <c r="X12388" t="s">
        <v>44921</v>
      </c>
    </row>
    <row r="12389" spans="1:24">
      <c r="A12389">
        <f>HYPERLINK("https://www.philgeps.gov.ph/GEPSNONPILOT/Tender/SplashBidNoticeAbstractUI.aspx?menuIndex=3&amp;refID=7050335&amp;Result=3","7050335")</f>
        <v>0</v>
      </c>
      <c r="B12389" t="s">
        <v>3226</v>
      </c>
      <c r="C12389" t="s">
        <v>15357</v>
      </c>
      <c r="D12389" t="s">
        <v>18102</v>
      </c>
      <c r="E12389" t="s">
        <v>28936</v>
      </c>
      <c r="F12389" t="s">
        <v>31362</v>
      </c>
      <c r="G12389" t="s">
        <v>31369</v>
      </c>
      <c r="H12389" t="s">
        <v>31378</v>
      </c>
      <c r="I12389" t="s">
        <v>31386</v>
      </c>
      <c r="J12389" t="s">
        <v>34854</v>
      </c>
      <c r="K12389" t="s">
        <v>40662</v>
      </c>
      <c r="M12389" t="s">
        <v>44502</v>
      </c>
      <c r="N12389" t="s">
        <v>44905</v>
      </c>
      <c r="O12389" t="s">
        <v>44906</v>
      </c>
      <c r="P12389">
        <v>0</v>
      </c>
      <c r="Q12389">
        <v>1</v>
      </c>
      <c r="R12389" t="s">
        <v>44920</v>
      </c>
      <c r="S12389" t="s">
        <v>45492</v>
      </c>
      <c r="T12389" t="s">
        <v>46470</v>
      </c>
      <c r="U12389" t="s">
        <v>56843</v>
      </c>
      <c r="W12389" t="s">
        <v>44502</v>
      </c>
      <c r="X12389" t="s">
        <v>44923</v>
      </c>
    </row>
    <row r="12390" spans="1:24">
      <c r="A12390">
        <f>HYPERLINK("https://www.philgeps.gov.ph/GEPSNONPILOT/Tender/SplashBidNoticeAbstractUI.aspx?menuIndex=3&amp;refID=7058478&amp;Result=3","7058478")</f>
        <v>0</v>
      </c>
      <c r="B12390" t="s">
        <v>3225</v>
      </c>
      <c r="C12390" t="s">
        <v>15358</v>
      </c>
      <c r="E12390" t="s">
        <v>28937</v>
      </c>
      <c r="F12390" t="s">
        <v>31362</v>
      </c>
      <c r="G12390" t="s">
        <v>31369</v>
      </c>
      <c r="H12390" t="s">
        <v>15799</v>
      </c>
      <c r="I12390" t="s">
        <v>31388</v>
      </c>
      <c r="J12390" t="s">
        <v>39064</v>
      </c>
      <c r="K12390" t="s">
        <v>40662</v>
      </c>
      <c r="M12390" t="s">
        <v>44501</v>
      </c>
      <c r="N12390" t="s">
        <v>44905</v>
      </c>
      <c r="O12390" t="s">
        <v>44906</v>
      </c>
      <c r="P12390">
        <v>0</v>
      </c>
      <c r="Q12390">
        <v>3</v>
      </c>
      <c r="R12390" t="s">
        <v>44919</v>
      </c>
      <c r="S12390" t="s">
        <v>45479</v>
      </c>
      <c r="T12390" t="s">
        <v>46504</v>
      </c>
      <c r="U12390" t="s">
        <v>56844</v>
      </c>
      <c r="V12390" t="s">
        <v>60376</v>
      </c>
      <c r="W12390" t="s">
        <v>44501</v>
      </c>
      <c r="X12390" t="s">
        <v>44920</v>
      </c>
    </row>
    <row r="12391" spans="1:24">
      <c r="A12391">
        <f>HYPERLINK("https://www.philgeps.gov.ph/GEPSNONPILOT/Tender/SplashBidNoticeAbstractUI.aspx?menuIndex=3&amp;refID=7013697-2&amp;Result=3","7013697-2")</f>
        <v>0</v>
      </c>
      <c r="B12391" t="s">
        <v>1137</v>
      </c>
      <c r="C12391" t="s">
        <v>15359</v>
      </c>
      <c r="D12391" t="s">
        <v>18175</v>
      </c>
      <c r="E12391" t="s">
        <v>28938</v>
      </c>
      <c r="F12391" t="s">
        <v>31362</v>
      </c>
      <c r="G12391" t="s">
        <v>31369</v>
      </c>
      <c r="H12391" t="s">
        <v>31377</v>
      </c>
      <c r="I12391" t="s">
        <v>31496</v>
      </c>
      <c r="J12391" t="s">
        <v>39065</v>
      </c>
      <c r="K12391" t="s">
        <v>40722</v>
      </c>
      <c r="M12391" t="s">
        <v>42145</v>
      </c>
      <c r="N12391" t="s">
        <v>44905</v>
      </c>
      <c r="O12391" t="s">
        <v>44906</v>
      </c>
      <c r="P12391">
        <v>0</v>
      </c>
      <c r="Q12391">
        <v>1</v>
      </c>
      <c r="R12391" t="s">
        <v>44920</v>
      </c>
      <c r="S12391" t="s">
        <v>45492</v>
      </c>
      <c r="T12391" t="s">
        <v>46392</v>
      </c>
      <c r="U12391" t="s">
        <v>56845</v>
      </c>
      <c r="V12391" t="s">
        <v>60377</v>
      </c>
      <c r="W12391" t="s">
        <v>42145</v>
      </c>
      <c r="X12391" t="s">
        <v>44921</v>
      </c>
    </row>
    <row r="12392" spans="1:24">
      <c r="A12392">
        <f>HYPERLINK("https://www.philgeps.gov.ph/GEPSNONPILOT/Tender/SplashBidNoticeAbstractUI.aspx?menuIndex=3&amp;refID=7058396&amp;Result=3","7058396")</f>
        <v>0</v>
      </c>
      <c r="B12392" t="s">
        <v>2181</v>
      </c>
      <c r="C12392" t="s">
        <v>15360</v>
      </c>
      <c r="D12392" t="s">
        <v>18156</v>
      </c>
      <c r="E12392" t="s">
        <v>28939</v>
      </c>
      <c r="F12392" t="s">
        <v>31362</v>
      </c>
      <c r="G12392" t="s">
        <v>31369</v>
      </c>
      <c r="H12392" t="s">
        <v>31378</v>
      </c>
      <c r="I12392" t="s">
        <v>31386</v>
      </c>
      <c r="J12392" t="s">
        <v>37006</v>
      </c>
      <c r="K12392" t="s">
        <v>40686</v>
      </c>
      <c r="M12392" t="s">
        <v>43312</v>
      </c>
      <c r="N12392" t="s">
        <v>44905</v>
      </c>
      <c r="O12392" t="s">
        <v>44906</v>
      </c>
      <c r="Q12392">
        <v>2</v>
      </c>
      <c r="R12392" t="s">
        <v>44919</v>
      </c>
      <c r="S12392" t="s">
        <v>45494</v>
      </c>
      <c r="T12392" t="s">
        <v>46855</v>
      </c>
      <c r="U12392" t="s">
        <v>52943</v>
      </c>
      <c r="W12392" t="s">
        <v>43312</v>
      </c>
      <c r="X12392" t="s">
        <v>44920</v>
      </c>
    </row>
    <row r="12393" spans="1:24">
      <c r="A12393">
        <f>HYPERLINK("https://www.philgeps.gov.ph/GEPSNONPILOT/Tender/SplashBidNoticeAbstractUI.aspx?menuIndex=3&amp;refID=7058393&amp;Result=3","7058393")</f>
        <v>0</v>
      </c>
      <c r="B12393" t="s">
        <v>2181</v>
      </c>
      <c r="C12393" t="s">
        <v>15361</v>
      </c>
      <c r="D12393" t="s">
        <v>18156</v>
      </c>
      <c r="E12393" t="s">
        <v>28940</v>
      </c>
      <c r="F12393" t="s">
        <v>31362</v>
      </c>
      <c r="G12393" t="s">
        <v>31369</v>
      </c>
      <c r="H12393" t="s">
        <v>31378</v>
      </c>
      <c r="I12393" t="s">
        <v>31386</v>
      </c>
      <c r="J12393" t="s">
        <v>32673</v>
      </c>
      <c r="K12393" t="s">
        <v>40679</v>
      </c>
      <c r="M12393" t="s">
        <v>43312</v>
      </c>
      <c r="N12393" t="s">
        <v>44905</v>
      </c>
      <c r="O12393" t="s">
        <v>44906</v>
      </c>
      <c r="P12393">
        <v>0</v>
      </c>
      <c r="Q12393">
        <v>1</v>
      </c>
      <c r="R12393" t="s">
        <v>44919</v>
      </c>
      <c r="S12393" t="s">
        <v>45479</v>
      </c>
      <c r="T12393" t="s">
        <v>46470</v>
      </c>
      <c r="U12393" t="s">
        <v>56846</v>
      </c>
      <c r="W12393" t="s">
        <v>43312</v>
      </c>
      <c r="X12393" t="s">
        <v>44920</v>
      </c>
    </row>
    <row r="12394" spans="1:24">
      <c r="A12394">
        <f>HYPERLINK("https://www.philgeps.gov.ph/GEPSNONPILOT/Tender/SplashBidNoticeAbstractUI.aspx?menuIndex=3&amp;refID=7058742&amp;Result=3","7058742")</f>
        <v>0</v>
      </c>
      <c r="B12394" t="s">
        <v>54</v>
      </c>
      <c r="C12394" t="s">
        <v>15362</v>
      </c>
      <c r="E12394" t="s">
        <v>28941</v>
      </c>
      <c r="F12394" t="s">
        <v>31362</v>
      </c>
      <c r="G12394" t="s">
        <v>31369</v>
      </c>
      <c r="H12394" t="s">
        <v>15799</v>
      </c>
      <c r="I12394" t="s">
        <v>31460</v>
      </c>
      <c r="J12394" t="s">
        <v>31606</v>
      </c>
      <c r="K12394" t="s">
        <v>40662</v>
      </c>
      <c r="M12394" t="s">
        <v>41869</v>
      </c>
      <c r="N12394" t="s">
        <v>44905</v>
      </c>
      <c r="O12394" t="s">
        <v>44906</v>
      </c>
      <c r="Q12394">
        <v>0</v>
      </c>
      <c r="R12394" t="s">
        <v>44918</v>
      </c>
      <c r="S12394" t="s">
        <v>45388</v>
      </c>
      <c r="T12394" t="s">
        <v>46560</v>
      </c>
      <c r="U12394" t="s">
        <v>56847</v>
      </c>
      <c r="V12394" t="s">
        <v>59287</v>
      </c>
      <c r="W12394" t="s">
        <v>41869</v>
      </c>
      <c r="X12394" t="s">
        <v>44919</v>
      </c>
    </row>
    <row r="12395" spans="1:24">
      <c r="A12395">
        <f>HYPERLINK("https://www.philgeps.gov.ph/GEPSNONPILOT/Tender/SplashBidNoticeAbstractUI.aspx?menuIndex=3&amp;refID=7058739&amp;Result=3","7058739")</f>
        <v>0</v>
      </c>
      <c r="B12395" t="s">
        <v>3229</v>
      </c>
      <c r="C12395" t="s">
        <v>15363</v>
      </c>
      <c r="D12395" t="s">
        <v>18116</v>
      </c>
      <c r="E12395" t="s">
        <v>28942</v>
      </c>
      <c r="F12395" t="s">
        <v>31363</v>
      </c>
      <c r="G12395" t="s">
        <v>31369</v>
      </c>
      <c r="H12395" t="s">
        <v>15799</v>
      </c>
      <c r="I12395" t="s">
        <v>3815</v>
      </c>
      <c r="J12395" t="s">
        <v>39066</v>
      </c>
      <c r="K12395" t="s">
        <v>40666</v>
      </c>
      <c r="M12395" t="s">
        <v>44505</v>
      </c>
      <c r="N12395" t="s">
        <v>44905</v>
      </c>
      <c r="O12395" t="s">
        <v>44906</v>
      </c>
      <c r="P12395">
        <v>0</v>
      </c>
      <c r="Q12395">
        <v>0</v>
      </c>
      <c r="R12395" t="s">
        <v>44918</v>
      </c>
      <c r="S12395" t="s">
        <v>45447</v>
      </c>
      <c r="T12395" t="s">
        <v>46744</v>
      </c>
      <c r="U12395" t="s">
        <v>56848</v>
      </c>
      <c r="W12395" t="s">
        <v>44505</v>
      </c>
      <c r="X12395" t="s">
        <v>44919</v>
      </c>
    </row>
    <row r="12396" spans="1:24">
      <c r="A12396">
        <f>HYPERLINK("https://www.philgeps.gov.ph/GEPSNONPILOT/Tender/SplashBidNoticeAbstractUI.aspx?menuIndex=3&amp;refID=6927623-2&amp;Result=3","6927623-2")</f>
        <v>0</v>
      </c>
      <c r="B12396" t="s">
        <v>3230</v>
      </c>
      <c r="C12396" t="s">
        <v>15364</v>
      </c>
      <c r="D12396" t="s">
        <v>18108</v>
      </c>
      <c r="E12396" t="s">
        <v>28943</v>
      </c>
      <c r="F12396" t="s">
        <v>31362</v>
      </c>
      <c r="G12396" t="s">
        <v>31369</v>
      </c>
      <c r="H12396" t="s">
        <v>31377</v>
      </c>
      <c r="I12396" t="s">
        <v>31377</v>
      </c>
      <c r="J12396" t="s">
        <v>32658</v>
      </c>
      <c r="K12396" t="s">
        <v>40712</v>
      </c>
      <c r="M12396" t="s">
        <v>44506</v>
      </c>
      <c r="N12396" t="s">
        <v>44905</v>
      </c>
      <c r="O12396" t="s">
        <v>44906</v>
      </c>
      <c r="P12396">
        <v>0</v>
      </c>
      <c r="Q12396">
        <v>0</v>
      </c>
      <c r="R12396" t="s">
        <v>44920</v>
      </c>
      <c r="S12396" t="s">
        <v>45492</v>
      </c>
      <c r="T12396" t="s">
        <v>46503</v>
      </c>
      <c r="U12396" t="s">
        <v>56849</v>
      </c>
      <c r="V12396" t="s">
        <v>60378</v>
      </c>
      <c r="W12396" t="s">
        <v>44506</v>
      </c>
      <c r="X12396" t="s">
        <v>44921</v>
      </c>
    </row>
    <row r="12397" spans="1:24">
      <c r="A12397">
        <f>HYPERLINK("https://www.philgeps.gov.ph/GEPSNONPILOT/Tender/SplashBidNoticeAbstractUI.aspx?menuIndex=3&amp;refID=7058738&amp;Result=3","7058738")</f>
        <v>0</v>
      </c>
      <c r="B12397" t="s">
        <v>377</v>
      </c>
      <c r="C12397" t="s">
        <v>15365</v>
      </c>
      <c r="D12397" t="s">
        <v>18108</v>
      </c>
      <c r="E12397" t="s">
        <v>28944</v>
      </c>
      <c r="F12397" t="s">
        <v>31362</v>
      </c>
      <c r="G12397" t="s">
        <v>31369</v>
      </c>
      <c r="H12397" t="s">
        <v>31378</v>
      </c>
      <c r="I12397" t="s">
        <v>31386</v>
      </c>
      <c r="J12397" t="s">
        <v>39067</v>
      </c>
      <c r="K12397" t="s">
        <v>40811</v>
      </c>
      <c r="M12397" t="s">
        <v>44096</v>
      </c>
      <c r="N12397" t="s">
        <v>44905</v>
      </c>
      <c r="O12397" t="s">
        <v>44906</v>
      </c>
      <c r="P12397">
        <v>0</v>
      </c>
      <c r="Q12397">
        <v>34</v>
      </c>
      <c r="R12397" t="s">
        <v>44918</v>
      </c>
      <c r="S12397" t="s">
        <v>45447</v>
      </c>
      <c r="T12397" t="s">
        <v>46618</v>
      </c>
      <c r="U12397" t="s">
        <v>56850</v>
      </c>
      <c r="W12397" t="s">
        <v>44096</v>
      </c>
      <c r="X12397" t="s">
        <v>44919</v>
      </c>
    </row>
    <row r="12398" spans="1:24">
      <c r="A12398">
        <f>HYPERLINK("https://www.philgeps.gov.ph/GEPSNONPILOT/Tender/SplashBidNoticeAbstractUI.aspx?menuIndex=3&amp;refID=7044274&amp;Result=3","7044274")</f>
        <v>0</v>
      </c>
      <c r="B12398" t="s">
        <v>3231</v>
      </c>
      <c r="C12398" t="s">
        <v>15366</v>
      </c>
      <c r="D12398" t="s">
        <v>18107</v>
      </c>
      <c r="E12398" t="s">
        <v>28945</v>
      </c>
      <c r="F12398" t="s">
        <v>31362</v>
      </c>
      <c r="G12398" t="s">
        <v>31369</v>
      </c>
      <c r="H12398" t="s">
        <v>31378</v>
      </c>
      <c r="I12398" t="s">
        <v>31386</v>
      </c>
      <c r="J12398" t="s">
        <v>39068</v>
      </c>
      <c r="K12398" t="s">
        <v>40682</v>
      </c>
      <c r="M12398" t="s">
        <v>44507</v>
      </c>
      <c r="N12398" t="s">
        <v>44905</v>
      </c>
      <c r="O12398" t="s">
        <v>44906</v>
      </c>
      <c r="P12398">
        <v>0</v>
      </c>
      <c r="Q12398">
        <v>0</v>
      </c>
      <c r="R12398" t="s">
        <v>44920</v>
      </c>
      <c r="S12398" t="s">
        <v>45492</v>
      </c>
      <c r="T12398" t="s">
        <v>46425</v>
      </c>
      <c r="U12398" t="s">
        <v>56851</v>
      </c>
      <c r="W12398" t="s">
        <v>44507</v>
      </c>
      <c r="X12398" t="s">
        <v>44926</v>
      </c>
    </row>
    <row r="12399" spans="1:24">
      <c r="A12399">
        <f>HYPERLINK("https://www.philgeps.gov.ph/GEPSNONPILOT/Tender/SplashBidNoticeAbstractUI.aspx?menuIndex=3&amp;refID=7058718&amp;Result=3","7058718")</f>
        <v>0</v>
      </c>
      <c r="B12399" t="s">
        <v>3114</v>
      </c>
      <c r="C12399" t="s">
        <v>15367</v>
      </c>
      <c r="D12399" t="s">
        <v>18136</v>
      </c>
      <c r="E12399" t="s">
        <v>28946</v>
      </c>
      <c r="F12399" t="s">
        <v>31362</v>
      </c>
      <c r="G12399" t="s">
        <v>31369</v>
      </c>
      <c r="H12399" t="s">
        <v>15799</v>
      </c>
      <c r="I12399" t="s">
        <v>31427</v>
      </c>
      <c r="J12399" t="s">
        <v>39069</v>
      </c>
      <c r="K12399" t="s">
        <v>40670</v>
      </c>
      <c r="M12399" t="s">
        <v>44366</v>
      </c>
      <c r="N12399" t="s">
        <v>44905</v>
      </c>
      <c r="O12399" t="s">
        <v>44906</v>
      </c>
      <c r="P12399">
        <v>0</v>
      </c>
      <c r="Q12399">
        <v>6</v>
      </c>
      <c r="R12399" t="s">
        <v>44918</v>
      </c>
      <c r="S12399" t="s">
        <v>45447</v>
      </c>
      <c r="T12399" t="s">
        <v>46410</v>
      </c>
      <c r="U12399" t="s">
        <v>56852</v>
      </c>
      <c r="W12399" t="s">
        <v>44366</v>
      </c>
      <c r="X12399" t="s">
        <v>44919</v>
      </c>
    </row>
    <row r="12400" spans="1:24">
      <c r="A12400">
        <f>HYPERLINK("https://www.philgeps.gov.ph/GEPSNONPILOT/Tender/SplashBidNoticeAbstractUI.aspx?menuIndex=3&amp;refID=7058360&amp;Result=3","7058360")</f>
        <v>0</v>
      </c>
      <c r="B12400" t="s">
        <v>2658</v>
      </c>
      <c r="C12400" t="s">
        <v>15368</v>
      </c>
      <c r="D12400" t="s">
        <v>18100</v>
      </c>
      <c r="E12400" t="s">
        <v>28947</v>
      </c>
      <c r="F12400" t="s">
        <v>31362</v>
      </c>
      <c r="G12400" t="s">
        <v>31369</v>
      </c>
      <c r="H12400" t="s">
        <v>15799</v>
      </c>
      <c r="I12400" t="s">
        <v>7719</v>
      </c>
      <c r="J12400" t="s">
        <v>39070</v>
      </c>
      <c r="K12400" t="s">
        <v>40682</v>
      </c>
      <c r="M12400" t="s">
        <v>43842</v>
      </c>
      <c r="N12400" t="s">
        <v>44905</v>
      </c>
      <c r="O12400" t="s">
        <v>44906</v>
      </c>
      <c r="P12400">
        <v>0</v>
      </c>
      <c r="Q12400">
        <v>38</v>
      </c>
      <c r="R12400" t="s">
        <v>44918</v>
      </c>
      <c r="S12400" t="s">
        <v>45447</v>
      </c>
      <c r="T12400" t="s">
        <v>46538</v>
      </c>
      <c r="U12400" t="s">
        <v>56853</v>
      </c>
      <c r="W12400" t="s">
        <v>43842</v>
      </c>
      <c r="X12400" t="s">
        <v>44920</v>
      </c>
    </row>
    <row r="12401" spans="1:24">
      <c r="A12401">
        <f>HYPERLINK("https://www.philgeps.gov.ph/GEPSNONPILOT/Tender/SplashBidNoticeAbstractUI.aspx?menuIndex=3&amp;refID=7028139&amp;Result=3","7028139")</f>
        <v>0</v>
      </c>
      <c r="B12401" t="s">
        <v>3228</v>
      </c>
      <c r="C12401" t="s">
        <v>15369</v>
      </c>
      <c r="D12401" t="s">
        <v>18109</v>
      </c>
      <c r="E12401" t="s">
        <v>25804</v>
      </c>
      <c r="F12401" t="s">
        <v>31363</v>
      </c>
      <c r="G12401" t="s">
        <v>31369</v>
      </c>
      <c r="H12401" t="s">
        <v>31378</v>
      </c>
      <c r="I12401" t="s">
        <v>31386</v>
      </c>
      <c r="J12401" t="s">
        <v>32127</v>
      </c>
      <c r="K12401" t="s">
        <v>40670</v>
      </c>
      <c r="M12401" t="s">
        <v>44504</v>
      </c>
      <c r="N12401" t="s">
        <v>44905</v>
      </c>
      <c r="O12401" t="s">
        <v>44906</v>
      </c>
      <c r="P12401">
        <v>0</v>
      </c>
      <c r="Q12401">
        <v>0</v>
      </c>
      <c r="R12401" t="s">
        <v>44920</v>
      </c>
      <c r="S12401" t="s">
        <v>45492</v>
      </c>
      <c r="T12401" t="s">
        <v>46392</v>
      </c>
      <c r="U12401" t="s">
        <v>56854</v>
      </c>
      <c r="W12401" t="s">
        <v>44504</v>
      </c>
      <c r="X12401" t="s">
        <v>44936</v>
      </c>
    </row>
    <row r="12402" spans="1:24">
      <c r="A12402">
        <f>HYPERLINK("https://www.philgeps.gov.ph/GEPSNONPILOT/Tender/SplashBidNoticeAbstractUI.aspx?menuIndex=3&amp;refID=7058741&amp;Result=3","7058741")</f>
        <v>0</v>
      </c>
      <c r="B12402" t="s">
        <v>3232</v>
      </c>
      <c r="C12402" t="s">
        <v>15370</v>
      </c>
      <c r="D12402" t="s">
        <v>18120</v>
      </c>
      <c r="E12402" t="s">
        <v>28948</v>
      </c>
      <c r="F12402" t="s">
        <v>31362</v>
      </c>
      <c r="G12402" t="s">
        <v>31369</v>
      </c>
      <c r="H12402" t="s">
        <v>15799</v>
      </c>
      <c r="I12402" t="s">
        <v>31409</v>
      </c>
      <c r="J12402" t="s">
        <v>33227</v>
      </c>
      <c r="K12402" t="s">
        <v>40677</v>
      </c>
      <c r="M12402" t="s">
        <v>44508</v>
      </c>
      <c r="N12402" t="s">
        <v>44905</v>
      </c>
      <c r="O12402" t="s">
        <v>44906</v>
      </c>
      <c r="P12402">
        <v>0</v>
      </c>
      <c r="Q12402">
        <v>0</v>
      </c>
      <c r="R12402" t="s">
        <v>44918</v>
      </c>
      <c r="S12402" t="s">
        <v>45447</v>
      </c>
      <c r="T12402" t="s">
        <v>46585</v>
      </c>
      <c r="U12402" t="s">
        <v>56855</v>
      </c>
      <c r="W12402" t="s">
        <v>44508</v>
      </c>
      <c r="X12402" t="s">
        <v>44919</v>
      </c>
    </row>
    <row r="12403" spans="1:24">
      <c r="A12403">
        <f>HYPERLINK("https://www.philgeps.gov.ph/GEPSNONPILOT/Tender/SplashBidNoticeAbstractUI.aspx?menuIndex=3&amp;refID=7028516&amp;Result=3","7028516")</f>
        <v>0</v>
      </c>
      <c r="B12403" t="s">
        <v>3228</v>
      </c>
      <c r="C12403" t="s">
        <v>15371</v>
      </c>
      <c r="D12403" t="s">
        <v>18109</v>
      </c>
      <c r="E12403" t="s">
        <v>28949</v>
      </c>
      <c r="F12403" t="s">
        <v>31363</v>
      </c>
      <c r="G12403" t="s">
        <v>31369</v>
      </c>
      <c r="H12403" t="s">
        <v>31378</v>
      </c>
      <c r="I12403" t="s">
        <v>31386</v>
      </c>
      <c r="J12403" t="s">
        <v>31625</v>
      </c>
      <c r="K12403" t="s">
        <v>40670</v>
      </c>
      <c r="M12403" t="s">
        <v>44504</v>
      </c>
      <c r="N12403" t="s">
        <v>44905</v>
      </c>
      <c r="O12403" t="s">
        <v>44906</v>
      </c>
      <c r="P12403">
        <v>0</v>
      </c>
      <c r="Q12403">
        <v>0</v>
      </c>
      <c r="R12403" t="s">
        <v>44920</v>
      </c>
      <c r="S12403" t="s">
        <v>45492</v>
      </c>
      <c r="T12403" t="s">
        <v>46392</v>
      </c>
      <c r="U12403" t="s">
        <v>56854</v>
      </c>
      <c r="W12403" t="s">
        <v>44504</v>
      </c>
      <c r="X12403" t="s">
        <v>44936</v>
      </c>
    </row>
    <row r="12404" spans="1:24">
      <c r="A12404">
        <f>HYPERLINK("https://www.philgeps.gov.ph/GEPSNONPILOT/Tender/SplashBidNoticeAbstractUI.aspx?menuIndex=3&amp;refID=7058305&amp;Result=3","7058305")</f>
        <v>0</v>
      </c>
      <c r="B12404" t="s">
        <v>1507</v>
      </c>
      <c r="C12404" t="s">
        <v>15372</v>
      </c>
      <c r="D12404" t="s">
        <v>18113</v>
      </c>
      <c r="E12404" t="s">
        <v>28950</v>
      </c>
      <c r="F12404" t="s">
        <v>31362</v>
      </c>
      <c r="G12404" t="s">
        <v>31369</v>
      </c>
      <c r="H12404" t="s">
        <v>15799</v>
      </c>
      <c r="I12404" t="s">
        <v>31422</v>
      </c>
      <c r="J12404" t="s">
        <v>34763</v>
      </c>
      <c r="K12404" t="s">
        <v>40666</v>
      </c>
      <c r="M12404" t="s">
        <v>42547</v>
      </c>
      <c r="N12404" t="s">
        <v>44905</v>
      </c>
      <c r="O12404" t="s">
        <v>44906</v>
      </c>
      <c r="P12404">
        <v>0</v>
      </c>
      <c r="Q12404">
        <v>5</v>
      </c>
      <c r="R12404" t="s">
        <v>44918</v>
      </c>
      <c r="S12404" t="s">
        <v>45447</v>
      </c>
      <c r="T12404" t="s">
        <v>46611</v>
      </c>
      <c r="U12404" t="s">
        <v>56856</v>
      </c>
      <c r="V12404" t="s">
        <v>59473</v>
      </c>
      <c r="W12404" t="s">
        <v>42547</v>
      </c>
      <c r="X12404" t="s">
        <v>44920</v>
      </c>
    </row>
    <row r="12405" spans="1:24">
      <c r="A12405">
        <f>HYPERLINK("https://www.philgeps.gov.ph/GEPSNONPILOT/Tender/SplashBidNoticeAbstractUI.aspx?menuIndex=3&amp;refID=7058342&amp;Result=3","7058342")</f>
        <v>0</v>
      </c>
      <c r="B12405" t="s">
        <v>3233</v>
      </c>
      <c r="C12405" t="s">
        <v>15373</v>
      </c>
      <c r="D12405" t="s">
        <v>18153</v>
      </c>
      <c r="E12405" t="s">
        <v>18203</v>
      </c>
      <c r="F12405" t="s">
        <v>31363</v>
      </c>
      <c r="G12405" t="s">
        <v>31369</v>
      </c>
      <c r="H12405" t="s">
        <v>15799</v>
      </c>
      <c r="I12405" t="s">
        <v>3815</v>
      </c>
      <c r="J12405" t="s">
        <v>39071</v>
      </c>
      <c r="K12405" t="s">
        <v>40686</v>
      </c>
      <c r="M12405" t="s">
        <v>44509</v>
      </c>
      <c r="N12405" t="s">
        <v>44905</v>
      </c>
      <c r="O12405" t="s">
        <v>44906</v>
      </c>
      <c r="P12405">
        <v>0</v>
      </c>
      <c r="Q12405">
        <v>1</v>
      </c>
      <c r="R12405" t="s">
        <v>44918</v>
      </c>
      <c r="S12405" t="s">
        <v>45447</v>
      </c>
      <c r="T12405" t="s">
        <v>46472</v>
      </c>
      <c r="U12405" t="s">
        <v>56857</v>
      </c>
      <c r="W12405" t="s">
        <v>44509</v>
      </c>
      <c r="X12405" t="s">
        <v>44920</v>
      </c>
    </row>
    <row r="12406" spans="1:24">
      <c r="A12406">
        <f>HYPERLINK("https://www.philgeps.gov.ph/GEPSNONPILOT/Tender/SplashBidNoticeAbstractUI.aspx?menuIndex=3&amp;refID=7058289&amp;Result=3","7058289")</f>
        <v>0</v>
      </c>
      <c r="B12406" t="s">
        <v>1507</v>
      </c>
      <c r="C12406" t="s">
        <v>15374</v>
      </c>
      <c r="D12406" t="s">
        <v>18113</v>
      </c>
      <c r="E12406" t="s">
        <v>28951</v>
      </c>
      <c r="F12406" t="s">
        <v>31362</v>
      </c>
      <c r="G12406" t="s">
        <v>31369</v>
      </c>
      <c r="H12406" t="s">
        <v>15799</v>
      </c>
      <c r="I12406" t="s">
        <v>3815</v>
      </c>
      <c r="J12406" t="s">
        <v>39072</v>
      </c>
      <c r="K12406" t="s">
        <v>40675</v>
      </c>
      <c r="M12406" t="s">
        <v>42547</v>
      </c>
      <c r="N12406" t="s">
        <v>44905</v>
      </c>
      <c r="O12406" t="s">
        <v>44906</v>
      </c>
      <c r="P12406">
        <v>0</v>
      </c>
      <c r="Q12406">
        <v>1</v>
      </c>
      <c r="R12406" t="s">
        <v>44918</v>
      </c>
      <c r="S12406" t="s">
        <v>45447</v>
      </c>
      <c r="T12406" t="s">
        <v>46611</v>
      </c>
      <c r="U12406" t="s">
        <v>56858</v>
      </c>
      <c r="V12406" t="s">
        <v>59473</v>
      </c>
      <c r="W12406" t="s">
        <v>42547</v>
      </c>
      <c r="X12406" t="s">
        <v>44920</v>
      </c>
    </row>
    <row r="12407" spans="1:24">
      <c r="A12407">
        <f>HYPERLINK("https://www.philgeps.gov.ph/GEPSNONPILOT/Tender/SplashBidNoticeAbstractUI.aspx?menuIndex=3&amp;refID=7057550&amp;Result=3","7057550")</f>
        <v>0</v>
      </c>
      <c r="B12407" t="s">
        <v>3234</v>
      </c>
      <c r="C12407" t="s">
        <v>15375</v>
      </c>
      <c r="D12407" t="s">
        <v>18106</v>
      </c>
      <c r="E12407" t="s">
        <v>28952</v>
      </c>
      <c r="F12407" t="s">
        <v>31362</v>
      </c>
      <c r="G12407" t="s">
        <v>31369</v>
      </c>
      <c r="H12407" t="s">
        <v>31379</v>
      </c>
      <c r="I12407" t="s">
        <v>31400</v>
      </c>
      <c r="J12407" t="s">
        <v>39073</v>
      </c>
      <c r="K12407" t="s">
        <v>40666</v>
      </c>
      <c r="M12407" t="s">
        <v>44510</v>
      </c>
      <c r="N12407" t="s">
        <v>44905</v>
      </c>
      <c r="O12407" t="s">
        <v>44906</v>
      </c>
      <c r="P12407">
        <v>0</v>
      </c>
      <c r="Q12407">
        <v>2</v>
      </c>
      <c r="R12407" t="s">
        <v>44918</v>
      </c>
      <c r="S12407" t="s">
        <v>45447</v>
      </c>
      <c r="T12407" t="s">
        <v>46481</v>
      </c>
      <c r="U12407" t="s">
        <v>56859</v>
      </c>
      <c r="W12407" t="s">
        <v>44510</v>
      </c>
      <c r="X12407" t="s">
        <v>44921</v>
      </c>
    </row>
    <row r="12408" spans="1:24">
      <c r="A12408">
        <f>HYPERLINK("https://www.philgeps.gov.ph/GEPSNONPILOT/Tender/SplashBidNoticeAbstractUI.aspx?menuIndex=3&amp;refID=7042811&amp;Result=3","7042811")</f>
        <v>0</v>
      </c>
      <c r="B12408" t="s">
        <v>3235</v>
      </c>
      <c r="C12408" t="s">
        <v>15376</v>
      </c>
      <c r="D12408" t="s">
        <v>18103</v>
      </c>
      <c r="E12408" t="s">
        <v>28953</v>
      </c>
      <c r="F12408" t="s">
        <v>31362</v>
      </c>
      <c r="G12408" t="s">
        <v>31369</v>
      </c>
      <c r="H12408" t="s">
        <v>31378</v>
      </c>
      <c r="I12408" t="s">
        <v>31386</v>
      </c>
      <c r="J12408" t="s">
        <v>31606</v>
      </c>
      <c r="K12408" t="s">
        <v>40841</v>
      </c>
      <c r="M12408" t="s">
        <v>44511</v>
      </c>
      <c r="N12408" t="s">
        <v>44905</v>
      </c>
      <c r="O12408" t="s">
        <v>44906</v>
      </c>
      <c r="P12408">
        <v>0</v>
      </c>
      <c r="Q12408">
        <v>5</v>
      </c>
      <c r="R12408" t="s">
        <v>44920</v>
      </c>
      <c r="S12408" t="s">
        <v>45492</v>
      </c>
      <c r="T12408" t="s">
        <v>46481</v>
      </c>
      <c r="U12408" t="s">
        <v>56860</v>
      </c>
      <c r="W12408" t="s">
        <v>44511</v>
      </c>
      <c r="X12408" t="s">
        <v>44929</v>
      </c>
    </row>
    <row r="12409" spans="1:24">
      <c r="A12409">
        <f>HYPERLINK("https://www.philgeps.gov.ph/GEPSNONPILOT/Tender/SplashBidNoticeAbstractUI.aspx?menuIndex=3&amp;refID=7058724&amp;Result=3","7058724")</f>
        <v>0</v>
      </c>
      <c r="B12409" t="s">
        <v>762</v>
      </c>
      <c r="C12409" t="s">
        <v>15377</v>
      </c>
      <c r="D12409" t="s">
        <v>18108</v>
      </c>
      <c r="E12409" t="s">
        <v>28954</v>
      </c>
      <c r="F12409" t="s">
        <v>31362</v>
      </c>
      <c r="G12409" t="s">
        <v>31369</v>
      </c>
      <c r="H12409" t="s">
        <v>15799</v>
      </c>
      <c r="I12409" t="s">
        <v>31409</v>
      </c>
      <c r="J12409" t="s">
        <v>34854</v>
      </c>
      <c r="K12409" t="s">
        <v>40665</v>
      </c>
      <c r="M12409" t="s">
        <v>41730</v>
      </c>
      <c r="N12409" t="s">
        <v>44905</v>
      </c>
      <c r="O12409" t="s">
        <v>44906</v>
      </c>
      <c r="Q12409">
        <v>5</v>
      </c>
      <c r="R12409" t="s">
        <v>44918</v>
      </c>
      <c r="S12409" t="s">
        <v>45495</v>
      </c>
      <c r="T12409" t="s">
        <v>46519</v>
      </c>
      <c r="U12409" t="s">
        <v>56861</v>
      </c>
      <c r="V12409" t="s">
        <v>59240</v>
      </c>
      <c r="W12409" t="s">
        <v>41730</v>
      </c>
      <c r="X12409" t="s">
        <v>44919</v>
      </c>
    </row>
    <row r="12410" spans="1:24">
      <c r="A12410">
        <f>HYPERLINK("https://www.philgeps.gov.ph/GEPSNONPILOT/Tender/SplashBidNoticeAbstractUI.aspx?menuIndex=3&amp;refID=7057513&amp;Result=3","7057513")</f>
        <v>0</v>
      </c>
      <c r="B12410" t="s">
        <v>3200</v>
      </c>
      <c r="C12410" t="s">
        <v>15378</v>
      </c>
      <c r="D12410" t="s">
        <v>18124</v>
      </c>
      <c r="E12410" t="s">
        <v>28955</v>
      </c>
      <c r="F12410" t="s">
        <v>31362</v>
      </c>
      <c r="G12410" t="s">
        <v>31369</v>
      </c>
      <c r="H12410" t="s">
        <v>31378</v>
      </c>
      <c r="I12410" t="s">
        <v>31386</v>
      </c>
      <c r="J12410" t="s">
        <v>39074</v>
      </c>
      <c r="K12410" t="s">
        <v>40758</v>
      </c>
      <c r="M12410" t="s">
        <v>44470</v>
      </c>
      <c r="N12410" t="s">
        <v>44905</v>
      </c>
      <c r="O12410" t="s">
        <v>44906</v>
      </c>
      <c r="P12410">
        <v>0</v>
      </c>
      <c r="Q12410">
        <v>59</v>
      </c>
      <c r="R12410" t="s">
        <v>44918</v>
      </c>
      <c r="S12410" t="s">
        <v>45447</v>
      </c>
      <c r="T12410" t="s">
        <v>46538</v>
      </c>
      <c r="U12410" t="s">
        <v>56862</v>
      </c>
      <c r="W12410" t="s">
        <v>44470</v>
      </c>
      <c r="X12410" t="s">
        <v>44921</v>
      </c>
    </row>
    <row r="12411" spans="1:24">
      <c r="A12411">
        <f>HYPERLINK("https://www.philgeps.gov.ph/GEPSNONPILOT/Tender/SplashBidNoticeAbstractUI.aspx?menuIndex=3&amp;refID=7057492&amp;Result=3","7057492")</f>
        <v>0</v>
      </c>
      <c r="B12411" t="s">
        <v>3200</v>
      </c>
      <c r="C12411" t="s">
        <v>15379</v>
      </c>
      <c r="D12411" t="s">
        <v>18124</v>
      </c>
      <c r="E12411" t="s">
        <v>28956</v>
      </c>
      <c r="F12411" t="s">
        <v>31362</v>
      </c>
      <c r="G12411" t="s">
        <v>31369</v>
      </c>
      <c r="H12411" t="s">
        <v>31378</v>
      </c>
      <c r="I12411" t="s">
        <v>31386</v>
      </c>
      <c r="J12411" t="s">
        <v>39075</v>
      </c>
      <c r="K12411" t="s">
        <v>40705</v>
      </c>
      <c r="M12411" t="s">
        <v>44470</v>
      </c>
      <c r="N12411" t="s">
        <v>44905</v>
      </c>
      <c r="O12411" t="s">
        <v>44906</v>
      </c>
      <c r="P12411">
        <v>0</v>
      </c>
      <c r="Q12411">
        <v>63</v>
      </c>
      <c r="R12411" t="s">
        <v>44918</v>
      </c>
      <c r="S12411" t="s">
        <v>45447</v>
      </c>
      <c r="T12411" t="s">
        <v>46538</v>
      </c>
      <c r="U12411" t="s">
        <v>56863</v>
      </c>
      <c r="W12411" t="s">
        <v>44470</v>
      </c>
      <c r="X12411" t="s">
        <v>44921</v>
      </c>
    </row>
    <row r="12412" spans="1:24">
      <c r="A12412">
        <f>HYPERLINK("https://www.philgeps.gov.ph/GEPSNONPILOT/Tender/SplashBidNoticeAbstractUI.aspx?menuIndex=3&amp;refID=7057269&amp;Result=3","7057269")</f>
        <v>0</v>
      </c>
      <c r="B12412" t="s">
        <v>3156</v>
      </c>
      <c r="C12412" t="s">
        <v>15380</v>
      </c>
      <c r="D12412" t="s">
        <v>18128</v>
      </c>
      <c r="E12412" t="s">
        <v>28957</v>
      </c>
      <c r="F12412" t="s">
        <v>31362</v>
      </c>
      <c r="G12412" t="s">
        <v>31369</v>
      </c>
      <c r="H12412" t="s">
        <v>31378</v>
      </c>
      <c r="I12412" t="s">
        <v>31386</v>
      </c>
      <c r="J12412" t="s">
        <v>39076</v>
      </c>
      <c r="K12412" t="s">
        <v>40911</v>
      </c>
      <c r="M12412" t="s">
        <v>44419</v>
      </c>
      <c r="N12412" t="s">
        <v>44905</v>
      </c>
      <c r="O12412" t="s">
        <v>44906</v>
      </c>
      <c r="P12412">
        <v>0</v>
      </c>
      <c r="Q12412">
        <v>8</v>
      </c>
      <c r="R12412" t="s">
        <v>44918</v>
      </c>
      <c r="S12412" t="s">
        <v>45447</v>
      </c>
      <c r="T12412" t="s">
        <v>46392</v>
      </c>
      <c r="U12412" t="s">
        <v>56864</v>
      </c>
      <c r="W12412" t="s">
        <v>44419</v>
      </c>
      <c r="X12412" t="s">
        <v>44921</v>
      </c>
    </row>
    <row r="12413" spans="1:24">
      <c r="A12413">
        <f>HYPERLINK("https://www.philgeps.gov.ph/GEPSNONPILOT/Tender/SplashBidNoticeAbstractUI.aspx?menuIndex=3&amp;refID=7058333&amp;Result=3","7058333")</f>
        <v>0</v>
      </c>
      <c r="B12413" t="s">
        <v>3236</v>
      </c>
      <c r="C12413" t="s">
        <v>15381</v>
      </c>
      <c r="D12413" t="s">
        <v>18167</v>
      </c>
      <c r="E12413" t="s">
        <v>28958</v>
      </c>
      <c r="F12413" t="s">
        <v>31362</v>
      </c>
      <c r="G12413" t="s">
        <v>31373</v>
      </c>
      <c r="H12413" t="s">
        <v>15799</v>
      </c>
      <c r="I12413" t="s">
        <v>31409</v>
      </c>
      <c r="J12413" t="s">
        <v>32391</v>
      </c>
      <c r="K12413" t="s">
        <v>40661</v>
      </c>
      <c r="M12413" t="s">
        <v>44512</v>
      </c>
      <c r="N12413" t="s">
        <v>44905</v>
      </c>
      <c r="O12413" t="s">
        <v>44906</v>
      </c>
      <c r="P12413">
        <v>0</v>
      </c>
      <c r="Q12413">
        <v>0</v>
      </c>
      <c r="R12413" t="s">
        <v>44918</v>
      </c>
      <c r="S12413" t="s">
        <v>45447</v>
      </c>
      <c r="T12413" t="s">
        <v>46409</v>
      </c>
      <c r="U12413" t="s">
        <v>56865</v>
      </c>
      <c r="W12413" t="s">
        <v>44512</v>
      </c>
      <c r="X12413" t="s">
        <v>44920</v>
      </c>
    </row>
    <row r="12414" spans="1:24">
      <c r="A12414">
        <f>HYPERLINK("https://www.philgeps.gov.ph/GEPSNONPILOT/Tender/SplashBidNoticeAbstractUI.aspx?menuIndex=3&amp;refID=7057570&amp;Result=3","7057570")</f>
        <v>0</v>
      </c>
      <c r="B12414" t="s">
        <v>3194</v>
      </c>
      <c r="C12414" t="s">
        <v>15382</v>
      </c>
      <c r="D12414" t="s">
        <v>18168</v>
      </c>
      <c r="E12414" t="s">
        <v>28959</v>
      </c>
      <c r="F12414" t="s">
        <v>31362</v>
      </c>
      <c r="G12414" t="s">
        <v>31369</v>
      </c>
      <c r="H12414" t="s">
        <v>31378</v>
      </c>
      <c r="I12414" t="s">
        <v>31386</v>
      </c>
      <c r="J12414" t="s">
        <v>39077</v>
      </c>
      <c r="K12414" t="s">
        <v>40686</v>
      </c>
      <c r="M12414" t="s">
        <v>44465</v>
      </c>
      <c r="N12414" t="s">
        <v>44905</v>
      </c>
      <c r="O12414" t="s">
        <v>44906</v>
      </c>
      <c r="P12414">
        <v>0</v>
      </c>
      <c r="Q12414">
        <v>1</v>
      </c>
      <c r="R12414" t="s">
        <v>44918</v>
      </c>
      <c r="S12414" t="s">
        <v>45447</v>
      </c>
      <c r="T12414" t="s">
        <v>46499</v>
      </c>
      <c r="U12414" t="s">
        <v>56866</v>
      </c>
      <c r="W12414" t="s">
        <v>44465</v>
      </c>
      <c r="X12414" t="s">
        <v>44921</v>
      </c>
    </row>
    <row r="12415" spans="1:24">
      <c r="A12415">
        <f>HYPERLINK("https://www.philgeps.gov.ph/GEPSNONPILOT/Tender/SplashBidNoticeAbstractUI.aspx?menuIndex=3&amp;refID=7057257&amp;Result=3","7057257")</f>
        <v>0</v>
      </c>
      <c r="B12415" t="s">
        <v>2005</v>
      </c>
      <c r="C12415" t="s">
        <v>15383</v>
      </c>
      <c r="D12415" t="s">
        <v>18134</v>
      </c>
      <c r="E12415" t="s">
        <v>24643</v>
      </c>
      <c r="F12415" t="s">
        <v>31362</v>
      </c>
      <c r="G12415" t="s">
        <v>31369</v>
      </c>
      <c r="H12415" t="s">
        <v>31378</v>
      </c>
      <c r="I12415" t="s">
        <v>31386</v>
      </c>
      <c r="J12415" t="s">
        <v>39078</v>
      </c>
      <c r="K12415" t="s">
        <v>40909</v>
      </c>
      <c r="M12415" t="s">
        <v>43116</v>
      </c>
      <c r="N12415" t="s">
        <v>44905</v>
      </c>
      <c r="O12415" t="s">
        <v>44906</v>
      </c>
      <c r="P12415">
        <v>0</v>
      </c>
      <c r="Q12415">
        <v>7</v>
      </c>
      <c r="R12415" t="s">
        <v>44918</v>
      </c>
      <c r="S12415" t="s">
        <v>45447</v>
      </c>
      <c r="T12415" t="s">
        <v>46511</v>
      </c>
      <c r="U12415" t="s">
        <v>56683</v>
      </c>
      <c r="W12415" t="s">
        <v>43116</v>
      </c>
      <c r="X12415" t="s">
        <v>44921</v>
      </c>
    </row>
    <row r="12416" spans="1:24">
      <c r="A12416">
        <f>HYPERLINK("https://www.philgeps.gov.ph/GEPSNONPILOT/Tender/SplashBidNoticeAbstractUI.aspx?menuIndex=3&amp;refID=7057235&amp;Result=3","7057235")</f>
        <v>0</v>
      </c>
      <c r="B12416" t="s">
        <v>663</v>
      </c>
      <c r="C12416" t="s">
        <v>15167</v>
      </c>
      <c r="D12416" t="s">
        <v>18103</v>
      </c>
      <c r="E12416" t="s">
        <v>21676</v>
      </c>
      <c r="F12416" t="s">
        <v>31362</v>
      </c>
      <c r="G12416" t="s">
        <v>31369</v>
      </c>
      <c r="H12416" t="s">
        <v>15799</v>
      </c>
      <c r="I12416" t="s">
        <v>4283</v>
      </c>
      <c r="J12416" t="s">
        <v>39079</v>
      </c>
      <c r="K12416" t="s">
        <v>40682</v>
      </c>
      <c r="M12416" t="s">
        <v>41625</v>
      </c>
      <c r="N12416" t="s">
        <v>44905</v>
      </c>
      <c r="O12416" t="s">
        <v>44906</v>
      </c>
      <c r="P12416">
        <v>0</v>
      </c>
      <c r="Q12416">
        <v>11</v>
      </c>
      <c r="R12416" t="s">
        <v>44918</v>
      </c>
      <c r="S12416" t="s">
        <v>45447</v>
      </c>
      <c r="T12416" t="s">
        <v>46845</v>
      </c>
      <c r="U12416" t="s">
        <v>56867</v>
      </c>
      <c r="W12416" t="s">
        <v>41625</v>
      </c>
      <c r="X12416" t="s">
        <v>44921</v>
      </c>
    </row>
    <row r="12417" spans="1:24">
      <c r="A12417">
        <f>HYPERLINK("https://www.philgeps.gov.ph/GEPSNONPILOT/Tender/SplashBidNoticeAbstractUI.aspx?menuIndex=3&amp;refID=7058310&amp;Result=3","7058310")</f>
        <v>0</v>
      </c>
      <c r="B12417" t="s">
        <v>1507</v>
      </c>
      <c r="C12417" t="s">
        <v>15384</v>
      </c>
      <c r="D12417" t="s">
        <v>18113</v>
      </c>
      <c r="E12417" t="s">
        <v>28960</v>
      </c>
      <c r="F12417" t="s">
        <v>31362</v>
      </c>
      <c r="G12417" t="s">
        <v>31369</v>
      </c>
      <c r="H12417" t="s">
        <v>15799</v>
      </c>
      <c r="I12417" t="s">
        <v>31390</v>
      </c>
      <c r="J12417" t="s">
        <v>37729</v>
      </c>
      <c r="K12417" t="s">
        <v>40666</v>
      </c>
      <c r="M12417" t="s">
        <v>42547</v>
      </c>
      <c r="N12417" t="s">
        <v>44905</v>
      </c>
      <c r="O12417" t="s">
        <v>44906</v>
      </c>
      <c r="P12417">
        <v>0</v>
      </c>
      <c r="Q12417">
        <v>5</v>
      </c>
      <c r="R12417" t="s">
        <v>44918</v>
      </c>
      <c r="S12417" t="s">
        <v>45447</v>
      </c>
      <c r="T12417" t="s">
        <v>46611</v>
      </c>
      <c r="U12417" t="s">
        <v>56868</v>
      </c>
      <c r="V12417" t="s">
        <v>59473</v>
      </c>
      <c r="W12417" t="s">
        <v>42547</v>
      </c>
      <c r="X12417" t="s">
        <v>44920</v>
      </c>
    </row>
    <row r="12418" spans="1:24">
      <c r="A12418">
        <f>HYPERLINK("https://www.philgeps.gov.ph/GEPSNONPILOT/Tender/SplashBidNoticeAbstractUI.aspx?menuIndex=3&amp;refID=7057206&amp;Result=3","7057206")</f>
        <v>0</v>
      </c>
      <c r="B12418" t="s">
        <v>57</v>
      </c>
      <c r="C12418" t="s">
        <v>15385</v>
      </c>
      <c r="D12418" t="s">
        <v>18120</v>
      </c>
      <c r="E12418" t="s">
        <v>28961</v>
      </c>
      <c r="F12418" t="s">
        <v>31362</v>
      </c>
      <c r="G12418" t="s">
        <v>31369</v>
      </c>
      <c r="H12418" t="s">
        <v>15799</v>
      </c>
      <c r="I12418" t="s">
        <v>31409</v>
      </c>
      <c r="J12418" t="s">
        <v>39080</v>
      </c>
      <c r="K12418" t="s">
        <v>40662</v>
      </c>
      <c r="M12418" t="s">
        <v>40992</v>
      </c>
      <c r="N12418" t="s">
        <v>44905</v>
      </c>
      <c r="O12418" t="s">
        <v>44906</v>
      </c>
      <c r="Q12418">
        <v>20</v>
      </c>
      <c r="R12418" t="s">
        <v>44918</v>
      </c>
      <c r="S12418" t="s">
        <v>45496</v>
      </c>
      <c r="T12418" t="s">
        <v>46560</v>
      </c>
      <c r="U12418" t="s">
        <v>56869</v>
      </c>
      <c r="W12418" t="s">
        <v>40992</v>
      </c>
      <c r="X12418" t="s">
        <v>44921</v>
      </c>
    </row>
    <row r="12419" spans="1:24">
      <c r="A12419">
        <f>HYPERLINK("https://www.philgeps.gov.ph/GEPSNONPILOT/Tender/SplashBidNoticeAbstractUI.aspx?menuIndex=3&amp;refID=7057475&amp;Result=3","7057475")</f>
        <v>0</v>
      </c>
      <c r="B12419" t="s">
        <v>3200</v>
      </c>
      <c r="C12419" t="s">
        <v>15386</v>
      </c>
      <c r="D12419" t="s">
        <v>18124</v>
      </c>
      <c r="E12419" t="s">
        <v>28962</v>
      </c>
      <c r="F12419" t="s">
        <v>31362</v>
      </c>
      <c r="G12419" t="s">
        <v>31369</v>
      </c>
      <c r="H12419" t="s">
        <v>31378</v>
      </c>
      <c r="I12419" t="s">
        <v>31386</v>
      </c>
      <c r="J12419" t="s">
        <v>39081</v>
      </c>
      <c r="K12419" t="s">
        <v>40882</v>
      </c>
      <c r="M12419" t="s">
        <v>44470</v>
      </c>
      <c r="N12419" t="s">
        <v>44905</v>
      </c>
      <c r="O12419" t="s">
        <v>44906</v>
      </c>
      <c r="P12419">
        <v>0</v>
      </c>
      <c r="Q12419">
        <v>61</v>
      </c>
      <c r="R12419" t="s">
        <v>44918</v>
      </c>
      <c r="S12419" t="s">
        <v>45447</v>
      </c>
      <c r="T12419" t="s">
        <v>46538</v>
      </c>
      <c r="U12419" t="s">
        <v>56870</v>
      </c>
      <c r="W12419" t="s">
        <v>44470</v>
      </c>
      <c r="X12419" t="s">
        <v>44921</v>
      </c>
    </row>
    <row r="12420" spans="1:24">
      <c r="A12420">
        <f>HYPERLINK("https://www.philgeps.gov.ph/GEPSNONPILOT/Tender/SplashBidNoticeAbstractUI.aspx?menuIndex=3&amp;refID=7058315&amp;Result=3","7058315")</f>
        <v>0</v>
      </c>
      <c r="B12420" t="s">
        <v>1507</v>
      </c>
      <c r="C12420" t="s">
        <v>15387</v>
      </c>
      <c r="D12420" t="s">
        <v>18113</v>
      </c>
      <c r="E12420" t="s">
        <v>28963</v>
      </c>
      <c r="F12420" t="s">
        <v>31362</v>
      </c>
      <c r="G12420" t="s">
        <v>31369</v>
      </c>
      <c r="H12420" t="s">
        <v>15799</v>
      </c>
      <c r="I12420" t="s">
        <v>31469</v>
      </c>
      <c r="J12420" t="s">
        <v>39082</v>
      </c>
      <c r="K12420" t="s">
        <v>40666</v>
      </c>
      <c r="M12420" t="s">
        <v>42547</v>
      </c>
      <c r="N12420" t="s">
        <v>44905</v>
      </c>
      <c r="O12420" t="s">
        <v>44906</v>
      </c>
      <c r="P12420">
        <v>0</v>
      </c>
      <c r="Q12420">
        <v>8</v>
      </c>
      <c r="R12420" t="s">
        <v>44918</v>
      </c>
      <c r="S12420" t="s">
        <v>45447</v>
      </c>
      <c r="T12420" t="s">
        <v>46611</v>
      </c>
      <c r="U12420" t="s">
        <v>56871</v>
      </c>
      <c r="V12420" t="s">
        <v>59473</v>
      </c>
      <c r="W12420" t="s">
        <v>42547</v>
      </c>
      <c r="X12420" t="s">
        <v>44920</v>
      </c>
    </row>
    <row r="12421" spans="1:24">
      <c r="A12421">
        <f>HYPERLINK("https://www.philgeps.gov.ph/GEPSNONPILOT/Tender/SplashBidNoticeAbstractUI.aspx?menuIndex=3&amp;refID=7057497&amp;Result=3","7057497")</f>
        <v>0</v>
      </c>
      <c r="B12421" t="s">
        <v>3208</v>
      </c>
      <c r="C12421" t="s">
        <v>15388</v>
      </c>
      <c r="D12421" t="s">
        <v>18108</v>
      </c>
      <c r="E12421" t="s">
        <v>25700</v>
      </c>
      <c r="F12421" t="s">
        <v>31362</v>
      </c>
      <c r="G12421" t="s">
        <v>31369</v>
      </c>
      <c r="H12421" t="s">
        <v>15799</v>
      </c>
      <c r="I12421" t="s">
        <v>4283</v>
      </c>
      <c r="J12421" t="s">
        <v>39083</v>
      </c>
      <c r="K12421" t="s">
        <v>40662</v>
      </c>
      <c r="M12421" t="s">
        <v>44513</v>
      </c>
      <c r="N12421" t="s">
        <v>44905</v>
      </c>
      <c r="O12421" t="s">
        <v>44906</v>
      </c>
      <c r="Q12421">
        <v>9</v>
      </c>
      <c r="R12421" t="s">
        <v>44918</v>
      </c>
      <c r="S12421" t="s">
        <v>45278</v>
      </c>
      <c r="T12421" t="s">
        <v>46481</v>
      </c>
      <c r="U12421" t="s">
        <v>56730</v>
      </c>
      <c r="W12421" t="s">
        <v>44513</v>
      </c>
      <c r="X12421" t="s">
        <v>44921</v>
      </c>
    </row>
    <row r="12422" spans="1:24">
      <c r="A12422">
        <f>HYPERLINK("https://www.philgeps.gov.ph/GEPSNONPILOT/Tender/SplashBidNoticeAbstractUI.aspx?menuIndex=3&amp;refID=7050763&amp;Result=3","7050763")</f>
        <v>0</v>
      </c>
      <c r="B12422" t="s">
        <v>25</v>
      </c>
      <c r="C12422" t="s">
        <v>15389</v>
      </c>
      <c r="E12422" t="s">
        <v>28964</v>
      </c>
      <c r="F12422" t="s">
        <v>31362</v>
      </c>
      <c r="G12422" t="s">
        <v>31369</v>
      </c>
      <c r="H12422" t="s">
        <v>31378</v>
      </c>
      <c r="I12422" t="s">
        <v>31386</v>
      </c>
      <c r="J12422" t="s">
        <v>39084</v>
      </c>
      <c r="K12422" t="s">
        <v>40662</v>
      </c>
      <c r="M12422" t="s">
        <v>40959</v>
      </c>
      <c r="N12422" t="s">
        <v>44905</v>
      </c>
      <c r="O12422" t="s">
        <v>44906</v>
      </c>
      <c r="P12422">
        <v>0</v>
      </c>
      <c r="Q12422">
        <v>4</v>
      </c>
      <c r="R12422" t="s">
        <v>44920</v>
      </c>
      <c r="S12422" t="s">
        <v>45492</v>
      </c>
      <c r="T12422" t="s">
        <v>46392</v>
      </c>
      <c r="U12422" t="s">
        <v>56872</v>
      </c>
      <c r="V12422" t="s">
        <v>60373</v>
      </c>
      <c r="W12422" t="s">
        <v>40959</v>
      </c>
      <c r="X12422" t="s">
        <v>44923</v>
      </c>
    </row>
    <row r="12423" spans="1:24">
      <c r="A12423">
        <f>HYPERLINK("https://www.philgeps.gov.ph/GEPSNONPILOT/Tender/SplashBidNoticeAbstractUI.aspx?menuIndex=3&amp;refID=7053230&amp;Result=3","7053230")</f>
        <v>0</v>
      </c>
      <c r="B12423" t="s">
        <v>89</v>
      </c>
      <c r="C12423" t="s">
        <v>15390</v>
      </c>
      <c r="D12423" t="s">
        <v>18109</v>
      </c>
      <c r="E12423" t="s">
        <v>28965</v>
      </c>
      <c r="F12423" t="s">
        <v>31362</v>
      </c>
      <c r="G12423" t="s">
        <v>31369</v>
      </c>
      <c r="H12423" t="s">
        <v>31378</v>
      </c>
      <c r="I12423" t="s">
        <v>31386</v>
      </c>
      <c r="J12423" t="s">
        <v>31669</v>
      </c>
      <c r="K12423" t="s">
        <v>40692</v>
      </c>
      <c r="M12423" t="s">
        <v>41026</v>
      </c>
      <c r="N12423" t="s">
        <v>44905</v>
      </c>
      <c r="O12423" t="s">
        <v>44906</v>
      </c>
      <c r="P12423">
        <v>0</v>
      </c>
      <c r="Q12423">
        <v>5</v>
      </c>
      <c r="R12423" t="s">
        <v>44920</v>
      </c>
      <c r="S12423" t="s">
        <v>45492</v>
      </c>
      <c r="T12423" t="s">
        <v>46611</v>
      </c>
      <c r="U12423" t="s">
        <v>56873</v>
      </c>
      <c r="V12423" t="s">
        <v>60379</v>
      </c>
      <c r="W12423" t="s">
        <v>60833</v>
      </c>
      <c r="X12423" t="s">
        <v>44922</v>
      </c>
    </row>
    <row r="12424" spans="1:24">
      <c r="A12424">
        <f>HYPERLINK("https://www.philgeps.gov.ph/GEPSNONPILOT/Tender/SplashBidNoticeAbstractUI.aspx?menuIndex=3&amp;refID=7053491&amp;Result=3","7053491")</f>
        <v>0</v>
      </c>
      <c r="B12424" t="s">
        <v>3237</v>
      </c>
      <c r="C12424" t="s">
        <v>15391</v>
      </c>
      <c r="D12424" t="s">
        <v>18172</v>
      </c>
      <c r="E12424" t="s">
        <v>28966</v>
      </c>
      <c r="F12424" t="s">
        <v>31362</v>
      </c>
      <c r="G12424" t="s">
        <v>31369</v>
      </c>
      <c r="H12424" t="s">
        <v>15799</v>
      </c>
      <c r="I12424" t="s">
        <v>31385</v>
      </c>
      <c r="J12424" t="s">
        <v>34218</v>
      </c>
      <c r="K12424" t="s">
        <v>40670</v>
      </c>
      <c r="M12424" t="s">
        <v>44514</v>
      </c>
      <c r="N12424" t="s">
        <v>44905</v>
      </c>
      <c r="O12424" t="s">
        <v>44906</v>
      </c>
      <c r="P12424">
        <v>0</v>
      </c>
      <c r="Q12424">
        <v>3</v>
      </c>
      <c r="R12424" t="s">
        <v>44920</v>
      </c>
      <c r="S12424" t="s">
        <v>45492</v>
      </c>
      <c r="T12424" t="s">
        <v>46560</v>
      </c>
      <c r="U12424" t="s">
        <v>56874</v>
      </c>
      <c r="W12424" t="s">
        <v>44514</v>
      </c>
      <c r="X12424" t="s">
        <v>44922</v>
      </c>
    </row>
    <row r="12425" spans="1:24">
      <c r="A12425">
        <f>HYPERLINK("https://www.philgeps.gov.ph/GEPSNONPILOT/Tender/SplashBidNoticeAbstractUI.aspx?menuIndex=3&amp;refID=7053152&amp;Result=3","7053152")</f>
        <v>0</v>
      </c>
      <c r="B12425" t="s">
        <v>89</v>
      </c>
      <c r="C12425" t="s">
        <v>15392</v>
      </c>
      <c r="D12425" t="s">
        <v>18109</v>
      </c>
      <c r="E12425" t="s">
        <v>28967</v>
      </c>
      <c r="F12425" t="s">
        <v>31362</v>
      </c>
      <c r="G12425" t="s">
        <v>31369</v>
      </c>
      <c r="H12425" t="s">
        <v>31378</v>
      </c>
      <c r="I12425" t="s">
        <v>31386</v>
      </c>
      <c r="J12425" t="s">
        <v>39085</v>
      </c>
      <c r="K12425" t="s">
        <v>40663</v>
      </c>
      <c r="M12425" t="s">
        <v>41026</v>
      </c>
      <c r="N12425" t="s">
        <v>44905</v>
      </c>
      <c r="O12425" t="s">
        <v>44906</v>
      </c>
      <c r="P12425">
        <v>0</v>
      </c>
      <c r="Q12425">
        <v>5</v>
      </c>
      <c r="R12425" t="s">
        <v>44920</v>
      </c>
      <c r="S12425" t="s">
        <v>45492</v>
      </c>
      <c r="T12425" t="s">
        <v>46611</v>
      </c>
      <c r="U12425" t="s">
        <v>56875</v>
      </c>
      <c r="V12425" t="s">
        <v>60379</v>
      </c>
      <c r="W12425" t="s">
        <v>60833</v>
      </c>
      <c r="X12425" t="s">
        <v>44922</v>
      </c>
    </row>
    <row r="12426" spans="1:24">
      <c r="A12426">
        <f>HYPERLINK("https://www.philgeps.gov.ph/GEPSNONPILOT/Tender/SplashBidNoticeAbstractUI.aspx?menuIndex=3&amp;refID=7050791&amp;Result=3","7050791")</f>
        <v>0</v>
      </c>
      <c r="B12426" t="s">
        <v>25</v>
      </c>
      <c r="C12426" t="s">
        <v>15393</v>
      </c>
      <c r="E12426" t="s">
        <v>28968</v>
      </c>
      <c r="F12426" t="s">
        <v>31362</v>
      </c>
      <c r="G12426" t="s">
        <v>31369</v>
      </c>
      <c r="H12426" t="s">
        <v>15799</v>
      </c>
      <c r="I12426" t="s">
        <v>31409</v>
      </c>
      <c r="J12426" t="s">
        <v>39086</v>
      </c>
      <c r="K12426" t="s">
        <v>40662</v>
      </c>
      <c r="M12426" t="s">
        <v>40959</v>
      </c>
      <c r="N12426" t="s">
        <v>44905</v>
      </c>
      <c r="O12426" t="s">
        <v>44906</v>
      </c>
      <c r="P12426">
        <v>0</v>
      </c>
      <c r="Q12426">
        <v>2</v>
      </c>
      <c r="R12426" t="s">
        <v>44920</v>
      </c>
      <c r="S12426" t="s">
        <v>45492</v>
      </c>
      <c r="T12426" t="s">
        <v>46392</v>
      </c>
      <c r="U12426" t="s">
        <v>56876</v>
      </c>
      <c r="V12426" t="s">
        <v>60373</v>
      </c>
      <c r="W12426" t="s">
        <v>40959</v>
      </c>
      <c r="X12426" t="s">
        <v>44923</v>
      </c>
    </row>
    <row r="12427" spans="1:24">
      <c r="A12427">
        <f>HYPERLINK("https://www.philgeps.gov.ph/GEPSNONPILOT/Tender/SplashBidNoticeAbstractUI.aspx?menuIndex=3&amp;refID=7050785&amp;Result=3","7050785")</f>
        <v>0</v>
      </c>
      <c r="B12427" t="s">
        <v>25</v>
      </c>
      <c r="C12427" t="s">
        <v>15394</v>
      </c>
      <c r="E12427" t="s">
        <v>28969</v>
      </c>
      <c r="F12427" t="s">
        <v>31362</v>
      </c>
      <c r="G12427" t="s">
        <v>31369</v>
      </c>
      <c r="H12427" t="s">
        <v>31378</v>
      </c>
      <c r="I12427" t="s">
        <v>31386</v>
      </c>
      <c r="J12427" t="s">
        <v>39087</v>
      </c>
      <c r="K12427" t="s">
        <v>40662</v>
      </c>
      <c r="M12427" t="s">
        <v>40959</v>
      </c>
      <c r="N12427" t="s">
        <v>44905</v>
      </c>
      <c r="O12427" t="s">
        <v>44906</v>
      </c>
      <c r="P12427">
        <v>0</v>
      </c>
      <c r="Q12427">
        <v>4</v>
      </c>
      <c r="R12427" t="s">
        <v>44920</v>
      </c>
      <c r="S12427" t="s">
        <v>45492</v>
      </c>
      <c r="T12427" t="s">
        <v>46392</v>
      </c>
      <c r="U12427" t="s">
        <v>56877</v>
      </c>
      <c r="V12427" t="s">
        <v>60373</v>
      </c>
      <c r="W12427" t="s">
        <v>40959</v>
      </c>
      <c r="X12427" t="s">
        <v>44923</v>
      </c>
    </row>
    <row r="12428" spans="1:24">
      <c r="A12428">
        <f>HYPERLINK("https://www.philgeps.gov.ph/GEPSNONPILOT/Tender/SplashBidNoticeAbstractUI.aspx?menuIndex=3&amp;refID=7050781&amp;Result=3","7050781")</f>
        <v>0</v>
      </c>
      <c r="B12428" t="s">
        <v>25</v>
      </c>
      <c r="C12428" t="s">
        <v>15395</v>
      </c>
      <c r="E12428" t="s">
        <v>28970</v>
      </c>
      <c r="F12428" t="s">
        <v>31362</v>
      </c>
      <c r="G12428" t="s">
        <v>31369</v>
      </c>
      <c r="H12428" t="s">
        <v>31378</v>
      </c>
      <c r="I12428" t="s">
        <v>31386</v>
      </c>
      <c r="J12428" t="s">
        <v>39088</v>
      </c>
      <c r="K12428" t="s">
        <v>40662</v>
      </c>
      <c r="M12428" t="s">
        <v>40959</v>
      </c>
      <c r="N12428" t="s">
        <v>44905</v>
      </c>
      <c r="O12428" t="s">
        <v>44906</v>
      </c>
      <c r="P12428">
        <v>0</v>
      </c>
      <c r="Q12428">
        <v>4</v>
      </c>
      <c r="R12428" t="s">
        <v>44920</v>
      </c>
      <c r="S12428" t="s">
        <v>45492</v>
      </c>
      <c r="T12428" t="s">
        <v>46392</v>
      </c>
      <c r="U12428" t="s">
        <v>56878</v>
      </c>
      <c r="V12428" t="s">
        <v>60373</v>
      </c>
      <c r="W12428" t="s">
        <v>40959</v>
      </c>
      <c r="X12428" t="s">
        <v>44923</v>
      </c>
    </row>
    <row r="12429" spans="1:24">
      <c r="A12429">
        <f>HYPERLINK("https://www.philgeps.gov.ph/GEPSNONPILOT/Tender/SplashBidNoticeAbstractUI.aspx?menuIndex=3&amp;refID=7050773&amp;Result=3","7050773")</f>
        <v>0</v>
      </c>
      <c r="B12429" t="s">
        <v>25</v>
      </c>
      <c r="C12429" t="s">
        <v>15396</v>
      </c>
      <c r="E12429" t="s">
        <v>28971</v>
      </c>
      <c r="F12429" t="s">
        <v>31362</v>
      </c>
      <c r="G12429" t="s">
        <v>31369</v>
      </c>
      <c r="H12429" t="s">
        <v>31378</v>
      </c>
      <c r="I12429" t="s">
        <v>31386</v>
      </c>
      <c r="J12429" t="s">
        <v>39084</v>
      </c>
      <c r="K12429" t="s">
        <v>40662</v>
      </c>
      <c r="M12429" t="s">
        <v>40959</v>
      </c>
      <c r="N12429" t="s">
        <v>44905</v>
      </c>
      <c r="O12429" t="s">
        <v>44906</v>
      </c>
      <c r="P12429">
        <v>0</v>
      </c>
      <c r="Q12429">
        <v>4</v>
      </c>
      <c r="R12429" t="s">
        <v>44920</v>
      </c>
      <c r="S12429" t="s">
        <v>45492</v>
      </c>
      <c r="T12429" t="s">
        <v>46392</v>
      </c>
      <c r="U12429" t="s">
        <v>56872</v>
      </c>
      <c r="V12429" t="s">
        <v>60373</v>
      </c>
      <c r="W12429" t="s">
        <v>40959</v>
      </c>
      <c r="X12429" t="s">
        <v>44923</v>
      </c>
    </row>
    <row r="12430" spans="1:24">
      <c r="A12430">
        <f>HYPERLINK("https://www.philgeps.gov.ph/GEPSNONPILOT/Tender/SplashBidNoticeAbstractUI.aspx?menuIndex=3&amp;refID=7054608&amp;Result=3","7054608")</f>
        <v>0</v>
      </c>
      <c r="B12430" t="s">
        <v>3238</v>
      </c>
      <c r="C12430" t="s">
        <v>15397</v>
      </c>
      <c r="E12430" t="s">
        <v>28972</v>
      </c>
      <c r="F12430" t="s">
        <v>31362</v>
      </c>
      <c r="G12430" t="s">
        <v>31369</v>
      </c>
      <c r="H12430" t="s">
        <v>15799</v>
      </c>
      <c r="I12430" t="s">
        <v>31396</v>
      </c>
      <c r="J12430" t="s">
        <v>38317</v>
      </c>
      <c r="K12430" t="s">
        <v>40662</v>
      </c>
      <c r="M12430" t="s">
        <v>44515</v>
      </c>
      <c r="N12430" t="s">
        <v>44905</v>
      </c>
      <c r="O12430" t="s">
        <v>44906</v>
      </c>
      <c r="Q12430">
        <v>17</v>
      </c>
      <c r="R12430" t="s">
        <v>44920</v>
      </c>
      <c r="S12430" t="s">
        <v>45497</v>
      </c>
      <c r="T12430" t="s">
        <v>46398</v>
      </c>
      <c r="U12430" t="s">
        <v>56879</v>
      </c>
      <c r="V12430" t="s">
        <v>60380</v>
      </c>
      <c r="W12430" t="s">
        <v>44515</v>
      </c>
      <c r="X12430" t="s">
        <v>44922</v>
      </c>
    </row>
    <row r="12431" spans="1:24">
      <c r="A12431">
        <f>HYPERLINK("https://www.philgeps.gov.ph/GEPSNONPILOT/Tender/SplashBidNoticeAbstractUI.aspx?menuIndex=3&amp;refID=7055658&amp;Result=3","7055658")</f>
        <v>0</v>
      </c>
      <c r="B12431" t="s">
        <v>269</v>
      </c>
      <c r="C12431" t="s">
        <v>15398</v>
      </c>
      <c r="D12431" t="s">
        <v>18117</v>
      </c>
      <c r="E12431" t="s">
        <v>25211</v>
      </c>
      <c r="F12431" t="s">
        <v>31362</v>
      </c>
      <c r="G12431" t="s">
        <v>31369</v>
      </c>
      <c r="H12431" t="s">
        <v>15799</v>
      </c>
      <c r="I12431" t="s">
        <v>31430</v>
      </c>
      <c r="J12431" t="s">
        <v>34007</v>
      </c>
      <c r="K12431" t="s">
        <v>40666</v>
      </c>
      <c r="M12431" t="s">
        <v>41211</v>
      </c>
      <c r="N12431" t="s">
        <v>44905</v>
      </c>
      <c r="O12431" t="s">
        <v>44906</v>
      </c>
      <c r="Q12431">
        <v>2</v>
      </c>
      <c r="R12431" t="s">
        <v>44920</v>
      </c>
      <c r="S12431" t="s">
        <v>45498</v>
      </c>
      <c r="T12431" t="s">
        <v>46523</v>
      </c>
      <c r="U12431" t="s">
        <v>56880</v>
      </c>
      <c r="W12431" t="s">
        <v>41211</v>
      </c>
      <c r="X12431" t="s">
        <v>44921</v>
      </c>
    </row>
    <row r="12432" spans="1:24">
      <c r="A12432">
        <f>HYPERLINK("https://www.philgeps.gov.ph/GEPSNONPILOT/Tender/SplashBidNoticeAbstractUI.aspx?menuIndex=3&amp;refID=7055652&amp;Result=3","7055652")</f>
        <v>0</v>
      </c>
      <c r="B12432" t="s">
        <v>3018</v>
      </c>
      <c r="C12432" t="s">
        <v>15399</v>
      </c>
      <c r="D12432" t="s">
        <v>18100</v>
      </c>
      <c r="E12432" t="s">
        <v>28973</v>
      </c>
      <c r="F12432" t="s">
        <v>31362</v>
      </c>
      <c r="G12432" t="s">
        <v>31369</v>
      </c>
      <c r="H12432" t="s">
        <v>15799</v>
      </c>
      <c r="I12432" t="s">
        <v>31390</v>
      </c>
      <c r="J12432" t="s">
        <v>39089</v>
      </c>
      <c r="K12432" t="s">
        <v>40672</v>
      </c>
      <c r="M12432" t="s">
        <v>44250</v>
      </c>
      <c r="N12432" t="s">
        <v>44905</v>
      </c>
      <c r="O12432" t="s">
        <v>44906</v>
      </c>
      <c r="P12432">
        <v>0</v>
      </c>
      <c r="Q12432">
        <v>0</v>
      </c>
      <c r="R12432" t="s">
        <v>44920</v>
      </c>
      <c r="S12432" t="s">
        <v>45492</v>
      </c>
      <c r="T12432" t="s">
        <v>46425</v>
      </c>
      <c r="U12432" t="s">
        <v>56881</v>
      </c>
      <c r="W12432" t="s">
        <v>44250</v>
      </c>
      <c r="X12432" t="s">
        <v>44921</v>
      </c>
    </row>
    <row r="12433" spans="1:24">
      <c r="A12433">
        <f>HYPERLINK("https://www.philgeps.gov.ph/GEPSNONPILOT/Tender/SplashBidNoticeAbstractUI.aspx?menuIndex=3&amp;refID=7055651&amp;Result=3","7055651")</f>
        <v>0</v>
      </c>
      <c r="B12433" t="s">
        <v>3239</v>
      </c>
      <c r="C12433" t="s">
        <v>15400</v>
      </c>
      <c r="D12433" t="s">
        <v>18114</v>
      </c>
      <c r="E12433" t="s">
        <v>28974</v>
      </c>
      <c r="F12433" t="s">
        <v>31362</v>
      </c>
      <c r="G12433" t="s">
        <v>31368</v>
      </c>
      <c r="H12433" t="s">
        <v>15799</v>
      </c>
      <c r="I12433" t="s">
        <v>31414</v>
      </c>
      <c r="J12433" t="s">
        <v>31625</v>
      </c>
      <c r="K12433" t="s">
        <v>40665</v>
      </c>
      <c r="M12433" t="s">
        <v>44516</v>
      </c>
      <c r="N12433" t="s">
        <v>44905</v>
      </c>
      <c r="O12433" t="s">
        <v>44906</v>
      </c>
      <c r="P12433">
        <v>0</v>
      </c>
      <c r="Q12433">
        <v>5</v>
      </c>
      <c r="R12433" t="s">
        <v>44920</v>
      </c>
      <c r="S12433" t="s">
        <v>45492</v>
      </c>
      <c r="T12433" t="s">
        <v>46399</v>
      </c>
      <c r="U12433" t="s">
        <v>56882</v>
      </c>
      <c r="V12433" t="s">
        <v>60381</v>
      </c>
      <c r="W12433" t="s">
        <v>44516</v>
      </c>
      <c r="X12433" t="s">
        <v>44921</v>
      </c>
    </row>
    <row r="12434" spans="1:24">
      <c r="A12434">
        <f>HYPERLINK("https://www.philgeps.gov.ph/GEPSNONPILOT/Tender/SplashBidNoticeAbstractUI.aspx?menuIndex=3&amp;refID=7050776&amp;Result=3","7050776")</f>
        <v>0</v>
      </c>
      <c r="B12434" t="s">
        <v>25</v>
      </c>
      <c r="C12434" t="s">
        <v>15401</v>
      </c>
      <c r="E12434" t="s">
        <v>28975</v>
      </c>
      <c r="F12434" t="s">
        <v>31362</v>
      </c>
      <c r="G12434" t="s">
        <v>31369</v>
      </c>
      <c r="H12434" t="s">
        <v>31378</v>
      </c>
      <c r="I12434" t="s">
        <v>31386</v>
      </c>
      <c r="J12434" t="s">
        <v>39090</v>
      </c>
      <c r="K12434" t="s">
        <v>40662</v>
      </c>
      <c r="M12434" t="s">
        <v>40959</v>
      </c>
      <c r="N12434" t="s">
        <v>44905</v>
      </c>
      <c r="O12434" t="s">
        <v>44906</v>
      </c>
      <c r="P12434">
        <v>0</v>
      </c>
      <c r="Q12434">
        <v>4</v>
      </c>
      <c r="R12434" t="s">
        <v>44920</v>
      </c>
      <c r="S12434" t="s">
        <v>45492</v>
      </c>
      <c r="T12434" t="s">
        <v>46392</v>
      </c>
      <c r="U12434" t="s">
        <v>56883</v>
      </c>
      <c r="V12434" t="s">
        <v>60373</v>
      </c>
      <c r="W12434" t="s">
        <v>40959</v>
      </c>
      <c r="X12434" t="s">
        <v>44923</v>
      </c>
    </row>
    <row r="12435" spans="1:24">
      <c r="A12435">
        <f>HYPERLINK("https://www.philgeps.gov.ph/GEPSNONPILOT/Tender/SplashBidNoticeAbstractUI.aspx?menuIndex=3&amp;refID=7055646&amp;Result=3","7055646")</f>
        <v>0</v>
      </c>
      <c r="B12435" t="s">
        <v>3239</v>
      </c>
      <c r="C12435" t="s">
        <v>15402</v>
      </c>
      <c r="D12435" t="s">
        <v>18114</v>
      </c>
      <c r="E12435" t="s">
        <v>28976</v>
      </c>
      <c r="F12435" t="s">
        <v>31362</v>
      </c>
      <c r="G12435" t="s">
        <v>31368</v>
      </c>
      <c r="H12435" t="s">
        <v>15799</v>
      </c>
      <c r="I12435" t="s">
        <v>31414</v>
      </c>
      <c r="J12435" t="s">
        <v>31734</v>
      </c>
      <c r="K12435" t="s">
        <v>40665</v>
      </c>
      <c r="M12435" t="s">
        <v>44516</v>
      </c>
      <c r="N12435" t="s">
        <v>44905</v>
      </c>
      <c r="O12435" t="s">
        <v>44906</v>
      </c>
      <c r="P12435">
        <v>0</v>
      </c>
      <c r="Q12435">
        <v>4</v>
      </c>
      <c r="R12435" t="s">
        <v>44920</v>
      </c>
      <c r="S12435" t="s">
        <v>45492</v>
      </c>
      <c r="T12435" t="s">
        <v>46399</v>
      </c>
      <c r="U12435" t="s">
        <v>56884</v>
      </c>
      <c r="V12435" t="s">
        <v>60382</v>
      </c>
      <c r="W12435" t="s">
        <v>44516</v>
      </c>
      <c r="X12435" t="s">
        <v>44921</v>
      </c>
    </row>
    <row r="12436" spans="1:24">
      <c r="A12436">
        <f>HYPERLINK("https://www.philgeps.gov.ph/GEPSNONPILOT/Tender/SplashBidNoticeAbstractUI.aspx?menuIndex=3&amp;refID=7055428&amp;Result=3","7055428")</f>
        <v>0</v>
      </c>
      <c r="B12436" t="s">
        <v>1477</v>
      </c>
      <c r="C12436" t="s">
        <v>15403</v>
      </c>
      <c r="E12436" t="s">
        <v>28977</v>
      </c>
      <c r="F12436" t="s">
        <v>31362</v>
      </c>
      <c r="G12436" t="s">
        <v>31369</v>
      </c>
      <c r="H12436" t="s">
        <v>15799</v>
      </c>
      <c r="I12436" t="s">
        <v>7090</v>
      </c>
      <c r="J12436" t="s">
        <v>39091</v>
      </c>
      <c r="K12436" t="s">
        <v>40682</v>
      </c>
      <c r="M12436" t="s">
        <v>44517</v>
      </c>
      <c r="N12436" t="s">
        <v>44905</v>
      </c>
      <c r="O12436" t="s">
        <v>44906</v>
      </c>
      <c r="P12436">
        <v>0</v>
      </c>
      <c r="Q12436">
        <v>3</v>
      </c>
      <c r="R12436" t="s">
        <v>44920</v>
      </c>
      <c r="S12436" t="s">
        <v>45492</v>
      </c>
      <c r="T12436" t="s">
        <v>46481</v>
      </c>
      <c r="U12436" t="s">
        <v>56885</v>
      </c>
      <c r="W12436" t="s">
        <v>44517</v>
      </c>
      <c r="X12436" t="s">
        <v>44922</v>
      </c>
    </row>
    <row r="12437" spans="1:24">
      <c r="A12437">
        <f>HYPERLINK("https://www.philgeps.gov.ph/GEPSNONPILOT/Tender/SplashBidNoticeAbstractUI.aspx?menuIndex=3&amp;refID=7055659&amp;Result=3","7055659")</f>
        <v>0</v>
      </c>
      <c r="B12437" t="s">
        <v>269</v>
      </c>
      <c r="C12437" t="s">
        <v>15404</v>
      </c>
      <c r="D12437" t="s">
        <v>18117</v>
      </c>
      <c r="E12437" t="s">
        <v>22044</v>
      </c>
      <c r="F12437" t="s">
        <v>31362</v>
      </c>
      <c r="G12437" t="s">
        <v>31369</v>
      </c>
      <c r="H12437" t="s">
        <v>15799</v>
      </c>
      <c r="I12437" t="s">
        <v>6240</v>
      </c>
      <c r="J12437" t="s">
        <v>32739</v>
      </c>
      <c r="K12437" t="s">
        <v>40666</v>
      </c>
      <c r="M12437" t="s">
        <v>41211</v>
      </c>
      <c r="N12437" t="s">
        <v>44905</v>
      </c>
      <c r="O12437" t="s">
        <v>44906</v>
      </c>
      <c r="P12437">
        <v>0</v>
      </c>
      <c r="Q12437">
        <v>0</v>
      </c>
      <c r="R12437" t="s">
        <v>44920</v>
      </c>
      <c r="S12437" t="s">
        <v>45492</v>
      </c>
      <c r="T12437" t="s">
        <v>46523</v>
      </c>
      <c r="U12437" t="s">
        <v>56886</v>
      </c>
      <c r="W12437" t="s">
        <v>41211</v>
      </c>
      <c r="X12437" t="s">
        <v>44921</v>
      </c>
    </row>
    <row r="12438" spans="1:24">
      <c r="A12438">
        <f>HYPERLINK("https://www.philgeps.gov.ph/GEPSNONPILOT/Tender/SplashBidNoticeAbstractUI.aspx?menuIndex=3&amp;refID=7055752&amp;Result=3","7055752")</f>
        <v>0</v>
      </c>
      <c r="B12438" t="s">
        <v>3139</v>
      </c>
      <c r="C12438" t="s">
        <v>15405</v>
      </c>
      <c r="D12438" t="s">
        <v>18138</v>
      </c>
      <c r="E12438" t="s">
        <v>25769</v>
      </c>
      <c r="F12438" t="s">
        <v>31362</v>
      </c>
      <c r="G12438" t="s">
        <v>31369</v>
      </c>
      <c r="H12438" t="s">
        <v>15799</v>
      </c>
      <c r="I12438" t="s">
        <v>31398</v>
      </c>
      <c r="J12438" t="s">
        <v>36594</v>
      </c>
      <c r="K12438" t="s">
        <v>40665</v>
      </c>
      <c r="M12438" t="s">
        <v>44399</v>
      </c>
      <c r="N12438" t="s">
        <v>44905</v>
      </c>
      <c r="O12438" t="s">
        <v>44906</v>
      </c>
      <c r="P12438">
        <v>0</v>
      </c>
      <c r="Q12438">
        <v>0</v>
      </c>
      <c r="R12438" t="s">
        <v>44920</v>
      </c>
      <c r="S12438" t="s">
        <v>45492</v>
      </c>
      <c r="T12438" t="s">
        <v>46410</v>
      </c>
      <c r="U12438" t="s">
        <v>56887</v>
      </c>
      <c r="W12438" t="s">
        <v>44399</v>
      </c>
      <c r="X12438" t="s">
        <v>44921</v>
      </c>
    </row>
    <row r="12439" spans="1:24">
      <c r="A12439">
        <f>HYPERLINK("https://www.philgeps.gov.ph/GEPSNONPILOT/Tender/SplashBidNoticeAbstractUI.aspx?menuIndex=3&amp;refID=7055748&amp;Result=3","7055748")</f>
        <v>0</v>
      </c>
      <c r="B12439" t="s">
        <v>2957</v>
      </c>
      <c r="C12439" t="s">
        <v>15406</v>
      </c>
      <c r="D12439" t="s">
        <v>18106</v>
      </c>
      <c r="E12439" t="s">
        <v>28978</v>
      </c>
      <c r="F12439" t="s">
        <v>31362</v>
      </c>
      <c r="G12439" t="s">
        <v>31369</v>
      </c>
      <c r="H12439" t="s">
        <v>31378</v>
      </c>
      <c r="I12439" t="s">
        <v>31386</v>
      </c>
      <c r="J12439" t="s">
        <v>39092</v>
      </c>
      <c r="K12439" t="s">
        <v>40683</v>
      </c>
      <c r="M12439" t="s">
        <v>44180</v>
      </c>
      <c r="N12439" t="s">
        <v>44905</v>
      </c>
      <c r="O12439" t="s">
        <v>44906</v>
      </c>
      <c r="P12439">
        <v>0</v>
      </c>
      <c r="Q12439">
        <v>15</v>
      </c>
      <c r="R12439" t="s">
        <v>44920</v>
      </c>
      <c r="S12439" t="s">
        <v>45492</v>
      </c>
      <c r="T12439" t="s">
        <v>46470</v>
      </c>
      <c r="U12439" t="s">
        <v>55515</v>
      </c>
      <c r="W12439" t="s">
        <v>44180</v>
      </c>
      <c r="X12439" t="s">
        <v>44921</v>
      </c>
    </row>
    <row r="12440" spans="1:24">
      <c r="A12440">
        <f>HYPERLINK("https://www.philgeps.gov.ph/GEPSNONPILOT/Tender/SplashBidNoticeAbstractUI.aspx?menuIndex=3&amp;refID=7055742&amp;Result=3","7055742")</f>
        <v>0</v>
      </c>
      <c r="B12440" t="s">
        <v>2957</v>
      </c>
      <c r="C12440" t="s">
        <v>15407</v>
      </c>
      <c r="D12440" t="s">
        <v>18106</v>
      </c>
      <c r="E12440" t="s">
        <v>28979</v>
      </c>
      <c r="F12440" t="s">
        <v>31362</v>
      </c>
      <c r="G12440" t="s">
        <v>31369</v>
      </c>
      <c r="H12440" t="s">
        <v>31378</v>
      </c>
      <c r="I12440" t="s">
        <v>31386</v>
      </c>
      <c r="J12440" t="s">
        <v>31709</v>
      </c>
      <c r="K12440" t="s">
        <v>40742</v>
      </c>
      <c r="M12440" t="s">
        <v>44180</v>
      </c>
      <c r="N12440" t="s">
        <v>44905</v>
      </c>
      <c r="O12440" t="s">
        <v>44906</v>
      </c>
      <c r="P12440">
        <v>0</v>
      </c>
      <c r="Q12440">
        <v>11</v>
      </c>
      <c r="R12440" t="s">
        <v>44920</v>
      </c>
      <c r="S12440" t="s">
        <v>45492</v>
      </c>
      <c r="T12440" t="s">
        <v>46470</v>
      </c>
      <c r="U12440" t="s">
        <v>55515</v>
      </c>
      <c r="W12440" t="s">
        <v>44180</v>
      </c>
      <c r="X12440" t="s">
        <v>44921</v>
      </c>
    </row>
    <row r="12441" spans="1:24">
      <c r="A12441">
        <f>HYPERLINK("https://www.philgeps.gov.ph/GEPSNONPILOT/Tender/SplashBidNoticeAbstractUI.aspx?menuIndex=3&amp;refID=7055756&amp;Result=3","7055756")</f>
        <v>0</v>
      </c>
      <c r="B12441" t="s">
        <v>2957</v>
      </c>
      <c r="C12441" t="s">
        <v>15408</v>
      </c>
      <c r="D12441" t="s">
        <v>18106</v>
      </c>
      <c r="E12441" t="s">
        <v>28980</v>
      </c>
      <c r="F12441" t="s">
        <v>31362</v>
      </c>
      <c r="G12441" t="s">
        <v>31369</v>
      </c>
      <c r="H12441" t="s">
        <v>31378</v>
      </c>
      <c r="I12441" t="s">
        <v>31386</v>
      </c>
      <c r="J12441" t="s">
        <v>39093</v>
      </c>
      <c r="K12441" t="s">
        <v>40912</v>
      </c>
      <c r="M12441" t="s">
        <v>44180</v>
      </c>
      <c r="N12441" t="s">
        <v>44905</v>
      </c>
      <c r="O12441" t="s">
        <v>44906</v>
      </c>
      <c r="P12441">
        <v>0</v>
      </c>
      <c r="Q12441">
        <v>15</v>
      </c>
      <c r="R12441" t="s">
        <v>44920</v>
      </c>
      <c r="S12441" t="s">
        <v>45492</v>
      </c>
      <c r="T12441" t="s">
        <v>46470</v>
      </c>
      <c r="U12441" t="s">
        <v>55515</v>
      </c>
      <c r="W12441" t="s">
        <v>44180</v>
      </c>
      <c r="X12441" t="s">
        <v>44921</v>
      </c>
    </row>
    <row r="12442" spans="1:24">
      <c r="A12442">
        <f>HYPERLINK("https://www.philgeps.gov.ph/GEPSNONPILOT/Tender/SplashBidNoticeAbstractUI.aspx?menuIndex=3&amp;refID=7055660&amp;Result=3","7055660")</f>
        <v>0</v>
      </c>
      <c r="B12442" t="s">
        <v>269</v>
      </c>
      <c r="C12442" t="s">
        <v>15409</v>
      </c>
      <c r="D12442" t="s">
        <v>18117</v>
      </c>
      <c r="E12442" t="s">
        <v>20687</v>
      </c>
      <c r="F12442" t="s">
        <v>31362</v>
      </c>
      <c r="G12442" t="s">
        <v>31369</v>
      </c>
      <c r="H12442" t="s">
        <v>15799</v>
      </c>
      <c r="I12442" t="s">
        <v>3815</v>
      </c>
      <c r="J12442" t="s">
        <v>39094</v>
      </c>
      <c r="K12442" t="s">
        <v>40666</v>
      </c>
      <c r="M12442" t="s">
        <v>41211</v>
      </c>
      <c r="N12442" t="s">
        <v>44905</v>
      </c>
      <c r="O12442" t="s">
        <v>44906</v>
      </c>
      <c r="P12442">
        <v>0</v>
      </c>
      <c r="Q12442">
        <v>3</v>
      </c>
      <c r="R12442" t="s">
        <v>44920</v>
      </c>
      <c r="S12442" t="s">
        <v>45492</v>
      </c>
      <c r="T12442" t="s">
        <v>46491</v>
      </c>
      <c r="U12442" t="s">
        <v>47376</v>
      </c>
      <c r="W12442" t="s">
        <v>41211</v>
      </c>
      <c r="X12442" t="s">
        <v>44921</v>
      </c>
    </row>
    <row r="12443" spans="1:24">
      <c r="A12443">
        <f>HYPERLINK("https://www.philgeps.gov.ph/GEPSNONPILOT/Tender/SplashBidNoticeAbstractUI.aspx?menuIndex=3&amp;refID=7055720&amp;Result=3","7055720")</f>
        <v>0</v>
      </c>
      <c r="B12443" t="s">
        <v>556</v>
      </c>
      <c r="C12443" t="s">
        <v>15410</v>
      </c>
      <c r="D12443" t="s">
        <v>18122</v>
      </c>
      <c r="E12443" t="s">
        <v>28981</v>
      </c>
      <c r="F12443" t="s">
        <v>31362</v>
      </c>
      <c r="G12443" t="s">
        <v>31369</v>
      </c>
      <c r="H12443" t="s">
        <v>31378</v>
      </c>
      <c r="I12443" t="s">
        <v>31386</v>
      </c>
      <c r="J12443" t="s">
        <v>39095</v>
      </c>
      <c r="K12443" t="s">
        <v>40686</v>
      </c>
      <c r="M12443" t="s">
        <v>41512</v>
      </c>
      <c r="N12443" t="s">
        <v>44905</v>
      </c>
      <c r="O12443" t="s">
        <v>44906</v>
      </c>
      <c r="P12443">
        <v>0</v>
      </c>
      <c r="Q12443">
        <v>38</v>
      </c>
      <c r="R12443" t="s">
        <v>44920</v>
      </c>
      <c r="S12443" t="s">
        <v>45492</v>
      </c>
      <c r="T12443" t="s">
        <v>46649</v>
      </c>
      <c r="U12443" t="s">
        <v>56888</v>
      </c>
      <c r="W12443" t="s">
        <v>41512</v>
      </c>
      <c r="X12443" t="s">
        <v>44921</v>
      </c>
    </row>
    <row r="12444" spans="1:24">
      <c r="A12444">
        <f>HYPERLINK("https://www.philgeps.gov.ph/GEPSNONPILOT/Tender/SplashBidNoticeAbstractUI.aspx?menuIndex=3&amp;refID=7055717&amp;Result=3","7055717")</f>
        <v>0</v>
      </c>
      <c r="B12444" t="s">
        <v>3238</v>
      </c>
      <c r="C12444" t="s">
        <v>15411</v>
      </c>
      <c r="D12444" t="s">
        <v>18131</v>
      </c>
      <c r="E12444" t="s">
        <v>28982</v>
      </c>
      <c r="F12444" t="s">
        <v>31362</v>
      </c>
      <c r="G12444" t="s">
        <v>31369</v>
      </c>
      <c r="H12444" t="s">
        <v>15799</v>
      </c>
      <c r="I12444" t="s">
        <v>31382</v>
      </c>
      <c r="J12444" t="s">
        <v>33046</v>
      </c>
      <c r="K12444" t="s">
        <v>40662</v>
      </c>
      <c r="M12444" t="s">
        <v>44515</v>
      </c>
      <c r="N12444" t="s">
        <v>44905</v>
      </c>
      <c r="O12444" t="s">
        <v>44906</v>
      </c>
      <c r="Q12444">
        <v>29</v>
      </c>
      <c r="R12444" t="s">
        <v>44920</v>
      </c>
      <c r="S12444" t="s">
        <v>45499</v>
      </c>
      <c r="T12444" t="s">
        <v>46856</v>
      </c>
      <c r="U12444" t="s">
        <v>56889</v>
      </c>
      <c r="V12444" t="s">
        <v>60383</v>
      </c>
      <c r="W12444" t="s">
        <v>44515</v>
      </c>
      <c r="X12444" t="s">
        <v>44921</v>
      </c>
    </row>
    <row r="12445" spans="1:24">
      <c r="A12445">
        <f>HYPERLINK("https://www.philgeps.gov.ph/GEPSNONPILOT/Tender/SplashBidNoticeAbstractUI.aspx?menuIndex=3&amp;refID=7055712&amp;Result=3","7055712")</f>
        <v>0</v>
      </c>
      <c r="B12445" t="s">
        <v>556</v>
      </c>
      <c r="C12445" t="s">
        <v>15412</v>
      </c>
      <c r="D12445" t="s">
        <v>18122</v>
      </c>
      <c r="E12445" t="s">
        <v>28983</v>
      </c>
      <c r="F12445" t="s">
        <v>31362</v>
      </c>
      <c r="G12445" t="s">
        <v>31369</v>
      </c>
      <c r="H12445" t="s">
        <v>31378</v>
      </c>
      <c r="I12445" t="s">
        <v>31386</v>
      </c>
      <c r="J12445" t="s">
        <v>39096</v>
      </c>
      <c r="K12445" t="s">
        <v>40679</v>
      </c>
      <c r="M12445" t="s">
        <v>41512</v>
      </c>
      <c r="N12445" t="s">
        <v>44905</v>
      </c>
      <c r="O12445" t="s">
        <v>44906</v>
      </c>
      <c r="P12445">
        <v>0</v>
      </c>
      <c r="Q12445">
        <v>33</v>
      </c>
      <c r="R12445" t="s">
        <v>44920</v>
      </c>
      <c r="S12445" t="s">
        <v>45492</v>
      </c>
      <c r="T12445" t="s">
        <v>46649</v>
      </c>
      <c r="U12445" t="s">
        <v>56890</v>
      </c>
      <c r="W12445" t="s">
        <v>41512</v>
      </c>
      <c r="X12445" t="s">
        <v>44921</v>
      </c>
    </row>
    <row r="12446" spans="1:24">
      <c r="A12446">
        <f>HYPERLINK("https://www.philgeps.gov.ph/GEPSNONPILOT/Tender/SplashBidNoticeAbstractUI.aspx?menuIndex=3&amp;refID=7055854&amp;Result=3","7055854")</f>
        <v>0</v>
      </c>
      <c r="B12446" t="s">
        <v>1046</v>
      </c>
      <c r="C12446" t="s">
        <v>15413</v>
      </c>
      <c r="D12446" t="s">
        <v>18108</v>
      </c>
      <c r="E12446" t="s">
        <v>28984</v>
      </c>
      <c r="F12446" t="s">
        <v>31362</v>
      </c>
      <c r="G12446" t="s">
        <v>31369</v>
      </c>
      <c r="H12446" t="s">
        <v>15799</v>
      </c>
      <c r="I12446" t="s">
        <v>31386</v>
      </c>
      <c r="J12446" t="s">
        <v>39097</v>
      </c>
      <c r="K12446" t="s">
        <v>40686</v>
      </c>
      <c r="M12446" t="s">
        <v>42045</v>
      </c>
      <c r="N12446" t="s">
        <v>44905</v>
      </c>
      <c r="O12446" t="s">
        <v>44906</v>
      </c>
      <c r="P12446">
        <v>0</v>
      </c>
      <c r="Q12446">
        <v>3</v>
      </c>
      <c r="R12446" t="s">
        <v>44920</v>
      </c>
      <c r="S12446" t="s">
        <v>45492</v>
      </c>
      <c r="T12446" t="s">
        <v>46408</v>
      </c>
      <c r="U12446" t="s">
        <v>56891</v>
      </c>
      <c r="V12446" t="s">
        <v>60384</v>
      </c>
      <c r="W12446" t="s">
        <v>42045</v>
      </c>
      <c r="X12446" t="s">
        <v>44921</v>
      </c>
    </row>
    <row r="12447" spans="1:24">
      <c r="A12447">
        <f>HYPERLINK("https://www.philgeps.gov.ph/GEPSNONPILOT/Tender/SplashBidNoticeAbstractUI.aspx?menuIndex=3&amp;refID=7055837&amp;Result=3","7055837")</f>
        <v>0</v>
      </c>
      <c r="B12447" t="s">
        <v>3238</v>
      </c>
      <c r="C12447" t="s">
        <v>15414</v>
      </c>
      <c r="D12447" t="s">
        <v>18131</v>
      </c>
      <c r="E12447" t="s">
        <v>28985</v>
      </c>
      <c r="F12447" t="s">
        <v>31362</v>
      </c>
      <c r="G12447" t="s">
        <v>31369</v>
      </c>
      <c r="H12447" t="s">
        <v>15799</v>
      </c>
      <c r="I12447" t="s">
        <v>31396</v>
      </c>
      <c r="J12447" t="s">
        <v>31957</v>
      </c>
      <c r="K12447" t="s">
        <v>40662</v>
      </c>
      <c r="M12447" t="s">
        <v>44515</v>
      </c>
      <c r="N12447" t="s">
        <v>44905</v>
      </c>
      <c r="O12447" t="s">
        <v>44906</v>
      </c>
      <c r="Q12447">
        <v>42</v>
      </c>
      <c r="R12447" t="s">
        <v>44920</v>
      </c>
      <c r="S12447" t="s">
        <v>45500</v>
      </c>
      <c r="T12447" t="s">
        <v>46398</v>
      </c>
      <c r="U12447" t="s">
        <v>56892</v>
      </c>
      <c r="V12447" t="s">
        <v>60385</v>
      </c>
      <c r="W12447" t="s">
        <v>44515</v>
      </c>
      <c r="X12447" t="s">
        <v>44921</v>
      </c>
    </row>
    <row r="12448" spans="1:24">
      <c r="A12448">
        <f>HYPERLINK("https://www.philgeps.gov.ph/GEPSNONPILOT/Tender/SplashBidNoticeAbstractUI.aspx?menuIndex=3&amp;refID=7055792&amp;Result=3","7055792")</f>
        <v>0</v>
      </c>
      <c r="B12448" t="s">
        <v>3238</v>
      </c>
      <c r="C12448" t="s">
        <v>15415</v>
      </c>
      <c r="D12448" t="s">
        <v>18131</v>
      </c>
      <c r="E12448" t="s">
        <v>28986</v>
      </c>
      <c r="F12448" t="s">
        <v>31362</v>
      </c>
      <c r="G12448" t="s">
        <v>31369</v>
      </c>
      <c r="H12448" t="s">
        <v>15799</v>
      </c>
      <c r="I12448" t="s">
        <v>31396</v>
      </c>
      <c r="J12448" t="s">
        <v>39098</v>
      </c>
      <c r="K12448" t="s">
        <v>40662</v>
      </c>
      <c r="M12448" t="s">
        <v>44515</v>
      </c>
      <c r="N12448" t="s">
        <v>44905</v>
      </c>
      <c r="O12448" t="s">
        <v>44906</v>
      </c>
      <c r="Q12448">
        <v>28</v>
      </c>
      <c r="R12448" t="s">
        <v>44920</v>
      </c>
      <c r="S12448" t="s">
        <v>45501</v>
      </c>
      <c r="T12448" t="s">
        <v>46856</v>
      </c>
      <c r="U12448" t="s">
        <v>56893</v>
      </c>
      <c r="V12448" t="s">
        <v>60386</v>
      </c>
      <c r="W12448" t="s">
        <v>44515</v>
      </c>
      <c r="X12448" t="s">
        <v>44921</v>
      </c>
    </row>
    <row r="12449" spans="1:24">
      <c r="A12449">
        <f>HYPERLINK("https://www.philgeps.gov.ph/GEPSNONPILOT/Tender/SplashBidNoticeAbstractUI.aspx?menuIndex=3&amp;refID=7054743&amp;Result=3","7054743")</f>
        <v>0</v>
      </c>
      <c r="B12449" t="s">
        <v>729</v>
      </c>
      <c r="C12449" t="s">
        <v>15416</v>
      </c>
      <c r="D12449" t="s">
        <v>18160</v>
      </c>
      <c r="E12449" t="s">
        <v>28987</v>
      </c>
      <c r="F12449" t="s">
        <v>31362</v>
      </c>
      <c r="G12449" t="s">
        <v>31369</v>
      </c>
      <c r="H12449" t="s">
        <v>31378</v>
      </c>
      <c r="I12449" t="s">
        <v>31386</v>
      </c>
      <c r="J12449" t="s">
        <v>39099</v>
      </c>
      <c r="K12449" t="s">
        <v>40774</v>
      </c>
      <c r="M12449" t="s">
        <v>41696</v>
      </c>
      <c r="N12449" t="s">
        <v>44905</v>
      </c>
      <c r="O12449" t="s">
        <v>44906</v>
      </c>
      <c r="P12449">
        <v>0</v>
      </c>
      <c r="Q12449">
        <v>0</v>
      </c>
      <c r="R12449" t="s">
        <v>44920</v>
      </c>
      <c r="S12449" t="s">
        <v>45492</v>
      </c>
      <c r="T12449" t="s">
        <v>46470</v>
      </c>
      <c r="U12449" t="s">
        <v>56894</v>
      </c>
      <c r="V12449" t="s">
        <v>60387</v>
      </c>
      <c r="W12449" t="s">
        <v>41696</v>
      </c>
      <c r="X12449" t="s">
        <v>44922</v>
      </c>
    </row>
    <row r="12450" spans="1:24">
      <c r="A12450">
        <f>HYPERLINK("https://www.philgeps.gov.ph/GEPSNONPILOT/Tender/SplashBidNoticeAbstractUI.aspx?menuIndex=3&amp;refID=7054947&amp;Result=3","7054947")</f>
        <v>0</v>
      </c>
      <c r="B12450" t="s">
        <v>2167</v>
      </c>
      <c r="C12450" t="s">
        <v>15417</v>
      </c>
      <c r="D12450" t="s">
        <v>18134</v>
      </c>
      <c r="E12450" t="s">
        <v>28988</v>
      </c>
      <c r="F12450" t="s">
        <v>31362</v>
      </c>
      <c r="G12450" t="s">
        <v>31369</v>
      </c>
      <c r="H12450" t="s">
        <v>15799</v>
      </c>
      <c r="I12450" t="s">
        <v>31457</v>
      </c>
      <c r="J12450" t="s">
        <v>39100</v>
      </c>
      <c r="K12450" t="s">
        <v>40666</v>
      </c>
      <c r="M12450" t="s">
        <v>43962</v>
      </c>
      <c r="N12450" t="s">
        <v>44905</v>
      </c>
      <c r="O12450" t="s">
        <v>44906</v>
      </c>
      <c r="P12450">
        <v>0</v>
      </c>
      <c r="Q12450">
        <v>5</v>
      </c>
      <c r="R12450" t="s">
        <v>44920</v>
      </c>
      <c r="S12450" t="s">
        <v>45492</v>
      </c>
      <c r="T12450" t="s">
        <v>46505</v>
      </c>
      <c r="U12450" t="s">
        <v>54623</v>
      </c>
      <c r="W12450" t="s">
        <v>43962</v>
      </c>
      <c r="X12450" t="s">
        <v>44922</v>
      </c>
    </row>
    <row r="12451" spans="1:24">
      <c r="A12451">
        <f>HYPERLINK("https://www.philgeps.gov.ph/GEPSNONPILOT/Tender/SplashBidNoticeAbstractUI.aspx?menuIndex=3&amp;refID=7055732&amp;Result=3","7055732")</f>
        <v>0</v>
      </c>
      <c r="B12451" t="s">
        <v>2957</v>
      </c>
      <c r="C12451" t="s">
        <v>15418</v>
      </c>
      <c r="D12451" t="s">
        <v>18106</v>
      </c>
      <c r="E12451" t="s">
        <v>28989</v>
      </c>
      <c r="F12451" t="s">
        <v>31362</v>
      </c>
      <c r="G12451" t="s">
        <v>31369</v>
      </c>
      <c r="H12451" t="s">
        <v>31378</v>
      </c>
      <c r="I12451" t="s">
        <v>31386</v>
      </c>
      <c r="J12451" t="s">
        <v>39101</v>
      </c>
      <c r="K12451" t="s">
        <v>40683</v>
      </c>
      <c r="M12451" t="s">
        <v>44180</v>
      </c>
      <c r="N12451" t="s">
        <v>44905</v>
      </c>
      <c r="O12451" t="s">
        <v>44906</v>
      </c>
      <c r="P12451">
        <v>0</v>
      </c>
      <c r="Q12451">
        <v>16</v>
      </c>
      <c r="R12451" t="s">
        <v>44920</v>
      </c>
      <c r="S12451" t="s">
        <v>45492</v>
      </c>
      <c r="T12451" t="s">
        <v>46470</v>
      </c>
      <c r="U12451" t="s">
        <v>55515</v>
      </c>
      <c r="W12451" t="s">
        <v>44180</v>
      </c>
      <c r="X12451" t="s">
        <v>44921</v>
      </c>
    </row>
    <row r="12452" spans="1:24">
      <c r="A12452">
        <f>HYPERLINK("https://www.philgeps.gov.ph/GEPSNONPILOT/Tender/SplashBidNoticeAbstractUI.aspx?menuIndex=3&amp;refID=7055694&amp;Result=3","7055694")</f>
        <v>0</v>
      </c>
      <c r="B12452" t="s">
        <v>3240</v>
      </c>
      <c r="C12452" t="s">
        <v>15419</v>
      </c>
      <c r="D12452" t="s">
        <v>18141</v>
      </c>
      <c r="E12452" t="s">
        <v>19253</v>
      </c>
      <c r="F12452" t="s">
        <v>31362</v>
      </c>
      <c r="G12452" t="s">
        <v>31369</v>
      </c>
      <c r="H12452" t="s">
        <v>31378</v>
      </c>
      <c r="I12452" t="s">
        <v>31386</v>
      </c>
      <c r="J12452" t="s">
        <v>34896</v>
      </c>
      <c r="K12452" t="s">
        <v>40692</v>
      </c>
      <c r="M12452" t="s">
        <v>44518</v>
      </c>
      <c r="N12452" t="s">
        <v>44905</v>
      </c>
      <c r="O12452" t="s">
        <v>44906</v>
      </c>
      <c r="P12452">
        <v>0</v>
      </c>
      <c r="Q12452">
        <v>0</v>
      </c>
      <c r="R12452" t="s">
        <v>44920</v>
      </c>
      <c r="S12452" t="s">
        <v>45492</v>
      </c>
      <c r="T12452" t="s">
        <v>46449</v>
      </c>
      <c r="U12452" t="s">
        <v>56895</v>
      </c>
      <c r="W12452" t="s">
        <v>44518</v>
      </c>
      <c r="X12452" t="s">
        <v>44921</v>
      </c>
    </row>
    <row r="12453" spans="1:24">
      <c r="A12453">
        <f>HYPERLINK("https://www.philgeps.gov.ph/GEPSNONPILOT/Tender/SplashBidNoticeAbstractUI.aspx?menuIndex=3&amp;refID=7055684&amp;Result=3","7055684")</f>
        <v>0</v>
      </c>
      <c r="B12453" t="s">
        <v>556</v>
      </c>
      <c r="C12453" t="s">
        <v>15420</v>
      </c>
      <c r="D12453" t="s">
        <v>18122</v>
      </c>
      <c r="E12453" t="s">
        <v>28990</v>
      </c>
      <c r="F12453" t="s">
        <v>31362</v>
      </c>
      <c r="G12453" t="s">
        <v>31369</v>
      </c>
      <c r="H12453" t="s">
        <v>31378</v>
      </c>
      <c r="I12453" t="s">
        <v>31386</v>
      </c>
      <c r="J12453" t="s">
        <v>39102</v>
      </c>
      <c r="K12453" t="s">
        <v>40679</v>
      </c>
      <c r="M12453" t="s">
        <v>41512</v>
      </c>
      <c r="N12453" t="s">
        <v>44905</v>
      </c>
      <c r="O12453" t="s">
        <v>44906</v>
      </c>
      <c r="P12453">
        <v>0</v>
      </c>
      <c r="Q12453">
        <v>39</v>
      </c>
      <c r="R12453" t="s">
        <v>44920</v>
      </c>
      <c r="S12453" t="s">
        <v>45492</v>
      </c>
      <c r="T12453" t="s">
        <v>46649</v>
      </c>
      <c r="U12453" t="s">
        <v>56896</v>
      </c>
      <c r="W12453" t="s">
        <v>41512</v>
      </c>
      <c r="X12453" t="s">
        <v>44921</v>
      </c>
    </row>
    <row r="12454" spans="1:24">
      <c r="A12454">
        <f>HYPERLINK("https://www.philgeps.gov.ph/GEPSNONPILOT/Tender/SplashBidNoticeAbstractUI.aspx?menuIndex=3&amp;refID=7055661&amp;Result=3","7055661")</f>
        <v>0</v>
      </c>
      <c r="B12454" t="s">
        <v>269</v>
      </c>
      <c r="C12454" t="s">
        <v>15421</v>
      </c>
      <c r="D12454" t="s">
        <v>18117</v>
      </c>
      <c r="E12454" t="s">
        <v>19877</v>
      </c>
      <c r="F12454" t="s">
        <v>31362</v>
      </c>
      <c r="G12454" t="s">
        <v>31369</v>
      </c>
      <c r="H12454" t="s">
        <v>15799</v>
      </c>
      <c r="I12454" t="s">
        <v>3815</v>
      </c>
      <c r="J12454" t="s">
        <v>39103</v>
      </c>
      <c r="K12454" t="s">
        <v>40666</v>
      </c>
      <c r="M12454" t="s">
        <v>41211</v>
      </c>
      <c r="N12454" t="s">
        <v>44905</v>
      </c>
      <c r="O12454" t="s">
        <v>44906</v>
      </c>
      <c r="P12454">
        <v>0</v>
      </c>
      <c r="Q12454">
        <v>3</v>
      </c>
      <c r="R12454" t="s">
        <v>44920</v>
      </c>
      <c r="S12454" t="s">
        <v>45492</v>
      </c>
      <c r="T12454" t="s">
        <v>46523</v>
      </c>
      <c r="U12454" t="s">
        <v>47376</v>
      </c>
      <c r="W12454" t="s">
        <v>41211</v>
      </c>
      <c r="X12454" t="s">
        <v>44921</v>
      </c>
    </row>
    <row r="12455" spans="1:24">
      <c r="A12455">
        <f>HYPERLINK("https://www.philgeps.gov.ph/GEPSNONPILOT/Tender/SplashBidNoticeAbstractUI.aspx?menuIndex=3&amp;refID=7055770&amp;Result=3","7055770")</f>
        <v>0</v>
      </c>
      <c r="B12455" t="s">
        <v>3238</v>
      </c>
      <c r="C12455" t="s">
        <v>15422</v>
      </c>
      <c r="D12455" t="s">
        <v>18131</v>
      </c>
      <c r="E12455" t="s">
        <v>28991</v>
      </c>
      <c r="F12455" t="s">
        <v>31362</v>
      </c>
      <c r="G12455" t="s">
        <v>31369</v>
      </c>
      <c r="H12455" t="s">
        <v>15799</v>
      </c>
      <c r="I12455" t="s">
        <v>7719</v>
      </c>
      <c r="J12455" t="s">
        <v>39104</v>
      </c>
      <c r="K12455" t="s">
        <v>40662</v>
      </c>
      <c r="M12455" t="s">
        <v>44515</v>
      </c>
      <c r="N12455" t="s">
        <v>44905</v>
      </c>
      <c r="O12455" t="s">
        <v>44906</v>
      </c>
      <c r="Q12455">
        <v>44</v>
      </c>
      <c r="R12455" t="s">
        <v>44920</v>
      </c>
      <c r="S12455" t="s">
        <v>45502</v>
      </c>
      <c r="T12455" t="s">
        <v>46398</v>
      </c>
      <c r="U12455" t="s">
        <v>56897</v>
      </c>
      <c r="V12455" t="s">
        <v>60388</v>
      </c>
      <c r="W12455" t="s">
        <v>44515</v>
      </c>
      <c r="X12455" t="s">
        <v>44921</v>
      </c>
    </row>
    <row r="12456" spans="1:24">
      <c r="A12456">
        <f>HYPERLINK("https://www.philgeps.gov.ph/GEPSNONPILOT/Tender/SplashBidNoticeAbstractUI.aspx?menuIndex=3&amp;refID=7055865&amp;Result=3","7055865")</f>
        <v>0</v>
      </c>
      <c r="B12456" t="s">
        <v>3238</v>
      </c>
      <c r="C12456" t="s">
        <v>15423</v>
      </c>
      <c r="D12456" t="s">
        <v>18131</v>
      </c>
      <c r="E12456" t="s">
        <v>28992</v>
      </c>
      <c r="F12456" t="s">
        <v>31362</v>
      </c>
      <c r="G12456" t="s">
        <v>31369</v>
      </c>
      <c r="H12456" t="s">
        <v>15799</v>
      </c>
      <c r="I12456" t="s">
        <v>31396</v>
      </c>
      <c r="J12456" t="s">
        <v>39105</v>
      </c>
      <c r="K12456" t="s">
        <v>40662</v>
      </c>
      <c r="M12456" t="s">
        <v>44515</v>
      </c>
      <c r="N12456" t="s">
        <v>44905</v>
      </c>
      <c r="O12456" t="s">
        <v>44906</v>
      </c>
      <c r="Q12456">
        <v>10</v>
      </c>
      <c r="R12456" t="s">
        <v>44920</v>
      </c>
      <c r="S12456" t="s">
        <v>45503</v>
      </c>
      <c r="T12456" t="s">
        <v>46398</v>
      </c>
      <c r="U12456" t="s">
        <v>56898</v>
      </c>
      <c r="V12456" t="s">
        <v>60385</v>
      </c>
      <c r="W12456" t="s">
        <v>44515</v>
      </c>
      <c r="X12456" t="s">
        <v>44921</v>
      </c>
    </row>
    <row r="12457" spans="1:24">
      <c r="A12457">
        <f>HYPERLINK("https://www.philgeps.gov.ph/GEPSNONPILOT/Tender/SplashBidNoticeAbstractUI.aspx?menuIndex=3&amp;refID=7055999&amp;Result=3","7055999")</f>
        <v>0</v>
      </c>
      <c r="B12457" t="s">
        <v>2013</v>
      </c>
      <c r="C12457" t="s">
        <v>15424</v>
      </c>
      <c r="D12457" t="s">
        <v>18119</v>
      </c>
      <c r="E12457" t="s">
        <v>28993</v>
      </c>
      <c r="F12457" t="s">
        <v>31362</v>
      </c>
      <c r="G12457" t="s">
        <v>31369</v>
      </c>
      <c r="H12457" t="s">
        <v>15799</v>
      </c>
      <c r="I12457" t="s">
        <v>31427</v>
      </c>
      <c r="J12457" t="s">
        <v>31530</v>
      </c>
      <c r="K12457" t="s">
        <v>40661</v>
      </c>
      <c r="M12457" t="s">
        <v>43128</v>
      </c>
      <c r="N12457" t="s">
        <v>44905</v>
      </c>
      <c r="O12457" t="s">
        <v>44906</v>
      </c>
      <c r="P12457">
        <v>0</v>
      </c>
      <c r="Q12457">
        <v>2</v>
      </c>
      <c r="R12457" t="s">
        <v>44920</v>
      </c>
      <c r="S12457" t="s">
        <v>45492</v>
      </c>
      <c r="T12457" t="s">
        <v>46560</v>
      </c>
      <c r="U12457" t="s">
        <v>56899</v>
      </c>
      <c r="V12457" t="s">
        <v>60389</v>
      </c>
      <c r="W12457" t="s">
        <v>60917</v>
      </c>
      <c r="X12457" t="s">
        <v>44921</v>
      </c>
    </row>
    <row r="12458" spans="1:24">
      <c r="A12458">
        <f>HYPERLINK("https://www.philgeps.gov.ph/GEPSNONPILOT/Tender/SplashBidNoticeAbstractUI.aspx?menuIndex=3&amp;refID=7055993&amp;Result=3","7055993")</f>
        <v>0</v>
      </c>
      <c r="B12458" t="s">
        <v>2788</v>
      </c>
      <c r="C12458" t="s">
        <v>15425</v>
      </c>
      <c r="D12458" t="s">
        <v>18108</v>
      </c>
      <c r="E12458" t="s">
        <v>24154</v>
      </c>
      <c r="F12458" t="s">
        <v>31362</v>
      </c>
      <c r="G12458" t="s">
        <v>31370</v>
      </c>
      <c r="H12458" t="s">
        <v>15799</v>
      </c>
      <c r="I12458" t="s">
        <v>31393</v>
      </c>
      <c r="J12458" t="s">
        <v>31724</v>
      </c>
      <c r="K12458" t="s">
        <v>40661</v>
      </c>
      <c r="M12458" t="s">
        <v>43985</v>
      </c>
      <c r="N12458" t="s">
        <v>44905</v>
      </c>
      <c r="O12458" t="s">
        <v>44906</v>
      </c>
      <c r="Q12458">
        <v>4</v>
      </c>
      <c r="R12458" t="s">
        <v>44920</v>
      </c>
      <c r="S12458" t="s">
        <v>45504</v>
      </c>
      <c r="T12458" t="s">
        <v>46593</v>
      </c>
      <c r="U12458" t="s">
        <v>56900</v>
      </c>
      <c r="V12458" t="s">
        <v>60390</v>
      </c>
      <c r="W12458" t="s">
        <v>43985</v>
      </c>
      <c r="X12458" t="s">
        <v>44921</v>
      </c>
    </row>
    <row r="12459" spans="1:24">
      <c r="A12459">
        <f>HYPERLINK("https://www.philgeps.gov.ph/GEPSNONPILOT/Tender/SplashBidNoticeAbstractUI.aspx?menuIndex=3&amp;refID=7055988&amp;Result=3","7055988")</f>
        <v>0</v>
      </c>
      <c r="B12459" t="s">
        <v>3241</v>
      </c>
      <c r="C12459" t="s">
        <v>15426</v>
      </c>
      <c r="D12459" t="s">
        <v>18148</v>
      </c>
      <c r="E12459" t="s">
        <v>20203</v>
      </c>
      <c r="F12459" t="s">
        <v>31362</v>
      </c>
      <c r="G12459" t="s">
        <v>31369</v>
      </c>
      <c r="H12459" t="s">
        <v>31378</v>
      </c>
      <c r="I12459" t="s">
        <v>31386</v>
      </c>
      <c r="J12459" t="s">
        <v>39106</v>
      </c>
      <c r="K12459" t="s">
        <v>40677</v>
      </c>
      <c r="M12459" t="s">
        <v>44519</v>
      </c>
      <c r="N12459" t="s">
        <v>44905</v>
      </c>
      <c r="O12459" t="s">
        <v>44906</v>
      </c>
      <c r="P12459">
        <v>0</v>
      </c>
      <c r="Q12459">
        <v>1</v>
      </c>
      <c r="R12459" t="s">
        <v>44920</v>
      </c>
      <c r="S12459" t="s">
        <v>45492</v>
      </c>
      <c r="T12459" t="s">
        <v>46397</v>
      </c>
      <c r="U12459" t="s">
        <v>56901</v>
      </c>
      <c r="W12459" t="s">
        <v>44519</v>
      </c>
      <c r="X12459" t="s">
        <v>44921</v>
      </c>
    </row>
    <row r="12460" spans="1:24">
      <c r="A12460">
        <f>HYPERLINK("https://www.philgeps.gov.ph/GEPSNONPILOT/Tender/SplashBidNoticeAbstractUI.aspx?menuIndex=3&amp;refID=7056072&amp;Result=3","7056072")</f>
        <v>0</v>
      </c>
      <c r="B12460" t="s">
        <v>362</v>
      </c>
      <c r="C12460" t="s">
        <v>15427</v>
      </c>
      <c r="D12460" t="s">
        <v>18103</v>
      </c>
      <c r="E12460" t="s">
        <v>28994</v>
      </c>
      <c r="F12460" t="s">
        <v>31362</v>
      </c>
      <c r="G12460" t="s">
        <v>31369</v>
      </c>
      <c r="H12460" t="s">
        <v>15799</v>
      </c>
      <c r="I12460" t="s">
        <v>31431</v>
      </c>
      <c r="J12460" t="s">
        <v>39107</v>
      </c>
      <c r="K12460" t="s">
        <v>40665</v>
      </c>
      <c r="M12460" t="s">
        <v>43062</v>
      </c>
      <c r="N12460" t="s">
        <v>44905</v>
      </c>
      <c r="O12460" t="s">
        <v>44906</v>
      </c>
      <c r="P12460">
        <v>0</v>
      </c>
      <c r="Q12460">
        <v>5</v>
      </c>
      <c r="R12460" t="s">
        <v>44920</v>
      </c>
      <c r="S12460" t="s">
        <v>45492</v>
      </c>
      <c r="T12460" t="s">
        <v>46533</v>
      </c>
      <c r="U12460" t="s">
        <v>47543</v>
      </c>
      <c r="V12460" t="s">
        <v>60391</v>
      </c>
      <c r="W12460" t="s">
        <v>60886</v>
      </c>
      <c r="X12460" t="s">
        <v>44921</v>
      </c>
    </row>
    <row r="12461" spans="1:24">
      <c r="A12461">
        <f>HYPERLINK("https://www.philgeps.gov.ph/GEPSNONPILOT/Tender/SplashBidNoticeAbstractUI.aspx?menuIndex=3&amp;refID=7055702&amp;Result=3","7055702")</f>
        <v>0</v>
      </c>
      <c r="B12461" t="s">
        <v>3238</v>
      </c>
      <c r="C12461" t="s">
        <v>15428</v>
      </c>
      <c r="D12461" t="s">
        <v>18131</v>
      </c>
      <c r="E12461" t="s">
        <v>28995</v>
      </c>
      <c r="F12461" t="s">
        <v>31362</v>
      </c>
      <c r="G12461" t="s">
        <v>31369</v>
      </c>
      <c r="H12461" t="s">
        <v>15799</v>
      </c>
      <c r="I12461" t="s">
        <v>31382</v>
      </c>
      <c r="J12461" t="s">
        <v>31611</v>
      </c>
      <c r="K12461" t="s">
        <v>40662</v>
      </c>
      <c r="M12461" t="s">
        <v>44515</v>
      </c>
      <c r="N12461" t="s">
        <v>44905</v>
      </c>
      <c r="O12461" t="s">
        <v>44906</v>
      </c>
      <c r="Q12461">
        <v>17</v>
      </c>
      <c r="R12461" t="s">
        <v>44920</v>
      </c>
      <c r="S12461" t="s">
        <v>45431</v>
      </c>
      <c r="T12461" t="s">
        <v>46398</v>
      </c>
      <c r="U12461" t="s">
        <v>56902</v>
      </c>
      <c r="V12461" t="s">
        <v>60392</v>
      </c>
      <c r="W12461" t="s">
        <v>44515</v>
      </c>
      <c r="X12461" t="s">
        <v>44921</v>
      </c>
    </row>
    <row r="12462" spans="1:24">
      <c r="A12462">
        <f>HYPERLINK("https://www.philgeps.gov.ph/GEPSNONPILOT/Tender/SplashBidNoticeAbstractUI.aspx?menuIndex=3&amp;refID=7055701&amp;Result=3","7055701")</f>
        <v>0</v>
      </c>
      <c r="B12462" t="s">
        <v>556</v>
      </c>
      <c r="C12462" t="s">
        <v>15429</v>
      </c>
      <c r="D12462" t="s">
        <v>18122</v>
      </c>
      <c r="E12462" t="s">
        <v>28996</v>
      </c>
      <c r="F12462" t="s">
        <v>31362</v>
      </c>
      <c r="G12462" t="s">
        <v>31369</v>
      </c>
      <c r="H12462" t="s">
        <v>31378</v>
      </c>
      <c r="I12462" t="s">
        <v>31386</v>
      </c>
      <c r="J12462" t="s">
        <v>39108</v>
      </c>
      <c r="K12462" t="s">
        <v>40686</v>
      </c>
      <c r="M12462" t="s">
        <v>41512</v>
      </c>
      <c r="N12462" t="s">
        <v>44905</v>
      </c>
      <c r="O12462" t="s">
        <v>44906</v>
      </c>
      <c r="P12462">
        <v>0</v>
      </c>
      <c r="Q12462">
        <v>35</v>
      </c>
      <c r="R12462" t="s">
        <v>44920</v>
      </c>
      <c r="S12462" t="s">
        <v>45492</v>
      </c>
      <c r="T12462" t="s">
        <v>46649</v>
      </c>
      <c r="U12462" t="s">
        <v>56903</v>
      </c>
      <c r="W12462" t="s">
        <v>41512</v>
      </c>
      <c r="X12462" t="s">
        <v>44921</v>
      </c>
    </row>
    <row r="12463" spans="1:24">
      <c r="A12463">
        <f>HYPERLINK("https://www.philgeps.gov.ph/GEPSNONPILOT/Tender/SplashBidNoticeAbstractUI.aspx?menuIndex=3&amp;refID=7056039&amp;Result=3","7056039")</f>
        <v>0</v>
      </c>
      <c r="B12463" t="s">
        <v>3242</v>
      </c>
      <c r="C12463" t="s">
        <v>15430</v>
      </c>
      <c r="D12463" t="s">
        <v>18133</v>
      </c>
      <c r="E12463" t="s">
        <v>28997</v>
      </c>
      <c r="F12463" t="s">
        <v>31362</v>
      </c>
      <c r="G12463" t="s">
        <v>31369</v>
      </c>
      <c r="H12463" t="s">
        <v>31378</v>
      </c>
      <c r="I12463" t="s">
        <v>31386</v>
      </c>
      <c r="J12463" t="s">
        <v>39109</v>
      </c>
      <c r="K12463" t="s">
        <v>40679</v>
      </c>
      <c r="M12463" t="s">
        <v>44520</v>
      </c>
      <c r="N12463" t="s">
        <v>44905</v>
      </c>
      <c r="O12463" t="s">
        <v>44906</v>
      </c>
      <c r="P12463">
        <v>0</v>
      </c>
      <c r="Q12463">
        <v>2</v>
      </c>
      <c r="R12463" t="s">
        <v>44920</v>
      </c>
      <c r="S12463" t="s">
        <v>45492</v>
      </c>
      <c r="T12463" t="s">
        <v>46560</v>
      </c>
      <c r="U12463" t="s">
        <v>56904</v>
      </c>
      <c r="W12463" t="s">
        <v>44520</v>
      </c>
      <c r="X12463" t="s">
        <v>44921</v>
      </c>
    </row>
    <row r="12464" spans="1:24">
      <c r="A12464">
        <f>HYPERLINK("https://www.philgeps.gov.ph/GEPSNONPILOT/Tender/SplashBidNoticeAbstractUI.aspx?menuIndex=3&amp;refID=7056024&amp;Result=3","7056024")</f>
        <v>0</v>
      </c>
      <c r="B12464" t="s">
        <v>562</v>
      </c>
      <c r="C12464" t="s">
        <v>15431</v>
      </c>
      <c r="D12464" t="s">
        <v>18177</v>
      </c>
      <c r="E12464" t="s">
        <v>28998</v>
      </c>
      <c r="F12464" t="s">
        <v>31362</v>
      </c>
      <c r="G12464" t="s">
        <v>31369</v>
      </c>
      <c r="H12464" t="s">
        <v>31378</v>
      </c>
      <c r="I12464" t="s">
        <v>31386</v>
      </c>
      <c r="J12464" t="s">
        <v>39110</v>
      </c>
      <c r="K12464" t="s">
        <v>40679</v>
      </c>
      <c r="M12464" t="s">
        <v>41518</v>
      </c>
      <c r="N12464" t="s">
        <v>44905</v>
      </c>
      <c r="O12464" t="s">
        <v>44906</v>
      </c>
      <c r="P12464">
        <v>0</v>
      </c>
      <c r="Q12464">
        <v>0</v>
      </c>
      <c r="R12464" t="s">
        <v>44920</v>
      </c>
      <c r="S12464" t="s">
        <v>45492</v>
      </c>
      <c r="T12464" t="s">
        <v>46585</v>
      </c>
      <c r="U12464" t="s">
        <v>56905</v>
      </c>
      <c r="W12464" t="s">
        <v>41518</v>
      </c>
      <c r="X12464" t="s">
        <v>44921</v>
      </c>
    </row>
    <row r="12465" spans="1:24">
      <c r="A12465">
        <f>HYPERLINK("https://www.philgeps.gov.ph/GEPSNONPILOT/Tender/SplashBidNoticeAbstractUI.aspx?menuIndex=3&amp;refID=7056021&amp;Result=3","7056021")</f>
        <v>0</v>
      </c>
      <c r="B12465" t="s">
        <v>3243</v>
      </c>
      <c r="C12465" t="s">
        <v>15432</v>
      </c>
      <c r="D12465" t="s">
        <v>18104</v>
      </c>
      <c r="E12465" t="s">
        <v>19255</v>
      </c>
      <c r="F12465" t="s">
        <v>31362</v>
      </c>
      <c r="G12465" t="s">
        <v>31369</v>
      </c>
      <c r="H12465" t="s">
        <v>15799</v>
      </c>
      <c r="I12465" t="s">
        <v>3815</v>
      </c>
      <c r="J12465" t="s">
        <v>37023</v>
      </c>
      <c r="K12465" t="s">
        <v>40665</v>
      </c>
      <c r="M12465" t="s">
        <v>44521</v>
      </c>
      <c r="N12465" t="s">
        <v>44905</v>
      </c>
      <c r="O12465" t="s">
        <v>44906</v>
      </c>
      <c r="P12465">
        <v>0</v>
      </c>
      <c r="Q12465">
        <v>2</v>
      </c>
      <c r="R12465" t="s">
        <v>44920</v>
      </c>
      <c r="S12465" t="s">
        <v>45492</v>
      </c>
      <c r="T12465" t="s">
        <v>46671</v>
      </c>
      <c r="U12465" t="s">
        <v>56906</v>
      </c>
      <c r="V12465" t="s">
        <v>60393</v>
      </c>
      <c r="W12465" t="s">
        <v>44521</v>
      </c>
      <c r="X12465" t="s">
        <v>44921</v>
      </c>
    </row>
    <row r="12466" spans="1:24">
      <c r="A12466">
        <f>HYPERLINK("https://www.philgeps.gov.ph/GEPSNONPILOT/Tender/SplashBidNoticeAbstractUI.aspx?menuIndex=3&amp;refID=7055979&amp;Result=3","7055979")</f>
        <v>0</v>
      </c>
      <c r="B12466" t="s">
        <v>2167</v>
      </c>
      <c r="C12466" t="s">
        <v>15433</v>
      </c>
      <c r="D12466" t="s">
        <v>18134</v>
      </c>
      <c r="E12466" t="s">
        <v>28999</v>
      </c>
      <c r="F12466" t="s">
        <v>31362</v>
      </c>
      <c r="G12466" t="s">
        <v>31369</v>
      </c>
      <c r="H12466" t="s">
        <v>15799</v>
      </c>
      <c r="I12466" t="s">
        <v>6865</v>
      </c>
      <c r="J12466" t="s">
        <v>39111</v>
      </c>
      <c r="K12466" t="s">
        <v>40666</v>
      </c>
      <c r="M12466" t="s">
        <v>43962</v>
      </c>
      <c r="N12466" t="s">
        <v>44905</v>
      </c>
      <c r="O12466" t="s">
        <v>44906</v>
      </c>
      <c r="P12466">
        <v>0</v>
      </c>
      <c r="Q12466">
        <v>4</v>
      </c>
      <c r="R12466" t="s">
        <v>44920</v>
      </c>
      <c r="S12466" t="s">
        <v>45492</v>
      </c>
      <c r="T12466" t="s">
        <v>46505</v>
      </c>
      <c r="U12466" t="s">
        <v>54623</v>
      </c>
      <c r="V12466" t="s">
        <v>60394</v>
      </c>
      <c r="W12466" t="s">
        <v>43962</v>
      </c>
      <c r="X12466" t="s">
        <v>44921</v>
      </c>
    </row>
    <row r="12467" spans="1:24">
      <c r="A12467">
        <f>HYPERLINK("https://www.philgeps.gov.ph/GEPSNONPILOT/Tender/SplashBidNoticeAbstractUI.aspx?menuIndex=3&amp;refID=7056044&amp;Result=3","7056044")</f>
        <v>0</v>
      </c>
      <c r="B12467" t="s">
        <v>562</v>
      </c>
      <c r="C12467" t="s">
        <v>15434</v>
      </c>
      <c r="D12467" t="s">
        <v>18177</v>
      </c>
      <c r="E12467" t="s">
        <v>29000</v>
      </c>
      <c r="F12467" t="s">
        <v>31362</v>
      </c>
      <c r="G12467" t="s">
        <v>31369</v>
      </c>
      <c r="H12467" t="s">
        <v>31378</v>
      </c>
      <c r="I12467" t="s">
        <v>31386</v>
      </c>
      <c r="J12467" t="s">
        <v>39112</v>
      </c>
      <c r="K12467" t="s">
        <v>40686</v>
      </c>
      <c r="M12467" t="s">
        <v>41518</v>
      </c>
      <c r="N12467" t="s">
        <v>44905</v>
      </c>
      <c r="O12467" t="s">
        <v>44906</v>
      </c>
      <c r="P12467">
        <v>0</v>
      </c>
      <c r="Q12467">
        <v>1</v>
      </c>
      <c r="R12467" t="s">
        <v>44920</v>
      </c>
      <c r="S12467" t="s">
        <v>45492</v>
      </c>
      <c r="T12467" t="s">
        <v>46585</v>
      </c>
      <c r="U12467" t="s">
        <v>56907</v>
      </c>
      <c r="W12467" t="s">
        <v>41518</v>
      </c>
      <c r="X12467" t="s">
        <v>44921</v>
      </c>
    </row>
    <row r="12468" spans="1:24">
      <c r="A12468">
        <f>HYPERLINK("https://www.philgeps.gov.ph/GEPSNONPILOT/Tender/SplashBidNoticeAbstractUI.aspx?menuIndex=3&amp;refID=7055975&amp;Result=3","7055975")</f>
        <v>0</v>
      </c>
      <c r="B12468" t="s">
        <v>362</v>
      </c>
      <c r="C12468" t="s">
        <v>15435</v>
      </c>
      <c r="D12468" t="s">
        <v>18103</v>
      </c>
      <c r="E12468" t="s">
        <v>29001</v>
      </c>
      <c r="F12468" t="s">
        <v>31362</v>
      </c>
      <c r="G12468" t="s">
        <v>31369</v>
      </c>
      <c r="H12468" t="s">
        <v>15799</v>
      </c>
      <c r="I12468" t="s">
        <v>3815</v>
      </c>
      <c r="J12468" t="s">
        <v>39113</v>
      </c>
      <c r="K12468" t="s">
        <v>40665</v>
      </c>
      <c r="M12468" t="s">
        <v>44522</v>
      </c>
      <c r="N12468" t="s">
        <v>44905</v>
      </c>
      <c r="O12468" t="s">
        <v>44906</v>
      </c>
      <c r="P12468">
        <v>0</v>
      </c>
      <c r="Q12468">
        <v>2</v>
      </c>
      <c r="R12468" t="s">
        <v>44920</v>
      </c>
      <c r="S12468" t="s">
        <v>45492</v>
      </c>
      <c r="T12468" t="s">
        <v>46533</v>
      </c>
      <c r="U12468" t="s">
        <v>47543</v>
      </c>
      <c r="V12468" t="s">
        <v>60391</v>
      </c>
      <c r="W12468" t="s">
        <v>60886</v>
      </c>
      <c r="X12468" t="s">
        <v>44921</v>
      </c>
    </row>
    <row r="12469" spans="1:24">
      <c r="A12469">
        <f>HYPERLINK("https://www.philgeps.gov.ph/GEPSNONPILOT/Tender/SplashBidNoticeAbstractUI.aspx?menuIndex=3&amp;refID=7055965&amp;Result=3","7055965")</f>
        <v>0</v>
      </c>
      <c r="B12469" t="s">
        <v>1235</v>
      </c>
      <c r="C12469" t="s">
        <v>15436</v>
      </c>
      <c r="E12469" t="s">
        <v>29002</v>
      </c>
      <c r="F12469" t="s">
        <v>31367</v>
      </c>
      <c r="G12469" t="s">
        <v>31369</v>
      </c>
      <c r="H12469" t="s">
        <v>15799</v>
      </c>
      <c r="I12469" t="s">
        <v>7719</v>
      </c>
      <c r="J12469" t="s">
        <v>39114</v>
      </c>
      <c r="K12469" t="s">
        <v>40662</v>
      </c>
      <c r="M12469" t="s">
        <v>44523</v>
      </c>
      <c r="N12469" t="s">
        <v>44905</v>
      </c>
      <c r="O12469" t="s">
        <v>44906</v>
      </c>
      <c r="P12469">
        <v>0</v>
      </c>
      <c r="Q12469">
        <v>6</v>
      </c>
      <c r="R12469" t="s">
        <v>44920</v>
      </c>
      <c r="S12469" t="s">
        <v>45492</v>
      </c>
      <c r="T12469" t="s">
        <v>46481</v>
      </c>
      <c r="U12469" t="s">
        <v>56908</v>
      </c>
      <c r="W12469" t="s">
        <v>44523</v>
      </c>
      <c r="X12469" t="s">
        <v>44921</v>
      </c>
    </row>
    <row r="12470" spans="1:24">
      <c r="A12470">
        <f>HYPERLINK("https://www.philgeps.gov.ph/GEPSNONPILOT/Tender/SplashBidNoticeAbstractUI.aspx?menuIndex=3&amp;refID=7055912&amp;Result=3","7055912")</f>
        <v>0</v>
      </c>
      <c r="B12470" t="s">
        <v>1046</v>
      </c>
      <c r="C12470" t="s">
        <v>15437</v>
      </c>
      <c r="D12470" t="s">
        <v>18108</v>
      </c>
      <c r="E12470" t="s">
        <v>29003</v>
      </c>
      <c r="F12470" t="s">
        <v>31362</v>
      </c>
      <c r="G12470" t="s">
        <v>31369</v>
      </c>
      <c r="H12470" t="s">
        <v>31378</v>
      </c>
      <c r="I12470" t="s">
        <v>31386</v>
      </c>
      <c r="J12470" t="s">
        <v>39115</v>
      </c>
      <c r="K12470" t="s">
        <v>40678</v>
      </c>
      <c r="M12470" t="s">
        <v>42045</v>
      </c>
      <c r="N12470" t="s">
        <v>44905</v>
      </c>
      <c r="O12470" t="s">
        <v>44906</v>
      </c>
      <c r="P12470">
        <v>0</v>
      </c>
      <c r="Q12470">
        <v>3</v>
      </c>
      <c r="R12470" t="s">
        <v>44920</v>
      </c>
      <c r="S12470" t="s">
        <v>45492</v>
      </c>
      <c r="T12470" t="s">
        <v>46408</v>
      </c>
      <c r="U12470" t="s">
        <v>49240</v>
      </c>
      <c r="V12470" t="s">
        <v>60384</v>
      </c>
      <c r="W12470" t="s">
        <v>42045</v>
      </c>
      <c r="X12470" t="s">
        <v>44921</v>
      </c>
    </row>
    <row r="12471" spans="1:24">
      <c r="A12471">
        <f>HYPERLINK("https://www.philgeps.gov.ph/GEPSNONPILOT/Tender/SplashBidNoticeAbstractUI.aspx?menuIndex=3&amp;refID=7056025&amp;Result=3","7056025")</f>
        <v>0</v>
      </c>
      <c r="B12471" t="s">
        <v>2788</v>
      </c>
      <c r="C12471" t="s">
        <v>15438</v>
      </c>
      <c r="D12471" t="s">
        <v>18108</v>
      </c>
      <c r="E12471" t="s">
        <v>27794</v>
      </c>
      <c r="F12471" t="s">
        <v>31362</v>
      </c>
      <c r="G12471" t="s">
        <v>31370</v>
      </c>
      <c r="H12471" t="s">
        <v>15799</v>
      </c>
      <c r="I12471" t="s">
        <v>31393</v>
      </c>
      <c r="J12471" t="s">
        <v>34369</v>
      </c>
      <c r="K12471" t="s">
        <v>40661</v>
      </c>
      <c r="M12471" t="s">
        <v>43985</v>
      </c>
      <c r="N12471" t="s">
        <v>44905</v>
      </c>
      <c r="O12471" t="s">
        <v>44906</v>
      </c>
      <c r="Q12471">
        <v>8</v>
      </c>
      <c r="R12471" t="s">
        <v>44920</v>
      </c>
      <c r="S12471" t="s">
        <v>45505</v>
      </c>
      <c r="T12471" t="s">
        <v>46593</v>
      </c>
      <c r="U12471" t="s">
        <v>56909</v>
      </c>
      <c r="V12471" t="s">
        <v>60090</v>
      </c>
      <c r="W12471" t="s">
        <v>43985</v>
      </c>
      <c r="X12471" t="s">
        <v>44921</v>
      </c>
    </row>
    <row r="12472" spans="1:24">
      <c r="A12472">
        <f>HYPERLINK("https://www.philgeps.gov.ph/GEPSNONPILOT/Tender/SplashBidNoticeAbstractUI.aspx?menuIndex=3&amp;refID=7055906&amp;Result=3","7055906")</f>
        <v>0</v>
      </c>
      <c r="B12472" t="s">
        <v>1219</v>
      </c>
      <c r="C12472" t="s">
        <v>7188</v>
      </c>
      <c r="E12472" t="s">
        <v>29004</v>
      </c>
      <c r="F12472" t="s">
        <v>31362</v>
      </c>
      <c r="G12472" t="s">
        <v>31369</v>
      </c>
      <c r="H12472" t="s">
        <v>15799</v>
      </c>
      <c r="I12472" t="s">
        <v>7188</v>
      </c>
      <c r="J12472" t="s">
        <v>39116</v>
      </c>
      <c r="K12472" t="s">
        <v>40662</v>
      </c>
      <c r="M12472" t="s">
        <v>42232</v>
      </c>
      <c r="N12472" t="s">
        <v>44905</v>
      </c>
      <c r="O12472" t="s">
        <v>44906</v>
      </c>
      <c r="P12472">
        <v>0</v>
      </c>
      <c r="Q12472">
        <v>0</v>
      </c>
      <c r="R12472" t="s">
        <v>44920</v>
      </c>
      <c r="S12472" t="s">
        <v>45492</v>
      </c>
      <c r="T12472" t="s">
        <v>46597</v>
      </c>
      <c r="U12472" t="s">
        <v>56910</v>
      </c>
      <c r="W12472" t="s">
        <v>42232</v>
      </c>
      <c r="X12472" t="s">
        <v>44921</v>
      </c>
    </row>
    <row r="12473" spans="1:24">
      <c r="A12473">
        <f>HYPERLINK("https://www.philgeps.gov.ph/GEPSNONPILOT/Tender/SplashBidNoticeAbstractUI.aspx?menuIndex=3&amp;refID=7055894&amp;Result=3","7055894")</f>
        <v>0</v>
      </c>
      <c r="B12473" t="s">
        <v>1046</v>
      </c>
      <c r="C12473" t="s">
        <v>15439</v>
      </c>
      <c r="D12473" t="s">
        <v>18108</v>
      </c>
      <c r="E12473" t="s">
        <v>29005</v>
      </c>
      <c r="F12473" t="s">
        <v>31362</v>
      </c>
      <c r="G12473" t="s">
        <v>31369</v>
      </c>
      <c r="H12473" t="s">
        <v>15799</v>
      </c>
      <c r="I12473" t="s">
        <v>31386</v>
      </c>
      <c r="J12473" t="s">
        <v>39117</v>
      </c>
      <c r="K12473" t="s">
        <v>40678</v>
      </c>
      <c r="M12473" t="s">
        <v>42045</v>
      </c>
      <c r="N12473" t="s">
        <v>44905</v>
      </c>
      <c r="O12473" t="s">
        <v>44906</v>
      </c>
      <c r="P12473">
        <v>0</v>
      </c>
      <c r="Q12473">
        <v>6</v>
      </c>
      <c r="R12473" t="s">
        <v>44920</v>
      </c>
      <c r="S12473" t="s">
        <v>45492</v>
      </c>
      <c r="T12473" t="s">
        <v>46403</v>
      </c>
      <c r="U12473" t="s">
        <v>56911</v>
      </c>
      <c r="V12473" t="s">
        <v>60384</v>
      </c>
      <c r="W12473" t="s">
        <v>42045</v>
      </c>
      <c r="X12473" t="s">
        <v>44921</v>
      </c>
    </row>
    <row r="12474" spans="1:24">
      <c r="A12474">
        <f>HYPERLINK("https://www.philgeps.gov.ph/GEPSNONPILOT/Tender/SplashBidNoticeAbstractUI.aspx?menuIndex=3&amp;refID=7055985&amp;Result=3","7055985")</f>
        <v>0</v>
      </c>
      <c r="B12474" t="s">
        <v>3244</v>
      </c>
      <c r="C12474" t="s">
        <v>15440</v>
      </c>
      <c r="D12474" t="s">
        <v>18130</v>
      </c>
      <c r="E12474" t="s">
        <v>29006</v>
      </c>
      <c r="F12474" t="s">
        <v>31362</v>
      </c>
      <c r="G12474" t="s">
        <v>31369</v>
      </c>
      <c r="H12474" t="s">
        <v>15799</v>
      </c>
      <c r="I12474" t="s">
        <v>31404</v>
      </c>
      <c r="J12474" t="s">
        <v>39118</v>
      </c>
      <c r="K12474" t="s">
        <v>40682</v>
      </c>
      <c r="M12474" t="s">
        <v>44524</v>
      </c>
      <c r="N12474" t="s">
        <v>44905</v>
      </c>
      <c r="O12474" t="s">
        <v>44906</v>
      </c>
      <c r="P12474">
        <v>0</v>
      </c>
      <c r="Q12474">
        <v>0</v>
      </c>
      <c r="R12474" t="s">
        <v>44920</v>
      </c>
      <c r="S12474" t="s">
        <v>45492</v>
      </c>
      <c r="T12474" t="s">
        <v>46560</v>
      </c>
      <c r="U12474" t="s">
        <v>56912</v>
      </c>
      <c r="W12474" t="s">
        <v>44524</v>
      </c>
      <c r="X12474" t="s">
        <v>44921</v>
      </c>
    </row>
    <row r="12475" spans="1:24">
      <c r="A12475">
        <f>HYPERLINK("https://www.philgeps.gov.ph/GEPSNONPILOT/Tender/SplashBidNoticeAbstractUI.aspx?menuIndex=3&amp;refID=7056221&amp;Result=3","7056221")</f>
        <v>0</v>
      </c>
      <c r="B12475" t="s">
        <v>362</v>
      </c>
      <c r="C12475" t="s">
        <v>15441</v>
      </c>
      <c r="D12475" t="s">
        <v>18103</v>
      </c>
      <c r="E12475" t="s">
        <v>29007</v>
      </c>
      <c r="F12475" t="s">
        <v>31362</v>
      </c>
      <c r="G12475" t="s">
        <v>31369</v>
      </c>
      <c r="H12475" t="s">
        <v>15799</v>
      </c>
      <c r="I12475" t="s">
        <v>3815</v>
      </c>
      <c r="J12475" t="s">
        <v>39119</v>
      </c>
      <c r="K12475" t="s">
        <v>40665</v>
      </c>
      <c r="M12475" t="s">
        <v>43062</v>
      </c>
      <c r="N12475" t="s">
        <v>44905</v>
      </c>
      <c r="O12475" t="s">
        <v>44906</v>
      </c>
      <c r="P12475">
        <v>0</v>
      </c>
      <c r="Q12475">
        <v>3</v>
      </c>
      <c r="R12475" t="s">
        <v>44920</v>
      </c>
      <c r="S12475" t="s">
        <v>45492</v>
      </c>
      <c r="T12475" t="s">
        <v>46533</v>
      </c>
      <c r="U12475" t="s">
        <v>47543</v>
      </c>
      <c r="V12475" t="s">
        <v>60391</v>
      </c>
      <c r="W12475" t="s">
        <v>60886</v>
      </c>
      <c r="X12475" t="s">
        <v>44921</v>
      </c>
    </row>
    <row r="12476" spans="1:24">
      <c r="A12476">
        <f>HYPERLINK("https://www.philgeps.gov.ph/GEPSNONPILOT/Tender/SplashBidNoticeAbstractUI.aspx?menuIndex=3&amp;refID=7056253&amp;Result=3","7056253")</f>
        <v>0</v>
      </c>
      <c r="B12476" t="s">
        <v>362</v>
      </c>
      <c r="C12476" t="s">
        <v>15442</v>
      </c>
      <c r="D12476" t="s">
        <v>18103</v>
      </c>
      <c r="E12476" t="s">
        <v>29008</v>
      </c>
      <c r="F12476" t="s">
        <v>31362</v>
      </c>
      <c r="G12476" t="s">
        <v>31369</v>
      </c>
      <c r="H12476" t="s">
        <v>15799</v>
      </c>
      <c r="I12476" t="s">
        <v>31380</v>
      </c>
      <c r="J12476" t="s">
        <v>39120</v>
      </c>
      <c r="K12476" t="s">
        <v>40665</v>
      </c>
      <c r="M12476" t="s">
        <v>43062</v>
      </c>
      <c r="N12476" t="s">
        <v>44905</v>
      </c>
      <c r="O12476" t="s">
        <v>44906</v>
      </c>
      <c r="Q12476">
        <v>19</v>
      </c>
      <c r="R12476" t="s">
        <v>44920</v>
      </c>
      <c r="S12476" t="s">
        <v>45506</v>
      </c>
      <c r="T12476" t="s">
        <v>46533</v>
      </c>
      <c r="U12476" t="s">
        <v>47543</v>
      </c>
      <c r="V12476" t="s">
        <v>60391</v>
      </c>
      <c r="W12476" t="s">
        <v>60886</v>
      </c>
      <c r="X12476" t="s">
        <v>44921</v>
      </c>
    </row>
    <row r="12477" spans="1:24">
      <c r="A12477">
        <f>HYPERLINK("https://www.philgeps.gov.ph/GEPSNONPILOT/Tender/SplashBidNoticeAbstractUI.aspx?menuIndex=3&amp;refID=7056247&amp;Result=3","7056247")</f>
        <v>0</v>
      </c>
      <c r="B12477" t="s">
        <v>3245</v>
      </c>
      <c r="C12477" t="s">
        <v>15443</v>
      </c>
      <c r="D12477" t="s">
        <v>18116</v>
      </c>
      <c r="E12477" t="s">
        <v>29009</v>
      </c>
      <c r="F12477" t="s">
        <v>31362</v>
      </c>
      <c r="G12477" t="s">
        <v>31369</v>
      </c>
      <c r="H12477" t="s">
        <v>31378</v>
      </c>
      <c r="I12477" t="s">
        <v>31386</v>
      </c>
      <c r="J12477" t="s">
        <v>31625</v>
      </c>
      <c r="K12477" t="s">
        <v>40682</v>
      </c>
      <c r="M12477" t="s">
        <v>44525</v>
      </c>
      <c r="N12477" t="s">
        <v>44905</v>
      </c>
      <c r="O12477" t="s">
        <v>44906</v>
      </c>
      <c r="Q12477">
        <v>0</v>
      </c>
      <c r="R12477" t="s">
        <v>44920</v>
      </c>
      <c r="S12477" t="s">
        <v>45507</v>
      </c>
      <c r="T12477" t="s">
        <v>46809</v>
      </c>
      <c r="U12477" t="s">
        <v>56913</v>
      </c>
      <c r="V12477" t="s">
        <v>60395</v>
      </c>
      <c r="W12477" t="s">
        <v>44525</v>
      </c>
      <c r="X12477" t="s">
        <v>44921</v>
      </c>
    </row>
    <row r="12478" spans="1:24">
      <c r="A12478">
        <f>HYPERLINK("https://www.philgeps.gov.ph/GEPSNONPILOT/Tender/SplashBidNoticeAbstractUI.aspx?menuIndex=3&amp;refID=7056229&amp;Result=3","7056229")</f>
        <v>0</v>
      </c>
      <c r="B12478" t="s">
        <v>3245</v>
      </c>
      <c r="C12478" t="s">
        <v>15444</v>
      </c>
      <c r="D12478" t="s">
        <v>18116</v>
      </c>
      <c r="E12478" t="s">
        <v>29009</v>
      </c>
      <c r="F12478" t="s">
        <v>31362</v>
      </c>
      <c r="G12478" t="s">
        <v>31369</v>
      </c>
      <c r="H12478" t="s">
        <v>31378</v>
      </c>
      <c r="I12478" t="s">
        <v>31386</v>
      </c>
      <c r="J12478" t="s">
        <v>35169</v>
      </c>
      <c r="K12478" t="s">
        <v>40682</v>
      </c>
      <c r="M12478" t="s">
        <v>44525</v>
      </c>
      <c r="N12478" t="s">
        <v>44905</v>
      </c>
      <c r="O12478" t="s">
        <v>44906</v>
      </c>
      <c r="Q12478">
        <v>0</v>
      </c>
      <c r="R12478" t="s">
        <v>44920</v>
      </c>
      <c r="S12478" t="s">
        <v>45508</v>
      </c>
      <c r="T12478" t="s">
        <v>46809</v>
      </c>
      <c r="U12478" t="s">
        <v>56913</v>
      </c>
      <c r="V12478" t="s">
        <v>60396</v>
      </c>
      <c r="W12478" t="s">
        <v>44525</v>
      </c>
      <c r="X12478" t="s">
        <v>44921</v>
      </c>
    </row>
    <row r="12479" spans="1:24">
      <c r="A12479">
        <f>HYPERLINK("https://www.philgeps.gov.ph/GEPSNONPILOT/Tender/SplashBidNoticeAbstractUI.aspx?menuIndex=3&amp;refID=7055662&amp;Result=3","7055662")</f>
        <v>0</v>
      </c>
      <c r="B12479" t="s">
        <v>269</v>
      </c>
      <c r="C12479" t="s">
        <v>15445</v>
      </c>
      <c r="D12479" t="s">
        <v>18117</v>
      </c>
      <c r="E12479" t="s">
        <v>26986</v>
      </c>
      <c r="F12479" t="s">
        <v>31362</v>
      </c>
      <c r="G12479" t="s">
        <v>31369</v>
      </c>
      <c r="H12479" t="s">
        <v>15799</v>
      </c>
      <c r="I12479" t="s">
        <v>3815</v>
      </c>
      <c r="J12479" t="s">
        <v>32171</v>
      </c>
      <c r="K12479" t="s">
        <v>40666</v>
      </c>
      <c r="M12479" t="s">
        <v>41211</v>
      </c>
      <c r="N12479" t="s">
        <v>44905</v>
      </c>
      <c r="O12479" t="s">
        <v>44906</v>
      </c>
      <c r="P12479">
        <v>0</v>
      </c>
      <c r="Q12479">
        <v>3</v>
      </c>
      <c r="R12479" t="s">
        <v>44920</v>
      </c>
      <c r="S12479" t="s">
        <v>45492</v>
      </c>
      <c r="T12479" t="s">
        <v>46523</v>
      </c>
      <c r="U12479" t="s">
        <v>47376</v>
      </c>
      <c r="W12479" t="s">
        <v>41211</v>
      </c>
      <c r="X12479" t="s">
        <v>44921</v>
      </c>
    </row>
    <row r="12480" spans="1:24">
      <c r="A12480">
        <f>HYPERLINK("https://www.philgeps.gov.ph/GEPSNONPILOT/Tender/SplashBidNoticeAbstractUI.aspx?menuIndex=3&amp;refID=7056200&amp;Result=3","7056200")</f>
        <v>0</v>
      </c>
      <c r="B12480" t="s">
        <v>1153</v>
      </c>
      <c r="C12480" t="s">
        <v>15446</v>
      </c>
      <c r="D12480" t="s">
        <v>18122</v>
      </c>
      <c r="E12480" t="s">
        <v>29010</v>
      </c>
      <c r="F12480" t="s">
        <v>31362</v>
      </c>
      <c r="G12480" t="s">
        <v>31369</v>
      </c>
      <c r="H12480" t="s">
        <v>15799</v>
      </c>
      <c r="I12480" t="s">
        <v>31409</v>
      </c>
      <c r="J12480" t="s">
        <v>31606</v>
      </c>
      <c r="K12480" t="s">
        <v>40665</v>
      </c>
      <c r="M12480" t="s">
        <v>42162</v>
      </c>
      <c r="N12480" t="s">
        <v>44905</v>
      </c>
      <c r="O12480" t="s">
        <v>44906</v>
      </c>
      <c r="Q12480">
        <v>6</v>
      </c>
      <c r="R12480" t="s">
        <v>44920</v>
      </c>
      <c r="S12480" t="s">
        <v>45509</v>
      </c>
      <c r="T12480" t="s">
        <v>46482</v>
      </c>
      <c r="U12480" t="s">
        <v>56914</v>
      </c>
      <c r="W12480" t="s">
        <v>42162</v>
      </c>
      <c r="X12480" t="s">
        <v>44921</v>
      </c>
    </row>
    <row r="12481" spans="1:24">
      <c r="A12481">
        <f>HYPERLINK("https://www.philgeps.gov.ph/GEPSNONPILOT/Tender/SplashBidNoticeAbstractUI.aspx?menuIndex=3&amp;refID=7056234&amp;Result=3","7056234")</f>
        <v>0</v>
      </c>
      <c r="B12481" t="s">
        <v>3244</v>
      </c>
      <c r="C12481" t="s">
        <v>15447</v>
      </c>
      <c r="D12481" t="s">
        <v>18130</v>
      </c>
      <c r="E12481" t="s">
        <v>29011</v>
      </c>
      <c r="F12481" t="s">
        <v>31362</v>
      </c>
      <c r="G12481" t="s">
        <v>31369</v>
      </c>
      <c r="H12481" t="s">
        <v>15799</v>
      </c>
      <c r="I12481" t="s">
        <v>31413</v>
      </c>
      <c r="J12481" t="s">
        <v>31625</v>
      </c>
      <c r="K12481" t="s">
        <v>40665</v>
      </c>
      <c r="M12481" t="s">
        <v>44524</v>
      </c>
      <c r="N12481" t="s">
        <v>44905</v>
      </c>
      <c r="O12481" t="s">
        <v>44906</v>
      </c>
      <c r="P12481">
        <v>0</v>
      </c>
      <c r="Q12481">
        <v>7</v>
      </c>
      <c r="R12481" t="s">
        <v>44920</v>
      </c>
      <c r="S12481" t="s">
        <v>45492</v>
      </c>
      <c r="T12481" t="s">
        <v>46560</v>
      </c>
      <c r="U12481" t="s">
        <v>56915</v>
      </c>
      <c r="W12481" t="s">
        <v>44524</v>
      </c>
      <c r="X12481" t="s">
        <v>44921</v>
      </c>
    </row>
    <row r="12482" spans="1:24">
      <c r="A12482">
        <f>HYPERLINK("https://www.philgeps.gov.ph/GEPSNONPILOT/Tender/SplashBidNoticeAbstractUI.aspx?menuIndex=3&amp;refID=7056222&amp;Result=3","7056222")</f>
        <v>0</v>
      </c>
      <c r="B12482" t="s">
        <v>3246</v>
      </c>
      <c r="C12482" t="s">
        <v>15448</v>
      </c>
      <c r="D12482" t="s">
        <v>18105</v>
      </c>
      <c r="E12482" t="s">
        <v>18548</v>
      </c>
      <c r="F12482" t="s">
        <v>31362</v>
      </c>
      <c r="G12482" t="s">
        <v>31369</v>
      </c>
      <c r="H12482" t="s">
        <v>31378</v>
      </c>
      <c r="I12482" t="s">
        <v>31386</v>
      </c>
      <c r="J12482" t="s">
        <v>31806</v>
      </c>
      <c r="K12482" t="s">
        <v>40665</v>
      </c>
      <c r="M12482" t="s">
        <v>44526</v>
      </c>
      <c r="N12482" t="s">
        <v>44905</v>
      </c>
      <c r="O12482" t="s">
        <v>44906</v>
      </c>
      <c r="P12482">
        <v>0</v>
      </c>
      <c r="Q12482">
        <v>0</v>
      </c>
      <c r="R12482" t="s">
        <v>44920</v>
      </c>
      <c r="S12482" t="s">
        <v>45492</v>
      </c>
      <c r="T12482" t="s">
        <v>46505</v>
      </c>
      <c r="U12482" t="s">
        <v>56916</v>
      </c>
      <c r="W12482" t="s">
        <v>44526</v>
      </c>
      <c r="X12482" t="s">
        <v>44921</v>
      </c>
    </row>
    <row r="12483" spans="1:24">
      <c r="A12483">
        <f>HYPERLINK("https://www.philgeps.gov.ph/GEPSNONPILOT/Tender/SplashBidNoticeAbstractUI.aspx?menuIndex=3&amp;refID=7056198&amp;Result=3","7056198")</f>
        <v>0</v>
      </c>
      <c r="B12483" t="s">
        <v>3245</v>
      </c>
      <c r="C12483" t="s">
        <v>15449</v>
      </c>
      <c r="D12483" t="s">
        <v>18116</v>
      </c>
      <c r="E12483" t="s">
        <v>29009</v>
      </c>
      <c r="F12483" t="s">
        <v>31362</v>
      </c>
      <c r="G12483" t="s">
        <v>31369</v>
      </c>
      <c r="H12483" t="s">
        <v>31378</v>
      </c>
      <c r="I12483" t="s">
        <v>31386</v>
      </c>
      <c r="J12483" t="s">
        <v>33482</v>
      </c>
      <c r="K12483" t="s">
        <v>40686</v>
      </c>
      <c r="M12483" t="s">
        <v>44525</v>
      </c>
      <c r="N12483" t="s">
        <v>44905</v>
      </c>
      <c r="O12483" t="s">
        <v>44906</v>
      </c>
      <c r="Q12483">
        <v>0</v>
      </c>
      <c r="R12483" t="s">
        <v>44920</v>
      </c>
      <c r="S12483" t="s">
        <v>45510</v>
      </c>
      <c r="T12483" t="s">
        <v>46809</v>
      </c>
      <c r="U12483" t="s">
        <v>56913</v>
      </c>
      <c r="V12483" t="s">
        <v>60397</v>
      </c>
      <c r="W12483" t="s">
        <v>44525</v>
      </c>
      <c r="X12483" t="s">
        <v>44921</v>
      </c>
    </row>
    <row r="12484" spans="1:24">
      <c r="A12484">
        <f>HYPERLINK("https://www.philgeps.gov.ph/GEPSNONPILOT/Tender/SplashBidNoticeAbstractUI.aspx?menuIndex=3&amp;refID=7056179&amp;Result=3","7056179")</f>
        <v>0</v>
      </c>
      <c r="B12484" t="s">
        <v>3238</v>
      </c>
      <c r="C12484" t="s">
        <v>15450</v>
      </c>
      <c r="D12484" t="s">
        <v>18131</v>
      </c>
      <c r="E12484" t="s">
        <v>29012</v>
      </c>
      <c r="F12484" t="s">
        <v>31362</v>
      </c>
      <c r="G12484" t="s">
        <v>31369</v>
      </c>
      <c r="H12484" t="s">
        <v>15799</v>
      </c>
      <c r="I12484" t="s">
        <v>31396</v>
      </c>
      <c r="J12484" t="s">
        <v>31641</v>
      </c>
      <c r="K12484" t="s">
        <v>40662</v>
      </c>
      <c r="M12484" t="s">
        <v>44515</v>
      </c>
      <c r="N12484" t="s">
        <v>44905</v>
      </c>
      <c r="O12484" t="s">
        <v>44906</v>
      </c>
      <c r="Q12484">
        <v>21</v>
      </c>
      <c r="R12484" t="s">
        <v>44920</v>
      </c>
      <c r="S12484" t="s">
        <v>45251</v>
      </c>
      <c r="T12484" t="s">
        <v>46856</v>
      </c>
      <c r="U12484" t="s">
        <v>56917</v>
      </c>
      <c r="V12484" t="s">
        <v>60398</v>
      </c>
      <c r="W12484" t="s">
        <v>44515</v>
      </c>
      <c r="X12484" t="s">
        <v>44921</v>
      </c>
    </row>
    <row r="12485" spans="1:24">
      <c r="A12485">
        <f>HYPERLINK("https://www.philgeps.gov.ph/GEPSNONPILOT/Tender/SplashBidNoticeAbstractUI.aspx?menuIndex=3&amp;refID=7056177&amp;Result=3","7056177")</f>
        <v>0</v>
      </c>
      <c r="B12485" t="s">
        <v>3245</v>
      </c>
      <c r="C12485" t="s">
        <v>15451</v>
      </c>
      <c r="D12485" t="s">
        <v>18116</v>
      </c>
      <c r="E12485" t="s">
        <v>29009</v>
      </c>
      <c r="F12485" t="s">
        <v>31362</v>
      </c>
      <c r="G12485" t="s">
        <v>31369</v>
      </c>
      <c r="H12485" t="s">
        <v>31378</v>
      </c>
      <c r="I12485" t="s">
        <v>31386</v>
      </c>
      <c r="J12485" t="s">
        <v>39121</v>
      </c>
      <c r="K12485" t="s">
        <v>40686</v>
      </c>
      <c r="M12485" t="s">
        <v>44525</v>
      </c>
      <c r="N12485" t="s">
        <v>44905</v>
      </c>
      <c r="O12485" t="s">
        <v>44906</v>
      </c>
      <c r="Q12485">
        <v>0</v>
      </c>
      <c r="R12485" t="s">
        <v>44920</v>
      </c>
      <c r="S12485" t="s">
        <v>45511</v>
      </c>
      <c r="T12485" t="s">
        <v>46809</v>
      </c>
      <c r="U12485" t="s">
        <v>56913</v>
      </c>
      <c r="V12485" t="s">
        <v>60399</v>
      </c>
      <c r="W12485" t="s">
        <v>44525</v>
      </c>
      <c r="X12485" t="s">
        <v>44921</v>
      </c>
    </row>
    <row r="12486" spans="1:24">
      <c r="A12486">
        <f>HYPERLINK("https://www.philgeps.gov.ph/GEPSNONPILOT/Tender/SplashBidNoticeAbstractUI.aspx?menuIndex=3&amp;refID=7056151&amp;Result=3","7056151")</f>
        <v>0</v>
      </c>
      <c r="B12486" t="s">
        <v>3245</v>
      </c>
      <c r="C12486" t="s">
        <v>15452</v>
      </c>
      <c r="D12486" t="s">
        <v>18116</v>
      </c>
      <c r="E12486" t="s">
        <v>29009</v>
      </c>
      <c r="F12486" t="s">
        <v>31362</v>
      </c>
      <c r="G12486" t="s">
        <v>31369</v>
      </c>
      <c r="H12486" t="s">
        <v>31378</v>
      </c>
      <c r="I12486" t="s">
        <v>31386</v>
      </c>
      <c r="J12486" t="s">
        <v>33060</v>
      </c>
      <c r="K12486" t="s">
        <v>40679</v>
      </c>
      <c r="M12486" t="s">
        <v>44525</v>
      </c>
      <c r="N12486" t="s">
        <v>44905</v>
      </c>
      <c r="O12486" t="s">
        <v>44906</v>
      </c>
      <c r="Q12486">
        <v>0</v>
      </c>
      <c r="R12486" t="s">
        <v>44920</v>
      </c>
      <c r="S12486" t="s">
        <v>45512</v>
      </c>
      <c r="T12486" t="s">
        <v>46809</v>
      </c>
      <c r="U12486" t="s">
        <v>56913</v>
      </c>
      <c r="V12486" t="s">
        <v>60400</v>
      </c>
      <c r="W12486" t="s">
        <v>44525</v>
      </c>
      <c r="X12486" t="s">
        <v>44921</v>
      </c>
    </row>
    <row r="12487" spans="1:24">
      <c r="A12487">
        <f>HYPERLINK("https://www.philgeps.gov.ph/GEPSNONPILOT/Tender/SplashBidNoticeAbstractUI.aspx?menuIndex=3&amp;refID=7056146&amp;Result=3","7056146")</f>
        <v>0</v>
      </c>
      <c r="B12487" t="s">
        <v>3247</v>
      </c>
      <c r="C12487" t="s">
        <v>15453</v>
      </c>
      <c r="D12487" t="s">
        <v>18148</v>
      </c>
      <c r="E12487" t="s">
        <v>29013</v>
      </c>
      <c r="F12487" t="s">
        <v>31362</v>
      </c>
      <c r="G12487" t="s">
        <v>31369</v>
      </c>
      <c r="H12487" t="s">
        <v>15799</v>
      </c>
      <c r="I12487" t="s">
        <v>3815</v>
      </c>
      <c r="J12487" t="s">
        <v>39122</v>
      </c>
      <c r="K12487" t="s">
        <v>40665</v>
      </c>
      <c r="M12487" t="s">
        <v>44527</v>
      </c>
      <c r="N12487" t="s">
        <v>44905</v>
      </c>
      <c r="O12487" t="s">
        <v>44906</v>
      </c>
      <c r="P12487">
        <v>0</v>
      </c>
      <c r="Q12487">
        <v>3</v>
      </c>
      <c r="R12487" t="s">
        <v>44920</v>
      </c>
      <c r="S12487" t="s">
        <v>45492</v>
      </c>
      <c r="T12487" t="s">
        <v>46470</v>
      </c>
      <c r="U12487" t="s">
        <v>56918</v>
      </c>
      <c r="W12487" t="s">
        <v>44527</v>
      </c>
      <c r="X12487" t="s">
        <v>44921</v>
      </c>
    </row>
    <row r="12488" spans="1:24">
      <c r="A12488">
        <f>HYPERLINK("https://www.philgeps.gov.ph/GEPSNONPILOT/Tender/SplashBidNoticeAbstractUI.aspx?menuIndex=3&amp;refID=7056152&amp;Result=3","7056152")</f>
        <v>0</v>
      </c>
      <c r="B12488" t="s">
        <v>493</v>
      </c>
      <c r="C12488" t="s">
        <v>15454</v>
      </c>
      <c r="D12488" t="s">
        <v>18152</v>
      </c>
      <c r="E12488" t="s">
        <v>29014</v>
      </c>
      <c r="F12488" t="s">
        <v>31362</v>
      </c>
      <c r="G12488" t="s">
        <v>31369</v>
      </c>
      <c r="H12488" t="s">
        <v>31378</v>
      </c>
      <c r="I12488" t="s">
        <v>31386</v>
      </c>
      <c r="J12488" t="s">
        <v>39123</v>
      </c>
      <c r="K12488" t="s">
        <v>40686</v>
      </c>
      <c r="M12488" t="s">
        <v>41448</v>
      </c>
      <c r="N12488" t="s">
        <v>44905</v>
      </c>
      <c r="O12488" t="s">
        <v>44906</v>
      </c>
      <c r="P12488">
        <v>0</v>
      </c>
      <c r="Q12488">
        <v>1</v>
      </c>
      <c r="R12488" t="s">
        <v>44920</v>
      </c>
      <c r="S12488" t="s">
        <v>45492</v>
      </c>
      <c r="T12488" t="s">
        <v>46542</v>
      </c>
      <c r="U12488" t="s">
        <v>48412</v>
      </c>
      <c r="W12488" t="s">
        <v>41448</v>
      </c>
      <c r="X12488" t="s">
        <v>44921</v>
      </c>
    </row>
    <row r="12489" spans="1:24">
      <c r="A12489">
        <f>HYPERLINK("https://www.philgeps.gov.ph/GEPSNONPILOT/Tender/SplashBidNoticeAbstractUI.aspx?menuIndex=3&amp;refID=7056401&amp;Result=3","7056401")</f>
        <v>0</v>
      </c>
      <c r="B12489" t="s">
        <v>3247</v>
      </c>
      <c r="C12489" t="s">
        <v>15453</v>
      </c>
      <c r="D12489" t="s">
        <v>18148</v>
      </c>
      <c r="E12489" t="s">
        <v>29015</v>
      </c>
      <c r="F12489" t="s">
        <v>31362</v>
      </c>
      <c r="G12489" t="s">
        <v>31369</v>
      </c>
      <c r="H12489" t="s">
        <v>15799</v>
      </c>
      <c r="I12489" t="s">
        <v>3815</v>
      </c>
      <c r="J12489" t="s">
        <v>39122</v>
      </c>
      <c r="K12489" t="s">
        <v>40665</v>
      </c>
      <c r="M12489" t="s">
        <v>44527</v>
      </c>
      <c r="N12489" t="s">
        <v>44905</v>
      </c>
      <c r="O12489" t="s">
        <v>44906</v>
      </c>
      <c r="P12489">
        <v>0</v>
      </c>
      <c r="Q12489">
        <v>3</v>
      </c>
      <c r="R12489" t="s">
        <v>44920</v>
      </c>
      <c r="S12489" t="s">
        <v>45492</v>
      </c>
      <c r="T12489" t="s">
        <v>46470</v>
      </c>
      <c r="U12489" t="s">
        <v>56918</v>
      </c>
      <c r="W12489" t="s">
        <v>44527</v>
      </c>
      <c r="X12489" t="s">
        <v>44921</v>
      </c>
    </row>
    <row r="12490" spans="1:24">
      <c r="A12490">
        <f>HYPERLINK("https://www.philgeps.gov.ph/GEPSNONPILOT/Tender/SplashBidNoticeAbstractUI.aspx?menuIndex=3&amp;refID=7056187&amp;Result=3","7056187")</f>
        <v>0</v>
      </c>
      <c r="B12490" t="s">
        <v>3248</v>
      </c>
      <c r="C12490" t="s">
        <v>15455</v>
      </c>
      <c r="D12490" t="s">
        <v>18117</v>
      </c>
      <c r="E12490" t="s">
        <v>23663</v>
      </c>
      <c r="F12490" t="s">
        <v>31362</v>
      </c>
      <c r="G12490" t="s">
        <v>31369</v>
      </c>
      <c r="H12490" t="s">
        <v>31378</v>
      </c>
      <c r="I12490" t="s">
        <v>31441</v>
      </c>
      <c r="J12490" t="s">
        <v>39124</v>
      </c>
      <c r="K12490" t="s">
        <v>40663</v>
      </c>
      <c r="M12490" t="s">
        <v>44528</v>
      </c>
      <c r="N12490" t="s">
        <v>44905</v>
      </c>
      <c r="O12490" t="s">
        <v>44906</v>
      </c>
      <c r="P12490">
        <v>0</v>
      </c>
      <c r="Q12490">
        <v>12</v>
      </c>
      <c r="R12490" t="s">
        <v>44920</v>
      </c>
      <c r="S12490" t="s">
        <v>45492</v>
      </c>
      <c r="T12490" t="s">
        <v>46585</v>
      </c>
      <c r="U12490" t="s">
        <v>56919</v>
      </c>
      <c r="W12490" t="s">
        <v>44528</v>
      </c>
      <c r="X12490" t="s">
        <v>44921</v>
      </c>
    </row>
    <row r="12491" spans="1:24">
      <c r="A12491">
        <f>HYPERLINK("https://www.philgeps.gov.ph/GEPSNONPILOT/Tender/SplashBidNoticeAbstractUI.aspx?menuIndex=3&amp;refID=7056395&amp;Result=3","7056395")</f>
        <v>0</v>
      </c>
      <c r="B12491" t="s">
        <v>3249</v>
      </c>
      <c r="C12491" t="s">
        <v>15456</v>
      </c>
      <c r="D12491" t="s">
        <v>18117</v>
      </c>
      <c r="E12491" t="s">
        <v>29016</v>
      </c>
      <c r="F12491" t="s">
        <v>31362</v>
      </c>
      <c r="G12491" t="s">
        <v>31369</v>
      </c>
      <c r="H12491" t="s">
        <v>15799</v>
      </c>
      <c r="I12491" t="s">
        <v>31409</v>
      </c>
      <c r="J12491" t="s">
        <v>31531</v>
      </c>
      <c r="K12491" t="s">
        <v>40665</v>
      </c>
      <c r="M12491" t="s">
        <v>44529</v>
      </c>
      <c r="N12491" t="s">
        <v>44905</v>
      </c>
      <c r="O12491" t="s">
        <v>44906</v>
      </c>
      <c r="P12491">
        <v>0</v>
      </c>
      <c r="Q12491">
        <v>0</v>
      </c>
      <c r="R12491" t="s">
        <v>44920</v>
      </c>
      <c r="S12491" t="s">
        <v>45492</v>
      </c>
      <c r="T12491" t="s">
        <v>46625</v>
      </c>
      <c r="U12491" t="s">
        <v>56920</v>
      </c>
      <c r="V12491" t="s">
        <v>60401</v>
      </c>
      <c r="W12491" t="s">
        <v>44529</v>
      </c>
      <c r="X12491" t="s">
        <v>44921</v>
      </c>
    </row>
    <row r="12492" spans="1:24">
      <c r="A12492">
        <f>HYPERLINK("https://www.philgeps.gov.ph/GEPSNONPILOT/Tender/SplashBidNoticeAbstractUI.aspx?menuIndex=3&amp;refID=7056391&amp;Result=3","7056391")</f>
        <v>0</v>
      </c>
      <c r="B12492" t="s">
        <v>3245</v>
      </c>
      <c r="C12492" t="s">
        <v>15457</v>
      </c>
      <c r="D12492" t="s">
        <v>18116</v>
      </c>
      <c r="E12492" t="s">
        <v>29009</v>
      </c>
      <c r="F12492" t="s">
        <v>31362</v>
      </c>
      <c r="G12492" t="s">
        <v>31369</v>
      </c>
      <c r="H12492" t="s">
        <v>31378</v>
      </c>
      <c r="I12492" t="s">
        <v>31386</v>
      </c>
      <c r="J12492" t="s">
        <v>34900</v>
      </c>
      <c r="K12492" t="s">
        <v>40686</v>
      </c>
      <c r="M12492" t="s">
        <v>44525</v>
      </c>
      <c r="N12492" t="s">
        <v>44905</v>
      </c>
      <c r="O12492" t="s">
        <v>44906</v>
      </c>
      <c r="Q12492">
        <v>0</v>
      </c>
      <c r="R12492" t="s">
        <v>44920</v>
      </c>
      <c r="S12492" t="s">
        <v>45513</v>
      </c>
      <c r="T12492" t="s">
        <v>46809</v>
      </c>
      <c r="U12492" t="s">
        <v>56913</v>
      </c>
      <c r="V12492" t="s">
        <v>60402</v>
      </c>
      <c r="W12492" t="s">
        <v>44525</v>
      </c>
      <c r="X12492" t="s">
        <v>44921</v>
      </c>
    </row>
    <row r="12493" spans="1:24">
      <c r="A12493">
        <f>HYPERLINK("https://www.philgeps.gov.ph/GEPSNONPILOT/Tender/SplashBidNoticeAbstractUI.aspx?menuIndex=3&amp;refID=7056385&amp;Result=3","7056385")</f>
        <v>0</v>
      </c>
      <c r="B12493" t="s">
        <v>3238</v>
      </c>
      <c r="C12493" t="s">
        <v>15458</v>
      </c>
      <c r="D12493" t="s">
        <v>18131</v>
      </c>
      <c r="E12493" t="s">
        <v>29017</v>
      </c>
      <c r="F12493" t="s">
        <v>31362</v>
      </c>
      <c r="G12493" t="s">
        <v>31369</v>
      </c>
      <c r="H12493" t="s">
        <v>15799</v>
      </c>
      <c r="I12493" t="s">
        <v>31382</v>
      </c>
      <c r="J12493" t="s">
        <v>39125</v>
      </c>
      <c r="K12493" t="s">
        <v>40662</v>
      </c>
      <c r="M12493" t="s">
        <v>44515</v>
      </c>
      <c r="N12493" t="s">
        <v>44905</v>
      </c>
      <c r="O12493" t="s">
        <v>44906</v>
      </c>
      <c r="Q12493">
        <v>55</v>
      </c>
      <c r="R12493" t="s">
        <v>44920</v>
      </c>
      <c r="S12493" t="s">
        <v>45514</v>
      </c>
      <c r="T12493" t="s">
        <v>46398</v>
      </c>
      <c r="U12493" t="s">
        <v>56921</v>
      </c>
      <c r="V12493" t="s">
        <v>60403</v>
      </c>
      <c r="W12493" t="s">
        <v>44515</v>
      </c>
      <c r="X12493" t="s">
        <v>44921</v>
      </c>
    </row>
    <row r="12494" spans="1:24">
      <c r="A12494">
        <f>HYPERLINK("https://www.philgeps.gov.ph/GEPSNONPILOT/Tender/SplashBidNoticeAbstractUI.aspx?menuIndex=3&amp;refID=7056379&amp;Result=3","7056379")</f>
        <v>0</v>
      </c>
      <c r="B12494" t="s">
        <v>3245</v>
      </c>
      <c r="C12494" t="s">
        <v>15459</v>
      </c>
      <c r="D12494" t="s">
        <v>18116</v>
      </c>
      <c r="E12494" t="s">
        <v>29009</v>
      </c>
      <c r="F12494" t="s">
        <v>31362</v>
      </c>
      <c r="G12494" t="s">
        <v>31369</v>
      </c>
      <c r="H12494" t="s">
        <v>31378</v>
      </c>
      <c r="I12494" t="s">
        <v>31386</v>
      </c>
      <c r="J12494" t="s">
        <v>39126</v>
      </c>
      <c r="K12494" t="s">
        <v>40686</v>
      </c>
      <c r="M12494" t="s">
        <v>44525</v>
      </c>
      <c r="N12494" t="s">
        <v>44905</v>
      </c>
      <c r="O12494" t="s">
        <v>44906</v>
      </c>
      <c r="Q12494">
        <v>0</v>
      </c>
      <c r="R12494" t="s">
        <v>44920</v>
      </c>
      <c r="S12494" t="s">
        <v>45515</v>
      </c>
      <c r="T12494" t="s">
        <v>46809</v>
      </c>
      <c r="U12494" t="s">
        <v>56913</v>
      </c>
      <c r="V12494" t="s">
        <v>60404</v>
      </c>
      <c r="W12494" t="s">
        <v>44525</v>
      </c>
      <c r="X12494" t="s">
        <v>44921</v>
      </c>
    </row>
    <row r="12495" spans="1:24">
      <c r="A12495">
        <f>HYPERLINK("https://www.philgeps.gov.ph/GEPSNONPILOT/Tender/SplashBidNoticeAbstractUI.aspx?menuIndex=3&amp;refID=7056402&amp;Result=3","7056402")</f>
        <v>0</v>
      </c>
      <c r="B12495" t="s">
        <v>3245</v>
      </c>
      <c r="C12495" t="s">
        <v>15460</v>
      </c>
      <c r="D12495" t="s">
        <v>18116</v>
      </c>
      <c r="E12495" t="s">
        <v>29009</v>
      </c>
      <c r="F12495" t="s">
        <v>31362</v>
      </c>
      <c r="G12495" t="s">
        <v>31369</v>
      </c>
      <c r="H12495" t="s">
        <v>31378</v>
      </c>
      <c r="I12495" t="s">
        <v>31386</v>
      </c>
      <c r="J12495" t="s">
        <v>34900</v>
      </c>
      <c r="K12495" t="s">
        <v>40686</v>
      </c>
      <c r="M12495" t="s">
        <v>44525</v>
      </c>
      <c r="N12495" t="s">
        <v>44905</v>
      </c>
      <c r="O12495" t="s">
        <v>44906</v>
      </c>
      <c r="Q12495">
        <v>0</v>
      </c>
      <c r="R12495" t="s">
        <v>44920</v>
      </c>
      <c r="S12495" t="s">
        <v>45516</v>
      </c>
      <c r="T12495" t="s">
        <v>46809</v>
      </c>
      <c r="U12495" t="s">
        <v>56913</v>
      </c>
      <c r="V12495" t="s">
        <v>60405</v>
      </c>
      <c r="W12495" t="s">
        <v>44525</v>
      </c>
      <c r="X12495" t="s">
        <v>44921</v>
      </c>
    </row>
    <row r="12496" spans="1:24">
      <c r="A12496">
        <f>HYPERLINK("https://www.philgeps.gov.ph/GEPSNONPILOT/Tender/SplashBidNoticeAbstractUI.aspx?menuIndex=3&amp;refID=7056368&amp;Result=3","7056368")</f>
        <v>0</v>
      </c>
      <c r="B12496" t="s">
        <v>3245</v>
      </c>
      <c r="C12496" t="s">
        <v>15461</v>
      </c>
      <c r="D12496" t="s">
        <v>18116</v>
      </c>
      <c r="E12496" t="s">
        <v>29009</v>
      </c>
      <c r="F12496" t="s">
        <v>31362</v>
      </c>
      <c r="G12496" t="s">
        <v>31369</v>
      </c>
      <c r="H12496" t="s">
        <v>31378</v>
      </c>
      <c r="I12496" t="s">
        <v>31386</v>
      </c>
      <c r="J12496" t="s">
        <v>33868</v>
      </c>
      <c r="K12496" t="s">
        <v>40796</v>
      </c>
      <c r="M12496" t="s">
        <v>44525</v>
      </c>
      <c r="N12496" t="s">
        <v>44905</v>
      </c>
      <c r="O12496" t="s">
        <v>44906</v>
      </c>
      <c r="Q12496">
        <v>0</v>
      </c>
      <c r="R12496" t="s">
        <v>44920</v>
      </c>
      <c r="S12496" t="s">
        <v>45517</v>
      </c>
      <c r="T12496" t="s">
        <v>46809</v>
      </c>
      <c r="U12496" t="s">
        <v>56913</v>
      </c>
      <c r="V12496" t="s">
        <v>60406</v>
      </c>
      <c r="W12496" t="s">
        <v>44525</v>
      </c>
      <c r="X12496" t="s">
        <v>44921</v>
      </c>
    </row>
    <row r="12497" spans="1:24">
      <c r="A12497">
        <f>HYPERLINK("https://www.philgeps.gov.ph/GEPSNONPILOT/Tender/SplashBidNoticeAbstractUI.aspx?menuIndex=3&amp;refID=7056203&amp;Result=3","7056203")</f>
        <v>0</v>
      </c>
      <c r="B12497" t="s">
        <v>2167</v>
      </c>
      <c r="C12497" t="s">
        <v>15462</v>
      </c>
      <c r="D12497" t="s">
        <v>18134</v>
      </c>
      <c r="E12497" t="s">
        <v>29018</v>
      </c>
      <c r="F12497" t="s">
        <v>31362</v>
      </c>
      <c r="G12497" t="s">
        <v>31369</v>
      </c>
      <c r="H12497" t="s">
        <v>15799</v>
      </c>
      <c r="I12497" t="s">
        <v>3815</v>
      </c>
      <c r="J12497" t="s">
        <v>39127</v>
      </c>
      <c r="K12497" t="s">
        <v>40666</v>
      </c>
      <c r="M12497" t="s">
        <v>43962</v>
      </c>
      <c r="N12497" t="s">
        <v>44905</v>
      </c>
      <c r="O12497" t="s">
        <v>44906</v>
      </c>
      <c r="P12497">
        <v>0</v>
      </c>
      <c r="Q12497">
        <v>1</v>
      </c>
      <c r="R12497" t="s">
        <v>44920</v>
      </c>
      <c r="S12497" t="s">
        <v>45492</v>
      </c>
      <c r="T12497" t="s">
        <v>46505</v>
      </c>
      <c r="U12497" t="s">
        <v>54623</v>
      </c>
      <c r="W12497" t="s">
        <v>43962</v>
      </c>
      <c r="X12497" t="s">
        <v>44921</v>
      </c>
    </row>
    <row r="12498" spans="1:24">
      <c r="A12498">
        <f>HYPERLINK("https://www.philgeps.gov.ph/GEPSNONPILOT/Tender/SplashBidNoticeAbstractUI.aspx?menuIndex=3&amp;refID=7056356&amp;Result=3","7056356")</f>
        <v>0</v>
      </c>
      <c r="B12498" t="s">
        <v>362</v>
      </c>
      <c r="C12498" t="s">
        <v>15463</v>
      </c>
      <c r="D12498" t="s">
        <v>18103</v>
      </c>
      <c r="E12498" t="s">
        <v>29019</v>
      </c>
      <c r="F12498" t="s">
        <v>31362</v>
      </c>
      <c r="G12498" t="s">
        <v>31369</v>
      </c>
      <c r="H12498" t="s">
        <v>15799</v>
      </c>
      <c r="I12498" t="s">
        <v>31393</v>
      </c>
      <c r="J12498" t="s">
        <v>39128</v>
      </c>
      <c r="K12498" t="s">
        <v>40665</v>
      </c>
      <c r="M12498" t="s">
        <v>43093</v>
      </c>
      <c r="N12498" t="s">
        <v>44905</v>
      </c>
      <c r="O12498" t="s">
        <v>44906</v>
      </c>
      <c r="P12498">
        <v>0</v>
      </c>
      <c r="Q12498">
        <v>7</v>
      </c>
      <c r="R12498" t="s">
        <v>44920</v>
      </c>
      <c r="S12498" t="s">
        <v>45492</v>
      </c>
      <c r="T12498" t="s">
        <v>46533</v>
      </c>
      <c r="U12498" t="s">
        <v>47543</v>
      </c>
      <c r="V12498" t="s">
        <v>60391</v>
      </c>
      <c r="W12498" t="s">
        <v>60886</v>
      </c>
      <c r="X12498" t="s">
        <v>44921</v>
      </c>
    </row>
    <row r="12499" spans="1:24">
      <c r="A12499">
        <f>HYPERLINK("https://www.philgeps.gov.ph/GEPSNONPILOT/Tender/SplashBidNoticeAbstractUI.aspx?menuIndex=3&amp;refID=7056351&amp;Result=3","7056351")</f>
        <v>0</v>
      </c>
      <c r="B12499" t="s">
        <v>3238</v>
      </c>
      <c r="C12499" t="s">
        <v>15464</v>
      </c>
      <c r="D12499" t="s">
        <v>18131</v>
      </c>
      <c r="E12499" t="s">
        <v>29020</v>
      </c>
      <c r="F12499" t="s">
        <v>31362</v>
      </c>
      <c r="G12499" t="s">
        <v>31369</v>
      </c>
      <c r="H12499" t="s">
        <v>15799</v>
      </c>
      <c r="I12499" t="s">
        <v>31382</v>
      </c>
      <c r="J12499" t="s">
        <v>31542</v>
      </c>
      <c r="K12499" t="s">
        <v>40662</v>
      </c>
      <c r="M12499" t="s">
        <v>44515</v>
      </c>
      <c r="N12499" t="s">
        <v>44905</v>
      </c>
      <c r="O12499" t="s">
        <v>44906</v>
      </c>
      <c r="Q12499">
        <v>17</v>
      </c>
      <c r="R12499" t="s">
        <v>44920</v>
      </c>
      <c r="S12499" t="s">
        <v>45518</v>
      </c>
      <c r="T12499" t="s">
        <v>46398</v>
      </c>
      <c r="U12499" t="s">
        <v>56922</v>
      </c>
      <c r="V12499" t="s">
        <v>60407</v>
      </c>
      <c r="W12499" t="s">
        <v>44515</v>
      </c>
      <c r="X12499" t="s">
        <v>44921</v>
      </c>
    </row>
    <row r="12500" spans="1:24">
      <c r="A12500">
        <f>HYPERLINK("https://www.philgeps.gov.ph/GEPSNONPILOT/Tender/SplashBidNoticeAbstractUI.aspx?menuIndex=3&amp;refID=7056495&amp;Result=3","7056495")</f>
        <v>0</v>
      </c>
      <c r="B12500" t="s">
        <v>1746</v>
      </c>
      <c r="C12500" t="s">
        <v>15465</v>
      </c>
      <c r="D12500" t="s">
        <v>18125</v>
      </c>
      <c r="E12500" t="s">
        <v>29021</v>
      </c>
      <c r="F12500" t="s">
        <v>31362</v>
      </c>
      <c r="G12500" t="s">
        <v>31369</v>
      </c>
      <c r="H12500" t="s">
        <v>15799</v>
      </c>
      <c r="I12500" t="s">
        <v>31386</v>
      </c>
      <c r="J12500" t="s">
        <v>36868</v>
      </c>
      <c r="K12500" t="s">
        <v>40665</v>
      </c>
      <c r="M12500" t="s">
        <v>42821</v>
      </c>
      <c r="N12500" t="s">
        <v>44905</v>
      </c>
      <c r="O12500" t="s">
        <v>44906</v>
      </c>
      <c r="P12500">
        <v>0</v>
      </c>
      <c r="Q12500">
        <v>0</v>
      </c>
      <c r="R12500" t="s">
        <v>44920</v>
      </c>
      <c r="S12500" t="s">
        <v>45492</v>
      </c>
      <c r="T12500" t="s">
        <v>46403</v>
      </c>
      <c r="U12500" t="s">
        <v>56923</v>
      </c>
      <c r="W12500" t="s">
        <v>42821</v>
      </c>
      <c r="X12500" t="s">
        <v>44921</v>
      </c>
    </row>
    <row r="12501" spans="1:24">
      <c r="A12501">
        <f>HYPERLINK("https://www.philgeps.gov.ph/GEPSNONPILOT/Tender/SplashBidNoticeAbstractUI.aspx?menuIndex=3&amp;refID=7056545&amp;Result=3","7056545")</f>
        <v>0</v>
      </c>
      <c r="B12501" t="s">
        <v>3250</v>
      </c>
      <c r="C12501" t="s">
        <v>15466</v>
      </c>
      <c r="D12501" t="s">
        <v>18100</v>
      </c>
      <c r="E12501" t="s">
        <v>25546</v>
      </c>
      <c r="F12501" t="s">
        <v>31362</v>
      </c>
      <c r="G12501" t="s">
        <v>31369</v>
      </c>
      <c r="H12501" t="s">
        <v>15799</v>
      </c>
      <c r="I12501" t="s">
        <v>31385</v>
      </c>
      <c r="J12501" t="s">
        <v>31758</v>
      </c>
      <c r="K12501" t="s">
        <v>40693</v>
      </c>
      <c r="M12501" t="s">
        <v>44530</v>
      </c>
      <c r="N12501" t="s">
        <v>44905</v>
      </c>
      <c r="O12501" t="s">
        <v>44906</v>
      </c>
      <c r="P12501">
        <v>0</v>
      </c>
      <c r="Q12501">
        <v>3</v>
      </c>
      <c r="R12501" t="s">
        <v>44920</v>
      </c>
      <c r="S12501" t="s">
        <v>45492</v>
      </c>
      <c r="T12501" t="s">
        <v>46481</v>
      </c>
      <c r="U12501" t="s">
        <v>56924</v>
      </c>
      <c r="W12501" t="s">
        <v>44530</v>
      </c>
      <c r="X12501" t="s">
        <v>44921</v>
      </c>
    </row>
    <row r="12502" spans="1:24">
      <c r="A12502">
        <f>HYPERLINK("https://www.philgeps.gov.ph/GEPSNONPILOT/Tender/SplashBidNoticeAbstractUI.aspx?menuIndex=3&amp;refID=7056539&amp;Result=3","7056539")</f>
        <v>0</v>
      </c>
      <c r="B12502" t="s">
        <v>1902</v>
      </c>
      <c r="C12502" t="s">
        <v>15467</v>
      </c>
      <c r="E12502" t="s">
        <v>29022</v>
      </c>
      <c r="F12502" t="s">
        <v>31362</v>
      </c>
      <c r="G12502" t="s">
        <v>31369</v>
      </c>
      <c r="H12502" t="s">
        <v>15799</v>
      </c>
      <c r="I12502" t="s">
        <v>31404</v>
      </c>
      <c r="J12502" t="s">
        <v>39129</v>
      </c>
      <c r="K12502" t="s">
        <v>40662</v>
      </c>
      <c r="M12502" t="s">
        <v>42997</v>
      </c>
      <c r="N12502" t="s">
        <v>44905</v>
      </c>
      <c r="O12502" t="s">
        <v>44906</v>
      </c>
      <c r="P12502">
        <v>0</v>
      </c>
      <c r="Q12502">
        <v>3</v>
      </c>
      <c r="R12502" t="s">
        <v>44920</v>
      </c>
      <c r="S12502" t="s">
        <v>45492</v>
      </c>
      <c r="T12502" t="s">
        <v>46400</v>
      </c>
      <c r="U12502" t="s">
        <v>56925</v>
      </c>
      <c r="W12502" t="s">
        <v>42997</v>
      </c>
      <c r="X12502" t="s">
        <v>44921</v>
      </c>
    </row>
    <row r="12503" spans="1:24">
      <c r="A12503">
        <f>HYPERLINK("https://www.philgeps.gov.ph/GEPSNONPILOT/Tender/SplashBidNoticeAbstractUI.aspx?menuIndex=3&amp;refID=7056375&amp;Result=3","7056375")</f>
        <v>0</v>
      </c>
      <c r="B12503" t="s">
        <v>3248</v>
      </c>
      <c r="C12503" t="s">
        <v>15468</v>
      </c>
      <c r="D12503" t="s">
        <v>18117</v>
      </c>
      <c r="E12503" t="s">
        <v>22943</v>
      </c>
      <c r="F12503" t="s">
        <v>31362</v>
      </c>
      <c r="G12503" t="s">
        <v>31369</v>
      </c>
      <c r="H12503" t="s">
        <v>31378</v>
      </c>
      <c r="I12503" t="s">
        <v>31441</v>
      </c>
      <c r="J12503" t="s">
        <v>39130</v>
      </c>
      <c r="K12503" t="s">
        <v>40678</v>
      </c>
      <c r="M12503" t="s">
        <v>44528</v>
      </c>
      <c r="N12503" t="s">
        <v>44905</v>
      </c>
      <c r="O12503" t="s">
        <v>44906</v>
      </c>
      <c r="P12503">
        <v>0</v>
      </c>
      <c r="Q12503">
        <v>8</v>
      </c>
      <c r="R12503" t="s">
        <v>44920</v>
      </c>
      <c r="S12503" t="s">
        <v>45492</v>
      </c>
      <c r="T12503" t="s">
        <v>46413</v>
      </c>
      <c r="U12503" t="s">
        <v>56926</v>
      </c>
      <c r="W12503" t="s">
        <v>44528</v>
      </c>
      <c r="X12503" t="s">
        <v>44921</v>
      </c>
    </row>
    <row r="12504" spans="1:24">
      <c r="A12504">
        <f>HYPERLINK("https://www.philgeps.gov.ph/GEPSNONPILOT/Tender/SplashBidNoticeAbstractUI.aspx?menuIndex=3&amp;refID=7056498&amp;Result=3","7056498")</f>
        <v>0</v>
      </c>
      <c r="B12504" t="s">
        <v>3245</v>
      </c>
      <c r="C12504" t="s">
        <v>15469</v>
      </c>
      <c r="D12504" t="s">
        <v>18116</v>
      </c>
      <c r="E12504" t="s">
        <v>29009</v>
      </c>
      <c r="F12504" t="s">
        <v>31362</v>
      </c>
      <c r="G12504" t="s">
        <v>31369</v>
      </c>
      <c r="H12504" t="s">
        <v>31378</v>
      </c>
      <c r="I12504" t="s">
        <v>31386</v>
      </c>
      <c r="J12504" t="s">
        <v>31591</v>
      </c>
      <c r="K12504" t="s">
        <v>40675</v>
      </c>
      <c r="M12504" t="s">
        <v>44525</v>
      </c>
      <c r="N12504" t="s">
        <v>44905</v>
      </c>
      <c r="O12504" t="s">
        <v>44906</v>
      </c>
      <c r="Q12504">
        <v>0</v>
      </c>
      <c r="R12504" t="s">
        <v>44920</v>
      </c>
      <c r="S12504" t="s">
        <v>45519</v>
      </c>
      <c r="T12504" t="s">
        <v>46809</v>
      </c>
      <c r="U12504" t="s">
        <v>56913</v>
      </c>
      <c r="V12504" t="s">
        <v>60408</v>
      </c>
      <c r="W12504" t="s">
        <v>44525</v>
      </c>
      <c r="X12504" t="s">
        <v>44921</v>
      </c>
    </row>
    <row r="12505" spans="1:24">
      <c r="A12505">
        <f>HYPERLINK("https://www.philgeps.gov.ph/GEPSNONPILOT/Tender/SplashBidNoticeAbstractUI.aspx?menuIndex=3&amp;refID=7055901&amp;Result=3","7055901")</f>
        <v>0</v>
      </c>
      <c r="B12505" t="s">
        <v>1046</v>
      </c>
      <c r="C12505" t="s">
        <v>15470</v>
      </c>
      <c r="D12505" t="s">
        <v>18108</v>
      </c>
      <c r="E12505" t="s">
        <v>29023</v>
      </c>
      <c r="F12505" t="s">
        <v>31362</v>
      </c>
      <c r="G12505" t="s">
        <v>31369</v>
      </c>
      <c r="H12505" t="s">
        <v>31378</v>
      </c>
      <c r="I12505" t="s">
        <v>31386</v>
      </c>
      <c r="J12505" t="s">
        <v>39131</v>
      </c>
      <c r="K12505" t="s">
        <v>40742</v>
      </c>
      <c r="M12505" t="s">
        <v>42045</v>
      </c>
      <c r="N12505" t="s">
        <v>44905</v>
      </c>
      <c r="O12505" t="s">
        <v>44906</v>
      </c>
      <c r="P12505">
        <v>0</v>
      </c>
      <c r="Q12505">
        <v>3</v>
      </c>
      <c r="R12505" t="s">
        <v>44920</v>
      </c>
      <c r="S12505" t="s">
        <v>45492</v>
      </c>
      <c r="T12505" t="s">
        <v>46505</v>
      </c>
      <c r="U12505" t="s">
        <v>56927</v>
      </c>
      <c r="V12505" t="s">
        <v>60384</v>
      </c>
      <c r="W12505" t="s">
        <v>42045</v>
      </c>
      <c r="X12505" t="s">
        <v>44921</v>
      </c>
    </row>
    <row r="12506" spans="1:24">
      <c r="A12506">
        <f>HYPERLINK("https://www.philgeps.gov.ph/GEPSNONPILOT/Tender/SplashBidNoticeAbstractUI.aspx?menuIndex=3&amp;refID=7056496&amp;Result=3","7056496")</f>
        <v>0</v>
      </c>
      <c r="B12506" t="s">
        <v>3251</v>
      </c>
      <c r="C12506" t="s">
        <v>15471</v>
      </c>
      <c r="D12506" t="s">
        <v>18117</v>
      </c>
      <c r="E12506" t="s">
        <v>29024</v>
      </c>
      <c r="F12506" t="s">
        <v>31362</v>
      </c>
      <c r="G12506" t="s">
        <v>31369</v>
      </c>
      <c r="H12506" t="s">
        <v>15799</v>
      </c>
      <c r="I12506" t="s">
        <v>31385</v>
      </c>
      <c r="J12506" t="s">
        <v>39132</v>
      </c>
      <c r="K12506" t="s">
        <v>40662</v>
      </c>
      <c r="M12506" t="s">
        <v>44531</v>
      </c>
      <c r="N12506" t="s">
        <v>44905</v>
      </c>
      <c r="O12506" t="s">
        <v>44906</v>
      </c>
      <c r="Q12506">
        <v>1</v>
      </c>
      <c r="R12506" t="s">
        <v>44920</v>
      </c>
      <c r="S12506" t="s">
        <v>45520</v>
      </c>
      <c r="T12506" t="s">
        <v>46481</v>
      </c>
      <c r="U12506" t="s">
        <v>56928</v>
      </c>
      <c r="V12506" t="s">
        <v>60409</v>
      </c>
      <c r="W12506" t="s">
        <v>44531</v>
      </c>
      <c r="X12506" t="s">
        <v>44921</v>
      </c>
    </row>
    <row r="12507" spans="1:24">
      <c r="A12507">
        <f>HYPERLINK("https://www.philgeps.gov.ph/GEPSNONPILOT/Tender/SplashBidNoticeAbstractUI.aspx?menuIndex=3&amp;refID=7056490&amp;Result=3","7056490")</f>
        <v>0</v>
      </c>
      <c r="B12507" t="s">
        <v>3245</v>
      </c>
      <c r="C12507" t="s">
        <v>15472</v>
      </c>
      <c r="D12507" t="s">
        <v>18116</v>
      </c>
      <c r="E12507" t="s">
        <v>29009</v>
      </c>
      <c r="F12507" t="s">
        <v>31362</v>
      </c>
      <c r="G12507" t="s">
        <v>31369</v>
      </c>
      <c r="H12507" t="s">
        <v>31378</v>
      </c>
      <c r="I12507" t="s">
        <v>31386</v>
      </c>
      <c r="J12507" t="s">
        <v>31625</v>
      </c>
      <c r="K12507" t="s">
        <v>40682</v>
      </c>
      <c r="M12507" t="s">
        <v>44525</v>
      </c>
      <c r="N12507" t="s">
        <v>44905</v>
      </c>
      <c r="O12507" t="s">
        <v>44906</v>
      </c>
      <c r="Q12507">
        <v>0</v>
      </c>
      <c r="R12507" t="s">
        <v>44920</v>
      </c>
      <c r="S12507" t="s">
        <v>45521</v>
      </c>
      <c r="T12507" t="s">
        <v>46809</v>
      </c>
      <c r="U12507" t="s">
        <v>56913</v>
      </c>
      <c r="V12507" t="s">
        <v>60410</v>
      </c>
      <c r="W12507" t="s">
        <v>44525</v>
      </c>
      <c r="X12507" t="s">
        <v>44921</v>
      </c>
    </row>
    <row r="12508" spans="1:24">
      <c r="A12508">
        <f>HYPERLINK("https://www.philgeps.gov.ph/GEPSNONPILOT/Tender/SplashBidNoticeAbstractUI.aspx?menuIndex=3&amp;refID=7056477&amp;Result=3","7056477")</f>
        <v>0</v>
      </c>
      <c r="B12508" t="s">
        <v>1902</v>
      </c>
      <c r="C12508" t="s">
        <v>15473</v>
      </c>
      <c r="D12508" t="s">
        <v>18122</v>
      </c>
      <c r="E12508" t="s">
        <v>29025</v>
      </c>
      <c r="F12508" t="s">
        <v>31362</v>
      </c>
      <c r="G12508" t="s">
        <v>31369</v>
      </c>
      <c r="H12508" t="s">
        <v>15799</v>
      </c>
      <c r="I12508" t="s">
        <v>31385</v>
      </c>
      <c r="J12508" t="s">
        <v>35484</v>
      </c>
      <c r="K12508" t="s">
        <v>40677</v>
      </c>
      <c r="M12508" t="s">
        <v>42997</v>
      </c>
      <c r="N12508" t="s">
        <v>44905</v>
      </c>
      <c r="O12508" t="s">
        <v>44906</v>
      </c>
      <c r="P12508">
        <v>0</v>
      </c>
      <c r="Q12508">
        <v>3</v>
      </c>
      <c r="R12508" t="s">
        <v>44920</v>
      </c>
      <c r="S12508" t="s">
        <v>45492</v>
      </c>
      <c r="T12508" t="s">
        <v>46400</v>
      </c>
      <c r="U12508" t="s">
        <v>56929</v>
      </c>
      <c r="W12508" t="s">
        <v>42997</v>
      </c>
      <c r="X12508" t="s">
        <v>44921</v>
      </c>
    </row>
    <row r="12509" spans="1:24">
      <c r="A12509">
        <f>HYPERLINK("https://www.philgeps.gov.ph/GEPSNONPILOT/Tender/SplashBidNoticeAbstractUI.aspx?menuIndex=3&amp;refID=7056504&amp;Result=3","7056504")</f>
        <v>0</v>
      </c>
      <c r="B12509" t="s">
        <v>3226</v>
      </c>
      <c r="C12509" t="s">
        <v>15474</v>
      </c>
      <c r="D12509" t="s">
        <v>18102</v>
      </c>
      <c r="E12509" t="s">
        <v>29026</v>
      </c>
      <c r="F12509" t="s">
        <v>31362</v>
      </c>
      <c r="G12509" t="s">
        <v>31369</v>
      </c>
      <c r="H12509" t="s">
        <v>31379</v>
      </c>
      <c r="I12509" t="s">
        <v>31457</v>
      </c>
      <c r="J12509" t="s">
        <v>36544</v>
      </c>
      <c r="K12509" t="s">
        <v>40662</v>
      </c>
      <c r="M12509" t="s">
        <v>44502</v>
      </c>
      <c r="N12509" t="s">
        <v>44905</v>
      </c>
      <c r="O12509" t="s">
        <v>44906</v>
      </c>
      <c r="P12509">
        <v>0</v>
      </c>
      <c r="Q12509">
        <v>1</v>
      </c>
      <c r="R12509" t="s">
        <v>44920</v>
      </c>
      <c r="S12509" t="s">
        <v>45492</v>
      </c>
      <c r="T12509" t="s">
        <v>46470</v>
      </c>
      <c r="U12509" t="s">
        <v>56930</v>
      </c>
      <c r="W12509" t="s">
        <v>44502</v>
      </c>
      <c r="X12509" t="s">
        <v>44921</v>
      </c>
    </row>
    <row r="12510" spans="1:24">
      <c r="A12510">
        <f>HYPERLINK("https://www.philgeps.gov.ph/GEPSNONPILOT/Tender/SplashBidNoticeAbstractUI.aspx?menuIndex=3&amp;refID=7056470&amp;Result=3","7056470")</f>
        <v>0</v>
      </c>
      <c r="B12510" t="s">
        <v>3245</v>
      </c>
      <c r="C12510" t="s">
        <v>15475</v>
      </c>
      <c r="D12510" t="s">
        <v>18116</v>
      </c>
      <c r="E12510" t="s">
        <v>29009</v>
      </c>
      <c r="F12510" t="s">
        <v>31362</v>
      </c>
      <c r="G12510" t="s">
        <v>31369</v>
      </c>
      <c r="H12510" t="s">
        <v>31378</v>
      </c>
      <c r="I12510" t="s">
        <v>31386</v>
      </c>
      <c r="J12510" t="s">
        <v>39133</v>
      </c>
      <c r="K12510" t="s">
        <v>40682</v>
      </c>
      <c r="M12510" t="s">
        <v>44525</v>
      </c>
      <c r="N12510" t="s">
        <v>44905</v>
      </c>
      <c r="O12510" t="s">
        <v>44906</v>
      </c>
      <c r="Q12510">
        <v>0</v>
      </c>
      <c r="R12510" t="s">
        <v>44920</v>
      </c>
      <c r="S12510" t="s">
        <v>45522</v>
      </c>
      <c r="T12510" t="s">
        <v>46809</v>
      </c>
      <c r="U12510" t="s">
        <v>56913</v>
      </c>
      <c r="V12510" t="s">
        <v>60411</v>
      </c>
      <c r="W12510" t="s">
        <v>44525</v>
      </c>
      <c r="X12510" t="s">
        <v>44921</v>
      </c>
    </row>
    <row r="12511" spans="1:24">
      <c r="A12511">
        <f>HYPERLINK("https://www.philgeps.gov.ph/GEPSNONPILOT/Tender/SplashBidNoticeAbstractUI.aspx?menuIndex=3&amp;refID=7056471&amp;Result=3","7056471")</f>
        <v>0</v>
      </c>
      <c r="B12511" t="s">
        <v>1149</v>
      </c>
      <c r="C12511" t="s">
        <v>15476</v>
      </c>
      <c r="D12511" t="s">
        <v>18100</v>
      </c>
      <c r="E12511" t="s">
        <v>29027</v>
      </c>
      <c r="F12511" t="s">
        <v>31362</v>
      </c>
      <c r="G12511" t="s">
        <v>31372</v>
      </c>
      <c r="H12511" t="s">
        <v>15799</v>
      </c>
      <c r="I12511" t="s">
        <v>31409</v>
      </c>
      <c r="J12511" t="s">
        <v>31634</v>
      </c>
      <c r="K12511" t="s">
        <v>40665</v>
      </c>
      <c r="M12511" t="s">
        <v>42158</v>
      </c>
      <c r="N12511" t="s">
        <v>44905</v>
      </c>
      <c r="O12511" t="s">
        <v>44906</v>
      </c>
      <c r="P12511">
        <v>0</v>
      </c>
      <c r="Q12511">
        <v>3</v>
      </c>
      <c r="R12511" t="s">
        <v>44920</v>
      </c>
      <c r="S12511" t="s">
        <v>45492</v>
      </c>
      <c r="T12511" t="s">
        <v>46499</v>
      </c>
      <c r="U12511" t="s">
        <v>56931</v>
      </c>
      <c r="W12511" t="s">
        <v>42158</v>
      </c>
      <c r="X12511" t="s">
        <v>44921</v>
      </c>
    </row>
    <row r="12512" spans="1:24">
      <c r="A12512">
        <f>HYPERLINK("https://www.philgeps.gov.ph/GEPSNONPILOT/Tender/SplashBidNoticeAbstractUI.aspx?menuIndex=3&amp;refID=7056525&amp;Result=3","7056525")</f>
        <v>0</v>
      </c>
      <c r="B12512" t="s">
        <v>1948</v>
      </c>
      <c r="C12512" t="s">
        <v>15477</v>
      </c>
      <c r="E12512" t="s">
        <v>29028</v>
      </c>
      <c r="F12512" t="s">
        <v>31362</v>
      </c>
      <c r="G12512" t="s">
        <v>31369</v>
      </c>
      <c r="H12512" t="s">
        <v>15799</v>
      </c>
      <c r="I12512" t="s">
        <v>6218</v>
      </c>
      <c r="J12512" t="s">
        <v>39134</v>
      </c>
      <c r="K12512" t="s">
        <v>40665</v>
      </c>
      <c r="M12512" t="s">
        <v>43811</v>
      </c>
      <c r="N12512" t="s">
        <v>44905</v>
      </c>
      <c r="O12512" t="s">
        <v>44906</v>
      </c>
      <c r="Q12512">
        <v>2</v>
      </c>
      <c r="R12512" t="s">
        <v>44920</v>
      </c>
      <c r="S12512" t="s">
        <v>45523</v>
      </c>
      <c r="T12512" t="s">
        <v>46481</v>
      </c>
      <c r="U12512" t="s">
        <v>51909</v>
      </c>
      <c r="W12512" t="s">
        <v>43811</v>
      </c>
      <c r="X12512" t="s">
        <v>44921</v>
      </c>
    </row>
    <row r="12513" spans="1:24">
      <c r="A12513">
        <f>HYPERLINK("https://www.philgeps.gov.ph/GEPSNONPILOT/Tender/SplashBidNoticeAbstractUI.aspx?menuIndex=3&amp;refID=7056434&amp;Result=3","7056434")</f>
        <v>0</v>
      </c>
      <c r="B12513" t="s">
        <v>3245</v>
      </c>
      <c r="C12513" t="s">
        <v>15478</v>
      </c>
      <c r="D12513" t="s">
        <v>18116</v>
      </c>
      <c r="E12513" t="s">
        <v>29009</v>
      </c>
      <c r="F12513" t="s">
        <v>31362</v>
      </c>
      <c r="G12513" t="s">
        <v>31369</v>
      </c>
      <c r="H12513" t="s">
        <v>31378</v>
      </c>
      <c r="I12513" t="s">
        <v>31386</v>
      </c>
      <c r="J12513" t="s">
        <v>31625</v>
      </c>
      <c r="K12513" t="s">
        <v>40682</v>
      </c>
      <c r="M12513" t="s">
        <v>44525</v>
      </c>
      <c r="N12513" t="s">
        <v>44905</v>
      </c>
      <c r="O12513" t="s">
        <v>44906</v>
      </c>
      <c r="Q12513">
        <v>0</v>
      </c>
      <c r="R12513" t="s">
        <v>44920</v>
      </c>
      <c r="S12513" t="s">
        <v>45524</v>
      </c>
      <c r="T12513" t="s">
        <v>46809</v>
      </c>
      <c r="U12513" t="s">
        <v>56913</v>
      </c>
      <c r="V12513" t="s">
        <v>60412</v>
      </c>
      <c r="W12513" t="s">
        <v>44525</v>
      </c>
      <c r="X12513" t="s">
        <v>44921</v>
      </c>
    </row>
    <row r="12514" spans="1:24">
      <c r="A12514">
        <f>HYPERLINK("https://www.philgeps.gov.ph/GEPSNONPILOT/Tender/SplashBidNoticeAbstractUI.aspx?menuIndex=3&amp;refID=7056428&amp;Result=3","7056428")</f>
        <v>0</v>
      </c>
      <c r="B12514" t="s">
        <v>3089</v>
      </c>
      <c r="C12514" t="s">
        <v>15479</v>
      </c>
      <c r="D12514" t="s">
        <v>18134</v>
      </c>
      <c r="E12514" t="s">
        <v>29029</v>
      </c>
      <c r="F12514" t="s">
        <v>31362</v>
      </c>
      <c r="G12514" t="s">
        <v>31369</v>
      </c>
      <c r="H12514" t="s">
        <v>15799</v>
      </c>
      <c r="I12514" t="s">
        <v>6373</v>
      </c>
      <c r="J12514" t="s">
        <v>39135</v>
      </c>
      <c r="K12514" t="s">
        <v>40665</v>
      </c>
      <c r="M12514" t="s">
        <v>44329</v>
      </c>
      <c r="N12514" t="s">
        <v>44905</v>
      </c>
      <c r="O12514" t="s">
        <v>44906</v>
      </c>
      <c r="P12514">
        <v>0</v>
      </c>
      <c r="Q12514">
        <v>13</v>
      </c>
      <c r="R12514" t="s">
        <v>44920</v>
      </c>
      <c r="S12514" t="s">
        <v>45492</v>
      </c>
      <c r="T12514" t="s">
        <v>46857</v>
      </c>
      <c r="U12514" t="s">
        <v>56077</v>
      </c>
      <c r="V12514" t="s">
        <v>60291</v>
      </c>
      <c r="W12514" t="s">
        <v>44329</v>
      </c>
      <c r="X12514" t="s">
        <v>44921</v>
      </c>
    </row>
    <row r="12515" spans="1:24">
      <c r="A12515">
        <f>HYPERLINK("https://www.philgeps.gov.ph/GEPSNONPILOT/Tender/SplashBidNoticeAbstractUI.aspx?menuIndex=3&amp;refID=7056575&amp;Result=3","7056575")</f>
        <v>0</v>
      </c>
      <c r="B12515" t="s">
        <v>3245</v>
      </c>
      <c r="C12515" t="s">
        <v>15480</v>
      </c>
      <c r="D12515" t="s">
        <v>18116</v>
      </c>
      <c r="E12515" t="s">
        <v>29009</v>
      </c>
      <c r="F12515" t="s">
        <v>31362</v>
      </c>
      <c r="G12515" t="s">
        <v>31369</v>
      </c>
      <c r="H12515" t="s">
        <v>31378</v>
      </c>
      <c r="I12515" t="s">
        <v>31386</v>
      </c>
      <c r="J12515" t="s">
        <v>39136</v>
      </c>
      <c r="K12515" t="s">
        <v>40675</v>
      </c>
      <c r="M12515" t="s">
        <v>44525</v>
      </c>
      <c r="N12515" t="s">
        <v>44905</v>
      </c>
      <c r="O12515" t="s">
        <v>44906</v>
      </c>
      <c r="Q12515">
        <v>0</v>
      </c>
      <c r="R12515" t="s">
        <v>44920</v>
      </c>
      <c r="S12515" t="s">
        <v>45525</v>
      </c>
      <c r="T12515" t="s">
        <v>46809</v>
      </c>
      <c r="U12515" t="s">
        <v>56913</v>
      </c>
      <c r="V12515" t="s">
        <v>60413</v>
      </c>
      <c r="W12515" t="s">
        <v>44525</v>
      </c>
      <c r="X12515" t="s">
        <v>44921</v>
      </c>
    </row>
    <row r="12516" spans="1:24">
      <c r="A12516">
        <f>HYPERLINK("https://www.philgeps.gov.ph/GEPSNONPILOT/Tender/SplashBidNoticeAbstractUI.aspx?menuIndex=3&amp;refID=7053275&amp;Result=3","7053275")</f>
        <v>0</v>
      </c>
      <c r="B12516" t="s">
        <v>89</v>
      </c>
      <c r="C12516" t="s">
        <v>15481</v>
      </c>
      <c r="D12516" t="s">
        <v>18109</v>
      </c>
      <c r="E12516" t="s">
        <v>29030</v>
      </c>
      <c r="F12516" t="s">
        <v>31362</v>
      </c>
      <c r="G12516" t="s">
        <v>31369</v>
      </c>
      <c r="H12516" t="s">
        <v>31378</v>
      </c>
      <c r="I12516" t="s">
        <v>31386</v>
      </c>
      <c r="J12516" t="s">
        <v>39137</v>
      </c>
      <c r="K12516" t="s">
        <v>40692</v>
      </c>
      <c r="M12516" t="s">
        <v>41026</v>
      </c>
      <c r="N12516" t="s">
        <v>44905</v>
      </c>
      <c r="O12516" t="s">
        <v>44906</v>
      </c>
      <c r="P12516">
        <v>0</v>
      </c>
      <c r="Q12516">
        <v>6</v>
      </c>
      <c r="R12516" t="s">
        <v>44920</v>
      </c>
      <c r="S12516" t="s">
        <v>45492</v>
      </c>
      <c r="T12516" t="s">
        <v>46611</v>
      </c>
      <c r="U12516" t="s">
        <v>56932</v>
      </c>
      <c r="V12516" t="s">
        <v>60379</v>
      </c>
      <c r="W12516" t="s">
        <v>60833</v>
      </c>
      <c r="X12516" t="s">
        <v>44922</v>
      </c>
    </row>
    <row r="12517" spans="1:24">
      <c r="A12517">
        <f>HYPERLINK("https://www.philgeps.gov.ph/GEPSNONPILOT/Tender/SplashBidNoticeAbstractUI.aspx?menuIndex=3&amp;refID=7056482&amp;Result=3","7056482")</f>
        <v>0</v>
      </c>
      <c r="B12517" t="s">
        <v>3245</v>
      </c>
      <c r="C12517" t="s">
        <v>15482</v>
      </c>
      <c r="D12517" t="s">
        <v>18116</v>
      </c>
      <c r="E12517" t="s">
        <v>29009</v>
      </c>
      <c r="F12517" t="s">
        <v>31362</v>
      </c>
      <c r="G12517" t="s">
        <v>31369</v>
      </c>
      <c r="H12517" t="s">
        <v>31378</v>
      </c>
      <c r="I12517" t="s">
        <v>31386</v>
      </c>
      <c r="J12517" t="s">
        <v>31625</v>
      </c>
      <c r="K12517" t="s">
        <v>40682</v>
      </c>
      <c r="M12517" t="s">
        <v>44525</v>
      </c>
      <c r="N12517" t="s">
        <v>44905</v>
      </c>
      <c r="O12517" t="s">
        <v>44906</v>
      </c>
      <c r="Q12517">
        <v>0</v>
      </c>
      <c r="R12517" t="s">
        <v>44920</v>
      </c>
      <c r="S12517" t="s">
        <v>45526</v>
      </c>
      <c r="T12517" t="s">
        <v>46809</v>
      </c>
      <c r="U12517" t="s">
        <v>56913</v>
      </c>
      <c r="V12517" t="s">
        <v>60414</v>
      </c>
      <c r="W12517" t="s">
        <v>44525</v>
      </c>
      <c r="X12517" t="s">
        <v>44921</v>
      </c>
    </row>
    <row r="12518" spans="1:24">
      <c r="A12518">
        <f>HYPERLINK("https://www.philgeps.gov.ph/GEPSNONPILOT/Tender/SplashBidNoticeAbstractUI.aspx?menuIndex=3&amp;refID=7056441&amp;Result=3","7056441")</f>
        <v>0</v>
      </c>
      <c r="B12518" t="s">
        <v>3245</v>
      </c>
      <c r="C12518" t="s">
        <v>15483</v>
      </c>
      <c r="D12518" t="s">
        <v>18116</v>
      </c>
      <c r="E12518" t="s">
        <v>29009</v>
      </c>
      <c r="F12518" t="s">
        <v>31362</v>
      </c>
      <c r="G12518" t="s">
        <v>31369</v>
      </c>
      <c r="H12518" t="s">
        <v>31378</v>
      </c>
      <c r="I12518" t="s">
        <v>31386</v>
      </c>
      <c r="J12518" t="s">
        <v>31625</v>
      </c>
      <c r="K12518" t="s">
        <v>40682</v>
      </c>
      <c r="M12518" t="s">
        <v>44525</v>
      </c>
      <c r="N12518" t="s">
        <v>44905</v>
      </c>
      <c r="O12518" t="s">
        <v>44906</v>
      </c>
      <c r="Q12518">
        <v>0</v>
      </c>
      <c r="R12518" t="s">
        <v>44920</v>
      </c>
      <c r="S12518" t="s">
        <v>45527</v>
      </c>
      <c r="T12518" t="s">
        <v>46809</v>
      </c>
      <c r="U12518" t="s">
        <v>56913</v>
      </c>
      <c r="V12518" t="s">
        <v>60415</v>
      </c>
      <c r="W12518" t="s">
        <v>44525</v>
      </c>
      <c r="X12518" t="s">
        <v>44921</v>
      </c>
    </row>
    <row r="12519" spans="1:24">
      <c r="A12519">
        <f>HYPERLINK("https://www.philgeps.gov.ph/GEPSNONPILOT/Tender/SplashBidNoticeAbstractUI.aspx?menuIndex=3&amp;refID=7056662&amp;Result=3","7056662")</f>
        <v>0</v>
      </c>
      <c r="B12519" t="s">
        <v>3252</v>
      </c>
      <c r="C12519" t="s">
        <v>15484</v>
      </c>
      <c r="D12519" t="s">
        <v>18108</v>
      </c>
      <c r="E12519" t="s">
        <v>29031</v>
      </c>
      <c r="F12519" t="s">
        <v>31362</v>
      </c>
      <c r="G12519" t="s">
        <v>31369</v>
      </c>
      <c r="H12519" t="s">
        <v>31378</v>
      </c>
      <c r="I12519" t="s">
        <v>31386</v>
      </c>
      <c r="J12519" t="s">
        <v>39138</v>
      </c>
      <c r="K12519" t="s">
        <v>40728</v>
      </c>
      <c r="M12519" t="s">
        <v>44532</v>
      </c>
      <c r="N12519" t="s">
        <v>44905</v>
      </c>
      <c r="O12519" t="s">
        <v>44906</v>
      </c>
      <c r="P12519">
        <v>0</v>
      </c>
      <c r="Q12519">
        <v>40</v>
      </c>
      <c r="R12519" t="s">
        <v>44920</v>
      </c>
      <c r="S12519" t="s">
        <v>45492</v>
      </c>
      <c r="T12519" t="s">
        <v>46493</v>
      </c>
      <c r="U12519" t="s">
        <v>56933</v>
      </c>
      <c r="V12519" t="s">
        <v>60416</v>
      </c>
      <c r="W12519" t="s">
        <v>44532</v>
      </c>
      <c r="X12519" t="s">
        <v>44921</v>
      </c>
    </row>
    <row r="12520" spans="1:24">
      <c r="A12520">
        <f>HYPERLINK("https://www.philgeps.gov.ph/GEPSNONPILOT/Tender/SplashBidNoticeAbstractUI.aspx?menuIndex=3&amp;refID=7054563&amp;Result=3","7054563")</f>
        <v>0</v>
      </c>
      <c r="B12520" t="s">
        <v>3238</v>
      </c>
      <c r="C12520" t="s">
        <v>15485</v>
      </c>
      <c r="E12520" t="s">
        <v>29032</v>
      </c>
      <c r="F12520" t="s">
        <v>31362</v>
      </c>
      <c r="G12520" t="s">
        <v>31369</v>
      </c>
      <c r="H12520" t="s">
        <v>15799</v>
      </c>
      <c r="I12520" t="s">
        <v>31396</v>
      </c>
      <c r="J12520" t="s">
        <v>33028</v>
      </c>
      <c r="K12520" t="s">
        <v>40662</v>
      </c>
      <c r="M12520" t="s">
        <v>44515</v>
      </c>
      <c r="N12520" t="s">
        <v>44905</v>
      </c>
      <c r="O12520" t="s">
        <v>44906</v>
      </c>
      <c r="Q12520">
        <v>21</v>
      </c>
      <c r="R12520" t="s">
        <v>44920</v>
      </c>
      <c r="S12520" t="s">
        <v>45528</v>
      </c>
      <c r="T12520" t="s">
        <v>46856</v>
      </c>
      <c r="U12520" t="s">
        <v>56934</v>
      </c>
      <c r="V12520" t="s">
        <v>60417</v>
      </c>
      <c r="W12520" t="s">
        <v>44515</v>
      </c>
      <c r="X12520" t="s">
        <v>44922</v>
      </c>
    </row>
    <row r="12521" spans="1:24">
      <c r="A12521">
        <f>HYPERLINK("https://www.philgeps.gov.ph/GEPSNONPILOT/Tender/SplashBidNoticeAbstractUI.aspx?menuIndex=3&amp;refID=7056657&amp;Result=3","7056657")</f>
        <v>0</v>
      </c>
      <c r="B12521" t="s">
        <v>1235</v>
      </c>
      <c r="C12521" t="s">
        <v>15486</v>
      </c>
      <c r="E12521" t="s">
        <v>29033</v>
      </c>
      <c r="F12521" t="s">
        <v>31362</v>
      </c>
      <c r="G12521" t="s">
        <v>31369</v>
      </c>
      <c r="H12521" t="s">
        <v>15799</v>
      </c>
      <c r="I12521" t="s">
        <v>31383</v>
      </c>
      <c r="J12521" t="s">
        <v>33482</v>
      </c>
      <c r="K12521" t="s">
        <v>40662</v>
      </c>
      <c r="M12521" t="s">
        <v>44523</v>
      </c>
      <c r="N12521" t="s">
        <v>44905</v>
      </c>
      <c r="O12521" t="s">
        <v>44906</v>
      </c>
      <c r="P12521">
        <v>0</v>
      </c>
      <c r="Q12521">
        <v>5</v>
      </c>
      <c r="R12521" t="s">
        <v>44920</v>
      </c>
      <c r="S12521" t="s">
        <v>45492</v>
      </c>
      <c r="T12521" t="s">
        <v>46481</v>
      </c>
      <c r="U12521" t="s">
        <v>56935</v>
      </c>
      <c r="W12521" t="s">
        <v>44523</v>
      </c>
      <c r="X12521" t="s">
        <v>44921</v>
      </c>
    </row>
    <row r="12522" spans="1:24">
      <c r="A12522">
        <f>HYPERLINK("https://www.philgeps.gov.ph/GEPSNONPILOT/Tender/SplashBidNoticeAbstractUI.aspx?menuIndex=3&amp;refID=7056646&amp;Result=3","7056646")</f>
        <v>0</v>
      </c>
      <c r="B12522" t="s">
        <v>3253</v>
      </c>
      <c r="C12522" t="s">
        <v>15487</v>
      </c>
      <c r="D12522" t="s">
        <v>18135</v>
      </c>
      <c r="E12522" t="s">
        <v>29034</v>
      </c>
      <c r="F12522" t="s">
        <v>31362</v>
      </c>
      <c r="G12522" t="s">
        <v>31369</v>
      </c>
      <c r="H12522" t="s">
        <v>15799</v>
      </c>
      <c r="I12522" t="s">
        <v>31409</v>
      </c>
      <c r="J12522" t="s">
        <v>31615</v>
      </c>
      <c r="K12522" t="s">
        <v>40682</v>
      </c>
      <c r="M12522" t="s">
        <v>44533</v>
      </c>
      <c r="N12522" t="s">
        <v>44905</v>
      </c>
      <c r="O12522" t="s">
        <v>44906</v>
      </c>
      <c r="P12522">
        <v>0</v>
      </c>
      <c r="Q12522">
        <v>6</v>
      </c>
      <c r="R12522" t="s">
        <v>44920</v>
      </c>
      <c r="S12522" t="s">
        <v>45492</v>
      </c>
      <c r="T12522" t="s">
        <v>46482</v>
      </c>
      <c r="U12522" t="s">
        <v>56936</v>
      </c>
      <c r="W12522" t="s">
        <v>44533</v>
      </c>
      <c r="X12522" t="s">
        <v>44921</v>
      </c>
    </row>
    <row r="12523" spans="1:24">
      <c r="A12523">
        <f>HYPERLINK("https://www.philgeps.gov.ph/GEPSNONPILOT/Tender/SplashBidNoticeAbstractUI.aspx?menuIndex=3&amp;refID=7056645&amp;Result=3","7056645")</f>
        <v>0</v>
      </c>
      <c r="B12523" t="s">
        <v>3245</v>
      </c>
      <c r="C12523" t="s">
        <v>15488</v>
      </c>
      <c r="D12523" t="s">
        <v>18116</v>
      </c>
      <c r="E12523" t="s">
        <v>29009</v>
      </c>
      <c r="F12523" t="s">
        <v>31362</v>
      </c>
      <c r="G12523" t="s">
        <v>31369</v>
      </c>
      <c r="H12523" t="s">
        <v>31378</v>
      </c>
      <c r="I12523" t="s">
        <v>31386</v>
      </c>
      <c r="J12523" t="s">
        <v>39139</v>
      </c>
      <c r="K12523" t="s">
        <v>40675</v>
      </c>
      <c r="M12523" t="s">
        <v>44525</v>
      </c>
      <c r="N12523" t="s">
        <v>44905</v>
      </c>
      <c r="O12523" t="s">
        <v>44906</v>
      </c>
      <c r="Q12523">
        <v>0</v>
      </c>
      <c r="R12523" t="s">
        <v>44920</v>
      </c>
      <c r="S12523" t="s">
        <v>45529</v>
      </c>
      <c r="T12523" t="s">
        <v>46809</v>
      </c>
      <c r="U12523" t="s">
        <v>56913</v>
      </c>
      <c r="V12523" t="s">
        <v>60418</v>
      </c>
      <c r="W12523" t="s">
        <v>44525</v>
      </c>
      <c r="X12523" t="s">
        <v>44921</v>
      </c>
    </row>
    <row r="12524" spans="1:24">
      <c r="A12524">
        <f>HYPERLINK("https://www.philgeps.gov.ph/GEPSNONPILOT/Tender/SplashBidNoticeAbstractUI.aspx?menuIndex=3&amp;refID=7056664&amp;Result=3","7056664")</f>
        <v>0</v>
      </c>
      <c r="B12524" t="s">
        <v>1902</v>
      </c>
      <c r="C12524" t="s">
        <v>15489</v>
      </c>
      <c r="D12524" t="s">
        <v>18122</v>
      </c>
      <c r="E12524" t="s">
        <v>29035</v>
      </c>
      <c r="F12524" t="s">
        <v>31362</v>
      </c>
      <c r="G12524" t="s">
        <v>31369</v>
      </c>
      <c r="H12524" t="s">
        <v>15799</v>
      </c>
      <c r="I12524" t="s">
        <v>7188</v>
      </c>
      <c r="J12524" t="s">
        <v>31919</v>
      </c>
      <c r="K12524" t="s">
        <v>40662</v>
      </c>
      <c r="M12524" t="s">
        <v>42997</v>
      </c>
      <c r="N12524" t="s">
        <v>44905</v>
      </c>
      <c r="O12524" t="s">
        <v>44906</v>
      </c>
      <c r="P12524">
        <v>0</v>
      </c>
      <c r="Q12524">
        <v>3</v>
      </c>
      <c r="R12524" t="s">
        <v>44920</v>
      </c>
      <c r="S12524" t="s">
        <v>45492</v>
      </c>
      <c r="T12524" t="s">
        <v>46400</v>
      </c>
      <c r="U12524" t="s">
        <v>56937</v>
      </c>
      <c r="W12524" t="s">
        <v>42997</v>
      </c>
      <c r="X12524" t="s">
        <v>44921</v>
      </c>
    </row>
    <row r="12525" spans="1:24">
      <c r="A12525">
        <f>HYPERLINK("https://www.philgeps.gov.ph/GEPSNONPILOT/Tender/SplashBidNoticeAbstractUI.aspx?menuIndex=3&amp;refID=7056644&amp;Result=3","7056644")</f>
        <v>0</v>
      </c>
      <c r="B12525" t="s">
        <v>1235</v>
      </c>
      <c r="C12525" t="s">
        <v>15490</v>
      </c>
      <c r="E12525" t="s">
        <v>29036</v>
      </c>
      <c r="F12525" t="s">
        <v>31362</v>
      </c>
      <c r="G12525" t="s">
        <v>31369</v>
      </c>
      <c r="H12525" t="s">
        <v>15799</v>
      </c>
      <c r="I12525" t="s">
        <v>6373</v>
      </c>
      <c r="J12525" t="s">
        <v>39140</v>
      </c>
      <c r="K12525" t="s">
        <v>40662</v>
      </c>
      <c r="M12525" t="s">
        <v>44523</v>
      </c>
      <c r="N12525" t="s">
        <v>44905</v>
      </c>
      <c r="O12525" t="s">
        <v>44906</v>
      </c>
      <c r="P12525">
        <v>0</v>
      </c>
      <c r="Q12525">
        <v>10</v>
      </c>
      <c r="R12525" t="s">
        <v>44920</v>
      </c>
      <c r="S12525" t="s">
        <v>45492</v>
      </c>
      <c r="T12525" t="s">
        <v>46481</v>
      </c>
      <c r="U12525" t="s">
        <v>56938</v>
      </c>
      <c r="W12525" t="s">
        <v>44523</v>
      </c>
      <c r="X12525" t="s">
        <v>44921</v>
      </c>
    </row>
    <row r="12526" spans="1:24">
      <c r="A12526">
        <f>HYPERLINK("https://www.philgeps.gov.ph/GEPSNONPILOT/Tender/SplashBidNoticeAbstractUI.aspx?menuIndex=3&amp;refID=7056618&amp;Result=3","7056618")</f>
        <v>0</v>
      </c>
      <c r="B12526" t="s">
        <v>3252</v>
      </c>
      <c r="C12526" t="s">
        <v>15491</v>
      </c>
      <c r="D12526" t="s">
        <v>18108</v>
      </c>
      <c r="E12526" t="s">
        <v>29037</v>
      </c>
      <c r="F12526" t="s">
        <v>31362</v>
      </c>
      <c r="G12526" t="s">
        <v>31369</v>
      </c>
      <c r="H12526" t="s">
        <v>31378</v>
      </c>
      <c r="I12526" t="s">
        <v>31386</v>
      </c>
      <c r="J12526" t="s">
        <v>39141</v>
      </c>
      <c r="K12526" t="s">
        <v>40728</v>
      </c>
      <c r="M12526" t="s">
        <v>44532</v>
      </c>
      <c r="N12526" t="s">
        <v>44905</v>
      </c>
      <c r="O12526" t="s">
        <v>44906</v>
      </c>
      <c r="P12526">
        <v>0</v>
      </c>
      <c r="Q12526">
        <v>38</v>
      </c>
      <c r="R12526" t="s">
        <v>44920</v>
      </c>
      <c r="S12526" t="s">
        <v>45492</v>
      </c>
      <c r="T12526" t="s">
        <v>46493</v>
      </c>
      <c r="U12526" t="s">
        <v>56939</v>
      </c>
      <c r="V12526" t="s">
        <v>60416</v>
      </c>
      <c r="W12526" t="s">
        <v>44532</v>
      </c>
      <c r="X12526" t="s">
        <v>44921</v>
      </c>
    </row>
    <row r="12527" spans="1:24">
      <c r="A12527">
        <f>HYPERLINK("https://www.philgeps.gov.ph/GEPSNONPILOT/Tender/SplashBidNoticeAbstractUI.aspx?menuIndex=3&amp;refID=7056663&amp;Result=3","7056663")</f>
        <v>0</v>
      </c>
      <c r="B12527" t="s">
        <v>571</v>
      </c>
      <c r="C12527" t="s">
        <v>15492</v>
      </c>
      <c r="D12527" t="s">
        <v>18174</v>
      </c>
      <c r="E12527" t="s">
        <v>29038</v>
      </c>
      <c r="F12527" t="s">
        <v>31362</v>
      </c>
      <c r="G12527" t="s">
        <v>31368</v>
      </c>
      <c r="H12527" t="s">
        <v>15799</v>
      </c>
      <c r="I12527" t="s">
        <v>31414</v>
      </c>
      <c r="J12527" t="s">
        <v>39142</v>
      </c>
      <c r="K12527" t="s">
        <v>40693</v>
      </c>
      <c r="M12527" t="s">
        <v>41527</v>
      </c>
      <c r="N12527" t="s">
        <v>44905</v>
      </c>
      <c r="O12527" t="s">
        <v>44906</v>
      </c>
      <c r="Q12527">
        <v>0</v>
      </c>
      <c r="R12527" t="s">
        <v>44920</v>
      </c>
      <c r="S12527" t="s">
        <v>45111</v>
      </c>
      <c r="T12527" t="s">
        <v>46454</v>
      </c>
      <c r="U12527" t="s">
        <v>56940</v>
      </c>
      <c r="W12527" t="s">
        <v>41527</v>
      </c>
      <c r="X12527" t="s">
        <v>44921</v>
      </c>
    </row>
    <row r="12528" spans="1:24">
      <c r="A12528">
        <f>HYPERLINK("https://www.philgeps.gov.ph/GEPSNONPILOT/Tender/SplashBidNoticeAbstractUI.aspx?menuIndex=3&amp;refID=7056617&amp;Result=3","7056617")</f>
        <v>0</v>
      </c>
      <c r="B12528" t="s">
        <v>3245</v>
      </c>
      <c r="C12528" t="s">
        <v>15493</v>
      </c>
      <c r="D12528" t="s">
        <v>18116</v>
      </c>
      <c r="E12528" t="s">
        <v>29009</v>
      </c>
      <c r="F12528" t="s">
        <v>31362</v>
      </c>
      <c r="G12528" t="s">
        <v>31369</v>
      </c>
      <c r="H12528" t="s">
        <v>31378</v>
      </c>
      <c r="I12528" t="s">
        <v>31386</v>
      </c>
      <c r="J12528" t="s">
        <v>39139</v>
      </c>
      <c r="K12528" t="s">
        <v>40675</v>
      </c>
      <c r="M12528" t="s">
        <v>44525</v>
      </c>
      <c r="N12528" t="s">
        <v>44905</v>
      </c>
      <c r="O12528" t="s">
        <v>44906</v>
      </c>
      <c r="Q12528">
        <v>0</v>
      </c>
      <c r="R12528" t="s">
        <v>44920</v>
      </c>
      <c r="S12528" t="s">
        <v>45530</v>
      </c>
      <c r="T12528" t="s">
        <v>46809</v>
      </c>
      <c r="U12528" t="s">
        <v>56913</v>
      </c>
      <c r="V12528" t="s">
        <v>60419</v>
      </c>
      <c r="W12528" t="s">
        <v>44525</v>
      </c>
      <c r="X12528" t="s">
        <v>44921</v>
      </c>
    </row>
    <row r="12529" spans="1:24">
      <c r="A12529">
        <f>HYPERLINK("https://www.philgeps.gov.ph/GEPSNONPILOT/Tender/SplashBidNoticeAbstractUI.aspx?menuIndex=3&amp;refID=7056627&amp;Result=3","7056627")</f>
        <v>0</v>
      </c>
      <c r="B12529" t="s">
        <v>1235</v>
      </c>
      <c r="C12529" t="s">
        <v>15494</v>
      </c>
      <c r="E12529" t="s">
        <v>29039</v>
      </c>
      <c r="F12529" t="s">
        <v>31362</v>
      </c>
      <c r="G12529" t="s">
        <v>31369</v>
      </c>
      <c r="H12529" t="s">
        <v>15799</v>
      </c>
      <c r="I12529" t="s">
        <v>31389</v>
      </c>
      <c r="J12529" t="s">
        <v>39143</v>
      </c>
      <c r="K12529" t="s">
        <v>40662</v>
      </c>
      <c r="M12529" t="s">
        <v>44523</v>
      </c>
      <c r="N12529" t="s">
        <v>44905</v>
      </c>
      <c r="O12529" t="s">
        <v>44906</v>
      </c>
      <c r="P12529">
        <v>0</v>
      </c>
      <c r="Q12529">
        <v>19</v>
      </c>
      <c r="R12529" t="s">
        <v>44920</v>
      </c>
      <c r="S12529" t="s">
        <v>45492</v>
      </c>
      <c r="T12529" t="s">
        <v>46481</v>
      </c>
      <c r="U12529" t="s">
        <v>56941</v>
      </c>
      <c r="W12529" t="s">
        <v>44523</v>
      </c>
      <c r="X12529" t="s">
        <v>44921</v>
      </c>
    </row>
    <row r="12530" spans="1:24">
      <c r="A12530">
        <f>HYPERLINK("https://www.philgeps.gov.ph/GEPSNONPILOT/Tender/SplashBidNoticeAbstractUI.aspx?menuIndex=3&amp;refID=7056647&amp;Result=3","7056647")</f>
        <v>0</v>
      </c>
      <c r="B12530" t="s">
        <v>1753</v>
      </c>
      <c r="C12530" t="s">
        <v>15495</v>
      </c>
      <c r="D12530" t="s">
        <v>18125</v>
      </c>
      <c r="E12530" t="s">
        <v>29040</v>
      </c>
      <c r="F12530" t="s">
        <v>31362</v>
      </c>
      <c r="G12530" t="s">
        <v>31369</v>
      </c>
      <c r="H12530" t="s">
        <v>31379</v>
      </c>
      <c r="I12530" t="s">
        <v>31388</v>
      </c>
      <c r="J12530" t="s">
        <v>39144</v>
      </c>
      <c r="K12530" t="s">
        <v>40723</v>
      </c>
      <c r="M12530" t="s">
        <v>42828</v>
      </c>
      <c r="N12530" t="s">
        <v>44905</v>
      </c>
      <c r="O12530" t="s">
        <v>44906</v>
      </c>
      <c r="P12530">
        <v>0</v>
      </c>
      <c r="Q12530">
        <v>0</v>
      </c>
      <c r="R12530" t="s">
        <v>44920</v>
      </c>
      <c r="S12530" t="s">
        <v>45492</v>
      </c>
      <c r="T12530" t="s">
        <v>46427</v>
      </c>
      <c r="U12530" t="s">
        <v>56942</v>
      </c>
      <c r="W12530" t="s">
        <v>42828</v>
      </c>
      <c r="X12530" t="s">
        <v>44921</v>
      </c>
    </row>
    <row r="12531" spans="1:24">
      <c r="A12531">
        <f>HYPERLINK("https://www.philgeps.gov.ph/GEPSNONPILOT/Tender/SplashBidNoticeAbstractUI.aspx?menuIndex=3&amp;refID=7056789&amp;Result=3","7056789")</f>
        <v>0</v>
      </c>
      <c r="B12531" t="s">
        <v>3245</v>
      </c>
      <c r="C12531" t="s">
        <v>15496</v>
      </c>
      <c r="D12531" t="s">
        <v>18116</v>
      </c>
      <c r="E12531" t="s">
        <v>29009</v>
      </c>
      <c r="F12531" t="s">
        <v>31362</v>
      </c>
      <c r="G12531" t="s">
        <v>31369</v>
      </c>
      <c r="H12531" t="s">
        <v>31378</v>
      </c>
      <c r="I12531" t="s">
        <v>31386</v>
      </c>
      <c r="J12531" t="s">
        <v>39145</v>
      </c>
      <c r="K12531" t="s">
        <v>40682</v>
      </c>
      <c r="M12531" t="s">
        <v>44525</v>
      </c>
      <c r="N12531" t="s">
        <v>44905</v>
      </c>
      <c r="O12531" t="s">
        <v>44906</v>
      </c>
      <c r="Q12531">
        <v>0</v>
      </c>
      <c r="R12531" t="s">
        <v>44920</v>
      </c>
      <c r="S12531" t="s">
        <v>45531</v>
      </c>
      <c r="T12531" t="s">
        <v>46809</v>
      </c>
      <c r="U12531" t="s">
        <v>56913</v>
      </c>
      <c r="V12531" t="s">
        <v>60420</v>
      </c>
      <c r="W12531" t="s">
        <v>44525</v>
      </c>
      <c r="X12531" t="s">
        <v>44921</v>
      </c>
    </row>
    <row r="12532" spans="1:24">
      <c r="A12532">
        <f>HYPERLINK("https://www.philgeps.gov.ph/GEPSNONPILOT/Tender/SplashBidNoticeAbstractUI.aspx?menuIndex=3&amp;refID=7056676&amp;Result=3","7056676")</f>
        <v>0</v>
      </c>
      <c r="B12532" t="s">
        <v>3252</v>
      </c>
      <c r="C12532" t="s">
        <v>15497</v>
      </c>
      <c r="D12532" t="s">
        <v>18108</v>
      </c>
      <c r="E12532" t="s">
        <v>29041</v>
      </c>
      <c r="F12532" t="s">
        <v>31362</v>
      </c>
      <c r="G12532" t="s">
        <v>31369</v>
      </c>
      <c r="H12532" t="s">
        <v>31378</v>
      </c>
      <c r="I12532" t="s">
        <v>31386</v>
      </c>
      <c r="J12532" t="s">
        <v>39146</v>
      </c>
      <c r="K12532" t="s">
        <v>40683</v>
      </c>
      <c r="M12532" t="s">
        <v>44532</v>
      </c>
      <c r="N12532" t="s">
        <v>44905</v>
      </c>
      <c r="O12532" t="s">
        <v>44906</v>
      </c>
      <c r="P12532">
        <v>0</v>
      </c>
      <c r="Q12532">
        <v>67</v>
      </c>
      <c r="R12532" t="s">
        <v>44920</v>
      </c>
      <c r="S12532" t="s">
        <v>45492</v>
      </c>
      <c r="T12532" t="s">
        <v>46493</v>
      </c>
      <c r="U12532" t="s">
        <v>56943</v>
      </c>
      <c r="V12532" t="s">
        <v>60416</v>
      </c>
      <c r="W12532" t="s">
        <v>44532</v>
      </c>
      <c r="X12532" t="s">
        <v>44921</v>
      </c>
    </row>
    <row r="12533" spans="1:24">
      <c r="A12533">
        <f>HYPERLINK("https://www.philgeps.gov.ph/GEPSNONPILOT/Tender/SplashBidNoticeAbstractUI.aspx?menuIndex=3&amp;refID=7056784&amp;Result=3","7056784")</f>
        <v>0</v>
      </c>
      <c r="B12533" t="s">
        <v>1149</v>
      </c>
      <c r="C12533" t="s">
        <v>15498</v>
      </c>
      <c r="D12533" t="s">
        <v>18100</v>
      </c>
      <c r="E12533" t="s">
        <v>29042</v>
      </c>
      <c r="F12533" t="s">
        <v>31362</v>
      </c>
      <c r="G12533" t="s">
        <v>31372</v>
      </c>
      <c r="H12533" t="s">
        <v>15799</v>
      </c>
      <c r="I12533" t="s">
        <v>31409</v>
      </c>
      <c r="J12533" t="s">
        <v>31641</v>
      </c>
      <c r="K12533" t="s">
        <v>40665</v>
      </c>
      <c r="M12533" t="s">
        <v>42158</v>
      </c>
      <c r="N12533" t="s">
        <v>44905</v>
      </c>
      <c r="O12533" t="s">
        <v>44906</v>
      </c>
      <c r="P12533">
        <v>0</v>
      </c>
      <c r="Q12533">
        <v>3</v>
      </c>
      <c r="R12533" t="s">
        <v>44920</v>
      </c>
      <c r="S12533" t="s">
        <v>45492</v>
      </c>
      <c r="T12533" t="s">
        <v>46499</v>
      </c>
      <c r="U12533" t="s">
        <v>56944</v>
      </c>
      <c r="W12533" t="s">
        <v>42158</v>
      </c>
      <c r="X12533" t="s">
        <v>44921</v>
      </c>
    </row>
    <row r="12534" spans="1:24">
      <c r="A12534">
        <f>HYPERLINK("https://www.philgeps.gov.ph/GEPSNONPILOT/Tender/SplashBidNoticeAbstractUI.aspx?menuIndex=3&amp;refID=7056763&amp;Result=3","7056763")</f>
        <v>0</v>
      </c>
      <c r="B12534" t="s">
        <v>3245</v>
      </c>
      <c r="C12534" t="s">
        <v>15499</v>
      </c>
      <c r="D12534" t="s">
        <v>18116</v>
      </c>
      <c r="E12534" t="s">
        <v>29009</v>
      </c>
      <c r="F12534" t="s">
        <v>31362</v>
      </c>
      <c r="G12534" t="s">
        <v>31369</v>
      </c>
      <c r="H12534" t="s">
        <v>31378</v>
      </c>
      <c r="I12534" t="s">
        <v>31386</v>
      </c>
      <c r="J12534" t="s">
        <v>39145</v>
      </c>
      <c r="K12534" t="s">
        <v>40682</v>
      </c>
      <c r="M12534" t="s">
        <v>44525</v>
      </c>
      <c r="N12534" t="s">
        <v>44905</v>
      </c>
      <c r="O12534" t="s">
        <v>44906</v>
      </c>
      <c r="Q12534">
        <v>0</v>
      </c>
      <c r="R12534" t="s">
        <v>44920</v>
      </c>
      <c r="S12534" t="s">
        <v>45532</v>
      </c>
      <c r="T12534" t="s">
        <v>46809</v>
      </c>
      <c r="U12534" t="s">
        <v>56913</v>
      </c>
      <c r="V12534" t="s">
        <v>60421</v>
      </c>
      <c r="W12534" t="s">
        <v>44525</v>
      </c>
      <c r="X12534" t="s">
        <v>44921</v>
      </c>
    </row>
    <row r="12535" spans="1:24">
      <c r="A12535">
        <f>HYPERLINK("https://www.philgeps.gov.ph/GEPSNONPILOT/Tender/SplashBidNoticeAbstractUI.aspx?menuIndex=3&amp;refID=7056754&amp;Result=3","7056754")</f>
        <v>0</v>
      </c>
      <c r="B12535" t="s">
        <v>849</v>
      </c>
      <c r="C12535" t="s">
        <v>15500</v>
      </c>
      <c r="D12535" t="s">
        <v>18108</v>
      </c>
      <c r="E12535" t="s">
        <v>29043</v>
      </c>
      <c r="F12535" t="s">
        <v>31362</v>
      </c>
      <c r="G12535" t="s">
        <v>31369</v>
      </c>
      <c r="H12535" t="s">
        <v>31378</v>
      </c>
      <c r="I12535" t="s">
        <v>31386</v>
      </c>
      <c r="J12535" t="s">
        <v>39147</v>
      </c>
      <c r="K12535" t="s">
        <v>40728</v>
      </c>
      <c r="M12535" t="s">
        <v>44340</v>
      </c>
      <c r="N12535" t="s">
        <v>44905</v>
      </c>
      <c r="O12535" t="s">
        <v>44906</v>
      </c>
      <c r="P12535">
        <v>0</v>
      </c>
      <c r="Q12535">
        <v>1</v>
      </c>
      <c r="R12535" t="s">
        <v>44920</v>
      </c>
      <c r="S12535" t="s">
        <v>45492</v>
      </c>
      <c r="T12535" t="s">
        <v>46533</v>
      </c>
      <c r="U12535" t="s">
        <v>56945</v>
      </c>
      <c r="W12535" t="s">
        <v>44340</v>
      </c>
      <c r="X12535" t="s">
        <v>44921</v>
      </c>
    </row>
    <row r="12536" spans="1:24">
      <c r="A12536">
        <f>HYPERLINK("https://www.philgeps.gov.ph/GEPSNONPILOT/Tender/SplashBidNoticeAbstractUI.aspx?menuIndex=3&amp;refID=7056738&amp;Result=3","7056738")</f>
        <v>0</v>
      </c>
      <c r="B12536" t="s">
        <v>3254</v>
      </c>
      <c r="C12536" t="s">
        <v>12194</v>
      </c>
      <c r="D12536" t="s">
        <v>18148</v>
      </c>
      <c r="E12536" t="s">
        <v>29044</v>
      </c>
      <c r="F12536" t="s">
        <v>31362</v>
      </c>
      <c r="G12536" t="s">
        <v>31369</v>
      </c>
      <c r="H12536" t="s">
        <v>15799</v>
      </c>
      <c r="I12536" t="s">
        <v>3815</v>
      </c>
      <c r="J12536" t="s">
        <v>31536</v>
      </c>
      <c r="K12536" t="s">
        <v>40665</v>
      </c>
      <c r="M12536" t="s">
        <v>44534</v>
      </c>
      <c r="N12536" t="s">
        <v>44905</v>
      </c>
      <c r="O12536" t="s">
        <v>44906</v>
      </c>
      <c r="P12536">
        <v>0</v>
      </c>
      <c r="Q12536">
        <v>4</v>
      </c>
      <c r="R12536" t="s">
        <v>44920</v>
      </c>
      <c r="S12536" t="s">
        <v>45492</v>
      </c>
      <c r="T12536" t="s">
        <v>46499</v>
      </c>
      <c r="U12536" t="s">
        <v>56946</v>
      </c>
      <c r="W12536" t="s">
        <v>44534</v>
      </c>
      <c r="X12536" t="s">
        <v>44921</v>
      </c>
    </row>
    <row r="12537" spans="1:24">
      <c r="A12537">
        <f>HYPERLINK("https://www.philgeps.gov.ph/GEPSNONPILOT/Tender/SplashBidNoticeAbstractUI.aspx?menuIndex=3&amp;refID=7054771&amp;Result=3","7054771")</f>
        <v>0</v>
      </c>
      <c r="B12537" t="s">
        <v>729</v>
      </c>
      <c r="C12537" t="s">
        <v>15501</v>
      </c>
      <c r="D12537" t="s">
        <v>18160</v>
      </c>
      <c r="E12537" t="s">
        <v>29045</v>
      </c>
      <c r="F12537" t="s">
        <v>31362</v>
      </c>
      <c r="G12537" t="s">
        <v>31369</v>
      </c>
      <c r="H12537" t="s">
        <v>31378</v>
      </c>
      <c r="I12537" t="s">
        <v>31386</v>
      </c>
      <c r="J12537" t="s">
        <v>39148</v>
      </c>
      <c r="K12537" t="s">
        <v>40774</v>
      </c>
      <c r="M12537" t="s">
        <v>41696</v>
      </c>
      <c r="N12537" t="s">
        <v>44905</v>
      </c>
      <c r="O12537" t="s">
        <v>44906</v>
      </c>
      <c r="P12537">
        <v>0</v>
      </c>
      <c r="Q12537">
        <v>0</v>
      </c>
      <c r="R12537" t="s">
        <v>44920</v>
      </c>
      <c r="S12537" t="s">
        <v>45492</v>
      </c>
      <c r="T12537" t="s">
        <v>46470</v>
      </c>
      <c r="U12537" t="s">
        <v>56894</v>
      </c>
      <c r="V12537" t="s">
        <v>60422</v>
      </c>
      <c r="W12537" t="s">
        <v>41696</v>
      </c>
      <c r="X12537" t="s">
        <v>44922</v>
      </c>
    </row>
    <row r="12538" spans="1:24">
      <c r="A12538">
        <f>HYPERLINK("https://www.philgeps.gov.ph/GEPSNONPILOT/Tender/SplashBidNoticeAbstractUI.aspx?menuIndex=3&amp;refID=7056715&amp;Result=3","7056715")</f>
        <v>0</v>
      </c>
      <c r="B12538" t="s">
        <v>3252</v>
      </c>
      <c r="C12538" t="s">
        <v>15502</v>
      </c>
      <c r="D12538" t="s">
        <v>18108</v>
      </c>
      <c r="E12538" t="s">
        <v>29046</v>
      </c>
      <c r="F12538" t="s">
        <v>31362</v>
      </c>
      <c r="G12538" t="s">
        <v>31369</v>
      </c>
      <c r="H12538" t="s">
        <v>31378</v>
      </c>
      <c r="I12538" t="s">
        <v>31386</v>
      </c>
      <c r="J12538" t="s">
        <v>39149</v>
      </c>
      <c r="K12538" t="s">
        <v>40832</v>
      </c>
      <c r="M12538" t="s">
        <v>44532</v>
      </c>
      <c r="N12538" t="s">
        <v>44905</v>
      </c>
      <c r="O12538" t="s">
        <v>44906</v>
      </c>
      <c r="P12538">
        <v>0</v>
      </c>
      <c r="Q12538">
        <v>40</v>
      </c>
      <c r="R12538" t="s">
        <v>44920</v>
      </c>
      <c r="S12538" t="s">
        <v>45492</v>
      </c>
      <c r="T12538" t="s">
        <v>46493</v>
      </c>
      <c r="U12538" t="s">
        <v>56947</v>
      </c>
      <c r="V12538" t="s">
        <v>60416</v>
      </c>
      <c r="W12538" t="s">
        <v>44532</v>
      </c>
      <c r="X12538" t="s">
        <v>44921</v>
      </c>
    </row>
    <row r="12539" spans="1:24">
      <c r="A12539">
        <f>HYPERLINK("https://www.philgeps.gov.ph/GEPSNONPILOT/Tender/SplashBidNoticeAbstractUI.aspx?menuIndex=3&amp;refID=7056704&amp;Result=3","7056704")</f>
        <v>0</v>
      </c>
      <c r="B12539" t="s">
        <v>604</v>
      </c>
      <c r="C12539" t="s">
        <v>15503</v>
      </c>
      <c r="D12539" t="s">
        <v>18122</v>
      </c>
      <c r="E12539" t="s">
        <v>29047</v>
      </c>
      <c r="F12539" t="s">
        <v>31362</v>
      </c>
      <c r="G12539" t="s">
        <v>31373</v>
      </c>
      <c r="H12539" t="s">
        <v>31378</v>
      </c>
      <c r="I12539" t="s">
        <v>31386</v>
      </c>
      <c r="J12539" t="s">
        <v>39150</v>
      </c>
      <c r="K12539" t="s">
        <v>40686</v>
      </c>
      <c r="M12539" t="s">
        <v>41562</v>
      </c>
      <c r="N12539" t="s">
        <v>44905</v>
      </c>
      <c r="O12539" t="s">
        <v>44906</v>
      </c>
      <c r="P12539">
        <v>0</v>
      </c>
      <c r="Q12539">
        <v>6</v>
      </c>
      <c r="R12539" t="s">
        <v>44920</v>
      </c>
      <c r="S12539" t="s">
        <v>45492</v>
      </c>
      <c r="T12539" t="s">
        <v>46481</v>
      </c>
      <c r="U12539" t="s">
        <v>56948</v>
      </c>
      <c r="V12539" t="s">
        <v>59212</v>
      </c>
      <c r="W12539" t="s">
        <v>41562</v>
      </c>
      <c r="X12539" t="s">
        <v>44921</v>
      </c>
    </row>
    <row r="12540" spans="1:24">
      <c r="A12540">
        <f>HYPERLINK("https://www.philgeps.gov.ph/GEPSNONPILOT/Tender/SplashBidNoticeAbstractUI.aspx?menuIndex=3&amp;refID=7056427&amp;Result=3","7056427")</f>
        <v>0</v>
      </c>
      <c r="B12540" t="s">
        <v>3245</v>
      </c>
      <c r="C12540" t="s">
        <v>15504</v>
      </c>
      <c r="D12540" t="s">
        <v>18116</v>
      </c>
      <c r="E12540" t="s">
        <v>29009</v>
      </c>
      <c r="F12540" t="s">
        <v>31362</v>
      </c>
      <c r="G12540" t="s">
        <v>31369</v>
      </c>
      <c r="H12540" t="s">
        <v>31378</v>
      </c>
      <c r="I12540" t="s">
        <v>31386</v>
      </c>
      <c r="J12540" t="s">
        <v>39151</v>
      </c>
      <c r="K12540" t="s">
        <v>40682</v>
      </c>
      <c r="M12540" t="s">
        <v>44525</v>
      </c>
      <c r="N12540" t="s">
        <v>44905</v>
      </c>
      <c r="O12540" t="s">
        <v>44906</v>
      </c>
      <c r="Q12540">
        <v>0</v>
      </c>
      <c r="R12540" t="s">
        <v>44920</v>
      </c>
      <c r="S12540" t="s">
        <v>45533</v>
      </c>
      <c r="T12540" t="s">
        <v>46809</v>
      </c>
      <c r="U12540" t="s">
        <v>56913</v>
      </c>
      <c r="V12540" t="s">
        <v>60423</v>
      </c>
      <c r="W12540" t="s">
        <v>44525</v>
      </c>
      <c r="X12540" t="s">
        <v>44921</v>
      </c>
    </row>
    <row r="12541" spans="1:24">
      <c r="A12541">
        <f>HYPERLINK("https://www.philgeps.gov.ph/GEPSNONPILOT/Tender/SplashBidNoticeAbstractUI.aspx?menuIndex=3&amp;refID=7056699&amp;Result=3","7056699")</f>
        <v>0</v>
      </c>
      <c r="B12541" t="s">
        <v>3254</v>
      </c>
      <c r="C12541" t="s">
        <v>15505</v>
      </c>
      <c r="D12541" t="s">
        <v>18148</v>
      </c>
      <c r="E12541" t="s">
        <v>29048</v>
      </c>
      <c r="F12541" t="s">
        <v>31362</v>
      </c>
      <c r="G12541" t="s">
        <v>31369</v>
      </c>
      <c r="H12541" t="s">
        <v>15799</v>
      </c>
      <c r="I12541" t="s">
        <v>31409</v>
      </c>
      <c r="J12541" t="s">
        <v>31531</v>
      </c>
      <c r="K12541" t="s">
        <v>40665</v>
      </c>
      <c r="M12541" t="s">
        <v>44534</v>
      </c>
      <c r="N12541" t="s">
        <v>44905</v>
      </c>
      <c r="O12541" t="s">
        <v>44906</v>
      </c>
      <c r="P12541">
        <v>0</v>
      </c>
      <c r="Q12541">
        <v>0</v>
      </c>
      <c r="R12541" t="s">
        <v>44920</v>
      </c>
      <c r="S12541" t="s">
        <v>45492</v>
      </c>
      <c r="T12541" t="s">
        <v>46499</v>
      </c>
      <c r="U12541" t="s">
        <v>56949</v>
      </c>
      <c r="W12541" t="s">
        <v>44534</v>
      </c>
      <c r="X12541" t="s">
        <v>44921</v>
      </c>
    </row>
    <row r="12542" spans="1:24">
      <c r="A12542">
        <f>HYPERLINK("https://www.philgeps.gov.ph/GEPSNONPILOT/Tender/SplashBidNoticeAbstractUI.aspx?menuIndex=3&amp;refID=7056698&amp;Result=3","7056698")</f>
        <v>0</v>
      </c>
      <c r="B12542" t="s">
        <v>3252</v>
      </c>
      <c r="C12542" t="s">
        <v>15506</v>
      </c>
      <c r="D12542" t="s">
        <v>18108</v>
      </c>
      <c r="E12542" t="s">
        <v>29049</v>
      </c>
      <c r="F12542" t="s">
        <v>31362</v>
      </c>
      <c r="G12542" t="s">
        <v>31369</v>
      </c>
      <c r="H12542" t="s">
        <v>31378</v>
      </c>
      <c r="I12542" t="s">
        <v>31386</v>
      </c>
      <c r="J12542" t="s">
        <v>39152</v>
      </c>
      <c r="K12542" t="s">
        <v>40832</v>
      </c>
      <c r="M12542" t="s">
        <v>44532</v>
      </c>
      <c r="N12542" t="s">
        <v>44905</v>
      </c>
      <c r="O12542" t="s">
        <v>44906</v>
      </c>
      <c r="P12542">
        <v>0</v>
      </c>
      <c r="Q12542">
        <v>42</v>
      </c>
      <c r="R12542" t="s">
        <v>44920</v>
      </c>
      <c r="S12542" t="s">
        <v>45492</v>
      </c>
      <c r="T12542" t="s">
        <v>46493</v>
      </c>
      <c r="U12542" t="s">
        <v>56950</v>
      </c>
      <c r="V12542" t="s">
        <v>60416</v>
      </c>
      <c r="W12542" t="s">
        <v>44532</v>
      </c>
      <c r="X12542" t="s">
        <v>44921</v>
      </c>
    </row>
    <row r="12543" spans="1:24">
      <c r="A12543">
        <f>HYPERLINK("https://www.philgeps.gov.ph/GEPSNONPILOT/Tender/SplashBidNoticeAbstractUI.aspx?menuIndex=3&amp;refID=7056689&amp;Result=3","7056689")</f>
        <v>0</v>
      </c>
      <c r="B12543" t="s">
        <v>362</v>
      </c>
      <c r="C12543" t="s">
        <v>15507</v>
      </c>
      <c r="D12543" t="s">
        <v>18103</v>
      </c>
      <c r="E12543" t="s">
        <v>29050</v>
      </c>
      <c r="F12543" t="s">
        <v>31362</v>
      </c>
      <c r="G12543" t="s">
        <v>31369</v>
      </c>
      <c r="H12543" t="s">
        <v>15799</v>
      </c>
      <c r="I12543" t="s">
        <v>3815</v>
      </c>
      <c r="J12543" t="s">
        <v>39153</v>
      </c>
      <c r="K12543" t="s">
        <v>40665</v>
      </c>
      <c r="M12543" t="s">
        <v>44522</v>
      </c>
      <c r="N12543" t="s">
        <v>44905</v>
      </c>
      <c r="O12543" t="s">
        <v>44906</v>
      </c>
      <c r="P12543">
        <v>0</v>
      </c>
      <c r="Q12543">
        <v>2</v>
      </c>
      <c r="R12543" t="s">
        <v>44920</v>
      </c>
      <c r="S12543" t="s">
        <v>45492</v>
      </c>
      <c r="T12543" t="s">
        <v>46533</v>
      </c>
      <c r="U12543" t="s">
        <v>47543</v>
      </c>
      <c r="V12543" t="s">
        <v>60391</v>
      </c>
      <c r="W12543" t="s">
        <v>60849</v>
      </c>
      <c r="X12543" t="s">
        <v>44921</v>
      </c>
    </row>
    <row r="12544" spans="1:24">
      <c r="A12544">
        <f>HYPERLINK("https://www.philgeps.gov.ph/GEPSNONPILOT/Tender/SplashBidNoticeAbstractUI.aspx?menuIndex=3&amp;refID=7056713&amp;Result=3","7056713")</f>
        <v>0</v>
      </c>
      <c r="B12544" t="s">
        <v>3254</v>
      </c>
      <c r="C12544" t="s">
        <v>15508</v>
      </c>
      <c r="D12544" t="s">
        <v>18148</v>
      </c>
      <c r="E12544" t="s">
        <v>29051</v>
      </c>
      <c r="F12544" t="s">
        <v>31362</v>
      </c>
      <c r="G12544" t="s">
        <v>31369</v>
      </c>
      <c r="H12544" t="s">
        <v>15799</v>
      </c>
      <c r="I12544" t="s">
        <v>3815</v>
      </c>
      <c r="J12544" t="s">
        <v>31738</v>
      </c>
      <c r="K12544" t="s">
        <v>40665</v>
      </c>
      <c r="M12544" t="s">
        <v>44534</v>
      </c>
      <c r="N12544" t="s">
        <v>44905</v>
      </c>
      <c r="O12544" t="s">
        <v>44906</v>
      </c>
      <c r="P12544">
        <v>0</v>
      </c>
      <c r="Q12544">
        <v>4</v>
      </c>
      <c r="R12544" t="s">
        <v>44920</v>
      </c>
      <c r="S12544" t="s">
        <v>45492</v>
      </c>
      <c r="T12544" t="s">
        <v>46499</v>
      </c>
      <c r="U12544" t="s">
        <v>56951</v>
      </c>
      <c r="W12544" t="s">
        <v>44534</v>
      </c>
      <c r="X12544" t="s">
        <v>44921</v>
      </c>
    </row>
    <row r="12545" spans="1:24">
      <c r="A12545">
        <f>HYPERLINK("https://www.philgeps.gov.ph/GEPSNONPILOT/Tender/SplashBidNoticeAbstractUI.aspx?menuIndex=3&amp;refID=7056677&amp;Result=3","7056677")</f>
        <v>0</v>
      </c>
      <c r="B12545" t="s">
        <v>1235</v>
      </c>
      <c r="C12545" t="s">
        <v>15509</v>
      </c>
      <c r="E12545" t="s">
        <v>29052</v>
      </c>
      <c r="F12545" t="s">
        <v>31362</v>
      </c>
      <c r="G12545" t="s">
        <v>31369</v>
      </c>
      <c r="H12545" t="s">
        <v>15799</v>
      </c>
      <c r="I12545" t="s">
        <v>6155</v>
      </c>
      <c r="J12545" t="s">
        <v>39154</v>
      </c>
      <c r="K12545" t="s">
        <v>40662</v>
      </c>
      <c r="M12545" t="s">
        <v>44523</v>
      </c>
      <c r="N12545" t="s">
        <v>44905</v>
      </c>
      <c r="O12545" t="s">
        <v>44906</v>
      </c>
      <c r="P12545">
        <v>0</v>
      </c>
      <c r="Q12545">
        <v>15</v>
      </c>
      <c r="R12545" t="s">
        <v>44920</v>
      </c>
      <c r="S12545" t="s">
        <v>45492</v>
      </c>
      <c r="T12545" t="s">
        <v>46481</v>
      </c>
      <c r="U12545" t="s">
        <v>56952</v>
      </c>
      <c r="W12545" t="s">
        <v>44523</v>
      </c>
      <c r="X12545" t="s">
        <v>44921</v>
      </c>
    </row>
    <row r="12546" spans="1:24">
      <c r="A12546">
        <f>HYPERLINK("https://www.philgeps.gov.ph/GEPSNONPILOT/Tender/SplashBidNoticeAbstractUI.aspx?menuIndex=3&amp;refID=7056758&amp;Result=3","7056758")</f>
        <v>0</v>
      </c>
      <c r="B12546" t="s">
        <v>1772</v>
      </c>
      <c r="C12546" t="s">
        <v>15510</v>
      </c>
      <c r="E12546" t="s">
        <v>29053</v>
      </c>
      <c r="F12546" t="s">
        <v>31362</v>
      </c>
      <c r="G12546" t="s">
        <v>31369</v>
      </c>
      <c r="H12546" t="s">
        <v>15799</v>
      </c>
      <c r="I12546" t="s">
        <v>7719</v>
      </c>
      <c r="J12546" t="s">
        <v>39155</v>
      </c>
      <c r="K12546" t="s">
        <v>40665</v>
      </c>
      <c r="M12546" t="s">
        <v>42850</v>
      </c>
      <c r="N12546" t="s">
        <v>44905</v>
      </c>
      <c r="O12546" t="s">
        <v>44906</v>
      </c>
      <c r="Q12546">
        <v>8</v>
      </c>
      <c r="R12546" t="s">
        <v>44920</v>
      </c>
      <c r="S12546" t="s">
        <v>45534</v>
      </c>
      <c r="T12546" t="s">
        <v>46479</v>
      </c>
      <c r="U12546" t="s">
        <v>56953</v>
      </c>
      <c r="W12546" t="s">
        <v>42850</v>
      </c>
      <c r="X12546" t="s">
        <v>44921</v>
      </c>
    </row>
    <row r="12547" spans="1:24">
      <c r="A12547">
        <f>HYPERLINK("https://www.philgeps.gov.ph/GEPSNONPILOT/Tender/SplashBidNoticeAbstractUI.aspx?menuIndex=3&amp;refID=7056667&amp;Result=3","7056667")</f>
        <v>0</v>
      </c>
      <c r="B12547" t="s">
        <v>3245</v>
      </c>
      <c r="C12547" t="s">
        <v>15511</v>
      </c>
      <c r="D12547" t="s">
        <v>18116</v>
      </c>
      <c r="E12547" t="s">
        <v>29009</v>
      </c>
      <c r="F12547" t="s">
        <v>31362</v>
      </c>
      <c r="G12547" t="s">
        <v>31369</v>
      </c>
      <c r="H12547" t="s">
        <v>31378</v>
      </c>
      <c r="I12547" t="s">
        <v>31386</v>
      </c>
      <c r="J12547" t="s">
        <v>39139</v>
      </c>
      <c r="K12547" t="s">
        <v>40675</v>
      </c>
      <c r="M12547" t="s">
        <v>44525</v>
      </c>
      <c r="N12547" t="s">
        <v>44905</v>
      </c>
      <c r="O12547" t="s">
        <v>44906</v>
      </c>
      <c r="Q12547">
        <v>0</v>
      </c>
      <c r="R12547" t="s">
        <v>44920</v>
      </c>
      <c r="S12547" t="s">
        <v>45535</v>
      </c>
      <c r="T12547" t="s">
        <v>46809</v>
      </c>
      <c r="U12547" t="s">
        <v>56913</v>
      </c>
      <c r="V12547" t="s">
        <v>60424</v>
      </c>
      <c r="W12547" t="s">
        <v>44525</v>
      </c>
      <c r="X12547" t="s">
        <v>44921</v>
      </c>
    </row>
    <row r="12548" spans="1:24">
      <c r="A12548">
        <f>HYPERLINK("https://www.philgeps.gov.ph/GEPSNONPILOT/Tender/SplashBidNoticeAbstractUI.aspx?menuIndex=3&amp;refID=7056994&amp;Result=3","7056994")</f>
        <v>0</v>
      </c>
      <c r="B12548" t="s">
        <v>3245</v>
      </c>
      <c r="C12548" t="s">
        <v>15512</v>
      </c>
      <c r="D12548" t="s">
        <v>18116</v>
      </c>
      <c r="E12548" t="s">
        <v>29009</v>
      </c>
      <c r="F12548" t="s">
        <v>31362</v>
      </c>
      <c r="G12548" t="s">
        <v>31369</v>
      </c>
      <c r="H12548" t="s">
        <v>31378</v>
      </c>
      <c r="I12548" t="s">
        <v>31386</v>
      </c>
      <c r="J12548" t="s">
        <v>39156</v>
      </c>
      <c r="K12548" t="s">
        <v>40682</v>
      </c>
      <c r="M12548" t="s">
        <v>44525</v>
      </c>
      <c r="N12548" t="s">
        <v>44905</v>
      </c>
      <c r="O12548" t="s">
        <v>44906</v>
      </c>
      <c r="Q12548">
        <v>0</v>
      </c>
      <c r="R12548" t="s">
        <v>44920</v>
      </c>
      <c r="S12548" t="s">
        <v>45536</v>
      </c>
      <c r="T12548" t="s">
        <v>46809</v>
      </c>
      <c r="U12548" t="s">
        <v>56913</v>
      </c>
      <c r="V12548" t="s">
        <v>60425</v>
      </c>
      <c r="W12548" t="s">
        <v>44525</v>
      </c>
      <c r="X12548" t="s">
        <v>44921</v>
      </c>
    </row>
    <row r="12549" spans="1:24">
      <c r="A12549">
        <f>HYPERLINK("https://www.philgeps.gov.ph/GEPSNONPILOT/Tender/SplashBidNoticeAbstractUI.aspx?menuIndex=3&amp;refID=7056679&amp;Result=3","7056679")</f>
        <v>0</v>
      </c>
      <c r="B12549" t="s">
        <v>2112</v>
      </c>
      <c r="C12549" t="s">
        <v>15513</v>
      </c>
      <c r="D12549" t="s">
        <v>18139</v>
      </c>
      <c r="E12549" t="s">
        <v>29054</v>
      </c>
      <c r="F12549" t="s">
        <v>31362</v>
      </c>
      <c r="G12549" t="s">
        <v>31369</v>
      </c>
      <c r="H12549" t="s">
        <v>15799</v>
      </c>
      <c r="I12549" t="s">
        <v>3815</v>
      </c>
      <c r="J12549" t="s">
        <v>32540</v>
      </c>
      <c r="K12549" t="s">
        <v>40670</v>
      </c>
      <c r="M12549" t="s">
        <v>43238</v>
      </c>
      <c r="N12549" t="s">
        <v>44905</v>
      </c>
      <c r="O12549" t="s">
        <v>44906</v>
      </c>
      <c r="P12549">
        <v>0</v>
      </c>
      <c r="Q12549">
        <v>2</v>
      </c>
      <c r="R12549" t="s">
        <v>44920</v>
      </c>
      <c r="S12549" t="s">
        <v>45492</v>
      </c>
      <c r="T12549" t="s">
        <v>46462</v>
      </c>
      <c r="U12549" t="s">
        <v>56954</v>
      </c>
      <c r="W12549" t="s">
        <v>43238</v>
      </c>
      <c r="X12549" t="s">
        <v>44921</v>
      </c>
    </row>
    <row r="12550" spans="1:24">
      <c r="A12550">
        <f>HYPERLINK("https://www.philgeps.gov.ph/GEPSNONPILOT/Tender/SplashBidNoticeAbstractUI.aspx?menuIndex=3&amp;refID=7057017&amp;Result=3","7057017")</f>
        <v>0</v>
      </c>
      <c r="B12550" t="s">
        <v>207</v>
      </c>
      <c r="C12550" t="s">
        <v>15514</v>
      </c>
      <c r="D12550" t="s">
        <v>18127</v>
      </c>
      <c r="E12550" t="s">
        <v>29055</v>
      </c>
      <c r="F12550" t="s">
        <v>31362</v>
      </c>
      <c r="G12550" t="s">
        <v>31369</v>
      </c>
      <c r="H12550" t="s">
        <v>15799</v>
      </c>
      <c r="I12550" t="s">
        <v>31382</v>
      </c>
      <c r="J12550" t="s">
        <v>39157</v>
      </c>
      <c r="K12550" t="s">
        <v>40662</v>
      </c>
      <c r="M12550" t="s">
        <v>41146</v>
      </c>
      <c r="N12550" t="s">
        <v>44905</v>
      </c>
      <c r="O12550" t="s">
        <v>44906</v>
      </c>
      <c r="P12550">
        <v>0</v>
      </c>
      <c r="Q12550">
        <v>15</v>
      </c>
      <c r="R12550" t="s">
        <v>44920</v>
      </c>
      <c r="S12550" t="s">
        <v>45492</v>
      </c>
      <c r="T12550" t="s">
        <v>46499</v>
      </c>
      <c r="U12550" t="s">
        <v>56955</v>
      </c>
      <c r="W12550" t="s">
        <v>41146</v>
      </c>
      <c r="X12550" t="s">
        <v>44921</v>
      </c>
    </row>
    <row r="12551" spans="1:24">
      <c r="A12551">
        <f>HYPERLINK("https://www.philgeps.gov.ph/GEPSNONPILOT/Tender/SplashBidNoticeAbstractUI.aspx?menuIndex=3&amp;refID=7057016&amp;Result=3","7057016")</f>
        <v>0</v>
      </c>
      <c r="B12551" t="s">
        <v>3198</v>
      </c>
      <c r="C12551" t="s">
        <v>15515</v>
      </c>
      <c r="D12551" t="s">
        <v>18122</v>
      </c>
      <c r="E12551" t="s">
        <v>29056</v>
      </c>
      <c r="F12551" t="s">
        <v>31362</v>
      </c>
      <c r="G12551" t="s">
        <v>31369</v>
      </c>
      <c r="H12551" t="s">
        <v>15799</v>
      </c>
      <c r="I12551" t="s">
        <v>31420</v>
      </c>
      <c r="J12551" t="s">
        <v>33680</v>
      </c>
      <c r="K12551" t="s">
        <v>40665</v>
      </c>
      <c r="M12551" t="s">
        <v>44468</v>
      </c>
      <c r="N12551" t="s">
        <v>44905</v>
      </c>
      <c r="O12551" t="s">
        <v>44906</v>
      </c>
      <c r="P12551">
        <v>0</v>
      </c>
      <c r="Q12551">
        <v>7</v>
      </c>
      <c r="R12551" t="s">
        <v>44920</v>
      </c>
      <c r="S12551" t="s">
        <v>45492</v>
      </c>
      <c r="T12551" t="s">
        <v>46470</v>
      </c>
      <c r="U12551" t="s">
        <v>56956</v>
      </c>
      <c r="W12551" t="s">
        <v>44468</v>
      </c>
      <c r="X12551" t="s">
        <v>44921</v>
      </c>
    </row>
    <row r="12552" spans="1:24">
      <c r="A12552">
        <f>HYPERLINK("https://www.philgeps.gov.ph/GEPSNONPILOT/Tender/SplashBidNoticeAbstractUI.aspx?menuIndex=3&amp;refID=7056688&amp;Result=3","7056688")</f>
        <v>0</v>
      </c>
      <c r="B12552" t="s">
        <v>3252</v>
      </c>
      <c r="C12552" t="s">
        <v>15516</v>
      </c>
      <c r="D12552" t="s">
        <v>18108</v>
      </c>
      <c r="E12552" t="s">
        <v>29057</v>
      </c>
      <c r="F12552" t="s">
        <v>31362</v>
      </c>
      <c r="G12552" t="s">
        <v>31369</v>
      </c>
      <c r="H12552" t="s">
        <v>31378</v>
      </c>
      <c r="I12552" t="s">
        <v>31386</v>
      </c>
      <c r="J12552" t="s">
        <v>32673</v>
      </c>
      <c r="K12552" t="s">
        <v>40678</v>
      </c>
      <c r="M12552" t="s">
        <v>44532</v>
      </c>
      <c r="N12552" t="s">
        <v>44905</v>
      </c>
      <c r="O12552" t="s">
        <v>44906</v>
      </c>
      <c r="P12552">
        <v>0</v>
      </c>
      <c r="Q12552">
        <v>62</v>
      </c>
      <c r="R12552" t="s">
        <v>44920</v>
      </c>
      <c r="S12552" t="s">
        <v>45492</v>
      </c>
      <c r="T12552" t="s">
        <v>46493</v>
      </c>
      <c r="U12552" t="s">
        <v>56957</v>
      </c>
      <c r="V12552" t="s">
        <v>60416</v>
      </c>
      <c r="W12552" t="s">
        <v>44532</v>
      </c>
      <c r="X12552" t="s">
        <v>44921</v>
      </c>
    </row>
    <row r="12553" spans="1:24">
      <c r="A12553">
        <f>HYPERLINK("https://www.philgeps.gov.ph/GEPSNONPILOT/Tender/SplashBidNoticeAbstractUI.aspx?menuIndex=3&amp;refID=7056714&amp;Result=3","7056714")</f>
        <v>0</v>
      </c>
      <c r="B12553" t="s">
        <v>362</v>
      </c>
      <c r="C12553" t="s">
        <v>15517</v>
      </c>
      <c r="D12553" t="s">
        <v>18103</v>
      </c>
      <c r="E12553" t="s">
        <v>29058</v>
      </c>
      <c r="F12553" t="s">
        <v>31362</v>
      </c>
      <c r="G12553" t="s">
        <v>31369</v>
      </c>
      <c r="H12553" t="s">
        <v>31378</v>
      </c>
      <c r="I12553" t="s">
        <v>31386</v>
      </c>
      <c r="J12553" t="s">
        <v>39158</v>
      </c>
      <c r="K12553" t="s">
        <v>40686</v>
      </c>
      <c r="M12553" t="s">
        <v>43093</v>
      </c>
      <c r="N12553" t="s">
        <v>44905</v>
      </c>
      <c r="O12553" t="s">
        <v>44906</v>
      </c>
      <c r="P12553">
        <v>0</v>
      </c>
      <c r="Q12553">
        <v>15</v>
      </c>
      <c r="R12553" t="s">
        <v>44920</v>
      </c>
      <c r="S12553" t="s">
        <v>45492</v>
      </c>
      <c r="T12553" t="s">
        <v>46533</v>
      </c>
      <c r="U12553" t="s">
        <v>47543</v>
      </c>
      <c r="V12553" t="s">
        <v>60391</v>
      </c>
      <c r="W12553" t="s">
        <v>60886</v>
      </c>
      <c r="X12553" t="s">
        <v>44921</v>
      </c>
    </row>
    <row r="12554" spans="1:24">
      <c r="A12554">
        <f>HYPERLINK("https://www.philgeps.gov.ph/GEPSNONPILOT/Tender/SplashBidNoticeAbstractUI.aspx?menuIndex=3&amp;refID=7057005&amp;Result=3","7057005")</f>
        <v>0</v>
      </c>
      <c r="B12554" t="s">
        <v>1297</v>
      </c>
      <c r="C12554" t="s">
        <v>15518</v>
      </c>
      <c r="D12554" t="s">
        <v>18125</v>
      </c>
      <c r="E12554" t="s">
        <v>29059</v>
      </c>
      <c r="F12554" t="s">
        <v>31362</v>
      </c>
      <c r="G12554" t="s">
        <v>31369</v>
      </c>
      <c r="H12554" t="s">
        <v>31378</v>
      </c>
      <c r="I12554" t="s">
        <v>31386</v>
      </c>
      <c r="J12554" t="s">
        <v>39159</v>
      </c>
      <c r="K12554" t="s">
        <v>40678</v>
      </c>
      <c r="M12554" t="s">
        <v>42315</v>
      </c>
      <c r="N12554" t="s">
        <v>44905</v>
      </c>
      <c r="O12554" t="s">
        <v>44906</v>
      </c>
      <c r="P12554">
        <v>0</v>
      </c>
      <c r="Q12554">
        <v>1</v>
      </c>
      <c r="R12554" t="s">
        <v>44920</v>
      </c>
      <c r="S12554" t="s">
        <v>45492</v>
      </c>
      <c r="T12554" t="s">
        <v>46530</v>
      </c>
      <c r="U12554" t="s">
        <v>49768</v>
      </c>
      <c r="W12554" t="s">
        <v>42315</v>
      </c>
      <c r="X12554" t="s">
        <v>44921</v>
      </c>
    </row>
    <row r="12555" spans="1:24">
      <c r="A12555">
        <f>HYPERLINK("https://www.philgeps.gov.ph/GEPSNONPILOT/Tender/SplashBidNoticeAbstractUI.aspx?menuIndex=3&amp;refID=7057025&amp;Result=3","7057025")</f>
        <v>0</v>
      </c>
      <c r="B12555" t="s">
        <v>424</v>
      </c>
      <c r="C12555" t="s">
        <v>15519</v>
      </c>
      <c r="D12555" t="s">
        <v>18168</v>
      </c>
      <c r="E12555" t="s">
        <v>29060</v>
      </c>
      <c r="F12555" t="s">
        <v>31362</v>
      </c>
      <c r="G12555" t="s">
        <v>31371</v>
      </c>
      <c r="H12555" t="s">
        <v>15799</v>
      </c>
      <c r="I12555" t="s">
        <v>7090</v>
      </c>
      <c r="J12555" t="s">
        <v>39160</v>
      </c>
      <c r="K12555" t="s">
        <v>40665</v>
      </c>
      <c r="M12555" t="s">
        <v>43973</v>
      </c>
      <c r="N12555" t="s">
        <v>44905</v>
      </c>
      <c r="O12555" t="s">
        <v>44906</v>
      </c>
      <c r="Q12555">
        <v>1</v>
      </c>
      <c r="R12555" t="s">
        <v>44920</v>
      </c>
      <c r="S12555" t="s">
        <v>45402</v>
      </c>
      <c r="T12555" t="s">
        <v>46435</v>
      </c>
      <c r="U12555" t="s">
        <v>56958</v>
      </c>
      <c r="W12555" t="s">
        <v>43973</v>
      </c>
      <c r="X12555" t="s">
        <v>44921</v>
      </c>
    </row>
    <row r="12556" spans="1:24">
      <c r="A12556">
        <f>HYPERLINK("https://www.philgeps.gov.ph/GEPSNONPILOT/Tender/SplashBidNoticeAbstractUI.aspx?menuIndex=3&amp;refID=7056986&amp;Result=3","7056986")</f>
        <v>0</v>
      </c>
      <c r="B12556" t="s">
        <v>3255</v>
      </c>
      <c r="C12556" t="s">
        <v>15520</v>
      </c>
      <c r="D12556" t="s">
        <v>18104</v>
      </c>
      <c r="E12556" t="s">
        <v>29061</v>
      </c>
      <c r="F12556" t="s">
        <v>31362</v>
      </c>
      <c r="G12556" t="s">
        <v>31369</v>
      </c>
      <c r="H12556" t="s">
        <v>15799</v>
      </c>
      <c r="I12556" t="s">
        <v>3815</v>
      </c>
      <c r="J12556" t="s">
        <v>39161</v>
      </c>
      <c r="K12556" t="s">
        <v>40661</v>
      </c>
      <c r="M12556" t="s">
        <v>44535</v>
      </c>
      <c r="N12556" t="s">
        <v>44905</v>
      </c>
      <c r="O12556" t="s">
        <v>44906</v>
      </c>
      <c r="P12556">
        <v>0</v>
      </c>
      <c r="Q12556">
        <v>0</v>
      </c>
      <c r="R12556" t="s">
        <v>44920</v>
      </c>
      <c r="S12556" t="s">
        <v>45492</v>
      </c>
      <c r="T12556" t="s">
        <v>46694</v>
      </c>
      <c r="U12556" t="s">
        <v>56959</v>
      </c>
      <c r="V12556" t="s">
        <v>60426</v>
      </c>
      <c r="W12556" t="s">
        <v>44535</v>
      </c>
      <c r="X12556" t="s">
        <v>44921</v>
      </c>
    </row>
    <row r="12557" spans="1:24">
      <c r="A12557">
        <f>HYPERLINK("https://www.philgeps.gov.ph/GEPSNONPILOT/Tender/SplashBidNoticeAbstractUI.aspx?menuIndex=3&amp;refID=7056742&amp;Result=3","7056742")</f>
        <v>0</v>
      </c>
      <c r="B12557" t="s">
        <v>3245</v>
      </c>
      <c r="C12557" t="s">
        <v>15521</v>
      </c>
      <c r="D12557" t="s">
        <v>18116</v>
      </c>
      <c r="E12557" t="s">
        <v>29009</v>
      </c>
      <c r="F12557" t="s">
        <v>31362</v>
      </c>
      <c r="G12557" t="s">
        <v>31369</v>
      </c>
      <c r="H12557" t="s">
        <v>31378</v>
      </c>
      <c r="I12557" t="s">
        <v>31386</v>
      </c>
      <c r="J12557" t="s">
        <v>39139</v>
      </c>
      <c r="K12557" t="s">
        <v>40675</v>
      </c>
      <c r="M12557" t="s">
        <v>44525</v>
      </c>
      <c r="N12557" t="s">
        <v>44905</v>
      </c>
      <c r="O12557" t="s">
        <v>44906</v>
      </c>
      <c r="Q12557">
        <v>0</v>
      </c>
      <c r="R12557" t="s">
        <v>44920</v>
      </c>
      <c r="S12557" t="s">
        <v>45537</v>
      </c>
      <c r="T12557" t="s">
        <v>46809</v>
      </c>
      <c r="U12557" t="s">
        <v>56913</v>
      </c>
      <c r="V12557" t="s">
        <v>60427</v>
      </c>
      <c r="W12557" t="s">
        <v>44525</v>
      </c>
      <c r="X12557" t="s">
        <v>44921</v>
      </c>
    </row>
    <row r="12558" spans="1:24">
      <c r="A12558">
        <f>HYPERLINK("https://www.philgeps.gov.ph/GEPSNONPILOT/Tender/SplashBidNoticeAbstractUI.aspx?menuIndex=3&amp;refID=7057006&amp;Result=3","7057006")</f>
        <v>0</v>
      </c>
      <c r="B12558" t="s">
        <v>1765</v>
      </c>
      <c r="C12558" t="s">
        <v>15522</v>
      </c>
      <c r="D12558" t="s">
        <v>18178</v>
      </c>
      <c r="E12558" t="s">
        <v>18985</v>
      </c>
      <c r="F12558" t="s">
        <v>31362</v>
      </c>
      <c r="G12558" t="s">
        <v>31369</v>
      </c>
      <c r="H12558" t="s">
        <v>15799</v>
      </c>
      <c r="I12558" t="s">
        <v>31414</v>
      </c>
      <c r="J12558" t="s">
        <v>39162</v>
      </c>
      <c r="K12558" t="s">
        <v>40682</v>
      </c>
      <c r="M12558" t="s">
        <v>42844</v>
      </c>
      <c r="N12558" t="s">
        <v>44905</v>
      </c>
      <c r="O12558" t="s">
        <v>44906</v>
      </c>
      <c r="P12558">
        <v>0</v>
      </c>
      <c r="Q12558">
        <v>4</v>
      </c>
      <c r="R12558" t="s">
        <v>44920</v>
      </c>
      <c r="S12558" t="s">
        <v>45492</v>
      </c>
      <c r="T12558" t="s">
        <v>46415</v>
      </c>
      <c r="U12558" t="s">
        <v>56960</v>
      </c>
      <c r="W12558" t="s">
        <v>60910</v>
      </c>
      <c r="X12558" t="s">
        <v>44921</v>
      </c>
    </row>
    <row r="12559" spans="1:24">
      <c r="A12559">
        <f>HYPERLINK("https://www.philgeps.gov.ph/GEPSNONPILOT/Tender/SplashBidNoticeAbstractUI.aspx?menuIndex=3&amp;refID=7056937&amp;Result=3","7056937")</f>
        <v>0</v>
      </c>
      <c r="B12559" t="s">
        <v>3256</v>
      </c>
      <c r="C12559" t="s">
        <v>15523</v>
      </c>
      <c r="D12559" t="s">
        <v>18197</v>
      </c>
      <c r="E12559" t="s">
        <v>29062</v>
      </c>
      <c r="F12559" t="s">
        <v>31362</v>
      </c>
      <c r="G12559" t="s">
        <v>31369</v>
      </c>
      <c r="H12559" t="s">
        <v>15799</v>
      </c>
      <c r="I12559" t="s">
        <v>31388</v>
      </c>
      <c r="J12559" t="s">
        <v>39163</v>
      </c>
      <c r="K12559" t="s">
        <v>40699</v>
      </c>
      <c r="M12559" t="s">
        <v>44536</v>
      </c>
      <c r="N12559" t="s">
        <v>44905</v>
      </c>
      <c r="O12559" t="s">
        <v>44906</v>
      </c>
      <c r="P12559">
        <v>0</v>
      </c>
      <c r="Q12559">
        <v>0</v>
      </c>
      <c r="R12559" t="s">
        <v>44920</v>
      </c>
      <c r="S12559" t="s">
        <v>45492</v>
      </c>
      <c r="T12559" t="s">
        <v>46413</v>
      </c>
      <c r="U12559" t="s">
        <v>56961</v>
      </c>
      <c r="W12559" t="s">
        <v>44536</v>
      </c>
      <c r="X12559" t="s">
        <v>44921</v>
      </c>
    </row>
    <row r="12560" spans="1:24">
      <c r="A12560">
        <f>HYPERLINK("https://www.philgeps.gov.ph/GEPSNONPILOT/Tender/SplashBidNoticeAbstractUI.aspx?menuIndex=3&amp;refID=7056747&amp;Result=3","7056747")</f>
        <v>0</v>
      </c>
      <c r="B12560" t="s">
        <v>604</v>
      </c>
      <c r="C12560" t="s">
        <v>15524</v>
      </c>
      <c r="D12560" t="s">
        <v>18122</v>
      </c>
      <c r="E12560" t="s">
        <v>29063</v>
      </c>
      <c r="F12560" t="s">
        <v>31362</v>
      </c>
      <c r="G12560" t="s">
        <v>31373</v>
      </c>
      <c r="H12560" t="s">
        <v>31378</v>
      </c>
      <c r="I12560" t="s">
        <v>31386</v>
      </c>
      <c r="J12560" t="s">
        <v>39150</v>
      </c>
      <c r="K12560" t="s">
        <v>40686</v>
      </c>
      <c r="M12560" t="s">
        <v>41562</v>
      </c>
      <c r="N12560" t="s">
        <v>44905</v>
      </c>
      <c r="O12560" t="s">
        <v>44906</v>
      </c>
      <c r="P12560">
        <v>0</v>
      </c>
      <c r="Q12560">
        <v>7</v>
      </c>
      <c r="R12560" t="s">
        <v>44920</v>
      </c>
      <c r="S12560" t="s">
        <v>45492</v>
      </c>
      <c r="T12560" t="s">
        <v>46481</v>
      </c>
      <c r="U12560" t="s">
        <v>56962</v>
      </c>
      <c r="V12560" t="s">
        <v>59212</v>
      </c>
      <c r="W12560" t="s">
        <v>41562</v>
      </c>
      <c r="X12560" t="s">
        <v>44921</v>
      </c>
    </row>
    <row r="12561" spans="1:24">
      <c r="A12561">
        <f>HYPERLINK("https://www.philgeps.gov.ph/GEPSNONPILOT/Tender/SplashBidNoticeAbstractUI.aspx?menuIndex=3&amp;refID=7056973&amp;Result=3","7056973")</f>
        <v>0</v>
      </c>
      <c r="B12561" t="s">
        <v>3245</v>
      </c>
      <c r="C12561" t="s">
        <v>15525</v>
      </c>
      <c r="D12561" t="s">
        <v>18116</v>
      </c>
      <c r="E12561" t="s">
        <v>29009</v>
      </c>
      <c r="F12561" t="s">
        <v>31362</v>
      </c>
      <c r="G12561" t="s">
        <v>31369</v>
      </c>
      <c r="H12561" t="s">
        <v>31378</v>
      </c>
      <c r="I12561" t="s">
        <v>31386</v>
      </c>
      <c r="J12561" t="s">
        <v>39164</v>
      </c>
      <c r="K12561" t="s">
        <v>40675</v>
      </c>
      <c r="M12561" t="s">
        <v>44525</v>
      </c>
      <c r="N12561" t="s">
        <v>44905</v>
      </c>
      <c r="O12561" t="s">
        <v>44906</v>
      </c>
      <c r="Q12561">
        <v>0</v>
      </c>
      <c r="R12561" t="s">
        <v>44920</v>
      </c>
      <c r="S12561" t="s">
        <v>45538</v>
      </c>
      <c r="T12561" t="s">
        <v>46809</v>
      </c>
      <c r="U12561" t="s">
        <v>56913</v>
      </c>
      <c r="V12561" t="s">
        <v>60428</v>
      </c>
      <c r="W12561" t="s">
        <v>44525</v>
      </c>
      <c r="X12561" t="s">
        <v>44921</v>
      </c>
    </row>
    <row r="12562" spans="1:24">
      <c r="A12562">
        <f>HYPERLINK("https://www.philgeps.gov.ph/GEPSNONPILOT/Tender/SplashBidNoticeAbstractUI.aspx?menuIndex=3&amp;refID=7056951&amp;Result=3","7056951")</f>
        <v>0</v>
      </c>
      <c r="B12562" t="s">
        <v>3255</v>
      </c>
      <c r="C12562" t="s">
        <v>15526</v>
      </c>
      <c r="D12562" t="s">
        <v>18104</v>
      </c>
      <c r="E12562" t="s">
        <v>29064</v>
      </c>
      <c r="F12562" t="s">
        <v>31362</v>
      </c>
      <c r="G12562" t="s">
        <v>31369</v>
      </c>
      <c r="H12562" t="s">
        <v>15799</v>
      </c>
      <c r="I12562" t="s">
        <v>3815</v>
      </c>
      <c r="J12562" t="s">
        <v>39165</v>
      </c>
      <c r="K12562" t="s">
        <v>40661</v>
      </c>
      <c r="M12562" t="s">
        <v>44535</v>
      </c>
      <c r="N12562" t="s">
        <v>44905</v>
      </c>
      <c r="O12562" t="s">
        <v>44906</v>
      </c>
      <c r="P12562">
        <v>0</v>
      </c>
      <c r="Q12562">
        <v>0</v>
      </c>
      <c r="R12562" t="s">
        <v>44920</v>
      </c>
      <c r="S12562" t="s">
        <v>45492</v>
      </c>
      <c r="T12562" t="s">
        <v>46694</v>
      </c>
      <c r="U12562" t="s">
        <v>56963</v>
      </c>
      <c r="V12562" t="s">
        <v>60426</v>
      </c>
      <c r="W12562" t="s">
        <v>44535</v>
      </c>
      <c r="X12562" t="s">
        <v>44921</v>
      </c>
    </row>
    <row r="12563" spans="1:24">
      <c r="A12563">
        <f>HYPERLINK("https://www.philgeps.gov.ph/GEPSNONPILOT/Tender/SplashBidNoticeAbstractUI.aspx?menuIndex=3&amp;refID=7057350&amp;Result=3","7057350")</f>
        <v>0</v>
      </c>
      <c r="B12563" t="s">
        <v>2194</v>
      </c>
      <c r="C12563" t="s">
        <v>15527</v>
      </c>
      <c r="D12563" t="s">
        <v>18154</v>
      </c>
      <c r="E12563" t="s">
        <v>29065</v>
      </c>
      <c r="F12563" t="s">
        <v>31362</v>
      </c>
      <c r="G12563" t="s">
        <v>31369</v>
      </c>
      <c r="H12563" t="s">
        <v>15799</v>
      </c>
      <c r="I12563" t="s">
        <v>3815</v>
      </c>
      <c r="J12563" t="s">
        <v>39166</v>
      </c>
      <c r="K12563" t="s">
        <v>40661</v>
      </c>
      <c r="M12563" t="s">
        <v>43325</v>
      </c>
      <c r="N12563" t="s">
        <v>44905</v>
      </c>
      <c r="O12563" t="s">
        <v>44906</v>
      </c>
      <c r="P12563">
        <v>0</v>
      </c>
      <c r="Q12563">
        <v>0</v>
      </c>
      <c r="R12563" t="s">
        <v>44920</v>
      </c>
      <c r="S12563" t="s">
        <v>45492</v>
      </c>
      <c r="T12563" t="s">
        <v>46525</v>
      </c>
      <c r="U12563" t="s">
        <v>56964</v>
      </c>
      <c r="W12563" t="s">
        <v>43325</v>
      </c>
      <c r="X12563" t="s">
        <v>44921</v>
      </c>
    </row>
    <row r="12564" spans="1:24">
      <c r="A12564">
        <f>HYPERLINK("https://www.philgeps.gov.ph/GEPSNONPILOT/Tender/SplashBidNoticeAbstractUI.aspx?menuIndex=3&amp;refID=7056478&amp;Result=3","7056478")</f>
        <v>0</v>
      </c>
      <c r="B12564" t="s">
        <v>3245</v>
      </c>
      <c r="C12564" t="s">
        <v>15528</v>
      </c>
      <c r="D12564" t="s">
        <v>18116</v>
      </c>
      <c r="E12564" t="s">
        <v>29009</v>
      </c>
      <c r="F12564" t="s">
        <v>31362</v>
      </c>
      <c r="G12564" t="s">
        <v>31369</v>
      </c>
      <c r="H12564" t="s">
        <v>31378</v>
      </c>
      <c r="I12564" t="s">
        <v>31386</v>
      </c>
      <c r="J12564" t="s">
        <v>31625</v>
      </c>
      <c r="K12564" t="s">
        <v>40682</v>
      </c>
      <c r="M12564" t="s">
        <v>44525</v>
      </c>
      <c r="N12564" t="s">
        <v>44905</v>
      </c>
      <c r="O12564" t="s">
        <v>44906</v>
      </c>
      <c r="Q12564">
        <v>0</v>
      </c>
      <c r="R12564" t="s">
        <v>44920</v>
      </c>
      <c r="S12564" t="s">
        <v>45539</v>
      </c>
      <c r="T12564" t="s">
        <v>46809</v>
      </c>
      <c r="U12564" t="s">
        <v>56913</v>
      </c>
      <c r="V12564" t="s">
        <v>60429</v>
      </c>
      <c r="W12564" t="s">
        <v>44525</v>
      </c>
      <c r="X12564" t="s">
        <v>44921</v>
      </c>
    </row>
    <row r="12565" spans="1:24">
      <c r="A12565">
        <f>HYPERLINK("https://www.philgeps.gov.ph/GEPSNONPILOT/Tender/SplashBidNoticeAbstractUI.aspx?menuIndex=3&amp;refID=7057361&amp;Result=3","7057361")</f>
        <v>0</v>
      </c>
      <c r="B12565" t="s">
        <v>3257</v>
      </c>
      <c r="C12565" t="s">
        <v>15529</v>
      </c>
      <c r="D12565" t="s">
        <v>18136</v>
      </c>
      <c r="E12565" t="s">
        <v>29066</v>
      </c>
      <c r="F12565" t="s">
        <v>31362</v>
      </c>
      <c r="G12565" t="s">
        <v>31369</v>
      </c>
      <c r="H12565" t="s">
        <v>31378</v>
      </c>
      <c r="I12565" t="s">
        <v>31386</v>
      </c>
      <c r="J12565" t="s">
        <v>39167</v>
      </c>
      <c r="K12565" t="s">
        <v>40686</v>
      </c>
      <c r="M12565" t="s">
        <v>44537</v>
      </c>
      <c r="N12565" t="s">
        <v>44905</v>
      </c>
      <c r="O12565" t="s">
        <v>44906</v>
      </c>
      <c r="P12565">
        <v>0</v>
      </c>
      <c r="Q12565">
        <v>1</v>
      </c>
      <c r="R12565" t="s">
        <v>44920</v>
      </c>
      <c r="S12565" t="s">
        <v>45492</v>
      </c>
      <c r="T12565" t="s">
        <v>46410</v>
      </c>
      <c r="U12565" t="s">
        <v>56965</v>
      </c>
      <c r="W12565" t="s">
        <v>44537</v>
      </c>
      <c r="X12565" t="s">
        <v>44921</v>
      </c>
    </row>
    <row r="12566" spans="1:24">
      <c r="A12566">
        <f>HYPERLINK("https://www.philgeps.gov.ph/GEPSNONPILOT/Tender/SplashBidNoticeAbstractUI.aspx?menuIndex=3&amp;refID=7056948&amp;Result=3","7056948")</f>
        <v>0</v>
      </c>
      <c r="B12566" t="s">
        <v>3245</v>
      </c>
      <c r="C12566" t="s">
        <v>15530</v>
      </c>
      <c r="D12566" t="s">
        <v>18116</v>
      </c>
      <c r="E12566" t="s">
        <v>29009</v>
      </c>
      <c r="F12566" t="s">
        <v>31362</v>
      </c>
      <c r="G12566" t="s">
        <v>31369</v>
      </c>
      <c r="H12566" t="s">
        <v>31378</v>
      </c>
      <c r="I12566" t="s">
        <v>31386</v>
      </c>
      <c r="J12566" t="s">
        <v>39168</v>
      </c>
      <c r="K12566" t="s">
        <v>40682</v>
      </c>
      <c r="M12566" t="s">
        <v>44525</v>
      </c>
      <c r="N12566" t="s">
        <v>44905</v>
      </c>
      <c r="O12566" t="s">
        <v>44906</v>
      </c>
      <c r="Q12566">
        <v>0</v>
      </c>
      <c r="R12566" t="s">
        <v>44920</v>
      </c>
      <c r="S12566" t="s">
        <v>45540</v>
      </c>
      <c r="T12566" t="s">
        <v>46809</v>
      </c>
      <c r="U12566" t="s">
        <v>56913</v>
      </c>
      <c r="V12566" t="s">
        <v>60430</v>
      </c>
      <c r="W12566" t="s">
        <v>44525</v>
      </c>
      <c r="X12566" t="s">
        <v>44921</v>
      </c>
    </row>
    <row r="12567" spans="1:24">
      <c r="A12567">
        <f>HYPERLINK("https://www.philgeps.gov.ph/GEPSNONPILOT/Tender/SplashBidNoticeAbstractUI.aspx?menuIndex=3&amp;refID=7057282&amp;Result=3","7057282")</f>
        <v>0</v>
      </c>
      <c r="B12567" t="s">
        <v>3121</v>
      </c>
      <c r="C12567" t="s">
        <v>15531</v>
      </c>
      <c r="D12567" t="s">
        <v>18158</v>
      </c>
      <c r="E12567" t="s">
        <v>29067</v>
      </c>
      <c r="F12567" t="s">
        <v>31362</v>
      </c>
      <c r="G12567" t="s">
        <v>31368</v>
      </c>
      <c r="H12567" t="s">
        <v>31378</v>
      </c>
      <c r="I12567" t="s">
        <v>31388</v>
      </c>
      <c r="J12567" t="s">
        <v>39169</v>
      </c>
      <c r="K12567" t="s">
        <v>40683</v>
      </c>
      <c r="L12567" t="s">
        <v>3121</v>
      </c>
      <c r="M12567" t="s">
        <v>44376</v>
      </c>
      <c r="N12567" t="s">
        <v>44905</v>
      </c>
      <c r="O12567" t="s">
        <v>44906</v>
      </c>
      <c r="P12567">
        <v>0</v>
      </c>
      <c r="Q12567">
        <v>0</v>
      </c>
      <c r="R12567" t="s">
        <v>44920</v>
      </c>
      <c r="S12567" t="s">
        <v>45492</v>
      </c>
      <c r="T12567" t="s">
        <v>46549</v>
      </c>
      <c r="U12567" t="s">
        <v>56966</v>
      </c>
      <c r="V12567" t="s">
        <v>60431</v>
      </c>
      <c r="W12567" t="s">
        <v>44376</v>
      </c>
      <c r="X12567" t="s">
        <v>44921</v>
      </c>
    </row>
    <row r="12568" spans="1:24">
      <c r="A12568">
        <f>HYPERLINK("https://www.philgeps.gov.ph/GEPSNONPILOT/Tender/SplashBidNoticeAbstractUI.aspx?menuIndex=3&amp;refID=7057039&amp;Result=3","7057039")</f>
        <v>0</v>
      </c>
      <c r="B12568" t="s">
        <v>424</v>
      </c>
      <c r="C12568" t="s">
        <v>15532</v>
      </c>
      <c r="D12568" t="s">
        <v>18168</v>
      </c>
      <c r="E12568" t="s">
        <v>29068</v>
      </c>
      <c r="F12568" t="s">
        <v>31362</v>
      </c>
      <c r="G12568" t="s">
        <v>31368</v>
      </c>
      <c r="H12568" t="s">
        <v>15799</v>
      </c>
      <c r="I12568" t="s">
        <v>31388</v>
      </c>
      <c r="J12568" t="s">
        <v>31586</v>
      </c>
      <c r="K12568" t="s">
        <v>40665</v>
      </c>
      <c r="M12568" t="s">
        <v>43973</v>
      </c>
      <c r="N12568" t="s">
        <v>44905</v>
      </c>
      <c r="O12568" t="s">
        <v>44906</v>
      </c>
      <c r="Q12568">
        <v>6</v>
      </c>
      <c r="R12568" t="s">
        <v>44920</v>
      </c>
      <c r="S12568" t="s">
        <v>45541</v>
      </c>
      <c r="T12568" t="s">
        <v>46435</v>
      </c>
      <c r="U12568" t="s">
        <v>56967</v>
      </c>
      <c r="W12568" t="s">
        <v>43973</v>
      </c>
      <c r="X12568" t="s">
        <v>44921</v>
      </c>
    </row>
    <row r="12569" spans="1:24">
      <c r="A12569">
        <f>HYPERLINK("https://www.philgeps.gov.ph/GEPSNONPILOT/Tender/SplashBidNoticeAbstractUI.aspx?menuIndex=3&amp;refID=7057272&amp;Result=3","7057272")</f>
        <v>0</v>
      </c>
      <c r="B12569" t="s">
        <v>2194</v>
      </c>
      <c r="C12569" t="s">
        <v>15533</v>
      </c>
      <c r="D12569" t="s">
        <v>18154</v>
      </c>
      <c r="E12569" t="s">
        <v>29069</v>
      </c>
      <c r="F12569" t="s">
        <v>31362</v>
      </c>
      <c r="G12569" t="s">
        <v>31369</v>
      </c>
      <c r="H12569" t="s">
        <v>15799</v>
      </c>
      <c r="I12569" t="s">
        <v>3815</v>
      </c>
      <c r="J12569" t="s">
        <v>39170</v>
      </c>
      <c r="K12569" t="s">
        <v>40661</v>
      </c>
      <c r="M12569" t="s">
        <v>43325</v>
      </c>
      <c r="N12569" t="s">
        <v>44905</v>
      </c>
      <c r="O12569" t="s">
        <v>44906</v>
      </c>
      <c r="P12569">
        <v>0</v>
      </c>
      <c r="Q12569">
        <v>1</v>
      </c>
      <c r="R12569" t="s">
        <v>44920</v>
      </c>
      <c r="S12569" t="s">
        <v>45492</v>
      </c>
      <c r="T12569" t="s">
        <v>46525</v>
      </c>
      <c r="U12569" t="s">
        <v>56968</v>
      </c>
      <c r="W12569" t="s">
        <v>43325</v>
      </c>
      <c r="X12569" t="s">
        <v>44921</v>
      </c>
    </row>
    <row r="12570" spans="1:24">
      <c r="A12570">
        <f>HYPERLINK("https://www.philgeps.gov.ph/GEPSNONPILOT/Tender/SplashBidNoticeAbstractUI.aspx?menuIndex=3&amp;refID=7057250&amp;Result=3","7057250")</f>
        <v>0</v>
      </c>
      <c r="B12570" t="s">
        <v>2308</v>
      </c>
      <c r="C12570" t="s">
        <v>15534</v>
      </c>
      <c r="D12570" t="s">
        <v>18101</v>
      </c>
      <c r="E12570" t="s">
        <v>29070</v>
      </c>
      <c r="F12570" t="s">
        <v>31362</v>
      </c>
      <c r="G12570" t="s">
        <v>31369</v>
      </c>
      <c r="H12570" t="s">
        <v>15799</v>
      </c>
      <c r="I12570" t="s">
        <v>6373</v>
      </c>
      <c r="J12570" t="s">
        <v>39171</v>
      </c>
      <c r="K12570" t="s">
        <v>40666</v>
      </c>
      <c r="M12570" t="s">
        <v>43448</v>
      </c>
      <c r="N12570" t="s">
        <v>44905</v>
      </c>
      <c r="O12570" t="s">
        <v>44906</v>
      </c>
      <c r="P12570">
        <v>0</v>
      </c>
      <c r="Q12570">
        <v>3</v>
      </c>
      <c r="R12570" t="s">
        <v>44920</v>
      </c>
      <c r="S12570" t="s">
        <v>45492</v>
      </c>
      <c r="T12570" t="s">
        <v>46649</v>
      </c>
      <c r="U12570" t="s">
        <v>56969</v>
      </c>
      <c r="W12570" t="s">
        <v>43448</v>
      </c>
      <c r="X12570" t="s">
        <v>44921</v>
      </c>
    </row>
    <row r="12571" spans="1:24">
      <c r="A12571">
        <f>HYPERLINK("https://www.philgeps.gov.ph/GEPSNONPILOT/Tender/SplashBidNoticeAbstractUI.aspx?menuIndex=3&amp;refID=7057228&amp;Result=3","7057228")</f>
        <v>0</v>
      </c>
      <c r="B12571" t="s">
        <v>2838</v>
      </c>
      <c r="C12571" t="s">
        <v>15535</v>
      </c>
      <c r="D12571" t="s">
        <v>18100</v>
      </c>
      <c r="E12571" t="s">
        <v>29071</v>
      </c>
      <c r="F12571" t="s">
        <v>31362</v>
      </c>
      <c r="G12571" t="s">
        <v>31369</v>
      </c>
      <c r="H12571" t="s">
        <v>31378</v>
      </c>
      <c r="I12571" t="s">
        <v>31386</v>
      </c>
      <c r="J12571" t="s">
        <v>39172</v>
      </c>
      <c r="K12571" t="s">
        <v>40686</v>
      </c>
      <c r="M12571" t="s">
        <v>44039</v>
      </c>
      <c r="N12571" t="s">
        <v>44905</v>
      </c>
      <c r="O12571" t="s">
        <v>44906</v>
      </c>
      <c r="P12571">
        <v>0</v>
      </c>
      <c r="Q12571">
        <v>2</v>
      </c>
      <c r="R12571" t="s">
        <v>44920</v>
      </c>
      <c r="S12571" t="s">
        <v>45492</v>
      </c>
      <c r="T12571" t="s">
        <v>46454</v>
      </c>
      <c r="U12571" t="s">
        <v>56970</v>
      </c>
      <c r="V12571" t="s">
        <v>60134</v>
      </c>
      <c r="W12571" t="s">
        <v>44039</v>
      </c>
      <c r="X12571" t="s">
        <v>44921</v>
      </c>
    </row>
    <row r="12572" spans="1:24">
      <c r="A12572">
        <f>HYPERLINK("https://www.philgeps.gov.ph/GEPSNONPILOT/Tender/SplashBidNoticeAbstractUI.aspx?menuIndex=3&amp;refID=7057351&amp;Result=3","7057351")</f>
        <v>0</v>
      </c>
      <c r="B12572" t="s">
        <v>1948</v>
      </c>
      <c r="C12572" t="s">
        <v>15536</v>
      </c>
      <c r="E12572" t="s">
        <v>29072</v>
      </c>
      <c r="F12572" t="s">
        <v>31362</v>
      </c>
      <c r="G12572" t="s">
        <v>31369</v>
      </c>
      <c r="H12572" t="s">
        <v>31378</v>
      </c>
      <c r="I12572" t="s">
        <v>31386</v>
      </c>
      <c r="J12572" t="s">
        <v>38825</v>
      </c>
      <c r="K12572" t="s">
        <v>40913</v>
      </c>
      <c r="M12572" t="s">
        <v>43811</v>
      </c>
      <c r="N12572" t="s">
        <v>44905</v>
      </c>
      <c r="O12572" t="s">
        <v>44906</v>
      </c>
      <c r="Q12572">
        <v>5</v>
      </c>
      <c r="R12572" t="s">
        <v>44920</v>
      </c>
      <c r="S12572" t="s">
        <v>45542</v>
      </c>
      <c r="T12572" t="s">
        <v>46481</v>
      </c>
      <c r="U12572" t="s">
        <v>56971</v>
      </c>
      <c r="W12572" t="s">
        <v>43811</v>
      </c>
      <c r="X12572" t="s">
        <v>44921</v>
      </c>
    </row>
    <row r="12573" spans="1:24">
      <c r="A12573">
        <f>HYPERLINK("https://www.philgeps.gov.ph/GEPSNONPILOT/Tender/SplashBidNoticeAbstractUI.aspx?menuIndex=3&amp;refID=7057654&amp;Result=3","7057654")</f>
        <v>0</v>
      </c>
      <c r="B12573" t="s">
        <v>2430</v>
      </c>
      <c r="C12573" t="s">
        <v>15537</v>
      </c>
      <c r="D12573" t="s">
        <v>18108</v>
      </c>
      <c r="E12573" t="s">
        <v>29073</v>
      </c>
      <c r="F12573" t="s">
        <v>31362</v>
      </c>
      <c r="G12573" t="s">
        <v>31369</v>
      </c>
      <c r="H12573" t="s">
        <v>15799</v>
      </c>
      <c r="I12573" t="s">
        <v>31469</v>
      </c>
      <c r="J12573" t="s">
        <v>39173</v>
      </c>
      <c r="K12573" t="s">
        <v>40665</v>
      </c>
      <c r="M12573" t="s">
        <v>43588</v>
      </c>
      <c r="N12573" t="s">
        <v>44905</v>
      </c>
      <c r="O12573" t="s">
        <v>44906</v>
      </c>
      <c r="P12573">
        <v>0</v>
      </c>
      <c r="Q12573">
        <v>10</v>
      </c>
      <c r="R12573" t="s">
        <v>44920</v>
      </c>
      <c r="S12573" t="s">
        <v>45492</v>
      </c>
      <c r="T12573" t="s">
        <v>46530</v>
      </c>
      <c r="U12573" t="s">
        <v>56972</v>
      </c>
      <c r="W12573" t="s">
        <v>43588</v>
      </c>
      <c r="X12573" t="s">
        <v>44921</v>
      </c>
    </row>
    <row r="12574" spans="1:24">
      <c r="A12574">
        <f>HYPERLINK("https://www.philgeps.gov.ph/GEPSNONPILOT/Tender/SplashBidNoticeAbstractUI.aspx?menuIndex=3&amp;refID=7056975&amp;Result=3","7056975")</f>
        <v>0</v>
      </c>
      <c r="B12574" t="s">
        <v>2308</v>
      </c>
      <c r="C12574" t="s">
        <v>15538</v>
      </c>
      <c r="D12574" t="s">
        <v>18101</v>
      </c>
      <c r="E12574" t="s">
        <v>25343</v>
      </c>
      <c r="F12574" t="s">
        <v>31362</v>
      </c>
      <c r="G12574" t="s">
        <v>31369</v>
      </c>
      <c r="H12574" t="s">
        <v>31378</v>
      </c>
      <c r="I12574" t="s">
        <v>31386</v>
      </c>
      <c r="J12574" t="s">
        <v>39174</v>
      </c>
      <c r="K12574" t="s">
        <v>40678</v>
      </c>
      <c r="M12574" t="s">
        <v>43448</v>
      </c>
      <c r="N12574" t="s">
        <v>44905</v>
      </c>
      <c r="O12574" t="s">
        <v>44906</v>
      </c>
      <c r="P12574">
        <v>0</v>
      </c>
      <c r="Q12574">
        <v>0</v>
      </c>
      <c r="R12574" t="s">
        <v>44920</v>
      </c>
      <c r="S12574" t="s">
        <v>45492</v>
      </c>
      <c r="T12574" t="s">
        <v>46560</v>
      </c>
      <c r="U12574" t="s">
        <v>56969</v>
      </c>
      <c r="W12574" t="s">
        <v>43448</v>
      </c>
      <c r="X12574" t="s">
        <v>44921</v>
      </c>
    </row>
    <row r="12575" spans="1:24">
      <c r="A12575">
        <f>HYPERLINK("https://www.philgeps.gov.ph/GEPSNONPILOT/Tender/SplashBidNoticeAbstractUI.aspx?menuIndex=3&amp;refID=7057236&amp;Result=3","7057236")</f>
        <v>0</v>
      </c>
      <c r="B12575" t="s">
        <v>3257</v>
      </c>
      <c r="C12575" t="s">
        <v>15539</v>
      </c>
      <c r="D12575" t="s">
        <v>18136</v>
      </c>
      <c r="E12575" t="s">
        <v>29074</v>
      </c>
      <c r="F12575" t="s">
        <v>31362</v>
      </c>
      <c r="G12575" t="s">
        <v>31369</v>
      </c>
      <c r="H12575" t="s">
        <v>31378</v>
      </c>
      <c r="I12575" t="s">
        <v>31386</v>
      </c>
      <c r="J12575" t="s">
        <v>39175</v>
      </c>
      <c r="K12575" t="s">
        <v>40686</v>
      </c>
      <c r="M12575" t="s">
        <v>44537</v>
      </c>
      <c r="N12575" t="s">
        <v>44905</v>
      </c>
      <c r="O12575" t="s">
        <v>44906</v>
      </c>
      <c r="P12575">
        <v>0</v>
      </c>
      <c r="Q12575">
        <v>1</v>
      </c>
      <c r="R12575" t="s">
        <v>44920</v>
      </c>
      <c r="S12575" t="s">
        <v>45492</v>
      </c>
      <c r="T12575" t="s">
        <v>46410</v>
      </c>
      <c r="U12575" t="s">
        <v>56965</v>
      </c>
      <c r="W12575" t="s">
        <v>44537</v>
      </c>
      <c r="X12575" t="s">
        <v>44921</v>
      </c>
    </row>
    <row r="12576" spans="1:24">
      <c r="A12576">
        <f>HYPERLINK("https://www.philgeps.gov.ph/GEPSNONPILOT/Tender/SplashBidNoticeAbstractUI.aspx?menuIndex=3&amp;refID=7057626&amp;Result=3","7057626")</f>
        <v>0</v>
      </c>
      <c r="B12576" t="s">
        <v>3258</v>
      </c>
      <c r="C12576" t="s">
        <v>15540</v>
      </c>
      <c r="D12576" t="s">
        <v>18102</v>
      </c>
      <c r="E12576" t="s">
        <v>29075</v>
      </c>
      <c r="F12576" t="s">
        <v>31362</v>
      </c>
      <c r="G12576" t="s">
        <v>31369</v>
      </c>
      <c r="H12576" t="s">
        <v>15799</v>
      </c>
      <c r="I12576" t="s">
        <v>31380</v>
      </c>
      <c r="J12576" t="s">
        <v>31536</v>
      </c>
      <c r="K12576" t="s">
        <v>40662</v>
      </c>
      <c r="M12576" t="s">
        <v>44538</v>
      </c>
      <c r="N12576" t="s">
        <v>44905</v>
      </c>
      <c r="O12576" t="s">
        <v>44906</v>
      </c>
      <c r="P12576">
        <v>0</v>
      </c>
      <c r="Q12576">
        <v>1</v>
      </c>
      <c r="R12576" t="s">
        <v>44920</v>
      </c>
      <c r="S12576" t="s">
        <v>45492</v>
      </c>
      <c r="T12576" t="s">
        <v>46409</v>
      </c>
      <c r="U12576" t="s">
        <v>56973</v>
      </c>
      <c r="W12576" t="s">
        <v>44538</v>
      </c>
      <c r="X12576" t="s">
        <v>44921</v>
      </c>
    </row>
    <row r="12577" spans="1:24">
      <c r="A12577">
        <f>HYPERLINK("https://www.philgeps.gov.ph/GEPSNONPILOT/Tender/SplashBidNoticeAbstractUI.aspx?menuIndex=3&amp;refID=7057223&amp;Result=3","7057223")</f>
        <v>0</v>
      </c>
      <c r="B12577" t="s">
        <v>1341</v>
      </c>
      <c r="C12577" t="s">
        <v>15541</v>
      </c>
      <c r="D12577" t="s">
        <v>18107</v>
      </c>
      <c r="E12577" t="s">
        <v>15541</v>
      </c>
      <c r="F12577" t="s">
        <v>31362</v>
      </c>
      <c r="G12577" t="s">
        <v>31369</v>
      </c>
      <c r="H12577" t="s">
        <v>31378</v>
      </c>
      <c r="I12577" t="s">
        <v>31386</v>
      </c>
      <c r="J12577" t="s">
        <v>39176</v>
      </c>
      <c r="K12577" t="s">
        <v>40686</v>
      </c>
      <c r="M12577" t="s">
        <v>42360</v>
      </c>
      <c r="N12577" t="s">
        <v>44905</v>
      </c>
      <c r="O12577" t="s">
        <v>44906</v>
      </c>
      <c r="Q12577">
        <v>1</v>
      </c>
      <c r="R12577" t="s">
        <v>44920</v>
      </c>
      <c r="S12577" t="s">
        <v>45543</v>
      </c>
      <c r="T12577" t="s">
        <v>46507</v>
      </c>
      <c r="U12577" t="s">
        <v>56974</v>
      </c>
      <c r="W12577" t="s">
        <v>42360</v>
      </c>
      <c r="X12577" t="s">
        <v>44921</v>
      </c>
    </row>
    <row r="12578" spans="1:24">
      <c r="A12578">
        <f>HYPERLINK("https://www.philgeps.gov.ph/GEPSNONPILOT/Tender/SplashBidNoticeAbstractUI.aspx?menuIndex=3&amp;refID=7057621&amp;Result=3","7057621")</f>
        <v>0</v>
      </c>
      <c r="B12578" t="s">
        <v>1891</v>
      </c>
      <c r="C12578" t="s">
        <v>15542</v>
      </c>
      <c r="D12578" t="s">
        <v>18146</v>
      </c>
      <c r="E12578" t="s">
        <v>29076</v>
      </c>
      <c r="F12578" t="s">
        <v>31362</v>
      </c>
      <c r="G12578" t="s">
        <v>31369</v>
      </c>
      <c r="H12578" t="s">
        <v>31378</v>
      </c>
      <c r="I12578" t="s">
        <v>31386</v>
      </c>
      <c r="J12578" t="s">
        <v>31969</v>
      </c>
      <c r="K12578" t="s">
        <v>40750</v>
      </c>
      <c r="M12578" t="s">
        <v>42986</v>
      </c>
      <c r="N12578" t="s">
        <v>44905</v>
      </c>
      <c r="O12578" t="s">
        <v>44906</v>
      </c>
      <c r="P12578">
        <v>0</v>
      </c>
      <c r="Q12578">
        <v>0</v>
      </c>
      <c r="R12578" t="s">
        <v>44920</v>
      </c>
      <c r="S12578" t="s">
        <v>45492</v>
      </c>
      <c r="T12578" t="s">
        <v>46397</v>
      </c>
      <c r="U12578" t="s">
        <v>56975</v>
      </c>
      <c r="V12578" t="s">
        <v>60432</v>
      </c>
      <c r="W12578" t="s">
        <v>42986</v>
      </c>
      <c r="X12578" t="s">
        <v>44921</v>
      </c>
    </row>
    <row r="12579" spans="1:24">
      <c r="A12579">
        <f>HYPERLINK("https://www.philgeps.gov.ph/GEPSNONPILOT/Tender/SplashBidNoticeAbstractUI.aspx?menuIndex=3&amp;refID=7057616&amp;Result=3","7057616")</f>
        <v>0</v>
      </c>
      <c r="B12579" t="s">
        <v>2908</v>
      </c>
      <c r="C12579" t="s">
        <v>15543</v>
      </c>
      <c r="D12579" t="s">
        <v>18149</v>
      </c>
      <c r="E12579" t="s">
        <v>29077</v>
      </c>
      <c r="F12579" t="s">
        <v>31362</v>
      </c>
      <c r="G12579" t="s">
        <v>31369</v>
      </c>
      <c r="H12579" t="s">
        <v>31378</v>
      </c>
      <c r="I12579" t="s">
        <v>31386</v>
      </c>
      <c r="J12579" t="s">
        <v>39177</v>
      </c>
      <c r="K12579" t="s">
        <v>40774</v>
      </c>
      <c r="M12579" t="s">
        <v>44123</v>
      </c>
      <c r="N12579" t="s">
        <v>44905</v>
      </c>
      <c r="O12579" t="s">
        <v>44906</v>
      </c>
      <c r="P12579">
        <v>0</v>
      </c>
      <c r="Q12579">
        <v>0</v>
      </c>
      <c r="R12579" t="s">
        <v>44920</v>
      </c>
      <c r="S12579" t="s">
        <v>45492</v>
      </c>
      <c r="T12579" t="s">
        <v>46433</v>
      </c>
      <c r="U12579" t="s">
        <v>56976</v>
      </c>
      <c r="W12579" t="s">
        <v>44123</v>
      </c>
      <c r="X12579" t="s">
        <v>44921</v>
      </c>
    </row>
    <row r="12580" spans="1:24">
      <c r="A12580">
        <f>HYPERLINK("https://www.philgeps.gov.ph/GEPSNONPILOT/Tender/SplashBidNoticeAbstractUI.aspx?menuIndex=3&amp;refID=7057613&amp;Result=3","7057613")</f>
        <v>0</v>
      </c>
      <c r="B12580" t="s">
        <v>1319</v>
      </c>
      <c r="C12580" t="s">
        <v>15544</v>
      </c>
      <c r="D12580" t="s">
        <v>18131</v>
      </c>
      <c r="E12580" t="s">
        <v>29078</v>
      </c>
      <c r="F12580" t="s">
        <v>31362</v>
      </c>
      <c r="G12580" t="s">
        <v>31369</v>
      </c>
      <c r="H12580" t="s">
        <v>15799</v>
      </c>
      <c r="I12580" t="s">
        <v>31428</v>
      </c>
      <c r="J12580" t="s">
        <v>31634</v>
      </c>
      <c r="K12580" t="s">
        <v>40675</v>
      </c>
      <c r="M12580" t="s">
        <v>42337</v>
      </c>
      <c r="N12580" t="s">
        <v>44905</v>
      </c>
      <c r="O12580" t="s">
        <v>44906</v>
      </c>
      <c r="P12580">
        <v>0</v>
      </c>
      <c r="Q12580">
        <v>4</v>
      </c>
      <c r="R12580" t="s">
        <v>44920</v>
      </c>
      <c r="S12580" t="s">
        <v>45492</v>
      </c>
      <c r="T12580" t="s">
        <v>46585</v>
      </c>
      <c r="U12580" t="s">
        <v>56977</v>
      </c>
      <c r="V12580" t="s">
        <v>60433</v>
      </c>
      <c r="W12580" t="s">
        <v>42337</v>
      </c>
      <c r="X12580" t="s">
        <v>44921</v>
      </c>
    </row>
    <row r="12581" spans="1:24">
      <c r="A12581">
        <f>HYPERLINK("https://www.philgeps.gov.ph/GEPSNONPILOT/Tender/SplashBidNoticeAbstractUI.aspx?menuIndex=3&amp;refID=7057582&amp;Result=3","7057582")</f>
        <v>0</v>
      </c>
      <c r="B12581" t="s">
        <v>2430</v>
      </c>
      <c r="C12581" t="s">
        <v>15545</v>
      </c>
      <c r="D12581" t="s">
        <v>18108</v>
      </c>
      <c r="E12581" t="s">
        <v>29079</v>
      </c>
      <c r="F12581" t="s">
        <v>31362</v>
      </c>
      <c r="G12581" t="s">
        <v>31369</v>
      </c>
      <c r="H12581" t="s">
        <v>15799</v>
      </c>
      <c r="I12581" t="s">
        <v>7719</v>
      </c>
      <c r="J12581" t="s">
        <v>33446</v>
      </c>
      <c r="K12581" t="s">
        <v>40686</v>
      </c>
      <c r="M12581" t="s">
        <v>43588</v>
      </c>
      <c r="N12581" t="s">
        <v>44905</v>
      </c>
      <c r="O12581" t="s">
        <v>44906</v>
      </c>
      <c r="P12581">
        <v>0</v>
      </c>
      <c r="Q12581">
        <v>4</v>
      </c>
      <c r="R12581" t="s">
        <v>44920</v>
      </c>
      <c r="S12581" t="s">
        <v>45492</v>
      </c>
      <c r="T12581" t="s">
        <v>46481</v>
      </c>
      <c r="U12581" t="s">
        <v>56978</v>
      </c>
      <c r="W12581" t="s">
        <v>43588</v>
      </c>
      <c r="X12581" t="s">
        <v>44921</v>
      </c>
    </row>
    <row r="12582" spans="1:24">
      <c r="A12582">
        <f>HYPERLINK("https://www.philgeps.gov.ph/GEPSNONPILOT/Tender/SplashBidNoticeAbstractUI.aspx?menuIndex=3&amp;refID=7057518&amp;Result=3","7057518")</f>
        <v>0</v>
      </c>
      <c r="B12582" t="s">
        <v>1800</v>
      </c>
      <c r="C12582" t="s">
        <v>15546</v>
      </c>
      <c r="D12582" t="s">
        <v>18124</v>
      </c>
      <c r="E12582" t="s">
        <v>29080</v>
      </c>
      <c r="F12582" t="s">
        <v>31362</v>
      </c>
      <c r="G12582" t="s">
        <v>31369</v>
      </c>
      <c r="H12582" t="s">
        <v>15799</v>
      </c>
      <c r="I12582" t="s">
        <v>3815</v>
      </c>
      <c r="J12582" t="s">
        <v>39178</v>
      </c>
      <c r="K12582" t="s">
        <v>40677</v>
      </c>
      <c r="M12582" t="s">
        <v>42882</v>
      </c>
      <c r="N12582" t="s">
        <v>44905</v>
      </c>
      <c r="O12582" t="s">
        <v>44906</v>
      </c>
      <c r="P12582">
        <v>0</v>
      </c>
      <c r="Q12582">
        <v>1</v>
      </c>
      <c r="R12582" t="s">
        <v>44920</v>
      </c>
      <c r="S12582" t="s">
        <v>45492</v>
      </c>
      <c r="T12582" t="s">
        <v>46396</v>
      </c>
      <c r="U12582" t="s">
        <v>56979</v>
      </c>
      <c r="W12582" t="s">
        <v>42882</v>
      </c>
      <c r="X12582" t="s">
        <v>44921</v>
      </c>
    </row>
    <row r="12583" spans="1:24">
      <c r="A12583">
        <f>HYPERLINK("https://www.philgeps.gov.ph/GEPSNONPILOT/Tender/SplashBidNoticeAbstractUI.aspx?menuIndex=3&amp;refID=7057505&amp;Result=3","7057505")</f>
        <v>0</v>
      </c>
      <c r="B12583" t="s">
        <v>299</v>
      </c>
      <c r="C12583" t="s">
        <v>15547</v>
      </c>
      <c r="D12583" t="s">
        <v>18108</v>
      </c>
      <c r="E12583" t="s">
        <v>29081</v>
      </c>
      <c r="F12583" t="s">
        <v>31362</v>
      </c>
      <c r="G12583" t="s">
        <v>31369</v>
      </c>
      <c r="H12583" t="s">
        <v>31378</v>
      </c>
      <c r="I12583" t="s">
        <v>31386</v>
      </c>
      <c r="J12583" t="s">
        <v>39179</v>
      </c>
      <c r="K12583" t="s">
        <v>40796</v>
      </c>
      <c r="M12583" t="s">
        <v>44299</v>
      </c>
      <c r="N12583" t="s">
        <v>44905</v>
      </c>
      <c r="O12583" t="s">
        <v>44906</v>
      </c>
      <c r="Q12583">
        <v>10</v>
      </c>
      <c r="R12583" t="s">
        <v>44920</v>
      </c>
      <c r="S12583" t="s">
        <v>45544</v>
      </c>
      <c r="T12583" t="s">
        <v>46533</v>
      </c>
      <c r="U12583" t="s">
        <v>56980</v>
      </c>
      <c r="V12583" t="s">
        <v>59741</v>
      </c>
      <c r="W12583" t="s">
        <v>44299</v>
      </c>
      <c r="X12583" t="s">
        <v>44921</v>
      </c>
    </row>
    <row r="12584" spans="1:24">
      <c r="A12584">
        <f>HYPERLINK("https://www.philgeps.gov.ph/GEPSNONPILOT/Tender/SplashBidNoticeAbstractUI.aspx?menuIndex=3&amp;refID=7057502&amp;Result=3","7057502")</f>
        <v>0</v>
      </c>
      <c r="B12584" t="s">
        <v>1341</v>
      </c>
      <c r="C12584" t="s">
        <v>15548</v>
      </c>
      <c r="D12584" t="s">
        <v>18107</v>
      </c>
      <c r="E12584" t="s">
        <v>15548</v>
      </c>
      <c r="F12584" t="s">
        <v>31362</v>
      </c>
      <c r="G12584" t="s">
        <v>31369</v>
      </c>
      <c r="H12584" t="s">
        <v>31378</v>
      </c>
      <c r="I12584" t="s">
        <v>31386</v>
      </c>
      <c r="J12584" t="s">
        <v>31641</v>
      </c>
      <c r="K12584" t="s">
        <v>40686</v>
      </c>
      <c r="M12584" t="s">
        <v>42360</v>
      </c>
      <c r="N12584" t="s">
        <v>44905</v>
      </c>
      <c r="O12584" t="s">
        <v>44906</v>
      </c>
      <c r="P12584">
        <v>0</v>
      </c>
      <c r="Q12584">
        <v>1</v>
      </c>
      <c r="R12584" t="s">
        <v>44920</v>
      </c>
      <c r="S12584" t="s">
        <v>45492</v>
      </c>
      <c r="T12584" t="s">
        <v>46858</v>
      </c>
      <c r="U12584" t="s">
        <v>56981</v>
      </c>
      <c r="W12584" t="s">
        <v>42360</v>
      </c>
      <c r="X12584" t="s">
        <v>44921</v>
      </c>
    </row>
    <row r="12585" spans="1:24">
      <c r="A12585">
        <f>HYPERLINK("https://www.philgeps.gov.ph/GEPSNONPILOT/Tender/SplashBidNoticeAbstractUI.aspx?menuIndex=3&amp;refID=7057289&amp;Result=3","7057289")</f>
        <v>0</v>
      </c>
      <c r="B12585" t="s">
        <v>3257</v>
      </c>
      <c r="C12585" t="s">
        <v>15549</v>
      </c>
      <c r="E12585" t="s">
        <v>29082</v>
      </c>
      <c r="F12585" t="s">
        <v>31362</v>
      </c>
      <c r="G12585" t="s">
        <v>31369</v>
      </c>
      <c r="H12585" t="s">
        <v>31378</v>
      </c>
      <c r="I12585" t="s">
        <v>31386</v>
      </c>
      <c r="J12585" t="s">
        <v>39175</v>
      </c>
      <c r="K12585" t="s">
        <v>40686</v>
      </c>
      <c r="N12585" t="s">
        <v>44905</v>
      </c>
      <c r="O12585" t="s">
        <v>44906</v>
      </c>
      <c r="P12585">
        <v>0</v>
      </c>
      <c r="Q12585">
        <v>1</v>
      </c>
      <c r="R12585" t="s">
        <v>44920</v>
      </c>
      <c r="S12585" t="s">
        <v>45492</v>
      </c>
      <c r="T12585" t="s">
        <v>46410</v>
      </c>
      <c r="U12585" t="s">
        <v>56965</v>
      </c>
      <c r="W12585" t="s">
        <v>44537</v>
      </c>
      <c r="X12585" t="s">
        <v>44921</v>
      </c>
    </row>
    <row r="12586" spans="1:24">
      <c r="A12586">
        <f>HYPERLINK("https://www.philgeps.gov.ph/GEPSNONPILOT/Tender/SplashBidNoticeAbstractUI.aspx?menuIndex=3&amp;refID=7057496&amp;Result=3","7057496")</f>
        <v>0</v>
      </c>
      <c r="B12586" t="s">
        <v>2951</v>
      </c>
      <c r="C12586" t="s">
        <v>15550</v>
      </c>
      <c r="D12586" t="s">
        <v>18151</v>
      </c>
      <c r="E12586" t="s">
        <v>29083</v>
      </c>
      <c r="F12586" t="s">
        <v>31362</v>
      </c>
      <c r="G12586" t="s">
        <v>31369</v>
      </c>
      <c r="H12586" t="s">
        <v>15799</v>
      </c>
      <c r="I12586" t="s">
        <v>31427</v>
      </c>
      <c r="J12586" t="s">
        <v>33999</v>
      </c>
      <c r="K12586" t="s">
        <v>40665</v>
      </c>
      <c r="M12586" t="s">
        <v>44174</v>
      </c>
      <c r="N12586" t="s">
        <v>44905</v>
      </c>
      <c r="O12586" t="s">
        <v>44906</v>
      </c>
      <c r="P12586">
        <v>0</v>
      </c>
      <c r="Q12586">
        <v>6</v>
      </c>
      <c r="R12586" t="s">
        <v>44920</v>
      </c>
      <c r="S12586" t="s">
        <v>45492</v>
      </c>
      <c r="T12586" t="s">
        <v>46695</v>
      </c>
      <c r="U12586" t="s">
        <v>56982</v>
      </c>
      <c r="W12586" t="s">
        <v>44174</v>
      </c>
      <c r="X12586" t="s">
        <v>44921</v>
      </c>
    </row>
    <row r="12587" spans="1:24">
      <c r="A12587">
        <f>HYPERLINK("https://www.philgeps.gov.ph/GEPSNONPILOT/Tender/SplashBidNoticeAbstractUI.aspx?menuIndex=3&amp;refID=7057461&amp;Result=3","7057461")</f>
        <v>0</v>
      </c>
      <c r="B12587" t="s">
        <v>3259</v>
      </c>
      <c r="C12587" t="s">
        <v>15551</v>
      </c>
      <c r="D12587" t="s">
        <v>18117</v>
      </c>
      <c r="E12587" t="s">
        <v>20718</v>
      </c>
      <c r="F12587" t="s">
        <v>31362</v>
      </c>
      <c r="G12587" t="s">
        <v>31369</v>
      </c>
      <c r="H12587" t="s">
        <v>31378</v>
      </c>
      <c r="I12587" t="s">
        <v>31386</v>
      </c>
      <c r="J12587" t="s">
        <v>33028</v>
      </c>
      <c r="K12587" t="s">
        <v>40679</v>
      </c>
      <c r="M12587" t="s">
        <v>44539</v>
      </c>
      <c r="N12587" t="s">
        <v>44905</v>
      </c>
      <c r="O12587" t="s">
        <v>44906</v>
      </c>
      <c r="P12587">
        <v>0</v>
      </c>
      <c r="Q12587">
        <v>3</v>
      </c>
      <c r="R12587" t="s">
        <v>44920</v>
      </c>
      <c r="S12587" t="s">
        <v>45492</v>
      </c>
      <c r="T12587" t="s">
        <v>46409</v>
      </c>
      <c r="U12587" t="s">
        <v>56983</v>
      </c>
      <c r="W12587" t="s">
        <v>44539</v>
      </c>
      <c r="X12587" t="s">
        <v>44921</v>
      </c>
    </row>
    <row r="12588" spans="1:24">
      <c r="A12588">
        <f>HYPERLINK("https://www.philgeps.gov.ph/GEPSNONPILOT/Tender/SplashBidNoticeAbstractUI.aspx?menuIndex=3&amp;refID=7057433&amp;Result=3","7057433")</f>
        <v>0</v>
      </c>
      <c r="B12588" t="s">
        <v>2382</v>
      </c>
      <c r="C12588" t="s">
        <v>15552</v>
      </c>
      <c r="D12588" t="s">
        <v>18125</v>
      </c>
      <c r="E12588" t="s">
        <v>26588</v>
      </c>
      <c r="F12588" t="s">
        <v>31363</v>
      </c>
      <c r="G12588" t="s">
        <v>31368</v>
      </c>
      <c r="H12588" t="s">
        <v>31378</v>
      </c>
      <c r="I12588" t="s">
        <v>31433</v>
      </c>
      <c r="J12588" t="s">
        <v>32423</v>
      </c>
      <c r="K12588" t="s">
        <v>40677</v>
      </c>
      <c r="M12588" t="s">
        <v>43531</v>
      </c>
      <c r="N12588" t="s">
        <v>44905</v>
      </c>
      <c r="O12588" t="s">
        <v>44906</v>
      </c>
      <c r="Q12588">
        <v>1</v>
      </c>
      <c r="R12588" t="s">
        <v>44920</v>
      </c>
      <c r="S12588" t="s">
        <v>45545</v>
      </c>
      <c r="T12588" t="s">
        <v>46412</v>
      </c>
      <c r="U12588" t="s">
        <v>53357</v>
      </c>
      <c r="W12588" t="s">
        <v>43531</v>
      </c>
      <c r="X12588" t="s">
        <v>44921</v>
      </c>
    </row>
    <row r="12589" spans="1:24">
      <c r="A12589">
        <f>HYPERLINK("https://www.philgeps.gov.ph/GEPSNONPILOT/Tender/SplashBidNoticeAbstractUI.aspx?menuIndex=3&amp;refID=7057416&amp;Result=3","7057416")</f>
        <v>0</v>
      </c>
      <c r="B12589" t="s">
        <v>629</v>
      </c>
      <c r="C12589" t="s">
        <v>15553</v>
      </c>
      <c r="D12589" t="s">
        <v>18160</v>
      </c>
      <c r="E12589" t="s">
        <v>29084</v>
      </c>
      <c r="F12589" t="s">
        <v>31362</v>
      </c>
      <c r="G12589" t="s">
        <v>31369</v>
      </c>
      <c r="H12589" t="s">
        <v>31378</v>
      </c>
      <c r="I12589" t="s">
        <v>31386</v>
      </c>
      <c r="J12589" t="s">
        <v>39180</v>
      </c>
      <c r="K12589" t="s">
        <v>40686</v>
      </c>
      <c r="M12589" t="s">
        <v>41589</v>
      </c>
      <c r="N12589" t="s">
        <v>44905</v>
      </c>
      <c r="O12589" t="s">
        <v>44906</v>
      </c>
      <c r="P12589">
        <v>0</v>
      </c>
      <c r="Q12589">
        <v>0</v>
      </c>
      <c r="R12589" t="s">
        <v>44920</v>
      </c>
      <c r="S12589" t="s">
        <v>45492</v>
      </c>
      <c r="T12589" t="s">
        <v>46396</v>
      </c>
      <c r="U12589" t="s">
        <v>55055</v>
      </c>
      <c r="W12589" t="s">
        <v>41589</v>
      </c>
      <c r="X12589" t="s">
        <v>44921</v>
      </c>
    </row>
    <row r="12590" spans="1:24">
      <c r="A12590">
        <f>HYPERLINK("https://www.philgeps.gov.ph/GEPSNONPILOT/Tender/SplashBidNoticeAbstractUI.aspx?menuIndex=3&amp;refID=7057403&amp;Result=3","7057403")</f>
        <v>0</v>
      </c>
      <c r="B12590" t="s">
        <v>3235</v>
      </c>
      <c r="C12590" t="s">
        <v>15554</v>
      </c>
      <c r="D12590" t="s">
        <v>18103</v>
      </c>
      <c r="E12590" t="s">
        <v>29085</v>
      </c>
      <c r="F12590" t="s">
        <v>31362</v>
      </c>
      <c r="G12590" t="s">
        <v>31369</v>
      </c>
      <c r="H12590" t="s">
        <v>31378</v>
      </c>
      <c r="I12590" t="s">
        <v>31386</v>
      </c>
      <c r="J12590" t="s">
        <v>31625</v>
      </c>
      <c r="K12590" t="s">
        <v>40771</v>
      </c>
      <c r="M12590" t="s">
        <v>44511</v>
      </c>
      <c r="N12590" t="s">
        <v>44905</v>
      </c>
      <c r="O12590" t="s">
        <v>44906</v>
      </c>
      <c r="P12590">
        <v>0</v>
      </c>
      <c r="Q12590">
        <v>6</v>
      </c>
      <c r="R12590" t="s">
        <v>44920</v>
      </c>
      <c r="S12590" t="s">
        <v>45492</v>
      </c>
      <c r="T12590" t="s">
        <v>46538</v>
      </c>
      <c r="U12590" t="s">
        <v>56860</v>
      </c>
      <c r="W12590" t="s">
        <v>44511</v>
      </c>
      <c r="X12590" t="s">
        <v>44921</v>
      </c>
    </row>
    <row r="12591" spans="1:24">
      <c r="A12591">
        <f>HYPERLINK("https://www.philgeps.gov.ph/GEPSNONPILOT/Tender/SplashBidNoticeAbstractUI.aspx?menuIndex=3&amp;refID=7057382&amp;Result=3","7057382")</f>
        <v>0</v>
      </c>
      <c r="B12591" t="s">
        <v>2194</v>
      </c>
      <c r="C12591" t="s">
        <v>15555</v>
      </c>
      <c r="D12591" t="s">
        <v>18154</v>
      </c>
      <c r="E12591" t="s">
        <v>29086</v>
      </c>
      <c r="F12591" t="s">
        <v>31362</v>
      </c>
      <c r="G12591" t="s">
        <v>31369</v>
      </c>
      <c r="H12591" t="s">
        <v>15799</v>
      </c>
      <c r="I12591" t="s">
        <v>3815</v>
      </c>
      <c r="J12591" t="s">
        <v>39181</v>
      </c>
      <c r="K12591" t="s">
        <v>40661</v>
      </c>
      <c r="M12591" t="s">
        <v>43325</v>
      </c>
      <c r="N12591" t="s">
        <v>44905</v>
      </c>
      <c r="O12591" t="s">
        <v>44906</v>
      </c>
      <c r="P12591">
        <v>0</v>
      </c>
      <c r="Q12591">
        <v>0</v>
      </c>
      <c r="R12591" t="s">
        <v>44920</v>
      </c>
      <c r="S12591" t="s">
        <v>45492</v>
      </c>
      <c r="T12591" t="s">
        <v>46525</v>
      </c>
      <c r="U12591" t="s">
        <v>56984</v>
      </c>
      <c r="W12591" t="s">
        <v>43325</v>
      </c>
      <c r="X12591" t="s">
        <v>44921</v>
      </c>
    </row>
    <row r="12592" spans="1:24">
      <c r="A12592">
        <f>HYPERLINK("https://www.philgeps.gov.ph/GEPSNONPILOT/Tender/SplashBidNoticeAbstractUI.aspx?menuIndex=3&amp;refID=7057368&amp;Result=3","7057368")</f>
        <v>0</v>
      </c>
      <c r="B12592" t="s">
        <v>629</v>
      </c>
      <c r="C12592" t="s">
        <v>15556</v>
      </c>
      <c r="D12592" t="s">
        <v>18160</v>
      </c>
      <c r="E12592" t="s">
        <v>29087</v>
      </c>
      <c r="F12592" t="s">
        <v>31362</v>
      </c>
      <c r="G12592" t="s">
        <v>31369</v>
      </c>
      <c r="H12592" t="s">
        <v>31378</v>
      </c>
      <c r="I12592" t="s">
        <v>31386</v>
      </c>
      <c r="J12592" t="s">
        <v>39182</v>
      </c>
      <c r="K12592" t="s">
        <v>40683</v>
      </c>
      <c r="M12592" t="s">
        <v>41589</v>
      </c>
      <c r="N12592" t="s">
        <v>44905</v>
      </c>
      <c r="O12592" t="s">
        <v>44906</v>
      </c>
      <c r="P12592">
        <v>0</v>
      </c>
      <c r="Q12592">
        <v>1</v>
      </c>
      <c r="R12592" t="s">
        <v>44920</v>
      </c>
      <c r="S12592" t="s">
        <v>45492</v>
      </c>
      <c r="T12592" t="s">
        <v>46396</v>
      </c>
      <c r="U12592" t="s">
        <v>55055</v>
      </c>
      <c r="W12592" t="s">
        <v>41589</v>
      </c>
      <c r="X12592" t="s">
        <v>44921</v>
      </c>
    </row>
    <row r="12593" spans="1:24">
      <c r="A12593">
        <f>HYPERLINK("https://www.philgeps.gov.ph/GEPSNONPILOT/Tender/SplashBidNoticeAbstractUI.aspx?menuIndex=3&amp;refID=7057439&amp;Result=3","7057439")</f>
        <v>0</v>
      </c>
      <c r="B12593" t="s">
        <v>629</v>
      </c>
      <c r="C12593" t="s">
        <v>15557</v>
      </c>
      <c r="D12593" t="s">
        <v>18160</v>
      </c>
      <c r="E12593" t="s">
        <v>29088</v>
      </c>
      <c r="F12593" t="s">
        <v>31362</v>
      </c>
      <c r="G12593" t="s">
        <v>31369</v>
      </c>
      <c r="H12593" t="s">
        <v>31378</v>
      </c>
      <c r="I12593" t="s">
        <v>31386</v>
      </c>
      <c r="J12593" t="s">
        <v>39183</v>
      </c>
      <c r="K12593" t="s">
        <v>40686</v>
      </c>
      <c r="M12593" t="s">
        <v>41589</v>
      </c>
      <c r="N12593" t="s">
        <v>44905</v>
      </c>
      <c r="O12593" t="s">
        <v>44906</v>
      </c>
      <c r="P12593">
        <v>0</v>
      </c>
      <c r="Q12593">
        <v>1</v>
      </c>
      <c r="R12593" t="s">
        <v>44920</v>
      </c>
      <c r="S12593" t="s">
        <v>45492</v>
      </c>
      <c r="T12593" t="s">
        <v>46396</v>
      </c>
      <c r="U12593" t="s">
        <v>55055</v>
      </c>
      <c r="W12593" t="s">
        <v>41589</v>
      </c>
      <c r="X12593" t="s">
        <v>44921</v>
      </c>
    </row>
    <row r="12594" spans="1:24">
      <c r="A12594">
        <f>HYPERLINK("https://www.philgeps.gov.ph/GEPSNONPILOT/Tender/SplashBidNoticeAbstractUI.aspx?menuIndex=3&amp;refID=7057200&amp;Result=3","7057200")</f>
        <v>0</v>
      </c>
      <c r="B12594" t="s">
        <v>2194</v>
      </c>
      <c r="C12594" t="s">
        <v>15558</v>
      </c>
      <c r="D12594" t="s">
        <v>18154</v>
      </c>
      <c r="E12594" t="s">
        <v>29089</v>
      </c>
      <c r="F12594" t="s">
        <v>31362</v>
      </c>
      <c r="G12594" t="s">
        <v>31369</v>
      </c>
      <c r="H12594" t="s">
        <v>15799</v>
      </c>
      <c r="I12594" t="s">
        <v>3815</v>
      </c>
      <c r="J12594" t="s">
        <v>39184</v>
      </c>
      <c r="K12594" t="s">
        <v>40661</v>
      </c>
      <c r="M12594" t="s">
        <v>43325</v>
      </c>
      <c r="N12594" t="s">
        <v>44905</v>
      </c>
      <c r="O12594" t="s">
        <v>44906</v>
      </c>
      <c r="P12594">
        <v>0</v>
      </c>
      <c r="Q12594">
        <v>0</v>
      </c>
      <c r="R12594" t="s">
        <v>44920</v>
      </c>
      <c r="S12594" t="s">
        <v>45492</v>
      </c>
      <c r="T12594" t="s">
        <v>46525</v>
      </c>
      <c r="U12594" t="s">
        <v>56985</v>
      </c>
      <c r="W12594" t="s">
        <v>43325</v>
      </c>
      <c r="X12594" t="s">
        <v>44921</v>
      </c>
    </row>
    <row r="12595" spans="1:24">
      <c r="A12595">
        <f>HYPERLINK("https://www.philgeps.gov.ph/GEPSNONPILOT/Tender/SplashBidNoticeAbstractUI.aspx?menuIndex=3&amp;refID=7057181&amp;Result=3","7057181")</f>
        <v>0</v>
      </c>
      <c r="B12595" t="s">
        <v>3260</v>
      </c>
      <c r="C12595" t="s">
        <v>15559</v>
      </c>
      <c r="D12595" t="s">
        <v>18134</v>
      </c>
      <c r="E12595" t="s">
        <v>29090</v>
      </c>
      <c r="F12595" t="s">
        <v>31362</v>
      </c>
      <c r="G12595" t="s">
        <v>31369</v>
      </c>
      <c r="H12595" t="s">
        <v>15799</v>
      </c>
      <c r="I12595" t="s">
        <v>31393</v>
      </c>
      <c r="J12595" t="s">
        <v>33472</v>
      </c>
      <c r="K12595" t="s">
        <v>40665</v>
      </c>
      <c r="M12595" t="s">
        <v>44540</v>
      </c>
      <c r="N12595" t="s">
        <v>44905</v>
      </c>
      <c r="O12595" t="s">
        <v>44906</v>
      </c>
      <c r="P12595">
        <v>0</v>
      </c>
      <c r="Q12595">
        <v>7</v>
      </c>
      <c r="R12595" t="s">
        <v>44920</v>
      </c>
      <c r="S12595" t="s">
        <v>45492</v>
      </c>
      <c r="T12595" t="s">
        <v>46560</v>
      </c>
      <c r="U12595" t="s">
        <v>56986</v>
      </c>
      <c r="W12595" t="s">
        <v>44540</v>
      </c>
      <c r="X12595" t="s">
        <v>44921</v>
      </c>
    </row>
    <row r="12596" spans="1:24">
      <c r="A12596">
        <f>HYPERLINK("https://www.philgeps.gov.ph/GEPSNONPILOT/Tender/SplashBidNoticeAbstractUI.aspx?menuIndex=3&amp;refID=7057329&amp;Result=3","7057329")</f>
        <v>0</v>
      </c>
      <c r="B12596" t="s">
        <v>1948</v>
      </c>
      <c r="C12596" t="s">
        <v>15560</v>
      </c>
      <c r="E12596" t="s">
        <v>29091</v>
      </c>
      <c r="F12596" t="s">
        <v>31362</v>
      </c>
      <c r="G12596" t="s">
        <v>31369</v>
      </c>
      <c r="H12596" t="s">
        <v>31378</v>
      </c>
      <c r="I12596" t="s">
        <v>31386</v>
      </c>
      <c r="J12596" t="s">
        <v>39185</v>
      </c>
      <c r="K12596" t="s">
        <v>40914</v>
      </c>
      <c r="M12596" t="s">
        <v>43811</v>
      </c>
      <c r="N12596" t="s">
        <v>44905</v>
      </c>
      <c r="O12596" t="s">
        <v>44906</v>
      </c>
      <c r="Q12596">
        <v>7</v>
      </c>
      <c r="R12596" t="s">
        <v>44920</v>
      </c>
      <c r="S12596" t="s">
        <v>45546</v>
      </c>
      <c r="T12596" t="s">
        <v>46481</v>
      </c>
      <c r="U12596" t="s">
        <v>56987</v>
      </c>
      <c r="W12596" t="s">
        <v>43811</v>
      </c>
      <c r="X12596" t="s">
        <v>44921</v>
      </c>
    </row>
    <row r="12597" spans="1:24">
      <c r="A12597">
        <f>HYPERLINK("https://www.philgeps.gov.ph/GEPSNONPILOT/Tender/SplashBidNoticeAbstractUI.aspx?menuIndex=3&amp;refID=7057128&amp;Result=3","7057128")</f>
        <v>0</v>
      </c>
      <c r="B12597" t="s">
        <v>3257</v>
      </c>
      <c r="C12597" t="s">
        <v>15561</v>
      </c>
      <c r="D12597" t="s">
        <v>18136</v>
      </c>
      <c r="E12597" t="s">
        <v>29092</v>
      </c>
      <c r="F12597" t="s">
        <v>31362</v>
      </c>
      <c r="G12597" t="s">
        <v>31369</v>
      </c>
      <c r="H12597" t="s">
        <v>31378</v>
      </c>
      <c r="I12597" t="s">
        <v>31386</v>
      </c>
      <c r="J12597" t="s">
        <v>39186</v>
      </c>
      <c r="K12597" t="s">
        <v>40686</v>
      </c>
      <c r="M12597" t="s">
        <v>44537</v>
      </c>
      <c r="N12597" t="s">
        <v>44905</v>
      </c>
      <c r="O12597" t="s">
        <v>44906</v>
      </c>
      <c r="P12597">
        <v>0</v>
      </c>
      <c r="Q12597">
        <v>1</v>
      </c>
      <c r="R12597" t="s">
        <v>44920</v>
      </c>
      <c r="S12597" t="s">
        <v>45492</v>
      </c>
      <c r="T12597" t="s">
        <v>46410</v>
      </c>
      <c r="U12597" t="s">
        <v>56988</v>
      </c>
      <c r="W12597" t="s">
        <v>44537</v>
      </c>
      <c r="X12597" t="s">
        <v>44921</v>
      </c>
    </row>
    <row r="12598" spans="1:24">
      <c r="A12598">
        <f>HYPERLINK("https://www.philgeps.gov.ph/GEPSNONPILOT/Tender/SplashBidNoticeAbstractUI.aspx?menuIndex=3&amp;refID=7057622&amp;Result=3","7057622")</f>
        <v>0</v>
      </c>
      <c r="B12598" t="s">
        <v>194</v>
      </c>
      <c r="C12598" t="s">
        <v>15562</v>
      </c>
      <c r="D12598" t="s">
        <v>18143</v>
      </c>
      <c r="E12598" t="s">
        <v>29093</v>
      </c>
      <c r="F12598" t="s">
        <v>31362</v>
      </c>
      <c r="G12598" t="s">
        <v>31369</v>
      </c>
      <c r="H12598" t="s">
        <v>31378</v>
      </c>
      <c r="I12598" t="s">
        <v>31386</v>
      </c>
      <c r="J12598" t="s">
        <v>39187</v>
      </c>
      <c r="K12598" t="s">
        <v>40678</v>
      </c>
      <c r="M12598" t="s">
        <v>41132</v>
      </c>
      <c r="N12598" t="s">
        <v>44905</v>
      </c>
      <c r="O12598" t="s">
        <v>44906</v>
      </c>
      <c r="P12598">
        <v>0</v>
      </c>
      <c r="Q12598">
        <v>1</v>
      </c>
      <c r="R12598" t="s">
        <v>44920</v>
      </c>
      <c r="S12598" t="s">
        <v>45492</v>
      </c>
      <c r="T12598" t="s">
        <v>46484</v>
      </c>
      <c r="U12598" t="s">
        <v>56989</v>
      </c>
      <c r="W12598" t="s">
        <v>41132</v>
      </c>
      <c r="X12598" t="s">
        <v>44921</v>
      </c>
    </row>
    <row r="12599" spans="1:24">
      <c r="A12599">
        <f>HYPERLINK("https://www.philgeps.gov.ph/GEPSNONPILOT/Tender/SplashBidNoticeAbstractUI.aspx?menuIndex=3&amp;refID=7057055&amp;Result=3","7057055")</f>
        <v>0</v>
      </c>
      <c r="B12599" t="s">
        <v>424</v>
      </c>
      <c r="C12599" t="s">
        <v>15563</v>
      </c>
      <c r="D12599" t="s">
        <v>18168</v>
      </c>
      <c r="E12599" t="s">
        <v>29094</v>
      </c>
      <c r="F12599" t="s">
        <v>31362</v>
      </c>
      <c r="G12599" t="s">
        <v>31368</v>
      </c>
      <c r="H12599" t="s">
        <v>15799</v>
      </c>
      <c r="I12599" t="s">
        <v>31388</v>
      </c>
      <c r="J12599" t="s">
        <v>31578</v>
      </c>
      <c r="K12599" t="s">
        <v>40665</v>
      </c>
      <c r="M12599" t="s">
        <v>43973</v>
      </c>
      <c r="N12599" t="s">
        <v>44905</v>
      </c>
      <c r="O12599" t="s">
        <v>44906</v>
      </c>
      <c r="Q12599">
        <v>1</v>
      </c>
      <c r="R12599" t="s">
        <v>44920</v>
      </c>
      <c r="S12599" t="s">
        <v>45547</v>
      </c>
      <c r="T12599" t="s">
        <v>46435</v>
      </c>
      <c r="U12599" t="s">
        <v>56990</v>
      </c>
      <c r="W12599" t="s">
        <v>43973</v>
      </c>
      <c r="X12599" t="s">
        <v>44921</v>
      </c>
    </row>
    <row r="12600" spans="1:24">
      <c r="A12600">
        <f>HYPERLINK("https://www.philgeps.gov.ph/GEPSNONPILOT/Tender/SplashBidNoticeAbstractUI.aspx?menuIndex=3&amp;refID=7057615&amp;Result=3","7057615")</f>
        <v>0</v>
      </c>
      <c r="B12600" t="s">
        <v>3258</v>
      </c>
      <c r="C12600" t="s">
        <v>9263</v>
      </c>
      <c r="D12600" t="s">
        <v>18102</v>
      </c>
      <c r="E12600" t="s">
        <v>29095</v>
      </c>
      <c r="F12600" t="s">
        <v>31362</v>
      </c>
      <c r="G12600" t="s">
        <v>31369</v>
      </c>
      <c r="H12600" t="s">
        <v>15799</v>
      </c>
      <c r="I12600" t="s">
        <v>4283</v>
      </c>
      <c r="J12600" t="s">
        <v>31586</v>
      </c>
      <c r="K12600" t="s">
        <v>40662</v>
      </c>
      <c r="M12600" t="s">
        <v>44538</v>
      </c>
      <c r="N12600" t="s">
        <v>44905</v>
      </c>
      <c r="O12600" t="s">
        <v>44906</v>
      </c>
      <c r="P12600">
        <v>0</v>
      </c>
      <c r="Q12600">
        <v>6</v>
      </c>
      <c r="R12600" t="s">
        <v>44920</v>
      </c>
      <c r="S12600" t="s">
        <v>45492</v>
      </c>
      <c r="T12600" t="s">
        <v>46409</v>
      </c>
      <c r="U12600" t="s">
        <v>56991</v>
      </c>
      <c r="W12600" t="s">
        <v>44538</v>
      </c>
      <c r="X12600" t="s">
        <v>44921</v>
      </c>
    </row>
    <row r="12601" spans="1:24">
      <c r="A12601">
        <f>HYPERLINK("https://www.philgeps.gov.ph/GEPSNONPILOT/Tender/SplashBidNoticeAbstractUI.aspx?menuIndex=3&amp;refID=7057045&amp;Result=3","7057045")</f>
        <v>0</v>
      </c>
      <c r="B12601" t="s">
        <v>3261</v>
      </c>
      <c r="C12601" t="s">
        <v>15564</v>
      </c>
      <c r="D12601" t="s">
        <v>18159</v>
      </c>
      <c r="E12601" t="s">
        <v>29096</v>
      </c>
      <c r="F12601" t="s">
        <v>31362</v>
      </c>
      <c r="G12601" t="s">
        <v>31369</v>
      </c>
      <c r="H12601" t="s">
        <v>31378</v>
      </c>
      <c r="I12601" t="s">
        <v>31386</v>
      </c>
      <c r="J12601" t="s">
        <v>39188</v>
      </c>
      <c r="K12601" t="s">
        <v>40675</v>
      </c>
      <c r="M12601" t="s">
        <v>44541</v>
      </c>
      <c r="N12601" t="s">
        <v>44905</v>
      </c>
      <c r="O12601" t="s">
        <v>44906</v>
      </c>
      <c r="P12601">
        <v>0</v>
      </c>
      <c r="Q12601">
        <v>1</v>
      </c>
      <c r="R12601" t="s">
        <v>44920</v>
      </c>
      <c r="S12601" t="s">
        <v>45492</v>
      </c>
      <c r="T12601" t="s">
        <v>46499</v>
      </c>
      <c r="U12601" t="s">
        <v>56992</v>
      </c>
      <c r="W12601" t="s">
        <v>44541</v>
      </c>
      <c r="X12601" t="s">
        <v>44921</v>
      </c>
    </row>
    <row r="12602" spans="1:24">
      <c r="A12602">
        <f>HYPERLINK("https://www.philgeps.gov.ph/GEPSNONPILOT/Tender/SplashBidNoticeAbstractUI.aspx?menuIndex=3&amp;refID=7057199&amp;Result=3","7057199")</f>
        <v>0</v>
      </c>
      <c r="B12602" t="s">
        <v>605</v>
      </c>
      <c r="C12602" t="s">
        <v>15565</v>
      </c>
      <c r="D12602" t="s">
        <v>18168</v>
      </c>
      <c r="E12602" t="s">
        <v>19162</v>
      </c>
      <c r="F12602" t="s">
        <v>31362</v>
      </c>
      <c r="G12602" t="s">
        <v>31369</v>
      </c>
      <c r="H12602" t="s">
        <v>15799</v>
      </c>
      <c r="I12602" t="s">
        <v>31409</v>
      </c>
      <c r="J12602" t="s">
        <v>32891</v>
      </c>
      <c r="K12602" t="s">
        <v>40670</v>
      </c>
      <c r="M12602" t="s">
        <v>41563</v>
      </c>
      <c r="N12602" t="s">
        <v>44905</v>
      </c>
      <c r="O12602" t="s">
        <v>44906</v>
      </c>
      <c r="P12602">
        <v>0</v>
      </c>
      <c r="Q12602">
        <v>3</v>
      </c>
      <c r="R12602" t="s">
        <v>44920</v>
      </c>
      <c r="S12602" t="s">
        <v>45492</v>
      </c>
      <c r="T12602" t="s">
        <v>46483</v>
      </c>
      <c r="U12602" t="s">
        <v>56993</v>
      </c>
      <c r="V12602" t="s">
        <v>60434</v>
      </c>
      <c r="W12602" t="s">
        <v>41563</v>
      </c>
      <c r="X12602" t="s">
        <v>44921</v>
      </c>
    </row>
    <row r="12603" spans="1:24">
      <c r="A12603">
        <f>HYPERLINK("https://www.philgeps.gov.ph/GEPSNONPILOT/Tender/SplashBidNoticeAbstractUI.aspx?menuIndex=3&amp;refID=7057173&amp;Result=3","7057173")</f>
        <v>0</v>
      </c>
      <c r="B12603" t="s">
        <v>3121</v>
      </c>
      <c r="C12603" t="s">
        <v>15566</v>
      </c>
      <c r="D12603" t="s">
        <v>18158</v>
      </c>
      <c r="E12603" t="s">
        <v>29097</v>
      </c>
      <c r="F12603" t="s">
        <v>31362</v>
      </c>
      <c r="G12603" t="s">
        <v>31369</v>
      </c>
      <c r="H12603" t="s">
        <v>15799</v>
      </c>
      <c r="I12603" t="s">
        <v>3815</v>
      </c>
      <c r="J12603" t="s">
        <v>39189</v>
      </c>
      <c r="K12603" t="s">
        <v>40670</v>
      </c>
      <c r="L12603" t="s">
        <v>3121</v>
      </c>
      <c r="M12603" t="s">
        <v>44376</v>
      </c>
      <c r="N12603" t="s">
        <v>44905</v>
      </c>
      <c r="O12603" t="s">
        <v>44906</v>
      </c>
      <c r="P12603">
        <v>0</v>
      </c>
      <c r="Q12603">
        <v>0</v>
      </c>
      <c r="R12603" t="s">
        <v>44920</v>
      </c>
      <c r="S12603" t="s">
        <v>45492</v>
      </c>
      <c r="T12603" t="s">
        <v>46549</v>
      </c>
      <c r="U12603" t="s">
        <v>55558</v>
      </c>
      <c r="V12603" t="s">
        <v>60435</v>
      </c>
      <c r="W12603" t="s">
        <v>44376</v>
      </c>
      <c r="X12603" t="s">
        <v>44921</v>
      </c>
    </row>
    <row r="12604" spans="1:24">
      <c r="A12604">
        <f>HYPERLINK("https://www.philgeps.gov.ph/GEPSNONPILOT/Tender/SplashBidNoticeAbstractUI.aspx?menuIndex=3&amp;refID=7056839&amp;Result=3","7056839")</f>
        <v>0</v>
      </c>
      <c r="B12604" t="s">
        <v>2687</v>
      </c>
      <c r="C12604" t="s">
        <v>15567</v>
      </c>
      <c r="D12604" t="s">
        <v>18108</v>
      </c>
      <c r="E12604" t="s">
        <v>29098</v>
      </c>
      <c r="F12604" t="s">
        <v>31362</v>
      </c>
      <c r="G12604" t="s">
        <v>31369</v>
      </c>
      <c r="H12604" t="s">
        <v>31379</v>
      </c>
      <c r="I12604" t="s">
        <v>31388</v>
      </c>
      <c r="J12604" t="s">
        <v>31910</v>
      </c>
      <c r="K12604" t="s">
        <v>40822</v>
      </c>
      <c r="M12604" t="s">
        <v>43873</v>
      </c>
      <c r="N12604" t="s">
        <v>44905</v>
      </c>
      <c r="O12604" t="s">
        <v>44906</v>
      </c>
      <c r="Q12604">
        <v>0</v>
      </c>
      <c r="R12604" t="s">
        <v>44920</v>
      </c>
      <c r="S12604" t="s">
        <v>45548</v>
      </c>
      <c r="T12604" t="s">
        <v>46810</v>
      </c>
      <c r="U12604" t="s">
        <v>56994</v>
      </c>
      <c r="W12604" t="s">
        <v>43873</v>
      </c>
      <c r="X12604" t="s">
        <v>44921</v>
      </c>
    </row>
    <row r="12605" spans="1:24">
      <c r="A12605">
        <f>HYPERLINK("https://www.philgeps.gov.ph/GEPSNONPILOT/Tender/SplashBidNoticeAbstractUI.aspx?menuIndex=3&amp;refID=7057374&amp;Result=3","7057374")</f>
        <v>0</v>
      </c>
      <c r="B12605" t="s">
        <v>1424</v>
      </c>
      <c r="C12605" t="s">
        <v>15568</v>
      </c>
      <c r="D12605" t="s">
        <v>18143</v>
      </c>
      <c r="E12605" t="s">
        <v>18479</v>
      </c>
      <c r="F12605" t="s">
        <v>31362</v>
      </c>
      <c r="G12605" t="s">
        <v>31369</v>
      </c>
      <c r="H12605" t="s">
        <v>31378</v>
      </c>
      <c r="I12605" t="s">
        <v>31386</v>
      </c>
      <c r="J12605" t="s">
        <v>31981</v>
      </c>
      <c r="K12605" t="s">
        <v>40711</v>
      </c>
      <c r="M12605" t="s">
        <v>42451</v>
      </c>
      <c r="N12605" t="s">
        <v>44905</v>
      </c>
      <c r="O12605" t="s">
        <v>44906</v>
      </c>
      <c r="P12605">
        <v>0</v>
      </c>
      <c r="Q12605">
        <v>0</v>
      </c>
      <c r="R12605" t="s">
        <v>44920</v>
      </c>
      <c r="S12605" t="s">
        <v>45492</v>
      </c>
      <c r="T12605" t="s">
        <v>46560</v>
      </c>
      <c r="U12605" t="s">
        <v>56995</v>
      </c>
      <c r="W12605" t="s">
        <v>42451</v>
      </c>
      <c r="X12605" t="s">
        <v>44921</v>
      </c>
    </row>
    <row r="12606" spans="1:24">
      <c r="A12606">
        <f>HYPERLINK("https://www.philgeps.gov.ph/GEPSNONPILOT/Tender/SplashBidNoticeAbstractUI.aspx?menuIndex=3&amp;refID=7056838&amp;Result=3","7056838")</f>
        <v>0</v>
      </c>
      <c r="B12606" t="s">
        <v>3245</v>
      </c>
      <c r="C12606" t="s">
        <v>15569</v>
      </c>
      <c r="D12606" t="s">
        <v>18116</v>
      </c>
      <c r="E12606" t="s">
        <v>29009</v>
      </c>
      <c r="F12606" t="s">
        <v>31362</v>
      </c>
      <c r="G12606" t="s">
        <v>31369</v>
      </c>
      <c r="H12606" t="s">
        <v>31378</v>
      </c>
      <c r="I12606" t="s">
        <v>31386</v>
      </c>
      <c r="J12606" t="s">
        <v>32333</v>
      </c>
      <c r="K12606" t="s">
        <v>40683</v>
      </c>
      <c r="M12606" t="s">
        <v>44525</v>
      </c>
      <c r="N12606" t="s">
        <v>44905</v>
      </c>
      <c r="O12606" t="s">
        <v>44906</v>
      </c>
      <c r="Q12606">
        <v>0</v>
      </c>
      <c r="R12606" t="s">
        <v>44920</v>
      </c>
      <c r="S12606" t="s">
        <v>45549</v>
      </c>
      <c r="T12606" t="s">
        <v>46809</v>
      </c>
      <c r="U12606" t="s">
        <v>56913</v>
      </c>
      <c r="V12606" t="s">
        <v>60436</v>
      </c>
      <c r="W12606" t="s">
        <v>44525</v>
      </c>
      <c r="X12606" t="s">
        <v>44921</v>
      </c>
    </row>
    <row r="12607" spans="1:24">
      <c r="A12607">
        <f>HYPERLINK("https://www.philgeps.gov.ph/GEPSNONPILOT/Tender/SplashBidNoticeAbstractUI.aspx?menuIndex=3&amp;refID=7056813&amp;Result=3","7056813")</f>
        <v>0</v>
      </c>
      <c r="B12607" t="s">
        <v>3262</v>
      </c>
      <c r="C12607" t="s">
        <v>15570</v>
      </c>
      <c r="D12607" t="s">
        <v>18154</v>
      </c>
      <c r="E12607" t="s">
        <v>29099</v>
      </c>
      <c r="F12607" t="s">
        <v>31362</v>
      </c>
      <c r="G12607" t="s">
        <v>31369</v>
      </c>
      <c r="H12607" t="s">
        <v>15799</v>
      </c>
      <c r="I12607" t="s">
        <v>31404</v>
      </c>
      <c r="J12607" t="s">
        <v>39190</v>
      </c>
      <c r="K12607" t="s">
        <v>40665</v>
      </c>
      <c r="M12607" t="s">
        <v>44542</v>
      </c>
      <c r="N12607" t="s">
        <v>44905</v>
      </c>
      <c r="O12607" t="s">
        <v>44906</v>
      </c>
      <c r="P12607">
        <v>0</v>
      </c>
      <c r="Q12607">
        <v>0</v>
      </c>
      <c r="R12607" t="s">
        <v>44920</v>
      </c>
      <c r="S12607" t="s">
        <v>45492</v>
      </c>
      <c r="T12607" t="s">
        <v>46549</v>
      </c>
      <c r="U12607" t="s">
        <v>56996</v>
      </c>
      <c r="V12607" t="s">
        <v>60437</v>
      </c>
      <c r="W12607" t="s">
        <v>44542</v>
      </c>
      <c r="X12607" t="s">
        <v>44921</v>
      </c>
    </row>
    <row r="12608" spans="1:24">
      <c r="A12608">
        <f>HYPERLINK("https://www.philgeps.gov.ph/GEPSNONPILOT/Tender/SplashBidNoticeAbstractUI.aspx?menuIndex=3&amp;refID=7056614&amp;Result=3","7056614")</f>
        <v>0</v>
      </c>
      <c r="B12608" t="s">
        <v>3250</v>
      </c>
      <c r="C12608" t="s">
        <v>15571</v>
      </c>
      <c r="D12608" t="s">
        <v>18100</v>
      </c>
      <c r="E12608" t="s">
        <v>25558</v>
      </c>
      <c r="F12608" t="s">
        <v>31362</v>
      </c>
      <c r="G12608" t="s">
        <v>31369</v>
      </c>
      <c r="H12608" t="s">
        <v>15799</v>
      </c>
      <c r="I12608" t="s">
        <v>31385</v>
      </c>
      <c r="J12608" t="s">
        <v>33313</v>
      </c>
      <c r="K12608" t="s">
        <v>40693</v>
      </c>
      <c r="M12608" t="s">
        <v>44530</v>
      </c>
      <c r="N12608" t="s">
        <v>44905</v>
      </c>
      <c r="O12608" t="s">
        <v>44906</v>
      </c>
      <c r="P12608">
        <v>0</v>
      </c>
      <c r="Q12608">
        <v>1</v>
      </c>
      <c r="R12608" t="s">
        <v>44920</v>
      </c>
      <c r="S12608" t="s">
        <v>45492</v>
      </c>
      <c r="T12608" t="s">
        <v>46481</v>
      </c>
      <c r="U12608" t="s">
        <v>56997</v>
      </c>
      <c r="W12608" t="s">
        <v>44530</v>
      </c>
      <c r="X12608" t="s">
        <v>44921</v>
      </c>
    </row>
    <row r="12609" spans="1:24">
      <c r="A12609">
        <f>HYPERLINK("https://www.philgeps.gov.ph/GEPSNONPILOT/Tender/SplashBidNoticeAbstractUI.aspx?menuIndex=3&amp;refID=7057069&amp;Result=3","7057069")</f>
        <v>0</v>
      </c>
      <c r="B12609" t="s">
        <v>2194</v>
      </c>
      <c r="C12609" t="s">
        <v>15572</v>
      </c>
      <c r="D12609" t="s">
        <v>18154</v>
      </c>
      <c r="E12609" t="s">
        <v>29100</v>
      </c>
      <c r="F12609" t="s">
        <v>31362</v>
      </c>
      <c r="G12609" t="s">
        <v>31369</v>
      </c>
      <c r="H12609" t="s">
        <v>15799</v>
      </c>
      <c r="I12609" t="s">
        <v>3815</v>
      </c>
      <c r="J12609" t="s">
        <v>39191</v>
      </c>
      <c r="K12609" t="s">
        <v>40661</v>
      </c>
      <c r="M12609" t="s">
        <v>43325</v>
      </c>
      <c r="N12609" t="s">
        <v>44905</v>
      </c>
      <c r="O12609" t="s">
        <v>44906</v>
      </c>
      <c r="P12609">
        <v>0</v>
      </c>
      <c r="Q12609">
        <v>0</v>
      </c>
      <c r="R12609" t="s">
        <v>44920</v>
      </c>
      <c r="S12609" t="s">
        <v>45492</v>
      </c>
      <c r="T12609" t="s">
        <v>46525</v>
      </c>
      <c r="U12609" t="s">
        <v>56998</v>
      </c>
      <c r="W12609" t="s">
        <v>43325</v>
      </c>
      <c r="X12609" t="s">
        <v>44921</v>
      </c>
    </row>
    <row r="12610" spans="1:24">
      <c r="A12610">
        <f>HYPERLINK("https://www.philgeps.gov.ph/GEPSNONPILOT/Tender/SplashBidNoticeAbstractUI.aspx?menuIndex=3&amp;refID=7056924&amp;Result=3","7056924")</f>
        <v>0</v>
      </c>
      <c r="B12610" t="s">
        <v>3245</v>
      </c>
      <c r="C12610" t="s">
        <v>15573</v>
      </c>
      <c r="D12610" t="s">
        <v>18116</v>
      </c>
      <c r="E12610" t="s">
        <v>29009</v>
      </c>
      <c r="F12610" t="s">
        <v>31362</v>
      </c>
      <c r="G12610" t="s">
        <v>31369</v>
      </c>
      <c r="H12610" t="s">
        <v>31378</v>
      </c>
      <c r="I12610" t="s">
        <v>31386</v>
      </c>
      <c r="J12610" t="s">
        <v>39192</v>
      </c>
      <c r="K12610" t="s">
        <v>40682</v>
      </c>
      <c r="M12610" t="s">
        <v>44525</v>
      </c>
      <c r="N12610" t="s">
        <v>44905</v>
      </c>
      <c r="O12610" t="s">
        <v>44906</v>
      </c>
      <c r="Q12610">
        <v>0</v>
      </c>
      <c r="R12610" t="s">
        <v>44920</v>
      </c>
      <c r="S12610" t="s">
        <v>45550</v>
      </c>
      <c r="T12610" t="s">
        <v>46809</v>
      </c>
      <c r="U12610" t="s">
        <v>56913</v>
      </c>
      <c r="V12610" t="s">
        <v>60438</v>
      </c>
      <c r="W12610" t="s">
        <v>44525</v>
      </c>
      <c r="X12610" t="s">
        <v>44921</v>
      </c>
    </row>
    <row r="12611" spans="1:24">
      <c r="A12611">
        <f>HYPERLINK("https://www.philgeps.gov.ph/GEPSNONPILOT/Tender/SplashBidNoticeAbstractUI.aspx?menuIndex=3&amp;refID=7056887&amp;Result=3","7056887")</f>
        <v>0</v>
      </c>
      <c r="B12611" t="s">
        <v>3245</v>
      </c>
      <c r="C12611" t="s">
        <v>15574</v>
      </c>
      <c r="D12611" t="s">
        <v>18116</v>
      </c>
      <c r="E12611" t="s">
        <v>29009</v>
      </c>
      <c r="F12611" t="s">
        <v>31362</v>
      </c>
      <c r="G12611" t="s">
        <v>31369</v>
      </c>
      <c r="H12611" t="s">
        <v>31378</v>
      </c>
      <c r="I12611" t="s">
        <v>31386</v>
      </c>
      <c r="J12611" t="s">
        <v>31615</v>
      </c>
      <c r="K12611" t="s">
        <v>40665</v>
      </c>
      <c r="M12611" t="s">
        <v>44525</v>
      </c>
      <c r="N12611" t="s">
        <v>44905</v>
      </c>
      <c r="O12611" t="s">
        <v>44906</v>
      </c>
      <c r="Q12611">
        <v>2</v>
      </c>
      <c r="R12611" t="s">
        <v>44920</v>
      </c>
      <c r="S12611" t="s">
        <v>45551</v>
      </c>
      <c r="T12611" t="s">
        <v>46809</v>
      </c>
      <c r="U12611" t="s">
        <v>56913</v>
      </c>
      <c r="V12611" t="s">
        <v>60439</v>
      </c>
      <c r="W12611" t="s">
        <v>44525</v>
      </c>
      <c r="X12611" t="s">
        <v>44921</v>
      </c>
    </row>
    <row r="12612" spans="1:24">
      <c r="A12612">
        <f>HYPERLINK("https://www.philgeps.gov.ph/GEPSNONPILOT/Tender/SplashBidNoticeAbstractUI.aspx?menuIndex=3&amp;refID=7057811&amp;Result=3","7057811")</f>
        <v>0</v>
      </c>
      <c r="B12612" t="s">
        <v>2187</v>
      </c>
      <c r="C12612" t="s">
        <v>15575</v>
      </c>
      <c r="D12612" t="s">
        <v>18108</v>
      </c>
      <c r="E12612" t="s">
        <v>29101</v>
      </c>
      <c r="F12612" t="s">
        <v>31362</v>
      </c>
      <c r="G12612" t="s">
        <v>31369</v>
      </c>
      <c r="H12612" t="s">
        <v>31378</v>
      </c>
      <c r="I12612" t="s">
        <v>31386</v>
      </c>
      <c r="J12612" t="s">
        <v>39193</v>
      </c>
      <c r="K12612" t="s">
        <v>40692</v>
      </c>
      <c r="M12612" t="s">
        <v>43832</v>
      </c>
      <c r="N12612" t="s">
        <v>44905</v>
      </c>
      <c r="O12612" t="s">
        <v>44906</v>
      </c>
      <c r="P12612">
        <v>0</v>
      </c>
      <c r="Q12612">
        <v>44</v>
      </c>
      <c r="R12612" t="s">
        <v>44920</v>
      </c>
      <c r="S12612" t="s">
        <v>45492</v>
      </c>
      <c r="T12612" t="s">
        <v>46427</v>
      </c>
      <c r="U12612" t="s">
        <v>54261</v>
      </c>
      <c r="V12612" t="s">
        <v>60440</v>
      </c>
      <c r="W12612" t="s">
        <v>43832</v>
      </c>
      <c r="X12612" t="s">
        <v>44921</v>
      </c>
    </row>
    <row r="12613" spans="1:24">
      <c r="A12613">
        <f>HYPERLINK("https://www.philgeps.gov.ph/GEPSNONPILOT/Tender/SplashBidNoticeAbstractUI.aspx?menuIndex=3&amp;refID=7057808&amp;Result=3","7057808")</f>
        <v>0</v>
      </c>
      <c r="B12613" t="s">
        <v>2187</v>
      </c>
      <c r="C12613" t="s">
        <v>15576</v>
      </c>
      <c r="D12613" t="s">
        <v>18108</v>
      </c>
      <c r="E12613" t="s">
        <v>29102</v>
      </c>
      <c r="F12613" t="s">
        <v>31362</v>
      </c>
      <c r="G12613" t="s">
        <v>31369</v>
      </c>
      <c r="H12613" t="s">
        <v>31378</v>
      </c>
      <c r="I12613" t="s">
        <v>31386</v>
      </c>
      <c r="J12613" t="s">
        <v>39194</v>
      </c>
      <c r="K12613" t="s">
        <v>40811</v>
      </c>
      <c r="M12613" t="s">
        <v>43832</v>
      </c>
      <c r="N12613" t="s">
        <v>44905</v>
      </c>
      <c r="O12613" t="s">
        <v>44906</v>
      </c>
      <c r="P12613">
        <v>0</v>
      </c>
      <c r="Q12613">
        <v>44</v>
      </c>
      <c r="R12613" t="s">
        <v>44920</v>
      </c>
      <c r="S12613" t="s">
        <v>45492</v>
      </c>
      <c r="T12613" t="s">
        <v>46427</v>
      </c>
      <c r="U12613" t="s">
        <v>54261</v>
      </c>
      <c r="V12613" t="s">
        <v>60441</v>
      </c>
      <c r="W12613" t="s">
        <v>43832</v>
      </c>
      <c r="X12613" t="s">
        <v>44921</v>
      </c>
    </row>
    <row r="12614" spans="1:24">
      <c r="A12614">
        <f>HYPERLINK("https://www.philgeps.gov.ph/GEPSNONPILOT/Tender/SplashBidNoticeAbstractUI.aspx?menuIndex=3&amp;refID=7056820&amp;Result=3","7056820")</f>
        <v>0</v>
      </c>
      <c r="B12614" t="s">
        <v>1948</v>
      </c>
      <c r="C12614" t="s">
        <v>15577</v>
      </c>
      <c r="E12614" t="s">
        <v>29103</v>
      </c>
      <c r="F12614" t="s">
        <v>31362</v>
      </c>
      <c r="G12614" t="s">
        <v>31369</v>
      </c>
      <c r="H12614" t="s">
        <v>31378</v>
      </c>
      <c r="I12614" t="s">
        <v>31386</v>
      </c>
      <c r="J12614" t="s">
        <v>39195</v>
      </c>
      <c r="K12614" t="s">
        <v>40691</v>
      </c>
      <c r="M12614" t="s">
        <v>43811</v>
      </c>
      <c r="N12614" t="s">
        <v>44905</v>
      </c>
      <c r="O12614" t="s">
        <v>44906</v>
      </c>
      <c r="Q12614">
        <v>0</v>
      </c>
      <c r="R12614" t="s">
        <v>44920</v>
      </c>
      <c r="S12614" t="s">
        <v>45489</v>
      </c>
      <c r="T12614" t="s">
        <v>46481</v>
      </c>
      <c r="U12614" t="s">
        <v>56999</v>
      </c>
      <c r="W12614" t="s">
        <v>43811</v>
      </c>
      <c r="X12614" t="s">
        <v>44921</v>
      </c>
    </row>
    <row r="12615" spans="1:24">
      <c r="A12615">
        <f>HYPERLINK("https://www.philgeps.gov.ph/GEPSNONPILOT/Tender/SplashBidNoticeAbstractUI.aspx?menuIndex=3&amp;refID=7057803&amp;Result=3","7057803")</f>
        <v>0</v>
      </c>
      <c r="B12615" t="s">
        <v>800</v>
      </c>
      <c r="C12615" t="s">
        <v>15578</v>
      </c>
      <c r="D12615" t="s">
        <v>18130</v>
      </c>
      <c r="E12615" t="s">
        <v>29104</v>
      </c>
      <c r="F12615" t="s">
        <v>31362</v>
      </c>
      <c r="G12615" t="s">
        <v>31369</v>
      </c>
      <c r="H12615" t="s">
        <v>31378</v>
      </c>
      <c r="I12615" t="s">
        <v>31386</v>
      </c>
      <c r="J12615" t="s">
        <v>36067</v>
      </c>
      <c r="K12615" t="s">
        <v>40691</v>
      </c>
      <c r="M12615" t="s">
        <v>41770</v>
      </c>
      <c r="N12615" t="s">
        <v>44905</v>
      </c>
      <c r="O12615" t="s">
        <v>44906</v>
      </c>
      <c r="P12615">
        <v>0</v>
      </c>
      <c r="Q12615">
        <v>3</v>
      </c>
      <c r="R12615" t="s">
        <v>44920</v>
      </c>
      <c r="S12615" t="s">
        <v>45492</v>
      </c>
      <c r="T12615" t="s">
        <v>46418</v>
      </c>
      <c r="U12615" t="s">
        <v>57000</v>
      </c>
      <c r="W12615" t="s">
        <v>41770</v>
      </c>
      <c r="X12615" t="s">
        <v>44921</v>
      </c>
    </row>
    <row r="12616" spans="1:24">
      <c r="A12616">
        <f>HYPERLINK("https://www.philgeps.gov.ph/GEPSNONPILOT/Tender/SplashBidNoticeAbstractUI.aspx?menuIndex=3&amp;refID=7057802&amp;Result=3","7057802")</f>
        <v>0</v>
      </c>
      <c r="B12616" t="s">
        <v>2187</v>
      </c>
      <c r="C12616" t="s">
        <v>15579</v>
      </c>
      <c r="D12616" t="s">
        <v>18108</v>
      </c>
      <c r="E12616" t="s">
        <v>29105</v>
      </c>
      <c r="F12616" t="s">
        <v>31362</v>
      </c>
      <c r="G12616" t="s">
        <v>31369</v>
      </c>
      <c r="H12616" t="s">
        <v>31378</v>
      </c>
      <c r="I12616" t="s">
        <v>31386</v>
      </c>
      <c r="J12616" t="s">
        <v>39196</v>
      </c>
      <c r="K12616" t="s">
        <v>40692</v>
      </c>
      <c r="M12616" t="s">
        <v>43832</v>
      </c>
      <c r="N12616" t="s">
        <v>44905</v>
      </c>
      <c r="O12616" t="s">
        <v>44906</v>
      </c>
      <c r="P12616">
        <v>0</v>
      </c>
      <c r="Q12616">
        <v>51</v>
      </c>
      <c r="R12616" t="s">
        <v>44920</v>
      </c>
      <c r="S12616" t="s">
        <v>45492</v>
      </c>
      <c r="T12616" t="s">
        <v>46427</v>
      </c>
      <c r="U12616" t="s">
        <v>54261</v>
      </c>
      <c r="V12616" t="s">
        <v>60442</v>
      </c>
      <c r="W12616" t="s">
        <v>43832</v>
      </c>
      <c r="X12616" t="s">
        <v>44921</v>
      </c>
    </row>
    <row r="12617" spans="1:24">
      <c r="A12617">
        <f>HYPERLINK("https://www.philgeps.gov.ph/GEPSNONPILOT/Tender/SplashBidNoticeAbstractUI.aspx?menuIndex=3&amp;refID=7056913&amp;Result=3","7056913")</f>
        <v>0</v>
      </c>
      <c r="B12617" t="s">
        <v>3245</v>
      </c>
      <c r="C12617" t="s">
        <v>15580</v>
      </c>
      <c r="D12617" t="s">
        <v>18116</v>
      </c>
      <c r="E12617" t="s">
        <v>29009</v>
      </c>
      <c r="F12617" t="s">
        <v>31362</v>
      </c>
      <c r="G12617" t="s">
        <v>31369</v>
      </c>
      <c r="H12617" t="s">
        <v>31378</v>
      </c>
      <c r="I12617" t="s">
        <v>31386</v>
      </c>
      <c r="J12617" t="s">
        <v>31637</v>
      </c>
      <c r="K12617" t="s">
        <v>40682</v>
      </c>
      <c r="M12617" t="s">
        <v>44525</v>
      </c>
      <c r="N12617" t="s">
        <v>44905</v>
      </c>
      <c r="O12617" t="s">
        <v>44906</v>
      </c>
      <c r="Q12617">
        <v>0</v>
      </c>
      <c r="R12617" t="s">
        <v>44920</v>
      </c>
      <c r="S12617" t="s">
        <v>45552</v>
      </c>
      <c r="T12617" t="s">
        <v>46809</v>
      </c>
      <c r="U12617" t="s">
        <v>56913</v>
      </c>
      <c r="V12617" t="s">
        <v>60443</v>
      </c>
      <c r="W12617" t="s">
        <v>44525</v>
      </c>
      <c r="X12617" t="s">
        <v>44921</v>
      </c>
    </row>
    <row r="12618" spans="1:24">
      <c r="A12618">
        <f>HYPERLINK("https://www.philgeps.gov.ph/GEPSNONPILOT/Tender/SplashBidNoticeAbstractUI.aspx?menuIndex=3&amp;refID=7056610&amp;Result=3","7056610")</f>
        <v>0</v>
      </c>
      <c r="B12618" t="s">
        <v>3252</v>
      </c>
      <c r="C12618" t="s">
        <v>15581</v>
      </c>
      <c r="D12618" t="s">
        <v>18108</v>
      </c>
      <c r="E12618" t="s">
        <v>29106</v>
      </c>
      <c r="F12618" t="s">
        <v>31362</v>
      </c>
      <c r="G12618" t="s">
        <v>31369</v>
      </c>
      <c r="H12618" t="s">
        <v>31378</v>
      </c>
      <c r="I12618" t="s">
        <v>31386</v>
      </c>
      <c r="J12618" t="s">
        <v>39197</v>
      </c>
      <c r="K12618" t="s">
        <v>40915</v>
      </c>
      <c r="M12618" t="s">
        <v>44532</v>
      </c>
      <c r="N12618" t="s">
        <v>44905</v>
      </c>
      <c r="O12618" t="s">
        <v>44906</v>
      </c>
      <c r="P12618">
        <v>0</v>
      </c>
      <c r="Q12618">
        <v>42</v>
      </c>
      <c r="R12618" t="s">
        <v>44920</v>
      </c>
      <c r="S12618" t="s">
        <v>45492</v>
      </c>
      <c r="T12618" t="s">
        <v>46493</v>
      </c>
      <c r="U12618" t="s">
        <v>57001</v>
      </c>
      <c r="V12618" t="s">
        <v>60416</v>
      </c>
      <c r="W12618" t="s">
        <v>44532</v>
      </c>
      <c r="X12618" t="s">
        <v>44921</v>
      </c>
    </row>
    <row r="12619" spans="1:24">
      <c r="A12619">
        <f>HYPERLINK("https://www.philgeps.gov.ph/GEPSNONPILOT/Tender/SplashBidNoticeAbstractUI.aspx?menuIndex=3&amp;refID=7057676&amp;Result=3","7057676")</f>
        <v>0</v>
      </c>
      <c r="B12619" t="s">
        <v>756</v>
      </c>
      <c r="C12619" t="s">
        <v>15582</v>
      </c>
      <c r="D12619" t="s">
        <v>18123</v>
      </c>
      <c r="E12619" t="s">
        <v>29107</v>
      </c>
      <c r="F12619" t="s">
        <v>31362</v>
      </c>
      <c r="G12619" t="s">
        <v>31369</v>
      </c>
      <c r="H12619" t="s">
        <v>31378</v>
      </c>
      <c r="I12619" t="s">
        <v>31386</v>
      </c>
      <c r="J12619" t="s">
        <v>32711</v>
      </c>
      <c r="K12619" t="s">
        <v>40889</v>
      </c>
      <c r="L12619" t="s">
        <v>756</v>
      </c>
      <c r="M12619" t="s">
        <v>44543</v>
      </c>
      <c r="N12619" t="s">
        <v>44905</v>
      </c>
      <c r="O12619" t="s">
        <v>44906</v>
      </c>
      <c r="P12619">
        <v>0</v>
      </c>
      <c r="Q12619">
        <v>1</v>
      </c>
      <c r="R12619" t="s">
        <v>44920</v>
      </c>
      <c r="S12619" t="s">
        <v>45492</v>
      </c>
      <c r="T12619" t="s">
        <v>46396</v>
      </c>
      <c r="U12619" t="s">
        <v>57002</v>
      </c>
      <c r="W12619" t="s">
        <v>44543</v>
      </c>
      <c r="X12619" t="s">
        <v>44921</v>
      </c>
    </row>
    <row r="12620" spans="1:24">
      <c r="A12620">
        <f>HYPERLINK("https://www.philgeps.gov.ph/GEPSNONPILOT/Tender/SplashBidNoticeAbstractUI.aspx?menuIndex=3&amp;refID=7056947&amp;Result=3","7056947")</f>
        <v>0</v>
      </c>
      <c r="B12620" t="s">
        <v>562</v>
      </c>
      <c r="C12620" t="s">
        <v>15583</v>
      </c>
      <c r="D12620" t="s">
        <v>18177</v>
      </c>
      <c r="E12620" t="s">
        <v>29108</v>
      </c>
      <c r="F12620" t="s">
        <v>31362</v>
      </c>
      <c r="G12620" t="s">
        <v>31369</v>
      </c>
      <c r="H12620" t="s">
        <v>31378</v>
      </c>
      <c r="I12620" t="s">
        <v>31386</v>
      </c>
      <c r="J12620" t="s">
        <v>39198</v>
      </c>
      <c r="K12620" t="s">
        <v>40665</v>
      </c>
      <c r="M12620" t="s">
        <v>41518</v>
      </c>
      <c r="N12620" t="s">
        <v>44905</v>
      </c>
      <c r="O12620" t="s">
        <v>44906</v>
      </c>
      <c r="P12620">
        <v>0</v>
      </c>
      <c r="Q12620">
        <v>0</v>
      </c>
      <c r="R12620" t="s">
        <v>44920</v>
      </c>
      <c r="S12620" t="s">
        <v>45492</v>
      </c>
      <c r="T12620" t="s">
        <v>46585</v>
      </c>
      <c r="U12620" t="s">
        <v>57003</v>
      </c>
      <c r="W12620" t="s">
        <v>41518</v>
      </c>
      <c r="X12620" t="s">
        <v>44921</v>
      </c>
    </row>
    <row r="12621" spans="1:24">
      <c r="A12621">
        <f>HYPERLINK("https://www.philgeps.gov.ph/GEPSNONPILOT/Tender/SplashBidNoticeAbstractUI.aspx?menuIndex=3&amp;refID=7057767&amp;Result=3","7057767")</f>
        <v>0</v>
      </c>
      <c r="B12621" t="s">
        <v>3263</v>
      </c>
      <c r="C12621" t="s">
        <v>15584</v>
      </c>
      <c r="D12621" t="s">
        <v>18198</v>
      </c>
      <c r="E12621" t="s">
        <v>24888</v>
      </c>
      <c r="F12621" t="s">
        <v>31362</v>
      </c>
      <c r="G12621" t="s">
        <v>31369</v>
      </c>
      <c r="H12621" t="s">
        <v>15799</v>
      </c>
      <c r="I12621" t="s">
        <v>4057</v>
      </c>
      <c r="J12621" t="s">
        <v>39199</v>
      </c>
      <c r="K12621" t="s">
        <v>40758</v>
      </c>
      <c r="M12621" t="s">
        <v>44544</v>
      </c>
      <c r="N12621" t="s">
        <v>44905</v>
      </c>
      <c r="O12621" t="s">
        <v>44906</v>
      </c>
      <c r="P12621">
        <v>0</v>
      </c>
      <c r="Q12621">
        <v>8</v>
      </c>
      <c r="R12621" t="s">
        <v>44920</v>
      </c>
      <c r="S12621" t="s">
        <v>45492</v>
      </c>
      <c r="T12621" t="s">
        <v>46499</v>
      </c>
      <c r="U12621" t="s">
        <v>47665</v>
      </c>
      <c r="W12621" t="s">
        <v>44544</v>
      </c>
      <c r="X12621" t="s">
        <v>44921</v>
      </c>
    </row>
    <row r="12622" spans="1:24">
      <c r="A12622">
        <f>HYPERLINK("https://www.philgeps.gov.ph/GEPSNONPILOT/Tender/SplashBidNoticeAbstractUI.aspx?menuIndex=3&amp;refID=7057797&amp;Result=3","7057797")</f>
        <v>0</v>
      </c>
      <c r="B12622" t="s">
        <v>800</v>
      </c>
      <c r="C12622" t="s">
        <v>15585</v>
      </c>
      <c r="D12622" t="s">
        <v>18178</v>
      </c>
      <c r="E12622" t="s">
        <v>29109</v>
      </c>
      <c r="F12622" t="s">
        <v>31362</v>
      </c>
      <c r="G12622" t="s">
        <v>31369</v>
      </c>
      <c r="H12622" t="s">
        <v>31378</v>
      </c>
      <c r="I12622" t="s">
        <v>31386</v>
      </c>
      <c r="J12622" t="s">
        <v>36067</v>
      </c>
      <c r="K12622" t="s">
        <v>40691</v>
      </c>
      <c r="M12622" t="s">
        <v>41770</v>
      </c>
      <c r="N12622" t="s">
        <v>44905</v>
      </c>
      <c r="O12622" t="s">
        <v>44906</v>
      </c>
      <c r="P12622">
        <v>0</v>
      </c>
      <c r="Q12622">
        <v>4</v>
      </c>
      <c r="R12622" t="s">
        <v>44920</v>
      </c>
      <c r="S12622" t="s">
        <v>45492</v>
      </c>
      <c r="T12622" t="s">
        <v>46418</v>
      </c>
      <c r="U12622" t="s">
        <v>57004</v>
      </c>
      <c r="W12622" t="s">
        <v>41770</v>
      </c>
      <c r="X12622" t="s">
        <v>44921</v>
      </c>
    </row>
    <row r="12623" spans="1:24">
      <c r="A12623">
        <f>HYPERLINK("https://www.philgeps.gov.ph/GEPSNONPILOT/Tender/SplashBidNoticeAbstractUI.aspx?menuIndex=3&amp;refID=7057714&amp;Result=3","7057714")</f>
        <v>0</v>
      </c>
      <c r="B12623" t="s">
        <v>3264</v>
      </c>
      <c r="C12623" t="s">
        <v>15586</v>
      </c>
      <c r="E12623" t="s">
        <v>29110</v>
      </c>
      <c r="F12623" t="s">
        <v>31362</v>
      </c>
      <c r="G12623" t="s">
        <v>31369</v>
      </c>
      <c r="H12623" t="s">
        <v>15799</v>
      </c>
      <c r="I12623" t="s">
        <v>31514</v>
      </c>
      <c r="J12623" t="s">
        <v>34896</v>
      </c>
      <c r="K12623" t="s">
        <v>40662</v>
      </c>
      <c r="M12623" t="s">
        <v>44545</v>
      </c>
      <c r="N12623" t="s">
        <v>44905</v>
      </c>
      <c r="O12623" t="s">
        <v>44906</v>
      </c>
      <c r="Q12623">
        <v>14</v>
      </c>
      <c r="R12623" t="s">
        <v>44920</v>
      </c>
      <c r="S12623" t="s">
        <v>45553</v>
      </c>
      <c r="T12623" t="s">
        <v>46859</v>
      </c>
      <c r="U12623" t="s">
        <v>57005</v>
      </c>
      <c r="W12623" t="s">
        <v>44545</v>
      </c>
      <c r="X12623" t="s">
        <v>44921</v>
      </c>
    </row>
    <row r="12624" spans="1:24">
      <c r="A12624">
        <f>HYPERLINK("https://www.philgeps.gov.ph/GEPSNONPILOT/Tender/SplashBidNoticeAbstractUI.aspx?menuIndex=3&amp;refID=7057789&amp;Result=3","7057789")</f>
        <v>0</v>
      </c>
      <c r="B12624" t="s">
        <v>800</v>
      </c>
      <c r="C12624" t="s">
        <v>15587</v>
      </c>
      <c r="D12624" t="s">
        <v>18130</v>
      </c>
      <c r="E12624" t="s">
        <v>29111</v>
      </c>
      <c r="F12624" t="s">
        <v>31362</v>
      </c>
      <c r="G12624" t="s">
        <v>31369</v>
      </c>
      <c r="H12624" t="s">
        <v>31378</v>
      </c>
      <c r="I12624" t="s">
        <v>31386</v>
      </c>
      <c r="J12624" t="s">
        <v>36067</v>
      </c>
      <c r="K12624" t="s">
        <v>40691</v>
      </c>
      <c r="M12624" t="s">
        <v>41770</v>
      </c>
      <c r="N12624" t="s">
        <v>44905</v>
      </c>
      <c r="O12624" t="s">
        <v>44906</v>
      </c>
      <c r="P12624">
        <v>0</v>
      </c>
      <c r="Q12624">
        <v>2</v>
      </c>
      <c r="R12624" t="s">
        <v>44920</v>
      </c>
      <c r="S12624" t="s">
        <v>45492</v>
      </c>
      <c r="T12624" t="s">
        <v>46418</v>
      </c>
      <c r="U12624" t="s">
        <v>57006</v>
      </c>
      <c r="W12624" t="s">
        <v>41770</v>
      </c>
      <c r="X12624" t="s">
        <v>44921</v>
      </c>
    </row>
    <row r="12625" spans="1:24">
      <c r="A12625">
        <f>HYPERLINK("https://www.philgeps.gov.ph/GEPSNONPILOT/Tender/SplashBidNoticeAbstractUI.aspx?menuIndex=3&amp;refID=7057783&amp;Result=3","7057783")</f>
        <v>0</v>
      </c>
      <c r="B12625" t="s">
        <v>2422</v>
      </c>
      <c r="C12625" t="s">
        <v>15588</v>
      </c>
      <c r="D12625" t="s">
        <v>18164</v>
      </c>
      <c r="E12625" t="s">
        <v>29112</v>
      </c>
      <c r="F12625" t="s">
        <v>31362</v>
      </c>
      <c r="G12625" t="s">
        <v>31369</v>
      </c>
      <c r="H12625" t="s">
        <v>15799</v>
      </c>
      <c r="I12625" t="s">
        <v>3815</v>
      </c>
      <c r="J12625" t="s">
        <v>39200</v>
      </c>
      <c r="K12625" t="s">
        <v>40670</v>
      </c>
      <c r="M12625" t="s">
        <v>43579</v>
      </c>
      <c r="N12625" t="s">
        <v>44905</v>
      </c>
      <c r="O12625" t="s">
        <v>44906</v>
      </c>
      <c r="P12625">
        <v>0</v>
      </c>
      <c r="Q12625">
        <v>0</v>
      </c>
      <c r="R12625" t="s">
        <v>44920</v>
      </c>
      <c r="S12625" t="s">
        <v>45492</v>
      </c>
      <c r="T12625" t="s">
        <v>46411</v>
      </c>
      <c r="U12625" t="s">
        <v>57007</v>
      </c>
      <c r="V12625" t="s">
        <v>59860</v>
      </c>
      <c r="W12625" t="s">
        <v>43579</v>
      </c>
      <c r="X12625" t="s">
        <v>44921</v>
      </c>
    </row>
    <row r="12626" spans="1:24">
      <c r="A12626">
        <f>HYPERLINK("https://www.philgeps.gov.ph/GEPSNONPILOT/Tender/SplashBidNoticeAbstractUI.aspx?menuIndex=3&amp;refID=7057799&amp;Result=3","7057799")</f>
        <v>0</v>
      </c>
      <c r="B12626" t="s">
        <v>800</v>
      </c>
      <c r="C12626" t="s">
        <v>15589</v>
      </c>
      <c r="D12626" t="s">
        <v>18130</v>
      </c>
      <c r="E12626" t="s">
        <v>29113</v>
      </c>
      <c r="F12626" t="s">
        <v>31362</v>
      </c>
      <c r="G12626" t="s">
        <v>31369</v>
      </c>
      <c r="H12626" t="s">
        <v>31378</v>
      </c>
      <c r="I12626" t="s">
        <v>31386</v>
      </c>
      <c r="J12626" t="s">
        <v>36067</v>
      </c>
      <c r="K12626" t="s">
        <v>40691</v>
      </c>
      <c r="M12626" t="s">
        <v>41770</v>
      </c>
      <c r="N12626" t="s">
        <v>44905</v>
      </c>
      <c r="O12626" t="s">
        <v>44906</v>
      </c>
      <c r="P12626">
        <v>0</v>
      </c>
      <c r="Q12626">
        <v>2</v>
      </c>
      <c r="R12626" t="s">
        <v>44920</v>
      </c>
      <c r="S12626" t="s">
        <v>45492</v>
      </c>
      <c r="T12626" t="s">
        <v>46418</v>
      </c>
      <c r="U12626" t="s">
        <v>57008</v>
      </c>
      <c r="W12626" t="s">
        <v>41770</v>
      </c>
      <c r="X12626" t="s">
        <v>44921</v>
      </c>
    </row>
    <row r="12627" spans="1:24">
      <c r="A12627">
        <f>HYPERLINK("https://www.philgeps.gov.ph/GEPSNONPILOT/Tender/SplashBidNoticeAbstractUI.aspx?menuIndex=3&amp;refID=7057754&amp;Result=3","7057754")</f>
        <v>0</v>
      </c>
      <c r="B12627" t="s">
        <v>2050</v>
      </c>
      <c r="C12627" t="s">
        <v>15590</v>
      </c>
      <c r="D12627" t="s">
        <v>18140</v>
      </c>
      <c r="E12627" t="s">
        <v>29114</v>
      </c>
      <c r="F12627" t="s">
        <v>31362</v>
      </c>
      <c r="G12627" t="s">
        <v>31369</v>
      </c>
      <c r="H12627" t="s">
        <v>31378</v>
      </c>
      <c r="I12627" t="s">
        <v>31386</v>
      </c>
      <c r="J12627" t="s">
        <v>39201</v>
      </c>
      <c r="K12627" t="s">
        <v>40691</v>
      </c>
      <c r="M12627" t="s">
        <v>43171</v>
      </c>
      <c r="N12627" t="s">
        <v>44905</v>
      </c>
      <c r="O12627" t="s">
        <v>44906</v>
      </c>
      <c r="Q12627">
        <v>2</v>
      </c>
      <c r="R12627" t="s">
        <v>44920</v>
      </c>
      <c r="S12627" t="s">
        <v>45554</v>
      </c>
      <c r="T12627" t="s">
        <v>46418</v>
      </c>
      <c r="U12627" t="s">
        <v>57009</v>
      </c>
      <c r="W12627" t="s">
        <v>43171</v>
      </c>
      <c r="X12627" t="s">
        <v>44921</v>
      </c>
    </row>
    <row r="12628" spans="1:24">
      <c r="A12628">
        <f>HYPERLINK("https://www.philgeps.gov.ph/GEPSNONPILOT/Tender/SplashBidNoticeAbstractUI.aspx?menuIndex=3&amp;refID=7057719&amp;Result=3","7057719")</f>
        <v>0</v>
      </c>
      <c r="B12628" t="s">
        <v>3264</v>
      </c>
      <c r="C12628" t="s">
        <v>15591</v>
      </c>
      <c r="E12628" t="s">
        <v>29115</v>
      </c>
      <c r="F12628" t="s">
        <v>31362</v>
      </c>
      <c r="G12628" t="s">
        <v>31369</v>
      </c>
      <c r="H12628" t="s">
        <v>15799</v>
      </c>
      <c r="I12628" t="s">
        <v>31514</v>
      </c>
      <c r="J12628" t="s">
        <v>39202</v>
      </c>
      <c r="K12628" t="s">
        <v>40662</v>
      </c>
      <c r="M12628" t="s">
        <v>44545</v>
      </c>
      <c r="N12628" t="s">
        <v>44905</v>
      </c>
      <c r="O12628" t="s">
        <v>44906</v>
      </c>
      <c r="P12628">
        <v>0</v>
      </c>
      <c r="Q12628">
        <v>12</v>
      </c>
      <c r="R12628" t="s">
        <v>44920</v>
      </c>
      <c r="S12628" t="s">
        <v>45492</v>
      </c>
      <c r="T12628" t="s">
        <v>46859</v>
      </c>
      <c r="U12628" t="s">
        <v>57005</v>
      </c>
      <c r="W12628" t="s">
        <v>44545</v>
      </c>
      <c r="X12628" t="s">
        <v>44921</v>
      </c>
    </row>
    <row r="12629" spans="1:24">
      <c r="A12629">
        <f>HYPERLINK("https://www.philgeps.gov.ph/GEPSNONPILOT/Tender/SplashBidNoticeAbstractUI.aspx?menuIndex=3&amp;refID=7057775&amp;Result=3","7057775")</f>
        <v>0</v>
      </c>
      <c r="B12629" t="s">
        <v>800</v>
      </c>
      <c r="C12629" t="s">
        <v>15592</v>
      </c>
      <c r="D12629" t="s">
        <v>18130</v>
      </c>
      <c r="E12629" t="s">
        <v>29116</v>
      </c>
      <c r="F12629" t="s">
        <v>31362</v>
      </c>
      <c r="G12629" t="s">
        <v>31369</v>
      </c>
      <c r="H12629" t="s">
        <v>15799</v>
      </c>
      <c r="I12629" t="s">
        <v>31409</v>
      </c>
      <c r="J12629" t="s">
        <v>39203</v>
      </c>
      <c r="K12629" t="s">
        <v>40680</v>
      </c>
      <c r="M12629" t="s">
        <v>41770</v>
      </c>
      <c r="N12629" t="s">
        <v>44905</v>
      </c>
      <c r="O12629" t="s">
        <v>44906</v>
      </c>
      <c r="P12629">
        <v>0</v>
      </c>
      <c r="Q12629">
        <v>0</v>
      </c>
      <c r="R12629" t="s">
        <v>44920</v>
      </c>
      <c r="S12629" t="s">
        <v>45492</v>
      </c>
      <c r="T12629" t="s">
        <v>46447</v>
      </c>
      <c r="U12629" t="s">
        <v>57010</v>
      </c>
      <c r="W12629" t="s">
        <v>41770</v>
      </c>
      <c r="X12629" t="s">
        <v>44921</v>
      </c>
    </row>
    <row r="12630" spans="1:24">
      <c r="A12630">
        <f>HYPERLINK("https://www.philgeps.gov.ph/GEPSNONPILOT/Tender/SplashBidNoticeAbstractUI.aspx?menuIndex=3&amp;refID=7057707&amp;Result=3","7057707")</f>
        <v>0</v>
      </c>
      <c r="B12630" t="s">
        <v>122</v>
      </c>
      <c r="C12630" t="s">
        <v>15593</v>
      </c>
      <c r="D12630" t="s">
        <v>18145</v>
      </c>
      <c r="E12630" t="s">
        <v>29117</v>
      </c>
      <c r="F12630" t="s">
        <v>31362</v>
      </c>
      <c r="G12630" t="s">
        <v>31369</v>
      </c>
      <c r="H12630" t="s">
        <v>15799</v>
      </c>
      <c r="I12630" t="s">
        <v>31426</v>
      </c>
      <c r="J12630" t="s">
        <v>39204</v>
      </c>
      <c r="K12630" t="s">
        <v>40682</v>
      </c>
      <c r="M12630" t="s">
        <v>41059</v>
      </c>
      <c r="N12630" t="s">
        <v>44905</v>
      </c>
      <c r="O12630" t="s">
        <v>44906</v>
      </c>
      <c r="Q12630">
        <v>14</v>
      </c>
      <c r="R12630" t="s">
        <v>44920</v>
      </c>
      <c r="S12630" t="s">
        <v>45555</v>
      </c>
      <c r="T12630" t="s">
        <v>46810</v>
      </c>
      <c r="U12630" t="s">
        <v>57011</v>
      </c>
      <c r="V12630" t="s">
        <v>59880</v>
      </c>
      <c r="W12630" t="s">
        <v>41059</v>
      </c>
      <c r="X12630" t="s">
        <v>44921</v>
      </c>
    </row>
    <row r="12631" spans="1:24">
      <c r="A12631">
        <f>HYPERLINK("https://www.philgeps.gov.ph/GEPSNONPILOT/Tender/SplashBidNoticeAbstractUI.aspx?menuIndex=3&amp;refID=7057906&amp;Result=3","7057906")</f>
        <v>0</v>
      </c>
      <c r="B12631" t="s">
        <v>1519</v>
      </c>
      <c r="C12631" t="s">
        <v>15594</v>
      </c>
      <c r="D12631" t="s">
        <v>18108</v>
      </c>
      <c r="E12631" t="s">
        <v>29118</v>
      </c>
      <c r="F12631" t="s">
        <v>31362</v>
      </c>
      <c r="G12631" t="s">
        <v>31369</v>
      </c>
      <c r="H12631" t="s">
        <v>31378</v>
      </c>
      <c r="I12631" t="s">
        <v>31386</v>
      </c>
      <c r="J12631" t="s">
        <v>39205</v>
      </c>
      <c r="K12631" t="s">
        <v>40678</v>
      </c>
      <c r="M12631" t="s">
        <v>42656</v>
      </c>
      <c r="N12631" t="s">
        <v>44905</v>
      </c>
      <c r="O12631" t="s">
        <v>44906</v>
      </c>
      <c r="Q12631">
        <v>20</v>
      </c>
      <c r="R12631" t="s">
        <v>44920</v>
      </c>
      <c r="S12631" t="s">
        <v>45556</v>
      </c>
      <c r="T12631" t="s">
        <v>46470</v>
      </c>
      <c r="U12631" t="s">
        <v>50837</v>
      </c>
      <c r="W12631" t="s">
        <v>42656</v>
      </c>
      <c r="X12631" t="s">
        <v>44921</v>
      </c>
    </row>
    <row r="12632" spans="1:24">
      <c r="A12632">
        <f>HYPERLINK("https://www.philgeps.gov.ph/GEPSNONPILOT/Tender/SplashBidNoticeAbstractUI.aspx?menuIndex=3&amp;refID=7057916&amp;Result=3","7057916")</f>
        <v>0</v>
      </c>
      <c r="B12632" t="s">
        <v>1519</v>
      </c>
      <c r="C12632" t="s">
        <v>15595</v>
      </c>
      <c r="D12632" t="s">
        <v>18108</v>
      </c>
      <c r="E12632" t="s">
        <v>29119</v>
      </c>
      <c r="F12632" t="s">
        <v>31362</v>
      </c>
      <c r="G12632" t="s">
        <v>31369</v>
      </c>
      <c r="H12632" t="s">
        <v>31378</v>
      </c>
      <c r="I12632" t="s">
        <v>31386</v>
      </c>
      <c r="J12632" t="s">
        <v>39206</v>
      </c>
      <c r="K12632" t="s">
        <v>40684</v>
      </c>
      <c r="M12632" t="s">
        <v>42656</v>
      </c>
      <c r="N12632" t="s">
        <v>44905</v>
      </c>
      <c r="O12632" t="s">
        <v>44906</v>
      </c>
      <c r="Q12632">
        <v>21</v>
      </c>
      <c r="R12632" t="s">
        <v>44920</v>
      </c>
      <c r="S12632" t="s">
        <v>45557</v>
      </c>
      <c r="T12632" t="s">
        <v>46470</v>
      </c>
      <c r="U12632" t="s">
        <v>50837</v>
      </c>
      <c r="W12632" t="s">
        <v>42656</v>
      </c>
      <c r="X12632" t="s">
        <v>44921</v>
      </c>
    </row>
    <row r="12633" spans="1:24">
      <c r="A12633">
        <f>HYPERLINK("https://www.philgeps.gov.ph/GEPSNONPILOT/Tender/SplashBidNoticeAbstractUI.aspx?menuIndex=3&amp;refID=7057903&amp;Result=3","7057903")</f>
        <v>0</v>
      </c>
      <c r="B12633" t="s">
        <v>1519</v>
      </c>
      <c r="C12633" t="s">
        <v>15596</v>
      </c>
      <c r="D12633" t="s">
        <v>18108</v>
      </c>
      <c r="E12633" t="s">
        <v>29120</v>
      </c>
      <c r="F12633" t="s">
        <v>31362</v>
      </c>
      <c r="G12633" t="s">
        <v>31369</v>
      </c>
      <c r="H12633" t="s">
        <v>31378</v>
      </c>
      <c r="I12633" t="s">
        <v>31386</v>
      </c>
      <c r="J12633" t="s">
        <v>39207</v>
      </c>
      <c r="K12633" t="s">
        <v>40663</v>
      </c>
      <c r="M12633" t="s">
        <v>42656</v>
      </c>
      <c r="N12633" t="s">
        <v>44905</v>
      </c>
      <c r="O12633" t="s">
        <v>44906</v>
      </c>
      <c r="Q12633">
        <v>26</v>
      </c>
      <c r="R12633" t="s">
        <v>44920</v>
      </c>
      <c r="S12633" t="s">
        <v>45558</v>
      </c>
      <c r="T12633" t="s">
        <v>46470</v>
      </c>
      <c r="U12633" t="s">
        <v>50837</v>
      </c>
      <c r="W12633" t="s">
        <v>42656</v>
      </c>
      <c r="X12633" t="s">
        <v>44921</v>
      </c>
    </row>
    <row r="12634" spans="1:24">
      <c r="A12634">
        <f>HYPERLINK("https://www.philgeps.gov.ph/GEPSNONPILOT/Tender/SplashBidNoticeAbstractUI.aspx?menuIndex=3&amp;refID=7057898&amp;Result=3","7057898")</f>
        <v>0</v>
      </c>
      <c r="B12634" t="s">
        <v>1519</v>
      </c>
      <c r="C12634" t="s">
        <v>15597</v>
      </c>
      <c r="D12634" t="s">
        <v>18108</v>
      </c>
      <c r="E12634" t="s">
        <v>29121</v>
      </c>
      <c r="F12634" t="s">
        <v>31362</v>
      </c>
      <c r="G12634" t="s">
        <v>31369</v>
      </c>
      <c r="H12634" t="s">
        <v>31378</v>
      </c>
      <c r="I12634" t="s">
        <v>31386</v>
      </c>
      <c r="J12634" t="s">
        <v>39208</v>
      </c>
      <c r="K12634" t="s">
        <v>40678</v>
      </c>
      <c r="M12634" t="s">
        <v>42656</v>
      </c>
      <c r="N12634" t="s">
        <v>44905</v>
      </c>
      <c r="O12634" t="s">
        <v>44906</v>
      </c>
      <c r="Q12634">
        <v>18</v>
      </c>
      <c r="R12634" t="s">
        <v>44920</v>
      </c>
      <c r="S12634" t="s">
        <v>45559</v>
      </c>
      <c r="T12634" t="s">
        <v>46470</v>
      </c>
      <c r="U12634" t="s">
        <v>50837</v>
      </c>
      <c r="W12634" t="s">
        <v>42656</v>
      </c>
      <c r="X12634" t="s">
        <v>44921</v>
      </c>
    </row>
    <row r="12635" spans="1:24">
      <c r="A12635">
        <f>HYPERLINK("https://www.philgeps.gov.ph/GEPSNONPILOT/Tender/SplashBidNoticeAbstractUI.aspx?menuIndex=3&amp;refID=7057891&amp;Result=3","7057891")</f>
        <v>0</v>
      </c>
      <c r="B12635" t="s">
        <v>1519</v>
      </c>
      <c r="C12635" t="s">
        <v>15598</v>
      </c>
      <c r="D12635" t="s">
        <v>18108</v>
      </c>
      <c r="E12635" t="s">
        <v>29122</v>
      </c>
      <c r="F12635" t="s">
        <v>31362</v>
      </c>
      <c r="G12635" t="s">
        <v>31369</v>
      </c>
      <c r="H12635" t="s">
        <v>31378</v>
      </c>
      <c r="I12635" t="s">
        <v>31386</v>
      </c>
      <c r="J12635" t="s">
        <v>39209</v>
      </c>
      <c r="K12635" t="s">
        <v>40692</v>
      </c>
      <c r="M12635" t="s">
        <v>42656</v>
      </c>
      <c r="N12635" t="s">
        <v>44905</v>
      </c>
      <c r="O12635" t="s">
        <v>44906</v>
      </c>
      <c r="Q12635">
        <v>19</v>
      </c>
      <c r="R12635" t="s">
        <v>44920</v>
      </c>
      <c r="S12635" t="s">
        <v>45560</v>
      </c>
      <c r="T12635" t="s">
        <v>46470</v>
      </c>
      <c r="U12635" t="s">
        <v>50837</v>
      </c>
      <c r="W12635" t="s">
        <v>42656</v>
      </c>
      <c r="X12635" t="s">
        <v>44921</v>
      </c>
    </row>
    <row r="12636" spans="1:24">
      <c r="A12636">
        <f>HYPERLINK("https://www.philgeps.gov.ph/GEPSNONPILOT/Tender/SplashBidNoticeAbstractUI.aspx?menuIndex=3&amp;refID=7057883&amp;Result=3","7057883")</f>
        <v>0</v>
      </c>
      <c r="B12636" t="s">
        <v>1589</v>
      </c>
      <c r="C12636" t="s">
        <v>15599</v>
      </c>
      <c r="D12636" t="s">
        <v>18117</v>
      </c>
      <c r="E12636" t="s">
        <v>29123</v>
      </c>
      <c r="F12636" t="s">
        <v>31362</v>
      </c>
      <c r="G12636" t="s">
        <v>31369</v>
      </c>
      <c r="H12636" t="s">
        <v>31378</v>
      </c>
      <c r="I12636" t="s">
        <v>31386</v>
      </c>
      <c r="J12636" t="s">
        <v>39210</v>
      </c>
      <c r="K12636" t="s">
        <v>40664</v>
      </c>
      <c r="M12636" t="s">
        <v>44546</v>
      </c>
      <c r="N12636" t="s">
        <v>44905</v>
      </c>
      <c r="O12636" t="s">
        <v>44906</v>
      </c>
      <c r="P12636">
        <v>0</v>
      </c>
      <c r="Q12636">
        <v>2</v>
      </c>
      <c r="R12636" t="s">
        <v>44920</v>
      </c>
      <c r="S12636" t="s">
        <v>45492</v>
      </c>
      <c r="T12636" t="s">
        <v>46470</v>
      </c>
      <c r="U12636" t="s">
        <v>57012</v>
      </c>
      <c r="V12636" t="s">
        <v>60444</v>
      </c>
      <c r="W12636" t="s">
        <v>44546</v>
      </c>
      <c r="X12636" t="s">
        <v>44921</v>
      </c>
    </row>
    <row r="12637" spans="1:24">
      <c r="A12637">
        <f>HYPERLINK("https://www.philgeps.gov.ph/GEPSNONPILOT/Tender/SplashBidNoticeAbstractUI.aspx?menuIndex=3&amp;refID=7057911&amp;Result=3","7057911")</f>
        <v>0</v>
      </c>
      <c r="B12637" t="s">
        <v>1519</v>
      </c>
      <c r="C12637" t="s">
        <v>15600</v>
      </c>
      <c r="D12637" t="s">
        <v>18108</v>
      </c>
      <c r="E12637" t="s">
        <v>29124</v>
      </c>
      <c r="F12637" t="s">
        <v>31362</v>
      </c>
      <c r="G12637" t="s">
        <v>31369</v>
      </c>
      <c r="H12637" t="s">
        <v>31378</v>
      </c>
      <c r="I12637" t="s">
        <v>31386</v>
      </c>
      <c r="J12637" t="s">
        <v>39211</v>
      </c>
      <c r="K12637" t="s">
        <v>40684</v>
      </c>
      <c r="M12637" t="s">
        <v>42656</v>
      </c>
      <c r="N12637" t="s">
        <v>44905</v>
      </c>
      <c r="O12637" t="s">
        <v>44906</v>
      </c>
      <c r="Q12637">
        <v>22</v>
      </c>
      <c r="R12637" t="s">
        <v>44920</v>
      </c>
      <c r="S12637" t="s">
        <v>45263</v>
      </c>
      <c r="T12637" t="s">
        <v>46470</v>
      </c>
      <c r="U12637" t="s">
        <v>50837</v>
      </c>
      <c r="W12637" t="s">
        <v>42656</v>
      </c>
      <c r="X12637" t="s">
        <v>44921</v>
      </c>
    </row>
    <row r="12638" spans="1:24">
      <c r="A12638">
        <f>HYPERLINK("https://www.philgeps.gov.ph/GEPSNONPILOT/Tender/SplashBidNoticeAbstractUI.aspx?menuIndex=3&amp;refID=7057909&amp;Result=3","7057909")</f>
        <v>0</v>
      </c>
      <c r="B12638" t="s">
        <v>1519</v>
      </c>
      <c r="C12638" t="s">
        <v>15601</v>
      </c>
      <c r="D12638" t="s">
        <v>18108</v>
      </c>
      <c r="E12638" t="s">
        <v>29125</v>
      </c>
      <c r="F12638" t="s">
        <v>31362</v>
      </c>
      <c r="G12638" t="s">
        <v>31369</v>
      </c>
      <c r="H12638" t="s">
        <v>31378</v>
      </c>
      <c r="I12638" t="s">
        <v>31386</v>
      </c>
      <c r="J12638" t="s">
        <v>39212</v>
      </c>
      <c r="K12638" t="s">
        <v>40916</v>
      </c>
      <c r="M12638" t="s">
        <v>42656</v>
      </c>
      <c r="N12638" t="s">
        <v>44905</v>
      </c>
      <c r="O12638" t="s">
        <v>44906</v>
      </c>
      <c r="Q12638">
        <v>20</v>
      </c>
      <c r="R12638" t="s">
        <v>44920</v>
      </c>
      <c r="S12638" t="s">
        <v>45561</v>
      </c>
      <c r="T12638" t="s">
        <v>46470</v>
      </c>
      <c r="U12638" t="s">
        <v>50837</v>
      </c>
      <c r="W12638" t="s">
        <v>42656</v>
      </c>
      <c r="X12638" t="s">
        <v>44921</v>
      </c>
    </row>
    <row r="12639" spans="1:24">
      <c r="A12639">
        <f>HYPERLINK("https://www.philgeps.gov.ph/GEPSNONPILOT/Tender/SplashBidNoticeAbstractUI.aspx?menuIndex=3&amp;refID=7057869&amp;Result=3","7057869")</f>
        <v>0</v>
      </c>
      <c r="B12639" t="s">
        <v>1589</v>
      </c>
      <c r="C12639" t="s">
        <v>15602</v>
      </c>
      <c r="D12639" t="s">
        <v>18117</v>
      </c>
      <c r="E12639" t="s">
        <v>29126</v>
      </c>
      <c r="F12639" t="s">
        <v>31362</v>
      </c>
      <c r="G12639" t="s">
        <v>31369</v>
      </c>
      <c r="H12639" t="s">
        <v>31378</v>
      </c>
      <c r="I12639" t="s">
        <v>31386</v>
      </c>
      <c r="J12639" t="s">
        <v>39210</v>
      </c>
      <c r="K12639" t="s">
        <v>40664</v>
      </c>
      <c r="M12639" t="s">
        <v>44546</v>
      </c>
      <c r="N12639" t="s">
        <v>44905</v>
      </c>
      <c r="O12639" t="s">
        <v>44906</v>
      </c>
      <c r="P12639">
        <v>0</v>
      </c>
      <c r="Q12639">
        <v>2</v>
      </c>
      <c r="R12639" t="s">
        <v>44920</v>
      </c>
      <c r="S12639" t="s">
        <v>45492</v>
      </c>
      <c r="T12639" t="s">
        <v>46470</v>
      </c>
      <c r="U12639" t="s">
        <v>57012</v>
      </c>
      <c r="V12639" t="s">
        <v>60445</v>
      </c>
      <c r="W12639" t="s">
        <v>44546</v>
      </c>
      <c r="X12639" t="s">
        <v>44921</v>
      </c>
    </row>
    <row r="12640" spans="1:24">
      <c r="A12640">
        <f>HYPERLINK("https://www.philgeps.gov.ph/GEPSNONPILOT/Tender/SplashBidNoticeAbstractUI.aspx?menuIndex=3&amp;refID=7057921&amp;Result=3","7057921")</f>
        <v>0</v>
      </c>
      <c r="B12640" t="s">
        <v>687</v>
      </c>
      <c r="C12640" t="s">
        <v>15603</v>
      </c>
      <c r="E12640" t="s">
        <v>29127</v>
      </c>
      <c r="F12640" t="s">
        <v>31362</v>
      </c>
      <c r="G12640" t="s">
        <v>31369</v>
      </c>
      <c r="H12640" t="s">
        <v>15799</v>
      </c>
      <c r="I12640" t="s">
        <v>31410</v>
      </c>
      <c r="J12640" t="s">
        <v>32693</v>
      </c>
      <c r="K12640" t="s">
        <v>40662</v>
      </c>
      <c r="M12640" t="s">
        <v>41649</v>
      </c>
      <c r="N12640" t="s">
        <v>44905</v>
      </c>
      <c r="O12640" t="s">
        <v>44906</v>
      </c>
      <c r="P12640">
        <v>0</v>
      </c>
      <c r="Q12640">
        <v>3</v>
      </c>
      <c r="R12640" t="s">
        <v>44920</v>
      </c>
      <c r="S12640" t="s">
        <v>45492</v>
      </c>
      <c r="T12640" t="s">
        <v>46462</v>
      </c>
      <c r="U12640" t="s">
        <v>57013</v>
      </c>
      <c r="W12640" t="s">
        <v>41649</v>
      </c>
      <c r="X12640" t="s">
        <v>44921</v>
      </c>
    </row>
    <row r="12641" spans="1:24">
      <c r="A12641">
        <f>HYPERLINK("https://www.philgeps.gov.ph/GEPSNONPILOT/Tender/SplashBidNoticeAbstractUI.aspx?menuIndex=3&amp;refID=7057861&amp;Result=3","7057861")</f>
        <v>0</v>
      </c>
      <c r="B12641" t="s">
        <v>1519</v>
      </c>
      <c r="C12641" t="s">
        <v>15604</v>
      </c>
      <c r="D12641" t="s">
        <v>18108</v>
      </c>
      <c r="E12641" t="s">
        <v>29128</v>
      </c>
      <c r="F12641" t="s">
        <v>31362</v>
      </c>
      <c r="G12641" t="s">
        <v>31369</v>
      </c>
      <c r="H12641" t="s">
        <v>31378</v>
      </c>
      <c r="I12641" t="s">
        <v>31386</v>
      </c>
      <c r="J12641" t="s">
        <v>39213</v>
      </c>
      <c r="K12641" t="s">
        <v>40728</v>
      </c>
      <c r="M12641" t="s">
        <v>42656</v>
      </c>
      <c r="N12641" t="s">
        <v>44905</v>
      </c>
      <c r="O12641" t="s">
        <v>44906</v>
      </c>
      <c r="Q12641">
        <v>21</v>
      </c>
      <c r="R12641" t="s">
        <v>44920</v>
      </c>
      <c r="S12641" t="s">
        <v>45562</v>
      </c>
      <c r="T12641" t="s">
        <v>46470</v>
      </c>
      <c r="U12641" t="s">
        <v>50837</v>
      </c>
      <c r="W12641" t="s">
        <v>42656</v>
      </c>
      <c r="X12641" t="s">
        <v>44921</v>
      </c>
    </row>
    <row r="12642" spans="1:24">
      <c r="A12642">
        <f>HYPERLINK("https://www.philgeps.gov.ph/GEPSNONPILOT/Tender/SplashBidNoticeAbstractUI.aspx?menuIndex=3&amp;refID=7057864&amp;Result=3","7057864")</f>
        <v>0</v>
      </c>
      <c r="B12642" t="s">
        <v>1589</v>
      </c>
      <c r="C12642" t="s">
        <v>15605</v>
      </c>
      <c r="D12642" t="s">
        <v>18117</v>
      </c>
      <c r="E12642" t="s">
        <v>29129</v>
      </c>
      <c r="F12642" t="s">
        <v>31362</v>
      </c>
      <c r="G12642" t="s">
        <v>31369</v>
      </c>
      <c r="H12642" t="s">
        <v>31378</v>
      </c>
      <c r="I12642" t="s">
        <v>31386</v>
      </c>
      <c r="J12642" t="s">
        <v>35968</v>
      </c>
      <c r="K12642" t="s">
        <v>40780</v>
      </c>
      <c r="M12642" t="s">
        <v>44546</v>
      </c>
      <c r="N12642" t="s">
        <v>44905</v>
      </c>
      <c r="O12642" t="s">
        <v>44906</v>
      </c>
      <c r="P12642">
        <v>0</v>
      </c>
      <c r="Q12642">
        <v>5</v>
      </c>
      <c r="R12642" t="s">
        <v>44920</v>
      </c>
      <c r="S12642" t="s">
        <v>45492</v>
      </c>
      <c r="T12642" t="s">
        <v>46470</v>
      </c>
      <c r="U12642" t="s">
        <v>57012</v>
      </c>
      <c r="V12642" t="s">
        <v>60446</v>
      </c>
      <c r="W12642" t="s">
        <v>44546</v>
      </c>
      <c r="X12642" t="s">
        <v>44921</v>
      </c>
    </row>
    <row r="12643" spans="1:24">
      <c r="A12643">
        <f>HYPERLINK("https://www.philgeps.gov.ph/GEPSNONPILOT/Tender/SplashBidNoticeAbstractUI.aspx?menuIndex=3&amp;refID=7057859&amp;Result=3","7057859")</f>
        <v>0</v>
      </c>
      <c r="B12643" t="s">
        <v>1519</v>
      </c>
      <c r="C12643" t="s">
        <v>15606</v>
      </c>
      <c r="D12643" t="s">
        <v>18108</v>
      </c>
      <c r="E12643" t="s">
        <v>29130</v>
      </c>
      <c r="F12643" t="s">
        <v>31362</v>
      </c>
      <c r="G12643" t="s">
        <v>31369</v>
      </c>
      <c r="H12643" t="s">
        <v>31378</v>
      </c>
      <c r="I12643" t="s">
        <v>31386</v>
      </c>
      <c r="J12643" t="s">
        <v>39214</v>
      </c>
      <c r="K12643" t="s">
        <v>40678</v>
      </c>
      <c r="M12643" t="s">
        <v>42656</v>
      </c>
      <c r="N12643" t="s">
        <v>44905</v>
      </c>
      <c r="O12643" t="s">
        <v>44906</v>
      </c>
      <c r="Q12643">
        <v>27</v>
      </c>
      <c r="R12643" t="s">
        <v>44920</v>
      </c>
      <c r="S12643" t="s">
        <v>45563</v>
      </c>
      <c r="T12643" t="s">
        <v>46470</v>
      </c>
      <c r="U12643" t="s">
        <v>50837</v>
      </c>
      <c r="W12643" t="s">
        <v>42656</v>
      </c>
      <c r="X12643" t="s">
        <v>44921</v>
      </c>
    </row>
    <row r="12644" spans="1:24">
      <c r="A12644">
        <f>HYPERLINK("https://www.philgeps.gov.ph/GEPSNONPILOT/Tender/SplashBidNoticeAbstractUI.aspx?menuIndex=3&amp;refID=7057841&amp;Result=3","7057841")</f>
        <v>0</v>
      </c>
      <c r="B12644" t="s">
        <v>2107</v>
      </c>
      <c r="C12644" t="s">
        <v>15607</v>
      </c>
      <c r="D12644" t="s">
        <v>18167</v>
      </c>
      <c r="E12644" t="s">
        <v>29131</v>
      </c>
      <c r="F12644" t="s">
        <v>31362</v>
      </c>
      <c r="G12644" t="s">
        <v>31369</v>
      </c>
      <c r="H12644" t="s">
        <v>31378</v>
      </c>
      <c r="I12644" t="s">
        <v>31386</v>
      </c>
      <c r="J12644" t="s">
        <v>39215</v>
      </c>
      <c r="K12644" t="s">
        <v>40856</v>
      </c>
      <c r="M12644" t="s">
        <v>43233</v>
      </c>
      <c r="N12644" t="s">
        <v>44905</v>
      </c>
      <c r="O12644" t="s">
        <v>44906</v>
      </c>
      <c r="P12644">
        <v>0</v>
      </c>
      <c r="Q12644">
        <v>0</v>
      </c>
      <c r="R12644" t="s">
        <v>44920</v>
      </c>
      <c r="S12644" t="s">
        <v>45492</v>
      </c>
      <c r="T12644" t="s">
        <v>46533</v>
      </c>
      <c r="U12644" t="s">
        <v>57014</v>
      </c>
      <c r="W12644" t="s">
        <v>43233</v>
      </c>
      <c r="X12644" t="s">
        <v>44921</v>
      </c>
    </row>
    <row r="12645" spans="1:24">
      <c r="A12645">
        <f>HYPERLINK("https://www.philgeps.gov.ph/GEPSNONPILOT/Tender/SplashBidNoticeAbstractUI.aspx?menuIndex=3&amp;refID=7057837&amp;Result=3","7057837")</f>
        <v>0</v>
      </c>
      <c r="B12645" t="s">
        <v>2107</v>
      </c>
      <c r="C12645" t="s">
        <v>15608</v>
      </c>
      <c r="D12645" t="s">
        <v>18167</v>
      </c>
      <c r="E12645" t="s">
        <v>29132</v>
      </c>
      <c r="F12645" t="s">
        <v>31362</v>
      </c>
      <c r="G12645" t="s">
        <v>31369</v>
      </c>
      <c r="H12645" t="s">
        <v>15799</v>
      </c>
      <c r="I12645" t="s">
        <v>31444</v>
      </c>
      <c r="J12645" t="s">
        <v>39216</v>
      </c>
      <c r="K12645" t="s">
        <v>40665</v>
      </c>
      <c r="M12645" t="s">
        <v>43233</v>
      </c>
      <c r="N12645" t="s">
        <v>44905</v>
      </c>
      <c r="O12645" t="s">
        <v>44906</v>
      </c>
      <c r="P12645">
        <v>0</v>
      </c>
      <c r="Q12645">
        <v>7</v>
      </c>
      <c r="R12645" t="s">
        <v>44920</v>
      </c>
      <c r="S12645" t="s">
        <v>45492</v>
      </c>
      <c r="T12645" t="s">
        <v>46533</v>
      </c>
      <c r="U12645" t="s">
        <v>57015</v>
      </c>
      <c r="W12645" t="s">
        <v>43233</v>
      </c>
      <c r="X12645" t="s">
        <v>44921</v>
      </c>
    </row>
    <row r="12646" spans="1:24">
      <c r="A12646">
        <f>HYPERLINK("https://www.philgeps.gov.ph/GEPSNONPILOT/Tender/SplashBidNoticeAbstractUI.aspx?menuIndex=3&amp;refID=7057876&amp;Result=3","7057876")</f>
        <v>0</v>
      </c>
      <c r="B12646" t="s">
        <v>1589</v>
      </c>
      <c r="C12646" t="s">
        <v>15609</v>
      </c>
      <c r="D12646" t="s">
        <v>18117</v>
      </c>
      <c r="E12646" t="s">
        <v>29133</v>
      </c>
      <c r="F12646" t="s">
        <v>31362</v>
      </c>
      <c r="G12646" t="s">
        <v>31369</v>
      </c>
      <c r="H12646" t="s">
        <v>31378</v>
      </c>
      <c r="I12646" t="s">
        <v>31386</v>
      </c>
      <c r="J12646" t="s">
        <v>37306</v>
      </c>
      <c r="K12646" t="s">
        <v>40780</v>
      </c>
      <c r="M12646" t="s">
        <v>44546</v>
      </c>
      <c r="N12646" t="s">
        <v>44905</v>
      </c>
      <c r="O12646" t="s">
        <v>44906</v>
      </c>
      <c r="P12646">
        <v>0</v>
      </c>
      <c r="Q12646">
        <v>3</v>
      </c>
      <c r="R12646" t="s">
        <v>44920</v>
      </c>
      <c r="S12646" t="s">
        <v>45492</v>
      </c>
      <c r="T12646" t="s">
        <v>46470</v>
      </c>
      <c r="U12646" t="s">
        <v>57012</v>
      </c>
      <c r="V12646" t="s">
        <v>60447</v>
      </c>
      <c r="W12646" t="s">
        <v>44546</v>
      </c>
      <c r="X12646" t="s">
        <v>44921</v>
      </c>
    </row>
    <row r="12647" spans="1:24">
      <c r="A12647">
        <f>HYPERLINK("https://www.philgeps.gov.ph/GEPSNONPILOT/Tender/SplashBidNoticeAbstractUI.aspx?menuIndex=3&amp;refID=7057706&amp;Result=3","7057706")</f>
        <v>0</v>
      </c>
      <c r="B12647" t="s">
        <v>3264</v>
      </c>
      <c r="C12647" t="s">
        <v>15610</v>
      </c>
      <c r="E12647" t="s">
        <v>29134</v>
      </c>
      <c r="F12647" t="s">
        <v>31362</v>
      </c>
      <c r="G12647" t="s">
        <v>31369</v>
      </c>
      <c r="H12647" t="s">
        <v>15799</v>
      </c>
      <c r="I12647" t="s">
        <v>31514</v>
      </c>
      <c r="J12647" t="s">
        <v>39217</v>
      </c>
      <c r="K12647" t="s">
        <v>40662</v>
      </c>
      <c r="M12647" t="s">
        <v>44545</v>
      </c>
      <c r="N12647" t="s">
        <v>44905</v>
      </c>
      <c r="O12647" t="s">
        <v>44906</v>
      </c>
      <c r="P12647">
        <v>0</v>
      </c>
      <c r="Q12647">
        <v>13</v>
      </c>
      <c r="R12647" t="s">
        <v>44920</v>
      </c>
      <c r="S12647" t="s">
        <v>45492</v>
      </c>
      <c r="T12647" t="s">
        <v>46859</v>
      </c>
      <c r="U12647" t="s">
        <v>57005</v>
      </c>
      <c r="W12647" t="s">
        <v>44545</v>
      </c>
      <c r="X12647" t="s">
        <v>44921</v>
      </c>
    </row>
    <row r="12648" spans="1:24">
      <c r="A12648">
        <f>HYPERLINK("https://www.philgeps.gov.ph/GEPSNONPILOT/Tender/SplashBidNoticeAbstractUI.aspx?menuIndex=3&amp;refID=7038397&amp;Result=3","7038397")</f>
        <v>0</v>
      </c>
      <c r="B12648" t="s">
        <v>38</v>
      </c>
      <c r="C12648" t="s">
        <v>15611</v>
      </c>
      <c r="E12648" t="s">
        <v>29135</v>
      </c>
      <c r="F12648" t="s">
        <v>31362</v>
      </c>
      <c r="G12648" t="s">
        <v>31369</v>
      </c>
      <c r="H12648" t="s">
        <v>31378</v>
      </c>
      <c r="I12648" t="s">
        <v>31386</v>
      </c>
      <c r="J12648" t="s">
        <v>37754</v>
      </c>
      <c r="K12648" t="s">
        <v>40783</v>
      </c>
      <c r="M12648" t="s">
        <v>40972</v>
      </c>
      <c r="N12648" t="s">
        <v>44905</v>
      </c>
      <c r="O12648" t="s">
        <v>44906</v>
      </c>
      <c r="P12648">
        <v>0</v>
      </c>
      <c r="Q12648">
        <v>2</v>
      </c>
      <c r="R12648" t="s">
        <v>44921</v>
      </c>
      <c r="S12648" t="s">
        <v>45564</v>
      </c>
      <c r="T12648" t="s">
        <v>46425</v>
      </c>
      <c r="U12648" t="s">
        <v>57016</v>
      </c>
      <c r="W12648" t="s">
        <v>40972</v>
      </c>
      <c r="X12648" t="s">
        <v>44930</v>
      </c>
    </row>
    <row r="12649" spans="1:24">
      <c r="A12649">
        <f>HYPERLINK("https://www.philgeps.gov.ph/GEPSNONPILOT/Tender/SplashBidNoticeAbstractUI.aspx?menuIndex=3&amp;refID=7057842&amp;Result=3","7057842")</f>
        <v>0</v>
      </c>
      <c r="B12649" t="s">
        <v>3265</v>
      </c>
      <c r="C12649" t="s">
        <v>15612</v>
      </c>
      <c r="D12649" t="s">
        <v>18108</v>
      </c>
      <c r="E12649" t="s">
        <v>29136</v>
      </c>
      <c r="F12649" t="s">
        <v>31365</v>
      </c>
      <c r="G12649" t="s">
        <v>31369</v>
      </c>
      <c r="H12649" t="s">
        <v>15799</v>
      </c>
      <c r="I12649" t="s">
        <v>7090</v>
      </c>
      <c r="J12649" t="s">
        <v>39218</v>
      </c>
      <c r="K12649" t="s">
        <v>40661</v>
      </c>
      <c r="M12649" t="s">
        <v>44547</v>
      </c>
      <c r="N12649" t="s">
        <v>44905</v>
      </c>
      <c r="O12649" t="s">
        <v>44906</v>
      </c>
      <c r="P12649">
        <v>0</v>
      </c>
      <c r="Q12649">
        <v>0</v>
      </c>
      <c r="R12649" t="s">
        <v>44920</v>
      </c>
      <c r="S12649" t="s">
        <v>45492</v>
      </c>
      <c r="T12649" t="s">
        <v>46409</v>
      </c>
      <c r="U12649" t="s">
        <v>57017</v>
      </c>
      <c r="W12649" t="s">
        <v>44547</v>
      </c>
      <c r="X12649" t="s">
        <v>44921</v>
      </c>
    </row>
    <row r="12650" spans="1:24">
      <c r="A12650">
        <f>HYPERLINK("https://www.philgeps.gov.ph/GEPSNONPILOT/Tender/SplashBidNoticeAbstractUI.aspx?menuIndex=3&amp;refID=7057918&amp;Result=3","7057918")</f>
        <v>0</v>
      </c>
      <c r="B12650" t="s">
        <v>1519</v>
      </c>
      <c r="C12650" t="s">
        <v>15613</v>
      </c>
      <c r="D12650" t="s">
        <v>18108</v>
      </c>
      <c r="E12650" t="s">
        <v>29137</v>
      </c>
      <c r="F12650" t="s">
        <v>31362</v>
      </c>
      <c r="G12650" t="s">
        <v>31369</v>
      </c>
      <c r="H12650" t="s">
        <v>31378</v>
      </c>
      <c r="I12650" t="s">
        <v>31386</v>
      </c>
      <c r="J12650" t="s">
        <v>39219</v>
      </c>
      <c r="K12650" t="s">
        <v>40678</v>
      </c>
      <c r="M12650" t="s">
        <v>42656</v>
      </c>
      <c r="N12650" t="s">
        <v>44905</v>
      </c>
      <c r="O12650" t="s">
        <v>44906</v>
      </c>
      <c r="Q12650">
        <v>21</v>
      </c>
      <c r="R12650" t="s">
        <v>44920</v>
      </c>
      <c r="S12650" t="s">
        <v>45565</v>
      </c>
      <c r="T12650" t="s">
        <v>46470</v>
      </c>
      <c r="U12650" t="s">
        <v>50837</v>
      </c>
      <c r="W12650" t="s">
        <v>42656</v>
      </c>
      <c r="X12650" t="s">
        <v>44921</v>
      </c>
    </row>
    <row r="12651" spans="1:24">
      <c r="A12651">
        <f>HYPERLINK("https://www.philgeps.gov.ph/GEPSNONPILOT/Tender/SplashBidNoticeAbstractUI.aspx?menuIndex=3&amp;refID=7038262&amp;Result=3","7038262")</f>
        <v>0</v>
      </c>
      <c r="B12651" t="s">
        <v>38</v>
      </c>
      <c r="C12651" t="s">
        <v>15614</v>
      </c>
      <c r="E12651" t="s">
        <v>29138</v>
      </c>
      <c r="F12651" t="s">
        <v>31362</v>
      </c>
      <c r="G12651" t="s">
        <v>31369</v>
      </c>
      <c r="H12651" t="s">
        <v>31378</v>
      </c>
      <c r="I12651" t="s">
        <v>31386</v>
      </c>
      <c r="J12651" t="s">
        <v>39220</v>
      </c>
      <c r="K12651" t="s">
        <v>40686</v>
      </c>
      <c r="M12651" t="s">
        <v>40972</v>
      </c>
      <c r="N12651" t="s">
        <v>44905</v>
      </c>
      <c r="O12651" t="s">
        <v>44906</v>
      </c>
      <c r="P12651">
        <v>0</v>
      </c>
      <c r="Q12651">
        <v>0</v>
      </c>
      <c r="R12651" t="s">
        <v>44921</v>
      </c>
      <c r="S12651" t="s">
        <v>45564</v>
      </c>
      <c r="T12651" t="s">
        <v>46425</v>
      </c>
      <c r="U12651" t="s">
        <v>57018</v>
      </c>
      <c r="W12651" t="s">
        <v>40972</v>
      </c>
      <c r="X12651" t="s">
        <v>44930</v>
      </c>
    </row>
    <row r="12652" spans="1:24">
      <c r="A12652">
        <f>HYPERLINK("https://www.philgeps.gov.ph/GEPSNONPILOT/Tender/SplashBidNoticeAbstractUI.aspx?menuIndex=3&amp;refID=7033878&amp;Result=3","7033878")</f>
        <v>0</v>
      </c>
      <c r="B12652" t="s">
        <v>915</v>
      </c>
      <c r="C12652" t="s">
        <v>15615</v>
      </c>
      <c r="D12652" t="s">
        <v>18151</v>
      </c>
      <c r="E12652" t="s">
        <v>18475</v>
      </c>
      <c r="F12652" t="s">
        <v>31362</v>
      </c>
      <c r="G12652" t="s">
        <v>31369</v>
      </c>
      <c r="H12652" t="s">
        <v>15799</v>
      </c>
      <c r="I12652" t="s">
        <v>31380</v>
      </c>
      <c r="J12652" t="s">
        <v>33727</v>
      </c>
      <c r="K12652" t="s">
        <v>40665</v>
      </c>
      <c r="M12652" t="s">
        <v>41899</v>
      </c>
      <c r="N12652" t="s">
        <v>44905</v>
      </c>
      <c r="O12652" t="s">
        <v>44906</v>
      </c>
      <c r="Q12652">
        <v>8</v>
      </c>
      <c r="R12652" t="s">
        <v>44921</v>
      </c>
      <c r="S12652" t="s">
        <v>45566</v>
      </c>
      <c r="T12652" t="s">
        <v>46470</v>
      </c>
      <c r="U12652" t="s">
        <v>57019</v>
      </c>
      <c r="W12652" t="s">
        <v>41899</v>
      </c>
      <c r="X12652" t="s">
        <v>44932</v>
      </c>
    </row>
    <row r="12653" spans="1:24">
      <c r="A12653">
        <f>HYPERLINK("https://www.philgeps.gov.ph/GEPSNONPILOT/Tender/SplashBidNoticeAbstractUI.aspx?menuIndex=3&amp;refID=7057866&amp;Result=3","7057866")</f>
        <v>0</v>
      </c>
      <c r="B12653" t="s">
        <v>1589</v>
      </c>
      <c r="C12653" t="s">
        <v>15616</v>
      </c>
      <c r="D12653" t="s">
        <v>18117</v>
      </c>
      <c r="E12653" t="s">
        <v>29139</v>
      </c>
      <c r="F12653" t="s">
        <v>31362</v>
      </c>
      <c r="G12653" t="s">
        <v>31369</v>
      </c>
      <c r="H12653" t="s">
        <v>31378</v>
      </c>
      <c r="I12653" t="s">
        <v>31386</v>
      </c>
      <c r="J12653" t="s">
        <v>39221</v>
      </c>
      <c r="K12653" t="s">
        <v>40837</v>
      </c>
      <c r="M12653" t="s">
        <v>44546</v>
      </c>
      <c r="N12653" t="s">
        <v>44905</v>
      </c>
      <c r="O12653" t="s">
        <v>44906</v>
      </c>
      <c r="P12653">
        <v>0</v>
      </c>
      <c r="Q12653">
        <v>3</v>
      </c>
      <c r="R12653" t="s">
        <v>44920</v>
      </c>
      <c r="S12653" t="s">
        <v>45492</v>
      </c>
      <c r="T12653" t="s">
        <v>46470</v>
      </c>
      <c r="U12653" t="s">
        <v>57012</v>
      </c>
      <c r="V12653" t="s">
        <v>60448</v>
      </c>
      <c r="W12653" t="s">
        <v>44546</v>
      </c>
      <c r="X12653" t="s">
        <v>44921</v>
      </c>
    </row>
    <row r="12654" spans="1:24">
      <c r="A12654">
        <f>HYPERLINK("https://www.philgeps.gov.ph/GEPSNONPILOT/Tender/SplashBidNoticeAbstractUI.aspx?menuIndex=3&amp;refID=7029449&amp;Result=3","7029449")</f>
        <v>0</v>
      </c>
      <c r="B12654" t="s">
        <v>3266</v>
      </c>
      <c r="C12654" t="s">
        <v>15617</v>
      </c>
      <c r="D12654" t="s">
        <v>18177</v>
      </c>
      <c r="E12654" t="s">
        <v>29140</v>
      </c>
      <c r="F12654" t="s">
        <v>31362</v>
      </c>
      <c r="G12654" t="s">
        <v>31369</v>
      </c>
      <c r="H12654" t="s">
        <v>15799</v>
      </c>
      <c r="I12654" t="s">
        <v>3815</v>
      </c>
      <c r="J12654" t="s">
        <v>39222</v>
      </c>
      <c r="K12654" t="s">
        <v>40679</v>
      </c>
      <c r="M12654" t="s">
        <v>44548</v>
      </c>
      <c r="N12654" t="s">
        <v>44905</v>
      </c>
      <c r="O12654" t="s">
        <v>44906</v>
      </c>
      <c r="P12654">
        <v>0</v>
      </c>
      <c r="Q12654">
        <v>0</v>
      </c>
      <c r="R12654" t="s">
        <v>44921</v>
      </c>
      <c r="S12654" t="s">
        <v>45564</v>
      </c>
      <c r="T12654" t="s">
        <v>46435</v>
      </c>
      <c r="U12654" t="s">
        <v>57020</v>
      </c>
      <c r="W12654" t="s">
        <v>44548</v>
      </c>
      <c r="X12654" t="s">
        <v>44936</v>
      </c>
    </row>
    <row r="12655" spans="1:24">
      <c r="A12655">
        <f>HYPERLINK("https://www.philgeps.gov.ph/GEPSNONPILOT/Tender/SplashBidNoticeAbstractUI.aspx?menuIndex=3&amp;refID=7038302&amp;Result=3","7038302")</f>
        <v>0</v>
      </c>
      <c r="B12655" t="s">
        <v>38</v>
      </c>
      <c r="C12655" t="s">
        <v>15618</v>
      </c>
      <c r="E12655" t="s">
        <v>29141</v>
      </c>
      <c r="F12655" t="s">
        <v>31362</v>
      </c>
      <c r="G12655" t="s">
        <v>31369</v>
      </c>
      <c r="H12655" t="s">
        <v>31378</v>
      </c>
      <c r="I12655" t="s">
        <v>31386</v>
      </c>
      <c r="J12655" t="s">
        <v>39223</v>
      </c>
      <c r="K12655" t="s">
        <v>40678</v>
      </c>
      <c r="M12655" t="s">
        <v>40972</v>
      </c>
      <c r="N12655" t="s">
        <v>44905</v>
      </c>
      <c r="O12655" t="s">
        <v>44906</v>
      </c>
      <c r="P12655">
        <v>0</v>
      </c>
      <c r="Q12655">
        <v>2</v>
      </c>
      <c r="R12655" t="s">
        <v>44921</v>
      </c>
      <c r="S12655" t="s">
        <v>45564</v>
      </c>
      <c r="T12655" t="s">
        <v>46425</v>
      </c>
      <c r="U12655" t="s">
        <v>57021</v>
      </c>
      <c r="W12655" t="s">
        <v>40972</v>
      </c>
      <c r="X12655" t="s">
        <v>44930</v>
      </c>
    </row>
    <row r="12656" spans="1:24">
      <c r="A12656">
        <f>HYPERLINK("https://www.philgeps.gov.ph/GEPSNONPILOT/Tender/SplashBidNoticeAbstractUI.aspx?menuIndex=3&amp;refID=7038337&amp;Result=3","7038337")</f>
        <v>0</v>
      </c>
      <c r="B12656" t="s">
        <v>38</v>
      </c>
      <c r="C12656" t="s">
        <v>15619</v>
      </c>
      <c r="E12656" t="s">
        <v>29142</v>
      </c>
      <c r="F12656" t="s">
        <v>31362</v>
      </c>
      <c r="G12656" t="s">
        <v>31369</v>
      </c>
      <c r="H12656" t="s">
        <v>31378</v>
      </c>
      <c r="I12656" t="s">
        <v>31386</v>
      </c>
      <c r="J12656" t="s">
        <v>39223</v>
      </c>
      <c r="K12656" t="s">
        <v>40678</v>
      </c>
      <c r="M12656" t="s">
        <v>40972</v>
      </c>
      <c r="N12656" t="s">
        <v>44905</v>
      </c>
      <c r="O12656" t="s">
        <v>44906</v>
      </c>
      <c r="P12656">
        <v>0</v>
      </c>
      <c r="Q12656">
        <v>2</v>
      </c>
      <c r="R12656" t="s">
        <v>44921</v>
      </c>
      <c r="S12656" t="s">
        <v>45564</v>
      </c>
      <c r="T12656" t="s">
        <v>46425</v>
      </c>
      <c r="U12656" t="s">
        <v>57022</v>
      </c>
      <c r="W12656" t="s">
        <v>40972</v>
      </c>
      <c r="X12656" t="s">
        <v>44930</v>
      </c>
    </row>
    <row r="12657" spans="1:24">
      <c r="A12657">
        <f>HYPERLINK("https://www.philgeps.gov.ph/GEPSNONPILOT/Tender/SplashBidNoticeAbstractUI.aspx?menuIndex=3&amp;refID=7057806&amp;Result=3","7057806")</f>
        <v>0</v>
      </c>
      <c r="B12657" t="s">
        <v>800</v>
      </c>
      <c r="C12657" t="s">
        <v>15620</v>
      </c>
      <c r="D12657" t="s">
        <v>18130</v>
      </c>
      <c r="E12657" t="s">
        <v>29143</v>
      </c>
      <c r="F12657" t="s">
        <v>31362</v>
      </c>
      <c r="G12657" t="s">
        <v>31369</v>
      </c>
      <c r="H12657" t="s">
        <v>31378</v>
      </c>
      <c r="I12657" t="s">
        <v>31386</v>
      </c>
      <c r="J12657" t="s">
        <v>31606</v>
      </c>
      <c r="K12657" t="s">
        <v>40825</v>
      </c>
      <c r="M12657" t="s">
        <v>41770</v>
      </c>
      <c r="N12657" t="s">
        <v>44905</v>
      </c>
      <c r="O12657" t="s">
        <v>44906</v>
      </c>
      <c r="P12657">
        <v>0</v>
      </c>
      <c r="Q12657">
        <v>0</v>
      </c>
      <c r="R12657" t="s">
        <v>44920</v>
      </c>
      <c r="S12657" t="s">
        <v>45492</v>
      </c>
      <c r="T12657" t="s">
        <v>46418</v>
      </c>
      <c r="U12657" t="s">
        <v>57023</v>
      </c>
      <c r="W12657" t="s">
        <v>41770</v>
      </c>
      <c r="X12657" t="s">
        <v>44921</v>
      </c>
    </row>
    <row r="12658" spans="1:24">
      <c r="A12658">
        <f>HYPERLINK("https://www.philgeps.gov.ph/GEPSNONPILOT/Tender/SplashBidNoticeAbstractUI.aspx?menuIndex=3&amp;refID=7058004&amp;Result=3","7058004")</f>
        <v>0</v>
      </c>
      <c r="B12658" t="s">
        <v>886</v>
      </c>
      <c r="C12658" t="s">
        <v>15621</v>
      </c>
      <c r="E12658" t="s">
        <v>29144</v>
      </c>
      <c r="F12658" t="s">
        <v>31362</v>
      </c>
      <c r="G12658" t="s">
        <v>31368</v>
      </c>
      <c r="H12658" t="s">
        <v>15799</v>
      </c>
      <c r="I12658" t="s">
        <v>31395</v>
      </c>
      <c r="J12658" t="s">
        <v>39224</v>
      </c>
      <c r="K12658" t="s">
        <v>40662</v>
      </c>
      <c r="M12658" t="s">
        <v>44549</v>
      </c>
      <c r="N12658" t="s">
        <v>44905</v>
      </c>
      <c r="O12658" t="s">
        <v>44906</v>
      </c>
      <c r="Q12658">
        <v>9</v>
      </c>
      <c r="R12658" t="s">
        <v>44920</v>
      </c>
      <c r="S12658" t="s">
        <v>45567</v>
      </c>
      <c r="T12658" t="s">
        <v>46498</v>
      </c>
      <c r="U12658" t="s">
        <v>57024</v>
      </c>
      <c r="W12658" t="s">
        <v>44549</v>
      </c>
      <c r="X12658" t="s">
        <v>44921</v>
      </c>
    </row>
    <row r="12659" spans="1:24">
      <c r="A12659">
        <f>HYPERLINK("https://www.philgeps.gov.ph/GEPSNONPILOT/Tender/SplashBidNoticeAbstractUI.aspx?menuIndex=3&amp;refID=7057973&amp;Result=3","7057973")</f>
        <v>0</v>
      </c>
      <c r="B12659" t="s">
        <v>3231</v>
      </c>
      <c r="C12659" t="s">
        <v>15622</v>
      </c>
      <c r="D12659" t="s">
        <v>18107</v>
      </c>
      <c r="E12659" t="s">
        <v>29145</v>
      </c>
      <c r="F12659" t="s">
        <v>31362</v>
      </c>
      <c r="G12659" t="s">
        <v>31369</v>
      </c>
      <c r="H12659" t="s">
        <v>15799</v>
      </c>
      <c r="I12659" t="s">
        <v>31409</v>
      </c>
      <c r="J12659" t="s">
        <v>33446</v>
      </c>
      <c r="K12659" t="s">
        <v>40670</v>
      </c>
      <c r="M12659" t="s">
        <v>44507</v>
      </c>
      <c r="N12659" t="s">
        <v>44905</v>
      </c>
      <c r="O12659" t="s">
        <v>44906</v>
      </c>
      <c r="P12659">
        <v>0</v>
      </c>
      <c r="Q12659">
        <v>2</v>
      </c>
      <c r="R12659" t="s">
        <v>44920</v>
      </c>
      <c r="S12659" t="s">
        <v>45492</v>
      </c>
      <c r="T12659" t="s">
        <v>46575</v>
      </c>
      <c r="U12659" t="s">
        <v>57025</v>
      </c>
      <c r="W12659" t="s">
        <v>44507</v>
      </c>
      <c r="X12659" t="s">
        <v>44921</v>
      </c>
    </row>
    <row r="12660" spans="1:24">
      <c r="A12660">
        <f>HYPERLINK("https://www.philgeps.gov.ph/GEPSNONPILOT/Tender/SplashBidNoticeAbstractUI.aspx?menuIndex=3&amp;refID=7058034&amp;Result=3","7058034")</f>
        <v>0</v>
      </c>
      <c r="B12660" t="s">
        <v>3267</v>
      </c>
      <c r="C12660" t="s">
        <v>15623</v>
      </c>
      <c r="E12660" t="s">
        <v>29146</v>
      </c>
      <c r="F12660" t="s">
        <v>31362</v>
      </c>
      <c r="G12660" t="s">
        <v>31369</v>
      </c>
      <c r="H12660" t="s">
        <v>31378</v>
      </c>
      <c r="I12660" t="s">
        <v>31386</v>
      </c>
      <c r="J12660" t="s">
        <v>39225</v>
      </c>
      <c r="K12660" t="s">
        <v>40686</v>
      </c>
      <c r="M12660" t="s">
        <v>44550</v>
      </c>
      <c r="N12660" t="s">
        <v>44905</v>
      </c>
      <c r="O12660" t="s">
        <v>44906</v>
      </c>
      <c r="P12660">
        <v>0</v>
      </c>
      <c r="Q12660">
        <v>2</v>
      </c>
      <c r="R12660" t="s">
        <v>44920</v>
      </c>
      <c r="S12660" t="s">
        <v>45492</v>
      </c>
      <c r="T12660" t="s">
        <v>46499</v>
      </c>
      <c r="U12660" t="s">
        <v>57026</v>
      </c>
      <c r="W12660" t="s">
        <v>44550</v>
      </c>
      <c r="X12660" t="s">
        <v>44921</v>
      </c>
    </row>
    <row r="12661" spans="1:24">
      <c r="A12661">
        <f>HYPERLINK("https://www.philgeps.gov.ph/GEPSNONPILOT/Tender/SplashBidNoticeAbstractUI.aspx?menuIndex=3&amp;refID=7057971&amp;Result=3","7057971")</f>
        <v>0</v>
      </c>
      <c r="B12661" t="s">
        <v>886</v>
      </c>
      <c r="C12661" t="s">
        <v>15624</v>
      </c>
      <c r="E12661" t="s">
        <v>29147</v>
      </c>
      <c r="F12661" t="s">
        <v>31362</v>
      </c>
      <c r="G12661" t="s">
        <v>31368</v>
      </c>
      <c r="H12661" t="s">
        <v>15799</v>
      </c>
      <c r="I12661" t="s">
        <v>7719</v>
      </c>
      <c r="J12661" t="s">
        <v>31731</v>
      </c>
      <c r="K12661" t="s">
        <v>40662</v>
      </c>
      <c r="M12661" t="s">
        <v>44549</v>
      </c>
      <c r="N12661" t="s">
        <v>44905</v>
      </c>
      <c r="O12661" t="s">
        <v>44906</v>
      </c>
      <c r="Q12661">
        <v>17</v>
      </c>
      <c r="R12661" t="s">
        <v>44920</v>
      </c>
      <c r="S12661" t="s">
        <v>45568</v>
      </c>
      <c r="T12661" t="s">
        <v>46498</v>
      </c>
      <c r="U12661" t="s">
        <v>57027</v>
      </c>
      <c r="W12661" t="s">
        <v>44549</v>
      </c>
      <c r="X12661" t="s">
        <v>44921</v>
      </c>
    </row>
    <row r="12662" spans="1:24">
      <c r="A12662">
        <f>HYPERLINK("https://www.philgeps.gov.ph/GEPSNONPILOT/Tender/SplashBidNoticeAbstractUI.aspx?menuIndex=3&amp;refID=7057965&amp;Result=3","7057965")</f>
        <v>0</v>
      </c>
      <c r="B12662" t="s">
        <v>3231</v>
      </c>
      <c r="C12662" t="s">
        <v>15625</v>
      </c>
      <c r="D12662" t="s">
        <v>18107</v>
      </c>
      <c r="E12662" t="s">
        <v>29148</v>
      </c>
      <c r="F12662" t="s">
        <v>31362</v>
      </c>
      <c r="G12662" t="s">
        <v>31369</v>
      </c>
      <c r="H12662" t="s">
        <v>31378</v>
      </c>
      <c r="I12662" t="s">
        <v>31386</v>
      </c>
      <c r="J12662" t="s">
        <v>39226</v>
      </c>
      <c r="K12662" t="s">
        <v>40665</v>
      </c>
      <c r="M12662" t="s">
        <v>44507</v>
      </c>
      <c r="N12662" t="s">
        <v>44905</v>
      </c>
      <c r="O12662" t="s">
        <v>44906</v>
      </c>
      <c r="P12662">
        <v>0</v>
      </c>
      <c r="Q12662">
        <v>0</v>
      </c>
      <c r="R12662" t="s">
        <v>44920</v>
      </c>
      <c r="S12662" t="s">
        <v>45492</v>
      </c>
      <c r="T12662" t="s">
        <v>46425</v>
      </c>
      <c r="U12662" t="s">
        <v>57028</v>
      </c>
      <c r="W12662" t="s">
        <v>44507</v>
      </c>
      <c r="X12662" t="s">
        <v>44921</v>
      </c>
    </row>
    <row r="12663" spans="1:24">
      <c r="A12663">
        <f>HYPERLINK("https://www.philgeps.gov.ph/GEPSNONPILOT/Tender/SplashBidNoticeAbstractUI.aspx?menuIndex=3&amp;refID=7026745-2&amp;Result=3","7026745-2")</f>
        <v>0</v>
      </c>
      <c r="B12663" t="s">
        <v>3268</v>
      </c>
      <c r="C12663" t="s">
        <v>15626</v>
      </c>
      <c r="E12663" t="s">
        <v>29149</v>
      </c>
      <c r="F12663" t="s">
        <v>31362</v>
      </c>
      <c r="G12663" t="s">
        <v>31369</v>
      </c>
      <c r="H12663" t="s">
        <v>31377</v>
      </c>
      <c r="I12663" t="s">
        <v>31496</v>
      </c>
      <c r="J12663" t="s">
        <v>33534</v>
      </c>
      <c r="K12663" t="s">
        <v>40716</v>
      </c>
      <c r="M12663" t="s">
        <v>44551</v>
      </c>
      <c r="N12663" t="s">
        <v>44905</v>
      </c>
      <c r="O12663" t="s">
        <v>44906</v>
      </c>
      <c r="P12663">
        <v>0</v>
      </c>
      <c r="Q12663">
        <v>2</v>
      </c>
      <c r="R12663" t="s">
        <v>44921</v>
      </c>
      <c r="S12663" t="s">
        <v>45564</v>
      </c>
      <c r="T12663" t="s">
        <v>46435</v>
      </c>
      <c r="U12663" t="s">
        <v>57029</v>
      </c>
      <c r="V12663" t="s">
        <v>60449</v>
      </c>
      <c r="W12663" t="s">
        <v>44551</v>
      </c>
      <c r="X12663" t="s">
        <v>44923</v>
      </c>
    </row>
    <row r="12664" spans="1:24">
      <c r="A12664">
        <f>HYPERLINK("https://www.philgeps.gov.ph/GEPSNONPILOT/Tender/SplashBidNoticeAbstractUI.aspx?menuIndex=3&amp;refID=7057969&amp;Result=3","7057969")</f>
        <v>0</v>
      </c>
      <c r="B12664" t="s">
        <v>3231</v>
      </c>
      <c r="C12664" t="s">
        <v>15627</v>
      </c>
      <c r="D12664" t="s">
        <v>18107</v>
      </c>
      <c r="E12664" t="s">
        <v>29150</v>
      </c>
      <c r="F12664" t="s">
        <v>31362</v>
      </c>
      <c r="G12664" t="s">
        <v>31369</v>
      </c>
      <c r="H12664" t="s">
        <v>31378</v>
      </c>
      <c r="I12664" t="s">
        <v>31386</v>
      </c>
      <c r="J12664" t="s">
        <v>39227</v>
      </c>
      <c r="K12664" t="s">
        <v>40665</v>
      </c>
      <c r="M12664" t="s">
        <v>44507</v>
      </c>
      <c r="N12664" t="s">
        <v>44905</v>
      </c>
      <c r="O12664" t="s">
        <v>44906</v>
      </c>
      <c r="P12664">
        <v>0</v>
      </c>
      <c r="Q12664">
        <v>0</v>
      </c>
      <c r="R12664" t="s">
        <v>44920</v>
      </c>
      <c r="S12664" t="s">
        <v>45492</v>
      </c>
      <c r="T12664" t="s">
        <v>46425</v>
      </c>
      <c r="U12664" t="s">
        <v>57030</v>
      </c>
      <c r="W12664" t="s">
        <v>44507</v>
      </c>
      <c r="X12664" t="s">
        <v>44921</v>
      </c>
    </row>
    <row r="12665" spans="1:24">
      <c r="A12665">
        <f>HYPERLINK("https://www.philgeps.gov.ph/GEPSNONPILOT/Tender/SplashBidNoticeAbstractUI.aspx?menuIndex=3&amp;refID=7048892&amp;Result=3","7048892")</f>
        <v>0</v>
      </c>
      <c r="B12665" t="s">
        <v>3269</v>
      </c>
      <c r="C12665" t="s">
        <v>15628</v>
      </c>
      <c r="D12665" t="s">
        <v>18127</v>
      </c>
      <c r="E12665" t="s">
        <v>29151</v>
      </c>
      <c r="F12665" t="s">
        <v>31362</v>
      </c>
      <c r="G12665" t="s">
        <v>31369</v>
      </c>
      <c r="H12665" t="s">
        <v>15799</v>
      </c>
      <c r="I12665" t="s">
        <v>31387</v>
      </c>
      <c r="J12665" t="s">
        <v>39228</v>
      </c>
      <c r="K12665" t="s">
        <v>40666</v>
      </c>
      <c r="M12665" t="s">
        <v>44552</v>
      </c>
      <c r="N12665" t="s">
        <v>44905</v>
      </c>
      <c r="O12665" t="s">
        <v>44906</v>
      </c>
      <c r="P12665">
        <v>0</v>
      </c>
      <c r="Q12665">
        <v>1</v>
      </c>
      <c r="R12665" t="s">
        <v>44921</v>
      </c>
      <c r="S12665" t="s">
        <v>45564</v>
      </c>
      <c r="T12665" t="s">
        <v>46426</v>
      </c>
      <c r="U12665" t="s">
        <v>57031</v>
      </c>
      <c r="W12665" t="s">
        <v>44552</v>
      </c>
      <c r="X12665" t="s">
        <v>44924</v>
      </c>
    </row>
    <row r="12666" spans="1:24">
      <c r="A12666">
        <f>HYPERLINK("https://www.philgeps.gov.ph/GEPSNONPILOT/Tender/SplashBidNoticeAbstractUI.aspx?menuIndex=3&amp;refID=7048839&amp;Result=3","7048839")</f>
        <v>0</v>
      </c>
      <c r="B12666" t="s">
        <v>3270</v>
      </c>
      <c r="C12666" t="s">
        <v>15629</v>
      </c>
      <c r="D12666" t="s">
        <v>18136</v>
      </c>
      <c r="E12666" t="s">
        <v>29152</v>
      </c>
      <c r="F12666" t="s">
        <v>31362</v>
      </c>
      <c r="G12666" t="s">
        <v>31369</v>
      </c>
      <c r="H12666" t="s">
        <v>15799</v>
      </c>
      <c r="I12666" t="s">
        <v>6865</v>
      </c>
      <c r="J12666" t="s">
        <v>36121</v>
      </c>
      <c r="K12666" t="s">
        <v>40666</v>
      </c>
      <c r="M12666" t="s">
        <v>44553</v>
      </c>
      <c r="N12666" t="s">
        <v>44905</v>
      </c>
      <c r="O12666" t="s">
        <v>44906</v>
      </c>
      <c r="P12666">
        <v>0</v>
      </c>
      <c r="Q12666">
        <v>2</v>
      </c>
      <c r="R12666" t="s">
        <v>44921</v>
      </c>
      <c r="S12666" t="s">
        <v>45564</v>
      </c>
      <c r="T12666" t="s">
        <v>46498</v>
      </c>
      <c r="U12666" t="s">
        <v>57032</v>
      </c>
      <c r="W12666" t="s">
        <v>44553</v>
      </c>
      <c r="X12666" t="s">
        <v>44924</v>
      </c>
    </row>
    <row r="12667" spans="1:24">
      <c r="A12667">
        <f>HYPERLINK("https://www.philgeps.gov.ph/GEPSNONPILOT/Tender/SplashBidNoticeAbstractUI.aspx?menuIndex=3&amp;refID=7048820&amp;Result=3","7048820")</f>
        <v>0</v>
      </c>
      <c r="B12667" t="s">
        <v>929</v>
      </c>
      <c r="C12667" t="s">
        <v>15630</v>
      </c>
      <c r="D12667" t="s">
        <v>18143</v>
      </c>
      <c r="E12667" t="s">
        <v>29153</v>
      </c>
      <c r="F12667" t="s">
        <v>31362</v>
      </c>
      <c r="G12667" t="s">
        <v>31369</v>
      </c>
      <c r="H12667" t="s">
        <v>31378</v>
      </c>
      <c r="I12667" t="s">
        <v>31386</v>
      </c>
      <c r="J12667" t="s">
        <v>39229</v>
      </c>
      <c r="K12667" t="s">
        <v>40804</v>
      </c>
      <c r="M12667" t="s">
        <v>42936</v>
      </c>
      <c r="N12667" t="s">
        <v>44905</v>
      </c>
      <c r="O12667" t="s">
        <v>44906</v>
      </c>
      <c r="P12667">
        <v>0</v>
      </c>
      <c r="Q12667">
        <v>0</v>
      </c>
      <c r="R12667" t="s">
        <v>44921</v>
      </c>
      <c r="S12667" t="s">
        <v>45564</v>
      </c>
      <c r="T12667" t="s">
        <v>46491</v>
      </c>
      <c r="U12667" t="s">
        <v>57033</v>
      </c>
      <c r="W12667" t="s">
        <v>42936</v>
      </c>
      <c r="X12667" t="s">
        <v>44924</v>
      </c>
    </row>
    <row r="12668" spans="1:24">
      <c r="A12668">
        <f>HYPERLINK("https://www.philgeps.gov.ph/GEPSNONPILOT/Tender/SplashBidNoticeAbstractUI.aspx?menuIndex=3&amp;refID=7048756&amp;Result=3","7048756")</f>
        <v>0</v>
      </c>
      <c r="B12668" t="s">
        <v>3270</v>
      </c>
      <c r="C12668" t="s">
        <v>15631</v>
      </c>
      <c r="D12668" t="s">
        <v>18136</v>
      </c>
      <c r="E12668" t="s">
        <v>29154</v>
      </c>
      <c r="F12668" t="s">
        <v>31362</v>
      </c>
      <c r="G12668" t="s">
        <v>31369</v>
      </c>
      <c r="H12668" t="s">
        <v>15799</v>
      </c>
      <c r="I12668" t="s">
        <v>31422</v>
      </c>
      <c r="J12668" t="s">
        <v>31591</v>
      </c>
      <c r="K12668" t="s">
        <v>40666</v>
      </c>
      <c r="M12668" t="s">
        <v>44553</v>
      </c>
      <c r="N12668" t="s">
        <v>44905</v>
      </c>
      <c r="O12668" t="s">
        <v>44906</v>
      </c>
      <c r="P12668">
        <v>0</v>
      </c>
      <c r="Q12668">
        <v>1</v>
      </c>
      <c r="R12668" t="s">
        <v>44921</v>
      </c>
      <c r="S12668" t="s">
        <v>45564</v>
      </c>
      <c r="T12668" t="s">
        <v>46498</v>
      </c>
      <c r="U12668" t="s">
        <v>57034</v>
      </c>
      <c r="V12668" t="s">
        <v>60450</v>
      </c>
      <c r="W12668" t="s">
        <v>44553</v>
      </c>
      <c r="X12668" t="s">
        <v>44924</v>
      </c>
    </row>
    <row r="12669" spans="1:24">
      <c r="A12669">
        <f>HYPERLINK("https://www.philgeps.gov.ph/GEPSNONPILOT/Tender/SplashBidNoticeAbstractUI.aspx?menuIndex=3&amp;refID=7058009&amp;Result=3","7058009")</f>
        <v>0</v>
      </c>
      <c r="B12669" t="s">
        <v>762</v>
      </c>
      <c r="C12669" t="s">
        <v>15632</v>
      </c>
      <c r="E12669" t="s">
        <v>29155</v>
      </c>
      <c r="F12669" t="s">
        <v>31362</v>
      </c>
      <c r="G12669" t="s">
        <v>31368</v>
      </c>
      <c r="H12669" t="s">
        <v>15799</v>
      </c>
      <c r="I12669" t="s">
        <v>31388</v>
      </c>
      <c r="J12669" t="s">
        <v>39230</v>
      </c>
      <c r="K12669" t="s">
        <v>40662</v>
      </c>
      <c r="M12669" t="s">
        <v>44554</v>
      </c>
      <c r="N12669" t="s">
        <v>44905</v>
      </c>
      <c r="O12669" t="s">
        <v>44906</v>
      </c>
      <c r="Q12669">
        <v>2</v>
      </c>
      <c r="R12669" t="s">
        <v>44920</v>
      </c>
      <c r="S12669" t="s">
        <v>45569</v>
      </c>
      <c r="T12669" t="s">
        <v>46447</v>
      </c>
      <c r="U12669" t="s">
        <v>57035</v>
      </c>
      <c r="W12669" t="s">
        <v>44554</v>
      </c>
      <c r="X12669" t="s">
        <v>44921</v>
      </c>
    </row>
    <row r="12670" spans="1:24">
      <c r="A12670">
        <f>HYPERLINK("https://www.philgeps.gov.ph/GEPSNONPILOT/Tender/SplashBidNoticeAbstractUI.aspx?menuIndex=3&amp;refID=7048460&amp;Result=3","7048460")</f>
        <v>0</v>
      </c>
      <c r="B12670" t="s">
        <v>38</v>
      </c>
      <c r="C12670" t="s">
        <v>3583</v>
      </c>
      <c r="E12670" t="s">
        <v>29156</v>
      </c>
      <c r="F12670" t="s">
        <v>31362</v>
      </c>
      <c r="G12670" t="s">
        <v>31369</v>
      </c>
      <c r="H12670" t="s">
        <v>15799</v>
      </c>
      <c r="I12670" t="s">
        <v>31458</v>
      </c>
      <c r="J12670" t="s">
        <v>39231</v>
      </c>
      <c r="K12670" t="s">
        <v>40662</v>
      </c>
      <c r="M12670" t="s">
        <v>40972</v>
      </c>
      <c r="N12670" t="s">
        <v>44905</v>
      </c>
      <c r="O12670" t="s">
        <v>44906</v>
      </c>
      <c r="P12670">
        <v>0</v>
      </c>
      <c r="Q12670">
        <v>4</v>
      </c>
      <c r="R12670" t="s">
        <v>44921</v>
      </c>
      <c r="S12670" t="s">
        <v>45564</v>
      </c>
      <c r="T12670" t="s">
        <v>46426</v>
      </c>
      <c r="U12670" t="s">
        <v>46971</v>
      </c>
      <c r="W12670" t="s">
        <v>40972</v>
      </c>
      <c r="X12670" t="s">
        <v>44924</v>
      </c>
    </row>
    <row r="12671" spans="1:24">
      <c r="A12671">
        <f>HYPERLINK("https://www.philgeps.gov.ph/GEPSNONPILOT/Tender/SplashBidNoticeAbstractUI.aspx?menuIndex=3&amp;refID=7048442&amp;Result=3","7048442")</f>
        <v>0</v>
      </c>
      <c r="B12671" t="s">
        <v>38</v>
      </c>
      <c r="C12671" t="s">
        <v>15633</v>
      </c>
      <c r="E12671" t="s">
        <v>29157</v>
      </c>
      <c r="F12671" t="s">
        <v>31362</v>
      </c>
      <c r="G12671" t="s">
        <v>31369</v>
      </c>
      <c r="H12671" t="s">
        <v>15799</v>
      </c>
      <c r="I12671" t="s">
        <v>31380</v>
      </c>
      <c r="J12671" t="s">
        <v>39232</v>
      </c>
      <c r="K12671" t="s">
        <v>40662</v>
      </c>
      <c r="M12671" t="s">
        <v>40972</v>
      </c>
      <c r="N12671" t="s">
        <v>44905</v>
      </c>
      <c r="O12671" t="s">
        <v>44906</v>
      </c>
      <c r="Q12671">
        <v>28</v>
      </c>
      <c r="R12671" t="s">
        <v>44921</v>
      </c>
      <c r="S12671" t="s">
        <v>45570</v>
      </c>
      <c r="T12671" t="s">
        <v>46426</v>
      </c>
      <c r="U12671" t="s">
        <v>57036</v>
      </c>
      <c r="W12671" t="s">
        <v>40972</v>
      </c>
      <c r="X12671" t="s">
        <v>44924</v>
      </c>
    </row>
    <row r="12672" spans="1:24">
      <c r="A12672">
        <f>HYPERLINK("https://www.philgeps.gov.ph/GEPSNONPILOT/Tender/SplashBidNoticeAbstractUI.aspx?menuIndex=3&amp;refID=7048212&amp;Result=3","7048212")</f>
        <v>0</v>
      </c>
      <c r="B12672" t="s">
        <v>1689</v>
      </c>
      <c r="C12672" t="s">
        <v>15634</v>
      </c>
      <c r="D12672" t="s">
        <v>18136</v>
      </c>
      <c r="E12672" t="s">
        <v>29158</v>
      </c>
      <c r="F12672" t="s">
        <v>31362</v>
      </c>
      <c r="G12672" t="s">
        <v>31369</v>
      </c>
      <c r="H12672" t="s">
        <v>31378</v>
      </c>
      <c r="I12672" t="s">
        <v>31386</v>
      </c>
      <c r="J12672" t="s">
        <v>39233</v>
      </c>
      <c r="K12672" t="s">
        <v>40917</v>
      </c>
      <c r="M12672" t="s">
        <v>42756</v>
      </c>
      <c r="N12672" t="s">
        <v>44905</v>
      </c>
      <c r="O12672" t="s">
        <v>44906</v>
      </c>
      <c r="P12672">
        <v>0</v>
      </c>
      <c r="Q12672">
        <v>2</v>
      </c>
      <c r="R12672" t="s">
        <v>44921</v>
      </c>
      <c r="S12672" t="s">
        <v>45564</v>
      </c>
      <c r="T12672" t="s">
        <v>46435</v>
      </c>
      <c r="U12672" t="s">
        <v>57037</v>
      </c>
      <c r="V12672" t="s">
        <v>59553</v>
      </c>
      <c r="W12672" t="s">
        <v>42756</v>
      </c>
      <c r="X12672" t="s">
        <v>44924</v>
      </c>
    </row>
    <row r="12673" spans="1:24">
      <c r="A12673">
        <f>HYPERLINK("https://www.philgeps.gov.ph/GEPSNONPILOT/Tender/SplashBidNoticeAbstractUI.aspx?menuIndex=3&amp;refID=7057907&amp;Result=3","7057907")</f>
        <v>0</v>
      </c>
      <c r="B12673" t="s">
        <v>687</v>
      </c>
      <c r="C12673" t="s">
        <v>15635</v>
      </c>
      <c r="E12673" t="s">
        <v>29159</v>
      </c>
      <c r="F12673" t="s">
        <v>31362</v>
      </c>
      <c r="G12673" t="s">
        <v>31369</v>
      </c>
      <c r="H12673" t="s">
        <v>15799</v>
      </c>
      <c r="I12673" t="s">
        <v>31459</v>
      </c>
      <c r="J12673" t="s">
        <v>39234</v>
      </c>
      <c r="K12673" t="s">
        <v>40662</v>
      </c>
      <c r="M12673" t="s">
        <v>41649</v>
      </c>
      <c r="N12673" t="s">
        <v>44905</v>
      </c>
      <c r="O12673" t="s">
        <v>44906</v>
      </c>
      <c r="P12673">
        <v>0</v>
      </c>
      <c r="Q12673">
        <v>4</v>
      </c>
      <c r="R12673" t="s">
        <v>44920</v>
      </c>
      <c r="S12673" t="s">
        <v>45492</v>
      </c>
      <c r="T12673" t="s">
        <v>46462</v>
      </c>
      <c r="U12673" t="s">
        <v>57038</v>
      </c>
      <c r="W12673" t="s">
        <v>41649</v>
      </c>
      <c r="X12673" t="s">
        <v>44921</v>
      </c>
    </row>
    <row r="12674" spans="1:24">
      <c r="A12674">
        <f>HYPERLINK("https://www.philgeps.gov.ph/GEPSNONPILOT/Tender/SplashBidNoticeAbstractUI.aspx?menuIndex=3&amp;refID=7057962&amp;Result=3","7057962")</f>
        <v>0</v>
      </c>
      <c r="B12674" t="s">
        <v>3231</v>
      </c>
      <c r="C12674" t="s">
        <v>15636</v>
      </c>
      <c r="D12674" t="s">
        <v>18107</v>
      </c>
      <c r="E12674" t="s">
        <v>29160</v>
      </c>
      <c r="F12674" t="s">
        <v>31362</v>
      </c>
      <c r="G12674" t="s">
        <v>31369</v>
      </c>
      <c r="H12674" t="s">
        <v>31378</v>
      </c>
      <c r="I12674" t="s">
        <v>31386</v>
      </c>
      <c r="J12674" t="s">
        <v>39235</v>
      </c>
      <c r="K12674" t="s">
        <v>40686</v>
      </c>
      <c r="M12674" t="s">
        <v>44507</v>
      </c>
      <c r="N12674" t="s">
        <v>44905</v>
      </c>
      <c r="O12674" t="s">
        <v>44906</v>
      </c>
      <c r="P12674">
        <v>0</v>
      </c>
      <c r="Q12674">
        <v>0</v>
      </c>
      <c r="R12674" t="s">
        <v>44920</v>
      </c>
      <c r="S12674" t="s">
        <v>45492</v>
      </c>
      <c r="T12674" t="s">
        <v>46425</v>
      </c>
      <c r="U12674" t="s">
        <v>57039</v>
      </c>
      <c r="W12674" t="s">
        <v>44507</v>
      </c>
      <c r="X12674" t="s">
        <v>44921</v>
      </c>
    </row>
    <row r="12675" spans="1:24">
      <c r="A12675">
        <f>HYPERLINK("https://www.philgeps.gov.ph/GEPSNONPILOT/Tender/SplashBidNoticeAbstractUI.aspx?menuIndex=3&amp;refID=7047926&amp;Result=3","7047926")</f>
        <v>0</v>
      </c>
      <c r="B12675" t="s">
        <v>38</v>
      </c>
      <c r="C12675" t="s">
        <v>3578</v>
      </c>
      <c r="E12675" t="s">
        <v>29161</v>
      </c>
      <c r="F12675" t="s">
        <v>31362</v>
      </c>
      <c r="G12675" t="s">
        <v>31369</v>
      </c>
      <c r="H12675" t="s">
        <v>15799</v>
      </c>
      <c r="I12675" t="s">
        <v>31380</v>
      </c>
      <c r="J12675" t="s">
        <v>34369</v>
      </c>
      <c r="K12675" t="s">
        <v>40662</v>
      </c>
      <c r="M12675" t="s">
        <v>40972</v>
      </c>
      <c r="N12675" t="s">
        <v>44905</v>
      </c>
      <c r="O12675" t="s">
        <v>44906</v>
      </c>
      <c r="P12675">
        <v>0</v>
      </c>
      <c r="Q12675">
        <v>16</v>
      </c>
      <c r="R12675" t="s">
        <v>44921</v>
      </c>
      <c r="S12675" t="s">
        <v>45564</v>
      </c>
      <c r="T12675" t="s">
        <v>46426</v>
      </c>
      <c r="U12675" t="s">
        <v>46966</v>
      </c>
      <c r="W12675" t="s">
        <v>40972</v>
      </c>
      <c r="X12675" t="s">
        <v>44924</v>
      </c>
    </row>
    <row r="12676" spans="1:24">
      <c r="A12676">
        <f>HYPERLINK("https://www.philgeps.gov.ph/GEPSNONPILOT/Tender/SplashBidNoticeAbstractUI.aspx?menuIndex=3&amp;refID=7047790&amp;Result=3","7047790")</f>
        <v>0</v>
      </c>
      <c r="B12676" t="s">
        <v>38</v>
      </c>
      <c r="C12676" t="s">
        <v>15637</v>
      </c>
      <c r="E12676" t="s">
        <v>29162</v>
      </c>
      <c r="F12676" t="s">
        <v>31362</v>
      </c>
      <c r="G12676" t="s">
        <v>31369</v>
      </c>
      <c r="H12676" t="s">
        <v>15799</v>
      </c>
      <c r="I12676" t="s">
        <v>31380</v>
      </c>
      <c r="J12676" t="s">
        <v>39236</v>
      </c>
      <c r="K12676" t="s">
        <v>40662</v>
      </c>
      <c r="M12676" t="s">
        <v>40972</v>
      </c>
      <c r="N12676" t="s">
        <v>44905</v>
      </c>
      <c r="O12676" t="s">
        <v>44906</v>
      </c>
      <c r="P12676">
        <v>0</v>
      </c>
      <c r="Q12676">
        <v>12</v>
      </c>
      <c r="R12676" t="s">
        <v>44921</v>
      </c>
      <c r="S12676" t="s">
        <v>45564</v>
      </c>
      <c r="T12676" t="s">
        <v>46426</v>
      </c>
      <c r="U12676" t="s">
        <v>57040</v>
      </c>
      <c r="W12676" t="s">
        <v>40972</v>
      </c>
      <c r="X12676" t="s">
        <v>44924</v>
      </c>
    </row>
    <row r="12677" spans="1:24">
      <c r="A12677">
        <f>HYPERLINK("https://www.philgeps.gov.ph/GEPSNONPILOT/Tender/SplashBidNoticeAbstractUI.aspx?menuIndex=3&amp;refID=7048933&amp;Result=3","7048933")</f>
        <v>0</v>
      </c>
      <c r="B12677" t="s">
        <v>3270</v>
      </c>
      <c r="C12677" t="s">
        <v>15638</v>
      </c>
      <c r="D12677" t="s">
        <v>18136</v>
      </c>
      <c r="E12677" t="s">
        <v>29163</v>
      </c>
      <c r="F12677" t="s">
        <v>31362</v>
      </c>
      <c r="G12677" t="s">
        <v>31369</v>
      </c>
      <c r="H12677" t="s">
        <v>15799</v>
      </c>
      <c r="I12677" t="s">
        <v>31426</v>
      </c>
      <c r="J12677" t="s">
        <v>33689</v>
      </c>
      <c r="K12677" t="s">
        <v>40666</v>
      </c>
      <c r="M12677" t="s">
        <v>44553</v>
      </c>
      <c r="N12677" t="s">
        <v>44905</v>
      </c>
      <c r="O12677" t="s">
        <v>44906</v>
      </c>
      <c r="P12677">
        <v>0</v>
      </c>
      <c r="Q12677">
        <v>1</v>
      </c>
      <c r="R12677" t="s">
        <v>44921</v>
      </c>
      <c r="S12677" t="s">
        <v>45564</v>
      </c>
      <c r="T12677" t="s">
        <v>46498</v>
      </c>
      <c r="U12677" t="s">
        <v>57041</v>
      </c>
      <c r="V12677" t="s">
        <v>60450</v>
      </c>
      <c r="W12677" t="s">
        <v>44553</v>
      </c>
      <c r="X12677" t="s">
        <v>44924</v>
      </c>
    </row>
    <row r="12678" spans="1:24">
      <c r="A12678">
        <f>HYPERLINK("https://www.philgeps.gov.ph/GEPSNONPILOT/Tender/SplashBidNoticeAbstractUI.aspx?menuIndex=3&amp;refID=7057985&amp;Result=3","7057985")</f>
        <v>0</v>
      </c>
      <c r="B12678" t="s">
        <v>499</v>
      </c>
      <c r="C12678" t="s">
        <v>15639</v>
      </c>
      <c r="D12678" t="s">
        <v>18127</v>
      </c>
      <c r="E12678" t="s">
        <v>29164</v>
      </c>
      <c r="F12678" t="s">
        <v>31362</v>
      </c>
      <c r="G12678" t="s">
        <v>31369</v>
      </c>
      <c r="H12678" t="s">
        <v>15799</v>
      </c>
      <c r="I12678" t="s">
        <v>31409</v>
      </c>
      <c r="J12678" t="s">
        <v>39237</v>
      </c>
      <c r="K12678" t="s">
        <v>40665</v>
      </c>
      <c r="M12678" t="s">
        <v>44555</v>
      </c>
      <c r="N12678" t="s">
        <v>44905</v>
      </c>
      <c r="O12678" t="s">
        <v>44906</v>
      </c>
      <c r="P12678">
        <v>0</v>
      </c>
      <c r="Q12678">
        <v>2</v>
      </c>
      <c r="R12678" t="s">
        <v>44920</v>
      </c>
      <c r="S12678" t="s">
        <v>45492</v>
      </c>
      <c r="T12678" t="s">
        <v>46499</v>
      </c>
      <c r="U12678" t="s">
        <v>57042</v>
      </c>
      <c r="V12678" t="s">
        <v>59187</v>
      </c>
      <c r="W12678" t="s">
        <v>60964</v>
      </c>
      <c r="X12678" t="s">
        <v>44921</v>
      </c>
    </row>
    <row r="12679" spans="1:24">
      <c r="A12679">
        <f>HYPERLINK("https://www.philgeps.gov.ph/GEPSNONPILOT/Tender/SplashBidNoticeAbstractUI.aspx?menuIndex=3&amp;refID=7051194&amp;Result=3","7051194")</f>
        <v>0</v>
      </c>
      <c r="B12679" t="s">
        <v>929</v>
      </c>
      <c r="C12679" t="s">
        <v>15640</v>
      </c>
      <c r="D12679" t="s">
        <v>18143</v>
      </c>
      <c r="E12679" t="s">
        <v>29165</v>
      </c>
      <c r="F12679" t="s">
        <v>31362</v>
      </c>
      <c r="G12679" t="s">
        <v>31369</v>
      </c>
      <c r="H12679" t="s">
        <v>31378</v>
      </c>
      <c r="I12679" t="s">
        <v>31386</v>
      </c>
      <c r="J12679" t="s">
        <v>39238</v>
      </c>
      <c r="K12679" t="s">
        <v>40918</v>
      </c>
      <c r="M12679" t="s">
        <v>42936</v>
      </c>
      <c r="N12679" t="s">
        <v>44905</v>
      </c>
      <c r="O12679" t="s">
        <v>44906</v>
      </c>
      <c r="P12679">
        <v>0</v>
      </c>
      <c r="Q12679">
        <v>1</v>
      </c>
      <c r="R12679" t="s">
        <v>44921</v>
      </c>
      <c r="S12679" t="s">
        <v>45564</v>
      </c>
      <c r="T12679" t="s">
        <v>46491</v>
      </c>
      <c r="U12679" t="s">
        <v>57043</v>
      </c>
      <c r="W12679" t="s">
        <v>42936</v>
      </c>
      <c r="X12679" t="s">
        <v>44923</v>
      </c>
    </row>
    <row r="12680" spans="1:24">
      <c r="A12680">
        <f>HYPERLINK("https://www.philgeps.gov.ph/GEPSNONPILOT/Tender/SplashBidNoticeAbstractUI.aspx?menuIndex=3&amp;refID=6973550&amp;Result=3","6973550")</f>
        <v>0</v>
      </c>
      <c r="B12680" t="s">
        <v>1920</v>
      </c>
      <c r="C12680" t="s">
        <v>15641</v>
      </c>
      <c r="D12680" t="s">
        <v>18117</v>
      </c>
      <c r="E12680" t="s">
        <v>29166</v>
      </c>
      <c r="F12680" t="s">
        <v>31362</v>
      </c>
      <c r="G12680" t="s">
        <v>31369</v>
      </c>
      <c r="H12680" t="s">
        <v>15799</v>
      </c>
      <c r="I12680" t="s">
        <v>31384</v>
      </c>
      <c r="J12680" t="s">
        <v>39239</v>
      </c>
      <c r="K12680" t="s">
        <v>40661</v>
      </c>
      <c r="M12680" t="s">
        <v>43017</v>
      </c>
      <c r="N12680" t="s">
        <v>44905</v>
      </c>
      <c r="O12680" t="s">
        <v>44906</v>
      </c>
      <c r="Q12680">
        <v>6</v>
      </c>
      <c r="R12680" t="s">
        <v>44921</v>
      </c>
      <c r="S12680" t="s">
        <v>45571</v>
      </c>
      <c r="T12680" t="s">
        <v>46462</v>
      </c>
      <c r="U12680" t="s">
        <v>57044</v>
      </c>
      <c r="W12680" t="s">
        <v>43017</v>
      </c>
      <c r="X12680" t="s">
        <v>60989</v>
      </c>
    </row>
    <row r="12681" spans="1:24">
      <c r="A12681">
        <f>HYPERLINK("https://www.philgeps.gov.ph/GEPSNONPILOT/Tender/SplashBidNoticeAbstractUI.aspx?menuIndex=3&amp;refID=7050312&amp;Result=3","7050312")</f>
        <v>0</v>
      </c>
      <c r="B12681" t="s">
        <v>387</v>
      </c>
      <c r="C12681" t="s">
        <v>15642</v>
      </c>
      <c r="D12681" t="s">
        <v>18152</v>
      </c>
      <c r="E12681" t="s">
        <v>29167</v>
      </c>
      <c r="F12681" t="s">
        <v>31362</v>
      </c>
      <c r="G12681" t="s">
        <v>31369</v>
      </c>
      <c r="H12681" t="s">
        <v>15799</v>
      </c>
      <c r="I12681" t="s">
        <v>4283</v>
      </c>
      <c r="J12681" t="s">
        <v>39240</v>
      </c>
      <c r="K12681" t="s">
        <v>40665</v>
      </c>
      <c r="M12681" t="s">
        <v>41335</v>
      </c>
      <c r="N12681" t="s">
        <v>44905</v>
      </c>
      <c r="O12681" t="s">
        <v>44906</v>
      </c>
      <c r="P12681">
        <v>0</v>
      </c>
      <c r="Q12681">
        <v>6</v>
      </c>
      <c r="R12681" t="s">
        <v>44921</v>
      </c>
      <c r="S12681" t="s">
        <v>45564</v>
      </c>
      <c r="T12681" t="s">
        <v>46462</v>
      </c>
      <c r="U12681" t="s">
        <v>47597</v>
      </c>
      <c r="V12681" t="s">
        <v>59153</v>
      </c>
      <c r="W12681" t="s">
        <v>41335</v>
      </c>
      <c r="X12681" t="s">
        <v>44923</v>
      </c>
    </row>
    <row r="12682" spans="1:24">
      <c r="A12682">
        <f>HYPERLINK("https://www.philgeps.gov.ph/GEPSNONPILOT/Tender/SplashBidNoticeAbstractUI.aspx?menuIndex=3&amp;refID=7048760&amp;Result=3","7048760")</f>
        <v>0</v>
      </c>
      <c r="B12682" t="s">
        <v>929</v>
      </c>
      <c r="C12682" t="s">
        <v>15643</v>
      </c>
      <c r="D12682" t="s">
        <v>18143</v>
      </c>
      <c r="E12682" t="s">
        <v>29168</v>
      </c>
      <c r="F12682" t="s">
        <v>31362</v>
      </c>
      <c r="G12682" t="s">
        <v>31369</v>
      </c>
      <c r="H12682" t="s">
        <v>31378</v>
      </c>
      <c r="I12682" t="s">
        <v>31386</v>
      </c>
      <c r="J12682" t="s">
        <v>39241</v>
      </c>
      <c r="K12682" t="s">
        <v>40880</v>
      </c>
      <c r="M12682" t="s">
        <v>42936</v>
      </c>
      <c r="N12682" t="s">
        <v>44905</v>
      </c>
      <c r="O12682" t="s">
        <v>44906</v>
      </c>
      <c r="P12682">
        <v>0</v>
      </c>
      <c r="Q12682">
        <v>0</v>
      </c>
      <c r="R12682" t="s">
        <v>44921</v>
      </c>
      <c r="S12682" t="s">
        <v>45564</v>
      </c>
      <c r="T12682" t="s">
        <v>46491</v>
      </c>
      <c r="U12682" t="s">
        <v>57045</v>
      </c>
      <c r="W12682" t="s">
        <v>42936</v>
      </c>
      <c r="X12682" t="s">
        <v>44924</v>
      </c>
    </row>
    <row r="12683" spans="1:24">
      <c r="A12683">
        <f>HYPERLINK("https://www.philgeps.gov.ph/GEPSNONPILOT/Tender/SplashBidNoticeAbstractUI.aspx?menuIndex=3&amp;refID=7049670&amp;Result=3","7049670")</f>
        <v>0</v>
      </c>
      <c r="B12683" t="s">
        <v>628</v>
      </c>
      <c r="C12683" t="s">
        <v>15644</v>
      </c>
      <c r="D12683" t="s">
        <v>18116</v>
      </c>
      <c r="E12683" t="s">
        <v>29169</v>
      </c>
      <c r="F12683" t="s">
        <v>31362</v>
      </c>
      <c r="G12683" t="s">
        <v>31369</v>
      </c>
      <c r="H12683" t="s">
        <v>15799</v>
      </c>
      <c r="I12683" t="s">
        <v>4283</v>
      </c>
      <c r="J12683" t="s">
        <v>39242</v>
      </c>
      <c r="K12683" t="s">
        <v>40662</v>
      </c>
      <c r="M12683" t="s">
        <v>41588</v>
      </c>
      <c r="N12683" t="s">
        <v>44905</v>
      </c>
      <c r="O12683" t="s">
        <v>44906</v>
      </c>
      <c r="P12683">
        <v>0</v>
      </c>
      <c r="Q12683">
        <v>4</v>
      </c>
      <c r="R12683" t="s">
        <v>44921</v>
      </c>
      <c r="S12683" t="s">
        <v>45564</v>
      </c>
      <c r="T12683" t="s">
        <v>46435</v>
      </c>
      <c r="U12683" t="s">
        <v>57046</v>
      </c>
      <c r="W12683" t="s">
        <v>41588</v>
      </c>
      <c r="X12683" t="s">
        <v>44924</v>
      </c>
    </row>
    <row r="12684" spans="1:24">
      <c r="A12684">
        <f>HYPERLINK("https://www.philgeps.gov.ph/GEPSNONPILOT/Tender/SplashBidNoticeAbstractUI.aspx?menuIndex=3&amp;refID=7051332&amp;Result=3","7051332")</f>
        <v>0</v>
      </c>
      <c r="B12684" t="s">
        <v>1284</v>
      </c>
      <c r="C12684" t="s">
        <v>15645</v>
      </c>
      <c r="D12684" t="s">
        <v>18110</v>
      </c>
      <c r="E12684" t="s">
        <v>29170</v>
      </c>
      <c r="F12684" t="s">
        <v>31362</v>
      </c>
      <c r="G12684" t="s">
        <v>31369</v>
      </c>
      <c r="H12684" t="s">
        <v>31378</v>
      </c>
      <c r="I12684" t="s">
        <v>31386</v>
      </c>
      <c r="J12684" t="s">
        <v>31606</v>
      </c>
      <c r="K12684" t="s">
        <v>40676</v>
      </c>
      <c r="M12684" t="s">
        <v>42301</v>
      </c>
      <c r="N12684" t="s">
        <v>44905</v>
      </c>
      <c r="O12684" t="s">
        <v>44906</v>
      </c>
      <c r="P12684">
        <v>0</v>
      </c>
      <c r="Q12684">
        <v>1</v>
      </c>
      <c r="R12684" t="s">
        <v>44921</v>
      </c>
      <c r="S12684" t="s">
        <v>45564</v>
      </c>
      <c r="T12684" t="s">
        <v>46506</v>
      </c>
      <c r="U12684" t="s">
        <v>57047</v>
      </c>
      <c r="W12684" t="s">
        <v>42301</v>
      </c>
      <c r="X12684" t="s">
        <v>44923</v>
      </c>
    </row>
    <row r="12685" spans="1:24">
      <c r="A12685">
        <f>HYPERLINK("https://www.philgeps.gov.ph/GEPSNONPILOT/Tender/SplashBidNoticeAbstractUI.aspx?menuIndex=3&amp;refID=7049457&amp;Result=3","7049457")</f>
        <v>0</v>
      </c>
      <c r="B12685" t="s">
        <v>3270</v>
      </c>
      <c r="C12685" t="s">
        <v>15646</v>
      </c>
      <c r="D12685" t="s">
        <v>18136</v>
      </c>
      <c r="E12685" t="s">
        <v>29171</v>
      </c>
      <c r="F12685" t="s">
        <v>31362</v>
      </c>
      <c r="G12685" t="s">
        <v>31369</v>
      </c>
      <c r="H12685" t="s">
        <v>15799</v>
      </c>
      <c r="I12685" t="s">
        <v>31440</v>
      </c>
      <c r="J12685" t="s">
        <v>31711</v>
      </c>
      <c r="K12685" t="s">
        <v>40666</v>
      </c>
      <c r="M12685" t="s">
        <v>44553</v>
      </c>
      <c r="N12685" t="s">
        <v>44905</v>
      </c>
      <c r="O12685" t="s">
        <v>44906</v>
      </c>
      <c r="P12685">
        <v>0</v>
      </c>
      <c r="Q12685">
        <v>1</v>
      </c>
      <c r="R12685" t="s">
        <v>44921</v>
      </c>
      <c r="S12685" t="s">
        <v>45564</v>
      </c>
      <c r="T12685" t="s">
        <v>46498</v>
      </c>
      <c r="U12685" t="s">
        <v>57048</v>
      </c>
      <c r="V12685" t="s">
        <v>60450</v>
      </c>
      <c r="W12685" t="s">
        <v>44553</v>
      </c>
      <c r="X12685" t="s">
        <v>44924</v>
      </c>
    </row>
    <row r="12686" spans="1:24">
      <c r="A12686">
        <f>HYPERLINK("https://www.philgeps.gov.ph/GEPSNONPILOT/Tender/SplashBidNoticeAbstractUI.aspx?menuIndex=3&amp;refID=7049294&amp;Result=3","7049294")</f>
        <v>0</v>
      </c>
      <c r="B12686" t="s">
        <v>3271</v>
      </c>
      <c r="C12686" t="s">
        <v>15647</v>
      </c>
      <c r="D12686" t="s">
        <v>18127</v>
      </c>
      <c r="E12686" t="s">
        <v>29172</v>
      </c>
      <c r="F12686" t="s">
        <v>31362</v>
      </c>
      <c r="G12686" t="s">
        <v>31369</v>
      </c>
      <c r="H12686" t="s">
        <v>15799</v>
      </c>
      <c r="I12686" t="s">
        <v>31387</v>
      </c>
      <c r="J12686" t="s">
        <v>39243</v>
      </c>
      <c r="K12686" t="s">
        <v>40666</v>
      </c>
      <c r="M12686" t="s">
        <v>44556</v>
      </c>
      <c r="N12686" t="s">
        <v>44905</v>
      </c>
      <c r="O12686" t="s">
        <v>44906</v>
      </c>
      <c r="P12686">
        <v>0</v>
      </c>
      <c r="Q12686">
        <v>1</v>
      </c>
      <c r="R12686" t="s">
        <v>44921</v>
      </c>
      <c r="S12686" t="s">
        <v>45564</v>
      </c>
      <c r="T12686" t="s">
        <v>46426</v>
      </c>
      <c r="U12686" t="s">
        <v>57049</v>
      </c>
      <c r="W12686" t="s">
        <v>44556</v>
      </c>
      <c r="X12686" t="s">
        <v>44924</v>
      </c>
    </row>
    <row r="12687" spans="1:24">
      <c r="A12687">
        <f>HYPERLINK("https://www.philgeps.gov.ph/GEPSNONPILOT/Tender/SplashBidNoticeAbstractUI.aspx?menuIndex=3&amp;refID=7034087&amp;Result=3","7034087")</f>
        <v>0</v>
      </c>
      <c r="B12687" t="s">
        <v>915</v>
      </c>
      <c r="C12687" t="s">
        <v>14804</v>
      </c>
      <c r="D12687" t="s">
        <v>18151</v>
      </c>
      <c r="E12687" t="s">
        <v>18479</v>
      </c>
      <c r="F12687" t="s">
        <v>31362</v>
      </c>
      <c r="G12687" t="s">
        <v>31369</v>
      </c>
      <c r="H12687" t="s">
        <v>15799</v>
      </c>
      <c r="I12687" t="s">
        <v>31380</v>
      </c>
      <c r="J12687" t="s">
        <v>39244</v>
      </c>
      <c r="K12687" t="s">
        <v>40665</v>
      </c>
      <c r="M12687" t="s">
        <v>41899</v>
      </c>
      <c r="N12687" t="s">
        <v>44905</v>
      </c>
      <c r="O12687" t="s">
        <v>44906</v>
      </c>
      <c r="Q12687">
        <v>9</v>
      </c>
      <c r="R12687" t="s">
        <v>44921</v>
      </c>
      <c r="S12687" t="s">
        <v>45572</v>
      </c>
      <c r="T12687" t="s">
        <v>46860</v>
      </c>
      <c r="U12687" t="s">
        <v>57050</v>
      </c>
      <c r="W12687" t="s">
        <v>41899</v>
      </c>
      <c r="X12687" t="s">
        <v>44932</v>
      </c>
    </row>
    <row r="12688" spans="1:24">
      <c r="A12688">
        <f>HYPERLINK("https://www.philgeps.gov.ph/GEPSNONPILOT/Tender/SplashBidNoticeAbstractUI.aspx?menuIndex=3&amp;refID=7051278&amp;Result=3","7051278")</f>
        <v>0</v>
      </c>
      <c r="B12688" t="s">
        <v>1284</v>
      </c>
      <c r="C12688" t="s">
        <v>15648</v>
      </c>
      <c r="D12688" t="s">
        <v>18110</v>
      </c>
      <c r="E12688" t="s">
        <v>29173</v>
      </c>
      <c r="F12688" t="s">
        <v>31362</v>
      </c>
      <c r="G12688" t="s">
        <v>31369</v>
      </c>
      <c r="H12688" t="s">
        <v>31378</v>
      </c>
      <c r="I12688" t="s">
        <v>31386</v>
      </c>
      <c r="J12688" t="s">
        <v>31542</v>
      </c>
      <c r="K12688" t="s">
        <v>40788</v>
      </c>
      <c r="M12688" t="s">
        <v>42301</v>
      </c>
      <c r="N12688" t="s">
        <v>44905</v>
      </c>
      <c r="O12688" t="s">
        <v>44906</v>
      </c>
      <c r="P12688">
        <v>0</v>
      </c>
      <c r="Q12688">
        <v>0</v>
      </c>
      <c r="R12688" t="s">
        <v>44921</v>
      </c>
      <c r="S12688" t="s">
        <v>45564</v>
      </c>
      <c r="T12688" t="s">
        <v>46470</v>
      </c>
      <c r="U12688" t="s">
        <v>57051</v>
      </c>
      <c r="W12688" t="s">
        <v>42301</v>
      </c>
      <c r="X12688" t="s">
        <v>44923</v>
      </c>
    </row>
    <row r="12689" spans="1:24">
      <c r="A12689">
        <f>HYPERLINK("https://www.philgeps.gov.ph/GEPSNONPILOT/Tender/SplashBidNoticeAbstractUI.aspx?menuIndex=3&amp;refID=7049244&amp;Result=3","7049244")</f>
        <v>0</v>
      </c>
      <c r="B12689" t="s">
        <v>3269</v>
      </c>
      <c r="C12689" t="s">
        <v>15649</v>
      </c>
      <c r="D12689" t="s">
        <v>18127</v>
      </c>
      <c r="E12689" t="s">
        <v>29174</v>
      </c>
      <c r="F12689" t="s">
        <v>31362</v>
      </c>
      <c r="G12689" t="s">
        <v>31369</v>
      </c>
      <c r="H12689" t="s">
        <v>15799</v>
      </c>
      <c r="I12689" t="s">
        <v>31387</v>
      </c>
      <c r="J12689" t="s">
        <v>39245</v>
      </c>
      <c r="K12689" t="s">
        <v>40666</v>
      </c>
      <c r="M12689" t="s">
        <v>44552</v>
      </c>
      <c r="N12689" t="s">
        <v>44905</v>
      </c>
      <c r="O12689" t="s">
        <v>44906</v>
      </c>
      <c r="P12689">
        <v>0</v>
      </c>
      <c r="Q12689">
        <v>1</v>
      </c>
      <c r="R12689" t="s">
        <v>44921</v>
      </c>
      <c r="S12689" t="s">
        <v>45564</v>
      </c>
      <c r="T12689" t="s">
        <v>46426</v>
      </c>
      <c r="U12689" t="s">
        <v>57052</v>
      </c>
      <c r="W12689" t="s">
        <v>44552</v>
      </c>
      <c r="X12689" t="s">
        <v>44924</v>
      </c>
    </row>
    <row r="12690" spans="1:24">
      <c r="A12690">
        <f>HYPERLINK("https://www.philgeps.gov.ph/GEPSNONPILOT/Tender/SplashBidNoticeAbstractUI.aspx?menuIndex=3&amp;refID=7049482&amp;Result=3","7049482")</f>
        <v>0</v>
      </c>
      <c r="B12690" t="s">
        <v>3270</v>
      </c>
      <c r="C12690" t="s">
        <v>15631</v>
      </c>
      <c r="D12690" t="s">
        <v>18136</v>
      </c>
      <c r="E12690" t="s">
        <v>29175</v>
      </c>
      <c r="F12690" t="s">
        <v>31362</v>
      </c>
      <c r="G12690" t="s">
        <v>31369</v>
      </c>
      <c r="H12690" t="s">
        <v>15799</v>
      </c>
      <c r="I12690" t="s">
        <v>31422</v>
      </c>
      <c r="J12690" t="s">
        <v>39246</v>
      </c>
      <c r="K12690" t="s">
        <v>40666</v>
      </c>
      <c r="M12690" t="s">
        <v>44553</v>
      </c>
      <c r="N12690" t="s">
        <v>44905</v>
      </c>
      <c r="O12690" t="s">
        <v>44906</v>
      </c>
      <c r="P12690">
        <v>0</v>
      </c>
      <c r="Q12690">
        <v>1</v>
      </c>
      <c r="R12690" t="s">
        <v>44921</v>
      </c>
      <c r="S12690" t="s">
        <v>45564</v>
      </c>
      <c r="T12690" t="s">
        <v>46498</v>
      </c>
      <c r="U12690" t="s">
        <v>57053</v>
      </c>
      <c r="V12690" t="s">
        <v>60450</v>
      </c>
      <c r="W12690" t="s">
        <v>44553</v>
      </c>
      <c r="X12690" t="s">
        <v>44924</v>
      </c>
    </row>
    <row r="12691" spans="1:24">
      <c r="A12691">
        <f>HYPERLINK("https://www.philgeps.gov.ph/GEPSNONPILOT/Tender/SplashBidNoticeAbstractUI.aspx?menuIndex=3&amp;refID=7049222&amp;Result=3","7049222")</f>
        <v>0</v>
      </c>
      <c r="B12691" t="s">
        <v>3270</v>
      </c>
      <c r="C12691" t="s">
        <v>15650</v>
      </c>
      <c r="D12691" t="s">
        <v>18136</v>
      </c>
      <c r="E12691" t="s">
        <v>29176</v>
      </c>
      <c r="F12691" t="s">
        <v>31362</v>
      </c>
      <c r="G12691" t="s">
        <v>31369</v>
      </c>
      <c r="H12691" t="s">
        <v>15799</v>
      </c>
      <c r="I12691" t="s">
        <v>31430</v>
      </c>
      <c r="J12691" t="s">
        <v>31591</v>
      </c>
      <c r="K12691" t="s">
        <v>40666</v>
      </c>
      <c r="M12691" t="s">
        <v>44553</v>
      </c>
      <c r="N12691" t="s">
        <v>44905</v>
      </c>
      <c r="O12691" t="s">
        <v>44906</v>
      </c>
      <c r="P12691">
        <v>0</v>
      </c>
      <c r="Q12691">
        <v>1</v>
      </c>
      <c r="R12691" t="s">
        <v>44921</v>
      </c>
      <c r="S12691" t="s">
        <v>45564</v>
      </c>
      <c r="T12691" t="s">
        <v>46498</v>
      </c>
      <c r="U12691" t="s">
        <v>57054</v>
      </c>
      <c r="V12691" t="s">
        <v>60450</v>
      </c>
      <c r="W12691" t="s">
        <v>44553</v>
      </c>
      <c r="X12691" t="s">
        <v>44924</v>
      </c>
    </row>
    <row r="12692" spans="1:24">
      <c r="A12692">
        <f>HYPERLINK("https://www.philgeps.gov.ph/GEPSNONPILOT/Tender/SplashBidNoticeAbstractUI.aspx?menuIndex=3&amp;refID=7049355&amp;Result=3","7049355")</f>
        <v>0</v>
      </c>
      <c r="B12692" t="s">
        <v>3270</v>
      </c>
      <c r="C12692" t="s">
        <v>15651</v>
      </c>
      <c r="D12692" t="s">
        <v>18136</v>
      </c>
      <c r="E12692" t="s">
        <v>29177</v>
      </c>
      <c r="F12692" t="s">
        <v>31362</v>
      </c>
      <c r="G12692" t="s">
        <v>31369</v>
      </c>
      <c r="H12692" t="s">
        <v>15799</v>
      </c>
      <c r="I12692" t="s">
        <v>31404</v>
      </c>
      <c r="J12692" t="s">
        <v>39247</v>
      </c>
      <c r="K12692" t="s">
        <v>40666</v>
      </c>
      <c r="M12692" t="s">
        <v>44553</v>
      </c>
      <c r="N12692" t="s">
        <v>44905</v>
      </c>
      <c r="O12692" t="s">
        <v>44906</v>
      </c>
      <c r="P12692">
        <v>0</v>
      </c>
      <c r="Q12692">
        <v>0</v>
      </c>
      <c r="R12692" t="s">
        <v>44921</v>
      </c>
      <c r="S12692" t="s">
        <v>45564</v>
      </c>
      <c r="T12692" t="s">
        <v>46498</v>
      </c>
      <c r="U12692" t="s">
        <v>57055</v>
      </c>
      <c r="V12692" t="s">
        <v>60450</v>
      </c>
      <c r="W12692" t="s">
        <v>44553</v>
      </c>
      <c r="X12692" t="s">
        <v>44924</v>
      </c>
    </row>
    <row r="12693" spans="1:24">
      <c r="A12693">
        <f>HYPERLINK("https://www.philgeps.gov.ph/GEPSNONPILOT/Tender/SplashBidNoticeAbstractUI.aspx?menuIndex=3&amp;refID=7049132&amp;Result=3","7049132")</f>
        <v>0</v>
      </c>
      <c r="B12693" t="s">
        <v>3270</v>
      </c>
      <c r="C12693" t="s">
        <v>15652</v>
      </c>
      <c r="D12693" t="s">
        <v>18136</v>
      </c>
      <c r="E12693" t="s">
        <v>29178</v>
      </c>
      <c r="F12693" t="s">
        <v>31362</v>
      </c>
      <c r="G12693" t="s">
        <v>31369</v>
      </c>
      <c r="H12693" t="s">
        <v>15799</v>
      </c>
      <c r="I12693" t="s">
        <v>31399</v>
      </c>
      <c r="J12693" t="s">
        <v>31542</v>
      </c>
      <c r="K12693" t="s">
        <v>40666</v>
      </c>
      <c r="M12693" t="s">
        <v>44553</v>
      </c>
      <c r="N12693" t="s">
        <v>44905</v>
      </c>
      <c r="O12693" t="s">
        <v>44906</v>
      </c>
      <c r="P12693">
        <v>0</v>
      </c>
      <c r="Q12693">
        <v>6</v>
      </c>
      <c r="R12693" t="s">
        <v>44921</v>
      </c>
      <c r="S12693" t="s">
        <v>45564</v>
      </c>
      <c r="T12693" t="s">
        <v>46498</v>
      </c>
      <c r="U12693" t="s">
        <v>57056</v>
      </c>
      <c r="V12693" t="s">
        <v>60450</v>
      </c>
      <c r="W12693" t="s">
        <v>44553</v>
      </c>
      <c r="X12693" t="s">
        <v>44924</v>
      </c>
    </row>
    <row r="12694" spans="1:24">
      <c r="A12694">
        <f>HYPERLINK("https://www.philgeps.gov.ph/GEPSNONPILOT/Tender/SplashBidNoticeAbstractUI.aspx?menuIndex=3&amp;refID=7049271&amp;Result=3","7049271")</f>
        <v>0</v>
      </c>
      <c r="B12694" t="s">
        <v>3270</v>
      </c>
      <c r="C12694" t="s">
        <v>15653</v>
      </c>
      <c r="D12694" t="s">
        <v>18136</v>
      </c>
      <c r="E12694" t="s">
        <v>29179</v>
      </c>
      <c r="F12694" t="s">
        <v>31362</v>
      </c>
      <c r="G12694" t="s">
        <v>31369</v>
      </c>
      <c r="H12694" t="s">
        <v>15799</v>
      </c>
      <c r="I12694" t="s">
        <v>31431</v>
      </c>
      <c r="J12694" t="s">
        <v>31591</v>
      </c>
      <c r="K12694" t="s">
        <v>40666</v>
      </c>
      <c r="M12694" t="s">
        <v>44553</v>
      </c>
      <c r="N12694" t="s">
        <v>44905</v>
      </c>
      <c r="O12694" t="s">
        <v>44906</v>
      </c>
      <c r="P12694">
        <v>0</v>
      </c>
      <c r="Q12694">
        <v>2</v>
      </c>
      <c r="R12694" t="s">
        <v>44921</v>
      </c>
      <c r="S12694" t="s">
        <v>45564</v>
      </c>
      <c r="T12694" t="s">
        <v>46498</v>
      </c>
      <c r="U12694" t="s">
        <v>57057</v>
      </c>
      <c r="V12694" t="s">
        <v>60450</v>
      </c>
      <c r="W12694" t="s">
        <v>44553</v>
      </c>
      <c r="X12694" t="s">
        <v>44924</v>
      </c>
    </row>
    <row r="12695" spans="1:24">
      <c r="A12695">
        <f>HYPERLINK("https://www.philgeps.gov.ph/GEPSNONPILOT/Tender/SplashBidNoticeAbstractUI.aspx?menuIndex=3&amp;refID=7048004&amp;Result=3","7048004")</f>
        <v>0</v>
      </c>
      <c r="B12695" t="s">
        <v>3272</v>
      </c>
      <c r="C12695" t="s">
        <v>15654</v>
      </c>
      <c r="D12695" t="s">
        <v>18117</v>
      </c>
      <c r="E12695" t="s">
        <v>29180</v>
      </c>
      <c r="F12695" t="s">
        <v>31363</v>
      </c>
      <c r="G12695" t="s">
        <v>31369</v>
      </c>
      <c r="H12695" t="s">
        <v>15799</v>
      </c>
      <c r="I12695" t="s">
        <v>31386</v>
      </c>
      <c r="J12695" t="s">
        <v>31531</v>
      </c>
      <c r="K12695" t="s">
        <v>40679</v>
      </c>
      <c r="M12695" t="s">
        <v>44557</v>
      </c>
      <c r="N12695" t="s">
        <v>44905</v>
      </c>
      <c r="O12695" t="s">
        <v>44906</v>
      </c>
      <c r="P12695">
        <v>0</v>
      </c>
      <c r="Q12695">
        <v>0</v>
      </c>
      <c r="R12695" t="s">
        <v>44921</v>
      </c>
      <c r="S12695" t="s">
        <v>45564</v>
      </c>
      <c r="T12695" t="s">
        <v>46447</v>
      </c>
      <c r="U12695" t="s">
        <v>57058</v>
      </c>
      <c r="V12695" t="s">
        <v>60451</v>
      </c>
      <c r="W12695" t="s">
        <v>44557</v>
      </c>
      <c r="X12695" t="s">
        <v>44924</v>
      </c>
    </row>
    <row r="12696" spans="1:24">
      <c r="A12696">
        <f>HYPERLINK("https://www.philgeps.gov.ph/GEPSNONPILOT/Tender/SplashBidNoticeAbstractUI.aspx?menuIndex=3&amp;refID=7052085&amp;Result=3","7052085")</f>
        <v>0</v>
      </c>
      <c r="B12696" t="s">
        <v>262</v>
      </c>
      <c r="C12696" t="s">
        <v>15655</v>
      </c>
      <c r="E12696" t="s">
        <v>29181</v>
      </c>
      <c r="F12696" t="s">
        <v>31362</v>
      </c>
      <c r="G12696" t="s">
        <v>31369</v>
      </c>
      <c r="H12696" t="s">
        <v>31378</v>
      </c>
      <c r="I12696" t="s">
        <v>31386</v>
      </c>
      <c r="J12696" t="s">
        <v>39248</v>
      </c>
      <c r="K12696" t="s">
        <v>40783</v>
      </c>
      <c r="M12696" t="s">
        <v>42051</v>
      </c>
      <c r="N12696" t="s">
        <v>44905</v>
      </c>
      <c r="O12696" t="s">
        <v>44906</v>
      </c>
      <c r="P12696">
        <v>0</v>
      </c>
      <c r="Q12696">
        <v>0</v>
      </c>
      <c r="R12696" t="s">
        <v>44921</v>
      </c>
      <c r="S12696" t="s">
        <v>45564</v>
      </c>
      <c r="T12696" t="s">
        <v>46861</v>
      </c>
      <c r="U12696" t="s">
        <v>57059</v>
      </c>
      <c r="W12696" t="s">
        <v>42051</v>
      </c>
      <c r="X12696" t="s">
        <v>44923</v>
      </c>
    </row>
    <row r="12697" spans="1:24">
      <c r="A12697">
        <f>HYPERLINK("https://www.philgeps.gov.ph/GEPSNONPILOT/Tender/SplashBidNoticeAbstractUI.aspx?menuIndex=3&amp;refID=7049145&amp;Result=3","7049145")</f>
        <v>0</v>
      </c>
      <c r="B12697" t="s">
        <v>929</v>
      </c>
      <c r="C12697" t="s">
        <v>15656</v>
      </c>
      <c r="D12697" t="s">
        <v>18143</v>
      </c>
      <c r="E12697" t="s">
        <v>29182</v>
      </c>
      <c r="F12697" t="s">
        <v>31362</v>
      </c>
      <c r="G12697" t="s">
        <v>31369</v>
      </c>
      <c r="H12697" t="s">
        <v>31378</v>
      </c>
      <c r="I12697" t="s">
        <v>31386</v>
      </c>
      <c r="J12697" t="s">
        <v>39249</v>
      </c>
      <c r="K12697" t="s">
        <v>40748</v>
      </c>
      <c r="M12697" t="s">
        <v>42936</v>
      </c>
      <c r="N12697" t="s">
        <v>44905</v>
      </c>
      <c r="O12697" t="s">
        <v>44906</v>
      </c>
      <c r="P12697">
        <v>0</v>
      </c>
      <c r="Q12697">
        <v>0</v>
      </c>
      <c r="R12697" t="s">
        <v>44921</v>
      </c>
      <c r="S12697" t="s">
        <v>45564</v>
      </c>
      <c r="T12697" t="s">
        <v>46491</v>
      </c>
      <c r="U12697" t="s">
        <v>57060</v>
      </c>
      <c r="W12697" t="s">
        <v>42936</v>
      </c>
      <c r="X12697" t="s">
        <v>44924</v>
      </c>
    </row>
    <row r="12698" spans="1:24">
      <c r="A12698">
        <f>HYPERLINK("https://www.philgeps.gov.ph/GEPSNONPILOT/Tender/SplashBidNoticeAbstractUI.aspx?menuIndex=3&amp;refID=7052156&amp;Result=3","7052156")</f>
        <v>0</v>
      </c>
      <c r="B12698" t="s">
        <v>886</v>
      </c>
      <c r="C12698" t="s">
        <v>15657</v>
      </c>
      <c r="E12698" t="s">
        <v>29183</v>
      </c>
      <c r="F12698" t="s">
        <v>31362</v>
      </c>
      <c r="G12698" t="s">
        <v>31368</v>
      </c>
      <c r="H12698" t="s">
        <v>15799</v>
      </c>
      <c r="I12698" t="s">
        <v>31393</v>
      </c>
      <c r="J12698" t="s">
        <v>31591</v>
      </c>
      <c r="K12698" t="s">
        <v>40662</v>
      </c>
      <c r="M12698" t="s">
        <v>41970</v>
      </c>
      <c r="N12698" t="s">
        <v>44905</v>
      </c>
      <c r="O12698" t="s">
        <v>44906</v>
      </c>
      <c r="Q12698">
        <v>18</v>
      </c>
      <c r="R12698" t="s">
        <v>44921</v>
      </c>
      <c r="S12698" t="s">
        <v>45573</v>
      </c>
      <c r="T12698" t="s">
        <v>46498</v>
      </c>
      <c r="U12698" t="s">
        <v>48012</v>
      </c>
      <c r="W12698" t="s">
        <v>41970</v>
      </c>
      <c r="X12698" t="s">
        <v>44923</v>
      </c>
    </row>
    <row r="12699" spans="1:24">
      <c r="A12699">
        <f>HYPERLINK("https://www.philgeps.gov.ph/GEPSNONPILOT/Tender/SplashBidNoticeAbstractUI.aspx?menuIndex=3&amp;refID=7048996&amp;Result=3","7048996")</f>
        <v>0</v>
      </c>
      <c r="B12699" t="s">
        <v>3269</v>
      </c>
      <c r="C12699" t="s">
        <v>15658</v>
      </c>
      <c r="D12699" t="s">
        <v>18127</v>
      </c>
      <c r="E12699" t="s">
        <v>29184</v>
      </c>
      <c r="F12699" t="s">
        <v>31362</v>
      </c>
      <c r="G12699" t="s">
        <v>31369</v>
      </c>
      <c r="H12699" t="s">
        <v>15799</v>
      </c>
      <c r="I12699" t="s">
        <v>31387</v>
      </c>
      <c r="J12699" t="s">
        <v>39250</v>
      </c>
      <c r="K12699" t="s">
        <v>40666</v>
      </c>
      <c r="M12699" t="s">
        <v>44552</v>
      </c>
      <c r="N12699" t="s">
        <v>44905</v>
      </c>
      <c r="O12699" t="s">
        <v>44906</v>
      </c>
      <c r="P12699">
        <v>0</v>
      </c>
      <c r="Q12699">
        <v>1</v>
      </c>
      <c r="R12699" t="s">
        <v>44921</v>
      </c>
      <c r="S12699" t="s">
        <v>45564</v>
      </c>
      <c r="T12699" t="s">
        <v>46426</v>
      </c>
      <c r="U12699" t="s">
        <v>57061</v>
      </c>
      <c r="W12699" t="s">
        <v>44552</v>
      </c>
      <c r="X12699" t="s">
        <v>44924</v>
      </c>
    </row>
    <row r="12700" spans="1:24">
      <c r="A12700">
        <f>HYPERLINK("https://www.philgeps.gov.ph/GEPSNONPILOT/Tender/SplashBidNoticeAbstractUI.aspx?menuIndex=3&amp;refID=7052142&amp;Result=3","7052142")</f>
        <v>0</v>
      </c>
      <c r="B12700" t="s">
        <v>1516</v>
      </c>
      <c r="C12700" t="s">
        <v>15659</v>
      </c>
      <c r="D12700" t="s">
        <v>18107</v>
      </c>
      <c r="E12700" t="s">
        <v>29185</v>
      </c>
      <c r="F12700" t="s">
        <v>31362</v>
      </c>
      <c r="G12700" t="s">
        <v>31369</v>
      </c>
      <c r="H12700" t="s">
        <v>15799</v>
      </c>
      <c r="I12700" t="s">
        <v>31409</v>
      </c>
      <c r="J12700" t="s">
        <v>33446</v>
      </c>
      <c r="K12700" t="s">
        <v>40665</v>
      </c>
      <c r="M12700" t="s">
        <v>42560</v>
      </c>
      <c r="N12700" t="s">
        <v>44905</v>
      </c>
      <c r="O12700" t="s">
        <v>44906</v>
      </c>
      <c r="Q12700">
        <v>3</v>
      </c>
      <c r="R12700" t="s">
        <v>44921</v>
      </c>
      <c r="S12700" t="s">
        <v>45574</v>
      </c>
      <c r="T12700" t="s">
        <v>46692</v>
      </c>
      <c r="U12700" t="s">
        <v>57062</v>
      </c>
      <c r="W12700" t="s">
        <v>42560</v>
      </c>
      <c r="X12700" t="s">
        <v>44923</v>
      </c>
    </row>
    <row r="12701" spans="1:24">
      <c r="A12701">
        <f>HYPERLINK("https://www.philgeps.gov.ph/GEPSNONPILOT/Tender/SplashBidNoticeAbstractUI.aspx?menuIndex=3&amp;refID=7052125&amp;Result=3","7052125")</f>
        <v>0</v>
      </c>
      <c r="B12701" t="s">
        <v>262</v>
      </c>
      <c r="C12701" t="s">
        <v>15660</v>
      </c>
      <c r="E12701" t="s">
        <v>29186</v>
      </c>
      <c r="F12701" t="s">
        <v>31362</v>
      </c>
      <c r="G12701" t="s">
        <v>31369</v>
      </c>
      <c r="H12701" t="s">
        <v>31378</v>
      </c>
      <c r="I12701" t="s">
        <v>31386</v>
      </c>
      <c r="J12701" t="s">
        <v>39251</v>
      </c>
      <c r="K12701" t="s">
        <v>40679</v>
      </c>
      <c r="M12701" t="s">
        <v>42051</v>
      </c>
      <c r="N12701" t="s">
        <v>44905</v>
      </c>
      <c r="O12701" t="s">
        <v>44906</v>
      </c>
      <c r="P12701">
        <v>0</v>
      </c>
      <c r="Q12701">
        <v>0</v>
      </c>
      <c r="R12701" t="s">
        <v>44921</v>
      </c>
      <c r="S12701" t="s">
        <v>45564</v>
      </c>
      <c r="T12701" t="s">
        <v>46391</v>
      </c>
      <c r="U12701" t="s">
        <v>57063</v>
      </c>
      <c r="W12701" t="s">
        <v>42051</v>
      </c>
      <c r="X12701" t="s">
        <v>44923</v>
      </c>
    </row>
    <row r="12702" spans="1:24">
      <c r="A12702">
        <f>HYPERLINK("https://www.philgeps.gov.ph/GEPSNONPILOT/Tender/SplashBidNoticeAbstractUI.aspx?menuIndex=3&amp;refID=7049183&amp;Result=3","7049183")</f>
        <v>0</v>
      </c>
      <c r="B12702" t="s">
        <v>3270</v>
      </c>
      <c r="C12702" t="s">
        <v>15661</v>
      </c>
      <c r="D12702" t="s">
        <v>18136</v>
      </c>
      <c r="E12702" t="s">
        <v>29187</v>
      </c>
      <c r="F12702" t="s">
        <v>31362</v>
      </c>
      <c r="G12702" t="s">
        <v>31369</v>
      </c>
      <c r="H12702" t="s">
        <v>15799</v>
      </c>
      <c r="I12702" t="s">
        <v>4283</v>
      </c>
      <c r="J12702" t="s">
        <v>39252</v>
      </c>
      <c r="K12702" t="s">
        <v>40666</v>
      </c>
      <c r="M12702" t="s">
        <v>44553</v>
      </c>
      <c r="N12702" t="s">
        <v>44905</v>
      </c>
      <c r="O12702" t="s">
        <v>44906</v>
      </c>
      <c r="P12702">
        <v>0</v>
      </c>
      <c r="Q12702">
        <v>1</v>
      </c>
      <c r="R12702" t="s">
        <v>44921</v>
      </c>
      <c r="S12702" t="s">
        <v>45564</v>
      </c>
      <c r="T12702" t="s">
        <v>46498</v>
      </c>
      <c r="U12702" t="s">
        <v>57064</v>
      </c>
      <c r="V12702" t="s">
        <v>60450</v>
      </c>
      <c r="W12702" t="s">
        <v>44553</v>
      </c>
      <c r="X12702" t="s">
        <v>44924</v>
      </c>
    </row>
    <row r="12703" spans="1:24">
      <c r="A12703">
        <f>HYPERLINK("https://www.philgeps.gov.ph/GEPSNONPILOT/Tender/SplashBidNoticeAbstractUI.aspx?menuIndex=3&amp;refID=7052181&amp;Result=3","7052181")</f>
        <v>0</v>
      </c>
      <c r="B12703" t="s">
        <v>262</v>
      </c>
      <c r="C12703" t="s">
        <v>15662</v>
      </c>
      <c r="E12703" t="s">
        <v>29188</v>
      </c>
      <c r="F12703" t="s">
        <v>31362</v>
      </c>
      <c r="G12703" t="s">
        <v>31369</v>
      </c>
      <c r="H12703" t="s">
        <v>31378</v>
      </c>
      <c r="I12703" t="s">
        <v>31386</v>
      </c>
      <c r="J12703" t="s">
        <v>39253</v>
      </c>
      <c r="K12703" t="s">
        <v>40679</v>
      </c>
      <c r="M12703" t="s">
        <v>42051</v>
      </c>
      <c r="N12703" t="s">
        <v>44905</v>
      </c>
      <c r="O12703" t="s">
        <v>44906</v>
      </c>
      <c r="P12703">
        <v>0</v>
      </c>
      <c r="Q12703">
        <v>1</v>
      </c>
      <c r="R12703" t="s">
        <v>44921</v>
      </c>
      <c r="S12703" t="s">
        <v>45564</v>
      </c>
      <c r="T12703" t="s">
        <v>46391</v>
      </c>
      <c r="U12703" t="s">
        <v>57065</v>
      </c>
      <c r="W12703" t="s">
        <v>42051</v>
      </c>
      <c r="X12703" t="s">
        <v>44923</v>
      </c>
    </row>
    <row r="12704" spans="1:24">
      <c r="A12704">
        <f>HYPERLINK("https://www.philgeps.gov.ph/GEPSNONPILOT/Tender/SplashBidNoticeAbstractUI.aspx?menuIndex=3&amp;refID=7052057&amp;Result=3","7052057")</f>
        <v>0</v>
      </c>
      <c r="B12704" t="s">
        <v>45</v>
      </c>
      <c r="C12704" t="s">
        <v>15663</v>
      </c>
      <c r="D12704" t="s">
        <v>18108</v>
      </c>
      <c r="E12704" t="s">
        <v>19709</v>
      </c>
      <c r="F12704" t="s">
        <v>31362</v>
      </c>
      <c r="G12704" t="s">
        <v>31369</v>
      </c>
      <c r="H12704" t="s">
        <v>15799</v>
      </c>
      <c r="I12704" t="s">
        <v>3582</v>
      </c>
      <c r="J12704" t="s">
        <v>39254</v>
      </c>
      <c r="K12704" t="s">
        <v>40682</v>
      </c>
      <c r="M12704" t="s">
        <v>41024</v>
      </c>
      <c r="N12704" t="s">
        <v>44905</v>
      </c>
      <c r="O12704" t="s">
        <v>44906</v>
      </c>
      <c r="Q12704">
        <v>6</v>
      </c>
      <c r="R12704" t="s">
        <v>44921</v>
      </c>
      <c r="S12704" t="s">
        <v>45575</v>
      </c>
      <c r="T12704" t="s">
        <v>46425</v>
      </c>
      <c r="U12704" t="s">
        <v>57066</v>
      </c>
      <c r="W12704" t="s">
        <v>41024</v>
      </c>
      <c r="X12704" t="s">
        <v>44923</v>
      </c>
    </row>
    <row r="12705" spans="1:24">
      <c r="A12705">
        <f>HYPERLINK("https://www.philgeps.gov.ph/GEPSNONPILOT/Tender/SplashBidNoticeAbstractUI.aspx?menuIndex=3&amp;refID=7052050&amp;Result=3","7052050")</f>
        <v>0</v>
      </c>
      <c r="B12705" t="s">
        <v>262</v>
      </c>
      <c r="C12705" t="s">
        <v>15664</v>
      </c>
      <c r="E12705" t="s">
        <v>29189</v>
      </c>
      <c r="F12705" t="s">
        <v>31362</v>
      </c>
      <c r="G12705" t="s">
        <v>31369</v>
      </c>
      <c r="H12705" t="s">
        <v>31378</v>
      </c>
      <c r="I12705" t="s">
        <v>31386</v>
      </c>
      <c r="J12705" t="s">
        <v>39255</v>
      </c>
      <c r="K12705" t="s">
        <v>40833</v>
      </c>
      <c r="M12705" t="s">
        <v>42051</v>
      </c>
      <c r="N12705" t="s">
        <v>44905</v>
      </c>
      <c r="O12705" t="s">
        <v>44906</v>
      </c>
      <c r="P12705">
        <v>0</v>
      </c>
      <c r="Q12705">
        <v>0</v>
      </c>
      <c r="R12705" t="s">
        <v>44921</v>
      </c>
      <c r="S12705" t="s">
        <v>45564</v>
      </c>
      <c r="T12705" t="s">
        <v>46391</v>
      </c>
      <c r="U12705" t="s">
        <v>57067</v>
      </c>
      <c r="W12705" t="s">
        <v>42051</v>
      </c>
      <c r="X12705" t="s">
        <v>44923</v>
      </c>
    </row>
    <row r="12706" spans="1:24">
      <c r="A12706">
        <f>HYPERLINK("https://www.philgeps.gov.ph/GEPSNONPILOT/Tender/SplashBidNoticeAbstractUI.aspx?menuIndex=3&amp;refID=7049059&amp;Result=3","7049059")</f>
        <v>0</v>
      </c>
      <c r="B12706" t="s">
        <v>3270</v>
      </c>
      <c r="C12706" t="s">
        <v>15665</v>
      </c>
      <c r="D12706" t="s">
        <v>18136</v>
      </c>
      <c r="E12706" t="s">
        <v>29190</v>
      </c>
      <c r="F12706" t="s">
        <v>31362</v>
      </c>
      <c r="G12706" t="s">
        <v>31369</v>
      </c>
      <c r="H12706" t="s">
        <v>15799</v>
      </c>
      <c r="I12706" t="s">
        <v>31399</v>
      </c>
      <c r="J12706" t="s">
        <v>32249</v>
      </c>
      <c r="K12706" t="s">
        <v>40666</v>
      </c>
      <c r="M12706" t="s">
        <v>44553</v>
      </c>
      <c r="N12706" t="s">
        <v>44905</v>
      </c>
      <c r="O12706" t="s">
        <v>44906</v>
      </c>
      <c r="P12706">
        <v>0</v>
      </c>
      <c r="Q12706">
        <v>2</v>
      </c>
      <c r="R12706" t="s">
        <v>44921</v>
      </c>
      <c r="S12706" t="s">
        <v>45564</v>
      </c>
      <c r="T12706" t="s">
        <v>46498</v>
      </c>
      <c r="U12706" t="s">
        <v>57068</v>
      </c>
      <c r="V12706" t="s">
        <v>60450</v>
      </c>
      <c r="W12706" t="s">
        <v>44553</v>
      </c>
      <c r="X12706" t="s">
        <v>44924</v>
      </c>
    </row>
    <row r="12707" spans="1:24">
      <c r="A12707">
        <f>HYPERLINK("https://www.philgeps.gov.ph/GEPSNONPILOT/Tender/SplashBidNoticeAbstractUI.aspx?menuIndex=3&amp;refID=7052033&amp;Result=3","7052033")</f>
        <v>0</v>
      </c>
      <c r="B12707" t="s">
        <v>262</v>
      </c>
      <c r="C12707" t="s">
        <v>15666</v>
      </c>
      <c r="E12707" t="s">
        <v>29191</v>
      </c>
      <c r="F12707" t="s">
        <v>31362</v>
      </c>
      <c r="G12707" t="s">
        <v>31369</v>
      </c>
      <c r="H12707" t="s">
        <v>31378</v>
      </c>
      <c r="I12707" t="s">
        <v>31386</v>
      </c>
      <c r="J12707" t="s">
        <v>39256</v>
      </c>
      <c r="K12707" t="s">
        <v>40678</v>
      </c>
      <c r="M12707" t="s">
        <v>42051</v>
      </c>
      <c r="N12707" t="s">
        <v>44905</v>
      </c>
      <c r="O12707" t="s">
        <v>44906</v>
      </c>
      <c r="P12707">
        <v>0</v>
      </c>
      <c r="Q12707">
        <v>1</v>
      </c>
      <c r="R12707" t="s">
        <v>44921</v>
      </c>
      <c r="S12707" t="s">
        <v>45564</v>
      </c>
      <c r="T12707" t="s">
        <v>46391</v>
      </c>
      <c r="U12707" t="s">
        <v>57069</v>
      </c>
      <c r="W12707" t="s">
        <v>42051</v>
      </c>
      <c r="X12707" t="s">
        <v>44923</v>
      </c>
    </row>
    <row r="12708" spans="1:24">
      <c r="A12708">
        <f>HYPERLINK("https://www.philgeps.gov.ph/GEPSNONPILOT/Tender/SplashBidNoticeAbstractUI.aspx?menuIndex=3&amp;refID=7051997&amp;Result=3","7051997")</f>
        <v>0</v>
      </c>
      <c r="B12708" t="s">
        <v>929</v>
      </c>
      <c r="C12708" t="s">
        <v>15667</v>
      </c>
      <c r="D12708" t="s">
        <v>18143</v>
      </c>
      <c r="E12708" t="s">
        <v>29192</v>
      </c>
      <c r="F12708" t="s">
        <v>31362</v>
      </c>
      <c r="G12708" t="s">
        <v>31369</v>
      </c>
      <c r="H12708" t="s">
        <v>31378</v>
      </c>
      <c r="I12708" t="s">
        <v>31386</v>
      </c>
      <c r="J12708" t="s">
        <v>39257</v>
      </c>
      <c r="K12708" t="s">
        <v>40821</v>
      </c>
      <c r="M12708" t="s">
        <v>42936</v>
      </c>
      <c r="N12708" t="s">
        <v>44905</v>
      </c>
      <c r="O12708" t="s">
        <v>44906</v>
      </c>
      <c r="P12708">
        <v>0</v>
      </c>
      <c r="Q12708">
        <v>0</v>
      </c>
      <c r="R12708" t="s">
        <v>44921</v>
      </c>
      <c r="S12708" t="s">
        <v>45564</v>
      </c>
      <c r="T12708" t="s">
        <v>46491</v>
      </c>
      <c r="U12708" t="s">
        <v>57070</v>
      </c>
      <c r="W12708" t="s">
        <v>42936</v>
      </c>
      <c r="X12708" t="s">
        <v>44923</v>
      </c>
    </row>
    <row r="12709" spans="1:24">
      <c r="A12709">
        <f>HYPERLINK("https://www.philgeps.gov.ph/GEPSNONPILOT/Tender/SplashBidNoticeAbstractUI.aspx?menuIndex=3&amp;refID=7049407&amp;Result=3","7049407")</f>
        <v>0</v>
      </c>
      <c r="B12709" t="s">
        <v>3270</v>
      </c>
      <c r="C12709" t="s">
        <v>15668</v>
      </c>
      <c r="D12709" t="s">
        <v>18136</v>
      </c>
      <c r="E12709" t="s">
        <v>29193</v>
      </c>
      <c r="F12709" t="s">
        <v>31362</v>
      </c>
      <c r="G12709" t="s">
        <v>31369</v>
      </c>
      <c r="H12709" t="s">
        <v>15799</v>
      </c>
      <c r="I12709" t="s">
        <v>31389</v>
      </c>
      <c r="J12709" t="s">
        <v>39258</v>
      </c>
      <c r="K12709" t="s">
        <v>40666</v>
      </c>
      <c r="M12709" t="s">
        <v>44553</v>
      </c>
      <c r="N12709" t="s">
        <v>44905</v>
      </c>
      <c r="O12709" t="s">
        <v>44906</v>
      </c>
      <c r="P12709">
        <v>0</v>
      </c>
      <c r="Q12709">
        <v>3</v>
      </c>
      <c r="R12709" t="s">
        <v>44921</v>
      </c>
      <c r="S12709" t="s">
        <v>45564</v>
      </c>
      <c r="T12709" t="s">
        <v>46498</v>
      </c>
      <c r="U12709" t="s">
        <v>57071</v>
      </c>
      <c r="V12709" t="s">
        <v>60450</v>
      </c>
      <c r="W12709" t="s">
        <v>44553</v>
      </c>
      <c r="X12709" t="s">
        <v>44924</v>
      </c>
    </row>
    <row r="12710" spans="1:24">
      <c r="A12710">
        <f>HYPERLINK("https://www.philgeps.gov.ph/GEPSNONPILOT/Tender/SplashBidNoticeAbstractUI.aspx?menuIndex=3&amp;refID=7052108&amp;Result=3","7052108")</f>
        <v>0</v>
      </c>
      <c r="B12710" t="s">
        <v>929</v>
      </c>
      <c r="C12710" t="s">
        <v>15669</v>
      </c>
      <c r="D12710" t="s">
        <v>18143</v>
      </c>
      <c r="E12710" t="s">
        <v>29194</v>
      </c>
      <c r="F12710" t="s">
        <v>31362</v>
      </c>
      <c r="G12710" t="s">
        <v>31369</v>
      </c>
      <c r="H12710" t="s">
        <v>31378</v>
      </c>
      <c r="I12710" t="s">
        <v>31386</v>
      </c>
      <c r="J12710" t="s">
        <v>39259</v>
      </c>
      <c r="K12710" t="s">
        <v>40676</v>
      </c>
      <c r="M12710" t="s">
        <v>42936</v>
      </c>
      <c r="N12710" t="s">
        <v>44905</v>
      </c>
      <c r="O12710" t="s">
        <v>44906</v>
      </c>
      <c r="P12710">
        <v>0</v>
      </c>
      <c r="Q12710">
        <v>0</v>
      </c>
      <c r="R12710" t="s">
        <v>44921</v>
      </c>
      <c r="S12710" t="s">
        <v>45564</v>
      </c>
      <c r="T12710" t="s">
        <v>46491</v>
      </c>
      <c r="U12710" t="s">
        <v>57072</v>
      </c>
      <c r="W12710" t="s">
        <v>42936</v>
      </c>
      <c r="X12710" t="s">
        <v>44923</v>
      </c>
    </row>
    <row r="12711" spans="1:24">
      <c r="A12711">
        <f>HYPERLINK("https://www.philgeps.gov.ph/GEPSNONPILOT/Tender/SplashBidNoticeAbstractUI.aspx?menuIndex=3&amp;refID=7050195&amp;Result=3","7050195")</f>
        <v>0</v>
      </c>
      <c r="B12711" t="s">
        <v>556</v>
      </c>
      <c r="C12711" t="s">
        <v>15670</v>
      </c>
      <c r="D12711" t="s">
        <v>18122</v>
      </c>
      <c r="E12711" t="s">
        <v>29195</v>
      </c>
      <c r="F12711" t="s">
        <v>31362</v>
      </c>
      <c r="G12711" t="s">
        <v>31374</v>
      </c>
      <c r="H12711" t="s">
        <v>31379</v>
      </c>
      <c r="I12711" t="s">
        <v>31388</v>
      </c>
      <c r="J12711" t="s">
        <v>39260</v>
      </c>
      <c r="K12711" t="s">
        <v>40919</v>
      </c>
      <c r="M12711" t="s">
        <v>41512</v>
      </c>
      <c r="N12711" t="s">
        <v>44905</v>
      </c>
      <c r="O12711" t="s">
        <v>44906</v>
      </c>
      <c r="P12711">
        <v>0</v>
      </c>
      <c r="Q12711">
        <v>0</v>
      </c>
      <c r="R12711" t="s">
        <v>44921</v>
      </c>
      <c r="S12711" t="s">
        <v>45564</v>
      </c>
      <c r="T12711" t="s">
        <v>46649</v>
      </c>
      <c r="U12711" t="s">
        <v>57073</v>
      </c>
      <c r="W12711" t="s">
        <v>41512</v>
      </c>
      <c r="X12711" t="s">
        <v>44923</v>
      </c>
    </row>
    <row r="12712" spans="1:24">
      <c r="A12712">
        <f>HYPERLINK("https://www.philgeps.gov.ph/GEPSNONPILOT/Tender/SplashBidNoticeAbstractUI.aspx?menuIndex=3&amp;refID=7052735&amp;Result=3","7052735")</f>
        <v>0</v>
      </c>
      <c r="B12712" t="s">
        <v>3273</v>
      </c>
      <c r="C12712" t="s">
        <v>15671</v>
      </c>
      <c r="E12712" t="s">
        <v>29196</v>
      </c>
      <c r="F12712" t="s">
        <v>31362</v>
      </c>
      <c r="G12712" t="s">
        <v>31369</v>
      </c>
      <c r="H12712" t="s">
        <v>15799</v>
      </c>
      <c r="I12712" t="s">
        <v>31400</v>
      </c>
      <c r="J12712" t="s">
        <v>39082</v>
      </c>
      <c r="K12712" t="s">
        <v>40662</v>
      </c>
      <c r="M12712" t="s">
        <v>44558</v>
      </c>
      <c r="N12712" t="s">
        <v>44905</v>
      </c>
      <c r="O12712" t="s">
        <v>44906</v>
      </c>
      <c r="Q12712">
        <v>20</v>
      </c>
      <c r="R12712" t="s">
        <v>44921</v>
      </c>
      <c r="S12712" t="s">
        <v>45576</v>
      </c>
      <c r="T12712" t="s">
        <v>46433</v>
      </c>
      <c r="U12712" t="s">
        <v>57074</v>
      </c>
      <c r="W12712" t="s">
        <v>44558</v>
      </c>
      <c r="X12712" t="s">
        <v>44922</v>
      </c>
    </row>
    <row r="12713" spans="1:24">
      <c r="A12713">
        <f>HYPERLINK("https://www.philgeps.gov.ph/GEPSNONPILOT/Tender/SplashBidNoticeAbstractUI.aspx?menuIndex=3&amp;refID=7052730&amp;Result=3","7052730")</f>
        <v>0</v>
      </c>
      <c r="B12713" t="s">
        <v>2993</v>
      </c>
      <c r="C12713" t="s">
        <v>15672</v>
      </c>
      <c r="D12713" t="s">
        <v>18141</v>
      </c>
      <c r="E12713" t="s">
        <v>19902</v>
      </c>
      <c r="F12713" t="s">
        <v>31362</v>
      </c>
      <c r="G12713" t="s">
        <v>31369</v>
      </c>
      <c r="H12713" t="s">
        <v>31379</v>
      </c>
      <c r="I12713" t="s">
        <v>7090</v>
      </c>
      <c r="J12713" t="s">
        <v>31969</v>
      </c>
      <c r="K12713" t="s">
        <v>40665</v>
      </c>
      <c r="M12713" t="s">
        <v>44221</v>
      </c>
      <c r="N12713" t="s">
        <v>44905</v>
      </c>
      <c r="O12713" t="s">
        <v>44906</v>
      </c>
      <c r="P12713">
        <v>0</v>
      </c>
      <c r="Q12713">
        <v>2</v>
      </c>
      <c r="R12713" t="s">
        <v>44921</v>
      </c>
      <c r="S12713" t="s">
        <v>45564</v>
      </c>
      <c r="T12713" t="s">
        <v>46549</v>
      </c>
      <c r="U12713" t="s">
        <v>57075</v>
      </c>
      <c r="W12713" t="s">
        <v>44221</v>
      </c>
      <c r="X12713" t="s">
        <v>44922</v>
      </c>
    </row>
    <row r="12714" spans="1:24">
      <c r="A12714">
        <f>HYPERLINK("https://www.philgeps.gov.ph/GEPSNONPILOT/Tender/SplashBidNoticeAbstractUI.aspx?menuIndex=3&amp;refID=7052002&amp;Result=3","7052002")</f>
        <v>0</v>
      </c>
      <c r="B12714" t="s">
        <v>262</v>
      </c>
      <c r="C12714" t="s">
        <v>15673</v>
      </c>
      <c r="E12714" t="s">
        <v>29197</v>
      </c>
      <c r="F12714" t="s">
        <v>31362</v>
      </c>
      <c r="G12714" t="s">
        <v>31369</v>
      </c>
      <c r="H12714" t="s">
        <v>31378</v>
      </c>
      <c r="I12714" t="s">
        <v>31386</v>
      </c>
      <c r="J12714" t="s">
        <v>39261</v>
      </c>
      <c r="K12714" t="s">
        <v>40678</v>
      </c>
      <c r="M12714" t="s">
        <v>42051</v>
      </c>
      <c r="N12714" t="s">
        <v>44905</v>
      </c>
      <c r="O12714" t="s">
        <v>44906</v>
      </c>
      <c r="P12714">
        <v>0</v>
      </c>
      <c r="Q12714">
        <v>1</v>
      </c>
      <c r="R12714" t="s">
        <v>44921</v>
      </c>
      <c r="S12714" t="s">
        <v>45564</v>
      </c>
      <c r="T12714" t="s">
        <v>46391</v>
      </c>
      <c r="U12714" t="s">
        <v>57076</v>
      </c>
      <c r="W12714" t="s">
        <v>42051</v>
      </c>
      <c r="X12714" t="s">
        <v>44923</v>
      </c>
    </row>
    <row r="12715" spans="1:24">
      <c r="A12715">
        <f>HYPERLINK("https://www.philgeps.gov.ph/GEPSNONPILOT/Tender/SplashBidNoticeAbstractUI.aspx?menuIndex=3&amp;refID=7052724&amp;Result=3","7052724")</f>
        <v>0</v>
      </c>
      <c r="B12715" t="s">
        <v>3274</v>
      </c>
      <c r="C12715" t="s">
        <v>15674</v>
      </c>
      <c r="D12715" t="s">
        <v>18119</v>
      </c>
      <c r="E12715" t="s">
        <v>29198</v>
      </c>
      <c r="F12715" t="s">
        <v>31362</v>
      </c>
      <c r="G12715" t="s">
        <v>31369</v>
      </c>
      <c r="H12715" t="s">
        <v>15799</v>
      </c>
      <c r="I12715" t="s">
        <v>31409</v>
      </c>
      <c r="J12715" t="s">
        <v>39262</v>
      </c>
      <c r="K12715" t="s">
        <v>40665</v>
      </c>
      <c r="M12715" t="s">
        <v>44559</v>
      </c>
      <c r="N12715" t="s">
        <v>44905</v>
      </c>
      <c r="O12715" t="s">
        <v>44906</v>
      </c>
      <c r="P12715">
        <v>0</v>
      </c>
      <c r="Q12715">
        <v>4</v>
      </c>
      <c r="R12715" t="s">
        <v>44921</v>
      </c>
      <c r="S12715" t="s">
        <v>45564</v>
      </c>
      <c r="T12715" t="s">
        <v>46396</v>
      </c>
      <c r="U12715" t="s">
        <v>57077</v>
      </c>
      <c r="V12715" t="s">
        <v>60452</v>
      </c>
      <c r="W12715" t="s">
        <v>44559</v>
      </c>
      <c r="X12715" t="s">
        <v>44922</v>
      </c>
    </row>
    <row r="12716" spans="1:24">
      <c r="A12716">
        <f>HYPERLINK("https://www.philgeps.gov.ph/GEPSNONPILOT/Tender/SplashBidNoticeAbstractUI.aspx?menuIndex=3&amp;refID=7052103&amp;Result=3","7052103")</f>
        <v>0</v>
      </c>
      <c r="B12716" t="s">
        <v>262</v>
      </c>
      <c r="C12716" t="s">
        <v>15675</v>
      </c>
      <c r="E12716" t="s">
        <v>29199</v>
      </c>
      <c r="F12716" t="s">
        <v>31362</v>
      </c>
      <c r="G12716" t="s">
        <v>31369</v>
      </c>
      <c r="H12716" t="s">
        <v>31378</v>
      </c>
      <c r="I12716" t="s">
        <v>31386</v>
      </c>
      <c r="J12716" t="s">
        <v>33868</v>
      </c>
      <c r="K12716" t="s">
        <v>40684</v>
      </c>
      <c r="M12716" t="s">
        <v>42051</v>
      </c>
      <c r="N12716" t="s">
        <v>44905</v>
      </c>
      <c r="O12716" t="s">
        <v>44906</v>
      </c>
      <c r="P12716">
        <v>0</v>
      </c>
      <c r="Q12716">
        <v>2</v>
      </c>
      <c r="R12716" t="s">
        <v>44921</v>
      </c>
      <c r="S12716" t="s">
        <v>45564</v>
      </c>
      <c r="T12716" t="s">
        <v>46391</v>
      </c>
      <c r="U12716" t="s">
        <v>57078</v>
      </c>
      <c r="W12716" t="s">
        <v>42051</v>
      </c>
      <c r="X12716" t="s">
        <v>44923</v>
      </c>
    </row>
    <row r="12717" spans="1:24">
      <c r="A12717">
        <f>HYPERLINK("https://www.philgeps.gov.ph/GEPSNONPILOT/Tender/SplashBidNoticeAbstractUI.aspx?menuIndex=3&amp;refID=7052065&amp;Result=3","7052065")</f>
        <v>0</v>
      </c>
      <c r="B12717" t="s">
        <v>262</v>
      </c>
      <c r="C12717" t="s">
        <v>15676</v>
      </c>
      <c r="E12717" t="s">
        <v>29200</v>
      </c>
      <c r="F12717" t="s">
        <v>31362</v>
      </c>
      <c r="G12717" t="s">
        <v>31369</v>
      </c>
      <c r="H12717" t="s">
        <v>31378</v>
      </c>
      <c r="I12717" t="s">
        <v>31386</v>
      </c>
      <c r="J12717" t="s">
        <v>39263</v>
      </c>
      <c r="K12717" t="s">
        <v>40683</v>
      </c>
      <c r="M12717" t="s">
        <v>42051</v>
      </c>
      <c r="N12717" t="s">
        <v>44905</v>
      </c>
      <c r="O12717" t="s">
        <v>44906</v>
      </c>
      <c r="P12717">
        <v>0</v>
      </c>
      <c r="Q12717">
        <v>0</v>
      </c>
      <c r="R12717" t="s">
        <v>44921</v>
      </c>
      <c r="S12717" t="s">
        <v>45564</v>
      </c>
      <c r="T12717" t="s">
        <v>46391</v>
      </c>
      <c r="U12717" t="s">
        <v>57079</v>
      </c>
      <c r="W12717" t="s">
        <v>42051</v>
      </c>
      <c r="X12717" t="s">
        <v>44923</v>
      </c>
    </row>
    <row r="12718" spans="1:24">
      <c r="A12718">
        <f>HYPERLINK("https://www.philgeps.gov.ph/GEPSNONPILOT/Tender/SplashBidNoticeAbstractUI.aspx?menuIndex=3&amp;refID=7052698&amp;Result=3","7052698")</f>
        <v>0</v>
      </c>
      <c r="B12718" t="s">
        <v>3275</v>
      </c>
      <c r="C12718" t="s">
        <v>15677</v>
      </c>
      <c r="D12718" t="s">
        <v>18147</v>
      </c>
      <c r="E12718" t="s">
        <v>29201</v>
      </c>
      <c r="F12718" t="s">
        <v>31362</v>
      </c>
      <c r="G12718" t="s">
        <v>31369</v>
      </c>
      <c r="H12718" t="s">
        <v>31378</v>
      </c>
      <c r="I12718" t="s">
        <v>31386</v>
      </c>
      <c r="J12718" t="s">
        <v>39264</v>
      </c>
      <c r="K12718" t="s">
        <v>40665</v>
      </c>
      <c r="M12718" t="s">
        <v>44560</v>
      </c>
      <c r="N12718" t="s">
        <v>44905</v>
      </c>
      <c r="O12718" t="s">
        <v>44906</v>
      </c>
      <c r="P12718">
        <v>0</v>
      </c>
      <c r="Q12718">
        <v>0</v>
      </c>
      <c r="R12718" t="s">
        <v>44921</v>
      </c>
      <c r="S12718" t="s">
        <v>45564</v>
      </c>
      <c r="T12718" t="s">
        <v>46549</v>
      </c>
      <c r="U12718" t="s">
        <v>57080</v>
      </c>
      <c r="W12718" t="s">
        <v>44560</v>
      </c>
      <c r="X12718" t="s">
        <v>44922</v>
      </c>
    </row>
    <row r="12719" spans="1:24">
      <c r="A12719">
        <f>HYPERLINK("https://www.philgeps.gov.ph/GEPSNONPILOT/Tender/SplashBidNoticeAbstractUI.aspx?menuIndex=3&amp;refID=7052668&amp;Result=3","7052668")</f>
        <v>0</v>
      </c>
      <c r="B12719" t="s">
        <v>1635</v>
      </c>
      <c r="C12719" t="s">
        <v>15678</v>
      </c>
      <c r="D12719" t="s">
        <v>18136</v>
      </c>
      <c r="E12719" t="s">
        <v>29202</v>
      </c>
      <c r="F12719" t="s">
        <v>31362</v>
      </c>
      <c r="G12719" t="s">
        <v>31369</v>
      </c>
      <c r="H12719" t="s">
        <v>15799</v>
      </c>
      <c r="I12719" t="s">
        <v>3815</v>
      </c>
      <c r="J12719" t="s">
        <v>39265</v>
      </c>
      <c r="K12719" t="s">
        <v>40665</v>
      </c>
      <c r="M12719" t="s">
        <v>42696</v>
      </c>
      <c r="N12719" t="s">
        <v>44905</v>
      </c>
      <c r="O12719" t="s">
        <v>44906</v>
      </c>
      <c r="P12719">
        <v>0</v>
      </c>
      <c r="Q12719">
        <v>0</v>
      </c>
      <c r="R12719" t="s">
        <v>44921</v>
      </c>
      <c r="S12719" t="s">
        <v>45564</v>
      </c>
      <c r="T12719" t="s">
        <v>46506</v>
      </c>
      <c r="U12719" t="s">
        <v>57081</v>
      </c>
      <c r="W12719" t="s">
        <v>44354</v>
      </c>
      <c r="X12719" t="s">
        <v>44922</v>
      </c>
    </row>
    <row r="12720" spans="1:24">
      <c r="A12720">
        <f>HYPERLINK("https://www.philgeps.gov.ph/GEPSNONPILOT/Tender/SplashBidNoticeAbstractUI.aspx?menuIndex=3&amp;refID=7052284&amp;Result=3","7052284")</f>
        <v>0</v>
      </c>
      <c r="B12720" t="s">
        <v>3276</v>
      </c>
      <c r="C12720" t="s">
        <v>15679</v>
      </c>
      <c r="D12720" t="s">
        <v>18146</v>
      </c>
      <c r="E12720" t="s">
        <v>29203</v>
      </c>
      <c r="F12720" t="s">
        <v>31362</v>
      </c>
      <c r="G12720" t="s">
        <v>31369</v>
      </c>
      <c r="H12720" t="s">
        <v>31378</v>
      </c>
      <c r="I12720" t="s">
        <v>31386</v>
      </c>
      <c r="J12720" t="s">
        <v>39266</v>
      </c>
      <c r="K12720" t="s">
        <v>40722</v>
      </c>
      <c r="M12720" t="s">
        <v>44561</v>
      </c>
      <c r="N12720" t="s">
        <v>44905</v>
      </c>
      <c r="O12720" t="s">
        <v>44906</v>
      </c>
      <c r="P12720">
        <v>0</v>
      </c>
      <c r="Q12720">
        <v>0</v>
      </c>
      <c r="R12720" t="s">
        <v>44921</v>
      </c>
      <c r="S12720" t="s">
        <v>45564</v>
      </c>
      <c r="T12720" t="s">
        <v>46435</v>
      </c>
      <c r="U12720" t="s">
        <v>57082</v>
      </c>
      <c r="W12720" t="s">
        <v>44561</v>
      </c>
      <c r="X12720" t="s">
        <v>44923</v>
      </c>
    </row>
    <row r="12721" spans="1:24">
      <c r="A12721">
        <f>HYPERLINK("https://www.philgeps.gov.ph/GEPSNONPILOT/Tender/SplashBidNoticeAbstractUI.aspx?menuIndex=3&amp;refID=7052688&amp;Result=3","7052688")</f>
        <v>0</v>
      </c>
      <c r="B12721" t="s">
        <v>2733</v>
      </c>
      <c r="C12721" t="s">
        <v>15680</v>
      </c>
      <c r="E12721" t="s">
        <v>29204</v>
      </c>
      <c r="F12721" t="s">
        <v>31362</v>
      </c>
      <c r="G12721" t="s">
        <v>31369</v>
      </c>
      <c r="H12721" t="s">
        <v>15799</v>
      </c>
      <c r="I12721" t="s">
        <v>6155</v>
      </c>
      <c r="J12721" t="s">
        <v>31866</v>
      </c>
      <c r="K12721" t="s">
        <v>40662</v>
      </c>
      <c r="M12721" t="s">
        <v>43921</v>
      </c>
      <c r="N12721" t="s">
        <v>44905</v>
      </c>
      <c r="O12721" t="s">
        <v>44906</v>
      </c>
      <c r="P12721">
        <v>0</v>
      </c>
      <c r="Q12721">
        <v>2</v>
      </c>
      <c r="R12721" t="s">
        <v>44921</v>
      </c>
      <c r="S12721" t="s">
        <v>45564</v>
      </c>
      <c r="T12721" t="s">
        <v>46426</v>
      </c>
      <c r="U12721" t="s">
        <v>54112</v>
      </c>
      <c r="W12721" t="s">
        <v>43921</v>
      </c>
      <c r="X12721" t="s">
        <v>44922</v>
      </c>
    </row>
    <row r="12722" spans="1:24">
      <c r="A12722">
        <f>HYPERLINK("https://www.philgeps.gov.ph/GEPSNONPILOT/Tender/SplashBidNoticeAbstractUI.aspx?menuIndex=3&amp;refID=7052700&amp;Result=3","7052700")</f>
        <v>0</v>
      </c>
      <c r="B12722" t="s">
        <v>482</v>
      </c>
      <c r="C12722" t="s">
        <v>15681</v>
      </c>
      <c r="D12722" t="s">
        <v>18108</v>
      </c>
      <c r="E12722" t="s">
        <v>29205</v>
      </c>
      <c r="F12722" t="s">
        <v>31362</v>
      </c>
      <c r="G12722" t="s">
        <v>31368</v>
      </c>
      <c r="H12722" t="s">
        <v>15799</v>
      </c>
      <c r="I12722" t="s">
        <v>7090</v>
      </c>
      <c r="J12722" t="s">
        <v>33903</v>
      </c>
      <c r="K12722" t="s">
        <v>40665</v>
      </c>
      <c r="M12722" t="s">
        <v>41436</v>
      </c>
      <c r="N12722" t="s">
        <v>44905</v>
      </c>
      <c r="O12722" t="s">
        <v>44906</v>
      </c>
      <c r="Q12722">
        <v>7</v>
      </c>
      <c r="R12722" t="s">
        <v>44921</v>
      </c>
      <c r="S12722" t="s">
        <v>45577</v>
      </c>
      <c r="T12722" t="s">
        <v>46393</v>
      </c>
      <c r="U12722" t="s">
        <v>57083</v>
      </c>
      <c r="W12722" t="s">
        <v>41436</v>
      </c>
      <c r="X12722" t="s">
        <v>44922</v>
      </c>
    </row>
    <row r="12723" spans="1:24">
      <c r="A12723">
        <f>HYPERLINK("https://www.philgeps.gov.ph/GEPSNONPILOT/Tender/SplashBidNoticeAbstractUI.aspx?menuIndex=3&amp;refID=7052246&amp;Result=3","7052246")</f>
        <v>0</v>
      </c>
      <c r="B12723" t="s">
        <v>3276</v>
      </c>
      <c r="C12723" t="s">
        <v>15682</v>
      </c>
      <c r="D12723" t="s">
        <v>18146</v>
      </c>
      <c r="E12723" t="s">
        <v>29206</v>
      </c>
      <c r="F12723" t="s">
        <v>31362</v>
      </c>
      <c r="G12723" t="s">
        <v>31369</v>
      </c>
      <c r="H12723" t="s">
        <v>31378</v>
      </c>
      <c r="I12723" t="s">
        <v>31386</v>
      </c>
      <c r="J12723" t="s">
        <v>39267</v>
      </c>
      <c r="K12723" t="s">
        <v>40920</v>
      </c>
      <c r="M12723" t="s">
        <v>44561</v>
      </c>
      <c r="N12723" t="s">
        <v>44905</v>
      </c>
      <c r="O12723" t="s">
        <v>44906</v>
      </c>
      <c r="P12723">
        <v>0</v>
      </c>
      <c r="Q12723">
        <v>0</v>
      </c>
      <c r="R12723" t="s">
        <v>44921</v>
      </c>
      <c r="S12723" t="s">
        <v>45564</v>
      </c>
      <c r="T12723" t="s">
        <v>46435</v>
      </c>
      <c r="U12723" t="s">
        <v>57084</v>
      </c>
      <c r="W12723" t="s">
        <v>44561</v>
      </c>
      <c r="X12723" t="s">
        <v>44923</v>
      </c>
    </row>
    <row r="12724" spans="1:24">
      <c r="A12724">
        <f>HYPERLINK("https://www.philgeps.gov.ph/GEPSNONPILOT/Tender/SplashBidNoticeAbstractUI.aspx?menuIndex=3&amp;refID=7052667&amp;Result=3","7052667")</f>
        <v>0</v>
      </c>
      <c r="B12724" t="s">
        <v>1635</v>
      </c>
      <c r="C12724" t="s">
        <v>15683</v>
      </c>
      <c r="D12724" t="s">
        <v>18136</v>
      </c>
      <c r="E12724" t="s">
        <v>29207</v>
      </c>
      <c r="F12724" t="s">
        <v>31362</v>
      </c>
      <c r="G12724" t="s">
        <v>31369</v>
      </c>
      <c r="H12724" t="s">
        <v>15799</v>
      </c>
      <c r="I12724" t="s">
        <v>3815</v>
      </c>
      <c r="J12724" t="s">
        <v>39265</v>
      </c>
      <c r="K12724" t="s">
        <v>40665</v>
      </c>
      <c r="M12724" t="s">
        <v>42696</v>
      </c>
      <c r="N12724" t="s">
        <v>44905</v>
      </c>
      <c r="O12724" t="s">
        <v>44906</v>
      </c>
      <c r="P12724">
        <v>0</v>
      </c>
      <c r="Q12724">
        <v>0</v>
      </c>
      <c r="R12724" t="s">
        <v>44921</v>
      </c>
      <c r="S12724" t="s">
        <v>45564</v>
      </c>
      <c r="T12724" t="s">
        <v>46506</v>
      </c>
      <c r="U12724" t="s">
        <v>57081</v>
      </c>
      <c r="W12724" t="s">
        <v>44354</v>
      </c>
      <c r="X12724" t="s">
        <v>44923</v>
      </c>
    </row>
    <row r="12725" spans="1:24">
      <c r="A12725">
        <f>HYPERLINK("https://www.philgeps.gov.ph/GEPSNONPILOT/Tender/SplashBidNoticeAbstractUI.aspx?menuIndex=3&amp;refID=7052732&amp;Result=3","7052732")</f>
        <v>0</v>
      </c>
      <c r="B12725" t="s">
        <v>2993</v>
      </c>
      <c r="C12725" t="s">
        <v>13955</v>
      </c>
      <c r="D12725" t="s">
        <v>18141</v>
      </c>
      <c r="E12725" t="s">
        <v>29208</v>
      </c>
      <c r="F12725" t="s">
        <v>31362</v>
      </c>
      <c r="G12725" t="s">
        <v>31369</v>
      </c>
      <c r="H12725" t="s">
        <v>31379</v>
      </c>
      <c r="I12725" t="s">
        <v>31397</v>
      </c>
      <c r="J12725" t="s">
        <v>39268</v>
      </c>
      <c r="K12725" t="s">
        <v>40665</v>
      </c>
      <c r="M12725" t="s">
        <v>44221</v>
      </c>
      <c r="N12725" t="s">
        <v>44905</v>
      </c>
      <c r="O12725" t="s">
        <v>44906</v>
      </c>
      <c r="P12725">
        <v>0</v>
      </c>
      <c r="Q12725">
        <v>0</v>
      </c>
      <c r="R12725" t="s">
        <v>44921</v>
      </c>
      <c r="S12725" t="s">
        <v>45564</v>
      </c>
      <c r="T12725" t="s">
        <v>46549</v>
      </c>
      <c r="U12725" t="s">
        <v>57085</v>
      </c>
      <c r="W12725" t="s">
        <v>44221</v>
      </c>
      <c r="X12725" t="s">
        <v>44922</v>
      </c>
    </row>
    <row r="12726" spans="1:24">
      <c r="A12726">
        <f>HYPERLINK("https://www.philgeps.gov.ph/GEPSNONPILOT/Tender/SplashBidNoticeAbstractUI.aspx?menuIndex=3&amp;refID=7052227&amp;Result=3","7052227")</f>
        <v>0</v>
      </c>
      <c r="B12726" t="s">
        <v>48</v>
      </c>
      <c r="C12726" t="s">
        <v>15684</v>
      </c>
      <c r="D12726" t="s">
        <v>18117</v>
      </c>
      <c r="E12726" t="s">
        <v>29209</v>
      </c>
      <c r="F12726" t="s">
        <v>31362</v>
      </c>
      <c r="G12726" t="s">
        <v>31369</v>
      </c>
      <c r="H12726" t="s">
        <v>15799</v>
      </c>
      <c r="I12726" t="s">
        <v>3815</v>
      </c>
      <c r="J12726" t="s">
        <v>39269</v>
      </c>
      <c r="K12726" t="s">
        <v>40672</v>
      </c>
      <c r="M12726" t="s">
        <v>40982</v>
      </c>
      <c r="N12726" t="s">
        <v>44905</v>
      </c>
      <c r="O12726" t="s">
        <v>44906</v>
      </c>
      <c r="P12726">
        <v>0</v>
      </c>
      <c r="Q12726">
        <v>0</v>
      </c>
      <c r="R12726" t="s">
        <v>44921</v>
      </c>
      <c r="S12726" t="s">
        <v>45564</v>
      </c>
      <c r="T12726" t="s">
        <v>46403</v>
      </c>
      <c r="U12726" t="s">
        <v>57086</v>
      </c>
      <c r="V12726" t="s">
        <v>59056</v>
      </c>
      <c r="W12726" t="s">
        <v>40982</v>
      </c>
      <c r="X12726" t="s">
        <v>44923</v>
      </c>
    </row>
    <row r="12727" spans="1:24">
      <c r="A12727">
        <f>HYPERLINK("https://www.philgeps.gov.ph/GEPSNONPILOT/Tender/SplashBidNoticeAbstractUI.aspx?menuIndex=3&amp;refID=7052210&amp;Result=3","7052210")</f>
        <v>0</v>
      </c>
      <c r="B12727" t="s">
        <v>262</v>
      </c>
      <c r="C12727" t="s">
        <v>15685</v>
      </c>
      <c r="E12727" t="s">
        <v>29210</v>
      </c>
      <c r="F12727" t="s">
        <v>31362</v>
      </c>
      <c r="G12727" t="s">
        <v>31369</v>
      </c>
      <c r="H12727" t="s">
        <v>31378</v>
      </c>
      <c r="I12727" t="s">
        <v>31386</v>
      </c>
      <c r="J12727" t="s">
        <v>39270</v>
      </c>
      <c r="K12727" t="s">
        <v>40678</v>
      </c>
      <c r="M12727" t="s">
        <v>42051</v>
      </c>
      <c r="N12727" t="s">
        <v>44905</v>
      </c>
      <c r="O12727" t="s">
        <v>44906</v>
      </c>
      <c r="P12727">
        <v>0</v>
      </c>
      <c r="Q12727">
        <v>1</v>
      </c>
      <c r="R12727" t="s">
        <v>44921</v>
      </c>
      <c r="S12727" t="s">
        <v>45564</v>
      </c>
      <c r="T12727" t="s">
        <v>46391</v>
      </c>
      <c r="U12727" t="s">
        <v>57087</v>
      </c>
      <c r="W12727" t="s">
        <v>42051</v>
      </c>
      <c r="X12727" t="s">
        <v>44923</v>
      </c>
    </row>
    <row r="12728" spans="1:24">
      <c r="A12728">
        <f>HYPERLINK("https://www.philgeps.gov.ph/GEPSNONPILOT/Tender/SplashBidNoticeAbstractUI.aspx?menuIndex=3&amp;refID=7052200&amp;Result=3","7052200")</f>
        <v>0</v>
      </c>
      <c r="B12728" t="s">
        <v>48</v>
      </c>
      <c r="C12728" t="s">
        <v>15686</v>
      </c>
      <c r="D12728" t="s">
        <v>18117</v>
      </c>
      <c r="E12728" t="s">
        <v>29211</v>
      </c>
      <c r="F12728" t="s">
        <v>31362</v>
      </c>
      <c r="G12728" t="s">
        <v>31369</v>
      </c>
      <c r="H12728" t="s">
        <v>15799</v>
      </c>
      <c r="I12728" t="s">
        <v>7188</v>
      </c>
      <c r="J12728" t="s">
        <v>36208</v>
      </c>
      <c r="K12728" t="s">
        <v>40680</v>
      </c>
      <c r="M12728" t="s">
        <v>40982</v>
      </c>
      <c r="N12728" t="s">
        <v>44905</v>
      </c>
      <c r="O12728" t="s">
        <v>44906</v>
      </c>
      <c r="P12728">
        <v>0</v>
      </c>
      <c r="Q12728">
        <v>3</v>
      </c>
      <c r="R12728" t="s">
        <v>44921</v>
      </c>
      <c r="S12728" t="s">
        <v>45564</v>
      </c>
      <c r="T12728" t="s">
        <v>46403</v>
      </c>
      <c r="U12728" t="s">
        <v>57088</v>
      </c>
      <c r="V12728" t="s">
        <v>59056</v>
      </c>
      <c r="W12728" t="s">
        <v>40982</v>
      </c>
      <c r="X12728" t="s">
        <v>44923</v>
      </c>
    </row>
    <row r="12729" spans="1:24">
      <c r="A12729">
        <f>HYPERLINK("https://www.philgeps.gov.ph/GEPSNONPILOT/Tender/SplashBidNoticeAbstractUI.aspx?menuIndex=3&amp;refID=7052202&amp;Result=3","7052202")</f>
        <v>0</v>
      </c>
      <c r="B12729" t="s">
        <v>3276</v>
      </c>
      <c r="C12729" t="s">
        <v>15687</v>
      </c>
      <c r="D12729" t="s">
        <v>18146</v>
      </c>
      <c r="E12729" t="s">
        <v>29212</v>
      </c>
      <c r="F12729" t="s">
        <v>31362</v>
      </c>
      <c r="G12729" t="s">
        <v>31369</v>
      </c>
      <c r="H12729" t="s">
        <v>31378</v>
      </c>
      <c r="I12729" t="s">
        <v>31386</v>
      </c>
      <c r="J12729" t="s">
        <v>39271</v>
      </c>
      <c r="K12729" t="s">
        <v>40771</v>
      </c>
      <c r="M12729" t="s">
        <v>44561</v>
      </c>
      <c r="N12729" t="s">
        <v>44905</v>
      </c>
      <c r="O12729" t="s">
        <v>44906</v>
      </c>
      <c r="P12729">
        <v>0</v>
      </c>
      <c r="Q12729">
        <v>1</v>
      </c>
      <c r="R12729" t="s">
        <v>44921</v>
      </c>
      <c r="S12729" t="s">
        <v>45564</v>
      </c>
      <c r="T12729" t="s">
        <v>46435</v>
      </c>
      <c r="U12729" t="s">
        <v>57089</v>
      </c>
      <c r="W12729" t="s">
        <v>44561</v>
      </c>
      <c r="X12729" t="s">
        <v>44923</v>
      </c>
    </row>
    <row r="12730" spans="1:24">
      <c r="A12730">
        <f>HYPERLINK("https://www.philgeps.gov.ph/GEPSNONPILOT/Tender/SplashBidNoticeAbstractUI.aspx?menuIndex=3&amp;refID=7052191&amp;Result=3","7052191")</f>
        <v>0</v>
      </c>
      <c r="B12730" t="s">
        <v>262</v>
      </c>
      <c r="C12730" t="s">
        <v>15688</v>
      </c>
      <c r="E12730" t="s">
        <v>29213</v>
      </c>
      <c r="F12730" t="s">
        <v>31362</v>
      </c>
      <c r="G12730" t="s">
        <v>31369</v>
      </c>
      <c r="H12730" t="s">
        <v>31378</v>
      </c>
      <c r="I12730" t="s">
        <v>31386</v>
      </c>
      <c r="J12730" t="s">
        <v>39272</v>
      </c>
      <c r="K12730" t="s">
        <v>40694</v>
      </c>
      <c r="M12730" t="s">
        <v>42051</v>
      </c>
      <c r="N12730" t="s">
        <v>44905</v>
      </c>
      <c r="O12730" t="s">
        <v>44906</v>
      </c>
      <c r="P12730">
        <v>0</v>
      </c>
      <c r="Q12730">
        <v>0</v>
      </c>
      <c r="R12730" t="s">
        <v>44921</v>
      </c>
      <c r="S12730" t="s">
        <v>45564</v>
      </c>
      <c r="T12730" t="s">
        <v>46391</v>
      </c>
      <c r="U12730" t="s">
        <v>57090</v>
      </c>
      <c r="W12730" t="s">
        <v>42051</v>
      </c>
      <c r="X12730" t="s">
        <v>44923</v>
      </c>
    </row>
    <row r="12731" spans="1:24">
      <c r="A12731">
        <f>HYPERLINK("https://www.philgeps.gov.ph/GEPSNONPILOT/Tender/SplashBidNoticeAbstractUI.aspx?menuIndex=3&amp;refID=7052022&amp;Result=3","7052022")</f>
        <v>0</v>
      </c>
      <c r="B12731" t="s">
        <v>262</v>
      </c>
      <c r="C12731" t="s">
        <v>15689</v>
      </c>
      <c r="E12731" t="s">
        <v>29214</v>
      </c>
      <c r="F12731" t="s">
        <v>31362</v>
      </c>
      <c r="G12731" t="s">
        <v>31369</v>
      </c>
      <c r="H12731" t="s">
        <v>31378</v>
      </c>
      <c r="I12731" t="s">
        <v>31386</v>
      </c>
      <c r="J12731" t="s">
        <v>39273</v>
      </c>
      <c r="K12731" t="s">
        <v>40883</v>
      </c>
      <c r="M12731" t="s">
        <v>42051</v>
      </c>
      <c r="N12731" t="s">
        <v>44905</v>
      </c>
      <c r="O12731" t="s">
        <v>44906</v>
      </c>
      <c r="P12731">
        <v>0</v>
      </c>
      <c r="Q12731">
        <v>0</v>
      </c>
      <c r="R12731" t="s">
        <v>44921</v>
      </c>
      <c r="S12731" t="s">
        <v>45564</v>
      </c>
      <c r="T12731" t="s">
        <v>46391</v>
      </c>
      <c r="U12731" t="s">
        <v>57091</v>
      </c>
      <c r="W12731" t="s">
        <v>42051</v>
      </c>
      <c r="X12731" t="s">
        <v>44923</v>
      </c>
    </row>
    <row r="12732" spans="1:24">
      <c r="A12732">
        <f>HYPERLINK("https://www.philgeps.gov.ph/GEPSNONPILOT/Tender/SplashBidNoticeAbstractUI.aspx?menuIndex=3&amp;refID=7051513&amp;Result=3","7051513")</f>
        <v>0</v>
      </c>
      <c r="B12732" t="s">
        <v>1516</v>
      </c>
      <c r="C12732" t="s">
        <v>15690</v>
      </c>
      <c r="D12732" t="s">
        <v>18107</v>
      </c>
      <c r="E12732" t="s">
        <v>29215</v>
      </c>
      <c r="F12732" t="s">
        <v>31362</v>
      </c>
      <c r="G12732" t="s">
        <v>31369</v>
      </c>
      <c r="H12732" t="s">
        <v>15799</v>
      </c>
      <c r="I12732" t="s">
        <v>31409</v>
      </c>
      <c r="J12732" t="s">
        <v>33433</v>
      </c>
      <c r="K12732" t="s">
        <v>40665</v>
      </c>
      <c r="M12732" t="s">
        <v>42560</v>
      </c>
      <c r="N12732" t="s">
        <v>44905</v>
      </c>
      <c r="O12732" t="s">
        <v>44906</v>
      </c>
      <c r="Q12732">
        <v>5</v>
      </c>
      <c r="R12732" t="s">
        <v>44921</v>
      </c>
      <c r="S12732" t="s">
        <v>45578</v>
      </c>
      <c r="T12732" t="s">
        <v>46692</v>
      </c>
      <c r="U12732" t="s">
        <v>57092</v>
      </c>
      <c r="W12732" t="s">
        <v>42560</v>
      </c>
      <c r="X12732" t="s">
        <v>44923</v>
      </c>
    </row>
    <row r="12733" spans="1:24">
      <c r="A12733">
        <f>HYPERLINK("https://www.philgeps.gov.ph/GEPSNONPILOT/Tender/SplashBidNoticeAbstractUI.aspx?menuIndex=3&amp;refID=7052226&amp;Result=3","7052226")</f>
        <v>0</v>
      </c>
      <c r="B12733" t="s">
        <v>3276</v>
      </c>
      <c r="C12733" t="s">
        <v>15691</v>
      </c>
      <c r="D12733" t="s">
        <v>18146</v>
      </c>
      <c r="E12733" t="s">
        <v>29216</v>
      </c>
      <c r="F12733" t="s">
        <v>31362</v>
      </c>
      <c r="G12733" t="s">
        <v>31369</v>
      </c>
      <c r="H12733" t="s">
        <v>31378</v>
      </c>
      <c r="I12733" t="s">
        <v>31386</v>
      </c>
      <c r="J12733" t="s">
        <v>39274</v>
      </c>
      <c r="K12733" t="s">
        <v>40852</v>
      </c>
      <c r="M12733" t="s">
        <v>44561</v>
      </c>
      <c r="N12733" t="s">
        <v>44905</v>
      </c>
      <c r="O12733" t="s">
        <v>44906</v>
      </c>
      <c r="P12733">
        <v>0</v>
      </c>
      <c r="Q12733">
        <v>1</v>
      </c>
      <c r="R12733" t="s">
        <v>44921</v>
      </c>
      <c r="S12733" t="s">
        <v>45564</v>
      </c>
      <c r="T12733" t="s">
        <v>46435</v>
      </c>
      <c r="U12733" t="s">
        <v>57093</v>
      </c>
      <c r="W12733" t="s">
        <v>44561</v>
      </c>
      <c r="X12733" t="s">
        <v>44923</v>
      </c>
    </row>
    <row r="12734" spans="1:24">
      <c r="A12734">
        <f>HYPERLINK("https://www.philgeps.gov.ph/GEPSNONPILOT/Tender/SplashBidNoticeAbstractUI.aspx?menuIndex=3&amp;refID=7051509&amp;Result=3","7051509")</f>
        <v>0</v>
      </c>
      <c r="B12734" t="s">
        <v>929</v>
      </c>
      <c r="C12734" t="s">
        <v>15692</v>
      </c>
      <c r="D12734" t="s">
        <v>18143</v>
      </c>
      <c r="E12734" t="s">
        <v>29217</v>
      </c>
      <c r="F12734" t="s">
        <v>31362</v>
      </c>
      <c r="G12734" t="s">
        <v>31369</v>
      </c>
      <c r="H12734" t="s">
        <v>31378</v>
      </c>
      <c r="I12734" t="s">
        <v>31386</v>
      </c>
      <c r="J12734" t="s">
        <v>39275</v>
      </c>
      <c r="K12734" t="s">
        <v>40788</v>
      </c>
      <c r="M12734" t="s">
        <v>42936</v>
      </c>
      <c r="N12734" t="s">
        <v>44905</v>
      </c>
      <c r="O12734" t="s">
        <v>44906</v>
      </c>
      <c r="P12734">
        <v>0</v>
      </c>
      <c r="Q12734">
        <v>0</v>
      </c>
      <c r="R12734" t="s">
        <v>44921</v>
      </c>
      <c r="S12734" t="s">
        <v>45564</v>
      </c>
      <c r="T12734" t="s">
        <v>46491</v>
      </c>
      <c r="U12734" t="s">
        <v>57094</v>
      </c>
      <c r="W12734" t="s">
        <v>42936</v>
      </c>
      <c r="X12734" t="s">
        <v>44923</v>
      </c>
    </row>
    <row r="12735" spans="1:24">
      <c r="A12735">
        <f>HYPERLINK("https://www.philgeps.gov.ph/GEPSNONPILOT/Tender/SplashBidNoticeAbstractUI.aspx?menuIndex=3&amp;refID=7052221&amp;Result=3","7052221")</f>
        <v>0</v>
      </c>
      <c r="B12735" t="s">
        <v>262</v>
      </c>
      <c r="C12735" t="s">
        <v>15693</v>
      </c>
      <c r="E12735" t="s">
        <v>29218</v>
      </c>
      <c r="F12735" t="s">
        <v>31362</v>
      </c>
      <c r="G12735" t="s">
        <v>31369</v>
      </c>
      <c r="H12735" t="s">
        <v>31378</v>
      </c>
      <c r="I12735" t="s">
        <v>31386</v>
      </c>
      <c r="J12735" t="s">
        <v>39276</v>
      </c>
      <c r="K12735" t="s">
        <v>40678</v>
      </c>
      <c r="M12735" t="s">
        <v>42051</v>
      </c>
      <c r="N12735" t="s">
        <v>44905</v>
      </c>
      <c r="O12735" t="s">
        <v>44906</v>
      </c>
      <c r="P12735">
        <v>0</v>
      </c>
      <c r="Q12735">
        <v>1</v>
      </c>
      <c r="R12735" t="s">
        <v>44921</v>
      </c>
      <c r="S12735" t="s">
        <v>45564</v>
      </c>
      <c r="T12735" t="s">
        <v>46391</v>
      </c>
      <c r="U12735" t="s">
        <v>57095</v>
      </c>
      <c r="W12735" t="s">
        <v>42051</v>
      </c>
      <c r="X12735" t="s">
        <v>44923</v>
      </c>
    </row>
    <row r="12736" spans="1:24">
      <c r="A12736">
        <f>HYPERLINK("https://www.philgeps.gov.ph/GEPSNONPILOT/Tender/SplashBidNoticeAbstractUI.aspx?menuIndex=3&amp;refID=7051392&amp;Result=3","7051392")</f>
        <v>0</v>
      </c>
      <c r="B12736" t="s">
        <v>929</v>
      </c>
      <c r="C12736" t="s">
        <v>15694</v>
      </c>
      <c r="D12736" t="s">
        <v>18143</v>
      </c>
      <c r="E12736" t="s">
        <v>29219</v>
      </c>
      <c r="F12736" t="s">
        <v>31362</v>
      </c>
      <c r="G12736" t="s">
        <v>31369</v>
      </c>
      <c r="H12736" t="s">
        <v>31378</v>
      </c>
      <c r="I12736" t="s">
        <v>31386</v>
      </c>
      <c r="J12736" t="s">
        <v>39277</v>
      </c>
      <c r="K12736" t="s">
        <v>40676</v>
      </c>
      <c r="M12736" t="s">
        <v>42936</v>
      </c>
      <c r="N12736" t="s">
        <v>44905</v>
      </c>
      <c r="O12736" t="s">
        <v>44906</v>
      </c>
      <c r="P12736">
        <v>0</v>
      </c>
      <c r="Q12736">
        <v>0</v>
      </c>
      <c r="R12736" t="s">
        <v>44921</v>
      </c>
      <c r="S12736" t="s">
        <v>45564</v>
      </c>
      <c r="T12736" t="s">
        <v>46491</v>
      </c>
      <c r="U12736" t="s">
        <v>57096</v>
      </c>
      <c r="W12736" t="s">
        <v>42936</v>
      </c>
      <c r="X12736" t="s">
        <v>44923</v>
      </c>
    </row>
    <row r="12737" spans="1:24">
      <c r="A12737">
        <f>HYPERLINK("https://www.philgeps.gov.ph/GEPSNONPILOT/Tender/SplashBidNoticeAbstractUI.aspx?menuIndex=3&amp;refID=7051871&amp;Result=3","7051871")</f>
        <v>0</v>
      </c>
      <c r="B12737" t="s">
        <v>262</v>
      </c>
      <c r="C12737" t="s">
        <v>15695</v>
      </c>
      <c r="E12737" t="s">
        <v>29220</v>
      </c>
      <c r="F12737" t="s">
        <v>31362</v>
      </c>
      <c r="G12737" t="s">
        <v>31369</v>
      </c>
      <c r="H12737" t="s">
        <v>31378</v>
      </c>
      <c r="I12737" t="s">
        <v>31386</v>
      </c>
      <c r="J12737" t="s">
        <v>39278</v>
      </c>
      <c r="K12737" t="s">
        <v>40678</v>
      </c>
      <c r="M12737" t="s">
        <v>42051</v>
      </c>
      <c r="N12737" t="s">
        <v>44905</v>
      </c>
      <c r="O12737" t="s">
        <v>44906</v>
      </c>
      <c r="P12737">
        <v>0</v>
      </c>
      <c r="Q12737">
        <v>0</v>
      </c>
      <c r="R12737" t="s">
        <v>44921</v>
      </c>
      <c r="S12737" t="s">
        <v>45564</v>
      </c>
      <c r="T12737" t="s">
        <v>46391</v>
      </c>
      <c r="U12737" t="s">
        <v>57097</v>
      </c>
      <c r="W12737" t="s">
        <v>42051</v>
      </c>
      <c r="X12737" t="s">
        <v>44923</v>
      </c>
    </row>
    <row r="12738" spans="1:24">
      <c r="A12738">
        <f>HYPERLINK("https://www.philgeps.gov.ph/GEPSNONPILOT/Tender/SplashBidNoticeAbstractUI.aspx?menuIndex=3&amp;refID=7051911&amp;Result=3","7051911")</f>
        <v>0</v>
      </c>
      <c r="B12738" t="s">
        <v>262</v>
      </c>
      <c r="C12738" t="s">
        <v>15696</v>
      </c>
      <c r="E12738" t="s">
        <v>29221</v>
      </c>
      <c r="F12738" t="s">
        <v>31362</v>
      </c>
      <c r="G12738" t="s">
        <v>31369</v>
      </c>
      <c r="H12738" t="s">
        <v>31378</v>
      </c>
      <c r="I12738" t="s">
        <v>31386</v>
      </c>
      <c r="J12738" t="s">
        <v>39279</v>
      </c>
      <c r="K12738" t="s">
        <v>40678</v>
      </c>
      <c r="M12738" t="s">
        <v>42051</v>
      </c>
      <c r="N12738" t="s">
        <v>44905</v>
      </c>
      <c r="O12738" t="s">
        <v>44906</v>
      </c>
      <c r="P12738">
        <v>0</v>
      </c>
      <c r="Q12738">
        <v>0</v>
      </c>
      <c r="R12738" t="s">
        <v>44921</v>
      </c>
      <c r="S12738" t="s">
        <v>45564</v>
      </c>
      <c r="T12738" t="s">
        <v>46391</v>
      </c>
      <c r="U12738" t="s">
        <v>57098</v>
      </c>
      <c r="W12738" t="s">
        <v>42051</v>
      </c>
      <c r="X12738" t="s">
        <v>44923</v>
      </c>
    </row>
    <row r="12739" spans="1:24">
      <c r="A12739">
        <f>HYPERLINK("https://www.philgeps.gov.ph/GEPSNONPILOT/Tender/SplashBidNoticeAbstractUI.aspx?menuIndex=3&amp;refID=7052958&amp;Result=3","7052958")</f>
        <v>0</v>
      </c>
      <c r="B12739" t="s">
        <v>2793</v>
      </c>
      <c r="C12739" t="s">
        <v>15697</v>
      </c>
      <c r="D12739" t="s">
        <v>18158</v>
      </c>
      <c r="E12739" t="s">
        <v>29222</v>
      </c>
      <c r="F12739" t="s">
        <v>31362</v>
      </c>
      <c r="G12739" t="s">
        <v>31369</v>
      </c>
      <c r="H12739" t="s">
        <v>15799</v>
      </c>
      <c r="I12739" t="s">
        <v>31393</v>
      </c>
      <c r="J12739" t="s">
        <v>39280</v>
      </c>
      <c r="K12739" t="s">
        <v>40665</v>
      </c>
      <c r="M12739" t="s">
        <v>43990</v>
      </c>
      <c r="N12739" t="s">
        <v>44905</v>
      </c>
      <c r="O12739" t="s">
        <v>44906</v>
      </c>
      <c r="P12739">
        <v>0</v>
      </c>
      <c r="Q12739">
        <v>2</v>
      </c>
      <c r="R12739" t="s">
        <v>44921</v>
      </c>
      <c r="S12739" t="s">
        <v>45564</v>
      </c>
      <c r="T12739" t="s">
        <v>46401</v>
      </c>
      <c r="U12739" t="s">
        <v>57099</v>
      </c>
      <c r="V12739" t="s">
        <v>60453</v>
      </c>
      <c r="W12739" t="s">
        <v>43990</v>
      </c>
      <c r="X12739" t="s">
        <v>44922</v>
      </c>
    </row>
    <row r="12740" spans="1:24">
      <c r="A12740">
        <f>HYPERLINK("https://www.philgeps.gov.ph/GEPSNONPILOT/Tender/SplashBidNoticeAbstractUI.aspx?menuIndex=3&amp;refID=7047622&amp;Result=3","7047622")</f>
        <v>0</v>
      </c>
      <c r="B12740" t="s">
        <v>38</v>
      </c>
      <c r="C12740" t="s">
        <v>15698</v>
      </c>
      <c r="E12740" t="s">
        <v>29223</v>
      </c>
      <c r="F12740" t="s">
        <v>31362</v>
      </c>
      <c r="G12740" t="s">
        <v>31369</v>
      </c>
      <c r="H12740" t="s">
        <v>15799</v>
      </c>
      <c r="I12740" t="s">
        <v>31515</v>
      </c>
      <c r="J12740" t="s">
        <v>32158</v>
      </c>
      <c r="K12740" t="s">
        <v>40662</v>
      </c>
      <c r="M12740" t="s">
        <v>40972</v>
      </c>
      <c r="N12740" t="s">
        <v>44905</v>
      </c>
      <c r="O12740" t="s">
        <v>44906</v>
      </c>
      <c r="P12740">
        <v>0</v>
      </c>
      <c r="Q12740">
        <v>10</v>
      </c>
      <c r="R12740" t="s">
        <v>44921</v>
      </c>
      <c r="S12740" t="s">
        <v>45564</v>
      </c>
      <c r="T12740" t="s">
        <v>46426</v>
      </c>
      <c r="U12740" t="s">
        <v>57100</v>
      </c>
      <c r="W12740" t="s">
        <v>40972</v>
      </c>
      <c r="X12740" t="s">
        <v>44924</v>
      </c>
    </row>
    <row r="12741" spans="1:24">
      <c r="A12741">
        <f>HYPERLINK("https://www.philgeps.gov.ph/GEPSNONPILOT/Tender/SplashBidNoticeAbstractUI.aspx?menuIndex=3&amp;refID=7052954&amp;Result=3","7052954")</f>
        <v>0</v>
      </c>
      <c r="B12741" t="s">
        <v>1886</v>
      </c>
      <c r="C12741" t="s">
        <v>6072</v>
      </c>
      <c r="D12741" t="s">
        <v>18174</v>
      </c>
      <c r="E12741" t="s">
        <v>29224</v>
      </c>
      <c r="F12741" t="s">
        <v>31362</v>
      </c>
      <c r="G12741" t="s">
        <v>31369</v>
      </c>
      <c r="H12741" t="s">
        <v>15799</v>
      </c>
      <c r="I12741" t="s">
        <v>4283</v>
      </c>
      <c r="J12741" t="s">
        <v>39281</v>
      </c>
      <c r="K12741" t="s">
        <v>40662</v>
      </c>
      <c r="M12741" t="s">
        <v>42980</v>
      </c>
      <c r="N12741" t="s">
        <v>44905</v>
      </c>
      <c r="O12741" t="s">
        <v>44906</v>
      </c>
      <c r="P12741">
        <v>0</v>
      </c>
      <c r="Q12741">
        <v>1</v>
      </c>
      <c r="R12741" t="s">
        <v>44921</v>
      </c>
      <c r="S12741" t="s">
        <v>45564</v>
      </c>
      <c r="T12741" t="s">
        <v>46530</v>
      </c>
      <c r="U12741" t="s">
        <v>57101</v>
      </c>
      <c r="W12741" t="s">
        <v>42980</v>
      </c>
      <c r="X12741" t="s">
        <v>44922</v>
      </c>
    </row>
    <row r="12742" spans="1:24">
      <c r="A12742">
        <f>HYPERLINK("https://www.philgeps.gov.ph/GEPSNONPILOT/Tender/SplashBidNoticeAbstractUI.aspx?menuIndex=3&amp;refID=7052931&amp;Result=3","7052931")</f>
        <v>0</v>
      </c>
      <c r="B12742" t="s">
        <v>1891</v>
      </c>
      <c r="C12742" t="s">
        <v>15699</v>
      </c>
      <c r="D12742" t="s">
        <v>18146</v>
      </c>
      <c r="E12742" t="s">
        <v>29225</v>
      </c>
      <c r="F12742" t="s">
        <v>31362</v>
      </c>
      <c r="G12742" t="s">
        <v>31369</v>
      </c>
      <c r="H12742" t="s">
        <v>15799</v>
      </c>
      <c r="I12742" t="s">
        <v>31466</v>
      </c>
      <c r="J12742" t="s">
        <v>39282</v>
      </c>
      <c r="K12742" t="s">
        <v>40677</v>
      </c>
      <c r="M12742" t="s">
        <v>42986</v>
      </c>
      <c r="N12742" t="s">
        <v>44905</v>
      </c>
      <c r="O12742" t="s">
        <v>44906</v>
      </c>
      <c r="P12742">
        <v>0</v>
      </c>
      <c r="Q12742">
        <v>2</v>
      </c>
      <c r="R12742" t="s">
        <v>44921</v>
      </c>
      <c r="S12742" t="s">
        <v>45564</v>
      </c>
      <c r="T12742" t="s">
        <v>46506</v>
      </c>
      <c r="U12742" t="s">
        <v>57102</v>
      </c>
      <c r="V12742" t="s">
        <v>60454</v>
      </c>
      <c r="W12742" t="s">
        <v>42986</v>
      </c>
      <c r="X12742" t="s">
        <v>44922</v>
      </c>
    </row>
    <row r="12743" spans="1:24">
      <c r="A12743">
        <f>HYPERLINK("https://www.philgeps.gov.ph/GEPSNONPILOT/Tender/SplashBidNoticeAbstractUI.aspx?menuIndex=3&amp;refID=7052918&amp;Result=3","7052918")</f>
        <v>0</v>
      </c>
      <c r="B12743" t="s">
        <v>1886</v>
      </c>
      <c r="C12743" t="s">
        <v>6054</v>
      </c>
      <c r="D12743" t="s">
        <v>18174</v>
      </c>
      <c r="E12743" t="s">
        <v>29226</v>
      </c>
      <c r="F12743" t="s">
        <v>31362</v>
      </c>
      <c r="G12743" t="s">
        <v>31369</v>
      </c>
      <c r="H12743" t="s">
        <v>15799</v>
      </c>
      <c r="I12743" t="s">
        <v>7719</v>
      </c>
      <c r="J12743" t="s">
        <v>39283</v>
      </c>
      <c r="K12743" t="s">
        <v>40662</v>
      </c>
      <c r="M12743" t="s">
        <v>42980</v>
      </c>
      <c r="N12743" t="s">
        <v>44905</v>
      </c>
      <c r="O12743" t="s">
        <v>44906</v>
      </c>
      <c r="P12743">
        <v>0</v>
      </c>
      <c r="Q12743">
        <v>6</v>
      </c>
      <c r="R12743" t="s">
        <v>44921</v>
      </c>
      <c r="S12743" t="s">
        <v>45564</v>
      </c>
      <c r="T12743" t="s">
        <v>46530</v>
      </c>
      <c r="U12743" t="s">
        <v>57103</v>
      </c>
      <c r="W12743" t="s">
        <v>42980</v>
      </c>
      <c r="X12743" t="s">
        <v>44922</v>
      </c>
    </row>
    <row r="12744" spans="1:24">
      <c r="A12744">
        <f>HYPERLINK("https://www.philgeps.gov.ph/GEPSNONPILOT/Tender/SplashBidNoticeAbstractUI.aspx?menuIndex=3&amp;refID=7052962&amp;Result=3","7052962")</f>
        <v>0</v>
      </c>
      <c r="B12744" t="s">
        <v>393</v>
      </c>
      <c r="C12744" t="s">
        <v>15700</v>
      </c>
      <c r="D12744" t="s">
        <v>18115</v>
      </c>
      <c r="E12744" t="s">
        <v>29227</v>
      </c>
      <c r="F12744" t="s">
        <v>31362</v>
      </c>
      <c r="G12744" t="s">
        <v>31368</v>
      </c>
      <c r="H12744" t="s">
        <v>31379</v>
      </c>
      <c r="I12744" t="s">
        <v>31424</v>
      </c>
      <c r="J12744" t="s">
        <v>31806</v>
      </c>
      <c r="K12744" t="s">
        <v>40697</v>
      </c>
      <c r="M12744" t="s">
        <v>41341</v>
      </c>
      <c r="N12744" t="s">
        <v>44905</v>
      </c>
      <c r="O12744" t="s">
        <v>44906</v>
      </c>
      <c r="Q12744">
        <v>0</v>
      </c>
      <c r="R12744" t="s">
        <v>44921</v>
      </c>
      <c r="S12744" t="s">
        <v>45579</v>
      </c>
      <c r="T12744" t="s">
        <v>46409</v>
      </c>
      <c r="U12744" t="s">
        <v>57104</v>
      </c>
      <c r="W12744" t="s">
        <v>41341</v>
      </c>
      <c r="X12744" t="s">
        <v>44922</v>
      </c>
    </row>
    <row r="12745" spans="1:24">
      <c r="A12745">
        <f>HYPERLINK("https://www.philgeps.gov.ph/GEPSNONPILOT/Tender/SplashBidNoticeAbstractUI.aspx?menuIndex=3&amp;refID=7052915&amp;Result=3","7052915")</f>
        <v>0</v>
      </c>
      <c r="B12745" t="s">
        <v>3277</v>
      </c>
      <c r="C12745" t="s">
        <v>15701</v>
      </c>
      <c r="D12745" t="s">
        <v>18134</v>
      </c>
      <c r="E12745" t="s">
        <v>29228</v>
      </c>
      <c r="F12745" t="s">
        <v>31362</v>
      </c>
      <c r="G12745" t="s">
        <v>31369</v>
      </c>
      <c r="H12745" t="s">
        <v>15799</v>
      </c>
      <c r="I12745" t="s">
        <v>3815</v>
      </c>
      <c r="J12745" t="s">
        <v>39284</v>
      </c>
      <c r="K12745" t="s">
        <v>40665</v>
      </c>
      <c r="M12745" t="s">
        <v>44562</v>
      </c>
      <c r="N12745" t="s">
        <v>44905</v>
      </c>
      <c r="O12745" t="s">
        <v>44906</v>
      </c>
      <c r="P12745">
        <v>0</v>
      </c>
      <c r="Q12745">
        <v>0</v>
      </c>
      <c r="R12745" t="s">
        <v>44921</v>
      </c>
      <c r="S12745" t="s">
        <v>45564</v>
      </c>
      <c r="T12745" t="s">
        <v>46393</v>
      </c>
      <c r="U12745" t="s">
        <v>57105</v>
      </c>
      <c r="W12745" t="s">
        <v>44562</v>
      </c>
      <c r="X12745" t="s">
        <v>44922</v>
      </c>
    </row>
    <row r="12746" spans="1:24">
      <c r="A12746">
        <f>HYPERLINK("https://www.philgeps.gov.ph/GEPSNONPILOT/Tender/SplashBidNoticeAbstractUI.aspx?menuIndex=3&amp;refID=7052887&amp;Result=3","7052887")</f>
        <v>0</v>
      </c>
      <c r="B12746" t="s">
        <v>3278</v>
      </c>
      <c r="C12746" t="s">
        <v>15702</v>
      </c>
      <c r="D12746" t="s">
        <v>18134</v>
      </c>
      <c r="E12746" t="s">
        <v>29228</v>
      </c>
      <c r="F12746" t="s">
        <v>31362</v>
      </c>
      <c r="G12746" t="s">
        <v>31369</v>
      </c>
      <c r="H12746" t="s">
        <v>31378</v>
      </c>
      <c r="I12746" t="s">
        <v>31386</v>
      </c>
      <c r="J12746" t="s">
        <v>39285</v>
      </c>
      <c r="K12746" t="s">
        <v>40675</v>
      </c>
      <c r="M12746" t="s">
        <v>44563</v>
      </c>
      <c r="N12746" t="s">
        <v>44905</v>
      </c>
      <c r="O12746" t="s">
        <v>44906</v>
      </c>
      <c r="P12746">
        <v>0</v>
      </c>
      <c r="Q12746">
        <v>0</v>
      </c>
      <c r="R12746" t="s">
        <v>44921</v>
      </c>
      <c r="S12746" t="s">
        <v>45564</v>
      </c>
      <c r="T12746" t="s">
        <v>46393</v>
      </c>
      <c r="U12746" t="s">
        <v>57106</v>
      </c>
      <c r="W12746" t="s">
        <v>44563</v>
      </c>
      <c r="X12746" t="s">
        <v>44922</v>
      </c>
    </row>
    <row r="12747" spans="1:24">
      <c r="A12747">
        <f>HYPERLINK("https://www.philgeps.gov.ph/GEPSNONPILOT/Tender/SplashBidNoticeAbstractUI.aspx?menuIndex=3&amp;refID=7051810&amp;Result=3","7051810")</f>
        <v>0</v>
      </c>
      <c r="B12747" t="s">
        <v>929</v>
      </c>
      <c r="C12747" t="s">
        <v>15703</v>
      </c>
      <c r="D12747" t="s">
        <v>18143</v>
      </c>
      <c r="E12747" t="s">
        <v>29229</v>
      </c>
      <c r="F12747" t="s">
        <v>31362</v>
      </c>
      <c r="G12747" t="s">
        <v>31369</v>
      </c>
      <c r="H12747" t="s">
        <v>31378</v>
      </c>
      <c r="I12747" t="s">
        <v>31386</v>
      </c>
      <c r="J12747" t="s">
        <v>39286</v>
      </c>
      <c r="K12747" t="s">
        <v>40788</v>
      </c>
      <c r="M12747" t="s">
        <v>42936</v>
      </c>
      <c r="N12747" t="s">
        <v>44905</v>
      </c>
      <c r="O12747" t="s">
        <v>44906</v>
      </c>
      <c r="P12747">
        <v>0</v>
      </c>
      <c r="Q12747">
        <v>0</v>
      </c>
      <c r="R12747" t="s">
        <v>44921</v>
      </c>
      <c r="S12747" t="s">
        <v>45564</v>
      </c>
      <c r="T12747" t="s">
        <v>46491</v>
      </c>
      <c r="U12747" t="s">
        <v>57107</v>
      </c>
      <c r="W12747" t="s">
        <v>42936</v>
      </c>
      <c r="X12747" t="s">
        <v>44923</v>
      </c>
    </row>
    <row r="12748" spans="1:24">
      <c r="A12748">
        <f>HYPERLINK("https://www.philgeps.gov.ph/GEPSNONPILOT/Tender/SplashBidNoticeAbstractUI.aspx?menuIndex=3&amp;refID=7053197&amp;Result=3","7053197")</f>
        <v>0</v>
      </c>
      <c r="B12748" t="s">
        <v>3279</v>
      </c>
      <c r="C12748" t="s">
        <v>15704</v>
      </c>
      <c r="D12748" t="s">
        <v>18148</v>
      </c>
      <c r="E12748" t="s">
        <v>29230</v>
      </c>
      <c r="F12748" t="s">
        <v>31362</v>
      </c>
      <c r="G12748" t="s">
        <v>31369</v>
      </c>
      <c r="H12748" t="s">
        <v>31378</v>
      </c>
      <c r="I12748" t="s">
        <v>31386</v>
      </c>
      <c r="J12748" t="s">
        <v>39287</v>
      </c>
      <c r="K12748" t="s">
        <v>40675</v>
      </c>
      <c r="M12748" t="s">
        <v>44564</v>
      </c>
      <c r="N12748" t="s">
        <v>44905</v>
      </c>
      <c r="O12748" t="s">
        <v>44906</v>
      </c>
      <c r="Q12748">
        <v>3</v>
      </c>
      <c r="R12748" t="s">
        <v>44921</v>
      </c>
      <c r="S12748" t="s">
        <v>45580</v>
      </c>
      <c r="T12748" t="s">
        <v>46435</v>
      </c>
      <c r="U12748" t="s">
        <v>57108</v>
      </c>
      <c r="W12748" t="s">
        <v>44564</v>
      </c>
      <c r="X12748" t="s">
        <v>44922</v>
      </c>
    </row>
    <row r="12749" spans="1:24">
      <c r="A12749">
        <f>HYPERLINK("https://www.philgeps.gov.ph/GEPSNONPILOT/Tender/SplashBidNoticeAbstractUI.aspx?menuIndex=3&amp;refID=7052282&amp;Result=3","7052282")</f>
        <v>0</v>
      </c>
      <c r="B12749" t="s">
        <v>1689</v>
      </c>
      <c r="C12749" t="s">
        <v>15705</v>
      </c>
      <c r="D12749" t="s">
        <v>18136</v>
      </c>
      <c r="E12749" t="s">
        <v>29231</v>
      </c>
      <c r="F12749" t="s">
        <v>31362</v>
      </c>
      <c r="G12749" t="s">
        <v>31369</v>
      </c>
      <c r="H12749" t="s">
        <v>31378</v>
      </c>
      <c r="I12749" t="s">
        <v>31386</v>
      </c>
      <c r="J12749" t="s">
        <v>39288</v>
      </c>
      <c r="K12749" t="s">
        <v>40921</v>
      </c>
      <c r="M12749" t="s">
        <v>42756</v>
      </c>
      <c r="N12749" t="s">
        <v>44905</v>
      </c>
      <c r="O12749" t="s">
        <v>44906</v>
      </c>
      <c r="P12749">
        <v>0</v>
      </c>
      <c r="Q12749">
        <v>1</v>
      </c>
      <c r="R12749" t="s">
        <v>44921</v>
      </c>
      <c r="S12749" t="s">
        <v>45564</v>
      </c>
      <c r="T12749" t="s">
        <v>46435</v>
      </c>
      <c r="U12749" t="s">
        <v>52749</v>
      </c>
      <c r="V12749" t="s">
        <v>59553</v>
      </c>
      <c r="W12749" t="s">
        <v>42756</v>
      </c>
      <c r="X12749" t="s">
        <v>44923</v>
      </c>
    </row>
    <row r="12750" spans="1:24">
      <c r="A12750">
        <f>HYPERLINK("https://www.philgeps.gov.ph/GEPSNONPILOT/Tender/SplashBidNoticeAbstractUI.aspx?menuIndex=3&amp;refID=7053154&amp;Result=3","7053154")</f>
        <v>0</v>
      </c>
      <c r="B12750" t="s">
        <v>3280</v>
      </c>
      <c r="C12750" t="s">
        <v>15706</v>
      </c>
      <c r="D12750" t="s">
        <v>18110</v>
      </c>
      <c r="E12750" t="s">
        <v>29232</v>
      </c>
      <c r="F12750" t="s">
        <v>31362</v>
      </c>
      <c r="G12750" t="s">
        <v>31369</v>
      </c>
      <c r="H12750" t="s">
        <v>31378</v>
      </c>
      <c r="I12750" t="s">
        <v>31386</v>
      </c>
      <c r="J12750" t="s">
        <v>39289</v>
      </c>
      <c r="K12750" t="s">
        <v>40686</v>
      </c>
      <c r="M12750" t="s">
        <v>44565</v>
      </c>
      <c r="N12750" t="s">
        <v>44905</v>
      </c>
      <c r="O12750" t="s">
        <v>44906</v>
      </c>
      <c r="Q12750">
        <v>22</v>
      </c>
      <c r="R12750" t="s">
        <v>44921</v>
      </c>
      <c r="S12750" t="s">
        <v>45581</v>
      </c>
      <c r="T12750" t="s">
        <v>46447</v>
      </c>
      <c r="U12750" t="s">
        <v>57109</v>
      </c>
      <c r="W12750" t="s">
        <v>44565</v>
      </c>
      <c r="X12750" t="s">
        <v>44922</v>
      </c>
    </row>
    <row r="12751" spans="1:24">
      <c r="A12751">
        <f>HYPERLINK("https://www.philgeps.gov.ph/GEPSNONPILOT/Tender/SplashBidNoticeAbstractUI.aspx?menuIndex=3&amp;refID=7052262&amp;Result=3","7052262")</f>
        <v>0</v>
      </c>
      <c r="B12751" t="s">
        <v>3276</v>
      </c>
      <c r="C12751" t="s">
        <v>15707</v>
      </c>
      <c r="D12751" t="s">
        <v>18146</v>
      </c>
      <c r="E12751" t="s">
        <v>29233</v>
      </c>
      <c r="F12751" t="s">
        <v>31362</v>
      </c>
      <c r="G12751" t="s">
        <v>31369</v>
      </c>
      <c r="H12751" t="s">
        <v>31378</v>
      </c>
      <c r="I12751" t="s">
        <v>31386</v>
      </c>
      <c r="J12751" t="s">
        <v>39290</v>
      </c>
      <c r="K12751" t="s">
        <v>40841</v>
      </c>
      <c r="M12751" t="s">
        <v>44561</v>
      </c>
      <c r="N12751" t="s">
        <v>44905</v>
      </c>
      <c r="O12751" t="s">
        <v>44906</v>
      </c>
      <c r="P12751">
        <v>0</v>
      </c>
      <c r="Q12751">
        <v>0</v>
      </c>
      <c r="R12751" t="s">
        <v>44921</v>
      </c>
      <c r="S12751" t="s">
        <v>45564</v>
      </c>
      <c r="T12751" t="s">
        <v>46435</v>
      </c>
      <c r="U12751" t="s">
        <v>57110</v>
      </c>
      <c r="W12751" t="s">
        <v>44561</v>
      </c>
      <c r="X12751" t="s">
        <v>44923</v>
      </c>
    </row>
    <row r="12752" spans="1:24">
      <c r="A12752">
        <f>HYPERLINK("https://www.philgeps.gov.ph/GEPSNONPILOT/Tender/SplashBidNoticeAbstractUI.aspx?menuIndex=3&amp;refID=7053153&amp;Result=3","7053153")</f>
        <v>0</v>
      </c>
      <c r="B12752" t="s">
        <v>3237</v>
      </c>
      <c r="C12752" t="s">
        <v>15708</v>
      </c>
      <c r="D12752" t="s">
        <v>18172</v>
      </c>
      <c r="E12752" t="s">
        <v>29234</v>
      </c>
      <c r="F12752" t="s">
        <v>31362</v>
      </c>
      <c r="G12752" t="s">
        <v>31369</v>
      </c>
      <c r="H12752" t="s">
        <v>15799</v>
      </c>
      <c r="I12752" t="s">
        <v>3815</v>
      </c>
      <c r="J12752" t="s">
        <v>39291</v>
      </c>
      <c r="K12752" t="s">
        <v>40670</v>
      </c>
      <c r="M12752" t="s">
        <v>44514</v>
      </c>
      <c r="N12752" t="s">
        <v>44905</v>
      </c>
      <c r="O12752" t="s">
        <v>44906</v>
      </c>
      <c r="P12752">
        <v>0</v>
      </c>
      <c r="Q12752">
        <v>0</v>
      </c>
      <c r="R12752" t="s">
        <v>44921</v>
      </c>
      <c r="S12752" t="s">
        <v>45564</v>
      </c>
      <c r="T12752" t="s">
        <v>46415</v>
      </c>
      <c r="U12752" t="s">
        <v>57111</v>
      </c>
      <c r="W12752" t="s">
        <v>44514</v>
      </c>
      <c r="X12752" t="s">
        <v>44922</v>
      </c>
    </row>
    <row r="12753" spans="1:24">
      <c r="A12753">
        <f>HYPERLINK("https://www.philgeps.gov.ph/GEPSNONPILOT/Tender/SplashBidNoticeAbstractUI.aspx?menuIndex=3&amp;refID=7053137&amp;Result=3","7053137")</f>
        <v>0</v>
      </c>
      <c r="B12753" t="s">
        <v>3238</v>
      </c>
      <c r="C12753" t="s">
        <v>15709</v>
      </c>
      <c r="E12753" t="s">
        <v>29235</v>
      </c>
      <c r="F12753" t="s">
        <v>31362</v>
      </c>
      <c r="G12753" t="s">
        <v>31369</v>
      </c>
      <c r="H12753" t="s">
        <v>15799</v>
      </c>
      <c r="I12753" t="s">
        <v>31396</v>
      </c>
      <c r="J12753" t="s">
        <v>31634</v>
      </c>
      <c r="K12753" t="s">
        <v>40662</v>
      </c>
      <c r="M12753" t="s">
        <v>44515</v>
      </c>
      <c r="N12753" t="s">
        <v>44905</v>
      </c>
      <c r="O12753" t="s">
        <v>44906</v>
      </c>
      <c r="Q12753">
        <v>11</v>
      </c>
      <c r="R12753" t="s">
        <v>44921</v>
      </c>
      <c r="S12753" t="s">
        <v>45265</v>
      </c>
      <c r="T12753" t="s">
        <v>46555</v>
      </c>
      <c r="U12753" t="s">
        <v>57112</v>
      </c>
      <c r="V12753" t="s">
        <v>60380</v>
      </c>
      <c r="W12753" t="s">
        <v>44515</v>
      </c>
      <c r="X12753" t="s">
        <v>44922</v>
      </c>
    </row>
    <row r="12754" spans="1:24">
      <c r="A12754">
        <f>HYPERLINK("https://www.philgeps.gov.ph/GEPSNONPILOT/Tender/SplashBidNoticeAbstractUI.aspx?menuIndex=3&amp;refID=7052920&amp;Result=3","7052920")</f>
        <v>0</v>
      </c>
      <c r="B12754" t="s">
        <v>1937</v>
      </c>
      <c r="C12754" t="s">
        <v>15710</v>
      </c>
      <c r="D12754" t="s">
        <v>18155</v>
      </c>
      <c r="E12754" t="s">
        <v>29236</v>
      </c>
      <c r="F12754" t="s">
        <v>31362</v>
      </c>
      <c r="G12754" t="s">
        <v>31369</v>
      </c>
      <c r="H12754" t="s">
        <v>31378</v>
      </c>
      <c r="I12754" t="s">
        <v>31386</v>
      </c>
      <c r="J12754" t="s">
        <v>37107</v>
      </c>
      <c r="K12754" t="s">
        <v>40679</v>
      </c>
      <c r="M12754" t="s">
        <v>43855</v>
      </c>
      <c r="N12754" t="s">
        <v>44905</v>
      </c>
      <c r="O12754" t="s">
        <v>44906</v>
      </c>
      <c r="P12754">
        <v>0</v>
      </c>
      <c r="Q12754">
        <v>0</v>
      </c>
      <c r="R12754" t="s">
        <v>44921</v>
      </c>
      <c r="S12754" t="s">
        <v>45564</v>
      </c>
      <c r="T12754" t="s">
        <v>46447</v>
      </c>
      <c r="U12754" t="s">
        <v>57113</v>
      </c>
      <c r="W12754" t="s">
        <v>43855</v>
      </c>
      <c r="X12754" t="s">
        <v>44922</v>
      </c>
    </row>
    <row r="12755" spans="1:24">
      <c r="A12755">
        <f>HYPERLINK("https://www.philgeps.gov.ph/GEPSNONPILOT/Tender/SplashBidNoticeAbstractUI.aspx?menuIndex=3&amp;refID=7053121&amp;Result=3","7053121")</f>
        <v>0</v>
      </c>
      <c r="B12755" t="s">
        <v>2533</v>
      </c>
      <c r="C12755" t="s">
        <v>11819</v>
      </c>
      <c r="D12755" t="s">
        <v>18151</v>
      </c>
      <c r="E12755" t="s">
        <v>29237</v>
      </c>
      <c r="F12755" t="s">
        <v>31362</v>
      </c>
      <c r="G12755" t="s">
        <v>31369</v>
      </c>
      <c r="H12755" t="s">
        <v>31378</v>
      </c>
      <c r="I12755" t="s">
        <v>31386</v>
      </c>
      <c r="J12755" t="s">
        <v>31686</v>
      </c>
      <c r="K12755" t="s">
        <v>40682</v>
      </c>
      <c r="M12755" t="s">
        <v>43702</v>
      </c>
      <c r="N12755" t="s">
        <v>44905</v>
      </c>
      <c r="O12755" t="s">
        <v>44906</v>
      </c>
      <c r="P12755">
        <v>0</v>
      </c>
      <c r="Q12755">
        <v>4</v>
      </c>
      <c r="R12755" t="s">
        <v>44921</v>
      </c>
      <c r="S12755" t="s">
        <v>45564</v>
      </c>
      <c r="T12755" t="s">
        <v>46530</v>
      </c>
      <c r="U12755" t="s">
        <v>57114</v>
      </c>
      <c r="V12755" t="s">
        <v>60455</v>
      </c>
      <c r="W12755" t="s">
        <v>43702</v>
      </c>
      <c r="X12755" t="s">
        <v>44922</v>
      </c>
    </row>
    <row r="12756" spans="1:24">
      <c r="A12756">
        <f>HYPERLINK("https://www.philgeps.gov.ph/GEPSNONPILOT/Tender/SplashBidNoticeAbstractUI.aspx?menuIndex=3&amp;refID=7053104&amp;Result=3","7053104")</f>
        <v>0</v>
      </c>
      <c r="B12756" t="s">
        <v>1937</v>
      </c>
      <c r="C12756" t="s">
        <v>15711</v>
      </c>
      <c r="D12756" t="s">
        <v>18155</v>
      </c>
      <c r="E12756" t="s">
        <v>29238</v>
      </c>
      <c r="F12756" t="s">
        <v>31362</v>
      </c>
      <c r="G12756" t="s">
        <v>31369</v>
      </c>
      <c r="H12756" t="s">
        <v>31378</v>
      </c>
      <c r="I12756" t="s">
        <v>31386</v>
      </c>
      <c r="J12756" t="s">
        <v>33533</v>
      </c>
      <c r="K12756" t="s">
        <v>40679</v>
      </c>
      <c r="M12756" t="s">
        <v>43855</v>
      </c>
      <c r="N12756" t="s">
        <v>44905</v>
      </c>
      <c r="O12756" t="s">
        <v>44906</v>
      </c>
      <c r="P12756">
        <v>0</v>
      </c>
      <c r="Q12756">
        <v>0</v>
      </c>
      <c r="R12756" t="s">
        <v>44921</v>
      </c>
      <c r="S12756" t="s">
        <v>45564</v>
      </c>
      <c r="T12756" t="s">
        <v>46447</v>
      </c>
      <c r="U12756" t="s">
        <v>57115</v>
      </c>
      <c r="W12756" t="s">
        <v>43855</v>
      </c>
      <c r="X12756" t="s">
        <v>44922</v>
      </c>
    </row>
    <row r="12757" spans="1:24">
      <c r="A12757">
        <f>HYPERLINK("https://www.philgeps.gov.ph/GEPSNONPILOT/Tender/SplashBidNoticeAbstractUI.aspx?menuIndex=3&amp;refID=7053097&amp;Result=3","7053097")</f>
        <v>0</v>
      </c>
      <c r="B12757" t="s">
        <v>232</v>
      </c>
      <c r="C12757" t="s">
        <v>15712</v>
      </c>
      <c r="D12757" t="s">
        <v>18101</v>
      </c>
      <c r="E12757" t="s">
        <v>29239</v>
      </c>
      <c r="F12757" t="s">
        <v>31362</v>
      </c>
      <c r="G12757" t="s">
        <v>31369</v>
      </c>
      <c r="H12757" t="s">
        <v>15799</v>
      </c>
      <c r="I12757" t="s">
        <v>31380</v>
      </c>
      <c r="J12757" t="s">
        <v>39292</v>
      </c>
      <c r="K12757" t="s">
        <v>40666</v>
      </c>
      <c r="M12757" t="s">
        <v>41171</v>
      </c>
      <c r="N12757" t="s">
        <v>44905</v>
      </c>
      <c r="O12757" t="s">
        <v>44906</v>
      </c>
      <c r="P12757">
        <v>0</v>
      </c>
      <c r="Q12757">
        <v>6</v>
      </c>
      <c r="R12757" t="s">
        <v>44921</v>
      </c>
      <c r="S12757" t="s">
        <v>45564</v>
      </c>
      <c r="T12757" t="s">
        <v>46481</v>
      </c>
      <c r="U12757" t="s">
        <v>57116</v>
      </c>
      <c r="V12757" t="s">
        <v>59456</v>
      </c>
      <c r="W12757" t="s">
        <v>41171</v>
      </c>
      <c r="X12757" t="s">
        <v>44922</v>
      </c>
    </row>
    <row r="12758" spans="1:24">
      <c r="A12758">
        <f>HYPERLINK("https://www.philgeps.gov.ph/GEPSNONPILOT/Tender/SplashBidNoticeAbstractUI.aspx?menuIndex=3&amp;refID=7053182&amp;Result=3","7053182")</f>
        <v>0</v>
      </c>
      <c r="B12758" t="s">
        <v>1937</v>
      </c>
      <c r="C12758" t="s">
        <v>15713</v>
      </c>
      <c r="D12758" t="s">
        <v>18155</v>
      </c>
      <c r="E12758" t="s">
        <v>29240</v>
      </c>
      <c r="F12758" t="s">
        <v>31362</v>
      </c>
      <c r="G12758" t="s">
        <v>31369</v>
      </c>
      <c r="H12758" t="s">
        <v>31378</v>
      </c>
      <c r="I12758" t="s">
        <v>31386</v>
      </c>
      <c r="J12758" t="s">
        <v>31625</v>
      </c>
      <c r="K12758" t="s">
        <v>40682</v>
      </c>
      <c r="M12758" t="s">
        <v>43855</v>
      </c>
      <c r="N12758" t="s">
        <v>44905</v>
      </c>
      <c r="O12758" t="s">
        <v>44906</v>
      </c>
      <c r="P12758">
        <v>0</v>
      </c>
      <c r="Q12758">
        <v>0</v>
      </c>
      <c r="R12758" t="s">
        <v>44921</v>
      </c>
      <c r="S12758" t="s">
        <v>45564</v>
      </c>
      <c r="T12758" t="s">
        <v>46447</v>
      </c>
      <c r="U12758" t="s">
        <v>57117</v>
      </c>
      <c r="W12758" t="s">
        <v>43855</v>
      </c>
      <c r="X12758" t="s">
        <v>44922</v>
      </c>
    </row>
    <row r="12759" spans="1:24">
      <c r="A12759">
        <f>HYPERLINK("https://www.philgeps.gov.ph/GEPSNONPILOT/Tender/SplashBidNoticeAbstractUI.aspx?menuIndex=3&amp;refID=7053100&amp;Result=3","7053100")</f>
        <v>0</v>
      </c>
      <c r="B12759" t="s">
        <v>824</v>
      </c>
      <c r="C12759" t="s">
        <v>15714</v>
      </c>
      <c r="D12759" t="s">
        <v>18131</v>
      </c>
      <c r="E12759" t="s">
        <v>29241</v>
      </c>
      <c r="F12759" t="s">
        <v>31362</v>
      </c>
      <c r="G12759" t="s">
        <v>31369</v>
      </c>
      <c r="H12759" t="s">
        <v>31378</v>
      </c>
      <c r="I12759" t="s">
        <v>31386</v>
      </c>
      <c r="J12759" t="s">
        <v>39293</v>
      </c>
      <c r="K12759" t="s">
        <v>40675</v>
      </c>
      <c r="M12759" t="s">
        <v>41797</v>
      </c>
      <c r="N12759" t="s">
        <v>44905</v>
      </c>
      <c r="O12759" t="s">
        <v>44906</v>
      </c>
      <c r="P12759">
        <v>0</v>
      </c>
      <c r="Q12759">
        <v>15</v>
      </c>
      <c r="R12759" t="s">
        <v>44921</v>
      </c>
      <c r="S12759" t="s">
        <v>45564</v>
      </c>
      <c r="T12759" t="s">
        <v>46435</v>
      </c>
      <c r="U12759" t="s">
        <v>57118</v>
      </c>
      <c r="V12759" t="s">
        <v>60368</v>
      </c>
      <c r="W12759" t="s">
        <v>41797</v>
      </c>
      <c r="X12759" t="s">
        <v>44922</v>
      </c>
    </row>
    <row r="12760" spans="1:24">
      <c r="A12760">
        <f>HYPERLINK("https://www.philgeps.gov.ph/GEPSNONPILOT/Tender/SplashBidNoticeAbstractUI.aspx?menuIndex=3&amp;refID=7053092&amp;Result=3","7053092")</f>
        <v>0</v>
      </c>
      <c r="B12760" t="s">
        <v>3238</v>
      </c>
      <c r="C12760" t="s">
        <v>15715</v>
      </c>
      <c r="E12760" t="s">
        <v>29242</v>
      </c>
      <c r="F12760" t="s">
        <v>31362</v>
      </c>
      <c r="G12760" t="s">
        <v>31369</v>
      </c>
      <c r="H12760" t="s">
        <v>15799</v>
      </c>
      <c r="I12760" t="s">
        <v>31396</v>
      </c>
      <c r="J12760" t="s">
        <v>31542</v>
      </c>
      <c r="K12760" t="s">
        <v>40662</v>
      </c>
      <c r="M12760" t="s">
        <v>44515</v>
      </c>
      <c r="N12760" t="s">
        <v>44905</v>
      </c>
      <c r="O12760" t="s">
        <v>44906</v>
      </c>
      <c r="Q12760">
        <v>22</v>
      </c>
      <c r="R12760" t="s">
        <v>44921</v>
      </c>
      <c r="S12760" t="s">
        <v>45219</v>
      </c>
      <c r="T12760" t="s">
        <v>46555</v>
      </c>
      <c r="U12760" t="s">
        <v>57119</v>
      </c>
      <c r="V12760" t="s">
        <v>60456</v>
      </c>
      <c r="W12760" t="s">
        <v>44515</v>
      </c>
      <c r="X12760" t="s">
        <v>44922</v>
      </c>
    </row>
    <row r="12761" spans="1:24">
      <c r="A12761">
        <f>HYPERLINK("https://www.philgeps.gov.ph/GEPSNONPILOT/Tender/SplashBidNoticeAbstractUI.aspx?menuIndex=3&amp;refID=7053453&amp;Result=3","7053453")</f>
        <v>0</v>
      </c>
      <c r="B12761" t="s">
        <v>1167</v>
      </c>
      <c r="C12761" t="s">
        <v>15716</v>
      </c>
      <c r="D12761" t="s">
        <v>18151</v>
      </c>
      <c r="E12761" t="s">
        <v>29243</v>
      </c>
      <c r="F12761" t="s">
        <v>31362</v>
      </c>
      <c r="G12761" t="s">
        <v>31369</v>
      </c>
      <c r="H12761" t="s">
        <v>31378</v>
      </c>
      <c r="I12761" t="s">
        <v>31386</v>
      </c>
      <c r="J12761" t="s">
        <v>32877</v>
      </c>
      <c r="K12761" t="s">
        <v>40766</v>
      </c>
      <c r="M12761" t="s">
        <v>42177</v>
      </c>
      <c r="N12761" t="s">
        <v>44905</v>
      </c>
      <c r="O12761" t="s">
        <v>44906</v>
      </c>
      <c r="P12761">
        <v>0</v>
      </c>
      <c r="Q12761">
        <v>3</v>
      </c>
      <c r="R12761" t="s">
        <v>44921</v>
      </c>
      <c r="S12761" t="s">
        <v>45564</v>
      </c>
      <c r="T12761" t="s">
        <v>46470</v>
      </c>
      <c r="U12761" t="s">
        <v>49459</v>
      </c>
      <c r="V12761" t="s">
        <v>60457</v>
      </c>
      <c r="W12761" t="s">
        <v>42177</v>
      </c>
      <c r="X12761" t="s">
        <v>44922</v>
      </c>
    </row>
    <row r="12762" spans="1:24">
      <c r="A12762">
        <f>HYPERLINK("https://www.philgeps.gov.ph/GEPSNONPILOT/Tender/SplashBidNoticeAbstractUI.aspx?menuIndex=3&amp;refID=7053400&amp;Result=3","7053400")</f>
        <v>0</v>
      </c>
      <c r="B12762" t="s">
        <v>3281</v>
      </c>
      <c r="C12762" t="s">
        <v>15717</v>
      </c>
      <c r="D12762" t="s">
        <v>18128</v>
      </c>
      <c r="E12762" t="s">
        <v>29244</v>
      </c>
      <c r="F12762" t="s">
        <v>31362</v>
      </c>
      <c r="G12762" t="s">
        <v>31369</v>
      </c>
      <c r="H12762" t="s">
        <v>15799</v>
      </c>
      <c r="I12762" t="s">
        <v>31409</v>
      </c>
      <c r="J12762" t="s">
        <v>36460</v>
      </c>
      <c r="K12762" t="s">
        <v>40665</v>
      </c>
      <c r="M12762" t="s">
        <v>44566</v>
      </c>
      <c r="N12762" t="s">
        <v>44905</v>
      </c>
      <c r="O12762" t="s">
        <v>44906</v>
      </c>
      <c r="P12762">
        <v>0</v>
      </c>
      <c r="Q12762">
        <v>7</v>
      </c>
      <c r="R12762" t="s">
        <v>44921</v>
      </c>
      <c r="S12762" t="s">
        <v>45564</v>
      </c>
      <c r="T12762" t="s">
        <v>46427</v>
      </c>
      <c r="U12762" t="s">
        <v>57120</v>
      </c>
      <c r="W12762" t="s">
        <v>44566</v>
      </c>
      <c r="X12762" t="s">
        <v>44922</v>
      </c>
    </row>
    <row r="12763" spans="1:24">
      <c r="A12763">
        <f>HYPERLINK("https://www.philgeps.gov.ph/GEPSNONPILOT/Tender/SplashBidNoticeAbstractUI.aspx?menuIndex=3&amp;refID=7053389&amp;Result=3","7053389")</f>
        <v>0</v>
      </c>
      <c r="B12763" t="s">
        <v>3282</v>
      </c>
      <c r="C12763" t="s">
        <v>15718</v>
      </c>
      <c r="D12763" t="s">
        <v>18158</v>
      </c>
      <c r="E12763" t="s">
        <v>29245</v>
      </c>
      <c r="F12763" t="s">
        <v>31362</v>
      </c>
      <c r="G12763" t="s">
        <v>31369</v>
      </c>
      <c r="H12763" t="s">
        <v>31378</v>
      </c>
      <c r="I12763" t="s">
        <v>31386</v>
      </c>
      <c r="J12763" t="s">
        <v>31641</v>
      </c>
      <c r="K12763" t="s">
        <v>40682</v>
      </c>
      <c r="M12763" t="s">
        <v>44567</v>
      </c>
      <c r="N12763" t="s">
        <v>44905</v>
      </c>
      <c r="O12763" t="s">
        <v>44906</v>
      </c>
      <c r="Q12763">
        <v>1</v>
      </c>
      <c r="R12763" t="s">
        <v>44921</v>
      </c>
      <c r="S12763" t="s">
        <v>45582</v>
      </c>
      <c r="T12763" t="s">
        <v>46585</v>
      </c>
      <c r="U12763" t="s">
        <v>57121</v>
      </c>
      <c r="W12763" t="s">
        <v>44567</v>
      </c>
      <c r="X12763" t="s">
        <v>44922</v>
      </c>
    </row>
    <row r="12764" spans="1:24">
      <c r="A12764">
        <f>HYPERLINK("https://www.philgeps.gov.ph/GEPSNONPILOT/Tender/SplashBidNoticeAbstractUI.aspx?menuIndex=3&amp;refID=7053471&amp;Result=3","7053471")</f>
        <v>0</v>
      </c>
      <c r="B12764" t="s">
        <v>3281</v>
      </c>
      <c r="C12764" t="s">
        <v>15719</v>
      </c>
      <c r="D12764" t="s">
        <v>18128</v>
      </c>
      <c r="E12764" t="s">
        <v>29246</v>
      </c>
      <c r="F12764" t="s">
        <v>31362</v>
      </c>
      <c r="G12764" t="s">
        <v>31369</v>
      </c>
      <c r="H12764" t="s">
        <v>15799</v>
      </c>
      <c r="I12764" t="s">
        <v>31409</v>
      </c>
      <c r="J12764" t="s">
        <v>31542</v>
      </c>
      <c r="K12764" t="s">
        <v>40665</v>
      </c>
      <c r="M12764" t="s">
        <v>44566</v>
      </c>
      <c r="N12764" t="s">
        <v>44905</v>
      </c>
      <c r="O12764" t="s">
        <v>44906</v>
      </c>
      <c r="P12764">
        <v>0</v>
      </c>
      <c r="Q12764">
        <v>5</v>
      </c>
      <c r="R12764" t="s">
        <v>44921</v>
      </c>
      <c r="S12764" t="s">
        <v>45564</v>
      </c>
      <c r="T12764" t="s">
        <v>46427</v>
      </c>
      <c r="U12764" t="s">
        <v>57122</v>
      </c>
      <c r="W12764" t="s">
        <v>44566</v>
      </c>
      <c r="X12764" t="s">
        <v>44922</v>
      </c>
    </row>
    <row r="12765" spans="1:24">
      <c r="A12765">
        <f>HYPERLINK("https://www.philgeps.gov.ph/GEPSNONPILOT/Tender/SplashBidNoticeAbstractUI.aspx?menuIndex=3&amp;refID=7053369&amp;Result=3","7053369")</f>
        <v>0</v>
      </c>
      <c r="B12765" t="s">
        <v>2916</v>
      </c>
      <c r="C12765" t="s">
        <v>15720</v>
      </c>
      <c r="D12765" t="s">
        <v>18109</v>
      </c>
      <c r="E12765" t="s">
        <v>29247</v>
      </c>
      <c r="F12765" t="s">
        <v>31362</v>
      </c>
      <c r="G12765" t="s">
        <v>31369</v>
      </c>
      <c r="H12765" t="s">
        <v>15799</v>
      </c>
      <c r="I12765" t="s">
        <v>31404</v>
      </c>
      <c r="J12765" t="s">
        <v>31536</v>
      </c>
      <c r="K12765" t="s">
        <v>40697</v>
      </c>
      <c r="M12765" t="s">
        <v>44568</v>
      </c>
      <c r="N12765" t="s">
        <v>44905</v>
      </c>
      <c r="O12765" t="s">
        <v>44906</v>
      </c>
      <c r="P12765">
        <v>0</v>
      </c>
      <c r="Q12765">
        <v>0</v>
      </c>
      <c r="R12765" t="s">
        <v>44921</v>
      </c>
      <c r="S12765" t="s">
        <v>45564</v>
      </c>
      <c r="T12765" t="s">
        <v>46467</v>
      </c>
      <c r="U12765" t="s">
        <v>57123</v>
      </c>
      <c r="W12765" t="s">
        <v>44568</v>
      </c>
      <c r="X12765" t="s">
        <v>44922</v>
      </c>
    </row>
    <row r="12766" spans="1:24">
      <c r="A12766">
        <f>HYPERLINK("https://www.philgeps.gov.ph/GEPSNONPILOT/Tender/SplashBidNoticeAbstractUI.aspx?menuIndex=3&amp;refID=7053415&amp;Result=3","7053415")</f>
        <v>0</v>
      </c>
      <c r="B12766" t="s">
        <v>716</v>
      </c>
      <c r="C12766" t="s">
        <v>15721</v>
      </c>
      <c r="D12766" t="s">
        <v>18160</v>
      </c>
      <c r="E12766" t="s">
        <v>29248</v>
      </c>
      <c r="F12766" t="s">
        <v>31362</v>
      </c>
      <c r="G12766" t="s">
        <v>31369</v>
      </c>
      <c r="H12766" t="s">
        <v>15799</v>
      </c>
      <c r="I12766" t="s">
        <v>31459</v>
      </c>
      <c r="J12766" t="s">
        <v>39294</v>
      </c>
      <c r="K12766" t="s">
        <v>40675</v>
      </c>
      <c r="M12766" t="s">
        <v>43557</v>
      </c>
      <c r="N12766" t="s">
        <v>44905</v>
      </c>
      <c r="O12766" t="s">
        <v>44906</v>
      </c>
      <c r="Q12766">
        <v>3</v>
      </c>
      <c r="R12766" t="s">
        <v>44921</v>
      </c>
      <c r="S12766" t="s">
        <v>45583</v>
      </c>
      <c r="T12766" t="s">
        <v>46467</v>
      </c>
      <c r="U12766" t="s">
        <v>55637</v>
      </c>
      <c r="W12766" t="s">
        <v>60933</v>
      </c>
      <c r="X12766" t="s">
        <v>44922</v>
      </c>
    </row>
    <row r="12767" spans="1:24">
      <c r="A12767">
        <f>HYPERLINK("https://www.philgeps.gov.ph/GEPSNONPILOT/Tender/SplashBidNoticeAbstractUI.aspx?menuIndex=3&amp;refID=7052740&amp;Result=3","7052740")</f>
        <v>0</v>
      </c>
      <c r="B12767" t="s">
        <v>2993</v>
      </c>
      <c r="C12767" t="s">
        <v>13928</v>
      </c>
      <c r="D12767" t="s">
        <v>18141</v>
      </c>
      <c r="E12767" t="s">
        <v>29249</v>
      </c>
      <c r="F12767" t="s">
        <v>31362</v>
      </c>
      <c r="G12767" t="s">
        <v>31369</v>
      </c>
      <c r="H12767" t="s">
        <v>31378</v>
      </c>
      <c r="I12767" t="s">
        <v>31386</v>
      </c>
      <c r="J12767" t="s">
        <v>31734</v>
      </c>
      <c r="K12767" t="s">
        <v>40665</v>
      </c>
      <c r="M12767" t="s">
        <v>44221</v>
      </c>
      <c r="N12767" t="s">
        <v>44905</v>
      </c>
      <c r="O12767" t="s">
        <v>44906</v>
      </c>
      <c r="P12767">
        <v>0</v>
      </c>
      <c r="Q12767">
        <v>0</v>
      </c>
      <c r="R12767" t="s">
        <v>44921</v>
      </c>
      <c r="S12767" t="s">
        <v>45564</v>
      </c>
      <c r="T12767" t="s">
        <v>46549</v>
      </c>
      <c r="U12767" t="s">
        <v>57124</v>
      </c>
      <c r="W12767" t="s">
        <v>44221</v>
      </c>
      <c r="X12767" t="s">
        <v>44922</v>
      </c>
    </row>
    <row r="12768" spans="1:24">
      <c r="A12768">
        <f>HYPERLINK("https://www.philgeps.gov.ph/GEPSNONPILOT/Tender/SplashBidNoticeAbstractUI.aspx?menuIndex=3&amp;refID=7053361&amp;Result=3","7053361")</f>
        <v>0</v>
      </c>
      <c r="B12768" t="s">
        <v>1414</v>
      </c>
      <c r="C12768" t="s">
        <v>15722</v>
      </c>
      <c r="D12768" t="s">
        <v>18106</v>
      </c>
      <c r="E12768" t="s">
        <v>29250</v>
      </c>
      <c r="F12768" t="s">
        <v>31362</v>
      </c>
      <c r="G12768" t="s">
        <v>31369</v>
      </c>
      <c r="H12768" t="s">
        <v>15799</v>
      </c>
      <c r="I12768" t="s">
        <v>4283</v>
      </c>
      <c r="J12768" t="s">
        <v>32239</v>
      </c>
      <c r="K12768" t="s">
        <v>40677</v>
      </c>
      <c r="M12768" t="s">
        <v>42439</v>
      </c>
      <c r="N12768" t="s">
        <v>44905</v>
      </c>
      <c r="O12768" t="s">
        <v>44906</v>
      </c>
      <c r="P12768">
        <v>0</v>
      </c>
      <c r="Q12768">
        <v>6</v>
      </c>
      <c r="R12768" t="s">
        <v>44921</v>
      </c>
      <c r="S12768" t="s">
        <v>45564</v>
      </c>
      <c r="T12768" t="s">
        <v>46532</v>
      </c>
      <c r="U12768" t="s">
        <v>57125</v>
      </c>
      <c r="W12768" t="s">
        <v>42439</v>
      </c>
      <c r="X12768" t="s">
        <v>44922</v>
      </c>
    </row>
    <row r="12769" spans="1:24">
      <c r="A12769">
        <f>HYPERLINK("https://www.philgeps.gov.ph/GEPSNONPILOT/Tender/SplashBidNoticeAbstractUI.aspx?menuIndex=3&amp;refID=7053300&amp;Result=3","7053300")</f>
        <v>0</v>
      </c>
      <c r="B12769" t="s">
        <v>1529</v>
      </c>
      <c r="C12769" t="s">
        <v>15723</v>
      </c>
      <c r="D12769" t="s">
        <v>18134</v>
      </c>
      <c r="E12769" t="s">
        <v>29251</v>
      </c>
      <c r="F12769" t="s">
        <v>31362</v>
      </c>
      <c r="G12769" t="s">
        <v>31369</v>
      </c>
      <c r="H12769" t="s">
        <v>15799</v>
      </c>
      <c r="I12769" t="s">
        <v>31455</v>
      </c>
      <c r="J12769" t="s">
        <v>39295</v>
      </c>
      <c r="K12769" t="s">
        <v>40666</v>
      </c>
      <c r="M12769" t="s">
        <v>42574</v>
      </c>
      <c r="N12769" t="s">
        <v>44905</v>
      </c>
      <c r="O12769" t="s">
        <v>44906</v>
      </c>
      <c r="P12769">
        <v>0</v>
      </c>
      <c r="Q12769">
        <v>1</v>
      </c>
      <c r="R12769" t="s">
        <v>44921</v>
      </c>
      <c r="S12769" t="s">
        <v>45564</v>
      </c>
      <c r="T12769" t="s">
        <v>46503</v>
      </c>
      <c r="U12769" t="s">
        <v>57126</v>
      </c>
      <c r="V12769" t="s">
        <v>59162</v>
      </c>
      <c r="W12769" t="s">
        <v>42574</v>
      </c>
      <c r="X12769" t="s">
        <v>44922</v>
      </c>
    </row>
    <row r="12770" spans="1:24">
      <c r="A12770">
        <f>HYPERLINK("https://www.philgeps.gov.ph/GEPSNONPILOT/Tender/SplashBidNoticeAbstractUI.aspx?menuIndex=3&amp;refID=7053082&amp;Result=3","7053082")</f>
        <v>0</v>
      </c>
      <c r="B12770" t="s">
        <v>824</v>
      </c>
      <c r="C12770" t="s">
        <v>15724</v>
      </c>
      <c r="D12770" t="s">
        <v>18131</v>
      </c>
      <c r="E12770" t="s">
        <v>29252</v>
      </c>
      <c r="F12770" t="s">
        <v>31362</v>
      </c>
      <c r="G12770" t="s">
        <v>31369</v>
      </c>
      <c r="H12770" t="s">
        <v>31378</v>
      </c>
      <c r="I12770" t="s">
        <v>31386</v>
      </c>
      <c r="J12770" t="s">
        <v>39296</v>
      </c>
      <c r="K12770" t="s">
        <v>40675</v>
      </c>
      <c r="M12770" t="s">
        <v>41797</v>
      </c>
      <c r="N12770" t="s">
        <v>44905</v>
      </c>
      <c r="O12770" t="s">
        <v>44906</v>
      </c>
      <c r="P12770">
        <v>0</v>
      </c>
      <c r="Q12770">
        <v>15</v>
      </c>
      <c r="R12770" t="s">
        <v>44921</v>
      </c>
      <c r="S12770" t="s">
        <v>45564</v>
      </c>
      <c r="T12770" t="s">
        <v>46435</v>
      </c>
      <c r="U12770" t="s">
        <v>57127</v>
      </c>
      <c r="V12770" t="s">
        <v>60368</v>
      </c>
      <c r="W12770" t="s">
        <v>41797</v>
      </c>
      <c r="X12770" t="s">
        <v>44922</v>
      </c>
    </row>
    <row r="12771" spans="1:24">
      <c r="A12771">
        <f>HYPERLINK("https://www.philgeps.gov.ph/GEPSNONPILOT/Tender/SplashBidNoticeAbstractUI.aspx?menuIndex=3&amp;refID=7052879&amp;Result=3","7052879")</f>
        <v>0</v>
      </c>
      <c r="B12771" t="s">
        <v>2199</v>
      </c>
      <c r="C12771" t="s">
        <v>15725</v>
      </c>
      <c r="D12771" t="s">
        <v>18123</v>
      </c>
      <c r="E12771" t="s">
        <v>29253</v>
      </c>
      <c r="F12771" t="s">
        <v>31362</v>
      </c>
      <c r="G12771" t="s">
        <v>31369</v>
      </c>
      <c r="H12771" t="s">
        <v>15799</v>
      </c>
      <c r="I12771" t="s">
        <v>6240</v>
      </c>
      <c r="J12771" t="s">
        <v>39297</v>
      </c>
      <c r="K12771" t="s">
        <v>40682</v>
      </c>
      <c r="M12771" t="s">
        <v>43330</v>
      </c>
      <c r="N12771" t="s">
        <v>44905</v>
      </c>
      <c r="O12771" t="s">
        <v>44906</v>
      </c>
      <c r="P12771">
        <v>0</v>
      </c>
      <c r="Q12771">
        <v>0</v>
      </c>
      <c r="R12771" t="s">
        <v>44921</v>
      </c>
      <c r="S12771" t="s">
        <v>45564</v>
      </c>
      <c r="T12771" t="s">
        <v>46392</v>
      </c>
      <c r="U12771" t="s">
        <v>57128</v>
      </c>
      <c r="W12771" t="s">
        <v>43330</v>
      </c>
      <c r="X12771" t="s">
        <v>44922</v>
      </c>
    </row>
    <row r="12772" spans="1:24">
      <c r="A12772">
        <f>HYPERLINK("https://www.philgeps.gov.ph/GEPSNONPILOT/Tender/SplashBidNoticeAbstractUI.aspx?menuIndex=3&amp;refID=7053292&amp;Result=3","7053292")</f>
        <v>0</v>
      </c>
      <c r="B12772" t="s">
        <v>450</v>
      </c>
      <c r="C12772" t="s">
        <v>15726</v>
      </c>
      <c r="D12772" t="s">
        <v>18128</v>
      </c>
      <c r="E12772" t="s">
        <v>29254</v>
      </c>
      <c r="F12772" t="s">
        <v>31362</v>
      </c>
      <c r="G12772" t="s">
        <v>31369</v>
      </c>
      <c r="H12772" t="s">
        <v>15799</v>
      </c>
      <c r="I12772" t="s">
        <v>31461</v>
      </c>
      <c r="J12772" t="s">
        <v>39298</v>
      </c>
      <c r="K12772" t="s">
        <v>40675</v>
      </c>
      <c r="M12772" t="s">
        <v>41404</v>
      </c>
      <c r="N12772" t="s">
        <v>44905</v>
      </c>
      <c r="O12772" t="s">
        <v>44906</v>
      </c>
      <c r="P12772">
        <v>0</v>
      </c>
      <c r="Q12772">
        <v>5</v>
      </c>
      <c r="R12772" t="s">
        <v>44921</v>
      </c>
      <c r="S12772" t="s">
        <v>45564</v>
      </c>
      <c r="T12772" t="s">
        <v>46462</v>
      </c>
      <c r="U12772" t="s">
        <v>57129</v>
      </c>
      <c r="V12772" t="s">
        <v>59174</v>
      </c>
      <c r="W12772" t="s">
        <v>41404</v>
      </c>
      <c r="X12772" t="s">
        <v>44922</v>
      </c>
    </row>
    <row r="12773" spans="1:24">
      <c r="A12773">
        <f>HYPERLINK("https://www.philgeps.gov.ph/GEPSNONPILOT/Tender/SplashBidNoticeAbstractUI.aspx?menuIndex=3&amp;refID=7053693&amp;Result=3","7053693")</f>
        <v>0</v>
      </c>
      <c r="B12773" t="s">
        <v>3283</v>
      </c>
      <c r="C12773" t="s">
        <v>15727</v>
      </c>
      <c r="D12773" t="s">
        <v>18101</v>
      </c>
      <c r="E12773" t="s">
        <v>19844</v>
      </c>
      <c r="F12773" t="s">
        <v>31362</v>
      </c>
      <c r="G12773" t="s">
        <v>31369</v>
      </c>
      <c r="H12773" t="s">
        <v>15799</v>
      </c>
      <c r="I12773" t="s">
        <v>3815</v>
      </c>
      <c r="J12773" t="s">
        <v>32380</v>
      </c>
      <c r="K12773" t="s">
        <v>40666</v>
      </c>
      <c r="M12773" t="s">
        <v>44569</v>
      </c>
      <c r="N12773" t="s">
        <v>44905</v>
      </c>
      <c r="O12773" t="s">
        <v>44906</v>
      </c>
      <c r="P12773">
        <v>0</v>
      </c>
      <c r="Q12773">
        <v>1</v>
      </c>
      <c r="R12773" t="s">
        <v>44921</v>
      </c>
      <c r="S12773" t="s">
        <v>45564</v>
      </c>
      <c r="T12773" t="s">
        <v>46425</v>
      </c>
      <c r="U12773" t="s">
        <v>57130</v>
      </c>
      <c r="W12773" t="s">
        <v>44569</v>
      </c>
      <c r="X12773" t="s">
        <v>44922</v>
      </c>
    </row>
    <row r="12774" spans="1:24">
      <c r="A12774">
        <f>HYPERLINK("https://www.philgeps.gov.ph/GEPSNONPILOT/Tender/SplashBidNoticeAbstractUI.aspx?menuIndex=3&amp;refID=7053288&amp;Result=3","7053288")</f>
        <v>0</v>
      </c>
      <c r="B12774" t="s">
        <v>3284</v>
      </c>
      <c r="C12774" t="s">
        <v>15728</v>
      </c>
      <c r="D12774" t="s">
        <v>18102</v>
      </c>
      <c r="E12774" t="s">
        <v>29255</v>
      </c>
      <c r="F12774" t="s">
        <v>31364</v>
      </c>
      <c r="G12774" t="s">
        <v>31369</v>
      </c>
      <c r="H12774" t="s">
        <v>15799</v>
      </c>
      <c r="I12774" t="s">
        <v>6373</v>
      </c>
      <c r="J12774" t="s">
        <v>31577</v>
      </c>
      <c r="K12774" t="s">
        <v>40697</v>
      </c>
      <c r="M12774" t="s">
        <v>44570</v>
      </c>
      <c r="N12774" t="s">
        <v>44905</v>
      </c>
      <c r="O12774" t="s">
        <v>44906</v>
      </c>
      <c r="P12774">
        <v>0</v>
      </c>
      <c r="Q12774">
        <v>6</v>
      </c>
      <c r="R12774" t="s">
        <v>44921</v>
      </c>
      <c r="S12774" t="s">
        <v>45564</v>
      </c>
      <c r="T12774" t="s">
        <v>46427</v>
      </c>
      <c r="U12774" t="s">
        <v>57131</v>
      </c>
      <c r="W12774" t="s">
        <v>44570</v>
      </c>
      <c r="X12774" t="s">
        <v>44922</v>
      </c>
    </row>
    <row r="12775" spans="1:24">
      <c r="A12775">
        <f>HYPERLINK("https://www.philgeps.gov.ph/GEPSNONPILOT/Tender/SplashBidNoticeAbstractUI.aspx?menuIndex=3&amp;refID=7053681&amp;Result=3","7053681")</f>
        <v>0</v>
      </c>
      <c r="B12775" t="s">
        <v>1516</v>
      </c>
      <c r="C12775" t="s">
        <v>15729</v>
      </c>
      <c r="D12775" t="s">
        <v>18107</v>
      </c>
      <c r="E12775" t="s">
        <v>29256</v>
      </c>
      <c r="F12775" t="s">
        <v>31362</v>
      </c>
      <c r="G12775" t="s">
        <v>31369</v>
      </c>
      <c r="H12775" t="s">
        <v>31378</v>
      </c>
      <c r="I12775" t="s">
        <v>31386</v>
      </c>
      <c r="J12775" t="s">
        <v>39299</v>
      </c>
      <c r="K12775" t="s">
        <v>40686</v>
      </c>
      <c r="M12775" t="s">
        <v>42560</v>
      </c>
      <c r="N12775" t="s">
        <v>44905</v>
      </c>
      <c r="O12775" t="s">
        <v>44906</v>
      </c>
      <c r="Q12775">
        <v>2</v>
      </c>
      <c r="R12775" t="s">
        <v>44921</v>
      </c>
      <c r="S12775" t="s">
        <v>45584</v>
      </c>
      <c r="T12775" t="s">
        <v>46692</v>
      </c>
      <c r="U12775" t="s">
        <v>57132</v>
      </c>
      <c r="W12775" t="s">
        <v>42560</v>
      </c>
      <c r="X12775" t="s">
        <v>44922</v>
      </c>
    </row>
    <row r="12776" spans="1:24">
      <c r="A12776">
        <f>HYPERLINK("https://www.philgeps.gov.ph/GEPSNONPILOT/Tender/SplashBidNoticeAbstractUI.aspx?menuIndex=3&amp;refID=7053649&amp;Result=3","7053649")</f>
        <v>0</v>
      </c>
      <c r="B12776" t="s">
        <v>2313</v>
      </c>
      <c r="C12776" t="s">
        <v>15730</v>
      </c>
      <c r="D12776" t="s">
        <v>18112</v>
      </c>
      <c r="E12776" t="s">
        <v>29257</v>
      </c>
      <c r="F12776" t="s">
        <v>31362</v>
      </c>
      <c r="G12776" t="s">
        <v>31369</v>
      </c>
      <c r="H12776" t="s">
        <v>15799</v>
      </c>
      <c r="I12776" t="s">
        <v>31388</v>
      </c>
      <c r="J12776" t="s">
        <v>39300</v>
      </c>
      <c r="K12776" t="s">
        <v>40670</v>
      </c>
      <c r="M12776" t="s">
        <v>43453</v>
      </c>
      <c r="N12776" t="s">
        <v>44905</v>
      </c>
      <c r="O12776" t="s">
        <v>44906</v>
      </c>
      <c r="P12776">
        <v>0</v>
      </c>
      <c r="Q12776">
        <v>0</v>
      </c>
      <c r="R12776" t="s">
        <v>44921</v>
      </c>
      <c r="S12776" t="s">
        <v>45564</v>
      </c>
      <c r="T12776" t="s">
        <v>46483</v>
      </c>
      <c r="U12776" t="s">
        <v>57133</v>
      </c>
      <c r="W12776" t="s">
        <v>43453</v>
      </c>
      <c r="X12776" t="s">
        <v>44922</v>
      </c>
    </row>
    <row r="12777" spans="1:24">
      <c r="A12777">
        <f>HYPERLINK("https://www.philgeps.gov.ph/GEPSNONPILOT/Tender/SplashBidNoticeAbstractUI.aspx?menuIndex=3&amp;refID=7053696&amp;Result=3","7053696")</f>
        <v>0</v>
      </c>
      <c r="B12777" t="s">
        <v>2313</v>
      </c>
      <c r="C12777" t="s">
        <v>15731</v>
      </c>
      <c r="D12777" t="s">
        <v>18112</v>
      </c>
      <c r="E12777" t="s">
        <v>29257</v>
      </c>
      <c r="F12777" t="s">
        <v>31362</v>
      </c>
      <c r="G12777" t="s">
        <v>31369</v>
      </c>
      <c r="H12777" t="s">
        <v>15799</v>
      </c>
      <c r="I12777" t="s">
        <v>31400</v>
      </c>
      <c r="J12777" t="s">
        <v>31738</v>
      </c>
      <c r="K12777" t="s">
        <v>40670</v>
      </c>
      <c r="M12777" t="s">
        <v>43453</v>
      </c>
      <c r="N12777" t="s">
        <v>44905</v>
      </c>
      <c r="O12777" t="s">
        <v>44906</v>
      </c>
      <c r="P12777">
        <v>0</v>
      </c>
      <c r="Q12777">
        <v>6</v>
      </c>
      <c r="R12777" t="s">
        <v>44921</v>
      </c>
      <c r="S12777" t="s">
        <v>45564</v>
      </c>
      <c r="T12777" t="s">
        <v>46427</v>
      </c>
      <c r="U12777" t="s">
        <v>57134</v>
      </c>
      <c r="W12777" t="s">
        <v>43453</v>
      </c>
      <c r="X12777" t="s">
        <v>44922</v>
      </c>
    </row>
    <row r="12778" spans="1:24">
      <c r="A12778">
        <f>HYPERLINK("https://www.philgeps.gov.ph/GEPSNONPILOT/Tender/SplashBidNoticeAbstractUI.aspx?menuIndex=3&amp;refID=7053638&amp;Result=3","7053638")</f>
        <v>0</v>
      </c>
      <c r="B12778" t="s">
        <v>3285</v>
      </c>
      <c r="C12778" t="s">
        <v>15732</v>
      </c>
      <c r="D12778" t="s">
        <v>18100</v>
      </c>
      <c r="E12778" t="s">
        <v>18203</v>
      </c>
      <c r="F12778" t="s">
        <v>31362</v>
      </c>
      <c r="G12778" t="s">
        <v>31369</v>
      </c>
      <c r="H12778" t="s">
        <v>15799</v>
      </c>
      <c r="I12778" t="s">
        <v>3815</v>
      </c>
      <c r="J12778" t="s">
        <v>31890</v>
      </c>
      <c r="K12778" t="s">
        <v>40661</v>
      </c>
      <c r="L12778" t="s">
        <v>3285</v>
      </c>
      <c r="M12778" t="s">
        <v>44571</v>
      </c>
      <c r="N12778" t="s">
        <v>44905</v>
      </c>
      <c r="O12778" t="s">
        <v>44906</v>
      </c>
      <c r="P12778">
        <v>0</v>
      </c>
      <c r="Q12778">
        <v>0</v>
      </c>
      <c r="R12778" t="s">
        <v>44921</v>
      </c>
      <c r="S12778" t="s">
        <v>45564</v>
      </c>
      <c r="T12778" t="s">
        <v>46408</v>
      </c>
      <c r="U12778" t="s">
        <v>57135</v>
      </c>
      <c r="V12778" t="s">
        <v>60458</v>
      </c>
      <c r="W12778" t="s">
        <v>44571</v>
      </c>
      <c r="X12778" t="s">
        <v>44922</v>
      </c>
    </row>
    <row r="12779" spans="1:24">
      <c r="A12779">
        <f>HYPERLINK("https://www.philgeps.gov.ph/GEPSNONPILOT/Tender/SplashBidNoticeAbstractUI.aspx?menuIndex=3&amp;refID=7053678&amp;Result=3","7053678")</f>
        <v>0</v>
      </c>
      <c r="B12779" t="s">
        <v>1075</v>
      </c>
      <c r="C12779" t="s">
        <v>15733</v>
      </c>
      <c r="D12779" t="s">
        <v>18101</v>
      </c>
      <c r="E12779" t="s">
        <v>29258</v>
      </c>
      <c r="F12779" t="s">
        <v>31362</v>
      </c>
      <c r="G12779" t="s">
        <v>31369</v>
      </c>
      <c r="H12779" t="s">
        <v>15799</v>
      </c>
      <c r="I12779" t="s">
        <v>31456</v>
      </c>
      <c r="J12779" t="s">
        <v>34202</v>
      </c>
      <c r="K12779" t="s">
        <v>40666</v>
      </c>
      <c r="M12779" t="s">
        <v>42077</v>
      </c>
      <c r="N12779" t="s">
        <v>44905</v>
      </c>
      <c r="O12779" t="s">
        <v>44906</v>
      </c>
      <c r="P12779">
        <v>0</v>
      </c>
      <c r="Q12779">
        <v>5</v>
      </c>
      <c r="R12779" t="s">
        <v>44921</v>
      </c>
      <c r="S12779" t="s">
        <v>45564</v>
      </c>
      <c r="T12779" t="s">
        <v>46560</v>
      </c>
      <c r="U12779" t="s">
        <v>57136</v>
      </c>
      <c r="W12779" t="s">
        <v>42077</v>
      </c>
      <c r="X12779" t="s">
        <v>44922</v>
      </c>
    </row>
    <row r="12780" spans="1:24">
      <c r="A12780">
        <f>HYPERLINK("https://www.philgeps.gov.ph/GEPSNONPILOT/Tender/SplashBidNoticeAbstractUI.aspx?menuIndex=3&amp;refID=7052942&amp;Result=3","7052942")</f>
        <v>0</v>
      </c>
      <c r="B12780" t="s">
        <v>3238</v>
      </c>
      <c r="C12780" t="s">
        <v>15734</v>
      </c>
      <c r="E12780" t="s">
        <v>29259</v>
      </c>
      <c r="F12780" t="s">
        <v>31362</v>
      </c>
      <c r="G12780" t="s">
        <v>31369</v>
      </c>
      <c r="H12780" t="s">
        <v>15799</v>
      </c>
      <c r="I12780" t="s">
        <v>31396</v>
      </c>
      <c r="J12780" t="s">
        <v>39301</v>
      </c>
      <c r="K12780" t="s">
        <v>40662</v>
      </c>
      <c r="M12780" t="s">
        <v>44515</v>
      </c>
      <c r="N12780" t="s">
        <v>44905</v>
      </c>
      <c r="O12780" t="s">
        <v>44906</v>
      </c>
      <c r="Q12780">
        <v>25</v>
      </c>
      <c r="R12780" t="s">
        <v>44921</v>
      </c>
      <c r="S12780" t="s">
        <v>45585</v>
      </c>
      <c r="T12780" t="s">
        <v>46555</v>
      </c>
      <c r="U12780" t="s">
        <v>57137</v>
      </c>
      <c r="V12780" t="s">
        <v>60459</v>
      </c>
      <c r="W12780" t="s">
        <v>44515</v>
      </c>
      <c r="X12780" t="s">
        <v>44922</v>
      </c>
    </row>
    <row r="12781" spans="1:24">
      <c r="A12781">
        <f>HYPERLINK("https://www.philgeps.gov.ph/GEPSNONPILOT/Tender/SplashBidNoticeAbstractUI.aspx?menuIndex=3&amp;refID=7053601&amp;Result=3","7053601")</f>
        <v>0</v>
      </c>
      <c r="B12781" t="s">
        <v>2313</v>
      </c>
      <c r="C12781" t="s">
        <v>15735</v>
      </c>
      <c r="D12781" t="s">
        <v>18112</v>
      </c>
      <c r="E12781" t="s">
        <v>29257</v>
      </c>
      <c r="F12781" t="s">
        <v>31362</v>
      </c>
      <c r="G12781" t="s">
        <v>31369</v>
      </c>
      <c r="H12781" t="s">
        <v>15799</v>
      </c>
      <c r="I12781" t="s">
        <v>31388</v>
      </c>
      <c r="J12781" t="s">
        <v>31578</v>
      </c>
      <c r="K12781" t="s">
        <v>40670</v>
      </c>
      <c r="M12781" t="s">
        <v>43453</v>
      </c>
      <c r="N12781" t="s">
        <v>44905</v>
      </c>
      <c r="O12781" t="s">
        <v>44906</v>
      </c>
      <c r="P12781">
        <v>0</v>
      </c>
      <c r="Q12781">
        <v>0</v>
      </c>
      <c r="R12781" t="s">
        <v>44921</v>
      </c>
      <c r="S12781" t="s">
        <v>45564</v>
      </c>
      <c r="T12781" t="s">
        <v>46427</v>
      </c>
      <c r="U12781" t="s">
        <v>57138</v>
      </c>
      <c r="W12781" t="s">
        <v>43453</v>
      </c>
      <c r="X12781" t="s">
        <v>44922</v>
      </c>
    </row>
    <row r="12782" spans="1:24">
      <c r="A12782">
        <f>HYPERLINK("https://www.philgeps.gov.ph/GEPSNONPILOT/Tender/SplashBidNoticeAbstractUI.aspx?menuIndex=3&amp;refID=7053313&amp;Result=3","7053313")</f>
        <v>0</v>
      </c>
      <c r="B12782" t="s">
        <v>3286</v>
      </c>
      <c r="C12782" t="s">
        <v>15736</v>
      </c>
      <c r="D12782" t="s">
        <v>18143</v>
      </c>
      <c r="E12782" t="s">
        <v>18548</v>
      </c>
      <c r="F12782" t="s">
        <v>31362</v>
      </c>
      <c r="G12782" t="s">
        <v>31369</v>
      </c>
      <c r="H12782" t="s">
        <v>15799</v>
      </c>
      <c r="I12782" t="s">
        <v>3815</v>
      </c>
      <c r="J12782" t="s">
        <v>39302</v>
      </c>
      <c r="K12782" t="s">
        <v>40670</v>
      </c>
      <c r="L12782" t="s">
        <v>3286</v>
      </c>
      <c r="M12782" t="s">
        <v>44572</v>
      </c>
      <c r="N12782" t="s">
        <v>44905</v>
      </c>
      <c r="O12782" t="s">
        <v>44906</v>
      </c>
      <c r="P12782">
        <v>0</v>
      </c>
      <c r="Q12782">
        <v>2</v>
      </c>
      <c r="R12782" t="s">
        <v>44921</v>
      </c>
      <c r="S12782" t="s">
        <v>45564</v>
      </c>
      <c r="T12782" t="s">
        <v>46397</v>
      </c>
      <c r="U12782" t="s">
        <v>57139</v>
      </c>
      <c r="V12782" t="s">
        <v>60460</v>
      </c>
      <c r="W12782" t="s">
        <v>44572</v>
      </c>
      <c r="X12782" t="s">
        <v>44922</v>
      </c>
    </row>
    <row r="12783" spans="1:24">
      <c r="A12783">
        <f>HYPERLINK("https://www.philgeps.gov.ph/GEPSNONPILOT/Tender/SplashBidNoticeAbstractUI.aspx?menuIndex=3&amp;refID=7053625&amp;Result=3","7053625")</f>
        <v>0</v>
      </c>
      <c r="B12783" t="s">
        <v>1075</v>
      </c>
      <c r="C12783" t="s">
        <v>15737</v>
      </c>
      <c r="D12783" t="s">
        <v>18101</v>
      </c>
      <c r="E12783" t="s">
        <v>29260</v>
      </c>
      <c r="F12783" t="s">
        <v>31362</v>
      </c>
      <c r="G12783" t="s">
        <v>31369</v>
      </c>
      <c r="H12783" t="s">
        <v>31378</v>
      </c>
      <c r="I12783" t="s">
        <v>31386</v>
      </c>
      <c r="J12783" t="s">
        <v>39303</v>
      </c>
      <c r="K12783" t="s">
        <v>40686</v>
      </c>
      <c r="M12783" t="s">
        <v>42077</v>
      </c>
      <c r="N12783" t="s">
        <v>44905</v>
      </c>
      <c r="O12783" t="s">
        <v>44906</v>
      </c>
      <c r="P12783">
        <v>0</v>
      </c>
      <c r="Q12783">
        <v>2</v>
      </c>
      <c r="R12783" t="s">
        <v>44921</v>
      </c>
      <c r="S12783" t="s">
        <v>45564</v>
      </c>
      <c r="T12783" t="s">
        <v>46560</v>
      </c>
      <c r="U12783" t="s">
        <v>57140</v>
      </c>
      <c r="W12783" t="s">
        <v>42077</v>
      </c>
      <c r="X12783" t="s">
        <v>44922</v>
      </c>
    </row>
    <row r="12784" spans="1:24">
      <c r="A12784">
        <f>HYPERLINK("https://www.philgeps.gov.ph/GEPSNONPILOT/Tender/SplashBidNoticeAbstractUI.aspx?menuIndex=3&amp;refID=7053381&amp;Result=3","7053381")</f>
        <v>0</v>
      </c>
      <c r="B12784" t="s">
        <v>3238</v>
      </c>
      <c r="C12784" t="s">
        <v>15738</v>
      </c>
      <c r="D12784" t="s">
        <v>18131</v>
      </c>
      <c r="E12784" t="s">
        <v>29261</v>
      </c>
      <c r="F12784" t="s">
        <v>31362</v>
      </c>
      <c r="G12784" t="s">
        <v>31369</v>
      </c>
      <c r="H12784" t="s">
        <v>15799</v>
      </c>
      <c r="I12784" t="s">
        <v>31426</v>
      </c>
      <c r="J12784" t="s">
        <v>36614</v>
      </c>
      <c r="K12784" t="s">
        <v>40662</v>
      </c>
      <c r="M12784" t="s">
        <v>44515</v>
      </c>
      <c r="N12784" t="s">
        <v>44905</v>
      </c>
      <c r="O12784" t="s">
        <v>44906</v>
      </c>
      <c r="Q12784">
        <v>15</v>
      </c>
      <c r="R12784" t="s">
        <v>44921</v>
      </c>
      <c r="S12784" t="s">
        <v>45342</v>
      </c>
      <c r="T12784" t="s">
        <v>46401</v>
      </c>
      <c r="U12784" t="s">
        <v>57141</v>
      </c>
      <c r="V12784" t="s">
        <v>60461</v>
      </c>
      <c r="W12784" t="s">
        <v>44515</v>
      </c>
      <c r="X12784" t="s">
        <v>44922</v>
      </c>
    </row>
    <row r="12785" spans="1:24">
      <c r="A12785">
        <f>HYPERLINK("https://www.philgeps.gov.ph/GEPSNONPILOT/Tender/SplashBidNoticeAbstractUI.aspx?menuIndex=3&amp;refID=7053528&amp;Result=3","7053528")</f>
        <v>0</v>
      </c>
      <c r="B12785" t="s">
        <v>3287</v>
      </c>
      <c r="C12785" t="s">
        <v>15739</v>
      </c>
      <c r="D12785" t="s">
        <v>18108</v>
      </c>
      <c r="E12785" t="s">
        <v>29262</v>
      </c>
      <c r="F12785" t="s">
        <v>31362</v>
      </c>
      <c r="G12785" t="s">
        <v>31369</v>
      </c>
      <c r="H12785" t="s">
        <v>15799</v>
      </c>
      <c r="I12785" t="s">
        <v>31465</v>
      </c>
      <c r="J12785" t="s">
        <v>39304</v>
      </c>
      <c r="K12785" t="s">
        <v>40682</v>
      </c>
      <c r="M12785" t="s">
        <v>44573</v>
      </c>
      <c r="N12785" t="s">
        <v>44905</v>
      </c>
      <c r="O12785" t="s">
        <v>44906</v>
      </c>
      <c r="P12785">
        <v>0</v>
      </c>
      <c r="Q12785">
        <v>9</v>
      </c>
      <c r="R12785" t="s">
        <v>44921</v>
      </c>
      <c r="S12785" t="s">
        <v>45564</v>
      </c>
      <c r="T12785" t="s">
        <v>46815</v>
      </c>
      <c r="U12785" t="s">
        <v>57142</v>
      </c>
      <c r="W12785" t="s">
        <v>44573</v>
      </c>
      <c r="X12785" t="s">
        <v>44922</v>
      </c>
    </row>
    <row r="12786" spans="1:24">
      <c r="A12786">
        <f>HYPERLINK("https://www.philgeps.gov.ph/GEPSNONPILOT/Tender/SplashBidNoticeAbstractUI.aspx?menuIndex=3&amp;refID=7053414&amp;Result=3","7053414")</f>
        <v>0</v>
      </c>
      <c r="B12786" t="s">
        <v>3286</v>
      </c>
      <c r="C12786" t="s">
        <v>15740</v>
      </c>
      <c r="D12786" t="s">
        <v>18143</v>
      </c>
      <c r="E12786" t="s">
        <v>29263</v>
      </c>
      <c r="F12786" t="s">
        <v>31362</v>
      </c>
      <c r="G12786" t="s">
        <v>31369</v>
      </c>
      <c r="H12786" t="s">
        <v>15799</v>
      </c>
      <c r="I12786" t="s">
        <v>3815</v>
      </c>
      <c r="J12786" t="s">
        <v>39305</v>
      </c>
      <c r="K12786" t="s">
        <v>40670</v>
      </c>
      <c r="L12786" t="s">
        <v>3286</v>
      </c>
      <c r="M12786" t="s">
        <v>44572</v>
      </c>
      <c r="N12786" t="s">
        <v>44905</v>
      </c>
      <c r="O12786" t="s">
        <v>44906</v>
      </c>
      <c r="P12786">
        <v>0</v>
      </c>
      <c r="Q12786">
        <v>3</v>
      </c>
      <c r="R12786" t="s">
        <v>44921</v>
      </c>
      <c r="S12786" t="s">
        <v>45564</v>
      </c>
      <c r="T12786" t="s">
        <v>46397</v>
      </c>
      <c r="U12786" t="s">
        <v>57143</v>
      </c>
      <c r="V12786" t="s">
        <v>60462</v>
      </c>
      <c r="W12786" t="s">
        <v>44572</v>
      </c>
      <c r="X12786" t="s">
        <v>44922</v>
      </c>
    </row>
    <row r="12787" spans="1:24">
      <c r="A12787">
        <f>HYPERLINK("https://www.philgeps.gov.ph/GEPSNONPILOT/Tender/SplashBidNoticeAbstractUI.aspx?menuIndex=3&amp;refID=7053516&amp;Result=3","7053516")</f>
        <v>0</v>
      </c>
      <c r="B12787" t="s">
        <v>3286</v>
      </c>
      <c r="C12787" t="s">
        <v>15741</v>
      </c>
      <c r="D12787" t="s">
        <v>18143</v>
      </c>
      <c r="E12787" t="s">
        <v>18475</v>
      </c>
      <c r="F12787" t="s">
        <v>31362</v>
      </c>
      <c r="G12787" t="s">
        <v>31369</v>
      </c>
      <c r="H12787" t="s">
        <v>15799</v>
      </c>
      <c r="I12787" t="s">
        <v>3815</v>
      </c>
      <c r="J12787" t="s">
        <v>39306</v>
      </c>
      <c r="K12787" t="s">
        <v>40670</v>
      </c>
      <c r="L12787" t="s">
        <v>3286</v>
      </c>
      <c r="M12787" t="s">
        <v>44572</v>
      </c>
      <c r="N12787" t="s">
        <v>44905</v>
      </c>
      <c r="O12787" t="s">
        <v>44906</v>
      </c>
      <c r="P12787">
        <v>0</v>
      </c>
      <c r="Q12787">
        <v>2</v>
      </c>
      <c r="R12787" t="s">
        <v>44921</v>
      </c>
      <c r="S12787" t="s">
        <v>45564</v>
      </c>
      <c r="T12787" t="s">
        <v>46397</v>
      </c>
      <c r="U12787" t="s">
        <v>57144</v>
      </c>
      <c r="V12787" t="s">
        <v>60460</v>
      </c>
      <c r="W12787" t="s">
        <v>44572</v>
      </c>
      <c r="X12787" t="s">
        <v>44922</v>
      </c>
    </row>
    <row r="12788" spans="1:24">
      <c r="A12788">
        <f>HYPERLINK("https://www.philgeps.gov.ph/GEPSNONPILOT/Tender/SplashBidNoticeAbstractUI.aspx?menuIndex=3&amp;refID=7053580&amp;Result=3","7053580")</f>
        <v>0</v>
      </c>
      <c r="B12788" t="s">
        <v>756</v>
      </c>
      <c r="C12788" t="s">
        <v>15742</v>
      </c>
      <c r="D12788" t="s">
        <v>18123</v>
      </c>
      <c r="E12788" t="s">
        <v>29264</v>
      </c>
      <c r="F12788" t="s">
        <v>31362</v>
      </c>
      <c r="G12788" t="s">
        <v>31369</v>
      </c>
      <c r="H12788" t="s">
        <v>31378</v>
      </c>
      <c r="I12788" t="s">
        <v>31386</v>
      </c>
      <c r="J12788" t="s">
        <v>39307</v>
      </c>
      <c r="K12788" t="s">
        <v>40694</v>
      </c>
      <c r="L12788" t="s">
        <v>756</v>
      </c>
      <c r="M12788" t="s">
        <v>44543</v>
      </c>
      <c r="N12788" t="s">
        <v>44905</v>
      </c>
      <c r="O12788" t="s">
        <v>44906</v>
      </c>
      <c r="P12788">
        <v>0</v>
      </c>
      <c r="Q12788">
        <v>2</v>
      </c>
      <c r="R12788" t="s">
        <v>44921</v>
      </c>
      <c r="S12788" t="s">
        <v>45564</v>
      </c>
      <c r="T12788" t="s">
        <v>46470</v>
      </c>
      <c r="U12788" t="s">
        <v>57145</v>
      </c>
      <c r="W12788" t="s">
        <v>44543</v>
      </c>
      <c r="X12788" t="s">
        <v>44922</v>
      </c>
    </row>
    <row r="12789" spans="1:24">
      <c r="A12789">
        <f>HYPERLINK("https://www.philgeps.gov.ph/GEPSNONPILOT/Tender/SplashBidNoticeAbstractUI.aspx?menuIndex=3&amp;refID=7053497&amp;Result=3","7053497")</f>
        <v>0</v>
      </c>
      <c r="B12789" t="s">
        <v>1516</v>
      </c>
      <c r="C12789" t="s">
        <v>15743</v>
      </c>
      <c r="D12789" t="s">
        <v>18107</v>
      </c>
      <c r="E12789" t="s">
        <v>29265</v>
      </c>
      <c r="F12789" t="s">
        <v>31362</v>
      </c>
      <c r="G12789" t="s">
        <v>31369</v>
      </c>
      <c r="H12789" t="s">
        <v>15799</v>
      </c>
      <c r="I12789" t="s">
        <v>31397</v>
      </c>
      <c r="J12789" t="s">
        <v>31606</v>
      </c>
      <c r="K12789" t="s">
        <v>40665</v>
      </c>
      <c r="M12789" t="s">
        <v>42560</v>
      </c>
      <c r="N12789" t="s">
        <v>44905</v>
      </c>
      <c r="O12789" t="s">
        <v>44906</v>
      </c>
      <c r="P12789">
        <v>0</v>
      </c>
      <c r="Q12789">
        <v>5</v>
      </c>
      <c r="R12789" t="s">
        <v>44921</v>
      </c>
      <c r="S12789" t="s">
        <v>45564</v>
      </c>
      <c r="T12789" t="s">
        <v>46692</v>
      </c>
      <c r="U12789" t="s">
        <v>57146</v>
      </c>
      <c r="W12789" t="s">
        <v>42560</v>
      </c>
      <c r="X12789" t="s">
        <v>44922</v>
      </c>
    </row>
    <row r="12790" spans="1:24">
      <c r="A12790">
        <f>HYPERLINK("https://www.philgeps.gov.ph/GEPSNONPILOT/Tender/SplashBidNoticeAbstractUI.aspx?menuIndex=3&amp;refID=7053519&amp;Result=3","7053519")</f>
        <v>0</v>
      </c>
      <c r="B12790" t="s">
        <v>3288</v>
      </c>
      <c r="C12790" t="s">
        <v>15744</v>
      </c>
      <c r="D12790" t="s">
        <v>18153</v>
      </c>
      <c r="E12790" t="s">
        <v>29266</v>
      </c>
      <c r="F12790" t="s">
        <v>31362</v>
      </c>
      <c r="G12790" t="s">
        <v>31369</v>
      </c>
      <c r="H12790" t="s">
        <v>31378</v>
      </c>
      <c r="I12790" t="s">
        <v>31386</v>
      </c>
      <c r="J12790" t="s">
        <v>39308</v>
      </c>
      <c r="K12790" t="s">
        <v>40686</v>
      </c>
      <c r="M12790" t="s">
        <v>44574</v>
      </c>
      <c r="N12790" t="s">
        <v>44905</v>
      </c>
      <c r="O12790" t="s">
        <v>44906</v>
      </c>
      <c r="P12790">
        <v>0</v>
      </c>
      <c r="Q12790">
        <v>0</v>
      </c>
      <c r="R12790" t="s">
        <v>44921</v>
      </c>
      <c r="S12790" t="s">
        <v>45564</v>
      </c>
      <c r="T12790" t="s">
        <v>46692</v>
      </c>
      <c r="U12790" t="s">
        <v>57147</v>
      </c>
      <c r="V12790" t="s">
        <v>60463</v>
      </c>
      <c r="W12790" t="s">
        <v>44574</v>
      </c>
      <c r="X12790" t="s">
        <v>44922</v>
      </c>
    </row>
    <row r="12791" spans="1:24">
      <c r="A12791">
        <f>HYPERLINK("https://www.philgeps.gov.ph/GEPSNONPILOT/Tender/SplashBidNoticeAbstractUI.aspx?menuIndex=3&amp;refID=7053478&amp;Result=3","7053478")</f>
        <v>0</v>
      </c>
      <c r="B12791" t="s">
        <v>298</v>
      </c>
      <c r="C12791" t="s">
        <v>15745</v>
      </c>
      <c r="D12791" t="s">
        <v>18168</v>
      </c>
      <c r="E12791" t="s">
        <v>29267</v>
      </c>
      <c r="F12791" t="s">
        <v>31362</v>
      </c>
      <c r="G12791" t="s">
        <v>31369</v>
      </c>
      <c r="H12791" t="s">
        <v>31378</v>
      </c>
      <c r="I12791" t="s">
        <v>31386</v>
      </c>
      <c r="J12791" t="s">
        <v>39309</v>
      </c>
      <c r="K12791" t="s">
        <v>40686</v>
      </c>
      <c r="M12791" t="s">
        <v>44575</v>
      </c>
      <c r="N12791" t="s">
        <v>44905</v>
      </c>
      <c r="O12791" t="s">
        <v>44906</v>
      </c>
      <c r="P12791">
        <v>0</v>
      </c>
      <c r="Q12791">
        <v>4</v>
      </c>
      <c r="R12791" t="s">
        <v>44921</v>
      </c>
      <c r="S12791" t="s">
        <v>45564</v>
      </c>
      <c r="T12791" t="s">
        <v>46503</v>
      </c>
      <c r="U12791" t="s">
        <v>57148</v>
      </c>
      <c r="W12791" t="s">
        <v>44575</v>
      </c>
      <c r="X12791" t="s">
        <v>44922</v>
      </c>
    </row>
    <row r="12792" spans="1:24">
      <c r="A12792">
        <f>HYPERLINK("https://www.philgeps.gov.ph/GEPSNONPILOT/Tender/SplashBidNoticeAbstractUI.aspx?menuIndex=3&amp;refID=7053287&amp;Result=3","7053287")</f>
        <v>0</v>
      </c>
      <c r="B12792" t="s">
        <v>2533</v>
      </c>
      <c r="C12792" t="s">
        <v>15746</v>
      </c>
      <c r="D12792" t="s">
        <v>18151</v>
      </c>
      <c r="E12792" t="s">
        <v>21811</v>
      </c>
      <c r="F12792" t="s">
        <v>31362</v>
      </c>
      <c r="G12792" t="s">
        <v>31369</v>
      </c>
      <c r="H12792" t="s">
        <v>31378</v>
      </c>
      <c r="I12792" t="s">
        <v>31386</v>
      </c>
      <c r="J12792" t="s">
        <v>33653</v>
      </c>
      <c r="K12792" t="s">
        <v>40686</v>
      </c>
      <c r="M12792" t="s">
        <v>43702</v>
      </c>
      <c r="N12792" t="s">
        <v>44905</v>
      </c>
      <c r="O12792" t="s">
        <v>44906</v>
      </c>
      <c r="P12792">
        <v>0</v>
      </c>
      <c r="Q12792">
        <v>1</v>
      </c>
      <c r="R12792" t="s">
        <v>44921</v>
      </c>
      <c r="S12792" t="s">
        <v>45564</v>
      </c>
      <c r="T12792" t="s">
        <v>46530</v>
      </c>
      <c r="U12792" t="s">
        <v>57149</v>
      </c>
      <c r="V12792" t="s">
        <v>60455</v>
      </c>
      <c r="W12792" t="s">
        <v>43702</v>
      </c>
      <c r="X12792" t="s">
        <v>44922</v>
      </c>
    </row>
    <row r="12793" spans="1:24">
      <c r="A12793">
        <f>HYPERLINK("https://www.philgeps.gov.ph/GEPSNONPILOT/Tender/SplashBidNoticeAbstractUI.aspx?menuIndex=3&amp;refID=7053521&amp;Result=3","7053521")</f>
        <v>0</v>
      </c>
      <c r="B12793" t="s">
        <v>3289</v>
      </c>
      <c r="C12793" t="s">
        <v>15747</v>
      </c>
      <c r="D12793" t="s">
        <v>18156</v>
      </c>
      <c r="E12793" t="s">
        <v>29268</v>
      </c>
      <c r="F12793" t="s">
        <v>31362</v>
      </c>
      <c r="G12793" t="s">
        <v>31369</v>
      </c>
      <c r="H12793" t="s">
        <v>15799</v>
      </c>
      <c r="I12793" t="s">
        <v>31436</v>
      </c>
      <c r="J12793" t="s">
        <v>39310</v>
      </c>
      <c r="K12793" t="s">
        <v>40677</v>
      </c>
      <c r="M12793" t="s">
        <v>44576</v>
      </c>
      <c r="N12793" t="s">
        <v>44905</v>
      </c>
      <c r="O12793" t="s">
        <v>44906</v>
      </c>
      <c r="Q12793">
        <v>7</v>
      </c>
      <c r="R12793" t="s">
        <v>44921</v>
      </c>
      <c r="S12793" t="s">
        <v>45586</v>
      </c>
      <c r="T12793" t="s">
        <v>46446</v>
      </c>
      <c r="U12793" t="s">
        <v>57150</v>
      </c>
      <c r="W12793" t="s">
        <v>44576</v>
      </c>
      <c r="X12793" t="s">
        <v>44922</v>
      </c>
    </row>
    <row r="12794" spans="1:24">
      <c r="A12794">
        <f>HYPERLINK("https://www.philgeps.gov.ph/GEPSNONPILOT/Tender/SplashBidNoticeAbstractUI.aspx?menuIndex=3&amp;refID=7053484&amp;Result=3","7053484")</f>
        <v>0</v>
      </c>
      <c r="B12794" t="s">
        <v>3187</v>
      </c>
      <c r="C12794" t="s">
        <v>15748</v>
      </c>
      <c r="D12794" t="s">
        <v>18138</v>
      </c>
      <c r="E12794" t="s">
        <v>29269</v>
      </c>
      <c r="F12794" t="s">
        <v>31362</v>
      </c>
      <c r="G12794" t="s">
        <v>31369</v>
      </c>
      <c r="H12794" t="s">
        <v>31378</v>
      </c>
      <c r="I12794" t="s">
        <v>31386</v>
      </c>
      <c r="J12794" t="s">
        <v>31696</v>
      </c>
      <c r="K12794" t="s">
        <v>40678</v>
      </c>
      <c r="M12794" t="s">
        <v>44457</v>
      </c>
      <c r="N12794" t="s">
        <v>44905</v>
      </c>
      <c r="O12794" t="s">
        <v>44906</v>
      </c>
      <c r="Q12794">
        <v>7</v>
      </c>
      <c r="R12794" t="s">
        <v>44921</v>
      </c>
      <c r="S12794" t="s">
        <v>45587</v>
      </c>
      <c r="T12794" t="s">
        <v>46499</v>
      </c>
      <c r="U12794" t="s">
        <v>57151</v>
      </c>
      <c r="W12794" t="s">
        <v>44457</v>
      </c>
      <c r="X12794" t="s">
        <v>44922</v>
      </c>
    </row>
    <row r="12795" spans="1:24">
      <c r="A12795">
        <f>HYPERLINK("https://www.philgeps.gov.ph/GEPSNONPILOT/Tender/SplashBidNoticeAbstractUI.aspx?menuIndex=3&amp;refID=7053812&amp;Result=3","7053812")</f>
        <v>0</v>
      </c>
      <c r="B12795" t="s">
        <v>781</v>
      </c>
      <c r="C12795" t="s">
        <v>15749</v>
      </c>
      <c r="D12795" t="s">
        <v>18156</v>
      </c>
      <c r="E12795" t="s">
        <v>29270</v>
      </c>
      <c r="F12795" t="s">
        <v>31362</v>
      </c>
      <c r="G12795" t="s">
        <v>31369</v>
      </c>
      <c r="H12795" t="s">
        <v>15799</v>
      </c>
      <c r="I12795" t="s">
        <v>6373</v>
      </c>
      <c r="J12795" t="s">
        <v>39311</v>
      </c>
      <c r="K12795" t="s">
        <v>40680</v>
      </c>
      <c r="M12795" t="s">
        <v>41749</v>
      </c>
      <c r="N12795" t="s">
        <v>44905</v>
      </c>
      <c r="O12795" t="s">
        <v>44906</v>
      </c>
      <c r="P12795">
        <v>0</v>
      </c>
      <c r="Q12795">
        <v>2</v>
      </c>
      <c r="R12795" t="s">
        <v>44921</v>
      </c>
      <c r="S12795" t="s">
        <v>45564</v>
      </c>
      <c r="T12795" t="s">
        <v>46418</v>
      </c>
      <c r="U12795" t="s">
        <v>57152</v>
      </c>
      <c r="W12795" t="s">
        <v>41749</v>
      </c>
      <c r="X12795" t="s">
        <v>44922</v>
      </c>
    </row>
    <row r="12796" spans="1:24">
      <c r="A12796">
        <f>HYPERLINK("https://www.philgeps.gov.ph/GEPSNONPILOT/Tender/SplashBidNoticeAbstractUI.aspx?menuIndex=3&amp;refID=7053811&amp;Result=3","7053811")</f>
        <v>0</v>
      </c>
      <c r="B12796" t="s">
        <v>675</v>
      </c>
      <c r="C12796" t="s">
        <v>15750</v>
      </c>
      <c r="D12796" t="s">
        <v>18111</v>
      </c>
      <c r="E12796" t="s">
        <v>29271</v>
      </c>
      <c r="F12796" t="s">
        <v>31362</v>
      </c>
      <c r="G12796" t="s">
        <v>31369</v>
      </c>
      <c r="H12796" t="s">
        <v>15799</v>
      </c>
      <c r="I12796" t="s">
        <v>31484</v>
      </c>
      <c r="J12796" t="s">
        <v>39312</v>
      </c>
      <c r="K12796" t="s">
        <v>40662</v>
      </c>
      <c r="M12796" t="s">
        <v>41637</v>
      </c>
      <c r="N12796" t="s">
        <v>44905</v>
      </c>
      <c r="O12796" t="s">
        <v>44906</v>
      </c>
      <c r="P12796">
        <v>0</v>
      </c>
      <c r="Q12796">
        <v>14</v>
      </c>
      <c r="R12796" t="s">
        <v>44921</v>
      </c>
      <c r="S12796" t="s">
        <v>45564</v>
      </c>
      <c r="T12796" t="s">
        <v>46483</v>
      </c>
      <c r="U12796" t="s">
        <v>57153</v>
      </c>
      <c r="W12796" t="s">
        <v>41637</v>
      </c>
      <c r="X12796" t="s">
        <v>44922</v>
      </c>
    </row>
    <row r="12797" spans="1:24">
      <c r="A12797">
        <f>HYPERLINK("https://www.philgeps.gov.ph/GEPSNONPILOT/Tender/SplashBidNoticeAbstractUI.aspx?menuIndex=3&amp;refID=7053818&amp;Result=3","7053818")</f>
        <v>0</v>
      </c>
      <c r="B12797" t="s">
        <v>3285</v>
      </c>
      <c r="C12797" t="s">
        <v>15751</v>
      </c>
      <c r="D12797" t="s">
        <v>18100</v>
      </c>
      <c r="E12797" t="s">
        <v>20667</v>
      </c>
      <c r="F12797" t="s">
        <v>31362</v>
      </c>
      <c r="G12797" t="s">
        <v>31369</v>
      </c>
      <c r="H12797" t="s">
        <v>15799</v>
      </c>
      <c r="I12797" t="s">
        <v>4283</v>
      </c>
      <c r="J12797" t="s">
        <v>31768</v>
      </c>
      <c r="K12797" t="s">
        <v>40661</v>
      </c>
      <c r="L12797" t="s">
        <v>3285</v>
      </c>
      <c r="M12797" t="s">
        <v>44571</v>
      </c>
      <c r="N12797" t="s">
        <v>44905</v>
      </c>
      <c r="O12797" t="s">
        <v>44906</v>
      </c>
      <c r="P12797">
        <v>0</v>
      </c>
      <c r="Q12797">
        <v>0</v>
      </c>
      <c r="R12797" t="s">
        <v>44921</v>
      </c>
      <c r="S12797" t="s">
        <v>45564</v>
      </c>
      <c r="T12797" t="s">
        <v>46396</v>
      </c>
      <c r="U12797" t="s">
        <v>57154</v>
      </c>
      <c r="V12797" t="s">
        <v>60464</v>
      </c>
      <c r="W12797" t="s">
        <v>44571</v>
      </c>
      <c r="X12797" t="s">
        <v>44922</v>
      </c>
    </row>
    <row r="12798" spans="1:24">
      <c r="A12798">
        <f>HYPERLINK("https://www.philgeps.gov.ph/GEPSNONPILOT/Tender/SplashBidNoticeAbstractUI.aspx?menuIndex=3&amp;refID=7053797&amp;Result=3","7053797")</f>
        <v>0</v>
      </c>
      <c r="B12798" t="s">
        <v>3285</v>
      </c>
      <c r="C12798" t="s">
        <v>15752</v>
      </c>
      <c r="D12798" t="s">
        <v>18100</v>
      </c>
      <c r="E12798" t="s">
        <v>23592</v>
      </c>
      <c r="F12798" t="s">
        <v>31362</v>
      </c>
      <c r="G12798" t="s">
        <v>31369</v>
      </c>
      <c r="H12798" t="s">
        <v>15799</v>
      </c>
      <c r="I12798" t="s">
        <v>6155</v>
      </c>
      <c r="J12798" t="s">
        <v>32252</v>
      </c>
      <c r="K12798" t="s">
        <v>40661</v>
      </c>
      <c r="L12798" t="s">
        <v>3285</v>
      </c>
      <c r="M12798" t="s">
        <v>44571</v>
      </c>
      <c r="N12798" t="s">
        <v>44905</v>
      </c>
      <c r="O12798" t="s">
        <v>44906</v>
      </c>
      <c r="P12798">
        <v>0</v>
      </c>
      <c r="Q12798">
        <v>1</v>
      </c>
      <c r="R12798" t="s">
        <v>44921</v>
      </c>
      <c r="S12798" t="s">
        <v>45564</v>
      </c>
      <c r="T12798" t="s">
        <v>46396</v>
      </c>
      <c r="U12798" t="s">
        <v>57154</v>
      </c>
      <c r="V12798" t="s">
        <v>60464</v>
      </c>
      <c r="W12798" t="s">
        <v>44571</v>
      </c>
      <c r="X12798" t="s">
        <v>44922</v>
      </c>
    </row>
    <row r="12799" spans="1:24">
      <c r="A12799">
        <f>HYPERLINK("https://www.philgeps.gov.ph/GEPSNONPILOT/Tender/SplashBidNoticeAbstractUI.aspx?menuIndex=3&amp;refID=7053807&amp;Result=3","7053807")</f>
        <v>0</v>
      </c>
      <c r="B12799" t="s">
        <v>781</v>
      </c>
      <c r="C12799" t="s">
        <v>15753</v>
      </c>
      <c r="D12799" t="s">
        <v>18156</v>
      </c>
      <c r="E12799" t="s">
        <v>29272</v>
      </c>
      <c r="F12799" t="s">
        <v>31362</v>
      </c>
      <c r="G12799" t="s">
        <v>31369</v>
      </c>
      <c r="H12799" t="s">
        <v>15799</v>
      </c>
      <c r="I12799" t="s">
        <v>6373</v>
      </c>
      <c r="J12799" t="s">
        <v>34807</v>
      </c>
      <c r="K12799" t="s">
        <v>40680</v>
      </c>
      <c r="M12799" t="s">
        <v>41749</v>
      </c>
      <c r="N12799" t="s">
        <v>44905</v>
      </c>
      <c r="O12799" t="s">
        <v>44906</v>
      </c>
      <c r="P12799">
        <v>0</v>
      </c>
      <c r="Q12799">
        <v>5</v>
      </c>
      <c r="R12799" t="s">
        <v>44921</v>
      </c>
      <c r="S12799" t="s">
        <v>45564</v>
      </c>
      <c r="T12799" t="s">
        <v>46418</v>
      </c>
      <c r="U12799" t="s">
        <v>57155</v>
      </c>
      <c r="W12799" t="s">
        <v>41749</v>
      </c>
      <c r="X12799" t="s">
        <v>44922</v>
      </c>
    </row>
    <row r="12800" spans="1:24">
      <c r="A12800">
        <f>HYPERLINK("https://www.philgeps.gov.ph/GEPSNONPILOT/Tender/SplashBidNoticeAbstractUI.aspx?menuIndex=3&amp;refID=7053556&amp;Result=3","7053556")</f>
        <v>0</v>
      </c>
      <c r="B12800" t="s">
        <v>2674</v>
      </c>
      <c r="C12800" t="s">
        <v>15754</v>
      </c>
      <c r="D12800" t="s">
        <v>18133</v>
      </c>
      <c r="E12800" t="s">
        <v>26969</v>
      </c>
      <c r="F12800" t="s">
        <v>31362</v>
      </c>
      <c r="G12800" t="s">
        <v>31369</v>
      </c>
      <c r="H12800" t="s">
        <v>31378</v>
      </c>
      <c r="I12800" t="s">
        <v>31386</v>
      </c>
      <c r="J12800" t="s">
        <v>39313</v>
      </c>
      <c r="K12800" t="s">
        <v>40666</v>
      </c>
      <c r="M12800" t="s">
        <v>43860</v>
      </c>
      <c r="N12800" t="s">
        <v>44905</v>
      </c>
      <c r="O12800" t="s">
        <v>44906</v>
      </c>
      <c r="P12800">
        <v>0</v>
      </c>
      <c r="Q12800">
        <v>1</v>
      </c>
      <c r="R12800" t="s">
        <v>44921</v>
      </c>
      <c r="S12800" t="s">
        <v>45564</v>
      </c>
      <c r="T12800" t="s">
        <v>46391</v>
      </c>
      <c r="U12800" t="s">
        <v>57156</v>
      </c>
      <c r="W12800" t="s">
        <v>43860</v>
      </c>
      <c r="X12800" t="s">
        <v>44922</v>
      </c>
    </row>
    <row r="12801" spans="1:24">
      <c r="A12801">
        <f>HYPERLINK("https://www.philgeps.gov.ph/GEPSNONPILOT/Tender/SplashBidNoticeAbstractUI.aspx?menuIndex=3&amp;refID=7053794&amp;Result=3","7053794")</f>
        <v>0</v>
      </c>
      <c r="B12801" t="s">
        <v>781</v>
      </c>
      <c r="C12801" t="s">
        <v>15755</v>
      </c>
      <c r="D12801" t="s">
        <v>18156</v>
      </c>
      <c r="E12801" t="s">
        <v>29273</v>
      </c>
      <c r="F12801" t="s">
        <v>31362</v>
      </c>
      <c r="G12801" t="s">
        <v>31369</v>
      </c>
      <c r="H12801" t="s">
        <v>15799</v>
      </c>
      <c r="I12801" t="s">
        <v>7188</v>
      </c>
      <c r="J12801" t="s">
        <v>31613</v>
      </c>
      <c r="K12801" t="s">
        <v>40682</v>
      </c>
      <c r="M12801" t="s">
        <v>41749</v>
      </c>
      <c r="N12801" t="s">
        <v>44905</v>
      </c>
      <c r="O12801" t="s">
        <v>44906</v>
      </c>
      <c r="P12801">
        <v>0</v>
      </c>
      <c r="Q12801">
        <v>8</v>
      </c>
      <c r="R12801" t="s">
        <v>44921</v>
      </c>
      <c r="S12801" t="s">
        <v>45564</v>
      </c>
      <c r="T12801" t="s">
        <v>46418</v>
      </c>
      <c r="U12801" t="s">
        <v>57157</v>
      </c>
      <c r="W12801" t="s">
        <v>41749</v>
      </c>
      <c r="X12801" t="s">
        <v>44922</v>
      </c>
    </row>
    <row r="12802" spans="1:24">
      <c r="A12802">
        <f>HYPERLINK("https://www.philgeps.gov.ph/GEPSNONPILOT/Tender/SplashBidNoticeAbstractUI.aspx?menuIndex=3&amp;refID=7053774&amp;Result=3","7053774")</f>
        <v>0</v>
      </c>
      <c r="B12802" t="s">
        <v>3285</v>
      </c>
      <c r="C12802" t="s">
        <v>15756</v>
      </c>
      <c r="D12802" t="s">
        <v>18100</v>
      </c>
      <c r="E12802" t="s">
        <v>23320</v>
      </c>
      <c r="F12802" t="s">
        <v>31362</v>
      </c>
      <c r="G12802" t="s">
        <v>31369</v>
      </c>
      <c r="H12802" t="s">
        <v>15799</v>
      </c>
      <c r="I12802" t="s">
        <v>31463</v>
      </c>
      <c r="J12802" t="s">
        <v>38226</v>
      </c>
      <c r="K12802" t="s">
        <v>40661</v>
      </c>
      <c r="L12802" t="s">
        <v>3285</v>
      </c>
      <c r="M12802" t="s">
        <v>44571</v>
      </c>
      <c r="N12802" t="s">
        <v>44905</v>
      </c>
      <c r="O12802" t="s">
        <v>44906</v>
      </c>
      <c r="P12802">
        <v>0</v>
      </c>
      <c r="Q12802">
        <v>0</v>
      </c>
      <c r="R12802" t="s">
        <v>44921</v>
      </c>
      <c r="S12802" t="s">
        <v>45564</v>
      </c>
      <c r="T12802" t="s">
        <v>46396</v>
      </c>
      <c r="U12802" t="s">
        <v>57154</v>
      </c>
      <c r="V12802" t="s">
        <v>60464</v>
      </c>
      <c r="W12802" t="s">
        <v>44571</v>
      </c>
      <c r="X12802" t="s">
        <v>44922</v>
      </c>
    </row>
    <row r="12803" spans="1:24">
      <c r="A12803">
        <f>HYPERLINK("https://www.philgeps.gov.ph/GEPSNONPILOT/Tender/SplashBidNoticeAbstractUI.aspx?menuIndex=3&amp;refID=7053615&amp;Result=3","7053615")</f>
        <v>0</v>
      </c>
      <c r="B12803" t="s">
        <v>756</v>
      </c>
      <c r="C12803" t="s">
        <v>15757</v>
      </c>
      <c r="D12803" t="s">
        <v>18123</v>
      </c>
      <c r="E12803" t="s">
        <v>29274</v>
      </c>
      <c r="F12803" t="s">
        <v>31362</v>
      </c>
      <c r="G12803" t="s">
        <v>31369</v>
      </c>
      <c r="H12803" t="s">
        <v>31378</v>
      </c>
      <c r="I12803" t="s">
        <v>31386</v>
      </c>
      <c r="J12803" t="s">
        <v>39314</v>
      </c>
      <c r="K12803" t="s">
        <v>40694</v>
      </c>
      <c r="L12803" t="s">
        <v>756</v>
      </c>
      <c r="M12803" t="s">
        <v>44543</v>
      </c>
      <c r="N12803" t="s">
        <v>44905</v>
      </c>
      <c r="O12803" t="s">
        <v>44906</v>
      </c>
      <c r="P12803">
        <v>0</v>
      </c>
      <c r="Q12803">
        <v>2</v>
      </c>
      <c r="R12803" t="s">
        <v>44921</v>
      </c>
      <c r="S12803" t="s">
        <v>45564</v>
      </c>
      <c r="T12803" t="s">
        <v>46470</v>
      </c>
      <c r="U12803" t="s">
        <v>57158</v>
      </c>
      <c r="W12803" t="s">
        <v>44543</v>
      </c>
      <c r="X12803" t="s">
        <v>44922</v>
      </c>
    </row>
    <row r="12804" spans="1:24">
      <c r="A12804">
        <f>HYPERLINK("https://www.philgeps.gov.ph/GEPSNONPILOT/Tender/SplashBidNoticeAbstractUI.aspx?menuIndex=3&amp;refID=7053579&amp;Result=3","7053579")</f>
        <v>0</v>
      </c>
      <c r="B12804" t="s">
        <v>1167</v>
      </c>
      <c r="C12804" t="s">
        <v>15758</v>
      </c>
      <c r="D12804" t="s">
        <v>18151</v>
      </c>
      <c r="E12804" t="s">
        <v>29275</v>
      </c>
      <c r="F12804" t="s">
        <v>31362</v>
      </c>
      <c r="G12804" t="s">
        <v>31369</v>
      </c>
      <c r="H12804" t="s">
        <v>31378</v>
      </c>
      <c r="I12804" t="s">
        <v>31386</v>
      </c>
      <c r="J12804" t="s">
        <v>35106</v>
      </c>
      <c r="K12804" t="s">
        <v>40766</v>
      </c>
      <c r="M12804" t="s">
        <v>42177</v>
      </c>
      <c r="N12804" t="s">
        <v>44905</v>
      </c>
      <c r="O12804" t="s">
        <v>44906</v>
      </c>
      <c r="P12804">
        <v>0</v>
      </c>
      <c r="Q12804">
        <v>3</v>
      </c>
      <c r="R12804" t="s">
        <v>44921</v>
      </c>
      <c r="S12804" t="s">
        <v>45564</v>
      </c>
      <c r="T12804" t="s">
        <v>46470</v>
      </c>
      <c r="U12804" t="s">
        <v>49459</v>
      </c>
      <c r="V12804" t="s">
        <v>60465</v>
      </c>
      <c r="W12804" t="s">
        <v>42177</v>
      </c>
      <c r="X12804" t="s">
        <v>44922</v>
      </c>
    </row>
    <row r="12805" spans="1:24">
      <c r="A12805">
        <f>HYPERLINK("https://www.philgeps.gov.ph/GEPSNONPILOT/Tender/SplashBidNoticeAbstractUI.aspx?menuIndex=3&amp;refID=7053745&amp;Result=3","7053745")</f>
        <v>0</v>
      </c>
      <c r="B12805" t="s">
        <v>3288</v>
      </c>
      <c r="C12805" t="s">
        <v>15759</v>
      </c>
      <c r="D12805" t="s">
        <v>18153</v>
      </c>
      <c r="E12805" t="s">
        <v>29276</v>
      </c>
      <c r="F12805" t="s">
        <v>31362</v>
      </c>
      <c r="G12805" t="s">
        <v>31369</v>
      </c>
      <c r="H12805" t="s">
        <v>31378</v>
      </c>
      <c r="I12805" t="s">
        <v>31386</v>
      </c>
      <c r="J12805" t="s">
        <v>39315</v>
      </c>
      <c r="K12805" t="s">
        <v>40694</v>
      </c>
      <c r="M12805" t="s">
        <v>44574</v>
      </c>
      <c r="N12805" t="s">
        <v>44905</v>
      </c>
      <c r="O12805" t="s">
        <v>44906</v>
      </c>
      <c r="P12805">
        <v>0</v>
      </c>
      <c r="Q12805">
        <v>0</v>
      </c>
      <c r="R12805" t="s">
        <v>44921</v>
      </c>
      <c r="S12805" t="s">
        <v>45564</v>
      </c>
      <c r="T12805" t="s">
        <v>46400</v>
      </c>
      <c r="U12805" t="s">
        <v>57159</v>
      </c>
      <c r="V12805" t="s">
        <v>60463</v>
      </c>
      <c r="W12805" t="s">
        <v>44574</v>
      </c>
      <c r="X12805" t="s">
        <v>44922</v>
      </c>
    </row>
    <row r="12806" spans="1:24">
      <c r="A12806">
        <f>HYPERLINK("https://www.philgeps.gov.ph/GEPSNONPILOT/Tender/SplashBidNoticeAbstractUI.aspx?menuIndex=3&amp;refID=7053730&amp;Result=3","7053730")</f>
        <v>0</v>
      </c>
      <c r="B12806" t="s">
        <v>3285</v>
      </c>
      <c r="C12806" t="s">
        <v>15760</v>
      </c>
      <c r="D12806" t="s">
        <v>18100</v>
      </c>
      <c r="E12806" t="s">
        <v>18217</v>
      </c>
      <c r="F12806" t="s">
        <v>31362</v>
      </c>
      <c r="G12806" t="s">
        <v>31369</v>
      </c>
      <c r="H12806" t="s">
        <v>15799</v>
      </c>
      <c r="I12806" t="s">
        <v>4057</v>
      </c>
      <c r="J12806" t="s">
        <v>33026</v>
      </c>
      <c r="K12806" t="s">
        <v>40661</v>
      </c>
      <c r="L12806" t="s">
        <v>3285</v>
      </c>
      <c r="M12806" t="s">
        <v>44571</v>
      </c>
      <c r="N12806" t="s">
        <v>44905</v>
      </c>
      <c r="O12806" t="s">
        <v>44906</v>
      </c>
      <c r="P12806">
        <v>0</v>
      </c>
      <c r="Q12806">
        <v>0</v>
      </c>
      <c r="R12806" t="s">
        <v>44921</v>
      </c>
      <c r="S12806" t="s">
        <v>45564</v>
      </c>
      <c r="T12806" t="s">
        <v>46396</v>
      </c>
      <c r="U12806" t="s">
        <v>57135</v>
      </c>
      <c r="V12806" t="s">
        <v>60464</v>
      </c>
      <c r="W12806" t="s">
        <v>44571</v>
      </c>
      <c r="X12806" t="s">
        <v>44922</v>
      </c>
    </row>
    <row r="12807" spans="1:24">
      <c r="A12807">
        <f>HYPERLINK("https://www.philgeps.gov.ph/GEPSNONPILOT/Tender/SplashBidNoticeAbstractUI.aspx?menuIndex=3&amp;refID=7053762&amp;Result=3","7053762")</f>
        <v>0</v>
      </c>
      <c r="B12807" t="s">
        <v>3285</v>
      </c>
      <c r="C12807" t="s">
        <v>15761</v>
      </c>
      <c r="D12807" t="s">
        <v>18100</v>
      </c>
      <c r="E12807" t="s">
        <v>21898</v>
      </c>
      <c r="F12807" t="s">
        <v>31362</v>
      </c>
      <c r="G12807" t="s">
        <v>31369</v>
      </c>
      <c r="H12807" t="s">
        <v>15799</v>
      </c>
      <c r="I12807" t="s">
        <v>31422</v>
      </c>
      <c r="J12807" t="s">
        <v>33631</v>
      </c>
      <c r="K12807" t="s">
        <v>40661</v>
      </c>
      <c r="L12807" t="s">
        <v>3285</v>
      </c>
      <c r="M12807" t="s">
        <v>44571</v>
      </c>
      <c r="N12807" t="s">
        <v>44905</v>
      </c>
      <c r="O12807" t="s">
        <v>44906</v>
      </c>
      <c r="P12807">
        <v>0</v>
      </c>
      <c r="Q12807">
        <v>1</v>
      </c>
      <c r="R12807" t="s">
        <v>44921</v>
      </c>
      <c r="S12807" t="s">
        <v>45564</v>
      </c>
      <c r="T12807" t="s">
        <v>46396</v>
      </c>
      <c r="U12807" t="s">
        <v>57154</v>
      </c>
      <c r="V12807" t="s">
        <v>60464</v>
      </c>
      <c r="W12807" t="s">
        <v>44571</v>
      </c>
      <c r="X12807" t="s">
        <v>44922</v>
      </c>
    </row>
    <row r="12808" spans="1:24">
      <c r="A12808">
        <f>HYPERLINK("https://www.philgeps.gov.ph/GEPSNONPILOT/Tender/SplashBidNoticeAbstractUI.aspx?menuIndex=3&amp;refID=7053790&amp;Result=3","7053790")</f>
        <v>0</v>
      </c>
      <c r="B12808" t="s">
        <v>3285</v>
      </c>
      <c r="C12808" t="s">
        <v>15762</v>
      </c>
      <c r="D12808" t="s">
        <v>18100</v>
      </c>
      <c r="E12808" t="s">
        <v>23363</v>
      </c>
      <c r="F12808" t="s">
        <v>31362</v>
      </c>
      <c r="G12808" t="s">
        <v>31369</v>
      </c>
      <c r="H12808" t="s">
        <v>15799</v>
      </c>
      <c r="I12808" t="s">
        <v>6155</v>
      </c>
      <c r="J12808" t="s">
        <v>32670</v>
      </c>
      <c r="K12808" t="s">
        <v>40661</v>
      </c>
      <c r="L12808" t="s">
        <v>3285</v>
      </c>
      <c r="M12808" t="s">
        <v>44571</v>
      </c>
      <c r="N12808" t="s">
        <v>44905</v>
      </c>
      <c r="O12808" t="s">
        <v>44906</v>
      </c>
      <c r="P12808">
        <v>0</v>
      </c>
      <c r="Q12808">
        <v>0</v>
      </c>
      <c r="R12808" t="s">
        <v>44921</v>
      </c>
      <c r="S12808" t="s">
        <v>45564</v>
      </c>
      <c r="T12808" t="s">
        <v>46396</v>
      </c>
      <c r="U12808" t="s">
        <v>57154</v>
      </c>
      <c r="V12808" t="s">
        <v>60464</v>
      </c>
      <c r="W12808" t="s">
        <v>44571</v>
      </c>
      <c r="X12808" t="s">
        <v>44922</v>
      </c>
    </row>
    <row r="12809" spans="1:24">
      <c r="A12809">
        <f>HYPERLINK("https://www.philgeps.gov.ph/GEPSNONPILOT/Tender/SplashBidNoticeAbstractUI.aspx?menuIndex=3&amp;refID=7053975&amp;Result=3","7053975")</f>
        <v>0</v>
      </c>
      <c r="B12809" t="s">
        <v>3290</v>
      </c>
      <c r="C12809" t="s">
        <v>15763</v>
      </c>
      <c r="D12809" t="s">
        <v>18110</v>
      </c>
      <c r="E12809" t="s">
        <v>29277</v>
      </c>
      <c r="F12809" t="s">
        <v>31362</v>
      </c>
      <c r="G12809" t="s">
        <v>31369</v>
      </c>
      <c r="H12809" t="s">
        <v>31378</v>
      </c>
      <c r="I12809" t="s">
        <v>31386</v>
      </c>
      <c r="J12809" t="s">
        <v>31625</v>
      </c>
      <c r="K12809" t="s">
        <v>40682</v>
      </c>
      <c r="M12809" t="s">
        <v>44577</v>
      </c>
      <c r="N12809" t="s">
        <v>44905</v>
      </c>
      <c r="O12809" t="s">
        <v>44906</v>
      </c>
      <c r="Q12809">
        <v>11</v>
      </c>
      <c r="R12809" t="s">
        <v>44921</v>
      </c>
      <c r="S12809" t="s">
        <v>45423</v>
      </c>
      <c r="T12809" t="s">
        <v>46435</v>
      </c>
      <c r="U12809" t="s">
        <v>57160</v>
      </c>
      <c r="V12809" t="s">
        <v>60466</v>
      </c>
      <c r="W12809" t="s">
        <v>44577</v>
      </c>
      <c r="X12809" t="s">
        <v>44922</v>
      </c>
    </row>
    <row r="12810" spans="1:24">
      <c r="A12810">
        <f>HYPERLINK("https://www.philgeps.gov.ph/GEPSNONPILOT/Tender/SplashBidNoticeAbstractUI.aspx?menuIndex=3&amp;refID=7053782&amp;Result=3","7053782")</f>
        <v>0</v>
      </c>
      <c r="B12810" t="s">
        <v>1167</v>
      </c>
      <c r="C12810" t="s">
        <v>15764</v>
      </c>
      <c r="D12810" t="s">
        <v>18151</v>
      </c>
      <c r="E12810" t="s">
        <v>29278</v>
      </c>
      <c r="F12810" t="s">
        <v>31362</v>
      </c>
      <c r="G12810" t="s">
        <v>31369</v>
      </c>
      <c r="H12810" t="s">
        <v>31378</v>
      </c>
      <c r="I12810" t="s">
        <v>31386</v>
      </c>
      <c r="J12810" t="s">
        <v>33435</v>
      </c>
      <c r="K12810" t="s">
        <v>40922</v>
      </c>
      <c r="M12810" t="s">
        <v>42177</v>
      </c>
      <c r="N12810" t="s">
        <v>44905</v>
      </c>
      <c r="O12810" t="s">
        <v>44906</v>
      </c>
      <c r="P12810">
        <v>0</v>
      </c>
      <c r="Q12810">
        <v>4</v>
      </c>
      <c r="R12810" t="s">
        <v>44921</v>
      </c>
      <c r="S12810" t="s">
        <v>45564</v>
      </c>
      <c r="T12810" t="s">
        <v>46470</v>
      </c>
      <c r="U12810" t="s">
        <v>49459</v>
      </c>
      <c r="V12810" t="s">
        <v>60467</v>
      </c>
      <c r="W12810" t="s">
        <v>42177</v>
      </c>
      <c r="X12810" t="s">
        <v>44922</v>
      </c>
    </row>
    <row r="12811" spans="1:24">
      <c r="A12811">
        <f>HYPERLINK("https://www.philgeps.gov.ph/GEPSNONPILOT/Tender/SplashBidNoticeAbstractUI.aspx?menuIndex=3&amp;refID=7053742&amp;Result=3","7053742")</f>
        <v>0</v>
      </c>
      <c r="B12811" t="s">
        <v>3285</v>
      </c>
      <c r="C12811" t="s">
        <v>15765</v>
      </c>
      <c r="D12811" t="s">
        <v>18100</v>
      </c>
      <c r="E12811" t="s">
        <v>21549</v>
      </c>
      <c r="F12811" t="s">
        <v>31362</v>
      </c>
      <c r="G12811" t="s">
        <v>31369</v>
      </c>
      <c r="H12811" t="s">
        <v>15799</v>
      </c>
      <c r="I12811" t="s">
        <v>4057</v>
      </c>
      <c r="J12811" t="s">
        <v>39316</v>
      </c>
      <c r="K12811" t="s">
        <v>40661</v>
      </c>
      <c r="L12811" t="s">
        <v>3285</v>
      </c>
      <c r="M12811" t="s">
        <v>44571</v>
      </c>
      <c r="N12811" t="s">
        <v>44905</v>
      </c>
      <c r="O12811" t="s">
        <v>44906</v>
      </c>
      <c r="P12811">
        <v>0</v>
      </c>
      <c r="Q12811">
        <v>0</v>
      </c>
      <c r="R12811" t="s">
        <v>44921</v>
      </c>
      <c r="S12811" t="s">
        <v>45564</v>
      </c>
      <c r="T12811" t="s">
        <v>46396</v>
      </c>
      <c r="U12811" t="s">
        <v>57154</v>
      </c>
      <c r="V12811" t="s">
        <v>60464</v>
      </c>
      <c r="W12811" t="s">
        <v>44571</v>
      </c>
      <c r="X12811" t="s">
        <v>44922</v>
      </c>
    </row>
    <row r="12812" spans="1:24">
      <c r="A12812">
        <f>HYPERLINK("https://www.philgeps.gov.ph/GEPSNONPILOT/Tender/SplashBidNoticeAbstractUI.aspx?menuIndex=3&amp;refID=7053740&amp;Result=3","7053740")</f>
        <v>0</v>
      </c>
      <c r="B12812" t="s">
        <v>873</v>
      </c>
      <c r="C12812" t="s">
        <v>15766</v>
      </c>
      <c r="D12812" t="s">
        <v>18116</v>
      </c>
      <c r="E12812" t="s">
        <v>29279</v>
      </c>
      <c r="F12812" t="s">
        <v>31362</v>
      </c>
      <c r="G12812" t="s">
        <v>31369</v>
      </c>
      <c r="H12812" t="s">
        <v>31378</v>
      </c>
      <c r="I12812" t="s">
        <v>31386</v>
      </c>
      <c r="J12812" t="s">
        <v>33300</v>
      </c>
      <c r="K12812" t="s">
        <v>40686</v>
      </c>
      <c r="L12812" t="s">
        <v>873</v>
      </c>
      <c r="M12812" t="s">
        <v>41849</v>
      </c>
      <c r="N12812" t="s">
        <v>44905</v>
      </c>
      <c r="O12812" t="s">
        <v>44906</v>
      </c>
      <c r="P12812">
        <v>0</v>
      </c>
      <c r="Q12812">
        <v>1</v>
      </c>
      <c r="R12812" t="s">
        <v>44921</v>
      </c>
      <c r="S12812" t="s">
        <v>45564</v>
      </c>
      <c r="T12812" t="s">
        <v>46435</v>
      </c>
      <c r="U12812" t="s">
        <v>57161</v>
      </c>
      <c r="V12812" t="s">
        <v>60468</v>
      </c>
      <c r="W12812" t="s">
        <v>41849</v>
      </c>
      <c r="X12812" t="s">
        <v>44922</v>
      </c>
    </row>
    <row r="12813" spans="1:24">
      <c r="A12813">
        <f>HYPERLINK("https://www.philgeps.gov.ph/GEPSNONPILOT/Tender/SplashBidNoticeAbstractUI.aspx?menuIndex=3&amp;refID=7053965&amp;Result=3","7053965")</f>
        <v>0</v>
      </c>
      <c r="B12813" t="s">
        <v>1516</v>
      </c>
      <c r="C12813" t="s">
        <v>15767</v>
      </c>
      <c r="D12813" t="s">
        <v>18107</v>
      </c>
      <c r="E12813" t="s">
        <v>29280</v>
      </c>
      <c r="F12813" t="s">
        <v>31362</v>
      </c>
      <c r="G12813" t="s">
        <v>31369</v>
      </c>
      <c r="H12813" t="s">
        <v>31378</v>
      </c>
      <c r="I12813" t="s">
        <v>31386</v>
      </c>
      <c r="J12813" t="s">
        <v>39317</v>
      </c>
      <c r="K12813" t="s">
        <v>40912</v>
      </c>
      <c r="M12813" t="s">
        <v>42560</v>
      </c>
      <c r="N12813" t="s">
        <v>44905</v>
      </c>
      <c r="O12813" t="s">
        <v>44906</v>
      </c>
      <c r="P12813">
        <v>0</v>
      </c>
      <c r="Q12813">
        <v>0</v>
      </c>
      <c r="R12813" t="s">
        <v>44921</v>
      </c>
      <c r="S12813" t="s">
        <v>45564</v>
      </c>
      <c r="T12813" t="s">
        <v>46692</v>
      </c>
      <c r="U12813" t="s">
        <v>57162</v>
      </c>
      <c r="W12813" t="s">
        <v>42560</v>
      </c>
      <c r="X12813" t="s">
        <v>44922</v>
      </c>
    </row>
    <row r="12814" spans="1:24">
      <c r="A12814">
        <f>HYPERLINK("https://www.philgeps.gov.ph/GEPSNONPILOT/Tender/SplashBidNoticeAbstractUI.aspx?menuIndex=3&amp;refID=7053806&amp;Result=3","7053806")</f>
        <v>0</v>
      </c>
      <c r="B12814" t="s">
        <v>3291</v>
      </c>
      <c r="C12814" t="s">
        <v>15768</v>
      </c>
      <c r="D12814" t="s">
        <v>18107</v>
      </c>
      <c r="E12814" t="s">
        <v>29281</v>
      </c>
      <c r="F12814" t="s">
        <v>31362</v>
      </c>
      <c r="G12814" t="s">
        <v>31369</v>
      </c>
      <c r="H12814" t="s">
        <v>31378</v>
      </c>
      <c r="I12814" t="s">
        <v>31386</v>
      </c>
      <c r="J12814" t="s">
        <v>31625</v>
      </c>
      <c r="K12814" t="s">
        <v>40682</v>
      </c>
      <c r="M12814" t="s">
        <v>44578</v>
      </c>
      <c r="N12814" t="s">
        <v>44905</v>
      </c>
      <c r="O12814" t="s">
        <v>44906</v>
      </c>
      <c r="P12814">
        <v>0</v>
      </c>
      <c r="Q12814">
        <v>2</v>
      </c>
      <c r="R12814" t="s">
        <v>44921</v>
      </c>
      <c r="S12814" t="s">
        <v>45564</v>
      </c>
      <c r="T12814" t="s">
        <v>46491</v>
      </c>
      <c r="U12814" t="s">
        <v>57163</v>
      </c>
      <c r="W12814" t="s">
        <v>44578</v>
      </c>
      <c r="X12814" t="s">
        <v>44922</v>
      </c>
    </row>
    <row r="12815" spans="1:24">
      <c r="A12815">
        <f>HYPERLINK("https://www.philgeps.gov.ph/GEPSNONPILOT/Tender/SplashBidNoticeAbstractUI.aspx?menuIndex=3&amp;refID=7053910&amp;Result=3","7053910")</f>
        <v>0</v>
      </c>
      <c r="B12815" t="s">
        <v>2969</v>
      </c>
      <c r="C12815" t="s">
        <v>15769</v>
      </c>
      <c r="D12815" t="s">
        <v>18113</v>
      </c>
      <c r="E12815" t="s">
        <v>29282</v>
      </c>
      <c r="F12815" t="s">
        <v>31362</v>
      </c>
      <c r="G12815" t="s">
        <v>31369</v>
      </c>
      <c r="H12815" t="s">
        <v>15799</v>
      </c>
      <c r="I12815" t="s">
        <v>31427</v>
      </c>
      <c r="J12815" t="s">
        <v>34336</v>
      </c>
      <c r="K12815" t="s">
        <v>40665</v>
      </c>
      <c r="M12815" t="s">
        <v>44193</v>
      </c>
      <c r="N12815" t="s">
        <v>44905</v>
      </c>
      <c r="O12815" t="s">
        <v>44906</v>
      </c>
      <c r="Q12815">
        <v>12</v>
      </c>
      <c r="R12815" t="s">
        <v>44921</v>
      </c>
      <c r="S12815" t="s">
        <v>45588</v>
      </c>
      <c r="T12815" t="s">
        <v>46403</v>
      </c>
      <c r="U12815" t="s">
        <v>57164</v>
      </c>
      <c r="W12815" t="s">
        <v>44193</v>
      </c>
      <c r="X12815" t="s">
        <v>44922</v>
      </c>
    </row>
    <row r="12816" spans="1:24">
      <c r="A12816">
        <f>HYPERLINK("https://www.philgeps.gov.ph/GEPSNONPILOT/Tender/SplashBidNoticeAbstractUI.aspx?menuIndex=3&amp;refID=7053967&amp;Result=3","7053967")</f>
        <v>0</v>
      </c>
      <c r="B12816" t="s">
        <v>2325</v>
      </c>
      <c r="C12816" t="s">
        <v>15770</v>
      </c>
      <c r="D12816" t="s">
        <v>18170</v>
      </c>
      <c r="E12816" t="s">
        <v>29283</v>
      </c>
      <c r="F12816" t="s">
        <v>31362</v>
      </c>
      <c r="G12816" t="s">
        <v>31369</v>
      </c>
      <c r="H12816" t="s">
        <v>31378</v>
      </c>
      <c r="I12816" t="s">
        <v>31386</v>
      </c>
      <c r="J12816" t="s">
        <v>31637</v>
      </c>
      <c r="K12816" t="s">
        <v>40679</v>
      </c>
      <c r="M12816" t="s">
        <v>44579</v>
      </c>
      <c r="N12816" t="s">
        <v>44905</v>
      </c>
      <c r="O12816" t="s">
        <v>44906</v>
      </c>
      <c r="P12816">
        <v>0</v>
      </c>
      <c r="Q12816">
        <v>0</v>
      </c>
      <c r="R12816" t="s">
        <v>44921</v>
      </c>
      <c r="S12816" t="s">
        <v>45564</v>
      </c>
      <c r="T12816" t="s">
        <v>46862</v>
      </c>
      <c r="U12816" t="s">
        <v>57165</v>
      </c>
      <c r="V12816" t="s">
        <v>60469</v>
      </c>
      <c r="W12816" t="s">
        <v>44579</v>
      </c>
      <c r="X12816" t="s">
        <v>44922</v>
      </c>
    </row>
    <row r="12817" spans="1:24">
      <c r="A12817">
        <f>HYPERLINK("https://www.philgeps.gov.ph/GEPSNONPILOT/Tender/SplashBidNoticeAbstractUI.aspx?menuIndex=3&amp;refID=7053894&amp;Result=3","7053894")</f>
        <v>0</v>
      </c>
      <c r="B12817" t="s">
        <v>203</v>
      </c>
      <c r="C12817" t="s">
        <v>15771</v>
      </c>
      <c r="D12817" t="s">
        <v>18153</v>
      </c>
      <c r="E12817" t="s">
        <v>29284</v>
      </c>
      <c r="F12817" t="s">
        <v>31362</v>
      </c>
      <c r="G12817" t="s">
        <v>31369</v>
      </c>
      <c r="H12817" t="s">
        <v>31378</v>
      </c>
      <c r="I12817" t="s">
        <v>31386</v>
      </c>
      <c r="J12817" t="s">
        <v>35712</v>
      </c>
      <c r="K12817" t="s">
        <v>40692</v>
      </c>
      <c r="M12817" t="s">
        <v>44353</v>
      </c>
      <c r="N12817" t="s">
        <v>44905</v>
      </c>
      <c r="O12817" t="s">
        <v>44906</v>
      </c>
      <c r="Q12817">
        <v>1</v>
      </c>
      <c r="R12817" t="s">
        <v>44921</v>
      </c>
      <c r="S12817" t="s">
        <v>45589</v>
      </c>
      <c r="T12817" t="s">
        <v>46549</v>
      </c>
      <c r="U12817" t="s">
        <v>57166</v>
      </c>
      <c r="V12817" t="s">
        <v>49166</v>
      </c>
      <c r="W12817" t="s">
        <v>44353</v>
      </c>
      <c r="X12817" t="s">
        <v>44922</v>
      </c>
    </row>
    <row r="12818" spans="1:24">
      <c r="A12818">
        <f>HYPERLINK("https://www.philgeps.gov.ph/GEPSNONPILOT/Tender/SplashBidNoticeAbstractUI.aspx?menuIndex=3&amp;refID=7053933&amp;Result=3","7053933")</f>
        <v>0</v>
      </c>
      <c r="B12818" t="s">
        <v>2500</v>
      </c>
      <c r="C12818" t="s">
        <v>15772</v>
      </c>
      <c r="E12818" t="s">
        <v>22536</v>
      </c>
      <c r="F12818" t="s">
        <v>31362</v>
      </c>
      <c r="G12818" t="s">
        <v>31369</v>
      </c>
      <c r="H12818" t="s">
        <v>15799</v>
      </c>
      <c r="I12818" t="s">
        <v>3815</v>
      </c>
      <c r="J12818" t="s">
        <v>39318</v>
      </c>
      <c r="K12818" t="s">
        <v>40662</v>
      </c>
      <c r="M12818" t="s">
        <v>43667</v>
      </c>
      <c r="N12818" t="s">
        <v>44905</v>
      </c>
      <c r="O12818" t="s">
        <v>44906</v>
      </c>
      <c r="P12818">
        <v>0</v>
      </c>
      <c r="Q12818">
        <v>3</v>
      </c>
      <c r="R12818" t="s">
        <v>44921</v>
      </c>
      <c r="S12818" t="s">
        <v>45564</v>
      </c>
      <c r="T12818" t="s">
        <v>46435</v>
      </c>
      <c r="U12818" t="s">
        <v>49312</v>
      </c>
      <c r="W12818" t="s">
        <v>60936</v>
      </c>
      <c r="X12818" t="s">
        <v>44922</v>
      </c>
    </row>
    <row r="12819" spans="1:24">
      <c r="A12819">
        <f>HYPERLINK("https://www.philgeps.gov.ph/GEPSNONPILOT/Tender/SplashBidNoticeAbstractUI.aspx?menuIndex=3&amp;refID=7053611&amp;Result=3","7053611")</f>
        <v>0</v>
      </c>
      <c r="B12819" t="s">
        <v>1529</v>
      </c>
      <c r="C12819" t="s">
        <v>15773</v>
      </c>
      <c r="D12819" t="s">
        <v>18134</v>
      </c>
      <c r="E12819" t="s">
        <v>29285</v>
      </c>
      <c r="F12819" t="s">
        <v>31362</v>
      </c>
      <c r="G12819" t="s">
        <v>31369</v>
      </c>
      <c r="H12819" t="s">
        <v>15799</v>
      </c>
      <c r="I12819" t="s">
        <v>7090</v>
      </c>
      <c r="J12819" t="s">
        <v>39319</v>
      </c>
      <c r="K12819" t="s">
        <v>40665</v>
      </c>
      <c r="M12819" t="s">
        <v>42574</v>
      </c>
      <c r="N12819" t="s">
        <v>44905</v>
      </c>
      <c r="O12819" t="s">
        <v>44906</v>
      </c>
      <c r="P12819">
        <v>0</v>
      </c>
      <c r="Q12819">
        <v>0</v>
      </c>
      <c r="R12819" t="s">
        <v>44921</v>
      </c>
      <c r="S12819" t="s">
        <v>45564</v>
      </c>
      <c r="T12819" t="s">
        <v>46503</v>
      </c>
      <c r="U12819" t="s">
        <v>57167</v>
      </c>
      <c r="V12819" t="s">
        <v>59162</v>
      </c>
      <c r="W12819" t="s">
        <v>42574</v>
      </c>
      <c r="X12819" t="s">
        <v>44922</v>
      </c>
    </row>
    <row r="12820" spans="1:24">
      <c r="A12820">
        <f>HYPERLINK("https://www.philgeps.gov.ph/GEPSNONPILOT/Tender/SplashBidNoticeAbstractUI.aspx?menuIndex=3&amp;refID=7053955&amp;Result=3","7053955")</f>
        <v>0</v>
      </c>
      <c r="B12820" t="s">
        <v>3285</v>
      </c>
      <c r="C12820" t="s">
        <v>15774</v>
      </c>
      <c r="D12820" t="s">
        <v>18100</v>
      </c>
      <c r="E12820" t="s">
        <v>29286</v>
      </c>
      <c r="F12820" t="s">
        <v>31362</v>
      </c>
      <c r="G12820" t="s">
        <v>31369</v>
      </c>
      <c r="H12820" t="s">
        <v>15799</v>
      </c>
      <c r="I12820" t="s">
        <v>13635</v>
      </c>
      <c r="J12820" t="s">
        <v>37994</v>
      </c>
      <c r="K12820" t="s">
        <v>40661</v>
      </c>
      <c r="L12820" t="s">
        <v>3285</v>
      </c>
      <c r="M12820" t="s">
        <v>44571</v>
      </c>
      <c r="N12820" t="s">
        <v>44905</v>
      </c>
      <c r="O12820" t="s">
        <v>44906</v>
      </c>
      <c r="P12820">
        <v>0</v>
      </c>
      <c r="Q12820">
        <v>0</v>
      </c>
      <c r="R12820" t="s">
        <v>44921</v>
      </c>
      <c r="S12820" t="s">
        <v>45564</v>
      </c>
      <c r="T12820" t="s">
        <v>46396</v>
      </c>
      <c r="U12820" t="s">
        <v>57154</v>
      </c>
      <c r="V12820" t="s">
        <v>60464</v>
      </c>
      <c r="W12820" t="s">
        <v>44571</v>
      </c>
      <c r="X12820" t="s">
        <v>44922</v>
      </c>
    </row>
    <row r="12821" spans="1:24">
      <c r="A12821">
        <f>HYPERLINK("https://www.philgeps.gov.ph/GEPSNONPILOT/Tender/SplashBidNoticeAbstractUI.aspx?menuIndex=3&amp;refID=7053938&amp;Result=3","7053938")</f>
        <v>0</v>
      </c>
      <c r="B12821" t="s">
        <v>3285</v>
      </c>
      <c r="C12821" t="s">
        <v>15775</v>
      </c>
      <c r="D12821" t="s">
        <v>18100</v>
      </c>
      <c r="E12821" t="s">
        <v>29287</v>
      </c>
      <c r="F12821" t="s">
        <v>31362</v>
      </c>
      <c r="G12821" t="s">
        <v>31369</v>
      </c>
      <c r="H12821" t="s">
        <v>15799</v>
      </c>
      <c r="I12821" t="s">
        <v>6155</v>
      </c>
      <c r="J12821" t="s">
        <v>32086</v>
      </c>
      <c r="K12821" t="s">
        <v>40661</v>
      </c>
      <c r="L12821" t="s">
        <v>3285</v>
      </c>
      <c r="M12821" t="s">
        <v>44571</v>
      </c>
      <c r="N12821" t="s">
        <v>44905</v>
      </c>
      <c r="O12821" t="s">
        <v>44906</v>
      </c>
      <c r="P12821">
        <v>0</v>
      </c>
      <c r="Q12821">
        <v>3</v>
      </c>
      <c r="R12821" t="s">
        <v>44921</v>
      </c>
      <c r="S12821" t="s">
        <v>45564</v>
      </c>
      <c r="T12821" t="s">
        <v>46396</v>
      </c>
      <c r="U12821" t="s">
        <v>57154</v>
      </c>
      <c r="V12821" t="s">
        <v>60464</v>
      </c>
      <c r="W12821" t="s">
        <v>44571</v>
      </c>
      <c r="X12821" t="s">
        <v>44922</v>
      </c>
    </row>
    <row r="12822" spans="1:24">
      <c r="A12822">
        <f>HYPERLINK("https://www.philgeps.gov.ph/GEPSNONPILOT/Tender/SplashBidNoticeAbstractUI.aspx?menuIndex=3&amp;refID=7053885&amp;Result=3","7053885")</f>
        <v>0</v>
      </c>
      <c r="B12822" t="s">
        <v>3285</v>
      </c>
      <c r="C12822" t="s">
        <v>15776</v>
      </c>
      <c r="D12822" t="s">
        <v>18100</v>
      </c>
      <c r="E12822" t="s">
        <v>29288</v>
      </c>
      <c r="F12822" t="s">
        <v>31362</v>
      </c>
      <c r="G12822" t="s">
        <v>31369</v>
      </c>
      <c r="H12822" t="s">
        <v>15799</v>
      </c>
      <c r="I12822" t="s">
        <v>31390</v>
      </c>
      <c r="J12822" t="s">
        <v>31768</v>
      </c>
      <c r="K12822" t="s">
        <v>40661</v>
      </c>
      <c r="L12822" t="s">
        <v>3285</v>
      </c>
      <c r="M12822" t="s">
        <v>44571</v>
      </c>
      <c r="N12822" t="s">
        <v>44905</v>
      </c>
      <c r="O12822" t="s">
        <v>44906</v>
      </c>
      <c r="P12822">
        <v>0</v>
      </c>
      <c r="Q12822">
        <v>0</v>
      </c>
      <c r="R12822" t="s">
        <v>44921</v>
      </c>
      <c r="S12822" t="s">
        <v>45564</v>
      </c>
      <c r="T12822" t="s">
        <v>46396</v>
      </c>
      <c r="U12822" t="s">
        <v>57154</v>
      </c>
      <c r="V12822" t="s">
        <v>60464</v>
      </c>
      <c r="W12822" t="s">
        <v>44571</v>
      </c>
      <c r="X12822" t="s">
        <v>44922</v>
      </c>
    </row>
    <row r="12823" spans="1:24">
      <c r="A12823">
        <f>HYPERLINK("https://www.philgeps.gov.ph/GEPSNONPILOT/Tender/SplashBidNoticeAbstractUI.aspx?menuIndex=3&amp;refID=7053863&amp;Result=3","7053863")</f>
        <v>0</v>
      </c>
      <c r="B12823" t="s">
        <v>3285</v>
      </c>
      <c r="C12823" t="s">
        <v>15777</v>
      </c>
      <c r="D12823" t="s">
        <v>18100</v>
      </c>
      <c r="E12823" t="s">
        <v>29289</v>
      </c>
      <c r="F12823" t="s">
        <v>31362</v>
      </c>
      <c r="G12823" t="s">
        <v>31369</v>
      </c>
      <c r="H12823" t="s">
        <v>15799</v>
      </c>
      <c r="I12823" t="s">
        <v>31381</v>
      </c>
      <c r="J12823" t="s">
        <v>33631</v>
      </c>
      <c r="K12823" t="s">
        <v>40661</v>
      </c>
      <c r="L12823" t="s">
        <v>3285</v>
      </c>
      <c r="M12823" t="s">
        <v>44571</v>
      </c>
      <c r="N12823" t="s">
        <v>44905</v>
      </c>
      <c r="O12823" t="s">
        <v>44906</v>
      </c>
      <c r="P12823">
        <v>0</v>
      </c>
      <c r="Q12823">
        <v>2</v>
      </c>
      <c r="R12823" t="s">
        <v>44921</v>
      </c>
      <c r="S12823" t="s">
        <v>45564</v>
      </c>
      <c r="T12823" t="s">
        <v>46396</v>
      </c>
      <c r="U12823" t="s">
        <v>57154</v>
      </c>
      <c r="V12823" t="s">
        <v>60464</v>
      </c>
      <c r="W12823" t="s">
        <v>44571</v>
      </c>
      <c r="X12823" t="s">
        <v>44922</v>
      </c>
    </row>
    <row r="12824" spans="1:24">
      <c r="A12824">
        <f>HYPERLINK("https://www.philgeps.gov.ph/GEPSNONPILOT/Tender/SplashBidNoticeAbstractUI.aspx?menuIndex=3&amp;refID=7053841&amp;Result=3","7053841")</f>
        <v>0</v>
      </c>
      <c r="B12824" t="s">
        <v>3292</v>
      </c>
      <c r="C12824" t="s">
        <v>15778</v>
      </c>
      <c r="D12824" t="s">
        <v>18116</v>
      </c>
      <c r="E12824" t="s">
        <v>29290</v>
      </c>
      <c r="F12824" t="s">
        <v>31362</v>
      </c>
      <c r="G12824" t="s">
        <v>31369</v>
      </c>
      <c r="H12824" t="s">
        <v>31378</v>
      </c>
      <c r="I12824" t="s">
        <v>31386</v>
      </c>
      <c r="J12824" t="s">
        <v>39320</v>
      </c>
      <c r="K12824" t="s">
        <v>40686</v>
      </c>
      <c r="M12824" t="s">
        <v>44580</v>
      </c>
      <c r="N12824" t="s">
        <v>44905</v>
      </c>
      <c r="O12824" t="s">
        <v>44906</v>
      </c>
      <c r="P12824">
        <v>0</v>
      </c>
      <c r="Q12824">
        <v>1</v>
      </c>
      <c r="R12824" t="s">
        <v>44921</v>
      </c>
      <c r="S12824" t="s">
        <v>45564</v>
      </c>
      <c r="T12824" t="s">
        <v>46507</v>
      </c>
      <c r="U12824" t="s">
        <v>57168</v>
      </c>
      <c r="W12824" t="s">
        <v>44580</v>
      </c>
      <c r="X12824" t="s">
        <v>44922</v>
      </c>
    </row>
    <row r="12825" spans="1:24">
      <c r="A12825">
        <f>HYPERLINK("https://www.philgeps.gov.ph/GEPSNONPILOT/Tender/SplashBidNoticeAbstractUI.aspx?menuIndex=3&amp;refID=7053840&amp;Result=3","7053840")</f>
        <v>0</v>
      </c>
      <c r="B12825" t="s">
        <v>3291</v>
      </c>
      <c r="C12825" t="s">
        <v>15779</v>
      </c>
      <c r="D12825" t="s">
        <v>18107</v>
      </c>
      <c r="E12825" t="s">
        <v>29291</v>
      </c>
      <c r="F12825" t="s">
        <v>31362</v>
      </c>
      <c r="G12825" t="s">
        <v>31369</v>
      </c>
      <c r="H12825" t="s">
        <v>31378</v>
      </c>
      <c r="I12825" t="s">
        <v>31386</v>
      </c>
      <c r="J12825" t="s">
        <v>31531</v>
      </c>
      <c r="K12825" t="s">
        <v>40665</v>
      </c>
      <c r="M12825" t="s">
        <v>44578</v>
      </c>
      <c r="N12825" t="s">
        <v>44905</v>
      </c>
      <c r="O12825" t="s">
        <v>44906</v>
      </c>
      <c r="P12825">
        <v>0</v>
      </c>
      <c r="Q12825">
        <v>3</v>
      </c>
      <c r="R12825" t="s">
        <v>44921</v>
      </c>
      <c r="S12825" t="s">
        <v>45564</v>
      </c>
      <c r="T12825" t="s">
        <v>46458</v>
      </c>
      <c r="U12825" t="s">
        <v>57169</v>
      </c>
      <c r="W12825" t="s">
        <v>44578</v>
      </c>
      <c r="X12825" t="s">
        <v>44922</v>
      </c>
    </row>
    <row r="12826" spans="1:24">
      <c r="A12826">
        <f>HYPERLINK("https://www.philgeps.gov.ph/GEPSNONPILOT/Tender/SplashBidNoticeAbstractUI.aspx?menuIndex=3&amp;refID=7053844&amp;Result=3","7053844")</f>
        <v>0</v>
      </c>
      <c r="B12826" t="s">
        <v>3285</v>
      </c>
      <c r="C12826" t="s">
        <v>15780</v>
      </c>
      <c r="D12826" t="s">
        <v>18100</v>
      </c>
      <c r="E12826" t="s">
        <v>25037</v>
      </c>
      <c r="F12826" t="s">
        <v>31362</v>
      </c>
      <c r="G12826" t="s">
        <v>31369</v>
      </c>
      <c r="H12826" t="s">
        <v>15799</v>
      </c>
      <c r="I12826" t="s">
        <v>31390</v>
      </c>
      <c r="J12826" t="s">
        <v>31866</v>
      </c>
      <c r="K12826" t="s">
        <v>40661</v>
      </c>
      <c r="L12826" t="s">
        <v>3285</v>
      </c>
      <c r="M12826" t="s">
        <v>44571</v>
      </c>
      <c r="N12826" t="s">
        <v>44905</v>
      </c>
      <c r="O12826" t="s">
        <v>44906</v>
      </c>
      <c r="P12826">
        <v>0</v>
      </c>
      <c r="Q12826">
        <v>0</v>
      </c>
      <c r="R12826" t="s">
        <v>44921</v>
      </c>
      <c r="S12826" t="s">
        <v>45564</v>
      </c>
      <c r="T12826" t="s">
        <v>46396</v>
      </c>
      <c r="U12826" t="s">
        <v>57154</v>
      </c>
      <c r="V12826" t="s">
        <v>60470</v>
      </c>
      <c r="W12826" t="s">
        <v>44571</v>
      </c>
      <c r="X12826" t="s">
        <v>44922</v>
      </c>
    </row>
    <row r="12827" spans="1:24">
      <c r="A12827">
        <f>HYPERLINK("https://www.philgeps.gov.ph/GEPSNONPILOT/Tender/SplashBidNoticeAbstractUI.aspx?menuIndex=3&amp;refID=7053832&amp;Result=3","7053832")</f>
        <v>0</v>
      </c>
      <c r="B12827" t="s">
        <v>3285</v>
      </c>
      <c r="C12827" t="s">
        <v>15781</v>
      </c>
      <c r="D12827" t="s">
        <v>18100</v>
      </c>
      <c r="E12827" t="s">
        <v>23867</v>
      </c>
      <c r="F12827" t="s">
        <v>31362</v>
      </c>
      <c r="G12827" t="s">
        <v>31369</v>
      </c>
      <c r="H12827" t="s">
        <v>15799</v>
      </c>
      <c r="I12827" t="s">
        <v>31385</v>
      </c>
      <c r="J12827" t="s">
        <v>31890</v>
      </c>
      <c r="K12827" t="s">
        <v>40661</v>
      </c>
      <c r="L12827" t="s">
        <v>3285</v>
      </c>
      <c r="M12827" t="s">
        <v>44571</v>
      </c>
      <c r="N12827" t="s">
        <v>44905</v>
      </c>
      <c r="O12827" t="s">
        <v>44906</v>
      </c>
      <c r="P12827">
        <v>0</v>
      </c>
      <c r="Q12827">
        <v>0</v>
      </c>
      <c r="R12827" t="s">
        <v>44921</v>
      </c>
      <c r="S12827" t="s">
        <v>45564</v>
      </c>
      <c r="T12827" t="s">
        <v>46396</v>
      </c>
      <c r="U12827" t="s">
        <v>57154</v>
      </c>
      <c r="V12827" t="s">
        <v>60464</v>
      </c>
      <c r="W12827" t="s">
        <v>44571</v>
      </c>
      <c r="X12827" t="s">
        <v>44922</v>
      </c>
    </row>
    <row r="12828" spans="1:24">
      <c r="A12828">
        <f>HYPERLINK("https://www.philgeps.gov.ph/GEPSNONPILOT/Tender/SplashBidNoticeAbstractUI.aspx?menuIndex=3&amp;refID=7053830&amp;Result=3","7053830")</f>
        <v>0</v>
      </c>
      <c r="B12828" t="s">
        <v>781</v>
      </c>
      <c r="C12828" t="s">
        <v>15782</v>
      </c>
      <c r="D12828" t="s">
        <v>18156</v>
      </c>
      <c r="E12828" t="s">
        <v>29292</v>
      </c>
      <c r="F12828" t="s">
        <v>31362</v>
      </c>
      <c r="G12828" t="s">
        <v>31369</v>
      </c>
      <c r="H12828" t="s">
        <v>15799</v>
      </c>
      <c r="I12828" t="s">
        <v>31395</v>
      </c>
      <c r="J12828" t="s">
        <v>31730</v>
      </c>
      <c r="K12828" t="s">
        <v>40680</v>
      </c>
      <c r="M12828" t="s">
        <v>41749</v>
      </c>
      <c r="N12828" t="s">
        <v>44905</v>
      </c>
      <c r="O12828" t="s">
        <v>44906</v>
      </c>
      <c r="P12828">
        <v>0</v>
      </c>
      <c r="Q12828">
        <v>7</v>
      </c>
      <c r="R12828" t="s">
        <v>44921</v>
      </c>
      <c r="S12828" t="s">
        <v>45564</v>
      </c>
      <c r="T12828" t="s">
        <v>46418</v>
      </c>
      <c r="U12828" t="s">
        <v>57170</v>
      </c>
      <c r="W12828" t="s">
        <v>41749</v>
      </c>
      <c r="X12828" t="s">
        <v>44922</v>
      </c>
    </row>
    <row r="12829" spans="1:24">
      <c r="A12829">
        <f>HYPERLINK("https://www.philgeps.gov.ph/GEPSNONPILOT/Tender/SplashBidNoticeAbstractUI.aspx?menuIndex=3&amp;refID=7054087&amp;Result=3","7054087")</f>
        <v>0</v>
      </c>
      <c r="B12829" t="s">
        <v>3285</v>
      </c>
      <c r="C12829" t="s">
        <v>15783</v>
      </c>
      <c r="D12829" t="s">
        <v>18100</v>
      </c>
      <c r="E12829" t="s">
        <v>29293</v>
      </c>
      <c r="F12829" t="s">
        <v>31362</v>
      </c>
      <c r="G12829" t="s">
        <v>31369</v>
      </c>
      <c r="H12829" t="s">
        <v>15799</v>
      </c>
      <c r="I12829" t="s">
        <v>3815</v>
      </c>
      <c r="J12829" t="s">
        <v>33631</v>
      </c>
      <c r="K12829" t="s">
        <v>40661</v>
      </c>
      <c r="L12829" t="s">
        <v>3285</v>
      </c>
      <c r="M12829" t="s">
        <v>44571</v>
      </c>
      <c r="N12829" t="s">
        <v>44905</v>
      </c>
      <c r="O12829" t="s">
        <v>44906</v>
      </c>
      <c r="P12829">
        <v>0</v>
      </c>
      <c r="Q12829">
        <v>0</v>
      </c>
      <c r="R12829" t="s">
        <v>44921</v>
      </c>
      <c r="S12829" t="s">
        <v>45564</v>
      </c>
      <c r="T12829" t="s">
        <v>46396</v>
      </c>
      <c r="U12829" t="s">
        <v>57154</v>
      </c>
      <c r="V12829" t="s">
        <v>60464</v>
      </c>
      <c r="W12829" t="s">
        <v>44571</v>
      </c>
      <c r="X12829" t="s">
        <v>44922</v>
      </c>
    </row>
    <row r="12830" spans="1:24">
      <c r="A12830">
        <f>HYPERLINK("https://www.philgeps.gov.ph/GEPSNONPILOT/Tender/SplashBidNoticeAbstractUI.aspx?menuIndex=3&amp;refID=7053831&amp;Result=3","7053831")</f>
        <v>0</v>
      </c>
      <c r="B12830" t="s">
        <v>203</v>
      </c>
      <c r="C12830" t="s">
        <v>15784</v>
      </c>
      <c r="D12830" t="s">
        <v>18153</v>
      </c>
      <c r="E12830" t="s">
        <v>29294</v>
      </c>
      <c r="F12830" t="s">
        <v>31362</v>
      </c>
      <c r="G12830" t="s">
        <v>31369</v>
      </c>
      <c r="H12830" t="s">
        <v>31378</v>
      </c>
      <c r="I12830" t="s">
        <v>31386</v>
      </c>
      <c r="J12830" t="s">
        <v>31726</v>
      </c>
      <c r="K12830" t="s">
        <v>40686</v>
      </c>
      <c r="M12830" t="s">
        <v>44353</v>
      </c>
      <c r="N12830" t="s">
        <v>44905</v>
      </c>
      <c r="O12830" t="s">
        <v>44906</v>
      </c>
      <c r="Q12830">
        <v>1</v>
      </c>
      <c r="R12830" t="s">
        <v>44921</v>
      </c>
      <c r="S12830" t="s">
        <v>45590</v>
      </c>
      <c r="T12830" t="s">
        <v>46549</v>
      </c>
      <c r="U12830" t="s">
        <v>57171</v>
      </c>
      <c r="V12830" t="s">
        <v>49166</v>
      </c>
      <c r="W12830" t="s">
        <v>44353</v>
      </c>
      <c r="X12830" t="s">
        <v>44922</v>
      </c>
    </row>
    <row r="12831" spans="1:24">
      <c r="A12831">
        <f>HYPERLINK("https://www.philgeps.gov.ph/GEPSNONPILOT/Tender/SplashBidNoticeAbstractUI.aspx?menuIndex=3&amp;refID=7054084&amp;Result=3","7054084")</f>
        <v>0</v>
      </c>
      <c r="B12831" t="s">
        <v>3290</v>
      </c>
      <c r="C12831" t="s">
        <v>15785</v>
      </c>
      <c r="D12831" t="s">
        <v>18110</v>
      </c>
      <c r="E12831" t="s">
        <v>29295</v>
      </c>
      <c r="F12831" t="s">
        <v>31362</v>
      </c>
      <c r="G12831" t="s">
        <v>31369</v>
      </c>
      <c r="H12831" t="s">
        <v>31378</v>
      </c>
      <c r="I12831" t="s">
        <v>31386</v>
      </c>
      <c r="J12831" t="s">
        <v>31606</v>
      </c>
      <c r="K12831" t="s">
        <v>40679</v>
      </c>
      <c r="M12831" t="s">
        <v>44577</v>
      </c>
      <c r="N12831" t="s">
        <v>44905</v>
      </c>
      <c r="O12831" t="s">
        <v>44906</v>
      </c>
      <c r="Q12831">
        <v>11</v>
      </c>
      <c r="R12831" t="s">
        <v>44921</v>
      </c>
      <c r="S12831" t="s">
        <v>45591</v>
      </c>
      <c r="T12831" t="s">
        <v>46435</v>
      </c>
      <c r="U12831" t="s">
        <v>57160</v>
      </c>
      <c r="V12831" t="s">
        <v>60466</v>
      </c>
      <c r="W12831" t="s">
        <v>44577</v>
      </c>
      <c r="X12831" t="s">
        <v>44922</v>
      </c>
    </row>
    <row r="12832" spans="1:24">
      <c r="A12832">
        <f>HYPERLINK("https://www.philgeps.gov.ph/GEPSNONPILOT/Tender/SplashBidNoticeAbstractUI.aspx?menuIndex=3&amp;refID=7053842&amp;Result=3","7053842")</f>
        <v>0</v>
      </c>
      <c r="B12832" t="s">
        <v>781</v>
      </c>
      <c r="C12832" t="s">
        <v>15786</v>
      </c>
      <c r="D12832" t="s">
        <v>18156</v>
      </c>
      <c r="E12832" t="s">
        <v>29296</v>
      </c>
      <c r="F12832" t="s">
        <v>31362</v>
      </c>
      <c r="G12832" t="s">
        <v>31369</v>
      </c>
      <c r="H12832" t="s">
        <v>15799</v>
      </c>
      <c r="I12832" t="s">
        <v>31380</v>
      </c>
      <c r="J12832" t="s">
        <v>39321</v>
      </c>
      <c r="K12832" t="s">
        <v>40661</v>
      </c>
      <c r="M12832" t="s">
        <v>41749</v>
      </c>
      <c r="N12832" t="s">
        <v>44905</v>
      </c>
      <c r="O12832" t="s">
        <v>44906</v>
      </c>
      <c r="P12832">
        <v>0</v>
      </c>
      <c r="Q12832">
        <v>7</v>
      </c>
      <c r="R12832" t="s">
        <v>44921</v>
      </c>
      <c r="S12832" t="s">
        <v>45564</v>
      </c>
      <c r="T12832" t="s">
        <v>46418</v>
      </c>
      <c r="U12832" t="s">
        <v>57172</v>
      </c>
      <c r="W12832" t="s">
        <v>41749</v>
      </c>
      <c r="X12832" t="s">
        <v>44922</v>
      </c>
    </row>
    <row r="12833" spans="1:24">
      <c r="A12833">
        <f>HYPERLINK("https://www.philgeps.gov.ph/GEPSNONPILOT/Tender/SplashBidNoticeAbstractUI.aspx?menuIndex=3&amp;refID=7054068&amp;Result=3","7054068")</f>
        <v>0</v>
      </c>
      <c r="B12833" t="s">
        <v>929</v>
      </c>
      <c r="C12833" t="s">
        <v>15787</v>
      </c>
      <c r="D12833" t="s">
        <v>18143</v>
      </c>
      <c r="E12833" t="s">
        <v>29297</v>
      </c>
      <c r="F12833" t="s">
        <v>31362</v>
      </c>
      <c r="G12833" t="s">
        <v>31369</v>
      </c>
      <c r="H12833" t="s">
        <v>15799</v>
      </c>
      <c r="I12833" t="s">
        <v>31396</v>
      </c>
      <c r="J12833" t="s">
        <v>39322</v>
      </c>
      <c r="K12833" t="s">
        <v>40661</v>
      </c>
      <c r="M12833" t="s">
        <v>41916</v>
      </c>
      <c r="N12833" t="s">
        <v>44905</v>
      </c>
      <c r="O12833" t="s">
        <v>44906</v>
      </c>
      <c r="P12833">
        <v>0</v>
      </c>
      <c r="Q12833">
        <v>11</v>
      </c>
      <c r="R12833" t="s">
        <v>44921</v>
      </c>
      <c r="S12833" t="s">
        <v>45564</v>
      </c>
      <c r="T12833" t="s">
        <v>46440</v>
      </c>
      <c r="U12833" t="s">
        <v>57173</v>
      </c>
      <c r="W12833" t="s">
        <v>41916</v>
      </c>
      <c r="X12833" t="s">
        <v>44922</v>
      </c>
    </row>
    <row r="12834" spans="1:24">
      <c r="A12834">
        <f>HYPERLINK("https://www.philgeps.gov.ph/GEPSNONPILOT/Tender/SplashBidNoticeAbstractUI.aspx?menuIndex=3&amp;refID=7054050&amp;Result=3","7054050")</f>
        <v>0</v>
      </c>
      <c r="B12834" t="s">
        <v>3293</v>
      </c>
      <c r="C12834" t="s">
        <v>15788</v>
      </c>
      <c r="D12834" t="s">
        <v>18134</v>
      </c>
      <c r="E12834" t="s">
        <v>19313</v>
      </c>
      <c r="F12834" t="s">
        <v>31362</v>
      </c>
      <c r="G12834" t="s">
        <v>31369</v>
      </c>
      <c r="H12834" t="s">
        <v>31378</v>
      </c>
      <c r="I12834" t="s">
        <v>31392</v>
      </c>
      <c r="J12834" t="s">
        <v>39323</v>
      </c>
      <c r="K12834" t="s">
        <v>40675</v>
      </c>
      <c r="M12834" t="s">
        <v>44581</v>
      </c>
      <c r="N12834" t="s">
        <v>44905</v>
      </c>
      <c r="O12834" t="s">
        <v>44906</v>
      </c>
      <c r="P12834">
        <v>0</v>
      </c>
      <c r="Q12834">
        <v>4</v>
      </c>
      <c r="R12834" t="s">
        <v>44921</v>
      </c>
      <c r="S12834" t="s">
        <v>45564</v>
      </c>
      <c r="T12834" t="s">
        <v>46499</v>
      </c>
      <c r="U12834" t="s">
        <v>57174</v>
      </c>
      <c r="W12834" t="s">
        <v>44581</v>
      </c>
      <c r="X12834" t="s">
        <v>44922</v>
      </c>
    </row>
    <row r="12835" spans="1:24">
      <c r="A12835">
        <f>HYPERLINK("https://www.philgeps.gov.ph/GEPSNONPILOT/Tender/SplashBidNoticeAbstractUI.aspx?menuIndex=3&amp;refID=7053843&amp;Result=3","7053843")</f>
        <v>0</v>
      </c>
      <c r="B12835" t="s">
        <v>203</v>
      </c>
      <c r="C12835" t="s">
        <v>15789</v>
      </c>
      <c r="D12835" t="s">
        <v>18153</v>
      </c>
      <c r="E12835" t="s">
        <v>29298</v>
      </c>
      <c r="F12835" t="s">
        <v>31362</v>
      </c>
      <c r="G12835" t="s">
        <v>31369</v>
      </c>
      <c r="H12835" t="s">
        <v>31378</v>
      </c>
      <c r="I12835" t="s">
        <v>31386</v>
      </c>
      <c r="J12835" t="s">
        <v>38389</v>
      </c>
      <c r="K12835" t="s">
        <v>40692</v>
      </c>
      <c r="M12835" t="s">
        <v>44353</v>
      </c>
      <c r="N12835" t="s">
        <v>44905</v>
      </c>
      <c r="O12835" t="s">
        <v>44906</v>
      </c>
      <c r="Q12835">
        <v>2</v>
      </c>
      <c r="R12835" t="s">
        <v>44921</v>
      </c>
      <c r="S12835" t="s">
        <v>45592</v>
      </c>
      <c r="T12835" t="s">
        <v>46549</v>
      </c>
      <c r="U12835" t="s">
        <v>57175</v>
      </c>
      <c r="W12835" t="s">
        <v>44353</v>
      </c>
      <c r="X12835" t="s">
        <v>44922</v>
      </c>
    </row>
    <row r="12836" spans="1:24">
      <c r="A12836">
        <f>HYPERLINK("https://www.philgeps.gov.ph/GEPSNONPILOT/Tender/SplashBidNoticeAbstractUI.aspx?menuIndex=3&amp;refID=7054056&amp;Result=3","7054056")</f>
        <v>0</v>
      </c>
      <c r="B12836" t="s">
        <v>2969</v>
      </c>
      <c r="C12836" t="s">
        <v>15790</v>
      </c>
      <c r="D12836" t="s">
        <v>18113</v>
      </c>
      <c r="E12836" t="s">
        <v>29299</v>
      </c>
      <c r="F12836" t="s">
        <v>31362</v>
      </c>
      <c r="G12836" t="s">
        <v>31369</v>
      </c>
      <c r="H12836" t="s">
        <v>15799</v>
      </c>
      <c r="I12836" t="s">
        <v>31427</v>
      </c>
      <c r="J12836" t="s">
        <v>33226</v>
      </c>
      <c r="K12836" t="s">
        <v>40665</v>
      </c>
      <c r="M12836" t="s">
        <v>44193</v>
      </c>
      <c r="N12836" t="s">
        <v>44905</v>
      </c>
      <c r="O12836" t="s">
        <v>44906</v>
      </c>
      <c r="Q12836">
        <v>7</v>
      </c>
      <c r="R12836" t="s">
        <v>44921</v>
      </c>
      <c r="S12836" t="s">
        <v>45593</v>
      </c>
      <c r="T12836" t="s">
        <v>46397</v>
      </c>
      <c r="U12836" t="s">
        <v>57176</v>
      </c>
      <c r="W12836" t="s">
        <v>44193</v>
      </c>
      <c r="X12836" t="s">
        <v>44922</v>
      </c>
    </row>
    <row r="12837" spans="1:24">
      <c r="A12837">
        <f>HYPERLINK("https://www.philgeps.gov.ph/GEPSNONPILOT/Tender/SplashBidNoticeAbstractUI.aspx?menuIndex=3&amp;refID=7054043&amp;Result=3","7054043")</f>
        <v>0</v>
      </c>
      <c r="B12837" t="s">
        <v>3025</v>
      </c>
      <c r="C12837" t="s">
        <v>15791</v>
      </c>
      <c r="D12837" t="s">
        <v>18170</v>
      </c>
      <c r="E12837" t="s">
        <v>29300</v>
      </c>
      <c r="F12837" t="s">
        <v>31362</v>
      </c>
      <c r="G12837" t="s">
        <v>31369</v>
      </c>
      <c r="H12837" t="s">
        <v>31378</v>
      </c>
      <c r="I12837" t="s">
        <v>31386</v>
      </c>
      <c r="J12837" t="s">
        <v>39324</v>
      </c>
      <c r="K12837" t="s">
        <v>40679</v>
      </c>
      <c r="M12837" t="s">
        <v>44258</v>
      </c>
      <c r="N12837" t="s">
        <v>44905</v>
      </c>
      <c r="O12837" t="s">
        <v>44906</v>
      </c>
      <c r="P12837">
        <v>0</v>
      </c>
      <c r="Q12837">
        <v>1</v>
      </c>
      <c r="R12837" t="s">
        <v>44921</v>
      </c>
      <c r="S12837" t="s">
        <v>45564</v>
      </c>
      <c r="T12837" t="s">
        <v>46560</v>
      </c>
      <c r="U12837" t="s">
        <v>57177</v>
      </c>
      <c r="V12837" t="s">
        <v>60471</v>
      </c>
      <c r="W12837" t="s">
        <v>44258</v>
      </c>
      <c r="X12837" t="s">
        <v>44922</v>
      </c>
    </row>
    <row r="12838" spans="1:24">
      <c r="A12838">
        <f>HYPERLINK("https://www.philgeps.gov.ph/GEPSNONPILOT/Tender/SplashBidNoticeAbstractUI.aspx?menuIndex=3&amp;refID=7054069&amp;Result=3","7054069")</f>
        <v>0</v>
      </c>
      <c r="B12838" t="s">
        <v>3238</v>
      </c>
      <c r="C12838" t="s">
        <v>15792</v>
      </c>
      <c r="E12838" t="s">
        <v>29301</v>
      </c>
      <c r="F12838" t="s">
        <v>31362</v>
      </c>
      <c r="G12838" t="s">
        <v>31369</v>
      </c>
      <c r="H12838" t="s">
        <v>15799</v>
      </c>
      <c r="I12838" t="s">
        <v>7719</v>
      </c>
      <c r="J12838" t="s">
        <v>31981</v>
      </c>
      <c r="K12838" t="s">
        <v>40662</v>
      </c>
      <c r="M12838" t="s">
        <v>44515</v>
      </c>
      <c r="N12838" t="s">
        <v>44905</v>
      </c>
      <c r="O12838" t="s">
        <v>44906</v>
      </c>
      <c r="Q12838">
        <v>17</v>
      </c>
      <c r="R12838" t="s">
        <v>44921</v>
      </c>
      <c r="S12838" t="s">
        <v>45096</v>
      </c>
      <c r="T12838" t="s">
        <v>46405</v>
      </c>
      <c r="U12838" t="s">
        <v>57178</v>
      </c>
      <c r="V12838" t="s">
        <v>60472</v>
      </c>
      <c r="W12838" t="s">
        <v>44515</v>
      </c>
      <c r="X12838" t="s">
        <v>44922</v>
      </c>
    </row>
    <row r="12839" spans="1:24">
      <c r="A12839">
        <f>HYPERLINK("https://www.philgeps.gov.ph/GEPSNONPILOT/Tender/SplashBidNoticeAbstractUI.aspx?menuIndex=3&amp;refID=7054031&amp;Result=3","7054031")</f>
        <v>0</v>
      </c>
      <c r="B12839" t="s">
        <v>2325</v>
      </c>
      <c r="C12839" t="s">
        <v>15793</v>
      </c>
      <c r="D12839" t="s">
        <v>18170</v>
      </c>
      <c r="E12839" t="s">
        <v>29302</v>
      </c>
      <c r="F12839" t="s">
        <v>31362</v>
      </c>
      <c r="G12839" t="s">
        <v>31369</v>
      </c>
      <c r="H12839" t="s">
        <v>31378</v>
      </c>
      <c r="I12839" t="s">
        <v>31386</v>
      </c>
      <c r="J12839" t="s">
        <v>35702</v>
      </c>
      <c r="K12839" t="s">
        <v>40684</v>
      </c>
      <c r="M12839" t="s">
        <v>44579</v>
      </c>
      <c r="N12839" t="s">
        <v>44905</v>
      </c>
      <c r="O12839" t="s">
        <v>44906</v>
      </c>
      <c r="P12839">
        <v>0</v>
      </c>
      <c r="Q12839">
        <v>1</v>
      </c>
      <c r="R12839" t="s">
        <v>44921</v>
      </c>
      <c r="S12839" t="s">
        <v>45564</v>
      </c>
      <c r="T12839" t="s">
        <v>46862</v>
      </c>
      <c r="U12839" t="s">
        <v>57179</v>
      </c>
      <c r="V12839" t="s">
        <v>60473</v>
      </c>
      <c r="W12839" t="s">
        <v>44579</v>
      </c>
      <c r="X12839" t="s">
        <v>44922</v>
      </c>
    </row>
    <row r="12840" spans="1:24">
      <c r="A12840">
        <f>HYPERLINK("https://www.philgeps.gov.ph/GEPSNONPILOT/Tender/SplashBidNoticeAbstractUI.aspx?menuIndex=3&amp;refID=7054020&amp;Result=3","7054020")</f>
        <v>0</v>
      </c>
      <c r="B12840" t="s">
        <v>3290</v>
      </c>
      <c r="C12840" t="s">
        <v>15794</v>
      </c>
      <c r="D12840" t="s">
        <v>18110</v>
      </c>
      <c r="E12840" t="s">
        <v>29303</v>
      </c>
      <c r="F12840" t="s">
        <v>31362</v>
      </c>
      <c r="G12840" t="s">
        <v>31369</v>
      </c>
      <c r="H12840" t="s">
        <v>31378</v>
      </c>
      <c r="I12840" t="s">
        <v>31386</v>
      </c>
      <c r="J12840" t="s">
        <v>31625</v>
      </c>
      <c r="K12840" t="s">
        <v>40682</v>
      </c>
      <c r="M12840" t="s">
        <v>44577</v>
      </c>
      <c r="N12840" t="s">
        <v>44905</v>
      </c>
      <c r="O12840" t="s">
        <v>44906</v>
      </c>
      <c r="Q12840">
        <v>10</v>
      </c>
      <c r="R12840" t="s">
        <v>44921</v>
      </c>
      <c r="S12840" t="s">
        <v>45594</v>
      </c>
      <c r="T12840" t="s">
        <v>46400</v>
      </c>
      <c r="U12840" t="s">
        <v>57160</v>
      </c>
      <c r="V12840" t="s">
        <v>60466</v>
      </c>
      <c r="W12840" t="s">
        <v>44577</v>
      </c>
      <c r="X12840" t="s">
        <v>44922</v>
      </c>
    </row>
    <row r="12841" spans="1:24">
      <c r="A12841">
        <f>HYPERLINK("https://www.philgeps.gov.ph/GEPSNONPILOT/Tender/SplashBidNoticeAbstractUI.aspx?menuIndex=3&amp;refID=7054074&amp;Result=3","7054074")</f>
        <v>0</v>
      </c>
      <c r="B12841" t="s">
        <v>3025</v>
      </c>
      <c r="C12841" t="s">
        <v>15791</v>
      </c>
      <c r="D12841" t="s">
        <v>18170</v>
      </c>
      <c r="E12841" t="s">
        <v>29304</v>
      </c>
      <c r="F12841" t="s">
        <v>31362</v>
      </c>
      <c r="G12841" t="s">
        <v>31369</v>
      </c>
      <c r="H12841" t="s">
        <v>31378</v>
      </c>
      <c r="I12841" t="s">
        <v>31386</v>
      </c>
      <c r="J12841" t="s">
        <v>39325</v>
      </c>
      <c r="K12841" t="s">
        <v>40679</v>
      </c>
      <c r="M12841" t="s">
        <v>44258</v>
      </c>
      <c r="N12841" t="s">
        <v>44905</v>
      </c>
      <c r="O12841" t="s">
        <v>44906</v>
      </c>
      <c r="P12841">
        <v>0</v>
      </c>
      <c r="Q12841">
        <v>1</v>
      </c>
      <c r="R12841" t="s">
        <v>44921</v>
      </c>
      <c r="S12841" t="s">
        <v>45564</v>
      </c>
      <c r="T12841" t="s">
        <v>46560</v>
      </c>
      <c r="U12841" t="s">
        <v>57180</v>
      </c>
      <c r="V12841" t="s">
        <v>60474</v>
      </c>
      <c r="W12841" t="s">
        <v>44258</v>
      </c>
      <c r="X12841" t="s">
        <v>44922</v>
      </c>
    </row>
    <row r="12842" spans="1:24">
      <c r="A12842">
        <f>HYPERLINK("https://www.philgeps.gov.ph/GEPSNONPILOT/Tender/SplashBidNoticeAbstractUI.aspx?menuIndex=3&amp;refID=7053999&amp;Result=3","7053999")</f>
        <v>0</v>
      </c>
      <c r="B12842" t="s">
        <v>929</v>
      </c>
      <c r="C12842" t="s">
        <v>15795</v>
      </c>
      <c r="D12842" t="s">
        <v>18143</v>
      </c>
      <c r="E12842" t="s">
        <v>29305</v>
      </c>
      <c r="F12842" t="s">
        <v>31362</v>
      </c>
      <c r="G12842" t="s">
        <v>31369</v>
      </c>
      <c r="H12842" t="s">
        <v>15799</v>
      </c>
      <c r="I12842" t="s">
        <v>31397</v>
      </c>
      <c r="J12842" t="s">
        <v>31607</v>
      </c>
      <c r="K12842" t="s">
        <v>40661</v>
      </c>
      <c r="M12842" t="s">
        <v>41916</v>
      </c>
      <c r="N12842" t="s">
        <v>44905</v>
      </c>
      <c r="O12842" t="s">
        <v>44906</v>
      </c>
      <c r="P12842">
        <v>0</v>
      </c>
      <c r="Q12842">
        <v>3</v>
      </c>
      <c r="R12842" t="s">
        <v>44921</v>
      </c>
      <c r="S12842" t="s">
        <v>45564</v>
      </c>
      <c r="T12842" t="s">
        <v>46440</v>
      </c>
      <c r="U12842" t="s">
        <v>57181</v>
      </c>
      <c r="W12842" t="s">
        <v>41916</v>
      </c>
      <c r="X12842" t="s">
        <v>44922</v>
      </c>
    </row>
    <row r="12843" spans="1:24">
      <c r="A12843">
        <f>HYPERLINK("https://www.philgeps.gov.ph/GEPSNONPILOT/Tender/SplashBidNoticeAbstractUI.aspx?menuIndex=3&amp;refID=7053997&amp;Result=3","7053997")</f>
        <v>0</v>
      </c>
      <c r="B12843" t="s">
        <v>2969</v>
      </c>
      <c r="C12843" t="s">
        <v>15796</v>
      </c>
      <c r="D12843" t="s">
        <v>18113</v>
      </c>
      <c r="E12843" t="s">
        <v>29306</v>
      </c>
      <c r="F12843" t="s">
        <v>31362</v>
      </c>
      <c r="G12843" t="s">
        <v>31369</v>
      </c>
      <c r="H12843" t="s">
        <v>15799</v>
      </c>
      <c r="I12843" t="s">
        <v>31427</v>
      </c>
      <c r="J12843" t="s">
        <v>39326</v>
      </c>
      <c r="K12843" t="s">
        <v>40665</v>
      </c>
      <c r="M12843" t="s">
        <v>44193</v>
      </c>
      <c r="N12843" t="s">
        <v>44905</v>
      </c>
      <c r="O12843" t="s">
        <v>44906</v>
      </c>
      <c r="Q12843">
        <v>9</v>
      </c>
      <c r="R12843" t="s">
        <v>44921</v>
      </c>
      <c r="S12843" t="s">
        <v>45595</v>
      </c>
      <c r="T12843" t="s">
        <v>46473</v>
      </c>
      <c r="U12843" t="s">
        <v>57182</v>
      </c>
      <c r="W12843" t="s">
        <v>44193</v>
      </c>
      <c r="X12843" t="s">
        <v>44922</v>
      </c>
    </row>
    <row r="12844" spans="1:24">
      <c r="A12844">
        <f>HYPERLINK("https://www.philgeps.gov.ph/GEPSNONPILOT/Tender/SplashBidNoticeAbstractUI.aspx?menuIndex=3&amp;refID=7054038&amp;Result=3","7054038")</f>
        <v>0</v>
      </c>
      <c r="B12844" t="s">
        <v>3290</v>
      </c>
      <c r="C12844" t="s">
        <v>15797</v>
      </c>
      <c r="D12844" t="s">
        <v>18110</v>
      </c>
      <c r="E12844" t="s">
        <v>29307</v>
      </c>
      <c r="F12844" t="s">
        <v>31362</v>
      </c>
      <c r="G12844" t="s">
        <v>31369</v>
      </c>
      <c r="H12844" t="s">
        <v>31378</v>
      </c>
      <c r="I12844" t="s">
        <v>31386</v>
      </c>
      <c r="J12844" t="s">
        <v>31641</v>
      </c>
      <c r="K12844" t="s">
        <v>40679</v>
      </c>
      <c r="M12844" t="s">
        <v>44577</v>
      </c>
      <c r="N12844" t="s">
        <v>44905</v>
      </c>
      <c r="O12844" t="s">
        <v>44906</v>
      </c>
      <c r="Q12844">
        <v>10</v>
      </c>
      <c r="R12844" t="s">
        <v>44921</v>
      </c>
      <c r="S12844" t="s">
        <v>45594</v>
      </c>
      <c r="T12844" t="s">
        <v>46435</v>
      </c>
      <c r="U12844" t="s">
        <v>57160</v>
      </c>
      <c r="V12844" t="s">
        <v>60466</v>
      </c>
      <c r="W12844" t="s">
        <v>44577</v>
      </c>
      <c r="X12844" t="s">
        <v>44922</v>
      </c>
    </row>
    <row r="12845" spans="1:24">
      <c r="A12845">
        <f>HYPERLINK("https://www.philgeps.gov.ph/GEPSNONPILOT/Tender/SplashBidNoticeAbstractUI.aspx?menuIndex=3&amp;refID=7054035&amp;Result=3","7054035")</f>
        <v>0</v>
      </c>
      <c r="B12845" t="s">
        <v>929</v>
      </c>
      <c r="C12845" t="s">
        <v>15798</v>
      </c>
      <c r="D12845" t="s">
        <v>18143</v>
      </c>
      <c r="E12845" t="s">
        <v>29308</v>
      </c>
      <c r="F12845" t="s">
        <v>31362</v>
      </c>
      <c r="G12845" t="s">
        <v>31369</v>
      </c>
      <c r="H12845" t="s">
        <v>15799</v>
      </c>
      <c r="I12845" t="s">
        <v>31397</v>
      </c>
      <c r="J12845" t="s">
        <v>39327</v>
      </c>
      <c r="K12845" t="s">
        <v>40661</v>
      </c>
      <c r="M12845" t="s">
        <v>41916</v>
      </c>
      <c r="N12845" t="s">
        <v>44905</v>
      </c>
      <c r="O12845" t="s">
        <v>44906</v>
      </c>
      <c r="P12845">
        <v>0</v>
      </c>
      <c r="Q12845">
        <v>3</v>
      </c>
      <c r="R12845" t="s">
        <v>44921</v>
      </c>
      <c r="S12845" t="s">
        <v>45564</v>
      </c>
      <c r="T12845" t="s">
        <v>46427</v>
      </c>
      <c r="U12845" t="s">
        <v>57183</v>
      </c>
      <c r="W12845" t="s">
        <v>41916</v>
      </c>
      <c r="X12845" t="s">
        <v>44922</v>
      </c>
    </row>
    <row r="12846" spans="1:24">
      <c r="A12846">
        <f>HYPERLINK("https://www.philgeps.gov.ph/GEPSNONPILOT/Tender/SplashBidNoticeAbstractUI.aspx?menuIndex=3&amp;refID=7053990&amp;Result=3","7053990")</f>
        <v>0</v>
      </c>
      <c r="B12846" t="s">
        <v>3294</v>
      </c>
      <c r="C12846" t="s">
        <v>15799</v>
      </c>
      <c r="D12846" t="s">
        <v>18136</v>
      </c>
      <c r="E12846" t="s">
        <v>19844</v>
      </c>
      <c r="F12846" t="s">
        <v>31362</v>
      </c>
      <c r="G12846" t="s">
        <v>31369</v>
      </c>
      <c r="H12846" t="s">
        <v>15799</v>
      </c>
      <c r="I12846" t="s">
        <v>31415</v>
      </c>
      <c r="J12846" t="s">
        <v>31578</v>
      </c>
      <c r="K12846" t="s">
        <v>40672</v>
      </c>
      <c r="M12846" t="s">
        <v>44582</v>
      </c>
      <c r="N12846" t="s">
        <v>44905</v>
      </c>
      <c r="O12846" t="s">
        <v>44906</v>
      </c>
      <c r="P12846">
        <v>0</v>
      </c>
      <c r="Q12846">
        <v>0</v>
      </c>
      <c r="R12846" t="s">
        <v>44921</v>
      </c>
      <c r="S12846" t="s">
        <v>45564</v>
      </c>
      <c r="T12846" t="s">
        <v>46425</v>
      </c>
      <c r="U12846" t="s">
        <v>57184</v>
      </c>
      <c r="W12846" t="s">
        <v>44582</v>
      </c>
      <c r="X12846" t="s">
        <v>44922</v>
      </c>
    </row>
    <row r="12847" spans="1:24">
      <c r="A12847">
        <f>HYPERLINK("https://www.philgeps.gov.ph/GEPSNONPILOT/Tender/SplashBidNoticeAbstractUI.aspx?menuIndex=3&amp;refID=7053822&amp;Result=3","7053822")</f>
        <v>0</v>
      </c>
      <c r="B12847" t="s">
        <v>3291</v>
      </c>
      <c r="C12847" t="s">
        <v>15800</v>
      </c>
      <c r="D12847" t="s">
        <v>18107</v>
      </c>
      <c r="E12847" t="s">
        <v>29309</v>
      </c>
      <c r="F12847" t="s">
        <v>31362</v>
      </c>
      <c r="G12847" t="s">
        <v>31369</v>
      </c>
      <c r="H12847" t="s">
        <v>31378</v>
      </c>
      <c r="I12847" t="s">
        <v>31386</v>
      </c>
      <c r="J12847" t="s">
        <v>31602</v>
      </c>
      <c r="K12847" t="s">
        <v>40686</v>
      </c>
      <c r="M12847" t="s">
        <v>44578</v>
      </c>
      <c r="N12847" t="s">
        <v>44905</v>
      </c>
      <c r="O12847" t="s">
        <v>44906</v>
      </c>
      <c r="P12847">
        <v>0</v>
      </c>
      <c r="Q12847">
        <v>2</v>
      </c>
      <c r="R12847" t="s">
        <v>44921</v>
      </c>
      <c r="S12847" t="s">
        <v>45564</v>
      </c>
      <c r="T12847" t="s">
        <v>46473</v>
      </c>
      <c r="U12847" t="s">
        <v>57185</v>
      </c>
      <c r="W12847" t="s">
        <v>44578</v>
      </c>
      <c r="X12847" t="s">
        <v>44922</v>
      </c>
    </row>
    <row r="12848" spans="1:24">
      <c r="A12848">
        <f>HYPERLINK("https://www.philgeps.gov.ph/GEPSNONPILOT/Tender/SplashBidNoticeAbstractUI.aspx?menuIndex=3&amp;refID=7053720&amp;Result=3","7053720")</f>
        <v>0</v>
      </c>
      <c r="B12848" t="s">
        <v>3283</v>
      </c>
      <c r="C12848" t="s">
        <v>15801</v>
      </c>
      <c r="D12848" t="s">
        <v>18101</v>
      </c>
      <c r="E12848" t="s">
        <v>18476</v>
      </c>
      <c r="F12848" t="s">
        <v>31362</v>
      </c>
      <c r="G12848" t="s">
        <v>31369</v>
      </c>
      <c r="H12848" t="s">
        <v>15799</v>
      </c>
      <c r="I12848" t="s">
        <v>3815</v>
      </c>
      <c r="J12848" t="s">
        <v>39328</v>
      </c>
      <c r="K12848" t="s">
        <v>40666</v>
      </c>
      <c r="M12848" t="s">
        <v>44569</v>
      </c>
      <c r="N12848" t="s">
        <v>44905</v>
      </c>
      <c r="O12848" t="s">
        <v>44906</v>
      </c>
      <c r="P12848">
        <v>0</v>
      </c>
      <c r="Q12848">
        <v>1</v>
      </c>
      <c r="R12848" t="s">
        <v>44921</v>
      </c>
      <c r="S12848" t="s">
        <v>45564</v>
      </c>
      <c r="T12848" t="s">
        <v>46425</v>
      </c>
      <c r="U12848" t="s">
        <v>57186</v>
      </c>
      <c r="W12848" t="s">
        <v>44569</v>
      </c>
      <c r="X12848" t="s">
        <v>44922</v>
      </c>
    </row>
    <row r="12849" spans="1:24">
      <c r="A12849">
        <f>HYPERLINK("https://www.philgeps.gov.ph/GEPSNONPILOT/Tender/SplashBidNoticeAbstractUI.aspx?menuIndex=3&amp;refID=7054196&amp;Result=3","7054196")</f>
        <v>0</v>
      </c>
      <c r="B12849" t="s">
        <v>3295</v>
      </c>
      <c r="C12849" t="s">
        <v>15802</v>
      </c>
      <c r="D12849" t="s">
        <v>18107</v>
      </c>
      <c r="E12849" t="s">
        <v>27435</v>
      </c>
      <c r="F12849" t="s">
        <v>31362</v>
      </c>
      <c r="G12849" t="s">
        <v>31369</v>
      </c>
      <c r="H12849" t="s">
        <v>15799</v>
      </c>
      <c r="I12849" t="s">
        <v>3815</v>
      </c>
      <c r="J12849" t="s">
        <v>39329</v>
      </c>
      <c r="K12849" t="s">
        <v>40677</v>
      </c>
      <c r="M12849" t="s">
        <v>44583</v>
      </c>
      <c r="N12849" t="s">
        <v>44905</v>
      </c>
      <c r="O12849" t="s">
        <v>44906</v>
      </c>
      <c r="P12849">
        <v>0</v>
      </c>
      <c r="Q12849">
        <v>0</v>
      </c>
      <c r="R12849" t="s">
        <v>44921</v>
      </c>
      <c r="S12849" t="s">
        <v>45564</v>
      </c>
      <c r="T12849" t="s">
        <v>46443</v>
      </c>
      <c r="U12849" t="s">
        <v>57187</v>
      </c>
      <c r="W12849" t="s">
        <v>44583</v>
      </c>
      <c r="X12849" t="s">
        <v>44922</v>
      </c>
    </row>
    <row r="12850" spans="1:24">
      <c r="A12850">
        <f>HYPERLINK("https://www.philgeps.gov.ph/GEPSNONPILOT/Tender/SplashBidNoticeAbstractUI.aspx?menuIndex=3&amp;refID=7053721&amp;Result=3","7053721")</f>
        <v>0</v>
      </c>
      <c r="B12850" t="s">
        <v>2687</v>
      </c>
      <c r="C12850" t="s">
        <v>15803</v>
      </c>
      <c r="D12850" t="s">
        <v>18108</v>
      </c>
      <c r="E12850" t="s">
        <v>29310</v>
      </c>
      <c r="F12850" t="s">
        <v>31362</v>
      </c>
      <c r="G12850" t="s">
        <v>31369</v>
      </c>
      <c r="H12850" t="s">
        <v>31379</v>
      </c>
      <c r="I12850" t="s">
        <v>31388</v>
      </c>
      <c r="J12850" t="s">
        <v>39330</v>
      </c>
      <c r="K12850" t="s">
        <v>40745</v>
      </c>
      <c r="M12850" t="s">
        <v>43873</v>
      </c>
      <c r="N12850" t="s">
        <v>44905</v>
      </c>
      <c r="O12850" t="s">
        <v>44906</v>
      </c>
      <c r="P12850">
        <v>0</v>
      </c>
      <c r="Q12850">
        <v>2</v>
      </c>
      <c r="R12850" t="s">
        <v>44921</v>
      </c>
      <c r="S12850" t="s">
        <v>45564</v>
      </c>
      <c r="T12850" t="s">
        <v>46499</v>
      </c>
      <c r="U12850" t="s">
        <v>57188</v>
      </c>
      <c r="W12850" t="s">
        <v>43873</v>
      </c>
      <c r="X12850" t="s">
        <v>44922</v>
      </c>
    </row>
    <row r="12851" spans="1:24">
      <c r="A12851">
        <f>HYPERLINK("https://www.philgeps.gov.ph/GEPSNONPILOT/Tender/SplashBidNoticeAbstractUI.aspx?menuIndex=3&amp;refID=7053998&amp;Result=3","7053998")</f>
        <v>0</v>
      </c>
      <c r="B12851" t="s">
        <v>3288</v>
      </c>
      <c r="C12851" t="s">
        <v>15804</v>
      </c>
      <c r="D12851" t="s">
        <v>18153</v>
      </c>
      <c r="E12851" t="s">
        <v>29311</v>
      </c>
      <c r="F12851" t="s">
        <v>31362</v>
      </c>
      <c r="G12851" t="s">
        <v>31369</v>
      </c>
      <c r="H12851" t="s">
        <v>31378</v>
      </c>
      <c r="I12851" t="s">
        <v>31386</v>
      </c>
      <c r="J12851" t="s">
        <v>39331</v>
      </c>
      <c r="K12851" t="s">
        <v>40694</v>
      </c>
      <c r="M12851" t="s">
        <v>44574</v>
      </c>
      <c r="N12851" t="s">
        <v>44905</v>
      </c>
      <c r="O12851" t="s">
        <v>44906</v>
      </c>
      <c r="P12851">
        <v>0</v>
      </c>
      <c r="Q12851">
        <v>0</v>
      </c>
      <c r="R12851" t="s">
        <v>44921</v>
      </c>
      <c r="S12851" t="s">
        <v>45564</v>
      </c>
      <c r="T12851" t="s">
        <v>46692</v>
      </c>
      <c r="U12851" t="s">
        <v>57147</v>
      </c>
      <c r="V12851" t="s">
        <v>60463</v>
      </c>
      <c r="W12851" t="s">
        <v>44574</v>
      </c>
      <c r="X12851" t="s">
        <v>44922</v>
      </c>
    </row>
    <row r="12852" spans="1:24">
      <c r="A12852">
        <f>HYPERLINK("https://www.philgeps.gov.ph/GEPSNONPILOT/Tender/SplashBidNoticeAbstractUI.aspx?menuIndex=3&amp;refID=7054256&amp;Result=3","7054256")</f>
        <v>0</v>
      </c>
      <c r="B12852" t="s">
        <v>3135</v>
      </c>
      <c r="C12852" t="s">
        <v>15805</v>
      </c>
      <c r="D12852" t="s">
        <v>18104</v>
      </c>
      <c r="E12852" t="s">
        <v>29312</v>
      </c>
      <c r="F12852" t="s">
        <v>31362</v>
      </c>
      <c r="G12852" t="s">
        <v>31369</v>
      </c>
      <c r="H12852" t="s">
        <v>31378</v>
      </c>
      <c r="I12852" t="s">
        <v>3815</v>
      </c>
      <c r="J12852" t="s">
        <v>39332</v>
      </c>
      <c r="K12852" t="s">
        <v>40682</v>
      </c>
      <c r="L12852" t="s">
        <v>3135</v>
      </c>
      <c r="M12852" t="s">
        <v>44394</v>
      </c>
      <c r="N12852" t="s">
        <v>44905</v>
      </c>
      <c r="O12852" t="s">
        <v>44906</v>
      </c>
      <c r="P12852">
        <v>0</v>
      </c>
      <c r="Q12852">
        <v>1</v>
      </c>
      <c r="R12852" t="s">
        <v>44921</v>
      </c>
      <c r="S12852" t="s">
        <v>45564</v>
      </c>
      <c r="T12852" t="s">
        <v>46425</v>
      </c>
      <c r="U12852" t="s">
        <v>57189</v>
      </c>
      <c r="W12852" t="s">
        <v>44394</v>
      </c>
      <c r="X12852" t="s">
        <v>44922</v>
      </c>
    </row>
    <row r="12853" spans="1:24">
      <c r="A12853">
        <f>HYPERLINK("https://www.philgeps.gov.ph/GEPSNONPILOT/Tender/SplashBidNoticeAbstractUI.aspx?menuIndex=3&amp;refID=7054243&amp;Result=3","7054243")</f>
        <v>0</v>
      </c>
      <c r="B12853" t="s">
        <v>1070</v>
      </c>
      <c r="C12853" t="s">
        <v>15806</v>
      </c>
      <c r="D12853" t="s">
        <v>18138</v>
      </c>
      <c r="E12853" t="s">
        <v>29313</v>
      </c>
      <c r="F12853" t="s">
        <v>31362</v>
      </c>
      <c r="G12853" t="s">
        <v>31369</v>
      </c>
      <c r="H12853" t="s">
        <v>31378</v>
      </c>
      <c r="I12853" t="s">
        <v>31386</v>
      </c>
      <c r="J12853" t="s">
        <v>39333</v>
      </c>
      <c r="K12853" t="s">
        <v>40796</v>
      </c>
      <c r="M12853" t="s">
        <v>42072</v>
      </c>
      <c r="N12853" t="s">
        <v>44905</v>
      </c>
      <c r="O12853" t="s">
        <v>44906</v>
      </c>
      <c r="Q12853">
        <v>5</v>
      </c>
      <c r="R12853" t="s">
        <v>44921</v>
      </c>
      <c r="S12853" t="s">
        <v>45596</v>
      </c>
      <c r="T12853" t="s">
        <v>46503</v>
      </c>
      <c r="U12853" t="s">
        <v>55952</v>
      </c>
      <c r="W12853" t="s">
        <v>42072</v>
      </c>
      <c r="X12853" t="s">
        <v>44922</v>
      </c>
    </row>
    <row r="12854" spans="1:24">
      <c r="A12854">
        <f>HYPERLINK("https://www.philgeps.gov.ph/GEPSNONPILOT/Tender/SplashBidNoticeAbstractUI.aspx?menuIndex=3&amp;refID=7054199&amp;Result=3","7054199")</f>
        <v>0</v>
      </c>
      <c r="B12854" t="s">
        <v>461</v>
      </c>
      <c r="C12854" t="s">
        <v>15807</v>
      </c>
      <c r="D12854" t="s">
        <v>18112</v>
      </c>
      <c r="E12854" t="s">
        <v>29314</v>
      </c>
      <c r="F12854" t="s">
        <v>31362</v>
      </c>
      <c r="G12854" t="s">
        <v>31369</v>
      </c>
      <c r="H12854" t="s">
        <v>31378</v>
      </c>
      <c r="I12854" t="s">
        <v>31384</v>
      </c>
      <c r="J12854" t="s">
        <v>31637</v>
      </c>
      <c r="K12854" t="s">
        <v>40682</v>
      </c>
      <c r="M12854" t="s">
        <v>44584</v>
      </c>
      <c r="N12854" t="s">
        <v>44905</v>
      </c>
      <c r="O12854" t="s">
        <v>44906</v>
      </c>
      <c r="P12854">
        <v>0</v>
      </c>
      <c r="Q12854">
        <v>13</v>
      </c>
      <c r="R12854" t="s">
        <v>44921</v>
      </c>
      <c r="S12854" t="s">
        <v>45564</v>
      </c>
      <c r="T12854" t="s">
        <v>46483</v>
      </c>
      <c r="U12854" t="s">
        <v>57190</v>
      </c>
      <c r="V12854" t="s">
        <v>60475</v>
      </c>
      <c r="W12854" t="s">
        <v>44584</v>
      </c>
      <c r="X12854" t="s">
        <v>44922</v>
      </c>
    </row>
    <row r="12855" spans="1:24">
      <c r="A12855">
        <f>HYPERLINK("https://www.philgeps.gov.ph/GEPSNONPILOT/Tender/SplashBidNoticeAbstractUI.aspx?menuIndex=3&amp;refID=7054236&amp;Result=3","7054236")</f>
        <v>0</v>
      </c>
      <c r="B12855" t="s">
        <v>3025</v>
      </c>
      <c r="C12855" t="s">
        <v>15808</v>
      </c>
      <c r="D12855" t="s">
        <v>18170</v>
      </c>
      <c r="E12855" t="s">
        <v>29315</v>
      </c>
      <c r="F12855" t="s">
        <v>31362</v>
      </c>
      <c r="G12855" t="s">
        <v>31369</v>
      </c>
      <c r="H12855" t="s">
        <v>31378</v>
      </c>
      <c r="I12855" t="s">
        <v>31386</v>
      </c>
      <c r="J12855" t="s">
        <v>39334</v>
      </c>
      <c r="K12855" t="s">
        <v>40686</v>
      </c>
      <c r="M12855" t="s">
        <v>44258</v>
      </c>
      <c r="N12855" t="s">
        <v>44905</v>
      </c>
      <c r="O12855" t="s">
        <v>44906</v>
      </c>
      <c r="P12855">
        <v>0</v>
      </c>
      <c r="Q12855">
        <v>1</v>
      </c>
      <c r="R12855" t="s">
        <v>44921</v>
      </c>
      <c r="S12855" t="s">
        <v>45564</v>
      </c>
      <c r="T12855" t="s">
        <v>46560</v>
      </c>
      <c r="U12855" t="s">
        <v>57191</v>
      </c>
      <c r="V12855" t="s">
        <v>60476</v>
      </c>
      <c r="W12855" t="s">
        <v>44258</v>
      </c>
      <c r="X12855" t="s">
        <v>44922</v>
      </c>
    </row>
    <row r="12856" spans="1:24">
      <c r="A12856">
        <f>HYPERLINK("https://www.philgeps.gov.ph/GEPSNONPILOT/Tender/SplashBidNoticeAbstractUI.aspx?menuIndex=3&amp;refID=7054080&amp;Result=3","7054080")</f>
        <v>0</v>
      </c>
      <c r="B12856" t="s">
        <v>1311</v>
      </c>
      <c r="C12856" t="s">
        <v>15809</v>
      </c>
      <c r="D12856" t="s">
        <v>18156</v>
      </c>
      <c r="E12856" t="s">
        <v>22251</v>
      </c>
      <c r="F12856" t="s">
        <v>31362</v>
      </c>
      <c r="G12856" t="s">
        <v>31369</v>
      </c>
      <c r="H12856" t="s">
        <v>15799</v>
      </c>
      <c r="I12856" t="s">
        <v>31380</v>
      </c>
      <c r="J12856" t="s">
        <v>39335</v>
      </c>
      <c r="K12856" t="s">
        <v>40662</v>
      </c>
      <c r="M12856" t="s">
        <v>42329</v>
      </c>
      <c r="N12856" t="s">
        <v>44905</v>
      </c>
      <c r="O12856" t="s">
        <v>44906</v>
      </c>
      <c r="P12856">
        <v>0</v>
      </c>
      <c r="Q12856">
        <v>4</v>
      </c>
      <c r="R12856" t="s">
        <v>44921</v>
      </c>
      <c r="S12856" t="s">
        <v>45564</v>
      </c>
      <c r="T12856" t="s">
        <v>46549</v>
      </c>
      <c r="U12856" t="s">
        <v>57192</v>
      </c>
      <c r="V12856" t="s">
        <v>60477</v>
      </c>
      <c r="W12856" t="s">
        <v>42329</v>
      </c>
      <c r="X12856" t="s">
        <v>44922</v>
      </c>
    </row>
    <row r="12857" spans="1:24">
      <c r="A12857">
        <f>HYPERLINK("https://www.philgeps.gov.ph/GEPSNONPILOT/Tender/SplashBidNoticeAbstractUI.aspx?menuIndex=3&amp;refID=7054227&amp;Result=3","7054227")</f>
        <v>0</v>
      </c>
      <c r="B12857" t="s">
        <v>200</v>
      </c>
      <c r="C12857" t="s">
        <v>15810</v>
      </c>
      <c r="D12857" t="s">
        <v>18106</v>
      </c>
      <c r="E12857" t="s">
        <v>29316</v>
      </c>
      <c r="F12857" t="s">
        <v>31362</v>
      </c>
      <c r="G12857" t="s">
        <v>31369</v>
      </c>
      <c r="H12857" t="s">
        <v>31378</v>
      </c>
      <c r="I12857" t="s">
        <v>31386</v>
      </c>
      <c r="J12857" t="s">
        <v>39336</v>
      </c>
      <c r="K12857" t="s">
        <v>40922</v>
      </c>
      <c r="M12857" t="s">
        <v>41139</v>
      </c>
      <c r="N12857" t="s">
        <v>44905</v>
      </c>
      <c r="O12857" t="s">
        <v>44906</v>
      </c>
      <c r="Q12857">
        <v>2</v>
      </c>
      <c r="R12857" t="s">
        <v>44921</v>
      </c>
      <c r="S12857" t="s">
        <v>45597</v>
      </c>
      <c r="T12857" t="s">
        <v>46418</v>
      </c>
      <c r="U12857" t="s">
        <v>57193</v>
      </c>
      <c r="W12857" t="s">
        <v>41139</v>
      </c>
      <c r="X12857" t="s">
        <v>44922</v>
      </c>
    </row>
    <row r="12858" spans="1:24">
      <c r="A12858">
        <f>HYPERLINK("https://www.philgeps.gov.ph/GEPSNONPILOT/Tender/SplashBidNoticeAbstractUI.aspx?menuIndex=3&amp;refID=7054194&amp;Result=3","7054194")</f>
        <v>0</v>
      </c>
      <c r="B12858" t="s">
        <v>1887</v>
      </c>
      <c r="C12858" t="s">
        <v>15811</v>
      </c>
      <c r="D12858" t="s">
        <v>18140</v>
      </c>
      <c r="E12858" t="s">
        <v>29317</v>
      </c>
      <c r="F12858" t="s">
        <v>31362</v>
      </c>
      <c r="G12858" t="s">
        <v>31369</v>
      </c>
      <c r="H12858" t="s">
        <v>31378</v>
      </c>
      <c r="I12858" t="s">
        <v>31386</v>
      </c>
      <c r="J12858" t="s">
        <v>39337</v>
      </c>
      <c r="K12858" t="s">
        <v>40686</v>
      </c>
      <c r="M12858" t="s">
        <v>42981</v>
      </c>
      <c r="N12858" t="s">
        <v>44905</v>
      </c>
      <c r="O12858" t="s">
        <v>44906</v>
      </c>
      <c r="P12858">
        <v>0</v>
      </c>
      <c r="Q12858">
        <v>2</v>
      </c>
      <c r="R12858" t="s">
        <v>44921</v>
      </c>
      <c r="S12858" t="s">
        <v>45564</v>
      </c>
      <c r="T12858" t="s">
        <v>46438</v>
      </c>
      <c r="U12858" t="s">
        <v>57194</v>
      </c>
      <c r="W12858" t="s">
        <v>42981</v>
      </c>
      <c r="X12858" t="s">
        <v>44922</v>
      </c>
    </row>
    <row r="12859" spans="1:24">
      <c r="A12859">
        <f>HYPERLINK("https://www.philgeps.gov.ph/GEPSNONPILOT/Tender/SplashBidNoticeAbstractUI.aspx?menuIndex=3&amp;refID=7053980&amp;Result=3","7053980")</f>
        <v>0</v>
      </c>
      <c r="B12859" t="s">
        <v>3285</v>
      </c>
      <c r="C12859" t="s">
        <v>15812</v>
      </c>
      <c r="D12859" t="s">
        <v>18100</v>
      </c>
      <c r="E12859" t="s">
        <v>29318</v>
      </c>
      <c r="F12859" t="s">
        <v>31362</v>
      </c>
      <c r="G12859" t="s">
        <v>31369</v>
      </c>
      <c r="H12859" t="s">
        <v>15799</v>
      </c>
      <c r="I12859" t="s">
        <v>3815</v>
      </c>
      <c r="J12859" t="s">
        <v>33356</v>
      </c>
      <c r="K12859" t="s">
        <v>40661</v>
      </c>
      <c r="L12859" t="s">
        <v>3285</v>
      </c>
      <c r="M12859" t="s">
        <v>44571</v>
      </c>
      <c r="N12859" t="s">
        <v>44905</v>
      </c>
      <c r="O12859" t="s">
        <v>44906</v>
      </c>
      <c r="P12859">
        <v>0</v>
      </c>
      <c r="Q12859">
        <v>0</v>
      </c>
      <c r="R12859" t="s">
        <v>44921</v>
      </c>
      <c r="S12859" t="s">
        <v>45564</v>
      </c>
      <c r="T12859" t="s">
        <v>46396</v>
      </c>
      <c r="U12859" t="s">
        <v>57154</v>
      </c>
      <c r="V12859" t="s">
        <v>60464</v>
      </c>
      <c r="W12859" t="s">
        <v>44571</v>
      </c>
      <c r="X12859" t="s">
        <v>44922</v>
      </c>
    </row>
    <row r="12860" spans="1:24">
      <c r="A12860">
        <f>HYPERLINK("https://www.philgeps.gov.ph/GEPSNONPILOT/Tender/SplashBidNoticeAbstractUI.aspx?menuIndex=3&amp;refID=7054155&amp;Result=3","7054155")</f>
        <v>0</v>
      </c>
      <c r="B12860" t="s">
        <v>3067</v>
      </c>
      <c r="C12860" t="s">
        <v>15813</v>
      </c>
      <c r="D12860" t="s">
        <v>18106</v>
      </c>
      <c r="E12860" t="s">
        <v>29319</v>
      </c>
      <c r="F12860" t="s">
        <v>31362</v>
      </c>
      <c r="G12860" t="s">
        <v>31369</v>
      </c>
      <c r="H12860" t="s">
        <v>31378</v>
      </c>
      <c r="I12860" t="s">
        <v>31386</v>
      </c>
      <c r="J12860" t="s">
        <v>39338</v>
      </c>
      <c r="K12860" t="s">
        <v>40742</v>
      </c>
      <c r="L12860" t="s">
        <v>3067</v>
      </c>
      <c r="M12860" t="s">
        <v>44304</v>
      </c>
      <c r="N12860" t="s">
        <v>44905</v>
      </c>
      <c r="O12860" t="s">
        <v>44906</v>
      </c>
      <c r="P12860">
        <v>0</v>
      </c>
      <c r="Q12860">
        <v>0</v>
      </c>
      <c r="R12860" t="s">
        <v>44921</v>
      </c>
      <c r="S12860" t="s">
        <v>45564</v>
      </c>
      <c r="T12860" t="s">
        <v>46403</v>
      </c>
      <c r="U12860" t="s">
        <v>57195</v>
      </c>
      <c r="W12860" t="s">
        <v>44304</v>
      </c>
      <c r="X12860" t="s">
        <v>44922</v>
      </c>
    </row>
    <row r="12861" spans="1:24">
      <c r="A12861">
        <f>HYPERLINK("https://www.philgeps.gov.ph/GEPSNONPILOT/Tender/SplashBidNoticeAbstractUI.aspx?menuIndex=3&amp;refID=7053928&amp;Result=3","7053928")</f>
        <v>0</v>
      </c>
      <c r="B12861" t="s">
        <v>3288</v>
      </c>
      <c r="C12861" t="s">
        <v>15814</v>
      </c>
      <c r="D12861" t="s">
        <v>18153</v>
      </c>
      <c r="E12861" t="s">
        <v>29320</v>
      </c>
      <c r="F12861" t="s">
        <v>31362</v>
      </c>
      <c r="G12861" t="s">
        <v>31369</v>
      </c>
      <c r="H12861" t="s">
        <v>31378</v>
      </c>
      <c r="I12861" t="s">
        <v>31386</v>
      </c>
      <c r="J12861" t="s">
        <v>39339</v>
      </c>
      <c r="K12861" t="s">
        <v>40694</v>
      </c>
      <c r="M12861" t="s">
        <v>44574</v>
      </c>
      <c r="N12861" t="s">
        <v>44905</v>
      </c>
      <c r="O12861" t="s">
        <v>44906</v>
      </c>
      <c r="P12861">
        <v>0</v>
      </c>
      <c r="Q12861">
        <v>0</v>
      </c>
      <c r="R12861" t="s">
        <v>44921</v>
      </c>
      <c r="S12861" t="s">
        <v>45564</v>
      </c>
      <c r="T12861" t="s">
        <v>46692</v>
      </c>
      <c r="U12861" t="s">
        <v>57147</v>
      </c>
      <c r="V12861" t="s">
        <v>60463</v>
      </c>
      <c r="W12861" t="s">
        <v>44574</v>
      </c>
      <c r="X12861" t="s">
        <v>44922</v>
      </c>
    </row>
    <row r="12862" spans="1:24">
      <c r="A12862">
        <f>HYPERLINK("https://www.philgeps.gov.ph/GEPSNONPILOT/Tender/SplashBidNoticeAbstractUI.aspx?menuIndex=3&amp;refID=7054003&amp;Result=3","7054003")</f>
        <v>0</v>
      </c>
      <c r="B12862" t="s">
        <v>3285</v>
      </c>
      <c r="C12862" t="s">
        <v>15815</v>
      </c>
      <c r="D12862" t="s">
        <v>18100</v>
      </c>
      <c r="E12862" t="s">
        <v>29321</v>
      </c>
      <c r="F12862" t="s">
        <v>31362</v>
      </c>
      <c r="G12862" t="s">
        <v>31369</v>
      </c>
      <c r="H12862" t="s">
        <v>15799</v>
      </c>
      <c r="I12862" t="s">
        <v>3815</v>
      </c>
      <c r="J12862" t="s">
        <v>31768</v>
      </c>
      <c r="K12862" t="s">
        <v>40661</v>
      </c>
      <c r="L12862" t="s">
        <v>3285</v>
      </c>
      <c r="M12862" t="s">
        <v>44571</v>
      </c>
      <c r="N12862" t="s">
        <v>44905</v>
      </c>
      <c r="O12862" t="s">
        <v>44906</v>
      </c>
      <c r="P12862">
        <v>0</v>
      </c>
      <c r="Q12862">
        <v>0</v>
      </c>
      <c r="R12862" t="s">
        <v>44921</v>
      </c>
      <c r="S12862" t="s">
        <v>45564</v>
      </c>
      <c r="T12862" t="s">
        <v>46396</v>
      </c>
      <c r="U12862" t="s">
        <v>57154</v>
      </c>
      <c r="V12862" t="s">
        <v>60464</v>
      </c>
      <c r="W12862" t="s">
        <v>44571</v>
      </c>
      <c r="X12862" t="s">
        <v>44922</v>
      </c>
    </row>
    <row r="12863" spans="1:24">
      <c r="A12863">
        <f>HYPERLINK("https://www.philgeps.gov.ph/GEPSNONPILOT/Tender/SplashBidNoticeAbstractUI.aspx?menuIndex=3&amp;refID=7054191&amp;Result=3","7054191")</f>
        <v>0</v>
      </c>
      <c r="B12863" t="s">
        <v>1301</v>
      </c>
      <c r="C12863" t="s">
        <v>15816</v>
      </c>
      <c r="D12863" t="s">
        <v>18126</v>
      </c>
      <c r="E12863" t="s">
        <v>29322</v>
      </c>
      <c r="F12863" t="s">
        <v>31363</v>
      </c>
      <c r="G12863" t="s">
        <v>31369</v>
      </c>
      <c r="H12863" t="s">
        <v>15799</v>
      </c>
      <c r="I12863" t="s">
        <v>7719</v>
      </c>
      <c r="J12863" t="s">
        <v>39340</v>
      </c>
      <c r="K12863" t="s">
        <v>40679</v>
      </c>
      <c r="M12863" t="s">
        <v>42319</v>
      </c>
      <c r="N12863" t="s">
        <v>44905</v>
      </c>
      <c r="O12863" t="s">
        <v>44906</v>
      </c>
      <c r="P12863">
        <v>0</v>
      </c>
      <c r="Q12863">
        <v>9</v>
      </c>
      <c r="R12863" t="s">
        <v>44921</v>
      </c>
      <c r="S12863" t="s">
        <v>45564</v>
      </c>
      <c r="T12863" t="s">
        <v>46459</v>
      </c>
      <c r="U12863" t="s">
        <v>57196</v>
      </c>
      <c r="W12863" t="s">
        <v>42319</v>
      </c>
      <c r="X12863" t="s">
        <v>44922</v>
      </c>
    </row>
    <row r="12864" spans="1:24">
      <c r="A12864">
        <f>HYPERLINK("https://www.philgeps.gov.ph/GEPSNONPILOT/Tender/SplashBidNoticeAbstractUI.aspx?menuIndex=3&amp;refID=7054347&amp;Result=3","7054347")</f>
        <v>0</v>
      </c>
      <c r="B12864" t="s">
        <v>3067</v>
      </c>
      <c r="C12864" t="s">
        <v>15817</v>
      </c>
      <c r="D12864" t="s">
        <v>18106</v>
      </c>
      <c r="E12864" t="s">
        <v>29323</v>
      </c>
      <c r="F12864" t="s">
        <v>31362</v>
      </c>
      <c r="G12864" t="s">
        <v>31369</v>
      </c>
      <c r="H12864" t="s">
        <v>31378</v>
      </c>
      <c r="I12864" t="s">
        <v>31386</v>
      </c>
      <c r="J12864" t="s">
        <v>39338</v>
      </c>
      <c r="K12864" t="s">
        <v>40742</v>
      </c>
      <c r="L12864" t="s">
        <v>3067</v>
      </c>
      <c r="M12864" t="s">
        <v>44304</v>
      </c>
      <c r="N12864" t="s">
        <v>44905</v>
      </c>
      <c r="O12864" t="s">
        <v>44906</v>
      </c>
      <c r="P12864">
        <v>0</v>
      </c>
      <c r="Q12864">
        <v>0</v>
      </c>
      <c r="R12864" t="s">
        <v>44921</v>
      </c>
      <c r="S12864" t="s">
        <v>45564</v>
      </c>
      <c r="T12864" t="s">
        <v>46403</v>
      </c>
      <c r="U12864" t="s">
        <v>57195</v>
      </c>
      <c r="W12864" t="s">
        <v>44304</v>
      </c>
      <c r="X12864" t="s">
        <v>44922</v>
      </c>
    </row>
    <row r="12865" spans="1:24">
      <c r="A12865">
        <f>HYPERLINK("https://www.philgeps.gov.ph/GEPSNONPILOT/Tender/SplashBidNoticeAbstractUI.aspx?menuIndex=3&amp;refID=7054141&amp;Result=3","7054141")</f>
        <v>0</v>
      </c>
      <c r="B12865" t="s">
        <v>387</v>
      </c>
      <c r="C12865" t="s">
        <v>15818</v>
      </c>
      <c r="D12865" t="s">
        <v>18152</v>
      </c>
      <c r="E12865" t="s">
        <v>29324</v>
      </c>
      <c r="F12865" t="s">
        <v>31362</v>
      </c>
      <c r="G12865" t="s">
        <v>31369</v>
      </c>
      <c r="H12865" t="s">
        <v>15799</v>
      </c>
      <c r="I12865" t="s">
        <v>3815</v>
      </c>
      <c r="J12865" t="s">
        <v>39341</v>
      </c>
      <c r="K12865" t="s">
        <v>40665</v>
      </c>
      <c r="M12865" t="s">
        <v>41335</v>
      </c>
      <c r="N12865" t="s">
        <v>44905</v>
      </c>
      <c r="O12865" t="s">
        <v>44906</v>
      </c>
      <c r="P12865">
        <v>0</v>
      </c>
      <c r="Q12865">
        <v>0</v>
      </c>
      <c r="R12865" t="s">
        <v>44921</v>
      </c>
      <c r="S12865" t="s">
        <v>45564</v>
      </c>
      <c r="T12865" t="s">
        <v>46462</v>
      </c>
      <c r="U12865" t="s">
        <v>47597</v>
      </c>
      <c r="V12865" t="s">
        <v>59153</v>
      </c>
      <c r="W12865" t="s">
        <v>41335</v>
      </c>
      <c r="X12865" t="s">
        <v>44922</v>
      </c>
    </row>
    <row r="12866" spans="1:24">
      <c r="A12866">
        <f>HYPERLINK("https://www.philgeps.gov.ph/GEPSNONPILOT/Tender/SplashBidNoticeAbstractUI.aspx?menuIndex=3&amp;refID=7054423&amp;Result=3","7054423")</f>
        <v>0</v>
      </c>
      <c r="B12866" t="s">
        <v>1200</v>
      </c>
      <c r="C12866" t="s">
        <v>15819</v>
      </c>
      <c r="D12866" t="s">
        <v>18122</v>
      </c>
      <c r="E12866" t="s">
        <v>29325</v>
      </c>
      <c r="F12866" t="s">
        <v>31362</v>
      </c>
      <c r="G12866" t="s">
        <v>31369</v>
      </c>
      <c r="H12866" t="s">
        <v>31378</v>
      </c>
      <c r="I12866" t="s">
        <v>31386</v>
      </c>
      <c r="J12866" t="s">
        <v>31625</v>
      </c>
      <c r="K12866" t="s">
        <v>40686</v>
      </c>
      <c r="M12866" t="s">
        <v>42212</v>
      </c>
      <c r="N12866" t="s">
        <v>44905</v>
      </c>
      <c r="O12866" t="s">
        <v>44906</v>
      </c>
      <c r="P12866">
        <v>0</v>
      </c>
      <c r="Q12866">
        <v>36</v>
      </c>
      <c r="R12866" t="s">
        <v>44921</v>
      </c>
      <c r="S12866" t="s">
        <v>45564</v>
      </c>
      <c r="T12866" t="s">
        <v>46435</v>
      </c>
      <c r="U12866" t="s">
        <v>57197</v>
      </c>
      <c r="W12866" t="s">
        <v>42212</v>
      </c>
      <c r="X12866" t="s">
        <v>44922</v>
      </c>
    </row>
    <row r="12867" spans="1:24">
      <c r="A12867">
        <f>HYPERLINK("https://www.philgeps.gov.ph/GEPSNONPILOT/Tender/SplashBidNoticeAbstractUI.aspx?menuIndex=3&amp;refID=7054143&amp;Result=3","7054143")</f>
        <v>0</v>
      </c>
      <c r="B12867" t="s">
        <v>3025</v>
      </c>
      <c r="C12867" t="s">
        <v>8019</v>
      </c>
      <c r="D12867" t="s">
        <v>18170</v>
      </c>
      <c r="E12867" t="s">
        <v>29326</v>
      </c>
      <c r="F12867" t="s">
        <v>31362</v>
      </c>
      <c r="G12867" t="s">
        <v>31369</v>
      </c>
      <c r="H12867" t="s">
        <v>31378</v>
      </c>
      <c r="I12867" t="s">
        <v>31386</v>
      </c>
      <c r="J12867" t="s">
        <v>39342</v>
      </c>
      <c r="K12867" t="s">
        <v>40679</v>
      </c>
      <c r="M12867" t="s">
        <v>44258</v>
      </c>
      <c r="N12867" t="s">
        <v>44905</v>
      </c>
      <c r="O12867" t="s">
        <v>44906</v>
      </c>
      <c r="P12867">
        <v>0</v>
      </c>
      <c r="Q12867">
        <v>1</v>
      </c>
      <c r="R12867" t="s">
        <v>44921</v>
      </c>
      <c r="S12867" t="s">
        <v>45564</v>
      </c>
      <c r="T12867" t="s">
        <v>46560</v>
      </c>
      <c r="U12867" t="s">
        <v>57198</v>
      </c>
      <c r="V12867" t="s">
        <v>60478</v>
      </c>
      <c r="W12867" t="s">
        <v>44258</v>
      </c>
      <c r="X12867" t="s">
        <v>44922</v>
      </c>
    </row>
    <row r="12868" spans="1:24">
      <c r="A12868">
        <f>HYPERLINK("https://www.philgeps.gov.ph/GEPSNONPILOT/Tender/SplashBidNoticeAbstractUI.aspx?menuIndex=3&amp;refID=7054388&amp;Result=3","7054388")</f>
        <v>0</v>
      </c>
      <c r="B12868" t="s">
        <v>3296</v>
      </c>
      <c r="C12868" t="s">
        <v>15820</v>
      </c>
      <c r="D12868" t="s">
        <v>18157</v>
      </c>
      <c r="E12868" t="s">
        <v>29327</v>
      </c>
      <c r="F12868" t="s">
        <v>31362</v>
      </c>
      <c r="G12868" t="s">
        <v>31369</v>
      </c>
      <c r="H12868" t="s">
        <v>15799</v>
      </c>
      <c r="I12868" t="s">
        <v>3815</v>
      </c>
      <c r="J12868" t="s">
        <v>39343</v>
      </c>
      <c r="K12868" t="s">
        <v>40670</v>
      </c>
      <c r="M12868" t="s">
        <v>44585</v>
      </c>
      <c r="N12868" t="s">
        <v>44905</v>
      </c>
      <c r="O12868" t="s">
        <v>44906</v>
      </c>
      <c r="P12868">
        <v>0</v>
      </c>
      <c r="Q12868">
        <v>2</v>
      </c>
      <c r="R12868" t="s">
        <v>44921</v>
      </c>
      <c r="S12868" t="s">
        <v>45564</v>
      </c>
      <c r="T12868" t="s">
        <v>46470</v>
      </c>
      <c r="U12868" t="s">
        <v>57199</v>
      </c>
      <c r="W12868" t="s">
        <v>44585</v>
      </c>
      <c r="X12868" t="s">
        <v>44922</v>
      </c>
    </row>
    <row r="12869" spans="1:24">
      <c r="A12869">
        <f>HYPERLINK("https://www.philgeps.gov.ph/GEPSNONPILOT/Tender/SplashBidNoticeAbstractUI.aspx?menuIndex=3&amp;refID=7054006&amp;Result=3","7054006")</f>
        <v>0</v>
      </c>
      <c r="B12869" t="s">
        <v>3238</v>
      </c>
      <c r="C12869" t="s">
        <v>15821</v>
      </c>
      <c r="E12869" t="s">
        <v>29328</v>
      </c>
      <c r="F12869" t="s">
        <v>31362</v>
      </c>
      <c r="G12869" t="s">
        <v>31369</v>
      </c>
      <c r="H12869" t="s">
        <v>15799</v>
      </c>
      <c r="I12869" t="s">
        <v>31396</v>
      </c>
      <c r="J12869" t="s">
        <v>32540</v>
      </c>
      <c r="K12869" t="s">
        <v>40662</v>
      </c>
      <c r="M12869" t="s">
        <v>44515</v>
      </c>
      <c r="N12869" t="s">
        <v>44905</v>
      </c>
      <c r="O12869" t="s">
        <v>44906</v>
      </c>
      <c r="Q12869">
        <v>26</v>
      </c>
      <c r="R12869" t="s">
        <v>44921</v>
      </c>
      <c r="S12869" t="s">
        <v>45598</v>
      </c>
      <c r="T12869" t="s">
        <v>46555</v>
      </c>
      <c r="U12869" t="s">
        <v>57200</v>
      </c>
      <c r="V12869" t="s">
        <v>60479</v>
      </c>
      <c r="W12869" t="s">
        <v>44515</v>
      </c>
      <c r="X12869" t="s">
        <v>44922</v>
      </c>
    </row>
    <row r="12870" spans="1:24">
      <c r="A12870">
        <f>HYPERLINK("https://www.philgeps.gov.ph/GEPSNONPILOT/Tender/SplashBidNoticeAbstractUI.aspx?menuIndex=3&amp;refID=7054343&amp;Result=3","7054343")</f>
        <v>0</v>
      </c>
      <c r="B12870" t="s">
        <v>1070</v>
      </c>
      <c r="C12870" t="s">
        <v>15822</v>
      </c>
      <c r="D12870" t="s">
        <v>18138</v>
      </c>
      <c r="E12870" t="s">
        <v>29329</v>
      </c>
      <c r="F12870" t="s">
        <v>31362</v>
      </c>
      <c r="G12870" t="s">
        <v>31369</v>
      </c>
      <c r="H12870" t="s">
        <v>31378</v>
      </c>
      <c r="I12870" t="s">
        <v>31386</v>
      </c>
      <c r="J12870" t="s">
        <v>36699</v>
      </c>
      <c r="K12870" t="s">
        <v>40691</v>
      </c>
      <c r="M12870" t="s">
        <v>42072</v>
      </c>
      <c r="N12870" t="s">
        <v>44905</v>
      </c>
      <c r="O12870" t="s">
        <v>44906</v>
      </c>
      <c r="Q12870">
        <v>5</v>
      </c>
      <c r="R12870" t="s">
        <v>44921</v>
      </c>
      <c r="S12870" t="s">
        <v>45599</v>
      </c>
      <c r="T12870" t="s">
        <v>46503</v>
      </c>
      <c r="U12870" t="s">
        <v>55952</v>
      </c>
      <c r="W12870" t="s">
        <v>42072</v>
      </c>
      <c r="X12870" t="s">
        <v>44922</v>
      </c>
    </row>
    <row r="12871" spans="1:24">
      <c r="A12871">
        <f>HYPERLINK("https://www.philgeps.gov.ph/GEPSNONPILOT/Tender/SplashBidNoticeAbstractUI.aspx?menuIndex=3&amp;refID=7054415&amp;Result=3","7054415")</f>
        <v>0</v>
      </c>
      <c r="B12871" t="s">
        <v>2838</v>
      </c>
      <c r="C12871" t="s">
        <v>13776</v>
      </c>
      <c r="D12871" t="s">
        <v>18100</v>
      </c>
      <c r="E12871" t="s">
        <v>27534</v>
      </c>
      <c r="F12871" t="s">
        <v>31362</v>
      </c>
      <c r="G12871" t="s">
        <v>31369</v>
      </c>
      <c r="H12871" t="s">
        <v>15799</v>
      </c>
      <c r="I12871" t="s">
        <v>31414</v>
      </c>
      <c r="J12871" t="s">
        <v>38084</v>
      </c>
      <c r="K12871" t="s">
        <v>40682</v>
      </c>
      <c r="M12871" t="s">
        <v>44039</v>
      </c>
      <c r="N12871" t="s">
        <v>44905</v>
      </c>
      <c r="O12871" t="s">
        <v>44906</v>
      </c>
      <c r="P12871">
        <v>0</v>
      </c>
      <c r="Q12871">
        <v>0</v>
      </c>
      <c r="R12871" t="s">
        <v>44921</v>
      </c>
      <c r="S12871" t="s">
        <v>45564</v>
      </c>
      <c r="T12871" t="s">
        <v>46454</v>
      </c>
      <c r="U12871" t="s">
        <v>55566</v>
      </c>
      <c r="V12871" t="s">
        <v>60134</v>
      </c>
      <c r="W12871" t="s">
        <v>44039</v>
      </c>
      <c r="X12871" t="s">
        <v>44922</v>
      </c>
    </row>
    <row r="12872" spans="1:24">
      <c r="A12872">
        <f>HYPERLINK("https://www.philgeps.gov.ph/GEPSNONPILOT/Tender/SplashBidNoticeAbstractUI.aspx?menuIndex=3&amp;refID=7054158&amp;Result=3","7054158")</f>
        <v>0</v>
      </c>
      <c r="B12872" t="s">
        <v>1906</v>
      </c>
      <c r="C12872" t="s">
        <v>15823</v>
      </c>
      <c r="D12872" t="s">
        <v>18121</v>
      </c>
      <c r="E12872" t="s">
        <v>15823</v>
      </c>
      <c r="F12872" t="s">
        <v>31362</v>
      </c>
      <c r="G12872" t="s">
        <v>31369</v>
      </c>
      <c r="H12872" t="s">
        <v>15799</v>
      </c>
      <c r="I12872" t="s">
        <v>31487</v>
      </c>
      <c r="J12872" t="s">
        <v>39344</v>
      </c>
      <c r="K12872" t="s">
        <v>40665</v>
      </c>
      <c r="M12872" t="s">
        <v>43002</v>
      </c>
      <c r="N12872" t="s">
        <v>44905</v>
      </c>
      <c r="O12872" t="s">
        <v>44906</v>
      </c>
      <c r="P12872">
        <v>0</v>
      </c>
      <c r="Q12872">
        <v>1</v>
      </c>
      <c r="R12872" t="s">
        <v>44921</v>
      </c>
      <c r="S12872" t="s">
        <v>45564</v>
      </c>
      <c r="T12872" t="s">
        <v>46435</v>
      </c>
      <c r="U12872" t="s">
        <v>57201</v>
      </c>
      <c r="W12872" t="s">
        <v>43002</v>
      </c>
      <c r="X12872" t="s">
        <v>44922</v>
      </c>
    </row>
    <row r="12873" spans="1:24">
      <c r="A12873">
        <f>HYPERLINK("https://www.philgeps.gov.ph/GEPSNONPILOT/Tender/SplashBidNoticeAbstractUI.aspx?menuIndex=3&amp;refID=7054324&amp;Result=3","7054324")</f>
        <v>0</v>
      </c>
      <c r="B12873" t="s">
        <v>1388</v>
      </c>
      <c r="C12873" t="s">
        <v>15824</v>
      </c>
      <c r="E12873" t="s">
        <v>29330</v>
      </c>
      <c r="F12873" t="s">
        <v>31362</v>
      </c>
      <c r="G12873" t="s">
        <v>31369</v>
      </c>
      <c r="H12873" t="s">
        <v>15799</v>
      </c>
      <c r="I12873" t="s">
        <v>31466</v>
      </c>
      <c r="J12873" t="s">
        <v>31530</v>
      </c>
      <c r="K12873" t="s">
        <v>40662</v>
      </c>
      <c r="M12873" t="s">
        <v>42413</v>
      </c>
      <c r="N12873" t="s">
        <v>44905</v>
      </c>
      <c r="O12873" t="s">
        <v>44906</v>
      </c>
      <c r="Q12873">
        <v>3</v>
      </c>
      <c r="R12873" t="s">
        <v>44921</v>
      </c>
      <c r="S12873" t="s">
        <v>45600</v>
      </c>
      <c r="T12873" t="s">
        <v>46649</v>
      </c>
      <c r="U12873" t="s">
        <v>52389</v>
      </c>
      <c r="W12873" t="s">
        <v>42413</v>
      </c>
      <c r="X12873" t="s">
        <v>44922</v>
      </c>
    </row>
    <row r="12874" spans="1:24">
      <c r="A12874">
        <f>HYPERLINK("https://www.philgeps.gov.ph/GEPSNONPILOT/Tender/SplashBidNoticeAbstractUI.aspx?menuIndex=3&amp;refID=7054178&amp;Result=3","7054178")</f>
        <v>0</v>
      </c>
      <c r="B12874" t="s">
        <v>3025</v>
      </c>
      <c r="C12874" t="s">
        <v>15825</v>
      </c>
      <c r="D12874" t="s">
        <v>18170</v>
      </c>
      <c r="E12874" t="s">
        <v>29331</v>
      </c>
      <c r="F12874" t="s">
        <v>31362</v>
      </c>
      <c r="G12874" t="s">
        <v>31369</v>
      </c>
      <c r="H12874" t="s">
        <v>31378</v>
      </c>
      <c r="I12874" t="s">
        <v>31386</v>
      </c>
      <c r="J12874" t="s">
        <v>39345</v>
      </c>
      <c r="K12874" t="s">
        <v>40686</v>
      </c>
      <c r="M12874" t="s">
        <v>44258</v>
      </c>
      <c r="N12874" t="s">
        <v>44905</v>
      </c>
      <c r="O12874" t="s">
        <v>44906</v>
      </c>
      <c r="P12874">
        <v>0</v>
      </c>
      <c r="Q12874">
        <v>1</v>
      </c>
      <c r="R12874" t="s">
        <v>44921</v>
      </c>
      <c r="S12874" t="s">
        <v>45564</v>
      </c>
      <c r="T12874" t="s">
        <v>46560</v>
      </c>
      <c r="U12874" t="s">
        <v>57202</v>
      </c>
      <c r="V12874" t="s">
        <v>60480</v>
      </c>
      <c r="W12874" t="s">
        <v>44258</v>
      </c>
      <c r="X12874" t="s">
        <v>44922</v>
      </c>
    </row>
    <row r="12875" spans="1:24">
      <c r="A12875">
        <f>HYPERLINK("https://www.philgeps.gov.ph/GEPSNONPILOT/Tender/SplashBidNoticeAbstractUI.aspx?menuIndex=3&amp;refID=7054317&amp;Result=3","7054317")</f>
        <v>0</v>
      </c>
      <c r="B12875" t="s">
        <v>3025</v>
      </c>
      <c r="C12875" t="s">
        <v>15826</v>
      </c>
      <c r="D12875" t="s">
        <v>18170</v>
      </c>
      <c r="E12875" t="s">
        <v>29332</v>
      </c>
      <c r="F12875" t="s">
        <v>31362</v>
      </c>
      <c r="G12875" t="s">
        <v>31369</v>
      </c>
      <c r="H12875" t="s">
        <v>31378</v>
      </c>
      <c r="I12875" t="s">
        <v>31386</v>
      </c>
      <c r="J12875" t="s">
        <v>39346</v>
      </c>
      <c r="K12875" t="s">
        <v>40686</v>
      </c>
      <c r="M12875" t="s">
        <v>44258</v>
      </c>
      <c r="N12875" t="s">
        <v>44905</v>
      </c>
      <c r="O12875" t="s">
        <v>44906</v>
      </c>
      <c r="P12875">
        <v>0</v>
      </c>
      <c r="Q12875">
        <v>1</v>
      </c>
      <c r="R12875" t="s">
        <v>44921</v>
      </c>
      <c r="S12875" t="s">
        <v>45564</v>
      </c>
      <c r="T12875" t="s">
        <v>46560</v>
      </c>
      <c r="U12875" t="s">
        <v>57203</v>
      </c>
      <c r="V12875" t="s">
        <v>60481</v>
      </c>
      <c r="W12875" t="s">
        <v>44258</v>
      </c>
      <c r="X12875" t="s">
        <v>44922</v>
      </c>
    </row>
    <row r="12876" spans="1:24">
      <c r="A12876">
        <f>HYPERLINK("https://www.philgeps.gov.ph/GEPSNONPILOT/Tender/SplashBidNoticeAbstractUI.aspx?menuIndex=3&amp;refID=7054408&amp;Result=3","7054408")</f>
        <v>0</v>
      </c>
      <c r="B12876" t="s">
        <v>3297</v>
      </c>
      <c r="C12876" t="s">
        <v>15827</v>
      </c>
      <c r="D12876" t="s">
        <v>18100</v>
      </c>
      <c r="E12876" t="s">
        <v>29333</v>
      </c>
      <c r="F12876" t="s">
        <v>31362</v>
      </c>
      <c r="G12876" t="s">
        <v>31369</v>
      </c>
      <c r="H12876" t="s">
        <v>31379</v>
      </c>
      <c r="I12876" t="s">
        <v>4942</v>
      </c>
      <c r="J12876" t="s">
        <v>39347</v>
      </c>
      <c r="K12876" t="s">
        <v>40876</v>
      </c>
      <c r="M12876" t="s">
        <v>44586</v>
      </c>
      <c r="N12876" t="s">
        <v>44905</v>
      </c>
      <c r="O12876" t="s">
        <v>44906</v>
      </c>
      <c r="P12876">
        <v>0</v>
      </c>
      <c r="Q12876">
        <v>1</v>
      </c>
      <c r="R12876" t="s">
        <v>44921</v>
      </c>
      <c r="S12876" t="s">
        <v>45564</v>
      </c>
      <c r="T12876" t="s">
        <v>46444</v>
      </c>
      <c r="U12876" t="s">
        <v>57204</v>
      </c>
      <c r="W12876" t="s">
        <v>44586</v>
      </c>
      <c r="X12876" t="s">
        <v>44922</v>
      </c>
    </row>
    <row r="12877" spans="1:24">
      <c r="A12877">
        <f>HYPERLINK("https://www.philgeps.gov.ph/GEPSNONPILOT/Tender/SplashBidNoticeAbstractUI.aspx?menuIndex=3&amp;refID=7054631&amp;Result=3","7054631")</f>
        <v>0</v>
      </c>
      <c r="B12877" t="s">
        <v>1529</v>
      </c>
      <c r="C12877" t="s">
        <v>15828</v>
      </c>
      <c r="D12877" t="s">
        <v>18134</v>
      </c>
      <c r="E12877" t="s">
        <v>29334</v>
      </c>
      <c r="F12877" t="s">
        <v>31362</v>
      </c>
      <c r="G12877" t="s">
        <v>31369</v>
      </c>
      <c r="H12877" t="s">
        <v>15799</v>
      </c>
      <c r="I12877" t="s">
        <v>31380</v>
      </c>
      <c r="J12877" t="s">
        <v>39348</v>
      </c>
      <c r="K12877" t="s">
        <v>40665</v>
      </c>
      <c r="M12877" t="s">
        <v>42574</v>
      </c>
      <c r="N12877" t="s">
        <v>44905</v>
      </c>
      <c r="O12877" t="s">
        <v>44906</v>
      </c>
      <c r="P12877">
        <v>0</v>
      </c>
      <c r="Q12877">
        <v>5</v>
      </c>
      <c r="R12877" t="s">
        <v>44921</v>
      </c>
      <c r="S12877" t="s">
        <v>45564</v>
      </c>
      <c r="T12877" t="s">
        <v>46503</v>
      </c>
      <c r="U12877" t="s">
        <v>52036</v>
      </c>
      <c r="V12877" t="s">
        <v>59162</v>
      </c>
      <c r="W12877" t="s">
        <v>42574</v>
      </c>
      <c r="X12877" t="s">
        <v>44922</v>
      </c>
    </row>
    <row r="12878" spans="1:24">
      <c r="A12878">
        <f>HYPERLINK("https://www.philgeps.gov.ph/GEPSNONPILOT/Tender/SplashBidNoticeAbstractUI.aspx?menuIndex=3&amp;refID=7054555&amp;Result=3","7054555")</f>
        <v>0</v>
      </c>
      <c r="B12878" t="s">
        <v>362</v>
      </c>
      <c r="C12878" t="s">
        <v>15829</v>
      </c>
      <c r="D12878" t="s">
        <v>18103</v>
      </c>
      <c r="E12878" t="s">
        <v>29335</v>
      </c>
      <c r="F12878" t="s">
        <v>31362</v>
      </c>
      <c r="G12878" t="s">
        <v>31369</v>
      </c>
      <c r="H12878" t="s">
        <v>15799</v>
      </c>
      <c r="I12878" t="s">
        <v>7090</v>
      </c>
      <c r="J12878" t="s">
        <v>39349</v>
      </c>
      <c r="K12878" t="s">
        <v>40665</v>
      </c>
      <c r="M12878" t="s">
        <v>43080</v>
      </c>
      <c r="N12878" t="s">
        <v>44905</v>
      </c>
      <c r="O12878" t="s">
        <v>44906</v>
      </c>
      <c r="P12878">
        <v>0</v>
      </c>
      <c r="Q12878">
        <v>11</v>
      </c>
      <c r="R12878" t="s">
        <v>44921</v>
      </c>
      <c r="S12878" t="s">
        <v>45564</v>
      </c>
      <c r="T12878" t="s">
        <v>46533</v>
      </c>
      <c r="U12878" t="s">
        <v>47543</v>
      </c>
      <c r="V12878" t="s">
        <v>60391</v>
      </c>
      <c r="W12878" t="s">
        <v>60886</v>
      </c>
      <c r="X12878" t="s">
        <v>44922</v>
      </c>
    </row>
    <row r="12879" spans="1:24">
      <c r="A12879">
        <f>HYPERLINK("https://www.philgeps.gov.ph/GEPSNONPILOT/Tender/SplashBidNoticeAbstractUI.aspx?menuIndex=3&amp;refID=7054368&amp;Result=3","7054368")</f>
        <v>0</v>
      </c>
      <c r="B12879" t="s">
        <v>247</v>
      </c>
      <c r="C12879" t="s">
        <v>15830</v>
      </c>
      <c r="D12879" t="s">
        <v>18117</v>
      </c>
      <c r="E12879" t="s">
        <v>29336</v>
      </c>
      <c r="F12879" t="s">
        <v>31362</v>
      </c>
      <c r="G12879" t="s">
        <v>31369</v>
      </c>
      <c r="H12879" t="s">
        <v>15799</v>
      </c>
      <c r="I12879" t="s">
        <v>31430</v>
      </c>
      <c r="J12879" t="s">
        <v>39350</v>
      </c>
      <c r="K12879" t="s">
        <v>40665</v>
      </c>
      <c r="M12879" t="s">
        <v>44587</v>
      </c>
      <c r="N12879" t="s">
        <v>44905</v>
      </c>
      <c r="O12879" t="s">
        <v>44906</v>
      </c>
      <c r="P12879">
        <v>0</v>
      </c>
      <c r="Q12879">
        <v>0</v>
      </c>
      <c r="R12879" t="s">
        <v>44921</v>
      </c>
      <c r="S12879" t="s">
        <v>45564</v>
      </c>
      <c r="T12879" t="s">
        <v>46397</v>
      </c>
      <c r="U12879" t="s">
        <v>57205</v>
      </c>
      <c r="W12879" t="s">
        <v>44587</v>
      </c>
      <c r="X12879" t="s">
        <v>44922</v>
      </c>
    </row>
    <row r="12880" spans="1:24">
      <c r="A12880">
        <f>HYPERLINK("https://www.philgeps.gov.ph/GEPSNONPILOT/Tender/SplashBidNoticeAbstractUI.aspx?menuIndex=3&amp;refID=7054541&amp;Result=3","7054541")</f>
        <v>0</v>
      </c>
      <c r="B12880" t="s">
        <v>2838</v>
      </c>
      <c r="C12880" t="s">
        <v>15831</v>
      </c>
      <c r="D12880" t="s">
        <v>18100</v>
      </c>
      <c r="E12880" t="s">
        <v>29337</v>
      </c>
      <c r="F12880" t="s">
        <v>31362</v>
      </c>
      <c r="G12880" t="s">
        <v>31369</v>
      </c>
      <c r="H12880" t="s">
        <v>31378</v>
      </c>
      <c r="I12880" t="s">
        <v>31386</v>
      </c>
      <c r="J12880" t="s">
        <v>31693</v>
      </c>
      <c r="K12880" t="s">
        <v>40684</v>
      </c>
      <c r="M12880" t="s">
        <v>44039</v>
      </c>
      <c r="N12880" t="s">
        <v>44905</v>
      </c>
      <c r="O12880" t="s">
        <v>44906</v>
      </c>
      <c r="P12880">
        <v>0</v>
      </c>
      <c r="Q12880">
        <v>4</v>
      </c>
      <c r="R12880" t="s">
        <v>44921</v>
      </c>
      <c r="S12880" t="s">
        <v>45564</v>
      </c>
      <c r="T12880" t="s">
        <v>46454</v>
      </c>
      <c r="U12880" t="s">
        <v>57206</v>
      </c>
      <c r="V12880" t="s">
        <v>60134</v>
      </c>
      <c r="W12880" t="s">
        <v>44039</v>
      </c>
      <c r="X12880" t="s">
        <v>44922</v>
      </c>
    </row>
    <row r="12881" spans="1:24">
      <c r="A12881">
        <f>HYPERLINK("https://www.philgeps.gov.ph/GEPSNONPILOT/Tender/SplashBidNoticeAbstractUI.aspx?menuIndex=3&amp;refID=7054526&amp;Result=3","7054526")</f>
        <v>0</v>
      </c>
      <c r="B12881" t="s">
        <v>770</v>
      </c>
      <c r="C12881" t="s">
        <v>15832</v>
      </c>
      <c r="D12881" t="s">
        <v>18104</v>
      </c>
      <c r="E12881" t="s">
        <v>29338</v>
      </c>
      <c r="F12881" t="s">
        <v>31362</v>
      </c>
      <c r="G12881" t="s">
        <v>31369</v>
      </c>
      <c r="H12881" t="s">
        <v>15799</v>
      </c>
      <c r="I12881" t="s">
        <v>3815</v>
      </c>
      <c r="J12881" t="s">
        <v>39351</v>
      </c>
      <c r="K12881" t="s">
        <v>40665</v>
      </c>
      <c r="M12881" t="s">
        <v>41738</v>
      </c>
      <c r="N12881" t="s">
        <v>44905</v>
      </c>
      <c r="O12881" t="s">
        <v>44906</v>
      </c>
      <c r="P12881">
        <v>0</v>
      </c>
      <c r="Q12881">
        <v>0</v>
      </c>
      <c r="R12881" t="s">
        <v>44921</v>
      </c>
      <c r="S12881" t="s">
        <v>45564</v>
      </c>
      <c r="T12881" t="s">
        <v>46593</v>
      </c>
      <c r="U12881" t="s">
        <v>54548</v>
      </c>
      <c r="W12881" t="s">
        <v>41738</v>
      </c>
      <c r="X12881" t="s">
        <v>44922</v>
      </c>
    </row>
    <row r="12882" spans="1:24">
      <c r="A12882">
        <f>HYPERLINK("https://www.philgeps.gov.ph/GEPSNONPILOT/Tender/SplashBidNoticeAbstractUI.aspx?menuIndex=3&amp;refID=7054536&amp;Result=3","7054536")</f>
        <v>0</v>
      </c>
      <c r="B12882" t="s">
        <v>2840</v>
      </c>
      <c r="C12882" t="s">
        <v>15833</v>
      </c>
      <c r="D12882" t="s">
        <v>18120</v>
      </c>
      <c r="E12882" t="s">
        <v>29339</v>
      </c>
      <c r="F12882" t="s">
        <v>31362</v>
      </c>
      <c r="G12882" t="s">
        <v>31369</v>
      </c>
      <c r="H12882" t="s">
        <v>31377</v>
      </c>
      <c r="I12882" t="s">
        <v>31496</v>
      </c>
      <c r="J12882" t="s">
        <v>32278</v>
      </c>
      <c r="K12882" t="s">
        <v>40662</v>
      </c>
      <c r="M12882" t="s">
        <v>44041</v>
      </c>
      <c r="N12882" t="s">
        <v>44905</v>
      </c>
      <c r="O12882" t="s">
        <v>44906</v>
      </c>
      <c r="P12882">
        <v>0</v>
      </c>
      <c r="Q12882">
        <v>2</v>
      </c>
      <c r="R12882" t="s">
        <v>44921</v>
      </c>
      <c r="S12882" t="s">
        <v>45564</v>
      </c>
      <c r="T12882" t="s">
        <v>46481</v>
      </c>
      <c r="U12882" t="s">
        <v>57207</v>
      </c>
      <c r="V12882" t="s">
        <v>60135</v>
      </c>
      <c r="W12882" t="s">
        <v>60943</v>
      </c>
      <c r="X12882" t="s">
        <v>44922</v>
      </c>
    </row>
    <row r="12883" spans="1:24">
      <c r="A12883">
        <f>HYPERLINK("https://www.philgeps.gov.ph/GEPSNONPILOT/Tender/SplashBidNoticeAbstractUI.aspx?menuIndex=3&amp;refID=7054535&amp;Result=3","7054535")</f>
        <v>0</v>
      </c>
      <c r="B12883" t="s">
        <v>3135</v>
      </c>
      <c r="C12883" t="s">
        <v>15834</v>
      </c>
      <c r="D12883" t="s">
        <v>18104</v>
      </c>
      <c r="E12883" t="s">
        <v>29340</v>
      </c>
      <c r="F12883" t="s">
        <v>31362</v>
      </c>
      <c r="G12883" t="s">
        <v>31369</v>
      </c>
      <c r="H12883" t="s">
        <v>31378</v>
      </c>
      <c r="I12883" t="s">
        <v>31386</v>
      </c>
      <c r="J12883" t="s">
        <v>31606</v>
      </c>
      <c r="K12883" t="s">
        <v>40679</v>
      </c>
      <c r="L12883" t="s">
        <v>3135</v>
      </c>
      <c r="M12883" t="s">
        <v>44394</v>
      </c>
      <c r="N12883" t="s">
        <v>44905</v>
      </c>
      <c r="O12883" t="s">
        <v>44906</v>
      </c>
      <c r="P12883">
        <v>0</v>
      </c>
      <c r="Q12883">
        <v>2</v>
      </c>
      <c r="R12883" t="s">
        <v>44921</v>
      </c>
      <c r="S12883" t="s">
        <v>45564</v>
      </c>
      <c r="T12883" t="s">
        <v>46425</v>
      </c>
      <c r="U12883" t="s">
        <v>57208</v>
      </c>
      <c r="W12883" t="s">
        <v>44394</v>
      </c>
      <c r="X12883" t="s">
        <v>44922</v>
      </c>
    </row>
    <row r="12884" spans="1:24">
      <c r="A12884">
        <f>HYPERLINK("https://www.philgeps.gov.ph/GEPSNONPILOT/Tender/SplashBidNoticeAbstractUI.aspx?menuIndex=3&amp;refID=7054335&amp;Result=3","7054335")</f>
        <v>0</v>
      </c>
      <c r="B12884" t="s">
        <v>3296</v>
      </c>
      <c r="C12884" t="s">
        <v>15835</v>
      </c>
      <c r="D12884" t="s">
        <v>18157</v>
      </c>
      <c r="E12884" t="s">
        <v>29341</v>
      </c>
      <c r="F12884" t="s">
        <v>31362</v>
      </c>
      <c r="G12884" t="s">
        <v>31369</v>
      </c>
      <c r="H12884" t="s">
        <v>15799</v>
      </c>
      <c r="I12884" t="s">
        <v>3815</v>
      </c>
      <c r="J12884" t="s">
        <v>39352</v>
      </c>
      <c r="K12884" t="s">
        <v>40670</v>
      </c>
      <c r="M12884" t="s">
        <v>44585</v>
      </c>
      <c r="N12884" t="s">
        <v>44905</v>
      </c>
      <c r="O12884" t="s">
        <v>44906</v>
      </c>
      <c r="P12884">
        <v>0</v>
      </c>
      <c r="Q12884">
        <v>2</v>
      </c>
      <c r="R12884" t="s">
        <v>44921</v>
      </c>
      <c r="S12884" t="s">
        <v>45564</v>
      </c>
      <c r="T12884" t="s">
        <v>46470</v>
      </c>
      <c r="U12884" t="s">
        <v>57209</v>
      </c>
      <c r="W12884" t="s">
        <v>44585</v>
      </c>
      <c r="X12884" t="s">
        <v>44922</v>
      </c>
    </row>
    <row r="12885" spans="1:24">
      <c r="A12885">
        <f>HYPERLINK("https://www.philgeps.gov.ph/GEPSNONPILOT/Tender/SplashBidNoticeAbstractUI.aspx?menuIndex=3&amp;refID=7054520&amp;Result=3","7054520")</f>
        <v>0</v>
      </c>
      <c r="B12885" t="s">
        <v>3298</v>
      </c>
      <c r="C12885" t="s">
        <v>15836</v>
      </c>
      <c r="D12885" t="s">
        <v>18164</v>
      </c>
      <c r="E12885" t="s">
        <v>29342</v>
      </c>
      <c r="F12885" t="s">
        <v>31362</v>
      </c>
      <c r="G12885" t="s">
        <v>31369</v>
      </c>
      <c r="H12885" t="s">
        <v>15799</v>
      </c>
      <c r="I12885" t="s">
        <v>31409</v>
      </c>
      <c r="J12885" t="s">
        <v>39353</v>
      </c>
      <c r="K12885" t="s">
        <v>40661</v>
      </c>
      <c r="M12885" t="s">
        <v>44588</v>
      </c>
      <c r="N12885" t="s">
        <v>44905</v>
      </c>
      <c r="O12885" t="s">
        <v>44906</v>
      </c>
      <c r="Q12885">
        <v>1</v>
      </c>
      <c r="R12885" t="s">
        <v>44921</v>
      </c>
      <c r="S12885" t="s">
        <v>45601</v>
      </c>
      <c r="T12885" t="s">
        <v>46809</v>
      </c>
      <c r="U12885" t="s">
        <v>57210</v>
      </c>
      <c r="V12885" t="s">
        <v>60482</v>
      </c>
      <c r="W12885" t="s">
        <v>44588</v>
      </c>
      <c r="X12885" t="s">
        <v>44922</v>
      </c>
    </row>
    <row r="12886" spans="1:24">
      <c r="A12886">
        <f>HYPERLINK("https://www.philgeps.gov.ph/GEPSNONPILOT/Tender/SplashBidNoticeAbstractUI.aspx?menuIndex=3&amp;refID=7054330&amp;Result=3","7054330")</f>
        <v>0</v>
      </c>
      <c r="B12886" t="s">
        <v>3135</v>
      </c>
      <c r="C12886" t="s">
        <v>15837</v>
      </c>
      <c r="D12886" t="s">
        <v>18104</v>
      </c>
      <c r="E12886" t="s">
        <v>29343</v>
      </c>
      <c r="F12886" t="s">
        <v>31362</v>
      </c>
      <c r="G12886" t="s">
        <v>31369</v>
      </c>
      <c r="H12886" t="s">
        <v>31378</v>
      </c>
      <c r="I12886" t="s">
        <v>3815</v>
      </c>
      <c r="J12886" t="s">
        <v>31637</v>
      </c>
      <c r="K12886" t="s">
        <v>40679</v>
      </c>
      <c r="L12886" t="s">
        <v>3135</v>
      </c>
      <c r="M12886" t="s">
        <v>44394</v>
      </c>
      <c r="N12886" t="s">
        <v>44905</v>
      </c>
      <c r="O12886" t="s">
        <v>44906</v>
      </c>
      <c r="P12886">
        <v>0</v>
      </c>
      <c r="Q12886">
        <v>1</v>
      </c>
      <c r="R12886" t="s">
        <v>44921</v>
      </c>
      <c r="S12886" t="s">
        <v>45564</v>
      </c>
      <c r="T12886" t="s">
        <v>46425</v>
      </c>
      <c r="U12886" t="s">
        <v>57211</v>
      </c>
      <c r="W12886" t="s">
        <v>44394</v>
      </c>
      <c r="X12886" t="s">
        <v>44922</v>
      </c>
    </row>
    <row r="12887" spans="1:24">
      <c r="A12887">
        <f>HYPERLINK("https://www.philgeps.gov.ph/GEPSNONPILOT/Tender/SplashBidNoticeAbstractUI.aspx?menuIndex=3&amp;refID=7054613&amp;Result=3","7054613")</f>
        <v>0</v>
      </c>
      <c r="B12887" t="s">
        <v>3135</v>
      </c>
      <c r="C12887" t="s">
        <v>15838</v>
      </c>
      <c r="D12887" t="s">
        <v>18104</v>
      </c>
      <c r="E12887" t="s">
        <v>29344</v>
      </c>
      <c r="F12887" t="s">
        <v>31362</v>
      </c>
      <c r="G12887" t="s">
        <v>31369</v>
      </c>
      <c r="H12887" t="s">
        <v>31378</v>
      </c>
      <c r="I12887" t="s">
        <v>31386</v>
      </c>
      <c r="J12887" t="s">
        <v>31606</v>
      </c>
      <c r="K12887" t="s">
        <v>40682</v>
      </c>
      <c r="L12887" t="s">
        <v>3135</v>
      </c>
      <c r="M12887" t="s">
        <v>44394</v>
      </c>
      <c r="N12887" t="s">
        <v>44905</v>
      </c>
      <c r="O12887" t="s">
        <v>44906</v>
      </c>
      <c r="P12887">
        <v>0</v>
      </c>
      <c r="Q12887">
        <v>4</v>
      </c>
      <c r="R12887" t="s">
        <v>44921</v>
      </c>
      <c r="S12887" t="s">
        <v>45564</v>
      </c>
      <c r="T12887" t="s">
        <v>46425</v>
      </c>
      <c r="U12887" t="s">
        <v>57212</v>
      </c>
      <c r="W12887" t="s">
        <v>44394</v>
      </c>
      <c r="X12887" t="s">
        <v>44922</v>
      </c>
    </row>
    <row r="12888" spans="1:24">
      <c r="A12888">
        <f>HYPERLINK("https://www.philgeps.gov.ph/GEPSNONPILOT/Tender/SplashBidNoticeAbstractUI.aspx?menuIndex=3&amp;refID=7054483&amp;Result=3","7054483")</f>
        <v>0</v>
      </c>
      <c r="B12888" t="s">
        <v>348</v>
      </c>
      <c r="C12888" t="s">
        <v>15839</v>
      </c>
      <c r="D12888" t="s">
        <v>18122</v>
      </c>
      <c r="E12888" t="s">
        <v>29345</v>
      </c>
      <c r="F12888" t="s">
        <v>31362</v>
      </c>
      <c r="G12888" t="s">
        <v>31369</v>
      </c>
      <c r="H12888" t="s">
        <v>15799</v>
      </c>
      <c r="I12888" t="s">
        <v>31397</v>
      </c>
      <c r="J12888" t="s">
        <v>39354</v>
      </c>
      <c r="K12888" t="s">
        <v>40682</v>
      </c>
      <c r="M12888" t="s">
        <v>43038</v>
      </c>
      <c r="N12888" t="s">
        <v>44905</v>
      </c>
      <c r="O12888" t="s">
        <v>44906</v>
      </c>
      <c r="P12888">
        <v>0</v>
      </c>
      <c r="Q12888">
        <v>1</v>
      </c>
      <c r="R12888" t="s">
        <v>44921</v>
      </c>
      <c r="S12888" t="s">
        <v>45564</v>
      </c>
      <c r="T12888" t="s">
        <v>46538</v>
      </c>
      <c r="U12888" t="s">
        <v>57213</v>
      </c>
      <c r="W12888" t="s">
        <v>43038</v>
      </c>
      <c r="X12888" t="s">
        <v>44922</v>
      </c>
    </row>
    <row r="12889" spans="1:24">
      <c r="A12889">
        <f>HYPERLINK("https://www.philgeps.gov.ph/GEPSNONPILOT/Tender/SplashBidNoticeAbstractUI.aspx?menuIndex=3&amp;refID=7054690&amp;Result=3","7054690")</f>
        <v>0</v>
      </c>
      <c r="B12889" t="s">
        <v>1579</v>
      </c>
      <c r="C12889" t="s">
        <v>15840</v>
      </c>
      <c r="D12889" t="s">
        <v>18117</v>
      </c>
      <c r="E12889" t="s">
        <v>29346</v>
      </c>
      <c r="F12889" t="s">
        <v>31362</v>
      </c>
      <c r="G12889" t="s">
        <v>31368</v>
      </c>
      <c r="H12889" t="s">
        <v>15799</v>
      </c>
      <c r="I12889" t="s">
        <v>6373</v>
      </c>
      <c r="J12889" t="s">
        <v>39355</v>
      </c>
      <c r="K12889" t="s">
        <v>40666</v>
      </c>
      <c r="M12889" t="s">
        <v>42633</v>
      </c>
      <c r="N12889" t="s">
        <v>44905</v>
      </c>
      <c r="O12889" t="s">
        <v>44906</v>
      </c>
      <c r="Q12889">
        <v>3</v>
      </c>
      <c r="R12889" t="s">
        <v>44921</v>
      </c>
      <c r="S12889" t="s">
        <v>45602</v>
      </c>
      <c r="T12889" t="s">
        <v>46394</v>
      </c>
      <c r="U12889" t="s">
        <v>57214</v>
      </c>
      <c r="W12889" t="s">
        <v>42633</v>
      </c>
      <c r="X12889" t="s">
        <v>44922</v>
      </c>
    </row>
    <row r="12890" spans="1:24">
      <c r="A12890">
        <f>HYPERLINK("https://www.philgeps.gov.ph/GEPSNONPILOT/Tender/SplashBidNoticeAbstractUI.aspx?menuIndex=3&amp;refID=7054319&amp;Result=3","7054319")</f>
        <v>0</v>
      </c>
      <c r="B12890" t="s">
        <v>3297</v>
      </c>
      <c r="C12890" t="s">
        <v>15841</v>
      </c>
      <c r="D12890" t="s">
        <v>18100</v>
      </c>
      <c r="E12890" t="s">
        <v>29347</v>
      </c>
      <c r="F12890" t="s">
        <v>31362</v>
      </c>
      <c r="G12890" t="s">
        <v>31369</v>
      </c>
      <c r="H12890" t="s">
        <v>31379</v>
      </c>
      <c r="I12890" t="s">
        <v>4942</v>
      </c>
      <c r="J12890" t="s">
        <v>39356</v>
      </c>
      <c r="K12890" t="s">
        <v>40741</v>
      </c>
      <c r="M12890" t="s">
        <v>44586</v>
      </c>
      <c r="N12890" t="s">
        <v>44905</v>
      </c>
      <c r="O12890" t="s">
        <v>44906</v>
      </c>
      <c r="Q12890">
        <v>0</v>
      </c>
      <c r="R12890" t="s">
        <v>44921</v>
      </c>
      <c r="S12890" t="s">
        <v>45603</v>
      </c>
      <c r="T12890" t="s">
        <v>46483</v>
      </c>
      <c r="U12890" t="s">
        <v>57215</v>
      </c>
      <c r="W12890" t="s">
        <v>44586</v>
      </c>
      <c r="X12890" t="s">
        <v>44922</v>
      </c>
    </row>
    <row r="12891" spans="1:24">
      <c r="A12891">
        <f>HYPERLINK("https://www.philgeps.gov.ph/GEPSNONPILOT/Tender/SplashBidNoticeAbstractUI.aspx?menuIndex=3&amp;refID=7054517&amp;Result=3","7054517")</f>
        <v>0</v>
      </c>
      <c r="B12891" t="s">
        <v>3299</v>
      </c>
      <c r="C12891" t="s">
        <v>15842</v>
      </c>
      <c r="D12891" t="s">
        <v>18116</v>
      </c>
      <c r="E12891" t="s">
        <v>29348</v>
      </c>
      <c r="F12891" t="s">
        <v>31362</v>
      </c>
      <c r="G12891" t="s">
        <v>31371</v>
      </c>
      <c r="H12891" t="s">
        <v>15799</v>
      </c>
      <c r="I12891" t="s">
        <v>31427</v>
      </c>
      <c r="J12891" t="s">
        <v>31531</v>
      </c>
      <c r="K12891" t="s">
        <v>40661</v>
      </c>
      <c r="M12891" t="s">
        <v>44589</v>
      </c>
      <c r="N12891" t="s">
        <v>44905</v>
      </c>
      <c r="O12891" t="s">
        <v>44906</v>
      </c>
      <c r="P12891">
        <v>0</v>
      </c>
      <c r="Q12891">
        <v>15</v>
      </c>
      <c r="R12891" t="s">
        <v>44921</v>
      </c>
      <c r="S12891" t="s">
        <v>45564</v>
      </c>
      <c r="T12891" t="s">
        <v>46434</v>
      </c>
      <c r="U12891" t="s">
        <v>57216</v>
      </c>
      <c r="W12891" t="s">
        <v>44589</v>
      </c>
      <c r="X12891" t="s">
        <v>44922</v>
      </c>
    </row>
    <row r="12892" spans="1:24">
      <c r="A12892">
        <f>HYPERLINK("https://www.philgeps.gov.ph/GEPSNONPILOT/Tender/SplashBidNoticeAbstractUI.aspx?menuIndex=3&amp;refID=7054496&amp;Result=3","7054496")</f>
        <v>0</v>
      </c>
      <c r="B12892" t="s">
        <v>3135</v>
      </c>
      <c r="C12892" t="s">
        <v>15843</v>
      </c>
      <c r="D12892" t="s">
        <v>18104</v>
      </c>
      <c r="E12892" t="s">
        <v>29349</v>
      </c>
      <c r="F12892" t="s">
        <v>31362</v>
      </c>
      <c r="G12892" t="s">
        <v>31369</v>
      </c>
      <c r="H12892" t="s">
        <v>31378</v>
      </c>
      <c r="I12892" t="s">
        <v>31386</v>
      </c>
      <c r="J12892" t="s">
        <v>31625</v>
      </c>
      <c r="K12892" t="s">
        <v>40682</v>
      </c>
      <c r="L12892" t="s">
        <v>3135</v>
      </c>
      <c r="M12892" t="s">
        <v>44394</v>
      </c>
      <c r="N12892" t="s">
        <v>44905</v>
      </c>
      <c r="O12892" t="s">
        <v>44906</v>
      </c>
      <c r="P12892">
        <v>0</v>
      </c>
      <c r="Q12892">
        <v>2</v>
      </c>
      <c r="R12892" t="s">
        <v>44921</v>
      </c>
      <c r="S12892" t="s">
        <v>45564</v>
      </c>
      <c r="T12892" t="s">
        <v>46425</v>
      </c>
      <c r="U12892" t="s">
        <v>57217</v>
      </c>
      <c r="W12892" t="s">
        <v>44394</v>
      </c>
      <c r="X12892" t="s">
        <v>44922</v>
      </c>
    </row>
    <row r="12893" spans="1:24">
      <c r="A12893">
        <f>HYPERLINK("https://www.philgeps.gov.ph/GEPSNONPILOT/Tender/SplashBidNoticeAbstractUI.aspx?menuIndex=3&amp;refID=7054834&amp;Result=3","7054834")</f>
        <v>0</v>
      </c>
      <c r="B12893" t="s">
        <v>2107</v>
      </c>
      <c r="C12893" t="s">
        <v>15844</v>
      </c>
      <c r="D12893" t="s">
        <v>18167</v>
      </c>
      <c r="E12893" t="s">
        <v>29350</v>
      </c>
      <c r="F12893" t="s">
        <v>31362</v>
      </c>
      <c r="G12893" t="s">
        <v>31369</v>
      </c>
      <c r="H12893" t="s">
        <v>15799</v>
      </c>
      <c r="I12893" t="s">
        <v>31461</v>
      </c>
      <c r="J12893" t="s">
        <v>39357</v>
      </c>
      <c r="K12893" t="s">
        <v>40665</v>
      </c>
      <c r="M12893" t="s">
        <v>43233</v>
      </c>
      <c r="N12893" t="s">
        <v>44905</v>
      </c>
      <c r="O12893" t="s">
        <v>44906</v>
      </c>
      <c r="P12893">
        <v>0</v>
      </c>
      <c r="Q12893">
        <v>3</v>
      </c>
      <c r="R12893" t="s">
        <v>44921</v>
      </c>
      <c r="S12893" t="s">
        <v>45564</v>
      </c>
      <c r="T12893" t="s">
        <v>46506</v>
      </c>
      <c r="U12893" t="s">
        <v>57218</v>
      </c>
      <c r="W12893" t="s">
        <v>43233</v>
      </c>
      <c r="X12893" t="s">
        <v>44922</v>
      </c>
    </row>
    <row r="12894" spans="1:24">
      <c r="A12894">
        <f>HYPERLINK("https://www.philgeps.gov.ph/GEPSNONPILOT/Tender/SplashBidNoticeAbstractUI.aspx?menuIndex=3&amp;refID=7054839&amp;Result=3","7054839")</f>
        <v>0</v>
      </c>
      <c r="B12894" t="s">
        <v>2963</v>
      </c>
      <c r="C12894" t="s">
        <v>15845</v>
      </c>
      <c r="D12894" t="s">
        <v>18116</v>
      </c>
      <c r="E12894" t="s">
        <v>29351</v>
      </c>
      <c r="F12894" t="s">
        <v>31362</v>
      </c>
      <c r="G12894" t="s">
        <v>31369</v>
      </c>
      <c r="H12894" t="s">
        <v>31378</v>
      </c>
      <c r="I12894" t="s">
        <v>31386</v>
      </c>
      <c r="J12894" t="s">
        <v>34185</v>
      </c>
      <c r="K12894" t="s">
        <v>40854</v>
      </c>
      <c r="L12894" t="s">
        <v>2963</v>
      </c>
      <c r="M12894" t="s">
        <v>44590</v>
      </c>
      <c r="N12894" t="s">
        <v>44905</v>
      </c>
      <c r="O12894" t="s">
        <v>44906</v>
      </c>
      <c r="P12894">
        <v>0</v>
      </c>
      <c r="Q12894">
        <v>5</v>
      </c>
      <c r="R12894" t="s">
        <v>44921</v>
      </c>
      <c r="S12894" t="s">
        <v>45564</v>
      </c>
      <c r="T12894" t="s">
        <v>46440</v>
      </c>
      <c r="U12894" t="s">
        <v>57219</v>
      </c>
      <c r="W12894" t="s">
        <v>44590</v>
      </c>
      <c r="X12894" t="s">
        <v>44922</v>
      </c>
    </row>
    <row r="12895" spans="1:24">
      <c r="A12895">
        <f>HYPERLINK("https://www.philgeps.gov.ph/GEPSNONPILOT/Tender/SplashBidNoticeAbstractUI.aspx?menuIndex=3&amp;refID=7054828&amp;Result=3","7054828")</f>
        <v>0</v>
      </c>
      <c r="B12895" t="s">
        <v>2963</v>
      </c>
      <c r="C12895" t="s">
        <v>15846</v>
      </c>
      <c r="D12895" t="s">
        <v>18116</v>
      </c>
      <c r="E12895" t="s">
        <v>29352</v>
      </c>
      <c r="F12895" t="s">
        <v>31362</v>
      </c>
      <c r="G12895" t="s">
        <v>31369</v>
      </c>
      <c r="H12895" t="s">
        <v>31378</v>
      </c>
      <c r="I12895" t="s">
        <v>31386</v>
      </c>
      <c r="J12895" t="s">
        <v>35708</v>
      </c>
      <c r="K12895" t="s">
        <v>40683</v>
      </c>
      <c r="L12895" t="s">
        <v>2963</v>
      </c>
      <c r="M12895" t="s">
        <v>44590</v>
      </c>
      <c r="N12895" t="s">
        <v>44905</v>
      </c>
      <c r="O12895" t="s">
        <v>44906</v>
      </c>
      <c r="P12895">
        <v>0</v>
      </c>
      <c r="Q12895">
        <v>4</v>
      </c>
      <c r="R12895" t="s">
        <v>44921</v>
      </c>
      <c r="S12895" t="s">
        <v>45564</v>
      </c>
      <c r="T12895" t="s">
        <v>46440</v>
      </c>
      <c r="U12895" t="s">
        <v>57219</v>
      </c>
      <c r="W12895" t="s">
        <v>44590</v>
      </c>
      <c r="X12895" t="s">
        <v>44922</v>
      </c>
    </row>
    <row r="12896" spans="1:24">
      <c r="A12896">
        <f>HYPERLINK("https://www.philgeps.gov.ph/GEPSNONPILOT/Tender/SplashBidNoticeAbstractUI.aspx?menuIndex=3&amp;refID=7054815&amp;Result=3","7054815")</f>
        <v>0</v>
      </c>
      <c r="B12896" t="s">
        <v>2963</v>
      </c>
      <c r="C12896" t="s">
        <v>15847</v>
      </c>
      <c r="D12896" t="s">
        <v>18116</v>
      </c>
      <c r="E12896" t="s">
        <v>29353</v>
      </c>
      <c r="F12896" t="s">
        <v>31362</v>
      </c>
      <c r="G12896" t="s">
        <v>31369</v>
      </c>
      <c r="H12896" t="s">
        <v>31378</v>
      </c>
      <c r="I12896" t="s">
        <v>31386</v>
      </c>
      <c r="J12896" t="s">
        <v>35695</v>
      </c>
      <c r="K12896" t="s">
        <v>40692</v>
      </c>
      <c r="L12896" t="s">
        <v>2963</v>
      </c>
      <c r="M12896" t="s">
        <v>44590</v>
      </c>
      <c r="N12896" t="s">
        <v>44905</v>
      </c>
      <c r="O12896" t="s">
        <v>44906</v>
      </c>
      <c r="P12896">
        <v>0</v>
      </c>
      <c r="Q12896">
        <v>5</v>
      </c>
      <c r="R12896" t="s">
        <v>44921</v>
      </c>
      <c r="S12896" t="s">
        <v>45564</v>
      </c>
      <c r="T12896" t="s">
        <v>46440</v>
      </c>
      <c r="U12896" t="s">
        <v>57219</v>
      </c>
      <c r="W12896" t="s">
        <v>44590</v>
      </c>
      <c r="X12896" t="s">
        <v>44922</v>
      </c>
    </row>
    <row r="12897" spans="1:24">
      <c r="A12897">
        <f>HYPERLINK("https://www.philgeps.gov.ph/GEPSNONPILOT/Tender/SplashBidNoticeAbstractUI.aspx?menuIndex=3&amp;refID=7054804&amp;Result=3","7054804")</f>
        <v>0</v>
      </c>
      <c r="B12897" t="s">
        <v>2963</v>
      </c>
      <c r="C12897" t="s">
        <v>15848</v>
      </c>
      <c r="D12897" t="s">
        <v>18116</v>
      </c>
      <c r="E12897" t="s">
        <v>29354</v>
      </c>
      <c r="F12897" t="s">
        <v>31362</v>
      </c>
      <c r="G12897" t="s">
        <v>31369</v>
      </c>
      <c r="H12897" t="s">
        <v>31378</v>
      </c>
      <c r="I12897" t="s">
        <v>31386</v>
      </c>
      <c r="J12897" t="s">
        <v>34312</v>
      </c>
      <c r="K12897" t="s">
        <v>40692</v>
      </c>
      <c r="L12897" t="s">
        <v>2963</v>
      </c>
      <c r="M12897" t="s">
        <v>44590</v>
      </c>
      <c r="N12897" t="s">
        <v>44905</v>
      </c>
      <c r="O12897" t="s">
        <v>44906</v>
      </c>
      <c r="P12897">
        <v>0</v>
      </c>
      <c r="Q12897">
        <v>7</v>
      </c>
      <c r="R12897" t="s">
        <v>44921</v>
      </c>
      <c r="S12897" t="s">
        <v>45564</v>
      </c>
      <c r="T12897" t="s">
        <v>46440</v>
      </c>
      <c r="U12897" t="s">
        <v>57219</v>
      </c>
      <c r="W12897" t="s">
        <v>44590</v>
      </c>
      <c r="X12897" t="s">
        <v>44922</v>
      </c>
    </row>
    <row r="12898" spans="1:24">
      <c r="A12898">
        <f>HYPERLINK("https://www.philgeps.gov.ph/GEPSNONPILOT/Tender/SplashBidNoticeAbstractUI.aspx?menuIndex=3&amp;refID=7054492&amp;Result=3","7054492")</f>
        <v>0</v>
      </c>
      <c r="B12898" t="s">
        <v>1529</v>
      </c>
      <c r="C12898" t="s">
        <v>15849</v>
      </c>
      <c r="D12898" t="s">
        <v>18134</v>
      </c>
      <c r="E12898" t="s">
        <v>29355</v>
      </c>
      <c r="F12898" t="s">
        <v>31362</v>
      </c>
      <c r="G12898" t="s">
        <v>31369</v>
      </c>
      <c r="H12898" t="s">
        <v>31378</v>
      </c>
      <c r="I12898" t="s">
        <v>31386</v>
      </c>
      <c r="J12898" t="s">
        <v>39358</v>
      </c>
      <c r="K12898" t="s">
        <v>40683</v>
      </c>
      <c r="M12898" t="s">
        <v>42574</v>
      </c>
      <c r="N12898" t="s">
        <v>44905</v>
      </c>
      <c r="O12898" t="s">
        <v>44906</v>
      </c>
      <c r="P12898">
        <v>0</v>
      </c>
      <c r="Q12898">
        <v>2</v>
      </c>
      <c r="R12898" t="s">
        <v>44921</v>
      </c>
      <c r="S12898" t="s">
        <v>45564</v>
      </c>
      <c r="T12898" t="s">
        <v>46503</v>
      </c>
      <c r="U12898" t="s">
        <v>57220</v>
      </c>
      <c r="V12898" t="s">
        <v>59162</v>
      </c>
      <c r="W12898" t="s">
        <v>42574</v>
      </c>
      <c r="X12898" t="s">
        <v>44922</v>
      </c>
    </row>
    <row r="12899" spans="1:24">
      <c r="A12899">
        <f>HYPERLINK("https://www.philgeps.gov.ph/GEPSNONPILOT/Tender/SplashBidNoticeAbstractUI.aspx?menuIndex=3&amp;refID=7054498&amp;Result=3","7054498")</f>
        <v>0</v>
      </c>
      <c r="B12899" t="s">
        <v>3300</v>
      </c>
      <c r="C12899" t="s">
        <v>15850</v>
      </c>
      <c r="D12899" t="s">
        <v>18168</v>
      </c>
      <c r="E12899" t="s">
        <v>29356</v>
      </c>
      <c r="F12899" t="s">
        <v>31362</v>
      </c>
      <c r="G12899" t="s">
        <v>31369</v>
      </c>
      <c r="H12899" t="s">
        <v>31378</v>
      </c>
      <c r="I12899" t="s">
        <v>3582</v>
      </c>
      <c r="J12899" t="s">
        <v>39359</v>
      </c>
      <c r="K12899" t="s">
        <v>40923</v>
      </c>
      <c r="M12899" t="s">
        <v>44591</v>
      </c>
      <c r="N12899" t="s">
        <v>44905</v>
      </c>
      <c r="O12899" t="s">
        <v>44906</v>
      </c>
      <c r="P12899">
        <v>0</v>
      </c>
      <c r="Q12899">
        <v>0</v>
      </c>
      <c r="R12899" t="s">
        <v>44921</v>
      </c>
      <c r="S12899" t="s">
        <v>45564</v>
      </c>
      <c r="T12899" t="s">
        <v>46404</v>
      </c>
      <c r="U12899" t="s">
        <v>57221</v>
      </c>
      <c r="V12899" t="s">
        <v>60483</v>
      </c>
      <c r="W12899" t="s">
        <v>44591</v>
      </c>
      <c r="X12899" t="s">
        <v>44922</v>
      </c>
    </row>
    <row r="12900" spans="1:24">
      <c r="A12900">
        <f>HYPERLINK("https://www.philgeps.gov.ph/GEPSNONPILOT/Tender/SplashBidNoticeAbstractUI.aspx?menuIndex=3&amp;refID=7054763&amp;Result=3","7054763")</f>
        <v>0</v>
      </c>
      <c r="B12900" t="s">
        <v>3301</v>
      </c>
      <c r="C12900" t="s">
        <v>15851</v>
      </c>
      <c r="D12900" t="s">
        <v>18122</v>
      </c>
      <c r="E12900" t="s">
        <v>29357</v>
      </c>
      <c r="F12900" t="s">
        <v>31362</v>
      </c>
      <c r="G12900" t="s">
        <v>31369</v>
      </c>
      <c r="H12900" t="s">
        <v>31378</v>
      </c>
      <c r="I12900" t="s">
        <v>31435</v>
      </c>
      <c r="J12900" t="s">
        <v>31606</v>
      </c>
      <c r="K12900" t="s">
        <v>40683</v>
      </c>
      <c r="M12900" t="s">
        <v>44592</v>
      </c>
      <c r="N12900" t="s">
        <v>44905</v>
      </c>
      <c r="O12900" t="s">
        <v>44906</v>
      </c>
      <c r="P12900">
        <v>0</v>
      </c>
      <c r="Q12900">
        <v>3</v>
      </c>
      <c r="R12900" t="s">
        <v>44921</v>
      </c>
      <c r="S12900" t="s">
        <v>45564</v>
      </c>
      <c r="T12900" t="s">
        <v>46467</v>
      </c>
      <c r="U12900" t="s">
        <v>57222</v>
      </c>
      <c r="V12900" t="s">
        <v>60484</v>
      </c>
      <c r="W12900" t="s">
        <v>44592</v>
      </c>
      <c r="X12900" t="s">
        <v>44922</v>
      </c>
    </row>
    <row r="12901" spans="1:24">
      <c r="A12901">
        <f>HYPERLINK("https://www.philgeps.gov.ph/GEPSNONPILOT/Tender/SplashBidNoticeAbstractUI.aspx?menuIndex=3&amp;refID=7054421&amp;Result=3","7054421")</f>
        <v>0</v>
      </c>
      <c r="B12901" t="s">
        <v>3135</v>
      </c>
      <c r="C12901" t="s">
        <v>15852</v>
      </c>
      <c r="D12901" t="s">
        <v>18104</v>
      </c>
      <c r="E12901" t="s">
        <v>29358</v>
      </c>
      <c r="F12901" t="s">
        <v>31362</v>
      </c>
      <c r="G12901" t="s">
        <v>31369</v>
      </c>
      <c r="H12901" t="s">
        <v>31378</v>
      </c>
      <c r="I12901" t="s">
        <v>31386</v>
      </c>
      <c r="J12901" t="s">
        <v>31693</v>
      </c>
      <c r="K12901" t="s">
        <v>40679</v>
      </c>
      <c r="L12901" t="s">
        <v>3135</v>
      </c>
      <c r="M12901" t="s">
        <v>44394</v>
      </c>
      <c r="N12901" t="s">
        <v>44905</v>
      </c>
      <c r="O12901" t="s">
        <v>44906</v>
      </c>
      <c r="P12901">
        <v>0</v>
      </c>
      <c r="Q12901">
        <v>1</v>
      </c>
      <c r="R12901" t="s">
        <v>44921</v>
      </c>
      <c r="S12901" t="s">
        <v>45564</v>
      </c>
      <c r="T12901" t="s">
        <v>46425</v>
      </c>
      <c r="U12901" t="s">
        <v>57223</v>
      </c>
      <c r="W12901" t="s">
        <v>44394</v>
      </c>
      <c r="X12901" t="s">
        <v>44922</v>
      </c>
    </row>
    <row r="12902" spans="1:24">
      <c r="A12902">
        <f>HYPERLINK("https://www.philgeps.gov.ph/GEPSNONPILOT/Tender/SplashBidNoticeAbstractUI.aspx?menuIndex=3&amp;refID=7054800&amp;Result=3","7054800")</f>
        <v>0</v>
      </c>
      <c r="B12902" t="s">
        <v>1662</v>
      </c>
      <c r="C12902" t="s">
        <v>15853</v>
      </c>
      <c r="D12902" t="s">
        <v>18175</v>
      </c>
      <c r="E12902" t="s">
        <v>29359</v>
      </c>
      <c r="F12902" t="s">
        <v>31362</v>
      </c>
      <c r="G12902" t="s">
        <v>31373</v>
      </c>
      <c r="H12902" t="s">
        <v>31378</v>
      </c>
      <c r="I12902" t="s">
        <v>31386</v>
      </c>
      <c r="J12902" t="s">
        <v>39360</v>
      </c>
      <c r="K12902" t="s">
        <v>40679</v>
      </c>
      <c r="M12902" t="s">
        <v>42727</v>
      </c>
      <c r="N12902" t="s">
        <v>44905</v>
      </c>
      <c r="O12902" t="s">
        <v>44906</v>
      </c>
      <c r="Q12902">
        <v>1</v>
      </c>
      <c r="R12902" t="s">
        <v>44921</v>
      </c>
      <c r="S12902" t="s">
        <v>45604</v>
      </c>
      <c r="T12902" t="s">
        <v>46470</v>
      </c>
      <c r="U12902" t="s">
        <v>57224</v>
      </c>
      <c r="W12902" t="s">
        <v>42727</v>
      </c>
      <c r="X12902" t="s">
        <v>44922</v>
      </c>
    </row>
    <row r="12903" spans="1:24">
      <c r="A12903">
        <f>HYPERLINK("https://www.philgeps.gov.ph/GEPSNONPILOT/Tender/SplashBidNoticeAbstractUI.aspx?menuIndex=3&amp;refID=7054750&amp;Result=3","7054750")</f>
        <v>0</v>
      </c>
      <c r="B12903" t="s">
        <v>2963</v>
      </c>
      <c r="C12903" t="s">
        <v>15854</v>
      </c>
      <c r="D12903" t="s">
        <v>18116</v>
      </c>
      <c r="E12903" t="s">
        <v>29360</v>
      </c>
      <c r="F12903" t="s">
        <v>31362</v>
      </c>
      <c r="G12903" t="s">
        <v>31369</v>
      </c>
      <c r="H12903" t="s">
        <v>31378</v>
      </c>
      <c r="I12903" t="s">
        <v>31386</v>
      </c>
      <c r="J12903" t="s">
        <v>34185</v>
      </c>
      <c r="K12903" t="s">
        <v>40678</v>
      </c>
      <c r="L12903" t="s">
        <v>2963</v>
      </c>
      <c r="M12903" t="s">
        <v>44590</v>
      </c>
      <c r="N12903" t="s">
        <v>44905</v>
      </c>
      <c r="O12903" t="s">
        <v>44906</v>
      </c>
      <c r="P12903">
        <v>0</v>
      </c>
      <c r="Q12903">
        <v>4</v>
      </c>
      <c r="R12903" t="s">
        <v>44921</v>
      </c>
      <c r="S12903" t="s">
        <v>45564</v>
      </c>
      <c r="T12903" t="s">
        <v>46440</v>
      </c>
      <c r="U12903" t="s">
        <v>57219</v>
      </c>
      <c r="W12903" t="s">
        <v>44590</v>
      </c>
      <c r="X12903" t="s">
        <v>44922</v>
      </c>
    </row>
    <row r="12904" spans="1:24">
      <c r="A12904">
        <f>HYPERLINK("https://www.philgeps.gov.ph/GEPSNONPILOT/Tender/SplashBidNoticeAbstractUI.aspx?menuIndex=3&amp;refID=7054748&amp;Result=3","7054748")</f>
        <v>0</v>
      </c>
      <c r="B12904" t="s">
        <v>3302</v>
      </c>
      <c r="C12904" t="s">
        <v>15855</v>
      </c>
      <c r="D12904" t="s">
        <v>18155</v>
      </c>
      <c r="E12904" t="s">
        <v>29361</v>
      </c>
      <c r="F12904" t="s">
        <v>31362</v>
      </c>
      <c r="G12904" t="s">
        <v>31369</v>
      </c>
      <c r="H12904" t="s">
        <v>31378</v>
      </c>
      <c r="I12904" t="s">
        <v>31386</v>
      </c>
      <c r="J12904" t="s">
        <v>31606</v>
      </c>
      <c r="K12904" t="s">
        <v>40662</v>
      </c>
      <c r="M12904" t="s">
        <v>44593</v>
      </c>
      <c r="N12904" t="s">
        <v>44905</v>
      </c>
      <c r="O12904" t="s">
        <v>44906</v>
      </c>
      <c r="P12904">
        <v>0</v>
      </c>
      <c r="Q12904">
        <v>0</v>
      </c>
      <c r="R12904" t="s">
        <v>44921</v>
      </c>
      <c r="S12904" t="s">
        <v>45564</v>
      </c>
      <c r="T12904" t="s">
        <v>46860</v>
      </c>
      <c r="U12904" t="s">
        <v>57225</v>
      </c>
      <c r="V12904" t="s">
        <v>60485</v>
      </c>
      <c r="W12904" t="s">
        <v>60965</v>
      </c>
      <c r="X12904" t="s">
        <v>44922</v>
      </c>
    </row>
    <row r="12905" spans="1:24">
      <c r="A12905">
        <f>HYPERLINK("https://www.philgeps.gov.ph/GEPSNONPILOT/Tender/SplashBidNoticeAbstractUI.aspx?menuIndex=3&amp;refID=7054737&amp;Result=3","7054737")</f>
        <v>0</v>
      </c>
      <c r="B12905" t="s">
        <v>1558</v>
      </c>
      <c r="C12905" t="s">
        <v>15856</v>
      </c>
      <c r="D12905" t="s">
        <v>18173</v>
      </c>
      <c r="E12905" t="s">
        <v>21992</v>
      </c>
      <c r="F12905" t="s">
        <v>31362</v>
      </c>
      <c r="G12905" t="s">
        <v>31369</v>
      </c>
      <c r="H12905" t="s">
        <v>15799</v>
      </c>
      <c r="I12905" t="s">
        <v>31461</v>
      </c>
      <c r="J12905" t="s">
        <v>39361</v>
      </c>
      <c r="K12905" t="s">
        <v>40666</v>
      </c>
      <c r="M12905" t="s">
        <v>42609</v>
      </c>
      <c r="N12905" t="s">
        <v>44905</v>
      </c>
      <c r="O12905" t="s">
        <v>44906</v>
      </c>
      <c r="P12905">
        <v>0</v>
      </c>
      <c r="Q12905">
        <v>2</v>
      </c>
      <c r="R12905" t="s">
        <v>44921</v>
      </c>
      <c r="S12905" t="s">
        <v>45564</v>
      </c>
      <c r="T12905" t="s">
        <v>46426</v>
      </c>
      <c r="U12905" t="s">
        <v>50700</v>
      </c>
      <c r="W12905" t="s">
        <v>42609</v>
      </c>
      <c r="X12905" t="s">
        <v>44922</v>
      </c>
    </row>
    <row r="12906" spans="1:24">
      <c r="A12906">
        <f>HYPERLINK("https://www.philgeps.gov.ph/GEPSNONPILOT/Tender/SplashBidNoticeAbstractUI.aspx?menuIndex=3&amp;refID=7054703&amp;Result=3","7054703")</f>
        <v>0</v>
      </c>
      <c r="B12906" t="s">
        <v>3303</v>
      </c>
      <c r="C12906" t="s">
        <v>15857</v>
      </c>
      <c r="D12906" t="s">
        <v>18123</v>
      </c>
      <c r="E12906" t="s">
        <v>23274</v>
      </c>
      <c r="F12906" t="s">
        <v>31362</v>
      </c>
      <c r="G12906" t="s">
        <v>31369</v>
      </c>
      <c r="H12906" t="s">
        <v>31378</v>
      </c>
      <c r="I12906" t="s">
        <v>31386</v>
      </c>
      <c r="J12906" t="s">
        <v>31981</v>
      </c>
      <c r="K12906" t="s">
        <v>40665</v>
      </c>
      <c r="M12906" t="s">
        <v>44594</v>
      </c>
      <c r="N12906" t="s">
        <v>44905</v>
      </c>
      <c r="O12906" t="s">
        <v>44906</v>
      </c>
      <c r="P12906">
        <v>0</v>
      </c>
      <c r="Q12906">
        <v>0</v>
      </c>
      <c r="R12906" t="s">
        <v>44921</v>
      </c>
      <c r="S12906" t="s">
        <v>45564</v>
      </c>
      <c r="T12906" t="s">
        <v>46416</v>
      </c>
      <c r="U12906" t="s">
        <v>57226</v>
      </c>
      <c r="W12906" t="s">
        <v>44594</v>
      </c>
      <c r="X12906" t="s">
        <v>44922</v>
      </c>
    </row>
    <row r="12907" spans="1:24">
      <c r="A12907">
        <f>HYPERLINK("https://www.philgeps.gov.ph/GEPSNONPILOT/Tender/SplashBidNoticeAbstractUI.aspx?menuIndex=3&amp;refID=7054659&amp;Result=3","7054659")</f>
        <v>0</v>
      </c>
      <c r="B12907" t="s">
        <v>3135</v>
      </c>
      <c r="C12907" t="s">
        <v>15858</v>
      </c>
      <c r="D12907" t="s">
        <v>18104</v>
      </c>
      <c r="E12907" t="s">
        <v>29362</v>
      </c>
      <c r="F12907" t="s">
        <v>31362</v>
      </c>
      <c r="G12907" t="s">
        <v>31369</v>
      </c>
      <c r="H12907" t="s">
        <v>15799</v>
      </c>
      <c r="I12907" t="s">
        <v>3815</v>
      </c>
      <c r="J12907" t="s">
        <v>36779</v>
      </c>
      <c r="K12907" t="s">
        <v>40682</v>
      </c>
      <c r="L12907" t="s">
        <v>3135</v>
      </c>
      <c r="M12907" t="s">
        <v>44394</v>
      </c>
      <c r="N12907" t="s">
        <v>44905</v>
      </c>
      <c r="O12907" t="s">
        <v>44906</v>
      </c>
      <c r="P12907">
        <v>0</v>
      </c>
      <c r="Q12907">
        <v>0</v>
      </c>
      <c r="R12907" t="s">
        <v>44921</v>
      </c>
      <c r="S12907" t="s">
        <v>45564</v>
      </c>
      <c r="T12907" t="s">
        <v>46425</v>
      </c>
      <c r="U12907" t="s">
        <v>57227</v>
      </c>
      <c r="W12907" t="s">
        <v>44394</v>
      </c>
      <c r="X12907" t="s">
        <v>44922</v>
      </c>
    </row>
    <row r="12908" spans="1:24">
      <c r="A12908">
        <f>HYPERLINK("https://www.philgeps.gov.ph/GEPSNONPILOT/Tender/SplashBidNoticeAbstractUI.aspx?menuIndex=3&amp;refID=7054470&amp;Result=3","7054470")</f>
        <v>0</v>
      </c>
      <c r="B12908" t="s">
        <v>700</v>
      </c>
      <c r="C12908" t="s">
        <v>15859</v>
      </c>
      <c r="E12908" t="s">
        <v>29363</v>
      </c>
      <c r="F12908" t="s">
        <v>31362</v>
      </c>
      <c r="G12908" t="s">
        <v>31368</v>
      </c>
      <c r="H12908" t="s">
        <v>15799</v>
      </c>
      <c r="I12908" t="s">
        <v>31418</v>
      </c>
      <c r="J12908" t="s">
        <v>33283</v>
      </c>
      <c r="K12908" t="s">
        <v>40662</v>
      </c>
      <c r="M12908" t="s">
        <v>41665</v>
      </c>
      <c r="N12908" t="s">
        <v>44905</v>
      </c>
      <c r="O12908" t="s">
        <v>44906</v>
      </c>
      <c r="P12908">
        <v>0</v>
      </c>
      <c r="Q12908">
        <v>0</v>
      </c>
      <c r="R12908" t="s">
        <v>44921</v>
      </c>
      <c r="S12908" t="s">
        <v>45564</v>
      </c>
      <c r="T12908" t="s">
        <v>46593</v>
      </c>
      <c r="U12908" t="s">
        <v>57228</v>
      </c>
      <c r="V12908" t="s">
        <v>59513</v>
      </c>
      <c r="W12908" t="s">
        <v>41665</v>
      </c>
      <c r="X12908" t="s">
        <v>44922</v>
      </c>
    </row>
    <row r="12909" spans="1:24">
      <c r="A12909">
        <f>HYPERLINK("https://www.philgeps.gov.ph/GEPSNONPILOT/Tender/SplashBidNoticeAbstractUI.aspx?menuIndex=3&amp;refID=7054773&amp;Result=3","7054773")</f>
        <v>0</v>
      </c>
      <c r="B12909" t="s">
        <v>3304</v>
      </c>
      <c r="C12909" t="s">
        <v>15860</v>
      </c>
      <c r="D12909" t="s">
        <v>18178</v>
      </c>
      <c r="E12909" t="s">
        <v>29364</v>
      </c>
      <c r="F12909" t="s">
        <v>31362</v>
      </c>
      <c r="G12909" t="s">
        <v>31369</v>
      </c>
      <c r="H12909" t="s">
        <v>15799</v>
      </c>
      <c r="I12909" t="s">
        <v>31409</v>
      </c>
      <c r="J12909" t="s">
        <v>31611</v>
      </c>
      <c r="K12909" t="s">
        <v>40662</v>
      </c>
      <c r="M12909" t="s">
        <v>44595</v>
      </c>
      <c r="N12909" t="s">
        <v>44905</v>
      </c>
      <c r="O12909" t="s">
        <v>44906</v>
      </c>
      <c r="P12909">
        <v>0</v>
      </c>
      <c r="Q12909">
        <v>3</v>
      </c>
      <c r="R12909" t="s">
        <v>44921</v>
      </c>
      <c r="S12909" t="s">
        <v>45564</v>
      </c>
      <c r="T12909" t="s">
        <v>46403</v>
      </c>
      <c r="U12909" t="s">
        <v>57229</v>
      </c>
      <c r="W12909" t="s">
        <v>44595</v>
      </c>
      <c r="X12909" t="s">
        <v>44922</v>
      </c>
    </row>
    <row r="12910" spans="1:24">
      <c r="A12910">
        <f>HYPERLINK("https://www.philgeps.gov.ph/GEPSNONPILOT/Tender/SplashBidNoticeAbstractUI.aspx?menuIndex=3&amp;refID=7054465&amp;Result=3","7054465")</f>
        <v>0</v>
      </c>
      <c r="B12910" t="s">
        <v>3305</v>
      </c>
      <c r="C12910" t="s">
        <v>15861</v>
      </c>
      <c r="D12910" t="s">
        <v>18117</v>
      </c>
      <c r="E12910" t="s">
        <v>29365</v>
      </c>
      <c r="F12910" t="s">
        <v>31362</v>
      </c>
      <c r="G12910" t="s">
        <v>31369</v>
      </c>
      <c r="H12910" t="s">
        <v>15799</v>
      </c>
      <c r="I12910" t="s">
        <v>31385</v>
      </c>
      <c r="J12910" t="s">
        <v>39362</v>
      </c>
      <c r="K12910" t="s">
        <v>40665</v>
      </c>
      <c r="M12910" t="s">
        <v>44596</v>
      </c>
      <c r="N12910" t="s">
        <v>44905</v>
      </c>
      <c r="O12910" t="s">
        <v>44906</v>
      </c>
      <c r="P12910">
        <v>0</v>
      </c>
      <c r="Q12910">
        <v>4</v>
      </c>
      <c r="R12910" t="s">
        <v>44921</v>
      </c>
      <c r="S12910" t="s">
        <v>45564</v>
      </c>
      <c r="T12910" t="s">
        <v>46417</v>
      </c>
      <c r="U12910" t="s">
        <v>57230</v>
      </c>
      <c r="W12910" t="s">
        <v>44596</v>
      </c>
      <c r="X12910" t="s">
        <v>44922</v>
      </c>
    </row>
    <row r="12911" spans="1:24">
      <c r="A12911">
        <f>HYPERLINK("https://www.philgeps.gov.ph/GEPSNONPILOT/Tender/SplashBidNoticeAbstractUI.aspx?menuIndex=3&amp;refID=7054732&amp;Result=3","7054732")</f>
        <v>0</v>
      </c>
      <c r="B12911" t="s">
        <v>2313</v>
      </c>
      <c r="C12911" t="s">
        <v>15862</v>
      </c>
      <c r="D12911" t="s">
        <v>18112</v>
      </c>
      <c r="E12911" t="s">
        <v>29257</v>
      </c>
      <c r="F12911" t="s">
        <v>31362</v>
      </c>
      <c r="G12911" t="s">
        <v>31369</v>
      </c>
      <c r="H12911" t="s">
        <v>15799</v>
      </c>
      <c r="I12911" t="s">
        <v>31433</v>
      </c>
      <c r="J12911" t="s">
        <v>39363</v>
      </c>
      <c r="K12911" t="s">
        <v>40670</v>
      </c>
      <c r="M12911" t="s">
        <v>43453</v>
      </c>
      <c r="N12911" t="s">
        <v>44905</v>
      </c>
      <c r="O12911" t="s">
        <v>44906</v>
      </c>
      <c r="P12911">
        <v>0</v>
      </c>
      <c r="Q12911">
        <v>0</v>
      </c>
      <c r="R12911" t="s">
        <v>44921</v>
      </c>
      <c r="S12911" t="s">
        <v>45564</v>
      </c>
      <c r="T12911" t="s">
        <v>46483</v>
      </c>
      <c r="U12911" t="s">
        <v>57231</v>
      </c>
      <c r="W12911" t="s">
        <v>43453</v>
      </c>
      <c r="X12911" t="s">
        <v>44922</v>
      </c>
    </row>
    <row r="12912" spans="1:24">
      <c r="A12912">
        <f>HYPERLINK("https://www.philgeps.gov.ph/GEPSNONPILOT/Tender/SplashBidNoticeAbstractUI.aspx?menuIndex=3&amp;refID=7054823&amp;Result=3","7054823")</f>
        <v>0</v>
      </c>
      <c r="B12912" t="s">
        <v>2124</v>
      </c>
      <c r="C12912" t="s">
        <v>15863</v>
      </c>
      <c r="D12912" t="s">
        <v>18144</v>
      </c>
      <c r="E12912" t="s">
        <v>29366</v>
      </c>
      <c r="F12912" t="s">
        <v>31362</v>
      </c>
      <c r="G12912" t="s">
        <v>31369</v>
      </c>
      <c r="H12912" t="s">
        <v>15799</v>
      </c>
      <c r="I12912" t="s">
        <v>31430</v>
      </c>
      <c r="J12912" t="s">
        <v>39364</v>
      </c>
      <c r="K12912" t="s">
        <v>40682</v>
      </c>
      <c r="M12912" t="s">
        <v>43252</v>
      </c>
      <c r="N12912" t="s">
        <v>44905</v>
      </c>
      <c r="O12912" t="s">
        <v>44906</v>
      </c>
      <c r="P12912">
        <v>0</v>
      </c>
      <c r="Q12912">
        <v>1</v>
      </c>
      <c r="R12912" t="s">
        <v>44921</v>
      </c>
      <c r="S12912" t="s">
        <v>45564</v>
      </c>
      <c r="T12912" t="s">
        <v>46435</v>
      </c>
      <c r="U12912" t="s">
        <v>57232</v>
      </c>
      <c r="V12912" t="s">
        <v>60486</v>
      </c>
      <c r="W12912" t="s">
        <v>43252</v>
      </c>
      <c r="X12912" t="s">
        <v>44922</v>
      </c>
    </row>
    <row r="12913" spans="1:24">
      <c r="A12913">
        <f>HYPERLINK("https://www.philgeps.gov.ph/GEPSNONPILOT/Tender/SplashBidNoticeAbstractUI.aspx?menuIndex=3&amp;refID=7054865&amp;Result=3","7054865")</f>
        <v>0</v>
      </c>
      <c r="B12913" t="s">
        <v>2107</v>
      </c>
      <c r="C12913" t="s">
        <v>15864</v>
      </c>
      <c r="D12913" t="s">
        <v>18167</v>
      </c>
      <c r="E12913" t="s">
        <v>29367</v>
      </c>
      <c r="F12913" t="s">
        <v>31362</v>
      </c>
      <c r="G12913" t="s">
        <v>31369</v>
      </c>
      <c r="H12913" t="s">
        <v>15799</v>
      </c>
      <c r="I12913" t="s">
        <v>7090</v>
      </c>
      <c r="J12913" t="s">
        <v>39365</v>
      </c>
      <c r="K12913" t="s">
        <v>40665</v>
      </c>
      <c r="M12913" t="s">
        <v>43233</v>
      </c>
      <c r="N12913" t="s">
        <v>44905</v>
      </c>
      <c r="O12913" t="s">
        <v>44906</v>
      </c>
      <c r="P12913">
        <v>0</v>
      </c>
      <c r="Q12913">
        <v>0</v>
      </c>
      <c r="R12913" t="s">
        <v>44921</v>
      </c>
      <c r="S12913" t="s">
        <v>45564</v>
      </c>
      <c r="T12913" t="s">
        <v>46506</v>
      </c>
      <c r="U12913" t="s">
        <v>57233</v>
      </c>
      <c r="W12913" t="s">
        <v>43233</v>
      </c>
      <c r="X12913" t="s">
        <v>44922</v>
      </c>
    </row>
    <row r="12914" spans="1:24">
      <c r="A12914">
        <f>HYPERLINK("https://www.philgeps.gov.ph/GEPSNONPILOT/Tender/SplashBidNoticeAbstractUI.aspx?menuIndex=3&amp;refID=7054989&amp;Result=3","7054989")</f>
        <v>0</v>
      </c>
      <c r="B12914" t="s">
        <v>487</v>
      </c>
      <c r="C12914" t="s">
        <v>15865</v>
      </c>
      <c r="E12914" t="s">
        <v>29368</v>
      </c>
      <c r="F12914" t="s">
        <v>31362</v>
      </c>
      <c r="G12914" t="s">
        <v>31369</v>
      </c>
      <c r="H12914" t="s">
        <v>15799</v>
      </c>
      <c r="I12914" t="s">
        <v>31386</v>
      </c>
      <c r="J12914" t="s">
        <v>39366</v>
      </c>
      <c r="K12914" t="s">
        <v>40662</v>
      </c>
      <c r="M12914" t="s">
        <v>41442</v>
      </c>
      <c r="N12914" t="s">
        <v>44905</v>
      </c>
      <c r="O12914" t="s">
        <v>44906</v>
      </c>
      <c r="P12914">
        <v>0</v>
      </c>
      <c r="Q12914">
        <v>0</v>
      </c>
      <c r="R12914" t="s">
        <v>44921</v>
      </c>
      <c r="S12914" t="s">
        <v>45564</v>
      </c>
      <c r="T12914" t="s">
        <v>46483</v>
      </c>
      <c r="U12914" t="s">
        <v>57234</v>
      </c>
      <c r="W12914" t="s">
        <v>41442</v>
      </c>
      <c r="X12914" t="s">
        <v>44922</v>
      </c>
    </row>
    <row r="12915" spans="1:24">
      <c r="A12915">
        <f>HYPERLINK("https://www.philgeps.gov.ph/GEPSNONPILOT/Tender/SplashBidNoticeAbstractUI.aspx?menuIndex=3&amp;refID=7054986&amp;Result=3","7054986")</f>
        <v>0</v>
      </c>
      <c r="B12915" t="s">
        <v>3306</v>
      </c>
      <c r="C12915" t="s">
        <v>15866</v>
      </c>
      <c r="D12915" t="s">
        <v>18134</v>
      </c>
      <c r="E12915" t="s">
        <v>29369</v>
      </c>
      <c r="F12915" t="s">
        <v>31362</v>
      </c>
      <c r="G12915" t="s">
        <v>31369</v>
      </c>
      <c r="H12915" t="s">
        <v>31378</v>
      </c>
      <c r="I12915" t="s">
        <v>31386</v>
      </c>
      <c r="J12915" t="s">
        <v>39367</v>
      </c>
      <c r="K12915" t="s">
        <v>40682</v>
      </c>
      <c r="M12915" t="s">
        <v>44597</v>
      </c>
      <c r="N12915" t="s">
        <v>44905</v>
      </c>
      <c r="O12915" t="s">
        <v>44906</v>
      </c>
      <c r="P12915">
        <v>0</v>
      </c>
      <c r="Q12915">
        <v>2</v>
      </c>
      <c r="R12915" t="s">
        <v>44921</v>
      </c>
      <c r="S12915" t="s">
        <v>45564</v>
      </c>
      <c r="T12915" t="s">
        <v>46425</v>
      </c>
      <c r="U12915" t="s">
        <v>57235</v>
      </c>
      <c r="W12915" t="s">
        <v>44597</v>
      </c>
      <c r="X12915" t="s">
        <v>44922</v>
      </c>
    </row>
    <row r="12916" spans="1:24">
      <c r="A12916">
        <f>HYPERLINK("https://www.philgeps.gov.ph/GEPSNONPILOT/Tender/SplashBidNoticeAbstractUI.aspx?menuIndex=3&amp;refID=7054637&amp;Result=3","7054637")</f>
        <v>0</v>
      </c>
      <c r="B12916" t="s">
        <v>3140</v>
      </c>
      <c r="C12916" t="s">
        <v>15867</v>
      </c>
      <c r="D12916" t="s">
        <v>18168</v>
      </c>
      <c r="E12916" t="s">
        <v>29370</v>
      </c>
      <c r="F12916" t="s">
        <v>31362</v>
      </c>
      <c r="G12916" t="s">
        <v>31369</v>
      </c>
      <c r="H12916" t="s">
        <v>31379</v>
      </c>
      <c r="I12916" t="s">
        <v>3815</v>
      </c>
      <c r="J12916" t="s">
        <v>39368</v>
      </c>
      <c r="K12916" t="s">
        <v>40665</v>
      </c>
      <c r="M12916" t="s">
        <v>44402</v>
      </c>
      <c r="N12916" t="s">
        <v>44905</v>
      </c>
      <c r="O12916" t="s">
        <v>44906</v>
      </c>
      <c r="Q12916">
        <v>1</v>
      </c>
      <c r="R12916" t="s">
        <v>44921</v>
      </c>
      <c r="S12916" t="s">
        <v>45605</v>
      </c>
      <c r="T12916" t="s">
        <v>46396</v>
      </c>
      <c r="U12916" t="s">
        <v>57236</v>
      </c>
      <c r="W12916" t="s">
        <v>44402</v>
      </c>
      <c r="X12916" t="s">
        <v>44922</v>
      </c>
    </row>
    <row r="12917" spans="1:24">
      <c r="A12917">
        <f>HYPERLINK("https://www.philgeps.gov.ph/GEPSNONPILOT/Tender/SplashBidNoticeAbstractUI.aspx?menuIndex=3&amp;refID=7054983&amp;Result=3","7054983")</f>
        <v>0</v>
      </c>
      <c r="B12917" t="s">
        <v>150</v>
      </c>
      <c r="C12917" t="s">
        <v>15868</v>
      </c>
      <c r="D12917" t="s">
        <v>18101</v>
      </c>
      <c r="E12917" t="s">
        <v>29371</v>
      </c>
      <c r="F12917" t="s">
        <v>31363</v>
      </c>
      <c r="G12917" t="s">
        <v>31369</v>
      </c>
      <c r="H12917" t="s">
        <v>31379</v>
      </c>
      <c r="I12917" t="s">
        <v>31436</v>
      </c>
      <c r="J12917" t="s">
        <v>39369</v>
      </c>
      <c r="K12917" t="s">
        <v>40769</v>
      </c>
      <c r="M12917" t="s">
        <v>41088</v>
      </c>
      <c r="N12917" t="s">
        <v>44905</v>
      </c>
      <c r="O12917" t="s">
        <v>44906</v>
      </c>
      <c r="Q12917">
        <v>1</v>
      </c>
      <c r="R12917" t="s">
        <v>44921</v>
      </c>
      <c r="S12917" t="s">
        <v>45606</v>
      </c>
      <c r="T12917" t="s">
        <v>46446</v>
      </c>
      <c r="U12917" t="s">
        <v>57237</v>
      </c>
      <c r="V12917" t="s">
        <v>60487</v>
      </c>
      <c r="W12917" t="s">
        <v>41088</v>
      </c>
      <c r="X12917" t="s">
        <v>44922</v>
      </c>
    </row>
    <row r="12918" spans="1:24">
      <c r="A12918">
        <f>HYPERLINK("https://www.philgeps.gov.ph/GEPSNONPILOT/Tender/SplashBidNoticeAbstractUI.aspx?menuIndex=3&amp;refID=7054977&amp;Result=3","7054977")</f>
        <v>0</v>
      </c>
      <c r="B12918" t="s">
        <v>1473</v>
      </c>
      <c r="C12918" t="s">
        <v>15869</v>
      </c>
      <c r="D12918" t="s">
        <v>18106</v>
      </c>
      <c r="E12918" t="s">
        <v>29372</v>
      </c>
      <c r="F12918" t="s">
        <v>31362</v>
      </c>
      <c r="G12918" t="s">
        <v>31369</v>
      </c>
      <c r="H12918" t="s">
        <v>31378</v>
      </c>
      <c r="I12918" t="s">
        <v>31386</v>
      </c>
      <c r="J12918" t="s">
        <v>37357</v>
      </c>
      <c r="K12918" t="s">
        <v>40924</v>
      </c>
      <c r="M12918" t="s">
        <v>42507</v>
      </c>
      <c r="N12918" t="s">
        <v>44905</v>
      </c>
      <c r="O12918" t="s">
        <v>44906</v>
      </c>
      <c r="P12918">
        <v>0</v>
      </c>
      <c r="Q12918">
        <v>10</v>
      </c>
      <c r="R12918" t="s">
        <v>44921</v>
      </c>
      <c r="S12918" t="s">
        <v>45564</v>
      </c>
      <c r="T12918" t="s">
        <v>46470</v>
      </c>
      <c r="U12918" t="s">
        <v>57238</v>
      </c>
      <c r="V12918" t="s">
        <v>60488</v>
      </c>
      <c r="W12918" t="s">
        <v>42507</v>
      </c>
      <c r="X12918" t="s">
        <v>44922</v>
      </c>
    </row>
    <row r="12919" spans="1:24">
      <c r="A12919">
        <f>HYPERLINK("https://www.philgeps.gov.ph/GEPSNONPILOT/Tender/SplashBidNoticeAbstractUI.aspx?menuIndex=3&amp;refID=7054466&amp;Result=3","7054466")</f>
        <v>0</v>
      </c>
      <c r="B12919" t="s">
        <v>3135</v>
      </c>
      <c r="C12919" t="s">
        <v>15870</v>
      </c>
      <c r="D12919" t="s">
        <v>18104</v>
      </c>
      <c r="E12919" t="s">
        <v>29373</v>
      </c>
      <c r="F12919" t="s">
        <v>31362</v>
      </c>
      <c r="G12919" t="s">
        <v>31369</v>
      </c>
      <c r="H12919" t="s">
        <v>31378</v>
      </c>
      <c r="I12919" t="s">
        <v>31386</v>
      </c>
      <c r="J12919" t="s">
        <v>31578</v>
      </c>
      <c r="K12919" t="s">
        <v>40665</v>
      </c>
      <c r="L12919" t="s">
        <v>3135</v>
      </c>
      <c r="M12919" t="s">
        <v>44394</v>
      </c>
      <c r="N12919" t="s">
        <v>44905</v>
      </c>
      <c r="O12919" t="s">
        <v>44906</v>
      </c>
      <c r="P12919">
        <v>0</v>
      </c>
      <c r="Q12919">
        <v>1</v>
      </c>
      <c r="R12919" t="s">
        <v>44921</v>
      </c>
      <c r="S12919" t="s">
        <v>45564</v>
      </c>
      <c r="T12919" t="s">
        <v>46425</v>
      </c>
      <c r="U12919" t="s">
        <v>57239</v>
      </c>
      <c r="W12919" t="s">
        <v>44394</v>
      </c>
      <c r="X12919" t="s">
        <v>44922</v>
      </c>
    </row>
    <row r="12920" spans="1:24">
      <c r="A12920">
        <f>HYPERLINK("https://www.philgeps.gov.ph/GEPSNONPILOT/Tender/SplashBidNoticeAbstractUI.aspx?menuIndex=3&amp;refID=7054739&amp;Result=3","7054739")</f>
        <v>0</v>
      </c>
      <c r="B12920" t="s">
        <v>1529</v>
      </c>
      <c r="C12920" t="s">
        <v>15871</v>
      </c>
      <c r="D12920" t="s">
        <v>18134</v>
      </c>
      <c r="E12920" t="s">
        <v>29374</v>
      </c>
      <c r="F12920" t="s">
        <v>31362</v>
      </c>
      <c r="G12920" t="s">
        <v>31369</v>
      </c>
      <c r="H12920" t="s">
        <v>31378</v>
      </c>
      <c r="I12920" t="s">
        <v>31386</v>
      </c>
      <c r="J12920" t="s">
        <v>31709</v>
      </c>
      <c r="K12920" t="s">
        <v>40682</v>
      </c>
      <c r="M12920" t="s">
        <v>42574</v>
      </c>
      <c r="N12920" t="s">
        <v>44905</v>
      </c>
      <c r="O12920" t="s">
        <v>44906</v>
      </c>
      <c r="P12920">
        <v>0</v>
      </c>
      <c r="Q12920">
        <v>2</v>
      </c>
      <c r="R12920" t="s">
        <v>44921</v>
      </c>
      <c r="S12920" t="s">
        <v>45564</v>
      </c>
      <c r="T12920" t="s">
        <v>46503</v>
      </c>
      <c r="U12920" t="s">
        <v>57240</v>
      </c>
      <c r="V12920" t="s">
        <v>59162</v>
      </c>
      <c r="W12920" t="s">
        <v>42574</v>
      </c>
      <c r="X12920" t="s">
        <v>44922</v>
      </c>
    </row>
    <row r="12921" spans="1:24">
      <c r="A12921">
        <f>HYPERLINK("https://www.philgeps.gov.ph/GEPSNONPILOT/Tender/SplashBidNoticeAbstractUI.aspx?menuIndex=3&amp;refID=7054851&amp;Result=3","7054851")</f>
        <v>0</v>
      </c>
      <c r="B12921" t="s">
        <v>2655</v>
      </c>
      <c r="C12921" t="s">
        <v>15872</v>
      </c>
      <c r="D12921" t="s">
        <v>18163</v>
      </c>
      <c r="E12921" t="s">
        <v>29375</v>
      </c>
      <c r="F12921" t="s">
        <v>31362</v>
      </c>
      <c r="G12921" t="s">
        <v>31369</v>
      </c>
      <c r="H12921" t="s">
        <v>15799</v>
      </c>
      <c r="I12921" t="s">
        <v>31409</v>
      </c>
      <c r="J12921" t="s">
        <v>39370</v>
      </c>
      <c r="K12921" t="s">
        <v>40682</v>
      </c>
      <c r="L12921" t="s">
        <v>2655</v>
      </c>
      <c r="M12921" t="s">
        <v>43839</v>
      </c>
      <c r="N12921" t="s">
        <v>44905</v>
      </c>
      <c r="O12921" t="s">
        <v>44906</v>
      </c>
      <c r="Q12921">
        <v>8</v>
      </c>
      <c r="R12921" t="s">
        <v>44921</v>
      </c>
      <c r="S12921" t="s">
        <v>45607</v>
      </c>
      <c r="T12921" t="s">
        <v>46525</v>
      </c>
      <c r="U12921" t="s">
        <v>57241</v>
      </c>
      <c r="W12921" t="s">
        <v>43839</v>
      </c>
      <c r="X12921" t="s">
        <v>44922</v>
      </c>
    </row>
    <row r="12922" spans="1:24">
      <c r="A12922">
        <f>HYPERLINK("https://www.philgeps.gov.ph/GEPSNONPILOT/Tender/SplashBidNoticeAbstractUI.aspx?menuIndex=3&amp;refID=7054911&amp;Result=3","7054911")</f>
        <v>0</v>
      </c>
      <c r="B12922" t="s">
        <v>1473</v>
      </c>
      <c r="C12922" t="s">
        <v>15873</v>
      </c>
      <c r="D12922" t="s">
        <v>18106</v>
      </c>
      <c r="E12922" t="s">
        <v>29376</v>
      </c>
      <c r="F12922" t="s">
        <v>31362</v>
      </c>
      <c r="G12922" t="s">
        <v>31369</v>
      </c>
      <c r="H12922" t="s">
        <v>31378</v>
      </c>
      <c r="I12922" t="s">
        <v>31386</v>
      </c>
      <c r="J12922" t="s">
        <v>39371</v>
      </c>
      <c r="K12922" t="s">
        <v>40925</v>
      </c>
      <c r="M12922" t="s">
        <v>42507</v>
      </c>
      <c r="N12922" t="s">
        <v>44905</v>
      </c>
      <c r="O12922" t="s">
        <v>44906</v>
      </c>
      <c r="P12922">
        <v>0</v>
      </c>
      <c r="Q12922">
        <v>10</v>
      </c>
      <c r="R12922" t="s">
        <v>44921</v>
      </c>
      <c r="S12922" t="s">
        <v>45564</v>
      </c>
      <c r="T12922" t="s">
        <v>46470</v>
      </c>
      <c r="U12922" t="s">
        <v>57242</v>
      </c>
      <c r="V12922" t="s">
        <v>60489</v>
      </c>
      <c r="W12922" t="s">
        <v>42507</v>
      </c>
      <c r="X12922" t="s">
        <v>44922</v>
      </c>
    </row>
    <row r="12923" spans="1:24">
      <c r="A12923">
        <f>HYPERLINK("https://www.philgeps.gov.ph/GEPSNONPILOT/Tender/SplashBidNoticeAbstractUI.aspx?menuIndex=3&amp;refID=7054908&amp;Result=3","7054908")</f>
        <v>0</v>
      </c>
      <c r="B12923" t="s">
        <v>2107</v>
      </c>
      <c r="C12923" t="s">
        <v>15874</v>
      </c>
      <c r="D12923" t="s">
        <v>18167</v>
      </c>
      <c r="E12923" t="s">
        <v>29377</v>
      </c>
      <c r="F12923" t="s">
        <v>31362</v>
      </c>
      <c r="G12923" t="s">
        <v>31369</v>
      </c>
      <c r="H12923" t="s">
        <v>15799</v>
      </c>
      <c r="I12923" t="s">
        <v>4283</v>
      </c>
      <c r="J12923" t="s">
        <v>33301</v>
      </c>
      <c r="K12923" t="s">
        <v>40665</v>
      </c>
      <c r="M12923" t="s">
        <v>43233</v>
      </c>
      <c r="N12923" t="s">
        <v>44905</v>
      </c>
      <c r="O12923" t="s">
        <v>44906</v>
      </c>
      <c r="P12923">
        <v>0</v>
      </c>
      <c r="Q12923">
        <v>0</v>
      </c>
      <c r="R12923" t="s">
        <v>44921</v>
      </c>
      <c r="S12923" t="s">
        <v>45564</v>
      </c>
      <c r="T12923" t="s">
        <v>46506</v>
      </c>
      <c r="U12923" t="s">
        <v>57243</v>
      </c>
      <c r="W12923" t="s">
        <v>43233</v>
      </c>
      <c r="X12923" t="s">
        <v>44922</v>
      </c>
    </row>
    <row r="12924" spans="1:24">
      <c r="A12924">
        <f>HYPERLINK("https://www.philgeps.gov.ph/GEPSNONPILOT/Tender/SplashBidNoticeAbstractUI.aspx?menuIndex=3&amp;refID=7054898&amp;Result=3","7054898")</f>
        <v>0</v>
      </c>
      <c r="B12924" t="s">
        <v>2963</v>
      </c>
      <c r="C12924" t="s">
        <v>15875</v>
      </c>
      <c r="D12924" t="s">
        <v>18116</v>
      </c>
      <c r="E12924" t="s">
        <v>29378</v>
      </c>
      <c r="F12924" t="s">
        <v>31362</v>
      </c>
      <c r="G12924" t="s">
        <v>31369</v>
      </c>
      <c r="H12924" t="s">
        <v>31378</v>
      </c>
      <c r="I12924" t="s">
        <v>31386</v>
      </c>
      <c r="J12924" t="s">
        <v>36377</v>
      </c>
      <c r="K12924" t="s">
        <v>40926</v>
      </c>
      <c r="L12924" t="s">
        <v>2963</v>
      </c>
      <c r="M12924" t="s">
        <v>44590</v>
      </c>
      <c r="N12924" t="s">
        <v>44905</v>
      </c>
      <c r="O12924" t="s">
        <v>44906</v>
      </c>
      <c r="Q12924">
        <v>1</v>
      </c>
      <c r="R12924" t="s">
        <v>44921</v>
      </c>
      <c r="S12924" t="s">
        <v>45608</v>
      </c>
      <c r="T12924" t="s">
        <v>46440</v>
      </c>
      <c r="U12924" t="s">
        <v>57219</v>
      </c>
      <c r="W12924" t="s">
        <v>44590</v>
      </c>
      <c r="X12924" t="s">
        <v>44922</v>
      </c>
    </row>
    <row r="12925" spans="1:24">
      <c r="A12925">
        <f>HYPERLINK("https://www.philgeps.gov.ph/GEPSNONPILOT/Tender/SplashBidNoticeAbstractUI.aspx?menuIndex=3&amp;refID=7054888&amp;Result=3","7054888")</f>
        <v>0</v>
      </c>
      <c r="B12925" t="s">
        <v>1923</v>
      </c>
      <c r="C12925" t="s">
        <v>15876</v>
      </c>
      <c r="D12925" t="s">
        <v>18113</v>
      </c>
      <c r="E12925" t="s">
        <v>21946</v>
      </c>
      <c r="F12925" t="s">
        <v>31362</v>
      </c>
      <c r="G12925" t="s">
        <v>31369</v>
      </c>
      <c r="H12925" t="s">
        <v>15799</v>
      </c>
      <c r="I12925" t="s">
        <v>31443</v>
      </c>
      <c r="J12925" t="s">
        <v>39372</v>
      </c>
      <c r="K12925" t="s">
        <v>40682</v>
      </c>
      <c r="M12925" t="s">
        <v>43020</v>
      </c>
      <c r="N12925" t="s">
        <v>44905</v>
      </c>
      <c r="O12925" t="s">
        <v>44906</v>
      </c>
      <c r="P12925">
        <v>0</v>
      </c>
      <c r="Q12925">
        <v>8</v>
      </c>
      <c r="R12925" t="s">
        <v>44921</v>
      </c>
      <c r="S12925" t="s">
        <v>45564</v>
      </c>
      <c r="T12925" t="s">
        <v>46569</v>
      </c>
      <c r="U12925" t="s">
        <v>57244</v>
      </c>
      <c r="V12925" t="s">
        <v>59911</v>
      </c>
      <c r="W12925" t="s">
        <v>43020</v>
      </c>
      <c r="X12925" t="s">
        <v>44922</v>
      </c>
    </row>
    <row r="12926" spans="1:24">
      <c r="A12926">
        <f>HYPERLINK("https://www.philgeps.gov.ph/GEPSNONPILOT/Tender/SplashBidNoticeAbstractUI.aspx?menuIndex=3&amp;refID=7054925&amp;Result=3","7054925")</f>
        <v>0</v>
      </c>
      <c r="B12926" t="s">
        <v>362</v>
      </c>
      <c r="C12926" t="s">
        <v>15877</v>
      </c>
      <c r="D12926" t="s">
        <v>18103</v>
      </c>
      <c r="E12926" t="s">
        <v>29379</v>
      </c>
      <c r="F12926" t="s">
        <v>31362</v>
      </c>
      <c r="G12926" t="s">
        <v>31369</v>
      </c>
      <c r="H12926" t="s">
        <v>15799</v>
      </c>
      <c r="I12926" t="s">
        <v>31406</v>
      </c>
      <c r="J12926" t="s">
        <v>34763</v>
      </c>
      <c r="K12926" t="s">
        <v>40665</v>
      </c>
      <c r="M12926" t="s">
        <v>43080</v>
      </c>
      <c r="N12926" t="s">
        <v>44905</v>
      </c>
      <c r="O12926" t="s">
        <v>44906</v>
      </c>
      <c r="Q12926">
        <v>11</v>
      </c>
      <c r="R12926" t="s">
        <v>44921</v>
      </c>
      <c r="S12926" t="s">
        <v>45356</v>
      </c>
      <c r="T12926" t="s">
        <v>46533</v>
      </c>
      <c r="U12926" t="s">
        <v>47543</v>
      </c>
      <c r="V12926" t="s">
        <v>60391</v>
      </c>
      <c r="W12926" t="s">
        <v>60886</v>
      </c>
      <c r="X12926" t="s">
        <v>44922</v>
      </c>
    </row>
    <row r="12927" spans="1:24">
      <c r="A12927">
        <f>HYPERLINK("https://www.philgeps.gov.ph/GEPSNONPILOT/Tender/SplashBidNoticeAbstractUI.aspx?menuIndex=3&amp;refID=7054910&amp;Result=3","7054910")</f>
        <v>0</v>
      </c>
      <c r="B12927" t="s">
        <v>3135</v>
      </c>
      <c r="C12927" t="s">
        <v>15878</v>
      </c>
      <c r="D12927" t="s">
        <v>18104</v>
      </c>
      <c r="E12927" t="s">
        <v>29380</v>
      </c>
      <c r="F12927" t="s">
        <v>31362</v>
      </c>
      <c r="G12927" t="s">
        <v>31369</v>
      </c>
      <c r="H12927" t="s">
        <v>15799</v>
      </c>
      <c r="I12927" t="s">
        <v>31380</v>
      </c>
      <c r="J12927" t="s">
        <v>31734</v>
      </c>
      <c r="K12927" t="s">
        <v>40665</v>
      </c>
      <c r="L12927" t="s">
        <v>3135</v>
      </c>
      <c r="M12927" t="s">
        <v>44394</v>
      </c>
      <c r="N12927" t="s">
        <v>44905</v>
      </c>
      <c r="O12927" t="s">
        <v>44906</v>
      </c>
      <c r="P12927">
        <v>0</v>
      </c>
      <c r="Q12927">
        <v>2</v>
      </c>
      <c r="R12927" t="s">
        <v>44921</v>
      </c>
      <c r="S12927" t="s">
        <v>45564</v>
      </c>
      <c r="T12927" t="s">
        <v>46400</v>
      </c>
      <c r="U12927" t="s">
        <v>57245</v>
      </c>
      <c r="W12927" t="s">
        <v>44394</v>
      </c>
      <c r="X12927" t="s">
        <v>44922</v>
      </c>
    </row>
    <row r="12928" spans="1:24">
      <c r="A12928">
        <f>HYPERLINK("https://www.philgeps.gov.ph/GEPSNONPILOT/Tender/SplashBidNoticeAbstractUI.aspx?menuIndex=3&amp;refID=7054893&amp;Result=3","7054893")</f>
        <v>0</v>
      </c>
      <c r="B12928" t="s">
        <v>362</v>
      </c>
      <c r="C12928" t="s">
        <v>15879</v>
      </c>
      <c r="D12928" t="s">
        <v>18103</v>
      </c>
      <c r="E12928" t="s">
        <v>29381</v>
      </c>
      <c r="F12928" t="s">
        <v>31362</v>
      </c>
      <c r="G12928" t="s">
        <v>31369</v>
      </c>
      <c r="H12928" t="s">
        <v>31378</v>
      </c>
      <c r="I12928" t="s">
        <v>31386</v>
      </c>
      <c r="J12928" t="s">
        <v>31637</v>
      </c>
      <c r="K12928" t="s">
        <v>40679</v>
      </c>
      <c r="M12928" t="s">
        <v>43062</v>
      </c>
      <c r="N12928" t="s">
        <v>44905</v>
      </c>
      <c r="O12928" t="s">
        <v>44906</v>
      </c>
      <c r="P12928">
        <v>0</v>
      </c>
      <c r="Q12928">
        <v>22</v>
      </c>
      <c r="R12928" t="s">
        <v>44921</v>
      </c>
      <c r="S12928" t="s">
        <v>45564</v>
      </c>
      <c r="T12928" t="s">
        <v>46533</v>
      </c>
      <c r="U12928" t="s">
        <v>47543</v>
      </c>
      <c r="V12928" t="s">
        <v>60391</v>
      </c>
      <c r="W12928" t="s">
        <v>60849</v>
      </c>
      <c r="X12928" t="s">
        <v>44922</v>
      </c>
    </row>
    <row r="12929" spans="1:24">
      <c r="A12929">
        <f>HYPERLINK("https://www.philgeps.gov.ph/GEPSNONPILOT/Tender/SplashBidNoticeAbstractUI.aspx?menuIndex=3&amp;refID=7054870&amp;Result=3","7054870")</f>
        <v>0</v>
      </c>
      <c r="B12929" t="s">
        <v>3135</v>
      </c>
      <c r="C12929" t="s">
        <v>15880</v>
      </c>
      <c r="D12929" t="s">
        <v>18104</v>
      </c>
      <c r="E12929" t="s">
        <v>29382</v>
      </c>
      <c r="F12929" t="s">
        <v>31362</v>
      </c>
      <c r="G12929" t="s">
        <v>31369</v>
      </c>
      <c r="H12929" t="s">
        <v>15799</v>
      </c>
      <c r="I12929" t="s">
        <v>31400</v>
      </c>
      <c r="J12929" t="s">
        <v>39373</v>
      </c>
      <c r="K12929" t="s">
        <v>40665</v>
      </c>
      <c r="L12929" t="s">
        <v>3135</v>
      </c>
      <c r="M12929" t="s">
        <v>44394</v>
      </c>
      <c r="N12929" t="s">
        <v>44905</v>
      </c>
      <c r="O12929" t="s">
        <v>44906</v>
      </c>
      <c r="P12929">
        <v>0</v>
      </c>
      <c r="Q12929">
        <v>1</v>
      </c>
      <c r="R12929" t="s">
        <v>44921</v>
      </c>
      <c r="S12929" t="s">
        <v>45564</v>
      </c>
      <c r="T12929" t="s">
        <v>46406</v>
      </c>
      <c r="U12929" t="s">
        <v>57246</v>
      </c>
      <c r="W12929" t="s">
        <v>44394</v>
      </c>
      <c r="X12929" t="s">
        <v>44922</v>
      </c>
    </row>
    <row r="12930" spans="1:24">
      <c r="A12930">
        <f>HYPERLINK("https://www.philgeps.gov.ph/GEPSNONPILOT/Tender/SplashBidNoticeAbstractUI.aspx?menuIndex=3&amp;refID=7054866&amp;Result=3","7054866")</f>
        <v>0</v>
      </c>
      <c r="B12930" t="s">
        <v>2963</v>
      </c>
      <c r="C12930" t="s">
        <v>15881</v>
      </c>
      <c r="D12930" t="s">
        <v>18116</v>
      </c>
      <c r="E12930" t="s">
        <v>29383</v>
      </c>
      <c r="F12930" t="s">
        <v>31362</v>
      </c>
      <c r="G12930" t="s">
        <v>31369</v>
      </c>
      <c r="H12930" t="s">
        <v>31378</v>
      </c>
      <c r="I12930" t="s">
        <v>31386</v>
      </c>
      <c r="J12930" t="s">
        <v>32673</v>
      </c>
      <c r="K12930" t="s">
        <v>40679</v>
      </c>
      <c r="L12930" t="s">
        <v>2963</v>
      </c>
      <c r="M12930" t="s">
        <v>44590</v>
      </c>
      <c r="N12930" t="s">
        <v>44905</v>
      </c>
      <c r="O12930" t="s">
        <v>44906</v>
      </c>
      <c r="P12930">
        <v>0</v>
      </c>
      <c r="Q12930">
        <v>1</v>
      </c>
      <c r="R12930" t="s">
        <v>44921</v>
      </c>
      <c r="S12930" t="s">
        <v>45564</v>
      </c>
      <c r="T12930" t="s">
        <v>46440</v>
      </c>
      <c r="U12930" t="s">
        <v>57219</v>
      </c>
      <c r="W12930" t="s">
        <v>44590</v>
      </c>
      <c r="X12930" t="s">
        <v>44922</v>
      </c>
    </row>
    <row r="12931" spans="1:24">
      <c r="A12931">
        <f>HYPERLINK("https://www.philgeps.gov.ph/GEPSNONPILOT/Tender/SplashBidNoticeAbstractUI.aspx?menuIndex=3&amp;refID=7054848&amp;Result=3","7054848")</f>
        <v>0</v>
      </c>
      <c r="B12931" t="s">
        <v>2963</v>
      </c>
      <c r="C12931" t="s">
        <v>15882</v>
      </c>
      <c r="D12931" t="s">
        <v>18116</v>
      </c>
      <c r="E12931" t="s">
        <v>29384</v>
      </c>
      <c r="F12931" t="s">
        <v>31362</v>
      </c>
      <c r="G12931" t="s">
        <v>31369</v>
      </c>
      <c r="H12931" t="s">
        <v>31378</v>
      </c>
      <c r="I12931" t="s">
        <v>31386</v>
      </c>
      <c r="J12931" t="s">
        <v>37006</v>
      </c>
      <c r="K12931" t="s">
        <v>40711</v>
      </c>
      <c r="L12931" t="s">
        <v>2963</v>
      </c>
      <c r="M12931" t="s">
        <v>44590</v>
      </c>
      <c r="N12931" t="s">
        <v>44905</v>
      </c>
      <c r="O12931" t="s">
        <v>44906</v>
      </c>
      <c r="P12931">
        <v>0</v>
      </c>
      <c r="Q12931">
        <v>2</v>
      </c>
      <c r="R12931" t="s">
        <v>44921</v>
      </c>
      <c r="S12931" t="s">
        <v>45564</v>
      </c>
      <c r="T12931" t="s">
        <v>46440</v>
      </c>
      <c r="U12931" t="s">
        <v>57219</v>
      </c>
      <c r="W12931" t="s">
        <v>44590</v>
      </c>
      <c r="X12931" t="s">
        <v>44922</v>
      </c>
    </row>
    <row r="12932" spans="1:24">
      <c r="A12932">
        <f>HYPERLINK("https://www.philgeps.gov.ph/GEPSNONPILOT/Tender/SplashBidNoticeAbstractUI.aspx?menuIndex=3&amp;refID=7054887&amp;Result=3","7054887")</f>
        <v>0</v>
      </c>
      <c r="B12932" t="s">
        <v>2963</v>
      </c>
      <c r="C12932" t="s">
        <v>15883</v>
      </c>
      <c r="D12932" t="s">
        <v>18116</v>
      </c>
      <c r="E12932" t="s">
        <v>29385</v>
      </c>
      <c r="F12932" t="s">
        <v>31362</v>
      </c>
      <c r="G12932" t="s">
        <v>31369</v>
      </c>
      <c r="H12932" t="s">
        <v>31378</v>
      </c>
      <c r="I12932" t="s">
        <v>31386</v>
      </c>
      <c r="J12932" t="s">
        <v>35968</v>
      </c>
      <c r="K12932" t="s">
        <v>40679</v>
      </c>
      <c r="L12932" t="s">
        <v>2963</v>
      </c>
      <c r="M12932" t="s">
        <v>44590</v>
      </c>
      <c r="N12932" t="s">
        <v>44905</v>
      </c>
      <c r="O12932" t="s">
        <v>44906</v>
      </c>
      <c r="P12932">
        <v>0</v>
      </c>
      <c r="Q12932">
        <v>1</v>
      </c>
      <c r="R12932" t="s">
        <v>44921</v>
      </c>
      <c r="S12932" t="s">
        <v>45564</v>
      </c>
      <c r="T12932" t="s">
        <v>46440</v>
      </c>
      <c r="U12932" t="s">
        <v>57219</v>
      </c>
      <c r="W12932" t="s">
        <v>44590</v>
      </c>
      <c r="X12932" t="s">
        <v>44922</v>
      </c>
    </row>
    <row r="12933" spans="1:24">
      <c r="A12933">
        <f>HYPERLINK("https://www.philgeps.gov.ph/GEPSNONPILOT/Tender/SplashBidNoticeAbstractUI.aspx?menuIndex=3&amp;refID=7054452&amp;Result=3","7054452")</f>
        <v>0</v>
      </c>
      <c r="B12933" t="s">
        <v>3307</v>
      </c>
      <c r="C12933" t="s">
        <v>15884</v>
      </c>
      <c r="D12933" t="s">
        <v>18152</v>
      </c>
      <c r="E12933" t="s">
        <v>19186</v>
      </c>
      <c r="F12933" t="s">
        <v>31362</v>
      </c>
      <c r="G12933" t="s">
        <v>31369</v>
      </c>
      <c r="H12933" t="s">
        <v>15799</v>
      </c>
      <c r="I12933" t="s">
        <v>31426</v>
      </c>
      <c r="J12933" t="s">
        <v>39374</v>
      </c>
      <c r="K12933" t="s">
        <v>40682</v>
      </c>
      <c r="M12933" t="s">
        <v>44598</v>
      </c>
      <c r="N12933" t="s">
        <v>44905</v>
      </c>
      <c r="O12933" t="s">
        <v>44906</v>
      </c>
      <c r="P12933">
        <v>0</v>
      </c>
      <c r="Q12933">
        <v>5</v>
      </c>
      <c r="R12933" t="s">
        <v>44921</v>
      </c>
      <c r="S12933" t="s">
        <v>45564</v>
      </c>
      <c r="T12933" t="s">
        <v>46549</v>
      </c>
      <c r="U12933" t="s">
        <v>57247</v>
      </c>
      <c r="V12933" t="s">
        <v>60490</v>
      </c>
      <c r="W12933" t="s">
        <v>44598</v>
      </c>
      <c r="X12933" t="s">
        <v>44922</v>
      </c>
    </row>
    <row r="12934" spans="1:24">
      <c r="A12934">
        <f>HYPERLINK("https://www.philgeps.gov.ph/GEPSNONPILOT/Tender/SplashBidNoticeAbstractUI.aspx?menuIndex=3&amp;refID=7054427&amp;Result=3","7054427")</f>
        <v>0</v>
      </c>
      <c r="B12934" t="s">
        <v>348</v>
      </c>
      <c r="C12934" t="s">
        <v>15885</v>
      </c>
      <c r="D12934" t="s">
        <v>18122</v>
      </c>
      <c r="E12934" t="s">
        <v>29386</v>
      </c>
      <c r="F12934" t="s">
        <v>31362</v>
      </c>
      <c r="G12934" t="s">
        <v>31369</v>
      </c>
      <c r="H12934" t="s">
        <v>15799</v>
      </c>
      <c r="I12934" t="s">
        <v>31414</v>
      </c>
      <c r="J12934" t="s">
        <v>39375</v>
      </c>
      <c r="K12934" t="s">
        <v>40682</v>
      </c>
      <c r="M12934" t="s">
        <v>43038</v>
      </c>
      <c r="N12934" t="s">
        <v>44905</v>
      </c>
      <c r="O12934" t="s">
        <v>44906</v>
      </c>
      <c r="P12934">
        <v>0</v>
      </c>
      <c r="Q12934">
        <v>4</v>
      </c>
      <c r="R12934" t="s">
        <v>44921</v>
      </c>
      <c r="S12934" t="s">
        <v>45564</v>
      </c>
      <c r="T12934" t="s">
        <v>46538</v>
      </c>
      <c r="U12934" t="s">
        <v>57248</v>
      </c>
      <c r="W12934" t="s">
        <v>43038</v>
      </c>
      <c r="X12934" t="s">
        <v>44922</v>
      </c>
    </row>
    <row r="12935" spans="1:24">
      <c r="A12935">
        <f>HYPERLINK("https://www.philgeps.gov.ph/GEPSNONPILOT/Tender/SplashBidNoticeAbstractUI.aspx?menuIndex=3&amp;refID=7054877&amp;Result=3","7054877")</f>
        <v>0</v>
      </c>
      <c r="B12935" t="s">
        <v>2963</v>
      </c>
      <c r="C12935" t="s">
        <v>15886</v>
      </c>
      <c r="D12935" t="s">
        <v>18116</v>
      </c>
      <c r="E12935" t="s">
        <v>29387</v>
      </c>
      <c r="F12935" t="s">
        <v>31362</v>
      </c>
      <c r="G12935" t="s">
        <v>31369</v>
      </c>
      <c r="H12935" t="s">
        <v>31378</v>
      </c>
      <c r="I12935" t="s">
        <v>31386</v>
      </c>
      <c r="J12935" t="s">
        <v>32673</v>
      </c>
      <c r="K12935" t="s">
        <v>40758</v>
      </c>
      <c r="L12935" t="s">
        <v>2963</v>
      </c>
      <c r="M12935" t="s">
        <v>44590</v>
      </c>
      <c r="N12935" t="s">
        <v>44905</v>
      </c>
      <c r="O12935" t="s">
        <v>44906</v>
      </c>
      <c r="P12935">
        <v>0</v>
      </c>
      <c r="Q12935">
        <v>1</v>
      </c>
      <c r="R12935" t="s">
        <v>44921</v>
      </c>
      <c r="S12935" t="s">
        <v>45564</v>
      </c>
      <c r="T12935" t="s">
        <v>46440</v>
      </c>
      <c r="U12935" t="s">
        <v>57219</v>
      </c>
      <c r="W12935" t="s">
        <v>44590</v>
      </c>
      <c r="X12935" t="s">
        <v>44922</v>
      </c>
    </row>
    <row r="12936" spans="1:24">
      <c r="A12936">
        <f>HYPERLINK("https://www.philgeps.gov.ph/GEPSNONPILOT/Tender/SplashBidNoticeAbstractUI.aspx?menuIndex=3&amp;refID=7054305&amp;Result=3","7054305")</f>
        <v>0</v>
      </c>
      <c r="B12936" t="s">
        <v>2769</v>
      </c>
      <c r="C12936" t="s">
        <v>15887</v>
      </c>
      <c r="D12936" t="s">
        <v>18165</v>
      </c>
      <c r="E12936" t="s">
        <v>29388</v>
      </c>
      <c r="F12936" t="s">
        <v>31362</v>
      </c>
      <c r="G12936" t="s">
        <v>31369</v>
      </c>
      <c r="H12936" t="s">
        <v>15799</v>
      </c>
      <c r="I12936" t="s">
        <v>31427</v>
      </c>
      <c r="J12936" t="s">
        <v>39376</v>
      </c>
      <c r="K12936" t="s">
        <v>40662</v>
      </c>
      <c r="M12936" t="s">
        <v>43961</v>
      </c>
      <c r="N12936" t="s">
        <v>44905</v>
      </c>
      <c r="O12936" t="s">
        <v>44906</v>
      </c>
      <c r="P12936">
        <v>0</v>
      </c>
      <c r="Q12936">
        <v>11</v>
      </c>
      <c r="R12936" t="s">
        <v>44921</v>
      </c>
      <c r="S12936" t="s">
        <v>45564</v>
      </c>
      <c r="T12936" t="s">
        <v>46395</v>
      </c>
      <c r="U12936" t="s">
        <v>57249</v>
      </c>
      <c r="W12936" t="s">
        <v>43961</v>
      </c>
      <c r="X12936" t="s">
        <v>44922</v>
      </c>
    </row>
    <row r="12937" spans="1:24">
      <c r="A12937">
        <f>HYPERLINK("https://www.philgeps.gov.ph/GEPSNONPILOT/Tender/SplashBidNoticeAbstractUI.aspx?menuIndex=3&amp;refID=7054436&amp;Result=3","7054436")</f>
        <v>0</v>
      </c>
      <c r="B12937" t="s">
        <v>3067</v>
      </c>
      <c r="C12937" t="s">
        <v>15888</v>
      </c>
      <c r="D12937" t="s">
        <v>18106</v>
      </c>
      <c r="E12937" t="s">
        <v>29389</v>
      </c>
      <c r="F12937" t="s">
        <v>31362</v>
      </c>
      <c r="G12937" t="s">
        <v>31369</v>
      </c>
      <c r="H12937" t="s">
        <v>31378</v>
      </c>
      <c r="I12937" t="s">
        <v>31386</v>
      </c>
      <c r="J12937" t="s">
        <v>39338</v>
      </c>
      <c r="K12937" t="s">
        <v>40742</v>
      </c>
      <c r="L12937" t="s">
        <v>3067</v>
      </c>
      <c r="M12937" t="s">
        <v>44304</v>
      </c>
      <c r="N12937" t="s">
        <v>44905</v>
      </c>
      <c r="O12937" t="s">
        <v>44906</v>
      </c>
      <c r="P12937">
        <v>0</v>
      </c>
      <c r="Q12937">
        <v>0</v>
      </c>
      <c r="R12937" t="s">
        <v>44921</v>
      </c>
      <c r="S12937" t="s">
        <v>45564</v>
      </c>
      <c r="T12937" t="s">
        <v>46403</v>
      </c>
      <c r="U12937" t="s">
        <v>57195</v>
      </c>
      <c r="W12937" t="s">
        <v>44304</v>
      </c>
      <c r="X12937" t="s">
        <v>44922</v>
      </c>
    </row>
    <row r="12938" spans="1:24">
      <c r="A12938">
        <f>HYPERLINK("https://www.philgeps.gov.ph/GEPSNONPILOT/Tender/SplashBidNoticeAbstractUI.aspx?menuIndex=3&amp;refID=7054295&amp;Result=3","7054295")</f>
        <v>0</v>
      </c>
      <c r="B12938" t="s">
        <v>2838</v>
      </c>
      <c r="C12938" t="s">
        <v>15889</v>
      </c>
      <c r="D12938" t="s">
        <v>18100</v>
      </c>
      <c r="E12938" t="s">
        <v>29390</v>
      </c>
      <c r="F12938" t="s">
        <v>31362</v>
      </c>
      <c r="G12938" t="s">
        <v>31369</v>
      </c>
      <c r="H12938" t="s">
        <v>15799</v>
      </c>
      <c r="I12938" t="s">
        <v>31427</v>
      </c>
      <c r="J12938" t="s">
        <v>39377</v>
      </c>
      <c r="K12938" t="s">
        <v>40682</v>
      </c>
      <c r="M12938" t="s">
        <v>44039</v>
      </c>
      <c r="N12938" t="s">
        <v>44905</v>
      </c>
      <c r="O12938" t="s">
        <v>44906</v>
      </c>
      <c r="P12938">
        <v>0</v>
      </c>
      <c r="Q12938">
        <v>1</v>
      </c>
      <c r="R12938" t="s">
        <v>44921</v>
      </c>
      <c r="S12938" t="s">
        <v>45564</v>
      </c>
      <c r="T12938" t="s">
        <v>46454</v>
      </c>
      <c r="U12938" t="s">
        <v>57250</v>
      </c>
      <c r="V12938" t="s">
        <v>60134</v>
      </c>
      <c r="W12938" t="s">
        <v>44039</v>
      </c>
      <c r="X12938" t="s">
        <v>44922</v>
      </c>
    </row>
    <row r="12939" spans="1:24">
      <c r="A12939">
        <f>HYPERLINK("https://www.philgeps.gov.ph/GEPSNONPILOT/Tender/SplashBidNoticeAbstractUI.aspx?menuIndex=3&amp;refID=7054289&amp;Result=3","7054289")</f>
        <v>0</v>
      </c>
      <c r="B12939" t="s">
        <v>1070</v>
      </c>
      <c r="C12939" t="s">
        <v>15890</v>
      </c>
      <c r="D12939" t="s">
        <v>18138</v>
      </c>
      <c r="E12939" t="s">
        <v>29391</v>
      </c>
      <c r="F12939" t="s">
        <v>31362</v>
      </c>
      <c r="G12939" t="s">
        <v>31369</v>
      </c>
      <c r="H12939" t="s">
        <v>31378</v>
      </c>
      <c r="I12939" t="s">
        <v>31386</v>
      </c>
      <c r="J12939" t="s">
        <v>39378</v>
      </c>
      <c r="K12939" t="s">
        <v>40742</v>
      </c>
      <c r="M12939" t="s">
        <v>42072</v>
      </c>
      <c r="N12939" t="s">
        <v>44905</v>
      </c>
      <c r="O12939" t="s">
        <v>44906</v>
      </c>
      <c r="Q12939">
        <v>4</v>
      </c>
      <c r="R12939" t="s">
        <v>44921</v>
      </c>
      <c r="S12939" t="s">
        <v>45609</v>
      </c>
      <c r="T12939" t="s">
        <v>46503</v>
      </c>
      <c r="U12939" t="s">
        <v>55952</v>
      </c>
      <c r="W12939" t="s">
        <v>42072</v>
      </c>
      <c r="X12939" t="s">
        <v>44922</v>
      </c>
    </row>
    <row r="12940" spans="1:24">
      <c r="A12940">
        <f>HYPERLINK("https://www.philgeps.gov.ph/GEPSNONPILOT/Tender/SplashBidNoticeAbstractUI.aspx?menuIndex=3&amp;refID=7054290&amp;Result=3","7054290")</f>
        <v>0</v>
      </c>
      <c r="B12940" t="s">
        <v>633</v>
      </c>
      <c r="C12940" t="s">
        <v>15891</v>
      </c>
      <c r="D12940" t="s">
        <v>18144</v>
      </c>
      <c r="E12940" t="s">
        <v>29392</v>
      </c>
      <c r="F12940" t="s">
        <v>31362</v>
      </c>
      <c r="G12940" t="s">
        <v>31369</v>
      </c>
      <c r="H12940" t="s">
        <v>15799</v>
      </c>
      <c r="I12940" t="s">
        <v>6373</v>
      </c>
      <c r="J12940" t="s">
        <v>39379</v>
      </c>
      <c r="K12940" t="s">
        <v>40677</v>
      </c>
      <c r="M12940" t="s">
        <v>41593</v>
      </c>
      <c r="N12940" t="s">
        <v>44905</v>
      </c>
      <c r="O12940" t="s">
        <v>44906</v>
      </c>
      <c r="P12940">
        <v>0</v>
      </c>
      <c r="Q12940">
        <v>2</v>
      </c>
      <c r="R12940" t="s">
        <v>44921</v>
      </c>
      <c r="S12940" t="s">
        <v>45564</v>
      </c>
      <c r="T12940" t="s">
        <v>46435</v>
      </c>
      <c r="U12940" t="s">
        <v>57251</v>
      </c>
      <c r="W12940" t="s">
        <v>41593</v>
      </c>
      <c r="X12940" t="s">
        <v>44922</v>
      </c>
    </row>
    <row r="12941" spans="1:24">
      <c r="A12941">
        <f>HYPERLINK("https://www.philgeps.gov.ph/GEPSNONPILOT/Tender/SplashBidNoticeAbstractUI.aspx?menuIndex=3&amp;refID=7054456&amp;Result=3","7054456")</f>
        <v>0</v>
      </c>
      <c r="B12941" t="s">
        <v>1529</v>
      </c>
      <c r="C12941" t="s">
        <v>15892</v>
      </c>
      <c r="D12941" t="s">
        <v>18134</v>
      </c>
      <c r="E12941" t="s">
        <v>29393</v>
      </c>
      <c r="F12941" t="s">
        <v>31362</v>
      </c>
      <c r="G12941" t="s">
        <v>31369</v>
      </c>
      <c r="H12941" t="s">
        <v>31378</v>
      </c>
      <c r="I12941" t="s">
        <v>31386</v>
      </c>
      <c r="J12941" t="s">
        <v>31606</v>
      </c>
      <c r="K12941" t="s">
        <v>40686</v>
      </c>
      <c r="M12941" t="s">
        <v>42574</v>
      </c>
      <c r="N12941" t="s">
        <v>44905</v>
      </c>
      <c r="O12941" t="s">
        <v>44906</v>
      </c>
      <c r="P12941">
        <v>0</v>
      </c>
      <c r="Q12941">
        <v>2</v>
      </c>
      <c r="R12941" t="s">
        <v>44921</v>
      </c>
      <c r="S12941" t="s">
        <v>45564</v>
      </c>
      <c r="T12941" t="s">
        <v>46503</v>
      </c>
      <c r="U12941" t="s">
        <v>57252</v>
      </c>
      <c r="V12941" t="s">
        <v>59162</v>
      </c>
      <c r="W12941" t="s">
        <v>42574</v>
      </c>
      <c r="X12941" t="s">
        <v>44922</v>
      </c>
    </row>
    <row r="12942" spans="1:24">
      <c r="A12942">
        <f>HYPERLINK("https://www.philgeps.gov.ph/GEPSNONPILOT/Tender/SplashBidNoticeAbstractUI.aspx?menuIndex=3&amp;refID=7054960&amp;Result=3","7054960")</f>
        <v>0</v>
      </c>
      <c r="B12942" t="s">
        <v>2107</v>
      </c>
      <c r="C12942" t="s">
        <v>15893</v>
      </c>
      <c r="D12942" t="s">
        <v>18167</v>
      </c>
      <c r="E12942" t="s">
        <v>29394</v>
      </c>
      <c r="F12942" t="s">
        <v>31362</v>
      </c>
      <c r="G12942" t="s">
        <v>31369</v>
      </c>
      <c r="H12942" t="s">
        <v>15799</v>
      </c>
      <c r="I12942" t="s">
        <v>31380</v>
      </c>
      <c r="J12942" t="s">
        <v>39380</v>
      </c>
      <c r="K12942" t="s">
        <v>40665</v>
      </c>
      <c r="M12942" t="s">
        <v>43233</v>
      </c>
      <c r="N12942" t="s">
        <v>44905</v>
      </c>
      <c r="O12942" t="s">
        <v>44906</v>
      </c>
      <c r="P12942">
        <v>0</v>
      </c>
      <c r="Q12942">
        <v>1</v>
      </c>
      <c r="R12942" t="s">
        <v>44921</v>
      </c>
      <c r="S12942" t="s">
        <v>45564</v>
      </c>
      <c r="T12942" t="s">
        <v>46506</v>
      </c>
      <c r="U12942" t="s">
        <v>57253</v>
      </c>
      <c r="W12942" t="s">
        <v>43233</v>
      </c>
      <c r="X12942" t="s">
        <v>44922</v>
      </c>
    </row>
    <row r="12943" spans="1:24">
      <c r="A12943">
        <f>HYPERLINK("https://www.philgeps.gov.ph/GEPSNONPILOT/Tender/SplashBidNoticeAbstractUI.aspx?menuIndex=3&amp;refID=7055103&amp;Result=3","7055103")</f>
        <v>0</v>
      </c>
      <c r="B12943" t="s">
        <v>81</v>
      </c>
      <c r="C12943" t="s">
        <v>15894</v>
      </c>
      <c r="E12943" t="s">
        <v>29395</v>
      </c>
      <c r="F12943" t="s">
        <v>31362</v>
      </c>
      <c r="G12943" t="s">
        <v>31369</v>
      </c>
      <c r="H12943" t="s">
        <v>31378</v>
      </c>
      <c r="I12943" t="s">
        <v>31386</v>
      </c>
      <c r="J12943" t="s">
        <v>39381</v>
      </c>
      <c r="K12943" t="s">
        <v>40662</v>
      </c>
      <c r="M12943" t="s">
        <v>41999</v>
      </c>
      <c r="N12943" t="s">
        <v>44905</v>
      </c>
      <c r="O12943" t="s">
        <v>44906</v>
      </c>
      <c r="Q12943">
        <v>4</v>
      </c>
      <c r="R12943" t="s">
        <v>44921</v>
      </c>
      <c r="S12943" t="s">
        <v>45610</v>
      </c>
      <c r="T12943" t="s">
        <v>46425</v>
      </c>
      <c r="U12943" t="s">
        <v>57254</v>
      </c>
      <c r="W12943" t="s">
        <v>41999</v>
      </c>
      <c r="X12943" t="s">
        <v>44922</v>
      </c>
    </row>
    <row r="12944" spans="1:24">
      <c r="A12944">
        <f>HYPERLINK("https://www.philgeps.gov.ph/GEPSNONPILOT/Tender/SplashBidNoticeAbstractUI.aspx?menuIndex=3&amp;refID=7055100&amp;Result=3","7055100")</f>
        <v>0</v>
      </c>
      <c r="B12944" t="s">
        <v>1159</v>
      </c>
      <c r="C12944" t="s">
        <v>15895</v>
      </c>
      <c r="D12944" t="s">
        <v>18126</v>
      </c>
      <c r="E12944" t="s">
        <v>29396</v>
      </c>
      <c r="F12944" t="s">
        <v>31362</v>
      </c>
      <c r="G12944" t="s">
        <v>31369</v>
      </c>
      <c r="H12944" t="s">
        <v>31378</v>
      </c>
      <c r="I12944" t="s">
        <v>31386</v>
      </c>
      <c r="J12944" t="s">
        <v>39382</v>
      </c>
      <c r="K12944" t="s">
        <v>40686</v>
      </c>
      <c r="M12944" t="s">
        <v>42168</v>
      </c>
      <c r="N12944" t="s">
        <v>44905</v>
      </c>
      <c r="O12944" t="s">
        <v>44906</v>
      </c>
      <c r="Q12944">
        <v>33</v>
      </c>
      <c r="R12944" t="s">
        <v>44921</v>
      </c>
      <c r="S12944" t="s">
        <v>45611</v>
      </c>
      <c r="T12944" t="s">
        <v>46470</v>
      </c>
      <c r="U12944" t="s">
        <v>57255</v>
      </c>
      <c r="V12944" t="s">
        <v>59386</v>
      </c>
      <c r="W12944" t="s">
        <v>42168</v>
      </c>
      <c r="X12944" t="s">
        <v>44922</v>
      </c>
    </row>
    <row r="12945" spans="1:24">
      <c r="A12945">
        <f>HYPERLINK("https://www.philgeps.gov.ph/GEPSNONPILOT/Tender/SplashBidNoticeAbstractUI.aspx?menuIndex=3&amp;refID=7054853&amp;Result=3","7054853")</f>
        <v>0</v>
      </c>
      <c r="B12945" t="s">
        <v>2963</v>
      </c>
      <c r="C12945" t="s">
        <v>15896</v>
      </c>
      <c r="D12945" t="s">
        <v>18116</v>
      </c>
      <c r="E12945" t="s">
        <v>29397</v>
      </c>
      <c r="F12945" t="s">
        <v>31362</v>
      </c>
      <c r="G12945" t="s">
        <v>31369</v>
      </c>
      <c r="H12945" t="s">
        <v>31378</v>
      </c>
      <c r="I12945" t="s">
        <v>31386</v>
      </c>
      <c r="J12945" t="s">
        <v>37006</v>
      </c>
      <c r="K12945" t="s">
        <v>40686</v>
      </c>
      <c r="L12945" t="s">
        <v>2963</v>
      </c>
      <c r="M12945" t="s">
        <v>44590</v>
      </c>
      <c r="N12945" t="s">
        <v>44905</v>
      </c>
      <c r="O12945" t="s">
        <v>44906</v>
      </c>
      <c r="P12945">
        <v>0</v>
      </c>
      <c r="Q12945">
        <v>2</v>
      </c>
      <c r="R12945" t="s">
        <v>44921</v>
      </c>
      <c r="S12945" t="s">
        <v>45564</v>
      </c>
      <c r="T12945" t="s">
        <v>46440</v>
      </c>
      <c r="U12945" t="s">
        <v>57219</v>
      </c>
      <c r="W12945" t="s">
        <v>44590</v>
      </c>
      <c r="X12945" t="s">
        <v>44922</v>
      </c>
    </row>
    <row r="12946" spans="1:24">
      <c r="A12946">
        <f>HYPERLINK("https://www.philgeps.gov.ph/GEPSNONPILOT/Tender/SplashBidNoticeAbstractUI.aspx?menuIndex=3&amp;refID=7054973&amp;Result=3","7054973")</f>
        <v>0</v>
      </c>
      <c r="B12946" t="s">
        <v>362</v>
      </c>
      <c r="C12946" t="s">
        <v>15897</v>
      </c>
      <c r="D12946" t="s">
        <v>18103</v>
      </c>
      <c r="E12946" t="s">
        <v>29398</v>
      </c>
      <c r="F12946" t="s">
        <v>31362</v>
      </c>
      <c r="G12946" t="s">
        <v>31369</v>
      </c>
      <c r="H12946" t="s">
        <v>31378</v>
      </c>
      <c r="I12946" t="s">
        <v>31386</v>
      </c>
      <c r="J12946" t="s">
        <v>33482</v>
      </c>
      <c r="K12946" t="s">
        <v>40679</v>
      </c>
      <c r="M12946" t="s">
        <v>43062</v>
      </c>
      <c r="N12946" t="s">
        <v>44905</v>
      </c>
      <c r="O12946" t="s">
        <v>44906</v>
      </c>
      <c r="P12946">
        <v>0</v>
      </c>
      <c r="Q12946">
        <v>21</v>
      </c>
      <c r="R12946" t="s">
        <v>44921</v>
      </c>
      <c r="S12946" t="s">
        <v>45564</v>
      </c>
      <c r="T12946" t="s">
        <v>46533</v>
      </c>
      <c r="U12946" t="s">
        <v>47543</v>
      </c>
      <c r="V12946" t="s">
        <v>60391</v>
      </c>
      <c r="W12946" t="s">
        <v>60886</v>
      </c>
      <c r="X12946" t="s">
        <v>44922</v>
      </c>
    </row>
    <row r="12947" spans="1:24">
      <c r="A12947">
        <f>HYPERLINK("https://www.philgeps.gov.ph/GEPSNONPILOT/Tender/SplashBidNoticeAbstractUI.aspx?menuIndex=3&amp;refID=7055114&amp;Result=3","7055114")</f>
        <v>0</v>
      </c>
      <c r="B12947" t="s">
        <v>685</v>
      </c>
      <c r="C12947" t="s">
        <v>15898</v>
      </c>
      <c r="D12947" t="s">
        <v>18163</v>
      </c>
      <c r="E12947" t="s">
        <v>29399</v>
      </c>
      <c r="F12947" t="s">
        <v>31362</v>
      </c>
      <c r="G12947" t="s">
        <v>31369</v>
      </c>
      <c r="H12947" t="s">
        <v>31378</v>
      </c>
      <c r="I12947" t="s">
        <v>31386</v>
      </c>
      <c r="J12947" t="s">
        <v>39383</v>
      </c>
      <c r="K12947" t="s">
        <v>40927</v>
      </c>
      <c r="M12947" t="s">
        <v>41647</v>
      </c>
      <c r="N12947" t="s">
        <v>44905</v>
      </c>
      <c r="O12947" t="s">
        <v>44906</v>
      </c>
      <c r="P12947">
        <v>0</v>
      </c>
      <c r="Q12947">
        <v>1</v>
      </c>
      <c r="R12947" t="s">
        <v>44921</v>
      </c>
      <c r="S12947" t="s">
        <v>45564</v>
      </c>
      <c r="T12947" t="s">
        <v>46464</v>
      </c>
      <c r="U12947" t="s">
        <v>57256</v>
      </c>
      <c r="W12947" t="s">
        <v>41647</v>
      </c>
      <c r="X12947" t="s">
        <v>44922</v>
      </c>
    </row>
    <row r="12948" spans="1:24">
      <c r="A12948">
        <f>HYPERLINK("https://www.philgeps.gov.ph/GEPSNONPILOT/Tender/SplashBidNoticeAbstractUI.aspx?menuIndex=3&amp;refID=7055080&amp;Result=3","7055080")</f>
        <v>0</v>
      </c>
      <c r="B12948" t="s">
        <v>692</v>
      </c>
      <c r="C12948" t="s">
        <v>15899</v>
      </c>
      <c r="D12948" t="s">
        <v>18158</v>
      </c>
      <c r="E12948" t="s">
        <v>20469</v>
      </c>
      <c r="F12948" t="s">
        <v>31362</v>
      </c>
      <c r="G12948" t="s">
        <v>31369</v>
      </c>
      <c r="H12948" t="s">
        <v>15799</v>
      </c>
      <c r="I12948" t="s">
        <v>31396</v>
      </c>
      <c r="J12948" t="s">
        <v>39384</v>
      </c>
      <c r="K12948" t="s">
        <v>40682</v>
      </c>
      <c r="M12948" t="s">
        <v>41655</v>
      </c>
      <c r="N12948" t="s">
        <v>44905</v>
      </c>
      <c r="O12948" t="s">
        <v>44906</v>
      </c>
      <c r="Q12948">
        <v>26</v>
      </c>
      <c r="R12948" t="s">
        <v>44921</v>
      </c>
      <c r="S12948" t="s">
        <v>45612</v>
      </c>
      <c r="T12948" t="s">
        <v>46462</v>
      </c>
      <c r="U12948" t="s">
        <v>57257</v>
      </c>
      <c r="W12948" t="s">
        <v>41655</v>
      </c>
      <c r="X12948" t="s">
        <v>44922</v>
      </c>
    </row>
    <row r="12949" spans="1:24">
      <c r="A12949">
        <f>HYPERLINK("https://www.philgeps.gov.ph/GEPSNONPILOT/Tender/SplashBidNoticeAbstractUI.aspx?menuIndex=3&amp;refID=7055072&amp;Result=3","7055072")</f>
        <v>0</v>
      </c>
      <c r="B12949" t="s">
        <v>207</v>
      </c>
      <c r="C12949" t="s">
        <v>15900</v>
      </c>
      <c r="D12949" t="s">
        <v>18127</v>
      </c>
      <c r="E12949" t="s">
        <v>29400</v>
      </c>
      <c r="F12949" t="s">
        <v>31362</v>
      </c>
      <c r="G12949" t="s">
        <v>31369</v>
      </c>
      <c r="H12949" t="s">
        <v>15799</v>
      </c>
      <c r="I12949" t="s">
        <v>31382</v>
      </c>
      <c r="J12949" t="s">
        <v>31957</v>
      </c>
      <c r="K12949" t="s">
        <v>40662</v>
      </c>
      <c r="M12949" t="s">
        <v>41146</v>
      </c>
      <c r="N12949" t="s">
        <v>44905</v>
      </c>
      <c r="O12949" t="s">
        <v>44906</v>
      </c>
      <c r="Q12949">
        <v>8</v>
      </c>
      <c r="R12949" t="s">
        <v>44921</v>
      </c>
      <c r="S12949" t="s">
        <v>45613</v>
      </c>
      <c r="T12949" t="s">
        <v>46426</v>
      </c>
      <c r="U12949" t="s">
        <v>57258</v>
      </c>
      <c r="W12949" t="s">
        <v>41146</v>
      </c>
      <c r="X12949" t="s">
        <v>44922</v>
      </c>
    </row>
    <row r="12950" spans="1:24">
      <c r="A12950">
        <f>HYPERLINK("https://www.philgeps.gov.ph/GEPSNONPILOT/Tender/SplashBidNoticeAbstractUI.aspx?menuIndex=3&amp;refID=7055075&amp;Result=3","7055075")</f>
        <v>0</v>
      </c>
      <c r="B12950" t="s">
        <v>1516</v>
      </c>
      <c r="C12950" t="s">
        <v>15901</v>
      </c>
      <c r="D12950" t="s">
        <v>18107</v>
      </c>
      <c r="E12950" t="s">
        <v>29401</v>
      </c>
      <c r="F12950" t="s">
        <v>31362</v>
      </c>
      <c r="G12950" t="s">
        <v>31369</v>
      </c>
      <c r="H12950" t="s">
        <v>15799</v>
      </c>
      <c r="I12950" t="s">
        <v>3815</v>
      </c>
      <c r="J12950" t="s">
        <v>39385</v>
      </c>
      <c r="K12950" t="s">
        <v>40666</v>
      </c>
      <c r="M12950" t="s">
        <v>42560</v>
      </c>
      <c r="N12950" t="s">
        <v>44905</v>
      </c>
      <c r="O12950" t="s">
        <v>44906</v>
      </c>
      <c r="P12950">
        <v>0</v>
      </c>
      <c r="Q12950">
        <v>1</v>
      </c>
      <c r="R12950" t="s">
        <v>44921</v>
      </c>
      <c r="S12950" t="s">
        <v>45564</v>
      </c>
      <c r="T12950" t="s">
        <v>46692</v>
      </c>
      <c r="U12950" t="s">
        <v>57259</v>
      </c>
      <c r="W12950" t="s">
        <v>42560</v>
      </c>
      <c r="X12950" t="s">
        <v>44922</v>
      </c>
    </row>
    <row r="12951" spans="1:24">
      <c r="A12951">
        <f>HYPERLINK("https://www.philgeps.gov.ph/GEPSNONPILOT/Tender/SplashBidNoticeAbstractUI.aspx?menuIndex=3&amp;refID=7055049&amp;Result=3","7055049")</f>
        <v>0</v>
      </c>
      <c r="B12951" t="s">
        <v>3135</v>
      </c>
      <c r="C12951" t="s">
        <v>15902</v>
      </c>
      <c r="D12951" t="s">
        <v>18104</v>
      </c>
      <c r="E12951" t="s">
        <v>29402</v>
      </c>
      <c r="F12951" t="s">
        <v>31362</v>
      </c>
      <c r="G12951" t="s">
        <v>31369</v>
      </c>
      <c r="H12951" t="s">
        <v>15799</v>
      </c>
      <c r="I12951" t="s">
        <v>31396</v>
      </c>
      <c r="J12951" t="s">
        <v>31530</v>
      </c>
      <c r="K12951" t="s">
        <v>40665</v>
      </c>
      <c r="L12951" t="s">
        <v>3135</v>
      </c>
      <c r="M12951" t="s">
        <v>44394</v>
      </c>
      <c r="N12951" t="s">
        <v>44905</v>
      </c>
      <c r="O12951" t="s">
        <v>44906</v>
      </c>
      <c r="P12951">
        <v>0</v>
      </c>
      <c r="Q12951">
        <v>5</v>
      </c>
      <c r="R12951" t="s">
        <v>44921</v>
      </c>
      <c r="S12951" t="s">
        <v>45564</v>
      </c>
      <c r="T12951" t="s">
        <v>46425</v>
      </c>
      <c r="U12951" t="s">
        <v>57260</v>
      </c>
      <c r="W12951" t="s">
        <v>44394</v>
      </c>
      <c r="X12951" t="s">
        <v>44922</v>
      </c>
    </row>
    <row r="12952" spans="1:24">
      <c r="A12952">
        <f>HYPERLINK("https://www.philgeps.gov.ph/GEPSNONPILOT/Tender/SplashBidNoticeAbstractUI.aspx?menuIndex=3&amp;refID=7055061&amp;Result=3","7055061")</f>
        <v>0</v>
      </c>
      <c r="B12952" t="s">
        <v>2203</v>
      </c>
      <c r="C12952" t="s">
        <v>15903</v>
      </c>
      <c r="D12952" t="s">
        <v>18104</v>
      </c>
      <c r="E12952" t="s">
        <v>29403</v>
      </c>
      <c r="F12952" t="s">
        <v>31362</v>
      </c>
      <c r="G12952" t="s">
        <v>31369</v>
      </c>
      <c r="H12952" t="s">
        <v>31378</v>
      </c>
      <c r="I12952" t="s">
        <v>31386</v>
      </c>
      <c r="J12952" t="s">
        <v>31542</v>
      </c>
      <c r="K12952" t="s">
        <v>40683</v>
      </c>
      <c r="M12952" t="s">
        <v>43334</v>
      </c>
      <c r="N12952" t="s">
        <v>44905</v>
      </c>
      <c r="O12952" t="s">
        <v>44906</v>
      </c>
      <c r="P12952">
        <v>0</v>
      </c>
      <c r="Q12952">
        <v>3</v>
      </c>
      <c r="R12952" t="s">
        <v>44921</v>
      </c>
      <c r="S12952" t="s">
        <v>45564</v>
      </c>
      <c r="T12952" t="s">
        <v>46608</v>
      </c>
      <c r="U12952" t="s">
        <v>57261</v>
      </c>
      <c r="W12952" t="s">
        <v>43334</v>
      </c>
      <c r="X12952" t="s">
        <v>44922</v>
      </c>
    </row>
    <row r="12953" spans="1:24">
      <c r="A12953">
        <f>HYPERLINK("https://www.philgeps.gov.ph/GEPSNONPILOT/Tender/SplashBidNoticeAbstractUI.aspx?menuIndex=3&amp;refID=7054878&amp;Result=3","7054878")</f>
        <v>0</v>
      </c>
      <c r="B12953" t="s">
        <v>2352</v>
      </c>
      <c r="C12953" t="s">
        <v>15904</v>
      </c>
      <c r="D12953" t="s">
        <v>18148</v>
      </c>
      <c r="E12953" t="s">
        <v>26330</v>
      </c>
      <c r="F12953" t="s">
        <v>31363</v>
      </c>
      <c r="G12953" t="s">
        <v>31369</v>
      </c>
      <c r="H12953" t="s">
        <v>15799</v>
      </c>
      <c r="I12953" t="s">
        <v>7090</v>
      </c>
      <c r="J12953" t="s">
        <v>39386</v>
      </c>
      <c r="K12953" t="s">
        <v>40662</v>
      </c>
      <c r="M12953" t="s">
        <v>43497</v>
      </c>
      <c r="N12953" t="s">
        <v>44905</v>
      </c>
      <c r="O12953" t="s">
        <v>44906</v>
      </c>
      <c r="P12953">
        <v>0</v>
      </c>
      <c r="Q12953">
        <v>0</v>
      </c>
      <c r="R12953" t="s">
        <v>44921</v>
      </c>
      <c r="S12953" t="s">
        <v>45564</v>
      </c>
      <c r="T12953" t="s">
        <v>46400</v>
      </c>
      <c r="U12953" t="s">
        <v>57262</v>
      </c>
      <c r="W12953" t="s">
        <v>43497</v>
      </c>
      <c r="X12953" t="s">
        <v>44922</v>
      </c>
    </row>
    <row r="12954" spans="1:24">
      <c r="A12954">
        <f>HYPERLINK("https://www.philgeps.gov.ph/GEPSNONPILOT/Tender/SplashBidNoticeAbstractUI.aspx?menuIndex=3&amp;refID=7055029&amp;Result=3","7055029")</f>
        <v>0</v>
      </c>
      <c r="B12954" t="s">
        <v>700</v>
      </c>
      <c r="C12954" t="s">
        <v>15905</v>
      </c>
      <c r="E12954" t="s">
        <v>29404</v>
      </c>
      <c r="F12954" t="s">
        <v>31362</v>
      </c>
      <c r="G12954" t="s">
        <v>31368</v>
      </c>
      <c r="H12954" t="s">
        <v>15799</v>
      </c>
      <c r="I12954" t="s">
        <v>31426</v>
      </c>
      <c r="J12954" t="s">
        <v>39387</v>
      </c>
      <c r="K12954" t="s">
        <v>40662</v>
      </c>
      <c r="M12954" t="s">
        <v>41665</v>
      </c>
      <c r="N12954" t="s">
        <v>44905</v>
      </c>
      <c r="O12954" t="s">
        <v>44906</v>
      </c>
      <c r="Q12954">
        <v>3</v>
      </c>
      <c r="R12954" t="s">
        <v>44921</v>
      </c>
      <c r="S12954" t="s">
        <v>45614</v>
      </c>
      <c r="T12954" t="s">
        <v>46593</v>
      </c>
      <c r="U12954" t="s">
        <v>57263</v>
      </c>
      <c r="V12954" t="s">
        <v>60491</v>
      </c>
      <c r="W12954" t="s">
        <v>41665</v>
      </c>
      <c r="X12954" t="s">
        <v>44922</v>
      </c>
    </row>
    <row r="12955" spans="1:24">
      <c r="A12955">
        <f>HYPERLINK("https://www.philgeps.gov.ph/GEPSNONPILOT/Tender/SplashBidNoticeAbstractUI.aspx?menuIndex=3&amp;refID=7055066&amp;Result=3","7055066")</f>
        <v>0</v>
      </c>
      <c r="B12955" t="s">
        <v>2409</v>
      </c>
      <c r="C12955" t="s">
        <v>15906</v>
      </c>
      <c r="D12955" t="s">
        <v>18140</v>
      </c>
      <c r="E12955" t="s">
        <v>29405</v>
      </c>
      <c r="F12955" t="s">
        <v>31362</v>
      </c>
      <c r="G12955" t="s">
        <v>31369</v>
      </c>
      <c r="H12955" t="s">
        <v>15799</v>
      </c>
      <c r="I12955" t="s">
        <v>6373</v>
      </c>
      <c r="J12955" t="s">
        <v>39388</v>
      </c>
      <c r="K12955" t="s">
        <v>40665</v>
      </c>
      <c r="M12955" t="s">
        <v>43564</v>
      </c>
      <c r="N12955" t="s">
        <v>44905</v>
      </c>
      <c r="O12955" t="s">
        <v>44906</v>
      </c>
      <c r="Q12955">
        <v>8</v>
      </c>
      <c r="R12955" t="s">
        <v>44921</v>
      </c>
      <c r="S12955" t="s">
        <v>45615</v>
      </c>
      <c r="T12955" t="s">
        <v>46692</v>
      </c>
      <c r="U12955" t="s">
        <v>57264</v>
      </c>
      <c r="V12955" t="s">
        <v>59850</v>
      </c>
      <c r="W12955" t="s">
        <v>43564</v>
      </c>
      <c r="X12955" t="s">
        <v>44922</v>
      </c>
    </row>
    <row r="12956" spans="1:24">
      <c r="A12956">
        <f>HYPERLINK("https://www.philgeps.gov.ph/GEPSNONPILOT/Tender/SplashBidNoticeAbstractUI.aspx?menuIndex=3&amp;refID=7055021&amp;Result=3","7055021")</f>
        <v>0</v>
      </c>
      <c r="B12956" t="s">
        <v>362</v>
      </c>
      <c r="C12956" t="s">
        <v>15907</v>
      </c>
      <c r="D12956" t="s">
        <v>18103</v>
      </c>
      <c r="E12956" t="s">
        <v>29406</v>
      </c>
      <c r="F12956" t="s">
        <v>31362</v>
      </c>
      <c r="G12956" t="s">
        <v>31369</v>
      </c>
      <c r="H12956" t="s">
        <v>15799</v>
      </c>
      <c r="I12956" t="s">
        <v>31388</v>
      </c>
      <c r="J12956" t="s">
        <v>33446</v>
      </c>
      <c r="K12956" t="s">
        <v>40665</v>
      </c>
      <c r="M12956" t="s">
        <v>43062</v>
      </c>
      <c r="N12956" t="s">
        <v>44905</v>
      </c>
      <c r="O12956" t="s">
        <v>44906</v>
      </c>
      <c r="P12956">
        <v>0</v>
      </c>
      <c r="Q12956">
        <v>2</v>
      </c>
      <c r="R12956" t="s">
        <v>44921</v>
      </c>
      <c r="S12956" t="s">
        <v>45564</v>
      </c>
      <c r="T12956" t="s">
        <v>46533</v>
      </c>
      <c r="U12956" t="s">
        <v>47543</v>
      </c>
      <c r="V12956" t="s">
        <v>60391</v>
      </c>
      <c r="W12956" t="s">
        <v>60849</v>
      </c>
      <c r="X12956" t="s">
        <v>44922</v>
      </c>
    </row>
    <row r="12957" spans="1:24">
      <c r="A12957">
        <f>HYPERLINK("https://www.philgeps.gov.ph/GEPSNONPILOT/Tender/SplashBidNoticeAbstractUI.aspx?menuIndex=3&amp;refID=7055009&amp;Result=3","7055009")</f>
        <v>0</v>
      </c>
      <c r="B12957" t="s">
        <v>3135</v>
      </c>
      <c r="C12957" t="s">
        <v>15908</v>
      </c>
      <c r="D12957" t="s">
        <v>18104</v>
      </c>
      <c r="E12957" t="s">
        <v>29407</v>
      </c>
      <c r="F12957" t="s">
        <v>31362</v>
      </c>
      <c r="G12957" t="s">
        <v>31369</v>
      </c>
      <c r="H12957" t="s">
        <v>15799</v>
      </c>
      <c r="I12957" t="s">
        <v>31380</v>
      </c>
      <c r="J12957" t="s">
        <v>31734</v>
      </c>
      <c r="K12957" t="s">
        <v>40665</v>
      </c>
      <c r="L12957" t="s">
        <v>3135</v>
      </c>
      <c r="M12957" t="s">
        <v>44394</v>
      </c>
      <c r="N12957" t="s">
        <v>44905</v>
      </c>
      <c r="O12957" t="s">
        <v>44906</v>
      </c>
      <c r="P12957">
        <v>0</v>
      </c>
      <c r="Q12957">
        <v>7</v>
      </c>
      <c r="R12957" t="s">
        <v>44921</v>
      </c>
      <c r="S12957" t="s">
        <v>45564</v>
      </c>
      <c r="T12957" t="s">
        <v>46425</v>
      </c>
      <c r="U12957" t="s">
        <v>57265</v>
      </c>
      <c r="W12957" t="s">
        <v>44394</v>
      </c>
      <c r="X12957" t="s">
        <v>44922</v>
      </c>
    </row>
    <row r="12958" spans="1:24">
      <c r="A12958">
        <f>HYPERLINK("https://www.philgeps.gov.ph/GEPSNONPILOT/Tender/SplashBidNoticeAbstractUI.aspx?menuIndex=3&amp;refID=7055008&amp;Result=3","7055008")</f>
        <v>0</v>
      </c>
      <c r="B12958" t="s">
        <v>3308</v>
      </c>
      <c r="C12958" t="s">
        <v>15909</v>
      </c>
      <c r="D12958" t="s">
        <v>18127</v>
      </c>
      <c r="E12958" t="s">
        <v>29408</v>
      </c>
      <c r="F12958" t="s">
        <v>31362</v>
      </c>
      <c r="G12958" t="s">
        <v>31369</v>
      </c>
      <c r="H12958" t="s">
        <v>15799</v>
      </c>
      <c r="I12958" t="s">
        <v>6373</v>
      </c>
      <c r="J12958" t="s">
        <v>39389</v>
      </c>
      <c r="K12958" t="s">
        <v>40666</v>
      </c>
      <c r="M12958" t="s">
        <v>44599</v>
      </c>
      <c r="N12958" t="s">
        <v>44905</v>
      </c>
      <c r="O12958" t="s">
        <v>44906</v>
      </c>
      <c r="P12958">
        <v>0</v>
      </c>
      <c r="Q12958">
        <v>10</v>
      </c>
      <c r="R12958" t="s">
        <v>44921</v>
      </c>
      <c r="S12958" t="s">
        <v>45564</v>
      </c>
      <c r="T12958" t="s">
        <v>46560</v>
      </c>
      <c r="U12958" t="s">
        <v>57266</v>
      </c>
      <c r="W12958" t="s">
        <v>44599</v>
      </c>
      <c r="X12958" t="s">
        <v>44922</v>
      </c>
    </row>
    <row r="12959" spans="1:24">
      <c r="A12959">
        <f>HYPERLINK("https://www.philgeps.gov.ph/GEPSNONPILOT/Tender/SplashBidNoticeAbstractUI.aspx?menuIndex=3&amp;refID=7055005&amp;Result=3","7055005")</f>
        <v>0</v>
      </c>
      <c r="B12959" t="s">
        <v>1473</v>
      </c>
      <c r="C12959" t="s">
        <v>15910</v>
      </c>
      <c r="D12959" t="s">
        <v>18106</v>
      </c>
      <c r="E12959" t="s">
        <v>29409</v>
      </c>
      <c r="F12959" t="s">
        <v>31362</v>
      </c>
      <c r="G12959" t="s">
        <v>31369</v>
      </c>
      <c r="H12959" t="s">
        <v>31378</v>
      </c>
      <c r="I12959" t="s">
        <v>31386</v>
      </c>
      <c r="J12959" t="s">
        <v>37357</v>
      </c>
      <c r="K12959" t="s">
        <v>40924</v>
      </c>
      <c r="M12959" t="s">
        <v>42507</v>
      </c>
      <c r="N12959" t="s">
        <v>44905</v>
      </c>
      <c r="O12959" t="s">
        <v>44906</v>
      </c>
      <c r="Q12959">
        <v>9</v>
      </c>
      <c r="R12959" t="s">
        <v>44921</v>
      </c>
      <c r="S12959" t="s">
        <v>45616</v>
      </c>
      <c r="T12959" t="s">
        <v>46470</v>
      </c>
      <c r="U12959" t="s">
        <v>57267</v>
      </c>
      <c r="V12959" t="s">
        <v>60492</v>
      </c>
      <c r="W12959" t="s">
        <v>42507</v>
      </c>
      <c r="X12959" t="s">
        <v>44922</v>
      </c>
    </row>
    <row r="12960" spans="1:24">
      <c r="A12960">
        <f>HYPERLINK("https://www.philgeps.gov.ph/GEPSNONPILOT/Tender/SplashBidNoticeAbstractUI.aspx?menuIndex=3&amp;refID=7055122&amp;Result=3","7055122")</f>
        <v>0</v>
      </c>
      <c r="B12960" t="s">
        <v>1159</v>
      </c>
      <c r="C12960" t="s">
        <v>15911</v>
      </c>
      <c r="D12960" t="s">
        <v>18126</v>
      </c>
      <c r="E12960" t="s">
        <v>29410</v>
      </c>
      <c r="F12960" t="s">
        <v>31362</v>
      </c>
      <c r="G12960" t="s">
        <v>31369</v>
      </c>
      <c r="H12960" t="s">
        <v>31378</v>
      </c>
      <c r="I12960" t="s">
        <v>31386</v>
      </c>
      <c r="J12960" t="s">
        <v>39390</v>
      </c>
      <c r="K12960" t="s">
        <v>40686</v>
      </c>
      <c r="M12960" t="s">
        <v>42168</v>
      </c>
      <c r="N12960" t="s">
        <v>44905</v>
      </c>
      <c r="O12960" t="s">
        <v>44906</v>
      </c>
      <c r="Q12960">
        <v>33</v>
      </c>
      <c r="R12960" t="s">
        <v>44921</v>
      </c>
      <c r="S12960" t="s">
        <v>45582</v>
      </c>
      <c r="T12960" t="s">
        <v>46470</v>
      </c>
      <c r="U12960" t="s">
        <v>57268</v>
      </c>
      <c r="V12960" t="s">
        <v>59386</v>
      </c>
      <c r="W12960" t="s">
        <v>42168</v>
      </c>
      <c r="X12960" t="s">
        <v>44922</v>
      </c>
    </row>
    <row r="12961" spans="1:24">
      <c r="A12961">
        <f>HYPERLINK("https://www.philgeps.gov.ph/GEPSNONPILOT/Tender/SplashBidNoticeAbstractUI.aspx?menuIndex=3&amp;refID=7055039&amp;Result=3","7055039")</f>
        <v>0</v>
      </c>
      <c r="B12961" t="s">
        <v>1473</v>
      </c>
      <c r="C12961" t="s">
        <v>15912</v>
      </c>
      <c r="D12961" t="s">
        <v>18106</v>
      </c>
      <c r="E12961" t="s">
        <v>29411</v>
      </c>
      <c r="F12961" t="s">
        <v>31362</v>
      </c>
      <c r="G12961" t="s">
        <v>31369</v>
      </c>
      <c r="H12961" t="s">
        <v>31378</v>
      </c>
      <c r="I12961" t="s">
        <v>31386</v>
      </c>
      <c r="J12961" t="s">
        <v>38515</v>
      </c>
      <c r="K12961" t="s">
        <v>40871</v>
      </c>
      <c r="M12961" t="s">
        <v>42507</v>
      </c>
      <c r="N12961" t="s">
        <v>44905</v>
      </c>
      <c r="O12961" t="s">
        <v>44906</v>
      </c>
      <c r="P12961">
        <v>0</v>
      </c>
      <c r="Q12961">
        <v>9</v>
      </c>
      <c r="R12961" t="s">
        <v>44921</v>
      </c>
      <c r="S12961" t="s">
        <v>45564</v>
      </c>
      <c r="T12961" t="s">
        <v>46470</v>
      </c>
      <c r="U12961" t="s">
        <v>57269</v>
      </c>
      <c r="V12961" t="s">
        <v>60493</v>
      </c>
      <c r="W12961" t="s">
        <v>42507</v>
      </c>
      <c r="X12961" t="s">
        <v>44922</v>
      </c>
    </row>
    <row r="12962" spans="1:24">
      <c r="A12962">
        <f>HYPERLINK("https://www.philgeps.gov.ph/GEPSNONPILOT/Tender/SplashBidNoticeAbstractUI.aspx?menuIndex=3&amp;refID=7055057&amp;Result=3","7055057")</f>
        <v>0</v>
      </c>
      <c r="B12962" t="s">
        <v>3251</v>
      </c>
      <c r="C12962" t="s">
        <v>15913</v>
      </c>
      <c r="D12962" t="s">
        <v>18117</v>
      </c>
      <c r="E12962" t="s">
        <v>29412</v>
      </c>
      <c r="F12962" t="s">
        <v>31362</v>
      </c>
      <c r="G12962" t="s">
        <v>31369</v>
      </c>
      <c r="H12962" t="s">
        <v>15799</v>
      </c>
      <c r="I12962" t="s">
        <v>7188</v>
      </c>
      <c r="J12962" t="s">
        <v>39391</v>
      </c>
      <c r="K12962" t="s">
        <v>40662</v>
      </c>
      <c r="M12962" t="s">
        <v>44531</v>
      </c>
      <c r="N12962" t="s">
        <v>44905</v>
      </c>
      <c r="O12962" t="s">
        <v>44906</v>
      </c>
      <c r="Q12962">
        <v>5</v>
      </c>
      <c r="R12962" t="s">
        <v>44921</v>
      </c>
      <c r="S12962" t="s">
        <v>45497</v>
      </c>
      <c r="T12962" t="s">
        <v>46470</v>
      </c>
      <c r="U12962" t="s">
        <v>57270</v>
      </c>
      <c r="V12962" t="s">
        <v>60409</v>
      </c>
      <c r="W12962" t="s">
        <v>44531</v>
      </c>
      <c r="X12962" t="s">
        <v>44922</v>
      </c>
    </row>
    <row r="12963" spans="1:24">
      <c r="A12963">
        <f>HYPERLINK("https://www.philgeps.gov.ph/GEPSNONPILOT/Tender/SplashBidNoticeAbstractUI.aspx?menuIndex=3&amp;refID=7055252&amp;Result=3","7055252")</f>
        <v>0</v>
      </c>
      <c r="B12963" t="s">
        <v>1159</v>
      </c>
      <c r="C12963" t="s">
        <v>15914</v>
      </c>
      <c r="D12963" t="s">
        <v>18126</v>
      </c>
      <c r="E12963" t="s">
        <v>29413</v>
      </c>
      <c r="F12963" t="s">
        <v>31362</v>
      </c>
      <c r="G12963" t="s">
        <v>31369</v>
      </c>
      <c r="H12963" t="s">
        <v>31378</v>
      </c>
      <c r="I12963" t="s">
        <v>31386</v>
      </c>
      <c r="J12963" t="s">
        <v>39392</v>
      </c>
      <c r="K12963" t="s">
        <v>40688</v>
      </c>
      <c r="M12963" t="s">
        <v>42168</v>
      </c>
      <c r="N12963" t="s">
        <v>44905</v>
      </c>
      <c r="O12963" t="s">
        <v>44906</v>
      </c>
      <c r="Q12963">
        <v>25</v>
      </c>
      <c r="R12963" t="s">
        <v>44921</v>
      </c>
      <c r="S12963" t="s">
        <v>45617</v>
      </c>
      <c r="T12963" t="s">
        <v>46470</v>
      </c>
      <c r="U12963" t="s">
        <v>57271</v>
      </c>
      <c r="V12963" t="s">
        <v>59386</v>
      </c>
      <c r="W12963" t="s">
        <v>42168</v>
      </c>
      <c r="X12963" t="s">
        <v>44922</v>
      </c>
    </row>
    <row r="12964" spans="1:24">
      <c r="A12964">
        <f>HYPERLINK("https://www.philgeps.gov.ph/GEPSNONPILOT/Tender/SplashBidNoticeAbstractUI.aspx?menuIndex=3&amp;refID=7055239&amp;Result=3","7055239")</f>
        <v>0</v>
      </c>
      <c r="B12964" t="s">
        <v>348</v>
      </c>
      <c r="C12964" t="s">
        <v>15915</v>
      </c>
      <c r="E12964" t="s">
        <v>29414</v>
      </c>
      <c r="F12964" t="s">
        <v>31362</v>
      </c>
      <c r="G12964" t="s">
        <v>31369</v>
      </c>
      <c r="H12964" t="s">
        <v>15799</v>
      </c>
      <c r="I12964" t="s">
        <v>7188</v>
      </c>
      <c r="J12964" t="s">
        <v>39393</v>
      </c>
      <c r="K12964" t="s">
        <v>40665</v>
      </c>
      <c r="M12964" t="s">
        <v>44600</v>
      </c>
      <c r="N12964" t="s">
        <v>44905</v>
      </c>
      <c r="O12964" t="s">
        <v>44906</v>
      </c>
      <c r="Q12964">
        <v>9</v>
      </c>
      <c r="R12964" t="s">
        <v>44921</v>
      </c>
      <c r="S12964" t="s">
        <v>45618</v>
      </c>
      <c r="T12964" t="s">
        <v>46499</v>
      </c>
      <c r="U12964" t="s">
        <v>57272</v>
      </c>
      <c r="W12964" t="s">
        <v>44600</v>
      </c>
      <c r="X12964" t="s">
        <v>44922</v>
      </c>
    </row>
    <row r="12965" spans="1:24">
      <c r="A12965">
        <f>HYPERLINK("https://www.philgeps.gov.ph/GEPSNONPILOT/Tender/SplashBidNoticeAbstractUI.aspx?menuIndex=3&amp;refID=7054990&amp;Result=3","7054990")</f>
        <v>0</v>
      </c>
      <c r="B12965" t="s">
        <v>3309</v>
      </c>
      <c r="C12965" t="s">
        <v>15916</v>
      </c>
      <c r="D12965" t="s">
        <v>18176</v>
      </c>
      <c r="E12965" t="s">
        <v>29415</v>
      </c>
      <c r="F12965" t="s">
        <v>31362</v>
      </c>
      <c r="G12965" t="s">
        <v>31369</v>
      </c>
      <c r="H12965" t="s">
        <v>31378</v>
      </c>
      <c r="I12965" t="s">
        <v>31386</v>
      </c>
      <c r="J12965" t="s">
        <v>39394</v>
      </c>
      <c r="K12965" t="s">
        <v>40683</v>
      </c>
      <c r="M12965" t="s">
        <v>44601</v>
      </c>
      <c r="N12965" t="s">
        <v>44905</v>
      </c>
      <c r="O12965" t="s">
        <v>44906</v>
      </c>
      <c r="P12965">
        <v>0</v>
      </c>
      <c r="Q12965">
        <v>2</v>
      </c>
      <c r="R12965" t="s">
        <v>44921</v>
      </c>
      <c r="S12965" t="s">
        <v>45564</v>
      </c>
      <c r="T12965" t="s">
        <v>46685</v>
      </c>
      <c r="U12965" t="s">
        <v>57273</v>
      </c>
      <c r="W12965" t="s">
        <v>44601</v>
      </c>
      <c r="X12965" t="s">
        <v>44922</v>
      </c>
    </row>
    <row r="12966" spans="1:24">
      <c r="A12966">
        <f>HYPERLINK("https://www.philgeps.gov.ph/GEPSNONPILOT/Tender/SplashBidNoticeAbstractUI.aspx?menuIndex=3&amp;refID=7055233&amp;Result=3","7055233")</f>
        <v>0</v>
      </c>
      <c r="B12966" t="s">
        <v>3310</v>
      </c>
      <c r="C12966" t="s">
        <v>15917</v>
      </c>
      <c r="D12966" t="s">
        <v>18140</v>
      </c>
      <c r="E12966" t="s">
        <v>29416</v>
      </c>
      <c r="F12966" t="s">
        <v>31362</v>
      </c>
      <c r="G12966" t="s">
        <v>31369</v>
      </c>
      <c r="H12966" t="s">
        <v>15799</v>
      </c>
      <c r="I12966" t="s">
        <v>31385</v>
      </c>
      <c r="J12966" t="s">
        <v>39395</v>
      </c>
      <c r="K12966" t="s">
        <v>40666</v>
      </c>
      <c r="L12966" t="s">
        <v>3310</v>
      </c>
      <c r="M12966" t="s">
        <v>44602</v>
      </c>
      <c r="N12966" t="s">
        <v>44905</v>
      </c>
      <c r="O12966" t="s">
        <v>44906</v>
      </c>
      <c r="P12966">
        <v>0</v>
      </c>
      <c r="Q12966">
        <v>5</v>
      </c>
      <c r="R12966" t="s">
        <v>44921</v>
      </c>
      <c r="S12966" t="s">
        <v>45564</v>
      </c>
      <c r="T12966" t="s">
        <v>46415</v>
      </c>
      <c r="U12966" t="s">
        <v>57274</v>
      </c>
      <c r="W12966" t="s">
        <v>44602</v>
      </c>
      <c r="X12966" t="s">
        <v>44922</v>
      </c>
    </row>
    <row r="12967" spans="1:24">
      <c r="A12967">
        <f>HYPERLINK("https://www.philgeps.gov.ph/GEPSNONPILOT/Tender/SplashBidNoticeAbstractUI.aspx?menuIndex=3&amp;refID=7055229&amp;Result=3","7055229")</f>
        <v>0</v>
      </c>
      <c r="B12967" t="s">
        <v>3311</v>
      </c>
      <c r="C12967" t="s">
        <v>15918</v>
      </c>
      <c r="D12967" t="s">
        <v>18148</v>
      </c>
      <c r="E12967" t="s">
        <v>19122</v>
      </c>
      <c r="F12967" t="s">
        <v>31362</v>
      </c>
      <c r="G12967" t="s">
        <v>31368</v>
      </c>
      <c r="H12967" t="s">
        <v>31378</v>
      </c>
      <c r="I12967" t="s">
        <v>31386</v>
      </c>
      <c r="J12967" t="s">
        <v>39396</v>
      </c>
      <c r="K12967" t="s">
        <v>40665</v>
      </c>
      <c r="M12967" t="s">
        <v>44603</v>
      </c>
      <c r="N12967" t="s">
        <v>44905</v>
      </c>
      <c r="O12967" t="s">
        <v>44906</v>
      </c>
      <c r="Q12967">
        <v>0</v>
      </c>
      <c r="R12967" t="s">
        <v>44921</v>
      </c>
      <c r="S12967" t="s">
        <v>45619</v>
      </c>
      <c r="T12967" t="s">
        <v>46436</v>
      </c>
      <c r="U12967" t="s">
        <v>57275</v>
      </c>
      <c r="V12967" t="s">
        <v>60494</v>
      </c>
      <c r="W12967" t="s">
        <v>44603</v>
      </c>
      <c r="X12967" t="s">
        <v>44922</v>
      </c>
    </row>
    <row r="12968" spans="1:24">
      <c r="A12968">
        <f>HYPERLINK("https://www.philgeps.gov.ph/GEPSNONPILOT/Tender/SplashBidNoticeAbstractUI.aspx?menuIndex=3&amp;refID=7054287&amp;Result=3","7054287")</f>
        <v>0</v>
      </c>
      <c r="B12968" t="s">
        <v>3067</v>
      </c>
      <c r="C12968" t="s">
        <v>15919</v>
      </c>
      <c r="D12968" t="s">
        <v>18106</v>
      </c>
      <c r="E12968" t="s">
        <v>29417</v>
      </c>
      <c r="F12968" t="s">
        <v>31362</v>
      </c>
      <c r="G12968" t="s">
        <v>31369</v>
      </c>
      <c r="H12968" t="s">
        <v>31378</v>
      </c>
      <c r="I12968" t="s">
        <v>31386</v>
      </c>
      <c r="J12968" t="s">
        <v>39338</v>
      </c>
      <c r="K12968" t="s">
        <v>40742</v>
      </c>
      <c r="L12968" t="s">
        <v>3067</v>
      </c>
      <c r="M12968" t="s">
        <v>44304</v>
      </c>
      <c r="N12968" t="s">
        <v>44905</v>
      </c>
      <c r="O12968" t="s">
        <v>44906</v>
      </c>
      <c r="P12968">
        <v>0</v>
      </c>
      <c r="Q12968">
        <v>0</v>
      </c>
      <c r="R12968" t="s">
        <v>44921</v>
      </c>
      <c r="S12968" t="s">
        <v>45564</v>
      </c>
      <c r="T12968" t="s">
        <v>46403</v>
      </c>
      <c r="U12968" t="s">
        <v>57195</v>
      </c>
      <c r="W12968" t="s">
        <v>44304</v>
      </c>
      <c r="X12968" t="s">
        <v>44922</v>
      </c>
    </row>
    <row r="12969" spans="1:24">
      <c r="A12969">
        <f>HYPERLINK("https://www.philgeps.gov.ph/GEPSNONPILOT/Tender/SplashBidNoticeAbstractUI.aspx?menuIndex=3&amp;refID=7055219&amp;Result=3","7055219")</f>
        <v>0</v>
      </c>
      <c r="B12969" t="s">
        <v>3312</v>
      </c>
      <c r="C12969" t="s">
        <v>15920</v>
      </c>
      <c r="E12969" t="s">
        <v>29418</v>
      </c>
      <c r="F12969" t="s">
        <v>31362</v>
      </c>
      <c r="G12969" t="s">
        <v>31369</v>
      </c>
      <c r="H12969" t="s">
        <v>15799</v>
      </c>
      <c r="I12969" t="s">
        <v>3815</v>
      </c>
      <c r="J12969" t="s">
        <v>39397</v>
      </c>
      <c r="K12969" t="s">
        <v>40662</v>
      </c>
      <c r="M12969" t="s">
        <v>44604</v>
      </c>
      <c r="N12969" t="s">
        <v>44905</v>
      </c>
      <c r="O12969" t="s">
        <v>44906</v>
      </c>
      <c r="P12969">
        <v>0</v>
      </c>
      <c r="Q12969">
        <v>0</v>
      </c>
      <c r="R12969" t="s">
        <v>44921</v>
      </c>
      <c r="S12969" t="s">
        <v>45564</v>
      </c>
      <c r="T12969" t="s">
        <v>46425</v>
      </c>
      <c r="U12969" t="s">
        <v>57276</v>
      </c>
      <c r="W12969" t="s">
        <v>44604</v>
      </c>
      <c r="X12969" t="s">
        <v>44922</v>
      </c>
    </row>
    <row r="12970" spans="1:24">
      <c r="A12970">
        <f>HYPERLINK("https://www.philgeps.gov.ph/GEPSNONPILOT/Tender/SplashBidNoticeAbstractUI.aspx?menuIndex=3&amp;refID=7055210&amp;Result=3","7055210")</f>
        <v>0</v>
      </c>
      <c r="B12970" t="s">
        <v>3310</v>
      </c>
      <c r="C12970" t="s">
        <v>15921</v>
      </c>
      <c r="D12970" t="s">
        <v>18140</v>
      </c>
      <c r="E12970" t="s">
        <v>29416</v>
      </c>
      <c r="F12970" t="s">
        <v>31362</v>
      </c>
      <c r="G12970" t="s">
        <v>31369</v>
      </c>
      <c r="H12970" t="s">
        <v>15799</v>
      </c>
      <c r="I12970" t="s">
        <v>3815</v>
      </c>
      <c r="J12970" t="s">
        <v>39398</v>
      </c>
      <c r="K12970" t="s">
        <v>40666</v>
      </c>
      <c r="L12970" t="s">
        <v>3310</v>
      </c>
      <c r="M12970" t="s">
        <v>44602</v>
      </c>
      <c r="N12970" t="s">
        <v>44905</v>
      </c>
      <c r="O12970" t="s">
        <v>44906</v>
      </c>
      <c r="P12970">
        <v>0</v>
      </c>
      <c r="Q12970">
        <v>1</v>
      </c>
      <c r="R12970" t="s">
        <v>44921</v>
      </c>
      <c r="S12970" t="s">
        <v>45564</v>
      </c>
      <c r="T12970" t="s">
        <v>46415</v>
      </c>
      <c r="U12970" t="s">
        <v>57277</v>
      </c>
      <c r="W12970" t="s">
        <v>44602</v>
      </c>
      <c r="X12970" t="s">
        <v>44922</v>
      </c>
    </row>
    <row r="12971" spans="1:24">
      <c r="A12971">
        <f>HYPERLINK("https://www.philgeps.gov.ph/GEPSNONPILOT/Tender/SplashBidNoticeAbstractUI.aspx?menuIndex=3&amp;refID=7055214&amp;Result=3","7055214")</f>
        <v>0</v>
      </c>
      <c r="B12971" t="s">
        <v>81</v>
      </c>
      <c r="C12971" t="s">
        <v>15922</v>
      </c>
      <c r="E12971" t="s">
        <v>29419</v>
      </c>
      <c r="F12971" t="s">
        <v>31362</v>
      </c>
      <c r="G12971" t="s">
        <v>31369</v>
      </c>
      <c r="H12971" t="s">
        <v>31378</v>
      </c>
      <c r="I12971" t="s">
        <v>31386</v>
      </c>
      <c r="J12971" t="s">
        <v>39399</v>
      </c>
      <c r="K12971" t="s">
        <v>40662</v>
      </c>
      <c r="M12971" t="s">
        <v>41999</v>
      </c>
      <c r="N12971" t="s">
        <v>44905</v>
      </c>
      <c r="O12971" t="s">
        <v>44906</v>
      </c>
      <c r="Q12971">
        <v>2</v>
      </c>
      <c r="R12971" t="s">
        <v>44921</v>
      </c>
      <c r="S12971" t="s">
        <v>45620</v>
      </c>
      <c r="T12971" t="s">
        <v>46503</v>
      </c>
      <c r="U12971" t="s">
        <v>57278</v>
      </c>
      <c r="W12971" t="s">
        <v>41999</v>
      </c>
      <c r="X12971" t="s">
        <v>44922</v>
      </c>
    </row>
    <row r="12972" spans="1:24">
      <c r="A12972">
        <f>HYPERLINK("https://www.philgeps.gov.ph/GEPSNONPILOT/Tender/SplashBidNoticeAbstractUI.aspx?menuIndex=3&amp;refID=7055185&amp;Result=3","7055185")</f>
        <v>0</v>
      </c>
      <c r="B12972" t="s">
        <v>1159</v>
      </c>
      <c r="C12972" t="s">
        <v>15923</v>
      </c>
      <c r="D12972" t="s">
        <v>18126</v>
      </c>
      <c r="E12972" t="s">
        <v>29420</v>
      </c>
      <c r="F12972" t="s">
        <v>31362</v>
      </c>
      <c r="G12972" t="s">
        <v>31369</v>
      </c>
      <c r="H12972" t="s">
        <v>31378</v>
      </c>
      <c r="I12972" t="s">
        <v>31386</v>
      </c>
      <c r="J12972" t="s">
        <v>39400</v>
      </c>
      <c r="K12972" t="s">
        <v>40683</v>
      </c>
      <c r="M12972" t="s">
        <v>42168</v>
      </c>
      <c r="N12972" t="s">
        <v>44905</v>
      </c>
      <c r="O12972" t="s">
        <v>44906</v>
      </c>
      <c r="Q12972">
        <v>35</v>
      </c>
      <c r="R12972" t="s">
        <v>44921</v>
      </c>
      <c r="S12972" t="s">
        <v>45430</v>
      </c>
      <c r="T12972" t="s">
        <v>46470</v>
      </c>
      <c r="U12972" t="s">
        <v>57279</v>
      </c>
      <c r="V12972" t="s">
        <v>59386</v>
      </c>
      <c r="W12972" t="s">
        <v>42168</v>
      </c>
      <c r="X12972" t="s">
        <v>44922</v>
      </c>
    </row>
    <row r="12973" spans="1:24">
      <c r="A12973">
        <f>HYPERLINK("https://www.philgeps.gov.ph/GEPSNONPILOT/Tender/SplashBidNoticeAbstractUI.aspx?menuIndex=3&amp;refID=7055245&amp;Result=3","7055245")</f>
        <v>0</v>
      </c>
      <c r="B12973" t="s">
        <v>2951</v>
      </c>
      <c r="C12973" t="s">
        <v>15924</v>
      </c>
      <c r="D12973" t="s">
        <v>18151</v>
      </c>
      <c r="E12973" t="s">
        <v>29421</v>
      </c>
      <c r="F12973" t="s">
        <v>31362</v>
      </c>
      <c r="G12973" t="s">
        <v>31368</v>
      </c>
      <c r="H12973" t="s">
        <v>15799</v>
      </c>
      <c r="I12973" t="s">
        <v>31427</v>
      </c>
      <c r="J12973" t="s">
        <v>34314</v>
      </c>
      <c r="K12973" t="s">
        <v>40665</v>
      </c>
      <c r="M12973" t="s">
        <v>44174</v>
      </c>
      <c r="N12973" t="s">
        <v>44905</v>
      </c>
      <c r="O12973" t="s">
        <v>44906</v>
      </c>
      <c r="P12973">
        <v>0</v>
      </c>
      <c r="Q12973">
        <v>5</v>
      </c>
      <c r="R12973" t="s">
        <v>44921</v>
      </c>
      <c r="S12973" t="s">
        <v>45564</v>
      </c>
      <c r="T12973" t="s">
        <v>46428</v>
      </c>
      <c r="U12973" t="s">
        <v>57280</v>
      </c>
      <c r="W12973" t="s">
        <v>44174</v>
      </c>
      <c r="X12973" t="s">
        <v>44922</v>
      </c>
    </row>
    <row r="12974" spans="1:24">
      <c r="A12974">
        <f>HYPERLINK("https://www.philgeps.gov.ph/GEPSNONPILOT/Tender/SplashBidNoticeAbstractUI.aspx?menuIndex=3&amp;refID=7055183&amp;Result=3","7055183")</f>
        <v>0</v>
      </c>
      <c r="B12974" t="s">
        <v>3311</v>
      </c>
      <c r="C12974" t="s">
        <v>15925</v>
      </c>
      <c r="D12974" t="s">
        <v>18148</v>
      </c>
      <c r="E12974" t="s">
        <v>23316</v>
      </c>
      <c r="F12974" t="s">
        <v>31362</v>
      </c>
      <c r="G12974" t="s">
        <v>31369</v>
      </c>
      <c r="H12974" t="s">
        <v>31378</v>
      </c>
      <c r="I12974" t="s">
        <v>31386</v>
      </c>
      <c r="J12974" t="s">
        <v>39401</v>
      </c>
      <c r="K12974" t="s">
        <v>40679</v>
      </c>
      <c r="M12974" t="s">
        <v>44603</v>
      </c>
      <c r="N12974" t="s">
        <v>44905</v>
      </c>
      <c r="O12974" t="s">
        <v>44906</v>
      </c>
      <c r="Q12974">
        <v>1</v>
      </c>
      <c r="R12974" t="s">
        <v>44921</v>
      </c>
      <c r="S12974" t="s">
        <v>45621</v>
      </c>
      <c r="T12974" t="s">
        <v>46436</v>
      </c>
      <c r="U12974" t="s">
        <v>57281</v>
      </c>
      <c r="V12974" t="s">
        <v>60494</v>
      </c>
      <c r="W12974" t="s">
        <v>44603</v>
      </c>
      <c r="X12974" t="s">
        <v>44922</v>
      </c>
    </row>
    <row r="12975" spans="1:24">
      <c r="A12975">
        <f>HYPERLINK("https://www.philgeps.gov.ph/GEPSNONPILOT/Tender/SplashBidNoticeAbstractUI.aspx?menuIndex=3&amp;refID=7055170&amp;Result=3","7055170")</f>
        <v>0</v>
      </c>
      <c r="B12975" t="s">
        <v>1159</v>
      </c>
      <c r="C12975" t="s">
        <v>15926</v>
      </c>
      <c r="D12975" t="s">
        <v>18126</v>
      </c>
      <c r="E12975" t="s">
        <v>29422</v>
      </c>
      <c r="F12975" t="s">
        <v>31362</v>
      </c>
      <c r="G12975" t="s">
        <v>31369</v>
      </c>
      <c r="H12975" t="s">
        <v>31378</v>
      </c>
      <c r="I12975" t="s">
        <v>31386</v>
      </c>
      <c r="J12975" t="s">
        <v>39402</v>
      </c>
      <c r="K12975" t="s">
        <v>40683</v>
      </c>
      <c r="M12975" t="s">
        <v>42168</v>
      </c>
      <c r="N12975" t="s">
        <v>44905</v>
      </c>
      <c r="O12975" t="s">
        <v>44906</v>
      </c>
      <c r="Q12975">
        <v>32</v>
      </c>
      <c r="R12975" t="s">
        <v>44921</v>
      </c>
      <c r="S12975" t="s">
        <v>45622</v>
      </c>
      <c r="T12975" t="s">
        <v>46470</v>
      </c>
      <c r="U12975" t="s">
        <v>57282</v>
      </c>
      <c r="V12975" t="s">
        <v>59386</v>
      </c>
      <c r="W12975" t="s">
        <v>42168</v>
      </c>
      <c r="X12975" t="s">
        <v>44922</v>
      </c>
    </row>
    <row r="12976" spans="1:24">
      <c r="A12976">
        <f>HYPERLINK("https://www.philgeps.gov.ph/GEPSNONPILOT/Tender/SplashBidNoticeAbstractUI.aspx?menuIndex=3&amp;refID=7055092&amp;Result=3","7055092")</f>
        <v>0</v>
      </c>
      <c r="B12976" t="s">
        <v>1159</v>
      </c>
      <c r="C12976" t="s">
        <v>15927</v>
      </c>
      <c r="D12976" t="s">
        <v>18126</v>
      </c>
      <c r="E12976" t="s">
        <v>29423</v>
      </c>
      <c r="F12976" t="s">
        <v>31362</v>
      </c>
      <c r="G12976" t="s">
        <v>31369</v>
      </c>
      <c r="H12976" t="s">
        <v>31378</v>
      </c>
      <c r="I12976" t="s">
        <v>31386</v>
      </c>
      <c r="J12976" t="s">
        <v>39403</v>
      </c>
      <c r="K12976" t="s">
        <v>40686</v>
      </c>
      <c r="M12976" t="s">
        <v>42168</v>
      </c>
      <c r="N12976" t="s">
        <v>44905</v>
      </c>
      <c r="O12976" t="s">
        <v>44906</v>
      </c>
      <c r="Q12976">
        <v>34</v>
      </c>
      <c r="R12976" t="s">
        <v>44921</v>
      </c>
      <c r="S12976" t="s">
        <v>45623</v>
      </c>
      <c r="T12976" t="s">
        <v>46470</v>
      </c>
      <c r="U12976" t="s">
        <v>57283</v>
      </c>
      <c r="V12976" t="s">
        <v>59386</v>
      </c>
      <c r="W12976" t="s">
        <v>42168</v>
      </c>
      <c r="X12976" t="s">
        <v>44922</v>
      </c>
    </row>
    <row r="12977" spans="1:24">
      <c r="A12977">
        <f>HYPERLINK("https://www.philgeps.gov.ph/GEPSNONPILOT/Tender/SplashBidNoticeAbstractUI.aspx?menuIndex=3&amp;refID=7055151&amp;Result=3","7055151")</f>
        <v>0</v>
      </c>
      <c r="B12977" t="s">
        <v>1159</v>
      </c>
      <c r="C12977" t="s">
        <v>15928</v>
      </c>
      <c r="D12977" t="s">
        <v>18126</v>
      </c>
      <c r="E12977" t="s">
        <v>29424</v>
      </c>
      <c r="F12977" t="s">
        <v>31362</v>
      </c>
      <c r="G12977" t="s">
        <v>31369</v>
      </c>
      <c r="H12977" t="s">
        <v>31378</v>
      </c>
      <c r="I12977" t="s">
        <v>31386</v>
      </c>
      <c r="J12977" t="s">
        <v>39404</v>
      </c>
      <c r="K12977" t="s">
        <v>40686</v>
      </c>
      <c r="M12977" t="s">
        <v>42168</v>
      </c>
      <c r="N12977" t="s">
        <v>44905</v>
      </c>
      <c r="O12977" t="s">
        <v>44906</v>
      </c>
      <c r="Q12977">
        <v>33</v>
      </c>
      <c r="R12977" t="s">
        <v>44921</v>
      </c>
      <c r="S12977" t="s">
        <v>45624</v>
      </c>
      <c r="T12977" t="s">
        <v>46470</v>
      </c>
      <c r="U12977" t="s">
        <v>57284</v>
      </c>
      <c r="V12977" t="s">
        <v>59386</v>
      </c>
      <c r="W12977" t="s">
        <v>42168</v>
      </c>
      <c r="X12977" t="s">
        <v>44922</v>
      </c>
    </row>
    <row r="12978" spans="1:24">
      <c r="A12978">
        <f>HYPERLINK("https://www.philgeps.gov.ph/GEPSNONPILOT/Tender/SplashBidNoticeAbstractUI.aspx?menuIndex=3&amp;refID=7055148&amp;Result=3","7055148")</f>
        <v>0</v>
      </c>
      <c r="B12978" t="s">
        <v>685</v>
      </c>
      <c r="C12978" t="s">
        <v>13906</v>
      </c>
      <c r="D12978" t="s">
        <v>18163</v>
      </c>
      <c r="E12978" t="s">
        <v>29425</v>
      </c>
      <c r="F12978" t="s">
        <v>31362</v>
      </c>
      <c r="G12978" t="s">
        <v>31369</v>
      </c>
      <c r="H12978" t="s">
        <v>31378</v>
      </c>
      <c r="I12978" t="s">
        <v>31386</v>
      </c>
      <c r="J12978" t="s">
        <v>32669</v>
      </c>
      <c r="K12978" t="s">
        <v>40711</v>
      </c>
      <c r="M12978" t="s">
        <v>41647</v>
      </c>
      <c r="N12978" t="s">
        <v>44905</v>
      </c>
      <c r="O12978" t="s">
        <v>44906</v>
      </c>
      <c r="P12978">
        <v>0</v>
      </c>
      <c r="Q12978">
        <v>0</v>
      </c>
      <c r="R12978" t="s">
        <v>44921</v>
      </c>
      <c r="S12978" t="s">
        <v>45564</v>
      </c>
      <c r="T12978" t="s">
        <v>46464</v>
      </c>
      <c r="U12978" t="s">
        <v>57285</v>
      </c>
      <c r="W12978" t="s">
        <v>41647</v>
      </c>
      <c r="X12978" t="s">
        <v>44922</v>
      </c>
    </row>
    <row r="12979" spans="1:24">
      <c r="A12979">
        <f>HYPERLINK("https://www.philgeps.gov.ph/GEPSNONPILOT/Tender/SplashBidNoticeAbstractUI.aspx?menuIndex=3&amp;refID=7055145&amp;Result=3","7055145")</f>
        <v>0</v>
      </c>
      <c r="B12979" t="s">
        <v>3310</v>
      </c>
      <c r="C12979" t="s">
        <v>15929</v>
      </c>
      <c r="D12979" t="s">
        <v>18140</v>
      </c>
      <c r="E12979" t="s">
        <v>29426</v>
      </c>
      <c r="F12979" t="s">
        <v>31362</v>
      </c>
      <c r="G12979" t="s">
        <v>31369</v>
      </c>
      <c r="H12979" t="s">
        <v>15799</v>
      </c>
      <c r="I12979" t="s">
        <v>31404</v>
      </c>
      <c r="J12979" t="s">
        <v>39405</v>
      </c>
      <c r="K12979" t="s">
        <v>40666</v>
      </c>
      <c r="L12979" t="s">
        <v>3310</v>
      </c>
      <c r="M12979" t="s">
        <v>44602</v>
      </c>
      <c r="N12979" t="s">
        <v>44905</v>
      </c>
      <c r="O12979" t="s">
        <v>44906</v>
      </c>
      <c r="P12979">
        <v>0</v>
      </c>
      <c r="Q12979">
        <v>1</v>
      </c>
      <c r="R12979" t="s">
        <v>44921</v>
      </c>
      <c r="S12979" t="s">
        <v>45564</v>
      </c>
      <c r="T12979" t="s">
        <v>46415</v>
      </c>
      <c r="U12979" t="s">
        <v>57286</v>
      </c>
      <c r="W12979" t="s">
        <v>44602</v>
      </c>
      <c r="X12979" t="s">
        <v>44922</v>
      </c>
    </row>
    <row r="12980" spans="1:24">
      <c r="A12980">
        <f>HYPERLINK("https://www.philgeps.gov.ph/GEPSNONPILOT/Tender/SplashBidNoticeAbstractUI.aspx?menuIndex=3&amp;refID=7055131&amp;Result=3","7055131")</f>
        <v>0</v>
      </c>
      <c r="B12980" t="s">
        <v>1159</v>
      </c>
      <c r="C12980" t="s">
        <v>15930</v>
      </c>
      <c r="D12980" t="s">
        <v>18126</v>
      </c>
      <c r="E12980" t="s">
        <v>29427</v>
      </c>
      <c r="F12980" t="s">
        <v>31362</v>
      </c>
      <c r="G12980" t="s">
        <v>31369</v>
      </c>
      <c r="H12980" t="s">
        <v>31378</v>
      </c>
      <c r="I12980" t="s">
        <v>31386</v>
      </c>
      <c r="J12980" t="s">
        <v>39406</v>
      </c>
      <c r="K12980" t="s">
        <v>40686</v>
      </c>
      <c r="M12980" t="s">
        <v>42168</v>
      </c>
      <c r="N12980" t="s">
        <v>44905</v>
      </c>
      <c r="O12980" t="s">
        <v>44906</v>
      </c>
      <c r="Q12980">
        <v>33</v>
      </c>
      <c r="R12980" t="s">
        <v>44921</v>
      </c>
      <c r="S12980" t="s">
        <v>45157</v>
      </c>
      <c r="T12980" t="s">
        <v>46470</v>
      </c>
      <c r="U12980" t="s">
        <v>57287</v>
      </c>
      <c r="V12980" t="s">
        <v>59386</v>
      </c>
      <c r="W12980" t="s">
        <v>42168</v>
      </c>
      <c r="X12980" t="s">
        <v>44922</v>
      </c>
    </row>
    <row r="12981" spans="1:24">
      <c r="A12981">
        <f>HYPERLINK("https://www.philgeps.gov.ph/GEPSNONPILOT/Tender/SplashBidNoticeAbstractUI.aspx?menuIndex=3&amp;refID=7054280&amp;Result=3","7054280")</f>
        <v>0</v>
      </c>
      <c r="B12981" t="s">
        <v>3135</v>
      </c>
      <c r="C12981" t="s">
        <v>15931</v>
      </c>
      <c r="D12981" t="s">
        <v>18104</v>
      </c>
      <c r="E12981" t="s">
        <v>29428</v>
      </c>
      <c r="F12981" t="s">
        <v>31362</v>
      </c>
      <c r="G12981" t="s">
        <v>31369</v>
      </c>
      <c r="H12981" t="s">
        <v>31378</v>
      </c>
      <c r="I12981" t="s">
        <v>31386</v>
      </c>
      <c r="J12981" t="s">
        <v>39407</v>
      </c>
      <c r="K12981" t="s">
        <v>40682</v>
      </c>
      <c r="L12981" t="s">
        <v>3135</v>
      </c>
      <c r="M12981" t="s">
        <v>44394</v>
      </c>
      <c r="N12981" t="s">
        <v>44905</v>
      </c>
      <c r="O12981" t="s">
        <v>44906</v>
      </c>
      <c r="P12981">
        <v>0</v>
      </c>
      <c r="Q12981">
        <v>0</v>
      </c>
      <c r="R12981" t="s">
        <v>44921</v>
      </c>
      <c r="S12981" t="s">
        <v>45564</v>
      </c>
      <c r="T12981" t="s">
        <v>46425</v>
      </c>
      <c r="U12981" t="s">
        <v>57288</v>
      </c>
      <c r="W12981" t="s">
        <v>44394</v>
      </c>
      <c r="X12981" t="s">
        <v>44922</v>
      </c>
    </row>
    <row r="12982" spans="1:24">
      <c r="A12982">
        <f>HYPERLINK("https://www.philgeps.gov.ph/GEPSNONPILOT/Tender/SplashBidNoticeAbstractUI.aspx?menuIndex=3&amp;refID=7055036&amp;Result=3","7055036")</f>
        <v>0</v>
      </c>
      <c r="B12982" t="s">
        <v>3306</v>
      </c>
      <c r="C12982" t="s">
        <v>15932</v>
      </c>
      <c r="D12982" t="s">
        <v>18134</v>
      </c>
      <c r="E12982" t="s">
        <v>29429</v>
      </c>
      <c r="F12982" t="s">
        <v>31362</v>
      </c>
      <c r="G12982" t="s">
        <v>31369</v>
      </c>
      <c r="H12982" t="s">
        <v>31378</v>
      </c>
      <c r="I12982" t="s">
        <v>31386</v>
      </c>
      <c r="J12982" t="s">
        <v>39408</v>
      </c>
      <c r="K12982" t="s">
        <v>40824</v>
      </c>
      <c r="M12982" t="s">
        <v>44597</v>
      </c>
      <c r="N12982" t="s">
        <v>44905</v>
      </c>
      <c r="O12982" t="s">
        <v>44906</v>
      </c>
      <c r="P12982">
        <v>0</v>
      </c>
      <c r="Q12982">
        <v>2</v>
      </c>
      <c r="R12982" t="s">
        <v>44921</v>
      </c>
      <c r="S12982" t="s">
        <v>45564</v>
      </c>
      <c r="T12982" t="s">
        <v>46435</v>
      </c>
      <c r="U12982" t="s">
        <v>57289</v>
      </c>
      <c r="W12982" t="s">
        <v>44597</v>
      </c>
      <c r="X12982" t="s">
        <v>44922</v>
      </c>
    </row>
    <row r="12983" spans="1:24">
      <c r="A12983">
        <f>HYPERLINK("https://www.philgeps.gov.ph/GEPSNONPILOT/Tender/SplashBidNoticeAbstractUI.aspx?menuIndex=3&amp;refID=7055157&amp;Result=3","7055157")</f>
        <v>0</v>
      </c>
      <c r="B12983" t="s">
        <v>111</v>
      </c>
      <c r="C12983" t="s">
        <v>15933</v>
      </c>
      <c r="D12983" t="s">
        <v>18127</v>
      </c>
      <c r="E12983" t="s">
        <v>29430</v>
      </c>
      <c r="F12983" t="s">
        <v>31362</v>
      </c>
      <c r="G12983" t="s">
        <v>31369</v>
      </c>
      <c r="H12983" t="s">
        <v>15799</v>
      </c>
      <c r="I12983" t="s">
        <v>3815</v>
      </c>
      <c r="J12983" t="s">
        <v>39409</v>
      </c>
      <c r="K12983" t="s">
        <v>40665</v>
      </c>
      <c r="M12983" t="s">
        <v>44605</v>
      </c>
      <c r="N12983" t="s">
        <v>44905</v>
      </c>
      <c r="O12983" t="s">
        <v>44906</v>
      </c>
      <c r="P12983">
        <v>0</v>
      </c>
      <c r="Q12983">
        <v>0</v>
      </c>
      <c r="R12983" t="s">
        <v>44921</v>
      </c>
      <c r="S12983" t="s">
        <v>45564</v>
      </c>
      <c r="T12983" t="s">
        <v>46470</v>
      </c>
      <c r="U12983" t="s">
        <v>57290</v>
      </c>
      <c r="W12983" t="s">
        <v>60966</v>
      </c>
      <c r="X12983" t="s">
        <v>44922</v>
      </c>
    </row>
    <row r="12984" spans="1:24">
      <c r="A12984">
        <f>HYPERLINK("https://www.philgeps.gov.ph/GEPSNONPILOT/Tender/SplashBidNoticeAbstractUI.aspx?menuIndex=3&amp;refID=7055473&amp;Result=3","7055473")</f>
        <v>0</v>
      </c>
      <c r="B12984" t="s">
        <v>3313</v>
      </c>
      <c r="C12984" t="s">
        <v>12619</v>
      </c>
      <c r="D12984" t="s">
        <v>18133</v>
      </c>
      <c r="E12984" t="s">
        <v>29431</v>
      </c>
      <c r="F12984" t="s">
        <v>31362</v>
      </c>
      <c r="G12984" t="s">
        <v>31369</v>
      </c>
      <c r="H12984" t="s">
        <v>15799</v>
      </c>
      <c r="I12984" t="s">
        <v>31468</v>
      </c>
      <c r="J12984" t="s">
        <v>39410</v>
      </c>
      <c r="K12984" t="s">
        <v>40670</v>
      </c>
      <c r="M12984" t="s">
        <v>44606</v>
      </c>
      <c r="N12984" t="s">
        <v>44905</v>
      </c>
      <c r="O12984" t="s">
        <v>44906</v>
      </c>
      <c r="P12984">
        <v>0</v>
      </c>
      <c r="Q12984">
        <v>4</v>
      </c>
      <c r="R12984" t="s">
        <v>44921</v>
      </c>
      <c r="S12984" t="s">
        <v>45564</v>
      </c>
      <c r="T12984" t="s">
        <v>46396</v>
      </c>
      <c r="U12984" t="s">
        <v>57291</v>
      </c>
      <c r="W12984" t="s">
        <v>44606</v>
      </c>
      <c r="X12984" t="s">
        <v>44922</v>
      </c>
    </row>
    <row r="12985" spans="1:24">
      <c r="A12985">
        <f>HYPERLINK("https://www.philgeps.gov.ph/GEPSNONPILOT/Tender/SplashBidNoticeAbstractUI.aspx?menuIndex=3&amp;refID=7055119&amp;Result=3","7055119")</f>
        <v>0</v>
      </c>
      <c r="B12985" t="s">
        <v>1561</v>
      </c>
      <c r="C12985" t="s">
        <v>15934</v>
      </c>
      <c r="D12985" t="s">
        <v>18117</v>
      </c>
      <c r="E12985" t="s">
        <v>29432</v>
      </c>
      <c r="F12985" t="s">
        <v>31362</v>
      </c>
      <c r="G12985" t="s">
        <v>31369</v>
      </c>
      <c r="H12985" t="s">
        <v>15799</v>
      </c>
      <c r="I12985" t="s">
        <v>31430</v>
      </c>
      <c r="J12985" t="s">
        <v>39411</v>
      </c>
      <c r="K12985" t="s">
        <v>40666</v>
      </c>
      <c r="M12985" t="s">
        <v>42612</v>
      </c>
      <c r="N12985" t="s">
        <v>44905</v>
      </c>
      <c r="O12985" t="s">
        <v>44906</v>
      </c>
      <c r="Q12985">
        <v>1</v>
      </c>
      <c r="R12985" t="s">
        <v>44921</v>
      </c>
      <c r="S12985" t="s">
        <v>45625</v>
      </c>
      <c r="T12985" t="s">
        <v>46396</v>
      </c>
      <c r="U12985" t="s">
        <v>57292</v>
      </c>
      <c r="V12985" t="s">
        <v>60495</v>
      </c>
      <c r="W12985" t="s">
        <v>42612</v>
      </c>
      <c r="X12985" t="s">
        <v>44922</v>
      </c>
    </row>
    <row r="12986" spans="1:24">
      <c r="A12986">
        <f>HYPERLINK("https://www.philgeps.gov.ph/GEPSNONPILOT/Tender/SplashBidNoticeAbstractUI.aspx?menuIndex=3&amp;refID=7055446&amp;Result=3","7055446")</f>
        <v>0</v>
      </c>
      <c r="B12986" t="s">
        <v>3314</v>
      </c>
      <c r="C12986" t="s">
        <v>15935</v>
      </c>
      <c r="D12986" t="s">
        <v>18177</v>
      </c>
      <c r="E12986" t="s">
        <v>19521</v>
      </c>
      <c r="F12986" t="s">
        <v>31362</v>
      </c>
      <c r="G12986" t="s">
        <v>31369</v>
      </c>
      <c r="H12986" t="s">
        <v>31378</v>
      </c>
      <c r="I12986" t="s">
        <v>31386</v>
      </c>
      <c r="J12986" t="s">
        <v>31709</v>
      </c>
      <c r="K12986" t="s">
        <v>40662</v>
      </c>
      <c r="M12986" t="s">
        <v>44607</v>
      </c>
      <c r="N12986" t="s">
        <v>44905</v>
      </c>
      <c r="O12986" t="s">
        <v>44906</v>
      </c>
      <c r="P12986">
        <v>0</v>
      </c>
      <c r="Q12986">
        <v>0</v>
      </c>
      <c r="R12986" t="s">
        <v>44921</v>
      </c>
      <c r="S12986" t="s">
        <v>45564</v>
      </c>
      <c r="T12986" t="s">
        <v>46483</v>
      </c>
      <c r="U12986" t="s">
        <v>57293</v>
      </c>
      <c r="W12986" t="s">
        <v>44607</v>
      </c>
      <c r="X12986" t="s">
        <v>44922</v>
      </c>
    </row>
    <row r="12987" spans="1:24">
      <c r="A12987">
        <f>HYPERLINK("https://www.philgeps.gov.ph/GEPSNONPILOT/Tender/SplashBidNoticeAbstractUI.aspx?menuIndex=3&amp;refID=7055424&amp;Result=3","7055424")</f>
        <v>0</v>
      </c>
      <c r="B12987" t="s">
        <v>2203</v>
      </c>
      <c r="C12987" t="s">
        <v>15936</v>
      </c>
      <c r="D12987" t="s">
        <v>18104</v>
      </c>
      <c r="E12987" t="s">
        <v>29433</v>
      </c>
      <c r="F12987" t="s">
        <v>31362</v>
      </c>
      <c r="G12987" t="s">
        <v>31369</v>
      </c>
      <c r="H12987" t="s">
        <v>15799</v>
      </c>
      <c r="I12987" t="s">
        <v>31387</v>
      </c>
      <c r="J12987" t="s">
        <v>39412</v>
      </c>
      <c r="K12987" t="s">
        <v>40666</v>
      </c>
      <c r="M12987" t="s">
        <v>43334</v>
      </c>
      <c r="N12987" t="s">
        <v>44905</v>
      </c>
      <c r="O12987" t="s">
        <v>44906</v>
      </c>
      <c r="P12987">
        <v>0</v>
      </c>
      <c r="Q12987">
        <v>2</v>
      </c>
      <c r="R12987" t="s">
        <v>44921</v>
      </c>
      <c r="S12987" t="s">
        <v>45564</v>
      </c>
      <c r="T12987" t="s">
        <v>46608</v>
      </c>
      <c r="U12987" t="s">
        <v>57294</v>
      </c>
      <c r="V12987" t="s">
        <v>60496</v>
      </c>
      <c r="W12987" t="s">
        <v>43334</v>
      </c>
      <c r="X12987" t="s">
        <v>44922</v>
      </c>
    </row>
    <row r="12988" spans="1:24">
      <c r="A12988">
        <f>HYPERLINK("https://www.philgeps.gov.ph/GEPSNONPILOT/Tender/SplashBidNoticeAbstractUI.aspx?menuIndex=3&amp;refID=7055414&amp;Result=3","7055414")</f>
        <v>0</v>
      </c>
      <c r="B12988" t="s">
        <v>3303</v>
      </c>
      <c r="C12988" t="s">
        <v>15937</v>
      </c>
      <c r="D12988" t="s">
        <v>18123</v>
      </c>
      <c r="E12988" t="s">
        <v>23461</v>
      </c>
      <c r="F12988" t="s">
        <v>31362</v>
      </c>
      <c r="G12988" t="s">
        <v>31369</v>
      </c>
      <c r="H12988" t="s">
        <v>31378</v>
      </c>
      <c r="I12988" t="s">
        <v>31386</v>
      </c>
      <c r="J12988" t="s">
        <v>31611</v>
      </c>
      <c r="K12988" t="s">
        <v>40675</v>
      </c>
      <c r="M12988" t="s">
        <v>44594</v>
      </c>
      <c r="N12988" t="s">
        <v>44905</v>
      </c>
      <c r="O12988" t="s">
        <v>44906</v>
      </c>
      <c r="P12988">
        <v>0</v>
      </c>
      <c r="Q12988">
        <v>0</v>
      </c>
      <c r="R12988" t="s">
        <v>44921</v>
      </c>
      <c r="S12988" t="s">
        <v>45564</v>
      </c>
      <c r="T12988" t="s">
        <v>46467</v>
      </c>
      <c r="U12988" t="s">
        <v>57295</v>
      </c>
      <c r="W12988" t="s">
        <v>44594</v>
      </c>
      <c r="X12988" t="s">
        <v>44922</v>
      </c>
    </row>
    <row r="12989" spans="1:24">
      <c r="A12989">
        <f>HYPERLINK("https://www.philgeps.gov.ph/GEPSNONPILOT/Tender/SplashBidNoticeAbstractUI.aspx?menuIndex=3&amp;refID=7055366&amp;Result=3","7055366")</f>
        <v>0</v>
      </c>
      <c r="B12989" t="s">
        <v>98</v>
      </c>
      <c r="C12989" t="s">
        <v>15938</v>
      </c>
      <c r="D12989" t="s">
        <v>18115</v>
      </c>
      <c r="E12989" t="s">
        <v>29434</v>
      </c>
      <c r="F12989" t="s">
        <v>31362</v>
      </c>
      <c r="G12989" t="s">
        <v>31369</v>
      </c>
      <c r="H12989" t="s">
        <v>31378</v>
      </c>
      <c r="I12989" t="s">
        <v>31386</v>
      </c>
      <c r="J12989" t="s">
        <v>35450</v>
      </c>
      <c r="K12989" t="s">
        <v>40684</v>
      </c>
      <c r="M12989" t="s">
        <v>44608</v>
      </c>
      <c r="N12989" t="s">
        <v>44905</v>
      </c>
      <c r="O12989" t="s">
        <v>44906</v>
      </c>
      <c r="P12989">
        <v>0</v>
      </c>
      <c r="Q12989">
        <v>83</v>
      </c>
      <c r="R12989" t="s">
        <v>44921</v>
      </c>
      <c r="S12989" t="s">
        <v>45564</v>
      </c>
      <c r="T12989" t="s">
        <v>46549</v>
      </c>
      <c r="U12989" t="s">
        <v>57296</v>
      </c>
      <c r="V12989" t="s">
        <v>60497</v>
      </c>
      <c r="W12989" t="s">
        <v>60967</v>
      </c>
      <c r="X12989" t="s">
        <v>44922</v>
      </c>
    </row>
    <row r="12990" spans="1:24">
      <c r="A12990">
        <f>HYPERLINK("https://www.philgeps.gov.ph/GEPSNONPILOT/Tender/SplashBidNoticeAbstractUI.aspx?menuIndex=3&amp;refID=7055218&amp;Result=3","7055218")</f>
        <v>0</v>
      </c>
      <c r="B12990" t="s">
        <v>3311</v>
      </c>
      <c r="C12990" t="s">
        <v>15939</v>
      </c>
      <c r="D12990" t="s">
        <v>18148</v>
      </c>
      <c r="E12990" t="s">
        <v>26636</v>
      </c>
      <c r="F12990" t="s">
        <v>31362</v>
      </c>
      <c r="G12990" t="s">
        <v>31369</v>
      </c>
      <c r="H12990" t="s">
        <v>31378</v>
      </c>
      <c r="I12990" t="s">
        <v>31386</v>
      </c>
      <c r="J12990" t="s">
        <v>39413</v>
      </c>
      <c r="K12990" t="s">
        <v>40675</v>
      </c>
      <c r="M12990" t="s">
        <v>44603</v>
      </c>
      <c r="N12990" t="s">
        <v>44905</v>
      </c>
      <c r="O12990" t="s">
        <v>44906</v>
      </c>
      <c r="Q12990">
        <v>1</v>
      </c>
      <c r="R12990" t="s">
        <v>44921</v>
      </c>
      <c r="S12990" t="s">
        <v>45294</v>
      </c>
      <c r="T12990" t="s">
        <v>46436</v>
      </c>
      <c r="U12990" t="s">
        <v>57297</v>
      </c>
      <c r="V12990" t="s">
        <v>60494</v>
      </c>
      <c r="W12990" t="s">
        <v>44603</v>
      </c>
      <c r="X12990" t="s">
        <v>44922</v>
      </c>
    </row>
    <row r="12991" spans="1:24">
      <c r="A12991">
        <f>HYPERLINK("https://www.philgeps.gov.ph/GEPSNONPILOT/Tender/SplashBidNoticeAbstractUI.aspx?menuIndex=3&amp;refID=7055380&amp;Result=3","7055380")</f>
        <v>0</v>
      </c>
      <c r="B12991" t="s">
        <v>98</v>
      </c>
      <c r="C12991" t="s">
        <v>15940</v>
      </c>
      <c r="D12991" t="s">
        <v>18115</v>
      </c>
      <c r="E12991" t="s">
        <v>29435</v>
      </c>
      <c r="F12991" t="s">
        <v>31362</v>
      </c>
      <c r="G12991" t="s">
        <v>31369</v>
      </c>
      <c r="H12991" t="s">
        <v>31378</v>
      </c>
      <c r="I12991" t="s">
        <v>31386</v>
      </c>
      <c r="J12991" t="s">
        <v>35080</v>
      </c>
      <c r="K12991" t="s">
        <v>40683</v>
      </c>
      <c r="M12991" t="s">
        <v>44608</v>
      </c>
      <c r="N12991" t="s">
        <v>44905</v>
      </c>
      <c r="O12991" t="s">
        <v>44906</v>
      </c>
      <c r="P12991">
        <v>0</v>
      </c>
      <c r="Q12991">
        <v>80</v>
      </c>
      <c r="R12991" t="s">
        <v>44921</v>
      </c>
      <c r="S12991" t="s">
        <v>45564</v>
      </c>
      <c r="T12991" t="s">
        <v>46549</v>
      </c>
      <c r="U12991" t="s">
        <v>57296</v>
      </c>
      <c r="V12991" t="s">
        <v>60498</v>
      </c>
      <c r="W12991" t="s">
        <v>60967</v>
      </c>
      <c r="X12991" t="s">
        <v>44922</v>
      </c>
    </row>
    <row r="12992" spans="1:24">
      <c r="A12992">
        <f>HYPERLINK("https://www.philgeps.gov.ph/GEPSNONPILOT/Tender/SplashBidNoticeAbstractUI.aspx?menuIndex=3&amp;refID=7055442&amp;Result=3","7055442")</f>
        <v>0</v>
      </c>
      <c r="B12992" t="s">
        <v>3315</v>
      </c>
      <c r="C12992" t="s">
        <v>15941</v>
      </c>
      <c r="D12992" t="s">
        <v>18129</v>
      </c>
      <c r="E12992" t="s">
        <v>19737</v>
      </c>
      <c r="F12992" t="s">
        <v>31362</v>
      </c>
      <c r="G12992" t="s">
        <v>31369</v>
      </c>
      <c r="H12992" t="s">
        <v>15799</v>
      </c>
      <c r="I12992" t="s">
        <v>31382</v>
      </c>
      <c r="J12992" t="s">
        <v>39414</v>
      </c>
      <c r="K12992" t="s">
        <v>40682</v>
      </c>
      <c r="M12992" t="s">
        <v>44609</v>
      </c>
      <c r="N12992" t="s">
        <v>44905</v>
      </c>
      <c r="O12992" t="s">
        <v>44906</v>
      </c>
      <c r="P12992">
        <v>0</v>
      </c>
      <c r="Q12992">
        <v>56</v>
      </c>
      <c r="R12992" t="s">
        <v>44921</v>
      </c>
      <c r="S12992" t="s">
        <v>45564</v>
      </c>
      <c r="T12992" t="s">
        <v>46470</v>
      </c>
      <c r="U12992" t="s">
        <v>57298</v>
      </c>
      <c r="W12992" t="s">
        <v>44609</v>
      </c>
      <c r="X12992" t="s">
        <v>44922</v>
      </c>
    </row>
    <row r="12993" spans="1:24">
      <c r="A12993">
        <f>HYPERLINK("https://www.philgeps.gov.ph/GEPSNONPILOT/Tender/SplashBidNoticeAbstractUI.aspx?menuIndex=3&amp;refID=7055362&amp;Result=3","7055362")</f>
        <v>0</v>
      </c>
      <c r="B12993" t="s">
        <v>348</v>
      </c>
      <c r="C12993" t="s">
        <v>15942</v>
      </c>
      <c r="E12993" t="s">
        <v>29436</v>
      </c>
      <c r="F12993" t="s">
        <v>31362</v>
      </c>
      <c r="G12993" t="s">
        <v>31369</v>
      </c>
      <c r="H12993" t="s">
        <v>15799</v>
      </c>
      <c r="I12993" t="s">
        <v>31459</v>
      </c>
      <c r="J12993" t="s">
        <v>39415</v>
      </c>
      <c r="K12993" t="s">
        <v>40665</v>
      </c>
      <c r="M12993" t="s">
        <v>44600</v>
      </c>
      <c r="N12993" t="s">
        <v>44905</v>
      </c>
      <c r="O12993" t="s">
        <v>44906</v>
      </c>
      <c r="Q12993">
        <v>1</v>
      </c>
      <c r="R12993" t="s">
        <v>44921</v>
      </c>
      <c r="S12993" t="s">
        <v>45626</v>
      </c>
      <c r="T12993" t="s">
        <v>46499</v>
      </c>
      <c r="U12993" t="s">
        <v>57299</v>
      </c>
      <c r="W12993" t="s">
        <v>44600</v>
      </c>
      <c r="X12993" t="s">
        <v>44922</v>
      </c>
    </row>
    <row r="12994" spans="1:24">
      <c r="A12994">
        <f>HYPERLINK("https://www.philgeps.gov.ph/GEPSNONPILOT/Tender/SplashBidNoticeAbstractUI.aspx?menuIndex=3&amp;refID=7055341&amp;Result=3","7055341")</f>
        <v>0</v>
      </c>
      <c r="B12994" t="s">
        <v>45</v>
      </c>
      <c r="C12994" t="s">
        <v>15943</v>
      </c>
      <c r="D12994" t="s">
        <v>18114</v>
      </c>
      <c r="E12994" t="s">
        <v>18952</v>
      </c>
      <c r="F12994" t="s">
        <v>31362</v>
      </c>
      <c r="G12994" t="s">
        <v>31369</v>
      </c>
      <c r="H12994" t="s">
        <v>15799</v>
      </c>
      <c r="I12994" t="s">
        <v>7090</v>
      </c>
      <c r="J12994" t="s">
        <v>39416</v>
      </c>
      <c r="K12994" t="s">
        <v>40665</v>
      </c>
      <c r="M12994" t="s">
        <v>41024</v>
      </c>
      <c r="N12994" t="s">
        <v>44905</v>
      </c>
      <c r="O12994" t="s">
        <v>44906</v>
      </c>
      <c r="Q12994">
        <v>5</v>
      </c>
      <c r="R12994" t="s">
        <v>44921</v>
      </c>
      <c r="S12994" t="s">
        <v>45627</v>
      </c>
      <c r="T12994" t="s">
        <v>46863</v>
      </c>
      <c r="U12994" t="s">
        <v>57300</v>
      </c>
      <c r="W12994" t="s">
        <v>41024</v>
      </c>
      <c r="X12994" t="s">
        <v>44922</v>
      </c>
    </row>
    <row r="12995" spans="1:24">
      <c r="A12995">
        <f>HYPERLINK("https://www.philgeps.gov.ph/GEPSNONPILOT/Tender/SplashBidNoticeAbstractUI.aspx?menuIndex=3&amp;refID=7055311&amp;Result=3","7055311")</f>
        <v>0</v>
      </c>
      <c r="B12995" t="s">
        <v>579</v>
      </c>
      <c r="C12995" t="s">
        <v>15944</v>
      </c>
      <c r="D12995" t="s">
        <v>18112</v>
      </c>
      <c r="E12995" t="s">
        <v>29437</v>
      </c>
      <c r="F12995" t="s">
        <v>31362</v>
      </c>
      <c r="G12995" t="s">
        <v>31369</v>
      </c>
      <c r="H12995" t="s">
        <v>31378</v>
      </c>
      <c r="I12995" t="s">
        <v>31386</v>
      </c>
      <c r="J12995" t="s">
        <v>39417</v>
      </c>
      <c r="K12995" t="s">
        <v>40679</v>
      </c>
      <c r="M12995" t="s">
        <v>44075</v>
      </c>
      <c r="N12995" t="s">
        <v>44905</v>
      </c>
      <c r="O12995" t="s">
        <v>44906</v>
      </c>
      <c r="P12995">
        <v>0</v>
      </c>
      <c r="Q12995">
        <v>1</v>
      </c>
      <c r="R12995" t="s">
        <v>44921</v>
      </c>
      <c r="S12995" t="s">
        <v>45564</v>
      </c>
      <c r="T12995" t="s">
        <v>46542</v>
      </c>
      <c r="U12995" t="s">
        <v>55079</v>
      </c>
      <c r="W12995" t="s">
        <v>44075</v>
      </c>
      <c r="X12995" t="s">
        <v>44922</v>
      </c>
    </row>
    <row r="12996" spans="1:24">
      <c r="A12996">
        <f>HYPERLINK("https://www.philgeps.gov.ph/GEPSNONPILOT/Tender/SplashBidNoticeAbstractUI.aspx?menuIndex=3&amp;refID=7055382&amp;Result=3","7055382")</f>
        <v>0</v>
      </c>
      <c r="B12996" t="s">
        <v>2745</v>
      </c>
      <c r="C12996" t="s">
        <v>15945</v>
      </c>
      <c r="D12996" t="s">
        <v>18136</v>
      </c>
      <c r="E12996" t="s">
        <v>29438</v>
      </c>
      <c r="F12996" t="s">
        <v>31362</v>
      </c>
      <c r="G12996" t="s">
        <v>31369</v>
      </c>
      <c r="H12996" t="s">
        <v>15799</v>
      </c>
      <c r="I12996" t="s">
        <v>31382</v>
      </c>
      <c r="J12996" t="s">
        <v>39418</v>
      </c>
      <c r="K12996" t="s">
        <v>40679</v>
      </c>
      <c r="M12996" t="s">
        <v>43933</v>
      </c>
      <c r="N12996" t="s">
        <v>44905</v>
      </c>
      <c r="O12996" t="s">
        <v>44906</v>
      </c>
      <c r="Q12996">
        <v>44</v>
      </c>
      <c r="R12996" t="s">
        <v>44921</v>
      </c>
      <c r="S12996" t="s">
        <v>45628</v>
      </c>
      <c r="T12996" t="s">
        <v>46481</v>
      </c>
      <c r="U12996" t="s">
        <v>57301</v>
      </c>
      <c r="V12996" t="s">
        <v>60499</v>
      </c>
      <c r="W12996" t="s">
        <v>43933</v>
      </c>
      <c r="X12996" t="s">
        <v>44922</v>
      </c>
    </row>
    <row r="12997" spans="1:24">
      <c r="A12997">
        <f>HYPERLINK("https://www.philgeps.gov.ph/GEPSNONPILOT/Tender/SplashBidNoticeAbstractUI.aspx?menuIndex=3&amp;refID=7055165&amp;Result=3","7055165")</f>
        <v>0</v>
      </c>
      <c r="B12997" t="s">
        <v>81</v>
      </c>
      <c r="C12997" t="s">
        <v>15946</v>
      </c>
      <c r="E12997" t="s">
        <v>29439</v>
      </c>
      <c r="F12997" t="s">
        <v>31362</v>
      </c>
      <c r="G12997" t="s">
        <v>31369</v>
      </c>
      <c r="H12997" t="s">
        <v>31378</v>
      </c>
      <c r="I12997" t="s">
        <v>31386</v>
      </c>
      <c r="J12997" t="s">
        <v>39419</v>
      </c>
      <c r="K12997" t="s">
        <v>40662</v>
      </c>
      <c r="M12997" t="s">
        <v>41999</v>
      </c>
      <c r="N12997" t="s">
        <v>44905</v>
      </c>
      <c r="O12997" t="s">
        <v>44906</v>
      </c>
      <c r="Q12997">
        <v>2</v>
      </c>
      <c r="R12997" t="s">
        <v>44921</v>
      </c>
      <c r="S12997" t="s">
        <v>45351</v>
      </c>
      <c r="T12997" t="s">
        <v>46435</v>
      </c>
      <c r="U12997" t="s">
        <v>57302</v>
      </c>
      <c r="W12997" t="s">
        <v>41999</v>
      </c>
      <c r="X12997" t="s">
        <v>44922</v>
      </c>
    </row>
    <row r="12998" spans="1:24">
      <c r="A12998">
        <f>HYPERLINK("https://www.philgeps.gov.ph/GEPSNONPILOT/Tender/SplashBidNoticeAbstractUI.aspx?menuIndex=3&amp;refID=7055300&amp;Result=3","7055300")</f>
        <v>0</v>
      </c>
      <c r="B12998" t="s">
        <v>2668</v>
      </c>
      <c r="C12998" t="s">
        <v>15947</v>
      </c>
      <c r="D12998" t="s">
        <v>18177</v>
      </c>
      <c r="E12998" t="s">
        <v>29440</v>
      </c>
      <c r="F12998" t="s">
        <v>31362</v>
      </c>
      <c r="G12998" t="s">
        <v>31369</v>
      </c>
      <c r="H12998" t="s">
        <v>31378</v>
      </c>
      <c r="I12998" t="s">
        <v>31386</v>
      </c>
      <c r="J12998" t="s">
        <v>34023</v>
      </c>
      <c r="K12998" t="s">
        <v>40725</v>
      </c>
      <c r="M12998" t="s">
        <v>43852</v>
      </c>
      <c r="N12998" t="s">
        <v>44905</v>
      </c>
      <c r="O12998" t="s">
        <v>44906</v>
      </c>
      <c r="Q12998">
        <v>1</v>
      </c>
      <c r="R12998" t="s">
        <v>44921</v>
      </c>
      <c r="S12998" t="s">
        <v>45629</v>
      </c>
      <c r="T12998" t="s">
        <v>46618</v>
      </c>
      <c r="U12998" t="s">
        <v>57303</v>
      </c>
      <c r="V12998" t="s">
        <v>60500</v>
      </c>
      <c r="W12998" t="s">
        <v>43852</v>
      </c>
      <c r="X12998" t="s">
        <v>44922</v>
      </c>
    </row>
    <row r="12999" spans="1:24">
      <c r="A12999">
        <f>HYPERLINK("https://www.philgeps.gov.ph/GEPSNONPILOT/Tender/SplashBidNoticeAbstractUI.aspx?menuIndex=3&amp;refID=7055482&amp;Result=3","7055482")</f>
        <v>0</v>
      </c>
      <c r="B12999" t="s">
        <v>1519</v>
      </c>
      <c r="C12999" t="s">
        <v>15948</v>
      </c>
      <c r="D12999" t="s">
        <v>18108</v>
      </c>
      <c r="E12999" t="s">
        <v>29441</v>
      </c>
      <c r="F12999" t="s">
        <v>31362</v>
      </c>
      <c r="G12999" t="s">
        <v>31369</v>
      </c>
      <c r="H12999" t="s">
        <v>31378</v>
      </c>
      <c r="I12999" t="s">
        <v>31386</v>
      </c>
      <c r="J12999" t="s">
        <v>39420</v>
      </c>
      <c r="K12999" t="s">
        <v>40679</v>
      </c>
      <c r="M12999" t="s">
        <v>42656</v>
      </c>
      <c r="N12999" t="s">
        <v>44905</v>
      </c>
      <c r="O12999" t="s">
        <v>44906</v>
      </c>
      <c r="Q12999">
        <v>14</v>
      </c>
      <c r="R12999" t="s">
        <v>44921</v>
      </c>
      <c r="S12999" t="s">
        <v>45630</v>
      </c>
      <c r="T12999" t="s">
        <v>46435</v>
      </c>
      <c r="U12999" t="s">
        <v>50837</v>
      </c>
      <c r="W12999" t="s">
        <v>42656</v>
      </c>
      <c r="X12999" t="s">
        <v>44922</v>
      </c>
    </row>
    <row r="13000" spans="1:24">
      <c r="A13000">
        <f>HYPERLINK("https://www.philgeps.gov.ph/GEPSNONPILOT/Tender/SplashBidNoticeAbstractUI.aspx?menuIndex=3&amp;refID=7055373&amp;Result=3","7055373")</f>
        <v>0</v>
      </c>
      <c r="B13000" t="s">
        <v>98</v>
      </c>
      <c r="C13000" t="s">
        <v>15949</v>
      </c>
      <c r="D13000" t="s">
        <v>18115</v>
      </c>
      <c r="E13000" t="s">
        <v>29442</v>
      </c>
      <c r="F13000" t="s">
        <v>31362</v>
      </c>
      <c r="G13000" t="s">
        <v>31369</v>
      </c>
      <c r="H13000" t="s">
        <v>31378</v>
      </c>
      <c r="I13000" t="s">
        <v>31386</v>
      </c>
      <c r="J13000" t="s">
        <v>34854</v>
      </c>
      <c r="K13000" t="s">
        <v>40683</v>
      </c>
      <c r="M13000" t="s">
        <v>44608</v>
      </c>
      <c r="N13000" t="s">
        <v>44905</v>
      </c>
      <c r="O13000" t="s">
        <v>44906</v>
      </c>
      <c r="P13000">
        <v>0</v>
      </c>
      <c r="Q13000">
        <v>81</v>
      </c>
      <c r="R13000" t="s">
        <v>44921</v>
      </c>
      <c r="S13000" t="s">
        <v>45564</v>
      </c>
      <c r="T13000" t="s">
        <v>46549</v>
      </c>
      <c r="U13000" t="s">
        <v>57296</v>
      </c>
      <c r="V13000" t="s">
        <v>60501</v>
      </c>
      <c r="W13000" t="s">
        <v>60967</v>
      </c>
      <c r="X13000" t="s">
        <v>44922</v>
      </c>
    </row>
    <row r="13001" spans="1:24">
      <c r="A13001">
        <f>HYPERLINK("https://www.philgeps.gov.ph/GEPSNONPILOT/Tender/SplashBidNoticeAbstractUI.aspx?menuIndex=3&amp;refID=7055522&amp;Result=3","7055522")</f>
        <v>0</v>
      </c>
      <c r="B13001" t="s">
        <v>3316</v>
      </c>
      <c r="C13001" t="s">
        <v>15950</v>
      </c>
      <c r="D13001" t="s">
        <v>18135</v>
      </c>
      <c r="E13001" t="s">
        <v>29443</v>
      </c>
      <c r="F13001" t="s">
        <v>31362</v>
      </c>
      <c r="G13001" t="s">
        <v>31369</v>
      </c>
      <c r="H13001" t="s">
        <v>31378</v>
      </c>
      <c r="I13001" t="s">
        <v>31435</v>
      </c>
      <c r="J13001" t="s">
        <v>31531</v>
      </c>
      <c r="K13001" t="s">
        <v>40675</v>
      </c>
      <c r="M13001" t="s">
        <v>44610</v>
      </c>
      <c r="N13001" t="s">
        <v>44905</v>
      </c>
      <c r="O13001" t="s">
        <v>44906</v>
      </c>
      <c r="P13001">
        <v>0</v>
      </c>
      <c r="Q13001">
        <v>13</v>
      </c>
      <c r="R13001" t="s">
        <v>44921</v>
      </c>
      <c r="S13001" t="s">
        <v>45564</v>
      </c>
      <c r="T13001" t="s">
        <v>46440</v>
      </c>
      <c r="U13001" t="s">
        <v>57304</v>
      </c>
      <c r="W13001" t="s">
        <v>44610</v>
      </c>
      <c r="X13001" t="s">
        <v>44922</v>
      </c>
    </row>
    <row r="13002" spans="1:24">
      <c r="A13002">
        <f>HYPERLINK("https://www.philgeps.gov.ph/GEPSNONPILOT/Tender/SplashBidNoticeAbstractUI.aspx?menuIndex=3&amp;refID=7055517&amp;Result=3","7055517")</f>
        <v>0</v>
      </c>
      <c r="B13002" t="s">
        <v>1519</v>
      </c>
      <c r="C13002" t="s">
        <v>15951</v>
      </c>
      <c r="D13002" t="s">
        <v>18108</v>
      </c>
      <c r="E13002" t="s">
        <v>29444</v>
      </c>
      <c r="F13002" t="s">
        <v>31362</v>
      </c>
      <c r="G13002" t="s">
        <v>31369</v>
      </c>
      <c r="H13002" t="s">
        <v>31378</v>
      </c>
      <c r="I13002" t="s">
        <v>31386</v>
      </c>
      <c r="J13002" t="s">
        <v>39421</v>
      </c>
      <c r="K13002" t="s">
        <v>40678</v>
      </c>
      <c r="M13002" t="s">
        <v>42656</v>
      </c>
      <c r="N13002" t="s">
        <v>44905</v>
      </c>
      <c r="O13002" t="s">
        <v>44906</v>
      </c>
      <c r="Q13002">
        <v>20</v>
      </c>
      <c r="R13002" t="s">
        <v>44921</v>
      </c>
      <c r="S13002" t="s">
        <v>45631</v>
      </c>
      <c r="T13002" t="s">
        <v>46435</v>
      </c>
      <c r="U13002" t="s">
        <v>50837</v>
      </c>
      <c r="W13002" t="s">
        <v>42656</v>
      </c>
      <c r="X13002" t="s">
        <v>44922</v>
      </c>
    </row>
    <row r="13003" spans="1:24">
      <c r="A13003">
        <f>HYPERLINK("https://www.philgeps.gov.ph/GEPSNONPILOT/Tender/SplashBidNoticeAbstractUI.aspx?menuIndex=3&amp;refID=7055515&amp;Result=3","7055515")</f>
        <v>0</v>
      </c>
      <c r="B13003" t="s">
        <v>2986</v>
      </c>
      <c r="C13003" t="s">
        <v>15952</v>
      </c>
      <c r="D13003" t="s">
        <v>18155</v>
      </c>
      <c r="E13003" t="s">
        <v>29445</v>
      </c>
      <c r="F13003" t="s">
        <v>31362</v>
      </c>
      <c r="G13003" t="s">
        <v>31369</v>
      </c>
      <c r="H13003" t="s">
        <v>15799</v>
      </c>
      <c r="I13003" t="s">
        <v>31430</v>
      </c>
      <c r="J13003" t="s">
        <v>39422</v>
      </c>
      <c r="K13003" t="s">
        <v>40696</v>
      </c>
      <c r="M13003" t="s">
        <v>44211</v>
      </c>
      <c r="N13003" t="s">
        <v>44905</v>
      </c>
      <c r="O13003" t="s">
        <v>44906</v>
      </c>
      <c r="P13003">
        <v>0</v>
      </c>
      <c r="Q13003">
        <v>6</v>
      </c>
      <c r="R13003" t="s">
        <v>44921</v>
      </c>
      <c r="S13003" t="s">
        <v>45564</v>
      </c>
      <c r="T13003" t="s">
        <v>46409</v>
      </c>
      <c r="U13003" t="s">
        <v>57305</v>
      </c>
      <c r="W13003" t="s">
        <v>44211</v>
      </c>
      <c r="X13003" t="s">
        <v>44922</v>
      </c>
    </row>
    <row r="13004" spans="1:24">
      <c r="A13004">
        <f>HYPERLINK("https://www.philgeps.gov.ph/GEPSNONPILOT/Tender/SplashBidNoticeAbstractUI.aspx?menuIndex=3&amp;refID=7055513&amp;Result=3","7055513")</f>
        <v>0</v>
      </c>
      <c r="B13004" t="s">
        <v>3316</v>
      </c>
      <c r="C13004" t="s">
        <v>15950</v>
      </c>
      <c r="D13004" t="s">
        <v>18135</v>
      </c>
      <c r="E13004" t="s">
        <v>29446</v>
      </c>
      <c r="F13004" t="s">
        <v>31362</v>
      </c>
      <c r="G13004" t="s">
        <v>31369</v>
      </c>
      <c r="H13004" t="s">
        <v>31378</v>
      </c>
      <c r="I13004" t="s">
        <v>31435</v>
      </c>
      <c r="J13004" t="s">
        <v>31606</v>
      </c>
      <c r="K13004" t="s">
        <v>40683</v>
      </c>
      <c r="M13004" t="s">
        <v>44610</v>
      </c>
      <c r="N13004" t="s">
        <v>44905</v>
      </c>
      <c r="O13004" t="s">
        <v>44906</v>
      </c>
      <c r="P13004">
        <v>0</v>
      </c>
      <c r="Q13004">
        <v>15</v>
      </c>
      <c r="R13004" t="s">
        <v>44921</v>
      </c>
      <c r="S13004" t="s">
        <v>45564</v>
      </c>
      <c r="T13004" t="s">
        <v>46440</v>
      </c>
      <c r="U13004" t="s">
        <v>57306</v>
      </c>
      <c r="W13004" t="s">
        <v>44610</v>
      </c>
      <c r="X13004" t="s">
        <v>44922</v>
      </c>
    </row>
    <row r="13005" spans="1:24">
      <c r="A13005">
        <f>HYPERLINK("https://www.philgeps.gov.ph/GEPSNONPILOT/Tender/SplashBidNoticeAbstractUI.aspx?menuIndex=3&amp;refID=7055392&amp;Result=3","7055392")</f>
        <v>0</v>
      </c>
      <c r="B13005" t="s">
        <v>2203</v>
      </c>
      <c r="C13005" t="s">
        <v>15953</v>
      </c>
      <c r="D13005" t="s">
        <v>18104</v>
      </c>
      <c r="E13005" t="s">
        <v>29447</v>
      </c>
      <c r="F13005" t="s">
        <v>31362</v>
      </c>
      <c r="G13005" t="s">
        <v>31369</v>
      </c>
      <c r="H13005" t="s">
        <v>31378</v>
      </c>
      <c r="I13005" t="s">
        <v>31386</v>
      </c>
      <c r="J13005" t="s">
        <v>31625</v>
      </c>
      <c r="K13005" t="s">
        <v>40679</v>
      </c>
      <c r="M13005" t="s">
        <v>43334</v>
      </c>
      <c r="N13005" t="s">
        <v>44905</v>
      </c>
      <c r="O13005" t="s">
        <v>44906</v>
      </c>
      <c r="P13005">
        <v>0</v>
      </c>
      <c r="Q13005">
        <v>3</v>
      </c>
      <c r="R13005" t="s">
        <v>44921</v>
      </c>
      <c r="S13005" t="s">
        <v>45564</v>
      </c>
      <c r="T13005" t="s">
        <v>46608</v>
      </c>
      <c r="U13005" t="s">
        <v>57261</v>
      </c>
      <c r="W13005" t="s">
        <v>43334</v>
      </c>
      <c r="X13005" t="s">
        <v>44922</v>
      </c>
    </row>
    <row r="13006" spans="1:24">
      <c r="A13006">
        <f>HYPERLINK("https://www.philgeps.gov.ph/GEPSNONPILOT/Tender/SplashBidNoticeAbstractUI.aspx?menuIndex=3&amp;refID=7055510&amp;Result=3","7055510")</f>
        <v>0</v>
      </c>
      <c r="B13006" t="s">
        <v>97</v>
      </c>
      <c r="C13006" t="s">
        <v>15954</v>
      </c>
      <c r="E13006" t="s">
        <v>29448</v>
      </c>
      <c r="F13006" t="s">
        <v>31363</v>
      </c>
      <c r="G13006" t="s">
        <v>31376</v>
      </c>
      <c r="H13006" t="s">
        <v>31377</v>
      </c>
      <c r="I13006" t="s">
        <v>31377</v>
      </c>
      <c r="J13006" t="s">
        <v>31785</v>
      </c>
      <c r="K13006" t="s">
        <v>40928</v>
      </c>
      <c r="M13006" t="s">
        <v>42699</v>
      </c>
      <c r="N13006" t="s">
        <v>44905</v>
      </c>
      <c r="O13006" t="s">
        <v>44906</v>
      </c>
      <c r="P13006">
        <v>0</v>
      </c>
      <c r="Q13006">
        <v>4</v>
      </c>
      <c r="R13006" t="s">
        <v>44921</v>
      </c>
      <c r="S13006" t="s">
        <v>45564</v>
      </c>
      <c r="T13006" t="s">
        <v>46864</v>
      </c>
      <c r="U13006" t="s">
        <v>57307</v>
      </c>
      <c r="V13006" t="s">
        <v>60502</v>
      </c>
      <c r="W13006" t="s">
        <v>42699</v>
      </c>
      <c r="X13006" t="s">
        <v>44922</v>
      </c>
    </row>
    <row r="13007" spans="1:24">
      <c r="A13007">
        <f>HYPERLINK("https://www.philgeps.gov.ph/GEPSNONPILOT/Tender/SplashBidNoticeAbstractUI.aspx?menuIndex=3&amp;refID=7055508&amp;Result=3","7055508")</f>
        <v>0</v>
      </c>
      <c r="B13007" t="s">
        <v>1519</v>
      </c>
      <c r="C13007" t="s">
        <v>15955</v>
      </c>
      <c r="D13007" t="s">
        <v>18108</v>
      </c>
      <c r="E13007" t="s">
        <v>29449</v>
      </c>
      <c r="F13007" t="s">
        <v>31362</v>
      </c>
      <c r="G13007" t="s">
        <v>31369</v>
      </c>
      <c r="H13007" t="s">
        <v>31378</v>
      </c>
      <c r="I13007" t="s">
        <v>31386</v>
      </c>
      <c r="J13007" t="s">
        <v>39423</v>
      </c>
      <c r="K13007" t="s">
        <v>40684</v>
      </c>
      <c r="M13007" t="s">
        <v>42656</v>
      </c>
      <c r="N13007" t="s">
        <v>44905</v>
      </c>
      <c r="O13007" t="s">
        <v>44906</v>
      </c>
      <c r="Q13007">
        <v>21</v>
      </c>
      <c r="R13007" t="s">
        <v>44921</v>
      </c>
      <c r="S13007" t="s">
        <v>45632</v>
      </c>
      <c r="T13007" t="s">
        <v>46435</v>
      </c>
      <c r="U13007" t="s">
        <v>50837</v>
      </c>
      <c r="W13007" t="s">
        <v>42656</v>
      </c>
      <c r="X13007" t="s">
        <v>44922</v>
      </c>
    </row>
    <row r="13008" spans="1:24">
      <c r="A13008">
        <f>HYPERLINK("https://www.philgeps.gov.ph/GEPSNONPILOT/Tender/SplashBidNoticeAbstractUI.aspx?menuIndex=3&amp;refID=7055504&amp;Result=3","7055504")</f>
        <v>0</v>
      </c>
      <c r="B13008" t="s">
        <v>3316</v>
      </c>
      <c r="C13008" t="s">
        <v>15950</v>
      </c>
      <c r="D13008" t="s">
        <v>18135</v>
      </c>
      <c r="E13008" t="s">
        <v>29450</v>
      </c>
      <c r="F13008" t="s">
        <v>31362</v>
      </c>
      <c r="G13008" t="s">
        <v>31369</v>
      </c>
      <c r="H13008" t="s">
        <v>31378</v>
      </c>
      <c r="I13008" t="s">
        <v>31435</v>
      </c>
      <c r="J13008" t="s">
        <v>31606</v>
      </c>
      <c r="K13008" t="s">
        <v>40686</v>
      </c>
      <c r="M13008" t="s">
        <v>44610</v>
      </c>
      <c r="N13008" t="s">
        <v>44905</v>
      </c>
      <c r="O13008" t="s">
        <v>44906</v>
      </c>
      <c r="P13008">
        <v>0</v>
      </c>
      <c r="Q13008">
        <v>15</v>
      </c>
      <c r="R13008" t="s">
        <v>44921</v>
      </c>
      <c r="S13008" t="s">
        <v>45564</v>
      </c>
      <c r="T13008" t="s">
        <v>46440</v>
      </c>
      <c r="U13008" t="s">
        <v>57308</v>
      </c>
      <c r="W13008" t="s">
        <v>44610</v>
      </c>
      <c r="X13008" t="s">
        <v>44922</v>
      </c>
    </row>
    <row r="13009" spans="1:24">
      <c r="A13009">
        <f>HYPERLINK("https://www.philgeps.gov.ph/GEPSNONPILOT/Tender/SplashBidNoticeAbstractUI.aspx?menuIndex=3&amp;refID=7055453&amp;Result=3","7055453")</f>
        <v>0</v>
      </c>
      <c r="B13009" t="s">
        <v>3314</v>
      </c>
      <c r="C13009" t="s">
        <v>15956</v>
      </c>
      <c r="D13009" t="s">
        <v>18177</v>
      </c>
      <c r="E13009" t="s">
        <v>19444</v>
      </c>
      <c r="F13009" t="s">
        <v>31362</v>
      </c>
      <c r="G13009" t="s">
        <v>31369</v>
      </c>
      <c r="H13009" t="s">
        <v>15799</v>
      </c>
      <c r="I13009" t="s">
        <v>31430</v>
      </c>
      <c r="J13009" t="s">
        <v>39424</v>
      </c>
      <c r="K13009" t="s">
        <v>40662</v>
      </c>
      <c r="M13009" t="s">
        <v>44607</v>
      </c>
      <c r="N13009" t="s">
        <v>44905</v>
      </c>
      <c r="O13009" t="s">
        <v>44906</v>
      </c>
      <c r="P13009">
        <v>0</v>
      </c>
      <c r="Q13009">
        <v>1</v>
      </c>
      <c r="R13009" t="s">
        <v>44921</v>
      </c>
      <c r="S13009" t="s">
        <v>45564</v>
      </c>
      <c r="T13009" t="s">
        <v>46483</v>
      </c>
      <c r="U13009" t="s">
        <v>57309</v>
      </c>
      <c r="W13009" t="s">
        <v>44607</v>
      </c>
      <c r="X13009" t="s">
        <v>44922</v>
      </c>
    </row>
    <row r="13010" spans="1:24">
      <c r="A13010">
        <f>HYPERLINK("https://www.philgeps.gov.ph/GEPSNONPILOT/Tender/SplashBidNoticeAbstractUI.aspx?menuIndex=3&amp;refID=7055502&amp;Result=3","7055502")</f>
        <v>0</v>
      </c>
      <c r="B13010" t="s">
        <v>1519</v>
      </c>
      <c r="C13010" t="s">
        <v>15957</v>
      </c>
      <c r="D13010" t="s">
        <v>18108</v>
      </c>
      <c r="E13010" t="s">
        <v>29451</v>
      </c>
      <c r="F13010" t="s">
        <v>31362</v>
      </c>
      <c r="G13010" t="s">
        <v>31369</v>
      </c>
      <c r="H13010" t="s">
        <v>31378</v>
      </c>
      <c r="I13010" t="s">
        <v>31386</v>
      </c>
      <c r="J13010" t="s">
        <v>39425</v>
      </c>
      <c r="K13010" t="s">
        <v>40691</v>
      </c>
      <c r="M13010" t="s">
        <v>42656</v>
      </c>
      <c r="N13010" t="s">
        <v>44905</v>
      </c>
      <c r="O13010" t="s">
        <v>44906</v>
      </c>
      <c r="Q13010">
        <v>28</v>
      </c>
      <c r="R13010" t="s">
        <v>44921</v>
      </c>
      <c r="S13010" t="s">
        <v>45633</v>
      </c>
      <c r="T13010" t="s">
        <v>46435</v>
      </c>
      <c r="U13010" t="s">
        <v>50837</v>
      </c>
      <c r="W13010" t="s">
        <v>42656</v>
      </c>
      <c r="X13010" t="s">
        <v>44922</v>
      </c>
    </row>
    <row r="13011" spans="1:24">
      <c r="A13011">
        <f>HYPERLINK("https://www.philgeps.gov.ph/GEPSNONPILOT/Tender/SplashBidNoticeAbstractUI.aspx?menuIndex=3&amp;refID=7055496&amp;Result=3","7055496")</f>
        <v>0</v>
      </c>
      <c r="B13011" t="s">
        <v>3316</v>
      </c>
      <c r="C13011" t="s">
        <v>15950</v>
      </c>
      <c r="D13011" t="s">
        <v>18135</v>
      </c>
      <c r="E13011" t="s">
        <v>29452</v>
      </c>
      <c r="F13011" t="s">
        <v>31362</v>
      </c>
      <c r="G13011" t="s">
        <v>31369</v>
      </c>
      <c r="H13011" t="s">
        <v>31378</v>
      </c>
      <c r="I13011" t="s">
        <v>31435</v>
      </c>
      <c r="J13011" t="s">
        <v>31625</v>
      </c>
      <c r="K13011" t="s">
        <v>40679</v>
      </c>
      <c r="M13011" t="s">
        <v>44610</v>
      </c>
      <c r="N13011" t="s">
        <v>44905</v>
      </c>
      <c r="O13011" t="s">
        <v>44906</v>
      </c>
      <c r="P13011">
        <v>0</v>
      </c>
      <c r="Q13011">
        <v>14</v>
      </c>
      <c r="R13011" t="s">
        <v>44921</v>
      </c>
      <c r="S13011" t="s">
        <v>45564</v>
      </c>
      <c r="T13011" t="s">
        <v>46440</v>
      </c>
      <c r="U13011" t="s">
        <v>57310</v>
      </c>
      <c r="W13011" t="s">
        <v>44610</v>
      </c>
      <c r="X13011" t="s">
        <v>44922</v>
      </c>
    </row>
    <row r="13012" spans="1:24">
      <c r="A13012">
        <f>HYPERLINK("https://www.philgeps.gov.ph/GEPSNONPILOT/Tender/SplashBidNoticeAbstractUI.aspx?menuIndex=3&amp;refID=7055495&amp;Result=3","7055495")</f>
        <v>0</v>
      </c>
      <c r="B13012" t="s">
        <v>1519</v>
      </c>
      <c r="C13012" t="s">
        <v>15958</v>
      </c>
      <c r="D13012" t="s">
        <v>18108</v>
      </c>
      <c r="E13012" t="s">
        <v>29453</v>
      </c>
      <c r="F13012" t="s">
        <v>31362</v>
      </c>
      <c r="G13012" t="s">
        <v>31369</v>
      </c>
      <c r="H13012" t="s">
        <v>31378</v>
      </c>
      <c r="I13012" t="s">
        <v>31386</v>
      </c>
      <c r="J13012" t="s">
        <v>39426</v>
      </c>
      <c r="K13012" t="s">
        <v>40678</v>
      </c>
      <c r="M13012" t="s">
        <v>42656</v>
      </c>
      <c r="N13012" t="s">
        <v>44905</v>
      </c>
      <c r="O13012" t="s">
        <v>44906</v>
      </c>
      <c r="Q13012">
        <v>22</v>
      </c>
      <c r="R13012" t="s">
        <v>44921</v>
      </c>
      <c r="S13012" t="s">
        <v>45634</v>
      </c>
      <c r="T13012" t="s">
        <v>46435</v>
      </c>
      <c r="U13012" t="s">
        <v>50837</v>
      </c>
      <c r="W13012" t="s">
        <v>42656</v>
      </c>
      <c r="X13012" t="s">
        <v>44922</v>
      </c>
    </row>
    <row r="13013" spans="1:24">
      <c r="A13013">
        <f>HYPERLINK("https://www.philgeps.gov.ph/GEPSNONPILOT/Tender/SplashBidNoticeAbstractUI.aspx?menuIndex=3&amp;refID=7055489&amp;Result=3","7055489")</f>
        <v>0</v>
      </c>
      <c r="B13013" t="s">
        <v>3317</v>
      </c>
      <c r="C13013" t="s">
        <v>15959</v>
      </c>
      <c r="D13013" t="s">
        <v>18108</v>
      </c>
      <c r="E13013" t="s">
        <v>29454</v>
      </c>
      <c r="F13013" t="s">
        <v>31362</v>
      </c>
      <c r="G13013" t="s">
        <v>31369</v>
      </c>
      <c r="H13013" t="s">
        <v>15799</v>
      </c>
      <c r="I13013" t="s">
        <v>31393</v>
      </c>
      <c r="J13013" t="s">
        <v>33868</v>
      </c>
      <c r="K13013" t="s">
        <v>40675</v>
      </c>
      <c r="M13013" t="s">
        <v>44611</v>
      </c>
      <c r="N13013" t="s">
        <v>44905</v>
      </c>
      <c r="O13013" t="s">
        <v>44906</v>
      </c>
      <c r="Q13013">
        <v>25</v>
      </c>
      <c r="R13013" t="s">
        <v>44921</v>
      </c>
      <c r="S13013" t="s">
        <v>45080</v>
      </c>
      <c r="T13013" t="s">
        <v>46499</v>
      </c>
      <c r="U13013" t="s">
        <v>57311</v>
      </c>
      <c r="W13013" t="s">
        <v>44611</v>
      </c>
      <c r="X13013" t="s">
        <v>44922</v>
      </c>
    </row>
    <row r="13014" spans="1:24">
      <c r="A13014">
        <f>HYPERLINK("https://www.philgeps.gov.ph/GEPSNONPILOT/Tender/SplashBidNoticeAbstractUI.aspx?menuIndex=3&amp;refID=7055485&amp;Result=3","7055485")</f>
        <v>0</v>
      </c>
      <c r="B13014" t="s">
        <v>1519</v>
      </c>
      <c r="C13014" t="s">
        <v>15960</v>
      </c>
      <c r="D13014" t="s">
        <v>18108</v>
      </c>
      <c r="E13014" t="s">
        <v>29455</v>
      </c>
      <c r="F13014" t="s">
        <v>31362</v>
      </c>
      <c r="G13014" t="s">
        <v>31369</v>
      </c>
      <c r="H13014" t="s">
        <v>31378</v>
      </c>
      <c r="I13014" t="s">
        <v>31386</v>
      </c>
      <c r="J13014" t="s">
        <v>39427</v>
      </c>
      <c r="K13014" t="s">
        <v>40684</v>
      </c>
      <c r="M13014" t="s">
        <v>42656</v>
      </c>
      <c r="N13014" t="s">
        <v>44905</v>
      </c>
      <c r="O13014" t="s">
        <v>44906</v>
      </c>
      <c r="Q13014">
        <v>23</v>
      </c>
      <c r="R13014" t="s">
        <v>44921</v>
      </c>
      <c r="S13014" t="s">
        <v>45635</v>
      </c>
      <c r="T13014" t="s">
        <v>46435</v>
      </c>
      <c r="U13014" t="s">
        <v>50837</v>
      </c>
      <c r="W13014" t="s">
        <v>42656</v>
      </c>
      <c r="X13014" t="s">
        <v>44922</v>
      </c>
    </row>
    <row r="13015" spans="1:24">
      <c r="A13015">
        <f>HYPERLINK("https://www.philgeps.gov.ph/GEPSNONPILOT/Tender/SplashBidNoticeAbstractUI.aspx?menuIndex=3&amp;refID=7055303&amp;Result=3","7055303")</f>
        <v>0</v>
      </c>
      <c r="B13015" t="s">
        <v>348</v>
      </c>
      <c r="C13015" t="s">
        <v>15961</v>
      </c>
      <c r="E13015" t="s">
        <v>29456</v>
      </c>
      <c r="F13015" t="s">
        <v>31362</v>
      </c>
      <c r="G13015" t="s">
        <v>31369</v>
      </c>
      <c r="H13015" t="s">
        <v>15799</v>
      </c>
      <c r="I13015" t="s">
        <v>31459</v>
      </c>
      <c r="J13015" t="s">
        <v>39415</v>
      </c>
      <c r="K13015" t="s">
        <v>40665</v>
      </c>
      <c r="M13015" t="s">
        <v>44600</v>
      </c>
      <c r="N13015" t="s">
        <v>44905</v>
      </c>
      <c r="O13015" t="s">
        <v>44906</v>
      </c>
      <c r="Q13015">
        <v>1</v>
      </c>
      <c r="R13015" t="s">
        <v>44921</v>
      </c>
      <c r="S13015" t="s">
        <v>45636</v>
      </c>
      <c r="T13015" t="s">
        <v>46499</v>
      </c>
      <c r="U13015" t="s">
        <v>57312</v>
      </c>
      <c r="W13015" t="s">
        <v>44600</v>
      </c>
      <c r="X13015" t="s">
        <v>44922</v>
      </c>
    </row>
    <row r="13016" spans="1:24">
      <c r="A13016">
        <f>HYPERLINK("https://www.philgeps.gov.ph/GEPSNONPILOT/Tender/SplashBidNoticeAbstractUI.aspx?menuIndex=3&amp;refID=7055479&amp;Result=3","7055479")</f>
        <v>0</v>
      </c>
      <c r="B13016" t="s">
        <v>3314</v>
      </c>
      <c r="C13016" t="s">
        <v>15962</v>
      </c>
      <c r="D13016" t="s">
        <v>18177</v>
      </c>
      <c r="E13016" t="s">
        <v>19830</v>
      </c>
      <c r="F13016" t="s">
        <v>31362</v>
      </c>
      <c r="G13016" t="s">
        <v>31369</v>
      </c>
      <c r="H13016" t="s">
        <v>15799</v>
      </c>
      <c r="I13016" t="s">
        <v>4942</v>
      </c>
      <c r="J13016" t="s">
        <v>36855</v>
      </c>
      <c r="K13016" t="s">
        <v>40662</v>
      </c>
      <c r="M13016" t="s">
        <v>44607</v>
      </c>
      <c r="N13016" t="s">
        <v>44905</v>
      </c>
      <c r="O13016" t="s">
        <v>44906</v>
      </c>
      <c r="P13016">
        <v>0</v>
      </c>
      <c r="Q13016">
        <v>0</v>
      </c>
      <c r="R13016" t="s">
        <v>44921</v>
      </c>
      <c r="S13016" t="s">
        <v>45564</v>
      </c>
      <c r="T13016" t="s">
        <v>46483</v>
      </c>
      <c r="U13016" t="s">
        <v>57313</v>
      </c>
      <c r="W13016" t="s">
        <v>44607</v>
      </c>
      <c r="X13016" t="s">
        <v>44922</v>
      </c>
    </row>
    <row r="13017" spans="1:24">
      <c r="A13017">
        <f>HYPERLINK("https://www.philgeps.gov.ph/GEPSNONPILOT/Tender/SplashBidNoticeAbstractUI.aspx?menuIndex=3&amp;refID=7055524&amp;Result=3","7055524")</f>
        <v>0</v>
      </c>
      <c r="B13017" t="s">
        <v>1519</v>
      </c>
      <c r="C13017" t="s">
        <v>15963</v>
      </c>
      <c r="D13017" t="s">
        <v>18108</v>
      </c>
      <c r="E13017" t="s">
        <v>29457</v>
      </c>
      <c r="F13017" t="s">
        <v>31362</v>
      </c>
      <c r="G13017" t="s">
        <v>31369</v>
      </c>
      <c r="H13017" t="s">
        <v>31378</v>
      </c>
      <c r="I13017" t="s">
        <v>31377</v>
      </c>
      <c r="J13017" t="s">
        <v>39428</v>
      </c>
      <c r="K13017" t="s">
        <v>40692</v>
      </c>
      <c r="M13017" t="s">
        <v>42656</v>
      </c>
      <c r="N13017" t="s">
        <v>44905</v>
      </c>
      <c r="O13017" t="s">
        <v>44906</v>
      </c>
      <c r="Q13017">
        <v>22</v>
      </c>
      <c r="R13017" t="s">
        <v>44921</v>
      </c>
      <c r="S13017" t="s">
        <v>45637</v>
      </c>
      <c r="T13017" t="s">
        <v>46435</v>
      </c>
      <c r="U13017" t="s">
        <v>50837</v>
      </c>
      <c r="W13017" t="s">
        <v>42656</v>
      </c>
      <c r="X13017" t="s">
        <v>44922</v>
      </c>
    </row>
    <row r="13018" spans="1:24">
      <c r="A13018">
        <f>HYPERLINK("https://www.philgeps.gov.ph/GEPSNONPILOT/Tender/SplashBidNoticeAbstractUI.aspx?menuIndex=3&amp;refID=7055295&amp;Result=3","7055295")</f>
        <v>0</v>
      </c>
      <c r="B13018" t="s">
        <v>2668</v>
      </c>
      <c r="C13018" t="s">
        <v>15964</v>
      </c>
      <c r="D13018" t="s">
        <v>18177</v>
      </c>
      <c r="E13018" t="s">
        <v>29458</v>
      </c>
      <c r="F13018" t="s">
        <v>31362</v>
      </c>
      <c r="G13018" t="s">
        <v>31369</v>
      </c>
      <c r="H13018" t="s">
        <v>31378</v>
      </c>
      <c r="I13018" t="s">
        <v>31386</v>
      </c>
      <c r="J13018" t="s">
        <v>34023</v>
      </c>
      <c r="K13018" t="s">
        <v>40725</v>
      </c>
      <c r="M13018" t="s">
        <v>43852</v>
      </c>
      <c r="N13018" t="s">
        <v>44905</v>
      </c>
      <c r="O13018" t="s">
        <v>44906</v>
      </c>
      <c r="Q13018">
        <v>2</v>
      </c>
      <c r="R13018" t="s">
        <v>44921</v>
      </c>
      <c r="S13018" t="s">
        <v>45119</v>
      </c>
      <c r="T13018" t="s">
        <v>46618</v>
      </c>
      <c r="U13018" t="s">
        <v>57303</v>
      </c>
      <c r="V13018" t="s">
        <v>60503</v>
      </c>
      <c r="W13018" t="s">
        <v>43852</v>
      </c>
      <c r="X13018" t="s">
        <v>44922</v>
      </c>
    </row>
    <row r="13019" spans="1:24">
      <c r="A13019">
        <f>HYPERLINK("https://www.philgeps.gov.ph/GEPSNONPILOT/Tender/SplashBidNoticeAbstractUI.aspx?menuIndex=3&amp;refID=7055487&amp;Result=3","7055487")</f>
        <v>0</v>
      </c>
      <c r="B13019" t="s">
        <v>3313</v>
      </c>
      <c r="C13019" t="s">
        <v>15965</v>
      </c>
      <c r="D13019" t="s">
        <v>18133</v>
      </c>
      <c r="E13019" t="s">
        <v>29459</v>
      </c>
      <c r="F13019" t="s">
        <v>31362</v>
      </c>
      <c r="G13019" t="s">
        <v>31369</v>
      </c>
      <c r="H13019" t="s">
        <v>31378</v>
      </c>
      <c r="I13019" t="s">
        <v>31386</v>
      </c>
      <c r="J13019" t="s">
        <v>34706</v>
      </c>
      <c r="K13019" t="s">
        <v>40675</v>
      </c>
      <c r="M13019" t="s">
        <v>44606</v>
      </c>
      <c r="N13019" t="s">
        <v>44905</v>
      </c>
      <c r="O13019" t="s">
        <v>44906</v>
      </c>
      <c r="P13019">
        <v>0</v>
      </c>
      <c r="Q13019">
        <v>1</v>
      </c>
      <c r="R13019" t="s">
        <v>44921</v>
      </c>
      <c r="S13019" t="s">
        <v>45564</v>
      </c>
      <c r="T13019" t="s">
        <v>46396</v>
      </c>
      <c r="U13019" t="s">
        <v>57314</v>
      </c>
      <c r="W13019" t="s">
        <v>44606</v>
      </c>
      <c r="X13019" t="s">
        <v>44922</v>
      </c>
    </row>
    <row r="13020" spans="1:24">
      <c r="A13020">
        <f>HYPERLINK("https://www.philgeps.gov.ph/GEPSNONPILOT/Tender/SplashBidNoticeAbstractUI.aspx?menuIndex=3&amp;refID=7055280&amp;Result=3","7055280")</f>
        <v>0</v>
      </c>
      <c r="B13020" t="s">
        <v>1662</v>
      </c>
      <c r="C13020" t="s">
        <v>15966</v>
      </c>
      <c r="D13020" t="s">
        <v>18175</v>
      </c>
      <c r="E13020" t="s">
        <v>29460</v>
      </c>
      <c r="F13020" t="s">
        <v>31362</v>
      </c>
      <c r="G13020" t="s">
        <v>31373</v>
      </c>
      <c r="H13020" t="s">
        <v>31378</v>
      </c>
      <c r="I13020" t="s">
        <v>31386</v>
      </c>
      <c r="J13020" t="s">
        <v>39429</v>
      </c>
      <c r="K13020" t="s">
        <v>40682</v>
      </c>
      <c r="M13020" t="s">
        <v>42727</v>
      </c>
      <c r="N13020" t="s">
        <v>44905</v>
      </c>
      <c r="O13020" t="s">
        <v>44906</v>
      </c>
      <c r="Q13020">
        <v>0</v>
      </c>
      <c r="R13020" t="s">
        <v>44921</v>
      </c>
      <c r="S13020" t="s">
        <v>45638</v>
      </c>
      <c r="T13020" t="s">
        <v>46396</v>
      </c>
      <c r="U13020" t="s">
        <v>57315</v>
      </c>
      <c r="W13020" t="s">
        <v>42727</v>
      </c>
      <c r="X13020" t="s">
        <v>44922</v>
      </c>
    </row>
    <row r="13021" spans="1:24">
      <c r="A13021">
        <f>HYPERLINK("https://www.philgeps.gov.ph/GEPSNONPILOT/Tender/SplashBidNoticeAbstractUI.aspx?menuIndex=3&amp;refID=7055483&amp;Result=3","7055483")</f>
        <v>0</v>
      </c>
      <c r="B13021" t="s">
        <v>3313</v>
      </c>
      <c r="C13021" t="s">
        <v>15967</v>
      </c>
      <c r="D13021" t="s">
        <v>18133</v>
      </c>
      <c r="E13021" t="s">
        <v>29461</v>
      </c>
      <c r="F13021" t="s">
        <v>31362</v>
      </c>
      <c r="G13021" t="s">
        <v>31369</v>
      </c>
      <c r="H13021" t="s">
        <v>31378</v>
      </c>
      <c r="I13021" t="s">
        <v>31386</v>
      </c>
      <c r="J13021" t="s">
        <v>39430</v>
      </c>
      <c r="K13021" t="s">
        <v>40686</v>
      </c>
      <c r="M13021" t="s">
        <v>44606</v>
      </c>
      <c r="N13021" t="s">
        <v>44905</v>
      </c>
      <c r="O13021" t="s">
        <v>44906</v>
      </c>
      <c r="P13021">
        <v>0</v>
      </c>
      <c r="Q13021">
        <v>1</v>
      </c>
      <c r="R13021" t="s">
        <v>44921</v>
      </c>
      <c r="S13021" t="s">
        <v>45564</v>
      </c>
      <c r="T13021" t="s">
        <v>46396</v>
      </c>
      <c r="U13021" t="s">
        <v>57316</v>
      </c>
      <c r="W13021" t="s">
        <v>44606</v>
      </c>
      <c r="X13021" t="s">
        <v>44922</v>
      </c>
    </row>
    <row r="13022" spans="1:24">
      <c r="A13022">
        <f>HYPERLINK("https://www.philgeps.gov.ph/GEPSNONPILOT/Tender/SplashBidNoticeAbstractUI.aspx?menuIndex=3&amp;refID=7055476&amp;Result=3","7055476")</f>
        <v>0</v>
      </c>
      <c r="B13022" t="s">
        <v>3314</v>
      </c>
      <c r="C13022" t="s">
        <v>15968</v>
      </c>
      <c r="D13022" t="s">
        <v>18177</v>
      </c>
      <c r="E13022" t="s">
        <v>19791</v>
      </c>
      <c r="F13022" t="s">
        <v>31362</v>
      </c>
      <c r="G13022" t="s">
        <v>31369</v>
      </c>
      <c r="H13022" t="s">
        <v>15799</v>
      </c>
      <c r="I13022" t="s">
        <v>4942</v>
      </c>
      <c r="J13022" t="s">
        <v>36855</v>
      </c>
      <c r="K13022" t="s">
        <v>40662</v>
      </c>
      <c r="M13022" t="s">
        <v>44607</v>
      </c>
      <c r="N13022" t="s">
        <v>44905</v>
      </c>
      <c r="O13022" t="s">
        <v>44906</v>
      </c>
      <c r="P13022">
        <v>0</v>
      </c>
      <c r="Q13022">
        <v>3</v>
      </c>
      <c r="R13022" t="s">
        <v>44921</v>
      </c>
      <c r="S13022" t="s">
        <v>45564</v>
      </c>
      <c r="T13022" t="s">
        <v>46483</v>
      </c>
      <c r="U13022" t="s">
        <v>57317</v>
      </c>
      <c r="W13022" t="s">
        <v>44607</v>
      </c>
      <c r="X13022" t="s">
        <v>44922</v>
      </c>
    </row>
    <row r="13023" spans="1:24">
      <c r="A13023">
        <f>HYPERLINK("https://www.philgeps.gov.ph/GEPSNONPILOT/Tender/SplashBidNoticeAbstractUI.aspx?menuIndex=3&amp;refID=7055292&amp;Result=3","7055292")</f>
        <v>0</v>
      </c>
      <c r="B13023" t="s">
        <v>579</v>
      </c>
      <c r="C13023" t="s">
        <v>15969</v>
      </c>
      <c r="D13023" t="s">
        <v>18112</v>
      </c>
      <c r="E13023" t="s">
        <v>29462</v>
      </c>
      <c r="F13023" t="s">
        <v>31362</v>
      </c>
      <c r="G13023" t="s">
        <v>31369</v>
      </c>
      <c r="H13023" t="s">
        <v>31378</v>
      </c>
      <c r="I13023" t="s">
        <v>31386</v>
      </c>
      <c r="J13023" t="s">
        <v>39417</v>
      </c>
      <c r="K13023" t="s">
        <v>40679</v>
      </c>
      <c r="M13023" t="s">
        <v>44075</v>
      </c>
      <c r="N13023" t="s">
        <v>44905</v>
      </c>
      <c r="O13023" t="s">
        <v>44906</v>
      </c>
      <c r="P13023">
        <v>0</v>
      </c>
      <c r="Q13023">
        <v>1</v>
      </c>
      <c r="R13023" t="s">
        <v>44921</v>
      </c>
      <c r="S13023" t="s">
        <v>45564</v>
      </c>
      <c r="T13023" t="s">
        <v>46542</v>
      </c>
      <c r="U13023" t="s">
        <v>55079</v>
      </c>
      <c r="W13023" t="s">
        <v>44075</v>
      </c>
      <c r="X13023" t="s">
        <v>44922</v>
      </c>
    </row>
    <row r="13024" spans="1:24">
      <c r="A13024">
        <f>HYPERLINK("https://www.philgeps.gov.ph/GEPSNONPILOT/Tender/SplashBidNoticeAbstractUI.aspx?menuIndex=3&amp;refID=7055509&amp;Result=3","7055509")</f>
        <v>0</v>
      </c>
      <c r="B13024" t="s">
        <v>3316</v>
      </c>
      <c r="C13024" t="s">
        <v>15950</v>
      </c>
      <c r="D13024" t="s">
        <v>18135</v>
      </c>
      <c r="E13024" t="s">
        <v>29463</v>
      </c>
      <c r="F13024" t="s">
        <v>31362</v>
      </c>
      <c r="G13024" t="s">
        <v>31369</v>
      </c>
      <c r="H13024" t="s">
        <v>31378</v>
      </c>
      <c r="I13024" t="s">
        <v>31435</v>
      </c>
      <c r="J13024" t="s">
        <v>31709</v>
      </c>
      <c r="K13024" t="s">
        <v>40683</v>
      </c>
      <c r="M13024" t="s">
        <v>44610</v>
      </c>
      <c r="N13024" t="s">
        <v>44905</v>
      </c>
      <c r="O13024" t="s">
        <v>44906</v>
      </c>
      <c r="P13024">
        <v>0</v>
      </c>
      <c r="Q13024">
        <v>15</v>
      </c>
      <c r="R13024" t="s">
        <v>44921</v>
      </c>
      <c r="S13024" t="s">
        <v>45564</v>
      </c>
      <c r="T13024" t="s">
        <v>46440</v>
      </c>
      <c r="U13024" t="s">
        <v>57318</v>
      </c>
      <c r="W13024" t="s">
        <v>44610</v>
      </c>
      <c r="X13024" t="s">
        <v>44922</v>
      </c>
    </row>
    <row r="13025" spans="1:24">
      <c r="A13025">
        <f>HYPERLINK("https://www.philgeps.gov.ph/GEPSNONPILOT/Tender/SplashBidNoticeAbstractUI.aspx?menuIndex=3&amp;refID=7026766&amp;Result=3","7026766")</f>
        <v>0</v>
      </c>
      <c r="B13025" t="s">
        <v>644</v>
      </c>
      <c r="C13025" t="s">
        <v>15970</v>
      </c>
      <c r="D13025" t="s">
        <v>18164</v>
      </c>
      <c r="E13025" t="s">
        <v>29464</v>
      </c>
      <c r="F13025" t="s">
        <v>31362</v>
      </c>
      <c r="G13025" t="s">
        <v>31369</v>
      </c>
      <c r="H13025" t="s">
        <v>31378</v>
      </c>
      <c r="I13025" t="s">
        <v>31499</v>
      </c>
      <c r="J13025" t="s">
        <v>39431</v>
      </c>
      <c r="K13025" t="s">
        <v>40886</v>
      </c>
      <c r="M13025" t="s">
        <v>41605</v>
      </c>
      <c r="N13025" t="s">
        <v>44905</v>
      </c>
      <c r="O13025" t="s">
        <v>44906</v>
      </c>
      <c r="P13025">
        <v>0</v>
      </c>
      <c r="Q13025">
        <v>0</v>
      </c>
      <c r="R13025" t="s">
        <v>44922</v>
      </c>
      <c r="S13025" t="s">
        <v>45639</v>
      </c>
      <c r="T13025" t="s">
        <v>46481</v>
      </c>
      <c r="U13025" t="s">
        <v>57319</v>
      </c>
      <c r="W13025" t="s">
        <v>41605</v>
      </c>
      <c r="X13025" t="s">
        <v>44937</v>
      </c>
    </row>
    <row r="13026" spans="1:24">
      <c r="A13026">
        <f>HYPERLINK("https://www.philgeps.gov.ph/GEPSNONPILOT/Tender/SplashBidNoticeAbstractUI.aspx?menuIndex=3&amp;refID=6947353&amp;Result=3","6947353")</f>
        <v>0</v>
      </c>
      <c r="B13026" t="s">
        <v>3257</v>
      </c>
      <c r="C13026" t="s">
        <v>15971</v>
      </c>
      <c r="D13026" t="s">
        <v>18136</v>
      </c>
      <c r="E13026" t="s">
        <v>29465</v>
      </c>
      <c r="F13026" t="s">
        <v>31362</v>
      </c>
      <c r="G13026" t="s">
        <v>31369</v>
      </c>
      <c r="H13026" t="s">
        <v>31378</v>
      </c>
      <c r="I13026" t="s">
        <v>31386</v>
      </c>
      <c r="J13026" t="s">
        <v>39432</v>
      </c>
      <c r="K13026" t="s">
        <v>40682</v>
      </c>
      <c r="M13026" t="s">
        <v>44537</v>
      </c>
      <c r="N13026" t="s">
        <v>44905</v>
      </c>
      <c r="O13026" t="s">
        <v>44906</v>
      </c>
      <c r="P13026">
        <v>0</v>
      </c>
      <c r="Q13026">
        <v>1</v>
      </c>
      <c r="R13026" t="s">
        <v>44922</v>
      </c>
      <c r="S13026" t="s">
        <v>45639</v>
      </c>
      <c r="T13026" t="s">
        <v>46410</v>
      </c>
      <c r="U13026" t="s">
        <v>57320</v>
      </c>
      <c r="W13026" t="s">
        <v>44537</v>
      </c>
      <c r="X13026" t="s">
        <v>44969</v>
      </c>
    </row>
    <row r="13027" spans="1:24">
      <c r="A13027">
        <f>HYPERLINK("https://www.philgeps.gov.ph/GEPSNONPILOT/Tender/SplashBidNoticeAbstractUI.aspx?menuIndex=3&amp;refID=7055198&amp;Result=3","7055198")</f>
        <v>0</v>
      </c>
      <c r="B13027" t="s">
        <v>81</v>
      </c>
      <c r="C13027" t="s">
        <v>15972</v>
      </c>
      <c r="E13027" t="s">
        <v>29466</v>
      </c>
      <c r="F13027" t="s">
        <v>31362</v>
      </c>
      <c r="G13027" t="s">
        <v>31369</v>
      </c>
      <c r="H13027" t="s">
        <v>31378</v>
      </c>
      <c r="I13027" t="s">
        <v>31386</v>
      </c>
      <c r="J13027" t="s">
        <v>35931</v>
      </c>
      <c r="K13027" t="s">
        <v>40662</v>
      </c>
      <c r="M13027" t="s">
        <v>41999</v>
      </c>
      <c r="N13027" t="s">
        <v>44905</v>
      </c>
      <c r="O13027" t="s">
        <v>44906</v>
      </c>
      <c r="Q13027">
        <v>3</v>
      </c>
      <c r="R13027" t="s">
        <v>44921</v>
      </c>
      <c r="S13027" t="s">
        <v>45640</v>
      </c>
      <c r="T13027" t="s">
        <v>46575</v>
      </c>
      <c r="U13027" t="s">
        <v>57321</v>
      </c>
      <c r="W13027" t="s">
        <v>41999</v>
      </c>
      <c r="X13027" t="s">
        <v>44922</v>
      </c>
    </row>
    <row r="13028" spans="1:24">
      <c r="A13028">
        <f>HYPERLINK("https://www.philgeps.gov.ph/GEPSNONPILOT/Tender/SplashBidNoticeAbstractUI.aspx?menuIndex=3&amp;refID=7055637&amp;Result=3","7055637")</f>
        <v>0</v>
      </c>
      <c r="B13028" t="s">
        <v>1535</v>
      </c>
      <c r="C13028" t="s">
        <v>15973</v>
      </c>
      <c r="D13028" t="s">
        <v>18178</v>
      </c>
      <c r="E13028" t="s">
        <v>29467</v>
      </c>
      <c r="F13028" t="s">
        <v>31362</v>
      </c>
      <c r="G13028" t="s">
        <v>31369</v>
      </c>
      <c r="H13028" t="s">
        <v>31378</v>
      </c>
      <c r="I13028" t="s">
        <v>31386</v>
      </c>
      <c r="J13028" t="s">
        <v>31709</v>
      </c>
      <c r="K13028" t="s">
        <v>40929</v>
      </c>
      <c r="M13028" t="s">
        <v>42582</v>
      </c>
      <c r="N13028" t="s">
        <v>44905</v>
      </c>
      <c r="O13028" t="s">
        <v>44906</v>
      </c>
      <c r="P13028">
        <v>0</v>
      </c>
      <c r="Q13028">
        <v>5</v>
      </c>
      <c r="R13028" t="s">
        <v>44921</v>
      </c>
      <c r="S13028" t="s">
        <v>45564</v>
      </c>
      <c r="T13028" t="s">
        <v>46818</v>
      </c>
      <c r="U13028" t="s">
        <v>57322</v>
      </c>
      <c r="W13028" t="s">
        <v>42582</v>
      </c>
      <c r="X13028" t="s">
        <v>44922</v>
      </c>
    </row>
    <row r="13029" spans="1:24">
      <c r="A13029">
        <f>HYPERLINK("https://www.philgeps.gov.ph/GEPSNONPILOT/Tender/SplashBidNoticeAbstractUI.aspx?menuIndex=3&amp;refID=7055632&amp;Result=3","7055632")</f>
        <v>0</v>
      </c>
      <c r="B13029" t="s">
        <v>1535</v>
      </c>
      <c r="C13029" t="s">
        <v>15974</v>
      </c>
      <c r="D13029" t="s">
        <v>18178</v>
      </c>
      <c r="E13029" t="s">
        <v>29468</v>
      </c>
      <c r="F13029" t="s">
        <v>31362</v>
      </c>
      <c r="G13029" t="s">
        <v>31369</v>
      </c>
      <c r="H13029" t="s">
        <v>15799</v>
      </c>
      <c r="I13029" t="s">
        <v>6373</v>
      </c>
      <c r="J13029" t="s">
        <v>39433</v>
      </c>
      <c r="K13029" t="s">
        <v>40723</v>
      </c>
      <c r="M13029" t="s">
        <v>42582</v>
      </c>
      <c r="N13029" t="s">
        <v>44905</v>
      </c>
      <c r="O13029" t="s">
        <v>44906</v>
      </c>
      <c r="P13029">
        <v>0</v>
      </c>
      <c r="Q13029">
        <v>3</v>
      </c>
      <c r="R13029" t="s">
        <v>44921</v>
      </c>
      <c r="S13029" t="s">
        <v>45564</v>
      </c>
      <c r="T13029" t="s">
        <v>46818</v>
      </c>
      <c r="U13029" t="s">
        <v>57323</v>
      </c>
      <c r="W13029" t="s">
        <v>42582</v>
      </c>
      <c r="X13029" t="s">
        <v>44922</v>
      </c>
    </row>
    <row r="13030" spans="1:24">
      <c r="A13030">
        <f>HYPERLINK("https://www.philgeps.gov.ph/GEPSNONPILOT/Tender/SplashBidNoticeAbstractUI.aspx?menuIndex=3&amp;refID=7055604&amp;Result=3","7055604")</f>
        <v>0</v>
      </c>
      <c r="B13030" t="s">
        <v>3303</v>
      </c>
      <c r="C13030" t="s">
        <v>15975</v>
      </c>
      <c r="D13030" t="s">
        <v>18123</v>
      </c>
      <c r="E13030" t="s">
        <v>27330</v>
      </c>
      <c r="F13030" t="s">
        <v>31362</v>
      </c>
      <c r="G13030" t="s">
        <v>31369</v>
      </c>
      <c r="H13030" t="s">
        <v>31378</v>
      </c>
      <c r="I13030" t="s">
        <v>31386</v>
      </c>
      <c r="J13030" t="s">
        <v>31625</v>
      </c>
      <c r="K13030" t="s">
        <v>40665</v>
      </c>
      <c r="M13030" t="s">
        <v>44594</v>
      </c>
      <c r="N13030" t="s">
        <v>44905</v>
      </c>
      <c r="O13030" t="s">
        <v>44906</v>
      </c>
      <c r="P13030">
        <v>0</v>
      </c>
      <c r="Q13030">
        <v>0</v>
      </c>
      <c r="R13030" t="s">
        <v>44921</v>
      </c>
      <c r="S13030" t="s">
        <v>45564</v>
      </c>
      <c r="T13030" t="s">
        <v>46467</v>
      </c>
      <c r="U13030" t="s">
        <v>57324</v>
      </c>
      <c r="W13030" t="s">
        <v>44594</v>
      </c>
      <c r="X13030" t="s">
        <v>44922</v>
      </c>
    </row>
    <row r="13031" spans="1:24">
      <c r="A13031">
        <f>HYPERLINK("https://www.philgeps.gov.ph/GEPSNONPILOT/Tender/SplashBidNoticeAbstractUI.aspx?menuIndex=3&amp;refID=7035477&amp;Result=3","7035477")</f>
        <v>0</v>
      </c>
      <c r="B13031" t="s">
        <v>3318</v>
      </c>
      <c r="C13031" t="s">
        <v>15976</v>
      </c>
      <c r="D13031" t="s">
        <v>18113</v>
      </c>
      <c r="E13031" t="s">
        <v>29469</v>
      </c>
      <c r="F13031" t="s">
        <v>31362</v>
      </c>
      <c r="G13031" t="s">
        <v>31369</v>
      </c>
      <c r="H13031" t="s">
        <v>31378</v>
      </c>
      <c r="I13031" t="s">
        <v>31386</v>
      </c>
      <c r="J13031" t="s">
        <v>31696</v>
      </c>
      <c r="K13031" t="s">
        <v>40683</v>
      </c>
      <c r="M13031" t="s">
        <v>44612</v>
      </c>
      <c r="N13031" t="s">
        <v>44905</v>
      </c>
      <c r="O13031" t="s">
        <v>44906</v>
      </c>
      <c r="Q13031">
        <v>5</v>
      </c>
      <c r="R13031" t="s">
        <v>44922</v>
      </c>
      <c r="S13031" t="s">
        <v>45641</v>
      </c>
      <c r="T13031" t="s">
        <v>46412</v>
      </c>
      <c r="U13031" t="s">
        <v>57325</v>
      </c>
      <c r="V13031" t="s">
        <v>60504</v>
      </c>
      <c r="W13031" t="s">
        <v>44612</v>
      </c>
      <c r="X13031" t="s">
        <v>44931</v>
      </c>
    </row>
    <row r="13032" spans="1:24">
      <c r="A13032">
        <f>HYPERLINK("https://www.philgeps.gov.ph/GEPSNONPILOT/Tender/SplashBidNoticeAbstractUI.aspx?menuIndex=3&amp;refID=7035323&amp;Result=3","7035323")</f>
        <v>0</v>
      </c>
      <c r="B13032" t="s">
        <v>3318</v>
      </c>
      <c r="C13032" t="s">
        <v>15977</v>
      </c>
      <c r="D13032" t="s">
        <v>18113</v>
      </c>
      <c r="E13032" t="s">
        <v>29470</v>
      </c>
      <c r="F13032" t="s">
        <v>31362</v>
      </c>
      <c r="G13032" t="s">
        <v>31369</v>
      </c>
      <c r="H13032" t="s">
        <v>31378</v>
      </c>
      <c r="I13032" t="s">
        <v>31386</v>
      </c>
      <c r="J13032" t="s">
        <v>31696</v>
      </c>
      <c r="K13032" t="s">
        <v>40683</v>
      </c>
      <c r="M13032" t="s">
        <v>44612</v>
      </c>
      <c r="N13032" t="s">
        <v>44905</v>
      </c>
      <c r="O13032" t="s">
        <v>44906</v>
      </c>
      <c r="Q13032">
        <v>9</v>
      </c>
      <c r="R13032" t="s">
        <v>44922</v>
      </c>
      <c r="S13032" t="s">
        <v>45642</v>
      </c>
      <c r="T13032" t="s">
        <v>46412</v>
      </c>
      <c r="U13032" t="s">
        <v>57326</v>
      </c>
      <c r="V13032" t="s">
        <v>60504</v>
      </c>
      <c r="W13032" t="s">
        <v>44612</v>
      </c>
      <c r="X13032" t="s">
        <v>44931</v>
      </c>
    </row>
    <row r="13033" spans="1:24">
      <c r="A13033">
        <f>HYPERLINK("https://www.philgeps.gov.ph/GEPSNONPILOT/Tender/SplashBidNoticeAbstractUI.aspx?menuIndex=3&amp;refID=7055633&amp;Result=3","7055633")</f>
        <v>0</v>
      </c>
      <c r="B13033" t="s">
        <v>3303</v>
      </c>
      <c r="C13033" t="s">
        <v>15978</v>
      </c>
      <c r="D13033" t="s">
        <v>18123</v>
      </c>
      <c r="E13033" t="s">
        <v>29471</v>
      </c>
      <c r="F13033" t="s">
        <v>31362</v>
      </c>
      <c r="G13033" t="s">
        <v>31369</v>
      </c>
      <c r="H13033" t="s">
        <v>31378</v>
      </c>
      <c r="I13033" t="s">
        <v>31386</v>
      </c>
      <c r="J13033" t="s">
        <v>31531</v>
      </c>
      <c r="K13033" t="s">
        <v>40666</v>
      </c>
      <c r="M13033" t="s">
        <v>44594</v>
      </c>
      <c r="N13033" t="s">
        <v>44905</v>
      </c>
      <c r="O13033" t="s">
        <v>44906</v>
      </c>
      <c r="P13033">
        <v>0</v>
      </c>
      <c r="Q13033">
        <v>0</v>
      </c>
      <c r="R13033" t="s">
        <v>44921</v>
      </c>
      <c r="S13033" t="s">
        <v>45564</v>
      </c>
      <c r="T13033" t="s">
        <v>46467</v>
      </c>
      <c r="U13033" t="s">
        <v>57327</v>
      </c>
      <c r="W13033" t="s">
        <v>44594</v>
      </c>
      <c r="X13033" t="s">
        <v>44922</v>
      </c>
    </row>
    <row r="13034" spans="1:24">
      <c r="A13034">
        <f>HYPERLINK("https://www.philgeps.gov.ph/GEPSNONPILOT/Tender/SplashBidNoticeAbstractUI.aspx?menuIndex=3&amp;refID=7055587&amp;Result=3","7055587")</f>
        <v>0</v>
      </c>
      <c r="B13034" t="s">
        <v>3303</v>
      </c>
      <c r="C13034" t="s">
        <v>15979</v>
      </c>
      <c r="D13034" t="s">
        <v>18123</v>
      </c>
      <c r="E13034" t="s">
        <v>27458</v>
      </c>
      <c r="F13034" t="s">
        <v>31362</v>
      </c>
      <c r="G13034" t="s">
        <v>31369</v>
      </c>
      <c r="H13034" t="s">
        <v>31378</v>
      </c>
      <c r="I13034" t="s">
        <v>31386</v>
      </c>
      <c r="J13034" t="s">
        <v>33472</v>
      </c>
      <c r="K13034" t="s">
        <v>40665</v>
      </c>
      <c r="M13034" t="s">
        <v>44594</v>
      </c>
      <c r="N13034" t="s">
        <v>44905</v>
      </c>
      <c r="O13034" t="s">
        <v>44906</v>
      </c>
      <c r="P13034">
        <v>0</v>
      </c>
      <c r="Q13034">
        <v>0</v>
      </c>
      <c r="R13034" t="s">
        <v>44921</v>
      </c>
      <c r="S13034" t="s">
        <v>45564</v>
      </c>
      <c r="T13034" t="s">
        <v>46467</v>
      </c>
      <c r="U13034" t="s">
        <v>57328</v>
      </c>
      <c r="W13034" t="s">
        <v>44594</v>
      </c>
      <c r="X13034" t="s">
        <v>44922</v>
      </c>
    </row>
    <row r="13035" spans="1:24">
      <c r="A13035">
        <f>HYPERLINK("https://www.philgeps.gov.ph/GEPSNONPILOT/Tender/SplashBidNoticeAbstractUI.aspx?menuIndex=3&amp;refID=7055627&amp;Result=3","7055627")</f>
        <v>0</v>
      </c>
      <c r="B13035" t="s">
        <v>3303</v>
      </c>
      <c r="C13035" t="s">
        <v>15980</v>
      </c>
      <c r="D13035" t="s">
        <v>18123</v>
      </c>
      <c r="E13035" t="s">
        <v>27509</v>
      </c>
      <c r="F13035" t="s">
        <v>31362</v>
      </c>
      <c r="G13035" t="s">
        <v>31369</v>
      </c>
      <c r="H13035" t="s">
        <v>31378</v>
      </c>
      <c r="I13035" t="s">
        <v>31386</v>
      </c>
      <c r="J13035" t="s">
        <v>39434</v>
      </c>
      <c r="K13035" t="s">
        <v>40682</v>
      </c>
      <c r="M13035" t="s">
        <v>44594</v>
      </c>
      <c r="N13035" t="s">
        <v>44905</v>
      </c>
      <c r="O13035" t="s">
        <v>44906</v>
      </c>
      <c r="P13035">
        <v>0</v>
      </c>
      <c r="Q13035">
        <v>0</v>
      </c>
      <c r="R13035" t="s">
        <v>44921</v>
      </c>
      <c r="S13035" t="s">
        <v>45564</v>
      </c>
      <c r="T13035" t="s">
        <v>46467</v>
      </c>
      <c r="U13035" t="s">
        <v>57329</v>
      </c>
      <c r="W13035" t="s">
        <v>44594</v>
      </c>
      <c r="X13035" t="s">
        <v>44922</v>
      </c>
    </row>
    <row r="13036" spans="1:24">
      <c r="A13036">
        <f>HYPERLINK("https://www.philgeps.gov.ph/GEPSNONPILOT/Tender/SplashBidNoticeAbstractUI.aspx?menuIndex=3&amp;refID=7055617&amp;Result=3","7055617")</f>
        <v>0</v>
      </c>
      <c r="B13036" t="s">
        <v>3303</v>
      </c>
      <c r="C13036" t="s">
        <v>15981</v>
      </c>
      <c r="D13036" t="s">
        <v>18123</v>
      </c>
      <c r="E13036" t="s">
        <v>23760</v>
      </c>
      <c r="F13036" t="s">
        <v>31362</v>
      </c>
      <c r="G13036" t="s">
        <v>31369</v>
      </c>
      <c r="H13036" t="s">
        <v>31378</v>
      </c>
      <c r="I13036" t="s">
        <v>31386</v>
      </c>
      <c r="J13036" t="s">
        <v>38714</v>
      </c>
      <c r="K13036" t="s">
        <v>40686</v>
      </c>
      <c r="M13036" t="s">
        <v>44594</v>
      </c>
      <c r="N13036" t="s">
        <v>44905</v>
      </c>
      <c r="O13036" t="s">
        <v>44906</v>
      </c>
      <c r="P13036">
        <v>0</v>
      </c>
      <c r="Q13036">
        <v>0</v>
      </c>
      <c r="R13036" t="s">
        <v>44921</v>
      </c>
      <c r="S13036" t="s">
        <v>45564</v>
      </c>
      <c r="T13036" t="s">
        <v>46467</v>
      </c>
      <c r="U13036" t="s">
        <v>57330</v>
      </c>
      <c r="W13036" t="s">
        <v>44594</v>
      </c>
      <c r="X13036" t="s">
        <v>44922</v>
      </c>
    </row>
    <row r="13037" spans="1:24">
      <c r="A13037">
        <f>HYPERLINK("https://www.philgeps.gov.ph/GEPSNONPILOT/Tender/SplashBidNoticeAbstractUI.aspx?menuIndex=3&amp;refID=7045696&amp;Result=3","7045696")</f>
        <v>0</v>
      </c>
      <c r="B13037" t="s">
        <v>354</v>
      </c>
      <c r="C13037" t="s">
        <v>15982</v>
      </c>
      <c r="D13037" t="s">
        <v>18141</v>
      </c>
      <c r="E13037" t="s">
        <v>29472</v>
      </c>
      <c r="F13037" t="s">
        <v>31362</v>
      </c>
      <c r="G13037" t="s">
        <v>31369</v>
      </c>
      <c r="H13037" t="s">
        <v>15799</v>
      </c>
      <c r="I13037" t="s">
        <v>13635</v>
      </c>
      <c r="J13037" t="s">
        <v>39435</v>
      </c>
      <c r="K13037" t="s">
        <v>40681</v>
      </c>
      <c r="M13037" t="s">
        <v>41301</v>
      </c>
      <c r="N13037" t="s">
        <v>44905</v>
      </c>
      <c r="O13037" t="s">
        <v>44906</v>
      </c>
      <c r="P13037">
        <v>0</v>
      </c>
      <c r="Q13037">
        <v>2</v>
      </c>
      <c r="R13037" t="s">
        <v>44922</v>
      </c>
      <c r="S13037" t="s">
        <v>45639</v>
      </c>
      <c r="T13037" t="s">
        <v>46418</v>
      </c>
      <c r="U13037" t="s">
        <v>57331</v>
      </c>
      <c r="W13037" t="s">
        <v>41301</v>
      </c>
      <c r="X13037" t="s">
        <v>44925</v>
      </c>
    </row>
    <row r="13038" spans="1:24">
      <c r="A13038">
        <f>HYPERLINK("https://www.philgeps.gov.ph/GEPSNONPILOT/Tender/SplashBidNoticeAbstractUI.aspx?menuIndex=3&amp;refID=7044597&amp;Result=3","7044597")</f>
        <v>0</v>
      </c>
      <c r="B13038" t="s">
        <v>104</v>
      </c>
      <c r="C13038" t="s">
        <v>15983</v>
      </c>
      <c r="D13038" t="s">
        <v>18127</v>
      </c>
      <c r="E13038" t="s">
        <v>24157</v>
      </c>
      <c r="F13038" t="s">
        <v>31362</v>
      </c>
      <c r="G13038" t="s">
        <v>31369</v>
      </c>
      <c r="H13038" t="s">
        <v>31378</v>
      </c>
      <c r="I13038" t="s">
        <v>31386</v>
      </c>
      <c r="J13038" t="s">
        <v>39436</v>
      </c>
      <c r="K13038" t="s">
        <v>40686</v>
      </c>
      <c r="M13038" t="s">
        <v>41041</v>
      </c>
      <c r="N13038" t="s">
        <v>44905</v>
      </c>
      <c r="O13038" t="s">
        <v>44906</v>
      </c>
      <c r="P13038">
        <v>0</v>
      </c>
      <c r="Q13038">
        <v>0</v>
      </c>
      <c r="R13038" t="s">
        <v>44922</v>
      </c>
      <c r="S13038" t="s">
        <v>45639</v>
      </c>
      <c r="T13038" t="s">
        <v>46444</v>
      </c>
      <c r="U13038" t="s">
        <v>57332</v>
      </c>
      <c r="W13038" t="s">
        <v>41041</v>
      </c>
      <c r="X13038" t="s">
        <v>44925</v>
      </c>
    </row>
    <row r="13039" spans="1:24">
      <c r="A13039">
        <f>HYPERLINK("https://www.philgeps.gov.ph/GEPSNONPILOT/Tender/SplashBidNoticeAbstractUI.aspx?menuIndex=3&amp;refID=7055594&amp;Result=3","7055594")</f>
        <v>0</v>
      </c>
      <c r="B13039" t="s">
        <v>3302</v>
      </c>
      <c r="C13039" t="s">
        <v>15984</v>
      </c>
      <c r="D13039" t="s">
        <v>18155</v>
      </c>
      <c r="E13039" t="s">
        <v>29473</v>
      </c>
      <c r="F13039" t="s">
        <v>31362</v>
      </c>
      <c r="G13039" t="s">
        <v>31369</v>
      </c>
      <c r="H13039" t="s">
        <v>31378</v>
      </c>
      <c r="I13039" t="s">
        <v>31386</v>
      </c>
      <c r="J13039" t="s">
        <v>31542</v>
      </c>
      <c r="K13039" t="s">
        <v>40662</v>
      </c>
      <c r="M13039" t="s">
        <v>44593</v>
      </c>
      <c r="N13039" t="s">
        <v>44905</v>
      </c>
      <c r="O13039" t="s">
        <v>44906</v>
      </c>
      <c r="P13039">
        <v>0</v>
      </c>
      <c r="Q13039">
        <v>0</v>
      </c>
      <c r="R13039" t="s">
        <v>44921</v>
      </c>
      <c r="S13039" t="s">
        <v>45564</v>
      </c>
      <c r="T13039" t="s">
        <v>46860</v>
      </c>
      <c r="U13039" t="s">
        <v>57333</v>
      </c>
      <c r="V13039" t="s">
        <v>60485</v>
      </c>
      <c r="W13039" t="s">
        <v>60965</v>
      </c>
      <c r="X13039" t="s">
        <v>44922</v>
      </c>
    </row>
    <row r="13040" spans="1:24">
      <c r="A13040">
        <f>HYPERLINK("https://www.philgeps.gov.ph/GEPSNONPILOT/Tender/SplashBidNoticeAbstractUI.aspx?menuIndex=3&amp;refID=7044116&amp;Result=3","7044116")</f>
        <v>0</v>
      </c>
      <c r="B13040" t="s">
        <v>3319</v>
      </c>
      <c r="C13040" t="s">
        <v>15985</v>
      </c>
      <c r="D13040" t="s">
        <v>18143</v>
      </c>
      <c r="E13040" t="s">
        <v>29474</v>
      </c>
      <c r="F13040" t="s">
        <v>31362</v>
      </c>
      <c r="G13040" t="s">
        <v>31369</v>
      </c>
      <c r="H13040" t="s">
        <v>15799</v>
      </c>
      <c r="I13040" t="s">
        <v>3815</v>
      </c>
      <c r="J13040" t="s">
        <v>39437</v>
      </c>
      <c r="K13040" t="s">
        <v>40680</v>
      </c>
      <c r="M13040" t="s">
        <v>44613</v>
      </c>
      <c r="N13040" t="s">
        <v>44905</v>
      </c>
      <c r="O13040" t="s">
        <v>44906</v>
      </c>
      <c r="P13040">
        <v>0</v>
      </c>
      <c r="Q13040">
        <v>1</v>
      </c>
      <c r="R13040" t="s">
        <v>44922</v>
      </c>
      <c r="S13040" t="s">
        <v>45639</v>
      </c>
      <c r="T13040" t="s">
        <v>46481</v>
      </c>
      <c r="U13040" t="s">
        <v>57334</v>
      </c>
      <c r="W13040" t="s">
        <v>44613</v>
      </c>
      <c r="X13040" t="s">
        <v>44926</v>
      </c>
    </row>
    <row r="13041" spans="1:24">
      <c r="A13041">
        <f>HYPERLINK("https://www.philgeps.gov.ph/GEPSNONPILOT/Tender/SplashBidNoticeAbstractUI.aspx?menuIndex=3&amp;refID=7055584&amp;Result=3","7055584")</f>
        <v>0</v>
      </c>
      <c r="B13041" t="s">
        <v>92</v>
      </c>
      <c r="C13041" t="s">
        <v>15986</v>
      </c>
      <c r="D13041" t="s">
        <v>18100</v>
      </c>
      <c r="E13041" t="s">
        <v>29475</v>
      </c>
      <c r="F13041" t="s">
        <v>31362</v>
      </c>
      <c r="G13041" t="s">
        <v>31372</v>
      </c>
      <c r="H13041" t="s">
        <v>31378</v>
      </c>
      <c r="I13041" t="s">
        <v>31386</v>
      </c>
      <c r="J13041" t="s">
        <v>39438</v>
      </c>
      <c r="K13041" t="s">
        <v>40753</v>
      </c>
      <c r="M13041" t="s">
        <v>41029</v>
      </c>
      <c r="N13041" t="s">
        <v>44905</v>
      </c>
      <c r="O13041" t="s">
        <v>44906</v>
      </c>
      <c r="P13041">
        <v>0</v>
      </c>
      <c r="Q13041">
        <v>11</v>
      </c>
      <c r="R13041" t="s">
        <v>44921</v>
      </c>
      <c r="S13041" t="s">
        <v>45564</v>
      </c>
      <c r="T13041" t="s">
        <v>46560</v>
      </c>
      <c r="U13041" t="s">
        <v>57335</v>
      </c>
      <c r="W13041" t="s">
        <v>60961</v>
      </c>
      <c r="X13041" t="s">
        <v>44922</v>
      </c>
    </row>
    <row r="13042" spans="1:24">
      <c r="A13042">
        <f>HYPERLINK("https://www.philgeps.gov.ph/GEPSNONPILOT/Tender/SplashBidNoticeAbstractUI.aspx?menuIndex=3&amp;refID=7045707&amp;Result=3","7045707")</f>
        <v>0</v>
      </c>
      <c r="B13042" t="s">
        <v>1569</v>
      </c>
      <c r="C13042" t="s">
        <v>15987</v>
      </c>
      <c r="D13042" t="s">
        <v>18118</v>
      </c>
      <c r="E13042" t="s">
        <v>29476</v>
      </c>
      <c r="F13042" t="s">
        <v>31362</v>
      </c>
      <c r="G13042" t="s">
        <v>31369</v>
      </c>
      <c r="H13042" t="s">
        <v>31378</v>
      </c>
      <c r="I13042" t="s">
        <v>31386</v>
      </c>
      <c r="J13042" t="s">
        <v>39439</v>
      </c>
      <c r="K13042" t="s">
        <v>40780</v>
      </c>
      <c r="M13042" t="s">
        <v>42621</v>
      </c>
      <c r="N13042" t="s">
        <v>44905</v>
      </c>
      <c r="O13042" t="s">
        <v>44906</v>
      </c>
      <c r="Q13042">
        <v>5</v>
      </c>
      <c r="R13042" t="s">
        <v>44922</v>
      </c>
      <c r="S13042" t="s">
        <v>45643</v>
      </c>
      <c r="T13042" t="s">
        <v>46425</v>
      </c>
      <c r="U13042" t="s">
        <v>57336</v>
      </c>
      <c r="V13042" t="s">
        <v>55485</v>
      </c>
      <c r="W13042" t="s">
        <v>42621</v>
      </c>
      <c r="X13042" t="s">
        <v>44925</v>
      </c>
    </row>
    <row r="13043" spans="1:24">
      <c r="A13043">
        <f>HYPERLINK("https://www.philgeps.gov.ph/GEPSNONPILOT/Tender/SplashBidNoticeAbstractUI.aspx?menuIndex=3&amp;refID=7041455&amp;Result=3","7041455")</f>
        <v>0</v>
      </c>
      <c r="B13043" t="s">
        <v>3136</v>
      </c>
      <c r="C13043" t="s">
        <v>15988</v>
      </c>
      <c r="D13043" t="s">
        <v>18117</v>
      </c>
      <c r="E13043" t="s">
        <v>29477</v>
      </c>
      <c r="F13043" t="s">
        <v>31362</v>
      </c>
      <c r="G13043" t="s">
        <v>31369</v>
      </c>
      <c r="H13043" t="s">
        <v>15799</v>
      </c>
      <c r="I13043" t="s">
        <v>31468</v>
      </c>
      <c r="J13043" t="s">
        <v>31546</v>
      </c>
      <c r="K13043" t="s">
        <v>40670</v>
      </c>
      <c r="M13043" t="s">
        <v>44395</v>
      </c>
      <c r="N13043" t="s">
        <v>44905</v>
      </c>
      <c r="O13043" t="s">
        <v>44906</v>
      </c>
      <c r="P13043">
        <v>0</v>
      </c>
      <c r="Q13043">
        <v>1</v>
      </c>
      <c r="R13043" t="s">
        <v>44922</v>
      </c>
      <c r="S13043" t="s">
        <v>45639</v>
      </c>
      <c r="T13043" t="s">
        <v>46447</v>
      </c>
      <c r="U13043" t="s">
        <v>57337</v>
      </c>
      <c r="V13043" t="s">
        <v>60505</v>
      </c>
      <c r="W13043" t="s">
        <v>44395</v>
      </c>
      <c r="X13043" t="s">
        <v>44929</v>
      </c>
    </row>
    <row r="13044" spans="1:24">
      <c r="A13044">
        <f>HYPERLINK("https://www.philgeps.gov.ph/GEPSNONPILOT/Tender/SplashBidNoticeAbstractUI.aspx?menuIndex=3&amp;refID=7041363&amp;Result=3","7041363")</f>
        <v>0</v>
      </c>
      <c r="B13044" t="s">
        <v>3136</v>
      </c>
      <c r="C13044" t="s">
        <v>12651</v>
      </c>
      <c r="D13044" t="s">
        <v>18117</v>
      </c>
      <c r="E13044" t="s">
        <v>29478</v>
      </c>
      <c r="F13044" t="s">
        <v>31362</v>
      </c>
      <c r="G13044" t="s">
        <v>31369</v>
      </c>
      <c r="H13044" t="s">
        <v>15799</v>
      </c>
      <c r="I13044" t="s">
        <v>31385</v>
      </c>
      <c r="J13044" t="s">
        <v>39440</v>
      </c>
      <c r="K13044" t="s">
        <v>40670</v>
      </c>
      <c r="M13044" t="s">
        <v>44395</v>
      </c>
      <c r="N13044" t="s">
        <v>44905</v>
      </c>
      <c r="O13044" t="s">
        <v>44906</v>
      </c>
      <c r="P13044">
        <v>0</v>
      </c>
      <c r="Q13044">
        <v>0</v>
      </c>
      <c r="R13044" t="s">
        <v>44922</v>
      </c>
      <c r="S13044" t="s">
        <v>45639</v>
      </c>
      <c r="T13044" t="s">
        <v>46447</v>
      </c>
      <c r="U13044" t="s">
        <v>57338</v>
      </c>
      <c r="V13044" t="s">
        <v>60506</v>
      </c>
      <c r="W13044" t="s">
        <v>44395</v>
      </c>
      <c r="X13044" t="s">
        <v>44929</v>
      </c>
    </row>
    <row r="13045" spans="1:24">
      <c r="A13045">
        <f>HYPERLINK("https://www.philgeps.gov.ph/GEPSNONPILOT/Tender/SplashBidNoticeAbstractUI.aspx?menuIndex=3&amp;refID=7045638&amp;Result=3","7045638")</f>
        <v>0</v>
      </c>
      <c r="B13045" t="s">
        <v>1569</v>
      </c>
      <c r="C13045" t="s">
        <v>15989</v>
      </c>
      <c r="D13045" t="s">
        <v>18118</v>
      </c>
      <c r="E13045" t="s">
        <v>29479</v>
      </c>
      <c r="F13045" t="s">
        <v>31362</v>
      </c>
      <c r="G13045" t="s">
        <v>31369</v>
      </c>
      <c r="H13045" t="s">
        <v>31378</v>
      </c>
      <c r="I13045" t="s">
        <v>31386</v>
      </c>
      <c r="J13045" t="s">
        <v>39441</v>
      </c>
      <c r="K13045" t="s">
        <v>40725</v>
      </c>
      <c r="M13045" t="s">
        <v>42621</v>
      </c>
      <c r="N13045" t="s">
        <v>44905</v>
      </c>
      <c r="O13045" t="s">
        <v>44906</v>
      </c>
      <c r="Q13045">
        <v>9</v>
      </c>
      <c r="R13045" t="s">
        <v>44922</v>
      </c>
      <c r="S13045" t="s">
        <v>45644</v>
      </c>
      <c r="T13045" t="s">
        <v>46425</v>
      </c>
      <c r="U13045" t="s">
        <v>57339</v>
      </c>
      <c r="V13045" t="s">
        <v>49312</v>
      </c>
      <c r="W13045" t="s">
        <v>42621</v>
      </c>
      <c r="X13045" t="s">
        <v>44925</v>
      </c>
    </row>
    <row r="13046" spans="1:24">
      <c r="A13046">
        <f>HYPERLINK("https://www.philgeps.gov.ph/GEPSNONPILOT/Tender/SplashBidNoticeAbstractUI.aspx?menuIndex=3&amp;refID=7041304&amp;Result=3","7041304")</f>
        <v>0</v>
      </c>
      <c r="B13046" t="s">
        <v>3136</v>
      </c>
      <c r="C13046" t="s">
        <v>15990</v>
      </c>
      <c r="D13046" t="s">
        <v>18117</v>
      </c>
      <c r="E13046" t="s">
        <v>29480</v>
      </c>
      <c r="F13046" t="s">
        <v>31362</v>
      </c>
      <c r="G13046" t="s">
        <v>31369</v>
      </c>
      <c r="H13046" t="s">
        <v>15799</v>
      </c>
      <c r="I13046" t="s">
        <v>31385</v>
      </c>
      <c r="J13046" t="s">
        <v>39442</v>
      </c>
      <c r="K13046" t="s">
        <v>40670</v>
      </c>
      <c r="M13046" t="s">
        <v>44395</v>
      </c>
      <c r="N13046" t="s">
        <v>44905</v>
      </c>
      <c r="O13046" t="s">
        <v>44906</v>
      </c>
      <c r="P13046">
        <v>0</v>
      </c>
      <c r="Q13046">
        <v>0</v>
      </c>
      <c r="R13046" t="s">
        <v>44922</v>
      </c>
      <c r="S13046" t="s">
        <v>45639</v>
      </c>
      <c r="T13046" t="s">
        <v>46447</v>
      </c>
      <c r="U13046" t="s">
        <v>57338</v>
      </c>
      <c r="V13046" t="s">
        <v>60507</v>
      </c>
      <c r="W13046" t="s">
        <v>44395</v>
      </c>
      <c r="X13046" t="s">
        <v>44929</v>
      </c>
    </row>
    <row r="13047" spans="1:24">
      <c r="A13047">
        <f>HYPERLINK("https://www.philgeps.gov.ph/GEPSNONPILOT/Tender/SplashBidNoticeAbstractUI.aspx?menuIndex=3&amp;refID=7040878&amp;Result=3","7040878")</f>
        <v>0</v>
      </c>
      <c r="B13047" t="s">
        <v>2412</v>
      </c>
      <c r="C13047" t="s">
        <v>15991</v>
      </c>
      <c r="D13047" t="s">
        <v>18114</v>
      </c>
      <c r="E13047" t="s">
        <v>29481</v>
      </c>
      <c r="F13047" t="s">
        <v>31362</v>
      </c>
      <c r="G13047" t="s">
        <v>31369</v>
      </c>
      <c r="H13047" t="s">
        <v>15799</v>
      </c>
      <c r="I13047" t="s">
        <v>31380</v>
      </c>
      <c r="J13047" t="s">
        <v>31637</v>
      </c>
      <c r="K13047" t="s">
        <v>40662</v>
      </c>
      <c r="M13047" t="s">
        <v>44614</v>
      </c>
      <c r="N13047" t="s">
        <v>44905</v>
      </c>
      <c r="O13047" t="s">
        <v>44906</v>
      </c>
      <c r="P13047">
        <v>0</v>
      </c>
      <c r="Q13047">
        <v>2</v>
      </c>
      <c r="R13047" t="s">
        <v>44922</v>
      </c>
      <c r="S13047" t="s">
        <v>45639</v>
      </c>
      <c r="T13047" t="s">
        <v>46507</v>
      </c>
      <c r="U13047" t="s">
        <v>57340</v>
      </c>
      <c r="V13047" t="s">
        <v>60508</v>
      </c>
      <c r="W13047" t="s">
        <v>44614</v>
      </c>
      <c r="X13047" t="s">
        <v>44930</v>
      </c>
    </row>
    <row r="13048" spans="1:24">
      <c r="A13048">
        <f>HYPERLINK("https://www.philgeps.gov.ph/GEPSNONPILOT/Tender/SplashBidNoticeAbstractUI.aspx?menuIndex=3&amp;refID=7042580&amp;Result=3","7042580")</f>
        <v>0</v>
      </c>
      <c r="B13048" t="s">
        <v>700</v>
      </c>
      <c r="C13048" t="s">
        <v>15992</v>
      </c>
      <c r="E13048" t="s">
        <v>29482</v>
      </c>
      <c r="F13048" t="s">
        <v>31362</v>
      </c>
      <c r="G13048" t="s">
        <v>31369</v>
      </c>
      <c r="H13048" t="s">
        <v>15799</v>
      </c>
      <c r="I13048" t="s">
        <v>31393</v>
      </c>
      <c r="J13048" t="s">
        <v>39443</v>
      </c>
      <c r="K13048" t="s">
        <v>40662</v>
      </c>
      <c r="M13048" t="s">
        <v>41665</v>
      </c>
      <c r="N13048" t="s">
        <v>44905</v>
      </c>
      <c r="O13048" t="s">
        <v>44906</v>
      </c>
      <c r="P13048">
        <v>0</v>
      </c>
      <c r="Q13048">
        <v>5</v>
      </c>
      <c r="R13048" t="s">
        <v>44922</v>
      </c>
      <c r="S13048" t="s">
        <v>45639</v>
      </c>
      <c r="T13048" t="s">
        <v>46750</v>
      </c>
      <c r="U13048" t="s">
        <v>57341</v>
      </c>
      <c r="V13048" t="s">
        <v>60509</v>
      </c>
      <c r="W13048" t="s">
        <v>60915</v>
      </c>
      <c r="X13048" t="s">
        <v>44929</v>
      </c>
    </row>
    <row r="13049" spans="1:24">
      <c r="A13049">
        <f>HYPERLINK("https://www.philgeps.gov.ph/GEPSNONPILOT/Tender/SplashBidNoticeAbstractUI.aspx?menuIndex=3&amp;refID=7040868&amp;Result=3","7040868")</f>
        <v>0</v>
      </c>
      <c r="B13049" t="s">
        <v>2412</v>
      </c>
      <c r="C13049" t="s">
        <v>15993</v>
      </c>
      <c r="D13049" t="s">
        <v>18114</v>
      </c>
      <c r="E13049" t="s">
        <v>29483</v>
      </c>
      <c r="F13049" t="s">
        <v>31362</v>
      </c>
      <c r="G13049" t="s">
        <v>31369</v>
      </c>
      <c r="H13049" t="s">
        <v>15799</v>
      </c>
      <c r="I13049" t="s">
        <v>31380</v>
      </c>
      <c r="J13049" t="s">
        <v>34854</v>
      </c>
      <c r="K13049" t="s">
        <v>40662</v>
      </c>
      <c r="M13049" t="s">
        <v>44614</v>
      </c>
      <c r="N13049" t="s">
        <v>44905</v>
      </c>
      <c r="O13049" t="s">
        <v>44906</v>
      </c>
      <c r="P13049">
        <v>0</v>
      </c>
      <c r="Q13049">
        <v>4</v>
      </c>
      <c r="R13049" t="s">
        <v>44922</v>
      </c>
      <c r="S13049" t="s">
        <v>45639</v>
      </c>
      <c r="T13049" t="s">
        <v>46507</v>
      </c>
      <c r="U13049" t="s">
        <v>57342</v>
      </c>
      <c r="V13049" t="s">
        <v>60508</v>
      </c>
      <c r="W13049" t="s">
        <v>44614</v>
      </c>
      <c r="X13049" t="s">
        <v>44930</v>
      </c>
    </row>
    <row r="13050" spans="1:24">
      <c r="A13050">
        <f>HYPERLINK("https://www.philgeps.gov.ph/GEPSNONPILOT/Tender/SplashBidNoticeAbstractUI.aspx?menuIndex=3&amp;refID=7040852&amp;Result=3","7040852")</f>
        <v>0</v>
      </c>
      <c r="B13050" t="s">
        <v>2412</v>
      </c>
      <c r="C13050" t="s">
        <v>15994</v>
      </c>
      <c r="D13050" t="s">
        <v>18114</v>
      </c>
      <c r="E13050" t="s">
        <v>29484</v>
      </c>
      <c r="F13050" t="s">
        <v>31362</v>
      </c>
      <c r="G13050" t="s">
        <v>31369</v>
      </c>
      <c r="H13050" t="s">
        <v>15799</v>
      </c>
      <c r="I13050" t="s">
        <v>31467</v>
      </c>
      <c r="J13050" t="s">
        <v>39444</v>
      </c>
      <c r="K13050" t="s">
        <v>40662</v>
      </c>
      <c r="M13050" t="s">
        <v>44614</v>
      </c>
      <c r="N13050" t="s">
        <v>44905</v>
      </c>
      <c r="O13050" t="s">
        <v>44906</v>
      </c>
      <c r="P13050">
        <v>0</v>
      </c>
      <c r="Q13050">
        <v>6</v>
      </c>
      <c r="R13050" t="s">
        <v>44922</v>
      </c>
      <c r="S13050" t="s">
        <v>45639</v>
      </c>
      <c r="T13050" t="s">
        <v>46507</v>
      </c>
      <c r="U13050" t="s">
        <v>57343</v>
      </c>
      <c r="V13050" t="s">
        <v>60508</v>
      </c>
      <c r="W13050" t="s">
        <v>44614</v>
      </c>
      <c r="X13050" t="s">
        <v>44930</v>
      </c>
    </row>
    <row r="13051" spans="1:24">
      <c r="A13051">
        <f>HYPERLINK("https://www.philgeps.gov.ph/GEPSNONPILOT/Tender/SplashBidNoticeAbstractUI.aspx?menuIndex=3&amp;refID=7041482&amp;Result=3","7041482")</f>
        <v>0</v>
      </c>
      <c r="B13051" t="s">
        <v>3136</v>
      </c>
      <c r="C13051" t="s">
        <v>15995</v>
      </c>
      <c r="D13051" t="s">
        <v>18117</v>
      </c>
      <c r="E13051" t="s">
        <v>19366</v>
      </c>
      <c r="F13051" t="s">
        <v>31362</v>
      </c>
      <c r="G13051" t="s">
        <v>31369</v>
      </c>
      <c r="H13051" t="s">
        <v>15799</v>
      </c>
      <c r="I13051" t="s">
        <v>31391</v>
      </c>
      <c r="J13051" t="s">
        <v>31921</v>
      </c>
      <c r="K13051" t="s">
        <v>40666</v>
      </c>
      <c r="M13051" t="s">
        <v>44395</v>
      </c>
      <c r="N13051" t="s">
        <v>44905</v>
      </c>
      <c r="O13051" t="s">
        <v>44906</v>
      </c>
      <c r="P13051">
        <v>0</v>
      </c>
      <c r="Q13051">
        <v>0</v>
      </c>
      <c r="R13051" t="s">
        <v>44922</v>
      </c>
      <c r="S13051" t="s">
        <v>45639</v>
      </c>
      <c r="T13051" t="s">
        <v>46447</v>
      </c>
      <c r="U13051" t="s">
        <v>57344</v>
      </c>
      <c r="V13051" t="s">
        <v>60510</v>
      </c>
      <c r="W13051" t="s">
        <v>44395</v>
      </c>
      <c r="X13051" t="s">
        <v>44929</v>
      </c>
    </row>
    <row r="13052" spans="1:24">
      <c r="A13052">
        <f>HYPERLINK("https://www.philgeps.gov.ph/GEPSNONPILOT/Tender/SplashBidNoticeAbstractUI.aspx?menuIndex=3&amp;refID=7055279&amp;Result=3","7055279")</f>
        <v>0</v>
      </c>
      <c r="B13052" t="s">
        <v>2668</v>
      </c>
      <c r="C13052" t="s">
        <v>15996</v>
      </c>
      <c r="D13052" t="s">
        <v>18177</v>
      </c>
      <c r="E13052" t="s">
        <v>29485</v>
      </c>
      <c r="F13052" t="s">
        <v>31362</v>
      </c>
      <c r="G13052" t="s">
        <v>31369</v>
      </c>
      <c r="H13052" t="s">
        <v>31378</v>
      </c>
      <c r="I13052" t="s">
        <v>31386</v>
      </c>
      <c r="J13052" t="s">
        <v>34023</v>
      </c>
      <c r="K13052" t="s">
        <v>40725</v>
      </c>
      <c r="M13052" t="s">
        <v>43852</v>
      </c>
      <c r="N13052" t="s">
        <v>44905</v>
      </c>
      <c r="O13052" t="s">
        <v>44906</v>
      </c>
      <c r="Q13052">
        <v>1</v>
      </c>
      <c r="R13052" t="s">
        <v>44921</v>
      </c>
      <c r="S13052" t="s">
        <v>45645</v>
      </c>
      <c r="T13052" t="s">
        <v>46618</v>
      </c>
      <c r="U13052" t="s">
        <v>57303</v>
      </c>
      <c r="V13052" t="s">
        <v>60511</v>
      </c>
      <c r="W13052" t="s">
        <v>43852</v>
      </c>
      <c r="X13052" t="s">
        <v>44922</v>
      </c>
    </row>
    <row r="13053" spans="1:24">
      <c r="A13053">
        <f>HYPERLINK("https://www.philgeps.gov.ph/GEPSNONPILOT/Tender/SplashBidNoticeAbstractUI.aspx?menuIndex=3&amp;refID=7040200&amp;Result=3","7040200")</f>
        <v>0</v>
      </c>
      <c r="B13053" t="s">
        <v>3136</v>
      </c>
      <c r="C13053" t="s">
        <v>15997</v>
      </c>
      <c r="D13053" t="s">
        <v>18117</v>
      </c>
      <c r="E13053" t="s">
        <v>29486</v>
      </c>
      <c r="F13053" t="s">
        <v>31362</v>
      </c>
      <c r="G13053" t="s">
        <v>31369</v>
      </c>
      <c r="H13053" t="s">
        <v>15799</v>
      </c>
      <c r="I13053" t="s">
        <v>31380</v>
      </c>
      <c r="J13053" t="s">
        <v>39445</v>
      </c>
      <c r="K13053" t="s">
        <v>40670</v>
      </c>
      <c r="M13053" t="s">
        <v>44395</v>
      </c>
      <c r="N13053" t="s">
        <v>44905</v>
      </c>
      <c r="O13053" t="s">
        <v>44906</v>
      </c>
      <c r="P13053">
        <v>0</v>
      </c>
      <c r="Q13053">
        <v>5</v>
      </c>
      <c r="R13053" t="s">
        <v>44922</v>
      </c>
      <c r="S13053" t="s">
        <v>45639</v>
      </c>
      <c r="T13053" t="s">
        <v>46447</v>
      </c>
      <c r="U13053" t="s">
        <v>57345</v>
      </c>
      <c r="V13053" t="s">
        <v>60512</v>
      </c>
      <c r="W13053" t="s">
        <v>44395</v>
      </c>
      <c r="X13053" t="s">
        <v>44930</v>
      </c>
    </row>
    <row r="13054" spans="1:24">
      <c r="A13054">
        <f>HYPERLINK("https://www.philgeps.gov.ph/GEPSNONPILOT/Tender/SplashBidNoticeAbstractUI.aspx?menuIndex=3&amp;refID=7035498&amp;Result=3","7035498")</f>
        <v>0</v>
      </c>
      <c r="B13054" t="s">
        <v>3318</v>
      </c>
      <c r="C13054" t="s">
        <v>15998</v>
      </c>
      <c r="D13054" t="s">
        <v>18113</v>
      </c>
      <c r="E13054" t="s">
        <v>29487</v>
      </c>
      <c r="F13054" t="s">
        <v>31362</v>
      </c>
      <c r="G13054" t="s">
        <v>31369</v>
      </c>
      <c r="H13054" t="s">
        <v>31378</v>
      </c>
      <c r="I13054" t="s">
        <v>31386</v>
      </c>
      <c r="J13054" t="s">
        <v>31696</v>
      </c>
      <c r="K13054" t="s">
        <v>40683</v>
      </c>
      <c r="M13054" t="s">
        <v>44612</v>
      </c>
      <c r="N13054" t="s">
        <v>44905</v>
      </c>
      <c r="O13054" t="s">
        <v>44906</v>
      </c>
      <c r="Q13054">
        <v>6</v>
      </c>
      <c r="R13054" t="s">
        <v>44922</v>
      </c>
      <c r="S13054" t="s">
        <v>45297</v>
      </c>
      <c r="T13054" t="s">
        <v>46412</v>
      </c>
      <c r="U13054" t="s">
        <v>57346</v>
      </c>
      <c r="V13054" t="s">
        <v>60504</v>
      </c>
      <c r="W13054" t="s">
        <v>44612</v>
      </c>
      <c r="X13054" t="s">
        <v>44931</v>
      </c>
    </row>
    <row r="13055" spans="1:24">
      <c r="A13055">
        <f>HYPERLINK("https://www.philgeps.gov.ph/GEPSNONPILOT/Tender/SplashBidNoticeAbstractUI.aspx?menuIndex=3&amp;refID=7055583&amp;Result=3","7055583")</f>
        <v>0</v>
      </c>
      <c r="B13055" t="s">
        <v>3302</v>
      </c>
      <c r="C13055" t="s">
        <v>15999</v>
      </c>
      <c r="D13055" t="s">
        <v>18155</v>
      </c>
      <c r="E13055" t="s">
        <v>29488</v>
      </c>
      <c r="F13055" t="s">
        <v>31362</v>
      </c>
      <c r="G13055" t="s">
        <v>31369</v>
      </c>
      <c r="H13055" t="s">
        <v>31378</v>
      </c>
      <c r="I13055" t="s">
        <v>31386</v>
      </c>
      <c r="J13055" t="s">
        <v>32540</v>
      </c>
      <c r="K13055" t="s">
        <v>40662</v>
      </c>
      <c r="M13055" t="s">
        <v>44593</v>
      </c>
      <c r="N13055" t="s">
        <v>44905</v>
      </c>
      <c r="O13055" t="s">
        <v>44906</v>
      </c>
      <c r="P13055">
        <v>0</v>
      </c>
      <c r="Q13055">
        <v>0</v>
      </c>
      <c r="R13055" t="s">
        <v>44921</v>
      </c>
      <c r="S13055" t="s">
        <v>45564</v>
      </c>
      <c r="T13055" t="s">
        <v>46860</v>
      </c>
      <c r="U13055" t="s">
        <v>57347</v>
      </c>
      <c r="V13055" t="s">
        <v>60485</v>
      </c>
      <c r="W13055" t="s">
        <v>60965</v>
      </c>
      <c r="X13055" t="s">
        <v>44922</v>
      </c>
    </row>
    <row r="13056" spans="1:24">
      <c r="A13056">
        <f>HYPERLINK("https://www.philgeps.gov.ph/GEPSNONPILOT/Tender/SplashBidNoticeAbstractUI.aspx?menuIndex=3&amp;refID=7046735&amp;Result=3","7046735")</f>
        <v>0</v>
      </c>
      <c r="B13056" t="s">
        <v>2412</v>
      </c>
      <c r="C13056" t="s">
        <v>16000</v>
      </c>
      <c r="D13056" t="s">
        <v>18114</v>
      </c>
      <c r="E13056" t="s">
        <v>29489</v>
      </c>
      <c r="F13056" t="s">
        <v>31362</v>
      </c>
      <c r="G13056" t="s">
        <v>31369</v>
      </c>
      <c r="H13056" t="s">
        <v>15799</v>
      </c>
      <c r="I13056" t="s">
        <v>31409</v>
      </c>
      <c r="J13056" t="s">
        <v>32902</v>
      </c>
      <c r="K13056" t="s">
        <v>40662</v>
      </c>
      <c r="M13056" t="s">
        <v>44614</v>
      </c>
      <c r="N13056" t="s">
        <v>44905</v>
      </c>
      <c r="O13056" t="s">
        <v>44906</v>
      </c>
      <c r="P13056">
        <v>0</v>
      </c>
      <c r="Q13056">
        <v>7</v>
      </c>
      <c r="R13056" t="s">
        <v>44922</v>
      </c>
      <c r="S13056" t="s">
        <v>45639</v>
      </c>
      <c r="T13056" t="s">
        <v>46507</v>
      </c>
      <c r="U13056" t="s">
        <v>57348</v>
      </c>
      <c r="V13056" t="s">
        <v>60508</v>
      </c>
      <c r="W13056" t="s">
        <v>44614</v>
      </c>
      <c r="X13056" t="s">
        <v>44925</v>
      </c>
    </row>
    <row r="13057" spans="1:24">
      <c r="A13057">
        <f>HYPERLINK("https://www.philgeps.gov.ph/GEPSNONPILOT/Tender/SplashBidNoticeAbstractUI.aspx?menuIndex=3&amp;refID=7042522&amp;Result=3","7042522")</f>
        <v>0</v>
      </c>
      <c r="B13057" t="s">
        <v>700</v>
      </c>
      <c r="C13057" t="s">
        <v>16001</v>
      </c>
      <c r="E13057" t="s">
        <v>29490</v>
      </c>
      <c r="F13057" t="s">
        <v>31362</v>
      </c>
      <c r="G13057" t="s">
        <v>31369</v>
      </c>
      <c r="H13057" t="s">
        <v>15799</v>
      </c>
      <c r="I13057" t="s">
        <v>31393</v>
      </c>
      <c r="J13057" t="s">
        <v>39446</v>
      </c>
      <c r="K13057" t="s">
        <v>40662</v>
      </c>
      <c r="M13057" t="s">
        <v>41665</v>
      </c>
      <c r="N13057" t="s">
        <v>44905</v>
      </c>
      <c r="O13057" t="s">
        <v>44906</v>
      </c>
      <c r="P13057">
        <v>0</v>
      </c>
      <c r="Q13057">
        <v>14</v>
      </c>
      <c r="R13057" t="s">
        <v>44922</v>
      </c>
      <c r="S13057" t="s">
        <v>45639</v>
      </c>
      <c r="T13057" t="s">
        <v>46750</v>
      </c>
      <c r="U13057" t="s">
        <v>57349</v>
      </c>
      <c r="V13057" t="s">
        <v>60513</v>
      </c>
      <c r="W13057" t="s">
        <v>60915</v>
      </c>
      <c r="X13057" t="s">
        <v>44929</v>
      </c>
    </row>
    <row r="13058" spans="1:24">
      <c r="A13058">
        <f>HYPERLINK("https://www.philgeps.gov.ph/GEPSNONPILOT/Tender/SplashBidNoticeAbstractUI.aspx?menuIndex=3&amp;refID=7040243&amp;Result=3","7040243")</f>
        <v>0</v>
      </c>
      <c r="B13058" t="s">
        <v>3136</v>
      </c>
      <c r="C13058" t="s">
        <v>16002</v>
      </c>
      <c r="D13058" t="s">
        <v>18117</v>
      </c>
      <c r="E13058" t="s">
        <v>29491</v>
      </c>
      <c r="F13058" t="s">
        <v>31362</v>
      </c>
      <c r="G13058" t="s">
        <v>31369</v>
      </c>
      <c r="H13058" t="s">
        <v>15799</v>
      </c>
      <c r="I13058" t="s">
        <v>31385</v>
      </c>
      <c r="J13058" t="s">
        <v>39447</v>
      </c>
      <c r="K13058" t="s">
        <v>40670</v>
      </c>
      <c r="M13058" t="s">
        <v>44395</v>
      </c>
      <c r="N13058" t="s">
        <v>44905</v>
      </c>
      <c r="O13058" t="s">
        <v>44906</v>
      </c>
      <c r="P13058">
        <v>0</v>
      </c>
      <c r="Q13058">
        <v>1</v>
      </c>
      <c r="R13058" t="s">
        <v>44922</v>
      </c>
      <c r="S13058" t="s">
        <v>45639</v>
      </c>
      <c r="T13058" t="s">
        <v>46447</v>
      </c>
      <c r="U13058" t="s">
        <v>57338</v>
      </c>
      <c r="V13058" t="s">
        <v>60514</v>
      </c>
      <c r="W13058" t="s">
        <v>44395</v>
      </c>
      <c r="X13058" t="s">
        <v>44930</v>
      </c>
    </row>
    <row r="13059" spans="1:24">
      <c r="A13059">
        <f>HYPERLINK("https://www.philgeps.gov.ph/GEPSNONPILOT/Tender/SplashBidNoticeAbstractUI.aspx?menuIndex=3&amp;refID=7047488&amp;Result=3","7047488")</f>
        <v>0</v>
      </c>
      <c r="B13059" t="s">
        <v>1067</v>
      </c>
      <c r="C13059" t="s">
        <v>16003</v>
      </c>
      <c r="D13059" t="s">
        <v>18116</v>
      </c>
      <c r="E13059" t="s">
        <v>29492</v>
      </c>
      <c r="F13059" t="s">
        <v>31362</v>
      </c>
      <c r="G13059" t="s">
        <v>31369</v>
      </c>
      <c r="H13059" t="s">
        <v>15799</v>
      </c>
      <c r="I13059" t="s">
        <v>31395</v>
      </c>
      <c r="J13059" t="s">
        <v>39448</v>
      </c>
      <c r="K13059" t="s">
        <v>40682</v>
      </c>
      <c r="M13059" t="s">
        <v>42069</v>
      </c>
      <c r="N13059" t="s">
        <v>44905</v>
      </c>
      <c r="O13059" t="s">
        <v>44906</v>
      </c>
      <c r="P13059">
        <v>0</v>
      </c>
      <c r="Q13059">
        <v>3</v>
      </c>
      <c r="R13059" t="s">
        <v>44922</v>
      </c>
      <c r="S13059" t="s">
        <v>45639</v>
      </c>
      <c r="T13059" t="s">
        <v>46503</v>
      </c>
      <c r="U13059" t="s">
        <v>57350</v>
      </c>
      <c r="W13059" t="s">
        <v>42069</v>
      </c>
      <c r="X13059" t="s">
        <v>44924</v>
      </c>
    </row>
    <row r="13060" spans="1:24">
      <c r="A13060">
        <f>HYPERLINK("https://www.philgeps.gov.ph/GEPSNONPILOT/Tender/SplashBidNoticeAbstractUI.aspx?menuIndex=3&amp;refID=7041095&amp;Result=3","7041095")</f>
        <v>0</v>
      </c>
      <c r="B13060" t="s">
        <v>3320</v>
      </c>
      <c r="C13060" t="s">
        <v>11002</v>
      </c>
      <c r="D13060" t="s">
        <v>18152</v>
      </c>
      <c r="E13060" t="s">
        <v>29493</v>
      </c>
      <c r="F13060" t="s">
        <v>31362</v>
      </c>
      <c r="G13060" t="s">
        <v>31369</v>
      </c>
      <c r="H13060" t="s">
        <v>15799</v>
      </c>
      <c r="I13060" t="s">
        <v>31386</v>
      </c>
      <c r="J13060" t="s">
        <v>39449</v>
      </c>
      <c r="K13060" t="s">
        <v>40665</v>
      </c>
      <c r="M13060" t="s">
        <v>44615</v>
      </c>
      <c r="N13060" t="s">
        <v>44905</v>
      </c>
      <c r="O13060" t="s">
        <v>44906</v>
      </c>
      <c r="P13060">
        <v>0</v>
      </c>
      <c r="Q13060">
        <v>1</v>
      </c>
      <c r="R13060" t="s">
        <v>44922</v>
      </c>
      <c r="S13060" t="s">
        <v>45639</v>
      </c>
      <c r="T13060" t="s">
        <v>46447</v>
      </c>
      <c r="U13060" t="s">
        <v>57351</v>
      </c>
      <c r="V13060" t="s">
        <v>60515</v>
      </c>
      <c r="W13060" t="s">
        <v>44615</v>
      </c>
      <c r="X13060" t="s">
        <v>44929</v>
      </c>
    </row>
    <row r="13061" spans="1:24">
      <c r="A13061">
        <f>HYPERLINK("https://www.philgeps.gov.ph/GEPSNONPILOT/Tender/SplashBidNoticeAbstractUI.aspx?menuIndex=3&amp;refID=7036744&amp;Result=3","7036744")</f>
        <v>0</v>
      </c>
      <c r="B13061" t="s">
        <v>1782</v>
      </c>
      <c r="C13061" t="s">
        <v>16004</v>
      </c>
      <c r="D13061" t="s">
        <v>18149</v>
      </c>
      <c r="E13061" t="s">
        <v>29494</v>
      </c>
      <c r="F13061" t="s">
        <v>31362</v>
      </c>
      <c r="G13061" t="s">
        <v>31369</v>
      </c>
      <c r="H13061" t="s">
        <v>15799</v>
      </c>
      <c r="I13061" t="s">
        <v>31409</v>
      </c>
      <c r="J13061" t="s">
        <v>32540</v>
      </c>
      <c r="K13061" t="s">
        <v>40666</v>
      </c>
      <c r="M13061" t="s">
        <v>42862</v>
      </c>
      <c r="N13061" t="s">
        <v>44905</v>
      </c>
      <c r="O13061" t="s">
        <v>44906</v>
      </c>
      <c r="P13061">
        <v>0</v>
      </c>
      <c r="Q13061">
        <v>7</v>
      </c>
      <c r="R13061" t="s">
        <v>44922</v>
      </c>
      <c r="S13061" t="s">
        <v>45639</v>
      </c>
      <c r="T13061" t="s">
        <v>46435</v>
      </c>
      <c r="U13061" t="s">
        <v>57352</v>
      </c>
      <c r="W13061" t="s">
        <v>42862</v>
      </c>
      <c r="X13061" t="s">
        <v>44931</v>
      </c>
    </row>
    <row r="13062" spans="1:24">
      <c r="A13062">
        <f>HYPERLINK("https://www.philgeps.gov.ph/GEPSNONPILOT/Tender/SplashBidNoticeAbstractUI.aspx?menuIndex=3&amp;refID=7046950&amp;Result=3","7046950")</f>
        <v>0</v>
      </c>
      <c r="B13062" t="s">
        <v>1002</v>
      </c>
      <c r="C13062" t="s">
        <v>16005</v>
      </c>
      <c r="D13062" t="s">
        <v>18158</v>
      </c>
      <c r="E13062" t="s">
        <v>29495</v>
      </c>
      <c r="F13062" t="s">
        <v>31362</v>
      </c>
      <c r="G13062" t="s">
        <v>31369</v>
      </c>
      <c r="H13062" t="s">
        <v>15799</v>
      </c>
      <c r="I13062" t="s">
        <v>31414</v>
      </c>
      <c r="J13062" t="s">
        <v>39450</v>
      </c>
      <c r="K13062" t="s">
        <v>40679</v>
      </c>
      <c r="M13062" t="s">
        <v>43978</v>
      </c>
      <c r="N13062" t="s">
        <v>44905</v>
      </c>
      <c r="O13062" t="s">
        <v>44906</v>
      </c>
      <c r="Q13062">
        <v>2</v>
      </c>
      <c r="R13062" t="s">
        <v>44922</v>
      </c>
      <c r="S13062" t="s">
        <v>45646</v>
      </c>
      <c r="T13062" t="s">
        <v>46435</v>
      </c>
      <c r="U13062" t="s">
        <v>57353</v>
      </c>
      <c r="W13062" t="s">
        <v>60968</v>
      </c>
      <c r="X13062" t="s">
        <v>44925</v>
      </c>
    </row>
    <row r="13063" spans="1:24">
      <c r="A13063">
        <f>HYPERLINK("https://www.philgeps.gov.ph/GEPSNONPILOT/Tender/SplashBidNoticeAbstractUI.aspx?menuIndex=3&amp;refID=7046300&amp;Result=3","7046300")</f>
        <v>0</v>
      </c>
      <c r="B13063" t="s">
        <v>1002</v>
      </c>
      <c r="C13063" t="s">
        <v>16006</v>
      </c>
      <c r="D13063" t="s">
        <v>18154</v>
      </c>
      <c r="E13063" t="s">
        <v>29496</v>
      </c>
      <c r="F13063" t="s">
        <v>31362</v>
      </c>
      <c r="G13063" t="s">
        <v>31369</v>
      </c>
      <c r="H13063" t="s">
        <v>31378</v>
      </c>
      <c r="I13063" t="s">
        <v>31386</v>
      </c>
      <c r="J13063" t="s">
        <v>39451</v>
      </c>
      <c r="K13063" t="s">
        <v>40683</v>
      </c>
      <c r="M13063" t="s">
        <v>43978</v>
      </c>
      <c r="N13063" t="s">
        <v>44905</v>
      </c>
      <c r="O13063" t="s">
        <v>44906</v>
      </c>
      <c r="P13063">
        <v>0</v>
      </c>
      <c r="Q13063">
        <v>1</v>
      </c>
      <c r="R13063" t="s">
        <v>44922</v>
      </c>
      <c r="S13063" t="s">
        <v>45639</v>
      </c>
      <c r="T13063" t="s">
        <v>46435</v>
      </c>
      <c r="U13063" t="s">
        <v>57354</v>
      </c>
      <c r="W13063" t="s">
        <v>60968</v>
      </c>
      <c r="X13063" t="s">
        <v>44925</v>
      </c>
    </row>
    <row r="13064" spans="1:24">
      <c r="A13064">
        <f>HYPERLINK("https://www.philgeps.gov.ph/GEPSNONPILOT/Tender/SplashBidNoticeAbstractUI.aspx?menuIndex=3&amp;refID=7046108&amp;Result=3","7046108")</f>
        <v>0</v>
      </c>
      <c r="B13064" t="s">
        <v>1569</v>
      </c>
      <c r="C13064" t="s">
        <v>16007</v>
      </c>
      <c r="D13064" t="s">
        <v>18118</v>
      </c>
      <c r="E13064" t="s">
        <v>29497</v>
      </c>
      <c r="F13064" t="s">
        <v>31362</v>
      </c>
      <c r="G13064" t="s">
        <v>31369</v>
      </c>
      <c r="H13064" t="s">
        <v>31378</v>
      </c>
      <c r="I13064" t="s">
        <v>31386</v>
      </c>
      <c r="J13064" t="s">
        <v>39452</v>
      </c>
      <c r="K13064" t="s">
        <v>40686</v>
      </c>
      <c r="M13064" t="s">
        <v>42621</v>
      </c>
      <c r="N13064" t="s">
        <v>44905</v>
      </c>
      <c r="O13064" t="s">
        <v>44906</v>
      </c>
      <c r="Q13064">
        <v>6</v>
      </c>
      <c r="R13064" t="s">
        <v>44922</v>
      </c>
      <c r="S13064" t="s">
        <v>45647</v>
      </c>
      <c r="T13064" t="s">
        <v>46425</v>
      </c>
      <c r="U13064" t="s">
        <v>57355</v>
      </c>
      <c r="V13064" t="s">
        <v>55485</v>
      </c>
      <c r="W13064" t="s">
        <v>42621</v>
      </c>
      <c r="X13064" t="s">
        <v>44925</v>
      </c>
    </row>
    <row r="13065" spans="1:24">
      <c r="A13065">
        <f>HYPERLINK("https://www.philgeps.gov.ph/GEPSNONPILOT/Tender/SplashBidNoticeAbstractUI.aspx?menuIndex=3&amp;refID=7047635&amp;Result=3","7047635")</f>
        <v>0</v>
      </c>
      <c r="B13065" t="s">
        <v>1067</v>
      </c>
      <c r="C13065" t="s">
        <v>16008</v>
      </c>
      <c r="D13065" t="s">
        <v>18116</v>
      </c>
      <c r="E13065" t="s">
        <v>29498</v>
      </c>
      <c r="F13065" t="s">
        <v>31362</v>
      </c>
      <c r="G13065" t="s">
        <v>31369</v>
      </c>
      <c r="H13065" t="s">
        <v>31378</v>
      </c>
      <c r="I13065" t="s">
        <v>31386</v>
      </c>
      <c r="J13065" t="s">
        <v>39453</v>
      </c>
      <c r="K13065" t="s">
        <v>40682</v>
      </c>
      <c r="M13065" t="s">
        <v>42069</v>
      </c>
      <c r="N13065" t="s">
        <v>44905</v>
      </c>
      <c r="O13065" t="s">
        <v>44906</v>
      </c>
      <c r="P13065">
        <v>0</v>
      </c>
      <c r="Q13065">
        <v>0</v>
      </c>
      <c r="R13065" t="s">
        <v>44922</v>
      </c>
      <c r="S13065" t="s">
        <v>45639</v>
      </c>
      <c r="T13065" t="s">
        <v>46503</v>
      </c>
      <c r="U13065" t="s">
        <v>57356</v>
      </c>
      <c r="W13065" t="s">
        <v>42069</v>
      </c>
      <c r="X13065" t="s">
        <v>44924</v>
      </c>
    </row>
    <row r="13066" spans="1:24">
      <c r="A13066">
        <f>HYPERLINK("https://www.philgeps.gov.ph/GEPSNONPILOT/Tender/SplashBidNoticeAbstractUI.aspx?menuIndex=3&amp;refID=7055493&amp;Result=3","7055493")</f>
        <v>0</v>
      </c>
      <c r="B13066" t="s">
        <v>3313</v>
      </c>
      <c r="C13066" t="s">
        <v>16009</v>
      </c>
      <c r="D13066" t="s">
        <v>18133</v>
      </c>
      <c r="E13066" t="s">
        <v>29499</v>
      </c>
      <c r="F13066" t="s">
        <v>31362</v>
      </c>
      <c r="G13066" t="s">
        <v>31369</v>
      </c>
      <c r="H13066" t="s">
        <v>31378</v>
      </c>
      <c r="I13066" t="s">
        <v>31386</v>
      </c>
      <c r="J13066" t="s">
        <v>31591</v>
      </c>
      <c r="K13066" t="s">
        <v>40681</v>
      </c>
      <c r="M13066" t="s">
        <v>44606</v>
      </c>
      <c r="N13066" t="s">
        <v>44905</v>
      </c>
      <c r="O13066" t="s">
        <v>44906</v>
      </c>
      <c r="P13066">
        <v>0</v>
      </c>
      <c r="Q13066">
        <v>1</v>
      </c>
      <c r="R13066" t="s">
        <v>44921</v>
      </c>
      <c r="S13066" t="s">
        <v>45564</v>
      </c>
      <c r="T13066" t="s">
        <v>46396</v>
      </c>
      <c r="U13066" t="s">
        <v>57357</v>
      </c>
      <c r="W13066" t="s">
        <v>44606</v>
      </c>
      <c r="X13066" t="s">
        <v>44922</v>
      </c>
    </row>
    <row r="13067" spans="1:24">
      <c r="A13067">
        <f>HYPERLINK("https://www.philgeps.gov.ph/GEPSNONPILOT/Tender/SplashBidNoticeAbstractUI.aspx?menuIndex=3&amp;refID=7047242&amp;Result=3","7047242")</f>
        <v>0</v>
      </c>
      <c r="B13067" t="s">
        <v>1002</v>
      </c>
      <c r="C13067" t="s">
        <v>16010</v>
      </c>
      <c r="D13067" t="s">
        <v>18158</v>
      </c>
      <c r="E13067" t="s">
        <v>29500</v>
      </c>
      <c r="F13067" t="s">
        <v>31362</v>
      </c>
      <c r="G13067" t="s">
        <v>31369</v>
      </c>
      <c r="H13067" t="s">
        <v>15799</v>
      </c>
      <c r="I13067" t="s">
        <v>31414</v>
      </c>
      <c r="J13067" t="s">
        <v>32597</v>
      </c>
      <c r="K13067" t="s">
        <v>40725</v>
      </c>
      <c r="M13067" t="s">
        <v>43978</v>
      </c>
      <c r="N13067" t="s">
        <v>44905</v>
      </c>
      <c r="O13067" t="s">
        <v>44906</v>
      </c>
      <c r="Q13067">
        <v>3</v>
      </c>
      <c r="R13067" t="s">
        <v>44922</v>
      </c>
      <c r="S13067" t="s">
        <v>45648</v>
      </c>
      <c r="T13067" t="s">
        <v>46435</v>
      </c>
      <c r="U13067" t="s">
        <v>57358</v>
      </c>
      <c r="W13067" t="s">
        <v>60968</v>
      </c>
      <c r="X13067" t="s">
        <v>44924</v>
      </c>
    </row>
    <row r="13068" spans="1:24">
      <c r="A13068">
        <f>HYPERLINK("https://www.philgeps.gov.ph/GEPSNONPILOT/Tender/SplashBidNoticeAbstractUI.aspx?menuIndex=3&amp;refID=7046043&amp;Result=3","7046043")</f>
        <v>0</v>
      </c>
      <c r="B13068" t="s">
        <v>1569</v>
      </c>
      <c r="C13068" t="s">
        <v>16011</v>
      </c>
      <c r="D13068" t="s">
        <v>18118</v>
      </c>
      <c r="E13068" t="s">
        <v>29501</v>
      </c>
      <c r="F13068" t="s">
        <v>31362</v>
      </c>
      <c r="G13068" t="s">
        <v>31369</v>
      </c>
      <c r="H13068" t="s">
        <v>31378</v>
      </c>
      <c r="I13068" t="s">
        <v>31386</v>
      </c>
      <c r="J13068" t="s">
        <v>39454</v>
      </c>
      <c r="K13068" t="s">
        <v>40725</v>
      </c>
      <c r="M13068" t="s">
        <v>42621</v>
      </c>
      <c r="N13068" t="s">
        <v>44905</v>
      </c>
      <c r="O13068" t="s">
        <v>44906</v>
      </c>
      <c r="Q13068">
        <v>5</v>
      </c>
      <c r="R13068" t="s">
        <v>44922</v>
      </c>
      <c r="S13068" t="s">
        <v>45649</v>
      </c>
      <c r="T13068" t="s">
        <v>46425</v>
      </c>
      <c r="U13068" t="s">
        <v>57359</v>
      </c>
      <c r="V13068" t="s">
        <v>55485</v>
      </c>
      <c r="W13068" t="s">
        <v>42621</v>
      </c>
      <c r="X13068" t="s">
        <v>44925</v>
      </c>
    </row>
    <row r="13069" spans="1:24">
      <c r="A13069">
        <f>HYPERLINK("https://www.philgeps.gov.ph/GEPSNONPILOT/Tender/SplashBidNoticeAbstractUI.aspx?menuIndex=3&amp;refID=7046087&amp;Result=3","7046087")</f>
        <v>0</v>
      </c>
      <c r="B13069" t="s">
        <v>1569</v>
      </c>
      <c r="C13069" t="s">
        <v>16012</v>
      </c>
      <c r="D13069" t="s">
        <v>18118</v>
      </c>
      <c r="E13069" t="s">
        <v>29502</v>
      </c>
      <c r="F13069" t="s">
        <v>31362</v>
      </c>
      <c r="G13069" t="s">
        <v>31369</v>
      </c>
      <c r="H13069" t="s">
        <v>31378</v>
      </c>
      <c r="I13069" t="s">
        <v>31386</v>
      </c>
      <c r="J13069" t="s">
        <v>39455</v>
      </c>
      <c r="K13069" t="s">
        <v>40679</v>
      </c>
      <c r="M13069" t="s">
        <v>42621</v>
      </c>
      <c r="N13069" t="s">
        <v>44905</v>
      </c>
      <c r="O13069" t="s">
        <v>44906</v>
      </c>
      <c r="Q13069">
        <v>5</v>
      </c>
      <c r="R13069" t="s">
        <v>44922</v>
      </c>
      <c r="S13069" t="s">
        <v>45650</v>
      </c>
      <c r="T13069" t="s">
        <v>46425</v>
      </c>
      <c r="U13069" t="s">
        <v>57360</v>
      </c>
      <c r="V13069" t="s">
        <v>55485</v>
      </c>
      <c r="W13069" t="s">
        <v>42621</v>
      </c>
      <c r="X13069" t="s">
        <v>44925</v>
      </c>
    </row>
    <row r="13070" spans="1:24">
      <c r="A13070">
        <f>HYPERLINK("https://www.philgeps.gov.ph/GEPSNONPILOT/Tender/SplashBidNoticeAbstractUI.aspx?menuIndex=3&amp;refID=7046078&amp;Result=3","7046078")</f>
        <v>0</v>
      </c>
      <c r="B13070" t="s">
        <v>1569</v>
      </c>
      <c r="C13070" t="s">
        <v>16013</v>
      </c>
      <c r="D13070" t="s">
        <v>18118</v>
      </c>
      <c r="E13070" t="s">
        <v>29503</v>
      </c>
      <c r="F13070" t="s">
        <v>31362</v>
      </c>
      <c r="G13070" t="s">
        <v>31369</v>
      </c>
      <c r="H13070" t="s">
        <v>31378</v>
      </c>
      <c r="I13070" t="s">
        <v>31386</v>
      </c>
      <c r="J13070" t="s">
        <v>39456</v>
      </c>
      <c r="K13070" t="s">
        <v>40725</v>
      </c>
      <c r="M13070" t="s">
        <v>42621</v>
      </c>
      <c r="N13070" t="s">
        <v>44905</v>
      </c>
      <c r="O13070" t="s">
        <v>44906</v>
      </c>
      <c r="Q13070">
        <v>4</v>
      </c>
      <c r="R13070" t="s">
        <v>44922</v>
      </c>
      <c r="S13070" t="s">
        <v>45651</v>
      </c>
      <c r="T13070" t="s">
        <v>46425</v>
      </c>
      <c r="U13070" t="s">
        <v>57361</v>
      </c>
      <c r="V13070" t="s">
        <v>55485</v>
      </c>
      <c r="W13070" t="s">
        <v>42621</v>
      </c>
      <c r="X13070" t="s">
        <v>44925</v>
      </c>
    </row>
    <row r="13071" spans="1:24">
      <c r="A13071">
        <f>HYPERLINK("https://www.philgeps.gov.ph/GEPSNONPILOT/Tender/SplashBidNoticeAbstractUI.aspx?menuIndex=3&amp;refID=7047698&amp;Result=3","7047698")</f>
        <v>0</v>
      </c>
      <c r="B13071" t="s">
        <v>3321</v>
      </c>
      <c r="C13071" t="s">
        <v>16014</v>
      </c>
      <c r="D13071" t="s">
        <v>18181</v>
      </c>
      <c r="E13071" t="s">
        <v>29504</v>
      </c>
      <c r="F13071" t="s">
        <v>31362</v>
      </c>
      <c r="G13071" t="s">
        <v>31369</v>
      </c>
      <c r="H13071" t="s">
        <v>31378</v>
      </c>
      <c r="I13071" t="s">
        <v>31386</v>
      </c>
      <c r="J13071" t="s">
        <v>39457</v>
      </c>
      <c r="K13071" t="s">
        <v>40679</v>
      </c>
      <c r="M13071" t="s">
        <v>44616</v>
      </c>
      <c r="N13071" t="s">
        <v>44905</v>
      </c>
      <c r="O13071" t="s">
        <v>44906</v>
      </c>
      <c r="P13071">
        <v>0</v>
      </c>
      <c r="Q13071">
        <v>1</v>
      </c>
      <c r="R13071" t="s">
        <v>44922</v>
      </c>
      <c r="S13071" t="s">
        <v>45639</v>
      </c>
      <c r="T13071" t="s">
        <v>46422</v>
      </c>
      <c r="U13071" t="s">
        <v>57362</v>
      </c>
      <c r="V13071" t="s">
        <v>60516</v>
      </c>
      <c r="W13071" t="s">
        <v>44616</v>
      </c>
      <c r="X13071" t="s">
        <v>44924</v>
      </c>
    </row>
    <row r="13072" spans="1:24">
      <c r="A13072">
        <f>HYPERLINK("https://www.philgeps.gov.ph/GEPSNONPILOT/Tender/SplashBidNoticeAbstractUI.aspx?menuIndex=3&amp;refID=7040272&amp;Result=3","7040272")</f>
        <v>0</v>
      </c>
      <c r="B13072" t="s">
        <v>3136</v>
      </c>
      <c r="C13072" t="s">
        <v>16015</v>
      </c>
      <c r="D13072" t="s">
        <v>18117</v>
      </c>
      <c r="E13072" t="s">
        <v>29505</v>
      </c>
      <c r="F13072" t="s">
        <v>31362</v>
      </c>
      <c r="G13072" t="s">
        <v>31369</v>
      </c>
      <c r="H13072" t="s">
        <v>15799</v>
      </c>
      <c r="I13072" t="s">
        <v>31385</v>
      </c>
      <c r="J13072" t="s">
        <v>39458</v>
      </c>
      <c r="K13072" t="s">
        <v>40670</v>
      </c>
      <c r="M13072" t="s">
        <v>44395</v>
      </c>
      <c r="N13072" t="s">
        <v>44905</v>
      </c>
      <c r="O13072" t="s">
        <v>44906</v>
      </c>
      <c r="P13072">
        <v>0</v>
      </c>
      <c r="Q13072">
        <v>1</v>
      </c>
      <c r="R13072" t="s">
        <v>44922</v>
      </c>
      <c r="S13072" t="s">
        <v>45639</v>
      </c>
      <c r="T13072" t="s">
        <v>46447</v>
      </c>
      <c r="U13072" t="s">
        <v>57338</v>
      </c>
      <c r="V13072" t="s">
        <v>60517</v>
      </c>
      <c r="W13072" t="s">
        <v>44395</v>
      </c>
      <c r="X13072" t="s">
        <v>44930</v>
      </c>
    </row>
    <row r="13073" spans="1:24">
      <c r="A13073">
        <f>HYPERLINK("https://www.philgeps.gov.ph/GEPSNONPILOT/Tender/SplashBidNoticeAbstractUI.aspx?menuIndex=3&amp;refID=7049439&amp;Result=3","7049439")</f>
        <v>0</v>
      </c>
      <c r="B13073" t="s">
        <v>3280</v>
      </c>
      <c r="C13073" t="s">
        <v>16016</v>
      </c>
      <c r="D13073" t="s">
        <v>18110</v>
      </c>
      <c r="E13073" t="s">
        <v>29506</v>
      </c>
      <c r="F13073" t="s">
        <v>31362</v>
      </c>
      <c r="G13073" t="s">
        <v>31369</v>
      </c>
      <c r="H13073" t="s">
        <v>31378</v>
      </c>
      <c r="I13073" t="s">
        <v>31386</v>
      </c>
      <c r="J13073" t="s">
        <v>39459</v>
      </c>
      <c r="K13073" t="s">
        <v>40811</v>
      </c>
      <c r="M13073" t="s">
        <v>44565</v>
      </c>
      <c r="N13073" t="s">
        <v>44905</v>
      </c>
      <c r="O13073" t="s">
        <v>44906</v>
      </c>
      <c r="Q13073">
        <v>15</v>
      </c>
      <c r="R13073" t="s">
        <v>44922</v>
      </c>
      <c r="S13073" t="s">
        <v>45652</v>
      </c>
      <c r="T13073" t="s">
        <v>46447</v>
      </c>
      <c r="U13073" t="s">
        <v>57109</v>
      </c>
      <c r="W13073" t="s">
        <v>44565</v>
      </c>
      <c r="X13073" t="s">
        <v>44924</v>
      </c>
    </row>
    <row r="13074" spans="1:24">
      <c r="A13074">
        <f>HYPERLINK("https://www.philgeps.gov.ph/GEPSNONPILOT/Tender/SplashBidNoticeAbstractUI.aspx?menuIndex=3&amp;refID=7047561&amp;Result=3","7047561")</f>
        <v>0</v>
      </c>
      <c r="B13074" t="s">
        <v>1067</v>
      </c>
      <c r="C13074" t="s">
        <v>16017</v>
      </c>
      <c r="D13074" t="s">
        <v>18116</v>
      </c>
      <c r="E13074" t="s">
        <v>29507</v>
      </c>
      <c r="F13074" t="s">
        <v>31362</v>
      </c>
      <c r="G13074" t="s">
        <v>31369</v>
      </c>
      <c r="H13074" t="s">
        <v>31378</v>
      </c>
      <c r="I13074" t="s">
        <v>31386</v>
      </c>
      <c r="J13074" t="s">
        <v>39460</v>
      </c>
      <c r="K13074" t="s">
        <v>40682</v>
      </c>
      <c r="M13074" t="s">
        <v>42069</v>
      </c>
      <c r="N13074" t="s">
        <v>44905</v>
      </c>
      <c r="O13074" t="s">
        <v>44906</v>
      </c>
      <c r="P13074">
        <v>0</v>
      </c>
      <c r="Q13074">
        <v>0</v>
      </c>
      <c r="R13074" t="s">
        <v>44922</v>
      </c>
      <c r="S13074" t="s">
        <v>45639</v>
      </c>
      <c r="T13074" t="s">
        <v>46503</v>
      </c>
      <c r="U13074" t="s">
        <v>57363</v>
      </c>
      <c r="W13074" t="s">
        <v>42069</v>
      </c>
      <c r="X13074" t="s">
        <v>44924</v>
      </c>
    </row>
    <row r="13075" spans="1:24">
      <c r="A13075">
        <f>HYPERLINK("https://www.philgeps.gov.ph/GEPSNONPILOT/Tender/SplashBidNoticeAbstractUI.aspx?menuIndex=3&amp;refID=7049395&amp;Result=3","7049395")</f>
        <v>0</v>
      </c>
      <c r="B13075" t="s">
        <v>3280</v>
      </c>
      <c r="C13075" t="s">
        <v>16018</v>
      </c>
      <c r="D13075" t="s">
        <v>18110</v>
      </c>
      <c r="E13075" t="s">
        <v>29508</v>
      </c>
      <c r="F13075" t="s">
        <v>31362</v>
      </c>
      <c r="G13075" t="s">
        <v>31369</v>
      </c>
      <c r="H13075" t="s">
        <v>31378</v>
      </c>
      <c r="I13075" t="s">
        <v>31386</v>
      </c>
      <c r="J13075" t="s">
        <v>39461</v>
      </c>
      <c r="K13075" t="s">
        <v>40692</v>
      </c>
      <c r="M13075" t="s">
        <v>44565</v>
      </c>
      <c r="N13075" t="s">
        <v>44905</v>
      </c>
      <c r="O13075" t="s">
        <v>44906</v>
      </c>
      <c r="Q13075">
        <v>12</v>
      </c>
      <c r="R13075" t="s">
        <v>44922</v>
      </c>
      <c r="S13075" t="s">
        <v>45653</v>
      </c>
      <c r="T13075" t="s">
        <v>46447</v>
      </c>
      <c r="U13075" t="s">
        <v>57109</v>
      </c>
      <c r="W13075" t="s">
        <v>44565</v>
      </c>
      <c r="X13075" t="s">
        <v>44924</v>
      </c>
    </row>
    <row r="13076" spans="1:24">
      <c r="A13076">
        <f>HYPERLINK("https://www.philgeps.gov.ph/GEPSNONPILOT/Tender/SplashBidNoticeAbstractUI.aspx?menuIndex=3&amp;refID=7049432&amp;Result=3","7049432")</f>
        <v>0</v>
      </c>
      <c r="B13076" t="s">
        <v>48</v>
      </c>
      <c r="C13076" t="s">
        <v>16019</v>
      </c>
      <c r="D13076" t="s">
        <v>18117</v>
      </c>
      <c r="E13076" t="s">
        <v>29509</v>
      </c>
      <c r="F13076" t="s">
        <v>31362</v>
      </c>
      <c r="G13076" t="s">
        <v>31369</v>
      </c>
      <c r="H13076" t="s">
        <v>31378</v>
      </c>
      <c r="I13076" t="s">
        <v>31386</v>
      </c>
      <c r="J13076" t="s">
        <v>39462</v>
      </c>
      <c r="K13076" t="s">
        <v>40678</v>
      </c>
      <c r="M13076" t="s">
        <v>44617</v>
      </c>
      <c r="N13076" t="s">
        <v>44905</v>
      </c>
      <c r="O13076" t="s">
        <v>44906</v>
      </c>
      <c r="P13076">
        <v>0</v>
      </c>
      <c r="Q13076">
        <v>2</v>
      </c>
      <c r="R13076" t="s">
        <v>44922</v>
      </c>
      <c r="S13076" t="s">
        <v>45639</v>
      </c>
      <c r="T13076" t="s">
        <v>46403</v>
      </c>
      <c r="U13076" t="s">
        <v>57364</v>
      </c>
      <c r="V13076" t="s">
        <v>59231</v>
      </c>
      <c r="W13076" t="s">
        <v>44617</v>
      </c>
      <c r="X13076" t="s">
        <v>44924</v>
      </c>
    </row>
    <row r="13077" spans="1:24">
      <c r="A13077">
        <f>HYPERLINK("https://www.philgeps.gov.ph/GEPSNONPILOT/Tender/SplashBidNoticeAbstractUI.aspx?menuIndex=3&amp;refID=7049363&amp;Result=3","7049363")</f>
        <v>0</v>
      </c>
      <c r="B13077" t="s">
        <v>3280</v>
      </c>
      <c r="C13077" t="s">
        <v>16020</v>
      </c>
      <c r="D13077" t="s">
        <v>18110</v>
      </c>
      <c r="E13077" t="s">
        <v>29510</v>
      </c>
      <c r="F13077" t="s">
        <v>31362</v>
      </c>
      <c r="G13077" t="s">
        <v>31369</v>
      </c>
      <c r="H13077" t="s">
        <v>31378</v>
      </c>
      <c r="I13077" t="s">
        <v>31386</v>
      </c>
      <c r="J13077" t="s">
        <v>39463</v>
      </c>
      <c r="K13077" t="s">
        <v>40692</v>
      </c>
      <c r="M13077" t="s">
        <v>44565</v>
      </c>
      <c r="N13077" t="s">
        <v>44905</v>
      </c>
      <c r="O13077" t="s">
        <v>44906</v>
      </c>
      <c r="Q13077">
        <v>11</v>
      </c>
      <c r="R13077" t="s">
        <v>44922</v>
      </c>
      <c r="S13077" t="s">
        <v>45654</v>
      </c>
      <c r="T13077" t="s">
        <v>46447</v>
      </c>
      <c r="U13077" t="s">
        <v>57109</v>
      </c>
      <c r="W13077" t="s">
        <v>44565</v>
      </c>
      <c r="X13077" t="s">
        <v>44924</v>
      </c>
    </row>
    <row r="13078" spans="1:24">
      <c r="A13078">
        <f>HYPERLINK("https://www.philgeps.gov.ph/GEPSNONPILOT/Tender/SplashBidNoticeAbstractUI.aspx?menuIndex=3&amp;refID=7049228&amp;Result=3","7049228")</f>
        <v>0</v>
      </c>
      <c r="B13078" t="s">
        <v>3322</v>
      </c>
      <c r="C13078" t="s">
        <v>16021</v>
      </c>
      <c r="D13078" t="s">
        <v>18107</v>
      </c>
      <c r="E13078" t="s">
        <v>29511</v>
      </c>
      <c r="F13078" t="s">
        <v>31362</v>
      </c>
      <c r="G13078" t="s">
        <v>31369</v>
      </c>
      <c r="H13078" t="s">
        <v>31378</v>
      </c>
      <c r="I13078" t="s">
        <v>31386</v>
      </c>
      <c r="J13078" t="s">
        <v>31625</v>
      </c>
      <c r="K13078" t="s">
        <v>40675</v>
      </c>
      <c r="M13078" t="s">
        <v>44618</v>
      </c>
      <c r="N13078" t="s">
        <v>44905</v>
      </c>
      <c r="O13078" t="s">
        <v>44906</v>
      </c>
      <c r="P13078">
        <v>0</v>
      </c>
      <c r="Q13078">
        <v>0</v>
      </c>
      <c r="R13078" t="s">
        <v>44922</v>
      </c>
      <c r="S13078" t="s">
        <v>45639</v>
      </c>
      <c r="T13078" t="s">
        <v>46865</v>
      </c>
      <c r="U13078" t="s">
        <v>57365</v>
      </c>
      <c r="V13078" t="s">
        <v>60518</v>
      </c>
      <c r="W13078" t="s">
        <v>44618</v>
      </c>
      <c r="X13078" t="s">
        <v>44924</v>
      </c>
    </row>
    <row r="13079" spans="1:24">
      <c r="A13079">
        <f>HYPERLINK("https://www.philgeps.gov.ph/GEPSNONPILOT/Tender/SplashBidNoticeAbstractUI.aspx?menuIndex=3&amp;refID=7049449&amp;Result=3","7049449")</f>
        <v>0</v>
      </c>
      <c r="B13079" t="s">
        <v>48</v>
      </c>
      <c r="C13079" t="s">
        <v>16022</v>
      </c>
      <c r="D13079" t="s">
        <v>18117</v>
      </c>
      <c r="E13079" t="s">
        <v>29512</v>
      </c>
      <c r="F13079" t="s">
        <v>31362</v>
      </c>
      <c r="G13079" t="s">
        <v>31369</v>
      </c>
      <c r="H13079" t="s">
        <v>31378</v>
      </c>
      <c r="I13079" t="s">
        <v>31386</v>
      </c>
      <c r="J13079" t="s">
        <v>31542</v>
      </c>
      <c r="K13079" t="s">
        <v>40682</v>
      </c>
      <c r="M13079" t="s">
        <v>44617</v>
      </c>
      <c r="N13079" t="s">
        <v>44905</v>
      </c>
      <c r="O13079" t="s">
        <v>44906</v>
      </c>
      <c r="P13079">
        <v>0</v>
      </c>
      <c r="Q13079">
        <v>1</v>
      </c>
      <c r="R13079" t="s">
        <v>44922</v>
      </c>
      <c r="S13079" t="s">
        <v>45639</v>
      </c>
      <c r="T13079" t="s">
        <v>46403</v>
      </c>
      <c r="U13079" t="s">
        <v>57364</v>
      </c>
      <c r="V13079" t="s">
        <v>59231</v>
      </c>
      <c r="W13079" t="s">
        <v>44617</v>
      </c>
      <c r="X13079" t="s">
        <v>44924</v>
      </c>
    </row>
    <row r="13080" spans="1:24">
      <c r="A13080">
        <f>HYPERLINK("https://www.philgeps.gov.ph/GEPSNONPILOT/Tender/SplashBidNoticeAbstractUI.aspx?menuIndex=3&amp;refID=7046067&amp;Result=3","7046067")</f>
        <v>0</v>
      </c>
      <c r="B13080" t="s">
        <v>1569</v>
      </c>
      <c r="C13080" t="s">
        <v>16023</v>
      </c>
      <c r="D13080" t="s">
        <v>18118</v>
      </c>
      <c r="E13080" t="s">
        <v>29513</v>
      </c>
      <c r="F13080" t="s">
        <v>31362</v>
      </c>
      <c r="G13080" t="s">
        <v>31369</v>
      </c>
      <c r="H13080" t="s">
        <v>31378</v>
      </c>
      <c r="I13080" t="s">
        <v>31386</v>
      </c>
      <c r="J13080" t="s">
        <v>39464</v>
      </c>
      <c r="K13080" t="s">
        <v>40725</v>
      </c>
      <c r="M13080" t="s">
        <v>42621</v>
      </c>
      <c r="N13080" t="s">
        <v>44905</v>
      </c>
      <c r="O13080" t="s">
        <v>44906</v>
      </c>
      <c r="Q13080">
        <v>5</v>
      </c>
      <c r="R13080" t="s">
        <v>44922</v>
      </c>
      <c r="S13080" t="s">
        <v>45655</v>
      </c>
      <c r="T13080" t="s">
        <v>46425</v>
      </c>
      <c r="U13080" t="s">
        <v>57366</v>
      </c>
      <c r="V13080" t="s">
        <v>55485</v>
      </c>
      <c r="W13080" t="s">
        <v>42621</v>
      </c>
      <c r="X13080" t="s">
        <v>44925</v>
      </c>
    </row>
    <row r="13081" spans="1:24">
      <c r="A13081">
        <f>HYPERLINK("https://www.philgeps.gov.ph/GEPSNONPILOT/Tender/SplashBidNoticeAbstractUI.aspx?menuIndex=3&amp;refID=7049093&amp;Result=3","7049093")</f>
        <v>0</v>
      </c>
      <c r="B13081" t="s">
        <v>3322</v>
      </c>
      <c r="C13081" t="s">
        <v>16024</v>
      </c>
      <c r="D13081" t="s">
        <v>18107</v>
      </c>
      <c r="E13081" t="s">
        <v>29514</v>
      </c>
      <c r="F13081" t="s">
        <v>31362</v>
      </c>
      <c r="G13081" t="s">
        <v>31369</v>
      </c>
      <c r="H13081" t="s">
        <v>31378</v>
      </c>
      <c r="I13081" t="s">
        <v>31386</v>
      </c>
      <c r="J13081" t="s">
        <v>31542</v>
      </c>
      <c r="K13081" t="s">
        <v>40675</v>
      </c>
      <c r="M13081" t="s">
        <v>44618</v>
      </c>
      <c r="N13081" t="s">
        <v>44905</v>
      </c>
      <c r="O13081" t="s">
        <v>44906</v>
      </c>
      <c r="P13081">
        <v>0</v>
      </c>
      <c r="Q13081">
        <v>0</v>
      </c>
      <c r="R13081" t="s">
        <v>44922</v>
      </c>
      <c r="S13081" t="s">
        <v>45639</v>
      </c>
      <c r="T13081" t="s">
        <v>46422</v>
      </c>
      <c r="U13081" t="s">
        <v>57365</v>
      </c>
      <c r="V13081" t="s">
        <v>60519</v>
      </c>
      <c r="W13081" t="s">
        <v>44618</v>
      </c>
      <c r="X13081" t="s">
        <v>44924</v>
      </c>
    </row>
    <row r="13082" spans="1:24">
      <c r="A13082">
        <f>HYPERLINK("https://www.philgeps.gov.ph/GEPSNONPILOT/Tender/SplashBidNoticeAbstractUI.aspx?menuIndex=3&amp;refID=7046429&amp;Result=3","7046429")</f>
        <v>0</v>
      </c>
      <c r="B13082" t="s">
        <v>1274</v>
      </c>
      <c r="C13082" t="s">
        <v>16025</v>
      </c>
      <c r="D13082" t="s">
        <v>18134</v>
      </c>
      <c r="E13082" t="s">
        <v>29515</v>
      </c>
      <c r="F13082" t="s">
        <v>31362</v>
      </c>
      <c r="G13082" t="s">
        <v>31369</v>
      </c>
      <c r="H13082" t="s">
        <v>31378</v>
      </c>
      <c r="I13082" t="s">
        <v>3815</v>
      </c>
      <c r="J13082" t="s">
        <v>32594</v>
      </c>
      <c r="K13082" t="s">
        <v>40836</v>
      </c>
      <c r="M13082" t="s">
        <v>42291</v>
      </c>
      <c r="N13082" t="s">
        <v>44905</v>
      </c>
      <c r="O13082" t="s">
        <v>44906</v>
      </c>
      <c r="P13082">
        <v>0</v>
      </c>
      <c r="Q13082">
        <v>8</v>
      </c>
      <c r="R13082" t="s">
        <v>44922</v>
      </c>
      <c r="S13082" t="s">
        <v>45639</v>
      </c>
      <c r="T13082" t="s">
        <v>46416</v>
      </c>
      <c r="U13082" t="s">
        <v>57367</v>
      </c>
      <c r="V13082" t="s">
        <v>60520</v>
      </c>
      <c r="W13082" t="s">
        <v>42291</v>
      </c>
      <c r="X13082" t="s">
        <v>44925</v>
      </c>
    </row>
    <row r="13083" spans="1:24">
      <c r="A13083">
        <f>HYPERLINK("https://www.philgeps.gov.ph/GEPSNONPILOT/Tender/SplashBidNoticeAbstractUI.aspx?menuIndex=3&amp;refID=7048888&amp;Result=3","7048888")</f>
        <v>0</v>
      </c>
      <c r="B13083" t="s">
        <v>3323</v>
      </c>
      <c r="C13083" t="s">
        <v>16026</v>
      </c>
      <c r="D13083" t="s">
        <v>18140</v>
      </c>
      <c r="E13083" t="s">
        <v>29516</v>
      </c>
      <c r="F13083" t="s">
        <v>31362</v>
      </c>
      <c r="G13083" t="s">
        <v>31369</v>
      </c>
      <c r="H13083" t="s">
        <v>31379</v>
      </c>
      <c r="I13083" t="s">
        <v>31436</v>
      </c>
      <c r="J13083" t="s">
        <v>39465</v>
      </c>
      <c r="K13083" t="s">
        <v>40876</v>
      </c>
      <c r="M13083" t="s">
        <v>44619</v>
      </c>
      <c r="N13083" t="s">
        <v>44905</v>
      </c>
      <c r="O13083" t="s">
        <v>44906</v>
      </c>
      <c r="Q13083">
        <v>3</v>
      </c>
      <c r="R13083" t="s">
        <v>44922</v>
      </c>
      <c r="S13083" t="s">
        <v>45656</v>
      </c>
      <c r="T13083" t="s">
        <v>46866</v>
      </c>
      <c r="U13083" t="s">
        <v>57368</v>
      </c>
      <c r="W13083" t="s">
        <v>44619</v>
      </c>
      <c r="X13083" t="s">
        <v>44924</v>
      </c>
    </row>
    <row r="13084" spans="1:24">
      <c r="A13084">
        <f>HYPERLINK("https://www.philgeps.gov.ph/GEPSNONPILOT/Tender/SplashBidNoticeAbstractUI.aspx?menuIndex=3&amp;refID=7049386&amp;Result=3","7049386")</f>
        <v>0</v>
      </c>
      <c r="B13084" t="s">
        <v>2391</v>
      </c>
      <c r="C13084" t="s">
        <v>16027</v>
      </c>
      <c r="D13084" t="s">
        <v>18106</v>
      </c>
      <c r="E13084" t="s">
        <v>29517</v>
      </c>
      <c r="F13084" t="s">
        <v>31362</v>
      </c>
      <c r="G13084" t="s">
        <v>31369</v>
      </c>
      <c r="H13084" t="s">
        <v>31378</v>
      </c>
      <c r="I13084" t="s">
        <v>31386</v>
      </c>
      <c r="J13084" t="s">
        <v>31726</v>
      </c>
      <c r="K13084" t="s">
        <v>40686</v>
      </c>
      <c r="M13084" t="s">
        <v>43540</v>
      </c>
      <c r="N13084" t="s">
        <v>44905</v>
      </c>
      <c r="O13084" t="s">
        <v>44906</v>
      </c>
      <c r="P13084">
        <v>0</v>
      </c>
      <c r="Q13084">
        <v>2</v>
      </c>
      <c r="R13084" t="s">
        <v>44922</v>
      </c>
      <c r="S13084" t="s">
        <v>45639</v>
      </c>
      <c r="T13084" t="s">
        <v>46532</v>
      </c>
      <c r="U13084" t="s">
        <v>57369</v>
      </c>
      <c r="W13084" t="s">
        <v>43540</v>
      </c>
      <c r="X13084" t="s">
        <v>44924</v>
      </c>
    </row>
    <row r="13085" spans="1:24">
      <c r="A13085">
        <f>HYPERLINK("https://www.philgeps.gov.ph/GEPSNONPILOT/Tender/SplashBidNoticeAbstractUI.aspx?menuIndex=3&amp;refID=7049180&amp;Result=3","7049180")</f>
        <v>0</v>
      </c>
      <c r="B13085" t="s">
        <v>38</v>
      </c>
      <c r="C13085" t="s">
        <v>16028</v>
      </c>
      <c r="E13085" t="s">
        <v>19832</v>
      </c>
      <c r="F13085" t="s">
        <v>31362</v>
      </c>
      <c r="G13085" t="s">
        <v>31369</v>
      </c>
      <c r="H13085" t="s">
        <v>15799</v>
      </c>
      <c r="I13085" t="s">
        <v>31440</v>
      </c>
      <c r="J13085" t="s">
        <v>31591</v>
      </c>
      <c r="K13085" t="s">
        <v>40662</v>
      </c>
      <c r="M13085" t="s">
        <v>40972</v>
      </c>
      <c r="N13085" t="s">
        <v>44905</v>
      </c>
      <c r="O13085" t="s">
        <v>44906</v>
      </c>
      <c r="P13085">
        <v>0</v>
      </c>
      <c r="Q13085">
        <v>4</v>
      </c>
      <c r="R13085" t="s">
        <v>44922</v>
      </c>
      <c r="S13085" t="s">
        <v>45639</v>
      </c>
      <c r="T13085" t="s">
        <v>46393</v>
      </c>
      <c r="U13085" t="s">
        <v>57370</v>
      </c>
      <c r="W13085" t="s">
        <v>40972</v>
      </c>
      <c r="X13085" t="s">
        <v>44924</v>
      </c>
    </row>
    <row r="13086" spans="1:24">
      <c r="A13086">
        <f>HYPERLINK("https://www.philgeps.gov.ph/GEPSNONPILOT/Tender/SplashBidNoticeAbstractUI.aspx?menuIndex=3&amp;refID=7048061&amp;Result=3","7048061")</f>
        <v>0</v>
      </c>
      <c r="B13086" t="s">
        <v>962</v>
      </c>
      <c r="C13086" t="s">
        <v>16029</v>
      </c>
      <c r="D13086" t="s">
        <v>18152</v>
      </c>
      <c r="E13086" t="s">
        <v>29518</v>
      </c>
      <c r="F13086" t="s">
        <v>31362</v>
      </c>
      <c r="G13086" t="s">
        <v>31369</v>
      </c>
      <c r="H13086" t="s">
        <v>15799</v>
      </c>
      <c r="I13086" t="s">
        <v>31395</v>
      </c>
      <c r="J13086" t="s">
        <v>39466</v>
      </c>
      <c r="K13086" t="s">
        <v>40665</v>
      </c>
      <c r="M13086" t="s">
        <v>41950</v>
      </c>
      <c r="N13086" t="s">
        <v>44905</v>
      </c>
      <c r="O13086" t="s">
        <v>44906</v>
      </c>
      <c r="P13086">
        <v>0</v>
      </c>
      <c r="Q13086">
        <v>2</v>
      </c>
      <c r="R13086" t="s">
        <v>44922</v>
      </c>
      <c r="S13086" t="s">
        <v>45639</v>
      </c>
      <c r="T13086" t="s">
        <v>46410</v>
      </c>
      <c r="U13086" t="s">
        <v>57371</v>
      </c>
      <c r="W13086" t="s">
        <v>41950</v>
      </c>
      <c r="X13086" t="s">
        <v>44924</v>
      </c>
    </row>
    <row r="13087" spans="1:24">
      <c r="A13087">
        <f>HYPERLINK("https://www.philgeps.gov.ph/GEPSNONPILOT/Tender/SplashBidNoticeAbstractUI.aspx?menuIndex=3&amp;refID=7048594&amp;Result=3","7048594")</f>
        <v>0</v>
      </c>
      <c r="B13087" t="s">
        <v>3322</v>
      </c>
      <c r="C13087" t="s">
        <v>16030</v>
      </c>
      <c r="D13087" t="s">
        <v>18107</v>
      </c>
      <c r="E13087" t="s">
        <v>29519</v>
      </c>
      <c r="F13087" t="s">
        <v>31362</v>
      </c>
      <c r="G13087" t="s">
        <v>31369</v>
      </c>
      <c r="H13087" t="s">
        <v>31378</v>
      </c>
      <c r="I13087" t="s">
        <v>31386</v>
      </c>
      <c r="J13087" t="s">
        <v>31625</v>
      </c>
      <c r="K13087" t="s">
        <v>40675</v>
      </c>
      <c r="M13087" t="s">
        <v>44618</v>
      </c>
      <c r="N13087" t="s">
        <v>44905</v>
      </c>
      <c r="O13087" t="s">
        <v>44906</v>
      </c>
      <c r="P13087">
        <v>0</v>
      </c>
      <c r="Q13087">
        <v>0</v>
      </c>
      <c r="R13087" t="s">
        <v>44922</v>
      </c>
      <c r="S13087" t="s">
        <v>45639</v>
      </c>
      <c r="T13087" t="s">
        <v>46447</v>
      </c>
      <c r="U13087" t="s">
        <v>57372</v>
      </c>
      <c r="V13087" t="s">
        <v>60521</v>
      </c>
      <c r="W13087" t="s">
        <v>44618</v>
      </c>
      <c r="X13087" t="s">
        <v>44924</v>
      </c>
    </row>
    <row r="13088" spans="1:24">
      <c r="A13088">
        <f>HYPERLINK("https://www.philgeps.gov.ph/GEPSNONPILOT/Tender/SplashBidNoticeAbstractUI.aspx?menuIndex=3&amp;refID=7048316&amp;Result=3","7048316")</f>
        <v>0</v>
      </c>
      <c r="B13088" t="s">
        <v>329</v>
      </c>
      <c r="C13088" t="s">
        <v>16031</v>
      </c>
      <c r="D13088" t="s">
        <v>18160</v>
      </c>
      <c r="E13088" t="s">
        <v>29520</v>
      </c>
      <c r="F13088" t="s">
        <v>31362</v>
      </c>
      <c r="G13088" t="s">
        <v>31369</v>
      </c>
      <c r="H13088" t="s">
        <v>15799</v>
      </c>
      <c r="I13088" t="s">
        <v>7719</v>
      </c>
      <c r="J13088" t="s">
        <v>39467</v>
      </c>
      <c r="K13088" t="s">
        <v>40662</v>
      </c>
      <c r="M13088" t="s">
        <v>44388</v>
      </c>
      <c r="N13088" t="s">
        <v>44905</v>
      </c>
      <c r="O13088" t="s">
        <v>44906</v>
      </c>
      <c r="Q13088">
        <v>38</v>
      </c>
      <c r="R13088" t="s">
        <v>44922</v>
      </c>
      <c r="S13088" t="s">
        <v>45611</v>
      </c>
      <c r="T13088" t="s">
        <v>46462</v>
      </c>
      <c r="U13088" t="s">
        <v>57373</v>
      </c>
      <c r="W13088" t="s">
        <v>44388</v>
      </c>
      <c r="X13088" t="s">
        <v>44924</v>
      </c>
    </row>
    <row r="13089" spans="1:24">
      <c r="A13089">
        <f>HYPERLINK("https://www.philgeps.gov.ph/GEPSNONPILOT/Tender/SplashBidNoticeAbstractUI.aspx?menuIndex=3&amp;refID=7048860&amp;Result=3","7048860")</f>
        <v>0</v>
      </c>
      <c r="B13089" t="s">
        <v>3322</v>
      </c>
      <c r="C13089" t="s">
        <v>16032</v>
      </c>
      <c r="D13089" t="s">
        <v>18107</v>
      </c>
      <c r="E13089" t="s">
        <v>29521</v>
      </c>
      <c r="F13089" t="s">
        <v>31362</v>
      </c>
      <c r="G13089" t="s">
        <v>31369</v>
      </c>
      <c r="H13089" t="s">
        <v>31378</v>
      </c>
      <c r="I13089" t="s">
        <v>31386</v>
      </c>
      <c r="J13089" t="s">
        <v>31687</v>
      </c>
      <c r="K13089" t="s">
        <v>40675</v>
      </c>
      <c r="M13089" t="s">
        <v>44618</v>
      </c>
      <c r="N13089" t="s">
        <v>44905</v>
      </c>
      <c r="O13089" t="s">
        <v>44906</v>
      </c>
      <c r="P13089">
        <v>0</v>
      </c>
      <c r="Q13089">
        <v>0</v>
      </c>
      <c r="R13089" t="s">
        <v>44922</v>
      </c>
      <c r="S13089" t="s">
        <v>45639</v>
      </c>
      <c r="T13089" t="s">
        <v>46393</v>
      </c>
      <c r="U13089" t="s">
        <v>57372</v>
      </c>
      <c r="V13089" t="s">
        <v>60522</v>
      </c>
      <c r="W13089" t="s">
        <v>44618</v>
      </c>
      <c r="X13089" t="s">
        <v>44924</v>
      </c>
    </row>
    <row r="13090" spans="1:24">
      <c r="A13090">
        <f>HYPERLINK("https://www.philgeps.gov.ph/GEPSNONPILOT/Tender/SplashBidNoticeAbstractUI.aspx?menuIndex=3&amp;refID=7045996&amp;Result=3","7045996")</f>
        <v>0</v>
      </c>
      <c r="B13090" t="s">
        <v>1569</v>
      </c>
      <c r="C13090" t="s">
        <v>16033</v>
      </c>
      <c r="D13090" t="s">
        <v>18118</v>
      </c>
      <c r="E13090" t="s">
        <v>29522</v>
      </c>
      <c r="F13090" t="s">
        <v>31362</v>
      </c>
      <c r="G13090" t="s">
        <v>31369</v>
      </c>
      <c r="H13090" t="s">
        <v>31378</v>
      </c>
      <c r="I13090" t="s">
        <v>31386</v>
      </c>
      <c r="J13090" t="s">
        <v>39468</v>
      </c>
      <c r="K13090" t="s">
        <v>40725</v>
      </c>
      <c r="M13090" t="s">
        <v>42621</v>
      </c>
      <c r="N13090" t="s">
        <v>44905</v>
      </c>
      <c r="O13090" t="s">
        <v>44906</v>
      </c>
      <c r="Q13090">
        <v>6</v>
      </c>
      <c r="R13090" t="s">
        <v>44922</v>
      </c>
      <c r="S13090" t="s">
        <v>45238</v>
      </c>
      <c r="T13090" t="s">
        <v>46425</v>
      </c>
      <c r="U13090" t="s">
        <v>57374</v>
      </c>
      <c r="V13090" t="s">
        <v>55485</v>
      </c>
      <c r="W13090" t="s">
        <v>42621</v>
      </c>
      <c r="X13090" t="s">
        <v>44925</v>
      </c>
    </row>
    <row r="13091" spans="1:24">
      <c r="A13091">
        <f>HYPERLINK("https://www.philgeps.gov.ph/GEPSNONPILOT/Tender/SplashBidNoticeAbstractUI.aspx?menuIndex=3&amp;refID=7045900&amp;Result=3","7045900")</f>
        <v>0</v>
      </c>
      <c r="B13091" t="s">
        <v>700</v>
      </c>
      <c r="C13091" t="s">
        <v>16034</v>
      </c>
      <c r="E13091" t="s">
        <v>29523</v>
      </c>
      <c r="F13091" t="s">
        <v>31362</v>
      </c>
      <c r="G13091" t="s">
        <v>31369</v>
      </c>
      <c r="H13091" t="s">
        <v>15799</v>
      </c>
      <c r="I13091" t="s">
        <v>31393</v>
      </c>
      <c r="J13091" t="s">
        <v>33446</v>
      </c>
      <c r="K13091" t="s">
        <v>40662</v>
      </c>
      <c r="M13091" t="s">
        <v>41665</v>
      </c>
      <c r="N13091" t="s">
        <v>44905</v>
      </c>
      <c r="O13091" t="s">
        <v>44906</v>
      </c>
      <c r="Q13091">
        <v>14</v>
      </c>
      <c r="R13091" t="s">
        <v>44922</v>
      </c>
      <c r="S13091" t="s">
        <v>45657</v>
      </c>
      <c r="T13091" t="s">
        <v>46396</v>
      </c>
      <c r="U13091" t="s">
        <v>57375</v>
      </c>
      <c r="V13091" t="s">
        <v>60523</v>
      </c>
      <c r="W13091" t="s">
        <v>41665</v>
      </c>
      <c r="X13091" t="s">
        <v>44925</v>
      </c>
    </row>
    <row r="13092" spans="1:24">
      <c r="A13092">
        <f>HYPERLINK("https://www.philgeps.gov.ph/GEPSNONPILOT/Tender/SplashBidNoticeAbstractUI.aspx?menuIndex=3&amp;refID=7046021&amp;Result=3","7046021")</f>
        <v>0</v>
      </c>
      <c r="B13092" t="s">
        <v>1569</v>
      </c>
      <c r="C13092" t="s">
        <v>16035</v>
      </c>
      <c r="D13092" t="s">
        <v>18118</v>
      </c>
      <c r="E13092" t="s">
        <v>29524</v>
      </c>
      <c r="F13092" t="s">
        <v>31362</v>
      </c>
      <c r="G13092" t="s">
        <v>31369</v>
      </c>
      <c r="H13092" t="s">
        <v>31378</v>
      </c>
      <c r="I13092" t="s">
        <v>31386</v>
      </c>
      <c r="J13092" t="s">
        <v>39469</v>
      </c>
      <c r="K13092" t="s">
        <v>40686</v>
      </c>
      <c r="M13092" t="s">
        <v>42621</v>
      </c>
      <c r="N13092" t="s">
        <v>44905</v>
      </c>
      <c r="O13092" t="s">
        <v>44906</v>
      </c>
      <c r="Q13092">
        <v>6</v>
      </c>
      <c r="R13092" t="s">
        <v>44922</v>
      </c>
      <c r="S13092" t="s">
        <v>45658</v>
      </c>
      <c r="T13092" t="s">
        <v>46425</v>
      </c>
      <c r="U13092" t="s">
        <v>57376</v>
      </c>
      <c r="V13092" t="s">
        <v>60524</v>
      </c>
      <c r="W13092" t="s">
        <v>42621</v>
      </c>
      <c r="X13092" t="s">
        <v>44925</v>
      </c>
    </row>
    <row r="13093" spans="1:24">
      <c r="A13093">
        <f>HYPERLINK("https://www.philgeps.gov.ph/GEPSNONPILOT/Tender/SplashBidNoticeAbstractUI.aspx?menuIndex=3&amp;refID=7045799&amp;Result=3","7045799")</f>
        <v>0</v>
      </c>
      <c r="B13093" t="s">
        <v>354</v>
      </c>
      <c r="C13093" t="s">
        <v>16036</v>
      </c>
      <c r="D13093" t="s">
        <v>18141</v>
      </c>
      <c r="E13093" t="s">
        <v>29525</v>
      </c>
      <c r="F13093" t="s">
        <v>31362</v>
      </c>
      <c r="G13093" t="s">
        <v>31369</v>
      </c>
      <c r="H13093" t="s">
        <v>31378</v>
      </c>
      <c r="I13093" t="s">
        <v>31386</v>
      </c>
      <c r="J13093" t="s">
        <v>31625</v>
      </c>
      <c r="K13093" t="s">
        <v>40682</v>
      </c>
      <c r="M13093" t="s">
        <v>41301</v>
      </c>
      <c r="N13093" t="s">
        <v>44905</v>
      </c>
      <c r="O13093" t="s">
        <v>44906</v>
      </c>
      <c r="P13093">
        <v>0</v>
      </c>
      <c r="Q13093">
        <v>1</v>
      </c>
      <c r="R13093" t="s">
        <v>44922</v>
      </c>
      <c r="S13093" t="s">
        <v>45639</v>
      </c>
      <c r="T13093" t="s">
        <v>46418</v>
      </c>
      <c r="U13093" t="s">
        <v>57377</v>
      </c>
      <c r="W13093" t="s">
        <v>41301</v>
      </c>
      <c r="X13093" t="s">
        <v>44925</v>
      </c>
    </row>
    <row r="13094" spans="1:24">
      <c r="A13094">
        <f>HYPERLINK("https://www.philgeps.gov.ph/GEPSNONPILOT/Tender/SplashBidNoticeAbstractUI.aspx?menuIndex=3&amp;refID=7045759&amp;Result=3","7045759")</f>
        <v>0</v>
      </c>
      <c r="B13094" t="s">
        <v>354</v>
      </c>
      <c r="C13094" t="s">
        <v>16037</v>
      </c>
      <c r="D13094" t="s">
        <v>18141</v>
      </c>
      <c r="E13094" t="s">
        <v>29526</v>
      </c>
      <c r="F13094" t="s">
        <v>31362</v>
      </c>
      <c r="G13094" t="s">
        <v>31369</v>
      </c>
      <c r="H13094" t="s">
        <v>31378</v>
      </c>
      <c r="I13094" t="s">
        <v>31386</v>
      </c>
      <c r="J13094" t="s">
        <v>31606</v>
      </c>
      <c r="K13094" t="s">
        <v>40682</v>
      </c>
      <c r="M13094" t="s">
        <v>41301</v>
      </c>
      <c r="N13094" t="s">
        <v>44905</v>
      </c>
      <c r="O13094" t="s">
        <v>44906</v>
      </c>
      <c r="P13094">
        <v>0</v>
      </c>
      <c r="Q13094">
        <v>1</v>
      </c>
      <c r="R13094" t="s">
        <v>44922</v>
      </c>
      <c r="S13094" t="s">
        <v>45639</v>
      </c>
      <c r="T13094" t="s">
        <v>46418</v>
      </c>
      <c r="U13094" t="s">
        <v>57378</v>
      </c>
      <c r="W13094" t="s">
        <v>41301</v>
      </c>
      <c r="X13094" t="s">
        <v>44925</v>
      </c>
    </row>
    <row r="13095" spans="1:24">
      <c r="A13095">
        <f>HYPERLINK("https://www.philgeps.gov.ph/GEPSNONPILOT/Tender/SplashBidNoticeAbstractUI.aspx?menuIndex=3&amp;refID=7045843&amp;Result=3","7045843")</f>
        <v>0</v>
      </c>
      <c r="B13095" t="s">
        <v>700</v>
      </c>
      <c r="C13095" t="s">
        <v>16038</v>
      </c>
      <c r="E13095" t="s">
        <v>29527</v>
      </c>
      <c r="F13095" t="s">
        <v>31362</v>
      </c>
      <c r="G13095" t="s">
        <v>31369</v>
      </c>
      <c r="H13095" t="s">
        <v>15799</v>
      </c>
      <c r="I13095" t="s">
        <v>31465</v>
      </c>
      <c r="J13095" t="s">
        <v>39470</v>
      </c>
      <c r="K13095" t="s">
        <v>40662</v>
      </c>
      <c r="M13095" t="s">
        <v>41665</v>
      </c>
      <c r="N13095" t="s">
        <v>44905</v>
      </c>
      <c r="O13095" t="s">
        <v>44906</v>
      </c>
      <c r="P13095">
        <v>0</v>
      </c>
      <c r="Q13095">
        <v>6</v>
      </c>
      <c r="R13095" t="s">
        <v>44922</v>
      </c>
      <c r="S13095" t="s">
        <v>45639</v>
      </c>
      <c r="T13095" t="s">
        <v>46750</v>
      </c>
      <c r="U13095" t="s">
        <v>57379</v>
      </c>
      <c r="V13095" t="s">
        <v>60525</v>
      </c>
      <c r="W13095" t="s">
        <v>41665</v>
      </c>
      <c r="X13095" t="s">
        <v>44925</v>
      </c>
    </row>
    <row r="13096" spans="1:24">
      <c r="A13096">
        <f>HYPERLINK("https://www.philgeps.gov.ph/GEPSNONPILOT/Tender/SplashBidNoticeAbstractUI.aspx?menuIndex=3&amp;refID=7055579&amp;Result=3","7055579")</f>
        <v>0</v>
      </c>
      <c r="B13096" t="s">
        <v>1639</v>
      </c>
      <c r="C13096" t="s">
        <v>16039</v>
      </c>
      <c r="D13096" t="s">
        <v>18108</v>
      </c>
      <c r="E13096" t="s">
        <v>29528</v>
      </c>
      <c r="F13096" t="s">
        <v>31362</v>
      </c>
      <c r="G13096" t="s">
        <v>31369</v>
      </c>
      <c r="H13096" t="s">
        <v>31378</v>
      </c>
      <c r="I13096" t="s">
        <v>31386</v>
      </c>
      <c r="J13096" t="s">
        <v>39471</v>
      </c>
      <c r="K13096" t="s">
        <v>40679</v>
      </c>
      <c r="M13096" t="s">
        <v>42702</v>
      </c>
      <c r="N13096" t="s">
        <v>44905</v>
      </c>
      <c r="O13096" t="s">
        <v>44906</v>
      </c>
      <c r="P13096">
        <v>0</v>
      </c>
      <c r="Q13096">
        <v>18</v>
      </c>
      <c r="R13096" t="s">
        <v>44921</v>
      </c>
      <c r="S13096" t="s">
        <v>45564</v>
      </c>
      <c r="T13096" t="s">
        <v>46426</v>
      </c>
      <c r="U13096" t="s">
        <v>57380</v>
      </c>
      <c r="W13096" t="s">
        <v>42702</v>
      </c>
      <c r="X13096" t="s">
        <v>44922</v>
      </c>
    </row>
    <row r="13097" spans="1:24">
      <c r="A13097">
        <f>HYPERLINK("https://www.philgeps.gov.ph/GEPSNONPILOT/Tender/SplashBidNoticeAbstractUI.aspx?menuIndex=3&amp;refID=7047677&amp;Result=3","7047677")</f>
        <v>0</v>
      </c>
      <c r="B13097" t="s">
        <v>926</v>
      </c>
      <c r="C13097" t="s">
        <v>16040</v>
      </c>
      <c r="D13097" t="s">
        <v>18117</v>
      </c>
      <c r="E13097" t="s">
        <v>29529</v>
      </c>
      <c r="F13097" t="s">
        <v>31362</v>
      </c>
      <c r="G13097" t="s">
        <v>31369</v>
      </c>
      <c r="H13097" t="s">
        <v>15799</v>
      </c>
      <c r="I13097" t="s">
        <v>31409</v>
      </c>
      <c r="J13097" t="s">
        <v>33097</v>
      </c>
      <c r="K13097" t="s">
        <v>40665</v>
      </c>
      <c r="M13097" t="s">
        <v>41910</v>
      </c>
      <c r="N13097" t="s">
        <v>44905</v>
      </c>
      <c r="O13097" t="s">
        <v>44906</v>
      </c>
      <c r="P13097">
        <v>0</v>
      </c>
      <c r="Q13097">
        <v>5</v>
      </c>
      <c r="R13097" t="s">
        <v>44922</v>
      </c>
      <c r="S13097" t="s">
        <v>45639</v>
      </c>
      <c r="T13097" t="s">
        <v>46426</v>
      </c>
      <c r="U13097" t="s">
        <v>57381</v>
      </c>
      <c r="W13097" t="s">
        <v>41910</v>
      </c>
      <c r="X13097" t="s">
        <v>44924</v>
      </c>
    </row>
    <row r="13098" spans="1:24">
      <c r="A13098">
        <f>HYPERLINK("https://www.philgeps.gov.ph/GEPSNONPILOT/Tender/SplashBidNoticeAbstractUI.aspx?menuIndex=3&amp;refID=7049936&amp;Result=3","7049936")</f>
        <v>0</v>
      </c>
      <c r="B13098" t="s">
        <v>3324</v>
      </c>
      <c r="C13098" t="s">
        <v>16041</v>
      </c>
      <c r="D13098" t="s">
        <v>18152</v>
      </c>
      <c r="E13098" t="s">
        <v>22113</v>
      </c>
      <c r="F13098" t="s">
        <v>31362</v>
      </c>
      <c r="G13098" t="s">
        <v>31369</v>
      </c>
      <c r="H13098" t="s">
        <v>31378</v>
      </c>
      <c r="I13098" t="s">
        <v>31386</v>
      </c>
      <c r="J13098" t="s">
        <v>33482</v>
      </c>
      <c r="K13098" t="s">
        <v>40686</v>
      </c>
      <c r="M13098" t="s">
        <v>44620</v>
      </c>
      <c r="N13098" t="s">
        <v>44905</v>
      </c>
      <c r="O13098" t="s">
        <v>44906</v>
      </c>
      <c r="P13098">
        <v>0</v>
      </c>
      <c r="Q13098">
        <v>3</v>
      </c>
      <c r="R13098" t="s">
        <v>44922</v>
      </c>
      <c r="S13098" t="s">
        <v>45639</v>
      </c>
      <c r="T13098" t="s">
        <v>46549</v>
      </c>
      <c r="U13098" t="s">
        <v>57382</v>
      </c>
      <c r="V13098" t="s">
        <v>60526</v>
      </c>
      <c r="W13098" t="s">
        <v>44620</v>
      </c>
      <c r="X13098" t="s">
        <v>44923</v>
      </c>
    </row>
    <row r="13099" spans="1:24">
      <c r="A13099">
        <f>HYPERLINK("https://www.philgeps.gov.ph/GEPSNONPILOT/Tender/SplashBidNoticeAbstractUI.aspx?menuIndex=3&amp;refID=7048244&amp;Result=3","7048244")</f>
        <v>0</v>
      </c>
      <c r="B13099" t="s">
        <v>3325</v>
      </c>
      <c r="C13099" t="s">
        <v>16042</v>
      </c>
      <c r="D13099" t="s">
        <v>18133</v>
      </c>
      <c r="E13099" t="s">
        <v>29530</v>
      </c>
      <c r="F13099" t="s">
        <v>31362</v>
      </c>
      <c r="G13099" t="s">
        <v>31369</v>
      </c>
      <c r="H13099" t="s">
        <v>31378</v>
      </c>
      <c r="I13099" t="s">
        <v>31386</v>
      </c>
      <c r="J13099" t="s">
        <v>39472</v>
      </c>
      <c r="K13099" t="s">
        <v>40686</v>
      </c>
      <c r="M13099" t="s">
        <v>44621</v>
      </c>
      <c r="N13099" t="s">
        <v>44905</v>
      </c>
      <c r="O13099" t="s">
        <v>44906</v>
      </c>
      <c r="P13099">
        <v>0</v>
      </c>
      <c r="Q13099">
        <v>0</v>
      </c>
      <c r="R13099" t="s">
        <v>44922</v>
      </c>
      <c r="S13099" t="s">
        <v>45639</v>
      </c>
      <c r="T13099" t="s">
        <v>46452</v>
      </c>
      <c r="U13099" t="s">
        <v>57383</v>
      </c>
      <c r="V13099" t="s">
        <v>60527</v>
      </c>
      <c r="W13099" t="s">
        <v>44621</v>
      </c>
      <c r="X13099" t="s">
        <v>44924</v>
      </c>
    </row>
    <row r="13100" spans="1:24">
      <c r="A13100">
        <f>HYPERLINK("https://www.philgeps.gov.ph/GEPSNONPILOT/Tender/SplashBidNoticeAbstractUI.aspx?menuIndex=3&amp;refID=7049917&amp;Result=3","7049917")</f>
        <v>0</v>
      </c>
      <c r="B13100" t="s">
        <v>321</v>
      </c>
      <c r="C13100" t="s">
        <v>16043</v>
      </c>
      <c r="D13100" t="s">
        <v>18148</v>
      </c>
      <c r="E13100" t="s">
        <v>29531</v>
      </c>
      <c r="F13100" t="s">
        <v>31362</v>
      </c>
      <c r="G13100" t="s">
        <v>31369</v>
      </c>
      <c r="H13100" t="s">
        <v>31379</v>
      </c>
      <c r="I13100" t="s">
        <v>31431</v>
      </c>
      <c r="J13100" t="s">
        <v>31542</v>
      </c>
      <c r="K13100" t="s">
        <v>40727</v>
      </c>
      <c r="M13100" t="s">
        <v>41267</v>
      </c>
      <c r="N13100" t="s">
        <v>44905</v>
      </c>
      <c r="O13100" t="s">
        <v>44906</v>
      </c>
      <c r="Q13100">
        <v>1</v>
      </c>
      <c r="R13100" t="s">
        <v>44922</v>
      </c>
      <c r="S13100" t="s">
        <v>45659</v>
      </c>
      <c r="T13100" t="s">
        <v>46426</v>
      </c>
      <c r="U13100" t="s">
        <v>47466</v>
      </c>
      <c r="V13100" t="s">
        <v>59161</v>
      </c>
      <c r="W13100" t="s">
        <v>41267</v>
      </c>
      <c r="X13100" t="s">
        <v>44923</v>
      </c>
    </row>
    <row r="13101" spans="1:24">
      <c r="A13101">
        <f>HYPERLINK("https://www.philgeps.gov.ph/GEPSNONPILOT/Tender/SplashBidNoticeAbstractUI.aspx?menuIndex=3&amp;refID=7049907&amp;Result=3","7049907")</f>
        <v>0</v>
      </c>
      <c r="B13101" t="s">
        <v>1808</v>
      </c>
      <c r="C13101" t="s">
        <v>16044</v>
      </c>
      <c r="D13101" t="s">
        <v>18112</v>
      </c>
      <c r="E13101" t="s">
        <v>28771</v>
      </c>
      <c r="F13101" t="s">
        <v>31362</v>
      </c>
      <c r="G13101" t="s">
        <v>31369</v>
      </c>
      <c r="H13101" t="s">
        <v>31378</v>
      </c>
      <c r="I13101" t="s">
        <v>3815</v>
      </c>
      <c r="J13101" t="s">
        <v>33393</v>
      </c>
      <c r="K13101" t="s">
        <v>40678</v>
      </c>
      <c r="M13101" t="s">
        <v>42890</v>
      </c>
      <c r="N13101" t="s">
        <v>44905</v>
      </c>
      <c r="O13101" t="s">
        <v>44906</v>
      </c>
      <c r="Q13101">
        <v>1</v>
      </c>
      <c r="R13101" t="s">
        <v>44922</v>
      </c>
      <c r="S13101" t="s">
        <v>45660</v>
      </c>
      <c r="T13101" t="s">
        <v>46416</v>
      </c>
      <c r="U13101" t="s">
        <v>57384</v>
      </c>
      <c r="W13101" t="s">
        <v>42890</v>
      </c>
      <c r="X13101" t="s">
        <v>44923</v>
      </c>
    </row>
    <row r="13102" spans="1:24">
      <c r="A13102">
        <f>HYPERLINK("https://www.philgeps.gov.ph/GEPSNONPILOT/Tender/SplashBidNoticeAbstractUI.aspx?menuIndex=3&amp;refID=7049901&amp;Result=3","7049901")</f>
        <v>0</v>
      </c>
      <c r="B13102" t="s">
        <v>3326</v>
      </c>
      <c r="C13102" t="s">
        <v>16045</v>
      </c>
      <c r="D13102" t="s">
        <v>18171</v>
      </c>
      <c r="E13102" t="s">
        <v>29532</v>
      </c>
      <c r="F13102" t="s">
        <v>31362</v>
      </c>
      <c r="G13102" t="s">
        <v>31369</v>
      </c>
      <c r="H13102" t="s">
        <v>15799</v>
      </c>
      <c r="I13102" t="s">
        <v>31404</v>
      </c>
      <c r="J13102" t="s">
        <v>31530</v>
      </c>
      <c r="K13102" t="s">
        <v>40666</v>
      </c>
      <c r="M13102" t="s">
        <v>44622</v>
      </c>
      <c r="N13102" t="s">
        <v>44905</v>
      </c>
      <c r="O13102" t="s">
        <v>44906</v>
      </c>
      <c r="P13102">
        <v>0</v>
      </c>
      <c r="Q13102">
        <v>0</v>
      </c>
      <c r="R13102" t="s">
        <v>44922</v>
      </c>
      <c r="S13102" t="s">
        <v>45639</v>
      </c>
      <c r="T13102" t="s">
        <v>46426</v>
      </c>
      <c r="U13102" t="s">
        <v>57385</v>
      </c>
      <c r="W13102" t="s">
        <v>44622</v>
      </c>
      <c r="X13102" t="s">
        <v>44923</v>
      </c>
    </row>
    <row r="13103" spans="1:24">
      <c r="A13103">
        <f>HYPERLINK("https://www.philgeps.gov.ph/GEPSNONPILOT/Tender/SplashBidNoticeAbstractUI.aspx?menuIndex=3&amp;refID=7049924&amp;Result=3","7049924")</f>
        <v>0</v>
      </c>
      <c r="B13103" t="s">
        <v>3327</v>
      </c>
      <c r="C13103" t="s">
        <v>16046</v>
      </c>
      <c r="D13103" t="s">
        <v>18164</v>
      </c>
      <c r="E13103" t="s">
        <v>29533</v>
      </c>
      <c r="F13103" t="s">
        <v>31362</v>
      </c>
      <c r="G13103" t="s">
        <v>31369</v>
      </c>
      <c r="H13103" t="s">
        <v>31378</v>
      </c>
      <c r="I13103" t="s">
        <v>31386</v>
      </c>
      <c r="J13103" t="s">
        <v>39473</v>
      </c>
      <c r="K13103" t="s">
        <v>40930</v>
      </c>
      <c r="M13103" t="s">
        <v>44623</v>
      </c>
      <c r="N13103" t="s">
        <v>44905</v>
      </c>
      <c r="O13103" t="s">
        <v>44906</v>
      </c>
      <c r="Q13103">
        <v>0</v>
      </c>
      <c r="R13103" t="s">
        <v>44922</v>
      </c>
      <c r="S13103" t="s">
        <v>45661</v>
      </c>
      <c r="T13103" t="s">
        <v>46435</v>
      </c>
      <c r="U13103" t="s">
        <v>57386</v>
      </c>
      <c r="W13103" t="s">
        <v>44623</v>
      </c>
      <c r="X13103" t="s">
        <v>44923</v>
      </c>
    </row>
    <row r="13104" spans="1:24">
      <c r="A13104">
        <f>HYPERLINK("https://www.philgeps.gov.ph/GEPSNONPILOT/Tender/SplashBidNoticeAbstractUI.aspx?menuIndex=3&amp;refID=7049923&amp;Result=3","7049923")</f>
        <v>0</v>
      </c>
      <c r="B13104" t="s">
        <v>2903</v>
      </c>
      <c r="C13104" t="s">
        <v>16047</v>
      </c>
      <c r="D13104" t="s">
        <v>18147</v>
      </c>
      <c r="E13104" t="s">
        <v>29534</v>
      </c>
      <c r="F13104" t="s">
        <v>31362</v>
      </c>
      <c r="G13104" t="s">
        <v>31369</v>
      </c>
      <c r="H13104" t="s">
        <v>15799</v>
      </c>
      <c r="I13104" t="s">
        <v>31430</v>
      </c>
      <c r="J13104" t="s">
        <v>39474</v>
      </c>
      <c r="K13104" t="s">
        <v>40682</v>
      </c>
      <c r="M13104" t="s">
        <v>44118</v>
      </c>
      <c r="N13104" t="s">
        <v>44905</v>
      </c>
      <c r="O13104" t="s">
        <v>44906</v>
      </c>
      <c r="P13104">
        <v>0</v>
      </c>
      <c r="Q13104">
        <v>4</v>
      </c>
      <c r="R13104" t="s">
        <v>44922</v>
      </c>
      <c r="S13104" t="s">
        <v>45639</v>
      </c>
      <c r="T13104" t="s">
        <v>46560</v>
      </c>
      <c r="U13104" t="s">
        <v>57387</v>
      </c>
      <c r="W13104" t="s">
        <v>44118</v>
      </c>
      <c r="X13104" t="s">
        <v>44923</v>
      </c>
    </row>
    <row r="13105" spans="1:24">
      <c r="A13105">
        <f>HYPERLINK("https://www.philgeps.gov.ph/GEPSNONPILOT/Tender/SplashBidNoticeAbstractUI.aspx?menuIndex=3&amp;refID=7049882&amp;Result=3","7049882")</f>
        <v>0</v>
      </c>
      <c r="B13105" t="s">
        <v>321</v>
      </c>
      <c r="C13105" t="s">
        <v>16048</v>
      </c>
      <c r="D13105" t="s">
        <v>18169</v>
      </c>
      <c r="E13105" t="s">
        <v>29535</v>
      </c>
      <c r="F13105" t="s">
        <v>31362</v>
      </c>
      <c r="G13105" t="s">
        <v>31369</v>
      </c>
      <c r="H13105" t="s">
        <v>31379</v>
      </c>
      <c r="I13105" t="s">
        <v>31481</v>
      </c>
      <c r="J13105" t="s">
        <v>39475</v>
      </c>
      <c r="K13105" t="s">
        <v>40665</v>
      </c>
      <c r="M13105" t="s">
        <v>41267</v>
      </c>
      <c r="N13105" t="s">
        <v>44905</v>
      </c>
      <c r="O13105" t="s">
        <v>44906</v>
      </c>
      <c r="Q13105">
        <v>8</v>
      </c>
      <c r="R13105" t="s">
        <v>44922</v>
      </c>
      <c r="S13105" t="s">
        <v>45398</v>
      </c>
      <c r="T13105" t="s">
        <v>46426</v>
      </c>
      <c r="U13105" t="s">
        <v>47466</v>
      </c>
      <c r="V13105" t="s">
        <v>59161</v>
      </c>
      <c r="W13105" t="s">
        <v>41267</v>
      </c>
      <c r="X13105" t="s">
        <v>44923</v>
      </c>
    </row>
    <row r="13106" spans="1:24">
      <c r="A13106">
        <f>HYPERLINK("https://www.philgeps.gov.ph/GEPSNONPILOT/Tender/SplashBidNoticeAbstractUI.aspx?menuIndex=3&amp;refID=7049864&amp;Result=3","7049864")</f>
        <v>0</v>
      </c>
      <c r="B13106" t="s">
        <v>1001</v>
      </c>
      <c r="C13106" t="s">
        <v>16049</v>
      </c>
      <c r="D13106" t="s">
        <v>18108</v>
      </c>
      <c r="E13106" t="s">
        <v>29536</v>
      </c>
      <c r="F13106" t="s">
        <v>31362</v>
      </c>
      <c r="G13106" t="s">
        <v>31376</v>
      </c>
      <c r="H13106" t="s">
        <v>15799</v>
      </c>
      <c r="I13106" t="s">
        <v>31388</v>
      </c>
      <c r="J13106" t="s">
        <v>31641</v>
      </c>
      <c r="K13106" t="s">
        <v>40723</v>
      </c>
      <c r="M13106" t="s">
        <v>41997</v>
      </c>
      <c r="N13106" t="s">
        <v>44905</v>
      </c>
      <c r="O13106" t="s">
        <v>44906</v>
      </c>
      <c r="Q13106">
        <v>9</v>
      </c>
      <c r="R13106" t="s">
        <v>44922</v>
      </c>
      <c r="S13106" t="s">
        <v>45105</v>
      </c>
      <c r="T13106" t="s">
        <v>46504</v>
      </c>
      <c r="U13106" t="s">
        <v>57388</v>
      </c>
      <c r="W13106" t="s">
        <v>41997</v>
      </c>
      <c r="X13106" t="s">
        <v>44923</v>
      </c>
    </row>
    <row r="13107" spans="1:24">
      <c r="A13107">
        <f>HYPERLINK("https://www.philgeps.gov.ph/GEPSNONPILOT/Tender/SplashBidNoticeAbstractUI.aspx?menuIndex=3&amp;refID=7047704&amp;Result=3","7047704")</f>
        <v>0</v>
      </c>
      <c r="B13107" t="s">
        <v>1067</v>
      </c>
      <c r="C13107" t="s">
        <v>16050</v>
      </c>
      <c r="D13107" t="s">
        <v>18116</v>
      </c>
      <c r="E13107" t="s">
        <v>29537</v>
      </c>
      <c r="F13107" t="s">
        <v>31362</v>
      </c>
      <c r="G13107" t="s">
        <v>31369</v>
      </c>
      <c r="H13107" t="s">
        <v>31378</v>
      </c>
      <c r="I13107" t="s">
        <v>31386</v>
      </c>
      <c r="J13107" t="s">
        <v>39476</v>
      </c>
      <c r="K13107" t="s">
        <v>40682</v>
      </c>
      <c r="M13107" t="s">
        <v>42069</v>
      </c>
      <c r="N13107" t="s">
        <v>44905</v>
      </c>
      <c r="O13107" t="s">
        <v>44906</v>
      </c>
      <c r="P13107">
        <v>0</v>
      </c>
      <c r="Q13107">
        <v>0</v>
      </c>
      <c r="R13107" t="s">
        <v>44922</v>
      </c>
      <c r="S13107" t="s">
        <v>45639</v>
      </c>
      <c r="T13107" t="s">
        <v>46503</v>
      </c>
      <c r="U13107" t="s">
        <v>57389</v>
      </c>
      <c r="W13107" t="s">
        <v>42069</v>
      </c>
      <c r="X13107" t="s">
        <v>44924</v>
      </c>
    </row>
    <row r="13108" spans="1:24">
      <c r="A13108">
        <f>HYPERLINK("https://www.philgeps.gov.ph/GEPSNONPILOT/Tender/SplashBidNoticeAbstractUI.aspx?menuIndex=3&amp;refID=7049845&amp;Result=3","7049845")</f>
        <v>0</v>
      </c>
      <c r="B13108" t="s">
        <v>2680</v>
      </c>
      <c r="C13108" t="s">
        <v>16051</v>
      </c>
      <c r="D13108" t="s">
        <v>18147</v>
      </c>
      <c r="E13108" t="s">
        <v>22978</v>
      </c>
      <c r="F13108" t="s">
        <v>31362</v>
      </c>
      <c r="G13108" t="s">
        <v>31369</v>
      </c>
      <c r="H13108" t="s">
        <v>15799</v>
      </c>
      <c r="I13108" t="s">
        <v>7188</v>
      </c>
      <c r="J13108" t="s">
        <v>32294</v>
      </c>
      <c r="K13108" t="s">
        <v>40666</v>
      </c>
      <c r="M13108" t="s">
        <v>43866</v>
      </c>
      <c r="N13108" t="s">
        <v>44905</v>
      </c>
      <c r="O13108" t="s">
        <v>44906</v>
      </c>
      <c r="P13108">
        <v>0</v>
      </c>
      <c r="Q13108">
        <v>5</v>
      </c>
      <c r="R13108" t="s">
        <v>44922</v>
      </c>
      <c r="S13108" t="s">
        <v>45639</v>
      </c>
      <c r="T13108" t="s">
        <v>46422</v>
      </c>
      <c r="U13108" t="s">
        <v>57390</v>
      </c>
      <c r="W13108" t="s">
        <v>43866</v>
      </c>
      <c r="X13108" t="s">
        <v>44923</v>
      </c>
    </row>
    <row r="13109" spans="1:24">
      <c r="A13109">
        <f>HYPERLINK("https://www.philgeps.gov.ph/GEPSNONPILOT/Tender/SplashBidNoticeAbstractUI.aspx?menuIndex=3&amp;refID=7049835&amp;Result=3","7049835")</f>
        <v>0</v>
      </c>
      <c r="B13109" t="s">
        <v>3328</v>
      </c>
      <c r="C13109" t="s">
        <v>16052</v>
      </c>
      <c r="D13109" t="s">
        <v>18121</v>
      </c>
      <c r="E13109" t="s">
        <v>29538</v>
      </c>
      <c r="F13109" t="s">
        <v>31362</v>
      </c>
      <c r="G13109" t="s">
        <v>31369</v>
      </c>
      <c r="H13109" t="s">
        <v>15799</v>
      </c>
      <c r="I13109" t="s">
        <v>31472</v>
      </c>
      <c r="J13109" t="s">
        <v>33868</v>
      </c>
      <c r="K13109" t="s">
        <v>40686</v>
      </c>
      <c r="M13109" t="s">
        <v>44624</v>
      </c>
      <c r="N13109" t="s">
        <v>44905</v>
      </c>
      <c r="O13109" t="s">
        <v>44906</v>
      </c>
      <c r="P13109">
        <v>0</v>
      </c>
      <c r="Q13109">
        <v>7</v>
      </c>
      <c r="R13109" t="s">
        <v>44922</v>
      </c>
      <c r="S13109" t="s">
        <v>45639</v>
      </c>
      <c r="T13109" t="s">
        <v>46435</v>
      </c>
      <c r="U13109" t="s">
        <v>57391</v>
      </c>
      <c r="V13109" t="s">
        <v>60528</v>
      </c>
      <c r="W13109" t="s">
        <v>44624</v>
      </c>
      <c r="X13109" t="s">
        <v>44924</v>
      </c>
    </row>
    <row r="13110" spans="1:24">
      <c r="A13110">
        <f>HYPERLINK("https://www.philgeps.gov.ph/GEPSNONPILOT/Tender/SplashBidNoticeAbstractUI.aspx?menuIndex=3&amp;refID=7049611&amp;Result=3","7049611")</f>
        <v>0</v>
      </c>
      <c r="B13110" t="s">
        <v>3329</v>
      </c>
      <c r="C13110" t="s">
        <v>16053</v>
      </c>
      <c r="D13110" t="s">
        <v>18108</v>
      </c>
      <c r="E13110" t="s">
        <v>29539</v>
      </c>
      <c r="F13110" t="s">
        <v>31362</v>
      </c>
      <c r="G13110" t="s">
        <v>31373</v>
      </c>
      <c r="H13110" t="s">
        <v>15799</v>
      </c>
      <c r="I13110" t="s">
        <v>31393</v>
      </c>
      <c r="J13110" t="s">
        <v>39477</v>
      </c>
      <c r="K13110" t="s">
        <v>40675</v>
      </c>
      <c r="M13110" t="s">
        <v>44625</v>
      </c>
      <c r="N13110" t="s">
        <v>44905</v>
      </c>
      <c r="O13110" t="s">
        <v>44906</v>
      </c>
      <c r="Q13110">
        <v>27</v>
      </c>
      <c r="R13110" t="s">
        <v>44922</v>
      </c>
      <c r="S13110" t="s">
        <v>45662</v>
      </c>
      <c r="T13110" t="s">
        <v>46410</v>
      </c>
      <c r="U13110" t="s">
        <v>57392</v>
      </c>
      <c r="V13110" t="s">
        <v>60529</v>
      </c>
      <c r="W13110" t="s">
        <v>44625</v>
      </c>
      <c r="X13110" t="s">
        <v>44924</v>
      </c>
    </row>
    <row r="13111" spans="1:24">
      <c r="A13111">
        <f>HYPERLINK("https://www.philgeps.gov.ph/GEPSNONPILOT/Tender/SplashBidNoticeAbstractUI.aspx?menuIndex=3&amp;refID=7049561&amp;Result=3","7049561")</f>
        <v>0</v>
      </c>
      <c r="B13111" t="s">
        <v>644</v>
      </c>
      <c r="C13111" t="s">
        <v>16054</v>
      </c>
      <c r="D13111" t="s">
        <v>18164</v>
      </c>
      <c r="E13111" t="s">
        <v>29540</v>
      </c>
      <c r="F13111" t="s">
        <v>31362</v>
      </c>
      <c r="G13111" t="s">
        <v>31369</v>
      </c>
      <c r="H13111" t="s">
        <v>31377</v>
      </c>
      <c r="I13111" t="s">
        <v>31512</v>
      </c>
      <c r="J13111" t="s">
        <v>35450</v>
      </c>
      <c r="K13111" t="s">
        <v>40758</v>
      </c>
      <c r="M13111" t="s">
        <v>41605</v>
      </c>
      <c r="N13111" t="s">
        <v>44905</v>
      </c>
      <c r="O13111" t="s">
        <v>44906</v>
      </c>
      <c r="Q13111">
        <v>12</v>
      </c>
      <c r="R13111" t="s">
        <v>44922</v>
      </c>
      <c r="S13111" t="s">
        <v>45663</v>
      </c>
      <c r="T13111" t="s">
        <v>46481</v>
      </c>
      <c r="U13111" t="s">
        <v>57393</v>
      </c>
      <c r="W13111" t="s">
        <v>41605</v>
      </c>
      <c r="X13111" t="s">
        <v>44924</v>
      </c>
    </row>
    <row r="13112" spans="1:24">
      <c r="A13112">
        <f>HYPERLINK("https://www.philgeps.gov.ph/GEPSNONPILOT/Tender/SplashBidNoticeAbstractUI.aspx?menuIndex=3&amp;refID=7050120&amp;Result=3","7050120")</f>
        <v>0</v>
      </c>
      <c r="B13112" t="s">
        <v>1137</v>
      </c>
      <c r="C13112" t="s">
        <v>16055</v>
      </c>
      <c r="D13112" t="s">
        <v>18175</v>
      </c>
      <c r="E13112" t="s">
        <v>29541</v>
      </c>
      <c r="F13112" t="s">
        <v>31362</v>
      </c>
      <c r="G13112" t="s">
        <v>31369</v>
      </c>
      <c r="H13112" t="s">
        <v>31378</v>
      </c>
      <c r="I13112" t="s">
        <v>31386</v>
      </c>
      <c r="J13112" t="s">
        <v>39478</v>
      </c>
      <c r="K13112" t="s">
        <v>40682</v>
      </c>
      <c r="M13112" t="s">
        <v>42145</v>
      </c>
      <c r="N13112" t="s">
        <v>44905</v>
      </c>
      <c r="O13112" t="s">
        <v>44906</v>
      </c>
      <c r="P13112">
        <v>0</v>
      </c>
      <c r="Q13112">
        <v>2</v>
      </c>
      <c r="R13112" t="s">
        <v>44922</v>
      </c>
      <c r="S13112" t="s">
        <v>45639</v>
      </c>
      <c r="T13112" t="s">
        <v>46470</v>
      </c>
      <c r="U13112" t="s">
        <v>57394</v>
      </c>
      <c r="W13112" t="s">
        <v>42145</v>
      </c>
      <c r="X13112" t="s">
        <v>44923</v>
      </c>
    </row>
    <row r="13113" spans="1:24">
      <c r="A13113">
        <f>HYPERLINK("https://www.philgeps.gov.ph/GEPSNONPILOT/Tender/SplashBidNoticeAbstractUI.aspx?menuIndex=3&amp;refID=7049879&amp;Result=3","7049879")</f>
        <v>0</v>
      </c>
      <c r="B13113" t="s">
        <v>3326</v>
      </c>
      <c r="C13113" t="s">
        <v>16056</v>
      </c>
      <c r="D13113" t="s">
        <v>18171</v>
      </c>
      <c r="E13113" t="s">
        <v>29542</v>
      </c>
      <c r="F13113" t="s">
        <v>31362</v>
      </c>
      <c r="G13113" t="s">
        <v>31369</v>
      </c>
      <c r="H13113" t="s">
        <v>15799</v>
      </c>
      <c r="I13113" t="s">
        <v>3815</v>
      </c>
      <c r="J13113" t="s">
        <v>31564</v>
      </c>
      <c r="K13113" t="s">
        <v>40666</v>
      </c>
      <c r="M13113" t="s">
        <v>44622</v>
      </c>
      <c r="N13113" t="s">
        <v>44905</v>
      </c>
      <c r="O13113" t="s">
        <v>44906</v>
      </c>
      <c r="P13113">
        <v>0</v>
      </c>
      <c r="Q13113">
        <v>0</v>
      </c>
      <c r="R13113" t="s">
        <v>44922</v>
      </c>
      <c r="S13113" t="s">
        <v>45639</v>
      </c>
      <c r="T13113" t="s">
        <v>46426</v>
      </c>
      <c r="U13113" t="s">
        <v>57395</v>
      </c>
      <c r="W13113" t="s">
        <v>44622</v>
      </c>
      <c r="X13113" t="s">
        <v>44923</v>
      </c>
    </row>
    <row r="13114" spans="1:24">
      <c r="A13114">
        <f>HYPERLINK("https://www.philgeps.gov.ph/GEPSNONPILOT/Tender/SplashBidNoticeAbstractUI.aspx?menuIndex=3&amp;refID=7049413&amp;Result=3","7049413")</f>
        <v>0</v>
      </c>
      <c r="B13114" t="s">
        <v>3280</v>
      </c>
      <c r="C13114" t="s">
        <v>16057</v>
      </c>
      <c r="D13114" t="s">
        <v>18110</v>
      </c>
      <c r="E13114" t="s">
        <v>29543</v>
      </c>
      <c r="F13114" t="s">
        <v>31362</v>
      </c>
      <c r="G13114" t="s">
        <v>31369</v>
      </c>
      <c r="H13114" t="s">
        <v>31378</v>
      </c>
      <c r="I13114" t="s">
        <v>31386</v>
      </c>
      <c r="J13114" t="s">
        <v>39479</v>
      </c>
      <c r="K13114" t="s">
        <v>40691</v>
      </c>
      <c r="M13114" t="s">
        <v>44565</v>
      </c>
      <c r="N13114" t="s">
        <v>44905</v>
      </c>
      <c r="O13114" t="s">
        <v>44906</v>
      </c>
      <c r="Q13114">
        <v>21</v>
      </c>
      <c r="R13114" t="s">
        <v>44922</v>
      </c>
      <c r="S13114" t="s">
        <v>45664</v>
      </c>
      <c r="T13114" t="s">
        <v>46447</v>
      </c>
      <c r="U13114" t="s">
        <v>57109</v>
      </c>
      <c r="W13114" t="s">
        <v>44565</v>
      </c>
      <c r="X13114" t="s">
        <v>44924</v>
      </c>
    </row>
    <row r="13115" spans="1:24">
      <c r="A13115">
        <f>HYPERLINK("https://www.philgeps.gov.ph/GEPSNONPILOT/Tender/SplashBidNoticeAbstractUI.aspx?menuIndex=3&amp;refID=7049843&amp;Result=3","7049843")</f>
        <v>0</v>
      </c>
      <c r="B13115" t="s">
        <v>2680</v>
      </c>
      <c r="C13115" t="s">
        <v>16058</v>
      </c>
      <c r="D13115" t="s">
        <v>18147</v>
      </c>
      <c r="E13115" t="s">
        <v>22984</v>
      </c>
      <c r="F13115" t="s">
        <v>31362</v>
      </c>
      <c r="G13115" t="s">
        <v>31369</v>
      </c>
      <c r="H13115" t="s">
        <v>15799</v>
      </c>
      <c r="I13115" t="s">
        <v>31385</v>
      </c>
      <c r="J13115" t="s">
        <v>39480</v>
      </c>
      <c r="K13115" t="s">
        <v>40666</v>
      </c>
      <c r="M13115" t="s">
        <v>43866</v>
      </c>
      <c r="N13115" t="s">
        <v>44905</v>
      </c>
      <c r="O13115" t="s">
        <v>44906</v>
      </c>
      <c r="P13115">
        <v>0</v>
      </c>
      <c r="Q13115">
        <v>4</v>
      </c>
      <c r="R13115" t="s">
        <v>44922</v>
      </c>
      <c r="S13115" t="s">
        <v>45639</v>
      </c>
      <c r="T13115" t="s">
        <v>46447</v>
      </c>
      <c r="U13115" t="s">
        <v>57396</v>
      </c>
      <c r="W13115" t="s">
        <v>43866</v>
      </c>
      <c r="X13115" t="s">
        <v>44923</v>
      </c>
    </row>
    <row r="13116" spans="1:24">
      <c r="A13116">
        <f>HYPERLINK("https://www.philgeps.gov.ph/GEPSNONPILOT/Tender/SplashBidNoticeAbstractUI.aspx?menuIndex=3&amp;refID=7050093&amp;Result=3","7050093")</f>
        <v>0</v>
      </c>
      <c r="B13116" t="s">
        <v>406</v>
      </c>
      <c r="C13116" t="s">
        <v>16059</v>
      </c>
      <c r="D13116" t="s">
        <v>18125</v>
      </c>
      <c r="E13116" t="s">
        <v>29544</v>
      </c>
      <c r="F13116" t="s">
        <v>31362</v>
      </c>
      <c r="G13116" t="s">
        <v>31369</v>
      </c>
      <c r="H13116" t="s">
        <v>15799</v>
      </c>
      <c r="I13116" t="s">
        <v>31382</v>
      </c>
      <c r="J13116" t="s">
        <v>33482</v>
      </c>
      <c r="K13116" t="s">
        <v>40662</v>
      </c>
      <c r="M13116" t="s">
        <v>41356</v>
      </c>
      <c r="N13116" t="s">
        <v>44905</v>
      </c>
      <c r="O13116" t="s">
        <v>44906</v>
      </c>
      <c r="Q13116">
        <v>46</v>
      </c>
      <c r="R13116" t="s">
        <v>44922</v>
      </c>
      <c r="S13116" t="s">
        <v>45665</v>
      </c>
      <c r="T13116" t="s">
        <v>46432</v>
      </c>
      <c r="U13116" t="s">
        <v>56247</v>
      </c>
      <c r="W13116" t="s">
        <v>41356</v>
      </c>
      <c r="X13116" t="s">
        <v>44923</v>
      </c>
    </row>
    <row r="13117" spans="1:24">
      <c r="A13117">
        <f>HYPERLINK("https://www.philgeps.gov.ph/GEPSNONPILOT/Tender/SplashBidNoticeAbstractUI.aspx?menuIndex=3&amp;refID=7050101&amp;Result=3","7050101")</f>
        <v>0</v>
      </c>
      <c r="B13117" t="s">
        <v>1137</v>
      </c>
      <c r="C13117" t="s">
        <v>16060</v>
      </c>
      <c r="D13117" t="s">
        <v>18175</v>
      </c>
      <c r="E13117" t="s">
        <v>29545</v>
      </c>
      <c r="F13117" t="s">
        <v>31362</v>
      </c>
      <c r="G13117" t="s">
        <v>31369</v>
      </c>
      <c r="H13117" t="s">
        <v>31378</v>
      </c>
      <c r="I13117" t="s">
        <v>31386</v>
      </c>
      <c r="J13117" t="s">
        <v>39481</v>
      </c>
      <c r="K13117" t="s">
        <v>40682</v>
      </c>
      <c r="M13117" t="s">
        <v>42145</v>
      </c>
      <c r="N13117" t="s">
        <v>44905</v>
      </c>
      <c r="O13117" t="s">
        <v>44906</v>
      </c>
      <c r="P13117">
        <v>0</v>
      </c>
      <c r="Q13117">
        <v>2</v>
      </c>
      <c r="R13117" t="s">
        <v>44922</v>
      </c>
      <c r="S13117" t="s">
        <v>45639</v>
      </c>
      <c r="T13117" t="s">
        <v>46470</v>
      </c>
      <c r="U13117" t="s">
        <v>57394</v>
      </c>
      <c r="W13117" t="s">
        <v>42145</v>
      </c>
      <c r="X13117" t="s">
        <v>44923</v>
      </c>
    </row>
    <row r="13118" spans="1:24">
      <c r="A13118">
        <f>HYPERLINK("https://www.philgeps.gov.ph/GEPSNONPILOT/Tender/SplashBidNoticeAbstractUI.aspx?menuIndex=3&amp;refID=7050068&amp;Result=3","7050068")</f>
        <v>0</v>
      </c>
      <c r="B13118" t="s">
        <v>2903</v>
      </c>
      <c r="C13118" t="s">
        <v>16061</v>
      </c>
      <c r="D13118" t="s">
        <v>18147</v>
      </c>
      <c r="E13118" t="s">
        <v>29546</v>
      </c>
      <c r="F13118" t="s">
        <v>31362</v>
      </c>
      <c r="G13118" t="s">
        <v>31369</v>
      </c>
      <c r="H13118" t="s">
        <v>15799</v>
      </c>
      <c r="I13118" t="s">
        <v>31409</v>
      </c>
      <c r="J13118" t="s">
        <v>32390</v>
      </c>
      <c r="K13118" t="s">
        <v>40679</v>
      </c>
      <c r="M13118" t="s">
        <v>44118</v>
      </c>
      <c r="N13118" t="s">
        <v>44905</v>
      </c>
      <c r="O13118" t="s">
        <v>44906</v>
      </c>
      <c r="P13118">
        <v>0</v>
      </c>
      <c r="Q13118">
        <v>12</v>
      </c>
      <c r="R13118" t="s">
        <v>44922</v>
      </c>
      <c r="S13118" t="s">
        <v>45639</v>
      </c>
      <c r="T13118" t="s">
        <v>46560</v>
      </c>
      <c r="U13118" t="s">
        <v>57397</v>
      </c>
      <c r="W13118" t="s">
        <v>44118</v>
      </c>
      <c r="X13118" t="s">
        <v>44923</v>
      </c>
    </row>
    <row r="13119" spans="1:24">
      <c r="A13119">
        <f>HYPERLINK("https://www.philgeps.gov.ph/GEPSNONPILOT/Tender/SplashBidNoticeAbstractUI.aspx?menuIndex=3&amp;refID=7045729&amp;Result=3","7045729")</f>
        <v>0</v>
      </c>
      <c r="B13119" t="s">
        <v>354</v>
      </c>
      <c r="C13119" t="s">
        <v>16062</v>
      </c>
      <c r="D13119" t="s">
        <v>18141</v>
      </c>
      <c r="E13119" t="s">
        <v>29547</v>
      </c>
      <c r="F13119" t="s">
        <v>31362</v>
      </c>
      <c r="G13119" t="s">
        <v>31369</v>
      </c>
      <c r="H13119" t="s">
        <v>15799</v>
      </c>
      <c r="I13119" t="s">
        <v>31409</v>
      </c>
      <c r="J13119" t="s">
        <v>39482</v>
      </c>
      <c r="K13119" t="s">
        <v>40665</v>
      </c>
      <c r="M13119" t="s">
        <v>41301</v>
      </c>
      <c r="N13119" t="s">
        <v>44905</v>
      </c>
      <c r="O13119" t="s">
        <v>44906</v>
      </c>
      <c r="P13119">
        <v>0</v>
      </c>
      <c r="Q13119">
        <v>3</v>
      </c>
      <c r="R13119" t="s">
        <v>44922</v>
      </c>
      <c r="S13119" t="s">
        <v>45639</v>
      </c>
      <c r="T13119" t="s">
        <v>46418</v>
      </c>
      <c r="U13119" t="s">
        <v>57398</v>
      </c>
      <c r="W13119" t="s">
        <v>41301</v>
      </c>
      <c r="X13119" t="s">
        <v>44925</v>
      </c>
    </row>
    <row r="13120" spans="1:24">
      <c r="A13120">
        <f>HYPERLINK("https://www.philgeps.gov.ph/GEPSNONPILOT/Tender/SplashBidNoticeAbstractUI.aspx?menuIndex=3&amp;refID=7050041&amp;Result=3","7050041")</f>
        <v>0</v>
      </c>
      <c r="B13120" t="s">
        <v>3238</v>
      </c>
      <c r="C13120" t="s">
        <v>16063</v>
      </c>
      <c r="D13120" t="s">
        <v>18131</v>
      </c>
      <c r="E13120" t="s">
        <v>29548</v>
      </c>
      <c r="F13120" t="s">
        <v>31362</v>
      </c>
      <c r="G13120" t="s">
        <v>31369</v>
      </c>
      <c r="H13120" t="s">
        <v>15799</v>
      </c>
      <c r="I13120" t="s">
        <v>7719</v>
      </c>
      <c r="J13120" t="s">
        <v>32941</v>
      </c>
      <c r="K13120" t="s">
        <v>40662</v>
      </c>
      <c r="M13120" t="s">
        <v>44515</v>
      </c>
      <c r="N13120" t="s">
        <v>44905</v>
      </c>
      <c r="O13120" t="s">
        <v>44906</v>
      </c>
      <c r="Q13120">
        <v>16</v>
      </c>
      <c r="R13120" t="s">
        <v>44922</v>
      </c>
      <c r="S13120" t="s">
        <v>45666</v>
      </c>
      <c r="T13120" t="s">
        <v>46652</v>
      </c>
      <c r="U13120" t="s">
        <v>57399</v>
      </c>
      <c r="V13120" t="s">
        <v>60530</v>
      </c>
      <c r="W13120" t="s">
        <v>44515</v>
      </c>
      <c r="X13120" t="s">
        <v>44923</v>
      </c>
    </row>
    <row r="13121" spans="1:24">
      <c r="A13121">
        <f>HYPERLINK("https://www.philgeps.gov.ph/GEPSNONPILOT/Tender/SplashBidNoticeAbstractUI.aspx?menuIndex=3&amp;refID=7050107&amp;Result=3","7050107")</f>
        <v>0</v>
      </c>
      <c r="B13121" t="s">
        <v>1549</v>
      </c>
      <c r="C13121" t="s">
        <v>16064</v>
      </c>
      <c r="D13121" t="s">
        <v>18113</v>
      </c>
      <c r="E13121" t="s">
        <v>29549</v>
      </c>
      <c r="F13121" t="s">
        <v>31362</v>
      </c>
      <c r="G13121" t="s">
        <v>31369</v>
      </c>
      <c r="H13121" t="s">
        <v>31378</v>
      </c>
      <c r="I13121" t="s">
        <v>31386</v>
      </c>
      <c r="J13121" t="s">
        <v>39483</v>
      </c>
      <c r="K13121" t="s">
        <v>40742</v>
      </c>
      <c r="M13121" t="s">
        <v>43488</v>
      </c>
      <c r="N13121" t="s">
        <v>44905</v>
      </c>
      <c r="O13121" t="s">
        <v>44906</v>
      </c>
      <c r="P13121">
        <v>0</v>
      </c>
      <c r="Q13121">
        <v>0</v>
      </c>
      <c r="R13121" t="s">
        <v>44922</v>
      </c>
      <c r="S13121" t="s">
        <v>45639</v>
      </c>
      <c r="T13121" t="s">
        <v>46493</v>
      </c>
      <c r="U13121" t="s">
        <v>57400</v>
      </c>
      <c r="W13121" t="s">
        <v>43488</v>
      </c>
      <c r="X13121" t="s">
        <v>44923</v>
      </c>
    </row>
    <row r="13122" spans="1:24">
      <c r="A13122">
        <f>HYPERLINK("https://www.philgeps.gov.ph/GEPSNONPILOT/Tender/SplashBidNoticeAbstractUI.aspx?menuIndex=3&amp;refID=7049903&amp;Result=3","7049903")</f>
        <v>0</v>
      </c>
      <c r="B13122" t="s">
        <v>321</v>
      </c>
      <c r="C13122" t="s">
        <v>16065</v>
      </c>
      <c r="D13122" t="s">
        <v>18109</v>
      </c>
      <c r="E13122" t="s">
        <v>29550</v>
      </c>
      <c r="F13122" t="s">
        <v>31362</v>
      </c>
      <c r="G13122" t="s">
        <v>31369</v>
      </c>
      <c r="H13122" t="s">
        <v>31379</v>
      </c>
      <c r="I13122" t="s">
        <v>12925</v>
      </c>
      <c r="J13122" t="s">
        <v>39484</v>
      </c>
      <c r="K13122" t="s">
        <v>40877</v>
      </c>
      <c r="M13122" t="s">
        <v>41267</v>
      </c>
      <c r="N13122" t="s">
        <v>44905</v>
      </c>
      <c r="O13122" t="s">
        <v>44906</v>
      </c>
      <c r="Q13122">
        <v>2</v>
      </c>
      <c r="R13122" t="s">
        <v>44922</v>
      </c>
      <c r="S13122" t="s">
        <v>45667</v>
      </c>
      <c r="T13122" t="s">
        <v>46426</v>
      </c>
      <c r="U13122" t="s">
        <v>47466</v>
      </c>
      <c r="V13122" t="s">
        <v>59161</v>
      </c>
      <c r="W13122" t="s">
        <v>41267</v>
      </c>
      <c r="X13122" t="s">
        <v>44923</v>
      </c>
    </row>
    <row r="13123" spans="1:24">
      <c r="A13123">
        <f>HYPERLINK("https://www.philgeps.gov.ph/GEPSNONPILOT/Tender/SplashBidNoticeAbstractUI.aspx?menuIndex=3&amp;refID=7050030&amp;Result=3","7050030")</f>
        <v>0</v>
      </c>
      <c r="B13123" t="s">
        <v>575</v>
      </c>
      <c r="C13123" t="s">
        <v>16066</v>
      </c>
      <c r="D13123" t="s">
        <v>18108</v>
      </c>
      <c r="E13123" t="s">
        <v>29551</v>
      </c>
      <c r="F13123" t="s">
        <v>31362</v>
      </c>
      <c r="G13123" t="s">
        <v>31369</v>
      </c>
      <c r="H13123" t="s">
        <v>15799</v>
      </c>
      <c r="I13123" t="s">
        <v>31409</v>
      </c>
      <c r="J13123" t="s">
        <v>39485</v>
      </c>
      <c r="K13123" t="s">
        <v>40665</v>
      </c>
      <c r="M13123" t="s">
        <v>41531</v>
      </c>
      <c r="N13123" t="s">
        <v>44905</v>
      </c>
      <c r="O13123" t="s">
        <v>44906</v>
      </c>
      <c r="P13123">
        <v>0</v>
      </c>
      <c r="Q13123">
        <v>13</v>
      </c>
      <c r="R13123" t="s">
        <v>44922</v>
      </c>
      <c r="S13123" t="s">
        <v>45639</v>
      </c>
      <c r="T13123" t="s">
        <v>46549</v>
      </c>
      <c r="U13123" t="s">
        <v>57401</v>
      </c>
      <c r="W13123" t="s">
        <v>41531</v>
      </c>
      <c r="X13123" t="s">
        <v>44923</v>
      </c>
    </row>
    <row r="13124" spans="1:24">
      <c r="A13124">
        <f>HYPERLINK("https://www.philgeps.gov.ph/GEPSNONPILOT/Tender/SplashBidNoticeAbstractUI.aspx?menuIndex=3&amp;refID=7050086&amp;Result=3","7050086")</f>
        <v>0</v>
      </c>
      <c r="B13124" t="s">
        <v>3238</v>
      </c>
      <c r="C13124" t="s">
        <v>16067</v>
      </c>
      <c r="D13124" t="s">
        <v>18131</v>
      </c>
      <c r="E13124" t="s">
        <v>29552</v>
      </c>
      <c r="F13124" t="s">
        <v>31362</v>
      </c>
      <c r="G13124" t="s">
        <v>31369</v>
      </c>
      <c r="H13124" t="s">
        <v>15799</v>
      </c>
      <c r="I13124" t="s">
        <v>31422</v>
      </c>
      <c r="J13124" t="s">
        <v>39486</v>
      </c>
      <c r="K13124" t="s">
        <v>40662</v>
      </c>
      <c r="M13124" t="s">
        <v>44515</v>
      </c>
      <c r="N13124" t="s">
        <v>44905</v>
      </c>
      <c r="O13124" t="s">
        <v>44906</v>
      </c>
      <c r="Q13124">
        <v>9</v>
      </c>
      <c r="R13124" t="s">
        <v>44922</v>
      </c>
      <c r="S13124" t="s">
        <v>45668</v>
      </c>
      <c r="T13124" t="s">
        <v>46401</v>
      </c>
      <c r="U13124" t="s">
        <v>57402</v>
      </c>
      <c r="V13124" t="s">
        <v>60459</v>
      </c>
      <c r="W13124" t="s">
        <v>44515</v>
      </c>
      <c r="X13124" t="s">
        <v>44923</v>
      </c>
    </row>
    <row r="13125" spans="1:24">
      <c r="A13125">
        <f>HYPERLINK("https://www.philgeps.gov.ph/GEPSNONPILOT/Tender/SplashBidNoticeAbstractUI.aspx?menuIndex=3&amp;refID=7050255&amp;Result=3","7050255")</f>
        <v>0</v>
      </c>
      <c r="B13125" t="s">
        <v>670</v>
      </c>
      <c r="C13125" t="s">
        <v>16068</v>
      </c>
      <c r="D13125" t="s">
        <v>18152</v>
      </c>
      <c r="E13125" t="s">
        <v>29553</v>
      </c>
      <c r="F13125" t="s">
        <v>31362</v>
      </c>
      <c r="G13125" t="s">
        <v>31369</v>
      </c>
      <c r="H13125" t="s">
        <v>15799</v>
      </c>
      <c r="I13125" t="s">
        <v>31409</v>
      </c>
      <c r="J13125" t="s">
        <v>39487</v>
      </c>
      <c r="K13125" t="s">
        <v>40665</v>
      </c>
      <c r="M13125" t="s">
        <v>41632</v>
      </c>
      <c r="N13125" t="s">
        <v>44905</v>
      </c>
      <c r="O13125" t="s">
        <v>44906</v>
      </c>
      <c r="P13125">
        <v>0</v>
      </c>
      <c r="Q13125">
        <v>4</v>
      </c>
      <c r="R13125" t="s">
        <v>44922</v>
      </c>
      <c r="S13125" t="s">
        <v>45639</v>
      </c>
      <c r="T13125" t="s">
        <v>46435</v>
      </c>
      <c r="U13125" t="s">
        <v>48229</v>
      </c>
      <c r="W13125" t="s">
        <v>41632</v>
      </c>
      <c r="X13125" t="s">
        <v>44923</v>
      </c>
    </row>
    <row r="13126" spans="1:24">
      <c r="A13126">
        <f>HYPERLINK("https://www.philgeps.gov.ph/GEPSNONPILOT/Tender/SplashBidNoticeAbstractUI.aspx?menuIndex=3&amp;refID=7050080&amp;Result=3","7050080")</f>
        <v>0</v>
      </c>
      <c r="B13126" t="s">
        <v>1137</v>
      </c>
      <c r="C13126" t="s">
        <v>16069</v>
      </c>
      <c r="D13126" t="s">
        <v>18175</v>
      </c>
      <c r="E13126" t="s">
        <v>29554</v>
      </c>
      <c r="F13126" t="s">
        <v>31362</v>
      </c>
      <c r="G13126" t="s">
        <v>31369</v>
      </c>
      <c r="H13126" t="s">
        <v>31378</v>
      </c>
      <c r="I13126" t="s">
        <v>31386</v>
      </c>
      <c r="J13126" t="s">
        <v>39488</v>
      </c>
      <c r="K13126" t="s">
        <v>40679</v>
      </c>
      <c r="M13126" t="s">
        <v>42145</v>
      </c>
      <c r="N13126" t="s">
        <v>44905</v>
      </c>
      <c r="O13126" t="s">
        <v>44906</v>
      </c>
      <c r="P13126">
        <v>0</v>
      </c>
      <c r="Q13126">
        <v>2</v>
      </c>
      <c r="R13126" t="s">
        <v>44922</v>
      </c>
      <c r="S13126" t="s">
        <v>45639</v>
      </c>
      <c r="T13126" t="s">
        <v>46470</v>
      </c>
      <c r="U13126" t="s">
        <v>57394</v>
      </c>
      <c r="W13126" t="s">
        <v>42145</v>
      </c>
      <c r="X13126" t="s">
        <v>44923</v>
      </c>
    </row>
    <row r="13127" spans="1:24">
      <c r="A13127">
        <f>HYPERLINK("https://www.philgeps.gov.ph/GEPSNONPILOT/Tender/SplashBidNoticeAbstractUI.aspx?menuIndex=3&amp;refID=7050298&amp;Result=3","7050298")</f>
        <v>0</v>
      </c>
      <c r="B13127" t="s">
        <v>3238</v>
      </c>
      <c r="C13127" t="s">
        <v>16070</v>
      </c>
      <c r="D13127" t="s">
        <v>18131</v>
      </c>
      <c r="E13127" t="s">
        <v>29555</v>
      </c>
      <c r="F13127" t="s">
        <v>31362</v>
      </c>
      <c r="G13127" t="s">
        <v>31369</v>
      </c>
      <c r="H13127" t="s">
        <v>15799</v>
      </c>
      <c r="I13127" t="s">
        <v>7719</v>
      </c>
      <c r="J13127" t="s">
        <v>33372</v>
      </c>
      <c r="K13127" t="s">
        <v>40662</v>
      </c>
      <c r="M13127" t="s">
        <v>44515</v>
      </c>
      <c r="N13127" t="s">
        <v>44905</v>
      </c>
      <c r="O13127" t="s">
        <v>44906</v>
      </c>
      <c r="Q13127">
        <v>14</v>
      </c>
      <c r="R13127" t="s">
        <v>44922</v>
      </c>
      <c r="S13127" t="s">
        <v>45097</v>
      </c>
      <c r="T13127" t="s">
        <v>46652</v>
      </c>
      <c r="U13127" t="s">
        <v>57403</v>
      </c>
      <c r="V13127" t="s">
        <v>60531</v>
      </c>
      <c r="W13127" t="s">
        <v>44515</v>
      </c>
      <c r="X13127" t="s">
        <v>44923</v>
      </c>
    </row>
    <row r="13128" spans="1:24">
      <c r="A13128">
        <f>HYPERLINK("https://www.philgeps.gov.ph/GEPSNONPILOT/Tender/SplashBidNoticeAbstractUI.aspx?menuIndex=3&amp;refID=7050039&amp;Result=3","7050039")</f>
        <v>0</v>
      </c>
      <c r="B13128" t="s">
        <v>2341</v>
      </c>
      <c r="C13128" t="s">
        <v>16071</v>
      </c>
      <c r="D13128" t="s">
        <v>18154</v>
      </c>
      <c r="E13128" t="s">
        <v>29556</v>
      </c>
      <c r="F13128" t="s">
        <v>31362</v>
      </c>
      <c r="G13128" t="s">
        <v>31369</v>
      </c>
      <c r="H13128" t="s">
        <v>31378</v>
      </c>
      <c r="I13128" t="s">
        <v>31386</v>
      </c>
      <c r="J13128" t="s">
        <v>39489</v>
      </c>
      <c r="K13128" t="s">
        <v>40725</v>
      </c>
      <c r="M13128" t="s">
        <v>43483</v>
      </c>
      <c r="N13128" t="s">
        <v>44905</v>
      </c>
      <c r="O13128" t="s">
        <v>44906</v>
      </c>
      <c r="Q13128">
        <v>1</v>
      </c>
      <c r="R13128" t="s">
        <v>44922</v>
      </c>
      <c r="S13128" t="s">
        <v>45669</v>
      </c>
      <c r="T13128" t="s">
        <v>46483</v>
      </c>
      <c r="U13128" t="s">
        <v>57404</v>
      </c>
      <c r="W13128" t="s">
        <v>43483</v>
      </c>
      <c r="X13128" t="s">
        <v>44923</v>
      </c>
    </row>
    <row r="13129" spans="1:24">
      <c r="A13129">
        <f>HYPERLINK("https://www.philgeps.gov.ph/GEPSNONPILOT/Tender/SplashBidNoticeAbstractUI.aspx?menuIndex=3&amp;refID=7050295&amp;Result=3","7050295")</f>
        <v>0</v>
      </c>
      <c r="B13129" t="s">
        <v>175</v>
      </c>
      <c r="C13129" t="s">
        <v>16072</v>
      </c>
      <c r="D13129" t="s">
        <v>18153</v>
      </c>
      <c r="E13129" t="s">
        <v>29557</v>
      </c>
      <c r="F13129" t="s">
        <v>31362</v>
      </c>
      <c r="G13129" t="s">
        <v>31369</v>
      </c>
      <c r="H13129" t="s">
        <v>31378</v>
      </c>
      <c r="I13129" t="s">
        <v>31386</v>
      </c>
      <c r="J13129" t="s">
        <v>39490</v>
      </c>
      <c r="K13129" t="s">
        <v>40686</v>
      </c>
      <c r="L13129" t="s">
        <v>175</v>
      </c>
      <c r="M13129" t="s">
        <v>41113</v>
      </c>
      <c r="N13129" t="s">
        <v>44905</v>
      </c>
      <c r="O13129" t="s">
        <v>44906</v>
      </c>
      <c r="P13129">
        <v>0</v>
      </c>
      <c r="Q13129">
        <v>0</v>
      </c>
      <c r="R13129" t="s">
        <v>44922</v>
      </c>
      <c r="S13129" t="s">
        <v>45639</v>
      </c>
      <c r="T13129" t="s">
        <v>46507</v>
      </c>
      <c r="U13129" t="s">
        <v>57405</v>
      </c>
      <c r="V13129" t="s">
        <v>60203</v>
      </c>
      <c r="W13129" t="s">
        <v>41113</v>
      </c>
      <c r="X13129" t="s">
        <v>44923</v>
      </c>
    </row>
    <row r="13130" spans="1:24">
      <c r="A13130">
        <f>HYPERLINK("https://www.philgeps.gov.ph/GEPSNONPILOT/Tender/SplashBidNoticeAbstractUI.aspx?menuIndex=3&amp;refID=7050017&amp;Result=3","7050017")</f>
        <v>0</v>
      </c>
      <c r="B13130" t="s">
        <v>575</v>
      </c>
      <c r="C13130" t="s">
        <v>16073</v>
      </c>
      <c r="D13130" t="s">
        <v>18108</v>
      </c>
      <c r="E13130" t="s">
        <v>29558</v>
      </c>
      <c r="F13130" t="s">
        <v>31362</v>
      </c>
      <c r="G13130" t="s">
        <v>31369</v>
      </c>
      <c r="H13130" t="s">
        <v>15799</v>
      </c>
      <c r="I13130" t="s">
        <v>31409</v>
      </c>
      <c r="J13130" t="s">
        <v>38072</v>
      </c>
      <c r="K13130" t="s">
        <v>40665</v>
      </c>
      <c r="M13130" t="s">
        <v>41531</v>
      </c>
      <c r="N13130" t="s">
        <v>44905</v>
      </c>
      <c r="O13130" t="s">
        <v>44906</v>
      </c>
      <c r="P13130">
        <v>0</v>
      </c>
      <c r="Q13130">
        <v>11</v>
      </c>
      <c r="R13130" t="s">
        <v>44922</v>
      </c>
      <c r="S13130" t="s">
        <v>45639</v>
      </c>
      <c r="T13130" t="s">
        <v>46549</v>
      </c>
      <c r="U13130" t="s">
        <v>57406</v>
      </c>
      <c r="W13130" t="s">
        <v>41531</v>
      </c>
      <c r="X13130" t="s">
        <v>44923</v>
      </c>
    </row>
    <row r="13131" spans="1:24">
      <c r="A13131">
        <f>HYPERLINK("https://www.philgeps.gov.ph/GEPSNONPILOT/Tender/SplashBidNoticeAbstractUI.aspx?menuIndex=3&amp;refID=7049428&amp;Result=3","7049428")</f>
        <v>0</v>
      </c>
      <c r="B13131" t="s">
        <v>3280</v>
      </c>
      <c r="C13131" t="s">
        <v>16074</v>
      </c>
      <c r="D13131" t="s">
        <v>18110</v>
      </c>
      <c r="E13131" t="s">
        <v>29559</v>
      </c>
      <c r="F13131" t="s">
        <v>31362</v>
      </c>
      <c r="G13131" t="s">
        <v>31369</v>
      </c>
      <c r="H13131" t="s">
        <v>31378</v>
      </c>
      <c r="I13131" t="s">
        <v>31386</v>
      </c>
      <c r="J13131" t="s">
        <v>39491</v>
      </c>
      <c r="K13131" t="s">
        <v>40691</v>
      </c>
      <c r="M13131" t="s">
        <v>44565</v>
      </c>
      <c r="N13131" t="s">
        <v>44905</v>
      </c>
      <c r="O13131" t="s">
        <v>44906</v>
      </c>
      <c r="Q13131">
        <v>20</v>
      </c>
      <c r="R13131" t="s">
        <v>44922</v>
      </c>
      <c r="S13131" t="s">
        <v>45670</v>
      </c>
      <c r="T13131" t="s">
        <v>46447</v>
      </c>
      <c r="U13131" t="s">
        <v>57109</v>
      </c>
      <c r="W13131" t="s">
        <v>44565</v>
      </c>
      <c r="X13131" t="s">
        <v>44924</v>
      </c>
    </row>
    <row r="13132" spans="1:24">
      <c r="A13132">
        <f>HYPERLINK("https://www.philgeps.gov.ph/GEPSNONPILOT/Tender/SplashBidNoticeAbstractUI.aspx?menuIndex=3&amp;refID=7050269&amp;Result=3","7050269")</f>
        <v>0</v>
      </c>
      <c r="B13132" t="s">
        <v>387</v>
      </c>
      <c r="C13132" t="s">
        <v>16075</v>
      </c>
      <c r="D13132" t="s">
        <v>18152</v>
      </c>
      <c r="E13132" t="s">
        <v>29560</v>
      </c>
      <c r="F13132" t="s">
        <v>31362</v>
      </c>
      <c r="G13132" t="s">
        <v>31369</v>
      </c>
      <c r="H13132" t="s">
        <v>15799</v>
      </c>
      <c r="I13132" t="s">
        <v>3815</v>
      </c>
      <c r="J13132" t="s">
        <v>39492</v>
      </c>
      <c r="K13132" t="s">
        <v>40665</v>
      </c>
      <c r="M13132" t="s">
        <v>41335</v>
      </c>
      <c r="N13132" t="s">
        <v>44905</v>
      </c>
      <c r="O13132" t="s">
        <v>44906</v>
      </c>
      <c r="P13132">
        <v>0</v>
      </c>
      <c r="Q13132">
        <v>1</v>
      </c>
      <c r="R13132" t="s">
        <v>44922</v>
      </c>
      <c r="S13132" t="s">
        <v>45639</v>
      </c>
      <c r="T13132" t="s">
        <v>46426</v>
      </c>
      <c r="U13132" t="s">
        <v>47597</v>
      </c>
      <c r="V13132" t="s">
        <v>59153</v>
      </c>
      <c r="W13132" t="s">
        <v>41335</v>
      </c>
      <c r="X13132" t="s">
        <v>44923</v>
      </c>
    </row>
    <row r="13133" spans="1:24">
      <c r="A13133">
        <f>HYPERLINK("https://www.philgeps.gov.ph/GEPSNONPILOT/Tender/SplashBidNoticeAbstractUI.aspx?menuIndex=3&amp;refID=7050110&amp;Result=3","7050110")</f>
        <v>0</v>
      </c>
      <c r="B13133" t="s">
        <v>3238</v>
      </c>
      <c r="C13133" t="s">
        <v>16076</v>
      </c>
      <c r="D13133" t="s">
        <v>18131</v>
      </c>
      <c r="E13133" t="s">
        <v>29561</v>
      </c>
      <c r="F13133" t="s">
        <v>31362</v>
      </c>
      <c r="G13133" t="s">
        <v>31369</v>
      </c>
      <c r="H13133" t="s">
        <v>15799</v>
      </c>
      <c r="I13133" t="s">
        <v>7719</v>
      </c>
      <c r="J13133" t="s">
        <v>31625</v>
      </c>
      <c r="K13133" t="s">
        <v>40662</v>
      </c>
      <c r="M13133" t="s">
        <v>44515</v>
      </c>
      <c r="N13133" t="s">
        <v>44905</v>
      </c>
      <c r="O13133" t="s">
        <v>44906</v>
      </c>
      <c r="Q13133">
        <v>10</v>
      </c>
      <c r="R13133" t="s">
        <v>44922</v>
      </c>
      <c r="S13133" t="s">
        <v>45097</v>
      </c>
      <c r="T13133" t="s">
        <v>46652</v>
      </c>
      <c r="U13133" t="s">
        <v>57407</v>
      </c>
      <c r="V13133" t="s">
        <v>60385</v>
      </c>
      <c r="W13133" t="s">
        <v>44515</v>
      </c>
      <c r="X13133" t="s">
        <v>44923</v>
      </c>
    </row>
    <row r="13134" spans="1:24">
      <c r="A13134">
        <f>HYPERLINK("https://www.philgeps.gov.ph/GEPSNONPILOT/Tender/SplashBidNoticeAbstractUI.aspx?menuIndex=3&amp;refID=7050060&amp;Result=3","7050060")</f>
        <v>0</v>
      </c>
      <c r="B13134" t="s">
        <v>1728</v>
      </c>
      <c r="C13134" t="s">
        <v>16077</v>
      </c>
      <c r="D13134" t="s">
        <v>18158</v>
      </c>
      <c r="E13134" t="s">
        <v>19861</v>
      </c>
      <c r="F13134" t="s">
        <v>31362</v>
      </c>
      <c r="G13134" t="s">
        <v>31369</v>
      </c>
      <c r="H13134" t="s">
        <v>15799</v>
      </c>
      <c r="I13134" t="s">
        <v>31456</v>
      </c>
      <c r="J13134" t="s">
        <v>39493</v>
      </c>
      <c r="K13134" t="s">
        <v>40682</v>
      </c>
      <c r="M13134" t="s">
        <v>42799</v>
      </c>
      <c r="N13134" t="s">
        <v>44905</v>
      </c>
      <c r="O13134" t="s">
        <v>44906</v>
      </c>
      <c r="P13134">
        <v>0</v>
      </c>
      <c r="Q13134">
        <v>6</v>
      </c>
      <c r="R13134" t="s">
        <v>44922</v>
      </c>
      <c r="S13134" t="s">
        <v>45639</v>
      </c>
      <c r="T13134" t="s">
        <v>46483</v>
      </c>
      <c r="U13134" t="s">
        <v>57408</v>
      </c>
      <c r="W13134" t="s">
        <v>42799</v>
      </c>
      <c r="X13134" t="s">
        <v>44923</v>
      </c>
    </row>
    <row r="13135" spans="1:24">
      <c r="A13135">
        <f>HYPERLINK("https://www.philgeps.gov.ph/GEPSNONPILOT/Tender/SplashBidNoticeAbstractUI.aspx?menuIndex=3&amp;refID=7050262&amp;Result=3","7050262")</f>
        <v>0</v>
      </c>
      <c r="B13135" t="s">
        <v>3238</v>
      </c>
      <c r="C13135" t="s">
        <v>16078</v>
      </c>
      <c r="D13135" t="s">
        <v>18131</v>
      </c>
      <c r="E13135" t="s">
        <v>29562</v>
      </c>
      <c r="F13135" t="s">
        <v>31362</v>
      </c>
      <c r="G13135" t="s">
        <v>31369</v>
      </c>
      <c r="H13135" t="s">
        <v>15799</v>
      </c>
      <c r="I13135" t="s">
        <v>7719</v>
      </c>
      <c r="J13135" t="s">
        <v>37498</v>
      </c>
      <c r="K13135" t="s">
        <v>40662</v>
      </c>
      <c r="M13135" t="s">
        <v>44515</v>
      </c>
      <c r="N13135" t="s">
        <v>44905</v>
      </c>
      <c r="O13135" t="s">
        <v>44906</v>
      </c>
      <c r="Q13135">
        <v>20</v>
      </c>
      <c r="R13135" t="s">
        <v>44922</v>
      </c>
      <c r="S13135" t="s">
        <v>45671</v>
      </c>
      <c r="T13135" t="s">
        <v>46652</v>
      </c>
      <c r="U13135" t="s">
        <v>57409</v>
      </c>
      <c r="V13135" t="s">
        <v>60532</v>
      </c>
      <c r="W13135" t="s">
        <v>44515</v>
      </c>
      <c r="X13135" t="s">
        <v>44923</v>
      </c>
    </row>
    <row r="13136" spans="1:24">
      <c r="A13136">
        <f>HYPERLINK("https://www.philgeps.gov.ph/GEPSNONPILOT/Tender/SplashBidNoticeAbstractUI.aspx?menuIndex=3&amp;refID=7050229&amp;Result=3","7050229")</f>
        <v>0</v>
      </c>
      <c r="B13136" t="s">
        <v>3238</v>
      </c>
      <c r="C13136" t="s">
        <v>16079</v>
      </c>
      <c r="D13136" t="s">
        <v>18131</v>
      </c>
      <c r="E13136" t="s">
        <v>29563</v>
      </c>
      <c r="F13136" t="s">
        <v>31362</v>
      </c>
      <c r="G13136" t="s">
        <v>31369</v>
      </c>
      <c r="H13136" t="s">
        <v>15799</v>
      </c>
      <c r="I13136" t="s">
        <v>7090</v>
      </c>
      <c r="J13136" t="s">
        <v>39494</v>
      </c>
      <c r="K13136" t="s">
        <v>40662</v>
      </c>
      <c r="M13136" t="s">
        <v>44515</v>
      </c>
      <c r="N13136" t="s">
        <v>44905</v>
      </c>
      <c r="O13136" t="s">
        <v>44906</v>
      </c>
      <c r="Q13136">
        <v>11</v>
      </c>
      <c r="R13136" t="s">
        <v>44922</v>
      </c>
      <c r="S13136" t="s">
        <v>45672</v>
      </c>
      <c r="T13136" t="s">
        <v>46401</v>
      </c>
      <c r="U13136" t="s">
        <v>57410</v>
      </c>
      <c r="V13136" t="s">
        <v>60533</v>
      </c>
      <c r="W13136" t="s">
        <v>44515</v>
      </c>
      <c r="X13136" t="s">
        <v>44923</v>
      </c>
    </row>
    <row r="13137" spans="1:24">
      <c r="A13137">
        <f>HYPERLINK("https://www.philgeps.gov.ph/GEPSNONPILOT/Tender/SplashBidNoticeAbstractUI.aspx?menuIndex=3&amp;refID=7050179&amp;Result=3","7050179")</f>
        <v>0</v>
      </c>
      <c r="B13137" t="s">
        <v>406</v>
      </c>
      <c r="C13137" t="s">
        <v>16080</v>
      </c>
      <c r="E13137" t="s">
        <v>29564</v>
      </c>
      <c r="F13137" t="s">
        <v>31362</v>
      </c>
      <c r="G13137" t="s">
        <v>31369</v>
      </c>
      <c r="H13137" t="s">
        <v>15799</v>
      </c>
      <c r="I13137" t="s">
        <v>31382</v>
      </c>
      <c r="J13137" t="s">
        <v>36067</v>
      </c>
      <c r="K13137" t="s">
        <v>40662</v>
      </c>
      <c r="M13137" t="s">
        <v>41356</v>
      </c>
      <c r="N13137" t="s">
        <v>44905</v>
      </c>
      <c r="O13137" t="s">
        <v>44906</v>
      </c>
      <c r="Q13137">
        <v>43</v>
      </c>
      <c r="R13137" t="s">
        <v>44922</v>
      </c>
      <c r="S13137" t="s">
        <v>45673</v>
      </c>
      <c r="T13137" t="s">
        <v>46432</v>
      </c>
      <c r="U13137" t="s">
        <v>56247</v>
      </c>
      <c r="W13137" t="s">
        <v>41356</v>
      </c>
      <c r="X13137" t="s">
        <v>44923</v>
      </c>
    </row>
    <row r="13138" spans="1:24">
      <c r="A13138">
        <f>HYPERLINK("https://www.philgeps.gov.ph/GEPSNONPILOT/Tender/SplashBidNoticeAbstractUI.aspx?menuIndex=3&amp;refID=7050164&amp;Result=3","7050164")</f>
        <v>0</v>
      </c>
      <c r="B13138" t="s">
        <v>2903</v>
      </c>
      <c r="C13138" t="s">
        <v>16081</v>
      </c>
      <c r="D13138" t="s">
        <v>18147</v>
      </c>
      <c r="E13138" t="s">
        <v>29565</v>
      </c>
      <c r="F13138" t="s">
        <v>31362</v>
      </c>
      <c r="G13138" t="s">
        <v>31369</v>
      </c>
      <c r="H13138" t="s">
        <v>15799</v>
      </c>
      <c r="I13138" t="s">
        <v>31380</v>
      </c>
      <c r="J13138" t="s">
        <v>37741</v>
      </c>
      <c r="K13138" t="s">
        <v>40675</v>
      </c>
      <c r="M13138" t="s">
        <v>44118</v>
      </c>
      <c r="N13138" t="s">
        <v>44905</v>
      </c>
      <c r="O13138" t="s">
        <v>44906</v>
      </c>
      <c r="P13138">
        <v>0</v>
      </c>
      <c r="Q13138">
        <v>2</v>
      </c>
      <c r="R13138" t="s">
        <v>44922</v>
      </c>
      <c r="S13138" t="s">
        <v>45639</v>
      </c>
      <c r="T13138" t="s">
        <v>46560</v>
      </c>
      <c r="U13138" t="s">
        <v>57411</v>
      </c>
      <c r="W13138" t="s">
        <v>44118</v>
      </c>
      <c r="X13138" t="s">
        <v>44923</v>
      </c>
    </row>
    <row r="13139" spans="1:24">
      <c r="A13139">
        <f>HYPERLINK("https://www.philgeps.gov.ph/GEPSNONPILOT/Tender/SplashBidNoticeAbstractUI.aspx?menuIndex=3&amp;refID=7050278&amp;Result=3","7050278")</f>
        <v>0</v>
      </c>
      <c r="B13139" t="s">
        <v>387</v>
      </c>
      <c r="C13139" t="s">
        <v>16082</v>
      </c>
      <c r="D13139" t="s">
        <v>18152</v>
      </c>
      <c r="E13139" t="s">
        <v>29566</v>
      </c>
      <c r="F13139" t="s">
        <v>31362</v>
      </c>
      <c r="G13139" t="s">
        <v>31369</v>
      </c>
      <c r="H13139" t="s">
        <v>15799</v>
      </c>
      <c r="I13139" t="s">
        <v>31455</v>
      </c>
      <c r="J13139" t="s">
        <v>34854</v>
      </c>
      <c r="K13139" t="s">
        <v>40665</v>
      </c>
      <c r="M13139" t="s">
        <v>41335</v>
      </c>
      <c r="N13139" t="s">
        <v>44905</v>
      </c>
      <c r="O13139" t="s">
        <v>44906</v>
      </c>
      <c r="P13139">
        <v>0</v>
      </c>
      <c r="Q13139">
        <v>3</v>
      </c>
      <c r="R13139" t="s">
        <v>44922</v>
      </c>
      <c r="S13139" t="s">
        <v>45639</v>
      </c>
      <c r="T13139" t="s">
        <v>46426</v>
      </c>
      <c r="U13139" t="s">
        <v>47597</v>
      </c>
      <c r="V13139" t="s">
        <v>59153</v>
      </c>
      <c r="W13139" t="s">
        <v>41335</v>
      </c>
      <c r="X13139" t="s">
        <v>44923</v>
      </c>
    </row>
    <row r="13140" spans="1:24">
      <c r="A13140">
        <f>HYPERLINK("https://www.philgeps.gov.ph/GEPSNONPILOT/Tender/SplashBidNoticeAbstractUI.aspx?menuIndex=3&amp;refID=7050006&amp;Result=3","7050006")</f>
        <v>0</v>
      </c>
      <c r="B13140" t="s">
        <v>1680</v>
      </c>
      <c r="C13140" t="s">
        <v>16083</v>
      </c>
      <c r="D13140" t="s">
        <v>18144</v>
      </c>
      <c r="E13140" t="s">
        <v>22780</v>
      </c>
      <c r="F13140" t="s">
        <v>31362</v>
      </c>
      <c r="G13140" t="s">
        <v>31369</v>
      </c>
      <c r="H13140" t="s">
        <v>15799</v>
      </c>
      <c r="I13140" t="s">
        <v>31409</v>
      </c>
      <c r="J13140" t="s">
        <v>39495</v>
      </c>
      <c r="K13140" t="s">
        <v>40662</v>
      </c>
      <c r="M13140" t="s">
        <v>42745</v>
      </c>
      <c r="N13140" t="s">
        <v>44905</v>
      </c>
      <c r="O13140" t="s">
        <v>44906</v>
      </c>
      <c r="P13140">
        <v>0</v>
      </c>
      <c r="Q13140">
        <v>4</v>
      </c>
      <c r="R13140" t="s">
        <v>44922</v>
      </c>
      <c r="S13140" t="s">
        <v>45639</v>
      </c>
      <c r="T13140" t="s">
        <v>46447</v>
      </c>
      <c r="U13140" t="s">
        <v>57412</v>
      </c>
      <c r="V13140" t="s">
        <v>60534</v>
      </c>
      <c r="W13140" t="s">
        <v>42745</v>
      </c>
      <c r="X13140" t="s">
        <v>44923</v>
      </c>
    </row>
    <row r="13141" spans="1:24">
      <c r="A13141">
        <f>HYPERLINK("https://www.philgeps.gov.ph/GEPSNONPILOT/Tender/SplashBidNoticeAbstractUI.aspx?menuIndex=3&amp;refID=7050159&amp;Result=3","7050159")</f>
        <v>0</v>
      </c>
      <c r="B13141" t="s">
        <v>440</v>
      </c>
      <c r="C13141" t="s">
        <v>16084</v>
      </c>
      <c r="D13141" t="s">
        <v>18154</v>
      </c>
      <c r="E13141" t="s">
        <v>29567</v>
      </c>
      <c r="F13141" t="s">
        <v>31362</v>
      </c>
      <c r="G13141" t="s">
        <v>31369</v>
      </c>
      <c r="H13141" t="s">
        <v>15799</v>
      </c>
      <c r="I13141" t="s">
        <v>3815</v>
      </c>
      <c r="J13141" t="s">
        <v>39496</v>
      </c>
      <c r="K13141" t="s">
        <v>40662</v>
      </c>
      <c r="M13141" t="s">
        <v>41604</v>
      </c>
      <c r="N13141" t="s">
        <v>44905</v>
      </c>
      <c r="O13141" t="s">
        <v>44906</v>
      </c>
      <c r="P13141">
        <v>0</v>
      </c>
      <c r="Q13141">
        <v>1</v>
      </c>
      <c r="R13141" t="s">
        <v>44922</v>
      </c>
      <c r="S13141" t="s">
        <v>45639</v>
      </c>
      <c r="T13141" t="s">
        <v>46447</v>
      </c>
      <c r="U13141" t="s">
        <v>57413</v>
      </c>
      <c r="W13141" t="s">
        <v>41604</v>
      </c>
      <c r="X13141" t="s">
        <v>44923</v>
      </c>
    </row>
    <row r="13142" spans="1:24">
      <c r="A13142">
        <f>HYPERLINK("https://www.philgeps.gov.ph/GEPSNONPILOT/Tender/SplashBidNoticeAbstractUI.aspx?menuIndex=3&amp;refID=7050147&amp;Result=3","7050147")</f>
        <v>0</v>
      </c>
      <c r="B13142" t="s">
        <v>440</v>
      </c>
      <c r="C13142" t="s">
        <v>16085</v>
      </c>
      <c r="D13142" t="s">
        <v>18154</v>
      </c>
      <c r="E13142" t="s">
        <v>29568</v>
      </c>
      <c r="F13142" t="s">
        <v>31362</v>
      </c>
      <c r="G13142" t="s">
        <v>31369</v>
      </c>
      <c r="H13142" t="s">
        <v>31378</v>
      </c>
      <c r="I13142" t="s">
        <v>31386</v>
      </c>
      <c r="J13142" t="s">
        <v>39032</v>
      </c>
      <c r="K13142" t="s">
        <v>40662</v>
      </c>
      <c r="M13142" t="s">
        <v>41604</v>
      </c>
      <c r="N13142" t="s">
        <v>44905</v>
      </c>
      <c r="O13142" t="s">
        <v>44906</v>
      </c>
      <c r="P13142">
        <v>0</v>
      </c>
      <c r="Q13142">
        <v>0</v>
      </c>
      <c r="R13142" t="s">
        <v>44922</v>
      </c>
      <c r="S13142" t="s">
        <v>45639</v>
      </c>
      <c r="T13142" t="s">
        <v>46447</v>
      </c>
      <c r="U13142" t="s">
        <v>57414</v>
      </c>
      <c r="W13142" t="s">
        <v>41604</v>
      </c>
      <c r="X13142" t="s">
        <v>44923</v>
      </c>
    </row>
    <row r="13143" spans="1:24">
      <c r="A13143">
        <f>HYPERLINK("https://www.philgeps.gov.ph/GEPSNONPILOT/Tender/SplashBidNoticeAbstractUI.aspx?menuIndex=3&amp;refID=7050232&amp;Result=3","7050232")</f>
        <v>0</v>
      </c>
      <c r="B13143" t="s">
        <v>732</v>
      </c>
      <c r="C13143" t="s">
        <v>16086</v>
      </c>
      <c r="D13143" t="s">
        <v>18125</v>
      </c>
      <c r="E13143" t="s">
        <v>18300</v>
      </c>
      <c r="F13143" t="s">
        <v>31362</v>
      </c>
      <c r="G13143" t="s">
        <v>31369</v>
      </c>
      <c r="H13143" t="s">
        <v>31378</v>
      </c>
      <c r="I13143" t="s">
        <v>31386</v>
      </c>
      <c r="J13143" t="s">
        <v>39497</v>
      </c>
      <c r="K13143" t="s">
        <v>40685</v>
      </c>
      <c r="M13143" t="s">
        <v>44626</v>
      </c>
      <c r="N13143" t="s">
        <v>44905</v>
      </c>
      <c r="O13143" t="s">
        <v>44906</v>
      </c>
      <c r="P13143">
        <v>0</v>
      </c>
      <c r="Q13143">
        <v>5</v>
      </c>
      <c r="R13143" t="s">
        <v>44922</v>
      </c>
      <c r="S13143" t="s">
        <v>45639</v>
      </c>
      <c r="T13143" t="s">
        <v>46462</v>
      </c>
      <c r="U13143" t="s">
        <v>57415</v>
      </c>
      <c r="W13143" t="s">
        <v>44626</v>
      </c>
      <c r="X13143" t="s">
        <v>44923</v>
      </c>
    </row>
    <row r="13144" spans="1:24">
      <c r="A13144">
        <f>HYPERLINK("https://www.philgeps.gov.ph/GEPSNONPILOT/Tender/SplashBidNoticeAbstractUI.aspx?menuIndex=3&amp;refID=7050127&amp;Result=3","7050127")</f>
        <v>0</v>
      </c>
      <c r="B13144" t="s">
        <v>406</v>
      </c>
      <c r="C13144" t="s">
        <v>16087</v>
      </c>
      <c r="E13144" t="s">
        <v>29569</v>
      </c>
      <c r="F13144" t="s">
        <v>31362</v>
      </c>
      <c r="G13144" t="s">
        <v>31369</v>
      </c>
      <c r="H13144" t="s">
        <v>15799</v>
      </c>
      <c r="I13144" t="s">
        <v>31382</v>
      </c>
      <c r="J13144" t="s">
        <v>39498</v>
      </c>
      <c r="K13144" t="s">
        <v>40662</v>
      </c>
      <c r="M13144" t="s">
        <v>41356</v>
      </c>
      <c r="N13144" t="s">
        <v>44905</v>
      </c>
      <c r="O13144" t="s">
        <v>44906</v>
      </c>
      <c r="Q13144">
        <v>51</v>
      </c>
      <c r="R13144" t="s">
        <v>44922</v>
      </c>
      <c r="S13144" t="s">
        <v>45674</v>
      </c>
      <c r="T13144" t="s">
        <v>46432</v>
      </c>
      <c r="U13144" t="s">
        <v>56247</v>
      </c>
      <c r="W13144" t="s">
        <v>41356</v>
      </c>
      <c r="X13144" t="s">
        <v>44923</v>
      </c>
    </row>
    <row r="13145" spans="1:24">
      <c r="A13145">
        <f>HYPERLINK("https://www.philgeps.gov.ph/GEPSNONPILOT/Tender/SplashBidNoticeAbstractUI.aspx?menuIndex=3&amp;refID=7049992&amp;Result=3","7049992")</f>
        <v>0</v>
      </c>
      <c r="B13145" t="s">
        <v>2341</v>
      </c>
      <c r="C13145" t="s">
        <v>16088</v>
      </c>
      <c r="D13145" t="s">
        <v>18154</v>
      </c>
      <c r="E13145" t="s">
        <v>29570</v>
      </c>
      <c r="F13145" t="s">
        <v>31362</v>
      </c>
      <c r="G13145" t="s">
        <v>31369</v>
      </c>
      <c r="H13145" t="s">
        <v>31378</v>
      </c>
      <c r="I13145" t="s">
        <v>31386</v>
      </c>
      <c r="J13145" t="s">
        <v>39499</v>
      </c>
      <c r="K13145" t="s">
        <v>40679</v>
      </c>
      <c r="M13145" t="s">
        <v>43483</v>
      </c>
      <c r="N13145" t="s">
        <v>44905</v>
      </c>
      <c r="O13145" t="s">
        <v>44906</v>
      </c>
      <c r="Q13145">
        <v>1</v>
      </c>
      <c r="R13145" t="s">
        <v>44922</v>
      </c>
      <c r="S13145" t="s">
        <v>45675</v>
      </c>
      <c r="T13145" t="s">
        <v>46483</v>
      </c>
      <c r="U13145" t="s">
        <v>57416</v>
      </c>
      <c r="W13145" t="s">
        <v>43483</v>
      </c>
      <c r="X13145" t="s">
        <v>44923</v>
      </c>
    </row>
    <row r="13146" spans="1:24">
      <c r="A13146">
        <f>HYPERLINK("https://www.philgeps.gov.ph/GEPSNONPILOT/Tender/SplashBidNoticeAbstractUI.aspx?menuIndex=3&amp;refID=7050286&amp;Result=3","7050286")</f>
        <v>0</v>
      </c>
      <c r="B13146" t="s">
        <v>3330</v>
      </c>
      <c r="C13146" t="s">
        <v>16089</v>
      </c>
      <c r="D13146" t="s">
        <v>18152</v>
      </c>
      <c r="E13146" t="s">
        <v>29571</v>
      </c>
      <c r="F13146" t="s">
        <v>31362</v>
      </c>
      <c r="G13146" t="s">
        <v>31369</v>
      </c>
      <c r="H13146" t="s">
        <v>15799</v>
      </c>
      <c r="I13146" t="s">
        <v>31409</v>
      </c>
      <c r="J13146" t="s">
        <v>31570</v>
      </c>
      <c r="K13146" t="s">
        <v>40670</v>
      </c>
      <c r="M13146" t="s">
        <v>44627</v>
      </c>
      <c r="N13146" t="s">
        <v>44905</v>
      </c>
      <c r="O13146" t="s">
        <v>44906</v>
      </c>
      <c r="P13146">
        <v>0</v>
      </c>
      <c r="Q13146">
        <v>2</v>
      </c>
      <c r="R13146" t="s">
        <v>44922</v>
      </c>
      <c r="S13146" t="s">
        <v>45639</v>
      </c>
      <c r="T13146" t="s">
        <v>46425</v>
      </c>
      <c r="U13146" t="s">
        <v>57417</v>
      </c>
      <c r="W13146" t="s">
        <v>44627</v>
      </c>
      <c r="X13146" t="s">
        <v>44923</v>
      </c>
    </row>
    <row r="13147" spans="1:24">
      <c r="A13147">
        <f>HYPERLINK("https://www.philgeps.gov.ph/GEPSNONPILOT/Tender/SplashBidNoticeAbstractUI.aspx?menuIndex=3&amp;refID=7049984&amp;Result=3","7049984")</f>
        <v>0</v>
      </c>
      <c r="B13147" t="s">
        <v>321</v>
      </c>
      <c r="C13147" t="s">
        <v>16090</v>
      </c>
      <c r="D13147" t="s">
        <v>18108</v>
      </c>
      <c r="E13147" t="s">
        <v>29572</v>
      </c>
      <c r="F13147" t="s">
        <v>31362</v>
      </c>
      <c r="G13147" t="s">
        <v>31369</v>
      </c>
      <c r="H13147" t="s">
        <v>31379</v>
      </c>
      <c r="I13147" t="s">
        <v>31481</v>
      </c>
      <c r="J13147" t="s">
        <v>39500</v>
      </c>
      <c r="K13147" t="s">
        <v>40675</v>
      </c>
      <c r="M13147" t="s">
        <v>41267</v>
      </c>
      <c r="N13147" t="s">
        <v>44905</v>
      </c>
      <c r="O13147" t="s">
        <v>44906</v>
      </c>
      <c r="Q13147">
        <v>5</v>
      </c>
      <c r="R13147" t="s">
        <v>44922</v>
      </c>
      <c r="S13147" t="s">
        <v>45676</v>
      </c>
      <c r="T13147" t="s">
        <v>46426</v>
      </c>
      <c r="U13147" t="s">
        <v>47466</v>
      </c>
      <c r="V13147" t="s">
        <v>59161</v>
      </c>
      <c r="W13147" t="s">
        <v>41267</v>
      </c>
      <c r="X13147" t="s">
        <v>44923</v>
      </c>
    </row>
    <row r="13148" spans="1:24">
      <c r="A13148">
        <f>HYPERLINK("https://www.philgeps.gov.ph/GEPSNONPILOT/Tender/SplashBidNoticeAbstractUI.aspx?menuIndex=3&amp;refID=7049982&amp;Result=3","7049982")</f>
        <v>0</v>
      </c>
      <c r="B13148" t="s">
        <v>3327</v>
      </c>
      <c r="C13148" t="s">
        <v>16091</v>
      </c>
      <c r="D13148" t="s">
        <v>18164</v>
      </c>
      <c r="E13148" t="s">
        <v>29573</v>
      </c>
      <c r="F13148" t="s">
        <v>31362</v>
      </c>
      <c r="G13148" t="s">
        <v>31369</v>
      </c>
      <c r="H13148" t="s">
        <v>15799</v>
      </c>
      <c r="I13148" t="s">
        <v>31386</v>
      </c>
      <c r="J13148" t="s">
        <v>39501</v>
      </c>
      <c r="K13148" t="s">
        <v>40666</v>
      </c>
      <c r="M13148" t="s">
        <v>44623</v>
      </c>
      <c r="N13148" t="s">
        <v>44905</v>
      </c>
      <c r="O13148" t="s">
        <v>44906</v>
      </c>
      <c r="Q13148">
        <v>1</v>
      </c>
      <c r="R13148" t="s">
        <v>44922</v>
      </c>
      <c r="S13148" t="s">
        <v>45677</v>
      </c>
      <c r="T13148" t="s">
        <v>46435</v>
      </c>
      <c r="U13148" t="s">
        <v>57418</v>
      </c>
      <c r="W13148" t="s">
        <v>44623</v>
      </c>
      <c r="X13148" t="s">
        <v>44923</v>
      </c>
    </row>
    <row r="13149" spans="1:24">
      <c r="A13149">
        <f>HYPERLINK("https://www.philgeps.gov.ph/GEPSNONPILOT/Tender/SplashBidNoticeAbstractUI.aspx?menuIndex=3&amp;refID=7049966&amp;Result=3","7049966")</f>
        <v>0</v>
      </c>
      <c r="B13149" t="s">
        <v>3327</v>
      </c>
      <c r="C13149" t="s">
        <v>16092</v>
      </c>
      <c r="D13149" t="s">
        <v>18164</v>
      </c>
      <c r="E13149" t="s">
        <v>29574</v>
      </c>
      <c r="F13149" t="s">
        <v>31362</v>
      </c>
      <c r="G13149" t="s">
        <v>31369</v>
      </c>
      <c r="H13149" t="s">
        <v>31378</v>
      </c>
      <c r="I13149" t="s">
        <v>31386</v>
      </c>
      <c r="J13149" t="s">
        <v>36620</v>
      </c>
      <c r="K13149" t="s">
        <v>40692</v>
      </c>
      <c r="M13149" t="s">
        <v>44623</v>
      </c>
      <c r="N13149" t="s">
        <v>44905</v>
      </c>
      <c r="O13149" t="s">
        <v>44906</v>
      </c>
      <c r="Q13149">
        <v>1</v>
      </c>
      <c r="R13149" t="s">
        <v>44922</v>
      </c>
      <c r="S13149" t="s">
        <v>45678</v>
      </c>
      <c r="T13149" t="s">
        <v>46435</v>
      </c>
      <c r="U13149" t="s">
        <v>57419</v>
      </c>
      <c r="W13149" t="s">
        <v>44623</v>
      </c>
      <c r="X13149" t="s">
        <v>44923</v>
      </c>
    </row>
    <row r="13150" spans="1:24">
      <c r="A13150">
        <f>HYPERLINK("https://www.philgeps.gov.ph/GEPSNONPILOT/Tender/SplashBidNoticeAbstractUI.aspx?menuIndex=3&amp;refID=7050303&amp;Result=3","7050303")</f>
        <v>0</v>
      </c>
      <c r="B13150" t="s">
        <v>2903</v>
      </c>
      <c r="C13150" t="s">
        <v>16093</v>
      </c>
      <c r="D13150" t="s">
        <v>18147</v>
      </c>
      <c r="E13150" t="s">
        <v>29575</v>
      </c>
      <c r="F13150" t="s">
        <v>31362</v>
      </c>
      <c r="G13150" t="s">
        <v>31369</v>
      </c>
      <c r="H13150" t="s">
        <v>31378</v>
      </c>
      <c r="I13150" t="s">
        <v>31386</v>
      </c>
      <c r="J13150" t="s">
        <v>39502</v>
      </c>
      <c r="K13150" t="s">
        <v>40679</v>
      </c>
      <c r="M13150" t="s">
        <v>44118</v>
      </c>
      <c r="N13150" t="s">
        <v>44905</v>
      </c>
      <c r="O13150" t="s">
        <v>44906</v>
      </c>
      <c r="P13150">
        <v>0</v>
      </c>
      <c r="Q13150">
        <v>1</v>
      </c>
      <c r="R13150" t="s">
        <v>44922</v>
      </c>
      <c r="S13150" t="s">
        <v>45639</v>
      </c>
      <c r="T13150" t="s">
        <v>46560</v>
      </c>
      <c r="U13150" t="s">
        <v>57420</v>
      </c>
      <c r="W13150" t="s">
        <v>44118</v>
      </c>
      <c r="X13150" t="s">
        <v>44923</v>
      </c>
    </row>
    <row r="13151" spans="1:24">
      <c r="A13151">
        <f>HYPERLINK("https://www.philgeps.gov.ph/GEPSNONPILOT/Tender/SplashBidNoticeAbstractUI.aspx?menuIndex=3&amp;refID=7050452&amp;Result=3","7050452")</f>
        <v>0</v>
      </c>
      <c r="B13151" t="s">
        <v>1427</v>
      </c>
      <c r="C13151" t="s">
        <v>16094</v>
      </c>
      <c r="D13151" t="s">
        <v>18127</v>
      </c>
      <c r="E13151" t="s">
        <v>29576</v>
      </c>
      <c r="F13151" t="s">
        <v>31362</v>
      </c>
      <c r="G13151" t="s">
        <v>31369</v>
      </c>
      <c r="H13151" t="s">
        <v>15799</v>
      </c>
      <c r="I13151" t="s">
        <v>31380</v>
      </c>
      <c r="J13151" t="s">
        <v>39503</v>
      </c>
      <c r="K13151" t="s">
        <v>40662</v>
      </c>
      <c r="M13151" t="s">
        <v>42455</v>
      </c>
      <c r="N13151" t="s">
        <v>44905</v>
      </c>
      <c r="O13151" t="s">
        <v>44906</v>
      </c>
      <c r="Q13151">
        <v>5</v>
      </c>
      <c r="R13151" t="s">
        <v>44922</v>
      </c>
      <c r="S13151" t="s">
        <v>45679</v>
      </c>
      <c r="T13151" t="s">
        <v>46425</v>
      </c>
      <c r="U13151" t="s">
        <v>57421</v>
      </c>
      <c r="V13151" t="s">
        <v>60013</v>
      </c>
      <c r="W13151" t="s">
        <v>42455</v>
      </c>
      <c r="X13151" t="s">
        <v>44923</v>
      </c>
    </row>
    <row r="13152" spans="1:24">
      <c r="A13152">
        <f>HYPERLINK("https://www.philgeps.gov.ph/GEPSNONPILOT/Tender/SplashBidNoticeAbstractUI.aspx?menuIndex=3&amp;refID=7050165&amp;Result=3","7050165")</f>
        <v>0</v>
      </c>
      <c r="B13152" t="s">
        <v>3331</v>
      </c>
      <c r="C13152" t="s">
        <v>16095</v>
      </c>
      <c r="D13152" t="s">
        <v>18109</v>
      </c>
      <c r="E13152" t="s">
        <v>29577</v>
      </c>
      <c r="F13152" t="s">
        <v>31362</v>
      </c>
      <c r="G13152" t="s">
        <v>31369</v>
      </c>
      <c r="H13152" t="s">
        <v>15799</v>
      </c>
      <c r="I13152" t="s">
        <v>31409</v>
      </c>
      <c r="J13152" t="s">
        <v>32400</v>
      </c>
      <c r="K13152" t="s">
        <v>40665</v>
      </c>
      <c r="M13152" t="s">
        <v>44628</v>
      </c>
      <c r="N13152" t="s">
        <v>44905</v>
      </c>
      <c r="O13152" t="s">
        <v>44906</v>
      </c>
      <c r="P13152">
        <v>0</v>
      </c>
      <c r="Q13152">
        <v>2</v>
      </c>
      <c r="R13152" t="s">
        <v>44922</v>
      </c>
      <c r="S13152" t="s">
        <v>45639</v>
      </c>
      <c r="T13152" t="s">
        <v>46396</v>
      </c>
      <c r="U13152" t="s">
        <v>57422</v>
      </c>
      <c r="W13152" t="s">
        <v>44628</v>
      </c>
      <c r="X13152" t="s">
        <v>44923</v>
      </c>
    </row>
    <row r="13153" spans="1:24">
      <c r="A13153">
        <f>HYPERLINK("https://www.philgeps.gov.ph/GEPSNONPILOT/Tender/SplashBidNoticeAbstractUI.aspx?menuIndex=3&amp;refID=7050535&amp;Result=3","7050535")</f>
        <v>0</v>
      </c>
      <c r="B13153" t="s">
        <v>3332</v>
      </c>
      <c r="C13153" t="s">
        <v>16096</v>
      </c>
      <c r="D13153" t="s">
        <v>18101</v>
      </c>
      <c r="E13153" t="s">
        <v>22997</v>
      </c>
      <c r="F13153" t="s">
        <v>31362</v>
      </c>
      <c r="G13153" t="s">
        <v>31369</v>
      </c>
      <c r="H13153" t="s">
        <v>15799</v>
      </c>
      <c r="I13153" t="s">
        <v>3815</v>
      </c>
      <c r="J13153" t="s">
        <v>35626</v>
      </c>
      <c r="K13153" t="s">
        <v>40665</v>
      </c>
      <c r="M13153" t="s">
        <v>44629</v>
      </c>
      <c r="N13153" t="s">
        <v>44905</v>
      </c>
      <c r="O13153" t="s">
        <v>44906</v>
      </c>
      <c r="P13153">
        <v>0</v>
      </c>
      <c r="Q13153">
        <v>1</v>
      </c>
      <c r="R13153" t="s">
        <v>44922</v>
      </c>
      <c r="S13153" t="s">
        <v>45639</v>
      </c>
      <c r="T13153" t="s">
        <v>46533</v>
      </c>
      <c r="U13153" t="s">
        <v>57423</v>
      </c>
      <c r="W13153" t="s">
        <v>44629</v>
      </c>
      <c r="X13153" t="s">
        <v>44923</v>
      </c>
    </row>
    <row r="13154" spans="1:24">
      <c r="A13154">
        <f>HYPERLINK("https://www.philgeps.gov.ph/GEPSNONPILOT/Tender/SplashBidNoticeAbstractUI.aspx?menuIndex=3&amp;refID=7050121&amp;Result=3","7050121")</f>
        <v>0</v>
      </c>
      <c r="B13154" t="s">
        <v>438</v>
      </c>
      <c r="C13154" t="s">
        <v>16097</v>
      </c>
      <c r="D13154" t="s">
        <v>18159</v>
      </c>
      <c r="E13154" t="s">
        <v>29578</v>
      </c>
      <c r="F13154" t="s">
        <v>31362</v>
      </c>
      <c r="G13154" t="s">
        <v>31369</v>
      </c>
      <c r="H13154" t="s">
        <v>15799</v>
      </c>
      <c r="I13154" t="s">
        <v>4283</v>
      </c>
      <c r="J13154" t="s">
        <v>39504</v>
      </c>
      <c r="K13154" t="s">
        <v>40666</v>
      </c>
      <c r="M13154" t="s">
        <v>41390</v>
      </c>
      <c r="N13154" t="s">
        <v>44905</v>
      </c>
      <c r="O13154" t="s">
        <v>44906</v>
      </c>
      <c r="Q13154">
        <v>4</v>
      </c>
      <c r="R13154" t="s">
        <v>44922</v>
      </c>
      <c r="S13154" t="s">
        <v>45457</v>
      </c>
      <c r="T13154" t="s">
        <v>46560</v>
      </c>
      <c r="U13154" t="s">
        <v>57424</v>
      </c>
      <c r="W13154" t="s">
        <v>41390</v>
      </c>
      <c r="X13154" t="s">
        <v>44923</v>
      </c>
    </row>
    <row r="13155" spans="1:24">
      <c r="A13155">
        <f>HYPERLINK("https://www.philgeps.gov.ph/GEPSNONPILOT/Tender/SplashBidNoticeAbstractUI.aspx?menuIndex=3&amp;refID=7050532&amp;Result=3","7050532")</f>
        <v>0</v>
      </c>
      <c r="B13155" t="s">
        <v>3333</v>
      </c>
      <c r="C13155" t="s">
        <v>16098</v>
      </c>
      <c r="D13155" t="s">
        <v>18118</v>
      </c>
      <c r="E13155" t="s">
        <v>29579</v>
      </c>
      <c r="F13155" t="s">
        <v>31362</v>
      </c>
      <c r="G13155" t="s">
        <v>31369</v>
      </c>
      <c r="H13155" t="s">
        <v>15799</v>
      </c>
      <c r="I13155" t="s">
        <v>31404</v>
      </c>
      <c r="J13155" t="s">
        <v>39505</v>
      </c>
      <c r="K13155" t="s">
        <v>40679</v>
      </c>
      <c r="M13155" t="s">
        <v>44630</v>
      </c>
      <c r="N13155" t="s">
        <v>44905</v>
      </c>
      <c r="O13155" t="s">
        <v>44906</v>
      </c>
      <c r="P13155">
        <v>0</v>
      </c>
      <c r="Q13155">
        <v>2</v>
      </c>
      <c r="R13155" t="s">
        <v>44922</v>
      </c>
      <c r="S13155" t="s">
        <v>45639</v>
      </c>
      <c r="T13155" t="s">
        <v>46482</v>
      </c>
      <c r="U13155" t="s">
        <v>57425</v>
      </c>
      <c r="W13155" t="s">
        <v>44630</v>
      </c>
      <c r="X13155" t="s">
        <v>44923</v>
      </c>
    </row>
    <row r="13156" spans="1:24">
      <c r="A13156">
        <f>HYPERLINK("https://www.philgeps.gov.ph/GEPSNONPILOT/Tender/SplashBidNoticeAbstractUI.aspx?menuIndex=3&amp;refID=7050529&amp;Result=3","7050529")</f>
        <v>0</v>
      </c>
      <c r="B13156" t="s">
        <v>419</v>
      </c>
      <c r="C13156" t="s">
        <v>16099</v>
      </c>
      <c r="D13156" t="s">
        <v>18159</v>
      </c>
      <c r="E13156" t="s">
        <v>29580</v>
      </c>
      <c r="F13156" t="s">
        <v>31362</v>
      </c>
      <c r="G13156" t="s">
        <v>31369</v>
      </c>
      <c r="H13156" t="s">
        <v>31378</v>
      </c>
      <c r="I13156" t="s">
        <v>31386</v>
      </c>
      <c r="J13156" t="s">
        <v>39506</v>
      </c>
      <c r="K13156" t="s">
        <v>40686</v>
      </c>
      <c r="M13156" t="s">
        <v>41369</v>
      </c>
      <c r="N13156" t="s">
        <v>44905</v>
      </c>
      <c r="O13156" t="s">
        <v>44906</v>
      </c>
      <c r="P13156">
        <v>0</v>
      </c>
      <c r="Q13156">
        <v>0</v>
      </c>
      <c r="R13156" t="s">
        <v>44922</v>
      </c>
      <c r="S13156" t="s">
        <v>45639</v>
      </c>
      <c r="T13156" t="s">
        <v>46409</v>
      </c>
      <c r="U13156" t="s">
        <v>57426</v>
      </c>
      <c r="W13156" t="s">
        <v>41369</v>
      </c>
      <c r="X13156" t="s">
        <v>44923</v>
      </c>
    </row>
    <row r="13157" spans="1:24">
      <c r="A13157">
        <f>HYPERLINK("https://www.philgeps.gov.ph/GEPSNONPILOT/Tender/SplashBidNoticeAbstractUI.aspx?menuIndex=3&amp;refID=7050144&amp;Result=3","7050144")</f>
        <v>0</v>
      </c>
      <c r="B13157" t="s">
        <v>3334</v>
      </c>
      <c r="C13157" t="s">
        <v>16100</v>
      </c>
      <c r="D13157" t="s">
        <v>18122</v>
      </c>
      <c r="E13157" t="s">
        <v>29581</v>
      </c>
      <c r="F13157" t="s">
        <v>31362</v>
      </c>
      <c r="G13157" t="s">
        <v>31369</v>
      </c>
      <c r="H13157" t="s">
        <v>15799</v>
      </c>
      <c r="I13157" t="s">
        <v>31386</v>
      </c>
      <c r="J13157" t="s">
        <v>39507</v>
      </c>
      <c r="K13157" t="s">
        <v>40678</v>
      </c>
      <c r="M13157" t="s">
        <v>44631</v>
      </c>
      <c r="N13157" t="s">
        <v>44905</v>
      </c>
      <c r="O13157" t="s">
        <v>44906</v>
      </c>
      <c r="P13157">
        <v>0</v>
      </c>
      <c r="Q13157">
        <v>42</v>
      </c>
      <c r="R13157" t="s">
        <v>44922</v>
      </c>
      <c r="S13157" t="s">
        <v>45639</v>
      </c>
      <c r="T13157" t="s">
        <v>46411</v>
      </c>
      <c r="U13157" t="s">
        <v>57427</v>
      </c>
      <c r="W13157" t="s">
        <v>44631</v>
      </c>
      <c r="X13157" t="s">
        <v>44923</v>
      </c>
    </row>
    <row r="13158" spans="1:24">
      <c r="A13158">
        <f>HYPERLINK("https://www.philgeps.gov.ph/GEPSNONPILOT/Tender/SplashBidNoticeAbstractUI.aspx?menuIndex=3&amp;refID=7050502&amp;Result=3","7050502")</f>
        <v>0</v>
      </c>
      <c r="B13158" t="s">
        <v>3335</v>
      </c>
      <c r="C13158" t="s">
        <v>16101</v>
      </c>
      <c r="D13158" t="s">
        <v>18125</v>
      </c>
      <c r="E13158" t="s">
        <v>29582</v>
      </c>
      <c r="F13158" t="s">
        <v>31362</v>
      </c>
      <c r="G13158" t="s">
        <v>31369</v>
      </c>
      <c r="H13158" t="s">
        <v>15799</v>
      </c>
      <c r="I13158" t="s">
        <v>3815</v>
      </c>
      <c r="J13158" t="s">
        <v>39508</v>
      </c>
      <c r="K13158" t="s">
        <v>40666</v>
      </c>
      <c r="M13158" t="s">
        <v>44632</v>
      </c>
      <c r="N13158" t="s">
        <v>44905</v>
      </c>
      <c r="O13158" t="s">
        <v>44906</v>
      </c>
      <c r="P13158">
        <v>0</v>
      </c>
      <c r="Q13158">
        <v>0</v>
      </c>
      <c r="R13158" t="s">
        <v>44922</v>
      </c>
      <c r="S13158" t="s">
        <v>45639</v>
      </c>
      <c r="T13158" t="s">
        <v>46435</v>
      </c>
      <c r="U13158" t="s">
        <v>57428</v>
      </c>
      <c r="W13158" t="s">
        <v>44632</v>
      </c>
      <c r="X13158" t="s">
        <v>44923</v>
      </c>
    </row>
    <row r="13159" spans="1:24">
      <c r="A13159">
        <f>HYPERLINK("https://www.philgeps.gov.ph/GEPSNONPILOT/Tender/SplashBidNoticeAbstractUI.aspx?menuIndex=3&amp;refID=7050138&amp;Result=3","7050138")</f>
        <v>0</v>
      </c>
      <c r="B13159" t="s">
        <v>440</v>
      </c>
      <c r="C13159" t="s">
        <v>16102</v>
      </c>
      <c r="D13159" t="s">
        <v>18154</v>
      </c>
      <c r="E13159" t="s">
        <v>29583</v>
      </c>
      <c r="F13159" t="s">
        <v>31362</v>
      </c>
      <c r="G13159" t="s">
        <v>31369</v>
      </c>
      <c r="H13159" t="s">
        <v>31378</v>
      </c>
      <c r="I13159" t="s">
        <v>31386</v>
      </c>
      <c r="J13159" t="s">
        <v>39509</v>
      </c>
      <c r="K13159" t="s">
        <v>40662</v>
      </c>
      <c r="M13159" t="s">
        <v>41604</v>
      </c>
      <c r="N13159" t="s">
        <v>44905</v>
      </c>
      <c r="O13159" t="s">
        <v>44906</v>
      </c>
      <c r="P13159">
        <v>0</v>
      </c>
      <c r="Q13159">
        <v>0</v>
      </c>
      <c r="R13159" t="s">
        <v>44922</v>
      </c>
      <c r="S13159" t="s">
        <v>45639</v>
      </c>
      <c r="T13159" t="s">
        <v>46447</v>
      </c>
      <c r="U13159" t="s">
        <v>57429</v>
      </c>
      <c r="W13159" t="s">
        <v>41604</v>
      </c>
      <c r="X13159" t="s">
        <v>44923</v>
      </c>
    </row>
    <row r="13160" spans="1:24">
      <c r="A13160">
        <f>HYPERLINK("https://www.philgeps.gov.ph/GEPSNONPILOT/Tender/SplashBidNoticeAbstractUI.aspx?menuIndex=3&amp;refID=7050482&amp;Result=3","7050482")</f>
        <v>0</v>
      </c>
      <c r="B13160" t="s">
        <v>3238</v>
      </c>
      <c r="C13160" t="s">
        <v>16103</v>
      </c>
      <c r="D13160" t="s">
        <v>18131</v>
      </c>
      <c r="E13160" t="s">
        <v>29584</v>
      </c>
      <c r="F13160" t="s">
        <v>31362</v>
      </c>
      <c r="G13160" t="s">
        <v>31369</v>
      </c>
      <c r="H13160" t="s">
        <v>15799</v>
      </c>
      <c r="I13160" t="s">
        <v>4942</v>
      </c>
      <c r="J13160" t="s">
        <v>31625</v>
      </c>
      <c r="K13160" t="s">
        <v>40662</v>
      </c>
      <c r="M13160" t="s">
        <v>44515</v>
      </c>
      <c r="N13160" t="s">
        <v>44905</v>
      </c>
      <c r="O13160" t="s">
        <v>44906</v>
      </c>
      <c r="Q13160">
        <v>3</v>
      </c>
      <c r="R13160" t="s">
        <v>44922</v>
      </c>
      <c r="S13160" t="s">
        <v>45680</v>
      </c>
      <c r="T13160" t="s">
        <v>46401</v>
      </c>
      <c r="U13160" t="s">
        <v>57430</v>
      </c>
      <c r="V13160" t="s">
        <v>60535</v>
      </c>
      <c r="W13160" t="s">
        <v>44515</v>
      </c>
      <c r="X13160" t="s">
        <v>44923</v>
      </c>
    </row>
    <row r="13161" spans="1:24">
      <c r="A13161">
        <f>HYPERLINK("https://www.philgeps.gov.ph/GEPSNONPILOT/Tender/SplashBidNoticeAbstractUI.aspx?menuIndex=3&amp;refID=7050442&amp;Result=3","7050442")</f>
        <v>0</v>
      </c>
      <c r="B13161" t="s">
        <v>963</v>
      </c>
      <c r="C13161" t="s">
        <v>16104</v>
      </c>
      <c r="D13161" t="s">
        <v>18131</v>
      </c>
      <c r="E13161" t="s">
        <v>29585</v>
      </c>
      <c r="F13161" t="s">
        <v>31362</v>
      </c>
      <c r="G13161" t="s">
        <v>31369</v>
      </c>
      <c r="H13161" t="s">
        <v>31378</v>
      </c>
      <c r="I13161" t="s">
        <v>31386</v>
      </c>
      <c r="J13161" t="s">
        <v>39510</v>
      </c>
      <c r="K13161" t="s">
        <v>40662</v>
      </c>
      <c r="M13161" t="s">
        <v>41951</v>
      </c>
      <c r="N13161" t="s">
        <v>44905</v>
      </c>
      <c r="O13161" t="s">
        <v>44906</v>
      </c>
      <c r="Q13161">
        <v>95</v>
      </c>
      <c r="R13161" t="s">
        <v>44922</v>
      </c>
      <c r="S13161" t="s">
        <v>45681</v>
      </c>
      <c r="T13161" t="s">
        <v>46425</v>
      </c>
      <c r="U13161" t="s">
        <v>57431</v>
      </c>
      <c r="W13161" t="s">
        <v>41951</v>
      </c>
      <c r="X13161" t="s">
        <v>44923</v>
      </c>
    </row>
    <row r="13162" spans="1:24">
      <c r="A13162">
        <f>HYPERLINK("https://www.philgeps.gov.ph/GEPSNONPILOT/Tender/SplashBidNoticeAbstractUI.aspx?menuIndex=3&amp;refID=7050139&amp;Result=3","7050139")</f>
        <v>0</v>
      </c>
      <c r="B13162" t="s">
        <v>1549</v>
      </c>
      <c r="C13162" t="s">
        <v>16105</v>
      </c>
      <c r="D13162" t="s">
        <v>18113</v>
      </c>
      <c r="E13162" t="s">
        <v>29586</v>
      </c>
      <c r="F13162" t="s">
        <v>31362</v>
      </c>
      <c r="G13162" t="s">
        <v>31369</v>
      </c>
      <c r="H13162" t="s">
        <v>31378</v>
      </c>
      <c r="I13162" t="s">
        <v>31386</v>
      </c>
      <c r="J13162" t="s">
        <v>39511</v>
      </c>
      <c r="K13162" t="s">
        <v>40746</v>
      </c>
      <c r="M13162" t="s">
        <v>43488</v>
      </c>
      <c r="N13162" t="s">
        <v>44905</v>
      </c>
      <c r="O13162" t="s">
        <v>44906</v>
      </c>
      <c r="P13162">
        <v>0</v>
      </c>
      <c r="Q13162">
        <v>2</v>
      </c>
      <c r="R13162" t="s">
        <v>44922</v>
      </c>
      <c r="S13162" t="s">
        <v>45639</v>
      </c>
      <c r="T13162" t="s">
        <v>46493</v>
      </c>
      <c r="U13162" t="s">
        <v>57432</v>
      </c>
      <c r="W13162" t="s">
        <v>43488</v>
      </c>
      <c r="X13162" t="s">
        <v>44923</v>
      </c>
    </row>
    <row r="13163" spans="1:24">
      <c r="A13163">
        <f>HYPERLINK("https://www.philgeps.gov.ph/GEPSNONPILOT/Tender/SplashBidNoticeAbstractUI.aspx?menuIndex=3&amp;refID=7050511&amp;Result=3","7050511")</f>
        <v>0</v>
      </c>
      <c r="B13163" t="s">
        <v>419</v>
      </c>
      <c r="C13163" t="s">
        <v>16106</v>
      </c>
      <c r="D13163" t="s">
        <v>18159</v>
      </c>
      <c r="E13163" t="s">
        <v>29587</v>
      </c>
      <c r="F13163" t="s">
        <v>31362</v>
      </c>
      <c r="G13163" t="s">
        <v>31369</v>
      </c>
      <c r="H13163" t="s">
        <v>31378</v>
      </c>
      <c r="I13163" t="s">
        <v>31386</v>
      </c>
      <c r="J13163" t="s">
        <v>39512</v>
      </c>
      <c r="K13163" t="s">
        <v>40686</v>
      </c>
      <c r="M13163" t="s">
        <v>41369</v>
      </c>
      <c r="N13163" t="s">
        <v>44905</v>
      </c>
      <c r="O13163" t="s">
        <v>44906</v>
      </c>
      <c r="P13163">
        <v>0</v>
      </c>
      <c r="Q13163">
        <v>0</v>
      </c>
      <c r="R13163" t="s">
        <v>44922</v>
      </c>
      <c r="S13163" t="s">
        <v>45639</v>
      </c>
      <c r="T13163" t="s">
        <v>46409</v>
      </c>
      <c r="U13163" t="s">
        <v>57433</v>
      </c>
      <c r="W13163" t="s">
        <v>41369</v>
      </c>
      <c r="X13163" t="s">
        <v>44923</v>
      </c>
    </row>
    <row r="13164" spans="1:24">
      <c r="A13164">
        <f>HYPERLINK("https://www.philgeps.gov.ph/GEPSNONPILOT/Tender/SplashBidNoticeAbstractUI.aspx?menuIndex=3&amp;refID=7050497&amp;Result=3","7050497")</f>
        <v>0</v>
      </c>
      <c r="B13164" t="s">
        <v>3332</v>
      </c>
      <c r="C13164" t="s">
        <v>16107</v>
      </c>
      <c r="D13164" t="s">
        <v>18101</v>
      </c>
      <c r="E13164" t="s">
        <v>20311</v>
      </c>
      <c r="F13164" t="s">
        <v>31362</v>
      </c>
      <c r="G13164" t="s">
        <v>31369</v>
      </c>
      <c r="H13164" t="s">
        <v>15799</v>
      </c>
      <c r="I13164" t="s">
        <v>3815</v>
      </c>
      <c r="J13164" t="s">
        <v>39513</v>
      </c>
      <c r="K13164" t="s">
        <v>40665</v>
      </c>
      <c r="M13164" t="s">
        <v>44629</v>
      </c>
      <c r="N13164" t="s">
        <v>44905</v>
      </c>
      <c r="O13164" t="s">
        <v>44906</v>
      </c>
      <c r="P13164">
        <v>0</v>
      </c>
      <c r="Q13164">
        <v>2</v>
      </c>
      <c r="R13164" t="s">
        <v>44922</v>
      </c>
      <c r="S13164" t="s">
        <v>45639</v>
      </c>
      <c r="T13164" t="s">
        <v>46533</v>
      </c>
      <c r="U13164" t="s">
        <v>57434</v>
      </c>
      <c r="W13164" t="s">
        <v>44629</v>
      </c>
      <c r="X13164" t="s">
        <v>44923</v>
      </c>
    </row>
    <row r="13165" spans="1:24">
      <c r="A13165">
        <f>HYPERLINK("https://www.philgeps.gov.ph/GEPSNONPILOT/Tender/SplashBidNoticeAbstractUI.aspx?menuIndex=3&amp;refID=7050470&amp;Result=3","7050470")</f>
        <v>0</v>
      </c>
      <c r="B13165" t="s">
        <v>3336</v>
      </c>
      <c r="C13165" t="s">
        <v>16108</v>
      </c>
      <c r="E13165" t="s">
        <v>22044</v>
      </c>
      <c r="F13165" t="s">
        <v>31362</v>
      </c>
      <c r="G13165" t="s">
        <v>31369</v>
      </c>
      <c r="H13165" t="s">
        <v>15799</v>
      </c>
      <c r="I13165" t="s">
        <v>7188</v>
      </c>
      <c r="J13165" t="s">
        <v>32423</v>
      </c>
      <c r="K13165" t="s">
        <v>40661</v>
      </c>
      <c r="M13165" t="s">
        <v>44633</v>
      </c>
      <c r="N13165" t="s">
        <v>44905</v>
      </c>
      <c r="O13165" t="s">
        <v>44906</v>
      </c>
      <c r="P13165">
        <v>0</v>
      </c>
      <c r="Q13165">
        <v>2</v>
      </c>
      <c r="R13165" t="s">
        <v>44922</v>
      </c>
      <c r="S13165" t="s">
        <v>45639</v>
      </c>
      <c r="T13165" t="s">
        <v>46435</v>
      </c>
      <c r="U13165" t="s">
        <v>57435</v>
      </c>
      <c r="W13165" t="s">
        <v>44633</v>
      </c>
      <c r="X13165" t="s">
        <v>44923</v>
      </c>
    </row>
    <row r="13166" spans="1:24">
      <c r="A13166">
        <f>HYPERLINK("https://www.philgeps.gov.ph/GEPSNONPILOT/Tender/SplashBidNoticeAbstractUI.aspx?menuIndex=3&amp;refID=7050418&amp;Result=3","7050418")</f>
        <v>0</v>
      </c>
      <c r="B13166" t="s">
        <v>3336</v>
      </c>
      <c r="C13166" t="s">
        <v>16109</v>
      </c>
      <c r="D13166" t="s">
        <v>18133</v>
      </c>
      <c r="E13166" t="s">
        <v>25211</v>
      </c>
      <c r="F13166" t="s">
        <v>31362</v>
      </c>
      <c r="G13166" t="s">
        <v>31369</v>
      </c>
      <c r="H13166" t="s">
        <v>15799</v>
      </c>
      <c r="I13166" t="s">
        <v>31385</v>
      </c>
      <c r="J13166" t="s">
        <v>39514</v>
      </c>
      <c r="K13166" t="s">
        <v>40661</v>
      </c>
      <c r="M13166" t="s">
        <v>44633</v>
      </c>
      <c r="N13166" t="s">
        <v>44905</v>
      </c>
      <c r="O13166" t="s">
        <v>44906</v>
      </c>
      <c r="P13166">
        <v>0</v>
      </c>
      <c r="Q13166">
        <v>2</v>
      </c>
      <c r="R13166" t="s">
        <v>44922</v>
      </c>
      <c r="S13166" t="s">
        <v>45639</v>
      </c>
      <c r="T13166" t="s">
        <v>46435</v>
      </c>
      <c r="U13166" t="s">
        <v>57436</v>
      </c>
      <c r="W13166" t="s">
        <v>44633</v>
      </c>
      <c r="X13166" t="s">
        <v>44923</v>
      </c>
    </row>
    <row r="13167" spans="1:24">
      <c r="A13167">
        <f>HYPERLINK("https://www.philgeps.gov.ph/GEPSNONPILOT/Tender/SplashBidNoticeAbstractUI.aspx?menuIndex=3&amp;refID=7050398&amp;Result=3","7050398")</f>
        <v>0</v>
      </c>
      <c r="B13167" t="s">
        <v>3332</v>
      </c>
      <c r="C13167" t="s">
        <v>16110</v>
      </c>
      <c r="D13167" t="s">
        <v>18101</v>
      </c>
      <c r="E13167" t="s">
        <v>24681</v>
      </c>
      <c r="F13167" t="s">
        <v>31362</v>
      </c>
      <c r="G13167" t="s">
        <v>31369</v>
      </c>
      <c r="H13167" t="s">
        <v>15799</v>
      </c>
      <c r="I13167" t="s">
        <v>3815</v>
      </c>
      <c r="J13167" t="s">
        <v>39515</v>
      </c>
      <c r="K13167" t="s">
        <v>40665</v>
      </c>
      <c r="M13167" t="s">
        <v>44629</v>
      </c>
      <c r="N13167" t="s">
        <v>44905</v>
      </c>
      <c r="O13167" t="s">
        <v>44906</v>
      </c>
      <c r="P13167">
        <v>0</v>
      </c>
      <c r="Q13167">
        <v>1</v>
      </c>
      <c r="R13167" t="s">
        <v>44922</v>
      </c>
      <c r="S13167" t="s">
        <v>45639</v>
      </c>
      <c r="T13167" t="s">
        <v>46533</v>
      </c>
      <c r="U13167" t="s">
        <v>57437</v>
      </c>
      <c r="W13167" t="s">
        <v>44629</v>
      </c>
      <c r="X13167" t="s">
        <v>44923</v>
      </c>
    </row>
    <row r="13168" spans="1:24">
      <c r="A13168">
        <f>HYPERLINK("https://www.philgeps.gov.ph/GEPSNONPILOT/Tender/SplashBidNoticeAbstractUI.aspx?menuIndex=3&amp;refID=7050380&amp;Result=3","7050380")</f>
        <v>0</v>
      </c>
      <c r="B13168" t="s">
        <v>3330</v>
      </c>
      <c r="C13168" t="s">
        <v>16111</v>
      </c>
      <c r="D13168" t="s">
        <v>18152</v>
      </c>
      <c r="E13168" t="s">
        <v>29588</v>
      </c>
      <c r="F13168" t="s">
        <v>31362</v>
      </c>
      <c r="G13168" t="s">
        <v>31369</v>
      </c>
      <c r="H13168" t="s">
        <v>15799</v>
      </c>
      <c r="I13168" t="s">
        <v>3815</v>
      </c>
      <c r="J13168" t="s">
        <v>33227</v>
      </c>
      <c r="K13168" t="s">
        <v>40670</v>
      </c>
      <c r="M13168" t="s">
        <v>44627</v>
      </c>
      <c r="N13168" t="s">
        <v>44905</v>
      </c>
      <c r="O13168" t="s">
        <v>44906</v>
      </c>
      <c r="P13168">
        <v>0</v>
      </c>
      <c r="Q13168">
        <v>1</v>
      </c>
      <c r="R13168" t="s">
        <v>44922</v>
      </c>
      <c r="S13168" t="s">
        <v>45639</v>
      </c>
      <c r="T13168" t="s">
        <v>46425</v>
      </c>
      <c r="U13168" t="s">
        <v>57438</v>
      </c>
      <c r="W13168" t="s">
        <v>44627</v>
      </c>
      <c r="X13168" t="s">
        <v>44923</v>
      </c>
    </row>
    <row r="13169" spans="1:24">
      <c r="A13169">
        <f>HYPERLINK("https://www.philgeps.gov.ph/GEPSNONPILOT/Tender/SplashBidNoticeAbstractUI.aspx?menuIndex=3&amp;refID=7050431&amp;Result=3","7050431")</f>
        <v>0</v>
      </c>
      <c r="B13169" t="s">
        <v>1427</v>
      </c>
      <c r="C13169" t="s">
        <v>16112</v>
      </c>
      <c r="D13169" t="s">
        <v>18127</v>
      </c>
      <c r="E13169" t="s">
        <v>16112</v>
      </c>
      <c r="F13169" t="s">
        <v>31362</v>
      </c>
      <c r="G13169" t="s">
        <v>31369</v>
      </c>
      <c r="H13169" t="s">
        <v>15799</v>
      </c>
      <c r="I13169" t="s">
        <v>4283</v>
      </c>
      <c r="J13169" t="s">
        <v>33551</v>
      </c>
      <c r="K13169" t="s">
        <v>40662</v>
      </c>
      <c r="M13169" t="s">
        <v>42455</v>
      </c>
      <c r="N13169" t="s">
        <v>44905</v>
      </c>
      <c r="O13169" t="s">
        <v>44906</v>
      </c>
      <c r="Q13169">
        <v>6</v>
      </c>
      <c r="R13169" t="s">
        <v>44922</v>
      </c>
      <c r="S13169" t="s">
        <v>45682</v>
      </c>
      <c r="T13169" t="s">
        <v>46425</v>
      </c>
      <c r="U13169" t="s">
        <v>57421</v>
      </c>
      <c r="V13169" t="s">
        <v>60013</v>
      </c>
      <c r="W13169" t="s">
        <v>42455</v>
      </c>
      <c r="X13169" t="s">
        <v>44923</v>
      </c>
    </row>
    <row r="13170" spans="1:24">
      <c r="A13170">
        <f>HYPERLINK("https://www.philgeps.gov.ph/GEPSNONPILOT/Tender/SplashBidNoticeAbstractUI.aspx?menuIndex=3&amp;refID=7049960&amp;Result=3","7049960")</f>
        <v>0</v>
      </c>
      <c r="B13170" t="s">
        <v>3324</v>
      </c>
      <c r="C13170" t="s">
        <v>16113</v>
      </c>
      <c r="D13170" t="s">
        <v>18152</v>
      </c>
      <c r="E13170" t="s">
        <v>19709</v>
      </c>
      <c r="F13170" t="s">
        <v>31362</v>
      </c>
      <c r="G13170" t="s">
        <v>31369</v>
      </c>
      <c r="H13170" t="s">
        <v>31378</v>
      </c>
      <c r="I13170" t="s">
        <v>31386</v>
      </c>
      <c r="J13170" t="s">
        <v>39516</v>
      </c>
      <c r="K13170" t="s">
        <v>40686</v>
      </c>
      <c r="M13170" t="s">
        <v>44620</v>
      </c>
      <c r="N13170" t="s">
        <v>44905</v>
      </c>
      <c r="O13170" t="s">
        <v>44906</v>
      </c>
      <c r="P13170">
        <v>0</v>
      </c>
      <c r="Q13170">
        <v>2</v>
      </c>
      <c r="R13170" t="s">
        <v>44922</v>
      </c>
      <c r="S13170" t="s">
        <v>45639</v>
      </c>
      <c r="T13170" t="s">
        <v>46549</v>
      </c>
      <c r="U13170" t="s">
        <v>57439</v>
      </c>
      <c r="V13170" t="s">
        <v>60536</v>
      </c>
      <c r="W13170" t="s">
        <v>44620</v>
      </c>
      <c r="X13170" t="s">
        <v>44923</v>
      </c>
    </row>
    <row r="13171" spans="1:24">
      <c r="A13171">
        <f>HYPERLINK("https://www.philgeps.gov.ph/GEPSNONPILOT/Tender/SplashBidNoticeAbstractUI.aspx?menuIndex=3&amp;refID=7050322&amp;Result=3","7050322")</f>
        <v>0</v>
      </c>
      <c r="B13171" t="s">
        <v>387</v>
      </c>
      <c r="C13171" t="s">
        <v>16114</v>
      </c>
      <c r="D13171" t="s">
        <v>18152</v>
      </c>
      <c r="E13171" t="s">
        <v>29589</v>
      </c>
      <c r="F13171" t="s">
        <v>31362</v>
      </c>
      <c r="G13171" t="s">
        <v>31369</v>
      </c>
      <c r="H13171" t="s">
        <v>15799</v>
      </c>
      <c r="I13171" t="s">
        <v>3815</v>
      </c>
      <c r="J13171" t="s">
        <v>39517</v>
      </c>
      <c r="K13171" t="s">
        <v>40665</v>
      </c>
      <c r="M13171" t="s">
        <v>41335</v>
      </c>
      <c r="N13171" t="s">
        <v>44905</v>
      </c>
      <c r="O13171" t="s">
        <v>44906</v>
      </c>
      <c r="P13171">
        <v>0</v>
      </c>
      <c r="Q13171">
        <v>0</v>
      </c>
      <c r="R13171" t="s">
        <v>44922</v>
      </c>
      <c r="S13171" t="s">
        <v>45639</v>
      </c>
      <c r="T13171" t="s">
        <v>46426</v>
      </c>
      <c r="U13171" t="s">
        <v>47597</v>
      </c>
      <c r="V13171" t="s">
        <v>59153</v>
      </c>
      <c r="W13171" t="s">
        <v>41335</v>
      </c>
      <c r="X13171" t="s">
        <v>44923</v>
      </c>
    </row>
    <row r="13172" spans="1:24">
      <c r="A13172">
        <f>HYPERLINK("https://www.philgeps.gov.ph/GEPSNONPILOT/Tender/SplashBidNoticeAbstractUI.aspx?menuIndex=3&amp;refID=7049946&amp;Result=3","7049946")</f>
        <v>0</v>
      </c>
      <c r="B13172" t="s">
        <v>3327</v>
      </c>
      <c r="C13172" t="s">
        <v>16115</v>
      </c>
      <c r="D13172" t="s">
        <v>18164</v>
      </c>
      <c r="E13172" t="s">
        <v>29590</v>
      </c>
      <c r="F13172" t="s">
        <v>31362</v>
      </c>
      <c r="G13172" t="s">
        <v>31369</v>
      </c>
      <c r="H13172" t="s">
        <v>31378</v>
      </c>
      <c r="I13172" t="s">
        <v>31386</v>
      </c>
      <c r="J13172" t="s">
        <v>32187</v>
      </c>
      <c r="K13172" t="s">
        <v>40931</v>
      </c>
      <c r="M13172" t="s">
        <v>44623</v>
      </c>
      <c r="N13172" t="s">
        <v>44905</v>
      </c>
      <c r="O13172" t="s">
        <v>44906</v>
      </c>
      <c r="Q13172">
        <v>0</v>
      </c>
      <c r="R13172" t="s">
        <v>44922</v>
      </c>
      <c r="S13172" t="s">
        <v>45683</v>
      </c>
      <c r="T13172" t="s">
        <v>46435</v>
      </c>
      <c r="U13172" t="s">
        <v>57440</v>
      </c>
      <c r="W13172" t="s">
        <v>44623</v>
      </c>
      <c r="X13172" t="s">
        <v>44923</v>
      </c>
    </row>
    <row r="13173" spans="1:24">
      <c r="A13173">
        <f>HYPERLINK("https://www.philgeps.gov.ph/GEPSNONPILOT/Tender/SplashBidNoticeAbstractUI.aspx?menuIndex=3&amp;refID=7049510&amp;Result=3","7049510")</f>
        <v>0</v>
      </c>
      <c r="B13173" t="s">
        <v>2187</v>
      </c>
      <c r="C13173" t="s">
        <v>16116</v>
      </c>
      <c r="D13173" t="s">
        <v>18108</v>
      </c>
      <c r="E13173" t="s">
        <v>29591</v>
      </c>
      <c r="F13173" t="s">
        <v>31362</v>
      </c>
      <c r="G13173" t="s">
        <v>31369</v>
      </c>
      <c r="H13173" t="s">
        <v>15799</v>
      </c>
      <c r="I13173" t="s">
        <v>3815</v>
      </c>
      <c r="J13173" t="s">
        <v>39518</v>
      </c>
      <c r="K13173" t="s">
        <v>40665</v>
      </c>
      <c r="M13173" t="s">
        <v>43318</v>
      </c>
      <c r="N13173" t="s">
        <v>44905</v>
      </c>
      <c r="O13173" t="s">
        <v>44906</v>
      </c>
      <c r="P13173">
        <v>0</v>
      </c>
      <c r="Q13173">
        <v>6</v>
      </c>
      <c r="R13173" t="s">
        <v>44922</v>
      </c>
      <c r="S13173" t="s">
        <v>45639</v>
      </c>
      <c r="T13173" t="s">
        <v>46447</v>
      </c>
      <c r="U13173" t="s">
        <v>57441</v>
      </c>
      <c r="W13173" t="s">
        <v>43318</v>
      </c>
      <c r="X13173" t="s">
        <v>44924</v>
      </c>
    </row>
    <row r="13174" spans="1:24">
      <c r="A13174">
        <f>HYPERLINK("https://www.philgeps.gov.ph/GEPSNONPILOT/Tender/SplashBidNoticeAbstractUI.aspx?menuIndex=3&amp;refID=7050390&amp;Result=3","7050390")</f>
        <v>0</v>
      </c>
      <c r="B13174" t="s">
        <v>2903</v>
      </c>
      <c r="C13174" t="s">
        <v>16117</v>
      </c>
      <c r="D13174" t="s">
        <v>18147</v>
      </c>
      <c r="E13174" t="s">
        <v>29592</v>
      </c>
      <c r="F13174" t="s">
        <v>31362</v>
      </c>
      <c r="G13174" t="s">
        <v>31369</v>
      </c>
      <c r="H13174" t="s">
        <v>31378</v>
      </c>
      <c r="I13174" t="s">
        <v>31386</v>
      </c>
      <c r="J13174" t="s">
        <v>39519</v>
      </c>
      <c r="K13174" t="s">
        <v>40682</v>
      </c>
      <c r="M13174" t="s">
        <v>44118</v>
      </c>
      <c r="N13174" t="s">
        <v>44905</v>
      </c>
      <c r="O13174" t="s">
        <v>44906</v>
      </c>
      <c r="P13174">
        <v>0</v>
      </c>
      <c r="Q13174">
        <v>0</v>
      </c>
      <c r="R13174" t="s">
        <v>44922</v>
      </c>
      <c r="S13174" t="s">
        <v>45639</v>
      </c>
      <c r="T13174" t="s">
        <v>46560</v>
      </c>
      <c r="U13174" t="s">
        <v>57442</v>
      </c>
      <c r="W13174" t="s">
        <v>44118</v>
      </c>
      <c r="X13174" t="s">
        <v>44923</v>
      </c>
    </row>
    <row r="13175" spans="1:24">
      <c r="A13175">
        <f>HYPERLINK("https://www.philgeps.gov.ph/GEPSNONPILOT/Tender/SplashBidNoticeAbstractUI.aspx?menuIndex=3&amp;refID=7050204&amp;Result=3","7050204")</f>
        <v>0</v>
      </c>
      <c r="B13175" t="s">
        <v>406</v>
      </c>
      <c r="C13175" t="s">
        <v>16118</v>
      </c>
      <c r="E13175" t="s">
        <v>29593</v>
      </c>
      <c r="F13175" t="s">
        <v>31362</v>
      </c>
      <c r="G13175" t="s">
        <v>31369</v>
      </c>
      <c r="H13175" t="s">
        <v>15799</v>
      </c>
      <c r="I13175" t="s">
        <v>31382</v>
      </c>
      <c r="J13175" t="s">
        <v>31709</v>
      </c>
      <c r="K13175" t="s">
        <v>40662</v>
      </c>
      <c r="M13175" t="s">
        <v>41356</v>
      </c>
      <c r="N13175" t="s">
        <v>44905</v>
      </c>
      <c r="O13175" t="s">
        <v>44906</v>
      </c>
      <c r="Q13175">
        <v>36</v>
      </c>
      <c r="R13175" t="s">
        <v>44922</v>
      </c>
      <c r="S13175" t="s">
        <v>45684</v>
      </c>
      <c r="T13175" t="s">
        <v>46432</v>
      </c>
      <c r="U13175" t="s">
        <v>56247</v>
      </c>
      <c r="W13175" t="s">
        <v>41356</v>
      </c>
      <c r="X13175" t="s">
        <v>44923</v>
      </c>
    </row>
    <row r="13176" spans="1:24">
      <c r="A13176">
        <f>HYPERLINK("https://www.philgeps.gov.ph/GEPSNONPILOT/Tender/SplashBidNoticeAbstractUI.aspx?menuIndex=3&amp;refID=7049504&amp;Result=3","7049504")</f>
        <v>0</v>
      </c>
      <c r="B13176" t="s">
        <v>400</v>
      </c>
      <c r="C13176" t="s">
        <v>16119</v>
      </c>
      <c r="D13176" t="s">
        <v>18178</v>
      </c>
      <c r="E13176" t="s">
        <v>29594</v>
      </c>
      <c r="F13176" t="s">
        <v>31362</v>
      </c>
      <c r="G13176" t="s">
        <v>31369</v>
      </c>
      <c r="H13176" t="s">
        <v>15799</v>
      </c>
      <c r="I13176" t="s">
        <v>31431</v>
      </c>
      <c r="J13176" t="s">
        <v>31897</v>
      </c>
      <c r="K13176" t="s">
        <v>40661</v>
      </c>
      <c r="M13176" t="s">
        <v>41349</v>
      </c>
      <c r="N13176" t="s">
        <v>44905</v>
      </c>
      <c r="O13176" t="s">
        <v>44906</v>
      </c>
      <c r="P13176">
        <v>0</v>
      </c>
      <c r="Q13176">
        <v>0</v>
      </c>
      <c r="R13176" t="s">
        <v>44922</v>
      </c>
      <c r="S13176" t="s">
        <v>45639</v>
      </c>
      <c r="T13176" t="s">
        <v>46480</v>
      </c>
      <c r="U13176" t="s">
        <v>57443</v>
      </c>
      <c r="V13176" t="s">
        <v>60537</v>
      </c>
      <c r="W13176" t="s">
        <v>41349</v>
      </c>
      <c r="X13176" t="s">
        <v>44924</v>
      </c>
    </row>
    <row r="13177" spans="1:24">
      <c r="A13177">
        <f>HYPERLINK("https://www.philgeps.gov.ph/GEPSNONPILOT/Tender/SplashBidNoticeAbstractUI.aspx?menuIndex=3&amp;refID=7049558&amp;Result=3","7049558")</f>
        <v>0</v>
      </c>
      <c r="B13177" t="s">
        <v>321</v>
      </c>
      <c r="C13177" t="s">
        <v>16120</v>
      </c>
      <c r="D13177" t="s">
        <v>18108</v>
      </c>
      <c r="E13177" t="s">
        <v>29595</v>
      </c>
      <c r="F13177" t="s">
        <v>31362</v>
      </c>
      <c r="G13177" t="s">
        <v>31369</v>
      </c>
      <c r="H13177" t="s">
        <v>31379</v>
      </c>
      <c r="I13177" t="s">
        <v>31481</v>
      </c>
      <c r="J13177" t="s">
        <v>39520</v>
      </c>
      <c r="K13177" t="s">
        <v>40679</v>
      </c>
      <c r="M13177" t="s">
        <v>41267</v>
      </c>
      <c r="N13177" t="s">
        <v>44905</v>
      </c>
      <c r="O13177" t="s">
        <v>44906</v>
      </c>
      <c r="Q13177">
        <v>13</v>
      </c>
      <c r="R13177" t="s">
        <v>44922</v>
      </c>
      <c r="S13177" t="s">
        <v>45685</v>
      </c>
      <c r="T13177" t="s">
        <v>46426</v>
      </c>
      <c r="U13177" t="s">
        <v>47466</v>
      </c>
      <c r="V13177" t="s">
        <v>59133</v>
      </c>
      <c r="W13177" t="s">
        <v>41267</v>
      </c>
      <c r="X13177" t="s">
        <v>44924</v>
      </c>
    </row>
    <row r="13178" spans="1:24">
      <c r="A13178">
        <f>HYPERLINK("https://www.philgeps.gov.ph/GEPSNONPILOT/Tender/SplashBidNoticeAbstractUI.aspx?menuIndex=3&amp;refID=7049490&amp;Result=3","7049490")</f>
        <v>0</v>
      </c>
      <c r="B13178" t="s">
        <v>48</v>
      </c>
      <c r="C13178" t="s">
        <v>16121</v>
      </c>
      <c r="D13178" t="s">
        <v>18117</v>
      </c>
      <c r="E13178" t="s">
        <v>29596</v>
      </c>
      <c r="F13178" t="s">
        <v>31362</v>
      </c>
      <c r="G13178" t="s">
        <v>31369</v>
      </c>
      <c r="H13178" t="s">
        <v>31378</v>
      </c>
      <c r="I13178" t="s">
        <v>31386</v>
      </c>
      <c r="J13178" t="s">
        <v>31607</v>
      </c>
      <c r="K13178" t="s">
        <v>40675</v>
      </c>
      <c r="M13178" t="s">
        <v>44617</v>
      </c>
      <c r="N13178" t="s">
        <v>44905</v>
      </c>
      <c r="O13178" t="s">
        <v>44906</v>
      </c>
      <c r="P13178">
        <v>0</v>
      </c>
      <c r="Q13178">
        <v>0</v>
      </c>
      <c r="R13178" t="s">
        <v>44922</v>
      </c>
      <c r="S13178" t="s">
        <v>45639</v>
      </c>
      <c r="T13178" t="s">
        <v>46403</v>
      </c>
      <c r="U13178" t="s">
        <v>57364</v>
      </c>
      <c r="V13178" t="s">
        <v>59231</v>
      </c>
      <c r="W13178" t="s">
        <v>44617</v>
      </c>
      <c r="X13178" t="s">
        <v>44924</v>
      </c>
    </row>
    <row r="13179" spans="1:24">
      <c r="A13179">
        <f>HYPERLINK("https://www.philgeps.gov.ph/GEPSNONPILOT/Tender/SplashBidNoticeAbstractUI.aspx?menuIndex=3&amp;refID=7055577&amp;Result=3","7055577")</f>
        <v>0</v>
      </c>
      <c r="B13179" t="s">
        <v>3302</v>
      </c>
      <c r="C13179" t="s">
        <v>16122</v>
      </c>
      <c r="D13179" t="s">
        <v>18155</v>
      </c>
      <c r="E13179" t="s">
        <v>29597</v>
      </c>
      <c r="F13179" t="s">
        <v>31362</v>
      </c>
      <c r="G13179" t="s">
        <v>31369</v>
      </c>
      <c r="H13179" t="s">
        <v>31378</v>
      </c>
      <c r="I13179" t="s">
        <v>31386</v>
      </c>
      <c r="J13179" t="s">
        <v>31625</v>
      </c>
      <c r="K13179" t="s">
        <v>40662</v>
      </c>
      <c r="M13179" t="s">
        <v>44593</v>
      </c>
      <c r="N13179" t="s">
        <v>44905</v>
      </c>
      <c r="O13179" t="s">
        <v>44906</v>
      </c>
      <c r="P13179">
        <v>0</v>
      </c>
      <c r="Q13179">
        <v>0</v>
      </c>
      <c r="R13179" t="s">
        <v>44921</v>
      </c>
      <c r="S13179" t="s">
        <v>45564</v>
      </c>
      <c r="T13179" t="s">
        <v>46860</v>
      </c>
      <c r="U13179" t="s">
        <v>57444</v>
      </c>
      <c r="V13179" t="s">
        <v>60485</v>
      </c>
      <c r="W13179" t="s">
        <v>60965</v>
      </c>
      <c r="X13179" t="s">
        <v>44922</v>
      </c>
    </row>
    <row r="13180" spans="1:24">
      <c r="A13180">
        <f>HYPERLINK("https://www.philgeps.gov.ph/GEPSNONPILOT/Tender/SplashBidNoticeAbstractUI.aspx?menuIndex=3&amp;refID=7055570&amp;Result=3","7055570")</f>
        <v>0</v>
      </c>
      <c r="B13180" t="s">
        <v>3302</v>
      </c>
      <c r="C13180" t="s">
        <v>16123</v>
      </c>
      <c r="D13180" t="s">
        <v>18155</v>
      </c>
      <c r="E13180" t="s">
        <v>29598</v>
      </c>
      <c r="F13180" t="s">
        <v>31362</v>
      </c>
      <c r="G13180" t="s">
        <v>31369</v>
      </c>
      <c r="H13180" t="s">
        <v>31378</v>
      </c>
      <c r="I13180" t="s">
        <v>31386</v>
      </c>
      <c r="J13180" t="s">
        <v>31625</v>
      </c>
      <c r="K13180" t="s">
        <v>40662</v>
      </c>
      <c r="M13180" t="s">
        <v>44593</v>
      </c>
      <c r="N13180" t="s">
        <v>44905</v>
      </c>
      <c r="O13180" t="s">
        <v>44906</v>
      </c>
      <c r="P13180">
        <v>0</v>
      </c>
      <c r="Q13180">
        <v>0</v>
      </c>
      <c r="R13180" t="s">
        <v>44921</v>
      </c>
      <c r="S13180" t="s">
        <v>45564</v>
      </c>
      <c r="T13180" t="s">
        <v>46860</v>
      </c>
      <c r="U13180" t="s">
        <v>57445</v>
      </c>
      <c r="V13180" t="s">
        <v>60485</v>
      </c>
      <c r="W13180" t="s">
        <v>60965</v>
      </c>
      <c r="X13180" t="s">
        <v>44922</v>
      </c>
    </row>
    <row r="13181" spans="1:24">
      <c r="A13181">
        <f>HYPERLINK("https://www.philgeps.gov.ph/GEPSNONPILOT/Tender/SplashBidNoticeAbstractUI.aspx?menuIndex=3&amp;refID=7055578&amp;Result=3","7055578")</f>
        <v>0</v>
      </c>
      <c r="B13181" t="s">
        <v>462</v>
      </c>
      <c r="C13181" t="s">
        <v>16124</v>
      </c>
      <c r="D13181" t="s">
        <v>18150</v>
      </c>
      <c r="E13181" t="s">
        <v>24370</v>
      </c>
      <c r="F13181" t="s">
        <v>31362</v>
      </c>
      <c r="G13181" t="s">
        <v>31369</v>
      </c>
      <c r="H13181" t="s">
        <v>31378</v>
      </c>
      <c r="I13181" t="s">
        <v>31386</v>
      </c>
      <c r="J13181" t="s">
        <v>39521</v>
      </c>
      <c r="K13181" t="s">
        <v>40932</v>
      </c>
      <c r="M13181" t="s">
        <v>41416</v>
      </c>
      <c r="N13181" t="s">
        <v>44905</v>
      </c>
      <c r="O13181" t="s">
        <v>44906</v>
      </c>
      <c r="P13181">
        <v>0</v>
      </c>
      <c r="Q13181">
        <v>9</v>
      </c>
      <c r="R13181" t="s">
        <v>44921</v>
      </c>
      <c r="S13181" t="s">
        <v>45564</v>
      </c>
      <c r="T13181" t="s">
        <v>46426</v>
      </c>
      <c r="U13181" t="s">
        <v>57446</v>
      </c>
      <c r="W13181" t="s">
        <v>41416</v>
      </c>
      <c r="X13181" t="s">
        <v>44922</v>
      </c>
    </row>
    <row r="13182" spans="1:24">
      <c r="A13182">
        <f>HYPERLINK("https://www.philgeps.gov.ph/GEPSNONPILOT/Tender/SplashBidNoticeAbstractUI.aspx?menuIndex=3&amp;refID=7054277&amp;Result=3","7054277")</f>
        <v>0</v>
      </c>
      <c r="B13182" t="s">
        <v>3025</v>
      </c>
      <c r="C13182" t="s">
        <v>15808</v>
      </c>
      <c r="D13182" t="s">
        <v>18170</v>
      </c>
      <c r="E13182" t="s">
        <v>29599</v>
      </c>
      <c r="F13182" t="s">
        <v>31362</v>
      </c>
      <c r="G13182" t="s">
        <v>31369</v>
      </c>
      <c r="H13182" t="s">
        <v>31378</v>
      </c>
      <c r="I13182" t="s">
        <v>31386</v>
      </c>
      <c r="J13182" t="s">
        <v>39522</v>
      </c>
      <c r="K13182" t="s">
        <v>40679</v>
      </c>
      <c r="M13182" t="s">
        <v>44258</v>
      </c>
      <c r="N13182" t="s">
        <v>44905</v>
      </c>
      <c r="O13182" t="s">
        <v>44906</v>
      </c>
      <c r="P13182">
        <v>0</v>
      </c>
      <c r="Q13182">
        <v>1</v>
      </c>
      <c r="R13182" t="s">
        <v>44921</v>
      </c>
      <c r="S13182" t="s">
        <v>45564</v>
      </c>
      <c r="T13182" t="s">
        <v>46560</v>
      </c>
      <c r="U13182" t="s">
        <v>57447</v>
      </c>
      <c r="V13182" t="s">
        <v>60538</v>
      </c>
      <c r="W13182" t="s">
        <v>44258</v>
      </c>
      <c r="X13182" t="s">
        <v>44922</v>
      </c>
    </row>
    <row r="13183" spans="1:24">
      <c r="A13183">
        <f>HYPERLINK("https://www.philgeps.gov.ph/GEPSNONPILOT/Tender/SplashBidNoticeAbstractUI.aspx?menuIndex=3&amp;refID=7054129&amp;Result=3","7054129")</f>
        <v>0</v>
      </c>
      <c r="B13183" t="s">
        <v>3238</v>
      </c>
      <c r="C13183" t="s">
        <v>16125</v>
      </c>
      <c r="E13183" t="s">
        <v>29600</v>
      </c>
      <c r="F13183" t="s">
        <v>31362</v>
      </c>
      <c r="G13183" t="s">
        <v>31369</v>
      </c>
      <c r="H13183" t="s">
        <v>15799</v>
      </c>
      <c r="I13183" t="s">
        <v>7719</v>
      </c>
      <c r="J13183" t="s">
        <v>39523</v>
      </c>
      <c r="K13183" t="s">
        <v>40662</v>
      </c>
      <c r="M13183" t="s">
        <v>44515</v>
      </c>
      <c r="N13183" t="s">
        <v>44905</v>
      </c>
      <c r="O13183" t="s">
        <v>44906</v>
      </c>
      <c r="Q13183">
        <v>22</v>
      </c>
      <c r="R13183" t="s">
        <v>44921</v>
      </c>
      <c r="S13183" t="s">
        <v>45686</v>
      </c>
      <c r="T13183" t="s">
        <v>46405</v>
      </c>
      <c r="U13183" t="s">
        <v>57448</v>
      </c>
      <c r="V13183" t="s">
        <v>60479</v>
      </c>
      <c r="W13183" t="s">
        <v>44515</v>
      </c>
      <c r="X13183" t="s">
        <v>44922</v>
      </c>
    </row>
    <row r="13184" spans="1:24">
      <c r="A13184">
        <f>HYPERLINK("https://www.philgeps.gov.ph/GEPSNONPILOT/Tender/SplashBidNoticeAbstractUI.aspx?menuIndex=3&amp;refID=7054112&amp;Result=3","7054112")</f>
        <v>0</v>
      </c>
      <c r="B13184" t="s">
        <v>3285</v>
      </c>
      <c r="C13184" t="s">
        <v>16126</v>
      </c>
      <c r="D13184" t="s">
        <v>18100</v>
      </c>
      <c r="E13184" t="s">
        <v>29601</v>
      </c>
      <c r="F13184" t="s">
        <v>31362</v>
      </c>
      <c r="G13184" t="s">
        <v>31369</v>
      </c>
      <c r="H13184" t="s">
        <v>15799</v>
      </c>
      <c r="I13184" t="s">
        <v>3815</v>
      </c>
      <c r="J13184" t="s">
        <v>31768</v>
      </c>
      <c r="K13184" t="s">
        <v>40661</v>
      </c>
      <c r="L13184" t="s">
        <v>3285</v>
      </c>
      <c r="M13184" t="s">
        <v>44571</v>
      </c>
      <c r="N13184" t="s">
        <v>44905</v>
      </c>
      <c r="O13184" t="s">
        <v>44906</v>
      </c>
      <c r="P13184">
        <v>0</v>
      </c>
      <c r="Q13184">
        <v>0</v>
      </c>
      <c r="R13184" t="s">
        <v>44921</v>
      </c>
      <c r="S13184" t="s">
        <v>45564</v>
      </c>
      <c r="T13184" t="s">
        <v>46396</v>
      </c>
      <c r="U13184" t="s">
        <v>57154</v>
      </c>
      <c r="V13184" t="s">
        <v>60464</v>
      </c>
      <c r="W13184" t="s">
        <v>44571</v>
      </c>
      <c r="X13184" t="s">
        <v>44922</v>
      </c>
    </row>
    <row r="13185" spans="1:24">
      <c r="A13185">
        <f>HYPERLINK("https://www.philgeps.gov.ph/GEPSNONPILOT/Tender/SplashBidNoticeAbstractUI.aspx?menuIndex=3&amp;refID=7055560&amp;Result=3","7055560")</f>
        <v>0</v>
      </c>
      <c r="B13185" t="s">
        <v>3302</v>
      </c>
      <c r="C13185" t="s">
        <v>16127</v>
      </c>
      <c r="D13185" t="s">
        <v>18155</v>
      </c>
      <c r="E13185" t="s">
        <v>29602</v>
      </c>
      <c r="F13185" t="s">
        <v>31362</v>
      </c>
      <c r="G13185" t="s">
        <v>31369</v>
      </c>
      <c r="H13185" t="s">
        <v>31378</v>
      </c>
      <c r="I13185" t="s">
        <v>31386</v>
      </c>
      <c r="J13185" t="s">
        <v>31606</v>
      </c>
      <c r="K13185" t="s">
        <v>40662</v>
      </c>
      <c r="M13185" t="s">
        <v>44593</v>
      </c>
      <c r="N13185" t="s">
        <v>44905</v>
      </c>
      <c r="O13185" t="s">
        <v>44906</v>
      </c>
      <c r="P13185">
        <v>0</v>
      </c>
      <c r="Q13185">
        <v>0</v>
      </c>
      <c r="R13185" t="s">
        <v>44921</v>
      </c>
      <c r="S13185" t="s">
        <v>45564</v>
      </c>
      <c r="T13185" t="s">
        <v>46860</v>
      </c>
      <c r="U13185" t="s">
        <v>57449</v>
      </c>
      <c r="V13185" t="s">
        <v>60485</v>
      </c>
      <c r="W13185" t="s">
        <v>60965</v>
      </c>
      <c r="X13185" t="s">
        <v>44922</v>
      </c>
    </row>
    <row r="13186" spans="1:24">
      <c r="A13186">
        <f>HYPERLINK("https://www.philgeps.gov.ph/GEPSNONPILOT/Tender/SplashBidNoticeAbstractUI.aspx?menuIndex=3&amp;refID=7055530&amp;Result=3","7055530")</f>
        <v>0</v>
      </c>
      <c r="B13186" t="s">
        <v>1519</v>
      </c>
      <c r="C13186" t="s">
        <v>16128</v>
      </c>
      <c r="D13186" t="s">
        <v>18108</v>
      </c>
      <c r="E13186" t="s">
        <v>29603</v>
      </c>
      <c r="F13186" t="s">
        <v>31362</v>
      </c>
      <c r="G13186" t="s">
        <v>31369</v>
      </c>
      <c r="H13186" t="s">
        <v>31378</v>
      </c>
      <c r="I13186" t="s">
        <v>31386</v>
      </c>
      <c r="J13186" t="s">
        <v>39524</v>
      </c>
      <c r="K13186" t="s">
        <v>40692</v>
      </c>
      <c r="M13186" t="s">
        <v>42656</v>
      </c>
      <c r="N13186" t="s">
        <v>44905</v>
      </c>
      <c r="O13186" t="s">
        <v>44906</v>
      </c>
      <c r="Q13186">
        <v>20</v>
      </c>
      <c r="R13186" t="s">
        <v>44921</v>
      </c>
      <c r="S13186" t="s">
        <v>45687</v>
      </c>
      <c r="T13186" t="s">
        <v>46435</v>
      </c>
      <c r="U13186" t="s">
        <v>50837</v>
      </c>
      <c r="W13186" t="s">
        <v>42656</v>
      </c>
      <c r="X13186" t="s">
        <v>44922</v>
      </c>
    </row>
    <row r="13187" spans="1:24">
      <c r="A13187">
        <f>HYPERLINK("https://www.philgeps.gov.ph/GEPSNONPILOT/Tender/SplashBidNoticeAbstractUI.aspx?menuIndex=3&amp;refID=7054102&amp;Result=3","7054102")</f>
        <v>0</v>
      </c>
      <c r="B13187" t="s">
        <v>3288</v>
      </c>
      <c r="C13187" t="s">
        <v>16129</v>
      </c>
      <c r="D13187" t="s">
        <v>18153</v>
      </c>
      <c r="E13187" t="s">
        <v>29604</v>
      </c>
      <c r="F13187" t="s">
        <v>31362</v>
      </c>
      <c r="G13187" t="s">
        <v>31369</v>
      </c>
      <c r="H13187" t="s">
        <v>15799</v>
      </c>
      <c r="I13187" t="s">
        <v>3815</v>
      </c>
      <c r="J13187" t="s">
        <v>39525</v>
      </c>
      <c r="K13187" t="s">
        <v>40670</v>
      </c>
      <c r="M13187" t="s">
        <v>44574</v>
      </c>
      <c r="N13187" t="s">
        <v>44905</v>
      </c>
      <c r="O13187" t="s">
        <v>44906</v>
      </c>
      <c r="P13187">
        <v>0</v>
      </c>
      <c r="Q13187">
        <v>0</v>
      </c>
      <c r="R13187" t="s">
        <v>44921</v>
      </c>
      <c r="S13187" t="s">
        <v>45564</v>
      </c>
      <c r="T13187" t="s">
        <v>46692</v>
      </c>
      <c r="U13187" t="s">
        <v>57450</v>
      </c>
      <c r="V13187" t="s">
        <v>60539</v>
      </c>
      <c r="W13187" t="s">
        <v>44574</v>
      </c>
      <c r="X13187" t="s">
        <v>44922</v>
      </c>
    </row>
    <row r="13188" spans="1:24">
      <c r="A13188">
        <f>HYPERLINK("https://www.philgeps.gov.ph/GEPSNONPILOT/Tender/SplashBidNoticeAbstractUI.aspx?menuIndex=3&amp;refID=7054107&amp;Result=3","7054107")</f>
        <v>0</v>
      </c>
      <c r="B13188" t="s">
        <v>3025</v>
      </c>
      <c r="C13188" t="s">
        <v>15791</v>
      </c>
      <c r="D13188" t="s">
        <v>18170</v>
      </c>
      <c r="E13188" t="s">
        <v>29605</v>
      </c>
      <c r="F13188" t="s">
        <v>31362</v>
      </c>
      <c r="G13188" t="s">
        <v>31369</v>
      </c>
      <c r="H13188" t="s">
        <v>31378</v>
      </c>
      <c r="I13188" t="s">
        <v>31386</v>
      </c>
      <c r="J13188" t="s">
        <v>39526</v>
      </c>
      <c r="K13188" t="s">
        <v>40679</v>
      </c>
      <c r="M13188" t="s">
        <v>44258</v>
      </c>
      <c r="N13188" t="s">
        <v>44905</v>
      </c>
      <c r="O13188" t="s">
        <v>44906</v>
      </c>
      <c r="P13188">
        <v>0</v>
      </c>
      <c r="Q13188">
        <v>1</v>
      </c>
      <c r="R13188" t="s">
        <v>44921</v>
      </c>
      <c r="S13188" t="s">
        <v>45564</v>
      </c>
      <c r="T13188" t="s">
        <v>46560</v>
      </c>
      <c r="U13188" t="s">
        <v>57451</v>
      </c>
      <c r="V13188" t="s">
        <v>60540</v>
      </c>
      <c r="W13188" t="s">
        <v>44258</v>
      </c>
      <c r="X13188" t="s">
        <v>44922</v>
      </c>
    </row>
    <row r="13189" spans="1:24">
      <c r="A13189">
        <f>HYPERLINK("https://www.philgeps.gov.ph/GEPSNONPILOT/Tender/SplashBidNoticeAbstractUI.aspx?menuIndex=3&amp;refID=7053717&amp;Result=3","7053717")</f>
        <v>0</v>
      </c>
      <c r="B13189" t="s">
        <v>2677</v>
      </c>
      <c r="C13189" t="s">
        <v>16130</v>
      </c>
      <c r="D13189" t="s">
        <v>18133</v>
      </c>
      <c r="E13189" t="s">
        <v>10823</v>
      </c>
      <c r="F13189" t="s">
        <v>31362</v>
      </c>
      <c r="G13189" t="s">
        <v>31369</v>
      </c>
      <c r="H13189" t="s">
        <v>31378</v>
      </c>
      <c r="I13189" t="s">
        <v>31386</v>
      </c>
      <c r="J13189" t="s">
        <v>34355</v>
      </c>
      <c r="K13189" t="s">
        <v>40666</v>
      </c>
      <c r="M13189" t="s">
        <v>43863</v>
      </c>
      <c r="N13189" t="s">
        <v>44905</v>
      </c>
      <c r="O13189" t="s">
        <v>44906</v>
      </c>
      <c r="P13189">
        <v>0</v>
      </c>
      <c r="Q13189">
        <v>0</v>
      </c>
      <c r="R13189" t="s">
        <v>44921</v>
      </c>
      <c r="S13189" t="s">
        <v>45564</v>
      </c>
      <c r="T13189" t="s">
        <v>46391</v>
      </c>
      <c r="U13189" t="s">
        <v>57452</v>
      </c>
      <c r="W13189" t="s">
        <v>43863</v>
      </c>
      <c r="X13189" t="s">
        <v>44922</v>
      </c>
    </row>
    <row r="13190" spans="1:24">
      <c r="A13190">
        <f>HYPERLINK("https://www.philgeps.gov.ph/GEPSNONPILOT/Tender/SplashBidNoticeAbstractUI.aspx?menuIndex=3&amp;refID=7054105&amp;Result=3","7054105")</f>
        <v>0</v>
      </c>
      <c r="B13190" t="s">
        <v>3290</v>
      </c>
      <c r="C13190" t="s">
        <v>16131</v>
      </c>
      <c r="D13190" t="s">
        <v>18110</v>
      </c>
      <c r="E13190" t="s">
        <v>29606</v>
      </c>
      <c r="F13190" t="s">
        <v>31362</v>
      </c>
      <c r="G13190" t="s">
        <v>31369</v>
      </c>
      <c r="H13190" t="s">
        <v>31378</v>
      </c>
      <c r="I13190" t="s">
        <v>31386</v>
      </c>
      <c r="J13190" t="s">
        <v>39527</v>
      </c>
      <c r="K13190" t="s">
        <v>40682</v>
      </c>
      <c r="M13190" t="s">
        <v>44577</v>
      </c>
      <c r="N13190" t="s">
        <v>44905</v>
      </c>
      <c r="O13190" t="s">
        <v>44906</v>
      </c>
      <c r="Q13190">
        <v>10</v>
      </c>
      <c r="R13190" t="s">
        <v>44921</v>
      </c>
      <c r="S13190" t="s">
        <v>45688</v>
      </c>
      <c r="T13190" t="s">
        <v>46435</v>
      </c>
      <c r="U13190" t="s">
        <v>57160</v>
      </c>
      <c r="V13190" t="s">
        <v>60466</v>
      </c>
      <c r="W13190" t="s">
        <v>44577</v>
      </c>
      <c r="X13190" t="s">
        <v>44922</v>
      </c>
    </row>
    <row r="13191" spans="1:24">
      <c r="A13191">
        <f>HYPERLINK("https://www.philgeps.gov.ph/GEPSNONPILOT/Tender/SplashBidNoticeAbstractUI.aspx?menuIndex=3&amp;refID=7049477&amp;Result=3","7049477")</f>
        <v>0</v>
      </c>
      <c r="B13191" t="s">
        <v>48</v>
      </c>
      <c r="C13191" t="s">
        <v>16132</v>
      </c>
      <c r="D13191" t="s">
        <v>18117</v>
      </c>
      <c r="E13191" t="s">
        <v>29607</v>
      </c>
      <c r="F13191" t="s">
        <v>31362</v>
      </c>
      <c r="G13191" t="s">
        <v>31369</v>
      </c>
      <c r="H13191" t="s">
        <v>31378</v>
      </c>
      <c r="I13191" t="s">
        <v>31386</v>
      </c>
      <c r="J13191" t="s">
        <v>39528</v>
      </c>
      <c r="K13191" t="s">
        <v>40683</v>
      </c>
      <c r="M13191" t="s">
        <v>44617</v>
      </c>
      <c r="N13191" t="s">
        <v>44905</v>
      </c>
      <c r="O13191" t="s">
        <v>44906</v>
      </c>
      <c r="P13191">
        <v>0</v>
      </c>
      <c r="Q13191">
        <v>1</v>
      </c>
      <c r="R13191" t="s">
        <v>44922</v>
      </c>
      <c r="S13191" t="s">
        <v>45639</v>
      </c>
      <c r="T13191" t="s">
        <v>46403</v>
      </c>
      <c r="U13191" t="s">
        <v>57364</v>
      </c>
      <c r="V13191" t="s">
        <v>59231</v>
      </c>
      <c r="W13191" t="s">
        <v>44617</v>
      </c>
      <c r="X13191" t="s">
        <v>44924</v>
      </c>
    </row>
    <row r="13192" spans="1:24">
      <c r="A13192">
        <f>HYPERLINK("https://www.philgeps.gov.ph/GEPSNONPILOT/Tender/SplashBidNoticeAbstractUI.aspx?menuIndex=3&amp;refID=7050339&amp;Result=3","7050339")</f>
        <v>0</v>
      </c>
      <c r="B13192" t="s">
        <v>3227</v>
      </c>
      <c r="C13192" t="s">
        <v>16133</v>
      </c>
      <c r="D13192" t="s">
        <v>18130</v>
      </c>
      <c r="E13192" t="s">
        <v>29608</v>
      </c>
      <c r="F13192" t="s">
        <v>31362</v>
      </c>
      <c r="G13192" t="s">
        <v>31369</v>
      </c>
      <c r="H13192" t="s">
        <v>31378</v>
      </c>
      <c r="I13192" t="s">
        <v>31386</v>
      </c>
      <c r="J13192" t="s">
        <v>31637</v>
      </c>
      <c r="K13192" t="s">
        <v>40686</v>
      </c>
      <c r="M13192" t="s">
        <v>44503</v>
      </c>
      <c r="N13192" t="s">
        <v>44905</v>
      </c>
      <c r="O13192" t="s">
        <v>44906</v>
      </c>
      <c r="P13192">
        <v>0</v>
      </c>
      <c r="Q13192">
        <v>1</v>
      </c>
      <c r="R13192" t="s">
        <v>44922</v>
      </c>
      <c r="S13192" t="s">
        <v>45639</v>
      </c>
      <c r="T13192" t="s">
        <v>46416</v>
      </c>
      <c r="U13192" t="s">
        <v>57453</v>
      </c>
      <c r="W13192" t="s">
        <v>44503</v>
      </c>
      <c r="X13192" t="s">
        <v>44923</v>
      </c>
    </row>
    <row r="13193" spans="1:24">
      <c r="A13193">
        <f>HYPERLINK("https://www.philgeps.gov.ph/GEPSNONPILOT/Tender/SplashBidNoticeAbstractUI.aspx?menuIndex=3&amp;refID=7053282&amp;Result=3","7053282")</f>
        <v>0</v>
      </c>
      <c r="B13193" t="s">
        <v>3337</v>
      </c>
      <c r="C13193" t="s">
        <v>16134</v>
      </c>
      <c r="D13193" t="s">
        <v>18112</v>
      </c>
      <c r="E13193" t="s">
        <v>18514</v>
      </c>
      <c r="F13193" t="s">
        <v>31362</v>
      </c>
      <c r="G13193" t="s">
        <v>31373</v>
      </c>
      <c r="H13193" t="s">
        <v>15799</v>
      </c>
      <c r="I13193" t="s">
        <v>31398</v>
      </c>
      <c r="J13193" t="s">
        <v>32263</v>
      </c>
      <c r="K13193" t="s">
        <v>40666</v>
      </c>
      <c r="M13193" t="s">
        <v>44634</v>
      </c>
      <c r="N13193" t="s">
        <v>44905</v>
      </c>
      <c r="O13193" t="s">
        <v>44906</v>
      </c>
      <c r="P13193">
        <v>0</v>
      </c>
      <c r="Q13193">
        <v>0</v>
      </c>
      <c r="R13193" t="s">
        <v>44921</v>
      </c>
      <c r="S13193" t="s">
        <v>45564</v>
      </c>
      <c r="T13193" t="s">
        <v>46503</v>
      </c>
      <c r="U13193" t="s">
        <v>57454</v>
      </c>
      <c r="W13193" t="s">
        <v>44634</v>
      </c>
      <c r="X13193" t="s">
        <v>44922</v>
      </c>
    </row>
    <row r="13194" spans="1:24">
      <c r="A13194">
        <f>HYPERLINK("https://www.philgeps.gov.ph/GEPSNONPILOT/Tender/SplashBidNoticeAbstractUI.aspx?menuIndex=3&amp;refID=7050728&amp;Result=3","7050728")</f>
        <v>0</v>
      </c>
      <c r="B13194" t="s">
        <v>1116</v>
      </c>
      <c r="C13194" t="s">
        <v>16135</v>
      </c>
      <c r="D13194" t="s">
        <v>18153</v>
      </c>
      <c r="E13194" t="s">
        <v>29609</v>
      </c>
      <c r="F13194" t="s">
        <v>31362</v>
      </c>
      <c r="G13194" t="s">
        <v>31369</v>
      </c>
      <c r="H13194" t="s">
        <v>31378</v>
      </c>
      <c r="I13194" t="s">
        <v>31386</v>
      </c>
      <c r="J13194" t="s">
        <v>31606</v>
      </c>
      <c r="K13194" t="s">
        <v>40679</v>
      </c>
      <c r="M13194" t="s">
        <v>42122</v>
      </c>
      <c r="N13194" t="s">
        <v>44905</v>
      </c>
      <c r="O13194" t="s">
        <v>44906</v>
      </c>
      <c r="P13194">
        <v>0</v>
      </c>
      <c r="Q13194">
        <v>1</v>
      </c>
      <c r="R13194" t="s">
        <v>44922</v>
      </c>
      <c r="S13194" t="s">
        <v>45639</v>
      </c>
      <c r="T13194" t="s">
        <v>46481</v>
      </c>
      <c r="U13194" t="s">
        <v>57455</v>
      </c>
      <c r="W13194" t="s">
        <v>60882</v>
      </c>
      <c r="X13194" t="s">
        <v>44923</v>
      </c>
    </row>
    <row r="13195" spans="1:24">
      <c r="A13195">
        <f>HYPERLINK("https://www.philgeps.gov.ph/GEPSNONPILOT/Tender/SplashBidNoticeAbstractUI.aspx?menuIndex=3&amp;refID=7050721&amp;Result=3","7050721")</f>
        <v>0</v>
      </c>
      <c r="B13195" t="s">
        <v>1260</v>
      </c>
      <c r="C13195" t="s">
        <v>16136</v>
      </c>
      <c r="D13195" t="s">
        <v>18142</v>
      </c>
      <c r="E13195" t="s">
        <v>29610</v>
      </c>
      <c r="F13195" t="s">
        <v>31362</v>
      </c>
      <c r="G13195" t="s">
        <v>31369</v>
      </c>
      <c r="H13195" t="s">
        <v>15799</v>
      </c>
      <c r="I13195" t="s">
        <v>7090</v>
      </c>
      <c r="J13195" t="s">
        <v>39529</v>
      </c>
      <c r="K13195" t="s">
        <v>40665</v>
      </c>
      <c r="M13195" t="s">
        <v>42276</v>
      </c>
      <c r="N13195" t="s">
        <v>44905</v>
      </c>
      <c r="O13195" t="s">
        <v>44906</v>
      </c>
      <c r="P13195">
        <v>0</v>
      </c>
      <c r="Q13195">
        <v>1</v>
      </c>
      <c r="R13195" t="s">
        <v>44922</v>
      </c>
      <c r="S13195" t="s">
        <v>45639</v>
      </c>
      <c r="T13195" t="s">
        <v>46425</v>
      </c>
      <c r="U13195" t="s">
        <v>57456</v>
      </c>
      <c r="V13195" t="s">
        <v>60541</v>
      </c>
      <c r="W13195" t="s">
        <v>42276</v>
      </c>
      <c r="X13195" t="s">
        <v>44923</v>
      </c>
    </row>
    <row r="13196" spans="1:24">
      <c r="A13196">
        <f>HYPERLINK("https://www.philgeps.gov.ph/GEPSNONPILOT/Tender/SplashBidNoticeAbstractUI.aspx?menuIndex=3&amp;refID=7050427&amp;Result=3","7050427")</f>
        <v>0</v>
      </c>
      <c r="B13196" t="s">
        <v>3338</v>
      </c>
      <c r="C13196" t="s">
        <v>16137</v>
      </c>
      <c r="D13196" t="s">
        <v>18148</v>
      </c>
      <c r="E13196" t="s">
        <v>29611</v>
      </c>
      <c r="F13196" t="s">
        <v>31362</v>
      </c>
      <c r="G13196" t="s">
        <v>31369</v>
      </c>
      <c r="H13196" t="s">
        <v>15799</v>
      </c>
      <c r="I13196" t="s">
        <v>3815</v>
      </c>
      <c r="J13196" t="s">
        <v>39530</v>
      </c>
      <c r="K13196" t="s">
        <v>40665</v>
      </c>
      <c r="M13196" t="s">
        <v>44635</v>
      </c>
      <c r="N13196" t="s">
        <v>44905</v>
      </c>
      <c r="O13196" t="s">
        <v>44906</v>
      </c>
      <c r="P13196">
        <v>0</v>
      </c>
      <c r="Q13196">
        <v>2</v>
      </c>
      <c r="R13196" t="s">
        <v>44922</v>
      </c>
      <c r="S13196" t="s">
        <v>45639</v>
      </c>
      <c r="T13196" t="s">
        <v>46499</v>
      </c>
      <c r="U13196" t="s">
        <v>57457</v>
      </c>
      <c r="W13196" t="s">
        <v>44635</v>
      </c>
      <c r="X13196" t="s">
        <v>44923</v>
      </c>
    </row>
    <row r="13197" spans="1:24">
      <c r="A13197">
        <f>HYPERLINK("https://www.philgeps.gov.ph/GEPSNONPILOT/Tender/SplashBidNoticeAbstractUI.aspx?menuIndex=3&amp;refID=7053708&amp;Result=3","7053708")</f>
        <v>0</v>
      </c>
      <c r="B13197" t="s">
        <v>3285</v>
      </c>
      <c r="C13197" t="s">
        <v>16138</v>
      </c>
      <c r="D13197" t="s">
        <v>18100</v>
      </c>
      <c r="E13197" t="s">
        <v>18201</v>
      </c>
      <c r="F13197" t="s">
        <v>31362</v>
      </c>
      <c r="G13197" t="s">
        <v>31369</v>
      </c>
      <c r="H13197" t="s">
        <v>15799</v>
      </c>
      <c r="I13197" t="s">
        <v>4057</v>
      </c>
      <c r="J13197" t="s">
        <v>33026</v>
      </c>
      <c r="K13197" t="s">
        <v>40661</v>
      </c>
      <c r="L13197" t="s">
        <v>3285</v>
      </c>
      <c r="M13197" t="s">
        <v>44571</v>
      </c>
      <c r="N13197" t="s">
        <v>44905</v>
      </c>
      <c r="O13197" t="s">
        <v>44906</v>
      </c>
      <c r="P13197">
        <v>0</v>
      </c>
      <c r="Q13197">
        <v>0</v>
      </c>
      <c r="R13197" t="s">
        <v>44921</v>
      </c>
      <c r="S13197" t="s">
        <v>45564</v>
      </c>
      <c r="T13197" t="s">
        <v>46408</v>
      </c>
      <c r="U13197" t="s">
        <v>57135</v>
      </c>
      <c r="V13197" t="s">
        <v>60464</v>
      </c>
      <c r="W13197" t="s">
        <v>44571</v>
      </c>
      <c r="X13197" t="s">
        <v>44922</v>
      </c>
    </row>
    <row r="13198" spans="1:24">
      <c r="A13198">
        <f>HYPERLINK("https://www.philgeps.gov.ph/GEPSNONPILOT/Tender/SplashBidNoticeAbstractUI.aspx?menuIndex=3&amp;refID=7050704&amp;Result=3","7050704")</f>
        <v>0</v>
      </c>
      <c r="B13198" t="s">
        <v>368</v>
      </c>
      <c r="C13198" t="s">
        <v>16139</v>
      </c>
      <c r="D13198" t="s">
        <v>18167</v>
      </c>
      <c r="E13198" t="s">
        <v>29612</v>
      </c>
      <c r="F13198" t="s">
        <v>31362</v>
      </c>
      <c r="G13198" t="s">
        <v>31369</v>
      </c>
      <c r="H13198" t="s">
        <v>15799</v>
      </c>
      <c r="I13198" t="s">
        <v>31409</v>
      </c>
      <c r="J13198" t="s">
        <v>33028</v>
      </c>
      <c r="K13198" t="s">
        <v>40665</v>
      </c>
      <c r="M13198" t="s">
        <v>41315</v>
      </c>
      <c r="N13198" t="s">
        <v>44905</v>
      </c>
      <c r="O13198" t="s">
        <v>44906</v>
      </c>
      <c r="P13198">
        <v>0</v>
      </c>
      <c r="Q13198">
        <v>4</v>
      </c>
      <c r="R13198" t="s">
        <v>44922</v>
      </c>
      <c r="S13198" t="s">
        <v>45639</v>
      </c>
      <c r="T13198" t="s">
        <v>46670</v>
      </c>
      <c r="U13198" t="s">
        <v>57458</v>
      </c>
      <c r="V13198" t="s">
        <v>60542</v>
      </c>
      <c r="W13198" t="s">
        <v>41315</v>
      </c>
      <c r="X13198" t="s">
        <v>44923</v>
      </c>
    </row>
    <row r="13199" spans="1:24">
      <c r="A13199">
        <f>HYPERLINK("https://www.philgeps.gov.ph/GEPSNONPILOT/Tender/SplashBidNoticeAbstractUI.aspx?menuIndex=3&amp;refID=7050693&amp;Result=3","7050693")</f>
        <v>0</v>
      </c>
      <c r="B13199" t="s">
        <v>1260</v>
      </c>
      <c r="C13199" t="s">
        <v>16140</v>
      </c>
      <c r="D13199" t="s">
        <v>18142</v>
      </c>
      <c r="E13199" t="s">
        <v>29613</v>
      </c>
      <c r="F13199" t="s">
        <v>31362</v>
      </c>
      <c r="G13199" t="s">
        <v>31369</v>
      </c>
      <c r="H13199" t="s">
        <v>15799</v>
      </c>
      <c r="I13199" t="s">
        <v>31409</v>
      </c>
      <c r="J13199" t="s">
        <v>32296</v>
      </c>
      <c r="K13199" t="s">
        <v>40665</v>
      </c>
      <c r="M13199" t="s">
        <v>42276</v>
      </c>
      <c r="N13199" t="s">
        <v>44905</v>
      </c>
      <c r="O13199" t="s">
        <v>44906</v>
      </c>
      <c r="P13199">
        <v>0</v>
      </c>
      <c r="Q13199">
        <v>6</v>
      </c>
      <c r="R13199" t="s">
        <v>44922</v>
      </c>
      <c r="S13199" t="s">
        <v>45639</v>
      </c>
      <c r="T13199" t="s">
        <v>46425</v>
      </c>
      <c r="U13199" t="s">
        <v>57456</v>
      </c>
      <c r="V13199" t="s">
        <v>60543</v>
      </c>
      <c r="W13199" t="s">
        <v>42276</v>
      </c>
      <c r="X13199" t="s">
        <v>44923</v>
      </c>
    </row>
    <row r="13200" spans="1:24">
      <c r="A13200">
        <f>HYPERLINK("https://www.philgeps.gov.ph/GEPSNONPILOT/Tender/SplashBidNoticeAbstractUI.aspx?menuIndex=3&amp;refID=7050682&amp;Result=3","7050682")</f>
        <v>0</v>
      </c>
      <c r="B13200" t="s">
        <v>263</v>
      </c>
      <c r="C13200" t="s">
        <v>16141</v>
      </c>
      <c r="D13200" t="s">
        <v>18109</v>
      </c>
      <c r="E13200" t="s">
        <v>29614</v>
      </c>
      <c r="F13200" t="s">
        <v>31362</v>
      </c>
      <c r="G13200" t="s">
        <v>31369</v>
      </c>
      <c r="H13200" t="s">
        <v>15799</v>
      </c>
      <c r="I13200" t="s">
        <v>3815</v>
      </c>
      <c r="J13200" t="s">
        <v>39531</v>
      </c>
      <c r="K13200" t="s">
        <v>40662</v>
      </c>
      <c r="M13200" t="s">
        <v>41204</v>
      </c>
      <c r="N13200" t="s">
        <v>44905</v>
      </c>
      <c r="O13200" t="s">
        <v>44906</v>
      </c>
      <c r="P13200">
        <v>0</v>
      </c>
      <c r="Q13200">
        <v>0</v>
      </c>
      <c r="R13200" t="s">
        <v>44922</v>
      </c>
      <c r="S13200" t="s">
        <v>45639</v>
      </c>
      <c r="T13200" t="s">
        <v>46560</v>
      </c>
      <c r="U13200" t="s">
        <v>57459</v>
      </c>
      <c r="W13200" t="s">
        <v>41204</v>
      </c>
      <c r="X13200" t="s">
        <v>44923</v>
      </c>
    </row>
    <row r="13201" spans="1:24">
      <c r="A13201">
        <f>HYPERLINK("https://www.philgeps.gov.ph/GEPSNONPILOT/Tender/SplashBidNoticeAbstractUI.aspx?menuIndex=3&amp;refID=7050712&amp;Result=3","7050712")</f>
        <v>0</v>
      </c>
      <c r="B13201" t="s">
        <v>2932</v>
      </c>
      <c r="C13201" t="s">
        <v>16142</v>
      </c>
      <c r="D13201" t="s">
        <v>18100</v>
      </c>
      <c r="E13201" t="s">
        <v>29615</v>
      </c>
      <c r="F13201" t="s">
        <v>31362</v>
      </c>
      <c r="G13201" t="s">
        <v>31369</v>
      </c>
      <c r="H13201" t="s">
        <v>31378</v>
      </c>
      <c r="I13201" t="s">
        <v>31386</v>
      </c>
      <c r="J13201" t="s">
        <v>39532</v>
      </c>
      <c r="K13201" t="s">
        <v>40682</v>
      </c>
      <c r="M13201" t="s">
        <v>44151</v>
      </c>
      <c r="N13201" t="s">
        <v>44905</v>
      </c>
      <c r="O13201" t="s">
        <v>44906</v>
      </c>
      <c r="P13201">
        <v>0</v>
      </c>
      <c r="Q13201">
        <v>2</v>
      </c>
      <c r="R13201" t="s">
        <v>44922</v>
      </c>
      <c r="S13201" t="s">
        <v>45639</v>
      </c>
      <c r="T13201" t="s">
        <v>46462</v>
      </c>
      <c r="U13201" t="s">
        <v>57460</v>
      </c>
      <c r="W13201" t="s">
        <v>60948</v>
      </c>
      <c r="X13201" t="s">
        <v>44923</v>
      </c>
    </row>
    <row r="13202" spans="1:24">
      <c r="A13202">
        <f>HYPERLINK("https://www.philgeps.gov.ph/GEPSNONPILOT/Tender/SplashBidNoticeAbstractUI.aspx?menuIndex=3&amp;refID=7050673&amp;Result=3","7050673")</f>
        <v>0</v>
      </c>
      <c r="B13202" t="s">
        <v>1260</v>
      </c>
      <c r="C13202" t="s">
        <v>16143</v>
      </c>
      <c r="D13202" t="s">
        <v>18142</v>
      </c>
      <c r="E13202" t="s">
        <v>29616</v>
      </c>
      <c r="F13202" t="s">
        <v>31362</v>
      </c>
      <c r="G13202" t="s">
        <v>31369</v>
      </c>
      <c r="H13202" t="s">
        <v>15799</v>
      </c>
      <c r="I13202" t="s">
        <v>4283</v>
      </c>
      <c r="J13202" t="s">
        <v>39533</v>
      </c>
      <c r="K13202" t="s">
        <v>40665</v>
      </c>
      <c r="M13202" t="s">
        <v>42276</v>
      </c>
      <c r="N13202" t="s">
        <v>44905</v>
      </c>
      <c r="O13202" t="s">
        <v>44906</v>
      </c>
      <c r="P13202">
        <v>0</v>
      </c>
      <c r="Q13202">
        <v>5</v>
      </c>
      <c r="R13202" t="s">
        <v>44922</v>
      </c>
      <c r="S13202" t="s">
        <v>45639</v>
      </c>
      <c r="T13202" t="s">
        <v>46425</v>
      </c>
      <c r="U13202" t="s">
        <v>57456</v>
      </c>
      <c r="V13202" t="s">
        <v>60543</v>
      </c>
      <c r="W13202" t="s">
        <v>42276</v>
      </c>
      <c r="X13202" t="s">
        <v>44923</v>
      </c>
    </row>
    <row r="13203" spans="1:24">
      <c r="A13203">
        <f>HYPERLINK("https://www.philgeps.gov.ph/GEPSNONPILOT/Tender/SplashBidNoticeAbstractUI.aspx?menuIndex=3&amp;refID=7050727&amp;Result=3","7050727")</f>
        <v>0</v>
      </c>
      <c r="B13203" t="s">
        <v>953</v>
      </c>
      <c r="C13203" t="s">
        <v>16144</v>
      </c>
      <c r="D13203" t="s">
        <v>18110</v>
      </c>
      <c r="E13203" t="s">
        <v>29617</v>
      </c>
      <c r="F13203" t="s">
        <v>31362</v>
      </c>
      <c r="G13203" t="s">
        <v>31369</v>
      </c>
      <c r="H13203" t="s">
        <v>15799</v>
      </c>
      <c r="I13203" t="s">
        <v>31396</v>
      </c>
      <c r="J13203" t="s">
        <v>31542</v>
      </c>
      <c r="K13203" t="s">
        <v>40670</v>
      </c>
      <c r="M13203" t="s">
        <v>41941</v>
      </c>
      <c r="N13203" t="s">
        <v>44905</v>
      </c>
      <c r="O13203" t="s">
        <v>44906</v>
      </c>
      <c r="P13203">
        <v>0</v>
      </c>
      <c r="Q13203">
        <v>19</v>
      </c>
      <c r="R13203" t="s">
        <v>44922</v>
      </c>
      <c r="S13203" t="s">
        <v>45639</v>
      </c>
      <c r="T13203" t="s">
        <v>46435</v>
      </c>
      <c r="U13203" t="s">
        <v>57461</v>
      </c>
      <c r="W13203" t="s">
        <v>60877</v>
      </c>
      <c r="X13203" t="s">
        <v>44923</v>
      </c>
    </row>
    <row r="13204" spans="1:24">
      <c r="A13204">
        <f>HYPERLINK("https://www.philgeps.gov.ph/GEPSNONPILOT/Tender/SplashBidNoticeAbstractUI.aspx?menuIndex=3&amp;refID=7050680&amp;Result=3","7050680")</f>
        <v>0</v>
      </c>
      <c r="B13204" t="s">
        <v>969</v>
      </c>
      <c r="C13204" t="s">
        <v>16145</v>
      </c>
      <c r="D13204" t="s">
        <v>18127</v>
      </c>
      <c r="E13204" t="s">
        <v>29618</v>
      </c>
      <c r="F13204" t="s">
        <v>31362</v>
      </c>
      <c r="G13204" t="s">
        <v>31369</v>
      </c>
      <c r="H13204" t="s">
        <v>31378</v>
      </c>
      <c r="I13204" t="s">
        <v>31386</v>
      </c>
      <c r="J13204" t="s">
        <v>39534</v>
      </c>
      <c r="K13204" t="s">
        <v>40686</v>
      </c>
      <c r="M13204" t="s">
        <v>41959</v>
      </c>
      <c r="N13204" t="s">
        <v>44905</v>
      </c>
      <c r="O13204" t="s">
        <v>44906</v>
      </c>
      <c r="P13204">
        <v>0</v>
      </c>
      <c r="Q13204">
        <v>0</v>
      </c>
      <c r="R13204" t="s">
        <v>44922</v>
      </c>
      <c r="S13204" t="s">
        <v>45639</v>
      </c>
      <c r="T13204" t="s">
        <v>46426</v>
      </c>
      <c r="U13204" t="s">
        <v>57462</v>
      </c>
      <c r="W13204" t="s">
        <v>41959</v>
      </c>
      <c r="X13204" t="s">
        <v>44923</v>
      </c>
    </row>
    <row r="13205" spans="1:24">
      <c r="A13205">
        <f>HYPERLINK("https://www.philgeps.gov.ph/GEPSNONPILOT/Tender/SplashBidNoticeAbstractUI.aspx?menuIndex=3&amp;refID=7050924&amp;Result=3","7050924")</f>
        <v>0</v>
      </c>
      <c r="B13205" t="s">
        <v>1549</v>
      </c>
      <c r="C13205" t="s">
        <v>16146</v>
      </c>
      <c r="D13205" t="s">
        <v>18113</v>
      </c>
      <c r="E13205" t="s">
        <v>29619</v>
      </c>
      <c r="F13205" t="s">
        <v>31362</v>
      </c>
      <c r="G13205" t="s">
        <v>31369</v>
      </c>
      <c r="H13205" t="s">
        <v>31378</v>
      </c>
      <c r="I13205" t="s">
        <v>31386</v>
      </c>
      <c r="J13205" t="s">
        <v>39535</v>
      </c>
      <c r="K13205" t="s">
        <v>40746</v>
      </c>
      <c r="M13205" t="s">
        <v>43488</v>
      </c>
      <c r="N13205" t="s">
        <v>44905</v>
      </c>
      <c r="O13205" t="s">
        <v>44906</v>
      </c>
      <c r="P13205">
        <v>0</v>
      </c>
      <c r="Q13205">
        <v>2</v>
      </c>
      <c r="R13205" t="s">
        <v>44922</v>
      </c>
      <c r="S13205" t="s">
        <v>45639</v>
      </c>
      <c r="T13205" t="s">
        <v>46493</v>
      </c>
      <c r="U13205" t="s">
        <v>57463</v>
      </c>
      <c r="W13205" t="s">
        <v>43488</v>
      </c>
      <c r="X13205" t="s">
        <v>44923</v>
      </c>
    </row>
    <row r="13206" spans="1:24">
      <c r="A13206">
        <f>HYPERLINK("https://www.philgeps.gov.ph/GEPSNONPILOT/Tender/SplashBidNoticeAbstractUI.aspx?menuIndex=3&amp;refID=7050905&amp;Result=3","7050905")</f>
        <v>0</v>
      </c>
      <c r="B13206" t="s">
        <v>983</v>
      </c>
      <c r="C13206" t="s">
        <v>16147</v>
      </c>
      <c r="D13206" t="s">
        <v>18108</v>
      </c>
      <c r="E13206" t="s">
        <v>29620</v>
      </c>
      <c r="F13206" t="s">
        <v>31362</v>
      </c>
      <c r="G13206" t="s">
        <v>31369</v>
      </c>
      <c r="H13206" t="s">
        <v>31379</v>
      </c>
      <c r="I13206" t="s">
        <v>31388</v>
      </c>
      <c r="J13206" t="s">
        <v>31542</v>
      </c>
      <c r="K13206" t="s">
        <v>40723</v>
      </c>
      <c r="M13206" t="s">
        <v>41975</v>
      </c>
      <c r="N13206" t="s">
        <v>44905</v>
      </c>
      <c r="O13206" t="s">
        <v>44906</v>
      </c>
      <c r="P13206">
        <v>0</v>
      </c>
      <c r="Q13206">
        <v>10</v>
      </c>
      <c r="R13206" t="s">
        <v>44922</v>
      </c>
      <c r="S13206" t="s">
        <v>45639</v>
      </c>
      <c r="T13206" t="s">
        <v>46438</v>
      </c>
      <c r="U13206" t="s">
        <v>57464</v>
      </c>
      <c r="W13206" t="s">
        <v>41975</v>
      </c>
      <c r="X13206" t="s">
        <v>44923</v>
      </c>
    </row>
    <row r="13207" spans="1:24">
      <c r="A13207">
        <f>HYPERLINK("https://www.philgeps.gov.ph/GEPSNONPILOT/Tender/SplashBidNoticeAbstractUI.aspx?menuIndex=3&amp;refID=7050904&amp;Result=3","7050904")</f>
        <v>0</v>
      </c>
      <c r="B13207" t="s">
        <v>1549</v>
      </c>
      <c r="C13207" t="s">
        <v>16148</v>
      </c>
      <c r="D13207" t="s">
        <v>18113</v>
      </c>
      <c r="E13207" t="s">
        <v>29621</v>
      </c>
      <c r="F13207" t="s">
        <v>31362</v>
      </c>
      <c r="G13207" t="s">
        <v>31369</v>
      </c>
      <c r="H13207" t="s">
        <v>31378</v>
      </c>
      <c r="I13207" t="s">
        <v>31386</v>
      </c>
      <c r="J13207" t="s">
        <v>39536</v>
      </c>
      <c r="K13207" t="s">
        <v>40694</v>
      </c>
      <c r="M13207" t="s">
        <v>43488</v>
      </c>
      <c r="N13207" t="s">
        <v>44905</v>
      </c>
      <c r="O13207" t="s">
        <v>44906</v>
      </c>
      <c r="P13207">
        <v>0</v>
      </c>
      <c r="Q13207">
        <v>1</v>
      </c>
      <c r="R13207" t="s">
        <v>44922</v>
      </c>
      <c r="S13207" t="s">
        <v>45639</v>
      </c>
      <c r="T13207" t="s">
        <v>46493</v>
      </c>
      <c r="U13207" t="s">
        <v>57465</v>
      </c>
      <c r="W13207" t="s">
        <v>43488</v>
      </c>
      <c r="X13207" t="s">
        <v>44923</v>
      </c>
    </row>
    <row r="13208" spans="1:24">
      <c r="A13208">
        <f>HYPERLINK("https://www.philgeps.gov.ph/GEPSNONPILOT/Tender/SplashBidNoticeAbstractUI.aspx?menuIndex=3&amp;refID=7050894&amp;Result=3","7050894")</f>
        <v>0</v>
      </c>
      <c r="B13208" t="s">
        <v>2875</v>
      </c>
      <c r="C13208" t="s">
        <v>16149</v>
      </c>
      <c r="D13208" t="s">
        <v>18100</v>
      </c>
      <c r="E13208" t="s">
        <v>20721</v>
      </c>
      <c r="F13208" t="s">
        <v>31362</v>
      </c>
      <c r="G13208" t="s">
        <v>31368</v>
      </c>
      <c r="H13208" t="s">
        <v>15799</v>
      </c>
      <c r="I13208" t="s">
        <v>3815</v>
      </c>
      <c r="J13208" t="s">
        <v>31866</v>
      </c>
      <c r="K13208" t="s">
        <v>40693</v>
      </c>
      <c r="M13208" t="s">
        <v>44084</v>
      </c>
      <c r="N13208" t="s">
        <v>44905</v>
      </c>
      <c r="O13208" t="s">
        <v>44906</v>
      </c>
      <c r="P13208">
        <v>0</v>
      </c>
      <c r="Q13208">
        <v>0</v>
      </c>
      <c r="R13208" t="s">
        <v>44922</v>
      </c>
      <c r="S13208" t="s">
        <v>45639</v>
      </c>
      <c r="T13208" t="s">
        <v>46443</v>
      </c>
      <c r="U13208" t="s">
        <v>57466</v>
      </c>
      <c r="W13208" t="s">
        <v>44084</v>
      </c>
      <c r="X13208" t="s">
        <v>44923</v>
      </c>
    </row>
    <row r="13209" spans="1:24">
      <c r="A13209">
        <f>HYPERLINK("https://www.philgeps.gov.ph/GEPSNONPILOT/Tender/SplashBidNoticeAbstractUI.aspx?menuIndex=3&amp;refID=7050884&amp;Result=3","7050884")</f>
        <v>0</v>
      </c>
      <c r="B13209" t="s">
        <v>983</v>
      </c>
      <c r="C13209" t="s">
        <v>16150</v>
      </c>
      <c r="D13209" t="s">
        <v>18108</v>
      </c>
      <c r="E13209" t="s">
        <v>29622</v>
      </c>
      <c r="F13209" t="s">
        <v>31362</v>
      </c>
      <c r="G13209" t="s">
        <v>31369</v>
      </c>
      <c r="H13209" t="s">
        <v>15799</v>
      </c>
      <c r="I13209" t="s">
        <v>4283</v>
      </c>
      <c r="J13209" t="s">
        <v>39537</v>
      </c>
      <c r="K13209" t="s">
        <v>40662</v>
      </c>
      <c r="M13209" t="s">
        <v>41975</v>
      </c>
      <c r="N13209" t="s">
        <v>44905</v>
      </c>
      <c r="O13209" t="s">
        <v>44906</v>
      </c>
      <c r="P13209">
        <v>0</v>
      </c>
      <c r="Q13209">
        <v>8</v>
      </c>
      <c r="R13209" t="s">
        <v>44922</v>
      </c>
      <c r="S13209" t="s">
        <v>45639</v>
      </c>
      <c r="T13209" t="s">
        <v>46438</v>
      </c>
      <c r="U13209" t="s">
        <v>57467</v>
      </c>
      <c r="W13209" t="s">
        <v>41975</v>
      </c>
      <c r="X13209" t="s">
        <v>44923</v>
      </c>
    </row>
    <row r="13210" spans="1:24">
      <c r="A13210">
        <f>HYPERLINK("https://www.philgeps.gov.ph/GEPSNONPILOT/Tender/SplashBidNoticeAbstractUI.aspx?menuIndex=3&amp;refID=7050878&amp;Result=3","7050878")</f>
        <v>0</v>
      </c>
      <c r="B13210" t="s">
        <v>3332</v>
      </c>
      <c r="C13210" t="s">
        <v>16151</v>
      </c>
      <c r="D13210" t="s">
        <v>18101</v>
      </c>
      <c r="E13210" t="s">
        <v>28397</v>
      </c>
      <c r="F13210" t="s">
        <v>31362</v>
      </c>
      <c r="G13210" t="s">
        <v>31369</v>
      </c>
      <c r="H13210" t="s">
        <v>15799</v>
      </c>
      <c r="I13210" t="s">
        <v>31398</v>
      </c>
      <c r="J13210" t="s">
        <v>39538</v>
      </c>
      <c r="K13210" t="s">
        <v>40666</v>
      </c>
      <c r="M13210" t="s">
        <v>44629</v>
      </c>
      <c r="N13210" t="s">
        <v>44905</v>
      </c>
      <c r="O13210" t="s">
        <v>44906</v>
      </c>
      <c r="P13210">
        <v>0</v>
      </c>
      <c r="Q13210">
        <v>4</v>
      </c>
      <c r="R13210" t="s">
        <v>44922</v>
      </c>
      <c r="S13210" t="s">
        <v>45639</v>
      </c>
      <c r="T13210" t="s">
        <v>46533</v>
      </c>
      <c r="U13210" t="s">
        <v>57468</v>
      </c>
      <c r="W13210" t="s">
        <v>44629</v>
      </c>
      <c r="X13210" t="s">
        <v>44923</v>
      </c>
    </row>
    <row r="13211" spans="1:24">
      <c r="A13211">
        <f>HYPERLINK("https://www.philgeps.gov.ph/GEPSNONPILOT/Tender/SplashBidNoticeAbstractUI.aspx?menuIndex=3&amp;refID=7050936&amp;Result=3","7050936")</f>
        <v>0</v>
      </c>
      <c r="B13211" t="s">
        <v>2208</v>
      </c>
      <c r="C13211" t="s">
        <v>16152</v>
      </c>
      <c r="D13211" t="s">
        <v>18124</v>
      </c>
      <c r="E13211" t="s">
        <v>29623</v>
      </c>
      <c r="F13211" t="s">
        <v>31362</v>
      </c>
      <c r="G13211" t="s">
        <v>31369</v>
      </c>
      <c r="H13211" t="s">
        <v>15799</v>
      </c>
      <c r="I13211" t="s">
        <v>3815</v>
      </c>
      <c r="J13211" t="s">
        <v>39539</v>
      </c>
      <c r="K13211" t="s">
        <v>40665</v>
      </c>
      <c r="M13211" t="s">
        <v>43339</v>
      </c>
      <c r="N13211" t="s">
        <v>44905</v>
      </c>
      <c r="O13211" t="s">
        <v>44906</v>
      </c>
      <c r="P13211">
        <v>0</v>
      </c>
      <c r="Q13211">
        <v>0</v>
      </c>
      <c r="R13211" t="s">
        <v>44922</v>
      </c>
      <c r="S13211" t="s">
        <v>45639</v>
      </c>
      <c r="T13211" t="s">
        <v>46447</v>
      </c>
      <c r="U13211" t="s">
        <v>52821</v>
      </c>
      <c r="W13211" t="s">
        <v>43339</v>
      </c>
      <c r="X13211" t="s">
        <v>44923</v>
      </c>
    </row>
    <row r="13212" spans="1:24">
      <c r="A13212">
        <f>HYPERLINK("https://www.philgeps.gov.ph/GEPSNONPILOT/Tender/SplashBidNoticeAbstractUI.aspx?menuIndex=3&amp;refID=7053715&amp;Result=3","7053715")</f>
        <v>0</v>
      </c>
      <c r="B13212" t="s">
        <v>436</v>
      </c>
      <c r="C13212" t="s">
        <v>16153</v>
      </c>
      <c r="D13212" t="s">
        <v>18158</v>
      </c>
      <c r="E13212" t="s">
        <v>24643</v>
      </c>
      <c r="F13212" t="s">
        <v>31362</v>
      </c>
      <c r="G13212" t="s">
        <v>31369</v>
      </c>
      <c r="H13212" t="s">
        <v>31378</v>
      </c>
      <c r="I13212" t="s">
        <v>31386</v>
      </c>
      <c r="J13212" t="s">
        <v>39540</v>
      </c>
      <c r="K13212" t="s">
        <v>40768</v>
      </c>
      <c r="L13212" t="s">
        <v>436</v>
      </c>
      <c r="M13212" t="s">
        <v>41388</v>
      </c>
      <c r="N13212" t="s">
        <v>44905</v>
      </c>
      <c r="O13212" t="s">
        <v>44906</v>
      </c>
      <c r="Q13212">
        <v>0</v>
      </c>
      <c r="R13212" t="s">
        <v>44921</v>
      </c>
      <c r="S13212" t="s">
        <v>45689</v>
      </c>
      <c r="T13212" t="s">
        <v>46533</v>
      </c>
      <c r="U13212" t="s">
        <v>57469</v>
      </c>
      <c r="V13212" t="s">
        <v>55485</v>
      </c>
      <c r="W13212" t="s">
        <v>41388</v>
      </c>
      <c r="X13212" t="s">
        <v>44922</v>
      </c>
    </row>
    <row r="13213" spans="1:24">
      <c r="A13213">
        <f>HYPERLINK("https://www.philgeps.gov.ph/GEPSNONPILOT/Tender/SplashBidNoticeAbstractUI.aspx?menuIndex=3&amp;refID=7050865&amp;Result=3","7050865")</f>
        <v>0</v>
      </c>
      <c r="B13213" t="s">
        <v>983</v>
      </c>
      <c r="C13213" t="s">
        <v>16154</v>
      </c>
      <c r="D13213" t="s">
        <v>18108</v>
      </c>
      <c r="E13213" t="s">
        <v>29624</v>
      </c>
      <c r="F13213" t="s">
        <v>31362</v>
      </c>
      <c r="G13213" t="s">
        <v>31369</v>
      </c>
      <c r="H13213" t="s">
        <v>31378</v>
      </c>
      <c r="I13213" t="s">
        <v>31386</v>
      </c>
      <c r="J13213" t="s">
        <v>39541</v>
      </c>
      <c r="K13213" t="s">
        <v>40662</v>
      </c>
      <c r="M13213" t="s">
        <v>41975</v>
      </c>
      <c r="N13213" t="s">
        <v>44905</v>
      </c>
      <c r="O13213" t="s">
        <v>44906</v>
      </c>
      <c r="P13213">
        <v>0</v>
      </c>
      <c r="Q13213">
        <v>4</v>
      </c>
      <c r="R13213" t="s">
        <v>44922</v>
      </c>
      <c r="S13213" t="s">
        <v>45639</v>
      </c>
      <c r="T13213" t="s">
        <v>46438</v>
      </c>
      <c r="U13213" t="s">
        <v>57470</v>
      </c>
      <c r="W13213" t="s">
        <v>41975</v>
      </c>
      <c r="X13213" t="s">
        <v>44923</v>
      </c>
    </row>
    <row r="13214" spans="1:24">
      <c r="A13214">
        <f>HYPERLINK("https://www.philgeps.gov.ph/GEPSNONPILOT/Tender/SplashBidNoticeAbstractUI.aspx?menuIndex=3&amp;refID=7054096&amp;Result=3","7054096")</f>
        <v>0</v>
      </c>
      <c r="B13214" t="s">
        <v>3290</v>
      </c>
      <c r="C13214" t="s">
        <v>16155</v>
      </c>
      <c r="D13214" t="s">
        <v>18110</v>
      </c>
      <c r="E13214" t="s">
        <v>29625</v>
      </c>
      <c r="F13214" t="s">
        <v>31362</v>
      </c>
      <c r="G13214" t="s">
        <v>31369</v>
      </c>
      <c r="H13214" t="s">
        <v>31378</v>
      </c>
      <c r="I13214" t="s">
        <v>31386</v>
      </c>
      <c r="J13214" t="s">
        <v>31615</v>
      </c>
      <c r="K13214" t="s">
        <v>40664</v>
      </c>
      <c r="M13214" t="s">
        <v>44577</v>
      </c>
      <c r="N13214" t="s">
        <v>44905</v>
      </c>
      <c r="O13214" t="s">
        <v>44906</v>
      </c>
      <c r="Q13214">
        <v>11</v>
      </c>
      <c r="R13214" t="s">
        <v>44921</v>
      </c>
      <c r="S13214" t="s">
        <v>45690</v>
      </c>
      <c r="T13214" t="s">
        <v>46435</v>
      </c>
      <c r="U13214" t="s">
        <v>57160</v>
      </c>
      <c r="V13214" t="s">
        <v>60466</v>
      </c>
      <c r="W13214" t="s">
        <v>44577</v>
      </c>
      <c r="X13214" t="s">
        <v>44922</v>
      </c>
    </row>
    <row r="13215" spans="1:24">
      <c r="A13215">
        <f>HYPERLINK("https://www.philgeps.gov.ph/GEPSNONPILOT/Tender/SplashBidNoticeAbstractUI.aspx?menuIndex=3&amp;refID=7050907&amp;Result=3","7050907")</f>
        <v>0</v>
      </c>
      <c r="B13215" t="s">
        <v>3332</v>
      </c>
      <c r="C13215" t="s">
        <v>16156</v>
      </c>
      <c r="D13215" t="s">
        <v>18101</v>
      </c>
      <c r="E13215" t="s">
        <v>26395</v>
      </c>
      <c r="F13215" t="s">
        <v>31362</v>
      </c>
      <c r="G13215" t="s">
        <v>31369</v>
      </c>
      <c r="H13215" t="s">
        <v>15799</v>
      </c>
      <c r="I13215" t="s">
        <v>4283</v>
      </c>
      <c r="J13215" t="s">
        <v>39542</v>
      </c>
      <c r="K13215" t="s">
        <v>40666</v>
      </c>
      <c r="M13215" t="s">
        <v>44629</v>
      </c>
      <c r="N13215" t="s">
        <v>44905</v>
      </c>
      <c r="O13215" t="s">
        <v>44906</v>
      </c>
      <c r="P13215">
        <v>0</v>
      </c>
      <c r="Q13215">
        <v>8</v>
      </c>
      <c r="R13215" t="s">
        <v>44922</v>
      </c>
      <c r="S13215" t="s">
        <v>45639</v>
      </c>
      <c r="T13215" t="s">
        <v>46533</v>
      </c>
      <c r="U13215" t="s">
        <v>57471</v>
      </c>
      <c r="W13215" t="s">
        <v>44629</v>
      </c>
      <c r="X13215" t="s">
        <v>44923</v>
      </c>
    </row>
    <row r="13216" spans="1:24">
      <c r="A13216">
        <f>HYPERLINK("https://www.philgeps.gov.ph/GEPSNONPILOT/Tender/SplashBidNoticeAbstractUI.aspx?menuIndex=3&amp;refID=7050855&amp;Result=3","7050855")</f>
        <v>0</v>
      </c>
      <c r="B13216" t="s">
        <v>983</v>
      </c>
      <c r="C13216" t="s">
        <v>16157</v>
      </c>
      <c r="D13216" t="s">
        <v>18108</v>
      </c>
      <c r="E13216" t="s">
        <v>29626</v>
      </c>
      <c r="F13216" t="s">
        <v>31362</v>
      </c>
      <c r="G13216" t="s">
        <v>31369</v>
      </c>
      <c r="H13216" t="s">
        <v>31378</v>
      </c>
      <c r="I13216" t="s">
        <v>31386</v>
      </c>
      <c r="J13216" t="s">
        <v>39543</v>
      </c>
      <c r="K13216" t="s">
        <v>40662</v>
      </c>
      <c r="M13216" t="s">
        <v>41975</v>
      </c>
      <c r="N13216" t="s">
        <v>44905</v>
      </c>
      <c r="O13216" t="s">
        <v>44906</v>
      </c>
      <c r="P13216">
        <v>0</v>
      </c>
      <c r="Q13216">
        <v>2</v>
      </c>
      <c r="R13216" t="s">
        <v>44922</v>
      </c>
      <c r="S13216" t="s">
        <v>45639</v>
      </c>
      <c r="T13216" t="s">
        <v>46438</v>
      </c>
      <c r="U13216" t="s">
        <v>57472</v>
      </c>
      <c r="W13216" t="s">
        <v>41975</v>
      </c>
      <c r="X13216" t="s">
        <v>44923</v>
      </c>
    </row>
    <row r="13217" spans="1:24">
      <c r="A13217">
        <f>HYPERLINK("https://www.philgeps.gov.ph/GEPSNONPILOT/Tender/SplashBidNoticeAbstractUI.aspx?menuIndex=3&amp;refID=7054122&amp;Result=3","7054122")</f>
        <v>0</v>
      </c>
      <c r="B13217" t="s">
        <v>2969</v>
      </c>
      <c r="C13217" t="s">
        <v>16158</v>
      </c>
      <c r="D13217" t="s">
        <v>18113</v>
      </c>
      <c r="E13217" t="s">
        <v>29627</v>
      </c>
      <c r="F13217" t="s">
        <v>31362</v>
      </c>
      <c r="G13217" t="s">
        <v>31369</v>
      </c>
      <c r="H13217" t="s">
        <v>15799</v>
      </c>
      <c r="I13217" t="s">
        <v>31408</v>
      </c>
      <c r="J13217" t="s">
        <v>31535</v>
      </c>
      <c r="K13217" t="s">
        <v>40665</v>
      </c>
      <c r="M13217" t="s">
        <v>44193</v>
      </c>
      <c r="N13217" t="s">
        <v>44905</v>
      </c>
      <c r="O13217" t="s">
        <v>44906</v>
      </c>
      <c r="Q13217">
        <v>9</v>
      </c>
      <c r="R13217" t="s">
        <v>44921</v>
      </c>
      <c r="S13217" t="s">
        <v>45691</v>
      </c>
      <c r="T13217" t="s">
        <v>46754</v>
      </c>
      <c r="U13217" t="s">
        <v>57473</v>
      </c>
      <c r="W13217" t="s">
        <v>44193</v>
      </c>
      <c r="X13217" t="s">
        <v>44922</v>
      </c>
    </row>
    <row r="13218" spans="1:24">
      <c r="A13218">
        <f>HYPERLINK("https://www.philgeps.gov.ph/GEPSNONPILOT/Tender/SplashBidNoticeAbstractUI.aspx?menuIndex=3&amp;refID=7051112&amp;Result=3","7051112")</f>
        <v>0</v>
      </c>
      <c r="B13218" t="s">
        <v>2916</v>
      </c>
      <c r="C13218" t="s">
        <v>13527</v>
      </c>
      <c r="D13218" t="s">
        <v>18109</v>
      </c>
      <c r="E13218" t="s">
        <v>29628</v>
      </c>
      <c r="F13218" t="s">
        <v>31362</v>
      </c>
      <c r="G13218" t="s">
        <v>31369</v>
      </c>
      <c r="H13218" t="s">
        <v>15799</v>
      </c>
      <c r="I13218" t="s">
        <v>31404</v>
      </c>
      <c r="J13218" t="s">
        <v>31586</v>
      </c>
      <c r="K13218" t="s">
        <v>40697</v>
      </c>
      <c r="M13218" t="s">
        <v>44636</v>
      </c>
      <c r="N13218" t="s">
        <v>44905</v>
      </c>
      <c r="O13218" t="s">
        <v>44906</v>
      </c>
      <c r="P13218">
        <v>0</v>
      </c>
      <c r="Q13218">
        <v>0</v>
      </c>
      <c r="R13218" t="s">
        <v>44922</v>
      </c>
      <c r="S13218" t="s">
        <v>45639</v>
      </c>
      <c r="T13218" t="s">
        <v>46410</v>
      </c>
      <c r="U13218" t="s">
        <v>57474</v>
      </c>
      <c r="W13218" t="s">
        <v>44636</v>
      </c>
      <c r="X13218" t="s">
        <v>44923</v>
      </c>
    </row>
    <row r="13219" spans="1:24">
      <c r="A13219">
        <f>HYPERLINK("https://www.philgeps.gov.ph/GEPSNONPILOT/Tender/SplashBidNoticeAbstractUI.aspx?menuIndex=3&amp;refID=7050696&amp;Result=3","7050696")</f>
        <v>0</v>
      </c>
      <c r="B13219" t="s">
        <v>307</v>
      </c>
      <c r="C13219" t="s">
        <v>16159</v>
      </c>
      <c r="D13219" t="s">
        <v>18114</v>
      </c>
      <c r="E13219" t="s">
        <v>29629</v>
      </c>
      <c r="F13219" t="s">
        <v>31362</v>
      </c>
      <c r="G13219" t="s">
        <v>31369</v>
      </c>
      <c r="H13219" t="s">
        <v>15799</v>
      </c>
      <c r="I13219" t="s">
        <v>7090</v>
      </c>
      <c r="J13219" t="s">
        <v>32888</v>
      </c>
      <c r="K13219" t="s">
        <v>40670</v>
      </c>
      <c r="M13219" t="s">
        <v>42500</v>
      </c>
      <c r="N13219" t="s">
        <v>44905</v>
      </c>
      <c r="O13219" t="s">
        <v>44906</v>
      </c>
      <c r="P13219">
        <v>0</v>
      </c>
      <c r="Q13219">
        <v>6</v>
      </c>
      <c r="R13219" t="s">
        <v>44922</v>
      </c>
      <c r="S13219" t="s">
        <v>45639</v>
      </c>
      <c r="T13219" t="s">
        <v>46493</v>
      </c>
      <c r="U13219" t="s">
        <v>57475</v>
      </c>
      <c r="W13219" t="s">
        <v>42500</v>
      </c>
      <c r="X13219" t="s">
        <v>44923</v>
      </c>
    </row>
    <row r="13220" spans="1:24">
      <c r="A13220">
        <f>HYPERLINK("https://www.philgeps.gov.ph/GEPSNONPILOT/Tender/SplashBidNoticeAbstractUI.aspx?menuIndex=3&amp;refID=7051101&amp;Result=3","7051101")</f>
        <v>0</v>
      </c>
      <c r="B13220" t="s">
        <v>2875</v>
      </c>
      <c r="C13220" t="s">
        <v>16160</v>
      </c>
      <c r="D13220" t="s">
        <v>18100</v>
      </c>
      <c r="E13220" t="s">
        <v>18496</v>
      </c>
      <c r="F13220" t="s">
        <v>31362</v>
      </c>
      <c r="G13220" t="s">
        <v>31368</v>
      </c>
      <c r="H13220" t="s">
        <v>15799</v>
      </c>
      <c r="I13220" t="s">
        <v>31407</v>
      </c>
      <c r="J13220" t="s">
        <v>31561</v>
      </c>
      <c r="K13220" t="s">
        <v>40662</v>
      </c>
      <c r="M13220" t="s">
        <v>44084</v>
      </c>
      <c r="N13220" t="s">
        <v>44905</v>
      </c>
      <c r="O13220" t="s">
        <v>44906</v>
      </c>
      <c r="P13220">
        <v>0</v>
      </c>
      <c r="Q13220">
        <v>0</v>
      </c>
      <c r="R13220" t="s">
        <v>44922</v>
      </c>
      <c r="S13220" t="s">
        <v>45639</v>
      </c>
      <c r="T13220" t="s">
        <v>46443</v>
      </c>
      <c r="U13220" t="s">
        <v>57476</v>
      </c>
      <c r="W13220" t="s">
        <v>44084</v>
      </c>
      <c r="X13220" t="s">
        <v>44923</v>
      </c>
    </row>
    <row r="13221" spans="1:24">
      <c r="A13221">
        <f>HYPERLINK("https://www.philgeps.gov.ph/GEPSNONPILOT/Tender/SplashBidNoticeAbstractUI.aspx?menuIndex=3&amp;refID=7051100&amp;Result=3","7051100")</f>
        <v>0</v>
      </c>
      <c r="B13221" t="s">
        <v>2972</v>
      </c>
      <c r="C13221" t="s">
        <v>16161</v>
      </c>
      <c r="E13221" t="s">
        <v>18475</v>
      </c>
      <c r="F13221" t="s">
        <v>31362</v>
      </c>
      <c r="G13221" t="s">
        <v>31369</v>
      </c>
      <c r="H13221" t="s">
        <v>15799</v>
      </c>
      <c r="I13221" t="s">
        <v>31387</v>
      </c>
      <c r="J13221" t="s">
        <v>39544</v>
      </c>
      <c r="K13221" t="s">
        <v>40662</v>
      </c>
      <c r="M13221" t="s">
        <v>44196</v>
      </c>
      <c r="N13221" t="s">
        <v>44905</v>
      </c>
      <c r="O13221" t="s">
        <v>44906</v>
      </c>
      <c r="P13221">
        <v>0</v>
      </c>
      <c r="Q13221">
        <v>0</v>
      </c>
      <c r="R13221" t="s">
        <v>44922</v>
      </c>
      <c r="S13221" t="s">
        <v>45639</v>
      </c>
      <c r="T13221" t="s">
        <v>46783</v>
      </c>
      <c r="U13221" t="s">
        <v>57477</v>
      </c>
      <c r="W13221" t="s">
        <v>44196</v>
      </c>
      <c r="X13221" t="s">
        <v>44923</v>
      </c>
    </row>
    <row r="13222" spans="1:24">
      <c r="A13222">
        <f>HYPERLINK("https://www.philgeps.gov.ph/GEPSNONPILOT/Tender/SplashBidNoticeAbstractUI.aspx?menuIndex=3&amp;refID=7051078&amp;Result=3","7051078")</f>
        <v>0</v>
      </c>
      <c r="B13222" t="s">
        <v>3322</v>
      </c>
      <c r="C13222" t="s">
        <v>16162</v>
      </c>
      <c r="D13222" t="s">
        <v>18107</v>
      </c>
      <c r="E13222" t="s">
        <v>29630</v>
      </c>
      <c r="F13222" t="s">
        <v>31362</v>
      </c>
      <c r="G13222" t="s">
        <v>31369</v>
      </c>
      <c r="H13222" t="s">
        <v>31378</v>
      </c>
      <c r="I13222" t="s">
        <v>31386</v>
      </c>
      <c r="J13222" t="s">
        <v>39545</v>
      </c>
      <c r="K13222" t="s">
        <v>40682</v>
      </c>
      <c r="M13222" t="s">
        <v>44618</v>
      </c>
      <c r="N13222" t="s">
        <v>44905</v>
      </c>
      <c r="O13222" t="s">
        <v>44906</v>
      </c>
      <c r="P13222">
        <v>0</v>
      </c>
      <c r="Q13222">
        <v>0</v>
      </c>
      <c r="R13222" t="s">
        <v>44922</v>
      </c>
      <c r="S13222" t="s">
        <v>45639</v>
      </c>
      <c r="T13222" t="s">
        <v>46507</v>
      </c>
      <c r="U13222" t="s">
        <v>57372</v>
      </c>
      <c r="V13222" t="s">
        <v>60544</v>
      </c>
      <c r="W13222" t="s">
        <v>44618</v>
      </c>
      <c r="X13222" t="s">
        <v>44923</v>
      </c>
    </row>
    <row r="13223" spans="1:24">
      <c r="A13223">
        <f>HYPERLINK("https://www.philgeps.gov.ph/GEPSNONPILOT/Tender/SplashBidNoticeAbstractUI.aspx?menuIndex=3&amp;refID=7051105&amp;Result=3","7051105")</f>
        <v>0</v>
      </c>
      <c r="B13223" t="s">
        <v>3339</v>
      </c>
      <c r="C13223" t="s">
        <v>16163</v>
      </c>
      <c r="D13223" t="s">
        <v>18107</v>
      </c>
      <c r="E13223" t="s">
        <v>20134</v>
      </c>
      <c r="F13223" t="s">
        <v>31362</v>
      </c>
      <c r="G13223" t="s">
        <v>31369</v>
      </c>
      <c r="H13223" t="s">
        <v>31378</v>
      </c>
      <c r="I13223" t="s">
        <v>31386</v>
      </c>
      <c r="J13223" t="s">
        <v>31615</v>
      </c>
      <c r="K13223" t="s">
        <v>40686</v>
      </c>
      <c r="M13223" t="s">
        <v>44637</v>
      </c>
      <c r="N13223" t="s">
        <v>44905</v>
      </c>
      <c r="O13223" t="s">
        <v>44906</v>
      </c>
      <c r="P13223">
        <v>0</v>
      </c>
      <c r="Q13223">
        <v>1</v>
      </c>
      <c r="R13223" t="s">
        <v>44922</v>
      </c>
      <c r="S13223" t="s">
        <v>45639</v>
      </c>
      <c r="T13223" t="s">
        <v>46447</v>
      </c>
      <c r="U13223" t="s">
        <v>57478</v>
      </c>
      <c r="W13223" t="s">
        <v>44637</v>
      </c>
      <c r="X13223" t="s">
        <v>44923</v>
      </c>
    </row>
    <row r="13224" spans="1:24">
      <c r="A13224">
        <f>HYPERLINK("https://www.philgeps.gov.ph/GEPSNONPILOT/Tender/SplashBidNoticeAbstractUI.aspx?menuIndex=3&amp;refID=7051104&amp;Result=3","7051104")</f>
        <v>0</v>
      </c>
      <c r="B13224" t="s">
        <v>1314</v>
      </c>
      <c r="C13224" t="s">
        <v>16164</v>
      </c>
      <c r="D13224" t="s">
        <v>18134</v>
      </c>
      <c r="E13224" t="s">
        <v>29631</v>
      </c>
      <c r="F13224" t="s">
        <v>31362</v>
      </c>
      <c r="G13224" t="s">
        <v>31369</v>
      </c>
      <c r="H13224" t="s">
        <v>15799</v>
      </c>
      <c r="I13224" t="s">
        <v>31409</v>
      </c>
      <c r="J13224" t="s">
        <v>32296</v>
      </c>
      <c r="K13224" t="s">
        <v>40682</v>
      </c>
      <c r="M13224" t="s">
        <v>42332</v>
      </c>
      <c r="N13224" t="s">
        <v>44905</v>
      </c>
      <c r="O13224" t="s">
        <v>44906</v>
      </c>
      <c r="P13224">
        <v>0</v>
      </c>
      <c r="Q13224">
        <v>2</v>
      </c>
      <c r="R13224" t="s">
        <v>44922</v>
      </c>
      <c r="S13224" t="s">
        <v>45639</v>
      </c>
      <c r="T13224" t="s">
        <v>46549</v>
      </c>
      <c r="U13224" t="s">
        <v>57479</v>
      </c>
      <c r="W13224" t="s">
        <v>42332</v>
      </c>
      <c r="X13224" t="s">
        <v>44923</v>
      </c>
    </row>
    <row r="13225" spans="1:24">
      <c r="A13225">
        <f>HYPERLINK("https://www.philgeps.gov.ph/GEPSNONPILOT/Tender/SplashBidNoticeAbstractUI.aspx?menuIndex=3&amp;refID=7051127&amp;Result=3","7051127")</f>
        <v>0</v>
      </c>
      <c r="B13225" t="s">
        <v>2972</v>
      </c>
      <c r="C13225" t="s">
        <v>16165</v>
      </c>
      <c r="E13225" t="s">
        <v>18479</v>
      </c>
      <c r="F13225" t="s">
        <v>31362</v>
      </c>
      <c r="G13225" t="s">
        <v>31369</v>
      </c>
      <c r="H13225" t="s">
        <v>15799</v>
      </c>
      <c r="I13225" t="s">
        <v>31387</v>
      </c>
      <c r="J13225" t="s">
        <v>39546</v>
      </c>
      <c r="K13225" t="s">
        <v>40662</v>
      </c>
      <c r="M13225" t="s">
        <v>44196</v>
      </c>
      <c r="N13225" t="s">
        <v>44905</v>
      </c>
      <c r="O13225" t="s">
        <v>44906</v>
      </c>
      <c r="P13225">
        <v>0</v>
      </c>
      <c r="Q13225">
        <v>1</v>
      </c>
      <c r="R13225" t="s">
        <v>44922</v>
      </c>
      <c r="S13225" t="s">
        <v>45639</v>
      </c>
      <c r="T13225" t="s">
        <v>46783</v>
      </c>
      <c r="U13225" t="s">
        <v>57480</v>
      </c>
      <c r="W13225" t="s">
        <v>44196</v>
      </c>
      <c r="X13225" t="s">
        <v>44923</v>
      </c>
    </row>
    <row r="13226" spans="1:24">
      <c r="A13226">
        <f>HYPERLINK("https://www.philgeps.gov.ph/GEPSNONPILOT/Tender/SplashBidNoticeAbstractUI.aspx?menuIndex=3&amp;refID=7050826&amp;Result=3","7050826")</f>
        <v>0</v>
      </c>
      <c r="B13226" t="s">
        <v>2875</v>
      </c>
      <c r="C13226" t="s">
        <v>16166</v>
      </c>
      <c r="D13226" t="s">
        <v>18100</v>
      </c>
      <c r="E13226" t="s">
        <v>24643</v>
      </c>
      <c r="F13226" t="s">
        <v>31362</v>
      </c>
      <c r="G13226" t="s">
        <v>31368</v>
      </c>
      <c r="H13226" t="s">
        <v>15799</v>
      </c>
      <c r="I13226" t="s">
        <v>3815</v>
      </c>
      <c r="J13226" t="s">
        <v>31921</v>
      </c>
      <c r="K13226" t="s">
        <v>40693</v>
      </c>
      <c r="M13226" t="s">
        <v>44084</v>
      </c>
      <c r="N13226" t="s">
        <v>44905</v>
      </c>
      <c r="O13226" t="s">
        <v>44906</v>
      </c>
      <c r="P13226">
        <v>0</v>
      </c>
      <c r="Q13226">
        <v>0</v>
      </c>
      <c r="R13226" t="s">
        <v>44922</v>
      </c>
      <c r="S13226" t="s">
        <v>45639</v>
      </c>
      <c r="T13226" t="s">
        <v>46443</v>
      </c>
      <c r="U13226" t="s">
        <v>57481</v>
      </c>
      <c r="W13226" t="s">
        <v>44084</v>
      </c>
      <c r="X13226" t="s">
        <v>44923</v>
      </c>
    </row>
    <row r="13227" spans="1:24">
      <c r="A13227">
        <f>HYPERLINK("https://www.philgeps.gov.ph/GEPSNONPILOT/Tender/SplashBidNoticeAbstractUI.aspx?menuIndex=3&amp;refID=7051032&amp;Result=3","7051032")</f>
        <v>0</v>
      </c>
      <c r="B13227" t="s">
        <v>2972</v>
      </c>
      <c r="C13227" t="s">
        <v>16167</v>
      </c>
      <c r="E13227" t="s">
        <v>18476</v>
      </c>
      <c r="F13227" t="s">
        <v>31362</v>
      </c>
      <c r="G13227" t="s">
        <v>31369</v>
      </c>
      <c r="H13227" t="s">
        <v>15799</v>
      </c>
      <c r="I13227" t="s">
        <v>4283</v>
      </c>
      <c r="J13227" t="s">
        <v>39547</v>
      </c>
      <c r="K13227" t="s">
        <v>40662</v>
      </c>
      <c r="M13227" t="s">
        <v>44196</v>
      </c>
      <c r="N13227" t="s">
        <v>44905</v>
      </c>
      <c r="O13227" t="s">
        <v>44906</v>
      </c>
      <c r="P13227">
        <v>0</v>
      </c>
      <c r="Q13227">
        <v>1</v>
      </c>
      <c r="R13227" t="s">
        <v>44922</v>
      </c>
      <c r="S13227" t="s">
        <v>45639</v>
      </c>
      <c r="T13227" t="s">
        <v>46783</v>
      </c>
      <c r="U13227" t="s">
        <v>57482</v>
      </c>
      <c r="W13227" t="s">
        <v>44196</v>
      </c>
      <c r="X13227" t="s">
        <v>44923</v>
      </c>
    </row>
    <row r="13228" spans="1:24">
      <c r="A13228">
        <f>HYPERLINK("https://www.philgeps.gov.ph/GEPSNONPILOT/Tender/SplashBidNoticeAbstractUI.aspx?menuIndex=3&amp;refID=7051304&amp;Result=3","7051304")</f>
        <v>0</v>
      </c>
      <c r="B13228" t="s">
        <v>930</v>
      </c>
      <c r="C13228" t="s">
        <v>16168</v>
      </c>
      <c r="D13228" t="s">
        <v>18140</v>
      </c>
      <c r="E13228" t="s">
        <v>29632</v>
      </c>
      <c r="F13228" t="s">
        <v>31362</v>
      </c>
      <c r="G13228" t="s">
        <v>31369</v>
      </c>
      <c r="H13228" t="s">
        <v>31378</v>
      </c>
      <c r="I13228" t="s">
        <v>31386</v>
      </c>
      <c r="J13228" t="s">
        <v>39548</v>
      </c>
      <c r="K13228" t="s">
        <v>40821</v>
      </c>
      <c r="M13228" t="s">
        <v>41917</v>
      </c>
      <c r="N13228" t="s">
        <v>44905</v>
      </c>
      <c r="O13228" t="s">
        <v>44906</v>
      </c>
      <c r="P13228">
        <v>0</v>
      </c>
      <c r="Q13228">
        <v>2</v>
      </c>
      <c r="R13228" t="s">
        <v>44922</v>
      </c>
      <c r="S13228" t="s">
        <v>45639</v>
      </c>
      <c r="T13228" t="s">
        <v>46447</v>
      </c>
      <c r="U13228" t="s">
        <v>57483</v>
      </c>
      <c r="V13228" t="s">
        <v>60545</v>
      </c>
      <c r="W13228" t="s">
        <v>41917</v>
      </c>
      <c r="X13228" t="s">
        <v>44923</v>
      </c>
    </row>
    <row r="13229" spans="1:24">
      <c r="A13229">
        <f>HYPERLINK("https://www.philgeps.gov.ph/GEPSNONPILOT/Tender/SplashBidNoticeAbstractUI.aspx?menuIndex=3&amp;refID=7051285&amp;Result=3","7051285")</f>
        <v>0</v>
      </c>
      <c r="B13229" t="s">
        <v>3340</v>
      </c>
      <c r="C13229" t="s">
        <v>16169</v>
      </c>
      <c r="D13229" t="s">
        <v>18127</v>
      </c>
      <c r="E13229" t="s">
        <v>29633</v>
      </c>
      <c r="F13229" t="s">
        <v>31362</v>
      </c>
      <c r="G13229" t="s">
        <v>31369</v>
      </c>
      <c r="H13229" t="s">
        <v>31378</v>
      </c>
      <c r="I13229" t="s">
        <v>31386</v>
      </c>
      <c r="J13229" t="s">
        <v>39549</v>
      </c>
      <c r="K13229" t="s">
        <v>40675</v>
      </c>
      <c r="M13229" t="s">
        <v>44638</v>
      </c>
      <c r="N13229" t="s">
        <v>44905</v>
      </c>
      <c r="O13229" t="s">
        <v>44906</v>
      </c>
      <c r="P13229">
        <v>0</v>
      </c>
      <c r="Q13229">
        <v>1</v>
      </c>
      <c r="R13229" t="s">
        <v>44922</v>
      </c>
      <c r="S13229" t="s">
        <v>45639</v>
      </c>
      <c r="T13229" t="s">
        <v>46416</v>
      </c>
      <c r="U13229" t="s">
        <v>57484</v>
      </c>
      <c r="V13229" t="s">
        <v>60546</v>
      </c>
      <c r="W13229" t="s">
        <v>44638</v>
      </c>
      <c r="X13229" t="s">
        <v>44923</v>
      </c>
    </row>
    <row r="13230" spans="1:24">
      <c r="A13230">
        <f>HYPERLINK("https://www.philgeps.gov.ph/GEPSNONPILOT/Tender/SplashBidNoticeAbstractUI.aspx?menuIndex=3&amp;refID=7051272&amp;Result=3","7051272")</f>
        <v>0</v>
      </c>
      <c r="B13230" t="s">
        <v>2131</v>
      </c>
      <c r="C13230" t="s">
        <v>16170</v>
      </c>
      <c r="E13230" t="s">
        <v>29634</v>
      </c>
      <c r="F13230" t="s">
        <v>31362</v>
      </c>
      <c r="G13230" t="s">
        <v>31369</v>
      </c>
      <c r="H13230" t="s">
        <v>15799</v>
      </c>
      <c r="I13230" t="s">
        <v>31505</v>
      </c>
      <c r="J13230" t="s">
        <v>39550</v>
      </c>
      <c r="K13230" t="s">
        <v>40678</v>
      </c>
      <c r="M13230" t="s">
        <v>43259</v>
      </c>
      <c r="N13230" t="s">
        <v>44905</v>
      </c>
      <c r="O13230" t="s">
        <v>44906</v>
      </c>
      <c r="Q13230">
        <v>6</v>
      </c>
      <c r="R13230" t="s">
        <v>44922</v>
      </c>
      <c r="S13230" t="s">
        <v>45692</v>
      </c>
      <c r="T13230" t="s">
        <v>46530</v>
      </c>
      <c r="U13230" t="s">
        <v>57485</v>
      </c>
      <c r="W13230" t="s">
        <v>43259</v>
      </c>
      <c r="X13230" t="s">
        <v>44923</v>
      </c>
    </row>
    <row r="13231" spans="1:24">
      <c r="A13231">
        <f>HYPERLINK("https://www.philgeps.gov.ph/GEPSNONPILOT/Tender/SplashBidNoticeAbstractUI.aspx?menuIndex=3&amp;refID=7051270&amp;Result=3","7051270")</f>
        <v>0</v>
      </c>
      <c r="B13231" t="s">
        <v>1037</v>
      </c>
      <c r="C13231" t="s">
        <v>16171</v>
      </c>
      <c r="D13231" t="s">
        <v>18146</v>
      </c>
      <c r="E13231" t="s">
        <v>29635</v>
      </c>
      <c r="F13231" t="s">
        <v>31362</v>
      </c>
      <c r="G13231" t="s">
        <v>31369</v>
      </c>
      <c r="H13231" t="s">
        <v>31378</v>
      </c>
      <c r="I13231" t="s">
        <v>31386</v>
      </c>
      <c r="J13231" t="s">
        <v>39551</v>
      </c>
      <c r="K13231" t="s">
        <v>40859</v>
      </c>
      <c r="M13231" t="s">
        <v>43675</v>
      </c>
      <c r="N13231" t="s">
        <v>44905</v>
      </c>
      <c r="O13231" t="s">
        <v>44906</v>
      </c>
      <c r="P13231">
        <v>0</v>
      </c>
      <c r="Q13231">
        <v>0</v>
      </c>
      <c r="R13231" t="s">
        <v>44922</v>
      </c>
      <c r="S13231" t="s">
        <v>45639</v>
      </c>
      <c r="T13231" t="s">
        <v>46410</v>
      </c>
      <c r="U13231" t="s">
        <v>57486</v>
      </c>
      <c r="V13231" t="s">
        <v>60547</v>
      </c>
      <c r="W13231" t="s">
        <v>43675</v>
      </c>
      <c r="X13231" t="s">
        <v>44923</v>
      </c>
    </row>
    <row r="13232" spans="1:24">
      <c r="A13232">
        <f>HYPERLINK("https://www.philgeps.gov.ph/GEPSNONPILOT/Tender/SplashBidNoticeAbstractUI.aspx?menuIndex=3&amp;refID=7051080&amp;Result=3","7051080")</f>
        <v>0</v>
      </c>
      <c r="B13232" t="s">
        <v>3089</v>
      </c>
      <c r="C13232" t="s">
        <v>16172</v>
      </c>
      <c r="D13232" t="s">
        <v>18134</v>
      </c>
      <c r="E13232" t="s">
        <v>29636</v>
      </c>
      <c r="F13232" t="s">
        <v>31362</v>
      </c>
      <c r="G13232" t="s">
        <v>31369</v>
      </c>
      <c r="H13232" t="s">
        <v>15799</v>
      </c>
      <c r="I13232" t="s">
        <v>31410</v>
      </c>
      <c r="J13232" t="s">
        <v>39552</v>
      </c>
      <c r="K13232" t="s">
        <v>40665</v>
      </c>
      <c r="M13232" t="s">
        <v>44329</v>
      </c>
      <c r="N13232" t="s">
        <v>44905</v>
      </c>
      <c r="O13232" t="s">
        <v>44906</v>
      </c>
      <c r="Q13232">
        <v>0</v>
      </c>
      <c r="R13232" t="s">
        <v>44922</v>
      </c>
      <c r="S13232" t="s">
        <v>45693</v>
      </c>
      <c r="T13232" t="s">
        <v>46867</v>
      </c>
      <c r="U13232" t="s">
        <v>56077</v>
      </c>
      <c r="V13232" t="s">
        <v>60291</v>
      </c>
      <c r="W13232" t="s">
        <v>44329</v>
      </c>
      <c r="X13232" t="s">
        <v>44923</v>
      </c>
    </row>
    <row r="13233" spans="1:24">
      <c r="A13233">
        <f>HYPERLINK("https://www.philgeps.gov.ph/GEPSNONPILOT/Tender/SplashBidNoticeAbstractUI.aspx?menuIndex=3&amp;refID=7051244&amp;Result=3","7051244")</f>
        <v>0</v>
      </c>
      <c r="B13233" t="s">
        <v>930</v>
      </c>
      <c r="C13233" t="s">
        <v>16173</v>
      </c>
      <c r="D13233" t="s">
        <v>18140</v>
      </c>
      <c r="E13233" t="s">
        <v>29637</v>
      </c>
      <c r="F13233" t="s">
        <v>31362</v>
      </c>
      <c r="G13233" t="s">
        <v>31369</v>
      </c>
      <c r="H13233" t="s">
        <v>31378</v>
      </c>
      <c r="I13233" t="s">
        <v>31386</v>
      </c>
      <c r="J13233" t="s">
        <v>39553</v>
      </c>
      <c r="K13233" t="s">
        <v>40676</v>
      </c>
      <c r="M13233" t="s">
        <v>41917</v>
      </c>
      <c r="N13233" t="s">
        <v>44905</v>
      </c>
      <c r="O13233" t="s">
        <v>44906</v>
      </c>
      <c r="P13233">
        <v>0</v>
      </c>
      <c r="Q13233">
        <v>4</v>
      </c>
      <c r="R13233" t="s">
        <v>44922</v>
      </c>
      <c r="S13233" t="s">
        <v>45639</v>
      </c>
      <c r="T13233" t="s">
        <v>46447</v>
      </c>
      <c r="U13233" t="s">
        <v>57487</v>
      </c>
      <c r="V13233" t="s">
        <v>60545</v>
      </c>
      <c r="W13233" t="s">
        <v>41917</v>
      </c>
      <c r="X13233" t="s">
        <v>44923</v>
      </c>
    </row>
    <row r="13234" spans="1:24">
      <c r="A13234">
        <f>HYPERLINK("https://www.philgeps.gov.ph/GEPSNONPILOT/Tender/SplashBidNoticeAbstractUI.aspx?menuIndex=3&amp;refID=7051228&amp;Result=3","7051228")</f>
        <v>0</v>
      </c>
      <c r="B13234" t="s">
        <v>3341</v>
      </c>
      <c r="C13234" t="s">
        <v>16174</v>
      </c>
      <c r="D13234" t="s">
        <v>18161</v>
      </c>
      <c r="E13234" t="s">
        <v>29638</v>
      </c>
      <c r="F13234" t="s">
        <v>31362</v>
      </c>
      <c r="G13234" t="s">
        <v>31369</v>
      </c>
      <c r="H13234" t="s">
        <v>15799</v>
      </c>
      <c r="I13234" t="s">
        <v>31409</v>
      </c>
      <c r="J13234" t="s">
        <v>33653</v>
      </c>
      <c r="K13234" t="s">
        <v>40665</v>
      </c>
      <c r="M13234" t="s">
        <v>44639</v>
      </c>
      <c r="N13234" t="s">
        <v>44905</v>
      </c>
      <c r="O13234" t="s">
        <v>44906</v>
      </c>
      <c r="P13234">
        <v>0</v>
      </c>
      <c r="Q13234">
        <v>5</v>
      </c>
      <c r="R13234" t="s">
        <v>44922</v>
      </c>
      <c r="S13234" t="s">
        <v>45639</v>
      </c>
      <c r="T13234" t="s">
        <v>46530</v>
      </c>
      <c r="U13234" t="s">
        <v>57488</v>
      </c>
      <c r="W13234" t="s">
        <v>44639</v>
      </c>
      <c r="X13234" t="s">
        <v>44923</v>
      </c>
    </row>
    <row r="13235" spans="1:24">
      <c r="A13235">
        <f>HYPERLINK("https://www.philgeps.gov.ph/GEPSNONPILOT/Tender/SplashBidNoticeAbstractUI.aspx?menuIndex=3&amp;refID=7051222&amp;Result=3","7051222")</f>
        <v>0</v>
      </c>
      <c r="B13235" t="s">
        <v>1037</v>
      </c>
      <c r="C13235" t="s">
        <v>16175</v>
      </c>
      <c r="D13235" t="s">
        <v>18146</v>
      </c>
      <c r="E13235" t="s">
        <v>29639</v>
      </c>
      <c r="F13235" t="s">
        <v>31362</v>
      </c>
      <c r="G13235" t="s">
        <v>31369</v>
      </c>
      <c r="H13235" t="s">
        <v>31378</v>
      </c>
      <c r="I13235" t="s">
        <v>31386</v>
      </c>
      <c r="J13235" t="s">
        <v>39554</v>
      </c>
      <c r="K13235" t="s">
        <v>40885</v>
      </c>
      <c r="M13235" t="s">
        <v>43675</v>
      </c>
      <c r="N13235" t="s">
        <v>44905</v>
      </c>
      <c r="O13235" t="s">
        <v>44906</v>
      </c>
      <c r="P13235">
        <v>0</v>
      </c>
      <c r="Q13235">
        <v>0</v>
      </c>
      <c r="R13235" t="s">
        <v>44922</v>
      </c>
      <c r="S13235" t="s">
        <v>45639</v>
      </c>
      <c r="T13235" t="s">
        <v>46410</v>
      </c>
      <c r="U13235" t="s">
        <v>57489</v>
      </c>
      <c r="V13235" t="s">
        <v>60548</v>
      </c>
      <c r="W13235" t="s">
        <v>43675</v>
      </c>
      <c r="X13235" t="s">
        <v>44923</v>
      </c>
    </row>
    <row r="13236" spans="1:24">
      <c r="A13236">
        <f>HYPERLINK("https://www.philgeps.gov.ph/GEPSNONPILOT/Tender/SplashBidNoticeAbstractUI.aspx?menuIndex=3&amp;refID=7051218&amp;Result=3","7051218")</f>
        <v>0</v>
      </c>
      <c r="B13236" t="s">
        <v>1225</v>
      </c>
      <c r="C13236" t="s">
        <v>16176</v>
      </c>
      <c r="D13236" t="s">
        <v>18148</v>
      </c>
      <c r="E13236" t="s">
        <v>29640</v>
      </c>
      <c r="F13236" t="s">
        <v>31362</v>
      </c>
      <c r="G13236" t="s">
        <v>31369</v>
      </c>
      <c r="H13236" t="s">
        <v>31378</v>
      </c>
      <c r="I13236" t="s">
        <v>31386</v>
      </c>
      <c r="J13236" t="s">
        <v>36149</v>
      </c>
      <c r="K13236" t="s">
        <v>40684</v>
      </c>
      <c r="L13236" t="s">
        <v>1225</v>
      </c>
      <c r="M13236" t="s">
        <v>42239</v>
      </c>
      <c r="N13236" t="s">
        <v>44905</v>
      </c>
      <c r="O13236" t="s">
        <v>44906</v>
      </c>
      <c r="Q13236">
        <v>3</v>
      </c>
      <c r="R13236" t="s">
        <v>44922</v>
      </c>
      <c r="S13236" t="s">
        <v>45694</v>
      </c>
      <c r="T13236" t="s">
        <v>46447</v>
      </c>
      <c r="U13236" t="s">
        <v>57490</v>
      </c>
      <c r="W13236" t="s">
        <v>42239</v>
      </c>
      <c r="X13236" t="s">
        <v>44923</v>
      </c>
    </row>
    <row r="13237" spans="1:24">
      <c r="A13237">
        <f>HYPERLINK("https://www.philgeps.gov.ph/GEPSNONPILOT/Tender/SplashBidNoticeAbstractUI.aspx?menuIndex=3&amp;refID=7051215&amp;Result=3","7051215")</f>
        <v>0</v>
      </c>
      <c r="B13237" t="s">
        <v>3342</v>
      </c>
      <c r="C13237" t="s">
        <v>16177</v>
      </c>
      <c r="D13237" t="s">
        <v>18127</v>
      </c>
      <c r="E13237" t="s">
        <v>29641</v>
      </c>
      <c r="F13237" t="s">
        <v>31362</v>
      </c>
      <c r="G13237" t="s">
        <v>31369</v>
      </c>
      <c r="H13237" t="s">
        <v>15799</v>
      </c>
      <c r="I13237" t="s">
        <v>31409</v>
      </c>
      <c r="J13237" t="s">
        <v>37629</v>
      </c>
      <c r="K13237" t="s">
        <v>40665</v>
      </c>
      <c r="M13237" t="s">
        <v>44640</v>
      </c>
      <c r="N13237" t="s">
        <v>44905</v>
      </c>
      <c r="O13237" t="s">
        <v>44906</v>
      </c>
      <c r="P13237">
        <v>0</v>
      </c>
      <c r="Q13237">
        <v>3</v>
      </c>
      <c r="R13237" t="s">
        <v>44922</v>
      </c>
      <c r="S13237" t="s">
        <v>45639</v>
      </c>
      <c r="T13237" t="s">
        <v>46397</v>
      </c>
      <c r="U13237" t="s">
        <v>57491</v>
      </c>
      <c r="W13237" t="s">
        <v>44640</v>
      </c>
      <c r="X13237" t="s">
        <v>44923</v>
      </c>
    </row>
    <row r="13238" spans="1:24">
      <c r="A13238">
        <f>HYPERLINK("https://www.philgeps.gov.ph/GEPSNONPILOT/Tender/SplashBidNoticeAbstractUI.aspx?menuIndex=3&amp;refID=7051201&amp;Result=3","7051201")</f>
        <v>0</v>
      </c>
      <c r="B13238" t="s">
        <v>3257</v>
      </c>
      <c r="C13238" t="s">
        <v>16178</v>
      </c>
      <c r="D13238" t="s">
        <v>18136</v>
      </c>
      <c r="E13238" t="s">
        <v>29642</v>
      </c>
      <c r="F13238" t="s">
        <v>31362</v>
      </c>
      <c r="G13238" t="s">
        <v>31369</v>
      </c>
      <c r="H13238" t="s">
        <v>15799</v>
      </c>
      <c r="I13238" t="s">
        <v>31382</v>
      </c>
      <c r="J13238" t="s">
        <v>31578</v>
      </c>
      <c r="K13238" t="s">
        <v>40666</v>
      </c>
      <c r="M13238" t="s">
        <v>44537</v>
      </c>
      <c r="N13238" t="s">
        <v>44905</v>
      </c>
      <c r="O13238" t="s">
        <v>44906</v>
      </c>
      <c r="P13238">
        <v>0</v>
      </c>
      <c r="Q13238">
        <v>4</v>
      </c>
      <c r="R13238" t="s">
        <v>44922</v>
      </c>
      <c r="S13238" t="s">
        <v>45639</v>
      </c>
      <c r="T13238" t="s">
        <v>46410</v>
      </c>
      <c r="U13238" t="s">
        <v>57492</v>
      </c>
      <c r="W13238" t="s">
        <v>44537</v>
      </c>
      <c r="X13238" t="s">
        <v>44923</v>
      </c>
    </row>
    <row r="13239" spans="1:24">
      <c r="A13239">
        <f>HYPERLINK("https://www.philgeps.gov.ph/GEPSNONPILOT/Tender/SplashBidNoticeAbstractUI.aspx?menuIndex=3&amp;refID=7051247&amp;Result=3","7051247")</f>
        <v>0</v>
      </c>
      <c r="B13239" t="s">
        <v>3322</v>
      </c>
      <c r="C13239" t="s">
        <v>16179</v>
      </c>
      <c r="D13239" t="s">
        <v>18107</v>
      </c>
      <c r="E13239" t="s">
        <v>29643</v>
      </c>
      <c r="F13239" t="s">
        <v>31362</v>
      </c>
      <c r="G13239" t="s">
        <v>31369</v>
      </c>
      <c r="H13239" t="s">
        <v>31378</v>
      </c>
      <c r="I13239" t="s">
        <v>31386</v>
      </c>
      <c r="J13239" t="s">
        <v>31606</v>
      </c>
      <c r="K13239" t="s">
        <v>40682</v>
      </c>
      <c r="M13239" t="s">
        <v>44618</v>
      </c>
      <c r="N13239" t="s">
        <v>44905</v>
      </c>
      <c r="O13239" t="s">
        <v>44906</v>
      </c>
      <c r="P13239">
        <v>0</v>
      </c>
      <c r="Q13239">
        <v>0</v>
      </c>
      <c r="R13239" t="s">
        <v>44922</v>
      </c>
      <c r="S13239" t="s">
        <v>45639</v>
      </c>
      <c r="T13239" t="s">
        <v>46410</v>
      </c>
      <c r="U13239" t="s">
        <v>57372</v>
      </c>
      <c r="V13239" t="s">
        <v>60549</v>
      </c>
      <c r="W13239" t="s">
        <v>44618</v>
      </c>
      <c r="X13239" t="s">
        <v>44923</v>
      </c>
    </row>
    <row r="13240" spans="1:24">
      <c r="A13240">
        <f>HYPERLINK("https://www.philgeps.gov.ph/GEPSNONPILOT/Tender/SplashBidNoticeAbstractUI.aspx?menuIndex=3&amp;refID=7051243&amp;Result=3","7051243")</f>
        <v>0</v>
      </c>
      <c r="B13240" t="s">
        <v>2167</v>
      </c>
      <c r="C13240" t="s">
        <v>16180</v>
      </c>
      <c r="D13240" t="s">
        <v>18134</v>
      </c>
      <c r="E13240" t="s">
        <v>29644</v>
      </c>
      <c r="F13240" t="s">
        <v>31362</v>
      </c>
      <c r="G13240" t="s">
        <v>31369</v>
      </c>
      <c r="H13240" t="s">
        <v>15799</v>
      </c>
      <c r="I13240" t="s">
        <v>31381</v>
      </c>
      <c r="J13240" t="s">
        <v>31919</v>
      </c>
      <c r="K13240" t="s">
        <v>40666</v>
      </c>
      <c r="M13240" t="s">
        <v>43962</v>
      </c>
      <c r="N13240" t="s">
        <v>44905</v>
      </c>
      <c r="O13240" t="s">
        <v>44906</v>
      </c>
      <c r="P13240">
        <v>0</v>
      </c>
      <c r="Q13240">
        <v>3</v>
      </c>
      <c r="R13240" t="s">
        <v>44922</v>
      </c>
      <c r="S13240" t="s">
        <v>45639</v>
      </c>
      <c r="T13240" t="s">
        <v>46406</v>
      </c>
      <c r="U13240" t="s">
        <v>57493</v>
      </c>
      <c r="W13240" t="s">
        <v>43962</v>
      </c>
      <c r="X13240" t="s">
        <v>44923</v>
      </c>
    </row>
    <row r="13241" spans="1:24">
      <c r="A13241">
        <f>HYPERLINK("https://www.philgeps.gov.ph/GEPSNONPILOT/Tender/SplashBidNoticeAbstractUI.aspx?menuIndex=3&amp;refID=7051170&amp;Result=3","7051170")</f>
        <v>0</v>
      </c>
      <c r="B13241" t="s">
        <v>1037</v>
      </c>
      <c r="C13241" t="s">
        <v>16181</v>
      </c>
      <c r="D13241" t="s">
        <v>18146</v>
      </c>
      <c r="E13241" t="s">
        <v>29645</v>
      </c>
      <c r="F13241" t="s">
        <v>31362</v>
      </c>
      <c r="G13241" t="s">
        <v>31369</v>
      </c>
      <c r="H13241" t="s">
        <v>31378</v>
      </c>
      <c r="I13241" t="s">
        <v>31386</v>
      </c>
      <c r="J13241" t="s">
        <v>39555</v>
      </c>
      <c r="K13241" t="s">
        <v>40933</v>
      </c>
      <c r="M13241" t="s">
        <v>43675</v>
      </c>
      <c r="N13241" t="s">
        <v>44905</v>
      </c>
      <c r="O13241" t="s">
        <v>44906</v>
      </c>
      <c r="P13241">
        <v>0</v>
      </c>
      <c r="Q13241">
        <v>1</v>
      </c>
      <c r="R13241" t="s">
        <v>44922</v>
      </c>
      <c r="S13241" t="s">
        <v>45639</v>
      </c>
      <c r="T13241" t="s">
        <v>46410</v>
      </c>
      <c r="U13241" t="s">
        <v>57494</v>
      </c>
      <c r="V13241" t="s">
        <v>60548</v>
      </c>
      <c r="W13241" t="s">
        <v>43675</v>
      </c>
      <c r="X13241" t="s">
        <v>44923</v>
      </c>
    </row>
    <row r="13242" spans="1:24">
      <c r="A13242">
        <f>HYPERLINK("https://www.philgeps.gov.ph/GEPSNONPILOT/Tender/SplashBidNoticeAbstractUI.aspx?menuIndex=3&amp;refID=7051154&amp;Result=3","7051154")</f>
        <v>0</v>
      </c>
      <c r="B13242" t="s">
        <v>2972</v>
      </c>
      <c r="C13242" t="s">
        <v>16182</v>
      </c>
      <c r="E13242" t="s">
        <v>19737</v>
      </c>
      <c r="F13242" t="s">
        <v>31362</v>
      </c>
      <c r="G13242" t="s">
        <v>31369</v>
      </c>
      <c r="H13242" t="s">
        <v>15799</v>
      </c>
      <c r="I13242" t="s">
        <v>31385</v>
      </c>
      <c r="J13242" t="s">
        <v>39556</v>
      </c>
      <c r="K13242" t="s">
        <v>40662</v>
      </c>
      <c r="M13242" t="s">
        <v>44196</v>
      </c>
      <c r="N13242" t="s">
        <v>44905</v>
      </c>
      <c r="O13242" t="s">
        <v>44906</v>
      </c>
      <c r="P13242">
        <v>0</v>
      </c>
      <c r="Q13242">
        <v>1</v>
      </c>
      <c r="R13242" t="s">
        <v>44922</v>
      </c>
      <c r="S13242" t="s">
        <v>45639</v>
      </c>
      <c r="T13242" t="s">
        <v>46783</v>
      </c>
      <c r="U13242" t="s">
        <v>57495</v>
      </c>
      <c r="W13242" t="s">
        <v>44196</v>
      </c>
      <c r="X13242" t="s">
        <v>44923</v>
      </c>
    </row>
    <row r="13243" spans="1:24">
      <c r="A13243">
        <f>HYPERLINK("https://www.philgeps.gov.ph/GEPSNONPILOT/Tender/SplashBidNoticeAbstractUI.aspx?menuIndex=3&amp;refID=7051213&amp;Result=3","7051213")</f>
        <v>0</v>
      </c>
      <c r="B13243" t="s">
        <v>1314</v>
      </c>
      <c r="C13243" t="s">
        <v>16183</v>
      </c>
      <c r="D13243" t="s">
        <v>18134</v>
      </c>
      <c r="E13243" t="s">
        <v>29646</v>
      </c>
      <c r="F13243" t="s">
        <v>31362</v>
      </c>
      <c r="G13243" t="s">
        <v>31369</v>
      </c>
      <c r="H13243" t="s">
        <v>15799</v>
      </c>
      <c r="I13243" t="s">
        <v>3815</v>
      </c>
      <c r="J13243" t="s">
        <v>31738</v>
      </c>
      <c r="K13243" t="s">
        <v>40677</v>
      </c>
      <c r="M13243" t="s">
        <v>42332</v>
      </c>
      <c r="N13243" t="s">
        <v>44905</v>
      </c>
      <c r="O13243" t="s">
        <v>44906</v>
      </c>
      <c r="P13243">
        <v>0</v>
      </c>
      <c r="Q13243">
        <v>1</v>
      </c>
      <c r="R13243" t="s">
        <v>44922</v>
      </c>
      <c r="S13243" t="s">
        <v>45639</v>
      </c>
      <c r="T13243" t="s">
        <v>46549</v>
      </c>
      <c r="U13243" t="s">
        <v>57496</v>
      </c>
      <c r="W13243" t="s">
        <v>42332</v>
      </c>
      <c r="X13243" t="s">
        <v>44923</v>
      </c>
    </row>
    <row r="13244" spans="1:24">
      <c r="A13244">
        <f>HYPERLINK("https://www.philgeps.gov.ph/GEPSNONPILOT/Tender/SplashBidNoticeAbstractUI.aspx?menuIndex=3&amp;refID=7051129&amp;Result=3","7051129")</f>
        <v>0</v>
      </c>
      <c r="B13244" t="s">
        <v>1156</v>
      </c>
      <c r="C13244" t="s">
        <v>16184</v>
      </c>
      <c r="D13244" t="s">
        <v>18111</v>
      </c>
      <c r="E13244" t="s">
        <v>29647</v>
      </c>
      <c r="F13244" t="s">
        <v>31362</v>
      </c>
      <c r="G13244" t="s">
        <v>31369</v>
      </c>
      <c r="H13244" t="s">
        <v>15799</v>
      </c>
      <c r="I13244" t="s">
        <v>31409</v>
      </c>
      <c r="J13244" t="s">
        <v>33653</v>
      </c>
      <c r="K13244" t="s">
        <v>40662</v>
      </c>
      <c r="M13244" t="s">
        <v>42165</v>
      </c>
      <c r="N13244" t="s">
        <v>44905</v>
      </c>
      <c r="O13244" t="s">
        <v>44906</v>
      </c>
      <c r="P13244">
        <v>0</v>
      </c>
      <c r="Q13244">
        <v>3</v>
      </c>
      <c r="R13244" t="s">
        <v>44922</v>
      </c>
      <c r="S13244" t="s">
        <v>45639</v>
      </c>
      <c r="T13244" t="s">
        <v>46447</v>
      </c>
      <c r="U13244" t="s">
        <v>57497</v>
      </c>
      <c r="W13244" t="s">
        <v>60885</v>
      </c>
      <c r="X13244" t="s">
        <v>44923</v>
      </c>
    </row>
    <row r="13245" spans="1:24">
      <c r="A13245">
        <f>HYPERLINK("https://www.philgeps.gov.ph/GEPSNONPILOT/Tender/SplashBidNoticeAbstractUI.aspx?menuIndex=3&amp;refID=7051019&amp;Result=3","7051019")</f>
        <v>0</v>
      </c>
      <c r="B13245" t="s">
        <v>3238</v>
      </c>
      <c r="C13245" t="s">
        <v>16185</v>
      </c>
      <c r="D13245" t="s">
        <v>18131</v>
      </c>
      <c r="E13245" t="s">
        <v>29648</v>
      </c>
      <c r="F13245" t="s">
        <v>31362</v>
      </c>
      <c r="G13245" t="s">
        <v>31369</v>
      </c>
      <c r="H13245" t="s">
        <v>15799</v>
      </c>
      <c r="I13245" t="s">
        <v>31382</v>
      </c>
      <c r="J13245" t="s">
        <v>33388</v>
      </c>
      <c r="K13245" t="s">
        <v>40662</v>
      </c>
      <c r="M13245" t="s">
        <v>44515</v>
      </c>
      <c r="N13245" t="s">
        <v>44905</v>
      </c>
      <c r="O13245" t="s">
        <v>44906</v>
      </c>
      <c r="Q13245">
        <v>12</v>
      </c>
      <c r="R13245" t="s">
        <v>44922</v>
      </c>
      <c r="S13245" t="s">
        <v>45695</v>
      </c>
      <c r="T13245" t="s">
        <v>46652</v>
      </c>
      <c r="U13245" t="s">
        <v>57498</v>
      </c>
      <c r="V13245" t="s">
        <v>60550</v>
      </c>
      <c r="W13245" t="s">
        <v>44515</v>
      </c>
      <c r="X13245" t="s">
        <v>44923</v>
      </c>
    </row>
    <row r="13246" spans="1:24">
      <c r="A13246">
        <f>HYPERLINK("https://www.philgeps.gov.ph/GEPSNONPILOT/Tender/SplashBidNoticeAbstractUI.aspx?menuIndex=3&amp;refID=7051180&amp;Result=3","7051180")</f>
        <v>0</v>
      </c>
      <c r="B13246" t="s">
        <v>930</v>
      </c>
      <c r="C13246" t="s">
        <v>16186</v>
      </c>
      <c r="D13246" t="s">
        <v>18140</v>
      </c>
      <c r="E13246" t="s">
        <v>29649</v>
      </c>
      <c r="F13246" t="s">
        <v>31362</v>
      </c>
      <c r="G13246" t="s">
        <v>31369</v>
      </c>
      <c r="H13246" t="s">
        <v>31378</v>
      </c>
      <c r="I13246" t="s">
        <v>31386</v>
      </c>
      <c r="J13246" t="s">
        <v>39557</v>
      </c>
      <c r="K13246" t="s">
        <v>40676</v>
      </c>
      <c r="M13246" t="s">
        <v>41917</v>
      </c>
      <c r="N13246" t="s">
        <v>44905</v>
      </c>
      <c r="O13246" t="s">
        <v>44906</v>
      </c>
      <c r="P13246">
        <v>0</v>
      </c>
      <c r="Q13246">
        <v>5</v>
      </c>
      <c r="R13246" t="s">
        <v>44922</v>
      </c>
      <c r="S13246" t="s">
        <v>45639</v>
      </c>
      <c r="T13246" t="s">
        <v>46447</v>
      </c>
      <c r="U13246" t="s">
        <v>57499</v>
      </c>
      <c r="V13246" t="s">
        <v>60545</v>
      </c>
      <c r="W13246" t="s">
        <v>41917</v>
      </c>
      <c r="X13246" t="s">
        <v>44923</v>
      </c>
    </row>
    <row r="13247" spans="1:24">
      <c r="A13247">
        <f>HYPERLINK("https://www.philgeps.gov.ph/GEPSNONPILOT/Tender/SplashBidNoticeAbstractUI.aspx?menuIndex=3&amp;refID=7051016&amp;Result=3","7051016")</f>
        <v>0</v>
      </c>
      <c r="B13247" t="s">
        <v>3333</v>
      </c>
      <c r="C13247" t="s">
        <v>16187</v>
      </c>
      <c r="D13247" t="s">
        <v>18118</v>
      </c>
      <c r="E13247" t="s">
        <v>29650</v>
      </c>
      <c r="F13247" t="s">
        <v>31362</v>
      </c>
      <c r="G13247" t="s">
        <v>31369</v>
      </c>
      <c r="H13247" t="s">
        <v>31379</v>
      </c>
      <c r="I13247" t="s">
        <v>31393</v>
      </c>
      <c r="J13247" t="s">
        <v>31606</v>
      </c>
      <c r="K13247" t="s">
        <v>40682</v>
      </c>
      <c r="M13247" t="s">
        <v>44630</v>
      </c>
      <c r="N13247" t="s">
        <v>44905</v>
      </c>
      <c r="O13247" t="s">
        <v>44906</v>
      </c>
      <c r="P13247">
        <v>0</v>
      </c>
      <c r="Q13247">
        <v>10</v>
      </c>
      <c r="R13247" t="s">
        <v>44922</v>
      </c>
      <c r="S13247" t="s">
        <v>45639</v>
      </c>
      <c r="T13247" t="s">
        <v>46530</v>
      </c>
      <c r="U13247" t="s">
        <v>57500</v>
      </c>
      <c r="W13247" t="s">
        <v>44630</v>
      </c>
      <c r="X13247" t="s">
        <v>44923</v>
      </c>
    </row>
    <row r="13248" spans="1:24">
      <c r="A13248">
        <f>HYPERLINK("https://www.philgeps.gov.ph/GEPSNONPILOT/Tender/SplashBidNoticeAbstractUI.aspx?menuIndex=3&amp;refID=7051006&amp;Result=3","7051006")</f>
        <v>0</v>
      </c>
      <c r="B13248" t="s">
        <v>983</v>
      </c>
      <c r="C13248" t="s">
        <v>16188</v>
      </c>
      <c r="D13248" t="s">
        <v>18108</v>
      </c>
      <c r="E13248" t="s">
        <v>29651</v>
      </c>
      <c r="F13248" t="s">
        <v>31362</v>
      </c>
      <c r="G13248" t="s">
        <v>31369</v>
      </c>
      <c r="H13248" t="s">
        <v>15799</v>
      </c>
      <c r="I13248" t="s">
        <v>31380</v>
      </c>
      <c r="J13248" t="s">
        <v>39558</v>
      </c>
      <c r="K13248" t="s">
        <v>40662</v>
      </c>
      <c r="M13248" t="s">
        <v>41975</v>
      </c>
      <c r="N13248" t="s">
        <v>44905</v>
      </c>
      <c r="O13248" t="s">
        <v>44906</v>
      </c>
      <c r="P13248">
        <v>0</v>
      </c>
      <c r="Q13248">
        <v>32</v>
      </c>
      <c r="R13248" t="s">
        <v>44922</v>
      </c>
      <c r="S13248" t="s">
        <v>45639</v>
      </c>
      <c r="T13248" t="s">
        <v>46438</v>
      </c>
      <c r="U13248" t="s">
        <v>57501</v>
      </c>
      <c r="W13248" t="s">
        <v>41975</v>
      </c>
      <c r="X13248" t="s">
        <v>44923</v>
      </c>
    </row>
    <row r="13249" spans="1:24">
      <c r="A13249">
        <f>HYPERLINK("https://www.philgeps.gov.ph/GEPSNONPILOT/Tender/SplashBidNoticeAbstractUI.aspx?menuIndex=3&amp;refID=7051138&amp;Result=3","7051138")</f>
        <v>0</v>
      </c>
      <c r="B13249" t="s">
        <v>2126</v>
      </c>
      <c r="C13249" t="s">
        <v>16189</v>
      </c>
      <c r="D13249" t="s">
        <v>18104</v>
      </c>
      <c r="E13249" t="s">
        <v>29652</v>
      </c>
      <c r="F13249" t="s">
        <v>31362</v>
      </c>
      <c r="G13249" t="s">
        <v>31369</v>
      </c>
      <c r="H13249" t="s">
        <v>15799</v>
      </c>
      <c r="I13249" t="s">
        <v>31409</v>
      </c>
      <c r="J13249" t="s">
        <v>31693</v>
      </c>
      <c r="K13249" t="s">
        <v>40679</v>
      </c>
      <c r="M13249" t="s">
        <v>43254</v>
      </c>
      <c r="N13249" t="s">
        <v>44905</v>
      </c>
      <c r="O13249" t="s">
        <v>44906</v>
      </c>
      <c r="P13249">
        <v>0</v>
      </c>
      <c r="Q13249">
        <v>4</v>
      </c>
      <c r="R13249" t="s">
        <v>44922</v>
      </c>
      <c r="S13249" t="s">
        <v>45639</v>
      </c>
      <c r="T13249" t="s">
        <v>46435</v>
      </c>
      <c r="U13249" t="s">
        <v>57502</v>
      </c>
      <c r="V13249" t="s">
        <v>60551</v>
      </c>
      <c r="W13249" t="s">
        <v>43254</v>
      </c>
      <c r="X13249" t="s">
        <v>44923</v>
      </c>
    </row>
    <row r="13250" spans="1:24">
      <c r="A13250">
        <f>HYPERLINK("https://www.philgeps.gov.ph/GEPSNONPILOT/Tender/SplashBidNoticeAbstractUI.aspx?menuIndex=3&amp;refID=7051176&amp;Result=3","7051176")</f>
        <v>0</v>
      </c>
      <c r="B13250" t="s">
        <v>3343</v>
      </c>
      <c r="C13250" t="s">
        <v>16190</v>
      </c>
      <c r="D13250" t="s">
        <v>18168</v>
      </c>
      <c r="E13250" t="s">
        <v>29653</v>
      </c>
      <c r="F13250" t="s">
        <v>31362</v>
      </c>
      <c r="G13250" t="s">
        <v>31369</v>
      </c>
      <c r="H13250" t="s">
        <v>31378</v>
      </c>
      <c r="I13250" t="s">
        <v>31386</v>
      </c>
      <c r="J13250" t="s">
        <v>31578</v>
      </c>
      <c r="K13250" t="s">
        <v>40665</v>
      </c>
      <c r="M13250" t="s">
        <v>44641</v>
      </c>
      <c r="N13250" t="s">
        <v>44905</v>
      </c>
      <c r="O13250" t="s">
        <v>44906</v>
      </c>
      <c r="P13250">
        <v>0</v>
      </c>
      <c r="Q13250">
        <v>0</v>
      </c>
      <c r="R13250" t="s">
        <v>44922</v>
      </c>
      <c r="S13250" t="s">
        <v>45639</v>
      </c>
      <c r="T13250" t="s">
        <v>46467</v>
      </c>
      <c r="U13250" t="s">
        <v>57503</v>
      </c>
      <c r="W13250" t="s">
        <v>44641</v>
      </c>
      <c r="X13250" t="s">
        <v>44923</v>
      </c>
    </row>
    <row r="13251" spans="1:24">
      <c r="A13251">
        <f>HYPERLINK("https://www.philgeps.gov.ph/GEPSNONPILOT/Tender/SplashBidNoticeAbstractUI.aspx?menuIndex=3&amp;refID=7050996&amp;Result=3","7050996")</f>
        <v>0</v>
      </c>
      <c r="B13251" t="s">
        <v>2972</v>
      </c>
      <c r="C13251" t="s">
        <v>16191</v>
      </c>
      <c r="E13251" t="s">
        <v>18548</v>
      </c>
      <c r="F13251" t="s">
        <v>31362</v>
      </c>
      <c r="G13251" t="s">
        <v>31369</v>
      </c>
      <c r="H13251" t="s">
        <v>15799</v>
      </c>
      <c r="I13251" t="s">
        <v>31427</v>
      </c>
      <c r="J13251" t="s">
        <v>38325</v>
      </c>
      <c r="K13251" t="s">
        <v>40662</v>
      </c>
      <c r="M13251" t="s">
        <v>44196</v>
      </c>
      <c r="N13251" t="s">
        <v>44905</v>
      </c>
      <c r="O13251" t="s">
        <v>44906</v>
      </c>
      <c r="P13251">
        <v>0</v>
      </c>
      <c r="Q13251">
        <v>3</v>
      </c>
      <c r="R13251" t="s">
        <v>44922</v>
      </c>
      <c r="S13251" t="s">
        <v>45639</v>
      </c>
      <c r="T13251" t="s">
        <v>46783</v>
      </c>
      <c r="U13251" t="s">
        <v>57504</v>
      </c>
      <c r="W13251" t="s">
        <v>44196</v>
      </c>
      <c r="X13251" t="s">
        <v>44923</v>
      </c>
    </row>
    <row r="13252" spans="1:24">
      <c r="A13252">
        <f>HYPERLINK("https://www.philgeps.gov.ph/GEPSNONPILOT/Tender/SplashBidNoticeAbstractUI.aspx?menuIndex=3&amp;refID=7051457&amp;Result=3","7051457")</f>
        <v>0</v>
      </c>
      <c r="B13252" t="s">
        <v>1037</v>
      </c>
      <c r="C13252" t="s">
        <v>16192</v>
      </c>
      <c r="D13252" t="s">
        <v>18146</v>
      </c>
      <c r="E13252" t="s">
        <v>29654</v>
      </c>
      <c r="F13252" t="s">
        <v>31362</v>
      </c>
      <c r="G13252" t="s">
        <v>31369</v>
      </c>
      <c r="H13252" t="s">
        <v>31378</v>
      </c>
      <c r="I13252" t="s">
        <v>31386</v>
      </c>
      <c r="J13252" t="s">
        <v>39559</v>
      </c>
      <c r="K13252" t="s">
        <v>40861</v>
      </c>
      <c r="M13252" t="s">
        <v>43675</v>
      </c>
      <c r="N13252" t="s">
        <v>44905</v>
      </c>
      <c r="O13252" t="s">
        <v>44906</v>
      </c>
      <c r="P13252">
        <v>0</v>
      </c>
      <c r="Q13252">
        <v>0</v>
      </c>
      <c r="R13252" t="s">
        <v>44922</v>
      </c>
      <c r="S13252" t="s">
        <v>45639</v>
      </c>
      <c r="T13252" t="s">
        <v>46410</v>
      </c>
      <c r="U13252" t="s">
        <v>57505</v>
      </c>
      <c r="V13252" t="s">
        <v>60552</v>
      </c>
      <c r="W13252" t="s">
        <v>43675</v>
      </c>
      <c r="X13252" t="s">
        <v>44923</v>
      </c>
    </row>
    <row r="13253" spans="1:24">
      <c r="A13253">
        <f>HYPERLINK("https://www.philgeps.gov.ph/GEPSNONPILOT/Tender/SplashBidNoticeAbstractUI.aspx?menuIndex=3&amp;refID=7051010&amp;Result=3","7051010")</f>
        <v>0</v>
      </c>
      <c r="B13253" t="s">
        <v>2857</v>
      </c>
      <c r="C13253" t="s">
        <v>16193</v>
      </c>
      <c r="D13253" t="s">
        <v>18101</v>
      </c>
      <c r="E13253" t="s">
        <v>19359</v>
      </c>
      <c r="F13253" t="s">
        <v>31362</v>
      </c>
      <c r="G13253" t="s">
        <v>31369</v>
      </c>
      <c r="H13253" t="s">
        <v>15799</v>
      </c>
      <c r="I13253" t="s">
        <v>31409</v>
      </c>
      <c r="J13253" t="s">
        <v>32391</v>
      </c>
      <c r="K13253" t="s">
        <v>40666</v>
      </c>
      <c r="M13253" t="s">
        <v>44060</v>
      </c>
      <c r="N13253" t="s">
        <v>44905</v>
      </c>
      <c r="O13253" t="s">
        <v>44906</v>
      </c>
      <c r="P13253">
        <v>0</v>
      </c>
      <c r="Q13253">
        <v>0</v>
      </c>
      <c r="R13253" t="s">
        <v>44922</v>
      </c>
      <c r="S13253" t="s">
        <v>45639</v>
      </c>
      <c r="T13253" t="s">
        <v>46740</v>
      </c>
      <c r="U13253" t="s">
        <v>57506</v>
      </c>
      <c r="W13253" t="s">
        <v>44060</v>
      </c>
      <c r="X13253" t="s">
        <v>44923</v>
      </c>
    </row>
    <row r="13254" spans="1:24">
      <c r="A13254">
        <f>HYPERLINK("https://www.philgeps.gov.ph/GEPSNONPILOT/Tender/SplashBidNoticeAbstractUI.aspx?menuIndex=3&amp;refID=7051431&amp;Result=3","7051431")</f>
        <v>0</v>
      </c>
      <c r="B13254" t="s">
        <v>3322</v>
      </c>
      <c r="C13254" t="s">
        <v>16194</v>
      </c>
      <c r="D13254" t="s">
        <v>18107</v>
      </c>
      <c r="E13254" t="s">
        <v>29655</v>
      </c>
      <c r="F13254" t="s">
        <v>31362</v>
      </c>
      <c r="G13254" t="s">
        <v>31369</v>
      </c>
      <c r="H13254" t="s">
        <v>31378</v>
      </c>
      <c r="I13254" t="s">
        <v>31386</v>
      </c>
      <c r="J13254" t="s">
        <v>34763</v>
      </c>
      <c r="K13254" t="s">
        <v>40686</v>
      </c>
      <c r="M13254" t="s">
        <v>44618</v>
      </c>
      <c r="N13254" t="s">
        <v>44905</v>
      </c>
      <c r="O13254" t="s">
        <v>44906</v>
      </c>
      <c r="P13254">
        <v>0</v>
      </c>
      <c r="Q13254">
        <v>0</v>
      </c>
      <c r="R13254" t="s">
        <v>44922</v>
      </c>
      <c r="S13254" t="s">
        <v>45639</v>
      </c>
      <c r="T13254" t="s">
        <v>46868</v>
      </c>
      <c r="U13254" t="s">
        <v>57507</v>
      </c>
      <c r="V13254" t="s">
        <v>60553</v>
      </c>
      <c r="W13254" t="s">
        <v>44618</v>
      </c>
      <c r="X13254" t="s">
        <v>44923</v>
      </c>
    </row>
    <row r="13255" spans="1:24">
      <c r="A13255">
        <f>HYPERLINK("https://www.philgeps.gov.ph/GEPSNONPILOT/Tender/SplashBidNoticeAbstractUI.aspx?menuIndex=3&amp;refID=7051094&amp;Result=3","7051094")</f>
        <v>0</v>
      </c>
      <c r="B13255" t="s">
        <v>1156</v>
      </c>
      <c r="C13255" t="s">
        <v>16195</v>
      </c>
      <c r="D13255" t="s">
        <v>18111</v>
      </c>
      <c r="E13255" t="s">
        <v>29656</v>
      </c>
      <c r="F13255" t="s">
        <v>31362</v>
      </c>
      <c r="G13255" t="s">
        <v>31369</v>
      </c>
      <c r="H13255" t="s">
        <v>15799</v>
      </c>
      <c r="I13255" t="s">
        <v>31409</v>
      </c>
      <c r="J13255" t="s">
        <v>39560</v>
      </c>
      <c r="K13255" t="s">
        <v>40662</v>
      </c>
      <c r="M13255" t="s">
        <v>42165</v>
      </c>
      <c r="N13255" t="s">
        <v>44905</v>
      </c>
      <c r="O13255" t="s">
        <v>44906</v>
      </c>
      <c r="P13255">
        <v>0</v>
      </c>
      <c r="Q13255">
        <v>2</v>
      </c>
      <c r="R13255" t="s">
        <v>44922</v>
      </c>
      <c r="S13255" t="s">
        <v>45639</v>
      </c>
      <c r="T13255" t="s">
        <v>46447</v>
      </c>
      <c r="U13255" t="s">
        <v>57508</v>
      </c>
      <c r="W13255" t="s">
        <v>60885</v>
      </c>
      <c r="X13255" t="s">
        <v>44923</v>
      </c>
    </row>
    <row r="13256" spans="1:24">
      <c r="A13256">
        <f>HYPERLINK("https://www.philgeps.gov.ph/GEPSNONPILOT/Tender/SplashBidNoticeAbstractUI.aspx?menuIndex=3&amp;refID=7051417&amp;Result=3","7051417")</f>
        <v>0</v>
      </c>
      <c r="B13256" t="s">
        <v>3321</v>
      </c>
      <c r="C13256" t="s">
        <v>16196</v>
      </c>
      <c r="D13256" t="s">
        <v>18181</v>
      </c>
      <c r="E13256" t="s">
        <v>15799</v>
      </c>
      <c r="F13256" t="s">
        <v>31362</v>
      </c>
      <c r="G13256" t="s">
        <v>31369</v>
      </c>
      <c r="H13256" t="s">
        <v>15799</v>
      </c>
      <c r="I13256" t="s">
        <v>7719</v>
      </c>
      <c r="J13256" t="s">
        <v>39561</v>
      </c>
      <c r="K13256" t="s">
        <v>40665</v>
      </c>
      <c r="M13256" t="s">
        <v>44616</v>
      </c>
      <c r="N13256" t="s">
        <v>44905</v>
      </c>
      <c r="O13256" t="s">
        <v>44906</v>
      </c>
      <c r="P13256">
        <v>0</v>
      </c>
      <c r="Q13256">
        <v>3</v>
      </c>
      <c r="R13256" t="s">
        <v>44922</v>
      </c>
      <c r="S13256" t="s">
        <v>45639</v>
      </c>
      <c r="T13256" t="s">
        <v>46447</v>
      </c>
      <c r="U13256" t="s">
        <v>57509</v>
      </c>
      <c r="V13256" t="s">
        <v>60554</v>
      </c>
      <c r="W13256" t="s">
        <v>44616</v>
      </c>
      <c r="X13256" t="s">
        <v>44923</v>
      </c>
    </row>
    <row r="13257" spans="1:24">
      <c r="A13257">
        <f>HYPERLINK("https://www.philgeps.gov.ph/GEPSNONPILOT/Tender/SplashBidNoticeAbstractUI.aspx?menuIndex=3&amp;refID=7051402&amp;Result=3","7051402")</f>
        <v>0</v>
      </c>
      <c r="B13257" t="s">
        <v>3257</v>
      </c>
      <c r="C13257" t="s">
        <v>16197</v>
      </c>
      <c r="D13257" t="s">
        <v>18136</v>
      </c>
      <c r="E13257" t="s">
        <v>29657</v>
      </c>
      <c r="F13257" t="s">
        <v>31362</v>
      </c>
      <c r="G13257" t="s">
        <v>31369</v>
      </c>
      <c r="H13257" t="s">
        <v>15799</v>
      </c>
      <c r="I13257" t="s">
        <v>31394</v>
      </c>
      <c r="J13257" t="s">
        <v>31536</v>
      </c>
      <c r="K13257" t="s">
        <v>40666</v>
      </c>
      <c r="M13257" t="s">
        <v>44537</v>
      </c>
      <c r="N13257" t="s">
        <v>44905</v>
      </c>
      <c r="O13257" t="s">
        <v>44906</v>
      </c>
      <c r="P13257">
        <v>0</v>
      </c>
      <c r="Q13257">
        <v>2</v>
      </c>
      <c r="R13257" t="s">
        <v>44922</v>
      </c>
      <c r="S13257" t="s">
        <v>45639</v>
      </c>
      <c r="T13257" t="s">
        <v>46410</v>
      </c>
      <c r="U13257" t="s">
        <v>57510</v>
      </c>
      <c r="W13257" t="s">
        <v>44537</v>
      </c>
      <c r="X13257" t="s">
        <v>44923</v>
      </c>
    </row>
    <row r="13258" spans="1:24">
      <c r="A13258">
        <f>HYPERLINK("https://www.philgeps.gov.ph/GEPSNONPILOT/Tender/SplashBidNoticeAbstractUI.aspx?menuIndex=3&amp;refID=7051438&amp;Result=3","7051438")</f>
        <v>0</v>
      </c>
      <c r="B13258" t="s">
        <v>930</v>
      </c>
      <c r="C13258" t="s">
        <v>16198</v>
      </c>
      <c r="D13258" t="s">
        <v>18140</v>
      </c>
      <c r="E13258" t="s">
        <v>29658</v>
      </c>
      <c r="F13258" t="s">
        <v>31362</v>
      </c>
      <c r="G13258" t="s">
        <v>31369</v>
      </c>
      <c r="H13258" t="s">
        <v>31378</v>
      </c>
      <c r="I13258" t="s">
        <v>31386</v>
      </c>
      <c r="J13258" t="s">
        <v>39562</v>
      </c>
      <c r="K13258" t="s">
        <v>40687</v>
      </c>
      <c r="M13258" t="s">
        <v>41917</v>
      </c>
      <c r="N13258" t="s">
        <v>44905</v>
      </c>
      <c r="O13258" t="s">
        <v>44906</v>
      </c>
      <c r="P13258">
        <v>0</v>
      </c>
      <c r="Q13258">
        <v>2</v>
      </c>
      <c r="R13258" t="s">
        <v>44922</v>
      </c>
      <c r="S13258" t="s">
        <v>45639</v>
      </c>
      <c r="T13258" t="s">
        <v>46447</v>
      </c>
      <c r="U13258" t="s">
        <v>57511</v>
      </c>
      <c r="V13258" t="s">
        <v>60545</v>
      </c>
      <c r="W13258" t="s">
        <v>41917</v>
      </c>
      <c r="X13258" t="s">
        <v>44923</v>
      </c>
    </row>
    <row r="13259" spans="1:24">
      <c r="A13259">
        <f>HYPERLINK("https://www.philgeps.gov.ph/GEPSNONPILOT/Tender/SplashBidNoticeAbstractUI.aspx?menuIndex=3&amp;refID=7051381&amp;Result=3","7051381")</f>
        <v>0</v>
      </c>
      <c r="B13259" t="s">
        <v>1037</v>
      </c>
      <c r="C13259" t="s">
        <v>16199</v>
      </c>
      <c r="D13259" t="s">
        <v>18146</v>
      </c>
      <c r="E13259" t="s">
        <v>29659</v>
      </c>
      <c r="F13259" t="s">
        <v>31362</v>
      </c>
      <c r="G13259" t="s">
        <v>31369</v>
      </c>
      <c r="H13259" t="s">
        <v>31378</v>
      </c>
      <c r="I13259" t="s">
        <v>31386</v>
      </c>
      <c r="J13259" t="s">
        <v>39563</v>
      </c>
      <c r="K13259" t="s">
        <v>40788</v>
      </c>
      <c r="M13259" t="s">
        <v>43675</v>
      </c>
      <c r="N13259" t="s">
        <v>44905</v>
      </c>
      <c r="O13259" t="s">
        <v>44906</v>
      </c>
      <c r="P13259">
        <v>0</v>
      </c>
      <c r="Q13259">
        <v>0</v>
      </c>
      <c r="R13259" t="s">
        <v>44922</v>
      </c>
      <c r="S13259" t="s">
        <v>45639</v>
      </c>
      <c r="T13259" t="s">
        <v>46410</v>
      </c>
      <c r="U13259" t="s">
        <v>57512</v>
      </c>
      <c r="V13259" t="s">
        <v>60555</v>
      </c>
      <c r="W13259" t="s">
        <v>43675</v>
      </c>
      <c r="X13259" t="s">
        <v>44923</v>
      </c>
    </row>
    <row r="13260" spans="1:24">
      <c r="A13260">
        <f>HYPERLINK("https://www.philgeps.gov.ph/GEPSNONPILOT/Tender/SplashBidNoticeAbstractUI.aspx?menuIndex=3&amp;refID=7051296&amp;Result=3","7051296")</f>
        <v>0</v>
      </c>
      <c r="B13260" t="s">
        <v>3257</v>
      </c>
      <c r="C13260" t="s">
        <v>7539</v>
      </c>
      <c r="D13260" t="s">
        <v>18136</v>
      </c>
      <c r="E13260" t="s">
        <v>29660</v>
      </c>
      <c r="F13260" t="s">
        <v>31362</v>
      </c>
      <c r="G13260" t="s">
        <v>31369</v>
      </c>
      <c r="H13260" t="s">
        <v>15799</v>
      </c>
      <c r="I13260" t="s">
        <v>31380</v>
      </c>
      <c r="J13260" t="s">
        <v>39564</v>
      </c>
      <c r="K13260" t="s">
        <v>40666</v>
      </c>
      <c r="M13260" t="s">
        <v>44537</v>
      </c>
      <c r="N13260" t="s">
        <v>44905</v>
      </c>
      <c r="O13260" t="s">
        <v>44906</v>
      </c>
      <c r="P13260">
        <v>0</v>
      </c>
      <c r="Q13260">
        <v>2</v>
      </c>
      <c r="R13260" t="s">
        <v>44922</v>
      </c>
      <c r="S13260" t="s">
        <v>45639</v>
      </c>
      <c r="T13260" t="s">
        <v>46410</v>
      </c>
      <c r="U13260" t="s">
        <v>57513</v>
      </c>
      <c r="W13260" t="s">
        <v>44537</v>
      </c>
      <c r="X13260" t="s">
        <v>44923</v>
      </c>
    </row>
    <row r="13261" spans="1:24">
      <c r="A13261">
        <f>HYPERLINK("https://www.philgeps.gov.ph/GEPSNONPILOT/Tender/SplashBidNoticeAbstractUI.aspx?menuIndex=3&amp;refID=7051362&amp;Result=3","7051362")</f>
        <v>0</v>
      </c>
      <c r="B13261" t="s">
        <v>351</v>
      </c>
      <c r="C13261" t="s">
        <v>16200</v>
      </c>
      <c r="D13261" t="s">
        <v>18142</v>
      </c>
      <c r="E13261" t="s">
        <v>29661</v>
      </c>
      <c r="F13261" t="s">
        <v>31362</v>
      </c>
      <c r="G13261" t="s">
        <v>31369</v>
      </c>
      <c r="H13261" t="s">
        <v>31378</v>
      </c>
      <c r="I13261" t="s">
        <v>31386</v>
      </c>
      <c r="J13261" t="s">
        <v>39565</v>
      </c>
      <c r="K13261" t="s">
        <v>40746</v>
      </c>
      <c r="M13261" t="s">
        <v>41298</v>
      </c>
      <c r="N13261" t="s">
        <v>44905</v>
      </c>
      <c r="O13261" t="s">
        <v>44906</v>
      </c>
      <c r="P13261">
        <v>0</v>
      </c>
      <c r="Q13261">
        <v>0</v>
      </c>
      <c r="R13261" t="s">
        <v>44922</v>
      </c>
      <c r="S13261" t="s">
        <v>45639</v>
      </c>
      <c r="T13261" t="s">
        <v>46519</v>
      </c>
      <c r="U13261" t="s">
        <v>52803</v>
      </c>
      <c r="W13261" t="s">
        <v>41298</v>
      </c>
      <c r="X13261" t="s">
        <v>44923</v>
      </c>
    </row>
    <row r="13262" spans="1:24">
      <c r="A13262">
        <f>HYPERLINK("https://www.philgeps.gov.ph/GEPSNONPILOT/Tender/SplashBidNoticeAbstractUI.aspx?menuIndex=3&amp;refID=7051405&amp;Result=3","7051405")</f>
        <v>0</v>
      </c>
      <c r="B13262" t="s">
        <v>3344</v>
      </c>
      <c r="C13262" t="s">
        <v>16201</v>
      </c>
      <c r="D13262" t="s">
        <v>18157</v>
      </c>
      <c r="E13262" t="s">
        <v>29662</v>
      </c>
      <c r="F13262" t="s">
        <v>31362</v>
      </c>
      <c r="G13262" t="s">
        <v>31369</v>
      </c>
      <c r="H13262" t="s">
        <v>31378</v>
      </c>
      <c r="I13262" t="s">
        <v>31386</v>
      </c>
      <c r="J13262" t="s">
        <v>31542</v>
      </c>
      <c r="K13262" t="s">
        <v>40768</v>
      </c>
      <c r="M13262" t="s">
        <v>44642</v>
      </c>
      <c r="N13262" t="s">
        <v>44905</v>
      </c>
      <c r="O13262" t="s">
        <v>44906</v>
      </c>
      <c r="P13262">
        <v>0</v>
      </c>
      <c r="Q13262">
        <v>4</v>
      </c>
      <c r="R13262" t="s">
        <v>44922</v>
      </c>
      <c r="S13262" t="s">
        <v>45639</v>
      </c>
      <c r="T13262" t="s">
        <v>46393</v>
      </c>
      <c r="U13262" t="s">
        <v>57514</v>
      </c>
      <c r="W13262" t="s">
        <v>44642</v>
      </c>
      <c r="X13262" t="s">
        <v>44923</v>
      </c>
    </row>
    <row r="13263" spans="1:24">
      <c r="A13263">
        <f>HYPERLINK("https://www.philgeps.gov.ph/GEPSNONPILOT/Tender/SplashBidNoticeAbstractUI.aspx?menuIndex=3&amp;refID=7051391&amp;Result=3","7051391")</f>
        <v>0</v>
      </c>
      <c r="B13263" t="s">
        <v>249</v>
      </c>
      <c r="C13263" t="s">
        <v>16202</v>
      </c>
      <c r="D13263" t="s">
        <v>18110</v>
      </c>
      <c r="E13263" t="s">
        <v>29663</v>
      </c>
      <c r="F13263" t="s">
        <v>31362</v>
      </c>
      <c r="G13263" t="s">
        <v>31368</v>
      </c>
      <c r="H13263" t="s">
        <v>15799</v>
      </c>
      <c r="I13263" t="s">
        <v>31386</v>
      </c>
      <c r="J13263" t="s">
        <v>32553</v>
      </c>
      <c r="K13263" t="s">
        <v>40662</v>
      </c>
      <c r="M13263" t="s">
        <v>41188</v>
      </c>
      <c r="N13263" t="s">
        <v>44905</v>
      </c>
      <c r="O13263" t="s">
        <v>44906</v>
      </c>
      <c r="Q13263">
        <v>0</v>
      </c>
      <c r="R13263" t="s">
        <v>44922</v>
      </c>
      <c r="S13263" t="s">
        <v>45696</v>
      </c>
      <c r="T13263" t="s">
        <v>46409</v>
      </c>
      <c r="U13263" t="s">
        <v>47345</v>
      </c>
      <c r="W13263" t="s">
        <v>41188</v>
      </c>
      <c r="X13263" t="s">
        <v>44923</v>
      </c>
    </row>
    <row r="13264" spans="1:24">
      <c r="A13264">
        <f>HYPERLINK("https://www.philgeps.gov.ph/GEPSNONPILOT/Tender/SplashBidNoticeAbstractUI.aspx?menuIndex=3&amp;refID=7051385&amp;Result=3","7051385")</f>
        <v>0</v>
      </c>
      <c r="B13264" t="s">
        <v>930</v>
      </c>
      <c r="C13264" t="s">
        <v>16203</v>
      </c>
      <c r="D13264" t="s">
        <v>18140</v>
      </c>
      <c r="E13264" t="s">
        <v>29664</v>
      </c>
      <c r="F13264" t="s">
        <v>31362</v>
      </c>
      <c r="G13264" t="s">
        <v>31369</v>
      </c>
      <c r="H13264" t="s">
        <v>31378</v>
      </c>
      <c r="I13264" t="s">
        <v>31386</v>
      </c>
      <c r="J13264" t="s">
        <v>39566</v>
      </c>
      <c r="K13264" t="s">
        <v>40665</v>
      </c>
      <c r="M13264" t="s">
        <v>41917</v>
      </c>
      <c r="N13264" t="s">
        <v>44905</v>
      </c>
      <c r="O13264" t="s">
        <v>44906</v>
      </c>
      <c r="P13264">
        <v>0</v>
      </c>
      <c r="Q13264">
        <v>2</v>
      </c>
      <c r="R13264" t="s">
        <v>44922</v>
      </c>
      <c r="S13264" t="s">
        <v>45639</v>
      </c>
      <c r="T13264" t="s">
        <v>46447</v>
      </c>
      <c r="U13264" t="s">
        <v>57515</v>
      </c>
      <c r="V13264" t="s">
        <v>60545</v>
      </c>
      <c r="W13264" t="s">
        <v>41917</v>
      </c>
      <c r="X13264" t="s">
        <v>44923</v>
      </c>
    </row>
    <row r="13265" spans="1:24">
      <c r="A13265">
        <f>HYPERLINK("https://www.philgeps.gov.ph/GEPSNONPILOT/Tender/SplashBidNoticeAbstractUI.aspx?menuIndex=3&amp;refID=7050428&amp;Result=3","7050428")</f>
        <v>0</v>
      </c>
      <c r="B13265" t="s">
        <v>3345</v>
      </c>
      <c r="C13265" t="s">
        <v>16204</v>
      </c>
      <c r="D13265" t="s">
        <v>18175</v>
      </c>
      <c r="E13265" t="s">
        <v>29665</v>
      </c>
      <c r="F13265" t="s">
        <v>31362</v>
      </c>
      <c r="G13265" t="s">
        <v>31369</v>
      </c>
      <c r="H13265" t="s">
        <v>31378</v>
      </c>
      <c r="I13265" t="s">
        <v>31386</v>
      </c>
      <c r="J13265" t="s">
        <v>33118</v>
      </c>
      <c r="K13265" t="s">
        <v>40662</v>
      </c>
      <c r="M13265" t="s">
        <v>44643</v>
      </c>
      <c r="N13265" t="s">
        <v>44905</v>
      </c>
      <c r="O13265" t="s">
        <v>44906</v>
      </c>
      <c r="P13265">
        <v>0</v>
      </c>
      <c r="Q13265">
        <v>0</v>
      </c>
      <c r="R13265" t="s">
        <v>44922</v>
      </c>
      <c r="S13265" t="s">
        <v>45639</v>
      </c>
      <c r="T13265" t="s">
        <v>46426</v>
      </c>
      <c r="U13265" t="s">
        <v>57516</v>
      </c>
      <c r="W13265" t="s">
        <v>44643</v>
      </c>
      <c r="X13265" t="s">
        <v>44923</v>
      </c>
    </row>
    <row r="13266" spans="1:24">
      <c r="A13266">
        <f>HYPERLINK("https://www.philgeps.gov.ph/GEPSNONPILOT/Tender/SplashBidNoticeAbstractUI.aspx?menuIndex=3&amp;refID=7051327&amp;Result=3","7051327")</f>
        <v>0</v>
      </c>
      <c r="B13266" t="s">
        <v>1037</v>
      </c>
      <c r="C13266" t="s">
        <v>16205</v>
      </c>
      <c r="D13266" t="s">
        <v>18146</v>
      </c>
      <c r="E13266" t="s">
        <v>29666</v>
      </c>
      <c r="F13266" t="s">
        <v>31362</v>
      </c>
      <c r="G13266" t="s">
        <v>31369</v>
      </c>
      <c r="H13266" t="s">
        <v>31378</v>
      </c>
      <c r="I13266" t="s">
        <v>31386</v>
      </c>
      <c r="J13266" t="s">
        <v>39567</v>
      </c>
      <c r="K13266" t="s">
        <v>40701</v>
      </c>
      <c r="M13266" t="s">
        <v>43675</v>
      </c>
      <c r="N13266" t="s">
        <v>44905</v>
      </c>
      <c r="O13266" t="s">
        <v>44906</v>
      </c>
      <c r="P13266">
        <v>0</v>
      </c>
      <c r="Q13266">
        <v>0</v>
      </c>
      <c r="R13266" t="s">
        <v>44922</v>
      </c>
      <c r="S13266" t="s">
        <v>45639</v>
      </c>
      <c r="T13266" t="s">
        <v>46410</v>
      </c>
      <c r="U13266" t="s">
        <v>57517</v>
      </c>
      <c r="V13266" t="s">
        <v>60556</v>
      </c>
      <c r="W13266" t="s">
        <v>43675</v>
      </c>
      <c r="X13266" t="s">
        <v>44923</v>
      </c>
    </row>
    <row r="13267" spans="1:24">
      <c r="A13267">
        <f>HYPERLINK("https://www.philgeps.gov.ph/GEPSNONPILOT/Tender/SplashBidNoticeAbstractUI.aspx?menuIndex=3&amp;refID=7051321&amp;Result=3","7051321")</f>
        <v>0</v>
      </c>
      <c r="B13267" t="s">
        <v>972</v>
      </c>
      <c r="C13267" t="s">
        <v>16206</v>
      </c>
      <c r="D13267" t="s">
        <v>18141</v>
      </c>
      <c r="E13267" t="s">
        <v>29667</v>
      </c>
      <c r="F13267" t="s">
        <v>31362</v>
      </c>
      <c r="G13267" t="s">
        <v>31369</v>
      </c>
      <c r="H13267" t="s">
        <v>31378</v>
      </c>
      <c r="I13267" t="s">
        <v>31386</v>
      </c>
      <c r="J13267" t="s">
        <v>31637</v>
      </c>
      <c r="K13267" t="s">
        <v>40679</v>
      </c>
      <c r="M13267" t="s">
        <v>42216</v>
      </c>
      <c r="N13267" t="s">
        <v>44905</v>
      </c>
      <c r="O13267" t="s">
        <v>44906</v>
      </c>
      <c r="P13267">
        <v>0</v>
      </c>
      <c r="Q13267">
        <v>0</v>
      </c>
      <c r="R13267" t="s">
        <v>44922</v>
      </c>
      <c r="S13267" t="s">
        <v>45639</v>
      </c>
      <c r="T13267" t="s">
        <v>46470</v>
      </c>
      <c r="U13267" t="s">
        <v>49558</v>
      </c>
      <c r="W13267" t="s">
        <v>42216</v>
      </c>
      <c r="X13267" t="s">
        <v>44923</v>
      </c>
    </row>
    <row r="13268" spans="1:24">
      <c r="A13268">
        <f>HYPERLINK("https://www.philgeps.gov.ph/GEPSNONPILOT/Tender/SplashBidNoticeAbstractUI.aspx?menuIndex=3&amp;refID=7051354&amp;Result=3","7051354")</f>
        <v>0</v>
      </c>
      <c r="B13268" t="s">
        <v>3257</v>
      </c>
      <c r="C13268" t="s">
        <v>16207</v>
      </c>
      <c r="D13268" t="s">
        <v>18136</v>
      </c>
      <c r="E13268" t="s">
        <v>29668</v>
      </c>
      <c r="F13268" t="s">
        <v>31362</v>
      </c>
      <c r="G13268" t="s">
        <v>31369</v>
      </c>
      <c r="H13268" t="s">
        <v>15799</v>
      </c>
      <c r="I13268" t="s">
        <v>31380</v>
      </c>
      <c r="J13268" t="s">
        <v>31530</v>
      </c>
      <c r="K13268" t="s">
        <v>40666</v>
      </c>
      <c r="M13268" t="s">
        <v>44537</v>
      </c>
      <c r="N13268" t="s">
        <v>44905</v>
      </c>
      <c r="O13268" t="s">
        <v>44906</v>
      </c>
      <c r="P13268">
        <v>0</v>
      </c>
      <c r="Q13268">
        <v>1</v>
      </c>
      <c r="R13268" t="s">
        <v>44922</v>
      </c>
      <c r="S13268" t="s">
        <v>45639</v>
      </c>
      <c r="T13268" t="s">
        <v>46410</v>
      </c>
      <c r="U13268" t="s">
        <v>57518</v>
      </c>
      <c r="W13268" t="s">
        <v>44537</v>
      </c>
      <c r="X13268" t="s">
        <v>44923</v>
      </c>
    </row>
    <row r="13269" spans="1:24">
      <c r="A13269">
        <f>HYPERLINK("https://www.philgeps.gov.ph/GEPSNONPILOT/Tender/SplashBidNoticeAbstractUI.aspx?menuIndex=3&amp;refID=7051318&amp;Result=3","7051318")</f>
        <v>0</v>
      </c>
      <c r="B13269" t="s">
        <v>327</v>
      </c>
      <c r="C13269" t="s">
        <v>16208</v>
      </c>
      <c r="E13269" t="s">
        <v>29669</v>
      </c>
      <c r="F13269" t="s">
        <v>31362</v>
      </c>
      <c r="G13269" t="s">
        <v>31369</v>
      </c>
      <c r="H13269" t="s">
        <v>15799</v>
      </c>
      <c r="I13269" t="s">
        <v>31393</v>
      </c>
      <c r="J13269" t="s">
        <v>39568</v>
      </c>
      <c r="K13269" t="s">
        <v>40675</v>
      </c>
      <c r="M13269" t="s">
        <v>44099</v>
      </c>
      <c r="N13269" t="s">
        <v>44905</v>
      </c>
      <c r="O13269" t="s">
        <v>44906</v>
      </c>
      <c r="Q13269">
        <v>33</v>
      </c>
      <c r="R13269" t="s">
        <v>44922</v>
      </c>
      <c r="S13269" t="s">
        <v>45697</v>
      </c>
      <c r="T13269" t="s">
        <v>46486</v>
      </c>
      <c r="U13269" t="s">
        <v>57519</v>
      </c>
      <c r="W13269" t="s">
        <v>44099</v>
      </c>
      <c r="X13269" t="s">
        <v>44923</v>
      </c>
    </row>
    <row r="13270" spans="1:24">
      <c r="A13270">
        <f>HYPERLINK("https://www.philgeps.gov.ph/GEPSNONPILOT/Tender/SplashBidNoticeAbstractUI.aspx?menuIndex=3&amp;refID=7051346&amp;Result=3","7051346")</f>
        <v>0</v>
      </c>
      <c r="B13270" t="s">
        <v>930</v>
      </c>
      <c r="C13270" t="s">
        <v>16209</v>
      </c>
      <c r="D13270" t="s">
        <v>18140</v>
      </c>
      <c r="E13270" t="s">
        <v>29670</v>
      </c>
      <c r="F13270" t="s">
        <v>31362</v>
      </c>
      <c r="G13270" t="s">
        <v>31369</v>
      </c>
      <c r="H13270" t="s">
        <v>31378</v>
      </c>
      <c r="I13270" t="s">
        <v>31386</v>
      </c>
      <c r="J13270" t="s">
        <v>39569</v>
      </c>
      <c r="K13270" t="s">
        <v>40694</v>
      </c>
      <c r="M13270" t="s">
        <v>41917</v>
      </c>
      <c r="N13270" t="s">
        <v>44905</v>
      </c>
      <c r="O13270" t="s">
        <v>44906</v>
      </c>
      <c r="Q13270">
        <v>2</v>
      </c>
      <c r="R13270" t="s">
        <v>44922</v>
      </c>
      <c r="S13270" t="s">
        <v>45698</v>
      </c>
      <c r="T13270" t="s">
        <v>46447</v>
      </c>
      <c r="U13270" t="s">
        <v>57520</v>
      </c>
      <c r="V13270" t="s">
        <v>60545</v>
      </c>
      <c r="W13270" t="s">
        <v>41917</v>
      </c>
      <c r="X13270" t="s">
        <v>44923</v>
      </c>
    </row>
    <row r="13271" spans="1:24">
      <c r="A13271">
        <f>HYPERLINK("https://www.philgeps.gov.ph/GEPSNONPILOT/Tender/SplashBidNoticeAbstractUI.aspx?menuIndex=3&amp;refID=7051312&amp;Result=3","7051312")</f>
        <v>0</v>
      </c>
      <c r="B13271" t="s">
        <v>1853</v>
      </c>
      <c r="C13271" t="s">
        <v>16210</v>
      </c>
      <c r="D13271" t="s">
        <v>18133</v>
      </c>
      <c r="E13271" t="s">
        <v>29671</v>
      </c>
      <c r="F13271" t="s">
        <v>31362</v>
      </c>
      <c r="G13271" t="s">
        <v>31369</v>
      </c>
      <c r="H13271" t="s">
        <v>15799</v>
      </c>
      <c r="I13271" t="s">
        <v>3815</v>
      </c>
      <c r="J13271" t="s">
        <v>39570</v>
      </c>
      <c r="K13271" t="s">
        <v>40662</v>
      </c>
      <c r="M13271" t="s">
        <v>42943</v>
      </c>
      <c r="N13271" t="s">
        <v>44905</v>
      </c>
      <c r="O13271" t="s">
        <v>44906</v>
      </c>
      <c r="P13271">
        <v>0</v>
      </c>
      <c r="Q13271">
        <v>0</v>
      </c>
      <c r="R13271" t="s">
        <v>44922</v>
      </c>
      <c r="S13271" t="s">
        <v>45639</v>
      </c>
      <c r="T13271" t="s">
        <v>46400</v>
      </c>
      <c r="U13271" t="s">
        <v>57521</v>
      </c>
      <c r="V13271" t="s">
        <v>60557</v>
      </c>
      <c r="W13271" t="s">
        <v>42943</v>
      </c>
      <c r="X13271" t="s">
        <v>44923</v>
      </c>
    </row>
    <row r="13272" spans="1:24">
      <c r="A13272">
        <f>HYPERLINK("https://www.philgeps.gov.ph/GEPSNONPILOT/Tender/SplashBidNoticeAbstractUI.aspx?menuIndex=3&amp;refID=7050970&amp;Result=3","7050970")</f>
        <v>0</v>
      </c>
      <c r="B13272" t="s">
        <v>983</v>
      </c>
      <c r="C13272" t="s">
        <v>16211</v>
      </c>
      <c r="D13272" t="s">
        <v>18108</v>
      </c>
      <c r="E13272" t="s">
        <v>29672</v>
      </c>
      <c r="F13272" t="s">
        <v>31362</v>
      </c>
      <c r="G13272" t="s">
        <v>31369</v>
      </c>
      <c r="H13272" t="s">
        <v>15799</v>
      </c>
      <c r="I13272" t="s">
        <v>4283</v>
      </c>
      <c r="J13272" t="s">
        <v>39571</v>
      </c>
      <c r="K13272" t="s">
        <v>40662</v>
      </c>
      <c r="M13272" t="s">
        <v>41975</v>
      </c>
      <c r="N13272" t="s">
        <v>44905</v>
      </c>
      <c r="O13272" t="s">
        <v>44906</v>
      </c>
      <c r="P13272">
        <v>0</v>
      </c>
      <c r="Q13272">
        <v>3</v>
      </c>
      <c r="R13272" t="s">
        <v>44922</v>
      </c>
      <c r="S13272" t="s">
        <v>45639</v>
      </c>
      <c r="T13272" t="s">
        <v>46438</v>
      </c>
      <c r="U13272" t="s">
        <v>57522</v>
      </c>
      <c r="W13272" t="s">
        <v>41975</v>
      </c>
      <c r="X13272" t="s">
        <v>44923</v>
      </c>
    </row>
    <row r="13273" spans="1:24">
      <c r="A13273">
        <f>HYPERLINK("https://www.philgeps.gov.ph/GEPSNONPILOT/Tender/SplashBidNoticeAbstractUI.aspx?menuIndex=3&amp;refID=7051324&amp;Result=3","7051324")</f>
        <v>0</v>
      </c>
      <c r="B13273" t="s">
        <v>1314</v>
      </c>
      <c r="C13273" t="s">
        <v>16212</v>
      </c>
      <c r="D13273" t="s">
        <v>18134</v>
      </c>
      <c r="E13273" t="s">
        <v>29673</v>
      </c>
      <c r="F13273" t="s">
        <v>31362</v>
      </c>
      <c r="G13273" t="s">
        <v>31369</v>
      </c>
      <c r="H13273" t="s">
        <v>15799</v>
      </c>
      <c r="I13273" t="s">
        <v>7090</v>
      </c>
      <c r="J13273" t="s">
        <v>39572</v>
      </c>
      <c r="K13273" t="s">
        <v>40670</v>
      </c>
      <c r="M13273" t="s">
        <v>42332</v>
      </c>
      <c r="N13273" t="s">
        <v>44905</v>
      </c>
      <c r="O13273" t="s">
        <v>44906</v>
      </c>
      <c r="P13273">
        <v>0</v>
      </c>
      <c r="Q13273">
        <v>0</v>
      </c>
      <c r="R13273" t="s">
        <v>44922</v>
      </c>
      <c r="S13273" t="s">
        <v>45639</v>
      </c>
      <c r="T13273" t="s">
        <v>46549</v>
      </c>
      <c r="U13273" t="s">
        <v>57523</v>
      </c>
      <c r="W13273" t="s">
        <v>42332</v>
      </c>
      <c r="X13273" t="s">
        <v>44923</v>
      </c>
    </row>
    <row r="13274" spans="1:24">
      <c r="A13274">
        <f>HYPERLINK("https://www.philgeps.gov.ph/GEPSNONPILOT/Tender/SplashBidNoticeAbstractUI.aspx?menuIndex=3&amp;refID=7051323&amp;Result=3","7051323")</f>
        <v>0</v>
      </c>
      <c r="B13274" t="s">
        <v>3340</v>
      </c>
      <c r="C13274" t="s">
        <v>16213</v>
      </c>
      <c r="D13274" t="s">
        <v>18127</v>
      </c>
      <c r="E13274" t="s">
        <v>29674</v>
      </c>
      <c r="F13274" t="s">
        <v>31362</v>
      </c>
      <c r="G13274" t="s">
        <v>31369</v>
      </c>
      <c r="H13274" t="s">
        <v>31378</v>
      </c>
      <c r="I13274" t="s">
        <v>31386</v>
      </c>
      <c r="J13274" t="s">
        <v>31606</v>
      </c>
      <c r="K13274" t="s">
        <v>40679</v>
      </c>
      <c r="M13274" t="s">
        <v>44638</v>
      </c>
      <c r="N13274" t="s">
        <v>44905</v>
      </c>
      <c r="O13274" t="s">
        <v>44906</v>
      </c>
      <c r="P13274">
        <v>0</v>
      </c>
      <c r="Q13274">
        <v>0</v>
      </c>
      <c r="R13274" t="s">
        <v>44922</v>
      </c>
      <c r="S13274" t="s">
        <v>45639</v>
      </c>
      <c r="T13274" t="s">
        <v>46447</v>
      </c>
      <c r="U13274" t="s">
        <v>56278</v>
      </c>
      <c r="V13274" t="s">
        <v>60558</v>
      </c>
      <c r="W13274" t="s">
        <v>44638</v>
      </c>
      <c r="X13274" t="s">
        <v>44923</v>
      </c>
    </row>
    <row r="13275" spans="1:24">
      <c r="A13275">
        <f>HYPERLINK("https://www.philgeps.gov.ph/GEPSNONPILOT/Tender/SplashBidNoticeAbstractUI.aspx?menuIndex=3&amp;refID=7050939&amp;Result=3","7050939")</f>
        <v>0</v>
      </c>
      <c r="B13275" t="s">
        <v>3146</v>
      </c>
      <c r="C13275" t="s">
        <v>16214</v>
      </c>
      <c r="E13275" t="s">
        <v>29665</v>
      </c>
      <c r="F13275" t="s">
        <v>31362</v>
      </c>
      <c r="G13275" t="s">
        <v>31369</v>
      </c>
      <c r="H13275" t="s">
        <v>31378</v>
      </c>
      <c r="I13275" t="s">
        <v>31386</v>
      </c>
      <c r="J13275" t="s">
        <v>31843</v>
      </c>
      <c r="K13275" t="s">
        <v>40662</v>
      </c>
      <c r="M13275" t="s">
        <v>44408</v>
      </c>
      <c r="N13275" t="s">
        <v>44905</v>
      </c>
      <c r="O13275" t="s">
        <v>44906</v>
      </c>
      <c r="P13275">
        <v>0</v>
      </c>
      <c r="Q13275">
        <v>0</v>
      </c>
      <c r="R13275" t="s">
        <v>44922</v>
      </c>
      <c r="S13275" t="s">
        <v>45639</v>
      </c>
      <c r="T13275" t="s">
        <v>46470</v>
      </c>
      <c r="U13275" t="s">
        <v>57524</v>
      </c>
      <c r="W13275" t="s">
        <v>44408</v>
      </c>
      <c r="X13275" t="s">
        <v>44923</v>
      </c>
    </row>
    <row r="13276" spans="1:24">
      <c r="A13276">
        <f>HYPERLINK("https://www.philgeps.gov.ph/GEPSNONPILOT/Tender/SplashBidNoticeAbstractUI.aspx?menuIndex=3&amp;refID=7050788&amp;Result=3","7050788")</f>
        <v>0</v>
      </c>
      <c r="B13276" t="s">
        <v>175</v>
      </c>
      <c r="C13276" t="s">
        <v>16215</v>
      </c>
      <c r="D13276" t="s">
        <v>18153</v>
      </c>
      <c r="E13276" t="s">
        <v>29675</v>
      </c>
      <c r="F13276" t="s">
        <v>31362</v>
      </c>
      <c r="G13276" t="s">
        <v>31369</v>
      </c>
      <c r="H13276" t="s">
        <v>31378</v>
      </c>
      <c r="I13276" t="s">
        <v>31386</v>
      </c>
      <c r="J13276" t="s">
        <v>39573</v>
      </c>
      <c r="K13276" t="s">
        <v>40686</v>
      </c>
      <c r="L13276" t="s">
        <v>175</v>
      </c>
      <c r="M13276" t="s">
        <v>41113</v>
      </c>
      <c r="N13276" t="s">
        <v>44905</v>
      </c>
      <c r="O13276" t="s">
        <v>44906</v>
      </c>
      <c r="P13276">
        <v>0</v>
      </c>
      <c r="Q13276">
        <v>0</v>
      </c>
      <c r="R13276" t="s">
        <v>44922</v>
      </c>
      <c r="S13276" t="s">
        <v>45639</v>
      </c>
      <c r="T13276" t="s">
        <v>46507</v>
      </c>
      <c r="U13276" t="s">
        <v>57525</v>
      </c>
      <c r="V13276" t="s">
        <v>60203</v>
      </c>
      <c r="W13276" t="s">
        <v>41113</v>
      </c>
      <c r="X13276" t="s">
        <v>44923</v>
      </c>
    </row>
    <row r="13277" spans="1:24">
      <c r="A13277">
        <f>HYPERLINK("https://www.philgeps.gov.ph/GEPSNONPILOT/Tender/SplashBidNoticeAbstractUI.aspx?menuIndex=3&amp;refID=7051349&amp;Result=3","7051349")</f>
        <v>0</v>
      </c>
      <c r="B13277" t="s">
        <v>573</v>
      </c>
      <c r="C13277" t="s">
        <v>16216</v>
      </c>
      <c r="D13277" t="s">
        <v>18105</v>
      </c>
      <c r="E13277" t="s">
        <v>27308</v>
      </c>
      <c r="F13277" t="s">
        <v>31362</v>
      </c>
      <c r="G13277" t="s">
        <v>31369</v>
      </c>
      <c r="H13277" t="s">
        <v>31378</v>
      </c>
      <c r="I13277" t="s">
        <v>31386</v>
      </c>
      <c r="J13277" t="s">
        <v>32127</v>
      </c>
      <c r="K13277" t="s">
        <v>40679</v>
      </c>
      <c r="M13277" t="s">
        <v>41529</v>
      </c>
      <c r="N13277" t="s">
        <v>44905</v>
      </c>
      <c r="O13277" t="s">
        <v>44906</v>
      </c>
      <c r="P13277">
        <v>0</v>
      </c>
      <c r="Q13277">
        <v>2</v>
      </c>
      <c r="R13277" t="s">
        <v>44922</v>
      </c>
      <c r="S13277" t="s">
        <v>45639</v>
      </c>
      <c r="T13277" t="s">
        <v>46410</v>
      </c>
      <c r="U13277" t="s">
        <v>57526</v>
      </c>
      <c r="W13277" t="s">
        <v>41529</v>
      </c>
      <c r="X13277" t="s">
        <v>44923</v>
      </c>
    </row>
    <row r="13278" spans="1:24">
      <c r="A13278">
        <f>HYPERLINK("https://www.philgeps.gov.ph/GEPSNONPILOT/Tender/SplashBidNoticeAbstractUI.aspx?menuIndex=3&amp;refID=7050767&amp;Result=3","7050767")</f>
        <v>0</v>
      </c>
      <c r="B13278" t="s">
        <v>1260</v>
      </c>
      <c r="C13278" t="s">
        <v>16217</v>
      </c>
      <c r="D13278" t="s">
        <v>18142</v>
      </c>
      <c r="E13278" t="s">
        <v>29676</v>
      </c>
      <c r="F13278" t="s">
        <v>31362</v>
      </c>
      <c r="G13278" t="s">
        <v>31369</v>
      </c>
      <c r="H13278" t="s">
        <v>15799</v>
      </c>
      <c r="I13278" t="s">
        <v>31394</v>
      </c>
      <c r="J13278" t="s">
        <v>39574</v>
      </c>
      <c r="K13278" t="s">
        <v>40665</v>
      </c>
      <c r="M13278" t="s">
        <v>42276</v>
      </c>
      <c r="N13278" t="s">
        <v>44905</v>
      </c>
      <c r="O13278" t="s">
        <v>44906</v>
      </c>
      <c r="P13278">
        <v>0</v>
      </c>
      <c r="Q13278">
        <v>3</v>
      </c>
      <c r="R13278" t="s">
        <v>44922</v>
      </c>
      <c r="S13278" t="s">
        <v>45639</v>
      </c>
      <c r="T13278" t="s">
        <v>46425</v>
      </c>
      <c r="U13278" t="s">
        <v>57527</v>
      </c>
      <c r="W13278" t="s">
        <v>42276</v>
      </c>
      <c r="X13278" t="s">
        <v>44923</v>
      </c>
    </row>
    <row r="13279" spans="1:24">
      <c r="A13279">
        <f>HYPERLINK("https://www.philgeps.gov.ph/GEPSNONPILOT/Tender/SplashBidNoticeAbstractUI.aspx?menuIndex=3&amp;refID=7050972&amp;Result=3","7050972")</f>
        <v>0</v>
      </c>
      <c r="B13279" t="s">
        <v>3238</v>
      </c>
      <c r="C13279" t="s">
        <v>16218</v>
      </c>
      <c r="D13279" t="s">
        <v>18131</v>
      </c>
      <c r="E13279" t="s">
        <v>29677</v>
      </c>
      <c r="F13279" t="s">
        <v>31362</v>
      </c>
      <c r="G13279" t="s">
        <v>31369</v>
      </c>
      <c r="H13279" t="s">
        <v>15799</v>
      </c>
      <c r="I13279" t="s">
        <v>4283</v>
      </c>
      <c r="J13279" t="s">
        <v>39575</v>
      </c>
      <c r="K13279" t="s">
        <v>40662</v>
      </c>
      <c r="M13279" t="s">
        <v>44515</v>
      </c>
      <c r="N13279" t="s">
        <v>44905</v>
      </c>
      <c r="O13279" t="s">
        <v>44906</v>
      </c>
      <c r="Q13279">
        <v>13</v>
      </c>
      <c r="R13279" t="s">
        <v>44922</v>
      </c>
      <c r="S13279" t="s">
        <v>45699</v>
      </c>
      <c r="T13279" t="s">
        <v>46652</v>
      </c>
      <c r="U13279" t="s">
        <v>57528</v>
      </c>
      <c r="V13279" t="s">
        <v>60559</v>
      </c>
      <c r="W13279" t="s">
        <v>44515</v>
      </c>
      <c r="X13279" t="s">
        <v>44923</v>
      </c>
    </row>
    <row r="13280" spans="1:24">
      <c r="A13280">
        <f>HYPERLINK("https://www.philgeps.gov.ph/GEPSNONPILOT/Tender/SplashBidNoticeAbstractUI.aspx?menuIndex=3&amp;refID=7050959&amp;Result=3","7050959")</f>
        <v>0</v>
      </c>
      <c r="B13280" t="s">
        <v>1549</v>
      </c>
      <c r="C13280" t="s">
        <v>16219</v>
      </c>
      <c r="D13280" t="s">
        <v>18113</v>
      </c>
      <c r="E13280" t="s">
        <v>29678</v>
      </c>
      <c r="F13280" t="s">
        <v>31362</v>
      </c>
      <c r="G13280" t="s">
        <v>31369</v>
      </c>
      <c r="H13280" t="s">
        <v>31378</v>
      </c>
      <c r="I13280" t="s">
        <v>31386</v>
      </c>
      <c r="J13280" t="s">
        <v>39535</v>
      </c>
      <c r="K13280" t="s">
        <v>40746</v>
      </c>
      <c r="M13280" t="s">
        <v>43488</v>
      </c>
      <c r="N13280" t="s">
        <v>44905</v>
      </c>
      <c r="O13280" t="s">
        <v>44906</v>
      </c>
      <c r="P13280">
        <v>0</v>
      </c>
      <c r="Q13280">
        <v>1</v>
      </c>
      <c r="R13280" t="s">
        <v>44922</v>
      </c>
      <c r="S13280" t="s">
        <v>45639</v>
      </c>
      <c r="T13280" t="s">
        <v>46493</v>
      </c>
      <c r="U13280" t="s">
        <v>57529</v>
      </c>
      <c r="W13280" t="s">
        <v>43488</v>
      </c>
      <c r="X13280" t="s">
        <v>44923</v>
      </c>
    </row>
    <row r="13281" spans="1:24">
      <c r="A13281">
        <f>HYPERLINK("https://www.philgeps.gov.ph/GEPSNONPILOT/Tender/SplashBidNoticeAbstractUI.aspx?menuIndex=3&amp;refID=7050955&amp;Result=3","7050955")</f>
        <v>0</v>
      </c>
      <c r="B13281" t="s">
        <v>2208</v>
      </c>
      <c r="C13281" t="s">
        <v>16220</v>
      </c>
      <c r="D13281" t="s">
        <v>18124</v>
      </c>
      <c r="E13281" t="s">
        <v>29679</v>
      </c>
      <c r="F13281" t="s">
        <v>31362</v>
      </c>
      <c r="G13281" t="s">
        <v>31369</v>
      </c>
      <c r="H13281" t="s">
        <v>15799</v>
      </c>
      <c r="I13281" t="s">
        <v>31404</v>
      </c>
      <c r="J13281" t="s">
        <v>39576</v>
      </c>
      <c r="K13281" t="s">
        <v>40666</v>
      </c>
      <c r="M13281" t="s">
        <v>43339</v>
      </c>
      <c r="N13281" t="s">
        <v>44905</v>
      </c>
      <c r="O13281" t="s">
        <v>44906</v>
      </c>
      <c r="P13281">
        <v>0</v>
      </c>
      <c r="Q13281">
        <v>1</v>
      </c>
      <c r="R13281" t="s">
        <v>44922</v>
      </c>
      <c r="S13281" t="s">
        <v>45639</v>
      </c>
      <c r="T13281" t="s">
        <v>46869</v>
      </c>
      <c r="U13281" t="s">
        <v>52821</v>
      </c>
      <c r="W13281" t="s">
        <v>43339</v>
      </c>
      <c r="X13281" t="s">
        <v>44923</v>
      </c>
    </row>
    <row r="13282" spans="1:24">
      <c r="A13282">
        <f>HYPERLINK("https://www.philgeps.gov.ph/GEPSNONPILOT/Tender/SplashBidNoticeAbstractUI.aspx?menuIndex=3&amp;refID=7050743&amp;Result=3","7050743")</f>
        <v>0</v>
      </c>
      <c r="B13282" t="s">
        <v>1260</v>
      </c>
      <c r="C13282" t="s">
        <v>16221</v>
      </c>
      <c r="D13282" t="s">
        <v>18142</v>
      </c>
      <c r="E13282" t="s">
        <v>29680</v>
      </c>
      <c r="F13282" t="s">
        <v>31362</v>
      </c>
      <c r="G13282" t="s">
        <v>31369</v>
      </c>
      <c r="H13282" t="s">
        <v>15799</v>
      </c>
      <c r="I13282" t="s">
        <v>31393</v>
      </c>
      <c r="J13282" t="s">
        <v>39577</v>
      </c>
      <c r="K13282" t="s">
        <v>40665</v>
      </c>
      <c r="M13282" t="s">
        <v>42276</v>
      </c>
      <c r="N13282" t="s">
        <v>44905</v>
      </c>
      <c r="O13282" t="s">
        <v>44906</v>
      </c>
      <c r="P13282">
        <v>0</v>
      </c>
      <c r="Q13282">
        <v>10</v>
      </c>
      <c r="R13282" t="s">
        <v>44922</v>
      </c>
      <c r="S13282" t="s">
        <v>45639</v>
      </c>
      <c r="T13282" t="s">
        <v>46425</v>
      </c>
      <c r="U13282" t="s">
        <v>57530</v>
      </c>
      <c r="W13282" t="s">
        <v>42276</v>
      </c>
      <c r="X13282" t="s">
        <v>44923</v>
      </c>
    </row>
    <row r="13283" spans="1:24">
      <c r="A13283">
        <f>HYPERLINK("https://www.philgeps.gov.ph/GEPSNONPILOT/Tender/SplashBidNoticeAbstractUI.aspx?menuIndex=3&amp;refID=7050794&amp;Result=3","7050794")</f>
        <v>0</v>
      </c>
      <c r="B13283" t="s">
        <v>3227</v>
      </c>
      <c r="C13283" t="s">
        <v>16222</v>
      </c>
      <c r="D13283" t="s">
        <v>18130</v>
      </c>
      <c r="E13283" t="s">
        <v>29681</v>
      </c>
      <c r="F13283" t="s">
        <v>31362</v>
      </c>
      <c r="G13283" t="s">
        <v>31369</v>
      </c>
      <c r="H13283" t="s">
        <v>15799</v>
      </c>
      <c r="I13283" t="s">
        <v>31409</v>
      </c>
      <c r="J13283" t="s">
        <v>33058</v>
      </c>
      <c r="K13283" t="s">
        <v>40682</v>
      </c>
      <c r="M13283" t="s">
        <v>44503</v>
      </c>
      <c r="N13283" t="s">
        <v>44905</v>
      </c>
      <c r="O13283" t="s">
        <v>44906</v>
      </c>
      <c r="P13283">
        <v>0</v>
      </c>
      <c r="Q13283">
        <v>0</v>
      </c>
      <c r="R13283" t="s">
        <v>44922</v>
      </c>
      <c r="S13283" t="s">
        <v>45639</v>
      </c>
      <c r="T13283" t="s">
        <v>46467</v>
      </c>
      <c r="U13283" t="s">
        <v>57531</v>
      </c>
      <c r="W13283" t="s">
        <v>44503</v>
      </c>
      <c r="X13283" t="s">
        <v>44923</v>
      </c>
    </row>
    <row r="13284" spans="1:24">
      <c r="A13284">
        <f>HYPERLINK("https://www.philgeps.gov.ph/GEPSNONPILOT/Tender/SplashBidNoticeAbstractUI.aspx?menuIndex=3&amp;refID=7050755&amp;Result=3","7050755")</f>
        <v>0</v>
      </c>
      <c r="B13284" t="s">
        <v>263</v>
      </c>
      <c r="C13284" t="s">
        <v>16223</v>
      </c>
      <c r="D13284" t="s">
        <v>18109</v>
      </c>
      <c r="E13284" t="s">
        <v>29682</v>
      </c>
      <c r="F13284" t="s">
        <v>31362</v>
      </c>
      <c r="G13284" t="s">
        <v>31369</v>
      </c>
      <c r="H13284" t="s">
        <v>15799</v>
      </c>
      <c r="I13284" t="s">
        <v>31455</v>
      </c>
      <c r="J13284" t="s">
        <v>31578</v>
      </c>
      <c r="K13284" t="s">
        <v>40662</v>
      </c>
      <c r="M13284" t="s">
        <v>41204</v>
      </c>
      <c r="N13284" t="s">
        <v>44905</v>
      </c>
      <c r="O13284" t="s">
        <v>44906</v>
      </c>
      <c r="P13284">
        <v>0</v>
      </c>
      <c r="Q13284">
        <v>1</v>
      </c>
      <c r="R13284" t="s">
        <v>44922</v>
      </c>
      <c r="S13284" t="s">
        <v>45639</v>
      </c>
      <c r="T13284" t="s">
        <v>46560</v>
      </c>
      <c r="U13284" t="s">
        <v>57532</v>
      </c>
      <c r="W13284" t="s">
        <v>41204</v>
      </c>
      <c r="X13284" t="s">
        <v>44923</v>
      </c>
    </row>
    <row r="13285" spans="1:24">
      <c r="A13285">
        <f>HYPERLINK("https://www.philgeps.gov.ph/GEPSNONPILOT/Tender/SplashBidNoticeAbstractUI.aspx?menuIndex=3&amp;refID=7051448&amp;Result=3","7051448")</f>
        <v>0</v>
      </c>
      <c r="B13285" t="s">
        <v>351</v>
      </c>
      <c r="C13285" t="s">
        <v>16224</v>
      </c>
      <c r="D13285" t="s">
        <v>18142</v>
      </c>
      <c r="E13285" t="s">
        <v>29683</v>
      </c>
      <c r="F13285" t="s">
        <v>31362</v>
      </c>
      <c r="G13285" t="s">
        <v>31369</v>
      </c>
      <c r="H13285" t="s">
        <v>31378</v>
      </c>
      <c r="I13285" t="s">
        <v>31386</v>
      </c>
      <c r="J13285" t="s">
        <v>39578</v>
      </c>
      <c r="K13285" t="s">
        <v>40665</v>
      </c>
      <c r="M13285" t="s">
        <v>41298</v>
      </c>
      <c r="N13285" t="s">
        <v>44905</v>
      </c>
      <c r="O13285" t="s">
        <v>44906</v>
      </c>
      <c r="P13285">
        <v>0</v>
      </c>
      <c r="Q13285">
        <v>0</v>
      </c>
      <c r="R13285" t="s">
        <v>44922</v>
      </c>
      <c r="S13285" t="s">
        <v>45639</v>
      </c>
      <c r="T13285" t="s">
        <v>46519</v>
      </c>
      <c r="U13285" t="s">
        <v>52803</v>
      </c>
      <c r="W13285" t="s">
        <v>41298</v>
      </c>
      <c r="X13285" t="s">
        <v>44923</v>
      </c>
    </row>
    <row r="13286" spans="1:24">
      <c r="A13286">
        <f>HYPERLINK("https://www.philgeps.gov.ph/GEPSNONPILOT/Tender/SplashBidNoticeAbstractUI.aspx?menuIndex=3&amp;refID=7051497&amp;Result=3","7051497")</f>
        <v>0</v>
      </c>
      <c r="B13286" t="s">
        <v>1770</v>
      </c>
      <c r="C13286" t="s">
        <v>16225</v>
      </c>
      <c r="D13286" t="s">
        <v>18116</v>
      </c>
      <c r="E13286" t="s">
        <v>29684</v>
      </c>
      <c r="F13286" t="s">
        <v>31362</v>
      </c>
      <c r="G13286" t="s">
        <v>31369</v>
      </c>
      <c r="H13286" t="s">
        <v>31378</v>
      </c>
      <c r="I13286" t="s">
        <v>31392</v>
      </c>
      <c r="J13286" t="s">
        <v>39579</v>
      </c>
      <c r="K13286" t="s">
        <v>40682</v>
      </c>
      <c r="M13286" t="s">
        <v>42848</v>
      </c>
      <c r="N13286" t="s">
        <v>44905</v>
      </c>
      <c r="O13286" t="s">
        <v>44906</v>
      </c>
      <c r="P13286">
        <v>0</v>
      </c>
      <c r="Q13286">
        <v>0</v>
      </c>
      <c r="R13286" t="s">
        <v>44922</v>
      </c>
      <c r="S13286" t="s">
        <v>45639</v>
      </c>
      <c r="T13286" t="s">
        <v>46497</v>
      </c>
      <c r="U13286" t="s">
        <v>57533</v>
      </c>
      <c r="W13286" t="s">
        <v>42848</v>
      </c>
      <c r="X13286" t="s">
        <v>44923</v>
      </c>
    </row>
    <row r="13287" spans="1:24">
      <c r="A13287">
        <f>HYPERLINK("https://www.philgeps.gov.ph/GEPSNONPILOT/Tender/SplashBidNoticeAbstractUI.aspx?menuIndex=3&amp;refID=7050810&amp;Result=3","7050810")</f>
        <v>0</v>
      </c>
      <c r="B13287" t="s">
        <v>226</v>
      </c>
      <c r="C13287" t="s">
        <v>16226</v>
      </c>
      <c r="D13287" t="s">
        <v>18132</v>
      </c>
      <c r="E13287" t="s">
        <v>29685</v>
      </c>
      <c r="F13287" t="s">
        <v>31362</v>
      </c>
      <c r="G13287" t="s">
        <v>31373</v>
      </c>
      <c r="H13287" t="s">
        <v>31378</v>
      </c>
      <c r="I13287" t="s">
        <v>31386</v>
      </c>
      <c r="J13287" t="s">
        <v>39580</v>
      </c>
      <c r="K13287" t="s">
        <v>40805</v>
      </c>
      <c r="M13287" t="s">
        <v>43477</v>
      </c>
      <c r="N13287" t="s">
        <v>44905</v>
      </c>
      <c r="O13287" t="s">
        <v>44906</v>
      </c>
      <c r="P13287">
        <v>0</v>
      </c>
      <c r="Q13287">
        <v>0</v>
      </c>
      <c r="R13287" t="s">
        <v>44922</v>
      </c>
      <c r="S13287" t="s">
        <v>45639</v>
      </c>
      <c r="T13287" t="s">
        <v>46470</v>
      </c>
      <c r="U13287" t="s">
        <v>53209</v>
      </c>
      <c r="V13287" t="s">
        <v>60560</v>
      </c>
      <c r="W13287" t="s">
        <v>60930</v>
      </c>
      <c r="X13287" t="s">
        <v>44923</v>
      </c>
    </row>
    <row r="13288" spans="1:24">
      <c r="A13288">
        <f>HYPERLINK("https://www.philgeps.gov.ph/GEPSNONPILOT/Tender/SplashBidNoticeAbstractUI.aspx?menuIndex=3&amp;refID=7051578&amp;Result=3","7051578")</f>
        <v>0</v>
      </c>
      <c r="B13288" t="s">
        <v>573</v>
      </c>
      <c r="C13288" t="s">
        <v>16227</v>
      </c>
      <c r="D13288" t="s">
        <v>18105</v>
      </c>
      <c r="E13288" t="s">
        <v>29686</v>
      </c>
      <c r="F13288" t="s">
        <v>31362</v>
      </c>
      <c r="G13288" t="s">
        <v>31369</v>
      </c>
      <c r="H13288" t="s">
        <v>31378</v>
      </c>
      <c r="I13288" t="s">
        <v>31386</v>
      </c>
      <c r="J13288" t="s">
        <v>31919</v>
      </c>
      <c r="K13288" t="s">
        <v>40677</v>
      </c>
      <c r="M13288" t="s">
        <v>41529</v>
      </c>
      <c r="N13288" t="s">
        <v>44905</v>
      </c>
      <c r="O13288" t="s">
        <v>44906</v>
      </c>
      <c r="P13288">
        <v>0</v>
      </c>
      <c r="Q13288">
        <v>2</v>
      </c>
      <c r="R13288" t="s">
        <v>44922</v>
      </c>
      <c r="S13288" t="s">
        <v>45639</v>
      </c>
      <c r="T13288" t="s">
        <v>46399</v>
      </c>
      <c r="U13288" t="s">
        <v>57534</v>
      </c>
      <c r="W13288" t="s">
        <v>41529</v>
      </c>
      <c r="X13288" t="s">
        <v>44923</v>
      </c>
    </row>
    <row r="13289" spans="1:24">
      <c r="A13289">
        <f>HYPERLINK("https://www.philgeps.gov.ph/GEPSNONPILOT/Tender/SplashBidNoticeAbstractUI.aspx?menuIndex=3&amp;refID=7051574&amp;Result=3","7051574")</f>
        <v>0</v>
      </c>
      <c r="B13289" t="s">
        <v>1003</v>
      </c>
      <c r="C13289" t="s">
        <v>16228</v>
      </c>
      <c r="D13289" t="s">
        <v>18117</v>
      </c>
      <c r="E13289" t="s">
        <v>29687</v>
      </c>
      <c r="F13289" t="s">
        <v>31362</v>
      </c>
      <c r="G13289" t="s">
        <v>31369</v>
      </c>
      <c r="H13289" t="s">
        <v>15799</v>
      </c>
      <c r="I13289" t="s">
        <v>31415</v>
      </c>
      <c r="J13289" t="s">
        <v>39581</v>
      </c>
      <c r="K13289" t="s">
        <v>40665</v>
      </c>
      <c r="M13289" t="s">
        <v>42000</v>
      </c>
      <c r="N13289" t="s">
        <v>44905</v>
      </c>
      <c r="O13289" t="s">
        <v>44906</v>
      </c>
      <c r="Q13289">
        <v>3</v>
      </c>
      <c r="R13289" t="s">
        <v>44922</v>
      </c>
      <c r="S13289" t="s">
        <v>45700</v>
      </c>
      <c r="T13289" t="s">
        <v>46703</v>
      </c>
      <c r="U13289" t="s">
        <v>57535</v>
      </c>
      <c r="W13289" t="s">
        <v>42000</v>
      </c>
      <c r="X13289" t="s">
        <v>44923</v>
      </c>
    </row>
    <row r="13290" spans="1:24">
      <c r="A13290">
        <f>HYPERLINK("https://www.philgeps.gov.ph/GEPSNONPILOT/Tender/SplashBidNoticeAbstractUI.aspx?menuIndex=3&amp;refID=7051553&amp;Result=3","7051553")</f>
        <v>0</v>
      </c>
      <c r="B13290" t="s">
        <v>2194</v>
      </c>
      <c r="C13290" t="s">
        <v>16229</v>
      </c>
      <c r="D13290" t="s">
        <v>18154</v>
      </c>
      <c r="E13290" t="s">
        <v>29688</v>
      </c>
      <c r="F13290" t="s">
        <v>31362</v>
      </c>
      <c r="G13290" t="s">
        <v>31369</v>
      </c>
      <c r="H13290" t="s">
        <v>15799</v>
      </c>
      <c r="I13290" t="s">
        <v>3815</v>
      </c>
      <c r="J13290" t="s">
        <v>39582</v>
      </c>
      <c r="K13290" t="s">
        <v>40661</v>
      </c>
      <c r="M13290" t="s">
        <v>43325</v>
      </c>
      <c r="N13290" t="s">
        <v>44905</v>
      </c>
      <c r="O13290" t="s">
        <v>44906</v>
      </c>
      <c r="P13290">
        <v>0</v>
      </c>
      <c r="Q13290">
        <v>0</v>
      </c>
      <c r="R13290" t="s">
        <v>44922</v>
      </c>
      <c r="S13290" t="s">
        <v>45639</v>
      </c>
      <c r="T13290" t="s">
        <v>46507</v>
      </c>
      <c r="U13290" t="s">
        <v>57536</v>
      </c>
      <c r="W13290" t="s">
        <v>43325</v>
      </c>
      <c r="X13290" t="s">
        <v>44923</v>
      </c>
    </row>
    <row r="13291" spans="1:24">
      <c r="A13291">
        <f>HYPERLINK("https://www.philgeps.gov.ph/GEPSNONPILOT/Tender/SplashBidNoticeAbstractUI.aspx?menuIndex=3&amp;refID=7051597&amp;Result=3","7051597")</f>
        <v>0</v>
      </c>
      <c r="B13291" t="s">
        <v>1449</v>
      </c>
      <c r="C13291" t="s">
        <v>16230</v>
      </c>
      <c r="E13291" t="s">
        <v>29689</v>
      </c>
      <c r="F13291" t="s">
        <v>31362</v>
      </c>
      <c r="G13291" t="s">
        <v>31368</v>
      </c>
      <c r="H13291" t="s">
        <v>15799</v>
      </c>
      <c r="I13291" t="s">
        <v>3815</v>
      </c>
      <c r="J13291" t="s">
        <v>39583</v>
      </c>
      <c r="K13291" t="s">
        <v>40662</v>
      </c>
      <c r="M13291" t="s">
        <v>42479</v>
      </c>
      <c r="N13291" t="s">
        <v>44905</v>
      </c>
      <c r="O13291" t="s">
        <v>44906</v>
      </c>
      <c r="Q13291">
        <v>4</v>
      </c>
      <c r="R13291" t="s">
        <v>44922</v>
      </c>
      <c r="S13291" t="s">
        <v>45701</v>
      </c>
      <c r="T13291" t="s">
        <v>46411</v>
      </c>
      <c r="U13291" t="s">
        <v>50261</v>
      </c>
      <c r="W13291" t="s">
        <v>42479</v>
      </c>
      <c r="X13291" t="s">
        <v>44923</v>
      </c>
    </row>
    <row r="13292" spans="1:24">
      <c r="A13292">
        <f>HYPERLINK("https://www.philgeps.gov.ph/GEPSNONPILOT/Tender/SplashBidNoticeAbstractUI.aspx?menuIndex=3&amp;refID=7051552&amp;Result=3","7051552")</f>
        <v>0</v>
      </c>
      <c r="B13292" t="s">
        <v>2438</v>
      </c>
      <c r="C13292" t="s">
        <v>16231</v>
      </c>
      <c r="D13292" t="s">
        <v>18109</v>
      </c>
      <c r="E13292" t="s">
        <v>29690</v>
      </c>
      <c r="F13292" t="s">
        <v>31362</v>
      </c>
      <c r="G13292" t="s">
        <v>31369</v>
      </c>
      <c r="H13292" t="s">
        <v>31378</v>
      </c>
      <c r="I13292" t="s">
        <v>31386</v>
      </c>
      <c r="J13292" t="s">
        <v>36620</v>
      </c>
      <c r="K13292" t="s">
        <v>40662</v>
      </c>
      <c r="L13292" t="s">
        <v>2438</v>
      </c>
      <c r="M13292" t="s">
        <v>43597</v>
      </c>
      <c r="N13292" t="s">
        <v>44905</v>
      </c>
      <c r="O13292" t="s">
        <v>44906</v>
      </c>
      <c r="Q13292">
        <v>1</v>
      </c>
      <c r="R13292" t="s">
        <v>44922</v>
      </c>
      <c r="S13292" t="s">
        <v>45702</v>
      </c>
      <c r="T13292" t="s">
        <v>46429</v>
      </c>
      <c r="U13292" t="s">
        <v>57537</v>
      </c>
      <c r="V13292" t="s">
        <v>59869</v>
      </c>
      <c r="W13292" t="s">
        <v>43597</v>
      </c>
      <c r="X13292" t="s">
        <v>44923</v>
      </c>
    </row>
    <row r="13293" spans="1:24">
      <c r="A13293">
        <f>HYPERLINK("https://www.philgeps.gov.ph/GEPSNONPILOT/Tender/SplashBidNoticeAbstractUI.aspx?menuIndex=3&amp;refID=7051596&amp;Result=3","7051596")</f>
        <v>0</v>
      </c>
      <c r="B13293" t="s">
        <v>2438</v>
      </c>
      <c r="C13293" t="s">
        <v>16232</v>
      </c>
      <c r="D13293" t="s">
        <v>18109</v>
      </c>
      <c r="E13293" t="s">
        <v>29691</v>
      </c>
      <c r="F13293" t="s">
        <v>31362</v>
      </c>
      <c r="G13293" t="s">
        <v>31369</v>
      </c>
      <c r="H13293" t="s">
        <v>31378</v>
      </c>
      <c r="I13293" t="s">
        <v>31386</v>
      </c>
      <c r="J13293" t="s">
        <v>39584</v>
      </c>
      <c r="K13293" t="s">
        <v>40662</v>
      </c>
      <c r="L13293" t="s">
        <v>2438</v>
      </c>
      <c r="M13293" t="s">
        <v>43597</v>
      </c>
      <c r="N13293" t="s">
        <v>44905</v>
      </c>
      <c r="O13293" t="s">
        <v>44906</v>
      </c>
      <c r="Q13293">
        <v>1</v>
      </c>
      <c r="R13293" t="s">
        <v>44922</v>
      </c>
      <c r="S13293" t="s">
        <v>45400</v>
      </c>
      <c r="T13293" t="s">
        <v>46429</v>
      </c>
      <c r="U13293" t="s">
        <v>57537</v>
      </c>
      <c r="V13293" t="s">
        <v>59869</v>
      </c>
      <c r="W13293" t="s">
        <v>43597</v>
      </c>
      <c r="X13293" t="s">
        <v>44923</v>
      </c>
    </row>
    <row r="13294" spans="1:24">
      <c r="A13294">
        <f>HYPERLINK("https://www.philgeps.gov.ph/GEPSNONPILOT/Tender/SplashBidNoticeAbstractUI.aspx?menuIndex=3&amp;refID=7051543&amp;Result=3","7051543")</f>
        <v>0</v>
      </c>
      <c r="B13294" t="s">
        <v>362</v>
      </c>
      <c r="C13294" t="s">
        <v>16233</v>
      </c>
      <c r="D13294" t="s">
        <v>18103</v>
      </c>
      <c r="E13294" t="s">
        <v>29692</v>
      </c>
      <c r="F13294" t="s">
        <v>31362</v>
      </c>
      <c r="G13294" t="s">
        <v>31369</v>
      </c>
      <c r="H13294" t="s">
        <v>31378</v>
      </c>
      <c r="I13294" t="s">
        <v>31386</v>
      </c>
      <c r="J13294" t="s">
        <v>31606</v>
      </c>
      <c r="K13294" t="s">
        <v>40725</v>
      </c>
      <c r="M13294" t="s">
        <v>43080</v>
      </c>
      <c r="N13294" t="s">
        <v>44905</v>
      </c>
      <c r="O13294" t="s">
        <v>44906</v>
      </c>
      <c r="P13294">
        <v>0</v>
      </c>
      <c r="Q13294">
        <v>23</v>
      </c>
      <c r="R13294" t="s">
        <v>44922</v>
      </c>
      <c r="S13294" t="s">
        <v>45639</v>
      </c>
      <c r="T13294" t="s">
        <v>46467</v>
      </c>
      <c r="U13294" t="s">
        <v>47543</v>
      </c>
      <c r="V13294" t="s">
        <v>60391</v>
      </c>
      <c r="W13294" t="s">
        <v>60886</v>
      </c>
      <c r="X13294" t="s">
        <v>44923</v>
      </c>
    </row>
    <row r="13295" spans="1:24">
      <c r="A13295">
        <f>HYPERLINK("https://www.philgeps.gov.ph/GEPSNONPILOT/Tender/SplashBidNoticeAbstractUI.aspx?menuIndex=3&amp;refID=7051575&amp;Result=3","7051575")</f>
        <v>0</v>
      </c>
      <c r="B13295" t="s">
        <v>2438</v>
      </c>
      <c r="C13295" t="s">
        <v>16234</v>
      </c>
      <c r="D13295" t="s">
        <v>18109</v>
      </c>
      <c r="E13295" t="s">
        <v>29693</v>
      </c>
      <c r="F13295" t="s">
        <v>31362</v>
      </c>
      <c r="G13295" t="s">
        <v>31369</v>
      </c>
      <c r="H13295" t="s">
        <v>31378</v>
      </c>
      <c r="I13295" t="s">
        <v>31386</v>
      </c>
      <c r="J13295" t="s">
        <v>38389</v>
      </c>
      <c r="K13295" t="s">
        <v>40662</v>
      </c>
      <c r="L13295" t="s">
        <v>2438</v>
      </c>
      <c r="M13295" t="s">
        <v>43597</v>
      </c>
      <c r="N13295" t="s">
        <v>44905</v>
      </c>
      <c r="O13295" t="s">
        <v>44906</v>
      </c>
      <c r="Q13295">
        <v>2</v>
      </c>
      <c r="R13295" t="s">
        <v>44922</v>
      </c>
      <c r="S13295" t="s">
        <v>45703</v>
      </c>
      <c r="T13295" t="s">
        <v>46429</v>
      </c>
      <c r="U13295" t="s">
        <v>57537</v>
      </c>
      <c r="V13295" t="s">
        <v>59869</v>
      </c>
      <c r="W13295" t="s">
        <v>43597</v>
      </c>
      <c r="X13295" t="s">
        <v>44923</v>
      </c>
    </row>
    <row r="13296" spans="1:24">
      <c r="A13296">
        <f>HYPERLINK("https://www.philgeps.gov.ph/GEPSNONPILOT/Tender/SplashBidNoticeAbstractUI.aspx?menuIndex=3&amp;refID=7051535&amp;Result=3","7051535")</f>
        <v>0</v>
      </c>
      <c r="B13296" t="s">
        <v>1037</v>
      </c>
      <c r="C13296" t="s">
        <v>16235</v>
      </c>
      <c r="D13296" t="s">
        <v>18146</v>
      </c>
      <c r="E13296" t="s">
        <v>29694</v>
      </c>
      <c r="F13296" t="s">
        <v>31362</v>
      </c>
      <c r="G13296" t="s">
        <v>31369</v>
      </c>
      <c r="H13296" t="s">
        <v>15799</v>
      </c>
      <c r="I13296" t="s">
        <v>31386</v>
      </c>
      <c r="J13296" t="s">
        <v>39585</v>
      </c>
      <c r="K13296" t="s">
        <v>40881</v>
      </c>
      <c r="M13296" t="s">
        <v>43675</v>
      </c>
      <c r="N13296" t="s">
        <v>44905</v>
      </c>
      <c r="O13296" t="s">
        <v>44906</v>
      </c>
      <c r="P13296">
        <v>0</v>
      </c>
      <c r="Q13296">
        <v>0</v>
      </c>
      <c r="R13296" t="s">
        <v>44922</v>
      </c>
      <c r="S13296" t="s">
        <v>45639</v>
      </c>
      <c r="T13296" t="s">
        <v>46410</v>
      </c>
      <c r="U13296" t="s">
        <v>57538</v>
      </c>
      <c r="V13296" t="s">
        <v>60561</v>
      </c>
      <c r="W13296" t="s">
        <v>43675</v>
      </c>
      <c r="X13296" t="s">
        <v>44923</v>
      </c>
    </row>
    <row r="13297" spans="1:24">
      <c r="A13297">
        <f>HYPERLINK("https://www.philgeps.gov.ph/GEPSNONPILOT/Tender/SplashBidNoticeAbstractUI.aspx?menuIndex=3&amp;refID=7051715&amp;Result=3","7051715")</f>
        <v>0</v>
      </c>
      <c r="B13297" t="s">
        <v>3089</v>
      </c>
      <c r="C13297" t="s">
        <v>5734</v>
      </c>
      <c r="D13297" t="s">
        <v>18134</v>
      </c>
      <c r="E13297" t="s">
        <v>29695</v>
      </c>
      <c r="F13297" t="s">
        <v>31362</v>
      </c>
      <c r="G13297" t="s">
        <v>31369</v>
      </c>
      <c r="H13297" t="s">
        <v>15799</v>
      </c>
      <c r="I13297" t="s">
        <v>7188</v>
      </c>
      <c r="J13297" t="s">
        <v>39586</v>
      </c>
      <c r="K13297" t="s">
        <v>40682</v>
      </c>
      <c r="M13297" t="s">
        <v>44329</v>
      </c>
      <c r="N13297" t="s">
        <v>44905</v>
      </c>
      <c r="O13297" t="s">
        <v>44906</v>
      </c>
      <c r="Q13297">
        <v>13</v>
      </c>
      <c r="R13297" t="s">
        <v>44922</v>
      </c>
      <c r="S13297" t="s">
        <v>45704</v>
      </c>
      <c r="T13297" t="s">
        <v>46870</v>
      </c>
      <c r="U13297" t="s">
        <v>56077</v>
      </c>
      <c r="V13297" t="s">
        <v>60291</v>
      </c>
      <c r="W13297" t="s">
        <v>44329</v>
      </c>
      <c r="X13297" t="s">
        <v>44923</v>
      </c>
    </row>
    <row r="13298" spans="1:24">
      <c r="A13298">
        <f>HYPERLINK("https://www.philgeps.gov.ph/GEPSNONPILOT/Tender/SplashBidNoticeAbstractUI.aspx?menuIndex=3&amp;refID=7051562&amp;Result=3","7051562")</f>
        <v>0</v>
      </c>
      <c r="B13298" t="s">
        <v>3346</v>
      </c>
      <c r="C13298" t="s">
        <v>16236</v>
      </c>
      <c r="D13298" t="s">
        <v>18117</v>
      </c>
      <c r="E13298" t="s">
        <v>21658</v>
      </c>
      <c r="F13298" t="s">
        <v>31362</v>
      </c>
      <c r="G13298" t="s">
        <v>31369</v>
      </c>
      <c r="H13298" t="s">
        <v>31378</v>
      </c>
      <c r="I13298" t="s">
        <v>31386</v>
      </c>
      <c r="J13298" t="s">
        <v>39587</v>
      </c>
      <c r="K13298" t="s">
        <v>40675</v>
      </c>
      <c r="M13298" t="s">
        <v>44644</v>
      </c>
      <c r="N13298" t="s">
        <v>44905</v>
      </c>
      <c r="O13298" t="s">
        <v>44906</v>
      </c>
      <c r="P13298">
        <v>0</v>
      </c>
      <c r="Q13298">
        <v>0</v>
      </c>
      <c r="R13298" t="s">
        <v>44922</v>
      </c>
      <c r="S13298" t="s">
        <v>45639</v>
      </c>
      <c r="T13298" t="s">
        <v>46438</v>
      </c>
      <c r="U13298" t="s">
        <v>57539</v>
      </c>
      <c r="W13298" t="s">
        <v>44644</v>
      </c>
      <c r="X13298" t="s">
        <v>44923</v>
      </c>
    </row>
    <row r="13299" spans="1:24">
      <c r="A13299">
        <f>HYPERLINK("https://www.philgeps.gov.ph/GEPSNONPILOT/Tender/SplashBidNoticeAbstractUI.aspx?menuIndex=3&amp;refID=7051550&amp;Result=3","7051550")</f>
        <v>0</v>
      </c>
      <c r="B13299" t="s">
        <v>3347</v>
      </c>
      <c r="C13299" t="s">
        <v>16237</v>
      </c>
      <c r="D13299" t="s">
        <v>18134</v>
      </c>
      <c r="E13299" t="s">
        <v>19313</v>
      </c>
      <c r="F13299" t="s">
        <v>31362</v>
      </c>
      <c r="G13299" t="s">
        <v>31369</v>
      </c>
      <c r="H13299" t="s">
        <v>31378</v>
      </c>
      <c r="I13299" t="s">
        <v>31386</v>
      </c>
      <c r="J13299" t="s">
        <v>39588</v>
      </c>
      <c r="K13299" t="s">
        <v>40662</v>
      </c>
      <c r="M13299" t="s">
        <v>44645</v>
      </c>
      <c r="N13299" t="s">
        <v>44905</v>
      </c>
      <c r="O13299" t="s">
        <v>44906</v>
      </c>
      <c r="P13299">
        <v>0</v>
      </c>
      <c r="Q13299">
        <v>8</v>
      </c>
      <c r="R13299" t="s">
        <v>44922</v>
      </c>
      <c r="S13299" t="s">
        <v>45639</v>
      </c>
      <c r="T13299" t="s">
        <v>46549</v>
      </c>
      <c r="U13299" t="s">
        <v>57540</v>
      </c>
      <c r="W13299" t="s">
        <v>44645</v>
      </c>
      <c r="X13299" t="s">
        <v>44923</v>
      </c>
    </row>
    <row r="13300" spans="1:24">
      <c r="A13300">
        <f>HYPERLINK("https://www.philgeps.gov.ph/GEPSNONPILOT/Tender/SplashBidNoticeAbstractUI.aspx?menuIndex=3&amp;refID=7051691&amp;Result=3","7051691")</f>
        <v>0</v>
      </c>
      <c r="B13300" t="s">
        <v>2438</v>
      </c>
      <c r="C13300" t="s">
        <v>16238</v>
      </c>
      <c r="D13300" t="s">
        <v>18109</v>
      </c>
      <c r="E13300" t="s">
        <v>29696</v>
      </c>
      <c r="F13300" t="s">
        <v>31362</v>
      </c>
      <c r="G13300" t="s">
        <v>31369</v>
      </c>
      <c r="H13300" t="s">
        <v>31378</v>
      </c>
      <c r="I13300" t="s">
        <v>31386</v>
      </c>
      <c r="J13300" t="s">
        <v>36620</v>
      </c>
      <c r="K13300" t="s">
        <v>40662</v>
      </c>
      <c r="L13300" t="s">
        <v>2438</v>
      </c>
      <c r="M13300" t="s">
        <v>43597</v>
      </c>
      <c r="N13300" t="s">
        <v>44905</v>
      </c>
      <c r="O13300" t="s">
        <v>44906</v>
      </c>
      <c r="Q13300">
        <v>1</v>
      </c>
      <c r="R13300" t="s">
        <v>44922</v>
      </c>
      <c r="S13300" t="s">
        <v>45576</v>
      </c>
      <c r="T13300" t="s">
        <v>46429</v>
      </c>
      <c r="U13300" t="s">
        <v>57537</v>
      </c>
      <c r="V13300" t="s">
        <v>59869</v>
      </c>
      <c r="W13300" t="s">
        <v>43597</v>
      </c>
      <c r="X13300" t="s">
        <v>44923</v>
      </c>
    </row>
    <row r="13301" spans="1:24">
      <c r="A13301">
        <f>HYPERLINK("https://www.philgeps.gov.ph/GEPSNONPILOT/Tender/SplashBidNoticeAbstractUI.aspx?menuIndex=3&amp;refID=7051683&amp;Result=3","7051683")</f>
        <v>0</v>
      </c>
      <c r="B13301" t="s">
        <v>3348</v>
      </c>
      <c r="C13301" t="s">
        <v>16239</v>
      </c>
      <c r="D13301" t="s">
        <v>18174</v>
      </c>
      <c r="E13301" t="s">
        <v>29697</v>
      </c>
      <c r="F13301" t="s">
        <v>31362</v>
      </c>
      <c r="G13301" t="s">
        <v>31369</v>
      </c>
      <c r="H13301" t="s">
        <v>31378</v>
      </c>
      <c r="I13301" t="s">
        <v>31386</v>
      </c>
      <c r="J13301" t="s">
        <v>39589</v>
      </c>
      <c r="K13301" t="s">
        <v>40686</v>
      </c>
      <c r="M13301" t="s">
        <v>44646</v>
      </c>
      <c r="N13301" t="s">
        <v>44905</v>
      </c>
      <c r="O13301" t="s">
        <v>44906</v>
      </c>
      <c r="Q13301">
        <v>0</v>
      </c>
      <c r="R13301" t="s">
        <v>44922</v>
      </c>
      <c r="S13301" t="s">
        <v>45705</v>
      </c>
      <c r="T13301" t="s">
        <v>46393</v>
      </c>
      <c r="U13301" t="s">
        <v>57541</v>
      </c>
      <c r="W13301" t="s">
        <v>44646</v>
      </c>
      <c r="X13301" t="s">
        <v>44923</v>
      </c>
    </row>
    <row r="13302" spans="1:24">
      <c r="A13302">
        <f>HYPERLINK("https://www.philgeps.gov.ph/GEPSNONPILOT/Tender/SplashBidNoticeAbstractUI.aspx?menuIndex=3&amp;refID=7051573&amp;Result=3","7051573")</f>
        <v>0</v>
      </c>
      <c r="B13302" t="s">
        <v>461</v>
      </c>
      <c r="C13302" t="s">
        <v>16240</v>
      </c>
      <c r="D13302" t="s">
        <v>18112</v>
      </c>
      <c r="E13302" t="s">
        <v>29698</v>
      </c>
      <c r="F13302" t="s">
        <v>31362</v>
      </c>
      <c r="G13302" t="s">
        <v>31369</v>
      </c>
      <c r="H13302" t="s">
        <v>15799</v>
      </c>
      <c r="I13302" t="s">
        <v>31392</v>
      </c>
      <c r="J13302" t="s">
        <v>39590</v>
      </c>
      <c r="K13302" t="s">
        <v>40675</v>
      </c>
      <c r="M13302" t="s">
        <v>44584</v>
      </c>
      <c r="N13302" t="s">
        <v>44905</v>
      </c>
      <c r="O13302" t="s">
        <v>44906</v>
      </c>
      <c r="Q13302">
        <v>8</v>
      </c>
      <c r="R13302" t="s">
        <v>44922</v>
      </c>
      <c r="S13302" t="s">
        <v>45706</v>
      </c>
      <c r="T13302" t="s">
        <v>46549</v>
      </c>
      <c r="U13302" t="s">
        <v>57542</v>
      </c>
      <c r="V13302" t="s">
        <v>60475</v>
      </c>
      <c r="W13302" t="s">
        <v>44584</v>
      </c>
      <c r="X13302" t="s">
        <v>44923</v>
      </c>
    </row>
    <row r="13303" spans="1:24">
      <c r="A13303">
        <f>HYPERLINK("https://www.philgeps.gov.ph/GEPSNONPILOT/Tender/SplashBidNoticeAbstractUI.aspx?menuIndex=3&amp;refID=7051672&amp;Result=3","7051672")</f>
        <v>0</v>
      </c>
      <c r="B13303" t="s">
        <v>2438</v>
      </c>
      <c r="C13303" t="s">
        <v>16241</v>
      </c>
      <c r="D13303" t="s">
        <v>18109</v>
      </c>
      <c r="E13303" t="s">
        <v>29699</v>
      </c>
      <c r="F13303" t="s">
        <v>31362</v>
      </c>
      <c r="G13303" t="s">
        <v>31369</v>
      </c>
      <c r="H13303" t="s">
        <v>31378</v>
      </c>
      <c r="I13303" t="s">
        <v>31386</v>
      </c>
      <c r="J13303" t="s">
        <v>39591</v>
      </c>
      <c r="K13303" t="s">
        <v>40662</v>
      </c>
      <c r="L13303" t="s">
        <v>2438</v>
      </c>
      <c r="M13303" t="s">
        <v>43597</v>
      </c>
      <c r="N13303" t="s">
        <v>44905</v>
      </c>
      <c r="O13303" t="s">
        <v>44906</v>
      </c>
      <c r="Q13303">
        <v>2</v>
      </c>
      <c r="R13303" t="s">
        <v>44922</v>
      </c>
      <c r="S13303" t="s">
        <v>45707</v>
      </c>
      <c r="T13303" t="s">
        <v>46429</v>
      </c>
      <c r="U13303" t="s">
        <v>57537</v>
      </c>
      <c r="V13303" t="s">
        <v>59869</v>
      </c>
      <c r="W13303" t="s">
        <v>43597</v>
      </c>
      <c r="X13303" t="s">
        <v>44923</v>
      </c>
    </row>
    <row r="13304" spans="1:24">
      <c r="A13304">
        <f>HYPERLINK("https://www.philgeps.gov.ph/GEPSNONPILOT/Tender/SplashBidNoticeAbstractUI.aspx?menuIndex=3&amp;refID=7050738&amp;Result=3","7050738")</f>
        <v>0</v>
      </c>
      <c r="B13304" t="s">
        <v>2932</v>
      </c>
      <c r="C13304" t="s">
        <v>16242</v>
      </c>
      <c r="D13304" t="s">
        <v>18100</v>
      </c>
      <c r="E13304" t="s">
        <v>29700</v>
      </c>
      <c r="F13304" t="s">
        <v>31362</v>
      </c>
      <c r="G13304" t="s">
        <v>31369</v>
      </c>
      <c r="H13304" t="s">
        <v>31378</v>
      </c>
      <c r="I13304" t="s">
        <v>31386</v>
      </c>
      <c r="J13304" t="s">
        <v>33482</v>
      </c>
      <c r="K13304" t="s">
        <v>40811</v>
      </c>
      <c r="M13304" t="s">
        <v>44151</v>
      </c>
      <c r="N13304" t="s">
        <v>44905</v>
      </c>
      <c r="O13304" t="s">
        <v>44906</v>
      </c>
      <c r="P13304">
        <v>0</v>
      </c>
      <c r="Q13304">
        <v>4</v>
      </c>
      <c r="R13304" t="s">
        <v>44922</v>
      </c>
      <c r="S13304" t="s">
        <v>45639</v>
      </c>
      <c r="T13304" t="s">
        <v>46825</v>
      </c>
      <c r="U13304" t="s">
        <v>57543</v>
      </c>
      <c r="W13304" t="s">
        <v>60948</v>
      </c>
      <c r="X13304" t="s">
        <v>44923</v>
      </c>
    </row>
    <row r="13305" spans="1:24">
      <c r="A13305">
        <f>HYPERLINK("https://www.philgeps.gov.ph/GEPSNONPILOT/Tender/SplashBidNoticeAbstractUI.aspx?menuIndex=3&amp;refID=7051668&amp;Result=3","7051668")</f>
        <v>0</v>
      </c>
      <c r="B13305" t="s">
        <v>461</v>
      </c>
      <c r="C13305" t="s">
        <v>16243</v>
      </c>
      <c r="D13305" t="s">
        <v>18112</v>
      </c>
      <c r="E13305" t="s">
        <v>29701</v>
      </c>
      <c r="F13305" t="s">
        <v>31362</v>
      </c>
      <c r="G13305" t="s">
        <v>31369</v>
      </c>
      <c r="H13305" t="s">
        <v>15799</v>
      </c>
      <c r="I13305" t="s">
        <v>31380</v>
      </c>
      <c r="J13305" t="s">
        <v>33046</v>
      </c>
      <c r="K13305" t="s">
        <v>40679</v>
      </c>
      <c r="M13305" t="s">
        <v>44584</v>
      </c>
      <c r="N13305" t="s">
        <v>44905</v>
      </c>
      <c r="O13305" t="s">
        <v>44906</v>
      </c>
      <c r="P13305">
        <v>0</v>
      </c>
      <c r="Q13305">
        <v>10</v>
      </c>
      <c r="R13305" t="s">
        <v>44922</v>
      </c>
      <c r="S13305" t="s">
        <v>45639</v>
      </c>
      <c r="T13305" t="s">
        <v>46549</v>
      </c>
      <c r="U13305" t="s">
        <v>57544</v>
      </c>
      <c r="V13305" t="s">
        <v>60475</v>
      </c>
      <c r="W13305" t="s">
        <v>44584</v>
      </c>
      <c r="X13305" t="s">
        <v>44923</v>
      </c>
    </row>
    <row r="13306" spans="1:24">
      <c r="A13306">
        <f>HYPERLINK("https://www.philgeps.gov.ph/GEPSNONPILOT/Tender/SplashBidNoticeAbstractUI.aspx?menuIndex=3&amp;refID=7051657&amp;Result=3","7051657")</f>
        <v>0</v>
      </c>
      <c r="B13306" t="s">
        <v>1314</v>
      </c>
      <c r="C13306" t="s">
        <v>6892</v>
      </c>
      <c r="D13306" t="s">
        <v>18134</v>
      </c>
      <c r="E13306" t="s">
        <v>29702</v>
      </c>
      <c r="F13306" t="s">
        <v>31362</v>
      </c>
      <c r="G13306" t="s">
        <v>31369</v>
      </c>
      <c r="H13306" t="s">
        <v>15799</v>
      </c>
      <c r="I13306" t="s">
        <v>31404</v>
      </c>
      <c r="J13306" t="s">
        <v>39592</v>
      </c>
      <c r="K13306" t="s">
        <v>40675</v>
      </c>
      <c r="M13306" t="s">
        <v>42332</v>
      </c>
      <c r="N13306" t="s">
        <v>44905</v>
      </c>
      <c r="O13306" t="s">
        <v>44906</v>
      </c>
      <c r="P13306">
        <v>0</v>
      </c>
      <c r="Q13306">
        <v>1</v>
      </c>
      <c r="R13306" t="s">
        <v>44922</v>
      </c>
      <c r="S13306" t="s">
        <v>45639</v>
      </c>
      <c r="T13306" t="s">
        <v>46549</v>
      </c>
      <c r="U13306" t="s">
        <v>57545</v>
      </c>
      <c r="W13306" t="s">
        <v>42332</v>
      </c>
      <c r="X13306" t="s">
        <v>44923</v>
      </c>
    </row>
    <row r="13307" spans="1:24">
      <c r="A13307">
        <f>HYPERLINK("https://www.philgeps.gov.ph/GEPSNONPILOT/Tender/SplashBidNoticeAbstractUI.aspx?menuIndex=3&amp;refID=7051685&amp;Result=3","7051685")</f>
        <v>0</v>
      </c>
      <c r="B13307" t="s">
        <v>3349</v>
      </c>
      <c r="C13307" t="s">
        <v>16244</v>
      </c>
      <c r="D13307" t="s">
        <v>18148</v>
      </c>
      <c r="E13307" t="s">
        <v>29703</v>
      </c>
      <c r="F13307" t="s">
        <v>31362</v>
      </c>
      <c r="G13307" t="s">
        <v>31369</v>
      </c>
      <c r="H13307" t="s">
        <v>15799</v>
      </c>
      <c r="I13307" t="s">
        <v>31476</v>
      </c>
      <c r="J13307" t="s">
        <v>31606</v>
      </c>
      <c r="K13307" t="s">
        <v>40679</v>
      </c>
      <c r="M13307" t="s">
        <v>44647</v>
      </c>
      <c r="N13307" t="s">
        <v>44905</v>
      </c>
      <c r="O13307" t="s">
        <v>44906</v>
      </c>
      <c r="Q13307">
        <v>7</v>
      </c>
      <c r="R13307" t="s">
        <v>44922</v>
      </c>
      <c r="S13307" t="s">
        <v>45708</v>
      </c>
      <c r="T13307" t="s">
        <v>46470</v>
      </c>
      <c r="U13307" t="s">
        <v>57546</v>
      </c>
      <c r="W13307" t="s">
        <v>44647</v>
      </c>
      <c r="X13307" t="s">
        <v>44923</v>
      </c>
    </row>
    <row r="13308" spans="1:24">
      <c r="A13308">
        <f>HYPERLINK("https://www.philgeps.gov.ph/GEPSNONPILOT/Tender/SplashBidNoticeAbstractUI.aspx?menuIndex=3&amp;refID=7051651&amp;Result=3","7051651")</f>
        <v>0</v>
      </c>
      <c r="B13308" t="s">
        <v>1150</v>
      </c>
      <c r="C13308" t="s">
        <v>16245</v>
      </c>
      <c r="E13308" t="s">
        <v>29704</v>
      </c>
      <c r="F13308" t="s">
        <v>31362</v>
      </c>
      <c r="G13308" t="s">
        <v>31369</v>
      </c>
      <c r="H13308" t="s">
        <v>15799</v>
      </c>
      <c r="I13308" t="s">
        <v>31397</v>
      </c>
      <c r="J13308" t="s">
        <v>39593</v>
      </c>
      <c r="K13308" t="s">
        <v>40662</v>
      </c>
      <c r="M13308" t="s">
        <v>42159</v>
      </c>
      <c r="N13308" t="s">
        <v>44905</v>
      </c>
      <c r="O13308" t="s">
        <v>44906</v>
      </c>
      <c r="P13308">
        <v>0</v>
      </c>
      <c r="Q13308">
        <v>4</v>
      </c>
      <c r="R13308" t="s">
        <v>44922</v>
      </c>
      <c r="S13308" t="s">
        <v>45639</v>
      </c>
      <c r="T13308" t="s">
        <v>46418</v>
      </c>
      <c r="U13308" t="s">
        <v>57547</v>
      </c>
      <c r="W13308" t="s">
        <v>42159</v>
      </c>
      <c r="X13308" t="s">
        <v>44923</v>
      </c>
    </row>
    <row r="13309" spans="1:24">
      <c r="A13309">
        <f>HYPERLINK("https://www.philgeps.gov.ph/GEPSNONPILOT/Tender/SplashBidNoticeAbstractUI.aspx?menuIndex=3&amp;refID=7051692&amp;Result=3","7051692")</f>
        <v>0</v>
      </c>
      <c r="B13309" t="s">
        <v>2332</v>
      </c>
      <c r="C13309" t="s">
        <v>16246</v>
      </c>
      <c r="D13309" t="s">
        <v>18117</v>
      </c>
      <c r="E13309" t="s">
        <v>29705</v>
      </c>
      <c r="F13309" t="s">
        <v>31362</v>
      </c>
      <c r="G13309" t="s">
        <v>31369</v>
      </c>
      <c r="H13309" t="s">
        <v>31378</v>
      </c>
      <c r="I13309" t="s">
        <v>31386</v>
      </c>
      <c r="J13309" t="s">
        <v>31606</v>
      </c>
      <c r="K13309" t="s">
        <v>40662</v>
      </c>
      <c r="M13309" t="s">
        <v>43472</v>
      </c>
      <c r="N13309" t="s">
        <v>44905</v>
      </c>
      <c r="O13309" t="s">
        <v>44906</v>
      </c>
      <c r="P13309">
        <v>0</v>
      </c>
      <c r="Q13309">
        <v>0</v>
      </c>
      <c r="R13309" t="s">
        <v>44922</v>
      </c>
      <c r="S13309" t="s">
        <v>45639</v>
      </c>
      <c r="T13309" t="s">
        <v>46435</v>
      </c>
      <c r="U13309" t="s">
        <v>57548</v>
      </c>
      <c r="W13309" t="s">
        <v>43472</v>
      </c>
      <c r="X13309" t="s">
        <v>44923</v>
      </c>
    </row>
    <row r="13310" spans="1:24">
      <c r="A13310">
        <f>HYPERLINK("https://www.philgeps.gov.ph/GEPSNONPILOT/Tender/SplashBidNoticeAbstractUI.aspx?menuIndex=3&amp;refID=7051816&amp;Result=3","7051816")</f>
        <v>0</v>
      </c>
      <c r="B13310" t="s">
        <v>2438</v>
      </c>
      <c r="C13310" t="s">
        <v>16247</v>
      </c>
      <c r="D13310" t="s">
        <v>18109</v>
      </c>
      <c r="E13310" t="s">
        <v>29706</v>
      </c>
      <c r="F13310" t="s">
        <v>31362</v>
      </c>
      <c r="G13310" t="s">
        <v>31369</v>
      </c>
      <c r="H13310" t="s">
        <v>31378</v>
      </c>
      <c r="I13310" t="s">
        <v>31386</v>
      </c>
      <c r="J13310" t="s">
        <v>31625</v>
      </c>
      <c r="K13310" t="s">
        <v>40662</v>
      </c>
      <c r="L13310" t="s">
        <v>2438</v>
      </c>
      <c r="M13310" t="s">
        <v>43597</v>
      </c>
      <c r="N13310" t="s">
        <v>44905</v>
      </c>
      <c r="O13310" t="s">
        <v>44906</v>
      </c>
      <c r="P13310">
        <v>0</v>
      </c>
      <c r="Q13310">
        <v>0</v>
      </c>
      <c r="R13310" t="s">
        <v>44922</v>
      </c>
      <c r="S13310" t="s">
        <v>45639</v>
      </c>
      <c r="T13310" t="s">
        <v>46470</v>
      </c>
      <c r="U13310" t="s">
        <v>57537</v>
      </c>
      <c r="V13310" t="s">
        <v>59869</v>
      </c>
      <c r="W13310" t="s">
        <v>43597</v>
      </c>
      <c r="X13310" t="s">
        <v>44923</v>
      </c>
    </row>
    <row r="13311" spans="1:24">
      <c r="A13311">
        <f>HYPERLINK("https://www.philgeps.gov.ph/GEPSNONPILOT/Tender/SplashBidNoticeAbstractUI.aspx?menuIndex=3&amp;refID=7051809&amp;Result=3","7051809")</f>
        <v>0</v>
      </c>
      <c r="B13311" t="s">
        <v>3350</v>
      </c>
      <c r="C13311" t="s">
        <v>16248</v>
      </c>
      <c r="D13311" t="s">
        <v>18123</v>
      </c>
      <c r="E13311" t="s">
        <v>20718</v>
      </c>
      <c r="F13311" t="s">
        <v>31362</v>
      </c>
      <c r="G13311" t="s">
        <v>31369</v>
      </c>
      <c r="H13311" t="s">
        <v>31378</v>
      </c>
      <c r="I13311" t="s">
        <v>31386</v>
      </c>
      <c r="J13311" t="s">
        <v>31587</v>
      </c>
      <c r="K13311" t="s">
        <v>40675</v>
      </c>
      <c r="M13311" t="s">
        <v>44648</v>
      </c>
      <c r="N13311" t="s">
        <v>44905</v>
      </c>
      <c r="O13311" t="s">
        <v>44906</v>
      </c>
      <c r="P13311">
        <v>0</v>
      </c>
      <c r="Q13311">
        <v>0</v>
      </c>
      <c r="R13311" t="s">
        <v>44922</v>
      </c>
      <c r="S13311" t="s">
        <v>45639</v>
      </c>
      <c r="T13311" t="s">
        <v>46506</v>
      </c>
      <c r="U13311" t="s">
        <v>57549</v>
      </c>
      <c r="W13311" t="s">
        <v>44648</v>
      </c>
      <c r="X13311" t="s">
        <v>44923</v>
      </c>
    </row>
    <row r="13312" spans="1:24">
      <c r="A13312">
        <f>HYPERLINK("https://www.philgeps.gov.ph/GEPSNONPILOT/Tender/SplashBidNoticeAbstractUI.aspx?menuIndex=3&amp;refID=7051703&amp;Result=3","7051703")</f>
        <v>0</v>
      </c>
      <c r="B13312" t="s">
        <v>3350</v>
      </c>
      <c r="C13312" t="s">
        <v>16249</v>
      </c>
      <c r="D13312" t="s">
        <v>18123</v>
      </c>
      <c r="E13312" t="s">
        <v>22943</v>
      </c>
      <c r="F13312" t="s">
        <v>31362</v>
      </c>
      <c r="G13312" t="s">
        <v>31369</v>
      </c>
      <c r="H13312" t="s">
        <v>31378</v>
      </c>
      <c r="I13312" t="s">
        <v>31386</v>
      </c>
      <c r="J13312" t="s">
        <v>31606</v>
      </c>
      <c r="K13312" t="s">
        <v>40922</v>
      </c>
      <c r="M13312" t="s">
        <v>44648</v>
      </c>
      <c r="N13312" t="s">
        <v>44905</v>
      </c>
      <c r="O13312" t="s">
        <v>44906</v>
      </c>
      <c r="P13312">
        <v>0</v>
      </c>
      <c r="Q13312">
        <v>0</v>
      </c>
      <c r="R13312" t="s">
        <v>44922</v>
      </c>
      <c r="S13312" t="s">
        <v>45639</v>
      </c>
      <c r="T13312" t="s">
        <v>46506</v>
      </c>
      <c r="U13312" t="s">
        <v>57550</v>
      </c>
      <c r="W13312" t="s">
        <v>44648</v>
      </c>
      <c r="X13312" t="s">
        <v>44923</v>
      </c>
    </row>
    <row r="13313" spans="1:24">
      <c r="A13313">
        <f>HYPERLINK("https://www.philgeps.gov.ph/GEPSNONPILOT/Tender/SplashBidNoticeAbstractUI.aspx?menuIndex=3&amp;refID=7050745&amp;Result=3","7050745")</f>
        <v>0</v>
      </c>
      <c r="B13313" t="s">
        <v>3238</v>
      </c>
      <c r="C13313" t="s">
        <v>16250</v>
      </c>
      <c r="D13313" t="s">
        <v>18131</v>
      </c>
      <c r="E13313" t="s">
        <v>29707</v>
      </c>
      <c r="F13313" t="s">
        <v>31362</v>
      </c>
      <c r="G13313" t="s">
        <v>31369</v>
      </c>
      <c r="H13313" t="s">
        <v>15799</v>
      </c>
      <c r="I13313" t="s">
        <v>31426</v>
      </c>
      <c r="J13313" t="s">
        <v>32239</v>
      </c>
      <c r="K13313" t="s">
        <v>40662</v>
      </c>
      <c r="M13313" t="s">
        <v>44515</v>
      </c>
      <c r="N13313" t="s">
        <v>44905</v>
      </c>
      <c r="O13313" t="s">
        <v>44906</v>
      </c>
      <c r="Q13313">
        <v>4</v>
      </c>
      <c r="R13313" t="s">
        <v>44922</v>
      </c>
      <c r="S13313" t="s">
        <v>45709</v>
      </c>
      <c r="T13313" t="s">
        <v>46401</v>
      </c>
      <c r="U13313" t="s">
        <v>57551</v>
      </c>
      <c r="V13313" t="s">
        <v>60562</v>
      </c>
      <c r="W13313" t="s">
        <v>44515</v>
      </c>
      <c r="X13313" t="s">
        <v>44923</v>
      </c>
    </row>
    <row r="13314" spans="1:24">
      <c r="A13314">
        <f>HYPERLINK("https://www.philgeps.gov.ph/GEPSNONPILOT/Tender/SplashBidNoticeAbstractUI.aspx?menuIndex=3&amp;refID=7051677&amp;Result=3","7051677")</f>
        <v>0</v>
      </c>
      <c r="B13314" t="s">
        <v>1170</v>
      </c>
      <c r="C13314" t="s">
        <v>16251</v>
      </c>
      <c r="D13314" t="s">
        <v>18138</v>
      </c>
      <c r="E13314" t="s">
        <v>24121</v>
      </c>
      <c r="F13314" t="s">
        <v>31362</v>
      </c>
      <c r="G13314" t="s">
        <v>31369</v>
      </c>
      <c r="H13314" t="s">
        <v>31378</v>
      </c>
      <c r="I13314" t="s">
        <v>31386</v>
      </c>
      <c r="J13314" t="s">
        <v>31606</v>
      </c>
      <c r="K13314" t="s">
        <v>40683</v>
      </c>
      <c r="M13314" t="s">
        <v>42180</v>
      </c>
      <c r="N13314" t="s">
        <v>44905</v>
      </c>
      <c r="O13314" t="s">
        <v>44906</v>
      </c>
      <c r="P13314">
        <v>0</v>
      </c>
      <c r="Q13314">
        <v>2</v>
      </c>
      <c r="R13314" t="s">
        <v>44922</v>
      </c>
      <c r="S13314" t="s">
        <v>45639</v>
      </c>
      <c r="T13314" t="s">
        <v>46397</v>
      </c>
      <c r="U13314" t="s">
        <v>57552</v>
      </c>
      <c r="W13314" t="s">
        <v>42180</v>
      </c>
      <c r="X13314" t="s">
        <v>44923</v>
      </c>
    </row>
    <row r="13315" spans="1:24">
      <c r="A13315">
        <f>HYPERLINK("https://www.philgeps.gov.ph/GEPSNONPILOT/Tender/SplashBidNoticeAbstractUI.aspx?menuIndex=3&amp;refID=7051667&amp;Result=3","7051667")</f>
        <v>0</v>
      </c>
      <c r="B13315" t="s">
        <v>51</v>
      </c>
      <c r="C13315" t="s">
        <v>16252</v>
      </c>
      <c r="D13315" t="s">
        <v>18118</v>
      </c>
      <c r="E13315" t="s">
        <v>11036</v>
      </c>
      <c r="F13315" t="s">
        <v>31362</v>
      </c>
      <c r="G13315" t="s">
        <v>31369</v>
      </c>
      <c r="H13315" t="s">
        <v>15799</v>
      </c>
      <c r="I13315" t="s">
        <v>31384</v>
      </c>
      <c r="J13315" t="s">
        <v>31570</v>
      </c>
      <c r="K13315" t="s">
        <v>40661</v>
      </c>
      <c r="M13315" t="s">
        <v>40985</v>
      </c>
      <c r="N13315" t="s">
        <v>44905</v>
      </c>
      <c r="O13315" t="s">
        <v>44906</v>
      </c>
      <c r="P13315">
        <v>0</v>
      </c>
      <c r="Q13315">
        <v>3</v>
      </c>
      <c r="R13315" t="s">
        <v>44922</v>
      </c>
      <c r="S13315" t="s">
        <v>45639</v>
      </c>
      <c r="T13315" t="s">
        <v>46410</v>
      </c>
      <c r="U13315" t="s">
        <v>57553</v>
      </c>
      <c r="W13315" t="s">
        <v>40985</v>
      </c>
      <c r="X13315" t="s">
        <v>44923</v>
      </c>
    </row>
    <row r="13316" spans="1:24">
      <c r="A13316">
        <f>HYPERLINK("https://www.philgeps.gov.ph/GEPSNONPILOT/Tender/SplashBidNoticeAbstractUI.aspx?menuIndex=3&amp;refID=7051789&amp;Result=3","7051789")</f>
        <v>0</v>
      </c>
      <c r="B13316" t="s">
        <v>1314</v>
      </c>
      <c r="C13316" t="s">
        <v>16253</v>
      </c>
      <c r="D13316" t="s">
        <v>18134</v>
      </c>
      <c r="E13316" t="s">
        <v>29708</v>
      </c>
      <c r="F13316" t="s">
        <v>31362</v>
      </c>
      <c r="G13316" t="s">
        <v>31369</v>
      </c>
      <c r="H13316" t="s">
        <v>15799</v>
      </c>
      <c r="I13316" t="s">
        <v>31404</v>
      </c>
      <c r="J13316" t="s">
        <v>31531</v>
      </c>
      <c r="K13316" t="s">
        <v>40677</v>
      </c>
      <c r="M13316" t="s">
        <v>42332</v>
      </c>
      <c r="N13316" t="s">
        <v>44905</v>
      </c>
      <c r="O13316" t="s">
        <v>44906</v>
      </c>
      <c r="P13316">
        <v>0</v>
      </c>
      <c r="Q13316">
        <v>0</v>
      </c>
      <c r="R13316" t="s">
        <v>44922</v>
      </c>
      <c r="S13316" t="s">
        <v>45639</v>
      </c>
      <c r="T13316" t="s">
        <v>46549</v>
      </c>
      <c r="U13316" t="s">
        <v>57554</v>
      </c>
      <c r="W13316" t="s">
        <v>42332</v>
      </c>
      <c r="X13316" t="s">
        <v>44923</v>
      </c>
    </row>
    <row r="13317" spans="1:24">
      <c r="A13317">
        <f>HYPERLINK("https://www.philgeps.gov.ph/GEPSNONPILOT/Tender/SplashBidNoticeAbstractUI.aspx?menuIndex=3&amp;refID=7051802&amp;Result=3","7051802")</f>
        <v>0</v>
      </c>
      <c r="B13317" t="s">
        <v>3351</v>
      </c>
      <c r="C13317" t="s">
        <v>16254</v>
      </c>
      <c r="D13317" t="s">
        <v>18148</v>
      </c>
      <c r="E13317" t="s">
        <v>29709</v>
      </c>
      <c r="F13317" t="s">
        <v>31362</v>
      </c>
      <c r="G13317" t="s">
        <v>31369</v>
      </c>
      <c r="H13317" t="s">
        <v>31378</v>
      </c>
      <c r="I13317" t="s">
        <v>31386</v>
      </c>
      <c r="J13317" t="s">
        <v>31531</v>
      </c>
      <c r="K13317" t="s">
        <v>40666</v>
      </c>
      <c r="M13317" t="s">
        <v>44649</v>
      </c>
      <c r="N13317" t="s">
        <v>44905</v>
      </c>
      <c r="O13317" t="s">
        <v>44906</v>
      </c>
      <c r="P13317">
        <v>0</v>
      </c>
      <c r="Q13317">
        <v>1</v>
      </c>
      <c r="R13317" t="s">
        <v>44922</v>
      </c>
      <c r="S13317" t="s">
        <v>45639</v>
      </c>
      <c r="T13317" t="s">
        <v>46549</v>
      </c>
      <c r="U13317" t="s">
        <v>57555</v>
      </c>
      <c r="W13317" t="s">
        <v>44649</v>
      </c>
      <c r="X13317" t="s">
        <v>44923</v>
      </c>
    </row>
    <row r="13318" spans="1:24">
      <c r="A13318">
        <f>HYPERLINK("https://www.philgeps.gov.ph/GEPSNONPILOT/Tender/SplashBidNoticeAbstractUI.aspx?menuIndex=3&amp;refID=7051784&amp;Result=3","7051784")</f>
        <v>0</v>
      </c>
      <c r="B13318" t="s">
        <v>2175</v>
      </c>
      <c r="C13318" t="s">
        <v>16255</v>
      </c>
      <c r="D13318" t="s">
        <v>18148</v>
      </c>
      <c r="E13318" t="s">
        <v>20718</v>
      </c>
      <c r="F13318" t="s">
        <v>31362</v>
      </c>
      <c r="G13318" t="s">
        <v>31369</v>
      </c>
      <c r="H13318" t="s">
        <v>15799</v>
      </c>
      <c r="I13318" t="s">
        <v>31409</v>
      </c>
      <c r="J13318" t="s">
        <v>33446</v>
      </c>
      <c r="K13318" t="s">
        <v>40666</v>
      </c>
      <c r="M13318" t="s">
        <v>43306</v>
      </c>
      <c r="N13318" t="s">
        <v>44905</v>
      </c>
      <c r="O13318" t="s">
        <v>44906</v>
      </c>
      <c r="P13318">
        <v>0</v>
      </c>
      <c r="Q13318">
        <v>3</v>
      </c>
      <c r="R13318" t="s">
        <v>44922</v>
      </c>
      <c r="S13318" t="s">
        <v>45639</v>
      </c>
      <c r="T13318" t="s">
        <v>46549</v>
      </c>
      <c r="U13318" t="s">
        <v>57556</v>
      </c>
      <c r="W13318" t="s">
        <v>43306</v>
      </c>
      <c r="X13318" t="s">
        <v>44923</v>
      </c>
    </row>
    <row r="13319" spans="1:24">
      <c r="A13319">
        <f>HYPERLINK("https://www.philgeps.gov.ph/GEPSNONPILOT/Tender/SplashBidNoticeAbstractUI.aspx?menuIndex=3&amp;refID=7051783&amp;Result=3","7051783")</f>
        <v>0</v>
      </c>
      <c r="B13319" t="s">
        <v>1170</v>
      </c>
      <c r="C13319" t="s">
        <v>16256</v>
      </c>
      <c r="D13319" t="s">
        <v>18138</v>
      </c>
      <c r="E13319" t="s">
        <v>22103</v>
      </c>
      <c r="F13319" t="s">
        <v>31362</v>
      </c>
      <c r="G13319" t="s">
        <v>31369</v>
      </c>
      <c r="H13319" t="s">
        <v>31378</v>
      </c>
      <c r="I13319" t="s">
        <v>31386</v>
      </c>
      <c r="J13319" t="s">
        <v>39594</v>
      </c>
      <c r="K13319" t="s">
        <v>40686</v>
      </c>
      <c r="M13319" t="s">
        <v>42180</v>
      </c>
      <c r="N13319" t="s">
        <v>44905</v>
      </c>
      <c r="O13319" t="s">
        <v>44906</v>
      </c>
      <c r="P13319">
        <v>0</v>
      </c>
      <c r="Q13319">
        <v>4</v>
      </c>
      <c r="R13319" t="s">
        <v>44922</v>
      </c>
      <c r="S13319" t="s">
        <v>45639</v>
      </c>
      <c r="T13319" t="s">
        <v>46397</v>
      </c>
      <c r="U13319" t="s">
        <v>57557</v>
      </c>
      <c r="W13319" t="s">
        <v>42180</v>
      </c>
      <c r="X13319" t="s">
        <v>44923</v>
      </c>
    </row>
    <row r="13320" spans="1:24">
      <c r="A13320">
        <f>HYPERLINK("https://www.philgeps.gov.ph/GEPSNONPILOT/Tender/SplashBidNoticeAbstractUI.aspx?menuIndex=3&amp;refID=7051761&amp;Result=3","7051761")</f>
        <v>0</v>
      </c>
      <c r="B13320" t="s">
        <v>2438</v>
      </c>
      <c r="C13320" t="s">
        <v>16257</v>
      </c>
      <c r="D13320" t="s">
        <v>18109</v>
      </c>
      <c r="E13320" t="s">
        <v>29710</v>
      </c>
      <c r="F13320" t="s">
        <v>31362</v>
      </c>
      <c r="G13320" t="s">
        <v>31369</v>
      </c>
      <c r="H13320" t="s">
        <v>31378</v>
      </c>
      <c r="I13320" t="s">
        <v>31386</v>
      </c>
      <c r="J13320" t="s">
        <v>31542</v>
      </c>
      <c r="K13320" t="s">
        <v>40662</v>
      </c>
      <c r="L13320" t="s">
        <v>2438</v>
      </c>
      <c r="M13320" t="s">
        <v>43597</v>
      </c>
      <c r="N13320" t="s">
        <v>44905</v>
      </c>
      <c r="O13320" t="s">
        <v>44906</v>
      </c>
      <c r="P13320">
        <v>0</v>
      </c>
      <c r="Q13320">
        <v>0</v>
      </c>
      <c r="R13320" t="s">
        <v>44922</v>
      </c>
      <c r="S13320" t="s">
        <v>45639</v>
      </c>
      <c r="T13320" t="s">
        <v>46470</v>
      </c>
      <c r="U13320" t="s">
        <v>57537</v>
      </c>
      <c r="V13320" t="s">
        <v>59869</v>
      </c>
      <c r="W13320" t="s">
        <v>43597</v>
      </c>
      <c r="X13320" t="s">
        <v>44923</v>
      </c>
    </row>
    <row r="13321" spans="1:24">
      <c r="A13321">
        <f>HYPERLINK("https://www.philgeps.gov.ph/GEPSNONPILOT/Tender/SplashBidNoticeAbstractUI.aspx?menuIndex=3&amp;refID=7051790&amp;Result=3","7051790")</f>
        <v>0</v>
      </c>
      <c r="B13321" t="s">
        <v>2194</v>
      </c>
      <c r="C13321" t="s">
        <v>16258</v>
      </c>
      <c r="D13321" t="s">
        <v>18154</v>
      </c>
      <c r="E13321" t="s">
        <v>29711</v>
      </c>
      <c r="F13321" t="s">
        <v>31362</v>
      </c>
      <c r="G13321" t="s">
        <v>31369</v>
      </c>
      <c r="H13321" t="s">
        <v>15799</v>
      </c>
      <c r="I13321" t="s">
        <v>31409</v>
      </c>
      <c r="J13321" t="s">
        <v>31687</v>
      </c>
      <c r="K13321" t="s">
        <v>40661</v>
      </c>
      <c r="M13321" t="s">
        <v>43325</v>
      </c>
      <c r="N13321" t="s">
        <v>44905</v>
      </c>
      <c r="O13321" t="s">
        <v>44906</v>
      </c>
      <c r="P13321">
        <v>0</v>
      </c>
      <c r="Q13321">
        <v>0</v>
      </c>
      <c r="R13321" t="s">
        <v>44922</v>
      </c>
      <c r="S13321" t="s">
        <v>45639</v>
      </c>
      <c r="T13321" t="s">
        <v>46541</v>
      </c>
      <c r="U13321" t="s">
        <v>57558</v>
      </c>
      <c r="W13321" t="s">
        <v>43325</v>
      </c>
      <c r="X13321" t="s">
        <v>44923</v>
      </c>
    </row>
    <row r="13322" spans="1:24">
      <c r="A13322">
        <f>HYPERLINK("https://www.philgeps.gov.ph/GEPSNONPILOT/Tender/SplashBidNoticeAbstractUI.aspx?menuIndex=3&amp;refID=7051752&amp;Result=3","7051752")</f>
        <v>0</v>
      </c>
      <c r="B13322" t="s">
        <v>2167</v>
      </c>
      <c r="C13322" t="s">
        <v>16259</v>
      </c>
      <c r="D13322" t="s">
        <v>18134</v>
      </c>
      <c r="E13322" t="s">
        <v>29712</v>
      </c>
      <c r="F13322" t="s">
        <v>31362</v>
      </c>
      <c r="G13322" t="s">
        <v>31369</v>
      </c>
      <c r="H13322" t="s">
        <v>15799</v>
      </c>
      <c r="I13322" t="s">
        <v>7188</v>
      </c>
      <c r="J13322" t="s">
        <v>35270</v>
      </c>
      <c r="K13322" t="s">
        <v>40666</v>
      </c>
      <c r="M13322" t="s">
        <v>43962</v>
      </c>
      <c r="N13322" t="s">
        <v>44905</v>
      </c>
      <c r="O13322" t="s">
        <v>44906</v>
      </c>
      <c r="P13322">
        <v>0</v>
      </c>
      <c r="Q13322">
        <v>6</v>
      </c>
      <c r="R13322" t="s">
        <v>44922</v>
      </c>
      <c r="S13322" t="s">
        <v>45639</v>
      </c>
      <c r="T13322" t="s">
        <v>46400</v>
      </c>
      <c r="U13322" t="s">
        <v>54623</v>
      </c>
      <c r="W13322" t="s">
        <v>43962</v>
      </c>
      <c r="X13322" t="s">
        <v>44923</v>
      </c>
    </row>
    <row r="13323" spans="1:24">
      <c r="A13323">
        <f>HYPERLINK("https://www.philgeps.gov.ph/GEPSNONPILOT/Tender/SplashBidNoticeAbstractUI.aspx?menuIndex=3&amp;refID=7051800&amp;Result=3","7051800")</f>
        <v>0</v>
      </c>
      <c r="B13323" t="s">
        <v>461</v>
      </c>
      <c r="C13323" t="s">
        <v>16260</v>
      </c>
      <c r="D13323" t="s">
        <v>18112</v>
      </c>
      <c r="E13323" t="s">
        <v>29713</v>
      </c>
      <c r="F13323" t="s">
        <v>31362</v>
      </c>
      <c r="G13323" t="s">
        <v>31369</v>
      </c>
      <c r="H13323" t="s">
        <v>15799</v>
      </c>
      <c r="I13323" t="s">
        <v>6373</v>
      </c>
      <c r="J13323" t="s">
        <v>39595</v>
      </c>
      <c r="K13323" t="s">
        <v>40665</v>
      </c>
      <c r="M13323" t="s">
        <v>44584</v>
      </c>
      <c r="N13323" t="s">
        <v>44905</v>
      </c>
      <c r="O13323" t="s">
        <v>44906</v>
      </c>
      <c r="Q13323">
        <v>7</v>
      </c>
      <c r="R13323" t="s">
        <v>44922</v>
      </c>
      <c r="S13323" t="s">
        <v>45710</v>
      </c>
      <c r="T13323" t="s">
        <v>46549</v>
      </c>
      <c r="U13323" t="s">
        <v>57559</v>
      </c>
      <c r="V13323" t="s">
        <v>60475</v>
      </c>
      <c r="W13323" t="s">
        <v>44584</v>
      </c>
      <c r="X13323" t="s">
        <v>44923</v>
      </c>
    </row>
    <row r="13324" spans="1:24">
      <c r="A13324">
        <f>HYPERLINK("https://www.philgeps.gov.ph/GEPSNONPILOT/Tender/SplashBidNoticeAbstractUI.aspx?menuIndex=3&amp;refID=7051786&amp;Result=3","7051786")</f>
        <v>0</v>
      </c>
      <c r="B13324" t="s">
        <v>3171</v>
      </c>
      <c r="C13324" t="s">
        <v>16261</v>
      </c>
      <c r="D13324" t="s">
        <v>18111</v>
      </c>
      <c r="E13324" t="s">
        <v>19400</v>
      </c>
      <c r="F13324" t="s">
        <v>31362</v>
      </c>
      <c r="G13324" t="s">
        <v>31369</v>
      </c>
      <c r="H13324" t="s">
        <v>31378</v>
      </c>
      <c r="I13324" t="s">
        <v>31386</v>
      </c>
      <c r="J13324" t="s">
        <v>32673</v>
      </c>
      <c r="K13324" t="s">
        <v>40683</v>
      </c>
      <c r="M13324" t="s">
        <v>44435</v>
      </c>
      <c r="N13324" t="s">
        <v>44905</v>
      </c>
      <c r="O13324" t="s">
        <v>44906</v>
      </c>
      <c r="P13324">
        <v>0</v>
      </c>
      <c r="Q13324">
        <v>7</v>
      </c>
      <c r="R13324" t="s">
        <v>44922</v>
      </c>
      <c r="S13324" t="s">
        <v>45639</v>
      </c>
      <c r="T13324" t="s">
        <v>46549</v>
      </c>
      <c r="U13324" t="s">
        <v>57560</v>
      </c>
      <c r="V13324" t="s">
        <v>60563</v>
      </c>
      <c r="W13324" t="s">
        <v>44435</v>
      </c>
      <c r="X13324" t="s">
        <v>44923</v>
      </c>
    </row>
    <row r="13325" spans="1:24">
      <c r="A13325">
        <f>HYPERLINK("https://www.philgeps.gov.ph/GEPSNONPILOT/Tender/SplashBidNoticeAbstractUI.aspx?menuIndex=3&amp;refID=7051749&amp;Result=3","7051749")</f>
        <v>0</v>
      </c>
      <c r="B13325" t="s">
        <v>3350</v>
      </c>
      <c r="C13325" t="s">
        <v>16262</v>
      </c>
      <c r="D13325" t="s">
        <v>18123</v>
      </c>
      <c r="E13325" t="s">
        <v>22931</v>
      </c>
      <c r="F13325" t="s">
        <v>31362</v>
      </c>
      <c r="G13325" t="s">
        <v>31369</v>
      </c>
      <c r="H13325" t="s">
        <v>31378</v>
      </c>
      <c r="I13325" t="s">
        <v>31386</v>
      </c>
      <c r="J13325" t="s">
        <v>39596</v>
      </c>
      <c r="K13325" t="s">
        <v>40740</v>
      </c>
      <c r="M13325" t="s">
        <v>44648</v>
      </c>
      <c r="N13325" t="s">
        <v>44905</v>
      </c>
      <c r="O13325" t="s">
        <v>44906</v>
      </c>
      <c r="P13325">
        <v>0</v>
      </c>
      <c r="Q13325">
        <v>0</v>
      </c>
      <c r="R13325" t="s">
        <v>44922</v>
      </c>
      <c r="S13325" t="s">
        <v>45639</v>
      </c>
      <c r="T13325" t="s">
        <v>46506</v>
      </c>
      <c r="U13325" t="s">
        <v>57561</v>
      </c>
      <c r="W13325" t="s">
        <v>44648</v>
      </c>
      <c r="X13325" t="s">
        <v>44923</v>
      </c>
    </row>
    <row r="13326" spans="1:24">
      <c r="A13326">
        <f>HYPERLINK("https://www.philgeps.gov.ph/GEPSNONPILOT/Tender/SplashBidNoticeAbstractUI.aspx?menuIndex=3&amp;refID=7051886&amp;Result=3","7051886")</f>
        <v>0</v>
      </c>
      <c r="B13326" t="s">
        <v>1150</v>
      </c>
      <c r="C13326" t="s">
        <v>16263</v>
      </c>
      <c r="E13326" t="s">
        <v>29714</v>
      </c>
      <c r="F13326" t="s">
        <v>31362</v>
      </c>
      <c r="G13326" t="s">
        <v>31369</v>
      </c>
      <c r="H13326" t="s">
        <v>15799</v>
      </c>
      <c r="I13326" t="s">
        <v>31414</v>
      </c>
      <c r="J13326" t="s">
        <v>39597</v>
      </c>
      <c r="K13326" t="s">
        <v>40662</v>
      </c>
      <c r="M13326" t="s">
        <v>42159</v>
      </c>
      <c r="N13326" t="s">
        <v>44905</v>
      </c>
      <c r="O13326" t="s">
        <v>44906</v>
      </c>
      <c r="P13326">
        <v>0</v>
      </c>
      <c r="Q13326">
        <v>2</v>
      </c>
      <c r="R13326" t="s">
        <v>44922</v>
      </c>
      <c r="S13326" t="s">
        <v>45639</v>
      </c>
      <c r="T13326" t="s">
        <v>46418</v>
      </c>
      <c r="U13326" t="s">
        <v>57547</v>
      </c>
      <c r="W13326" t="s">
        <v>42159</v>
      </c>
      <c r="X13326" t="s">
        <v>44923</v>
      </c>
    </row>
    <row r="13327" spans="1:24">
      <c r="A13327">
        <f>HYPERLINK("https://www.philgeps.gov.ph/GEPSNONPILOT/Tender/SplashBidNoticeAbstractUI.aspx?menuIndex=3&amp;refID=7051775&amp;Result=3","7051775")</f>
        <v>0</v>
      </c>
      <c r="B13327" t="s">
        <v>1150</v>
      </c>
      <c r="C13327" t="s">
        <v>16264</v>
      </c>
      <c r="E13327" t="s">
        <v>29715</v>
      </c>
      <c r="F13327" t="s">
        <v>31362</v>
      </c>
      <c r="G13327" t="s">
        <v>31369</v>
      </c>
      <c r="H13327" t="s">
        <v>15799</v>
      </c>
      <c r="I13327" t="s">
        <v>31459</v>
      </c>
      <c r="J13327" t="s">
        <v>39598</v>
      </c>
      <c r="K13327" t="s">
        <v>40662</v>
      </c>
      <c r="M13327" t="s">
        <v>42159</v>
      </c>
      <c r="N13327" t="s">
        <v>44905</v>
      </c>
      <c r="O13327" t="s">
        <v>44906</v>
      </c>
      <c r="P13327">
        <v>0</v>
      </c>
      <c r="Q13327">
        <v>4</v>
      </c>
      <c r="R13327" t="s">
        <v>44922</v>
      </c>
      <c r="S13327" t="s">
        <v>45639</v>
      </c>
      <c r="T13327" t="s">
        <v>46418</v>
      </c>
      <c r="U13327" t="s">
        <v>57547</v>
      </c>
      <c r="W13327" t="s">
        <v>42159</v>
      </c>
      <c r="X13327" t="s">
        <v>44923</v>
      </c>
    </row>
    <row r="13328" spans="1:24">
      <c r="A13328">
        <f>HYPERLINK("https://www.philgeps.gov.ph/GEPSNONPILOT/Tender/SplashBidNoticeAbstractUI.aspx?menuIndex=3&amp;refID=7051884&amp;Result=3","7051884")</f>
        <v>0</v>
      </c>
      <c r="B13328" t="s">
        <v>1075</v>
      </c>
      <c r="C13328" t="s">
        <v>16265</v>
      </c>
      <c r="D13328" t="s">
        <v>18101</v>
      </c>
      <c r="E13328" t="s">
        <v>29716</v>
      </c>
      <c r="F13328" t="s">
        <v>31362</v>
      </c>
      <c r="G13328" t="s">
        <v>31369</v>
      </c>
      <c r="H13328" t="s">
        <v>15799</v>
      </c>
      <c r="I13328" t="s">
        <v>31409</v>
      </c>
      <c r="J13328" t="s">
        <v>33482</v>
      </c>
      <c r="K13328" t="s">
        <v>40665</v>
      </c>
      <c r="M13328" t="s">
        <v>42077</v>
      </c>
      <c r="N13328" t="s">
        <v>44905</v>
      </c>
      <c r="O13328" t="s">
        <v>44906</v>
      </c>
      <c r="P13328">
        <v>0</v>
      </c>
      <c r="Q13328">
        <v>4</v>
      </c>
      <c r="R13328" t="s">
        <v>44922</v>
      </c>
      <c r="S13328" t="s">
        <v>45639</v>
      </c>
      <c r="T13328" t="s">
        <v>46560</v>
      </c>
      <c r="U13328" t="s">
        <v>57562</v>
      </c>
      <c r="W13328" t="s">
        <v>42077</v>
      </c>
      <c r="X13328" t="s">
        <v>44923</v>
      </c>
    </row>
    <row r="13329" spans="1:24">
      <c r="A13329">
        <f>HYPERLINK("https://www.philgeps.gov.ph/GEPSNONPILOT/Tender/SplashBidNoticeAbstractUI.aspx?menuIndex=3&amp;refID=7051887&amp;Result=3","7051887")</f>
        <v>0</v>
      </c>
      <c r="B13329" t="s">
        <v>3247</v>
      </c>
      <c r="C13329" t="s">
        <v>16266</v>
      </c>
      <c r="D13329" t="s">
        <v>18148</v>
      </c>
      <c r="E13329" t="s">
        <v>29717</v>
      </c>
      <c r="F13329" t="s">
        <v>31362</v>
      </c>
      <c r="G13329" t="s">
        <v>31369</v>
      </c>
      <c r="H13329" t="s">
        <v>15799</v>
      </c>
      <c r="I13329" t="s">
        <v>31455</v>
      </c>
      <c r="J13329" t="s">
        <v>32316</v>
      </c>
      <c r="K13329" t="s">
        <v>40665</v>
      </c>
      <c r="M13329" t="s">
        <v>44527</v>
      </c>
      <c r="N13329" t="s">
        <v>44905</v>
      </c>
      <c r="O13329" t="s">
        <v>44906</v>
      </c>
      <c r="P13329">
        <v>0</v>
      </c>
      <c r="Q13329">
        <v>0</v>
      </c>
      <c r="R13329" t="s">
        <v>44922</v>
      </c>
      <c r="S13329" t="s">
        <v>45639</v>
      </c>
      <c r="T13329" t="s">
        <v>46410</v>
      </c>
      <c r="U13329" t="s">
        <v>57563</v>
      </c>
      <c r="W13329" t="s">
        <v>44527</v>
      </c>
      <c r="X13329" t="s">
        <v>44923</v>
      </c>
    </row>
    <row r="13330" spans="1:24">
      <c r="A13330">
        <f>HYPERLINK("https://www.philgeps.gov.ph/GEPSNONPILOT/Tender/SplashBidNoticeAbstractUI.aspx?menuIndex=3&amp;refID=7051881&amp;Result=3","7051881")</f>
        <v>0</v>
      </c>
      <c r="B13330" t="s">
        <v>301</v>
      </c>
      <c r="C13330" t="s">
        <v>16267</v>
      </c>
      <c r="D13330" t="s">
        <v>18164</v>
      </c>
      <c r="E13330" t="s">
        <v>29718</v>
      </c>
      <c r="F13330" t="s">
        <v>31362</v>
      </c>
      <c r="G13330" t="s">
        <v>31369</v>
      </c>
      <c r="H13330" t="s">
        <v>15799</v>
      </c>
      <c r="I13330" t="s">
        <v>31409</v>
      </c>
      <c r="J13330" t="s">
        <v>31542</v>
      </c>
      <c r="K13330" t="s">
        <v>40666</v>
      </c>
      <c r="M13330" t="s">
        <v>41244</v>
      </c>
      <c r="N13330" t="s">
        <v>44905</v>
      </c>
      <c r="O13330" t="s">
        <v>44906</v>
      </c>
      <c r="P13330">
        <v>0</v>
      </c>
      <c r="Q13330">
        <v>1</v>
      </c>
      <c r="R13330" t="s">
        <v>44922</v>
      </c>
      <c r="S13330" t="s">
        <v>45639</v>
      </c>
      <c r="T13330" t="s">
        <v>46447</v>
      </c>
      <c r="U13330" t="s">
        <v>57564</v>
      </c>
      <c r="V13330" t="s">
        <v>60564</v>
      </c>
      <c r="W13330" t="s">
        <v>41244</v>
      </c>
      <c r="X13330" t="s">
        <v>44923</v>
      </c>
    </row>
    <row r="13331" spans="1:24">
      <c r="A13331">
        <f>HYPERLINK("https://www.philgeps.gov.ph/GEPSNONPILOT/Tender/SplashBidNoticeAbstractUI.aspx?menuIndex=3&amp;refID=7051865&amp;Result=3","7051865")</f>
        <v>0</v>
      </c>
      <c r="B13331" t="s">
        <v>362</v>
      </c>
      <c r="C13331" t="s">
        <v>16268</v>
      </c>
      <c r="D13331" t="s">
        <v>18103</v>
      </c>
      <c r="E13331" t="s">
        <v>29719</v>
      </c>
      <c r="F13331" t="s">
        <v>31362</v>
      </c>
      <c r="G13331" t="s">
        <v>31369</v>
      </c>
      <c r="H13331" t="s">
        <v>31378</v>
      </c>
      <c r="I13331" t="s">
        <v>31386</v>
      </c>
      <c r="J13331" t="s">
        <v>38085</v>
      </c>
      <c r="K13331" t="s">
        <v>40679</v>
      </c>
      <c r="M13331" t="s">
        <v>44522</v>
      </c>
      <c r="N13331" t="s">
        <v>44905</v>
      </c>
      <c r="O13331" t="s">
        <v>44906</v>
      </c>
      <c r="P13331">
        <v>0</v>
      </c>
      <c r="Q13331">
        <v>22</v>
      </c>
      <c r="R13331" t="s">
        <v>44922</v>
      </c>
      <c r="S13331" t="s">
        <v>45639</v>
      </c>
      <c r="T13331" t="s">
        <v>46467</v>
      </c>
      <c r="U13331" t="s">
        <v>47543</v>
      </c>
      <c r="V13331" t="s">
        <v>60391</v>
      </c>
      <c r="W13331" t="s">
        <v>60849</v>
      </c>
      <c r="X13331" t="s">
        <v>44923</v>
      </c>
    </row>
    <row r="13332" spans="1:24">
      <c r="A13332">
        <f>HYPERLINK("https://www.philgeps.gov.ph/GEPSNONPILOT/Tender/SplashBidNoticeAbstractUI.aspx?menuIndex=3&amp;refID=7051861&amp;Result=3","7051861")</f>
        <v>0</v>
      </c>
      <c r="B13332" t="s">
        <v>533</v>
      </c>
      <c r="C13332" t="s">
        <v>16269</v>
      </c>
      <c r="D13332" t="s">
        <v>18136</v>
      </c>
      <c r="E13332" t="s">
        <v>28389</v>
      </c>
      <c r="F13332" t="s">
        <v>31362</v>
      </c>
      <c r="G13332" t="s">
        <v>31369</v>
      </c>
      <c r="H13332" t="s">
        <v>15799</v>
      </c>
      <c r="I13332" t="s">
        <v>3815</v>
      </c>
      <c r="J13332" t="s">
        <v>39599</v>
      </c>
      <c r="K13332" t="s">
        <v>40677</v>
      </c>
      <c r="M13332" t="s">
        <v>41489</v>
      </c>
      <c r="N13332" t="s">
        <v>44905</v>
      </c>
      <c r="O13332" t="s">
        <v>44906</v>
      </c>
      <c r="P13332">
        <v>0</v>
      </c>
      <c r="Q13332">
        <v>0</v>
      </c>
      <c r="R13332" t="s">
        <v>44922</v>
      </c>
      <c r="S13332" t="s">
        <v>45639</v>
      </c>
      <c r="T13332" t="s">
        <v>46498</v>
      </c>
      <c r="U13332" t="s">
        <v>57565</v>
      </c>
      <c r="V13332" t="s">
        <v>60565</v>
      </c>
      <c r="W13332" t="s">
        <v>41489</v>
      </c>
      <c r="X13332" t="s">
        <v>44923</v>
      </c>
    </row>
    <row r="13333" spans="1:24">
      <c r="A13333">
        <f>HYPERLINK("https://www.philgeps.gov.ph/GEPSNONPILOT/Tender/SplashBidNoticeAbstractUI.aspx?menuIndex=3&amp;refID=7051850&amp;Result=3","7051850")</f>
        <v>0</v>
      </c>
      <c r="B13333" t="s">
        <v>3350</v>
      </c>
      <c r="C13333" t="s">
        <v>16270</v>
      </c>
      <c r="D13333" t="s">
        <v>18123</v>
      </c>
      <c r="E13333" t="s">
        <v>24157</v>
      </c>
      <c r="F13333" t="s">
        <v>31362</v>
      </c>
      <c r="G13333" t="s">
        <v>31369</v>
      </c>
      <c r="H13333" t="s">
        <v>31378</v>
      </c>
      <c r="I13333" t="s">
        <v>31386</v>
      </c>
      <c r="J13333" t="s">
        <v>38085</v>
      </c>
      <c r="K13333" t="s">
        <v>40679</v>
      </c>
      <c r="M13333" t="s">
        <v>44648</v>
      </c>
      <c r="N13333" t="s">
        <v>44905</v>
      </c>
      <c r="O13333" t="s">
        <v>44906</v>
      </c>
      <c r="P13333">
        <v>0</v>
      </c>
      <c r="Q13333">
        <v>0</v>
      </c>
      <c r="R13333" t="s">
        <v>44922</v>
      </c>
      <c r="S13333" t="s">
        <v>45639</v>
      </c>
      <c r="T13333" t="s">
        <v>46506</v>
      </c>
      <c r="U13333" t="s">
        <v>57566</v>
      </c>
      <c r="W13333" t="s">
        <v>44648</v>
      </c>
      <c r="X13333" t="s">
        <v>44923</v>
      </c>
    </row>
    <row r="13334" spans="1:24">
      <c r="A13334">
        <f>HYPERLINK("https://www.philgeps.gov.ph/GEPSNONPILOT/Tender/SplashBidNoticeAbstractUI.aspx?menuIndex=3&amp;refID=7051882&amp;Result=3","7051882")</f>
        <v>0</v>
      </c>
      <c r="B13334" t="s">
        <v>906</v>
      </c>
      <c r="C13334" t="s">
        <v>16271</v>
      </c>
      <c r="E13334" t="s">
        <v>29720</v>
      </c>
      <c r="F13334" t="s">
        <v>31362</v>
      </c>
      <c r="G13334" t="s">
        <v>31369</v>
      </c>
      <c r="H13334" t="s">
        <v>31378</v>
      </c>
      <c r="I13334" t="s">
        <v>31386</v>
      </c>
      <c r="J13334" t="s">
        <v>39600</v>
      </c>
      <c r="K13334" t="s">
        <v>40662</v>
      </c>
      <c r="M13334" t="s">
        <v>41888</v>
      </c>
      <c r="N13334" t="s">
        <v>44905</v>
      </c>
      <c r="O13334" t="s">
        <v>44906</v>
      </c>
      <c r="Q13334">
        <v>3</v>
      </c>
      <c r="R13334" t="s">
        <v>44922</v>
      </c>
      <c r="S13334" t="s">
        <v>45711</v>
      </c>
      <c r="T13334" t="s">
        <v>46449</v>
      </c>
      <c r="U13334" t="s">
        <v>57567</v>
      </c>
      <c r="V13334" t="s">
        <v>60566</v>
      </c>
      <c r="W13334" t="s">
        <v>41888</v>
      </c>
      <c r="X13334" t="s">
        <v>44923</v>
      </c>
    </row>
    <row r="13335" spans="1:24">
      <c r="A13335">
        <f>HYPERLINK("https://www.philgeps.gov.ph/GEPSNONPILOT/Tender/SplashBidNoticeAbstractUI.aspx?menuIndex=3&amp;refID=7051695&amp;Result=3","7051695")</f>
        <v>0</v>
      </c>
      <c r="B13335" t="s">
        <v>2194</v>
      </c>
      <c r="C13335" t="s">
        <v>16272</v>
      </c>
      <c r="D13335" t="s">
        <v>18154</v>
      </c>
      <c r="E13335" t="s">
        <v>29721</v>
      </c>
      <c r="F13335" t="s">
        <v>31362</v>
      </c>
      <c r="G13335" t="s">
        <v>31369</v>
      </c>
      <c r="H13335" t="s">
        <v>15799</v>
      </c>
      <c r="I13335" t="s">
        <v>3815</v>
      </c>
      <c r="J13335" t="s">
        <v>39601</v>
      </c>
      <c r="K13335" t="s">
        <v>40661</v>
      </c>
      <c r="M13335" t="s">
        <v>43325</v>
      </c>
      <c r="N13335" t="s">
        <v>44905</v>
      </c>
      <c r="O13335" t="s">
        <v>44906</v>
      </c>
      <c r="P13335">
        <v>0</v>
      </c>
      <c r="Q13335">
        <v>0</v>
      </c>
      <c r="R13335" t="s">
        <v>44922</v>
      </c>
      <c r="S13335" t="s">
        <v>45639</v>
      </c>
      <c r="T13335" t="s">
        <v>46507</v>
      </c>
      <c r="U13335" t="s">
        <v>57568</v>
      </c>
      <c r="W13335" t="s">
        <v>43325</v>
      </c>
      <c r="X13335" t="s">
        <v>44923</v>
      </c>
    </row>
    <row r="13336" spans="1:24">
      <c r="A13336">
        <f>HYPERLINK("https://www.philgeps.gov.ph/GEPSNONPILOT/Tender/SplashBidNoticeAbstractUI.aspx?menuIndex=3&amp;refID=7051888&amp;Result=3","7051888")</f>
        <v>0</v>
      </c>
      <c r="B13336" t="s">
        <v>3347</v>
      </c>
      <c r="C13336" t="s">
        <v>16273</v>
      </c>
      <c r="D13336" t="s">
        <v>18134</v>
      </c>
      <c r="E13336" t="s">
        <v>19229</v>
      </c>
      <c r="F13336" t="s">
        <v>31362</v>
      </c>
      <c r="G13336" t="s">
        <v>31369</v>
      </c>
      <c r="H13336" t="s">
        <v>15799</v>
      </c>
      <c r="I13336" t="s">
        <v>3815</v>
      </c>
      <c r="J13336" t="s">
        <v>39602</v>
      </c>
      <c r="K13336" t="s">
        <v>40662</v>
      </c>
      <c r="M13336" t="s">
        <v>44645</v>
      </c>
      <c r="N13336" t="s">
        <v>44905</v>
      </c>
      <c r="O13336" t="s">
        <v>44906</v>
      </c>
      <c r="P13336">
        <v>0</v>
      </c>
      <c r="Q13336">
        <v>1</v>
      </c>
      <c r="R13336" t="s">
        <v>44922</v>
      </c>
      <c r="S13336" t="s">
        <v>45639</v>
      </c>
      <c r="T13336" t="s">
        <v>46549</v>
      </c>
      <c r="U13336" t="s">
        <v>57569</v>
      </c>
      <c r="W13336" t="s">
        <v>44645</v>
      </c>
      <c r="X13336" t="s">
        <v>44923</v>
      </c>
    </row>
    <row r="13337" spans="1:24">
      <c r="A13337">
        <f>HYPERLINK("https://www.philgeps.gov.ph/GEPSNONPILOT/Tender/SplashBidNoticeAbstractUI.aspx?menuIndex=3&amp;refID=7051879&amp;Result=3","7051879")</f>
        <v>0</v>
      </c>
      <c r="B13337" t="s">
        <v>3352</v>
      </c>
      <c r="C13337" t="s">
        <v>16274</v>
      </c>
      <c r="D13337" t="s">
        <v>18100</v>
      </c>
      <c r="E13337" t="s">
        <v>29722</v>
      </c>
      <c r="F13337" t="s">
        <v>31362</v>
      </c>
      <c r="G13337" t="s">
        <v>31369</v>
      </c>
      <c r="H13337" t="s">
        <v>31378</v>
      </c>
      <c r="I13337" t="s">
        <v>31386</v>
      </c>
      <c r="J13337" t="s">
        <v>39603</v>
      </c>
      <c r="K13337" t="s">
        <v>40915</v>
      </c>
      <c r="M13337" t="s">
        <v>44650</v>
      </c>
      <c r="N13337" t="s">
        <v>44905</v>
      </c>
      <c r="O13337" t="s">
        <v>44906</v>
      </c>
      <c r="P13337">
        <v>0</v>
      </c>
      <c r="Q13337">
        <v>6</v>
      </c>
      <c r="R13337" t="s">
        <v>44922</v>
      </c>
      <c r="S13337" t="s">
        <v>45639</v>
      </c>
      <c r="T13337" t="s">
        <v>46703</v>
      </c>
      <c r="U13337" t="s">
        <v>57570</v>
      </c>
      <c r="W13337" t="s">
        <v>44650</v>
      </c>
      <c r="X13337" t="s">
        <v>44923</v>
      </c>
    </row>
    <row r="13338" spans="1:24">
      <c r="A13338">
        <f>HYPERLINK("https://www.philgeps.gov.ph/GEPSNONPILOT/Tender/SplashBidNoticeAbstractUI.aspx?menuIndex=3&amp;refID=7051840&amp;Result=3","7051840")</f>
        <v>0</v>
      </c>
      <c r="B13338" t="s">
        <v>74</v>
      </c>
      <c r="C13338" t="s">
        <v>16275</v>
      </c>
      <c r="D13338" t="s">
        <v>18108</v>
      </c>
      <c r="E13338" t="s">
        <v>29723</v>
      </c>
      <c r="F13338" t="s">
        <v>31362</v>
      </c>
      <c r="G13338" t="s">
        <v>31369</v>
      </c>
      <c r="H13338" t="s">
        <v>15799</v>
      </c>
      <c r="I13338" t="s">
        <v>31493</v>
      </c>
      <c r="J13338" t="s">
        <v>31542</v>
      </c>
      <c r="K13338" t="s">
        <v>40662</v>
      </c>
      <c r="M13338" t="s">
        <v>44651</v>
      </c>
      <c r="N13338" t="s">
        <v>44905</v>
      </c>
      <c r="O13338" t="s">
        <v>44906</v>
      </c>
      <c r="P13338">
        <v>0</v>
      </c>
      <c r="Q13338">
        <v>2</v>
      </c>
      <c r="R13338" t="s">
        <v>44922</v>
      </c>
      <c r="S13338" t="s">
        <v>45639</v>
      </c>
      <c r="T13338" t="s">
        <v>46470</v>
      </c>
      <c r="U13338" t="s">
        <v>57571</v>
      </c>
      <c r="V13338" t="s">
        <v>60567</v>
      </c>
      <c r="W13338" t="s">
        <v>44651</v>
      </c>
      <c r="X13338" t="s">
        <v>44923</v>
      </c>
    </row>
    <row r="13339" spans="1:24">
      <c r="A13339">
        <f>HYPERLINK("https://www.philgeps.gov.ph/GEPSNONPILOT/Tender/SplashBidNoticeAbstractUI.aspx?menuIndex=3&amp;refID=7051821&amp;Result=3","7051821")</f>
        <v>0</v>
      </c>
      <c r="B13339" t="s">
        <v>1991</v>
      </c>
      <c r="C13339" t="s">
        <v>16276</v>
      </c>
      <c r="D13339" t="s">
        <v>18112</v>
      </c>
      <c r="E13339" t="s">
        <v>29724</v>
      </c>
      <c r="F13339" t="s">
        <v>31362</v>
      </c>
      <c r="G13339" t="s">
        <v>31369</v>
      </c>
      <c r="H13339" t="s">
        <v>31378</v>
      </c>
      <c r="I13339" t="s">
        <v>31386</v>
      </c>
      <c r="J13339" t="s">
        <v>39604</v>
      </c>
      <c r="K13339" t="s">
        <v>40682</v>
      </c>
      <c r="M13339" t="s">
        <v>43829</v>
      </c>
      <c r="N13339" t="s">
        <v>44905</v>
      </c>
      <c r="O13339" t="s">
        <v>44906</v>
      </c>
      <c r="P13339">
        <v>0</v>
      </c>
      <c r="Q13339">
        <v>2</v>
      </c>
      <c r="R13339" t="s">
        <v>44922</v>
      </c>
      <c r="S13339" t="s">
        <v>45639</v>
      </c>
      <c r="T13339" t="s">
        <v>46470</v>
      </c>
      <c r="U13339" t="s">
        <v>57572</v>
      </c>
      <c r="W13339" t="s">
        <v>43829</v>
      </c>
      <c r="X13339" t="s">
        <v>44923</v>
      </c>
    </row>
    <row r="13340" spans="1:24">
      <c r="A13340">
        <f>HYPERLINK("https://www.philgeps.gov.ph/GEPSNONPILOT/Tender/SplashBidNoticeAbstractUI.aspx?menuIndex=3&amp;refID=7051858&amp;Result=3","7051858")</f>
        <v>0</v>
      </c>
      <c r="B13340" t="s">
        <v>906</v>
      </c>
      <c r="C13340" t="s">
        <v>16277</v>
      </c>
      <c r="E13340" t="s">
        <v>29725</v>
      </c>
      <c r="F13340" t="s">
        <v>31362</v>
      </c>
      <c r="G13340" t="s">
        <v>31369</v>
      </c>
      <c r="H13340" t="s">
        <v>31378</v>
      </c>
      <c r="I13340" t="s">
        <v>31386</v>
      </c>
      <c r="J13340" t="s">
        <v>39605</v>
      </c>
      <c r="K13340" t="s">
        <v>40662</v>
      </c>
      <c r="M13340" t="s">
        <v>41888</v>
      </c>
      <c r="N13340" t="s">
        <v>44905</v>
      </c>
      <c r="O13340" t="s">
        <v>44906</v>
      </c>
      <c r="Q13340">
        <v>4</v>
      </c>
      <c r="R13340" t="s">
        <v>44922</v>
      </c>
      <c r="S13340" t="s">
        <v>45712</v>
      </c>
      <c r="T13340" t="s">
        <v>46449</v>
      </c>
      <c r="U13340" t="s">
        <v>57573</v>
      </c>
      <c r="V13340" t="s">
        <v>60568</v>
      </c>
      <c r="W13340" t="s">
        <v>41888</v>
      </c>
      <c r="X13340" t="s">
        <v>44923</v>
      </c>
    </row>
    <row r="13341" spans="1:24">
      <c r="A13341">
        <f>HYPERLINK("https://www.philgeps.gov.ph/GEPSNONPILOT/Tender/SplashBidNoticeAbstractUI.aspx?menuIndex=3&amp;refID=7051797&amp;Result=3","7051797")</f>
        <v>0</v>
      </c>
      <c r="B13341" t="s">
        <v>362</v>
      </c>
      <c r="C13341" t="s">
        <v>16278</v>
      </c>
      <c r="D13341" t="s">
        <v>18103</v>
      </c>
      <c r="E13341" t="s">
        <v>29726</v>
      </c>
      <c r="F13341" t="s">
        <v>31362</v>
      </c>
      <c r="G13341" t="s">
        <v>31369</v>
      </c>
      <c r="H13341" t="s">
        <v>31378</v>
      </c>
      <c r="I13341" t="s">
        <v>31386</v>
      </c>
      <c r="J13341" t="s">
        <v>31637</v>
      </c>
      <c r="K13341" t="s">
        <v>40746</v>
      </c>
      <c r="M13341" t="s">
        <v>43080</v>
      </c>
      <c r="N13341" t="s">
        <v>44905</v>
      </c>
      <c r="O13341" t="s">
        <v>44906</v>
      </c>
      <c r="P13341">
        <v>0</v>
      </c>
      <c r="Q13341">
        <v>23</v>
      </c>
      <c r="R13341" t="s">
        <v>44922</v>
      </c>
      <c r="S13341" t="s">
        <v>45639</v>
      </c>
      <c r="T13341" t="s">
        <v>46467</v>
      </c>
      <c r="U13341" t="s">
        <v>47543</v>
      </c>
      <c r="V13341" t="s">
        <v>60391</v>
      </c>
      <c r="W13341" t="s">
        <v>60886</v>
      </c>
      <c r="X13341" t="s">
        <v>44923</v>
      </c>
    </row>
    <row r="13342" spans="1:24">
      <c r="A13342">
        <f>HYPERLINK("https://www.philgeps.gov.ph/GEPSNONPILOT/Tender/SplashBidNoticeAbstractUI.aspx?menuIndex=3&amp;refID=7051823&amp;Result=3","7051823")</f>
        <v>0</v>
      </c>
      <c r="B13342" t="s">
        <v>1330</v>
      </c>
      <c r="C13342" t="s">
        <v>16279</v>
      </c>
      <c r="D13342" t="s">
        <v>18105</v>
      </c>
      <c r="E13342" t="s">
        <v>29727</v>
      </c>
      <c r="F13342" t="s">
        <v>31362</v>
      </c>
      <c r="G13342" t="s">
        <v>31369</v>
      </c>
      <c r="H13342" t="s">
        <v>15799</v>
      </c>
      <c r="I13342" t="s">
        <v>31393</v>
      </c>
      <c r="J13342" t="s">
        <v>37974</v>
      </c>
      <c r="K13342" t="s">
        <v>40665</v>
      </c>
      <c r="M13342" t="s">
        <v>42348</v>
      </c>
      <c r="N13342" t="s">
        <v>44905</v>
      </c>
      <c r="O13342" t="s">
        <v>44906</v>
      </c>
      <c r="Q13342">
        <v>11</v>
      </c>
      <c r="R13342" t="s">
        <v>44922</v>
      </c>
      <c r="S13342" t="s">
        <v>45713</v>
      </c>
      <c r="T13342" t="s">
        <v>46590</v>
      </c>
      <c r="U13342" t="s">
        <v>57574</v>
      </c>
      <c r="W13342" t="s">
        <v>42348</v>
      </c>
      <c r="X13342" t="s">
        <v>44923</v>
      </c>
    </row>
    <row r="13343" spans="1:24">
      <c r="A13343">
        <f>HYPERLINK("https://www.philgeps.gov.ph/GEPSNONPILOT/Tender/SplashBidNoticeAbstractUI.aspx?menuIndex=3&amp;refID=7051824&amp;Result=3","7051824")</f>
        <v>0</v>
      </c>
      <c r="B13343" t="s">
        <v>1170</v>
      </c>
      <c r="C13343" t="s">
        <v>16280</v>
      </c>
      <c r="D13343" t="s">
        <v>18138</v>
      </c>
      <c r="E13343" t="s">
        <v>19632</v>
      </c>
      <c r="F13343" t="s">
        <v>31362</v>
      </c>
      <c r="G13343" t="s">
        <v>31369</v>
      </c>
      <c r="H13343" t="s">
        <v>31378</v>
      </c>
      <c r="I13343" t="s">
        <v>31386</v>
      </c>
      <c r="J13343" t="s">
        <v>31542</v>
      </c>
      <c r="K13343" t="s">
        <v>40679</v>
      </c>
      <c r="M13343" t="s">
        <v>42180</v>
      </c>
      <c r="N13343" t="s">
        <v>44905</v>
      </c>
      <c r="O13343" t="s">
        <v>44906</v>
      </c>
      <c r="P13343">
        <v>0</v>
      </c>
      <c r="Q13343">
        <v>2</v>
      </c>
      <c r="R13343" t="s">
        <v>44922</v>
      </c>
      <c r="S13343" t="s">
        <v>45639</v>
      </c>
      <c r="T13343" t="s">
        <v>46397</v>
      </c>
      <c r="U13343" t="s">
        <v>57557</v>
      </c>
      <c r="W13343" t="s">
        <v>42180</v>
      </c>
      <c r="X13343" t="s">
        <v>44923</v>
      </c>
    </row>
    <row r="13344" spans="1:24">
      <c r="A13344">
        <f>HYPERLINK("https://www.philgeps.gov.ph/GEPSNONPILOT/Tender/SplashBidNoticeAbstractUI.aspx?menuIndex=3&amp;refID=7051893&amp;Result=3","7051893")</f>
        <v>0</v>
      </c>
      <c r="B13344" t="s">
        <v>3353</v>
      </c>
      <c r="C13344" t="s">
        <v>16281</v>
      </c>
      <c r="D13344" t="s">
        <v>18134</v>
      </c>
      <c r="E13344" t="s">
        <v>29728</v>
      </c>
      <c r="F13344" t="s">
        <v>31362</v>
      </c>
      <c r="G13344" t="s">
        <v>31369</v>
      </c>
      <c r="H13344" t="s">
        <v>15799</v>
      </c>
      <c r="I13344" t="s">
        <v>7188</v>
      </c>
      <c r="J13344" t="s">
        <v>32391</v>
      </c>
      <c r="K13344" t="s">
        <v>40666</v>
      </c>
      <c r="M13344" t="s">
        <v>44652</v>
      </c>
      <c r="N13344" t="s">
        <v>44905</v>
      </c>
      <c r="O13344" t="s">
        <v>44906</v>
      </c>
      <c r="P13344">
        <v>0</v>
      </c>
      <c r="Q13344">
        <v>6</v>
      </c>
      <c r="R13344" t="s">
        <v>44922</v>
      </c>
      <c r="S13344" t="s">
        <v>45639</v>
      </c>
      <c r="T13344" t="s">
        <v>46692</v>
      </c>
      <c r="U13344" t="s">
        <v>57575</v>
      </c>
      <c r="W13344" t="s">
        <v>44652</v>
      </c>
      <c r="X13344" t="s">
        <v>44923</v>
      </c>
    </row>
    <row r="13345" spans="1:24">
      <c r="A13345">
        <f>HYPERLINK("https://www.philgeps.gov.ph/GEPSNONPILOT/Tender/SplashBidNoticeAbstractUI.aspx?menuIndex=3&amp;refID=7052017&amp;Result=3","7052017")</f>
        <v>0</v>
      </c>
      <c r="B13345" t="s">
        <v>459</v>
      </c>
      <c r="C13345" t="s">
        <v>16282</v>
      </c>
      <c r="D13345" t="s">
        <v>18170</v>
      </c>
      <c r="E13345" t="s">
        <v>23316</v>
      </c>
      <c r="F13345" t="s">
        <v>31362</v>
      </c>
      <c r="G13345" t="s">
        <v>31369</v>
      </c>
      <c r="H13345" t="s">
        <v>31378</v>
      </c>
      <c r="I13345" t="s">
        <v>31386</v>
      </c>
      <c r="J13345" t="s">
        <v>33444</v>
      </c>
      <c r="K13345" t="s">
        <v>40682</v>
      </c>
      <c r="M13345" t="s">
        <v>41413</v>
      </c>
      <c r="N13345" t="s">
        <v>44905</v>
      </c>
      <c r="O13345" t="s">
        <v>44906</v>
      </c>
      <c r="P13345">
        <v>0</v>
      </c>
      <c r="Q13345">
        <v>2</v>
      </c>
      <c r="R13345" t="s">
        <v>44922</v>
      </c>
      <c r="S13345" t="s">
        <v>45639</v>
      </c>
      <c r="T13345" t="s">
        <v>46460</v>
      </c>
      <c r="U13345" t="s">
        <v>57576</v>
      </c>
      <c r="W13345" t="s">
        <v>41413</v>
      </c>
      <c r="X13345" t="s">
        <v>44923</v>
      </c>
    </row>
    <row r="13346" spans="1:24">
      <c r="A13346">
        <f>HYPERLINK("https://www.philgeps.gov.ph/GEPSNONPILOT/Tender/SplashBidNoticeAbstractUI.aspx?menuIndex=3&amp;refID=7051844&amp;Result=3","7051844")</f>
        <v>0</v>
      </c>
      <c r="B13346" t="s">
        <v>1473</v>
      </c>
      <c r="C13346" t="s">
        <v>16283</v>
      </c>
      <c r="D13346" t="s">
        <v>18106</v>
      </c>
      <c r="E13346" t="s">
        <v>16283</v>
      </c>
      <c r="F13346" t="s">
        <v>31362</v>
      </c>
      <c r="G13346" t="s">
        <v>31368</v>
      </c>
      <c r="H13346" t="s">
        <v>15799</v>
      </c>
      <c r="I13346" t="s">
        <v>31404</v>
      </c>
      <c r="J13346" t="s">
        <v>39606</v>
      </c>
      <c r="K13346" t="s">
        <v>40670</v>
      </c>
      <c r="M13346" t="s">
        <v>42507</v>
      </c>
      <c r="N13346" t="s">
        <v>44905</v>
      </c>
      <c r="O13346" t="s">
        <v>44906</v>
      </c>
      <c r="P13346">
        <v>0</v>
      </c>
      <c r="Q13346">
        <v>0</v>
      </c>
      <c r="R13346" t="s">
        <v>44922</v>
      </c>
      <c r="S13346" t="s">
        <v>45639</v>
      </c>
      <c r="T13346" t="s">
        <v>46470</v>
      </c>
      <c r="U13346" t="s">
        <v>50358</v>
      </c>
      <c r="W13346" t="s">
        <v>42507</v>
      </c>
      <c r="X13346" t="s">
        <v>44923</v>
      </c>
    </row>
    <row r="13347" spans="1:24">
      <c r="A13347">
        <f>HYPERLINK("https://www.philgeps.gov.ph/GEPSNONPILOT/Tender/SplashBidNoticeAbstractUI.aspx?menuIndex=3&amp;refID=7051818&amp;Result=3","7051818")</f>
        <v>0</v>
      </c>
      <c r="B13347" t="s">
        <v>1473</v>
      </c>
      <c r="C13347" t="s">
        <v>16284</v>
      </c>
      <c r="D13347" t="s">
        <v>18106</v>
      </c>
      <c r="E13347" t="s">
        <v>16284</v>
      </c>
      <c r="F13347" t="s">
        <v>31362</v>
      </c>
      <c r="G13347" t="s">
        <v>31368</v>
      </c>
      <c r="H13347" t="s">
        <v>15799</v>
      </c>
      <c r="I13347" t="s">
        <v>31404</v>
      </c>
      <c r="J13347" t="s">
        <v>39607</v>
      </c>
      <c r="K13347" t="s">
        <v>40670</v>
      </c>
      <c r="M13347" t="s">
        <v>42507</v>
      </c>
      <c r="N13347" t="s">
        <v>44905</v>
      </c>
      <c r="O13347" t="s">
        <v>44906</v>
      </c>
      <c r="P13347">
        <v>0</v>
      </c>
      <c r="Q13347">
        <v>0</v>
      </c>
      <c r="R13347" t="s">
        <v>44922</v>
      </c>
      <c r="S13347" t="s">
        <v>45639</v>
      </c>
      <c r="T13347" t="s">
        <v>46470</v>
      </c>
      <c r="U13347" t="s">
        <v>50358</v>
      </c>
      <c r="W13347" t="s">
        <v>42507</v>
      </c>
      <c r="X13347" t="s">
        <v>44923</v>
      </c>
    </row>
    <row r="13348" spans="1:24">
      <c r="A13348">
        <f>HYPERLINK("https://www.philgeps.gov.ph/GEPSNONPILOT/Tender/SplashBidNoticeAbstractUI.aspx?menuIndex=3&amp;refID=7052011&amp;Result=3","7052011")</f>
        <v>0</v>
      </c>
      <c r="B13348" t="s">
        <v>626</v>
      </c>
      <c r="C13348" t="s">
        <v>16285</v>
      </c>
      <c r="D13348" t="s">
        <v>18158</v>
      </c>
      <c r="E13348" t="s">
        <v>19064</v>
      </c>
      <c r="F13348" t="s">
        <v>31362</v>
      </c>
      <c r="G13348" t="s">
        <v>31369</v>
      </c>
      <c r="H13348" t="s">
        <v>31378</v>
      </c>
      <c r="I13348" t="s">
        <v>31386</v>
      </c>
      <c r="J13348" t="s">
        <v>39608</v>
      </c>
      <c r="K13348" t="s">
        <v>40679</v>
      </c>
      <c r="M13348" t="s">
        <v>41585</v>
      </c>
      <c r="N13348" t="s">
        <v>44905</v>
      </c>
      <c r="O13348" t="s">
        <v>44906</v>
      </c>
      <c r="P13348">
        <v>0</v>
      </c>
      <c r="Q13348">
        <v>1</v>
      </c>
      <c r="R13348" t="s">
        <v>44922</v>
      </c>
      <c r="S13348" t="s">
        <v>45639</v>
      </c>
      <c r="T13348" t="s">
        <v>46507</v>
      </c>
      <c r="U13348" t="s">
        <v>57577</v>
      </c>
      <c r="W13348" t="s">
        <v>41585</v>
      </c>
      <c r="X13348" t="s">
        <v>44923</v>
      </c>
    </row>
    <row r="13349" spans="1:24">
      <c r="A13349">
        <f>HYPERLINK("https://www.philgeps.gov.ph/GEPSNONPILOT/Tender/SplashBidNoticeAbstractUI.aspx?menuIndex=3&amp;refID=7052001&amp;Result=3","7052001")</f>
        <v>0</v>
      </c>
      <c r="B13349" t="s">
        <v>1156</v>
      </c>
      <c r="C13349" t="s">
        <v>16286</v>
      </c>
      <c r="D13349" t="s">
        <v>18111</v>
      </c>
      <c r="E13349" t="s">
        <v>29729</v>
      </c>
      <c r="F13349" t="s">
        <v>31362</v>
      </c>
      <c r="G13349" t="s">
        <v>31369</v>
      </c>
      <c r="H13349" t="s">
        <v>15799</v>
      </c>
      <c r="I13349" t="s">
        <v>31380</v>
      </c>
      <c r="J13349" t="s">
        <v>39609</v>
      </c>
      <c r="K13349" t="s">
        <v>40662</v>
      </c>
      <c r="M13349" t="s">
        <v>42165</v>
      </c>
      <c r="N13349" t="s">
        <v>44905</v>
      </c>
      <c r="O13349" t="s">
        <v>44906</v>
      </c>
      <c r="P13349">
        <v>0</v>
      </c>
      <c r="Q13349">
        <v>2</v>
      </c>
      <c r="R13349" t="s">
        <v>44922</v>
      </c>
      <c r="S13349" t="s">
        <v>45639</v>
      </c>
      <c r="T13349" t="s">
        <v>46447</v>
      </c>
      <c r="U13349" t="s">
        <v>57578</v>
      </c>
      <c r="W13349" t="s">
        <v>60885</v>
      </c>
      <c r="X13349" t="s">
        <v>44923</v>
      </c>
    </row>
    <row r="13350" spans="1:24">
      <c r="A13350">
        <f>HYPERLINK("https://www.philgeps.gov.ph/GEPSNONPILOT/Tender/SplashBidNoticeAbstractUI.aspx?menuIndex=3&amp;refID=7051991&amp;Result=3","7051991")</f>
        <v>0</v>
      </c>
      <c r="B13350" t="s">
        <v>3247</v>
      </c>
      <c r="C13350" t="s">
        <v>16287</v>
      </c>
      <c r="D13350" t="s">
        <v>18148</v>
      </c>
      <c r="E13350" t="s">
        <v>29730</v>
      </c>
      <c r="F13350" t="s">
        <v>31362</v>
      </c>
      <c r="G13350" t="s">
        <v>31369</v>
      </c>
      <c r="H13350" t="s">
        <v>15799</v>
      </c>
      <c r="I13350" t="s">
        <v>31455</v>
      </c>
      <c r="J13350" t="s">
        <v>31738</v>
      </c>
      <c r="K13350" t="s">
        <v>40665</v>
      </c>
      <c r="M13350" t="s">
        <v>44527</v>
      </c>
      <c r="N13350" t="s">
        <v>44905</v>
      </c>
      <c r="O13350" t="s">
        <v>44906</v>
      </c>
      <c r="P13350">
        <v>0</v>
      </c>
      <c r="Q13350">
        <v>1</v>
      </c>
      <c r="R13350" t="s">
        <v>44922</v>
      </c>
      <c r="S13350" t="s">
        <v>45639</v>
      </c>
      <c r="T13350" t="s">
        <v>46410</v>
      </c>
      <c r="U13350" t="s">
        <v>57579</v>
      </c>
      <c r="V13350" t="s">
        <v>60569</v>
      </c>
      <c r="W13350" t="s">
        <v>44527</v>
      </c>
      <c r="X13350" t="s">
        <v>44923</v>
      </c>
    </row>
    <row r="13351" spans="1:24">
      <c r="A13351">
        <f>HYPERLINK("https://www.philgeps.gov.ph/GEPSNONPILOT/Tender/SplashBidNoticeAbstractUI.aspx?menuIndex=3&amp;refID=7051980&amp;Result=3","7051980")</f>
        <v>0</v>
      </c>
      <c r="B13351" t="s">
        <v>533</v>
      </c>
      <c r="C13351" t="s">
        <v>16288</v>
      </c>
      <c r="D13351" t="s">
        <v>18136</v>
      </c>
      <c r="E13351" t="s">
        <v>20130</v>
      </c>
      <c r="F13351" t="s">
        <v>31362</v>
      </c>
      <c r="G13351" t="s">
        <v>31369</v>
      </c>
      <c r="H13351" t="s">
        <v>15799</v>
      </c>
      <c r="I13351" t="s">
        <v>13635</v>
      </c>
      <c r="J13351" t="s">
        <v>39610</v>
      </c>
      <c r="K13351" t="s">
        <v>40677</v>
      </c>
      <c r="M13351" t="s">
        <v>41489</v>
      </c>
      <c r="N13351" t="s">
        <v>44905</v>
      </c>
      <c r="O13351" t="s">
        <v>44906</v>
      </c>
      <c r="P13351">
        <v>0</v>
      </c>
      <c r="Q13351">
        <v>1</v>
      </c>
      <c r="R13351" t="s">
        <v>44922</v>
      </c>
      <c r="S13351" t="s">
        <v>45639</v>
      </c>
      <c r="T13351" t="s">
        <v>46498</v>
      </c>
      <c r="U13351" t="s">
        <v>57580</v>
      </c>
      <c r="V13351" t="s">
        <v>60565</v>
      </c>
      <c r="W13351" t="s">
        <v>41489</v>
      </c>
      <c r="X13351" t="s">
        <v>44923</v>
      </c>
    </row>
    <row r="13352" spans="1:24">
      <c r="A13352">
        <f>HYPERLINK("https://www.philgeps.gov.ph/GEPSNONPILOT/Tender/SplashBidNoticeAbstractUI.aspx?menuIndex=3&amp;refID=7051979&amp;Result=3","7051979")</f>
        <v>0</v>
      </c>
      <c r="B13352" t="s">
        <v>3354</v>
      </c>
      <c r="C13352" t="s">
        <v>16289</v>
      </c>
      <c r="D13352" t="s">
        <v>18127</v>
      </c>
      <c r="E13352" t="s">
        <v>27405</v>
      </c>
      <c r="F13352" t="s">
        <v>31362</v>
      </c>
      <c r="G13352" t="s">
        <v>31369</v>
      </c>
      <c r="H13352" t="s">
        <v>31378</v>
      </c>
      <c r="I13352" t="s">
        <v>31392</v>
      </c>
      <c r="J13352" t="s">
        <v>39611</v>
      </c>
      <c r="K13352" t="s">
        <v>40679</v>
      </c>
      <c r="M13352" t="s">
        <v>44653</v>
      </c>
      <c r="N13352" t="s">
        <v>44905</v>
      </c>
      <c r="O13352" t="s">
        <v>44906</v>
      </c>
      <c r="P13352">
        <v>0</v>
      </c>
      <c r="Q13352">
        <v>2</v>
      </c>
      <c r="R13352" t="s">
        <v>44922</v>
      </c>
      <c r="S13352" t="s">
        <v>45639</v>
      </c>
      <c r="T13352" t="s">
        <v>46426</v>
      </c>
      <c r="U13352" t="s">
        <v>57581</v>
      </c>
      <c r="W13352" t="s">
        <v>44653</v>
      </c>
      <c r="X13352" t="s">
        <v>44923</v>
      </c>
    </row>
    <row r="13353" spans="1:24">
      <c r="A13353">
        <f>HYPERLINK("https://www.philgeps.gov.ph/GEPSNONPILOT/Tender/SplashBidNoticeAbstractUI.aspx?menuIndex=3&amp;refID=7051963&amp;Result=3","7051963")</f>
        <v>0</v>
      </c>
      <c r="B13353" t="s">
        <v>626</v>
      </c>
      <c r="C13353" t="s">
        <v>16290</v>
      </c>
      <c r="D13353" t="s">
        <v>18158</v>
      </c>
      <c r="E13353" t="s">
        <v>19064</v>
      </c>
      <c r="F13353" t="s">
        <v>31362</v>
      </c>
      <c r="G13353" t="s">
        <v>31369</v>
      </c>
      <c r="H13353" t="s">
        <v>31378</v>
      </c>
      <c r="I13353" t="s">
        <v>31386</v>
      </c>
      <c r="J13353" t="s">
        <v>39612</v>
      </c>
      <c r="K13353" t="s">
        <v>40686</v>
      </c>
      <c r="M13353" t="s">
        <v>41585</v>
      </c>
      <c r="N13353" t="s">
        <v>44905</v>
      </c>
      <c r="O13353" t="s">
        <v>44906</v>
      </c>
      <c r="P13353">
        <v>0</v>
      </c>
      <c r="Q13353">
        <v>1</v>
      </c>
      <c r="R13353" t="s">
        <v>44922</v>
      </c>
      <c r="S13353" t="s">
        <v>45639</v>
      </c>
      <c r="T13353" t="s">
        <v>46507</v>
      </c>
      <c r="U13353" t="s">
        <v>57582</v>
      </c>
      <c r="W13353" t="s">
        <v>41585</v>
      </c>
      <c r="X13353" t="s">
        <v>44923</v>
      </c>
    </row>
    <row r="13354" spans="1:24">
      <c r="A13354">
        <f>HYPERLINK("https://www.philgeps.gov.ph/GEPSNONPILOT/Tender/SplashBidNoticeAbstractUI.aspx?menuIndex=3&amp;refID=7052018&amp;Result=3","7052018")</f>
        <v>0</v>
      </c>
      <c r="B13354" t="s">
        <v>3355</v>
      </c>
      <c r="C13354" t="s">
        <v>16291</v>
      </c>
      <c r="D13354" t="s">
        <v>18134</v>
      </c>
      <c r="E13354" t="s">
        <v>29731</v>
      </c>
      <c r="F13354" t="s">
        <v>31362</v>
      </c>
      <c r="G13354" t="s">
        <v>31369</v>
      </c>
      <c r="H13354" t="s">
        <v>15799</v>
      </c>
      <c r="I13354" t="s">
        <v>31380</v>
      </c>
      <c r="J13354" t="s">
        <v>39613</v>
      </c>
      <c r="K13354" t="s">
        <v>40677</v>
      </c>
      <c r="M13354" t="s">
        <v>44654</v>
      </c>
      <c r="N13354" t="s">
        <v>44905</v>
      </c>
      <c r="O13354" t="s">
        <v>44906</v>
      </c>
      <c r="P13354">
        <v>0</v>
      </c>
      <c r="Q13354">
        <v>4</v>
      </c>
      <c r="R13354" t="s">
        <v>44922</v>
      </c>
      <c r="S13354" t="s">
        <v>45639</v>
      </c>
      <c r="T13354" t="s">
        <v>46435</v>
      </c>
      <c r="U13354" t="s">
        <v>57583</v>
      </c>
      <c r="W13354" t="s">
        <v>44654</v>
      </c>
      <c r="X13354" t="s">
        <v>44923</v>
      </c>
    </row>
    <row r="13355" spans="1:24">
      <c r="A13355">
        <f>HYPERLINK("https://www.philgeps.gov.ph/GEPSNONPILOT/Tender/SplashBidNoticeAbstractUI.aspx?menuIndex=3&amp;refID=7052020&amp;Result=3","7052020")</f>
        <v>0</v>
      </c>
      <c r="B13355" t="s">
        <v>669</v>
      </c>
      <c r="C13355" t="s">
        <v>16292</v>
      </c>
      <c r="D13355" t="s">
        <v>18143</v>
      </c>
      <c r="E13355" t="s">
        <v>29732</v>
      </c>
      <c r="F13355" t="s">
        <v>31362</v>
      </c>
      <c r="G13355" t="s">
        <v>31369</v>
      </c>
      <c r="H13355" t="s">
        <v>15799</v>
      </c>
      <c r="I13355" t="s">
        <v>31382</v>
      </c>
      <c r="J13355" t="s">
        <v>31625</v>
      </c>
      <c r="K13355" t="s">
        <v>40682</v>
      </c>
      <c r="M13355" t="s">
        <v>41631</v>
      </c>
      <c r="N13355" t="s">
        <v>44905</v>
      </c>
      <c r="O13355" t="s">
        <v>44906</v>
      </c>
      <c r="P13355">
        <v>0</v>
      </c>
      <c r="Q13355">
        <v>15</v>
      </c>
      <c r="R13355" t="s">
        <v>44922</v>
      </c>
      <c r="S13355" t="s">
        <v>45639</v>
      </c>
      <c r="T13355" t="s">
        <v>46503</v>
      </c>
      <c r="U13355" t="s">
        <v>57584</v>
      </c>
      <c r="W13355" t="s">
        <v>41631</v>
      </c>
      <c r="X13355" t="s">
        <v>44923</v>
      </c>
    </row>
    <row r="13356" spans="1:24">
      <c r="A13356">
        <f>HYPERLINK("https://www.philgeps.gov.ph/GEPSNONPILOT/Tender/SplashBidNoticeAbstractUI.aspx?menuIndex=3&amp;refID=7052139&amp;Result=3","7052139")</f>
        <v>0</v>
      </c>
      <c r="B13356" t="s">
        <v>2983</v>
      </c>
      <c r="C13356" t="s">
        <v>16293</v>
      </c>
      <c r="D13356" t="s">
        <v>18169</v>
      </c>
      <c r="E13356" t="s">
        <v>29733</v>
      </c>
      <c r="F13356" t="s">
        <v>31362</v>
      </c>
      <c r="G13356" t="s">
        <v>31369</v>
      </c>
      <c r="H13356" t="s">
        <v>15799</v>
      </c>
      <c r="I13356" t="s">
        <v>31395</v>
      </c>
      <c r="J13356" t="s">
        <v>33271</v>
      </c>
      <c r="K13356" t="s">
        <v>40665</v>
      </c>
      <c r="M13356" t="s">
        <v>44207</v>
      </c>
      <c r="N13356" t="s">
        <v>44905</v>
      </c>
      <c r="O13356" t="s">
        <v>44906</v>
      </c>
      <c r="P13356">
        <v>0</v>
      </c>
      <c r="Q13356">
        <v>4</v>
      </c>
      <c r="R13356" t="s">
        <v>44922</v>
      </c>
      <c r="S13356" t="s">
        <v>45639</v>
      </c>
      <c r="T13356" t="s">
        <v>46480</v>
      </c>
      <c r="U13356" t="s">
        <v>57585</v>
      </c>
      <c r="V13356" t="s">
        <v>60570</v>
      </c>
      <c r="W13356" t="s">
        <v>60952</v>
      </c>
      <c r="X13356" t="s">
        <v>44923</v>
      </c>
    </row>
    <row r="13357" spans="1:24">
      <c r="A13357">
        <f>HYPERLINK("https://www.philgeps.gov.ph/GEPSNONPILOT/Tender/SplashBidNoticeAbstractUI.aspx?menuIndex=3&amp;refID=7052173&amp;Result=3","7052173")</f>
        <v>0</v>
      </c>
      <c r="B13357" t="s">
        <v>1853</v>
      </c>
      <c r="C13357" t="s">
        <v>16294</v>
      </c>
      <c r="D13357" t="s">
        <v>18133</v>
      </c>
      <c r="E13357" t="s">
        <v>29734</v>
      </c>
      <c r="F13357" t="s">
        <v>31362</v>
      </c>
      <c r="G13357" t="s">
        <v>31369</v>
      </c>
      <c r="H13357" t="s">
        <v>31378</v>
      </c>
      <c r="I13357" t="s">
        <v>31386</v>
      </c>
      <c r="J13357" t="s">
        <v>39614</v>
      </c>
      <c r="K13357" t="s">
        <v>40682</v>
      </c>
      <c r="M13357" t="s">
        <v>42943</v>
      </c>
      <c r="N13357" t="s">
        <v>44905</v>
      </c>
      <c r="O13357" t="s">
        <v>44906</v>
      </c>
      <c r="P13357">
        <v>0</v>
      </c>
      <c r="Q13357">
        <v>0</v>
      </c>
      <c r="R13357" t="s">
        <v>44922</v>
      </c>
      <c r="S13357" t="s">
        <v>45639</v>
      </c>
      <c r="T13357" t="s">
        <v>46400</v>
      </c>
      <c r="U13357" t="s">
        <v>57586</v>
      </c>
      <c r="V13357" t="s">
        <v>60571</v>
      </c>
      <c r="W13357" t="s">
        <v>42943</v>
      </c>
      <c r="X13357" t="s">
        <v>44923</v>
      </c>
    </row>
    <row r="13358" spans="1:24">
      <c r="A13358">
        <f>HYPERLINK("https://www.philgeps.gov.ph/GEPSNONPILOT/Tender/SplashBidNoticeAbstractUI.aspx?menuIndex=3&amp;refID=7051999&amp;Result=3","7051999")</f>
        <v>0</v>
      </c>
      <c r="B13358" t="s">
        <v>362</v>
      </c>
      <c r="C13358" t="s">
        <v>16295</v>
      </c>
      <c r="D13358" t="s">
        <v>18103</v>
      </c>
      <c r="E13358" t="s">
        <v>29735</v>
      </c>
      <c r="F13358" t="s">
        <v>31362</v>
      </c>
      <c r="G13358" t="s">
        <v>31369</v>
      </c>
      <c r="H13358" t="s">
        <v>31378</v>
      </c>
      <c r="I13358" t="s">
        <v>31386</v>
      </c>
      <c r="J13358" t="s">
        <v>39615</v>
      </c>
      <c r="K13358" t="s">
        <v>40679</v>
      </c>
      <c r="M13358" t="s">
        <v>43093</v>
      </c>
      <c r="N13358" t="s">
        <v>44905</v>
      </c>
      <c r="O13358" t="s">
        <v>44906</v>
      </c>
      <c r="P13358">
        <v>0</v>
      </c>
      <c r="Q13358">
        <v>23</v>
      </c>
      <c r="R13358" t="s">
        <v>44922</v>
      </c>
      <c r="S13358" t="s">
        <v>45639</v>
      </c>
      <c r="T13358" t="s">
        <v>46467</v>
      </c>
      <c r="U13358" t="s">
        <v>47543</v>
      </c>
      <c r="V13358" t="s">
        <v>60391</v>
      </c>
      <c r="W13358" t="s">
        <v>60849</v>
      </c>
      <c r="X13358" t="s">
        <v>44923</v>
      </c>
    </row>
    <row r="13359" spans="1:24">
      <c r="A13359">
        <f>HYPERLINK("https://www.philgeps.gov.ph/GEPSNONPILOT/Tender/SplashBidNoticeAbstractUI.aspx?menuIndex=3&amp;refID=7052171&amp;Result=3","7052171")</f>
        <v>0</v>
      </c>
      <c r="B13359" t="s">
        <v>783</v>
      </c>
      <c r="C13359" t="s">
        <v>16296</v>
      </c>
      <c r="D13359" t="s">
        <v>18140</v>
      </c>
      <c r="E13359" t="s">
        <v>28397</v>
      </c>
      <c r="F13359" t="s">
        <v>31362</v>
      </c>
      <c r="G13359" t="s">
        <v>31369</v>
      </c>
      <c r="H13359" t="s">
        <v>31378</v>
      </c>
      <c r="I13359" t="s">
        <v>31386</v>
      </c>
      <c r="J13359" t="s">
        <v>39616</v>
      </c>
      <c r="K13359" t="s">
        <v>40750</v>
      </c>
      <c r="M13359" t="s">
        <v>41753</v>
      </c>
      <c r="N13359" t="s">
        <v>44905</v>
      </c>
      <c r="O13359" t="s">
        <v>44906</v>
      </c>
      <c r="P13359">
        <v>0</v>
      </c>
      <c r="Q13359">
        <v>1</v>
      </c>
      <c r="R13359" t="s">
        <v>44922</v>
      </c>
      <c r="S13359" t="s">
        <v>45639</v>
      </c>
      <c r="T13359" t="s">
        <v>46498</v>
      </c>
      <c r="U13359" t="s">
        <v>57587</v>
      </c>
      <c r="V13359" t="s">
        <v>60572</v>
      </c>
      <c r="W13359" t="s">
        <v>41753</v>
      </c>
      <c r="X13359" t="s">
        <v>44923</v>
      </c>
    </row>
    <row r="13360" spans="1:24">
      <c r="A13360">
        <f>HYPERLINK("https://www.philgeps.gov.ph/GEPSNONPILOT/Tender/SplashBidNoticeAbstractUI.aspx?menuIndex=3&amp;refID=7051976&amp;Result=3","7051976")</f>
        <v>0</v>
      </c>
      <c r="B13360" t="s">
        <v>3356</v>
      </c>
      <c r="C13360" t="s">
        <v>16297</v>
      </c>
      <c r="D13360" t="s">
        <v>18134</v>
      </c>
      <c r="E13360" t="s">
        <v>23536</v>
      </c>
      <c r="F13360" t="s">
        <v>31362</v>
      </c>
      <c r="G13360" t="s">
        <v>31369</v>
      </c>
      <c r="H13360" t="s">
        <v>15799</v>
      </c>
      <c r="I13360" t="s">
        <v>31409</v>
      </c>
      <c r="J13360" t="s">
        <v>39617</v>
      </c>
      <c r="K13360" t="s">
        <v>40682</v>
      </c>
      <c r="M13360" t="s">
        <v>44655</v>
      </c>
      <c r="N13360" t="s">
        <v>44905</v>
      </c>
      <c r="O13360" t="s">
        <v>44906</v>
      </c>
      <c r="P13360">
        <v>0</v>
      </c>
      <c r="Q13360">
        <v>4</v>
      </c>
      <c r="R13360" t="s">
        <v>44922</v>
      </c>
      <c r="S13360" t="s">
        <v>45639</v>
      </c>
      <c r="T13360" t="s">
        <v>46435</v>
      </c>
      <c r="U13360" t="s">
        <v>57588</v>
      </c>
      <c r="V13360" t="s">
        <v>60573</v>
      </c>
      <c r="W13360" t="s">
        <v>44655</v>
      </c>
      <c r="X13360" t="s">
        <v>44923</v>
      </c>
    </row>
    <row r="13361" spans="1:24">
      <c r="A13361">
        <f>HYPERLINK("https://www.philgeps.gov.ph/GEPSNONPILOT/Tender/SplashBidNoticeAbstractUI.aspx?menuIndex=3&amp;refID=7052166&amp;Result=3","7052166")</f>
        <v>0</v>
      </c>
      <c r="B13361" t="s">
        <v>3257</v>
      </c>
      <c r="C13361" t="s">
        <v>16298</v>
      </c>
      <c r="D13361" t="s">
        <v>18136</v>
      </c>
      <c r="E13361" t="s">
        <v>29736</v>
      </c>
      <c r="F13361" t="s">
        <v>31362</v>
      </c>
      <c r="G13361" t="s">
        <v>31369</v>
      </c>
      <c r="H13361" t="s">
        <v>15799</v>
      </c>
      <c r="I13361" t="s">
        <v>31397</v>
      </c>
      <c r="J13361" t="s">
        <v>31724</v>
      </c>
      <c r="K13361" t="s">
        <v>40666</v>
      </c>
      <c r="M13361" t="s">
        <v>44537</v>
      </c>
      <c r="N13361" t="s">
        <v>44905</v>
      </c>
      <c r="O13361" t="s">
        <v>44906</v>
      </c>
      <c r="P13361">
        <v>0</v>
      </c>
      <c r="Q13361">
        <v>1</v>
      </c>
      <c r="R13361" t="s">
        <v>44922</v>
      </c>
      <c r="S13361" t="s">
        <v>45639</v>
      </c>
      <c r="T13361" t="s">
        <v>46410</v>
      </c>
      <c r="U13361" t="s">
        <v>57589</v>
      </c>
      <c r="W13361" t="s">
        <v>44537</v>
      </c>
      <c r="X13361" t="s">
        <v>44923</v>
      </c>
    </row>
    <row r="13362" spans="1:24">
      <c r="A13362">
        <f>HYPERLINK("https://www.philgeps.gov.ph/GEPSNONPILOT/Tender/SplashBidNoticeAbstractUI.aspx?menuIndex=3&amp;refID=7051819&amp;Result=3","7051819")</f>
        <v>0</v>
      </c>
      <c r="B13362" t="s">
        <v>3347</v>
      </c>
      <c r="C13362" t="s">
        <v>16299</v>
      </c>
      <c r="D13362" t="s">
        <v>18134</v>
      </c>
      <c r="E13362" t="s">
        <v>19977</v>
      </c>
      <c r="F13362" t="s">
        <v>31362</v>
      </c>
      <c r="G13362" t="s">
        <v>31369</v>
      </c>
      <c r="H13362" t="s">
        <v>31378</v>
      </c>
      <c r="I13362" t="s">
        <v>31386</v>
      </c>
      <c r="J13362" t="s">
        <v>39618</v>
      </c>
      <c r="K13362" t="s">
        <v>40662</v>
      </c>
      <c r="M13362" t="s">
        <v>44645</v>
      </c>
      <c r="N13362" t="s">
        <v>44905</v>
      </c>
      <c r="O13362" t="s">
        <v>44906</v>
      </c>
      <c r="P13362">
        <v>0</v>
      </c>
      <c r="Q13362">
        <v>3</v>
      </c>
      <c r="R13362" t="s">
        <v>44922</v>
      </c>
      <c r="S13362" t="s">
        <v>45639</v>
      </c>
      <c r="T13362" t="s">
        <v>46549</v>
      </c>
      <c r="U13362" t="s">
        <v>57590</v>
      </c>
      <c r="W13362" t="s">
        <v>44645</v>
      </c>
      <c r="X13362" t="s">
        <v>44923</v>
      </c>
    </row>
    <row r="13363" spans="1:24">
      <c r="A13363">
        <f>HYPERLINK("https://www.philgeps.gov.ph/GEPSNONPILOT/Tender/SplashBidNoticeAbstractUI.aspx?menuIndex=3&amp;refID=7052161&amp;Result=3","7052161")</f>
        <v>0</v>
      </c>
      <c r="B13363" t="s">
        <v>3357</v>
      </c>
      <c r="C13363" t="s">
        <v>16300</v>
      </c>
      <c r="D13363" t="s">
        <v>18148</v>
      </c>
      <c r="E13363" t="s">
        <v>29737</v>
      </c>
      <c r="F13363" t="s">
        <v>31362</v>
      </c>
      <c r="G13363" t="s">
        <v>31369</v>
      </c>
      <c r="H13363" t="s">
        <v>31378</v>
      </c>
      <c r="I13363" t="s">
        <v>31386</v>
      </c>
      <c r="J13363" t="s">
        <v>39619</v>
      </c>
      <c r="K13363" t="s">
        <v>40686</v>
      </c>
      <c r="M13363" t="s">
        <v>44656</v>
      </c>
      <c r="N13363" t="s">
        <v>44905</v>
      </c>
      <c r="O13363" t="s">
        <v>44906</v>
      </c>
      <c r="P13363">
        <v>0</v>
      </c>
      <c r="Q13363">
        <v>1</v>
      </c>
      <c r="R13363" t="s">
        <v>44922</v>
      </c>
      <c r="S13363" t="s">
        <v>45639</v>
      </c>
      <c r="T13363" t="s">
        <v>46692</v>
      </c>
      <c r="U13363" t="s">
        <v>57591</v>
      </c>
      <c r="W13363" t="s">
        <v>44656</v>
      </c>
      <c r="X13363" t="s">
        <v>44923</v>
      </c>
    </row>
    <row r="13364" spans="1:24">
      <c r="A13364">
        <f>HYPERLINK("https://www.philgeps.gov.ph/GEPSNONPILOT/Tender/SplashBidNoticeAbstractUI.aspx?menuIndex=3&amp;refID=7052168&amp;Result=3","7052168")</f>
        <v>0</v>
      </c>
      <c r="B13364" t="s">
        <v>348</v>
      </c>
      <c r="C13364" t="s">
        <v>16301</v>
      </c>
      <c r="D13364" t="s">
        <v>18122</v>
      </c>
      <c r="E13364" t="s">
        <v>29738</v>
      </c>
      <c r="F13364" t="s">
        <v>31362</v>
      </c>
      <c r="G13364" t="s">
        <v>31369</v>
      </c>
      <c r="H13364" t="s">
        <v>15799</v>
      </c>
      <c r="I13364" t="s">
        <v>31468</v>
      </c>
      <c r="J13364" t="s">
        <v>39620</v>
      </c>
      <c r="K13364" t="s">
        <v>40682</v>
      </c>
      <c r="M13364" t="s">
        <v>41294</v>
      </c>
      <c r="N13364" t="s">
        <v>44905</v>
      </c>
      <c r="O13364" t="s">
        <v>44906</v>
      </c>
      <c r="Q13364">
        <v>0</v>
      </c>
      <c r="R13364" t="s">
        <v>44922</v>
      </c>
      <c r="S13364" t="s">
        <v>45714</v>
      </c>
      <c r="T13364" t="s">
        <v>46425</v>
      </c>
      <c r="U13364" t="s">
        <v>57592</v>
      </c>
      <c r="W13364" t="s">
        <v>41294</v>
      </c>
      <c r="X13364" t="s">
        <v>44923</v>
      </c>
    </row>
    <row r="13365" spans="1:24">
      <c r="A13365">
        <f>HYPERLINK("https://www.philgeps.gov.ph/GEPSNONPILOT/Tender/SplashBidNoticeAbstractUI.aspx?menuIndex=3&amp;refID=7052120&amp;Result=3","7052120")</f>
        <v>0</v>
      </c>
      <c r="B13365" t="s">
        <v>348</v>
      </c>
      <c r="C13365" t="s">
        <v>16302</v>
      </c>
      <c r="D13365" t="s">
        <v>18122</v>
      </c>
      <c r="E13365" t="s">
        <v>29739</v>
      </c>
      <c r="F13365" t="s">
        <v>31362</v>
      </c>
      <c r="G13365" t="s">
        <v>31369</v>
      </c>
      <c r="H13365" t="s">
        <v>15799</v>
      </c>
      <c r="I13365" t="s">
        <v>31468</v>
      </c>
      <c r="J13365" t="s">
        <v>31607</v>
      </c>
      <c r="K13365" t="s">
        <v>40675</v>
      </c>
      <c r="M13365" t="s">
        <v>41294</v>
      </c>
      <c r="N13365" t="s">
        <v>44905</v>
      </c>
      <c r="O13365" t="s">
        <v>44906</v>
      </c>
      <c r="Q13365">
        <v>1</v>
      </c>
      <c r="R13365" t="s">
        <v>44922</v>
      </c>
      <c r="S13365" t="s">
        <v>45715</v>
      </c>
      <c r="T13365" t="s">
        <v>46425</v>
      </c>
      <c r="U13365" t="s">
        <v>57593</v>
      </c>
      <c r="W13365" t="s">
        <v>41294</v>
      </c>
      <c r="X13365" t="s">
        <v>44923</v>
      </c>
    </row>
    <row r="13366" spans="1:24">
      <c r="A13366">
        <f>HYPERLINK("https://www.philgeps.gov.ph/GEPSNONPILOT/Tender/SplashBidNoticeAbstractUI.aspx?menuIndex=3&amp;refID=7052154&amp;Result=3","7052154")</f>
        <v>0</v>
      </c>
      <c r="B13366" t="s">
        <v>3227</v>
      </c>
      <c r="C13366" t="s">
        <v>16303</v>
      </c>
      <c r="D13366" t="s">
        <v>18130</v>
      </c>
      <c r="E13366" t="s">
        <v>29740</v>
      </c>
      <c r="F13366" t="s">
        <v>31362</v>
      </c>
      <c r="G13366" t="s">
        <v>31369</v>
      </c>
      <c r="H13366" t="s">
        <v>15799</v>
      </c>
      <c r="I13366" t="s">
        <v>31409</v>
      </c>
      <c r="J13366" t="s">
        <v>31637</v>
      </c>
      <c r="K13366" t="s">
        <v>40682</v>
      </c>
      <c r="M13366" t="s">
        <v>44503</v>
      </c>
      <c r="N13366" t="s">
        <v>44905</v>
      </c>
      <c r="O13366" t="s">
        <v>44906</v>
      </c>
      <c r="P13366">
        <v>0</v>
      </c>
      <c r="Q13366">
        <v>1</v>
      </c>
      <c r="R13366" t="s">
        <v>44922</v>
      </c>
      <c r="S13366" t="s">
        <v>45639</v>
      </c>
      <c r="T13366" t="s">
        <v>46467</v>
      </c>
      <c r="U13366" t="s">
        <v>57594</v>
      </c>
      <c r="W13366" t="s">
        <v>44503</v>
      </c>
      <c r="X13366" t="s">
        <v>44923</v>
      </c>
    </row>
    <row r="13367" spans="1:24">
      <c r="A13367">
        <f>HYPERLINK("https://www.philgeps.gov.ph/GEPSNONPILOT/Tender/SplashBidNoticeAbstractUI.aspx?menuIndex=3&amp;refID=7052130&amp;Result=3","7052130")</f>
        <v>0</v>
      </c>
      <c r="B13367" t="s">
        <v>3357</v>
      </c>
      <c r="C13367" t="s">
        <v>16304</v>
      </c>
      <c r="D13367" t="s">
        <v>18148</v>
      </c>
      <c r="E13367" t="s">
        <v>29741</v>
      </c>
      <c r="F13367" t="s">
        <v>31362</v>
      </c>
      <c r="G13367" t="s">
        <v>31369</v>
      </c>
      <c r="H13367" t="s">
        <v>31378</v>
      </c>
      <c r="I13367" t="s">
        <v>31386</v>
      </c>
      <c r="J13367" t="s">
        <v>39621</v>
      </c>
      <c r="K13367" t="s">
        <v>40742</v>
      </c>
      <c r="M13367" t="s">
        <v>44656</v>
      </c>
      <c r="N13367" t="s">
        <v>44905</v>
      </c>
      <c r="O13367" t="s">
        <v>44906</v>
      </c>
      <c r="P13367">
        <v>0</v>
      </c>
      <c r="Q13367">
        <v>1</v>
      </c>
      <c r="R13367" t="s">
        <v>44922</v>
      </c>
      <c r="S13367" t="s">
        <v>45639</v>
      </c>
      <c r="T13367" t="s">
        <v>46692</v>
      </c>
      <c r="U13367" t="s">
        <v>57595</v>
      </c>
      <c r="W13367" t="s">
        <v>44656</v>
      </c>
      <c r="X13367" t="s">
        <v>44923</v>
      </c>
    </row>
    <row r="13368" spans="1:24">
      <c r="A13368">
        <f>HYPERLINK("https://www.philgeps.gov.ph/GEPSNONPILOT/Tender/SplashBidNoticeAbstractUI.aspx?menuIndex=3&amp;refID=7052112&amp;Result=3","7052112")</f>
        <v>0</v>
      </c>
      <c r="B13368" t="s">
        <v>2983</v>
      </c>
      <c r="C13368" t="s">
        <v>16305</v>
      </c>
      <c r="D13368" t="s">
        <v>18169</v>
      </c>
      <c r="E13368" t="s">
        <v>29742</v>
      </c>
      <c r="F13368" t="s">
        <v>31362</v>
      </c>
      <c r="G13368" t="s">
        <v>31369</v>
      </c>
      <c r="H13368" t="s">
        <v>15799</v>
      </c>
      <c r="I13368" t="s">
        <v>31385</v>
      </c>
      <c r="J13368" t="s">
        <v>39622</v>
      </c>
      <c r="K13368" t="s">
        <v>40665</v>
      </c>
      <c r="M13368" t="s">
        <v>44207</v>
      </c>
      <c r="N13368" t="s">
        <v>44905</v>
      </c>
      <c r="O13368" t="s">
        <v>44906</v>
      </c>
      <c r="P13368">
        <v>0</v>
      </c>
      <c r="Q13368">
        <v>3</v>
      </c>
      <c r="R13368" t="s">
        <v>44922</v>
      </c>
      <c r="S13368" t="s">
        <v>45639</v>
      </c>
      <c r="T13368" t="s">
        <v>46480</v>
      </c>
      <c r="U13368" t="s">
        <v>57596</v>
      </c>
      <c r="V13368" t="s">
        <v>60574</v>
      </c>
      <c r="W13368" t="s">
        <v>60952</v>
      </c>
      <c r="X13368" t="s">
        <v>44923</v>
      </c>
    </row>
    <row r="13369" spans="1:24">
      <c r="A13369">
        <f>HYPERLINK("https://www.philgeps.gov.ph/GEPSNONPILOT/Tender/SplashBidNoticeAbstractUI.aspx?menuIndex=3&amp;refID=7052084&amp;Result=3","7052084")</f>
        <v>0</v>
      </c>
      <c r="B13369" t="s">
        <v>1156</v>
      </c>
      <c r="C13369" t="s">
        <v>16306</v>
      </c>
      <c r="D13369" t="s">
        <v>18111</v>
      </c>
      <c r="E13369" t="s">
        <v>29743</v>
      </c>
      <c r="F13369" t="s">
        <v>31362</v>
      </c>
      <c r="G13369" t="s">
        <v>31369</v>
      </c>
      <c r="H13369" t="s">
        <v>15799</v>
      </c>
      <c r="I13369" t="s">
        <v>31455</v>
      </c>
      <c r="J13369" t="s">
        <v>39623</v>
      </c>
      <c r="K13369" t="s">
        <v>40662</v>
      </c>
      <c r="M13369" t="s">
        <v>42165</v>
      </c>
      <c r="N13369" t="s">
        <v>44905</v>
      </c>
      <c r="O13369" t="s">
        <v>44906</v>
      </c>
      <c r="Q13369">
        <v>1</v>
      </c>
      <c r="R13369" t="s">
        <v>44922</v>
      </c>
      <c r="S13369" t="s">
        <v>45716</v>
      </c>
      <c r="T13369" t="s">
        <v>46447</v>
      </c>
      <c r="U13369" t="s">
        <v>57597</v>
      </c>
      <c r="W13369" t="s">
        <v>60885</v>
      </c>
      <c r="X13369" t="s">
        <v>44923</v>
      </c>
    </row>
    <row r="13370" spans="1:24">
      <c r="A13370">
        <f>HYPERLINK("https://www.philgeps.gov.ph/GEPSNONPILOT/Tender/SplashBidNoticeAbstractUI.aspx?menuIndex=3&amp;refID=7051841&amp;Result=3","7051841")</f>
        <v>0</v>
      </c>
      <c r="B13370" t="s">
        <v>3358</v>
      </c>
      <c r="C13370" t="s">
        <v>16307</v>
      </c>
      <c r="E13370" t="s">
        <v>29744</v>
      </c>
      <c r="F13370" t="s">
        <v>31362</v>
      </c>
      <c r="G13370" t="s">
        <v>31369</v>
      </c>
      <c r="H13370" t="s">
        <v>15799</v>
      </c>
      <c r="I13370" t="s">
        <v>31388</v>
      </c>
      <c r="J13370" t="s">
        <v>39624</v>
      </c>
      <c r="K13370" t="s">
        <v>40662</v>
      </c>
      <c r="M13370" t="s">
        <v>44657</v>
      </c>
      <c r="N13370" t="s">
        <v>44905</v>
      </c>
      <c r="O13370" t="s">
        <v>44906</v>
      </c>
      <c r="P13370">
        <v>0</v>
      </c>
      <c r="Q13370">
        <v>2</v>
      </c>
      <c r="R13370" t="s">
        <v>44922</v>
      </c>
      <c r="S13370" t="s">
        <v>45639</v>
      </c>
      <c r="T13370" t="s">
        <v>46392</v>
      </c>
      <c r="U13370" t="s">
        <v>57598</v>
      </c>
      <c r="V13370" t="s">
        <v>60575</v>
      </c>
      <c r="W13370" t="s">
        <v>44657</v>
      </c>
      <c r="X13370" t="s">
        <v>44923</v>
      </c>
    </row>
    <row r="13371" spans="1:24">
      <c r="A13371">
        <f>HYPERLINK("https://www.philgeps.gov.ph/GEPSNONPILOT/Tender/SplashBidNoticeAbstractUI.aspx?menuIndex=3&amp;refID=7052121&amp;Result=3","7052121")</f>
        <v>0</v>
      </c>
      <c r="B13371" t="s">
        <v>2613</v>
      </c>
      <c r="C13371" t="s">
        <v>16308</v>
      </c>
      <c r="D13371" t="s">
        <v>18100</v>
      </c>
      <c r="E13371" t="s">
        <v>19313</v>
      </c>
      <c r="F13371" t="s">
        <v>31362</v>
      </c>
      <c r="G13371" t="s">
        <v>31369</v>
      </c>
      <c r="H13371" t="s">
        <v>15799</v>
      </c>
      <c r="I13371" t="s">
        <v>31385</v>
      </c>
      <c r="J13371" t="s">
        <v>39625</v>
      </c>
      <c r="K13371" t="s">
        <v>40672</v>
      </c>
      <c r="M13371" t="s">
        <v>43793</v>
      </c>
      <c r="N13371" t="s">
        <v>44905</v>
      </c>
      <c r="O13371" t="s">
        <v>44906</v>
      </c>
      <c r="P13371">
        <v>0</v>
      </c>
      <c r="Q13371">
        <v>0</v>
      </c>
      <c r="R13371" t="s">
        <v>44922</v>
      </c>
      <c r="S13371" t="s">
        <v>45639</v>
      </c>
      <c r="T13371" t="s">
        <v>46443</v>
      </c>
      <c r="U13371" t="s">
        <v>57599</v>
      </c>
      <c r="W13371" t="s">
        <v>43793</v>
      </c>
      <c r="X13371" t="s">
        <v>44923</v>
      </c>
    </row>
    <row r="13372" spans="1:24">
      <c r="A13372">
        <f>HYPERLINK("https://www.philgeps.gov.ph/GEPSNONPILOT/Tender/SplashBidNoticeAbstractUI.aspx?menuIndex=3&amp;refID=7052081&amp;Result=3","7052081")</f>
        <v>0</v>
      </c>
      <c r="B13372" t="s">
        <v>3247</v>
      </c>
      <c r="C13372" t="s">
        <v>16309</v>
      </c>
      <c r="D13372" t="s">
        <v>18148</v>
      </c>
      <c r="E13372" t="s">
        <v>29745</v>
      </c>
      <c r="F13372" t="s">
        <v>31362</v>
      </c>
      <c r="G13372" t="s">
        <v>31369</v>
      </c>
      <c r="H13372" t="s">
        <v>15799</v>
      </c>
      <c r="I13372" t="s">
        <v>31414</v>
      </c>
      <c r="J13372" t="s">
        <v>32894</v>
      </c>
      <c r="K13372" t="s">
        <v>40665</v>
      </c>
      <c r="M13372" t="s">
        <v>44527</v>
      </c>
      <c r="N13372" t="s">
        <v>44905</v>
      </c>
      <c r="O13372" t="s">
        <v>44906</v>
      </c>
      <c r="P13372">
        <v>0</v>
      </c>
      <c r="Q13372">
        <v>2</v>
      </c>
      <c r="R13372" t="s">
        <v>44922</v>
      </c>
      <c r="S13372" t="s">
        <v>45639</v>
      </c>
      <c r="T13372" t="s">
        <v>46410</v>
      </c>
      <c r="U13372" t="s">
        <v>57600</v>
      </c>
      <c r="V13372" t="s">
        <v>60569</v>
      </c>
      <c r="W13372" t="s">
        <v>44527</v>
      </c>
      <c r="X13372" t="s">
        <v>44923</v>
      </c>
    </row>
    <row r="13373" spans="1:24">
      <c r="A13373">
        <f>HYPERLINK("https://www.philgeps.gov.ph/GEPSNONPILOT/Tender/SplashBidNoticeAbstractUI.aspx?menuIndex=3&amp;refID=7052147&amp;Result=3","7052147")</f>
        <v>0</v>
      </c>
      <c r="B13373" t="s">
        <v>348</v>
      </c>
      <c r="C13373" t="s">
        <v>16310</v>
      </c>
      <c r="D13373" t="s">
        <v>18122</v>
      </c>
      <c r="E13373" t="s">
        <v>29746</v>
      </c>
      <c r="F13373" t="s">
        <v>31362</v>
      </c>
      <c r="G13373" t="s">
        <v>31369</v>
      </c>
      <c r="H13373" t="s">
        <v>15799</v>
      </c>
      <c r="I13373" t="s">
        <v>31468</v>
      </c>
      <c r="J13373" t="s">
        <v>34646</v>
      </c>
      <c r="K13373" t="s">
        <v>40682</v>
      </c>
      <c r="M13373" t="s">
        <v>41294</v>
      </c>
      <c r="N13373" t="s">
        <v>44905</v>
      </c>
      <c r="O13373" t="s">
        <v>44906</v>
      </c>
      <c r="Q13373">
        <v>2</v>
      </c>
      <c r="R13373" t="s">
        <v>44922</v>
      </c>
      <c r="S13373" t="s">
        <v>45717</v>
      </c>
      <c r="T13373" t="s">
        <v>46425</v>
      </c>
      <c r="U13373" t="s">
        <v>57601</v>
      </c>
      <c r="W13373" t="s">
        <v>41294</v>
      </c>
      <c r="X13373" t="s">
        <v>44923</v>
      </c>
    </row>
    <row r="13374" spans="1:24">
      <c r="A13374">
        <f>HYPERLINK("https://www.philgeps.gov.ph/GEPSNONPILOT/Tender/SplashBidNoticeAbstractUI.aspx?menuIndex=3&amp;refID=7052106&amp;Result=3","7052106")</f>
        <v>0</v>
      </c>
      <c r="B13374" t="s">
        <v>3359</v>
      </c>
      <c r="C13374" t="s">
        <v>16311</v>
      </c>
      <c r="D13374" t="s">
        <v>18107</v>
      </c>
      <c r="E13374" t="s">
        <v>29747</v>
      </c>
      <c r="F13374" t="s">
        <v>31362</v>
      </c>
      <c r="G13374" t="s">
        <v>31369</v>
      </c>
      <c r="H13374" t="s">
        <v>15799</v>
      </c>
      <c r="I13374" t="s">
        <v>31415</v>
      </c>
      <c r="J13374" t="s">
        <v>39626</v>
      </c>
      <c r="K13374" t="s">
        <v>40665</v>
      </c>
      <c r="M13374" t="s">
        <v>44658</v>
      </c>
      <c r="N13374" t="s">
        <v>44905</v>
      </c>
      <c r="O13374" t="s">
        <v>44906</v>
      </c>
      <c r="Q13374">
        <v>4</v>
      </c>
      <c r="R13374" t="s">
        <v>44922</v>
      </c>
      <c r="S13374" t="s">
        <v>45718</v>
      </c>
      <c r="T13374" t="s">
        <v>46435</v>
      </c>
      <c r="U13374" t="s">
        <v>57602</v>
      </c>
      <c r="W13374" t="s">
        <v>44658</v>
      </c>
      <c r="X13374" t="s">
        <v>44923</v>
      </c>
    </row>
    <row r="13375" spans="1:24">
      <c r="A13375">
        <f>HYPERLINK("https://www.philgeps.gov.ph/GEPSNONPILOT/Tender/SplashBidNoticeAbstractUI.aspx?menuIndex=3&amp;refID=7052299&amp;Result=3","7052299")</f>
        <v>0</v>
      </c>
      <c r="B13375" t="s">
        <v>71</v>
      </c>
      <c r="C13375" t="s">
        <v>16312</v>
      </c>
      <c r="D13375" t="s">
        <v>18129</v>
      </c>
      <c r="E13375" t="s">
        <v>29748</v>
      </c>
      <c r="F13375" t="s">
        <v>31362</v>
      </c>
      <c r="G13375" t="s">
        <v>31369</v>
      </c>
      <c r="H13375" t="s">
        <v>15799</v>
      </c>
      <c r="I13375" t="s">
        <v>4942</v>
      </c>
      <c r="J13375" t="s">
        <v>39627</v>
      </c>
      <c r="K13375" t="s">
        <v>40934</v>
      </c>
      <c r="M13375" t="s">
        <v>41007</v>
      </c>
      <c r="N13375" t="s">
        <v>44905</v>
      </c>
      <c r="O13375" t="s">
        <v>44906</v>
      </c>
      <c r="P13375">
        <v>0</v>
      </c>
      <c r="Q13375">
        <v>0</v>
      </c>
      <c r="R13375" t="s">
        <v>44922</v>
      </c>
      <c r="S13375" t="s">
        <v>45639</v>
      </c>
      <c r="T13375" t="s">
        <v>46400</v>
      </c>
      <c r="U13375" t="s">
        <v>57603</v>
      </c>
      <c r="W13375" t="s">
        <v>41007</v>
      </c>
      <c r="X13375" t="s">
        <v>44923</v>
      </c>
    </row>
    <row r="13376" spans="1:24">
      <c r="A13376">
        <f>HYPERLINK("https://www.philgeps.gov.ph/GEPSNONPILOT/Tender/SplashBidNoticeAbstractUI.aspx?menuIndex=3&amp;refID=7052312&amp;Result=3","7052312")</f>
        <v>0</v>
      </c>
      <c r="B13376" t="s">
        <v>691</v>
      </c>
      <c r="C13376" t="s">
        <v>16313</v>
      </c>
      <c r="D13376" t="s">
        <v>18167</v>
      </c>
      <c r="E13376" t="s">
        <v>29749</v>
      </c>
      <c r="F13376" t="s">
        <v>31362</v>
      </c>
      <c r="G13376" t="s">
        <v>31369</v>
      </c>
      <c r="H13376" t="s">
        <v>15799</v>
      </c>
      <c r="I13376" t="s">
        <v>31444</v>
      </c>
      <c r="J13376" t="s">
        <v>31531</v>
      </c>
      <c r="K13376" t="s">
        <v>40677</v>
      </c>
      <c r="M13376" t="s">
        <v>41654</v>
      </c>
      <c r="N13376" t="s">
        <v>44905</v>
      </c>
      <c r="O13376" t="s">
        <v>44906</v>
      </c>
      <c r="P13376">
        <v>0</v>
      </c>
      <c r="Q13376">
        <v>2</v>
      </c>
      <c r="R13376" t="s">
        <v>44922</v>
      </c>
      <c r="S13376" t="s">
        <v>45639</v>
      </c>
      <c r="T13376" t="s">
        <v>46438</v>
      </c>
      <c r="U13376" t="s">
        <v>57604</v>
      </c>
      <c r="W13376" t="s">
        <v>41654</v>
      </c>
      <c r="X13376" t="s">
        <v>44923</v>
      </c>
    </row>
    <row r="13377" spans="1:24">
      <c r="A13377">
        <f>HYPERLINK("https://www.philgeps.gov.ph/GEPSNONPILOT/Tender/SplashBidNoticeAbstractUI.aspx?menuIndex=3&amp;refID=7051974&amp;Result=3","7051974")</f>
        <v>0</v>
      </c>
      <c r="B13377" t="s">
        <v>1150</v>
      </c>
      <c r="C13377" t="s">
        <v>16314</v>
      </c>
      <c r="E13377" t="s">
        <v>29750</v>
      </c>
      <c r="F13377" t="s">
        <v>31362</v>
      </c>
      <c r="G13377" t="s">
        <v>31369</v>
      </c>
      <c r="H13377" t="s">
        <v>15799</v>
      </c>
      <c r="I13377" t="s">
        <v>7090</v>
      </c>
      <c r="J13377" t="s">
        <v>33028</v>
      </c>
      <c r="K13377" t="s">
        <v>40662</v>
      </c>
      <c r="M13377" t="s">
        <v>42159</v>
      </c>
      <c r="N13377" t="s">
        <v>44905</v>
      </c>
      <c r="O13377" t="s">
        <v>44906</v>
      </c>
      <c r="P13377">
        <v>0</v>
      </c>
      <c r="Q13377">
        <v>4</v>
      </c>
      <c r="R13377" t="s">
        <v>44922</v>
      </c>
      <c r="S13377" t="s">
        <v>45639</v>
      </c>
      <c r="T13377" t="s">
        <v>46418</v>
      </c>
      <c r="U13377" t="s">
        <v>57547</v>
      </c>
      <c r="W13377" t="s">
        <v>42159</v>
      </c>
      <c r="X13377" t="s">
        <v>44923</v>
      </c>
    </row>
    <row r="13378" spans="1:24">
      <c r="A13378">
        <f>HYPERLINK("https://www.philgeps.gov.ph/GEPSNONPILOT/Tender/SplashBidNoticeAbstractUI.aspx?menuIndex=3&amp;refID=7052206&amp;Result=3","7052206")</f>
        <v>0</v>
      </c>
      <c r="B13378" t="s">
        <v>3357</v>
      </c>
      <c r="C13378" t="s">
        <v>16315</v>
      </c>
      <c r="D13378" t="s">
        <v>18148</v>
      </c>
      <c r="E13378" t="s">
        <v>29751</v>
      </c>
      <c r="F13378" t="s">
        <v>31362</v>
      </c>
      <c r="G13378" t="s">
        <v>31369</v>
      </c>
      <c r="H13378" t="s">
        <v>31378</v>
      </c>
      <c r="I13378" t="s">
        <v>31386</v>
      </c>
      <c r="J13378" t="s">
        <v>39628</v>
      </c>
      <c r="K13378" t="s">
        <v>40679</v>
      </c>
      <c r="M13378" t="s">
        <v>44656</v>
      </c>
      <c r="N13378" t="s">
        <v>44905</v>
      </c>
      <c r="O13378" t="s">
        <v>44906</v>
      </c>
      <c r="P13378">
        <v>0</v>
      </c>
      <c r="Q13378">
        <v>1</v>
      </c>
      <c r="R13378" t="s">
        <v>44922</v>
      </c>
      <c r="S13378" t="s">
        <v>45639</v>
      </c>
      <c r="T13378" t="s">
        <v>46692</v>
      </c>
      <c r="U13378" t="s">
        <v>57605</v>
      </c>
      <c r="W13378" t="s">
        <v>44656</v>
      </c>
      <c r="X13378" t="s">
        <v>44923</v>
      </c>
    </row>
    <row r="13379" spans="1:24">
      <c r="A13379">
        <f>HYPERLINK("https://www.philgeps.gov.ph/GEPSNONPILOT/Tender/SplashBidNoticeAbstractUI.aspx?menuIndex=3&amp;refID=7052285&amp;Result=3","7052285")</f>
        <v>0</v>
      </c>
      <c r="B13379" t="s">
        <v>1629</v>
      </c>
      <c r="C13379" t="s">
        <v>16316</v>
      </c>
      <c r="D13379" t="s">
        <v>18116</v>
      </c>
      <c r="E13379" t="s">
        <v>29752</v>
      </c>
      <c r="F13379" t="s">
        <v>31362</v>
      </c>
      <c r="G13379" t="s">
        <v>31369</v>
      </c>
      <c r="H13379" t="s">
        <v>31378</v>
      </c>
      <c r="I13379" t="s">
        <v>31386</v>
      </c>
      <c r="J13379" t="s">
        <v>39629</v>
      </c>
      <c r="K13379" t="s">
        <v>40692</v>
      </c>
      <c r="M13379" t="s">
        <v>44089</v>
      </c>
      <c r="N13379" t="s">
        <v>44905</v>
      </c>
      <c r="O13379" t="s">
        <v>44906</v>
      </c>
      <c r="Q13379">
        <v>18</v>
      </c>
      <c r="R13379" t="s">
        <v>44922</v>
      </c>
      <c r="S13379" t="s">
        <v>45719</v>
      </c>
      <c r="T13379" t="s">
        <v>46425</v>
      </c>
      <c r="U13379" t="s">
        <v>57606</v>
      </c>
      <c r="V13379" t="s">
        <v>60576</v>
      </c>
      <c r="W13379" t="s">
        <v>44089</v>
      </c>
      <c r="X13379" t="s">
        <v>44923</v>
      </c>
    </row>
    <row r="13380" spans="1:24">
      <c r="A13380">
        <f>HYPERLINK("https://www.philgeps.gov.ph/GEPSNONPILOT/Tender/SplashBidNoticeAbstractUI.aspx?menuIndex=3&amp;refID=7052266&amp;Result=3","7052266")</f>
        <v>0</v>
      </c>
      <c r="B13380" t="s">
        <v>461</v>
      </c>
      <c r="C13380" t="s">
        <v>16317</v>
      </c>
      <c r="D13380" t="s">
        <v>18112</v>
      </c>
      <c r="E13380" t="s">
        <v>29753</v>
      </c>
      <c r="F13380" t="s">
        <v>31362</v>
      </c>
      <c r="G13380" t="s">
        <v>31369</v>
      </c>
      <c r="H13380" t="s">
        <v>15799</v>
      </c>
      <c r="I13380" t="s">
        <v>31393</v>
      </c>
      <c r="J13380" t="s">
        <v>39630</v>
      </c>
      <c r="K13380" t="s">
        <v>40679</v>
      </c>
      <c r="M13380" t="s">
        <v>44584</v>
      </c>
      <c r="N13380" t="s">
        <v>44905</v>
      </c>
      <c r="O13380" t="s">
        <v>44906</v>
      </c>
      <c r="Q13380">
        <v>17</v>
      </c>
      <c r="R13380" t="s">
        <v>44922</v>
      </c>
      <c r="S13380" t="s">
        <v>45720</v>
      </c>
      <c r="T13380" t="s">
        <v>46549</v>
      </c>
      <c r="U13380" t="s">
        <v>57607</v>
      </c>
      <c r="V13380" t="s">
        <v>60475</v>
      </c>
      <c r="W13380" t="s">
        <v>44584</v>
      </c>
      <c r="X13380" t="s">
        <v>44923</v>
      </c>
    </row>
    <row r="13381" spans="1:24">
      <c r="A13381">
        <f>HYPERLINK("https://www.philgeps.gov.ph/GEPSNONPILOT/Tender/SplashBidNoticeAbstractUI.aspx?menuIndex=3&amp;refID=7052303&amp;Result=3","7052303")</f>
        <v>0</v>
      </c>
      <c r="B13381" t="s">
        <v>800</v>
      </c>
      <c r="C13381" t="s">
        <v>16318</v>
      </c>
      <c r="D13381" t="s">
        <v>18130</v>
      </c>
      <c r="E13381" t="s">
        <v>29754</v>
      </c>
      <c r="F13381" t="s">
        <v>31362</v>
      </c>
      <c r="G13381" t="s">
        <v>31369</v>
      </c>
      <c r="H13381" t="s">
        <v>31377</v>
      </c>
      <c r="I13381" t="s">
        <v>31377</v>
      </c>
      <c r="J13381" t="s">
        <v>39631</v>
      </c>
      <c r="K13381" t="s">
        <v>40677</v>
      </c>
      <c r="M13381" t="s">
        <v>41770</v>
      </c>
      <c r="N13381" t="s">
        <v>44905</v>
      </c>
      <c r="O13381" t="s">
        <v>44906</v>
      </c>
      <c r="P13381">
        <v>0</v>
      </c>
      <c r="Q13381">
        <v>2</v>
      </c>
      <c r="R13381" t="s">
        <v>44922</v>
      </c>
      <c r="S13381" t="s">
        <v>45639</v>
      </c>
      <c r="T13381" t="s">
        <v>46435</v>
      </c>
      <c r="U13381" t="s">
        <v>57608</v>
      </c>
      <c r="W13381" t="s">
        <v>41770</v>
      </c>
      <c r="X13381" t="s">
        <v>44923</v>
      </c>
    </row>
    <row r="13382" spans="1:24">
      <c r="A13382">
        <f>HYPERLINK("https://www.philgeps.gov.ph/GEPSNONPILOT/Tender/SplashBidNoticeAbstractUI.aspx?menuIndex=3&amp;refID=7052260&amp;Result=3","7052260")</f>
        <v>0</v>
      </c>
      <c r="B13382" t="s">
        <v>3360</v>
      </c>
      <c r="C13382" t="s">
        <v>16319</v>
      </c>
      <c r="D13382" t="s">
        <v>18105</v>
      </c>
      <c r="E13382" t="s">
        <v>19861</v>
      </c>
      <c r="F13382" t="s">
        <v>31362</v>
      </c>
      <c r="G13382" t="s">
        <v>31369</v>
      </c>
      <c r="H13382" t="s">
        <v>15799</v>
      </c>
      <c r="I13382" t="s">
        <v>31380</v>
      </c>
      <c r="J13382" t="s">
        <v>39632</v>
      </c>
      <c r="K13382" t="s">
        <v>40666</v>
      </c>
      <c r="M13382" t="s">
        <v>44659</v>
      </c>
      <c r="N13382" t="s">
        <v>44905</v>
      </c>
      <c r="O13382" t="s">
        <v>44906</v>
      </c>
      <c r="P13382">
        <v>0</v>
      </c>
      <c r="Q13382">
        <v>2</v>
      </c>
      <c r="R13382" t="s">
        <v>44922</v>
      </c>
      <c r="S13382" t="s">
        <v>45639</v>
      </c>
      <c r="T13382" t="s">
        <v>46447</v>
      </c>
      <c r="U13382" t="s">
        <v>57609</v>
      </c>
      <c r="V13382" t="s">
        <v>60577</v>
      </c>
      <c r="W13382" t="s">
        <v>44659</v>
      </c>
      <c r="X13382" t="s">
        <v>44923</v>
      </c>
    </row>
    <row r="13383" spans="1:24">
      <c r="A13383">
        <f>HYPERLINK("https://www.philgeps.gov.ph/GEPSNONPILOT/Tender/SplashBidNoticeAbstractUI.aspx?menuIndex=3&amp;refID=7052251&amp;Result=3","7052251")</f>
        <v>0</v>
      </c>
      <c r="B13383" t="s">
        <v>1853</v>
      </c>
      <c r="C13383" t="s">
        <v>16320</v>
      </c>
      <c r="D13383" t="s">
        <v>18133</v>
      </c>
      <c r="E13383" t="s">
        <v>29755</v>
      </c>
      <c r="F13383" t="s">
        <v>31362</v>
      </c>
      <c r="G13383" t="s">
        <v>31369</v>
      </c>
      <c r="H13383" t="s">
        <v>15799</v>
      </c>
      <c r="I13383" t="s">
        <v>31459</v>
      </c>
      <c r="J13383" t="s">
        <v>39633</v>
      </c>
      <c r="K13383" t="s">
        <v>40661</v>
      </c>
      <c r="M13383" t="s">
        <v>42943</v>
      </c>
      <c r="N13383" t="s">
        <v>44905</v>
      </c>
      <c r="O13383" t="s">
        <v>44906</v>
      </c>
      <c r="P13383">
        <v>0</v>
      </c>
      <c r="Q13383">
        <v>4</v>
      </c>
      <c r="R13383" t="s">
        <v>44922</v>
      </c>
      <c r="S13383" t="s">
        <v>45639</v>
      </c>
      <c r="T13383" t="s">
        <v>46400</v>
      </c>
      <c r="U13383" t="s">
        <v>57610</v>
      </c>
      <c r="V13383" t="s">
        <v>60578</v>
      </c>
      <c r="W13383" t="s">
        <v>42943</v>
      </c>
      <c r="X13383" t="s">
        <v>44923</v>
      </c>
    </row>
    <row r="13384" spans="1:24">
      <c r="A13384">
        <f>HYPERLINK("https://www.philgeps.gov.ph/GEPSNONPILOT/Tender/SplashBidNoticeAbstractUI.aspx?menuIndex=3&amp;refID=7052240&amp;Result=3","7052240")</f>
        <v>0</v>
      </c>
      <c r="B13384" t="s">
        <v>234</v>
      </c>
      <c r="C13384" t="s">
        <v>16321</v>
      </c>
      <c r="D13384" t="s">
        <v>18108</v>
      </c>
      <c r="E13384" t="s">
        <v>29756</v>
      </c>
      <c r="F13384" t="s">
        <v>31362</v>
      </c>
      <c r="G13384" t="s">
        <v>31369</v>
      </c>
      <c r="H13384" t="s">
        <v>15799</v>
      </c>
      <c r="I13384" t="s">
        <v>31395</v>
      </c>
      <c r="J13384" t="s">
        <v>35468</v>
      </c>
      <c r="K13384" t="s">
        <v>40665</v>
      </c>
      <c r="M13384" t="s">
        <v>44660</v>
      </c>
      <c r="N13384" t="s">
        <v>44905</v>
      </c>
      <c r="O13384" t="s">
        <v>44906</v>
      </c>
      <c r="Q13384">
        <v>7</v>
      </c>
      <c r="R13384" t="s">
        <v>44922</v>
      </c>
      <c r="S13384" t="s">
        <v>45721</v>
      </c>
      <c r="T13384" t="s">
        <v>46585</v>
      </c>
      <c r="U13384" t="s">
        <v>57611</v>
      </c>
      <c r="W13384" t="s">
        <v>44660</v>
      </c>
      <c r="X13384" t="s">
        <v>44923</v>
      </c>
    </row>
    <row r="13385" spans="1:24">
      <c r="A13385">
        <f>HYPERLINK("https://www.philgeps.gov.ph/GEPSNONPILOT/Tender/SplashBidNoticeAbstractUI.aspx?menuIndex=3&amp;refID=7052313&amp;Result=3","7052313")</f>
        <v>0</v>
      </c>
      <c r="B13385" t="s">
        <v>800</v>
      </c>
      <c r="C13385" t="s">
        <v>16322</v>
      </c>
      <c r="D13385" t="s">
        <v>18130</v>
      </c>
      <c r="E13385" t="s">
        <v>29757</v>
      </c>
      <c r="F13385" t="s">
        <v>31362</v>
      </c>
      <c r="G13385" t="s">
        <v>31369</v>
      </c>
      <c r="H13385" t="s">
        <v>31377</v>
      </c>
      <c r="I13385" t="s">
        <v>31386</v>
      </c>
      <c r="J13385" t="s">
        <v>39634</v>
      </c>
      <c r="K13385" t="s">
        <v>40762</v>
      </c>
      <c r="M13385" t="s">
        <v>41770</v>
      </c>
      <c r="N13385" t="s">
        <v>44905</v>
      </c>
      <c r="O13385" t="s">
        <v>44906</v>
      </c>
      <c r="P13385">
        <v>0</v>
      </c>
      <c r="Q13385">
        <v>1</v>
      </c>
      <c r="R13385" t="s">
        <v>44922</v>
      </c>
      <c r="S13385" t="s">
        <v>45639</v>
      </c>
      <c r="T13385" t="s">
        <v>46435</v>
      </c>
      <c r="U13385" t="s">
        <v>57612</v>
      </c>
      <c r="W13385" t="s">
        <v>41770</v>
      </c>
      <c r="X13385" t="s">
        <v>44923</v>
      </c>
    </row>
    <row r="13386" spans="1:24">
      <c r="A13386">
        <f>HYPERLINK("https://www.philgeps.gov.ph/GEPSNONPILOT/Tender/SplashBidNoticeAbstractUI.aspx?menuIndex=3&amp;refID=7051794&amp;Result=3","7051794")</f>
        <v>0</v>
      </c>
      <c r="B13386" t="s">
        <v>2438</v>
      </c>
      <c r="C13386" t="s">
        <v>16323</v>
      </c>
      <c r="D13386" t="s">
        <v>18109</v>
      </c>
      <c r="E13386" t="s">
        <v>29758</v>
      </c>
      <c r="F13386" t="s">
        <v>31362</v>
      </c>
      <c r="G13386" t="s">
        <v>31369</v>
      </c>
      <c r="H13386" t="s">
        <v>31378</v>
      </c>
      <c r="I13386" t="s">
        <v>31386</v>
      </c>
      <c r="J13386" t="s">
        <v>31542</v>
      </c>
      <c r="K13386" t="s">
        <v>40662</v>
      </c>
      <c r="L13386" t="s">
        <v>2438</v>
      </c>
      <c r="M13386" t="s">
        <v>43597</v>
      </c>
      <c r="N13386" t="s">
        <v>44905</v>
      </c>
      <c r="O13386" t="s">
        <v>44906</v>
      </c>
      <c r="P13386">
        <v>0</v>
      </c>
      <c r="Q13386">
        <v>0</v>
      </c>
      <c r="R13386" t="s">
        <v>44922</v>
      </c>
      <c r="S13386" t="s">
        <v>45639</v>
      </c>
      <c r="T13386" t="s">
        <v>46470</v>
      </c>
      <c r="U13386" t="s">
        <v>57537</v>
      </c>
      <c r="V13386" t="s">
        <v>59869</v>
      </c>
      <c r="W13386" t="s">
        <v>43597</v>
      </c>
      <c r="X13386" t="s">
        <v>44923</v>
      </c>
    </row>
    <row r="13387" spans="1:24">
      <c r="A13387">
        <f>HYPERLINK("https://www.philgeps.gov.ph/GEPSNONPILOT/Tender/SplashBidNoticeAbstractUI.aspx?menuIndex=3&amp;refID=7052077&amp;Result=3","7052077")</f>
        <v>0</v>
      </c>
      <c r="B13387" t="s">
        <v>1853</v>
      </c>
      <c r="C13387" t="s">
        <v>16324</v>
      </c>
      <c r="D13387" t="s">
        <v>18133</v>
      </c>
      <c r="E13387" t="s">
        <v>29759</v>
      </c>
      <c r="F13387" t="s">
        <v>31362</v>
      </c>
      <c r="G13387" t="s">
        <v>31369</v>
      </c>
      <c r="H13387" t="s">
        <v>31378</v>
      </c>
      <c r="I13387" t="s">
        <v>31386</v>
      </c>
      <c r="J13387" t="s">
        <v>39635</v>
      </c>
      <c r="K13387" t="s">
        <v>40692</v>
      </c>
      <c r="M13387" t="s">
        <v>42943</v>
      </c>
      <c r="N13387" t="s">
        <v>44905</v>
      </c>
      <c r="O13387" t="s">
        <v>44906</v>
      </c>
      <c r="P13387">
        <v>0</v>
      </c>
      <c r="Q13387">
        <v>0</v>
      </c>
      <c r="R13387" t="s">
        <v>44922</v>
      </c>
      <c r="S13387" t="s">
        <v>45639</v>
      </c>
      <c r="T13387" t="s">
        <v>46400</v>
      </c>
      <c r="U13387" t="s">
        <v>57613</v>
      </c>
      <c r="V13387" t="s">
        <v>60579</v>
      </c>
      <c r="W13387" t="s">
        <v>42943</v>
      </c>
      <c r="X13387" t="s">
        <v>44923</v>
      </c>
    </row>
    <row r="13388" spans="1:24">
      <c r="A13388">
        <f>HYPERLINK("https://www.philgeps.gov.ph/GEPSNONPILOT/Tender/SplashBidNoticeAbstractUI.aspx?menuIndex=3&amp;refID=7052297&amp;Result=3","7052297")</f>
        <v>0</v>
      </c>
      <c r="B13388" t="s">
        <v>626</v>
      </c>
      <c r="C13388" t="s">
        <v>16325</v>
      </c>
      <c r="D13388" t="s">
        <v>18158</v>
      </c>
      <c r="E13388" t="s">
        <v>19064</v>
      </c>
      <c r="F13388" t="s">
        <v>31362</v>
      </c>
      <c r="G13388" t="s">
        <v>31369</v>
      </c>
      <c r="H13388" t="s">
        <v>31378</v>
      </c>
      <c r="I13388" t="s">
        <v>31386</v>
      </c>
      <c r="J13388" t="s">
        <v>31578</v>
      </c>
      <c r="K13388" t="s">
        <v>40665</v>
      </c>
      <c r="M13388" t="s">
        <v>41585</v>
      </c>
      <c r="N13388" t="s">
        <v>44905</v>
      </c>
      <c r="O13388" t="s">
        <v>44906</v>
      </c>
      <c r="P13388">
        <v>0</v>
      </c>
      <c r="Q13388">
        <v>0</v>
      </c>
      <c r="R13388" t="s">
        <v>44922</v>
      </c>
      <c r="S13388" t="s">
        <v>45639</v>
      </c>
      <c r="T13388" t="s">
        <v>46713</v>
      </c>
      <c r="U13388" t="s">
        <v>57614</v>
      </c>
      <c r="W13388" t="s">
        <v>41585</v>
      </c>
      <c r="X13388" t="s">
        <v>44923</v>
      </c>
    </row>
    <row r="13389" spans="1:24">
      <c r="A13389">
        <f>HYPERLINK("https://www.philgeps.gov.ph/GEPSNONPILOT/Tender/SplashBidNoticeAbstractUI.aspx?menuIndex=3&amp;refID=7052418&amp;Result=3","7052418")</f>
        <v>0</v>
      </c>
      <c r="B13389" t="s">
        <v>2864</v>
      </c>
      <c r="C13389" t="s">
        <v>16326</v>
      </c>
      <c r="D13389" t="s">
        <v>18135</v>
      </c>
      <c r="E13389" t="s">
        <v>29760</v>
      </c>
      <c r="F13389" t="s">
        <v>31362</v>
      </c>
      <c r="G13389" t="s">
        <v>31369</v>
      </c>
      <c r="H13389" t="s">
        <v>31378</v>
      </c>
      <c r="I13389" t="s">
        <v>31386</v>
      </c>
      <c r="J13389" t="s">
        <v>39636</v>
      </c>
      <c r="K13389" t="s">
        <v>40935</v>
      </c>
      <c r="M13389" t="s">
        <v>44068</v>
      </c>
      <c r="N13389" t="s">
        <v>44905</v>
      </c>
      <c r="O13389" t="s">
        <v>44906</v>
      </c>
      <c r="Q13389">
        <v>5</v>
      </c>
      <c r="R13389" t="s">
        <v>44922</v>
      </c>
      <c r="S13389" t="s">
        <v>45722</v>
      </c>
      <c r="T13389" t="s">
        <v>46435</v>
      </c>
      <c r="U13389" t="s">
        <v>55060</v>
      </c>
      <c r="V13389" t="s">
        <v>60580</v>
      </c>
      <c r="W13389" t="s">
        <v>44068</v>
      </c>
      <c r="X13389" t="s">
        <v>44923</v>
      </c>
    </row>
    <row r="13390" spans="1:24">
      <c r="A13390">
        <f>HYPERLINK("https://www.philgeps.gov.ph/GEPSNONPILOT/Tender/SplashBidNoticeAbstractUI.aspx?menuIndex=3&amp;refID=7052410&amp;Result=3","7052410")</f>
        <v>0</v>
      </c>
      <c r="B13390" t="s">
        <v>2864</v>
      </c>
      <c r="C13390" t="s">
        <v>16327</v>
      </c>
      <c r="D13390" t="s">
        <v>18135</v>
      </c>
      <c r="E13390" t="s">
        <v>29761</v>
      </c>
      <c r="F13390" t="s">
        <v>31362</v>
      </c>
      <c r="G13390" t="s">
        <v>31369</v>
      </c>
      <c r="H13390" t="s">
        <v>31378</v>
      </c>
      <c r="I13390" t="s">
        <v>31386</v>
      </c>
      <c r="J13390" t="s">
        <v>39637</v>
      </c>
      <c r="K13390" t="s">
        <v>40894</v>
      </c>
      <c r="M13390" t="s">
        <v>44068</v>
      </c>
      <c r="N13390" t="s">
        <v>44905</v>
      </c>
      <c r="O13390" t="s">
        <v>44906</v>
      </c>
      <c r="Q13390">
        <v>7</v>
      </c>
      <c r="R13390" t="s">
        <v>44922</v>
      </c>
      <c r="S13390" t="s">
        <v>45723</v>
      </c>
      <c r="T13390" t="s">
        <v>46435</v>
      </c>
      <c r="U13390" t="s">
        <v>55060</v>
      </c>
      <c r="V13390" t="s">
        <v>60581</v>
      </c>
      <c r="W13390" t="s">
        <v>44068</v>
      </c>
      <c r="X13390" t="s">
        <v>44923</v>
      </c>
    </row>
    <row r="13391" spans="1:24">
      <c r="A13391">
        <f>HYPERLINK("https://www.philgeps.gov.ph/GEPSNONPILOT/Tender/SplashBidNoticeAbstractUI.aspx?menuIndex=3&amp;refID=7052261&amp;Result=3","7052261")</f>
        <v>0</v>
      </c>
      <c r="B13391" t="s">
        <v>2875</v>
      </c>
      <c r="C13391" t="s">
        <v>16328</v>
      </c>
      <c r="D13391" t="s">
        <v>18100</v>
      </c>
      <c r="E13391" t="s">
        <v>19224</v>
      </c>
      <c r="F13391" t="s">
        <v>31362</v>
      </c>
      <c r="G13391" t="s">
        <v>31368</v>
      </c>
      <c r="H13391" t="s">
        <v>15799</v>
      </c>
      <c r="I13391" t="s">
        <v>31485</v>
      </c>
      <c r="J13391" t="s">
        <v>31983</v>
      </c>
      <c r="K13391" t="s">
        <v>40693</v>
      </c>
      <c r="M13391" t="s">
        <v>44084</v>
      </c>
      <c r="N13391" t="s">
        <v>44905</v>
      </c>
      <c r="O13391" t="s">
        <v>44906</v>
      </c>
      <c r="P13391">
        <v>0</v>
      </c>
      <c r="Q13391">
        <v>0</v>
      </c>
      <c r="R13391" t="s">
        <v>44922</v>
      </c>
      <c r="S13391" t="s">
        <v>45639</v>
      </c>
      <c r="T13391" t="s">
        <v>46443</v>
      </c>
      <c r="U13391" t="s">
        <v>57615</v>
      </c>
      <c r="W13391" t="s">
        <v>44084</v>
      </c>
      <c r="X13391" t="s">
        <v>44923</v>
      </c>
    </row>
    <row r="13392" spans="1:24">
      <c r="A13392">
        <f>HYPERLINK("https://www.philgeps.gov.ph/GEPSNONPILOT/Tender/SplashBidNoticeAbstractUI.aspx?menuIndex=3&amp;refID=7052398&amp;Result=3","7052398")</f>
        <v>0</v>
      </c>
      <c r="B13392" t="s">
        <v>3361</v>
      </c>
      <c r="C13392" t="s">
        <v>16329</v>
      </c>
      <c r="D13392" t="s">
        <v>18128</v>
      </c>
      <c r="E13392" t="s">
        <v>29762</v>
      </c>
      <c r="F13392" t="s">
        <v>31362</v>
      </c>
      <c r="G13392" t="s">
        <v>31369</v>
      </c>
      <c r="H13392" t="s">
        <v>31378</v>
      </c>
      <c r="I13392" t="s">
        <v>31386</v>
      </c>
      <c r="J13392" t="s">
        <v>39638</v>
      </c>
      <c r="K13392" t="s">
        <v>40686</v>
      </c>
      <c r="M13392" t="s">
        <v>44661</v>
      </c>
      <c r="N13392" t="s">
        <v>44905</v>
      </c>
      <c r="O13392" t="s">
        <v>44906</v>
      </c>
      <c r="P13392">
        <v>0</v>
      </c>
      <c r="Q13392">
        <v>2</v>
      </c>
      <c r="R13392" t="s">
        <v>44922</v>
      </c>
      <c r="S13392" t="s">
        <v>45639</v>
      </c>
      <c r="T13392" t="s">
        <v>46406</v>
      </c>
      <c r="U13392" t="s">
        <v>57616</v>
      </c>
      <c r="W13392" t="s">
        <v>44661</v>
      </c>
      <c r="X13392" t="s">
        <v>44923</v>
      </c>
    </row>
    <row r="13393" spans="1:24">
      <c r="A13393">
        <f>HYPERLINK("https://www.philgeps.gov.ph/GEPSNONPILOT/Tender/SplashBidNoticeAbstractUI.aspx?menuIndex=3&amp;refID=7052420&amp;Result=3","7052420")</f>
        <v>0</v>
      </c>
      <c r="B13393" t="s">
        <v>2837</v>
      </c>
      <c r="C13393" t="s">
        <v>16330</v>
      </c>
      <c r="D13393" t="s">
        <v>18140</v>
      </c>
      <c r="E13393" t="s">
        <v>29763</v>
      </c>
      <c r="F13393" t="s">
        <v>31362</v>
      </c>
      <c r="G13393" t="s">
        <v>31369</v>
      </c>
      <c r="H13393" t="s">
        <v>31378</v>
      </c>
      <c r="I13393" t="s">
        <v>31386</v>
      </c>
      <c r="J13393" t="s">
        <v>39639</v>
      </c>
      <c r="K13393" t="s">
        <v>40676</v>
      </c>
      <c r="M13393" t="s">
        <v>44038</v>
      </c>
      <c r="N13393" t="s">
        <v>44905</v>
      </c>
      <c r="O13393" t="s">
        <v>44906</v>
      </c>
      <c r="P13393">
        <v>0</v>
      </c>
      <c r="Q13393">
        <v>1</v>
      </c>
      <c r="R13393" t="s">
        <v>44922</v>
      </c>
      <c r="S13393" t="s">
        <v>45639</v>
      </c>
      <c r="T13393" t="s">
        <v>46447</v>
      </c>
      <c r="U13393" t="s">
        <v>57617</v>
      </c>
      <c r="W13393" t="s">
        <v>44038</v>
      </c>
      <c r="X13393" t="s">
        <v>44923</v>
      </c>
    </row>
    <row r="13394" spans="1:24">
      <c r="A13394">
        <f>HYPERLINK("https://www.philgeps.gov.ph/GEPSNONPILOT/Tender/SplashBidNoticeAbstractUI.aspx?menuIndex=3&amp;refID=7052384&amp;Result=3","7052384")</f>
        <v>0</v>
      </c>
      <c r="B13394" t="s">
        <v>3361</v>
      </c>
      <c r="C13394" t="s">
        <v>16331</v>
      </c>
      <c r="D13394" t="s">
        <v>18128</v>
      </c>
      <c r="E13394" t="s">
        <v>18547</v>
      </c>
      <c r="F13394" t="s">
        <v>31362</v>
      </c>
      <c r="G13394" t="s">
        <v>31369</v>
      </c>
      <c r="H13394" t="s">
        <v>31378</v>
      </c>
      <c r="I13394" t="s">
        <v>31386</v>
      </c>
      <c r="J13394" t="s">
        <v>31625</v>
      </c>
      <c r="K13394" t="s">
        <v>40682</v>
      </c>
      <c r="M13394" t="s">
        <v>44661</v>
      </c>
      <c r="N13394" t="s">
        <v>44905</v>
      </c>
      <c r="O13394" t="s">
        <v>44906</v>
      </c>
      <c r="P13394">
        <v>0</v>
      </c>
      <c r="Q13394">
        <v>1</v>
      </c>
      <c r="R13394" t="s">
        <v>44922</v>
      </c>
      <c r="S13394" t="s">
        <v>45639</v>
      </c>
      <c r="T13394" t="s">
        <v>46406</v>
      </c>
      <c r="U13394" t="s">
        <v>57616</v>
      </c>
      <c r="W13394" t="s">
        <v>44661</v>
      </c>
      <c r="X13394" t="s">
        <v>44923</v>
      </c>
    </row>
    <row r="13395" spans="1:24">
      <c r="A13395">
        <f>HYPERLINK("https://www.philgeps.gov.ph/GEPSNONPILOT/Tender/SplashBidNoticeAbstractUI.aspx?menuIndex=3&amp;refID=7052340&amp;Result=3","7052340")</f>
        <v>0</v>
      </c>
      <c r="B13395" t="s">
        <v>1629</v>
      </c>
      <c r="C13395" t="s">
        <v>16332</v>
      </c>
      <c r="D13395" t="s">
        <v>18101</v>
      </c>
      <c r="E13395" t="s">
        <v>29764</v>
      </c>
      <c r="F13395" t="s">
        <v>31362</v>
      </c>
      <c r="G13395" t="s">
        <v>31369</v>
      </c>
      <c r="H13395" t="s">
        <v>31378</v>
      </c>
      <c r="I13395" t="s">
        <v>31386</v>
      </c>
      <c r="J13395" t="s">
        <v>39640</v>
      </c>
      <c r="K13395" t="s">
        <v>40692</v>
      </c>
      <c r="M13395" t="s">
        <v>44089</v>
      </c>
      <c r="N13395" t="s">
        <v>44905</v>
      </c>
      <c r="O13395" t="s">
        <v>44906</v>
      </c>
      <c r="Q13395">
        <v>19</v>
      </c>
      <c r="R13395" t="s">
        <v>44922</v>
      </c>
      <c r="S13395" t="s">
        <v>45724</v>
      </c>
      <c r="T13395" t="s">
        <v>46425</v>
      </c>
      <c r="U13395" t="s">
        <v>57606</v>
      </c>
      <c r="V13395" t="s">
        <v>60582</v>
      </c>
      <c r="W13395" t="s">
        <v>44089</v>
      </c>
      <c r="X13395" t="s">
        <v>44923</v>
      </c>
    </row>
    <row r="13396" spans="1:24">
      <c r="A13396">
        <f>HYPERLINK("https://www.philgeps.gov.ph/GEPSNONPILOT/Tender/SplashBidNoticeAbstractUI.aspx?menuIndex=3&amp;refID=7052337&amp;Result=3","7052337")</f>
        <v>0</v>
      </c>
      <c r="B13396" t="s">
        <v>691</v>
      </c>
      <c r="C13396" t="s">
        <v>16333</v>
      </c>
      <c r="D13396" t="s">
        <v>18167</v>
      </c>
      <c r="E13396" t="s">
        <v>29765</v>
      </c>
      <c r="F13396" t="s">
        <v>31362</v>
      </c>
      <c r="G13396" t="s">
        <v>31369</v>
      </c>
      <c r="H13396" t="s">
        <v>15799</v>
      </c>
      <c r="I13396" t="s">
        <v>31409</v>
      </c>
      <c r="J13396" t="s">
        <v>31606</v>
      </c>
      <c r="K13396" t="s">
        <v>40677</v>
      </c>
      <c r="M13396" t="s">
        <v>41654</v>
      </c>
      <c r="N13396" t="s">
        <v>44905</v>
      </c>
      <c r="O13396" t="s">
        <v>44906</v>
      </c>
      <c r="P13396">
        <v>0</v>
      </c>
      <c r="Q13396">
        <v>8</v>
      </c>
      <c r="R13396" t="s">
        <v>44922</v>
      </c>
      <c r="S13396" t="s">
        <v>45639</v>
      </c>
      <c r="T13396" t="s">
        <v>46438</v>
      </c>
      <c r="U13396" t="s">
        <v>57618</v>
      </c>
      <c r="W13396" t="s">
        <v>41654</v>
      </c>
      <c r="X13396" t="s">
        <v>44923</v>
      </c>
    </row>
    <row r="13397" spans="1:24">
      <c r="A13397">
        <f>HYPERLINK("https://www.philgeps.gov.ph/GEPSNONPILOT/Tender/SplashBidNoticeAbstractUI.aspx?menuIndex=3&amp;refID=7052336&amp;Result=3","7052336")</f>
        <v>0</v>
      </c>
      <c r="B13397" t="s">
        <v>800</v>
      </c>
      <c r="C13397" t="s">
        <v>16334</v>
      </c>
      <c r="D13397" t="s">
        <v>18130</v>
      </c>
      <c r="E13397" t="s">
        <v>29766</v>
      </c>
      <c r="F13397" t="s">
        <v>31362</v>
      </c>
      <c r="G13397" t="s">
        <v>31369</v>
      </c>
      <c r="H13397" t="s">
        <v>31377</v>
      </c>
      <c r="I13397" t="s">
        <v>31386</v>
      </c>
      <c r="J13397" t="s">
        <v>39641</v>
      </c>
      <c r="K13397" t="s">
        <v>40666</v>
      </c>
      <c r="M13397" t="s">
        <v>41770</v>
      </c>
      <c r="N13397" t="s">
        <v>44905</v>
      </c>
      <c r="O13397" t="s">
        <v>44906</v>
      </c>
      <c r="P13397">
        <v>0</v>
      </c>
      <c r="Q13397">
        <v>0</v>
      </c>
      <c r="R13397" t="s">
        <v>44922</v>
      </c>
      <c r="S13397" t="s">
        <v>45639</v>
      </c>
      <c r="T13397" t="s">
        <v>46435</v>
      </c>
      <c r="U13397" t="s">
        <v>57619</v>
      </c>
      <c r="W13397" t="s">
        <v>41770</v>
      </c>
      <c r="X13397" t="s">
        <v>44923</v>
      </c>
    </row>
    <row r="13398" spans="1:24">
      <c r="A13398">
        <f>HYPERLINK("https://www.philgeps.gov.ph/GEPSNONPILOT/Tender/SplashBidNoticeAbstractUI.aspx?menuIndex=3&amp;refID=7052327&amp;Result=3","7052327")</f>
        <v>0</v>
      </c>
      <c r="B13398" t="s">
        <v>28</v>
      </c>
      <c r="C13398" t="s">
        <v>16335</v>
      </c>
      <c r="D13398" t="s">
        <v>18102</v>
      </c>
      <c r="E13398" t="s">
        <v>29767</v>
      </c>
      <c r="F13398" t="s">
        <v>31362</v>
      </c>
      <c r="G13398" t="s">
        <v>31369</v>
      </c>
      <c r="H13398" t="s">
        <v>31379</v>
      </c>
      <c r="I13398" t="s">
        <v>31436</v>
      </c>
      <c r="J13398" t="s">
        <v>39642</v>
      </c>
      <c r="K13398" t="s">
        <v>40683</v>
      </c>
      <c r="M13398" t="s">
        <v>41994</v>
      </c>
      <c r="N13398" t="s">
        <v>44905</v>
      </c>
      <c r="O13398" t="s">
        <v>44906</v>
      </c>
      <c r="Q13398">
        <v>5</v>
      </c>
      <c r="R13398" t="s">
        <v>44922</v>
      </c>
      <c r="S13398" t="s">
        <v>45362</v>
      </c>
      <c r="T13398" t="s">
        <v>46440</v>
      </c>
      <c r="U13398" t="s">
        <v>57620</v>
      </c>
      <c r="W13398" t="s">
        <v>41994</v>
      </c>
      <c r="X13398" t="s">
        <v>44923</v>
      </c>
    </row>
    <row r="13399" spans="1:24">
      <c r="A13399">
        <f>HYPERLINK("https://www.philgeps.gov.ph/GEPSNONPILOT/Tender/SplashBidNoticeAbstractUI.aspx?menuIndex=3&amp;refID=7052369&amp;Result=3","7052369")</f>
        <v>0</v>
      </c>
      <c r="B13399" t="s">
        <v>833</v>
      </c>
      <c r="C13399" t="s">
        <v>16336</v>
      </c>
      <c r="D13399" t="s">
        <v>18171</v>
      </c>
      <c r="E13399" t="s">
        <v>29768</v>
      </c>
      <c r="F13399" t="s">
        <v>31362</v>
      </c>
      <c r="G13399" t="s">
        <v>31369</v>
      </c>
      <c r="H13399" t="s">
        <v>31378</v>
      </c>
      <c r="I13399" t="s">
        <v>31386</v>
      </c>
      <c r="J13399" t="s">
        <v>33300</v>
      </c>
      <c r="K13399" t="s">
        <v>40783</v>
      </c>
      <c r="M13399" t="s">
        <v>41807</v>
      </c>
      <c r="N13399" t="s">
        <v>44905</v>
      </c>
      <c r="O13399" t="s">
        <v>44906</v>
      </c>
      <c r="Q13399">
        <v>1</v>
      </c>
      <c r="R13399" t="s">
        <v>44922</v>
      </c>
      <c r="S13399" t="s">
        <v>45725</v>
      </c>
      <c r="T13399" t="s">
        <v>46435</v>
      </c>
      <c r="U13399" t="s">
        <v>57621</v>
      </c>
      <c r="V13399" t="s">
        <v>60583</v>
      </c>
      <c r="W13399" t="s">
        <v>41807</v>
      </c>
      <c r="X13399" t="s">
        <v>44923</v>
      </c>
    </row>
    <row r="13400" spans="1:24">
      <c r="A13400">
        <f>HYPERLINK("https://www.philgeps.gov.ph/GEPSNONPILOT/Tender/SplashBidNoticeAbstractUI.aspx?menuIndex=3&amp;refID=7052344&amp;Result=3","7052344")</f>
        <v>0</v>
      </c>
      <c r="B13400" t="s">
        <v>800</v>
      </c>
      <c r="C13400" t="s">
        <v>16337</v>
      </c>
      <c r="D13400" t="s">
        <v>18130</v>
      </c>
      <c r="E13400" t="s">
        <v>29769</v>
      </c>
      <c r="F13400" t="s">
        <v>31362</v>
      </c>
      <c r="G13400" t="s">
        <v>31369</v>
      </c>
      <c r="H13400" t="s">
        <v>31377</v>
      </c>
      <c r="I13400" t="s">
        <v>31386</v>
      </c>
      <c r="J13400" t="s">
        <v>39643</v>
      </c>
      <c r="K13400" t="s">
        <v>40718</v>
      </c>
      <c r="M13400" t="s">
        <v>41770</v>
      </c>
      <c r="N13400" t="s">
        <v>44905</v>
      </c>
      <c r="O13400" t="s">
        <v>44906</v>
      </c>
      <c r="P13400">
        <v>0</v>
      </c>
      <c r="Q13400">
        <v>0</v>
      </c>
      <c r="R13400" t="s">
        <v>44922</v>
      </c>
      <c r="S13400" t="s">
        <v>45639</v>
      </c>
      <c r="T13400" t="s">
        <v>46435</v>
      </c>
      <c r="U13400" t="s">
        <v>57622</v>
      </c>
      <c r="W13400" t="s">
        <v>41770</v>
      </c>
      <c r="X13400" t="s">
        <v>44923</v>
      </c>
    </row>
    <row r="13401" spans="1:24">
      <c r="A13401">
        <f>HYPERLINK("https://www.philgeps.gov.ph/GEPSNONPILOT/Tender/SplashBidNoticeAbstractUI.aspx?menuIndex=3&amp;refID=7052405&amp;Result=3","7052405")</f>
        <v>0</v>
      </c>
      <c r="B13401" t="s">
        <v>3361</v>
      </c>
      <c r="C13401" t="s">
        <v>16338</v>
      </c>
      <c r="D13401" t="s">
        <v>18128</v>
      </c>
      <c r="E13401" t="s">
        <v>29770</v>
      </c>
      <c r="F13401" t="s">
        <v>31362</v>
      </c>
      <c r="G13401" t="s">
        <v>31369</v>
      </c>
      <c r="H13401" t="s">
        <v>31378</v>
      </c>
      <c r="I13401" t="s">
        <v>31386</v>
      </c>
      <c r="J13401" t="s">
        <v>39644</v>
      </c>
      <c r="K13401" t="s">
        <v>40694</v>
      </c>
      <c r="M13401" t="s">
        <v>44661</v>
      </c>
      <c r="N13401" t="s">
        <v>44905</v>
      </c>
      <c r="O13401" t="s">
        <v>44906</v>
      </c>
      <c r="P13401">
        <v>0</v>
      </c>
      <c r="Q13401">
        <v>3</v>
      </c>
      <c r="R13401" t="s">
        <v>44922</v>
      </c>
      <c r="S13401" t="s">
        <v>45639</v>
      </c>
      <c r="T13401" t="s">
        <v>46406</v>
      </c>
      <c r="U13401" t="s">
        <v>57623</v>
      </c>
      <c r="W13401" t="s">
        <v>44661</v>
      </c>
      <c r="X13401" t="s">
        <v>44923</v>
      </c>
    </row>
    <row r="13402" spans="1:24">
      <c r="A13402">
        <f>HYPERLINK("https://www.philgeps.gov.ph/GEPSNONPILOT/Tender/SplashBidNoticeAbstractUI.aspx?menuIndex=3&amp;refID=7052324&amp;Result=3","7052324")</f>
        <v>0</v>
      </c>
      <c r="B13402" t="s">
        <v>1683</v>
      </c>
      <c r="C13402" t="s">
        <v>16339</v>
      </c>
      <c r="D13402" t="s">
        <v>18169</v>
      </c>
      <c r="E13402" t="s">
        <v>29771</v>
      </c>
      <c r="F13402" t="s">
        <v>31362</v>
      </c>
      <c r="G13402" t="s">
        <v>31369</v>
      </c>
      <c r="H13402" t="s">
        <v>15799</v>
      </c>
      <c r="I13402" t="s">
        <v>31422</v>
      </c>
      <c r="J13402" t="s">
        <v>39645</v>
      </c>
      <c r="K13402" t="s">
        <v>40666</v>
      </c>
      <c r="M13402" t="s">
        <v>42748</v>
      </c>
      <c r="N13402" t="s">
        <v>44905</v>
      </c>
      <c r="O13402" t="s">
        <v>44906</v>
      </c>
      <c r="Q13402">
        <v>4</v>
      </c>
      <c r="R13402" t="s">
        <v>44922</v>
      </c>
      <c r="S13402" t="s">
        <v>45726</v>
      </c>
      <c r="T13402" t="s">
        <v>46394</v>
      </c>
      <c r="U13402" t="s">
        <v>57624</v>
      </c>
      <c r="W13402" t="s">
        <v>42748</v>
      </c>
      <c r="X13402" t="s">
        <v>44923</v>
      </c>
    </row>
    <row r="13403" spans="1:24">
      <c r="A13403">
        <f>HYPERLINK("https://www.philgeps.gov.ph/GEPSNONPILOT/Tender/SplashBidNoticeAbstractUI.aspx?menuIndex=3&amp;refID=7052320&amp;Result=3","7052320")</f>
        <v>0</v>
      </c>
      <c r="B13403" t="s">
        <v>1629</v>
      </c>
      <c r="C13403" t="s">
        <v>16340</v>
      </c>
      <c r="D13403" t="s">
        <v>18116</v>
      </c>
      <c r="E13403" t="s">
        <v>29772</v>
      </c>
      <c r="F13403" t="s">
        <v>31362</v>
      </c>
      <c r="G13403" t="s">
        <v>31369</v>
      </c>
      <c r="H13403" t="s">
        <v>31378</v>
      </c>
      <c r="I13403" t="s">
        <v>31386</v>
      </c>
      <c r="J13403" t="s">
        <v>39646</v>
      </c>
      <c r="K13403" t="s">
        <v>40692</v>
      </c>
      <c r="M13403" t="s">
        <v>44089</v>
      </c>
      <c r="N13403" t="s">
        <v>44905</v>
      </c>
      <c r="O13403" t="s">
        <v>44906</v>
      </c>
      <c r="Q13403">
        <v>17</v>
      </c>
      <c r="R13403" t="s">
        <v>44922</v>
      </c>
      <c r="S13403" t="s">
        <v>45727</v>
      </c>
      <c r="T13403" t="s">
        <v>46425</v>
      </c>
      <c r="U13403" t="s">
        <v>57606</v>
      </c>
      <c r="V13403" t="s">
        <v>60576</v>
      </c>
      <c r="W13403" t="s">
        <v>44089</v>
      </c>
      <c r="X13403" t="s">
        <v>44923</v>
      </c>
    </row>
    <row r="13404" spans="1:24">
      <c r="A13404">
        <f>HYPERLINK("https://www.philgeps.gov.ph/GEPSNONPILOT/Tender/SplashBidNoticeAbstractUI.aspx?menuIndex=3&amp;refID=7052416&amp;Result=3","7052416")</f>
        <v>0</v>
      </c>
      <c r="B13404" t="s">
        <v>3361</v>
      </c>
      <c r="C13404" t="s">
        <v>16341</v>
      </c>
      <c r="D13404" t="s">
        <v>18128</v>
      </c>
      <c r="E13404" t="s">
        <v>23869</v>
      </c>
      <c r="F13404" t="s">
        <v>31362</v>
      </c>
      <c r="G13404" t="s">
        <v>31369</v>
      </c>
      <c r="H13404" t="s">
        <v>31378</v>
      </c>
      <c r="I13404" t="s">
        <v>31386</v>
      </c>
      <c r="J13404" t="s">
        <v>39647</v>
      </c>
      <c r="K13404" t="s">
        <v>40679</v>
      </c>
      <c r="M13404" t="s">
        <v>44661</v>
      </c>
      <c r="N13404" t="s">
        <v>44905</v>
      </c>
      <c r="O13404" t="s">
        <v>44906</v>
      </c>
      <c r="P13404">
        <v>0</v>
      </c>
      <c r="Q13404">
        <v>2</v>
      </c>
      <c r="R13404" t="s">
        <v>44922</v>
      </c>
      <c r="S13404" t="s">
        <v>45639</v>
      </c>
      <c r="T13404" t="s">
        <v>46406</v>
      </c>
      <c r="U13404" t="s">
        <v>57616</v>
      </c>
      <c r="W13404" t="s">
        <v>44661</v>
      </c>
      <c r="X13404" t="s">
        <v>44923</v>
      </c>
    </row>
    <row r="13405" spans="1:24">
      <c r="A13405">
        <f>HYPERLINK("https://www.philgeps.gov.ph/GEPSNONPILOT/Tender/SplashBidNoticeAbstractUI.aspx?menuIndex=3&amp;refID=7052475&amp;Result=3","7052475")</f>
        <v>0</v>
      </c>
      <c r="B13405" t="s">
        <v>3362</v>
      </c>
      <c r="C13405" t="s">
        <v>16342</v>
      </c>
      <c r="D13405" t="s">
        <v>18104</v>
      </c>
      <c r="E13405" t="s">
        <v>29773</v>
      </c>
      <c r="F13405" t="s">
        <v>31362</v>
      </c>
      <c r="G13405" t="s">
        <v>31369</v>
      </c>
      <c r="H13405" t="s">
        <v>31378</v>
      </c>
      <c r="I13405" t="s">
        <v>31386</v>
      </c>
      <c r="J13405" t="s">
        <v>31591</v>
      </c>
      <c r="K13405" t="s">
        <v>40814</v>
      </c>
      <c r="M13405" t="s">
        <v>44662</v>
      </c>
      <c r="N13405" t="s">
        <v>44905</v>
      </c>
      <c r="O13405" t="s">
        <v>44906</v>
      </c>
      <c r="Q13405">
        <v>0</v>
      </c>
      <c r="R13405" t="s">
        <v>44922</v>
      </c>
      <c r="S13405" t="s">
        <v>45728</v>
      </c>
      <c r="T13405" t="s">
        <v>46447</v>
      </c>
      <c r="U13405" t="s">
        <v>57625</v>
      </c>
      <c r="W13405" t="s">
        <v>44662</v>
      </c>
      <c r="X13405" t="s">
        <v>44923</v>
      </c>
    </row>
    <row r="13406" spans="1:24">
      <c r="A13406">
        <f>HYPERLINK("https://www.philgeps.gov.ph/GEPSNONPILOT/Tender/SplashBidNoticeAbstractUI.aspx?menuIndex=3&amp;refID=7052484&amp;Result=3","7052484")</f>
        <v>0</v>
      </c>
      <c r="B13406" t="s">
        <v>3362</v>
      </c>
      <c r="C13406" t="s">
        <v>16343</v>
      </c>
      <c r="D13406" t="s">
        <v>18104</v>
      </c>
      <c r="E13406" t="s">
        <v>29774</v>
      </c>
      <c r="F13406" t="s">
        <v>31362</v>
      </c>
      <c r="G13406" t="s">
        <v>31369</v>
      </c>
      <c r="H13406" t="s">
        <v>31378</v>
      </c>
      <c r="I13406" t="s">
        <v>31386</v>
      </c>
      <c r="J13406" t="s">
        <v>31637</v>
      </c>
      <c r="K13406" t="s">
        <v>40892</v>
      </c>
      <c r="M13406" t="s">
        <v>44662</v>
      </c>
      <c r="N13406" t="s">
        <v>44905</v>
      </c>
      <c r="O13406" t="s">
        <v>44906</v>
      </c>
      <c r="Q13406">
        <v>1</v>
      </c>
      <c r="R13406" t="s">
        <v>44922</v>
      </c>
      <c r="S13406" t="s">
        <v>45729</v>
      </c>
      <c r="T13406" t="s">
        <v>46447</v>
      </c>
      <c r="U13406" t="s">
        <v>57626</v>
      </c>
      <c r="W13406" t="s">
        <v>44662</v>
      </c>
      <c r="X13406" t="s">
        <v>44923</v>
      </c>
    </row>
    <row r="13407" spans="1:24">
      <c r="A13407">
        <f>HYPERLINK("https://www.philgeps.gov.ph/GEPSNONPILOT/Tender/SplashBidNoticeAbstractUI.aspx?menuIndex=3&amp;refID=7052482&amp;Result=3","7052482")</f>
        <v>0</v>
      </c>
      <c r="B13407" t="s">
        <v>3362</v>
      </c>
      <c r="C13407" t="s">
        <v>16344</v>
      </c>
      <c r="D13407" t="s">
        <v>18104</v>
      </c>
      <c r="E13407" t="s">
        <v>29775</v>
      </c>
      <c r="F13407" t="s">
        <v>31362</v>
      </c>
      <c r="G13407" t="s">
        <v>31369</v>
      </c>
      <c r="H13407" t="s">
        <v>31378</v>
      </c>
      <c r="I13407" t="s">
        <v>31386</v>
      </c>
      <c r="J13407" t="s">
        <v>31637</v>
      </c>
      <c r="K13407" t="s">
        <v>40892</v>
      </c>
      <c r="M13407" t="s">
        <v>44662</v>
      </c>
      <c r="N13407" t="s">
        <v>44905</v>
      </c>
      <c r="O13407" t="s">
        <v>44906</v>
      </c>
      <c r="Q13407">
        <v>1</v>
      </c>
      <c r="R13407" t="s">
        <v>44922</v>
      </c>
      <c r="S13407" t="s">
        <v>45729</v>
      </c>
      <c r="T13407" t="s">
        <v>46447</v>
      </c>
      <c r="U13407" t="s">
        <v>57627</v>
      </c>
      <c r="W13407" t="s">
        <v>44662</v>
      </c>
      <c r="X13407" t="s">
        <v>44923</v>
      </c>
    </row>
    <row r="13408" spans="1:24">
      <c r="A13408">
        <f>HYPERLINK("https://www.philgeps.gov.ph/GEPSNONPILOT/Tender/SplashBidNoticeAbstractUI.aspx?menuIndex=3&amp;refID=7052321&amp;Result=3","7052321")</f>
        <v>0</v>
      </c>
      <c r="B13408" t="s">
        <v>495</v>
      </c>
      <c r="C13408" t="s">
        <v>16345</v>
      </c>
      <c r="D13408" t="s">
        <v>18116</v>
      </c>
      <c r="E13408" t="s">
        <v>29776</v>
      </c>
      <c r="F13408" t="s">
        <v>31362</v>
      </c>
      <c r="G13408" t="s">
        <v>31369</v>
      </c>
      <c r="H13408" t="s">
        <v>31378</v>
      </c>
      <c r="I13408" t="s">
        <v>31386</v>
      </c>
      <c r="J13408" t="s">
        <v>39648</v>
      </c>
      <c r="K13408" t="s">
        <v>40684</v>
      </c>
      <c r="M13408" t="s">
        <v>41450</v>
      </c>
      <c r="N13408" t="s">
        <v>44905</v>
      </c>
      <c r="O13408" t="s">
        <v>44906</v>
      </c>
      <c r="P13408">
        <v>0</v>
      </c>
      <c r="Q13408">
        <v>0</v>
      </c>
      <c r="R13408" t="s">
        <v>44922</v>
      </c>
      <c r="S13408" t="s">
        <v>45639</v>
      </c>
      <c r="T13408" t="s">
        <v>46467</v>
      </c>
      <c r="U13408" t="s">
        <v>57628</v>
      </c>
      <c r="W13408" t="s">
        <v>41450</v>
      </c>
      <c r="X13408" t="s">
        <v>44923</v>
      </c>
    </row>
    <row r="13409" spans="1:24">
      <c r="A13409">
        <f>HYPERLINK("https://www.philgeps.gov.ph/GEPSNONPILOT/Tender/SplashBidNoticeAbstractUI.aspx?menuIndex=3&amp;refID=7052480&amp;Result=3","7052480")</f>
        <v>0</v>
      </c>
      <c r="B13409" t="s">
        <v>3362</v>
      </c>
      <c r="C13409" t="s">
        <v>16346</v>
      </c>
      <c r="D13409" t="s">
        <v>18104</v>
      </c>
      <c r="E13409" t="s">
        <v>29777</v>
      </c>
      <c r="F13409" t="s">
        <v>31362</v>
      </c>
      <c r="G13409" t="s">
        <v>31369</v>
      </c>
      <c r="H13409" t="s">
        <v>31378</v>
      </c>
      <c r="I13409" t="s">
        <v>31386</v>
      </c>
      <c r="J13409" t="s">
        <v>31542</v>
      </c>
      <c r="K13409" t="s">
        <v>40795</v>
      </c>
      <c r="M13409" t="s">
        <v>44662</v>
      </c>
      <c r="N13409" t="s">
        <v>44905</v>
      </c>
      <c r="O13409" t="s">
        <v>44906</v>
      </c>
      <c r="Q13409">
        <v>1</v>
      </c>
      <c r="R13409" t="s">
        <v>44922</v>
      </c>
      <c r="S13409" t="s">
        <v>45730</v>
      </c>
      <c r="T13409" t="s">
        <v>46447</v>
      </c>
      <c r="U13409" t="s">
        <v>57629</v>
      </c>
      <c r="W13409" t="s">
        <v>44662</v>
      </c>
      <c r="X13409" t="s">
        <v>44923</v>
      </c>
    </row>
    <row r="13410" spans="1:24">
      <c r="A13410">
        <f>HYPERLINK("https://www.philgeps.gov.ph/GEPSNONPILOT/Tender/SplashBidNoticeAbstractUI.aspx?menuIndex=3&amp;refID=7052315&amp;Result=3","7052315")</f>
        <v>0</v>
      </c>
      <c r="B13410" t="s">
        <v>2875</v>
      </c>
      <c r="C13410" t="s">
        <v>16347</v>
      </c>
      <c r="D13410" t="s">
        <v>18100</v>
      </c>
      <c r="E13410" t="s">
        <v>18479</v>
      </c>
      <c r="F13410" t="s">
        <v>31362</v>
      </c>
      <c r="G13410" t="s">
        <v>31368</v>
      </c>
      <c r="H13410" t="s">
        <v>15799</v>
      </c>
      <c r="I13410" t="s">
        <v>6155</v>
      </c>
      <c r="J13410" t="s">
        <v>39649</v>
      </c>
      <c r="K13410" t="s">
        <v>40693</v>
      </c>
      <c r="M13410" t="s">
        <v>44084</v>
      </c>
      <c r="N13410" t="s">
        <v>44905</v>
      </c>
      <c r="O13410" t="s">
        <v>44906</v>
      </c>
      <c r="P13410">
        <v>0</v>
      </c>
      <c r="Q13410">
        <v>0</v>
      </c>
      <c r="R13410" t="s">
        <v>44922</v>
      </c>
      <c r="S13410" t="s">
        <v>45639</v>
      </c>
      <c r="T13410" t="s">
        <v>46443</v>
      </c>
      <c r="U13410" t="s">
        <v>57630</v>
      </c>
      <c r="W13410" t="s">
        <v>44084</v>
      </c>
      <c r="X13410" t="s">
        <v>44923</v>
      </c>
    </row>
    <row r="13411" spans="1:24">
      <c r="A13411">
        <f>HYPERLINK("https://www.philgeps.gov.ph/GEPSNONPILOT/Tender/SplashBidNoticeAbstractUI.aspx?menuIndex=3&amp;refID=7052479&amp;Result=3","7052479")</f>
        <v>0</v>
      </c>
      <c r="B13411" t="s">
        <v>860</v>
      </c>
      <c r="C13411" t="s">
        <v>16348</v>
      </c>
      <c r="D13411" t="s">
        <v>18166</v>
      </c>
      <c r="E13411" t="s">
        <v>29778</v>
      </c>
      <c r="F13411" t="s">
        <v>31362</v>
      </c>
      <c r="G13411" t="s">
        <v>31369</v>
      </c>
      <c r="H13411" t="s">
        <v>31378</v>
      </c>
      <c r="I13411" t="s">
        <v>31386</v>
      </c>
      <c r="J13411" t="s">
        <v>31606</v>
      </c>
      <c r="K13411" t="s">
        <v>40774</v>
      </c>
      <c r="M13411" t="s">
        <v>41836</v>
      </c>
      <c r="N13411" t="s">
        <v>44905</v>
      </c>
      <c r="O13411" t="s">
        <v>44906</v>
      </c>
      <c r="P13411">
        <v>0</v>
      </c>
      <c r="Q13411">
        <v>0</v>
      </c>
      <c r="R13411" t="s">
        <v>44922</v>
      </c>
      <c r="S13411" t="s">
        <v>45639</v>
      </c>
      <c r="T13411" t="s">
        <v>46467</v>
      </c>
      <c r="U13411" t="s">
        <v>48752</v>
      </c>
      <c r="V13411" t="s">
        <v>59275</v>
      </c>
      <c r="W13411" t="s">
        <v>41836</v>
      </c>
      <c r="X13411" t="s">
        <v>44923</v>
      </c>
    </row>
    <row r="13412" spans="1:24">
      <c r="A13412">
        <f>HYPERLINK("https://www.philgeps.gov.ph/GEPSNONPILOT/Tender/SplashBidNoticeAbstractUI.aspx?menuIndex=3&amp;refID=7052477&amp;Result=3","7052477")</f>
        <v>0</v>
      </c>
      <c r="B13412" t="s">
        <v>3362</v>
      </c>
      <c r="C13412" t="s">
        <v>16349</v>
      </c>
      <c r="D13412" t="s">
        <v>18104</v>
      </c>
      <c r="E13412" t="s">
        <v>29779</v>
      </c>
      <c r="F13412" t="s">
        <v>31362</v>
      </c>
      <c r="G13412" t="s">
        <v>31369</v>
      </c>
      <c r="H13412" t="s">
        <v>31378</v>
      </c>
      <c r="I13412" t="s">
        <v>31386</v>
      </c>
      <c r="J13412" t="s">
        <v>31542</v>
      </c>
      <c r="K13412" t="s">
        <v>40675</v>
      </c>
      <c r="M13412" t="s">
        <v>44662</v>
      </c>
      <c r="N13412" t="s">
        <v>44905</v>
      </c>
      <c r="O13412" t="s">
        <v>44906</v>
      </c>
      <c r="Q13412">
        <v>1</v>
      </c>
      <c r="R13412" t="s">
        <v>44922</v>
      </c>
      <c r="S13412" t="s">
        <v>45731</v>
      </c>
      <c r="T13412" t="s">
        <v>46447</v>
      </c>
      <c r="U13412" t="s">
        <v>57631</v>
      </c>
      <c r="W13412" t="s">
        <v>44662</v>
      </c>
      <c r="X13412" t="s">
        <v>44923</v>
      </c>
    </row>
    <row r="13413" spans="1:24">
      <c r="A13413">
        <f>HYPERLINK("https://www.philgeps.gov.ph/GEPSNONPILOT/Tender/SplashBidNoticeAbstractUI.aspx?menuIndex=3&amp;refID=7052468&amp;Result=3","7052468")</f>
        <v>0</v>
      </c>
      <c r="B13413" t="s">
        <v>3362</v>
      </c>
      <c r="C13413" t="s">
        <v>16350</v>
      </c>
      <c r="D13413" t="s">
        <v>18104</v>
      </c>
      <c r="E13413" t="s">
        <v>29780</v>
      </c>
      <c r="F13413" t="s">
        <v>31362</v>
      </c>
      <c r="G13413" t="s">
        <v>31369</v>
      </c>
      <c r="H13413" t="s">
        <v>31378</v>
      </c>
      <c r="I13413" t="s">
        <v>31386</v>
      </c>
      <c r="J13413" t="s">
        <v>31542</v>
      </c>
      <c r="K13413" t="s">
        <v>40675</v>
      </c>
      <c r="M13413" t="s">
        <v>44662</v>
      </c>
      <c r="N13413" t="s">
        <v>44905</v>
      </c>
      <c r="O13413" t="s">
        <v>44906</v>
      </c>
      <c r="Q13413">
        <v>1</v>
      </c>
      <c r="R13413" t="s">
        <v>44922</v>
      </c>
      <c r="S13413" t="s">
        <v>45732</v>
      </c>
      <c r="T13413" t="s">
        <v>46447</v>
      </c>
      <c r="U13413" t="s">
        <v>57632</v>
      </c>
      <c r="W13413" t="s">
        <v>44662</v>
      </c>
      <c r="X13413" t="s">
        <v>44923</v>
      </c>
    </row>
    <row r="13414" spans="1:24">
      <c r="A13414">
        <f>HYPERLINK("https://www.philgeps.gov.ph/GEPSNONPILOT/Tender/SplashBidNoticeAbstractUI.aspx?menuIndex=3&amp;refID=7052465&amp;Result=3","7052465")</f>
        <v>0</v>
      </c>
      <c r="B13414" t="s">
        <v>3362</v>
      </c>
      <c r="C13414" t="s">
        <v>16351</v>
      </c>
      <c r="D13414" t="s">
        <v>18104</v>
      </c>
      <c r="E13414" t="s">
        <v>29781</v>
      </c>
      <c r="F13414" t="s">
        <v>31362</v>
      </c>
      <c r="G13414" t="s">
        <v>31369</v>
      </c>
      <c r="H13414" t="s">
        <v>31378</v>
      </c>
      <c r="I13414" t="s">
        <v>31386</v>
      </c>
      <c r="J13414" t="s">
        <v>31625</v>
      </c>
      <c r="K13414" t="s">
        <v>40861</v>
      </c>
      <c r="M13414" t="s">
        <v>44662</v>
      </c>
      <c r="N13414" t="s">
        <v>44905</v>
      </c>
      <c r="O13414" t="s">
        <v>44906</v>
      </c>
      <c r="Q13414">
        <v>1</v>
      </c>
      <c r="R13414" t="s">
        <v>44922</v>
      </c>
      <c r="S13414" t="s">
        <v>45733</v>
      </c>
      <c r="T13414" t="s">
        <v>46447</v>
      </c>
      <c r="U13414" t="s">
        <v>57633</v>
      </c>
      <c r="W13414" t="s">
        <v>44662</v>
      </c>
      <c r="X13414" t="s">
        <v>44923</v>
      </c>
    </row>
    <row r="13415" spans="1:24">
      <c r="A13415">
        <f>HYPERLINK("https://www.philgeps.gov.ph/GEPSNONPILOT/Tender/SplashBidNoticeAbstractUI.aspx?menuIndex=3&amp;refID=7052325&amp;Result=3","7052325")</f>
        <v>0</v>
      </c>
      <c r="B13415" t="s">
        <v>800</v>
      </c>
      <c r="C13415" t="s">
        <v>16352</v>
      </c>
      <c r="D13415" t="s">
        <v>18130</v>
      </c>
      <c r="E13415" t="s">
        <v>29782</v>
      </c>
      <c r="F13415" t="s">
        <v>31362</v>
      </c>
      <c r="G13415" t="s">
        <v>31369</v>
      </c>
      <c r="H13415" t="s">
        <v>31377</v>
      </c>
      <c r="I13415" t="s">
        <v>31386</v>
      </c>
      <c r="J13415" t="s">
        <v>39650</v>
      </c>
      <c r="K13415" t="s">
        <v>40670</v>
      </c>
      <c r="M13415" t="s">
        <v>41770</v>
      </c>
      <c r="N13415" t="s">
        <v>44905</v>
      </c>
      <c r="O13415" t="s">
        <v>44906</v>
      </c>
      <c r="P13415">
        <v>0</v>
      </c>
      <c r="Q13415">
        <v>1</v>
      </c>
      <c r="R13415" t="s">
        <v>44922</v>
      </c>
      <c r="S13415" t="s">
        <v>45639</v>
      </c>
      <c r="T13415" t="s">
        <v>46435</v>
      </c>
      <c r="U13415" t="s">
        <v>57634</v>
      </c>
      <c r="W13415" t="s">
        <v>41770</v>
      </c>
      <c r="X13415" t="s">
        <v>44923</v>
      </c>
    </row>
    <row r="13416" spans="1:24">
      <c r="A13416">
        <f>HYPERLINK("https://www.philgeps.gov.ph/GEPSNONPILOT/Tender/SplashBidNoticeAbstractUI.aspx?menuIndex=3&amp;refID=7052459&amp;Result=3","7052459")</f>
        <v>0</v>
      </c>
      <c r="B13416" t="s">
        <v>3362</v>
      </c>
      <c r="C13416" t="s">
        <v>16353</v>
      </c>
      <c r="D13416" t="s">
        <v>18104</v>
      </c>
      <c r="E13416" t="s">
        <v>29783</v>
      </c>
      <c r="F13416" t="s">
        <v>31362</v>
      </c>
      <c r="G13416" t="s">
        <v>31369</v>
      </c>
      <c r="H13416" t="s">
        <v>31378</v>
      </c>
      <c r="I13416" t="s">
        <v>31386</v>
      </c>
      <c r="J13416" t="s">
        <v>31625</v>
      </c>
      <c r="K13416" t="s">
        <v>40861</v>
      </c>
      <c r="M13416" t="s">
        <v>44662</v>
      </c>
      <c r="N13416" t="s">
        <v>44905</v>
      </c>
      <c r="O13416" t="s">
        <v>44906</v>
      </c>
      <c r="Q13416">
        <v>1</v>
      </c>
      <c r="R13416" t="s">
        <v>44922</v>
      </c>
      <c r="S13416" t="s">
        <v>45734</v>
      </c>
      <c r="T13416" t="s">
        <v>46447</v>
      </c>
      <c r="U13416" t="s">
        <v>57635</v>
      </c>
      <c r="W13416" t="s">
        <v>44662</v>
      </c>
      <c r="X13416" t="s">
        <v>44923</v>
      </c>
    </row>
    <row r="13417" spans="1:24">
      <c r="A13417">
        <f>HYPERLINK("https://www.philgeps.gov.ph/GEPSNONPILOT/Tender/SplashBidNoticeAbstractUI.aspx?menuIndex=3&amp;refID=7052379&amp;Result=3","7052379")</f>
        <v>0</v>
      </c>
      <c r="B13417" t="s">
        <v>2875</v>
      </c>
      <c r="C13417" t="s">
        <v>16354</v>
      </c>
      <c r="D13417" t="s">
        <v>18100</v>
      </c>
      <c r="E13417" t="s">
        <v>19128</v>
      </c>
      <c r="F13417" t="s">
        <v>31362</v>
      </c>
      <c r="G13417" t="s">
        <v>31368</v>
      </c>
      <c r="H13417" t="s">
        <v>15799</v>
      </c>
      <c r="I13417" t="s">
        <v>31385</v>
      </c>
      <c r="J13417" t="s">
        <v>32143</v>
      </c>
      <c r="K13417" t="s">
        <v>40693</v>
      </c>
      <c r="M13417" t="s">
        <v>44084</v>
      </c>
      <c r="N13417" t="s">
        <v>44905</v>
      </c>
      <c r="O13417" t="s">
        <v>44906</v>
      </c>
      <c r="P13417">
        <v>0</v>
      </c>
      <c r="Q13417">
        <v>1</v>
      </c>
      <c r="R13417" t="s">
        <v>44922</v>
      </c>
      <c r="S13417" t="s">
        <v>45639</v>
      </c>
      <c r="T13417" t="s">
        <v>46871</v>
      </c>
      <c r="U13417" t="s">
        <v>57636</v>
      </c>
      <c r="W13417" t="s">
        <v>44084</v>
      </c>
      <c r="X13417" t="s">
        <v>44923</v>
      </c>
    </row>
    <row r="13418" spans="1:24">
      <c r="A13418">
        <f>HYPERLINK("https://www.philgeps.gov.ph/GEPSNONPILOT/Tender/SplashBidNoticeAbstractUI.aspx?menuIndex=3&amp;refID=7052473&amp;Result=3","7052473")</f>
        <v>0</v>
      </c>
      <c r="B13418" t="s">
        <v>3362</v>
      </c>
      <c r="C13418" t="s">
        <v>16355</v>
      </c>
      <c r="D13418" t="s">
        <v>18104</v>
      </c>
      <c r="E13418" t="s">
        <v>29784</v>
      </c>
      <c r="F13418" t="s">
        <v>31362</v>
      </c>
      <c r="G13418" t="s">
        <v>31369</v>
      </c>
      <c r="H13418" t="s">
        <v>31378</v>
      </c>
      <c r="I13418" t="s">
        <v>31386</v>
      </c>
      <c r="J13418" t="s">
        <v>31738</v>
      </c>
      <c r="K13418" t="s">
        <v>40814</v>
      </c>
      <c r="M13418" t="s">
        <v>44662</v>
      </c>
      <c r="N13418" t="s">
        <v>44905</v>
      </c>
      <c r="O13418" t="s">
        <v>44906</v>
      </c>
      <c r="Q13418">
        <v>1</v>
      </c>
      <c r="R13418" t="s">
        <v>44922</v>
      </c>
      <c r="S13418" t="s">
        <v>45728</v>
      </c>
      <c r="T13418" t="s">
        <v>46447</v>
      </c>
      <c r="U13418" t="s">
        <v>57637</v>
      </c>
      <c r="W13418" t="s">
        <v>44662</v>
      </c>
      <c r="X13418" t="s">
        <v>44923</v>
      </c>
    </row>
    <row r="13419" spans="1:24">
      <c r="A13419">
        <f>HYPERLINK("https://www.philgeps.gov.ph/GEPSNONPILOT/Tender/SplashBidNoticeAbstractUI.aspx?menuIndex=3&amp;refID=7052452&amp;Result=3","7052452")</f>
        <v>0</v>
      </c>
      <c r="B13419" t="s">
        <v>2864</v>
      </c>
      <c r="C13419" t="s">
        <v>16356</v>
      </c>
      <c r="D13419" t="s">
        <v>18135</v>
      </c>
      <c r="E13419" t="s">
        <v>29785</v>
      </c>
      <c r="F13419" t="s">
        <v>31362</v>
      </c>
      <c r="G13419" t="s">
        <v>31369</v>
      </c>
      <c r="H13419" t="s">
        <v>31378</v>
      </c>
      <c r="I13419" t="s">
        <v>31386</v>
      </c>
      <c r="J13419" t="s">
        <v>39651</v>
      </c>
      <c r="K13419" t="s">
        <v>40935</v>
      </c>
      <c r="M13419" t="s">
        <v>44068</v>
      </c>
      <c r="N13419" t="s">
        <v>44905</v>
      </c>
      <c r="O13419" t="s">
        <v>44906</v>
      </c>
      <c r="P13419">
        <v>0</v>
      </c>
      <c r="Q13419">
        <v>5</v>
      </c>
      <c r="R13419" t="s">
        <v>44922</v>
      </c>
      <c r="S13419" t="s">
        <v>45639</v>
      </c>
      <c r="T13419" t="s">
        <v>46435</v>
      </c>
      <c r="U13419" t="s">
        <v>55060</v>
      </c>
      <c r="V13419" t="s">
        <v>60584</v>
      </c>
      <c r="W13419" t="s">
        <v>44068</v>
      </c>
      <c r="X13419" t="s">
        <v>44923</v>
      </c>
    </row>
    <row r="13420" spans="1:24">
      <c r="A13420">
        <f>HYPERLINK("https://www.philgeps.gov.ph/GEPSNONPILOT/Tender/SplashBidNoticeAbstractUI.aspx?menuIndex=3&amp;refID=7052442&amp;Result=3","7052442")</f>
        <v>0</v>
      </c>
      <c r="B13420" t="s">
        <v>3363</v>
      </c>
      <c r="C13420" t="s">
        <v>16357</v>
      </c>
      <c r="D13420" t="s">
        <v>18108</v>
      </c>
      <c r="E13420" t="s">
        <v>29786</v>
      </c>
      <c r="F13420" t="s">
        <v>31362</v>
      </c>
      <c r="G13420" t="s">
        <v>31369</v>
      </c>
      <c r="H13420" t="s">
        <v>31378</v>
      </c>
      <c r="I13420" t="s">
        <v>31386</v>
      </c>
      <c r="J13420" t="s">
        <v>39652</v>
      </c>
      <c r="K13420" t="s">
        <v>40800</v>
      </c>
      <c r="M13420" t="s">
        <v>44663</v>
      </c>
      <c r="N13420" t="s">
        <v>44905</v>
      </c>
      <c r="O13420" t="s">
        <v>44906</v>
      </c>
      <c r="Q13420">
        <v>10</v>
      </c>
      <c r="R13420" t="s">
        <v>44922</v>
      </c>
      <c r="S13420" t="s">
        <v>45735</v>
      </c>
      <c r="T13420" t="s">
        <v>46433</v>
      </c>
      <c r="U13420" t="s">
        <v>57638</v>
      </c>
      <c r="W13420" t="s">
        <v>44663</v>
      </c>
      <c r="X13420" t="s">
        <v>44923</v>
      </c>
    </row>
    <row r="13421" spans="1:24">
      <c r="A13421">
        <f>HYPERLINK("https://www.philgeps.gov.ph/GEPSNONPILOT/Tender/SplashBidNoticeAbstractUI.aspx?menuIndex=3&amp;refID=7052441&amp;Result=3","7052441")</f>
        <v>0</v>
      </c>
      <c r="B13421" t="s">
        <v>2864</v>
      </c>
      <c r="C13421" t="s">
        <v>16358</v>
      </c>
      <c r="D13421" t="s">
        <v>18135</v>
      </c>
      <c r="E13421" t="s">
        <v>29787</v>
      </c>
      <c r="F13421" t="s">
        <v>31362</v>
      </c>
      <c r="G13421" t="s">
        <v>31369</v>
      </c>
      <c r="H13421" t="s">
        <v>31378</v>
      </c>
      <c r="I13421" t="s">
        <v>31386</v>
      </c>
      <c r="J13421" t="s">
        <v>39653</v>
      </c>
      <c r="K13421" t="s">
        <v>40935</v>
      </c>
      <c r="M13421" t="s">
        <v>44068</v>
      </c>
      <c r="N13421" t="s">
        <v>44905</v>
      </c>
      <c r="O13421" t="s">
        <v>44906</v>
      </c>
      <c r="P13421">
        <v>0</v>
      </c>
      <c r="Q13421">
        <v>4</v>
      </c>
      <c r="R13421" t="s">
        <v>44922</v>
      </c>
      <c r="S13421" t="s">
        <v>45639</v>
      </c>
      <c r="T13421" t="s">
        <v>46435</v>
      </c>
      <c r="U13421" t="s">
        <v>55060</v>
      </c>
      <c r="V13421" t="s">
        <v>60585</v>
      </c>
      <c r="W13421" t="s">
        <v>44068</v>
      </c>
      <c r="X13421" t="s">
        <v>44923</v>
      </c>
    </row>
    <row r="13422" spans="1:24">
      <c r="A13422">
        <f>HYPERLINK("https://www.philgeps.gov.ph/GEPSNONPILOT/Tender/SplashBidNoticeAbstractUI.aspx?menuIndex=3&amp;refID=7052455&amp;Result=3","7052455")</f>
        <v>0</v>
      </c>
      <c r="B13422" t="s">
        <v>3362</v>
      </c>
      <c r="C13422" t="s">
        <v>16359</v>
      </c>
      <c r="D13422" t="s">
        <v>18104</v>
      </c>
      <c r="E13422" t="s">
        <v>29788</v>
      </c>
      <c r="F13422" t="s">
        <v>31362</v>
      </c>
      <c r="G13422" t="s">
        <v>31369</v>
      </c>
      <c r="H13422" t="s">
        <v>31378</v>
      </c>
      <c r="I13422" t="s">
        <v>31386</v>
      </c>
      <c r="J13422" t="s">
        <v>31625</v>
      </c>
      <c r="K13422" t="s">
        <v>40861</v>
      </c>
      <c r="M13422" t="s">
        <v>44662</v>
      </c>
      <c r="N13422" t="s">
        <v>44905</v>
      </c>
      <c r="O13422" t="s">
        <v>44906</v>
      </c>
      <c r="Q13422">
        <v>1</v>
      </c>
      <c r="R13422" t="s">
        <v>44922</v>
      </c>
      <c r="S13422" t="s">
        <v>45734</v>
      </c>
      <c r="T13422" t="s">
        <v>46447</v>
      </c>
      <c r="U13422" t="s">
        <v>57639</v>
      </c>
      <c r="W13422" t="s">
        <v>44662</v>
      </c>
      <c r="X13422" t="s">
        <v>44923</v>
      </c>
    </row>
    <row r="13423" spans="1:24">
      <c r="A13423">
        <f>HYPERLINK("https://www.philgeps.gov.ph/GEPSNONPILOT/Tender/SplashBidNoticeAbstractUI.aspx?menuIndex=3&amp;refID=7052436&amp;Result=3","7052436")</f>
        <v>0</v>
      </c>
      <c r="B13423" t="s">
        <v>2864</v>
      </c>
      <c r="C13423" t="s">
        <v>16360</v>
      </c>
      <c r="D13423" t="s">
        <v>18135</v>
      </c>
      <c r="E13423" t="s">
        <v>29789</v>
      </c>
      <c r="F13423" t="s">
        <v>31362</v>
      </c>
      <c r="G13423" t="s">
        <v>31369</v>
      </c>
      <c r="H13423" t="s">
        <v>31378</v>
      </c>
      <c r="I13423" t="s">
        <v>31386</v>
      </c>
      <c r="J13423" t="s">
        <v>39654</v>
      </c>
      <c r="K13423" t="s">
        <v>40935</v>
      </c>
      <c r="M13423" t="s">
        <v>44068</v>
      </c>
      <c r="N13423" t="s">
        <v>44905</v>
      </c>
      <c r="O13423" t="s">
        <v>44906</v>
      </c>
      <c r="P13423">
        <v>0</v>
      </c>
      <c r="Q13423">
        <v>4</v>
      </c>
      <c r="R13423" t="s">
        <v>44922</v>
      </c>
      <c r="S13423" t="s">
        <v>45639</v>
      </c>
      <c r="T13423" t="s">
        <v>46435</v>
      </c>
      <c r="U13423" t="s">
        <v>55060</v>
      </c>
      <c r="V13423" t="s">
        <v>60586</v>
      </c>
      <c r="W13423" t="s">
        <v>44068</v>
      </c>
      <c r="X13423" t="s">
        <v>44923</v>
      </c>
    </row>
    <row r="13424" spans="1:24">
      <c r="A13424">
        <f>HYPERLINK("https://www.philgeps.gov.ph/GEPSNONPILOT/Tender/SplashBidNoticeAbstractUI.aspx?menuIndex=3&amp;refID=7052437&amp;Result=3","7052437")</f>
        <v>0</v>
      </c>
      <c r="B13424" t="s">
        <v>2054</v>
      </c>
      <c r="C13424" t="s">
        <v>16361</v>
      </c>
      <c r="D13424" t="s">
        <v>18100</v>
      </c>
      <c r="E13424" t="s">
        <v>29790</v>
      </c>
      <c r="F13424" t="s">
        <v>31362</v>
      </c>
      <c r="G13424" t="s">
        <v>31369</v>
      </c>
      <c r="H13424" t="s">
        <v>15799</v>
      </c>
      <c r="I13424" t="s">
        <v>31387</v>
      </c>
      <c r="J13424" t="s">
        <v>39655</v>
      </c>
      <c r="K13424" t="s">
        <v>40672</v>
      </c>
      <c r="M13424" t="s">
        <v>43176</v>
      </c>
      <c r="N13424" t="s">
        <v>44905</v>
      </c>
      <c r="O13424" t="s">
        <v>44906</v>
      </c>
      <c r="P13424">
        <v>0</v>
      </c>
      <c r="Q13424">
        <v>0</v>
      </c>
      <c r="R13424" t="s">
        <v>44922</v>
      </c>
      <c r="S13424" t="s">
        <v>45639</v>
      </c>
      <c r="T13424" t="s">
        <v>46467</v>
      </c>
      <c r="U13424" t="s">
        <v>47766</v>
      </c>
      <c r="W13424" t="s">
        <v>43176</v>
      </c>
      <c r="X13424" t="s">
        <v>44923</v>
      </c>
    </row>
    <row r="13425" spans="1:24">
      <c r="A13425">
        <f>HYPERLINK("https://www.philgeps.gov.ph/GEPSNONPILOT/Tender/SplashBidNoticeAbstractUI.aspx?menuIndex=3&amp;refID=7052239&amp;Result=3","7052239")</f>
        <v>0</v>
      </c>
      <c r="B13425" t="s">
        <v>1629</v>
      </c>
      <c r="C13425" t="s">
        <v>16362</v>
      </c>
      <c r="D13425" t="s">
        <v>18116</v>
      </c>
      <c r="E13425" t="s">
        <v>29791</v>
      </c>
      <c r="F13425" t="s">
        <v>31362</v>
      </c>
      <c r="G13425" t="s">
        <v>31369</v>
      </c>
      <c r="H13425" t="s">
        <v>31378</v>
      </c>
      <c r="I13425" t="s">
        <v>31386</v>
      </c>
      <c r="J13425" t="s">
        <v>39646</v>
      </c>
      <c r="K13425" t="s">
        <v>40692</v>
      </c>
      <c r="M13425" t="s">
        <v>44089</v>
      </c>
      <c r="N13425" t="s">
        <v>44905</v>
      </c>
      <c r="O13425" t="s">
        <v>44906</v>
      </c>
      <c r="Q13425">
        <v>20</v>
      </c>
      <c r="R13425" t="s">
        <v>44922</v>
      </c>
      <c r="S13425" t="s">
        <v>45736</v>
      </c>
      <c r="T13425" t="s">
        <v>46425</v>
      </c>
      <c r="U13425" t="s">
        <v>57606</v>
      </c>
      <c r="V13425" t="s">
        <v>60576</v>
      </c>
      <c r="W13425" t="s">
        <v>44089</v>
      </c>
      <c r="X13425" t="s">
        <v>44923</v>
      </c>
    </row>
    <row r="13426" spans="1:24">
      <c r="A13426">
        <f>HYPERLINK("https://www.philgeps.gov.ph/GEPSNONPILOT/Tender/SplashBidNoticeAbstractUI.aspx?menuIndex=3&amp;refID=7052451&amp;Result=3","7052451")</f>
        <v>0</v>
      </c>
      <c r="B13426" t="s">
        <v>3362</v>
      </c>
      <c r="C13426" t="s">
        <v>16363</v>
      </c>
      <c r="D13426" t="s">
        <v>18104</v>
      </c>
      <c r="E13426" t="s">
        <v>29792</v>
      </c>
      <c r="F13426" t="s">
        <v>31362</v>
      </c>
      <c r="G13426" t="s">
        <v>31369</v>
      </c>
      <c r="H13426" t="s">
        <v>31378</v>
      </c>
      <c r="I13426" t="s">
        <v>31386</v>
      </c>
      <c r="J13426" t="s">
        <v>31625</v>
      </c>
      <c r="K13426" t="s">
        <v>40861</v>
      </c>
      <c r="M13426" t="s">
        <v>44662</v>
      </c>
      <c r="N13426" t="s">
        <v>44905</v>
      </c>
      <c r="O13426" t="s">
        <v>44906</v>
      </c>
      <c r="Q13426">
        <v>1</v>
      </c>
      <c r="R13426" t="s">
        <v>44922</v>
      </c>
      <c r="S13426" t="s">
        <v>45737</v>
      </c>
      <c r="T13426" t="s">
        <v>46447</v>
      </c>
      <c r="U13426" t="s">
        <v>57640</v>
      </c>
      <c r="W13426" t="s">
        <v>44662</v>
      </c>
      <c r="X13426" t="s">
        <v>44923</v>
      </c>
    </row>
    <row r="13427" spans="1:24">
      <c r="A13427">
        <f>HYPERLINK("https://www.philgeps.gov.ph/GEPSNONPILOT/Tender/SplashBidNoticeAbstractUI.aspx?menuIndex=3&amp;refID=7052445&amp;Result=3","7052445")</f>
        <v>0</v>
      </c>
      <c r="B13427" t="s">
        <v>2864</v>
      </c>
      <c r="C13427" t="s">
        <v>16364</v>
      </c>
      <c r="D13427" t="s">
        <v>18135</v>
      </c>
      <c r="E13427" t="s">
        <v>29793</v>
      </c>
      <c r="F13427" t="s">
        <v>31362</v>
      </c>
      <c r="G13427" t="s">
        <v>31369</v>
      </c>
      <c r="H13427" t="s">
        <v>31378</v>
      </c>
      <c r="I13427" t="s">
        <v>31386</v>
      </c>
      <c r="J13427" t="s">
        <v>39656</v>
      </c>
      <c r="K13427" t="s">
        <v>40935</v>
      </c>
      <c r="M13427" t="s">
        <v>44068</v>
      </c>
      <c r="N13427" t="s">
        <v>44905</v>
      </c>
      <c r="O13427" t="s">
        <v>44906</v>
      </c>
      <c r="P13427">
        <v>0</v>
      </c>
      <c r="Q13427">
        <v>4</v>
      </c>
      <c r="R13427" t="s">
        <v>44922</v>
      </c>
      <c r="S13427" t="s">
        <v>45639</v>
      </c>
      <c r="T13427" t="s">
        <v>46435</v>
      </c>
      <c r="U13427" t="s">
        <v>55060</v>
      </c>
      <c r="V13427" t="s">
        <v>60587</v>
      </c>
      <c r="W13427" t="s">
        <v>44068</v>
      </c>
      <c r="X13427" t="s">
        <v>44923</v>
      </c>
    </row>
    <row r="13428" spans="1:24">
      <c r="A13428">
        <f>HYPERLINK("https://www.philgeps.gov.ph/GEPSNONPILOT/Tender/SplashBidNoticeAbstractUI.aspx?menuIndex=3&amp;refID=7052565&amp;Result=3","7052565")</f>
        <v>0</v>
      </c>
      <c r="B13428" t="s">
        <v>2875</v>
      </c>
      <c r="C13428" t="s">
        <v>16365</v>
      </c>
      <c r="D13428" t="s">
        <v>18100</v>
      </c>
      <c r="E13428" t="s">
        <v>20328</v>
      </c>
      <c r="F13428" t="s">
        <v>31362</v>
      </c>
      <c r="G13428" t="s">
        <v>31368</v>
      </c>
      <c r="H13428" t="s">
        <v>15799</v>
      </c>
      <c r="I13428" t="s">
        <v>31422</v>
      </c>
      <c r="J13428" t="s">
        <v>31561</v>
      </c>
      <c r="K13428" t="s">
        <v>40693</v>
      </c>
      <c r="M13428" t="s">
        <v>44084</v>
      </c>
      <c r="N13428" t="s">
        <v>44905</v>
      </c>
      <c r="O13428" t="s">
        <v>44906</v>
      </c>
      <c r="P13428">
        <v>0</v>
      </c>
      <c r="Q13428">
        <v>3</v>
      </c>
      <c r="R13428" t="s">
        <v>44922</v>
      </c>
      <c r="S13428" t="s">
        <v>45639</v>
      </c>
      <c r="T13428" t="s">
        <v>46443</v>
      </c>
      <c r="U13428" t="s">
        <v>57641</v>
      </c>
      <c r="W13428" t="s">
        <v>44084</v>
      </c>
      <c r="X13428" t="s">
        <v>44923</v>
      </c>
    </row>
    <row r="13429" spans="1:24">
      <c r="A13429">
        <f>HYPERLINK("https://www.philgeps.gov.ph/GEPSNONPILOT/Tender/SplashBidNoticeAbstractUI.aspx?menuIndex=3&amp;refID=7052428&amp;Result=3","7052428")</f>
        <v>0</v>
      </c>
      <c r="B13429" t="s">
        <v>2864</v>
      </c>
      <c r="C13429" t="s">
        <v>16366</v>
      </c>
      <c r="D13429" t="s">
        <v>18135</v>
      </c>
      <c r="E13429" t="s">
        <v>29794</v>
      </c>
      <c r="F13429" t="s">
        <v>31362</v>
      </c>
      <c r="G13429" t="s">
        <v>31369</v>
      </c>
      <c r="H13429" t="s">
        <v>31378</v>
      </c>
      <c r="I13429" t="s">
        <v>31386</v>
      </c>
      <c r="J13429" t="s">
        <v>39657</v>
      </c>
      <c r="K13429" t="s">
        <v>40935</v>
      </c>
      <c r="M13429" t="s">
        <v>44068</v>
      </c>
      <c r="N13429" t="s">
        <v>44905</v>
      </c>
      <c r="O13429" t="s">
        <v>44906</v>
      </c>
      <c r="P13429">
        <v>0</v>
      </c>
      <c r="Q13429">
        <v>4</v>
      </c>
      <c r="R13429" t="s">
        <v>44922</v>
      </c>
      <c r="S13429" t="s">
        <v>45639</v>
      </c>
      <c r="T13429" t="s">
        <v>46435</v>
      </c>
      <c r="U13429" t="s">
        <v>55060</v>
      </c>
      <c r="V13429" t="s">
        <v>60588</v>
      </c>
      <c r="W13429" t="s">
        <v>44068</v>
      </c>
      <c r="X13429" t="s">
        <v>44923</v>
      </c>
    </row>
    <row r="13430" spans="1:24">
      <c r="A13430">
        <f>HYPERLINK("https://www.philgeps.gov.ph/GEPSNONPILOT/Tender/SplashBidNoticeAbstractUI.aspx?menuIndex=3&amp;refID=7052550&amp;Result=3","7052550")</f>
        <v>0</v>
      </c>
      <c r="B13430" t="s">
        <v>900</v>
      </c>
      <c r="C13430" t="s">
        <v>16367</v>
      </c>
      <c r="E13430" t="s">
        <v>29795</v>
      </c>
      <c r="F13430" t="s">
        <v>31362</v>
      </c>
      <c r="G13430" t="s">
        <v>31369</v>
      </c>
      <c r="H13430" t="s">
        <v>31378</v>
      </c>
      <c r="I13430" t="s">
        <v>31386</v>
      </c>
      <c r="J13430" t="s">
        <v>39658</v>
      </c>
      <c r="K13430" t="s">
        <v>40675</v>
      </c>
      <c r="M13430" t="s">
        <v>41881</v>
      </c>
      <c r="N13430" t="s">
        <v>44905</v>
      </c>
      <c r="O13430" t="s">
        <v>44906</v>
      </c>
      <c r="Q13430">
        <v>1</v>
      </c>
      <c r="R13430" t="s">
        <v>44922</v>
      </c>
      <c r="S13430" t="s">
        <v>45738</v>
      </c>
      <c r="T13430" t="s">
        <v>46585</v>
      </c>
      <c r="U13430" t="s">
        <v>57642</v>
      </c>
      <c r="W13430" t="s">
        <v>60969</v>
      </c>
      <c r="X13430" t="s">
        <v>44923</v>
      </c>
    </row>
    <row r="13431" spans="1:24">
      <c r="A13431">
        <f>HYPERLINK("https://www.philgeps.gov.ph/GEPSNONPILOT/Tender/SplashBidNoticeAbstractUI.aspx?menuIndex=3&amp;refID=7052549&amp;Result=3","7052549")</f>
        <v>0</v>
      </c>
      <c r="B13431" t="s">
        <v>1782</v>
      </c>
      <c r="C13431" t="s">
        <v>16368</v>
      </c>
      <c r="D13431" t="s">
        <v>18149</v>
      </c>
      <c r="E13431" t="s">
        <v>29796</v>
      </c>
      <c r="F13431" t="s">
        <v>31362</v>
      </c>
      <c r="G13431" t="s">
        <v>31369</v>
      </c>
      <c r="H13431" t="s">
        <v>15799</v>
      </c>
      <c r="I13431" t="s">
        <v>31397</v>
      </c>
      <c r="J13431" t="s">
        <v>38269</v>
      </c>
      <c r="K13431" t="s">
        <v>40666</v>
      </c>
      <c r="M13431" t="s">
        <v>42862</v>
      </c>
      <c r="N13431" t="s">
        <v>44905</v>
      </c>
      <c r="O13431" t="s">
        <v>44906</v>
      </c>
      <c r="P13431">
        <v>0</v>
      </c>
      <c r="Q13431">
        <v>2</v>
      </c>
      <c r="R13431" t="s">
        <v>44922</v>
      </c>
      <c r="S13431" t="s">
        <v>45639</v>
      </c>
      <c r="T13431" t="s">
        <v>46435</v>
      </c>
      <c r="U13431" t="s">
        <v>57643</v>
      </c>
      <c r="W13431" t="s">
        <v>42862</v>
      </c>
      <c r="X13431" t="s">
        <v>44923</v>
      </c>
    </row>
    <row r="13432" spans="1:24">
      <c r="A13432">
        <f>HYPERLINK("https://www.philgeps.gov.ph/GEPSNONPILOT/Tender/SplashBidNoticeAbstractUI.aspx?menuIndex=3&amp;refID=7052542&amp;Result=3","7052542")</f>
        <v>0</v>
      </c>
      <c r="B13432" t="s">
        <v>900</v>
      </c>
      <c r="C13432" t="s">
        <v>16369</v>
      </c>
      <c r="D13432" t="s">
        <v>18123</v>
      </c>
      <c r="E13432" t="s">
        <v>29797</v>
      </c>
      <c r="F13432" t="s">
        <v>31362</v>
      </c>
      <c r="G13432" t="s">
        <v>31369</v>
      </c>
      <c r="H13432" t="s">
        <v>31378</v>
      </c>
      <c r="I13432" t="s">
        <v>31386</v>
      </c>
      <c r="J13432" t="s">
        <v>39659</v>
      </c>
      <c r="K13432" t="s">
        <v>40679</v>
      </c>
      <c r="M13432" t="s">
        <v>41881</v>
      </c>
      <c r="N13432" t="s">
        <v>44905</v>
      </c>
      <c r="O13432" t="s">
        <v>44906</v>
      </c>
      <c r="Q13432">
        <v>0</v>
      </c>
      <c r="R13432" t="s">
        <v>44922</v>
      </c>
      <c r="S13432" t="s">
        <v>45739</v>
      </c>
      <c r="T13432" t="s">
        <v>46585</v>
      </c>
      <c r="U13432" t="s">
        <v>57644</v>
      </c>
      <c r="W13432" t="s">
        <v>60969</v>
      </c>
      <c r="X13432" t="s">
        <v>44923</v>
      </c>
    </row>
    <row r="13433" spans="1:24">
      <c r="A13433">
        <f>HYPERLINK("https://www.philgeps.gov.ph/GEPSNONPILOT/Tender/SplashBidNoticeAbstractUI.aspx?menuIndex=3&amp;refID=7052532&amp;Result=3","7052532")</f>
        <v>0</v>
      </c>
      <c r="B13433" t="s">
        <v>900</v>
      </c>
      <c r="C13433" t="s">
        <v>16370</v>
      </c>
      <c r="D13433" t="s">
        <v>18123</v>
      </c>
      <c r="E13433" t="s">
        <v>29798</v>
      </c>
      <c r="F13433" t="s">
        <v>31362</v>
      </c>
      <c r="G13433" t="s">
        <v>31369</v>
      </c>
      <c r="H13433" t="s">
        <v>31378</v>
      </c>
      <c r="I13433" t="s">
        <v>31386</v>
      </c>
      <c r="J13433" t="s">
        <v>39660</v>
      </c>
      <c r="K13433" t="s">
        <v>40852</v>
      </c>
      <c r="M13433" t="s">
        <v>41881</v>
      </c>
      <c r="N13433" t="s">
        <v>44905</v>
      </c>
      <c r="O13433" t="s">
        <v>44906</v>
      </c>
      <c r="Q13433">
        <v>0</v>
      </c>
      <c r="R13433" t="s">
        <v>44922</v>
      </c>
      <c r="S13433" t="s">
        <v>45740</v>
      </c>
      <c r="T13433" t="s">
        <v>46585</v>
      </c>
      <c r="U13433" t="s">
        <v>57645</v>
      </c>
      <c r="W13433" t="s">
        <v>60969</v>
      </c>
      <c r="X13433" t="s">
        <v>44923</v>
      </c>
    </row>
    <row r="13434" spans="1:24">
      <c r="A13434">
        <f>HYPERLINK("https://www.philgeps.gov.ph/GEPSNONPILOT/Tender/SplashBidNoticeAbstractUI.aspx?menuIndex=3&amp;refID=7052519&amp;Result=3","7052519")</f>
        <v>0</v>
      </c>
      <c r="B13434" t="s">
        <v>2875</v>
      </c>
      <c r="C13434" t="s">
        <v>16371</v>
      </c>
      <c r="D13434" t="s">
        <v>18100</v>
      </c>
      <c r="E13434" t="s">
        <v>18547</v>
      </c>
      <c r="F13434" t="s">
        <v>31362</v>
      </c>
      <c r="G13434" t="s">
        <v>31368</v>
      </c>
      <c r="H13434" t="s">
        <v>15799</v>
      </c>
      <c r="I13434" t="s">
        <v>3815</v>
      </c>
      <c r="J13434" t="s">
        <v>39661</v>
      </c>
      <c r="K13434" t="s">
        <v>40693</v>
      </c>
      <c r="M13434" t="s">
        <v>44084</v>
      </c>
      <c r="N13434" t="s">
        <v>44905</v>
      </c>
      <c r="O13434" t="s">
        <v>44906</v>
      </c>
      <c r="P13434">
        <v>0</v>
      </c>
      <c r="Q13434">
        <v>0</v>
      </c>
      <c r="R13434" t="s">
        <v>44922</v>
      </c>
      <c r="S13434" t="s">
        <v>45639</v>
      </c>
      <c r="T13434" t="s">
        <v>46443</v>
      </c>
      <c r="U13434" t="s">
        <v>57646</v>
      </c>
      <c r="W13434" t="s">
        <v>44084</v>
      </c>
      <c r="X13434" t="s">
        <v>44923</v>
      </c>
    </row>
    <row r="13435" spans="1:24">
      <c r="A13435">
        <f>HYPERLINK("https://www.philgeps.gov.ph/GEPSNONPILOT/Tender/SplashBidNoticeAbstractUI.aspx?menuIndex=3&amp;refID=7052513&amp;Result=3","7052513")</f>
        <v>0</v>
      </c>
      <c r="B13435" t="s">
        <v>3364</v>
      </c>
      <c r="C13435" t="s">
        <v>16372</v>
      </c>
      <c r="D13435" t="s">
        <v>18163</v>
      </c>
      <c r="E13435" t="s">
        <v>29799</v>
      </c>
      <c r="F13435" t="s">
        <v>31362</v>
      </c>
      <c r="G13435" t="s">
        <v>31369</v>
      </c>
      <c r="H13435" t="s">
        <v>31378</v>
      </c>
      <c r="I13435" t="s">
        <v>31386</v>
      </c>
      <c r="J13435" t="s">
        <v>39662</v>
      </c>
      <c r="K13435" t="s">
        <v>40678</v>
      </c>
      <c r="M13435" t="s">
        <v>44664</v>
      </c>
      <c r="N13435" t="s">
        <v>44905</v>
      </c>
      <c r="O13435" t="s">
        <v>44906</v>
      </c>
      <c r="P13435">
        <v>0</v>
      </c>
      <c r="Q13435">
        <v>0</v>
      </c>
      <c r="R13435" t="s">
        <v>44922</v>
      </c>
      <c r="S13435" t="s">
        <v>45639</v>
      </c>
      <c r="T13435" t="s">
        <v>46432</v>
      </c>
      <c r="U13435" t="s">
        <v>57647</v>
      </c>
      <c r="W13435" t="s">
        <v>44664</v>
      </c>
      <c r="X13435" t="s">
        <v>44923</v>
      </c>
    </row>
    <row r="13436" spans="1:24">
      <c r="A13436">
        <f>HYPERLINK("https://www.philgeps.gov.ph/GEPSNONPILOT/Tender/SplashBidNoticeAbstractUI.aspx?menuIndex=3&amp;refID=7052218&amp;Result=3","7052218")</f>
        <v>0</v>
      </c>
      <c r="B13436" t="s">
        <v>691</v>
      </c>
      <c r="C13436" t="s">
        <v>16373</v>
      </c>
      <c r="D13436" t="s">
        <v>18167</v>
      </c>
      <c r="E13436" t="s">
        <v>29800</v>
      </c>
      <c r="F13436" t="s">
        <v>31362</v>
      </c>
      <c r="G13436" t="s">
        <v>31369</v>
      </c>
      <c r="H13436" t="s">
        <v>31378</v>
      </c>
      <c r="I13436" t="s">
        <v>31386</v>
      </c>
      <c r="J13436" t="s">
        <v>39663</v>
      </c>
      <c r="K13436" t="s">
        <v>40683</v>
      </c>
      <c r="M13436" t="s">
        <v>41654</v>
      </c>
      <c r="N13436" t="s">
        <v>44905</v>
      </c>
      <c r="O13436" t="s">
        <v>44906</v>
      </c>
      <c r="P13436">
        <v>0</v>
      </c>
      <c r="Q13436">
        <v>0</v>
      </c>
      <c r="R13436" t="s">
        <v>44922</v>
      </c>
      <c r="S13436" t="s">
        <v>45639</v>
      </c>
      <c r="T13436" t="s">
        <v>46438</v>
      </c>
      <c r="U13436" t="s">
        <v>57648</v>
      </c>
      <c r="W13436" t="s">
        <v>41654</v>
      </c>
      <c r="X13436" t="s">
        <v>44923</v>
      </c>
    </row>
    <row r="13437" spans="1:24">
      <c r="A13437">
        <f>HYPERLINK("https://www.philgeps.gov.ph/GEPSNONPILOT/Tender/SplashBidNoticeAbstractUI.aspx?menuIndex=3&amp;refID=7052525&amp;Result=3","7052525")</f>
        <v>0</v>
      </c>
      <c r="B13437" t="s">
        <v>660</v>
      </c>
      <c r="C13437" t="s">
        <v>16374</v>
      </c>
      <c r="D13437" t="s">
        <v>18116</v>
      </c>
      <c r="E13437" t="s">
        <v>29801</v>
      </c>
      <c r="F13437" t="s">
        <v>31362</v>
      </c>
      <c r="G13437" t="s">
        <v>31369</v>
      </c>
      <c r="H13437" t="s">
        <v>31378</v>
      </c>
      <c r="I13437" t="s">
        <v>31386</v>
      </c>
      <c r="J13437" t="s">
        <v>36553</v>
      </c>
      <c r="K13437" t="s">
        <v>40936</v>
      </c>
      <c r="M13437" t="s">
        <v>41622</v>
      </c>
      <c r="N13437" t="s">
        <v>44905</v>
      </c>
      <c r="O13437" t="s">
        <v>44906</v>
      </c>
      <c r="P13437">
        <v>0</v>
      </c>
      <c r="Q13437">
        <v>6</v>
      </c>
      <c r="R13437" t="s">
        <v>44922</v>
      </c>
      <c r="S13437" t="s">
        <v>45639</v>
      </c>
      <c r="T13437" t="s">
        <v>46393</v>
      </c>
      <c r="U13437" t="s">
        <v>57649</v>
      </c>
      <c r="W13437" t="s">
        <v>41622</v>
      </c>
      <c r="X13437" t="s">
        <v>44923</v>
      </c>
    </row>
    <row r="13438" spans="1:24">
      <c r="A13438">
        <f>HYPERLINK("https://www.philgeps.gov.ph/GEPSNONPILOT/Tender/SplashBidNoticeAbstractUI.aspx?menuIndex=3&amp;refID=7052504&amp;Result=3","7052504")</f>
        <v>0</v>
      </c>
      <c r="B13438" t="s">
        <v>900</v>
      </c>
      <c r="C13438" t="s">
        <v>16375</v>
      </c>
      <c r="D13438" t="s">
        <v>18123</v>
      </c>
      <c r="E13438" t="s">
        <v>29802</v>
      </c>
      <c r="F13438" t="s">
        <v>31362</v>
      </c>
      <c r="G13438" t="s">
        <v>31369</v>
      </c>
      <c r="H13438" t="s">
        <v>31378</v>
      </c>
      <c r="I13438" t="s">
        <v>31386</v>
      </c>
      <c r="J13438" t="s">
        <v>39664</v>
      </c>
      <c r="K13438" t="s">
        <v>40764</v>
      </c>
      <c r="M13438" t="s">
        <v>41881</v>
      </c>
      <c r="N13438" t="s">
        <v>44905</v>
      </c>
      <c r="O13438" t="s">
        <v>44906</v>
      </c>
      <c r="Q13438">
        <v>0</v>
      </c>
      <c r="R13438" t="s">
        <v>44922</v>
      </c>
      <c r="S13438" t="s">
        <v>45741</v>
      </c>
      <c r="T13438" t="s">
        <v>46585</v>
      </c>
      <c r="U13438" t="s">
        <v>57650</v>
      </c>
      <c r="W13438" t="s">
        <v>60969</v>
      </c>
      <c r="X13438" t="s">
        <v>44923</v>
      </c>
    </row>
    <row r="13439" spans="1:24">
      <c r="A13439">
        <f>HYPERLINK("https://www.philgeps.gov.ph/GEPSNONPILOT/Tender/SplashBidNoticeAbstractUI.aspx?menuIndex=3&amp;refID=7052517&amp;Result=3","7052517")</f>
        <v>0</v>
      </c>
      <c r="B13439" t="s">
        <v>1782</v>
      </c>
      <c r="C13439" t="s">
        <v>16376</v>
      </c>
      <c r="D13439" t="s">
        <v>18149</v>
      </c>
      <c r="E13439" t="s">
        <v>29803</v>
      </c>
      <c r="F13439" t="s">
        <v>31362</v>
      </c>
      <c r="G13439" t="s">
        <v>31369</v>
      </c>
      <c r="H13439" t="s">
        <v>15799</v>
      </c>
      <c r="I13439" t="s">
        <v>31466</v>
      </c>
      <c r="J13439" t="s">
        <v>31897</v>
      </c>
      <c r="K13439" t="s">
        <v>40666</v>
      </c>
      <c r="M13439" t="s">
        <v>42862</v>
      </c>
      <c r="N13439" t="s">
        <v>44905</v>
      </c>
      <c r="O13439" t="s">
        <v>44906</v>
      </c>
      <c r="P13439">
        <v>0</v>
      </c>
      <c r="Q13439">
        <v>4</v>
      </c>
      <c r="R13439" t="s">
        <v>44922</v>
      </c>
      <c r="S13439" t="s">
        <v>45639</v>
      </c>
      <c r="T13439" t="s">
        <v>46435</v>
      </c>
      <c r="U13439" t="s">
        <v>57651</v>
      </c>
      <c r="W13439" t="s">
        <v>42862</v>
      </c>
      <c r="X13439" t="s">
        <v>44923</v>
      </c>
    </row>
    <row r="13440" spans="1:24">
      <c r="A13440">
        <f>HYPERLINK("https://www.philgeps.gov.ph/GEPSNONPILOT/Tender/SplashBidNoticeAbstractUI.aspx?menuIndex=3&amp;refID=7052275&amp;Result=3","7052275")</f>
        <v>0</v>
      </c>
      <c r="B13440" t="s">
        <v>3227</v>
      </c>
      <c r="C13440" t="s">
        <v>8036</v>
      </c>
      <c r="D13440" t="s">
        <v>18130</v>
      </c>
      <c r="E13440" t="s">
        <v>29804</v>
      </c>
      <c r="F13440" t="s">
        <v>31362</v>
      </c>
      <c r="G13440" t="s">
        <v>31369</v>
      </c>
      <c r="H13440" t="s">
        <v>31378</v>
      </c>
      <c r="I13440" t="s">
        <v>31386</v>
      </c>
      <c r="J13440" t="s">
        <v>31606</v>
      </c>
      <c r="K13440" t="s">
        <v>40682</v>
      </c>
      <c r="M13440" t="s">
        <v>44503</v>
      </c>
      <c r="N13440" t="s">
        <v>44905</v>
      </c>
      <c r="O13440" t="s">
        <v>44906</v>
      </c>
      <c r="P13440">
        <v>0</v>
      </c>
      <c r="Q13440">
        <v>1</v>
      </c>
      <c r="R13440" t="s">
        <v>44922</v>
      </c>
      <c r="S13440" t="s">
        <v>45639</v>
      </c>
      <c r="T13440" t="s">
        <v>46467</v>
      </c>
      <c r="U13440" t="s">
        <v>57652</v>
      </c>
      <c r="W13440" t="s">
        <v>44503</v>
      </c>
      <c r="X13440" t="s">
        <v>44923</v>
      </c>
    </row>
    <row r="13441" spans="1:24">
      <c r="A13441">
        <f>HYPERLINK("https://www.philgeps.gov.ph/GEPSNONPILOT/Tender/SplashBidNoticeAbstractUI.aspx?menuIndex=3&amp;refID=7052497&amp;Result=3","7052497")</f>
        <v>0</v>
      </c>
      <c r="B13441" t="s">
        <v>900</v>
      </c>
      <c r="C13441" t="s">
        <v>16377</v>
      </c>
      <c r="D13441" t="s">
        <v>18123</v>
      </c>
      <c r="E13441" t="s">
        <v>29805</v>
      </c>
      <c r="F13441" t="s">
        <v>31362</v>
      </c>
      <c r="G13441" t="s">
        <v>31369</v>
      </c>
      <c r="H13441" t="s">
        <v>31378</v>
      </c>
      <c r="I13441" t="s">
        <v>31386</v>
      </c>
      <c r="J13441" t="s">
        <v>39665</v>
      </c>
      <c r="K13441" t="s">
        <v>40686</v>
      </c>
      <c r="M13441" t="s">
        <v>41881</v>
      </c>
      <c r="N13441" t="s">
        <v>44905</v>
      </c>
      <c r="O13441" t="s">
        <v>44906</v>
      </c>
      <c r="Q13441">
        <v>1</v>
      </c>
      <c r="R13441" t="s">
        <v>44922</v>
      </c>
      <c r="S13441" t="s">
        <v>45742</v>
      </c>
      <c r="T13441" t="s">
        <v>46585</v>
      </c>
      <c r="U13441" t="s">
        <v>57653</v>
      </c>
      <c r="W13441" t="s">
        <v>60969</v>
      </c>
      <c r="X13441" t="s">
        <v>44923</v>
      </c>
    </row>
    <row r="13442" spans="1:24">
      <c r="A13442">
        <f>HYPERLINK("https://www.philgeps.gov.ph/GEPSNONPILOT/Tender/SplashBidNoticeAbstractUI.aspx?menuIndex=3&amp;refID=7052656&amp;Result=3","7052656")</f>
        <v>0</v>
      </c>
      <c r="B13442" t="s">
        <v>3365</v>
      </c>
      <c r="C13442" t="s">
        <v>16378</v>
      </c>
      <c r="D13442" t="s">
        <v>18118</v>
      </c>
      <c r="E13442" t="s">
        <v>20762</v>
      </c>
      <c r="F13442" t="s">
        <v>31362</v>
      </c>
      <c r="G13442" t="s">
        <v>31369</v>
      </c>
      <c r="H13442" t="s">
        <v>15799</v>
      </c>
      <c r="I13442" t="s">
        <v>31393</v>
      </c>
      <c r="J13442" t="s">
        <v>34492</v>
      </c>
      <c r="K13442" t="s">
        <v>40675</v>
      </c>
      <c r="M13442" t="s">
        <v>44665</v>
      </c>
      <c r="N13442" t="s">
        <v>44905</v>
      </c>
      <c r="O13442" t="s">
        <v>44906</v>
      </c>
      <c r="P13442">
        <v>0</v>
      </c>
      <c r="Q13442">
        <v>9</v>
      </c>
      <c r="R13442" t="s">
        <v>44922</v>
      </c>
      <c r="S13442" t="s">
        <v>45639</v>
      </c>
      <c r="T13442" t="s">
        <v>46416</v>
      </c>
      <c r="U13442" t="s">
        <v>57654</v>
      </c>
      <c r="W13442" t="s">
        <v>44665</v>
      </c>
      <c r="X13442" t="s">
        <v>44923</v>
      </c>
    </row>
    <row r="13443" spans="1:24">
      <c r="A13443">
        <f>HYPERLINK("https://www.philgeps.gov.ph/GEPSNONPILOT/Tender/SplashBidNoticeAbstractUI.aspx?menuIndex=3&amp;refID=7052237&amp;Result=3","7052237")</f>
        <v>0</v>
      </c>
      <c r="B13443" t="s">
        <v>3357</v>
      </c>
      <c r="C13443" t="s">
        <v>16379</v>
      </c>
      <c r="D13443" t="s">
        <v>18148</v>
      </c>
      <c r="E13443" t="s">
        <v>29806</v>
      </c>
      <c r="F13443" t="s">
        <v>31362</v>
      </c>
      <c r="G13443" t="s">
        <v>31369</v>
      </c>
      <c r="H13443" t="s">
        <v>31378</v>
      </c>
      <c r="I13443" t="s">
        <v>31386</v>
      </c>
      <c r="J13443" t="s">
        <v>39666</v>
      </c>
      <c r="K13443" t="s">
        <v>40679</v>
      </c>
      <c r="M13443" t="s">
        <v>44656</v>
      </c>
      <c r="N13443" t="s">
        <v>44905</v>
      </c>
      <c r="O13443" t="s">
        <v>44906</v>
      </c>
      <c r="P13443">
        <v>0</v>
      </c>
      <c r="Q13443">
        <v>1</v>
      </c>
      <c r="R13443" t="s">
        <v>44922</v>
      </c>
      <c r="S13443" t="s">
        <v>45639</v>
      </c>
      <c r="T13443" t="s">
        <v>46692</v>
      </c>
      <c r="U13443" t="s">
        <v>57655</v>
      </c>
      <c r="W13443" t="s">
        <v>44656</v>
      </c>
      <c r="X13443" t="s">
        <v>44923</v>
      </c>
    </row>
    <row r="13444" spans="1:24">
      <c r="A13444">
        <f>HYPERLINK("https://www.philgeps.gov.ph/GEPSNONPILOT/Tender/SplashBidNoticeAbstractUI.aspx?menuIndex=3&amp;refID=7052509&amp;Result=3","7052509")</f>
        <v>0</v>
      </c>
      <c r="B13444" t="s">
        <v>981</v>
      </c>
      <c r="C13444" t="s">
        <v>16380</v>
      </c>
      <c r="D13444" t="s">
        <v>18117</v>
      </c>
      <c r="E13444" t="s">
        <v>20217</v>
      </c>
      <c r="F13444" t="s">
        <v>31362</v>
      </c>
      <c r="G13444" t="s">
        <v>31369</v>
      </c>
      <c r="H13444" t="s">
        <v>15799</v>
      </c>
      <c r="I13444" t="s">
        <v>31414</v>
      </c>
      <c r="J13444" t="s">
        <v>33903</v>
      </c>
      <c r="K13444" t="s">
        <v>40665</v>
      </c>
      <c r="M13444" t="s">
        <v>41973</v>
      </c>
      <c r="N13444" t="s">
        <v>44905</v>
      </c>
      <c r="O13444" t="s">
        <v>44906</v>
      </c>
      <c r="P13444">
        <v>0</v>
      </c>
      <c r="Q13444">
        <v>1</v>
      </c>
      <c r="R13444" t="s">
        <v>44922</v>
      </c>
      <c r="S13444" t="s">
        <v>45639</v>
      </c>
      <c r="T13444" t="s">
        <v>46435</v>
      </c>
      <c r="U13444" t="s">
        <v>57656</v>
      </c>
      <c r="V13444" t="s">
        <v>60589</v>
      </c>
      <c r="W13444" t="s">
        <v>41973</v>
      </c>
      <c r="X13444" t="s">
        <v>44923</v>
      </c>
    </row>
    <row r="13445" spans="1:24">
      <c r="A13445">
        <f>HYPERLINK("https://www.philgeps.gov.ph/GEPSNONPILOT/Tender/SplashBidNoticeAbstractUI.aspx?menuIndex=3&amp;refID=7052278&amp;Result=3","7052278")</f>
        <v>0</v>
      </c>
      <c r="B13445" t="s">
        <v>3366</v>
      </c>
      <c r="C13445" t="s">
        <v>16381</v>
      </c>
      <c r="D13445" t="s">
        <v>18108</v>
      </c>
      <c r="E13445" t="s">
        <v>29807</v>
      </c>
      <c r="F13445" t="s">
        <v>31362</v>
      </c>
      <c r="G13445" t="s">
        <v>31369</v>
      </c>
      <c r="H13445" t="s">
        <v>15799</v>
      </c>
      <c r="I13445" t="s">
        <v>31467</v>
      </c>
      <c r="J13445" t="s">
        <v>39667</v>
      </c>
      <c r="K13445" t="s">
        <v>40662</v>
      </c>
      <c r="M13445" t="s">
        <v>44666</v>
      </c>
      <c r="N13445" t="s">
        <v>44905</v>
      </c>
      <c r="O13445" t="s">
        <v>44906</v>
      </c>
      <c r="Q13445">
        <v>16</v>
      </c>
      <c r="R13445" t="s">
        <v>44922</v>
      </c>
      <c r="S13445" t="s">
        <v>45743</v>
      </c>
      <c r="T13445" t="s">
        <v>46393</v>
      </c>
      <c r="U13445" t="s">
        <v>57657</v>
      </c>
      <c r="W13445" t="s">
        <v>44791</v>
      </c>
      <c r="X13445" t="s">
        <v>44923</v>
      </c>
    </row>
    <row r="13446" spans="1:24">
      <c r="A13446">
        <f>HYPERLINK("https://www.philgeps.gov.ph/GEPSNONPILOT/Tender/SplashBidNoticeAbstractUI.aspx?menuIndex=3&amp;refID=7052664&amp;Result=3","7052664")</f>
        <v>0</v>
      </c>
      <c r="B13446" t="s">
        <v>1635</v>
      </c>
      <c r="C13446" t="s">
        <v>16382</v>
      </c>
      <c r="D13446" t="s">
        <v>18136</v>
      </c>
      <c r="E13446" t="s">
        <v>29808</v>
      </c>
      <c r="F13446" t="s">
        <v>31362</v>
      </c>
      <c r="G13446" t="s">
        <v>31369</v>
      </c>
      <c r="H13446" t="s">
        <v>15799</v>
      </c>
      <c r="I13446" t="s">
        <v>31409</v>
      </c>
      <c r="J13446" t="s">
        <v>31542</v>
      </c>
      <c r="K13446" t="s">
        <v>40662</v>
      </c>
      <c r="M13446" t="s">
        <v>42696</v>
      </c>
      <c r="N13446" t="s">
        <v>44905</v>
      </c>
      <c r="O13446" t="s">
        <v>44906</v>
      </c>
      <c r="P13446">
        <v>0</v>
      </c>
      <c r="Q13446">
        <v>4</v>
      </c>
      <c r="R13446" t="s">
        <v>44922</v>
      </c>
      <c r="S13446" t="s">
        <v>45639</v>
      </c>
      <c r="T13446" t="s">
        <v>46506</v>
      </c>
      <c r="U13446" t="s">
        <v>57658</v>
      </c>
      <c r="W13446" t="s">
        <v>44354</v>
      </c>
      <c r="X13446" t="s">
        <v>44923</v>
      </c>
    </row>
    <row r="13447" spans="1:24">
      <c r="A13447">
        <f>HYPERLINK("https://www.philgeps.gov.ph/GEPSNONPILOT/Tender/SplashBidNoticeAbstractUI.aspx?menuIndex=3&amp;refID=7052500&amp;Result=3","7052500")</f>
        <v>0</v>
      </c>
      <c r="B13447" t="s">
        <v>3364</v>
      </c>
      <c r="C13447" t="s">
        <v>16383</v>
      </c>
      <c r="D13447" t="s">
        <v>18163</v>
      </c>
      <c r="E13447" t="s">
        <v>29809</v>
      </c>
      <c r="F13447" t="s">
        <v>31362</v>
      </c>
      <c r="G13447" t="s">
        <v>31369</v>
      </c>
      <c r="H13447" t="s">
        <v>31378</v>
      </c>
      <c r="I13447" t="s">
        <v>31386</v>
      </c>
      <c r="J13447" t="s">
        <v>33482</v>
      </c>
      <c r="K13447" t="s">
        <v>40678</v>
      </c>
      <c r="M13447" t="s">
        <v>44664</v>
      </c>
      <c r="N13447" t="s">
        <v>44905</v>
      </c>
      <c r="O13447" t="s">
        <v>44906</v>
      </c>
      <c r="P13447">
        <v>0</v>
      </c>
      <c r="Q13447">
        <v>1</v>
      </c>
      <c r="R13447" t="s">
        <v>44922</v>
      </c>
      <c r="S13447" t="s">
        <v>45639</v>
      </c>
      <c r="T13447" t="s">
        <v>46454</v>
      </c>
      <c r="U13447" t="s">
        <v>57659</v>
      </c>
      <c r="W13447" t="s">
        <v>44664</v>
      </c>
      <c r="X13447" t="s">
        <v>44923</v>
      </c>
    </row>
    <row r="13448" spans="1:24">
      <c r="A13448">
        <f>HYPERLINK("https://www.philgeps.gov.ph/GEPSNONPILOT/Tender/SplashBidNoticeAbstractUI.aspx?menuIndex=3&amp;refID=7052510&amp;Result=3","7052510")</f>
        <v>0</v>
      </c>
      <c r="B13448" t="s">
        <v>900</v>
      </c>
      <c r="C13448" t="s">
        <v>16384</v>
      </c>
      <c r="D13448" t="s">
        <v>18123</v>
      </c>
      <c r="E13448" t="s">
        <v>29810</v>
      </c>
      <c r="F13448" t="s">
        <v>31362</v>
      </c>
      <c r="G13448" t="s">
        <v>31369</v>
      </c>
      <c r="H13448" t="s">
        <v>31378</v>
      </c>
      <c r="I13448" t="s">
        <v>31386</v>
      </c>
      <c r="J13448" t="s">
        <v>39668</v>
      </c>
      <c r="K13448" t="s">
        <v>40669</v>
      </c>
      <c r="M13448" t="s">
        <v>41881</v>
      </c>
      <c r="N13448" t="s">
        <v>44905</v>
      </c>
      <c r="O13448" t="s">
        <v>44906</v>
      </c>
      <c r="Q13448">
        <v>0</v>
      </c>
      <c r="R13448" t="s">
        <v>44922</v>
      </c>
      <c r="S13448" t="s">
        <v>45741</v>
      </c>
      <c r="T13448" t="s">
        <v>46585</v>
      </c>
      <c r="U13448" t="s">
        <v>57660</v>
      </c>
      <c r="W13448" t="s">
        <v>60969</v>
      </c>
      <c r="X13448" t="s">
        <v>44923</v>
      </c>
    </row>
    <row r="13449" spans="1:24">
      <c r="A13449">
        <f>HYPERLINK("https://www.philgeps.gov.ph/GEPSNONPILOT/Tender/SplashBidNoticeAbstractUI.aspx?menuIndex=3&amp;refID=7052661&amp;Result=3","7052661")</f>
        <v>0</v>
      </c>
      <c r="B13449" t="s">
        <v>1635</v>
      </c>
      <c r="C13449" t="s">
        <v>16385</v>
      </c>
      <c r="D13449" t="s">
        <v>18136</v>
      </c>
      <c r="E13449" t="s">
        <v>29811</v>
      </c>
      <c r="F13449" t="s">
        <v>31362</v>
      </c>
      <c r="G13449" t="s">
        <v>31369</v>
      </c>
      <c r="H13449" t="s">
        <v>15799</v>
      </c>
      <c r="I13449" t="s">
        <v>31409</v>
      </c>
      <c r="J13449" t="s">
        <v>31615</v>
      </c>
      <c r="K13449" t="s">
        <v>40662</v>
      </c>
      <c r="M13449" t="s">
        <v>42696</v>
      </c>
      <c r="N13449" t="s">
        <v>44905</v>
      </c>
      <c r="O13449" t="s">
        <v>44906</v>
      </c>
      <c r="P13449">
        <v>0</v>
      </c>
      <c r="Q13449">
        <v>5</v>
      </c>
      <c r="R13449" t="s">
        <v>44922</v>
      </c>
      <c r="S13449" t="s">
        <v>45639</v>
      </c>
      <c r="T13449" t="s">
        <v>46506</v>
      </c>
      <c r="U13449" t="s">
        <v>57661</v>
      </c>
      <c r="W13449" t="s">
        <v>44354</v>
      </c>
      <c r="X13449" t="s">
        <v>44923</v>
      </c>
    </row>
    <row r="13450" spans="1:24">
      <c r="A13450">
        <f>HYPERLINK("https://www.philgeps.gov.ph/GEPSNONPILOT/Tender/SplashBidNoticeAbstractUI.aspx?menuIndex=3&amp;refID=7052655&amp;Result=3","7052655")</f>
        <v>0</v>
      </c>
      <c r="B13450" t="s">
        <v>1635</v>
      </c>
      <c r="C13450" t="s">
        <v>16386</v>
      </c>
      <c r="D13450" t="s">
        <v>18136</v>
      </c>
      <c r="E13450" t="s">
        <v>29812</v>
      </c>
      <c r="F13450" t="s">
        <v>31362</v>
      </c>
      <c r="G13450" t="s">
        <v>31369</v>
      </c>
      <c r="H13450" t="s">
        <v>15799</v>
      </c>
      <c r="I13450" t="s">
        <v>31409</v>
      </c>
      <c r="J13450" t="s">
        <v>32891</v>
      </c>
      <c r="K13450" t="s">
        <v>40662</v>
      </c>
      <c r="M13450" t="s">
        <v>42696</v>
      </c>
      <c r="N13450" t="s">
        <v>44905</v>
      </c>
      <c r="O13450" t="s">
        <v>44906</v>
      </c>
      <c r="P13450">
        <v>0</v>
      </c>
      <c r="Q13450">
        <v>4</v>
      </c>
      <c r="R13450" t="s">
        <v>44922</v>
      </c>
      <c r="S13450" t="s">
        <v>45639</v>
      </c>
      <c r="T13450" t="s">
        <v>46506</v>
      </c>
      <c r="U13450" t="s">
        <v>57662</v>
      </c>
      <c r="W13450" t="s">
        <v>44354</v>
      </c>
      <c r="X13450" t="s">
        <v>44923</v>
      </c>
    </row>
    <row r="13451" spans="1:24">
      <c r="A13451">
        <f>HYPERLINK("https://www.philgeps.gov.ph/GEPSNONPILOT/Tender/SplashBidNoticeAbstractUI.aspx?menuIndex=3&amp;refID=6931623&amp;Result=3","6931623")</f>
        <v>0</v>
      </c>
      <c r="B13451" t="s">
        <v>3367</v>
      </c>
      <c r="C13451" t="s">
        <v>16387</v>
      </c>
      <c r="D13451" t="s">
        <v>18160</v>
      </c>
      <c r="E13451" t="s">
        <v>29813</v>
      </c>
      <c r="F13451" t="s">
        <v>31362</v>
      </c>
      <c r="G13451" t="s">
        <v>31369</v>
      </c>
      <c r="H13451" t="s">
        <v>31378</v>
      </c>
      <c r="I13451" t="s">
        <v>31386</v>
      </c>
      <c r="J13451" t="s">
        <v>31709</v>
      </c>
      <c r="K13451" t="s">
        <v>40662</v>
      </c>
      <c r="M13451" t="s">
        <v>44667</v>
      </c>
      <c r="N13451" t="s">
        <v>44905</v>
      </c>
      <c r="O13451" t="s">
        <v>44906</v>
      </c>
      <c r="P13451">
        <v>0</v>
      </c>
      <c r="Q13451">
        <v>2</v>
      </c>
      <c r="R13451" t="s">
        <v>44923</v>
      </c>
      <c r="S13451" t="s">
        <v>45744</v>
      </c>
      <c r="T13451" t="s">
        <v>46416</v>
      </c>
      <c r="U13451" t="s">
        <v>57663</v>
      </c>
      <c r="W13451" t="s">
        <v>44667</v>
      </c>
      <c r="X13451" t="s">
        <v>44976</v>
      </c>
    </row>
    <row r="13452" spans="1:24">
      <c r="A13452">
        <f>HYPERLINK("https://www.philgeps.gov.ph/GEPSNONPILOT/Tender/SplashBidNoticeAbstractUI.aspx?menuIndex=3&amp;refID=7052660&amp;Result=3","7052660")</f>
        <v>0</v>
      </c>
      <c r="B13452" t="s">
        <v>1635</v>
      </c>
      <c r="C13452" t="s">
        <v>16388</v>
      </c>
      <c r="D13452" t="s">
        <v>18136</v>
      </c>
      <c r="E13452" t="s">
        <v>29814</v>
      </c>
      <c r="F13452" t="s">
        <v>31362</v>
      </c>
      <c r="G13452" t="s">
        <v>31369</v>
      </c>
      <c r="H13452" t="s">
        <v>15799</v>
      </c>
      <c r="I13452" t="s">
        <v>31409</v>
      </c>
      <c r="J13452" t="s">
        <v>31957</v>
      </c>
      <c r="K13452" t="s">
        <v>40662</v>
      </c>
      <c r="M13452" t="s">
        <v>42696</v>
      </c>
      <c r="N13452" t="s">
        <v>44905</v>
      </c>
      <c r="O13452" t="s">
        <v>44906</v>
      </c>
      <c r="P13452">
        <v>0</v>
      </c>
      <c r="Q13452">
        <v>3</v>
      </c>
      <c r="R13452" t="s">
        <v>44922</v>
      </c>
      <c r="S13452" t="s">
        <v>45639</v>
      </c>
      <c r="T13452" t="s">
        <v>46483</v>
      </c>
      <c r="U13452" t="s">
        <v>56192</v>
      </c>
      <c r="W13452" t="s">
        <v>44354</v>
      </c>
      <c r="X13452" t="s">
        <v>44923</v>
      </c>
    </row>
    <row r="13453" spans="1:24">
      <c r="A13453">
        <f>HYPERLINK("https://www.philgeps.gov.ph/GEPSNONPILOT/Tender/SplashBidNoticeAbstractUI.aspx?menuIndex=3&amp;refID=7052638&amp;Result=3","7052638")</f>
        <v>0</v>
      </c>
      <c r="B13453" t="s">
        <v>2957</v>
      </c>
      <c r="C13453" t="s">
        <v>16389</v>
      </c>
      <c r="D13453" t="s">
        <v>18106</v>
      </c>
      <c r="E13453" t="s">
        <v>29815</v>
      </c>
      <c r="F13453" t="s">
        <v>31362</v>
      </c>
      <c r="G13453" t="s">
        <v>31369</v>
      </c>
      <c r="H13453" t="s">
        <v>31378</v>
      </c>
      <c r="I13453" t="s">
        <v>31386</v>
      </c>
      <c r="J13453" t="s">
        <v>31641</v>
      </c>
      <c r="K13453" t="s">
        <v>40682</v>
      </c>
      <c r="M13453" t="s">
        <v>44180</v>
      </c>
      <c r="N13453" t="s">
        <v>44905</v>
      </c>
      <c r="O13453" t="s">
        <v>44906</v>
      </c>
      <c r="Q13453">
        <v>9</v>
      </c>
      <c r="R13453" t="s">
        <v>44922</v>
      </c>
      <c r="S13453" t="s">
        <v>45745</v>
      </c>
      <c r="T13453" t="s">
        <v>46447</v>
      </c>
      <c r="U13453" t="s">
        <v>55515</v>
      </c>
      <c r="W13453" t="s">
        <v>44180</v>
      </c>
      <c r="X13453" t="s">
        <v>44923</v>
      </c>
    </row>
    <row r="13454" spans="1:24">
      <c r="A13454">
        <f>HYPERLINK("https://www.philgeps.gov.ph/GEPSNONPILOT/Tender/SplashBidNoticeAbstractUI.aspx?menuIndex=3&amp;refID=7052658&amp;Result=3","7052658")</f>
        <v>0</v>
      </c>
      <c r="B13454" t="s">
        <v>1635</v>
      </c>
      <c r="C13454" t="s">
        <v>16390</v>
      </c>
      <c r="D13454" t="s">
        <v>18136</v>
      </c>
      <c r="E13454" t="s">
        <v>29816</v>
      </c>
      <c r="F13454" t="s">
        <v>31362</v>
      </c>
      <c r="G13454" t="s">
        <v>31369</v>
      </c>
      <c r="H13454" t="s">
        <v>15799</v>
      </c>
      <c r="I13454" t="s">
        <v>31409</v>
      </c>
      <c r="J13454" t="s">
        <v>33653</v>
      </c>
      <c r="K13454" t="s">
        <v>40662</v>
      </c>
      <c r="M13454" t="s">
        <v>42696</v>
      </c>
      <c r="N13454" t="s">
        <v>44905</v>
      </c>
      <c r="O13454" t="s">
        <v>44906</v>
      </c>
      <c r="P13454">
        <v>0</v>
      </c>
      <c r="Q13454">
        <v>4</v>
      </c>
      <c r="R13454" t="s">
        <v>44922</v>
      </c>
      <c r="S13454" t="s">
        <v>45639</v>
      </c>
      <c r="T13454" t="s">
        <v>46506</v>
      </c>
      <c r="U13454" t="s">
        <v>56192</v>
      </c>
      <c r="W13454" t="s">
        <v>44354</v>
      </c>
      <c r="X13454" t="s">
        <v>44923</v>
      </c>
    </row>
    <row r="13455" spans="1:24">
      <c r="A13455">
        <f>HYPERLINK("https://www.philgeps.gov.ph/GEPSNONPILOT/Tender/SplashBidNoticeAbstractUI.aspx?menuIndex=3&amp;refID=7052635&amp;Result=3","7052635")</f>
        <v>0</v>
      </c>
      <c r="B13455" t="s">
        <v>2957</v>
      </c>
      <c r="C13455" t="s">
        <v>16391</v>
      </c>
      <c r="D13455" t="s">
        <v>18106</v>
      </c>
      <c r="E13455" t="s">
        <v>29817</v>
      </c>
      <c r="F13455" t="s">
        <v>31362</v>
      </c>
      <c r="G13455" t="s">
        <v>31369</v>
      </c>
      <c r="H13455" t="s">
        <v>31378</v>
      </c>
      <c r="I13455" t="s">
        <v>31386</v>
      </c>
      <c r="J13455" t="s">
        <v>31602</v>
      </c>
      <c r="K13455" t="s">
        <v>40665</v>
      </c>
      <c r="M13455" t="s">
        <v>44180</v>
      </c>
      <c r="N13455" t="s">
        <v>44905</v>
      </c>
      <c r="O13455" t="s">
        <v>44906</v>
      </c>
      <c r="P13455">
        <v>0</v>
      </c>
      <c r="Q13455">
        <v>9</v>
      </c>
      <c r="R13455" t="s">
        <v>44922</v>
      </c>
      <c r="S13455" t="s">
        <v>45639</v>
      </c>
      <c r="T13455" t="s">
        <v>46447</v>
      </c>
      <c r="U13455" t="s">
        <v>55515</v>
      </c>
      <c r="W13455" t="s">
        <v>44180</v>
      </c>
      <c r="X13455" t="s">
        <v>44923</v>
      </c>
    </row>
    <row r="13456" spans="1:24">
      <c r="A13456">
        <f>HYPERLINK("https://www.philgeps.gov.ph/GEPSNONPILOT/Tender/SplashBidNoticeAbstractUI.aspx?menuIndex=3&amp;refID=7052626&amp;Result=3","7052626")</f>
        <v>0</v>
      </c>
      <c r="B13456" t="s">
        <v>2957</v>
      </c>
      <c r="C13456" t="s">
        <v>16392</v>
      </c>
      <c r="D13456" t="s">
        <v>18106</v>
      </c>
      <c r="E13456" t="s">
        <v>29818</v>
      </c>
      <c r="F13456" t="s">
        <v>31362</v>
      </c>
      <c r="G13456" t="s">
        <v>31369</v>
      </c>
      <c r="H13456" t="s">
        <v>31378</v>
      </c>
      <c r="I13456" t="s">
        <v>31386</v>
      </c>
      <c r="J13456" t="s">
        <v>31625</v>
      </c>
      <c r="K13456" t="s">
        <v>40665</v>
      </c>
      <c r="M13456" t="s">
        <v>44180</v>
      </c>
      <c r="N13456" t="s">
        <v>44905</v>
      </c>
      <c r="O13456" t="s">
        <v>44906</v>
      </c>
      <c r="P13456">
        <v>0</v>
      </c>
      <c r="Q13456">
        <v>9</v>
      </c>
      <c r="R13456" t="s">
        <v>44922</v>
      </c>
      <c r="S13456" t="s">
        <v>45639</v>
      </c>
      <c r="T13456" t="s">
        <v>46447</v>
      </c>
      <c r="U13456" t="s">
        <v>55515</v>
      </c>
      <c r="W13456" t="s">
        <v>44180</v>
      </c>
      <c r="X13456" t="s">
        <v>44923</v>
      </c>
    </row>
    <row r="13457" spans="1:24">
      <c r="A13457">
        <f>HYPERLINK("https://www.philgeps.gov.ph/GEPSNONPILOT/Tender/SplashBidNoticeAbstractUI.aspx?menuIndex=3&amp;refID=7052617&amp;Result=3","7052617")</f>
        <v>0</v>
      </c>
      <c r="B13457" t="s">
        <v>1579</v>
      </c>
      <c r="C13457" t="s">
        <v>16393</v>
      </c>
      <c r="D13457" t="s">
        <v>18117</v>
      </c>
      <c r="E13457" t="s">
        <v>29819</v>
      </c>
      <c r="F13457" t="s">
        <v>31362</v>
      </c>
      <c r="G13457" t="s">
        <v>31369</v>
      </c>
      <c r="H13457" t="s">
        <v>15799</v>
      </c>
      <c r="I13457" t="s">
        <v>31460</v>
      </c>
      <c r="J13457" t="s">
        <v>39669</v>
      </c>
      <c r="K13457" t="s">
        <v>40665</v>
      </c>
      <c r="M13457" t="s">
        <v>42956</v>
      </c>
      <c r="N13457" t="s">
        <v>44905</v>
      </c>
      <c r="O13457" t="s">
        <v>44906</v>
      </c>
      <c r="Q13457">
        <v>5</v>
      </c>
      <c r="R13457" t="s">
        <v>44922</v>
      </c>
      <c r="S13457" t="s">
        <v>45746</v>
      </c>
      <c r="T13457" t="s">
        <v>46506</v>
      </c>
      <c r="U13457" t="s">
        <v>57664</v>
      </c>
      <c r="W13457" t="s">
        <v>42956</v>
      </c>
      <c r="X13457" t="s">
        <v>44923</v>
      </c>
    </row>
    <row r="13458" spans="1:24">
      <c r="A13458">
        <f>HYPERLINK("https://www.philgeps.gov.ph/GEPSNONPILOT/Tender/SplashBidNoticeAbstractUI.aspx?menuIndex=3&amp;refID=7052467&amp;Result=3","7052467")</f>
        <v>0</v>
      </c>
      <c r="B13458" t="s">
        <v>3362</v>
      </c>
      <c r="C13458" t="s">
        <v>16394</v>
      </c>
      <c r="D13458" t="s">
        <v>18104</v>
      </c>
      <c r="E13458" t="s">
        <v>29820</v>
      </c>
      <c r="F13458" t="s">
        <v>31362</v>
      </c>
      <c r="G13458" t="s">
        <v>31369</v>
      </c>
      <c r="H13458" t="s">
        <v>31378</v>
      </c>
      <c r="I13458" t="s">
        <v>31386</v>
      </c>
      <c r="J13458" t="s">
        <v>31625</v>
      </c>
      <c r="K13458" t="s">
        <v>40861</v>
      </c>
      <c r="M13458" t="s">
        <v>44662</v>
      </c>
      <c r="N13458" t="s">
        <v>44905</v>
      </c>
      <c r="O13458" t="s">
        <v>44906</v>
      </c>
      <c r="Q13458">
        <v>1</v>
      </c>
      <c r="R13458" t="s">
        <v>44922</v>
      </c>
      <c r="S13458" t="s">
        <v>45747</v>
      </c>
      <c r="T13458" t="s">
        <v>46447</v>
      </c>
      <c r="U13458" t="s">
        <v>57665</v>
      </c>
      <c r="W13458" t="s">
        <v>44662</v>
      </c>
      <c r="X13458" t="s">
        <v>44923</v>
      </c>
    </row>
    <row r="13459" spans="1:24">
      <c r="A13459">
        <f>HYPERLINK("https://www.philgeps.gov.ph/GEPSNONPILOT/Tender/SplashBidNoticeAbstractUI.aspx?menuIndex=3&amp;refID=7041076&amp;Result=3","7041076")</f>
        <v>0</v>
      </c>
      <c r="B13459" t="s">
        <v>115</v>
      </c>
      <c r="C13459" t="s">
        <v>16395</v>
      </c>
      <c r="D13459" t="s">
        <v>18138</v>
      </c>
      <c r="E13459" t="s">
        <v>29821</v>
      </c>
      <c r="F13459" t="s">
        <v>31362</v>
      </c>
      <c r="G13459" t="s">
        <v>31373</v>
      </c>
      <c r="H13459" t="s">
        <v>31377</v>
      </c>
      <c r="I13459" t="s">
        <v>31377</v>
      </c>
      <c r="J13459" t="s">
        <v>39670</v>
      </c>
      <c r="K13459" t="s">
        <v>40662</v>
      </c>
      <c r="L13459" t="s">
        <v>115</v>
      </c>
      <c r="M13459" t="s">
        <v>41052</v>
      </c>
      <c r="N13459" t="s">
        <v>44905</v>
      </c>
      <c r="O13459" t="s">
        <v>44906</v>
      </c>
      <c r="Q13459">
        <v>7</v>
      </c>
      <c r="R13459" t="s">
        <v>44923</v>
      </c>
      <c r="S13459" t="s">
        <v>45748</v>
      </c>
      <c r="T13459" t="s">
        <v>46671</v>
      </c>
      <c r="U13459" t="s">
        <v>57666</v>
      </c>
      <c r="W13459" t="s">
        <v>41052</v>
      </c>
      <c r="X13459" t="s">
        <v>44929</v>
      </c>
    </row>
    <row r="13460" spans="1:24">
      <c r="A13460">
        <f>HYPERLINK("https://www.philgeps.gov.ph/GEPSNONPILOT/Tender/SplashBidNoticeAbstractUI.aspx?menuIndex=3&amp;refID=7041026&amp;Result=3","7041026")</f>
        <v>0</v>
      </c>
      <c r="B13460" t="s">
        <v>3367</v>
      </c>
      <c r="C13460" t="s">
        <v>16396</v>
      </c>
      <c r="D13460" t="s">
        <v>18160</v>
      </c>
      <c r="E13460" t="s">
        <v>29822</v>
      </c>
      <c r="F13460" t="s">
        <v>31362</v>
      </c>
      <c r="G13460" t="s">
        <v>31369</v>
      </c>
      <c r="H13460" t="s">
        <v>31378</v>
      </c>
      <c r="I13460" t="s">
        <v>31386</v>
      </c>
      <c r="J13460" t="s">
        <v>31606</v>
      </c>
      <c r="K13460" t="s">
        <v>40662</v>
      </c>
      <c r="M13460" t="s">
        <v>44667</v>
      </c>
      <c r="N13460" t="s">
        <v>44905</v>
      </c>
      <c r="O13460" t="s">
        <v>44906</v>
      </c>
      <c r="P13460">
        <v>0</v>
      </c>
      <c r="Q13460">
        <v>1</v>
      </c>
      <c r="R13460" t="s">
        <v>44923</v>
      </c>
      <c r="S13460" t="s">
        <v>45744</v>
      </c>
      <c r="T13460" t="s">
        <v>46416</v>
      </c>
      <c r="U13460" t="s">
        <v>57667</v>
      </c>
      <c r="W13460" t="s">
        <v>44667</v>
      </c>
      <c r="X13460" t="s">
        <v>44929</v>
      </c>
    </row>
    <row r="13461" spans="1:24">
      <c r="A13461">
        <f>HYPERLINK("https://www.philgeps.gov.ph/GEPSNONPILOT/Tender/SplashBidNoticeAbstractUI.aspx?menuIndex=3&amp;refID=7052630&amp;Result=3","7052630")</f>
        <v>0</v>
      </c>
      <c r="B13461" t="s">
        <v>2957</v>
      </c>
      <c r="C13461" t="s">
        <v>16397</v>
      </c>
      <c r="D13461" t="s">
        <v>18106</v>
      </c>
      <c r="E13461" t="s">
        <v>29823</v>
      </c>
      <c r="F13461" t="s">
        <v>31362</v>
      </c>
      <c r="G13461" t="s">
        <v>31369</v>
      </c>
      <c r="H13461" t="s">
        <v>31378</v>
      </c>
      <c r="I13461" t="s">
        <v>31386</v>
      </c>
      <c r="J13461" t="s">
        <v>31625</v>
      </c>
      <c r="K13461" t="s">
        <v>40665</v>
      </c>
      <c r="M13461" t="s">
        <v>44180</v>
      </c>
      <c r="N13461" t="s">
        <v>44905</v>
      </c>
      <c r="O13461" t="s">
        <v>44906</v>
      </c>
      <c r="P13461">
        <v>0</v>
      </c>
      <c r="Q13461">
        <v>9</v>
      </c>
      <c r="R13461" t="s">
        <v>44922</v>
      </c>
      <c r="S13461" t="s">
        <v>45639</v>
      </c>
      <c r="T13461" t="s">
        <v>46447</v>
      </c>
      <c r="U13461" t="s">
        <v>55515</v>
      </c>
      <c r="W13461" t="s">
        <v>44180</v>
      </c>
      <c r="X13461" t="s">
        <v>44923</v>
      </c>
    </row>
    <row r="13462" spans="1:24">
      <c r="A13462">
        <f>HYPERLINK("https://www.philgeps.gov.ph/GEPSNONPILOT/Tender/SplashBidNoticeAbstractUI.aspx?menuIndex=3&amp;refID=7041034&amp;Result=3","7041034")</f>
        <v>0</v>
      </c>
      <c r="B13462" t="s">
        <v>3367</v>
      </c>
      <c r="C13462" t="s">
        <v>16398</v>
      </c>
      <c r="D13462" t="s">
        <v>18160</v>
      </c>
      <c r="E13462" t="s">
        <v>29824</v>
      </c>
      <c r="F13462" t="s">
        <v>31362</v>
      </c>
      <c r="G13462" t="s">
        <v>31369</v>
      </c>
      <c r="H13462" t="s">
        <v>31378</v>
      </c>
      <c r="I13462" t="s">
        <v>31386</v>
      </c>
      <c r="J13462" t="s">
        <v>31606</v>
      </c>
      <c r="K13462" t="s">
        <v>40662</v>
      </c>
      <c r="M13462" t="s">
        <v>44667</v>
      </c>
      <c r="N13462" t="s">
        <v>44905</v>
      </c>
      <c r="O13462" t="s">
        <v>44906</v>
      </c>
      <c r="P13462">
        <v>0</v>
      </c>
      <c r="Q13462">
        <v>1</v>
      </c>
      <c r="R13462" t="s">
        <v>44923</v>
      </c>
      <c r="S13462" t="s">
        <v>45744</v>
      </c>
      <c r="T13462" t="s">
        <v>46416</v>
      </c>
      <c r="U13462" t="s">
        <v>57668</v>
      </c>
      <c r="W13462" t="s">
        <v>44667</v>
      </c>
      <c r="X13462" t="s">
        <v>44929</v>
      </c>
    </row>
    <row r="13463" spans="1:24">
      <c r="A13463">
        <f>HYPERLINK("https://www.philgeps.gov.ph/GEPSNONPILOT/Tender/SplashBidNoticeAbstractUI.aspx?menuIndex=3&amp;refID=7039849&amp;Result=3","7039849")</f>
        <v>0</v>
      </c>
      <c r="B13463" t="s">
        <v>3107</v>
      </c>
      <c r="C13463" t="s">
        <v>16399</v>
      </c>
      <c r="D13463" t="s">
        <v>18131</v>
      </c>
      <c r="E13463" t="s">
        <v>29825</v>
      </c>
      <c r="F13463" t="s">
        <v>31362</v>
      </c>
      <c r="G13463" t="s">
        <v>31373</v>
      </c>
      <c r="H13463" t="s">
        <v>15799</v>
      </c>
      <c r="I13463" t="s">
        <v>7188</v>
      </c>
      <c r="J13463" t="s">
        <v>31542</v>
      </c>
      <c r="K13463" t="s">
        <v>40665</v>
      </c>
      <c r="M13463" t="s">
        <v>44668</v>
      </c>
      <c r="N13463" t="s">
        <v>44905</v>
      </c>
      <c r="O13463" t="s">
        <v>44906</v>
      </c>
      <c r="P13463">
        <v>0</v>
      </c>
      <c r="Q13463">
        <v>8</v>
      </c>
      <c r="R13463" t="s">
        <v>44923</v>
      </c>
      <c r="S13463" t="s">
        <v>45744</v>
      </c>
      <c r="T13463" t="s">
        <v>46447</v>
      </c>
      <c r="U13463" t="s">
        <v>57669</v>
      </c>
      <c r="V13463" t="s">
        <v>60590</v>
      </c>
      <c r="W13463" t="s">
        <v>44668</v>
      </c>
      <c r="X13463" t="s">
        <v>44930</v>
      </c>
    </row>
    <row r="13464" spans="1:24">
      <c r="A13464">
        <f>HYPERLINK("https://www.philgeps.gov.ph/GEPSNONPILOT/Tender/SplashBidNoticeAbstractUI.aspx?menuIndex=3&amp;refID=7052622&amp;Result=3","7052622")</f>
        <v>0</v>
      </c>
      <c r="B13464" t="s">
        <v>1579</v>
      </c>
      <c r="C13464" t="s">
        <v>16400</v>
      </c>
      <c r="D13464" t="s">
        <v>18117</v>
      </c>
      <c r="E13464" t="s">
        <v>29826</v>
      </c>
      <c r="F13464" t="s">
        <v>31362</v>
      </c>
      <c r="G13464" t="s">
        <v>31369</v>
      </c>
      <c r="H13464" t="s">
        <v>15799</v>
      </c>
      <c r="I13464" t="s">
        <v>31460</v>
      </c>
      <c r="J13464" t="s">
        <v>38621</v>
      </c>
      <c r="K13464" t="s">
        <v>40665</v>
      </c>
      <c r="M13464" t="s">
        <v>42956</v>
      </c>
      <c r="N13464" t="s">
        <v>44905</v>
      </c>
      <c r="O13464" t="s">
        <v>44906</v>
      </c>
      <c r="Q13464">
        <v>3</v>
      </c>
      <c r="R13464" t="s">
        <v>44922</v>
      </c>
      <c r="S13464" t="s">
        <v>45749</v>
      </c>
      <c r="T13464" t="s">
        <v>46506</v>
      </c>
      <c r="U13464" t="s">
        <v>57670</v>
      </c>
      <c r="W13464" t="s">
        <v>42956</v>
      </c>
      <c r="X13464" t="s">
        <v>44923</v>
      </c>
    </row>
    <row r="13465" spans="1:24">
      <c r="A13465">
        <f>HYPERLINK("https://www.philgeps.gov.ph/GEPSNONPILOT/Tender/SplashBidNoticeAbstractUI.aspx?menuIndex=3&amp;refID=7034144&amp;Result=3","7034144")</f>
        <v>0</v>
      </c>
      <c r="B13465" t="s">
        <v>344</v>
      </c>
      <c r="C13465" t="s">
        <v>16401</v>
      </c>
      <c r="D13465" t="s">
        <v>18148</v>
      </c>
      <c r="E13465" t="s">
        <v>29827</v>
      </c>
      <c r="F13465" t="s">
        <v>31362</v>
      </c>
      <c r="G13465" t="s">
        <v>31369</v>
      </c>
      <c r="H13465" t="s">
        <v>31378</v>
      </c>
      <c r="I13465" t="s">
        <v>31386</v>
      </c>
      <c r="J13465" t="s">
        <v>39671</v>
      </c>
      <c r="K13465" t="s">
        <v>40679</v>
      </c>
      <c r="M13465" t="s">
        <v>41290</v>
      </c>
      <c r="N13465" t="s">
        <v>44905</v>
      </c>
      <c r="O13465" t="s">
        <v>44906</v>
      </c>
      <c r="P13465">
        <v>0</v>
      </c>
      <c r="Q13465">
        <v>1</v>
      </c>
      <c r="R13465" t="s">
        <v>44923</v>
      </c>
      <c r="S13465" t="s">
        <v>45744</v>
      </c>
      <c r="T13465" t="s">
        <v>46447</v>
      </c>
      <c r="U13465" t="s">
        <v>47512</v>
      </c>
      <c r="W13465" t="s">
        <v>41290</v>
      </c>
      <c r="X13465" t="s">
        <v>44932</v>
      </c>
    </row>
    <row r="13466" spans="1:24">
      <c r="A13466">
        <f>HYPERLINK("https://www.philgeps.gov.ph/GEPSNONPILOT/Tender/SplashBidNoticeAbstractUI.aspx?menuIndex=3&amp;refID=6931645&amp;Result=3","6931645")</f>
        <v>0</v>
      </c>
      <c r="B13466" t="s">
        <v>3367</v>
      </c>
      <c r="C13466" t="s">
        <v>16402</v>
      </c>
      <c r="D13466" t="s">
        <v>18160</v>
      </c>
      <c r="E13466" t="s">
        <v>29828</v>
      </c>
      <c r="F13466" t="s">
        <v>31362</v>
      </c>
      <c r="G13466" t="s">
        <v>31369</v>
      </c>
      <c r="H13466" t="s">
        <v>31378</v>
      </c>
      <c r="I13466" t="s">
        <v>31386</v>
      </c>
      <c r="J13466" t="s">
        <v>31606</v>
      </c>
      <c r="K13466" t="s">
        <v>40662</v>
      </c>
      <c r="M13466" t="s">
        <v>44667</v>
      </c>
      <c r="N13466" t="s">
        <v>44905</v>
      </c>
      <c r="O13466" t="s">
        <v>44906</v>
      </c>
      <c r="P13466">
        <v>0</v>
      </c>
      <c r="Q13466">
        <v>1</v>
      </c>
      <c r="R13466" t="s">
        <v>44923</v>
      </c>
      <c r="S13466" t="s">
        <v>45744</v>
      </c>
      <c r="T13466" t="s">
        <v>46416</v>
      </c>
      <c r="U13466" t="s">
        <v>57671</v>
      </c>
      <c r="W13466" t="s">
        <v>44667</v>
      </c>
      <c r="X13466" t="s">
        <v>44976</v>
      </c>
    </row>
    <row r="13467" spans="1:24">
      <c r="A13467">
        <f>HYPERLINK("https://www.philgeps.gov.ph/GEPSNONPILOT/Tender/SplashBidNoticeAbstractUI.aspx?menuIndex=3&amp;refID=7028248&amp;Result=3","7028248")</f>
        <v>0</v>
      </c>
      <c r="B13467" t="s">
        <v>48</v>
      </c>
      <c r="C13467" t="s">
        <v>16403</v>
      </c>
      <c r="D13467" t="s">
        <v>18117</v>
      </c>
      <c r="E13467" t="s">
        <v>16403</v>
      </c>
      <c r="F13467" t="s">
        <v>31362</v>
      </c>
      <c r="G13467" t="s">
        <v>31369</v>
      </c>
      <c r="H13467" t="s">
        <v>15799</v>
      </c>
      <c r="I13467" t="s">
        <v>31423</v>
      </c>
      <c r="J13467" t="s">
        <v>31536</v>
      </c>
      <c r="K13467" t="s">
        <v>40661</v>
      </c>
      <c r="M13467" t="s">
        <v>40982</v>
      </c>
      <c r="N13467" t="s">
        <v>44905</v>
      </c>
      <c r="O13467" t="s">
        <v>44906</v>
      </c>
      <c r="P13467">
        <v>0</v>
      </c>
      <c r="Q13467">
        <v>0</v>
      </c>
      <c r="R13467" t="s">
        <v>44923</v>
      </c>
      <c r="S13467" t="s">
        <v>45744</v>
      </c>
      <c r="T13467" t="s">
        <v>46425</v>
      </c>
      <c r="U13467" t="s">
        <v>57672</v>
      </c>
      <c r="V13467" t="s">
        <v>59085</v>
      </c>
      <c r="W13467" t="s">
        <v>40982</v>
      </c>
      <c r="X13467" t="s">
        <v>44936</v>
      </c>
    </row>
    <row r="13468" spans="1:24">
      <c r="A13468">
        <f>HYPERLINK("https://www.philgeps.gov.ph/GEPSNONPILOT/Tender/SplashBidNoticeAbstractUI.aspx?menuIndex=3&amp;refID=7025866&amp;Result=3","7025866")</f>
        <v>0</v>
      </c>
      <c r="B13468" t="s">
        <v>3009</v>
      </c>
      <c r="C13468" t="s">
        <v>16404</v>
      </c>
      <c r="D13468" t="s">
        <v>18103</v>
      </c>
      <c r="E13468" t="s">
        <v>29829</v>
      </c>
      <c r="F13468" t="s">
        <v>31362</v>
      </c>
      <c r="G13468" t="s">
        <v>31369</v>
      </c>
      <c r="H13468" t="s">
        <v>15799</v>
      </c>
      <c r="I13468" t="s">
        <v>31409</v>
      </c>
      <c r="J13468" t="s">
        <v>31709</v>
      </c>
      <c r="K13468" t="s">
        <v>40679</v>
      </c>
      <c r="M13468" t="s">
        <v>44240</v>
      </c>
      <c r="N13468" t="s">
        <v>44905</v>
      </c>
      <c r="O13468" t="s">
        <v>44906</v>
      </c>
      <c r="P13468">
        <v>0</v>
      </c>
      <c r="Q13468">
        <v>12</v>
      </c>
      <c r="R13468" t="s">
        <v>44923</v>
      </c>
      <c r="S13468" t="s">
        <v>45744</v>
      </c>
      <c r="T13468" t="s">
        <v>46410</v>
      </c>
      <c r="U13468" t="s">
        <v>57673</v>
      </c>
      <c r="W13468" t="s">
        <v>44240</v>
      </c>
      <c r="X13468" t="s">
        <v>44937</v>
      </c>
    </row>
    <row r="13469" spans="1:24">
      <c r="A13469">
        <f>HYPERLINK("https://www.philgeps.gov.ph/GEPSNONPILOT/Tender/SplashBidNoticeAbstractUI.aspx?menuIndex=3&amp;refID=7052631&amp;Result=3","7052631")</f>
        <v>0</v>
      </c>
      <c r="B13469" t="s">
        <v>2957</v>
      </c>
      <c r="C13469" t="s">
        <v>16405</v>
      </c>
      <c r="D13469" t="s">
        <v>18106</v>
      </c>
      <c r="E13469" t="s">
        <v>29830</v>
      </c>
      <c r="F13469" t="s">
        <v>31362</v>
      </c>
      <c r="G13469" t="s">
        <v>31369</v>
      </c>
      <c r="H13469" t="s">
        <v>31378</v>
      </c>
      <c r="I13469" t="s">
        <v>31386</v>
      </c>
      <c r="J13469" t="s">
        <v>31738</v>
      </c>
      <c r="K13469" t="s">
        <v>40665</v>
      </c>
      <c r="M13469" t="s">
        <v>44180</v>
      </c>
      <c r="N13469" t="s">
        <v>44905</v>
      </c>
      <c r="O13469" t="s">
        <v>44906</v>
      </c>
      <c r="P13469">
        <v>0</v>
      </c>
      <c r="Q13469">
        <v>9</v>
      </c>
      <c r="R13469" t="s">
        <v>44922</v>
      </c>
      <c r="S13469" t="s">
        <v>45639</v>
      </c>
      <c r="T13469" t="s">
        <v>46447</v>
      </c>
      <c r="U13469" t="s">
        <v>55515</v>
      </c>
      <c r="W13469" t="s">
        <v>44180</v>
      </c>
      <c r="X13469" t="s">
        <v>44923</v>
      </c>
    </row>
    <row r="13470" spans="1:24">
      <c r="A13470">
        <f>HYPERLINK("https://www.philgeps.gov.ph/GEPSNONPILOT/Tender/SplashBidNoticeAbstractUI.aspx?menuIndex=3&amp;refID=7052493&amp;Result=3","7052493")</f>
        <v>0</v>
      </c>
      <c r="B13470" t="s">
        <v>3368</v>
      </c>
      <c r="C13470" t="s">
        <v>16406</v>
      </c>
      <c r="D13470" t="s">
        <v>18147</v>
      </c>
      <c r="E13470" t="s">
        <v>29831</v>
      </c>
      <c r="F13470" t="s">
        <v>31362</v>
      </c>
      <c r="G13470" t="s">
        <v>31369</v>
      </c>
      <c r="H13470" t="s">
        <v>31378</v>
      </c>
      <c r="I13470" t="s">
        <v>31386</v>
      </c>
      <c r="J13470" t="s">
        <v>39672</v>
      </c>
      <c r="K13470" t="s">
        <v>40682</v>
      </c>
      <c r="M13470" t="s">
        <v>44669</v>
      </c>
      <c r="N13470" t="s">
        <v>44905</v>
      </c>
      <c r="O13470" t="s">
        <v>44906</v>
      </c>
      <c r="P13470">
        <v>0</v>
      </c>
      <c r="Q13470">
        <v>0</v>
      </c>
      <c r="R13470" t="s">
        <v>44922</v>
      </c>
      <c r="S13470" t="s">
        <v>45639</v>
      </c>
      <c r="T13470" t="s">
        <v>46410</v>
      </c>
      <c r="U13470" t="s">
        <v>57674</v>
      </c>
      <c r="W13470" t="s">
        <v>44669</v>
      </c>
      <c r="X13470" t="s">
        <v>44923</v>
      </c>
    </row>
    <row r="13471" spans="1:24">
      <c r="A13471">
        <f>HYPERLINK("https://www.philgeps.gov.ph/GEPSNONPILOT/Tender/SplashBidNoticeAbstractUI.aspx?menuIndex=3&amp;refID=7039022&amp;Result=3","7039022")</f>
        <v>0</v>
      </c>
      <c r="B13471" t="s">
        <v>3369</v>
      </c>
      <c r="C13471" t="s">
        <v>16407</v>
      </c>
      <c r="D13471" t="s">
        <v>18134</v>
      </c>
      <c r="E13471" t="s">
        <v>29832</v>
      </c>
      <c r="F13471" t="s">
        <v>31362</v>
      </c>
      <c r="G13471" t="s">
        <v>31369</v>
      </c>
      <c r="H13471" t="s">
        <v>15799</v>
      </c>
      <c r="I13471" t="s">
        <v>31397</v>
      </c>
      <c r="J13471" t="s">
        <v>31578</v>
      </c>
      <c r="K13471" t="s">
        <v>40662</v>
      </c>
      <c r="M13471" t="s">
        <v>44670</v>
      </c>
      <c r="N13471" t="s">
        <v>44905</v>
      </c>
      <c r="O13471" t="s">
        <v>44906</v>
      </c>
      <c r="P13471">
        <v>0</v>
      </c>
      <c r="Q13471">
        <v>1</v>
      </c>
      <c r="R13471" t="s">
        <v>44923</v>
      </c>
      <c r="S13471" t="s">
        <v>45744</v>
      </c>
      <c r="T13471" t="s">
        <v>46432</v>
      </c>
      <c r="U13471" t="s">
        <v>57675</v>
      </c>
      <c r="W13471" t="s">
        <v>44670</v>
      </c>
      <c r="X13471" t="s">
        <v>44930</v>
      </c>
    </row>
    <row r="13472" spans="1:24">
      <c r="A13472">
        <f>HYPERLINK("https://www.philgeps.gov.ph/GEPSNONPILOT/Tender/SplashBidNoticeAbstractUI.aspx?menuIndex=3&amp;refID=7028170&amp;Result=3","7028170")</f>
        <v>0</v>
      </c>
      <c r="B13472" t="s">
        <v>2762</v>
      </c>
      <c r="C13472" t="s">
        <v>16408</v>
      </c>
      <c r="E13472" t="s">
        <v>29833</v>
      </c>
      <c r="F13472" t="s">
        <v>31362</v>
      </c>
      <c r="G13472" t="s">
        <v>31369</v>
      </c>
      <c r="H13472" t="s">
        <v>31378</v>
      </c>
      <c r="I13472" t="s">
        <v>31386</v>
      </c>
      <c r="J13472" t="s">
        <v>31709</v>
      </c>
      <c r="K13472" t="s">
        <v>40662</v>
      </c>
      <c r="M13472" t="s">
        <v>43953</v>
      </c>
      <c r="N13472" t="s">
        <v>44905</v>
      </c>
      <c r="O13472" t="s">
        <v>44906</v>
      </c>
      <c r="P13472">
        <v>0</v>
      </c>
      <c r="Q13472">
        <v>0</v>
      </c>
      <c r="R13472" t="s">
        <v>44923</v>
      </c>
      <c r="S13472" t="s">
        <v>45744</v>
      </c>
      <c r="T13472" t="s">
        <v>46447</v>
      </c>
      <c r="U13472" t="s">
        <v>57676</v>
      </c>
      <c r="W13472" t="s">
        <v>43953</v>
      </c>
      <c r="X13472" t="s">
        <v>44936</v>
      </c>
    </row>
    <row r="13473" spans="1:24">
      <c r="A13473">
        <f>HYPERLINK("https://www.philgeps.gov.ph/GEPSNONPILOT/Tender/SplashBidNoticeAbstractUI.aspx?menuIndex=3&amp;refID=7045014&amp;Result=3","7045014")</f>
        <v>0</v>
      </c>
      <c r="B13473" t="s">
        <v>238</v>
      </c>
      <c r="C13473" t="s">
        <v>16409</v>
      </c>
      <c r="D13473" t="s">
        <v>18163</v>
      </c>
      <c r="E13473" t="s">
        <v>29834</v>
      </c>
      <c r="F13473" t="s">
        <v>31362</v>
      </c>
      <c r="G13473" t="s">
        <v>31369</v>
      </c>
      <c r="H13473" t="s">
        <v>15799</v>
      </c>
      <c r="I13473" t="s">
        <v>31385</v>
      </c>
      <c r="J13473" t="s">
        <v>39673</v>
      </c>
      <c r="K13473" t="s">
        <v>40665</v>
      </c>
      <c r="M13473" t="s">
        <v>41177</v>
      </c>
      <c r="N13473" t="s">
        <v>44905</v>
      </c>
      <c r="O13473" t="s">
        <v>44906</v>
      </c>
      <c r="P13473">
        <v>0</v>
      </c>
      <c r="Q13473">
        <v>5</v>
      </c>
      <c r="R13473" t="s">
        <v>44923</v>
      </c>
      <c r="S13473" t="s">
        <v>45744</v>
      </c>
      <c r="T13473" t="s">
        <v>46393</v>
      </c>
      <c r="U13473" t="s">
        <v>57677</v>
      </c>
      <c r="V13473" t="s">
        <v>59537</v>
      </c>
      <c r="W13473" t="s">
        <v>41177</v>
      </c>
      <c r="X13473" t="s">
        <v>44925</v>
      </c>
    </row>
    <row r="13474" spans="1:24">
      <c r="A13474">
        <f>HYPERLINK("https://www.philgeps.gov.ph/GEPSNONPILOT/Tender/SplashBidNoticeAbstractUI.aspx?menuIndex=3&amp;refID=7041399&amp;Result=3","7041399")</f>
        <v>0</v>
      </c>
      <c r="B13474" t="s">
        <v>48</v>
      </c>
      <c r="C13474" t="s">
        <v>16410</v>
      </c>
      <c r="D13474" t="s">
        <v>18117</v>
      </c>
      <c r="E13474" t="s">
        <v>29835</v>
      </c>
      <c r="F13474" t="s">
        <v>31362</v>
      </c>
      <c r="G13474" t="s">
        <v>31369</v>
      </c>
      <c r="H13474" t="s">
        <v>15799</v>
      </c>
      <c r="I13474" t="s">
        <v>4283</v>
      </c>
      <c r="J13474" t="s">
        <v>39674</v>
      </c>
      <c r="K13474" t="s">
        <v>40680</v>
      </c>
      <c r="M13474" t="s">
        <v>41068</v>
      </c>
      <c r="N13474" t="s">
        <v>44905</v>
      </c>
      <c r="O13474" t="s">
        <v>44906</v>
      </c>
      <c r="P13474">
        <v>0</v>
      </c>
      <c r="Q13474">
        <v>8</v>
      </c>
      <c r="R13474" t="s">
        <v>44923</v>
      </c>
      <c r="S13474" t="s">
        <v>45744</v>
      </c>
      <c r="T13474" t="s">
        <v>46425</v>
      </c>
      <c r="U13474" t="s">
        <v>57678</v>
      </c>
      <c r="V13474" t="s">
        <v>60591</v>
      </c>
      <c r="W13474" t="s">
        <v>41068</v>
      </c>
      <c r="X13474" t="s">
        <v>44929</v>
      </c>
    </row>
    <row r="13475" spans="1:24">
      <c r="A13475">
        <f>HYPERLINK("https://www.philgeps.gov.ph/GEPSNONPILOT/Tender/SplashBidNoticeAbstractUI.aspx?menuIndex=3&amp;refID=7036129&amp;Result=3","7036129")</f>
        <v>0</v>
      </c>
      <c r="B13475" t="s">
        <v>3370</v>
      </c>
      <c r="C13475" t="s">
        <v>16411</v>
      </c>
      <c r="D13475" t="s">
        <v>18119</v>
      </c>
      <c r="E13475" t="s">
        <v>19224</v>
      </c>
      <c r="F13475" t="s">
        <v>31362</v>
      </c>
      <c r="G13475" t="s">
        <v>31369</v>
      </c>
      <c r="H13475" t="s">
        <v>15799</v>
      </c>
      <c r="I13475" t="s">
        <v>31476</v>
      </c>
      <c r="J13475" t="s">
        <v>33868</v>
      </c>
      <c r="K13475" t="s">
        <v>40686</v>
      </c>
      <c r="M13475" t="s">
        <v>44671</v>
      </c>
      <c r="N13475" t="s">
        <v>44905</v>
      </c>
      <c r="O13475" t="s">
        <v>44906</v>
      </c>
      <c r="Q13475">
        <v>20</v>
      </c>
      <c r="R13475" t="s">
        <v>44923</v>
      </c>
      <c r="S13475" t="s">
        <v>45750</v>
      </c>
      <c r="T13475" t="s">
        <v>46549</v>
      </c>
      <c r="U13475" t="s">
        <v>57679</v>
      </c>
      <c r="W13475" t="s">
        <v>44671</v>
      </c>
      <c r="X13475" t="s">
        <v>44931</v>
      </c>
    </row>
    <row r="13476" spans="1:24">
      <c r="A13476">
        <f>HYPERLINK("https://www.philgeps.gov.ph/GEPSNONPILOT/Tender/SplashBidNoticeAbstractUI.aspx?menuIndex=3&amp;refID=7043976&amp;Result=3","7043976")</f>
        <v>0</v>
      </c>
      <c r="B13476" t="s">
        <v>3009</v>
      </c>
      <c r="C13476" t="s">
        <v>16412</v>
      </c>
      <c r="D13476" t="s">
        <v>18103</v>
      </c>
      <c r="E13476" t="s">
        <v>29836</v>
      </c>
      <c r="F13476" t="s">
        <v>31362</v>
      </c>
      <c r="G13476" t="s">
        <v>31369</v>
      </c>
      <c r="H13476" t="s">
        <v>15799</v>
      </c>
      <c r="I13476" t="s">
        <v>31457</v>
      </c>
      <c r="J13476" t="s">
        <v>33444</v>
      </c>
      <c r="K13476" t="s">
        <v>40666</v>
      </c>
      <c r="M13476" t="s">
        <v>44240</v>
      </c>
      <c r="N13476" t="s">
        <v>44905</v>
      </c>
      <c r="O13476" t="s">
        <v>44906</v>
      </c>
      <c r="P13476">
        <v>0</v>
      </c>
      <c r="Q13476">
        <v>9</v>
      </c>
      <c r="R13476" t="s">
        <v>44923</v>
      </c>
      <c r="S13476" t="s">
        <v>45744</v>
      </c>
      <c r="T13476" t="s">
        <v>46497</v>
      </c>
      <c r="U13476" t="s">
        <v>57680</v>
      </c>
      <c r="W13476" t="s">
        <v>44240</v>
      </c>
      <c r="X13476" t="s">
        <v>44926</v>
      </c>
    </row>
    <row r="13477" spans="1:24">
      <c r="A13477">
        <f>HYPERLINK("https://www.philgeps.gov.ph/GEPSNONPILOT/Tender/SplashBidNoticeAbstractUI.aspx?menuIndex=3&amp;refID=7045065&amp;Result=3","7045065")</f>
        <v>0</v>
      </c>
      <c r="B13477" t="s">
        <v>940</v>
      </c>
      <c r="C13477" t="s">
        <v>16413</v>
      </c>
      <c r="D13477" t="s">
        <v>18177</v>
      </c>
      <c r="E13477" t="s">
        <v>29837</v>
      </c>
      <c r="F13477" t="s">
        <v>31362</v>
      </c>
      <c r="G13477" t="s">
        <v>31369</v>
      </c>
      <c r="H13477" t="s">
        <v>31378</v>
      </c>
      <c r="I13477" t="s">
        <v>31386</v>
      </c>
      <c r="J13477" t="s">
        <v>32597</v>
      </c>
      <c r="K13477" t="s">
        <v>40686</v>
      </c>
      <c r="M13477" t="s">
        <v>41928</v>
      </c>
      <c r="N13477" t="s">
        <v>44905</v>
      </c>
      <c r="O13477" t="s">
        <v>44906</v>
      </c>
      <c r="P13477">
        <v>0</v>
      </c>
      <c r="Q13477">
        <v>0</v>
      </c>
      <c r="R13477" t="s">
        <v>44923</v>
      </c>
      <c r="S13477" t="s">
        <v>45744</v>
      </c>
      <c r="T13477" t="s">
        <v>46470</v>
      </c>
      <c r="U13477" t="s">
        <v>57681</v>
      </c>
      <c r="W13477" t="s">
        <v>41928</v>
      </c>
      <c r="X13477" t="s">
        <v>44925</v>
      </c>
    </row>
    <row r="13478" spans="1:24">
      <c r="A13478">
        <f>HYPERLINK("https://www.philgeps.gov.ph/GEPSNONPILOT/Tender/SplashBidNoticeAbstractUI.aspx?menuIndex=3&amp;refID=7045409&amp;Result=3","7045409")</f>
        <v>0</v>
      </c>
      <c r="B13478" t="s">
        <v>3371</v>
      </c>
      <c r="C13478" t="s">
        <v>16414</v>
      </c>
      <c r="D13478" t="s">
        <v>18118</v>
      </c>
      <c r="E13478" t="s">
        <v>29838</v>
      </c>
      <c r="F13478" t="s">
        <v>31362</v>
      </c>
      <c r="G13478" t="s">
        <v>31369</v>
      </c>
      <c r="H13478" t="s">
        <v>15799</v>
      </c>
      <c r="I13478" t="s">
        <v>31454</v>
      </c>
      <c r="J13478" t="s">
        <v>39675</v>
      </c>
      <c r="K13478" t="s">
        <v>40666</v>
      </c>
      <c r="M13478" t="s">
        <v>44672</v>
      </c>
      <c r="N13478" t="s">
        <v>44905</v>
      </c>
      <c r="O13478" t="s">
        <v>44906</v>
      </c>
      <c r="P13478">
        <v>0</v>
      </c>
      <c r="Q13478">
        <v>7</v>
      </c>
      <c r="R13478" t="s">
        <v>44923</v>
      </c>
      <c r="S13478" t="s">
        <v>45744</v>
      </c>
      <c r="T13478" t="s">
        <v>46434</v>
      </c>
      <c r="U13478" t="s">
        <v>57682</v>
      </c>
      <c r="W13478" t="s">
        <v>44672</v>
      </c>
      <c r="X13478" t="s">
        <v>44925</v>
      </c>
    </row>
    <row r="13479" spans="1:24">
      <c r="A13479">
        <f>HYPERLINK("https://www.philgeps.gov.ph/GEPSNONPILOT/Tender/SplashBidNoticeAbstractUI.aspx?menuIndex=3&amp;refID=7023535-2&amp;Result=3","7023535-2")</f>
        <v>0</v>
      </c>
      <c r="B13479" t="s">
        <v>997</v>
      </c>
      <c r="C13479" t="s">
        <v>16415</v>
      </c>
      <c r="D13479" t="s">
        <v>18101</v>
      </c>
      <c r="E13479" t="s">
        <v>29839</v>
      </c>
      <c r="F13479" t="s">
        <v>31362</v>
      </c>
      <c r="G13479" t="s">
        <v>31369</v>
      </c>
      <c r="H13479" t="s">
        <v>31377</v>
      </c>
      <c r="I13479" t="s">
        <v>31377</v>
      </c>
      <c r="J13479" t="s">
        <v>35217</v>
      </c>
      <c r="K13479" t="s">
        <v>40679</v>
      </c>
      <c r="M13479" t="s">
        <v>44673</v>
      </c>
      <c r="N13479" t="s">
        <v>44905</v>
      </c>
      <c r="O13479" t="s">
        <v>44906</v>
      </c>
      <c r="P13479">
        <v>0</v>
      </c>
      <c r="Q13479">
        <v>0</v>
      </c>
      <c r="R13479" t="s">
        <v>44923</v>
      </c>
      <c r="S13479" t="s">
        <v>45744</v>
      </c>
      <c r="T13479" t="s">
        <v>46481</v>
      </c>
      <c r="U13479" t="s">
        <v>57683</v>
      </c>
      <c r="W13479" t="s">
        <v>44673</v>
      </c>
      <c r="X13479" t="s">
        <v>44924</v>
      </c>
    </row>
    <row r="13480" spans="1:24">
      <c r="A13480">
        <f>HYPERLINK("https://www.philgeps.gov.ph/GEPSNONPILOT/Tender/SplashBidNoticeAbstractUI.aspx?menuIndex=3&amp;refID=7044733&amp;Result=3","7044733")</f>
        <v>0</v>
      </c>
      <c r="B13480" t="s">
        <v>3372</v>
      </c>
      <c r="C13480" t="s">
        <v>16416</v>
      </c>
      <c r="D13480" t="s">
        <v>18133</v>
      </c>
      <c r="E13480" t="s">
        <v>29840</v>
      </c>
      <c r="F13480" t="s">
        <v>31362</v>
      </c>
      <c r="G13480" t="s">
        <v>31369</v>
      </c>
      <c r="H13480" t="s">
        <v>15799</v>
      </c>
      <c r="I13480" t="s">
        <v>3815</v>
      </c>
      <c r="J13480" t="s">
        <v>39676</v>
      </c>
      <c r="K13480" t="s">
        <v>40670</v>
      </c>
      <c r="M13480" t="s">
        <v>44674</v>
      </c>
      <c r="N13480" t="s">
        <v>44905</v>
      </c>
      <c r="O13480" t="s">
        <v>44906</v>
      </c>
      <c r="P13480">
        <v>0</v>
      </c>
      <c r="Q13480">
        <v>1</v>
      </c>
      <c r="R13480" t="s">
        <v>44923</v>
      </c>
      <c r="S13480" t="s">
        <v>45744</v>
      </c>
      <c r="T13480" t="s">
        <v>46425</v>
      </c>
      <c r="U13480" t="s">
        <v>57684</v>
      </c>
      <c r="V13480" t="s">
        <v>60592</v>
      </c>
      <c r="W13480" t="s">
        <v>44674</v>
      </c>
      <c r="X13480" t="s">
        <v>44925</v>
      </c>
    </row>
    <row r="13481" spans="1:24">
      <c r="A13481">
        <f>HYPERLINK("https://www.philgeps.gov.ph/GEPSNONPILOT/Tender/SplashBidNoticeAbstractUI.aspx?menuIndex=3&amp;refID=7043942&amp;Result=3","7043942")</f>
        <v>0</v>
      </c>
      <c r="B13481" t="s">
        <v>2142</v>
      </c>
      <c r="C13481" t="s">
        <v>16417</v>
      </c>
      <c r="D13481" t="s">
        <v>18167</v>
      </c>
      <c r="E13481" t="s">
        <v>29841</v>
      </c>
      <c r="F13481" t="s">
        <v>31362</v>
      </c>
      <c r="G13481" t="s">
        <v>31369</v>
      </c>
      <c r="H13481" t="s">
        <v>15799</v>
      </c>
      <c r="I13481" t="s">
        <v>31393</v>
      </c>
      <c r="J13481" t="s">
        <v>35216</v>
      </c>
      <c r="K13481" t="s">
        <v>40677</v>
      </c>
      <c r="M13481" t="s">
        <v>43271</v>
      </c>
      <c r="N13481" t="s">
        <v>44905</v>
      </c>
      <c r="O13481" t="s">
        <v>44906</v>
      </c>
      <c r="P13481">
        <v>0</v>
      </c>
      <c r="Q13481">
        <v>3</v>
      </c>
      <c r="R13481" t="s">
        <v>44923</v>
      </c>
      <c r="S13481" t="s">
        <v>45744</v>
      </c>
      <c r="T13481" t="s">
        <v>46432</v>
      </c>
      <c r="U13481" t="s">
        <v>57685</v>
      </c>
      <c r="W13481" t="s">
        <v>43271</v>
      </c>
      <c r="X13481" t="s">
        <v>44926</v>
      </c>
    </row>
    <row r="13482" spans="1:24">
      <c r="A13482">
        <f>HYPERLINK("https://www.philgeps.gov.ph/GEPSNONPILOT/Tender/SplashBidNoticeAbstractUI.aspx?menuIndex=3&amp;refID=7043943&amp;Result=3","7043943")</f>
        <v>0</v>
      </c>
      <c r="B13482" t="s">
        <v>2142</v>
      </c>
      <c r="C13482" t="s">
        <v>16418</v>
      </c>
      <c r="D13482" t="s">
        <v>18167</v>
      </c>
      <c r="E13482" t="s">
        <v>29842</v>
      </c>
      <c r="F13482" t="s">
        <v>31362</v>
      </c>
      <c r="G13482" t="s">
        <v>31369</v>
      </c>
      <c r="H13482" t="s">
        <v>15799</v>
      </c>
      <c r="I13482" t="s">
        <v>31487</v>
      </c>
      <c r="J13482" t="s">
        <v>39677</v>
      </c>
      <c r="K13482" t="s">
        <v>40677</v>
      </c>
      <c r="M13482" t="s">
        <v>43271</v>
      </c>
      <c r="N13482" t="s">
        <v>44905</v>
      </c>
      <c r="O13482" t="s">
        <v>44906</v>
      </c>
      <c r="P13482">
        <v>0</v>
      </c>
      <c r="Q13482">
        <v>1</v>
      </c>
      <c r="R13482" t="s">
        <v>44923</v>
      </c>
      <c r="S13482" t="s">
        <v>45744</v>
      </c>
      <c r="T13482" t="s">
        <v>46432</v>
      </c>
      <c r="U13482" t="s">
        <v>57685</v>
      </c>
      <c r="W13482" t="s">
        <v>43271</v>
      </c>
      <c r="X13482" t="s">
        <v>44926</v>
      </c>
    </row>
    <row r="13483" spans="1:24">
      <c r="A13483">
        <f>HYPERLINK("https://www.philgeps.gov.ph/GEPSNONPILOT/Tender/SplashBidNoticeAbstractUI.aspx?menuIndex=3&amp;refID=7046260&amp;Result=3","7046260")</f>
        <v>0</v>
      </c>
      <c r="B13483" t="s">
        <v>472</v>
      </c>
      <c r="C13483" t="s">
        <v>16419</v>
      </c>
      <c r="D13483" t="s">
        <v>18134</v>
      </c>
      <c r="E13483" t="s">
        <v>29843</v>
      </c>
      <c r="F13483" t="s">
        <v>31362</v>
      </c>
      <c r="G13483" t="s">
        <v>31369</v>
      </c>
      <c r="H13483" t="s">
        <v>15799</v>
      </c>
      <c r="I13483" t="s">
        <v>31409</v>
      </c>
      <c r="J13483" t="s">
        <v>31615</v>
      </c>
      <c r="K13483" t="s">
        <v>40682</v>
      </c>
      <c r="M13483" t="s">
        <v>42842</v>
      </c>
      <c r="N13483" t="s">
        <v>44905</v>
      </c>
      <c r="O13483" t="s">
        <v>44906</v>
      </c>
      <c r="P13483">
        <v>0</v>
      </c>
      <c r="Q13483">
        <v>7</v>
      </c>
      <c r="R13483" t="s">
        <v>44923</v>
      </c>
      <c r="S13483" t="s">
        <v>45744</v>
      </c>
      <c r="T13483" t="s">
        <v>46532</v>
      </c>
      <c r="U13483" t="s">
        <v>52051</v>
      </c>
      <c r="W13483" t="s">
        <v>42842</v>
      </c>
      <c r="X13483" t="s">
        <v>44925</v>
      </c>
    </row>
    <row r="13484" spans="1:24">
      <c r="A13484">
        <f>HYPERLINK("https://www.philgeps.gov.ph/GEPSNONPILOT/Tender/SplashBidNoticeAbstractUI.aspx?menuIndex=3&amp;refID=7052666&amp;Result=3","7052666")</f>
        <v>0</v>
      </c>
      <c r="B13484" t="s">
        <v>1635</v>
      </c>
      <c r="C13484" t="s">
        <v>16420</v>
      </c>
      <c r="D13484" t="s">
        <v>18136</v>
      </c>
      <c r="E13484" t="s">
        <v>29844</v>
      </c>
      <c r="F13484" t="s">
        <v>31362</v>
      </c>
      <c r="G13484" t="s">
        <v>31369</v>
      </c>
      <c r="H13484" t="s">
        <v>15799</v>
      </c>
      <c r="I13484" t="s">
        <v>3815</v>
      </c>
      <c r="J13484" t="s">
        <v>39678</v>
      </c>
      <c r="K13484" t="s">
        <v>40665</v>
      </c>
      <c r="M13484" t="s">
        <v>42696</v>
      </c>
      <c r="N13484" t="s">
        <v>44905</v>
      </c>
      <c r="O13484" t="s">
        <v>44906</v>
      </c>
      <c r="P13484">
        <v>0</v>
      </c>
      <c r="Q13484">
        <v>0</v>
      </c>
      <c r="R13484" t="s">
        <v>44922</v>
      </c>
      <c r="S13484" t="s">
        <v>45639</v>
      </c>
      <c r="T13484" t="s">
        <v>46506</v>
      </c>
      <c r="U13484" t="s">
        <v>57686</v>
      </c>
      <c r="W13484" t="s">
        <v>44354</v>
      </c>
      <c r="X13484" t="s">
        <v>44923</v>
      </c>
    </row>
    <row r="13485" spans="1:24">
      <c r="A13485">
        <f>HYPERLINK("https://www.philgeps.gov.ph/GEPSNONPILOT/Tender/SplashBidNoticeAbstractUI.aspx?menuIndex=3&amp;refID=7043944&amp;Result=3","7043944")</f>
        <v>0</v>
      </c>
      <c r="B13485" t="s">
        <v>2142</v>
      </c>
      <c r="C13485" t="s">
        <v>16421</v>
      </c>
      <c r="D13485" t="s">
        <v>18167</v>
      </c>
      <c r="E13485" t="s">
        <v>29845</v>
      </c>
      <c r="F13485" t="s">
        <v>31362</v>
      </c>
      <c r="G13485" t="s">
        <v>31369</v>
      </c>
      <c r="H13485" t="s">
        <v>15799</v>
      </c>
      <c r="I13485" t="s">
        <v>31393</v>
      </c>
      <c r="J13485" t="s">
        <v>31648</v>
      </c>
      <c r="K13485" t="s">
        <v>40677</v>
      </c>
      <c r="M13485" t="s">
        <v>43271</v>
      </c>
      <c r="N13485" t="s">
        <v>44905</v>
      </c>
      <c r="O13485" t="s">
        <v>44906</v>
      </c>
      <c r="P13485">
        <v>0</v>
      </c>
      <c r="Q13485">
        <v>1</v>
      </c>
      <c r="R13485" t="s">
        <v>44923</v>
      </c>
      <c r="S13485" t="s">
        <v>45744</v>
      </c>
      <c r="T13485" t="s">
        <v>46432</v>
      </c>
      <c r="U13485" t="s">
        <v>57685</v>
      </c>
      <c r="W13485" t="s">
        <v>43271</v>
      </c>
      <c r="X13485" t="s">
        <v>44926</v>
      </c>
    </row>
    <row r="13486" spans="1:24">
      <c r="A13486">
        <f>HYPERLINK("https://www.philgeps.gov.ph/GEPSNONPILOT/Tender/SplashBidNoticeAbstractUI.aspx?menuIndex=3&amp;refID=7043941&amp;Result=3","7043941")</f>
        <v>0</v>
      </c>
      <c r="B13486" t="s">
        <v>2142</v>
      </c>
      <c r="C13486" t="s">
        <v>16422</v>
      </c>
      <c r="D13486" t="s">
        <v>18167</v>
      </c>
      <c r="E13486" t="s">
        <v>29846</v>
      </c>
      <c r="F13486" t="s">
        <v>31362</v>
      </c>
      <c r="G13486" t="s">
        <v>31369</v>
      </c>
      <c r="H13486" t="s">
        <v>15799</v>
      </c>
      <c r="I13486" t="s">
        <v>6373</v>
      </c>
      <c r="J13486" t="s">
        <v>39679</v>
      </c>
      <c r="K13486" t="s">
        <v>40677</v>
      </c>
      <c r="M13486" t="s">
        <v>43271</v>
      </c>
      <c r="N13486" t="s">
        <v>44905</v>
      </c>
      <c r="O13486" t="s">
        <v>44906</v>
      </c>
      <c r="P13486">
        <v>0</v>
      </c>
      <c r="Q13486">
        <v>1</v>
      </c>
      <c r="R13486" t="s">
        <v>44923</v>
      </c>
      <c r="S13486" t="s">
        <v>45744</v>
      </c>
      <c r="T13486" t="s">
        <v>46432</v>
      </c>
      <c r="U13486" t="s">
        <v>57685</v>
      </c>
      <c r="W13486" t="s">
        <v>43271</v>
      </c>
      <c r="X13486" t="s">
        <v>44926</v>
      </c>
    </row>
    <row r="13487" spans="1:24">
      <c r="A13487">
        <f>HYPERLINK("https://www.philgeps.gov.ph/GEPSNONPILOT/Tender/SplashBidNoticeAbstractUI.aspx?menuIndex=3&amp;refID=7046223&amp;Result=3","7046223")</f>
        <v>0</v>
      </c>
      <c r="B13487" t="s">
        <v>472</v>
      </c>
      <c r="C13487" t="s">
        <v>16423</v>
      </c>
      <c r="D13487" t="s">
        <v>18134</v>
      </c>
      <c r="E13487" t="s">
        <v>29847</v>
      </c>
      <c r="F13487" t="s">
        <v>31362</v>
      </c>
      <c r="G13487" t="s">
        <v>31369</v>
      </c>
      <c r="H13487" t="s">
        <v>15799</v>
      </c>
      <c r="I13487" t="s">
        <v>31409</v>
      </c>
      <c r="J13487" t="s">
        <v>34854</v>
      </c>
      <c r="K13487" t="s">
        <v>40675</v>
      </c>
      <c r="M13487" t="s">
        <v>42842</v>
      </c>
      <c r="N13487" t="s">
        <v>44905</v>
      </c>
      <c r="O13487" t="s">
        <v>44906</v>
      </c>
      <c r="P13487">
        <v>0</v>
      </c>
      <c r="Q13487">
        <v>4</v>
      </c>
      <c r="R13487" t="s">
        <v>44923</v>
      </c>
      <c r="S13487" t="s">
        <v>45744</v>
      </c>
      <c r="T13487" t="s">
        <v>46532</v>
      </c>
      <c r="U13487" t="s">
        <v>52051</v>
      </c>
      <c r="W13487" t="s">
        <v>42842</v>
      </c>
      <c r="X13487" t="s">
        <v>44925</v>
      </c>
    </row>
    <row r="13488" spans="1:24">
      <c r="A13488">
        <f>HYPERLINK("https://www.philgeps.gov.ph/GEPSNONPILOT/Tender/SplashBidNoticeAbstractUI.aspx?menuIndex=3&amp;refID=7046236&amp;Result=3","7046236")</f>
        <v>0</v>
      </c>
      <c r="B13488" t="s">
        <v>238</v>
      </c>
      <c r="C13488" t="s">
        <v>16424</v>
      </c>
      <c r="D13488" t="s">
        <v>18163</v>
      </c>
      <c r="E13488" t="s">
        <v>29848</v>
      </c>
      <c r="F13488" t="s">
        <v>31362</v>
      </c>
      <c r="G13488" t="s">
        <v>31372</v>
      </c>
      <c r="H13488" t="s">
        <v>15799</v>
      </c>
      <c r="I13488" t="s">
        <v>7188</v>
      </c>
      <c r="J13488" t="s">
        <v>31591</v>
      </c>
      <c r="K13488" t="s">
        <v>40665</v>
      </c>
      <c r="M13488" t="s">
        <v>41177</v>
      </c>
      <c r="N13488" t="s">
        <v>44905</v>
      </c>
      <c r="O13488" t="s">
        <v>44906</v>
      </c>
      <c r="P13488">
        <v>0</v>
      </c>
      <c r="Q13488">
        <v>2</v>
      </c>
      <c r="R13488" t="s">
        <v>44923</v>
      </c>
      <c r="S13488" t="s">
        <v>45744</v>
      </c>
      <c r="T13488" t="s">
        <v>46393</v>
      </c>
      <c r="U13488" t="s">
        <v>57687</v>
      </c>
      <c r="V13488" t="s">
        <v>60593</v>
      </c>
      <c r="W13488" t="s">
        <v>41177</v>
      </c>
      <c r="X13488" t="s">
        <v>44925</v>
      </c>
    </row>
    <row r="13489" spans="1:24">
      <c r="A13489">
        <f>HYPERLINK("https://www.philgeps.gov.ph/GEPSNONPILOT/Tender/SplashBidNoticeAbstractUI.aspx?menuIndex=3&amp;refID=7046186&amp;Result=3","7046186")</f>
        <v>0</v>
      </c>
      <c r="B13489" t="s">
        <v>472</v>
      </c>
      <c r="C13489" t="s">
        <v>16425</v>
      </c>
      <c r="D13489" t="s">
        <v>18134</v>
      </c>
      <c r="E13489" t="s">
        <v>29849</v>
      </c>
      <c r="F13489" t="s">
        <v>31362</v>
      </c>
      <c r="G13489" t="s">
        <v>31369</v>
      </c>
      <c r="H13489" t="s">
        <v>15799</v>
      </c>
      <c r="I13489" t="s">
        <v>4283</v>
      </c>
      <c r="J13489" t="s">
        <v>39680</v>
      </c>
      <c r="K13489" t="s">
        <v>40681</v>
      </c>
      <c r="M13489" t="s">
        <v>42842</v>
      </c>
      <c r="N13489" t="s">
        <v>44905</v>
      </c>
      <c r="O13489" t="s">
        <v>44906</v>
      </c>
      <c r="P13489">
        <v>0</v>
      </c>
      <c r="Q13489">
        <v>5</v>
      </c>
      <c r="R13489" t="s">
        <v>44923</v>
      </c>
      <c r="S13489" t="s">
        <v>45744</v>
      </c>
      <c r="T13489" t="s">
        <v>46532</v>
      </c>
      <c r="U13489" t="s">
        <v>52051</v>
      </c>
      <c r="W13489" t="s">
        <v>42842</v>
      </c>
      <c r="X13489" t="s">
        <v>44925</v>
      </c>
    </row>
    <row r="13490" spans="1:24">
      <c r="A13490">
        <f>HYPERLINK("https://www.philgeps.gov.ph/GEPSNONPILOT/Tender/SplashBidNoticeAbstractUI.aspx?menuIndex=3&amp;refID=7046153&amp;Result=3","7046153")</f>
        <v>0</v>
      </c>
      <c r="B13490" t="s">
        <v>472</v>
      </c>
      <c r="C13490" t="s">
        <v>16426</v>
      </c>
      <c r="D13490" t="s">
        <v>18134</v>
      </c>
      <c r="E13490" t="s">
        <v>29850</v>
      </c>
      <c r="F13490" t="s">
        <v>31362</v>
      </c>
      <c r="G13490" t="s">
        <v>31369</v>
      </c>
      <c r="H13490" t="s">
        <v>15799</v>
      </c>
      <c r="I13490" t="s">
        <v>7719</v>
      </c>
      <c r="J13490" t="s">
        <v>39681</v>
      </c>
      <c r="K13490" t="s">
        <v>40681</v>
      </c>
      <c r="M13490" t="s">
        <v>42842</v>
      </c>
      <c r="N13490" t="s">
        <v>44905</v>
      </c>
      <c r="O13490" t="s">
        <v>44906</v>
      </c>
      <c r="P13490">
        <v>0</v>
      </c>
      <c r="Q13490">
        <v>9</v>
      </c>
      <c r="R13490" t="s">
        <v>44923</v>
      </c>
      <c r="S13490" t="s">
        <v>45744</v>
      </c>
      <c r="T13490" t="s">
        <v>46532</v>
      </c>
      <c r="U13490" t="s">
        <v>52051</v>
      </c>
      <c r="W13490" t="s">
        <v>42842</v>
      </c>
      <c r="X13490" t="s">
        <v>44925</v>
      </c>
    </row>
    <row r="13491" spans="1:24">
      <c r="A13491">
        <f>HYPERLINK("https://www.philgeps.gov.ph/GEPSNONPILOT/Tender/SplashBidNoticeAbstractUI.aspx?menuIndex=3&amp;refID=7046130&amp;Result=3","7046130")</f>
        <v>0</v>
      </c>
      <c r="B13491" t="s">
        <v>1895</v>
      </c>
      <c r="C13491" t="s">
        <v>16427</v>
      </c>
      <c r="D13491" t="s">
        <v>18151</v>
      </c>
      <c r="E13491" t="s">
        <v>29851</v>
      </c>
      <c r="F13491" t="s">
        <v>31362</v>
      </c>
      <c r="G13491" t="s">
        <v>31369</v>
      </c>
      <c r="H13491" t="s">
        <v>31378</v>
      </c>
      <c r="I13491" t="s">
        <v>31386</v>
      </c>
      <c r="J13491" t="s">
        <v>39682</v>
      </c>
      <c r="K13491" t="s">
        <v>40686</v>
      </c>
      <c r="M13491" t="s">
        <v>44675</v>
      </c>
      <c r="N13491" t="s">
        <v>44905</v>
      </c>
      <c r="O13491" t="s">
        <v>44906</v>
      </c>
      <c r="P13491">
        <v>0</v>
      </c>
      <c r="Q13491">
        <v>1</v>
      </c>
      <c r="R13491" t="s">
        <v>44923</v>
      </c>
      <c r="S13491" t="s">
        <v>45744</v>
      </c>
      <c r="T13491" t="s">
        <v>46410</v>
      </c>
      <c r="U13491" t="s">
        <v>57688</v>
      </c>
      <c r="W13491" t="s">
        <v>44700</v>
      </c>
      <c r="X13491" t="s">
        <v>44925</v>
      </c>
    </row>
    <row r="13492" spans="1:24">
      <c r="A13492">
        <f>HYPERLINK("https://www.philgeps.gov.ph/GEPSNONPILOT/Tender/SplashBidNoticeAbstractUI.aspx?menuIndex=3&amp;refID=7044621&amp;Result=3","7044621")</f>
        <v>0</v>
      </c>
      <c r="B13492" t="s">
        <v>3373</v>
      </c>
      <c r="C13492" t="s">
        <v>16428</v>
      </c>
      <c r="E13492" t="s">
        <v>29852</v>
      </c>
      <c r="F13492" t="s">
        <v>31362</v>
      </c>
      <c r="G13492" t="s">
        <v>31369</v>
      </c>
      <c r="H13492" t="s">
        <v>31378</v>
      </c>
      <c r="I13492" t="s">
        <v>31386</v>
      </c>
      <c r="J13492" t="s">
        <v>31578</v>
      </c>
      <c r="K13492" t="s">
        <v>40666</v>
      </c>
      <c r="M13492" t="s">
        <v>44676</v>
      </c>
      <c r="N13492" t="s">
        <v>44905</v>
      </c>
      <c r="O13492" t="s">
        <v>44906</v>
      </c>
      <c r="P13492">
        <v>0</v>
      </c>
      <c r="Q13492">
        <v>0</v>
      </c>
      <c r="R13492" t="s">
        <v>44923</v>
      </c>
      <c r="S13492" t="s">
        <v>45744</v>
      </c>
      <c r="T13492" t="s">
        <v>46497</v>
      </c>
      <c r="U13492" t="s">
        <v>57689</v>
      </c>
      <c r="W13492" t="s">
        <v>44676</v>
      </c>
      <c r="X13492" t="s">
        <v>44925</v>
      </c>
    </row>
    <row r="13493" spans="1:24">
      <c r="A13493">
        <f>HYPERLINK("https://www.philgeps.gov.ph/GEPSNONPILOT/Tender/SplashBidNoticeAbstractUI.aspx?menuIndex=3&amp;refID=7046181&amp;Result=3","7046181")</f>
        <v>0</v>
      </c>
      <c r="B13493" t="s">
        <v>1895</v>
      </c>
      <c r="C13493" t="s">
        <v>16429</v>
      </c>
      <c r="D13493" t="s">
        <v>18151</v>
      </c>
      <c r="E13493" t="s">
        <v>29853</v>
      </c>
      <c r="F13493" t="s">
        <v>31362</v>
      </c>
      <c r="G13493" t="s">
        <v>31369</v>
      </c>
      <c r="H13493" t="s">
        <v>31378</v>
      </c>
      <c r="I13493" t="s">
        <v>31386</v>
      </c>
      <c r="J13493" t="s">
        <v>39682</v>
      </c>
      <c r="K13493" t="s">
        <v>40686</v>
      </c>
      <c r="M13493" t="s">
        <v>44675</v>
      </c>
      <c r="N13493" t="s">
        <v>44905</v>
      </c>
      <c r="O13493" t="s">
        <v>44906</v>
      </c>
      <c r="P13493">
        <v>0</v>
      </c>
      <c r="Q13493">
        <v>3</v>
      </c>
      <c r="R13493" t="s">
        <v>44923</v>
      </c>
      <c r="S13493" t="s">
        <v>45744</v>
      </c>
      <c r="T13493" t="s">
        <v>46410</v>
      </c>
      <c r="U13493" t="s">
        <v>57688</v>
      </c>
      <c r="W13493" t="s">
        <v>44700</v>
      </c>
      <c r="X13493" t="s">
        <v>44925</v>
      </c>
    </row>
    <row r="13494" spans="1:24">
      <c r="A13494">
        <f>HYPERLINK("https://www.philgeps.gov.ph/GEPSNONPILOT/Tender/SplashBidNoticeAbstractUI.aspx?menuIndex=3&amp;refID=7046227&amp;Result=3","7046227")</f>
        <v>0</v>
      </c>
      <c r="B13494" t="s">
        <v>1895</v>
      </c>
      <c r="C13494" t="s">
        <v>16430</v>
      </c>
      <c r="D13494" t="s">
        <v>18151</v>
      </c>
      <c r="E13494" t="s">
        <v>29854</v>
      </c>
      <c r="F13494" t="s">
        <v>31362</v>
      </c>
      <c r="G13494" t="s">
        <v>31369</v>
      </c>
      <c r="H13494" t="s">
        <v>31378</v>
      </c>
      <c r="I13494" t="s">
        <v>31386</v>
      </c>
      <c r="J13494" t="s">
        <v>39683</v>
      </c>
      <c r="K13494" t="s">
        <v>40783</v>
      </c>
      <c r="M13494" t="s">
        <v>44675</v>
      </c>
      <c r="N13494" t="s">
        <v>44905</v>
      </c>
      <c r="O13494" t="s">
        <v>44906</v>
      </c>
      <c r="P13494">
        <v>0</v>
      </c>
      <c r="Q13494">
        <v>2</v>
      </c>
      <c r="R13494" t="s">
        <v>44923</v>
      </c>
      <c r="S13494" t="s">
        <v>45744</v>
      </c>
      <c r="T13494" t="s">
        <v>46410</v>
      </c>
      <c r="U13494" t="s">
        <v>57690</v>
      </c>
      <c r="W13494" t="s">
        <v>44700</v>
      </c>
      <c r="X13494" t="s">
        <v>44925</v>
      </c>
    </row>
    <row r="13495" spans="1:24">
      <c r="A13495">
        <f>HYPERLINK("https://www.philgeps.gov.ph/GEPSNONPILOT/Tender/SplashBidNoticeAbstractUI.aspx?menuIndex=3&amp;refID=7045820&amp;Result=3","7045820")</f>
        <v>0</v>
      </c>
      <c r="B13495" t="s">
        <v>1002</v>
      </c>
      <c r="C13495" t="s">
        <v>16431</v>
      </c>
      <c r="D13495" t="s">
        <v>18158</v>
      </c>
      <c r="E13495" t="s">
        <v>29855</v>
      </c>
      <c r="F13495" t="s">
        <v>31362</v>
      </c>
      <c r="G13495" t="s">
        <v>31369</v>
      </c>
      <c r="H13495" t="s">
        <v>15799</v>
      </c>
      <c r="I13495" t="s">
        <v>31455</v>
      </c>
      <c r="J13495" t="s">
        <v>37629</v>
      </c>
      <c r="K13495" t="s">
        <v>40679</v>
      </c>
      <c r="M13495" t="s">
        <v>41998</v>
      </c>
      <c r="N13495" t="s">
        <v>44905</v>
      </c>
      <c r="O13495" t="s">
        <v>44906</v>
      </c>
      <c r="P13495">
        <v>0</v>
      </c>
      <c r="Q13495">
        <v>0</v>
      </c>
      <c r="R13495" t="s">
        <v>44923</v>
      </c>
      <c r="S13495" t="s">
        <v>45744</v>
      </c>
      <c r="T13495" t="s">
        <v>46447</v>
      </c>
      <c r="U13495" t="s">
        <v>57691</v>
      </c>
      <c r="W13495" t="s">
        <v>60879</v>
      </c>
      <c r="X13495" t="s">
        <v>44925</v>
      </c>
    </row>
    <row r="13496" spans="1:24">
      <c r="A13496">
        <f>HYPERLINK("https://www.philgeps.gov.ph/GEPSNONPILOT/Tender/SplashBidNoticeAbstractUI.aspx?menuIndex=3&amp;refID=7046094&amp;Result=3","7046094")</f>
        <v>0</v>
      </c>
      <c r="B13496" t="s">
        <v>1895</v>
      </c>
      <c r="C13496" t="s">
        <v>16432</v>
      </c>
      <c r="D13496" t="s">
        <v>18151</v>
      </c>
      <c r="E13496" t="s">
        <v>29856</v>
      </c>
      <c r="F13496" t="s">
        <v>31362</v>
      </c>
      <c r="G13496" t="s">
        <v>31369</v>
      </c>
      <c r="H13496" t="s">
        <v>31378</v>
      </c>
      <c r="I13496" t="s">
        <v>31386</v>
      </c>
      <c r="J13496" t="s">
        <v>39684</v>
      </c>
      <c r="K13496" t="s">
        <v>40783</v>
      </c>
      <c r="M13496" t="s">
        <v>44675</v>
      </c>
      <c r="N13496" t="s">
        <v>44905</v>
      </c>
      <c r="O13496" t="s">
        <v>44906</v>
      </c>
      <c r="P13496">
        <v>0</v>
      </c>
      <c r="Q13496">
        <v>1</v>
      </c>
      <c r="R13496" t="s">
        <v>44923</v>
      </c>
      <c r="S13496" t="s">
        <v>45744</v>
      </c>
      <c r="T13496" t="s">
        <v>46410</v>
      </c>
      <c r="U13496" t="s">
        <v>57690</v>
      </c>
      <c r="W13496" t="s">
        <v>44700</v>
      </c>
      <c r="X13496" t="s">
        <v>44925</v>
      </c>
    </row>
    <row r="13497" spans="1:24">
      <c r="A13497">
        <f>HYPERLINK("https://www.philgeps.gov.ph/GEPSNONPILOT/Tender/SplashBidNoticeAbstractUI.aspx?menuIndex=3&amp;refID=7045762&amp;Result=3","7045762")</f>
        <v>0</v>
      </c>
      <c r="B13497" t="s">
        <v>942</v>
      </c>
      <c r="C13497" t="s">
        <v>16433</v>
      </c>
      <c r="D13497" t="s">
        <v>18100</v>
      </c>
      <c r="E13497" t="s">
        <v>29857</v>
      </c>
      <c r="F13497" t="s">
        <v>31362</v>
      </c>
      <c r="G13497" t="s">
        <v>31369</v>
      </c>
      <c r="H13497" t="s">
        <v>31378</v>
      </c>
      <c r="I13497" t="s">
        <v>31386</v>
      </c>
      <c r="J13497" t="s">
        <v>39685</v>
      </c>
      <c r="K13497" t="s">
        <v>40662</v>
      </c>
      <c r="M13497" t="s">
        <v>41930</v>
      </c>
      <c r="N13497" t="s">
        <v>44905</v>
      </c>
      <c r="O13497" t="s">
        <v>44906</v>
      </c>
      <c r="P13497">
        <v>0</v>
      </c>
      <c r="Q13497">
        <v>6</v>
      </c>
      <c r="R13497" t="s">
        <v>44923</v>
      </c>
      <c r="S13497" t="s">
        <v>45744</v>
      </c>
      <c r="T13497" t="s">
        <v>46393</v>
      </c>
      <c r="U13497" t="s">
        <v>48943</v>
      </c>
      <c r="W13497" t="s">
        <v>41930</v>
      </c>
      <c r="X13497" t="s">
        <v>44925</v>
      </c>
    </row>
    <row r="13498" spans="1:24">
      <c r="A13498">
        <f>HYPERLINK("https://www.philgeps.gov.ph/GEPSNONPILOT/Tender/SplashBidNoticeAbstractUI.aspx?menuIndex=3&amp;refID=7045642&amp;Result=3","7045642")</f>
        <v>0</v>
      </c>
      <c r="B13498" t="s">
        <v>1002</v>
      </c>
      <c r="C13498" t="s">
        <v>16434</v>
      </c>
      <c r="D13498" t="s">
        <v>18148</v>
      </c>
      <c r="E13498" t="s">
        <v>29858</v>
      </c>
      <c r="F13498" t="s">
        <v>31362</v>
      </c>
      <c r="G13498" t="s">
        <v>31369</v>
      </c>
      <c r="H13498" t="s">
        <v>15799</v>
      </c>
      <c r="I13498" t="s">
        <v>31395</v>
      </c>
      <c r="J13498" t="s">
        <v>39686</v>
      </c>
      <c r="K13498" t="s">
        <v>40665</v>
      </c>
      <c r="M13498" t="s">
        <v>41998</v>
      </c>
      <c r="N13498" t="s">
        <v>44905</v>
      </c>
      <c r="O13498" t="s">
        <v>44906</v>
      </c>
      <c r="Q13498">
        <v>1</v>
      </c>
      <c r="R13498" t="s">
        <v>44923</v>
      </c>
      <c r="S13498" t="s">
        <v>45751</v>
      </c>
      <c r="T13498" t="s">
        <v>46447</v>
      </c>
      <c r="U13498" t="s">
        <v>57692</v>
      </c>
      <c r="W13498" t="s">
        <v>60879</v>
      </c>
      <c r="X13498" t="s">
        <v>44925</v>
      </c>
    </row>
    <row r="13499" spans="1:24">
      <c r="A13499">
        <f>HYPERLINK("https://www.philgeps.gov.ph/GEPSNONPILOT/Tender/SplashBidNoticeAbstractUI.aspx?menuIndex=3&amp;refID=7046001&amp;Result=3","7046001")</f>
        <v>0</v>
      </c>
      <c r="B13499" t="s">
        <v>1895</v>
      </c>
      <c r="C13499" t="s">
        <v>16435</v>
      </c>
      <c r="D13499" t="s">
        <v>18151</v>
      </c>
      <c r="E13499" t="s">
        <v>29859</v>
      </c>
      <c r="F13499" t="s">
        <v>31362</v>
      </c>
      <c r="G13499" t="s">
        <v>31369</v>
      </c>
      <c r="H13499" t="s">
        <v>31378</v>
      </c>
      <c r="I13499" t="s">
        <v>31386</v>
      </c>
      <c r="J13499" t="s">
        <v>39687</v>
      </c>
      <c r="K13499" t="s">
        <v>40678</v>
      </c>
      <c r="M13499" t="s">
        <v>44675</v>
      </c>
      <c r="N13499" t="s">
        <v>44905</v>
      </c>
      <c r="O13499" t="s">
        <v>44906</v>
      </c>
      <c r="P13499">
        <v>0</v>
      </c>
      <c r="Q13499">
        <v>1</v>
      </c>
      <c r="R13499" t="s">
        <v>44923</v>
      </c>
      <c r="S13499" t="s">
        <v>45744</v>
      </c>
      <c r="T13499" t="s">
        <v>46410</v>
      </c>
      <c r="U13499" t="s">
        <v>57690</v>
      </c>
      <c r="W13499" t="s">
        <v>44700</v>
      </c>
      <c r="X13499" t="s">
        <v>44925</v>
      </c>
    </row>
    <row r="13500" spans="1:24">
      <c r="A13500">
        <f>HYPERLINK("https://www.philgeps.gov.ph/GEPSNONPILOT/Tender/SplashBidNoticeAbstractUI.aspx?menuIndex=3&amp;refID=7045592&amp;Result=3","7045592")</f>
        <v>0</v>
      </c>
      <c r="B13500" t="s">
        <v>355</v>
      </c>
      <c r="C13500" t="s">
        <v>16436</v>
      </c>
      <c r="D13500" t="s">
        <v>18134</v>
      </c>
      <c r="E13500" t="s">
        <v>29860</v>
      </c>
      <c r="F13500" t="s">
        <v>31362</v>
      </c>
      <c r="G13500" t="s">
        <v>31369</v>
      </c>
      <c r="H13500" t="s">
        <v>31378</v>
      </c>
      <c r="I13500" t="s">
        <v>31386</v>
      </c>
      <c r="J13500" t="s">
        <v>39688</v>
      </c>
      <c r="K13500" t="s">
        <v>40681</v>
      </c>
      <c r="M13500" t="s">
        <v>41302</v>
      </c>
      <c r="N13500" t="s">
        <v>44905</v>
      </c>
      <c r="O13500" t="s">
        <v>44906</v>
      </c>
      <c r="P13500">
        <v>0</v>
      </c>
      <c r="Q13500">
        <v>0</v>
      </c>
      <c r="R13500" t="s">
        <v>44923</v>
      </c>
      <c r="S13500" t="s">
        <v>45744</v>
      </c>
      <c r="T13500" t="s">
        <v>46447</v>
      </c>
      <c r="U13500" t="s">
        <v>57693</v>
      </c>
      <c r="W13500" t="s">
        <v>41302</v>
      </c>
      <c r="X13500" t="s">
        <v>44925</v>
      </c>
    </row>
    <row r="13501" spans="1:24">
      <c r="A13501">
        <f>HYPERLINK("https://www.philgeps.gov.ph/GEPSNONPILOT/Tender/SplashBidNoticeAbstractUI.aspx?menuIndex=3&amp;refID=7045549&amp;Result=3","7045549")</f>
        <v>0</v>
      </c>
      <c r="B13501" t="s">
        <v>2500</v>
      </c>
      <c r="C13501" t="s">
        <v>16437</v>
      </c>
      <c r="E13501" t="s">
        <v>26564</v>
      </c>
      <c r="F13501" t="s">
        <v>31362</v>
      </c>
      <c r="G13501" t="s">
        <v>31369</v>
      </c>
      <c r="H13501" t="s">
        <v>15799</v>
      </c>
      <c r="I13501" t="s">
        <v>13635</v>
      </c>
      <c r="J13501" t="s">
        <v>39689</v>
      </c>
      <c r="K13501" t="s">
        <v>40662</v>
      </c>
      <c r="M13501" t="s">
        <v>44677</v>
      </c>
      <c r="N13501" t="s">
        <v>44905</v>
      </c>
      <c r="O13501" t="s">
        <v>44906</v>
      </c>
      <c r="P13501">
        <v>0</v>
      </c>
      <c r="Q13501">
        <v>6</v>
      </c>
      <c r="R13501" t="s">
        <v>44923</v>
      </c>
      <c r="S13501" t="s">
        <v>45744</v>
      </c>
      <c r="T13501" t="s">
        <v>46409</v>
      </c>
      <c r="U13501" t="s">
        <v>52025</v>
      </c>
      <c r="W13501" t="s">
        <v>60936</v>
      </c>
      <c r="X13501" t="s">
        <v>44925</v>
      </c>
    </row>
    <row r="13502" spans="1:24">
      <c r="A13502">
        <f>HYPERLINK("https://www.philgeps.gov.ph/GEPSNONPILOT/Tender/SplashBidNoticeAbstractUI.aspx?menuIndex=3&amp;refID=7045435&amp;Result=3","7045435")</f>
        <v>0</v>
      </c>
      <c r="B13502" t="s">
        <v>940</v>
      </c>
      <c r="C13502" t="s">
        <v>16438</v>
      </c>
      <c r="D13502" t="s">
        <v>18177</v>
      </c>
      <c r="E13502" t="s">
        <v>29861</v>
      </c>
      <c r="F13502" t="s">
        <v>31362</v>
      </c>
      <c r="G13502" t="s">
        <v>31369</v>
      </c>
      <c r="H13502" t="s">
        <v>31378</v>
      </c>
      <c r="I13502" t="s">
        <v>31386</v>
      </c>
      <c r="J13502" t="s">
        <v>38210</v>
      </c>
      <c r="K13502" t="s">
        <v>40684</v>
      </c>
      <c r="M13502" t="s">
        <v>41928</v>
      </c>
      <c r="N13502" t="s">
        <v>44905</v>
      </c>
      <c r="O13502" t="s">
        <v>44906</v>
      </c>
      <c r="P13502">
        <v>0</v>
      </c>
      <c r="Q13502">
        <v>0</v>
      </c>
      <c r="R13502" t="s">
        <v>44923</v>
      </c>
      <c r="S13502" t="s">
        <v>45744</v>
      </c>
      <c r="T13502" t="s">
        <v>46470</v>
      </c>
      <c r="U13502" t="s">
        <v>57694</v>
      </c>
      <c r="W13502" t="s">
        <v>41928</v>
      </c>
      <c r="X13502" t="s">
        <v>44925</v>
      </c>
    </row>
    <row r="13503" spans="1:24">
      <c r="A13503">
        <f>HYPERLINK("https://www.philgeps.gov.ph/GEPSNONPILOT/Tender/SplashBidNoticeAbstractUI.aspx?menuIndex=3&amp;refID=7046032&amp;Result=3","7046032")</f>
        <v>0</v>
      </c>
      <c r="B13503" t="s">
        <v>238</v>
      </c>
      <c r="C13503" t="s">
        <v>16439</v>
      </c>
      <c r="D13503" t="s">
        <v>18163</v>
      </c>
      <c r="E13503" t="s">
        <v>29862</v>
      </c>
      <c r="F13503" t="s">
        <v>31362</v>
      </c>
      <c r="G13503" t="s">
        <v>31369</v>
      </c>
      <c r="H13503" t="s">
        <v>15799</v>
      </c>
      <c r="I13503" t="s">
        <v>31422</v>
      </c>
      <c r="J13503" t="s">
        <v>31578</v>
      </c>
      <c r="K13503" t="s">
        <v>40665</v>
      </c>
      <c r="M13503" t="s">
        <v>41177</v>
      </c>
      <c r="N13503" t="s">
        <v>44905</v>
      </c>
      <c r="O13503" t="s">
        <v>44906</v>
      </c>
      <c r="Q13503">
        <v>1</v>
      </c>
      <c r="R13503" t="s">
        <v>44923</v>
      </c>
      <c r="S13503" t="s">
        <v>45752</v>
      </c>
      <c r="T13503" t="s">
        <v>46393</v>
      </c>
      <c r="U13503" t="s">
        <v>57695</v>
      </c>
      <c r="V13503" t="s">
        <v>59537</v>
      </c>
      <c r="W13503" t="s">
        <v>41177</v>
      </c>
      <c r="X13503" t="s">
        <v>44925</v>
      </c>
    </row>
    <row r="13504" spans="1:24">
      <c r="A13504">
        <f>HYPERLINK("https://www.philgeps.gov.ph/GEPSNONPILOT/Tender/SplashBidNoticeAbstractUI.aspx?menuIndex=3&amp;refID=7045691&amp;Result=3","7045691")</f>
        <v>0</v>
      </c>
      <c r="B13504" t="s">
        <v>1002</v>
      </c>
      <c r="C13504" t="s">
        <v>16440</v>
      </c>
      <c r="D13504" t="s">
        <v>18158</v>
      </c>
      <c r="E13504" t="s">
        <v>29863</v>
      </c>
      <c r="F13504" t="s">
        <v>31362</v>
      </c>
      <c r="G13504" t="s">
        <v>31369</v>
      </c>
      <c r="H13504" t="s">
        <v>15799</v>
      </c>
      <c r="I13504" t="s">
        <v>31410</v>
      </c>
      <c r="J13504" t="s">
        <v>33491</v>
      </c>
      <c r="K13504" t="s">
        <v>40665</v>
      </c>
      <c r="M13504" t="s">
        <v>41998</v>
      </c>
      <c r="N13504" t="s">
        <v>44905</v>
      </c>
      <c r="O13504" t="s">
        <v>44906</v>
      </c>
      <c r="P13504">
        <v>0</v>
      </c>
      <c r="Q13504">
        <v>2</v>
      </c>
      <c r="R13504" t="s">
        <v>44923</v>
      </c>
      <c r="S13504" t="s">
        <v>45744</v>
      </c>
      <c r="T13504" t="s">
        <v>46447</v>
      </c>
      <c r="U13504" t="s">
        <v>57696</v>
      </c>
      <c r="W13504" t="s">
        <v>60879</v>
      </c>
      <c r="X13504" t="s">
        <v>44925</v>
      </c>
    </row>
    <row r="13505" spans="1:24">
      <c r="A13505">
        <f>HYPERLINK("https://www.philgeps.gov.ph/GEPSNONPILOT/Tender/SplashBidNoticeAbstractUI.aspx?menuIndex=3&amp;refID=7043864&amp;Result=3","7043864")</f>
        <v>0</v>
      </c>
      <c r="B13505" t="s">
        <v>2475</v>
      </c>
      <c r="C13505" t="s">
        <v>16441</v>
      </c>
      <c r="E13505" t="s">
        <v>29864</v>
      </c>
      <c r="F13505" t="s">
        <v>31362</v>
      </c>
      <c r="G13505" t="s">
        <v>31369</v>
      </c>
      <c r="H13505" t="s">
        <v>31378</v>
      </c>
      <c r="I13505" t="s">
        <v>31449</v>
      </c>
      <c r="J13505" t="s">
        <v>31625</v>
      </c>
      <c r="K13505" t="s">
        <v>40682</v>
      </c>
      <c r="M13505" t="s">
        <v>43638</v>
      </c>
      <c r="N13505" t="s">
        <v>44905</v>
      </c>
      <c r="O13505" t="s">
        <v>44906</v>
      </c>
      <c r="P13505">
        <v>0</v>
      </c>
      <c r="Q13505">
        <v>1</v>
      </c>
      <c r="R13505" t="s">
        <v>44923</v>
      </c>
      <c r="S13505" t="s">
        <v>45744</v>
      </c>
      <c r="T13505" t="s">
        <v>46447</v>
      </c>
      <c r="U13505" t="s">
        <v>53703</v>
      </c>
      <c r="W13505" t="s">
        <v>43638</v>
      </c>
      <c r="X13505" t="s">
        <v>44927</v>
      </c>
    </row>
    <row r="13506" spans="1:24">
      <c r="A13506">
        <f>HYPERLINK("https://www.philgeps.gov.ph/GEPSNONPILOT/Tender/SplashBidNoticeAbstractUI.aspx?menuIndex=3&amp;refID=7043440&amp;Result=3","7043440")</f>
        <v>0</v>
      </c>
      <c r="B13506" t="s">
        <v>658</v>
      </c>
      <c r="C13506" t="s">
        <v>16442</v>
      </c>
      <c r="D13506" t="s">
        <v>18108</v>
      </c>
      <c r="E13506" t="s">
        <v>29865</v>
      </c>
      <c r="F13506" t="s">
        <v>31362</v>
      </c>
      <c r="G13506" t="s">
        <v>31369</v>
      </c>
      <c r="H13506" t="s">
        <v>15799</v>
      </c>
      <c r="I13506" t="s">
        <v>4942</v>
      </c>
      <c r="J13506" t="s">
        <v>39690</v>
      </c>
      <c r="K13506" t="s">
        <v>40662</v>
      </c>
      <c r="M13506" t="s">
        <v>41986</v>
      </c>
      <c r="N13506" t="s">
        <v>44905</v>
      </c>
      <c r="O13506" t="s">
        <v>44906</v>
      </c>
      <c r="P13506">
        <v>0</v>
      </c>
      <c r="Q13506">
        <v>1</v>
      </c>
      <c r="R13506" t="s">
        <v>44923</v>
      </c>
      <c r="S13506" t="s">
        <v>45744</v>
      </c>
      <c r="T13506" t="s">
        <v>46393</v>
      </c>
      <c r="U13506" t="s">
        <v>57697</v>
      </c>
      <c r="V13506" t="s">
        <v>59331</v>
      </c>
      <c r="W13506" t="s">
        <v>41986</v>
      </c>
      <c r="X13506" t="s">
        <v>44928</v>
      </c>
    </row>
    <row r="13507" spans="1:24">
      <c r="A13507">
        <f>HYPERLINK("https://www.philgeps.gov.ph/GEPSNONPILOT/Tender/SplashBidNoticeAbstractUI.aspx?menuIndex=3&amp;refID=7043281&amp;Result=3","7043281")</f>
        <v>0</v>
      </c>
      <c r="B13507" t="s">
        <v>48</v>
      </c>
      <c r="C13507" t="s">
        <v>16443</v>
      </c>
      <c r="D13507" t="s">
        <v>18117</v>
      </c>
      <c r="E13507" t="s">
        <v>29866</v>
      </c>
      <c r="F13507" t="s">
        <v>31362</v>
      </c>
      <c r="G13507" t="s">
        <v>31369</v>
      </c>
      <c r="H13507" t="s">
        <v>15799</v>
      </c>
      <c r="I13507" t="s">
        <v>31409</v>
      </c>
      <c r="J13507" t="s">
        <v>39691</v>
      </c>
      <c r="K13507" t="s">
        <v>40680</v>
      </c>
      <c r="M13507" t="s">
        <v>44372</v>
      </c>
      <c r="N13507" t="s">
        <v>44905</v>
      </c>
      <c r="O13507" t="s">
        <v>44906</v>
      </c>
      <c r="Q13507">
        <v>9</v>
      </c>
      <c r="R13507" t="s">
        <v>44923</v>
      </c>
      <c r="S13507" t="s">
        <v>45271</v>
      </c>
      <c r="T13507" t="s">
        <v>46425</v>
      </c>
      <c r="U13507" t="s">
        <v>57698</v>
      </c>
      <c r="V13507" t="s">
        <v>59085</v>
      </c>
      <c r="W13507" t="s">
        <v>44372</v>
      </c>
      <c r="X13507" t="s">
        <v>44929</v>
      </c>
    </row>
    <row r="13508" spans="1:24">
      <c r="A13508">
        <f>HYPERLINK("https://www.philgeps.gov.ph/GEPSNONPILOT/Tender/SplashBidNoticeAbstractUI.aspx?menuIndex=3&amp;refID=7045784&amp;Result=3","7045784")</f>
        <v>0</v>
      </c>
      <c r="B13508" t="s">
        <v>1002</v>
      </c>
      <c r="C13508" t="s">
        <v>16444</v>
      </c>
      <c r="D13508" t="s">
        <v>18158</v>
      </c>
      <c r="E13508" t="s">
        <v>29867</v>
      </c>
      <c r="F13508" t="s">
        <v>31362</v>
      </c>
      <c r="G13508" t="s">
        <v>31369</v>
      </c>
      <c r="H13508" t="s">
        <v>15799</v>
      </c>
      <c r="I13508" t="s">
        <v>31410</v>
      </c>
      <c r="J13508" t="s">
        <v>33004</v>
      </c>
      <c r="K13508" t="s">
        <v>40665</v>
      </c>
      <c r="M13508" t="s">
        <v>41998</v>
      </c>
      <c r="N13508" t="s">
        <v>44905</v>
      </c>
      <c r="O13508" t="s">
        <v>44906</v>
      </c>
      <c r="P13508">
        <v>0</v>
      </c>
      <c r="Q13508">
        <v>0</v>
      </c>
      <c r="R13508" t="s">
        <v>44923</v>
      </c>
      <c r="S13508" t="s">
        <v>45744</v>
      </c>
      <c r="T13508" t="s">
        <v>46447</v>
      </c>
      <c r="U13508" t="s">
        <v>57699</v>
      </c>
      <c r="W13508" t="s">
        <v>60879</v>
      </c>
      <c r="X13508" t="s">
        <v>44925</v>
      </c>
    </row>
    <row r="13509" spans="1:24">
      <c r="A13509">
        <f>HYPERLINK("https://www.philgeps.gov.ph/GEPSNONPILOT/Tender/SplashBidNoticeAbstractUI.aspx?menuIndex=3&amp;refID=7042332&amp;Result=3","7042332")</f>
        <v>0</v>
      </c>
      <c r="B13509" t="s">
        <v>1002</v>
      </c>
      <c r="C13509" t="s">
        <v>16445</v>
      </c>
      <c r="D13509" t="s">
        <v>18148</v>
      </c>
      <c r="E13509" t="s">
        <v>29868</v>
      </c>
      <c r="F13509" t="s">
        <v>31362</v>
      </c>
      <c r="G13509" t="s">
        <v>31369</v>
      </c>
      <c r="H13509" t="s">
        <v>15799</v>
      </c>
      <c r="I13509" t="s">
        <v>31395</v>
      </c>
      <c r="J13509" t="s">
        <v>34770</v>
      </c>
      <c r="K13509" t="s">
        <v>40665</v>
      </c>
      <c r="M13509" t="s">
        <v>41998</v>
      </c>
      <c r="N13509" t="s">
        <v>44905</v>
      </c>
      <c r="O13509" t="s">
        <v>44906</v>
      </c>
      <c r="Q13509">
        <v>2</v>
      </c>
      <c r="R13509" t="s">
        <v>44923</v>
      </c>
      <c r="S13509" t="s">
        <v>45753</v>
      </c>
      <c r="T13509" t="s">
        <v>46447</v>
      </c>
      <c r="U13509" t="s">
        <v>57700</v>
      </c>
      <c r="W13509" t="s">
        <v>60879</v>
      </c>
      <c r="X13509" t="s">
        <v>44929</v>
      </c>
    </row>
    <row r="13510" spans="1:24">
      <c r="A13510">
        <f>HYPERLINK("https://www.philgeps.gov.ph/GEPSNONPILOT/Tender/SplashBidNoticeAbstractUI.aspx?menuIndex=3&amp;refID=7023492-2&amp;Result=3","7023492-2")</f>
        <v>0</v>
      </c>
      <c r="B13510" t="s">
        <v>997</v>
      </c>
      <c r="C13510" t="s">
        <v>16446</v>
      </c>
      <c r="D13510" t="s">
        <v>18101</v>
      </c>
      <c r="E13510" t="s">
        <v>29869</v>
      </c>
      <c r="F13510" t="s">
        <v>31362</v>
      </c>
      <c r="G13510" t="s">
        <v>31369</v>
      </c>
      <c r="H13510" t="s">
        <v>31377</v>
      </c>
      <c r="I13510" t="s">
        <v>31377</v>
      </c>
      <c r="J13510" t="s">
        <v>31625</v>
      </c>
      <c r="K13510" t="s">
        <v>40679</v>
      </c>
      <c r="M13510" t="s">
        <v>44673</v>
      </c>
      <c r="N13510" t="s">
        <v>44905</v>
      </c>
      <c r="O13510" t="s">
        <v>44906</v>
      </c>
      <c r="P13510">
        <v>0</v>
      </c>
      <c r="Q13510">
        <v>0</v>
      </c>
      <c r="R13510" t="s">
        <v>44923</v>
      </c>
      <c r="S13510" t="s">
        <v>45744</v>
      </c>
      <c r="T13510" t="s">
        <v>46481</v>
      </c>
      <c r="U13510" t="s">
        <v>57701</v>
      </c>
      <c r="W13510" t="s">
        <v>44673</v>
      </c>
      <c r="X13510" t="s">
        <v>44924</v>
      </c>
    </row>
    <row r="13511" spans="1:24">
      <c r="A13511">
        <f>HYPERLINK("https://www.philgeps.gov.ph/GEPSNONPILOT/Tender/SplashBidNoticeAbstractUI.aspx?menuIndex=3&amp;refID=7043940&amp;Result=3","7043940")</f>
        <v>0</v>
      </c>
      <c r="B13511" t="s">
        <v>2142</v>
      </c>
      <c r="C13511" t="s">
        <v>16447</v>
      </c>
      <c r="D13511" t="s">
        <v>18167</v>
      </c>
      <c r="E13511" t="s">
        <v>29870</v>
      </c>
      <c r="F13511" t="s">
        <v>31362</v>
      </c>
      <c r="G13511" t="s">
        <v>31369</v>
      </c>
      <c r="H13511" t="s">
        <v>15799</v>
      </c>
      <c r="I13511" t="s">
        <v>31433</v>
      </c>
      <c r="J13511" t="s">
        <v>39692</v>
      </c>
      <c r="K13511" t="s">
        <v>40677</v>
      </c>
      <c r="M13511" t="s">
        <v>43271</v>
      </c>
      <c r="N13511" t="s">
        <v>44905</v>
      </c>
      <c r="O13511" t="s">
        <v>44906</v>
      </c>
      <c r="P13511">
        <v>0</v>
      </c>
      <c r="Q13511">
        <v>1</v>
      </c>
      <c r="R13511" t="s">
        <v>44923</v>
      </c>
      <c r="S13511" t="s">
        <v>45744</v>
      </c>
      <c r="T13511" t="s">
        <v>46432</v>
      </c>
      <c r="U13511" t="s">
        <v>57685</v>
      </c>
      <c r="W13511" t="s">
        <v>43271</v>
      </c>
      <c r="X13511" t="s">
        <v>44926</v>
      </c>
    </row>
    <row r="13512" spans="1:24">
      <c r="A13512">
        <f>HYPERLINK("https://www.philgeps.gov.ph/GEPSNONPILOT/Tender/SplashBidNoticeAbstractUI.aspx?menuIndex=3&amp;refID=7021620-2&amp;Result=3","7021620-2")</f>
        <v>0</v>
      </c>
      <c r="B13512" t="s">
        <v>629</v>
      </c>
      <c r="C13512" t="s">
        <v>16448</v>
      </c>
      <c r="D13512" t="s">
        <v>18160</v>
      </c>
      <c r="E13512" t="s">
        <v>29871</v>
      </c>
      <c r="F13512" t="s">
        <v>31362</v>
      </c>
      <c r="G13512" t="s">
        <v>31369</v>
      </c>
      <c r="H13512" t="s">
        <v>31377</v>
      </c>
      <c r="I13512" t="s">
        <v>31377</v>
      </c>
      <c r="J13512" t="s">
        <v>39693</v>
      </c>
      <c r="K13512" t="s">
        <v>40682</v>
      </c>
      <c r="M13512" t="s">
        <v>41589</v>
      </c>
      <c r="N13512" t="s">
        <v>44905</v>
      </c>
      <c r="O13512" t="s">
        <v>44906</v>
      </c>
      <c r="P13512">
        <v>0</v>
      </c>
      <c r="Q13512">
        <v>1</v>
      </c>
      <c r="R13512" t="s">
        <v>44923</v>
      </c>
      <c r="S13512" t="s">
        <v>45744</v>
      </c>
      <c r="T13512" t="s">
        <v>46409</v>
      </c>
      <c r="U13512" t="s">
        <v>57702</v>
      </c>
      <c r="W13512" t="s">
        <v>41589</v>
      </c>
      <c r="X13512" t="s">
        <v>44924</v>
      </c>
    </row>
    <row r="13513" spans="1:24">
      <c r="A13513">
        <f>HYPERLINK("https://www.philgeps.gov.ph/GEPSNONPILOT/Tender/SplashBidNoticeAbstractUI.aspx?menuIndex=3&amp;refID=7046252&amp;Result=3","7046252")</f>
        <v>0</v>
      </c>
      <c r="B13513" t="s">
        <v>1895</v>
      </c>
      <c r="C13513" t="s">
        <v>16449</v>
      </c>
      <c r="D13513" t="s">
        <v>18151</v>
      </c>
      <c r="E13513" t="s">
        <v>29872</v>
      </c>
      <c r="F13513" t="s">
        <v>31362</v>
      </c>
      <c r="G13513" t="s">
        <v>31369</v>
      </c>
      <c r="H13513" t="s">
        <v>31378</v>
      </c>
      <c r="I13513" t="s">
        <v>31386</v>
      </c>
      <c r="J13513" t="s">
        <v>39694</v>
      </c>
      <c r="K13513" t="s">
        <v>40686</v>
      </c>
      <c r="M13513" t="s">
        <v>44675</v>
      </c>
      <c r="N13513" t="s">
        <v>44905</v>
      </c>
      <c r="O13513" t="s">
        <v>44906</v>
      </c>
      <c r="P13513">
        <v>0</v>
      </c>
      <c r="Q13513">
        <v>2</v>
      </c>
      <c r="R13513" t="s">
        <v>44923</v>
      </c>
      <c r="S13513" t="s">
        <v>45744</v>
      </c>
      <c r="T13513" t="s">
        <v>46410</v>
      </c>
      <c r="U13513" t="s">
        <v>57688</v>
      </c>
      <c r="W13513" t="s">
        <v>44700</v>
      </c>
      <c r="X13513" t="s">
        <v>44925</v>
      </c>
    </row>
    <row r="13514" spans="1:24">
      <c r="A13514">
        <f>HYPERLINK("https://www.philgeps.gov.ph/GEPSNONPILOT/Tender/SplashBidNoticeAbstractUI.aspx?menuIndex=3&amp;refID=6931750&amp;Result=3","6931750")</f>
        <v>0</v>
      </c>
      <c r="B13514" t="s">
        <v>3367</v>
      </c>
      <c r="C13514" t="s">
        <v>16450</v>
      </c>
      <c r="D13514" t="s">
        <v>18160</v>
      </c>
      <c r="E13514" t="s">
        <v>29873</v>
      </c>
      <c r="F13514" t="s">
        <v>31362</v>
      </c>
      <c r="G13514" t="s">
        <v>31369</v>
      </c>
      <c r="H13514" t="s">
        <v>31378</v>
      </c>
      <c r="I13514" t="s">
        <v>31386</v>
      </c>
      <c r="J13514" t="s">
        <v>31709</v>
      </c>
      <c r="K13514" t="s">
        <v>40662</v>
      </c>
      <c r="M13514" t="s">
        <v>44667</v>
      </c>
      <c r="N13514" t="s">
        <v>44905</v>
      </c>
      <c r="O13514" t="s">
        <v>44906</v>
      </c>
      <c r="P13514">
        <v>0</v>
      </c>
      <c r="Q13514">
        <v>1</v>
      </c>
      <c r="R13514" t="s">
        <v>44923</v>
      </c>
      <c r="S13514" t="s">
        <v>45744</v>
      </c>
      <c r="T13514" t="s">
        <v>46416</v>
      </c>
      <c r="U13514" t="s">
        <v>57703</v>
      </c>
      <c r="W13514" t="s">
        <v>44667</v>
      </c>
      <c r="X13514" t="s">
        <v>44976</v>
      </c>
    </row>
    <row r="13515" spans="1:24">
      <c r="A13515">
        <f>HYPERLINK("https://www.philgeps.gov.ph/GEPSNONPILOT/Tender/SplashBidNoticeAbstractUI.aspx?menuIndex=3&amp;refID=6931724&amp;Result=3","6931724")</f>
        <v>0</v>
      </c>
      <c r="B13515" t="s">
        <v>3367</v>
      </c>
      <c r="C13515" t="s">
        <v>16451</v>
      </c>
      <c r="D13515" t="s">
        <v>18160</v>
      </c>
      <c r="E13515" t="s">
        <v>29874</v>
      </c>
      <c r="F13515" t="s">
        <v>31362</v>
      </c>
      <c r="G13515" t="s">
        <v>31369</v>
      </c>
      <c r="H13515" t="s">
        <v>31378</v>
      </c>
      <c r="I13515" t="s">
        <v>31386</v>
      </c>
      <c r="J13515" t="s">
        <v>31709</v>
      </c>
      <c r="K13515" t="s">
        <v>40662</v>
      </c>
      <c r="M13515" t="s">
        <v>44667</v>
      </c>
      <c r="N13515" t="s">
        <v>44905</v>
      </c>
      <c r="O13515" t="s">
        <v>44906</v>
      </c>
      <c r="P13515">
        <v>0</v>
      </c>
      <c r="Q13515">
        <v>1</v>
      </c>
      <c r="R13515" t="s">
        <v>44923</v>
      </c>
      <c r="S13515" t="s">
        <v>45744</v>
      </c>
      <c r="T13515" t="s">
        <v>46416</v>
      </c>
      <c r="U13515" t="s">
        <v>57704</v>
      </c>
      <c r="W13515" t="s">
        <v>44667</v>
      </c>
      <c r="X13515" t="s">
        <v>44976</v>
      </c>
    </row>
    <row r="13516" spans="1:24">
      <c r="A13516">
        <f>HYPERLINK("https://www.philgeps.gov.ph/GEPSNONPILOT/Tender/SplashBidNoticeAbstractUI.aspx?menuIndex=3&amp;refID=7023165-2&amp;Result=3","7023165-2")</f>
        <v>0</v>
      </c>
      <c r="B13516" t="s">
        <v>997</v>
      </c>
      <c r="C13516" t="s">
        <v>16452</v>
      </c>
      <c r="D13516" t="s">
        <v>18101</v>
      </c>
      <c r="E13516" t="s">
        <v>29875</v>
      </c>
      <c r="F13516" t="s">
        <v>31362</v>
      </c>
      <c r="G13516" t="s">
        <v>31369</v>
      </c>
      <c r="H13516" t="s">
        <v>31377</v>
      </c>
      <c r="I13516" t="s">
        <v>31377</v>
      </c>
      <c r="J13516" t="s">
        <v>39695</v>
      </c>
      <c r="K13516" t="s">
        <v>40686</v>
      </c>
      <c r="M13516" t="s">
        <v>44673</v>
      </c>
      <c r="N13516" t="s">
        <v>44905</v>
      </c>
      <c r="O13516" t="s">
        <v>44906</v>
      </c>
      <c r="P13516">
        <v>0</v>
      </c>
      <c r="Q13516">
        <v>0</v>
      </c>
      <c r="R13516" t="s">
        <v>44923</v>
      </c>
      <c r="S13516" t="s">
        <v>45744</v>
      </c>
      <c r="T13516" t="s">
        <v>46481</v>
      </c>
      <c r="U13516" t="s">
        <v>57705</v>
      </c>
      <c r="W13516" t="s">
        <v>44673</v>
      </c>
      <c r="X13516" t="s">
        <v>44924</v>
      </c>
    </row>
    <row r="13517" spans="1:24">
      <c r="A13517">
        <f>HYPERLINK("https://www.philgeps.gov.ph/GEPSNONPILOT/Tender/SplashBidNoticeAbstractUI.aspx?menuIndex=3&amp;refID=7041375&amp;Result=3","7041375")</f>
        <v>0</v>
      </c>
      <c r="B13517" t="s">
        <v>48</v>
      </c>
      <c r="C13517" t="s">
        <v>16453</v>
      </c>
      <c r="D13517" t="s">
        <v>18117</v>
      </c>
      <c r="E13517" t="s">
        <v>29876</v>
      </c>
      <c r="F13517" t="s">
        <v>31362</v>
      </c>
      <c r="G13517" t="s">
        <v>31369</v>
      </c>
      <c r="H13517" t="s">
        <v>15799</v>
      </c>
      <c r="I13517" t="s">
        <v>4283</v>
      </c>
      <c r="J13517" t="s">
        <v>39696</v>
      </c>
      <c r="K13517" t="s">
        <v>40680</v>
      </c>
      <c r="M13517" t="s">
        <v>41068</v>
      </c>
      <c r="N13517" t="s">
        <v>44905</v>
      </c>
      <c r="O13517" t="s">
        <v>44906</v>
      </c>
      <c r="P13517">
        <v>0</v>
      </c>
      <c r="Q13517">
        <v>4</v>
      </c>
      <c r="R13517" t="s">
        <v>44923</v>
      </c>
      <c r="S13517" t="s">
        <v>45744</v>
      </c>
      <c r="T13517" t="s">
        <v>46425</v>
      </c>
      <c r="U13517" t="s">
        <v>57706</v>
      </c>
      <c r="V13517" t="s">
        <v>60591</v>
      </c>
      <c r="W13517" t="s">
        <v>41068</v>
      </c>
      <c r="X13517" t="s">
        <v>44929</v>
      </c>
    </row>
    <row r="13518" spans="1:24">
      <c r="A13518">
        <f>HYPERLINK("https://www.philgeps.gov.ph/GEPSNONPILOT/Tender/SplashBidNoticeAbstractUI.aspx?menuIndex=3&amp;refID=6985467&amp;Result=3","6985467")</f>
        <v>0</v>
      </c>
      <c r="B13518" t="s">
        <v>3195</v>
      </c>
      <c r="C13518" t="s">
        <v>16454</v>
      </c>
      <c r="D13518" t="s">
        <v>18114</v>
      </c>
      <c r="E13518" t="s">
        <v>29877</v>
      </c>
      <c r="F13518" t="s">
        <v>31362</v>
      </c>
      <c r="G13518" t="s">
        <v>31369</v>
      </c>
      <c r="H13518" t="s">
        <v>31378</v>
      </c>
      <c r="I13518" t="s">
        <v>31386</v>
      </c>
      <c r="J13518" t="s">
        <v>39697</v>
      </c>
      <c r="K13518" t="s">
        <v>40678</v>
      </c>
      <c r="M13518" t="s">
        <v>41923</v>
      </c>
      <c r="N13518" t="s">
        <v>44905</v>
      </c>
      <c r="O13518" t="s">
        <v>44906</v>
      </c>
      <c r="P13518">
        <v>0</v>
      </c>
      <c r="Q13518">
        <v>3</v>
      </c>
      <c r="R13518" t="s">
        <v>44923</v>
      </c>
      <c r="S13518" t="s">
        <v>45744</v>
      </c>
      <c r="T13518" t="s">
        <v>46435</v>
      </c>
      <c r="U13518" t="s">
        <v>57707</v>
      </c>
      <c r="V13518" t="s">
        <v>60594</v>
      </c>
      <c r="W13518" t="s">
        <v>41923</v>
      </c>
      <c r="X13518" t="s">
        <v>44952</v>
      </c>
    </row>
    <row r="13519" spans="1:24">
      <c r="A13519">
        <f>HYPERLINK("https://www.philgeps.gov.ph/GEPSNONPILOT/Tender/SplashBidNoticeAbstractUI.aspx?menuIndex=3&amp;refID=7052615&amp;Result=3","7052615")</f>
        <v>0</v>
      </c>
      <c r="B13519" t="s">
        <v>233</v>
      </c>
      <c r="C13519" t="s">
        <v>16455</v>
      </c>
      <c r="D13519" t="s">
        <v>18108</v>
      </c>
      <c r="E13519" t="s">
        <v>29878</v>
      </c>
      <c r="F13519" t="s">
        <v>31362</v>
      </c>
      <c r="G13519" t="s">
        <v>31369</v>
      </c>
      <c r="H13519" t="s">
        <v>15799</v>
      </c>
      <c r="I13519" t="s">
        <v>31472</v>
      </c>
      <c r="J13519" t="s">
        <v>39698</v>
      </c>
      <c r="K13519" t="s">
        <v>40723</v>
      </c>
      <c r="M13519" t="s">
        <v>44678</v>
      </c>
      <c r="N13519" t="s">
        <v>44905</v>
      </c>
      <c r="O13519" t="s">
        <v>44906</v>
      </c>
      <c r="P13519">
        <v>0</v>
      </c>
      <c r="Q13519">
        <v>13</v>
      </c>
      <c r="R13519" t="s">
        <v>44922</v>
      </c>
      <c r="S13519" t="s">
        <v>45639</v>
      </c>
      <c r="T13519" t="s">
        <v>46585</v>
      </c>
      <c r="U13519" t="s">
        <v>57708</v>
      </c>
      <c r="W13519" t="s">
        <v>44678</v>
      </c>
      <c r="X13519" t="s">
        <v>44923</v>
      </c>
    </row>
    <row r="13520" spans="1:24">
      <c r="A13520">
        <f>HYPERLINK("https://www.philgeps.gov.ph/GEPSNONPILOT/Tender/SplashBidNoticeAbstractUI.aspx?menuIndex=3&amp;refID=7052607&amp;Result=3","7052607")</f>
        <v>0</v>
      </c>
      <c r="B13520" t="s">
        <v>3374</v>
      </c>
      <c r="C13520" t="s">
        <v>16456</v>
      </c>
      <c r="D13520" t="s">
        <v>18105</v>
      </c>
      <c r="E13520" t="s">
        <v>22854</v>
      </c>
      <c r="F13520" t="s">
        <v>31362</v>
      </c>
      <c r="G13520" t="s">
        <v>31369</v>
      </c>
      <c r="H13520" t="s">
        <v>31378</v>
      </c>
      <c r="I13520" t="s">
        <v>31386</v>
      </c>
      <c r="J13520" t="s">
        <v>39699</v>
      </c>
      <c r="K13520" t="s">
        <v>40682</v>
      </c>
      <c r="M13520" t="s">
        <v>44679</v>
      </c>
      <c r="N13520" t="s">
        <v>44905</v>
      </c>
      <c r="O13520" t="s">
        <v>44906</v>
      </c>
      <c r="P13520">
        <v>0</v>
      </c>
      <c r="Q13520">
        <v>0</v>
      </c>
      <c r="R13520" t="s">
        <v>44922</v>
      </c>
      <c r="S13520" t="s">
        <v>45639</v>
      </c>
      <c r="T13520" t="s">
        <v>46393</v>
      </c>
      <c r="U13520" t="s">
        <v>57709</v>
      </c>
      <c r="W13520" t="s">
        <v>44679</v>
      </c>
      <c r="X13520" t="s">
        <v>44923</v>
      </c>
    </row>
    <row r="13521" spans="1:24">
      <c r="A13521">
        <f>HYPERLINK("https://www.philgeps.gov.ph/GEPSNONPILOT/Tender/SplashBidNoticeAbstractUI.aspx?menuIndex=3&amp;refID=7052601&amp;Result=3","7052601")</f>
        <v>0</v>
      </c>
      <c r="B13521" t="s">
        <v>981</v>
      </c>
      <c r="C13521" t="s">
        <v>16457</v>
      </c>
      <c r="D13521" t="s">
        <v>18117</v>
      </c>
      <c r="E13521" t="s">
        <v>29879</v>
      </c>
      <c r="F13521" t="s">
        <v>31362</v>
      </c>
      <c r="G13521" t="s">
        <v>31369</v>
      </c>
      <c r="H13521" t="s">
        <v>15799</v>
      </c>
      <c r="I13521" t="s">
        <v>31401</v>
      </c>
      <c r="J13521" t="s">
        <v>31531</v>
      </c>
      <c r="K13521" t="s">
        <v>40665</v>
      </c>
      <c r="M13521" t="s">
        <v>41973</v>
      </c>
      <c r="N13521" t="s">
        <v>44905</v>
      </c>
      <c r="O13521" t="s">
        <v>44906</v>
      </c>
      <c r="P13521">
        <v>0</v>
      </c>
      <c r="Q13521">
        <v>0</v>
      </c>
      <c r="R13521" t="s">
        <v>44922</v>
      </c>
      <c r="S13521" t="s">
        <v>45639</v>
      </c>
      <c r="T13521" t="s">
        <v>46435</v>
      </c>
      <c r="U13521" t="s">
        <v>57710</v>
      </c>
      <c r="V13521" t="s">
        <v>60589</v>
      </c>
      <c r="W13521" t="s">
        <v>41973</v>
      </c>
      <c r="X13521" t="s">
        <v>44923</v>
      </c>
    </row>
    <row r="13522" spans="1:24">
      <c r="A13522">
        <f>HYPERLINK("https://www.philgeps.gov.ph/GEPSNONPILOT/Tender/SplashBidNoticeAbstractUI.aspx?menuIndex=3&amp;refID=6931668&amp;Result=3","6931668")</f>
        <v>0</v>
      </c>
      <c r="B13522" t="s">
        <v>3367</v>
      </c>
      <c r="C13522" t="s">
        <v>16458</v>
      </c>
      <c r="D13522" t="s">
        <v>18160</v>
      </c>
      <c r="E13522" t="s">
        <v>29880</v>
      </c>
      <c r="F13522" t="s">
        <v>31362</v>
      </c>
      <c r="G13522" t="s">
        <v>31369</v>
      </c>
      <c r="H13522" t="s">
        <v>31378</v>
      </c>
      <c r="I13522" t="s">
        <v>31386</v>
      </c>
      <c r="J13522" t="s">
        <v>31606</v>
      </c>
      <c r="K13522" t="s">
        <v>40662</v>
      </c>
      <c r="M13522" t="s">
        <v>44667</v>
      </c>
      <c r="N13522" t="s">
        <v>44905</v>
      </c>
      <c r="O13522" t="s">
        <v>44906</v>
      </c>
      <c r="P13522">
        <v>0</v>
      </c>
      <c r="Q13522">
        <v>1</v>
      </c>
      <c r="R13522" t="s">
        <v>44923</v>
      </c>
      <c r="S13522" t="s">
        <v>45744</v>
      </c>
      <c r="T13522" t="s">
        <v>46416</v>
      </c>
      <c r="U13522" t="s">
        <v>57711</v>
      </c>
      <c r="W13522" t="s">
        <v>44667</v>
      </c>
      <c r="X13522" t="s">
        <v>44976</v>
      </c>
    </row>
    <row r="13523" spans="1:24">
      <c r="A13523">
        <f>HYPERLINK("https://www.philgeps.gov.ph/GEPSNONPILOT/Tender/SplashBidNoticeAbstractUI.aspx?menuIndex=3&amp;refID=7042285&amp;Result=3","7042285")</f>
        <v>0</v>
      </c>
      <c r="B13523" t="s">
        <v>1002</v>
      </c>
      <c r="C13523" t="s">
        <v>16459</v>
      </c>
      <c r="D13523" t="s">
        <v>18148</v>
      </c>
      <c r="E13523" t="s">
        <v>29881</v>
      </c>
      <c r="F13523" t="s">
        <v>31362</v>
      </c>
      <c r="G13523" t="s">
        <v>31369</v>
      </c>
      <c r="H13523" t="s">
        <v>15799</v>
      </c>
      <c r="I13523" t="s">
        <v>31395</v>
      </c>
      <c r="J13523" t="s">
        <v>39700</v>
      </c>
      <c r="K13523" t="s">
        <v>40665</v>
      </c>
      <c r="M13523" t="s">
        <v>41998</v>
      </c>
      <c r="N13523" t="s">
        <v>44905</v>
      </c>
      <c r="O13523" t="s">
        <v>44906</v>
      </c>
      <c r="Q13523">
        <v>3</v>
      </c>
      <c r="R13523" t="s">
        <v>44923</v>
      </c>
      <c r="S13523" t="s">
        <v>45754</v>
      </c>
      <c r="T13523" t="s">
        <v>46447</v>
      </c>
      <c r="U13523" t="s">
        <v>57712</v>
      </c>
      <c r="W13523" t="s">
        <v>60879</v>
      </c>
      <c r="X13523" t="s">
        <v>44929</v>
      </c>
    </row>
    <row r="13524" spans="1:24">
      <c r="A13524">
        <f>HYPERLINK("https://www.philgeps.gov.ph/GEPSNONPILOT/Tender/SplashBidNoticeAbstractUI.aspx?menuIndex=3&amp;refID=7047221&amp;Result=3","7047221")</f>
        <v>0</v>
      </c>
      <c r="B13524" t="s">
        <v>111</v>
      </c>
      <c r="C13524" t="s">
        <v>16460</v>
      </c>
      <c r="D13524" t="s">
        <v>18127</v>
      </c>
      <c r="E13524" t="s">
        <v>29882</v>
      </c>
      <c r="F13524" t="s">
        <v>31362</v>
      </c>
      <c r="G13524" t="s">
        <v>31369</v>
      </c>
      <c r="H13524" t="s">
        <v>31378</v>
      </c>
      <c r="I13524" t="s">
        <v>31386</v>
      </c>
      <c r="J13524" t="s">
        <v>33680</v>
      </c>
      <c r="K13524" t="s">
        <v>40746</v>
      </c>
      <c r="M13524" t="s">
        <v>41048</v>
      </c>
      <c r="N13524" t="s">
        <v>44905</v>
      </c>
      <c r="O13524" t="s">
        <v>44906</v>
      </c>
      <c r="P13524">
        <v>0</v>
      </c>
      <c r="Q13524">
        <v>1</v>
      </c>
      <c r="R13524" t="s">
        <v>44923</v>
      </c>
      <c r="S13524" t="s">
        <v>45744</v>
      </c>
      <c r="T13524" t="s">
        <v>46409</v>
      </c>
      <c r="U13524" t="s">
        <v>57713</v>
      </c>
      <c r="W13524" t="s">
        <v>41048</v>
      </c>
      <c r="X13524" t="s">
        <v>44924</v>
      </c>
    </row>
    <row r="13525" spans="1:24">
      <c r="A13525">
        <f>HYPERLINK("https://www.philgeps.gov.ph/GEPSNONPILOT/Tender/SplashBidNoticeAbstractUI.aspx?menuIndex=3&amp;refID=7047201&amp;Result=3","7047201")</f>
        <v>0</v>
      </c>
      <c r="B13525" t="s">
        <v>89</v>
      </c>
      <c r="C13525" t="s">
        <v>16461</v>
      </c>
      <c r="D13525" t="s">
        <v>18109</v>
      </c>
      <c r="E13525" t="s">
        <v>29883</v>
      </c>
      <c r="F13525" t="s">
        <v>31362</v>
      </c>
      <c r="G13525" t="s">
        <v>31369</v>
      </c>
      <c r="H13525" t="s">
        <v>31378</v>
      </c>
      <c r="I13525" t="s">
        <v>31386</v>
      </c>
      <c r="J13525" t="s">
        <v>37811</v>
      </c>
      <c r="K13525" t="s">
        <v>40702</v>
      </c>
      <c r="M13525" t="s">
        <v>41026</v>
      </c>
      <c r="N13525" t="s">
        <v>44905</v>
      </c>
      <c r="O13525" t="s">
        <v>44906</v>
      </c>
      <c r="P13525">
        <v>0</v>
      </c>
      <c r="Q13525">
        <v>4</v>
      </c>
      <c r="R13525" t="s">
        <v>44923</v>
      </c>
      <c r="S13525" t="s">
        <v>45744</v>
      </c>
      <c r="T13525" t="s">
        <v>46498</v>
      </c>
      <c r="U13525" t="s">
        <v>57714</v>
      </c>
      <c r="V13525" t="s">
        <v>59069</v>
      </c>
      <c r="W13525" t="s">
        <v>60833</v>
      </c>
      <c r="X13525" t="s">
        <v>44924</v>
      </c>
    </row>
    <row r="13526" spans="1:24">
      <c r="A13526">
        <f>HYPERLINK("https://www.philgeps.gov.ph/GEPSNONPILOT/Tender/SplashBidNoticeAbstractUI.aspx?menuIndex=3&amp;refID=7047229&amp;Result=3","7047229")</f>
        <v>0</v>
      </c>
      <c r="B13526" t="s">
        <v>111</v>
      </c>
      <c r="C13526" t="s">
        <v>16462</v>
      </c>
      <c r="D13526" t="s">
        <v>18127</v>
      </c>
      <c r="E13526" t="s">
        <v>29884</v>
      </c>
      <c r="F13526" t="s">
        <v>31362</v>
      </c>
      <c r="G13526" t="s">
        <v>31369</v>
      </c>
      <c r="H13526" t="s">
        <v>31378</v>
      </c>
      <c r="I13526" t="s">
        <v>31386</v>
      </c>
      <c r="J13526" t="s">
        <v>31586</v>
      </c>
      <c r="K13526" t="s">
        <v>40675</v>
      </c>
      <c r="M13526" t="s">
        <v>41048</v>
      </c>
      <c r="N13526" t="s">
        <v>44905</v>
      </c>
      <c r="O13526" t="s">
        <v>44906</v>
      </c>
      <c r="P13526">
        <v>0</v>
      </c>
      <c r="Q13526">
        <v>0</v>
      </c>
      <c r="R13526" t="s">
        <v>44923</v>
      </c>
      <c r="S13526" t="s">
        <v>45744</v>
      </c>
      <c r="T13526" t="s">
        <v>46409</v>
      </c>
      <c r="U13526" t="s">
        <v>57713</v>
      </c>
      <c r="W13526" t="s">
        <v>41048</v>
      </c>
      <c r="X13526" t="s">
        <v>44924</v>
      </c>
    </row>
    <row r="13527" spans="1:24">
      <c r="A13527">
        <f>HYPERLINK("https://www.philgeps.gov.ph/GEPSNONPILOT/Tender/SplashBidNoticeAbstractUI.aspx?menuIndex=3&amp;refID=6931690&amp;Result=3","6931690")</f>
        <v>0</v>
      </c>
      <c r="B13527" t="s">
        <v>3367</v>
      </c>
      <c r="C13527" t="s">
        <v>16463</v>
      </c>
      <c r="D13527" t="s">
        <v>18160</v>
      </c>
      <c r="E13527" t="s">
        <v>29885</v>
      </c>
      <c r="F13527" t="s">
        <v>31362</v>
      </c>
      <c r="G13527" t="s">
        <v>31369</v>
      </c>
      <c r="H13527" t="s">
        <v>31378</v>
      </c>
      <c r="I13527" t="s">
        <v>31386</v>
      </c>
      <c r="J13527" t="s">
        <v>31606</v>
      </c>
      <c r="K13527" t="s">
        <v>40662</v>
      </c>
      <c r="M13527" t="s">
        <v>44667</v>
      </c>
      <c r="N13527" t="s">
        <v>44905</v>
      </c>
      <c r="O13527" t="s">
        <v>44906</v>
      </c>
      <c r="P13527">
        <v>0</v>
      </c>
      <c r="Q13527">
        <v>1</v>
      </c>
      <c r="R13527" t="s">
        <v>44923</v>
      </c>
      <c r="S13527" t="s">
        <v>45744</v>
      </c>
      <c r="T13527" t="s">
        <v>46416</v>
      </c>
      <c r="U13527" t="s">
        <v>57715</v>
      </c>
      <c r="W13527" t="s">
        <v>44667</v>
      </c>
      <c r="X13527" t="s">
        <v>44976</v>
      </c>
    </row>
    <row r="13528" spans="1:24">
      <c r="A13528">
        <f>HYPERLINK("https://www.philgeps.gov.ph/GEPSNONPILOT/Tender/SplashBidNoticeAbstractUI.aspx?menuIndex=3&amp;refID=7046302&amp;Result=3","7046302")</f>
        <v>0</v>
      </c>
      <c r="B13528" t="s">
        <v>1895</v>
      </c>
      <c r="C13528" t="s">
        <v>16464</v>
      </c>
      <c r="D13528" t="s">
        <v>18151</v>
      </c>
      <c r="E13528" t="s">
        <v>29886</v>
      </c>
      <c r="F13528" t="s">
        <v>31362</v>
      </c>
      <c r="G13528" t="s">
        <v>31369</v>
      </c>
      <c r="H13528" t="s">
        <v>31378</v>
      </c>
      <c r="I13528" t="s">
        <v>31386</v>
      </c>
      <c r="J13528" t="s">
        <v>31606</v>
      </c>
      <c r="K13528" t="s">
        <v>40686</v>
      </c>
      <c r="M13528" t="s">
        <v>44675</v>
      </c>
      <c r="N13528" t="s">
        <v>44905</v>
      </c>
      <c r="O13528" t="s">
        <v>44906</v>
      </c>
      <c r="P13528">
        <v>0</v>
      </c>
      <c r="Q13528">
        <v>1</v>
      </c>
      <c r="R13528" t="s">
        <v>44923</v>
      </c>
      <c r="S13528" t="s">
        <v>45744</v>
      </c>
      <c r="T13528" t="s">
        <v>46410</v>
      </c>
      <c r="U13528" t="s">
        <v>57716</v>
      </c>
      <c r="W13528" t="s">
        <v>44700</v>
      </c>
      <c r="X13528" t="s">
        <v>44925</v>
      </c>
    </row>
    <row r="13529" spans="1:24">
      <c r="A13529">
        <f>HYPERLINK("https://www.philgeps.gov.ph/GEPSNONPILOT/Tender/SplashBidNoticeAbstractUI.aspx?menuIndex=3&amp;refID=7043937&amp;Result=3","7043937")</f>
        <v>0</v>
      </c>
      <c r="B13529" t="s">
        <v>2142</v>
      </c>
      <c r="C13529" t="s">
        <v>16465</v>
      </c>
      <c r="D13529" t="s">
        <v>18167</v>
      </c>
      <c r="E13529" t="s">
        <v>29887</v>
      </c>
      <c r="F13529" t="s">
        <v>31362</v>
      </c>
      <c r="G13529" t="s">
        <v>31369</v>
      </c>
      <c r="H13529" t="s">
        <v>15799</v>
      </c>
      <c r="I13529" t="s">
        <v>31389</v>
      </c>
      <c r="J13529" t="s">
        <v>39701</v>
      </c>
      <c r="K13529" t="s">
        <v>40677</v>
      </c>
      <c r="M13529" t="s">
        <v>43271</v>
      </c>
      <c r="N13529" t="s">
        <v>44905</v>
      </c>
      <c r="O13529" t="s">
        <v>44906</v>
      </c>
      <c r="P13529">
        <v>0</v>
      </c>
      <c r="Q13529">
        <v>6</v>
      </c>
      <c r="R13529" t="s">
        <v>44923</v>
      </c>
      <c r="S13529" t="s">
        <v>45744</v>
      </c>
      <c r="T13529" t="s">
        <v>46432</v>
      </c>
      <c r="U13529" t="s">
        <v>57685</v>
      </c>
      <c r="W13529" t="s">
        <v>43271</v>
      </c>
      <c r="X13529" t="s">
        <v>44926</v>
      </c>
    </row>
    <row r="13530" spans="1:24">
      <c r="A13530">
        <f>HYPERLINK("https://www.philgeps.gov.ph/GEPSNONPILOT/Tender/SplashBidNoticeAbstractUI.aspx?menuIndex=3&amp;refID=7046952&amp;Result=3","7046952")</f>
        <v>0</v>
      </c>
      <c r="B13530" t="s">
        <v>110</v>
      </c>
      <c r="C13530" t="s">
        <v>16466</v>
      </c>
      <c r="D13530" t="s">
        <v>18119</v>
      </c>
      <c r="E13530" t="s">
        <v>29888</v>
      </c>
      <c r="F13530" t="s">
        <v>31362</v>
      </c>
      <c r="G13530" t="s">
        <v>31369</v>
      </c>
      <c r="H13530" t="s">
        <v>31378</v>
      </c>
      <c r="I13530" t="s">
        <v>31386</v>
      </c>
      <c r="J13530" t="s">
        <v>39702</v>
      </c>
      <c r="K13530" t="s">
        <v>40675</v>
      </c>
      <c r="M13530" t="s">
        <v>44680</v>
      </c>
      <c r="N13530" t="s">
        <v>44905</v>
      </c>
      <c r="O13530" t="s">
        <v>44906</v>
      </c>
      <c r="P13530">
        <v>0</v>
      </c>
      <c r="Q13530">
        <v>1</v>
      </c>
      <c r="R13530" t="s">
        <v>44923</v>
      </c>
      <c r="S13530" t="s">
        <v>45744</v>
      </c>
      <c r="T13530" t="s">
        <v>46470</v>
      </c>
      <c r="U13530" t="s">
        <v>57717</v>
      </c>
      <c r="W13530" t="s">
        <v>44680</v>
      </c>
      <c r="X13530" t="s">
        <v>44925</v>
      </c>
    </row>
    <row r="13531" spans="1:24">
      <c r="A13531">
        <f>HYPERLINK("https://www.philgeps.gov.ph/GEPSNONPILOT/Tender/SplashBidNoticeAbstractUI.aspx?menuIndex=3&amp;refID=7046810&amp;Result=3","7046810")</f>
        <v>0</v>
      </c>
      <c r="B13531" t="s">
        <v>3375</v>
      </c>
      <c r="C13531" t="s">
        <v>16467</v>
      </c>
      <c r="D13531" t="s">
        <v>18168</v>
      </c>
      <c r="E13531" t="s">
        <v>29889</v>
      </c>
      <c r="F13531" t="s">
        <v>31362</v>
      </c>
      <c r="G13531" t="s">
        <v>31369</v>
      </c>
      <c r="H13531" t="s">
        <v>31378</v>
      </c>
      <c r="I13531" t="s">
        <v>31386</v>
      </c>
      <c r="J13531" t="s">
        <v>39703</v>
      </c>
      <c r="K13531" t="s">
        <v>40686</v>
      </c>
      <c r="M13531" t="s">
        <v>44681</v>
      </c>
      <c r="N13531" t="s">
        <v>44905</v>
      </c>
      <c r="O13531" t="s">
        <v>44906</v>
      </c>
      <c r="P13531">
        <v>0</v>
      </c>
      <c r="Q13531">
        <v>1</v>
      </c>
      <c r="R13531" t="s">
        <v>44923</v>
      </c>
      <c r="S13531" t="s">
        <v>45744</v>
      </c>
      <c r="T13531" t="s">
        <v>46416</v>
      </c>
      <c r="U13531" t="s">
        <v>57718</v>
      </c>
      <c r="W13531" t="s">
        <v>44681</v>
      </c>
      <c r="X13531" t="s">
        <v>44925</v>
      </c>
    </row>
    <row r="13532" spans="1:24">
      <c r="A13532">
        <f>HYPERLINK("https://www.philgeps.gov.ph/GEPSNONPILOT/Tender/SplashBidNoticeAbstractUI.aspx?menuIndex=3&amp;refID=7046667&amp;Result=3","7046667")</f>
        <v>0</v>
      </c>
      <c r="B13532" t="s">
        <v>3376</v>
      </c>
      <c r="C13532" t="s">
        <v>16468</v>
      </c>
      <c r="E13532" t="s">
        <v>29890</v>
      </c>
      <c r="F13532" t="s">
        <v>31362</v>
      </c>
      <c r="G13532" t="s">
        <v>31369</v>
      </c>
      <c r="H13532" t="s">
        <v>15799</v>
      </c>
      <c r="I13532" t="s">
        <v>31455</v>
      </c>
      <c r="J13532" t="s">
        <v>31542</v>
      </c>
      <c r="K13532" t="s">
        <v>40666</v>
      </c>
      <c r="M13532" t="s">
        <v>44682</v>
      </c>
      <c r="N13532" t="s">
        <v>44905</v>
      </c>
      <c r="O13532" t="s">
        <v>44906</v>
      </c>
      <c r="P13532">
        <v>0</v>
      </c>
      <c r="Q13532">
        <v>1</v>
      </c>
      <c r="R13532" t="s">
        <v>44923</v>
      </c>
      <c r="S13532" t="s">
        <v>45744</v>
      </c>
      <c r="T13532" t="s">
        <v>46447</v>
      </c>
      <c r="U13532" t="s">
        <v>57719</v>
      </c>
      <c r="W13532" t="s">
        <v>44682</v>
      </c>
      <c r="X13532" t="s">
        <v>44925</v>
      </c>
    </row>
    <row r="13533" spans="1:24">
      <c r="A13533">
        <f>HYPERLINK("https://www.philgeps.gov.ph/GEPSNONPILOT/Tender/SplashBidNoticeAbstractUI.aspx?menuIndex=3&amp;refID=7046572&amp;Result=3","7046572")</f>
        <v>0</v>
      </c>
      <c r="B13533" t="s">
        <v>1002</v>
      </c>
      <c r="C13533" t="s">
        <v>16469</v>
      </c>
      <c r="D13533" t="s">
        <v>18158</v>
      </c>
      <c r="E13533" t="s">
        <v>29891</v>
      </c>
      <c r="F13533" t="s">
        <v>31362</v>
      </c>
      <c r="G13533" t="s">
        <v>31369</v>
      </c>
      <c r="H13533" t="s">
        <v>15799</v>
      </c>
      <c r="I13533" t="s">
        <v>31410</v>
      </c>
      <c r="J13533" t="s">
        <v>39704</v>
      </c>
      <c r="K13533" t="s">
        <v>40665</v>
      </c>
      <c r="M13533" t="s">
        <v>41998</v>
      </c>
      <c r="N13533" t="s">
        <v>44905</v>
      </c>
      <c r="O13533" t="s">
        <v>44906</v>
      </c>
      <c r="P13533">
        <v>0</v>
      </c>
      <c r="Q13533">
        <v>0</v>
      </c>
      <c r="R13533" t="s">
        <v>44923</v>
      </c>
      <c r="S13533" t="s">
        <v>45744</v>
      </c>
      <c r="T13533" t="s">
        <v>46447</v>
      </c>
      <c r="U13533" t="s">
        <v>57720</v>
      </c>
      <c r="W13533" t="s">
        <v>60879</v>
      </c>
      <c r="X13533" t="s">
        <v>44925</v>
      </c>
    </row>
    <row r="13534" spans="1:24">
      <c r="A13534">
        <f>HYPERLINK("https://www.philgeps.gov.ph/GEPSNONPILOT/Tender/SplashBidNoticeAbstractUI.aspx?menuIndex=3&amp;refID=7047280&amp;Result=3","7047280")</f>
        <v>0</v>
      </c>
      <c r="B13534" t="s">
        <v>3377</v>
      </c>
      <c r="C13534" t="s">
        <v>16470</v>
      </c>
      <c r="D13534" t="s">
        <v>18102</v>
      </c>
      <c r="E13534" t="s">
        <v>29892</v>
      </c>
      <c r="F13534" t="s">
        <v>31362</v>
      </c>
      <c r="G13534" t="s">
        <v>31369</v>
      </c>
      <c r="H13534" t="s">
        <v>31378</v>
      </c>
      <c r="I13534" t="s">
        <v>31386</v>
      </c>
      <c r="J13534" t="s">
        <v>39705</v>
      </c>
      <c r="K13534" t="s">
        <v>40662</v>
      </c>
      <c r="M13534" t="s">
        <v>44683</v>
      </c>
      <c r="N13534" t="s">
        <v>44905</v>
      </c>
      <c r="O13534" t="s">
        <v>44906</v>
      </c>
      <c r="P13534">
        <v>0</v>
      </c>
      <c r="Q13534">
        <v>37</v>
      </c>
      <c r="R13534" t="s">
        <v>44923</v>
      </c>
      <c r="S13534" t="s">
        <v>45744</v>
      </c>
      <c r="T13534" t="s">
        <v>46447</v>
      </c>
      <c r="U13534" t="s">
        <v>57721</v>
      </c>
      <c r="W13534" t="s">
        <v>44683</v>
      </c>
      <c r="X13534" t="s">
        <v>44924</v>
      </c>
    </row>
    <row r="13535" spans="1:24">
      <c r="A13535">
        <f>HYPERLINK("https://www.philgeps.gov.ph/GEPSNONPILOT/Tender/SplashBidNoticeAbstractUI.aspx?menuIndex=3&amp;refID=7047398&amp;Result=3","7047398")</f>
        <v>0</v>
      </c>
      <c r="B13535" t="s">
        <v>270</v>
      </c>
      <c r="C13535" t="s">
        <v>16471</v>
      </c>
      <c r="D13535" t="s">
        <v>18166</v>
      </c>
      <c r="E13535" t="s">
        <v>29893</v>
      </c>
      <c r="F13535" t="s">
        <v>31362</v>
      </c>
      <c r="G13535" t="s">
        <v>31369</v>
      </c>
      <c r="H13535" t="s">
        <v>31378</v>
      </c>
      <c r="I13535" t="s">
        <v>31386</v>
      </c>
      <c r="J13535" t="s">
        <v>39706</v>
      </c>
      <c r="K13535" t="s">
        <v>40728</v>
      </c>
      <c r="M13535" t="s">
        <v>41212</v>
      </c>
      <c r="N13535" t="s">
        <v>44905</v>
      </c>
      <c r="O13535" t="s">
        <v>44906</v>
      </c>
      <c r="P13535">
        <v>0</v>
      </c>
      <c r="Q13535">
        <v>1</v>
      </c>
      <c r="R13535" t="s">
        <v>44923</v>
      </c>
      <c r="S13535" t="s">
        <v>45744</v>
      </c>
      <c r="T13535" t="s">
        <v>46393</v>
      </c>
      <c r="U13535" t="s">
        <v>57722</v>
      </c>
      <c r="W13535" t="s">
        <v>41212</v>
      </c>
      <c r="X13535" t="s">
        <v>44924</v>
      </c>
    </row>
    <row r="13536" spans="1:24">
      <c r="A13536">
        <f>HYPERLINK("https://www.philgeps.gov.ph/GEPSNONPILOT/Tender/SplashBidNoticeAbstractUI.aspx?menuIndex=3&amp;refID=7047189&amp;Result=3","7047189")</f>
        <v>0</v>
      </c>
      <c r="B13536" t="s">
        <v>89</v>
      </c>
      <c r="C13536" t="s">
        <v>16472</v>
      </c>
      <c r="D13536" t="s">
        <v>18109</v>
      </c>
      <c r="E13536" t="s">
        <v>29894</v>
      </c>
      <c r="F13536" t="s">
        <v>31362</v>
      </c>
      <c r="G13536" t="s">
        <v>31369</v>
      </c>
      <c r="H13536" t="s">
        <v>31378</v>
      </c>
      <c r="I13536" t="s">
        <v>31386</v>
      </c>
      <c r="J13536" t="s">
        <v>39707</v>
      </c>
      <c r="K13536" t="s">
        <v>40819</v>
      </c>
      <c r="M13536" t="s">
        <v>41026</v>
      </c>
      <c r="N13536" t="s">
        <v>44905</v>
      </c>
      <c r="O13536" t="s">
        <v>44906</v>
      </c>
      <c r="P13536">
        <v>0</v>
      </c>
      <c r="Q13536">
        <v>3</v>
      </c>
      <c r="R13536" t="s">
        <v>44923</v>
      </c>
      <c r="S13536" t="s">
        <v>45744</v>
      </c>
      <c r="T13536" t="s">
        <v>46498</v>
      </c>
      <c r="U13536" t="s">
        <v>57723</v>
      </c>
      <c r="V13536" t="s">
        <v>59069</v>
      </c>
      <c r="W13536" t="s">
        <v>60833</v>
      </c>
      <c r="X13536" t="s">
        <v>44924</v>
      </c>
    </row>
    <row r="13537" spans="1:24">
      <c r="A13537">
        <f>HYPERLINK("https://www.philgeps.gov.ph/GEPSNONPILOT/Tender/SplashBidNoticeAbstractUI.aspx?menuIndex=3&amp;refID=7047382&amp;Result=3","7047382")</f>
        <v>0</v>
      </c>
      <c r="B13537" t="s">
        <v>3367</v>
      </c>
      <c r="C13537" t="s">
        <v>16473</v>
      </c>
      <c r="D13537" t="s">
        <v>18160</v>
      </c>
      <c r="E13537" t="s">
        <v>29895</v>
      </c>
      <c r="F13537" t="s">
        <v>31362</v>
      </c>
      <c r="G13537" t="s">
        <v>31369</v>
      </c>
      <c r="H13537" t="s">
        <v>15799</v>
      </c>
      <c r="I13537" t="s">
        <v>31380</v>
      </c>
      <c r="J13537" t="s">
        <v>39708</v>
      </c>
      <c r="K13537" t="s">
        <v>40696</v>
      </c>
      <c r="M13537" t="s">
        <v>44684</v>
      </c>
      <c r="N13537" t="s">
        <v>44905</v>
      </c>
      <c r="O13537" t="s">
        <v>44906</v>
      </c>
      <c r="P13537">
        <v>0</v>
      </c>
      <c r="Q13537">
        <v>8</v>
      </c>
      <c r="R13537" t="s">
        <v>44923</v>
      </c>
      <c r="S13537" t="s">
        <v>45744</v>
      </c>
      <c r="T13537" t="s">
        <v>46416</v>
      </c>
      <c r="U13537" t="s">
        <v>57724</v>
      </c>
      <c r="W13537" t="s">
        <v>60970</v>
      </c>
      <c r="X13537" t="s">
        <v>44924</v>
      </c>
    </row>
    <row r="13538" spans="1:24">
      <c r="A13538">
        <f>HYPERLINK("https://www.philgeps.gov.ph/GEPSNONPILOT/Tender/SplashBidNoticeAbstractUI.aspx?menuIndex=3&amp;refID=7047231&amp;Result=3","7047231")</f>
        <v>0</v>
      </c>
      <c r="B13538" t="s">
        <v>2910</v>
      </c>
      <c r="C13538" t="s">
        <v>16474</v>
      </c>
      <c r="D13538" t="s">
        <v>18171</v>
      </c>
      <c r="E13538" t="s">
        <v>29896</v>
      </c>
      <c r="F13538" t="s">
        <v>31362</v>
      </c>
      <c r="G13538" t="s">
        <v>31369</v>
      </c>
      <c r="H13538" t="s">
        <v>31378</v>
      </c>
      <c r="I13538" t="s">
        <v>31435</v>
      </c>
      <c r="J13538" t="s">
        <v>39709</v>
      </c>
      <c r="K13538" t="s">
        <v>40662</v>
      </c>
      <c r="M13538" t="s">
        <v>44125</v>
      </c>
      <c r="N13538" t="s">
        <v>44905</v>
      </c>
      <c r="O13538" t="s">
        <v>44906</v>
      </c>
      <c r="P13538">
        <v>0</v>
      </c>
      <c r="Q13538">
        <v>0</v>
      </c>
      <c r="R13538" t="s">
        <v>44923</v>
      </c>
      <c r="S13538" t="s">
        <v>45744</v>
      </c>
      <c r="T13538" t="s">
        <v>46400</v>
      </c>
      <c r="U13538" t="s">
        <v>57725</v>
      </c>
      <c r="W13538" t="s">
        <v>44125</v>
      </c>
      <c r="X13538" t="s">
        <v>44924</v>
      </c>
    </row>
    <row r="13539" spans="1:24">
      <c r="A13539">
        <f>HYPERLINK("https://www.philgeps.gov.ph/GEPSNONPILOT/Tender/SplashBidNoticeAbstractUI.aspx?menuIndex=3&amp;refID=7047353&amp;Result=3","7047353")</f>
        <v>0</v>
      </c>
      <c r="B13539" t="s">
        <v>2987</v>
      </c>
      <c r="C13539" t="s">
        <v>16475</v>
      </c>
      <c r="D13539" t="s">
        <v>18124</v>
      </c>
      <c r="E13539" t="s">
        <v>29897</v>
      </c>
      <c r="F13539" t="s">
        <v>31364</v>
      </c>
      <c r="G13539" t="s">
        <v>31369</v>
      </c>
      <c r="H13539" t="s">
        <v>15799</v>
      </c>
      <c r="I13539" t="s">
        <v>31427</v>
      </c>
      <c r="J13539" t="s">
        <v>31687</v>
      </c>
      <c r="K13539" t="s">
        <v>40666</v>
      </c>
      <c r="M13539" t="s">
        <v>44212</v>
      </c>
      <c r="N13539" t="s">
        <v>44905</v>
      </c>
      <c r="O13539" t="s">
        <v>44906</v>
      </c>
      <c r="P13539">
        <v>0</v>
      </c>
      <c r="Q13539">
        <v>2</v>
      </c>
      <c r="R13539" t="s">
        <v>44923</v>
      </c>
      <c r="S13539" t="s">
        <v>45744</v>
      </c>
      <c r="T13539" t="s">
        <v>46400</v>
      </c>
      <c r="U13539" t="s">
        <v>57726</v>
      </c>
      <c r="W13539" t="s">
        <v>44212</v>
      </c>
      <c r="X13539" t="s">
        <v>44924</v>
      </c>
    </row>
    <row r="13540" spans="1:24">
      <c r="A13540">
        <f>HYPERLINK("https://www.philgeps.gov.ph/GEPSNONPILOT/Tender/SplashBidNoticeAbstractUI.aspx?menuIndex=3&amp;refID=7047078&amp;Result=3","7047078")</f>
        <v>0</v>
      </c>
      <c r="B13540" t="s">
        <v>110</v>
      </c>
      <c r="C13540" t="s">
        <v>16476</v>
      </c>
      <c r="D13540" t="s">
        <v>18119</v>
      </c>
      <c r="E13540" t="s">
        <v>29898</v>
      </c>
      <c r="F13540" t="s">
        <v>31362</v>
      </c>
      <c r="G13540" t="s">
        <v>31369</v>
      </c>
      <c r="H13540" t="s">
        <v>31378</v>
      </c>
      <c r="I13540" t="s">
        <v>31386</v>
      </c>
      <c r="J13540" t="s">
        <v>39710</v>
      </c>
      <c r="K13540" t="s">
        <v>40675</v>
      </c>
      <c r="M13540" t="s">
        <v>44680</v>
      </c>
      <c r="N13540" t="s">
        <v>44905</v>
      </c>
      <c r="O13540" t="s">
        <v>44906</v>
      </c>
      <c r="P13540">
        <v>0</v>
      </c>
      <c r="Q13540">
        <v>1</v>
      </c>
      <c r="R13540" t="s">
        <v>44923</v>
      </c>
      <c r="S13540" t="s">
        <v>45744</v>
      </c>
      <c r="T13540" t="s">
        <v>46470</v>
      </c>
      <c r="U13540" t="s">
        <v>57727</v>
      </c>
      <c r="W13540" t="s">
        <v>44680</v>
      </c>
      <c r="X13540" t="s">
        <v>44925</v>
      </c>
    </row>
    <row r="13541" spans="1:24">
      <c r="A13541">
        <f>HYPERLINK("https://www.philgeps.gov.ph/GEPSNONPILOT/Tender/SplashBidNoticeAbstractUI.aspx?menuIndex=3&amp;refID=7047350&amp;Result=3","7047350")</f>
        <v>0</v>
      </c>
      <c r="B13541" t="s">
        <v>441</v>
      </c>
      <c r="C13541" t="s">
        <v>16477</v>
      </c>
      <c r="D13541" t="s">
        <v>18158</v>
      </c>
      <c r="E13541" t="s">
        <v>24475</v>
      </c>
      <c r="F13541" t="s">
        <v>31362</v>
      </c>
      <c r="G13541" t="s">
        <v>31369</v>
      </c>
      <c r="H13541" t="s">
        <v>31378</v>
      </c>
      <c r="I13541" t="s">
        <v>31386</v>
      </c>
      <c r="J13541" t="s">
        <v>31709</v>
      </c>
      <c r="K13541" t="s">
        <v>40742</v>
      </c>
      <c r="M13541" t="s">
        <v>41394</v>
      </c>
      <c r="N13541" t="s">
        <v>44905</v>
      </c>
      <c r="O13541" t="s">
        <v>44906</v>
      </c>
      <c r="P13541">
        <v>0</v>
      </c>
      <c r="Q13541">
        <v>0</v>
      </c>
      <c r="R13541" t="s">
        <v>44923</v>
      </c>
      <c r="S13541" t="s">
        <v>45744</v>
      </c>
      <c r="T13541" t="s">
        <v>46549</v>
      </c>
      <c r="U13541" t="s">
        <v>57728</v>
      </c>
      <c r="W13541" t="s">
        <v>41394</v>
      </c>
      <c r="X13541" t="s">
        <v>44924</v>
      </c>
    </row>
    <row r="13542" spans="1:24">
      <c r="A13542">
        <f>HYPERLINK("https://www.philgeps.gov.ph/GEPSNONPILOT/Tender/SplashBidNoticeAbstractUI.aspx?menuIndex=3&amp;refID=7047377&amp;Result=3","7047377")</f>
        <v>0</v>
      </c>
      <c r="B13542" t="s">
        <v>1962</v>
      </c>
      <c r="C13542" t="s">
        <v>6003</v>
      </c>
      <c r="D13542" t="s">
        <v>18110</v>
      </c>
      <c r="E13542" t="s">
        <v>29899</v>
      </c>
      <c r="F13542" t="s">
        <v>31362</v>
      </c>
      <c r="G13542" t="s">
        <v>31369</v>
      </c>
      <c r="H13542" t="s">
        <v>15799</v>
      </c>
      <c r="I13542" t="s">
        <v>4283</v>
      </c>
      <c r="J13542" t="s">
        <v>31586</v>
      </c>
      <c r="K13542" t="s">
        <v>40661</v>
      </c>
      <c r="M13542" t="s">
        <v>43068</v>
      </c>
      <c r="N13542" t="s">
        <v>44905</v>
      </c>
      <c r="O13542" t="s">
        <v>44906</v>
      </c>
      <c r="P13542">
        <v>0</v>
      </c>
      <c r="Q13542">
        <v>6</v>
      </c>
      <c r="R13542" t="s">
        <v>44923</v>
      </c>
      <c r="S13542" t="s">
        <v>45744</v>
      </c>
      <c r="T13542" t="s">
        <v>46447</v>
      </c>
      <c r="U13542" t="s">
        <v>47881</v>
      </c>
      <c r="W13542" t="s">
        <v>43068</v>
      </c>
      <c r="X13542" t="s">
        <v>44924</v>
      </c>
    </row>
    <row r="13543" spans="1:24">
      <c r="A13543">
        <f>HYPERLINK("https://www.philgeps.gov.ph/GEPSNONPILOT/Tender/SplashBidNoticeAbstractUI.aspx?menuIndex=3&amp;refID=7047376&amp;Result=3","7047376")</f>
        <v>0</v>
      </c>
      <c r="B13543" t="s">
        <v>1425</v>
      </c>
      <c r="C13543" t="s">
        <v>16478</v>
      </c>
      <c r="D13543" t="s">
        <v>18100</v>
      </c>
      <c r="E13543" t="s">
        <v>29900</v>
      </c>
      <c r="F13543" t="s">
        <v>31362</v>
      </c>
      <c r="G13543" t="s">
        <v>31369</v>
      </c>
      <c r="H13543" t="s">
        <v>31378</v>
      </c>
      <c r="I13543" t="s">
        <v>31386</v>
      </c>
      <c r="J13543" t="s">
        <v>39711</v>
      </c>
      <c r="K13543" t="s">
        <v>40937</v>
      </c>
      <c r="M13543" t="s">
        <v>42452</v>
      </c>
      <c r="N13543" t="s">
        <v>44905</v>
      </c>
      <c r="O13543" t="s">
        <v>44906</v>
      </c>
      <c r="P13543">
        <v>0</v>
      </c>
      <c r="Q13543">
        <v>8</v>
      </c>
      <c r="R13543" t="s">
        <v>44923</v>
      </c>
      <c r="S13543" t="s">
        <v>45744</v>
      </c>
      <c r="T13543" t="s">
        <v>46447</v>
      </c>
      <c r="U13543" t="s">
        <v>57729</v>
      </c>
      <c r="W13543" t="s">
        <v>42452</v>
      </c>
      <c r="X13543" t="s">
        <v>44924</v>
      </c>
    </row>
    <row r="13544" spans="1:24">
      <c r="A13544">
        <f>HYPERLINK("https://www.philgeps.gov.ph/GEPSNONPILOT/Tender/SplashBidNoticeAbstractUI.aspx?menuIndex=3&amp;refID=7044536&amp;Result=3","7044536")</f>
        <v>0</v>
      </c>
      <c r="B13544" t="s">
        <v>3373</v>
      </c>
      <c r="C13544" t="s">
        <v>16479</v>
      </c>
      <c r="D13544" t="s">
        <v>18148</v>
      </c>
      <c r="E13544" t="s">
        <v>29901</v>
      </c>
      <c r="F13544" t="s">
        <v>31362</v>
      </c>
      <c r="G13544" t="s">
        <v>31369</v>
      </c>
      <c r="H13544" t="s">
        <v>31378</v>
      </c>
      <c r="I13544" t="s">
        <v>31386</v>
      </c>
      <c r="J13544" t="s">
        <v>39712</v>
      </c>
      <c r="K13544" t="s">
        <v>40696</v>
      </c>
      <c r="M13544" t="s">
        <v>44676</v>
      </c>
      <c r="N13544" t="s">
        <v>44905</v>
      </c>
      <c r="O13544" t="s">
        <v>44906</v>
      </c>
      <c r="P13544">
        <v>0</v>
      </c>
      <c r="Q13544">
        <v>0</v>
      </c>
      <c r="R13544" t="s">
        <v>44923</v>
      </c>
      <c r="S13544" t="s">
        <v>45744</v>
      </c>
      <c r="T13544" t="s">
        <v>46410</v>
      </c>
      <c r="U13544" t="s">
        <v>57730</v>
      </c>
      <c r="W13544" t="s">
        <v>44676</v>
      </c>
      <c r="X13544" t="s">
        <v>44925</v>
      </c>
    </row>
    <row r="13545" spans="1:24">
      <c r="A13545">
        <f>HYPERLINK("https://www.philgeps.gov.ph/GEPSNONPILOT/Tender/SplashBidNoticeAbstractUI.aspx?menuIndex=3&amp;refID=7047343&amp;Result=3","7047343")</f>
        <v>0</v>
      </c>
      <c r="B13545" t="s">
        <v>3367</v>
      </c>
      <c r="C13545" t="s">
        <v>16480</v>
      </c>
      <c r="D13545" t="s">
        <v>18160</v>
      </c>
      <c r="E13545" t="s">
        <v>29902</v>
      </c>
      <c r="F13545" t="s">
        <v>31362</v>
      </c>
      <c r="G13545" t="s">
        <v>31369</v>
      </c>
      <c r="H13545" t="s">
        <v>15799</v>
      </c>
      <c r="I13545" t="s">
        <v>4283</v>
      </c>
      <c r="J13545" t="s">
        <v>39713</v>
      </c>
      <c r="K13545" t="s">
        <v>40696</v>
      </c>
      <c r="M13545" t="s">
        <v>44684</v>
      </c>
      <c r="N13545" t="s">
        <v>44905</v>
      </c>
      <c r="O13545" t="s">
        <v>44906</v>
      </c>
      <c r="P13545">
        <v>0</v>
      </c>
      <c r="Q13545">
        <v>6</v>
      </c>
      <c r="R13545" t="s">
        <v>44923</v>
      </c>
      <c r="S13545" t="s">
        <v>45744</v>
      </c>
      <c r="T13545" t="s">
        <v>46416</v>
      </c>
      <c r="U13545" t="s">
        <v>57731</v>
      </c>
      <c r="W13545" t="s">
        <v>60970</v>
      </c>
      <c r="X13545" t="s">
        <v>44924</v>
      </c>
    </row>
    <row r="13546" spans="1:24">
      <c r="A13546">
        <f>HYPERLINK("https://www.philgeps.gov.ph/GEPSNONPILOT/Tender/SplashBidNoticeAbstractUI.aspx?menuIndex=3&amp;refID=7047338&amp;Result=3","7047338")</f>
        <v>0</v>
      </c>
      <c r="B13546" t="s">
        <v>3378</v>
      </c>
      <c r="C13546" t="s">
        <v>16481</v>
      </c>
      <c r="D13546" t="s">
        <v>18175</v>
      </c>
      <c r="E13546" t="s">
        <v>29903</v>
      </c>
      <c r="F13546" t="s">
        <v>31362</v>
      </c>
      <c r="G13546" t="s">
        <v>31369</v>
      </c>
      <c r="H13546" t="s">
        <v>15799</v>
      </c>
      <c r="I13546" t="s">
        <v>31457</v>
      </c>
      <c r="J13546" t="s">
        <v>39714</v>
      </c>
      <c r="K13546" t="s">
        <v>40682</v>
      </c>
      <c r="M13546" t="s">
        <v>44685</v>
      </c>
      <c r="N13546" t="s">
        <v>44905</v>
      </c>
      <c r="O13546" t="s">
        <v>44906</v>
      </c>
      <c r="P13546">
        <v>0</v>
      </c>
      <c r="Q13546">
        <v>4</v>
      </c>
      <c r="R13546" t="s">
        <v>44923</v>
      </c>
      <c r="S13546" t="s">
        <v>45744</v>
      </c>
      <c r="T13546" t="s">
        <v>46462</v>
      </c>
      <c r="U13546" t="s">
        <v>57732</v>
      </c>
      <c r="W13546" t="s">
        <v>44685</v>
      </c>
      <c r="X13546" t="s">
        <v>44924</v>
      </c>
    </row>
    <row r="13547" spans="1:24">
      <c r="A13547">
        <f>HYPERLINK("https://www.philgeps.gov.ph/GEPSNONPILOT/Tender/SplashBidNoticeAbstractUI.aspx?menuIndex=3&amp;refID=7047314&amp;Result=3","7047314")</f>
        <v>0</v>
      </c>
      <c r="B13547" t="s">
        <v>125</v>
      </c>
      <c r="C13547" t="s">
        <v>16482</v>
      </c>
      <c r="D13547" t="s">
        <v>18104</v>
      </c>
      <c r="E13547" t="s">
        <v>29904</v>
      </c>
      <c r="F13547" t="s">
        <v>31362</v>
      </c>
      <c r="G13547" t="s">
        <v>31369</v>
      </c>
      <c r="H13547" t="s">
        <v>15799</v>
      </c>
      <c r="I13547" t="s">
        <v>31386</v>
      </c>
      <c r="J13547" t="s">
        <v>39715</v>
      </c>
      <c r="K13547" t="s">
        <v>40679</v>
      </c>
      <c r="M13547" t="s">
        <v>41062</v>
      </c>
      <c r="N13547" t="s">
        <v>44905</v>
      </c>
      <c r="O13547" t="s">
        <v>44906</v>
      </c>
      <c r="Q13547">
        <v>2</v>
      </c>
      <c r="R13547" t="s">
        <v>44923</v>
      </c>
      <c r="S13547" t="s">
        <v>45755</v>
      </c>
      <c r="T13547" t="s">
        <v>46428</v>
      </c>
      <c r="U13547" t="s">
        <v>57733</v>
      </c>
      <c r="W13547" t="s">
        <v>41062</v>
      </c>
      <c r="X13547" t="s">
        <v>44924</v>
      </c>
    </row>
    <row r="13548" spans="1:24">
      <c r="A13548">
        <f>HYPERLINK("https://www.philgeps.gov.ph/GEPSNONPILOT/Tender/SplashBidNoticeAbstractUI.aspx?menuIndex=3&amp;refID=7047321&amp;Result=3","7047321")</f>
        <v>0</v>
      </c>
      <c r="B13548" t="s">
        <v>2188</v>
      </c>
      <c r="C13548" t="s">
        <v>16483</v>
      </c>
      <c r="D13548" t="s">
        <v>18119</v>
      </c>
      <c r="E13548" t="s">
        <v>29905</v>
      </c>
      <c r="F13548" t="s">
        <v>31362</v>
      </c>
      <c r="G13548" t="s">
        <v>31369</v>
      </c>
      <c r="H13548" t="s">
        <v>31378</v>
      </c>
      <c r="I13548" t="s">
        <v>31386</v>
      </c>
      <c r="J13548" t="s">
        <v>39716</v>
      </c>
      <c r="K13548" t="s">
        <v>40679</v>
      </c>
      <c r="M13548" t="s">
        <v>43319</v>
      </c>
      <c r="N13548" t="s">
        <v>44905</v>
      </c>
      <c r="O13548" t="s">
        <v>44906</v>
      </c>
      <c r="P13548">
        <v>0</v>
      </c>
      <c r="Q13548">
        <v>0</v>
      </c>
      <c r="R13548" t="s">
        <v>44923</v>
      </c>
      <c r="S13548" t="s">
        <v>45744</v>
      </c>
      <c r="T13548" t="s">
        <v>46393</v>
      </c>
      <c r="U13548" t="s">
        <v>57734</v>
      </c>
      <c r="W13548" t="s">
        <v>43319</v>
      </c>
      <c r="X13548" t="s">
        <v>44924</v>
      </c>
    </row>
    <row r="13549" spans="1:24">
      <c r="A13549">
        <f>HYPERLINK("https://www.philgeps.gov.ph/GEPSNONPILOT/Tender/SplashBidNoticeAbstractUI.aspx?menuIndex=3&amp;refID=7047394&amp;Result=3","7047394")</f>
        <v>0</v>
      </c>
      <c r="B13549" t="s">
        <v>3379</v>
      </c>
      <c r="C13549" t="s">
        <v>16484</v>
      </c>
      <c r="D13549" t="s">
        <v>18157</v>
      </c>
      <c r="E13549" t="s">
        <v>29906</v>
      </c>
      <c r="F13549" t="s">
        <v>31362</v>
      </c>
      <c r="G13549" t="s">
        <v>31369</v>
      </c>
      <c r="H13549" t="s">
        <v>15799</v>
      </c>
      <c r="I13549" t="s">
        <v>3815</v>
      </c>
      <c r="J13549" t="s">
        <v>39717</v>
      </c>
      <c r="K13549" t="s">
        <v>40758</v>
      </c>
      <c r="L13549" t="s">
        <v>3379</v>
      </c>
      <c r="M13549" t="s">
        <v>44686</v>
      </c>
      <c r="N13549" t="s">
        <v>44905</v>
      </c>
      <c r="O13549" t="s">
        <v>44906</v>
      </c>
      <c r="P13549">
        <v>0</v>
      </c>
      <c r="Q13549">
        <v>0</v>
      </c>
      <c r="R13549" t="s">
        <v>44923</v>
      </c>
      <c r="S13549" t="s">
        <v>45744</v>
      </c>
      <c r="T13549" t="s">
        <v>46432</v>
      </c>
      <c r="U13549" t="s">
        <v>57735</v>
      </c>
      <c r="V13549" t="s">
        <v>60595</v>
      </c>
      <c r="W13549" t="s">
        <v>44686</v>
      </c>
      <c r="X13549" t="s">
        <v>44924</v>
      </c>
    </row>
    <row r="13550" spans="1:24">
      <c r="A13550">
        <f>HYPERLINK("https://www.philgeps.gov.ph/GEPSNONPILOT/Tender/SplashBidNoticeAbstractUI.aspx?menuIndex=3&amp;refID=7047550&amp;Result=3","7047550")</f>
        <v>0</v>
      </c>
      <c r="B13550" t="s">
        <v>641</v>
      </c>
      <c r="C13550" t="s">
        <v>16485</v>
      </c>
      <c r="D13550" t="s">
        <v>18158</v>
      </c>
      <c r="E13550" t="s">
        <v>29907</v>
      </c>
      <c r="F13550" t="s">
        <v>31362</v>
      </c>
      <c r="G13550" t="s">
        <v>31369</v>
      </c>
      <c r="H13550" t="s">
        <v>31378</v>
      </c>
      <c r="I13550" t="s">
        <v>3815</v>
      </c>
      <c r="J13550" t="s">
        <v>39718</v>
      </c>
      <c r="K13550" t="s">
        <v>40679</v>
      </c>
      <c r="M13550" t="s">
        <v>42801</v>
      </c>
      <c r="N13550" t="s">
        <v>44905</v>
      </c>
      <c r="O13550" t="s">
        <v>44906</v>
      </c>
      <c r="P13550">
        <v>0</v>
      </c>
      <c r="Q13550">
        <v>1</v>
      </c>
      <c r="R13550" t="s">
        <v>44923</v>
      </c>
      <c r="S13550" t="s">
        <v>45744</v>
      </c>
      <c r="T13550" t="s">
        <v>46692</v>
      </c>
      <c r="U13550" t="s">
        <v>57736</v>
      </c>
      <c r="W13550" t="s">
        <v>42801</v>
      </c>
      <c r="X13550" t="s">
        <v>44924</v>
      </c>
    </row>
    <row r="13551" spans="1:24">
      <c r="A13551">
        <f>HYPERLINK("https://www.philgeps.gov.ph/GEPSNONPILOT/Tender/SplashBidNoticeAbstractUI.aspx?menuIndex=3&amp;refID=7047524&amp;Result=3","7047524")</f>
        <v>0</v>
      </c>
      <c r="B13551" t="s">
        <v>34</v>
      </c>
      <c r="C13551" t="s">
        <v>16486</v>
      </c>
      <c r="D13551" t="s">
        <v>18107</v>
      </c>
      <c r="E13551" t="s">
        <v>22943</v>
      </c>
      <c r="F13551" t="s">
        <v>31362</v>
      </c>
      <c r="G13551" t="s">
        <v>31369</v>
      </c>
      <c r="H13551" t="s">
        <v>15799</v>
      </c>
      <c r="I13551" t="s">
        <v>31468</v>
      </c>
      <c r="J13551" t="s">
        <v>32278</v>
      </c>
      <c r="K13551" t="s">
        <v>40665</v>
      </c>
      <c r="M13551" t="s">
        <v>40968</v>
      </c>
      <c r="N13551" t="s">
        <v>44905</v>
      </c>
      <c r="O13551" t="s">
        <v>44906</v>
      </c>
      <c r="P13551">
        <v>0</v>
      </c>
      <c r="Q13551">
        <v>1</v>
      </c>
      <c r="R13551" t="s">
        <v>44923</v>
      </c>
      <c r="S13551" t="s">
        <v>45744</v>
      </c>
      <c r="T13551" t="s">
        <v>46393</v>
      </c>
      <c r="U13551" t="s">
        <v>57737</v>
      </c>
      <c r="V13551" t="s">
        <v>60596</v>
      </c>
      <c r="W13551" t="s">
        <v>40968</v>
      </c>
      <c r="X13551" t="s">
        <v>44924</v>
      </c>
    </row>
    <row r="13552" spans="1:24">
      <c r="A13552">
        <f>HYPERLINK("https://www.philgeps.gov.ph/GEPSNONPILOT/Tender/SplashBidNoticeAbstractUI.aspx?menuIndex=3&amp;refID=7047522&amp;Result=3","7047522")</f>
        <v>0</v>
      </c>
      <c r="B13552" t="s">
        <v>3380</v>
      </c>
      <c r="C13552" t="s">
        <v>16487</v>
      </c>
      <c r="D13552" t="s">
        <v>18110</v>
      </c>
      <c r="E13552" t="s">
        <v>19844</v>
      </c>
      <c r="F13552" t="s">
        <v>31362</v>
      </c>
      <c r="G13552" t="s">
        <v>31369</v>
      </c>
      <c r="H13552" t="s">
        <v>15799</v>
      </c>
      <c r="I13552" t="s">
        <v>31422</v>
      </c>
      <c r="J13552" t="s">
        <v>39719</v>
      </c>
      <c r="K13552" t="s">
        <v>40665</v>
      </c>
      <c r="M13552" t="s">
        <v>44687</v>
      </c>
      <c r="N13552" t="s">
        <v>44905</v>
      </c>
      <c r="O13552" t="s">
        <v>44906</v>
      </c>
      <c r="Q13552">
        <v>10</v>
      </c>
      <c r="R13552" t="s">
        <v>44923</v>
      </c>
      <c r="S13552" t="s">
        <v>45224</v>
      </c>
      <c r="T13552" t="s">
        <v>46432</v>
      </c>
      <c r="U13552" t="s">
        <v>57738</v>
      </c>
      <c r="W13552" t="s">
        <v>44687</v>
      </c>
      <c r="X13552" t="s">
        <v>44924</v>
      </c>
    </row>
    <row r="13553" spans="1:24">
      <c r="A13553">
        <f>HYPERLINK("https://www.philgeps.gov.ph/GEPSNONPILOT/Tender/SplashBidNoticeAbstractUI.aspx?menuIndex=3&amp;refID=7047528&amp;Result=3","7047528")</f>
        <v>0</v>
      </c>
      <c r="B13553" t="s">
        <v>3381</v>
      </c>
      <c r="C13553" t="s">
        <v>16488</v>
      </c>
      <c r="D13553" t="s">
        <v>18138</v>
      </c>
      <c r="E13553" t="s">
        <v>29908</v>
      </c>
      <c r="F13553" t="s">
        <v>31362</v>
      </c>
      <c r="G13553" t="s">
        <v>31369</v>
      </c>
      <c r="H13553" t="s">
        <v>31378</v>
      </c>
      <c r="I13553" t="s">
        <v>31386</v>
      </c>
      <c r="J13553" t="s">
        <v>32549</v>
      </c>
      <c r="K13553" t="s">
        <v>40662</v>
      </c>
      <c r="L13553" t="s">
        <v>3381</v>
      </c>
      <c r="M13553" t="s">
        <v>44688</v>
      </c>
      <c r="N13553" t="s">
        <v>44905</v>
      </c>
      <c r="O13553" t="s">
        <v>44906</v>
      </c>
      <c r="P13553">
        <v>0</v>
      </c>
      <c r="Q13553">
        <v>1</v>
      </c>
      <c r="R13553" t="s">
        <v>44923</v>
      </c>
      <c r="S13553" t="s">
        <v>45744</v>
      </c>
      <c r="T13553" t="s">
        <v>46425</v>
      </c>
      <c r="U13553" t="s">
        <v>57739</v>
      </c>
      <c r="W13553" t="s">
        <v>44688</v>
      </c>
      <c r="X13553" t="s">
        <v>44924</v>
      </c>
    </row>
    <row r="13554" spans="1:24">
      <c r="A13554">
        <f>HYPERLINK("https://www.philgeps.gov.ph/GEPSNONPILOT/Tender/SplashBidNoticeAbstractUI.aspx?menuIndex=3&amp;refID=7047494&amp;Result=3","7047494")</f>
        <v>0</v>
      </c>
      <c r="B13554" t="s">
        <v>579</v>
      </c>
      <c r="C13554" t="s">
        <v>16489</v>
      </c>
      <c r="D13554" t="s">
        <v>18112</v>
      </c>
      <c r="E13554" t="s">
        <v>29909</v>
      </c>
      <c r="F13554" t="s">
        <v>31362</v>
      </c>
      <c r="G13554" t="s">
        <v>31369</v>
      </c>
      <c r="H13554" t="s">
        <v>15799</v>
      </c>
      <c r="I13554" t="s">
        <v>7188</v>
      </c>
      <c r="J13554" t="s">
        <v>38317</v>
      </c>
      <c r="K13554" t="s">
        <v>40665</v>
      </c>
      <c r="M13554" t="s">
        <v>42918</v>
      </c>
      <c r="N13554" t="s">
        <v>44905</v>
      </c>
      <c r="O13554" t="s">
        <v>44906</v>
      </c>
      <c r="Q13554">
        <v>24</v>
      </c>
      <c r="R13554" t="s">
        <v>44923</v>
      </c>
      <c r="S13554" t="s">
        <v>45404</v>
      </c>
      <c r="T13554" t="s">
        <v>46447</v>
      </c>
      <c r="U13554" t="s">
        <v>57740</v>
      </c>
      <c r="W13554" t="s">
        <v>42918</v>
      </c>
      <c r="X13554" t="s">
        <v>44924</v>
      </c>
    </row>
    <row r="13555" spans="1:24">
      <c r="A13555">
        <f>HYPERLINK("https://www.philgeps.gov.ph/GEPSNONPILOT/Tender/SplashBidNoticeAbstractUI.aspx?menuIndex=3&amp;refID=7047325&amp;Result=3","7047325")</f>
        <v>0</v>
      </c>
      <c r="B13555" t="s">
        <v>2910</v>
      </c>
      <c r="C13555" t="s">
        <v>16490</v>
      </c>
      <c r="D13555" t="s">
        <v>18171</v>
      </c>
      <c r="E13555" t="s">
        <v>29910</v>
      </c>
      <c r="F13555" t="s">
        <v>31362</v>
      </c>
      <c r="G13555" t="s">
        <v>31369</v>
      </c>
      <c r="H13555" t="s">
        <v>15799</v>
      </c>
      <c r="I13555" t="s">
        <v>7188</v>
      </c>
      <c r="J13555" t="s">
        <v>31577</v>
      </c>
      <c r="K13555" t="s">
        <v>40662</v>
      </c>
      <c r="M13555" t="s">
        <v>44125</v>
      </c>
      <c r="N13555" t="s">
        <v>44905</v>
      </c>
      <c r="O13555" t="s">
        <v>44906</v>
      </c>
      <c r="P13555">
        <v>0</v>
      </c>
      <c r="Q13555">
        <v>0</v>
      </c>
      <c r="R13555" t="s">
        <v>44923</v>
      </c>
      <c r="S13555" t="s">
        <v>45744</v>
      </c>
      <c r="T13555" t="s">
        <v>46400</v>
      </c>
      <c r="U13555" t="s">
        <v>57741</v>
      </c>
      <c r="W13555" t="s">
        <v>44125</v>
      </c>
      <c r="X13555" t="s">
        <v>44924</v>
      </c>
    </row>
    <row r="13556" spans="1:24">
      <c r="A13556">
        <f>HYPERLINK("https://www.philgeps.gov.ph/GEPSNONPILOT/Tender/SplashBidNoticeAbstractUI.aspx?menuIndex=3&amp;refID=7047479&amp;Result=3","7047479")</f>
        <v>0</v>
      </c>
      <c r="B13556" t="s">
        <v>270</v>
      </c>
      <c r="C13556" t="s">
        <v>16491</v>
      </c>
      <c r="D13556" t="s">
        <v>18166</v>
      </c>
      <c r="E13556" t="s">
        <v>29911</v>
      </c>
      <c r="F13556" t="s">
        <v>31362</v>
      </c>
      <c r="G13556" t="s">
        <v>31369</v>
      </c>
      <c r="H13556" t="s">
        <v>31378</v>
      </c>
      <c r="I13556" t="s">
        <v>31386</v>
      </c>
      <c r="J13556" t="s">
        <v>39720</v>
      </c>
      <c r="K13556" t="s">
        <v>40683</v>
      </c>
      <c r="M13556" t="s">
        <v>41212</v>
      </c>
      <c r="N13556" t="s">
        <v>44905</v>
      </c>
      <c r="O13556" t="s">
        <v>44906</v>
      </c>
      <c r="P13556">
        <v>0</v>
      </c>
      <c r="Q13556">
        <v>0</v>
      </c>
      <c r="R13556" t="s">
        <v>44923</v>
      </c>
      <c r="S13556" t="s">
        <v>45744</v>
      </c>
      <c r="T13556" t="s">
        <v>46393</v>
      </c>
      <c r="U13556" t="s">
        <v>57722</v>
      </c>
      <c r="W13556" t="s">
        <v>41212</v>
      </c>
      <c r="X13556" t="s">
        <v>44924</v>
      </c>
    </row>
    <row r="13557" spans="1:24">
      <c r="A13557">
        <f>HYPERLINK("https://www.philgeps.gov.ph/GEPSNONPILOT/Tender/SplashBidNoticeAbstractUI.aspx?menuIndex=3&amp;refID=7047510&amp;Result=3","7047510")</f>
        <v>0</v>
      </c>
      <c r="B13557" t="s">
        <v>1586</v>
      </c>
      <c r="C13557" t="s">
        <v>16492</v>
      </c>
      <c r="D13557" t="s">
        <v>18112</v>
      </c>
      <c r="E13557" t="s">
        <v>29912</v>
      </c>
      <c r="F13557" t="s">
        <v>31362</v>
      </c>
      <c r="G13557" t="s">
        <v>31369</v>
      </c>
      <c r="H13557" t="s">
        <v>31378</v>
      </c>
      <c r="I13557" t="s">
        <v>3815</v>
      </c>
      <c r="J13557" t="s">
        <v>39721</v>
      </c>
      <c r="K13557" t="s">
        <v>40691</v>
      </c>
      <c r="M13557" t="s">
        <v>42642</v>
      </c>
      <c r="N13557" t="s">
        <v>44905</v>
      </c>
      <c r="O13557" t="s">
        <v>44906</v>
      </c>
      <c r="Q13557">
        <v>5</v>
      </c>
      <c r="R13557" t="s">
        <v>44923</v>
      </c>
      <c r="S13557" t="s">
        <v>45756</v>
      </c>
      <c r="T13557" t="s">
        <v>46507</v>
      </c>
      <c r="U13557" t="s">
        <v>57742</v>
      </c>
      <c r="V13557" t="s">
        <v>60597</v>
      </c>
      <c r="W13557" t="s">
        <v>42642</v>
      </c>
      <c r="X13557" t="s">
        <v>44924</v>
      </c>
    </row>
    <row r="13558" spans="1:24">
      <c r="A13558">
        <f>HYPERLINK("https://www.philgeps.gov.ph/GEPSNONPILOT/Tender/SplashBidNoticeAbstractUI.aspx?menuIndex=3&amp;refID=7047473&amp;Result=3","7047473")</f>
        <v>0</v>
      </c>
      <c r="B13558" t="s">
        <v>1586</v>
      </c>
      <c r="C13558" t="s">
        <v>16493</v>
      </c>
      <c r="D13558" t="s">
        <v>18112</v>
      </c>
      <c r="E13558" t="s">
        <v>29913</v>
      </c>
      <c r="F13558" t="s">
        <v>31362</v>
      </c>
      <c r="G13558" t="s">
        <v>31369</v>
      </c>
      <c r="H13558" t="s">
        <v>31378</v>
      </c>
      <c r="I13558" t="s">
        <v>3815</v>
      </c>
      <c r="J13558" t="s">
        <v>39722</v>
      </c>
      <c r="K13558" t="s">
        <v>40683</v>
      </c>
      <c r="M13558" t="s">
        <v>42642</v>
      </c>
      <c r="N13558" t="s">
        <v>44905</v>
      </c>
      <c r="O13558" t="s">
        <v>44906</v>
      </c>
      <c r="Q13558">
        <v>6</v>
      </c>
      <c r="R13558" t="s">
        <v>44923</v>
      </c>
      <c r="S13558" t="s">
        <v>45757</v>
      </c>
      <c r="T13558" t="s">
        <v>46507</v>
      </c>
      <c r="U13558" t="s">
        <v>57743</v>
      </c>
      <c r="V13558" t="s">
        <v>60597</v>
      </c>
      <c r="W13558" t="s">
        <v>42642</v>
      </c>
      <c r="X13558" t="s">
        <v>44924</v>
      </c>
    </row>
    <row r="13559" spans="1:24">
      <c r="A13559">
        <f>HYPERLINK("https://www.philgeps.gov.ph/GEPSNONPILOT/Tender/SplashBidNoticeAbstractUI.aspx?menuIndex=3&amp;refID=7046621&amp;Result=3","7046621")</f>
        <v>0</v>
      </c>
      <c r="B13559" t="s">
        <v>742</v>
      </c>
      <c r="C13559" t="s">
        <v>16494</v>
      </c>
      <c r="D13559" t="s">
        <v>18109</v>
      </c>
      <c r="E13559" t="s">
        <v>29914</v>
      </c>
      <c r="F13559" t="s">
        <v>31362</v>
      </c>
      <c r="G13559" t="s">
        <v>31369</v>
      </c>
      <c r="H13559" t="s">
        <v>31378</v>
      </c>
      <c r="I13559" t="s">
        <v>31386</v>
      </c>
      <c r="J13559" t="s">
        <v>31606</v>
      </c>
      <c r="K13559" t="s">
        <v>40679</v>
      </c>
      <c r="M13559" t="s">
        <v>44689</v>
      </c>
      <c r="N13559" t="s">
        <v>44905</v>
      </c>
      <c r="O13559" t="s">
        <v>44906</v>
      </c>
      <c r="Q13559">
        <v>1</v>
      </c>
      <c r="R13559" t="s">
        <v>44923</v>
      </c>
      <c r="S13559" t="s">
        <v>45758</v>
      </c>
      <c r="T13559" t="s">
        <v>46440</v>
      </c>
      <c r="U13559" t="s">
        <v>57744</v>
      </c>
      <c r="V13559" t="s">
        <v>60598</v>
      </c>
      <c r="W13559" t="s">
        <v>44689</v>
      </c>
      <c r="X13559" t="s">
        <v>44925</v>
      </c>
    </row>
    <row r="13560" spans="1:24">
      <c r="A13560">
        <f>HYPERLINK("https://www.philgeps.gov.ph/GEPSNONPILOT/Tender/SplashBidNoticeAbstractUI.aspx?menuIndex=3&amp;refID=7047525&amp;Result=3","7047525")</f>
        <v>0</v>
      </c>
      <c r="B13560" t="s">
        <v>452</v>
      </c>
      <c r="C13560" t="s">
        <v>16495</v>
      </c>
      <c r="D13560" t="s">
        <v>18122</v>
      </c>
      <c r="E13560" t="s">
        <v>29915</v>
      </c>
      <c r="F13560" t="s">
        <v>31362</v>
      </c>
      <c r="G13560" t="s">
        <v>31369</v>
      </c>
      <c r="H13560" t="s">
        <v>31378</v>
      </c>
      <c r="I13560" t="s">
        <v>31386</v>
      </c>
      <c r="J13560" t="s">
        <v>39723</v>
      </c>
      <c r="K13560" t="s">
        <v>40686</v>
      </c>
      <c r="M13560" t="s">
        <v>41406</v>
      </c>
      <c r="N13560" t="s">
        <v>44905</v>
      </c>
      <c r="O13560" t="s">
        <v>44906</v>
      </c>
      <c r="P13560">
        <v>0</v>
      </c>
      <c r="Q13560">
        <v>12</v>
      </c>
      <c r="R13560" t="s">
        <v>44923</v>
      </c>
      <c r="S13560" t="s">
        <v>45744</v>
      </c>
      <c r="T13560" t="s">
        <v>46447</v>
      </c>
      <c r="U13560" t="s">
        <v>47758</v>
      </c>
      <c r="W13560" t="s">
        <v>41406</v>
      </c>
      <c r="X13560" t="s">
        <v>44924</v>
      </c>
    </row>
    <row r="13561" spans="1:24">
      <c r="A13561">
        <f>HYPERLINK("https://www.philgeps.gov.ph/GEPSNONPILOT/Tender/SplashBidNoticeAbstractUI.aspx?menuIndex=3&amp;refID=7047447&amp;Result=3","7047447")</f>
        <v>0</v>
      </c>
      <c r="B13561" t="s">
        <v>270</v>
      </c>
      <c r="C13561" t="s">
        <v>16496</v>
      </c>
      <c r="D13561" t="s">
        <v>18166</v>
      </c>
      <c r="E13561" t="s">
        <v>29916</v>
      </c>
      <c r="F13561" t="s">
        <v>31362</v>
      </c>
      <c r="G13561" t="s">
        <v>31369</v>
      </c>
      <c r="H13561" t="s">
        <v>31378</v>
      </c>
      <c r="I13561" t="s">
        <v>31386</v>
      </c>
      <c r="J13561" t="s">
        <v>39724</v>
      </c>
      <c r="K13561" t="s">
        <v>40678</v>
      </c>
      <c r="M13561" t="s">
        <v>41212</v>
      </c>
      <c r="N13561" t="s">
        <v>44905</v>
      </c>
      <c r="O13561" t="s">
        <v>44906</v>
      </c>
      <c r="P13561">
        <v>0</v>
      </c>
      <c r="Q13561">
        <v>0</v>
      </c>
      <c r="R13561" t="s">
        <v>44923</v>
      </c>
      <c r="S13561" t="s">
        <v>45744</v>
      </c>
      <c r="T13561" t="s">
        <v>46393</v>
      </c>
      <c r="U13561" t="s">
        <v>57722</v>
      </c>
      <c r="W13561" t="s">
        <v>41212</v>
      </c>
      <c r="X13561" t="s">
        <v>44924</v>
      </c>
    </row>
    <row r="13562" spans="1:24">
      <c r="A13562">
        <f>HYPERLINK("https://www.philgeps.gov.ph/GEPSNONPILOT/Tender/SplashBidNoticeAbstractUI.aspx?menuIndex=3&amp;refID=7047441&amp;Result=3","7047441")</f>
        <v>0</v>
      </c>
      <c r="B13562" t="s">
        <v>1586</v>
      </c>
      <c r="C13562" t="s">
        <v>16497</v>
      </c>
      <c r="D13562" t="s">
        <v>18112</v>
      </c>
      <c r="E13562" t="s">
        <v>29917</v>
      </c>
      <c r="F13562" t="s">
        <v>31362</v>
      </c>
      <c r="G13562" t="s">
        <v>31369</v>
      </c>
      <c r="H13562" t="s">
        <v>31378</v>
      </c>
      <c r="I13562" t="s">
        <v>3815</v>
      </c>
      <c r="J13562" t="s">
        <v>39725</v>
      </c>
      <c r="K13562" t="s">
        <v>40683</v>
      </c>
      <c r="M13562" t="s">
        <v>42642</v>
      </c>
      <c r="N13562" t="s">
        <v>44905</v>
      </c>
      <c r="O13562" t="s">
        <v>44906</v>
      </c>
      <c r="Q13562">
        <v>5</v>
      </c>
      <c r="R13562" t="s">
        <v>44923</v>
      </c>
      <c r="S13562" t="s">
        <v>45143</v>
      </c>
      <c r="T13562" t="s">
        <v>46507</v>
      </c>
      <c r="U13562" t="s">
        <v>57745</v>
      </c>
      <c r="V13562" t="s">
        <v>60599</v>
      </c>
      <c r="W13562" t="s">
        <v>42642</v>
      </c>
      <c r="X13562" t="s">
        <v>44924</v>
      </c>
    </row>
    <row r="13563" spans="1:24">
      <c r="A13563">
        <f>HYPERLINK("https://www.philgeps.gov.ph/GEPSNONPILOT/Tender/SplashBidNoticeAbstractUI.aspx?menuIndex=3&amp;refID=7047558&amp;Result=3","7047558")</f>
        <v>0</v>
      </c>
      <c r="B13563" t="s">
        <v>3382</v>
      </c>
      <c r="C13563" t="s">
        <v>16498</v>
      </c>
      <c r="D13563" t="s">
        <v>18106</v>
      </c>
      <c r="E13563" t="s">
        <v>29918</v>
      </c>
      <c r="F13563" t="s">
        <v>31362</v>
      </c>
      <c r="G13563" t="s">
        <v>31369</v>
      </c>
      <c r="H13563" t="s">
        <v>15799</v>
      </c>
      <c r="I13563" t="s">
        <v>31456</v>
      </c>
      <c r="J13563" t="s">
        <v>39726</v>
      </c>
      <c r="K13563" t="s">
        <v>40672</v>
      </c>
      <c r="M13563" t="s">
        <v>44690</v>
      </c>
      <c r="N13563" t="s">
        <v>44905</v>
      </c>
      <c r="O13563" t="s">
        <v>44906</v>
      </c>
      <c r="P13563">
        <v>0</v>
      </c>
      <c r="Q13563">
        <v>6</v>
      </c>
      <c r="R13563" t="s">
        <v>44923</v>
      </c>
      <c r="S13563" t="s">
        <v>45744</v>
      </c>
      <c r="T13563" t="s">
        <v>46444</v>
      </c>
      <c r="U13563" t="s">
        <v>57746</v>
      </c>
      <c r="W13563" t="s">
        <v>44690</v>
      </c>
      <c r="X13563" t="s">
        <v>44924</v>
      </c>
    </row>
    <row r="13564" spans="1:24">
      <c r="A13564">
        <f>HYPERLINK("https://www.philgeps.gov.ph/GEPSNONPILOT/Tender/SplashBidNoticeAbstractUI.aspx?menuIndex=3&amp;refID=7047720&amp;Result=3","7047720")</f>
        <v>0</v>
      </c>
      <c r="B13564" t="s">
        <v>270</v>
      </c>
      <c r="C13564" t="s">
        <v>16499</v>
      </c>
      <c r="D13564" t="s">
        <v>18166</v>
      </c>
      <c r="E13564" t="s">
        <v>29919</v>
      </c>
      <c r="F13564" t="s">
        <v>31362</v>
      </c>
      <c r="G13564" t="s">
        <v>31369</v>
      </c>
      <c r="H13564" t="s">
        <v>15799</v>
      </c>
      <c r="I13564" t="s">
        <v>31430</v>
      </c>
      <c r="J13564" t="s">
        <v>39727</v>
      </c>
      <c r="K13564" t="s">
        <v>40661</v>
      </c>
      <c r="M13564" t="s">
        <v>41212</v>
      </c>
      <c r="N13564" t="s">
        <v>44905</v>
      </c>
      <c r="O13564" t="s">
        <v>44906</v>
      </c>
      <c r="P13564">
        <v>0</v>
      </c>
      <c r="Q13564">
        <v>4</v>
      </c>
      <c r="R13564" t="s">
        <v>44923</v>
      </c>
      <c r="S13564" t="s">
        <v>45744</v>
      </c>
      <c r="T13564" t="s">
        <v>46393</v>
      </c>
      <c r="U13564" t="s">
        <v>57747</v>
      </c>
      <c r="W13564" t="s">
        <v>41212</v>
      </c>
      <c r="X13564" t="s">
        <v>44924</v>
      </c>
    </row>
    <row r="13565" spans="1:24">
      <c r="A13565">
        <f>HYPERLINK("https://www.philgeps.gov.ph/GEPSNONPILOT/Tender/SplashBidNoticeAbstractUI.aspx?menuIndex=3&amp;refID=7047451&amp;Result=3","7047451")</f>
        <v>0</v>
      </c>
      <c r="B13565" t="s">
        <v>1110</v>
      </c>
      <c r="C13565" t="s">
        <v>16500</v>
      </c>
      <c r="D13565" t="s">
        <v>18153</v>
      </c>
      <c r="E13565" t="s">
        <v>29920</v>
      </c>
      <c r="F13565" t="s">
        <v>31362</v>
      </c>
      <c r="G13565" t="s">
        <v>31369</v>
      </c>
      <c r="H13565" t="s">
        <v>31378</v>
      </c>
      <c r="I13565" t="s">
        <v>31386</v>
      </c>
      <c r="J13565" t="s">
        <v>33444</v>
      </c>
      <c r="K13565" t="s">
        <v>40737</v>
      </c>
      <c r="M13565" t="s">
        <v>42115</v>
      </c>
      <c r="N13565" t="s">
        <v>44905</v>
      </c>
      <c r="O13565" t="s">
        <v>44906</v>
      </c>
      <c r="P13565">
        <v>0</v>
      </c>
      <c r="Q13565">
        <v>0</v>
      </c>
      <c r="R13565" t="s">
        <v>44923</v>
      </c>
      <c r="S13565" t="s">
        <v>45744</v>
      </c>
      <c r="T13565" t="s">
        <v>46483</v>
      </c>
      <c r="U13565" t="s">
        <v>57748</v>
      </c>
      <c r="W13565" t="s">
        <v>42115</v>
      </c>
      <c r="X13565" t="s">
        <v>44924</v>
      </c>
    </row>
    <row r="13566" spans="1:24">
      <c r="A13566">
        <f>HYPERLINK("https://www.philgeps.gov.ph/GEPSNONPILOT/Tender/SplashBidNoticeAbstractUI.aspx?menuIndex=3&amp;refID=7052606&amp;Result=3","7052606")</f>
        <v>0</v>
      </c>
      <c r="B13566" t="s">
        <v>2875</v>
      </c>
      <c r="C13566" t="s">
        <v>16501</v>
      </c>
      <c r="D13566" t="s">
        <v>18100</v>
      </c>
      <c r="E13566" t="s">
        <v>20720</v>
      </c>
      <c r="F13566" t="s">
        <v>31362</v>
      </c>
      <c r="G13566" t="s">
        <v>31368</v>
      </c>
      <c r="H13566" t="s">
        <v>15799</v>
      </c>
      <c r="I13566" t="s">
        <v>3815</v>
      </c>
      <c r="J13566" t="s">
        <v>31564</v>
      </c>
      <c r="K13566" t="s">
        <v>40693</v>
      </c>
      <c r="M13566" t="s">
        <v>44084</v>
      </c>
      <c r="N13566" t="s">
        <v>44905</v>
      </c>
      <c r="O13566" t="s">
        <v>44906</v>
      </c>
      <c r="P13566">
        <v>0</v>
      </c>
      <c r="Q13566">
        <v>0</v>
      </c>
      <c r="R13566" t="s">
        <v>44922</v>
      </c>
      <c r="S13566" t="s">
        <v>45639</v>
      </c>
      <c r="T13566" t="s">
        <v>46443</v>
      </c>
      <c r="U13566" t="s">
        <v>57749</v>
      </c>
      <c r="W13566" t="s">
        <v>44084</v>
      </c>
      <c r="X13566" t="s">
        <v>44923</v>
      </c>
    </row>
    <row r="13567" spans="1:24">
      <c r="A13567">
        <f>HYPERLINK("https://www.philgeps.gov.ph/GEPSNONPILOT/Tender/SplashBidNoticeAbstractUI.aspx?menuIndex=3&amp;refID=7047319&amp;Result=3","7047319")</f>
        <v>0</v>
      </c>
      <c r="B13567" t="s">
        <v>3383</v>
      </c>
      <c r="C13567" t="s">
        <v>16502</v>
      </c>
      <c r="D13567" t="s">
        <v>18164</v>
      </c>
      <c r="E13567" t="s">
        <v>29921</v>
      </c>
      <c r="F13567" t="s">
        <v>31362</v>
      </c>
      <c r="G13567" t="s">
        <v>31369</v>
      </c>
      <c r="H13567" t="s">
        <v>15799</v>
      </c>
      <c r="I13567" t="s">
        <v>3815</v>
      </c>
      <c r="J13567" t="s">
        <v>35138</v>
      </c>
      <c r="K13567" t="s">
        <v>40670</v>
      </c>
      <c r="M13567" t="s">
        <v>44691</v>
      </c>
      <c r="N13567" t="s">
        <v>44905</v>
      </c>
      <c r="O13567" t="s">
        <v>44906</v>
      </c>
      <c r="P13567">
        <v>0</v>
      </c>
      <c r="Q13567">
        <v>0</v>
      </c>
      <c r="R13567" t="s">
        <v>44923</v>
      </c>
      <c r="S13567" t="s">
        <v>45744</v>
      </c>
      <c r="T13567" t="s">
        <v>46510</v>
      </c>
      <c r="U13567" t="s">
        <v>57750</v>
      </c>
      <c r="V13567" t="s">
        <v>60600</v>
      </c>
      <c r="W13567" t="s">
        <v>44691</v>
      </c>
      <c r="X13567" t="s">
        <v>44924</v>
      </c>
    </row>
    <row r="13568" spans="1:24">
      <c r="A13568">
        <f>HYPERLINK("https://www.philgeps.gov.ph/GEPSNONPILOT/Tender/SplashBidNoticeAbstractUI.aspx?menuIndex=3&amp;refID=7047702&amp;Result=3","7047702")</f>
        <v>0</v>
      </c>
      <c r="B13568" t="s">
        <v>238</v>
      </c>
      <c r="C13568" t="s">
        <v>16503</v>
      </c>
      <c r="D13568" t="s">
        <v>18163</v>
      </c>
      <c r="E13568" t="s">
        <v>29922</v>
      </c>
      <c r="F13568" t="s">
        <v>31362</v>
      </c>
      <c r="G13568" t="s">
        <v>31369</v>
      </c>
      <c r="H13568" t="s">
        <v>15799</v>
      </c>
      <c r="I13568" t="s">
        <v>31409</v>
      </c>
      <c r="J13568" t="s">
        <v>39728</v>
      </c>
      <c r="K13568" t="s">
        <v>40665</v>
      </c>
      <c r="M13568" t="s">
        <v>41177</v>
      </c>
      <c r="N13568" t="s">
        <v>44905</v>
      </c>
      <c r="O13568" t="s">
        <v>44906</v>
      </c>
      <c r="P13568">
        <v>0</v>
      </c>
      <c r="Q13568">
        <v>5</v>
      </c>
      <c r="R13568" t="s">
        <v>44923</v>
      </c>
      <c r="S13568" t="s">
        <v>45744</v>
      </c>
      <c r="T13568" t="s">
        <v>46393</v>
      </c>
      <c r="U13568" t="s">
        <v>57751</v>
      </c>
      <c r="V13568" t="s">
        <v>59537</v>
      </c>
      <c r="W13568" t="s">
        <v>41177</v>
      </c>
      <c r="X13568" t="s">
        <v>44924</v>
      </c>
    </row>
    <row r="13569" spans="1:24">
      <c r="A13569">
        <f>HYPERLINK("https://www.philgeps.gov.ph/GEPSNONPILOT/Tender/SplashBidNoticeAbstractUI.aspx?menuIndex=3&amp;refID=7047696&amp;Result=3","7047696")</f>
        <v>0</v>
      </c>
      <c r="B13569" t="s">
        <v>642</v>
      </c>
      <c r="C13569" t="s">
        <v>16504</v>
      </c>
      <c r="D13569" t="s">
        <v>18138</v>
      </c>
      <c r="E13569" t="s">
        <v>29923</v>
      </c>
      <c r="F13569" t="s">
        <v>31362</v>
      </c>
      <c r="G13569" t="s">
        <v>31369</v>
      </c>
      <c r="H13569" t="s">
        <v>15799</v>
      </c>
      <c r="I13569" t="s">
        <v>7090</v>
      </c>
      <c r="J13569" t="s">
        <v>39729</v>
      </c>
      <c r="K13569" t="s">
        <v>40665</v>
      </c>
      <c r="M13569" t="s">
        <v>41602</v>
      </c>
      <c r="N13569" t="s">
        <v>44905</v>
      </c>
      <c r="O13569" t="s">
        <v>44906</v>
      </c>
      <c r="Q13569">
        <v>3</v>
      </c>
      <c r="R13569" t="s">
        <v>44923</v>
      </c>
      <c r="S13569" t="s">
        <v>45759</v>
      </c>
      <c r="T13569" t="s">
        <v>46872</v>
      </c>
      <c r="U13569" t="s">
        <v>57752</v>
      </c>
      <c r="W13569" t="s">
        <v>41602</v>
      </c>
      <c r="X13569" t="s">
        <v>44924</v>
      </c>
    </row>
    <row r="13570" spans="1:24">
      <c r="A13570">
        <f>HYPERLINK("https://www.philgeps.gov.ph/GEPSNONPILOT/Tender/SplashBidNoticeAbstractUI.aspx?menuIndex=3&amp;refID=7047695&amp;Result=3","7047695")</f>
        <v>0</v>
      </c>
      <c r="B13570" t="s">
        <v>3384</v>
      </c>
      <c r="C13570" t="s">
        <v>16505</v>
      </c>
      <c r="D13570" t="s">
        <v>18149</v>
      </c>
      <c r="E13570" t="s">
        <v>29924</v>
      </c>
      <c r="F13570" t="s">
        <v>31362</v>
      </c>
      <c r="G13570" t="s">
        <v>31369</v>
      </c>
      <c r="H13570" t="s">
        <v>31378</v>
      </c>
      <c r="I13570" t="s">
        <v>31386</v>
      </c>
      <c r="J13570" t="s">
        <v>39730</v>
      </c>
      <c r="K13570" t="s">
        <v>40695</v>
      </c>
      <c r="M13570" t="s">
        <v>44692</v>
      </c>
      <c r="N13570" t="s">
        <v>44905</v>
      </c>
      <c r="O13570" t="s">
        <v>44906</v>
      </c>
      <c r="P13570">
        <v>0</v>
      </c>
      <c r="Q13570">
        <v>0</v>
      </c>
      <c r="R13570" t="s">
        <v>44923</v>
      </c>
      <c r="S13570" t="s">
        <v>45744</v>
      </c>
      <c r="T13570" t="s">
        <v>46425</v>
      </c>
      <c r="U13570" t="s">
        <v>57753</v>
      </c>
      <c r="W13570" t="s">
        <v>44692</v>
      </c>
      <c r="X13570" t="s">
        <v>44924</v>
      </c>
    </row>
    <row r="13571" spans="1:24">
      <c r="A13571">
        <f>HYPERLINK("https://www.philgeps.gov.ph/GEPSNONPILOT/Tender/SplashBidNoticeAbstractUI.aspx?menuIndex=3&amp;refID=7047458&amp;Result=3","7047458")</f>
        <v>0</v>
      </c>
      <c r="B13571" t="s">
        <v>3028</v>
      </c>
      <c r="C13571" t="s">
        <v>16506</v>
      </c>
      <c r="D13571" t="s">
        <v>18125</v>
      </c>
      <c r="E13571" t="s">
        <v>29925</v>
      </c>
      <c r="F13571" t="s">
        <v>31362</v>
      </c>
      <c r="G13571" t="s">
        <v>31369</v>
      </c>
      <c r="H13571" t="s">
        <v>15799</v>
      </c>
      <c r="I13571" t="s">
        <v>31444</v>
      </c>
      <c r="J13571" t="s">
        <v>31708</v>
      </c>
      <c r="K13571" t="s">
        <v>40666</v>
      </c>
      <c r="M13571" t="s">
        <v>44261</v>
      </c>
      <c r="N13571" t="s">
        <v>44905</v>
      </c>
      <c r="O13571" t="s">
        <v>44906</v>
      </c>
      <c r="P13571">
        <v>0</v>
      </c>
      <c r="Q13571">
        <v>3</v>
      </c>
      <c r="R13571" t="s">
        <v>44923</v>
      </c>
      <c r="S13571" t="s">
        <v>45744</v>
      </c>
      <c r="T13571" t="s">
        <v>46410</v>
      </c>
      <c r="U13571" t="s">
        <v>57754</v>
      </c>
      <c r="W13571" t="s">
        <v>44261</v>
      </c>
      <c r="X13571" t="s">
        <v>44924</v>
      </c>
    </row>
    <row r="13572" spans="1:24">
      <c r="A13572">
        <f>HYPERLINK("https://www.philgeps.gov.ph/GEPSNONPILOT/Tender/SplashBidNoticeAbstractUI.aspx?menuIndex=3&amp;refID=7047666&amp;Result=3","7047666")</f>
        <v>0</v>
      </c>
      <c r="B13572" t="s">
        <v>34</v>
      </c>
      <c r="C13572" t="s">
        <v>16507</v>
      </c>
      <c r="D13572" t="s">
        <v>18107</v>
      </c>
      <c r="E13572" t="s">
        <v>22931</v>
      </c>
      <c r="F13572" t="s">
        <v>31362</v>
      </c>
      <c r="G13572" t="s">
        <v>31369</v>
      </c>
      <c r="H13572" t="s">
        <v>15799</v>
      </c>
      <c r="I13572" t="s">
        <v>31414</v>
      </c>
      <c r="J13572" t="s">
        <v>39100</v>
      </c>
      <c r="K13572" t="s">
        <v>40682</v>
      </c>
      <c r="M13572" t="s">
        <v>40968</v>
      </c>
      <c r="N13572" t="s">
        <v>44905</v>
      </c>
      <c r="O13572" t="s">
        <v>44906</v>
      </c>
      <c r="P13572">
        <v>0</v>
      </c>
      <c r="Q13572">
        <v>3</v>
      </c>
      <c r="R13572" t="s">
        <v>44923</v>
      </c>
      <c r="S13572" t="s">
        <v>45744</v>
      </c>
      <c r="T13572" t="s">
        <v>46393</v>
      </c>
      <c r="U13572" t="s">
        <v>57755</v>
      </c>
      <c r="V13572" t="s">
        <v>60221</v>
      </c>
      <c r="W13572" t="s">
        <v>40968</v>
      </c>
      <c r="X13572" t="s">
        <v>44924</v>
      </c>
    </row>
    <row r="13573" spans="1:24">
      <c r="A13573">
        <f>HYPERLINK("https://www.philgeps.gov.ph/GEPSNONPILOT/Tender/SplashBidNoticeAbstractUI.aspx?menuIndex=3&amp;refID=7047511&amp;Result=3","7047511")</f>
        <v>0</v>
      </c>
      <c r="B13573" t="s">
        <v>3382</v>
      </c>
      <c r="C13573" t="s">
        <v>16508</v>
      </c>
      <c r="D13573" t="s">
        <v>18106</v>
      </c>
      <c r="E13573" t="s">
        <v>29926</v>
      </c>
      <c r="F13573" t="s">
        <v>31362</v>
      </c>
      <c r="G13573" t="s">
        <v>31369</v>
      </c>
      <c r="H13573" t="s">
        <v>15799</v>
      </c>
      <c r="I13573" t="s">
        <v>31456</v>
      </c>
      <c r="J13573" t="s">
        <v>31611</v>
      </c>
      <c r="K13573" t="s">
        <v>40672</v>
      </c>
      <c r="M13573" t="s">
        <v>44690</v>
      </c>
      <c r="N13573" t="s">
        <v>44905</v>
      </c>
      <c r="O13573" t="s">
        <v>44906</v>
      </c>
      <c r="P13573">
        <v>0</v>
      </c>
      <c r="Q13573">
        <v>11</v>
      </c>
      <c r="R13573" t="s">
        <v>44923</v>
      </c>
      <c r="S13573" t="s">
        <v>45744</v>
      </c>
      <c r="T13573" t="s">
        <v>46426</v>
      </c>
      <c r="U13573" t="s">
        <v>57756</v>
      </c>
      <c r="W13573" t="s">
        <v>44690</v>
      </c>
      <c r="X13573" t="s">
        <v>44924</v>
      </c>
    </row>
    <row r="13574" spans="1:24">
      <c r="A13574">
        <f>HYPERLINK("https://www.philgeps.gov.ph/GEPSNONPILOT/Tender/SplashBidNoticeAbstractUI.aspx?menuIndex=3&amp;refID=7047645&amp;Result=3","7047645")</f>
        <v>0</v>
      </c>
      <c r="B13574" t="s">
        <v>3379</v>
      </c>
      <c r="C13574" t="s">
        <v>16509</v>
      </c>
      <c r="D13574" t="s">
        <v>18157</v>
      </c>
      <c r="E13574" t="s">
        <v>29927</v>
      </c>
      <c r="F13574" t="s">
        <v>31362</v>
      </c>
      <c r="G13574" t="s">
        <v>31369</v>
      </c>
      <c r="H13574" t="s">
        <v>15799</v>
      </c>
      <c r="I13574" t="s">
        <v>3815</v>
      </c>
      <c r="J13574" t="s">
        <v>39731</v>
      </c>
      <c r="K13574" t="s">
        <v>40758</v>
      </c>
      <c r="L13574" t="s">
        <v>3379</v>
      </c>
      <c r="M13574" t="s">
        <v>44686</v>
      </c>
      <c r="N13574" t="s">
        <v>44905</v>
      </c>
      <c r="O13574" t="s">
        <v>44906</v>
      </c>
      <c r="P13574">
        <v>0</v>
      </c>
      <c r="Q13574">
        <v>0</v>
      </c>
      <c r="R13574" t="s">
        <v>44923</v>
      </c>
      <c r="S13574" t="s">
        <v>45744</v>
      </c>
      <c r="T13574" t="s">
        <v>46667</v>
      </c>
      <c r="U13574" t="s">
        <v>57735</v>
      </c>
      <c r="V13574" t="s">
        <v>60595</v>
      </c>
      <c r="W13574" t="s">
        <v>44686</v>
      </c>
      <c r="X13574" t="s">
        <v>44924</v>
      </c>
    </row>
    <row r="13575" spans="1:24">
      <c r="A13575">
        <f>HYPERLINK("https://www.philgeps.gov.ph/GEPSNONPILOT/Tender/SplashBidNoticeAbstractUI.aspx?menuIndex=3&amp;refID=7047627&amp;Result=3","7047627")</f>
        <v>0</v>
      </c>
      <c r="B13575" t="s">
        <v>2244</v>
      </c>
      <c r="C13575" t="s">
        <v>16510</v>
      </c>
      <c r="D13575" t="s">
        <v>18126</v>
      </c>
      <c r="E13575" t="s">
        <v>29928</v>
      </c>
      <c r="F13575" t="s">
        <v>31362</v>
      </c>
      <c r="G13575" t="s">
        <v>31369</v>
      </c>
      <c r="H13575" t="s">
        <v>15799</v>
      </c>
      <c r="I13575" t="s">
        <v>31409</v>
      </c>
      <c r="J13575" t="s">
        <v>33097</v>
      </c>
      <c r="K13575" t="s">
        <v>40682</v>
      </c>
      <c r="M13575" t="s">
        <v>43381</v>
      </c>
      <c r="N13575" t="s">
        <v>44905</v>
      </c>
      <c r="O13575" t="s">
        <v>44906</v>
      </c>
      <c r="P13575">
        <v>0</v>
      </c>
      <c r="Q13575">
        <v>7</v>
      </c>
      <c r="R13575" t="s">
        <v>44923</v>
      </c>
      <c r="S13575" t="s">
        <v>45744</v>
      </c>
      <c r="T13575" t="s">
        <v>46410</v>
      </c>
      <c r="U13575" t="s">
        <v>57757</v>
      </c>
      <c r="W13575" t="s">
        <v>60925</v>
      </c>
      <c r="X13575" t="s">
        <v>44924</v>
      </c>
    </row>
    <row r="13576" spans="1:24">
      <c r="A13576">
        <f>HYPERLINK("https://www.philgeps.gov.ph/GEPSNONPILOT/Tender/SplashBidNoticeAbstractUI.aspx?menuIndex=3&amp;refID=7047708&amp;Result=3","7047708")</f>
        <v>0</v>
      </c>
      <c r="B13576" t="s">
        <v>2287</v>
      </c>
      <c r="C13576" t="s">
        <v>16511</v>
      </c>
      <c r="D13576" t="s">
        <v>18130</v>
      </c>
      <c r="E13576" t="s">
        <v>29929</v>
      </c>
      <c r="F13576" t="s">
        <v>31362</v>
      </c>
      <c r="G13576" t="s">
        <v>31369</v>
      </c>
      <c r="H13576" t="s">
        <v>15799</v>
      </c>
      <c r="I13576" t="s">
        <v>31404</v>
      </c>
      <c r="J13576" t="s">
        <v>39732</v>
      </c>
      <c r="K13576" t="s">
        <v>40665</v>
      </c>
      <c r="M13576" t="s">
        <v>43427</v>
      </c>
      <c r="N13576" t="s">
        <v>44905</v>
      </c>
      <c r="O13576" t="s">
        <v>44906</v>
      </c>
      <c r="P13576">
        <v>0</v>
      </c>
      <c r="Q13576">
        <v>0</v>
      </c>
      <c r="R13576" t="s">
        <v>44923</v>
      </c>
      <c r="S13576" t="s">
        <v>45744</v>
      </c>
      <c r="T13576" t="s">
        <v>46532</v>
      </c>
      <c r="U13576" t="s">
        <v>57758</v>
      </c>
      <c r="V13576" t="s">
        <v>60601</v>
      </c>
      <c r="W13576" t="s">
        <v>43427</v>
      </c>
      <c r="X13576" t="s">
        <v>44924</v>
      </c>
    </row>
    <row r="13577" spans="1:24">
      <c r="A13577">
        <f>HYPERLINK("https://www.philgeps.gov.ph/GEPSNONPILOT/Tender/SplashBidNoticeAbstractUI.aspx?menuIndex=3&amp;refID=7047634&amp;Result=3","7047634")</f>
        <v>0</v>
      </c>
      <c r="B13577" t="s">
        <v>3385</v>
      </c>
      <c r="C13577" t="s">
        <v>16512</v>
      </c>
      <c r="D13577" t="s">
        <v>18159</v>
      </c>
      <c r="E13577" t="s">
        <v>26986</v>
      </c>
      <c r="F13577" t="s">
        <v>31362</v>
      </c>
      <c r="G13577" t="s">
        <v>31369</v>
      </c>
      <c r="H13577" t="s">
        <v>31378</v>
      </c>
      <c r="I13577" t="s">
        <v>31386</v>
      </c>
      <c r="J13577" t="s">
        <v>31625</v>
      </c>
      <c r="K13577" t="s">
        <v>40675</v>
      </c>
      <c r="M13577" t="s">
        <v>44693</v>
      </c>
      <c r="N13577" t="s">
        <v>44905</v>
      </c>
      <c r="O13577" t="s">
        <v>44906</v>
      </c>
      <c r="P13577">
        <v>0</v>
      </c>
      <c r="Q13577">
        <v>0</v>
      </c>
      <c r="R13577" t="s">
        <v>44923</v>
      </c>
      <c r="S13577" t="s">
        <v>45744</v>
      </c>
      <c r="T13577" t="s">
        <v>46393</v>
      </c>
      <c r="U13577" t="s">
        <v>57759</v>
      </c>
      <c r="W13577" t="s">
        <v>44693</v>
      </c>
      <c r="X13577" t="s">
        <v>44924</v>
      </c>
    </row>
    <row r="13578" spans="1:24">
      <c r="A13578">
        <f>HYPERLINK("https://www.philgeps.gov.ph/GEPSNONPILOT/Tender/SplashBidNoticeAbstractUI.aspx?menuIndex=3&amp;refID=7047625&amp;Result=3","7047625")</f>
        <v>0</v>
      </c>
      <c r="B13578" t="s">
        <v>1453</v>
      </c>
      <c r="C13578" t="s">
        <v>16513</v>
      </c>
      <c r="D13578" t="s">
        <v>18101</v>
      </c>
      <c r="E13578" t="s">
        <v>29930</v>
      </c>
      <c r="F13578" t="s">
        <v>31362</v>
      </c>
      <c r="G13578" t="s">
        <v>31369</v>
      </c>
      <c r="H13578" t="s">
        <v>15799</v>
      </c>
      <c r="I13578" t="s">
        <v>31419</v>
      </c>
      <c r="J13578" t="s">
        <v>33446</v>
      </c>
      <c r="K13578" t="s">
        <v>40676</v>
      </c>
      <c r="M13578" t="s">
        <v>42484</v>
      </c>
      <c r="N13578" t="s">
        <v>44905</v>
      </c>
      <c r="O13578" t="s">
        <v>44906</v>
      </c>
      <c r="Q13578">
        <v>6</v>
      </c>
      <c r="R13578" t="s">
        <v>44923</v>
      </c>
      <c r="S13578" t="s">
        <v>45760</v>
      </c>
      <c r="T13578" t="s">
        <v>46432</v>
      </c>
      <c r="U13578" t="s">
        <v>57760</v>
      </c>
      <c r="W13578" t="s">
        <v>42484</v>
      </c>
      <c r="X13578" t="s">
        <v>44924</v>
      </c>
    </row>
    <row r="13579" spans="1:24">
      <c r="A13579">
        <f>HYPERLINK("https://www.philgeps.gov.ph/GEPSNONPILOT/Tender/SplashBidNoticeAbstractUI.aspx?menuIndex=3&amp;refID=7047611&amp;Result=3","7047611")</f>
        <v>0</v>
      </c>
      <c r="B13579" t="s">
        <v>487</v>
      </c>
      <c r="C13579" t="s">
        <v>16514</v>
      </c>
      <c r="E13579" t="s">
        <v>29931</v>
      </c>
      <c r="F13579" t="s">
        <v>31362</v>
      </c>
      <c r="G13579" t="s">
        <v>31369</v>
      </c>
      <c r="H13579" t="s">
        <v>31378</v>
      </c>
      <c r="I13579" t="s">
        <v>31386</v>
      </c>
      <c r="J13579" t="s">
        <v>31591</v>
      </c>
      <c r="K13579" t="s">
        <v>40662</v>
      </c>
      <c r="M13579" t="s">
        <v>41442</v>
      </c>
      <c r="N13579" t="s">
        <v>44905</v>
      </c>
      <c r="O13579" t="s">
        <v>44906</v>
      </c>
      <c r="P13579">
        <v>0</v>
      </c>
      <c r="Q13579">
        <v>0</v>
      </c>
      <c r="R13579" t="s">
        <v>44923</v>
      </c>
      <c r="S13579" t="s">
        <v>45744</v>
      </c>
      <c r="T13579" t="s">
        <v>46410</v>
      </c>
      <c r="U13579" t="s">
        <v>57761</v>
      </c>
      <c r="W13579" t="s">
        <v>41442</v>
      </c>
      <c r="X13579" t="s">
        <v>44924</v>
      </c>
    </row>
    <row r="13580" spans="1:24">
      <c r="A13580">
        <f>HYPERLINK("https://www.philgeps.gov.ph/GEPSNONPILOT/Tender/SplashBidNoticeAbstractUI.aspx?menuIndex=3&amp;refID=7047600&amp;Result=3","7047600")</f>
        <v>0</v>
      </c>
      <c r="B13580" t="s">
        <v>3017</v>
      </c>
      <c r="C13580" t="s">
        <v>16515</v>
      </c>
      <c r="D13580" t="s">
        <v>18106</v>
      </c>
      <c r="E13580" t="s">
        <v>29932</v>
      </c>
      <c r="F13580" t="s">
        <v>31362</v>
      </c>
      <c r="G13580" t="s">
        <v>31369</v>
      </c>
      <c r="H13580" t="s">
        <v>15799</v>
      </c>
      <c r="I13580" t="s">
        <v>31414</v>
      </c>
      <c r="J13580" t="s">
        <v>32198</v>
      </c>
      <c r="K13580" t="s">
        <v>40662</v>
      </c>
      <c r="M13580" t="s">
        <v>44248</v>
      </c>
      <c r="N13580" t="s">
        <v>44905</v>
      </c>
      <c r="O13580" t="s">
        <v>44906</v>
      </c>
      <c r="Q13580">
        <v>2</v>
      </c>
      <c r="R13580" t="s">
        <v>44923</v>
      </c>
      <c r="S13580" t="s">
        <v>45761</v>
      </c>
      <c r="T13580" t="s">
        <v>46498</v>
      </c>
      <c r="U13580" t="s">
        <v>57762</v>
      </c>
      <c r="W13580" t="s">
        <v>44248</v>
      </c>
      <c r="X13580" t="s">
        <v>44924</v>
      </c>
    </row>
    <row r="13581" spans="1:24">
      <c r="A13581">
        <f>HYPERLINK("https://www.philgeps.gov.ph/GEPSNONPILOT/Tender/SplashBidNoticeAbstractUI.aspx?menuIndex=3&amp;refID=7047591&amp;Result=3","7047591")</f>
        <v>0</v>
      </c>
      <c r="B13581" t="s">
        <v>3385</v>
      </c>
      <c r="C13581" t="s">
        <v>16516</v>
      </c>
      <c r="D13581" t="s">
        <v>18159</v>
      </c>
      <c r="E13581" t="s">
        <v>19877</v>
      </c>
      <c r="F13581" t="s">
        <v>31362</v>
      </c>
      <c r="G13581" t="s">
        <v>31369</v>
      </c>
      <c r="H13581" t="s">
        <v>31378</v>
      </c>
      <c r="I13581" t="s">
        <v>31386</v>
      </c>
      <c r="J13581" t="s">
        <v>31542</v>
      </c>
      <c r="K13581" t="s">
        <v>40711</v>
      </c>
      <c r="M13581" t="s">
        <v>44693</v>
      </c>
      <c r="N13581" t="s">
        <v>44905</v>
      </c>
      <c r="O13581" t="s">
        <v>44906</v>
      </c>
      <c r="Q13581">
        <v>1</v>
      </c>
      <c r="R13581" t="s">
        <v>44923</v>
      </c>
      <c r="S13581" t="s">
        <v>45762</v>
      </c>
      <c r="T13581" t="s">
        <v>46873</v>
      </c>
      <c r="U13581" t="s">
        <v>57763</v>
      </c>
      <c r="W13581" t="s">
        <v>44693</v>
      </c>
      <c r="X13581" t="s">
        <v>44924</v>
      </c>
    </row>
    <row r="13582" spans="1:24">
      <c r="A13582">
        <f>HYPERLINK("https://www.philgeps.gov.ph/GEPSNONPILOT/Tender/SplashBidNoticeAbstractUI.aspx?menuIndex=3&amp;refID=7047668&amp;Result=3","7047668")</f>
        <v>0</v>
      </c>
      <c r="B13582" t="s">
        <v>3386</v>
      </c>
      <c r="C13582" t="s">
        <v>16517</v>
      </c>
      <c r="D13582" t="s">
        <v>18100</v>
      </c>
      <c r="E13582" t="s">
        <v>29933</v>
      </c>
      <c r="F13582" t="s">
        <v>31362</v>
      </c>
      <c r="G13582" t="s">
        <v>31369</v>
      </c>
      <c r="H13582" t="s">
        <v>15799</v>
      </c>
      <c r="I13582" t="s">
        <v>6373</v>
      </c>
      <c r="J13582" t="s">
        <v>39733</v>
      </c>
      <c r="K13582" t="s">
        <v>40670</v>
      </c>
      <c r="L13582" t="s">
        <v>3386</v>
      </c>
      <c r="M13582" t="s">
        <v>44694</v>
      </c>
      <c r="N13582" t="s">
        <v>44905</v>
      </c>
      <c r="O13582" t="s">
        <v>44906</v>
      </c>
      <c r="P13582">
        <v>0</v>
      </c>
      <c r="Q13582">
        <v>14</v>
      </c>
      <c r="R13582" t="s">
        <v>44923</v>
      </c>
      <c r="S13582" t="s">
        <v>45744</v>
      </c>
      <c r="T13582" t="s">
        <v>46393</v>
      </c>
      <c r="U13582" t="s">
        <v>57764</v>
      </c>
      <c r="W13582" t="s">
        <v>44694</v>
      </c>
      <c r="X13582" t="s">
        <v>44924</v>
      </c>
    </row>
    <row r="13583" spans="1:24">
      <c r="A13583">
        <f>HYPERLINK("https://www.philgeps.gov.ph/GEPSNONPILOT/Tender/SplashBidNoticeAbstractUI.aspx?menuIndex=3&amp;refID=7047715&amp;Result=3","7047715")</f>
        <v>0</v>
      </c>
      <c r="B13583" t="s">
        <v>3379</v>
      </c>
      <c r="C13583" t="s">
        <v>16518</v>
      </c>
      <c r="D13583" t="s">
        <v>18157</v>
      </c>
      <c r="E13583" t="s">
        <v>29934</v>
      </c>
      <c r="F13583" t="s">
        <v>31362</v>
      </c>
      <c r="G13583" t="s">
        <v>31369</v>
      </c>
      <c r="H13583" t="s">
        <v>15799</v>
      </c>
      <c r="I13583" t="s">
        <v>3815</v>
      </c>
      <c r="J13583" t="s">
        <v>39734</v>
      </c>
      <c r="K13583" t="s">
        <v>40758</v>
      </c>
      <c r="L13583" t="s">
        <v>3379</v>
      </c>
      <c r="M13583" t="s">
        <v>44686</v>
      </c>
      <c r="N13583" t="s">
        <v>44905</v>
      </c>
      <c r="O13583" t="s">
        <v>44906</v>
      </c>
      <c r="P13583">
        <v>0</v>
      </c>
      <c r="Q13583">
        <v>0</v>
      </c>
      <c r="R13583" t="s">
        <v>44923</v>
      </c>
      <c r="S13583" t="s">
        <v>45744</v>
      </c>
      <c r="T13583" t="s">
        <v>46670</v>
      </c>
      <c r="U13583" t="s">
        <v>57735</v>
      </c>
      <c r="V13583" t="s">
        <v>60595</v>
      </c>
      <c r="W13583" t="s">
        <v>44686</v>
      </c>
      <c r="X13583" t="s">
        <v>44924</v>
      </c>
    </row>
    <row r="13584" spans="1:24">
      <c r="A13584">
        <f>HYPERLINK("https://www.philgeps.gov.ph/GEPSNONPILOT/Tender/SplashBidNoticeAbstractUI.aspx?menuIndex=3&amp;refID=7047423&amp;Result=3","7047423")</f>
        <v>0</v>
      </c>
      <c r="B13584" t="s">
        <v>1453</v>
      </c>
      <c r="C13584" t="s">
        <v>16519</v>
      </c>
      <c r="D13584" t="s">
        <v>18101</v>
      </c>
      <c r="E13584" t="s">
        <v>29935</v>
      </c>
      <c r="F13584" t="s">
        <v>31362</v>
      </c>
      <c r="G13584" t="s">
        <v>31369</v>
      </c>
      <c r="H13584" t="s">
        <v>31378</v>
      </c>
      <c r="I13584" t="s">
        <v>31386</v>
      </c>
      <c r="J13584" t="s">
        <v>39735</v>
      </c>
      <c r="K13584" t="s">
        <v>40682</v>
      </c>
      <c r="M13584" t="s">
        <v>42484</v>
      </c>
      <c r="N13584" t="s">
        <v>44905</v>
      </c>
      <c r="O13584" t="s">
        <v>44906</v>
      </c>
      <c r="P13584">
        <v>0</v>
      </c>
      <c r="Q13584">
        <v>0</v>
      </c>
      <c r="R13584" t="s">
        <v>44923</v>
      </c>
      <c r="S13584" t="s">
        <v>45744</v>
      </c>
      <c r="T13584" t="s">
        <v>46432</v>
      </c>
      <c r="U13584" t="s">
        <v>47185</v>
      </c>
      <c r="W13584" t="s">
        <v>42484</v>
      </c>
      <c r="X13584" t="s">
        <v>44924</v>
      </c>
    </row>
    <row r="13585" spans="1:24">
      <c r="A13585">
        <f>HYPERLINK("https://www.philgeps.gov.ph/GEPSNONPILOT/Tender/SplashBidNoticeAbstractUI.aspx?menuIndex=3&amp;refID=7047642&amp;Result=3","7047642")</f>
        <v>0</v>
      </c>
      <c r="B13585" t="s">
        <v>1453</v>
      </c>
      <c r="C13585" t="s">
        <v>16520</v>
      </c>
      <c r="D13585" t="s">
        <v>18101</v>
      </c>
      <c r="E13585" t="s">
        <v>29936</v>
      </c>
      <c r="F13585" t="s">
        <v>31362</v>
      </c>
      <c r="G13585" t="s">
        <v>31369</v>
      </c>
      <c r="H13585" t="s">
        <v>15799</v>
      </c>
      <c r="I13585" t="s">
        <v>31409</v>
      </c>
      <c r="J13585" t="s">
        <v>33446</v>
      </c>
      <c r="K13585" t="s">
        <v>40666</v>
      </c>
      <c r="M13585" t="s">
        <v>42484</v>
      </c>
      <c r="N13585" t="s">
        <v>44905</v>
      </c>
      <c r="O13585" t="s">
        <v>44906</v>
      </c>
      <c r="P13585">
        <v>0</v>
      </c>
      <c r="Q13585">
        <v>5</v>
      </c>
      <c r="R13585" t="s">
        <v>44923</v>
      </c>
      <c r="S13585" t="s">
        <v>45744</v>
      </c>
      <c r="T13585" t="s">
        <v>46432</v>
      </c>
      <c r="U13585" t="s">
        <v>55709</v>
      </c>
      <c r="W13585" t="s">
        <v>42484</v>
      </c>
      <c r="X13585" t="s">
        <v>44924</v>
      </c>
    </row>
    <row r="13586" spans="1:24">
      <c r="A13586">
        <f>HYPERLINK("https://www.philgeps.gov.ph/GEPSNONPILOT/Tender/SplashBidNoticeAbstractUI.aspx?menuIndex=3&amp;refID=7047408&amp;Result=3","7047408")</f>
        <v>0</v>
      </c>
      <c r="B13586" t="s">
        <v>1586</v>
      </c>
      <c r="C13586" t="s">
        <v>16521</v>
      </c>
      <c r="D13586" t="s">
        <v>18112</v>
      </c>
      <c r="E13586" t="s">
        <v>29937</v>
      </c>
      <c r="F13586" t="s">
        <v>31362</v>
      </c>
      <c r="G13586" t="s">
        <v>31369</v>
      </c>
      <c r="H13586" t="s">
        <v>31378</v>
      </c>
      <c r="I13586" t="s">
        <v>3815</v>
      </c>
      <c r="J13586" t="s">
        <v>32594</v>
      </c>
      <c r="K13586" t="s">
        <v>40811</v>
      </c>
      <c r="M13586" t="s">
        <v>42642</v>
      </c>
      <c r="N13586" t="s">
        <v>44905</v>
      </c>
      <c r="O13586" t="s">
        <v>44906</v>
      </c>
      <c r="Q13586">
        <v>10</v>
      </c>
      <c r="R13586" t="s">
        <v>44923</v>
      </c>
      <c r="S13586" t="s">
        <v>45763</v>
      </c>
      <c r="T13586" t="s">
        <v>46507</v>
      </c>
      <c r="U13586" t="s">
        <v>57765</v>
      </c>
      <c r="V13586" t="s">
        <v>60597</v>
      </c>
      <c r="W13586" t="s">
        <v>42642</v>
      </c>
      <c r="X13586" t="s">
        <v>44924</v>
      </c>
    </row>
    <row r="13587" spans="1:24">
      <c r="A13587">
        <f>HYPERLINK("https://www.philgeps.gov.ph/GEPSNONPILOT/Tender/SplashBidNoticeAbstractUI.aspx?menuIndex=3&amp;refID=7047402&amp;Result=3","7047402")</f>
        <v>0</v>
      </c>
      <c r="B13587" t="s">
        <v>1453</v>
      </c>
      <c r="C13587" t="s">
        <v>16522</v>
      </c>
      <c r="D13587" t="s">
        <v>18101</v>
      </c>
      <c r="E13587" t="s">
        <v>29938</v>
      </c>
      <c r="F13587" t="s">
        <v>31362</v>
      </c>
      <c r="G13587" t="s">
        <v>31369</v>
      </c>
      <c r="H13587" t="s">
        <v>31378</v>
      </c>
      <c r="I13587" t="s">
        <v>31386</v>
      </c>
      <c r="J13587" t="s">
        <v>39736</v>
      </c>
      <c r="K13587" t="s">
        <v>40686</v>
      </c>
      <c r="M13587" t="s">
        <v>42484</v>
      </c>
      <c r="N13587" t="s">
        <v>44905</v>
      </c>
      <c r="O13587" t="s">
        <v>44906</v>
      </c>
      <c r="P13587">
        <v>0</v>
      </c>
      <c r="Q13587">
        <v>0</v>
      </c>
      <c r="R13587" t="s">
        <v>44923</v>
      </c>
      <c r="S13587" t="s">
        <v>45744</v>
      </c>
      <c r="T13587" t="s">
        <v>46432</v>
      </c>
      <c r="U13587" t="s">
        <v>47185</v>
      </c>
      <c r="W13587" t="s">
        <v>42484</v>
      </c>
      <c r="X13587" t="s">
        <v>44924</v>
      </c>
    </row>
    <row r="13588" spans="1:24">
      <c r="A13588">
        <f>HYPERLINK("https://www.philgeps.gov.ph/GEPSNONPILOT/Tender/SplashBidNoticeAbstractUI.aspx?menuIndex=3&amp;refID=7047614&amp;Result=3","7047614")</f>
        <v>0</v>
      </c>
      <c r="B13588" t="s">
        <v>3381</v>
      </c>
      <c r="C13588" t="s">
        <v>16523</v>
      </c>
      <c r="D13588" t="s">
        <v>18138</v>
      </c>
      <c r="E13588" t="s">
        <v>29939</v>
      </c>
      <c r="F13588" t="s">
        <v>31362</v>
      </c>
      <c r="G13588" t="s">
        <v>31369</v>
      </c>
      <c r="H13588" t="s">
        <v>31378</v>
      </c>
      <c r="I13588" t="s">
        <v>31386</v>
      </c>
      <c r="J13588" t="s">
        <v>39737</v>
      </c>
      <c r="K13588" t="s">
        <v>40662</v>
      </c>
      <c r="L13588" t="s">
        <v>3381</v>
      </c>
      <c r="M13588" t="s">
        <v>44688</v>
      </c>
      <c r="N13588" t="s">
        <v>44905</v>
      </c>
      <c r="O13588" t="s">
        <v>44906</v>
      </c>
      <c r="P13588">
        <v>0</v>
      </c>
      <c r="Q13588">
        <v>1</v>
      </c>
      <c r="R13588" t="s">
        <v>44923</v>
      </c>
      <c r="S13588" t="s">
        <v>45744</v>
      </c>
      <c r="T13588" t="s">
        <v>46425</v>
      </c>
      <c r="U13588" t="s">
        <v>57739</v>
      </c>
      <c r="W13588" t="s">
        <v>44688</v>
      </c>
      <c r="X13588" t="s">
        <v>44924</v>
      </c>
    </row>
    <row r="13589" spans="1:24">
      <c r="A13589">
        <f>HYPERLINK("https://www.philgeps.gov.ph/GEPSNONPILOT/Tender/SplashBidNoticeAbstractUI.aspx?menuIndex=3&amp;refID=7047667&amp;Result=3","7047667")</f>
        <v>0</v>
      </c>
      <c r="B13589" t="s">
        <v>3387</v>
      </c>
      <c r="C13589" t="s">
        <v>16524</v>
      </c>
      <c r="D13589" t="s">
        <v>18112</v>
      </c>
      <c r="E13589" t="s">
        <v>29940</v>
      </c>
      <c r="F13589" t="s">
        <v>31362</v>
      </c>
      <c r="G13589" t="s">
        <v>31369</v>
      </c>
      <c r="H13589" t="s">
        <v>31378</v>
      </c>
      <c r="I13589" t="s">
        <v>31386</v>
      </c>
      <c r="J13589" t="s">
        <v>31602</v>
      </c>
      <c r="K13589" t="s">
        <v>40780</v>
      </c>
      <c r="M13589" t="s">
        <v>44695</v>
      </c>
      <c r="N13589" t="s">
        <v>44905</v>
      </c>
      <c r="O13589" t="s">
        <v>44906</v>
      </c>
      <c r="P13589">
        <v>0</v>
      </c>
      <c r="Q13589">
        <v>5</v>
      </c>
      <c r="R13589" t="s">
        <v>44923</v>
      </c>
      <c r="S13589" t="s">
        <v>45744</v>
      </c>
      <c r="T13589" t="s">
        <v>46410</v>
      </c>
      <c r="U13589" t="s">
        <v>57766</v>
      </c>
      <c r="W13589" t="s">
        <v>44695</v>
      </c>
      <c r="X13589" t="s">
        <v>44924</v>
      </c>
    </row>
    <row r="13590" spans="1:24">
      <c r="A13590">
        <f>HYPERLINK("https://www.philgeps.gov.ph/GEPSNONPILOT/Tender/SplashBidNoticeAbstractUI.aspx?menuIndex=3&amp;refID=7047557&amp;Result=3","7047557")</f>
        <v>0</v>
      </c>
      <c r="B13590" t="s">
        <v>3385</v>
      </c>
      <c r="C13590" t="s">
        <v>16525</v>
      </c>
      <c r="D13590" t="s">
        <v>18159</v>
      </c>
      <c r="E13590" t="s">
        <v>20687</v>
      </c>
      <c r="F13590" t="s">
        <v>31362</v>
      </c>
      <c r="G13590" t="s">
        <v>31369</v>
      </c>
      <c r="H13590" t="s">
        <v>31378</v>
      </c>
      <c r="I13590" t="s">
        <v>31386</v>
      </c>
      <c r="J13590" t="s">
        <v>32549</v>
      </c>
      <c r="K13590" t="s">
        <v>40675</v>
      </c>
      <c r="M13590" t="s">
        <v>44693</v>
      </c>
      <c r="N13590" t="s">
        <v>44905</v>
      </c>
      <c r="O13590" t="s">
        <v>44906</v>
      </c>
      <c r="P13590">
        <v>0</v>
      </c>
      <c r="Q13590">
        <v>0</v>
      </c>
      <c r="R13590" t="s">
        <v>44923</v>
      </c>
      <c r="S13590" t="s">
        <v>45744</v>
      </c>
      <c r="T13590" t="s">
        <v>46393</v>
      </c>
      <c r="U13590" t="s">
        <v>57767</v>
      </c>
      <c r="W13590" t="s">
        <v>44693</v>
      </c>
      <c r="X13590" t="s">
        <v>44924</v>
      </c>
    </row>
    <row r="13591" spans="1:24">
      <c r="A13591">
        <f>HYPERLINK("https://www.philgeps.gov.ph/GEPSNONPILOT/Tender/SplashBidNoticeAbstractUI.aspx?menuIndex=3&amp;refID=7047410&amp;Result=3","7047410")</f>
        <v>0</v>
      </c>
      <c r="B13591" t="s">
        <v>1453</v>
      </c>
      <c r="C13591" t="s">
        <v>16526</v>
      </c>
      <c r="D13591" t="s">
        <v>18101</v>
      </c>
      <c r="E13591" t="s">
        <v>29941</v>
      </c>
      <c r="F13591" t="s">
        <v>31362</v>
      </c>
      <c r="G13591" t="s">
        <v>31369</v>
      </c>
      <c r="H13591" t="s">
        <v>31378</v>
      </c>
      <c r="I13591" t="s">
        <v>31386</v>
      </c>
      <c r="J13591" t="s">
        <v>39738</v>
      </c>
      <c r="K13591" t="s">
        <v>40682</v>
      </c>
      <c r="M13591" t="s">
        <v>42484</v>
      </c>
      <c r="N13591" t="s">
        <v>44905</v>
      </c>
      <c r="O13591" t="s">
        <v>44906</v>
      </c>
      <c r="P13591">
        <v>0</v>
      </c>
      <c r="Q13591">
        <v>0</v>
      </c>
      <c r="R13591" t="s">
        <v>44923</v>
      </c>
      <c r="S13591" t="s">
        <v>45744</v>
      </c>
      <c r="T13591" t="s">
        <v>46432</v>
      </c>
      <c r="U13591" t="s">
        <v>47185</v>
      </c>
      <c r="W13591" t="s">
        <v>42484</v>
      </c>
      <c r="X13591" t="s">
        <v>44924</v>
      </c>
    </row>
    <row r="13592" spans="1:24">
      <c r="A13592">
        <f>HYPERLINK("https://www.philgeps.gov.ph/GEPSNONPILOT/Tender/SplashBidNoticeAbstractUI.aspx?menuIndex=3&amp;refID=7047882&amp;Result=3","7047882")</f>
        <v>0</v>
      </c>
      <c r="B13592" t="s">
        <v>3388</v>
      </c>
      <c r="C13592" t="s">
        <v>16527</v>
      </c>
      <c r="D13592" t="s">
        <v>18134</v>
      </c>
      <c r="E13592" t="s">
        <v>29942</v>
      </c>
      <c r="F13592" t="s">
        <v>31363</v>
      </c>
      <c r="G13592" t="s">
        <v>31369</v>
      </c>
      <c r="H13592" t="s">
        <v>15799</v>
      </c>
      <c r="I13592" t="s">
        <v>3815</v>
      </c>
      <c r="J13592" t="s">
        <v>39739</v>
      </c>
      <c r="K13592" t="s">
        <v>40666</v>
      </c>
      <c r="M13592" t="s">
        <v>44696</v>
      </c>
      <c r="N13592" t="s">
        <v>44905</v>
      </c>
      <c r="O13592" t="s">
        <v>44906</v>
      </c>
      <c r="P13592">
        <v>0</v>
      </c>
      <c r="Q13592">
        <v>0</v>
      </c>
      <c r="R13592" t="s">
        <v>44923</v>
      </c>
      <c r="S13592" t="s">
        <v>45744</v>
      </c>
      <c r="T13592" t="s">
        <v>46447</v>
      </c>
      <c r="U13592" t="s">
        <v>57768</v>
      </c>
      <c r="V13592" t="s">
        <v>60602</v>
      </c>
      <c r="W13592" t="s">
        <v>44696</v>
      </c>
      <c r="X13592" t="s">
        <v>44924</v>
      </c>
    </row>
    <row r="13593" spans="1:24">
      <c r="A13593">
        <f>HYPERLINK("https://www.philgeps.gov.ph/GEPSNONPILOT/Tender/SplashBidNoticeAbstractUI.aspx?menuIndex=3&amp;refID=7047870&amp;Result=3","7047870")</f>
        <v>0</v>
      </c>
      <c r="B13593" t="s">
        <v>272</v>
      </c>
      <c r="C13593" t="s">
        <v>16528</v>
      </c>
      <c r="D13593" t="s">
        <v>18110</v>
      </c>
      <c r="E13593" t="s">
        <v>29943</v>
      </c>
      <c r="F13593" t="s">
        <v>31362</v>
      </c>
      <c r="G13593" t="s">
        <v>31369</v>
      </c>
      <c r="H13593" t="s">
        <v>15799</v>
      </c>
      <c r="I13593" t="s">
        <v>4283</v>
      </c>
      <c r="J13593" t="s">
        <v>39740</v>
      </c>
      <c r="K13593" t="s">
        <v>40679</v>
      </c>
      <c r="M13593" t="s">
        <v>41214</v>
      </c>
      <c r="N13593" t="s">
        <v>44905</v>
      </c>
      <c r="O13593" t="s">
        <v>44906</v>
      </c>
      <c r="P13593">
        <v>0</v>
      </c>
      <c r="Q13593">
        <v>6</v>
      </c>
      <c r="R13593" t="s">
        <v>44923</v>
      </c>
      <c r="S13593" t="s">
        <v>45744</v>
      </c>
      <c r="T13593" t="s">
        <v>46447</v>
      </c>
      <c r="U13593" t="s">
        <v>57769</v>
      </c>
      <c r="W13593" t="s">
        <v>60843</v>
      </c>
      <c r="X13593" t="s">
        <v>44924</v>
      </c>
    </row>
    <row r="13594" spans="1:24">
      <c r="A13594">
        <f>HYPERLINK("https://www.philgeps.gov.ph/GEPSNONPILOT/Tender/SplashBidNoticeAbstractUI.aspx?menuIndex=3&amp;refID=7047854&amp;Result=3","7047854")</f>
        <v>0</v>
      </c>
      <c r="B13594" t="s">
        <v>1774</v>
      </c>
      <c r="C13594" t="s">
        <v>16529</v>
      </c>
      <c r="D13594" t="s">
        <v>18112</v>
      </c>
      <c r="E13594" t="s">
        <v>29944</v>
      </c>
      <c r="F13594" t="s">
        <v>31362</v>
      </c>
      <c r="G13594" t="s">
        <v>31369</v>
      </c>
      <c r="H13594" t="s">
        <v>15799</v>
      </c>
      <c r="I13594" t="s">
        <v>31404</v>
      </c>
      <c r="J13594" t="s">
        <v>39741</v>
      </c>
      <c r="K13594" t="s">
        <v>40662</v>
      </c>
      <c r="M13594" t="s">
        <v>42852</v>
      </c>
      <c r="N13594" t="s">
        <v>44905</v>
      </c>
      <c r="O13594" t="s">
        <v>44906</v>
      </c>
      <c r="P13594">
        <v>0</v>
      </c>
      <c r="Q13594">
        <v>0</v>
      </c>
      <c r="R13594" t="s">
        <v>44923</v>
      </c>
      <c r="S13594" t="s">
        <v>45744</v>
      </c>
      <c r="T13594" t="s">
        <v>46447</v>
      </c>
      <c r="U13594" t="s">
        <v>57770</v>
      </c>
      <c r="V13594" t="s">
        <v>59584</v>
      </c>
      <c r="W13594" t="s">
        <v>42852</v>
      </c>
      <c r="X13594" t="s">
        <v>44924</v>
      </c>
    </row>
    <row r="13595" spans="1:24">
      <c r="A13595">
        <f>HYPERLINK("https://www.philgeps.gov.ph/GEPSNONPILOT/Tender/SplashBidNoticeAbstractUI.aspx?menuIndex=3&amp;refID=7047735&amp;Result=3","7047735")</f>
        <v>0</v>
      </c>
      <c r="B13595" t="s">
        <v>3336</v>
      </c>
      <c r="C13595" t="s">
        <v>16530</v>
      </c>
      <c r="D13595" t="s">
        <v>18133</v>
      </c>
      <c r="E13595" t="s">
        <v>23686</v>
      </c>
      <c r="F13595" t="s">
        <v>31362</v>
      </c>
      <c r="G13595" t="s">
        <v>31369</v>
      </c>
      <c r="H13595" t="s">
        <v>31378</v>
      </c>
      <c r="I13595" t="s">
        <v>31386</v>
      </c>
      <c r="J13595" t="s">
        <v>33868</v>
      </c>
      <c r="K13595" t="s">
        <v>40734</v>
      </c>
      <c r="M13595" t="s">
        <v>44633</v>
      </c>
      <c r="N13595" t="s">
        <v>44905</v>
      </c>
      <c r="O13595" t="s">
        <v>44906</v>
      </c>
      <c r="P13595">
        <v>0</v>
      </c>
      <c r="Q13595">
        <v>1</v>
      </c>
      <c r="R13595" t="s">
        <v>44923</v>
      </c>
      <c r="S13595" t="s">
        <v>45744</v>
      </c>
      <c r="T13595" t="s">
        <v>46447</v>
      </c>
      <c r="U13595" t="s">
        <v>57771</v>
      </c>
      <c r="W13595" t="s">
        <v>44633</v>
      </c>
      <c r="X13595" t="s">
        <v>44924</v>
      </c>
    </row>
    <row r="13596" spans="1:24">
      <c r="A13596">
        <f>HYPERLINK("https://www.philgeps.gov.ph/GEPSNONPILOT/Tender/SplashBidNoticeAbstractUI.aspx?menuIndex=3&amp;refID=7047848&amp;Result=3","7047848")</f>
        <v>0</v>
      </c>
      <c r="B13596" t="s">
        <v>2244</v>
      </c>
      <c r="C13596" t="s">
        <v>16531</v>
      </c>
      <c r="D13596" t="s">
        <v>18126</v>
      </c>
      <c r="E13596" t="s">
        <v>29945</v>
      </c>
      <c r="F13596" t="s">
        <v>31362</v>
      </c>
      <c r="G13596" t="s">
        <v>31369</v>
      </c>
      <c r="H13596" t="s">
        <v>15799</v>
      </c>
      <c r="I13596" t="s">
        <v>31433</v>
      </c>
      <c r="J13596" t="s">
        <v>33482</v>
      </c>
      <c r="K13596" t="s">
        <v>40665</v>
      </c>
      <c r="M13596" t="s">
        <v>43381</v>
      </c>
      <c r="N13596" t="s">
        <v>44905</v>
      </c>
      <c r="O13596" t="s">
        <v>44906</v>
      </c>
      <c r="Q13596">
        <v>6</v>
      </c>
      <c r="R13596" t="s">
        <v>44923</v>
      </c>
      <c r="S13596" t="s">
        <v>45764</v>
      </c>
      <c r="T13596" t="s">
        <v>46410</v>
      </c>
      <c r="U13596" t="s">
        <v>57772</v>
      </c>
      <c r="W13596" t="s">
        <v>60925</v>
      </c>
      <c r="X13596" t="s">
        <v>44924</v>
      </c>
    </row>
    <row r="13597" spans="1:24">
      <c r="A13597">
        <f>HYPERLINK("https://www.philgeps.gov.ph/GEPSNONPILOT/Tender/SplashBidNoticeAbstractUI.aspx?menuIndex=3&amp;refID=7047414&amp;Result=3","7047414")</f>
        <v>0</v>
      </c>
      <c r="B13597" t="s">
        <v>1453</v>
      </c>
      <c r="C13597" t="s">
        <v>16532</v>
      </c>
      <c r="D13597" t="s">
        <v>18101</v>
      </c>
      <c r="E13597" t="s">
        <v>29946</v>
      </c>
      <c r="F13597" t="s">
        <v>31362</v>
      </c>
      <c r="G13597" t="s">
        <v>31369</v>
      </c>
      <c r="H13597" t="s">
        <v>31378</v>
      </c>
      <c r="I13597" t="s">
        <v>31386</v>
      </c>
      <c r="J13597" t="s">
        <v>39742</v>
      </c>
      <c r="K13597" t="s">
        <v>40682</v>
      </c>
      <c r="M13597" t="s">
        <v>42484</v>
      </c>
      <c r="N13597" t="s">
        <v>44905</v>
      </c>
      <c r="O13597" t="s">
        <v>44906</v>
      </c>
      <c r="P13597">
        <v>0</v>
      </c>
      <c r="Q13597">
        <v>0</v>
      </c>
      <c r="R13597" t="s">
        <v>44923</v>
      </c>
      <c r="S13597" t="s">
        <v>45744</v>
      </c>
      <c r="T13597" t="s">
        <v>46432</v>
      </c>
      <c r="U13597" t="s">
        <v>47185</v>
      </c>
      <c r="W13597" t="s">
        <v>42484</v>
      </c>
      <c r="X13597" t="s">
        <v>44924</v>
      </c>
    </row>
    <row r="13598" spans="1:24">
      <c r="A13598">
        <f>HYPERLINK("https://www.philgeps.gov.ph/GEPSNONPILOT/Tender/SplashBidNoticeAbstractUI.aspx?menuIndex=3&amp;refID=7047846&amp;Result=3","7047846")</f>
        <v>0</v>
      </c>
      <c r="B13598" t="s">
        <v>1395</v>
      </c>
      <c r="C13598" t="s">
        <v>16533</v>
      </c>
      <c r="D13598" t="s">
        <v>18116</v>
      </c>
      <c r="E13598" t="s">
        <v>29947</v>
      </c>
      <c r="F13598" t="s">
        <v>31362</v>
      </c>
      <c r="G13598" t="s">
        <v>31369</v>
      </c>
      <c r="H13598" t="s">
        <v>31378</v>
      </c>
      <c r="I13598" t="s">
        <v>31386</v>
      </c>
      <c r="J13598" t="s">
        <v>31625</v>
      </c>
      <c r="K13598" t="s">
        <v>40679</v>
      </c>
      <c r="M13598" t="s">
        <v>42420</v>
      </c>
      <c r="N13598" t="s">
        <v>44905</v>
      </c>
      <c r="O13598" t="s">
        <v>44906</v>
      </c>
      <c r="P13598">
        <v>0</v>
      </c>
      <c r="Q13598">
        <v>1</v>
      </c>
      <c r="R13598" t="s">
        <v>44923</v>
      </c>
      <c r="S13598" t="s">
        <v>45744</v>
      </c>
      <c r="T13598" t="s">
        <v>46435</v>
      </c>
      <c r="U13598" t="s">
        <v>57773</v>
      </c>
      <c r="W13598" t="s">
        <v>42420</v>
      </c>
      <c r="X13598" t="s">
        <v>44924</v>
      </c>
    </row>
    <row r="13599" spans="1:24">
      <c r="A13599">
        <f>HYPERLINK("https://www.philgeps.gov.ph/GEPSNONPILOT/Tender/SplashBidNoticeAbstractUI.aspx?menuIndex=3&amp;refID=7047826&amp;Result=3","7047826")</f>
        <v>0</v>
      </c>
      <c r="B13599" t="s">
        <v>1774</v>
      </c>
      <c r="C13599" t="s">
        <v>16534</v>
      </c>
      <c r="D13599" t="s">
        <v>18112</v>
      </c>
      <c r="E13599" t="s">
        <v>29948</v>
      </c>
      <c r="F13599" t="s">
        <v>31362</v>
      </c>
      <c r="G13599" t="s">
        <v>31369</v>
      </c>
      <c r="H13599" t="s">
        <v>15799</v>
      </c>
      <c r="I13599" t="s">
        <v>3815</v>
      </c>
      <c r="J13599" t="s">
        <v>39743</v>
      </c>
      <c r="K13599" t="s">
        <v>40662</v>
      </c>
      <c r="M13599" t="s">
        <v>42852</v>
      </c>
      <c r="N13599" t="s">
        <v>44905</v>
      </c>
      <c r="O13599" t="s">
        <v>44906</v>
      </c>
      <c r="P13599">
        <v>0</v>
      </c>
      <c r="Q13599">
        <v>5</v>
      </c>
      <c r="R13599" t="s">
        <v>44923</v>
      </c>
      <c r="S13599" t="s">
        <v>45744</v>
      </c>
      <c r="T13599" t="s">
        <v>46447</v>
      </c>
      <c r="U13599" t="s">
        <v>57774</v>
      </c>
      <c r="V13599" t="s">
        <v>59584</v>
      </c>
      <c r="W13599" t="s">
        <v>42852</v>
      </c>
      <c r="X13599" t="s">
        <v>44924</v>
      </c>
    </row>
    <row r="13600" spans="1:24">
      <c r="A13600">
        <f>HYPERLINK("https://www.philgeps.gov.ph/GEPSNONPILOT/Tender/SplashBidNoticeAbstractUI.aspx?menuIndex=3&amp;refID=7047823&amp;Result=3","7047823")</f>
        <v>0</v>
      </c>
      <c r="B13600" t="s">
        <v>3331</v>
      </c>
      <c r="C13600" t="s">
        <v>16535</v>
      </c>
      <c r="D13600" t="s">
        <v>18109</v>
      </c>
      <c r="E13600" t="s">
        <v>29949</v>
      </c>
      <c r="F13600" t="s">
        <v>31362</v>
      </c>
      <c r="G13600" t="s">
        <v>31369</v>
      </c>
      <c r="H13600" t="s">
        <v>15799</v>
      </c>
      <c r="I13600" t="s">
        <v>31421</v>
      </c>
      <c r="J13600" t="s">
        <v>31578</v>
      </c>
      <c r="K13600" t="s">
        <v>40665</v>
      </c>
      <c r="M13600" t="s">
        <v>44628</v>
      </c>
      <c r="N13600" t="s">
        <v>44905</v>
      </c>
      <c r="O13600" t="s">
        <v>44906</v>
      </c>
      <c r="P13600">
        <v>0</v>
      </c>
      <c r="Q13600">
        <v>7</v>
      </c>
      <c r="R13600" t="s">
        <v>44923</v>
      </c>
      <c r="S13600" t="s">
        <v>45744</v>
      </c>
      <c r="T13600" t="s">
        <v>46396</v>
      </c>
      <c r="U13600" t="s">
        <v>57775</v>
      </c>
      <c r="W13600" t="s">
        <v>44628</v>
      </c>
      <c r="X13600" t="s">
        <v>44924</v>
      </c>
    </row>
    <row r="13601" spans="1:24">
      <c r="A13601">
        <f>HYPERLINK("https://www.philgeps.gov.ph/GEPSNONPILOT/Tender/SplashBidNoticeAbstractUI.aspx?menuIndex=3&amp;refID=7047822&amp;Result=3","7047822")</f>
        <v>0</v>
      </c>
      <c r="B13601" t="s">
        <v>932</v>
      </c>
      <c r="C13601" t="s">
        <v>16536</v>
      </c>
      <c r="D13601" t="s">
        <v>18134</v>
      </c>
      <c r="E13601" t="s">
        <v>29950</v>
      </c>
      <c r="F13601" t="s">
        <v>31362</v>
      </c>
      <c r="G13601" t="s">
        <v>31369</v>
      </c>
      <c r="H13601" t="s">
        <v>15799</v>
      </c>
      <c r="I13601" t="s">
        <v>3815</v>
      </c>
      <c r="J13601" t="s">
        <v>39744</v>
      </c>
      <c r="K13601" t="s">
        <v>40666</v>
      </c>
      <c r="M13601" t="s">
        <v>41919</v>
      </c>
      <c r="N13601" t="s">
        <v>44905</v>
      </c>
      <c r="O13601" t="s">
        <v>44906</v>
      </c>
      <c r="P13601">
        <v>0</v>
      </c>
      <c r="Q13601">
        <v>4</v>
      </c>
      <c r="R13601" t="s">
        <v>44923</v>
      </c>
      <c r="S13601" t="s">
        <v>45744</v>
      </c>
      <c r="T13601" t="s">
        <v>46415</v>
      </c>
      <c r="U13601" t="s">
        <v>57776</v>
      </c>
      <c r="W13601" t="s">
        <v>41919</v>
      </c>
      <c r="X13601" t="s">
        <v>44924</v>
      </c>
    </row>
    <row r="13602" spans="1:24">
      <c r="A13602">
        <f>HYPERLINK("https://www.philgeps.gov.ph/GEPSNONPILOT/Tender/SplashBidNoticeAbstractUI.aspx?menuIndex=3&amp;refID=7047816&amp;Result=3","7047816")</f>
        <v>0</v>
      </c>
      <c r="B13602" t="s">
        <v>3389</v>
      </c>
      <c r="C13602" t="s">
        <v>16537</v>
      </c>
      <c r="D13602" t="s">
        <v>18148</v>
      </c>
      <c r="E13602" t="s">
        <v>29951</v>
      </c>
      <c r="F13602" t="s">
        <v>31362</v>
      </c>
      <c r="G13602" t="s">
        <v>31369</v>
      </c>
      <c r="H13602" t="s">
        <v>31378</v>
      </c>
      <c r="I13602" t="s">
        <v>31386</v>
      </c>
      <c r="J13602" t="s">
        <v>31625</v>
      </c>
      <c r="K13602" t="s">
        <v>40681</v>
      </c>
      <c r="L13602" t="s">
        <v>3389</v>
      </c>
      <c r="M13602" t="s">
        <v>44697</v>
      </c>
      <c r="N13602" t="s">
        <v>44905</v>
      </c>
      <c r="O13602" t="s">
        <v>44906</v>
      </c>
      <c r="P13602">
        <v>0</v>
      </c>
      <c r="Q13602">
        <v>1</v>
      </c>
      <c r="R13602" t="s">
        <v>44923</v>
      </c>
      <c r="S13602" t="s">
        <v>45744</v>
      </c>
      <c r="T13602" t="s">
        <v>46549</v>
      </c>
      <c r="U13602" t="s">
        <v>57777</v>
      </c>
      <c r="W13602" t="s">
        <v>44697</v>
      </c>
      <c r="X13602" t="s">
        <v>44924</v>
      </c>
    </row>
    <row r="13603" spans="1:24">
      <c r="A13603">
        <f>HYPERLINK("https://www.philgeps.gov.ph/GEPSNONPILOT/Tender/SplashBidNoticeAbstractUI.aspx?menuIndex=3&amp;refID=7047890&amp;Result=3","7047890")</f>
        <v>0</v>
      </c>
      <c r="B13603" t="s">
        <v>1224</v>
      </c>
      <c r="C13603" t="s">
        <v>16538</v>
      </c>
      <c r="D13603" t="s">
        <v>18133</v>
      </c>
      <c r="E13603" t="s">
        <v>29952</v>
      </c>
      <c r="F13603" t="s">
        <v>31362</v>
      </c>
      <c r="G13603" t="s">
        <v>31369</v>
      </c>
      <c r="H13603" t="s">
        <v>15799</v>
      </c>
      <c r="I13603" t="s">
        <v>31464</v>
      </c>
      <c r="J13603" t="s">
        <v>31637</v>
      </c>
      <c r="K13603" t="s">
        <v>40679</v>
      </c>
      <c r="M13603" t="s">
        <v>44698</v>
      </c>
      <c r="N13603" t="s">
        <v>44905</v>
      </c>
      <c r="O13603" t="s">
        <v>44906</v>
      </c>
      <c r="Q13603">
        <v>3</v>
      </c>
      <c r="R13603" t="s">
        <v>44923</v>
      </c>
      <c r="S13603" t="s">
        <v>45765</v>
      </c>
      <c r="T13603" t="s">
        <v>46462</v>
      </c>
      <c r="U13603" t="s">
        <v>57778</v>
      </c>
      <c r="V13603" t="s">
        <v>60603</v>
      </c>
      <c r="W13603" t="s">
        <v>44698</v>
      </c>
      <c r="X13603" t="s">
        <v>44924</v>
      </c>
    </row>
    <row r="13604" spans="1:24">
      <c r="A13604">
        <f>HYPERLINK("https://www.philgeps.gov.ph/GEPSNONPILOT/Tender/SplashBidNoticeAbstractUI.aspx?menuIndex=3&amp;refID=7047812&amp;Result=3","7047812")</f>
        <v>0</v>
      </c>
      <c r="B13604" t="s">
        <v>3336</v>
      </c>
      <c r="C13604" t="s">
        <v>16539</v>
      </c>
      <c r="D13604" t="s">
        <v>18133</v>
      </c>
      <c r="E13604" t="s">
        <v>24865</v>
      </c>
      <c r="F13604" t="s">
        <v>31362</v>
      </c>
      <c r="G13604" t="s">
        <v>31369</v>
      </c>
      <c r="H13604" t="s">
        <v>31378</v>
      </c>
      <c r="I13604" t="s">
        <v>31386</v>
      </c>
      <c r="J13604" t="s">
        <v>33868</v>
      </c>
      <c r="K13604" t="s">
        <v>40850</v>
      </c>
      <c r="M13604" t="s">
        <v>44633</v>
      </c>
      <c r="N13604" t="s">
        <v>44905</v>
      </c>
      <c r="O13604" t="s">
        <v>44906</v>
      </c>
      <c r="P13604">
        <v>0</v>
      </c>
      <c r="Q13604">
        <v>1</v>
      </c>
      <c r="R13604" t="s">
        <v>44923</v>
      </c>
      <c r="S13604" t="s">
        <v>45744</v>
      </c>
      <c r="T13604" t="s">
        <v>46447</v>
      </c>
      <c r="U13604" t="s">
        <v>57779</v>
      </c>
      <c r="W13604" t="s">
        <v>44633</v>
      </c>
      <c r="X13604" t="s">
        <v>44924</v>
      </c>
    </row>
    <row r="13605" spans="1:24">
      <c r="A13605">
        <f>HYPERLINK("https://www.philgeps.gov.ph/GEPSNONPILOT/Tender/SplashBidNoticeAbstractUI.aspx?menuIndex=3&amp;refID=7047777&amp;Result=3","7047777")</f>
        <v>0</v>
      </c>
      <c r="B13605" t="s">
        <v>641</v>
      </c>
      <c r="C13605" t="s">
        <v>16540</v>
      </c>
      <c r="D13605" t="s">
        <v>18158</v>
      </c>
      <c r="E13605" t="s">
        <v>29953</v>
      </c>
      <c r="F13605" t="s">
        <v>31362</v>
      </c>
      <c r="G13605" t="s">
        <v>31369</v>
      </c>
      <c r="H13605" t="s">
        <v>15799</v>
      </c>
      <c r="I13605" t="s">
        <v>7188</v>
      </c>
      <c r="J13605" t="s">
        <v>39745</v>
      </c>
      <c r="K13605" t="s">
        <v>40682</v>
      </c>
      <c r="M13605" t="s">
        <v>42801</v>
      </c>
      <c r="N13605" t="s">
        <v>44905</v>
      </c>
      <c r="O13605" t="s">
        <v>44906</v>
      </c>
      <c r="P13605">
        <v>0</v>
      </c>
      <c r="Q13605">
        <v>10</v>
      </c>
      <c r="R13605" t="s">
        <v>44923</v>
      </c>
      <c r="S13605" t="s">
        <v>45744</v>
      </c>
      <c r="T13605" t="s">
        <v>46692</v>
      </c>
      <c r="U13605" t="s">
        <v>57780</v>
      </c>
      <c r="W13605" t="s">
        <v>42801</v>
      </c>
      <c r="X13605" t="s">
        <v>44924</v>
      </c>
    </row>
    <row r="13606" spans="1:24">
      <c r="A13606">
        <f>HYPERLINK("https://www.philgeps.gov.ph/GEPSNONPILOT/Tender/SplashBidNoticeAbstractUI.aspx?menuIndex=3&amp;refID=7047856&amp;Result=3","7047856")</f>
        <v>0</v>
      </c>
      <c r="B13606" t="s">
        <v>546</v>
      </c>
      <c r="C13606" t="s">
        <v>16541</v>
      </c>
      <c r="D13606" t="s">
        <v>18133</v>
      </c>
      <c r="E13606" t="s">
        <v>29954</v>
      </c>
      <c r="F13606" t="s">
        <v>31362</v>
      </c>
      <c r="G13606" t="s">
        <v>31369</v>
      </c>
      <c r="H13606" t="s">
        <v>15799</v>
      </c>
      <c r="I13606" t="s">
        <v>31396</v>
      </c>
      <c r="J13606" t="s">
        <v>39746</v>
      </c>
      <c r="K13606" t="s">
        <v>40665</v>
      </c>
      <c r="L13606" t="s">
        <v>546</v>
      </c>
      <c r="M13606" t="s">
        <v>41502</v>
      </c>
      <c r="N13606" t="s">
        <v>44905</v>
      </c>
      <c r="O13606" t="s">
        <v>44906</v>
      </c>
      <c r="P13606">
        <v>0</v>
      </c>
      <c r="Q13606">
        <v>31</v>
      </c>
      <c r="R13606" t="s">
        <v>44923</v>
      </c>
      <c r="S13606" t="s">
        <v>45744</v>
      </c>
      <c r="T13606" t="s">
        <v>46432</v>
      </c>
      <c r="U13606" t="s">
        <v>57781</v>
      </c>
      <c r="V13606" t="s">
        <v>60181</v>
      </c>
      <c r="W13606" t="s">
        <v>41502</v>
      </c>
      <c r="X13606" t="s">
        <v>44924</v>
      </c>
    </row>
    <row r="13607" spans="1:24">
      <c r="A13607">
        <f>HYPERLINK("https://www.philgeps.gov.ph/GEPSNONPILOT/Tender/SplashBidNoticeAbstractUI.aspx?menuIndex=3&amp;refID=7047776&amp;Result=3","7047776")</f>
        <v>0</v>
      </c>
      <c r="B13607" t="s">
        <v>2199</v>
      </c>
      <c r="C13607" t="s">
        <v>16542</v>
      </c>
      <c r="D13607" t="s">
        <v>18123</v>
      </c>
      <c r="E13607" t="s">
        <v>29955</v>
      </c>
      <c r="F13607" t="s">
        <v>31362</v>
      </c>
      <c r="G13607" t="s">
        <v>31369</v>
      </c>
      <c r="H13607" t="s">
        <v>31378</v>
      </c>
      <c r="I13607" t="s">
        <v>31386</v>
      </c>
      <c r="J13607" t="s">
        <v>35080</v>
      </c>
      <c r="K13607" t="s">
        <v>40679</v>
      </c>
      <c r="M13607" t="s">
        <v>43330</v>
      </c>
      <c r="N13607" t="s">
        <v>44905</v>
      </c>
      <c r="O13607" t="s">
        <v>44906</v>
      </c>
      <c r="P13607">
        <v>0</v>
      </c>
      <c r="Q13607">
        <v>1</v>
      </c>
      <c r="R13607" t="s">
        <v>44923</v>
      </c>
      <c r="S13607" t="s">
        <v>45744</v>
      </c>
      <c r="T13607" t="s">
        <v>46400</v>
      </c>
      <c r="U13607" t="s">
        <v>57782</v>
      </c>
      <c r="W13607" t="s">
        <v>43330</v>
      </c>
      <c r="X13607" t="s">
        <v>44924</v>
      </c>
    </row>
    <row r="13608" spans="1:24">
      <c r="A13608">
        <f>HYPERLINK("https://www.philgeps.gov.ph/GEPSNONPILOT/Tender/SplashBidNoticeAbstractUI.aspx?menuIndex=3&amp;refID=7047754&amp;Result=3","7047754")</f>
        <v>0</v>
      </c>
      <c r="B13608" t="s">
        <v>2287</v>
      </c>
      <c r="C13608" t="s">
        <v>16543</v>
      </c>
      <c r="D13608" t="s">
        <v>18130</v>
      </c>
      <c r="E13608" t="s">
        <v>23520</v>
      </c>
      <c r="F13608" t="s">
        <v>31362</v>
      </c>
      <c r="G13608" t="s">
        <v>31369</v>
      </c>
      <c r="H13608" t="s">
        <v>15799</v>
      </c>
      <c r="I13608" t="s">
        <v>3815</v>
      </c>
      <c r="J13608" t="s">
        <v>39747</v>
      </c>
      <c r="K13608" t="s">
        <v>40665</v>
      </c>
      <c r="M13608" t="s">
        <v>43427</v>
      </c>
      <c r="N13608" t="s">
        <v>44905</v>
      </c>
      <c r="O13608" t="s">
        <v>44906</v>
      </c>
      <c r="P13608">
        <v>0</v>
      </c>
      <c r="Q13608">
        <v>1</v>
      </c>
      <c r="R13608" t="s">
        <v>44923</v>
      </c>
      <c r="S13608" t="s">
        <v>45744</v>
      </c>
      <c r="T13608" t="s">
        <v>46532</v>
      </c>
      <c r="U13608" t="s">
        <v>57783</v>
      </c>
      <c r="V13608" t="s">
        <v>60604</v>
      </c>
      <c r="W13608" t="s">
        <v>43427</v>
      </c>
      <c r="X13608" t="s">
        <v>44924</v>
      </c>
    </row>
    <row r="13609" spans="1:24">
      <c r="A13609">
        <f>HYPERLINK("https://www.philgeps.gov.ph/GEPSNONPILOT/Tender/SplashBidNoticeAbstractUI.aspx?menuIndex=3&amp;refID=7047847&amp;Result=3","7047847")</f>
        <v>0</v>
      </c>
      <c r="B13609" t="s">
        <v>932</v>
      </c>
      <c r="C13609" t="s">
        <v>16544</v>
      </c>
      <c r="D13609" t="s">
        <v>18134</v>
      </c>
      <c r="E13609" t="s">
        <v>29956</v>
      </c>
      <c r="F13609" t="s">
        <v>31362</v>
      </c>
      <c r="G13609" t="s">
        <v>31372</v>
      </c>
      <c r="H13609" t="s">
        <v>15799</v>
      </c>
      <c r="I13609" t="s">
        <v>31382</v>
      </c>
      <c r="J13609" t="s">
        <v>39748</v>
      </c>
      <c r="K13609" t="s">
        <v>40666</v>
      </c>
      <c r="M13609" t="s">
        <v>41919</v>
      </c>
      <c r="N13609" t="s">
        <v>44905</v>
      </c>
      <c r="O13609" t="s">
        <v>44906</v>
      </c>
      <c r="P13609">
        <v>0</v>
      </c>
      <c r="Q13609">
        <v>15</v>
      </c>
      <c r="R13609" t="s">
        <v>44923</v>
      </c>
      <c r="S13609" t="s">
        <v>45744</v>
      </c>
      <c r="T13609" t="s">
        <v>46459</v>
      </c>
      <c r="U13609" t="s">
        <v>57776</v>
      </c>
      <c r="W13609" t="s">
        <v>41919</v>
      </c>
      <c r="X13609" t="s">
        <v>44924</v>
      </c>
    </row>
    <row r="13610" spans="1:24">
      <c r="A13610">
        <f>HYPERLINK("https://www.philgeps.gov.ph/GEPSNONPILOT/Tender/SplashBidNoticeAbstractUI.aspx?menuIndex=3&amp;refID=7047308&amp;Result=3","7047308")</f>
        <v>0</v>
      </c>
      <c r="B13610" t="s">
        <v>3367</v>
      </c>
      <c r="C13610" t="s">
        <v>16545</v>
      </c>
      <c r="D13610" t="s">
        <v>18160</v>
      </c>
      <c r="E13610" t="s">
        <v>29957</v>
      </c>
      <c r="F13610" t="s">
        <v>31362</v>
      </c>
      <c r="G13610" t="s">
        <v>31369</v>
      </c>
      <c r="H13610" t="s">
        <v>15799</v>
      </c>
      <c r="I13610" t="s">
        <v>31415</v>
      </c>
      <c r="J13610" t="s">
        <v>39749</v>
      </c>
      <c r="K13610" t="s">
        <v>40696</v>
      </c>
      <c r="M13610" t="s">
        <v>44684</v>
      </c>
      <c r="N13610" t="s">
        <v>44905</v>
      </c>
      <c r="O13610" t="s">
        <v>44906</v>
      </c>
      <c r="P13610">
        <v>0</v>
      </c>
      <c r="Q13610">
        <v>1</v>
      </c>
      <c r="R13610" t="s">
        <v>44923</v>
      </c>
      <c r="S13610" t="s">
        <v>45744</v>
      </c>
      <c r="T13610" t="s">
        <v>46416</v>
      </c>
      <c r="U13610" t="s">
        <v>57784</v>
      </c>
      <c r="W13610" t="s">
        <v>60970</v>
      </c>
      <c r="X13610" t="s">
        <v>44924</v>
      </c>
    </row>
    <row r="13611" spans="1:24">
      <c r="A13611">
        <f>HYPERLINK("https://www.philgeps.gov.ph/GEPSNONPILOT/Tender/SplashBidNoticeAbstractUI.aspx?menuIndex=3&amp;refID=7047880&amp;Result=3","7047880")</f>
        <v>0</v>
      </c>
      <c r="B13611" t="s">
        <v>1774</v>
      </c>
      <c r="C13611" t="s">
        <v>16546</v>
      </c>
      <c r="D13611" t="s">
        <v>18112</v>
      </c>
      <c r="E13611" t="s">
        <v>29958</v>
      </c>
      <c r="F13611" t="s">
        <v>31362</v>
      </c>
      <c r="G13611" t="s">
        <v>31369</v>
      </c>
      <c r="H13611" t="s">
        <v>15799</v>
      </c>
      <c r="I13611" t="s">
        <v>3815</v>
      </c>
      <c r="J13611" t="s">
        <v>39750</v>
      </c>
      <c r="K13611" t="s">
        <v>40662</v>
      </c>
      <c r="M13611" t="s">
        <v>42852</v>
      </c>
      <c r="N13611" t="s">
        <v>44905</v>
      </c>
      <c r="O13611" t="s">
        <v>44906</v>
      </c>
      <c r="P13611">
        <v>0</v>
      </c>
      <c r="Q13611">
        <v>2</v>
      </c>
      <c r="R13611" t="s">
        <v>44923</v>
      </c>
      <c r="S13611" t="s">
        <v>45744</v>
      </c>
      <c r="T13611" t="s">
        <v>46447</v>
      </c>
      <c r="U13611" t="s">
        <v>57785</v>
      </c>
      <c r="V13611" t="s">
        <v>59584</v>
      </c>
      <c r="W13611" t="s">
        <v>42852</v>
      </c>
      <c r="X13611" t="s">
        <v>44924</v>
      </c>
    </row>
    <row r="13612" spans="1:24">
      <c r="A13612">
        <f>HYPERLINK("https://www.philgeps.gov.ph/GEPSNONPILOT/Tender/SplashBidNoticeAbstractUI.aspx?menuIndex=3&amp;refID=7047307&amp;Result=3","7047307")</f>
        <v>0</v>
      </c>
      <c r="B13612" t="s">
        <v>2910</v>
      </c>
      <c r="C13612" t="s">
        <v>16547</v>
      </c>
      <c r="D13612" t="s">
        <v>18171</v>
      </c>
      <c r="E13612" t="s">
        <v>29959</v>
      </c>
      <c r="F13612" t="s">
        <v>31362</v>
      </c>
      <c r="G13612" t="s">
        <v>31369</v>
      </c>
      <c r="H13612" t="s">
        <v>15799</v>
      </c>
      <c r="I13612" t="s">
        <v>31385</v>
      </c>
      <c r="J13612" t="s">
        <v>32505</v>
      </c>
      <c r="K13612" t="s">
        <v>40662</v>
      </c>
      <c r="M13612" t="s">
        <v>44125</v>
      </c>
      <c r="N13612" t="s">
        <v>44905</v>
      </c>
      <c r="O13612" t="s">
        <v>44906</v>
      </c>
      <c r="P13612">
        <v>0</v>
      </c>
      <c r="Q13612">
        <v>2</v>
      </c>
      <c r="R13612" t="s">
        <v>44923</v>
      </c>
      <c r="S13612" t="s">
        <v>45744</v>
      </c>
      <c r="T13612" t="s">
        <v>46400</v>
      </c>
      <c r="U13612" t="s">
        <v>57786</v>
      </c>
      <c r="W13612" t="s">
        <v>44125</v>
      </c>
      <c r="X13612" t="s">
        <v>44924</v>
      </c>
    </row>
    <row r="13613" spans="1:24">
      <c r="A13613">
        <f>HYPERLINK("https://www.philgeps.gov.ph/GEPSNONPILOT/Tender/SplashBidNoticeAbstractUI.aspx?menuIndex=3&amp;refID=7047296&amp;Result=3","7047296")</f>
        <v>0</v>
      </c>
      <c r="B13613" t="s">
        <v>3390</v>
      </c>
      <c r="C13613" t="s">
        <v>16548</v>
      </c>
      <c r="D13613" t="s">
        <v>18114</v>
      </c>
      <c r="E13613" t="s">
        <v>29960</v>
      </c>
      <c r="F13613" t="s">
        <v>31362</v>
      </c>
      <c r="G13613" t="s">
        <v>31369</v>
      </c>
      <c r="H13613" t="s">
        <v>31378</v>
      </c>
      <c r="I13613" t="s">
        <v>31386</v>
      </c>
      <c r="J13613" t="s">
        <v>39751</v>
      </c>
      <c r="K13613" t="s">
        <v>40665</v>
      </c>
      <c r="M13613" t="s">
        <v>44699</v>
      </c>
      <c r="N13613" t="s">
        <v>44905</v>
      </c>
      <c r="O13613" t="s">
        <v>44906</v>
      </c>
      <c r="P13613">
        <v>0</v>
      </c>
      <c r="Q13613">
        <v>2</v>
      </c>
      <c r="R13613" t="s">
        <v>44923</v>
      </c>
      <c r="S13613" t="s">
        <v>45744</v>
      </c>
      <c r="T13613" t="s">
        <v>46447</v>
      </c>
      <c r="U13613" t="s">
        <v>57787</v>
      </c>
      <c r="V13613" t="s">
        <v>60605</v>
      </c>
      <c r="W13613" t="s">
        <v>44699</v>
      </c>
      <c r="X13613" t="s">
        <v>44924</v>
      </c>
    </row>
    <row r="13614" spans="1:24">
      <c r="A13614">
        <f>HYPERLINK("https://www.philgeps.gov.ph/GEPSNONPILOT/Tender/SplashBidNoticeAbstractUI.aspx?menuIndex=3&amp;refID=7047259&amp;Result=3","7047259")</f>
        <v>0</v>
      </c>
      <c r="B13614" t="s">
        <v>2910</v>
      </c>
      <c r="C13614" t="s">
        <v>16549</v>
      </c>
      <c r="D13614" t="s">
        <v>18171</v>
      </c>
      <c r="E13614" t="s">
        <v>29961</v>
      </c>
      <c r="F13614" t="s">
        <v>31362</v>
      </c>
      <c r="G13614" t="s">
        <v>31369</v>
      </c>
      <c r="H13614" t="s">
        <v>15799</v>
      </c>
      <c r="I13614" t="s">
        <v>31398</v>
      </c>
      <c r="J13614" t="s">
        <v>39752</v>
      </c>
      <c r="K13614" t="s">
        <v>40662</v>
      </c>
      <c r="M13614" t="s">
        <v>44125</v>
      </c>
      <c r="N13614" t="s">
        <v>44905</v>
      </c>
      <c r="O13614" t="s">
        <v>44906</v>
      </c>
      <c r="P13614">
        <v>0</v>
      </c>
      <c r="Q13614">
        <v>4</v>
      </c>
      <c r="R13614" t="s">
        <v>44923</v>
      </c>
      <c r="S13614" t="s">
        <v>45744</v>
      </c>
      <c r="T13614" t="s">
        <v>46400</v>
      </c>
      <c r="U13614" t="s">
        <v>57788</v>
      </c>
      <c r="W13614" t="s">
        <v>44125</v>
      </c>
      <c r="X13614" t="s">
        <v>44924</v>
      </c>
    </row>
    <row r="13615" spans="1:24">
      <c r="A13615">
        <f>HYPERLINK("https://www.philgeps.gov.ph/GEPSNONPILOT/Tender/SplashBidNoticeAbstractUI.aspx?menuIndex=3&amp;refID=7046448&amp;Result=3","7046448")</f>
        <v>0</v>
      </c>
      <c r="B13615" t="s">
        <v>1927</v>
      </c>
      <c r="C13615" t="s">
        <v>16550</v>
      </c>
      <c r="D13615" t="s">
        <v>18148</v>
      </c>
      <c r="E13615" t="s">
        <v>29962</v>
      </c>
      <c r="F13615" t="s">
        <v>31362</v>
      </c>
      <c r="G13615" t="s">
        <v>31369</v>
      </c>
      <c r="H13615" t="s">
        <v>15799</v>
      </c>
      <c r="I13615" t="s">
        <v>4283</v>
      </c>
      <c r="J13615" t="s">
        <v>39753</v>
      </c>
      <c r="K13615" t="s">
        <v>40665</v>
      </c>
      <c r="M13615" t="s">
        <v>43025</v>
      </c>
      <c r="N13615" t="s">
        <v>44905</v>
      </c>
      <c r="O13615" t="s">
        <v>44906</v>
      </c>
      <c r="P13615">
        <v>0</v>
      </c>
      <c r="Q13615">
        <v>1</v>
      </c>
      <c r="R13615" t="s">
        <v>44923</v>
      </c>
      <c r="S13615" t="s">
        <v>45744</v>
      </c>
      <c r="T13615" t="s">
        <v>46470</v>
      </c>
      <c r="U13615" t="s">
        <v>57789</v>
      </c>
      <c r="V13615" t="s">
        <v>59627</v>
      </c>
      <c r="W13615" t="s">
        <v>43025</v>
      </c>
      <c r="X13615" t="s">
        <v>44925</v>
      </c>
    </row>
    <row r="13616" spans="1:24">
      <c r="A13616">
        <f>HYPERLINK("https://www.philgeps.gov.ph/GEPSNONPILOT/Tender/SplashBidNoticeAbstractUI.aspx?menuIndex=3&amp;refID=7046405&amp;Result=3","7046405")</f>
        <v>0</v>
      </c>
      <c r="B13616" t="s">
        <v>1927</v>
      </c>
      <c r="C13616" t="s">
        <v>16551</v>
      </c>
      <c r="D13616" t="s">
        <v>18148</v>
      </c>
      <c r="E13616" t="s">
        <v>29963</v>
      </c>
      <c r="F13616" t="s">
        <v>31362</v>
      </c>
      <c r="G13616" t="s">
        <v>31369</v>
      </c>
      <c r="H13616" t="s">
        <v>15799</v>
      </c>
      <c r="I13616" t="s">
        <v>31380</v>
      </c>
      <c r="J13616" t="s">
        <v>39754</v>
      </c>
      <c r="K13616" t="s">
        <v>40665</v>
      </c>
      <c r="M13616" t="s">
        <v>43025</v>
      </c>
      <c r="N13616" t="s">
        <v>44905</v>
      </c>
      <c r="O13616" t="s">
        <v>44906</v>
      </c>
      <c r="P13616">
        <v>0</v>
      </c>
      <c r="Q13616">
        <v>6</v>
      </c>
      <c r="R13616" t="s">
        <v>44923</v>
      </c>
      <c r="S13616" t="s">
        <v>45744</v>
      </c>
      <c r="T13616" t="s">
        <v>46470</v>
      </c>
      <c r="U13616" t="s">
        <v>57790</v>
      </c>
      <c r="V13616" t="s">
        <v>59627</v>
      </c>
      <c r="W13616" t="s">
        <v>43025</v>
      </c>
      <c r="X13616" t="s">
        <v>44925</v>
      </c>
    </row>
    <row r="13617" spans="1:24">
      <c r="A13617">
        <f>HYPERLINK("https://www.philgeps.gov.ph/GEPSNONPILOT/Tender/SplashBidNoticeAbstractUI.aspx?menuIndex=3&amp;refID=7047295&amp;Result=3","7047295")</f>
        <v>0</v>
      </c>
      <c r="B13617" t="s">
        <v>329</v>
      </c>
      <c r="C13617" t="s">
        <v>16552</v>
      </c>
      <c r="D13617" t="s">
        <v>18160</v>
      </c>
      <c r="E13617" t="s">
        <v>29964</v>
      </c>
      <c r="F13617" t="s">
        <v>31362</v>
      </c>
      <c r="G13617" t="s">
        <v>31372</v>
      </c>
      <c r="H13617" t="s">
        <v>15799</v>
      </c>
      <c r="I13617" t="s">
        <v>4283</v>
      </c>
      <c r="J13617" t="s">
        <v>39755</v>
      </c>
      <c r="K13617" t="s">
        <v>40662</v>
      </c>
      <c r="M13617" t="s">
        <v>44388</v>
      </c>
      <c r="N13617" t="s">
        <v>44905</v>
      </c>
      <c r="O13617" t="s">
        <v>44906</v>
      </c>
      <c r="Q13617">
        <v>30</v>
      </c>
      <c r="R13617" t="s">
        <v>44923</v>
      </c>
      <c r="S13617" t="s">
        <v>45766</v>
      </c>
      <c r="T13617" t="s">
        <v>46393</v>
      </c>
      <c r="U13617" t="s">
        <v>57791</v>
      </c>
      <c r="W13617" t="s">
        <v>44388</v>
      </c>
      <c r="X13617" t="s">
        <v>44924</v>
      </c>
    </row>
    <row r="13618" spans="1:24">
      <c r="A13618">
        <f>HYPERLINK("https://www.philgeps.gov.ph/GEPSNONPILOT/Tender/SplashBidNoticeAbstractUI.aspx?menuIndex=3&amp;refID=7047806&amp;Result=3","7047806")</f>
        <v>0</v>
      </c>
      <c r="B13618" t="s">
        <v>3017</v>
      </c>
      <c r="C13618" t="s">
        <v>16553</v>
      </c>
      <c r="D13618" t="s">
        <v>18106</v>
      </c>
      <c r="E13618" t="s">
        <v>29965</v>
      </c>
      <c r="F13618" t="s">
        <v>31362</v>
      </c>
      <c r="G13618" t="s">
        <v>31369</v>
      </c>
      <c r="H13618" t="s">
        <v>15799</v>
      </c>
      <c r="I13618" t="s">
        <v>31414</v>
      </c>
      <c r="J13618" t="s">
        <v>33482</v>
      </c>
      <c r="K13618" t="s">
        <v>40662</v>
      </c>
      <c r="M13618" t="s">
        <v>44248</v>
      </c>
      <c r="N13618" t="s">
        <v>44905</v>
      </c>
      <c r="O13618" t="s">
        <v>44906</v>
      </c>
      <c r="Q13618">
        <v>2</v>
      </c>
      <c r="R13618" t="s">
        <v>44923</v>
      </c>
      <c r="S13618" t="s">
        <v>45767</v>
      </c>
      <c r="T13618" t="s">
        <v>46498</v>
      </c>
      <c r="U13618" t="s">
        <v>57792</v>
      </c>
      <c r="W13618" t="s">
        <v>44248</v>
      </c>
      <c r="X13618" t="s">
        <v>44924</v>
      </c>
    </row>
    <row r="13619" spans="1:24">
      <c r="A13619">
        <f>HYPERLINK("https://www.philgeps.gov.ph/GEPSNONPILOT/Tender/SplashBidNoticeAbstractUI.aspx?menuIndex=3&amp;refID=7046398&amp;Result=3","7046398")</f>
        <v>0</v>
      </c>
      <c r="B13619" t="s">
        <v>1895</v>
      </c>
      <c r="C13619" t="s">
        <v>16554</v>
      </c>
      <c r="D13619" t="s">
        <v>18151</v>
      </c>
      <c r="E13619" t="s">
        <v>29966</v>
      </c>
      <c r="F13619" t="s">
        <v>31362</v>
      </c>
      <c r="G13619" t="s">
        <v>31369</v>
      </c>
      <c r="H13619" t="s">
        <v>31378</v>
      </c>
      <c r="I13619" t="s">
        <v>31386</v>
      </c>
      <c r="J13619" t="s">
        <v>39756</v>
      </c>
      <c r="K13619" t="s">
        <v>40683</v>
      </c>
      <c r="M13619" t="s">
        <v>44675</v>
      </c>
      <c r="N13619" t="s">
        <v>44905</v>
      </c>
      <c r="O13619" t="s">
        <v>44906</v>
      </c>
      <c r="P13619">
        <v>0</v>
      </c>
      <c r="Q13619">
        <v>2</v>
      </c>
      <c r="R13619" t="s">
        <v>44923</v>
      </c>
      <c r="S13619" t="s">
        <v>45744</v>
      </c>
      <c r="T13619" t="s">
        <v>46410</v>
      </c>
      <c r="U13619" t="s">
        <v>57793</v>
      </c>
      <c r="W13619" t="s">
        <v>44700</v>
      </c>
      <c r="X13619" t="s">
        <v>44925</v>
      </c>
    </row>
    <row r="13620" spans="1:24">
      <c r="A13620">
        <f>HYPERLINK("https://www.philgeps.gov.ph/GEPSNONPILOT/Tender/SplashBidNoticeAbstractUI.aspx?menuIndex=3&amp;refID=7046355&amp;Result=3","7046355")</f>
        <v>0</v>
      </c>
      <c r="B13620" t="s">
        <v>472</v>
      </c>
      <c r="C13620" t="s">
        <v>16555</v>
      </c>
      <c r="D13620" t="s">
        <v>18134</v>
      </c>
      <c r="E13620" t="s">
        <v>29967</v>
      </c>
      <c r="F13620" t="s">
        <v>31362</v>
      </c>
      <c r="G13620" t="s">
        <v>31369</v>
      </c>
      <c r="H13620" t="s">
        <v>31378</v>
      </c>
      <c r="I13620" t="s">
        <v>31386</v>
      </c>
      <c r="J13620" t="s">
        <v>39757</v>
      </c>
      <c r="K13620" t="s">
        <v>40883</v>
      </c>
      <c r="M13620" t="s">
        <v>41426</v>
      </c>
      <c r="N13620" t="s">
        <v>44905</v>
      </c>
      <c r="O13620" t="s">
        <v>44906</v>
      </c>
      <c r="P13620">
        <v>0</v>
      </c>
      <c r="Q13620">
        <v>1</v>
      </c>
      <c r="R13620" t="s">
        <v>44923</v>
      </c>
      <c r="S13620" t="s">
        <v>45744</v>
      </c>
      <c r="T13620" t="s">
        <v>46532</v>
      </c>
      <c r="U13620" t="s">
        <v>57794</v>
      </c>
      <c r="W13620" t="s">
        <v>41426</v>
      </c>
      <c r="X13620" t="s">
        <v>44925</v>
      </c>
    </row>
    <row r="13621" spans="1:24">
      <c r="A13621">
        <f>HYPERLINK("https://www.philgeps.gov.ph/GEPSNONPILOT/Tender/SplashBidNoticeAbstractUI.aspx?menuIndex=3&amp;refID=7047787&amp;Result=3","7047787")</f>
        <v>0</v>
      </c>
      <c r="B13621" t="s">
        <v>213</v>
      </c>
      <c r="C13621" t="s">
        <v>16556</v>
      </c>
      <c r="D13621" t="s">
        <v>18121</v>
      </c>
      <c r="E13621" t="s">
        <v>29968</v>
      </c>
      <c r="F13621" t="s">
        <v>31362</v>
      </c>
      <c r="G13621" t="s">
        <v>31369</v>
      </c>
      <c r="H13621" t="s">
        <v>15799</v>
      </c>
      <c r="I13621" t="s">
        <v>31388</v>
      </c>
      <c r="J13621" t="s">
        <v>39758</v>
      </c>
      <c r="K13621" t="s">
        <v>40665</v>
      </c>
      <c r="M13621" t="s">
        <v>41152</v>
      </c>
      <c r="N13621" t="s">
        <v>44905</v>
      </c>
      <c r="O13621" t="s">
        <v>44906</v>
      </c>
      <c r="P13621">
        <v>0</v>
      </c>
      <c r="Q13621">
        <v>1</v>
      </c>
      <c r="R13621" t="s">
        <v>44923</v>
      </c>
      <c r="S13621" t="s">
        <v>45744</v>
      </c>
      <c r="T13621" t="s">
        <v>46410</v>
      </c>
      <c r="U13621" t="s">
        <v>57795</v>
      </c>
      <c r="V13621" t="s">
        <v>60606</v>
      </c>
      <c r="W13621" t="s">
        <v>41152</v>
      </c>
      <c r="X13621" t="s">
        <v>44924</v>
      </c>
    </row>
    <row r="13622" spans="1:24">
      <c r="A13622">
        <f>HYPERLINK("https://www.philgeps.gov.ph/GEPSNONPILOT/Tender/SplashBidNoticeAbstractUI.aspx?menuIndex=3&amp;refID=7052590&amp;Result=3","7052590")</f>
        <v>0</v>
      </c>
      <c r="B13622" t="s">
        <v>3374</v>
      </c>
      <c r="C13622" t="s">
        <v>16557</v>
      </c>
      <c r="D13622" t="s">
        <v>18105</v>
      </c>
      <c r="E13622" t="s">
        <v>22241</v>
      </c>
      <c r="F13622" t="s">
        <v>31362</v>
      </c>
      <c r="G13622" t="s">
        <v>31369</v>
      </c>
      <c r="H13622" t="s">
        <v>31378</v>
      </c>
      <c r="I13622" t="s">
        <v>31386</v>
      </c>
      <c r="J13622" t="s">
        <v>39759</v>
      </c>
      <c r="K13622" t="s">
        <v>40665</v>
      </c>
      <c r="M13622" t="s">
        <v>44679</v>
      </c>
      <c r="N13622" t="s">
        <v>44905</v>
      </c>
      <c r="O13622" t="s">
        <v>44906</v>
      </c>
      <c r="P13622">
        <v>0</v>
      </c>
      <c r="Q13622">
        <v>1</v>
      </c>
      <c r="R13622" t="s">
        <v>44922</v>
      </c>
      <c r="S13622" t="s">
        <v>45639</v>
      </c>
      <c r="T13622" t="s">
        <v>46393</v>
      </c>
      <c r="U13622" t="s">
        <v>57796</v>
      </c>
      <c r="W13622" t="s">
        <v>44679</v>
      </c>
      <c r="X13622" t="s">
        <v>44923</v>
      </c>
    </row>
    <row r="13623" spans="1:24">
      <c r="A13623">
        <f>HYPERLINK("https://www.philgeps.gov.ph/GEPSNONPILOT/Tender/SplashBidNoticeAbstractUI.aspx?menuIndex=3&amp;refID=7052492&amp;Result=3","7052492")</f>
        <v>0</v>
      </c>
      <c r="B13623" t="s">
        <v>2054</v>
      </c>
      <c r="C13623" t="s">
        <v>13785</v>
      </c>
      <c r="D13623" t="s">
        <v>18100</v>
      </c>
      <c r="E13623" t="s">
        <v>29969</v>
      </c>
      <c r="F13623" t="s">
        <v>31362</v>
      </c>
      <c r="G13623" t="s">
        <v>31369</v>
      </c>
      <c r="H13623" t="s">
        <v>15799</v>
      </c>
      <c r="I13623" t="s">
        <v>31464</v>
      </c>
      <c r="J13623" t="s">
        <v>32252</v>
      </c>
      <c r="K13623" t="s">
        <v>40693</v>
      </c>
      <c r="M13623" t="s">
        <v>43176</v>
      </c>
      <c r="N13623" t="s">
        <v>44905</v>
      </c>
      <c r="O13623" t="s">
        <v>44906</v>
      </c>
      <c r="P13623">
        <v>0</v>
      </c>
      <c r="Q13623">
        <v>0</v>
      </c>
      <c r="R13623" t="s">
        <v>44922</v>
      </c>
      <c r="S13623" t="s">
        <v>45639</v>
      </c>
      <c r="T13623" t="s">
        <v>46467</v>
      </c>
      <c r="U13623" t="s">
        <v>47766</v>
      </c>
      <c r="W13623" t="s">
        <v>43176</v>
      </c>
      <c r="X13623" t="s">
        <v>44923</v>
      </c>
    </row>
    <row r="13624" spans="1:24">
      <c r="A13624">
        <f>HYPERLINK("https://www.philgeps.gov.ph/GEPSNONPILOT/Tender/SplashBidNoticeAbstractUI.aspx?menuIndex=3&amp;refID=7046422&amp;Result=3","7046422")</f>
        <v>0</v>
      </c>
      <c r="B13624" t="s">
        <v>1002</v>
      </c>
      <c r="C13624" t="s">
        <v>16558</v>
      </c>
      <c r="D13624" t="s">
        <v>18199</v>
      </c>
      <c r="E13624" t="s">
        <v>29970</v>
      </c>
      <c r="F13624" t="s">
        <v>31362</v>
      </c>
      <c r="G13624" t="s">
        <v>31369</v>
      </c>
      <c r="H13624" t="s">
        <v>15799</v>
      </c>
      <c r="I13624" t="s">
        <v>31397</v>
      </c>
      <c r="J13624" t="s">
        <v>39760</v>
      </c>
      <c r="K13624" t="s">
        <v>40682</v>
      </c>
      <c r="M13624" t="s">
        <v>41998</v>
      </c>
      <c r="N13624" t="s">
        <v>44905</v>
      </c>
      <c r="O13624" t="s">
        <v>44906</v>
      </c>
      <c r="P13624">
        <v>0</v>
      </c>
      <c r="Q13624">
        <v>4</v>
      </c>
      <c r="R13624" t="s">
        <v>44923</v>
      </c>
      <c r="S13624" t="s">
        <v>45744</v>
      </c>
      <c r="T13624" t="s">
        <v>46447</v>
      </c>
      <c r="U13624" t="s">
        <v>57797</v>
      </c>
      <c r="W13624" t="s">
        <v>60879</v>
      </c>
      <c r="X13624" t="s">
        <v>44925</v>
      </c>
    </row>
    <row r="13625" spans="1:24">
      <c r="A13625">
        <f>HYPERLINK("https://www.philgeps.gov.ph/GEPSNONPILOT/Tender/SplashBidNoticeAbstractUI.aspx?menuIndex=3&amp;refID=7052491&amp;Result=3","7052491")</f>
        <v>0</v>
      </c>
      <c r="B13625" t="s">
        <v>2875</v>
      </c>
      <c r="C13625" t="s">
        <v>16559</v>
      </c>
      <c r="D13625" t="s">
        <v>18100</v>
      </c>
      <c r="E13625" t="s">
        <v>19783</v>
      </c>
      <c r="F13625" t="s">
        <v>31362</v>
      </c>
      <c r="G13625" t="s">
        <v>31368</v>
      </c>
      <c r="H13625" t="s">
        <v>15799</v>
      </c>
      <c r="I13625" t="s">
        <v>31385</v>
      </c>
      <c r="J13625" t="s">
        <v>34356</v>
      </c>
      <c r="K13625" t="s">
        <v>40693</v>
      </c>
      <c r="M13625" t="s">
        <v>44084</v>
      </c>
      <c r="N13625" t="s">
        <v>44905</v>
      </c>
      <c r="O13625" t="s">
        <v>44906</v>
      </c>
      <c r="P13625">
        <v>0</v>
      </c>
      <c r="Q13625">
        <v>1</v>
      </c>
      <c r="R13625" t="s">
        <v>44922</v>
      </c>
      <c r="S13625" t="s">
        <v>45639</v>
      </c>
      <c r="T13625" t="s">
        <v>46443</v>
      </c>
      <c r="U13625" t="s">
        <v>57798</v>
      </c>
      <c r="W13625" t="s">
        <v>44084</v>
      </c>
      <c r="X13625" t="s">
        <v>44923</v>
      </c>
    </row>
    <row r="13626" spans="1:24">
      <c r="A13626">
        <f>HYPERLINK("https://www.philgeps.gov.ph/GEPSNONPILOT/Tender/SplashBidNoticeAbstractUI.aspx?menuIndex=3&amp;refID=7048084&amp;Result=3","7048084")</f>
        <v>0</v>
      </c>
      <c r="B13626" t="s">
        <v>61</v>
      </c>
      <c r="C13626" t="s">
        <v>16560</v>
      </c>
      <c r="D13626" t="s">
        <v>18124</v>
      </c>
      <c r="E13626" t="s">
        <v>29971</v>
      </c>
      <c r="F13626" t="s">
        <v>31362</v>
      </c>
      <c r="G13626" t="s">
        <v>31369</v>
      </c>
      <c r="H13626" t="s">
        <v>15799</v>
      </c>
      <c r="I13626" t="s">
        <v>31409</v>
      </c>
      <c r="J13626" t="s">
        <v>33446</v>
      </c>
      <c r="K13626" t="s">
        <v>40679</v>
      </c>
      <c r="M13626" t="s">
        <v>40996</v>
      </c>
      <c r="N13626" t="s">
        <v>44905</v>
      </c>
      <c r="O13626" t="s">
        <v>44906</v>
      </c>
      <c r="P13626">
        <v>0</v>
      </c>
      <c r="Q13626">
        <v>3</v>
      </c>
      <c r="R13626" t="s">
        <v>44923</v>
      </c>
      <c r="S13626" t="s">
        <v>45744</v>
      </c>
      <c r="T13626" t="s">
        <v>46435</v>
      </c>
      <c r="U13626" t="s">
        <v>57799</v>
      </c>
      <c r="W13626" t="s">
        <v>40996</v>
      </c>
      <c r="X13626" t="s">
        <v>44924</v>
      </c>
    </row>
    <row r="13627" spans="1:24">
      <c r="A13627">
        <f>HYPERLINK("https://www.philgeps.gov.ph/GEPSNONPILOT/Tender/SplashBidNoticeAbstractUI.aspx?menuIndex=3&amp;refID=7046394&amp;Result=3","7046394")</f>
        <v>0</v>
      </c>
      <c r="B13627" t="s">
        <v>1002</v>
      </c>
      <c r="C13627" t="s">
        <v>16561</v>
      </c>
      <c r="D13627" t="s">
        <v>18158</v>
      </c>
      <c r="E13627" t="s">
        <v>29972</v>
      </c>
      <c r="F13627" t="s">
        <v>31362</v>
      </c>
      <c r="G13627" t="s">
        <v>31369</v>
      </c>
      <c r="H13627" t="s">
        <v>15799</v>
      </c>
      <c r="I13627" t="s">
        <v>31397</v>
      </c>
      <c r="J13627" t="s">
        <v>31817</v>
      </c>
      <c r="K13627" t="s">
        <v>40665</v>
      </c>
      <c r="M13627" t="s">
        <v>41998</v>
      </c>
      <c r="N13627" t="s">
        <v>44905</v>
      </c>
      <c r="O13627" t="s">
        <v>44906</v>
      </c>
      <c r="P13627">
        <v>0</v>
      </c>
      <c r="Q13627">
        <v>1</v>
      </c>
      <c r="R13627" t="s">
        <v>44923</v>
      </c>
      <c r="S13627" t="s">
        <v>45744</v>
      </c>
      <c r="T13627" t="s">
        <v>46447</v>
      </c>
      <c r="U13627" t="s">
        <v>57800</v>
      </c>
      <c r="W13627" t="s">
        <v>60879</v>
      </c>
      <c r="X13627" t="s">
        <v>44925</v>
      </c>
    </row>
    <row r="13628" spans="1:24">
      <c r="A13628">
        <f>HYPERLINK("https://www.philgeps.gov.ph/GEPSNONPILOT/Tender/SplashBidNoticeAbstractUI.aspx?menuIndex=3&amp;refID=7047404&amp;Result=3","7047404")</f>
        <v>0</v>
      </c>
      <c r="B13628" t="s">
        <v>2910</v>
      </c>
      <c r="C13628" t="s">
        <v>16562</v>
      </c>
      <c r="D13628" t="s">
        <v>18171</v>
      </c>
      <c r="E13628" t="s">
        <v>29973</v>
      </c>
      <c r="F13628" t="s">
        <v>31362</v>
      </c>
      <c r="G13628" t="s">
        <v>31369</v>
      </c>
      <c r="H13628" t="s">
        <v>15799</v>
      </c>
      <c r="I13628" t="s">
        <v>4942</v>
      </c>
      <c r="J13628" t="s">
        <v>39761</v>
      </c>
      <c r="K13628" t="s">
        <v>40662</v>
      </c>
      <c r="M13628" t="s">
        <v>44125</v>
      </c>
      <c r="N13628" t="s">
        <v>44905</v>
      </c>
      <c r="O13628" t="s">
        <v>44906</v>
      </c>
      <c r="P13628">
        <v>0</v>
      </c>
      <c r="Q13628">
        <v>1</v>
      </c>
      <c r="R13628" t="s">
        <v>44923</v>
      </c>
      <c r="S13628" t="s">
        <v>45744</v>
      </c>
      <c r="T13628" t="s">
        <v>46400</v>
      </c>
      <c r="U13628" t="s">
        <v>57801</v>
      </c>
      <c r="W13628" t="s">
        <v>44125</v>
      </c>
      <c r="X13628" t="s">
        <v>44924</v>
      </c>
    </row>
    <row r="13629" spans="1:24">
      <c r="A13629">
        <f>HYPERLINK("https://www.philgeps.gov.ph/GEPSNONPILOT/Tender/SplashBidNoticeAbstractUI.aspx?menuIndex=3&amp;refID=7046323&amp;Result=3","7046323")</f>
        <v>0</v>
      </c>
      <c r="B13629" t="s">
        <v>1895</v>
      </c>
      <c r="C13629" t="s">
        <v>16563</v>
      </c>
      <c r="D13629" t="s">
        <v>18151</v>
      </c>
      <c r="E13629" t="s">
        <v>29974</v>
      </c>
      <c r="F13629" t="s">
        <v>31362</v>
      </c>
      <c r="G13629" t="s">
        <v>31369</v>
      </c>
      <c r="H13629" t="s">
        <v>31378</v>
      </c>
      <c r="I13629" t="s">
        <v>31386</v>
      </c>
      <c r="J13629" t="s">
        <v>31606</v>
      </c>
      <c r="K13629" t="s">
        <v>40686</v>
      </c>
      <c r="M13629" t="s">
        <v>44700</v>
      </c>
      <c r="N13629" t="s">
        <v>44905</v>
      </c>
      <c r="O13629" t="s">
        <v>44906</v>
      </c>
      <c r="P13629">
        <v>0</v>
      </c>
      <c r="Q13629">
        <v>2</v>
      </c>
      <c r="R13629" t="s">
        <v>44923</v>
      </c>
      <c r="S13629" t="s">
        <v>45744</v>
      </c>
      <c r="T13629" t="s">
        <v>46410</v>
      </c>
      <c r="U13629" t="s">
        <v>57716</v>
      </c>
      <c r="W13629" t="s">
        <v>44700</v>
      </c>
      <c r="X13629" t="s">
        <v>44925</v>
      </c>
    </row>
    <row r="13630" spans="1:24">
      <c r="A13630">
        <f>HYPERLINK("https://www.philgeps.gov.ph/GEPSNONPILOT/Tender/SplashBidNoticeAbstractUI.aspx?menuIndex=3&amp;refID=7048038&amp;Result=3","7048038")</f>
        <v>0</v>
      </c>
      <c r="B13630" t="s">
        <v>3391</v>
      </c>
      <c r="C13630" t="s">
        <v>16564</v>
      </c>
      <c r="D13630" t="s">
        <v>18101</v>
      </c>
      <c r="E13630" t="s">
        <v>19255</v>
      </c>
      <c r="F13630" t="s">
        <v>31362</v>
      </c>
      <c r="G13630" t="s">
        <v>31369</v>
      </c>
      <c r="H13630" t="s">
        <v>15799</v>
      </c>
      <c r="I13630" t="s">
        <v>7188</v>
      </c>
      <c r="J13630" t="s">
        <v>31987</v>
      </c>
      <c r="K13630" t="s">
        <v>40677</v>
      </c>
      <c r="M13630" t="s">
        <v>44701</v>
      </c>
      <c r="N13630" t="s">
        <v>44905</v>
      </c>
      <c r="O13630" t="s">
        <v>44906</v>
      </c>
      <c r="Q13630">
        <v>4</v>
      </c>
      <c r="R13630" t="s">
        <v>44923</v>
      </c>
      <c r="S13630" t="s">
        <v>45768</v>
      </c>
      <c r="T13630" t="s">
        <v>46432</v>
      </c>
      <c r="U13630" t="s">
        <v>57802</v>
      </c>
      <c r="W13630" t="s">
        <v>44701</v>
      </c>
      <c r="X13630" t="s">
        <v>44924</v>
      </c>
    </row>
    <row r="13631" spans="1:24">
      <c r="A13631">
        <f>HYPERLINK("https://www.philgeps.gov.ph/GEPSNONPILOT/Tender/SplashBidNoticeAbstractUI.aspx?menuIndex=3&amp;refID=7048046&amp;Result=3","7048046")</f>
        <v>0</v>
      </c>
      <c r="B13631" t="s">
        <v>272</v>
      </c>
      <c r="C13631" t="s">
        <v>16565</v>
      </c>
      <c r="D13631" t="s">
        <v>18110</v>
      </c>
      <c r="E13631" t="s">
        <v>20451</v>
      </c>
      <c r="F13631" t="s">
        <v>31362</v>
      </c>
      <c r="G13631" t="s">
        <v>31369</v>
      </c>
      <c r="H13631" t="s">
        <v>31378</v>
      </c>
      <c r="I13631" t="s">
        <v>31386</v>
      </c>
      <c r="J13631" t="s">
        <v>31542</v>
      </c>
      <c r="K13631" t="s">
        <v>40665</v>
      </c>
      <c r="M13631" t="s">
        <v>41214</v>
      </c>
      <c r="N13631" t="s">
        <v>44905</v>
      </c>
      <c r="O13631" t="s">
        <v>44906</v>
      </c>
      <c r="P13631">
        <v>0</v>
      </c>
      <c r="Q13631">
        <v>0</v>
      </c>
      <c r="R13631" t="s">
        <v>44923</v>
      </c>
      <c r="S13631" t="s">
        <v>45744</v>
      </c>
      <c r="T13631" t="s">
        <v>46447</v>
      </c>
      <c r="U13631" t="s">
        <v>57803</v>
      </c>
      <c r="W13631" t="s">
        <v>60843</v>
      </c>
      <c r="X13631" t="s">
        <v>44924</v>
      </c>
    </row>
    <row r="13632" spans="1:24">
      <c r="A13632">
        <f>HYPERLINK("https://www.philgeps.gov.ph/GEPSNONPILOT/Tender/SplashBidNoticeAbstractUI.aspx?menuIndex=3&amp;refID=7048039&amp;Result=3","7048039")</f>
        <v>0</v>
      </c>
      <c r="B13632" t="s">
        <v>700</v>
      </c>
      <c r="C13632" t="s">
        <v>16566</v>
      </c>
      <c r="E13632" t="s">
        <v>29975</v>
      </c>
      <c r="F13632" t="s">
        <v>31362</v>
      </c>
      <c r="G13632" t="s">
        <v>31368</v>
      </c>
      <c r="H13632" t="s">
        <v>15799</v>
      </c>
      <c r="I13632" t="s">
        <v>31465</v>
      </c>
      <c r="J13632" t="s">
        <v>34865</v>
      </c>
      <c r="K13632" t="s">
        <v>40662</v>
      </c>
      <c r="M13632" t="s">
        <v>41665</v>
      </c>
      <c r="N13632" t="s">
        <v>44905</v>
      </c>
      <c r="O13632" t="s">
        <v>44906</v>
      </c>
      <c r="Q13632">
        <v>15</v>
      </c>
      <c r="R13632" t="s">
        <v>44923</v>
      </c>
      <c r="S13632" t="s">
        <v>45769</v>
      </c>
      <c r="T13632" t="s">
        <v>46593</v>
      </c>
      <c r="U13632" t="s">
        <v>57804</v>
      </c>
      <c r="V13632" t="s">
        <v>60607</v>
      </c>
      <c r="W13632" t="s">
        <v>41665</v>
      </c>
      <c r="X13632" t="s">
        <v>44924</v>
      </c>
    </row>
    <row r="13633" spans="1:24">
      <c r="A13633">
        <f>HYPERLINK("https://www.philgeps.gov.ph/GEPSNONPILOT/Tender/SplashBidNoticeAbstractUI.aspx?menuIndex=3&amp;refID=7048012&amp;Result=3","7048012")</f>
        <v>0</v>
      </c>
      <c r="B13633" t="s">
        <v>675</v>
      </c>
      <c r="C13633" t="s">
        <v>16567</v>
      </c>
      <c r="D13633" t="s">
        <v>18111</v>
      </c>
      <c r="E13633" t="s">
        <v>29976</v>
      </c>
      <c r="F13633" t="s">
        <v>31362</v>
      </c>
      <c r="G13633" t="s">
        <v>31369</v>
      </c>
      <c r="H13633" t="s">
        <v>15799</v>
      </c>
      <c r="I13633" t="s">
        <v>7719</v>
      </c>
      <c r="J13633" t="s">
        <v>33472</v>
      </c>
      <c r="K13633" t="s">
        <v>40662</v>
      </c>
      <c r="M13633" t="s">
        <v>41637</v>
      </c>
      <c r="N13633" t="s">
        <v>44905</v>
      </c>
      <c r="O13633" t="s">
        <v>44906</v>
      </c>
      <c r="P13633">
        <v>0</v>
      </c>
      <c r="Q13633">
        <v>26</v>
      </c>
      <c r="R13633" t="s">
        <v>44923</v>
      </c>
      <c r="S13633" t="s">
        <v>45744</v>
      </c>
      <c r="T13633" t="s">
        <v>46410</v>
      </c>
      <c r="U13633" t="s">
        <v>57805</v>
      </c>
      <c r="W13633" t="s">
        <v>41637</v>
      </c>
      <c r="X13633" t="s">
        <v>44924</v>
      </c>
    </row>
    <row r="13634" spans="1:24">
      <c r="A13634">
        <f>HYPERLINK("https://www.philgeps.gov.ph/GEPSNONPILOT/Tender/SplashBidNoticeAbstractUI.aspx?menuIndex=3&amp;refID=7046370&amp;Result=3","7046370")</f>
        <v>0</v>
      </c>
      <c r="B13634" t="s">
        <v>1895</v>
      </c>
      <c r="C13634" t="s">
        <v>16568</v>
      </c>
      <c r="D13634" t="s">
        <v>18151</v>
      </c>
      <c r="E13634" t="s">
        <v>29977</v>
      </c>
      <c r="F13634" t="s">
        <v>31362</v>
      </c>
      <c r="G13634" t="s">
        <v>31369</v>
      </c>
      <c r="H13634" t="s">
        <v>31378</v>
      </c>
      <c r="I13634" t="s">
        <v>31386</v>
      </c>
      <c r="J13634" t="s">
        <v>31625</v>
      </c>
      <c r="K13634" t="s">
        <v>40686</v>
      </c>
      <c r="M13634" t="s">
        <v>44675</v>
      </c>
      <c r="N13634" t="s">
        <v>44905</v>
      </c>
      <c r="O13634" t="s">
        <v>44906</v>
      </c>
      <c r="P13634">
        <v>0</v>
      </c>
      <c r="Q13634">
        <v>0</v>
      </c>
      <c r="R13634" t="s">
        <v>44923</v>
      </c>
      <c r="S13634" t="s">
        <v>45744</v>
      </c>
      <c r="T13634" t="s">
        <v>46410</v>
      </c>
      <c r="U13634" t="s">
        <v>57806</v>
      </c>
      <c r="W13634" t="s">
        <v>44700</v>
      </c>
      <c r="X13634" t="s">
        <v>44925</v>
      </c>
    </row>
    <row r="13635" spans="1:24">
      <c r="A13635">
        <f>HYPERLINK("https://www.philgeps.gov.ph/GEPSNONPILOT/Tender/SplashBidNoticeAbstractUI.aspx?menuIndex=3&amp;refID=7047982&amp;Result=3","7047982")</f>
        <v>0</v>
      </c>
      <c r="B13635" t="s">
        <v>1774</v>
      </c>
      <c r="C13635" t="s">
        <v>16569</v>
      </c>
      <c r="D13635" t="s">
        <v>18112</v>
      </c>
      <c r="E13635" t="s">
        <v>29978</v>
      </c>
      <c r="F13635" t="s">
        <v>31362</v>
      </c>
      <c r="G13635" t="s">
        <v>31369</v>
      </c>
      <c r="H13635" t="s">
        <v>15799</v>
      </c>
      <c r="I13635" t="s">
        <v>3815</v>
      </c>
      <c r="J13635" t="s">
        <v>39762</v>
      </c>
      <c r="K13635" t="s">
        <v>40662</v>
      </c>
      <c r="M13635" t="s">
        <v>42852</v>
      </c>
      <c r="N13635" t="s">
        <v>44905</v>
      </c>
      <c r="O13635" t="s">
        <v>44906</v>
      </c>
      <c r="P13635">
        <v>0</v>
      </c>
      <c r="Q13635">
        <v>4</v>
      </c>
      <c r="R13635" t="s">
        <v>44923</v>
      </c>
      <c r="S13635" t="s">
        <v>45744</v>
      </c>
      <c r="T13635" t="s">
        <v>46422</v>
      </c>
      <c r="U13635" t="s">
        <v>57807</v>
      </c>
      <c r="V13635" t="s">
        <v>59584</v>
      </c>
      <c r="W13635" t="s">
        <v>42852</v>
      </c>
      <c r="X13635" t="s">
        <v>44924</v>
      </c>
    </row>
    <row r="13636" spans="1:24">
      <c r="A13636">
        <f>HYPERLINK("https://www.philgeps.gov.ph/GEPSNONPILOT/Tender/SplashBidNoticeAbstractUI.aspx?menuIndex=3&amp;refID=7047301&amp;Result=3","7047301")</f>
        <v>0</v>
      </c>
      <c r="B13636" t="s">
        <v>1297</v>
      </c>
      <c r="C13636" t="s">
        <v>16570</v>
      </c>
      <c r="D13636" t="s">
        <v>18125</v>
      </c>
      <c r="E13636" t="s">
        <v>29979</v>
      </c>
      <c r="F13636" t="s">
        <v>31362</v>
      </c>
      <c r="G13636" t="s">
        <v>31369</v>
      </c>
      <c r="H13636" t="s">
        <v>31378</v>
      </c>
      <c r="I13636" t="s">
        <v>31386</v>
      </c>
      <c r="J13636" t="s">
        <v>39763</v>
      </c>
      <c r="K13636" t="s">
        <v>40835</v>
      </c>
      <c r="M13636" t="s">
        <v>42315</v>
      </c>
      <c r="N13636" t="s">
        <v>44905</v>
      </c>
      <c r="O13636" t="s">
        <v>44906</v>
      </c>
      <c r="P13636">
        <v>0</v>
      </c>
      <c r="Q13636">
        <v>2</v>
      </c>
      <c r="R13636" t="s">
        <v>44923</v>
      </c>
      <c r="S13636" t="s">
        <v>45744</v>
      </c>
      <c r="T13636" t="s">
        <v>46583</v>
      </c>
      <c r="U13636" t="s">
        <v>49768</v>
      </c>
      <c r="W13636" t="s">
        <v>42315</v>
      </c>
      <c r="X13636" t="s">
        <v>44924</v>
      </c>
    </row>
    <row r="13637" spans="1:24">
      <c r="A13637">
        <f>HYPERLINK("https://www.philgeps.gov.ph/GEPSNONPILOT/Tender/SplashBidNoticeAbstractUI.aspx?menuIndex=3&amp;refID=7047955&amp;Result=3","7047955")</f>
        <v>0</v>
      </c>
      <c r="B13637" t="s">
        <v>272</v>
      </c>
      <c r="C13637" t="s">
        <v>16571</v>
      </c>
      <c r="D13637" t="s">
        <v>18110</v>
      </c>
      <c r="E13637" t="s">
        <v>29980</v>
      </c>
      <c r="F13637" t="s">
        <v>31362</v>
      </c>
      <c r="G13637" t="s">
        <v>31369</v>
      </c>
      <c r="H13637" t="s">
        <v>31378</v>
      </c>
      <c r="I13637" t="s">
        <v>31386</v>
      </c>
      <c r="J13637" t="s">
        <v>39764</v>
      </c>
      <c r="K13637" t="s">
        <v>40679</v>
      </c>
      <c r="M13637" t="s">
        <v>41214</v>
      </c>
      <c r="N13637" t="s">
        <v>44905</v>
      </c>
      <c r="O13637" t="s">
        <v>44906</v>
      </c>
      <c r="P13637">
        <v>0</v>
      </c>
      <c r="Q13637">
        <v>0</v>
      </c>
      <c r="R13637" t="s">
        <v>44923</v>
      </c>
      <c r="S13637" t="s">
        <v>45744</v>
      </c>
      <c r="T13637" t="s">
        <v>46447</v>
      </c>
      <c r="U13637" t="s">
        <v>57808</v>
      </c>
      <c r="W13637" t="s">
        <v>60843</v>
      </c>
      <c r="X13637" t="s">
        <v>44924</v>
      </c>
    </row>
    <row r="13638" spans="1:24">
      <c r="A13638">
        <f>HYPERLINK("https://www.philgeps.gov.ph/GEPSNONPILOT/Tender/SplashBidNoticeAbstractUI.aspx?menuIndex=3&amp;refID=7048017&amp;Result=3","7048017")</f>
        <v>0</v>
      </c>
      <c r="B13638" t="s">
        <v>658</v>
      </c>
      <c r="C13638" t="s">
        <v>16572</v>
      </c>
      <c r="D13638" t="s">
        <v>18108</v>
      </c>
      <c r="E13638" t="s">
        <v>29981</v>
      </c>
      <c r="F13638" t="s">
        <v>31362</v>
      </c>
      <c r="G13638" t="s">
        <v>31369</v>
      </c>
      <c r="H13638" t="s">
        <v>15799</v>
      </c>
      <c r="I13638" t="s">
        <v>31393</v>
      </c>
      <c r="J13638" t="s">
        <v>39765</v>
      </c>
      <c r="K13638" t="s">
        <v>40662</v>
      </c>
      <c r="M13638" t="s">
        <v>41620</v>
      </c>
      <c r="N13638" t="s">
        <v>44905</v>
      </c>
      <c r="O13638" t="s">
        <v>44906</v>
      </c>
      <c r="P13638">
        <v>0</v>
      </c>
      <c r="Q13638">
        <v>37</v>
      </c>
      <c r="R13638" t="s">
        <v>44923</v>
      </c>
      <c r="S13638" t="s">
        <v>45744</v>
      </c>
      <c r="T13638" t="s">
        <v>46874</v>
      </c>
      <c r="U13638" t="s">
        <v>57809</v>
      </c>
      <c r="W13638" t="s">
        <v>41620</v>
      </c>
      <c r="X13638" t="s">
        <v>44924</v>
      </c>
    </row>
    <row r="13639" spans="1:24">
      <c r="A13639">
        <f>HYPERLINK("https://www.philgeps.gov.ph/GEPSNONPILOT/Tender/SplashBidNoticeAbstractUI.aspx?menuIndex=3&amp;refID=7047947&amp;Result=3","7047947")</f>
        <v>0</v>
      </c>
      <c r="B13639" t="s">
        <v>546</v>
      </c>
      <c r="C13639" t="s">
        <v>16573</v>
      </c>
      <c r="D13639" t="s">
        <v>18133</v>
      </c>
      <c r="E13639" t="s">
        <v>29982</v>
      </c>
      <c r="F13639" t="s">
        <v>31362</v>
      </c>
      <c r="G13639" t="s">
        <v>31369</v>
      </c>
      <c r="H13639" t="s">
        <v>15799</v>
      </c>
      <c r="I13639" t="s">
        <v>7090</v>
      </c>
      <c r="J13639" t="s">
        <v>39766</v>
      </c>
      <c r="K13639" t="s">
        <v>40665</v>
      </c>
      <c r="L13639" t="s">
        <v>546</v>
      </c>
      <c r="M13639" t="s">
        <v>41502</v>
      </c>
      <c r="N13639" t="s">
        <v>44905</v>
      </c>
      <c r="O13639" t="s">
        <v>44906</v>
      </c>
      <c r="P13639">
        <v>0</v>
      </c>
      <c r="Q13639">
        <v>2</v>
      </c>
      <c r="R13639" t="s">
        <v>44923</v>
      </c>
      <c r="S13639" t="s">
        <v>45744</v>
      </c>
      <c r="T13639" t="s">
        <v>46432</v>
      </c>
      <c r="U13639" t="s">
        <v>57810</v>
      </c>
      <c r="V13639" t="s">
        <v>60181</v>
      </c>
      <c r="W13639" t="s">
        <v>41502</v>
      </c>
      <c r="X13639" t="s">
        <v>44924</v>
      </c>
    </row>
    <row r="13640" spans="1:24">
      <c r="A13640">
        <f>HYPERLINK("https://www.philgeps.gov.ph/GEPSNONPILOT/Tender/SplashBidNoticeAbstractUI.aspx?menuIndex=3&amp;refID=7047934&amp;Result=3","7047934")</f>
        <v>0</v>
      </c>
      <c r="B13640" t="s">
        <v>573</v>
      </c>
      <c r="C13640" t="s">
        <v>16574</v>
      </c>
      <c r="D13640" t="s">
        <v>18105</v>
      </c>
      <c r="E13640" t="s">
        <v>29983</v>
      </c>
      <c r="F13640" t="s">
        <v>31362</v>
      </c>
      <c r="G13640" t="s">
        <v>31369</v>
      </c>
      <c r="H13640" t="s">
        <v>15799</v>
      </c>
      <c r="I13640" t="s">
        <v>31409</v>
      </c>
      <c r="J13640" t="s">
        <v>31607</v>
      </c>
      <c r="K13640" t="s">
        <v>40675</v>
      </c>
      <c r="M13640" t="s">
        <v>41529</v>
      </c>
      <c r="N13640" t="s">
        <v>44905</v>
      </c>
      <c r="O13640" t="s">
        <v>44906</v>
      </c>
      <c r="P13640">
        <v>0</v>
      </c>
      <c r="Q13640">
        <v>5</v>
      </c>
      <c r="R13640" t="s">
        <v>44923</v>
      </c>
      <c r="S13640" t="s">
        <v>45744</v>
      </c>
      <c r="T13640" t="s">
        <v>46410</v>
      </c>
      <c r="U13640" t="s">
        <v>57811</v>
      </c>
      <c r="W13640" t="s">
        <v>41529</v>
      </c>
      <c r="X13640" t="s">
        <v>44924</v>
      </c>
    </row>
    <row r="13641" spans="1:24">
      <c r="A13641">
        <f>HYPERLINK("https://www.philgeps.gov.ph/GEPSNONPILOT/Tender/SplashBidNoticeAbstractUI.aspx?menuIndex=3&amp;refID=7048035&amp;Result=3","7048035")</f>
        <v>0</v>
      </c>
      <c r="B13641" t="s">
        <v>1774</v>
      </c>
      <c r="C13641" t="s">
        <v>16575</v>
      </c>
      <c r="D13641" t="s">
        <v>18112</v>
      </c>
      <c r="E13641" t="s">
        <v>29984</v>
      </c>
      <c r="F13641" t="s">
        <v>31362</v>
      </c>
      <c r="G13641" t="s">
        <v>31369</v>
      </c>
      <c r="H13641" t="s">
        <v>15799</v>
      </c>
      <c r="I13641" t="s">
        <v>3815</v>
      </c>
      <c r="J13641" t="s">
        <v>39767</v>
      </c>
      <c r="K13641" t="s">
        <v>40662</v>
      </c>
      <c r="M13641" t="s">
        <v>42852</v>
      </c>
      <c r="N13641" t="s">
        <v>44905</v>
      </c>
      <c r="O13641" t="s">
        <v>44906</v>
      </c>
      <c r="P13641">
        <v>0</v>
      </c>
      <c r="Q13641">
        <v>4</v>
      </c>
      <c r="R13641" t="s">
        <v>44923</v>
      </c>
      <c r="S13641" t="s">
        <v>45744</v>
      </c>
      <c r="T13641" t="s">
        <v>46447</v>
      </c>
      <c r="U13641" t="s">
        <v>57812</v>
      </c>
      <c r="V13641" t="s">
        <v>59584</v>
      </c>
      <c r="W13641" t="s">
        <v>42852</v>
      </c>
      <c r="X13641" t="s">
        <v>44924</v>
      </c>
    </row>
    <row r="13642" spans="1:24">
      <c r="A13642">
        <f>HYPERLINK("https://www.philgeps.gov.ph/GEPSNONPILOT/Tender/SplashBidNoticeAbstractUI.aspx?menuIndex=3&amp;refID=7047937&amp;Result=3","7047937")</f>
        <v>0</v>
      </c>
      <c r="B13642" t="s">
        <v>1774</v>
      </c>
      <c r="C13642" t="s">
        <v>16576</v>
      </c>
      <c r="D13642" t="s">
        <v>18112</v>
      </c>
      <c r="E13642" t="s">
        <v>29985</v>
      </c>
      <c r="F13642" t="s">
        <v>31362</v>
      </c>
      <c r="G13642" t="s">
        <v>31369</v>
      </c>
      <c r="H13642" t="s">
        <v>15799</v>
      </c>
      <c r="I13642" t="s">
        <v>3815</v>
      </c>
      <c r="J13642" t="s">
        <v>39768</v>
      </c>
      <c r="K13642" t="s">
        <v>40662</v>
      </c>
      <c r="M13642" t="s">
        <v>42852</v>
      </c>
      <c r="N13642" t="s">
        <v>44905</v>
      </c>
      <c r="O13642" t="s">
        <v>44906</v>
      </c>
      <c r="P13642">
        <v>0</v>
      </c>
      <c r="Q13642">
        <v>2</v>
      </c>
      <c r="R13642" t="s">
        <v>44923</v>
      </c>
      <c r="S13642" t="s">
        <v>45744</v>
      </c>
      <c r="T13642" t="s">
        <v>46447</v>
      </c>
      <c r="U13642" t="s">
        <v>57813</v>
      </c>
      <c r="V13642" t="s">
        <v>59584</v>
      </c>
      <c r="W13642" t="s">
        <v>42852</v>
      </c>
      <c r="X13642" t="s">
        <v>44924</v>
      </c>
    </row>
    <row r="13643" spans="1:24">
      <c r="A13643">
        <f>HYPERLINK("https://www.philgeps.gov.ph/GEPSNONPILOT/Tender/SplashBidNoticeAbstractUI.aspx?menuIndex=3&amp;refID=7047929&amp;Result=3","7047929")</f>
        <v>0</v>
      </c>
      <c r="B13643" t="s">
        <v>2951</v>
      </c>
      <c r="C13643" t="s">
        <v>16577</v>
      </c>
      <c r="D13643" t="s">
        <v>18151</v>
      </c>
      <c r="E13643" t="s">
        <v>29986</v>
      </c>
      <c r="F13643" t="s">
        <v>31362</v>
      </c>
      <c r="G13643" t="s">
        <v>31369</v>
      </c>
      <c r="H13643" t="s">
        <v>15799</v>
      </c>
      <c r="I13643" t="s">
        <v>31440</v>
      </c>
      <c r="J13643" t="s">
        <v>39769</v>
      </c>
      <c r="K13643" t="s">
        <v>40662</v>
      </c>
      <c r="M13643" t="s">
        <v>44174</v>
      </c>
      <c r="N13643" t="s">
        <v>44905</v>
      </c>
      <c r="O13643" t="s">
        <v>44906</v>
      </c>
      <c r="P13643">
        <v>0</v>
      </c>
      <c r="Q13643">
        <v>0</v>
      </c>
      <c r="R13643" t="s">
        <v>44923</v>
      </c>
      <c r="S13643" t="s">
        <v>45744</v>
      </c>
      <c r="T13643" t="s">
        <v>46530</v>
      </c>
      <c r="U13643" t="s">
        <v>57814</v>
      </c>
      <c r="W13643" t="s">
        <v>44174</v>
      </c>
      <c r="X13643" t="s">
        <v>44924</v>
      </c>
    </row>
    <row r="13644" spans="1:24">
      <c r="A13644">
        <f>HYPERLINK("https://www.philgeps.gov.ph/GEPSNONPILOT/Tender/SplashBidNoticeAbstractUI.aspx?menuIndex=3&amp;refID=7048051&amp;Result=3","7048051")</f>
        <v>0</v>
      </c>
      <c r="B13644" t="s">
        <v>658</v>
      </c>
      <c r="C13644" t="s">
        <v>16578</v>
      </c>
      <c r="D13644" t="s">
        <v>18108</v>
      </c>
      <c r="E13644" t="s">
        <v>29987</v>
      </c>
      <c r="F13644" t="s">
        <v>31362</v>
      </c>
      <c r="G13644" t="s">
        <v>31369</v>
      </c>
      <c r="H13644" t="s">
        <v>15799</v>
      </c>
      <c r="I13644" t="s">
        <v>31393</v>
      </c>
      <c r="J13644" t="s">
        <v>39770</v>
      </c>
      <c r="K13644" t="s">
        <v>40662</v>
      </c>
      <c r="M13644" t="s">
        <v>41620</v>
      </c>
      <c r="N13644" t="s">
        <v>44905</v>
      </c>
      <c r="O13644" t="s">
        <v>44906</v>
      </c>
      <c r="Q13644">
        <v>15</v>
      </c>
      <c r="R13644" t="s">
        <v>44923</v>
      </c>
      <c r="S13644" t="s">
        <v>45770</v>
      </c>
      <c r="T13644" t="s">
        <v>46744</v>
      </c>
      <c r="U13644" t="s">
        <v>57815</v>
      </c>
      <c r="W13644" t="s">
        <v>41620</v>
      </c>
      <c r="X13644" t="s">
        <v>44924</v>
      </c>
    </row>
    <row r="13645" spans="1:24">
      <c r="A13645">
        <f>HYPERLINK("https://www.philgeps.gov.ph/GEPSNONPILOT/Tender/SplashBidNoticeAbstractUI.aspx?menuIndex=3&amp;refID=7047918&amp;Result=3","7047918")</f>
        <v>0</v>
      </c>
      <c r="B13645" t="s">
        <v>546</v>
      </c>
      <c r="C13645" t="s">
        <v>16579</v>
      </c>
      <c r="D13645" t="s">
        <v>18133</v>
      </c>
      <c r="E13645" t="s">
        <v>29988</v>
      </c>
      <c r="F13645" t="s">
        <v>31362</v>
      </c>
      <c r="G13645" t="s">
        <v>31369</v>
      </c>
      <c r="H13645" t="s">
        <v>15799</v>
      </c>
      <c r="I13645" t="s">
        <v>31396</v>
      </c>
      <c r="J13645" t="s">
        <v>39771</v>
      </c>
      <c r="K13645" t="s">
        <v>40665</v>
      </c>
      <c r="L13645" t="s">
        <v>546</v>
      </c>
      <c r="M13645" t="s">
        <v>41502</v>
      </c>
      <c r="N13645" t="s">
        <v>44905</v>
      </c>
      <c r="O13645" t="s">
        <v>44906</v>
      </c>
      <c r="P13645">
        <v>0</v>
      </c>
      <c r="Q13645">
        <v>26</v>
      </c>
      <c r="R13645" t="s">
        <v>44923</v>
      </c>
      <c r="S13645" t="s">
        <v>45744</v>
      </c>
      <c r="T13645" t="s">
        <v>46432</v>
      </c>
      <c r="U13645" t="s">
        <v>57816</v>
      </c>
      <c r="V13645" t="s">
        <v>60181</v>
      </c>
      <c r="W13645" t="s">
        <v>41502</v>
      </c>
      <c r="X13645" t="s">
        <v>44924</v>
      </c>
    </row>
    <row r="13646" spans="1:24">
      <c r="A13646">
        <f>HYPERLINK("https://www.philgeps.gov.ph/GEPSNONPILOT/Tender/SplashBidNoticeAbstractUI.aspx?menuIndex=3&amp;refID=7052487&amp;Result=3","7052487")</f>
        <v>0</v>
      </c>
      <c r="B13646" t="s">
        <v>2054</v>
      </c>
      <c r="C13646" t="s">
        <v>16580</v>
      </c>
      <c r="D13646" t="s">
        <v>18100</v>
      </c>
      <c r="E13646" t="s">
        <v>29989</v>
      </c>
      <c r="F13646" t="s">
        <v>31362</v>
      </c>
      <c r="G13646" t="s">
        <v>31369</v>
      </c>
      <c r="H13646" t="s">
        <v>15799</v>
      </c>
      <c r="I13646" t="s">
        <v>7090</v>
      </c>
      <c r="J13646" t="s">
        <v>32519</v>
      </c>
      <c r="K13646" t="s">
        <v>40672</v>
      </c>
      <c r="M13646" t="s">
        <v>43176</v>
      </c>
      <c r="N13646" t="s">
        <v>44905</v>
      </c>
      <c r="O13646" t="s">
        <v>44906</v>
      </c>
      <c r="P13646">
        <v>0</v>
      </c>
      <c r="Q13646">
        <v>1</v>
      </c>
      <c r="R13646" t="s">
        <v>44922</v>
      </c>
      <c r="S13646" t="s">
        <v>45639</v>
      </c>
      <c r="T13646" t="s">
        <v>46467</v>
      </c>
      <c r="U13646" t="s">
        <v>47766</v>
      </c>
      <c r="W13646" t="s">
        <v>43176</v>
      </c>
      <c r="X13646" t="s">
        <v>44923</v>
      </c>
    </row>
    <row r="13647" spans="1:24">
      <c r="A13647">
        <f>HYPERLINK("https://www.philgeps.gov.ph/GEPSNONPILOT/Tender/SplashBidNoticeAbstractUI.aspx?menuIndex=3&amp;refID=7052490&amp;Result=3","7052490")</f>
        <v>0</v>
      </c>
      <c r="B13647" t="s">
        <v>3368</v>
      </c>
      <c r="C13647" t="s">
        <v>16581</v>
      </c>
      <c r="D13647" t="s">
        <v>18147</v>
      </c>
      <c r="E13647" t="s">
        <v>29990</v>
      </c>
      <c r="F13647" t="s">
        <v>31362</v>
      </c>
      <c r="G13647" t="s">
        <v>31369</v>
      </c>
      <c r="H13647" t="s">
        <v>31378</v>
      </c>
      <c r="I13647" t="s">
        <v>31386</v>
      </c>
      <c r="J13647" t="s">
        <v>39772</v>
      </c>
      <c r="K13647" t="s">
        <v>40682</v>
      </c>
      <c r="M13647" t="s">
        <v>44669</v>
      </c>
      <c r="N13647" t="s">
        <v>44905</v>
      </c>
      <c r="O13647" t="s">
        <v>44906</v>
      </c>
      <c r="P13647">
        <v>0</v>
      </c>
      <c r="Q13647">
        <v>1</v>
      </c>
      <c r="R13647" t="s">
        <v>44922</v>
      </c>
      <c r="S13647" t="s">
        <v>45639</v>
      </c>
      <c r="T13647" t="s">
        <v>46410</v>
      </c>
      <c r="U13647" t="s">
        <v>57817</v>
      </c>
      <c r="W13647" t="s">
        <v>44669</v>
      </c>
      <c r="X13647" t="s">
        <v>44923</v>
      </c>
    </row>
    <row r="13648" spans="1:24">
      <c r="A13648">
        <f>HYPERLINK("https://www.philgeps.gov.ph/GEPSNONPILOT/Tender/SplashBidNoticeAbstractUI.aspx?menuIndex=3&amp;refID=7052485&amp;Result=3","7052485")</f>
        <v>0</v>
      </c>
      <c r="B13648" t="s">
        <v>860</v>
      </c>
      <c r="C13648" t="s">
        <v>16582</v>
      </c>
      <c r="D13648" t="s">
        <v>18166</v>
      </c>
      <c r="E13648" t="s">
        <v>29991</v>
      </c>
      <c r="F13648" t="s">
        <v>31362</v>
      </c>
      <c r="G13648" t="s">
        <v>31369</v>
      </c>
      <c r="H13648" t="s">
        <v>31378</v>
      </c>
      <c r="I13648" t="s">
        <v>31386</v>
      </c>
      <c r="J13648" t="s">
        <v>31542</v>
      </c>
      <c r="K13648" t="s">
        <v>40774</v>
      </c>
      <c r="M13648" t="s">
        <v>41836</v>
      </c>
      <c r="N13648" t="s">
        <v>44905</v>
      </c>
      <c r="O13648" t="s">
        <v>44906</v>
      </c>
      <c r="P13648">
        <v>0</v>
      </c>
      <c r="Q13648">
        <v>0</v>
      </c>
      <c r="R13648" t="s">
        <v>44922</v>
      </c>
      <c r="S13648" t="s">
        <v>45639</v>
      </c>
      <c r="T13648" t="s">
        <v>46467</v>
      </c>
      <c r="U13648" t="s">
        <v>48752</v>
      </c>
      <c r="V13648" t="s">
        <v>59275</v>
      </c>
      <c r="W13648" t="s">
        <v>41836</v>
      </c>
      <c r="X13648" t="s">
        <v>44923</v>
      </c>
    </row>
    <row r="13649" spans="1:24">
      <c r="A13649">
        <f>HYPERLINK("https://www.philgeps.gov.ph/GEPSNONPILOT/Tender/SplashBidNoticeAbstractUI.aspx?menuIndex=3&amp;refID=7052215&amp;Result=3","7052215")</f>
        <v>0</v>
      </c>
      <c r="B13649" t="s">
        <v>1853</v>
      </c>
      <c r="C13649" t="s">
        <v>16583</v>
      </c>
      <c r="D13649" t="s">
        <v>18133</v>
      </c>
      <c r="E13649" t="s">
        <v>29992</v>
      </c>
      <c r="F13649" t="s">
        <v>31362</v>
      </c>
      <c r="G13649" t="s">
        <v>31369</v>
      </c>
      <c r="H13649" t="s">
        <v>15799</v>
      </c>
      <c r="I13649" t="s">
        <v>31409</v>
      </c>
      <c r="J13649" t="s">
        <v>36460</v>
      </c>
      <c r="K13649" t="s">
        <v>40665</v>
      </c>
      <c r="M13649" t="s">
        <v>42943</v>
      </c>
      <c r="N13649" t="s">
        <v>44905</v>
      </c>
      <c r="O13649" t="s">
        <v>44906</v>
      </c>
      <c r="P13649">
        <v>0</v>
      </c>
      <c r="Q13649">
        <v>4</v>
      </c>
      <c r="R13649" t="s">
        <v>44922</v>
      </c>
      <c r="S13649" t="s">
        <v>45639</v>
      </c>
      <c r="T13649" t="s">
        <v>46400</v>
      </c>
      <c r="U13649" t="s">
        <v>57818</v>
      </c>
      <c r="V13649" t="s">
        <v>60608</v>
      </c>
      <c r="W13649" t="s">
        <v>42943</v>
      </c>
      <c r="X13649" t="s">
        <v>44923</v>
      </c>
    </row>
    <row r="13650" spans="1:24">
      <c r="A13650">
        <f>HYPERLINK("https://www.philgeps.gov.ph/GEPSNONPILOT/Tender/SplashBidNoticeAbstractUI.aspx?menuIndex=3&amp;refID=7048043&amp;Result=3","7048043")</f>
        <v>0</v>
      </c>
      <c r="B13650" t="s">
        <v>675</v>
      </c>
      <c r="C13650" t="s">
        <v>16584</v>
      </c>
      <c r="D13650" t="s">
        <v>18111</v>
      </c>
      <c r="E13650" t="s">
        <v>29993</v>
      </c>
      <c r="F13650" t="s">
        <v>31362</v>
      </c>
      <c r="G13650" t="s">
        <v>31369</v>
      </c>
      <c r="H13650" t="s">
        <v>15799</v>
      </c>
      <c r="I13650" t="s">
        <v>31410</v>
      </c>
      <c r="J13650" t="s">
        <v>39773</v>
      </c>
      <c r="K13650" t="s">
        <v>40662</v>
      </c>
      <c r="M13650" t="s">
        <v>41637</v>
      </c>
      <c r="N13650" t="s">
        <v>44905</v>
      </c>
      <c r="O13650" t="s">
        <v>44906</v>
      </c>
      <c r="P13650">
        <v>0</v>
      </c>
      <c r="Q13650">
        <v>3</v>
      </c>
      <c r="R13650" t="s">
        <v>44923</v>
      </c>
      <c r="S13650" t="s">
        <v>45744</v>
      </c>
      <c r="T13650" t="s">
        <v>46410</v>
      </c>
      <c r="U13650" t="s">
        <v>57805</v>
      </c>
      <c r="W13650" t="s">
        <v>41637</v>
      </c>
      <c r="X13650" t="s">
        <v>44924</v>
      </c>
    </row>
    <row r="13651" spans="1:24">
      <c r="A13651">
        <f>HYPERLINK("https://www.philgeps.gov.ph/GEPSNONPILOT/Tender/SplashBidNoticeAbstractUI.aspx?menuIndex=3&amp;refID=7047906&amp;Result=3","7047906")</f>
        <v>0</v>
      </c>
      <c r="B13651" t="s">
        <v>1774</v>
      </c>
      <c r="C13651" t="s">
        <v>16585</v>
      </c>
      <c r="D13651" t="s">
        <v>18112</v>
      </c>
      <c r="E13651" t="s">
        <v>29994</v>
      </c>
      <c r="F13651" t="s">
        <v>31362</v>
      </c>
      <c r="G13651" t="s">
        <v>31369</v>
      </c>
      <c r="H13651" t="s">
        <v>15799</v>
      </c>
      <c r="I13651" t="s">
        <v>3815</v>
      </c>
      <c r="J13651" t="s">
        <v>39774</v>
      </c>
      <c r="K13651" t="s">
        <v>40662</v>
      </c>
      <c r="M13651" t="s">
        <v>42852</v>
      </c>
      <c r="N13651" t="s">
        <v>44905</v>
      </c>
      <c r="O13651" t="s">
        <v>44906</v>
      </c>
      <c r="P13651">
        <v>0</v>
      </c>
      <c r="Q13651">
        <v>3</v>
      </c>
      <c r="R13651" t="s">
        <v>44923</v>
      </c>
      <c r="S13651" t="s">
        <v>45744</v>
      </c>
      <c r="T13651" t="s">
        <v>46447</v>
      </c>
      <c r="U13651" t="s">
        <v>57819</v>
      </c>
      <c r="V13651" t="s">
        <v>59584</v>
      </c>
      <c r="W13651" t="s">
        <v>42852</v>
      </c>
      <c r="X13651" t="s">
        <v>44924</v>
      </c>
    </row>
    <row r="13652" spans="1:24">
      <c r="A13652">
        <f>HYPERLINK("https://www.philgeps.gov.ph/GEPSNONPILOT/Tender/SplashBidNoticeAbstractUI.aspx?menuIndex=3&amp;refID=7052060&amp;Result=3","7052060")</f>
        <v>0</v>
      </c>
      <c r="B13652" t="s">
        <v>1156</v>
      </c>
      <c r="C13652" t="s">
        <v>16586</v>
      </c>
      <c r="D13652" t="s">
        <v>18111</v>
      </c>
      <c r="E13652" t="s">
        <v>29995</v>
      </c>
      <c r="F13652" t="s">
        <v>31362</v>
      </c>
      <c r="G13652" t="s">
        <v>31369</v>
      </c>
      <c r="H13652" t="s">
        <v>15799</v>
      </c>
      <c r="I13652" t="s">
        <v>31455</v>
      </c>
      <c r="J13652" t="s">
        <v>38894</v>
      </c>
      <c r="K13652" t="s">
        <v>40662</v>
      </c>
      <c r="M13652" t="s">
        <v>42165</v>
      </c>
      <c r="N13652" t="s">
        <v>44905</v>
      </c>
      <c r="O13652" t="s">
        <v>44906</v>
      </c>
      <c r="P13652">
        <v>0</v>
      </c>
      <c r="Q13652">
        <v>1</v>
      </c>
      <c r="R13652" t="s">
        <v>44922</v>
      </c>
      <c r="S13652" t="s">
        <v>45639</v>
      </c>
      <c r="T13652" t="s">
        <v>46447</v>
      </c>
      <c r="U13652" t="s">
        <v>57820</v>
      </c>
      <c r="W13652" t="s">
        <v>60885</v>
      </c>
      <c r="X13652" t="s">
        <v>44923</v>
      </c>
    </row>
    <row r="13653" spans="1:24">
      <c r="A13653">
        <f>HYPERLINK("https://www.philgeps.gov.ph/GEPSNONPILOT/Tender/SplashBidNoticeAbstractUI.aspx?menuIndex=3&amp;refID=7047952&amp;Result=3","7047952")</f>
        <v>0</v>
      </c>
      <c r="B13653" t="s">
        <v>658</v>
      </c>
      <c r="C13653" t="s">
        <v>16587</v>
      </c>
      <c r="D13653" t="s">
        <v>18108</v>
      </c>
      <c r="E13653" t="s">
        <v>29996</v>
      </c>
      <c r="F13653" t="s">
        <v>31362</v>
      </c>
      <c r="G13653" t="s">
        <v>31369</v>
      </c>
      <c r="H13653" t="s">
        <v>15799</v>
      </c>
      <c r="I13653" t="s">
        <v>31393</v>
      </c>
      <c r="J13653" t="s">
        <v>39775</v>
      </c>
      <c r="K13653" t="s">
        <v>40662</v>
      </c>
      <c r="M13653" t="s">
        <v>41620</v>
      </c>
      <c r="N13653" t="s">
        <v>44905</v>
      </c>
      <c r="O13653" t="s">
        <v>44906</v>
      </c>
      <c r="Q13653">
        <v>33</v>
      </c>
      <c r="R13653" t="s">
        <v>44923</v>
      </c>
      <c r="S13653" t="s">
        <v>45771</v>
      </c>
      <c r="T13653" t="s">
        <v>46875</v>
      </c>
      <c r="U13653" t="s">
        <v>57821</v>
      </c>
      <c r="W13653" t="s">
        <v>41620</v>
      </c>
      <c r="X13653" t="s">
        <v>44924</v>
      </c>
    </row>
    <row r="13654" spans="1:24">
      <c r="A13654">
        <f>HYPERLINK("https://www.philgeps.gov.ph/GEPSNONPILOT/Tender/SplashBidNoticeAbstractUI.aspx?menuIndex=3&amp;refID=7048246&amp;Result=3","7048246")</f>
        <v>0</v>
      </c>
      <c r="B13654" t="s">
        <v>3392</v>
      </c>
      <c r="C13654" t="s">
        <v>16588</v>
      </c>
      <c r="D13654" t="s">
        <v>18122</v>
      </c>
      <c r="E13654" t="s">
        <v>29997</v>
      </c>
      <c r="F13654" t="s">
        <v>31362</v>
      </c>
      <c r="G13654" t="s">
        <v>31369</v>
      </c>
      <c r="H13654" t="s">
        <v>31378</v>
      </c>
      <c r="I13654" t="s">
        <v>31386</v>
      </c>
      <c r="J13654" t="s">
        <v>31625</v>
      </c>
      <c r="K13654" t="s">
        <v>40711</v>
      </c>
      <c r="L13654" t="s">
        <v>3392</v>
      </c>
      <c r="M13654" t="s">
        <v>44702</v>
      </c>
      <c r="N13654" t="s">
        <v>44905</v>
      </c>
      <c r="O13654" t="s">
        <v>44906</v>
      </c>
      <c r="P13654">
        <v>0</v>
      </c>
      <c r="Q13654">
        <v>82</v>
      </c>
      <c r="R13654" t="s">
        <v>44923</v>
      </c>
      <c r="S13654" t="s">
        <v>45744</v>
      </c>
      <c r="T13654" t="s">
        <v>46447</v>
      </c>
      <c r="U13654" t="s">
        <v>57822</v>
      </c>
      <c r="W13654" t="s">
        <v>44702</v>
      </c>
      <c r="X13654" t="s">
        <v>44924</v>
      </c>
    </row>
    <row r="13655" spans="1:24">
      <c r="A13655">
        <f>HYPERLINK("https://www.philgeps.gov.ph/GEPSNONPILOT/Tender/SplashBidNoticeAbstractUI.aspx?menuIndex=3&amp;refID=7048243&amp;Result=3","7048243")</f>
        <v>0</v>
      </c>
      <c r="B13655" t="s">
        <v>1774</v>
      </c>
      <c r="C13655" t="s">
        <v>16589</v>
      </c>
      <c r="D13655" t="s">
        <v>18112</v>
      </c>
      <c r="E13655" t="s">
        <v>29998</v>
      </c>
      <c r="F13655" t="s">
        <v>31362</v>
      </c>
      <c r="G13655" t="s">
        <v>31369</v>
      </c>
      <c r="H13655" t="s">
        <v>15799</v>
      </c>
      <c r="I13655" t="s">
        <v>3815</v>
      </c>
      <c r="J13655" t="s">
        <v>39776</v>
      </c>
      <c r="K13655" t="s">
        <v>40662</v>
      </c>
      <c r="M13655" t="s">
        <v>42852</v>
      </c>
      <c r="N13655" t="s">
        <v>44905</v>
      </c>
      <c r="O13655" t="s">
        <v>44906</v>
      </c>
      <c r="P13655">
        <v>0</v>
      </c>
      <c r="Q13655">
        <v>4</v>
      </c>
      <c r="R13655" t="s">
        <v>44923</v>
      </c>
      <c r="S13655" t="s">
        <v>45744</v>
      </c>
      <c r="T13655" t="s">
        <v>46447</v>
      </c>
      <c r="U13655" t="s">
        <v>57823</v>
      </c>
      <c r="V13655" t="s">
        <v>59584</v>
      </c>
      <c r="W13655" t="s">
        <v>42852</v>
      </c>
      <c r="X13655" t="s">
        <v>44924</v>
      </c>
    </row>
    <row r="13656" spans="1:24">
      <c r="A13656">
        <f>HYPERLINK("https://www.philgeps.gov.ph/GEPSNONPILOT/Tender/SplashBidNoticeAbstractUI.aspx?menuIndex=3&amp;refID=7048226&amp;Result=3","7048226")</f>
        <v>0</v>
      </c>
      <c r="B13656" t="s">
        <v>3196</v>
      </c>
      <c r="C13656" t="s">
        <v>16590</v>
      </c>
      <c r="D13656" t="s">
        <v>18101</v>
      </c>
      <c r="E13656" t="s">
        <v>29999</v>
      </c>
      <c r="F13656" t="s">
        <v>31362</v>
      </c>
      <c r="G13656" t="s">
        <v>31369</v>
      </c>
      <c r="H13656" t="s">
        <v>31378</v>
      </c>
      <c r="I13656" t="s">
        <v>31386</v>
      </c>
      <c r="J13656" t="s">
        <v>33060</v>
      </c>
      <c r="K13656" t="s">
        <v>40662</v>
      </c>
      <c r="M13656" t="s">
        <v>44466</v>
      </c>
      <c r="N13656" t="s">
        <v>44905</v>
      </c>
      <c r="O13656" t="s">
        <v>44906</v>
      </c>
      <c r="P13656">
        <v>0</v>
      </c>
      <c r="Q13656">
        <v>1</v>
      </c>
      <c r="R13656" t="s">
        <v>44923</v>
      </c>
      <c r="S13656" t="s">
        <v>45744</v>
      </c>
      <c r="T13656" t="s">
        <v>46422</v>
      </c>
      <c r="U13656" t="s">
        <v>57824</v>
      </c>
      <c r="W13656" t="s">
        <v>44466</v>
      </c>
      <c r="X13656" t="s">
        <v>44924</v>
      </c>
    </row>
    <row r="13657" spans="1:24">
      <c r="A13657">
        <f>HYPERLINK("https://www.philgeps.gov.ph/GEPSNONPILOT/Tender/SplashBidNoticeAbstractUI.aspx?menuIndex=3&amp;refID=7052188&amp;Result=3","7052188")</f>
        <v>0</v>
      </c>
      <c r="B13657" t="s">
        <v>3357</v>
      </c>
      <c r="C13657" t="s">
        <v>16591</v>
      </c>
      <c r="D13657" t="s">
        <v>18148</v>
      </c>
      <c r="E13657" t="s">
        <v>30000</v>
      </c>
      <c r="F13657" t="s">
        <v>31362</v>
      </c>
      <c r="G13657" t="s">
        <v>31369</v>
      </c>
      <c r="H13657" t="s">
        <v>31378</v>
      </c>
      <c r="I13657" t="s">
        <v>31386</v>
      </c>
      <c r="J13657" t="s">
        <v>39777</v>
      </c>
      <c r="K13657" t="s">
        <v>40683</v>
      </c>
      <c r="M13657" t="s">
        <v>44656</v>
      </c>
      <c r="N13657" t="s">
        <v>44905</v>
      </c>
      <c r="O13657" t="s">
        <v>44906</v>
      </c>
      <c r="P13657">
        <v>0</v>
      </c>
      <c r="Q13657">
        <v>1</v>
      </c>
      <c r="R13657" t="s">
        <v>44922</v>
      </c>
      <c r="S13657" t="s">
        <v>45639</v>
      </c>
      <c r="T13657" t="s">
        <v>46692</v>
      </c>
      <c r="U13657" t="s">
        <v>57825</v>
      </c>
      <c r="W13657" t="s">
        <v>44656</v>
      </c>
      <c r="X13657" t="s">
        <v>44923</v>
      </c>
    </row>
    <row r="13658" spans="1:24">
      <c r="A13658">
        <f>HYPERLINK("https://www.philgeps.gov.ph/GEPSNONPILOT/Tender/SplashBidNoticeAbstractUI.aspx?menuIndex=3&amp;refID=7048235&amp;Result=3","7048235")</f>
        <v>0</v>
      </c>
      <c r="B13658" t="s">
        <v>2543</v>
      </c>
      <c r="C13658" t="s">
        <v>16592</v>
      </c>
      <c r="E13658" t="s">
        <v>30001</v>
      </c>
      <c r="F13658" t="s">
        <v>31362</v>
      </c>
      <c r="G13658" t="s">
        <v>31369</v>
      </c>
      <c r="H13658" t="s">
        <v>31378</v>
      </c>
      <c r="I13658" t="s">
        <v>31386</v>
      </c>
      <c r="J13658" t="s">
        <v>39778</v>
      </c>
      <c r="K13658" t="s">
        <v>40678</v>
      </c>
      <c r="M13658" t="s">
        <v>43983</v>
      </c>
      <c r="N13658" t="s">
        <v>44905</v>
      </c>
      <c r="O13658" t="s">
        <v>44906</v>
      </c>
      <c r="Q13658">
        <v>1</v>
      </c>
      <c r="R13658" t="s">
        <v>44923</v>
      </c>
      <c r="S13658" t="s">
        <v>45772</v>
      </c>
      <c r="T13658" t="s">
        <v>46483</v>
      </c>
      <c r="U13658" t="s">
        <v>49312</v>
      </c>
      <c r="W13658" t="s">
        <v>43983</v>
      </c>
      <c r="X13658" t="s">
        <v>44924</v>
      </c>
    </row>
    <row r="13659" spans="1:24">
      <c r="A13659">
        <f>HYPERLINK("https://www.philgeps.gov.ph/GEPSNONPILOT/Tender/SplashBidNoticeAbstractUI.aspx?menuIndex=3&amp;refID=7048231&amp;Result=3","7048231")</f>
        <v>0</v>
      </c>
      <c r="B13659" t="s">
        <v>2543</v>
      </c>
      <c r="C13659" t="s">
        <v>16593</v>
      </c>
      <c r="E13659" t="s">
        <v>30002</v>
      </c>
      <c r="F13659" t="s">
        <v>31362</v>
      </c>
      <c r="G13659" t="s">
        <v>31369</v>
      </c>
      <c r="H13659" t="s">
        <v>31378</v>
      </c>
      <c r="I13659" t="s">
        <v>31386</v>
      </c>
      <c r="J13659" t="s">
        <v>32877</v>
      </c>
      <c r="K13659" t="s">
        <v>40678</v>
      </c>
      <c r="M13659" t="s">
        <v>43983</v>
      </c>
      <c r="N13659" t="s">
        <v>44905</v>
      </c>
      <c r="O13659" t="s">
        <v>44906</v>
      </c>
      <c r="Q13659">
        <v>1</v>
      </c>
      <c r="R13659" t="s">
        <v>44923</v>
      </c>
      <c r="S13659" t="s">
        <v>45773</v>
      </c>
      <c r="T13659" t="s">
        <v>46483</v>
      </c>
      <c r="U13659" t="s">
        <v>49312</v>
      </c>
      <c r="W13659" t="s">
        <v>43983</v>
      </c>
      <c r="X13659" t="s">
        <v>44924</v>
      </c>
    </row>
    <row r="13660" spans="1:24">
      <c r="A13660">
        <f>HYPERLINK("https://www.philgeps.gov.ph/GEPSNONPILOT/Tender/SplashBidNoticeAbstractUI.aspx?menuIndex=3&amp;refID=7052213&amp;Result=3","7052213")</f>
        <v>0</v>
      </c>
      <c r="B13660" t="s">
        <v>669</v>
      </c>
      <c r="C13660" t="s">
        <v>16594</v>
      </c>
      <c r="D13660" t="s">
        <v>18143</v>
      </c>
      <c r="E13660" t="s">
        <v>30003</v>
      </c>
      <c r="F13660" t="s">
        <v>31362</v>
      </c>
      <c r="G13660" t="s">
        <v>31369</v>
      </c>
      <c r="H13660" t="s">
        <v>31378</v>
      </c>
      <c r="I13660" t="s">
        <v>31386</v>
      </c>
      <c r="J13660" t="s">
        <v>39779</v>
      </c>
      <c r="K13660" t="s">
        <v>40733</v>
      </c>
      <c r="M13660" t="s">
        <v>41631</v>
      </c>
      <c r="N13660" t="s">
        <v>44905</v>
      </c>
      <c r="O13660" t="s">
        <v>44906</v>
      </c>
      <c r="P13660">
        <v>0</v>
      </c>
      <c r="Q13660">
        <v>0</v>
      </c>
      <c r="R13660" t="s">
        <v>44922</v>
      </c>
      <c r="S13660" t="s">
        <v>45639</v>
      </c>
      <c r="T13660" t="s">
        <v>46503</v>
      </c>
      <c r="U13660" t="s">
        <v>57826</v>
      </c>
      <c r="W13660" t="s">
        <v>41631</v>
      </c>
      <c r="X13660" t="s">
        <v>44923</v>
      </c>
    </row>
    <row r="13661" spans="1:24">
      <c r="A13661">
        <f>HYPERLINK("https://www.philgeps.gov.ph/GEPSNONPILOT/Tender/SplashBidNoticeAbstractUI.aspx?menuIndex=3&amp;refID=7048210&amp;Result=3","7048210")</f>
        <v>0</v>
      </c>
      <c r="B13661" t="s">
        <v>1774</v>
      </c>
      <c r="C13661" t="s">
        <v>16595</v>
      </c>
      <c r="D13661" t="s">
        <v>18112</v>
      </c>
      <c r="E13661" t="s">
        <v>30004</v>
      </c>
      <c r="F13661" t="s">
        <v>31362</v>
      </c>
      <c r="G13661" t="s">
        <v>31369</v>
      </c>
      <c r="H13661" t="s">
        <v>15799</v>
      </c>
      <c r="I13661" t="s">
        <v>3815</v>
      </c>
      <c r="J13661" t="s">
        <v>39780</v>
      </c>
      <c r="K13661" t="s">
        <v>40662</v>
      </c>
      <c r="M13661" t="s">
        <v>42852</v>
      </c>
      <c r="N13661" t="s">
        <v>44905</v>
      </c>
      <c r="O13661" t="s">
        <v>44906</v>
      </c>
      <c r="P13661">
        <v>0</v>
      </c>
      <c r="Q13661">
        <v>2</v>
      </c>
      <c r="R13661" t="s">
        <v>44923</v>
      </c>
      <c r="S13661" t="s">
        <v>45744</v>
      </c>
      <c r="T13661" t="s">
        <v>46447</v>
      </c>
      <c r="U13661" t="s">
        <v>57827</v>
      </c>
      <c r="V13661" t="s">
        <v>59584</v>
      </c>
      <c r="W13661" t="s">
        <v>42852</v>
      </c>
      <c r="X13661" t="s">
        <v>44924</v>
      </c>
    </row>
    <row r="13662" spans="1:24">
      <c r="A13662">
        <f>HYPERLINK("https://www.philgeps.gov.ph/GEPSNONPILOT/Tender/SplashBidNoticeAbstractUI.aspx?menuIndex=3&amp;refID=7052216&amp;Result=3","7052216")</f>
        <v>0</v>
      </c>
      <c r="B13662" t="s">
        <v>3227</v>
      </c>
      <c r="C13662" t="s">
        <v>16596</v>
      </c>
      <c r="D13662" t="s">
        <v>18130</v>
      </c>
      <c r="E13662" t="s">
        <v>30005</v>
      </c>
      <c r="F13662" t="s">
        <v>31362</v>
      </c>
      <c r="G13662" t="s">
        <v>31369</v>
      </c>
      <c r="H13662" t="s">
        <v>15799</v>
      </c>
      <c r="I13662" t="s">
        <v>31408</v>
      </c>
      <c r="J13662" t="s">
        <v>31531</v>
      </c>
      <c r="K13662" t="s">
        <v>40682</v>
      </c>
      <c r="M13662" t="s">
        <v>44503</v>
      </c>
      <c r="N13662" t="s">
        <v>44905</v>
      </c>
      <c r="O13662" t="s">
        <v>44906</v>
      </c>
      <c r="P13662">
        <v>0</v>
      </c>
      <c r="Q13662">
        <v>1</v>
      </c>
      <c r="R13662" t="s">
        <v>44922</v>
      </c>
      <c r="S13662" t="s">
        <v>45639</v>
      </c>
      <c r="T13662" t="s">
        <v>46467</v>
      </c>
      <c r="U13662" t="s">
        <v>57828</v>
      </c>
      <c r="W13662" t="s">
        <v>44503</v>
      </c>
      <c r="X13662" t="s">
        <v>44923</v>
      </c>
    </row>
    <row r="13663" spans="1:24">
      <c r="A13663">
        <f>HYPERLINK("https://www.philgeps.gov.ph/GEPSNONPILOT/Tender/SplashBidNoticeAbstractUI.aspx?menuIndex=3&amp;refID=7048222&amp;Result=3","7048222")</f>
        <v>0</v>
      </c>
      <c r="B13663" t="s">
        <v>2543</v>
      </c>
      <c r="C13663" t="s">
        <v>16597</v>
      </c>
      <c r="E13663" t="s">
        <v>30006</v>
      </c>
      <c r="F13663" t="s">
        <v>31362</v>
      </c>
      <c r="G13663" t="s">
        <v>31369</v>
      </c>
      <c r="H13663" t="s">
        <v>31378</v>
      </c>
      <c r="I13663" t="s">
        <v>31386</v>
      </c>
      <c r="J13663" t="s">
        <v>33435</v>
      </c>
      <c r="K13663" t="s">
        <v>40678</v>
      </c>
      <c r="M13663" t="s">
        <v>43983</v>
      </c>
      <c r="N13663" t="s">
        <v>44905</v>
      </c>
      <c r="O13663" t="s">
        <v>44906</v>
      </c>
      <c r="Q13663">
        <v>3</v>
      </c>
      <c r="R13663" t="s">
        <v>44923</v>
      </c>
      <c r="S13663" t="s">
        <v>45774</v>
      </c>
      <c r="T13663" t="s">
        <v>46483</v>
      </c>
      <c r="U13663" t="s">
        <v>49312</v>
      </c>
      <c r="W13663" t="s">
        <v>43983</v>
      </c>
      <c r="X13663" t="s">
        <v>44924</v>
      </c>
    </row>
    <row r="13664" spans="1:24">
      <c r="A13664">
        <f>HYPERLINK("https://www.philgeps.gov.ph/GEPSNONPILOT/Tender/SplashBidNoticeAbstractUI.aspx?menuIndex=3&amp;refID=7047953&amp;Result=3","7047953")</f>
        <v>0</v>
      </c>
      <c r="B13664" t="s">
        <v>1748</v>
      </c>
      <c r="C13664" t="s">
        <v>16598</v>
      </c>
      <c r="D13664" t="s">
        <v>18134</v>
      </c>
      <c r="E13664" t="s">
        <v>30007</v>
      </c>
      <c r="F13664" t="s">
        <v>31362</v>
      </c>
      <c r="G13664" t="s">
        <v>31369</v>
      </c>
      <c r="H13664" t="s">
        <v>31378</v>
      </c>
      <c r="I13664" t="s">
        <v>31386</v>
      </c>
      <c r="J13664" t="s">
        <v>38894</v>
      </c>
      <c r="K13664" t="s">
        <v>40679</v>
      </c>
      <c r="M13664" t="s">
        <v>42823</v>
      </c>
      <c r="N13664" t="s">
        <v>44905</v>
      </c>
      <c r="O13664" t="s">
        <v>44906</v>
      </c>
      <c r="P13664">
        <v>0</v>
      </c>
      <c r="Q13664">
        <v>1</v>
      </c>
      <c r="R13664" t="s">
        <v>44923</v>
      </c>
      <c r="S13664" t="s">
        <v>45744</v>
      </c>
      <c r="T13664" t="s">
        <v>46549</v>
      </c>
      <c r="U13664" t="s">
        <v>57829</v>
      </c>
      <c r="V13664" t="s">
        <v>60609</v>
      </c>
      <c r="W13664" t="s">
        <v>42823</v>
      </c>
      <c r="X13664" t="s">
        <v>44924</v>
      </c>
    </row>
    <row r="13665" spans="1:24">
      <c r="A13665">
        <f>HYPERLINK("https://www.philgeps.gov.ph/GEPSNONPILOT/Tender/SplashBidNoticeAbstractUI.aspx?menuIndex=3&amp;refID=7048184&amp;Result=3","7048184")</f>
        <v>0</v>
      </c>
      <c r="B13665" t="s">
        <v>3393</v>
      </c>
      <c r="C13665" t="s">
        <v>16599</v>
      </c>
      <c r="D13665" t="s">
        <v>18108</v>
      </c>
      <c r="E13665" t="s">
        <v>30008</v>
      </c>
      <c r="F13665" t="s">
        <v>31362</v>
      </c>
      <c r="G13665" t="s">
        <v>31369</v>
      </c>
      <c r="H13665" t="s">
        <v>31378</v>
      </c>
      <c r="I13665" t="s">
        <v>31386</v>
      </c>
      <c r="J13665" t="s">
        <v>39781</v>
      </c>
      <c r="K13665" t="s">
        <v>40686</v>
      </c>
      <c r="M13665" t="s">
        <v>44703</v>
      </c>
      <c r="N13665" t="s">
        <v>44905</v>
      </c>
      <c r="O13665" t="s">
        <v>44906</v>
      </c>
      <c r="Q13665">
        <v>10</v>
      </c>
      <c r="R13665" t="s">
        <v>44923</v>
      </c>
      <c r="S13665" t="s">
        <v>45775</v>
      </c>
      <c r="T13665" t="s">
        <v>46532</v>
      </c>
      <c r="U13665" t="s">
        <v>57830</v>
      </c>
      <c r="V13665" t="s">
        <v>60610</v>
      </c>
      <c r="W13665" t="s">
        <v>44703</v>
      </c>
      <c r="X13665" t="s">
        <v>44924</v>
      </c>
    </row>
    <row r="13666" spans="1:24">
      <c r="A13666">
        <f>HYPERLINK("https://www.philgeps.gov.ph/GEPSNONPILOT/Tender/SplashBidNoticeAbstractUI.aspx?menuIndex=3&amp;refID=7048203&amp;Result=3","7048203")</f>
        <v>0</v>
      </c>
      <c r="B13666" t="s">
        <v>3394</v>
      </c>
      <c r="C13666" t="s">
        <v>16600</v>
      </c>
      <c r="E13666" t="s">
        <v>30009</v>
      </c>
      <c r="F13666" t="s">
        <v>31362</v>
      </c>
      <c r="G13666" t="s">
        <v>31369</v>
      </c>
      <c r="H13666" t="s">
        <v>31378</v>
      </c>
      <c r="I13666" t="s">
        <v>31386</v>
      </c>
      <c r="J13666" t="s">
        <v>39782</v>
      </c>
      <c r="K13666" t="s">
        <v>40662</v>
      </c>
      <c r="M13666" t="s">
        <v>44704</v>
      </c>
      <c r="N13666" t="s">
        <v>44905</v>
      </c>
      <c r="O13666" t="s">
        <v>44906</v>
      </c>
      <c r="P13666">
        <v>0</v>
      </c>
      <c r="Q13666">
        <v>0</v>
      </c>
      <c r="R13666" t="s">
        <v>44923</v>
      </c>
      <c r="S13666" t="s">
        <v>45744</v>
      </c>
      <c r="T13666" t="s">
        <v>46503</v>
      </c>
      <c r="U13666" t="s">
        <v>57831</v>
      </c>
      <c r="V13666" t="s">
        <v>60611</v>
      </c>
      <c r="W13666" t="s">
        <v>44704</v>
      </c>
      <c r="X13666" t="s">
        <v>44924</v>
      </c>
    </row>
    <row r="13667" spans="1:24">
      <c r="A13667">
        <f>HYPERLINK("https://www.philgeps.gov.ph/GEPSNONPILOT/Tender/SplashBidNoticeAbstractUI.aspx?menuIndex=3&amp;refID=7048195&amp;Result=3","7048195")</f>
        <v>0</v>
      </c>
      <c r="B13667" t="s">
        <v>1774</v>
      </c>
      <c r="C13667" t="s">
        <v>16601</v>
      </c>
      <c r="D13667" t="s">
        <v>18112</v>
      </c>
      <c r="E13667" t="s">
        <v>30010</v>
      </c>
      <c r="F13667" t="s">
        <v>31362</v>
      </c>
      <c r="G13667" t="s">
        <v>31369</v>
      </c>
      <c r="H13667" t="s">
        <v>15799</v>
      </c>
      <c r="I13667" t="s">
        <v>3815</v>
      </c>
      <c r="J13667" t="s">
        <v>39783</v>
      </c>
      <c r="K13667" t="s">
        <v>40662</v>
      </c>
      <c r="M13667" t="s">
        <v>42852</v>
      </c>
      <c r="N13667" t="s">
        <v>44905</v>
      </c>
      <c r="O13667" t="s">
        <v>44906</v>
      </c>
      <c r="P13667">
        <v>0</v>
      </c>
      <c r="Q13667">
        <v>2</v>
      </c>
      <c r="R13667" t="s">
        <v>44923</v>
      </c>
      <c r="S13667" t="s">
        <v>45744</v>
      </c>
      <c r="T13667" t="s">
        <v>46589</v>
      </c>
      <c r="U13667" t="s">
        <v>57832</v>
      </c>
      <c r="V13667" t="s">
        <v>59584</v>
      </c>
      <c r="W13667" t="s">
        <v>42852</v>
      </c>
      <c r="X13667" t="s">
        <v>44924</v>
      </c>
    </row>
    <row r="13668" spans="1:24">
      <c r="A13668">
        <f>HYPERLINK("https://www.philgeps.gov.ph/GEPSNONPILOT/Tender/SplashBidNoticeAbstractUI.aspx?menuIndex=3&amp;refID=7048191&amp;Result=3","7048191")</f>
        <v>0</v>
      </c>
      <c r="B13668" t="s">
        <v>3394</v>
      </c>
      <c r="C13668" t="s">
        <v>16602</v>
      </c>
      <c r="E13668" t="s">
        <v>30011</v>
      </c>
      <c r="F13668" t="s">
        <v>31362</v>
      </c>
      <c r="G13668" t="s">
        <v>31369</v>
      </c>
      <c r="H13668" t="s">
        <v>31378</v>
      </c>
      <c r="I13668" t="s">
        <v>31386</v>
      </c>
      <c r="J13668" t="s">
        <v>39784</v>
      </c>
      <c r="K13668" t="s">
        <v>40662</v>
      </c>
      <c r="M13668" t="s">
        <v>44704</v>
      </c>
      <c r="N13668" t="s">
        <v>44905</v>
      </c>
      <c r="O13668" t="s">
        <v>44906</v>
      </c>
      <c r="P13668">
        <v>0</v>
      </c>
      <c r="Q13668">
        <v>0</v>
      </c>
      <c r="R13668" t="s">
        <v>44923</v>
      </c>
      <c r="S13668" t="s">
        <v>45744</v>
      </c>
      <c r="T13668" t="s">
        <v>46503</v>
      </c>
      <c r="U13668" t="s">
        <v>57833</v>
      </c>
      <c r="V13668" t="s">
        <v>60612</v>
      </c>
      <c r="W13668" t="s">
        <v>44704</v>
      </c>
      <c r="X13668" t="s">
        <v>44924</v>
      </c>
    </row>
    <row r="13669" spans="1:24">
      <c r="A13669">
        <f>HYPERLINK("https://www.philgeps.gov.ph/GEPSNONPILOT/Tender/SplashBidNoticeAbstractUI.aspx?menuIndex=3&amp;refID=7048395&amp;Result=3","7048395")</f>
        <v>0</v>
      </c>
      <c r="B13669" t="s">
        <v>1037</v>
      </c>
      <c r="C13669" t="s">
        <v>16603</v>
      </c>
      <c r="D13669" t="s">
        <v>18146</v>
      </c>
      <c r="E13669" t="s">
        <v>30012</v>
      </c>
      <c r="F13669" t="s">
        <v>31362</v>
      </c>
      <c r="G13669" t="s">
        <v>31369</v>
      </c>
      <c r="H13669" t="s">
        <v>15799</v>
      </c>
      <c r="I13669" t="s">
        <v>31430</v>
      </c>
      <c r="J13669" t="s">
        <v>39785</v>
      </c>
      <c r="K13669" t="s">
        <v>40666</v>
      </c>
      <c r="M13669" t="s">
        <v>43361</v>
      </c>
      <c r="N13669" t="s">
        <v>44905</v>
      </c>
      <c r="O13669" t="s">
        <v>44906</v>
      </c>
      <c r="Q13669">
        <v>0</v>
      </c>
      <c r="R13669" t="s">
        <v>44923</v>
      </c>
      <c r="S13669" t="s">
        <v>45776</v>
      </c>
      <c r="T13669" t="s">
        <v>46520</v>
      </c>
      <c r="U13669" t="s">
        <v>57834</v>
      </c>
      <c r="W13669" t="s">
        <v>43361</v>
      </c>
      <c r="X13669" t="s">
        <v>44924</v>
      </c>
    </row>
    <row r="13670" spans="1:24">
      <c r="A13670">
        <f>HYPERLINK("https://www.philgeps.gov.ph/GEPSNONPILOT/Tender/SplashBidNoticeAbstractUI.aspx?menuIndex=3&amp;refID=7048158&amp;Result=3","7048158")</f>
        <v>0</v>
      </c>
      <c r="B13670" t="s">
        <v>3394</v>
      </c>
      <c r="C13670" t="s">
        <v>16604</v>
      </c>
      <c r="E13670" t="s">
        <v>30013</v>
      </c>
      <c r="F13670" t="s">
        <v>31362</v>
      </c>
      <c r="G13670" t="s">
        <v>31369</v>
      </c>
      <c r="H13670" t="s">
        <v>31378</v>
      </c>
      <c r="I13670" t="s">
        <v>31386</v>
      </c>
      <c r="J13670" t="s">
        <v>39786</v>
      </c>
      <c r="K13670" t="s">
        <v>40662</v>
      </c>
      <c r="M13670" t="s">
        <v>44704</v>
      </c>
      <c r="N13670" t="s">
        <v>44905</v>
      </c>
      <c r="O13670" t="s">
        <v>44906</v>
      </c>
      <c r="P13670">
        <v>0</v>
      </c>
      <c r="Q13670">
        <v>0</v>
      </c>
      <c r="R13670" t="s">
        <v>44923</v>
      </c>
      <c r="S13670" t="s">
        <v>45744</v>
      </c>
      <c r="T13670" t="s">
        <v>46503</v>
      </c>
      <c r="U13670" t="s">
        <v>57835</v>
      </c>
      <c r="V13670" t="s">
        <v>60613</v>
      </c>
      <c r="W13670" t="s">
        <v>44704</v>
      </c>
      <c r="X13670" t="s">
        <v>44924</v>
      </c>
    </row>
    <row r="13671" spans="1:24">
      <c r="A13671">
        <f>HYPERLINK("https://www.philgeps.gov.ph/GEPSNONPILOT/Tender/SplashBidNoticeAbstractUI.aspx?menuIndex=3&amp;refID=7048333&amp;Result=3","7048333")</f>
        <v>0</v>
      </c>
      <c r="B13671" t="s">
        <v>2101</v>
      </c>
      <c r="C13671" t="s">
        <v>16605</v>
      </c>
      <c r="D13671" t="s">
        <v>18116</v>
      </c>
      <c r="E13671" t="s">
        <v>30014</v>
      </c>
      <c r="F13671" t="s">
        <v>31362</v>
      </c>
      <c r="G13671" t="s">
        <v>31369</v>
      </c>
      <c r="H13671" t="s">
        <v>15799</v>
      </c>
      <c r="I13671" t="s">
        <v>31465</v>
      </c>
      <c r="J13671" t="s">
        <v>39787</v>
      </c>
      <c r="K13671" t="s">
        <v>40665</v>
      </c>
      <c r="M13671" t="s">
        <v>44237</v>
      </c>
      <c r="N13671" t="s">
        <v>44905</v>
      </c>
      <c r="O13671" t="s">
        <v>44906</v>
      </c>
      <c r="P13671">
        <v>0</v>
      </c>
      <c r="Q13671">
        <v>3</v>
      </c>
      <c r="R13671" t="s">
        <v>44923</v>
      </c>
      <c r="S13671" t="s">
        <v>45744</v>
      </c>
      <c r="T13671" t="s">
        <v>46393</v>
      </c>
      <c r="U13671" t="s">
        <v>57836</v>
      </c>
      <c r="V13671" t="s">
        <v>60233</v>
      </c>
      <c r="W13671" t="s">
        <v>44237</v>
      </c>
      <c r="X13671" t="s">
        <v>44924</v>
      </c>
    </row>
    <row r="13672" spans="1:24">
      <c r="A13672">
        <f>HYPERLINK("https://www.philgeps.gov.ph/GEPSNONPILOT/Tender/SplashBidNoticeAbstractUI.aspx?menuIndex=3&amp;refID=7048415&amp;Result=3","7048415")</f>
        <v>0</v>
      </c>
      <c r="B13672" t="s">
        <v>3395</v>
      </c>
      <c r="C13672" t="s">
        <v>16606</v>
      </c>
      <c r="E13672" t="s">
        <v>18397</v>
      </c>
      <c r="F13672" t="s">
        <v>31365</v>
      </c>
      <c r="G13672" t="s">
        <v>31369</v>
      </c>
      <c r="H13672" t="s">
        <v>15799</v>
      </c>
      <c r="I13672" t="s">
        <v>3815</v>
      </c>
      <c r="J13672" t="s">
        <v>39788</v>
      </c>
      <c r="K13672" t="s">
        <v>40662</v>
      </c>
      <c r="M13672" t="s">
        <v>44705</v>
      </c>
      <c r="N13672" t="s">
        <v>44905</v>
      </c>
      <c r="O13672" t="s">
        <v>44906</v>
      </c>
      <c r="P13672">
        <v>0</v>
      </c>
      <c r="Q13672">
        <v>1</v>
      </c>
      <c r="R13672" t="s">
        <v>44923</v>
      </c>
      <c r="S13672" t="s">
        <v>45744</v>
      </c>
      <c r="T13672" t="s">
        <v>46454</v>
      </c>
      <c r="U13672" t="s">
        <v>47088</v>
      </c>
      <c r="W13672" t="s">
        <v>44705</v>
      </c>
      <c r="X13672" t="s">
        <v>44924</v>
      </c>
    </row>
    <row r="13673" spans="1:24">
      <c r="A13673">
        <f>HYPERLINK("https://www.philgeps.gov.ph/GEPSNONPILOT/Tender/SplashBidNoticeAbstractUI.aspx?menuIndex=3&amp;refID=7048325&amp;Result=3","7048325")</f>
        <v>0</v>
      </c>
      <c r="B13673" t="s">
        <v>1115</v>
      </c>
      <c r="C13673" t="s">
        <v>16607</v>
      </c>
      <c r="D13673" t="s">
        <v>18104</v>
      </c>
      <c r="E13673" t="s">
        <v>30015</v>
      </c>
      <c r="F13673" t="s">
        <v>31362</v>
      </c>
      <c r="G13673" t="s">
        <v>31369</v>
      </c>
      <c r="H13673" t="s">
        <v>15799</v>
      </c>
      <c r="I13673" t="s">
        <v>31431</v>
      </c>
      <c r="J13673" t="s">
        <v>39789</v>
      </c>
      <c r="K13673" t="s">
        <v>40670</v>
      </c>
      <c r="M13673" t="s">
        <v>42805</v>
      </c>
      <c r="N13673" t="s">
        <v>44905</v>
      </c>
      <c r="O13673" t="s">
        <v>44906</v>
      </c>
      <c r="P13673">
        <v>0</v>
      </c>
      <c r="Q13673">
        <v>3</v>
      </c>
      <c r="R13673" t="s">
        <v>44923</v>
      </c>
      <c r="S13673" t="s">
        <v>45744</v>
      </c>
      <c r="T13673" t="s">
        <v>46447</v>
      </c>
      <c r="U13673" t="s">
        <v>57837</v>
      </c>
      <c r="V13673" t="s">
        <v>59573</v>
      </c>
      <c r="W13673" t="s">
        <v>42805</v>
      </c>
      <c r="X13673" t="s">
        <v>44924</v>
      </c>
    </row>
    <row r="13674" spans="1:24">
      <c r="A13674">
        <f>HYPERLINK("https://www.philgeps.gov.ph/GEPSNONPILOT/Tender/SplashBidNoticeAbstractUI.aspx?menuIndex=3&amp;refID=7048317&amp;Result=3","7048317")</f>
        <v>0</v>
      </c>
      <c r="B13674" t="s">
        <v>2775</v>
      </c>
      <c r="C13674" t="s">
        <v>16608</v>
      </c>
      <c r="D13674" t="s">
        <v>18151</v>
      </c>
      <c r="E13674" t="s">
        <v>30016</v>
      </c>
      <c r="F13674" t="s">
        <v>31362</v>
      </c>
      <c r="G13674" t="s">
        <v>31369</v>
      </c>
      <c r="H13674" t="s">
        <v>15799</v>
      </c>
      <c r="I13674" t="s">
        <v>31409</v>
      </c>
      <c r="J13674" t="s">
        <v>34854</v>
      </c>
      <c r="K13674" t="s">
        <v>40665</v>
      </c>
      <c r="M13674" t="s">
        <v>43968</v>
      </c>
      <c r="N13674" t="s">
        <v>44905</v>
      </c>
      <c r="O13674" t="s">
        <v>44906</v>
      </c>
      <c r="P13674">
        <v>0</v>
      </c>
      <c r="Q13674">
        <v>4</v>
      </c>
      <c r="R13674" t="s">
        <v>44923</v>
      </c>
      <c r="S13674" t="s">
        <v>45744</v>
      </c>
      <c r="T13674" t="s">
        <v>46415</v>
      </c>
      <c r="U13674" t="s">
        <v>57838</v>
      </c>
      <c r="W13674" t="s">
        <v>43968</v>
      </c>
      <c r="X13674" t="s">
        <v>44924</v>
      </c>
    </row>
    <row r="13675" spans="1:24">
      <c r="A13675">
        <f>HYPERLINK("https://www.philgeps.gov.ph/GEPSNONPILOT/Tender/SplashBidNoticeAbstractUI.aspx?menuIndex=3&amp;refID=7047914&amp;Result=3","7047914")</f>
        <v>0</v>
      </c>
      <c r="B13675" t="s">
        <v>3396</v>
      </c>
      <c r="C13675" t="s">
        <v>16609</v>
      </c>
      <c r="D13675" t="s">
        <v>18134</v>
      </c>
      <c r="E13675" t="s">
        <v>30017</v>
      </c>
      <c r="F13675" t="s">
        <v>31362</v>
      </c>
      <c r="G13675" t="s">
        <v>31369</v>
      </c>
      <c r="H13675" t="s">
        <v>31378</v>
      </c>
      <c r="I13675" t="s">
        <v>31386</v>
      </c>
      <c r="J13675" t="s">
        <v>31591</v>
      </c>
      <c r="K13675" t="s">
        <v>40662</v>
      </c>
      <c r="M13675" t="s">
        <v>44706</v>
      </c>
      <c r="N13675" t="s">
        <v>44905</v>
      </c>
      <c r="O13675" t="s">
        <v>44906</v>
      </c>
      <c r="P13675">
        <v>0</v>
      </c>
      <c r="Q13675">
        <v>1</v>
      </c>
      <c r="R13675" t="s">
        <v>44923</v>
      </c>
      <c r="S13675" t="s">
        <v>45744</v>
      </c>
      <c r="T13675" t="s">
        <v>46432</v>
      </c>
      <c r="U13675" t="s">
        <v>49647</v>
      </c>
      <c r="W13675" t="s">
        <v>44706</v>
      </c>
      <c r="X13675" t="s">
        <v>44924</v>
      </c>
    </row>
    <row r="13676" spans="1:24">
      <c r="A13676">
        <f>HYPERLINK("https://www.philgeps.gov.ph/GEPSNONPILOT/Tender/SplashBidNoticeAbstractUI.aspx?menuIndex=3&amp;refID=7048306&amp;Result=3","7048306")</f>
        <v>0</v>
      </c>
      <c r="B13676" t="s">
        <v>1919</v>
      </c>
      <c r="C13676" t="s">
        <v>16610</v>
      </c>
      <c r="D13676" t="s">
        <v>18125</v>
      </c>
      <c r="E13676" t="s">
        <v>30018</v>
      </c>
      <c r="F13676" t="s">
        <v>31362</v>
      </c>
      <c r="G13676" t="s">
        <v>31369</v>
      </c>
      <c r="H13676" t="s">
        <v>31378</v>
      </c>
      <c r="I13676" t="s">
        <v>31386</v>
      </c>
      <c r="J13676" t="s">
        <v>39790</v>
      </c>
      <c r="K13676" t="s">
        <v>40838</v>
      </c>
      <c r="M13676" t="s">
        <v>43016</v>
      </c>
      <c r="N13676" t="s">
        <v>44905</v>
      </c>
      <c r="O13676" t="s">
        <v>44906</v>
      </c>
      <c r="P13676">
        <v>0</v>
      </c>
      <c r="Q13676">
        <v>0</v>
      </c>
      <c r="R13676" t="s">
        <v>44923</v>
      </c>
      <c r="S13676" t="s">
        <v>45744</v>
      </c>
      <c r="T13676" t="s">
        <v>46415</v>
      </c>
      <c r="U13676" t="s">
        <v>57839</v>
      </c>
      <c r="W13676" t="s">
        <v>43016</v>
      </c>
      <c r="X13676" t="s">
        <v>44924</v>
      </c>
    </row>
    <row r="13677" spans="1:24">
      <c r="A13677">
        <f>HYPERLINK("https://www.philgeps.gov.ph/GEPSNONPILOT/Tender/SplashBidNoticeAbstractUI.aspx?menuIndex=3&amp;refID=7048305&amp;Result=3","7048305")</f>
        <v>0</v>
      </c>
      <c r="B13677" t="s">
        <v>3047</v>
      </c>
      <c r="C13677" t="s">
        <v>16611</v>
      </c>
      <c r="D13677" t="s">
        <v>18152</v>
      </c>
      <c r="E13677" t="s">
        <v>30019</v>
      </c>
      <c r="F13677" t="s">
        <v>31362</v>
      </c>
      <c r="G13677" t="s">
        <v>31369</v>
      </c>
      <c r="H13677" t="s">
        <v>15799</v>
      </c>
      <c r="I13677" t="s">
        <v>31386</v>
      </c>
      <c r="J13677" t="s">
        <v>39791</v>
      </c>
      <c r="K13677" t="s">
        <v>40682</v>
      </c>
      <c r="M13677" t="s">
        <v>44281</v>
      </c>
      <c r="N13677" t="s">
        <v>44905</v>
      </c>
      <c r="O13677" t="s">
        <v>44906</v>
      </c>
      <c r="P13677">
        <v>0</v>
      </c>
      <c r="Q13677">
        <v>2</v>
      </c>
      <c r="R13677" t="s">
        <v>44923</v>
      </c>
      <c r="S13677" t="s">
        <v>45744</v>
      </c>
      <c r="T13677" t="s">
        <v>46467</v>
      </c>
      <c r="U13677" t="s">
        <v>57840</v>
      </c>
      <c r="W13677" t="s">
        <v>44281</v>
      </c>
      <c r="X13677" t="s">
        <v>44924</v>
      </c>
    </row>
    <row r="13678" spans="1:24">
      <c r="A13678">
        <f>HYPERLINK("https://www.philgeps.gov.ph/GEPSNONPILOT/Tender/SplashBidNoticeAbstractUI.aspx?menuIndex=3&amp;refID=7048284&amp;Result=3","7048284")</f>
        <v>0</v>
      </c>
      <c r="B13678" t="s">
        <v>1115</v>
      </c>
      <c r="C13678" t="s">
        <v>16612</v>
      </c>
      <c r="D13678" t="s">
        <v>18104</v>
      </c>
      <c r="E13678" t="s">
        <v>30020</v>
      </c>
      <c r="F13678" t="s">
        <v>31362</v>
      </c>
      <c r="G13678" t="s">
        <v>31369</v>
      </c>
      <c r="H13678" t="s">
        <v>15799</v>
      </c>
      <c r="I13678" t="s">
        <v>31461</v>
      </c>
      <c r="J13678" t="s">
        <v>35216</v>
      </c>
      <c r="K13678" t="s">
        <v>40677</v>
      </c>
      <c r="M13678" t="s">
        <v>42805</v>
      </c>
      <c r="N13678" t="s">
        <v>44905</v>
      </c>
      <c r="O13678" t="s">
        <v>44906</v>
      </c>
      <c r="P13678">
        <v>0</v>
      </c>
      <c r="Q13678">
        <v>0</v>
      </c>
      <c r="R13678" t="s">
        <v>44923</v>
      </c>
      <c r="S13678" t="s">
        <v>45744</v>
      </c>
      <c r="T13678" t="s">
        <v>46447</v>
      </c>
      <c r="U13678" t="s">
        <v>57841</v>
      </c>
      <c r="V13678" t="s">
        <v>59573</v>
      </c>
      <c r="W13678" t="s">
        <v>42805</v>
      </c>
      <c r="X13678" t="s">
        <v>44924</v>
      </c>
    </row>
    <row r="13679" spans="1:24">
      <c r="A13679">
        <f>HYPERLINK("https://www.philgeps.gov.ph/GEPSNONPILOT/Tender/SplashBidNoticeAbstractUI.aspx?menuIndex=3&amp;refID=7048285&amp;Result=3","7048285")</f>
        <v>0</v>
      </c>
      <c r="B13679" t="s">
        <v>270</v>
      </c>
      <c r="C13679" t="s">
        <v>16613</v>
      </c>
      <c r="D13679" t="s">
        <v>18166</v>
      </c>
      <c r="E13679" t="s">
        <v>30021</v>
      </c>
      <c r="F13679" t="s">
        <v>31362</v>
      </c>
      <c r="G13679" t="s">
        <v>31369</v>
      </c>
      <c r="H13679" t="s">
        <v>15799</v>
      </c>
      <c r="I13679" t="s">
        <v>31430</v>
      </c>
      <c r="J13679" t="s">
        <v>39792</v>
      </c>
      <c r="K13679" t="s">
        <v>40661</v>
      </c>
      <c r="M13679" t="s">
        <v>41212</v>
      </c>
      <c r="N13679" t="s">
        <v>44905</v>
      </c>
      <c r="O13679" t="s">
        <v>44906</v>
      </c>
      <c r="P13679">
        <v>0</v>
      </c>
      <c r="Q13679">
        <v>4</v>
      </c>
      <c r="R13679" t="s">
        <v>44923</v>
      </c>
      <c r="S13679" t="s">
        <v>45744</v>
      </c>
      <c r="T13679" t="s">
        <v>46393</v>
      </c>
      <c r="U13679" t="s">
        <v>57747</v>
      </c>
      <c r="W13679" t="s">
        <v>41212</v>
      </c>
      <c r="X13679" t="s">
        <v>44924</v>
      </c>
    </row>
    <row r="13680" spans="1:24">
      <c r="A13680">
        <f>HYPERLINK("https://www.philgeps.gov.ph/GEPSNONPILOT/Tender/SplashBidNoticeAbstractUI.aspx?menuIndex=3&amp;refID=7048314&amp;Result=3","7048314")</f>
        <v>0</v>
      </c>
      <c r="B13680" t="s">
        <v>1115</v>
      </c>
      <c r="C13680" t="s">
        <v>16614</v>
      </c>
      <c r="D13680" t="s">
        <v>18104</v>
      </c>
      <c r="E13680" t="s">
        <v>30022</v>
      </c>
      <c r="F13680" t="s">
        <v>31362</v>
      </c>
      <c r="G13680" t="s">
        <v>31369</v>
      </c>
      <c r="H13680" t="s">
        <v>15799</v>
      </c>
      <c r="I13680" t="s">
        <v>7090</v>
      </c>
      <c r="J13680" t="s">
        <v>31542</v>
      </c>
      <c r="K13680" t="s">
        <v>40670</v>
      </c>
      <c r="M13680" t="s">
        <v>42805</v>
      </c>
      <c r="N13680" t="s">
        <v>44905</v>
      </c>
      <c r="O13680" t="s">
        <v>44906</v>
      </c>
      <c r="P13680">
        <v>0</v>
      </c>
      <c r="Q13680">
        <v>1</v>
      </c>
      <c r="R13680" t="s">
        <v>44923</v>
      </c>
      <c r="S13680" t="s">
        <v>45744</v>
      </c>
      <c r="T13680" t="s">
        <v>46447</v>
      </c>
      <c r="U13680" t="s">
        <v>57842</v>
      </c>
      <c r="V13680" t="s">
        <v>59573</v>
      </c>
      <c r="W13680" t="s">
        <v>42805</v>
      </c>
      <c r="X13680" t="s">
        <v>44924</v>
      </c>
    </row>
    <row r="13681" spans="1:24">
      <c r="A13681">
        <f>HYPERLINK("https://www.philgeps.gov.ph/GEPSNONPILOT/Tender/SplashBidNoticeAbstractUI.aspx?menuIndex=3&amp;refID=7048280&amp;Result=3","7048280")</f>
        <v>0</v>
      </c>
      <c r="B13681" t="s">
        <v>2689</v>
      </c>
      <c r="C13681" t="s">
        <v>16615</v>
      </c>
      <c r="D13681" t="s">
        <v>18105</v>
      </c>
      <c r="E13681" t="s">
        <v>30023</v>
      </c>
      <c r="F13681" t="s">
        <v>31362</v>
      </c>
      <c r="G13681" t="s">
        <v>31369</v>
      </c>
      <c r="H13681" t="s">
        <v>31378</v>
      </c>
      <c r="I13681" t="s">
        <v>31386</v>
      </c>
      <c r="J13681" t="s">
        <v>33058</v>
      </c>
      <c r="K13681" t="s">
        <v>40686</v>
      </c>
      <c r="M13681" t="s">
        <v>43875</v>
      </c>
      <c r="N13681" t="s">
        <v>44905</v>
      </c>
      <c r="O13681" t="s">
        <v>44906</v>
      </c>
      <c r="P13681">
        <v>0</v>
      </c>
      <c r="Q13681">
        <v>2</v>
      </c>
      <c r="R13681" t="s">
        <v>44923</v>
      </c>
      <c r="S13681" t="s">
        <v>45744</v>
      </c>
      <c r="T13681" t="s">
        <v>46443</v>
      </c>
      <c r="U13681" t="s">
        <v>57843</v>
      </c>
      <c r="W13681" t="s">
        <v>43875</v>
      </c>
      <c r="X13681" t="s">
        <v>44924</v>
      </c>
    </row>
    <row r="13682" spans="1:24">
      <c r="A13682">
        <f>HYPERLINK("https://www.philgeps.gov.ph/GEPSNONPILOT/Tender/SplashBidNoticeAbstractUI.aspx?menuIndex=3&amp;refID=7048332&amp;Result=3","7048332")</f>
        <v>0</v>
      </c>
      <c r="B13682" t="s">
        <v>584</v>
      </c>
      <c r="C13682" t="s">
        <v>16616</v>
      </c>
      <c r="D13682" t="s">
        <v>18158</v>
      </c>
      <c r="E13682" t="s">
        <v>30024</v>
      </c>
      <c r="F13682" t="s">
        <v>31362</v>
      </c>
      <c r="G13682" t="s">
        <v>31369</v>
      </c>
      <c r="H13682" t="s">
        <v>31378</v>
      </c>
      <c r="I13682" t="s">
        <v>31386</v>
      </c>
      <c r="J13682" t="s">
        <v>35968</v>
      </c>
      <c r="K13682" t="s">
        <v>40792</v>
      </c>
      <c r="M13682" t="s">
        <v>41541</v>
      </c>
      <c r="N13682" t="s">
        <v>44905</v>
      </c>
      <c r="O13682" t="s">
        <v>44906</v>
      </c>
      <c r="P13682">
        <v>0</v>
      </c>
      <c r="Q13682">
        <v>0</v>
      </c>
      <c r="R13682" t="s">
        <v>44923</v>
      </c>
      <c r="S13682" t="s">
        <v>45744</v>
      </c>
      <c r="T13682" t="s">
        <v>46411</v>
      </c>
      <c r="U13682" t="s">
        <v>48048</v>
      </c>
      <c r="W13682" t="s">
        <v>41541</v>
      </c>
      <c r="X13682" t="s">
        <v>44924</v>
      </c>
    </row>
    <row r="13683" spans="1:24">
      <c r="A13683">
        <f>HYPERLINK("https://www.philgeps.gov.ph/GEPSNONPILOT/Tender/SplashBidNoticeAbstractUI.aspx?menuIndex=3&amp;refID=7048275&amp;Result=3","7048275")</f>
        <v>0</v>
      </c>
      <c r="B13683" t="s">
        <v>3196</v>
      </c>
      <c r="C13683" t="s">
        <v>16617</v>
      </c>
      <c r="E13683" t="s">
        <v>30025</v>
      </c>
      <c r="F13683" t="s">
        <v>31362</v>
      </c>
      <c r="G13683" t="s">
        <v>31369</v>
      </c>
      <c r="H13683" t="s">
        <v>31378</v>
      </c>
      <c r="I13683" t="s">
        <v>31386</v>
      </c>
      <c r="J13683" t="s">
        <v>31606</v>
      </c>
      <c r="K13683" t="s">
        <v>40662</v>
      </c>
      <c r="M13683" t="s">
        <v>44466</v>
      </c>
      <c r="N13683" t="s">
        <v>44905</v>
      </c>
      <c r="O13683" t="s">
        <v>44906</v>
      </c>
      <c r="P13683">
        <v>0</v>
      </c>
      <c r="Q13683">
        <v>1</v>
      </c>
      <c r="R13683" t="s">
        <v>44923</v>
      </c>
      <c r="S13683" t="s">
        <v>45744</v>
      </c>
      <c r="T13683" t="s">
        <v>46422</v>
      </c>
      <c r="U13683" t="s">
        <v>57824</v>
      </c>
      <c r="W13683" t="s">
        <v>44466</v>
      </c>
      <c r="X13683" t="s">
        <v>44924</v>
      </c>
    </row>
    <row r="13684" spans="1:24">
      <c r="A13684">
        <f>HYPERLINK("https://www.philgeps.gov.ph/GEPSNONPILOT/Tender/SplashBidNoticeAbstractUI.aspx?menuIndex=3&amp;refID=7048274&amp;Result=3","7048274")</f>
        <v>0</v>
      </c>
      <c r="B13684" t="s">
        <v>3031</v>
      </c>
      <c r="C13684" t="s">
        <v>16618</v>
      </c>
      <c r="D13684" t="s">
        <v>18148</v>
      </c>
      <c r="E13684" t="s">
        <v>30026</v>
      </c>
      <c r="F13684" t="s">
        <v>31362</v>
      </c>
      <c r="G13684" t="s">
        <v>31369</v>
      </c>
      <c r="H13684" t="s">
        <v>15799</v>
      </c>
      <c r="I13684" t="s">
        <v>3815</v>
      </c>
      <c r="J13684" t="s">
        <v>39793</v>
      </c>
      <c r="K13684" t="s">
        <v>40666</v>
      </c>
      <c r="M13684" t="s">
        <v>44265</v>
      </c>
      <c r="N13684" t="s">
        <v>44905</v>
      </c>
      <c r="O13684" t="s">
        <v>44906</v>
      </c>
      <c r="P13684">
        <v>0</v>
      </c>
      <c r="Q13684">
        <v>2</v>
      </c>
      <c r="R13684" t="s">
        <v>44923</v>
      </c>
      <c r="S13684" t="s">
        <v>45744</v>
      </c>
      <c r="T13684" t="s">
        <v>46411</v>
      </c>
      <c r="U13684" t="s">
        <v>57844</v>
      </c>
      <c r="W13684" t="s">
        <v>44265</v>
      </c>
      <c r="X13684" t="s">
        <v>44924</v>
      </c>
    </row>
    <row r="13685" spans="1:24">
      <c r="A13685">
        <f>HYPERLINK("https://www.philgeps.gov.ph/GEPSNONPILOT/Tender/SplashBidNoticeAbstractUI.aspx?menuIndex=3&amp;refID=7048652&amp;Result=3","7048652")</f>
        <v>0</v>
      </c>
      <c r="B13685" t="s">
        <v>1225</v>
      </c>
      <c r="C13685" t="s">
        <v>16619</v>
      </c>
      <c r="D13685" t="s">
        <v>18154</v>
      </c>
      <c r="E13685" t="s">
        <v>30027</v>
      </c>
      <c r="F13685" t="s">
        <v>31362</v>
      </c>
      <c r="G13685" t="s">
        <v>31369</v>
      </c>
      <c r="H13685" t="s">
        <v>31378</v>
      </c>
      <c r="I13685" t="s">
        <v>31386</v>
      </c>
      <c r="J13685" t="s">
        <v>39794</v>
      </c>
      <c r="K13685" t="s">
        <v>40938</v>
      </c>
      <c r="L13685" t="s">
        <v>1225</v>
      </c>
      <c r="M13685" t="s">
        <v>42239</v>
      </c>
      <c r="N13685" t="s">
        <v>44905</v>
      </c>
      <c r="O13685" t="s">
        <v>44906</v>
      </c>
      <c r="Q13685">
        <v>7</v>
      </c>
      <c r="R13685" t="s">
        <v>44923</v>
      </c>
      <c r="S13685" t="s">
        <v>45777</v>
      </c>
      <c r="T13685" t="s">
        <v>46409</v>
      </c>
      <c r="U13685" t="s">
        <v>57845</v>
      </c>
      <c r="W13685" t="s">
        <v>42239</v>
      </c>
      <c r="X13685" t="s">
        <v>44924</v>
      </c>
    </row>
    <row r="13686" spans="1:24">
      <c r="A13686">
        <f>HYPERLINK("https://www.philgeps.gov.ph/GEPSNONPILOT/Tender/SplashBidNoticeAbstractUI.aspx?menuIndex=3&amp;refID=7048613&amp;Result=3","7048613")</f>
        <v>0</v>
      </c>
      <c r="B13686" t="s">
        <v>1818</v>
      </c>
      <c r="C13686" t="s">
        <v>16620</v>
      </c>
      <c r="D13686" t="s">
        <v>18122</v>
      </c>
      <c r="E13686" t="s">
        <v>30028</v>
      </c>
      <c r="F13686" t="s">
        <v>31362</v>
      </c>
      <c r="G13686" t="s">
        <v>31369</v>
      </c>
      <c r="H13686" t="s">
        <v>15799</v>
      </c>
      <c r="I13686" t="s">
        <v>31456</v>
      </c>
      <c r="J13686" t="s">
        <v>39795</v>
      </c>
      <c r="K13686" t="s">
        <v>40665</v>
      </c>
      <c r="M13686" t="s">
        <v>42901</v>
      </c>
      <c r="N13686" t="s">
        <v>44905</v>
      </c>
      <c r="O13686" t="s">
        <v>44906</v>
      </c>
      <c r="P13686">
        <v>0</v>
      </c>
      <c r="Q13686">
        <v>5</v>
      </c>
      <c r="R13686" t="s">
        <v>44923</v>
      </c>
      <c r="S13686" t="s">
        <v>45744</v>
      </c>
      <c r="T13686" t="s">
        <v>46519</v>
      </c>
      <c r="U13686" t="s">
        <v>57846</v>
      </c>
      <c r="W13686" t="s">
        <v>42901</v>
      </c>
      <c r="X13686" t="s">
        <v>44924</v>
      </c>
    </row>
    <row r="13687" spans="1:24">
      <c r="A13687">
        <f>HYPERLINK("https://www.philgeps.gov.ph/GEPSNONPILOT/Tender/SplashBidNoticeAbstractUI.aspx?menuIndex=3&amp;refID=7048197&amp;Result=3","7048197")</f>
        <v>0</v>
      </c>
      <c r="B13687" t="s">
        <v>1347</v>
      </c>
      <c r="C13687" t="s">
        <v>16621</v>
      </c>
      <c r="D13687" t="s">
        <v>18117</v>
      </c>
      <c r="E13687" t="s">
        <v>30029</v>
      </c>
      <c r="F13687" t="s">
        <v>31362</v>
      </c>
      <c r="G13687" t="s">
        <v>31369</v>
      </c>
      <c r="H13687" t="s">
        <v>15799</v>
      </c>
      <c r="I13687" t="s">
        <v>31409</v>
      </c>
      <c r="J13687" t="s">
        <v>31607</v>
      </c>
      <c r="K13687" t="s">
        <v>40686</v>
      </c>
      <c r="M13687" t="s">
        <v>42367</v>
      </c>
      <c r="N13687" t="s">
        <v>44905</v>
      </c>
      <c r="O13687" t="s">
        <v>44906</v>
      </c>
      <c r="P13687">
        <v>0</v>
      </c>
      <c r="Q13687">
        <v>2</v>
      </c>
      <c r="R13687" t="s">
        <v>44923</v>
      </c>
      <c r="S13687" t="s">
        <v>45744</v>
      </c>
      <c r="T13687" t="s">
        <v>46549</v>
      </c>
      <c r="U13687" t="s">
        <v>57847</v>
      </c>
      <c r="W13687" t="s">
        <v>42367</v>
      </c>
      <c r="X13687" t="s">
        <v>44924</v>
      </c>
    </row>
    <row r="13688" spans="1:24">
      <c r="A13688">
        <f>HYPERLINK("https://www.philgeps.gov.ph/GEPSNONPILOT/Tender/SplashBidNoticeAbstractUI.aspx?menuIndex=3&amp;refID=7048379&amp;Result=3","7048379")</f>
        <v>0</v>
      </c>
      <c r="B13688" t="s">
        <v>2167</v>
      </c>
      <c r="C13688" t="s">
        <v>16622</v>
      </c>
      <c r="D13688" t="s">
        <v>18134</v>
      </c>
      <c r="E13688" t="s">
        <v>30030</v>
      </c>
      <c r="F13688" t="s">
        <v>31362</v>
      </c>
      <c r="G13688" t="s">
        <v>31369</v>
      </c>
      <c r="H13688" t="s">
        <v>31378</v>
      </c>
      <c r="I13688" t="s">
        <v>31386</v>
      </c>
      <c r="J13688" t="s">
        <v>32594</v>
      </c>
      <c r="K13688" t="s">
        <v>40678</v>
      </c>
      <c r="M13688" t="s">
        <v>43297</v>
      </c>
      <c r="N13688" t="s">
        <v>44905</v>
      </c>
      <c r="O13688" t="s">
        <v>44906</v>
      </c>
      <c r="Q13688">
        <v>0</v>
      </c>
      <c r="R13688" t="s">
        <v>44923</v>
      </c>
      <c r="S13688" t="s">
        <v>45778</v>
      </c>
      <c r="T13688" t="s">
        <v>46876</v>
      </c>
      <c r="U13688" t="s">
        <v>52713</v>
      </c>
      <c r="W13688" t="s">
        <v>43297</v>
      </c>
      <c r="X13688" t="s">
        <v>44924</v>
      </c>
    </row>
    <row r="13689" spans="1:24">
      <c r="A13689">
        <f>HYPERLINK("https://www.philgeps.gov.ph/GEPSNONPILOT/Tender/SplashBidNoticeAbstractUI.aspx?menuIndex=3&amp;refID=7048550&amp;Result=3","7048550")</f>
        <v>0</v>
      </c>
      <c r="B13689" t="s">
        <v>3156</v>
      </c>
      <c r="C13689" t="s">
        <v>16623</v>
      </c>
      <c r="D13689" t="s">
        <v>18128</v>
      </c>
      <c r="E13689" t="s">
        <v>30031</v>
      </c>
      <c r="F13689" t="s">
        <v>31362</v>
      </c>
      <c r="G13689" t="s">
        <v>31369</v>
      </c>
      <c r="H13689" t="s">
        <v>15799</v>
      </c>
      <c r="I13689" t="s">
        <v>7188</v>
      </c>
      <c r="J13689" t="s">
        <v>35155</v>
      </c>
      <c r="K13689" t="s">
        <v>40665</v>
      </c>
      <c r="M13689" t="s">
        <v>44419</v>
      </c>
      <c r="N13689" t="s">
        <v>44905</v>
      </c>
      <c r="O13689" t="s">
        <v>44906</v>
      </c>
      <c r="P13689">
        <v>0</v>
      </c>
      <c r="Q13689">
        <v>6</v>
      </c>
      <c r="R13689" t="s">
        <v>44923</v>
      </c>
      <c r="S13689" t="s">
        <v>45744</v>
      </c>
      <c r="T13689" t="s">
        <v>46470</v>
      </c>
      <c r="U13689" t="s">
        <v>57848</v>
      </c>
      <c r="W13689" t="s">
        <v>44419</v>
      </c>
      <c r="X13689" t="s">
        <v>44924</v>
      </c>
    </row>
    <row r="13690" spans="1:24">
      <c r="A13690">
        <f>HYPERLINK("https://www.philgeps.gov.ph/GEPSNONPILOT/Tender/SplashBidNoticeAbstractUI.aspx?menuIndex=3&amp;refID=7048401&amp;Result=3","7048401")</f>
        <v>0</v>
      </c>
      <c r="B13690" t="s">
        <v>3299</v>
      </c>
      <c r="C13690" t="s">
        <v>16624</v>
      </c>
      <c r="D13690" t="s">
        <v>18116</v>
      </c>
      <c r="E13690" t="s">
        <v>30032</v>
      </c>
      <c r="F13690" t="s">
        <v>31362</v>
      </c>
      <c r="G13690" t="s">
        <v>31369</v>
      </c>
      <c r="H13690" t="s">
        <v>31378</v>
      </c>
      <c r="I13690" t="s">
        <v>31439</v>
      </c>
      <c r="J13690" t="s">
        <v>31606</v>
      </c>
      <c r="K13690" t="s">
        <v>40682</v>
      </c>
      <c r="M13690" t="s">
        <v>44589</v>
      </c>
      <c r="N13690" t="s">
        <v>44905</v>
      </c>
      <c r="O13690" t="s">
        <v>44906</v>
      </c>
      <c r="P13690">
        <v>0</v>
      </c>
      <c r="Q13690">
        <v>4</v>
      </c>
      <c r="R13690" t="s">
        <v>44923</v>
      </c>
      <c r="S13690" t="s">
        <v>45744</v>
      </c>
      <c r="T13690" t="s">
        <v>46585</v>
      </c>
      <c r="U13690" t="s">
        <v>57849</v>
      </c>
      <c r="W13690" t="s">
        <v>44589</v>
      </c>
      <c r="X13690" t="s">
        <v>44924</v>
      </c>
    </row>
    <row r="13691" spans="1:24">
      <c r="A13691">
        <f>HYPERLINK("https://www.philgeps.gov.ph/GEPSNONPILOT/Tender/SplashBidNoticeAbstractUI.aspx?menuIndex=3&amp;refID=7048548&amp;Result=3","7048548")</f>
        <v>0</v>
      </c>
      <c r="B13691" t="s">
        <v>1728</v>
      </c>
      <c r="C13691" t="s">
        <v>16625</v>
      </c>
      <c r="D13691" t="s">
        <v>18158</v>
      </c>
      <c r="E13691" t="s">
        <v>30033</v>
      </c>
      <c r="F13691" t="s">
        <v>31362</v>
      </c>
      <c r="G13691" t="s">
        <v>31369</v>
      </c>
      <c r="H13691" t="s">
        <v>15799</v>
      </c>
      <c r="I13691" t="s">
        <v>7090</v>
      </c>
      <c r="J13691" t="s">
        <v>33393</v>
      </c>
      <c r="K13691" t="s">
        <v>40679</v>
      </c>
      <c r="M13691" t="s">
        <v>42799</v>
      </c>
      <c r="N13691" t="s">
        <v>44905</v>
      </c>
      <c r="O13691" t="s">
        <v>44906</v>
      </c>
      <c r="P13691">
        <v>0</v>
      </c>
      <c r="Q13691">
        <v>7</v>
      </c>
      <c r="R13691" t="s">
        <v>44923</v>
      </c>
      <c r="S13691" t="s">
        <v>45744</v>
      </c>
      <c r="T13691" t="s">
        <v>46483</v>
      </c>
      <c r="U13691" t="s">
        <v>57850</v>
      </c>
      <c r="W13691" t="s">
        <v>42799</v>
      </c>
      <c r="X13691" t="s">
        <v>44924</v>
      </c>
    </row>
    <row r="13692" spans="1:24">
      <c r="A13692">
        <f>HYPERLINK("https://www.philgeps.gov.ph/GEPSNONPILOT/Tender/SplashBidNoticeAbstractUI.aspx?menuIndex=3&amp;refID=7048543&amp;Result=3","7048543")</f>
        <v>0</v>
      </c>
      <c r="B13692" t="s">
        <v>3397</v>
      </c>
      <c r="C13692" t="s">
        <v>9404</v>
      </c>
      <c r="E13692" t="s">
        <v>18397</v>
      </c>
      <c r="F13692" t="s">
        <v>31365</v>
      </c>
      <c r="G13692" t="s">
        <v>31369</v>
      </c>
      <c r="H13692" t="s">
        <v>15799</v>
      </c>
      <c r="I13692" t="s">
        <v>3815</v>
      </c>
      <c r="J13692" t="s">
        <v>31688</v>
      </c>
      <c r="K13692" t="s">
        <v>40662</v>
      </c>
      <c r="M13692" t="s">
        <v>44707</v>
      </c>
      <c r="N13692" t="s">
        <v>44905</v>
      </c>
      <c r="O13692" t="s">
        <v>44906</v>
      </c>
      <c r="P13692">
        <v>0</v>
      </c>
      <c r="Q13692">
        <v>0</v>
      </c>
      <c r="R13692" t="s">
        <v>44923</v>
      </c>
      <c r="S13692" t="s">
        <v>45744</v>
      </c>
      <c r="T13692" t="s">
        <v>46454</v>
      </c>
      <c r="U13692" t="s">
        <v>47088</v>
      </c>
      <c r="W13692" t="s">
        <v>44707</v>
      </c>
      <c r="X13692" t="s">
        <v>44924</v>
      </c>
    </row>
    <row r="13693" spans="1:24">
      <c r="A13693">
        <f>HYPERLINK("https://www.philgeps.gov.ph/GEPSNONPILOT/Tender/SplashBidNoticeAbstractUI.aspx?menuIndex=3&amp;refID=7048315&amp;Result=3","7048315")</f>
        <v>0</v>
      </c>
      <c r="B13693" t="s">
        <v>1578</v>
      </c>
      <c r="C13693" t="s">
        <v>16626</v>
      </c>
      <c r="E13693" t="s">
        <v>30034</v>
      </c>
      <c r="F13693" t="s">
        <v>31362</v>
      </c>
      <c r="G13693" t="s">
        <v>31369</v>
      </c>
      <c r="H13693" t="s">
        <v>31379</v>
      </c>
      <c r="I13693" t="s">
        <v>31418</v>
      </c>
      <c r="J13693" t="s">
        <v>39796</v>
      </c>
      <c r="K13693" t="s">
        <v>40876</v>
      </c>
      <c r="M13693" t="s">
        <v>44708</v>
      </c>
      <c r="N13693" t="s">
        <v>44905</v>
      </c>
      <c r="O13693" t="s">
        <v>44906</v>
      </c>
      <c r="P13693">
        <v>0</v>
      </c>
      <c r="Q13693">
        <v>1</v>
      </c>
      <c r="R13693" t="s">
        <v>44923</v>
      </c>
      <c r="S13693" t="s">
        <v>45744</v>
      </c>
      <c r="T13693" t="s">
        <v>46447</v>
      </c>
      <c r="U13693" t="s">
        <v>57851</v>
      </c>
      <c r="V13693" t="s">
        <v>60614</v>
      </c>
      <c r="W13693" t="s">
        <v>44708</v>
      </c>
      <c r="X13693" t="s">
        <v>44924</v>
      </c>
    </row>
    <row r="13694" spans="1:24">
      <c r="A13694">
        <f>HYPERLINK("https://www.philgeps.gov.ph/GEPSNONPILOT/Tender/SplashBidNoticeAbstractUI.aspx?menuIndex=3&amp;refID=7048270&amp;Result=3","7048270")</f>
        <v>0</v>
      </c>
      <c r="B13694" t="s">
        <v>1774</v>
      </c>
      <c r="C13694" t="s">
        <v>16627</v>
      </c>
      <c r="D13694" t="s">
        <v>18112</v>
      </c>
      <c r="E13694" t="s">
        <v>30035</v>
      </c>
      <c r="F13694" t="s">
        <v>31362</v>
      </c>
      <c r="G13694" t="s">
        <v>31369</v>
      </c>
      <c r="H13694" t="s">
        <v>15799</v>
      </c>
      <c r="I13694" t="s">
        <v>6373</v>
      </c>
      <c r="J13694" t="s">
        <v>39797</v>
      </c>
      <c r="K13694" t="s">
        <v>40662</v>
      </c>
      <c r="M13694" t="s">
        <v>42852</v>
      </c>
      <c r="N13694" t="s">
        <v>44905</v>
      </c>
      <c r="O13694" t="s">
        <v>44906</v>
      </c>
      <c r="P13694">
        <v>0</v>
      </c>
      <c r="Q13694">
        <v>3</v>
      </c>
      <c r="R13694" t="s">
        <v>44923</v>
      </c>
      <c r="S13694" t="s">
        <v>45744</v>
      </c>
      <c r="T13694" t="s">
        <v>46447</v>
      </c>
      <c r="U13694" t="s">
        <v>57852</v>
      </c>
      <c r="V13694" t="s">
        <v>59584</v>
      </c>
      <c r="W13694" t="s">
        <v>42852</v>
      </c>
      <c r="X13694" t="s">
        <v>44924</v>
      </c>
    </row>
    <row r="13695" spans="1:24">
      <c r="A13695">
        <f>HYPERLINK("https://www.philgeps.gov.ph/GEPSNONPILOT/Tender/SplashBidNoticeAbstractUI.aspx?menuIndex=3&amp;refID=7048528&amp;Result=3","7048528")</f>
        <v>0</v>
      </c>
      <c r="B13695" t="s">
        <v>3398</v>
      </c>
      <c r="C13695" t="s">
        <v>16628</v>
      </c>
      <c r="D13695" t="s">
        <v>18174</v>
      </c>
      <c r="E13695" t="s">
        <v>24992</v>
      </c>
      <c r="F13695" t="s">
        <v>31362</v>
      </c>
      <c r="G13695" t="s">
        <v>31369</v>
      </c>
      <c r="H13695" t="s">
        <v>31378</v>
      </c>
      <c r="I13695" t="s">
        <v>31386</v>
      </c>
      <c r="J13695" t="s">
        <v>39798</v>
      </c>
      <c r="K13695" t="s">
        <v>40675</v>
      </c>
      <c r="M13695" t="s">
        <v>44709</v>
      </c>
      <c r="N13695" t="s">
        <v>44905</v>
      </c>
      <c r="O13695" t="s">
        <v>44906</v>
      </c>
      <c r="P13695">
        <v>0</v>
      </c>
      <c r="Q13695">
        <v>0</v>
      </c>
      <c r="R13695" t="s">
        <v>44923</v>
      </c>
      <c r="S13695" t="s">
        <v>45744</v>
      </c>
      <c r="T13695" t="s">
        <v>46447</v>
      </c>
      <c r="U13695" t="s">
        <v>57853</v>
      </c>
      <c r="W13695" t="s">
        <v>44709</v>
      </c>
      <c r="X13695" t="s">
        <v>44924</v>
      </c>
    </row>
    <row r="13696" spans="1:24">
      <c r="A13696">
        <f>HYPERLINK("https://www.philgeps.gov.ph/GEPSNONPILOT/Tender/SplashBidNoticeAbstractUI.aspx?menuIndex=3&amp;refID=7048520&amp;Result=3","7048520")</f>
        <v>0</v>
      </c>
      <c r="B13696" t="s">
        <v>1958</v>
      </c>
      <c r="C13696" t="s">
        <v>16629</v>
      </c>
      <c r="E13696" t="s">
        <v>18397</v>
      </c>
      <c r="F13696" t="s">
        <v>31365</v>
      </c>
      <c r="G13696" t="s">
        <v>31369</v>
      </c>
      <c r="H13696" t="s">
        <v>15799</v>
      </c>
      <c r="I13696" t="s">
        <v>7090</v>
      </c>
      <c r="J13696" t="s">
        <v>31536</v>
      </c>
      <c r="K13696" t="s">
        <v>40662</v>
      </c>
      <c r="M13696" t="s">
        <v>43064</v>
      </c>
      <c r="N13696" t="s">
        <v>44905</v>
      </c>
      <c r="O13696" t="s">
        <v>44906</v>
      </c>
      <c r="P13696">
        <v>0</v>
      </c>
      <c r="Q13696">
        <v>2</v>
      </c>
      <c r="R13696" t="s">
        <v>44923</v>
      </c>
      <c r="S13696" t="s">
        <v>45744</v>
      </c>
      <c r="T13696" t="s">
        <v>46454</v>
      </c>
      <c r="U13696" t="s">
        <v>47088</v>
      </c>
      <c r="W13696" t="s">
        <v>43064</v>
      </c>
      <c r="X13696" t="s">
        <v>44924</v>
      </c>
    </row>
    <row r="13697" spans="1:24">
      <c r="A13697">
        <f>HYPERLINK("https://www.philgeps.gov.ph/GEPSNONPILOT/Tender/SplashBidNoticeAbstractUI.aspx?menuIndex=3&amp;refID=7048477&amp;Result=3","7048477")</f>
        <v>0</v>
      </c>
      <c r="B13697" t="s">
        <v>649</v>
      </c>
      <c r="C13697" t="s">
        <v>16630</v>
      </c>
      <c r="D13697" t="s">
        <v>18152</v>
      </c>
      <c r="E13697" t="s">
        <v>30036</v>
      </c>
      <c r="F13697" t="s">
        <v>31362</v>
      </c>
      <c r="G13697" t="s">
        <v>31369</v>
      </c>
      <c r="H13697" t="s">
        <v>15799</v>
      </c>
      <c r="I13697" t="s">
        <v>31426</v>
      </c>
      <c r="J13697" t="s">
        <v>39799</v>
      </c>
      <c r="K13697" t="s">
        <v>40665</v>
      </c>
      <c r="M13697" t="s">
        <v>41610</v>
      </c>
      <c r="N13697" t="s">
        <v>44905</v>
      </c>
      <c r="O13697" t="s">
        <v>44906</v>
      </c>
      <c r="P13697">
        <v>0</v>
      </c>
      <c r="Q13697">
        <v>7</v>
      </c>
      <c r="R13697" t="s">
        <v>44923</v>
      </c>
      <c r="S13697" t="s">
        <v>45744</v>
      </c>
      <c r="T13697" t="s">
        <v>46593</v>
      </c>
      <c r="U13697" t="s">
        <v>57854</v>
      </c>
      <c r="V13697" t="s">
        <v>60615</v>
      </c>
      <c r="W13697" t="s">
        <v>41610</v>
      </c>
      <c r="X13697" t="s">
        <v>44924</v>
      </c>
    </row>
    <row r="13698" spans="1:24">
      <c r="A13698">
        <f>HYPERLINK("https://www.philgeps.gov.ph/GEPSNONPILOT/Tender/SplashBidNoticeAbstractUI.aspx?menuIndex=3&amp;refID=7048540&amp;Result=3","7048540")</f>
        <v>0</v>
      </c>
      <c r="B13698" t="s">
        <v>1551</v>
      </c>
      <c r="C13698" t="s">
        <v>16631</v>
      </c>
      <c r="D13698" t="s">
        <v>18127</v>
      </c>
      <c r="E13698" t="s">
        <v>29365</v>
      </c>
      <c r="F13698" t="s">
        <v>31363</v>
      </c>
      <c r="G13698" t="s">
        <v>31369</v>
      </c>
      <c r="H13698" t="s">
        <v>15799</v>
      </c>
      <c r="I13698" t="s">
        <v>31409</v>
      </c>
      <c r="J13698" t="s">
        <v>32577</v>
      </c>
      <c r="K13698" t="s">
        <v>40665</v>
      </c>
      <c r="M13698" t="s">
        <v>42599</v>
      </c>
      <c r="N13698" t="s">
        <v>44905</v>
      </c>
      <c r="O13698" t="s">
        <v>44906</v>
      </c>
      <c r="P13698">
        <v>0</v>
      </c>
      <c r="Q13698">
        <v>3</v>
      </c>
      <c r="R13698" t="s">
        <v>44923</v>
      </c>
      <c r="S13698" t="s">
        <v>45744</v>
      </c>
      <c r="T13698" t="s">
        <v>46438</v>
      </c>
      <c r="U13698" t="s">
        <v>57855</v>
      </c>
      <c r="W13698" t="s">
        <v>42599</v>
      </c>
      <c r="X13698" t="s">
        <v>44924</v>
      </c>
    </row>
    <row r="13699" spans="1:24">
      <c r="A13699">
        <f>HYPERLINK("https://www.philgeps.gov.ph/GEPSNONPILOT/Tender/SplashBidNoticeAbstractUI.aspx?menuIndex=3&amp;refID=7048523&amp;Result=3","7048523")</f>
        <v>0</v>
      </c>
      <c r="B13699" t="s">
        <v>1728</v>
      </c>
      <c r="C13699" t="s">
        <v>16632</v>
      </c>
      <c r="D13699" t="s">
        <v>18158</v>
      </c>
      <c r="E13699" t="s">
        <v>30037</v>
      </c>
      <c r="F13699" t="s">
        <v>31362</v>
      </c>
      <c r="G13699" t="s">
        <v>31369</v>
      </c>
      <c r="H13699" t="s">
        <v>15799</v>
      </c>
      <c r="I13699" t="s">
        <v>7090</v>
      </c>
      <c r="J13699" t="s">
        <v>39800</v>
      </c>
      <c r="K13699" t="s">
        <v>40675</v>
      </c>
      <c r="M13699" t="s">
        <v>42799</v>
      </c>
      <c r="N13699" t="s">
        <v>44905</v>
      </c>
      <c r="O13699" t="s">
        <v>44906</v>
      </c>
      <c r="P13699">
        <v>0</v>
      </c>
      <c r="Q13699">
        <v>5</v>
      </c>
      <c r="R13699" t="s">
        <v>44923</v>
      </c>
      <c r="S13699" t="s">
        <v>45744</v>
      </c>
      <c r="T13699" t="s">
        <v>46483</v>
      </c>
      <c r="U13699" t="s">
        <v>57856</v>
      </c>
      <c r="W13699" t="s">
        <v>42799</v>
      </c>
      <c r="X13699" t="s">
        <v>44924</v>
      </c>
    </row>
    <row r="13700" spans="1:24">
      <c r="A13700">
        <f>HYPERLINK("https://www.philgeps.gov.ph/GEPSNONPILOT/Tender/SplashBidNoticeAbstractUI.aspx?menuIndex=3&amp;refID=7048587&amp;Result=3","7048587")</f>
        <v>0</v>
      </c>
      <c r="B13700" t="s">
        <v>2986</v>
      </c>
      <c r="C13700" t="s">
        <v>16633</v>
      </c>
      <c r="D13700" t="s">
        <v>18155</v>
      </c>
      <c r="E13700" t="s">
        <v>30038</v>
      </c>
      <c r="F13700" t="s">
        <v>31362</v>
      </c>
      <c r="G13700" t="s">
        <v>31369</v>
      </c>
      <c r="H13700" t="s">
        <v>31378</v>
      </c>
      <c r="I13700" t="s">
        <v>31386</v>
      </c>
      <c r="J13700" t="s">
        <v>35968</v>
      </c>
      <c r="K13700" t="s">
        <v>40939</v>
      </c>
      <c r="M13700" t="s">
        <v>44211</v>
      </c>
      <c r="N13700" t="s">
        <v>44905</v>
      </c>
      <c r="O13700" t="s">
        <v>44906</v>
      </c>
      <c r="P13700">
        <v>0</v>
      </c>
      <c r="Q13700">
        <v>1</v>
      </c>
      <c r="R13700" t="s">
        <v>44923</v>
      </c>
      <c r="S13700" t="s">
        <v>45744</v>
      </c>
      <c r="T13700" t="s">
        <v>46409</v>
      </c>
      <c r="U13700" t="s">
        <v>57857</v>
      </c>
      <c r="V13700" t="s">
        <v>60616</v>
      </c>
      <c r="W13700" t="s">
        <v>44211</v>
      </c>
      <c r="X13700" t="s">
        <v>44924</v>
      </c>
    </row>
    <row r="13701" spans="1:24">
      <c r="A13701">
        <f>HYPERLINK("https://www.philgeps.gov.ph/GEPSNONPILOT/Tender/SplashBidNoticeAbstractUI.aspx?menuIndex=3&amp;refID=7048516&amp;Result=3","7048516")</f>
        <v>0</v>
      </c>
      <c r="B13701" t="s">
        <v>997</v>
      </c>
      <c r="C13701" t="s">
        <v>16634</v>
      </c>
      <c r="D13701" t="s">
        <v>18101</v>
      </c>
      <c r="E13701" t="s">
        <v>30039</v>
      </c>
      <c r="F13701" t="s">
        <v>31362</v>
      </c>
      <c r="G13701" t="s">
        <v>31369</v>
      </c>
      <c r="H13701" t="s">
        <v>31378</v>
      </c>
      <c r="I13701" t="s">
        <v>31386</v>
      </c>
      <c r="J13701" t="s">
        <v>39801</v>
      </c>
      <c r="K13701" t="s">
        <v>40686</v>
      </c>
      <c r="M13701" t="s">
        <v>41992</v>
      </c>
      <c r="N13701" t="s">
        <v>44905</v>
      </c>
      <c r="O13701" t="s">
        <v>44906</v>
      </c>
      <c r="P13701">
        <v>0</v>
      </c>
      <c r="Q13701">
        <v>1</v>
      </c>
      <c r="R13701" t="s">
        <v>44923</v>
      </c>
      <c r="S13701" t="s">
        <v>45744</v>
      </c>
      <c r="T13701" t="s">
        <v>46409</v>
      </c>
      <c r="U13701" t="s">
        <v>57858</v>
      </c>
      <c r="W13701" t="s">
        <v>41992</v>
      </c>
      <c r="X13701" t="s">
        <v>44924</v>
      </c>
    </row>
    <row r="13702" spans="1:24">
      <c r="A13702">
        <f>HYPERLINK("https://www.philgeps.gov.ph/GEPSNONPILOT/Tender/SplashBidNoticeAbstractUI.aspx?menuIndex=3&amp;refID=7048437&amp;Result=3","7048437")</f>
        <v>0</v>
      </c>
      <c r="B13702" t="s">
        <v>1578</v>
      </c>
      <c r="C13702" t="s">
        <v>16635</v>
      </c>
      <c r="E13702" t="s">
        <v>30034</v>
      </c>
      <c r="F13702" t="s">
        <v>31362</v>
      </c>
      <c r="G13702" t="s">
        <v>31369</v>
      </c>
      <c r="H13702" t="s">
        <v>31379</v>
      </c>
      <c r="I13702" t="s">
        <v>31418</v>
      </c>
      <c r="J13702" t="s">
        <v>39802</v>
      </c>
      <c r="K13702" t="s">
        <v>40876</v>
      </c>
      <c r="M13702" t="s">
        <v>44708</v>
      </c>
      <c r="N13702" t="s">
        <v>44905</v>
      </c>
      <c r="O13702" t="s">
        <v>44906</v>
      </c>
      <c r="P13702">
        <v>0</v>
      </c>
      <c r="Q13702">
        <v>0</v>
      </c>
      <c r="R13702" t="s">
        <v>44923</v>
      </c>
      <c r="S13702" t="s">
        <v>45744</v>
      </c>
      <c r="T13702" t="s">
        <v>46447</v>
      </c>
      <c r="U13702" t="s">
        <v>57851</v>
      </c>
      <c r="V13702" t="s">
        <v>60617</v>
      </c>
      <c r="W13702" t="s">
        <v>44708</v>
      </c>
      <c r="X13702" t="s">
        <v>44924</v>
      </c>
    </row>
    <row r="13703" spans="1:24">
      <c r="A13703">
        <f>HYPERLINK("https://www.philgeps.gov.ph/GEPSNONPILOT/Tender/SplashBidNoticeAbstractUI.aspx?menuIndex=3&amp;refID=7048451&amp;Result=3","7048451")</f>
        <v>0</v>
      </c>
      <c r="B13703" t="s">
        <v>1315</v>
      </c>
      <c r="C13703" t="s">
        <v>13627</v>
      </c>
      <c r="D13703" t="s">
        <v>18157</v>
      </c>
      <c r="E13703" t="s">
        <v>30040</v>
      </c>
      <c r="F13703" t="s">
        <v>31362</v>
      </c>
      <c r="G13703" t="s">
        <v>31369</v>
      </c>
      <c r="H13703" t="s">
        <v>31378</v>
      </c>
      <c r="I13703" t="s">
        <v>31386</v>
      </c>
      <c r="J13703" t="s">
        <v>31542</v>
      </c>
      <c r="K13703" t="s">
        <v>40678</v>
      </c>
      <c r="M13703" t="s">
        <v>42333</v>
      </c>
      <c r="N13703" t="s">
        <v>44905</v>
      </c>
      <c r="O13703" t="s">
        <v>44906</v>
      </c>
      <c r="P13703">
        <v>0</v>
      </c>
      <c r="Q13703">
        <v>2</v>
      </c>
      <c r="R13703" t="s">
        <v>44923</v>
      </c>
      <c r="S13703" t="s">
        <v>45744</v>
      </c>
      <c r="T13703" t="s">
        <v>46422</v>
      </c>
      <c r="U13703" t="s">
        <v>57859</v>
      </c>
      <c r="W13703" t="s">
        <v>42333</v>
      </c>
      <c r="X13703" t="s">
        <v>44924</v>
      </c>
    </row>
    <row r="13704" spans="1:24">
      <c r="A13704">
        <f>HYPERLINK("https://www.philgeps.gov.ph/GEPSNONPILOT/Tender/SplashBidNoticeAbstractUI.aspx?menuIndex=3&amp;refID=7048446&amp;Result=3","7048446")</f>
        <v>0</v>
      </c>
      <c r="B13704" t="s">
        <v>3392</v>
      </c>
      <c r="C13704" t="s">
        <v>16636</v>
      </c>
      <c r="D13704" t="s">
        <v>18122</v>
      </c>
      <c r="E13704" t="s">
        <v>30041</v>
      </c>
      <c r="F13704" t="s">
        <v>31362</v>
      </c>
      <c r="G13704" t="s">
        <v>31369</v>
      </c>
      <c r="H13704" t="s">
        <v>31378</v>
      </c>
      <c r="I13704" t="s">
        <v>31386</v>
      </c>
      <c r="J13704" t="s">
        <v>31625</v>
      </c>
      <c r="K13704" t="s">
        <v>40711</v>
      </c>
      <c r="L13704" t="s">
        <v>3392</v>
      </c>
      <c r="M13704" t="s">
        <v>44702</v>
      </c>
      <c r="N13704" t="s">
        <v>44905</v>
      </c>
      <c r="O13704" t="s">
        <v>44906</v>
      </c>
      <c r="P13704">
        <v>0</v>
      </c>
      <c r="Q13704">
        <v>75</v>
      </c>
      <c r="R13704" t="s">
        <v>44923</v>
      </c>
      <c r="S13704" t="s">
        <v>45744</v>
      </c>
      <c r="T13704" t="s">
        <v>46393</v>
      </c>
      <c r="U13704" t="s">
        <v>57860</v>
      </c>
      <c r="W13704" t="s">
        <v>44702</v>
      </c>
      <c r="X13704" t="s">
        <v>44924</v>
      </c>
    </row>
    <row r="13705" spans="1:24">
      <c r="A13705">
        <f>HYPERLINK("https://www.philgeps.gov.ph/GEPSNONPILOT/Tender/SplashBidNoticeAbstractUI.aspx?menuIndex=3&amp;refID=7048875&amp;Result=3","7048875")</f>
        <v>0</v>
      </c>
      <c r="B13705" t="s">
        <v>1225</v>
      </c>
      <c r="C13705" t="s">
        <v>16637</v>
      </c>
      <c r="D13705" t="s">
        <v>18154</v>
      </c>
      <c r="E13705" t="s">
        <v>30042</v>
      </c>
      <c r="F13705" t="s">
        <v>31362</v>
      </c>
      <c r="G13705" t="s">
        <v>31369</v>
      </c>
      <c r="H13705" t="s">
        <v>31378</v>
      </c>
      <c r="I13705" t="s">
        <v>31386</v>
      </c>
      <c r="J13705" t="s">
        <v>39794</v>
      </c>
      <c r="K13705" t="s">
        <v>40938</v>
      </c>
      <c r="L13705" t="s">
        <v>1225</v>
      </c>
      <c r="M13705" t="s">
        <v>42239</v>
      </c>
      <c r="N13705" t="s">
        <v>44905</v>
      </c>
      <c r="O13705" t="s">
        <v>44906</v>
      </c>
      <c r="Q13705">
        <v>4</v>
      </c>
      <c r="R13705" t="s">
        <v>44923</v>
      </c>
      <c r="S13705" t="s">
        <v>45779</v>
      </c>
      <c r="T13705" t="s">
        <v>46409</v>
      </c>
      <c r="U13705" t="s">
        <v>57861</v>
      </c>
      <c r="W13705" t="s">
        <v>42239</v>
      </c>
      <c r="X13705" t="s">
        <v>44924</v>
      </c>
    </row>
    <row r="13706" spans="1:24">
      <c r="A13706">
        <f>HYPERLINK("https://www.philgeps.gov.ph/GEPSNONPILOT/Tender/SplashBidNoticeAbstractUI.aspx?menuIndex=3&amp;refID=7048844&amp;Result=3","7048844")</f>
        <v>0</v>
      </c>
      <c r="B13706" t="s">
        <v>1225</v>
      </c>
      <c r="C13706" t="s">
        <v>16638</v>
      </c>
      <c r="D13706" t="s">
        <v>18148</v>
      </c>
      <c r="E13706" t="s">
        <v>30043</v>
      </c>
      <c r="F13706" t="s">
        <v>31362</v>
      </c>
      <c r="G13706" t="s">
        <v>31369</v>
      </c>
      <c r="H13706" t="s">
        <v>31378</v>
      </c>
      <c r="I13706" t="s">
        <v>31386</v>
      </c>
      <c r="J13706" t="s">
        <v>39794</v>
      </c>
      <c r="K13706" t="s">
        <v>40938</v>
      </c>
      <c r="L13706" t="s">
        <v>1225</v>
      </c>
      <c r="M13706" t="s">
        <v>42239</v>
      </c>
      <c r="N13706" t="s">
        <v>44905</v>
      </c>
      <c r="O13706" t="s">
        <v>44906</v>
      </c>
      <c r="Q13706">
        <v>8</v>
      </c>
      <c r="R13706" t="s">
        <v>44923</v>
      </c>
      <c r="S13706" t="s">
        <v>45780</v>
      </c>
      <c r="T13706" t="s">
        <v>46409</v>
      </c>
      <c r="U13706" t="s">
        <v>57862</v>
      </c>
      <c r="W13706" t="s">
        <v>42239</v>
      </c>
      <c r="X13706" t="s">
        <v>44924</v>
      </c>
    </row>
    <row r="13707" spans="1:24">
      <c r="A13707">
        <f>HYPERLINK("https://www.philgeps.gov.ph/GEPSNONPILOT/Tender/SplashBidNoticeAbstractUI.aspx?menuIndex=3&amp;refID=7048428&amp;Result=3","7048428")</f>
        <v>0</v>
      </c>
      <c r="B13707" t="s">
        <v>2167</v>
      </c>
      <c r="C13707" t="s">
        <v>16639</v>
      </c>
      <c r="D13707" t="s">
        <v>18134</v>
      </c>
      <c r="E13707" t="s">
        <v>30044</v>
      </c>
      <c r="F13707" t="s">
        <v>31362</v>
      </c>
      <c r="G13707" t="s">
        <v>31369</v>
      </c>
      <c r="H13707" t="s">
        <v>15799</v>
      </c>
      <c r="I13707" t="s">
        <v>3815</v>
      </c>
      <c r="J13707" t="s">
        <v>39803</v>
      </c>
      <c r="K13707" t="s">
        <v>40666</v>
      </c>
      <c r="M13707" t="s">
        <v>43297</v>
      </c>
      <c r="N13707" t="s">
        <v>44905</v>
      </c>
      <c r="O13707" t="s">
        <v>44906</v>
      </c>
      <c r="P13707">
        <v>0</v>
      </c>
      <c r="Q13707">
        <v>1</v>
      </c>
      <c r="R13707" t="s">
        <v>44923</v>
      </c>
      <c r="S13707" t="s">
        <v>45744</v>
      </c>
      <c r="T13707" t="s">
        <v>46876</v>
      </c>
      <c r="U13707" t="s">
        <v>52713</v>
      </c>
      <c r="V13707" t="s">
        <v>60618</v>
      </c>
      <c r="W13707" t="s">
        <v>43297</v>
      </c>
      <c r="X13707" t="s">
        <v>44924</v>
      </c>
    </row>
    <row r="13708" spans="1:24">
      <c r="A13708">
        <f>HYPERLINK("https://www.philgeps.gov.ph/GEPSNONPILOT/Tender/SplashBidNoticeAbstractUI.aspx?menuIndex=3&amp;refID=7048841&amp;Result=3","7048841")</f>
        <v>0</v>
      </c>
      <c r="B13708" t="s">
        <v>3399</v>
      </c>
      <c r="C13708" t="s">
        <v>16640</v>
      </c>
      <c r="D13708" t="s">
        <v>18107</v>
      </c>
      <c r="E13708" t="s">
        <v>30045</v>
      </c>
      <c r="F13708" t="s">
        <v>31362</v>
      </c>
      <c r="G13708" t="s">
        <v>31369</v>
      </c>
      <c r="H13708" t="s">
        <v>15799</v>
      </c>
      <c r="I13708" t="s">
        <v>3815</v>
      </c>
      <c r="J13708" t="s">
        <v>39804</v>
      </c>
      <c r="K13708" t="s">
        <v>40666</v>
      </c>
      <c r="M13708" t="s">
        <v>44710</v>
      </c>
      <c r="N13708" t="s">
        <v>44905</v>
      </c>
      <c r="O13708" t="s">
        <v>44906</v>
      </c>
      <c r="P13708">
        <v>0</v>
      </c>
      <c r="Q13708">
        <v>0</v>
      </c>
      <c r="R13708" t="s">
        <v>44923</v>
      </c>
      <c r="S13708" t="s">
        <v>45744</v>
      </c>
      <c r="T13708" t="s">
        <v>46393</v>
      </c>
      <c r="U13708" t="s">
        <v>57863</v>
      </c>
      <c r="W13708" t="s">
        <v>44710</v>
      </c>
      <c r="X13708" t="s">
        <v>44924</v>
      </c>
    </row>
    <row r="13709" spans="1:24">
      <c r="A13709">
        <f>HYPERLINK("https://www.philgeps.gov.ph/GEPSNONPILOT/Tender/SplashBidNoticeAbstractUI.aspx?menuIndex=3&amp;refID=7048870&amp;Result=3","7048870")</f>
        <v>0</v>
      </c>
      <c r="B13709" t="s">
        <v>716</v>
      </c>
      <c r="C13709" t="s">
        <v>16641</v>
      </c>
      <c r="D13709" t="s">
        <v>18160</v>
      </c>
      <c r="E13709" t="s">
        <v>30046</v>
      </c>
      <c r="F13709" t="s">
        <v>31362</v>
      </c>
      <c r="G13709" t="s">
        <v>31369</v>
      </c>
      <c r="H13709" t="s">
        <v>15799</v>
      </c>
      <c r="I13709" t="s">
        <v>31409</v>
      </c>
      <c r="J13709" t="s">
        <v>39805</v>
      </c>
      <c r="K13709" t="s">
        <v>40675</v>
      </c>
      <c r="M13709" t="s">
        <v>43557</v>
      </c>
      <c r="N13709" t="s">
        <v>44905</v>
      </c>
      <c r="O13709" t="s">
        <v>44906</v>
      </c>
      <c r="Q13709">
        <v>8</v>
      </c>
      <c r="R13709" t="s">
        <v>44923</v>
      </c>
      <c r="S13709" t="s">
        <v>45781</v>
      </c>
      <c r="T13709" t="s">
        <v>46467</v>
      </c>
      <c r="U13709" t="s">
        <v>55637</v>
      </c>
      <c r="W13709" t="s">
        <v>60933</v>
      </c>
      <c r="X13709" t="s">
        <v>44924</v>
      </c>
    </row>
    <row r="13710" spans="1:24">
      <c r="A13710">
        <f>HYPERLINK("https://www.philgeps.gov.ph/GEPSNONPILOT/Tender/SplashBidNoticeAbstractUI.aspx?menuIndex=3&amp;refID=7048812&amp;Result=3","7048812")</f>
        <v>0</v>
      </c>
      <c r="B13710" t="s">
        <v>641</v>
      </c>
      <c r="C13710" t="s">
        <v>16642</v>
      </c>
      <c r="D13710" t="s">
        <v>18158</v>
      </c>
      <c r="E13710" t="s">
        <v>30047</v>
      </c>
      <c r="F13710" t="s">
        <v>31362</v>
      </c>
      <c r="G13710" t="s">
        <v>31369</v>
      </c>
      <c r="H13710" t="s">
        <v>15799</v>
      </c>
      <c r="I13710" t="s">
        <v>31409</v>
      </c>
      <c r="J13710" t="s">
        <v>31615</v>
      </c>
      <c r="K13710" t="s">
        <v>40665</v>
      </c>
      <c r="M13710" t="s">
        <v>42801</v>
      </c>
      <c r="N13710" t="s">
        <v>44905</v>
      </c>
      <c r="O13710" t="s">
        <v>44906</v>
      </c>
      <c r="P13710">
        <v>0</v>
      </c>
      <c r="Q13710">
        <v>9</v>
      </c>
      <c r="R13710" t="s">
        <v>44923</v>
      </c>
      <c r="S13710" t="s">
        <v>45744</v>
      </c>
      <c r="T13710" t="s">
        <v>46692</v>
      </c>
      <c r="U13710" t="s">
        <v>57864</v>
      </c>
      <c r="W13710" t="s">
        <v>42801</v>
      </c>
      <c r="X13710" t="s">
        <v>44924</v>
      </c>
    </row>
    <row r="13711" spans="1:24">
      <c r="A13711">
        <f>HYPERLINK("https://www.philgeps.gov.ph/GEPSNONPILOT/Tender/SplashBidNoticeAbstractUI.aspx?menuIndex=3&amp;refID=7048808&amp;Result=3","7048808")</f>
        <v>0</v>
      </c>
      <c r="B13711" t="s">
        <v>2167</v>
      </c>
      <c r="C13711" t="s">
        <v>16643</v>
      </c>
      <c r="D13711" t="s">
        <v>18134</v>
      </c>
      <c r="E13711" t="s">
        <v>27243</v>
      </c>
      <c r="F13711" t="s">
        <v>31362</v>
      </c>
      <c r="G13711" t="s">
        <v>31369</v>
      </c>
      <c r="H13711" t="s">
        <v>15799</v>
      </c>
      <c r="I13711" t="s">
        <v>31413</v>
      </c>
      <c r="J13711" t="s">
        <v>32278</v>
      </c>
      <c r="K13711" t="s">
        <v>40666</v>
      </c>
      <c r="M13711" t="s">
        <v>44711</v>
      </c>
      <c r="N13711" t="s">
        <v>44905</v>
      </c>
      <c r="O13711" t="s">
        <v>44906</v>
      </c>
      <c r="P13711">
        <v>0</v>
      </c>
      <c r="Q13711">
        <v>2</v>
      </c>
      <c r="R13711" t="s">
        <v>44923</v>
      </c>
      <c r="S13711" t="s">
        <v>45744</v>
      </c>
      <c r="T13711" t="s">
        <v>46443</v>
      </c>
      <c r="U13711" t="s">
        <v>57865</v>
      </c>
      <c r="V13711" t="s">
        <v>60619</v>
      </c>
      <c r="W13711" t="s">
        <v>44711</v>
      </c>
      <c r="X13711" t="s">
        <v>44924</v>
      </c>
    </row>
    <row r="13712" spans="1:24">
      <c r="A13712">
        <f>HYPERLINK("https://www.philgeps.gov.ph/GEPSNONPILOT/Tender/SplashBidNoticeAbstractUI.aspx?menuIndex=3&amp;refID=7048266&amp;Result=3","7048266")</f>
        <v>0</v>
      </c>
      <c r="B13712" t="s">
        <v>3392</v>
      </c>
      <c r="C13712" t="s">
        <v>16644</v>
      </c>
      <c r="D13712" t="s">
        <v>18122</v>
      </c>
      <c r="E13712" t="s">
        <v>30048</v>
      </c>
      <c r="F13712" t="s">
        <v>31362</v>
      </c>
      <c r="G13712" t="s">
        <v>31369</v>
      </c>
      <c r="H13712" t="s">
        <v>31378</v>
      </c>
      <c r="I13712" t="s">
        <v>31386</v>
      </c>
      <c r="J13712" t="s">
        <v>31625</v>
      </c>
      <c r="K13712" t="s">
        <v>40711</v>
      </c>
      <c r="L13712" t="s">
        <v>3392</v>
      </c>
      <c r="M13712" t="s">
        <v>44702</v>
      </c>
      <c r="N13712" t="s">
        <v>44905</v>
      </c>
      <c r="O13712" t="s">
        <v>44906</v>
      </c>
      <c r="P13712">
        <v>0</v>
      </c>
      <c r="Q13712">
        <v>82</v>
      </c>
      <c r="R13712" t="s">
        <v>44923</v>
      </c>
      <c r="S13712" t="s">
        <v>45744</v>
      </c>
      <c r="T13712" t="s">
        <v>46467</v>
      </c>
      <c r="U13712" t="s">
        <v>57866</v>
      </c>
      <c r="W13712" t="s">
        <v>44702</v>
      </c>
      <c r="X13712" t="s">
        <v>44924</v>
      </c>
    </row>
    <row r="13713" spans="1:24">
      <c r="A13713">
        <f>HYPERLINK("https://www.philgeps.gov.ph/GEPSNONPILOT/Tender/SplashBidNoticeAbstractUI.aspx?menuIndex=3&amp;refID=7048805&amp;Result=3","7048805")</f>
        <v>0</v>
      </c>
      <c r="B13713" t="s">
        <v>2300</v>
      </c>
      <c r="C13713" t="s">
        <v>16645</v>
      </c>
      <c r="D13713" t="s">
        <v>18148</v>
      </c>
      <c r="E13713" t="s">
        <v>30049</v>
      </c>
      <c r="F13713" t="s">
        <v>31362</v>
      </c>
      <c r="G13713" t="s">
        <v>31369</v>
      </c>
      <c r="H13713" t="s">
        <v>15799</v>
      </c>
      <c r="I13713" t="s">
        <v>31426</v>
      </c>
      <c r="J13713" t="s">
        <v>39806</v>
      </c>
      <c r="K13713" t="s">
        <v>40679</v>
      </c>
      <c r="M13713" t="s">
        <v>43515</v>
      </c>
      <c r="N13713" t="s">
        <v>44905</v>
      </c>
      <c r="O13713" t="s">
        <v>44906</v>
      </c>
      <c r="P13713">
        <v>0</v>
      </c>
      <c r="Q13713">
        <v>6</v>
      </c>
      <c r="R13713" t="s">
        <v>44923</v>
      </c>
      <c r="S13713" t="s">
        <v>45744</v>
      </c>
      <c r="T13713" t="s">
        <v>46532</v>
      </c>
      <c r="U13713" t="s">
        <v>57867</v>
      </c>
      <c r="W13713" t="s">
        <v>43515</v>
      </c>
      <c r="X13713" t="s">
        <v>44924</v>
      </c>
    </row>
    <row r="13714" spans="1:24">
      <c r="A13714">
        <f>HYPERLINK("https://www.philgeps.gov.ph/GEPSNONPILOT/Tender/SplashBidNoticeAbstractUI.aspx?menuIndex=3&amp;refID=7048766&amp;Result=3","7048766")</f>
        <v>0</v>
      </c>
      <c r="B13714" t="s">
        <v>1520</v>
      </c>
      <c r="C13714" t="s">
        <v>16646</v>
      </c>
      <c r="D13714" t="s">
        <v>18133</v>
      </c>
      <c r="E13714" t="s">
        <v>30050</v>
      </c>
      <c r="F13714" t="s">
        <v>31362</v>
      </c>
      <c r="G13714" t="s">
        <v>31369</v>
      </c>
      <c r="H13714" t="s">
        <v>31378</v>
      </c>
      <c r="I13714" t="s">
        <v>31386</v>
      </c>
      <c r="J13714" t="s">
        <v>38356</v>
      </c>
      <c r="K13714" t="s">
        <v>40690</v>
      </c>
      <c r="M13714" t="s">
        <v>42564</v>
      </c>
      <c r="N13714" t="s">
        <v>44905</v>
      </c>
      <c r="O13714" t="s">
        <v>44906</v>
      </c>
      <c r="P13714">
        <v>0</v>
      </c>
      <c r="Q13714">
        <v>0</v>
      </c>
      <c r="R13714" t="s">
        <v>44923</v>
      </c>
      <c r="S13714" t="s">
        <v>45744</v>
      </c>
      <c r="T13714" t="s">
        <v>46411</v>
      </c>
      <c r="U13714" t="s">
        <v>57868</v>
      </c>
      <c r="W13714" t="s">
        <v>42564</v>
      </c>
      <c r="X13714" t="s">
        <v>44924</v>
      </c>
    </row>
    <row r="13715" spans="1:24">
      <c r="A13715">
        <f>HYPERLINK("https://www.philgeps.gov.ph/GEPSNONPILOT/Tender/SplashBidNoticeAbstractUI.aspx?menuIndex=3&amp;refID=7048764&amp;Result=3","7048764")</f>
        <v>0</v>
      </c>
      <c r="B13715" t="s">
        <v>1225</v>
      </c>
      <c r="C13715" t="s">
        <v>16647</v>
      </c>
      <c r="D13715" t="s">
        <v>18154</v>
      </c>
      <c r="E13715" t="s">
        <v>30051</v>
      </c>
      <c r="F13715" t="s">
        <v>31362</v>
      </c>
      <c r="G13715" t="s">
        <v>31369</v>
      </c>
      <c r="H13715" t="s">
        <v>31378</v>
      </c>
      <c r="I13715" t="s">
        <v>31386</v>
      </c>
      <c r="J13715" t="s">
        <v>39794</v>
      </c>
      <c r="K13715" t="s">
        <v>40938</v>
      </c>
      <c r="L13715" t="s">
        <v>1225</v>
      </c>
      <c r="M13715" t="s">
        <v>42239</v>
      </c>
      <c r="N13715" t="s">
        <v>44905</v>
      </c>
      <c r="O13715" t="s">
        <v>44906</v>
      </c>
      <c r="Q13715">
        <v>4</v>
      </c>
      <c r="R13715" t="s">
        <v>44923</v>
      </c>
      <c r="S13715" t="s">
        <v>45782</v>
      </c>
      <c r="T13715" t="s">
        <v>46409</v>
      </c>
      <c r="U13715" t="s">
        <v>57869</v>
      </c>
      <c r="W13715" t="s">
        <v>42239</v>
      </c>
      <c r="X13715" t="s">
        <v>44924</v>
      </c>
    </row>
    <row r="13716" spans="1:24">
      <c r="A13716">
        <f>HYPERLINK("https://www.philgeps.gov.ph/GEPSNONPILOT/Tender/SplashBidNoticeAbstractUI.aspx?menuIndex=3&amp;refID=7048886&amp;Result=3","7048886")</f>
        <v>0</v>
      </c>
      <c r="B13716" t="s">
        <v>3089</v>
      </c>
      <c r="C13716" t="s">
        <v>16648</v>
      </c>
      <c r="D13716" t="s">
        <v>18134</v>
      </c>
      <c r="E13716" t="s">
        <v>30052</v>
      </c>
      <c r="F13716" t="s">
        <v>31362</v>
      </c>
      <c r="G13716" t="s">
        <v>31369</v>
      </c>
      <c r="H13716" t="s">
        <v>15799</v>
      </c>
      <c r="I13716" t="s">
        <v>7719</v>
      </c>
      <c r="J13716" t="s">
        <v>39807</v>
      </c>
      <c r="K13716" t="s">
        <v>40679</v>
      </c>
      <c r="M13716" t="s">
        <v>44329</v>
      </c>
      <c r="N13716" t="s">
        <v>44905</v>
      </c>
      <c r="O13716" t="s">
        <v>44906</v>
      </c>
      <c r="Q13716">
        <v>46</v>
      </c>
      <c r="R13716" t="s">
        <v>44923</v>
      </c>
      <c r="S13716" t="s">
        <v>45783</v>
      </c>
      <c r="T13716" t="s">
        <v>46877</v>
      </c>
      <c r="U13716" t="s">
        <v>56077</v>
      </c>
      <c r="V13716" t="s">
        <v>60291</v>
      </c>
      <c r="W13716" t="s">
        <v>44329</v>
      </c>
      <c r="X13716" t="s">
        <v>44924</v>
      </c>
    </row>
    <row r="13717" spans="1:24">
      <c r="A13717">
        <f>HYPERLINK("https://www.philgeps.gov.ph/GEPSNONPILOT/Tender/SplashBidNoticeAbstractUI.aspx?menuIndex=3&amp;refID=7049048&amp;Result=3","7049048")</f>
        <v>0</v>
      </c>
      <c r="B13717" t="s">
        <v>3389</v>
      </c>
      <c r="C13717" t="s">
        <v>16649</v>
      </c>
      <c r="D13717" t="s">
        <v>18148</v>
      </c>
      <c r="E13717" t="s">
        <v>30053</v>
      </c>
      <c r="F13717" t="s">
        <v>31362</v>
      </c>
      <c r="G13717" t="s">
        <v>31369</v>
      </c>
      <c r="H13717" t="s">
        <v>31378</v>
      </c>
      <c r="I13717" t="s">
        <v>31386</v>
      </c>
      <c r="J13717" t="s">
        <v>31542</v>
      </c>
      <c r="K13717" t="s">
        <v>40681</v>
      </c>
      <c r="L13717" t="s">
        <v>3389</v>
      </c>
      <c r="M13717" t="s">
        <v>44697</v>
      </c>
      <c r="N13717" t="s">
        <v>44905</v>
      </c>
      <c r="O13717" t="s">
        <v>44906</v>
      </c>
      <c r="P13717">
        <v>0</v>
      </c>
      <c r="Q13717">
        <v>2</v>
      </c>
      <c r="R13717" t="s">
        <v>44923</v>
      </c>
      <c r="S13717" t="s">
        <v>45744</v>
      </c>
      <c r="T13717" t="s">
        <v>46549</v>
      </c>
      <c r="U13717" t="s">
        <v>57870</v>
      </c>
      <c r="W13717" t="s">
        <v>44697</v>
      </c>
      <c r="X13717" t="s">
        <v>44924</v>
      </c>
    </row>
    <row r="13718" spans="1:24">
      <c r="A13718">
        <f>HYPERLINK("https://www.philgeps.gov.ph/GEPSNONPILOT/Tender/SplashBidNoticeAbstractUI.aspx?menuIndex=3&amp;refID=7048456&amp;Result=3","7048456")</f>
        <v>0</v>
      </c>
      <c r="B13718" t="s">
        <v>3400</v>
      </c>
      <c r="C13718" t="s">
        <v>16650</v>
      </c>
      <c r="E13718" t="s">
        <v>18397</v>
      </c>
      <c r="F13718" t="s">
        <v>31365</v>
      </c>
      <c r="G13718" t="s">
        <v>31369</v>
      </c>
      <c r="H13718" t="s">
        <v>15799</v>
      </c>
      <c r="I13718" t="s">
        <v>3815</v>
      </c>
      <c r="J13718" t="s">
        <v>38185</v>
      </c>
      <c r="K13718" t="s">
        <v>40662</v>
      </c>
      <c r="M13718" t="s">
        <v>44712</v>
      </c>
      <c r="N13718" t="s">
        <v>44905</v>
      </c>
      <c r="O13718" t="s">
        <v>44906</v>
      </c>
      <c r="P13718">
        <v>0</v>
      </c>
      <c r="Q13718">
        <v>0</v>
      </c>
      <c r="R13718" t="s">
        <v>44923</v>
      </c>
      <c r="S13718" t="s">
        <v>45744</v>
      </c>
      <c r="T13718" t="s">
        <v>46454</v>
      </c>
      <c r="U13718" t="s">
        <v>47088</v>
      </c>
      <c r="W13718" t="s">
        <v>44712</v>
      </c>
      <c r="X13718" t="s">
        <v>44924</v>
      </c>
    </row>
    <row r="13719" spans="1:24">
      <c r="A13719">
        <f>HYPERLINK("https://www.philgeps.gov.ph/GEPSNONPILOT/Tender/SplashBidNoticeAbstractUI.aspx?menuIndex=3&amp;refID=7048509&amp;Result=3","7048509")</f>
        <v>0</v>
      </c>
      <c r="B13719" t="s">
        <v>3156</v>
      </c>
      <c r="C13719" t="s">
        <v>16651</v>
      </c>
      <c r="D13719" t="s">
        <v>18128</v>
      </c>
      <c r="E13719" t="s">
        <v>30054</v>
      </c>
      <c r="F13719" t="s">
        <v>31362</v>
      </c>
      <c r="G13719" t="s">
        <v>31369</v>
      </c>
      <c r="H13719" t="s">
        <v>31378</v>
      </c>
      <c r="I13719" t="s">
        <v>31386</v>
      </c>
      <c r="J13719" t="s">
        <v>39808</v>
      </c>
      <c r="K13719" t="s">
        <v>40682</v>
      </c>
      <c r="M13719" t="s">
        <v>44419</v>
      </c>
      <c r="N13719" t="s">
        <v>44905</v>
      </c>
      <c r="O13719" t="s">
        <v>44906</v>
      </c>
      <c r="P13719">
        <v>0</v>
      </c>
      <c r="Q13719">
        <v>3</v>
      </c>
      <c r="R13719" t="s">
        <v>44923</v>
      </c>
      <c r="S13719" t="s">
        <v>45744</v>
      </c>
      <c r="T13719" t="s">
        <v>46470</v>
      </c>
      <c r="U13719" t="s">
        <v>57871</v>
      </c>
      <c r="W13719" t="s">
        <v>44419</v>
      </c>
      <c r="X13719" t="s">
        <v>44924</v>
      </c>
    </row>
    <row r="13720" spans="1:24">
      <c r="A13720">
        <f>HYPERLINK("https://www.philgeps.gov.ph/GEPSNONPILOT/Tender/SplashBidNoticeAbstractUI.aspx?menuIndex=3&amp;refID=7049037&amp;Result=3","7049037")</f>
        <v>0</v>
      </c>
      <c r="B13720" t="s">
        <v>2908</v>
      </c>
      <c r="C13720" t="s">
        <v>16652</v>
      </c>
      <c r="D13720" t="s">
        <v>18149</v>
      </c>
      <c r="E13720" t="s">
        <v>30055</v>
      </c>
      <c r="F13720" t="s">
        <v>31362</v>
      </c>
      <c r="G13720" t="s">
        <v>31369</v>
      </c>
      <c r="H13720" t="s">
        <v>15799</v>
      </c>
      <c r="I13720" t="s">
        <v>3815</v>
      </c>
      <c r="J13720" t="s">
        <v>39809</v>
      </c>
      <c r="K13720" t="s">
        <v>40666</v>
      </c>
      <c r="M13720" t="s">
        <v>44123</v>
      </c>
      <c r="N13720" t="s">
        <v>44905</v>
      </c>
      <c r="O13720" t="s">
        <v>44906</v>
      </c>
      <c r="P13720">
        <v>0</v>
      </c>
      <c r="Q13720">
        <v>0</v>
      </c>
      <c r="R13720" t="s">
        <v>44923</v>
      </c>
      <c r="S13720" t="s">
        <v>45744</v>
      </c>
      <c r="T13720" t="s">
        <v>46444</v>
      </c>
      <c r="U13720" t="s">
        <v>57872</v>
      </c>
      <c r="W13720" t="s">
        <v>44123</v>
      </c>
      <c r="X13720" t="s">
        <v>44924</v>
      </c>
    </row>
    <row r="13721" spans="1:24">
      <c r="A13721">
        <f>HYPERLINK("https://www.philgeps.gov.ph/GEPSNONPILOT/Tender/SplashBidNoticeAbstractUI.aspx?menuIndex=3&amp;refID=7048489&amp;Result=3","7048489")</f>
        <v>0</v>
      </c>
      <c r="B13721" t="s">
        <v>3401</v>
      </c>
      <c r="C13721" t="s">
        <v>10617</v>
      </c>
      <c r="E13721" t="s">
        <v>18397</v>
      </c>
      <c r="F13721" t="s">
        <v>31365</v>
      </c>
      <c r="G13721" t="s">
        <v>31369</v>
      </c>
      <c r="H13721" t="s">
        <v>15799</v>
      </c>
      <c r="I13721" t="s">
        <v>3815</v>
      </c>
      <c r="J13721" t="s">
        <v>32242</v>
      </c>
      <c r="K13721" t="s">
        <v>40662</v>
      </c>
      <c r="M13721" t="s">
        <v>44713</v>
      </c>
      <c r="N13721" t="s">
        <v>44905</v>
      </c>
      <c r="O13721" t="s">
        <v>44906</v>
      </c>
      <c r="P13721">
        <v>0</v>
      </c>
      <c r="Q13721">
        <v>0</v>
      </c>
      <c r="R13721" t="s">
        <v>44923</v>
      </c>
      <c r="S13721" t="s">
        <v>45744</v>
      </c>
      <c r="T13721" t="s">
        <v>46454</v>
      </c>
      <c r="U13721" t="s">
        <v>47088</v>
      </c>
      <c r="W13721" t="s">
        <v>44713</v>
      </c>
      <c r="X13721" t="s">
        <v>44924</v>
      </c>
    </row>
    <row r="13722" spans="1:24">
      <c r="A13722">
        <f>HYPERLINK("https://www.philgeps.gov.ph/GEPSNONPILOT/Tender/SplashBidNoticeAbstractUI.aspx?menuIndex=3&amp;refID=7048799&amp;Result=3","7048799")</f>
        <v>0</v>
      </c>
      <c r="B13722" t="s">
        <v>1225</v>
      </c>
      <c r="C13722" t="s">
        <v>16653</v>
      </c>
      <c r="D13722" t="s">
        <v>18174</v>
      </c>
      <c r="E13722" t="s">
        <v>30056</v>
      </c>
      <c r="F13722" t="s">
        <v>31362</v>
      </c>
      <c r="G13722" t="s">
        <v>31369</v>
      </c>
      <c r="H13722" t="s">
        <v>31378</v>
      </c>
      <c r="I13722" t="s">
        <v>31386</v>
      </c>
      <c r="J13722" t="s">
        <v>39794</v>
      </c>
      <c r="K13722" t="s">
        <v>40938</v>
      </c>
      <c r="L13722" t="s">
        <v>1225</v>
      </c>
      <c r="M13722" t="s">
        <v>42239</v>
      </c>
      <c r="N13722" t="s">
        <v>44905</v>
      </c>
      <c r="O13722" t="s">
        <v>44906</v>
      </c>
      <c r="Q13722">
        <v>4</v>
      </c>
      <c r="R13722" t="s">
        <v>44923</v>
      </c>
      <c r="S13722" t="s">
        <v>45784</v>
      </c>
      <c r="T13722" t="s">
        <v>46409</v>
      </c>
      <c r="U13722" t="s">
        <v>57873</v>
      </c>
      <c r="W13722" t="s">
        <v>42239</v>
      </c>
      <c r="X13722" t="s">
        <v>44924</v>
      </c>
    </row>
    <row r="13723" spans="1:24">
      <c r="A13723">
        <f>HYPERLINK("https://www.philgeps.gov.ph/GEPSNONPILOT/Tender/SplashBidNoticeAbstractUI.aspx?menuIndex=3&amp;refID=7049024&amp;Result=3","7049024")</f>
        <v>0</v>
      </c>
      <c r="B13723" t="s">
        <v>2300</v>
      </c>
      <c r="C13723" t="s">
        <v>16654</v>
      </c>
      <c r="D13723" t="s">
        <v>18148</v>
      </c>
      <c r="E13723" t="s">
        <v>30057</v>
      </c>
      <c r="F13723" t="s">
        <v>31362</v>
      </c>
      <c r="G13723" t="s">
        <v>31369</v>
      </c>
      <c r="H13723" t="s">
        <v>15799</v>
      </c>
      <c r="I13723" t="s">
        <v>31426</v>
      </c>
      <c r="J13723" t="s">
        <v>39810</v>
      </c>
      <c r="K13723" t="s">
        <v>40679</v>
      </c>
      <c r="M13723" t="s">
        <v>43515</v>
      </c>
      <c r="N13723" t="s">
        <v>44905</v>
      </c>
      <c r="O13723" t="s">
        <v>44906</v>
      </c>
      <c r="P13723">
        <v>0</v>
      </c>
      <c r="Q13723">
        <v>5</v>
      </c>
      <c r="R13723" t="s">
        <v>44923</v>
      </c>
      <c r="S13723" t="s">
        <v>45744</v>
      </c>
      <c r="T13723" t="s">
        <v>46532</v>
      </c>
      <c r="U13723" t="s">
        <v>57867</v>
      </c>
      <c r="W13723" t="s">
        <v>43515</v>
      </c>
      <c r="X13723" t="s">
        <v>44924</v>
      </c>
    </row>
    <row r="13724" spans="1:24">
      <c r="A13724">
        <f>HYPERLINK("https://www.philgeps.gov.ph/GEPSNONPILOT/Tender/SplashBidNoticeAbstractUI.aspx?menuIndex=3&amp;refID=7049009&amp;Result=3","7049009")</f>
        <v>0</v>
      </c>
      <c r="B13724" t="s">
        <v>832</v>
      </c>
      <c r="C13724" t="s">
        <v>16655</v>
      </c>
      <c r="E13724" t="s">
        <v>30058</v>
      </c>
      <c r="F13724" t="s">
        <v>31362</v>
      </c>
      <c r="G13724" t="s">
        <v>31369</v>
      </c>
      <c r="H13724" t="s">
        <v>15799</v>
      </c>
      <c r="I13724" t="s">
        <v>31382</v>
      </c>
      <c r="J13724" t="s">
        <v>31957</v>
      </c>
      <c r="K13724" t="s">
        <v>40662</v>
      </c>
      <c r="M13724" t="s">
        <v>44055</v>
      </c>
      <c r="N13724" t="s">
        <v>44905</v>
      </c>
      <c r="O13724" t="s">
        <v>44906</v>
      </c>
      <c r="Q13724">
        <v>22</v>
      </c>
      <c r="R13724" t="s">
        <v>44923</v>
      </c>
      <c r="S13724" t="s">
        <v>45785</v>
      </c>
      <c r="T13724" t="s">
        <v>46560</v>
      </c>
      <c r="U13724" t="s">
        <v>57874</v>
      </c>
      <c r="W13724" t="s">
        <v>44055</v>
      </c>
      <c r="X13724" t="s">
        <v>44924</v>
      </c>
    </row>
    <row r="13725" spans="1:24">
      <c r="A13725">
        <f>HYPERLINK("https://www.philgeps.gov.ph/GEPSNONPILOT/Tender/SplashBidNoticeAbstractUI.aspx?menuIndex=3&amp;refID=7048979&amp;Result=3","7048979")</f>
        <v>0</v>
      </c>
      <c r="B13725" t="s">
        <v>2908</v>
      </c>
      <c r="C13725" t="s">
        <v>16656</v>
      </c>
      <c r="D13725" t="s">
        <v>18149</v>
      </c>
      <c r="E13725" t="s">
        <v>30059</v>
      </c>
      <c r="F13725" t="s">
        <v>31362</v>
      </c>
      <c r="G13725" t="s">
        <v>31369</v>
      </c>
      <c r="H13725" t="s">
        <v>31378</v>
      </c>
      <c r="I13725" t="s">
        <v>31386</v>
      </c>
      <c r="J13725" t="s">
        <v>39811</v>
      </c>
      <c r="K13725" t="s">
        <v>40817</v>
      </c>
      <c r="M13725" t="s">
        <v>44123</v>
      </c>
      <c r="N13725" t="s">
        <v>44905</v>
      </c>
      <c r="O13725" t="s">
        <v>44906</v>
      </c>
      <c r="P13725">
        <v>0</v>
      </c>
      <c r="Q13725">
        <v>0</v>
      </c>
      <c r="R13725" t="s">
        <v>44923</v>
      </c>
      <c r="S13725" t="s">
        <v>45744</v>
      </c>
      <c r="T13725" t="s">
        <v>46470</v>
      </c>
      <c r="U13725" t="s">
        <v>57875</v>
      </c>
      <c r="W13725" t="s">
        <v>44123</v>
      </c>
      <c r="X13725" t="s">
        <v>44924</v>
      </c>
    </row>
    <row r="13726" spans="1:24">
      <c r="A13726">
        <f>HYPERLINK("https://www.philgeps.gov.ph/GEPSNONPILOT/Tender/SplashBidNoticeAbstractUI.aspx?menuIndex=3&amp;refID=7048976&amp;Result=3","7048976")</f>
        <v>0</v>
      </c>
      <c r="B13726" t="s">
        <v>2300</v>
      </c>
      <c r="C13726" t="s">
        <v>16657</v>
      </c>
      <c r="D13726" t="s">
        <v>18148</v>
      </c>
      <c r="E13726" t="s">
        <v>30060</v>
      </c>
      <c r="F13726" t="s">
        <v>31362</v>
      </c>
      <c r="G13726" t="s">
        <v>31369</v>
      </c>
      <c r="H13726" t="s">
        <v>15799</v>
      </c>
      <c r="I13726" t="s">
        <v>31426</v>
      </c>
      <c r="J13726" t="s">
        <v>39812</v>
      </c>
      <c r="K13726" t="s">
        <v>40679</v>
      </c>
      <c r="M13726" t="s">
        <v>43440</v>
      </c>
      <c r="N13726" t="s">
        <v>44905</v>
      </c>
      <c r="O13726" t="s">
        <v>44906</v>
      </c>
      <c r="P13726">
        <v>0</v>
      </c>
      <c r="Q13726">
        <v>5</v>
      </c>
      <c r="R13726" t="s">
        <v>44923</v>
      </c>
      <c r="S13726" t="s">
        <v>45744</v>
      </c>
      <c r="T13726" t="s">
        <v>46532</v>
      </c>
      <c r="U13726" t="s">
        <v>57876</v>
      </c>
      <c r="W13726" t="s">
        <v>43440</v>
      </c>
      <c r="X13726" t="s">
        <v>44924</v>
      </c>
    </row>
    <row r="13727" spans="1:24">
      <c r="A13727">
        <f>HYPERLINK("https://www.philgeps.gov.ph/GEPSNONPILOT/Tender/SplashBidNoticeAbstractUI.aspx?menuIndex=3&amp;refID=7048972&amp;Result=3","7048972")</f>
        <v>0</v>
      </c>
      <c r="B13727" t="s">
        <v>267</v>
      </c>
      <c r="C13727" t="s">
        <v>16658</v>
      </c>
      <c r="D13727" t="s">
        <v>18154</v>
      </c>
      <c r="E13727" t="s">
        <v>30061</v>
      </c>
      <c r="F13727" t="s">
        <v>31362</v>
      </c>
      <c r="G13727" t="s">
        <v>31369</v>
      </c>
      <c r="H13727" t="s">
        <v>15799</v>
      </c>
      <c r="I13727" t="s">
        <v>31397</v>
      </c>
      <c r="J13727" t="s">
        <v>39813</v>
      </c>
      <c r="K13727" t="s">
        <v>40662</v>
      </c>
      <c r="M13727" t="s">
        <v>44714</v>
      </c>
      <c r="N13727" t="s">
        <v>44905</v>
      </c>
      <c r="O13727" t="s">
        <v>44906</v>
      </c>
      <c r="P13727">
        <v>0</v>
      </c>
      <c r="Q13727">
        <v>0</v>
      </c>
      <c r="R13727" t="s">
        <v>44923</v>
      </c>
      <c r="S13727" t="s">
        <v>45744</v>
      </c>
      <c r="T13727" t="s">
        <v>46447</v>
      </c>
      <c r="U13727" t="s">
        <v>57877</v>
      </c>
      <c r="W13727" t="s">
        <v>44714</v>
      </c>
      <c r="X13727" t="s">
        <v>44924</v>
      </c>
    </row>
    <row r="13728" spans="1:24">
      <c r="A13728">
        <f>HYPERLINK("https://www.philgeps.gov.ph/GEPSNONPILOT/Tender/SplashBidNoticeAbstractUI.aspx?menuIndex=3&amp;refID=7048942&amp;Result=3","7048942")</f>
        <v>0</v>
      </c>
      <c r="B13728" t="s">
        <v>3402</v>
      </c>
      <c r="C13728" t="s">
        <v>16659</v>
      </c>
      <c r="D13728" t="s">
        <v>18102</v>
      </c>
      <c r="E13728" t="s">
        <v>30062</v>
      </c>
      <c r="F13728" t="s">
        <v>31362</v>
      </c>
      <c r="G13728" t="s">
        <v>31368</v>
      </c>
      <c r="H13728" t="s">
        <v>15799</v>
      </c>
      <c r="I13728" t="s">
        <v>31430</v>
      </c>
      <c r="J13728" t="s">
        <v>35388</v>
      </c>
      <c r="K13728" t="s">
        <v>40665</v>
      </c>
      <c r="M13728" t="s">
        <v>44715</v>
      </c>
      <c r="N13728" t="s">
        <v>44905</v>
      </c>
      <c r="O13728" t="s">
        <v>44906</v>
      </c>
      <c r="P13728">
        <v>0</v>
      </c>
      <c r="Q13728">
        <v>1</v>
      </c>
      <c r="R13728" t="s">
        <v>44923</v>
      </c>
      <c r="S13728" t="s">
        <v>45744</v>
      </c>
      <c r="T13728" t="s">
        <v>46432</v>
      </c>
      <c r="U13728" t="s">
        <v>57878</v>
      </c>
      <c r="W13728" t="s">
        <v>44715</v>
      </c>
      <c r="X13728" t="s">
        <v>44924</v>
      </c>
    </row>
    <row r="13729" spans="1:24">
      <c r="A13729">
        <f>HYPERLINK("https://www.philgeps.gov.ph/GEPSNONPILOT/Tender/SplashBidNoticeAbstractUI.aspx?menuIndex=3&amp;refID=7049029&amp;Result=3","7049029")</f>
        <v>0</v>
      </c>
      <c r="B13729" t="s">
        <v>3403</v>
      </c>
      <c r="C13729" t="s">
        <v>16660</v>
      </c>
      <c r="D13729" t="s">
        <v>18112</v>
      </c>
      <c r="E13729" t="s">
        <v>30063</v>
      </c>
      <c r="F13729" t="s">
        <v>31362</v>
      </c>
      <c r="G13729" t="s">
        <v>31369</v>
      </c>
      <c r="H13729" t="s">
        <v>31378</v>
      </c>
      <c r="I13729" t="s">
        <v>31386</v>
      </c>
      <c r="J13729" t="s">
        <v>34185</v>
      </c>
      <c r="K13729" t="s">
        <v>40692</v>
      </c>
      <c r="M13729" t="s">
        <v>44716</v>
      </c>
      <c r="N13729" t="s">
        <v>44905</v>
      </c>
      <c r="O13729" t="s">
        <v>44906</v>
      </c>
      <c r="Q13729">
        <v>4</v>
      </c>
      <c r="R13729" t="s">
        <v>44923</v>
      </c>
      <c r="S13729" t="s">
        <v>45786</v>
      </c>
      <c r="T13729" t="s">
        <v>46447</v>
      </c>
      <c r="U13729" t="s">
        <v>57879</v>
      </c>
      <c r="W13729" t="s">
        <v>44716</v>
      </c>
      <c r="X13729" t="s">
        <v>44924</v>
      </c>
    </row>
    <row r="13730" spans="1:24">
      <c r="A13730">
        <f>HYPERLINK("https://www.philgeps.gov.ph/GEPSNONPILOT/Tender/SplashBidNoticeAbstractUI.aspx?menuIndex=3&amp;refID=7048776&amp;Result=3","7048776")</f>
        <v>0</v>
      </c>
      <c r="B13730" t="s">
        <v>717</v>
      </c>
      <c r="C13730" t="s">
        <v>16661</v>
      </c>
      <c r="D13730" t="s">
        <v>18167</v>
      </c>
      <c r="E13730" t="s">
        <v>30064</v>
      </c>
      <c r="F13730" t="s">
        <v>31362</v>
      </c>
      <c r="G13730" t="s">
        <v>31369</v>
      </c>
      <c r="H13730" t="s">
        <v>31378</v>
      </c>
      <c r="I13730" t="s">
        <v>31386</v>
      </c>
      <c r="J13730" t="s">
        <v>39814</v>
      </c>
      <c r="K13730" t="s">
        <v>40767</v>
      </c>
      <c r="M13730" t="s">
        <v>41682</v>
      </c>
      <c r="N13730" t="s">
        <v>44905</v>
      </c>
      <c r="O13730" t="s">
        <v>44906</v>
      </c>
      <c r="P13730">
        <v>0</v>
      </c>
      <c r="Q13730">
        <v>0</v>
      </c>
      <c r="R13730" t="s">
        <v>44923</v>
      </c>
      <c r="S13730" t="s">
        <v>45744</v>
      </c>
      <c r="T13730" t="s">
        <v>46409</v>
      </c>
      <c r="U13730" t="s">
        <v>57880</v>
      </c>
      <c r="W13730" t="s">
        <v>41682</v>
      </c>
      <c r="X13730" t="s">
        <v>44924</v>
      </c>
    </row>
    <row r="13731" spans="1:24">
      <c r="A13731">
        <f>HYPERLINK("https://www.philgeps.gov.ph/GEPSNONPILOT/Tender/SplashBidNoticeAbstractUI.aspx?menuIndex=3&amp;refID=7049165&amp;Result=3","7049165")</f>
        <v>0</v>
      </c>
      <c r="B13731" t="s">
        <v>3404</v>
      </c>
      <c r="C13731" t="s">
        <v>16662</v>
      </c>
      <c r="D13731" t="s">
        <v>18100</v>
      </c>
      <c r="E13731" t="s">
        <v>30065</v>
      </c>
      <c r="F13731" t="s">
        <v>31362</v>
      </c>
      <c r="G13731" t="s">
        <v>31369</v>
      </c>
      <c r="H13731" t="s">
        <v>31378</v>
      </c>
      <c r="I13731" t="s">
        <v>31439</v>
      </c>
      <c r="J13731" t="s">
        <v>31637</v>
      </c>
      <c r="K13731" t="s">
        <v>40665</v>
      </c>
      <c r="M13731" t="s">
        <v>44717</v>
      </c>
      <c r="N13731" t="s">
        <v>44905</v>
      </c>
      <c r="O13731" t="s">
        <v>44906</v>
      </c>
      <c r="Q13731">
        <v>3</v>
      </c>
      <c r="R13731" t="s">
        <v>44923</v>
      </c>
      <c r="S13731" t="s">
        <v>45787</v>
      </c>
      <c r="T13731" t="s">
        <v>46435</v>
      </c>
      <c r="U13731" t="s">
        <v>57881</v>
      </c>
      <c r="V13731" t="s">
        <v>60620</v>
      </c>
      <c r="W13731" t="s">
        <v>44717</v>
      </c>
      <c r="X13731" t="s">
        <v>44924</v>
      </c>
    </row>
    <row r="13732" spans="1:24">
      <c r="A13732">
        <f>HYPERLINK("https://www.philgeps.gov.ph/GEPSNONPILOT/Tender/SplashBidNoticeAbstractUI.aspx?menuIndex=3&amp;refID=7049161&amp;Result=3","7049161")</f>
        <v>0</v>
      </c>
      <c r="B13732" t="s">
        <v>3403</v>
      </c>
      <c r="C13732" t="s">
        <v>16663</v>
      </c>
      <c r="D13732" t="s">
        <v>18112</v>
      </c>
      <c r="E13732" t="s">
        <v>30066</v>
      </c>
      <c r="F13732" t="s">
        <v>31362</v>
      </c>
      <c r="G13732" t="s">
        <v>31369</v>
      </c>
      <c r="H13732" t="s">
        <v>31378</v>
      </c>
      <c r="I13732" t="s">
        <v>31386</v>
      </c>
      <c r="J13732" t="s">
        <v>32673</v>
      </c>
      <c r="K13732" t="s">
        <v>40691</v>
      </c>
      <c r="M13732" t="s">
        <v>44716</v>
      </c>
      <c r="N13732" t="s">
        <v>44905</v>
      </c>
      <c r="O13732" t="s">
        <v>44906</v>
      </c>
      <c r="Q13732">
        <v>2</v>
      </c>
      <c r="R13732" t="s">
        <v>44923</v>
      </c>
      <c r="S13732" t="s">
        <v>45788</v>
      </c>
      <c r="T13732" t="s">
        <v>46447</v>
      </c>
      <c r="U13732" t="s">
        <v>57879</v>
      </c>
      <c r="W13732" t="s">
        <v>44716</v>
      </c>
      <c r="X13732" t="s">
        <v>44924</v>
      </c>
    </row>
    <row r="13733" spans="1:24">
      <c r="A13733">
        <f>HYPERLINK("https://www.philgeps.gov.ph/GEPSNONPILOT/Tender/SplashBidNoticeAbstractUI.aspx?menuIndex=3&amp;refID=7049014&amp;Result=3","7049014")</f>
        <v>0</v>
      </c>
      <c r="B13733" t="s">
        <v>267</v>
      </c>
      <c r="C13733" t="s">
        <v>16664</v>
      </c>
      <c r="D13733" t="s">
        <v>18154</v>
      </c>
      <c r="E13733" t="s">
        <v>30067</v>
      </c>
      <c r="F13733" t="s">
        <v>31362</v>
      </c>
      <c r="G13733" t="s">
        <v>31369</v>
      </c>
      <c r="H13733" t="s">
        <v>15799</v>
      </c>
      <c r="I13733" t="s">
        <v>31433</v>
      </c>
      <c r="J13733" t="s">
        <v>39815</v>
      </c>
      <c r="K13733" t="s">
        <v>40662</v>
      </c>
      <c r="M13733" t="s">
        <v>44714</v>
      </c>
      <c r="N13733" t="s">
        <v>44905</v>
      </c>
      <c r="O13733" t="s">
        <v>44906</v>
      </c>
      <c r="P13733">
        <v>0</v>
      </c>
      <c r="Q13733">
        <v>0</v>
      </c>
      <c r="R13733" t="s">
        <v>44923</v>
      </c>
      <c r="S13733" t="s">
        <v>45744</v>
      </c>
      <c r="T13733" t="s">
        <v>46447</v>
      </c>
      <c r="U13733" t="s">
        <v>57882</v>
      </c>
      <c r="W13733" t="s">
        <v>44714</v>
      </c>
      <c r="X13733" t="s">
        <v>44924</v>
      </c>
    </row>
    <row r="13734" spans="1:24">
      <c r="A13734">
        <f>HYPERLINK("https://www.philgeps.gov.ph/GEPSNONPILOT/Tender/SplashBidNoticeAbstractUI.aspx?menuIndex=3&amp;refID=7048563&amp;Result=3","7048563")</f>
        <v>0</v>
      </c>
      <c r="B13734" t="s">
        <v>2318</v>
      </c>
      <c r="C13734" t="s">
        <v>16665</v>
      </c>
      <c r="D13734" t="s">
        <v>18180</v>
      </c>
      <c r="E13734" t="s">
        <v>18985</v>
      </c>
      <c r="F13734" t="s">
        <v>31362</v>
      </c>
      <c r="G13734" t="s">
        <v>31369</v>
      </c>
      <c r="H13734" t="s">
        <v>31378</v>
      </c>
      <c r="I13734" t="s">
        <v>31386</v>
      </c>
      <c r="J13734" t="s">
        <v>39816</v>
      </c>
      <c r="K13734" t="s">
        <v>40681</v>
      </c>
      <c r="M13734" t="s">
        <v>43458</v>
      </c>
      <c r="N13734" t="s">
        <v>44905</v>
      </c>
      <c r="O13734" t="s">
        <v>44906</v>
      </c>
      <c r="P13734">
        <v>0</v>
      </c>
      <c r="Q13734">
        <v>0</v>
      </c>
      <c r="R13734" t="s">
        <v>44923</v>
      </c>
      <c r="S13734" t="s">
        <v>45744</v>
      </c>
      <c r="T13734" t="s">
        <v>46774</v>
      </c>
      <c r="U13734" t="s">
        <v>57883</v>
      </c>
      <c r="V13734" t="s">
        <v>60621</v>
      </c>
      <c r="W13734" t="s">
        <v>43458</v>
      </c>
      <c r="X13734" t="s">
        <v>44924</v>
      </c>
    </row>
    <row r="13735" spans="1:24">
      <c r="A13735">
        <f>HYPERLINK("https://www.philgeps.gov.ph/GEPSNONPILOT/Tender/SplashBidNoticeAbstractUI.aspx?menuIndex=3&amp;refID=7049150&amp;Result=3","7049150")</f>
        <v>0</v>
      </c>
      <c r="B13735" t="s">
        <v>3389</v>
      </c>
      <c r="C13735" t="s">
        <v>16666</v>
      </c>
      <c r="D13735" t="s">
        <v>18148</v>
      </c>
      <c r="E13735" t="s">
        <v>30068</v>
      </c>
      <c r="F13735" t="s">
        <v>31362</v>
      </c>
      <c r="G13735" t="s">
        <v>31369</v>
      </c>
      <c r="H13735" t="s">
        <v>31378</v>
      </c>
      <c r="I13735" t="s">
        <v>31386</v>
      </c>
      <c r="J13735" t="s">
        <v>31542</v>
      </c>
      <c r="K13735" t="s">
        <v>40681</v>
      </c>
      <c r="L13735" t="s">
        <v>3389</v>
      </c>
      <c r="M13735" t="s">
        <v>44697</v>
      </c>
      <c r="N13735" t="s">
        <v>44905</v>
      </c>
      <c r="O13735" t="s">
        <v>44906</v>
      </c>
      <c r="P13735">
        <v>0</v>
      </c>
      <c r="Q13735">
        <v>1</v>
      </c>
      <c r="R13735" t="s">
        <v>44923</v>
      </c>
      <c r="S13735" t="s">
        <v>45744</v>
      </c>
      <c r="T13735" t="s">
        <v>46549</v>
      </c>
      <c r="U13735" t="s">
        <v>57884</v>
      </c>
      <c r="W13735" t="s">
        <v>44697</v>
      </c>
      <c r="X13735" t="s">
        <v>44924</v>
      </c>
    </row>
    <row r="13736" spans="1:24">
      <c r="A13736">
        <f>HYPERLINK("https://www.philgeps.gov.ph/GEPSNONPILOT/Tender/SplashBidNoticeAbstractUI.aspx?menuIndex=3&amp;refID=7049001&amp;Result=3","7049001")</f>
        <v>0</v>
      </c>
      <c r="B13736" t="s">
        <v>3403</v>
      </c>
      <c r="C13736" t="s">
        <v>16667</v>
      </c>
      <c r="D13736" t="s">
        <v>18112</v>
      </c>
      <c r="E13736" t="s">
        <v>30069</v>
      </c>
      <c r="F13736" t="s">
        <v>31362</v>
      </c>
      <c r="G13736" t="s">
        <v>31369</v>
      </c>
      <c r="H13736" t="s">
        <v>31378</v>
      </c>
      <c r="I13736" t="s">
        <v>31386</v>
      </c>
      <c r="J13736" t="s">
        <v>34023</v>
      </c>
      <c r="K13736" t="s">
        <v>40940</v>
      </c>
      <c r="M13736" t="s">
        <v>44716</v>
      </c>
      <c r="N13736" t="s">
        <v>44905</v>
      </c>
      <c r="O13736" t="s">
        <v>44906</v>
      </c>
      <c r="Q13736">
        <v>2</v>
      </c>
      <c r="R13736" t="s">
        <v>44923</v>
      </c>
      <c r="S13736" t="s">
        <v>45789</v>
      </c>
      <c r="T13736" t="s">
        <v>46447</v>
      </c>
      <c r="U13736" t="s">
        <v>57879</v>
      </c>
      <c r="W13736" t="s">
        <v>44716</v>
      </c>
      <c r="X13736" t="s">
        <v>44924</v>
      </c>
    </row>
    <row r="13737" spans="1:24">
      <c r="A13737">
        <f>HYPERLINK("https://www.philgeps.gov.ph/GEPSNONPILOT/Tender/SplashBidNoticeAbstractUI.aspx?menuIndex=3&amp;refID=7049146&amp;Result=3","7049146")</f>
        <v>0</v>
      </c>
      <c r="B13737" t="s">
        <v>3405</v>
      </c>
      <c r="C13737" t="s">
        <v>16668</v>
      </c>
      <c r="D13737" t="s">
        <v>18140</v>
      </c>
      <c r="E13737" t="s">
        <v>30070</v>
      </c>
      <c r="F13737" t="s">
        <v>31362</v>
      </c>
      <c r="G13737" t="s">
        <v>31369</v>
      </c>
      <c r="H13737" t="s">
        <v>15799</v>
      </c>
      <c r="I13737" t="s">
        <v>31422</v>
      </c>
      <c r="J13737" t="s">
        <v>39817</v>
      </c>
      <c r="K13737" t="s">
        <v>40665</v>
      </c>
      <c r="M13737" t="s">
        <v>44718</v>
      </c>
      <c r="N13737" t="s">
        <v>44905</v>
      </c>
      <c r="O13737" t="s">
        <v>44906</v>
      </c>
      <c r="P13737">
        <v>0</v>
      </c>
      <c r="Q13737">
        <v>8</v>
      </c>
      <c r="R13737" t="s">
        <v>44923</v>
      </c>
      <c r="S13737" t="s">
        <v>45744</v>
      </c>
      <c r="T13737" t="s">
        <v>46409</v>
      </c>
      <c r="U13737" t="s">
        <v>57885</v>
      </c>
      <c r="W13737" t="s">
        <v>44718</v>
      </c>
      <c r="X13737" t="s">
        <v>44924</v>
      </c>
    </row>
    <row r="13738" spans="1:24">
      <c r="A13738">
        <f>HYPERLINK("https://www.philgeps.gov.ph/GEPSNONPILOT/Tender/SplashBidNoticeAbstractUI.aspx?menuIndex=3&amp;refID=7049131&amp;Result=3","7049131")</f>
        <v>0</v>
      </c>
      <c r="B13738" t="s">
        <v>3389</v>
      </c>
      <c r="C13738" t="s">
        <v>16669</v>
      </c>
      <c r="D13738" t="s">
        <v>18148</v>
      </c>
      <c r="E13738" t="s">
        <v>30071</v>
      </c>
      <c r="F13738" t="s">
        <v>31362</v>
      </c>
      <c r="G13738" t="s">
        <v>31369</v>
      </c>
      <c r="H13738" t="s">
        <v>31378</v>
      </c>
      <c r="I13738" t="s">
        <v>31386</v>
      </c>
      <c r="J13738" t="s">
        <v>31615</v>
      </c>
      <c r="K13738" t="s">
        <v>40681</v>
      </c>
      <c r="L13738" t="s">
        <v>3389</v>
      </c>
      <c r="M13738" t="s">
        <v>44697</v>
      </c>
      <c r="N13738" t="s">
        <v>44905</v>
      </c>
      <c r="O13738" t="s">
        <v>44906</v>
      </c>
      <c r="P13738">
        <v>0</v>
      </c>
      <c r="Q13738">
        <v>1</v>
      </c>
      <c r="R13738" t="s">
        <v>44923</v>
      </c>
      <c r="S13738" t="s">
        <v>45744</v>
      </c>
      <c r="T13738" t="s">
        <v>46549</v>
      </c>
      <c r="U13738" t="s">
        <v>57886</v>
      </c>
      <c r="W13738" t="s">
        <v>44697</v>
      </c>
      <c r="X13738" t="s">
        <v>44924</v>
      </c>
    </row>
    <row r="13739" spans="1:24">
      <c r="A13739">
        <f>HYPERLINK("https://www.philgeps.gov.ph/GEPSNONPILOT/Tender/SplashBidNoticeAbstractUI.aspx?menuIndex=3&amp;refID=7049137&amp;Result=3","7049137")</f>
        <v>0</v>
      </c>
      <c r="B13739" t="s">
        <v>3403</v>
      </c>
      <c r="C13739" t="s">
        <v>16670</v>
      </c>
      <c r="D13739" t="s">
        <v>18112</v>
      </c>
      <c r="E13739" t="s">
        <v>30072</v>
      </c>
      <c r="F13739" t="s">
        <v>31362</v>
      </c>
      <c r="G13739" t="s">
        <v>31369</v>
      </c>
      <c r="H13739" t="s">
        <v>31378</v>
      </c>
      <c r="I13739" t="s">
        <v>31386</v>
      </c>
      <c r="J13739" t="s">
        <v>32964</v>
      </c>
      <c r="K13739" t="s">
        <v>40841</v>
      </c>
      <c r="M13739" t="s">
        <v>44716</v>
      </c>
      <c r="N13739" t="s">
        <v>44905</v>
      </c>
      <c r="O13739" t="s">
        <v>44906</v>
      </c>
      <c r="Q13739">
        <v>1</v>
      </c>
      <c r="R13739" t="s">
        <v>44923</v>
      </c>
      <c r="S13739" t="s">
        <v>45790</v>
      </c>
      <c r="T13739" t="s">
        <v>46447</v>
      </c>
      <c r="U13739" t="s">
        <v>57879</v>
      </c>
      <c r="W13739" t="s">
        <v>44716</v>
      </c>
      <c r="X13739" t="s">
        <v>44924</v>
      </c>
    </row>
    <row r="13740" spans="1:24">
      <c r="A13740">
        <f>HYPERLINK("https://www.philgeps.gov.ph/GEPSNONPILOT/Tender/SplashBidNoticeAbstractUI.aspx?menuIndex=3&amp;refID=7049115&amp;Result=3","7049115")</f>
        <v>0</v>
      </c>
      <c r="B13740" t="s">
        <v>3031</v>
      </c>
      <c r="C13740" t="s">
        <v>16671</v>
      </c>
      <c r="D13740" t="s">
        <v>18148</v>
      </c>
      <c r="E13740" t="s">
        <v>30073</v>
      </c>
      <c r="F13740" t="s">
        <v>31362</v>
      </c>
      <c r="G13740" t="s">
        <v>31369</v>
      </c>
      <c r="H13740" t="s">
        <v>15799</v>
      </c>
      <c r="I13740" t="s">
        <v>31394</v>
      </c>
      <c r="J13740" t="s">
        <v>33007</v>
      </c>
      <c r="K13740" t="s">
        <v>40666</v>
      </c>
      <c r="M13740" t="s">
        <v>44265</v>
      </c>
      <c r="N13740" t="s">
        <v>44905</v>
      </c>
      <c r="O13740" t="s">
        <v>44906</v>
      </c>
      <c r="P13740">
        <v>0</v>
      </c>
      <c r="Q13740">
        <v>1</v>
      </c>
      <c r="R13740" t="s">
        <v>44923</v>
      </c>
      <c r="S13740" t="s">
        <v>45744</v>
      </c>
      <c r="T13740" t="s">
        <v>46411</v>
      </c>
      <c r="U13740" t="s">
        <v>57887</v>
      </c>
      <c r="W13740" t="s">
        <v>44265</v>
      </c>
      <c r="X13740" t="s">
        <v>44924</v>
      </c>
    </row>
    <row r="13741" spans="1:24">
      <c r="A13741">
        <f>HYPERLINK("https://www.philgeps.gov.ph/GEPSNONPILOT/Tender/SplashBidNoticeAbstractUI.aspx?menuIndex=3&amp;refID=7049097&amp;Result=3","7049097")</f>
        <v>0</v>
      </c>
      <c r="B13741" t="s">
        <v>3389</v>
      </c>
      <c r="C13741" t="s">
        <v>16672</v>
      </c>
      <c r="D13741" t="s">
        <v>18148</v>
      </c>
      <c r="E13741" t="s">
        <v>30074</v>
      </c>
      <c r="F13741" t="s">
        <v>31362</v>
      </c>
      <c r="G13741" t="s">
        <v>31369</v>
      </c>
      <c r="H13741" t="s">
        <v>31378</v>
      </c>
      <c r="I13741" t="s">
        <v>31386</v>
      </c>
      <c r="J13741" t="s">
        <v>39617</v>
      </c>
      <c r="K13741" t="s">
        <v>40681</v>
      </c>
      <c r="L13741" t="s">
        <v>3389</v>
      </c>
      <c r="M13741" t="s">
        <v>44697</v>
      </c>
      <c r="N13741" t="s">
        <v>44905</v>
      </c>
      <c r="O13741" t="s">
        <v>44906</v>
      </c>
      <c r="P13741">
        <v>0</v>
      </c>
      <c r="Q13741">
        <v>1</v>
      </c>
      <c r="R13741" t="s">
        <v>44923</v>
      </c>
      <c r="S13741" t="s">
        <v>45744</v>
      </c>
      <c r="T13741" t="s">
        <v>46549</v>
      </c>
      <c r="U13741" t="s">
        <v>57888</v>
      </c>
      <c r="W13741" t="s">
        <v>44697</v>
      </c>
      <c r="X13741" t="s">
        <v>44924</v>
      </c>
    </row>
    <row r="13742" spans="1:24">
      <c r="A13742">
        <f>HYPERLINK("https://www.philgeps.gov.ph/GEPSNONPILOT/Tender/SplashBidNoticeAbstractUI.aspx?menuIndex=3&amp;refID=7049116&amp;Result=3","7049116")</f>
        <v>0</v>
      </c>
      <c r="B13742" t="s">
        <v>3403</v>
      </c>
      <c r="C13742" t="s">
        <v>16673</v>
      </c>
      <c r="D13742" t="s">
        <v>18112</v>
      </c>
      <c r="E13742" t="s">
        <v>30075</v>
      </c>
      <c r="F13742" t="s">
        <v>31362</v>
      </c>
      <c r="G13742" t="s">
        <v>31369</v>
      </c>
      <c r="H13742" t="s">
        <v>31378</v>
      </c>
      <c r="I13742" t="s">
        <v>31386</v>
      </c>
      <c r="J13742" t="s">
        <v>32673</v>
      </c>
      <c r="K13742" t="s">
        <v>40691</v>
      </c>
      <c r="M13742" t="s">
        <v>44716</v>
      </c>
      <c r="N13742" t="s">
        <v>44905</v>
      </c>
      <c r="O13742" t="s">
        <v>44906</v>
      </c>
      <c r="Q13742">
        <v>1</v>
      </c>
      <c r="R13742" t="s">
        <v>44923</v>
      </c>
      <c r="S13742" t="s">
        <v>45791</v>
      </c>
      <c r="T13742" t="s">
        <v>46447</v>
      </c>
      <c r="U13742" t="s">
        <v>57879</v>
      </c>
      <c r="W13742" t="s">
        <v>44716</v>
      </c>
      <c r="X13742" t="s">
        <v>44924</v>
      </c>
    </row>
    <row r="13743" spans="1:24">
      <c r="A13743">
        <f>HYPERLINK("https://www.philgeps.gov.ph/GEPSNONPILOT/Tender/SplashBidNoticeAbstractUI.aspx?menuIndex=3&amp;refID=7049083&amp;Result=3","7049083")</f>
        <v>0</v>
      </c>
      <c r="B13743" t="s">
        <v>832</v>
      </c>
      <c r="C13743" t="s">
        <v>16674</v>
      </c>
      <c r="E13743" t="s">
        <v>30076</v>
      </c>
      <c r="F13743" t="s">
        <v>31362</v>
      </c>
      <c r="G13743" t="s">
        <v>31369</v>
      </c>
      <c r="H13743" t="s">
        <v>15799</v>
      </c>
      <c r="I13743" t="s">
        <v>31396</v>
      </c>
      <c r="J13743" t="s">
        <v>31634</v>
      </c>
      <c r="K13743" t="s">
        <v>40662</v>
      </c>
      <c r="M13743" t="s">
        <v>44719</v>
      </c>
      <c r="N13743" t="s">
        <v>44905</v>
      </c>
      <c r="O13743" t="s">
        <v>44906</v>
      </c>
      <c r="Q13743">
        <v>16</v>
      </c>
      <c r="R13743" t="s">
        <v>44923</v>
      </c>
      <c r="S13743" t="s">
        <v>45792</v>
      </c>
      <c r="T13743" t="s">
        <v>46530</v>
      </c>
      <c r="U13743" t="s">
        <v>57874</v>
      </c>
      <c r="W13743" t="s">
        <v>44719</v>
      </c>
      <c r="X13743" t="s">
        <v>44924</v>
      </c>
    </row>
    <row r="13744" spans="1:24">
      <c r="A13744">
        <f>HYPERLINK("https://www.philgeps.gov.ph/GEPSNONPILOT/Tender/SplashBidNoticeAbstractUI.aspx?menuIndex=3&amp;refID=7049104&amp;Result=3","7049104")</f>
        <v>0</v>
      </c>
      <c r="B13744" t="s">
        <v>832</v>
      </c>
      <c r="C13744" t="s">
        <v>16675</v>
      </c>
      <c r="E13744" t="s">
        <v>30077</v>
      </c>
      <c r="F13744" t="s">
        <v>31362</v>
      </c>
      <c r="G13744" t="s">
        <v>31369</v>
      </c>
      <c r="H13744" t="s">
        <v>15799</v>
      </c>
      <c r="I13744" t="s">
        <v>31396</v>
      </c>
      <c r="J13744" t="s">
        <v>31602</v>
      </c>
      <c r="K13744" t="s">
        <v>40662</v>
      </c>
      <c r="M13744" t="s">
        <v>44055</v>
      </c>
      <c r="N13744" t="s">
        <v>44905</v>
      </c>
      <c r="O13744" t="s">
        <v>44906</v>
      </c>
      <c r="Q13744">
        <v>20</v>
      </c>
      <c r="R13744" t="s">
        <v>44923</v>
      </c>
      <c r="S13744" t="s">
        <v>45272</v>
      </c>
      <c r="T13744" t="s">
        <v>46560</v>
      </c>
      <c r="U13744" t="s">
        <v>57874</v>
      </c>
      <c r="W13744" t="s">
        <v>44055</v>
      </c>
      <c r="X13744" t="s">
        <v>44924</v>
      </c>
    </row>
    <row r="13745" spans="1:24">
      <c r="A13745">
        <f>HYPERLINK("https://www.philgeps.gov.ph/GEPSNONPILOT/Tender/SplashBidNoticeAbstractUI.aspx?menuIndex=3&amp;refID=7049081&amp;Result=3","7049081")</f>
        <v>0</v>
      </c>
      <c r="B13745" t="s">
        <v>3403</v>
      </c>
      <c r="C13745" t="s">
        <v>16676</v>
      </c>
      <c r="D13745" t="s">
        <v>18112</v>
      </c>
      <c r="E13745" t="s">
        <v>30078</v>
      </c>
      <c r="F13745" t="s">
        <v>31362</v>
      </c>
      <c r="G13745" t="s">
        <v>31369</v>
      </c>
      <c r="H13745" t="s">
        <v>31378</v>
      </c>
      <c r="I13745" t="s">
        <v>31386</v>
      </c>
      <c r="J13745" t="s">
        <v>31726</v>
      </c>
      <c r="K13745" t="s">
        <v>40664</v>
      </c>
      <c r="M13745" t="s">
        <v>44716</v>
      </c>
      <c r="N13745" t="s">
        <v>44905</v>
      </c>
      <c r="O13745" t="s">
        <v>44906</v>
      </c>
      <c r="Q13745">
        <v>1</v>
      </c>
      <c r="R13745" t="s">
        <v>44923</v>
      </c>
      <c r="S13745" t="s">
        <v>45793</v>
      </c>
      <c r="T13745" t="s">
        <v>46447</v>
      </c>
      <c r="U13745" t="s">
        <v>57879</v>
      </c>
      <c r="W13745" t="s">
        <v>44716</v>
      </c>
      <c r="X13745" t="s">
        <v>44924</v>
      </c>
    </row>
    <row r="13746" spans="1:24">
      <c r="A13746">
        <f>HYPERLINK("https://www.philgeps.gov.ph/GEPSNONPILOT/Tender/SplashBidNoticeAbstractUI.aspx?menuIndex=3&amp;refID=7048944&amp;Result=3","7048944")</f>
        <v>0</v>
      </c>
      <c r="B13746" t="s">
        <v>2167</v>
      </c>
      <c r="C13746" t="s">
        <v>16677</v>
      </c>
      <c r="D13746" t="s">
        <v>18134</v>
      </c>
      <c r="E13746" t="s">
        <v>20469</v>
      </c>
      <c r="F13746" t="s">
        <v>31362</v>
      </c>
      <c r="G13746" t="s">
        <v>31369</v>
      </c>
      <c r="H13746" t="s">
        <v>15799</v>
      </c>
      <c r="I13746" t="s">
        <v>3815</v>
      </c>
      <c r="J13746" t="s">
        <v>39818</v>
      </c>
      <c r="K13746" t="s">
        <v>40666</v>
      </c>
      <c r="M13746" t="s">
        <v>44711</v>
      </c>
      <c r="N13746" t="s">
        <v>44905</v>
      </c>
      <c r="O13746" t="s">
        <v>44906</v>
      </c>
      <c r="P13746">
        <v>0</v>
      </c>
      <c r="Q13746">
        <v>1</v>
      </c>
      <c r="R13746" t="s">
        <v>44923</v>
      </c>
      <c r="S13746" t="s">
        <v>45744</v>
      </c>
      <c r="T13746" t="s">
        <v>46443</v>
      </c>
      <c r="U13746" t="s">
        <v>57865</v>
      </c>
      <c r="V13746" t="s">
        <v>60622</v>
      </c>
      <c r="W13746" t="s">
        <v>44711</v>
      </c>
      <c r="X13746" t="s">
        <v>44924</v>
      </c>
    </row>
    <row r="13747" spans="1:24">
      <c r="A13747">
        <f>HYPERLINK("https://www.philgeps.gov.ph/GEPSNONPILOT/Tender/SplashBidNoticeAbstractUI.aspx?menuIndex=3&amp;refID=7049172&amp;Result=3","7049172")</f>
        <v>0</v>
      </c>
      <c r="B13747" t="s">
        <v>2300</v>
      </c>
      <c r="C13747" t="s">
        <v>16678</v>
      </c>
      <c r="D13747" t="s">
        <v>18148</v>
      </c>
      <c r="E13747" t="s">
        <v>30079</v>
      </c>
      <c r="F13747" t="s">
        <v>31362</v>
      </c>
      <c r="G13747" t="s">
        <v>31369</v>
      </c>
      <c r="H13747" t="s">
        <v>15799</v>
      </c>
      <c r="I13747" t="s">
        <v>31426</v>
      </c>
      <c r="J13747" t="s">
        <v>39819</v>
      </c>
      <c r="K13747" t="s">
        <v>40679</v>
      </c>
      <c r="M13747" t="s">
        <v>43440</v>
      </c>
      <c r="N13747" t="s">
        <v>44905</v>
      </c>
      <c r="O13747" t="s">
        <v>44906</v>
      </c>
      <c r="P13747">
        <v>0</v>
      </c>
      <c r="Q13747">
        <v>4</v>
      </c>
      <c r="R13747" t="s">
        <v>44923</v>
      </c>
      <c r="S13747" t="s">
        <v>45744</v>
      </c>
      <c r="T13747" t="s">
        <v>46416</v>
      </c>
      <c r="U13747" t="s">
        <v>57889</v>
      </c>
      <c r="W13747" t="s">
        <v>43440</v>
      </c>
      <c r="X13747" t="s">
        <v>44924</v>
      </c>
    </row>
    <row r="13748" spans="1:24">
      <c r="A13748">
        <f>HYPERLINK("https://www.philgeps.gov.ph/GEPSNONPILOT/Tender/SplashBidNoticeAbstractUI.aspx?menuIndex=3&amp;refID=7049102&amp;Result=3","7049102")</f>
        <v>0</v>
      </c>
      <c r="B13748" t="s">
        <v>832</v>
      </c>
      <c r="C13748" t="s">
        <v>16679</v>
      </c>
      <c r="E13748" t="s">
        <v>30080</v>
      </c>
      <c r="F13748" t="s">
        <v>31362</v>
      </c>
      <c r="G13748" t="s">
        <v>31369</v>
      </c>
      <c r="H13748" t="s">
        <v>15799</v>
      </c>
      <c r="I13748" t="s">
        <v>31396</v>
      </c>
      <c r="J13748" t="s">
        <v>31602</v>
      </c>
      <c r="K13748" t="s">
        <v>40662</v>
      </c>
      <c r="M13748" t="s">
        <v>44719</v>
      </c>
      <c r="N13748" t="s">
        <v>44905</v>
      </c>
      <c r="O13748" t="s">
        <v>44906</v>
      </c>
      <c r="Q13748">
        <v>20</v>
      </c>
      <c r="R13748" t="s">
        <v>44923</v>
      </c>
      <c r="S13748" t="s">
        <v>45794</v>
      </c>
      <c r="T13748" t="s">
        <v>46530</v>
      </c>
      <c r="U13748" t="s">
        <v>57874</v>
      </c>
      <c r="W13748" t="s">
        <v>44719</v>
      </c>
      <c r="X13748" t="s">
        <v>44924</v>
      </c>
    </row>
    <row r="13749" spans="1:24">
      <c r="A13749">
        <f>HYPERLINK("https://www.philgeps.gov.ph/GEPSNONPILOT/Tender/SplashBidNoticeAbstractUI.aspx?menuIndex=3&amp;refID=7049263&amp;Result=3","7049263")</f>
        <v>0</v>
      </c>
      <c r="B13749" t="s">
        <v>3406</v>
      </c>
      <c r="C13749" t="s">
        <v>16680</v>
      </c>
      <c r="D13749" t="s">
        <v>18107</v>
      </c>
      <c r="E13749" t="s">
        <v>20692</v>
      </c>
      <c r="F13749" t="s">
        <v>31362</v>
      </c>
      <c r="G13749" t="s">
        <v>31369</v>
      </c>
      <c r="H13749" t="s">
        <v>15799</v>
      </c>
      <c r="I13749" t="s">
        <v>6373</v>
      </c>
      <c r="J13749" t="s">
        <v>39820</v>
      </c>
      <c r="K13749" t="s">
        <v>40665</v>
      </c>
      <c r="M13749" t="s">
        <v>44720</v>
      </c>
      <c r="N13749" t="s">
        <v>44905</v>
      </c>
      <c r="O13749" t="s">
        <v>44906</v>
      </c>
      <c r="Q13749">
        <v>3</v>
      </c>
      <c r="R13749" t="s">
        <v>44923</v>
      </c>
      <c r="S13749" t="s">
        <v>45795</v>
      </c>
      <c r="T13749" t="s">
        <v>46549</v>
      </c>
      <c r="U13749" t="s">
        <v>57890</v>
      </c>
      <c r="V13749" t="s">
        <v>60623</v>
      </c>
      <c r="W13749" t="s">
        <v>44720</v>
      </c>
      <c r="X13749" t="s">
        <v>44924</v>
      </c>
    </row>
    <row r="13750" spans="1:24">
      <c r="A13750">
        <f>HYPERLINK("https://www.philgeps.gov.ph/GEPSNONPILOT/Tender/SplashBidNoticeAbstractUI.aspx?menuIndex=3&amp;refID=7049302&amp;Result=3","7049302")</f>
        <v>0</v>
      </c>
      <c r="B13750" t="s">
        <v>3403</v>
      </c>
      <c r="C13750" t="s">
        <v>16681</v>
      </c>
      <c r="D13750" t="s">
        <v>18112</v>
      </c>
      <c r="E13750" t="s">
        <v>30081</v>
      </c>
      <c r="F13750" t="s">
        <v>31362</v>
      </c>
      <c r="G13750" t="s">
        <v>31369</v>
      </c>
      <c r="H13750" t="s">
        <v>31378</v>
      </c>
      <c r="I13750" t="s">
        <v>31386</v>
      </c>
      <c r="J13750" t="s">
        <v>31726</v>
      </c>
      <c r="K13750" t="s">
        <v>40664</v>
      </c>
      <c r="M13750" t="s">
        <v>44716</v>
      </c>
      <c r="N13750" t="s">
        <v>44905</v>
      </c>
      <c r="O13750" t="s">
        <v>44906</v>
      </c>
      <c r="Q13750">
        <v>2</v>
      </c>
      <c r="R13750" t="s">
        <v>44923</v>
      </c>
      <c r="S13750" t="s">
        <v>45796</v>
      </c>
      <c r="T13750" t="s">
        <v>46447</v>
      </c>
      <c r="U13750" t="s">
        <v>57879</v>
      </c>
      <c r="W13750" t="s">
        <v>44716</v>
      </c>
      <c r="X13750" t="s">
        <v>44924</v>
      </c>
    </row>
    <row r="13751" spans="1:24">
      <c r="A13751">
        <f>HYPERLINK("https://www.philgeps.gov.ph/GEPSNONPILOT/Tender/SplashBidNoticeAbstractUI.aspx?menuIndex=3&amp;refID=7049293&amp;Result=3","7049293")</f>
        <v>0</v>
      </c>
      <c r="B13751" t="s">
        <v>3407</v>
      </c>
      <c r="C13751" t="s">
        <v>16682</v>
      </c>
      <c r="D13751" t="s">
        <v>18177</v>
      </c>
      <c r="E13751" t="s">
        <v>30082</v>
      </c>
      <c r="F13751" t="s">
        <v>31362</v>
      </c>
      <c r="G13751" t="s">
        <v>31369</v>
      </c>
      <c r="H13751" t="s">
        <v>15799</v>
      </c>
      <c r="I13751" t="s">
        <v>3815</v>
      </c>
      <c r="J13751" t="s">
        <v>39821</v>
      </c>
      <c r="K13751" t="s">
        <v>40675</v>
      </c>
      <c r="M13751" t="s">
        <v>44721</v>
      </c>
      <c r="N13751" t="s">
        <v>44905</v>
      </c>
      <c r="O13751" t="s">
        <v>44906</v>
      </c>
      <c r="P13751">
        <v>0</v>
      </c>
      <c r="Q13751">
        <v>0</v>
      </c>
      <c r="R13751" t="s">
        <v>44923</v>
      </c>
      <c r="S13751" t="s">
        <v>45744</v>
      </c>
      <c r="T13751" t="s">
        <v>46435</v>
      </c>
      <c r="U13751" t="s">
        <v>57891</v>
      </c>
      <c r="W13751" t="s">
        <v>44721</v>
      </c>
      <c r="X13751" t="s">
        <v>44924</v>
      </c>
    </row>
    <row r="13752" spans="1:24">
      <c r="A13752">
        <f>HYPERLINK("https://www.philgeps.gov.ph/GEPSNONPILOT/Tender/SplashBidNoticeAbstractUI.aspx?menuIndex=3&amp;refID=7049114&amp;Result=3","7049114")</f>
        <v>0</v>
      </c>
      <c r="B13752" t="s">
        <v>3389</v>
      </c>
      <c r="C13752" t="s">
        <v>16683</v>
      </c>
      <c r="D13752" t="s">
        <v>18148</v>
      </c>
      <c r="E13752" t="s">
        <v>30083</v>
      </c>
      <c r="F13752" t="s">
        <v>31362</v>
      </c>
      <c r="G13752" t="s">
        <v>31369</v>
      </c>
      <c r="H13752" t="s">
        <v>31378</v>
      </c>
      <c r="I13752" t="s">
        <v>31386</v>
      </c>
      <c r="J13752" t="s">
        <v>31607</v>
      </c>
      <c r="K13752" t="s">
        <v>40681</v>
      </c>
      <c r="L13752" t="s">
        <v>3389</v>
      </c>
      <c r="M13752" t="s">
        <v>44697</v>
      </c>
      <c r="N13752" t="s">
        <v>44905</v>
      </c>
      <c r="O13752" t="s">
        <v>44906</v>
      </c>
      <c r="P13752">
        <v>0</v>
      </c>
      <c r="Q13752">
        <v>0</v>
      </c>
      <c r="R13752" t="s">
        <v>44923</v>
      </c>
      <c r="S13752" t="s">
        <v>45744</v>
      </c>
      <c r="T13752" t="s">
        <v>46549</v>
      </c>
      <c r="U13752" t="s">
        <v>57892</v>
      </c>
      <c r="W13752" t="s">
        <v>44697</v>
      </c>
      <c r="X13752" t="s">
        <v>44924</v>
      </c>
    </row>
    <row r="13753" spans="1:24">
      <c r="A13753">
        <f>HYPERLINK("https://www.philgeps.gov.ph/GEPSNONPILOT/Tender/SplashBidNoticeAbstractUI.aspx?menuIndex=3&amp;refID=7049281&amp;Result=3","7049281")</f>
        <v>0</v>
      </c>
      <c r="B13753" t="s">
        <v>2300</v>
      </c>
      <c r="C13753" t="s">
        <v>16684</v>
      </c>
      <c r="D13753" t="s">
        <v>18148</v>
      </c>
      <c r="E13753" t="s">
        <v>30084</v>
      </c>
      <c r="F13753" t="s">
        <v>31362</v>
      </c>
      <c r="G13753" t="s">
        <v>31369</v>
      </c>
      <c r="H13753" t="s">
        <v>15799</v>
      </c>
      <c r="I13753" t="s">
        <v>31426</v>
      </c>
      <c r="J13753" t="s">
        <v>39822</v>
      </c>
      <c r="K13753" t="s">
        <v>40679</v>
      </c>
      <c r="M13753" t="s">
        <v>43440</v>
      </c>
      <c r="N13753" t="s">
        <v>44905</v>
      </c>
      <c r="O13753" t="s">
        <v>44906</v>
      </c>
      <c r="P13753">
        <v>0</v>
      </c>
      <c r="Q13753">
        <v>5</v>
      </c>
      <c r="R13753" t="s">
        <v>44923</v>
      </c>
      <c r="S13753" t="s">
        <v>45744</v>
      </c>
      <c r="T13753" t="s">
        <v>46532</v>
      </c>
      <c r="U13753" t="s">
        <v>57893</v>
      </c>
      <c r="W13753" t="s">
        <v>43440</v>
      </c>
      <c r="X13753" t="s">
        <v>44924</v>
      </c>
    </row>
    <row r="13754" spans="1:24">
      <c r="A13754">
        <f>HYPERLINK("https://www.philgeps.gov.ph/GEPSNONPILOT/Tender/SplashBidNoticeAbstractUI.aspx?menuIndex=3&amp;refID=7049279&amp;Result=3","7049279")</f>
        <v>0</v>
      </c>
      <c r="B13754" t="s">
        <v>3407</v>
      </c>
      <c r="C13754" t="s">
        <v>16685</v>
      </c>
      <c r="D13754" t="s">
        <v>18177</v>
      </c>
      <c r="E13754" t="s">
        <v>30085</v>
      </c>
      <c r="F13754" t="s">
        <v>31362</v>
      </c>
      <c r="G13754" t="s">
        <v>31369</v>
      </c>
      <c r="H13754" t="s">
        <v>15799</v>
      </c>
      <c r="I13754" t="s">
        <v>31404</v>
      </c>
      <c r="J13754" t="s">
        <v>31637</v>
      </c>
      <c r="K13754" t="s">
        <v>40678</v>
      </c>
      <c r="M13754" t="s">
        <v>44721</v>
      </c>
      <c r="N13754" t="s">
        <v>44905</v>
      </c>
      <c r="O13754" t="s">
        <v>44906</v>
      </c>
      <c r="P13754">
        <v>0</v>
      </c>
      <c r="Q13754">
        <v>0</v>
      </c>
      <c r="R13754" t="s">
        <v>44923</v>
      </c>
      <c r="S13754" t="s">
        <v>45744</v>
      </c>
      <c r="T13754" t="s">
        <v>46435</v>
      </c>
      <c r="U13754" t="s">
        <v>57894</v>
      </c>
      <c r="W13754" t="s">
        <v>44721</v>
      </c>
      <c r="X13754" t="s">
        <v>44924</v>
      </c>
    </row>
    <row r="13755" spans="1:24">
      <c r="A13755">
        <f>HYPERLINK("https://www.philgeps.gov.ph/GEPSNONPILOT/Tender/SplashBidNoticeAbstractUI.aspx?menuIndex=3&amp;refID=7049264&amp;Result=3","7049264")</f>
        <v>0</v>
      </c>
      <c r="B13755" t="s">
        <v>2300</v>
      </c>
      <c r="C13755" t="s">
        <v>16686</v>
      </c>
      <c r="D13755" t="s">
        <v>18148</v>
      </c>
      <c r="E13755" t="s">
        <v>30086</v>
      </c>
      <c r="F13755" t="s">
        <v>31362</v>
      </c>
      <c r="G13755" t="s">
        <v>31369</v>
      </c>
      <c r="H13755" t="s">
        <v>15799</v>
      </c>
      <c r="I13755" t="s">
        <v>31426</v>
      </c>
      <c r="J13755" t="s">
        <v>39823</v>
      </c>
      <c r="K13755" t="s">
        <v>40679</v>
      </c>
      <c r="M13755" t="s">
        <v>43515</v>
      </c>
      <c r="N13755" t="s">
        <v>44905</v>
      </c>
      <c r="O13755" t="s">
        <v>44906</v>
      </c>
      <c r="P13755">
        <v>0</v>
      </c>
      <c r="Q13755">
        <v>8</v>
      </c>
      <c r="R13755" t="s">
        <v>44923</v>
      </c>
      <c r="S13755" t="s">
        <v>45744</v>
      </c>
      <c r="T13755" t="s">
        <v>46532</v>
      </c>
      <c r="U13755" t="s">
        <v>57867</v>
      </c>
      <c r="W13755" t="s">
        <v>43515</v>
      </c>
      <c r="X13755" t="s">
        <v>44924</v>
      </c>
    </row>
    <row r="13756" spans="1:24">
      <c r="A13756">
        <f>HYPERLINK("https://www.philgeps.gov.ph/GEPSNONPILOT/Tender/SplashBidNoticeAbstractUI.aspx?menuIndex=3&amp;refID=7049079&amp;Result=3","7049079")</f>
        <v>0</v>
      </c>
      <c r="B13756" t="s">
        <v>832</v>
      </c>
      <c r="C13756" t="s">
        <v>16687</v>
      </c>
      <c r="E13756" t="s">
        <v>30087</v>
      </c>
      <c r="F13756" t="s">
        <v>31362</v>
      </c>
      <c r="G13756" t="s">
        <v>31369</v>
      </c>
      <c r="H13756" t="s">
        <v>15799</v>
      </c>
      <c r="I13756" t="s">
        <v>31382</v>
      </c>
      <c r="J13756" t="s">
        <v>39824</v>
      </c>
      <c r="K13756" t="s">
        <v>40662</v>
      </c>
      <c r="M13756" t="s">
        <v>41806</v>
      </c>
      <c r="N13756" t="s">
        <v>44905</v>
      </c>
      <c r="O13756" t="s">
        <v>44906</v>
      </c>
      <c r="Q13756">
        <v>10</v>
      </c>
      <c r="R13756" t="s">
        <v>44923</v>
      </c>
      <c r="S13756" t="s">
        <v>45797</v>
      </c>
      <c r="T13756" t="s">
        <v>46530</v>
      </c>
      <c r="U13756" t="s">
        <v>57895</v>
      </c>
      <c r="W13756" t="s">
        <v>41806</v>
      </c>
      <c r="X13756" t="s">
        <v>44924</v>
      </c>
    </row>
    <row r="13757" spans="1:24">
      <c r="A13757">
        <f>HYPERLINK("https://www.philgeps.gov.ph/GEPSNONPILOT/Tender/SplashBidNoticeAbstractUI.aspx?menuIndex=3&amp;refID=7049231&amp;Result=3","7049231")</f>
        <v>0</v>
      </c>
      <c r="B13757" t="s">
        <v>3403</v>
      </c>
      <c r="C13757" t="s">
        <v>16688</v>
      </c>
      <c r="D13757" t="s">
        <v>18112</v>
      </c>
      <c r="E13757" t="s">
        <v>30088</v>
      </c>
      <c r="F13757" t="s">
        <v>31362</v>
      </c>
      <c r="G13757" t="s">
        <v>31369</v>
      </c>
      <c r="H13757" t="s">
        <v>31378</v>
      </c>
      <c r="I13757" t="s">
        <v>31386</v>
      </c>
      <c r="J13757" t="s">
        <v>36377</v>
      </c>
      <c r="K13757" t="s">
        <v>40841</v>
      </c>
      <c r="M13757" t="s">
        <v>44716</v>
      </c>
      <c r="N13757" t="s">
        <v>44905</v>
      </c>
      <c r="O13757" t="s">
        <v>44906</v>
      </c>
      <c r="Q13757">
        <v>3</v>
      </c>
      <c r="R13757" t="s">
        <v>44923</v>
      </c>
      <c r="S13757" t="s">
        <v>45798</v>
      </c>
      <c r="T13757" t="s">
        <v>46447</v>
      </c>
      <c r="U13757" t="s">
        <v>57879</v>
      </c>
      <c r="W13757" t="s">
        <v>44716</v>
      </c>
      <c r="X13757" t="s">
        <v>44924</v>
      </c>
    </row>
    <row r="13758" spans="1:24">
      <c r="A13758">
        <f>HYPERLINK("https://www.philgeps.gov.ph/GEPSNONPILOT/Tender/SplashBidNoticeAbstractUI.aspx?menuIndex=3&amp;refID=7049099&amp;Result=3","7049099")</f>
        <v>0</v>
      </c>
      <c r="B13758" t="s">
        <v>2300</v>
      </c>
      <c r="C13758" t="s">
        <v>16689</v>
      </c>
      <c r="D13758" t="s">
        <v>18148</v>
      </c>
      <c r="E13758" t="s">
        <v>30089</v>
      </c>
      <c r="F13758" t="s">
        <v>31362</v>
      </c>
      <c r="G13758" t="s">
        <v>31369</v>
      </c>
      <c r="H13758" t="s">
        <v>15799</v>
      </c>
      <c r="I13758" t="s">
        <v>31426</v>
      </c>
      <c r="J13758" t="s">
        <v>39825</v>
      </c>
      <c r="K13758" t="s">
        <v>40679</v>
      </c>
      <c r="M13758" t="s">
        <v>43440</v>
      </c>
      <c r="N13758" t="s">
        <v>44905</v>
      </c>
      <c r="O13758" t="s">
        <v>44906</v>
      </c>
      <c r="P13758">
        <v>0</v>
      </c>
      <c r="Q13758">
        <v>4</v>
      </c>
      <c r="R13758" t="s">
        <v>44923</v>
      </c>
      <c r="S13758" t="s">
        <v>45744</v>
      </c>
      <c r="T13758" t="s">
        <v>46532</v>
      </c>
      <c r="U13758" t="s">
        <v>57896</v>
      </c>
      <c r="W13758" t="s">
        <v>43440</v>
      </c>
      <c r="X13758" t="s">
        <v>44924</v>
      </c>
    </row>
    <row r="13759" spans="1:24">
      <c r="A13759">
        <f>HYPERLINK("https://www.philgeps.gov.ph/GEPSNONPILOT/Tender/SplashBidNoticeAbstractUI.aspx?menuIndex=3&amp;refID=7049215&amp;Result=3","7049215")</f>
        <v>0</v>
      </c>
      <c r="B13759" t="s">
        <v>3089</v>
      </c>
      <c r="C13759" t="s">
        <v>16690</v>
      </c>
      <c r="D13759" t="s">
        <v>18134</v>
      </c>
      <c r="E13759" t="s">
        <v>30090</v>
      </c>
      <c r="F13759" t="s">
        <v>31362</v>
      </c>
      <c r="G13759" t="s">
        <v>31369</v>
      </c>
      <c r="H13759" t="s">
        <v>15799</v>
      </c>
      <c r="I13759" t="s">
        <v>7719</v>
      </c>
      <c r="J13759" t="s">
        <v>39826</v>
      </c>
      <c r="K13759" t="s">
        <v>40679</v>
      </c>
      <c r="M13759" t="s">
        <v>44329</v>
      </c>
      <c r="N13759" t="s">
        <v>44905</v>
      </c>
      <c r="O13759" t="s">
        <v>44906</v>
      </c>
      <c r="Q13759">
        <v>40</v>
      </c>
      <c r="R13759" t="s">
        <v>44923</v>
      </c>
      <c r="S13759" t="s">
        <v>45799</v>
      </c>
      <c r="T13759" t="s">
        <v>46878</v>
      </c>
      <c r="U13759" t="s">
        <v>56077</v>
      </c>
      <c r="V13759" t="s">
        <v>60291</v>
      </c>
      <c r="W13759" t="s">
        <v>44329</v>
      </c>
      <c r="X13759" t="s">
        <v>44924</v>
      </c>
    </row>
    <row r="13760" spans="1:24">
      <c r="A13760">
        <f>HYPERLINK("https://www.philgeps.gov.ph/GEPSNONPILOT/Tender/SplashBidNoticeAbstractUI.aspx?menuIndex=3&amp;refID=7049272&amp;Result=3","7049272")</f>
        <v>0</v>
      </c>
      <c r="B13760" t="s">
        <v>3408</v>
      </c>
      <c r="C13760" t="s">
        <v>16691</v>
      </c>
      <c r="D13760" t="s">
        <v>18154</v>
      </c>
      <c r="E13760" t="s">
        <v>30091</v>
      </c>
      <c r="F13760" t="s">
        <v>31362</v>
      </c>
      <c r="G13760" t="s">
        <v>31369</v>
      </c>
      <c r="H13760" t="s">
        <v>15799</v>
      </c>
      <c r="I13760" t="s">
        <v>31414</v>
      </c>
      <c r="J13760" t="s">
        <v>32296</v>
      </c>
      <c r="K13760" t="s">
        <v>40665</v>
      </c>
      <c r="M13760" t="s">
        <v>44722</v>
      </c>
      <c r="N13760" t="s">
        <v>44905</v>
      </c>
      <c r="O13760" t="s">
        <v>44906</v>
      </c>
      <c r="P13760">
        <v>0</v>
      </c>
      <c r="Q13760">
        <v>3</v>
      </c>
      <c r="R13760" t="s">
        <v>44923</v>
      </c>
      <c r="S13760" t="s">
        <v>45744</v>
      </c>
      <c r="T13760" t="s">
        <v>46411</v>
      </c>
      <c r="U13760" t="s">
        <v>57897</v>
      </c>
      <c r="V13760" t="s">
        <v>60624</v>
      </c>
      <c r="W13760" t="s">
        <v>44722</v>
      </c>
      <c r="X13760" t="s">
        <v>44924</v>
      </c>
    </row>
    <row r="13761" spans="1:24">
      <c r="A13761">
        <f>HYPERLINK("https://www.philgeps.gov.ph/GEPSNONPILOT/Tender/SplashBidNoticeAbstractUI.aspx?menuIndex=3&amp;refID=7049288&amp;Result=3","7049288")</f>
        <v>0</v>
      </c>
      <c r="B13761" t="s">
        <v>62</v>
      </c>
      <c r="C13761" t="s">
        <v>16692</v>
      </c>
      <c r="D13761" t="s">
        <v>18125</v>
      </c>
      <c r="E13761" t="s">
        <v>25407</v>
      </c>
      <c r="F13761" t="s">
        <v>31362</v>
      </c>
      <c r="G13761" t="s">
        <v>31369</v>
      </c>
      <c r="H13761" t="s">
        <v>15799</v>
      </c>
      <c r="I13761" t="s">
        <v>31404</v>
      </c>
      <c r="J13761" t="s">
        <v>31542</v>
      </c>
      <c r="K13761" t="s">
        <v>40681</v>
      </c>
      <c r="M13761" t="s">
        <v>40998</v>
      </c>
      <c r="N13761" t="s">
        <v>44905</v>
      </c>
      <c r="O13761" t="s">
        <v>44906</v>
      </c>
      <c r="Q13761">
        <v>0</v>
      </c>
      <c r="R13761" t="s">
        <v>44923</v>
      </c>
      <c r="S13761" t="s">
        <v>45800</v>
      </c>
      <c r="T13761" t="s">
        <v>46447</v>
      </c>
      <c r="U13761" t="s">
        <v>57898</v>
      </c>
      <c r="V13761" t="s">
        <v>60625</v>
      </c>
      <c r="W13761" t="s">
        <v>40998</v>
      </c>
      <c r="X13761" t="s">
        <v>44924</v>
      </c>
    </row>
    <row r="13762" spans="1:24">
      <c r="A13762">
        <f>HYPERLINK("https://www.philgeps.gov.ph/GEPSNONPILOT/Tender/SplashBidNoticeAbstractUI.aspx?menuIndex=3&amp;refID=7049214&amp;Result=3","7049214")</f>
        <v>0</v>
      </c>
      <c r="B13762" t="s">
        <v>832</v>
      </c>
      <c r="C13762" t="s">
        <v>16693</v>
      </c>
      <c r="E13762" t="s">
        <v>30092</v>
      </c>
      <c r="F13762" t="s">
        <v>31362</v>
      </c>
      <c r="G13762" t="s">
        <v>31369</v>
      </c>
      <c r="H13762" t="s">
        <v>15799</v>
      </c>
      <c r="I13762" t="s">
        <v>31382</v>
      </c>
      <c r="J13762" t="s">
        <v>31606</v>
      </c>
      <c r="K13762" t="s">
        <v>40662</v>
      </c>
      <c r="M13762" t="s">
        <v>41806</v>
      </c>
      <c r="N13762" t="s">
        <v>44905</v>
      </c>
      <c r="O13762" t="s">
        <v>44906</v>
      </c>
      <c r="Q13762">
        <v>14</v>
      </c>
      <c r="R13762" t="s">
        <v>44923</v>
      </c>
      <c r="S13762" t="s">
        <v>45801</v>
      </c>
      <c r="T13762" t="s">
        <v>46530</v>
      </c>
      <c r="U13762" t="s">
        <v>57895</v>
      </c>
      <c r="W13762" t="s">
        <v>41806</v>
      </c>
      <c r="X13762" t="s">
        <v>44924</v>
      </c>
    </row>
    <row r="13763" spans="1:24">
      <c r="A13763">
        <f>HYPERLINK("https://www.philgeps.gov.ph/GEPSNONPILOT/Tender/SplashBidNoticeAbstractUI.aspx?menuIndex=3&amp;refID=7049433&amp;Result=3","7049433")</f>
        <v>0</v>
      </c>
      <c r="B13763" t="s">
        <v>2167</v>
      </c>
      <c r="C13763" t="s">
        <v>16694</v>
      </c>
      <c r="D13763" t="s">
        <v>18134</v>
      </c>
      <c r="E13763" t="s">
        <v>30093</v>
      </c>
      <c r="F13763" t="s">
        <v>31362</v>
      </c>
      <c r="G13763" t="s">
        <v>31369</v>
      </c>
      <c r="H13763" t="s">
        <v>15799</v>
      </c>
      <c r="I13763" t="s">
        <v>31422</v>
      </c>
      <c r="J13763" t="s">
        <v>39827</v>
      </c>
      <c r="K13763" t="s">
        <v>40666</v>
      </c>
      <c r="M13763" t="s">
        <v>43297</v>
      </c>
      <c r="N13763" t="s">
        <v>44905</v>
      </c>
      <c r="O13763" t="s">
        <v>44906</v>
      </c>
      <c r="P13763">
        <v>0</v>
      </c>
      <c r="Q13763">
        <v>7</v>
      </c>
      <c r="R13763" t="s">
        <v>44923</v>
      </c>
      <c r="S13763" t="s">
        <v>45744</v>
      </c>
      <c r="T13763" t="s">
        <v>46416</v>
      </c>
      <c r="U13763" t="s">
        <v>57899</v>
      </c>
      <c r="V13763" t="s">
        <v>60626</v>
      </c>
      <c r="W13763" t="s">
        <v>43297</v>
      </c>
      <c r="X13763" t="s">
        <v>44924</v>
      </c>
    </row>
    <row r="13764" spans="1:24">
      <c r="A13764">
        <f>HYPERLINK("https://www.philgeps.gov.ph/GEPSNONPILOT/Tender/SplashBidNoticeAbstractUI.aspx?menuIndex=3&amp;refID=7049030&amp;Result=3","7049030")</f>
        <v>0</v>
      </c>
      <c r="B13764" t="s">
        <v>918</v>
      </c>
      <c r="C13764" t="s">
        <v>16695</v>
      </c>
      <c r="D13764" t="s">
        <v>18127</v>
      </c>
      <c r="E13764" t="s">
        <v>30094</v>
      </c>
      <c r="F13764" t="s">
        <v>31362</v>
      </c>
      <c r="G13764" t="s">
        <v>31369</v>
      </c>
      <c r="H13764" t="s">
        <v>15799</v>
      </c>
      <c r="I13764" t="s">
        <v>31393</v>
      </c>
      <c r="J13764" t="s">
        <v>39828</v>
      </c>
      <c r="K13764" t="s">
        <v>40665</v>
      </c>
      <c r="M13764" t="s">
        <v>41902</v>
      </c>
      <c r="N13764" t="s">
        <v>44905</v>
      </c>
      <c r="O13764" t="s">
        <v>44906</v>
      </c>
      <c r="P13764">
        <v>0</v>
      </c>
      <c r="Q13764">
        <v>5</v>
      </c>
      <c r="R13764" t="s">
        <v>44923</v>
      </c>
      <c r="S13764" t="s">
        <v>45744</v>
      </c>
      <c r="T13764" t="s">
        <v>46447</v>
      </c>
      <c r="U13764" t="s">
        <v>57900</v>
      </c>
      <c r="W13764" t="s">
        <v>41902</v>
      </c>
      <c r="X13764" t="s">
        <v>44924</v>
      </c>
    </row>
    <row r="13765" spans="1:24">
      <c r="A13765">
        <f>HYPERLINK("https://www.philgeps.gov.ph/GEPSNONPILOT/Tender/SplashBidNoticeAbstractUI.aspx?menuIndex=3&amp;refID=7049425&amp;Result=3","7049425")</f>
        <v>0</v>
      </c>
      <c r="B13765" t="s">
        <v>3290</v>
      </c>
      <c r="C13765" t="s">
        <v>16696</v>
      </c>
      <c r="D13765" t="s">
        <v>18110</v>
      </c>
      <c r="E13765" t="s">
        <v>30095</v>
      </c>
      <c r="F13765" t="s">
        <v>31362</v>
      </c>
      <c r="G13765" t="s">
        <v>31369</v>
      </c>
      <c r="H13765" t="s">
        <v>31378</v>
      </c>
      <c r="I13765" t="s">
        <v>31386</v>
      </c>
      <c r="J13765" t="s">
        <v>39829</v>
      </c>
      <c r="K13765" t="s">
        <v>40684</v>
      </c>
      <c r="M13765" t="s">
        <v>44577</v>
      </c>
      <c r="N13765" t="s">
        <v>44905</v>
      </c>
      <c r="O13765" t="s">
        <v>44906</v>
      </c>
      <c r="Q13765">
        <v>8</v>
      </c>
      <c r="R13765" t="s">
        <v>44923</v>
      </c>
      <c r="S13765" t="s">
        <v>45802</v>
      </c>
      <c r="T13765" t="s">
        <v>46414</v>
      </c>
      <c r="U13765" t="s">
        <v>57901</v>
      </c>
      <c r="V13765" t="s">
        <v>60466</v>
      </c>
      <c r="W13765" t="s">
        <v>44577</v>
      </c>
      <c r="X13765" t="s">
        <v>44924</v>
      </c>
    </row>
    <row r="13766" spans="1:24">
      <c r="A13766">
        <f>HYPERLINK("https://www.philgeps.gov.ph/GEPSNONPILOT/Tender/SplashBidNoticeAbstractUI.aspx?menuIndex=3&amp;refID=7049229&amp;Result=3","7049229")</f>
        <v>0</v>
      </c>
      <c r="B13766" t="s">
        <v>3407</v>
      </c>
      <c r="C13766" t="s">
        <v>16697</v>
      </c>
      <c r="D13766" t="s">
        <v>18177</v>
      </c>
      <c r="E13766" t="s">
        <v>30096</v>
      </c>
      <c r="F13766" t="s">
        <v>31362</v>
      </c>
      <c r="G13766" t="s">
        <v>31369</v>
      </c>
      <c r="H13766" t="s">
        <v>31378</v>
      </c>
      <c r="I13766" t="s">
        <v>31386</v>
      </c>
      <c r="J13766" t="s">
        <v>31709</v>
      </c>
      <c r="K13766" t="s">
        <v>40679</v>
      </c>
      <c r="M13766" t="s">
        <v>44721</v>
      </c>
      <c r="N13766" t="s">
        <v>44905</v>
      </c>
      <c r="O13766" t="s">
        <v>44906</v>
      </c>
      <c r="P13766">
        <v>0</v>
      </c>
      <c r="Q13766">
        <v>0</v>
      </c>
      <c r="R13766" t="s">
        <v>44923</v>
      </c>
      <c r="S13766" t="s">
        <v>45744</v>
      </c>
      <c r="T13766" t="s">
        <v>46435</v>
      </c>
      <c r="U13766" t="s">
        <v>57902</v>
      </c>
      <c r="W13766" t="s">
        <v>44721</v>
      </c>
      <c r="X13766" t="s">
        <v>44924</v>
      </c>
    </row>
    <row r="13767" spans="1:24">
      <c r="A13767">
        <f>HYPERLINK("https://www.philgeps.gov.ph/GEPSNONPILOT/Tender/SplashBidNoticeAbstractUI.aspx?menuIndex=3&amp;refID=7049418&amp;Result=3","7049418")</f>
        <v>0</v>
      </c>
      <c r="B13767" t="s">
        <v>2300</v>
      </c>
      <c r="C13767" t="s">
        <v>16698</v>
      </c>
      <c r="D13767" t="s">
        <v>18148</v>
      </c>
      <c r="E13767" t="s">
        <v>30097</v>
      </c>
      <c r="F13767" t="s">
        <v>31362</v>
      </c>
      <c r="G13767" t="s">
        <v>31369</v>
      </c>
      <c r="H13767" t="s">
        <v>15799</v>
      </c>
      <c r="I13767" t="s">
        <v>31426</v>
      </c>
      <c r="J13767" t="s">
        <v>33707</v>
      </c>
      <c r="K13767" t="s">
        <v>40679</v>
      </c>
      <c r="M13767" t="s">
        <v>43440</v>
      </c>
      <c r="N13767" t="s">
        <v>44905</v>
      </c>
      <c r="O13767" t="s">
        <v>44906</v>
      </c>
      <c r="P13767">
        <v>0</v>
      </c>
      <c r="Q13767">
        <v>5</v>
      </c>
      <c r="R13767" t="s">
        <v>44923</v>
      </c>
      <c r="S13767" t="s">
        <v>45744</v>
      </c>
      <c r="T13767" t="s">
        <v>46532</v>
      </c>
      <c r="U13767" t="s">
        <v>57903</v>
      </c>
      <c r="W13767" t="s">
        <v>43440</v>
      </c>
      <c r="X13767" t="s">
        <v>44924</v>
      </c>
    </row>
    <row r="13768" spans="1:24">
      <c r="A13768">
        <f>HYPERLINK("https://www.philgeps.gov.ph/GEPSNONPILOT/Tender/SplashBidNoticeAbstractUI.aspx?menuIndex=3&amp;refID=7049411&amp;Result=3","7049411")</f>
        <v>0</v>
      </c>
      <c r="B13768" t="s">
        <v>2915</v>
      </c>
      <c r="C13768" t="s">
        <v>16699</v>
      </c>
      <c r="D13768" t="s">
        <v>18142</v>
      </c>
      <c r="E13768" t="s">
        <v>30098</v>
      </c>
      <c r="F13768" t="s">
        <v>31362</v>
      </c>
      <c r="G13768" t="s">
        <v>31369</v>
      </c>
      <c r="H13768" t="s">
        <v>31378</v>
      </c>
      <c r="I13768" t="s">
        <v>31386</v>
      </c>
      <c r="J13768" t="s">
        <v>39830</v>
      </c>
      <c r="K13768" t="s">
        <v>40677</v>
      </c>
      <c r="L13768" t="s">
        <v>2915</v>
      </c>
      <c r="M13768" t="s">
        <v>44131</v>
      </c>
      <c r="N13768" t="s">
        <v>44905</v>
      </c>
      <c r="O13768" t="s">
        <v>44906</v>
      </c>
      <c r="P13768">
        <v>0</v>
      </c>
      <c r="Q13768">
        <v>0</v>
      </c>
      <c r="R13768" t="s">
        <v>44923</v>
      </c>
      <c r="S13768" t="s">
        <v>45744</v>
      </c>
      <c r="T13768" t="s">
        <v>46409</v>
      </c>
      <c r="U13768" t="s">
        <v>57904</v>
      </c>
      <c r="V13768" t="s">
        <v>60627</v>
      </c>
      <c r="W13768" t="s">
        <v>44131</v>
      </c>
      <c r="X13768" t="s">
        <v>44924</v>
      </c>
    </row>
    <row r="13769" spans="1:24">
      <c r="A13769">
        <f>HYPERLINK("https://www.philgeps.gov.ph/GEPSNONPILOT/Tender/SplashBidNoticeAbstractUI.aspx?menuIndex=3&amp;refID=7049405&amp;Result=3","7049405")</f>
        <v>0</v>
      </c>
      <c r="B13769" t="s">
        <v>3290</v>
      </c>
      <c r="C13769" t="s">
        <v>16700</v>
      </c>
      <c r="D13769" t="s">
        <v>18110</v>
      </c>
      <c r="E13769" t="s">
        <v>30099</v>
      </c>
      <c r="F13769" t="s">
        <v>31362</v>
      </c>
      <c r="G13769" t="s">
        <v>31369</v>
      </c>
      <c r="H13769" t="s">
        <v>31378</v>
      </c>
      <c r="I13769" t="s">
        <v>31386</v>
      </c>
      <c r="J13769" t="s">
        <v>39831</v>
      </c>
      <c r="K13769" t="s">
        <v>40833</v>
      </c>
      <c r="M13769" t="s">
        <v>44577</v>
      </c>
      <c r="N13769" t="s">
        <v>44905</v>
      </c>
      <c r="O13769" t="s">
        <v>44906</v>
      </c>
      <c r="Q13769">
        <v>14</v>
      </c>
      <c r="R13769" t="s">
        <v>44923</v>
      </c>
      <c r="S13769" t="s">
        <v>45803</v>
      </c>
      <c r="T13769" t="s">
        <v>46409</v>
      </c>
      <c r="U13769" t="s">
        <v>57901</v>
      </c>
      <c r="V13769" t="s">
        <v>60466</v>
      </c>
      <c r="W13769" t="s">
        <v>44577</v>
      </c>
      <c r="X13769" t="s">
        <v>44924</v>
      </c>
    </row>
    <row r="13770" spans="1:24">
      <c r="A13770">
        <f>HYPERLINK("https://www.philgeps.gov.ph/GEPSNONPILOT/Tender/SplashBidNoticeAbstractUI.aspx?menuIndex=3&amp;refID=7049319&amp;Result=3","7049319")</f>
        <v>0</v>
      </c>
      <c r="B13770" t="s">
        <v>2300</v>
      </c>
      <c r="C13770" t="s">
        <v>16701</v>
      </c>
      <c r="D13770" t="s">
        <v>18148</v>
      </c>
      <c r="E13770" t="s">
        <v>30100</v>
      </c>
      <c r="F13770" t="s">
        <v>31362</v>
      </c>
      <c r="G13770" t="s">
        <v>31369</v>
      </c>
      <c r="H13770" t="s">
        <v>15799</v>
      </c>
      <c r="I13770" t="s">
        <v>31426</v>
      </c>
      <c r="J13770" t="s">
        <v>39832</v>
      </c>
      <c r="K13770" t="s">
        <v>40679</v>
      </c>
      <c r="M13770" t="s">
        <v>43515</v>
      </c>
      <c r="N13770" t="s">
        <v>44905</v>
      </c>
      <c r="O13770" t="s">
        <v>44906</v>
      </c>
      <c r="P13770">
        <v>0</v>
      </c>
      <c r="Q13770">
        <v>5</v>
      </c>
      <c r="R13770" t="s">
        <v>44923</v>
      </c>
      <c r="S13770" t="s">
        <v>45744</v>
      </c>
      <c r="T13770" t="s">
        <v>46532</v>
      </c>
      <c r="U13770" t="s">
        <v>57867</v>
      </c>
      <c r="W13770" t="s">
        <v>43515</v>
      </c>
      <c r="X13770" t="s">
        <v>44924</v>
      </c>
    </row>
    <row r="13771" spans="1:24">
      <c r="A13771">
        <f>HYPERLINK("https://www.philgeps.gov.ph/GEPSNONPILOT/Tender/SplashBidNoticeAbstractUI.aspx?menuIndex=3&amp;refID=7049253&amp;Result=3","7049253")</f>
        <v>0</v>
      </c>
      <c r="B13771" t="s">
        <v>3403</v>
      </c>
      <c r="C13771" t="s">
        <v>16702</v>
      </c>
      <c r="D13771" t="s">
        <v>18112</v>
      </c>
      <c r="E13771" t="s">
        <v>30101</v>
      </c>
      <c r="F13771" t="s">
        <v>31362</v>
      </c>
      <c r="G13771" t="s">
        <v>31369</v>
      </c>
      <c r="H13771" t="s">
        <v>31378</v>
      </c>
      <c r="I13771" t="s">
        <v>31386</v>
      </c>
      <c r="J13771" t="s">
        <v>36377</v>
      </c>
      <c r="K13771" t="s">
        <v>40841</v>
      </c>
      <c r="M13771" t="s">
        <v>44716</v>
      </c>
      <c r="N13771" t="s">
        <v>44905</v>
      </c>
      <c r="O13771" t="s">
        <v>44906</v>
      </c>
      <c r="Q13771">
        <v>1</v>
      </c>
      <c r="R13771" t="s">
        <v>44923</v>
      </c>
      <c r="S13771" t="s">
        <v>45804</v>
      </c>
      <c r="T13771" t="s">
        <v>46447</v>
      </c>
      <c r="U13771" t="s">
        <v>57879</v>
      </c>
      <c r="W13771" t="s">
        <v>44716</v>
      </c>
      <c r="X13771" t="s">
        <v>44924</v>
      </c>
    </row>
    <row r="13772" spans="1:24">
      <c r="A13772">
        <f>HYPERLINK("https://www.philgeps.gov.ph/GEPSNONPILOT/Tender/SplashBidNoticeAbstractUI.aspx?menuIndex=3&amp;refID=7049371&amp;Result=3","7049371")</f>
        <v>0</v>
      </c>
      <c r="B13772" t="s">
        <v>2300</v>
      </c>
      <c r="C13772" t="s">
        <v>16703</v>
      </c>
      <c r="D13772" t="s">
        <v>18148</v>
      </c>
      <c r="E13772" t="s">
        <v>30102</v>
      </c>
      <c r="F13772" t="s">
        <v>31362</v>
      </c>
      <c r="G13772" t="s">
        <v>31369</v>
      </c>
      <c r="H13772" t="s">
        <v>15799</v>
      </c>
      <c r="I13772" t="s">
        <v>31426</v>
      </c>
      <c r="J13772" t="s">
        <v>39833</v>
      </c>
      <c r="K13772" t="s">
        <v>40679</v>
      </c>
      <c r="M13772" t="s">
        <v>43515</v>
      </c>
      <c r="N13772" t="s">
        <v>44905</v>
      </c>
      <c r="O13772" t="s">
        <v>44906</v>
      </c>
      <c r="P13772">
        <v>0</v>
      </c>
      <c r="Q13772">
        <v>6</v>
      </c>
      <c r="R13772" t="s">
        <v>44923</v>
      </c>
      <c r="S13772" t="s">
        <v>45744</v>
      </c>
      <c r="T13772" t="s">
        <v>46532</v>
      </c>
      <c r="U13772" t="s">
        <v>57867</v>
      </c>
      <c r="W13772" t="s">
        <v>43515</v>
      </c>
      <c r="X13772" t="s">
        <v>44924</v>
      </c>
    </row>
    <row r="13773" spans="1:24">
      <c r="A13773">
        <f>HYPERLINK("https://www.philgeps.gov.ph/GEPSNONPILOT/Tender/SplashBidNoticeAbstractUI.aspx?menuIndex=3&amp;refID=7049283&amp;Result=3","7049283")</f>
        <v>0</v>
      </c>
      <c r="B13773" t="s">
        <v>3403</v>
      </c>
      <c r="C13773" t="s">
        <v>16704</v>
      </c>
      <c r="D13773" t="s">
        <v>18112</v>
      </c>
      <c r="E13773" t="s">
        <v>30103</v>
      </c>
      <c r="F13773" t="s">
        <v>31362</v>
      </c>
      <c r="G13773" t="s">
        <v>31369</v>
      </c>
      <c r="H13773" t="s">
        <v>31378</v>
      </c>
      <c r="I13773" t="s">
        <v>31386</v>
      </c>
      <c r="J13773" t="s">
        <v>36377</v>
      </c>
      <c r="K13773" t="s">
        <v>40841</v>
      </c>
      <c r="M13773" t="s">
        <v>44716</v>
      </c>
      <c r="N13773" t="s">
        <v>44905</v>
      </c>
      <c r="O13773" t="s">
        <v>44906</v>
      </c>
      <c r="Q13773">
        <v>2</v>
      </c>
      <c r="R13773" t="s">
        <v>44923</v>
      </c>
      <c r="S13773" t="s">
        <v>45805</v>
      </c>
      <c r="T13773" t="s">
        <v>46447</v>
      </c>
      <c r="U13773" t="s">
        <v>57879</v>
      </c>
      <c r="W13773" t="s">
        <v>44716</v>
      </c>
      <c r="X13773" t="s">
        <v>44924</v>
      </c>
    </row>
    <row r="13774" spans="1:24">
      <c r="A13774">
        <f>HYPERLINK("https://www.philgeps.gov.ph/GEPSNONPILOT/Tender/SplashBidNoticeAbstractUI.aspx?menuIndex=3&amp;refID=7049415&amp;Result=3","7049415")</f>
        <v>0</v>
      </c>
      <c r="B13774" t="s">
        <v>3290</v>
      </c>
      <c r="C13774" t="s">
        <v>16705</v>
      </c>
      <c r="D13774" t="s">
        <v>18110</v>
      </c>
      <c r="E13774" t="s">
        <v>30104</v>
      </c>
      <c r="F13774" t="s">
        <v>31362</v>
      </c>
      <c r="G13774" t="s">
        <v>31369</v>
      </c>
      <c r="H13774" t="s">
        <v>31378</v>
      </c>
      <c r="I13774" t="s">
        <v>31386</v>
      </c>
      <c r="J13774" t="s">
        <v>39834</v>
      </c>
      <c r="K13774" t="s">
        <v>40663</v>
      </c>
      <c r="M13774" t="s">
        <v>44577</v>
      </c>
      <c r="N13774" t="s">
        <v>44905</v>
      </c>
      <c r="O13774" t="s">
        <v>44906</v>
      </c>
      <c r="Q13774">
        <v>18</v>
      </c>
      <c r="R13774" t="s">
        <v>44923</v>
      </c>
      <c r="S13774" t="s">
        <v>45806</v>
      </c>
      <c r="T13774" t="s">
        <v>46409</v>
      </c>
      <c r="U13774" t="s">
        <v>57901</v>
      </c>
      <c r="V13774" t="s">
        <v>60466</v>
      </c>
      <c r="W13774" t="s">
        <v>44577</v>
      </c>
      <c r="X13774" t="s">
        <v>44924</v>
      </c>
    </row>
    <row r="13775" spans="1:24">
      <c r="A13775">
        <f>HYPERLINK("https://www.philgeps.gov.ph/GEPSNONPILOT/Tender/SplashBidNoticeAbstractUI.aspx?menuIndex=3&amp;refID=7049349&amp;Result=3","7049349")</f>
        <v>0</v>
      </c>
      <c r="B13775" t="s">
        <v>3290</v>
      </c>
      <c r="C13775" t="s">
        <v>16706</v>
      </c>
      <c r="D13775" t="s">
        <v>18110</v>
      </c>
      <c r="E13775" t="s">
        <v>30105</v>
      </c>
      <c r="F13775" t="s">
        <v>31362</v>
      </c>
      <c r="G13775" t="s">
        <v>31369</v>
      </c>
      <c r="H13775" t="s">
        <v>31378</v>
      </c>
      <c r="I13775" t="s">
        <v>31386</v>
      </c>
      <c r="J13775" t="s">
        <v>33743</v>
      </c>
      <c r="K13775" t="s">
        <v>40694</v>
      </c>
      <c r="M13775" t="s">
        <v>44577</v>
      </c>
      <c r="N13775" t="s">
        <v>44905</v>
      </c>
      <c r="O13775" t="s">
        <v>44906</v>
      </c>
      <c r="Q13775">
        <v>11</v>
      </c>
      <c r="R13775" t="s">
        <v>44923</v>
      </c>
      <c r="S13775" t="s">
        <v>45397</v>
      </c>
      <c r="T13775" t="s">
        <v>46414</v>
      </c>
      <c r="U13775" t="s">
        <v>57901</v>
      </c>
      <c r="V13775" t="s">
        <v>60466</v>
      </c>
      <c r="W13775" t="s">
        <v>44577</v>
      </c>
      <c r="X13775" t="s">
        <v>44924</v>
      </c>
    </row>
    <row r="13776" spans="1:24">
      <c r="A13776">
        <f>HYPERLINK("https://www.philgeps.gov.ph/GEPSNONPILOT/Tender/SplashBidNoticeAbstractUI.aspx?menuIndex=3&amp;refID=7049391&amp;Result=3","7049391")</f>
        <v>0</v>
      </c>
      <c r="B13776" t="s">
        <v>3290</v>
      </c>
      <c r="C13776" t="s">
        <v>16707</v>
      </c>
      <c r="D13776" t="s">
        <v>18110</v>
      </c>
      <c r="E13776" t="s">
        <v>30106</v>
      </c>
      <c r="F13776" t="s">
        <v>31362</v>
      </c>
      <c r="G13776" t="s">
        <v>31369</v>
      </c>
      <c r="H13776" t="s">
        <v>31378</v>
      </c>
      <c r="I13776" t="s">
        <v>31386</v>
      </c>
      <c r="J13776" t="s">
        <v>39835</v>
      </c>
      <c r="K13776" t="s">
        <v>40833</v>
      </c>
      <c r="M13776" t="s">
        <v>44577</v>
      </c>
      <c r="N13776" t="s">
        <v>44905</v>
      </c>
      <c r="O13776" t="s">
        <v>44906</v>
      </c>
      <c r="Q13776">
        <v>15</v>
      </c>
      <c r="R13776" t="s">
        <v>44923</v>
      </c>
      <c r="S13776" t="s">
        <v>45803</v>
      </c>
      <c r="T13776" t="s">
        <v>46409</v>
      </c>
      <c r="U13776" t="s">
        <v>57901</v>
      </c>
      <c r="V13776" t="s">
        <v>60466</v>
      </c>
      <c r="W13776" t="s">
        <v>44577</v>
      </c>
      <c r="X13776" t="s">
        <v>44924</v>
      </c>
    </row>
    <row r="13777" spans="1:24">
      <c r="A13777">
        <f>HYPERLINK("https://www.philgeps.gov.ph/GEPSNONPILOT/Tender/SplashBidNoticeAbstractUI.aspx?menuIndex=3&amp;refID=7049340&amp;Result=3","7049340")</f>
        <v>0</v>
      </c>
      <c r="B13777" t="s">
        <v>3290</v>
      </c>
      <c r="C13777" t="s">
        <v>16708</v>
      </c>
      <c r="D13777" t="s">
        <v>18110</v>
      </c>
      <c r="E13777" t="s">
        <v>30107</v>
      </c>
      <c r="F13777" t="s">
        <v>31362</v>
      </c>
      <c r="G13777" t="s">
        <v>31369</v>
      </c>
      <c r="H13777" t="s">
        <v>31378</v>
      </c>
      <c r="I13777" t="s">
        <v>31386</v>
      </c>
      <c r="J13777" t="s">
        <v>32964</v>
      </c>
      <c r="K13777" t="s">
        <v>40694</v>
      </c>
      <c r="M13777" t="s">
        <v>44577</v>
      </c>
      <c r="N13777" t="s">
        <v>44905</v>
      </c>
      <c r="O13777" t="s">
        <v>44906</v>
      </c>
      <c r="Q13777">
        <v>10</v>
      </c>
      <c r="R13777" t="s">
        <v>44923</v>
      </c>
      <c r="S13777" t="s">
        <v>45688</v>
      </c>
      <c r="T13777" t="s">
        <v>46409</v>
      </c>
      <c r="U13777" t="s">
        <v>57901</v>
      </c>
      <c r="V13777" t="s">
        <v>60466</v>
      </c>
      <c r="W13777" t="s">
        <v>44577</v>
      </c>
      <c r="X13777" t="s">
        <v>44924</v>
      </c>
    </row>
    <row r="13778" spans="1:24">
      <c r="A13778">
        <f>HYPERLINK("https://www.philgeps.gov.ph/GEPSNONPILOT/Tender/SplashBidNoticeAbstractUI.aspx?menuIndex=3&amp;refID=7049343&amp;Result=3","7049343")</f>
        <v>0</v>
      </c>
      <c r="B13778" t="s">
        <v>2915</v>
      </c>
      <c r="C13778" t="s">
        <v>16709</v>
      </c>
      <c r="D13778" t="s">
        <v>18142</v>
      </c>
      <c r="E13778" t="s">
        <v>30108</v>
      </c>
      <c r="F13778" t="s">
        <v>31362</v>
      </c>
      <c r="G13778" t="s">
        <v>31369</v>
      </c>
      <c r="H13778" t="s">
        <v>31378</v>
      </c>
      <c r="I13778" t="s">
        <v>31386</v>
      </c>
      <c r="J13778" t="s">
        <v>39836</v>
      </c>
      <c r="K13778" t="s">
        <v>40665</v>
      </c>
      <c r="L13778" t="s">
        <v>2915</v>
      </c>
      <c r="M13778" t="s">
        <v>44131</v>
      </c>
      <c r="N13778" t="s">
        <v>44905</v>
      </c>
      <c r="O13778" t="s">
        <v>44906</v>
      </c>
      <c r="P13778">
        <v>0</v>
      </c>
      <c r="Q13778">
        <v>0</v>
      </c>
      <c r="R13778" t="s">
        <v>44923</v>
      </c>
      <c r="S13778" t="s">
        <v>45744</v>
      </c>
      <c r="T13778" t="s">
        <v>46409</v>
      </c>
      <c r="U13778" t="s">
        <v>57905</v>
      </c>
      <c r="V13778" t="s">
        <v>60628</v>
      </c>
      <c r="W13778" t="s">
        <v>44131</v>
      </c>
      <c r="X13778" t="s">
        <v>44924</v>
      </c>
    </row>
    <row r="13779" spans="1:24">
      <c r="A13779">
        <f>HYPERLINK("https://www.philgeps.gov.ph/GEPSNONPILOT/Tender/SplashBidNoticeAbstractUI.aspx?menuIndex=3&amp;refID=7049382&amp;Result=3","7049382")</f>
        <v>0</v>
      </c>
      <c r="B13779" t="s">
        <v>3290</v>
      </c>
      <c r="C13779" t="s">
        <v>16710</v>
      </c>
      <c r="D13779" t="s">
        <v>18110</v>
      </c>
      <c r="E13779" t="s">
        <v>30109</v>
      </c>
      <c r="F13779" t="s">
        <v>31362</v>
      </c>
      <c r="G13779" t="s">
        <v>31369</v>
      </c>
      <c r="H13779" t="s">
        <v>31378</v>
      </c>
      <c r="I13779" t="s">
        <v>31386</v>
      </c>
      <c r="J13779" t="s">
        <v>38397</v>
      </c>
      <c r="K13779" t="s">
        <v>40678</v>
      </c>
      <c r="M13779" t="s">
        <v>44577</v>
      </c>
      <c r="N13779" t="s">
        <v>44905</v>
      </c>
      <c r="O13779" t="s">
        <v>44906</v>
      </c>
      <c r="Q13779">
        <v>14</v>
      </c>
      <c r="R13779" t="s">
        <v>44923</v>
      </c>
      <c r="S13779" t="s">
        <v>45807</v>
      </c>
      <c r="T13779" t="s">
        <v>46409</v>
      </c>
      <c r="U13779" t="s">
        <v>57901</v>
      </c>
      <c r="V13779" t="s">
        <v>60466</v>
      </c>
      <c r="W13779" t="s">
        <v>44577</v>
      </c>
      <c r="X13779" t="s">
        <v>44924</v>
      </c>
    </row>
    <row r="13780" spans="1:24">
      <c r="A13780">
        <f>HYPERLINK("https://www.philgeps.gov.ph/GEPSNONPILOT/Tender/SplashBidNoticeAbstractUI.aspx?menuIndex=3&amp;refID=7049329&amp;Result=3","7049329")</f>
        <v>0</v>
      </c>
      <c r="B13780" t="s">
        <v>2915</v>
      </c>
      <c r="C13780" t="s">
        <v>16711</v>
      </c>
      <c r="D13780" t="s">
        <v>18142</v>
      </c>
      <c r="E13780" t="s">
        <v>30110</v>
      </c>
      <c r="F13780" t="s">
        <v>31362</v>
      </c>
      <c r="G13780" t="s">
        <v>31369</v>
      </c>
      <c r="H13780" t="s">
        <v>31378</v>
      </c>
      <c r="I13780" t="s">
        <v>31386</v>
      </c>
      <c r="J13780" t="s">
        <v>39837</v>
      </c>
      <c r="K13780" t="s">
        <v>40665</v>
      </c>
      <c r="L13780" t="s">
        <v>2915</v>
      </c>
      <c r="M13780" t="s">
        <v>44131</v>
      </c>
      <c r="N13780" t="s">
        <v>44905</v>
      </c>
      <c r="O13780" t="s">
        <v>44906</v>
      </c>
      <c r="P13780">
        <v>0</v>
      </c>
      <c r="Q13780">
        <v>0</v>
      </c>
      <c r="R13780" t="s">
        <v>44923</v>
      </c>
      <c r="S13780" t="s">
        <v>45744</v>
      </c>
      <c r="T13780" t="s">
        <v>46409</v>
      </c>
      <c r="U13780" t="s">
        <v>57906</v>
      </c>
      <c r="V13780" t="s">
        <v>60629</v>
      </c>
      <c r="W13780" t="s">
        <v>44131</v>
      </c>
      <c r="X13780" t="s">
        <v>44924</v>
      </c>
    </row>
    <row r="13781" spans="1:24">
      <c r="A13781">
        <f>HYPERLINK("https://www.philgeps.gov.ph/GEPSNONPILOT/Tender/SplashBidNoticeAbstractUI.aspx?menuIndex=3&amp;refID=7049320&amp;Result=3","7049320")</f>
        <v>0</v>
      </c>
      <c r="B13781" t="s">
        <v>2908</v>
      </c>
      <c r="C13781" t="s">
        <v>16712</v>
      </c>
      <c r="D13781" t="s">
        <v>18149</v>
      </c>
      <c r="E13781" t="s">
        <v>30111</v>
      </c>
      <c r="F13781" t="s">
        <v>31362</v>
      </c>
      <c r="G13781" t="s">
        <v>31369</v>
      </c>
      <c r="H13781" t="s">
        <v>15799</v>
      </c>
      <c r="I13781" t="s">
        <v>31385</v>
      </c>
      <c r="J13781" t="s">
        <v>39838</v>
      </c>
      <c r="K13781" t="s">
        <v>40666</v>
      </c>
      <c r="M13781" t="s">
        <v>44123</v>
      </c>
      <c r="N13781" t="s">
        <v>44905</v>
      </c>
      <c r="O13781" t="s">
        <v>44906</v>
      </c>
      <c r="P13781">
        <v>0</v>
      </c>
      <c r="Q13781">
        <v>2</v>
      </c>
      <c r="R13781" t="s">
        <v>44923</v>
      </c>
      <c r="S13781" t="s">
        <v>45744</v>
      </c>
      <c r="T13781" t="s">
        <v>46483</v>
      </c>
      <c r="U13781" t="s">
        <v>57907</v>
      </c>
      <c r="W13781" t="s">
        <v>44123</v>
      </c>
      <c r="X13781" t="s">
        <v>44924</v>
      </c>
    </row>
    <row r="13782" spans="1:24">
      <c r="A13782">
        <f>HYPERLINK("https://www.philgeps.gov.ph/GEPSNONPILOT/Tender/SplashBidNoticeAbstractUI.aspx?menuIndex=3&amp;refID=7049206&amp;Result=3","7049206")</f>
        <v>0</v>
      </c>
      <c r="B13782" t="s">
        <v>3389</v>
      </c>
      <c r="C13782" t="s">
        <v>16713</v>
      </c>
      <c r="D13782" t="s">
        <v>18148</v>
      </c>
      <c r="E13782" t="s">
        <v>30112</v>
      </c>
      <c r="F13782" t="s">
        <v>31362</v>
      </c>
      <c r="G13782" t="s">
        <v>31369</v>
      </c>
      <c r="H13782" t="s">
        <v>31378</v>
      </c>
      <c r="I13782" t="s">
        <v>31386</v>
      </c>
      <c r="J13782" t="s">
        <v>31591</v>
      </c>
      <c r="K13782" t="s">
        <v>40681</v>
      </c>
      <c r="L13782" t="s">
        <v>3389</v>
      </c>
      <c r="M13782" t="s">
        <v>44697</v>
      </c>
      <c r="N13782" t="s">
        <v>44905</v>
      </c>
      <c r="O13782" t="s">
        <v>44906</v>
      </c>
      <c r="P13782">
        <v>0</v>
      </c>
      <c r="Q13782">
        <v>1</v>
      </c>
      <c r="R13782" t="s">
        <v>44923</v>
      </c>
      <c r="S13782" t="s">
        <v>45744</v>
      </c>
      <c r="T13782" t="s">
        <v>46549</v>
      </c>
      <c r="U13782" t="s">
        <v>57908</v>
      </c>
      <c r="W13782" t="s">
        <v>44697</v>
      </c>
      <c r="X13782" t="s">
        <v>44924</v>
      </c>
    </row>
    <row r="13783" spans="1:24">
      <c r="A13783">
        <f>HYPERLINK("https://www.philgeps.gov.ph/GEPSNONPILOT/Tender/SplashBidNoticeAbstractUI.aspx?menuIndex=3&amp;refID=7049194&amp;Result=3","7049194")</f>
        <v>0</v>
      </c>
      <c r="B13783" t="s">
        <v>3403</v>
      </c>
      <c r="C13783" t="s">
        <v>16714</v>
      </c>
      <c r="D13783" t="s">
        <v>18112</v>
      </c>
      <c r="E13783" t="s">
        <v>30113</v>
      </c>
      <c r="F13783" t="s">
        <v>31362</v>
      </c>
      <c r="G13783" t="s">
        <v>31369</v>
      </c>
      <c r="H13783" t="s">
        <v>31378</v>
      </c>
      <c r="I13783" t="s">
        <v>31386</v>
      </c>
      <c r="J13783" t="s">
        <v>36627</v>
      </c>
      <c r="K13783" t="s">
        <v>40721</v>
      </c>
      <c r="M13783" t="s">
        <v>44716</v>
      </c>
      <c r="N13783" t="s">
        <v>44905</v>
      </c>
      <c r="O13783" t="s">
        <v>44906</v>
      </c>
      <c r="Q13783">
        <v>2</v>
      </c>
      <c r="R13783" t="s">
        <v>44923</v>
      </c>
      <c r="S13783" t="s">
        <v>45808</v>
      </c>
      <c r="T13783" t="s">
        <v>46447</v>
      </c>
      <c r="U13783" t="s">
        <v>57879</v>
      </c>
      <c r="W13783" t="s">
        <v>44716</v>
      </c>
      <c r="X13783" t="s">
        <v>44924</v>
      </c>
    </row>
    <row r="13784" spans="1:24">
      <c r="A13784">
        <f>HYPERLINK("https://www.philgeps.gov.ph/GEPSNONPILOT/Tender/SplashBidNoticeAbstractUI.aspx?menuIndex=3&amp;refID=7049174&amp;Result=3","7049174")</f>
        <v>0</v>
      </c>
      <c r="B13784" t="s">
        <v>3389</v>
      </c>
      <c r="C13784" t="s">
        <v>16715</v>
      </c>
      <c r="D13784" t="s">
        <v>18148</v>
      </c>
      <c r="E13784" t="s">
        <v>30112</v>
      </c>
      <c r="F13784" t="s">
        <v>31362</v>
      </c>
      <c r="G13784" t="s">
        <v>31369</v>
      </c>
      <c r="H13784" t="s">
        <v>31378</v>
      </c>
      <c r="I13784" t="s">
        <v>31386</v>
      </c>
      <c r="J13784" t="s">
        <v>31607</v>
      </c>
      <c r="K13784" t="s">
        <v>40681</v>
      </c>
      <c r="L13784" t="s">
        <v>3389</v>
      </c>
      <c r="M13784" t="s">
        <v>44697</v>
      </c>
      <c r="N13784" t="s">
        <v>44905</v>
      </c>
      <c r="O13784" t="s">
        <v>44906</v>
      </c>
      <c r="P13784">
        <v>0</v>
      </c>
      <c r="Q13784">
        <v>1</v>
      </c>
      <c r="R13784" t="s">
        <v>44923</v>
      </c>
      <c r="S13784" t="s">
        <v>45744</v>
      </c>
      <c r="T13784" t="s">
        <v>46549</v>
      </c>
      <c r="U13784" t="s">
        <v>57892</v>
      </c>
      <c r="W13784" t="s">
        <v>44697</v>
      </c>
      <c r="X13784" t="s">
        <v>44924</v>
      </c>
    </row>
    <row r="13785" spans="1:24">
      <c r="A13785">
        <f>HYPERLINK("https://www.philgeps.gov.ph/GEPSNONPILOT/Tender/SplashBidNoticeAbstractUI.aspx?menuIndex=3&amp;refID=7049173&amp;Result=3","7049173")</f>
        <v>0</v>
      </c>
      <c r="B13785" t="s">
        <v>1347</v>
      </c>
      <c r="C13785" t="s">
        <v>16716</v>
      </c>
      <c r="D13785" t="s">
        <v>18117</v>
      </c>
      <c r="E13785" t="s">
        <v>30114</v>
      </c>
      <c r="F13785" t="s">
        <v>31362</v>
      </c>
      <c r="G13785" t="s">
        <v>31369</v>
      </c>
      <c r="H13785" t="s">
        <v>15799</v>
      </c>
      <c r="I13785" t="s">
        <v>31380</v>
      </c>
      <c r="J13785" t="s">
        <v>39839</v>
      </c>
      <c r="K13785" t="s">
        <v>40679</v>
      </c>
      <c r="M13785" t="s">
        <v>42367</v>
      </c>
      <c r="N13785" t="s">
        <v>44905</v>
      </c>
      <c r="O13785" t="s">
        <v>44906</v>
      </c>
      <c r="Q13785">
        <v>11</v>
      </c>
      <c r="R13785" t="s">
        <v>44923</v>
      </c>
      <c r="S13785" t="s">
        <v>45809</v>
      </c>
      <c r="T13785" t="s">
        <v>46549</v>
      </c>
      <c r="U13785" t="s">
        <v>57909</v>
      </c>
      <c r="W13785" t="s">
        <v>42367</v>
      </c>
      <c r="X13785" t="s">
        <v>44924</v>
      </c>
    </row>
    <row r="13786" spans="1:24">
      <c r="A13786">
        <f>HYPERLINK("https://www.philgeps.gov.ph/GEPSNONPILOT/Tender/SplashBidNoticeAbstractUI.aspx?menuIndex=3&amp;refID=7049442&amp;Result=3","7049442")</f>
        <v>0</v>
      </c>
      <c r="B13786" t="s">
        <v>3290</v>
      </c>
      <c r="C13786" t="s">
        <v>16717</v>
      </c>
      <c r="D13786" t="s">
        <v>18110</v>
      </c>
      <c r="E13786" t="s">
        <v>30115</v>
      </c>
      <c r="F13786" t="s">
        <v>31362</v>
      </c>
      <c r="G13786" t="s">
        <v>31369</v>
      </c>
      <c r="H13786" t="s">
        <v>31378</v>
      </c>
      <c r="I13786" t="s">
        <v>31386</v>
      </c>
      <c r="J13786" t="s">
        <v>39829</v>
      </c>
      <c r="K13786" t="s">
        <v>40663</v>
      </c>
      <c r="M13786" t="s">
        <v>44577</v>
      </c>
      <c r="N13786" t="s">
        <v>44905</v>
      </c>
      <c r="O13786" t="s">
        <v>44906</v>
      </c>
      <c r="Q13786">
        <v>6</v>
      </c>
      <c r="R13786" t="s">
        <v>44923</v>
      </c>
      <c r="S13786" t="s">
        <v>45810</v>
      </c>
      <c r="T13786" t="s">
        <v>46409</v>
      </c>
      <c r="U13786" t="s">
        <v>57901</v>
      </c>
      <c r="V13786" t="s">
        <v>60466</v>
      </c>
      <c r="W13786" t="s">
        <v>44577</v>
      </c>
      <c r="X13786" t="s">
        <v>44924</v>
      </c>
    </row>
    <row r="13787" spans="1:24">
      <c r="A13787">
        <f>HYPERLINK("https://www.philgeps.gov.ph/GEPSNONPILOT/Tender/SplashBidNoticeAbstractUI.aspx?menuIndex=3&amp;refID=7049332&amp;Result=3","7049332")</f>
        <v>0</v>
      </c>
      <c r="B13787" t="s">
        <v>411</v>
      </c>
      <c r="C13787" t="s">
        <v>16718</v>
      </c>
      <c r="D13787" t="s">
        <v>18148</v>
      </c>
      <c r="E13787" t="s">
        <v>18476</v>
      </c>
      <c r="F13787" t="s">
        <v>31362</v>
      </c>
      <c r="G13787" t="s">
        <v>31369</v>
      </c>
      <c r="H13787" t="s">
        <v>15799</v>
      </c>
      <c r="I13787" t="s">
        <v>31393</v>
      </c>
      <c r="J13787" t="s">
        <v>39840</v>
      </c>
      <c r="K13787" t="s">
        <v>40662</v>
      </c>
      <c r="M13787" t="s">
        <v>41361</v>
      </c>
      <c r="N13787" t="s">
        <v>44905</v>
      </c>
      <c r="O13787" t="s">
        <v>44906</v>
      </c>
      <c r="P13787">
        <v>0</v>
      </c>
      <c r="Q13787">
        <v>4</v>
      </c>
      <c r="R13787" t="s">
        <v>44923</v>
      </c>
      <c r="S13787" t="s">
        <v>45744</v>
      </c>
      <c r="T13787" t="s">
        <v>46409</v>
      </c>
      <c r="U13787" t="s">
        <v>57910</v>
      </c>
      <c r="W13787" t="s">
        <v>41361</v>
      </c>
      <c r="X13787" t="s">
        <v>44924</v>
      </c>
    </row>
    <row r="13788" spans="1:24">
      <c r="A13788">
        <f>HYPERLINK("https://www.philgeps.gov.ph/GEPSNONPILOT/Tender/SplashBidNoticeAbstractUI.aspx?menuIndex=3&amp;refID=7049523&amp;Result=3","7049523")</f>
        <v>0</v>
      </c>
      <c r="B13788" t="s">
        <v>1756</v>
      </c>
      <c r="C13788" t="s">
        <v>16719</v>
      </c>
      <c r="D13788" t="s">
        <v>18134</v>
      </c>
      <c r="E13788" t="s">
        <v>30116</v>
      </c>
      <c r="F13788" t="s">
        <v>31362</v>
      </c>
      <c r="G13788" t="s">
        <v>31369</v>
      </c>
      <c r="H13788" t="s">
        <v>31378</v>
      </c>
      <c r="I13788" t="s">
        <v>31386</v>
      </c>
      <c r="J13788" t="s">
        <v>33868</v>
      </c>
      <c r="K13788" t="s">
        <v>40679</v>
      </c>
      <c r="M13788" t="s">
        <v>42832</v>
      </c>
      <c r="N13788" t="s">
        <v>44905</v>
      </c>
      <c r="O13788" t="s">
        <v>44906</v>
      </c>
      <c r="P13788">
        <v>0</v>
      </c>
      <c r="Q13788">
        <v>4</v>
      </c>
      <c r="R13788" t="s">
        <v>44923</v>
      </c>
      <c r="S13788" t="s">
        <v>45744</v>
      </c>
      <c r="T13788" t="s">
        <v>46393</v>
      </c>
      <c r="U13788" t="s">
        <v>57911</v>
      </c>
      <c r="W13788" t="s">
        <v>42832</v>
      </c>
      <c r="X13788" t="s">
        <v>44924</v>
      </c>
    </row>
    <row r="13789" spans="1:24">
      <c r="A13789">
        <f>HYPERLINK("https://www.philgeps.gov.ph/GEPSNONPILOT/Tender/SplashBidNoticeAbstractUI.aspx?menuIndex=3&amp;refID=7049360&amp;Result=3","7049360")</f>
        <v>0</v>
      </c>
      <c r="B13789" t="s">
        <v>3290</v>
      </c>
      <c r="C13789" t="s">
        <v>16720</v>
      </c>
      <c r="D13789" t="s">
        <v>18110</v>
      </c>
      <c r="E13789" t="s">
        <v>30117</v>
      </c>
      <c r="F13789" t="s">
        <v>31362</v>
      </c>
      <c r="G13789" t="s">
        <v>31369</v>
      </c>
      <c r="H13789" t="s">
        <v>31378</v>
      </c>
      <c r="I13789" t="s">
        <v>31386</v>
      </c>
      <c r="J13789" t="s">
        <v>31847</v>
      </c>
      <c r="K13789" t="s">
        <v>40686</v>
      </c>
      <c r="M13789" t="s">
        <v>44577</v>
      </c>
      <c r="N13789" t="s">
        <v>44905</v>
      </c>
      <c r="O13789" t="s">
        <v>44906</v>
      </c>
      <c r="Q13789">
        <v>12</v>
      </c>
      <c r="R13789" t="s">
        <v>44923</v>
      </c>
      <c r="S13789" t="s">
        <v>45811</v>
      </c>
      <c r="T13789" t="s">
        <v>46409</v>
      </c>
      <c r="U13789" t="s">
        <v>57901</v>
      </c>
      <c r="V13789" t="s">
        <v>60466</v>
      </c>
      <c r="W13789" t="s">
        <v>44577</v>
      </c>
      <c r="X13789" t="s">
        <v>44924</v>
      </c>
    </row>
    <row r="13790" spans="1:24">
      <c r="A13790">
        <f>HYPERLINK("https://www.philgeps.gov.ph/GEPSNONPILOT/Tender/SplashBidNoticeAbstractUI.aspx?menuIndex=3&amp;refID=7049068&amp;Result=3","7049068")</f>
        <v>0</v>
      </c>
      <c r="B13790" t="s">
        <v>3389</v>
      </c>
      <c r="C13790" t="s">
        <v>16721</v>
      </c>
      <c r="D13790" t="s">
        <v>18148</v>
      </c>
      <c r="E13790" t="s">
        <v>30118</v>
      </c>
      <c r="F13790" t="s">
        <v>31362</v>
      </c>
      <c r="G13790" t="s">
        <v>31369</v>
      </c>
      <c r="H13790" t="s">
        <v>31378</v>
      </c>
      <c r="I13790" t="s">
        <v>31386</v>
      </c>
      <c r="J13790" t="s">
        <v>31542</v>
      </c>
      <c r="K13790" t="s">
        <v>40681</v>
      </c>
      <c r="L13790" t="s">
        <v>3389</v>
      </c>
      <c r="M13790" t="s">
        <v>44697</v>
      </c>
      <c r="N13790" t="s">
        <v>44905</v>
      </c>
      <c r="O13790" t="s">
        <v>44906</v>
      </c>
      <c r="P13790">
        <v>0</v>
      </c>
      <c r="Q13790">
        <v>2</v>
      </c>
      <c r="R13790" t="s">
        <v>44923</v>
      </c>
      <c r="S13790" t="s">
        <v>45744</v>
      </c>
      <c r="T13790" t="s">
        <v>46549</v>
      </c>
      <c r="U13790" t="s">
        <v>57870</v>
      </c>
      <c r="W13790" t="s">
        <v>44697</v>
      </c>
      <c r="X13790" t="s">
        <v>44924</v>
      </c>
    </row>
    <row r="13791" spans="1:24">
      <c r="A13791">
        <f>HYPERLINK("https://www.philgeps.gov.ph/GEPSNONPILOT/Tender/SplashBidNoticeAbstractUI.aspx?menuIndex=3&amp;refID=7049383&amp;Result=3","7049383")</f>
        <v>0</v>
      </c>
      <c r="B13791" t="s">
        <v>2915</v>
      </c>
      <c r="C13791" t="s">
        <v>16722</v>
      </c>
      <c r="D13791" t="s">
        <v>18142</v>
      </c>
      <c r="E13791" t="s">
        <v>30119</v>
      </c>
      <c r="F13791" t="s">
        <v>31362</v>
      </c>
      <c r="G13791" t="s">
        <v>31369</v>
      </c>
      <c r="H13791" t="s">
        <v>31378</v>
      </c>
      <c r="I13791" t="s">
        <v>31386</v>
      </c>
      <c r="J13791" t="s">
        <v>39841</v>
      </c>
      <c r="K13791" t="s">
        <v>40665</v>
      </c>
      <c r="L13791" t="s">
        <v>2915</v>
      </c>
      <c r="M13791" t="s">
        <v>44131</v>
      </c>
      <c r="N13791" t="s">
        <v>44905</v>
      </c>
      <c r="O13791" t="s">
        <v>44906</v>
      </c>
      <c r="P13791">
        <v>0</v>
      </c>
      <c r="Q13791">
        <v>0</v>
      </c>
      <c r="R13791" t="s">
        <v>44923</v>
      </c>
      <c r="S13791" t="s">
        <v>45744</v>
      </c>
      <c r="T13791" t="s">
        <v>46409</v>
      </c>
      <c r="U13791" t="s">
        <v>57912</v>
      </c>
      <c r="V13791" t="s">
        <v>60630</v>
      </c>
      <c r="W13791" t="s">
        <v>44131</v>
      </c>
      <c r="X13791" t="s">
        <v>44924</v>
      </c>
    </row>
    <row r="13792" spans="1:24">
      <c r="A13792">
        <f>HYPERLINK("https://www.philgeps.gov.ph/GEPSNONPILOT/Tender/SplashBidNoticeAbstractUI.aspx?menuIndex=3&amp;refID=7049514&amp;Result=3","7049514")</f>
        <v>0</v>
      </c>
      <c r="B13792" t="s">
        <v>2300</v>
      </c>
      <c r="C13792" t="s">
        <v>16723</v>
      </c>
      <c r="D13792" t="s">
        <v>18148</v>
      </c>
      <c r="E13792" t="s">
        <v>30120</v>
      </c>
      <c r="F13792" t="s">
        <v>31362</v>
      </c>
      <c r="G13792" t="s">
        <v>31369</v>
      </c>
      <c r="H13792" t="s">
        <v>15799</v>
      </c>
      <c r="I13792" t="s">
        <v>31426</v>
      </c>
      <c r="J13792" t="s">
        <v>39842</v>
      </c>
      <c r="K13792" t="s">
        <v>40679</v>
      </c>
      <c r="M13792" t="s">
        <v>43440</v>
      </c>
      <c r="N13792" t="s">
        <v>44905</v>
      </c>
      <c r="O13792" t="s">
        <v>44906</v>
      </c>
      <c r="P13792">
        <v>0</v>
      </c>
      <c r="Q13792">
        <v>7</v>
      </c>
      <c r="R13792" t="s">
        <v>44923</v>
      </c>
      <c r="S13792" t="s">
        <v>45744</v>
      </c>
      <c r="T13792" t="s">
        <v>46532</v>
      </c>
      <c r="U13792" t="s">
        <v>57913</v>
      </c>
      <c r="W13792" t="s">
        <v>43440</v>
      </c>
      <c r="X13792" t="s">
        <v>44924</v>
      </c>
    </row>
    <row r="13793" spans="1:24">
      <c r="A13793">
        <f>HYPERLINK("https://www.philgeps.gov.ph/GEPSNONPILOT/Tender/SplashBidNoticeAbstractUI.aspx?menuIndex=3&amp;refID=7049501&amp;Result=3","7049501")</f>
        <v>0</v>
      </c>
      <c r="B13793" t="s">
        <v>2300</v>
      </c>
      <c r="C13793" t="s">
        <v>16724</v>
      </c>
      <c r="D13793" t="s">
        <v>18148</v>
      </c>
      <c r="E13793" t="s">
        <v>30121</v>
      </c>
      <c r="F13793" t="s">
        <v>31362</v>
      </c>
      <c r="G13793" t="s">
        <v>31369</v>
      </c>
      <c r="H13793" t="s">
        <v>15799</v>
      </c>
      <c r="I13793" t="s">
        <v>31426</v>
      </c>
      <c r="J13793" t="s">
        <v>39843</v>
      </c>
      <c r="K13793" t="s">
        <v>40679</v>
      </c>
      <c r="M13793" t="s">
        <v>43440</v>
      </c>
      <c r="N13793" t="s">
        <v>44905</v>
      </c>
      <c r="O13793" t="s">
        <v>44906</v>
      </c>
      <c r="P13793">
        <v>0</v>
      </c>
      <c r="Q13793">
        <v>4</v>
      </c>
      <c r="R13793" t="s">
        <v>44923</v>
      </c>
      <c r="S13793" t="s">
        <v>45744</v>
      </c>
      <c r="T13793" t="s">
        <v>46532</v>
      </c>
      <c r="U13793" t="s">
        <v>57914</v>
      </c>
      <c r="W13793" t="s">
        <v>43440</v>
      </c>
      <c r="X13793" t="s">
        <v>44924</v>
      </c>
    </row>
    <row r="13794" spans="1:24">
      <c r="A13794">
        <f>HYPERLINK("https://www.philgeps.gov.ph/GEPSNONPILOT/Tender/SplashBidNoticeAbstractUI.aspx?menuIndex=3&amp;refID=7049327&amp;Result=3","7049327")</f>
        <v>0</v>
      </c>
      <c r="B13794" t="s">
        <v>547</v>
      </c>
      <c r="C13794" t="s">
        <v>16725</v>
      </c>
      <c r="D13794" t="s">
        <v>18108</v>
      </c>
      <c r="E13794" t="s">
        <v>30122</v>
      </c>
      <c r="F13794" t="s">
        <v>31362</v>
      </c>
      <c r="G13794" t="s">
        <v>31369</v>
      </c>
      <c r="H13794" t="s">
        <v>15799</v>
      </c>
      <c r="I13794" t="s">
        <v>31422</v>
      </c>
      <c r="J13794" t="s">
        <v>31591</v>
      </c>
      <c r="K13794" t="s">
        <v>40662</v>
      </c>
      <c r="M13794" t="s">
        <v>44723</v>
      </c>
      <c r="N13794" t="s">
        <v>44905</v>
      </c>
      <c r="O13794" t="s">
        <v>44906</v>
      </c>
      <c r="Q13794">
        <v>16</v>
      </c>
      <c r="R13794" t="s">
        <v>44923</v>
      </c>
      <c r="S13794" t="s">
        <v>45812</v>
      </c>
      <c r="T13794" t="s">
        <v>46470</v>
      </c>
      <c r="U13794" t="s">
        <v>57915</v>
      </c>
      <c r="W13794" t="s">
        <v>44723</v>
      </c>
      <c r="X13794" t="s">
        <v>44924</v>
      </c>
    </row>
    <row r="13795" spans="1:24">
      <c r="A13795">
        <f>HYPERLINK("https://www.philgeps.gov.ph/GEPSNONPILOT/Tender/SplashBidNoticeAbstractUI.aspx?menuIndex=3&amp;refID=7049480&amp;Result=3","7049480")</f>
        <v>0</v>
      </c>
      <c r="B13795" t="s">
        <v>3290</v>
      </c>
      <c r="C13795" t="s">
        <v>16726</v>
      </c>
      <c r="D13795" t="s">
        <v>18110</v>
      </c>
      <c r="E13795" t="s">
        <v>30123</v>
      </c>
      <c r="F13795" t="s">
        <v>31362</v>
      </c>
      <c r="G13795" t="s">
        <v>31369</v>
      </c>
      <c r="H13795" t="s">
        <v>31378</v>
      </c>
      <c r="I13795" t="s">
        <v>31386</v>
      </c>
      <c r="J13795" t="s">
        <v>39844</v>
      </c>
      <c r="K13795" t="s">
        <v>40684</v>
      </c>
      <c r="M13795" t="s">
        <v>44577</v>
      </c>
      <c r="N13795" t="s">
        <v>44905</v>
      </c>
      <c r="O13795" t="s">
        <v>44906</v>
      </c>
      <c r="Q13795">
        <v>9</v>
      </c>
      <c r="R13795" t="s">
        <v>44923</v>
      </c>
      <c r="S13795" t="s">
        <v>45813</v>
      </c>
      <c r="T13795" t="s">
        <v>46409</v>
      </c>
      <c r="U13795" t="s">
        <v>57901</v>
      </c>
      <c r="V13795" t="s">
        <v>60466</v>
      </c>
      <c r="W13795" t="s">
        <v>44577</v>
      </c>
      <c r="X13795" t="s">
        <v>44924</v>
      </c>
    </row>
    <row r="13796" spans="1:24">
      <c r="A13796">
        <f>HYPERLINK("https://www.philgeps.gov.ph/GEPSNONPILOT/Tender/SplashBidNoticeAbstractUI.aspx?menuIndex=3&amp;refID=7049198&amp;Result=3","7049198")</f>
        <v>0</v>
      </c>
      <c r="B13796" t="s">
        <v>3409</v>
      </c>
      <c r="C13796" t="s">
        <v>16727</v>
      </c>
      <c r="E13796" t="s">
        <v>30124</v>
      </c>
      <c r="F13796" t="s">
        <v>31362</v>
      </c>
      <c r="G13796" t="s">
        <v>31369</v>
      </c>
      <c r="H13796" t="s">
        <v>15799</v>
      </c>
      <c r="I13796" t="s">
        <v>31460</v>
      </c>
      <c r="J13796" t="s">
        <v>39845</v>
      </c>
      <c r="K13796" t="s">
        <v>40662</v>
      </c>
      <c r="M13796" t="s">
        <v>44724</v>
      </c>
      <c r="N13796" t="s">
        <v>44905</v>
      </c>
      <c r="O13796" t="s">
        <v>44906</v>
      </c>
      <c r="P13796">
        <v>0</v>
      </c>
      <c r="Q13796">
        <v>2</v>
      </c>
      <c r="R13796" t="s">
        <v>44923</v>
      </c>
      <c r="S13796" t="s">
        <v>45744</v>
      </c>
      <c r="T13796" t="s">
        <v>46438</v>
      </c>
      <c r="U13796" t="s">
        <v>57916</v>
      </c>
      <c r="W13796" t="s">
        <v>60971</v>
      </c>
      <c r="X13796" t="s">
        <v>44924</v>
      </c>
    </row>
    <row r="13797" spans="1:24">
      <c r="A13797">
        <f>HYPERLINK("https://www.philgeps.gov.ph/GEPSNONPILOT/Tender/SplashBidNoticeAbstractUI.aspx?menuIndex=3&amp;refID=7049478&amp;Result=3","7049478")</f>
        <v>0</v>
      </c>
      <c r="B13797" t="s">
        <v>2793</v>
      </c>
      <c r="C13797" t="s">
        <v>16728</v>
      </c>
      <c r="D13797" t="s">
        <v>18158</v>
      </c>
      <c r="E13797" t="s">
        <v>30125</v>
      </c>
      <c r="F13797" t="s">
        <v>31362</v>
      </c>
      <c r="G13797" t="s">
        <v>31369</v>
      </c>
      <c r="H13797" t="s">
        <v>15799</v>
      </c>
      <c r="I13797" t="s">
        <v>7188</v>
      </c>
      <c r="J13797" t="s">
        <v>39529</v>
      </c>
      <c r="K13797" t="s">
        <v>40682</v>
      </c>
      <c r="M13797" t="s">
        <v>43990</v>
      </c>
      <c r="N13797" t="s">
        <v>44905</v>
      </c>
      <c r="O13797" t="s">
        <v>44906</v>
      </c>
      <c r="Q13797">
        <v>4</v>
      </c>
      <c r="R13797" t="s">
        <v>44923</v>
      </c>
      <c r="S13797" t="s">
        <v>45814</v>
      </c>
      <c r="T13797" t="s">
        <v>46879</v>
      </c>
      <c r="U13797" t="s">
        <v>57917</v>
      </c>
      <c r="V13797" t="s">
        <v>60631</v>
      </c>
      <c r="W13797" t="s">
        <v>43990</v>
      </c>
      <c r="X13797" t="s">
        <v>44924</v>
      </c>
    </row>
    <row r="13798" spans="1:24">
      <c r="A13798">
        <f>HYPERLINK("https://www.philgeps.gov.ph/GEPSNONPILOT/Tender/SplashBidNoticeAbstractUI.aspx?menuIndex=3&amp;refID=7049474&amp;Result=3","7049474")</f>
        <v>0</v>
      </c>
      <c r="B13798" t="s">
        <v>2300</v>
      </c>
      <c r="C13798" t="s">
        <v>16729</v>
      </c>
      <c r="D13798" t="s">
        <v>18148</v>
      </c>
      <c r="E13798" t="s">
        <v>30126</v>
      </c>
      <c r="F13798" t="s">
        <v>31362</v>
      </c>
      <c r="G13798" t="s">
        <v>31369</v>
      </c>
      <c r="H13798" t="s">
        <v>15799</v>
      </c>
      <c r="I13798" t="s">
        <v>31426</v>
      </c>
      <c r="J13798" t="s">
        <v>31736</v>
      </c>
      <c r="K13798" t="s">
        <v>40679</v>
      </c>
      <c r="M13798" t="s">
        <v>43440</v>
      </c>
      <c r="N13798" t="s">
        <v>44905</v>
      </c>
      <c r="O13798" t="s">
        <v>44906</v>
      </c>
      <c r="P13798">
        <v>0</v>
      </c>
      <c r="Q13798">
        <v>5</v>
      </c>
      <c r="R13798" t="s">
        <v>44923</v>
      </c>
      <c r="S13798" t="s">
        <v>45744</v>
      </c>
      <c r="T13798" t="s">
        <v>46416</v>
      </c>
      <c r="U13798" t="s">
        <v>57918</v>
      </c>
      <c r="W13798" t="s">
        <v>43440</v>
      </c>
      <c r="X13798" t="s">
        <v>44924</v>
      </c>
    </row>
    <row r="13799" spans="1:24">
      <c r="A13799">
        <f>HYPERLINK("https://www.philgeps.gov.ph/GEPSNONPILOT/Tender/SplashBidNoticeAbstractUI.aspx?menuIndex=3&amp;refID=7049470&amp;Result=3","7049470")</f>
        <v>0</v>
      </c>
      <c r="B13799" t="s">
        <v>3290</v>
      </c>
      <c r="C13799" t="s">
        <v>16730</v>
      </c>
      <c r="D13799" t="s">
        <v>18110</v>
      </c>
      <c r="E13799" t="s">
        <v>30127</v>
      </c>
      <c r="F13799" t="s">
        <v>31362</v>
      </c>
      <c r="G13799" t="s">
        <v>31369</v>
      </c>
      <c r="H13799" t="s">
        <v>31378</v>
      </c>
      <c r="I13799" t="s">
        <v>31386</v>
      </c>
      <c r="J13799" t="s">
        <v>39846</v>
      </c>
      <c r="K13799" t="s">
        <v>40691</v>
      </c>
      <c r="M13799" t="s">
        <v>44577</v>
      </c>
      <c r="N13799" t="s">
        <v>44905</v>
      </c>
      <c r="O13799" t="s">
        <v>44906</v>
      </c>
      <c r="Q13799">
        <v>6</v>
      </c>
      <c r="R13799" t="s">
        <v>44923</v>
      </c>
      <c r="S13799" t="s">
        <v>45815</v>
      </c>
      <c r="T13799" t="s">
        <v>46409</v>
      </c>
      <c r="U13799" t="s">
        <v>57901</v>
      </c>
      <c r="V13799" t="s">
        <v>60466</v>
      </c>
      <c r="W13799" t="s">
        <v>44577</v>
      </c>
      <c r="X13799" t="s">
        <v>44924</v>
      </c>
    </row>
    <row r="13800" spans="1:24">
      <c r="A13800">
        <f>HYPERLINK("https://www.philgeps.gov.ph/GEPSNONPILOT/Tender/SplashBidNoticeAbstractUI.aspx?menuIndex=3&amp;refID=7049454&amp;Result=3","7049454")</f>
        <v>0</v>
      </c>
      <c r="B13800" t="s">
        <v>3290</v>
      </c>
      <c r="C13800" t="s">
        <v>16731</v>
      </c>
      <c r="D13800" t="s">
        <v>18110</v>
      </c>
      <c r="E13800" t="s">
        <v>30128</v>
      </c>
      <c r="F13800" t="s">
        <v>31362</v>
      </c>
      <c r="G13800" t="s">
        <v>31369</v>
      </c>
      <c r="H13800" t="s">
        <v>31378</v>
      </c>
      <c r="I13800" t="s">
        <v>31386</v>
      </c>
      <c r="J13800" t="s">
        <v>39829</v>
      </c>
      <c r="K13800" t="s">
        <v>40684</v>
      </c>
      <c r="M13800" t="s">
        <v>44577</v>
      </c>
      <c r="N13800" t="s">
        <v>44905</v>
      </c>
      <c r="O13800" t="s">
        <v>44906</v>
      </c>
      <c r="Q13800">
        <v>6</v>
      </c>
      <c r="R13800" t="s">
        <v>44923</v>
      </c>
      <c r="S13800" t="s">
        <v>45810</v>
      </c>
      <c r="T13800" t="s">
        <v>46409</v>
      </c>
      <c r="U13800" t="s">
        <v>57901</v>
      </c>
      <c r="V13800" t="s">
        <v>60466</v>
      </c>
      <c r="W13800" t="s">
        <v>44577</v>
      </c>
      <c r="X13800" t="s">
        <v>44924</v>
      </c>
    </row>
    <row r="13801" spans="1:24">
      <c r="A13801">
        <f>HYPERLINK("https://www.philgeps.gov.ph/GEPSNONPILOT/Tender/SplashBidNoticeAbstractUI.aspx?menuIndex=3&amp;refID=7049453&amp;Result=3","7049453")</f>
        <v>0</v>
      </c>
      <c r="B13801" t="s">
        <v>2793</v>
      </c>
      <c r="C13801" t="s">
        <v>16732</v>
      </c>
      <c r="D13801" t="s">
        <v>18158</v>
      </c>
      <c r="E13801" t="s">
        <v>30129</v>
      </c>
      <c r="F13801" t="s">
        <v>31362</v>
      </c>
      <c r="G13801" t="s">
        <v>31369</v>
      </c>
      <c r="H13801" t="s">
        <v>15799</v>
      </c>
      <c r="I13801" t="s">
        <v>31406</v>
      </c>
      <c r="J13801" t="s">
        <v>39847</v>
      </c>
      <c r="K13801" t="s">
        <v>40665</v>
      </c>
      <c r="M13801" t="s">
        <v>43990</v>
      </c>
      <c r="N13801" t="s">
        <v>44905</v>
      </c>
      <c r="O13801" t="s">
        <v>44906</v>
      </c>
      <c r="Q13801">
        <v>4</v>
      </c>
      <c r="R13801" t="s">
        <v>44923</v>
      </c>
      <c r="S13801" t="s">
        <v>45816</v>
      </c>
      <c r="T13801" t="s">
        <v>46880</v>
      </c>
      <c r="U13801" t="s">
        <v>57919</v>
      </c>
      <c r="V13801" t="s">
        <v>60632</v>
      </c>
      <c r="W13801" t="s">
        <v>43990</v>
      </c>
      <c r="X13801" t="s">
        <v>44924</v>
      </c>
    </row>
    <row r="13802" spans="1:24">
      <c r="A13802">
        <f>HYPERLINK("https://www.philgeps.gov.ph/GEPSNONPILOT/Tender/SplashBidNoticeAbstractUI.aspx?menuIndex=3&amp;refID=7049452&amp;Result=3","7049452")</f>
        <v>0</v>
      </c>
      <c r="B13802" t="s">
        <v>783</v>
      </c>
      <c r="C13802" t="s">
        <v>16733</v>
      </c>
      <c r="D13802" t="s">
        <v>18140</v>
      </c>
      <c r="E13802" t="s">
        <v>28411</v>
      </c>
      <c r="F13802" t="s">
        <v>31362</v>
      </c>
      <c r="G13802" t="s">
        <v>31369</v>
      </c>
      <c r="H13802" t="s">
        <v>15799</v>
      </c>
      <c r="I13802" t="s">
        <v>31409</v>
      </c>
      <c r="J13802" t="s">
        <v>31637</v>
      </c>
      <c r="K13802" t="s">
        <v>40661</v>
      </c>
      <c r="M13802" t="s">
        <v>41753</v>
      </c>
      <c r="N13802" t="s">
        <v>44905</v>
      </c>
      <c r="O13802" t="s">
        <v>44906</v>
      </c>
      <c r="P13802">
        <v>0</v>
      </c>
      <c r="Q13802">
        <v>8</v>
      </c>
      <c r="R13802" t="s">
        <v>44923</v>
      </c>
      <c r="S13802" t="s">
        <v>45744</v>
      </c>
      <c r="T13802" t="s">
        <v>46394</v>
      </c>
      <c r="U13802" t="s">
        <v>57920</v>
      </c>
      <c r="V13802" t="s">
        <v>60633</v>
      </c>
      <c r="W13802" t="s">
        <v>41753</v>
      </c>
      <c r="X13802" t="s">
        <v>44924</v>
      </c>
    </row>
    <row r="13803" spans="1:24">
      <c r="A13803">
        <f>HYPERLINK("https://www.philgeps.gov.ph/GEPSNONPILOT/Tender/SplashBidNoticeAbstractUI.aspx?menuIndex=3&amp;refID=7049557&amp;Result=3","7049557")</f>
        <v>0</v>
      </c>
      <c r="B13803" t="s">
        <v>2984</v>
      </c>
      <c r="C13803" t="s">
        <v>16734</v>
      </c>
      <c r="D13803" t="s">
        <v>18108</v>
      </c>
      <c r="E13803" t="s">
        <v>30130</v>
      </c>
      <c r="F13803" t="s">
        <v>31362</v>
      </c>
      <c r="G13803" t="s">
        <v>31369</v>
      </c>
      <c r="H13803" t="s">
        <v>15799</v>
      </c>
      <c r="I13803" t="s">
        <v>31422</v>
      </c>
      <c r="J13803" t="s">
        <v>39484</v>
      </c>
      <c r="K13803" t="s">
        <v>40665</v>
      </c>
      <c r="M13803" t="s">
        <v>44208</v>
      </c>
      <c r="N13803" t="s">
        <v>44905</v>
      </c>
      <c r="O13803" t="s">
        <v>44906</v>
      </c>
      <c r="Q13803">
        <v>11</v>
      </c>
      <c r="R13803" t="s">
        <v>44923</v>
      </c>
      <c r="S13803" t="s">
        <v>45817</v>
      </c>
      <c r="T13803" t="s">
        <v>46528</v>
      </c>
      <c r="U13803" t="s">
        <v>55597</v>
      </c>
      <c r="V13803" t="s">
        <v>60634</v>
      </c>
      <c r="W13803" t="s">
        <v>44208</v>
      </c>
      <c r="X13803" t="s">
        <v>44924</v>
      </c>
    </row>
    <row r="13804" spans="1:24">
      <c r="A13804">
        <f>HYPERLINK("https://www.philgeps.gov.ph/GEPSNONPILOT/Tender/SplashBidNoticeAbstractUI.aspx?menuIndex=3&amp;refID=7049352&amp;Result=3","7049352")</f>
        <v>0</v>
      </c>
      <c r="B13804" t="s">
        <v>2300</v>
      </c>
      <c r="C13804" t="s">
        <v>16735</v>
      </c>
      <c r="D13804" t="s">
        <v>18148</v>
      </c>
      <c r="E13804" t="s">
        <v>30131</v>
      </c>
      <c r="F13804" t="s">
        <v>31362</v>
      </c>
      <c r="G13804" t="s">
        <v>31369</v>
      </c>
      <c r="H13804" t="s">
        <v>15799</v>
      </c>
      <c r="I13804" t="s">
        <v>31426</v>
      </c>
      <c r="J13804" t="s">
        <v>39848</v>
      </c>
      <c r="K13804" t="s">
        <v>40679</v>
      </c>
      <c r="M13804" t="s">
        <v>43440</v>
      </c>
      <c r="N13804" t="s">
        <v>44905</v>
      </c>
      <c r="O13804" t="s">
        <v>44906</v>
      </c>
      <c r="P13804">
        <v>0</v>
      </c>
      <c r="Q13804">
        <v>4</v>
      </c>
      <c r="R13804" t="s">
        <v>44923</v>
      </c>
      <c r="S13804" t="s">
        <v>45744</v>
      </c>
      <c r="T13804" t="s">
        <v>46532</v>
      </c>
      <c r="U13804" t="s">
        <v>57876</v>
      </c>
      <c r="W13804" t="s">
        <v>43440</v>
      </c>
      <c r="X13804" t="s">
        <v>44924</v>
      </c>
    </row>
    <row r="13805" spans="1:24">
      <c r="A13805">
        <f>HYPERLINK("https://www.philgeps.gov.ph/GEPSNONPILOT/Tender/SplashBidNoticeAbstractUI.aspx?menuIndex=3&amp;refID=7049697&amp;Result=3","7049697")</f>
        <v>0</v>
      </c>
      <c r="B13805" t="s">
        <v>559</v>
      </c>
      <c r="C13805" t="s">
        <v>16736</v>
      </c>
      <c r="D13805" t="s">
        <v>18139</v>
      </c>
      <c r="E13805" t="s">
        <v>30132</v>
      </c>
      <c r="F13805" t="s">
        <v>31362</v>
      </c>
      <c r="G13805" t="s">
        <v>31369</v>
      </c>
      <c r="H13805" t="s">
        <v>31378</v>
      </c>
      <c r="I13805" t="s">
        <v>31386</v>
      </c>
      <c r="J13805" t="s">
        <v>39849</v>
      </c>
      <c r="K13805" t="s">
        <v>40682</v>
      </c>
      <c r="M13805" t="s">
        <v>41515</v>
      </c>
      <c r="N13805" t="s">
        <v>44905</v>
      </c>
      <c r="O13805" t="s">
        <v>44906</v>
      </c>
      <c r="Q13805">
        <v>4</v>
      </c>
      <c r="R13805" t="s">
        <v>44923</v>
      </c>
      <c r="S13805" t="s">
        <v>45818</v>
      </c>
      <c r="T13805" t="s">
        <v>46409</v>
      </c>
      <c r="U13805" t="s">
        <v>47999</v>
      </c>
      <c r="V13805" t="s">
        <v>59206</v>
      </c>
      <c r="W13805" t="s">
        <v>41515</v>
      </c>
      <c r="X13805" t="s">
        <v>44924</v>
      </c>
    </row>
    <row r="13806" spans="1:24">
      <c r="A13806">
        <f>HYPERLINK("https://www.philgeps.gov.ph/GEPSNONPILOT/Tender/SplashBidNoticeAbstractUI.aspx?menuIndex=3&amp;refID=7049515&amp;Result=3","7049515")</f>
        <v>0</v>
      </c>
      <c r="B13806" t="s">
        <v>482</v>
      </c>
      <c r="C13806" t="s">
        <v>16737</v>
      </c>
      <c r="E13806" t="s">
        <v>30133</v>
      </c>
      <c r="F13806" t="s">
        <v>31362</v>
      </c>
      <c r="G13806" t="s">
        <v>31369</v>
      </c>
      <c r="H13806" t="s">
        <v>15799</v>
      </c>
      <c r="I13806" t="s">
        <v>31422</v>
      </c>
      <c r="J13806" t="s">
        <v>32902</v>
      </c>
      <c r="K13806" t="s">
        <v>40682</v>
      </c>
      <c r="M13806" t="s">
        <v>44725</v>
      </c>
      <c r="N13806" t="s">
        <v>44905</v>
      </c>
      <c r="O13806" t="s">
        <v>44906</v>
      </c>
      <c r="P13806">
        <v>0</v>
      </c>
      <c r="Q13806">
        <v>12</v>
      </c>
      <c r="R13806" t="s">
        <v>44923</v>
      </c>
      <c r="S13806" t="s">
        <v>45744</v>
      </c>
      <c r="T13806" t="s">
        <v>46425</v>
      </c>
      <c r="U13806" t="s">
        <v>57921</v>
      </c>
      <c r="W13806" t="s">
        <v>44725</v>
      </c>
      <c r="X13806" t="s">
        <v>44924</v>
      </c>
    </row>
    <row r="13807" spans="1:24">
      <c r="A13807">
        <f>HYPERLINK("https://www.philgeps.gov.ph/GEPSNONPILOT/Tender/SplashBidNoticeAbstractUI.aspx?menuIndex=3&amp;refID=7049517&amp;Result=3","7049517")</f>
        <v>0</v>
      </c>
      <c r="B13807" t="s">
        <v>2984</v>
      </c>
      <c r="C13807" t="s">
        <v>16738</v>
      </c>
      <c r="D13807" t="s">
        <v>18108</v>
      </c>
      <c r="E13807" t="s">
        <v>30134</v>
      </c>
      <c r="F13807" t="s">
        <v>31362</v>
      </c>
      <c r="G13807" t="s">
        <v>31369</v>
      </c>
      <c r="H13807" t="s">
        <v>15799</v>
      </c>
      <c r="I13807" t="s">
        <v>31422</v>
      </c>
      <c r="J13807" t="s">
        <v>39850</v>
      </c>
      <c r="K13807" t="s">
        <v>40665</v>
      </c>
      <c r="M13807" t="s">
        <v>44208</v>
      </c>
      <c r="N13807" t="s">
        <v>44905</v>
      </c>
      <c r="O13807" t="s">
        <v>44906</v>
      </c>
      <c r="Q13807">
        <v>18</v>
      </c>
      <c r="R13807" t="s">
        <v>44923</v>
      </c>
      <c r="S13807" t="s">
        <v>45632</v>
      </c>
      <c r="T13807" t="s">
        <v>46528</v>
      </c>
      <c r="U13807" t="s">
        <v>55597</v>
      </c>
      <c r="V13807" t="s">
        <v>60634</v>
      </c>
      <c r="W13807" t="s">
        <v>44208</v>
      </c>
      <c r="X13807" t="s">
        <v>44924</v>
      </c>
    </row>
    <row r="13808" spans="1:24">
      <c r="A13808">
        <f>HYPERLINK("https://www.philgeps.gov.ph/GEPSNONPILOT/Tender/SplashBidNoticeAbstractUI.aspx?menuIndex=3&amp;refID=7049694&amp;Result=3","7049694")</f>
        <v>0</v>
      </c>
      <c r="B13808" t="s">
        <v>2969</v>
      </c>
      <c r="C13808" t="s">
        <v>16739</v>
      </c>
      <c r="D13808" t="s">
        <v>18113</v>
      </c>
      <c r="E13808" t="s">
        <v>30135</v>
      </c>
      <c r="F13808" t="s">
        <v>31362</v>
      </c>
      <c r="G13808" t="s">
        <v>31369</v>
      </c>
      <c r="H13808" t="s">
        <v>15799</v>
      </c>
      <c r="I13808" t="s">
        <v>31413</v>
      </c>
      <c r="J13808" t="s">
        <v>39851</v>
      </c>
      <c r="K13808" t="s">
        <v>40675</v>
      </c>
      <c r="M13808" t="s">
        <v>44193</v>
      </c>
      <c r="N13808" t="s">
        <v>44905</v>
      </c>
      <c r="O13808" t="s">
        <v>44906</v>
      </c>
      <c r="Q13808">
        <v>8</v>
      </c>
      <c r="R13808" t="s">
        <v>44923</v>
      </c>
      <c r="S13808" t="s">
        <v>45819</v>
      </c>
      <c r="T13808" t="s">
        <v>46425</v>
      </c>
      <c r="U13808" t="s">
        <v>57922</v>
      </c>
      <c r="W13808" t="s">
        <v>44193</v>
      </c>
      <c r="X13808" t="s">
        <v>44924</v>
      </c>
    </row>
    <row r="13809" spans="1:24">
      <c r="A13809">
        <f>HYPERLINK("https://www.philgeps.gov.ph/GEPSNONPILOT/Tender/SplashBidNoticeAbstractUI.aspx?menuIndex=3&amp;refID=7049669&amp;Result=3","7049669")</f>
        <v>0</v>
      </c>
      <c r="B13809" t="s">
        <v>2199</v>
      </c>
      <c r="C13809" t="s">
        <v>16740</v>
      </c>
      <c r="D13809" t="s">
        <v>18123</v>
      </c>
      <c r="E13809" t="s">
        <v>29955</v>
      </c>
      <c r="F13809" t="s">
        <v>31362</v>
      </c>
      <c r="G13809" t="s">
        <v>31369</v>
      </c>
      <c r="H13809" t="s">
        <v>15799</v>
      </c>
      <c r="I13809" t="s">
        <v>31380</v>
      </c>
      <c r="J13809" t="s">
        <v>39852</v>
      </c>
      <c r="K13809" t="s">
        <v>40665</v>
      </c>
      <c r="M13809" t="s">
        <v>43330</v>
      </c>
      <c r="N13809" t="s">
        <v>44905</v>
      </c>
      <c r="O13809" t="s">
        <v>44906</v>
      </c>
      <c r="P13809">
        <v>0</v>
      </c>
      <c r="Q13809">
        <v>14</v>
      </c>
      <c r="R13809" t="s">
        <v>44923</v>
      </c>
      <c r="S13809" t="s">
        <v>45744</v>
      </c>
      <c r="T13809" t="s">
        <v>46575</v>
      </c>
      <c r="U13809" t="s">
        <v>57923</v>
      </c>
      <c r="W13809" t="s">
        <v>43330</v>
      </c>
      <c r="X13809" t="s">
        <v>44924</v>
      </c>
    </row>
    <row r="13810" spans="1:24">
      <c r="A13810">
        <f>HYPERLINK("https://www.philgeps.gov.ph/GEPSNONPILOT/Tender/SplashBidNoticeAbstractUI.aspx?menuIndex=3&amp;refID=7049685&amp;Result=3","7049685")</f>
        <v>0</v>
      </c>
      <c r="B13810" t="s">
        <v>3410</v>
      </c>
      <c r="C13810" t="s">
        <v>16741</v>
      </c>
      <c r="D13810" t="s">
        <v>18160</v>
      </c>
      <c r="E13810" t="s">
        <v>30136</v>
      </c>
      <c r="F13810" t="s">
        <v>31363</v>
      </c>
      <c r="G13810" t="s">
        <v>31369</v>
      </c>
      <c r="H13810" t="s">
        <v>31378</v>
      </c>
      <c r="I13810" t="s">
        <v>31386</v>
      </c>
      <c r="J13810" t="s">
        <v>33653</v>
      </c>
      <c r="K13810" t="s">
        <v>40682</v>
      </c>
      <c r="M13810" t="s">
        <v>44726</v>
      </c>
      <c r="N13810" t="s">
        <v>44905</v>
      </c>
      <c r="O13810" t="s">
        <v>44906</v>
      </c>
      <c r="P13810">
        <v>0</v>
      </c>
      <c r="Q13810">
        <v>0</v>
      </c>
      <c r="R13810" t="s">
        <v>44923</v>
      </c>
      <c r="S13810" t="s">
        <v>45744</v>
      </c>
      <c r="T13810" t="s">
        <v>46409</v>
      </c>
      <c r="U13810" t="s">
        <v>57924</v>
      </c>
      <c r="W13810" t="s">
        <v>44726</v>
      </c>
      <c r="X13810" t="s">
        <v>44924</v>
      </c>
    </row>
    <row r="13811" spans="1:24">
      <c r="A13811">
        <f>HYPERLINK("https://www.philgeps.gov.ph/GEPSNONPILOT/Tender/SplashBidNoticeAbstractUI.aspx?menuIndex=3&amp;refID=7049461&amp;Result=3","7049461")</f>
        <v>0</v>
      </c>
      <c r="B13811" t="s">
        <v>3290</v>
      </c>
      <c r="C13811" t="s">
        <v>16742</v>
      </c>
      <c r="D13811" t="s">
        <v>18110</v>
      </c>
      <c r="E13811" t="s">
        <v>30137</v>
      </c>
      <c r="F13811" t="s">
        <v>31362</v>
      </c>
      <c r="G13811" t="s">
        <v>31369</v>
      </c>
      <c r="H13811" t="s">
        <v>31378</v>
      </c>
      <c r="I13811" t="s">
        <v>31386</v>
      </c>
      <c r="J13811" t="s">
        <v>39829</v>
      </c>
      <c r="K13811" t="s">
        <v>40684</v>
      </c>
      <c r="M13811" t="s">
        <v>44577</v>
      </c>
      <c r="N13811" t="s">
        <v>44905</v>
      </c>
      <c r="O13811" t="s">
        <v>44906</v>
      </c>
      <c r="Q13811">
        <v>5</v>
      </c>
      <c r="R13811" t="s">
        <v>44923</v>
      </c>
      <c r="S13811" t="s">
        <v>45820</v>
      </c>
      <c r="T13811" t="s">
        <v>46409</v>
      </c>
      <c r="U13811" t="s">
        <v>57901</v>
      </c>
      <c r="V13811" t="s">
        <v>60635</v>
      </c>
      <c r="W13811" t="s">
        <v>44577</v>
      </c>
      <c r="X13811" t="s">
        <v>44924</v>
      </c>
    </row>
    <row r="13812" spans="1:24">
      <c r="A13812">
        <f>HYPERLINK("https://www.philgeps.gov.ph/GEPSNONPILOT/Tender/SplashBidNoticeAbstractUI.aspx?menuIndex=3&amp;refID=7049677&amp;Result=3","7049677")</f>
        <v>0</v>
      </c>
      <c r="B13812" t="s">
        <v>3410</v>
      </c>
      <c r="C13812" t="s">
        <v>16743</v>
      </c>
      <c r="D13812" t="s">
        <v>18160</v>
      </c>
      <c r="E13812" t="s">
        <v>30138</v>
      </c>
      <c r="F13812" t="s">
        <v>31362</v>
      </c>
      <c r="G13812" t="s">
        <v>31369</v>
      </c>
      <c r="H13812" t="s">
        <v>31378</v>
      </c>
      <c r="I13812" t="s">
        <v>31440</v>
      </c>
      <c r="J13812" t="s">
        <v>39853</v>
      </c>
      <c r="K13812" t="s">
        <v>40679</v>
      </c>
      <c r="M13812" t="s">
        <v>44726</v>
      </c>
      <c r="N13812" t="s">
        <v>44905</v>
      </c>
      <c r="O13812" t="s">
        <v>44906</v>
      </c>
      <c r="P13812">
        <v>0</v>
      </c>
      <c r="Q13812">
        <v>4</v>
      </c>
      <c r="R13812" t="s">
        <v>44923</v>
      </c>
      <c r="S13812" t="s">
        <v>45744</v>
      </c>
      <c r="T13812" t="s">
        <v>46409</v>
      </c>
      <c r="U13812" t="s">
        <v>57925</v>
      </c>
      <c r="W13812" t="s">
        <v>44726</v>
      </c>
      <c r="X13812" t="s">
        <v>44924</v>
      </c>
    </row>
    <row r="13813" spans="1:24">
      <c r="A13813">
        <f>HYPERLINK("https://www.philgeps.gov.ph/GEPSNONPILOT/Tender/SplashBidNoticeAbstractUI.aspx?menuIndex=3&amp;refID=7049639&amp;Result=3","7049639")</f>
        <v>0</v>
      </c>
      <c r="B13813" t="s">
        <v>1037</v>
      </c>
      <c r="C13813" t="s">
        <v>16744</v>
      </c>
      <c r="D13813" t="s">
        <v>18146</v>
      </c>
      <c r="E13813" t="s">
        <v>30139</v>
      </c>
      <c r="F13813" t="s">
        <v>31362</v>
      </c>
      <c r="G13813" t="s">
        <v>31369</v>
      </c>
      <c r="H13813" t="s">
        <v>15799</v>
      </c>
      <c r="I13813" t="s">
        <v>31396</v>
      </c>
      <c r="J13813" t="s">
        <v>31520</v>
      </c>
      <c r="K13813" t="s">
        <v>40682</v>
      </c>
      <c r="M13813" t="s">
        <v>42036</v>
      </c>
      <c r="N13813" t="s">
        <v>44905</v>
      </c>
      <c r="O13813" t="s">
        <v>44906</v>
      </c>
      <c r="P13813">
        <v>0</v>
      </c>
      <c r="Q13813">
        <v>4</v>
      </c>
      <c r="R13813" t="s">
        <v>44923</v>
      </c>
      <c r="S13813" t="s">
        <v>45744</v>
      </c>
      <c r="T13813" t="s">
        <v>46520</v>
      </c>
      <c r="U13813" t="s">
        <v>57926</v>
      </c>
      <c r="V13813" t="s">
        <v>59231</v>
      </c>
      <c r="W13813" t="s">
        <v>42036</v>
      </c>
      <c r="X13813" t="s">
        <v>44924</v>
      </c>
    </row>
    <row r="13814" spans="1:24">
      <c r="A13814">
        <f>HYPERLINK("https://www.philgeps.gov.ph/GEPSNONPILOT/Tender/SplashBidNoticeAbstractUI.aspx?menuIndex=3&amp;refID=7049633&amp;Result=3","7049633")</f>
        <v>0</v>
      </c>
      <c r="B13814" t="s">
        <v>716</v>
      </c>
      <c r="C13814" t="s">
        <v>16745</v>
      </c>
      <c r="D13814" t="s">
        <v>18160</v>
      </c>
      <c r="E13814" t="s">
        <v>30140</v>
      </c>
      <c r="F13814" t="s">
        <v>31362</v>
      </c>
      <c r="G13814" t="s">
        <v>31369</v>
      </c>
      <c r="H13814" t="s">
        <v>31378</v>
      </c>
      <c r="I13814" t="s">
        <v>31386</v>
      </c>
      <c r="J13814" t="s">
        <v>39854</v>
      </c>
      <c r="K13814" t="s">
        <v>40941</v>
      </c>
      <c r="M13814" t="s">
        <v>43557</v>
      </c>
      <c r="N13814" t="s">
        <v>44905</v>
      </c>
      <c r="O13814" t="s">
        <v>44906</v>
      </c>
      <c r="P13814">
        <v>0</v>
      </c>
      <c r="Q13814">
        <v>3</v>
      </c>
      <c r="R13814" t="s">
        <v>44923</v>
      </c>
      <c r="S13814" t="s">
        <v>45744</v>
      </c>
      <c r="T13814" t="s">
        <v>46467</v>
      </c>
      <c r="U13814" t="s">
        <v>57927</v>
      </c>
      <c r="W13814" t="s">
        <v>60933</v>
      </c>
      <c r="X13814" t="s">
        <v>44924</v>
      </c>
    </row>
    <row r="13815" spans="1:24">
      <c r="A13815">
        <f>HYPERLINK("https://www.philgeps.gov.ph/GEPSNONPILOT/Tender/SplashBidNoticeAbstractUI.aspx?menuIndex=3&amp;refID=7049503&amp;Result=3","7049503")</f>
        <v>0</v>
      </c>
      <c r="B13815" t="s">
        <v>2793</v>
      </c>
      <c r="C13815" t="s">
        <v>16746</v>
      </c>
      <c r="D13815" t="s">
        <v>18158</v>
      </c>
      <c r="E13815" t="s">
        <v>30141</v>
      </c>
      <c r="F13815" t="s">
        <v>31362</v>
      </c>
      <c r="G13815" t="s">
        <v>31369</v>
      </c>
      <c r="H13815" t="s">
        <v>15799</v>
      </c>
      <c r="I13815" t="s">
        <v>7719</v>
      </c>
      <c r="J13815" t="s">
        <v>39855</v>
      </c>
      <c r="K13815" t="s">
        <v>40682</v>
      </c>
      <c r="M13815" t="s">
        <v>43990</v>
      </c>
      <c r="N13815" t="s">
        <v>44905</v>
      </c>
      <c r="O13815" t="s">
        <v>44906</v>
      </c>
      <c r="Q13815">
        <v>6</v>
      </c>
      <c r="R13815" t="s">
        <v>44923</v>
      </c>
      <c r="S13815" t="s">
        <v>45821</v>
      </c>
      <c r="T13815" t="s">
        <v>46881</v>
      </c>
      <c r="U13815" t="s">
        <v>57928</v>
      </c>
      <c r="V13815" t="s">
        <v>60636</v>
      </c>
      <c r="W13815" t="s">
        <v>43990</v>
      </c>
      <c r="X13815" t="s">
        <v>44924</v>
      </c>
    </row>
    <row r="13816" spans="1:24">
      <c r="A13816">
        <f>HYPERLINK("https://www.philgeps.gov.ph/GEPSNONPILOT/Tender/SplashBidNoticeAbstractUI.aspx?menuIndex=3&amp;refID=7049626&amp;Result=3","7049626")</f>
        <v>0</v>
      </c>
      <c r="B13816" t="s">
        <v>716</v>
      </c>
      <c r="C13816" t="s">
        <v>16747</v>
      </c>
      <c r="D13816" t="s">
        <v>18160</v>
      </c>
      <c r="E13816" t="s">
        <v>30142</v>
      </c>
      <c r="F13816" t="s">
        <v>31362</v>
      </c>
      <c r="G13816" t="s">
        <v>31369</v>
      </c>
      <c r="H13816" t="s">
        <v>31378</v>
      </c>
      <c r="I13816" t="s">
        <v>31386</v>
      </c>
      <c r="J13816" t="s">
        <v>39856</v>
      </c>
      <c r="K13816" t="s">
        <v>40802</v>
      </c>
      <c r="M13816" t="s">
        <v>43557</v>
      </c>
      <c r="N13816" t="s">
        <v>44905</v>
      </c>
      <c r="O13816" t="s">
        <v>44906</v>
      </c>
      <c r="P13816">
        <v>0</v>
      </c>
      <c r="Q13816">
        <v>2</v>
      </c>
      <c r="R13816" t="s">
        <v>44923</v>
      </c>
      <c r="S13816" t="s">
        <v>45744</v>
      </c>
      <c r="T13816" t="s">
        <v>46467</v>
      </c>
      <c r="U13816" t="s">
        <v>55637</v>
      </c>
      <c r="W13816" t="s">
        <v>60933</v>
      </c>
      <c r="X13816" t="s">
        <v>44924</v>
      </c>
    </row>
    <row r="13817" spans="1:24">
      <c r="A13817">
        <f>HYPERLINK("https://www.philgeps.gov.ph/GEPSNONPILOT/Tender/SplashBidNoticeAbstractUI.aspx?menuIndex=3&amp;refID=7049620&amp;Result=3","7049620")</f>
        <v>0</v>
      </c>
      <c r="B13817" t="s">
        <v>122</v>
      </c>
      <c r="C13817" t="s">
        <v>16748</v>
      </c>
      <c r="D13817" t="s">
        <v>18108</v>
      </c>
      <c r="E13817" t="s">
        <v>30143</v>
      </c>
      <c r="F13817" t="s">
        <v>31362</v>
      </c>
      <c r="G13817" t="s">
        <v>31369</v>
      </c>
      <c r="H13817" t="s">
        <v>15799</v>
      </c>
      <c r="I13817" t="s">
        <v>31393</v>
      </c>
      <c r="J13817" t="s">
        <v>39857</v>
      </c>
      <c r="K13817" t="s">
        <v>40665</v>
      </c>
      <c r="M13817" t="s">
        <v>41059</v>
      </c>
      <c r="N13817" t="s">
        <v>44905</v>
      </c>
      <c r="O13817" t="s">
        <v>44906</v>
      </c>
      <c r="Q13817">
        <v>13</v>
      </c>
      <c r="R13817" t="s">
        <v>44923</v>
      </c>
      <c r="S13817" t="s">
        <v>45822</v>
      </c>
      <c r="T13817" t="s">
        <v>46440</v>
      </c>
      <c r="U13817" t="s">
        <v>57929</v>
      </c>
      <c r="V13817" t="s">
        <v>60637</v>
      </c>
      <c r="W13817" t="s">
        <v>41059</v>
      </c>
      <c r="X13817" t="s">
        <v>44924</v>
      </c>
    </row>
    <row r="13818" spans="1:24">
      <c r="A13818">
        <f>HYPERLINK("https://www.philgeps.gov.ph/GEPSNONPILOT/Tender/SplashBidNoticeAbstractUI.aspx?menuIndex=3&amp;refID=7049790&amp;Result=3","7049790")</f>
        <v>0</v>
      </c>
      <c r="B13818" t="s">
        <v>2777</v>
      </c>
      <c r="C13818" t="s">
        <v>16749</v>
      </c>
      <c r="D13818" t="s">
        <v>18143</v>
      </c>
      <c r="E13818" t="s">
        <v>30144</v>
      </c>
      <c r="F13818" t="s">
        <v>31362</v>
      </c>
      <c r="G13818" t="s">
        <v>31369</v>
      </c>
      <c r="H13818" t="s">
        <v>15799</v>
      </c>
      <c r="I13818" t="s">
        <v>31393</v>
      </c>
      <c r="J13818" t="s">
        <v>39858</v>
      </c>
      <c r="K13818" t="s">
        <v>40665</v>
      </c>
      <c r="M13818" t="s">
        <v>43970</v>
      </c>
      <c r="N13818" t="s">
        <v>44905</v>
      </c>
      <c r="O13818" t="s">
        <v>44906</v>
      </c>
      <c r="Q13818">
        <v>12</v>
      </c>
      <c r="R13818" t="s">
        <v>44923</v>
      </c>
      <c r="S13818" t="s">
        <v>45823</v>
      </c>
      <c r="T13818" t="s">
        <v>46416</v>
      </c>
      <c r="U13818" t="s">
        <v>57930</v>
      </c>
      <c r="W13818" t="s">
        <v>43970</v>
      </c>
      <c r="X13818" t="s">
        <v>44924</v>
      </c>
    </row>
    <row r="13819" spans="1:24">
      <c r="A13819">
        <f>HYPERLINK("https://www.philgeps.gov.ph/GEPSNONPILOT/Tender/SplashBidNoticeAbstractUI.aspx?menuIndex=3&amp;refID=7049671&amp;Result=3","7049671")</f>
        <v>0</v>
      </c>
      <c r="B13819" t="s">
        <v>3411</v>
      </c>
      <c r="C13819" t="s">
        <v>16750</v>
      </c>
      <c r="D13819" t="s">
        <v>18108</v>
      </c>
      <c r="E13819" t="s">
        <v>30145</v>
      </c>
      <c r="F13819" t="s">
        <v>31362</v>
      </c>
      <c r="G13819" t="s">
        <v>31369</v>
      </c>
      <c r="H13819" t="s">
        <v>15799</v>
      </c>
      <c r="I13819" t="s">
        <v>31409</v>
      </c>
      <c r="J13819" t="s">
        <v>39294</v>
      </c>
      <c r="K13819" t="s">
        <v>40662</v>
      </c>
      <c r="M13819" t="s">
        <v>44727</v>
      </c>
      <c r="N13819" t="s">
        <v>44905</v>
      </c>
      <c r="O13819" t="s">
        <v>44906</v>
      </c>
      <c r="Q13819">
        <v>6</v>
      </c>
      <c r="R13819" t="s">
        <v>44923</v>
      </c>
      <c r="S13819" t="s">
        <v>45824</v>
      </c>
      <c r="T13819" t="s">
        <v>46435</v>
      </c>
      <c r="U13819" t="s">
        <v>57931</v>
      </c>
      <c r="W13819" t="s">
        <v>44727</v>
      </c>
      <c r="X13819" t="s">
        <v>44924</v>
      </c>
    </row>
    <row r="13820" spans="1:24">
      <c r="A13820">
        <f>HYPERLINK("https://www.philgeps.gov.ph/GEPSNONPILOT/Tender/SplashBidNoticeAbstractUI.aspx?menuIndex=3&amp;refID=7049479&amp;Result=3","7049479")</f>
        <v>0</v>
      </c>
      <c r="B13820" t="s">
        <v>1441</v>
      </c>
      <c r="C13820" t="s">
        <v>16751</v>
      </c>
      <c r="D13820" t="s">
        <v>18127</v>
      </c>
      <c r="E13820" t="s">
        <v>30146</v>
      </c>
      <c r="F13820" t="s">
        <v>31362</v>
      </c>
      <c r="G13820" t="s">
        <v>31369</v>
      </c>
      <c r="H13820" t="s">
        <v>31378</v>
      </c>
      <c r="I13820" t="s">
        <v>31386</v>
      </c>
      <c r="J13820" t="s">
        <v>39859</v>
      </c>
      <c r="K13820" t="s">
        <v>40778</v>
      </c>
      <c r="M13820" t="s">
        <v>42470</v>
      </c>
      <c r="N13820" t="s">
        <v>44905</v>
      </c>
      <c r="O13820" t="s">
        <v>44906</v>
      </c>
      <c r="P13820">
        <v>0</v>
      </c>
      <c r="Q13820">
        <v>0</v>
      </c>
      <c r="R13820" t="s">
        <v>44923</v>
      </c>
      <c r="S13820" t="s">
        <v>45744</v>
      </c>
      <c r="T13820" t="s">
        <v>46416</v>
      </c>
      <c r="U13820" t="s">
        <v>57932</v>
      </c>
      <c r="W13820" t="s">
        <v>42470</v>
      </c>
      <c r="X13820" t="s">
        <v>44924</v>
      </c>
    </row>
    <row r="13821" spans="1:24">
      <c r="A13821">
        <f>HYPERLINK("https://www.philgeps.gov.ph/GEPSNONPILOT/Tender/SplashBidNoticeAbstractUI.aspx?menuIndex=3&amp;refID=7049785&amp;Result=3","7049785")</f>
        <v>0</v>
      </c>
      <c r="B13821" t="s">
        <v>1639</v>
      </c>
      <c r="C13821" t="s">
        <v>16752</v>
      </c>
      <c r="D13821" t="s">
        <v>18108</v>
      </c>
      <c r="E13821" t="s">
        <v>30147</v>
      </c>
      <c r="F13821" t="s">
        <v>31362</v>
      </c>
      <c r="G13821" t="s">
        <v>31369</v>
      </c>
      <c r="H13821" t="s">
        <v>31378</v>
      </c>
      <c r="I13821" t="s">
        <v>31386</v>
      </c>
      <c r="J13821" t="s">
        <v>39860</v>
      </c>
      <c r="K13821" t="s">
        <v>40683</v>
      </c>
      <c r="M13821" t="s">
        <v>42702</v>
      </c>
      <c r="N13821" t="s">
        <v>44905</v>
      </c>
      <c r="O13821" t="s">
        <v>44906</v>
      </c>
      <c r="P13821">
        <v>0</v>
      </c>
      <c r="Q13821">
        <v>37</v>
      </c>
      <c r="R13821" t="s">
        <v>44923</v>
      </c>
      <c r="S13821" t="s">
        <v>45744</v>
      </c>
      <c r="T13821" t="s">
        <v>46393</v>
      </c>
      <c r="U13821" t="s">
        <v>57933</v>
      </c>
      <c r="W13821" t="s">
        <v>42702</v>
      </c>
      <c r="X13821" t="s">
        <v>44924</v>
      </c>
    </row>
    <row r="13822" spans="1:24">
      <c r="A13822">
        <f>HYPERLINK("https://www.philgeps.gov.ph/GEPSNONPILOT/Tender/SplashBidNoticeAbstractUI.aspx?menuIndex=3&amp;refID=7049769&amp;Result=3","7049769")</f>
        <v>0</v>
      </c>
      <c r="B13822" t="s">
        <v>110</v>
      </c>
      <c r="C13822" t="s">
        <v>16753</v>
      </c>
      <c r="D13822" t="s">
        <v>18119</v>
      </c>
      <c r="E13822" t="s">
        <v>30148</v>
      </c>
      <c r="F13822" t="s">
        <v>31362</v>
      </c>
      <c r="G13822" t="s">
        <v>31369</v>
      </c>
      <c r="H13822" t="s">
        <v>15799</v>
      </c>
      <c r="I13822" t="s">
        <v>31393</v>
      </c>
      <c r="J13822" t="s">
        <v>39861</v>
      </c>
      <c r="K13822" t="s">
        <v>40665</v>
      </c>
      <c r="M13822" t="s">
        <v>44680</v>
      </c>
      <c r="N13822" t="s">
        <v>44905</v>
      </c>
      <c r="O13822" t="s">
        <v>44906</v>
      </c>
      <c r="P13822">
        <v>0</v>
      </c>
      <c r="Q13822">
        <v>10</v>
      </c>
      <c r="R13822" t="s">
        <v>44923</v>
      </c>
      <c r="S13822" t="s">
        <v>45744</v>
      </c>
      <c r="T13822" t="s">
        <v>46470</v>
      </c>
      <c r="U13822" t="s">
        <v>57934</v>
      </c>
      <c r="W13822" t="s">
        <v>44680</v>
      </c>
      <c r="X13822" t="s">
        <v>44924</v>
      </c>
    </row>
    <row r="13823" spans="1:24">
      <c r="A13823">
        <f>HYPERLINK("https://www.philgeps.gov.ph/GEPSNONPILOT/Tender/SplashBidNoticeAbstractUI.aspx?menuIndex=3&amp;refID=7049766&amp;Result=3","7049766")</f>
        <v>0</v>
      </c>
      <c r="B13823" t="s">
        <v>3328</v>
      </c>
      <c r="C13823" t="s">
        <v>16754</v>
      </c>
      <c r="D13823" t="s">
        <v>18121</v>
      </c>
      <c r="E13823" t="s">
        <v>30149</v>
      </c>
      <c r="F13823" t="s">
        <v>31362</v>
      </c>
      <c r="G13823" t="s">
        <v>31369</v>
      </c>
      <c r="H13823" t="s">
        <v>31378</v>
      </c>
      <c r="I13823" t="s">
        <v>31386</v>
      </c>
      <c r="J13823" t="s">
        <v>39862</v>
      </c>
      <c r="K13823" t="s">
        <v>40679</v>
      </c>
      <c r="M13823" t="s">
        <v>44624</v>
      </c>
      <c r="N13823" t="s">
        <v>44905</v>
      </c>
      <c r="O13823" t="s">
        <v>44906</v>
      </c>
      <c r="P13823">
        <v>0</v>
      </c>
      <c r="Q13823">
        <v>15</v>
      </c>
      <c r="R13823" t="s">
        <v>44923</v>
      </c>
      <c r="S13823" t="s">
        <v>45744</v>
      </c>
      <c r="T13823" t="s">
        <v>46447</v>
      </c>
      <c r="U13823" t="s">
        <v>57935</v>
      </c>
      <c r="V13823" t="s">
        <v>60638</v>
      </c>
      <c r="W13823" t="s">
        <v>44624</v>
      </c>
      <c r="X13823" t="s">
        <v>44924</v>
      </c>
    </row>
    <row r="13824" spans="1:24">
      <c r="A13824">
        <f>HYPERLINK("https://www.philgeps.gov.ph/GEPSNONPILOT/Tender/SplashBidNoticeAbstractUI.aspx?menuIndex=3&amp;refID=7049650&amp;Result=3","7049650")</f>
        <v>0</v>
      </c>
      <c r="B13824" t="s">
        <v>3412</v>
      </c>
      <c r="C13824" t="s">
        <v>16755</v>
      </c>
      <c r="D13824" t="s">
        <v>18130</v>
      </c>
      <c r="E13824" t="s">
        <v>30150</v>
      </c>
      <c r="F13824" t="s">
        <v>31362</v>
      </c>
      <c r="G13824" t="s">
        <v>31369</v>
      </c>
      <c r="H13824" t="s">
        <v>31377</v>
      </c>
      <c r="I13824" t="s">
        <v>31377</v>
      </c>
      <c r="J13824" t="s">
        <v>39863</v>
      </c>
      <c r="K13824" t="s">
        <v>40675</v>
      </c>
      <c r="M13824" t="s">
        <v>44728</v>
      </c>
      <c r="N13824" t="s">
        <v>44905</v>
      </c>
      <c r="O13824" t="s">
        <v>44906</v>
      </c>
      <c r="P13824">
        <v>0</v>
      </c>
      <c r="Q13824">
        <v>4</v>
      </c>
      <c r="R13824" t="s">
        <v>44923</v>
      </c>
      <c r="S13824" t="s">
        <v>45744</v>
      </c>
      <c r="T13824" t="s">
        <v>46481</v>
      </c>
      <c r="U13824" t="s">
        <v>57936</v>
      </c>
      <c r="W13824" t="s">
        <v>44728</v>
      </c>
      <c r="X13824" t="s">
        <v>44924</v>
      </c>
    </row>
    <row r="13825" spans="1:24">
      <c r="A13825">
        <f>HYPERLINK("https://www.philgeps.gov.ph/GEPSNONPILOT/Tender/SplashBidNoticeAbstractUI.aspx?menuIndex=3&amp;refID=7049783&amp;Result=3","7049783")</f>
        <v>0</v>
      </c>
      <c r="B13825" t="s">
        <v>110</v>
      </c>
      <c r="C13825" t="s">
        <v>16756</v>
      </c>
      <c r="D13825" t="s">
        <v>18119</v>
      </c>
      <c r="E13825" t="s">
        <v>30151</v>
      </c>
      <c r="F13825" t="s">
        <v>31362</v>
      </c>
      <c r="G13825" t="s">
        <v>31369</v>
      </c>
      <c r="H13825" t="s">
        <v>15799</v>
      </c>
      <c r="I13825" t="s">
        <v>7719</v>
      </c>
      <c r="J13825" t="s">
        <v>39864</v>
      </c>
      <c r="K13825" t="s">
        <v>40670</v>
      </c>
      <c r="M13825" t="s">
        <v>44680</v>
      </c>
      <c r="N13825" t="s">
        <v>44905</v>
      </c>
      <c r="O13825" t="s">
        <v>44906</v>
      </c>
      <c r="P13825">
        <v>0</v>
      </c>
      <c r="Q13825">
        <v>11</v>
      </c>
      <c r="R13825" t="s">
        <v>44923</v>
      </c>
      <c r="S13825" t="s">
        <v>45744</v>
      </c>
      <c r="T13825" t="s">
        <v>46470</v>
      </c>
      <c r="U13825" t="s">
        <v>57937</v>
      </c>
      <c r="W13825" t="s">
        <v>44680</v>
      </c>
      <c r="X13825" t="s">
        <v>44924</v>
      </c>
    </row>
    <row r="13826" spans="1:24">
      <c r="A13826">
        <f>HYPERLINK("https://www.philgeps.gov.ph/GEPSNONPILOT/Tender/SplashBidNoticeAbstractUI.aspx?menuIndex=3&amp;refID=7049758&amp;Result=3","7049758")</f>
        <v>0</v>
      </c>
      <c r="B13826" t="s">
        <v>110</v>
      </c>
      <c r="C13826" t="s">
        <v>16757</v>
      </c>
      <c r="D13826" t="s">
        <v>18119</v>
      </c>
      <c r="E13826" t="s">
        <v>30152</v>
      </c>
      <c r="F13826" t="s">
        <v>31362</v>
      </c>
      <c r="G13826" t="s">
        <v>31369</v>
      </c>
      <c r="H13826" t="s">
        <v>15799</v>
      </c>
      <c r="I13826" t="s">
        <v>31393</v>
      </c>
      <c r="J13826" t="s">
        <v>39865</v>
      </c>
      <c r="K13826" t="s">
        <v>40665</v>
      </c>
      <c r="M13826" t="s">
        <v>44680</v>
      </c>
      <c r="N13826" t="s">
        <v>44905</v>
      </c>
      <c r="O13826" t="s">
        <v>44906</v>
      </c>
      <c r="P13826">
        <v>0</v>
      </c>
      <c r="Q13826">
        <v>7</v>
      </c>
      <c r="R13826" t="s">
        <v>44923</v>
      </c>
      <c r="S13826" t="s">
        <v>45744</v>
      </c>
      <c r="T13826" t="s">
        <v>46470</v>
      </c>
      <c r="U13826" t="s">
        <v>57938</v>
      </c>
      <c r="W13826" t="s">
        <v>44680</v>
      </c>
      <c r="X13826" t="s">
        <v>44924</v>
      </c>
    </row>
    <row r="13827" spans="1:24">
      <c r="A13827">
        <f>HYPERLINK("https://www.philgeps.gov.ph/GEPSNONPILOT/Tender/SplashBidNoticeAbstractUI.aspx?menuIndex=3&amp;refID=7049754&amp;Result=3","7049754")</f>
        <v>0</v>
      </c>
      <c r="B13827" t="s">
        <v>3230</v>
      </c>
      <c r="C13827" t="s">
        <v>16758</v>
      </c>
      <c r="D13827" t="s">
        <v>18108</v>
      </c>
      <c r="E13827" t="s">
        <v>30153</v>
      </c>
      <c r="F13827" t="s">
        <v>31362</v>
      </c>
      <c r="G13827" t="s">
        <v>31372</v>
      </c>
      <c r="H13827" t="s">
        <v>31377</v>
      </c>
      <c r="I13827" t="s">
        <v>31377</v>
      </c>
      <c r="J13827" t="s">
        <v>31615</v>
      </c>
      <c r="K13827" t="s">
        <v>40736</v>
      </c>
      <c r="M13827" t="s">
        <v>44729</v>
      </c>
      <c r="N13827" t="s">
        <v>44905</v>
      </c>
      <c r="O13827" t="s">
        <v>44906</v>
      </c>
      <c r="Q13827">
        <v>13</v>
      </c>
      <c r="R13827" t="s">
        <v>44923</v>
      </c>
      <c r="S13827" t="s">
        <v>45825</v>
      </c>
      <c r="T13827" t="s">
        <v>46604</v>
      </c>
      <c r="U13827" t="s">
        <v>57939</v>
      </c>
      <c r="W13827" t="s">
        <v>44729</v>
      </c>
      <c r="X13827" t="s">
        <v>44924</v>
      </c>
    </row>
    <row r="13828" spans="1:24">
      <c r="A13828">
        <f>HYPERLINK("https://www.philgeps.gov.ph/GEPSNONPILOT/Tender/SplashBidNoticeAbstractUI.aspx?menuIndex=3&amp;refID=7049746&amp;Result=3","7049746")</f>
        <v>0</v>
      </c>
      <c r="B13828" t="s">
        <v>1991</v>
      </c>
      <c r="C13828" t="s">
        <v>16759</v>
      </c>
      <c r="D13828" t="s">
        <v>18112</v>
      </c>
      <c r="E13828" t="s">
        <v>30154</v>
      </c>
      <c r="F13828" t="s">
        <v>31362</v>
      </c>
      <c r="G13828" t="s">
        <v>31369</v>
      </c>
      <c r="H13828" t="s">
        <v>15799</v>
      </c>
      <c r="I13828" t="s">
        <v>31385</v>
      </c>
      <c r="J13828" t="s">
        <v>39866</v>
      </c>
      <c r="K13828" t="s">
        <v>40665</v>
      </c>
      <c r="M13828" t="s">
        <v>43102</v>
      </c>
      <c r="N13828" t="s">
        <v>44905</v>
      </c>
      <c r="O13828" t="s">
        <v>44906</v>
      </c>
      <c r="P13828">
        <v>0</v>
      </c>
      <c r="Q13828">
        <v>6</v>
      </c>
      <c r="R13828" t="s">
        <v>44923</v>
      </c>
      <c r="S13828" t="s">
        <v>45744</v>
      </c>
      <c r="T13828" t="s">
        <v>46447</v>
      </c>
      <c r="U13828" t="s">
        <v>57940</v>
      </c>
      <c r="W13828" t="s">
        <v>43102</v>
      </c>
      <c r="X13828" t="s">
        <v>44924</v>
      </c>
    </row>
    <row r="13829" spans="1:24">
      <c r="A13829">
        <f>HYPERLINK("https://www.philgeps.gov.ph/GEPSNONPILOT/Tender/SplashBidNoticeAbstractUI.aspx?menuIndex=3&amp;refID=7049732&amp;Result=3","7049732")</f>
        <v>0</v>
      </c>
      <c r="B13829" t="s">
        <v>2969</v>
      </c>
      <c r="C13829" t="s">
        <v>16760</v>
      </c>
      <c r="D13829" t="s">
        <v>18113</v>
      </c>
      <c r="E13829" t="s">
        <v>30155</v>
      </c>
      <c r="F13829" t="s">
        <v>31362</v>
      </c>
      <c r="G13829" t="s">
        <v>31369</v>
      </c>
      <c r="H13829" t="s">
        <v>15799</v>
      </c>
      <c r="I13829" t="s">
        <v>31413</v>
      </c>
      <c r="J13829" t="s">
        <v>39867</v>
      </c>
      <c r="K13829" t="s">
        <v>40675</v>
      </c>
      <c r="M13829" t="s">
        <v>44193</v>
      </c>
      <c r="N13829" t="s">
        <v>44905</v>
      </c>
      <c r="O13829" t="s">
        <v>44906</v>
      </c>
      <c r="Q13829">
        <v>8</v>
      </c>
      <c r="R13829" t="s">
        <v>44923</v>
      </c>
      <c r="S13829" t="s">
        <v>45826</v>
      </c>
      <c r="T13829" t="s">
        <v>46400</v>
      </c>
      <c r="U13829" t="s">
        <v>57941</v>
      </c>
      <c r="W13829" t="s">
        <v>44193</v>
      </c>
      <c r="X13829" t="s">
        <v>44924</v>
      </c>
    </row>
    <row r="13830" spans="1:24">
      <c r="A13830">
        <f>HYPERLINK("https://www.philgeps.gov.ph/GEPSNONPILOT/Tender/SplashBidNoticeAbstractUI.aspx?menuIndex=3&amp;refID=7049788&amp;Result=3","7049788")</f>
        <v>0</v>
      </c>
      <c r="B13830" t="s">
        <v>110</v>
      </c>
      <c r="C13830" t="s">
        <v>16761</v>
      </c>
      <c r="D13830" t="s">
        <v>18119</v>
      </c>
      <c r="E13830" t="s">
        <v>30156</v>
      </c>
      <c r="F13830" t="s">
        <v>31362</v>
      </c>
      <c r="G13830" t="s">
        <v>31369</v>
      </c>
      <c r="H13830" t="s">
        <v>15799</v>
      </c>
      <c r="I13830" t="s">
        <v>31404</v>
      </c>
      <c r="J13830" t="s">
        <v>39868</v>
      </c>
      <c r="K13830" t="s">
        <v>40670</v>
      </c>
      <c r="M13830" t="s">
        <v>44680</v>
      </c>
      <c r="N13830" t="s">
        <v>44905</v>
      </c>
      <c r="O13830" t="s">
        <v>44906</v>
      </c>
      <c r="P13830">
        <v>0</v>
      </c>
      <c r="Q13830">
        <v>3</v>
      </c>
      <c r="R13830" t="s">
        <v>44923</v>
      </c>
      <c r="S13830" t="s">
        <v>45744</v>
      </c>
      <c r="T13830" t="s">
        <v>46470</v>
      </c>
      <c r="U13830" t="s">
        <v>57942</v>
      </c>
      <c r="W13830" t="s">
        <v>44680</v>
      </c>
      <c r="X13830" t="s">
        <v>44924</v>
      </c>
    </row>
    <row r="13831" spans="1:24">
      <c r="A13831">
        <f>HYPERLINK("https://www.philgeps.gov.ph/GEPSNONPILOT/Tender/SplashBidNoticeAbstractUI.aspx?menuIndex=3&amp;refID=7049713&amp;Result=3","7049713")</f>
        <v>0</v>
      </c>
      <c r="B13831" t="s">
        <v>2969</v>
      </c>
      <c r="C13831" t="s">
        <v>16762</v>
      </c>
      <c r="D13831" t="s">
        <v>18113</v>
      </c>
      <c r="E13831" t="s">
        <v>30157</v>
      </c>
      <c r="F13831" t="s">
        <v>31362</v>
      </c>
      <c r="G13831" t="s">
        <v>31369</v>
      </c>
      <c r="H13831" t="s">
        <v>15799</v>
      </c>
      <c r="I13831" t="s">
        <v>31413</v>
      </c>
      <c r="J13831" t="s">
        <v>39869</v>
      </c>
      <c r="K13831" t="s">
        <v>40675</v>
      </c>
      <c r="M13831" t="s">
        <v>44193</v>
      </c>
      <c r="N13831" t="s">
        <v>44905</v>
      </c>
      <c r="O13831" t="s">
        <v>44906</v>
      </c>
      <c r="Q13831">
        <v>8</v>
      </c>
      <c r="R13831" t="s">
        <v>44923</v>
      </c>
      <c r="S13831" t="s">
        <v>45827</v>
      </c>
      <c r="T13831" t="s">
        <v>46400</v>
      </c>
      <c r="U13831" t="s">
        <v>57943</v>
      </c>
      <c r="W13831" t="s">
        <v>44193</v>
      </c>
      <c r="X13831" t="s">
        <v>44924</v>
      </c>
    </row>
    <row r="13832" spans="1:24">
      <c r="A13832">
        <f>HYPERLINK("https://www.philgeps.gov.ph/GEPSNONPILOT/Tender/SplashBidNoticeAbstractUI.aspx?menuIndex=3&amp;refID=7049631&amp;Result=3","7049631")</f>
        <v>0</v>
      </c>
      <c r="B13832" t="s">
        <v>1421</v>
      </c>
      <c r="C13832" t="s">
        <v>16763</v>
      </c>
      <c r="D13832" t="s">
        <v>18155</v>
      </c>
      <c r="E13832" t="s">
        <v>30158</v>
      </c>
      <c r="F13832" t="s">
        <v>31362</v>
      </c>
      <c r="G13832" t="s">
        <v>31369</v>
      </c>
      <c r="H13832" t="s">
        <v>15799</v>
      </c>
      <c r="I13832" t="s">
        <v>31382</v>
      </c>
      <c r="J13832" t="s">
        <v>39870</v>
      </c>
      <c r="K13832" t="s">
        <v>40662</v>
      </c>
      <c r="M13832" t="s">
        <v>42448</v>
      </c>
      <c r="N13832" t="s">
        <v>44905</v>
      </c>
      <c r="O13832" t="s">
        <v>44906</v>
      </c>
      <c r="Q13832">
        <v>54</v>
      </c>
      <c r="R13832" t="s">
        <v>44923</v>
      </c>
      <c r="S13832" t="s">
        <v>45828</v>
      </c>
      <c r="T13832" t="s">
        <v>46435</v>
      </c>
      <c r="U13832" t="s">
        <v>57944</v>
      </c>
      <c r="W13832" t="s">
        <v>42448</v>
      </c>
      <c r="X13832" t="s">
        <v>44924</v>
      </c>
    </row>
    <row r="13833" spans="1:24">
      <c r="A13833">
        <f>HYPERLINK("https://www.philgeps.gov.ph/GEPSNONPILOT/Tender/SplashBidNoticeAbstractUI.aspx?menuIndex=3&amp;refID=7049771&amp;Result=3","7049771")</f>
        <v>0</v>
      </c>
      <c r="B13833" t="s">
        <v>3413</v>
      </c>
      <c r="C13833" t="s">
        <v>16764</v>
      </c>
      <c r="D13833" t="s">
        <v>18171</v>
      </c>
      <c r="E13833" t="s">
        <v>29770</v>
      </c>
      <c r="F13833" t="s">
        <v>31362</v>
      </c>
      <c r="G13833" t="s">
        <v>31369</v>
      </c>
      <c r="H13833" t="s">
        <v>15799</v>
      </c>
      <c r="I13833" t="s">
        <v>31409</v>
      </c>
      <c r="J13833" t="s">
        <v>39871</v>
      </c>
      <c r="K13833" t="s">
        <v>40681</v>
      </c>
      <c r="M13833" t="s">
        <v>44730</v>
      </c>
      <c r="N13833" t="s">
        <v>44905</v>
      </c>
      <c r="O13833" t="s">
        <v>44906</v>
      </c>
      <c r="P13833">
        <v>0</v>
      </c>
      <c r="Q13833">
        <v>10</v>
      </c>
      <c r="R13833" t="s">
        <v>44923</v>
      </c>
      <c r="S13833" t="s">
        <v>45744</v>
      </c>
      <c r="T13833" t="s">
        <v>46400</v>
      </c>
      <c r="U13833" t="s">
        <v>57945</v>
      </c>
      <c r="W13833" t="s">
        <v>44730</v>
      </c>
      <c r="X13833" t="s">
        <v>44924</v>
      </c>
    </row>
    <row r="13834" spans="1:24">
      <c r="A13834">
        <f>HYPERLINK("https://www.philgeps.gov.ph/GEPSNONPILOT/Tender/SplashBidNoticeAbstractUI.aspx?menuIndex=3&amp;refID=7036451&amp;Result=3","7036451")</f>
        <v>0</v>
      </c>
      <c r="B13834" t="s">
        <v>1744</v>
      </c>
      <c r="C13834" t="s">
        <v>5734</v>
      </c>
      <c r="D13834" t="s">
        <v>18123</v>
      </c>
      <c r="E13834" t="s">
        <v>30159</v>
      </c>
      <c r="F13834" t="s">
        <v>31362</v>
      </c>
      <c r="G13834" t="s">
        <v>31369</v>
      </c>
      <c r="H13834" t="s">
        <v>15799</v>
      </c>
      <c r="I13834" t="s">
        <v>31422</v>
      </c>
      <c r="J13834" t="s">
        <v>39872</v>
      </c>
      <c r="K13834" t="s">
        <v>40665</v>
      </c>
      <c r="M13834" t="s">
        <v>42819</v>
      </c>
      <c r="N13834" t="s">
        <v>44905</v>
      </c>
      <c r="O13834" t="s">
        <v>44906</v>
      </c>
      <c r="P13834">
        <v>0</v>
      </c>
      <c r="Q13834">
        <v>3</v>
      </c>
      <c r="R13834" t="s">
        <v>44924</v>
      </c>
      <c r="S13834" t="s">
        <v>45829</v>
      </c>
      <c r="T13834" t="s">
        <v>46447</v>
      </c>
      <c r="U13834" t="s">
        <v>57946</v>
      </c>
      <c r="V13834" t="s">
        <v>60639</v>
      </c>
      <c r="W13834" t="s">
        <v>42819</v>
      </c>
      <c r="X13834" t="s">
        <v>44931</v>
      </c>
    </row>
    <row r="13835" spans="1:24">
      <c r="A13835">
        <f>HYPERLINK("https://www.philgeps.gov.ph/GEPSNONPILOT/Tender/SplashBidNoticeAbstractUI.aspx?menuIndex=3&amp;refID=7049751&amp;Result=3","7049751")</f>
        <v>0</v>
      </c>
      <c r="B13835" t="s">
        <v>298</v>
      </c>
      <c r="C13835" t="s">
        <v>16765</v>
      </c>
      <c r="D13835" t="s">
        <v>18168</v>
      </c>
      <c r="E13835" t="s">
        <v>30160</v>
      </c>
      <c r="F13835" t="s">
        <v>31362</v>
      </c>
      <c r="G13835" t="s">
        <v>31369</v>
      </c>
      <c r="H13835" t="s">
        <v>15799</v>
      </c>
      <c r="I13835" t="s">
        <v>31380</v>
      </c>
      <c r="J13835" t="s">
        <v>39873</v>
      </c>
      <c r="K13835" t="s">
        <v>40670</v>
      </c>
      <c r="M13835" t="s">
        <v>42685</v>
      </c>
      <c r="N13835" t="s">
        <v>44905</v>
      </c>
      <c r="O13835" t="s">
        <v>44906</v>
      </c>
      <c r="P13835">
        <v>0</v>
      </c>
      <c r="Q13835">
        <v>9</v>
      </c>
      <c r="R13835" t="s">
        <v>44923</v>
      </c>
      <c r="S13835" t="s">
        <v>45744</v>
      </c>
      <c r="T13835" t="s">
        <v>46400</v>
      </c>
      <c r="U13835" t="s">
        <v>57947</v>
      </c>
      <c r="W13835" t="s">
        <v>42685</v>
      </c>
      <c r="X13835" t="s">
        <v>44924</v>
      </c>
    </row>
    <row r="13836" spans="1:24">
      <c r="A13836">
        <f>HYPERLINK("https://www.philgeps.gov.ph/GEPSNONPILOT/Tender/SplashBidNoticeAbstractUI.aspx?menuIndex=3&amp;refID=7049792&amp;Result=3","7049792")</f>
        <v>0</v>
      </c>
      <c r="B13836" t="s">
        <v>110</v>
      </c>
      <c r="C13836" t="s">
        <v>16766</v>
      </c>
      <c r="D13836" t="s">
        <v>18119</v>
      </c>
      <c r="E13836" t="s">
        <v>30161</v>
      </c>
      <c r="F13836" t="s">
        <v>31362</v>
      </c>
      <c r="G13836" t="s">
        <v>31369</v>
      </c>
      <c r="H13836" t="s">
        <v>15799</v>
      </c>
      <c r="I13836" t="s">
        <v>31404</v>
      </c>
      <c r="J13836" t="s">
        <v>39874</v>
      </c>
      <c r="K13836" t="s">
        <v>40670</v>
      </c>
      <c r="M13836" t="s">
        <v>44680</v>
      </c>
      <c r="N13836" t="s">
        <v>44905</v>
      </c>
      <c r="O13836" t="s">
        <v>44906</v>
      </c>
      <c r="P13836">
        <v>0</v>
      </c>
      <c r="Q13836">
        <v>1</v>
      </c>
      <c r="R13836" t="s">
        <v>44923</v>
      </c>
      <c r="S13836" t="s">
        <v>45744</v>
      </c>
      <c r="T13836" t="s">
        <v>46470</v>
      </c>
      <c r="U13836" t="s">
        <v>57948</v>
      </c>
      <c r="W13836" t="s">
        <v>44680</v>
      </c>
      <c r="X13836" t="s">
        <v>44924</v>
      </c>
    </row>
    <row r="13837" spans="1:24">
      <c r="A13837">
        <f>HYPERLINK("https://www.philgeps.gov.ph/GEPSNONPILOT/Tender/SplashBidNoticeAbstractUI.aspx?menuIndex=3&amp;refID=7031606&amp;Result=3","7031606")</f>
        <v>0</v>
      </c>
      <c r="B13837" t="s">
        <v>347</v>
      </c>
      <c r="C13837" t="s">
        <v>16767</v>
      </c>
      <c r="D13837" t="s">
        <v>18120</v>
      </c>
      <c r="E13837" t="s">
        <v>24976</v>
      </c>
      <c r="F13837" t="s">
        <v>31362</v>
      </c>
      <c r="G13837" t="s">
        <v>31369</v>
      </c>
      <c r="H13837" t="s">
        <v>31379</v>
      </c>
      <c r="I13837" t="s">
        <v>31408</v>
      </c>
      <c r="J13837" t="s">
        <v>31709</v>
      </c>
      <c r="K13837" t="s">
        <v>40679</v>
      </c>
      <c r="M13837" t="s">
        <v>41293</v>
      </c>
      <c r="N13837" t="s">
        <v>44905</v>
      </c>
      <c r="O13837" t="s">
        <v>44906</v>
      </c>
      <c r="Q13837">
        <v>2</v>
      </c>
      <c r="R13837" t="s">
        <v>44924</v>
      </c>
      <c r="S13837" t="s">
        <v>45830</v>
      </c>
      <c r="T13837" t="s">
        <v>46467</v>
      </c>
      <c r="U13837" t="s">
        <v>57949</v>
      </c>
      <c r="V13837" t="s">
        <v>60640</v>
      </c>
      <c r="W13837" t="s">
        <v>41293</v>
      </c>
      <c r="X13837" t="s">
        <v>44935</v>
      </c>
    </row>
    <row r="13838" spans="1:24">
      <c r="A13838">
        <f>HYPERLINK("https://www.philgeps.gov.ph/GEPSNONPILOT/Tender/SplashBidNoticeAbstractUI.aspx?menuIndex=3&amp;refID=6991554-2&amp;Result=3","6991554-2")</f>
        <v>0</v>
      </c>
      <c r="B13838" t="s">
        <v>3414</v>
      </c>
      <c r="C13838" t="s">
        <v>16768</v>
      </c>
      <c r="D13838" t="s">
        <v>18140</v>
      </c>
      <c r="E13838" t="s">
        <v>30162</v>
      </c>
      <c r="F13838" t="s">
        <v>31362</v>
      </c>
      <c r="G13838" t="s">
        <v>31369</v>
      </c>
      <c r="H13838" t="s">
        <v>31377</v>
      </c>
      <c r="I13838" t="s">
        <v>31377</v>
      </c>
      <c r="J13838" t="s">
        <v>39875</v>
      </c>
      <c r="K13838" t="s">
        <v>40728</v>
      </c>
      <c r="M13838" t="s">
        <v>44731</v>
      </c>
      <c r="N13838" t="s">
        <v>44905</v>
      </c>
      <c r="O13838" t="s">
        <v>44906</v>
      </c>
      <c r="Q13838">
        <v>3</v>
      </c>
      <c r="R13838" t="s">
        <v>44924</v>
      </c>
      <c r="S13838" t="s">
        <v>45350</v>
      </c>
      <c r="T13838" t="s">
        <v>46560</v>
      </c>
      <c r="U13838" t="s">
        <v>57950</v>
      </c>
      <c r="W13838" t="s">
        <v>44731</v>
      </c>
      <c r="X13838" t="s">
        <v>44925</v>
      </c>
    </row>
    <row r="13839" spans="1:24">
      <c r="A13839">
        <f>HYPERLINK("https://www.philgeps.gov.ph/GEPSNONPILOT/Tender/SplashBidNoticeAbstractUI.aspx?menuIndex=3&amp;refID=7049743&amp;Result=3","7049743")</f>
        <v>0</v>
      </c>
      <c r="B13839" t="s">
        <v>110</v>
      </c>
      <c r="C13839" t="s">
        <v>16769</v>
      </c>
      <c r="D13839" t="s">
        <v>18119</v>
      </c>
      <c r="E13839" t="s">
        <v>30163</v>
      </c>
      <c r="F13839" t="s">
        <v>31362</v>
      </c>
      <c r="G13839" t="s">
        <v>31369</v>
      </c>
      <c r="H13839" t="s">
        <v>15799</v>
      </c>
      <c r="I13839" t="s">
        <v>4283</v>
      </c>
      <c r="J13839" t="s">
        <v>39876</v>
      </c>
      <c r="K13839" t="s">
        <v>40670</v>
      </c>
      <c r="M13839" t="s">
        <v>44680</v>
      </c>
      <c r="N13839" t="s">
        <v>44905</v>
      </c>
      <c r="O13839" t="s">
        <v>44906</v>
      </c>
      <c r="P13839">
        <v>0</v>
      </c>
      <c r="Q13839">
        <v>11</v>
      </c>
      <c r="R13839" t="s">
        <v>44923</v>
      </c>
      <c r="S13839" t="s">
        <v>45744</v>
      </c>
      <c r="T13839" t="s">
        <v>46470</v>
      </c>
      <c r="U13839" t="s">
        <v>57951</v>
      </c>
      <c r="W13839" t="s">
        <v>44680</v>
      </c>
      <c r="X13839" t="s">
        <v>44924</v>
      </c>
    </row>
    <row r="13840" spans="1:24">
      <c r="A13840">
        <f>HYPERLINK("https://www.philgeps.gov.ph/GEPSNONPILOT/Tender/SplashBidNoticeAbstractUI.aspx?menuIndex=3&amp;refID=7027208&amp;Result=3","7027208")</f>
        <v>0</v>
      </c>
      <c r="B13840" t="s">
        <v>228</v>
      </c>
      <c r="C13840" t="s">
        <v>16770</v>
      </c>
      <c r="D13840" t="s">
        <v>18175</v>
      </c>
      <c r="E13840" t="s">
        <v>26553</v>
      </c>
      <c r="F13840" t="s">
        <v>31362</v>
      </c>
      <c r="G13840" t="s">
        <v>31369</v>
      </c>
      <c r="H13840" t="s">
        <v>15799</v>
      </c>
      <c r="I13840" t="s">
        <v>31396</v>
      </c>
      <c r="J13840" t="s">
        <v>39877</v>
      </c>
      <c r="K13840" t="s">
        <v>40682</v>
      </c>
      <c r="M13840" t="s">
        <v>41167</v>
      </c>
      <c r="N13840" t="s">
        <v>44905</v>
      </c>
      <c r="O13840" t="s">
        <v>44906</v>
      </c>
      <c r="Q13840">
        <v>45</v>
      </c>
      <c r="R13840" t="s">
        <v>44924</v>
      </c>
      <c r="S13840" t="s">
        <v>45831</v>
      </c>
      <c r="T13840" t="s">
        <v>46411</v>
      </c>
      <c r="U13840" t="s">
        <v>57952</v>
      </c>
      <c r="V13840" t="s">
        <v>60641</v>
      </c>
      <c r="W13840" t="s">
        <v>41167</v>
      </c>
      <c r="X13840" t="s">
        <v>44936</v>
      </c>
    </row>
    <row r="13841" spans="1:24">
      <c r="A13841">
        <f>HYPERLINK("https://www.philgeps.gov.ph/GEPSNONPILOT/Tender/SplashBidNoticeAbstractUI.aspx?menuIndex=3&amp;refID=7031707&amp;Result=3","7031707")</f>
        <v>0</v>
      </c>
      <c r="B13841" t="s">
        <v>1164</v>
      </c>
      <c r="C13841" t="s">
        <v>16771</v>
      </c>
      <c r="D13841" t="s">
        <v>18124</v>
      </c>
      <c r="E13841" t="s">
        <v>21601</v>
      </c>
      <c r="F13841" t="s">
        <v>31362</v>
      </c>
      <c r="G13841" t="s">
        <v>31369</v>
      </c>
      <c r="H13841" t="s">
        <v>31379</v>
      </c>
      <c r="I13841" t="s">
        <v>31436</v>
      </c>
      <c r="J13841" t="s">
        <v>32249</v>
      </c>
      <c r="K13841" t="s">
        <v>40769</v>
      </c>
      <c r="M13841" t="s">
        <v>44732</v>
      </c>
      <c r="N13841" t="s">
        <v>44905</v>
      </c>
      <c r="O13841" t="s">
        <v>44906</v>
      </c>
      <c r="P13841">
        <v>0</v>
      </c>
      <c r="Q13841">
        <v>2</v>
      </c>
      <c r="R13841" t="s">
        <v>44924</v>
      </c>
      <c r="S13841" t="s">
        <v>45829</v>
      </c>
      <c r="T13841" t="s">
        <v>46443</v>
      </c>
      <c r="U13841" t="s">
        <v>57953</v>
      </c>
      <c r="W13841" t="s">
        <v>44732</v>
      </c>
      <c r="X13841" t="s">
        <v>44935</v>
      </c>
    </row>
    <row r="13842" spans="1:24">
      <c r="A13842">
        <f>HYPERLINK("https://www.philgeps.gov.ph/GEPSNONPILOT/Tender/SplashBidNoticeAbstractUI.aspx?menuIndex=3&amp;refID=7049821&amp;Result=3","7049821")</f>
        <v>0</v>
      </c>
      <c r="B13842" t="s">
        <v>2107</v>
      </c>
      <c r="C13842" t="s">
        <v>16772</v>
      </c>
      <c r="D13842" t="s">
        <v>18167</v>
      </c>
      <c r="E13842" t="s">
        <v>30164</v>
      </c>
      <c r="F13842" t="s">
        <v>31362</v>
      </c>
      <c r="G13842" t="s">
        <v>31369</v>
      </c>
      <c r="H13842" t="s">
        <v>15799</v>
      </c>
      <c r="I13842" t="s">
        <v>7090</v>
      </c>
      <c r="J13842" t="s">
        <v>31529</v>
      </c>
      <c r="K13842" t="s">
        <v>40665</v>
      </c>
      <c r="M13842" t="s">
        <v>43233</v>
      </c>
      <c r="N13842" t="s">
        <v>44905</v>
      </c>
      <c r="O13842" t="s">
        <v>44906</v>
      </c>
      <c r="P13842">
        <v>0</v>
      </c>
      <c r="Q13842">
        <v>6</v>
      </c>
      <c r="R13842" t="s">
        <v>44923</v>
      </c>
      <c r="S13842" t="s">
        <v>45744</v>
      </c>
      <c r="T13842" t="s">
        <v>46467</v>
      </c>
      <c r="U13842" t="s">
        <v>57954</v>
      </c>
      <c r="W13842" t="s">
        <v>43233</v>
      </c>
      <c r="X13842" t="s">
        <v>44924</v>
      </c>
    </row>
    <row r="13843" spans="1:24">
      <c r="A13843">
        <f>HYPERLINK("https://www.philgeps.gov.ph/GEPSNONPILOT/Tender/SplashBidNoticeAbstractUI.aspx?menuIndex=3&amp;refID=7049819&amp;Result=3","7049819")</f>
        <v>0</v>
      </c>
      <c r="B13843" t="s">
        <v>2107</v>
      </c>
      <c r="C13843" t="s">
        <v>16773</v>
      </c>
      <c r="D13843" t="s">
        <v>18167</v>
      </c>
      <c r="E13843" t="s">
        <v>30165</v>
      </c>
      <c r="F13843" t="s">
        <v>31362</v>
      </c>
      <c r="G13843" t="s">
        <v>31369</v>
      </c>
      <c r="H13843" t="s">
        <v>15799</v>
      </c>
      <c r="I13843" t="s">
        <v>4942</v>
      </c>
      <c r="J13843" t="s">
        <v>39878</v>
      </c>
      <c r="K13843" t="s">
        <v>40676</v>
      </c>
      <c r="M13843" t="s">
        <v>43233</v>
      </c>
      <c r="N13843" t="s">
        <v>44905</v>
      </c>
      <c r="O13843" t="s">
        <v>44906</v>
      </c>
      <c r="P13843">
        <v>0</v>
      </c>
      <c r="Q13843">
        <v>0</v>
      </c>
      <c r="R13843" t="s">
        <v>44923</v>
      </c>
      <c r="S13843" t="s">
        <v>45744</v>
      </c>
      <c r="T13843" t="s">
        <v>46467</v>
      </c>
      <c r="U13843" t="s">
        <v>57955</v>
      </c>
      <c r="W13843" t="s">
        <v>43233</v>
      </c>
      <c r="X13843" t="s">
        <v>44924</v>
      </c>
    </row>
    <row r="13844" spans="1:24">
      <c r="A13844">
        <f>HYPERLINK("https://www.philgeps.gov.ph/GEPSNONPILOT/Tender/SplashBidNoticeAbstractUI.aspx?menuIndex=3&amp;refID=7049817&amp;Result=3","7049817")</f>
        <v>0</v>
      </c>
      <c r="B13844" t="s">
        <v>110</v>
      </c>
      <c r="C13844" t="s">
        <v>16774</v>
      </c>
      <c r="D13844" t="s">
        <v>18119</v>
      </c>
      <c r="E13844" t="s">
        <v>30166</v>
      </c>
      <c r="F13844" t="s">
        <v>31362</v>
      </c>
      <c r="G13844" t="s">
        <v>31369</v>
      </c>
      <c r="H13844" t="s">
        <v>15799</v>
      </c>
      <c r="I13844" t="s">
        <v>7090</v>
      </c>
      <c r="J13844" t="s">
        <v>34497</v>
      </c>
      <c r="K13844" t="s">
        <v>40670</v>
      </c>
      <c r="M13844" t="s">
        <v>44680</v>
      </c>
      <c r="N13844" t="s">
        <v>44905</v>
      </c>
      <c r="O13844" t="s">
        <v>44906</v>
      </c>
      <c r="Q13844">
        <v>4</v>
      </c>
      <c r="R13844" t="s">
        <v>44923</v>
      </c>
      <c r="S13844" t="s">
        <v>45832</v>
      </c>
      <c r="T13844" t="s">
        <v>46470</v>
      </c>
      <c r="U13844" t="s">
        <v>57956</v>
      </c>
      <c r="W13844" t="s">
        <v>44680</v>
      </c>
      <c r="X13844" t="s">
        <v>44924</v>
      </c>
    </row>
    <row r="13845" spans="1:24">
      <c r="A13845">
        <f>HYPERLINK("https://www.philgeps.gov.ph/GEPSNONPILOT/Tender/SplashBidNoticeAbstractUI.aspx?menuIndex=3&amp;refID=7049827&amp;Result=3","7049827")</f>
        <v>0</v>
      </c>
      <c r="B13845" t="s">
        <v>2107</v>
      </c>
      <c r="C13845" t="s">
        <v>16775</v>
      </c>
      <c r="D13845" t="s">
        <v>18167</v>
      </c>
      <c r="E13845" t="s">
        <v>30167</v>
      </c>
      <c r="F13845" t="s">
        <v>31362</v>
      </c>
      <c r="G13845" t="s">
        <v>31369</v>
      </c>
      <c r="H13845" t="s">
        <v>31378</v>
      </c>
      <c r="I13845" t="s">
        <v>31386</v>
      </c>
      <c r="J13845" t="s">
        <v>39879</v>
      </c>
      <c r="K13845" t="s">
        <v>40886</v>
      </c>
      <c r="M13845" t="s">
        <v>43233</v>
      </c>
      <c r="N13845" t="s">
        <v>44905</v>
      </c>
      <c r="O13845" t="s">
        <v>44906</v>
      </c>
      <c r="P13845">
        <v>0</v>
      </c>
      <c r="Q13845">
        <v>0</v>
      </c>
      <c r="R13845" t="s">
        <v>44923</v>
      </c>
      <c r="S13845" t="s">
        <v>45744</v>
      </c>
      <c r="T13845" t="s">
        <v>46467</v>
      </c>
      <c r="U13845" t="s">
        <v>57957</v>
      </c>
      <c r="W13845" t="s">
        <v>43233</v>
      </c>
      <c r="X13845" t="s">
        <v>44924</v>
      </c>
    </row>
    <row r="13846" spans="1:24">
      <c r="A13846">
        <f>HYPERLINK("https://www.philgeps.gov.ph/GEPSNONPILOT/Tender/SplashBidNoticeAbstractUI.aspx?menuIndex=3&amp;refID=7049815&amp;Result=3","7049815")</f>
        <v>0</v>
      </c>
      <c r="B13846" t="s">
        <v>110</v>
      </c>
      <c r="C13846" t="s">
        <v>16776</v>
      </c>
      <c r="D13846" t="s">
        <v>18119</v>
      </c>
      <c r="E13846" t="s">
        <v>30168</v>
      </c>
      <c r="F13846" t="s">
        <v>31362</v>
      </c>
      <c r="G13846" t="s">
        <v>31369</v>
      </c>
      <c r="H13846" t="s">
        <v>15799</v>
      </c>
      <c r="I13846" t="s">
        <v>31456</v>
      </c>
      <c r="J13846" t="s">
        <v>39880</v>
      </c>
      <c r="K13846" t="s">
        <v>40670</v>
      </c>
      <c r="M13846" t="s">
        <v>44680</v>
      </c>
      <c r="N13846" t="s">
        <v>44905</v>
      </c>
      <c r="O13846" t="s">
        <v>44906</v>
      </c>
      <c r="P13846">
        <v>0</v>
      </c>
      <c r="Q13846">
        <v>1</v>
      </c>
      <c r="R13846" t="s">
        <v>44923</v>
      </c>
      <c r="S13846" t="s">
        <v>45744</v>
      </c>
      <c r="T13846" t="s">
        <v>46470</v>
      </c>
      <c r="U13846" t="s">
        <v>57958</v>
      </c>
      <c r="W13846" t="s">
        <v>44680</v>
      </c>
      <c r="X13846" t="s">
        <v>44924</v>
      </c>
    </row>
    <row r="13847" spans="1:24">
      <c r="A13847">
        <f>HYPERLINK("https://www.philgeps.gov.ph/GEPSNONPILOT/Tender/SplashBidNoticeAbstractUI.aspx?menuIndex=3&amp;refID=7036696&amp;Result=3","7036696")</f>
        <v>0</v>
      </c>
      <c r="B13847" t="s">
        <v>1483</v>
      </c>
      <c r="C13847" t="s">
        <v>16777</v>
      </c>
      <c r="D13847" t="s">
        <v>18131</v>
      </c>
      <c r="E13847" t="s">
        <v>30169</v>
      </c>
      <c r="F13847" t="s">
        <v>31362</v>
      </c>
      <c r="G13847" t="s">
        <v>31369</v>
      </c>
      <c r="H13847" t="s">
        <v>15799</v>
      </c>
      <c r="I13847" t="s">
        <v>3815</v>
      </c>
      <c r="J13847" t="s">
        <v>39881</v>
      </c>
      <c r="K13847" t="s">
        <v>40665</v>
      </c>
      <c r="M13847" t="s">
        <v>42520</v>
      </c>
      <c r="N13847" t="s">
        <v>44905</v>
      </c>
      <c r="O13847" t="s">
        <v>44906</v>
      </c>
      <c r="P13847">
        <v>0</v>
      </c>
      <c r="Q13847">
        <v>9</v>
      </c>
      <c r="R13847" t="s">
        <v>44924</v>
      </c>
      <c r="S13847" t="s">
        <v>45829</v>
      </c>
      <c r="T13847" t="s">
        <v>46409</v>
      </c>
      <c r="U13847" t="s">
        <v>56483</v>
      </c>
      <c r="V13847" t="s">
        <v>59468</v>
      </c>
      <c r="W13847" t="s">
        <v>42520</v>
      </c>
      <c r="X13847" t="s">
        <v>44931</v>
      </c>
    </row>
    <row r="13848" spans="1:24">
      <c r="A13848">
        <f>HYPERLINK("https://www.philgeps.gov.ph/GEPSNONPILOT/Tender/SplashBidNoticeAbstractUI.aspx?menuIndex=3&amp;refID=7036632&amp;Result=3","7036632")</f>
        <v>0</v>
      </c>
      <c r="B13848" t="s">
        <v>1483</v>
      </c>
      <c r="C13848" t="s">
        <v>16778</v>
      </c>
      <c r="D13848" t="s">
        <v>18131</v>
      </c>
      <c r="E13848" t="s">
        <v>30170</v>
      </c>
      <c r="F13848" t="s">
        <v>31362</v>
      </c>
      <c r="G13848" t="s">
        <v>31369</v>
      </c>
      <c r="H13848" t="s">
        <v>15799</v>
      </c>
      <c r="I13848" t="s">
        <v>31433</v>
      </c>
      <c r="J13848" t="s">
        <v>39882</v>
      </c>
      <c r="K13848" t="s">
        <v>40665</v>
      </c>
      <c r="M13848" t="s">
        <v>42520</v>
      </c>
      <c r="N13848" t="s">
        <v>44905</v>
      </c>
      <c r="O13848" t="s">
        <v>44906</v>
      </c>
      <c r="P13848">
        <v>0</v>
      </c>
      <c r="Q13848">
        <v>14</v>
      </c>
      <c r="R13848" t="s">
        <v>44924</v>
      </c>
      <c r="S13848" t="s">
        <v>45829</v>
      </c>
      <c r="T13848" t="s">
        <v>46409</v>
      </c>
      <c r="U13848" t="s">
        <v>57959</v>
      </c>
      <c r="V13848" t="s">
        <v>59468</v>
      </c>
      <c r="W13848" t="s">
        <v>42520</v>
      </c>
      <c r="X13848" t="s">
        <v>44931</v>
      </c>
    </row>
    <row r="13849" spans="1:24">
      <c r="A13849">
        <f>HYPERLINK("https://www.philgeps.gov.ph/GEPSNONPILOT/Tender/SplashBidNoticeAbstractUI.aspx?menuIndex=3&amp;refID=7032692&amp;Result=3","7032692")</f>
        <v>0</v>
      </c>
      <c r="B13849" t="s">
        <v>3206</v>
      </c>
      <c r="C13849" t="s">
        <v>16779</v>
      </c>
      <c r="D13849" t="s">
        <v>18129</v>
      </c>
      <c r="E13849" t="s">
        <v>19162</v>
      </c>
      <c r="F13849" t="s">
        <v>31362</v>
      </c>
      <c r="G13849" t="s">
        <v>31369</v>
      </c>
      <c r="H13849" t="s">
        <v>31378</v>
      </c>
      <c r="I13849" t="s">
        <v>31386</v>
      </c>
      <c r="J13849" t="s">
        <v>39883</v>
      </c>
      <c r="K13849" t="s">
        <v>40665</v>
      </c>
      <c r="M13849" t="s">
        <v>44476</v>
      </c>
      <c r="N13849" t="s">
        <v>44905</v>
      </c>
      <c r="O13849" t="s">
        <v>44906</v>
      </c>
      <c r="P13849">
        <v>0</v>
      </c>
      <c r="Q13849">
        <v>0</v>
      </c>
      <c r="R13849" t="s">
        <v>44924</v>
      </c>
      <c r="S13849" t="s">
        <v>45829</v>
      </c>
      <c r="T13849" t="s">
        <v>46435</v>
      </c>
      <c r="U13849" t="s">
        <v>56726</v>
      </c>
      <c r="W13849" t="s">
        <v>44476</v>
      </c>
      <c r="X13849" t="s">
        <v>44933</v>
      </c>
    </row>
    <row r="13850" spans="1:24">
      <c r="A13850">
        <f>HYPERLINK("https://www.philgeps.gov.ph/GEPSNONPILOT/Tender/SplashBidNoticeAbstractUI.aspx?menuIndex=3&amp;refID=7049824&amp;Result=3","7049824")</f>
        <v>0</v>
      </c>
      <c r="B13850" t="s">
        <v>110</v>
      </c>
      <c r="C13850" t="s">
        <v>16780</v>
      </c>
      <c r="D13850" t="s">
        <v>18119</v>
      </c>
      <c r="E13850" t="s">
        <v>30171</v>
      </c>
      <c r="F13850" t="s">
        <v>31362</v>
      </c>
      <c r="G13850" t="s">
        <v>31369</v>
      </c>
      <c r="H13850" t="s">
        <v>15799</v>
      </c>
      <c r="I13850" t="s">
        <v>31380</v>
      </c>
      <c r="J13850" t="s">
        <v>39884</v>
      </c>
      <c r="K13850" t="s">
        <v>40670</v>
      </c>
      <c r="M13850" t="s">
        <v>44680</v>
      </c>
      <c r="N13850" t="s">
        <v>44905</v>
      </c>
      <c r="O13850" t="s">
        <v>44906</v>
      </c>
      <c r="P13850">
        <v>0</v>
      </c>
      <c r="Q13850">
        <v>1</v>
      </c>
      <c r="R13850" t="s">
        <v>44923</v>
      </c>
      <c r="S13850" t="s">
        <v>45744</v>
      </c>
      <c r="T13850" t="s">
        <v>46470</v>
      </c>
      <c r="U13850" t="s">
        <v>57960</v>
      </c>
      <c r="W13850" t="s">
        <v>44680</v>
      </c>
      <c r="X13850" t="s">
        <v>44924</v>
      </c>
    </row>
    <row r="13851" spans="1:24">
      <c r="A13851">
        <f>HYPERLINK("https://www.philgeps.gov.ph/GEPSNONPILOT/Tender/SplashBidNoticeAbstractUI.aspx?menuIndex=3&amp;refID=7049727&amp;Result=3","7049727")</f>
        <v>0</v>
      </c>
      <c r="B13851" t="s">
        <v>110</v>
      </c>
      <c r="C13851" t="s">
        <v>16781</v>
      </c>
      <c r="D13851" t="s">
        <v>18119</v>
      </c>
      <c r="E13851" t="s">
        <v>30172</v>
      </c>
      <c r="F13851" t="s">
        <v>31362</v>
      </c>
      <c r="G13851" t="s">
        <v>31369</v>
      </c>
      <c r="H13851" t="s">
        <v>15799</v>
      </c>
      <c r="I13851" t="s">
        <v>7719</v>
      </c>
      <c r="J13851" t="s">
        <v>39885</v>
      </c>
      <c r="K13851" t="s">
        <v>40670</v>
      </c>
      <c r="M13851" t="s">
        <v>44680</v>
      </c>
      <c r="N13851" t="s">
        <v>44905</v>
      </c>
      <c r="O13851" t="s">
        <v>44906</v>
      </c>
      <c r="P13851">
        <v>0</v>
      </c>
      <c r="Q13851">
        <v>13</v>
      </c>
      <c r="R13851" t="s">
        <v>44923</v>
      </c>
      <c r="S13851" t="s">
        <v>45744</v>
      </c>
      <c r="T13851" t="s">
        <v>46470</v>
      </c>
      <c r="U13851" t="s">
        <v>57961</v>
      </c>
      <c r="W13851" t="s">
        <v>44680</v>
      </c>
      <c r="X13851" t="s">
        <v>44924</v>
      </c>
    </row>
    <row r="13852" spans="1:24">
      <c r="A13852">
        <f>HYPERLINK("https://www.philgeps.gov.ph/GEPSNONPILOT/Tender/SplashBidNoticeAbstractUI.aspx?menuIndex=3&amp;refID=7039567&amp;Result=3","7039567")</f>
        <v>0</v>
      </c>
      <c r="B13852" t="s">
        <v>2129</v>
      </c>
      <c r="C13852" t="s">
        <v>16782</v>
      </c>
      <c r="D13852" t="s">
        <v>18170</v>
      </c>
      <c r="E13852" t="s">
        <v>30173</v>
      </c>
      <c r="F13852" t="s">
        <v>31362</v>
      </c>
      <c r="G13852" t="s">
        <v>31369</v>
      </c>
      <c r="H13852" t="s">
        <v>31378</v>
      </c>
      <c r="I13852" t="s">
        <v>31386</v>
      </c>
      <c r="J13852" t="s">
        <v>39886</v>
      </c>
      <c r="K13852" t="s">
        <v>40691</v>
      </c>
      <c r="M13852" t="s">
        <v>43257</v>
      </c>
      <c r="N13852" t="s">
        <v>44905</v>
      </c>
      <c r="O13852" t="s">
        <v>44906</v>
      </c>
      <c r="P13852">
        <v>0</v>
      </c>
      <c r="Q13852">
        <v>1</v>
      </c>
      <c r="R13852" t="s">
        <v>44924</v>
      </c>
      <c r="S13852" t="s">
        <v>45829</v>
      </c>
      <c r="T13852" t="s">
        <v>46447</v>
      </c>
      <c r="U13852" t="s">
        <v>57962</v>
      </c>
      <c r="W13852" t="s">
        <v>43257</v>
      </c>
      <c r="X13852" t="s">
        <v>44930</v>
      </c>
    </row>
    <row r="13853" spans="1:24">
      <c r="A13853">
        <f>HYPERLINK("https://www.philgeps.gov.ph/GEPSNONPILOT/Tender/SplashBidNoticeAbstractUI.aspx?menuIndex=3&amp;refID=7039492&amp;Result=3","7039492")</f>
        <v>0</v>
      </c>
      <c r="B13853" t="s">
        <v>2129</v>
      </c>
      <c r="C13853" t="s">
        <v>16783</v>
      </c>
      <c r="D13853" t="s">
        <v>18170</v>
      </c>
      <c r="E13853" t="s">
        <v>30174</v>
      </c>
      <c r="F13853" t="s">
        <v>31362</v>
      </c>
      <c r="G13853" t="s">
        <v>31369</v>
      </c>
      <c r="H13853" t="s">
        <v>31378</v>
      </c>
      <c r="I13853" t="s">
        <v>31386</v>
      </c>
      <c r="J13853" t="s">
        <v>39887</v>
      </c>
      <c r="K13853" t="s">
        <v>40678</v>
      </c>
      <c r="M13853" t="s">
        <v>43257</v>
      </c>
      <c r="N13853" t="s">
        <v>44905</v>
      </c>
      <c r="O13853" t="s">
        <v>44906</v>
      </c>
      <c r="P13853">
        <v>0</v>
      </c>
      <c r="Q13853">
        <v>1</v>
      </c>
      <c r="R13853" t="s">
        <v>44924</v>
      </c>
      <c r="S13853" t="s">
        <v>45829</v>
      </c>
      <c r="T13853" t="s">
        <v>46447</v>
      </c>
      <c r="U13853" t="s">
        <v>57963</v>
      </c>
      <c r="W13853" t="s">
        <v>43257</v>
      </c>
      <c r="X13853" t="s">
        <v>44930</v>
      </c>
    </row>
    <row r="13854" spans="1:24">
      <c r="A13854">
        <f>HYPERLINK("https://www.philgeps.gov.ph/GEPSNONPILOT/Tender/SplashBidNoticeAbstractUI.aspx?menuIndex=3&amp;refID=7039457&amp;Result=3","7039457")</f>
        <v>0</v>
      </c>
      <c r="B13854" t="s">
        <v>2129</v>
      </c>
      <c r="C13854" t="s">
        <v>16784</v>
      </c>
      <c r="D13854" t="s">
        <v>18170</v>
      </c>
      <c r="E13854" t="s">
        <v>30175</v>
      </c>
      <c r="F13854" t="s">
        <v>31362</v>
      </c>
      <c r="G13854" t="s">
        <v>31369</v>
      </c>
      <c r="H13854" t="s">
        <v>31378</v>
      </c>
      <c r="I13854" t="s">
        <v>31386</v>
      </c>
      <c r="J13854" t="s">
        <v>39888</v>
      </c>
      <c r="K13854" t="s">
        <v>40665</v>
      </c>
      <c r="M13854" t="s">
        <v>43257</v>
      </c>
      <c r="N13854" t="s">
        <v>44905</v>
      </c>
      <c r="O13854" t="s">
        <v>44906</v>
      </c>
      <c r="P13854">
        <v>0</v>
      </c>
      <c r="Q13854">
        <v>1</v>
      </c>
      <c r="R13854" t="s">
        <v>44924</v>
      </c>
      <c r="S13854" t="s">
        <v>45829</v>
      </c>
      <c r="T13854" t="s">
        <v>46447</v>
      </c>
      <c r="U13854" t="s">
        <v>57964</v>
      </c>
      <c r="W13854" t="s">
        <v>43257</v>
      </c>
      <c r="X13854" t="s">
        <v>44930</v>
      </c>
    </row>
    <row r="13855" spans="1:24">
      <c r="A13855">
        <f>HYPERLINK("https://www.philgeps.gov.ph/GEPSNONPILOT/Tender/SplashBidNoticeAbstractUI.aspx?menuIndex=3&amp;refID=7049656&amp;Result=3","7049656")</f>
        <v>0</v>
      </c>
      <c r="B13855" t="s">
        <v>628</v>
      </c>
      <c r="C13855" t="s">
        <v>16785</v>
      </c>
      <c r="D13855" t="s">
        <v>18116</v>
      </c>
      <c r="E13855" t="s">
        <v>30176</v>
      </c>
      <c r="F13855" t="s">
        <v>31362</v>
      </c>
      <c r="G13855" t="s">
        <v>31369</v>
      </c>
      <c r="H13855" t="s">
        <v>15799</v>
      </c>
      <c r="I13855" t="s">
        <v>31434</v>
      </c>
      <c r="J13855" t="s">
        <v>39889</v>
      </c>
      <c r="K13855" t="s">
        <v>40662</v>
      </c>
      <c r="M13855" t="s">
        <v>41588</v>
      </c>
      <c r="N13855" t="s">
        <v>44905</v>
      </c>
      <c r="O13855" t="s">
        <v>44906</v>
      </c>
      <c r="P13855">
        <v>0</v>
      </c>
      <c r="Q13855">
        <v>3</v>
      </c>
      <c r="R13855" t="s">
        <v>44923</v>
      </c>
      <c r="S13855" t="s">
        <v>45744</v>
      </c>
      <c r="T13855" t="s">
        <v>46409</v>
      </c>
      <c r="U13855" t="s">
        <v>57965</v>
      </c>
      <c r="W13855" t="s">
        <v>41588</v>
      </c>
      <c r="X13855" t="s">
        <v>44924</v>
      </c>
    </row>
    <row r="13856" spans="1:24">
      <c r="A13856">
        <f>HYPERLINK("https://www.philgeps.gov.ph/GEPSNONPILOT/Tender/SplashBidNoticeAbstractUI.aspx?menuIndex=3&amp;refID=7039228&amp;Result=3","7039228")</f>
        <v>0</v>
      </c>
      <c r="B13856" t="s">
        <v>2129</v>
      </c>
      <c r="C13856" t="s">
        <v>16786</v>
      </c>
      <c r="D13856" t="s">
        <v>18170</v>
      </c>
      <c r="E13856" t="s">
        <v>30177</v>
      </c>
      <c r="F13856" t="s">
        <v>31362</v>
      </c>
      <c r="G13856" t="s">
        <v>31369</v>
      </c>
      <c r="H13856" t="s">
        <v>31378</v>
      </c>
      <c r="I13856" t="s">
        <v>31386</v>
      </c>
      <c r="J13856" t="s">
        <v>39890</v>
      </c>
      <c r="K13856" t="s">
        <v>40686</v>
      </c>
      <c r="M13856" t="s">
        <v>43257</v>
      </c>
      <c r="N13856" t="s">
        <v>44905</v>
      </c>
      <c r="O13856" t="s">
        <v>44906</v>
      </c>
      <c r="P13856">
        <v>0</v>
      </c>
      <c r="Q13856">
        <v>1</v>
      </c>
      <c r="R13856" t="s">
        <v>44924</v>
      </c>
      <c r="S13856" t="s">
        <v>45829</v>
      </c>
      <c r="T13856" t="s">
        <v>46447</v>
      </c>
      <c r="U13856" t="s">
        <v>57966</v>
      </c>
      <c r="W13856" t="s">
        <v>43257</v>
      </c>
      <c r="X13856" t="s">
        <v>44930</v>
      </c>
    </row>
    <row r="13857" spans="1:24">
      <c r="A13857">
        <f>HYPERLINK("https://www.philgeps.gov.ph/GEPSNONPILOT/Tender/SplashBidNoticeAbstractUI.aspx?menuIndex=3&amp;refID=7039652&amp;Result=3","7039652")</f>
        <v>0</v>
      </c>
      <c r="B13857" t="s">
        <v>2129</v>
      </c>
      <c r="C13857" t="s">
        <v>16787</v>
      </c>
      <c r="D13857" t="s">
        <v>18170</v>
      </c>
      <c r="E13857" t="s">
        <v>30178</v>
      </c>
      <c r="F13857" t="s">
        <v>31362</v>
      </c>
      <c r="G13857" t="s">
        <v>31369</v>
      </c>
      <c r="H13857" t="s">
        <v>31378</v>
      </c>
      <c r="I13857" t="s">
        <v>31386</v>
      </c>
      <c r="J13857" t="s">
        <v>39891</v>
      </c>
      <c r="K13857" t="s">
        <v>40686</v>
      </c>
      <c r="M13857" t="s">
        <v>43257</v>
      </c>
      <c r="N13857" t="s">
        <v>44905</v>
      </c>
      <c r="O13857" t="s">
        <v>44906</v>
      </c>
      <c r="P13857">
        <v>0</v>
      </c>
      <c r="Q13857">
        <v>1</v>
      </c>
      <c r="R13857" t="s">
        <v>44924</v>
      </c>
      <c r="S13857" t="s">
        <v>45829</v>
      </c>
      <c r="T13857" t="s">
        <v>46447</v>
      </c>
      <c r="U13857" t="s">
        <v>57967</v>
      </c>
      <c r="W13857" t="s">
        <v>43257</v>
      </c>
      <c r="X13857" t="s">
        <v>44930</v>
      </c>
    </row>
    <row r="13858" spans="1:24">
      <c r="A13858">
        <f>HYPERLINK("https://www.philgeps.gov.ph/GEPSNONPILOT/Tender/SplashBidNoticeAbstractUI.aspx?menuIndex=3&amp;refID=7049825&amp;Result=3","7049825")</f>
        <v>0</v>
      </c>
      <c r="B13858" t="s">
        <v>2107</v>
      </c>
      <c r="C13858" t="s">
        <v>16788</v>
      </c>
      <c r="D13858" t="s">
        <v>18167</v>
      </c>
      <c r="E13858" t="s">
        <v>30179</v>
      </c>
      <c r="F13858" t="s">
        <v>31362</v>
      </c>
      <c r="G13858" t="s">
        <v>31369</v>
      </c>
      <c r="H13858" t="s">
        <v>15799</v>
      </c>
      <c r="I13858" t="s">
        <v>31404</v>
      </c>
      <c r="J13858" t="s">
        <v>39892</v>
      </c>
      <c r="K13858" t="s">
        <v>40675</v>
      </c>
      <c r="M13858" t="s">
        <v>43233</v>
      </c>
      <c r="N13858" t="s">
        <v>44905</v>
      </c>
      <c r="O13858" t="s">
        <v>44906</v>
      </c>
      <c r="P13858">
        <v>0</v>
      </c>
      <c r="Q13858">
        <v>0</v>
      </c>
      <c r="R13858" t="s">
        <v>44923</v>
      </c>
      <c r="S13858" t="s">
        <v>45744</v>
      </c>
      <c r="T13858" t="s">
        <v>46467</v>
      </c>
      <c r="U13858" t="s">
        <v>57968</v>
      </c>
      <c r="W13858" t="s">
        <v>43233</v>
      </c>
      <c r="X13858" t="s">
        <v>44924</v>
      </c>
    </row>
    <row r="13859" spans="1:24">
      <c r="A13859">
        <f>HYPERLINK("https://www.philgeps.gov.ph/GEPSNONPILOT/Tender/SplashBidNoticeAbstractUI.aspx?menuIndex=3&amp;refID=7039208&amp;Result=3","7039208")</f>
        <v>0</v>
      </c>
      <c r="B13859" t="s">
        <v>2129</v>
      </c>
      <c r="C13859" t="s">
        <v>16789</v>
      </c>
      <c r="D13859" t="s">
        <v>18170</v>
      </c>
      <c r="E13859" t="s">
        <v>30180</v>
      </c>
      <c r="F13859" t="s">
        <v>31362</v>
      </c>
      <c r="G13859" t="s">
        <v>31369</v>
      </c>
      <c r="H13859" t="s">
        <v>31378</v>
      </c>
      <c r="I13859" t="s">
        <v>31386</v>
      </c>
      <c r="J13859" t="s">
        <v>39893</v>
      </c>
      <c r="K13859" t="s">
        <v>40758</v>
      </c>
      <c r="M13859" t="s">
        <v>43257</v>
      </c>
      <c r="N13859" t="s">
        <v>44905</v>
      </c>
      <c r="O13859" t="s">
        <v>44906</v>
      </c>
      <c r="P13859">
        <v>0</v>
      </c>
      <c r="Q13859">
        <v>1</v>
      </c>
      <c r="R13859" t="s">
        <v>44924</v>
      </c>
      <c r="S13859" t="s">
        <v>45829</v>
      </c>
      <c r="T13859" t="s">
        <v>46447</v>
      </c>
      <c r="U13859" t="s">
        <v>57969</v>
      </c>
      <c r="W13859" t="s">
        <v>43257</v>
      </c>
      <c r="X13859" t="s">
        <v>44930</v>
      </c>
    </row>
    <row r="13860" spans="1:24">
      <c r="A13860">
        <f>HYPERLINK("https://www.philgeps.gov.ph/GEPSNONPILOT/Tender/SplashBidNoticeAbstractUI.aspx?menuIndex=3&amp;refID=7039190&amp;Result=3","7039190")</f>
        <v>0</v>
      </c>
      <c r="B13860" t="s">
        <v>2129</v>
      </c>
      <c r="C13860" t="s">
        <v>16790</v>
      </c>
      <c r="D13860" t="s">
        <v>18170</v>
      </c>
      <c r="E13860" t="s">
        <v>30181</v>
      </c>
      <c r="F13860" t="s">
        <v>31362</v>
      </c>
      <c r="G13860" t="s">
        <v>31369</v>
      </c>
      <c r="H13860" t="s">
        <v>31378</v>
      </c>
      <c r="I13860" t="s">
        <v>31386</v>
      </c>
      <c r="J13860" t="s">
        <v>39894</v>
      </c>
      <c r="K13860" t="s">
        <v>40679</v>
      </c>
      <c r="M13860" t="s">
        <v>43257</v>
      </c>
      <c r="N13860" t="s">
        <v>44905</v>
      </c>
      <c r="O13860" t="s">
        <v>44906</v>
      </c>
      <c r="P13860">
        <v>0</v>
      </c>
      <c r="Q13860">
        <v>1</v>
      </c>
      <c r="R13860" t="s">
        <v>44924</v>
      </c>
      <c r="S13860" t="s">
        <v>45829</v>
      </c>
      <c r="T13860" t="s">
        <v>46447</v>
      </c>
      <c r="U13860" t="s">
        <v>57970</v>
      </c>
      <c r="W13860" t="s">
        <v>43257</v>
      </c>
      <c r="X13860" t="s">
        <v>44930</v>
      </c>
    </row>
    <row r="13861" spans="1:24">
      <c r="A13861">
        <f>HYPERLINK("https://www.philgeps.gov.ph/GEPSNONPILOT/Tender/SplashBidNoticeAbstractUI.aspx?menuIndex=3&amp;refID=7038526&amp;Result=3","7038526")</f>
        <v>0</v>
      </c>
      <c r="B13861" t="s">
        <v>959</v>
      </c>
      <c r="C13861" t="s">
        <v>16791</v>
      </c>
      <c r="D13861" t="s">
        <v>18117</v>
      </c>
      <c r="E13861" t="s">
        <v>30182</v>
      </c>
      <c r="F13861" t="s">
        <v>31362</v>
      </c>
      <c r="G13861" t="s">
        <v>31369</v>
      </c>
      <c r="H13861" t="s">
        <v>31378</v>
      </c>
      <c r="I13861" t="s">
        <v>31386</v>
      </c>
      <c r="J13861" t="s">
        <v>33653</v>
      </c>
      <c r="K13861" t="s">
        <v>40679</v>
      </c>
      <c r="M13861" t="s">
        <v>41947</v>
      </c>
      <c r="N13861" t="s">
        <v>44905</v>
      </c>
      <c r="O13861" t="s">
        <v>44906</v>
      </c>
      <c r="Q13861">
        <v>3</v>
      </c>
      <c r="R13861" t="s">
        <v>44924</v>
      </c>
      <c r="S13861" t="s">
        <v>45833</v>
      </c>
      <c r="T13861" t="s">
        <v>46432</v>
      </c>
      <c r="U13861" t="s">
        <v>57971</v>
      </c>
      <c r="V13861" t="s">
        <v>60642</v>
      </c>
      <c r="W13861" t="s">
        <v>41947</v>
      </c>
      <c r="X13861" t="s">
        <v>44930</v>
      </c>
    </row>
    <row r="13862" spans="1:24">
      <c r="A13862">
        <f>HYPERLINK("https://www.philgeps.gov.ph/GEPSNONPILOT/Tender/SplashBidNoticeAbstractUI.aspx?menuIndex=3&amp;refID=7039525&amp;Result=3","7039525")</f>
        <v>0</v>
      </c>
      <c r="B13862" t="s">
        <v>2129</v>
      </c>
      <c r="C13862" t="s">
        <v>16792</v>
      </c>
      <c r="E13862" t="s">
        <v>30183</v>
      </c>
      <c r="F13862" t="s">
        <v>31362</v>
      </c>
      <c r="G13862" t="s">
        <v>31369</v>
      </c>
      <c r="H13862" t="s">
        <v>31378</v>
      </c>
      <c r="I13862" t="s">
        <v>31386</v>
      </c>
      <c r="J13862" t="s">
        <v>39895</v>
      </c>
      <c r="K13862" t="s">
        <v>40682</v>
      </c>
      <c r="M13862" t="s">
        <v>43257</v>
      </c>
      <c r="N13862" t="s">
        <v>44905</v>
      </c>
      <c r="O13862" t="s">
        <v>44906</v>
      </c>
      <c r="P13862">
        <v>0</v>
      </c>
      <c r="Q13862">
        <v>2</v>
      </c>
      <c r="R13862" t="s">
        <v>44924</v>
      </c>
      <c r="S13862" t="s">
        <v>45829</v>
      </c>
      <c r="T13862" t="s">
        <v>46447</v>
      </c>
      <c r="U13862" t="s">
        <v>57972</v>
      </c>
      <c r="W13862" t="s">
        <v>43257</v>
      </c>
      <c r="X13862" t="s">
        <v>44930</v>
      </c>
    </row>
    <row r="13863" spans="1:24">
      <c r="A13863">
        <f>HYPERLINK("https://www.philgeps.gov.ph/GEPSNONPILOT/Tender/SplashBidNoticeAbstractUI.aspx?menuIndex=3&amp;refID=7039435&amp;Result=3","7039435")</f>
        <v>0</v>
      </c>
      <c r="B13863" t="s">
        <v>2129</v>
      </c>
      <c r="C13863" t="s">
        <v>16793</v>
      </c>
      <c r="D13863" t="s">
        <v>18170</v>
      </c>
      <c r="E13863" t="s">
        <v>30184</v>
      </c>
      <c r="F13863" t="s">
        <v>31362</v>
      </c>
      <c r="G13863" t="s">
        <v>31369</v>
      </c>
      <c r="H13863" t="s">
        <v>31378</v>
      </c>
      <c r="I13863" t="s">
        <v>31386</v>
      </c>
      <c r="J13863" t="s">
        <v>39896</v>
      </c>
      <c r="K13863" t="s">
        <v>40665</v>
      </c>
      <c r="M13863" t="s">
        <v>43257</v>
      </c>
      <c r="N13863" t="s">
        <v>44905</v>
      </c>
      <c r="O13863" t="s">
        <v>44906</v>
      </c>
      <c r="P13863">
        <v>0</v>
      </c>
      <c r="Q13863">
        <v>1</v>
      </c>
      <c r="R13863" t="s">
        <v>44924</v>
      </c>
      <c r="S13863" t="s">
        <v>45829</v>
      </c>
      <c r="T13863" t="s">
        <v>46447</v>
      </c>
      <c r="U13863" t="s">
        <v>57973</v>
      </c>
      <c r="W13863" t="s">
        <v>43257</v>
      </c>
      <c r="X13863" t="s">
        <v>44930</v>
      </c>
    </row>
    <row r="13864" spans="1:24">
      <c r="A13864">
        <f>HYPERLINK("https://www.philgeps.gov.ph/GEPSNONPILOT/Tender/SplashBidNoticeAbstractUI.aspx?menuIndex=3&amp;refID=7037617&amp;Result=3","7037617")</f>
        <v>0</v>
      </c>
      <c r="B13864" t="s">
        <v>38</v>
      </c>
      <c r="C13864" t="s">
        <v>3554</v>
      </c>
      <c r="E13864" t="s">
        <v>29157</v>
      </c>
      <c r="F13864" t="s">
        <v>31362</v>
      </c>
      <c r="G13864" t="s">
        <v>31369</v>
      </c>
      <c r="H13864" t="s">
        <v>15799</v>
      </c>
      <c r="I13864" t="s">
        <v>31380</v>
      </c>
      <c r="J13864" t="s">
        <v>32679</v>
      </c>
      <c r="K13864" t="s">
        <v>40662</v>
      </c>
      <c r="M13864" t="s">
        <v>40972</v>
      </c>
      <c r="N13864" t="s">
        <v>44905</v>
      </c>
      <c r="O13864" t="s">
        <v>44906</v>
      </c>
      <c r="P13864">
        <v>0</v>
      </c>
      <c r="Q13864">
        <v>15</v>
      </c>
      <c r="R13864" t="s">
        <v>44924</v>
      </c>
      <c r="S13864" t="s">
        <v>45829</v>
      </c>
      <c r="T13864" t="s">
        <v>46393</v>
      </c>
      <c r="U13864" t="s">
        <v>46942</v>
      </c>
      <c r="W13864" t="s">
        <v>40972</v>
      </c>
      <c r="X13864" t="s">
        <v>44931</v>
      </c>
    </row>
    <row r="13865" spans="1:24">
      <c r="A13865">
        <f>HYPERLINK("https://www.philgeps.gov.ph/GEPSNONPILOT/Tender/SplashBidNoticeAbstractUI.aspx?menuIndex=3&amp;refID=7039688&amp;Result=3","7039688")</f>
        <v>0</v>
      </c>
      <c r="B13865" t="s">
        <v>2129</v>
      </c>
      <c r="C13865" t="s">
        <v>16794</v>
      </c>
      <c r="D13865" t="s">
        <v>18170</v>
      </c>
      <c r="E13865" t="s">
        <v>30185</v>
      </c>
      <c r="F13865" t="s">
        <v>31362</v>
      </c>
      <c r="G13865" t="s">
        <v>31369</v>
      </c>
      <c r="H13865" t="s">
        <v>31378</v>
      </c>
      <c r="I13865" t="s">
        <v>31386</v>
      </c>
      <c r="J13865" t="s">
        <v>39897</v>
      </c>
      <c r="K13865" t="s">
        <v>40694</v>
      </c>
      <c r="M13865" t="s">
        <v>43257</v>
      </c>
      <c r="N13865" t="s">
        <v>44905</v>
      </c>
      <c r="O13865" t="s">
        <v>44906</v>
      </c>
      <c r="P13865">
        <v>0</v>
      </c>
      <c r="Q13865">
        <v>1</v>
      </c>
      <c r="R13865" t="s">
        <v>44924</v>
      </c>
      <c r="S13865" t="s">
        <v>45829</v>
      </c>
      <c r="T13865" t="s">
        <v>46447</v>
      </c>
      <c r="U13865" t="s">
        <v>57974</v>
      </c>
      <c r="W13865" t="s">
        <v>43257</v>
      </c>
      <c r="X13865" t="s">
        <v>44930</v>
      </c>
    </row>
    <row r="13866" spans="1:24">
      <c r="A13866">
        <f>HYPERLINK("https://www.philgeps.gov.ph/GEPSNONPILOT/Tender/SplashBidNoticeAbstractUI.aspx?menuIndex=3&amp;refID=7038925&amp;Result=3","7038925")</f>
        <v>0</v>
      </c>
      <c r="B13866" t="s">
        <v>3415</v>
      </c>
      <c r="C13866" t="s">
        <v>16795</v>
      </c>
      <c r="D13866" t="s">
        <v>18110</v>
      </c>
      <c r="E13866" t="s">
        <v>30186</v>
      </c>
      <c r="F13866" t="s">
        <v>31362</v>
      </c>
      <c r="G13866" t="s">
        <v>31369</v>
      </c>
      <c r="H13866" t="s">
        <v>15799</v>
      </c>
      <c r="I13866" t="s">
        <v>31456</v>
      </c>
      <c r="J13866" t="s">
        <v>31606</v>
      </c>
      <c r="K13866" t="s">
        <v>40665</v>
      </c>
      <c r="M13866" t="s">
        <v>44733</v>
      </c>
      <c r="N13866" t="s">
        <v>44905</v>
      </c>
      <c r="O13866" t="s">
        <v>44906</v>
      </c>
      <c r="Q13866">
        <v>9</v>
      </c>
      <c r="R13866" t="s">
        <v>44924</v>
      </c>
      <c r="S13866" t="s">
        <v>45682</v>
      </c>
      <c r="T13866" t="s">
        <v>46409</v>
      </c>
      <c r="U13866" t="s">
        <v>57975</v>
      </c>
      <c r="V13866" t="s">
        <v>60643</v>
      </c>
      <c r="W13866" t="s">
        <v>44733</v>
      </c>
      <c r="X13866" t="s">
        <v>44930</v>
      </c>
    </row>
    <row r="13867" spans="1:24">
      <c r="A13867">
        <f>HYPERLINK("https://www.philgeps.gov.ph/GEPSNONPILOT/Tender/SplashBidNoticeAbstractUI.aspx?menuIndex=3&amp;refID=7043735&amp;Result=3","7043735")</f>
        <v>0</v>
      </c>
      <c r="B13867" t="s">
        <v>2129</v>
      </c>
      <c r="C13867" t="s">
        <v>16796</v>
      </c>
      <c r="D13867" t="s">
        <v>18170</v>
      </c>
      <c r="E13867" t="s">
        <v>30187</v>
      </c>
      <c r="F13867" t="s">
        <v>31362</v>
      </c>
      <c r="G13867" t="s">
        <v>31369</v>
      </c>
      <c r="H13867" t="s">
        <v>15799</v>
      </c>
      <c r="I13867" t="s">
        <v>31396</v>
      </c>
      <c r="J13867" t="s">
        <v>31969</v>
      </c>
      <c r="K13867" t="s">
        <v>40665</v>
      </c>
      <c r="M13867" t="s">
        <v>43257</v>
      </c>
      <c r="N13867" t="s">
        <v>44905</v>
      </c>
      <c r="O13867" t="s">
        <v>44906</v>
      </c>
      <c r="P13867">
        <v>0</v>
      </c>
      <c r="Q13867">
        <v>7</v>
      </c>
      <c r="R13867" t="s">
        <v>44924</v>
      </c>
      <c r="S13867" t="s">
        <v>45829</v>
      </c>
      <c r="T13867" t="s">
        <v>46447</v>
      </c>
      <c r="U13867" t="s">
        <v>57976</v>
      </c>
      <c r="W13867" t="s">
        <v>43257</v>
      </c>
      <c r="X13867" t="s">
        <v>44927</v>
      </c>
    </row>
    <row r="13868" spans="1:24">
      <c r="A13868">
        <f>HYPERLINK("https://www.philgeps.gov.ph/GEPSNONPILOT/Tender/SplashBidNoticeAbstractUI.aspx?menuIndex=3&amp;refID=7043731&amp;Result=3","7043731")</f>
        <v>0</v>
      </c>
      <c r="B13868" t="s">
        <v>2129</v>
      </c>
      <c r="C13868" t="s">
        <v>16797</v>
      </c>
      <c r="D13868" t="s">
        <v>18170</v>
      </c>
      <c r="E13868" t="s">
        <v>30188</v>
      </c>
      <c r="F13868" t="s">
        <v>31362</v>
      </c>
      <c r="G13868" t="s">
        <v>31369</v>
      </c>
      <c r="H13868" t="s">
        <v>15799</v>
      </c>
      <c r="I13868" t="s">
        <v>31385</v>
      </c>
      <c r="J13868" t="s">
        <v>39898</v>
      </c>
      <c r="K13868" t="s">
        <v>40665</v>
      </c>
      <c r="M13868" t="s">
        <v>43257</v>
      </c>
      <c r="N13868" t="s">
        <v>44905</v>
      </c>
      <c r="O13868" t="s">
        <v>44906</v>
      </c>
      <c r="P13868">
        <v>0</v>
      </c>
      <c r="Q13868">
        <v>1</v>
      </c>
      <c r="R13868" t="s">
        <v>44924</v>
      </c>
      <c r="S13868" t="s">
        <v>45829</v>
      </c>
      <c r="T13868" t="s">
        <v>46447</v>
      </c>
      <c r="U13868" t="s">
        <v>57977</v>
      </c>
      <c r="W13868" t="s">
        <v>43257</v>
      </c>
      <c r="X13868" t="s">
        <v>44927</v>
      </c>
    </row>
    <row r="13869" spans="1:24">
      <c r="A13869">
        <f>HYPERLINK("https://www.philgeps.gov.ph/GEPSNONPILOT/Tender/SplashBidNoticeAbstractUI.aspx?menuIndex=3&amp;refID=7043727&amp;Result=3","7043727")</f>
        <v>0</v>
      </c>
      <c r="B13869" t="s">
        <v>2129</v>
      </c>
      <c r="C13869" t="s">
        <v>16798</v>
      </c>
      <c r="D13869" t="s">
        <v>18170</v>
      </c>
      <c r="E13869" t="s">
        <v>30189</v>
      </c>
      <c r="F13869" t="s">
        <v>31362</v>
      </c>
      <c r="G13869" t="s">
        <v>31369</v>
      </c>
      <c r="H13869" t="s">
        <v>15799</v>
      </c>
      <c r="I13869" t="s">
        <v>31423</v>
      </c>
      <c r="J13869" t="s">
        <v>33707</v>
      </c>
      <c r="K13869" t="s">
        <v>40665</v>
      </c>
      <c r="M13869" t="s">
        <v>43257</v>
      </c>
      <c r="N13869" t="s">
        <v>44905</v>
      </c>
      <c r="O13869" t="s">
        <v>44906</v>
      </c>
      <c r="P13869">
        <v>0</v>
      </c>
      <c r="Q13869">
        <v>2</v>
      </c>
      <c r="R13869" t="s">
        <v>44924</v>
      </c>
      <c r="S13869" t="s">
        <v>45829</v>
      </c>
      <c r="T13869" t="s">
        <v>46447</v>
      </c>
      <c r="U13869" t="s">
        <v>57978</v>
      </c>
      <c r="W13869" t="s">
        <v>43257</v>
      </c>
      <c r="X13869" t="s">
        <v>44927</v>
      </c>
    </row>
    <row r="13870" spans="1:24">
      <c r="A13870">
        <f>HYPERLINK("https://www.philgeps.gov.ph/GEPSNONPILOT/Tender/SplashBidNoticeAbstractUI.aspx?menuIndex=3&amp;refID=7043745&amp;Result=3","7043745")</f>
        <v>0</v>
      </c>
      <c r="B13870" t="s">
        <v>2129</v>
      </c>
      <c r="C13870" t="s">
        <v>16799</v>
      </c>
      <c r="D13870" t="s">
        <v>18170</v>
      </c>
      <c r="E13870" t="s">
        <v>30190</v>
      </c>
      <c r="F13870" t="s">
        <v>31362</v>
      </c>
      <c r="G13870" t="s">
        <v>31369</v>
      </c>
      <c r="H13870" t="s">
        <v>15799</v>
      </c>
      <c r="I13870" t="s">
        <v>31430</v>
      </c>
      <c r="J13870" t="s">
        <v>33241</v>
      </c>
      <c r="K13870" t="s">
        <v>40665</v>
      </c>
      <c r="M13870" t="s">
        <v>43257</v>
      </c>
      <c r="N13870" t="s">
        <v>44905</v>
      </c>
      <c r="O13870" t="s">
        <v>44906</v>
      </c>
      <c r="P13870">
        <v>0</v>
      </c>
      <c r="Q13870">
        <v>0</v>
      </c>
      <c r="R13870" t="s">
        <v>44924</v>
      </c>
      <c r="S13870" t="s">
        <v>45829</v>
      </c>
      <c r="T13870" t="s">
        <v>46447</v>
      </c>
      <c r="U13870" t="s">
        <v>57979</v>
      </c>
      <c r="W13870" t="s">
        <v>43257</v>
      </c>
      <c r="X13870" t="s">
        <v>44927</v>
      </c>
    </row>
    <row r="13871" spans="1:24">
      <c r="A13871">
        <f>HYPERLINK("https://www.philgeps.gov.ph/GEPSNONPILOT/Tender/SplashBidNoticeAbstractUI.aspx?menuIndex=3&amp;refID=7043724&amp;Result=3","7043724")</f>
        <v>0</v>
      </c>
      <c r="B13871" t="s">
        <v>2129</v>
      </c>
      <c r="C13871" t="s">
        <v>16800</v>
      </c>
      <c r="D13871" t="s">
        <v>18170</v>
      </c>
      <c r="E13871" t="s">
        <v>30191</v>
      </c>
      <c r="F13871" t="s">
        <v>31362</v>
      </c>
      <c r="G13871" t="s">
        <v>31369</v>
      </c>
      <c r="H13871" t="s">
        <v>15799</v>
      </c>
      <c r="I13871" t="s">
        <v>31430</v>
      </c>
      <c r="J13871" t="s">
        <v>31578</v>
      </c>
      <c r="K13871" t="s">
        <v>40665</v>
      </c>
      <c r="M13871" t="s">
        <v>43257</v>
      </c>
      <c r="N13871" t="s">
        <v>44905</v>
      </c>
      <c r="O13871" t="s">
        <v>44906</v>
      </c>
      <c r="P13871">
        <v>0</v>
      </c>
      <c r="Q13871">
        <v>0</v>
      </c>
      <c r="R13871" t="s">
        <v>44924</v>
      </c>
      <c r="S13871" t="s">
        <v>45829</v>
      </c>
      <c r="T13871" t="s">
        <v>46447</v>
      </c>
      <c r="U13871" t="s">
        <v>57980</v>
      </c>
      <c r="W13871" t="s">
        <v>43257</v>
      </c>
      <c r="X13871" t="s">
        <v>44927</v>
      </c>
    </row>
    <row r="13872" spans="1:24">
      <c r="A13872">
        <f>HYPERLINK("https://www.philgeps.gov.ph/GEPSNONPILOT/Tender/SplashBidNoticeAbstractUI.aspx?menuIndex=3&amp;refID=7039616&amp;Result=3","7039616")</f>
        <v>0</v>
      </c>
      <c r="B13872" t="s">
        <v>2129</v>
      </c>
      <c r="C13872" t="s">
        <v>16801</v>
      </c>
      <c r="D13872" t="s">
        <v>18170</v>
      </c>
      <c r="E13872" t="s">
        <v>30192</v>
      </c>
      <c r="F13872" t="s">
        <v>31362</v>
      </c>
      <c r="G13872" t="s">
        <v>31369</v>
      </c>
      <c r="H13872" t="s">
        <v>31378</v>
      </c>
      <c r="I13872" t="s">
        <v>31386</v>
      </c>
      <c r="J13872" t="s">
        <v>39899</v>
      </c>
      <c r="K13872" t="s">
        <v>40686</v>
      </c>
      <c r="M13872" t="s">
        <v>43257</v>
      </c>
      <c r="N13872" t="s">
        <v>44905</v>
      </c>
      <c r="O13872" t="s">
        <v>44906</v>
      </c>
      <c r="P13872">
        <v>0</v>
      </c>
      <c r="Q13872">
        <v>1</v>
      </c>
      <c r="R13872" t="s">
        <v>44924</v>
      </c>
      <c r="S13872" t="s">
        <v>45829</v>
      </c>
      <c r="T13872" t="s">
        <v>46447</v>
      </c>
      <c r="U13872" t="s">
        <v>57981</v>
      </c>
      <c r="W13872" t="s">
        <v>43257</v>
      </c>
      <c r="X13872" t="s">
        <v>44930</v>
      </c>
    </row>
    <row r="13873" spans="1:24">
      <c r="A13873">
        <f>HYPERLINK("https://www.philgeps.gov.ph/GEPSNONPILOT/Tender/SplashBidNoticeAbstractUI.aspx?menuIndex=3&amp;refID=7043719&amp;Result=3","7043719")</f>
        <v>0</v>
      </c>
      <c r="B13873" t="s">
        <v>2129</v>
      </c>
      <c r="C13873" t="s">
        <v>16802</v>
      </c>
      <c r="D13873" t="s">
        <v>18170</v>
      </c>
      <c r="E13873" t="s">
        <v>30193</v>
      </c>
      <c r="F13873" t="s">
        <v>31362</v>
      </c>
      <c r="G13873" t="s">
        <v>31369</v>
      </c>
      <c r="H13873" t="s">
        <v>15799</v>
      </c>
      <c r="I13873" t="s">
        <v>13635</v>
      </c>
      <c r="J13873" t="s">
        <v>39900</v>
      </c>
      <c r="K13873" t="s">
        <v>40665</v>
      </c>
      <c r="M13873" t="s">
        <v>43257</v>
      </c>
      <c r="N13873" t="s">
        <v>44905</v>
      </c>
      <c r="O13873" t="s">
        <v>44906</v>
      </c>
      <c r="P13873">
        <v>0</v>
      </c>
      <c r="Q13873">
        <v>0</v>
      </c>
      <c r="R13873" t="s">
        <v>44924</v>
      </c>
      <c r="S13873" t="s">
        <v>45829</v>
      </c>
      <c r="T13873" t="s">
        <v>46447</v>
      </c>
      <c r="U13873" t="s">
        <v>57982</v>
      </c>
      <c r="W13873" t="s">
        <v>43257</v>
      </c>
      <c r="X13873" t="s">
        <v>44927</v>
      </c>
    </row>
    <row r="13874" spans="1:24">
      <c r="A13874">
        <f>HYPERLINK("https://www.philgeps.gov.ph/GEPSNONPILOT/Tender/SplashBidNoticeAbstractUI.aspx?menuIndex=3&amp;refID=7043749&amp;Result=3","7043749")</f>
        <v>0</v>
      </c>
      <c r="B13874" t="s">
        <v>2129</v>
      </c>
      <c r="C13874" t="s">
        <v>16803</v>
      </c>
      <c r="D13874" t="s">
        <v>18170</v>
      </c>
      <c r="E13874" t="s">
        <v>30194</v>
      </c>
      <c r="F13874" t="s">
        <v>31362</v>
      </c>
      <c r="G13874" t="s">
        <v>31369</v>
      </c>
      <c r="H13874" t="s">
        <v>15799</v>
      </c>
      <c r="I13874" t="s">
        <v>6240</v>
      </c>
      <c r="J13874" t="s">
        <v>35886</v>
      </c>
      <c r="K13874" t="s">
        <v>40665</v>
      </c>
      <c r="M13874" t="s">
        <v>43257</v>
      </c>
      <c r="N13874" t="s">
        <v>44905</v>
      </c>
      <c r="O13874" t="s">
        <v>44906</v>
      </c>
      <c r="P13874">
        <v>0</v>
      </c>
      <c r="Q13874">
        <v>0</v>
      </c>
      <c r="R13874" t="s">
        <v>44924</v>
      </c>
      <c r="S13874" t="s">
        <v>45829</v>
      </c>
      <c r="T13874" t="s">
        <v>46447</v>
      </c>
      <c r="U13874" t="s">
        <v>57983</v>
      </c>
      <c r="W13874" t="s">
        <v>43257</v>
      </c>
      <c r="X13874" t="s">
        <v>44927</v>
      </c>
    </row>
    <row r="13875" spans="1:24">
      <c r="A13875">
        <f>HYPERLINK("https://www.philgeps.gov.ph/GEPSNONPILOT/Tender/SplashBidNoticeAbstractUI.aspx?menuIndex=3&amp;refID=7043055&amp;Result=3","7043055")</f>
        <v>0</v>
      </c>
      <c r="B13875" t="s">
        <v>2129</v>
      </c>
      <c r="C13875" t="s">
        <v>16804</v>
      </c>
      <c r="D13875" t="s">
        <v>18170</v>
      </c>
      <c r="E13875" t="s">
        <v>30195</v>
      </c>
      <c r="F13875" t="s">
        <v>31362</v>
      </c>
      <c r="G13875" t="s">
        <v>31369</v>
      </c>
      <c r="H13875" t="s">
        <v>15799</v>
      </c>
      <c r="I13875" t="s">
        <v>6240</v>
      </c>
      <c r="J13875" t="s">
        <v>39901</v>
      </c>
      <c r="K13875" t="s">
        <v>40665</v>
      </c>
      <c r="M13875" t="s">
        <v>43257</v>
      </c>
      <c r="N13875" t="s">
        <v>44905</v>
      </c>
      <c r="O13875" t="s">
        <v>44906</v>
      </c>
      <c r="P13875">
        <v>0</v>
      </c>
      <c r="Q13875">
        <v>0</v>
      </c>
      <c r="R13875" t="s">
        <v>44924</v>
      </c>
      <c r="S13875" t="s">
        <v>45829</v>
      </c>
      <c r="T13875" t="s">
        <v>46447</v>
      </c>
      <c r="U13875" t="s">
        <v>57984</v>
      </c>
      <c r="W13875" t="s">
        <v>43257</v>
      </c>
      <c r="X13875" t="s">
        <v>44929</v>
      </c>
    </row>
    <row r="13876" spans="1:24">
      <c r="A13876">
        <f>HYPERLINK("https://www.philgeps.gov.ph/GEPSNONPILOT/Tender/SplashBidNoticeAbstractUI.aspx?menuIndex=3&amp;refID=7043039&amp;Result=3","7043039")</f>
        <v>0</v>
      </c>
      <c r="B13876" t="s">
        <v>2129</v>
      </c>
      <c r="C13876" t="s">
        <v>16805</v>
      </c>
      <c r="D13876" t="s">
        <v>18170</v>
      </c>
      <c r="E13876" t="s">
        <v>30196</v>
      </c>
      <c r="F13876" t="s">
        <v>31362</v>
      </c>
      <c r="G13876" t="s">
        <v>31369</v>
      </c>
      <c r="H13876" t="s">
        <v>15799</v>
      </c>
      <c r="I13876" t="s">
        <v>31424</v>
      </c>
      <c r="J13876" t="s">
        <v>32235</v>
      </c>
      <c r="K13876" t="s">
        <v>40665</v>
      </c>
      <c r="M13876" t="s">
        <v>43257</v>
      </c>
      <c r="N13876" t="s">
        <v>44905</v>
      </c>
      <c r="O13876" t="s">
        <v>44906</v>
      </c>
      <c r="P13876">
        <v>0</v>
      </c>
      <c r="Q13876">
        <v>0</v>
      </c>
      <c r="R13876" t="s">
        <v>44924</v>
      </c>
      <c r="S13876" t="s">
        <v>45829</v>
      </c>
      <c r="T13876" t="s">
        <v>46447</v>
      </c>
      <c r="U13876" t="s">
        <v>57985</v>
      </c>
      <c r="W13876" t="s">
        <v>43257</v>
      </c>
      <c r="X13876" t="s">
        <v>44929</v>
      </c>
    </row>
    <row r="13877" spans="1:24">
      <c r="A13877">
        <f>HYPERLINK("https://www.philgeps.gov.ph/GEPSNONPILOT/Tender/SplashBidNoticeAbstractUI.aspx?menuIndex=3&amp;refID=7043791&amp;Result=3","7043791")</f>
        <v>0</v>
      </c>
      <c r="B13877" t="s">
        <v>2129</v>
      </c>
      <c r="C13877" t="s">
        <v>16806</v>
      </c>
      <c r="D13877" t="s">
        <v>18170</v>
      </c>
      <c r="E13877" t="s">
        <v>30197</v>
      </c>
      <c r="F13877" t="s">
        <v>31362</v>
      </c>
      <c r="G13877" t="s">
        <v>31369</v>
      </c>
      <c r="H13877" t="s">
        <v>15799</v>
      </c>
      <c r="I13877" t="s">
        <v>31393</v>
      </c>
      <c r="J13877" t="s">
        <v>35225</v>
      </c>
      <c r="K13877" t="s">
        <v>40665</v>
      </c>
      <c r="M13877" t="s">
        <v>43257</v>
      </c>
      <c r="N13877" t="s">
        <v>44905</v>
      </c>
      <c r="O13877" t="s">
        <v>44906</v>
      </c>
      <c r="P13877">
        <v>0</v>
      </c>
      <c r="Q13877">
        <v>4</v>
      </c>
      <c r="R13877" t="s">
        <v>44924</v>
      </c>
      <c r="S13877" t="s">
        <v>45829</v>
      </c>
      <c r="T13877" t="s">
        <v>46447</v>
      </c>
      <c r="U13877" t="s">
        <v>57986</v>
      </c>
      <c r="W13877" t="s">
        <v>43257</v>
      </c>
      <c r="X13877" t="s">
        <v>44927</v>
      </c>
    </row>
    <row r="13878" spans="1:24">
      <c r="A13878">
        <f>HYPERLINK("https://www.philgeps.gov.ph/GEPSNONPILOT/Tender/SplashBidNoticeAbstractUI.aspx?menuIndex=3&amp;refID=7037588&amp;Result=3","7037588")</f>
        <v>0</v>
      </c>
      <c r="B13878" t="s">
        <v>38</v>
      </c>
      <c r="C13878" t="s">
        <v>3578</v>
      </c>
      <c r="E13878" t="s">
        <v>30198</v>
      </c>
      <c r="F13878" t="s">
        <v>31362</v>
      </c>
      <c r="G13878" t="s">
        <v>31369</v>
      </c>
      <c r="H13878" t="s">
        <v>15799</v>
      </c>
      <c r="I13878" t="s">
        <v>31380</v>
      </c>
      <c r="J13878" t="s">
        <v>39902</v>
      </c>
      <c r="K13878" t="s">
        <v>40662</v>
      </c>
      <c r="M13878" t="s">
        <v>40972</v>
      </c>
      <c r="N13878" t="s">
        <v>44905</v>
      </c>
      <c r="O13878" t="s">
        <v>44906</v>
      </c>
      <c r="P13878">
        <v>0</v>
      </c>
      <c r="Q13878">
        <v>22</v>
      </c>
      <c r="R13878" t="s">
        <v>44924</v>
      </c>
      <c r="S13878" t="s">
        <v>45829</v>
      </c>
      <c r="T13878" t="s">
        <v>46393</v>
      </c>
      <c r="U13878" t="s">
        <v>46966</v>
      </c>
      <c r="W13878" t="s">
        <v>40972</v>
      </c>
      <c r="X13878" t="s">
        <v>44931</v>
      </c>
    </row>
    <row r="13879" spans="1:24">
      <c r="A13879">
        <f>HYPERLINK("https://www.philgeps.gov.ph/GEPSNONPILOT/Tender/SplashBidNoticeAbstractUI.aspx?menuIndex=3&amp;refID=7043725&amp;Result=3","7043725")</f>
        <v>0</v>
      </c>
      <c r="B13879" t="s">
        <v>2129</v>
      </c>
      <c r="C13879" t="s">
        <v>16807</v>
      </c>
      <c r="D13879" t="s">
        <v>18170</v>
      </c>
      <c r="E13879" t="s">
        <v>30199</v>
      </c>
      <c r="F13879" t="s">
        <v>31362</v>
      </c>
      <c r="G13879" t="s">
        <v>31369</v>
      </c>
      <c r="H13879" t="s">
        <v>15799</v>
      </c>
      <c r="I13879" t="s">
        <v>6240</v>
      </c>
      <c r="J13879" t="s">
        <v>39903</v>
      </c>
      <c r="K13879" t="s">
        <v>40665</v>
      </c>
      <c r="M13879" t="s">
        <v>43257</v>
      </c>
      <c r="N13879" t="s">
        <v>44905</v>
      </c>
      <c r="O13879" t="s">
        <v>44906</v>
      </c>
      <c r="P13879">
        <v>0</v>
      </c>
      <c r="Q13879">
        <v>0</v>
      </c>
      <c r="R13879" t="s">
        <v>44924</v>
      </c>
      <c r="S13879" t="s">
        <v>45829</v>
      </c>
      <c r="T13879" t="s">
        <v>46447</v>
      </c>
      <c r="U13879" t="s">
        <v>57987</v>
      </c>
      <c r="W13879" t="s">
        <v>43257</v>
      </c>
      <c r="X13879" t="s">
        <v>44927</v>
      </c>
    </row>
    <row r="13880" spans="1:24">
      <c r="A13880">
        <f>HYPERLINK("https://www.philgeps.gov.ph/GEPSNONPILOT/Tender/SplashBidNoticeAbstractUI.aspx?menuIndex=3&amp;refID=7044441&amp;Result=3","7044441")</f>
        <v>0</v>
      </c>
      <c r="B13880" t="s">
        <v>3416</v>
      </c>
      <c r="C13880" t="s">
        <v>16808</v>
      </c>
      <c r="D13880" t="s">
        <v>18108</v>
      </c>
      <c r="E13880" t="s">
        <v>30200</v>
      </c>
      <c r="F13880" t="s">
        <v>31362</v>
      </c>
      <c r="G13880" t="s">
        <v>31369</v>
      </c>
      <c r="H13880" t="s">
        <v>15799</v>
      </c>
      <c r="I13880" t="s">
        <v>31397</v>
      </c>
      <c r="J13880" t="s">
        <v>39904</v>
      </c>
      <c r="K13880" t="s">
        <v>40720</v>
      </c>
      <c r="M13880" t="s">
        <v>44734</v>
      </c>
      <c r="N13880" t="s">
        <v>44905</v>
      </c>
      <c r="O13880" t="s">
        <v>44906</v>
      </c>
      <c r="Q13880">
        <v>10</v>
      </c>
      <c r="R13880" t="s">
        <v>44924</v>
      </c>
      <c r="S13880" t="s">
        <v>45834</v>
      </c>
      <c r="T13880" t="s">
        <v>46411</v>
      </c>
      <c r="U13880" t="s">
        <v>57988</v>
      </c>
      <c r="W13880" t="s">
        <v>44734</v>
      </c>
      <c r="X13880" t="s">
        <v>44925</v>
      </c>
    </row>
    <row r="13881" spans="1:24">
      <c r="A13881">
        <f>HYPERLINK("https://www.philgeps.gov.ph/GEPSNONPILOT/Tender/SplashBidNoticeAbstractUI.aspx?menuIndex=3&amp;refID=7039153&amp;Result=3","7039153")</f>
        <v>0</v>
      </c>
      <c r="B13881" t="s">
        <v>2129</v>
      </c>
      <c r="C13881" t="s">
        <v>16809</v>
      </c>
      <c r="D13881" t="s">
        <v>18170</v>
      </c>
      <c r="E13881" t="s">
        <v>30201</v>
      </c>
      <c r="F13881" t="s">
        <v>31362</v>
      </c>
      <c r="G13881" t="s">
        <v>31369</v>
      </c>
      <c r="H13881" t="s">
        <v>31378</v>
      </c>
      <c r="I13881" t="s">
        <v>31386</v>
      </c>
      <c r="J13881" t="s">
        <v>39905</v>
      </c>
      <c r="K13881" t="s">
        <v>40679</v>
      </c>
      <c r="M13881" t="s">
        <v>43257</v>
      </c>
      <c r="N13881" t="s">
        <v>44905</v>
      </c>
      <c r="O13881" t="s">
        <v>44906</v>
      </c>
      <c r="P13881">
        <v>0</v>
      </c>
      <c r="Q13881">
        <v>1</v>
      </c>
      <c r="R13881" t="s">
        <v>44924</v>
      </c>
      <c r="S13881" t="s">
        <v>45829</v>
      </c>
      <c r="T13881" t="s">
        <v>46447</v>
      </c>
      <c r="U13881" t="s">
        <v>57989</v>
      </c>
      <c r="W13881" t="s">
        <v>43257</v>
      </c>
      <c r="X13881" t="s">
        <v>44930</v>
      </c>
    </row>
    <row r="13882" spans="1:24">
      <c r="A13882">
        <f>HYPERLINK("https://www.philgeps.gov.ph/GEPSNONPILOT/Tender/SplashBidNoticeAbstractUI.aspx?menuIndex=3&amp;refID=7039253&amp;Result=3","7039253")</f>
        <v>0</v>
      </c>
      <c r="B13882" t="s">
        <v>2129</v>
      </c>
      <c r="C13882" t="s">
        <v>16810</v>
      </c>
      <c r="D13882" t="s">
        <v>18170</v>
      </c>
      <c r="E13882" t="s">
        <v>30202</v>
      </c>
      <c r="F13882" t="s">
        <v>31362</v>
      </c>
      <c r="G13882" t="s">
        <v>31369</v>
      </c>
      <c r="H13882" t="s">
        <v>31378</v>
      </c>
      <c r="I13882" t="s">
        <v>31386</v>
      </c>
      <c r="J13882" t="s">
        <v>39906</v>
      </c>
      <c r="K13882" t="s">
        <v>40679</v>
      </c>
      <c r="M13882" t="s">
        <v>43257</v>
      </c>
      <c r="N13882" t="s">
        <v>44905</v>
      </c>
      <c r="O13882" t="s">
        <v>44906</v>
      </c>
      <c r="P13882">
        <v>0</v>
      </c>
      <c r="Q13882">
        <v>1</v>
      </c>
      <c r="R13882" t="s">
        <v>44924</v>
      </c>
      <c r="S13882" t="s">
        <v>45829</v>
      </c>
      <c r="T13882" t="s">
        <v>46447</v>
      </c>
      <c r="U13882" t="s">
        <v>57990</v>
      </c>
      <c r="W13882" t="s">
        <v>43257</v>
      </c>
      <c r="X13882" t="s">
        <v>44930</v>
      </c>
    </row>
    <row r="13883" spans="1:24">
      <c r="A13883">
        <f>HYPERLINK("https://www.philgeps.gov.ph/GEPSNONPILOT/Tender/SplashBidNoticeAbstractUI.aspx?menuIndex=3&amp;refID=7044361&amp;Result=3","7044361")</f>
        <v>0</v>
      </c>
      <c r="B13883" t="s">
        <v>2775</v>
      </c>
      <c r="C13883" t="s">
        <v>16811</v>
      </c>
      <c r="D13883" t="s">
        <v>18151</v>
      </c>
      <c r="E13883" t="s">
        <v>30203</v>
      </c>
      <c r="F13883" t="s">
        <v>31362</v>
      </c>
      <c r="G13883" t="s">
        <v>31369</v>
      </c>
      <c r="H13883" t="s">
        <v>15799</v>
      </c>
      <c r="I13883" t="s">
        <v>31397</v>
      </c>
      <c r="J13883" t="s">
        <v>39907</v>
      </c>
      <c r="K13883" t="s">
        <v>40666</v>
      </c>
      <c r="M13883" t="s">
        <v>43968</v>
      </c>
      <c r="N13883" t="s">
        <v>44905</v>
      </c>
      <c r="O13883" t="s">
        <v>44906</v>
      </c>
      <c r="P13883">
        <v>0</v>
      </c>
      <c r="Q13883">
        <v>2</v>
      </c>
      <c r="R13883" t="s">
        <v>44924</v>
      </c>
      <c r="S13883" t="s">
        <v>45829</v>
      </c>
      <c r="T13883" t="s">
        <v>46410</v>
      </c>
      <c r="U13883" t="s">
        <v>57991</v>
      </c>
      <c r="W13883" t="s">
        <v>43968</v>
      </c>
      <c r="X13883" t="s">
        <v>44925</v>
      </c>
    </row>
    <row r="13884" spans="1:24">
      <c r="A13884">
        <f>HYPERLINK("https://www.philgeps.gov.ph/GEPSNONPILOT/Tender/SplashBidNoticeAbstractUI.aspx?menuIndex=3&amp;refID=7044359&amp;Result=3","7044359")</f>
        <v>0</v>
      </c>
      <c r="B13884" t="s">
        <v>1215</v>
      </c>
      <c r="C13884" t="s">
        <v>16812</v>
      </c>
      <c r="D13884" t="s">
        <v>18108</v>
      </c>
      <c r="E13884" t="s">
        <v>30204</v>
      </c>
      <c r="F13884" t="s">
        <v>31362</v>
      </c>
      <c r="G13884" t="s">
        <v>31368</v>
      </c>
      <c r="H13884" t="s">
        <v>15799</v>
      </c>
      <c r="I13884" t="s">
        <v>31430</v>
      </c>
      <c r="J13884" t="s">
        <v>35025</v>
      </c>
      <c r="K13884" t="s">
        <v>40665</v>
      </c>
      <c r="M13884" t="s">
        <v>42228</v>
      </c>
      <c r="N13884" t="s">
        <v>44905</v>
      </c>
      <c r="O13884" t="s">
        <v>44906</v>
      </c>
      <c r="Q13884">
        <v>1</v>
      </c>
      <c r="R13884" t="s">
        <v>44924</v>
      </c>
      <c r="S13884" t="s">
        <v>45802</v>
      </c>
      <c r="T13884" t="s">
        <v>46432</v>
      </c>
      <c r="U13884" t="s">
        <v>56258</v>
      </c>
      <c r="W13884" t="s">
        <v>42228</v>
      </c>
      <c r="X13884" t="s">
        <v>44925</v>
      </c>
    </row>
    <row r="13885" spans="1:24">
      <c r="A13885">
        <f>HYPERLINK("https://www.philgeps.gov.ph/GEPSNONPILOT/Tender/SplashBidNoticeAbstractUI.aspx?menuIndex=3&amp;refID=7044353&amp;Result=3","7044353")</f>
        <v>0</v>
      </c>
      <c r="B13885" t="s">
        <v>213</v>
      </c>
      <c r="C13885" t="s">
        <v>16813</v>
      </c>
      <c r="D13885" t="s">
        <v>18121</v>
      </c>
      <c r="E13885" t="s">
        <v>30205</v>
      </c>
      <c r="F13885" t="s">
        <v>31362</v>
      </c>
      <c r="G13885" t="s">
        <v>31369</v>
      </c>
      <c r="H13885" t="s">
        <v>31378</v>
      </c>
      <c r="I13885" t="s">
        <v>31386</v>
      </c>
      <c r="J13885" t="s">
        <v>38779</v>
      </c>
      <c r="K13885" t="s">
        <v>40682</v>
      </c>
      <c r="M13885" t="s">
        <v>41152</v>
      </c>
      <c r="N13885" t="s">
        <v>44905</v>
      </c>
      <c r="O13885" t="s">
        <v>44906</v>
      </c>
      <c r="P13885">
        <v>0</v>
      </c>
      <c r="Q13885">
        <v>2</v>
      </c>
      <c r="R13885" t="s">
        <v>44924</v>
      </c>
      <c r="S13885" t="s">
        <v>45829</v>
      </c>
      <c r="T13885" t="s">
        <v>46509</v>
      </c>
      <c r="U13885" t="s">
        <v>57992</v>
      </c>
      <c r="V13885" t="s">
        <v>60644</v>
      </c>
      <c r="W13885" t="s">
        <v>41152</v>
      </c>
      <c r="X13885" t="s">
        <v>44925</v>
      </c>
    </row>
    <row r="13886" spans="1:24">
      <c r="A13886">
        <f>HYPERLINK("https://www.philgeps.gov.ph/GEPSNONPILOT/Tender/SplashBidNoticeAbstractUI.aspx?menuIndex=3&amp;refID=7044014&amp;Result=3","7044014")</f>
        <v>0</v>
      </c>
      <c r="B13886" t="s">
        <v>2129</v>
      </c>
      <c r="C13886" t="s">
        <v>16814</v>
      </c>
      <c r="D13886" t="s">
        <v>18170</v>
      </c>
      <c r="E13886" t="s">
        <v>30206</v>
      </c>
      <c r="F13886" t="s">
        <v>31362</v>
      </c>
      <c r="G13886" t="s">
        <v>31369</v>
      </c>
      <c r="H13886" t="s">
        <v>15799</v>
      </c>
      <c r="I13886" t="s">
        <v>31393</v>
      </c>
      <c r="J13886" t="s">
        <v>39908</v>
      </c>
      <c r="K13886" t="s">
        <v>40665</v>
      </c>
      <c r="M13886" t="s">
        <v>43257</v>
      </c>
      <c r="N13886" t="s">
        <v>44905</v>
      </c>
      <c r="O13886" t="s">
        <v>44906</v>
      </c>
      <c r="P13886">
        <v>0</v>
      </c>
      <c r="Q13886">
        <v>3</v>
      </c>
      <c r="R13886" t="s">
        <v>44924</v>
      </c>
      <c r="S13886" t="s">
        <v>45829</v>
      </c>
      <c r="T13886" t="s">
        <v>46447</v>
      </c>
      <c r="U13886" t="s">
        <v>57993</v>
      </c>
      <c r="W13886" t="s">
        <v>43257</v>
      </c>
      <c r="X13886" t="s">
        <v>44926</v>
      </c>
    </row>
    <row r="13887" spans="1:24">
      <c r="A13887">
        <f>HYPERLINK("https://www.philgeps.gov.ph/GEPSNONPILOT/Tender/SplashBidNoticeAbstractUI.aspx?menuIndex=3&amp;refID=7044006&amp;Result=3","7044006")</f>
        <v>0</v>
      </c>
      <c r="B13887" t="s">
        <v>2129</v>
      </c>
      <c r="C13887" t="s">
        <v>16815</v>
      </c>
      <c r="D13887" t="s">
        <v>18170</v>
      </c>
      <c r="E13887" t="s">
        <v>30207</v>
      </c>
      <c r="F13887" t="s">
        <v>31362</v>
      </c>
      <c r="G13887" t="s">
        <v>31369</v>
      </c>
      <c r="H13887" t="s">
        <v>15799</v>
      </c>
      <c r="I13887" t="s">
        <v>7090</v>
      </c>
      <c r="J13887" t="s">
        <v>39909</v>
      </c>
      <c r="K13887" t="s">
        <v>40665</v>
      </c>
      <c r="M13887" t="s">
        <v>43257</v>
      </c>
      <c r="N13887" t="s">
        <v>44905</v>
      </c>
      <c r="O13887" t="s">
        <v>44906</v>
      </c>
      <c r="P13887">
        <v>0</v>
      </c>
      <c r="Q13887">
        <v>0</v>
      </c>
      <c r="R13887" t="s">
        <v>44924</v>
      </c>
      <c r="S13887" t="s">
        <v>45829</v>
      </c>
      <c r="T13887" t="s">
        <v>46447</v>
      </c>
      <c r="U13887" t="s">
        <v>57994</v>
      </c>
      <c r="W13887" t="s">
        <v>43257</v>
      </c>
      <c r="X13887" t="s">
        <v>44926</v>
      </c>
    </row>
    <row r="13888" spans="1:24">
      <c r="A13888">
        <f>HYPERLINK("https://www.philgeps.gov.ph/GEPSNONPILOT/Tender/SplashBidNoticeAbstractUI.aspx?menuIndex=3&amp;refID=7039175&amp;Result=3","7039175")</f>
        <v>0</v>
      </c>
      <c r="B13888" t="s">
        <v>2129</v>
      </c>
      <c r="C13888" t="s">
        <v>16816</v>
      </c>
      <c r="D13888" t="s">
        <v>18170</v>
      </c>
      <c r="E13888" t="s">
        <v>30208</v>
      </c>
      <c r="F13888" t="s">
        <v>31362</v>
      </c>
      <c r="G13888" t="s">
        <v>31369</v>
      </c>
      <c r="H13888" t="s">
        <v>31378</v>
      </c>
      <c r="I13888" t="s">
        <v>31386</v>
      </c>
      <c r="J13888" t="s">
        <v>39910</v>
      </c>
      <c r="K13888" t="s">
        <v>40686</v>
      </c>
      <c r="M13888" t="s">
        <v>43257</v>
      </c>
      <c r="N13888" t="s">
        <v>44905</v>
      </c>
      <c r="O13888" t="s">
        <v>44906</v>
      </c>
      <c r="P13888">
        <v>0</v>
      </c>
      <c r="Q13888">
        <v>1</v>
      </c>
      <c r="R13888" t="s">
        <v>44924</v>
      </c>
      <c r="S13888" t="s">
        <v>45829</v>
      </c>
      <c r="T13888" t="s">
        <v>46447</v>
      </c>
      <c r="U13888" t="s">
        <v>57995</v>
      </c>
      <c r="W13888" t="s">
        <v>43257</v>
      </c>
      <c r="X13888" t="s">
        <v>44930</v>
      </c>
    </row>
    <row r="13889" spans="1:24">
      <c r="A13889">
        <f>HYPERLINK("https://www.philgeps.gov.ph/GEPSNONPILOT/Tender/SplashBidNoticeAbstractUI.aspx?menuIndex=3&amp;refID=7043987&amp;Result=3","7043987")</f>
        <v>0</v>
      </c>
      <c r="B13889" t="s">
        <v>2129</v>
      </c>
      <c r="C13889" t="s">
        <v>16817</v>
      </c>
      <c r="D13889" t="s">
        <v>18170</v>
      </c>
      <c r="E13889" t="s">
        <v>30209</v>
      </c>
      <c r="F13889" t="s">
        <v>31362</v>
      </c>
      <c r="G13889" t="s">
        <v>31369</v>
      </c>
      <c r="H13889" t="s">
        <v>15799</v>
      </c>
      <c r="I13889" t="s">
        <v>7090</v>
      </c>
      <c r="J13889" t="s">
        <v>39911</v>
      </c>
      <c r="K13889" t="s">
        <v>40665</v>
      </c>
      <c r="M13889" t="s">
        <v>43257</v>
      </c>
      <c r="N13889" t="s">
        <v>44905</v>
      </c>
      <c r="O13889" t="s">
        <v>44906</v>
      </c>
      <c r="P13889">
        <v>0</v>
      </c>
      <c r="Q13889">
        <v>0</v>
      </c>
      <c r="R13889" t="s">
        <v>44924</v>
      </c>
      <c r="S13889" t="s">
        <v>45829</v>
      </c>
      <c r="T13889" t="s">
        <v>46447</v>
      </c>
      <c r="U13889" t="s">
        <v>57996</v>
      </c>
      <c r="W13889" t="s">
        <v>43257</v>
      </c>
      <c r="X13889" t="s">
        <v>44926</v>
      </c>
    </row>
    <row r="13890" spans="1:24">
      <c r="A13890">
        <f>HYPERLINK("https://www.philgeps.gov.ph/GEPSNONPILOT/Tender/SplashBidNoticeAbstractUI.aspx?menuIndex=3&amp;refID=7044382&amp;Result=3","7044382")</f>
        <v>0</v>
      </c>
      <c r="B13890" t="s">
        <v>1215</v>
      </c>
      <c r="C13890" t="s">
        <v>16818</v>
      </c>
      <c r="D13890" t="s">
        <v>18108</v>
      </c>
      <c r="E13890" t="s">
        <v>30210</v>
      </c>
      <c r="F13890" t="s">
        <v>31362</v>
      </c>
      <c r="G13890" t="s">
        <v>31368</v>
      </c>
      <c r="H13890" t="s">
        <v>15799</v>
      </c>
      <c r="I13890" t="s">
        <v>13635</v>
      </c>
      <c r="J13890" t="s">
        <v>31531</v>
      </c>
      <c r="K13890" t="s">
        <v>40665</v>
      </c>
      <c r="M13890" t="s">
        <v>42228</v>
      </c>
      <c r="N13890" t="s">
        <v>44905</v>
      </c>
      <c r="O13890" t="s">
        <v>44906</v>
      </c>
      <c r="Q13890">
        <v>10</v>
      </c>
      <c r="R13890" t="s">
        <v>44924</v>
      </c>
      <c r="S13890" t="s">
        <v>45811</v>
      </c>
      <c r="T13890" t="s">
        <v>46432</v>
      </c>
      <c r="U13890" t="s">
        <v>57997</v>
      </c>
      <c r="W13890" t="s">
        <v>42228</v>
      </c>
      <c r="X13890" t="s">
        <v>44925</v>
      </c>
    </row>
    <row r="13891" spans="1:24">
      <c r="A13891">
        <f>HYPERLINK("https://www.philgeps.gov.ph/GEPSNONPILOT/Tender/SplashBidNoticeAbstractUI.aspx?menuIndex=3&amp;refID=7043982&amp;Result=3","7043982")</f>
        <v>0</v>
      </c>
      <c r="B13891" t="s">
        <v>2129</v>
      </c>
      <c r="C13891" t="s">
        <v>16819</v>
      </c>
      <c r="D13891" t="s">
        <v>18170</v>
      </c>
      <c r="E13891" t="s">
        <v>30211</v>
      </c>
      <c r="F13891" t="s">
        <v>31362</v>
      </c>
      <c r="G13891" t="s">
        <v>31369</v>
      </c>
      <c r="H13891" t="s">
        <v>15799</v>
      </c>
      <c r="I13891" t="s">
        <v>31385</v>
      </c>
      <c r="J13891" t="s">
        <v>34099</v>
      </c>
      <c r="K13891" t="s">
        <v>40665</v>
      </c>
      <c r="M13891" t="s">
        <v>43257</v>
      </c>
      <c r="N13891" t="s">
        <v>44905</v>
      </c>
      <c r="O13891" t="s">
        <v>44906</v>
      </c>
      <c r="P13891">
        <v>0</v>
      </c>
      <c r="Q13891">
        <v>1</v>
      </c>
      <c r="R13891" t="s">
        <v>44924</v>
      </c>
      <c r="S13891" t="s">
        <v>45829</v>
      </c>
      <c r="T13891" t="s">
        <v>46416</v>
      </c>
      <c r="U13891" t="s">
        <v>57998</v>
      </c>
      <c r="W13891" t="s">
        <v>43257</v>
      </c>
      <c r="X13891" t="s">
        <v>44926</v>
      </c>
    </row>
    <row r="13892" spans="1:24">
      <c r="A13892">
        <f>HYPERLINK("https://www.philgeps.gov.ph/GEPSNONPILOT/Tender/SplashBidNoticeAbstractUI.aspx?menuIndex=3&amp;refID=7043961&amp;Result=3","7043961")</f>
        <v>0</v>
      </c>
      <c r="B13892" t="s">
        <v>2129</v>
      </c>
      <c r="C13892" t="s">
        <v>16820</v>
      </c>
      <c r="D13892" t="s">
        <v>18170</v>
      </c>
      <c r="E13892" t="s">
        <v>30212</v>
      </c>
      <c r="F13892" t="s">
        <v>31362</v>
      </c>
      <c r="G13892" t="s">
        <v>31369</v>
      </c>
      <c r="H13892" t="s">
        <v>15799</v>
      </c>
      <c r="I13892" t="s">
        <v>3815</v>
      </c>
      <c r="J13892" t="s">
        <v>32278</v>
      </c>
      <c r="K13892" t="s">
        <v>40665</v>
      </c>
      <c r="M13892" t="s">
        <v>43257</v>
      </c>
      <c r="N13892" t="s">
        <v>44905</v>
      </c>
      <c r="O13892" t="s">
        <v>44906</v>
      </c>
      <c r="P13892">
        <v>0</v>
      </c>
      <c r="Q13892">
        <v>3</v>
      </c>
      <c r="R13892" t="s">
        <v>44924</v>
      </c>
      <c r="S13892" t="s">
        <v>45829</v>
      </c>
      <c r="T13892" t="s">
        <v>46447</v>
      </c>
      <c r="U13892" t="s">
        <v>57999</v>
      </c>
      <c r="W13892" t="s">
        <v>43257</v>
      </c>
      <c r="X13892" t="s">
        <v>44926</v>
      </c>
    </row>
    <row r="13893" spans="1:24">
      <c r="A13893">
        <f>HYPERLINK("https://www.philgeps.gov.ph/GEPSNONPILOT/Tender/SplashBidNoticeAbstractUI.aspx?menuIndex=3&amp;refID=7043862&amp;Result=3","7043862")</f>
        <v>0</v>
      </c>
      <c r="B13893" t="s">
        <v>2475</v>
      </c>
      <c r="C13893" t="s">
        <v>16821</v>
      </c>
      <c r="E13893" t="s">
        <v>30213</v>
      </c>
      <c r="F13893" t="s">
        <v>31362</v>
      </c>
      <c r="G13893" t="s">
        <v>31369</v>
      </c>
      <c r="H13893" t="s">
        <v>31378</v>
      </c>
      <c r="I13893" t="s">
        <v>31449</v>
      </c>
      <c r="J13893" t="s">
        <v>31625</v>
      </c>
      <c r="K13893" t="s">
        <v>40665</v>
      </c>
      <c r="M13893" t="s">
        <v>43638</v>
      </c>
      <c r="N13893" t="s">
        <v>44905</v>
      </c>
      <c r="O13893" t="s">
        <v>44906</v>
      </c>
      <c r="P13893">
        <v>0</v>
      </c>
      <c r="Q13893">
        <v>1</v>
      </c>
      <c r="R13893" t="s">
        <v>44924</v>
      </c>
      <c r="S13893" t="s">
        <v>45829</v>
      </c>
      <c r="T13893" t="s">
        <v>46409</v>
      </c>
      <c r="U13893" t="s">
        <v>53703</v>
      </c>
      <c r="W13893" t="s">
        <v>43638</v>
      </c>
      <c r="X13893" t="s">
        <v>44927</v>
      </c>
    </row>
    <row r="13894" spans="1:24">
      <c r="A13894">
        <f>HYPERLINK("https://www.philgeps.gov.ph/GEPSNONPILOT/Tender/SplashBidNoticeAbstractUI.aspx?menuIndex=3&amp;refID=7043723&amp;Result=3","7043723")</f>
        <v>0</v>
      </c>
      <c r="B13894" t="s">
        <v>2129</v>
      </c>
      <c r="C13894" t="s">
        <v>16822</v>
      </c>
      <c r="D13894" t="s">
        <v>18170</v>
      </c>
      <c r="E13894" t="s">
        <v>30214</v>
      </c>
      <c r="F13894" t="s">
        <v>31362</v>
      </c>
      <c r="G13894" t="s">
        <v>31369</v>
      </c>
      <c r="H13894" t="s">
        <v>15799</v>
      </c>
      <c r="I13894" t="s">
        <v>31430</v>
      </c>
      <c r="J13894" t="s">
        <v>39912</v>
      </c>
      <c r="K13894" t="s">
        <v>40665</v>
      </c>
      <c r="M13894" t="s">
        <v>43257</v>
      </c>
      <c r="N13894" t="s">
        <v>44905</v>
      </c>
      <c r="O13894" t="s">
        <v>44906</v>
      </c>
      <c r="P13894">
        <v>0</v>
      </c>
      <c r="Q13894">
        <v>0</v>
      </c>
      <c r="R13894" t="s">
        <v>44924</v>
      </c>
      <c r="S13894" t="s">
        <v>45829</v>
      </c>
      <c r="T13894" t="s">
        <v>46447</v>
      </c>
      <c r="U13894" t="s">
        <v>58000</v>
      </c>
      <c r="W13894" t="s">
        <v>43257</v>
      </c>
      <c r="X13894" t="s">
        <v>44927</v>
      </c>
    </row>
    <row r="13895" spans="1:24">
      <c r="A13895">
        <f>HYPERLINK("https://www.philgeps.gov.ph/GEPSNONPILOT/Tender/SplashBidNoticeAbstractUI.aspx?menuIndex=3&amp;refID=7044438&amp;Result=3","7044438")</f>
        <v>0</v>
      </c>
      <c r="B13895" t="s">
        <v>3382</v>
      </c>
      <c r="C13895" t="s">
        <v>15153</v>
      </c>
      <c r="D13895" t="s">
        <v>18106</v>
      </c>
      <c r="E13895" t="s">
        <v>30215</v>
      </c>
      <c r="F13895" t="s">
        <v>31362</v>
      </c>
      <c r="G13895" t="s">
        <v>31369</v>
      </c>
      <c r="H13895" t="s">
        <v>31378</v>
      </c>
      <c r="I13895" t="s">
        <v>31386</v>
      </c>
      <c r="J13895" t="s">
        <v>31542</v>
      </c>
      <c r="K13895" t="s">
        <v>40682</v>
      </c>
      <c r="M13895" t="s">
        <v>44690</v>
      </c>
      <c r="N13895" t="s">
        <v>44905</v>
      </c>
      <c r="O13895" t="s">
        <v>44906</v>
      </c>
      <c r="P13895">
        <v>0</v>
      </c>
      <c r="Q13895">
        <v>0</v>
      </c>
      <c r="R13895" t="s">
        <v>44924</v>
      </c>
      <c r="S13895" t="s">
        <v>45829</v>
      </c>
      <c r="T13895" t="s">
        <v>46425</v>
      </c>
      <c r="U13895" t="s">
        <v>58001</v>
      </c>
      <c r="W13895" t="s">
        <v>44690</v>
      </c>
      <c r="X13895" t="s">
        <v>44925</v>
      </c>
    </row>
    <row r="13896" spans="1:24">
      <c r="A13896">
        <f>HYPERLINK("https://www.philgeps.gov.ph/GEPSNONPILOT/Tender/SplashBidNoticeAbstractUI.aspx?menuIndex=3&amp;refID=7044415&amp;Result=3","7044415")</f>
        <v>0</v>
      </c>
      <c r="B13896" t="s">
        <v>1337</v>
      </c>
      <c r="C13896" t="s">
        <v>16823</v>
      </c>
      <c r="D13896" t="s">
        <v>18155</v>
      </c>
      <c r="E13896" t="s">
        <v>30216</v>
      </c>
      <c r="F13896" t="s">
        <v>31362</v>
      </c>
      <c r="G13896" t="s">
        <v>31369</v>
      </c>
      <c r="H13896" t="s">
        <v>15799</v>
      </c>
      <c r="I13896" t="s">
        <v>31409</v>
      </c>
      <c r="J13896" t="s">
        <v>33028</v>
      </c>
      <c r="K13896" t="s">
        <v>40666</v>
      </c>
      <c r="M13896" t="s">
        <v>42356</v>
      </c>
      <c r="N13896" t="s">
        <v>44905</v>
      </c>
      <c r="O13896" t="s">
        <v>44906</v>
      </c>
      <c r="P13896">
        <v>0</v>
      </c>
      <c r="Q13896">
        <v>9</v>
      </c>
      <c r="R13896" t="s">
        <v>44924</v>
      </c>
      <c r="S13896" t="s">
        <v>45829</v>
      </c>
      <c r="T13896" t="s">
        <v>46650</v>
      </c>
      <c r="U13896" t="s">
        <v>49954</v>
      </c>
      <c r="W13896" t="s">
        <v>42356</v>
      </c>
      <c r="X13896" t="s">
        <v>44925</v>
      </c>
    </row>
    <row r="13897" spans="1:24">
      <c r="A13897">
        <f>HYPERLINK("https://www.philgeps.gov.ph/GEPSNONPILOT/Tender/SplashBidNoticeAbstractUI.aspx?menuIndex=3&amp;refID=7043794&amp;Result=3","7043794")</f>
        <v>0</v>
      </c>
      <c r="B13897" t="s">
        <v>2129</v>
      </c>
      <c r="C13897" t="s">
        <v>16824</v>
      </c>
      <c r="D13897" t="s">
        <v>18170</v>
      </c>
      <c r="E13897" t="s">
        <v>30217</v>
      </c>
      <c r="F13897" t="s">
        <v>31362</v>
      </c>
      <c r="G13897" t="s">
        <v>31369</v>
      </c>
      <c r="H13897" t="s">
        <v>15799</v>
      </c>
      <c r="I13897" t="s">
        <v>31393</v>
      </c>
      <c r="J13897" t="s">
        <v>39913</v>
      </c>
      <c r="K13897" t="s">
        <v>40665</v>
      </c>
      <c r="M13897" t="s">
        <v>43257</v>
      </c>
      <c r="N13897" t="s">
        <v>44905</v>
      </c>
      <c r="O13897" t="s">
        <v>44906</v>
      </c>
      <c r="P13897">
        <v>0</v>
      </c>
      <c r="Q13897">
        <v>5</v>
      </c>
      <c r="R13897" t="s">
        <v>44924</v>
      </c>
      <c r="S13897" t="s">
        <v>45829</v>
      </c>
      <c r="T13897" t="s">
        <v>46447</v>
      </c>
      <c r="U13897" t="s">
        <v>58002</v>
      </c>
      <c r="W13897" t="s">
        <v>43257</v>
      </c>
      <c r="X13897" t="s">
        <v>44927</v>
      </c>
    </row>
    <row r="13898" spans="1:24">
      <c r="A13898">
        <f>HYPERLINK("https://www.philgeps.gov.ph/GEPSNONPILOT/Tender/SplashBidNoticeAbstractUI.aspx?menuIndex=3&amp;refID=7043022&amp;Result=3","7043022")</f>
        <v>0</v>
      </c>
      <c r="B13898" t="s">
        <v>2129</v>
      </c>
      <c r="C13898" t="s">
        <v>16825</v>
      </c>
      <c r="D13898" t="s">
        <v>18170</v>
      </c>
      <c r="E13898" t="s">
        <v>30196</v>
      </c>
      <c r="F13898" t="s">
        <v>31362</v>
      </c>
      <c r="G13898" t="s">
        <v>31369</v>
      </c>
      <c r="H13898" t="s">
        <v>15799</v>
      </c>
      <c r="I13898" t="s">
        <v>4057</v>
      </c>
      <c r="J13898" t="s">
        <v>32074</v>
      </c>
      <c r="K13898" t="s">
        <v>40665</v>
      </c>
      <c r="M13898" t="s">
        <v>43257</v>
      </c>
      <c r="N13898" t="s">
        <v>44905</v>
      </c>
      <c r="O13898" t="s">
        <v>44906</v>
      </c>
      <c r="P13898">
        <v>0</v>
      </c>
      <c r="Q13898">
        <v>0</v>
      </c>
      <c r="R13898" t="s">
        <v>44924</v>
      </c>
      <c r="S13898" t="s">
        <v>45829</v>
      </c>
      <c r="T13898" t="s">
        <v>46447</v>
      </c>
      <c r="U13898" t="s">
        <v>57985</v>
      </c>
      <c r="W13898" t="s">
        <v>43257</v>
      </c>
      <c r="X13898" t="s">
        <v>44929</v>
      </c>
    </row>
    <row r="13899" spans="1:24">
      <c r="A13899">
        <f>HYPERLINK("https://www.philgeps.gov.ph/GEPSNONPILOT/Tender/SplashBidNoticeAbstractUI.aspx?menuIndex=3&amp;refID=7042896&amp;Result=3","7042896")</f>
        <v>0</v>
      </c>
      <c r="B13899" t="s">
        <v>2129</v>
      </c>
      <c r="C13899" t="s">
        <v>16826</v>
      </c>
      <c r="D13899" t="s">
        <v>18170</v>
      </c>
      <c r="E13899" t="s">
        <v>30218</v>
      </c>
      <c r="F13899" t="s">
        <v>31362</v>
      </c>
      <c r="G13899" t="s">
        <v>31369</v>
      </c>
      <c r="H13899" t="s">
        <v>15799</v>
      </c>
      <c r="I13899" t="s">
        <v>31430</v>
      </c>
      <c r="J13899" t="s">
        <v>33437</v>
      </c>
      <c r="K13899" t="s">
        <v>40665</v>
      </c>
      <c r="M13899" t="s">
        <v>43257</v>
      </c>
      <c r="N13899" t="s">
        <v>44905</v>
      </c>
      <c r="O13899" t="s">
        <v>44906</v>
      </c>
      <c r="P13899">
        <v>0</v>
      </c>
      <c r="Q13899">
        <v>0</v>
      </c>
      <c r="R13899" t="s">
        <v>44924</v>
      </c>
      <c r="S13899" t="s">
        <v>45829</v>
      </c>
      <c r="T13899" t="s">
        <v>46447</v>
      </c>
      <c r="U13899" t="s">
        <v>58003</v>
      </c>
      <c r="W13899" t="s">
        <v>43257</v>
      </c>
      <c r="X13899" t="s">
        <v>44929</v>
      </c>
    </row>
    <row r="13900" spans="1:24">
      <c r="A13900">
        <f>HYPERLINK("https://www.philgeps.gov.ph/GEPSNONPILOT/Tender/SplashBidNoticeAbstractUI.aspx?menuIndex=3&amp;refID=7043785&amp;Result=3","7043785")</f>
        <v>0</v>
      </c>
      <c r="B13900" t="s">
        <v>2129</v>
      </c>
      <c r="C13900" t="s">
        <v>16827</v>
      </c>
      <c r="D13900" t="s">
        <v>18170</v>
      </c>
      <c r="E13900" t="s">
        <v>30219</v>
      </c>
      <c r="F13900" t="s">
        <v>31362</v>
      </c>
      <c r="G13900" t="s">
        <v>31369</v>
      </c>
      <c r="H13900" t="s">
        <v>15799</v>
      </c>
      <c r="I13900" t="s">
        <v>7090</v>
      </c>
      <c r="J13900" t="s">
        <v>39914</v>
      </c>
      <c r="K13900" t="s">
        <v>40665</v>
      </c>
      <c r="M13900" t="s">
        <v>43257</v>
      </c>
      <c r="N13900" t="s">
        <v>44905</v>
      </c>
      <c r="O13900" t="s">
        <v>44906</v>
      </c>
      <c r="P13900">
        <v>0</v>
      </c>
      <c r="Q13900">
        <v>0</v>
      </c>
      <c r="R13900" t="s">
        <v>44924</v>
      </c>
      <c r="S13900" t="s">
        <v>45829</v>
      </c>
      <c r="T13900" t="s">
        <v>46447</v>
      </c>
      <c r="U13900" t="s">
        <v>58004</v>
      </c>
      <c r="W13900" t="s">
        <v>43257</v>
      </c>
      <c r="X13900" t="s">
        <v>44927</v>
      </c>
    </row>
    <row r="13901" spans="1:24">
      <c r="A13901">
        <f>HYPERLINK("https://www.philgeps.gov.ph/GEPSNONPILOT/Tender/SplashBidNoticeAbstractUI.aspx?menuIndex=3&amp;refID=7043965&amp;Result=3","7043965")</f>
        <v>0</v>
      </c>
      <c r="B13901" t="s">
        <v>2129</v>
      </c>
      <c r="C13901" t="s">
        <v>16828</v>
      </c>
      <c r="D13901" t="s">
        <v>18170</v>
      </c>
      <c r="E13901" t="s">
        <v>30220</v>
      </c>
      <c r="F13901" t="s">
        <v>31362</v>
      </c>
      <c r="G13901" t="s">
        <v>31369</v>
      </c>
      <c r="H13901" t="s">
        <v>15799</v>
      </c>
      <c r="I13901" t="s">
        <v>4057</v>
      </c>
      <c r="J13901" t="s">
        <v>39915</v>
      </c>
      <c r="K13901" t="s">
        <v>40665</v>
      </c>
      <c r="M13901" t="s">
        <v>43257</v>
      </c>
      <c r="N13901" t="s">
        <v>44905</v>
      </c>
      <c r="O13901" t="s">
        <v>44906</v>
      </c>
      <c r="P13901">
        <v>0</v>
      </c>
      <c r="Q13901">
        <v>0</v>
      </c>
      <c r="R13901" t="s">
        <v>44924</v>
      </c>
      <c r="S13901" t="s">
        <v>45829</v>
      </c>
      <c r="T13901" t="s">
        <v>46447</v>
      </c>
      <c r="U13901" t="s">
        <v>58005</v>
      </c>
      <c r="W13901" t="s">
        <v>43257</v>
      </c>
      <c r="X13901" t="s">
        <v>44926</v>
      </c>
    </row>
    <row r="13902" spans="1:24">
      <c r="A13902">
        <f>HYPERLINK("https://www.philgeps.gov.ph/GEPSNONPILOT/Tender/SplashBidNoticeAbstractUI.aspx?menuIndex=3&amp;refID=7042427&amp;Result=3","7042427")</f>
        <v>0</v>
      </c>
      <c r="B13902" t="s">
        <v>1867</v>
      </c>
      <c r="C13902" t="s">
        <v>16829</v>
      </c>
      <c r="D13902" t="s">
        <v>18115</v>
      </c>
      <c r="E13902" t="s">
        <v>23740</v>
      </c>
      <c r="F13902" t="s">
        <v>31362</v>
      </c>
      <c r="G13902" t="s">
        <v>31369</v>
      </c>
      <c r="H13902" t="s">
        <v>15799</v>
      </c>
      <c r="I13902" t="s">
        <v>6373</v>
      </c>
      <c r="J13902" t="s">
        <v>39916</v>
      </c>
      <c r="K13902" t="s">
        <v>40666</v>
      </c>
      <c r="M13902" t="s">
        <v>42958</v>
      </c>
      <c r="N13902" t="s">
        <v>44905</v>
      </c>
      <c r="O13902" t="s">
        <v>44906</v>
      </c>
      <c r="P13902">
        <v>0</v>
      </c>
      <c r="Q13902">
        <v>8</v>
      </c>
      <c r="R13902" t="s">
        <v>44924</v>
      </c>
      <c r="S13902" t="s">
        <v>45829</v>
      </c>
      <c r="T13902" t="s">
        <v>46409</v>
      </c>
      <c r="U13902" t="s">
        <v>58006</v>
      </c>
      <c r="W13902" t="s">
        <v>42958</v>
      </c>
      <c r="X13902" t="s">
        <v>44929</v>
      </c>
    </row>
    <row r="13903" spans="1:24">
      <c r="A13903">
        <f>HYPERLINK("https://www.philgeps.gov.ph/GEPSNONPILOT/Tender/SplashBidNoticeAbstractUI.aspx?menuIndex=3&amp;refID=7042246&amp;Result=3","7042246")</f>
        <v>0</v>
      </c>
      <c r="B13903" t="s">
        <v>131</v>
      </c>
      <c r="C13903" t="s">
        <v>16830</v>
      </c>
      <c r="D13903" t="s">
        <v>18125</v>
      </c>
      <c r="E13903" t="s">
        <v>30221</v>
      </c>
      <c r="F13903" t="s">
        <v>31362</v>
      </c>
      <c r="G13903" t="s">
        <v>31369</v>
      </c>
      <c r="H13903" t="s">
        <v>31378</v>
      </c>
      <c r="I13903" t="s">
        <v>31386</v>
      </c>
      <c r="J13903" t="s">
        <v>39917</v>
      </c>
      <c r="K13903" t="s">
        <v>40742</v>
      </c>
      <c r="L13903" t="s">
        <v>131</v>
      </c>
      <c r="M13903" t="s">
        <v>41069</v>
      </c>
      <c r="N13903" t="s">
        <v>44905</v>
      </c>
      <c r="O13903" t="s">
        <v>44906</v>
      </c>
      <c r="P13903">
        <v>0</v>
      </c>
      <c r="Q13903">
        <v>3</v>
      </c>
      <c r="R13903" t="s">
        <v>44924</v>
      </c>
      <c r="S13903" t="s">
        <v>45829</v>
      </c>
      <c r="T13903" t="s">
        <v>46426</v>
      </c>
      <c r="U13903" t="s">
        <v>58007</v>
      </c>
      <c r="V13903" t="s">
        <v>60282</v>
      </c>
      <c r="W13903" t="s">
        <v>41069</v>
      </c>
      <c r="X13903" t="s">
        <v>44929</v>
      </c>
    </row>
    <row r="13904" spans="1:24">
      <c r="A13904">
        <f>HYPERLINK("https://www.philgeps.gov.ph/GEPSNONPILOT/Tender/SplashBidNoticeAbstractUI.aspx?menuIndex=3&amp;refID=7041010&amp;Result=3","7041010")</f>
        <v>0</v>
      </c>
      <c r="B13904" t="s">
        <v>408</v>
      </c>
      <c r="C13904" t="s">
        <v>16831</v>
      </c>
      <c r="D13904" t="s">
        <v>18177</v>
      </c>
      <c r="E13904" t="s">
        <v>30222</v>
      </c>
      <c r="F13904" t="s">
        <v>31362</v>
      </c>
      <c r="G13904" t="s">
        <v>31369</v>
      </c>
      <c r="H13904" t="s">
        <v>31377</v>
      </c>
      <c r="I13904" t="s">
        <v>31377</v>
      </c>
      <c r="J13904" t="s">
        <v>39918</v>
      </c>
      <c r="K13904" t="s">
        <v>40795</v>
      </c>
      <c r="M13904" t="s">
        <v>41358</v>
      </c>
      <c r="N13904" t="s">
        <v>44905</v>
      </c>
      <c r="O13904" t="s">
        <v>44906</v>
      </c>
      <c r="P13904">
        <v>0</v>
      </c>
      <c r="Q13904">
        <v>4</v>
      </c>
      <c r="R13904" t="s">
        <v>44924</v>
      </c>
      <c r="S13904" t="s">
        <v>45829</v>
      </c>
      <c r="T13904" t="s">
        <v>46481</v>
      </c>
      <c r="U13904" t="s">
        <v>58008</v>
      </c>
      <c r="W13904" t="s">
        <v>41358</v>
      </c>
      <c r="X13904" t="s">
        <v>44929</v>
      </c>
    </row>
    <row r="13905" spans="1:24">
      <c r="A13905">
        <f>HYPERLINK("https://www.philgeps.gov.ph/GEPSNONPILOT/Tender/SplashBidNoticeAbstractUI.aspx?menuIndex=3&amp;refID=7037564&amp;Result=3","7037564")</f>
        <v>0</v>
      </c>
      <c r="B13905" t="s">
        <v>38</v>
      </c>
      <c r="C13905" t="s">
        <v>16832</v>
      </c>
      <c r="E13905" t="s">
        <v>30223</v>
      </c>
      <c r="F13905" t="s">
        <v>31362</v>
      </c>
      <c r="G13905" t="s">
        <v>31369</v>
      </c>
      <c r="H13905" t="s">
        <v>15799</v>
      </c>
      <c r="I13905" t="s">
        <v>31380</v>
      </c>
      <c r="J13905" t="s">
        <v>33028</v>
      </c>
      <c r="K13905" t="s">
        <v>40662</v>
      </c>
      <c r="M13905" t="s">
        <v>40972</v>
      </c>
      <c r="N13905" t="s">
        <v>44905</v>
      </c>
      <c r="O13905" t="s">
        <v>44906</v>
      </c>
      <c r="P13905">
        <v>0</v>
      </c>
      <c r="Q13905">
        <v>7</v>
      </c>
      <c r="R13905" t="s">
        <v>44924</v>
      </c>
      <c r="S13905" t="s">
        <v>45829</v>
      </c>
      <c r="T13905" t="s">
        <v>46393</v>
      </c>
      <c r="U13905" t="s">
        <v>58009</v>
      </c>
      <c r="W13905" t="s">
        <v>40972</v>
      </c>
      <c r="X13905" t="s">
        <v>44931</v>
      </c>
    </row>
    <row r="13906" spans="1:24">
      <c r="A13906">
        <f>HYPERLINK("https://www.philgeps.gov.ph/GEPSNONPILOT/Tender/SplashBidNoticeAbstractUI.aspx?menuIndex=3&amp;refID=7044707&amp;Result=3","7044707")</f>
        <v>0</v>
      </c>
      <c r="B13906" t="s">
        <v>981</v>
      </c>
      <c r="C13906" t="s">
        <v>16833</v>
      </c>
      <c r="E13906" t="s">
        <v>30224</v>
      </c>
      <c r="F13906" t="s">
        <v>31362</v>
      </c>
      <c r="G13906" t="s">
        <v>31369</v>
      </c>
      <c r="H13906" t="s">
        <v>15799</v>
      </c>
      <c r="I13906" t="s">
        <v>3815</v>
      </c>
      <c r="J13906" t="s">
        <v>39919</v>
      </c>
      <c r="K13906" t="s">
        <v>40677</v>
      </c>
      <c r="M13906" t="s">
        <v>41973</v>
      </c>
      <c r="N13906" t="s">
        <v>44905</v>
      </c>
      <c r="O13906" t="s">
        <v>44906</v>
      </c>
      <c r="P13906">
        <v>0</v>
      </c>
      <c r="Q13906">
        <v>3</v>
      </c>
      <c r="R13906" t="s">
        <v>44924</v>
      </c>
      <c r="S13906" t="s">
        <v>45829</v>
      </c>
      <c r="T13906" t="s">
        <v>46435</v>
      </c>
      <c r="U13906" t="s">
        <v>55275</v>
      </c>
      <c r="V13906" t="s">
        <v>60645</v>
      </c>
      <c r="W13906" t="s">
        <v>41973</v>
      </c>
      <c r="X13906" t="s">
        <v>44925</v>
      </c>
    </row>
    <row r="13907" spans="1:24">
      <c r="A13907">
        <f>HYPERLINK("https://www.philgeps.gov.ph/GEPSNONPILOT/Tender/SplashBidNoticeAbstractUI.aspx?menuIndex=3&amp;refID=7042858&amp;Result=3","7042858")</f>
        <v>0</v>
      </c>
      <c r="B13907" t="s">
        <v>1655</v>
      </c>
      <c r="C13907" t="s">
        <v>4647</v>
      </c>
      <c r="D13907" t="s">
        <v>18136</v>
      </c>
      <c r="E13907" t="s">
        <v>30225</v>
      </c>
      <c r="F13907" t="s">
        <v>31362</v>
      </c>
      <c r="G13907" t="s">
        <v>31369</v>
      </c>
      <c r="H13907" t="s">
        <v>15799</v>
      </c>
      <c r="I13907" t="s">
        <v>31384</v>
      </c>
      <c r="J13907" t="s">
        <v>39920</v>
      </c>
      <c r="K13907" t="s">
        <v>40661</v>
      </c>
      <c r="M13907" t="s">
        <v>42720</v>
      </c>
      <c r="N13907" t="s">
        <v>44905</v>
      </c>
      <c r="O13907" t="s">
        <v>44906</v>
      </c>
      <c r="P13907">
        <v>0</v>
      </c>
      <c r="Q13907">
        <v>9</v>
      </c>
      <c r="R13907" t="s">
        <v>44924</v>
      </c>
      <c r="S13907" t="s">
        <v>45829</v>
      </c>
      <c r="T13907" t="s">
        <v>46692</v>
      </c>
      <c r="U13907" t="s">
        <v>51021</v>
      </c>
      <c r="V13907" t="s">
        <v>60646</v>
      </c>
      <c r="W13907" t="s">
        <v>42720</v>
      </c>
      <c r="X13907" t="s">
        <v>44929</v>
      </c>
    </row>
    <row r="13908" spans="1:24">
      <c r="A13908">
        <f>HYPERLINK("https://www.philgeps.gov.ph/GEPSNONPILOT/Tender/SplashBidNoticeAbstractUI.aspx?menuIndex=3&amp;refID=7043977&amp;Result=3","7043977")</f>
        <v>0</v>
      </c>
      <c r="B13908" t="s">
        <v>2129</v>
      </c>
      <c r="C13908" t="s">
        <v>16834</v>
      </c>
      <c r="D13908" t="s">
        <v>18170</v>
      </c>
      <c r="E13908" t="s">
        <v>30226</v>
      </c>
      <c r="F13908" t="s">
        <v>31362</v>
      </c>
      <c r="G13908" t="s">
        <v>31369</v>
      </c>
      <c r="H13908" t="s">
        <v>15799</v>
      </c>
      <c r="I13908" t="s">
        <v>31383</v>
      </c>
      <c r="J13908" t="s">
        <v>32443</v>
      </c>
      <c r="K13908" t="s">
        <v>40665</v>
      </c>
      <c r="M13908" t="s">
        <v>43257</v>
      </c>
      <c r="N13908" t="s">
        <v>44905</v>
      </c>
      <c r="O13908" t="s">
        <v>44906</v>
      </c>
      <c r="P13908">
        <v>0</v>
      </c>
      <c r="Q13908">
        <v>0</v>
      </c>
      <c r="R13908" t="s">
        <v>44924</v>
      </c>
      <c r="S13908" t="s">
        <v>45829</v>
      </c>
      <c r="T13908" t="s">
        <v>46447</v>
      </c>
      <c r="U13908" t="s">
        <v>58010</v>
      </c>
      <c r="W13908" t="s">
        <v>43257</v>
      </c>
      <c r="X13908" t="s">
        <v>44926</v>
      </c>
    </row>
    <row r="13909" spans="1:24">
      <c r="A13909">
        <f>HYPERLINK("https://www.philgeps.gov.ph/GEPSNONPILOT/Tender/SplashBidNoticeAbstractUI.aspx?menuIndex=3&amp;refID=7044726&amp;Result=3","7044726")</f>
        <v>0</v>
      </c>
      <c r="B13909" t="s">
        <v>182</v>
      </c>
      <c r="C13909" t="s">
        <v>16835</v>
      </c>
      <c r="D13909" t="s">
        <v>18101</v>
      </c>
      <c r="E13909" t="s">
        <v>30227</v>
      </c>
      <c r="F13909" t="s">
        <v>31362</v>
      </c>
      <c r="G13909" t="s">
        <v>31369</v>
      </c>
      <c r="H13909" t="s">
        <v>31378</v>
      </c>
      <c r="I13909" t="s">
        <v>31386</v>
      </c>
      <c r="J13909" t="s">
        <v>39921</v>
      </c>
      <c r="K13909" t="s">
        <v>40694</v>
      </c>
      <c r="M13909" t="s">
        <v>41120</v>
      </c>
      <c r="N13909" t="s">
        <v>44905</v>
      </c>
      <c r="O13909" t="s">
        <v>44906</v>
      </c>
      <c r="P13909">
        <v>0</v>
      </c>
      <c r="Q13909">
        <v>0</v>
      </c>
      <c r="R13909" t="s">
        <v>44924</v>
      </c>
      <c r="S13909" t="s">
        <v>45829</v>
      </c>
      <c r="T13909" t="s">
        <v>46411</v>
      </c>
      <c r="U13909" t="s">
        <v>58011</v>
      </c>
      <c r="W13909" t="s">
        <v>60972</v>
      </c>
      <c r="X13909" t="s">
        <v>44925</v>
      </c>
    </row>
    <row r="13910" spans="1:24">
      <c r="A13910">
        <f>HYPERLINK("https://www.philgeps.gov.ph/GEPSNONPILOT/Tender/SplashBidNoticeAbstractUI.aspx?menuIndex=3&amp;refID=7042975&amp;Result=3","7042975")</f>
        <v>0</v>
      </c>
      <c r="B13910" t="s">
        <v>2129</v>
      </c>
      <c r="C13910" t="s">
        <v>16836</v>
      </c>
      <c r="D13910" t="s">
        <v>18170</v>
      </c>
      <c r="E13910" t="s">
        <v>30228</v>
      </c>
      <c r="F13910" t="s">
        <v>31362</v>
      </c>
      <c r="G13910" t="s">
        <v>31369</v>
      </c>
      <c r="H13910" t="s">
        <v>15799</v>
      </c>
      <c r="I13910" t="s">
        <v>6240</v>
      </c>
      <c r="J13910" t="s">
        <v>33610</v>
      </c>
      <c r="K13910" t="s">
        <v>40665</v>
      </c>
      <c r="M13910" t="s">
        <v>43257</v>
      </c>
      <c r="N13910" t="s">
        <v>44905</v>
      </c>
      <c r="O13910" t="s">
        <v>44906</v>
      </c>
      <c r="P13910">
        <v>0</v>
      </c>
      <c r="Q13910">
        <v>0</v>
      </c>
      <c r="R13910" t="s">
        <v>44924</v>
      </c>
      <c r="S13910" t="s">
        <v>45829</v>
      </c>
      <c r="T13910" t="s">
        <v>46447</v>
      </c>
      <c r="U13910" t="s">
        <v>58012</v>
      </c>
      <c r="W13910" t="s">
        <v>43257</v>
      </c>
      <c r="X13910" t="s">
        <v>44929</v>
      </c>
    </row>
    <row r="13911" spans="1:24">
      <c r="A13911">
        <f>HYPERLINK("https://www.philgeps.gov.ph/GEPSNONPILOT/Tender/SplashBidNoticeAbstractUI.aspx?menuIndex=3&amp;refID=7044722&amp;Result=3","7044722")</f>
        <v>0</v>
      </c>
      <c r="B13911" t="s">
        <v>3417</v>
      </c>
      <c r="C13911" t="s">
        <v>16837</v>
      </c>
      <c r="D13911" t="s">
        <v>18140</v>
      </c>
      <c r="E13911" t="s">
        <v>30229</v>
      </c>
      <c r="F13911" t="s">
        <v>31362</v>
      </c>
      <c r="G13911" t="s">
        <v>31369</v>
      </c>
      <c r="H13911" t="s">
        <v>15799</v>
      </c>
      <c r="I13911" t="s">
        <v>31397</v>
      </c>
      <c r="J13911" t="s">
        <v>39695</v>
      </c>
      <c r="K13911" t="s">
        <v>40741</v>
      </c>
      <c r="M13911" t="s">
        <v>44735</v>
      </c>
      <c r="N13911" t="s">
        <v>44905</v>
      </c>
      <c r="O13911" t="s">
        <v>44906</v>
      </c>
      <c r="P13911">
        <v>0</v>
      </c>
      <c r="Q13911">
        <v>2</v>
      </c>
      <c r="R13911" t="s">
        <v>44924</v>
      </c>
      <c r="S13911" t="s">
        <v>45829</v>
      </c>
      <c r="T13911" t="s">
        <v>46409</v>
      </c>
      <c r="U13911" t="s">
        <v>58013</v>
      </c>
      <c r="W13911" t="s">
        <v>44735</v>
      </c>
      <c r="X13911" t="s">
        <v>44925</v>
      </c>
    </row>
    <row r="13912" spans="1:24">
      <c r="A13912">
        <f>HYPERLINK("https://www.philgeps.gov.ph/GEPSNONPILOT/Tender/SplashBidNoticeAbstractUI.aspx?menuIndex=3&amp;refID=7044708&amp;Result=3","7044708")</f>
        <v>0</v>
      </c>
      <c r="B13912" t="s">
        <v>360</v>
      </c>
      <c r="C13912" t="s">
        <v>16838</v>
      </c>
      <c r="D13912" t="s">
        <v>18161</v>
      </c>
      <c r="E13912" t="s">
        <v>30230</v>
      </c>
      <c r="F13912" t="s">
        <v>31362</v>
      </c>
      <c r="G13912" t="s">
        <v>31369</v>
      </c>
      <c r="H13912" t="s">
        <v>31378</v>
      </c>
      <c r="I13912" t="s">
        <v>31386</v>
      </c>
      <c r="J13912" t="s">
        <v>31615</v>
      </c>
      <c r="K13912" t="s">
        <v>40662</v>
      </c>
      <c r="M13912" t="s">
        <v>41307</v>
      </c>
      <c r="N13912" t="s">
        <v>44905</v>
      </c>
      <c r="O13912" t="s">
        <v>44906</v>
      </c>
      <c r="P13912">
        <v>0</v>
      </c>
      <c r="Q13912">
        <v>1</v>
      </c>
      <c r="R13912" t="s">
        <v>44924</v>
      </c>
      <c r="S13912" t="s">
        <v>45829</v>
      </c>
      <c r="T13912" t="s">
        <v>46432</v>
      </c>
      <c r="U13912" t="s">
        <v>58014</v>
      </c>
      <c r="W13912" t="s">
        <v>41307</v>
      </c>
      <c r="X13912" t="s">
        <v>44925</v>
      </c>
    </row>
    <row r="13913" spans="1:24">
      <c r="A13913">
        <f>HYPERLINK("https://www.philgeps.gov.ph/GEPSNONPILOT/Tender/SplashBidNoticeAbstractUI.aspx?menuIndex=3&amp;refID=7044667&amp;Result=3","7044667")</f>
        <v>0</v>
      </c>
      <c r="B13913" t="s">
        <v>1058</v>
      </c>
      <c r="C13913" t="s">
        <v>4942</v>
      </c>
      <c r="D13913" t="s">
        <v>18104</v>
      </c>
      <c r="E13913" t="s">
        <v>30231</v>
      </c>
      <c r="F13913" t="s">
        <v>31362</v>
      </c>
      <c r="G13913" t="s">
        <v>31369</v>
      </c>
      <c r="H13913" t="s">
        <v>15799</v>
      </c>
      <c r="I13913" t="s">
        <v>4942</v>
      </c>
      <c r="J13913" t="s">
        <v>39922</v>
      </c>
      <c r="K13913" t="s">
        <v>40670</v>
      </c>
      <c r="M13913" t="s">
        <v>42059</v>
      </c>
      <c r="N13913" t="s">
        <v>44905</v>
      </c>
      <c r="O13913" t="s">
        <v>44906</v>
      </c>
      <c r="P13913">
        <v>0</v>
      </c>
      <c r="Q13913">
        <v>0</v>
      </c>
      <c r="R13913" t="s">
        <v>44924</v>
      </c>
      <c r="S13913" t="s">
        <v>45829</v>
      </c>
      <c r="T13913" t="s">
        <v>46447</v>
      </c>
      <c r="U13913" t="s">
        <v>58015</v>
      </c>
      <c r="W13913" t="s">
        <v>42059</v>
      </c>
      <c r="X13913" t="s">
        <v>44925</v>
      </c>
    </row>
    <row r="13914" spans="1:24">
      <c r="A13914">
        <f>HYPERLINK("https://www.philgeps.gov.ph/GEPSNONPILOT/Tender/SplashBidNoticeAbstractUI.aspx?menuIndex=3&amp;refID=7043752&amp;Result=3","7043752")</f>
        <v>0</v>
      </c>
      <c r="B13914" t="s">
        <v>2129</v>
      </c>
      <c r="C13914" t="s">
        <v>16826</v>
      </c>
      <c r="D13914" t="s">
        <v>18170</v>
      </c>
      <c r="E13914" t="s">
        <v>30232</v>
      </c>
      <c r="F13914" t="s">
        <v>31362</v>
      </c>
      <c r="G13914" t="s">
        <v>31369</v>
      </c>
      <c r="H13914" t="s">
        <v>15799</v>
      </c>
      <c r="I13914" t="s">
        <v>31430</v>
      </c>
      <c r="J13914" t="s">
        <v>34992</v>
      </c>
      <c r="K13914" t="s">
        <v>40665</v>
      </c>
      <c r="M13914" t="s">
        <v>43257</v>
      </c>
      <c r="N13914" t="s">
        <v>44905</v>
      </c>
      <c r="O13914" t="s">
        <v>44906</v>
      </c>
      <c r="P13914">
        <v>0</v>
      </c>
      <c r="Q13914">
        <v>0</v>
      </c>
      <c r="R13914" t="s">
        <v>44924</v>
      </c>
      <c r="S13914" t="s">
        <v>45829</v>
      </c>
      <c r="T13914" t="s">
        <v>46447</v>
      </c>
      <c r="U13914" t="s">
        <v>58016</v>
      </c>
      <c r="W13914" t="s">
        <v>43257</v>
      </c>
      <c r="X13914" t="s">
        <v>44927</v>
      </c>
    </row>
    <row r="13915" spans="1:24">
      <c r="A13915">
        <f>HYPERLINK("https://www.philgeps.gov.ph/GEPSNONPILOT/Tender/SplashBidNoticeAbstractUI.aspx?menuIndex=3&amp;refID=7044665&amp;Result=3","7044665")</f>
        <v>0</v>
      </c>
      <c r="B13915" t="s">
        <v>1797</v>
      </c>
      <c r="C13915" t="s">
        <v>16839</v>
      </c>
      <c r="E13915" t="s">
        <v>30233</v>
      </c>
      <c r="F13915" t="s">
        <v>31362</v>
      </c>
      <c r="G13915" t="s">
        <v>31369</v>
      </c>
      <c r="H13915" t="s">
        <v>15799</v>
      </c>
      <c r="I13915" t="s">
        <v>3815</v>
      </c>
      <c r="J13915" t="s">
        <v>31625</v>
      </c>
      <c r="K13915" t="s">
        <v>40666</v>
      </c>
      <c r="M13915" t="s">
        <v>42879</v>
      </c>
      <c r="N13915" t="s">
        <v>44905</v>
      </c>
      <c r="O13915" t="s">
        <v>44906</v>
      </c>
      <c r="P13915">
        <v>0</v>
      </c>
      <c r="Q13915">
        <v>0</v>
      </c>
      <c r="R13915" t="s">
        <v>44924</v>
      </c>
      <c r="S13915" t="s">
        <v>45829</v>
      </c>
      <c r="T13915" t="s">
        <v>46411</v>
      </c>
      <c r="U13915" t="s">
        <v>58017</v>
      </c>
      <c r="V13915" t="s">
        <v>60647</v>
      </c>
      <c r="W13915" t="s">
        <v>42879</v>
      </c>
      <c r="X13915" t="s">
        <v>44925</v>
      </c>
    </row>
    <row r="13916" spans="1:24">
      <c r="A13916">
        <f>HYPERLINK("https://www.philgeps.gov.ph/GEPSNONPILOT/Tender/SplashBidNoticeAbstractUI.aspx?menuIndex=3&amp;refID=7044613&amp;Result=3","7044613")</f>
        <v>0</v>
      </c>
      <c r="B13916" t="s">
        <v>1058</v>
      </c>
      <c r="C13916" t="s">
        <v>4942</v>
      </c>
      <c r="D13916" t="s">
        <v>18104</v>
      </c>
      <c r="E13916" t="s">
        <v>30234</v>
      </c>
      <c r="F13916" t="s">
        <v>31362</v>
      </c>
      <c r="G13916" t="s">
        <v>31369</v>
      </c>
      <c r="H13916" t="s">
        <v>15799</v>
      </c>
      <c r="I13916" t="s">
        <v>4942</v>
      </c>
      <c r="J13916" t="s">
        <v>39923</v>
      </c>
      <c r="K13916" t="s">
        <v>40670</v>
      </c>
      <c r="M13916" t="s">
        <v>42059</v>
      </c>
      <c r="N13916" t="s">
        <v>44905</v>
      </c>
      <c r="O13916" t="s">
        <v>44906</v>
      </c>
      <c r="P13916">
        <v>0</v>
      </c>
      <c r="Q13916">
        <v>0</v>
      </c>
      <c r="R13916" t="s">
        <v>44924</v>
      </c>
      <c r="S13916" t="s">
        <v>45829</v>
      </c>
      <c r="T13916" t="s">
        <v>46447</v>
      </c>
      <c r="U13916" t="s">
        <v>58018</v>
      </c>
      <c r="W13916" t="s">
        <v>42059</v>
      </c>
      <c r="X13916" t="s">
        <v>44925</v>
      </c>
    </row>
    <row r="13917" spans="1:24">
      <c r="A13917">
        <f>HYPERLINK("https://www.philgeps.gov.ph/GEPSNONPILOT/Tender/SplashBidNoticeAbstractUI.aspx?menuIndex=3&amp;refID=7044687&amp;Result=3","7044687")</f>
        <v>0</v>
      </c>
      <c r="B13917" t="s">
        <v>1962</v>
      </c>
      <c r="C13917" t="s">
        <v>16840</v>
      </c>
      <c r="D13917" t="s">
        <v>18110</v>
      </c>
      <c r="E13917" t="s">
        <v>30235</v>
      </c>
      <c r="F13917" t="s">
        <v>31362</v>
      </c>
      <c r="G13917" t="s">
        <v>31369</v>
      </c>
      <c r="H13917" t="s">
        <v>31378</v>
      </c>
      <c r="I13917" t="s">
        <v>31392</v>
      </c>
      <c r="J13917" t="s">
        <v>39924</v>
      </c>
      <c r="K13917" t="s">
        <v>40679</v>
      </c>
      <c r="M13917" t="s">
        <v>43068</v>
      </c>
      <c r="N13917" t="s">
        <v>44905</v>
      </c>
      <c r="O13917" t="s">
        <v>44906</v>
      </c>
      <c r="P13917">
        <v>0</v>
      </c>
      <c r="Q13917">
        <v>10</v>
      </c>
      <c r="R13917" t="s">
        <v>44924</v>
      </c>
      <c r="S13917" t="s">
        <v>45829</v>
      </c>
      <c r="T13917" t="s">
        <v>46447</v>
      </c>
      <c r="U13917" t="s">
        <v>47881</v>
      </c>
      <c r="W13917" t="s">
        <v>43068</v>
      </c>
      <c r="X13917" t="s">
        <v>44925</v>
      </c>
    </row>
    <row r="13918" spans="1:24">
      <c r="A13918">
        <f>HYPERLINK("https://www.philgeps.gov.ph/GEPSNONPILOT/Tender/SplashBidNoticeAbstractUI.aspx?menuIndex=3&amp;refID=7042292&amp;Result=3","7042292")</f>
        <v>0</v>
      </c>
      <c r="B13918" t="s">
        <v>1867</v>
      </c>
      <c r="C13918" t="s">
        <v>16841</v>
      </c>
      <c r="D13918" t="s">
        <v>18115</v>
      </c>
      <c r="E13918" t="s">
        <v>18229</v>
      </c>
      <c r="F13918" t="s">
        <v>31362</v>
      </c>
      <c r="G13918" t="s">
        <v>31369</v>
      </c>
      <c r="H13918" t="s">
        <v>15799</v>
      </c>
      <c r="I13918" t="s">
        <v>31436</v>
      </c>
      <c r="J13918" t="s">
        <v>39925</v>
      </c>
      <c r="K13918" t="s">
        <v>40723</v>
      </c>
      <c r="M13918" t="s">
        <v>42958</v>
      </c>
      <c r="N13918" t="s">
        <v>44905</v>
      </c>
      <c r="O13918" t="s">
        <v>44906</v>
      </c>
      <c r="P13918">
        <v>0</v>
      </c>
      <c r="Q13918">
        <v>2</v>
      </c>
      <c r="R13918" t="s">
        <v>44924</v>
      </c>
      <c r="S13918" t="s">
        <v>45829</v>
      </c>
      <c r="T13918" t="s">
        <v>46443</v>
      </c>
      <c r="U13918" t="s">
        <v>58019</v>
      </c>
      <c r="W13918" t="s">
        <v>42958</v>
      </c>
      <c r="X13918" t="s">
        <v>44929</v>
      </c>
    </row>
    <row r="13919" spans="1:24">
      <c r="A13919">
        <f>HYPERLINK("https://www.philgeps.gov.ph/GEPSNONPILOT/Tender/SplashBidNoticeAbstractUI.aspx?menuIndex=3&amp;refID=7044563&amp;Result=3","7044563")</f>
        <v>0</v>
      </c>
      <c r="B13919" t="s">
        <v>3418</v>
      </c>
      <c r="C13919" t="s">
        <v>16842</v>
      </c>
      <c r="D13919" t="s">
        <v>18149</v>
      </c>
      <c r="E13919" t="s">
        <v>22048</v>
      </c>
      <c r="F13919" t="s">
        <v>31362</v>
      </c>
      <c r="G13919" t="s">
        <v>31369</v>
      </c>
      <c r="H13919" t="s">
        <v>15799</v>
      </c>
      <c r="I13919" t="s">
        <v>7719</v>
      </c>
      <c r="J13919" t="s">
        <v>31637</v>
      </c>
      <c r="K13919" t="s">
        <v>40686</v>
      </c>
      <c r="M13919" t="s">
        <v>44736</v>
      </c>
      <c r="N13919" t="s">
        <v>44905</v>
      </c>
      <c r="O13919" t="s">
        <v>44906</v>
      </c>
      <c r="Q13919">
        <v>27</v>
      </c>
      <c r="R13919" t="s">
        <v>44924</v>
      </c>
      <c r="S13919" t="s">
        <v>45835</v>
      </c>
      <c r="T13919" t="s">
        <v>46425</v>
      </c>
      <c r="U13919" t="s">
        <v>58020</v>
      </c>
      <c r="V13919" t="s">
        <v>60648</v>
      </c>
      <c r="W13919" t="s">
        <v>44736</v>
      </c>
      <c r="X13919" t="s">
        <v>44925</v>
      </c>
    </row>
    <row r="13920" spans="1:24">
      <c r="A13920">
        <f>HYPERLINK("https://www.philgeps.gov.ph/GEPSNONPILOT/Tender/SplashBidNoticeAbstractUI.aspx?menuIndex=3&amp;refID=7044658&amp;Result=3","7044658")</f>
        <v>0</v>
      </c>
      <c r="B13920" t="s">
        <v>387</v>
      </c>
      <c r="C13920" t="s">
        <v>16843</v>
      </c>
      <c r="D13920" t="s">
        <v>18152</v>
      </c>
      <c r="E13920" t="s">
        <v>30236</v>
      </c>
      <c r="F13920" t="s">
        <v>31362</v>
      </c>
      <c r="G13920" t="s">
        <v>31369</v>
      </c>
      <c r="H13920" t="s">
        <v>15799</v>
      </c>
      <c r="I13920" t="s">
        <v>31410</v>
      </c>
      <c r="J13920" t="s">
        <v>39926</v>
      </c>
      <c r="K13920" t="s">
        <v>40665</v>
      </c>
      <c r="M13920" t="s">
        <v>41915</v>
      </c>
      <c r="N13920" t="s">
        <v>44905</v>
      </c>
      <c r="O13920" t="s">
        <v>44906</v>
      </c>
      <c r="P13920">
        <v>0</v>
      </c>
      <c r="Q13920">
        <v>2</v>
      </c>
      <c r="R13920" t="s">
        <v>44924</v>
      </c>
      <c r="S13920" t="s">
        <v>45829</v>
      </c>
      <c r="T13920" t="s">
        <v>46393</v>
      </c>
      <c r="U13920" t="s">
        <v>47597</v>
      </c>
      <c r="V13920" t="s">
        <v>59153</v>
      </c>
      <c r="W13920" t="s">
        <v>41915</v>
      </c>
      <c r="X13920" t="s">
        <v>44925</v>
      </c>
    </row>
    <row r="13921" spans="1:24">
      <c r="A13921">
        <f>HYPERLINK("https://www.philgeps.gov.ph/GEPSNONPILOT/Tender/SplashBidNoticeAbstractUI.aspx?menuIndex=3&amp;refID=7044549&amp;Result=3","7044549")</f>
        <v>0</v>
      </c>
      <c r="B13921" t="s">
        <v>1714</v>
      </c>
      <c r="C13921" t="s">
        <v>16844</v>
      </c>
      <c r="E13921" t="s">
        <v>30237</v>
      </c>
      <c r="F13921" t="s">
        <v>31362</v>
      </c>
      <c r="G13921" t="s">
        <v>31369</v>
      </c>
      <c r="H13921" t="s">
        <v>31378</v>
      </c>
      <c r="I13921" t="s">
        <v>31386</v>
      </c>
      <c r="J13921" t="s">
        <v>31611</v>
      </c>
      <c r="K13921" t="s">
        <v>40838</v>
      </c>
      <c r="M13921" t="s">
        <v>42782</v>
      </c>
      <c r="N13921" t="s">
        <v>44905</v>
      </c>
      <c r="O13921" t="s">
        <v>44906</v>
      </c>
      <c r="P13921">
        <v>0</v>
      </c>
      <c r="Q13921">
        <v>0</v>
      </c>
      <c r="R13921" t="s">
        <v>44924</v>
      </c>
      <c r="S13921" t="s">
        <v>45829</v>
      </c>
      <c r="T13921" t="s">
        <v>46409</v>
      </c>
      <c r="U13921" t="s">
        <v>58021</v>
      </c>
      <c r="W13921" t="s">
        <v>42782</v>
      </c>
      <c r="X13921" t="s">
        <v>44925</v>
      </c>
    </row>
    <row r="13922" spans="1:24">
      <c r="A13922">
        <f>HYPERLINK("https://www.philgeps.gov.ph/GEPSNONPILOT/Tender/SplashBidNoticeAbstractUI.aspx?menuIndex=3&amp;refID=7044527&amp;Result=3","7044527")</f>
        <v>0</v>
      </c>
      <c r="B13922" t="s">
        <v>1714</v>
      </c>
      <c r="C13922" t="s">
        <v>16845</v>
      </c>
      <c r="E13922" t="s">
        <v>30238</v>
      </c>
      <c r="F13922" t="s">
        <v>31362</v>
      </c>
      <c r="G13922" t="s">
        <v>31369</v>
      </c>
      <c r="H13922" t="s">
        <v>31378</v>
      </c>
      <c r="I13922" t="s">
        <v>31386</v>
      </c>
      <c r="J13922" t="s">
        <v>31634</v>
      </c>
      <c r="K13922" t="s">
        <v>40752</v>
      </c>
      <c r="M13922" t="s">
        <v>42782</v>
      </c>
      <c r="N13922" t="s">
        <v>44905</v>
      </c>
      <c r="O13922" t="s">
        <v>44906</v>
      </c>
      <c r="P13922">
        <v>0</v>
      </c>
      <c r="Q13922">
        <v>0</v>
      </c>
      <c r="R13922" t="s">
        <v>44924</v>
      </c>
      <c r="S13922" t="s">
        <v>45829</v>
      </c>
      <c r="T13922" t="s">
        <v>46409</v>
      </c>
      <c r="U13922" t="s">
        <v>58021</v>
      </c>
      <c r="W13922" t="s">
        <v>42782</v>
      </c>
      <c r="X13922" t="s">
        <v>44925</v>
      </c>
    </row>
    <row r="13923" spans="1:24">
      <c r="A13923">
        <f>HYPERLINK("https://www.philgeps.gov.ph/GEPSNONPILOT/Tender/SplashBidNoticeAbstractUI.aspx?menuIndex=3&amp;refID=7044579&amp;Result=3","7044579")</f>
        <v>0</v>
      </c>
      <c r="B13923" t="s">
        <v>1714</v>
      </c>
      <c r="C13923" t="s">
        <v>16846</v>
      </c>
      <c r="E13923" t="s">
        <v>30239</v>
      </c>
      <c r="F13923" t="s">
        <v>31362</v>
      </c>
      <c r="G13923" t="s">
        <v>31369</v>
      </c>
      <c r="H13923" t="s">
        <v>31378</v>
      </c>
      <c r="I13923" t="s">
        <v>31386</v>
      </c>
      <c r="J13923" t="s">
        <v>34037</v>
      </c>
      <c r="K13923" t="s">
        <v>40682</v>
      </c>
      <c r="M13923" t="s">
        <v>42782</v>
      </c>
      <c r="N13923" t="s">
        <v>44905</v>
      </c>
      <c r="O13923" t="s">
        <v>44906</v>
      </c>
      <c r="P13923">
        <v>0</v>
      </c>
      <c r="Q13923">
        <v>0</v>
      </c>
      <c r="R13923" t="s">
        <v>44924</v>
      </c>
      <c r="S13923" t="s">
        <v>45829</v>
      </c>
      <c r="T13923" t="s">
        <v>46409</v>
      </c>
      <c r="U13923" t="s">
        <v>58022</v>
      </c>
      <c r="W13923" t="s">
        <v>42782</v>
      </c>
      <c r="X13923" t="s">
        <v>44925</v>
      </c>
    </row>
    <row r="13924" spans="1:24">
      <c r="A13924">
        <f>HYPERLINK("https://www.philgeps.gov.ph/GEPSNONPILOT/Tender/SplashBidNoticeAbstractUI.aspx?menuIndex=3&amp;refID=7044715&amp;Result=3","7044715")</f>
        <v>0</v>
      </c>
      <c r="B13924" t="s">
        <v>2944</v>
      </c>
      <c r="C13924" t="s">
        <v>16847</v>
      </c>
      <c r="D13924" t="s">
        <v>18100</v>
      </c>
      <c r="E13924" t="s">
        <v>30240</v>
      </c>
      <c r="F13924" t="s">
        <v>31362</v>
      </c>
      <c r="G13924" t="s">
        <v>31369</v>
      </c>
      <c r="H13924" t="s">
        <v>15799</v>
      </c>
      <c r="I13924" t="s">
        <v>31386</v>
      </c>
      <c r="J13924" t="s">
        <v>39927</v>
      </c>
      <c r="K13924" t="s">
        <v>40662</v>
      </c>
      <c r="M13924" t="s">
        <v>44166</v>
      </c>
      <c r="N13924" t="s">
        <v>44905</v>
      </c>
      <c r="O13924" t="s">
        <v>44906</v>
      </c>
      <c r="P13924">
        <v>0</v>
      </c>
      <c r="Q13924">
        <v>4</v>
      </c>
      <c r="R13924" t="s">
        <v>44924</v>
      </c>
      <c r="S13924" t="s">
        <v>45829</v>
      </c>
      <c r="T13924" t="s">
        <v>46409</v>
      </c>
      <c r="U13924" t="s">
        <v>58023</v>
      </c>
      <c r="W13924" t="s">
        <v>44166</v>
      </c>
      <c r="X13924" t="s">
        <v>44925</v>
      </c>
    </row>
    <row r="13925" spans="1:24">
      <c r="A13925">
        <f>HYPERLINK("https://www.philgeps.gov.ph/GEPSNONPILOT/Tender/SplashBidNoticeAbstractUI.aspx?menuIndex=3&amp;refID=7044577&amp;Result=3","7044577")</f>
        <v>0</v>
      </c>
      <c r="B13925" t="s">
        <v>360</v>
      </c>
      <c r="C13925" t="s">
        <v>16848</v>
      </c>
      <c r="D13925" t="s">
        <v>18161</v>
      </c>
      <c r="E13925" t="s">
        <v>30241</v>
      </c>
      <c r="F13925" t="s">
        <v>31362</v>
      </c>
      <c r="G13925" t="s">
        <v>31369</v>
      </c>
      <c r="H13925" t="s">
        <v>31378</v>
      </c>
      <c r="I13925" t="s">
        <v>31386</v>
      </c>
      <c r="J13925" t="s">
        <v>31615</v>
      </c>
      <c r="K13925" t="s">
        <v>40662</v>
      </c>
      <c r="M13925" t="s">
        <v>41307</v>
      </c>
      <c r="N13925" t="s">
        <v>44905</v>
      </c>
      <c r="O13925" t="s">
        <v>44906</v>
      </c>
      <c r="P13925">
        <v>0</v>
      </c>
      <c r="Q13925">
        <v>1</v>
      </c>
      <c r="R13925" t="s">
        <v>44924</v>
      </c>
      <c r="S13925" t="s">
        <v>45829</v>
      </c>
      <c r="T13925" t="s">
        <v>46432</v>
      </c>
      <c r="U13925" t="s">
        <v>58014</v>
      </c>
      <c r="W13925" t="s">
        <v>41307</v>
      </c>
      <c r="X13925" t="s">
        <v>44925</v>
      </c>
    </row>
    <row r="13926" spans="1:24">
      <c r="A13926">
        <f>HYPERLINK("https://www.philgeps.gov.ph/GEPSNONPILOT/Tender/SplashBidNoticeAbstractUI.aspx?menuIndex=3&amp;refID=7043969&amp;Result=3","7043969")</f>
        <v>0</v>
      </c>
      <c r="B13926" t="s">
        <v>2129</v>
      </c>
      <c r="C13926" t="s">
        <v>16849</v>
      </c>
      <c r="D13926" t="s">
        <v>18170</v>
      </c>
      <c r="E13926" t="s">
        <v>30242</v>
      </c>
      <c r="F13926" t="s">
        <v>31362</v>
      </c>
      <c r="G13926" t="s">
        <v>31369</v>
      </c>
      <c r="H13926" t="s">
        <v>15799</v>
      </c>
      <c r="I13926" t="s">
        <v>31385</v>
      </c>
      <c r="J13926" t="s">
        <v>39928</v>
      </c>
      <c r="K13926" t="s">
        <v>40665</v>
      </c>
      <c r="M13926" t="s">
        <v>43257</v>
      </c>
      <c r="N13926" t="s">
        <v>44905</v>
      </c>
      <c r="O13926" t="s">
        <v>44906</v>
      </c>
      <c r="P13926">
        <v>0</v>
      </c>
      <c r="Q13926">
        <v>2</v>
      </c>
      <c r="R13926" t="s">
        <v>44924</v>
      </c>
      <c r="S13926" t="s">
        <v>45829</v>
      </c>
      <c r="T13926" t="s">
        <v>46447</v>
      </c>
      <c r="U13926" t="s">
        <v>58024</v>
      </c>
      <c r="W13926" t="s">
        <v>43257</v>
      </c>
      <c r="X13926" t="s">
        <v>44926</v>
      </c>
    </row>
    <row r="13927" spans="1:24">
      <c r="A13927">
        <f>HYPERLINK("https://www.philgeps.gov.ph/GEPSNONPILOT/Tender/SplashBidNoticeAbstractUI.aspx?menuIndex=3&amp;refID=7044609&amp;Result=3","7044609")</f>
        <v>0</v>
      </c>
      <c r="B13927" t="s">
        <v>1797</v>
      </c>
      <c r="C13927" t="s">
        <v>16850</v>
      </c>
      <c r="E13927" t="s">
        <v>30243</v>
      </c>
      <c r="F13927" t="s">
        <v>31362</v>
      </c>
      <c r="G13927" t="s">
        <v>31369</v>
      </c>
      <c r="H13927" t="s">
        <v>15799</v>
      </c>
      <c r="I13927" t="s">
        <v>3815</v>
      </c>
      <c r="J13927" t="s">
        <v>39929</v>
      </c>
      <c r="K13927" t="s">
        <v>40666</v>
      </c>
      <c r="M13927" t="s">
        <v>42879</v>
      </c>
      <c r="N13927" t="s">
        <v>44905</v>
      </c>
      <c r="O13927" t="s">
        <v>44906</v>
      </c>
      <c r="P13927">
        <v>0</v>
      </c>
      <c r="Q13927">
        <v>2</v>
      </c>
      <c r="R13927" t="s">
        <v>44924</v>
      </c>
      <c r="S13927" t="s">
        <v>45829</v>
      </c>
      <c r="T13927" t="s">
        <v>46411</v>
      </c>
      <c r="U13927" t="s">
        <v>58025</v>
      </c>
      <c r="V13927" t="s">
        <v>60649</v>
      </c>
      <c r="W13927" t="s">
        <v>42879</v>
      </c>
      <c r="X13927" t="s">
        <v>44925</v>
      </c>
    </row>
    <row r="13928" spans="1:24">
      <c r="A13928">
        <f>HYPERLINK("https://www.philgeps.gov.ph/GEPSNONPILOT/Tender/SplashBidNoticeAbstractUI.aspx?menuIndex=3&amp;refID=7044933&amp;Result=3","7044933")</f>
        <v>0</v>
      </c>
      <c r="B13928" t="s">
        <v>182</v>
      </c>
      <c r="C13928" t="s">
        <v>16851</v>
      </c>
      <c r="D13928" t="s">
        <v>18101</v>
      </c>
      <c r="E13928" t="s">
        <v>30244</v>
      </c>
      <c r="F13928" t="s">
        <v>31362</v>
      </c>
      <c r="G13928" t="s">
        <v>31369</v>
      </c>
      <c r="H13928" t="s">
        <v>31378</v>
      </c>
      <c r="I13928" t="s">
        <v>31386</v>
      </c>
      <c r="J13928" t="s">
        <v>39930</v>
      </c>
      <c r="K13928" t="s">
        <v>40694</v>
      </c>
      <c r="M13928" t="s">
        <v>41120</v>
      </c>
      <c r="N13928" t="s">
        <v>44905</v>
      </c>
      <c r="O13928" t="s">
        <v>44906</v>
      </c>
      <c r="P13928">
        <v>0</v>
      </c>
      <c r="Q13928">
        <v>1</v>
      </c>
      <c r="R13928" t="s">
        <v>44924</v>
      </c>
      <c r="S13928" t="s">
        <v>45829</v>
      </c>
      <c r="T13928" t="s">
        <v>46411</v>
      </c>
      <c r="U13928" t="s">
        <v>58026</v>
      </c>
      <c r="W13928" t="s">
        <v>60972</v>
      </c>
      <c r="X13928" t="s">
        <v>44925</v>
      </c>
    </row>
    <row r="13929" spans="1:24">
      <c r="A13929">
        <f>HYPERLINK("https://www.philgeps.gov.ph/GEPSNONPILOT/Tender/SplashBidNoticeAbstractUI.aspx?menuIndex=3&amp;refID=7044920&amp;Result=3","7044920")</f>
        <v>0</v>
      </c>
      <c r="B13929" t="s">
        <v>2129</v>
      </c>
      <c r="C13929" t="s">
        <v>16852</v>
      </c>
      <c r="D13929" t="s">
        <v>18170</v>
      </c>
      <c r="E13929" t="s">
        <v>30245</v>
      </c>
      <c r="F13929" t="s">
        <v>31362</v>
      </c>
      <c r="G13929" t="s">
        <v>31369</v>
      </c>
      <c r="H13929" t="s">
        <v>15799</v>
      </c>
      <c r="I13929" t="s">
        <v>31385</v>
      </c>
      <c r="J13929" t="s">
        <v>33025</v>
      </c>
      <c r="K13929" t="s">
        <v>40665</v>
      </c>
      <c r="M13929" t="s">
        <v>43257</v>
      </c>
      <c r="N13929" t="s">
        <v>44905</v>
      </c>
      <c r="O13929" t="s">
        <v>44906</v>
      </c>
      <c r="P13929">
        <v>0</v>
      </c>
      <c r="Q13929">
        <v>0</v>
      </c>
      <c r="R13929" t="s">
        <v>44924</v>
      </c>
      <c r="S13929" t="s">
        <v>45829</v>
      </c>
      <c r="T13929" t="s">
        <v>46447</v>
      </c>
      <c r="U13929" t="s">
        <v>58027</v>
      </c>
      <c r="W13929" t="s">
        <v>43257</v>
      </c>
      <c r="X13929" t="s">
        <v>44925</v>
      </c>
    </row>
    <row r="13930" spans="1:24">
      <c r="A13930">
        <f>HYPERLINK("https://www.philgeps.gov.ph/GEPSNONPILOT/Tender/SplashBidNoticeAbstractUI.aspx?menuIndex=3&amp;refID=7044851&amp;Result=3","7044851")</f>
        <v>0</v>
      </c>
      <c r="B13930" t="s">
        <v>360</v>
      </c>
      <c r="C13930" t="s">
        <v>16853</v>
      </c>
      <c r="D13930" t="s">
        <v>18161</v>
      </c>
      <c r="E13930" t="s">
        <v>30246</v>
      </c>
      <c r="F13930" t="s">
        <v>31362</v>
      </c>
      <c r="G13930" t="s">
        <v>31369</v>
      </c>
      <c r="H13930" t="s">
        <v>31378</v>
      </c>
      <c r="I13930" t="s">
        <v>31386</v>
      </c>
      <c r="J13930" t="s">
        <v>34896</v>
      </c>
      <c r="K13930" t="s">
        <v>40662</v>
      </c>
      <c r="M13930" t="s">
        <v>41307</v>
      </c>
      <c r="N13930" t="s">
        <v>44905</v>
      </c>
      <c r="O13930" t="s">
        <v>44906</v>
      </c>
      <c r="Q13930">
        <v>1</v>
      </c>
      <c r="R13930" t="s">
        <v>44924</v>
      </c>
      <c r="S13930" t="s">
        <v>45795</v>
      </c>
      <c r="T13930" t="s">
        <v>46432</v>
      </c>
      <c r="U13930" t="s">
        <v>58014</v>
      </c>
      <c r="W13930" t="s">
        <v>41307</v>
      </c>
      <c r="X13930" t="s">
        <v>44925</v>
      </c>
    </row>
    <row r="13931" spans="1:24">
      <c r="A13931">
        <f>HYPERLINK("https://www.philgeps.gov.ph/GEPSNONPILOT/Tender/SplashBidNoticeAbstractUI.aspx?menuIndex=3&amp;refID=7044732&amp;Result=3","7044732")</f>
        <v>0</v>
      </c>
      <c r="B13931" t="s">
        <v>1058</v>
      </c>
      <c r="C13931" t="s">
        <v>5251</v>
      </c>
      <c r="D13931" t="s">
        <v>18104</v>
      </c>
      <c r="E13931" t="s">
        <v>30247</v>
      </c>
      <c r="F13931" t="s">
        <v>31362</v>
      </c>
      <c r="G13931" t="s">
        <v>31369</v>
      </c>
      <c r="H13931" t="s">
        <v>31378</v>
      </c>
      <c r="I13931" t="s">
        <v>3815</v>
      </c>
      <c r="J13931" t="s">
        <v>39931</v>
      </c>
      <c r="K13931" t="s">
        <v>40670</v>
      </c>
      <c r="M13931" t="s">
        <v>42059</v>
      </c>
      <c r="N13931" t="s">
        <v>44905</v>
      </c>
      <c r="O13931" t="s">
        <v>44906</v>
      </c>
      <c r="P13931">
        <v>0</v>
      </c>
      <c r="Q13931">
        <v>1</v>
      </c>
      <c r="R13931" t="s">
        <v>44924</v>
      </c>
      <c r="S13931" t="s">
        <v>45829</v>
      </c>
      <c r="T13931" t="s">
        <v>46447</v>
      </c>
      <c r="U13931" t="s">
        <v>58028</v>
      </c>
      <c r="W13931" t="s">
        <v>42059</v>
      </c>
      <c r="X13931" t="s">
        <v>44925</v>
      </c>
    </row>
    <row r="13932" spans="1:24">
      <c r="A13932">
        <f>HYPERLINK("https://www.philgeps.gov.ph/GEPSNONPILOT/Tender/SplashBidNoticeAbstractUI.aspx?menuIndex=3&amp;refID=7044918&amp;Result=3","7044918")</f>
        <v>0</v>
      </c>
      <c r="B13932" t="s">
        <v>2508</v>
      </c>
      <c r="C13932" t="s">
        <v>16854</v>
      </c>
      <c r="D13932" t="s">
        <v>18177</v>
      </c>
      <c r="E13932" t="s">
        <v>18203</v>
      </c>
      <c r="F13932" t="s">
        <v>31362</v>
      </c>
      <c r="G13932" t="s">
        <v>31369</v>
      </c>
      <c r="H13932" t="s">
        <v>15799</v>
      </c>
      <c r="I13932" t="s">
        <v>3815</v>
      </c>
      <c r="J13932" t="s">
        <v>39932</v>
      </c>
      <c r="K13932" t="s">
        <v>40665</v>
      </c>
      <c r="M13932" t="s">
        <v>43677</v>
      </c>
      <c r="N13932" t="s">
        <v>44905</v>
      </c>
      <c r="O13932" t="s">
        <v>44906</v>
      </c>
      <c r="P13932">
        <v>0</v>
      </c>
      <c r="Q13932">
        <v>0</v>
      </c>
      <c r="R13932" t="s">
        <v>44924</v>
      </c>
      <c r="S13932" t="s">
        <v>45829</v>
      </c>
      <c r="T13932" t="s">
        <v>46481</v>
      </c>
      <c r="U13932" t="s">
        <v>58029</v>
      </c>
      <c r="W13932" t="s">
        <v>43677</v>
      </c>
      <c r="X13932" t="s">
        <v>44925</v>
      </c>
    </row>
    <row r="13933" spans="1:24">
      <c r="A13933">
        <f>HYPERLINK("https://www.philgeps.gov.ph/GEPSNONPILOT/Tender/SplashBidNoticeAbstractUI.aspx?menuIndex=3&amp;refID=7044939&amp;Result=3","7044939")</f>
        <v>0</v>
      </c>
      <c r="B13933" t="s">
        <v>1953</v>
      </c>
      <c r="C13933" t="s">
        <v>16855</v>
      </c>
      <c r="D13933" t="s">
        <v>18136</v>
      </c>
      <c r="E13933" t="s">
        <v>30248</v>
      </c>
      <c r="F13933" t="s">
        <v>31362</v>
      </c>
      <c r="G13933" t="s">
        <v>31369</v>
      </c>
      <c r="H13933" t="s">
        <v>31378</v>
      </c>
      <c r="I13933" t="s">
        <v>31386</v>
      </c>
      <c r="J13933" t="s">
        <v>39933</v>
      </c>
      <c r="K13933" t="s">
        <v>40692</v>
      </c>
      <c r="M13933" t="s">
        <v>44737</v>
      </c>
      <c r="N13933" t="s">
        <v>44905</v>
      </c>
      <c r="O13933" t="s">
        <v>44906</v>
      </c>
      <c r="Q13933">
        <v>9</v>
      </c>
      <c r="R13933" t="s">
        <v>44924</v>
      </c>
      <c r="S13933" t="s">
        <v>45836</v>
      </c>
      <c r="T13933" t="s">
        <v>46409</v>
      </c>
      <c r="U13933" t="s">
        <v>58030</v>
      </c>
      <c r="W13933" t="s">
        <v>44737</v>
      </c>
      <c r="X13933" t="s">
        <v>44925</v>
      </c>
    </row>
    <row r="13934" spans="1:24">
      <c r="A13934">
        <f>HYPERLINK("https://www.philgeps.gov.ph/GEPSNONPILOT/Tender/SplashBidNoticeAbstractUI.aspx?menuIndex=3&amp;refID=7044828&amp;Result=3","7044828")</f>
        <v>0</v>
      </c>
      <c r="B13934" t="s">
        <v>3419</v>
      </c>
      <c r="C13934" t="s">
        <v>16856</v>
      </c>
      <c r="D13934" t="s">
        <v>18101</v>
      </c>
      <c r="E13934" t="s">
        <v>30249</v>
      </c>
      <c r="F13934" t="s">
        <v>31363</v>
      </c>
      <c r="G13934" t="s">
        <v>31369</v>
      </c>
      <c r="H13934" t="s">
        <v>31378</v>
      </c>
      <c r="I13934" t="s">
        <v>31386</v>
      </c>
      <c r="J13934" t="s">
        <v>39934</v>
      </c>
      <c r="K13934" t="s">
        <v>40770</v>
      </c>
      <c r="L13934" t="s">
        <v>3419</v>
      </c>
      <c r="M13934" t="s">
        <v>44738</v>
      </c>
      <c r="N13934" t="s">
        <v>44905</v>
      </c>
      <c r="O13934" t="s">
        <v>44906</v>
      </c>
      <c r="P13934">
        <v>0</v>
      </c>
      <c r="Q13934">
        <v>0</v>
      </c>
      <c r="R13934" t="s">
        <v>44924</v>
      </c>
      <c r="S13934" t="s">
        <v>45829</v>
      </c>
      <c r="T13934" t="s">
        <v>46409</v>
      </c>
      <c r="U13934" t="s">
        <v>58031</v>
      </c>
      <c r="W13934" t="s">
        <v>44738</v>
      </c>
      <c r="X13934" t="s">
        <v>44925</v>
      </c>
    </row>
    <row r="13935" spans="1:24">
      <c r="A13935">
        <f>HYPERLINK("https://www.philgeps.gov.ph/GEPSNONPILOT/Tender/SplashBidNoticeAbstractUI.aspx?menuIndex=3&amp;refID=7044826&amp;Result=3","7044826")</f>
        <v>0</v>
      </c>
      <c r="B13935" t="s">
        <v>3420</v>
      </c>
      <c r="C13935" t="s">
        <v>16857</v>
      </c>
      <c r="D13935" t="s">
        <v>18114</v>
      </c>
      <c r="E13935" t="s">
        <v>22113</v>
      </c>
      <c r="F13935" t="s">
        <v>31362</v>
      </c>
      <c r="G13935" t="s">
        <v>31369</v>
      </c>
      <c r="H13935" t="s">
        <v>31378</v>
      </c>
      <c r="I13935" t="s">
        <v>31386</v>
      </c>
      <c r="J13935" t="s">
        <v>39935</v>
      </c>
      <c r="K13935" t="s">
        <v>40694</v>
      </c>
      <c r="M13935" t="s">
        <v>44739</v>
      </c>
      <c r="N13935" t="s">
        <v>44905</v>
      </c>
      <c r="O13935" t="s">
        <v>44906</v>
      </c>
      <c r="P13935">
        <v>0</v>
      </c>
      <c r="Q13935">
        <v>1</v>
      </c>
      <c r="R13935" t="s">
        <v>44924</v>
      </c>
      <c r="S13935" t="s">
        <v>45829</v>
      </c>
      <c r="T13935" t="s">
        <v>46392</v>
      </c>
      <c r="U13935" t="s">
        <v>58032</v>
      </c>
      <c r="W13935" t="s">
        <v>44739</v>
      </c>
      <c r="X13935" t="s">
        <v>44925</v>
      </c>
    </row>
    <row r="13936" spans="1:24">
      <c r="A13936">
        <f>HYPERLINK("https://www.philgeps.gov.ph/GEPSNONPILOT/Tender/SplashBidNoticeAbstractUI.aspx?menuIndex=3&amp;refID=7044934&amp;Result=3","7044934")</f>
        <v>0</v>
      </c>
      <c r="B13936" t="s">
        <v>1058</v>
      </c>
      <c r="C13936" t="s">
        <v>6613</v>
      </c>
      <c r="D13936" t="s">
        <v>18104</v>
      </c>
      <c r="E13936" t="s">
        <v>30250</v>
      </c>
      <c r="F13936" t="s">
        <v>31362</v>
      </c>
      <c r="G13936" t="s">
        <v>31369</v>
      </c>
      <c r="H13936" t="s">
        <v>15799</v>
      </c>
      <c r="I13936" t="s">
        <v>6373</v>
      </c>
      <c r="J13936" t="s">
        <v>35698</v>
      </c>
      <c r="K13936" t="s">
        <v>40670</v>
      </c>
      <c r="M13936" t="s">
        <v>42059</v>
      </c>
      <c r="N13936" t="s">
        <v>44905</v>
      </c>
      <c r="O13936" t="s">
        <v>44906</v>
      </c>
      <c r="P13936">
        <v>0</v>
      </c>
      <c r="Q13936">
        <v>0</v>
      </c>
      <c r="R13936" t="s">
        <v>44924</v>
      </c>
      <c r="S13936" t="s">
        <v>45829</v>
      </c>
      <c r="T13936" t="s">
        <v>46447</v>
      </c>
      <c r="U13936" t="s">
        <v>58033</v>
      </c>
      <c r="W13936" t="s">
        <v>42059</v>
      </c>
      <c r="X13936" t="s">
        <v>44925</v>
      </c>
    </row>
    <row r="13937" spans="1:24">
      <c r="A13937">
        <f>HYPERLINK("https://www.philgeps.gov.ph/GEPSNONPILOT/Tender/SplashBidNoticeAbstractUI.aspx?menuIndex=3&amp;refID=7044844&amp;Result=3","7044844")</f>
        <v>0</v>
      </c>
      <c r="B13937" t="s">
        <v>182</v>
      </c>
      <c r="C13937" t="s">
        <v>16858</v>
      </c>
      <c r="D13937" t="s">
        <v>18101</v>
      </c>
      <c r="E13937" t="s">
        <v>30251</v>
      </c>
      <c r="F13937" t="s">
        <v>31362</v>
      </c>
      <c r="G13937" t="s">
        <v>31369</v>
      </c>
      <c r="H13937" t="s">
        <v>31378</v>
      </c>
      <c r="I13937" t="s">
        <v>31386</v>
      </c>
      <c r="J13937" t="s">
        <v>39936</v>
      </c>
      <c r="K13937" t="s">
        <v>40694</v>
      </c>
      <c r="M13937" t="s">
        <v>41120</v>
      </c>
      <c r="N13937" t="s">
        <v>44905</v>
      </c>
      <c r="O13937" t="s">
        <v>44906</v>
      </c>
      <c r="P13937">
        <v>0</v>
      </c>
      <c r="Q13937">
        <v>0</v>
      </c>
      <c r="R13937" t="s">
        <v>44924</v>
      </c>
      <c r="S13937" t="s">
        <v>45829</v>
      </c>
      <c r="T13937" t="s">
        <v>46411</v>
      </c>
      <c r="U13937" t="s">
        <v>58034</v>
      </c>
      <c r="W13937" t="s">
        <v>60972</v>
      </c>
      <c r="X13937" t="s">
        <v>44925</v>
      </c>
    </row>
    <row r="13938" spans="1:24">
      <c r="A13938">
        <f>HYPERLINK("https://www.philgeps.gov.ph/GEPSNONPILOT/Tender/SplashBidNoticeAbstractUI.aspx?menuIndex=3&amp;refID=7044794&amp;Result=3","7044794")</f>
        <v>0</v>
      </c>
      <c r="B13938" t="s">
        <v>1058</v>
      </c>
      <c r="C13938" t="s">
        <v>16859</v>
      </c>
      <c r="D13938" t="s">
        <v>18104</v>
      </c>
      <c r="E13938" t="s">
        <v>30252</v>
      </c>
      <c r="F13938" t="s">
        <v>31362</v>
      </c>
      <c r="G13938" t="s">
        <v>31369</v>
      </c>
      <c r="H13938" t="s">
        <v>31378</v>
      </c>
      <c r="I13938" t="s">
        <v>3815</v>
      </c>
      <c r="J13938" t="s">
        <v>39937</v>
      </c>
      <c r="K13938" t="s">
        <v>40670</v>
      </c>
      <c r="M13938" t="s">
        <v>42059</v>
      </c>
      <c r="N13938" t="s">
        <v>44905</v>
      </c>
      <c r="O13938" t="s">
        <v>44906</v>
      </c>
      <c r="P13938">
        <v>0</v>
      </c>
      <c r="Q13938">
        <v>1</v>
      </c>
      <c r="R13938" t="s">
        <v>44924</v>
      </c>
      <c r="S13938" t="s">
        <v>45829</v>
      </c>
      <c r="T13938" t="s">
        <v>46447</v>
      </c>
      <c r="U13938" t="s">
        <v>58035</v>
      </c>
      <c r="W13938" t="s">
        <v>42059</v>
      </c>
      <c r="X13938" t="s">
        <v>44925</v>
      </c>
    </row>
    <row r="13939" spans="1:24">
      <c r="A13939">
        <f>HYPERLINK("https://www.philgeps.gov.ph/GEPSNONPILOT/Tender/SplashBidNoticeAbstractUI.aspx?menuIndex=3&amp;refID=7044932&amp;Result=3","7044932")</f>
        <v>0</v>
      </c>
      <c r="B13939" t="s">
        <v>3421</v>
      </c>
      <c r="C13939" t="s">
        <v>16860</v>
      </c>
      <c r="D13939" t="s">
        <v>18108</v>
      </c>
      <c r="E13939" t="s">
        <v>22733</v>
      </c>
      <c r="F13939" t="s">
        <v>31362</v>
      </c>
      <c r="G13939" t="s">
        <v>31369</v>
      </c>
      <c r="H13939" t="s">
        <v>15799</v>
      </c>
      <c r="I13939" t="s">
        <v>31477</v>
      </c>
      <c r="J13939" t="s">
        <v>39938</v>
      </c>
      <c r="K13939" t="s">
        <v>40665</v>
      </c>
      <c r="M13939" t="s">
        <v>44740</v>
      </c>
      <c r="N13939" t="s">
        <v>44905</v>
      </c>
      <c r="O13939" t="s">
        <v>44906</v>
      </c>
      <c r="Q13939">
        <v>2</v>
      </c>
      <c r="R13939" t="s">
        <v>44924</v>
      </c>
      <c r="S13939" t="s">
        <v>45837</v>
      </c>
      <c r="T13939" t="s">
        <v>46882</v>
      </c>
      <c r="U13939" t="s">
        <v>58036</v>
      </c>
      <c r="V13939" t="s">
        <v>60650</v>
      </c>
      <c r="W13939" t="s">
        <v>44740</v>
      </c>
      <c r="X13939" t="s">
        <v>44925</v>
      </c>
    </row>
    <row r="13940" spans="1:24">
      <c r="A13940">
        <f>HYPERLINK("https://www.philgeps.gov.ph/GEPSNONPILOT/Tender/SplashBidNoticeAbstractUI.aspx?menuIndex=3&amp;refID=7044787&amp;Result=3","7044787")</f>
        <v>0</v>
      </c>
      <c r="B13940" t="s">
        <v>2129</v>
      </c>
      <c r="C13940" t="s">
        <v>16861</v>
      </c>
      <c r="D13940" t="s">
        <v>18170</v>
      </c>
      <c r="E13940" t="s">
        <v>30253</v>
      </c>
      <c r="F13940" t="s">
        <v>31362</v>
      </c>
      <c r="G13940" t="s">
        <v>31369</v>
      </c>
      <c r="H13940" t="s">
        <v>15799</v>
      </c>
      <c r="I13940" t="s">
        <v>7188</v>
      </c>
      <c r="J13940" t="s">
        <v>39939</v>
      </c>
      <c r="K13940" t="s">
        <v>40665</v>
      </c>
      <c r="M13940" t="s">
        <v>43257</v>
      </c>
      <c r="N13940" t="s">
        <v>44905</v>
      </c>
      <c r="O13940" t="s">
        <v>44906</v>
      </c>
      <c r="P13940">
        <v>0</v>
      </c>
      <c r="Q13940">
        <v>2</v>
      </c>
      <c r="R13940" t="s">
        <v>44924</v>
      </c>
      <c r="S13940" t="s">
        <v>45829</v>
      </c>
      <c r="T13940" t="s">
        <v>46447</v>
      </c>
      <c r="U13940" t="s">
        <v>58037</v>
      </c>
      <c r="W13940" t="s">
        <v>43257</v>
      </c>
      <c r="X13940" t="s">
        <v>44925</v>
      </c>
    </row>
    <row r="13941" spans="1:24">
      <c r="A13941">
        <f>HYPERLINK("https://www.philgeps.gov.ph/GEPSNONPILOT/Tender/SplashBidNoticeAbstractUI.aspx?menuIndex=3&amp;refID=7044779&amp;Result=3","7044779")</f>
        <v>0</v>
      </c>
      <c r="B13941" t="s">
        <v>3421</v>
      </c>
      <c r="C13941" t="s">
        <v>16862</v>
      </c>
      <c r="D13941" t="s">
        <v>18108</v>
      </c>
      <c r="E13941" t="s">
        <v>30254</v>
      </c>
      <c r="F13941" t="s">
        <v>31362</v>
      </c>
      <c r="G13941" t="s">
        <v>31369</v>
      </c>
      <c r="H13941" t="s">
        <v>15799</v>
      </c>
      <c r="I13941" t="s">
        <v>31399</v>
      </c>
      <c r="J13941" t="s">
        <v>31637</v>
      </c>
      <c r="K13941" t="s">
        <v>40665</v>
      </c>
      <c r="M13941" t="s">
        <v>44740</v>
      </c>
      <c r="N13941" t="s">
        <v>44905</v>
      </c>
      <c r="O13941" t="s">
        <v>44906</v>
      </c>
      <c r="Q13941">
        <v>12</v>
      </c>
      <c r="R13941" t="s">
        <v>44924</v>
      </c>
      <c r="S13941" t="s">
        <v>45838</v>
      </c>
      <c r="T13941" t="s">
        <v>46882</v>
      </c>
      <c r="U13941" t="s">
        <v>58038</v>
      </c>
      <c r="V13941" t="s">
        <v>60650</v>
      </c>
      <c r="W13941" t="s">
        <v>44740</v>
      </c>
      <c r="X13941" t="s">
        <v>44925</v>
      </c>
    </row>
    <row r="13942" spans="1:24">
      <c r="A13942">
        <f>HYPERLINK("https://www.philgeps.gov.ph/GEPSNONPILOT/Tender/SplashBidNoticeAbstractUI.aspx?menuIndex=3&amp;refID=7044751&amp;Result=3","7044751")</f>
        <v>0</v>
      </c>
      <c r="B13942" t="s">
        <v>1797</v>
      </c>
      <c r="C13942" t="s">
        <v>16863</v>
      </c>
      <c r="E13942" t="s">
        <v>30255</v>
      </c>
      <c r="F13942" t="s">
        <v>31362</v>
      </c>
      <c r="G13942" t="s">
        <v>31369</v>
      </c>
      <c r="H13942" t="s">
        <v>15799</v>
      </c>
      <c r="I13942" t="s">
        <v>3815</v>
      </c>
      <c r="J13942" t="s">
        <v>39940</v>
      </c>
      <c r="K13942" t="s">
        <v>40666</v>
      </c>
      <c r="M13942" t="s">
        <v>42879</v>
      </c>
      <c r="N13942" t="s">
        <v>44905</v>
      </c>
      <c r="O13942" t="s">
        <v>44906</v>
      </c>
      <c r="P13942">
        <v>0</v>
      </c>
      <c r="Q13942">
        <v>3</v>
      </c>
      <c r="R13942" t="s">
        <v>44924</v>
      </c>
      <c r="S13942" t="s">
        <v>45829</v>
      </c>
      <c r="T13942" t="s">
        <v>46411</v>
      </c>
      <c r="U13942" t="s">
        <v>58039</v>
      </c>
      <c r="V13942" t="s">
        <v>60647</v>
      </c>
      <c r="W13942" t="s">
        <v>42879</v>
      </c>
      <c r="X13942" t="s">
        <v>44925</v>
      </c>
    </row>
    <row r="13943" spans="1:24">
      <c r="A13943">
        <f>HYPERLINK("https://www.philgeps.gov.ph/GEPSNONPILOT/Tender/SplashBidNoticeAbstractUI.aspx?menuIndex=3&amp;refID=7044653&amp;Result=3","7044653")</f>
        <v>0</v>
      </c>
      <c r="B13943" t="s">
        <v>3421</v>
      </c>
      <c r="C13943" t="s">
        <v>16864</v>
      </c>
      <c r="D13943" t="s">
        <v>18108</v>
      </c>
      <c r="E13943" t="s">
        <v>30256</v>
      </c>
      <c r="F13943" t="s">
        <v>31362</v>
      </c>
      <c r="G13943" t="s">
        <v>31369</v>
      </c>
      <c r="H13943" t="s">
        <v>15799</v>
      </c>
      <c r="I13943" t="s">
        <v>7719</v>
      </c>
      <c r="J13943" t="s">
        <v>39941</v>
      </c>
      <c r="K13943" t="s">
        <v>40679</v>
      </c>
      <c r="M13943" t="s">
        <v>44740</v>
      </c>
      <c r="N13943" t="s">
        <v>44905</v>
      </c>
      <c r="O13943" t="s">
        <v>44906</v>
      </c>
      <c r="P13943">
        <v>0</v>
      </c>
      <c r="Q13943">
        <v>10</v>
      </c>
      <c r="R13943" t="s">
        <v>44924</v>
      </c>
      <c r="S13943" t="s">
        <v>45829</v>
      </c>
      <c r="T13943" t="s">
        <v>46882</v>
      </c>
      <c r="U13943" t="s">
        <v>58040</v>
      </c>
      <c r="V13943" t="s">
        <v>60650</v>
      </c>
      <c r="W13943" t="s">
        <v>44740</v>
      </c>
      <c r="X13943" t="s">
        <v>44925</v>
      </c>
    </row>
    <row r="13944" spans="1:24">
      <c r="A13944">
        <f>HYPERLINK("https://www.philgeps.gov.ph/GEPSNONPILOT/Tender/SplashBidNoticeAbstractUI.aspx?menuIndex=3&amp;refID=7044747&amp;Result=3","7044747")</f>
        <v>0</v>
      </c>
      <c r="B13944" t="s">
        <v>1468</v>
      </c>
      <c r="C13944" t="s">
        <v>16865</v>
      </c>
      <c r="D13944" t="s">
        <v>18134</v>
      </c>
      <c r="E13944" t="s">
        <v>30257</v>
      </c>
      <c r="F13944" t="s">
        <v>31362</v>
      </c>
      <c r="G13944" t="s">
        <v>31369</v>
      </c>
      <c r="H13944" t="s">
        <v>31378</v>
      </c>
      <c r="I13944" t="s">
        <v>31386</v>
      </c>
      <c r="J13944" t="s">
        <v>39942</v>
      </c>
      <c r="K13944" t="s">
        <v>40768</v>
      </c>
      <c r="M13944" t="s">
        <v>42501</v>
      </c>
      <c r="N13944" t="s">
        <v>44905</v>
      </c>
      <c r="O13944" t="s">
        <v>44906</v>
      </c>
      <c r="P13944">
        <v>0</v>
      </c>
      <c r="Q13944">
        <v>5</v>
      </c>
      <c r="R13944" t="s">
        <v>44924</v>
      </c>
      <c r="S13944" t="s">
        <v>45829</v>
      </c>
      <c r="T13944" t="s">
        <v>46432</v>
      </c>
      <c r="U13944" t="s">
        <v>58041</v>
      </c>
      <c r="W13944" t="s">
        <v>42501</v>
      </c>
      <c r="X13944" t="s">
        <v>44925</v>
      </c>
    </row>
    <row r="13945" spans="1:24">
      <c r="A13945">
        <f>HYPERLINK("https://www.philgeps.gov.ph/GEPSNONPILOT/Tender/SplashBidNoticeAbstractUI.aspx?menuIndex=3&amp;refID=7044814&amp;Result=3","7044814")</f>
        <v>0</v>
      </c>
      <c r="B13945" t="s">
        <v>3422</v>
      </c>
      <c r="C13945" t="s">
        <v>16866</v>
      </c>
      <c r="D13945" t="s">
        <v>18147</v>
      </c>
      <c r="E13945" t="s">
        <v>30182</v>
      </c>
      <c r="F13945" t="s">
        <v>31362</v>
      </c>
      <c r="G13945" t="s">
        <v>31369</v>
      </c>
      <c r="H13945" t="s">
        <v>31378</v>
      </c>
      <c r="I13945" t="s">
        <v>31386</v>
      </c>
      <c r="J13945" t="s">
        <v>32278</v>
      </c>
      <c r="K13945" t="s">
        <v>40665</v>
      </c>
      <c r="M13945" t="s">
        <v>44741</v>
      </c>
      <c r="N13945" t="s">
        <v>44905</v>
      </c>
      <c r="O13945" t="s">
        <v>44906</v>
      </c>
      <c r="P13945">
        <v>0</v>
      </c>
      <c r="Q13945">
        <v>0</v>
      </c>
      <c r="R13945" t="s">
        <v>44924</v>
      </c>
      <c r="S13945" t="s">
        <v>45829</v>
      </c>
      <c r="T13945" t="s">
        <v>46447</v>
      </c>
      <c r="U13945" t="s">
        <v>58042</v>
      </c>
      <c r="V13945" t="s">
        <v>60651</v>
      </c>
      <c r="W13945" t="s">
        <v>44741</v>
      </c>
      <c r="X13945" t="s">
        <v>44925</v>
      </c>
    </row>
    <row r="13946" spans="1:24">
      <c r="A13946">
        <f>HYPERLINK("https://www.philgeps.gov.ph/GEPSNONPILOT/Tender/SplashBidNoticeAbstractUI.aspx?menuIndex=3&amp;refID=7044498&amp;Result=3","7044498")</f>
        <v>0</v>
      </c>
      <c r="B13946" t="s">
        <v>1714</v>
      </c>
      <c r="C13946" t="s">
        <v>16867</v>
      </c>
      <c r="E13946" t="s">
        <v>30258</v>
      </c>
      <c r="F13946" t="s">
        <v>31362</v>
      </c>
      <c r="G13946" t="s">
        <v>31369</v>
      </c>
      <c r="H13946" t="s">
        <v>31378</v>
      </c>
      <c r="I13946" t="s">
        <v>31386</v>
      </c>
      <c r="J13946" t="s">
        <v>35540</v>
      </c>
      <c r="K13946" t="s">
        <v>40686</v>
      </c>
      <c r="M13946" t="s">
        <v>42782</v>
      </c>
      <c r="N13946" t="s">
        <v>44905</v>
      </c>
      <c r="O13946" t="s">
        <v>44906</v>
      </c>
      <c r="P13946">
        <v>0</v>
      </c>
      <c r="Q13946">
        <v>0</v>
      </c>
      <c r="R13946" t="s">
        <v>44924</v>
      </c>
      <c r="S13946" t="s">
        <v>45829</v>
      </c>
      <c r="T13946" t="s">
        <v>46409</v>
      </c>
      <c r="U13946" t="s">
        <v>58043</v>
      </c>
      <c r="W13946" t="s">
        <v>42782</v>
      </c>
      <c r="X13946" t="s">
        <v>44925</v>
      </c>
    </row>
    <row r="13947" spans="1:24">
      <c r="A13947">
        <f>HYPERLINK("https://www.philgeps.gov.ph/GEPSNONPILOT/Tender/SplashBidNoticeAbstractUI.aspx?menuIndex=3&amp;refID=7049809&amp;Result=3","7049809")</f>
        <v>0</v>
      </c>
      <c r="B13947" t="s">
        <v>110</v>
      </c>
      <c r="C13947" t="s">
        <v>16868</v>
      </c>
      <c r="D13947" t="s">
        <v>18119</v>
      </c>
      <c r="E13947" t="s">
        <v>30259</v>
      </c>
      <c r="F13947" t="s">
        <v>31362</v>
      </c>
      <c r="G13947" t="s">
        <v>31369</v>
      </c>
      <c r="H13947" t="s">
        <v>15799</v>
      </c>
      <c r="I13947" t="s">
        <v>31385</v>
      </c>
      <c r="J13947" t="s">
        <v>39943</v>
      </c>
      <c r="K13947" t="s">
        <v>40670</v>
      </c>
      <c r="M13947" t="s">
        <v>44680</v>
      </c>
      <c r="N13947" t="s">
        <v>44905</v>
      </c>
      <c r="O13947" t="s">
        <v>44906</v>
      </c>
      <c r="P13947">
        <v>0</v>
      </c>
      <c r="Q13947">
        <v>2</v>
      </c>
      <c r="R13947" t="s">
        <v>44923</v>
      </c>
      <c r="S13947" t="s">
        <v>45744</v>
      </c>
      <c r="T13947" t="s">
        <v>46470</v>
      </c>
      <c r="U13947" t="s">
        <v>58044</v>
      </c>
      <c r="W13947" t="s">
        <v>44680</v>
      </c>
      <c r="X13947" t="s">
        <v>44924</v>
      </c>
    </row>
    <row r="13948" spans="1:24">
      <c r="A13948">
        <f>HYPERLINK("https://www.philgeps.gov.ph/GEPSNONPILOT/Tender/SplashBidNoticeAbstractUI.aspx?menuIndex=3&amp;refID=7044783&amp;Result=3","7044783")</f>
        <v>0</v>
      </c>
      <c r="B13948" t="s">
        <v>360</v>
      </c>
      <c r="C13948" t="s">
        <v>16869</v>
      </c>
      <c r="D13948" t="s">
        <v>18161</v>
      </c>
      <c r="E13948" t="s">
        <v>30260</v>
      </c>
      <c r="F13948" t="s">
        <v>31362</v>
      </c>
      <c r="G13948" t="s">
        <v>31369</v>
      </c>
      <c r="H13948" t="s">
        <v>31378</v>
      </c>
      <c r="I13948" t="s">
        <v>31386</v>
      </c>
      <c r="J13948" t="s">
        <v>32594</v>
      </c>
      <c r="K13948" t="s">
        <v>40662</v>
      </c>
      <c r="M13948" t="s">
        <v>41307</v>
      </c>
      <c r="N13948" t="s">
        <v>44905</v>
      </c>
      <c r="O13948" t="s">
        <v>44906</v>
      </c>
      <c r="P13948">
        <v>0</v>
      </c>
      <c r="Q13948">
        <v>2</v>
      </c>
      <c r="R13948" t="s">
        <v>44924</v>
      </c>
      <c r="S13948" t="s">
        <v>45829</v>
      </c>
      <c r="T13948" t="s">
        <v>46432</v>
      </c>
      <c r="U13948" t="s">
        <v>58014</v>
      </c>
      <c r="W13948" t="s">
        <v>41307</v>
      </c>
      <c r="X13948" t="s">
        <v>44925</v>
      </c>
    </row>
    <row r="13949" spans="1:24">
      <c r="A13949">
        <f>HYPERLINK("https://www.philgeps.gov.ph/GEPSNONPILOT/Tender/SplashBidNoticeAbstractUI.aspx?menuIndex=3&amp;refID=7049803&amp;Result=3","7049803")</f>
        <v>0</v>
      </c>
      <c r="B13949" t="s">
        <v>110</v>
      </c>
      <c r="C13949" t="s">
        <v>16870</v>
      </c>
      <c r="D13949" t="s">
        <v>18119</v>
      </c>
      <c r="E13949" t="s">
        <v>30261</v>
      </c>
      <c r="F13949" t="s">
        <v>31362</v>
      </c>
      <c r="G13949" t="s">
        <v>31369</v>
      </c>
      <c r="H13949" t="s">
        <v>15799</v>
      </c>
      <c r="I13949" t="s">
        <v>4283</v>
      </c>
      <c r="J13949" t="s">
        <v>39944</v>
      </c>
      <c r="K13949" t="s">
        <v>40670</v>
      </c>
      <c r="M13949" t="s">
        <v>44680</v>
      </c>
      <c r="N13949" t="s">
        <v>44905</v>
      </c>
      <c r="O13949" t="s">
        <v>44906</v>
      </c>
      <c r="P13949">
        <v>0</v>
      </c>
      <c r="Q13949">
        <v>1</v>
      </c>
      <c r="R13949" t="s">
        <v>44923</v>
      </c>
      <c r="S13949" t="s">
        <v>45744</v>
      </c>
      <c r="T13949" t="s">
        <v>46470</v>
      </c>
      <c r="U13949" t="s">
        <v>58045</v>
      </c>
      <c r="W13949" t="s">
        <v>44680</v>
      </c>
      <c r="X13949" t="s">
        <v>44924</v>
      </c>
    </row>
    <row r="13950" spans="1:24">
      <c r="A13950">
        <f>HYPERLINK("https://www.philgeps.gov.ph/GEPSNONPILOT/Tender/SplashBidNoticeAbstractUI.aspx?menuIndex=3&amp;refID=7049802&amp;Result=3","7049802")</f>
        <v>0</v>
      </c>
      <c r="B13950" t="s">
        <v>2787</v>
      </c>
      <c r="C13950" t="s">
        <v>16871</v>
      </c>
      <c r="D13950" t="s">
        <v>18104</v>
      </c>
      <c r="E13950" t="s">
        <v>19313</v>
      </c>
      <c r="F13950" t="s">
        <v>31362</v>
      </c>
      <c r="G13950" t="s">
        <v>31369</v>
      </c>
      <c r="H13950" t="s">
        <v>15799</v>
      </c>
      <c r="I13950" t="s">
        <v>7090</v>
      </c>
      <c r="J13950" t="s">
        <v>39945</v>
      </c>
      <c r="K13950" t="s">
        <v>40670</v>
      </c>
      <c r="L13950" t="s">
        <v>2787</v>
      </c>
      <c r="M13950" t="s">
        <v>43984</v>
      </c>
      <c r="N13950" t="s">
        <v>44905</v>
      </c>
      <c r="O13950" t="s">
        <v>44906</v>
      </c>
      <c r="P13950">
        <v>0</v>
      </c>
      <c r="Q13950">
        <v>1</v>
      </c>
      <c r="R13950" t="s">
        <v>44923</v>
      </c>
      <c r="S13950" t="s">
        <v>45744</v>
      </c>
      <c r="T13950" t="s">
        <v>46575</v>
      </c>
      <c r="U13950" t="s">
        <v>58046</v>
      </c>
      <c r="V13950" t="s">
        <v>60652</v>
      </c>
      <c r="W13950" t="s">
        <v>43984</v>
      </c>
      <c r="X13950" t="s">
        <v>44924</v>
      </c>
    </row>
    <row r="13951" spans="1:24">
      <c r="A13951">
        <f>HYPERLINK("https://www.philgeps.gov.ph/GEPSNONPILOT/Tender/SplashBidNoticeAbstractUI.aspx?menuIndex=3&amp;refID=7049799&amp;Result=3","7049799")</f>
        <v>0</v>
      </c>
      <c r="B13951" t="s">
        <v>110</v>
      </c>
      <c r="C13951" t="s">
        <v>16872</v>
      </c>
      <c r="D13951" t="s">
        <v>18119</v>
      </c>
      <c r="E13951" t="s">
        <v>30262</v>
      </c>
      <c r="F13951" t="s">
        <v>31362</v>
      </c>
      <c r="G13951" t="s">
        <v>31369</v>
      </c>
      <c r="H13951" t="s">
        <v>15799</v>
      </c>
      <c r="I13951" t="s">
        <v>31396</v>
      </c>
      <c r="J13951" t="s">
        <v>39946</v>
      </c>
      <c r="K13951" t="s">
        <v>40665</v>
      </c>
      <c r="M13951" t="s">
        <v>44680</v>
      </c>
      <c r="N13951" t="s">
        <v>44905</v>
      </c>
      <c r="O13951" t="s">
        <v>44906</v>
      </c>
      <c r="P13951">
        <v>0</v>
      </c>
      <c r="Q13951">
        <v>7</v>
      </c>
      <c r="R13951" t="s">
        <v>44923</v>
      </c>
      <c r="S13951" t="s">
        <v>45744</v>
      </c>
      <c r="T13951" t="s">
        <v>46470</v>
      </c>
      <c r="U13951" t="s">
        <v>58047</v>
      </c>
      <c r="W13951" t="s">
        <v>44680</v>
      </c>
      <c r="X13951" t="s">
        <v>44924</v>
      </c>
    </row>
    <row r="13952" spans="1:24">
      <c r="A13952">
        <f>HYPERLINK("https://www.philgeps.gov.ph/GEPSNONPILOT/Tender/SplashBidNoticeAbstractUI.aspx?menuIndex=3&amp;refID=7049798&amp;Result=3","7049798")</f>
        <v>0</v>
      </c>
      <c r="B13952" t="s">
        <v>1037</v>
      </c>
      <c r="C13952" t="s">
        <v>16873</v>
      </c>
      <c r="D13952" t="s">
        <v>18146</v>
      </c>
      <c r="E13952" t="s">
        <v>30263</v>
      </c>
      <c r="F13952" t="s">
        <v>31362</v>
      </c>
      <c r="G13952" t="s">
        <v>31369</v>
      </c>
      <c r="H13952" t="s">
        <v>15799</v>
      </c>
      <c r="I13952" t="s">
        <v>31393</v>
      </c>
      <c r="J13952" t="s">
        <v>39947</v>
      </c>
      <c r="K13952" t="s">
        <v>40666</v>
      </c>
      <c r="M13952" t="s">
        <v>44742</v>
      </c>
      <c r="N13952" t="s">
        <v>44905</v>
      </c>
      <c r="O13952" t="s">
        <v>44906</v>
      </c>
      <c r="P13952">
        <v>0</v>
      </c>
      <c r="Q13952">
        <v>6</v>
      </c>
      <c r="R13952" t="s">
        <v>44923</v>
      </c>
      <c r="S13952" t="s">
        <v>45744</v>
      </c>
      <c r="T13952" t="s">
        <v>46520</v>
      </c>
      <c r="U13952" t="s">
        <v>58048</v>
      </c>
      <c r="V13952" t="s">
        <v>59231</v>
      </c>
      <c r="W13952" t="s">
        <v>44742</v>
      </c>
      <c r="X13952" t="s">
        <v>44924</v>
      </c>
    </row>
    <row r="13953" spans="1:24">
      <c r="A13953">
        <f>HYPERLINK("https://www.philgeps.gov.ph/GEPSNONPILOT/Tender/SplashBidNoticeAbstractUI.aspx?menuIndex=3&amp;refID=7044503&amp;Result=3","7044503")</f>
        <v>0</v>
      </c>
      <c r="B13953" t="s">
        <v>3418</v>
      </c>
      <c r="C13953" t="s">
        <v>16874</v>
      </c>
      <c r="D13953" t="s">
        <v>18149</v>
      </c>
      <c r="E13953" t="s">
        <v>30264</v>
      </c>
      <c r="F13953" t="s">
        <v>31362</v>
      </c>
      <c r="G13953" t="s">
        <v>31369</v>
      </c>
      <c r="H13953" t="s">
        <v>31378</v>
      </c>
      <c r="I13953" t="s">
        <v>31386</v>
      </c>
      <c r="J13953" t="s">
        <v>39948</v>
      </c>
      <c r="K13953" t="s">
        <v>40676</v>
      </c>
      <c r="M13953" t="s">
        <v>44736</v>
      </c>
      <c r="N13953" t="s">
        <v>44905</v>
      </c>
      <c r="O13953" t="s">
        <v>44906</v>
      </c>
      <c r="P13953">
        <v>0</v>
      </c>
      <c r="Q13953">
        <v>20</v>
      </c>
      <c r="R13953" t="s">
        <v>44924</v>
      </c>
      <c r="S13953" t="s">
        <v>45829</v>
      </c>
      <c r="T13953" t="s">
        <v>46432</v>
      </c>
      <c r="U13953" t="s">
        <v>58049</v>
      </c>
      <c r="V13953" t="s">
        <v>60653</v>
      </c>
      <c r="W13953" t="s">
        <v>44736</v>
      </c>
      <c r="X13953" t="s">
        <v>44925</v>
      </c>
    </row>
    <row r="13954" spans="1:24">
      <c r="A13954">
        <f>HYPERLINK("https://www.philgeps.gov.ph/GEPSNONPILOT/Tender/SplashBidNoticeAbstractUI.aspx?menuIndex=3&amp;refID=7049711&amp;Result=3","7049711")</f>
        <v>0</v>
      </c>
      <c r="B13954" t="s">
        <v>2217</v>
      </c>
      <c r="C13954" t="s">
        <v>16875</v>
      </c>
      <c r="D13954" t="s">
        <v>18115</v>
      </c>
      <c r="E13954" t="s">
        <v>30265</v>
      </c>
      <c r="F13954" t="s">
        <v>31362</v>
      </c>
      <c r="G13954" t="s">
        <v>31369</v>
      </c>
      <c r="H13954" t="s">
        <v>15799</v>
      </c>
      <c r="I13954" t="s">
        <v>31415</v>
      </c>
      <c r="J13954" t="s">
        <v>31637</v>
      </c>
      <c r="K13954" t="s">
        <v>40666</v>
      </c>
      <c r="M13954" t="s">
        <v>43351</v>
      </c>
      <c r="N13954" t="s">
        <v>44905</v>
      </c>
      <c r="O13954" t="s">
        <v>44906</v>
      </c>
      <c r="Q13954">
        <v>1</v>
      </c>
      <c r="R13954" t="s">
        <v>44923</v>
      </c>
      <c r="S13954" t="s">
        <v>45839</v>
      </c>
      <c r="T13954" t="s">
        <v>46506</v>
      </c>
      <c r="U13954" t="s">
        <v>58050</v>
      </c>
      <c r="V13954" t="s">
        <v>60654</v>
      </c>
      <c r="W13954" t="s">
        <v>43351</v>
      </c>
      <c r="X13954" t="s">
        <v>44924</v>
      </c>
    </row>
    <row r="13955" spans="1:24">
      <c r="A13955">
        <f>HYPERLINK("https://www.philgeps.gov.ph/GEPSNONPILOT/Tender/SplashBidNoticeAbstractUI.aspx?menuIndex=3&amp;refID=7049707&amp;Result=3","7049707")</f>
        <v>0</v>
      </c>
      <c r="B13955" t="s">
        <v>2969</v>
      </c>
      <c r="C13955" t="s">
        <v>16876</v>
      </c>
      <c r="D13955" t="s">
        <v>18113</v>
      </c>
      <c r="E13955" t="s">
        <v>30266</v>
      </c>
      <c r="F13955" t="s">
        <v>31362</v>
      </c>
      <c r="G13955" t="s">
        <v>31369</v>
      </c>
      <c r="H13955" t="s">
        <v>15799</v>
      </c>
      <c r="I13955" t="s">
        <v>31413</v>
      </c>
      <c r="J13955" t="s">
        <v>31606</v>
      </c>
      <c r="K13955" t="s">
        <v>40675</v>
      </c>
      <c r="M13955" t="s">
        <v>44193</v>
      </c>
      <c r="N13955" t="s">
        <v>44905</v>
      </c>
      <c r="O13955" t="s">
        <v>44906</v>
      </c>
      <c r="Q13955">
        <v>12</v>
      </c>
      <c r="R13955" t="s">
        <v>44923</v>
      </c>
      <c r="S13955" t="s">
        <v>45840</v>
      </c>
      <c r="T13955" t="s">
        <v>46641</v>
      </c>
      <c r="U13955" t="s">
        <v>58051</v>
      </c>
      <c r="W13955" t="s">
        <v>44193</v>
      </c>
      <c r="X13955" t="s">
        <v>44924</v>
      </c>
    </row>
    <row r="13956" spans="1:24">
      <c r="A13956">
        <f>HYPERLINK("https://www.philgeps.gov.ph/GEPSNONPILOT/Tender/SplashBidNoticeAbstractUI.aspx?menuIndex=3&amp;refID=7049706&amp;Result=3","7049706")</f>
        <v>0</v>
      </c>
      <c r="B13956" t="s">
        <v>3423</v>
      </c>
      <c r="C13956" t="s">
        <v>16877</v>
      </c>
      <c r="E13956" t="s">
        <v>30267</v>
      </c>
      <c r="F13956" t="s">
        <v>31362</v>
      </c>
      <c r="G13956" t="s">
        <v>31369</v>
      </c>
      <c r="H13956" t="s">
        <v>15799</v>
      </c>
      <c r="I13956" t="s">
        <v>31422</v>
      </c>
      <c r="J13956" t="s">
        <v>39949</v>
      </c>
      <c r="K13956" t="s">
        <v>40662</v>
      </c>
      <c r="M13956" t="s">
        <v>44743</v>
      </c>
      <c r="N13956" t="s">
        <v>44905</v>
      </c>
      <c r="O13956" t="s">
        <v>44906</v>
      </c>
      <c r="Q13956">
        <v>15</v>
      </c>
      <c r="R13956" t="s">
        <v>44923</v>
      </c>
      <c r="S13956" t="s">
        <v>45841</v>
      </c>
      <c r="T13956" t="s">
        <v>46507</v>
      </c>
      <c r="U13956" t="s">
        <v>58052</v>
      </c>
      <c r="V13956" t="s">
        <v>60655</v>
      </c>
      <c r="W13956" t="s">
        <v>60973</v>
      </c>
      <c r="X13956" t="s">
        <v>44924</v>
      </c>
    </row>
    <row r="13957" spans="1:24">
      <c r="A13957">
        <f>HYPERLINK("https://www.philgeps.gov.ph/GEPSNONPILOT/Tender/SplashBidNoticeAbstractUI.aspx?menuIndex=3&amp;refID=7044838&amp;Result=3","7044838")</f>
        <v>0</v>
      </c>
      <c r="B13957" t="s">
        <v>1808</v>
      </c>
      <c r="C13957" t="s">
        <v>16878</v>
      </c>
      <c r="D13957" t="s">
        <v>18112</v>
      </c>
      <c r="E13957" t="s">
        <v>23663</v>
      </c>
      <c r="F13957" t="s">
        <v>31362</v>
      </c>
      <c r="G13957" t="s">
        <v>31369</v>
      </c>
      <c r="H13957" t="s">
        <v>15799</v>
      </c>
      <c r="I13957" t="s">
        <v>31397</v>
      </c>
      <c r="J13957" t="s">
        <v>39950</v>
      </c>
      <c r="K13957" t="s">
        <v>40670</v>
      </c>
      <c r="M13957" t="s">
        <v>42890</v>
      </c>
      <c r="N13957" t="s">
        <v>44905</v>
      </c>
      <c r="O13957" t="s">
        <v>44906</v>
      </c>
      <c r="P13957">
        <v>0</v>
      </c>
      <c r="Q13957">
        <v>5</v>
      </c>
      <c r="R13957" t="s">
        <v>44924</v>
      </c>
      <c r="S13957" t="s">
        <v>45829</v>
      </c>
      <c r="T13957" t="s">
        <v>46440</v>
      </c>
      <c r="U13957" t="s">
        <v>58053</v>
      </c>
      <c r="W13957" t="s">
        <v>42890</v>
      </c>
      <c r="X13957" t="s">
        <v>44925</v>
      </c>
    </row>
    <row r="13958" spans="1:24">
      <c r="A13958">
        <f>HYPERLINK("https://www.philgeps.gov.ph/GEPSNONPILOT/Tender/SplashBidNoticeAbstractUI.aspx?menuIndex=3&amp;refID=7049703&amp;Result=3","7049703")</f>
        <v>0</v>
      </c>
      <c r="B13958" t="s">
        <v>110</v>
      </c>
      <c r="C13958" t="s">
        <v>16879</v>
      </c>
      <c r="D13958" t="s">
        <v>18119</v>
      </c>
      <c r="E13958" t="s">
        <v>30268</v>
      </c>
      <c r="F13958" t="s">
        <v>31362</v>
      </c>
      <c r="G13958" t="s">
        <v>31369</v>
      </c>
      <c r="H13958" t="s">
        <v>15799</v>
      </c>
      <c r="I13958" t="s">
        <v>31393</v>
      </c>
      <c r="J13958" t="s">
        <v>39951</v>
      </c>
      <c r="K13958" t="s">
        <v>40679</v>
      </c>
      <c r="M13958" t="s">
        <v>44680</v>
      </c>
      <c r="N13958" t="s">
        <v>44905</v>
      </c>
      <c r="O13958" t="s">
        <v>44906</v>
      </c>
      <c r="P13958">
        <v>0</v>
      </c>
      <c r="Q13958">
        <v>11</v>
      </c>
      <c r="R13958" t="s">
        <v>44923</v>
      </c>
      <c r="S13958" t="s">
        <v>45744</v>
      </c>
      <c r="T13958" t="s">
        <v>46470</v>
      </c>
      <c r="U13958" t="s">
        <v>58054</v>
      </c>
      <c r="W13958" t="s">
        <v>44680</v>
      </c>
      <c r="X13958" t="s">
        <v>44924</v>
      </c>
    </row>
    <row r="13959" spans="1:24">
      <c r="A13959">
        <f>HYPERLINK("https://www.philgeps.gov.ph/GEPSNONPILOT/Tender/SplashBidNoticeAbstractUI.aspx?menuIndex=3&amp;refID=7049619&amp;Result=3","7049619")</f>
        <v>0</v>
      </c>
      <c r="B13959" t="s">
        <v>122</v>
      </c>
      <c r="C13959" t="s">
        <v>16880</v>
      </c>
      <c r="D13959" t="s">
        <v>18108</v>
      </c>
      <c r="E13959" t="s">
        <v>30269</v>
      </c>
      <c r="F13959" t="s">
        <v>31362</v>
      </c>
      <c r="G13959" t="s">
        <v>31369</v>
      </c>
      <c r="H13959" t="s">
        <v>15799</v>
      </c>
      <c r="I13959" t="s">
        <v>31393</v>
      </c>
      <c r="J13959" t="s">
        <v>39952</v>
      </c>
      <c r="K13959" t="s">
        <v>40675</v>
      </c>
      <c r="M13959" t="s">
        <v>41059</v>
      </c>
      <c r="N13959" t="s">
        <v>44905</v>
      </c>
      <c r="O13959" t="s">
        <v>44906</v>
      </c>
      <c r="Q13959">
        <v>17</v>
      </c>
      <c r="R13959" t="s">
        <v>44923</v>
      </c>
      <c r="S13959" t="s">
        <v>45842</v>
      </c>
      <c r="T13959" t="s">
        <v>46440</v>
      </c>
      <c r="U13959" t="s">
        <v>57929</v>
      </c>
      <c r="V13959" t="s">
        <v>60656</v>
      </c>
      <c r="W13959" t="s">
        <v>41059</v>
      </c>
      <c r="X13959" t="s">
        <v>44924</v>
      </c>
    </row>
    <row r="13960" spans="1:24">
      <c r="A13960">
        <f>HYPERLINK("https://www.philgeps.gov.ph/GEPSNONPILOT/Tender/SplashBidNoticeAbstractUI.aspx?menuIndex=3&amp;refID=7049617&amp;Result=3","7049617")</f>
        <v>0</v>
      </c>
      <c r="B13960" t="s">
        <v>716</v>
      </c>
      <c r="C13960" t="s">
        <v>16881</v>
      </c>
      <c r="D13960" t="s">
        <v>18160</v>
      </c>
      <c r="E13960" t="s">
        <v>30270</v>
      </c>
      <c r="F13960" t="s">
        <v>31362</v>
      </c>
      <c r="G13960" t="s">
        <v>31369</v>
      </c>
      <c r="H13960" t="s">
        <v>31378</v>
      </c>
      <c r="I13960" t="s">
        <v>31386</v>
      </c>
      <c r="J13960" t="s">
        <v>39953</v>
      </c>
      <c r="K13960" t="s">
        <v>40746</v>
      </c>
      <c r="M13960" t="s">
        <v>43557</v>
      </c>
      <c r="N13960" t="s">
        <v>44905</v>
      </c>
      <c r="O13960" t="s">
        <v>44906</v>
      </c>
      <c r="P13960">
        <v>0</v>
      </c>
      <c r="Q13960">
        <v>5</v>
      </c>
      <c r="R13960" t="s">
        <v>44923</v>
      </c>
      <c r="S13960" t="s">
        <v>45744</v>
      </c>
      <c r="T13960" t="s">
        <v>46467</v>
      </c>
      <c r="U13960" t="s">
        <v>55637</v>
      </c>
      <c r="W13960" t="s">
        <v>60933</v>
      </c>
      <c r="X13960" t="s">
        <v>44924</v>
      </c>
    </row>
    <row r="13961" spans="1:24">
      <c r="A13961">
        <f>HYPERLINK("https://www.philgeps.gov.ph/GEPSNONPILOT/Tender/SplashBidNoticeAbstractUI.aspx?menuIndex=3&amp;refID=7049585&amp;Result=3","7049585")</f>
        <v>0</v>
      </c>
      <c r="B13961" t="s">
        <v>3424</v>
      </c>
      <c r="C13961" t="s">
        <v>16882</v>
      </c>
      <c r="D13961" t="s">
        <v>18177</v>
      </c>
      <c r="E13961" t="s">
        <v>30271</v>
      </c>
      <c r="F13961" t="s">
        <v>31362</v>
      </c>
      <c r="G13961" t="s">
        <v>31369</v>
      </c>
      <c r="H13961" t="s">
        <v>31378</v>
      </c>
      <c r="I13961" t="s">
        <v>31386</v>
      </c>
      <c r="J13961" t="s">
        <v>39954</v>
      </c>
      <c r="K13961" t="s">
        <v>40678</v>
      </c>
      <c r="M13961" t="s">
        <v>44744</v>
      </c>
      <c r="N13961" t="s">
        <v>44905</v>
      </c>
      <c r="O13961" t="s">
        <v>44906</v>
      </c>
      <c r="P13961">
        <v>0</v>
      </c>
      <c r="Q13961">
        <v>3</v>
      </c>
      <c r="R13961" t="s">
        <v>44923</v>
      </c>
      <c r="S13961" t="s">
        <v>45744</v>
      </c>
      <c r="T13961" t="s">
        <v>46434</v>
      </c>
      <c r="U13961" t="s">
        <v>58055</v>
      </c>
      <c r="W13961" t="s">
        <v>44744</v>
      </c>
      <c r="X13961" t="s">
        <v>44924</v>
      </c>
    </row>
    <row r="13962" spans="1:24">
      <c r="A13962">
        <f>HYPERLINK("https://www.philgeps.gov.ph/GEPSNONPILOT/Tender/SplashBidNoticeAbstractUI.aspx?menuIndex=3&amp;refID=7044522&amp;Result=3","7044522")</f>
        <v>0</v>
      </c>
      <c r="B13962" t="s">
        <v>360</v>
      </c>
      <c r="C13962" t="s">
        <v>16883</v>
      </c>
      <c r="D13962" t="s">
        <v>18161</v>
      </c>
      <c r="E13962" t="s">
        <v>30272</v>
      </c>
      <c r="F13962" t="s">
        <v>31362</v>
      </c>
      <c r="G13962" t="s">
        <v>31369</v>
      </c>
      <c r="H13962" t="s">
        <v>31378</v>
      </c>
      <c r="I13962" t="s">
        <v>31386</v>
      </c>
      <c r="J13962" t="s">
        <v>31615</v>
      </c>
      <c r="K13962" t="s">
        <v>40662</v>
      </c>
      <c r="M13962" t="s">
        <v>41307</v>
      </c>
      <c r="N13962" t="s">
        <v>44905</v>
      </c>
      <c r="O13962" t="s">
        <v>44906</v>
      </c>
      <c r="P13962">
        <v>0</v>
      </c>
      <c r="Q13962">
        <v>1</v>
      </c>
      <c r="R13962" t="s">
        <v>44924</v>
      </c>
      <c r="S13962" t="s">
        <v>45829</v>
      </c>
      <c r="T13962" t="s">
        <v>46432</v>
      </c>
      <c r="U13962" t="s">
        <v>58014</v>
      </c>
      <c r="W13962" t="s">
        <v>41307</v>
      </c>
      <c r="X13962" t="s">
        <v>44925</v>
      </c>
    </row>
    <row r="13963" spans="1:24">
      <c r="A13963">
        <f>HYPERLINK("https://www.philgeps.gov.ph/GEPSNONPILOT/Tender/SplashBidNoticeAbstractUI.aspx?menuIndex=3&amp;refID=7049568&amp;Result=3","7049568")</f>
        <v>0</v>
      </c>
      <c r="B13963" t="s">
        <v>833</v>
      </c>
      <c r="C13963" t="s">
        <v>16884</v>
      </c>
      <c r="D13963" t="s">
        <v>18171</v>
      </c>
      <c r="E13963" t="s">
        <v>30273</v>
      </c>
      <c r="F13963" t="s">
        <v>31362</v>
      </c>
      <c r="G13963" t="s">
        <v>31369</v>
      </c>
      <c r="H13963" t="s">
        <v>31378</v>
      </c>
      <c r="I13963" t="s">
        <v>31386</v>
      </c>
      <c r="J13963" t="s">
        <v>39955</v>
      </c>
      <c r="K13963" t="s">
        <v>40684</v>
      </c>
      <c r="M13963" t="s">
        <v>41807</v>
      </c>
      <c r="N13963" t="s">
        <v>44905</v>
      </c>
      <c r="O13963" t="s">
        <v>44906</v>
      </c>
      <c r="P13963">
        <v>0</v>
      </c>
      <c r="Q13963">
        <v>3</v>
      </c>
      <c r="R13963" t="s">
        <v>44923</v>
      </c>
      <c r="S13963" t="s">
        <v>45744</v>
      </c>
      <c r="T13963" t="s">
        <v>46447</v>
      </c>
      <c r="U13963" t="s">
        <v>58056</v>
      </c>
      <c r="V13963" t="s">
        <v>60657</v>
      </c>
      <c r="W13963" t="s">
        <v>41807</v>
      </c>
      <c r="X13963" t="s">
        <v>44924</v>
      </c>
    </row>
    <row r="13964" spans="1:24">
      <c r="A13964">
        <f>HYPERLINK("https://www.philgeps.gov.ph/GEPSNONPILOT/Tender/SplashBidNoticeAbstractUI.aspx?menuIndex=3&amp;refID=7049536&amp;Result=3","7049536")</f>
        <v>0</v>
      </c>
      <c r="B13964" t="s">
        <v>2984</v>
      </c>
      <c r="C13964" t="s">
        <v>16885</v>
      </c>
      <c r="D13964" t="s">
        <v>18108</v>
      </c>
      <c r="E13964" t="s">
        <v>30274</v>
      </c>
      <c r="F13964" t="s">
        <v>31362</v>
      </c>
      <c r="G13964" t="s">
        <v>31369</v>
      </c>
      <c r="H13964" t="s">
        <v>15799</v>
      </c>
      <c r="I13964" t="s">
        <v>31464</v>
      </c>
      <c r="J13964" t="s">
        <v>39956</v>
      </c>
      <c r="K13964" t="s">
        <v>40666</v>
      </c>
      <c r="M13964" t="s">
        <v>44208</v>
      </c>
      <c r="N13964" t="s">
        <v>44905</v>
      </c>
      <c r="O13964" t="s">
        <v>44906</v>
      </c>
      <c r="Q13964">
        <v>4</v>
      </c>
      <c r="R13964" t="s">
        <v>44923</v>
      </c>
      <c r="S13964" t="s">
        <v>45843</v>
      </c>
      <c r="T13964" t="s">
        <v>46528</v>
      </c>
      <c r="U13964" t="s">
        <v>55597</v>
      </c>
      <c r="V13964" t="s">
        <v>60634</v>
      </c>
      <c r="W13964" t="s">
        <v>44208</v>
      </c>
      <c r="X13964" t="s">
        <v>44924</v>
      </c>
    </row>
    <row r="13965" spans="1:24">
      <c r="A13965">
        <f>HYPERLINK("https://www.philgeps.gov.ph/GEPSNONPILOT/Tender/SplashBidNoticeAbstractUI.aspx?menuIndex=3&amp;refID=7044799&amp;Result=3","7044799")</f>
        <v>0</v>
      </c>
      <c r="B13965" t="s">
        <v>3425</v>
      </c>
      <c r="C13965" t="s">
        <v>16886</v>
      </c>
      <c r="D13965" t="s">
        <v>18110</v>
      </c>
      <c r="E13965" t="s">
        <v>30275</v>
      </c>
      <c r="F13965" t="s">
        <v>31362</v>
      </c>
      <c r="G13965" t="s">
        <v>31369</v>
      </c>
      <c r="H13965" t="s">
        <v>15799</v>
      </c>
      <c r="I13965" t="s">
        <v>31400</v>
      </c>
      <c r="J13965" t="s">
        <v>39957</v>
      </c>
      <c r="K13965" t="s">
        <v>40682</v>
      </c>
      <c r="M13965" t="s">
        <v>44745</v>
      </c>
      <c r="N13965" t="s">
        <v>44905</v>
      </c>
      <c r="O13965" t="s">
        <v>44906</v>
      </c>
      <c r="Q13965">
        <v>12</v>
      </c>
      <c r="R13965" t="s">
        <v>44924</v>
      </c>
      <c r="S13965" t="s">
        <v>45727</v>
      </c>
      <c r="T13965" t="s">
        <v>46432</v>
      </c>
      <c r="U13965" t="s">
        <v>58057</v>
      </c>
      <c r="V13965" t="s">
        <v>60658</v>
      </c>
      <c r="W13965" t="s">
        <v>44745</v>
      </c>
      <c r="X13965" t="s">
        <v>44925</v>
      </c>
    </row>
    <row r="13966" spans="1:24">
      <c r="A13966">
        <f>HYPERLINK("https://www.philgeps.gov.ph/GEPSNONPILOT/Tender/SplashBidNoticeAbstractUI.aspx?menuIndex=3&amp;refID=7049710&amp;Result=3","7049710")</f>
        <v>0</v>
      </c>
      <c r="B13966" t="s">
        <v>89</v>
      </c>
      <c r="C13966" t="s">
        <v>16887</v>
      </c>
      <c r="D13966" t="s">
        <v>18109</v>
      </c>
      <c r="E13966" t="s">
        <v>30276</v>
      </c>
      <c r="F13966" t="s">
        <v>31362</v>
      </c>
      <c r="G13966" t="s">
        <v>31369</v>
      </c>
      <c r="H13966" t="s">
        <v>15799</v>
      </c>
      <c r="I13966" t="s">
        <v>31430</v>
      </c>
      <c r="J13966" t="s">
        <v>39958</v>
      </c>
      <c r="K13966" t="s">
        <v>40662</v>
      </c>
      <c r="M13966" t="s">
        <v>44422</v>
      </c>
      <c r="N13966" t="s">
        <v>44905</v>
      </c>
      <c r="O13966" t="s">
        <v>44906</v>
      </c>
      <c r="Q13966">
        <v>3</v>
      </c>
      <c r="R13966" t="s">
        <v>44923</v>
      </c>
      <c r="S13966" t="s">
        <v>45844</v>
      </c>
      <c r="T13966" t="s">
        <v>46533</v>
      </c>
      <c r="U13966" t="s">
        <v>58058</v>
      </c>
      <c r="W13966" t="s">
        <v>44422</v>
      </c>
      <c r="X13966" t="s">
        <v>44924</v>
      </c>
    </row>
    <row r="13967" spans="1:24">
      <c r="A13967">
        <f>HYPERLINK("https://www.philgeps.gov.ph/GEPSNONPILOT/Tender/SplashBidNoticeAbstractUI.aspx?menuIndex=3&amp;refID=7049443&amp;Result=3","7049443")</f>
        <v>0</v>
      </c>
      <c r="B13967" t="s">
        <v>3426</v>
      </c>
      <c r="C13967" t="s">
        <v>16888</v>
      </c>
      <c r="D13967" t="s">
        <v>18131</v>
      </c>
      <c r="E13967" t="s">
        <v>30277</v>
      </c>
      <c r="F13967" t="s">
        <v>31362</v>
      </c>
      <c r="G13967" t="s">
        <v>31369</v>
      </c>
      <c r="H13967" t="s">
        <v>31378</v>
      </c>
      <c r="I13967" t="s">
        <v>31386</v>
      </c>
      <c r="J13967" t="s">
        <v>39959</v>
      </c>
      <c r="K13967" t="s">
        <v>40679</v>
      </c>
      <c r="M13967" t="s">
        <v>44746</v>
      </c>
      <c r="N13967" t="s">
        <v>44905</v>
      </c>
      <c r="O13967" t="s">
        <v>44906</v>
      </c>
      <c r="P13967">
        <v>0</v>
      </c>
      <c r="Q13967">
        <v>3</v>
      </c>
      <c r="R13967" t="s">
        <v>44923</v>
      </c>
      <c r="S13967" t="s">
        <v>45744</v>
      </c>
      <c r="T13967" t="s">
        <v>46432</v>
      </c>
      <c r="U13967" t="s">
        <v>58059</v>
      </c>
      <c r="W13967" t="s">
        <v>44746</v>
      </c>
      <c r="X13967" t="s">
        <v>44924</v>
      </c>
    </row>
    <row r="13968" spans="1:24">
      <c r="A13968">
        <f>HYPERLINK("https://www.philgeps.gov.ph/GEPSNONPILOT/Tender/SplashBidNoticeAbstractUI.aspx?menuIndex=3&amp;refID=7037529&amp;Result=3","7037529")</f>
        <v>0</v>
      </c>
      <c r="B13968" t="s">
        <v>38</v>
      </c>
      <c r="C13968" t="s">
        <v>16889</v>
      </c>
      <c r="E13968" t="s">
        <v>30278</v>
      </c>
      <c r="F13968" t="s">
        <v>31362</v>
      </c>
      <c r="G13968" t="s">
        <v>31369</v>
      </c>
      <c r="H13968" t="s">
        <v>15799</v>
      </c>
      <c r="I13968" t="s">
        <v>31380</v>
      </c>
      <c r="J13968" t="s">
        <v>39960</v>
      </c>
      <c r="K13968" t="s">
        <v>40662</v>
      </c>
      <c r="M13968" t="s">
        <v>40972</v>
      </c>
      <c r="N13968" t="s">
        <v>44905</v>
      </c>
      <c r="O13968" t="s">
        <v>44906</v>
      </c>
      <c r="P13968">
        <v>0</v>
      </c>
      <c r="Q13968">
        <v>8</v>
      </c>
      <c r="R13968" t="s">
        <v>44924</v>
      </c>
      <c r="S13968" t="s">
        <v>45829</v>
      </c>
      <c r="T13968" t="s">
        <v>46393</v>
      </c>
      <c r="U13968" t="s">
        <v>58060</v>
      </c>
      <c r="W13968" t="s">
        <v>40972</v>
      </c>
      <c r="X13968" t="s">
        <v>44931</v>
      </c>
    </row>
    <row r="13969" spans="1:24">
      <c r="A13969">
        <f>HYPERLINK("https://www.philgeps.gov.ph/GEPSNONPILOT/Tender/SplashBidNoticeAbstractUI.aspx?menuIndex=3&amp;refID=7049438&amp;Result=3","7049438")</f>
        <v>0</v>
      </c>
      <c r="B13969" t="s">
        <v>3290</v>
      </c>
      <c r="C13969" t="s">
        <v>16890</v>
      </c>
      <c r="D13969" t="s">
        <v>18110</v>
      </c>
      <c r="E13969" t="s">
        <v>30279</v>
      </c>
      <c r="F13969" t="s">
        <v>31362</v>
      </c>
      <c r="G13969" t="s">
        <v>31369</v>
      </c>
      <c r="H13969" t="s">
        <v>31378</v>
      </c>
      <c r="I13969" t="s">
        <v>31386</v>
      </c>
      <c r="J13969" t="s">
        <v>39829</v>
      </c>
      <c r="K13969" t="s">
        <v>40663</v>
      </c>
      <c r="M13969" t="s">
        <v>44577</v>
      </c>
      <c r="N13969" t="s">
        <v>44905</v>
      </c>
      <c r="O13969" t="s">
        <v>44906</v>
      </c>
      <c r="Q13969">
        <v>7</v>
      </c>
      <c r="R13969" t="s">
        <v>44923</v>
      </c>
      <c r="S13969" t="s">
        <v>45845</v>
      </c>
      <c r="T13969" t="s">
        <v>46409</v>
      </c>
      <c r="U13969" t="s">
        <v>57901</v>
      </c>
      <c r="V13969" t="s">
        <v>60466</v>
      </c>
      <c r="W13969" t="s">
        <v>44577</v>
      </c>
      <c r="X13969" t="s">
        <v>44924</v>
      </c>
    </row>
    <row r="13970" spans="1:24">
      <c r="A13970">
        <f>HYPERLINK("https://www.philgeps.gov.ph/GEPSNONPILOT/Tender/SplashBidNoticeAbstractUI.aspx?menuIndex=3&amp;refID=7049060&amp;Result=3","7049060")</f>
        <v>0</v>
      </c>
      <c r="B13970" t="s">
        <v>918</v>
      </c>
      <c r="C13970" t="s">
        <v>16891</v>
      </c>
      <c r="D13970" t="s">
        <v>18146</v>
      </c>
      <c r="E13970" t="s">
        <v>30280</v>
      </c>
      <c r="F13970" t="s">
        <v>31362</v>
      </c>
      <c r="G13970" t="s">
        <v>31369</v>
      </c>
      <c r="H13970" t="s">
        <v>31378</v>
      </c>
      <c r="I13970" t="s">
        <v>31386</v>
      </c>
      <c r="J13970" t="s">
        <v>39961</v>
      </c>
      <c r="K13970" t="s">
        <v>40684</v>
      </c>
      <c r="M13970" t="s">
        <v>41902</v>
      </c>
      <c r="N13970" t="s">
        <v>44905</v>
      </c>
      <c r="O13970" t="s">
        <v>44906</v>
      </c>
      <c r="P13970">
        <v>0</v>
      </c>
      <c r="Q13970">
        <v>1</v>
      </c>
      <c r="R13970" t="s">
        <v>44923</v>
      </c>
      <c r="S13970" t="s">
        <v>45744</v>
      </c>
      <c r="T13970" t="s">
        <v>46447</v>
      </c>
      <c r="U13970" t="s">
        <v>58061</v>
      </c>
      <c r="V13970" t="s">
        <v>60659</v>
      </c>
      <c r="W13970" t="s">
        <v>41902</v>
      </c>
      <c r="X13970" t="s">
        <v>44924</v>
      </c>
    </row>
    <row r="13971" spans="1:24">
      <c r="A13971">
        <f>HYPERLINK("https://www.philgeps.gov.ph/GEPSNONPILOT/Tender/SplashBidNoticeAbstractUI.aspx?menuIndex=3&amp;refID=7049054&amp;Result=3","7049054")</f>
        <v>0</v>
      </c>
      <c r="B13971" t="s">
        <v>3403</v>
      </c>
      <c r="C13971" t="s">
        <v>16892</v>
      </c>
      <c r="D13971" t="s">
        <v>18112</v>
      </c>
      <c r="E13971" t="s">
        <v>30281</v>
      </c>
      <c r="F13971" t="s">
        <v>31362</v>
      </c>
      <c r="G13971" t="s">
        <v>31369</v>
      </c>
      <c r="H13971" t="s">
        <v>31378</v>
      </c>
      <c r="I13971" t="s">
        <v>31386</v>
      </c>
      <c r="J13971" t="s">
        <v>32673</v>
      </c>
      <c r="K13971" t="s">
        <v>40691</v>
      </c>
      <c r="M13971" t="s">
        <v>44716</v>
      </c>
      <c r="N13971" t="s">
        <v>44905</v>
      </c>
      <c r="O13971" t="s">
        <v>44906</v>
      </c>
      <c r="Q13971">
        <v>1</v>
      </c>
      <c r="R13971" t="s">
        <v>44923</v>
      </c>
      <c r="S13971" t="s">
        <v>45846</v>
      </c>
      <c r="T13971" t="s">
        <v>46447</v>
      </c>
      <c r="U13971" t="s">
        <v>57879</v>
      </c>
      <c r="W13971" t="s">
        <v>44716</v>
      </c>
      <c r="X13971" t="s">
        <v>44924</v>
      </c>
    </row>
    <row r="13972" spans="1:24">
      <c r="A13972">
        <f>HYPERLINK("https://www.philgeps.gov.ph/GEPSNONPILOT/Tender/SplashBidNoticeAbstractUI.aspx?menuIndex=3&amp;refID=7048918&amp;Result=3","7048918")</f>
        <v>0</v>
      </c>
      <c r="B13972" t="s">
        <v>675</v>
      </c>
      <c r="C13972" t="s">
        <v>16893</v>
      </c>
      <c r="D13972" t="s">
        <v>18111</v>
      </c>
      <c r="E13972" t="s">
        <v>30282</v>
      </c>
      <c r="F13972" t="s">
        <v>31362</v>
      </c>
      <c r="G13972" t="s">
        <v>31369</v>
      </c>
      <c r="H13972" t="s">
        <v>15799</v>
      </c>
      <c r="I13972" t="s">
        <v>3815</v>
      </c>
      <c r="J13972" t="s">
        <v>39962</v>
      </c>
      <c r="K13972" t="s">
        <v>40662</v>
      </c>
      <c r="M13972" t="s">
        <v>41637</v>
      </c>
      <c r="N13972" t="s">
        <v>44905</v>
      </c>
      <c r="O13972" t="s">
        <v>44906</v>
      </c>
      <c r="P13972">
        <v>0</v>
      </c>
      <c r="Q13972">
        <v>7</v>
      </c>
      <c r="R13972" t="s">
        <v>44923</v>
      </c>
      <c r="S13972" t="s">
        <v>45744</v>
      </c>
      <c r="T13972" t="s">
        <v>46483</v>
      </c>
      <c r="U13972" t="s">
        <v>54059</v>
      </c>
      <c r="W13972" t="s">
        <v>41637</v>
      </c>
      <c r="X13972" t="s">
        <v>44924</v>
      </c>
    </row>
    <row r="13973" spans="1:24">
      <c r="A13973">
        <f>HYPERLINK("https://www.philgeps.gov.ph/GEPSNONPILOT/Tender/SplashBidNoticeAbstractUI.aspx?menuIndex=3&amp;refID=7049593&amp;Result=3","7049593")</f>
        <v>0</v>
      </c>
      <c r="B13973" t="s">
        <v>547</v>
      </c>
      <c r="C13973" t="s">
        <v>16894</v>
      </c>
      <c r="E13973" t="s">
        <v>30283</v>
      </c>
      <c r="F13973" t="s">
        <v>31362</v>
      </c>
      <c r="G13973" t="s">
        <v>31369</v>
      </c>
      <c r="H13973" t="s">
        <v>15799</v>
      </c>
      <c r="I13973" t="s">
        <v>31380</v>
      </c>
      <c r="J13973" t="s">
        <v>33446</v>
      </c>
      <c r="K13973" t="s">
        <v>40665</v>
      </c>
      <c r="M13973" t="s">
        <v>44747</v>
      </c>
      <c r="N13973" t="s">
        <v>44905</v>
      </c>
      <c r="O13973" t="s">
        <v>44906</v>
      </c>
      <c r="Q13973">
        <v>6</v>
      </c>
      <c r="R13973" t="s">
        <v>44923</v>
      </c>
      <c r="S13973" t="s">
        <v>45847</v>
      </c>
      <c r="T13973" t="s">
        <v>46470</v>
      </c>
      <c r="U13973" t="s">
        <v>58062</v>
      </c>
      <c r="W13973" t="s">
        <v>44747</v>
      </c>
      <c r="X13973" t="s">
        <v>44924</v>
      </c>
    </row>
    <row r="13974" spans="1:24">
      <c r="A13974">
        <f>HYPERLINK("https://www.philgeps.gov.ph/GEPSNONPILOT/Tender/SplashBidNoticeAbstractUI.aspx?menuIndex=3&amp;refID=7049058&amp;Result=3","7049058")</f>
        <v>0</v>
      </c>
      <c r="B13974" t="s">
        <v>1927</v>
      </c>
      <c r="C13974" t="s">
        <v>16895</v>
      </c>
      <c r="D13974" t="s">
        <v>18148</v>
      </c>
      <c r="E13974" t="s">
        <v>30284</v>
      </c>
      <c r="F13974" t="s">
        <v>31362</v>
      </c>
      <c r="G13974" t="s">
        <v>31369</v>
      </c>
      <c r="H13974" t="s">
        <v>31378</v>
      </c>
      <c r="I13974" t="s">
        <v>31386</v>
      </c>
      <c r="J13974" t="s">
        <v>39963</v>
      </c>
      <c r="K13974" t="s">
        <v>40942</v>
      </c>
      <c r="M13974" t="s">
        <v>43025</v>
      </c>
      <c r="N13974" t="s">
        <v>44905</v>
      </c>
      <c r="O13974" t="s">
        <v>44906</v>
      </c>
      <c r="P13974">
        <v>0</v>
      </c>
      <c r="Q13974">
        <v>1</v>
      </c>
      <c r="R13974" t="s">
        <v>44923</v>
      </c>
      <c r="S13974" t="s">
        <v>45744</v>
      </c>
      <c r="T13974" t="s">
        <v>46409</v>
      </c>
      <c r="U13974" t="s">
        <v>58063</v>
      </c>
      <c r="V13974" t="s">
        <v>59627</v>
      </c>
      <c r="W13974" t="s">
        <v>43025</v>
      </c>
      <c r="X13974" t="s">
        <v>44924</v>
      </c>
    </row>
    <row r="13975" spans="1:24">
      <c r="A13975">
        <f>HYPERLINK("https://www.philgeps.gov.ph/GEPSNONPILOT/Tender/SplashBidNoticeAbstractUI.aspx?menuIndex=3&amp;refID=7048922&amp;Result=3","7048922")</f>
        <v>0</v>
      </c>
      <c r="B13975" t="s">
        <v>1864</v>
      </c>
      <c r="C13975" t="s">
        <v>16896</v>
      </c>
      <c r="D13975" t="s">
        <v>18140</v>
      </c>
      <c r="E13975" t="s">
        <v>30285</v>
      </c>
      <c r="F13975" t="s">
        <v>31362</v>
      </c>
      <c r="G13975" t="s">
        <v>31369</v>
      </c>
      <c r="H13975" t="s">
        <v>15799</v>
      </c>
      <c r="I13975" t="s">
        <v>3815</v>
      </c>
      <c r="J13975" t="s">
        <v>39964</v>
      </c>
      <c r="K13975" t="s">
        <v>40670</v>
      </c>
      <c r="M13975" t="s">
        <v>42954</v>
      </c>
      <c r="N13975" t="s">
        <v>44905</v>
      </c>
      <c r="O13975" t="s">
        <v>44906</v>
      </c>
      <c r="P13975">
        <v>0</v>
      </c>
      <c r="Q13975">
        <v>2</v>
      </c>
      <c r="R13975" t="s">
        <v>44923</v>
      </c>
      <c r="S13975" t="s">
        <v>45744</v>
      </c>
      <c r="T13975" t="s">
        <v>46416</v>
      </c>
      <c r="U13975" t="s">
        <v>58064</v>
      </c>
      <c r="W13975" t="s">
        <v>42954</v>
      </c>
      <c r="X13975" t="s">
        <v>44924</v>
      </c>
    </row>
    <row r="13976" spans="1:24">
      <c r="A13976">
        <f>HYPERLINK("https://www.philgeps.gov.ph/GEPSNONPILOT/Tender/SplashBidNoticeAbstractUI.aspx?menuIndex=3&amp;refID=7048913&amp;Result=3","7048913")</f>
        <v>0</v>
      </c>
      <c r="B13976" t="s">
        <v>716</v>
      </c>
      <c r="C13976" t="s">
        <v>16897</v>
      </c>
      <c r="D13976" t="s">
        <v>18160</v>
      </c>
      <c r="E13976" t="s">
        <v>30286</v>
      </c>
      <c r="F13976" t="s">
        <v>31362</v>
      </c>
      <c r="G13976" t="s">
        <v>31369</v>
      </c>
      <c r="H13976" t="s">
        <v>15799</v>
      </c>
      <c r="I13976" t="s">
        <v>31388</v>
      </c>
      <c r="J13976" t="s">
        <v>39965</v>
      </c>
      <c r="K13976" t="s">
        <v>40675</v>
      </c>
      <c r="M13976" t="s">
        <v>43557</v>
      </c>
      <c r="N13976" t="s">
        <v>44905</v>
      </c>
      <c r="O13976" t="s">
        <v>44906</v>
      </c>
      <c r="Q13976">
        <v>2</v>
      </c>
      <c r="R13976" t="s">
        <v>44923</v>
      </c>
      <c r="S13976" t="s">
        <v>45848</v>
      </c>
      <c r="T13976" t="s">
        <v>46467</v>
      </c>
      <c r="U13976" t="s">
        <v>53433</v>
      </c>
      <c r="W13976" t="s">
        <v>60933</v>
      </c>
      <c r="X13976" t="s">
        <v>44924</v>
      </c>
    </row>
    <row r="13977" spans="1:24">
      <c r="A13977">
        <f>HYPERLINK("https://www.philgeps.gov.ph/GEPSNONPILOT/Tender/SplashBidNoticeAbstractUI.aspx?menuIndex=3&amp;refID=7048762&amp;Result=3","7048762")</f>
        <v>0</v>
      </c>
      <c r="B13977" t="s">
        <v>559</v>
      </c>
      <c r="C13977" t="s">
        <v>16898</v>
      </c>
      <c r="D13977" t="s">
        <v>18139</v>
      </c>
      <c r="E13977" t="s">
        <v>30287</v>
      </c>
      <c r="F13977" t="s">
        <v>31362</v>
      </c>
      <c r="G13977" t="s">
        <v>31369</v>
      </c>
      <c r="H13977" t="s">
        <v>15799</v>
      </c>
      <c r="I13977" t="s">
        <v>31404</v>
      </c>
      <c r="J13977" t="s">
        <v>39966</v>
      </c>
      <c r="K13977" t="s">
        <v>40679</v>
      </c>
      <c r="M13977" t="s">
        <v>41515</v>
      </c>
      <c r="N13977" t="s">
        <v>44905</v>
      </c>
      <c r="O13977" t="s">
        <v>44906</v>
      </c>
      <c r="Q13977">
        <v>1</v>
      </c>
      <c r="R13977" t="s">
        <v>44923</v>
      </c>
      <c r="S13977" t="s">
        <v>45849</v>
      </c>
      <c r="T13977" t="s">
        <v>46409</v>
      </c>
      <c r="U13977" t="s">
        <v>51574</v>
      </c>
      <c r="W13977" t="s">
        <v>41515</v>
      </c>
      <c r="X13977" t="s">
        <v>44924</v>
      </c>
    </row>
    <row r="13978" spans="1:24">
      <c r="A13978">
        <f>HYPERLINK("https://www.philgeps.gov.ph/GEPSNONPILOT/Tender/SplashBidNoticeAbstractUI.aspx?menuIndex=3&amp;refID=7048889&amp;Result=3","7048889")</f>
        <v>0</v>
      </c>
      <c r="B13978" t="s">
        <v>1477</v>
      </c>
      <c r="C13978" t="s">
        <v>16899</v>
      </c>
      <c r="D13978" t="s">
        <v>18143</v>
      </c>
      <c r="E13978" t="s">
        <v>30288</v>
      </c>
      <c r="F13978" t="s">
        <v>31362</v>
      </c>
      <c r="G13978" t="s">
        <v>31369</v>
      </c>
      <c r="H13978" t="s">
        <v>15799</v>
      </c>
      <c r="I13978" t="s">
        <v>31409</v>
      </c>
      <c r="J13978" t="s">
        <v>39967</v>
      </c>
      <c r="K13978" t="s">
        <v>40682</v>
      </c>
      <c r="M13978" t="s">
        <v>44517</v>
      </c>
      <c r="N13978" t="s">
        <v>44905</v>
      </c>
      <c r="O13978" t="s">
        <v>44906</v>
      </c>
      <c r="P13978">
        <v>0</v>
      </c>
      <c r="Q13978">
        <v>6</v>
      </c>
      <c r="R13978" t="s">
        <v>44923</v>
      </c>
      <c r="S13978" t="s">
        <v>45744</v>
      </c>
      <c r="T13978" t="s">
        <v>46447</v>
      </c>
      <c r="U13978" t="s">
        <v>58065</v>
      </c>
      <c r="W13978" t="s">
        <v>44517</v>
      </c>
      <c r="X13978" t="s">
        <v>44924</v>
      </c>
    </row>
    <row r="13979" spans="1:24">
      <c r="A13979">
        <f>HYPERLINK("https://www.philgeps.gov.ph/GEPSNONPILOT/Tender/SplashBidNoticeAbstractUI.aspx?menuIndex=3&amp;refID=7048719&amp;Result=3","7048719")</f>
        <v>0</v>
      </c>
      <c r="B13979" t="s">
        <v>670</v>
      </c>
      <c r="C13979" t="s">
        <v>16900</v>
      </c>
      <c r="D13979" t="s">
        <v>18152</v>
      </c>
      <c r="E13979" t="s">
        <v>30289</v>
      </c>
      <c r="F13979" t="s">
        <v>31362</v>
      </c>
      <c r="G13979" t="s">
        <v>31369</v>
      </c>
      <c r="H13979" t="s">
        <v>15799</v>
      </c>
      <c r="I13979" t="s">
        <v>3815</v>
      </c>
      <c r="J13979" t="s">
        <v>39968</v>
      </c>
      <c r="K13979" t="s">
        <v>40670</v>
      </c>
      <c r="M13979" t="s">
        <v>41632</v>
      </c>
      <c r="N13979" t="s">
        <v>44905</v>
      </c>
      <c r="O13979" t="s">
        <v>44906</v>
      </c>
      <c r="P13979">
        <v>0</v>
      </c>
      <c r="Q13979">
        <v>0</v>
      </c>
      <c r="R13979" t="s">
        <v>44923</v>
      </c>
      <c r="S13979" t="s">
        <v>45744</v>
      </c>
      <c r="T13979" t="s">
        <v>46447</v>
      </c>
      <c r="U13979" t="s">
        <v>48229</v>
      </c>
      <c r="W13979" t="s">
        <v>41632</v>
      </c>
      <c r="X13979" t="s">
        <v>44924</v>
      </c>
    </row>
    <row r="13980" spans="1:24">
      <c r="A13980">
        <f>HYPERLINK("https://www.philgeps.gov.ph/GEPSNONPILOT/Tender/SplashBidNoticeAbstractUI.aspx?menuIndex=3&amp;refID=7048696&amp;Result=3","7048696")</f>
        <v>0</v>
      </c>
      <c r="B13980" t="s">
        <v>3427</v>
      </c>
      <c r="C13980" t="s">
        <v>16901</v>
      </c>
      <c r="E13980" t="s">
        <v>18397</v>
      </c>
      <c r="F13980" t="s">
        <v>31365</v>
      </c>
      <c r="G13980" t="s">
        <v>31369</v>
      </c>
      <c r="H13980" t="s">
        <v>15799</v>
      </c>
      <c r="I13980" t="s">
        <v>3815</v>
      </c>
      <c r="J13980" t="s">
        <v>33832</v>
      </c>
      <c r="K13980" t="s">
        <v>40662</v>
      </c>
      <c r="M13980" t="s">
        <v>44748</v>
      </c>
      <c r="N13980" t="s">
        <v>44905</v>
      </c>
      <c r="O13980" t="s">
        <v>44906</v>
      </c>
      <c r="P13980">
        <v>0</v>
      </c>
      <c r="Q13980">
        <v>0</v>
      </c>
      <c r="R13980" t="s">
        <v>44923</v>
      </c>
      <c r="S13980" t="s">
        <v>45744</v>
      </c>
      <c r="T13980" t="s">
        <v>46454</v>
      </c>
      <c r="U13980" t="s">
        <v>47088</v>
      </c>
      <c r="W13980" t="s">
        <v>44748</v>
      </c>
      <c r="X13980" t="s">
        <v>44924</v>
      </c>
    </row>
    <row r="13981" spans="1:24">
      <c r="A13981">
        <f>HYPERLINK("https://www.philgeps.gov.ph/GEPSNONPILOT/Tender/SplashBidNoticeAbstractUI.aspx?menuIndex=3&amp;refID=7048691&amp;Result=3","7048691")</f>
        <v>0</v>
      </c>
      <c r="B13981" t="s">
        <v>344</v>
      </c>
      <c r="C13981" t="s">
        <v>16902</v>
      </c>
      <c r="D13981" t="s">
        <v>18148</v>
      </c>
      <c r="E13981" t="s">
        <v>30290</v>
      </c>
      <c r="F13981" t="s">
        <v>31362</v>
      </c>
      <c r="G13981" t="s">
        <v>31369</v>
      </c>
      <c r="H13981" t="s">
        <v>31378</v>
      </c>
      <c r="I13981" t="s">
        <v>31386</v>
      </c>
      <c r="J13981" t="s">
        <v>39969</v>
      </c>
      <c r="K13981" t="s">
        <v>40679</v>
      </c>
      <c r="M13981" t="s">
        <v>41290</v>
      </c>
      <c r="N13981" t="s">
        <v>44905</v>
      </c>
      <c r="O13981" t="s">
        <v>44906</v>
      </c>
      <c r="P13981">
        <v>0</v>
      </c>
      <c r="Q13981">
        <v>1</v>
      </c>
      <c r="R13981" t="s">
        <v>44923</v>
      </c>
      <c r="S13981" t="s">
        <v>45744</v>
      </c>
      <c r="T13981" t="s">
        <v>46422</v>
      </c>
      <c r="U13981" t="s">
        <v>47512</v>
      </c>
      <c r="W13981" t="s">
        <v>41290</v>
      </c>
      <c r="X13981" t="s">
        <v>44924</v>
      </c>
    </row>
    <row r="13982" spans="1:24">
      <c r="A13982">
        <f>HYPERLINK("https://www.philgeps.gov.ph/GEPSNONPILOT/Tender/SplashBidNoticeAbstractUI.aspx?menuIndex=3&amp;refID=7048881&amp;Result=3","7048881")</f>
        <v>0</v>
      </c>
      <c r="B13982" t="s">
        <v>3428</v>
      </c>
      <c r="C13982" t="s">
        <v>16903</v>
      </c>
      <c r="D13982" t="s">
        <v>18117</v>
      </c>
      <c r="E13982" t="s">
        <v>30291</v>
      </c>
      <c r="F13982" t="s">
        <v>31362</v>
      </c>
      <c r="G13982" t="s">
        <v>31369</v>
      </c>
      <c r="H13982" t="s">
        <v>15799</v>
      </c>
      <c r="I13982" t="s">
        <v>31422</v>
      </c>
      <c r="J13982" t="s">
        <v>39970</v>
      </c>
      <c r="K13982" t="s">
        <v>40665</v>
      </c>
      <c r="M13982" t="s">
        <v>44749</v>
      </c>
      <c r="N13982" t="s">
        <v>44905</v>
      </c>
      <c r="O13982" t="s">
        <v>44906</v>
      </c>
      <c r="Q13982">
        <v>11</v>
      </c>
      <c r="R13982" t="s">
        <v>44923</v>
      </c>
      <c r="S13982" t="s">
        <v>45850</v>
      </c>
      <c r="T13982" t="s">
        <v>46692</v>
      </c>
      <c r="U13982" t="s">
        <v>58066</v>
      </c>
      <c r="W13982" t="s">
        <v>44749</v>
      </c>
      <c r="X13982" t="s">
        <v>44924</v>
      </c>
    </row>
    <row r="13983" spans="1:24">
      <c r="A13983">
        <f>HYPERLINK("https://www.philgeps.gov.ph/GEPSNONPILOT/Tender/SplashBidNoticeAbstractUI.aspx?menuIndex=3&amp;refID=7048746&amp;Result=3","7048746")</f>
        <v>0</v>
      </c>
      <c r="B13983" t="s">
        <v>1225</v>
      </c>
      <c r="C13983" t="s">
        <v>16904</v>
      </c>
      <c r="D13983" t="s">
        <v>18158</v>
      </c>
      <c r="E13983" t="s">
        <v>30292</v>
      </c>
      <c r="F13983" t="s">
        <v>31362</v>
      </c>
      <c r="G13983" t="s">
        <v>31369</v>
      </c>
      <c r="H13983" t="s">
        <v>31378</v>
      </c>
      <c r="I13983" t="s">
        <v>31386</v>
      </c>
      <c r="J13983" t="s">
        <v>39794</v>
      </c>
      <c r="K13983" t="s">
        <v>40938</v>
      </c>
      <c r="L13983" t="s">
        <v>1225</v>
      </c>
      <c r="M13983" t="s">
        <v>42239</v>
      </c>
      <c r="N13983" t="s">
        <v>44905</v>
      </c>
      <c r="O13983" t="s">
        <v>44906</v>
      </c>
      <c r="Q13983">
        <v>6</v>
      </c>
      <c r="R13983" t="s">
        <v>44923</v>
      </c>
      <c r="S13983" t="s">
        <v>45851</v>
      </c>
      <c r="T13983" t="s">
        <v>46409</v>
      </c>
      <c r="U13983" t="s">
        <v>58067</v>
      </c>
      <c r="W13983" t="s">
        <v>42239</v>
      </c>
      <c r="X13983" t="s">
        <v>44924</v>
      </c>
    </row>
    <row r="13984" spans="1:24">
      <c r="A13984">
        <f>HYPERLINK("https://www.philgeps.gov.ph/GEPSNONPILOT/Tender/SplashBidNoticeAbstractUI.aspx?menuIndex=3&amp;refID=7049447&amp;Result=3","7049447")</f>
        <v>0</v>
      </c>
      <c r="B13984" t="s">
        <v>2008</v>
      </c>
      <c r="C13984" t="s">
        <v>16905</v>
      </c>
      <c r="D13984" t="s">
        <v>18110</v>
      </c>
      <c r="E13984" t="s">
        <v>30293</v>
      </c>
      <c r="F13984" t="s">
        <v>31362</v>
      </c>
      <c r="G13984" t="s">
        <v>31369</v>
      </c>
      <c r="H13984" t="s">
        <v>15799</v>
      </c>
      <c r="I13984" t="s">
        <v>31427</v>
      </c>
      <c r="J13984" t="s">
        <v>39971</v>
      </c>
      <c r="K13984" t="s">
        <v>40666</v>
      </c>
      <c r="M13984" t="s">
        <v>44287</v>
      </c>
      <c r="N13984" t="s">
        <v>44905</v>
      </c>
      <c r="O13984" t="s">
        <v>44906</v>
      </c>
      <c r="P13984">
        <v>0</v>
      </c>
      <c r="Q13984">
        <v>3</v>
      </c>
      <c r="R13984" t="s">
        <v>44923</v>
      </c>
      <c r="S13984" t="s">
        <v>45744</v>
      </c>
      <c r="T13984" t="s">
        <v>46414</v>
      </c>
      <c r="U13984" t="s">
        <v>58068</v>
      </c>
      <c r="V13984" t="s">
        <v>60660</v>
      </c>
      <c r="W13984" t="s">
        <v>60916</v>
      </c>
      <c r="X13984" t="s">
        <v>44924</v>
      </c>
    </row>
    <row r="13985" spans="1:24">
      <c r="A13985">
        <f>HYPERLINK("https://www.philgeps.gov.ph/GEPSNONPILOT/Tender/SplashBidNoticeAbstractUI.aspx?menuIndex=3&amp;refID=7048660&amp;Result=3","7048660")</f>
        <v>0</v>
      </c>
      <c r="B13985" t="s">
        <v>2167</v>
      </c>
      <c r="C13985" t="s">
        <v>16906</v>
      </c>
      <c r="D13985" t="s">
        <v>18134</v>
      </c>
      <c r="E13985" t="s">
        <v>30182</v>
      </c>
      <c r="F13985" t="s">
        <v>31362</v>
      </c>
      <c r="G13985" t="s">
        <v>31369</v>
      </c>
      <c r="H13985" t="s">
        <v>15799</v>
      </c>
      <c r="I13985" t="s">
        <v>3815</v>
      </c>
      <c r="J13985" t="s">
        <v>31530</v>
      </c>
      <c r="K13985" t="s">
        <v>40666</v>
      </c>
      <c r="M13985" t="s">
        <v>44711</v>
      </c>
      <c r="N13985" t="s">
        <v>44905</v>
      </c>
      <c r="O13985" t="s">
        <v>44906</v>
      </c>
      <c r="P13985">
        <v>0</v>
      </c>
      <c r="Q13985">
        <v>1</v>
      </c>
      <c r="R13985" t="s">
        <v>44923</v>
      </c>
      <c r="S13985" t="s">
        <v>45744</v>
      </c>
      <c r="T13985" t="s">
        <v>46443</v>
      </c>
      <c r="U13985" t="s">
        <v>57865</v>
      </c>
      <c r="V13985" t="s">
        <v>60661</v>
      </c>
      <c r="W13985" t="s">
        <v>44711</v>
      </c>
      <c r="X13985" t="s">
        <v>44924</v>
      </c>
    </row>
    <row r="13986" spans="1:24">
      <c r="A13986">
        <f>HYPERLINK("https://www.philgeps.gov.ph/GEPSNONPILOT/Tender/SplashBidNoticeAbstractUI.aspx?menuIndex=3&amp;refID=7048252&amp;Result=3","7048252")</f>
        <v>0</v>
      </c>
      <c r="B13986" t="s">
        <v>1347</v>
      </c>
      <c r="C13986" t="s">
        <v>16907</v>
      </c>
      <c r="D13986" t="s">
        <v>18117</v>
      </c>
      <c r="E13986" t="s">
        <v>30294</v>
      </c>
      <c r="F13986" t="s">
        <v>31362</v>
      </c>
      <c r="G13986" t="s">
        <v>31369</v>
      </c>
      <c r="H13986" t="s">
        <v>15799</v>
      </c>
      <c r="I13986" t="s">
        <v>3815</v>
      </c>
      <c r="J13986" t="s">
        <v>39972</v>
      </c>
      <c r="K13986" t="s">
        <v>40665</v>
      </c>
      <c r="M13986" t="s">
        <v>42367</v>
      </c>
      <c r="N13986" t="s">
        <v>44905</v>
      </c>
      <c r="O13986" t="s">
        <v>44906</v>
      </c>
      <c r="P13986">
        <v>0</v>
      </c>
      <c r="Q13986">
        <v>2</v>
      </c>
      <c r="R13986" t="s">
        <v>44923</v>
      </c>
      <c r="S13986" t="s">
        <v>45744</v>
      </c>
      <c r="T13986" t="s">
        <v>46549</v>
      </c>
      <c r="U13986" t="s">
        <v>58069</v>
      </c>
      <c r="W13986" t="s">
        <v>42367</v>
      </c>
      <c r="X13986" t="s">
        <v>44924</v>
      </c>
    </row>
    <row r="13987" spans="1:24">
      <c r="A13987">
        <f>HYPERLINK("https://www.philgeps.gov.ph/GEPSNONPILOT/Tender/SplashBidNoticeAbstractUI.aspx?menuIndex=3&amp;refID=7048150&amp;Result=3","7048150")</f>
        <v>0</v>
      </c>
      <c r="B13987" t="s">
        <v>2304</v>
      </c>
      <c r="C13987" t="s">
        <v>16908</v>
      </c>
      <c r="D13987" t="s">
        <v>18114</v>
      </c>
      <c r="E13987" t="s">
        <v>30295</v>
      </c>
      <c r="F13987" t="s">
        <v>31362</v>
      </c>
      <c r="G13987" t="s">
        <v>31369</v>
      </c>
      <c r="H13987" t="s">
        <v>15799</v>
      </c>
      <c r="I13987" t="s">
        <v>31427</v>
      </c>
      <c r="J13987" t="s">
        <v>39973</v>
      </c>
      <c r="K13987" t="s">
        <v>40718</v>
      </c>
      <c r="M13987" t="s">
        <v>43444</v>
      </c>
      <c r="N13987" t="s">
        <v>44905</v>
      </c>
      <c r="O13987" t="s">
        <v>44906</v>
      </c>
      <c r="Q13987">
        <v>16</v>
      </c>
      <c r="R13987" t="s">
        <v>44923</v>
      </c>
      <c r="S13987" t="s">
        <v>45852</v>
      </c>
      <c r="T13987" t="s">
        <v>46567</v>
      </c>
      <c r="U13987" t="s">
        <v>58070</v>
      </c>
      <c r="W13987" t="s">
        <v>43444</v>
      </c>
      <c r="X13987" t="s">
        <v>44924</v>
      </c>
    </row>
    <row r="13988" spans="1:24">
      <c r="A13988">
        <f>HYPERLINK("https://www.philgeps.gov.ph/GEPSNONPILOT/Tender/SplashBidNoticeAbstractUI.aspx?menuIndex=3&amp;refID=7045034&amp;Result=3","7045034")</f>
        <v>0</v>
      </c>
      <c r="B13988" t="s">
        <v>2129</v>
      </c>
      <c r="C13988" t="s">
        <v>16909</v>
      </c>
      <c r="D13988" t="s">
        <v>18170</v>
      </c>
      <c r="E13988" t="s">
        <v>30296</v>
      </c>
      <c r="F13988" t="s">
        <v>31362</v>
      </c>
      <c r="G13988" t="s">
        <v>31369</v>
      </c>
      <c r="H13988" t="s">
        <v>15799</v>
      </c>
      <c r="I13988" t="s">
        <v>4283</v>
      </c>
      <c r="J13988" t="s">
        <v>39974</v>
      </c>
      <c r="K13988" t="s">
        <v>40665</v>
      </c>
      <c r="M13988" t="s">
        <v>43257</v>
      </c>
      <c r="N13988" t="s">
        <v>44905</v>
      </c>
      <c r="O13988" t="s">
        <v>44906</v>
      </c>
      <c r="P13988">
        <v>0</v>
      </c>
      <c r="Q13988">
        <v>9</v>
      </c>
      <c r="R13988" t="s">
        <v>44924</v>
      </c>
      <c r="S13988" t="s">
        <v>45829</v>
      </c>
      <c r="T13988" t="s">
        <v>46447</v>
      </c>
      <c r="U13988" t="s">
        <v>58071</v>
      </c>
      <c r="W13988" t="s">
        <v>43257</v>
      </c>
      <c r="X13988" t="s">
        <v>44925</v>
      </c>
    </row>
    <row r="13989" spans="1:24">
      <c r="A13989">
        <f>HYPERLINK("https://www.philgeps.gov.ph/GEPSNONPILOT/Tender/SplashBidNoticeAbstractUI.aspx?menuIndex=3&amp;refID=7045112&amp;Result=3","7045112")</f>
        <v>0</v>
      </c>
      <c r="B13989" t="s">
        <v>2843</v>
      </c>
      <c r="C13989" t="s">
        <v>16910</v>
      </c>
      <c r="D13989" t="s">
        <v>18108</v>
      </c>
      <c r="E13989" t="s">
        <v>30297</v>
      </c>
      <c r="F13989" t="s">
        <v>31362</v>
      </c>
      <c r="G13989" t="s">
        <v>31369</v>
      </c>
      <c r="H13989" t="s">
        <v>15799</v>
      </c>
      <c r="I13989" t="s">
        <v>31393</v>
      </c>
      <c r="J13989" t="s">
        <v>39617</v>
      </c>
      <c r="K13989" t="s">
        <v>40662</v>
      </c>
      <c r="M13989" t="s">
        <v>44044</v>
      </c>
      <c r="N13989" t="s">
        <v>44905</v>
      </c>
      <c r="O13989" t="s">
        <v>44906</v>
      </c>
      <c r="P13989">
        <v>0</v>
      </c>
      <c r="Q13989">
        <v>22</v>
      </c>
      <c r="R13989" t="s">
        <v>44924</v>
      </c>
      <c r="S13989" t="s">
        <v>45829</v>
      </c>
      <c r="T13989" t="s">
        <v>46409</v>
      </c>
      <c r="U13989" t="s">
        <v>58072</v>
      </c>
      <c r="W13989" t="s">
        <v>44044</v>
      </c>
      <c r="X13989" t="s">
        <v>44925</v>
      </c>
    </row>
    <row r="13990" spans="1:24">
      <c r="A13990">
        <f>HYPERLINK("https://www.philgeps.gov.ph/GEPSNONPILOT/Tender/SplashBidNoticeAbstractUI.aspx?menuIndex=3&amp;refID=7045111&amp;Result=3","7045111")</f>
        <v>0</v>
      </c>
      <c r="B13990" t="s">
        <v>929</v>
      </c>
      <c r="C13990" t="s">
        <v>16911</v>
      </c>
      <c r="D13990" t="s">
        <v>18143</v>
      </c>
      <c r="E13990" t="s">
        <v>30298</v>
      </c>
      <c r="F13990" t="s">
        <v>31362</v>
      </c>
      <c r="G13990" t="s">
        <v>31369</v>
      </c>
      <c r="H13990" t="s">
        <v>15799</v>
      </c>
      <c r="I13990" t="s">
        <v>31396</v>
      </c>
      <c r="J13990" t="s">
        <v>39975</v>
      </c>
      <c r="K13990" t="s">
        <v>40661</v>
      </c>
      <c r="M13990" t="s">
        <v>41916</v>
      </c>
      <c r="N13990" t="s">
        <v>44905</v>
      </c>
      <c r="O13990" t="s">
        <v>44906</v>
      </c>
      <c r="P13990">
        <v>0</v>
      </c>
      <c r="Q13990">
        <v>19</v>
      </c>
      <c r="R13990" t="s">
        <v>44924</v>
      </c>
      <c r="S13990" t="s">
        <v>45829</v>
      </c>
      <c r="T13990" t="s">
        <v>46532</v>
      </c>
      <c r="U13990" t="s">
        <v>58073</v>
      </c>
      <c r="W13990" t="s">
        <v>41916</v>
      </c>
      <c r="X13990" t="s">
        <v>44925</v>
      </c>
    </row>
    <row r="13991" spans="1:24">
      <c r="A13991">
        <f>HYPERLINK("https://www.philgeps.gov.ph/GEPSNONPILOT/Tender/SplashBidNoticeAbstractUI.aspx?menuIndex=3&amp;refID=7045084&amp;Result=3","7045084")</f>
        <v>0</v>
      </c>
      <c r="B13991" t="s">
        <v>1549</v>
      </c>
      <c r="C13991" t="s">
        <v>16912</v>
      </c>
      <c r="D13991" t="s">
        <v>18113</v>
      </c>
      <c r="E13991" t="s">
        <v>30299</v>
      </c>
      <c r="F13991" t="s">
        <v>31362</v>
      </c>
      <c r="G13991" t="s">
        <v>31369</v>
      </c>
      <c r="H13991" t="s">
        <v>15799</v>
      </c>
      <c r="I13991" t="s">
        <v>31419</v>
      </c>
      <c r="J13991" t="s">
        <v>39976</v>
      </c>
      <c r="K13991" t="s">
        <v>40665</v>
      </c>
      <c r="L13991" t="s">
        <v>1549</v>
      </c>
      <c r="M13991" t="s">
        <v>42597</v>
      </c>
      <c r="N13991" t="s">
        <v>44905</v>
      </c>
      <c r="O13991" t="s">
        <v>44906</v>
      </c>
      <c r="Q13991">
        <v>7</v>
      </c>
      <c r="R13991" t="s">
        <v>44924</v>
      </c>
      <c r="S13991" t="s">
        <v>45853</v>
      </c>
      <c r="T13991" t="s">
        <v>46498</v>
      </c>
      <c r="U13991" t="s">
        <v>58074</v>
      </c>
      <c r="W13991" t="s">
        <v>42597</v>
      </c>
      <c r="X13991" t="s">
        <v>44925</v>
      </c>
    </row>
    <row r="13992" spans="1:24">
      <c r="A13992">
        <f>HYPERLINK("https://www.philgeps.gov.ph/GEPSNONPILOT/Tender/SplashBidNoticeAbstractUI.aspx?menuIndex=3&amp;refID=7045078&amp;Result=3","7045078")</f>
        <v>0</v>
      </c>
      <c r="B13992" t="s">
        <v>1284</v>
      </c>
      <c r="C13992" t="s">
        <v>16913</v>
      </c>
      <c r="D13992" t="s">
        <v>18110</v>
      </c>
      <c r="E13992" t="s">
        <v>30300</v>
      </c>
      <c r="F13992" t="s">
        <v>31362</v>
      </c>
      <c r="G13992" t="s">
        <v>31369</v>
      </c>
      <c r="H13992" t="s">
        <v>31379</v>
      </c>
      <c r="I13992" t="s">
        <v>12925</v>
      </c>
      <c r="J13992" t="s">
        <v>39977</v>
      </c>
      <c r="K13992" t="s">
        <v>40712</v>
      </c>
      <c r="M13992" t="s">
        <v>42301</v>
      </c>
      <c r="N13992" t="s">
        <v>44905</v>
      </c>
      <c r="O13992" t="s">
        <v>44906</v>
      </c>
      <c r="P13992">
        <v>0</v>
      </c>
      <c r="Q13992">
        <v>3</v>
      </c>
      <c r="R13992" t="s">
        <v>44924</v>
      </c>
      <c r="S13992" t="s">
        <v>45829</v>
      </c>
      <c r="T13992" t="s">
        <v>46447</v>
      </c>
      <c r="U13992" t="s">
        <v>58075</v>
      </c>
      <c r="W13992" t="s">
        <v>42301</v>
      </c>
      <c r="X13992" t="s">
        <v>44925</v>
      </c>
    </row>
    <row r="13993" spans="1:24">
      <c r="A13993">
        <f>HYPERLINK("https://www.philgeps.gov.ph/GEPSNONPILOT/Tender/SplashBidNoticeAbstractUI.aspx?menuIndex=3&amp;refID=7045064&amp;Result=3","7045064")</f>
        <v>0</v>
      </c>
      <c r="B13993" t="s">
        <v>360</v>
      </c>
      <c r="C13993" t="s">
        <v>16914</v>
      </c>
      <c r="D13993" t="s">
        <v>18161</v>
      </c>
      <c r="E13993" t="s">
        <v>30301</v>
      </c>
      <c r="F13993" t="s">
        <v>31362</v>
      </c>
      <c r="G13993" t="s">
        <v>31369</v>
      </c>
      <c r="H13993" t="s">
        <v>31378</v>
      </c>
      <c r="I13993" t="s">
        <v>31386</v>
      </c>
      <c r="J13993" t="s">
        <v>31586</v>
      </c>
      <c r="K13993" t="s">
        <v>40662</v>
      </c>
      <c r="M13993" t="s">
        <v>41307</v>
      </c>
      <c r="N13993" t="s">
        <v>44905</v>
      </c>
      <c r="O13993" t="s">
        <v>44906</v>
      </c>
      <c r="P13993">
        <v>0</v>
      </c>
      <c r="Q13993">
        <v>1</v>
      </c>
      <c r="R13993" t="s">
        <v>44924</v>
      </c>
      <c r="S13993" t="s">
        <v>45829</v>
      </c>
      <c r="T13993" t="s">
        <v>46432</v>
      </c>
      <c r="U13993" t="s">
        <v>58014</v>
      </c>
      <c r="W13993" t="s">
        <v>41307</v>
      </c>
      <c r="X13993" t="s">
        <v>44925</v>
      </c>
    </row>
    <row r="13994" spans="1:24">
      <c r="A13994">
        <f>HYPERLINK("https://www.philgeps.gov.ph/GEPSNONPILOT/Tender/SplashBidNoticeAbstractUI.aspx?menuIndex=3&amp;refID=7045085&amp;Result=3","7045085")</f>
        <v>0</v>
      </c>
      <c r="B13994" t="s">
        <v>929</v>
      </c>
      <c r="C13994" t="s">
        <v>16915</v>
      </c>
      <c r="D13994" t="s">
        <v>18143</v>
      </c>
      <c r="E13994" t="s">
        <v>30302</v>
      </c>
      <c r="F13994" t="s">
        <v>31362</v>
      </c>
      <c r="G13994" t="s">
        <v>31369</v>
      </c>
      <c r="H13994" t="s">
        <v>15799</v>
      </c>
      <c r="I13994" t="s">
        <v>31384</v>
      </c>
      <c r="J13994" t="s">
        <v>39978</v>
      </c>
      <c r="K13994" t="s">
        <v>40661</v>
      </c>
      <c r="M13994" t="s">
        <v>41916</v>
      </c>
      <c r="N13994" t="s">
        <v>44905</v>
      </c>
      <c r="O13994" t="s">
        <v>44906</v>
      </c>
      <c r="P13994">
        <v>0</v>
      </c>
      <c r="Q13994">
        <v>6</v>
      </c>
      <c r="R13994" t="s">
        <v>44924</v>
      </c>
      <c r="S13994" t="s">
        <v>45829</v>
      </c>
      <c r="T13994" t="s">
        <v>46532</v>
      </c>
      <c r="U13994" t="s">
        <v>58076</v>
      </c>
      <c r="W13994" t="s">
        <v>41916</v>
      </c>
      <c r="X13994" t="s">
        <v>44925</v>
      </c>
    </row>
    <row r="13995" spans="1:24">
      <c r="A13995">
        <f>HYPERLINK("https://www.philgeps.gov.ph/GEPSNONPILOT/Tender/SplashBidNoticeAbstractUI.aspx?menuIndex=3&amp;refID=7045055&amp;Result=3","7045055")</f>
        <v>0</v>
      </c>
      <c r="B13995" t="s">
        <v>1075</v>
      </c>
      <c r="C13995" t="s">
        <v>16916</v>
      </c>
      <c r="D13995" t="s">
        <v>18101</v>
      </c>
      <c r="E13995" t="s">
        <v>30303</v>
      </c>
      <c r="F13995" t="s">
        <v>31362</v>
      </c>
      <c r="G13995" t="s">
        <v>31369</v>
      </c>
      <c r="H13995" t="s">
        <v>31378</v>
      </c>
      <c r="I13995" t="s">
        <v>31386</v>
      </c>
      <c r="J13995" t="s">
        <v>39979</v>
      </c>
      <c r="K13995" t="s">
        <v>40679</v>
      </c>
      <c r="M13995" t="s">
        <v>42077</v>
      </c>
      <c r="N13995" t="s">
        <v>44905</v>
      </c>
      <c r="O13995" t="s">
        <v>44906</v>
      </c>
      <c r="P13995">
        <v>0</v>
      </c>
      <c r="Q13995">
        <v>2</v>
      </c>
      <c r="R13995" t="s">
        <v>44924</v>
      </c>
      <c r="S13995" t="s">
        <v>45829</v>
      </c>
      <c r="T13995" t="s">
        <v>46560</v>
      </c>
      <c r="U13995" t="s">
        <v>58077</v>
      </c>
      <c r="W13995" t="s">
        <v>42077</v>
      </c>
      <c r="X13995" t="s">
        <v>44925</v>
      </c>
    </row>
    <row r="13996" spans="1:24">
      <c r="A13996">
        <f>HYPERLINK("https://www.philgeps.gov.ph/GEPSNONPILOT/Tender/SplashBidNoticeAbstractUI.aspx?menuIndex=3&amp;refID=7048711&amp;Result=3","7048711")</f>
        <v>0</v>
      </c>
      <c r="B13996" t="s">
        <v>1818</v>
      </c>
      <c r="C13996" t="s">
        <v>16917</v>
      </c>
      <c r="D13996" t="s">
        <v>18122</v>
      </c>
      <c r="E13996" t="s">
        <v>30304</v>
      </c>
      <c r="F13996" t="s">
        <v>31362</v>
      </c>
      <c r="G13996" t="s">
        <v>31369</v>
      </c>
      <c r="H13996" t="s">
        <v>15799</v>
      </c>
      <c r="I13996" t="s">
        <v>7719</v>
      </c>
      <c r="J13996" t="s">
        <v>39980</v>
      </c>
      <c r="K13996" t="s">
        <v>40665</v>
      </c>
      <c r="M13996" t="s">
        <v>42901</v>
      </c>
      <c r="N13996" t="s">
        <v>44905</v>
      </c>
      <c r="O13996" t="s">
        <v>44906</v>
      </c>
      <c r="P13996">
        <v>0</v>
      </c>
      <c r="Q13996">
        <v>29</v>
      </c>
      <c r="R13996" t="s">
        <v>44923</v>
      </c>
      <c r="S13996" t="s">
        <v>45744</v>
      </c>
      <c r="T13996" t="s">
        <v>46519</v>
      </c>
      <c r="U13996" t="s">
        <v>58078</v>
      </c>
      <c r="W13996" t="s">
        <v>42901</v>
      </c>
      <c r="X13996" t="s">
        <v>44924</v>
      </c>
    </row>
    <row r="13997" spans="1:24">
      <c r="A13997">
        <f>HYPERLINK("https://www.philgeps.gov.ph/GEPSNONPILOT/Tender/SplashBidNoticeAbstractUI.aspx?menuIndex=3&amp;refID=7045041&amp;Result=3","7045041")</f>
        <v>0</v>
      </c>
      <c r="B13997" t="s">
        <v>1549</v>
      </c>
      <c r="C13997" t="s">
        <v>16918</v>
      </c>
      <c r="D13997" t="s">
        <v>18113</v>
      </c>
      <c r="E13997" t="s">
        <v>30305</v>
      </c>
      <c r="F13997" t="s">
        <v>31362</v>
      </c>
      <c r="G13997" t="s">
        <v>31369</v>
      </c>
      <c r="H13997" t="s">
        <v>15799</v>
      </c>
      <c r="I13997" t="s">
        <v>31404</v>
      </c>
      <c r="J13997" t="s">
        <v>39981</v>
      </c>
      <c r="K13997" t="s">
        <v>40665</v>
      </c>
      <c r="L13997" t="s">
        <v>1549</v>
      </c>
      <c r="M13997" t="s">
        <v>42597</v>
      </c>
      <c r="N13997" t="s">
        <v>44905</v>
      </c>
      <c r="O13997" t="s">
        <v>44906</v>
      </c>
      <c r="P13997">
        <v>0</v>
      </c>
      <c r="Q13997">
        <v>2</v>
      </c>
      <c r="R13997" t="s">
        <v>44924</v>
      </c>
      <c r="S13997" t="s">
        <v>45829</v>
      </c>
      <c r="T13997" t="s">
        <v>46498</v>
      </c>
      <c r="U13997" t="s">
        <v>58079</v>
      </c>
      <c r="W13997" t="s">
        <v>42597</v>
      </c>
      <c r="X13997" t="s">
        <v>44925</v>
      </c>
    </row>
    <row r="13998" spans="1:24">
      <c r="A13998">
        <f>HYPERLINK("https://www.philgeps.gov.ph/GEPSNONPILOT/Tender/SplashBidNoticeAbstractUI.aspx?menuIndex=3&amp;refID=7045038&amp;Result=3","7045038")</f>
        <v>0</v>
      </c>
      <c r="B13998" t="s">
        <v>1284</v>
      </c>
      <c r="C13998" t="s">
        <v>16919</v>
      </c>
      <c r="D13998" t="s">
        <v>18110</v>
      </c>
      <c r="E13998" t="s">
        <v>30306</v>
      </c>
      <c r="F13998" t="s">
        <v>31362</v>
      </c>
      <c r="G13998" t="s">
        <v>31369</v>
      </c>
      <c r="H13998" t="s">
        <v>31379</v>
      </c>
      <c r="I13998" t="s">
        <v>31436</v>
      </c>
      <c r="J13998" t="s">
        <v>39982</v>
      </c>
      <c r="K13998" t="s">
        <v>40712</v>
      </c>
      <c r="M13998" t="s">
        <v>42301</v>
      </c>
      <c r="N13998" t="s">
        <v>44905</v>
      </c>
      <c r="O13998" t="s">
        <v>44906</v>
      </c>
      <c r="P13998">
        <v>0</v>
      </c>
      <c r="Q13998">
        <v>0</v>
      </c>
      <c r="R13998" t="s">
        <v>44924</v>
      </c>
      <c r="S13998" t="s">
        <v>45829</v>
      </c>
      <c r="T13998" t="s">
        <v>46447</v>
      </c>
      <c r="U13998" t="s">
        <v>58080</v>
      </c>
      <c r="W13998" t="s">
        <v>42301</v>
      </c>
      <c r="X13998" t="s">
        <v>44925</v>
      </c>
    </row>
    <row r="13999" spans="1:24">
      <c r="A13999">
        <f>HYPERLINK("https://www.philgeps.gov.ph/GEPSNONPILOT/Tender/SplashBidNoticeAbstractUI.aspx?menuIndex=3&amp;refID=7045031&amp;Result=3","7045031")</f>
        <v>0</v>
      </c>
      <c r="B13999" t="s">
        <v>2380</v>
      </c>
      <c r="C13999" t="s">
        <v>16920</v>
      </c>
      <c r="D13999" t="s">
        <v>18112</v>
      </c>
      <c r="E13999" t="s">
        <v>30307</v>
      </c>
      <c r="F13999" t="s">
        <v>31362</v>
      </c>
      <c r="G13999" t="s">
        <v>31369</v>
      </c>
      <c r="H13999" t="s">
        <v>15799</v>
      </c>
      <c r="I13999" t="s">
        <v>31404</v>
      </c>
      <c r="J13999" t="s">
        <v>39983</v>
      </c>
      <c r="K13999" t="s">
        <v>40670</v>
      </c>
      <c r="M13999" t="s">
        <v>43529</v>
      </c>
      <c r="N13999" t="s">
        <v>44905</v>
      </c>
      <c r="O13999" t="s">
        <v>44906</v>
      </c>
      <c r="P13999">
        <v>0</v>
      </c>
      <c r="Q13999">
        <v>1</v>
      </c>
      <c r="R13999" t="s">
        <v>44924</v>
      </c>
      <c r="S13999" t="s">
        <v>45829</v>
      </c>
      <c r="T13999" t="s">
        <v>46470</v>
      </c>
      <c r="U13999" t="s">
        <v>58081</v>
      </c>
      <c r="V13999" t="s">
        <v>60662</v>
      </c>
      <c r="W13999" t="s">
        <v>43529</v>
      </c>
      <c r="X13999" t="s">
        <v>44925</v>
      </c>
    </row>
    <row r="14000" spans="1:24">
      <c r="A14000">
        <f>HYPERLINK("https://www.philgeps.gov.ph/GEPSNONPILOT/Tender/SplashBidNoticeAbstractUI.aspx?menuIndex=3&amp;refID=7045023&amp;Result=3","7045023")</f>
        <v>0</v>
      </c>
      <c r="B14000" t="s">
        <v>929</v>
      </c>
      <c r="C14000" t="s">
        <v>16921</v>
      </c>
      <c r="D14000" t="s">
        <v>18143</v>
      </c>
      <c r="E14000" t="s">
        <v>30308</v>
      </c>
      <c r="F14000" t="s">
        <v>31362</v>
      </c>
      <c r="G14000" t="s">
        <v>31369</v>
      </c>
      <c r="H14000" t="s">
        <v>15799</v>
      </c>
      <c r="I14000" t="s">
        <v>31456</v>
      </c>
      <c r="J14000" t="s">
        <v>39984</v>
      </c>
      <c r="K14000" t="s">
        <v>40661</v>
      </c>
      <c r="M14000" t="s">
        <v>41916</v>
      </c>
      <c r="N14000" t="s">
        <v>44905</v>
      </c>
      <c r="O14000" t="s">
        <v>44906</v>
      </c>
      <c r="P14000">
        <v>0</v>
      </c>
      <c r="Q14000">
        <v>3</v>
      </c>
      <c r="R14000" t="s">
        <v>44924</v>
      </c>
      <c r="S14000" t="s">
        <v>45829</v>
      </c>
      <c r="T14000" t="s">
        <v>46532</v>
      </c>
      <c r="U14000" t="s">
        <v>58082</v>
      </c>
      <c r="W14000" t="s">
        <v>41916</v>
      </c>
      <c r="X14000" t="s">
        <v>44925</v>
      </c>
    </row>
    <row r="14001" spans="1:24">
      <c r="A14001">
        <f>HYPERLINK("https://www.philgeps.gov.ph/GEPSNONPILOT/Tender/SplashBidNoticeAbstractUI.aspx?menuIndex=3&amp;refID=7045123&amp;Result=3","7045123")</f>
        <v>0</v>
      </c>
      <c r="B14001" t="s">
        <v>1549</v>
      </c>
      <c r="C14001" t="s">
        <v>16922</v>
      </c>
      <c r="D14001" t="s">
        <v>18113</v>
      </c>
      <c r="E14001" t="s">
        <v>30309</v>
      </c>
      <c r="F14001" t="s">
        <v>31362</v>
      </c>
      <c r="G14001" t="s">
        <v>31369</v>
      </c>
      <c r="H14001" t="s">
        <v>15799</v>
      </c>
      <c r="I14001" t="s">
        <v>31396</v>
      </c>
      <c r="J14001" t="s">
        <v>31587</v>
      </c>
      <c r="K14001" t="s">
        <v>40682</v>
      </c>
      <c r="L14001" t="s">
        <v>1549</v>
      </c>
      <c r="M14001" t="s">
        <v>42597</v>
      </c>
      <c r="N14001" t="s">
        <v>44905</v>
      </c>
      <c r="O14001" t="s">
        <v>44906</v>
      </c>
      <c r="Q14001">
        <v>33</v>
      </c>
      <c r="R14001" t="s">
        <v>44924</v>
      </c>
      <c r="S14001" t="s">
        <v>45854</v>
      </c>
      <c r="T14001" t="s">
        <v>46498</v>
      </c>
      <c r="U14001" t="s">
        <v>58083</v>
      </c>
      <c r="W14001" t="s">
        <v>42597</v>
      </c>
      <c r="X14001" t="s">
        <v>44925</v>
      </c>
    </row>
    <row r="14002" spans="1:24">
      <c r="A14002">
        <f>HYPERLINK("https://www.philgeps.gov.ph/GEPSNONPILOT/Tender/SplashBidNoticeAbstractUI.aspx?menuIndex=3&amp;refID=7048665&amp;Result=3","7048665")</f>
        <v>0</v>
      </c>
      <c r="B14002" t="s">
        <v>2318</v>
      </c>
      <c r="C14002" t="s">
        <v>16923</v>
      </c>
      <c r="D14002" t="s">
        <v>18180</v>
      </c>
      <c r="E14002" t="s">
        <v>19359</v>
      </c>
      <c r="F14002" t="s">
        <v>31362</v>
      </c>
      <c r="G14002" t="s">
        <v>31369</v>
      </c>
      <c r="H14002" t="s">
        <v>15799</v>
      </c>
      <c r="I14002" t="s">
        <v>13635</v>
      </c>
      <c r="J14002" t="s">
        <v>39985</v>
      </c>
      <c r="K14002" t="s">
        <v>40661</v>
      </c>
      <c r="M14002" t="s">
        <v>43458</v>
      </c>
      <c r="N14002" t="s">
        <v>44905</v>
      </c>
      <c r="O14002" t="s">
        <v>44906</v>
      </c>
      <c r="P14002">
        <v>0</v>
      </c>
      <c r="Q14002">
        <v>1</v>
      </c>
      <c r="R14002" t="s">
        <v>44923</v>
      </c>
      <c r="S14002" t="s">
        <v>45744</v>
      </c>
      <c r="T14002" t="s">
        <v>46883</v>
      </c>
      <c r="U14002" t="s">
        <v>58084</v>
      </c>
      <c r="V14002" t="s">
        <v>60663</v>
      </c>
      <c r="W14002" t="s">
        <v>43458</v>
      </c>
      <c r="X14002" t="s">
        <v>44924</v>
      </c>
    </row>
    <row r="14003" spans="1:24">
      <c r="A14003">
        <f>HYPERLINK("https://www.philgeps.gov.ph/GEPSNONPILOT/Tender/SplashBidNoticeAbstractUI.aspx?menuIndex=3&amp;refID=7045209&amp;Result=3","7045209")</f>
        <v>0</v>
      </c>
      <c r="B14003" t="s">
        <v>250</v>
      </c>
      <c r="C14003" t="s">
        <v>16924</v>
      </c>
      <c r="D14003" t="s">
        <v>18152</v>
      </c>
      <c r="E14003" t="s">
        <v>30310</v>
      </c>
      <c r="F14003" t="s">
        <v>31362</v>
      </c>
      <c r="G14003" t="s">
        <v>31369</v>
      </c>
      <c r="H14003" t="s">
        <v>31378</v>
      </c>
      <c r="I14003" t="s">
        <v>31386</v>
      </c>
      <c r="J14003" t="s">
        <v>31542</v>
      </c>
      <c r="K14003" t="s">
        <v>40679</v>
      </c>
      <c r="M14003" t="s">
        <v>41189</v>
      </c>
      <c r="N14003" t="s">
        <v>44905</v>
      </c>
      <c r="O14003" t="s">
        <v>44906</v>
      </c>
      <c r="P14003">
        <v>0</v>
      </c>
      <c r="Q14003">
        <v>2</v>
      </c>
      <c r="R14003" t="s">
        <v>44924</v>
      </c>
      <c r="S14003" t="s">
        <v>45829</v>
      </c>
      <c r="T14003" t="s">
        <v>46432</v>
      </c>
      <c r="U14003" t="s">
        <v>58085</v>
      </c>
      <c r="W14003" t="s">
        <v>41189</v>
      </c>
      <c r="X14003" t="s">
        <v>44925</v>
      </c>
    </row>
    <row r="14004" spans="1:24">
      <c r="A14004">
        <f>HYPERLINK("https://www.philgeps.gov.ph/GEPSNONPILOT/Tender/SplashBidNoticeAbstractUI.aspx?menuIndex=3&amp;refID=7045057&amp;Result=3","7045057")</f>
        <v>0</v>
      </c>
      <c r="B14004" t="s">
        <v>929</v>
      </c>
      <c r="C14004" t="s">
        <v>16925</v>
      </c>
      <c r="D14004" t="s">
        <v>18143</v>
      </c>
      <c r="E14004" t="s">
        <v>30311</v>
      </c>
      <c r="F14004" t="s">
        <v>31362</v>
      </c>
      <c r="G14004" t="s">
        <v>31369</v>
      </c>
      <c r="H14004" t="s">
        <v>15799</v>
      </c>
      <c r="I14004" t="s">
        <v>3815</v>
      </c>
      <c r="J14004" t="s">
        <v>39986</v>
      </c>
      <c r="K14004" t="s">
        <v>40661</v>
      </c>
      <c r="M14004" t="s">
        <v>41916</v>
      </c>
      <c r="N14004" t="s">
        <v>44905</v>
      </c>
      <c r="O14004" t="s">
        <v>44906</v>
      </c>
      <c r="P14004">
        <v>0</v>
      </c>
      <c r="Q14004">
        <v>2</v>
      </c>
      <c r="R14004" t="s">
        <v>44924</v>
      </c>
      <c r="S14004" t="s">
        <v>45829</v>
      </c>
      <c r="T14004" t="s">
        <v>46532</v>
      </c>
      <c r="U14004" t="s">
        <v>58086</v>
      </c>
      <c r="W14004" t="s">
        <v>41916</v>
      </c>
      <c r="X14004" t="s">
        <v>44925</v>
      </c>
    </row>
    <row r="14005" spans="1:24">
      <c r="A14005">
        <f>HYPERLINK("https://www.philgeps.gov.ph/GEPSNONPILOT/Tender/SplashBidNoticeAbstractUI.aspx?menuIndex=3&amp;refID=7045201&amp;Result=3","7045201")</f>
        <v>0</v>
      </c>
      <c r="B14005" t="s">
        <v>1761</v>
      </c>
      <c r="C14005" t="s">
        <v>16926</v>
      </c>
      <c r="D14005" t="s">
        <v>18177</v>
      </c>
      <c r="E14005" t="s">
        <v>30312</v>
      </c>
      <c r="F14005" t="s">
        <v>31362</v>
      </c>
      <c r="G14005" t="s">
        <v>31369</v>
      </c>
      <c r="H14005" t="s">
        <v>31378</v>
      </c>
      <c r="I14005" t="s">
        <v>31386</v>
      </c>
      <c r="J14005" t="s">
        <v>33046</v>
      </c>
      <c r="K14005" t="s">
        <v>40678</v>
      </c>
      <c r="M14005" t="s">
        <v>42838</v>
      </c>
      <c r="N14005" t="s">
        <v>44905</v>
      </c>
      <c r="O14005" t="s">
        <v>44906</v>
      </c>
      <c r="P14005">
        <v>0</v>
      </c>
      <c r="Q14005">
        <v>0</v>
      </c>
      <c r="R14005" t="s">
        <v>44924</v>
      </c>
      <c r="S14005" t="s">
        <v>45829</v>
      </c>
      <c r="T14005" t="s">
        <v>46447</v>
      </c>
      <c r="U14005" t="s">
        <v>58087</v>
      </c>
      <c r="W14005" t="s">
        <v>42838</v>
      </c>
      <c r="X14005" t="s">
        <v>44925</v>
      </c>
    </row>
    <row r="14006" spans="1:24">
      <c r="A14006">
        <f>HYPERLINK("https://www.philgeps.gov.ph/GEPSNONPILOT/Tender/SplashBidNoticeAbstractUI.aspx?menuIndex=3&amp;refID=7045198&amp;Result=3","7045198")</f>
        <v>0</v>
      </c>
      <c r="B14006" t="s">
        <v>3207</v>
      </c>
      <c r="C14006" t="s">
        <v>16927</v>
      </c>
      <c r="D14006" t="s">
        <v>18167</v>
      </c>
      <c r="E14006" t="s">
        <v>30313</v>
      </c>
      <c r="F14006" t="s">
        <v>31362</v>
      </c>
      <c r="G14006" t="s">
        <v>31369</v>
      </c>
      <c r="H14006" t="s">
        <v>31378</v>
      </c>
      <c r="I14006" t="s">
        <v>31386</v>
      </c>
      <c r="J14006" t="s">
        <v>31625</v>
      </c>
      <c r="K14006" t="s">
        <v>40682</v>
      </c>
      <c r="M14006" t="s">
        <v>44477</v>
      </c>
      <c r="N14006" t="s">
        <v>44905</v>
      </c>
      <c r="O14006" t="s">
        <v>44906</v>
      </c>
      <c r="P14006">
        <v>0</v>
      </c>
      <c r="Q14006">
        <v>1</v>
      </c>
      <c r="R14006" t="s">
        <v>44924</v>
      </c>
      <c r="S14006" t="s">
        <v>45829</v>
      </c>
      <c r="T14006" t="s">
        <v>46406</v>
      </c>
      <c r="U14006" t="s">
        <v>58088</v>
      </c>
      <c r="W14006" t="s">
        <v>44477</v>
      </c>
      <c r="X14006" t="s">
        <v>44925</v>
      </c>
    </row>
    <row r="14007" spans="1:24">
      <c r="A14007">
        <f>HYPERLINK("https://www.philgeps.gov.ph/GEPSNONPILOT/Tender/SplashBidNoticeAbstractUI.aspx?menuIndex=3&amp;refID=7045106&amp;Result=3","7045106")</f>
        <v>0</v>
      </c>
      <c r="B14007" t="s">
        <v>2129</v>
      </c>
      <c r="C14007" t="s">
        <v>16928</v>
      </c>
      <c r="D14007" t="s">
        <v>18170</v>
      </c>
      <c r="E14007" t="s">
        <v>30314</v>
      </c>
      <c r="F14007" t="s">
        <v>31362</v>
      </c>
      <c r="G14007" t="s">
        <v>31369</v>
      </c>
      <c r="H14007" t="s">
        <v>15799</v>
      </c>
      <c r="I14007" t="s">
        <v>31420</v>
      </c>
      <c r="J14007" t="s">
        <v>33446</v>
      </c>
      <c r="K14007" t="s">
        <v>40665</v>
      </c>
      <c r="M14007" t="s">
        <v>43257</v>
      </c>
      <c r="N14007" t="s">
        <v>44905</v>
      </c>
      <c r="O14007" t="s">
        <v>44906</v>
      </c>
      <c r="P14007">
        <v>0</v>
      </c>
      <c r="Q14007">
        <v>12</v>
      </c>
      <c r="R14007" t="s">
        <v>44924</v>
      </c>
      <c r="S14007" t="s">
        <v>45829</v>
      </c>
      <c r="T14007" t="s">
        <v>46447</v>
      </c>
      <c r="U14007" t="s">
        <v>58089</v>
      </c>
      <c r="W14007" t="s">
        <v>43257</v>
      </c>
      <c r="X14007" t="s">
        <v>44925</v>
      </c>
    </row>
    <row r="14008" spans="1:24">
      <c r="A14008">
        <f>HYPERLINK("https://www.philgeps.gov.ph/GEPSNONPILOT/Tender/SplashBidNoticeAbstractUI.aspx?menuIndex=3&amp;refID=7045196&amp;Result=3","7045196")</f>
        <v>0</v>
      </c>
      <c r="B14008" t="s">
        <v>2227</v>
      </c>
      <c r="C14008" t="s">
        <v>16929</v>
      </c>
      <c r="D14008" t="s">
        <v>18158</v>
      </c>
      <c r="E14008" t="s">
        <v>30315</v>
      </c>
      <c r="F14008" t="s">
        <v>31362</v>
      </c>
      <c r="G14008" t="s">
        <v>31369</v>
      </c>
      <c r="H14008" t="s">
        <v>31378</v>
      </c>
      <c r="I14008" t="s">
        <v>31386</v>
      </c>
      <c r="J14008" t="s">
        <v>39987</v>
      </c>
      <c r="K14008" t="s">
        <v>40694</v>
      </c>
      <c r="M14008" t="s">
        <v>43363</v>
      </c>
      <c r="N14008" t="s">
        <v>44905</v>
      </c>
      <c r="O14008" t="s">
        <v>44906</v>
      </c>
      <c r="P14008">
        <v>0</v>
      </c>
      <c r="Q14008">
        <v>3</v>
      </c>
      <c r="R14008" t="s">
        <v>44924</v>
      </c>
      <c r="S14008" t="s">
        <v>45829</v>
      </c>
      <c r="T14008" t="s">
        <v>46541</v>
      </c>
      <c r="U14008" t="s">
        <v>58090</v>
      </c>
      <c r="W14008" t="s">
        <v>43363</v>
      </c>
      <c r="X14008" t="s">
        <v>44925</v>
      </c>
    </row>
    <row r="14009" spans="1:24">
      <c r="A14009">
        <f>HYPERLINK("https://www.philgeps.gov.ph/GEPSNONPILOT/Tender/SplashBidNoticeAbstractUI.aspx?menuIndex=3&amp;refID=7045179&amp;Result=3","7045179")</f>
        <v>0</v>
      </c>
      <c r="B14009" t="s">
        <v>3429</v>
      </c>
      <c r="C14009" t="s">
        <v>16930</v>
      </c>
      <c r="D14009" t="s">
        <v>18117</v>
      </c>
      <c r="E14009" t="s">
        <v>30316</v>
      </c>
      <c r="F14009" t="s">
        <v>31363</v>
      </c>
      <c r="G14009" t="s">
        <v>31369</v>
      </c>
      <c r="H14009" t="s">
        <v>15799</v>
      </c>
      <c r="I14009" t="s">
        <v>31455</v>
      </c>
      <c r="J14009" t="s">
        <v>39988</v>
      </c>
      <c r="K14009" t="s">
        <v>40665</v>
      </c>
      <c r="M14009" t="s">
        <v>44750</v>
      </c>
      <c r="N14009" t="s">
        <v>44905</v>
      </c>
      <c r="O14009" t="s">
        <v>44906</v>
      </c>
      <c r="P14009">
        <v>0</v>
      </c>
      <c r="Q14009">
        <v>0</v>
      </c>
      <c r="R14009" t="s">
        <v>44924</v>
      </c>
      <c r="S14009" t="s">
        <v>45829</v>
      </c>
      <c r="T14009" t="s">
        <v>46434</v>
      </c>
      <c r="U14009" t="s">
        <v>58091</v>
      </c>
      <c r="W14009" t="s">
        <v>44750</v>
      </c>
      <c r="X14009" t="s">
        <v>44925</v>
      </c>
    </row>
    <row r="14010" spans="1:24">
      <c r="A14010">
        <f>HYPERLINK("https://www.philgeps.gov.ph/GEPSNONPILOT/Tender/SplashBidNoticeAbstractUI.aspx?menuIndex=3&amp;refID=7045169&amp;Result=3","7045169")</f>
        <v>0</v>
      </c>
      <c r="B14010" t="s">
        <v>929</v>
      </c>
      <c r="C14010" t="s">
        <v>16931</v>
      </c>
      <c r="D14010" t="s">
        <v>18143</v>
      </c>
      <c r="E14010" t="s">
        <v>30317</v>
      </c>
      <c r="F14010" t="s">
        <v>31362</v>
      </c>
      <c r="G14010" t="s">
        <v>31369</v>
      </c>
      <c r="H14010" t="s">
        <v>15799</v>
      </c>
      <c r="I14010" t="s">
        <v>31381</v>
      </c>
      <c r="J14010" t="s">
        <v>39989</v>
      </c>
      <c r="K14010" t="s">
        <v>40661</v>
      </c>
      <c r="M14010" t="s">
        <v>41916</v>
      </c>
      <c r="N14010" t="s">
        <v>44905</v>
      </c>
      <c r="O14010" t="s">
        <v>44906</v>
      </c>
      <c r="P14010">
        <v>0</v>
      </c>
      <c r="Q14010">
        <v>1</v>
      </c>
      <c r="R14010" t="s">
        <v>44924</v>
      </c>
      <c r="S14010" t="s">
        <v>45829</v>
      </c>
      <c r="T14010" t="s">
        <v>46532</v>
      </c>
      <c r="U14010" t="s">
        <v>58092</v>
      </c>
      <c r="W14010" t="s">
        <v>41916</v>
      </c>
      <c r="X14010" t="s">
        <v>44925</v>
      </c>
    </row>
    <row r="14011" spans="1:24">
      <c r="A14011">
        <f>HYPERLINK("https://www.philgeps.gov.ph/GEPSNONPILOT/Tender/SplashBidNoticeAbstractUI.aspx?menuIndex=3&amp;refID=7045153&amp;Result=3","7045153")</f>
        <v>0</v>
      </c>
      <c r="B14011" t="s">
        <v>360</v>
      </c>
      <c r="C14011" t="s">
        <v>16932</v>
      </c>
      <c r="D14011" t="s">
        <v>18161</v>
      </c>
      <c r="E14011" t="s">
        <v>30318</v>
      </c>
      <c r="F14011" t="s">
        <v>31362</v>
      </c>
      <c r="G14011" t="s">
        <v>31369</v>
      </c>
      <c r="H14011" t="s">
        <v>31378</v>
      </c>
      <c r="I14011" t="s">
        <v>31386</v>
      </c>
      <c r="J14011" t="s">
        <v>31615</v>
      </c>
      <c r="K14011" t="s">
        <v>40662</v>
      </c>
      <c r="M14011" t="s">
        <v>41307</v>
      </c>
      <c r="N14011" t="s">
        <v>44905</v>
      </c>
      <c r="O14011" t="s">
        <v>44906</v>
      </c>
      <c r="P14011">
        <v>0</v>
      </c>
      <c r="Q14011">
        <v>1</v>
      </c>
      <c r="R14011" t="s">
        <v>44924</v>
      </c>
      <c r="S14011" t="s">
        <v>45829</v>
      </c>
      <c r="T14011" t="s">
        <v>46432</v>
      </c>
      <c r="U14011" t="s">
        <v>58014</v>
      </c>
      <c r="W14011" t="s">
        <v>41307</v>
      </c>
      <c r="X14011" t="s">
        <v>44925</v>
      </c>
    </row>
    <row r="14012" spans="1:24">
      <c r="A14012">
        <f>HYPERLINK("https://www.philgeps.gov.ph/GEPSNONPILOT/Tender/SplashBidNoticeAbstractUI.aspx?menuIndex=3&amp;refID=7045197&amp;Result=3","7045197")</f>
        <v>0</v>
      </c>
      <c r="B14012" t="s">
        <v>2129</v>
      </c>
      <c r="C14012" t="s">
        <v>16933</v>
      </c>
      <c r="D14012" t="s">
        <v>18170</v>
      </c>
      <c r="E14012" t="s">
        <v>30319</v>
      </c>
      <c r="F14012" t="s">
        <v>31362</v>
      </c>
      <c r="G14012" t="s">
        <v>31369</v>
      </c>
      <c r="H14012" t="s">
        <v>15799</v>
      </c>
      <c r="I14012" t="s">
        <v>7090</v>
      </c>
      <c r="J14012" t="s">
        <v>39990</v>
      </c>
      <c r="K14012" t="s">
        <v>40665</v>
      </c>
      <c r="M14012" t="s">
        <v>43257</v>
      </c>
      <c r="N14012" t="s">
        <v>44905</v>
      </c>
      <c r="O14012" t="s">
        <v>44906</v>
      </c>
      <c r="P14012">
        <v>0</v>
      </c>
      <c r="Q14012">
        <v>0</v>
      </c>
      <c r="R14012" t="s">
        <v>44924</v>
      </c>
      <c r="S14012" t="s">
        <v>45829</v>
      </c>
      <c r="T14012" t="s">
        <v>46447</v>
      </c>
      <c r="U14012" t="s">
        <v>58093</v>
      </c>
      <c r="W14012" t="s">
        <v>43257</v>
      </c>
      <c r="X14012" t="s">
        <v>44925</v>
      </c>
    </row>
    <row r="14013" spans="1:24">
      <c r="A14013">
        <f>HYPERLINK("https://www.philgeps.gov.ph/GEPSNONPILOT/Tender/SplashBidNoticeAbstractUI.aspx?menuIndex=3&amp;refID=7045152&amp;Result=3","7045152")</f>
        <v>0</v>
      </c>
      <c r="B14013" t="s">
        <v>1058</v>
      </c>
      <c r="C14013" t="s">
        <v>3815</v>
      </c>
      <c r="D14013" t="s">
        <v>18104</v>
      </c>
      <c r="E14013" t="s">
        <v>30320</v>
      </c>
      <c r="F14013" t="s">
        <v>31362</v>
      </c>
      <c r="G14013" t="s">
        <v>31369</v>
      </c>
      <c r="H14013" t="s">
        <v>31378</v>
      </c>
      <c r="I14013" t="s">
        <v>3815</v>
      </c>
      <c r="J14013" t="s">
        <v>39991</v>
      </c>
      <c r="K14013" t="s">
        <v>40670</v>
      </c>
      <c r="M14013" t="s">
        <v>42059</v>
      </c>
      <c r="N14013" t="s">
        <v>44905</v>
      </c>
      <c r="O14013" t="s">
        <v>44906</v>
      </c>
      <c r="Q14013">
        <v>1</v>
      </c>
      <c r="R14013" t="s">
        <v>44924</v>
      </c>
      <c r="S14013" t="s">
        <v>45855</v>
      </c>
      <c r="T14013" t="s">
        <v>46447</v>
      </c>
      <c r="U14013" t="s">
        <v>58094</v>
      </c>
      <c r="W14013" t="s">
        <v>42059</v>
      </c>
      <c r="X14013" t="s">
        <v>44925</v>
      </c>
    </row>
    <row r="14014" spans="1:24">
      <c r="A14014">
        <f>HYPERLINK("https://www.philgeps.gov.ph/GEPSNONPILOT/Tender/SplashBidNoticeAbstractUI.aspx?menuIndex=3&amp;refID=7048678&amp;Result=3","7048678")</f>
        <v>0</v>
      </c>
      <c r="B14014" t="s">
        <v>1551</v>
      </c>
      <c r="C14014" t="s">
        <v>16934</v>
      </c>
      <c r="D14014" t="s">
        <v>18127</v>
      </c>
      <c r="E14014" t="s">
        <v>30321</v>
      </c>
      <c r="F14014" t="s">
        <v>31362</v>
      </c>
      <c r="G14014" t="s">
        <v>31373</v>
      </c>
      <c r="H14014" t="s">
        <v>15799</v>
      </c>
      <c r="I14014" t="s">
        <v>31409</v>
      </c>
      <c r="J14014" t="s">
        <v>36400</v>
      </c>
      <c r="K14014" t="s">
        <v>40665</v>
      </c>
      <c r="M14014" t="s">
        <v>42599</v>
      </c>
      <c r="N14014" t="s">
        <v>44905</v>
      </c>
      <c r="O14014" t="s">
        <v>44906</v>
      </c>
      <c r="P14014">
        <v>0</v>
      </c>
      <c r="Q14014">
        <v>1</v>
      </c>
      <c r="R14014" t="s">
        <v>44923</v>
      </c>
      <c r="S14014" t="s">
        <v>45744</v>
      </c>
      <c r="T14014" t="s">
        <v>46438</v>
      </c>
      <c r="U14014" t="s">
        <v>58095</v>
      </c>
      <c r="W14014" t="s">
        <v>42599</v>
      </c>
      <c r="X14014" t="s">
        <v>44924</v>
      </c>
    </row>
    <row r="14015" spans="1:24">
      <c r="A14015">
        <f>HYPERLINK("https://www.philgeps.gov.ph/GEPSNONPILOT/Tender/SplashBidNoticeAbstractUI.aspx?menuIndex=3&amp;refID=7045151&amp;Result=3","7045151")</f>
        <v>0</v>
      </c>
      <c r="B14015" t="s">
        <v>623</v>
      </c>
      <c r="C14015" t="s">
        <v>16935</v>
      </c>
      <c r="D14015" t="s">
        <v>18146</v>
      </c>
      <c r="E14015" t="s">
        <v>30322</v>
      </c>
      <c r="F14015" t="s">
        <v>31362</v>
      </c>
      <c r="G14015" t="s">
        <v>31369</v>
      </c>
      <c r="H14015" t="s">
        <v>15799</v>
      </c>
      <c r="I14015" t="s">
        <v>31380</v>
      </c>
      <c r="J14015" t="s">
        <v>39992</v>
      </c>
      <c r="K14015" t="s">
        <v>40665</v>
      </c>
      <c r="M14015" t="s">
        <v>41582</v>
      </c>
      <c r="N14015" t="s">
        <v>44905</v>
      </c>
      <c r="O14015" t="s">
        <v>44906</v>
      </c>
      <c r="P14015">
        <v>0</v>
      </c>
      <c r="Q14015">
        <v>6</v>
      </c>
      <c r="R14015" t="s">
        <v>44924</v>
      </c>
      <c r="S14015" t="s">
        <v>45829</v>
      </c>
      <c r="T14015" t="s">
        <v>46411</v>
      </c>
      <c r="U14015" t="s">
        <v>47204</v>
      </c>
      <c r="V14015" t="s">
        <v>59694</v>
      </c>
      <c r="W14015" t="s">
        <v>41582</v>
      </c>
      <c r="X14015" t="s">
        <v>44925</v>
      </c>
    </row>
    <row r="14016" spans="1:24">
      <c r="A14016">
        <f>HYPERLINK("https://www.philgeps.gov.ph/GEPSNONPILOT/Tender/SplashBidNoticeAbstractUI.aspx?menuIndex=3&amp;refID=7045150&amp;Result=3","7045150")</f>
        <v>0</v>
      </c>
      <c r="B14016" t="s">
        <v>2129</v>
      </c>
      <c r="C14016" t="s">
        <v>16936</v>
      </c>
      <c r="D14016" t="s">
        <v>18170</v>
      </c>
      <c r="E14016" t="s">
        <v>30323</v>
      </c>
      <c r="F14016" t="s">
        <v>31362</v>
      </c>
      <c r="G14016" t="s">
        <v>31369</v>
      </c>
      <c r="H14016" t="s">
        <v>15799</v>
      </c>
      <c r="I14016" t="s">
        <v>4057</v>
      </c>
      <c r="J14016" t="s">
        <v>39993</v>
      </c>
      <c r="K14016" t="s">
        <v>40665</v>
      </c>
      <c r="M14016" t="s">
        <v>43257</v>
      </c>
      <c r="N14016" t="s">
        <v>44905</v>
      </c>
      <c r="O14016" t="s">
        <v>44906</v>
      </c>
      <c r="P14016">
        <v>0</v>
      </c>
      <c r="Q14016">
        <v>0</v>
      </c>
      <c r="R14016" t="s">
        <v>44924</v>
      </c>
      <c r="S14016" t="s">
        <v>45829</v>
      </c>
      <c r="T14016" t="s">
        <v>46447</v>
      </c>
      <c r="U14016" t="s">
        <v>58096</v>
      </c>
      <c r="W14016" t="s">
        <v>43257</v>
      </c>
      <c r="X14016" t="s">
        <v>44925</v>
      </c>
    </row>
    <row r="14017" spans="1:24">
      <c r="A14017">
        <f>HYPERLINK("https://www.philgeps.gov.ph/GEPSNONPILOT/Tender/SplashBidNoticeAbstractUI.aspx?menuIndex=3&amp;refID=7045333&amp;Result=3","7045333")</f>
        <v>0</v>
      </c>
      <c r="B14017" t="s">
        <v>3430</v>
      </c>
      <c r="C14017" t="s">
        <v>16937</v>
      </c>
      <c r="D14017" t="s">
        <v>18117</v>
      </c>
      <c r="E14017" t="s">
        <v>30324</v>
      </c>
      <c r="F14017" t="s">
        <v>31362</v>
      </c>
      <c r="G14017" t="s">
        <v>31369</v>
      </c>
      <c r="H14017" t="s">
        <v>15799</v>
      </c>
      <c r="I14017" t="s">
        <v>31409</v>
      </c>
      <c r="J14017" t="s">
        <v>31602</v>
      </c>
      <c r="K14017" t="s">
        <v>40682</v>
      </c>
      <c r="M14017" t="s">
        <v>44751</v>
      </c>
      <c r="N14017" t="s">
        <v>44905</v>
      </c>
      <c r="O14017" t="s">
        <v>44906</v>
      </c>
      <c r="P14017">
        <v>0</v>
      </c>
      <c r="Q14017">
        <v>6</v>
      </c>
      <c r="R14017" t="s">
        <v>44924</v>
      </c>
      <c r="S14017" t="s">
        <v>45829</v>
      </c>
      <c r="T14017" t="s">
        <v>46400</v>
      </c>
      <c r="U14017" t="s">
        <v>58097</v>
      </c>
      <c r="W14017" t="s">
        <v>44751</v>
      </c>
      <c r="X14017" t="s">
        <v>44925</v>
      </c>
    </row>
    <row r="14018" spans="1:24">
      <c r="A14018">
        <f>HYPERLINK("https://www.philgeps.gov.ph/GEPSNONPILOT/Tender/SplashBidNoticeAbstractUI.aspx?menuIndex=3&amp;refID=7045305&amp;Result=3","7045305")</f>
        <v>0</v>
      </c>
      <c r="B14018" t="s">
        <v>948</v>
      </c>
      <c r="C14018" t="s">
        <v>16938</v>
      </c>
      <c r="D14018" t="s">
        <v>18107</v>
      </c>
      <c r="E14018" t="s">
        <v>30325</v>
      </c>
      <c r="F14018" t="s">
        <v>31362</v>
      </c>
      <c r="G14018" t="s">
        <v>31369</v>
      </c>
      <c r="H14018" t="s">
        <v>31378</v>
      </c>
      <c r="I14018" t="s">
        <v>31386</v>
      </c>
      <c r="J14018" t="s">
        <v>39994</v>
      </c>
      <c r="K14018" t="s">
        <v>40773</v>
      </c>
      <c r="M14018" t="s">
        <v>41936</v>
      </c>
      <c r="N14018" t="s">
        <v>44905</v>
      </c>
      <c r="O14018" t="s">
        <v>44906</v>
      </c>
      <c r="P14018">
        <v>0</v>
      </c>
      <c r="Q14018">
        <v>0</v>
      </c>
      <c r="R14018" t="s">
        <v>44924</v>
      </c>
      <c r="S14018" t="s">
        <v>45829</v>
      </c>
      <c r="T14018" t="s">
        <v>46411</v>
      </c>
      <c r="U14018" t="s">
        <v>48959</v>
      </c>
      <c r="W14018" t="s">
        <v>41936</v>
      </c>
      <c r="X14018" t="s">
        <v>44925</v>
      </c>
    </row>
    <row r="14019" spans="1:24">
      <c r="A14019">
        <f>HYPERLINK("https://www.philgeps.gov.ph/GEPSNONPILOT/Tender/SplashBidNoticeAbstractUI.aspx?menuIndex=3&amp;refID=7045296&amp;Result=3","7045296")</f>
        <v>0</v>
      </c>
      <c r="B14019" t="s">
        <v>1058</v>
      </c>
      <c r="C14019" t="s">
        <v>16939</v>
      </c>
      <c r="D14019" t="s">
        <v>18104</v>
      </c>
      <c r="E14019" t="s">
        <v>30326</v>
      </c>
      <c r="F14019" t="s">
        <v>31362</v>
      </c>
      <c r="G14019" t="s">
        <v>31369</v>
      </c>
      <c r="H14019" t="s">
        <v>15799</v>
      </c>
      <c r="I14019" t="s">
        <v>31396</v>
      </c>
      <c r="J14019" t="s">
        <v>34265</v>
      </c>
      <c r="K14019" t="s">
        <v>40670</v>
      </c>
      <c r="M14019" t="s">
        <v>42059</v>
      </c>
      <c r="N14019" t="s">
        <v>44905</v>
      </c>
      <c r="O14019" t="s">
        <v>44906</v>
      </c>
      <c r="P14019">
        <v>0</v>
      </c>
      <c r="Q14019">
        <v>7</v>
      </c>
      <c r="R14019" t="s">
        <v>44924</v>
      </c>
      <c r="S14019" t="s">
        <v>45829</v>
      </c>
      <c r="T14019" t="s">
        <v>46447</v>
      </c>
      <c r="U14019" t="s">
        <v>58098</v>
      </c>
      <c r="W14019" t="s">
        <v>42059</v>
      </c>
      <c r="X14019" t="s">
        <v>44925</v>
      </c>
    </row>
    <row r="14020" spans="1:24">
      <c r="A14020">
        <f>HYPERLINK("https://www.philgeps.gov.ph/GEPSNONPILOT/Tender/SplashBidNoticeAbstractUI.aspx?menuIndex=3&amp;refID=7045182&amp;Result=3","7045182")</f>
        <v>0</v>
      </c>
      <c r="B14020" t="s">
        <v>345</v>
      </c>
      <c r="C14020" t="s">
        <v>16940</v>
      </c>
      <c r="D14020" t="s">
        <v>18149</v>
      </c>
      <c r="E14020" t="s">
        <v>30327</v>
      </c>
      <c r="F14020" t="s">
        <v>31362</v>
      </c>
      <c r="G14020" t="s">
        <v>31369</v>
      </c>
      <c r="H14020" t="s">
        <v>31378</v>
      </c>
      <c r="I14020" t="s">
        <v>31386</v>
      </c>
      <c r="J14020" t="s">
        <v>31591</v>
      </c>
      <c r="K14020" t="s">
        <v>40711</v>
      </c>
      <c r="M14020" t="s">
        <v>41291</v>
      </c>
      <c r="N14020" t="s">
        <v>44905</v>
      </c>
      <c r="O14020" t="s">
        <v>44906</v>
      </c>
      <c r="P14020">
        <v>0</v>
      </c>
      <c r="Q14020">
        <v>0</v>
      </c>
      <c r="R14020" t="s">
        <v>44924</v>
      </c>
      <c r="S14020" t="s">
        <v>45829</v>
      </c>
      <c r="T14020" t="s">
        <v>46641</v>
      </c>
      <c r="U14020" t="s">
        <v>47513</v>
      </c>
      <c r="W14020" t="s">
        <v>41291</v>
      </c>
      <c r="X14020" t="s">
        <v>44925</v>
      </c>
    </row>
    <row r="14021" spans="1:24">
      <c r="A14021">
        <f>HYPERLINK("https://www.philgeps.gov.ph/GEPSNONPILOT/Tender/SplashBidNoticeAbstractUI.aspx?menuIndex=3&amp;refID=7045275&amp;Result=3","7045275")</f>
        <v>0</v>
      </c>
      <c r="B14021" t="s">
        <v>360</v>
      </c>
      <c r="C14021" t="s">
        <v>16941</v>
      </c>
      <c r="D14021" t="s">
        <v>18161</v>
      </c>
      <c r="E14021" t="s">
        <v>30328</v>
      </c>
      <c r="F14021" t="s">
        <v>31362</v>
      </c>
      <c r="G14021" t="s">
        <v>31369</v>
      </c>
      <c r="H14021" t="s">
        <v>31378</v>
      </c>
      <c r="I14021" t="s">
        <v>31386</v>
      </c>
      <c r="J14021" t="s">
        <v>31625</v>
      </c>
      <c r="K14021" t="s">
        <v>40662</v>
      </c>
      <c r="M14021" t="s">
        <v>41307</v>
      </c>
      <c r="N14021" t="s">
        <v>44905</v>
      </c>
      <c r="O14021" t="s">
        <v>44906</v>
      </c>
      <c r="P14021">
        <v>0</v>
      </c>
      <c r="Q14021">
        <v>2</v>
      </c>
      <c r="R14021" t="s">
        <v>44924</v>
      </c>
      <c r="S14021" t="s">
        <v>45829</v>
      </c>
      <c r="T14021" t="s">
        <v>46432</v>
      </c>
      <c r="U14021" t="s">
        <v>58014</v>
      </c>
      <c r="W14021" t="s">
        <v>41307</v>
      </c>
      <c r="X14021" t="s">
        <v>44925</v>
      </c>
    </row>
    <row r="14022" spans="1:24">
      <c r="A14022">
        <f>HYPERLINK("https://www.philgeps.gov.ph/GEPSNONPILOT/Tender/SplashBidNoticeAbstractUI.aspx?menuIndex=3&amp;refID=7045274&amp;Result=3","7045274")</f>
        <v>0</v>
      </c>
      <c r="B14022" t="s">
        <v>1280</v>
      </c>
      <c r="C14022" t="s">
        <v>16942</v>
      </c>
      <c r="D14022" t="s">
        <v>18152</v>
      </c>
      <c r="E14022" t="s">
        <v>30329</v>
      </c>
      <c r="F14022" t="s">
        <v>31362</v>
      </c>
      <c r="G14022" t="s">
        <v>31369</v>
      </c>
      <c r="H14022" t="s">
        <v>15799</v>
      </c>
      <c r="I14022" t="s">
        <v>4942</v>
      </c>
      <c r="J14022" t="s">
        <v>39995</v>
      </c>
      <c r="K14022" t="s">
        <v>40662</v>
      </c>
      <c r="M14022" t="s">
        <v>42297</v>
      </c>
      <c r="N14022" t="s">
        <v>44905</v>
      </c>
      <c r="O14022" t="s">
        <v>44906</v>
      </c>
      <c r="P14022">
        <v>0</v>
      </c>
      <c r="Q14022">
        <v>1</v>
      </c>
      <c r="R14022" t="s">
        <v>44924</v>
      </c>
      <c r="S14022" t="s">
        <v>45829</v>
      </c>
      <c r="T14022" t="s">
        <v>46507</v>
      </c>
      <c r="U14022" t="s">
        <v>58099</v>
      </c>
      <c r="W14022" t="s">
        <v>42297</v>
      </c>
      <c r="X14022" t="s">
        <v>44925</v>
      </c>
    </row>
    <row r="14023" spans="1:24">
      <c r="A14023">
        <f>HYPERLINK("https://www.philgeps.gov.ph/GEPSNONPILOT/Tender/SplashBidNoticeAbstractUI.aspx?menuIndex=3&amp;refID=7045272&amp;Result=3","7045272")</f>
        <v>0</v>
      </c>
      <c r="B14023" t="s">
        <v>2932</v>
      </c>
      <c r="C14023" t="s">
        <v>16943</v>
      </c>
      <c r="D14023" t="s">
        <v>18100</v>
      </c>
      <c r="E14023" t="s">
        <v>30330</v>
      </c>
      <c r="F14023" t="s">
        <v>31362</v>
      </c>
      <c r="G14023" t="s">
        <v>31369</v>
      </c>
      <c r="H14023" t="s">
        <v>15799</v>
      </c>
      <c r="I14023" t="s">
        <v>31484</v>
      </c>
      <c r="J14023" t="s">
        <v>39996</v>
      </c>
      <c r="K14023" t="s">
        <v>40675</v>
      </c>
      <c r="M14023" t="s">
        <v>44151</v>
      </c>
      <c r="N14023" t="s">
        <v>44905</v>
      </c>
      <c r="O14023" t="s">
        <v>44906</v>
      </c>
      <c r="Q14023">
        <v>12</v>
      </c>
      <c r="R14023" t="s">
        <v>44924</v>
      </c>
      <c r="S14023" t="s">
        <v>45856</v>
      </c>
      <c r="T14023" t="s">
        <v>46425</v>
      </c>
      <c r="U14023" t="s">
        <v>58100</v>
      </c>
      <c r="W14023" t="s">
        <v>60948</v>
      </c>
      <c r="X14023" t="s">
        <v>44925</v>
      </c>
    </row>
    <row r="14024" spans="1:24">
      <c r="A14024">
        <f>HYPERLINK("https://www.philgeps.gov.ph/GEPSNONPILOT/Tender/SplashBidNoticeAbstractUI.aspx?menuIndex=3&amp;refID=7048893&amp;Result=3","7048893")</f>
        <v>0</v>
      </c>
      <c r="B14024" t="s">
        <v>1864</v>
      </c>
      <c r="C14024" t="s">
        <v>16944</v>
      </c>
      <c r="D14024" t="s">
        <v>18140</v>
      </c>
      <c r="E14024" t="s">
        <v>30331</v>
      </c>
      <c r="F14024" t="s">
        <v>31362</v>
      </c>
      <c r="G14024" t="s">
        <v>31369</v>
      </c>
      <c r="H14024" t="s">
        <v>15799</v>
      </c>
      <c r="I14024" t="s">
        <v>31433</v>
      </c>
      <c r="J14024" t="s">
        <v>31587</v>
      </c>
      <c r="K14024" t="s">
        <v>40665</v>
      </c>
      <c r="M14024" t="s">
        <v>42954</v>
      </c>
      <c r="N14024" t="s">
        <v>44905</v>
      </c>
      <c r="O14024" t="s">
        <v>44906</v>
      </c>
      <c r="P14024">
        <v>0</v>
      </c>
      <c r="Q14024">
        <v>10</v>
      </c>
      <c r="R14024" t="s">
        <v>44923</v>
      </c>
      <c r="S14024" t="s">
        <v>45744</v>
      </c>
      <c r="T14024" t="s">
        <v>46416</v>
      </c>
      <c r="U14024" t="s">
        <v>58064</v>
      </c>
      <c r="W14024" t="s">
        <v>42954</v>
      </c>
      <c r="X14024" t="s">
        <v>44924</v>
      </c>
    </row>
    <row r="14025" spans="1:24">
      <c r="A14025">
        <f>HYPERLINK("https://www.philgeps.gov.ph/GEPSNONPILOT/Tender/SplashBidNoticeAbstractUI.aspx?menuIndex=3&amp;refID=7045266&amp;Result=3","7045266")</f>
        <v>0</v>
      </c>
      <c r="B14025" t="s">
        <v>121</v>
      </c>
      <c r="C14025" t="s">
        <v>16945</v>
      </c>
      <c r="D14025" t="s">
        <v>18144</v>
      </c>
      <c r="E14025" t="s">
        <v>30332</v>
      </c>
      <c r="F14025" t="s">
        <v>31362</v>
      </c>
      <c r="G14025" t="s">
        <v>31369</v>
      </c>
      <c r="H14025" t="s">
        <v>31378</v>
      </c>
      <c r="I14025" t="s">
        <v>31386</v>
      </c>
      <c r="J14025" t="s">
        <v>39997</v>
      </c>
      <c r="K14025" t="s">
        <v>40825</v>
      </c>
      <c r="M14025" t="s">
        <v>41058</v>
      </c>
      <c r="N14025" t="s">
        <v>44905</v>
      </c>
      <c r="O14025" t="s">
        <v>44906</v>
      </c>
      <c r="P14025">
        <v>0</v>
      </c>
      <c r="Q14025">
        <v>0</v>
      </c>
      <c r="R14025" t="s">
        <v>44924</v>
      </c>
      <c r="S14025" t="s">
        <v>45829</v>
      </c>
      <c r="T14025" t="s">
        <v>46447</v>
      </c>
      <c r="U14025" t="s">
        <v>58101</v>
      </c>
      <c r="W14025" t="s">
        <v>41058</v>
      </c>
      <c r="X14025" t="s">
        <v>44925</v>
      </c>
    </row>
    <row r="14026" spans="1:24">
      <c r="A14026">
        <f>HYPERLINK("https://www.philgeps.gov.ph/GEPSNONPILOT/Tender/SplashBidNoticeAbstractUI.aspx?menuIndex=3&amp;refID=7045281&amp;Result=3","7045281")</f>
        <v>0</v>
      </c>
      <c r="B14026" t="s">
        <v>444</v>
      </c>
      <c r="C14026" t="s">
        <v>16946</v>
      </c>
      <c r="D14026" t="s">
        <v>18146</v>
      </c>
      <c r="E14026" t="s">
        <v>30333</v>
      </c>
      <c r="F14026" t="s">
        <v>31362</v>
      </c>
      <c r="G14026" t="s">
        <v>31369</v>
      </c>
      <c r="H14026" t="s">
        <v>31378</v>
      </c>
      <c r="I14026" t="s">
        <v>31386</v>
      </c>
      <c r="J14026" t="s">
        <v>31591</v>
      </c>
      <c r="K14026" t="s">
        <v>40682</v>
      </c>
      <c r="M14026" t="s">
        <v>41397</v>
      </c>
      <c r="N14026" t="s">
        <v>44905</v>
      </c>
      <c r="O14026" t="s">
        <v>44906</v>
      </c>
      <c r="P14026">
        <v>0</v>
      </c>
      <c r="Q14026">
        <v>0</v>
      </c>
      <c r="R14026" t="s">
        <v>44924</v>
      </c>
      <c r="S14026" t="s">
        <v>45829</v>
      </c>
      <c r="T14026" t="s">
        <v>46409</v>
      </c>
      <c r="U14026" t="s">
        <v>58102</v>
      </c>
      <c r="W14026" t="s">
        <v>41397</v>
      </c>
      <c r="X14026" t="s">
        <v>44925</v>
      </c>
    </row>
    <row r="14027" spans="1:24">
      <c r="A14027">
        <f>HYPERLINK("https://www.philgeps.gov.ph/GEPSNONPILOT/Tender/SplashBidNoticeAbstractUI.aspx?menuIndex=3&amp;refID=7045265&amp;Result=3","7045265")</f>
        <v>0</v>
      </c>
      <c r="B14027" t="s">
        <v>1167</v>
      </c>
      <c r="C14027" t="s">
        <v>16947</v>
      </c>
      <c r="D14027" t="s">
        <v>18151</v>
      </c>
      <c r="E14027" t="s">
        <v>30334</v>
      </c>
      <c r="F14027" t="s">
        <v>31362</v>
      </c>
      <c r="G14027" t="s">
        <v>31369</v>
      </c>
      <c r="H14027" t="s">
        <v>31378</v>
      </c>
      <c r="I14027" t="s">
        <v>31386</v>
      </c>
      <c r="J14027" t="s">
        <v>36377</v>
      </c>
      <c r="K14027" t="s">
        <v>40679</v>
      </c>
      <c r="M14027" t="s">
        <v>42177</v>
      </c>
      <c r="N14027" t="s">
        <v>44905</v>
      </c>
      <c r="O14027" t="s">
        <v>44906</v>
      </c>
      <c r="P14027">
        <v>0</v>
      </c>
      <c r="Q14027">
        <v>1</v>
      </c>
      <c r="R14027" t="s">
        <v>44924</v>
      </c>
      <c r="S14027" t="s">
        <v>45829</v>
      </c>
      <c r="T14027" t="s">
        <v>46409</v>
      </c>
      <c r="U14027" t="s">
        <v>54676</v>
      </c>
      <c r="V14027" t="s">
        <v>60664</v>
      </c>
      <c r="W14027" t="s">
        <v>42177</v>
      </c>
      <c r="X14027" t="s">
        <v>44925</v>
      </c>
    </row>
    <row r="14028" spans="1:24">
      <c r="A14028">
        <f>HYPERLINK("https://www.philgeps.gov.ph/GEPSNONPILOT/Tender/SplashBidNoticeAbstractUI.aspx?menuIndex=3&amp;refID=7045328&amp;Result=3","7045328")</f>
        <v>0</v>
      </c>
      <c r="B14028" t="s">
        <v>111</v>
      </c>
      <c r="C14028" t="s">
        <v>16948</v>
      </c>
      <c r="D14028" t="s">
        <v>18127</v>
      </c>
      <c r="E14028" t="s">
        <v>30335</v>
      </c>
      <c r="F14028" t="s">
        <v>31362</v>
      </c>
      <c r="G14028" t="s">
        <v>31369</v>
      </c>
      <c r="H14028" t="s">
        <v>31378</v>
      </c>
      <c r="I14028" t="s">
        <v>31386</v>
      </c>
      <c r="J14028" t="s">
        <v>31586</v>
      </c>
      <c r="K14028" t="s">
        <v>40675</v>
      </c>
      <c r="M14028" t="s">
        <v>41048</v>
      </c>
      <c r="N14028" t="s">
        <v>44905</v>
      </c>
      <c r="O14028" t="s">
        <v>44906</v>
      </c>
      <c r="P14028">
        <v>0</v>
      </c>
      <c r="Q14028">
        <v>0</v>
      </c>
      <c r="R14028" t="s">
        <v>44924</v>
      </c>
      <c r="S14028" t="s">
        <v>45829</v>
      </c>
      <c r="T14028" t="s">
        <v>46409</v>
      </c>
      <c r="U14028" t="s">
        <v>57713</v>
      </c>
      <c r="W14028" t="s">
        <v>41048</v>
      </c>
      <c r="X14028" t="s">
        <v>44925</v>
      </c>
    </row>
    <row r="14029" spans="1:24">
      <c r="A14029">
        <f>HYPERLINK("https://www.philgeps.gov.ph/GEPSNONPILOT/Tender/SplashBidNoticeAbstractUI.aspx?menuIndex=3&amp;refID=7045338&amp;Result=3","7045338")</f>
        <v>0</v>
      </c>
      <c r="B14029" t="s">
        <v>111</v>
      </c>
      <c r="C14029" t="s">
        <v>16949</v>
      </c>
      <c r="D14029" t="s">
        <v>18127</v>
      </c>
      <c r="E14029" t="s">
        <v>30336</v>
      </c>
      <c r="F14029" t="s">
        <v>31362</v>
      </c>
      <c r="G14029" t="s">
        <v>31369</v>
      </c>
      <c r="H14029" t="s">
        <v>31378</v>
      </c>
      <c r="I14029" t="s">
        <v>31386</v>
      </c>
      <c r="J14029" t="s">
        <v>32894</v>
      </c>
      <c r="K14029" t="s">
        <v>40745</v>
      </c>
      <c r="M14029" t="s">
        <v>41048</v>
      </c>
      <c r="N14029" t="s">
        <v>44905</v>
      </c>
      <c r="O14029" t="s">
        <v>44906</v>
      </c>
      <c r="P14029">
        <v>0</v>
      </c>
      <c r="Q14029">
        <v>1</v>
      </c>
      <c r="R14029" t="s">
        <v>44924</v>
      </c>
      <c r="S14029" t="s">
        <v>45829</v>
      </c>
      <c r="T14029" t="s">
        <v>46409</v>
      </c>
      <c r="U14029" t="s">
        <v>57713</v>
      </c>
      <c r="W14029" t="s">
        <v>41048</v>
      </c>
      <c r="X14029" t="s">
        <v>44925</v>
      </c>
    </row>
    <row r="14030" spans="1:24">
      <c r="A14030">
        <f>HYPERLINK("https://www.philgeps.gov.ph/GEPSNONPILOT/Tender/SplashBidNoticeAbstractUI.aspx?menuIndex=3&amp;refID=7049445&amp;Result=3","7049445")</f>
        <v>0</v>
      </c>
      <c r="B14030" t="s">
        <v>783</v>
      </c>
      <c r="C14030" t="s">
        <v>16950</v>
      </c>
      <c r="D14030" t="s">
        <v>18140</v>
      </c>
      <c r="E14030" t="s">
        <v>27660</v>
      </c>
      <c r="F14030" t="s">
        <v>31362</v>
      </c>
      <c r="G14030" t="s">
        <v>31369</v>
      </c>
      <c r="H14030" t="s">
        <v>15799</v>
      </c>
      <c r="I14030" t="s">
        <v>31393</v>
      </c>
      <c r="J14030" t="s">
        <v>35909</v>
      </c>
      <c r="K14030" t="s">
        <v>40661</v>
      </c>
      <c r="M14030" t="s">
        <v>41753</v>
      </c>
      <c r="N14030" t="s">
        <v>44905</v>
      </c>
      <c r="O14030" t="s">
        <v>44906</v>
      </c>
      <c r="P14030">
        <v>0</v>
      </c>
      <c r="Q14030">
        <v>4</v>
      </c>
      <c r="R14030" t="s">
        <v>44923</v>
      </c>
      <c r="S14030" t="s">
        <v>45744</v>
      </c>
      <c r="T14030" t="s">
        <v>46394</v>
      </c>
      <c r="U14030" t="s">
        <v>58103</v>
      </c>
      <c r="V14030" t="s">
        <v>60633</v>
      </c>
      <c r="W14030" t="s">
        <v>41753</v>
      </c>
      <c r="X14030" t="s">
        <v>44924</v>
      </c>
    </row>
    <row r="14031" spans="1:24">
      <c r="A14031">
        <f>HYPERLINK("https://www.philgeps.gov.ph/GEPSNONPILOT/Tender/SplashBidNoticeAbstractUI.aspx?menuIndex=3&amp;refID=7045463&amp;Result=3","7045463")</f>
        <v>0</v>
      </c>
      <c r="B14031" t="s">
        <v>3431</v>
      </c>
      <c r="C14031" t="s">
        <v>16951</v>
      </c>
      <c r="D14031" t="s">
        <v>18175</v>
      </c>
      <c r="E14031" t="s">
        <v>30337</v>
      </c>
      <c r="F14031" t="s">
        <v>31362</v>
      </c>
      <c r="G14031" t="s">
        <v>31369</v>
      </c>
      <c r="H14031" t="s">
        <v>31378</v>
      </c>
      <c r="I14031" t="s">
        <v>31386</v>
      </c>
      <c r="J14031" t="s">
        <v>39998</v>
      </c>
      <c r="K14031" t="s">
        <v>40679</v>
      </c>
      <c r="M14031" t="s">
        <v>44752</v>
      </c>
      <c r="N14031" t="s">
        <v>44905</v>
      </c>
      <c r="O14031" t="s">
        <v>44906</v>
      </c>
      <c r="P14031">
        <v>0</v>
      </c>
      <c r="Q14031">
        <v>0</v>
      </c>
      <c r="R14031" t="s">
        <v>44924</v>
      </c>
      <c r="S14031" t="s">
        <v>45829</v>
      </c>
      <c r="T14031" t="s">
        <v>46410</v>
      </c>
      <c r="U14031" t="s">
        <v>58104</v>
      </c>
      <c r="W14031" t="s">
        <v>44752</v>
      </c>
      <c r="X14031" t="s">
        <v>44925</v>
      </c>
    </row>
    <row r="14032" spans="1:24">
      <c r="A14032">
        <f>HYPERLINK("https://www.philgeps.gov.ph/GEPSNONPILOT/Tender/SplashBidNoticeAbstractUI.aspx?menuIndex=3&amp;refID=7045447&amp;Result=3","7045447")</f>
        <v>0</v>
      </c>
      <c r="B14032" t="s">
        <v>1344</v>
      </c>
      <c r="C14032" t="s">
        <v>16952</v>
      </c>
      <c r="D14032" t="s">
        <v>18118</v>
      </c>
      <c r="E14032" t="s">
        <v>30338</v>
      </c>
      <c r="F14032" t="s">
        <v>31362</v>
      </c>
      <c r="G14032" t="s">
        <v>31369</v>
      </c>
      <c r="H14032" t="s">
        <v>15799</v>
      </c>
      <c r="I14032" t="s">
        <v>31475</v>
      </c>
      <c r="J14032" t="s">
        <v>31625</v>
      </c>
      <c r="K14032" t="s">
        <v>40682</v>
      </c>
      <c r="M14032" t="s">
        <v>42363</v>
      </c>
      <c r="N14032" t="s">
        <v>44905</v>
      </c>
      <c r="O14032" t="s">
        <v>44906</v>
      </c>
      <c r="Q14032">
        <v>10</v>
      </c>
      <c r="R14032" t="s">
        <v>44924</v>
      </c>
      <c r="S14032" t="s">
        <v>45286</v>
      </c>
      <c r="T14032" t="s">
        <v>46884</v>
      </c>
      <c r="U14032" t="s">
        <v>58105</v>
      </c>
      <c r="W14032" t="s">
        <v>42363</v>
      </c>
      <c r="X14032" t="s">
        <v>44925</v>
      </c>
    </row>
    <row r="14033" spans="1:24">
      <c r="A14033">
        <f>HYPERLINK("https://www.philgeps.gov.ph/GEPSNONPILOT/Tender/SplashBidNoticeAbstractUI.aspx?menuIndex=3&amp;refID=7045446&amp;Result=3","7045446")</f>
        <v>0</v>
      </c>
      <c r="B14033" t="s">
        <v>1793</v>
      </c>
      <c r="C14033" t="s">
        <v>16953</v>
      </c>
      <c r="D14033" t="s">
        <v>18107</v>
      </c>
      <c r="E14033" t="s">
        <v>30339</v>
      </c>
      <c r="F14033" t="s">
        <v>31362</v>
      </c>
      <c r="G14033" t="s">
        <v>31369</v>
      </c>
      <c r="H14033" t="s">
        <v>31378</v>
      </c>
      <c r="I14033" t="s">
        <v>31386</v>
      </c>
      <c r="J14033" t="s">
        <v>33868</v>
      </c>
      <c r="K14033" t="s">
        <v>40683</v>
      </c>
      <c r="M14033" t="s">
        <v>42875</v>
      </c>
      <c r="N14033" t="s">
        <v>44905</v>
      </c>
      <c r="O14033" t="s">
        <v>44906</v>
      </c>
      <c r="P14033">
        <v>0</v>
      </c>
      <c r="Q14033">
        <v>0</v>
      </c>
      <c r="R14033" t="s">
        <v>44924</v>
      </c>
      <c r="S14033" t="s">
        <v>45829</v>
      </c>
      <c r="T14033" t="s">
        <v>46393</v>
      </c>
      <c r="U14033" t="s">
        <v>58106</v>
      </c>
      <c r="W14033" t="s">
        <v>42875</v>
      </c>
      <c r="X14033" t="s">
        <v>44925</v>
      </c>
    </row>
    <row r="14034" spans="1:24">
      <c r="A14034">
        <f>HYPERLINK("https://www.philgeps.gov.ph/GEPSNONPILOT/Tender/SplashBidNoticeAbstractUI.aspx?menuIndex=3&amp;refID=7045438&amp;Result=3","7045438")</f>
        <v>0</v>
      </c>
      <c r="B14034" t="s">
        <v>1167</v>
      </c>
      <c r="C14034" t="s">
        <v>16954</v>
      </c>
      <c r="D14034" t="s">
        <v>18151</v>
      </c>
      <c r="E14034" t="s">
        <v>30340</v>
      </c>
      <c r="F14034" t="s">
        <v>31362</v>
      </c>
      <c r="G14034" t="s">
        <v>31369</v>
      </c>
      <c r="H14034" t="s">
        <v>31378</v>
      </c>
      <c r="I14034" t="s">
        <v>31386</v>
      </c>
      <c r="J14034" t="s">
        <v>32964</v>
      </c>
      <c r="K14034" t="s">
        <v>40768</v>
      </c>
      <c r="M14034" t="s">
        <v>42177</v>
      </c>
      <c r="N14034" t="s">
        <v>44905</v>
      </c>
      <c r="O14034" t="s">
        <v>44906</v>
      </c>
      <c r="P14034">
        <v>0</v>
      </c>
      <c r="Q14034">
        <v>1</v>
      </c>
      <c r="R14034" t="s">
        <v>44924</v>
      </c>
      <c r="S14034" t="s">
        <v>45829</v>
      </c>
      <c r="T14034" t="s">
        <v>46409</v>
      </c>
      <c r="U14034" t="s">
        <v>54676</v>
      </c>
      <c r="V14034" t="s">
        <v>60665</v>
      </c>
      <c r="W14034" t="s">
        <v>42177</v>
      </c>
      <c r="X14034" t="s">
        <v>44925</v>
      </c>
    </row>
    <row r="14035" spans="1:24">
      <c r="A14035">
        <f>HYPERLINK("https://www.philgeps.gov.ph/GEPSNONPILOT/Tender/SplashBidNoticeAbstractUI.aspx?menuIndex=3&amp;refID=7045261&amp;Result=3","7045261")</f>
        <v>0</v>
      </c>
      <c r="B14035" t="s">
        <v>948</v>
      </c>
      <c r="C14035" t="s">
        <v>16955</v>
      </c>
      <c r="D14035" t="s">
        <v>18107</v>
      </c>
      <c r="E14035" t="s">
        <v>30341</v>
      </c>
      <c r="F14035" t="s">
        <v>31362</v>
      </c>
      <c r="G14035" t="s">
        <v>31369</v>
      </c>
      <c r="H14035" t="s">
        <v>31378</v>
      </c>
      <c r="I14035" t="s">
        <v>31386</v>
      </c>
      <c r="J14035" t="s">
        <v>39999</v>
      </c>
      <c r="K14035" t="s">
        <v>40793</v>
      </c>
      <c r="M14035" t="s">
        <v>41936</v>
      </c>
      <c r="N14035" t="s">
        <v>44905</v>
      </c>
      <c r="O14035" t="s">
        <v>44906</v>
      </c>
      <c r="Q14035">
        <v>0</v>
      </c>
      <c r="R14035" t="s">
        <v>44924</v>
      </c>
      <c r="S14035" t="s">
        <v>45857</v>
      </c>
      <c r="T14035" t="s">
        <v>46411</v>
      </c>
      <c r="U14035" t="s">
        <v>48959</v>
      </c>
      <c r="W14035" t="s">
        <v>41936</v>
      </c>
      <c r="X14035" t="s">
        <v>44925</v>
      </c>
    </row>
    <row r="14036" spans="1:24">
      <c r="A14036">
        <f>HYPERLINK("https://www.philgeps.gov.ph/GEPSNONPILOT/Tender/SplashBidNoticeAbstractUI.aspx?menuIndex=3&amp;refID=7045426&amp;Result=3","7045426")</f>
        <v>0</v>
      </c>
      <c r="B14036" t="s">
        <v>913</v>
      </c>
      <c r="C14036" t="s">
        <v>16956</v>
      </c>
      <c r="D14036" t="s">
        <v>18176</v>
      </c>
      <c r="E14036" t="s">
        <v>30342</v>
      </c>
      <c r="F14036" t="s">
        <v>31362</v>
      </c>
      <c r="G14036" t="s">
        <v>31369</v>
      </c>
      <c r="H14036" t="s">
        <v>15799</v>
      </c>
      <c r="I14036" t="s">
        <v>31430</v>
      </c>
      <c r="J14036" t="s">
        <v>40000</v>
      </c>
      <c r="K14036" t="s">
        <v>40665</v>
      </c>
      <c r="M14036" t="s">
        <v>41896</v>
      </c>
      <c r="N14036" t="s">
        <v>44905</v>
      </c>
      <c r="O14036" t="s">
        <v>44906</v>
      </c>
      <c r="P14036">
        <v>0</v>
      </c>
      <c r="Q14036">
        <v>3</v>
      </c>
      <c r="R14036" t="s">
        <v>44924</v>
      </c>
      <c r="S14036" t="s">
        <v>45829</v>
      </c>
      <c r="T14036" t="s">
        <v>46432</v>
      </c>
      <c r="U14036" t="s">
        <v>58107</v>
      </c>
      <c r="W14036" t="s">
        <v>41896</v>
      </c>
      <c r="X14036" t="s">
        <v>44925</v>
      </c>
    </row>
    <row r="14037" spans="1:24">
      <c r="A14037">
        <f>HYPERLINK("https://www.philgeps.gov.ph/GEPSNONPILOT/Tender/SplashBidNoticeAbstractUI.aspx?menuIndex=3&amp;refID=7045459&amp;Result=3","7045459")</f>
        <v>0</v>
      </c>
      <c r="B14037" t="s">
        <v>2129</v>
      </c>
      <c r="C14037" t="s">
        <v>16957</v>
      </c>
      <c r="D14037" t="s">
        <v>18170</v>
      </c>
      <c r="E14037" t="s">
        <v>30343</v>
      </c>
      <c r="F14037" t="s">
        <v>31362</v>
      </c>
      <c r="G14037" t="s">
        <v>31369</v>
      </c>
      <c r="H14037" t="s">
        <v>15799</v>
      </c>
      <c r="I14037" t="s">
        <v>31393</v>
      </c>
      <c r="J14037" t="s">
        <v>40001</v>
      </c>
      <c r="K14037" t="s">
        <v>40665</v>
      </c>
      <c r="M14037" t="s">
        <v>43257</v>
      </c>
      <c r="N14037" t="s">
        <v>44905</v>
      </c>
      <c r="O14037" t="s">
        <v>44906</v>
      </c>
      <c r="P14037">
        <v>0</v>
      </c>
      <c r="Q14037">
        <v>3</v>
      </c>
      <c r="R14037" t="s">
        <v>44924</v>
      </c>
      <c r="S14037" t="s">
        <v>45829</v>
      </c>
      <c r="T14037" t="s">
        <v>46447</v>
      </c>
      <c r="U14037" t="s">
        <v>58108</v>
      </c>
      <c r="W14037" t="s">
        <v>43257</v>
      </c>
      <c r="X14037" t="s">
        <v>44925</v>
      </c>
    </row>
    <row r="14038" spans="1:24">
      <c r="A14038">
        <f>HYPERLINK("https://www.philgeps.gov.ph/GEPSNONPILOT/Tender/SplashBidNoticeAbstractUI.aspx?menuIndex=3&amp;refID=7045180&amp;Result=3","7045180")</f>
        <v>0</v>
      </c>
      <c r="B14038" t="s">
        <v>121</v>
      </c>
      <c r="C14038" t="s">
        <v>16958</v>
      </c>
      <c r="D14038" t="s">
        <v>18144</v>
      </c>
      <c r="E14038" t="s">
        <v>30344</v>
      </c>
      <c r="F14038" t="s">
        <v>31362</v>
      </c>
      <c r="G14038" t="s">
        <v>31369</v>
      </c>
      <c r="H14038" t="s">
        <v>31378</v>
      </c>
      <c r="I14038" t="s">
        <v>31386</v>
      </c>
      <c r="J14038" t="s">
        <v>40002</v>
      </c>
      <c r="K14038" t="s">
        <v>40762</v>
      </c>
      <c r="M14038" t="s">
        <v>41058</v>
      </c>
      <c r="N14038" t="s">
        <v>44905</v>
      </c>
      <c r="O14038" t="s">
        <v>44906</v>
      </c>
      <c r="P14038">
        <v>0</v>
      </c>
      <c r="Q14038">
        <v>0</v>
      </c>
      <c r="R14038" t="s">
        <v>44924</v>
      </c>
      <c r="S14038" t="s">
        <v>45829</v>
      </c>
      <c r="T14038" t="s">
        <v>46447</v>
      </c>
      <c r="U14038" t="s">
        <v>58109</v>
      </c>
      <c r="W14038" t="s">
        <v>41058</v>
      </c>
      <c r="X14038" t="s">
        <v>44925</v>
      </c>
    </row>
    <row r="14039" spans="1:24">
      <c r="A14039">
        <f>HYPERLINK("https://www.philgeps.gov.ph/GEPSNONPILOT/Tender/SplashBidNoticeAbstractUI.aspx?menuIndex=3&amp;refID=7045416&amp;Result=3","7045416")</f>
        <v>0</v>
      </c>
      <c r="B14039" t="s">
        <v>959</v>
      </c>
      <c r="C14039" t="s">
        <v>16959</v>
      </c>
      <c r="D14039" t="s">
        <v>18117</v>
      </c>
      <c r="E14039" t="s">
        <v>27243</v>
      </c>
      <c r="F14039" t="s">
        <v>31362</v>
      </c>
      <c r="G14039" t="s">
        <v>31369</v>
      </c>
      <c r="H14039" t="s">
        <v>15799</v>
      </c>
      <c r="I14039" t="s">
        <v>3815</v>
      </c>
      <c r="J14039" t="s">
        <v>40003</v>
      </c>
      <c r="K14039" t="s">
        <v>40665</v>
      </c>
      <c r="M14039" t="s">
        <v>41947</v>
      </c>
      <c r="N14039" t="s">
        <v>44905</v>
      </c>
      <c r="O14039" t="s">
        <v>44906</v>
      </c>
      <c r="P14039">
        <v>0</v>
      </c>
      <c r="Q14039">
        <v>1</v>
      </c>
      <c r="R14039" t="s">
        <v>44924</v>
      </c>
      <c r="S14039" t="s">
        <v>45829</v>
      </c>
      <c r="T14039" t="s">
        <v>46432</v>
      </c>
      <c r="U14039" t="s">
        <v>58110</v>
      </c>
      <c r="V14039" t="s">
        <v>60642</v>
      </c>
      <c r="W14039" t="s">
        <v>41947</v>
      </c>
      <c r="X14039" t="s">
        <v>44925</v>
      </c>
    </row>
    <row r="14040" spans="1:24">
      <c r="A14040">
        <f>HYPERLINK("https://www.philgeps.gov.ph/GEPSNONPILOT/Tender/SplashBidNoticeAbstractUI.aspx?menuIndex=3&amp;refID=7045404&amp;Result=3","7045404")</f>
        <v>0</v>
      </c>
      <c r="B14040" t="s">
        <v>2129</v>
      </c>
      <c r="C14040" t="s">
        <v>10293</v>
      </c>
      <c r="D14040" t="s">
        <v>18170</v>
      </c>
      <c r="E14040" t="s">
        <v>30345</v>
      </c>
      <c r="F14040" t="s">
        <v>31362</v>
      </c>
      <c r="G14040" t="s">
        <v>31369</v>
      </c>
      <c r="H14040" t="s">
        <v>15799</v>
      </c>
      <c r="I14040" t="s">
        <v>31385</v>
      </c>
      <c r="J14040" t="s">
        <v>40004</v>
      </c>
      <c r="K14040" t="s">
        <v>40665</v>
      </c>
      <c r="M14040" t="s">
        <v>43257</v>
      </c>
      <c r="N14040" t="s">
        <v>44905</v>
      </c>
      <c r="O14040" t="s">
        <v>44906</v>
      </c>
      <c r="P14040">
        <v>0</v>
      </c>
      <c r="Q14040">
        <v>2</v>
      </c>
      <c r="R14040" t="s">
        <v>44924</v>
      </c>
      <c r="S14040" t="s">
        <v>45829</v>
      </c>
      <c r="T14040" t="s">
        <v>46447</v>
      </c>
      <c r="U14040" t="s">
        <v>58111</v>
      </c>
      <c r="W14040" t="s">
        <v>43257</v>
      </c>
      <c r="X14040" t="s">
        <v>44925</v>
      </c>
    </row>
    <row r="14041" spans="1:24">
      <c r="A14041">
        <f>HYPERLINK("https://www.philgeps.gov.ph/GEPSNONPILOT/Tender/SplashBidNoticeAbstractUI.aspx?menuIndex=3&amp;refID=7045271&amp;Result=3","7045271")</f>
        <v>0</v>
      </c>
      <c r="B14041" t="s">
        <v>676</v>
      </c>
      <c r="C14041" t="s">
        <v>16960</v>
      </c>
      <c r="D14041" t="s">
        <v>18134</v>
      </c>
      <c r="E14041" t="s">
        <v>30346</v>
      </c>
      <c r="F14041" t="s">
        <v>31362</v>
      </c>
      <c r="G14041" t="s">
        <v>31369</v>
      </c>
      <c r="H14041" t="s">
        <v>15799</v>
      </c>
      <c r="I14041" t="s">
        <v>31484</v>
      </c>
      <c r="J14041" t="s">
        <v>32549</v>
      </c>
      <c r="K14041" t="s">
        <v>40665</v>
      </c>
      <c r="M14041" t="s">
        <v>41638</v>
      </c>
      <c r="N14041" t="s">
        <v>44905</v>
      </c>
      <c r="O14041" t="s">
        <v>44906</v>
      </c>
      <c r="Q14041">
        <v>6</v>
      </c>
      <c r="R14041" t="s">
        <v>44924</v>
      </c>
      <c r="S14041" t="s">
        <v>45858</v>
      </c>
      <c r="T14041" t="s">
        <v>46530</v>
      </c>
      <c r="U14041" t="s">
        <v>53866</v>
      </c>
      <c r="W14041" t="s">
        <v>41638</v>
      </c>
      <c r="X14041" t="s">
        <v>44925</v>
      </c>
    </row>
    <row r="14042" spans="1:24">
      <c r="A14042">
        <f>HYPERLINK("https://www.philgeps.gov.ph/GEPSNONPILOT/Tender/SplashBidNoticeAbstractUI.aspx?menuIndex=3&amp;refID=7045361&amp;Result=3","7045361")</f>
        <v>0</v>
      </c>
      <c r="B14042" t="s">
        <v>1468</v>
      </c>
      <c r="C14042" t="s">
        <v>16961</v>
      </c>
      <c r="D14042" t="s">
        <v>18134</v>
      </c>
      <c r="E14042" t="s">
        <v>30347</v>
      </c>
      <c r="F14042" t="s">
        <v>31362</v>
      </c>
      <c r="G14042" t="s">
        <v>31369</v>
      </c>
      <c r="H14042" t="s">
        <v>31378</v>
      </c>
      <c r="I14042" t="s">
        <v>31386</v>
      </c>
      <c r="J14042" t="s">
        <v>40005</v>
      </c>
      <c r="K14042" t="s">
        <v>40682</v>
      </c>
      <c r="M14042" t="s">
        <v>42501</v>
      </c>
      <c r="N14042" t="s">
        <v>44905</v>
      </c>
      <c r="O14042" t="s">
        <v>44906</v>
      </c>
      <c r="P14042">
        <v>0</v>
      </c>
      <c r="Q14042">
        <v>5</v>
      </c>
      <c r="R14042" t="s">
        <v>44924</v>
      </c>
      <c r="S14042" t="s">
        <v>45829</v>
      </c>
      <c r="T14042" t="s">
        <v>46432</v>
      </c>
      <c r="U14042" t="s">
        <v>58112</v>
      </c>
      <c r="W14042" t="s">
        <v>42501</v>
      </c>
      <c r="X14042" t="s">
        <v>44925</v>
      </c>
    </row>
    <row r="14043" spans="1:24">
      <c r="A14043">
        <f>HYPERLINK("https://www.philgeps.gov.ph/GEPSNONPILOT/Tender/SplashBidNoticeAbstractUI.aspx?menuIndex=3&amp;refID=7045418&amp;Result=3","7045418")</f>
        <v>0</v>
      </c>
      <c r="B14043" t="s">
        <v>360</v>
      </c>
      <c r="C14043" t="s">
        <v>16962</v>
      </c>
      <c r="D14043" t="s">
        <v>18161</v>
      </c>
      <c r="E14043" t="s">
        <v>30348</v>
      </c>
      <c r="F14043" t="s">
        <v>31362</v>
      </c>
      <c r="G14043" t="s">
        <v>31369</v>
      </c>
      <c r="H14043" t="s">
        <v>31378</v>
      </c>
      <c r="I14043" t="s">
        <v>31386</v>
      </c>
      <c r="J14043" t="s">
        <v>31625</v>
      </c>
      <c r="K14043" t="s">
        <v>40662</v>
      </c>
      <c r="M14043" t="s">
        <v>41307</v>
      </c>
      <c r="N14043" t="s">
        <v>44905</v>
      </c>
      <c r="O14043" t="s">
        <v>44906</v>
      </c>
      <c r="P14043">
        <v>0</v>
      </c>
      <c r="Q14043">
        <v>2</v>
      </c>
      <c r="R14043" t="s">
        <v>44924</v>
      </c>
      <c r="S14043" t="s">
        <v>45829</v>
      </c>
      <c r="T14043" t="s">
        <v>46432</v>
      </c>
      <c r="U14043" t="s">
        <v>58014</v>
      </c>
      <c r="W14043" t="s">
        <v>41307</v>
      </c>
      <c r="X14043" t="s">
        <v>44925</v>
      </c>
    </row>
    <row r="14044" spans="1:24">
      <c r="A14044">
        <f>HYPERLINK("https://www.philgeps.gov.ph/GEPSNONPILOT/Tender/SplashBidNoticeAbstractUI.aspx?menuIndex=3&amp;refID=7045407&amp;Result=3","7045407")</f>
        <v>0</v>
      </c>
      <c r="B14044" t="s">
        <v>1344</v>
      </c>
      <c r="C14044" t="s">
        <v>16963</v>
      </c>
      <c r="D14044" t="s">
        <v>18118</v>
      </c>
      <c r="E14044" t="s">
        <v>30349</v>
      </c>
      <c r="F14044" t="s">
        <v>31362</v>
      </c>
      <c r="G14044" t="s">
        <v>31369</v>
      </c>
      <c r="H14044" t="s">
        <v>15799</v>
      </c>
      <c r="I14044" t="s">
        <v>7719</v>
      </c>
      <c r="J14044" t="s">
        <v>33046</v>
      </c>
      <c r="K14044" t="s">
        <v>40675</v>
      </c>
      <c r="M14044" t="s">
        <v>42363</v>
      </c>
      <c r="N14044" t="s">
        <v>44905</v>
      </c>
      <c r="O14044" t="s">
        <v>44906</v>
      </c>
      <c r="Q14044">
        <v>47</v>
      </c>
      <c r="R14044" t="s">
        <v>44924</v>
      </c>
      <c r="S14044" t="s">
        <v>45859</v>
      </c>
      <c r="T14044" t="s">
        <v>46810</v>
      </c>
      <c r="U14044" t="s">
        <v>58113</v>
      </c>
      <c r="W14044" t="s">
        <v>42363</v>
      </c>
      <c r="X14044" t="s">
        <v>44925</v>
      </c>
    </row>
    <row r="14045" spans="1:24">
      <c r="A14045">
        <f>HYPERLINK("https://www.philgeps.gov.ph/GEPSNONPILOT/Tender/SplashBidNoticeAbstractUI.aspx?menuIndex=3&amp;refID=7045249&amp;Result=3","7045249")</f>
        <v>0</v>
      </c>
      <c r="B14045" t="s">
        <v>250</v>
      </c>
      <c r="C14045" t="s">
        <v>16964</v>
      </c>
      <c r="D14045" t="s">
        <v>18152</v>
      </c>
      <c r="E14045" t="s">
        <v>30350</v>
      </c>
      <c r="F14045" t="s">
        <v>31362</v>
      </c>
      <c r="G14045" t="s">
        <v>31369</v>
      </c>
      <c r="H14045" t="s">
        <v>31378</v>
      </c>
      <c r="I14045" t="s">
        <v>31386</v>
      </c>
      <c r="J14045" t="s">
        <v>31625</v>
      </c>
      <c r="K14045" t="s">
        <v>40683</v>
      </c>
      <c r="M14045" t="s">
        <v>41189</v>
      </c>
      <c r="N14045" t="s">
        <v>44905</v>
      </c>
      <c r="O14045" t="s">
        <v>44906</v>
      </c>
      <c r="P14045">
        <v>0</v>
      </c>
      <c r="Q14045">
        <v>0</v>
      </c>
      <c r="R14045" t="s">
        <v>44924</v>
      </c>
      <c r="S14045" t="s">
        <v>45829</v>
      </c>
      <c r="T14045" t="s">
        <v>46432</v>
      </c>
      <c r="U14045" t="s">
        <v>58114</v>
      </c>
      <c r="W14045" t="s">
        <v>41189</v>
      </c>
      <c r="X14045" t="s">
        <v>44925</v>
      </c>
    </row>
    <row r="14046" spans="1:24">
      <c r="A14046">
        <f>HYPERLINK("https://www.philgeps.gov.ph/GEPSNONPILOT/Tender/SplashBidNoticeAbstractUI.aspx?menuIndex=3&amp;refID=7045425&amp;Result=3","7045425")</f>
        <v>0</v>
      </c>
      <c r="B14046" t="s">
        <v>1344</v>
      </c>
      <c r="C14046" t="s">
        <v>16965</v>
      </c>
      <c r="D14046" t="s">
        <v>18118</v>
      </c>
      <c r="E14046" t="s">
        <v>30351</v>
      </c>
      <c r="F14046" t="s">
        <v>31362</v>
      </c>
      <c r="G14046" t="s">
        <v>31369</v>
      </c>
      <c r="H14046" t="s">
        <v>15799</v>
      </c>
      <c r="I14046" t="s">
        <v>6155</v>
      </c>
      <c r="J14046" t="s">
        <v>40006</v>
      </c>
      <c r="K14046" t="s">
        <v>40679</v>
      </c>
      <c r="M14046" t="s">
        <v>42363</v>
      </c>
      <c r="N14046" t="s">
        <v>44905</v>
      </c>
      <c r="O14046" t="s">
        <v>44906</v>
      </c>
      <c r="Q14046">
        <v>15</v>
      </c>
      <c r="R14046" t="s">
        <v>44924</v>
      </c>
      <c r="S14046" t="s">
        <v>45860</v>
      </c>
      <c r="T14046" t="s">
        <v>46407</v>
      </c>
      <c r="U14046" t="s">
        <v>58115</v>
      </c>
      <c r="W14046" t="s">
        <v>42363</v>
      </c>
      <c r="X14046" t="s">
        <v>44925</v>
      </c>
    </row>
    <row r="14047" spans="1:24">
      <c r="A14047">
        <f>HYPERLINK("https://www.philgeps.gov.ph/GEPSNONPILOT/Tender/SplashBidNoticeAbstractUI.aspx?menuIndex=3&amp;refID=7045780&amp;Result=3","7045780")</f>
        <v>0</v>
      </c>
      <c r="B14047" t="s">
        <v>1350</v>
      </c>
      <c r="C14047" t="s">
        <v>16966</v>
      </c>
      <c r="D14047" t="s">
        <v>18108</v>
      </c>
      <c r="E14047" t="s">
        <v>30352</v>
      </c>
      <c r="F14047" t="s">
        <v>31362</v>
      </c>
      <c r="G14047" t="s">
        <v>31369</v>
      </c>
      <c r="H14047" t="s">
        <v>15799</v>
      </c>
      <c r="I14047" t="s">
        <v>31422</v>
      </c>
      <c r="J14047" t="s">
        <v>40007</v>
      </c>
      <c r="K14047" t="s">
        <v>40729</v>
      </c>
      <c r="M14047" t="s">
        <v>42371</v>
      </c>
      <c r="N14047" t="s">
        <v>44905</v>
      </c>
      <c r="O14047" t="s">
        <v>44906</v>
      </c>
      <c r="P14047">
        <v>0</v>
      </c>
      <c r="Q14047">
        <v>13</v>
      </c>
      <c r="R14047" t="s">
        <v>44924</v>
      </c>
      <c r="S14047" t="s">
        <v>45829</v>
      </c>
      <c r="T14047" t="s">
        <v>46396</v>
      </c>
      <c r="U14047" t="s">
        <v>58116</v>
      </c>
      <c r="W14047" t="s">
        <v>42371</v>
      </c>
      <c r="X14047" t="s">
        <v>44925</v>
      </c>
    </row>
    <row r="14048" spans="1:24">
      <c r="A14048">
        <f>HYPERLINK("https://www.philgeps.gov.ph/GEPSNONPILOT/Tender/SplashBidNoticeAbstractUI.aspx?menuIndex=3&amp;refID=7045776&amp;Result=3","7045776")</f>
        <v>0</v>
      </c>
      <c r="B14048" t="s">
        <v>3432</v>
      </c>
      <c r="C14048" t="s">
        <v>16967</v>
      </c>
      <c r="D14048" t="s">
        <v>18118</v>
      </c>
      <c r="E14048" t="s">
        <v>30353</v>
      </c>
      <c r="F14048" t="s">
        <v>31362</v>
      </c>
      <c r="G14048" t="s">
        <v>31369</v>
      </c>
      <c r="H14048" t="s">
        <v>15799</v>
      </c>
      <c r="I14048" t="s">
        <v>7719</v>
      </c>
      <c r="J14048" t="s">
        <v>40008</v>
      </c>
      <c r="K14048" t="s">
        <v>40679</v>
      </c>
      <c r="M14048" t="s">
        <v>44753</v>
      </c>
      <c r="N14048" t="s">
        <v>44905</v>
      </c>
      <c r="O14048" t="s">
        <v>44906</v>
      </c>
      <c r="Q14048">
        <v>17</v>
      </c>
      <c r="R14048" t="s">
        <v>44924</v>
      </c>
      <c r="S14048" t="s">
        <v>45861</v>
      </c>
      <c r="T14048" t="s">
        <v>46605</v>
      </c>
      <c r="U14048" t="s">
        <v>58117</v>
      </c>
      <c r="V14048" t="s">
        <v>60666</v>
      </c>
      <c r="W14048" t="s">
        <v>44753</v>
      </c>
      <c r="X14048" t="s">
        <v>44925</v>
      </c>
    </row>
    <row r="14049" spans="1:24">
      <c r="A14049">
        <f>HYPERLINK("https://www.philgeps.gov.ph/GEPSNONPILOT/Tender/SplashBidNoticeAbstractUI.aspx?menuIndex=3&amp;refID=7045708&amp;Result=3","7045708")</f>
        <v>0</v>
      </c>
      <c r="B14049" t="s">
        <v>360</v>
      </c>
      <c r="C14049" t="s">
        <v>16968</v>
      </c>
      <c r="D14049" t="s">
        <v>18161</v>
      </c>
      <c r="E14049" t="s">
        <v>30354</v>
      </c>
      <c r="F14049" t="s">
        <v>31362</v>
      </c>
      <c r="G14049" t="s">
        <v>31369</v>
      </c>
      <c r="H14049" t="s">
        <v>31378</v>
      </c>
      <c r="I14049" t="s">
        <v>31386</v>
      </c>
      <c r="J14049" t="s">
        <v>31606</v>
      </c>
      <c r="K14049" t="s">
        <v>40662</v>
      </c>
      <c r="M14049" t="s">
        <v>41307</v>
      </c>
      <c r="N14049" t="s">
        <v>44905</v>
      </c>
      <c r="O14049" t="s">
        <v>44906</v>
      </c>
      <c r="P14049">
        <v>0</v>
      </c>
      <c r="Q14049">
        <v>2</v>
      </c>
      <c r="R14049" t="s">
        <v>44924</v>
      </c>
      <c r="S14049" t="s">
        <v>45829</v>
      </c>
      <c r="T14049" t="s">
        <v>46432</v>
      </c>
      <c r="U14049" t="s">
        <v>58014</v>
      </c>
      <c r="W14049" t="s">
        <v>41307</v>
      </c>
      <c r="X14049" t="s">
        <v>44925</v>
      </c>
    </row>
    <row r="14050" spans="1:24">
      <c r="A14050">
        <f>HYPERLINK("https://www.philgeps.gov.ph/GEPSNONPILOT/Tender/SplashBidNoticeAbstractUI.aspx?menuIndex=3&amp;refID=7045767&amp;Result=3","7045767")</f>
        <v>0</v>
      </c>
      <c r="B14050" t="s">
        <v>2129</v>
      </c>
      <c r="C14050" t="s">
        <v>16969</v>
      </c>
      <c r="D14050" t="s">
        <v>18170</v>
      </c>
      <c r="E14050" t="s">
        <v>30355</v>
      </c>
      <c r="F14050" t="s">
        <v>31362</v>
      </c>
      <c r="G14050" t="s">
        <v>31369</v>
      </c>
      <c r="H14050" t="s">
        <v>15799</v>
      </c>
      <c r="I14050" t="s">
        <v>7090</v>
      </c>
      <c r="J14050" t="s">
        <v>40009</v>
      </c>
      <c r="K14050" t="s">
        <v>40665</v>
      </c>
      <c r="M14050" t="s">
        <v>43257</v>
      </c>
      <c r="N14050" t="s">
        <v>44905</v>
      </c>
      <c r="O14050" t="s">
        <v>44906</v>
      </c>
      <c r="P14050">
        <v>0</v>
      </c>
      <c r="Q14050">
        <v>3</v>
      </c>
      <c r="R14050" t="s">
        <v>44924</v>
      </c>
      <c r="S14050" t="s">
        <v>45829</v>
      </c>
      <c r="T14050" t="s">
        <v>46447</v>
      </c>
      <c r="U14050" t="s">
        <v>58118</v>
      </c>
      <c r="W14050" t="s">
        <v>43257</v>
      </c>
      <c r="X14050" t="s">
        <v>44925</v>
      </c>
    </row>
    <row r="14051" spans="1:24">
      <c r="A14051">
        <f>HYPERLINK("https://www.philgeps.gov.ph/GEPSNONPILOT/Tender/SplashBidNoticeAbstractUI.aspx?menuIndex=3&amp;refID=7045660&amp;Result=3","7045660")</f>
        <v>0</v>
      </c>
      <c r="B14051" t="s">
        <v>3431</v>
      </c>
      <c r="C14051" t="s">
        <v>16970</v>
      </c>
      <c r="D14051" t="s">
        <v>18175</v>
      </c>
      <c r="E14051" t="s">
        <v>30356</v>
      </c>
      <c r="F14051" t="s">
        <v>31362</v>
      </c>
      <c r="G14051" t="s">
        <v>31369</v>
      </c>
      <c r="H14051" t="s">
        <v>31378</v>
      </c>
      <c r="I14051" t="s">
        <v>31386</v>
      </c>
      <c r="J14051" t="s">
        <v>40010</v>
      </c>
      <c r="K14051" t="s">
        <v>40682</v>
      </c>
      <c r="M14051" t="s">
        <v>44752</v>
      </c>
      <c r="N14051" t="s">
        <v>44905</v>
      </c>
      <c r="O14051" t="s">
        <v>44906</v>
      </c>
      <c r="P14051">
        <v>0</v>
      </c>
      <c r="Q14051">
        <v>0</v>
      </c>
      <c r="R14051" t="s">
        <v>44924</v>
      </c>
      <c r="S14051" t="s">
        <v>45829</v>
      </c>
      <c r="T14051" t="s">
        <v>46410</v>
      </c>
      <c r="U14051" t="s">
        <v>58119</v>
      </c>
      <c r="W14051" t="s">
        <v>44752</v>
      </c>
      <c r="X14051" t="s">
        <v>44925</v>
      </c>
    </row>
    <row r="14052" spans="1:24">
      <c r="A14052">
        <f>HYPERLINK("https://www.philgeps.gov.ph/GEPSNONPILOT/Tender/SplashBidNoticeAbstractUI.aspx?menuIndex=3&amp;refID=7045613&amp;Result=3","7045613")</f>
        <v>0</v>
      </c>
      <c r="B14052" t="s">
        <v>360</v>
      </c>
      <c r="C14052" t="s">
        <v>16971</v>
      </c>
      <c r="D14052" t="s">
        <v>18161</v>
      </c>
      <c r="E14052" t="s">
        <v>30357</v>
      </c>
      <c r="F14052" t="s">
        <v>31362</v>
      </c>
      <c r="G14052" t="s">
        <v>31369</v>
      </c>
      <c r="H14052" t="s">
        <v>31378</v>
      </c>
      <c r="I14052" t="s">
        <v>31386</v>
      </c>
      <c r="J14052" t="s">
        <v>31615</v>
      </c>
      <c r="K14052" t="s">
        <v>40662</v>
      </c>
      <c r="M14052" t="s">
        <v>41307</v>
      </c>
      <c r="N14052" t="s">
        <v>44905</v>
      </c>
      <c r="O14052" t="s">
        <v>44906</v>
      </c>
      <c r="P14052">
        <v>0</v>
      </c>
      <c r="Q14052">
        <v>1</v>
      </c>
      <c r="R14052" t="s">
        <v>44924</v>
      </c>
      <c r="S14052" t="s">
        <v>45829</v>
      </c>
      <c r="T14052" t="s">
        <v>46432</v>
      </c>
      <c r="U14052" t="s">
        <v>58014</v>
      </c>
      <c r="W14052" t="s">
        <v>41307</v>
      </c>
      <c r="X14052" t="s">
        <v>44925</v>
      </c>
    </row>
    <row r="14053" spans="1:24">
      <c r="A14053">
        <f>HYPERLINK("https://www.philgeps.gov.ph/GEPSNONPILOT/Tender/SplashBidNoticeAbstractUI.aspx?menuIndex=3&amp;refID=7045669&amp;Result=3","7045669")</f>
        <v>0</v>
      </c>
      <c r="B14053" t="s">
        <v>72</v>
      </c>
      <c r="C14053" t="s">
        <v>16972</v>
      </c>
      <c r="D14053" t="s">
        <v>18130</v>
      </c>
      <c r="E14053" t="s">
        <v>30358</v>
      </c>
      <c r="F14053" t="s">
        <v>31362</v>
      </c>
      <c r="G14053" t="s">
        <v>31369</v>
      </c>
      <c r="H14053" t="s">
        <v>15799</v>
      </c>
      <c r="I14053" t="s">
        <v>31396</v>
      </c>
      <c r="J14053" t="s">
        <v>32296</v>
      </c>
      <c r="K14053" t="s">
        <v>40682</v>
      </c>
      <c r="M14053" t="s">
        <v>44754</v>
      </c>
      <c r="N14053" t="s">
        <v>44905</v>
      </c>
      <c r="O14053" t="s">
        <v>44906</v>
      </c>
      <c r="Q14053">
        <v>8</v>
      </c>
      <c r="R14053" t="s">
        <v>44924</v>
      </c>
      <c r="S14053" t="s">
        <v>45704</v>
      </c>
      <c r="T14053" t="s">
        <v>46525</v>
      </c>
      <c r="U14053" t="s">
        <v>58120</v>
      </c>
      <c r="W14053" t="s">
        <v>44754</v>
      </c>
      <c r="X14053" t="s">
        <v>44925</v>
      </c>
    </row>
    <row r="14054" spans="1:24">
      <c r="A14054">
        <f>HYPERLINK("https://www.philgeps.gov.ph/GEPSNONPILOT/Tender/SplashBidNoticeAbstractUI.aspx?menuIndex=3&amp;refID=7045595&amp;Result=3","7045595")</f>
        <v>0</v>
      </c>
      <c r="B14054" t="s">
        <v>1167</v>
      </c>
      <c r="C14054" t="s">
        <v>16973</v>
      </c>
      <c r="D14054" t="s">
        <v>18151</v>
      </c>
      <c r="E14054" t="s">
        <v>30359</v>
      </c>
      <c r="F14054" t="s">
        <v>31362</v>
      </c>
      <c r="G14054" t="s">
        <v>31369</v>
      </c>
      <c r="H14054" t="s">
        <v>31378</v>
      </c>
      <c r="I14054" t="s">
        <v>31386</v>
      </c>
      <c r="J14054" t="s">
        <v>32964</v>
      </c>
      <c r="K14054" t="s">
        <v>40783</v>
      </c>
      <c r="M14054" t="s">
        <v>42177</v>
      </c>
      <c r="N14054" t="s">
        <v>44905</v>
      </c>
      <c r="O14054" t="s">
        <v>44906</v>
      </c>
      <c r="P14054">
        <v>0</v>
      </c>
      <c r="Q14054">
        <v>3</v>
      </c>
      <c r="R14054" t="s">
        <v>44924</v>
      </c>
      <c r="S14054" t="s">
        <v>45829</v>
      </c>
      <c r="T14054" t="s">
        <v>46409</v>
      </c>
      <c r="U14054" t="s">
        <v>49459</v>
      </c>
      <c r="V14054" t="s">
        <v>60667</v>
      </c>
      <c r="W14054" t="s">
        <v>42177</v>
      </c>
      <c r="X14054" t="s">
        <v>44925</v>
      </c>
    </row>
    <row r="14055" spans="1:24">
      <c r="A14055">
        <f>HYPERLINK("https://www.philgeps.gov.ph/GEPSNONPILOT/Tender/SplashBidNoticeAbstractUI.aspx?menuIndex=3&amp;refID=7045574&amp;Result=3","7045574")</f>
        <v>0</v>
      </c>
      <c r="B14055" t="s">
        <v>299</v>
      </c>
      <c r="C14055" t="s">
        <v>16974</v>
      </c>
      <c r="D14055" t="s">
        <v>18108</v>
      </c>
      <c r="E14055" t="s">
        <v>30360</v>
      </c>
      <c r="F14055" t="s">
        <v>31362</v>
      </c>
      <c r="G14055" t="s">
        <v>31369</v>
      </c>
      <c r="H14055" t="s">
        <v>31378</v>
      </c>
      <c r="I14055" t="s">
        <v>31386</v>
      </c>
      <c r="J14055" t="s">
        <v>40011</v>
      </c>
      <c r="K14055" t="s">
        <v>40683</v>
      </c>
      <c r="M14055" t="s">
        <v>44299</v>
      </c>
      <c r="N14055" t="s">
        <v>44905</v>
      </c>
      <c r="O14055" t="s">
        <v>44906</v>
      </c>
      <c r="Q14055">
        <v>20</v>
      </c>
      <c r="R14055" t="s">
        <v>44924</v>
      </c>
      <c r="S14055" t="s">
        <v>45862</v>
      </c>
      <c r="T14055" t="s">
        <v>46467</v>
      </c>
      <c r="U14055" t="s">
        <v>58121</v>
      </c>
      <c r="V14055" t="s">
        <v>59741</v>
      </c>
      <c r="W14055" t="s">
        <v>44299</v>
      </c>
      <c r="X14055" t="s">
        <v>44925</v>
      </c>
    </row>
    <row r="14056" spans="1:24">
      <c r="A14056">
        <f>HYPERLINK("https://www.philgeps.gov.ph/GEPSNONPILOT/Tender/SplashBidNoticeAbstractUI.aspx?menuIndex=3&amp;refID=7045657&amp;Result=3","7045657")</f>
        <v>0</v>
      </c>
      <c r="B14056" t="s">
        <v>913</v>
      </c>
      <c r="C14056" t="s">
        <v>16975</v>
      </c>
      <c r="D14056" t="s">
        <v>18176</v>
      </c>
      <c r="E14056" t="s">
        <v>19199</v>
      </c>
      <c r="F14056" t="s">
        <v>31362</v>
      </c>
      <c r="G14056" t="s">
        <v>31369</v>
      </c>
      <c r="H14056" t="s">
        <v>15799</v>
      </c>
      <c r="I14056" t="s">
        <v>31455</v>
      </c>
      <c r="J14056" t="s">
        <v>40012</v>
      </c>
      <c r="K14056" t="s">
        <v>40681</v>
      </c>
      <c r="M14056" t="s">
        <v>41896</v>
      </c>
      <c r="N14056" t="s">
        <v>44905</v>
      </c>
      <c r="O14056" t="s">
        <v>44906</v>
      </c>
      <c r="Q14056">
        <v>3</v>
      </c>
      <c r="R14056" t="s">
        <v>44924</v>
      </c>
      <c r="S14056" t="s">
        <v>45863</v>
      </c>
      <c r="T14056" t="s">
        <v>46393</v>
      </c>
      <c r="U14056" t="s">
        <v>58122</v>
      </c>
      <c r="W14056" t="s">
        <v>41896</v>
      </c>
      <c r="X14056" t="s">
        <v>44925</v>
      </c>
    </row>
    <row r="14057" spans="1:24">
      <c r="A14057">
        <f>HYPERLINK("https://www.philgeps.gov.ph/GEPSNONPILOT/Tender/SplashBidNoticeAbstractUI.aspx?menuIndex=3&amp;refID=7045610&amp;Result=3","7045610")</f>
        <v>0</v>
      </c>
      <c r="B14057" t="s">
        <v>233</v>
      </c>
      <c r="C14057" t="s">
        <v>16976</v>
      </c>
      <c r="D14057" t="s">
        <v>18108</v>
      </c>
      <c r="E14057" t="s">
        <v>30361</v>
      </c>
      <c r="F14057" t="s">
        <v>31362</v>
      </c>
      <c r="G14057" t="s">
        <v>31369</v>
      </c>
      <c r="H14057" t="s">
        <v>15799</v>
      </c>
      <c r="I14057" t="s">
        <v>31451</v>
      </c>
      <c r="J14057" t="s">
        <v>31957</v>
      </c>
      <c r="K14057" t="s">
        <v>40662</v>
      </c>
      <c r="M14057" t="s">
        <v>44678</v>
      </c>
      <c r="N14057" t="s">
        <v>44905</v>
      </c>
      <c r="O14057" t="s">
        <v>44906</v>
      </c>
      <c r="Q14057">
        <v>12</v>
      </c>
      <c r="R14057" t="s">
        <v>44924</v>
      </c>
      <c r="S14057" t="s">
        <v>45864</v>
      </c>
      <c r="T14057" t="s">
        <v>46549</v>
      </c>
      <c r="U14057" t="s">
        <v>58123</v>
      </c>
      <c r="W14057" t="s">
        <v>44678</v>
      </c>
      <c r="X14057" t="s">
        <v>44925</v>
      </c>
    </row>
    <row r="14058" spans="1:24">
      <c r="A14058">
        <f>HYPERLINK("https://www.philgeps.gov.ph/GEPSNONPILOT/Tender/SplashBidNoticeAbstractUI.aspx?menuIndex=3&amp;refID=7045571&amp;Result=3","7045571")</f>
        <v>0</v>
      </c>
      <c r="B14058" t="s">
        <v>3431</v>
      </c>
      <c r="C14058" t="s">
        <v>16977</v>
      </c>
      <c r="D14058" t="s">
        <v>18175</v>
      </c>
      <c r="E14058" t="s">
        <v>30362</v>
      </c>
      <c r="F14058" t="s">
        <v>31362</v>
      </c>
      <c r="G14058" t="s">
        <v>31369</v>
      </c>
      <c r="H14058" t="s">
        <v>31378</v>
      </c>
      <c r="I14058" t="s">
        <v>31386</v>
      </c>
      <c r="J14058" t="s">
        <v>40013</v>
      </c>
      <c r="K14058" t="s">
        <v>40682</v>
      </c>
      <c r="M14058" t="s">
        <v>44752</v>
      </c>
      <c r="N14058" t="s">
        <v>44905</v>
      </c>
      <c r="O14058" t="s">
        <v>44906</v>
      </c>
      <c r="P14058">
        <v>0</v>
      </c>
      <c r="Q14058">
        <v>0</v>
      </c>
      <c r="R14058" t="s">
        <v>44924</v>
      </c>
      <c r="S14058" t="s">
        <v>45829</v>
      </c>
      <c r="T14058" t="s">
        <v>46410</v>
      </c>
      <c r="U14058" t="s">
        <v>58124</v>
      </c>
      <c r="W14058" t="s">
        <v>44752</v>
      </c>
      <c r="X14058" t="s">
        <v>44925</v>
      </c>
    </row>
    <row r="14059" spans="1:24">
      <c r="A14059">
        <f>HYPERLINK("https://www.philgeps.gov.ph/GEPSNONPILOT/Tender/SplashBidNoticeAbstractUI.aspx?menuIndex=3&amp;refID=7045319&amp;Result=3","7045319")</f>
        <v>0</v>
      </c>
      <c r="B14059" t="s">
        <v>111</v>
      </c>
      <c r="C14059" t="s">
        <v>16978</v>
      </c>
      <c r="D14059" t="s">
        <v>18127</v>
      </c>
      <c r="E14059" t="s">
        <v>30363</v>
      </c>
      <c r="F14059" t="s">
        <v>31362</v>
      </c>
      <c r="G14059" t="s">
        <v>31369</v>
      </c>
      <c r="H14059" t="s">
        <v>31378</v>
      </c>
      <c r="I14059" t="s">
        <v>31386</v>
      </c>
      <c r="J14059" t="s">
        <v>36377</v>
      </c>
      <c r="K14059" t="s">
        <v>40851</v>
      </c>
      <c r="M14059" t="s">
        <v>41048</v>
      </c>
      <c r="N14059" t="s">
        <v>44905</v>
      </c>
      <c r="O14059" t="s">
        <v>44906</v>
      </c>
      <c r="P14059">
        <v>0</v>
      </c>
      <c r="Q14059">
        <v>0</v>
      </c>
      <c r="R14059" t="s">
        <v>44924</v>
      </c>
      <c r="S14059" t="s">
        <v>45829</v>
      </c>
      <c r="T14059" t="s">
        <v>46409</v>
      </c>
      <c r="U14059" t="s">
        <v>57713</v>
      </c>
      <c r="W14059" t="s">
        <v>41048</v>
      </c>
      <c r="X14059" t="s">
        <v>44925</v>
      </c>
    </row>
    <row r="14060" spans="1:24">
      <c r="A14060">
        <f>HYPERLINK("https://www.philgeps.gov.ph/GEPSNONPILOT/Tender/SplashBidNoticeAbstractUI.aspx?menuIndex=3&amp;refID=7046023&amp;Result=3","7046023")</f>
        <v>0</v>
      </c>
      <c r="B14060" t="s">
        <v>182</v>
      </c>
      <c r="C14060" t="s">
        <v>16979</v>
      </c>
      <c r="D14060" t="s">
        <v>18101</v>
      </c>
      <c r="E14060" t="s">
        <v>25470</v>
      </c>
      <c r="F14060" t="s">
        <v>31362</v>
      </c>
      <c r="G14060" t="s">
        <v>31369</v>
      </c>
      <c r="H14060" t="s">
        <v>15799</v>
      </c>
      <c r="I14060" t="s">
        <v>3815</v>
      </c>
      <c r="J14060" t="s">
        <v>40014</v>
      </c>
      <c r="K14060" t="s">
        <v>40662</v>
      </c>
      <c r="M14060" t="s">
        <v>41120</v>
      </c>
      <c r="N14060" t="s">
        <v>44905</v>
      </c>
      <c r="O14060" t="s">
        <v>44906</v>
      </c>
      <c r="P14060">
        <v>0</v>
      </c>
      <c r="Q14060">
        <v>0</v>
      </c>
      <c r="R14060" t="s">
        <v>44924</v>
      </c>
      <c r="S14060" t="s">
        <v>45829</v>
      </c>
      <c r="T14060" t="s">
        <v>46434</v>
      </c>
      <c r="U14060" t="s">
        <v>58125</v>
      </c>
      <c r="W14060" t="s">
        <v>60840</v>
      </c>
      <c r="X14060" t="s">
        <v>44925</v>
      </c>
    </row>
    <row r="14061" spans="1:24">
      <c r="A14061">
        <f>HYPERLINK("https://www.philgeps.gov.ph/GEPSNONPILOT/Tender/SplashBidNoticeAbstractUI.aspx?menuIndex=3&amp;refID=7046014&amp;Result=3","7046014")</f>
        <v>0</v>
      </c>
      <c r="B14061" t="s">
        <v>3433</v>
      </c>
      <c r="C14061" t="s">
        <v>16980</v>
      </c>
      <c r="D14061" t="s">
        <v>18106</v>
      </c>
      <c r="E14061" t="s">
        <v>30364</v>
      </c>
      <c r="F14061" t="s">
        <v>31362</v>
      </c>
      <c r="G14061" t="s">
        <v>31369</v>
      </c>
      <c r="H14061" t="s">
        <v>31378</v>
      </c>
      <c r="I14061" t="s">
        <v>31386</v>
      </c>
      <c r="J14061" t="s">
        <v>40015</v>
      </c>
      <c r="K14061" t="s">
        <v>40773</v>
      </c>
      <c r="M14061" t="s">
        <v>44755</v>
      </c>
      <c r="N14061" t="s">
        <v>44905</v>
      </c>
      <c r="O14061" t="s">
        <v>44906</v>
      </c>
      <c r="P14061">
        <v>0</v>
      </c>
      <c r="Q14061">
        <v>1</v>
      </c>
      <c r="R14061" t="s">
        <v>44924</v>
      </c>
      <c r="S14061" t="s">
        <v>45829</v>
      </c>
      <c r="T14061" t="s">
        <v>46532</v>
      </c>
      <c r="U14061" t="s">
        <v>58126</v>
      </c>
      <c r="V14061" t="s">
        <v>60668</v>
      </c>
      <c r="W14061" t="s">
        <v>44755</v>
      </c>
      <c r="X14061" t="s">
        <v>44925</v>
      </c>
    </row>
    <row r="14062" spans="1:24">
      <c r="A14062">
        <f>HYPERLINK("https://www.philgeps.gov.ph/GEPSNONPILOT/Tender/SplashBidNoticeAbstractUI.aspx?menuIndex=3&amp;refID=7045674&amp;Result=3","7045674")</f>
        <v>0</v>
      </c>
      <c r="B14062" t="s">
        <v>1167</v>
      </c>
      <c r="C14062" t="s">
        <v>16981</v>
      </c>
      <c r="D14062" t="s">
        <v>18151</v>
      </c>
      <c r="E14062" t="s">
        <v>30365</v>
      </c>
      <c r="F14062" t="s">
        <v>31362</v>
      </c>
      <c r="G14062" t="s">
        <v>31369</v>
      </c>
      <c r="H14062" t="s">
        <v>31378</v>
      </c>
      <c r="I14062" t="s">
        <v>31386</v>
      </c>
      <c r="J14062" t="s">
        <v>32964</v>
      </c>
      <c r="K14062" t="s">
        <v>40783</v>
      </c>
      <c r="M14062" t="s">
        <v>42177</v>
      </c>
      <c r="N14062" t="s">
        <v>44905</v>
      </c>
      <c r="O14062" t="s">
        <v>44906</v>
      </c>
      <c r="P14062">
        <v>0</v>
      </c>
      <c r="Q14062">
        <v>2</v>
      </c>
      <c r="R14062" t="s">
        <v>44924</v>
      </c>
      <c r="S14062" t="s">
        <v>45829</v>
      </c>
      <c r="T14062" t="s">
        <v>46409</v>
      </c>
      <c r="U14062" t="s">
        <v>49459</v>
      </c>
      <c r="V14062" t="s">
        <v>60669</v>
      </c>
      <c r="W14062" t="s">
        <v>42177</v>
      </c>
      <c r="X14062" t="s">
        <v>44925</v>
      </c>
    </row>
    <row r="14063" spans="1:24">
      <c r="A14063">
        <f>HYPERLINK("https://www.philgeps.gov.ph/GEPSNONPILOT/Tender/SplashBidNoticeAbstractUI.aspx?menuIndex=3&amp;refID=7045989&amp;Result=3","7045989")</f>
        <v>0</v>
      </c>
      <c r="B14063" t="s">
        <v>3432</v>
      </c>
      <c r="C14063" t="s">
        <v>16982</v>
      </c>
      <c r="D14063" t="s">
        <v>18118</v>
      </c>
      <c r="E14063" t="s">
        <v>30366</v>
      </c>
      <c r="F14063" t="s">
        <v>31362</v>
      </c>
      <c r="G14063" t="s">
        <v>31369</v>
      </c>
      <c r="H14063" t="s">
        <v>15799</v>
      </c>
      <c r="I14063" t="s">
        <v>7719</v>
      </c>
      <c r="J14063" t="s">
        <v>40016</v>
      </c>
      <c r="K14063" t="s">
        <v>40679</v>
      </c>
      <c r="M14063" t="s">
        <v>44753</v>
      </c>
      <c r="N14063" t="s">
        <v>44905</v>
      </c>
      <c r="O14063" t="s">
        <v>44906</v>
      </c>
      <c r="Q14063">
        <v>16</v>
      </c>
      <c r="R14063" t="s">
        <v>44924</v>
      </c>
      <c r="S14063" t="s">
        <v>45865</v>
      </c>
      <c r="T14063" t="s">
        <v>46605</v>
      </c>
      <c r="U14063" t="s">
        <v>58127</v>
      </c>
      <c r="V14063" t="s">
        <v>60666</v>
      </c>
      <c r="W14063" t="s">
        <v>44753</v>
      </c>
      <c r="X14063" t="s">
        <v>44925</v>
      </c>
    </row>
    <row r="14064" spans="1:24">
      <c r="A14064">
        <f>HYPERLINK("https://www.philgeps.gov.ph/GEPSNONPILOT/Tender/SplashBidNoticeAbstractUI.aspx?menuIndex=3&amp;refID=7045560&amp;Result=3","7045560")</f>
        <v>0</v>
      </c>
      <c r="B14064" t="s">
        <v>360</v>
      </c>
      <c r="C14064" t="s">
        <v>16983</v>
      </c>
      <c r="D14064" t="s">
        <v>18161</v>
      </c>
      <c r="E14064" t="s">
        <v>30367</v>
      </c>
      <c r="F14064" t="s">
        <v>31362</v>
      </c>
      <c r="G14064" t="s">
        <v>31369</v>
      </c>
      <c r="H14064" t="s">
        <v>31378</v>
      </c>
      <c r="I14064" t="s">
        <v>31386</v>
      </c>
      <c r="J14064" t="s">
        <v>34497</v>
      </c>
      <c r="K14064" t="s">
        <v>40662</v>
      </c>
      <c r="M14064" t="s">
        <v>41307</v>
      </c>
      <c r="N14064" t="s">
        <v>44905</v>
      </c>
      <c r="O14064" t="s">
        <v>44906</v>
      </c>
      <c r="P14064">
        <v>0</v>
      </c>
      <c r="Q14064">
        <v>1</v>
      </c>
      <c r="R14064" t="s">
        <v>44924</v>
      </c>
      <c r="S14064" t="s">
        <v>45829</v>
      </c>
      <c r="T14064" t="s">
        <v>46432</v>
      </c>
      <c r="U14064" t="s">
        <v>58014</v>
      </c>
      <c r="W14064" t="s">
        <v>41307</v>
      </c>
      <c r="X14064" t="s">
        <v>44925</v>
      </c>
    </row>
    <row r="14065" spans="1:24">
      <c r="A14065">
        <f>HYPERLINK("https://www.philgeps.gov.ph/GEPSNONPILOT/Tender/SplashBidNoticeAbstractUI.aspx?menuIndex=3&amp;refID=7045596&amp;Result=3","7045596")</f>
        <v>0</v>
      </c>
      <c r="B14065" t="s">
        <v>318</v>
      </c>
      <c r="C14065" t="s">
        <v>16984</v>
      </c>
      <c r="D14065" t="s">
        <v>18131</v>
      </c>
      <c r="E14065" t="s">
        <v>30368</v>
      </c>
      <c r="F14065" t="s">
        <v>31362</v>
      </c>
      <c r="G14065" t="s">
        <v>31369</v>
      </c>
      <c r="H14065" t="s">
        <v>15799</v>
      </c>
      <c r="I14065" t="s">
        <v>7188</v>
      </c>
      <c r="J14065" t="s">
        <v>31821</v>
      </c>
      <c r="K14065" t="s">
        <v>40729</v>
      </c>
      <c r="M14065" t="s">
        <v>41263</v>
      </c>
      <c r="N14065" t="s">
        <v>44905</v>
      </c>
      <c r="O14065" t="s">
        <v>44906</v>
      </c>
      <c r="P14065">
        <v>0</v>
      </c>
      <c r="Q14065">
        <v>7</v>
      </c>
      <c r="R14065" t="s">
        <v>44924</v>
      </c>
      <c r="S14065" t="s">
        <v>45829</v>
      </c>
      <c r="T14065" t="s">
        <v>46428</v>
      </c>
      <c r="U14065" t="s">
        <v>58128</v>
      </c>
      <c r="W14065" t="s">
        <v>41263</v>
      </c>
      <c r="X14065" t="s">
        <v>44925</v>
      </c>
    </row>
    <row r="14066" spans="1:24">
      <c r="A14066">
        <f>HYPERLINK("https://www.philgeps.gov.ph/GEPSNONPILOT/Tender/SplashBidNoticeAbstractUI.aspx?menuIndex=3&amp;refID=7045968&amp;Result=3","7045968")</f>
        <v>0</v>
      </c>
      <c r="B14066" t="s">
        <v>3434</v>
      </c>
      <c r="C14066" t="s">
        <v>16985</v>
      </c>
      <c r="D14066" t="s">
        <v>18165</v>
      </c>
      <c r="E14066" t="s">
        <v>30369</v>
      </c>
      <c r="F14066" t="s">
        <v>31362</v>
      </c>
      <c r="G14066" t="s">
        <v>31369</v>
      </c>
      <c r="H14066" t="s">
        <v>15799</v>
      </c>
      <c r="I14066" t="s">
        <v>3815</v>
      </c>
      <c r="J14066" t="s">
        <v>40017</v>
      </c>
      <c r="K14066" t="s">
        <v>40666</v>
      </c>
      <c r="M14066" t="s">
        <v>44756</v>
      </c>
      <c r="N14066" t="s">
        <v>44905</v>
      </c>
      <c r="O14066" t="s">
        <v>44906</v>
      </c>
      <c r="P14066">
        <v>0</v>
      </c>
      <c r="Q14066">
        <v>2</v>
      </c>
      <c r="R14066" t="s">
        <v>44924</v>
      </c>
      <c r="S14066" t="s">
        <v>45829</v>
      </c>
      <c r="T14066" t="s">
        <v>46454</v>
      </c>
      <c r="U14066" t="s">
        <v>58129</v>
      </c>
      <c r="W14066" t="s">
        <v>44756</v>
      </c>
      <c r="X14066" t="s">
        <v>44925</v>
      </c>
    </row>
    <row r="14067" spans="1:24">
      <c r="A14067">
        <f>HYPERLINK("https://www.philgeps.gov.ph/GEPSNONPILOT/Tender/SplashBidNoticeAbstractUI.aspx?menuIndex=3&amp;refID=7045920&amp;Result=3","7045920")</f>
        <v>0</v>
      </c>
      <c r="B14067" t="s">
        <v>1748</v>
      </c>
      <c r="C14067" t="s">
        <v>16986</v>
      </c>
      <c r="D14067" t="s">
        <v>18134</v>
      </c>
      <c r="E14067" t="s">
        <v>30370</v>
      </c>
      <c r="F14067" t="s">
        <v>31362</v>
      </c>
      <c r="G14067" t="s">
        <v>31369</v>
      </c>
      <c r="H14067" t="s">
        <v>31378</v>
      </c>
      <c r="I14067" t="s">
        <v>31386</v>
      </c>
      <c r="J14067" t="s">
        <v>31957</v>
      </c>
      <c r="K14067" t="s">
        <v>40686</v>
      </c>
      <c r="M14067" t="s">
        <v>42823</v>
      </c>
      <c r="N14067" t="s">
        <v>44905</v>
      </c>
      <c r="O14067" t="s">
        <v>44906</v>
      </c>
      <c r="P14067">
        <v>0</v>
      </c>
      <c r="Q14067">
        <v>2</v>
      </c>
      <c r="R14067" t="s">
        <v>44924</v>
      </c>
      <c r="S14067" t="s">
        <v>45829</v>
      </c>
      <c r="T14067" t="s">
        <v>46411</v>
      </c>
      <c r="U14067" t="s">
        <v>58130</v>
      </c>
      <c r="V14067" t="s">
        <v>60670</v>
      </c>
      <c r="W14067" t="s">
        <v>42823</v>
      </c>
      <c r="X14067" t="s">
        <v>44925</v>
      </c>
    </row>
    <row r="14068" spans="1:24">
      <c r="A14068">
        <f>HYPERLINK("https://www.philgeps.gov.ph/GEPSNONPILOT/Tender/SplashBidNoticeAbstractUI.aspx?menuIndex=3&amp;refID=7045908&amp;Result=3","7045908")</f>
        <v>0</v>
      </c>
      <c r="B14068" t="s">
        <v>3432</v>
      </c>
      <c r="C14068" t="s">
        <v>16987</v>
      </c>
      <c r="D14068" t="s">
        <v>18118</v>
      </c>
      <c r="E14068" t="s">
        <v>30371</v>
      </c>
      <c r="F14068" t="s">
        <v>31362</v>
      </c>
      <c r="G14068" t="s">
        <v>31369</v>
      </c>
      <c r="H14068" t="s">
        <v>15799</v>
      </c>
      <c r="I14068" t="s">
        <v>7719</v>
      </c>
      <c r="J14068" t="s">
        <v>31625</v>
      </c>
      <c r="K14068" t="s">
        <v>40679</v>
      </c>
      <c r="M14068" t="s">
        <v>44753</v>
      </c>
      <c r="N14068" t="s">
        <v>44905</v>
      </c>
      <c r="O14068" t="s">
        <v>44906</v>
      </c>
      <c r="Q14068">
        <v>29</v>
      </c>
      <c r="R14068" t="s">
        <v>44924</v>
      </c>
      <c r="S14068" t="s">
        <v>45866</v>
      </c>
      <c r="T14068" t="s">
        <v>46605</v>
      </c>
      <c r="U14068" t="s">
        <v>58131</v>
      </c>
      <c r="V14068" t="s">
        <v>60666</v>
      </c>
      <c r="W14068" t="s">
        <v>44753</v>
      </c>
      <c r="X14068" t="s">
        <v>44925</v>
      </c>
    </row>
    <row r="14069" spans="1:24">
      <c r="A14069">
        <f>HYPERLINK("https://www.philgeps.gov.ph/GEPSNONPILOT/Tender/SplashBidNoticeAbstractUI.aspx?menuIndex=3&amp;refID=7045888&amp;Result=3","7045888")</f>
        <v>0</v>
      </c>
      <c r="B14069" t="s">
        <v>72</v>
      </c>
      <c r="C14069" t="s">
        <v>16988</v>
      </c>
      <c r="D14069" t="s">
        <v>18130</v>
      </c>
      <c r="E14069" t="s">
        <v>30372</v>
      </c>
      <c r="F14069" t="s">
        <v>31362</v>
      </c>
      <c r="G14069" t="s">
        <v>31369</v>
      </c>
      <c r="H14069" t="s">
        <v>15799</v>
      </c>
      <c r="I14069" t="s">
        <v>7719</v>
      </c>
      <c r="J14069" t="s">
        <v>40018</v>
      </c>
      <c r="K14069" t="s">
        <v>40682</v>
      </c>
      <c r="M14069" t="s">
        <v>44754</v>
      </c>
      <c r="N14069" t="s">
        <v>44905</v>
      </c>
      <c r="O14069" t="s">
        <v>44906</v>
      </c>
      <c r="Q14069">
        <v>29</v>
      </c>
      <c r="R14069" t="s">
        <v>44924</v>
      </c>
      <c r="S14069" t="s">
        <v>45704</v>
      </c>
      <c r="T14069" t="s">
        <v>46525</v>
      </c>
      <c r="U14069" t="s">
        <v>58132</v>
      </c>
      <c r="W14069" t="s">
        <v>44754</v>
      </c>
      <c r="X14069" t="s">
        <v>44925</v>
      </c>
    </row>
    <row r="14070" spans="1:24">
      <c r="A14070">
        <f>HYPERLINK("https://www.philgeps.gov.ph/GEPSNONPILOT/Tender/SplashBidNoticeAbstractUI.aspx?menuIndex=3&amp;refID=7045375&amp;Result=3","7045375")</f>
        <v>0</v>
      </c>
      <c r="B14070" t="s">
        <v>3435</v>
      </c>
      <c r="C14070" t="s">
        <v>16989</v>
      </c>
      <c r="D14070" t="s">
        <v>18178</v>
      </c>
      <c r="E14070" t="s">
        <v>30373</v>
      </c>
      <c r="F14070" t="s">
        <v>31362</v>
      </c>
      <c r="G14070" t="s">
        <v>31369</v>
      </c>
      <c r="H14070" t="s">
        <v>31378</v>
      </c>
      <c r="I14070" t="s">
        <v>31386</v>
      </c>
      <c r="J14070" t="s">
        <v>33868</v>
      </c>
      <c r="K14070" t="s">
        <v>40679</v>
      </c>
      <c r="M14070" t="s">
        <v>44757</v>
      </c>
      <c r="N14070" t="s">
        <v>44905</v>
      </c>
      <c r="O14070" t="s">
        <v>44906</v>
      </c>
      <c r="P14070">
        <v>0</v>
      </c>
      <c r="Q14070">
        <v>0</v>
      </c>
      <c r="R14070" t="s">
        <v>44924</v>
      </c>
      <c r="S14070" t="s">
        <v>45829</v>
      </c>
      <c r="T14070" t="s">
        <v>46411</v>
      </c>
      <c r="U14070" t="s">
        <v>58133</v>
      </c>
      <c r="W14070" t="s">
        <v>44757</v>
      </c>
      <c r="X14070" t="s">
        <v>44925</v>
      </c>
    </row>
    <row r="14071" spans="1:24">
      <c r="A14071">
        <f>HYPERLINK("https://www.philgeps.gov.ph/GEPSNONPILOT/Tender/SplashBidNoticeAbstractUI.aspx?menuIndex=3&amp;refID=7045849&amp;Result=3","7045849")</f>
        <v>0</v>
      </c>
      <c r="B14071" t="s">
        <v>1849</v>
      </c>
      <c r="C14071" t="s">
        <v>16990</v>
      </c>
      <c r="D14071" t="s">
        <v>18108</v>
      </c>
      <c r="E14071" t="s">
        <v>30374</v>
      </c>
      <c r="F14071" t="s">
        <v>31362</v>
      </c>
      <c r="G14071" t="s">
        <v>31369</v>
      </c>
      <c r="H14071" t="s">
        <v>15799</v>
      </c>
      <c r="I14071" t="s">
        <v>4942</v>
      </c>
      <c r="J14071" t="s">
        <v>31536</v>
      </c>
      <c r="K14071" t="s">
        <v>40661</v>
      </c>
      <c r="M14071" t="s">
        <v>42938</v>
      </c>
      <c r="N14071" t="s">
        <v>44905</v>
      </c>
      <c r="O14071" t="s">
        <v>44906</v>
      </c>
      <c r="P14071">
        <v>0</v>
      </c>
      <c r="Q14071">
        <v>0</v>
      </c>
      <c r="R14071" t="s">
        <v>44924</v>
      </c>
      <c r="S14071" t="s">
        <v>45829</v>
      </c>
      <c r="T14071" t="s">
        <v>46411</v>
      </c>
      <c r="U14071" t="s">
        <v>56785</v>
      </c>
      <c r="W14071" t="s">
        <v>42938</v>
      </c>
      <c r="X14071" t="s">
        <v>44925</v>
      </c>
    </row>
    <row r="14072" spans="1:24">
      <c r="A14072">
        <f>HYPERLINK("https://www.philgeps.gov.ph/GEPSNONPILOT/Tender/SplashBidNoticeAbstractUI.aspx?menuIndex=3&amp;refID=7046036&amp;Result=3","7046036")</f>
        <v>0</v>
      </c>
      <c r="B14072" t="s">
        <v>125</v>
      </c>
      <c r="C14072" t="s">
        <v>16991</v>
      </c>
      <c r="D14072" t="s">
        <v>18104</v>
      </c>
      <c r="E14072" t="s">
        <v>30375</v>
      </c>
      <c r="F14072" t="s">
        <v>31362</v>
      </c>
      <c r="G14072" t="s">
        <v>31369</v>
      </c>
      <c r="H14072" t="s">
        <v>31378</v>
      </c>
      <c r="I14072" t="s">
        <v>31386</v>
      </c>
      <c r="J14072" t="s">
        <v>40019</v>
      </c>
      <c r="K14072" t="s">
        <v>40684</v>
      </c>
      <c r="M14072" t="s">
        <v>41062</v>
      </c>
      <c r="N14072" t="s">
        <v>44905</v>
      </c>
      <c r="O14072" t="s">
        <v>44906</v>
      </c>
      <c r="P14072">
        <v>0</v>
      </c>
      <c r="Q14072">
        <v>3</v>
      </c>
      <c r="R14072" t="s">
        <v>44924</v>
      </c>
      <c r="S14072" t="s">
        <v>45829</v>
      </c>
      <c r="T14072" t="s">
        <v>46428</v>
      </c>
      <c r="U14072" t="s">
        <v>58134</v>
      </c>
      <c r="W14072" t="s">
        <v>41062</v>
      </c>
      <c r="X14072" t="s">
        <v>44925</v>
      </c>
    </row>
    <row r="14073" spans="1:24">
      <c r="A14073">
        <f>HYPERLINK("https://www.philgeps.gov.ph/GEPSNONPILOT/Tender/SplashBidNoticeAbstractUI.aspx?menuIndex=3&amp;refID=7045980&amp;Result=3","7045980")</f>
        <v>0</v>
      </c>
      <c r="B14073" t="s">
        <v>444</v>
      </c>
      <c r="C14073" t="s">
        <v>16992</v>
      </c>
      <c r="D14073" t="s">
        <v>18146</v>
      </c>
      <c r="E14073" t="s">
        <v>30376</v>
      </c>
      <c r="F14073" t="s">
        <v>31362</v>
      </c>
      <c r="G14073" t="s">
        <v>31369</v>
      </c>
      <c r="H14073" t="s">
        <v>31378</v>
      </c>
      <c r="I14073" t="s">
        <v>31386</v>
      </c>
      <c r="J14073" t="s">
        <v>31591</v>
      </c>
      <c r="K14073" t="s">
        <v>40676</v>
      </c>
      <c r="M14073" t="s">
        <v>41397</v>
      </c>
      <c r="N14073" t="s">
        <v>44905</v>
      </c>
      <c r="O14073" t="s">
        <v>44906</v>
      </c>
      <c r="P14073">
        <v>0</v>
      </c>
      <c r="Q14073">
        <v>0</v>
      </c>
      <c r="R14073" t="s">
        <v>44924</v>
      </c>
      <c r="S14073" t="s">
        <v>45829</v>
      </c>
      <c r="T14073" t="s">
        <v>46409</v>
      </c>
      <c r="U14073" t="s">
        <v>58135</v>
      </c>
      <c r="W14073" t="s">
        <v>41397</v>
      </c>
      <c r="X14073" t="s">
        <v>44925</v>
      </c>
    </row>
    <row r="14074" spans="1:24">
      <c r="A14074">
        <f>HYPERLINK("https://www.philgeps.gov.ph/GEPSNONPILOT/Tender/SplashBidNoticeAbstractUI.aspx?menuIndex=3&amp;refID=7046177&amp;Result=3","7046177")</f>
        <v>0</v>
      </c>
      <c r="B14074" t="s">
        <v>3436</v>
      </c>
      <c r="C14074" t="s">
        <v>16993</v>
      </c>
      <c r="D14074" t="s">
        <v>18134</v>
      </c>
      <c r="E14074" t="s">
        <v>19162</v>
      </c>
      <c r="F14074" t="s">
        <v>31362</v>
      </c>
      <c r="G14074" t="s">
        <v>31369</v>
      </c>
      <c r="H14074" t="s">
        <v>15799</v>
      </c>
      <c r="I14074" t="s">
        <v>31409</v>
      </c>
      <c r="J14074" t="s">
        <v>38413</v>
      </c>
      <c r="K14074" t="s">
        <v>40679</v>
      </c>
      <c r="M14074" t="s">
        <v>44758</v>
      </c>
      <c r="N14074" t="s">
        <v>44905</v>
      </c>
      <c r="O14074" t="s">
        <v>44906</v>
      </c>
      <c r="P14074">
        <v>0</v>
      </c>
      <c r="Q14074">
        <v>5</v>
      </c>
      <c r="R14074" t="s">
        <v>44924</v>
      </c>
      <c r="S14074" t="s">
        <v>45829</v>
      </c>
      <c r="T14074" t="s">
        <v>46432</v>
      </c>
      <c r="U14074" t="s">
        <v>58136</v>
      </c>
      <c r="W14074" t="s">
        <v>44758</v>
      </c>
      <c r="X14074" t="s">
        <v>44925</v>
      </c>
    </row>
    <row r="14075" spans="1:24">
      <c r="A14075">
        <f>HYPERLINK("https://www.philgeps.gov.ph/GEPSNONPILOT/Tender/SplashBidNoticeAbstractUI.aspx?menuIndex=3&amp;refID=7046171&amp;Result=3","7046171")</f>
        <v>0</v>
      </c>
      <c r="B14075" t="s">
        <v>1748</v>
      </c>
      <c r="C14075" t="s">
        <v>16994</v>
      </c>
      <c r="D14075" t="s">
        <v>18134</v>
      </c>
      <c r="E14075" t="s">
        <v>30377</v>
      </c>
      <c r="F14075" t="s">
        <v>31362</v>
      </c>
      <c r="G14075" t="s">
        <v>31369</v>
      </c>
      <c r="H14075" t="s">
        <v>31378</v>
      </c>
      <c r="I14075" t="s">
        <v>31386</v>
      </c>
      <c r="J14075" t="s">
        <v>31578</v>
      </c>
      <c r="K14075" t="s">
        <v>40696</v>
      </c>
      <c r="M14075" t="s">
        <v>42823</v>
      </c>
      <c r="N14075" t="s">
        <v>44905</v>
      </c>
      <c r="O14075" t="s">
        <v>44906</v>
      </c>
      <c r="P14075">
        <v>0</v>
      </c>
      <c r="Q14075">
        <v>0</v>
      </c>
      <c r="R14075" t="s">
        <v>44924</v>
      </c>
      <c r="S14075" t="s">
        <v>45829</v>
      </c>
      <c r="T14075" t="s">
        <v>46411</v>
      </c>
      <c r="U14075" t="s">
        <v>58137</v>
      </c>
      <c r="V14075" t="s">
        <v>60102</v>
      </c>
      <c r="W14075" t="s">
        <v>42823</v>
      </c>
      <c r="X14075" t="s">
        <v>44925</v>
      </c>
    </row>
    <row r="14076" spans="1:24">
      <c r="A14076">
        <f>HYPERLINK("https://www.philgeps.gov.ph/GEPSNONPILOT/Tender/SplashBidNoticeAbstractUI.aspx?menuIndex=3&amp;refID=7046163&amp;Result=3","7046163")</f>
        <v>0</v>
      </c>
      <c r="B14076" t="s">
        <v>3432</v>
      </c>
      <c r="C14076" t="s">
        <v>16995</v>
      </c>
      <c r="D14076" t="s">
        <v>18118</v>
      </c>
      <c r="E14076" t="s">
        <v>30378</v>
      </c>
      <c r="F14076" t="s">
        <v>31362</v>
      </c>
      <c r="G14076" t="s">
        <v>31369</v>
      </c>
      <c r="H14076" t="s">
        <v>15799</v>
      </c>
      <c r="I14076" t="s">
        <v>7719</v>
      </c>
      <c r="J14076" t="s">
        <v>40020</v>
      </c>
      <c r="K14076" t="s">
        <v>40679</v>
      </c>
      <c r="M14076" t="s">
        <v>44753</v>
      </c>
      <c r="N14076" t="s">
        <v>44905</v>
      </c>
      <c r="O14076" t="s">
        <v>44906</v>
      </c>
      <c r="Q14076">
        <v>8</v>
      </c>
      <c r="R14076" t="s">
        <v>44924</v>
      </c>
      <c r="S14076" t="s">
        <v>45067</v>
      </c>
      <c r="T14076" t="s">
        <v>46605</v>
      </c>
      <c r="U14076" t="s">
        <v>58138</v>
      </c>
      <c r="V14076" t="s">
        <v>60666</v>
      </c>
      <c r="W14076" t="s">
        <v>44753</v>
      </c>
      <c r="X14076" t="s">
        <v>44925</v>
      </c>
    </row>
    <row r="14077" spans="1:24">
      <c r="A14077">
        <f>HYPERLINK("https://www.philgeps.gov.ph/GEPSNONPILOT/Tender/SplashBidNoticeAbstractUI.aspx?menuIndex=3&amp;refID=7046162&amp;Result=3","7046162")</f>
        <v>0</v>
      </c>
      <c r="B14077" t="s">
        <v>2129</v>
      </c>
      <c r="C14077" t="s">
        <v>16996</v>
      </c>
      <c r="D14077" t="s">
        <v>18170</v>
      </c>
      <c r="E14077" t="s">
        <v>30379</v>
      </c>
      <c r="F14077" t="s">
        <v>31362</v>
      </c>
      <c r="G14077" t="s">
        <v>31369</v>
      </c>
      <c r="H14077" t="s">
        <v>15799</v>
      </c>
      <c r="I14077" t="s">
        <v>31385</v>
      </c>
      <c r="J14077" t="s">
        <v>40021</v>
      </c>
      <c r="K14077" t="s">
        <v>40665</v>
      </c>
      <c r="M14077" t="s">
        <v>43257</v>
      </c>
      <c r="N14077" t="s">
        <v>44905</v>
      </c>
      <c r="O14077" t="s">
        <v>44906</v>
      </c>
      <c r="P14077">
        <v>0</v>
      </c>
      <c r="Q14077">
        <v>0</v>
      </c>
      <c r="R14077" t="s">
        <v>44924</v>
      </c>
      <c r="S14077" t="s">
        <v>45829</v>
      </c>
      <c r="T14077" t="s">
        <v>46447</v>
      </c>
      <c r="U14077" t="s">
        <v>58139</v>
      </c>
      <c r="W14077" t="s">
        <v>43257</v>
      </c>
      <c r="X14077" t="s">
        <v>44925</v>
      </c>
    </row>
    <row r="14078" spans="1:24">
      <c r="A14078">
        <f>HYPERLINK("https://www.philgeps.gov.ph/GEPSNONPILOT/Tender/SplashBidNoticeAbstractUI.aspx?menuIndex=3&amp;refID=7046157&amp;Result=3","7046157")</f>
        <v>0</v>
      </c>
      <c r="B14078" t="s">
        <v>482</v>
      </c>
      <c r="C14078" t="s">
        <v>16997</v>
      </c>
      <c r="D14078" t="s">
        <v>18108</v>
      </c>
      <c r="E14078" t="s">
        <v>30380</v>
      </c>
      <c r="F14078" t="s">
        <v>31362</v>
      </c>
      <c r="G14078" t="s">
        <v>31369</v>
      </c>
      <c r="H14078" t="s">
        <v>15799</v>
      </c>
      <c r="I14078" t="s">
        <v>31440</v>
      </c>
      <c r="J14078" t="s">
        <v>39733</v>
      </c>
      <c r="K14078" t="s">
        <v>40665</v>
      </c>
      <c r="M14078" t="s">
        <v>44759</v>
      </c>
      <c r="N14078" t="s">
        <v>44905</v>
      </c>
      <c r="O14078" t="s">
        <v>44906</v>
      </c>
      <c r="Q14078">
        <v>2</v>
      </c>
      <c r="R14078" t="s">
        <v>44924</v>
      </c>
      <c r="S14078" t="s">
        <v>45867</v>
      </c>
      <c r="T14078" t="s">
        <v>46393</v>
      </c>
      <c r="U14078" t="s">
        <v>58140</v>
      </c>
      <c r="W14078" t="s">
        <v>44759</v>
      </c>
      <c r="X14078" t="s">
        <v>44925</v>
      </c>
    </row>
    <row r="14079" spans="1:24">
      <c r="A14079">
        <f>HYPERLINK("https://www.philgeps.gov.ph/GEPSNONPILOT/Tender/SplashBidNoticeAbstractUI.aspx?menuIndex=3&amp;refID=7045990&amp;Result=3","7045990")</f>
        <v>0</v>
      </c>
      <c r="B14079" t="s">
        <v>2706</v>
      </c>
      <c r="C14079" t="s">
        <v>3918</v>
      </c>
      <c r="D14079" t="s">
        <v>18104</v>
      </c>
      <c r="E14079" t="s">
        <v>19063</v>
      </c>
      <c r="F14079" t="s">
        <v>31363</v>
      </c>
      <c r="G14079" t="s">
        <v>31369</v>
      </c>
      <c r="H14079" t="s">
        <v>15799</v>
      </c>
      <c r="I14079" t="s">
        <v>31385</v>
      </c>
      <c r="J14079" t="s">
        <v>40022</v>
      </c>
      <c r="K14079" t="s">
        <v>40661</v>
      </c>
      <c r="M14079" t="s">
        <v>43892</v>
      </c>
      <c r="N14079" t="s">
        <v>44905</v>
      </c>
      <c r="O14079" t="s">
        <v>44906</v>
      </c>
      <c r="P14079">
        <v>0</v>
      </c>
      <c r="Q14079">
        <v>4</v>
      </c>
      <c r="R14079" t="s">
        <v>44924</v>
      </c>
      <c r="S14079" t="s">
        <v>45829</v>
      </c>
      <c r="T14079" t="s">
        <v>46447</v>
      </c>
      <c r="U14079" t="s">
        <v>58141</v>
      </c>
      <c r="V14079" t="s">
        <v>60671</v>
      </c>
      <c r="W14079" t="s">
        <v>43892</v>
      </c>
      <c r="X14079" t="s">
        <v>44925</v>
      </c>
    </row>
    <row r="14080" spans="1:24">
      <c r="A14080">
        <f>HYPERLINK("https://www.philgeps.gov.ph/GEPSNONPILOT/Tender/SplashBidNoticeAbstractUI.aspx?menuIndex=3&amp;refID=7046146&amp;Result=3","7046146")</f>
        <v>0</v>
      </c>
      <c r="B14080" t="s">
        <v>1222</v>
      </c>
      <c r="C14080" t="s">
        <v>16998</v>
      </c>
      <c r="D14080" t="s">
        <v>18141</v>
      </c>
      <c r="E14080" t="s">
        <v>30381</v>
      </c>
      <c r="F14080" t="s">
        <v>31362</v>
      </c>
      <c r="G14080" t="s">
        <v>31369</v>
      </c>
      <c r="H14080" t="s">
        <v>31377</v>
      </c>
      <c r="I14080" t="s">
        <v>31377</v>
      </c>
      <c r="J14080" t="s">
        <v>31542</v>
      </c>
      <c r="K14080" t="s">
        <v>40679</v>
      </c>
      <c r="M14080" t="s">
        <v>42236</v>
      </c>
      <c r="N14080" t="s">
        <v>44905</v>
      </c>
      <c r="O14080" t="s">
        <v>44906</v>
      </c>
      <c r="P14080">
        <v>0</v>
      </c>
      <c r="Q14080">
        <v>11</v>
      </c>
      <c r="R14080" t="s">
        <v>44924</v>
      </c>
      <c r="S14080" t="s">
        <v>45829</v>
      </c>
      <c r="T14080" t="s">
        <v>46549</v>
      </c>
      <c r="U14080" t="s">
        <v>58142</v>
      </c>
      <c r="W14080" t="s">
        <v>42236</v>
      </c>
      <c r="X14080" t="s">
        <v>44925</v>
      </c>
    </row>
    <row r="14081" spans="1:24">
      <c r="A14081">
        <f>HYPERLINK("https://www.philgeps.gov.ph/GEPSNONPILOT/Tender/SplashBidNoticeAbstractUI.aspx?menuIndex=3&amp;refID=7046159&amp;Result=3","7046159")</f>
        <v>0</v>
      </c>
      <c r="B14081" t="s">
        <v>2224</v>
      </c>
      <c r="C14081" t="s">
        <v>16999</v>
      </c>
      <c r="D14081" t="s">
        <v>18136</v>
      </c>
      <c r="E14081" t="s">
        <v>30382</v>
      </c>
      <c r="F14081" t="s">
        <v>31362</v>
      </c>
      <c r="G14081" t="s">
        <v>31369</v>
      </c>
      <c r="H14081" t="s">
        <v>15799</v>
      </c>
      <c r="I14081" t="s">
        <v>31409</v>
      </c>
      <c r="J14081" t="s">
        <v>40023</v>
      </c>
      <c r="K14081" t="s">
        <v>40682</v>
      </c>
      <c r="M14081" t="s">
        <v>43358</v>
      </c>
      <c r="N14081" t="s">
        <v>44905</v>
      </c>
      <c r="O14081" t="s">
        <v>44906</v>
      </c>
      <c r="P14081">
        <v>0</v>
      </c>
      <c r="Q14081">
        <v>5</v>
      </c>
      <c r="R14081" t="s">
        <v>44924</v>
      </c>
      <c r="S14081" t="s">
        <v>45829</v>
      </c>
      <c r="T14081" t="s">
        <v>46435</v>
      </c>
      <c r="U14081" t="s">
        <v>58143</v>
      </c>
      <c r="V14081" t="s">
        <v>59845</v>
      </c>
      <c r="W14081" t="s">
        <v>43358</v>
      </c>
      <c r="X14081" t="s">
        <v>44925</v>
      </c>
    </row>
    <row r="14082" spans="1:24">
      <c r="A14082">
        <f>HYPERLINK("https://www.philgeps.gov.ph/GEPSNONPILOT/Tender/SplashBidNoticeAbstractUI.aspx?menuIndex=3&amp;refID=7046129&amp;Result=3","7046129")</f>
        <v>0</v>
      </c>
      <c r="B14082" t="s">
        <v>1645</v>
      </c>
      <c r="C14082" t="s">
        <v>17000</v>
      </c>
      <c r="D14082" t="s">
        <v>18114</v>
      </c>
      <c r="E14082" t="s">
        <v>30383</v>
      </c>
      <c r="F14082" t="s">
        <v>31362</v>
      </c>
      <c r="G14082" t="s">
        <v>31369</v>
      </c>
      <c r="H14082" t="s">
        <v>31378</v>
      </c>
      <c r="I14082" t="s">
        <v>31386</v>
      </c>
      <c r="J14082" t="s">
        <v>40024</v>
      </c>
      <c r="K14082" t="s">
        <v>40794</v>
      </c>
      <c r="M14082" t="s">
        <v>42710</v>
      </c>
      <c r="N14082" t="s">
        <v>44905</v>
      </c>
      <c r="O14082" t="s">
        <v>44906</v>
      </c>
      <c r="P14082">
        <v>0</v>
      </c>
      <c r="Q14082">
        <v>1</v>
      </c>
      <c r="R14082" t="s">
        <v>44924</v>
      </c>
      <c r="S14082" t="s">
        <v>45829</v>
      </c>
      <c r="T14082" t="s">
        <v>46410</v>
      </c>
      <c r="U14082" t="s">
        <v>58144</v>
      </c>
      <c r="W14082" t="s">
        <v>42710</v>
      </c>
      <c r="X14082" t="s">
        <v>44925</v>
      </c>
    </row>
    <row r="14083" spans="1:24">
      <c r="A14083">
        <f>HYPERLINK("https://www.philgeps.gov.ph/GEPSNONPILOT/Tender/SplashBidNoticeAbstractUI.aspx?menuIndex=3&amp;refID=7046135&amp;Result=3","7046135")</f>
        <v>0</v>
      </c>
      <c r="B14083" t="s">
        <v>72</v>
      </c>
      <c r="C14083" t="s">
        <v>17001</v>
      </c>
      <c r="D14083" t="s">
        <v>18130</v>
      </c>
      <c r="E14083" t="s">
        <v>30384</v>
      </c>
      <c r="F14083" t="s">
        <v>31362</v>
      </c>
      <c r="G14083" t="s">
        <v>31369</v>
      </c>
      <c r="H14083" t="s">
        <v>15799</v>
      </c>
      <c r="I14083" t="s">
        <v>7719</v>
      </c>
      <c r="J14083" t="s">
        <v>31606</v>
      </c>
      <c r="K14083" t="s">
        <v>40682</v>
      </c>
      <c r="M14083" t="s">
        <v>44754</v>
      </c>
      <c r="N14083" t="s">
        <v>44905</v>
      </c>
      <c r="O14083" t="s">
        <v>44906</v>
      </c>
      <c r="Q14083">
        <v>26</v>
      </c>
      <c r="R14083" t="s">
        <v>44924</v>
      </c>
      <c r="S14083" t="s">
        <v>45868</v>
      </c>
      <c r="T14083" t="s">
        <v>46525</v>
      </c>
      <c r="U14083" t="s">
        <v>58145</v>
      </c>
      <c r="W14083" t="s">
        <v>44754</v>
      </c>
      <c r="X14083" t="s">
        <v>44925</v>
      </c>
    </row>
    <row r="14084" spans="1:24">
      <c r="A14084">
        <f>HYPERLINK("https://www.philgeps.gov.ph/GEPSNONPILOT/Tender/SplashBidNoticeAbstractUI.aspx?menuIndex=3&amp;refID=7045892&amp;Result=3","7045892")</f>
        <v>0</v>
      </c>
      <c r="B14084" t="s">
        <v>742</v>
      </c>
      <c r="C14084" t="s">
        <v>17002</v>
      </c>
      <c r="D14084" t="s">
        <v>18109</v>
      </c>
      <c r="E14084" t="s">
        <v>30385</v>
      </c>
      <c r="F14084" t="s">
        <v>31362</v>
      </c>
      <c r="G14084" t="s">
        <v>31369</v>
      </c>
      <c r="H14084" t="s">
        <v>31378</v>
      </c>
      <c r="I14084" t="s">
        <v>31386</v>
      </c>
      <c r="J14084" t="s">
        <v>33482</v>
      </c>
      <c r="K14084" t="s">
        <v>40679</v>
      </c>
      <c r="M14084" t="s">
        <v>44689</v>
      </c>
      <c r="N14084" t="s">
        <v>44905</v>
      </c>
      <c r="O14084" t="s">
        <v>44906</v>
      </c>
      <c r="Q14084">
        <v>3</v>
      </c>
      <c r="R14084" t="s">
        <v>44924</v>
      </c>
      <c r="S14084" t="s">
        <v>45869</v>
      </c>
      <c r="T14084" t="s">
        <v>46440</v>
      </c>
      <c r="U14084" t="s">
        <v>58146</v>
      </c>
      <c r="V14084" t="s">
        <v>60672</v>
      </c>
      <c r="W14084" t="s">
        <v>44689</v>
      </c>
      <c r="X14084" t="s">
        <v>44925</v>
      </c>
    </row>
    <row r="14085" spans="1:24">
      <c r="A14085">
        <f>HYPERLINK("https://www.philgeps.gov.ph/GEPSNONPILOT/Tender/SplashBidNoticeAbstractUI.aspx?menuIndex=3&amp;refID=7046109&amp;Result=3","7046109")</f>
        <v>0</v>
      </c>
      <c r="B14085" t="s">
        <v>1645</v>
      </c>
      <c r="C14085" t="s">
        <v>17003</v>
      </c>
      <c r="D14085" t="s">
        <v>18114</v>
      </c>
      <c r="E14085" t="s">
        <v>30386</v>
      </c>
      <c r="F14085" t="s">
        <v>31362</v>
      </c>
      <c r="G14085" t="s">
        <v>31369</v>
      </c>
      <c r="H14085" t="s">
        <v>31378</v>
      </c>
      <c r="I14085" t="s">
        <v>31386</v>
      </c>
      <c r="J14085" t="s">
        <v>40025</v>
      </c>
      <c r="K14085" t="s">
        <v>40708</v>
      </c>
      <c r="M14085" t="s">
        <v>42710</v>
      </c>
      <c r="N14085" t="s">
        <v>44905</v>
      </c>
      <c r="O14085" t="s">
        <v>44906</v>
      </c>
      <c r="P14085">
        <v>0</v>
      </c>
      <c r="Q14085">
        <v>1</v>
      </c>
      <c r="R14085" t="s">
        <v>44924</v>
      </c>
      <c r="S14085" t="s">
        <v>45829</v>
      </c>
      <c r="T14085" t="s">
        <v>46410</v>
      </c>
      <c r="U14085" t="s">
        <v>58144</v>
      </c>
      <c r="W14085" t="s">
        <v>42710</v>
      </c>
      <c r="X14085" t="s">
        <v>44925</v>
      </c>
    </row>
    <row r="14086" spans="1:24">
      <c r="A14086">
        <f>HYPERLINK("https://www.philgeps.gov.ph/GEPSNONPILOT/Tender/SplashBidNoticeAbstractUI.aspx?menuIndex=3&amp;refID=7046084&amp;Result=3","7046084")</f>
        <v>0</v>
      </c>
      <c r="B14086" t="s">
        <v>3432</v>
      </c>
      <c r="C14086" t="s">
        <v>17004</v>
      </c>
      <c r="D14086" t="s">
        <v>18118</v>
      </c>
      <c r="E14086" t="s">
        <v>30387</v>
      </c>
      <c r="F14086" t="s">
        <v>31362</v>
      </c>
      <c r="G14086" t="s">
        <v>31369</v>
      </c>
      <c r="H14086" t="s">
        <v>15799</v>
      </c>
      <c r="I14086" t="s">
        <v>7719</v>
      </c>
      <c r="J14086" t="s">
        <v>31586</v>
      </c>
      <c r="K14086" t="s">
        <v>40679</v>
      </c>
      <c r="M14086" t="s">
        <v>44753</v>
      </c>
      <c r="N14086" t="s">
        <v>44905</v>
      </c>
      <c r="O14086" t="s">
        <v>44906</v>
      </c>
      <c r="Q14086">
        <v>8</v>
      </c>
      <c r="R14086" t="s">
        <v>44924</v>
      </c>
      <c r="S14086" t="s">
        <v>45273</v>
      </c>
      <c r="T14086" t="s">
        <v>46605</v>
      </c>
      <c r="U14086" t="s">
        <v>58147</v>
      </c>
      <c r="V14086" t="s">
        <v>60666</v>
      </c>
      <c r="W14086" t="s">
        <v>44753</v>
      </c>
      <c r="X14086" t="s">
        <v>44925</v>
      </c>
    </row>
    <row r="14087" spans="1:24">
      <c r="A14087">
        <f>HYPERLINK("https://www.philgeps.gov.ph/GEPSNONPILOT/Tender/SplashBidNoticeAbstractUI.aspx?menuIndex=3&amp;refID=7045879&amp;Result=3","7045879")</f>
        <v>0</v>
      </c>
      <c r="B14087" t="s">
        <v>2202</v>
      </c>
      <c r="C14087" t="s">
        <v>17005</v>
      </c>
      <c r="D14087" t="s">
        <v>18105</v>
      </c>
      <c r="E14087" t="s">
        <v>30388</v>
      </c>
      <c r="F14087" t="s">
        <v>31362</v>
      </c>
      <c r="G14087" t="s">
        <v>31369</v>
      </c>
      <c r="H14087" t="s">
        <v>15799</v>
      </c>
      <c r="I14087" t="s">
        <v>3815</v>
      </c>
      <c r="J14087" t="s">
        <v>40026</v>
      </c>
      <c r="K14087" t="s">
        <v>40682</v>
      </c>
      <c r="M14087" t="s">
        <v>43333</v>
      </c>
      <c r="N14087" t="s">
        <v>44905</v>
      </c>
      <c r="O14087" t="s">
        <v>44906</v>
      </c>
      <c r="P14087">
        <v>0</v>
      </c>
      <c r="Q14087">
        <v>0</v>
      </c>
      <c r="R14087" t="s">
        <v>44924</v>
      </c>
      <c r="S14087" t="s">
        <v>45829</v>
      </c>
      <c r="T14087" t="s">
        <v>46411</v>
      </c>
      <c r="U14087" t="s">
        <v>58148</v>
      </c>
      <c r="W14087" t="s">
        <v>43333</v>
      </c>
      <c r="X14087" t="s">
        <v>44925</v>
      </c>
    </row>
    <row r="14088" spans="1:24">
      <c r="A14088">
        <f>HYPERLINK("https://www.philgeps.gov.ph/GEPSNONPILOT/Tender/SplashBidNoticeAbstractUI.aspx?menuIndex=3&amp;refID=7046073&amp;Result=3","7046073")</f>
        <v>0</v>
      </c>
      <c r="B14088" t="s">
        <v>1748</v>
      </c>
      <c r="C14088" t="s">
        <v>17006</v>
      </c>
      <c r="D14088" t="s">
        <v>18134</v>
      </c>
      <c r="E14088" t="s">
        <v>30389</v>
      </c>
      <c r="F14088" t="s">
        <v>31362</v>
      </c>
      <c r="G14088" t="s">
        <v>31369</v>
      </c>
      <c r="H14088" t="s">
        <v>31378</v>
      </c>
      <c r="I14088" t="s">
        <v>31386</v>
      </c>
      <c r="J14088" t="s">
        <v>40027</v>
      </c>
      <c r="K14088" t="s">
        <v>40682</v>
      </c>
      <c r="M14088" t="s">
        <v>42823</v>
      </c>
      <c r="N14088" t="s">
        <v>44905</v>
      </c>
      <c r="O14088" t="s">
        <v>44906</v>
      </c>
      <c r="Q14088">
        <v>1</v>
      </c>
      <c r="R14088" t="s">
        <v>44924</v>
      </c>
      <c r="S14088" t="s">
        <v>45870</v>
      </c>
      <c r="T14088" t="s">
        <v>46411</v>
      </c>
      <c r="U14088" t="s">
        <v>58149</v>
      </c>
      <c r="V14088" t="s">
        <v>60673</v>
      </c>
      <c r="W14088" t="s">
        <v>42823</v>
      </c>
      <c r="X14088" t="s">
        <v>44925</v>
      </c>
    </row>
    <row r="14089" spans="1:24">
      <c r="A14089">
        <f>HYPERLINK("https://www.philgeps.gov.ph/GEPSNONPILOT/Tender/SplashBidNoticeAbstractUI.aspx?menuIndex=3&amp;refID=7046065&amp;Result=3","7046065")</f>
        <v>0</v>
      </c>
      <c r="B14089" t="s">
        <v>2129</v>
      </c>
      <c r="C14089" t="s">
        <v>17007</v>
      </c>
      <c r="D14089" t="s">
        <v>18170</v>
      </c>
      <c r="E14089" t="s">
        <v>30390</v>
      </c>
      <c r="F14089" t="s">
        <v>31362</v>
      </c>
      <c r="G14089" t="s">
        <v>31369</v>
      </c>
      <c r="H14089" t="s">
        <v>15799</v>
      </c>
      <c r="I14089" t="s">
        <v>31397</v>
      </c>
      <c r="J14089" t="s">
        <v>31564</v>
      </c>
      <c r="K14089" t="s">
        <v>40665</v>
      </c>
      <c r="M14089" t="s">
        <v>43257</v>
      </c>
      <c r="N14089" t="s">
        <v>44905</v>
      </c>
      <c r="O14089" t="s">
        <v>44906</v>
      </c>
      <c r="P14089">
        <v>0</v>
      </c>
      <c r="Q14089">
        <v>1</v>
      </c>
      <c r="R14089" t="s">
        <v>44924</v>
      </c>
      <c r="S14089" t="s">
        <v>45829</v>
      </c>
      <c r="T14089" t="s">
        <v>46447</v>
      </c>
      <c r="U14089" t="s">
        <v>58150</v>
      </c>
      <c r="W14089" t="s">
        <v>43257</v>
      </c>
      <c r="X14089" t="s">
        <v>44925</v>
      </c>
    </row>
    <row r="14090" spans="1:24">
      <c r="A14090">
        <f>HYPERLINK("https://www.philgeps.gov.ph/GEPSNONPILOT/Tender/SplashBidNoticeAbstractUI.aspx?menuIndex=3&amp;refID=7046126&amp;Result=3","7046126")</f>
        <v>0</v>
      </c>
      <c r="B14090" t="s">
        <v>2129</v>
      </c>
      <c r="C14090" t="s">
        <v>17008</v>
      </c>
      <c r="D14090" t="s">
        <v>18170</v>
      </c>
      <c r="E14090" t="s">
        <v>30379</v>
      </c>
      <c r="F14090" t="s">
        <v>31362</v>
      </c>
      <c r="G14090" t="s">
        <v>31369</v>
      </c>
      <c r="H14090" t="s">
        <v>15799</v>
      </c>
      <c r="I14090" t="s">
        <v>4057</v>
      </c>
      <c r="J14090" t="s">
        <v>33827</v>
      </c>
      <c r="K14090" t="s">
        <v>40665</v>
      </c>
      <c r="M14090" t="s">
        <v>43257</v>
      </c>
      <c r="N14090" t="s">
        <v>44905</v>
      </c>
      <c r="O14090" t="s">
        <v>44906</v>
      </c>
      <c r="P14090">
        <v>0</v>
      </c>
      <c r="Q14090">
        <v>0</v>
      </c>
      <c r="R14090" t="s">
        <v>44924</v>
      </c>
      <c r="S14090" t="s">
        <v>45829</v>
      </c>
      <c r="T14090" t="s">
        <v>46447</v>
      </c>
      <c r="U14090" t="s">
        <v>58139</v>
      </c>
      <c r="W14090" t="s">
        <v>43257</v>
      </c>
      <c r="X14090" t="s">
        <v>44925</v>
      </c>
    </row>
    <row r="14091" spans="1:24">
      <c r="A14091">
        <f>HYPERLINK("https://www.philgeps.gov.ph/GEPSNONPILOT/Tender/SplashBidNoticeAbstractUI.aspx?menuIndex=3&amp;refID=7046141&amp;Result=3","7046141")</f>
        <v>0</v>
      </c>
      <c r="B14091" t="s">
        <v>1322</v>
      </c>
      <c r="C14091" t="s">
        <v>17009</v>
      </c>
      <c r="D14091" t="s">
        <v>18125</v>
      </c>
      <c r="E14091" t="s">
        <v>30391</v>
      </c>
      <c r="F14091" t="s">
        <v>31362</v>
      </c>
      <c r="G14091" t="s">
        <v>31369</v>
      </c>
      <c r="H14091" t="s">
        <v>31378</v>
      </c>
      <c r="I14091" t="s">
        <v>31386</v>
      </c>
      <c r="J14091" t="s">
        <v>32877</v>
      </c>
      <c r="K14091" t="s">
        <v>40746</v>
      </c>
      <c r="M14091" t="s">
        <v>42340</v>
      </c>
      <c r="N14091" t="s">
        <v>44905</v>
      </c>
      <c r="O14091" t="s">
        <v>44906</v>
      </c>
      <c r="P14091">
        <v>0</v>
      </c>
      <c r="Q14091">
        <v>5</v>
      </c>
      <c r="R14091" t="s">
        <v>44924</v>
      </c>
      <c r="S14091" t="s">
        <v>45829</v>
      </c>
      <c r="T14091" t="s">
        <v>46409</v>
      </c>
      <c r="U14091" t="s">
        <v>58151</v>
      </c>
      <c r="W14091" t="s">
        <v>42340</v>
      </c>
      <c r="X14091" t="s">
        <v>44925</v>
      </c>
    </row>
    <row r="14092" spans="1:24">
      <c r="A14092">
        <f>HYPERLINK("https://www.philgeps.gov.ph/GEPSNONPILOT/Tender/SplashBidNoticeAbstractUI.aspx?menuIndex=3&amp;refID=7046053&amp;Result=3","7046053")</f>
        <v>0</v>
      </c>
      <c r="B14092" t="s">
        <v>3432</v>
      </c>
      <c r="C14092" t="s">
        <v>17010</v>
      </c>
      <c r="D14092" t="s">
        <v>18118</v>
      </c>
      <c r="E14092" t="s">
        <v>30392</v>
      </c>
      <c r="F14092" t="s">
        <v>31362</v>
      </c>
      <c r="G14092" t="s">
        <v>31369</v>
      </c>
      <c r="H14092" t="s">
        <v>15799</v>
      </c>
      <c r="I14092" t="s">
        <v>7719</v>
      </c>
      <c r="J14092" t="s">
        <v>31941</v>
      </c>
      <c r="K14092" t="s">
        <v>40679</v>
      </c>
      <c r="M14092" t="s">
        <v>44753</v>
      </c>
      <c r="N14092" t="s">
        <v>44905</v>
      </c>
      <c r="O14092" t="s">
        <v>44906</v>
      </c>
      <c r="Q14092">
        <v>6</v>
      </c>
      <c r="R14092" t="s">
        <v>44924</v>
      </c>
      <c r="S14092" t="s">
        <v>45065</v>
      </c>
      <c r="T14092" t="s">
        <v>46605</v>
      </c>
      <c r="U14092" t="s">
        <v>58152</v>
      </c>
      <c r="V14092" t="s">
        <v>60666</v>
      </c>
      <c r="W14092" t="s">
        <v>44753</v>
      </c>
      <c r="X14092" t="s">
        <v>44925</v>
      </c>
    </row>
    <row r="14093" spans="1:24">
      <c r="A14093">
        <f>HYPERLINK("https://www.philgeps.gov.ph/GEPSNONPILOT/Tender/SplashBidNoticeAbstractUI.aspx?menuIndex=3&amp;refID=7046303&amp;Result=3","7046303")</f>
        <v>0</v>
      </c>
      <c r="B14093" t="s">
        <v>286</v>
      </c>
      <c r="C14093" t="s">
        <v>17011</v>
      </c>
      <c r="E14093" t="s">
        <v>30393</v>
      </c>
      <c r="F14093" t="s">
        <v>31362</v>
      </c>
      <c r="G14093" t="s">
        <v>31369</v>
      </c>
      <c r="H14093" t="s">
        <v>31378</v>
      </c>
      <c r="I14093" t="s">
        <v>31386</v>
      </c>
      <c r="J14093" t="s">
        <v>40028</v>
      </c>
      <c r="K14093" t="s">
        <v>40694</v>
      </c>
      <c r="M14093" t="s">
        <v>41229</v>
      </c>
      <c r="N14093" t="s">
        <v>44905</v>
      </c>
      <c r="O14093" t="s">
        <v>44906</v>
      </c>
      <c r="P14093">
        <v>0</v>
      </c>
      <c r="Q14093">
        <v>0</v>
      </c>
      <c r="R14093" t="s">
        <v>44924</v>
      </c>
      <c r="S14093" t="s">
        <v>45829</v>
      </c>
      <c r="T14093" t="s">
        <v>46411</v>
      </c>
      <c r="U14093" t="s">
        <v>58153</v>
      </c>
      <c r="W14093" t="s">
        <v>41229</v>
      </c>
      <c r="X14093" t="s">
        <v>44925</v>
      </c>
    </row>
    <row r="14094" spans="1:24">
      <c r="A14094">
        <f>HYPERLINK("https://www.philgeps.gov.ph/GEPSNONPILOT/Tender/SplashBidNoticeAbstractUI.aspx?menuIndex=3&amp;refID=7046178&amp;Result=3","7046178")</f>
        <v>0</v>
      </c>
      <c r="B14094" t="s">
        <v>130</v>
      </c>
      <c r="C14094" t="s">
        <v>17012</v>
      </c>
      <c r="D14094" t="s">
        <v>18109</v>
      </c>
      <c r="E14094" t="s">
        <v>17012</v>
      </c>
      <c r="F14094" t="s">
        <v>31362</v>
      </c>
      <c r="G14094" t="s">
        <v>31369</v>
      </c>
      <c r="H14094" t="s">
        <v>31378</v>
      </c>
      <c r="I14094" t="s">
        <v>31449</v>
      </c>
      <c r="J14094" t="s">
        <v>40029</v>
      </c>
      <c r="K14094" t="s">
        <v>40662</v>
      </c>
      <c r="M14094" t="s">
        <v>41472</v>
      </c>
      <c r="N14094" t="s">
        <v>44905</v>
      </c>
      <c r="O14094" t="s">
        <v>44906</v>
      </c>
      <c r="P14094">
        <v>0</v>
      </c>
      <c r="Q14094">
        <v>1</v>
      </c>
      <c r="R14094" t="s">
        <v>44924</v>
      </c>
      <c r="S14094" t="s">
        <v>45829</v>
      </c>
      <c r="T14094" t="s">
        <v>46394</v>
      </c>
      <c r="U14094" t="s">
        <v>58154</v>
      </c>
      <c r="W14094" t="s">
        <v>41472</v>
      </c>
      <c r="X14094" t="s">
        <v>44925</v>
      </c>
    </row>
    <row r="14095" spans="1:24">
      <c r="A14095">
        <f>HYPERLINK("https://www.philgeps.gov.ph/GEPSNONPILOT/Tender/SplashBidNoticeAbstractUI.aspx?menuIndex=3&amp;refID=7046068&amp;Result=3","7046068")</f>
        <v>0</v>
      </c>
      <c r="B14095" t="s">
        <v>495</v>
      </c>
      <c r="C14095" t="s">
        <v>17013</v>
      </c>
      <c r="D14095" t="s">
        <v>18116</v>
      </c>
      <c r="E14095" t="s">
        <v>30394</v>
      </c>
      <c r="F14095" t="s">
        <v>31362</v>
      </c>
      <c r="G14095" t="s">
        <v>31369</v>
      </c>
      <c r="H14095" t="s">
        <v>15799</v>
      </c>
      <c r="I14095" t="s">
        <v>7719</v>
      </c>
      <c r="J14095" t="s">
        <v>33653</v>
      </c>
      <c r="K14095" t="s">
        <v>40661</v>
      </c>
      <c r="M14095" t="s">
        <v>41450</v>
      </c>
      <c r="N14095" t="s">
        <v>44905</v>
      </c>
      <c r="O14095" t="s">
        <v>44906</v>
      </c>
      <c r="P14095">
        <v>0</v>
      </c>
      <c r="Q14095">
        <v>8</v>
      </c>
      <c r="R14095" t="s">
        <v>44924</v>
      </c>
      <c r="S14095" t="s">
        <v>45829</v>
      </c>
      <c r="T14095" t="s">
        <v>46434</v>
      </c>
      <c r="U14095" t="s">
        <v>58155</v>
      </c>
      <c r="W14095" t="s">
        <v>41450</v>
      </c>
      <c r="X14095" t="s">
        <v>44925</v>
      </c>
    </row>
    <row r="14096" spans="1:24">
      <c r="A14096">
        <f>HYPERLINK("https://www.philgeps.gov.ph/GEPSNONPILOT/Tender/SplashBidNoticeAbstractUI.aspx?menuIndex=3&amp;refID=7046278&amp;Result=3","7046278")</f>
        <v>0</v>
      </c>
      <c r="B14096" t="s">
        <v>3437</v>
      </c>
      <c r="C14096" t="s">
        <v>17014</v>
      </c>
      <c r="D14096" t="s">
        <v>18106</v>
      </c>
      <c r="E14096" t="s">
        <v>22937</v>
      </c>
      <c r="F14096" t="s">
        <v>31362</v>
      </c>
      <c r="G14096" t="s">
        <v>31369</v>
      </c>
      <c r="H14096" t="s">
        <v>31378</v>
      </c>
      <c r="I14096" t="s">
        <v>31386</v>
      </c>
      <c r="J14096" t="s">
        <v>40030</v>
      </c>
      <c r="K14096" t="s">
        <v>40673</v>
      </c>
      <c r="M14096" t="s">
        <v>44760</v>
      </c>
      <c r="N14096" t="s">
        <v>44905</v>
      </c>
      <c r="O14096" t="s">
        <v>44906</v>
      </c>
      <c r="P14096">
        <v>0</v>
      </c>
      <c r="Q14096">
        <v>0</v>
      </c>
      <c r="R14096" t="s">
        <v>44924</v>
      </c>
      <c r="S14096" t="s">
        <v>45829</v>
      </c>
      <c r="T14096" t="s">
        <v>46409</v>
      </c>
      <c r="U14096" t="s">
        <v>58156</v>
      </c>
      <c r="V14096" t="s">
        <v>60674</v>
      </c>
      <c r="W14096" t="s">
        <v>44760</v>
      </c>
      <c r="X14096" t="s">
        <v>44925</v>
      </c>
    </row>
    <row r="14097" spans="1:24">
      <c r="A14097">
        <f>HYPERLINK("https://www.philgeps.gov.ph/GEPSNONPILOT/Tender/SplashBidNoticeAbstractUI.aspx?menuIndex=3&amp;refID=7045796&amp;Result=3","7045796")</f>
        <v>0</v>
      </c>
      <c r="B14097" t="s">
        <v>1167</v>
      </c>
      <c r="C14097" t="s">
        <v>17015</v>
      </c>
      <c r="D14097" t="s">
        <v>18151</v>
      </c>
      <c r="E14097" t="s">
        <v>30395</v>
      </c>
      <c r="F14097" t="s">
        <v>31362</v>
      </c>
      <c r="G14097" t="s">
        <v>31369</v>
      </c>
      <c r="H14097" t="s">
        <v>31378</v>
      </c>
      <c r="I14097" t="s">
        <v>31386</v>
      </c>
      <c r="J14097" t="s">
        <v>32877</v>
      </c>
      <c r="K14097" t="s">
        <v>40766</v>
      </c>
      <c r="M14097" t="s">
        <v>42177</v>
      </c>
      <c r="N14097" t="s">
        <v>44905</v>
      </c>
      <c r="O14097" t="s">
        <v>44906</v>
      </c>
      <c r="P14097">
        <v>0</v>
      </c>
      <c r="Q14097">
        <v>5</v>
      </c>
      <c r="R14097" t="s">
        <v>44924</v>
      </c>
      <c r="S14097" t="s">
        <v>45829</v>
      </c>
      <c r="T14097" t="s">
        <v>46409</v>
      </c>
      <c r="U14097" t="s">
        <v>49459</v>
      </c>
      <c r="V14097" t="s">
        <v>60675</v>
      </c>
      <c r="W14097" t="s">
        <v>42177</v>
      </c>
      <c r="X14097" t="s">
        <v>44925</v>
      </c>
    </row>
    <row r="14098" spans="1:24">
      <c r="A14098">
        <f>HYPERLINK("https://www.philgeps.gov.ph/GEPSNONPILOT/Tender/SplashBidNoticeAbstractUI.aspx?menuIndex=3&amp;refID=7046258&amp;Result=3","7046258")</f>
        <v>0</v>
      </c>
      <c r="B14098" t="s">
        <v>3432</v>
      </c>
      <c r="C14098" t="s">
        <v>17016</v>
      </c>
      <c r="D14098" t="s">
        <v>18118</v>
      </c>
      <c r="E14098" t="s">
        <v>30396</v>
      </c>
      <c r="F14098" t="s">
        <v>31362</v>
      </c>
      <c r="G14098" t="s">
        <v>31369</v>
      </c>
      <c r="H14098" t="s">
        <v>15799</v>
      </c>
      <c r="I14098" t="s">
        <v>7719</v>
      </c>
      <c r="J14098" t="s">
        <v>40031</v>
      </c>
      <c r="K14098" t="s">
        <v>40682</v>
      </c>
      <c r="M14098" t="s">
        <v>44753</v>
      </c>
      <c r="N14098" t="s">
        <v>44905</v>
      </c>
      <c r="O14098" t="s">
        <v>44906</v>
      </c>
      <c r="Q14098">
        <v>15</v>
      </c>
      <c r="R14098" t="s">
        <v>44924</v>
      </c>
      <c r="S14098" t="s">
        <v>45267</v>
      </c>
      <c r="T14098" t="s">
        <v>46570</v>
      </c>
      <c r="U14098" t="s">
        <v>58157</v>
      </c>
      <c r="V14098" t="s">
        <v>60666</v>
      </c>
      <c r="W14098" t="s">
        <v>44753</v>
      </c>
      <c r="X14098" t="s">
        <v>44925</v>
      </c>
    </row>
    <row r="14099" spans="1:24">
      <c r="A14099">
        <f>HYPERLINK("https://www.philgeps.gov.ph/GEPSNONPILOT/Tender/SplashBidNoticeAbstractUI.aspx?menuIndex=3&amp;refID=7046286&amp;Result=3","7046286")</f>
        <v>0</v>
      </c>
      <c r="B14099" t="s">
        <v>286</v>
      </c>
      <c r="C14099" t="s">
        <v>17017</v>
      </c>
      <c r="E14099" t="s">
        <v>30397</v>
      </c>
      <c r="F14099" t="s">
        <v>31362</v>
      </c>
      <c r="G14099" t="s">
        <v>31369</v>
      </c>
      <c r="H14099" t="s">
        <v>31378</v>
      </c>
      <c r="I14099" t="s">
        <v>31386</v>
      </c>
      <c r="J14099" t="s">
        <v>40032</v>
      </c>
      <c r="K14099" t="s">
        <v>40705</v>
      </c>
      <c r="M14099" t="s">
        <v>41229</v>
      </c>
      <c r="N14099" t="s">
        <v>44905</v>
      </c>
      <c r="O14099" t="s">
        <v>44906</v>
      </c>
      <c r="P14099">
        <v>0</v>
      </c>
      <c r="Q14099">
        <v>0</v>
      </c>
      <c r="R14099" t="s">
        <v>44924</v>
      </c>
      <c r="S14099" t="s">
        <v>45829</v>
      </c>
      <c r="T14099" t="s">
        <v>46411</v>
      </c>
      <c r="U14099" t="s">
        <v>58158</v>
      </c>
      <c r="W14099" t="s">
        <v>41229</v>
      </c>
      <c r="X14099" t="s">
        <v>44925</v>
      </c>
    </row>
    <row r="14100" spans="1:24">
      <c r="A14100">
        <f>HYPERLINK("https://www.philgeps.gov.ph/GEPSNONPILOT/Tender/SplashBidNoticeAbstractUI.aspx?menuIndex=3&amp;refID=7046124&amp;Result=3","7046124")</f>
        <v>0</v>
      </c>
      <c r="B14100" t="s">
        <v>3432</v>
      </c>
      <c r="C14100" t="s">
        <v>17018</v>
      </c>
      <c r="D14100" t="s">
        <v>18118</v>
      </c>
      <c r="E14100" t="s">
        <v>30398</v>
      </c>
      <c r="F14100" t="s">
        <v>31362</v>
      </c>
      <c r="G14100" t="s">
        <v>31369</v>
      </c>
      <c r="H14100" t="s">
        <v>15799</v>
      </c>
      <c r="I14100" t="s">
        <v>7719</v>
      </c>
      <c r="J14100" t="s">
        <v>31587</v>
      </c>
      <c r="K14100" t="s">
        <v>40679</v>
      </c>
      <c r="M14100" t="s">
        <v>44753</v>
      </c>
      <c r="N14100" t="s">
        <v>44905</v>
      </c>
      <c r="O14100" t="s">
        <v>44906</v>
      </c>
      <c r="Q14100">
        <v>7</v>
      </c>
      <c r="R14100" t="s">
        <v>44924</v>
      </c>
      <c r="S14100" t="s">
        <v>45268</v>
      </c>
      <c r="T14100" t="s">
        <v>46605</v>
      </c>
      <c r="U14100" t="s">
        <v>58159</v>
      </c>
      <c r="V14100" t="s">
        <v>60666</v>
      </c>
      <c r="W14100" t="s">
        <v>44753</v>
      </c>
      <c r="X14100" t="s">
        <v>44925</v>
      </c>
    </row>
    <row r="14101" spans="1:24">
      <c r="A14101">
        <f>HYPERLINK("https://www.philgeps.gov.ph/GEPSNONPILOT/Tender/SplashBidNoticeAbstractUI.aspx?menuIndex=3&amp;refID=7046256&amp;Result=3","7046256")</f>
        <v>0</v>
      </c>
      <c r="B14101" t="s">
        <v>3392</v>
      </c>
      <c r="C14101" t="s">
        <v>17019</v>
      </c>
      <c r="D14101" t="s">
        <v>18122</v>
      </c>
      <c r="E14101" t="s">
        <v>25172</v>
      </c>
      <c r="F14101" t="s">
        <v>31362</v>
      </c>
      <c r="G14101" t="s">
        <v>31369</v>
      </c>
      <c r="H14101" t="s">
        <v>31378</v>
      </c>
      <c r="I14101" t="s">
        <v>31386</v>
      </c>
      <c r="J14101" t="s">
        <v>31709</v>
      </c>
      <c r="K14101" t="s">
        <v>40678</v>
      </c>
      <c r="L14101" t="s">
        <v>3392</v>
      </c>
      <c r="M14101" t="s">
        <v>44702</v>
      </c>
      <c r="N14101" t="s">
        <v>44905</v>
      </c>
      <c r="O14101" t="s">
        <v>44906</v>
      </c>
      <c r="P14101">
        <v>0</v>
      </c>
      <c r="Q14101">
        <v>88</v>
      </c>
      <c r="R14101" t="s">
        <v>44924</v>
      </c>
      <c r="S14101" t="s">
        <v>45829</v>
      </c>
      <c r="T14101" t="s">
        <v>46432</v>
      </c>
      <c r="U14101" t="s">
        <v>58160</v>
      </c>
      <c r="W14101" t="s">
        <v>44702</v>
      </c>
      <c r="X14101" t="s">
        <v>44925</v>
      </c>
    </row>
    <row r="14102" spans="1:24">
      <c r="A14102">
        <f>HYPERLINK("https://www.philgeps.gov.ph/GEPSNONPILOT/Tender/SplashBidNoticeAbstractUI.aspx?menuIndex=3&amp;refID=7046230&amp;Result=3","7046230")</f>
        <v>0</v>
      </c>
      <c r="B14102" t="s">
        <v>1479</v>
      </c>
      <c r="C14102" t="s">
        <v>17020</v>
      </c>
      <c r="D14102" t="s">
        <v>18122</v>
      </c>
      <c r="E14102" t="s">
        <v>30399</v>
      </c>
      <c r="F14102" t="s">
        <v>31362</v>
      </c>
      <c r="G14102" t="s">
        <v>31369</v>
      </c>
      <c r="H14102" t="s">
        <v>31378</v>
      </c>
      <c r="I14102" t="s">
        <v>31386</v>
      </c>
      <c r="J14102" t="s">
        <v>35755</v>
      </c>
      <c r="K14102" t="s">
        <v>40943</v>
      </c>
      <c r="M14102" t="s">
        <v>42515</v>
      </c>
      <c r="N14102" t="s">
        <v>44905</v>
      </c>
      <c r="O14102" t="s">
        <v>44906</v>
      </c>
      <c r="Q14102">
        <v>22</v>
      </c>
      <c r="R14102" t="s">
        <v>44924</v>
      </c>
      <c r="S14102" t="s">
        <v>45871</v>
      </c>
      <c r="T14102" t="s">
        <v>46401</v>
      </c>
      <c r="U14102" t="s">
        <v>58161</v>
      </c>
      <c r="W14102" t="s">
        <v>60897</v>
      </c>
      <c r="X14102" t="s">
        <v>44925</v>
      </c>
    </row>
    <row r="14103" spans="1:24">
      <c r="A14103">
        <f>HYPERLINK("https://www.philgeps.gov.ph/GEPSNONPILOT/Tender/SplashBidNoticeAbstractUI.aspx?menuIndex=3&amp;refID=7046239&amp;Result=3","7046239")</f>
        <v>0</v>
      </c>
      <c r="B14103" t="s">
        <v>286</v>
      </c>
      <c r="C14103" t="s">
        <v>17021</v>
      </c>
      <c r="E14103" t="s">
        <v>30400</v>
      </c>
      <c r="F14103" t="s">
        <v>31362</v>
      </c>
      <c r="G14103" t="s">
        <v>31369</v>
      </c>
      <c r="H14103" t="s">
        <v>31378</v>
      </c>
      <c r="I14103" t="s">
        <v>31386</v>
      </c>
      <c r="J14103" t="s">
        <v>40033</v>
      </c>
      <c r="K14103" t="s">
        <v>40705</v>
      </c>
      <c r="M14103" t="s">
        <v>41229</v>
      </c>
      <c r="N14103" t="s">
        <v>44905</v>
      </c>
      <c r="O14103" t="s">
        <v>44906</v>
      </c>
      <c r="P14103">
        <v>0</v>
      </c>
      <c r="Q14103">
        <v>0</v>
      </c>
      <c r="R14103" t="s">
        <v>44924</v>
      </c>
      <c r="S14103" t="s">
        <v>45829</v>
      </c>
      <c r="T14103" t="s">
        <v>46411</v>
      </c>
      <c r="U14103" t="s">
        <v>58162</v>
      </c>
      <c r="W14103" t="s">
        <v>41229</v>
      </c>
      <c r="X14103" t="s">
        <v>44925</v>
      </c>
    </row>
    <row r="14104" spans="1:24">
      <c r="A14104">
        <f>HYPERLINK("https://www.philgeps.gov.ph/GEPSNONPILOT/Tender/SplashBidNoticeAbstractUI.aspx?menuIndex=3&amp;refID=7046224&amp;Result=3","7046224")</f>
        <v>0</v>
      </c>
      <c r="B14104" t="s">
        <v>3438</v>
      </c>
      <c r="C14104" t="s">
        <v>11967</v>
      </c>
      <c r="E14104" t="s">
        <v>30401</v>
      </c>
      <c r="F14104" t="s">
        <v>31362</v>
      </c>
      <c r="G14104" t="s">
        <v>31369</v>
      </c>
      <c r="H14104" t="s">
        <v>31378</v>
      </c>
      <c r="I14104" t="s">
        <v>31386</v>
      </c>
      <c r="J14104" t="s">
        <v>40034</v>
      </c>
      <c r="K14104" t="s">
        <v>40662</v>
      </c>
      <c r="M14104" t="s">
        <v>44761</v>
      </c>
      <c r="N14104" t="s">
        <v>44905</v>
      </c>
      <c r="O14104" t="s">
        <v>44906</v>
      </c>
      <c r="P14104">
        <v>0</v>
      </c>
      <c r="Q14104">
        <v>0</v>
      </c>
      <c r="R14104" t="s">
        <v>44924</v>
      </c>
      <c r="S14104" t="s">
        <v>45829</v>
      </c>
      <c r="T14104" t="s">
        <v>46409</v>
      </c>
      <c r="U14104" t="s">
        <v>58163</v>
      </c>
      <c r="W14104" t="s">
        <v>44761</v>
      </c>
      <c r="X14104" t="s">
        <v>44925</v>
      </c>
    </row>
    <row r="14105" spans="1:24">
      <c r="A14105">
        <f>HYPERLINK("https://www.philgeps.gov.ph/GEPSNONPILOT/Tender/SplashBidNoticeAbstractUI.aspx?menuIndex=3&amp;refID=7046218&amp;Result=3","7046218")</f>
        <v>0</v>
      </c>
      <c r="B14105" t="s">
        <v>2129</v>
      </c>
      <c r="C14105" t="s">
        <v>17022</v>
      </c>
      <c r="D14105" t="s">
        <v>18170</v>
      </c>
      <c r="E14105" t="s">
        <v>30402</v>
      </c>
      <c r="F14105" t="s">
        <v>31362</v>
      </c>
      <c r="G14105" t="s">
        <v>31369</v>
      </c>
      <c r="H14105" t="s">
        <v>15799</v>
      </c>
      <c r="I14105" t="s">
        <v>31424</v>
      </c>
      <c r="J14105" t="s">
        <v>32356</v>
      </c>
      <c r="K14105" t="s">
        <v>40665</v>
      </c>
      <c r="M14105" t="s">
        <v>43257</v>
      </c>
      <c r="N14105" t="s">
        <v>44905</v>
      </c>
      <c r="O14105" t="s">
        <v>44906</v>
      </c>
      <c r="P14105">
        <v>0</v>
      </c>
      <c r="Q14105">
        <v>0</v>
      </c>
      <c r="R14105" t="s">
        <v>44924</v>
      </c>
      <c r="S14105" t="s">
        <v>45829</v>
      </c>
      <c r="T14105" t="s">
        <v>46447</v>
      </c>
      <c r="U14105" t="s">
        <v>58164</v>
      </c>
      <c r="W14105" t="s">
        <v>43257</v>
      </c>
      <c r="X14105" t="s">
        <v>44925</v>
      </c>
    </row>
    <row r="14106" spans="1:24">
      <c r="A14106">
        <f>HYPERLINK("https://www.philgeps.gov.ph/GEPSNONPILOT/Tender/SplashBidNoticeAbstractUI.aspx?menuIndex=3&amp;refID=7046273&amp;Result=3","7046273")</f>
        <v>0</v>
      </c>
      <c r="B14106" t="s">
        <v>347</v>
      </c>
      <c r="C14106" t="s">
        <v>17023</v>
      </c>
      <c r="D14106" t="s">
        <v>18120</v>
      </c>
      <c r="E14106" t="s">
        <v>24976</v>
      </c>
      <c r="F14106" t="s">
        <v>31362</v>
      </c>
      <c r="G14106" t="s">
        <v>31369</v>
      </c>
      <c r="H14106" t="s">
        <v>15799</v>
      </c>
      <c r="I14106" t="s">
        <v>31385</v>
      </c>
      <c r="J14106" t="s">
        <v>40035</v>
      </c>
      <c r="K14106" t="s">
        <v>40666</v>
      </c>
      <c r="M14106" t="s">
        <v>41293</v>
      </c>
      <c r="N14106" t="s">
        <v>44905</v>
      </c>
      <c r="O14106" t="s">
        <v>44906</v>
      </c>
      <c r="P14106">
        <v>0</v>
      </c>
      <c r="Q14106">
        <v>5</v>
      </c>
      <c r="R14106" t="s">
        <v>44924</v>
      </c>
      <c r="S14106" t="s">
        <v>45829</v>
      </c>
      <c r="T14106" t="s">
        <v>46467</v>
      </c>
      <c r="U14106" t="s">
        <v>58165</v>
      </c>
      <c r="W14106" t="s">
        <v>41293</v>
      </c>
      <c r="X14106" t="s">
        <v>44925</v>
      </c>
    </row>
    <row r="14107" spans="1:24">
      <c r="A14107">
        <f>HYPERLINK("https://www.philgeps.gov.ph/GEPSNONPILOT/Tender/SplashBidNoticeAbstractUI.aspx?menuIndex=3&amp;refID=7046248&amp;Result=3","7046248")</f>
        <v>0</v>
      </c>
      <c r="B14107" t="s">
        <v>2129</v>
      </c>
      <c r="C14107" t="s">
        <v>17024</v>
      </c>
      <c r="D14107" t="s">
        <v>18170</v>
      </c>
      <c r="E14107" t="s">
        <v>30402</v>
      </c>
      <c r="F14107" t="s">
        <v>31362</v>
      </c>
      <c r="G14107" t="s">
        <v>31369</v>
      </c>
      <c r="H14107" t="s">
        <v>15799</v>
      </c>
      <c r="I14107" t="s">
        <v>31385</v>
      </c>
      <c r="J14107" t="s">
        <v>40036</v>
      </c>
      <c r="K14107" t="s">
        <v>40665</v>
      </c>
      <c r="M14107" t="s">
        <v>43257</v>
      </c>
      <c r="N14107" t="s">
        <v>44905</v>
      </c>
      <c r="O14107" t="s">
        <v>44906</v>
      </c>
      <c r="P14107">
        <v>0</v>
      </c>
      <c r="Q14107">
        <v>0</v>
      </c>
      <c r="R14107" t="s">
        <v>44924</v>
      </c>
      <c r="S14107" t="s">
        <v>45829</v>
      </c>
      <c r="T14107" t="s">
        <v>46447</v>
      </c>
      <c r="U14107" t="s">
        <v>58164</v>
      </c>
      <c r="W14107" t="s">
        <v>43257</v>
      </c>
      <c r="X14107" t="s">
        <v>44925</v>
      </c>
    </row>
    <row r="14108" spans="1:24">
      <c r="A14108">
        <f>HYPERLINK("https://www.philgeps.gov.ph/GEPSNONPILOT/Tender/SplashBidNoticeAbstractUI.aspx?menuIndex=3&amp;refID=7046199&amp;Result=3","7046199")</f>
        <v>0</v>
      </c>
      <c r="B14108" t="s">
        <v>207</v>
      </c>
      <c r="C14108" t="s">
        <v>17025</v>
      </c>
      <c r="D14108" t="s">
        <v>18127</v>
      </c>
      <c r="E14108" t="s">
        <v>30403</v>
      </c>
      <c r="F14108" t="s">
        <v>31362</v>
      </c>
      <c r="G14108" t="s">
        <v>31369</v>
      </c>
      <c r="H14108" t="s">
        <v>15799</v>
      </c>
      <c r="I14108" t="s">
        <v>31382</v>
      </c>
      <c r="J14108" t="s">
        <v>31637</v>
      </c>
      <c r="K14108" t="s">
        <v>40662</v>
      </c>
      <c r="M14108" t="s">
        <v>41146</v>
      </c>
      <c r="N14108" t="s">
        <v>44905</v>
      </c>
      <c r="O14108" t="s">
        <v>44906</v>
      </c>
      <c r="Q14108">
        <v>16</v>
      </c>
      <c r="R14108" t="s">
        <v>44924</v>
      </c>
      <c r="S14108" t="s">
        <v>45753</v>
      </c>
      <c r="T14108" t="s">
        <v>46432</v>
      </c>
      <c r="U14108" t="s">
        <v>58166</v>
      </c>
      <c r="W14108" t="s">
        <v>41146</v>
      </c>
      <c r="X14108" t="s">
        <v>44925</v>
      </c>
    </row>
    <row r="14109" spans="1:24">
      <c r="A14109">
        <f>HYPERLINK("https://www.philgeps.gov.ph/GEPSNONPILOT/Tender/SplashBidNoticeAbstractUI.aspx?menuIndex=3&amp;refID=7046201&amp;Result=3","7046201")</f>
        <v>0</v>
      </c>
      <c r="B14109" t="s">
        <v>289</v>
      </c>
      <c r="C14109" t="s">
        <v>17026</v>
      </c>
      <c r="D14109" t="s">
        <v>18108</v>
      </c>
      <c r="E14109" t="s">
        <v>23740</v>
      </c>
      <c r="F14109" t="s">
        <v>31362</v>
      </c>
      <c r="G14109" t="s">
        <v>31370</v>
      </c>
      <c r="H14109" t="s">
        <v>15799</v>
      </c>
      <c r="I14109" t="s">
        <v>7090</v>
      </c>
      <c r="J14109" t="s">
        <v>40037</v>
      </c>
      <c r="K14109" t="s">
        <v>40662</v>
      </c>
      <c r="M14109" t="s">
        <v>41232</v>
      </c>
      <c r="N14109" t="s">
        <v>44905</v>
      </c>
      <c r="O14109" t="s">
        <v>44906</v>
      </c>
      <c r="Q14109">
        <v>2</v>
      </c>
      <c r="R14109" t="s">
        <v>44924</v>
      </c>
      <c r="S14109" t="s">
        <v>45851</v>
      </c>
      <c r="T14109" t="s">
        <v>46438</v>
      </c>
      <c r="U14109" t="s">
        <v>58167</v>
      </c>
      <c r="W14109" t="s">
        <v>41232</v>
      </c>
      <c r="X14109" t="s">
        <v>44925</v>
      </c>
    </row>
    <row r="14110" spans="1:24">
      <c r="A14110">
        <f>HYPERLINK("https://www.philgeps.gov.ph/GEPSNONPILOT/Tender/SplashBidNoticeAbstractUI.aspx?menuIndex=3&amp;refID=7046299&amp;Result=3","7046299")</f>
        <v>0</v>
      </c>
      <c r="B14110" t="s">
        <v>2224</v>
      </c>
      <c r="C14110" t="s">
        <v>17027</v>
      </c>
      <c r="D14110" t="s">
        <v>18136</v>
      </c>
      <c r="E14110" t="s">
        <v>30404</v>
      </c>
      <c r="F14110" t="s">
        <v>31362</v>
      </c>
      <c r="G14110" t="s">
        <v>31369</v>
      </c>
      <c r="H14110" t="s">
        <v>31378</v>
      </c>
      <c r="I14110" t="s">
        <v>31440</v>
      </c>
      <c r="J14110" t="s">
        <v>36067</v>
      </c>
      <c r="K14110" t="s">
        <v>40725</v>
      </c>
      <c r="M14110" t="s">
        <v>43358</v>
      </c>
      <c r="N14110" t="s">
        <v>44905</v>
      </c>
      <c r="O14110" t="s">
        <v>44906</v>
      </c>
      <c r="Q14110">
        <v>8</v>
      </c>
      <c r="R14110" t="s">
        <v>44924</v>
      </c>
      <c r="S14110" t="s">
        <v>45872</v>
      </c>
      <c r="T14110" t="s">
        <v>46885</v>
      </c>
      <c r="U14110" t="s">
        <v>58168</v>
      </c>
      <c r="V14110" t="s">
        <v>59785</v>
      </c>
      <c r="W14110" t="s">
        <v>43358</v>
      </c>
      <c r="X14110" t="s">
        <v>44925</v>
      </c>
    </row>
    <row r="14111" spans="1:24">
      <c r="A14111">
        <f>HYPERLINK("https://www.philgeps.gov.ph/GEPSNONPILOT/Tender/SplashBidNoticeAbstractUI.aspx?menuIndex=3&amp;refID=7046183&amp;Result=3","7046183")</f>
        <v>0</v>
      </c>
      <c r="B14111" t="s">
        <v>482</v>
      </c>
      <c r="C14111" t="s">
        <v>17028</v>
      </c>
      <c r="D14111" t="s">
        <v>18108</v>
      </c>
      <c r="E14111" t="s">
        <v>30405</v>
      </c>
      <c r="F14111" t="s">
        <v>31362</v>
      </c>
      <c r="G14111" t="s">
        <v>31369</v>
      </c>
      <c r="H14111" t="s">
        <v>15799</v>
      </c>
      <c r="I14111" t="s">
        <v>7719</v>
      </c>
      <c r="J14111" t="s">
        <v>40038</v>
      </c>
      <c r="K14111" t="s">
        <v>40686</v>
      </c>
      <c r="M14111" t="s">
        <v>44759</v>
      </c>
      <c r="N14111" t="s">
        <v>44905</v>
      </c>
      <c r="O14111" t="s">
        <v>44906</v>
      </c>
      <c r="Q14111">
        <v>13</v>
      </c>
      <c r="R14111" t="s">
        <v>44924</v>
      </c>
      <c r="S14111" t="s">
        <v>45873</v>
      </c>
      <c r="T14111" t="s">
        <v>46393</v>
      </c>
      <c r="U14111" t="s">
        <v>58169</v>
      </c>
      <c r="W14111" t="s">
        <v>44759</v>
      </c>
      <c r="X14111" t="s">
        <v>44925</v>
      </c>
    </row>
    <row r="14112" spans="1:24">
      <c r="A14112">
        <f>HYPERLINK("https://www.philgeps.gov.ph/GEPSNONPILOT/Tender/SplashBidNoticeAbstractUI.aspx?menuIndex=3&amp;refID=7045842&amp;Result=3","7045842")</f>
        <v>0</v>
      </c>
      <c r="B14112" t="s">
        <v>1350</v>
      </c>
      <c r="C14112" t="s">
        <v>17029</v>
      </c>
      <c r="D14112" t="s">
        <v>18108</v>
      </c>
      <c r="E14112" t="s">
        <v>30406</v>
      </c>
      <c r="F14112" t="s">
        <v>31362</v>
      </c>
      <c r="G14112" t="s">
        <v>31369</v>
      </c>
      <c r="H14112" t="s">
        <v>15799</v>
      </c>
      <c r="I14112" t="s">
        <v>31508</v>
      </c>
      <c r="J14112" t="s">
        <v>40039</v>
      </c>
      <c r="K14112" t="s">
        <v>40720</v>
      </c>
      <c r="M14112" t="s">
        <v>42371</v>
      </c>
      <c r="N14112" t="s">
        <v>44905</v>
      </c>
      <c r="O14112" t="s">
        <v>44906</v>
      </c>
      <c r="Q14112">
        <v>1</v>
      </c>
      <c r="R14112" t="s">
        <v>44924</v>
      </c>
      <c r="S14112" t="s">
        <v>45546</v>
      </c>
      <c r="T14112" t="s">
        <v>46396</v>
      </c>
      <c r="U14112" t="s">
        <v>58170</v>
      </c>
      <c r="W14112" t="s">
        <v>42371</v>
      </c>
      <c r="X14112" t="s">
        <v>44925</v>
      </c>
    </row>
    <row r="14113" spans="1:24">
      <c r="A14113">
        <f>HYPERLINK("https://www.philgeps.gov.ph/GEPSNONPILOT/Tender/SplashBidNoticeAbstractUI.aspx?menuIndex=3&amp;refID=7045825&amp;Result=3","7045825")</f>
        <v>0</v>
      </c>
      <c r="B14113" t="s">
        <v>3434</v>
      </c>
      <c r="C14113" t="s">
        <v>17030</v>
      </c>
      <c r="D14113" t="s">
        <v>18165</v>
      </c>
      <c r="E14113" t="s">
        <v>30407</v>
      </c>
      <c r="F14113" t="s">
        <v>31362</v>
      </c>
      <c r="G14113" t="s">
        <v>31369</v>
      </c>
      <c r="H14113" t="s">
        <v>31378</v>
      </c>
      <c r="I14113" t="s">
        <v>31386</v>
      </c>
      <c r="J14113" t="s">
        <v>31625</v>
      </c>
      <c r="K14113" t="s">
        <v>40679</v>
      </c>
      <c r="M14113" t="s">
        <v>44756</v>
      </c>
      <c r="N14113" t="s">
        <v>44905</v>
      </c>
      <c r="O14113" t="s">
        <v>44906</v>
      </c>
      <c r="P14113">
        <v>0</v>
      </c>
      <c r="Q14113">
        <v>2</v>
      </c>
      <c r="R14113" t="s">
        <v>44924</v>
      </c>
      <c r="S14113" t="s">
        <v>45829</v>
      </c>
      <c r="T14113" t="s">
        <v>46454</v>
      </c>
      <c r="U14113" t="s">
        <v>58171</v>
      </c>
      <c r="W14113" t="s">
        <v>44756</v>
      </c>
      <c r="X14113" t="s">
        <v>44925</v>
      </c>
    </row>
    <row r="14114" spans="1:24">
      <c r="A14114">
        <f>HYPERLINK("https://www.philgeps.gov.ph/GEPSNONPILOT/Tender/SplashBidNoticeAbstractUI.aspx?menuIndex=3&amp;refID=7046211&amp;Result=3","7046211")</f>
        <v>0</v>
      </c>
      <c r="B14114" t="s">
        <v>3432</v>
      </c>
      <c r="C14114" t="s">
        <v>17031</v>
      </c>
      <c r="D14114" t="s">
        <v>18118</v>
      </c>
      <c r="E14114" t="s">
        <v>30408</v>
      </c>
      <c r="F14114" t="s">
        <v>31362</v>
      </c>
      <c r="G14114" t="s">
        <v>31369</v>
      </c>
      <c r="H14114" t="s">
        <v>15799</v>
      </c>
      <c r="I14114" t="s">
        <v>7719</v>
      </c>
      <c r="J14114" t="s">
        <v>31542</v>
      </c>
      <c r="K14114" t="s">
        <v>40682</v>
      </c>
      <c r="M14114" t="s">
        <v>44753</v>
      </c>
      <c r="N14114" t="s">
        <v>44905</v>
      </c>
      <c r="O14114" t="s">
        <v>44906</v>
      </c>
      <c r="Q14114">
        <v>10</v>
      </c>
      <c r="R14114" t="s">
        <v>44924</v>
      </c>
      <c r="S14114" t="s">
        <v>45874</v>
      </c>
      <c r="T14114" t="s">
        <v>46570</v>
      </c>
      <c r="U14114" t="s">
        <v>58172</v>
      </c>
      <c r="V14114" t="s">
        <v>60666</v>
      </c>
      <c r="W14114" t="s">
        <v>44753</v>
      </c>
      <c r="X14114" t="s">
        <v>44925</v>
      </c>
    </row>
    <row r="14115" spans="1:24">
      <c r="A14115">
        <f>HYPERLINK("https://www.philgeps.gov.ph/GEPSNONPILOT/Tender/SplashBidNoticeAbstractUI.aspx?menuIndex=3&amp;refID=7045822&amp;Result=3","7045822")</f>
        <v>0</v>
      </c>
      <c r="B14115" t="s">
        <v>579</v>
      </c>
      <c r="C14115" t="s">
        <v>17032</v>
      </c>
      <c r="D14115" t="s">
        <v>18112</v>
      </c>
      <c r="E14115" t="s">
        <v>30409</v>
      </c>
      <c r="F14115" t="s">
        <v>31362</v>
      </c>
      <c r="G14115" t="s">
        <v>31369</v>
      </c>
      <c r="H14115" t="s">
        <v>15799</v>
      </c>
      <c r="I14115" t="s">
        <v>31392</v>
      </c>
      <c r="J14115" t="s">
        <v>32888</v>
      </c>
      <c r="K14115" t="s">
        <v>40682</v>
      </c>
      <c r="M14115" t="s">
        <v>42918</v>
      </c>
      <c r="N14115" t="s">
        <v>44905</v>
      </c>
      <c r="O14115" t="s">
        <v>44906</v>
      </c>
      <c r="P14115">
        <v>0</v>
      </c>
      <c r="Q14115">
        <v>9</v>
      </c>
      <c r="R14115" t="s">
        <v>44924</v>
      </c>
      <c r="S14115" t="s">
        <v>45829</v>
      </c>
      <c r="T14115" t="s">
        <v>46447</v>
      </c>
      <c r="U14115" t="s">
        <v>57740</v>
      </c>
      <c r="W14115" t="s">
        <v>42918</v>
      </c>
      <c r="X14115" t="s">
        <v>44925</v>
      </c>
    </row>
    <row r="14116" spans="1:24">
      <c r="A14116">
        <f>HYPERLINK("https://www.philgeps.gov.ph/GEPSNONPILOT/Tender/SplashBidNoticeAbstractUI.aspx?menuIndex=3&amp;refID=7046196&amp;Result=3","7046196")</f>
        <v>0</v>
      </c>
      <c r="B14116" t="s">
        <v>344</v>
      </c>
      <c r="C14116" t="s">
        <v>17033</v>
      </c>
      <c r="D14116" t="s">
        <v>18148</v>
      </c>
      <c r="E14116" t="s">
        <v>30410</v>
      </c>
      <c r="F14116" t="s">
        <v>31362</v>
      </c>
      <c r="G14116" t="s">
        <v>31369</v>
      </c>
      <c r="H14116" t="s">
        <v>15799</v>
      </c>
      <c r="I14116" t="s">
        <v>31409</v>
      </c>
      <c r="J14116" t="s">
        <v>31637</v>
      </c>
      <c r="K14116" t="s">
        <v>40665</v>
      </c>
      <c r="M14116" t="s">
        <v>41290</v>
      </c>
      <c r="N14116" t="s">
        <v>44905</v>
      </c>
      <c r="O14116" t="s">
        <v>44906</v>
      </c>
      <c r="P14116">
        <v>0</v>
      </c>
      <c r="Q14116">
        <v>7</v>
      </c>
      <c r="R14116" t="s">
        <v>44924</v>
      </c>
      <c r="S14116" t="s">
        <v>45829</v>
      </c>
      <c r="T14116" t="s">
        <v>46467</v>
      </c>
      <c r="U14116" t="s">
        <v>47512</v>
      </c>
      <c r="W14116" t="s">
        <v>41290</v>
      </c>
      <c r="X14116" t="s">
        <v>44925</v>
      </c>
    </row>
    <row r="14117" spans="1:24">
      <c r="A14117">
        <f>HYPERLINK("https://www.philgeps.gov.ph/GEPSNONPILOT/Tender/SplashBidNoticeAbstractUI.aspx?menuIndex=3&amp;refID=7046179&amp;Result=3","7046179")</f>
        <v>0</v>
      </c>
      <c r="B14117" t="s">
        <v>3392</v>
      </c>
      <c r="C14117" t="s">
        <v>17034</v>
      </c>
      <c r="D14117" t="s">
        <v>18122</v>
      </c>
      <c r="E14117" t="s">
        <v>30411</v>
      </c>
      <c r="F14117" t="s">
        <v>31362</v>
      </c>
      <c r="G14117" t="s">
        <v>31369</v>
      </c>
      <c r="H14117" t="s">
        <v>31378</v>
      </c>
      <c r="I14117" t="s">
        <v>31386</v>
      </c>
      <c r="J14117" t="s">
        <v>31625</v>
      </c>
      <c r="K14117" t="s">
        <v>40711</v>
      </c>
      <c r="L14117" t="s">
        <v>3392</v>
      </c>
      <c r="M14117" t="s">
        <v>44702</v>
      </c>
      <c r="N14117" t="s">
        <v>44905</v>
      </c>
      <c r="O14117" t="s">
        <v>44906</v>
      </c>
      <c r="P14117">
        <v>0</v>
      </c>
      <c r="Q14117">
        <v>85</v>
      </c>
      <c r="R14117" t="s">
        <v>44924</v>
      </c>
      <c r="S14117" t="s">
        <v>45829</v>
      </c>
      <c r="T14117" t="s">
        <v>46409</v>
      </c>
      <c r="U14117" t="s">
        <v>58173</v>
      </c>
      <c r="W14117" t="s">
        <v>44702</v>
      </c>
      <c r="X14117" t="s">
        <v>44925</v>
      </c>
    </row>
    <row r="14118" spans="1:24">
      <c r="A14118">
        <f>HYPERLINK("https://www.philgeps.gov.ph/GEPSNONPILOT/Tender/SplashBidNoticeAbstractUI.aspx?menuIndex=3&amp;refID=7046192&amp;Result=3","7046192")</f>
        <v>0</v>
      </c>
      <c r="B14118" t="s">
        <v>2129</v>
      </c>
      <c r="C14118" t="s">
        <v>17035</v>
      </c>
      <c r="D14118" t="s">
        <v>18170</v>
      </c>
      <c r="E14118" t="s">
        <v>30402</v>
      </c>
      <c r="F14118" t="s">
        <v>31362</v>
      </c>
      <c r="G14118" t="s">
        <v>31369</v>
      </c>
      <c r="H14118" t="s">
        <v>15799</v>
      </c>
      <c r="I14118" t="s">
        <v>4057</v>
      </c>
      <c r="J14118" t="s">
        <v>40040</v>
      </c>
      <c r="K14118" t="s">
        <v>40665</v>
      </c>
      <c r="M14118" t="s">
        <v>43257</v>
      </c>
      <c r="N14118" t="s">
        <v>44905</v>
      </c>
      <c r="O14118" t="s">
        <v>44906</v>
      </c>
      <c r="P14118">
        <v>0</v>
      </c>
      <c r="Q14118">
        <v>0</v>
      </c>
      <c r="R14118" t="s">
        <v>44924</v>
      </c>
      <c r="S14118" t="s">
        <v>45829</v>
      </c>
      <c r="T14118" t="s">
        <v>46447</v>
      </c>
      <c r="U14118" t="s">
        <v>58164</v>
      </c>
      <c r="W14118" t="s">
        <v>43257</v>
      </c>
      <c r="X14118" t="s">
        <v>44925</v>
      </c>
    </row>
    <row r="14119" spans="1:24">
      <c r="A14119">
        <f>HYPERLINK("https://www.philgeps.gov.ph/GEPSNONPILOT/Tender/SplashBidNoticeAbstractUI.aspx?menuIndex=3&amp;refID=7045493&amp;Result=3","7045493")</f>
        <v>0</v>
      </c>
      <c r="B14119" t="s">
        <v>493</v>
      </c>
      <c r="C14119" t="s">
        <v>17036</v>
      </c>
      <c r="D14119" t="s">
        <v>18152</v>
      </c>
      <c r="E14119" t="s">
        <v>26117</v>
      </c>
      <c r="F14119" t="s">
        <v>31362</v>
      </c>
      <c r="G14119" t="s">
        <v>31369</v>
      </c>
      <c r="H14119" t="s">
        <v>15799</v>
      </c>
      <c r="I14119" t="s">
        <v>3815</v>
      </c>
      <c r="J14119" t="s">
        <v>33868</v>
      </c>
      <c r="K14119" t="s">
        <v>40670</v>
      </c>
      <c r="M14119" t="s">
        <v>41448</v>
      </c>
      <c r="N14119" t="s">
        <v>44905</v>
      </c>
      <c r="O14119" t="s">
        <v>44906</v>
      </c>
      <c r="P14119">
        <v>0</v>
      </c>
      <c r="Q14119">
        <v>0</v>
      </c>
      <c r="R14119" t="s">
        <v>44924</v>
      </c>
      <c r="S14119" t="s">
        <v>45829</v>
      </c>
      <c r="T14119" t="s">
        <v>46532</v>
      </c>
      <c r="U14119" t="s">
        <v>48412</v>
      </c>
      <c r="W14119" t="s">
        <v>41448</v>
      </c>
      <c r="X14119" t="s">
        <v>44925</v>
      </c>
    </row>
    <row r="14120" spans="1:24">
      <c r="A14120">
        <f>HYPERLINK("https://www.philgeps.gov.ph/GEPSNONPILOT/Tender/SplashBidNoticeAbstractUI.aspx?menuIndex=3&amp;refID=7045487&amp;Result=3","7045487")</f>
        <v>0</v>
      </c>
      <c r="B14120" t="s">
        <v>1793</v>
      </c>
      <c r="C14120" t="s">
        <v>17037</v>
      </c>
      <c r="D14120" t="s">
        <v>18107</v>
      </c>
      <c r="E14120" t="s">
        <v>30412</v>
      </c>
      <c r="F14120" t="s">
        <v>31362</v>
      </c>
      <c r="G14120" t="s">
        <v>31369</v>
      </c>
      <c r="H14120" t="s">
        <v>31378</v>
      </c>
      <c r="I14120" t="s">
        <v>31386</v>
      </c>
      <c r="J14120" t="s">
        <v>40041</v>
      </c>
      <c r="K14120" t="s">
        <v>40686</v>
      </c>
      <c r="M14120" t="s">
        <v>42875</v>
      </c>
      <c r="N14120" t="s">
        <v>44905</v>
      </c>
      <c r="O14120" t="s">
        <v>44906</v>
      </c>
      <c r="P14120">
        <v>0</v>
      </c>
      <c r="Q14120">
        <v>0</v>
      </c>
      <c r="R14120" t="s">
        <v>44924</v>
      </c>
      <c r="S14120" t="s">
        <v>45829</v>
      </c>
      <c r="T14120" t="s">
        <v>46532</v>
      </c>
      <c r="U14120" t="s">
        <v>58174</v>
      </c>
      <c r="W14120" t="s">
        <v>42875</v>
      </c>
      <c r="X14120" t="s">
        <v>44925</v>
      </c>
    </row>
    <row r="14121" spans="1:24">
      <c r="A14121">
        <f>HYPERLINK("https://www.philgeps.gov.ph/GEPSNONPILOT/Tender/SplashBidNoticeAbstractUI.aspx?menuIndex=3&amp;refID=7046281&amp;Result=3","7046281")</f>
        <v>0</v>
      </c>
      <c r="B14121" t="s">
        <v>2129</v>
      </c>
      <c r="C14121" t="s">
        <v>17038</v>
      </c>
      <c r="D14121" t="s">
        <v>18170</v>
      </c>
      <c r="E14121" t="s">
        <v>30402</v>
      </c>
      <c r="F14121" t="s">
        <v>31362</v>
      </c>
      <c r="G14121" t="s">
        <v>31369</v>
      </c>
      <c r="H14121" t="s">
        <v>15799</v>
      </c>
      <c r="I14121" t="s">
        <v>31414</v>
      </c>
      <c r="J14121" t="s">
        <v>40042</v>
      </c>
      <c r="K14121" t="s">
        <v>40665</v>
      </c>
      <c r="M14121" t="s">
        <v>43257</v>
      </c>
      <c r="N14121" t="s">
        <v>44905</v>
      </c>
      <c r="O14121" t="s">
        <v>44906</v>
      </c>
      <c r="P14121">
        <v>0</v>
      </c>
      <c r="Q14121">
        <v>0</v>
      </c>
      <c r="R14121" t="s">
        <v>44924</v>
      </c>
      <c r="S14121" t="s">
        <v>45829</v>
      </c>
      <c r="T14121" t="s">
        <v>46447</v>
      </c>
      <c r="U14121" t="s">
        <v>58164</v>
      </c>
      <c r="W14121" t="s">
        <v>43257</v>
      </c>
      <c r="X14121" t="s">
        <v>44925</v>
      </c>
    </row>
    <row r="14122" spans="1:24">
      <c r="A14122">
        <f>HYPERLINK("https://www.philgeps.gov.ph/GEPSNONPILOT/Tender/SplashBidNoticeAbstractUI.aspx?menuIndex=3&amp;refID=7046523&amp;Result=3","7046523")</f>
        <v>0</v>
      </c>
      <c r="B14122" t="s">
        <v>226</v>
      </c>
      <c r="C14122" t="s">
        <v>17039</v>
      </c>
      <c r="D14122" t="s">
        <v>18132</v>
      </c>
      <c r="E14122" t="s">
        <v>30413</v>
      </c>
      <c r="F14122" t="s">
        <v>31362</v>
      </c>
      <c r="G14122" t="s">
        <v>31373</v>
      </c>
      <c r="H14122" t="s">
        <v>31378</v>
      </c>
      <c r="I14122" t="s">
        <v>31386</v>
      </c>
      <c r="J14122" t="s">
        <v>40043</v>
      </c>
      <c r="K14122" t="s">
        <v>40679</v>
      </c>
      <c r="M14122" t="s">
        <v>43477</v>
      </c>
      <c r="N14122" t="s">
        <v>44905</v>
      </c>
      <c r="O14122" t="s">
        <v>44906</v>
      </c>
      <c r="P14122">
        <v>0</v>
      </c>
      <c r="Q14122">
        <v>0</v>
      </c>
      <c r="R14122" t="s">
        <v>44924</v>
      </c>
      <c r="S14122" t="s">
        <v>45829</v>
      </c>
      <c r="T14122" t="s">
        <v>46447</v>
      </c>
      <c r="U14122" t="s">
        <v>53209</v>
      </c>
      <c r="V14122" t="s">
        <v>60676</v>
      </c>
      <c r="W14122" t="s">
        <v>60930</v>
      </c>
      <c r="X14122" t="s">
        <v>44925</v>
      </c>
    </row>
    <row r="14123" spans="1:24">
      <c r="A14123">
        <f>HYPERLINK("https://www.philgeps.gov.ph/GEPSNONPILOT/Tender/SplashBidNoticeAbstractUI.aspx?menuIndex=3&amp;refID=7046509&amp;Result=3","7046509")</f>
        <v>0</v>
      </c>
      <c r="B14123" t="s">
        <v>2129</v>
      </c>
      <c r="C14123" t="s">
        <v>17040</v>
      </c>
      <c r="D14123" t="s">
        <v>18170</v>
      </c>
      <c r="E14123" t="s">
        <v>30414</v>
      </c>
      <c r="F14123" t="s">
        <v>31362</v>
      </c>
      <c r="G14123" t="s">
        <v>31369</v>
      </c>
      <c r="H14123" t="s">
        <v>15799</v>
      </c>
      <c r="I14123" t="s">
        <v>4057</v>
      </c>
      <c r="J14123" t="s">
        <v>34146</v>
      </c>
      <c r="K14123" t="s">
        <v>40665</v>
      </c>
      <c r="M14123" t="s">
        <v>43257</v>
      </c>
      <c r="N14123" t="s">
        <v>44905</v>
      </c>
      <c r="O14123" t="s">
        <v>44906</v>
      </c>
      <c r="P14123">
        <v>0</v>
      </c>
      <c r="Q14123">
        <v>0</v>
      </c>
      <c r="R14123" t="s">
        <v>44924</v>
      </c>
      <c r="S14123" t="s">
        <v>45829</v>
      </c>
      <c r="T14123" t="s">
        <v>46447</v>
      </c>
      <c r="U14123" t="s">
        <v>58175</v>
      </c>
      <c r="W14123" t="s">
        <v>43257</v>
      </c>
      <c r="X14123" t="s">
        <v>44925</v>
      </c>
    </row>
    <row r="14124" spans="1:24">
      <c r="A14124">
        <f>HYPERLINK("https://www.philgeps.gov.ph/GEPSNONPILOT/Tender/SplashBidNoticeAbstractUI.aspx?menuIndex=3&amp;refID=7045816&amp;Result=3","7045816")</f>
        <v>0</v>
      </c>
      <c r="B14124" t="s">
        <v>360</v>
      </c>
      <c r="C14124" t="s">
        <v>17041</v>
      </c>
      <c r="D14124" t="s">
        <v>18161</v>
      </c>
      <c r="E14124" t="s">
        <v>30415</v>
      </c>
      <c r="F14124" t="s">
        <v>31362</v>
      </c>
      <c r="G14124" t="s">
        <v>31369</v>
      </c>
      <c r="H14124" t="s">
        <v>31378</v>
      </c>
      <c r="I14124" t="s">
        <v>31386</v>
      </c>
      <c r="J14124" t="s">
        <v>31586</v>
      </c>
      <c r="K14124" t="s">
        <v>40662</v>
      </c>
      <c r="M14124" t="s">
        <v>41307</v>
      </c>
      <c r="N14124" t="s">
        <v>44905</v>
      </c>
      <c r="O14124" t="s">
        <v>44906</v>
      </c>
      <c r="P14124">
        <v>0</v>
      </c>
      <c r="Q14124">
        <v>1</v>
      </c>
      <c r="R14124" t="s">
        <v>44924</v>
      </c>
      <c r="S14124" t="s">
        <v>45829</v>
      </c>
      <c r="T14124" t="s">
        <v>46432</v>
      </c>
      <c r="U14124" t="s">
        <v>58014</v>
      </c>
      <c r="W14124" t="s">
        <v>41307</v>
      </c>
      <c r="X14124" t="s">
        <v>44925</v>
      </c>
    </row>
    <row r="14125" spans="1:24">
      <c r="A14125">
        <f>HYPERLINK("https://www.philgeps.gov.ph/GEPSNONPILOT/Tender/SplashBidNoticeAbstractUI.aspx?menuIndex=3&amp;refID=7046503&amp;Result=3","7046503")</f>
        <v>0</v>
      </c>
      <c r="B14125" t="s">
        <v>1590</v>
      </c>
      <c r="C14125" t="s">
        <v>17042</v>
      </c>
      <c r="D14125" t="s">
        <v>18153</v>
      </c>
      <c r="E14125" t="s">
        <v>21898</v>
      </c>
      <c r="F14125" t="s">
        <v>31363</v>
      </c>
      <c r="G14125" t="s">
        <v>31369</v>
      </c>
      <c r="H14125" t="s">
        <v>15799</v>
      </c>
      <c r="I14125" t="s">
        <v>3815</v>
      </c>
      <c r="J14125" t="s">
        <v>40044</v>
      </c>
      <c r="K14125" t="s">
        <v>40686</v>
      </c>
      <c r="M14125" t="s">
        <v>42646</v>
      </c>
      <c r="N14125" t="s">
        <v>44905</v>
      </c>
      <c r="O14125" t="s">
        <v>44906</v>
      </c>
      <c r="P14125">
        <v>0</v>
      </c>
      <c r="Q14125">
        <v>0</v>
      </c>
      <c r="R14125" t="s">
        <v>44924</v>
      </c>
      <c r="S14125" t="s">
        <v>45829</v>
      </c>
      <c r="T14125" t="s">
        <v>46411</v>
      </c>
      <c r="U14125" t="s">
        <v>50815</v>
      </c>
      <c r="W14125" t="s">
        <v>42646</v>
      </c>
      <c r="X14125" t="s">
        <v>44925</v>
      </c>
    </row>
    <row r="14126" spans="1:24">
      <c r="A14126">
        <f>HYPERLINK("https://www.philgeps.gov.ph/GEPSNONPILOT/Tender/SplashBidNoticeAbstractUI.aspx?menuIndex=3&amp;refID=7046489&amp;Result=3","7046489")</f>
        <v>0</v>
      </c>
      <c r="B14126" t="s">
        <v>3439</v>
      </c>
      <c r="C14126" t="s">
        <v>17043</v>
      </c>
      <c r="D14126" t="s">
        <v>18133</v>
      </c>
      <c r="E14126" t="s">
        <v>19255</v>
      </c>
      <c r="F14126" t="s">
        <v>31362</v>
      </c>
      <c r="G14126" t="s">
        <v>31369</v>
      </c>
      <c r="H14126" t="s">
        <v>31378</v>
      </c>
      <c r="I14126" t="s">
        <v>31386</v>
      </c>
      <c r="J14126" t="s">
        <v>31709</v>
      </c>
      <c r="K14126" t="s">
        <v>40679</v>
      </c>
      <c r="M14126" t="s">
        <v>44762</v>
      </c>
      <c r="N14126" t="s">
        <v>44905</v>
      </c>
      <c r="O14126" t="s">
        <v>44906</v>
      </c>
      <c r="P14126">
        <v>0</v>
      </c>
      <c r="Q14126">
        <v>5</v>
      </c>
      <c r="R14126" t="s">
        <v>44924</v>
      </c>
      <c r="S14126" t="s">
        <v>45829</v>
      </c>
      <c r="T14126" t="s">
        <v>46393</v>
      </c>
      <c r="U14126" t="s">
        <v>58176</v>
      </c>
      <c r="W14126" t="s">
        <v>44762</v>
      </c>
      <c r="X14126" t="s">
        <v>44925</v>
      </c>
    </row>
    <row r="14127" spans="1:24">
      <c r="A14127">
        <f>HYPERLINK("https://www.philgeps.gov.ph/GEPSNONPILOT/Tender/SplashBidNoticeAbstractUI.aspx?menuIndex=3&amp;refID=7046457&amp;Result=3","7046457")</f>
        <v>0</v>
      </c>
      <c r="B14127" t="s">
        <v>3440</v>
      </c>
      <c r="C14127" t="s">
        <v>8019</v>
      </c>
      <c r="D14127" t="s">
        <v>18109</v>
      </c>
      <c r="E14127" t="s">
        <v>30416</v>
      </c>
      <c r="F14127" t="s">
        <v>31362</v>
      </c>
      <c r="G14127" t="s">
        <v>31369</v>
      </c>
      <c r="H14127" t="s">
        <v>31378</v>
      </c>
      <c r="I14127" t="s">
        <v>31386</v>
      </c>
      <c r="J14127" t="s">
        <v>31625</v>
      </c>
      <c r="K14127" t="s">
        <v>40679</v>
      </c>
      <c r="M14127" t="s">
        <v>44763</v>
      </c>
      <c r="N14127" t="s">
        <v>44905</v>
      </c>
      <c r="O14127" t="s">
        <v>44906</v>
      </c>
      <c r="P14127">
        <v>0</v>
      </c>
      <c r="Q14127">
        <v>0</v>
      </c>
      <c r="R14127" t="s">
        <v>44924</v>
      </c>
      <c r="S14127" t="s">
        <v>45829</v>
      </c>
      <c r="T14127" t="s">
        <v>46886</v>
      </c>
      <c r="U14127" t="s">
        <v>58177</v>
      </c>
      <c r="W14127" t="s">
        <v>44763</v>
      </c>
      <c r="X14127" t="s">
        <v>44925</v>
      </c>
    </row>
    <row r="14128" spans="1:24">
      <c r="A14128">
        <f>HYPERLINK("https://www.philgeps.gov.ph/GEPSNONPILOT/Tender/SplashBidNoticeAbstractUI.aspx?menuIndex=3&amp;refID=7045823&amp;Result=3","7045823")</f>
        <v>0</v>
      </c>
      <c r="B14128" t="s">
        <v>2129</v>
      </c>
      <c r="C14128" t="s">
        <v>17044</v>
      </c>
      <c r="D14128" t="s">
        <v>18170</v>
      </c>
      <c r="E14128" t="s">
        <v>30355</v>
      </c>
      <c r="F14128" t="s">
        <v>31362</v>
      </c>
      <c r="G14128" t="s">
        <v>31369</v>
      </c>
      <c r="H14128" t="s">
        <v>15799</v>
      </c>
      <c r="I14128" t="s">
        <v>7090</v>
      </c>
      <c r="J14128" t="s">
        <v>40045</v>
      </c>
      <c r="K14128" t="s">
        <v>40665</v>
      </c>
      <c r="M14128" t="s">
        <v>43257</v>
      </c>
      <c r="N14128" t="s">
        <v>44905</v>
      </c>
      <c r="O14128" t="s">
        <v>44906</v>
      </c>
      <c r="P14128">
        <v>0</v>
      </c>
      <c r="Q14128">
        <v>2</v>
      </c>
      <c r="R14128" t="s">
        <v>44924</v>
      </c>
      <c r="S14128" t="s">
        <v>45829</v>
      </c>
      <c r="T14128" t="s">
        <v>46447</v>
      </c>
      <c r="U14128" t="s">
        <v>58118</v>
      </c>
      <c r="W14128" t="s">
        <v>43257</v>
      </c>
      <c r="X14128" t="s">
        <v>44925</v>
      </c>
    </row>
    <row r="14129" spans="1:24">
      <c r="A14129">
        <f>HYPERLINK("https://www.philgeps.gov.ph/GEPSNONPILOT/Tender/SplashBidNoticeAbstractUI.aspx?menuIndex=3&amp;refID=7046517&amp;Result=3","7046517")</f>
        <v>0</v>
      </c>
      <c r="B14129" t="s">
        <v>3441</v>
      </c>
      <c r="C14129" t="s">
        <v>17045</v>
      </c>
      <c r="D14129" t="s">
        <v>18116</v>
      </c>
      <c r="E14129" t="s">
        <v>24279</v>
      </c>
      <c r="F14129" t="s">
        <v>31362</v>
      </c>
      <c r="G14129" t="s">
        <v>31369</v>
      </c>
      <c r="H14129" t="s">
        <v>31378</v>
      </c>
      <c r="I14129" t="s">
        <v>31386</v>
      </c>
      <c r="J14129" t="s">
        <v>40046</v>
      </c>
      <c r="K14129" t="s">
        <v>40677</v>
      </c>
      <c r="M14129" t="s">
        <v>44764</v>
      </c>
      <c r="N14129" t="s">
        <v>44905</v>
      </c>
      <c r="O14129" t="s">
        <v>44906</v>
      </c>
      <c r="P14129">
        <v>0</v>
      </c>
      <c r="Q14129">
        <v>0</v>
      </c>
      <c r="R14129" t="s">
        <v>44924</v>
      </c>
      <c r="S14129" t="s">
        <v>45829</v>
      </c>
      <c r="T14129" t="s">
        <v>46735</v>
      </c>
      <c r="U14129" t="s">
        <v>58178</v>
      </c>
      <c r="W14129" t="s">
        <v>44764</v>
      </c>
      <c r="X14129" t="s">
        <v>44925</v>
      </c>
    </row>
    <row r="14130" spans="1:24">
      <c r="A14130">
        <f>HYPERLINK("https://www.philgeps.gov.ph/GEPSNONPILOT/Tender/SplashBidNoticeAbstractUI.aspx?menuIndex=3&amp;refID=7046487&amp;Result=3","7046487")</f>
        <v>0</v>
      </c>
      <c r="B14130" t="s">
        <v>226</v>
      </c>
      <c r="C14130" t="s">
        <v>17046</v>
      </c>
      <c r="D14130" t="s">
        <v>18132</v>
      </c>
      <c r="E14130" t="s">
        <v>30417</v>
      </c>
      <c r="F14130" t="s">
        <v>31362</v>
      </c>
      <c r="G14130" t="s">
        <v>31373</v>
      </c>
      <c r="H14130" t="s">
        <v>31378</v>
      </c>
      <c r="I14130" t="s">
        <v>31386</v>
      </c>
      <c r="J14130" t="s">
        <v>40047</v>
      </c>
      <c r="K14130" t="s">
        <v>40679</v>
      </c>
      <c r="M14130" t="s">
        <v>43477</v>
      </c>
      <c r="N14130" t="s">
        <v>44905</v>
      </c>
      <c r="O14130" t="s">
        <v>44906</v>
      </c>
      <c r="P14130">
        <v>0</v>
      </c>
      <c r="Q14130">
        <v>0</v>
      </c>
      <c r="R14130" t="s">
        <v>44924</v>
      </c>
      <c r="S14130" t="s">
        <v>45829</v>
      </c>
      <c r="T14130" t="s">
        <v>46447</v>
      </c>
      <c r="U14130" t="s">
        <v>53209</v>
      </c>
      <c r="V14130" t="s">
        <v>60677</v>
      </c>
      <c r="W14130" t="s">
        <v>60930</v>
      </c>
      <c r="X14130" t="s">
        <v>44925</v>
      </c>
    </row>
    <row r="14131" spans="1:24">
      <c r="A14131">
        <f>HYPERLINK("https://www.philgeps.gov.ph/GEPSNONPILOT/Tender/SplashBidNoticeAbstractUI.aspx?menuIndex=3&amp;refID=7046420&amp;Result=3","7046420")</f>
        <v>0</v>
      </c>
      <c r="B14131" t="s">
        <v>487</v>
      </c>
      <c r="C14131" t="s">
        <v>17047</v>
      </c>
      <c r="E14131" t="s">
        <v>30418</v>
      </c>
      <c r="F14131" t="s">
        <v>31362</v>
      </c>
      <c r="G14131" t="s">
        <v>31369</v>
      </c>
      <c r="H14131" t="s">
        <v>15799</v>
      </c>
      <c r="I14131" t="s">
        <v>31400</v>
      </c>
      <c r="J14131" t="s">
        <v>40048</v>
      </c>
      <c r="K14131" t="s">
        <v>40662</v>
      </c>
      <c r="M14131" t="s">
        <v>41442</v>
      </c>
      <c r="N14131" t="s">
        <v>44905</v>
      </c>
      <c r="O14131" t="s">
        <v>44906</v>
      </c>
      <c r="P14131">
        <v>0</v>
      </c>
      <c r="Q14131">
        <v>3</v>
      </c>
      <c r="R14131" t="s">
        <v>44924</v>
      </c>
      <c r="S14131" t="s">
        <v>45829</v>
      </c>
      <c r="T14131" t="s">
        <v>46410</v>
      </c>
      <c r="U14131" t="s">
        <v>58179</v>
      </c>
      <c r="W14131" t="s">
        <v>41442</v>
      </c>
      <c r="X14131" t="s">
        <v>44925</v>
      </c>
    </row>
    <row r="14132" spans="1:24">
      <c r="A14132">
        <f>HYPERLINK("https://www.philgeps.gov.ph/GEPSNONPILOT/Tender/SplashBidNoticeAbstractUI.aspx?menuIndex=3&amp;refID=7046453&amp;Result=3","7046453")</f>
        <v>0</v>
      </c>
      <c r="B14132" t="s">
        <v>226</v>
      </c>
      <c r="C14132" t="s">
        <v>17048</v>
      </c>
      <c r="D14132" t="s">
        <v>18132</v>
      </c>
      <c r="E14132" t="s">
        <v>30419</v>
      </c>
      <c r="F14132" t="s">
        <v>31362</v>
      </c>
      <c r="G14132" t="s">
        <v>31373</v>
      </c>
      <c r="H14132" t="s">
        <v>31378</v>
      </c>
      <c r="I14132" t="s">
        <v>31386</v>
      </c>
      <c r="J14132" t="s">
        <v>40049</v>
      </c>
      <c r="K14132" t="s">
        <v>40793</v>
      </c>
      <c r="M14132" t="s">
        <v>43477</v>
      </c>
      <c r="N14132" t="s">
        <v>44905</v>
      </c>
      <c r="O14132" t="s">
        <v>44906</v>
      </c>
      <c r="P14132">
        <v>0</v>
      </c>
      <c r="Q14132">
        <v>0</v>
      </c>
      <c r="R14132" t="s">
        <v>44924</v>
      </c>
      <c r="S14132" t="s">
        <v>45829</v>
      </c>
      <c r="T14132" t="s">
        <v>46447</v>
      </c>
      <c r="U14132" t="s">
        <v>53209</v>
      </c>
      <c r="V14132" t="s">
        <v>60678</v>
      </c>
      <c r="W14132" t="s">
        <v>60930</v>
      </c>
      <c r="X14132" t="s">
        <v>44925</v>
      </c>
    </row>
    <row r="14133" spans="1:24">
      <c r="A14133">
        <f>HYPERLINK("https://www.philgeps.gov.ph/GEPSNONPILOT/Tender/SplashBidNoticeAbstractUI.aspx?menuIndex=3&amp;refID=7046438&amp;Result=3","7046438")</f>
        <v>0</v>
      </c>
      <c r="B14133" t="s">
        <v>3439</v>
      </c>
      <c r="C14133" t="s">
        <v>17049</v>
      </c>
      <c r="D14133" t="s">
        <v>18133</v>
      </c>
      <c r="E14133" t="s">
        <v>19844</v>
      </c>
      <c r="F14133" t="s">
        <v>31362</v>
      </c>
      <c r="G14133" t="s">
        <v>31369</v>
      </c>
      <c r="H14133" t="s">
        <v>31378</v>
      </c>
      <c r="I14133" t="s">
        <v>31386</v>
      </c>
      <c r="J14133" t="s">
        <v>31637</v>
      </c>
      <c r="K14133" t="s">
        <v>40682</v>
      </c>
      <c r="M14133" t="s">
        <v>44762</v>
      </c>
      <c r="N14133" t="s">
        <v>44905</v>
      </c>
      <c r="O14133" t="s">
        <v>44906</v>
      </c>
      <c r="P14133">
        <v>0</v>
      </c>
      <c r="Q14133">
        <v>5</v>
      </c>
      <c r="R14133" t="s">
        <v>44924</v>
      </c>
      <c r="S14133" t="s">
        <v>45829</v>
      </c>
      <c r="T14133" t="s">
        <v>46393</v>
      </c>
      <c r="U14133" t="s">
        <v>58180</v>
      </c>
      <c r="W14133" t="s">
        <v>44762</v>
      </c>
      <c r="X14133" t="s">
        <v>44925</v>
      </c>
    </row>
    <row r="14134" spans="1:24">
      <c r="A14134">
        <f>HYPERLINK("https://www.philgeps.gov.ph/GEPSNONPILOT/Tender/SplashBidNoticeAbstractUI.aspx?menuIndex=3&amp;refID=7046416&amp;Result=3","7046416")</f>
        <v>0</v>
      </c>
      <c r="B14134" t="s">
        <v>226</v>
      </c>
      <c r="C14134" t="s">
        <v>17050</v>
      </c>
      <c r="D14134" t="s">
        <v>18132</v>
      </c>
      <c r="E14134" t="s">
        <v>30420</v>
      </c>
      <c r="F14134" t="s">
        <v>31362</v>
      </c>
      <c r="G14134" t="s">
        <v>31373</v>
      </c>
      <c r="H14134" t="s">
        <v>31378</v>
      </c>
      <c r="I14134" t="s">
        <v>31386</v>
      </c>
      <c r="J14134" t="s">
        <v>40050</v>
      </c>
      <c r="K14134" t="s">
        <v>40686</v>
      </c>
      <c r="M14134" t="s">
        <v>43477</v>
      </c>
      <c r="N14134" t="s">
        <v>44905</v>
      </c>
      <c r="O14134" t="s">
        <v>44906</v>
      </c>
      <c r="P14134">
        <v>0</v>
      </c>
      <c r="Q14134">
        <v>0</v>
      </c>
      <c r="R14134" t="s">
        <v>44924</v>
      </c>
      <c r="S14134" t="s">
        <v>45829</v>
      </c>
      <c r="T14134" t="s">
        <v>46447</v>
      </c>
      <c r="U14134" t="s">
        <v>53209</v>
      </c>
      <c r="V14134" t="s">
        <v>60677</v>
      </c>
      <c r="W14134" t="s">
        <v>60930</v>
      </c>
      <c r="X14134" t="s">
        <v>44925</v>
      </c>
    </row>
    <row r="14135" spans="1:24">
      <c r="A14135">
        <f>HYPERLINK("https://www.philgeps.gov.ph/GEPSNONPILOT/Tender/SplashBidNoticeAbstractUI.aspx?menuIndex=3&amp;refID=7046395&amp;Result=3","7046395")</f>
        <v>0</v>
      </c>
      <c r="B14135" t="s">
        <v>2676</v>
      </c>
      <c r="C14135" t="s">
        <v>17051</v>
      </c>
      <c r="D14135" t="s">
        <v>18170</v>
      </c>
      <c r="E14135" t="s">
        <v>30421</v>
      </c>
      <c r="F14135" t="s">
        <v>31362</v>
      </c>
      <c r="G14135" t="s">
        <v>31369</v>
      </c>
      <c r="H14135" t="s">
        <v>15799</v>
      </c>
      <c r="I14135" t="s">
        <v>31382</v>
      </c>
      <c r="J14135" t="s">
        <v>32268</v>
      </c>
      <c r="K14135" t="s">
        <v>40665</v>
      </c>
      <c r="M14135" t="s">
        <v>43862</v>
      </c>
      <c r="N14135" t="s">
        <v>44905</v>
      </c>
      <c r="O14135" t="s">
        <v>44906</v>
      </c>
      <c r="P14135">
        <v>0</v>
      </c>
      <c r="Q14135">
        <v>3</v>
      </c>
      <c r="R14135" t="s">
        <v>44924</v>
      </c>
      <c r="S14135" t="s">
        <v>45829</v>
      </c>
      <c r="T14135" t="s">
        <v>46393</v>
      </c>
      <c r="U14135" t="s">
        <v>58181</v>
      </c>
      <c r="W14135" t="s">
        <v>43862</v>
      </c>
      <c r="X14135" t="s">
        <v>44925</v>
      </c>
    </row>
    <row r="14136" spans="1:24">
      <c r="A14136">
        <f>HYPERLINK("https://www.philgeps.gov.ph/GEPSNONPILOT/Tender/SplashBidNoticeAbstractUI.aspx?menuIndex=3&amp;refID=7046428&amp;Result=3","7046428")</f>
        <v>0</v>
      </c>
      <c r="B14136" t="s">
        <v>286</v>
      </c>
      <c r="C14136" t="s">
        <v>17052</v>
      </c>
      <c r="E14136" t="s">
        <v>30422</v>
      </c>
      <c r="F14136" t="s">
        <v>31362</v>
      </c>
      <c r="G14136" t="s">
        <v>31369</v>
      </c>
      <c r="H14136" t="s">
        <v>31378</v>
      </c>
      <c r="I14136" t="s">
        <v>31386</v>
      </c>
      <c r="J14136" t="s">
        <v>40051</v>
      </c>
      <c r="K14136" t="s">
        <v>40738</v>
      </c>
      <c r="M14136" t="s">
        <v>41229</v>
      </c>
      <c r="N14136" t="s">
        <v>44905</v>
      </c>
      <c r="O14136" t="s">
        <v>44906</v>
      </c>
      <c r="P14136">
        <v>0</v>
      </c>
      <c r="Q14136">
        <v>4</v>
      </c>
      <c r="R14136" t="s">
        <v>44924</v>
      </c>
      <c r="S14136" t="s">
        <v>45829</v>
      </c>
      <c r="T14136" t="s">
        <v>46411</v>
      </c>
      <c r="U14136" t="s">
        <v>58162</v>
      </c>
      <c r="W14136" t="s">
        <v>41229</v>
      </c>
      <c r="X14136" t="s">
        <v>44925</v>
      </c>
    </row>
    <row r="14137" spans="1:24">
      <c r="A14137">
        <f>HYPERLINK("https://www.philgeps.gov.ph/GEPSNONPILOT/Tender/SplashBidNoticeAbstractUI.aspx?menuIndex=3&amp;refID=7045523&amp;Result=3","7045523")</f>
        <v>0</v>
      </c>
      <c r="B14137" t="s">
        <v>3442</v>
      </c>
      <c r="C14137" t="s">
        <v>17053</v>
      </c>
      <c r="D14137" t="s">
        <v>18164</v>
      </c>
      <c r="E14137" t="s">
        <v>30423</v>
      </c>
      <c r="F14137" t="s">
        <v>31362</v>
      </c>
      <c r="G14137" t="s">
        <v>31369</v>
      </c>
      <c r="H14137" t="s">
        <v>15799</v>
      </c>
      <c r="I14137" t="s">
        <v>31422</v>
      </c>
      <c r="J14137" t="s">
        <v>40052</v>
      </c>
      <c r="K14137" t="s">
        <v>40665</v>
      </c>
      <c r="M14137" t="s">
        <v>44765</v>
      </c>
      <c r="N14137" t="s">
        <v>44905</v>
      </c>
      <c r="O14137" t="s">
        <v>44906</v>
      </c>
      <c r="P14137">
        <v>0</v>
      </c>
      <c r="Q14137">
        <v>1</v>
      </c>
      <c r="R14137" t="s">
        <v>44924</v>
      </c>
      <c r="S14137" t="s">
        <v>45829</v>
      </c>
      <c r="T14137" t="s">
        <v>46394</v>
      </c>
      <c r="U14137" t="s">
        <v>58182</v>
      </c>
      <c r="V14137" t="s">
        <v>60679</v>
      </c>
      <c r="W14137" t="s">
        <v>44765</v>
      </c>
      <c r="X14137" t="s">
        <v>44925</v>
      </c>
    </row>
    <row r="14138" spans="1:24">
      <c r="A14138">
        <f>HYPERLINK("https://www.philgeps.gov.ph/GEPSNONPILOT/Tender/SplashBidNoticeAbstractUI.aspx?menuIndex=3&amp;refID=7046384&amp;Result=3","7046384")</f>
        <v>0</v>
      </c>
      <c r="B14138" t="s">
        <v>3443</v>
      </c>
      <c r="C14138" t="s">
        <v>17054</v>
      </c>
      <c r="D14138" t="s">
        <v>18162</v>
      </c>
      <c r="E14138" t="s">
        <v>30424</v>
      </c>
      <c r="F14138" t="s">
        <v>31362</v>
      </c>
      <c r="G14138" t="s">
        <v>31369</v>
      </c>
      <c r="H14138" t="s">
        <v>31378</v>
      </c>
      <c r="I14138" t="s">
        <v>31439</v>
      </c>
      <c r="J14138" t="s">
        <v>31615</v>
      </c>
      <c r="K14138" t="s">
        <v>40675</v>
      </c>
      <c r="M14138" t="s">
        <v>44766</v>
      </c>
      <c r="N14138" t="s">
        <v>44905</v>
      </c>
      <c r="O14138" t="s">
        <v>44906</v>
      </c>
      <c r="P14138">
        <v>0</v>
      </c>
      <c r="Q14138">
        <v>6</v>
      </c>
      <c r="R14138" t="s">
        <v>44924</v>
      </c>
      <c r="S14138" t="s">
        <v>45829</v>
      </c>
      <c r="T14138" t="s">
        <v>46528</v>
      </c>
      <c r="U14138" t="s">
        <v>58183</v>
      </c>
      <c r="W14138" t="s">
        <v>44766</v>
      </c>
      <c r="X14138" t="s">
        <v>44925</v>
      </c>
    </row>
    <row r="14139" spans="1:24">
      <c r="A14139">
        <f>HYPERLINK("https://www.philgeps.gov.ph/GEPSNONPILOT/Tender/SplashBidNoticeAbstractUI.aspx?menuIndex=3&amp;refID=7046381&amp;Result=3","7046381")</f>
        <v>0</v>
      </c>
      <c r="B14139" t="s">
        <v>286</v>
      </c>
      <c r="C14139" t="s">
        <v>17055</v>
      </c>
      <c r="E14139" t="s">
        <v>30425</v>
      </c>
      <c r="F14139" t="s">
        <v>31362</v>
      </c>
      <c r="G14139" t="s">
        <v>31369</v>
      </c>
      <c r="H14139" t="s">
        <v>31378</v>
      </c>
      <c r="I14139" t="s">
        <v>31386</v>
      </c>
      <c r="J14139" t="s">
        <v>40053</v>
      </c>
      <c r="K14139" t="s">
        <v>40682</v>
      </c>
      <c r="M14139" t="s">
        <v>41229</v>
      </c>
      <c r="N14139" t="s">
        <v>44905</v>
      </c>
      <c r="O14139" t="s">
        <v>44906</v>
      </c>
      <c r="P14139">
        <v>0</v>
      </c>
      <c r="Q14139">
        <v>3</v>
      </c>
      <c r="R14139" t="s">
        <v>44924</v>
      </c>
      <c r="S14139" t="s">
        <v>45829</v>
      </c>
      <c r="T14139" t="s">
        <v>46411</v>
      </c>
      <c r="U14139" t="s">
        <v>58158</v>
      </c>
      <c r="W14139" t="s">
        <v>41229</v>
      </c>
      <c r="X14139" t="s">
        <v>44925</v>
      </c>
    </row>
    <row r="14140" spans="1:24">
      <c r="A14140">
        <f>HYPERLINK("https://www.philgeps.gov.ph/GEPSNONPILOT/Tender/SplashBidNoticeAbstractUI.aspx?menuIndex=3&amp;refID=7046344&amp;Result=3","7046344")</f>
        <v>0</v>
      </c>
      <c r="B14140" t="s">
        <v>1536</v>
      </c>
      <c r="C14140" t="s">
        <v>17056</v>
      </c>
      <c r="D14140" t="s">
        <v>18148</v>
      </c>
      <c r="E14140" t="s">
        <v>30426</v>
      </c>
      <c r="F14140" t="s">
        <v>31362</v>
      </c>
      <c r="G14140" t="s">
        <v>31369</v>
      </c>
      <c r="H14140" t="s">
        <v>15799</v>
      </c>
      <c r="I14140" t="s">
        <v>3815</v>
      </c>
      <c r="J14140" t="s">
        <v>40054</v>
      </c>
      <c r="K14140" t="s">
        <v>40661</v>
      </c>
      <c r="M14140" t="s">
        <v>42583</v>
      </c>
      <c r="N14140" t="s">
        <v>44905</v>
      </c>
      <c r="O14140" t="s">
        <v>44906</v>
      </c>
      <c r="P14140">
        <v>0</v>
      </c>
      <c r="Q14140">
        <v>2</v>
      </c>
      <c r="R14140" t="s">
        <v>44924</v>
      </c>
      <c r="S14140" t="s">
        <v>45829</v>
      </c>
      <c r="T14140" t="s">
        <v>46530</v>
      </c>
      <c r="U14140" t="s">
        <v>58184</v>
      </c>
      <c r="W14140" t="s">
        <v>42583</v>
      </c>
      <c r="X14140" t="s">
        <v>44925</v>
      </c>
    </row>
    <row r="14141" spans="1:24">
      <c r="A14141">
        <f>HYPERLINK("https://www.philgeps.gov.ph/GEPSNONPILOT/Tender/SplashBidNoticeAbstractUI.aspx?menuIndex=3&amp;refID=7046421&amp;Result=3","7046421")</f>
        <v>0</v>
      </c>
      <c r="B14141" t="s">
        <v>1719</v>
      </c>
      <c r="C14141" t="s">
        <v>17057</v>
      </c>
      <c r="D14141" t="s">
        <v>18108</v>
      </c>
      <c r="E14141" t="s">
        <v>30427</v>
      </c>
      <c r="F14141" t="s">
        <v>31362</v>
      </c>
      <c r="G14141" t="s">
        <v>31369</v>
      </c>
      <c r="H14141" t="s">
        <v>15799</v>
      </c>
      <c r="I14141" t="s">
        <v>3582</v>
      </c>
      <c r="J14141" t="s">
        <v>40055</v>
      </c>
      <c r="K14141" t="s">
        <v>40662</v>
      </c>
      <c r="M14141" t="s">
        <v>44767</v>
      </c>
      <c r="N14141" t="s">
        <v>44905</v>
      </c>
      <c r="O14141" t="s">
        <v>44906</v>
      </c>
      <c r="P14141">
        <v>0</v>
      </c>
      <c r="Q14141">
        <v>3</v>
      </c>
      <c r="R14141" t="s">
        <v>44924</v>
      </c>
      <c r="S14141" t="s">
        <v>45829</v>
      </c>
      <c r="T14141" t="s">
        <v>46425</v>
      </c>
      <c r="U14141" t="s">
        <v>58185</v>
      </c>
      <c r="V14141" t="s">
        <v>60680</v>
      </c>
      <c r="W14141" t="s">
        <v>44767</v>
      </c>
      <c r="X14141" t="s">
        <v>44925</v>
      </c>
    </row>
    <row r="14142" spans="1:24">
      <c r="A14142">
        <f>HYPERLINK("https://www.philgeps.gov.ph/GEPSNONPILOT/Tender/SplashBidNoticeAbstractUI.aspx?menuIndex=3&amp;refID=7046624&amp;Result=3","7046624")</f>
        <v>0</v>
      </c>
      <c r="B14142" t="s">
        <v>360</v>
      </c>
      <c r="C14142" t="s">
        <v>17058</v>
      </c>
      <c r="D14142" t="s">
        <v>18161</v>
      </c>
      <c r="E14142" t="s">
        <v>30428</v>
      </c>
      <c r="F14142" t="s">
        <v>31362</v>
      </c>
      <c r="G14142" t="s">
        <v>31369</v>
      </c>
      <c r="H14142" t="s">
        <v>15799</v>
      </c>
      <c r="I14142" t="s">
        <v>31399</v>
      </c>
      <c r="J14142" t="s">
        <v>40056</v>
      </c>
      <c r="K14142" t="s">
        <v>40662</v>
      </c>
      <c r="M14142" t="s">
        <v>41307</v>
      </c>
      <c r="N14142" t="s">
        <v>44905</v>
      </c>
      <c r="O14142" t="s">
        <v>44906</v>
      </c>
      <c r="Q14142">
        <v>8</v>
      </c>
      <c r="R14142" t="s">
        <v>44924</v>
      </c>
      <c r="S14142" t="s">
        <v>45875</v>
      </c>
      <c r="T14142" t="s">
        <v>46432</v>
      </c>
      <c r="U14142" t="s">
        <v>58186</v>
      </c>
      <c r="W14142" t="s">
        <v>41307</v>
      </c>
      <c r="X14142" t="s">
        <v>44925</v>
      </c>
    </row>
    <row r="14143" spans="1:24">
      <c r="A14143">
        <f>HYPERLINK("https://www.philgeps.gov.ph/GEPSNONPILOT/Tender/SplashBidNoticeAbstractUI.aspx?menuIndex=3&amp;refID=7046417&amp;Result=3","7046417")</f>
        <v>0</v>
      </c>
      <c r="B14143" t="s">
        <v>658</v>
      </c>
      <c r="C14143" t="s">
        <v>17059</v>
      </c>
      <c r="D14143" t="s">
        <v>18108</v>
      </c>
      <c r="E14143" t="s">
        <v>20853</v>
      </c>
      <c r="F14143" t="s">
        <v>31362</v>
      </c>
      <c r="G14143" t="s">
        <v>31369</v>
      </c>
      <c r="H14143" t="s">
        <v>31378</v>
      </c>
      <c r="I14143" t="s">
        <v>31386</v>
      </c>
      <c r="J14143" t="s">
        <v>40057</v>
      </c>
      <c r="K14143" t="s">
        <v>40663</v>
      </c>
      <c r="M14143" t="s">
        <v>44768</v>
      </c>
      <c r="N14143" t="s">
        <v>44905</v>
      </c>
      <c r="O14143" t="s">
        <v>44906</v>
      </c>
      <c r="P14143">
        <v>0</v>
      </c>
      <c r="Q14143">
        <v>12</v>
      </c>
      <c r="R14143" t="s">
        <v>44924</v>
      </c>
      <c r="S14143" t="s">
        <v>45829</v>
      </c>
      <c r="T14143" t="s">
        <v>46393</v>
      </c>
      <c r="U14143" t="s">
        <v>58187</v>
      </c>
      <c r="W14143" t="s">
        <v>44768</v>
      </c>
      <c r="X14143" t="s">
        <v>44925</v>
      </c>
    </row>
    <row r="14144" spans="1:24">
      <c r="A14144">
        <f>HYPERLINK("https://www.philgeps.gov.ph/GEPSNONPILOT/Tender/SplashBidNoticeAbstractUI.aspx?menuIndex=3&amp;refID=7046634&amp;Result=3","7046634")</f>
        <v>0</v>
      </c>
      <c r="B14144" t="s">
        <v>122</v>
      </c>
      <c r="C14144" t="s">
        <v>17060</v>
      </c>
      <c r="D14144" t="s">
        <v>18158</v>
      </c>
      <c r="E14144" t="s">
        <v>30429</v>
      </c>
      <c r="F14144" t="s">
        <v>31362</v>
      </c>
      <c r="G14144" t="s">
        <v>31369</v>
      </c>
      <c r="H14144" t="s">
        <v>15799</v>
      </c>
      <c r="I14144" t="s">
        <v>31426</v>
      </c>
      <c r="J14144" t="s">
        <v>40058</v>
      </c>
      <c r="K14144" t="s">
        <v>40728</v>
      </c>
      <c r="M14144" t="s">
        <v>41059</v>
      </c>
      <c r="N14144" t="s">
        <v>44905</v>
      </c>
      <c r="O14144" t="s">
        <v>44906</v>
      </c>
      <c r="Q14144">
        <v>8</v>
      </c>
      <c r="R14144" t="s">
        <v>44924</v>
      </c>
      <c r="S14144" t="s">
        <v>45876</v>
      </c>
      <c r="T14144" t="s">
        <v>46532</v>
      </c>
      <c r="U14144" t="s">
        <v>58188</v>
      </c>
      <c r="V14144" t="s">
        <v>60681</v>
      </c>
      <c r="W14144" t="s">
        <v>41059</v>
      </c>
      <c r="X14144" t="s">
        <v>44925</v>
      </c>
    </row>
    <row r="14145" spans="1:24">
      <c r="A14145">
        <f>HYPERLINK("https://www.philgeps.gov.ph/GEPSNONPILOT/Tender/SplashBidNoticeAbstractUI.aspx?menuIndex=3&amp;refID=7046627&amp;Result=3","7046627")</f>
        <v>0</v>
      </c>
      <c r="B14145" t="s">
        <v>3439</v>
      </c>
      <c r="C14145" t="s">
        <v>17061</v>
      </c>
      <c r="D14145" t="s">
        <v>18133</v>
      </c>
      <c r="E14145" t="s">
        <v>19498</v>
      </c>
      <c r="F14145" t="s">
        <v>31362</v>
      </c>
      <c r="G14145" t="s">
        <v>31369</v>
      </c>
      <c r="H14145" t="s">
        <v>31378</v>
      </c>
      <c r="I14145" t="s">
        <v>31386</v>
      </c>
      <c r="J14145" t="s">
        <v>32594</v>
      </c>
      <c r="K14145" t="s">
        <v>40683</v>
      </c>
      <c r="M14145" t="s">
        <v>44762</v>
      </c>
      <c r="N14145" t="s">
        <v>44905</v>
      </c>
      <c r="O14145" t="s">
        <v>44906</v>
      </c>
      <c r="P14145">
        <v>0</v>
      </c>
      <c r="Q14145">
        <v>4</v>
      </c>
      <c r="R14145" t="s">
        <v>44924</v>
      </c>
      <c r="S14145" t="s">
        <v>45829</v>
      </c>
      <c r="T14145" t="s">
        <v>46393</v>
      </c>
      <c r="U14145" t="s">
        <v>58189</v>
      </c>
      <c r="W14145" t="s">
        <v>44762</v>
      </c>
      <c r="X14145" t="s">
        <v>44925</v>
      </c>
    </row>
    <row r="14146" spans="1:24">
      <c r="A14146">
        <f>HYPERLINK("https://www.philgeps.gov.ph/GEPSNONPILOT/Tender/SplashBidNoticeAbstractUI.aspx?menuIndex=3&amp;refID=7046642&amp;Result=3","7046642")</f>
        <v>0</v>
      </c>
      <c r="B14146" t="s">
        <v>2813</v>
      </c>
      <c r="C14146" t="s">
        <v>17062</v>
      </c>
      <c r="D14146" t="s">
        <v>18118</v>
      </c>
      <c r="E14146" t="s">
        <v>30430</v>
      </c>
      <c r="F14146" t="s">
        <v>31362</v>
      </c>
      <c r="G14146" t="s">
        <v>31369</v>
      </c>
      <c r="H14146" t="s">
        <v>31378</v>
      </c>
      <c r="I14146" t="s">
        <v>31386</v>
      </c>
      <c r="J14146" t="s">
        <v>40059</v>
      </c>
      <c r="K14146" t="s">
        <v>40662</v>
      </c>
      <c r="M14146" t="s">
        <v>44101</v>
      </c>
      <c r="N14146" t="s">
        <v>44905</v>
      </c>
      <c r="O14146" t="s">
        <v>44906</v>
      </c>
      <c r="P14146">
        <v>0</v>
      </c>
      <c r="Q14146">
        <v>2</v>
      </c>
      <c r="R14146" t="s">
        <v>44924</v>
      </c>
      <c r="S14146" t="s">
        <v>45829</v>
      </c>
      <c r="T14146" t="s">
        <v>46410</v>
      </c>
      <c r="U14146" t="s">
        <v>55273</v>
      </c>
      <c r="W14146" t="s">
        <v>44101</v>
      </c>
      <c r="X14146" t="s">
        <v>44925</v>
      </c>
    </row>
    <row r="14147" spans="1:24">
      <c r="A14147">
        <f>HYPERLINK("https://www.philgeps.gov.ph/GEPSNONPILOT/Tender/SplashBidNoticeAbstractUI.aspx?menuIndex=3&amp;refID=7046351&amp;Result=3","7046351")</f>
        <v>0</v>
      </c>
      <c r="B14147" t="s">
        <v>286</v>
      </c>
      <c r="C14147" t="s">
        <v>17063</v>
      </c>
      <c r="E14147" t="s">
        <v>30431</v>
      </c>
      <c r="F14147" t="s">
        <v>31362</v>
      </c>
      <c r="G14147" t="s">
        <v>31369</v>
      </c>
      <c r="H14147" t="s">
        <v>31378</v>
      </c>
      <c r="I14147" t="s">
        <v>31386</v>
      </c>
      <c r="J14147" t="s">
        <v>40060</v>
      </c>
      <c r="K14147" t="s">
        <v>40892</v>
      </c>
      <c r="M14147" t="s">
        <v>41229</v>
      </c>
      <c r="N14147" t="s">
        <v>44905</v>
      </c>
      <c r="O14147" t="s">
        <v>44906</v>
      </c>
      <c r="P14147">
        <v>0</v>
      </c>
      <c r="Q14147">
        <v>1</v>
      </c>
      <c r="R14147" t="s">
        <v>44924</v>
      </c>
      <c r="S14147" t="s">
        <v>45829</v>
      </c>
      <c r="T14147" t="s">
        <v>46411</v>
      </c>
      <c r="U14147" t="s">
        <v>58153</v>
      </c>
      <c r="W14147" t="s">
        <v>41229</v>
      </c>
      <c r="X14147" t="s">
        <v>44925</v>
      </c>
    </row>
    <row r="14148" spans="1:24">
      <c r="A14148">
        <f>HYPERLINK("https://www.philgeps.gov.ph/GEPSNONPILOT/Tender/SplashBidNoticeAbstractUI.aspx?menuIndex=3&amp;refID=7046626&amp;Result=3","7046626")</f>
        <v>0</v>
      </c>
      <c r="B14148" t="s">
        <v>1204</v>
      </c>
      <c r="C14148" t="s">
        <v>17064</v>
      </c>
      <c r="D14148" t="s">
        <v>18153</v>
      </c>
      <c r="E14148" t="s">
        <v>30432</v>
      </c>
      <c r="F14148" t="s">
        <v>31362</v>
      </c>
      <c r="G14148" t="s">
        <v>31369</v>
      </c>
      <c r="H14148" t="s">
        <v>31378</v>
      </c>
      <c r="I14148" t="s">
        <v>31386</v>
      </c>
      <c r="J14148" t="s">
        <v>31696</v>
      </c>
      <c r="K14148" t="s">
        <v>40683</v>
      </c>
      <c r="M14148" t="s">
        <v>42217</v>
      </c>
      <c r="N14148" t="s">
        <v>44905</v>
      </c>
      <c r="O14148" t="s">
        <v>44906</v>
      </c>
      <c r="Q14148">
        <v>5</v>
      </c>
      <c r="R14148" t="s">
        <v>44924</v>
      </c>
      <c r="S14148" t="s">
        <v>45877</v>
      </c>
      <c r="T14148" t="s">
        <v>46409</v>
      </c>
      <c r="U14148" t="s">
        <v>49559</v>
      </c>
      <c r="W14148" t="s">
        <v>42217</v>
      </c>
      <c r="X14148" t="s">
        <v>44925</v>
      </c>
    </row>
    <row r="14149" spans="1:24">
      <c r="A14149">
        <f>HYPERLINK("https://www.philgeps.gov.ph/GEPSNONPILOT/Tender/SplashBidNoticeAbstractUI.aspx?menuIndex=3&amp;refID=7046638&amp;Result=3","7046638")</f>
        <v>0</v>
      </c>
      <c r="B14149" t="s">
        <v>2129</v>
      </c>
      <c r="C14149" t="s">
        <v>17065</v>
      </c>
      <c r="D14149" t="s">
        <v>18170</v>
      </c>
      <c r="E14149" t="s">
        <v>30433</v>
      </c>
      <c r="F14149" t="s">
        <v>31362</v>
      </c>
      <c r="G14149" t="s">
        <v>31369</v>
      </c>
      <c r="H14149" t="s">
        <v>15799</v>
      </c>
      <c r="I14149" t="s">
        <v>31397</v>
      </c>
      <c r="J14149" t="s">
        <v>40061</v>
      </c>
      <c r="K14149" t="s">
        <v>40665</v>
      </c>
      <c r="M14149" t="s">
        <v>43257</v>
      </c>
      <c r="N14149" t="s">
        <v>44905</v>
      </c>
      <c r="O14149" t="s">
        <v>44906</v>
      </c>
      <c r="P14149">
        <v>0</v>
      </c>
      <c r="Q14149">
        <v>0</v>
      </c>
      <c r="R14149" t="s">
        <v>44924</v>
      </c>
      <c r="S14149" t="s">
        <v>45829</v>
      </c>
      <c r="T14149" t="s">
        <v>46447</v>
      </c>
      <c r="U14149" t="s">
        <v>58190</v>
      </c>
      <c r="W14149" t="s">
        <v>43257</v>
      </c>
      <c r="X14149" t="s">
        <v>44925</v>
      </c>
    </row>
    <row r="14150" spans="1:24">
      <c r="A14150">
        <f>HYPERLINK("https://www.philgeps.gov.ph/GEPSNONPILOT/Tender/SplashBidNoticeAbstractUI.aspx?menuIndex=3&amp;refID=7046608&amp;Result=3","7046608")</f>
        <v>0</v>
      </c>
      <c r="B14150" t="s">
        <v>2915</v>
      </c>
      <c r="C14150" t="s">
        <v>17066</v>
      </c>
      <c r="D14150" t="s">
        <v>18142</v>
      </c>
      <c r="E14150" t="s">
        <v>30434</v>
      </c>
      <c r="F14150" t="s">
        <v>31362</v>
      </c>
      <c r="G14150" t="s">
        <v>31369</v>
      </c>
      <c r="H14150" t="s">
        <v>31378</v>
      </c>
      <c r="I14150" t="s">
        <v>31386</v>
      </c>
      <c r="J14150" t="s">
        <v>40062</v>
      </c>
      <c r="K14150" t="s">
        <v>40912</v>
      </c>
      <c r="L14150" t="s">
        <v>2915</v>
      </c>
      <c r="M14150" t="s">
        <v>44131</v>
      </c>
      <c r="N14150" t="s">
        <v>44905</v>
      </c>
      <c r="O14150" t="s">
        <v>44906</v>
      </c>
      <c r="P14150">
        <v>0</v>
      </c>
      <c r="Q14150">
        <v>0</v>
      </c>
      <c r="R14150" t="s">
        <v>44924</v>
      </c>
      <c r="S14150" t="s">
        <v>45829</v>
      </c>
      <c r="T14150" t="s">
        <v>46409</v>
      </c>
      <c r="U14150" t="s">
        <v>58191</v>
      </c>
      <c r="V14150" t="s">
        <v>60682</v>
      </c>
      <c r="W14150" t="s">
        <v>44131</v>
      </c>
      <c r="X14150" t="s">
        <v>44925</v>
      </c>
    </row>
    <row r="14151" spans="1:24">
      <c r="A14151">
        <f>HYPERLINK("https://www.philgeps.gov.ph/GEPSNONPILOT/Tender/SplashBidNoticeAbstractUI.aspx?menuIndex=3&amp;refID=7046607&amp;Result=3","7046607")</f>
        <v>0</v>
      </c>
      <c r="B14151" t="s">
        <v>3162</v>
      </c>
      <c r="C14151" t="s">
        <v>17067</v>
      </c>
      <c r="D14151" t="s">
        <v>18122</v>
      </c>
      <c r="E14151" t="s">
        <v>30435</v>
      </c>
      <c r="F14151" t="s">
        <v>31362</v>
      </c>
      <c r="G14151" t="s">
        <v>31376</v>
      </c>
      <c r="H14151" t="s">
        <v>31377</v>
      </c>
      <c r="I14151" t="s">
        <v>31377</v>
      </c>
      <c r="J14151" t="s">
        <v>40063</v>
      </c>
      <c r="K14151" t="s">
        <v>40678</v>
      </c>
      <c r="M14151" t="s">
        <v>44426</v>
      </c>
      <c r="N14151" t="s">
        <v>44905</v>
      </c>
      <c r="O14151" t="s">
        <v>44906</v>
      </c>
      <c r="Q14151">
        <v>4</v>
      </c>
      <c r="R14151" t="s">
        <v>44924</v>
      </c>
      <c r="S14151" t="s">
        <v>45878</v>
      </c>
      <c r="T14151" t="s">
        <v>46887</v>
      </c>
      <c r="U14151" t="s">
        <v>58192</v>
      </c>
      <c r="W14151" t="s">
        <v>44426</v>
      </c>
      <c r="X14151" t="s">
        <v>44925</v>
      </c>
    </row>
    <row r="14152" spans="1:24">
      <c r="A14152">
        <f>HYPERLINK("https://www.philgeps.gov.ph/GEPSNONPILOT/Tender/SplashBidNoticeAbstractUI.aspx?menuIndex=3&amp;refID=7046601&amp;Result=3","7046601")</f>
        <v>0</v>
      </c>
      <c r="B14152" t="s">
        <v>68</v>
      </c>
      <c r="C14152" t="s">
        <v>17068</v>
      </c>
      <c r="D14152" t="s">
        <v>18117</v>
      </c>
      <c r="E14152" t="s">
        <v>30436</v>
      </c>
      <c r="F14152" t="s">
        <v>31362</v>
      </c>
      <c r="G14152" t="s">
        <v>31369</v>
      </c>
      <c r="H14152" t="s">
        <v>15799</v>
      </c>
      <c r="I14152" t="s">
        <v>31396</v>
      </c>
      <c r="J14152" t="s">
        <v>40064</v>
      </c>
      <c r="K14152" t="s">
        <v>40662</v>
      </c>
      <c r="M14152" t="s">
        <v>41004</v>
      </c>
      <c r="N14152" t="s">
        <v>44905</v>
      </c>
      <c r="O14152" t="s">
        <v>44906</v>
      </c>
      <c r="Q14152">
        <v>74</v>
      </c>
      <c r="R14152" t="s">
        <v>44924</v>
      </c>
      <c r="S14152" t="s">
        <v>45879</v>
      </c>
      <c r="T14152" t="s">
        <v>46409</v>
      </c>
      <c r="U14152" t="s">
        <v>58193</v>
      </c>
      <c r="W14152" t="s">
        <v>41004</v>
      </c>
      <c r="X14152" t="s">
        <v>44925</v>
      </c>
    </row>
    <row r="14153" spans="1:24">
      <c r="A14153">
        <f>HYPERLINK("https://www.philgeps.gov.ph/GEPSNONPILOT/Tender/SplashBidNoticeAbstractUI.aspx?menuIndex=3&amp;refID=7046740&amp;Result=3","7046740")</f>
        <v>0</v>
      </c>
      <c r="B14153" t="s">
        <v>1163</v>
      </c>
      <c r="C14153" t="s">
        <v>17069</v>
      </c>
      <c r="D14153" t="s">
        <v>18154</v>
      </c>
      <c r="E14153" t="s">
        <v>30437</v>
      </c>
      <c r="F14153" t="s">
        <v>31362</v>
      </c>
      <c r="G14153" t="s">
        <v>31369</v>
      </c>
      <c r="H14153" t="s">
        <v>31378</v>
      </c>
      <c r="I14153" t="s">
        <v>31386</v>
      </c>
      <c r="J14153" t="s">
        <v>31606</v>
      </c>
      <c r="K14153" t="s">
        <v>40686</v>
      </c>
      <c r="M14153" t="s">
        <v>42173</v>
      </c>
      <c r="N14153" t="s">
        <v>44905</v>
      </c>
      <c r="O14153" t="s">
        <v>44906</v>
      </c>
      <c r="P14153">
        <v>0</v>
      </c>
      <c r="Q14153">
        <v>2</v>
      </c>
      <c r="R14153" t="s">
        <v>44924</v>
      </c>
      <c r="S14153" t="s">
        <v>45829</v>
      </c>
      <c r="T14153" t="s">
        <v>46393</v>
      </c>
      <c r="U14153" t="s">
        <v>58194</v>
      </c>
      <c r="W14153" t="s">
        <v>42173</v>
      </c>
      <c r="X14153" t="s">
        <v>44925</v>
      </c>
    </row>
    <row r="14154" spans="1:24">
      <c r="A14154">
        <f>HYPERLINK("https://www.philgeps.gov.ph/GEPSNONPILOT/Tender/SplashBidNoticeAbstractUI.aspx?menuIndex=3&amp;refID=7046629&amp;Result=3","7046629")</f>
        <v>0</v>
      </c>
      <c r="B14154" t="s">
        <v>2813</v>
      </c>
      <c r="C14154" t="s">
        <v>17070</v>
      </c>
      <c r="D14154" t="s">
        <v>18118</v>
      </c>
      <c r="E14154" t="s">
        <v>30438</v>
      </c>
      <c r="F14154" t="s">
        <v>31362</v>
      </c>
      <c r="G14154" t="s">
        <v>31369</v>
      </c>
      <c r="H14154" t="s">
        <v>31378</v>
      </c>
      <c r="I14154" t="s">
        <v>31386</v>
      </c>
      <c r="J14154" t="s">
        <v>40065</v>
      </c>
      <c r="K14154" t="s">
        <v>40662</v>
      </c>
      <c r="M14154" t="s">
        <v>44101</v>
      </c>
      <c r="N14154" t="s">
        <v>44905</v>
      </c>
      <c r="O14154" t="s">
        <v>44906</v>
      </c>
      <c r="P14154">
        <v>0</v>
      </c>
      <c r="Q14154">
        <v>1</v>
      </c>
      <c r="R14154" t="s">
        <v>44924</v>
      </c>
      <c r="S14154" t="s">
        <v>45829</v>
      </c>
      <c r="T14154" t="s">
        <v>46410</v>
      </c>
      <c r="U14154" t="s">
        <v>55273</v>
      </c>
      <c r="W14154" t="s">
        <v>44101</v>
      </c>
      <c r="X14154" t="s">
        <v>44925</v>
      </c>
    </row>
    <row r="14155" spans="1:24">
      <c r="A14155">
        <f>HYPERLINK("https://www.philgeps.gov.ph/GEPSNONPILOT/Tender/SplashBidNoticeAbstractUI.aspx?menuIndex=3&amp;refID=7046069&amp;Result=3","7046069")</f>
        <v>0</v>
      </c>
      <c r="B14155" t="s">
        <v>250</v>
      </c>
      <c r="C14155" t="s">
        <v>7952</v>
      </c>
      <c r="D14155" t="s">
        <v>18152</v>
      </c>
      <c r="E14155" t="s">
        <v>30439</v>
      </c>
      <c r="F14155" t="s">
        <v>31362</v>
      </c>
      <c r="G14155" t="s">
        <v>31369</v>
      </c>
      <c r="H14155" t="s">
        <v>15799</v>
      </c>
      <c r="I14155" t="s">
        <v>4283</v>
      </c>
      <c r="J14155" t="s">
        <v>40066</v>
      </c>
      <c r="K14155" t="s">
        <v>40666</v>
      </c>
      <c r="M14155" t="s">
        <v>41189</v>
      </c>
      <c r="N14155" t="s">
        <v>44905</v>
      </c>
      <c r="O14155" t="s">
        <v>44906</v>
      </c>
      <c r="P14155">
        <v>0</v>
      </c>
      <c r="Q14155">
        <v>4</v>
      </c>
      <c r="R14155" t="s">
        <v>44924</v>
      </c>
      <c r="S14155" t="s">
        <v>45829</v>
      </c>
      <c r="T14155" t="s">
        <v>46432</v>
      </c>
      <c r="U14155" t="s">
        <v>58195</v>
      </c>
      <c r="W14155" t="s">
        <v>41189</v>
      </c>
      <c r="X14155" t="s">
        <v>44925</v>
      </c>
    </row>
    <row r="14156" spans="1:24">
      <c r="A14156">
        <f>HYPERLINK("https://www.philgeps.gov.ph/GEPSNONPILOT/Tender/SplashBidNoticeAbstractUI.aspx?menuIndex=3&amp;refID=7045797&amp;Result=3","7045797")</f>
        <v>0</v>
      </c>
      <c r="B14156" t="s">
        <v>3434</v>
      </c>
      <c r="C14156" t="s">
        <v>17071</v>
      </c>
      <c r="D14156" t="s">
        <v>18165</v>
      </c>
      <c r="E14156" t="s">
        <v>30440</v>
      </c>
      <c r="F14156" t="s">
        <v>31362</v>
      </c>
      <c r="G14156" t="s">
        <v>31369</v>
      </c>
      <c r="H14156" t="s">
        <v>15799</v>
      </c>
      <c r="I14156" t="s">
        <v>31386</v>
      </c>
      <c r="J14156" t="s">
        <v>31542</v>
      </c>
      <c r="K14156" t="s">
        <v>40679</v>
      </c>
      <c r="M14156" t="s">
        <v>44756</v>
      </c>
      <c r="N14156" t="s">
        <v>44905</v>
      </c>
      <c r="O14156" t="s">
        <v>44906</v>
      </c>
      <c r="P14156">
        <v>0</v>
      </c>
      <c r="Q14156">
        <v>3</v>
      </c>
      <c r="R14156" t="s">
        <v>44924</v>
      </c>
      <c r="S14156" t="s">
        <v>45829</v>
      </c>
      <c r="T14156" t="s">
        <v>46454</v>
      </c>
      <c r="U14156" t="s">
        <v>58196</v>
      </c>
      <c r="W14156" t="s">
        <v>44756</v>
      </c>
      <c r="X14156" t="s">
        <v>44925</v>
      </c>
    </row>
    <row r="14157" spans="1:24">
      <c r="A14157">
        <f>HYPERLINK("https://www.philgeps.gov.ph/GEPSNONPILOT/Tender/SplashBidNoticeAbstractUI.aspx?menuIndex=3&amp;refID=7046714&amp;Result=3","7046714")</f>
        <v>0</v>
      </c>
      <c r="B14157" t="s">
        <v>3097</v>
      </c>
      <c r="C14157" t="s">
        <v>17072</v>
      </c>
      <c r="D14157" t="s">
        <v>18108</v>
      </c>
      <c r="E14157" t="s">
        <v>27700</v>
      </c>
      <c r="F14157" t="s">
        <v>31362</v>
      </c>
      <c r="G14157" t="s">
        <v>31369</v>
      </c>
      <c r="H14157" t="s">
        <v>15799</v>
      </c>
      <c r="I14157" t="s">
        <v>31385</v>
      </c>
      <c r="J14157" t="s">
        <v>40067</v>
      </c>
      <c r="K14157" t="s">
        <v>40662</v>
      </c>
      <c r="M14157" t="s">
        <v>44342</v>
      </c>
      <c r="N14157" t="s">
        <v>44905</v>
      </c>
      <c r="O14157" t="s">
        <v>44906</v>
      </c>
      <c r="Q14157">
        <v>8</v>
      </c>
      <c r="R14157" t="s">
        <v>44924</v>
      </c>
      <c r="S14157" t="s">
        <v>45880</v>
      </c>
      <c r="T14157" t="s">
        <v>46447</v>
      </c>
      <c r="U14157" t="s">
        <v>58197</v>
      </c>
      <c r="W14157" t="s">
        <v>44342</v>
      </c>
      <c r="X14157" t="s">
        <v>44925</v>
      </c>
    </row>
    <row r="14158" spans="1:24">
      <c r="A14158">
        <f>HYPERLINK("https://www.philgeps.gov.ph/GEPSNONPILOT/Tender/SplashBidNoticeAbstractUI.aspx?menuIndex=3&amp;refID=7046619&amp;Result=3","7046619")</f>
        <v>0</v>
      </c>
      <c r="B14158" t="s">
        <v>2813</v>
      </c>
      <c r="C14158" t="s">
        <v>17073</v>
      </c>
      <c r="D14158" t="s">
        <v>18118</v>
      </c>
      <c r="E14158" t="s">
        <v>30441</v>
      </c>
      <c r="F14158" t="s">
        <v>31362</v>
      </c>
      <c r="G14158" t="s">
        <v>31369</v>
      </c>
      <c r="H14158" t="s">
        <v>31378</v>
      </c>
      <c r="I14158" t="s">
        <v>31386</v>
      </c>
      <c r="J14158" t="s">
        <v>40068</v>
      </c>
      <c r="K14158" t="s">
        <v>40662</v>
      </c>
      <c r="M14158" t="s">
        <v>44101</v>
      </c>
      <c r="N14158" t="s">
        <v>44905</v>
      </c>
      <c r="O14158" t="s">
        <v>44906</v>
      </c>
      <c r="P14158">
        <v>0</v>
      </c>
      <c r="Q14158">
        <v>2</v>
      </c>
      <c r="R14158" t="s">
        <v>44924</v>
      </c>
      <c r="S14158" t="s">
        <v>45829</v>
      </c>
      <c r="T14158" t="s">
        <v>46410</v>
      </c>
      <c r="U14158" t="s">
        <v>55273</v>
      </c>
      <c r="W14158" t="s">
        <v>44101</v>
      </c>
      <c r="X14158" t="s">
        <v>44925</v>
      </c>
    </row>
    <row r="14159" spans="1:24">
      <c r="A14159">
        <f>HYPERLINK("https://www.philgeps.gov.ph/GEPSNONPILOT/Tender/SplashBidNoticeAbstractUI.aspx?menuIndex=3&amp;refID=7046707&amp;Result=3","7046707")</f>
        <v>0</v>
      </c>
      <c r="B14159" t="s">
        <v>3444</v>
      </c>
      <c r="C14159" t="s">
        <v>17074</v>
      </c>
      <c r="D14159" t="s">
        <v>18108</v>
      </c>
      <c r="E14159" t="s">
        <v>30442</v>
      </c>
      <c r="F14159" t="s">
        <v>31362</v>
      </c>
      <c r="G14159" t="s">
        <v>31369</v>
      </c>
      <c r="H14159" t="s">
        <v>31378</v>
      </c>
      <c r="I14159" t="s">
        <v>31386</v>
      </c>
      <c r="J14159" t="s">
        <v>40069</v>
      </c>
      <c r="K14159" t="s">
        <v>40679</v>
      </c>
      <c r="M14159" t="s">
        <v>44769</v>
      </c>
      <c r="N14159" t="s">
        <v>44905</v>
      </c>
      <c r="O14159" t="s">
        <v>44906</v>
      </c>
      <c r="P14159">
        <v>0</v>
      </c>
      <c r="Q14159">
        <v>9</v>
      </c>
      <c r="R14159" t="s">
        <v>44924</v>
      </c>
      <c r="S14159" t="s">
        <v>45829</v>
      </c>
      <c r="T14159" t="s">
        <v>46560</v>
      </c>
      <c r="U14159" t="s">
        <v>58198</v>
      </c>
      <c r="W14159" t="s">
        <v>44769</v>
      </c>
      <c r="X14159" t="s">
        <v>44925</v>
      </c>
    </row>
    <row r="14160" spans="1:24">
      <c r="A14160">
        <f>HYPERLINK("https://www.philgeps.gov.ph/GEPSNONPILOT/Tender/SplashBidNoticeAbstractUI.aspx?menuIndex=3&amp;refID=7046695&amp;Result=3","7046695")</f>
        <v>0</v>
      </c>
      <c r="B14160" t="s">
        <v>122</v>
      </c>
      <c r="C14160" t="s">
        <v>17075</v>
      </c>
      <c r="D14160" t="s">
        <v>18145</v>
      </c>
      <c r="E14160" t="s">
        <v>30443</v>
      </c>
      <c r="F14160" t="s">
        <v>31362</v>
      </c>
      <c r="G14160" t="s">
        <v>31369</v>
      </c>
      <c r="H14160" t="s">
        <v>15799</v>
      </c>
      <c r="I14160" t="s">
        <v>31389</v>
      </c>
      <c r="J14160" t="s">
        <v>40070</v>
      </c>
      <c r="K14160" t="s">
        <v>40682</v>
      </c>
      <c r="M14160" t="s">
        <v>41059</v>
      </c>
      <c r="N14160" t="s">
        <v>44905</v>
      </c>
      <c r="O14160" t="s">
        <v>44906</v>
      </c>
      <c r="Q14160">
        <v>30</v>
      </c>
      <c r="R14160" t="s">
        <v>44924</v>
      </c>
      <c r="S14160" t="s">
        <v>45881</v>
      </c>
      <c r="T14160" t="s">
        <v>46523</v>
      </c>
      <c r="U14160" t="s">
        <v>58199</v>
      </c>
      <c r="V14160" t="s">
        <v>60683</v>
      </c>
      <c r="W14160" t="s">
        <v>41059</v>
      </c>
      <c r="X14160" t="s">
        <v>44925</v>
      </c>
    </row>
    <row r="14161" spans="1:24">
      <c r="A14161">
        <f>HYPERLINK("https://www.philgeps.gov.ph/GEPSNONPILOT/Tender/SplashBidNoticeAbstractUI.aspx?menuIndex=3&amp;refID=7046694&amp;Result=3","7046694")</f>
        <v>0</v>
      </c>
      <c r="B14161" t="s">
        <v>2129</v>
      </c>
      <c r="C14161" t="s">
        <v>17076</v>
      </c>
      <c r="D14161" t="s">
        <v>18170</v>
      </c>
      <c r="E14161" t="s">
        <v>30444</v>
      </c>
      <c r="F14161" t="s">
        <v>31362</v>
      </c>
      <c r="G14161" t="s">
        <v>31369</v>
      </c>
      <c r="H14161" t="s">
        <v>15799</v>
      </c>
      <c r="I14161" t="s">
        <v>7090</v>
      </c>
      <c r="J14161" t="s">
        <v>40071</v>
      </c>
      <c r="K14161" t="s">
        <v>40665</v>
      </c>
      <c r="M14161" t="s">
        <v>43257</v>
      </c>
      <c r="N14161" t="s">
        <v>44905</v>
      </c>
      <c r="O14161" t="s">
        <v>44906</v>
      </c>
      <c r="P14161">
        <v>0</v>
      </c>
      <c r="Q14161">
        <v>0</v>
      </c>
      <c r="R14161" t="s">
        <v>44924</v>
      </c>
      <c r="S14161" t="s">
        <v>45829</v>
      </c>
      <c r="T14161" t="s">
        <v>46447</v>
      </c>
      <c r="U14161" t="s">
        <v>58200</v>
      </c>
      <c r="W14161" t="s">
        <v>43257</v>
      </c>
      <c r="X14161" t="s">
        <v>44925</v>
      </c>
    </row>
    <row r="14162" spans="1:24">
      <c r="A14162">
        <f>HYPERLINK("https://www.philgeps.gov.ph/GEPSNONPILOT/Tender/SplashBidNoticeAbstractUI.aspx?menuIndex=3&amp;refID=7046689&amp;Result=3","7046689")</f>
        <v>0</v>
      </c>
      <c r="B14162" t="s">
        <v>3444</v>
      </c>
      <c r="C14162" t="s">
        <v>17077</v>
      </c>
      <c r="D14162" t="s">
        <v>18108</v>
      </c>
      <c r="E14162" t="s">
        <v>30445</v>
      </c>
      <c r="F14162" t="s">
        <v>31362</v>
      </c>
      <c r="G14162" t="s">
        <v>31369</v>
      </c>
      <c r="H14162" t="s">
        <v>15799</v>
      </c>
      <c r="I14162" t="s">
        <v>31422</v>
      </c>
      <c r="J14162" t="s">
        <v>37624</v>
      </c>
      <c r="K14162" t="s">
        <v>40679</v>
      </c>
      <c r="M14162" t="s">
        <v>44769</v>
      </c>
      <c r="N14162" t="s">
        <v>44905</v>
      </c>
      <c r="O14162" t="s">
        <v>44906</v>
      </c>
      <c r="P14162">
        <v>0</v>
      </c>
      <c r="Q14162">
        <v>18</v>
      </c>
      <c r="R14162" t="s">
        <v>44924</v>
      </c>
      <c r="S14162" t="s">
        <v>45829</v>
      </c>
      <c r="T14162" t="s">
        <v>46481</v>
      </c>
      <c r="U14162" t="s">
        <v>58201</v>
      </c>
      <c r="W14162" t="s">
        <v>44769</v>
      </c>
      <c r="X14162" t="s">
        <v>44925</v>
      </c>
    </row>
    <row r="14163" spans="1:24">
      <c r="A14163">
        <f>HYPERLINK("https://www.philgeps.gov.ph/GEPSNONPILOT/Tender/SplashBidNoticeAbstractUI.aspx?menuIndex=3&amp;refID=7046681&amp;Result=3","7046681")</f>
        <v>0</v>
      </c>
      <c r="B14163" t="s">
        <v>122</v>
      </c>
      <c r="C14163" t="s">
        <v>17078</v>
      </c>
      <c r="D14163" t="s">
        <v>18145</v>
      </c>
      <c r="E14163" t="s">
        <v>30446</v>
      </c>
      <c r="F14163" t="s">
        <v>31362</v>
      </c>
      <c r="G14163" t="s">
        <v>31369</v>
      </c>
      <c r="H14163" t="s">
        <v>15799</v>
      </c>
      <c r="I14163" t="s">
        <v>31426</v>
      </c>
      <c r="J14163" t="s">
        <v>33393</v>
      </c>
      <c r="K14163" t="s">
        <v>40679</v>
      </c>
      <c r="M14163" t="s">
        <v>41059</v>
      </c>
      <c r="N14163" t="s">
        <v>44905</v>
      </c>
      <c r="O14163" t="s">
        <v>44906</v>
      </c>
      <c r="Q14163">
        <v>7</v>
      </c>
      <c r="R14163" t="s">
        <v>44924</v>
      </c>
      <c r="S14163" t="s">
        <v>45882</v>
      </c>
      <c r="T14163" t="s">
        <v>46670</v>
      </c>
      <c r="U14163" t="s">
        <v>58199</v>
      </c>
      <c r="V14163" t="s">
        <v>60684</v>
      </c>
      <c r="W14163" t="s">
        <v>41059</v>
      </c>
      <c r="X14163" t="s">
        <v>44925</v>
      </c>
    </row>
    <row r="14164" spans="1:24">
      <c r="A14164">
        <f>HYPERLINK("https://www.philgeps.gov.ph/GEPSNONPILOT/Tender/SplashBidNoticeAbstractUI.aspx?menuIndex=3&amp;refID=7046668&amp;Result=3","7046668")</f>
        <v>0</v>
      </c>
      <c r="B14164" t="s">
        <v>2129</v>
      </c>
      <c r="C14164" t="s">
        <v>17079</v>
      </c>
      <c r="D14164" t="s">
        <v>18170</v>
      </c>
      <c r="E14164" t="s">
        <v>30433</v>
      </c>
      <c r="F14164" t="s">
        <v>31362</v>
      </c>
      <c r="G14164" t="s">
        <v>31369</v>
      </c>
      <c r="H14164" t="s">
        <v>15799</v>
      </c>
      <c r="I14164" t="s">
        <v>31459</v>
      </c>
      <c r="J14164" t="s">
        <v>40072</v>
      </c>
      <c r="K14164" t="s">
        <v>40665</v>
      </c>
      <c r="M14164" t="s">
        <v>43257</v>
      </c>
      <c r="N14164" t="s">
        <v>44905</v>
      </c>
      <c r="O14164" t="s">
        <v>44906</v>
      </c>
      <c r="P14164">
        <v>0</v>
      </c>
      <c r="Q14164">
        <v>0</v>
      </c>
      <c r="R14164" t="s">
        <v>44924</v>
      </c>
      <c r="S14164" t="s">
        <v>45829</v>
      </c>
      <c r="T14164" t="s">
        <v>46447</v>
      </c>
      <c r="U14164" t="s">
        <v>58190</v>
      </c>
      <c r="W14164" t="s">
        <v>43257</v>
      </c>
      <c r="X14164" t="s">
        <v>44925</v>
      </c>
    </row>
    <row r="14165" spans="1:24">
      <c r="A14165">
        <f>HYPERLINK("https://www.philgeps.gov.ph/GEPSNONPILOT/Tender/SplashBidNoticeAbstractUI.aspx?menuIndex=3&amp;refID=7046377&amp;Result=3","7046377")</f>
        <v>0</v>
      </c>
      <c r="B14165" t="s">
        <v>1536</v>
      </c>
      <c r="C14165" t="s">
        <v>17080</v>
      </c>
      <c r="D14165" t="s">
        <v>18148</v>
      </c>
      <c r="E14165" t="s">
        <v>30447</v>
      </c>
      <c r="F14165" t="s">
        <v>31362</v>
      </c>
      <c r="G14165" t="s">
        <v>31369</v>
      </c>
      <c r="H14165" t="s">
        <v>15799</v>
      </c>
      <c r="I14165" t="s">
        <v>6373</v>
      </c>
      <c r="J14165" t="s">
        <v>40073</v>
      </c>
      <c r="K14165" t="s">
        <v>40661</v>
      </c>
      <c r="M14165" t="s">
        <v>42583</v>
      </c>
      <c r="N14165" t="s">
        <v>44905</v>
      </c>
      <c r="O14165" t="s">
        <v>44906</v>
      </c>
      <c r="Q14165">
        <v>13</v>
      </c>
      <c r="R14165" t="s">
        <v>44924</v>
      </c>
      <c r="S14165" t="s">
        <v>45883</v>
      </c>
      <c r="T14165" t="s">
        <v>46530</v>
      </c>
      <c r="U14165" t="s">
        <v>58202</v>
      </c>
      <c r="W14165" t="s">
        <v>42583</v>
      </c>
      <c r="X14165" t="s">
        <v>44925</v>
      </c>
    </row>
    <row r="14166" spans="1:24">
      <c r="A14166">
        <f>HYPERLINK("https://www.philgeps.gov.ph/GEPSNONPILOT/Tender/SplashBidNoticeAbstractUI.aspx?menuIndex=3&amp;refID=7046664&amp;Result=3","7046664")</f>
        <v>0</v>
      </c>
      <c r="B14166" t="s">
        <v>43</v>
      </c>
      <c r="C14166" t="s">
        <v>17081</v>
      </c>
      <c r="D14166" t="s">
        <v>18111</v>
      </c>
      <c r="E14166" t="s">
        <v>19783</v>
      </c>
      <c r="F14166" t="s">
        <v>31362</v>
      </c>
      <c r="G14166" t="s">
        <v>31369</v>
      </c>
      <c r="H14166" t="s">
        <v>31378</v>
      </c>
      <c r="I14166" t="s">
        <v>31386</v>
      </c>
      <c r="J14166" t="s">
        <v>40074</v>
      </c>
      <c r="K14166" t="s">
        <v>40686</v>
      </c>
      <c r="M14166" t="s">
        <v>40977</v>
      </c>
      <c r="N14166" t="s">
        <v>44905</v>
      </c>
      <c r="O14166" t="s">
        <v>44906</v>
      </c>
      <c r="P14166">
        <v>0</v>
      </c>
      <c r="Q14166">
        <v>3</v>
      </c>
      <c r="R14166" t="s">
        <v>44924</v>
      </c>
      <c r="S14166" t="s">
        <v>45829</v>
      </c>
      <c r="T14166" t="s">
        <v>46597</v>
      </c>
      <c r="U14166" t="s">
        <v>58203</v>
      </c>
      <c r="V14166" t="s">
        <v>60685</v>
      </c>
      <c r="W14166" t="s">
        <v>40977</v>
      </c>
      <c r="X14166" t="s">
        <v>44925</v>
      </c>
    </row>
    <row r="14167" spans="1:24">
      <c r="A14167">
        <f>HYPERLINK("https://www.philgeps.gov.ph/GEPSNONPILOT/Tender/SplashBidNoticeAbstractUI.aspx?menuIndex=3&amp;refID=7046718&amp;Result=3","7046718")</f>
        <v>0</v>
      </c>
      <c r="B14167" t="s">
        <v>2382</v>
      </c>
      <c r="C14167" t="s">
        <v>17082</v>
      </c>
      <c r="D14167" t="s">
        <v>18141</v>
      </c>
      <c r="E14167" t="s">
        <v>22981</v>
      </c>
      <c r="F14167" t="s">
        <v>31363</v>
      </c>
      <c r="G14167" t="s">
        <v>31369</v>
      </c>
      <c r="H14167" t="s">
        <v>15799</v>
      </c>
      <c r="I14167" t="s">
        <v>31404</v>
      </c>
      <c r="J14167" t="s">
        <v>40075</v>
      </c>
      <c r="K14167" t="s">
        <v>40665</v>
      </c>
      <c r="M14167" t="s">
        <v>43531</v>
      </c>
      <c r="N14167" t="s">
        <v>44905</v>
      </c>
      <c r="O14167" t="s">
        <v>44906</v>
      </c>
      <c r="P14167">
        <v>0</v>
      </c>
      <c r="Q14167">
        <v>1</v>
      </c>
      <c r="R14167" t="s">
        <v>44924</v>
      </c>
      <c r="S14167" t="s">
        <v>45829</v>
      </c>
      <c r="T14167" t="s">
        <v>46414</v>
      </c>
      <c r="U14167" t="s">
        <v>58204</v>
      </c>
      <c r="W14167" t="s">
        <v>43531</v>
      </c>
      <c r="X14167" t="s">
        <v>44925</v>
      </c>
    </row>
    <row r="14168" spans="1:24">
      <c r="A14168">
        <f>HYPERLINK("https://www.philgeps.gov.ph/GEPSNONPILOT/Tender/SplashBidNoticeAbstractUI.aspx?menuIndex=3&amp;refID=7046690&amp;Result=3","7046690")</f>
        <v>0</v>
      </c>
      <c r="B14168" t="s">
        <v>3439</v>
      </c>
      <c r="C14168" t="s">
        <v>17083</v>
      </c>
      <c r="D14168" t="s">
        <v>18133</v>
      </c>
      <c r="E14168" t="s">
        <v>18440</v>
      </c>
      <c r="F14168" t="s">
        <v>31362</v>
      </c>
      <c r="G14168" t="s">
        <v>31369</v>
      </c>
      <c r="H14168" t="s">
        <v>15799</v>
      </c>
      <c r="I14168" t="s">
        <v>7188</v>
      </c>
      <c r="J14168" t="s">
        <v>31969</v>
      </c>
      <c r="K14168" t="s">
        <v>40665</v>
      </c>
      <c r="M14168" t="s">
        <v>44762</v>
      </c>
      <c r="N14168" t="s">
        <v>44905</v>
      </c>
      <c r="O14168" t="s">
        <v>44906</v>
      </c>
      <c r="P14168">
        <v>0</v>
      </c>
      <c r="Q14168">
        <v>1</v>
      </c>
      <c r="R14168" t="s">
        <v>44924</v>
      </c>
      <c r="S14168" t="s">
        <v>45829</v>
      </c>
      <c r="T14168" t="s">
        <v>46393</v>
      </c>
      <c r="U14168" t="s">
        <v>58205</v>
      </c>
      <c r="W14168" t="s">
        <v>44762</v>
      </c>
      <c r="X14168" t="s">
        <v>44925</v>
      </c>
    </row>
    <row r="14169" spans="1:24">
      <c r="A14169">
        <f>HYPERLINK("https://www.philgeps.gov.ph/GEPSNONPILOT/Tender/SplashBidNoticeAbstractUI.aspx?menuIndex=3&amp;refID=7046850&amp;Result=3","7046850")</f>
        <v>0</v>
      </c>
      <c r="B14169" t="s">
        <v>1629</v>
      </c>
      <c r="C14169" t="s">
        <v>17084</v>
      </c>
      <c r="D14169" t="s">
        <v>18108</v>
      </c>
      <c r="E14169" t="s">
        <v>30448</v>
      </c>
      <c r="F14169" t="s">
        <v>31362</v>
      </c>
      <c r="G14169" t="s">
        <v>31369</v>
      </c>
      <c r="H14169" t="s">
        <v>15799</v>
      </c>
      <c r="I14169" t="s">
        <v>31436</v>
      </c>
      <c r="J14169" t="s">
        <v>40076</v>
      </c>
      <c r="K14169" t="s">
        <v>40662</v>
      </c>
      <c r="M14169" t="s">
        <v>42690</v>
      </c>
      <c r="N14169" t="s">
        <v>44905</v>
      </c>
      <c r="O14169" t="s">
        <v>44906</v>
      </c>
      <c r="Q14169">
        <v>7</v>
      </c>
      <c r="R14169" t="s">
        <v>44924</v>
      </c>
      <c r="S14169" t="s">
        <v>45884</v>
      </c>
      <c r="T14169" t="s">
        <v>46393</v>
      </c>
      <c r="U14169" t="s">
        <v>58206</v>
      </c>
      <c r="W14169" t="s">
        <v>42690</v>
      </c>
      <c r="X14169" t="s">
        <v>44925</v>
      </c>
    </row>
    <row r="14170" spans="1:24">
      <c r="A14170">
        <f>HYPERLINK("https://www.philgeps.gov.ph/GEPSNONPILOT/Tender/SplashBidNoticeAbstractUI.aspx?menuIndex=3&amp;refID=7046723&amp;Result=3","7046723")</f>
        <v>0</v>
      </c>
      <c r="B14170" t="s">
        <v>43</v>
      </c>
      <c r="C14170" t="s">
        <v>17085</v>
      </c>
      <c r="D14170" t="s">
        <v>18111</v>
      </c>
      <c r="E14170" t="s">
        <v>18496</v>
      </c>
      <c r="F14170" t="s">
        <v>31362</v>
      </c>
      <c r="G14170" t="s">
        <v>31369</v>
      </c>
      <c r="H14170" t="s">
        <v>31378</v>
      </c>
      <c r="I14170" t="s">
        <v>31386</v>
      </c>
      <c r="J14170" t="s">
        <v>40077</v>
      </c>
      <c r="K14170" t="s">
        <v>40686</v>
      </c>
      <c r="M14170" t="s">
        <v>40977</v>
      </c>
      <c r="N14170" t="s">
        <v>44905</v>
      </c>
      <c r="O14170" t="s">
        <v>44906</v>
      </c>
      <c r="P14170">
        <v>0</v>
      </c>
      <c r="Q14170">
        <v>3</v>
      </c>
      <c r="R14170" t="s">
        <v>44924</v>
      </c>
      <c r="S14170" t="s">
        <v>45829</v>
      </c>
      <c r="T14170" t="s">
        <v>46597</v>
      </c>
      <c r="U14170" t="s">
        <v>58207</v>
      </c>
      <c r="V14170" t="s">
        <v>60686</v>
      </c>
      <c r="W14170" t="s">
        <v>40977</v>
      </c>
      <c r="X14170" t="s">
        <v>44925</v>
      </c>
    </row>
    <row r="14171" spans="1:24">
      <c r="A14171">
        <f>HYPERLINK("https://www.philgeps.gov.ph/GEPSNONPILOT/Tender/SplashBidNoticeAbstractUI.aspx?menuIndex=3&amp;refID=7046812&amp;Result=3","7046812")</f>
        <v>0</v>
      </c>
      <c r="B14171" t="s">
        <v>833</v>
      </c>
      <c r="C14171" t="s">
        <v>17086</v>
      </c>
      <c r="D14171" t="s">
        <v>18171</v>
      </c>
      <c r="E14171" t="s">
        <v>30449</v>
      </c>
      <c r="F14171" t="s">
        <v>31362</v>
      </c>
      <c r="G14171" t="s">
        <v>31369</v>
      </c>
      <c r="H14171" t="s">
        <v>31378</v>
      </c>
      <c r="I14171" t="s">
        <v>31386</v>
      </c>
      <c r="J14171" t="s">
        <v>35702</v>
      </c>
      <c r="K14171" t="s">
        <v>40684</v>
      </c>
      <c r="M14171" t="s">
        <v>41807</v>
      </c>
      <c r="N14171" t="s">
        <v>44905</v>
      </c>
      <c r="O14171" t="s">
        <v>44906</v>
      </c>
      <c r="P14171">
        <v>0</v>
      </c>
      <c r="Q14171">
        <v>4</v>
      </c>
      <c r="R14171" t="s">
        <v>44924</v>
      </c>
      <c r="S14171" t="s">
        <v>45829</v>
      </c>
      <c r="T14171" t="s">
        <v>46409</v>
      </c>
      <c r="U14171" t="s">
        <v>58208</v>
      </c>
      <c r="V14171" t="s">
        <v>60687</v>
      </c>
      <c r="W14171" t="s">
        <v>41807</v>
      </c>
      <c r="X14171" t="s">
        <v>44925</v>
      </c>
    </row>
    <row r="14172" spans="1:24">
      <c r="A14172">
        <f>HYPERLINK("https://www.philgeps.gov.ph/GEPSNONPILOT/Tender/SplashBidNoticeAbstractUI.aspx?menuIndex=3&amp;refID=7046803&amp;Result=3","7046803")</f>
        <v>0</v>
      </c>
      <c r="B14172" t="s">
        <v>833</v>
      </c>
      <c r="C14172" t="s">
        <v>17087</v>
      </c>
      <c r="D14172" t="s">
        <v>18171</v>
      </c>
      <c r="E14172" t="s">
        <v>30450</v>
      </c>
      <c r="F14172" t="s">
        <v>31362</v>
      </c>
      <c r="G14172" t="s">
        <v>31369</v>
      </c>
      <c r="H14172" t="s">
        <v>31378</v>
      </c>
      <c r="I14172" t="s">
        <v>31386</v>
      </c>
      <c r="J14172" t="s">
        <v>32964</v>
      </c>
      <c r="K14172" t="s">
        <v>40746</v>
      </c>
      <c r="M14172" t="s">
        <v>41807</v>
      </c>
      <c r="N14172" t="s">
        <v>44905</v>
      </c>
      <c r="O14172" t="s">
        <v>44906</v>
      </c>
      <c r="P14172">
        <v>0</v>
      </c>
      <c r="Q14172">
        <v>0</v>
      </c>
      <c r="R14172" t="s">
        <v>44924</v>
      </c>
      <c r="S14172" t="s">
        <v>45829</v>
      </c>
      <c r="T14172" t="s">
        <v>46409</v>
      </c>
      <c r="U14172" t="s">
        <v>58209</v>
      </c>
      <c r="V14172" t="s">
        <v>60688</v>
      </c>
      <c r="W14172" t="s">
        <v>41807</v>
      </c>
      <c r="X14172" t="s">
        <v>44925</v>
      </c>
    </row>
    <row r="14173" spans="1:24">
      <c r="A14173">
        <f>HYPERLINK("https://www.philgeps.gov.ph/GEPSNONPILOT/Tender/SplashBidNoticeAbstractUI.aspx?menuIndex=3&amp;refID=7046799&amp;Result=3","7046799")</f>
        <v>0</v>
      </c>
      <c r="B14173" t="s">
        <v>2129</v>
      </c>
      <c r="C14173" t="s">
        <v>17088</v>
      </c>
      <c r="D14173" t="s">
        <v>18170</v>
      </c>
      <c r="E14173" t="s">
        <v>30451</v>
      </c>
      <c r="F14173" t="s">
        <v>31362</v>
      </c>
      <c r="G14173" t="s">
        <v>31369</v>
      </c>
      <c r="H14173" t="s">
        <v>15799</v>
      </c>
      <c r="I14173" t="s">
        <v>31424</v>
      </c>
      <c r="J14173" t="s">
        <v>40078</v>
      </c>
      <c r="K14173" t="s">
        <v>40665</v>
      </c>
      <c r="M14173" t="s">
        <v>43257</v>
      </c>
      <c r="N14173" t="s">
        <v>44905</v>
      </c>
      <c r="O14173" t="s">
        <v>44906</v>
      </c>
      <c r="P14173">
        <v>0</v>
      </c>
      <c r="Q14173">
        <v>0</v>
      </c>
      <c r="R14173" t="s">
        <v>44924</v>
      </c>
      <c r="S14173" t="s">
        <v>45829</v>
      </c>
      <c r="T14173" t="s">
        <v>46447</v>
      </c>
      <c r="U14173" t="s">
        <v>58210</v>
      </c>
      <c r="W14173" t="s">
        <v>43257</v>
      </c>
      <c r="X14173" t="s">
        <v>44925</v>
      </c>
    </row>
    <row r="14174" spans="1:24">
      <c r="A14174">
        <f>HYPERLINK("https://www.philgeps.gov.ph/GEPSNONPILOT/Tender/SplashBidNoticeAbstractUI.aspx?menuIndex=3&amp;refID=7046731&amp;Result=3","7046731")</f>
        <v>0</v>
      </c>
      <c r="B14174" t="s">
        <v>3208</v>
      </c>
      <c r="C14174" t="s">
        <v>17089</v>
      </c>
      <c r="D14174" t="s">
        <v>18108</v>
      </c>
      <c r="E14174" t="s">
        <v>24125</v>
      </c>
      <c r="F14174" t="s">
        <v>31362</v>
      </c>
      <c r="G14174" t="s">
        <v>31369</v>
      </c>
      <c r="H14174" t="s">
        <v>15799</v>
      </c>
      <c r="I14174" t="s">
        <v>31382</v>
      </c>
      <c r="J14174" t="s">
        <v>33662</v>
      </c>
      <c r="K14174" t="s">
        <v>40679</v>
      </c>
      <c r="M14174" t="s">
        <v>44770</v>
      </c>
      <c r="N14174" t="s">
        <v>44905</v>
      </c>
      <c r="O14174" t="s">
        <v>44906</v>
      </c>
      <c r="Q14174">
        <v>53</v>
      </c>
      <c r="R14174" t="s">
        <v>44924</v>
      </c>
      <c r="S14174" t="s">
        <v>45885</v>
      </c>
      <c r="T14174" t="s">
        <v>46447</v>
      </c>
      <c r="U14174" t="s">
        <v>58211</v>
      </c>
      <c r="W14174" t="s">
        <v>44770</v>
      </c>
      <c r="X14174" t="s">
        <v>44925</v>
      </c>
    </row>
    <row r="14175" spans="1:24">
      <c r="A14175">
        <f>HYPERLINK("https://www.philgeps.gov.ph/GEPSNONPILOT/Tender/SplashBidNoticeAbstractUI.aspx?menuIndex=3&amp;refID=7046662&amp;Result=3","7046662")</f>
        <v>0</v>
      </c>
      <c r="B14175" t="s">
        <v>360</v>
      </c>
      <c r="C14175" t="s">
        <v>17090</v>
      </c>
      <c r="D14175" t="s">
        <v>18161</v>
      </c>
      <c r="E14175" t="s">
        <v>30452</v>
      </c>
      <c r="F14175" t="s">
        <v>31362</v>
      </c>
      <c r="G14175" t="s">
        <v>31369</v>
      </c>
      <c r="H14175" t="s">
        <v>15799</v>
      </c>
      <c r="I14175" t="s">
        <v>31385</v>
      </c>
      <c r="J14175" t="s">
        <v>40079</v>
      </c>
      <c r="K14175" t="s">
        <v>40662</v>
      </c>
      <c r="M14175" t="s">
        <v>41307</v>
      </c>
      <c r="N14175" t="s">
        <v>44905</v>
      </c>
      <c r="O14175" t="s">
        <v>44906</v>
      </c>
      <c r="P14175">
        <v>0</v>
      </c>
      <c r="Q14175">
        <v>6</v>
      </c>
      <c r="R14175" t="s">
        <v>44924</v>
      </c>
      <c r="S14175" t="s">
        <v>45829</v>
      </c>
      <c r="T14175" t="s">
        <v>46432</v>
      </c>
      <c r="U14175" t="s">
        <v>58186</v>
      </c>
      <c r="W14175" t="s">
        <v>41307</v>
      </c>
      <c r="X14175" t="s">
        <v>44925</v>
      </c>
    </row>
    <row r="14176" spans="1:24">
      <c r="A14176">
        <f>HYPERLINK("https://www.philgeps.gov.ph/GEPSNONPILOT/Tender/SplashBidNoticeAbstractUI.aspx?menuIndex=3&amp;refID=7046796&amp;Result=3","7046796")</f>
        <v>0</v>
      </c>
      <c r="B14176" t="s">
        <v>2129</v>
      </c>
      <c r="C14176" t="s">
        <v>17091</v>
      </c>
      <c r="D14176" t="s">
        <v>18170</v>
      </c>
      <c r="E14176" t="s">
        <v>30451</v>
      </c>
      <c r="F14176" t="s">
        <v>31362</v>
      </c>
      <c r="G14176" t="s">
        <v>31369</v>
      </c>
      <c r="H14176" t="s">
        <v>15799</v>
      </c>
      <c r="I14176" t="s">
        <v>31424</v>
      </c>
      <c r="J14176" t="s">
        <v>37165</v>
      </c>
      <c r="K14176" t="s">
        <v>40665</v>
      </c>
      <c r="M14176" t="s">
        <v>43257</v>
      </c>
      <c r="N14176" t="s">
        <v>44905</v>
      </c>
      <c r="O14176" t="s">
        <v>44906</v>
      </c>
      <c r="P14176">
        <v>0</v>
      </c>
      <c r="Q14176">
        <v>0</v>
      </c>
      <c r="R14176" t="s">
        <v>44924</v>
      </c>
      <c r="S14176" t="s">
        <v>45829</v>
      </c>
      <c r="T14176" t="s">
        <v>46447</v>
      </c>
      <c r="U14176" t="s">
        <v>58210</v>
      </c>
      <c r="W14176" t="s">
        <v>43257</v>
      </c>
      <c r="X14176" t="s">
        <v>44925</v>
      </c>
    </row>
    <row r="14177" spans="1:24">
      <c r="A14177">
        <f>HYPERLINK("https://www.philgeps.gov.ph/GEPSNONPILOT/Tender/SplashBidNoticeAbstractUI.aspx?menuIndex=3&amp;refID=7046801&amp;Result=3","7046801")</f>
        <v>0</v>
      </c>
      <c r="B14177" t="s">
        <v>833</v>
      </c>
      <c r="C14177" t="s">
        <v>17092</v>
      </c>
      <c r="D14177" t="s">
        <v>18171</v>
      </c>
      <c r="E14177" t="s">
        <v>30453</v>
      </c>
      <c r="F14177" t="s">
        <v>31362</v>
      </c>
      <c r="G14177" t="s">
        <v>31369</v>
      </c>
      <c r="H14177" t="s">
        <v>31378</v>
      </c>
      <c r="I14177" t="s">
        <v>31386</v>
      </c>
      <c r="J14177" t="s">
        <v>32964</v>
      </c>
      <c r="K14177" t="s">
        <v>40746</v>
      </c>
      <c r="M14177" t="s">
        <v>41807</v>
      </c>
      <c r="N14177" t="s">
        <v>44905</v>
      </c>
      <c r="O14177" t="s">
        <v>44906</v>
      </c>
      <c r="P14177">
        <v>0</v>
      </c>
      <c r="Q14177">
        <v>1</v>
      </c>
      <c r="R14177" t="s">
        <v>44924</v>
      </c>
      <c r="S14177" t="s">
        <v>45829</v>
      </c>
      <c r="T14177" t="s">
        <v>46409</v>
      </c>
      <c r="U14177" t="s">
        <v>58212</v>
      </c>
      <c r="V14177" t="s">
        <v>60689</v>
      </c>
      <c r="W14177" t="s">
        <v>41807</v>
      </c>
      <c r="X14177" t="s">
        <v>44925</v>
      </c>
    </row>
    <row r="14178" spans="1:24">
      <c r="A14178">
        <f>HYPERLINK("https://www.philgeps.gov.ph/GEPSNONPILOT/Tender/SplashBidNoticeAbstractUI.aspx?menuIndex=3&amp;refID=7046845&amp;Result=3","7046845")</f>
        <v>0</v>
      </c>
      <c r="B14178" t="s">
        <v>3439</v>
      </c>
      <c r="C14178" t="s">
        <v>17093</v>
      </c>
      <c r="D14178" t="s">
        <v>18133</v>
      </c>
      <c r="E14178" t="s">
        <v>18514</v>
      </c>
      <c r="F14178" t="s">
        <v>31362</v>
      </c>
      <c r="G14178" t="s">
        <v>31369</v>
      </c>
      <c r="H14178" t="s">
        <v>31378</v>
      </c>
      <c r="I14178" t="s">
        <v>31386</v>
      </c>
      <c r="J14178" t="s">
        <v>31606</v>
      </c>
      <c r="K14178" t="s">
        <v>40683</v>
      </c>
      <c r="M14178" t="s">
        <v>44762</v>
      </c>
      <c r="N14178" t="s">
        <v>44905</v>
      </c>
      <c r="O14178" t="s">
        <v>44906</v>
      </c>
      <c r="P14178">
        <v>0</v>
      </c>
      <c r="Q14178">
        <v>4</v>
      </c>
      <c r="R14178" t="s">
        <v>44924</v>
      </c>
      <c r="S14178" t="s">
        <v>45829</v>
      </c>
      <c r="T14178" t="s">
        <v>46393</v>
      </c>
      <c r="U14178" t="s">
        <v>58213</v>
      </c>
      <c r="W14178" t="s">
        <v>44762</v>
      </c>
      <c r="X14178" t="s">
        <v>44925</v>
      </c>
    </row>
    <row r="14179" spans="1:24">
      <c r="A14179">
        <f>HYPERLINK("https://www.philgeps.gov.ph/GEPSNONPILOT/Tender/SplashBidNoticeAbstractUI.aspx?menuIndex=3&amp;refID=7046615&amp;Result=3","7046615")</f>
        <v>0</v>
      </c>
      <c r="B14179" t="s">
        <v>3445</v>
      </c>
      <c r="C14179" t="s">
        <v>17094</v>
      </c>
      <c r="D14179" t="s">
        <v>18180</v>
      </c>
      <c r="E14179" t="s">
        <v>30454</v>
      </c>
      <c r="F14179" t="s">
        <v>31362</v>
      </c>
      <c r="G14179" t="s">
        <v>31369</v>
      </c>
      <c r="H14179" t="s">
        <v>31378</v>
      </c>
      <c r="I14179" t="s">
        <v>31386</v>
      </c>
      <c r="J14179" t="s">
        <v>40080</v>
      </c>
      <c r="K14179" t="s">
        <v>40944</v>
      </c>
      <c r="M14179" t="s">
        <v>44771</v>
      </c>
      <c r="N14179" t="s">
        <v>44905</v>
      </c>
      <c r="O14179" t="s">
        <v>44906</v>
      </c>
      <c r="P14179">
        <v>0</v>
      </c>
      <c r="Q14179">
        <v>0</v>
      </c>
      <c r="R14179" t="s">
        <v>44924</v>
      </c>
      <c r="S14179" t="s">
        <v>45829</v>
      </c>
      <c r="T14179" t="s">
        <v>46425</v>
      </c>
      <c r="U14179" t="s">
        <v>58214</v>
      </c>
      <c r="W14179" t="s">
        <v>44771</v>
      </c>
      <c r="X14179" t="s">
        <v>44925</v>
      </c>
    </row>
    <row r="14180" spans="1:24">
      <c r="A14180">
        <f>HYPERLINK("https://www.philgeps.gov.ph/GEPSNONPILOT/Tender/SplashBidNoticeAbstractUI.aspx?menuIndex=3&amp;refID=7046792&amp;Result=3","7046792")</f>
        <v>0</v>
      </c>
      <c r="B14180" t="s">
        <v>833</v>
      </c>
      <c r="C14180" t="s">
        <v>17095</v>
      </c>
      <c r="D14180" t="s">
        <v>18171</v>
      </c>
      <c r="E14180" t="s">
        <v>30455</v>
      </c>
      <c r="F14180" t="s">
        <v>31362</v>
      </c>
      <c r="G14180" t="s">
        <v>31369</v>
      </c>
      <c r="H14180" t="s">
        <v>31378</v>
      </c>
      <c r="I14180" t="s">
        <v>31386</v>
      </c>
      <c r="J14180" t="s">
        <v>31951</v>
      </c>
      <c r="K14180" t="s">
        <v>40773</v>
      </c>
      <c r="M14180" t="s">
        <v>41807</v>
      </c>
      <c r="N14180" t="s">
        <v>44905</v>
      </c>
      <c r="O14180" t="s">
        <v>44906</v>
      </c>
      <c r="P14180">
        <v>0</v>
      </c>
      <c r="Q14180">
        <v>1</v>
      </c>
      <c r="R14180" t="s">
        <v>44924</v>
      </c>
      <c r="S14180" t="s">
        <v>45829</v>
      </c>
      <c r="T14180" t="s">
        <v>46409</v>
      </c>
      <c r="U14180" t="s">
        <v>58215</v>
      </c>
      <c r="V14180" t="s">
        <v>60690</v>
      </c>
      <c r="W14180" t="s">
        <v>41807</v>
      </c>
      <c r="X14180" t="s">
        <v>44925</v>
      </c>
    </row>
    <row r="14181" spans="1:24">
      <c r="A14181">
        <f>HYPERLINK("https://www.philgeps.gov.ph/GEPSNONPILOT/Tender/SplashBidNoticeAbstractUI.aspx?menuIndex=3&amp;refID=7046993&amp;Result=3","7046993")</f>
        <v>0</v>
      </c>
      <c r="B14181" t="s">
        <v>3446</v>
      </c>
      <c r="C14181" t="s">
        <v>17096</v>
      </c>
      <c r="D14181" t="s">
        <v>18101</v>
      </c>
      <c r="E14181" t="s">
        <v>30456</v>
      </c>
      <c r="F14181" t="s">
        <v>31362</v>
      </c>
      <c r="G14181" t="s">
        <v>31369</v>
      </c>
      <c r="H14181" t="s">
        <v>15799</v>
      </c>
      <c r="I14181" t="s">
        <v>31409</v>
      </c>
      <c r="J14181" t="s">
        <v>40081</v>
      </c>
      <c r="K14181" t="s">
        <v>40662</v>
      </c>
      <c r="M14181" t="s">
        <v>44772</v>
      </c>
      <c r="N14181" t="s">
        <v>44905</v>
      </c>
      <c r="O14181" t="s">
        <v>44906</v>
      </c>
      <c r="P14181">
        <v>0</v>
      </c>
      <c r="Q14181">
        <v>2</v>
      </c>
      <c r="R14181" t="s">
        <v>44924</v>
      </c>
      <c r="S14181" t="s">
        <v>45829</v>
      </c>
      <c r="T14181" t="s">
        <v>46409</v>
      </c>
      <c r="U14181" t="s">
        <v>58216</v>
      </c>
      <c r="W14181" t="s">
        <v>44772</v>
      </c>
      <c r="X14181" t="s">
        <v>44925</v>
      </c>
    </row>
    <row r="14182" spans="1:24">
      <c r="A14182">
        <f>HYPERLINK("https://www.philgeps.gov.ph/GEPSNONPILOT/Tender/SplashBidNoticeAbstractUI.aspx?menuIndex=3&amp;refID=7046848&amp;Result=3","7046848")</f>
        <v>0</v>
      </c>
      <c r="B14182" t="s">
        <v>800</v>
      </c>
      <c r="C14182" t="s">
        <v>17097</v>
      </c>
      <c r="D14182" t="s">
        <v>18130</v>
      </c>
      <c r="E14182" t="s">
        <v>30457</v>
      </c>
      <c r="F14182" t="s">
        <v>31362</v>
      </c>
      <c r="G14182" t="s">
        <v>31369</v>
      </c>
      <c r="H14182" t="s">
        <v>15799</v>
      </c>
      <c r="I14182" t="s">
        <v>31404</v>
      </c>
      <c r="J14182" t="s">
        <v>40082</v>
      </c>
      <c r="K14182" t="s">
        <v>40666</v>
      </c>
      <c r="M14182" t="s">
        <v>41770</v>
      </c>
      <c r="N14182" t="s">
        <v>44905</v>
      </c>
      <c r="O14182" t="s">
        <v>44906</v>
      </c>
      <c r="P14182">
        <v>0</v>
      </c>
      <c r="Q14182">
        <v>0</v>
      </c>
      <c r="R14182" t="s">
        <v>44924</v>
      </c>
      <c r="S14182" t="s">
        <v>45829</v>
      </c>
      <c r="T14182" t="s">
        <v>46447</v>
      </c>
      <c r="U14182" t="s">
        <v>58217</v>
      </c>
      <c r="W14182" t="s">
        <v>41770</v>
      </c>
      <c r="X14182" t="s">
        <v>44925</v>
      </c>
    </row>
    <row r="14183" spans="1:24">
      <c r="A14183">
        <f>HYPERLINK("https://www.philgeps.gov.ph/GEPSNONPILOT/Tender/SplashBidNoticeAbstractUI.aspx?menuIndex=3&amp;refID=7046990&amp;Result=3","7046990")</f>
        <v>0</v>
      </c>
      <c r="B14183" t="s">
        <v>3446</v>
      </c>
      <c r="C14183" t="s">
        <v>17098</v>
      </c>
      <c r="D14183" t="s">
        <v>18101</v>
      </c>
      <c r="E14183" t="s">
        <v>30458</v>
      </c>
      <c r="F14183" t="s">
        <v>31362</v>
      </c>
      <c r="G14183" t="s">
        <v>31369</v>
      </c>
      <c r="H14183" t="s">
        <v>15799</v>
      </c>
      <c r="I14183" t="s">
        <v>31393</v>
      </c>
      <c r="J14183" t="s">
        <v>40083</v>
      </c>
      <c r="K14183" t="s">
        <v>40662</v>
      </c>
      <c r="M14183" t="s">
        <v>44772</v>
      </c>
      <c r="N14183" t="s">
        <v>44905</v>
      </c>
      <c r="O14183" t="s">
        <v>44906</v>
      </c>
      <c r="P14183">
        <v>0</v>
      </c>
      <c r="Q14183">
        <v>9</v>
      </c>
      <c r="R14183" t="s">
        <v>44924</v>
      </c>
      <c r="S14183" t="s">
        <v>45829</v>
      </c>
      <c r="T14183" t="s">
        <v>46409</v>
      </c>
      <c r="U14183" t="s">
        <v>58218</v>
      </c>
      <c r="W14183" t="s">
        <v>44772</v>
      </c>
      <c r="X14183" t="s">
        <v>44925</v>
      </c>
    </row>
    <row r="14184" spans="1:24">
      <c r="A14184">
        <f>HYPERLINK("https://www.philgeps.gov.ph/GEPSNONPILOT/Tender/SplashBidNoticeAbstractUI.aspx?menuIndex=3&amp;refID=7046989&amp;Result=3","7046989")</f>
        <v>0</v>
      </c>
      <c r="B14184" t="s">
        <v>3447</v>
      </c>
      <c r="C14184" t="s">
        <v>17099</v>
      </c>
      <c r="D14184" t="s">
        <v>18106</v>
      </c>
      <c r="E14184" t="s">
        <v>30459</v>
      </c>
      <c r="F14184" t="s">
        <v>31362</v>
      </c>
      <c r="G14184" t="s">
        <v>31369</v>
      </c>
      <c r="H14184" t="s">
        <v>15799</v>
      </c>
      <c r="I14184" t="s">
        <v>31476</v>
      </c>
      <c r="J14184" t="s">
        <v>33868</v>
      </c>
      <c r="K14184" t="s">
        <v>40683</v>
      </c>
      <c r="M14184" t="s">
        <v>44773</v>
      </c>
      <c r="N14184" t="s">
        <v>44905</v>
      </c>
      <c r="O14184" t="s">
        <v>44906</v>
      </c>
      <c r="P14184">
        <v>0</v>
      </c>
      <c r="Q14184">
        <v>29</v>
      </c>
      <c r="R14184" t="s">
        <v>44924</v>
      </c>
      <c r="S14184" t="s">
        <v>45829</v>
      </c>
      <c r="T14184" t="s">
        <v>46409</v>
      </c>
      <c r="U14184" t="s">
        <v>58219</v>
      </c>
      <c r="W14184" t="s">
        <v>44773</v>
      </c>
      <c r="X14184" t="s">
        <v>44925</v>
      </c>
    </row>
    <row r="14185" spans="1:24">
      <c r="A14185">
        <f>HYPERLINK("https://www.philgeps.gov.ph/GEPSNONPILOT/Tender/SplashBidNoticeAbstractUI.aspx?menuIndex=3&amp;refID=7046981&amp;Result=3","7046981")</f>
        <v>0</v>
      </c>
      <c r="B14185" t="s">
        <v>3448</v>
      </c>
      <c r="C14185" t="s">
        <v>17100</v>
      </c>
      <c r="D14185" t="s">
        <v>18117</v>
      </c>
      <c r="E14185" t="s">
        <v>30460</v>
      </c>
      <c r="F14185" t="s">
        <v>31362</v>
      </c>
      <c r="G14185" t="s">
        <v>31369</v>
      </c>
      <c r="H14185" t="s">
        <v>31378</v>
      </c>
      <c r="I14185" t="s">
        <v>31386</v>
      </c>
      <c r="J14185" t="s">
        <v>31531</v>
      </c>
      <c r="K14185" t="s">
        <v>40665</v>
      </c>
      <c r="M14185" t="s">
        <v>44774</v>
      </c>
      <c r="N14185" t="s">
        <v>44905</v>
      </c>
      <c r="O14185" t="s">
        <v>44906</v>
      </c>
      <c r="P14185">
        <v>0</v>
      </c>
      <c r="Q14185">
        <v>1</v>
      </c>
      <c r="R14185" t="s">
        <v>44924</v>
      </c>
      <c r="S14185" t="s">
        <v>45829</v>
      </c>
      <c r="T14185" t="s">
        <v>46532</v>
      </c>
      <c r="U14185" t="s">
        <v>58220</v>
      </c>
      <c r="W14185" t="s">
        <v>44774</v>
      </c>
      <c r="X14185" t="s">
        <v>44925</v>
      </c>
    </row>
    <row r="14186" spans="1:24">
      <c r="A14186">
        <f>HYPERLINK("https://www.philgeps.gov.ph/GEPSNONPILOT/Tender/SplashBidNoticeAbstractUI.aspx?menuIndex=3&amp;refID=7046969&amp;Result=3","7046969")</f>
        <v>0</v>
      </c>
      <c r="B14186" t="s">
        <v>3449</v>
      </c>
      <c r="C14186" t="s">
        <v>17101</v>
      </c>
      <c r="D14186" t="s">
        <v>18112</v>
      </c>
      <c r="E14186" t="s">
        <v>20134</v>
      </c>
      <c r="F14186" t="s">
        <v>31362</v>
      </c>
      <c r="G14186" t="s">
        <v>31369</v>
      </c>
      <c r="H14186" t="s">
        <v>15799</v>
      </c>
      <c r="I14186" t="s">
        <v>31439</v>
      </c>
      <c r="J14186" t="s">
        <v>31615</v>
      </c>
      <c r="K14186" t="s">
        <v>40682</v>
      </c>
      <c r="M14186" t="s">
        <v>44775</v>
      </c>
      <c r="N14186" t="s">
        <v>44905</v>
      </c>
      <c r="O14186" t="s">
        <v>44906</v>
      </c>
      <c r="P14186">
        <v>0</v>
      </c>
      <c r="Q14186">
        <v>5</v>
      </c>
      <c r="R14186" t="s">
        <v>44924</v>
      </c>
      <c r="S14186" t="s">
        <v>45829</v>
      </c>
      <c r="T14186" t="s">
        <v>46471</v>
      </c>
      <c r="U14186" t="s">
        <v>58221</v>
      </c>
      <c r="V14186" t="s">
        <v>60691</v>
      </c>
      <c r="W14186" t="s">
        <v>44775</v>
      </c>
      <c r="X14186" t="s">
        <v>44925</v>
      </c>
    </row>
    <row r="14187" spans="1:24">
      <c r="A14187">
        <f>HYPERLINK("https://www.philgeps.gov.ph/GEPSNONPILOT/Tender/SplashBidNoticeAbstractUI.aspx?menuIndex=3&amp;refID=7046788&amp;Result=3","7046788")</f>
        <v>0</v>
      </c>
      <c r="B14187" t="s">
        <v>2129</v>
      </c>
      <c r="C14187" t="s">
        <v>17102</v>
      </c>
      <c r="D14187" t="s">
        <v>18170</v>
      </c>
      <c r="E14187" t="s">
        <v>30451</v>
      </c>
      <c r="F14187" t="s">
        <v>31362</v>
      </c>
      <c r="G14187" t="s">
        <v>31369</v>
      </c>
      <c r="H14187" t="s">
        <v>15799</v>
      </c>
      <c r="I14187" t="s">
        <v>4057</v>
      </c>
      <c r="J14187" t="s">
        <v>40084</v>
      </c>
      <c r="K14187" t="s">
        <v>40665</v>
      </c>
      <c r="M14187" t="s">
        <v>43257</v>
      </c>
      <c r="N14187" t="s">
        <v>44905</v>
      </c>
      <c r="O14187" t="s">
        <v>44906</v>
      </c>
      <c r="P14187">
        <v>0</v>
      </c>
      <c r="Q14187">
        <v>0</v>
      </c>
      <c r="R14187" t="s">
        <v>44924</v>
      </c>
      <c r="S14187" t="s">
        <v>45829</v>
      </c>
      <c r="T14187" t="s">
        <v>46447</v>
      </c>
      <c r="U14187" t="s">
        <v>58210</v>
      </c>
      <c r="W14187" t="s">
        <v>43257</v>
      </c>
      <c r="X14187" t="s">
        <v>44925</v>
      </c>
    </row>
    <row r="14188" spans="1:24">
      <c r="A14188">
        <f>HYPERLINK("https://www.philgeps.gov.ph/GEPSNONPILOT/Tender/SplashBidNoticeAbstractUI.aspx?menuIndex=3&amp;refID=7046955&amp;Result=3","7046955")</f>
        <v>0</v>
      </c>
      <c r="B14188" t="s">
        <v>3448</v>
      </c>
      <c r="C14188" t="s">
        <v>17103</v>
      </c>
      <c r="D14188" t="s">
        <v>18117</v>
      </c>
      <c r="E14188" t="s">
        <v>30461</v>
      </c>
      <c r="F14188" t="s">
        <v>31362</v>
      </c>
      <c r="G14188" t="s">
        <v>31369</v>
      </c>
      <c r="H14188" t="s">
        <v>15799</v>
      </c>
      <c r="I14188" t="s">
        <v>31409</v>
      </c>
      <c r="J14188" t="s">
        <v>32540</v>
      </c>
      <c r="K14188" t="s">
        <v>40665</v>
      </c>
      <c r="M14188" t="s">
        <v>44774</v>
      </c>
      <c r="N14188" t="s">
        <v>44905</v>
      </c>
      <c r="O14188" t="s">
        <v>44906</v>
      </c>
      <c r="P14188">
        <v>0</v>
      </c>
      <c r="Q14188">
        <v>4</v>
      </c>
      <c r="R14188" t="s">
        <v>44924</v>
      </c>
      <c r="S14188" t="s">
        <v>45829</v>
      </c>
      <c r="T14188" t="s">
        <v>46532</v>
      </c>
      <c r="U14188" t="s">
        <v>58222</v>
      </c>
      <c r="W14188" t="s">
        <v>44774</v>
      </c>
      <c r="X14188" t="s">
        <v>44925</v>
      </c>
    </row>
    <row r="14189" spans="1:24">
      <c r="A14189">
        <f>HYPERLINK("https://www.philgeps.gov.ph/GEPSNONPILOT/Tender/SplashBidNoticeAbstractUI.aspx?menuIndex=3&amp;refID=7046741&amp;Result=3","7046741")</f>
        <v>0</v>
      </c>
      <c r="B14189" t="s">
        <v>1982</v>
      </c>
      <c r="C14189" t="s">
        <v>17104</v>
      </c>
      <c r="D14189" t="s">
        <v>18103</v>
      </c>
      <c r="E14189" t="s">
        <v>30462</v>
      </c>
      <c r="F14189" t="s">
        <v>31362</v>
      </c>
      <c r="G14189" t="s">
        <v>31369</v>
      </c>
      <c r="H14189" t="s">
        <v>15799</v>
      </c>
      <c r="I14189" t="s">
        <v>31456</v>
      </c>
      <c r="J14189" t="s">
        <v>40085</v>
      </c>
      <c r="K14189" t="s">
        <v>40682</v>
      </c>
      <c r="M14189" t="s">
        <v>43090</v>
      </c>
      <c r="N14189" t="s">
        <v>44905</v>
      </c>
      <c r="O14189" t="s">
        <v>44906</v>
      </c>
      <c r="Q14189">
        <v>8</v>
      </c>
      <c r="R14189" t="s">
        <v>44924</v>
      </c>
      <c r="S14189" t="s">
        <v>45886</v>
      </c>
      <c r="T14189" t="s">
        <v>46509</v>
      </c>
      <c r="U14189" t="s">
        <v>58223</v>
      </c>
      <c r="W14189" t="s">
        <v>43090</v>
      </c>
      <c r="X14189" t="s">
        <v>44925</v>
      </c>
    </row>
    <row r="14190" spans="1:24">
      <c r="A14190">
        <f>HYPERLINK("https://www.philgeps.gov.ph/GEPSNONPILOT/Tender/SplashBidNoticeAbstractUI.aspx?menuIndex=3&amp;refID=7046996&amp;Result=3","7046996")</f>
        <v>0</v>
      </c>
      <c r="B14190" t="s">
        <v>3448</v>
      </c>
      <c r="C14190" t="s">
        <v>17105</v>
      </c>
      <c r="D14190" t="s">
        <v>18117</v>
      </c>
      <c r="E14190" t="s">
        <v>30463</v>
      </c>
      <c r="F14190" t="s">
        <v>31362</v>
      </c>
      <c r="G14190" t="s">
        <v>31369</v>
      </c>
      <c r="H14190" t="s">
        <v>15799</v>
      </c>
      <c r="I14190" t="s">
        <v>31409</v>
      </c>
      <c r="J14190" t="s">
        <v>40086</v>
      </c>
      <c r="K14190" t="s">
        <v>40665</v>
      </c>
      <c r="M14190" t="s">
        <v>44774</v>
      </c>
      <c r="N14190" t="s">
        <v>44905</v>
      </c>
      <c r="O14190" t="s">
        <v>44906</v>
      </c>
      <c r="P14190">
        <v>0</v>
      </c>
      <c r="Q14190">
        <v>7</v>
      </c>
      <c r="R14190" t="s">
        <v>44924</v>
      </c>
      <c r="S14190" t="s">
        <v>45829</v>
      </c>
      <c r="T14190" t="s">
        <v>46532</v>
      </c>
      <c r="U14190" t="s">
        <v>58224</v>
      </c>
      <c r="W14190" t="s">
        <v>44774</v>
      </c>
      <c r="X14190" t="s">
        <v>44925</v>
      </c>
    </row>
    <row r="14191" spans="1:24">
      <c r="A14191">
        <f>HYPERLINK("https://www.philgeps.gov.ph/GEPSNONPILOT/Tender/SplashBidNoticeAbstractUI.aspx?menuIndex=3&amp;refID=7046987&amp;Result=3","7046987")</f>
        <v>0</v>
      </c>
      <c r="B14191" t="s">
        <v>3448</v>
      </c>
      <c r="C14191" t="s">
        <v>17106</v>
      </c>
      <c r="D14191" t="s">
        <v>18117</v>
      </c>
      <c r="E14191" t="s">
        <v>30464</v>
      </c>
      <c r="F14191" t="s">
        <v>31362</v>
      </c>
      <c r="G14191" t="s">
        <v>31369</v>
      </c>
      <c r="H14191" t="s">
        <v>31378</v>
      </c>
      <c r="I14191" t="s">
        <v>31386</v>
      </c>
      <c r="J14191" t="s">
        <v>31531</v>
      </c>
      <c r="K14191" t="s">
        <v>40665</v>
      </c>
      <c r="M14191" t="s">
        <v>44774</v>
      </c>
      <c r="N14191" t="s">
        <v>44905</v>
      </c>
      <c r="O14191" t="s">
        <v>44906</v>
      </c>
      <c r="P14191">
        <v>0</v>
      </c>
      <c r="Q14191">
        <v>2</v>
      </c>
      <c r="R14191" t="s">
        <v>44924</v>
      </c>
      <c r="S14191" t="s">
        <v>45829</v>
      </c>
      <c r="T14191" t="s">
        <v>46532</v>
      </c>
      <c r="U14191" t="s">
        <v>58225</v>
      </c>
      <c r="W14191" t="s">
        <v>44774</v>
      </c>
      <c r="X14191" t="s">
        <v>44925</v>
      </c>
    </row>
    <row r="14192" spans="1:24">
      <c r="A14192">
        <f>HYPERLINK("https://www.philgeps.gov.ph/GEPSNONPILOT/Tender/SplashBidNoticeAbstractUI.aspx?menuIndex=3&amp;refID=7046914&amp;Result=3","7046914")</f>
        <v>0</v>
      </c>
      <c r="B14192" t="s">
        <v>233</v>
      </c>
      <c r="C14192" t="s">
        <v>17107</v>
      </c>
      <c r="D14192" t="s">
        <v>18108</v>
      </c>
      <c r="E14192" t="s">
        <v>30465</v>
      </c>
      <c r="F14192" t="s">
        <v>31362</v>
      </c>
      <c r="G14192" t="s">
        <v>31369</v>
      </c>
      <c r="H14192" t="s">
        <v>15799</v>
      </c>
      <c r="I14192" t="s">
        <v>31472</v>
      </c>
      <c r="J14192" t="s">
        <v>40087</v>
      </c>
      <c r="K14192" t="s">
        <v>40723</v>
      </c>
      <c r="M14192" t="s">
        <v>44776</v>
      </c>
      <c r="N14192" t="s">
        <v>44905</v>
      </c>
      <c r="O14192" t="s">
        <v>44906</v>
      </c>
      <c r="Q14192">
        <v>13</v>
      </c>
      <c r="R14192" t="s">
        <v>44924</v>
      </c>
      <c r="S14192" t="s">
        <v>45244</v>
      </c>
      <c r="T14192" t="s">
        <v>46549</v>
      </c>
      <c r="U14192" t="s">
        <v>58226</v>
      </c>
      <c r="W14192" t="s">
        <v>44776</v>
      </c>
      <c r="X14192" t="s">
        <v>44925</v>
      </c>
    </row>
    <row r="14193" spans="1:24">
      <c r="A14193">
        <f>HYPERLINK("https://www.philgeps.gov.ph/GEPSNONPILOT/Tender/SplashBidNoticeAbstractUI.aspx?menuIndex=3&amp;refID=7046882&amp;Result=3","7046882")</f>
        <v>0</v>
      </c>
      <c r="B14193" t="s">
        <v>3450</v>
      </c>
      <c r="C14193" t="s">
        <v>17108</v>
      </c>
      <c r="D14193" t="s">
        <v>18155</v>
      </c>
      <c r="E14193" t="s">
        <v>21820</v>
      </c>
      <c r="F14193" t="s">
        <v>31362</v>
      </c>
      <c r="G14193" t="s">
        <v>31369</v>
      </c>
      <c r="H14193" t="s">
        <v>31378</v>
      </c>
      <c r="I14193" t="s">
        <v>31386</v>
      </c>
      <c r="J14193" t="s">
        <v>40088</v>
      </c>
      <c r="K14193" t="s">
        <v>40761</v>
      </c>
      <c r="M14193" t="s">
        <v>44777</v>
      </c>
      <c r="N14193" t="s">
        <v>44905</v>
      </c>
      <c r="O14193" t="s">
        <v>44906</v>
      </c>
      <c r="P14193">
        <v>0</v>
      </c>
      <c r="Q14193">
        <v>3</v>
      </c>
      <c r="R14193" t="s">
        <v>44924</v>
      </c>
      <c r="S14193" t="s">
        <v>45829</v>
      </c>
      <c r="T14193" t="s">
        <v>46409</v>
      </c>
      <c r="U14193" t="s">
        <v>58227</v>
      </c>
      <c r="W14193" t="s">
        <v>44777</v>
      </c>
      <c r="X14193" t="s">
        <v>44925</v>
      </c>
    </row>
    <row r="14194" spans="1:24">
      <c r="A14194">
        <f>HYPERLINK("https://www.philgeps.gov.ph/GEPSNONPILOT/Tender/SplashBidNoticeAbstractUI.aspx?menuIndex=3&amp;refID=7046874&amp;Result=3","7046874")</f>
        <v>0</v>
      </c>
      <c r="B14194" t="s">
        <v>3450</v>
      </c>
      <c r="C14194" t="s">
        <v>17109</v>
      </c>
      <c r="D14194" t="s">
        <v>18155</v>
      </c>
      <c r="E14194" t="s">
        <v>25769</v>
      </c>
      <c r="F14194" t="s">
        <v>31362</v>
      </c>
      <c r="G14194" t="s">
        <v>31369</v>
      </c>
      <c r="H14194" t="s">
        <v>31378</v>
      </c>
      <c r="I14194" t="s">
        <v>31386</v>
      </c>
      <c r="J14194" t="s">
        <v>40089</v>
      </c>
      <c r="K14194" t="s">
        <v>40761</v>
      </c>
      <c r="M14194" t="s">
        <v>44777</v>
      </c>
      <c r="N14194" t="s">
        <v>44905</v>
      </c>
      <c r="O14194" t="s">
        <v>44906</v>
      </c>
      <c r="P14194">
        <v>0</v>
      </c>
      <c r="Q14194">
        <v>2</v>
      </c>
      <c r="R14194" t="s">
        <v>44924</v>
      </c>
      <c r="S14194" t="s">
        <v>45829</v>
      </c>
      <c r="T14194" t="s">
        <v>46409</v>
      </c>
      <c r="U14194" t="s">
        <v>58228</v>
      </c>
      <c r="W14194" t="s">
        <v>44777</v>
      </c>
      <c r="X14194" t="s">
        <v>44925</v>
      </c>
    </row>
    <row r="14195" spans="1:24">
      <c r="A14195">
        <f>HYPERLINK("https://www.philgeps.gov.ph/GEPSNONPILOT/Tender/SplashBidNoticeAbstractUI.aspx?menuIndex=3&amp;refID=7046867&amp;Result=3","7046867")</f>
        <v>0</v>
      </c>
      <c r="B14195" t="s">
        <v>3450</v>
      </c>
      <c r="C14195" t="s">
        <v>17110</v>
      </c>
      <c r="D14195" t="s">
        <v>18155</v>
      </c>
      <c r="E14195" t="s">
        <v>25481</v>
      </c>
      <c r="F14195" t="s">
        <v>31362</v>
      </c>
      <c r="G14195" t="s">
        <v>31369</v>
      </c>
      <c r="H14195" t="s">
        <v>31378</v>
      </c>
      <c r="I14195" t="s">
        <v>31386</v>
      </c>
      <c r="J14195" t="s">
        <v>40090</v>
      </c>
      <c r="K14195" t="s">
        <v>40667</v>
      </c>
      <c r="M14195" t="s">
        <v>44777</v>
      </c>
      <c r="N14195" t="s">
        <v>44905</v>
      </c>
      <c r="O14195" t="s">
        <v>44906</v>
      </c>
      <c r="P14195">
        <v>0</v>
      </c>
      <c r="Q14195">
        <v>2</v>
      </c>
      <c r="R14195" t="s">
        <v>44924</v>
      </c>
      <c r="S14195" t="s">
        <v>45829</v>
      </c>
      <c r="T14195" t="s">
        <v>46409</v>
      </c>
      <c r="U14195" t="s">
        <v>58229</v>
      </c>
      <c r="W14195" t="s">
        <v>44777</v>
      </c>
      <c r="X14195" t="s">
        <v>44925</v>
      </c>
    </row>
    <row r="14196" spans="1:24">
      <c r="A14196">
        <f>HYPERLINK("https://www.philgeps.gov.ph/GEPSNONPILOT/Tender/SplashBidNoticeAbstractUI.aspx?menuIndex=3&amp;refID=7046862&amp;Result=3","7046862")</f>
        <v>0</v>
      </c>
      <c r="B14196" t="s">
        <v>3439</v>
      </c>
      <c r="C14196" t="s">
        <v>17111</v>
      </c>
      <c r="D14196" t="s">
        <v>18133</v>
      </c>
      <c r="E14196" t="s">
        <v>19064</v>
      </c>
      <c r="F14196" t="s">
        <v>31362</v>
      </c>
      <c r="G14196" t="s">
        <v>31369</v>
      </c>
      <c r="H14196" t="s">
        <v>15799</v>
      </c>
      <c r="I14196" t="s">
        <v>4283</v>
      </c>
      <c r="J14196" t="s">
        <v>31578</v>
      </c>
      <c r="K14196" t="s">
        <v>40666</v>
      </c>
      <c r="M14196" t="s">
        <v>44762</v>
      </c>
      <c r="N14196" t="s">
        <v>44905</v>
      </c>
      <c r="O14196" t="s">
        <v>44906</v>
      </c>
      <c r="P14196">
        <v>0</v>
      </c>
      <c r="Q14196">
        <v>1</v>
      </c>
      <c r="R14196" t="s">
        <v>44924</v>
      </c>
      <c r="S14196" t="s">
        <v>45829</v>
      </c>
      <c r="T14196" t="s">
        <v>46393</v>
      </c>
      <c r="U14196" t="s">
        <v>58230</v>
      </c>
      <c r="W14196" t="s">
        <v>44762</v>
      </c>
      <c r="X14196" t="s">
        <v>44925</v>
      </c>
    </row>
    <row r="14197" spans="1:24">
      <c r="A14197">
        <f>HYPERLINK("https://www.philgeps.gov.ph/GEPSNONPILOT/Tender/SplashBidNoticeAbstractUI.aspx?menuIndex=3&amp;refID=7046942&amp;Result=3","7046942")</f>
        <v>0</v>
      </c>
      <c r="B14197" t="s">
        <v>3451</v>
      </c>
      <c r="C14197" t="s">
        <v>17112</v>
      </c>
      <c r="D14197" t="s">
        <v>18148</v>
      </c>
      <c r="E14197" t="s">
        <v>30466</v>
      </c>
      <c r="F14197" t="s">
        <v>31362</v>
      </c>
      <c r="G14197" t="s">
        <v>31369</v>
      </c>
      <c r="H14197" t="s">
        <v>31378</v>
      </c>
      <c r="I14197" t="s">
        <v>31386</v>
      </c>
      <c r="J14197" t="s">
        <v>40091</v>
      </c>
      <c r="K14197" t="s">
        <v>40682</v>
      </c>
      <c r="M14197" t="s">
        <v>44778</v>
      </c>
      <c r="N14197" t="s">
        <v>44905</v>
      </c>
      <c r="O14197" t="s">
        <v>44906</v>
      </c>
      <c r="P14197">
        <v>0</v>
      </c>
      <c r="Q14197">
        <v>3</v>
      </c>
      <c r="R14197" t="s">
        <v>44924</v>
      </c>
      <c r="S14197" t="s">
        <v>45829</v>
      </c>
      <c r="T14197" t="s">
        <v>46410</v>
      </c>
      <c r="U14197" t="s">
        <v>58231</v>
      </c>
      <c r="W14197" t="s">
        <v>44778</v>
      </c>
      <c r="X14197" t="s">
        <v>44925</v>
      </c>
    </row>
    <row r="14198" spans="1:24">
      <c r="A14198">
        <f>HYPERLINK("https://www.philgeps.gov.ph/GEPSNONPILOT/Tender/SplashBidNoticeAbstractUI.aspx?menuIndex=3&amp;refID=7046794&amp;Result=3","7046794")</f>
        <v>0</v>
      </c>
      <c r="B14198" t="s">
        <v>2668</v>
      </c>
      <c r="C14198" t="s">
        <v>17113</v>
      </c>
      <c r="D14198" t="s">
        <v>18177</v>
      </c>
      <c r="E14198" t="s">
        <v>30467</v>
      </c>
      <c r="F14198" t="s">
        <v>31362</v>
      </c>
      <c r="G14198" t="s">
        <v>31369</v>
      </c>
      <c r="H14198" t="s">
        <v>31378</v>
      </c>
      <c r="I14198" t="s">
        <v>31386</v>
      </c>
      <c r="J14198" t="s">
        <v>31726</v>
      </c>
      <c r="K14198" t="s">
        <v>40686</v>
      </c>
      <c r="M14198" t="s">
        <v>43852</v>
      </c>
      <c r="N14198" t="s">
        <v>44905</v>
      </c>
      <c r="O14198" t="s">
        <v>44906</v>
      </c>
      <c r="Q14198">
        <v>1</v>
      </c>
      <c r="R14198" t="s">
        <v>44924</v>
      </c>
      <c r="S14198" t="s">
        <v>45887</v>
      </c>
      <c r="T14198" t="s">
        <v>46533</v>
      </c>
      <c r="U14198" t="s">
        <v>54302</v>
      </c>
      <c r="W14198" t="s">
        <v>43852</v>
      </c>
      <c r="X14198" t="s">
        <v>44925</v>
      </c>
    </row>
    <row r="14199" spans="1:24">
      <c r="A14199">
        <f>HYPERLINK("https://www.philgeps.gov.ph/GEPSNONPILOT/Tender/SplashBidNoticeAbstractUI.aspx?menuIndex=3&amp;refID=7046984&amp;Result=3","7046984")</f>
        <v>0</v>
      </c>
      <c r="B14199" t="s">
        <v>3448</v>
      </c>
      <c r="C14199" t="s">
        <v>17114</v>
      </c>
      <c r="D14199" t="s">
        <v>18117</v>
      </c>
      <c r="E14199" t="s">
        <v>30468</v>
      </c>
      <c r="F14199" t="s">
        <v>31362</v>
      </c>
      <c r="G14199" t="s">
        <v>31369</v>
      </c>
      <c r="H14199" t="s">
        <v>31378</v>
      </c>
      <c r="I14199" t="s">
        <v>31386</v>
      </c>
      <c r="J14199" t="s">
        <v>40092</v>
      </c>
      <c r="K14199" t="s">
        <v>40665</v>
      </c>
      <c r="M14199" t="s">
        <v>44774</v>
      </c>
      <c r="N14199" t="s">
        <v>44905</v>
      </c>
      <c r="O14199" t="s">
        <v>44906</v>
      </c>
      <c r="P14199">
        <v>0</v>
      </c>
      <c r="Q14199">
        <v>2</v>
      </c>
      <c r="R14199" t="s">
        <v>44924</v>
      </c>
      <c r="S14199" t="s">
        <v>45829</v>
      </c>
      <c r="T14199" t="s">
        <v>46532</v>
      </c>
      <c r="U14199" t="s">
        <v>58232</v>
      </c>
      <c r="W14199" t="s">
        <v>44774</v>
      </c>
      <c r="X14199" t="s">
        <v>44925</v>
      </c>
    </row>
    <row r="14200" spans="1:24">
      <c r="A14200">
        <f>HYPERLINK("https://www.philgeps.gov.ph/GEPSNONPILOT/Tender/SplashBidNoticeAbstractUI.aspx?menuIndex=3&amp;refID=7046911&amp;Result=3","7046911")</f>
        <v>0</v>
      </c>
      <c r="B14200" t="s">
        <v>3452</v>
      </c>
      <c r="C14200" t="s">
        <v>17115</v>
      </c>
      <c r="D14200" t="s">
        <v>18101</v>
      </c>
      <c r="E14200" t="s">
        <v>30469</v>
      </c>
      <c r="F14200" t="s">
        <v>31362</v>
      </c>
      <c r="G14200" t="s">
        <v>31369</v>
      </c>
      <c r="H14200" t="s">
        <v>31378</v>
      </c>
      <c r="I14200" t="s">
        <v>31386</v>
      </c>
      <c r="J14200" t="s">
        <v>40093</v>
      </c>
      <c r="K14200" t="s">
        <v>40682</v>
      </c>
      <c r="M14200" t="s">
        <v>44779</v>
      </c>
      <c r="N14200" t="s">
        <v>44905</v>
      </c>
      <c r="O14200" t="s">
        <v>44906</v>
      </c>
      <c r="P14200">
        <v>0</v>
      </c>
      <c r="Q14200">
        <v>0</v>
      </c>
      <c r="R14200" t="s">
        <v>44924</v>
      </c>
      <c r="S14200" t="s">
        <v>45829</v>
      </c>
      <c r="T14200" t="s">
        <v>46411</v>
      </c>
      <c r="U14200" t="s">
        <v>58233</v>
      </c>
      <c r="V14200" t="s">
        <v>60692</v>
      </c>
      <c r="W14200" t="s">
        <v>44779</v>
      </c>
      <c r="X14200" t="s">
        <v>44925</v>
      </c>
    </row>
    <row r="14201" spans="1:24">
      <c r="A14201">
        <f>HYPERLINK("https://www.philgeps.gov.ph/GEPSNONPILOT/Tender/SplashBidNoticeAbstractUI.aspx?menuIndex=3&amp;refID=7046855&amp;Result=3","7046855")</f>
        <v>0</v>
      </c>
      <c r="B14201" t="s">
        <v>800</v>
      </c>
      <c r="C14201" t="s">
        <v>17116</v>
      </c>
      <c r="D14201" t="s">
        <v>18130</v>
      </c>
      <c r="E14201" t="s">
        <v>30470</v>
      </c>
      <c r="F14201" t="s">
        <v>31362</v>
      </c>
      <c r="G14201" t="s">
        <v>31369</v>
      </c>
      <c r="H14201" t="s">
        <v>15799</v>
      </c>
      <c r="I14201" t="s">
        <v>31430</v>
      </c>
      <c r="J14201" t="s">
        <v>31827</v>
      </c>
      <c r="K14201" t="s">
        <v>40666</v>
      </c>
      <c r="M14201" t="s">
        <v>41770</v>
      </c>
      <c r="N14201" t="s">
        <v>44905</v>
      </c>
      <c r="O14201" t="s">
        <v>44906</v>
      </c>
      <c r="P14201">
        <v>0</v>
      </c>
      <c r="Q14201">
        <v>0</v>
      </c>
      <c r="R14201" t="s">
        <v>44924</v>
      </c>
      <c r="S14201" t="s">
        <v>45829</v>
      </c>
      <c r="T14201" t="s">
        <v>46447</v>
      </c>
      <c r="U14201" t="s">
        <v>58234</v>
      </c>
      <c r="W14201" t="s">
        <v>41770</v>
      </c>
      <c r="X14201" t="s">
        <v>44925</v>
      </c>
    </row>
    <row r="14202" spans="1:24">
      <c r="A14202">
        <f>HYPERLINK("https://www.philgeps.gov.ph/GEPSNONPILOT/Tender/SplashBidNoticeAbstractUI.aspx?menuIndex=3&amp;refID=7046778&amp;Result=3","7046778")</f>
        <v>0</v>
      </c>
      <c r="B14202" t="s">
        <v>2668</v>
      </c>
      <c r="C14202" t="s">
        <v>17117</v>
      </c>
      <c r="D14202" t="s">
        <v>18177</v>
      </c>
      <c r="E14202" t="s">
        <v>30471</v>
      </c>
      <c r="F14202" t="s">
        <v>31362</v>
      </c>
      <c r="G14202" t="s">
        <v>31369</v>
      </c>
      <c r="H14202" t="s">
        <v>31378</v>
      </c>
      <c r="I14202" t="s">
        <v>31386</v>
      </c>
      <c r="J14202" t="s">
        <v>40094</v>
      </c>
      <c r="K14202" t="s">
        <v>40678</v>
      </c>
      <c r="M14202" t="s">
        <v>43852</v>
      </c>
      <c r="N14202" t="s">
        <v>44905</v>
      </c>
      <c r="O14202" t="s">
        <v>44906</v>
      </c>
      <c r="Q14202">
        <v>0</v>
      </c>
      <c r="R14202" t="s">
        <v>44924</v>
      </c>
      <c r="S14202" t="s">
        <v>45888</v>
      </c>
      <c r="T14202" t="s">
        <v>46533</v>
      </c>
      <c r="U14202" t="s">
        <v>54302</v>
      </c>
      <c r="W14202" t="s">
        <v>43852</v>
      </c>
      <c r="X14202" t="s">
        <v>44925</v>
      </c>
    </row>
    <row r="14203" spans="1:24">
      <c r="A14203">
        <f>HYPERLINK("https://www.philgeps.gov.ph/GEPSNONPILOT/Tender/SplashBidNoticeAbstractUI.aspx?menuIndex=3&amp;refID=7046775&amp;Result=3","7046775")</f>
        <v>0</v>
      </c>
      <c r="B14203" t="s">
        <v>2129</v>
      </c>
      <c r="C14203" t="s">
        <v>17118</v>
      </c>
      <c r="D14203" t="s">
        <v>18170</v>
      </c>
      <c r="E14203" t="s">
        <v>30472</v>
      </c>
      <c r="F14203" t="s">
        <v>31362</v>
      </c>
      <c r="G14203" t="s">
        <v>31369</v>
      </c>
      <c r="H14203" t="s">
        <v>15799</v>
      </c>
      <c r="I14203" t="s">
        <v>31400</v>
      </c>
      <c r="J14203" t="s">
        <v>32392</v>
      </c>
      <c r="K14203" t="s">
        <v>40665</v>
      </c>
      <c r="M14203" t="s">
        <v>43257</v>
      </c>
      <c r="N14203" t="s">
        <v>44905</v>
      </c>
      <c r="O14203" t="s">
        <v>44906</v>
      </c>
      <c r="Q14203">
        <v>3</v>
      </c>
      <c r="R14203" t="s">
        <v>44924</v>
      </c>
      <c r="S14203" t="s">
        <v>45889</v>
      </c>
      <c r="T14203" t="s">
        <v>46447</v>
      </c>
      <c r="U14203" t="s">
        <v>58235</v>
      </c>
      <c r="W14203" t="s">
        <v>43257</v>
      </c>
      <c r="X14203" t="s">
        <v>44925</v>
      </c>
    </row>
    <row r="14204" spans="1:24">
      <c r="A14204">
        <f>HYPERLINK("https://www.philgeps.gov.ph/GEPSNONPILOT/Tender/SplashBidNoticeAbstractUI.aspx?menuIndex=3&amp;refID=7046861&amp;Result=3","7046861")</f>
        <v>0</v>
      </c>
      <c r="B14204" t="s">
        <v>800</v>
      </c>
      <c r="C14204" t="s">
        <v>17119</v>
      </c>
      <c r="D14204" t="s">
        <v>18130</v>
      </c>
      <c r="E14204" t="s">
        <v>30473</v>
      </c>
      <c r="F14204" t="s">
        <v>31362</v>
      </c>
      <c r="G14204" t="s">
        <v>31369</v>
      </c>
      <c r="H14204" t="s">
        <v>31378</v>
      </c>
      <c r="I14204" t="s">
        <v>31386</v>
      </c>
      <c r="J14204" t="s">
        <v>33502</v>
      </c>
      <c r="K14204" t="s">
        <v>40786</v>
      </c>
      <c r="M14204" t="s">
        <v>41770</v>
      </c>
      <c r="N14204" t="s">
        <v>44905</v>
      </c>
      <c r="O14204" t="s">
        <v>44906</v>
      </c>
      <c r="P14204">
        <v>0</v>
      </c>
      <c r="Q14204">
        <v>1</v>
      </c>
      <c r="R14204" t="s">
        <v>44924</v>
      </c>
      <c r="S14204" t="s">
        <v>45829</v>
      </c>
      <c r="T14204" t="s">
        <v>46410</v>
      </c>
      <c r="U14204" t="s">
        <v>58236</v>
      </c>
      <c r="W14204" t="s">
        <v>41770</v>
      </c>
      <c r="X14204" t="s">
        <v>44925</v>
      </c>
    </row>
    <row r="14205" spans="1:24">
      <c r="A14205">
        <f>HYPERLINK("https://www.philgeps.gov.ph/GEPSNONPILOT/Tender/SplashBidNoticeAbstractUI.aspx?menuIndex=3&amp;refID=7046858&amp;Result=3","7046858")</f>
        <v>0</v>
      </c>
      <c r="B14205" t="s">
        <v>800</v>
      </c>
      <c r="C14205" t="s">
        <v>17120</v>
      </c>
      <c r="D14205" t="s">
        <v>18130</v>
      </c>
      <c r="E14205" t="s">
        <v>30474</v>
      </c>
      <c r="F14205" t="s">
        <v>31362</v>
      </c>
      <c r="G14205" t="s">
        <v>31369</v>
      </c>
      <c r="H14205" t="s">
        <v>31378</v>
      </c>
      <c r="I14205" t="s">
        <v>31386</v>
      </c>
      <c r="J14205" t="s">
        <v>34103</v>
      </c>
      <c r="K14205" t="s">
        <v>40841</v>
      </c>
      <c r="M14205" t="s">
        <v>41770</v>
      </c>
      <c r="N14205" t="s">
        <v>44905</v>
      </c>
      <c r="O14205" t="s">
        <v>44906</v>
      </c>
      <c r="P14205">
        <v>0</v>
      </c>
      <c r="Q14205">
        <v>0</v>
      </c>
      <c r="R14205" t="s">
        <v>44924</v>
      </c>
      <c r="S14205" t="s">
        <v>45829</v>
      </c>
      <c r="T14205" t="s">
        <v>46410</v>
      </c>
      <c r="U14205" t="s">
        <v>58237</v>
      </c>
      <c r="W14205" t="s">
        <v>41770</v>
      </c>
      <c r="X14205" t="s">
        <v>44925</v>
      </c>
    </row>
    <row r="14206" spans="1:24">
      <c r="A14206">
        <f>HYPERLINK("https://www.philgeps.gov.ph/GEPSNONPILOT/Tender/SplashBidNoticeAbstractUI.aspx?menuIndex=3&amp;refID=7046777&amp;Result=3","7046777")</f>
        <v>0</v>
      </c>
      <c r="B14206" t="s">
        <v>1982</v>
      </c>
      <c r="C14206" t="s">
        <v>17121</v>
      </c>
      <c r="D14206" t="s">
        <v>18103</v>
      </c>
      <c r="E14206" t="s">
        <v>30475</v>
      </c>
      <c r="F14206" t="s">
        <v>31362</v>
      </c>
      <c r="G14206" t="s">
        <v>31369</v>
      </c>
      <c r="H14206" t="s">
        <v>15799</v>
      </c>
      <c r="I14206" t="s">
        <v>31393</v>
      </c>
      <c r="J14206" t="s">
        <v>39312</v>
      </c>
      <c r="K14206" t="s">
        <v>40682</v>
      </c>
      <c r="M14206" t="s">
        <v>43090</v>
      </c>
      <c r="N14206" t="s">
        <v>44905</v>
      </c>
      <c r="O14206" t="s">
        <v>44906</v>
      </c>
      <c r="Q14206">
        <v>10</v>
      </c>
      <c r="R14206" t="s">
        <v>44924</v>
      </c>
      <c r="S14206" t="s">
        <v>45890</v>
      </c>
      <c r="T14206" t="s">
        <v>46432</v>
      </c>
      <c r="U14206" t="s">
        <v>58238</v>
      </c>
      <c r="W14206" t="s">
        <v>43090</v>
      </c>
      <c r="X14206" t="s">
        <v>44925</v>
      </c>
    </row>
    <row r="14207" spans="1:24">
      <c r="A14207">
        <f>HYPERLINK("https://www.philgeps.gov.ph/GEPSNONPILOT/Tender/SplashBidNoticeAbstractUI.aspx?menuIndex=3&amp;refID=7046783&amp;Result=3","7046783")</f>
        <v>0</v>
      </c>
      <c r="B14207" t="s">
        <v>2129</v>
      </c>
      <c r="C14207" t="s">
        <v>17122</v>
      </c>
      <c r="D14207" t="s">
        <v>18170</v>
      </c>
      <c r="E14207" t="s">
        <v>30476</v>
      </c>
      <c r="F14207" t="s">
        <v>31362</v>
      </c>
      <c r="G14207" t="s">
        <v>31369</v>
      </c>
      <c r="H14207" t="s">
        <v>15799</v>
      </c>
      <c r="I14207" t="s">
        <v>31409</v>
      </c>
      <c r="J14207" t="s">
        <v>31615</v>
      </c>
      <c r="K14207" t="s">
        <v>40665</v>
      </c>
      <c r="M14207" t="s">
        <v>43257</v>
      </c>
      <c r="N14207" t="s">
        <v>44905</v>
      </c>
      <c r="O14207" t="s">
        <v>44906</v>
      </c>
      <c r="P14207">
        <v>0</v>
      </c>
      <c r="Q14207">
        <v>6</v>
      </c>
      <c r="R14207" t="s">
        <v>44924</v>
      </c>
      <c r="S14207" t="s">
        <v>45829</v>
      </c>
      <c r="T14207" t="s">
        <v>46447</v>
      </c>
      <c r="U14207" t="s">
        <v>58239</v>
      </c>
      <c r="W14207" t="s">
        <v>43257</v>
      </c>
      <c r="X14207" t="s">
        <v>44925</v>
      </c>
    </row>
    <row r="14208" spans="1:24">
      <c r="A14208">
        <f>HYPERLINK("https://www.philgeps.gov.ph/GEPSNONPILOT/Tender/SplashBidNoticeAbstractUI.aspx?menuIndex=3&amp;refID=7046658&amp;Result=3","7046658")</f>
        <v>0</v>
      </c>
      <c r="B14208" t="s">
        <v>3439</v>
      </c>
      <c r="C14208" t="s">
        <v>17123</v>
      </c>
      <c r="D14208" t="s">
        <v>18133</v>
      </c>
      <c r="E14208" t="s">
        <v>18466</v>
      </c>
      <c r="F14208" t="s">
        <v>31362</v>
      </c>
      <c r="G14208" t="s">
        <v>31369</v>
      </c>
      <c r="H14208" t="s">
        <v>31378</v>
      </c>
      <c r="I14208" t="s">
        <v>31386</v>
      </c>
      <c r="J14208" t="s">
        <v>31531</v>
      </c>
      <c r="K14208" t="s">
        <v>40676</v>
      </c>
      <c r="M14208" t="s">
        <v>44762</v>
      </c>
      <c r="N14208" t="s">
        <v>44905</v>
      </c>
      <c r="O14208" t="s">
        <v>44906</v>
      </c>
      <c r="P14208">
        <v>0</v>
      </c>
      <c r="Q14208">
        <v>4</v>
      </c>
      <c r="R14208" t="s">
        <v>44924</v>
      </c>
      <c r="S14208" t="s">
        <v>45829</v>
      </c>
      <c r="T14208" t="s">
        <v>46393</v>
      </c>
      <c r="U14208" t="s">
        <v>58240</v>
      </c>
      <c r="W14208" t="s">
        <v>44762</v>
      </c>
      <c r="X14208" t="s">
        <v>44925</v>
      </c>
    </row>
    <row r="14209" spans="1:24">
      <c r="A14209">
        <f>HYPERLINK("https://www.philgeps.gov.ph/GEPSNONPILOT/Tender/SplashBidNoticeAbstractUI.aspx?menuIndex=3&amp;refID=7046660&amp;Result=3","7046660")</f>
        <v>0</v>
      </c>
      <c r="B14209" t="s">
        <v>2813</v>
      </c>
      <c r="C14209" t="s">
        <v>17124</v>
      </c>
      <c r="D14209" t="s">
        <v>18118</v>
      </c>
      <c r="E14209" t="s">
        <v>30477</v>
      </c>
      <c r="F14209" t="s">
        <v>31362</v>
      </c>
      <c r="G14209" t="s">
        <v>31369</v>
      </c>
      <c r="H14209" t="s">
        <v>31378</v>
      </c>
      <c r="I14209" t="s">
        <v>31386</v>
      </c>
      <c r="J14209" t="s">
        <v>40095</v>
      </c>
      <c r="K14209" t="s">
        <v>40662</v>
      </c>
      <c r="M14209" t="s">
        <v>44101</v>
      </c>
      <c r="N14209" t="s">
        <v>44905</v>
      </c>
      <c r="O14209" t="s">
        <v>44906</v>
      </c>
      <c r="P14209">
        <v>0</v>
      </c>
      <c r="Q14209">
        <v>1</v>
      </c>
      <c r="R14209" t="s">
        <v>44924</v>
      </c>
      <c r="S14209" t="s">
        <v>45829</v>
      </c>
      <c r="T14209" t="s">
        <v>46410</v>
      </c>
      <c r="U14209" t="s">
        <v>55273</v>
      </c>
      <c r="W14209" t="s">
        <v>44101</v>
      </c>
      <c r="X14209" t="s">
        <v>44925</v>
      </c>
    </row>
    <row r="14210" spans="1:24">
      <c r="A14210">
        <f>HYPERLINK("https://www.philgeps.gov.ph/GEPSNONPILOT/Tender/SplashBidNoticeAbstractUI.aspx?menuIndex=3&amp;refID=7046648&amp;Result=3","7046648")</f>
        <v>0</v>
      </c>
      <c r="B14210" t="s">
        <v>1184</v>
      </c>
      <c r="C14210" t="s">
        <v>17125</v>
      </c>
      <c r="D14210" t="s">
        <v>18119</v>
      </c>
      <c r="E14210" t="s">
        <v>30478</v>
      </c>
      <c r="F14210" t="s">
        <v>31362</v>
      </c>
      <c r="G14210" t="s">
        <v>31369</v>
      </c>
      <c r="H14210" t="s">
        <v>15799</v>
      </c>
      <c r="I14210" t="s">
        <v>31409</v>
      </c>
      <c r="J14210" t="s">
        <v>40096</v>
      </c>
      <c r="K14210" t="s">
        <v>40666</v>
      </c>
      <c r="M14210" t="s">
        <v>42555</v>
      </c>
      <c r="N14210" t="s">
        <v>44905</v>
      </c>
      <c r="O14210" t="s">
        <v>44906</v>
      </c>
      <c r="P14210">
        <v>0</v>
      </c>
      <c r="Q14210">
        <v>5</v>
      </c>
      <c r="R14210" t="s">
        <v>44924</v>
      </c>
      <c r="S14210" t="s">
        <v>45829</v>
      </c>
      <c r="T14210" t="s">
        <v>46410</v>
      </c>
      <c r="U14210" t="s">
        <v>58241</v>
      </c>
      <c r="W14210" t="s">
        <v>42555</v>
      </c>
      <c r="X14210" t="s">
        <v>44925</v>
      </c>
    </row>
    <row r="14211" spans="1:24">
      <c r="A14211">
        <f>HYPERLINK("https://www.philgeps.gov.ph/GEPSNONPILOT/Tender/SplashBidNoticeAbstractUI.aspx?menuIndex=3&amp;refID=7046756&amp;Result=3","7046756")</f>
        <v>0</v>
      </c>
      <c r="B14211" t="s">
        <v>2129</v>
      </c>
      <c r="C14211" t="s">
        <v>17126</v>
      </c>
      <c r="D14211" t="s">
        <v>18170</v>
      </c>
      <c r="E14211" t="s">
        <v>30479</v>
      </c>
      <c r="F14211" t="s">
        <v>31362</v>
      </c>
      <c r="G14211" t="s">
        <v>31369</v>
      </c>
      <c r="H14211" t="s">
        <v>15799</v>
      </c>
      <c r="I14211" t="s">
        <v>4942</v>
      </c>
      <c r="J14211" t="s">
        <v>31591</v>
      </c>
      <c r="K14211" t="s">
        <v>40665</v>
      </c>
      <c r="M14211" t="s">
        <v>43257</v>
      </c>
      <c r="N14211" t="s">
        <v>44905</v>
      </c>
      <c r="O14211" t="s">
        <v>44906</v>
      </c>
      <c r="P14211">
        <v>0</v>
      </c>
      <c r="Q14211">
        <v>0</v>
      </c>
      <c r="R14211" t="s">
        <v>44924</v>
      </c>
      <c r="S14211" t="s">
        <v>45829</v>
      </c>
      <c r="T14211" t="s">
        <v>46447</v>
      </c>
      <c r="U14211" t="s">
        <v>58242</v>
      </c>
      <c r="W14211" t="s">
        <v>43257</v>
      </c>
      <c r="X14211" t="s">
        <v>44925</v>
      </c>
    </row>
    <row r="14212" spans="1:24">
      <c r="A14212">
        <f>HYPERLINK("https://www.philgeps.gov.ph/GEPSNONPILOT/Tender/SplashBidNoticeAbstractUI.aspx?menuIndex=3&amp;refID=7046784&amp;Result=3","7046784")</f>
        <v>0</v>
      </c>
      <c r="B14212" t="s">
        <v>3453</v>
      </c>
      <c r="C14212" t="s">
        <v>17127</v>
      </c>
      <c r="D14212" t="s">
        <v>18158</v>
      </c>
      <c r="E14212" t="s">
        <v>24893</v>
      </c>
      <c r="F14212" t="s">
        <v>31362</v>
      </c>
      <c r="G14212" t="s">
        <v>31369</v>
      </c>
      <c r="H14212" t="s">
        <v>31378</v>
      </c>
      <c r="I14212" t="s">
        <v>31439</v>
      </c>
      <c r="J14212" t="s">
        <v>40097</v>
      </c>
      <c r="K14212" t="s">
        <v>40679</v>
      </c>
      <c r="M14212" t="s">
        <v>44780</v>
      </c>
      <c r="N14212" t="s">
        <v>44905</v>
      </c>
      <c r="O14212" t="s">
        <v>44906</v>
      </c>
      <c r="P14212">
        <v>0</v>
      </c>
      <c r="Q14212">
        <v>0</v>
      </c>
      <c r="R14212" t="s">
        <v>44924</v>
      </c>
      <c r="S14212" t="s">
        <v>45829</v>
      </c>
      <c r="T14212" t="s">
        <v>46409</v>
      </c>
      <c r="U14212" t="s">
        <v>58243</v>
      </c>
      <c r="W14212" t="s">
        <v>44780</v>
      </c>
      <c r="X14212" t="s">
        <v>44925</v>
      </c>
    </row>
    <row r="14213" spans="1:24">
      <c r="A14213">
        <f>HYPERLINK("https://www.philgeps.gov.ph/GEPSNONPILOT/Tender/SplashBidNoticeAbstractUI.aspx?menuIndex=3&amp;refID=7046645&amp;Result=3","7046645")</f>
        <v>0</v>
      </c>
      <c r="B14213" t="s">
        <v>3454</v>
      </c>
      <c r="C14213" t="s">
        <v>17128</v>
      </c>
      <c r="D14213" t="s">
        <v>18116</v>
      </c>
      <c r="E14213" t="s">
        <v>24279</v>
      </c>
      <c r="F14213" t="s">
        <v>31362</v>
      </c>
      <c r="G14213" t="s">
        <v>31369</v>
      </c>
      <c r="H14213" t="s">
        <v>31378</v>
      </c>
      <c r="I14213" t="s">
        <v>31386</v>
      </c>
      <c r="J14213" t="s">
        <v>40098</v>
      </c>
      <c r="K14213" t="s">
        <v>40682</v>
      </c>
      <c r="M14213" t="s">
        <v>44781</v>
      </c>
      <c r="N14213" t="s">
        <v>44905</v>
      </c>
      <c r="O14213" t="s">
        <v>44906</v>
      </c>
      <c r="P14213">
        <v>0</v>
      </c>
      <c r="Q14213">
        <v>0</v>
      </c>
      <c r="R14213" t="s">
        <v>44924</v>
      </c>
      <c r="S14213" t="s">
        <v>45829</v>
      </c>
      <c r="T14213" t="s">
        <v>46549</v>
      </c>
      <c r="U14213" t="s">
        <v>58244</v>
      </c>
      <c r="W14213" t="s">
        <v>44781</v>
      </c>
      <c r="X14213" t="s">
        <v>44925</v>
      </c>
    </row>
    <row r="14214" spans="1:24">
      <c r="A14214">
        <f>HYPERLINK("https://www.philgeps.gov.ph/GEPSNONPILOT/Tender/SplashBidNoticeAbstractUI.aspx?menuIndex=3&amp;refID=7046581&amp;Result=3","7046581")</f>
        <v>0</v>
      </c>
      <c r="B14214" t="s">
        <v>2915</v>
      </c>
      <c r="C14214" t="s">
        <v>17129</v>
      </c>
      <c r="D14214" t="s">
        <v>18142</v>
      </c>
      <c r="E14214" t="s">
        <v>30480</v>
      </c>
      <c r="F14214" t="s">
        <v>31362</v>
      </c>
      <c r="G14214" t="s">
        <v>31369</v>
      </c>
      <c r="H14214" t="s">
        <v>31378</v>
      </c>
      <c r="I14214" t="s">
        <v>31386</v>
      </c>
      <c r="J14214" t="s">
        <v>40099</v>
      </c>
      <c r="K14214" t="s">
        <v>40759</v>
      </c>
      <c r="L14214" t="s">
        <v>2915</v>
      </c>
      <c r="M14214" t="s">
        <v>44131</v>
      </c>
      <c r="N14214" t="s">
        <v>44905</v>
      </c>
      <c r="O14214" t="s">
        <v>44906</v>
      </c>
      <c r="P14214">
        <v>0</v>
      </c>
      <c r="Q14214">
        <v>0</v>
      </c>
      <c r="R14214" t="s">
        <v>44924</v>
      </c>
      <c r="S14214" t="s">
        <v>45829</v>
      </c>
      <c r="T14214" t="s">
        <v>46409</v>
      </c>
      <c r="U14214" t="s">
        <v>58245</v>
      </c>
      <c r="V14214" t="s">
        <v>60693</v>
      </c>
      <c r="W14214" t="s">
        <v>44131</v>
      </c>
      <c r="X14214" t="s">
        <v>44925</v>
      </c>
    </row>
    <row r="14215" spans="1:24">
      <c r="A14215">
        <f>HYPERLINK("https://www.philgeps.gov.ph/GEPSNONPILOT/Tender/SplashBidNoticeAbstractUI.aspx?menuIndex=3&amp;refID=7046568&amp;Result=3","7046568")</f>
        <v>0</v>
      </c>
      <c r="B14215" t="s">
        <v>3439</v>
      </c>
      <c r="C14215" t="s">
        <v>17130</v>
      </c>
      <c r="D14215" t="s">
        <v>18133</v>
      </c>
      <c r="E14215" t="s">
        <v>20367</v>
      </c>
      <c r="F14215" t="s">
        <v>31362</v>
      </c>
      <c r="G14215" t="s">
        <v>31369</v>
      </c>
      <c r="H14215" t="s">
        <v>31378</v>
      </c>
      <c r="I14215" t="s">
        <v>31386</v>
      </c>
      <c r="J14215" t="s">
        <v>32594</v>
      </c>
      <c r="K14215" t="s">
        <v>40683</v>
      </c>
      <c r="M14215" t="s">
        <v>44762</v>
      </c>
      <c r="N14215" t="s">
        <v>44905</v>
      </c>
      <c r="O14215" t="s">
        <v>44906</v>
      </c>
      <c r="P14215">
        <v>0</v>
      </c>
      <c r="Q14215">
        <v>4</v>
      </c>
      <c r="R14215" t="s">
        <v>44924</v>
      </c>
      <c r="S14215" t="s">
        <v>45829</v>
      </c>
      <c r="T14215" t="s">
        <v>46393</v>
      </c>
      <c r="U14215" t="s">
        <v>58246</v>
      </c>
      <c r="W14215" t="s">
        <v>44762</v>
      </c>
      <c r="X14215" t="s">
        <v>44925</v>
      </c>
    </row>
    <row r="14216" spans="1:24">
      <c r="A14216">
        <f>HYPERLINK("https://www.philgeps.gov.ph/GEPSNONPILOT/Tender/SplashBidNoticeAbstractUI.aspx?menuIndex=3&amp;refID=7046567&amp;Result=3","7046567")</f>
        <v>0</v>
      </c>
      <c r="B14216" t="s">
        <v>286</v>
      </c>
      <c r="C14216" t="s">
        <v>17131</v>
      </c>
      <c r="E14216" t="s">
        <v>30481</v>
      </c>
      <c r="F14216" t="s">
        <v>31362</v>
      </c>
      <c r="G14216" t="s">
        <v>31369</v>
      </c>
      <c r="H14216" t="s">
        <v>15799</v>
      </c>
      <c r="I14216" t="s">
        <v>31399</v>
      </c>
      <c r="J14216" t="s">
        <v>34646</v>
      </c>
      <c r="K14216" t="s">
        <v>40676</v>
      </c>
      <c r="M14216" t="s">
        <v>41229</v>
      </c>
      <c r="N14216" t="s">
        <v>44905</v>
      </c>
      <c r="O14216" t="s">
        <v>44906</v>
      </c>
      <c r="P14216">
        <v>0</v>
      </c>
      <c r="Q14216">
        <v>12</v>
      </c>
      <c r="R14216" t="s">
        <v>44924</v>
      </c>
      <c r="S14216" t="s">
        <v>45829</v>
      </c>
      <c r="T14216" t="s">
        <v>46411</v>
      </c>
      <c r="U14216" t="s">
        <v>58247</v>
      </c>
      <c r="W14216" t="s">
        <v>41229</v>
      </c>
      <c r="X14216" t="s">
        <v>44925</v>
      </c>
    </row>
    <row r="14217" spans="1:24">
      <c r="A14217">
        <f>HYPERLINK("https://www.philgeps.gov.ph/GEPSNONPILOT/Tender/SplashBidNoticeAbstractUI.aspx?menuIndex=3&amp;refID=7046766&amp;Result=3","7046766")</f>
        <v>0</v>
      </c>
      <c r="B14217" t="s">
        <v>3381</v>
      </c>
      <c r="C14217" t="s">
        <v>17132</v>
      </c>
      <c r="D14217" t="s">
        <v>18138</v>
      </c>
      <c r="E14217" t="s">
        <v>30482</v>
      </c>
      <c r="F14217" t="s">
        <v>31362</v>
      </c>
      <c r="G14217" t="s">
        <v>31369</v>
      </c>
      <c r="H14217" t="s">
        <v>15799</v>
      </c>
      <c r="I14217" t="s">
        <v>3815</v>
      </c>
      <c r="J14217" t="s">
        <v>40100</v>
      </c>
      <c r="K14217" t="s">
        <v>40662</v>
      </c>
      <c r="L14217" t="s">
        <v>3381</v>
      </c>
      <c r="M14217" t="s">
        <v>44688</v>
      </c>
      <c r="N14217" t="s">
        <v>44905</v>
      </c>
      <c r="O14217" t="s">
        <v>44906</v>
      </c>
      <c r="P14217">
        <v>0</v>
      </c>
      <c r="Q14217">
        <v>4</v>
      </c>
      <c r="R14217" t="s">
        <v>44924</v>
      </c>
      <c r="S14217" t="s">
        <v>45829</v>
      </c>
      <c r="T14217" t="s">
        <v>46549</v>
      </c>
      <c r="U14217" t="s">
        <v>57739</v>
      </c>
      <c r="W14217" t="s">
        <v>44688</v>
      </c>
      <c r="X14217" t="s">
        <v>44925</v>
      </c>
    </row>
    <row r="14218" spans="1:24">
      <c r="A14218">
        <f>HYPERLINK("https://www.philgeps.gov.ph/GEPSNONPILOT/Tender/SplashBidNoticeAbstractUI.aspx?menuIndex=3&amp;refID=7046869&amp;Result=3","7046869")</f>
        <v>0</v>
      </c>
      <c r="B14218" t="s">
        <v>3010</v>
      </c>
      <c r="C14218" t="s">
        <v>17133</v>
      </c>
      <c r="D14218" t="s">
        <v>18178</v>
      </c>
      <c r="E14218" t="s">
        <v>30483</v>
      </c>
      <c r="F14218" t="s">
        <v>31362</v>
      </c>
      <c r="G14218" t="s">
        <v>31369</v>
      </c>
      <c r="H14218" t="s">
        <v>31378</v>
      </c>
      <c r="I14218" t="s">
        <v>31386</v>
      </c>
      <c r="J14218" t="s">
        <v>36067</v>
      </c>
      <c r="K14218" t="s">
        <v>40683</v>
      </c>
      <c r="M14218" t="s">
        <v>44241</v>
      </c>
      <c r="N14218" t="s">
        <v>44905</v>
      </c>
      <c r="O14218" t="s">
        <v>44906</v>
      </c>
      <c r="P14218">
        <v>0</v>
      </c>
      <c r="Q14218">
        <v>1</v>
      </c>
      <c r="R14218" t="s">
        <v>44924</v>
      </c>
      <c r="S14218" t="s">
        <v>45829</v>
      </c>
      <c r="T14218" t="s">
        <v>46414</v>
      </c>
      <c r="U14218" t="s">
        <v>58248</v>
      </c>
      <c r="W14218" t="s">
        <v>60955</v>
      </c>
      <c r="X14218" t="s">
        <v>44925</v>
      </c>
    </row>
    <row r="14219" spans="1:24">
      <c r="A14219">
        <f>HYPERLINK("https://www.philgeps.gov.ph/GEPSNONPILOT/Tender/SplashBidNoticeAbstractUI.aspx?menuIndex=3&amp;refID=7029810&amp;Result=3","7029810")</f>
        <v>0</v>
      </c>
      <c r="B14219" t="s">
        <v>854</v>
      </c>
      <c r="C14219" t="s">
        <v>14932</v>
      </c>
      <c r="D14219" t="s">
        <v>18147</v>
      </c>
      <c r="E14219" t="s">
        <v>30484</v>
      </c>
      <c r="F14219" t="s">
        <v>31362</v>
      </c>
      <c r="G14219" t="s">
        <v>31369</v>
      </c>
      <c r="H14219" t="s">
        <v>31378</v>
      </c>
      <c r="I14219" t="s">
        <v>31386</v>
      </c>
      <c r="J14219" t="s">
        <v>40101</v>
      </c>
      <c r="K14219" t="s">
        <v>40679</v>
      </c>
      <c r="M14219" t="s">
        <v>41830</v>
      </c>
      <c r="N14219" t="s">
        <v>44905</v>
      </c>
      <c r="O14219" t="s">
        <v>44906</v>
      </c>
      <c r="P14219">
        <v>0</v>
      </c>
      <c r="Q14219">
        <v>2</v>
      </c>
      <c r="R14219" t="s">
        <v>44925</v>
      </c>
      <c r="S14219" t="s">
        <v>45891</v>
      </c>
      <c r="T14219" t="s">
        <v>46394</v>
      </c>
      <c r="U14219" t="s">
        <v>58249</v>
      </c>
      <c r="W14219" t="s">
        <v>41830</v>
      </c>
      <c r="X14219" t="s">
        <v>44935</v>
      </c>
    </row>
    <row r="14220" spans="1:24">
      <c r="A14220">
        <f>HYPERLINK("https://www.philgeps.gov.ph/GEPSNONPILOT/Tender/SplashBidNoticeAbstractUI.aspx?menuIndex=3&amp;refID=7017395&amp;Result=3","7017395")</f>
        <v>0</v>
      </c>
      <c r="B14220" t="s">
        <v>916</v>
      </c>
      <c r="C14220" t="s">
        <v>17134</v>
      </c>
      <c r="D14220" t="s">
        <v>18101</v>
      </c>
      <c r="E14220" t="s">
        <v>30485</v>
      </c>
      <c r="F14220" t="s">
        <v>31362</v>
      </c>
      <c r="G14220" t="s">
        <v>31369</v>
      </c>
      <c r="H14220" t="s">
        <v>31378</v>
      </c>
      <c r="I14220" t="s">
        <v>31386</v>
      </c>
      <c r="J14220" t="s">
        <v>40102</v>
      </c>
      <c r="K14220" t="s">
        <v>40692</v>
      </c>
      <c r="M14220" t="s">
        <v>44782</v>
      </c>
      <c r="N14220" t="s">
        <v>44905</v>
      </c>
      <c r="O14220" t="s">
        <v>44906</v>
      </c>
      <c r="P14220">
        <v>0</v>
      </c>
      <c r="Q14220">
        <v>3</v>
      </c>
      <c r="R14220" t="s">
        <v>44925</v>
      </c>
      <c r="S14220" t="s">
        <v>45891</v>
      </c>
      <c r="T14220" t="s">
        <v>46470</v>
      </c>
      <c r="U14220" t="s">
        <v>58250</v>
      </c>
      <c r="V14220" t="s">
        <v>60694</v>
      </c>
      <c r="W14220" t="s">
        <v>44782</v>
      </c>
      <c r="X14220" t="s">
        <v>44939</v>
      </c>
    </row>
    <row r="14221" spans="1:24">
      <c r="A14221">
        <f>HYPERLINK("https://www.philgeps.gov.ph/GEPSNONPILOT/Tender/SplashBidNoticeAbstractUI.aspx?menuIndex=3&amp;refID=7046656&amp;Result=3","7046656")</f>
        <v>0</v>
      </c>
      <c r="B14221" t="s">
        <v>3089</v>
      </c>
      <c r="C14221" t="s">
        <v>17135</v>
      </c>
      <c r="D14221" t="s">
        <v>18134</v>
      </c>
      <c r="E14221" t="s">
        <v>30486</v>
      </c>
      <c r="F14221" t="s">
        <v>31362</v>
      </c>
      <c r="G14221" t="s">
        <v>31369</v>
      </c>
      <c r="H14221" t="s">
        <v>15799</v>
      </c>
      <c r="I14221" t="s">
        <v>3815</v>
      </c>
      <c r="J14221" t="s">
        <v>40103</v>
      </c>
      <c r="K14221" t="s">
        <v>40665</v>
      </c>
      <c r="M14221" t="s">
        <v>44329</v>
      </c>
      <c r="N14221" t="s">
        <v>44905</v>
      </c>
      <c r="O14221" t="s">
        <v>44906</v>
      </c>
      <c r="Q14221">
        <v>3</v>
      </c>
      <c r="R14221" t="s">
        <v>44924</v>
      </c>
      <c r="S14221" t="s">
        <v>45749</v>
      </c>
      <c r="T14221" t="s">
        <v>46888</v>
      </c>
      <c r="U14221" t="s">
        <v>56077</v>
      </c>
      <c r="V14221" t="s">
        <v>60291</v>
      </c>
      <c r="W14221" t="s">
        <v>44329</v>
      </c>
      <c r="X14221" t="s">
        <v>44925</v>
      </c>
    </row>
    <row r="14222" spans="1:24">
      <c r="A14222">
        <f>HYPERLINK("https://www.philgeps.gov.ph/GEPSNONPILOT/Tender/SplashBidNoticeAbstractUI.aspx?menuIndex=3&amp;refID=6938950&amp;Result=3","6938950")</f>
        <v>0</v>
      </c>
      <c r="B14222" t="s">
        <v>832</v>
      </c>
      <c r="C14222" t="s">
        <v>17136</v>
      </c>
      <c r="E14222" t="s">
        <v>30487</v>
      </c>
      <c r="F14222" t="s">
        <v>31362</v>
      </c>
      <c r="G14222" t="s">
        <v>31369</v>
      </c>
      <c r="H14222" t="s">
        <v>15799</v>
      </c>
      <c r="I14222" t="s">
        <v>31382</v>
      </c>
      <c r="J14222" t="s">
        <v>31738</v>
      </c>
      <c r="K14222" t="s">
        <v>40662</v>
      </c>
      <c r="M14222" t="s">
        <v>44055</v>
      </c>
      <c r="N14222" t="s">
        <v>44905</v>
      </c>
      <c r="O14222" t="s">
        <v>44906</v>
      </c>
      <c r="Q14222">
        <v>11</v>
      </c>
      <c r="R14222" t="s">
        <v>44925</v>
      </c>
      <c r="S14222" t="s">
        <v>45331</v>
      </c>
      <c r="T14222" t="s">
        <v>46411</v>
      </c>
      <c r="U14222" t="s">
        <v>58251</v>
      </c>
      <c r="W14222" t="s">
        <v>44055</v>
      </c>
      <c r="X14222" t="s">
        <v>44971</v>
      </c>
    </row>
    <row r="14223" spans="1:24">
      <c r="A14223">
        <f>HYPERLINK("https://www.philgeps.gov.ph/GEPSNONPILOT/Tender/SplashBidNoticeAbstractUI.aspx?menuIndex=3&amp;refID=7047002&amp;Result=3","7047002")</f>
        <v>0</v>
      </c>
      <c r="B14223" t="s">
        <v>3448</v>
      </c>
      <c r="C14223" t="s">
        <v>17137</v>
      </c>
      <c r="D14223" t="s">
        <v>18117</v>
      </c>
      <c r="E14223" t="s">
        <v>30488</v>
      </c>
      <c r="F14223" t="s">
        <v>31362</v>
      </c>
      <c r="G14223" t="s">
        <v>31369</v>
      </c>
      <c r="H14223" t="s">
        <v>15799</v>
      </c>
      <c r="I14223" t="s">
        <v>4057</v>
      </c>
      <c r="J14223" t="s">
        <v>40104</v>
      </c>
      <c r="K14223" t="s">
        <v>40699</v>
      </c>
      <c r="M14223" t="s">
        <v>44774</v>
      </c>
      <c r="N14223" t="s">
        <v>44905</v>
      </c>
      <c r="O14223" t="s">
        <v>44906</v>
      </c>
      <c r="P14223">
        <v>0</v>
      </c>
      <c r="Q14223">
        <v>2</v>
      </c>
      <c r="R14223" t="s">
        <v>44924</v>
      </c>
      <c r="S14223" t="s">
        <v>45829</v>
      </c>
      <c r="T14223" t="s">
        <v>46532</v>
      </c>
      <c r="U14223" t="s">
        <v>58252</v>
      </c>
      <c r="W14223" t="s">
        <v>44774</v>
      </c>
      <c r="X14223" t="s">
        <v>44925</v>
      </c>
    </row>
    <row r="14224" spans="1:24">
      <c r="A14224">
        <f>HYPERLINK("https://www.philgeps.gov.ph/GEPSNONPILOT/Tender/SplashBidNoticeAbstractUI.aspx?menuIndex=3&amp;refID=7046767&amp;Result=3","7046767")</f>
        <v>0</v>
      </c>
      <c r="B14224" t="s">
        <v>2129</v>
      </c>
      <c r="C14224" t="s">
        <v>17138</v>
      </c>
      <c r="D14224" t="s">
        <v>18170</v>
      </c>
      <c r="E14224" t="s">
        <v>30489</v>
      </c>
      <c r="F14224" t="s">
        <v>31362</v>
      </c>
      <c r="G14224" t="s">
        <v>31369</v>
      </c>
      <c r="H14224" t="s">
        <v>15799</v>
      </c>
      <c r="I14224" t="s">
        <v>31430</v>
      </c>
      <c r="J14224" t="s">
        <v>33017</v>
      </c>
      <c r="K14224" t="s">
        <v>40665</v>
      </c>
      <c r="M14224" t="s">
        <v>43257</v>
      </c>
      <c r="N14224" t="s">
        <v>44905</v>
      </c>
      <c r="O14224" t="s">
        <v>44906</v>
      </c>
      <c r="P14224">
        <v>0</v>
      </c>
      <c r="Q14224">
        <v>0</v>
      </c>
      <c r="R14224" t="s">
        <v>44924</v>
      </c>
      <c r="S14224" t="s">
        <v>45829</v>
      </c>
      <c r="T14224" t="s">
        <v>46447</v>
      </c>
      <c r="U14224" t="s">
        <v>58253</v>
      </c>
      <c r="W14224" t="s">
        <v>43257</v>
      </c>
      <c r="X14224" t="s">
        <v>44925</v>
      </c>
    </row>
    <row r="14225" spans="1:24">
      <c r="A14225">
        <f>HYPERLINK("https://www.philgeps.gov.ph/GEPSNONPILOT/Tender/SplashBidNoticeAbstractUI.aspx?menuIndex=3&amp;refID=6938942&amp;Result=3","6938942")</f>
        <v>0</v>
      </c>
      <c r="B14225" t="s">
        <v>832</v>
      </c>
      <c r="C14225" t="s">
        <v>17139</v>
      </c>
      <c r="E14225" t="s">
        <v>30490</v>
      </c>
      <c r="F14225" t="s">
        <v>31362</v>
      </c>
      <c r="G14225" t="s">
        <v>31369</v>
      </c>
      <c r="H14225" t="s">
        <v>15799</v>
      </c>
      <c r="I14225" t="s">
        <v>31396</v>
      </c>
      <c r="J14225" t="s">
        <v>32902</v>
      </c>
      <c r="K14225" t="s">
        <v>40662</v>
      </c>
      <c r="M14225" t="s">
        <v>44055</v>
      </c>
      <c r="N14225" t="s">
        <v>44905</v>
      </c>
      <c r="O14225" t="s">
        <v>44906</v>
      </c>
      <c r="Q14225">
        <v>22</v>
      </c>
      <c r="R14225" t="s">
        <v>44925</v>
      </c>
      <c r="S14225" t="s">
        <v>45317</v>
      </c>
      <c r="T14225" t="s">
        <v>46411</v>
      </c>
      <c r="U14225" t="s">
        <v>58251</v>
      </c>
      <c r="W14225" t="s">
        <v>44055</v>
      </c>
      <c r="X14225" t="s">
        <v>44971</v>
      </c>
    </row>
    <row r="14226" spans="1:24">
      <c r="A14226">
        <f>HYPERLINK("https://www.philgeps.gov.ph/GEPSNONPILOT/Tender/SplashBidNoticeAbstractUI.aspx?menuIndex=3&amp;refID=6938443&amp;Result=3","6938443")</f>
        <v>0</v>
      </c>
      <c r="B14226" t="s">
        <v>2494</v>
      </c>
      <c r="C14226" t="s">
        <v>17140</v>
      </c>
      <c r="D14226" t="s">
        <v>18117</v>
      </c>
      <c r="E14226" t="s">
        <v>30491</v>
      </c>
      <c r="F14226" t="s">
        <v>31362</v>
      </c>
      <c r="G14226" t="s">
        <v>31369</v>
      </c>
      <c r="H14226" t="s">
        <v>31378</v>
      </c>
      <c r="I14226" t="s">
        <v>31386</v>
      </c>
      <c r="J14226" t="s">
        <v>37845</v>
      </c>
      <c r="K14226" t="s">
        <v>40728</v>
      </c>
      <c r="M14226" t="s">
        <v>43661</v>
      </c>
      <c r="N14226" t="s">
        <v>44905</v>
      </c>
      <c r="O14226" t="s">
        <v>44906</v>
      </c>
      <c r="Q14226">
        <v>9</v>
      </c>
      <c r="R14226" t="s">
        <v>44925</v>
      </c>
      <c r="S14226" t="s">
        <v>45892</v>
      </c>
      <c r="T14226" t="s">
        <v>46727</v>
      </c>
      <c r="U14226" t="s">
        <v>58254</v>
      </c>
      <c r="W14226" t="s">
        <v>43661</v>
      </c>
      <c r="X14226" t="s">
        <v>44971</v>
      </c>
    </row>
    <row r="14227" spans="1:24">
      <c r="A14227">
        <f>HYPERLINK("https://www.philgeps.gov.ph/GEPSNONPILOT/Tender/SplashBidNoticeAbstractUI.aspx?menuIndex=3&amp;refID=7047072&amp;Result=3","7047072")</f>
        <v>0</v>
      </c>
      <c r="B14227" t="s">
        <v>121</v>
      </c>
      <c r="C14227" t="s">
        <v>17141</v>
      </c>
      <c r="D14227" t="s">
        <v>18144</v>
      </c>
      <c r="E14227" t="s">
        <v>30492</v>
      </c>
      <c r="F14227" t="s">
        <v>31362</v>
      </c>
      <c r="G14227" t="s">
        <v>31369</v>
      </c>
      <c r="H14227" t="s">
        <v>31378</v>
      </c>
      <c r="I14227" t="s">
        <v>31386</v>
      </c>
      <c r="J14227" t="s">
        <v>31738</v>
      </c>
      <c r="K14227" t="s">
        <v>40821</v>
      </c>
      <c r="M14227" t="s">
        <v>41058</v>
      </c>
      <c r="N14227" t="s">
        <v>44905</v>
      </c>
      <c r="O14227" t="s">
        <v>44906</v>
      </c>
      <c r="P14227">
        <v>0</v>
      </c>
      <c r="Q14227">
        <v>0</v>
      </c>
      <c r="R14227" t="s">
        <v>44924</v>
      </c>
      <c r="S14227" t="s">
        <v>45829</v>
      </c>
      <c r="T14227" t="s">
        <v>46447</v>
      </c>
      <c r="U14227" t="s">
        <v>58255</v>
      </c>
      <c r="W14227" t="s">
        <v>41058</v>
      </c>
      <c r="X14227" t="s">
        <v>44925</v>
      </c>
    </row>
    <row r="14228" spans="1:24">
      <c r="A14228">
        <f>HYPERLINK("https://www.philgeps.gov.ph/GEPSNONPILOT/Tender/SplashBidNoticeAbstractUI.aspx?menuIndex=3&amp;refID=7046579&amp;Result=3","7046579")</f>
        <v>0</v>
      </c>
      <c r="B14228" t="s">
        <v>2129</v>
      </c>
      <c r="C14228" t="s">
        <v>17142</v>
      </c>
      <c r="D14228" t="s">
        <v>18170</v>
      </c>
      <c r="E14228" t="s">
        <v>30493</v>
      </c>
      <c r="F14228" t="s">
        <v>31362</v>
      </c>
      <c r="G14228" t="s">
        <v>31369</v>
      </c>
      <c r="H14228" t="s">
        <v>15799</v>
      </c>
      <c r="I14228" t="s">
        <v>31404</v>
      </c>
      <c r="J14228" t="s">
        <v>40105</v>
      </c>
      <c r="K14228" t="s">
        <v>40665</v>
      </c>
      <c r="M14228" t="s">
        <v>43257</v>
      </c>
      <c r="N14228" t="s">
        <v>44905</v>
      </c>
      <c r="O14228" t="s">
        <v>44906</v>
      </c>
      <c r="P14228">
        <v>0</v>
      </c>
      <c r="Q14228">
        <v>0</v>
      </c>
      <c r="R14228" t="s">
        <v>44924</v>
      </c>
      <c r="S14228" t="s">
        <v>45829</v>
      </c>
      <c r="T14228" t="s">
        <v>46447</v>
      </c>
      <c r="U14228" t="s">
        <v>58256</v>
      </c>
      <c r="W14228" t="s">
        <v>43257</v>
      </c>
      <c r="X14228" t="s">
        <v>44925</v>
      </c>
    </row>
    <row r="14229" spans="1:24">
      <c r="A14229">
        <f>HYPERLINK("https://www.philgeps.gov.ph/GEPSNONPILOT/Tender/SplashBidNoticeAbstractUI.aspx?menuIndex=3&amp;refID=7047065&amp;Result=3","7047065")</f>
        <v>0</v>
      </c>
      <c r="B14229" t="s">
        <v>121</v>
      </c>
      <c r="C14229" t="s">
        <v>17143</v>
      </c>
      <c r="D14229" t="s">
        <v>18144</v>
      </c>
      <c r="E14229" t="s">
        <v>30494</v>
      </c>
      <c r="F14229" t="s">
        <v>31362</v>
      </c>
      <c r="G14229" t="s">
        <v>31369</v>
      </c>
      <c r="H14229" t="s">
        <v>31378</v>
      </c>
      <c r="I14229" t="s">
        <v>31386</v>
      </c>
      <c r="J14229" t="s">
        <v>40106</v>
      </c>
      <c r="K14229" t="s">
        <v>40665</v>
      </c>
      <c r="M14229" t="s">
        <v>41058</v>
      </c>
      <c r="N14229" t="s">
        <v>44905</v>
      </c>
      <c r="O14229" t="s">
        <v>44906</v>
      </c>
      <c r="P14229">
        <v>0</v>
      </c>
      <c r="Q14229">
        <v>0</v>
      </c>
      <c r="R14229" t="s">
        <v>44924</v>
      </c>
      <c r="S14229" t="s">
        <v>45829</v>
      </c>
      <c r="T14229" t="s">
        <v>46447</v>
      </c>
      <c r="U14229" t="s">
        <v>58257</v>
      </c>
      <c r="W14229" t="s">
        <v>41058</v>
      </c>
      <c r="X14229" t="s">
        <v>44925</v>
      </c>
    </row>
    <row r="14230" spans="1:24">
      <c r="A14230">
        <f>HYPERLINK("https://www.philgeps.gov.ph/GEPSNONPILOT/Tender/SplashBidNoticeAbstractUI.aspx?menuIndex=3&amp;refID=7047050&amp;Result=3","7047050")</f>
        <v>0</v>
      </c>
      <c r="B14230" t="s">
        <v>233</v>
      </c>
      <c r="C14230" t="s">
        <v>17144</v>
      </c>
      <c r="D14230" t="s">
        <v>18108</v>
      </c>
      <c r="E14230" t="s">
        <v>30495</v>
      </c>
      <c r="F14230" t="s">
        <v>31362</v>
      </c>
      <c r="G14230" t="s">
        <v>31369</v>
      </c>
      <c r="H14230" t="s">
        <v>15799</v>
      </c>
      <c r="I14230" t="s">
        <v>31472</v>
      </c>
      <c r="J14230" t="s">
        <v>34085</v>
      </c>
      <c r="K14230" t="s">
        <v>40723</v>
      </c>
      <c r="M14230" t="s">
        <v>44776</v>
      </c>
      <c r="N14230" t="s">
        <v>44905</v>
      </c>
      <c r="O14230" t="s">
        <v>44906</v>
      </c>
      <c r="Q14230">
        <v>13</v>
      </c>
      <c r="R14230" t="s">
        <v>44924</v>
      </c>
      <c r="S14230" t="s">
        <v>45893</v>
      </c>
      <c r="T14230" t="s">
        <v>46549</v>
      </c>
      <c r="U14230" t="s">
        <v>58258</v>
      </c>
      <c r="W14230" t="s">
        <v>44776</v>
      </c>
      <c r="X14230" t="s">
        <v>44925</v>
      </c>
    </row>
    <row r="14231" spans="1:24">
      <c r="A14231">
        <f>HYPERLINK("https://www.philgeps.gov.ph/GEPSNONPILOT/Tender/SplashBidNoticeAbstractUI.aspx?menuIndex=3&amp;refID=6938960&amp;Result=3","6938960")</f>
        <v>0</v>
      </c>
      <c r="B14231" t="s">
        <v>832</v>
      </c>
      <c r="C14231" t="s">
        <v>17145</v>
      </c>
      <c r="E14231" t="s">
        <v>30496</v>
      </c>
      <c r="F14231" t="s">
        <v>31362</v>
      </c>
      <c r="G14231" t="s">
        <v>31369</v>
      </c>
      <c r="H14231" t="s">
        <v>15799</v>
      </c>
      <c r="I14231" t="s">
        <v>31382</v>
      </c>
      <c r="J14231" t="s">
        <v>31625</v>
      </c>
      <c r="K14231" t="s">
        <v>40662</v>
      </c>
      <c r="M14231" t="s">
        <v>44055</v>
      </c>
      <c r="N14231" t="s">
        <v>44905</v>
      </c>
      <c r="O14231" t="s">
        <v>44906</v>
      </c>
      <c r="Q14231">
        <v>26</v>
      </c>
      <c r="R14231" t="s">
        <v>44925</v>
      </c>
      <c r="S14231" t="s">
        <v>45329</v>
      </c>
      <c r="T14231" t="s">
        <v>46411</v>
      </c>
      <c r="U14231" t="s">
        <v>58251</v>
      </c>
      <c r="W14231" t="s">
        <v>44055</v>
      </c>
      <c r="X14231" t="s">
        <v>44971</v>
      </c>
    </row>
    <row r="14232" spans="1:24">
      <c r="A14232">
        <f>HYPERLINK("https://www.philgeps.gov.ph/GEPSNONPILOT/Tender/SplashBidNoticeAbstractUI.aspx?menuIndex=3&amp;refID=7047049&amp;Result=3","7047049")</f>
        <v>0</v>
      </c>
      <c r="B14232" t="s">
        <v>909</v>
      </c>
      <c r="C14232" t="s">
        <v>17146</v>
      </c>
      <c r="D14232" t="s">
        <v>18104</v>
      </c>
      <c r="E14232" t="s">
        <v>30497</v>
      </c>
      <c r="F14232" t="s">
        <v>31362</v>
      </c>
      <c r="G14232" t="s">
        <v>31369</v>
      </c>
      <c r="H14232" t="s">
        <v>15799</v>
      </c>
      <c r="I14232" t="s">
        <v>31409</v>
      </c>
      <c r="J14232" t="s">
        <v>40107</v>
      </c>
      <c r="K14232" t="s">
        <v>40697</v>
      </c>
      <c r="M14232" t="s">
        <v>41891</v>
      </c>
      <c r="N14232" t="s">
        <v>44905</v>
      </c>
      <c r="O14232" t="s">
        <v>44906</v>
      </c>
      <c r="P14232">
        <v>0</v>
      </c>
      <c r="Q14232">
        <v>3</v>
      </c>
      <c r="R14232" t="s">
        <v>44924</v>
      </c>
      <c r="S14232" t="s">
        <v>45829</v>
      </c>
      <c r="T14232" t="s">
        <v>46409</v>
      </c>
      <c r="U14232" t="s">
        <v>58259</v>
      </c>
      <c r="W14232" t="s">
        <v>41891</v>
      </c>
      <c r="X14232" t="s">
        <v>44925</v>
      </c>
    </row>
    <row r="14233" spans="1:24">
      <c r="A14233">
        <f>HYPERLINK("https://www.philgeps.gov.ph/GEPSNONPILOT/Tender/SplashBidNoticeAbstractUI.aspx?menuIndex=3&amp;refID=7047034&amp;Result=3","7047034")</f>
        <v>0</v>
      </c>
      <c r="B14233" t="s">
        <v>909</v>
      </c>
      <c r="C14233" t="s">
        <v>17147</v>
      </c>
      <c r="D14233" t="s">
        <v>18104</v>
      </c>
      <c r="E14233" t="s">
        <v>30498</v>
      </c>
      <c r="F14233" t="s">
        <v>31362</v>
      </c>
      <c r="G14233" t="s">
        <v>31369</v>
      </c>
      <c r="H14233" t="s">
        <v>15799</v>
      </c>
      <c r="I14233" t="s">
        <v>31409</v>
      </c>
      <c r="J14233" t="s">
        <v>31615</v>
      </c>
      <c r="K14233" t="s">
        <v>40697</v>
      </c>
      <c r="M14233" t="s">
        <v>41891</v>
      </c>
      <c r="N14233" t="s">
        <v>44905</v>
      </c>
      <c r="O14233" t="s">
        <v>44906</v>
      </c>
      <c r="P14233">
        <v>0</v>
      </c>
      <c r="Q14233">
        <v>4</v>
      </c>
      <c r="R14233" t="s">
        <v>44924</v>
      </c>
      <c r="S14233" t="s">
        <v>45829</v>
      </c>
      <c r="T14233" t="s">
        <v>46409</v>
      </c>
      <c r="U14233" t="s">
        <v>58260</v>
      </c>
      <c r="W14233" t="s">
        <v>41891</v>
      </c>
      <c r="X14233" t="s">
        <v>44925</v>
      </c>
    </row>
    <row r="14234" spans="1:24">
      <c r="A14234">
        <f>HYPERLINK("https://www.philgeps.gov.ph/GEPSNONPILOT/Tender/SplashBidNoticeAbstractUI.aspx?menuIndex=3&amp;refID=7047030&amp;Result=3","7047030")</f>
        <v>0</v>
      </c>
      <c r="B14234" t="s">
        <v>3434</v>
      </c>
      <c r="C14234" t="s">
        <v>17148</v>
      </c>
      <c r="D14234" t="s">
        <v>18165</v>
      </c>
      <c r="E14234" t="s">
        <v>30499</v>
      </c>
      <c r="F14234" t="s">
        <v>31362</v>
      </c>
      <c r="G14234" t="s">
        <v>31369</v>
      </c>
      <c r="H14234" t="s">
        <v>15799</v>
      </c>
      <c r="I14234" t="s">
        <v>31404</v>
      </c>
      <c r="J14234" t="s">
        <v>31738</v>
      </c>
      <c r="K14234" t="s">
        <v>40665</v>
      </c>
      <c r="M14234" t="s">
        <v>44756</v>
      </c>
      <c r="N14234" t="s">
        <v>44905</v>
      </c>
      <c r="O14234" t="s">
        <v>44906</v>
      </c>
      <c r="P14234">
        <v>0</v>
      </c>
      <c r="Q14234">
        <v>0</v>
      </c>
      <c r="R14234" t="s">
        <v>44924</v>
      </c>
      <c r="S14234" t="s">
        <v>45829</v>
      </c>
      <c r="T14234" t="s">
        <v>46454</v>
      </c>
      <c r="U14234" t="s">
        <v>58261</v>
      </c>
      <c r="W14234" t="s">
        <v>44756</v>
      </c>
      <c r="X14234" t="s">
        <v>44925</v>
      </c>
    </row>
    <row r="14235" spans="1:24">
      <c r="A14235">
        <f>HYPERLINK("https://www.philgeps.gov.ph/GEPSNONPILOT/Tender/SplashBidNoticeAbstractUI.aspx?menuIndex=3&amp;refID=7047021&amp;Result=3","7047021")</f>
        <v>0</v>
      </c>
      <c r="B14235" t="s">
        <v>258</v>
      </c>
      <c r="C14235" t="s">
        <v>17149</v>
      </c>
      <c r="D14235" t="s">
        <v>18141</v>
      </c>
      <c r="E14235" t="s">
        <v>30500</v>
      </c>
      <c r="F14235" t="s">
        <v>31362</v>
      </c>
      <c r="G14235" t="s">
        <v>31369</v>
      </c>
      <c r="H14235" t="s">
        <v>31379</v>
      </c>
      <c r="I14235" t="s">
        <v>31436</v>
      </c>
      <c r="J14235" t="s">
        <v>32902</v>
      </c>
      <c r="K14235" t="s">
        <v>40723</v>
      </c>
      <c r="M14235" t="s">
        <v>41199</v>
      </c>
      <c r="N14235" t="s">
        <v>44905</v>
      </c>
      <c r="O14235" t="s">
        <v>44906</v>
      </c>
      <c r="Q14235">
        <v>2</v>
      </c>
      <c r="R14235" t="s">
        <v>44924</v>
      </c>
      <c r="S14235" t="s">
        <v>45894</v>
      </c>
      <c r="T14235" t="s">
        <v>46411</v>
      </c>
      <c r="U14235" t="s">
        <v>58262</v>
      </c>
      <c r="W14235" t="s">
        <v>41199</v>
      </c>
      <c r="X14235" t="s">
        <v>44925</v>
      </c>
    </row>
    <row r="14236" spans="1:24">
      <c r="A14236">
        <f>HYPERLINK("https://www.philgeps.gov.ph/GEPSNONPILOT/Tender/SplashBidNoticeAbstractUI.aspx?menuIndex=3&amp;refID=7047020&amp;Result=3","7047020")</f>
        <v>0</v>
      </c>
      <c r="B14236" t="s">
        <v>3448</v>
      </c>
      <c r="C14236" t="s">
        <v>17150</v>
      </c>
      <c r="D14236" t="s">
        <v>18117</v>
      </c>
      <c r="E14236" t="s">
        <v>30501</v>
      </c>
      <c r="F14236" t="s">
        <v>31362</v>
      </c>
      <c r="G14236" t="s">
        <v>31369</v>
      </c>
      <c r="H14236" t="s">
        <v>15799</v>
      </c>
      <c r="I14236" t="s">
        <v>31384</v>
      </c>
      <c r="J14236" t="s">
        <v>32300</v>
      </c>
      <c r="K14236" t="s">
        <v>40665</v>
      </c>
      <c r="M14236" t="s">
        <v>44774</v>
      </c>
      <c r="N14236" t="s">
        <v>44905</v>
      </c>
      <c r="O14236" t="s">
        <v>44906</v>
      </c>
      <c r="P14236">
        <v>0</v>
      </c>
      <c r="Q14236">
        <v>3</v>
      </c>
      <c r="R14236" t="s">
        <v>44924</v>
      </c>
      <c r="S14236" t="s">
        <v>45829</v>
      </c>
      <c r="T14236" t="s">
        <v>46532</v>
      </c>
      <c r="U14236" t="s">
        <v>58263</v>
      </c>
      <c r="W14236" t="s">
        <v>44774</v>
      </c>
      <c r="X14236" t="s">
        <v>44925</v>
      </c>
    </row>
    <row r="14237" spans="1:24">
      <c r="A14237">
        <f>HYPERLINK("https://www.philgeps.gov.ph/GEPSNONPILOT/Tender/SplashBidNoticeAbstractUI.aspx?menuIndex=3&amp;refID=7046652&amp;Result=3","7046652")</f>
        <v>0</v>
      </c>
      <c r="B14237" t="s">
        <v>2813</v>
      </c>
      <c r="C14237" t="s">
        <v>17151</v>
      </c>
      <c r="D14237" t="s">
        <v>18118</v>
      </c>
      <c r="E14237" t="s">
        <v>30502</v>
      </c>
      <c r="F14237" t="s">
        <v>31362</v>
      </c>
      <c r="G14237" t="s">
        <v>31369</v>
      </c>
      <c r="H14237" t="s">
        <v>31378</v>
      </c>
      <c r="I14237" t="s">
        <v>31386</v>
      </c>
      <c r="J14237" t="s">
        <v>40108</v>
      </c>
      <c r="K14237" t="s">
        <v>40662</v>
      </c>
      <c r="M14237" t="s">
        <v>44101</v>
      </c>
      <c r="N14237" t="s">
        <v>44905</v>
      </c>
      <c r="O14237" t="s">
        <v>44906</v>
      </c>
      <c r="P14237">
        <v>0</v>
      </c>
      <c r="Q14237">
        <v>1</v>
      </c>
      <c r="R14237" t="s">
        <v>44924</v>
      </c>
      <c r="S14237" t="s">
        <v>45829</v>
      </c>
      <c r="T14237" t="s">
        <v>46410</v>
      </c>
      <c r="U14237" t="s">
        <v>55273</v>
      </c>
      <c r="W14237" t="s">
        <v>44101</v>
      </c>
      <c r="X14237" t="s">
        <v>44925</v>
      </c>
    </row>
    <row r="14238" spans="1:24">
      <c r="A14238">
        <f>HYPERLINK("https://www.philgeps.gov.ph/GEPSNONPILOT/Tender/SplashBidNoticeAbstractUI.aspx?menuIndex=3&amp;refID=7046999&amp;Result=3","7046999")</f>
        <v>0</v>
      </c>
      <c r="B14238" t="s">
        <v>3446</v>
      </c>
      <c r="C14238" t="s">
        <v>17152</v>
      </c>
      <c r="D14238" t="s">
        <v>18101</v>
      </c>
      <c r="E14238" t="s">
        <v>30503</v>
      </c>
      <c r="F14238" t="s">
        <v>31362</v>
      </c>
      <c r="G14238" t="s">
        <v>31369</v>
      </c>
      <c r="H14238" t="s">
        <v>15799</v>
      </c>
      <c r="I14238" t="s">
        <v>31409</v>
      </c>
      <c r="J14238" t="s">
        <v>34763</v>
      </c>
      <c r="K14238" t="s">
        <v>40662</v>
      </c>
      <c r="M14238" t="s">
        <v>44772</v>
      </c>
      <c r="N14238" t="s">
        <v>44905</v>
      </c>
      <c r="O14238" t="s">
        <v>44906</v>
      </c>
      <c r="P14238">
        <v>0</v>
      </c>
      <c r="Q14238">
        <v>3</v>
      </c>
      <c r="R14238" t="s">
        <v>44924</v>
      </c>
      <c r="S14238" t="s">
        <v>45829</v>
      </c>
      <c r="T14238" t="s">
        <v>46409</v>
      </c>
      <c r="U14238" t="s">
        <v>58264</v>
      </c>
      <c r="W14238" t="s">
        <v>44772</v>
      </c>
      <c r="X14238" t="s">
        <v>44925</v>
      </c>
    </row>
    <row r="14239" spans="1:24">
      <c r="A14239">
        <f>HYPERLINK("https://www.philgeps.gov.ph/GEPSNONPILOT/Tender/SplashBidNoticeAbstractUI.aspx?menuIndex=3&amp;refID=7046552&amp;Result=3","7046552")</f>
        <v>0</v>
      </c>
      <c r="B14239" t="s">
        <v>2915</v>
      </c>
      <c r="C14239" t="s">
        <v>17153</v>
      </c>
      <c r="D14239" t="s">
        <v>18142</v>
      </c>
      <c r="E14239" t="s">
        <v>30504</v>
      </c>
      <c r="F14239" t="s">
        <v>31362</v>
      </c>
      <c r="G14239" t="s">
        <v>31369</v>
      </c>
      <c r="H14239" t="s">
        <v>31378</v>
      </c>
      <c r="I14239" t="s">
        <v>31386</v>
      </c>
      <c r="J14239" t="s">
        <v>40109</v>
      </c>
      <c r="K14239" t="s">
        <v>40755</v>
      </c>
      <c r="L14239" t="s">
        <v>2915</v>
      </c>
      <c r="M14239" t="s">
        <v>44131</v>
      </c>
      <c r="N14239" t="s">
        <v>44905</v>
      </c>
      <c r="O14239" t="s">
        <v>44906</v>
      </c>
      <c r="P14239">
        <v>0</v>
      </c>
      <c r="Q14239">
        <v>0</v>
      </c>
      <c r="R14239" t="s">
        <v>44924</v>
      </c>
      <c r="S14239" t="s">
        <v>45829</v>
      </c>
      <c r="T14239" t="s">
        <v>46409</v>
      </c>
      <c r="U14239" t="s">
        <v>58265</v>
      </c>
      <c r="V14239" t="s">
        <v>60695</v>
      </c>
      <c r="W14239" t="s">
        <v>44131</v>
      </c>
      <c r="X14239" t="s">
        <v>44925</v>
      </c>
    </row>
    <row r="14240" spans="1:24">
      <c r="A14240">
        <f>HYPERLINK("https://www.philgeps.gov.ph/GEPSNONPILOT/Tender/SplashBidNoticeAbstractUI.aspx?menuIndex=3&amp;refID=7046542&amp;Result=3","7046542")</f>
        <v>0</v>
      </c>
      <c r="B14240" t="s">
        <v>3331</v>
      </c>
      <c r="C14240" t="s">
        <v>17154</v>
      </c>
      <c r="D14240" t="s">
        <v>18109</v>
      </c>
      <c r="E14240" t="s">
        <v>30505</v>
      </c>
      <c r="F14240" t="s">
        <v>31362</v>
      </c>
      <c r="G14240" t="s">
        <v>31369</v>
      </c>
      <c r="H14240" t="s">
        <v>31378</v>
      </c>
      <c r="I14240" t="s">
        <v>31386</v>
      </c>
      <c r="J14240" t="s">
        <v>31637</v>
      </c>
      <c r="K14240" t="s">
        <v>40682</v>
      </c>
      <c r="M14240" t="s">
        <v>44628</v>
      </c>
      <c r="N14240" t="s">
        <v>44905</v>
      </c>
      <c r="O14240" t="s">
        <v>44906</v>
      </c>
      <c r="P14240">
        <v>0</v>
      </c>
      <c r="Q14240">
        <v>1</v>
      </c>
      <c r="R14240" t="s">
        <v>44924</v>
      </c>
      <c r="S14240" t="s">
        <v>45829</v>
      </c>
      <c r="T14240" t="s">
        <v>46396</v>
      </c>
      <c r="U14240" t="s">
        <v>58266</v>
      </c>
      <c r="W14240" t="s">
        <v>44628</v>
      </c>
      <c r="X14240" t="s">
        <v>44925</v>
      </c>
    </row>
    <row r="14241" spans="1:24">
      <c r="A14241">
        <f>HYPERLINK("https://www.philgeps.gov.ph/GEPSNONPILOT/Tender/SplashBidNoticeAbstractUI.aspx?menuIndex=3&amp;refID=7046534&amp;Result=3","7046534")</f>
        <v>0</v>
      </c>
      <c r="B14241" t="s">
        <v>286</v>
      </c>
      <c r="C14241" t="s">
        <v>17155</v>
      </c>
      <c r="E14241" t="s">
        <v>30506</v>
      </c>
      <c r="F14241" t="s">
        <v>31362</v>
      </c>
      <c r="G14241" t="s">
        <v>31369</v>
      </c>
      <c r="H14241" t="s">
        <v>31378</v>
      </c>
      <c r="I14241" t="s">
        <v>31386</v>
      </c>
      <c r="J14241" t="s">
        <v>40110</v>
      </c>
      <c r="K14241" t="s">
        <v>40788</v>
      </c>
      <c r="M14241" t="s">
        <v>41229</v>
      </c>
      <c r="N14241" t="s">
        <v>44905</v>
      </c>
      <c r="O14241" t="s">
        <v>44906</v>
      </c>
      <c r="P14241">
        <v>0</v>
      </c>
      <c r="Q14241">
        <v>2</v>
      </c>
      <c r="R14241" t="s">
        <v>44924</v>
      </c>
      <c r="S14241" t="s">
        <v>45829</v>
      </c>
      <c r="T14241" t="s">
        <v>46411</v>
      </c>
      <c r="U14241" t="s">
        <v>58267</v>
      </c>
      <c r="W14241" t="s">
        <v>41229</v>
      </c>
      <c r="X14241" t="s">
        <v>44925</v>
      </c>
    </row>
    <row r="14242" spans="1:24">
      <c r="A14242">
        <f>HYPERLINK("https://www.philgeps.gov.ph/GEPSNONPILOT/Tender/SplashBidNoticeAbstractUI.aspx?menuIndex=3&amp;refID=7046539&amp;Result=3","7046539")</f>
        <v>0</v>
      </c>
      <c r="B14242" t="s">
        <v>1315</v>
      </c>
      <c r="C14242" t="s">
        <v>17156</v>
      </c>
      <c r="D14242" t="s">
        <v>18157</v>
      </c>
      <c r="E14242" t="s">
        <v>30507</v>
      </c>
      <c r="F14242" t="s">
        <v>31362</v>
      </c>
      <c r="G14242" t="s">
        <v>31369</v>
      </c>
      <c r="H14242" t="s">
        <v>31378</v>
      </c>
      <c r="I14242" t="s">
        <v>31386</v>
      </c>
      <c r="J14242" t="s">
        <v>31625</v>
      </c>
      <c r="K14242" t="s">
        <v>40678</v>
      </c>
      <c r="M14242" t="s">
        <v>42333</v>
      </c>
      <c r="N14242" t="s">
        <v>44905</v>
      </c>
      <c r="O14242" t="s">
        <v>44906</v>
      </c>
      <c r="P14242">
        <v>0</v>
      </c>
      <c r="Q14242">
        <v>3</v>
      </c>
      <c r="R14242" t="s">
        <v>44924</v>
      </c>
      <c r="S14242" t="s">
        <v>45829</v>
      </c>
      <c r="T14242" t="s">
        <v>46394</v>
      </c>
      <c r="U14242" t="s">
        <v>58268</v>
      </c>
      <c r="W14242" t="s">
        <v>42333</v>
      </c>
      <c r="X14242" t="s">
        <v>44925</v>
      </c>
    </row>
    <row r="14243" spans="1:24">
      <c r="A14243">
        <f>HYPERLINK("https://www.philgeps.gov.ph/GEPSNONPILOT/Tender/SplashBidNoticeAbstractUI.aspx?menuIndex=3&amp;refID=7045482&amp;Result=3","7045482")</f>
        <v>0</v>
      </c>
      <c r="B14243" t="s">
        <v>2129</v>
      </c>
      <c r="C14243" t="s">
        <v>17157</v>
      </c>
      <c r="D14243" t="s">
        <v>18170</v>
      </c>
      <c r="E14243" t="s">
        <v>30508</v>
      </c>
      <c r="F14243" t="s">
        <v>31362</v>
      </c>
      <c r="G14243" t="s">
        <v>31369</v>
      </c>
      <c r="H14243" t="s">
        <v>15799</v>
      </c>
      <c r="I14243" t="s">
        <v>4057</v>
      </c>
      <c r="J14243" t="s">
        <v>32115</v>
      </c>
      <c r="K14243" t="s">
        <v>40665</v>
      </c>
      <c r="M14243" t="s">
        <v>43257</v>
      </c>
      <c r="N14243" t="s">
        <v>44905</v>
      </c>
      <c r="O14243" t="s">
        <v>44906</v>
      </c>
      <c r="P14243">
        <v>0</v>
      </c>
      <c r="Q14243">
        <v>0</v>
      </c>
      <c r="R14243" t="s">
        <v>44924</v>
      </c>
      <c r="S14243" t="s">
        <v>45829</v>
      </c>
      <c r="T14243" t="s">
        <v>46447</v>
      </c>
      <c r="U14243" t="s">
        <v>58269</v>
      </c>
      <c r="W14243" t="s">
        <v>43257</v>
      </c>
      <c r="X14243" t="s">
        <v>44925</v>
      </c>
    </row>
    <row r="14244" spans="1:24">
      <c r="A14244">
        <f>HYPERLINK("https://www.philgeps.gov.ph/GEPSNONPILOT/Tender/SplashBidNoticeAbstractUI.aspx?menuIndex=3&amp;refID=7047087&amp;Result=3","7047087")</f>
        <v>0</v>
      </c>
      <c r="B14244" t="s">
        <v>3434</v>
      </c>
      <c r="C14244" t="s">
        <v>17158</v>
      </c>
      <c r="D14244" t="s">
        <v>18165</v>
      </c>
      <c r="E14244" t="s">
        <v>30509</v>
      </c>
      <c r="F14244" t="s">
        <v>31367</v>
      </c>
      <c r="G14244" t="s">
        <v>31369</v>
      </c>
      <c r="H14244" t="s">
        <v>15799</v>
      </c>
      <c r="I14244" t="s">
        <v>31469</v>
      </c>
      <c r="J14244" t="s">
        <v>40111</v>
      </c>
      <c r="K14244" t="s">
        <v>40665</v>
      </c>
      <c r="M14244" t="s">
        <v>44756</v>
      </c>
      <c r="N14244" t="s">
        <v>44905</v>
      </c>
      <c r="O14244" t="s">
        <v>44906</v>
      </c>
      <c r="Q14244">
        <v>5</v>
      </c>
      <c r="R14244" t="s">
        <v>44924</v>
      </c>
      <c r="S14244" t="s">
        <v>45895</v>
      </c>
      <c r="T14244" t="s">
        <v>46454</v>
      </c>
      <c r="U14244" t="s">
        <v>58270</v>
      </c>
      <c r="W14244" t="s">
        <v>44756</v>
      </c>
      <c r="X14244" t="s">
        <v>44925</v>
      </c>
    </row>
    <row r="14245" spans="1:24">
      <c r="A14245">
        <f>HYPERLINK("https://www.philgeps.gov.ph/GEPSNONPILOT/Tender/SplashBidNoticeAbstractUI.aspx?menuIndex=3&amp;refID=7045350&amp;Result=3","7045350")</f>
        <v>0</v>
      </c>
      <c r="B14245" t="s">
        <v>1297</v>
      </c>
      <c r="C14245" t="s">
        <v>17159</v>
      </c>
      <c r="D14245" t="s">
        <v>18125</v>
      </c>
      <c r="E14245" t="s">
        <v>30510</v>
      </c>
      <c r="F14245" t="s">
        <v>31362</v>
      </c>
      <c r="G14245" t="s">
        <v>31369</v>
      </c>
      <c r="H14245" t="s">
        <v>15799</v>
      </c>
      <c r="I14245" t="s">
        <v>3815</v>
      </c>
      <c r="J14245" t="s">
        <v>40112</v>
      </c>
      <c r="K14245" t="s">
        <v>40670</v>
      </c>
      <c r="M14245" t="s">
        <v>42315</v>
      </c>
      <c r="N14245" t="s">
        <v>44905</v>
      </c>
      <c r="O14245" t="s">
        <v>44906</v>
      </c>
      <c r="P14245">
        <v>0</v>
      </c>
      <c r="Q14245">
        <v>0</v>
      </c>
      <c r="R14245" t="s">
        <v>44924</v>
      </c>
      <c r="S14245" t="s">
        <v>45829</v>
      </c>
      <c r="T14245" t="s">
        <v>46428</v>
      </c>
      <c r="U14245" t="s">
        <v>49768</v>
      </c>
      <c r="W14245" t="s">
        <v>42315</v>
      </c>
      <c r="X14245" t="s">
        <v>44925</v>
      </c>
    </row>
    <row r="14246" spans="1:24">
      <c r="A14246">
        <f>HYPERLINK("https://www.philgeps.gov.ph/GEPSNONPILOT/Tender/SplashBidNoticeAbstractUI.aspx?menuIndex=3&amp;refID=7045343&amp;Result=3","7045343")</f>
        <v>0</v>
      </c>
      <c r="B14246" t="s">
        <v>3455</v>
      </c>
      <c r="C14246" t="s">
        <v>17160</v>
      </c>
      <c r="D14246" t="s">
        <v>18148</v>
      </c>
      <c r="E14246" t="s">
        <v>30511</v>
      </c>
      <c r="F14246" t="s">
        <v>31362</v>
      </c>
      <c r="G14246" t="s">
        <v>31369</v>
      </c>
      <c r="H14246" t="s">
        <v>31378</v>
      </c>
      <c r="I14246" t="s">
        <v>31386</v>
      </c>
      <c r="J14246" t="s">
        <v>38432</v>
      </c>
      <c r="K14246" t="s">
        <v>40762</v>
      </c>
      <c r="M14246" t="s">
        <v>44783</v>
      </c>
      <c r="N14246" t="s">
        <v>44905</v>
      </c>
      <c r="O14246" t="s">
        <v>44906</v>
      </c>
      <c r="Q14246">
        <v>2</v>
      </c>
      <c r="R14246" t="s">
        <v>44924</v>
      </c>
      <c r="S14246" t="s">
        <v>45896</v>
      </c>
      <c r="T14246" t="s">
        <v>46865</v>
      </c>
      <c r="U14246" t="s">
        <v>58271</v>
      </c>
      <c r="V14246" t="s">
        <v>60696</v>
      </c>
      <c r="W14246" t="s">
        <v>44783</v>
      </c>
      <c r="X14246" t="s">
        <v>44925</v>
      </c>
    </row>
    <row r="14247" spans="1:24">
      <c r="A14247">
        <f>HYPERLINK("https://www.philgeps.gov.ph/GEPSNONPILOT/Tender/SplashBidNoticeAbstractUI.aspx?menuIndex=3&amp;refID=7046997&amp;Result=3","7046997")</f>
        <v>0</v>
      </c>
      <c r="B14247" t="s">
        <v>3446</v>
      </c>
      <c r="C14247" t="s">
        <v>17161</v>
      </c>
      <c r="D14247" t="s">
        <v>18101</v>
      </c>
      <c r="E14247" t="s">
        <v>30512</v>
      </c>
      <c r="F14247" t="s">
        <v>31362</v>
      </c>
      <c r="G14247" t="s">
        <v>31369</v>
      </c>
      <c r="H14247" t="s">
        <v>15799</v>
      </c>
      <c r="I14247" t="s">
        <v>31393</v>
      </c>
      <c r="J14247" t="s">
        <v>33653</v>
      </c>
      <c r="K14247" t="s">
        <v>40662</v>
      </c>
      <c r="M14247" t="s">
        <v>44772</v>
      </c>
      <c r="N14247" t="s">
        <v>44905</v>
      </c>
      <c r="O14247" t="s">
        <v>44906</v>
      </c>
      <c r="P14247">
        <v>0</v>
      </c>
      <c r="Q14247">
        <v>10</v>
      </c>
      <c r="R14247" t="s">
        <v>44924</v>
      </c>
      <c r="S14247" t="s">
        <v>45829</v>
      </c>
      <c r="T14247" t="s">
        <v>46409</v>
      </c>
      <c r="U14247" t="s">
        <v>58272</v>
      </c>
      <c r="W14247" t="s">
        <v>44772</v>
      </c>
      <c r="X14247" t="s">
        <v>44925</v>
      </c>
    </row>
    <row r="14248" spans="1:24">
      <c r="A14248">
        <f>HYPERLINK("https://www.philgeps.gov.ph/GEPSNONPILOT/Tender/SplashBidNoticeAbstractUI.aspx?menuIndex=3&amp;refID=7045336&amp;Result=3","7045336")</f>
        <v>0</v>
      </c>
      <c r="B14248" t="s">
        <v>1167</v>
      </c>
      <c r="C14248" t="s">
        <v>17162</v>
      </c>
      <c r="D14248" t="s">
        <v>18151</v>
      </c>
      <c r="E14248" t="s">
        <v>30513</v>
      </c>
      <c r="F14248" t="s">
        <v>31362</v>
      </c>
      <c r="G14248" t="s">
        <v>31369</v>
      </c>
      <c r="H14248" t="s">
        <v>31378</v>
      </c>
      <c r="I14248" t="s">
        <v>31386</v>
      </c>
      <c r="J14248" t="s">
        <v>32964</v>
      </c>
      <c r="K14248" t="s">
        <v>40768</v>
      </c>
      <c r="M14248" t="s">
        <v>42177</v>
      </c>
      <c r="N14248" t="s">
        <v>44905</v>
      </c>
      <c r="O14248" t="s">
        <v>44906</v>
      </c>
      <c r="P14248">
        <v>0</v>
      </c>
      <c r="Q14248">
        <v>1</v>
      </c>
      <c r="R14248" t="s">
        <v>44924</v>
      </c>
      <c r="S14248" t="s">
        <v>45829</v>
      </c>
      <c r="T14248" t="s">
        <v>46409</v>
      </c>
      <c r="U14248" t="s">
        <v>54676</v>
      </c>
      <c r="V14248" t="s">
        <v>60697</v>
      </c>
      <c r="W14248" t="s">
        <v>42177</v>
      </c>
      <c r="X14248" t="s">
        <v>44925</v>
      </c>
    </row>
    <row r="14249" spans="1:24">
      <c r="A14249">
        <f>HYPERLINK("https://www.philgeps.gov.ph/GEPSNONPILOT/Tender/SplashBidNoticeAbstractUI.aspx?menuIndex=3&amp;refID=7045233&amp;Result=3","7045233")</f>
        <v>0</v>
      </c>
      <c r="B14249" t="s">
        <v>444</v>
      </c>
      <c r="C14249" t="s">
        <v>17163</v>
      </c>
      <c r="D14249" t="s">
        <v>18146</v>
      </c>
      <c r="E14249" t="s">
        <v>30514</v>
      </c>
      <c r="F14249" t="s">
        <v>31362</v>
      </c>
      <c r="G14249" t="s">
        <v>31369</v>
      </c>
      <c r="H14249" t="s">
        <v>31378</v>
      </c>
      <c r="I14249" t="s">
        <v>31386</v>
      </c>
      <c r="J14249" t="s">
        <v>31591</v>
      </c>
      <c r="K14249" t="s">
        <v>40676</v>
      </c>
      <c r="M14249" t="s">
        <v>41397</v>
      </c>
      <c r="N14249" t="s">
        <v>44905</v>
      </c>
      <c r="O14249" t="s">
        <v>44906</v>
      </c>
      <c r="P14249">
        <v>0</v>
      </c>
      <c r="Q14249">
        <v>0</v>
      </c>
      <c r="R14249" t="s">
        <v>44924</v>
      </c>
      <c r="S14249" t="s">
        <v>45829</v>
      </c>
      <c r="T14249" t="s">
        <v>46409</v>
      </c>
      <c r="U14249" t="s">
        <v>58273</v>
      </c>
      <c r="W14249" t="s">
        <v>41397</v>
      </c>
      <c r="X14249" t="s">
        <v>44925</v>
      </c>
    </row>
    <row r="14250" spans="1:24">
      <c r="A14250">
        <f>HYPERLINK("https://www.philgeps.gov.ph/GEPSNONPILOT/Tender/SplashBidNoticeAbstractUI.aspx?menuIndex=3&amp;refID=7045349&amp;Result=3","7045349")</f>
        <v>0</v>
      </c>
      <c r="B14250" t="s">
        <v>1468</v>
      </c>
      <c r="C14250" t="s">
        <v>17164</v>
      </c>
      <c r="D14250" t="s">
        <v>18134</v>
      </c>
      <c r="E14250" t="s">
        <v>30515</v>
      </c>
      <c r="F14250" t="s">
        <v>31362</v>
      </c>
      <c r="G14250" t="s">
        <v>31369</v>
      </c>
      <c r="H14250" t="s">
        <v>31378</v>
      </c>
      <c r="I14250" t="s">
        <v>31386</v>
      </c>
      <c r="J14250" t="s">
        <v>40113</v>
      </c>
      <c r="K14250" t="s">
        <v>40786</v>
      </c>
      <c r="M14250" t="s">
        <v>42501</v>
      </c>
      <c r="N14250" t="s">
        <v>44905</v>
      </c>
      <c r="O14250" t="s">
        <v>44906</v>
      </c>
      <c r="P14250">
        <v>0</v>
      </c>
      <c r="Q14250">
        <v>5</v>
      </c>
      <c r="R14250" t="s">
        <v>44924</v>
      </c>
      <c r="S14250" t="s">
        <v>45829</v>
      </c>
      <c r="T14250" t="s">
        <v>46432</v>
      </c>
      <c r="U14250" t="s">
        <v>58274</v>
      </c>
      <c r="W14250" t="s">
        <v>42501</v>
      </c>
      <c r="X14250" t="s">
        <v>44925</v>
      </c>
    </row>
    <row r="14251" spans="1:24">
      <c r="A14251">
        <f>HYPERLINK("https://www.philgeps.gov.ph/GEPSNONPILOT/Tender/SplashBidNoticeAbstractUI.aspx?menuIndex=3&amp;refID=7045486&amp;Result=3","7045486")</f>
        <v>0</v>
      </c>
      <c r="B14251" t="s">
        <v>360</v>
      </c>
      <c r="C14251" t="s">
        <v>17165</v>
      </c>
      <c r="D14251" t="s">
        <v>18161</v>
      </c>
      <c r="E14251" t="s">
        <v>30516</v>
      </c>
      <c r="F14251" t="s">
        <v>31362</v>
      </c>
      <c r="G14251" t="s">
        <v>31369</v>
      </c>
      <c r="H14251" t="s">
        <v>31378</v>
      </c>
      <c r="I14251" t="s">
        <v>31386</v>
      </c>
      <c r="J14251" t="s">
        <v>31542</v>
      </c>
      <c r="K14251" t="s">
        <v>40662</v>
      </c>
      <c r="M14251" t="s">
        <v>41307</v>
      </c>
      <c r="N14251" t="s">
        <v>44905</v>
      </c>
      <c r="O14251" t="s">
        <v>44906</v>
      </c>
      <c r="P14251">
        <v>0</v>
      </c>
      <c r="Q14251">
        <v>1</v>
      </c>
      <c r="R14251" t="s">
        <v>44924</v>
      </c>
      <c r="S14251" t="s">
        <v>45829</v>
      </c>
      <c r="T14251" t="s">
        <v>46432</v>
      </c>
      <c r="U14251" t="s">
        <v>58014</v>
      </c>
      <c r="W14251" t="s">
        <v>41307</v>
      </c>
      <c r="X14251" t="s">
        <v>44925</v>
      </c>
    </row>
    <row r="14252" spans="1:24">
      <c r="A14252">
        <f>HYPERLINK("https://www.philgeps.gov.ph/GEPSNONPILOT/Tender/SplashBidNoticeAbstractUI.aspx?menuIndex=3&amp;refID=7029815&amp;Result=3","7029815")</f>
        <v>0</v>
      </c>
      <c r="B14252" t="s">
        <v>854</v>
      </c>
      <c r="C14252" t="s">
        <v>5164</v>
      </c>
      <c r="D14252" t="s">
        <v>18147</v>
      </c>
      <c r="E14252" t="s">
        <v>30517</v>
      </c>
      <c r="F14252" t="s">
        <v>31362</v>
      </c>
      <c r="G14252" t="s">
        <v>31369</v>
      </c>
      <c r="H14252" t="s">
        <v>31378</v>
      </c>
      <c r="I14252" t="s">
        <v>31386</v>
      </c>
      <c r="J14252" t="s">
        <v>40114</v>
      </c>
      <c r="K14252" t="s">
        <v>40694</v>
      </c>
      <c r="M14252" t="s">
        <v>41830</v>
      </c>
      <c r="N14252" t="s">
        <v>44905</v>
      </c>
      <c r="O14252" t="s">
        <v>44906</v>
      </c>
      <c r="P14252">
        <v>0</v>
      </c>
      <c r="Q14252">
        <v>1</v>
      </c>
      <c r="R14252" t="s">
        <v>44925</v>
      </c>
      <c r="S14252" t="s">
        <v>45891</v>
      </c>
      <c r="T14252" t="s">
        <v>46394</v>
      </c>
      <c r="U14252" t="s">
        <v>58275</v>
      </c>
      <c r="W14252" t="s">
        <v>41830</v>
      </c>
      <c r="X14252" t="s">
        <v>44935</v>
      </c>
    </row>
    <row r="14253" spans="1:24">
      <c r="A14253">
        <f>HYPERLINK("https://www.philgeps.gov.ph/GEPSNONPILOT/Tender/SplashBidNoticeAbstractUI.aspx?menuIndex=3&amp;refID=7045238&amp;Result=3","7045238")</f>
        <v>0</v>
      </c>
      <c r="B14253" t="s">
        <v>2498</v>
      </c>
      <c r="C14253" t="s">
        <v>17166</v>
      </c>
      <c r="D14253" t="s">
        <v>18142</v>
      </c>
      <c r="E14253" t="s">
        <v>30518</v>
      </c>
      <c r="F14253" t="s">
        <v>31362</v>
      </c>
      <c r="G14253" t="s">
        <v>31369</v>
      </c>
      <c r="H14253" t="s">
        <v>31378</v>
      </c>
      <c r="I14253" t="s">
        <v>31386</v>
      </c>
      <c r="J14253" t="s">
        <v>40115</v>
      </c>
      <c r="K14253" t="s">
        <v>40681</v>
      </c>
      <c r="M14253" t="s">
        <v>43665</v>
      </c>
      <c r="N14253" t="s">
        <v>44905</v>
      </c>
      <c r="O14253" t="s">
        <v>44906</v>
      </c>
      <c r="P14253">
        <v>0</v>
      </c>
      <c r="Q14253">
        <v>0</v>
      </c>
      <c r="R14253" t="s">
        <v>44924</v>
      </c>
      <c r="S14253" t="s">
        <v>45829</v>
      </c>
      <c r="T14253" t="s">
        <v>46434</v>
      </c>
      <c r="U14253" t="s">
        <v>58276</v>
      </c>
      <c r="V14253" t="s">
        <v>59902</v>
      </c>
      <c r="W14253" t="s">
        <v>43665</v>
      </c>
      <c r="X14253" t="s">
        <v>44925</v>
      </c>
    </row>
    <row r="14254" spans="1:24">
      <c r="A14254">
        <f>HYPERLINK("https://www.philgeps.gov.ph/GEPSNONPILOT/Tender/SplashBidNoticeAbstractUI.aspx?menuIndex=3&amp;refID=7045355&amp;Result=3","7045355")</f>
        <v>0</v>
      </c>
      <c r="B14254" t="s">
        <v>1561</v>
      </c>
      <c r="C14254" t="s">
        <v>17167</v>
      </c>
      <c r="D14254" t="s">
        <v>18117</v>
      </c>
      <c r="E14254" t="s">
        <v>30519</v>
      </c>
      <c r="F14254" t="s">
        <v>31362</v>
      </c>
      <c r="G14254" t="s">
        <v>31369</v>
      </c>
      <c r="H14254" t="s">
        <v>15799</v>
      </c>
      <c r="I14254" t="s">
        <v>31420</v>
      </c>
      <c r="J14254" t="s">
        <v>32296</v>
      </c>
      <c r="K14254" t="s">
        <v>40675</v>
      </c>
      <c r="M14254" t="s">
        <v>42612</v>
      </c>
      <c r="N14254" t="s">
        <v>44905</v>
      </c>
      <c r="O14254" t="s">
        <v>44906</v>
      </c>
      <c r="Q14254">
        <v>12</v>
      </c>
      <c r="R14254" t="s">
        <v>44924</v>
      </c>
      <c r="S14254" t="s">
        <v>45897</v>
      </c>
      <c r="T14254" t="s">
        <v>46396</v>
      </c>
      <c r="U14254" t="s">
        <v>58277</v>
      </c>
      <c r="V14254" t="s">
        <v>60698</v>
      </c>
      <c r="W14254" t="s">
        <v>42612</v>
      </c>
      <c r="X14254" t="s">
        <v>44925</v>
      </c>
    </row>
    <row r="14255" spans="1:24">
      <c r="A14255">
        <f>HYPERLINK("https://www.philgeps.gov.ph/GEPSNONPILOT/Tender/SplashBidNoticeAbstractUI.aspx?menuIndex=3&amp;refID=7042081&amp;Result=3","7042081")</f>
        <v>0</v>
      </c>
      <c r="B14255" t="s">
        <v>1927</v>
      </c>
      <c r="C14255" t="s">
        <v>17168</v>
      </c>
      <c r="D14255" t="s">
        <v>18148</v>
      </c>
      <c r="E14255" t="s">
        <v>30520</v>
      </c>
      <c r="F14255" t="s">
        <v>31362</v>
      </c>
      <c r="G14255" t="s">
        <v>31369</v>
      </c>
      <c r="H14255" t="s">
        <v>15799</v>
      </c>
      <c r="I14255" t="s">
        <v>31380</v>
      </c>
      <c r="J14255" t="s">
        <v>31536</v>
      </c>
      <c r="K14255" t="s">
        <v>40665</v>
      </c>
      <c r="M14255" t="s">
        <v>43025</v>
      </c>
      <c r="N14255" t="s">
        <v>44905</v>
      </c>
      <c r="O14255" t="s">
        <v>44906</v>
      </c>
      <c r="P14255">
        <v>0</v>
      </c>
      <c r="Q14255">
        <v>1</v>
      </c>
      <c r="R14255" t="s">
        <v>44925</v>
      </c>
      <c r="S14255" t="s">
        <v>45891</v>
      </c>
      <c r="T14255" t="s">
        <v>46447</v>
      </c>
      <c r="U14255" t="s">
        <v>58278</v>
      </c>
      <c r="V14255" t="s">
        <v>59627</v>
      </c>
      <c r="W14255" t="s">
        <v>43025</v>
      </c>
      <c r="X14255" t="s">
        <v>44929</v>
      </c>
    </row>
    <row r="14256" spans="1:24">
      <c r="A14256">
        <f>HYPERLINK("https://www.philgeps.gov.ph/GEPSNONPILOT/Tender/SplashBidNoticeAbstractUI.aspx?menuIndex=3&amp;refID=7047048&amp;Result=3","7047048")</f>
        <v>0</v>
      </c>
      <c r="B14256" t="s">
        <v>121</v>
      </c>
      <c r="C14256" t="s">
        <v>17169</v>
      </c>
      <c r="D14256" t="s">
        <v>18144</v>
      </c>
      <c r="E14256" t="s">
        <v>30521</v>
      </c>
      <c r="F14256" t="s">
        <v>31362</v>
      </c>
      <c r="G14256" t="s">
        <v>31369</v>
      </c>
      <c r="H14256" t="s">
        <v>31378</v>
      </c>
      <c r="I14256" t="s">
        <v>31386</v>
      </c>
      <c r="J14256" t="s">
        <v>40116</v>
      </c>
      <c r="K14256" t="s">
        <v>40814</v>
      </c>
      <c r="M14256" t="s">
        <v>41058</v>
      </c>
      <c r="N14256" t="s">
        <v>44905</v>
      </c>
      <c r="O14256" t="s">
        <v>44906</v>
      </c>
      <c r="P14256">
        <v>0</v>
      </c>
      <c r="Q14256">
        <v>0</v>
      </c>
      <c r="R14256" t="s">
        <v>44924</v>
      </c>
      <c r="S14256" t="s">
        <v>45829</v>
      </c>
      <c r="T14256" t="s">
        <v>46447</v>
      </c>
      <c r="U14256" t="s">
        <v>58279</v>
      </c>
      <c r="W14256" t="s">
        <v>41058</v>
      </c>
      <c r="X14256" t="s">
        <v>44925</v>
      </c>
    </row>
    <row r="14257" spans="1:24">
      <c r="A14257">
        <f>HYPERLINK("https://www.philgeps.gov.ph/GEPSNONPILOT/Tender/SplashBidNoticeAbstractUI.aspx?menuIndex=3&amp;refID=7041939&amp;Result=3","7041939")</f>
        <v>0</v>
      </c>
      <c r="B14257" t="s">
        <v>169</v>
      </c>
      <c r="C14257" t="s">
        <v>17170</v>
      </c>
      <c r="D14257" t="s">
        <v>18108</v>
      </c>
      <c r="E14257" t="s">
        <v>30522</v>
      </c>
      <c r="F14257" t="s">
        <v>31362</v>
      </c>
      <c r="G14257" t="s">
        <v>31369</v>
      </c>
      <c r="H14257" t="s">
        <v>15799</v>
      </c>
      <c r="I14257" t="s">
        <v>31400</v>
      </c>
      <c r="J14257" t="s">
        <v>40117</v>
      </c>
      <c r="K14257" t="s">
        <v>40665</v>
      </c>
      <c r="M14257" t="s">
        <v>44784</v>
      </c>
      <c r="N14257" t="s">
        <v>44905</v>
      </c>
      <c r="O14257" t="s">
        <v>44906</v>
      </c>
      <c r="Q14257">
        <v>10</v>
      </c>
      <c r="R14257" t="s">
        <v>44925</v>
      </c>
      <c r="S14257" t="s">
        <v>45898</v>
      </c>
      <c r="T14257" t="s">
        <v>46504</v>
      </c>
      <c r="U14257" t="s">
        <v>58280</v>
      </c>
      <c r="W14257" t="s">
        <v>44784</v>
      </c>
      <c r="X14257" t="s">
        <v>44929</v>
      </c>
    </row>
    <row r="14258" spans="1:24">
      <c r="A14258">
        <f>HYPERLINK("https://www.philgeps.gov.ph/GEPSNONPILOT/Tender/SplashBidNoticeAbstractUI.aspx?menuIndex=3&amp;refID=7032022&amp;Result=3","7032022")</f>
        <v>0</v>
      </c>
      <c r="B14258" t="s">
        <v>396</v>
      </c>
      <c r="C14258" t="s">
        <v>17171</v>
      </c>
      <c r="D14258" t="s">
        <v>18155</v>
      </c>
      <c r="E14258" t="s">
        <v>30523</v>
      </c>
      <c r="F14258" t="s">
        <v>31362</v>
      </c>
      <c r="G14258" t="s">
        <v>31369</v>
      </c>
      <c r="H14258" t="s">
        <v>31378</v>
      </c>
      <c r="I14258" t="s">
        <v>31386</v>
      </c>
      <c r="J14258" t="s">
        <v>40118</v>
      </c>
      <c r="K14258" t="s">
        <v>40745</v>
      </c>
      <c r="M14258" t="s">
        <v>43643</v>
      </c>
      <c r="N14258" t="s">
        <v>44905</v>
      </c>
      <c r="O14258" t="s">
        <v>44906</v>
      </c>
      <c r="P14258">
        <v>0</v>
      </c>
      <c r="Q14258">
        <v>8</v>
      </c>
      <c r="R14258" t="s">
        <v>44925</v>
      </c>
      <c r="S14258" t="s">
        <v>45891</v>
      </c>
      <c r="T14258" t="s">
        <v>46454</v>
      </c>
      <c r="U14258" t="s">
        <v>53717</v>
      </c>
      <c r="W14258" t="s">
        <v>43643</v>
      </c>
      <c r="X14258" t="s">
        <v>44934</v>
      </c>
    </row>
    <row r="14259" spans="1:24">
      <c r="A14259">
        <f>HYPERLINK("https://www.philgeps.gov.ph/GEPSNONPILOT/Tender/SplashBidNoticeAbstractUI.aspx?menuIndex=3&amp;refID=7041615&amp;Result=3","7041615")</f>
        <v>0</v>
      </c>
      <c r="B14259" t="s">
        <v>797</v>
      </c>
      <c r="C14259" t="s">
        <v>17172</v>
      </c>
      <c r="D14259" t="s">
        <v>18152</v>
      </c>
      <c r="E14259" t="s">
        <v>30524</v>
      </c>
      <c r="F14259" t="s">
        <v>31362</v>
      </c>
      <c r="G14259" t="s">
        <v>31369</v>
      </c>
      <c r="H14259" t="s">
        <v>15799</v>
      </c>
      <c r="I14259" t="s">
        <v>31393</v>
      </c>
      <c r="J14259" t="s">
        <v>40119</v>
      </c>
      <c r="K14259" t="s">
        <v>40666</v>
      </c>
      <c r="M14259" t="s">
        <v>41767</v>
      </c>
      <c r="N14259" t="s">
        <v>44905</v>
      </c>
      <c r="O14259" t="s">
        <v>44906</v>
      </c>
      <c r="P14259">
        <v>0</v>
      </c>
      <c r="Q14259">
        <v>4</v>
      </c>
      <c r="R14259" t="s">
        <v>44925</v>
      </c>
      <c r="S14259" t="s">
        <v>45891</v>
      </c>
      <c r="T14259" t="s">
        <v>46410</v>
      </c>
      <c r="U14259" t="s">
        <v>58281</v>
      </c>
      <c r="W14259" t="s">
        <v>41767</v>
      </c>
      <c r="X14259" t="s">
        <v>44929</v>
      </c>
    </row>
    <row r="14260" spans="1:24">
      <c r="A14260">
        <f>HYPERLINK("https://www.philgeps.gov.ph/GEPSNONPILOT/Tender/SplashBidNoticeAbstractUI.aspx?menuIndex=3&amp;refID=7041483&amp;Result=3","7041483")</f>
        <v>0</v>
      </c>
      <c r="B14260" t="s">
        <v>3456</v>
      </c>
      <c r="C14260" t="s">
        <v>17173</v>
      </c>
      <c r="D14260" t="s">
        <v>18116</v>
      </c>
      <c r="E14260" t="s">
        <v>24279</v>
      </c>
      <c r="F14260" t="s">
        <v>31362</v>
      </c>
      <c r="G14260" t="s">
        <v>31369</v>
      </c>
      <c r="H14260" t="s">
        <v>31378</v>
      </c>
      <c r="I14260" t="s">
        <v>31386</v>
      </c>
      <c r="J14260" t="s">
        <v>32158</v>
      </c>
      <c r="K14260" t="s">
        <v>40665</v>
      </c>
      <c r="M14260" t="s">
        <v>44785</v>
      </c>
      <c r="N14260" t="s">
        <v>44905</v>
      </c>
      <c r="O14260" t="s">
        <v>44906</v>
      </c>
      <c r="P14260">
        <v>0</v>
      </c>
      <c r="Q14260">
        <v>0</v>
      </c>
      <c r="R14260" t="s">
        <v>44925</v>
      </c>
      <c r="S14260" t="s">
        <v>45891</v>
      </c>
      <c r="T14260" t="s">
        <v>46610</v>
      </c>
      <c r="U14260" t="s">
        <v>58282</v>
      </c>
      <c r="W14260" t="s">
        <v>44785</v>
      </c>
      <c r="X14260" t="s">
        <v>44929</v>
      </c>
    </row>
    <row r="14261" spans="1:24">
      <c r="A14261">
        <f>HYPERLINK("https://www.philgeps.gov.ph/GEPSNONPILOT/Tender/SplashBidNoticeAbstractUI.aspx?menuIndex=3&amp;refID=7041397&amp;Result=3","7041397")</f>
        <v>0</v>
      </c>
      <c r="B14261" t="s">
        <v>1579</v>
      </c>
      <c r="C14261" t="s">
        <v>17174</v>
      </c>
      <c r="D14261" t="s">
        <v>18117</v>
      </c>
      <c r="E14261" t="s">
        <v>30525</v>
      </c>
      <c r="F14261" t="s">
        <v>31362</v>
      </c>
      <c r="G14261" t="s">
        <v>31369</v>
      </c>
      <c r="H14261" t="s">
        <v>15799</v>
      </c>
      <c r="I14261" t="s">
        <v>31414</v>
      </c>
      <c r="J14261" t="s">
        <v>39221</v>
      </c>
      <c r="K14261" t="s">
        <v>40682</v>
      </c>
      <c r="M14261" t="s">
        <v>42956</v>
      </c>
      <c r="N14261" t="s">
        <v>44905</v>
      </c>
      <c r="O14261" t="s">
        <v>44906</v>
      </c>
      <c r="Q14261">
        <v>4</v>
      </c>
      <c r="R14261" t="s">
        <v>44925</v>
      </c>
      <c r="S14261" t="s">
        <v>45899</v>
      </c>
      <c r="T14261" t="s">
        <v>46434</v>
      </c>
      <c r="U14261" t="s">
        <v>58283</v>
      </c>
      <c r="W14261" t="s">
        <v>42956</v>
      </c>
      <c r="X14261" t="s">
        <v>44929</v>
      </c>
    </row>
    <row r="14262" spans="1:24">
      <c r="A14262">
        <f>HYPERLINK("https://www.philgeps.gov.ph/GEPSNONPILOT/Tender/SplashBidNoticeAbstractUI.aspx?menuIndex=3&amp;refID=7040960&amp;Result=3","7040960")</f>
        <v>0</v>
      </c>
      <c r="B14262" t="s">
        <v>1587</v>
      </c>
      <c r="C14262" t="s">
        <v>17175</v>
      </c>
      <c r="D14262" t="s">
        <v>18151</v>
      </c>
      <c r="E14262" t="s">
        <v>30526</v>
      </c>
      <c r="F14262" t="s">
        <v>31362</v>
      </c>
      <c r="G14262" t="s">
        <v>31369</v>
      </c>
      <c r="H14262" t="s">
        <v>31378</v>
      </c>
      <c r="I14262" t="s">
        <v>3582</v>
      </c>
      <c r="J14262" t="s">
        <v>40120</v>
      </c>
      <c r="K14262" t="s">
        <v>40686</v>
      </c>
      <c r="M14262" t="s">
        <v>42643</v>
      </c>
      <c r="N14262" t="s">
        <v>44905</v>
      </c>
      <c r="O14262" t="s">
        <v>44906</v>
      </c>
      <c r="P14262">
        <v>0</v>
      </c>
      <c r="Q14262">
        <v>3</v>
      </c>
      <c r="R14262" t="s">
        <v>44925</v>
      </c>
      <c r="S14262" t="s">
        <v>45891</v>
      </c>
      <c r="T14262" t="s">
        <v>46432</v>
      </c>
      <c r="U14262" t="s">
        <v>58284</v>
      </c>
      <c r="V14262" t="s">
        <v>60699</v>
      </c>
      <c r="W14262" t="s">
        <v>42643</v>
      </c>
      <c r="X14262" t="s">
        <v>44930</v>
      </c>
    </row>
    <row r="14263" spans="1:24">
      <c r="A14263">
        <f>HYPERLINK("https://www.philgeps.gov.ph/GEPSNONPILOT/Tender/SplashBidNoticeAbstractUI.aspx?menuIndex=3&amp;refID=7040331&amp;Result=3","7040331")</f>
        <v>0</v>
      </c>
      <c r="B14263" t="s">
        <v>26</v>
      </c>
      <c r="C14263" t="s">
        <v>17176</v>
      </c>
      <c r="E14263" t="s">
        <v>30527</v>
      </c>
      <c r="F14263" t="s">
        <v>31362</v>
      </c>
      <c r="G14263" t="s">
        <v>31369</v>
      </c>
      <c r="H14263" t="s">
        <v>31378</v>
      </c>
      <c r="I14263" t="s">
        <v>31386</v>
      </c>
      <c r="J14263" t="s">
        <v>40121</v>
      </c>
      <c r="K14263" t="s">
        <v>40662</v>
      </c>
      <c r="M14263" t="s">
        <v>40960</v>
      </c>
      <c r="N14263" t="s">
        <v>44905</v>
      </c>
      <c r="O14263" t="s">
        <v>44906</v>
      </c>
      <c r="P14263">
        <v>0</v>
      </c>
      <c r="Q14263">
        <v>5</v>
      </c>
      <c r="R14263" t="s">
        <v>44925</v>
      </c>
      <c r="S14263" t="s">
        <v>45891</v>
      </c>
      <c r="T14263" t="s">
        <v>46393</v>
      </c>
      <c r="U14263" t="s">
        <v>58285</v>
      </c>
      <c r="W14263" t="s">
        <v>40960</v>
      </c>
      <c r="X14263" t="s">
        <v>44930</v>
      </c>
    </row>
    <row r="14264" spans="1:24">
      <c r="A14264">
        <f>HYPERLINK("https://www.philgeps.gov.ph/GEPSNONPILOT/Tender/SplashBidNoticeAbstractUI.aspx?menuIndex=3&amp;refID=7041265&amp;Result=3","7041265")</f>
        <v>0</v>
      </c>
      <c r="B14264" t="s">
        <v>48</v>
      </c>
      <c r="C14264" t="s">
        <v>17177</v>
      </c>
      <c r="D14264" t="s">
        <v>18117</v>
      </c>
      <c r="E14264" t="s">
        <v>30528</v>
      </c>
      <c r="F14264" t="s">
        <v>31362</v>
      </c>
      <c r="G14264" t="s">
        <v>31369</v>
      </c>
      <c r="H14264" t="s">
        <v>31378</v>
      </c>
      <c r="I14264" t="s">
        <v>31386</v>
      </c>
      <c r="J14264" t="s">
        <v>33060</v>
      </c>
      <c r="K14264" t="s">
        <v>40683</v>
      </c>
      <c r="M14264" t="s">
        <v>40997</v>
      </c>
      <c r="N14264" t="s">
        <v>44905</v>
      </c>
      <c r="O14264" t="s">
        <v>44906</v>
      </c>
      <c r="P14264">
        <v>0</v>
      </c>
      <c r="Q14264">
        <v>0</v>
      </c>
      <c r="R14264" t="s">
        <v>44925</v>
      </c>
      <c r="S14264" t="s">
        <v>45891</v>
      </c>
      <c r="T14264" t="s">
        <v>46425</v>
      </c>
      <c r="U14264" t="s">
        <v>57364</v>
      </c>
      <c r="V14264" t="s">
        <v>59231</v>
      </c>
      <c r="W14264" t="s">
        <v>40997</v>
      </c>
      <c r="X14264" t="s">
        <v>44929</v>
      </c>
    </row>
    <row r="14265" spans="1:24">
      <c r="A14265">
        <f>HYPERLINK("https://www.philgeps.gov.ph/GEPSNONPILOT/Tender/SplashBidNoticeAbstractUI.aspx?menuIndex=3&amp;refID=7047036&amp;Result=3","7047036")</f>
        <v>0</v>
      </c>
      <c r="B14265" t="s">
        <v>2765</v>
      </c>
      <c r="C14265" t="s">
        <v>17178</v>
      </c>
      <c r="D14265" t="s">
        <v>18100</v>
      </c>
      <c r="E14265" t="s">
        <v>21549</v>
      </c>
      <c r="F14265" t="s">
        <v>31365</v>
      </c>
      <c r="G14265" t="s">
        <v>31369</v>
      </c>
      <c r="H14265" t="s">
        <v>15799</v>
      </c>
      <c r="I14265" t="s">
        <v>31409</v>
      </c>
      <c r="J14265" t="s">
        <v>31531</v>
      </c>
      <c r="K14265" t="s">
        <v>40661</v>
      </c>
      <c r="M14265" t="s">
        <v>43956</v>
      </c>
      <c r="N14265" t="s">
        <v>44905</v>
      </c>
      <c r="O14265" t="s">
        <v>44906</v>
      </c>
      <c r="P14265">
        <v>0</v>
      </c>
      <c r="Q14265">
        <v>0</v>
      </c>
      <c r="R14265" t="s">
        <v>44924</v>
      </c>
      <c r="S14265" t="s">
        <v>45829</v>
      </c>
      <c r="T14265" t="s">
        <v>46467</v>
      </c>
      <c r="U14265" t="s">
        <v>58286</v>
      </c>
      <c r="W14265" t="s">
        <v>43956</v>
      </c>
      <c r="X14265" t="s">
        <v>44925</v>
      </c>
    </row>
    <row r="14266" spans="1:24">
      <c r="A14266">
        <f>HYPERLINK("https://www.philgeps.gov.ph/GEPSNONPILOT/Tender/SplashBidNoticeAbstractUI.aspx?menuIndex=3&amp;refID=7041908&amp;Result=3","7041908")</f>
        <v>0</v>
      </c>
      <c r="B14266" t="s">
        <v>329</v>
      </c>
      <c r="C14266" t="s">
        <v>17179</v>
      </c>
      <c r="D14266" t="s">
        <v>18160</v>
      </c>
      <c r="E14266" t="s">
        <v>30529</v>
      </c>
      <c r="F14266" t="s">
        <v>31362</v>
      </c>
      <c r="G14266" t="s">
        <v>31369</v>
      </c>
      <c r="H14266" t="s">
        <v>15799</v>
      </c>
      <c r="I14266" t="s">
        <v>31382</v>
      </c>
      <c r="J14266" t="s">
        <v>39714</v>
      </c>
      <c r="K14266" t="s">
        <v>40662</v>
      </c>
      <c r="M14266" t="s">
        <v>44388</v>
      </c>
      <c r="N14266" t="s">
        <v>44905</v>
      </c>
      <c r="O14266" t="s">
        <v>44906</v>
      </c>
      <c r="Q14266">
        <v>15</v>
      </c>
      <c r="R14266" t="s">
        <v>44925</v>
      </c>
      <c r="S14266" t="s">
        <v>45900</v>
      </c>
      <c r="T14266" t="s">
        <v>46432</v>
      </c>
      <c r="U14266" t="s">
        <v>58287</v>
      </c>
      <c r="W14266" t="s">
        <v>44388</v>
      </c>
      <c r="X14266" t="s">
        <v>44929</v>
      </c>
    </row>
    <row r="14267" spans="1:24">
      <c r="A14267">
        <f>HYPERLINK("https://www.philgeps.gov.ph/GEPSNONPILOT/Tender/SplashBidNoticeAbstractUI.aspx?menuIndex=3&amp;refID=7039464&amp;Result=3","7039464")</f>
        <v>0</v>
      </c>
      <c r="B14267" t="s">
        <v>2659</v>
      </c>
      <c r="C14267" t="s">
        <v>17180</v>
      </c>
      <c r="D14267" t="s">
        <v>18148</v>
      </c>
      <c r="E14267" t="s">
        <v>30530</v>
      </c>
      <c r="F14267" t="s">
        <v>31363</v>
      </c>
      <c r="G14267" t="s">
        <v>31369</v>
      </c>
      <c r="H14267" t="s">
        <v>31379</v>
      </c>
      <c r="I14267" t="s">
        <v>31436</v>
      </c>
      <c r="J14267" t="s">
        <v>34409</v>
      </c>
      <c r="K14267" t="s">
        <v>40769</v>
      </c>
      <c r="M14267" t="s">
        <v>44786</v>
      </c>
      <c r="N14267" t="s">
        <v>44905</v>
      </c>
      <c r="O14267" t="s">
        <v>44906</v>
      </c>
      <c r="P14267">
        <v>0</v>
      </c>
      <c r="Q14267">
        <v>3</v>
      </c>
      <c r="R14267" t="s">
        <v>44925</v>
      </c>
      <c r="S14267" t="s">
        <v>45891</v>
      </c>
      <c r="T14267" t="s">
        <v>46411</v>
      </c>
      <c r="U14267" t="s">
        <v>58288</v>
      </c>
      <c r="W14267" t="s">
        <v>44786</v>
      </c>
      <c r="X14267" t="s">
        <v>44930</v>
      </c>
    </row>
    <row r="14268" spans="1:24">
      <c r="A14268">
        <f>HYPERLINK("https://www.philgeps.gov.ph/GEPSNONPILOT/Tender/SplashBidNoticeAbstractUI.aspx?menuIndex=3&amp;refID=7045356&amp;Result=3","7045356")</f>
        <v>0</v>
      </c>
      <c r="B14268" t="s">
        <v>767</v>
      </c>
      <c r="C14268" t="s">
        <v>17181</v>
      </c>
      <c r="D14268" t="s">
        <v>18122</v>
      </c>
      <c r="E14268" t="s">
        <v>30531</v>
      </c>
      <c r="F14268" t="s">
        <v>31362</v>
      </c>
      <c r="G14268" t="s">
        <v>31368</v>
      </c>
      <c r="H14268" t="s">
        <v>31378</v>
      </c>
      <c r="I14268" t="s">
        <v>31386</v>
      </c>
      <c r="J14268" t="s">
        <v>40122</v>
      </c>
      <c r="K14268" t="s">
        <v>40686</v>
      </c>
      <c r="M14268" t="s">
        <v>44787</v>
      </c>
      <c r="N14268" t="s">
        <v>44905</v>
      </c>
      <c r="O14268" t="s">
        <v>44906</v>
      </c>
      <c r="Q14268">
        <v>8</v>
      </c>
      <c r="R14268" t="s">
        <v>44924</v>
      </c>
      <c r="S14268" t="s">
        <v>45901</v>
      </c>
      <c r="T14268" t="s">
        <v>46498</v>
      </c>
      <c r="U14268" t="s">
        <v>58289</v>
      </c>
      <c r="W14268" t="s">
        <v>44787</v>
      </c>
      <c r="X14268" t="s">
        <v>44925</v>
      </c>
    </row>
    <row r="14269" spans="1:24">
      <c r="A14269">
        <f>HYPERLINK("https://www.philgeps.gov.ph/GEPSNONPILOT/Tender/SplashBidNoticeAbstractUI.aspx?menuIndex=3&amp;refID=7042783&amp;Result=3","7042783")</f>
        <v>0</v>
      </c>
      <c r="B14269" t="s">
        <v>832</v>
      </c>
      <c r="C14269" t="s">
        <v>17182</v>
      </c>
      <c r="E14269" t="s">
        <v>30532</v>
      </c>
      <c r="F14269" t="s">
        <v>31362</v>
      </c>
      <c r="G14269" t="s">
        <v>31369</v>
      </c>
      <c r="H14269" t="s">
        <v>15799</v>
      </c>
      <c r="I14269" t="s">
        <v>31382</v>
      </c>
      <c r="J14269" t="s">
        <v>31730</v>
      </c>
      <c r="K14269" t="s">
        <v>40662</v>
      </c>
      <c r="M14269" t="s">
        <v>41806</v>
      </c>
      <c r="N14269" t="s">
        <v>44905</v>
      </c>
      <c r="O14269" t="s">
        <v>44906</v>
      </c>
      <c r="P14269">
        <v>0</v>
      </c>
      <c r="Q14269">
        <v>15</v>
      </c>
      <c r="R14269" t="s">
        <v>44925</v>
      </c>
      <c r="S14269" t="s">
        <v>45891</v>
      </c>
      <c r="T14269" t="s">
        <v>46428</v>
      </c>
      <c r="U14269" t="s">
        <v>58251</v>
      </c>
      <c r="W14269" t="s">
        <v>41806</v>
      </c>
      <c r="X14269" t="s">
        <v>44929</v>
      </c>
    </row>
    <row r="14270" spans="1:24">
      <c r="A14270">
        <f>HYPERLINK("https://www.philgeps.gov.ph/GEPSNONPILOT/Tender/SplashBidNoticeAbstractUI.aspx?menuIndex=3&amp;refID=7041068&amp;Result=3","7041068")</f>
        <v>0</v>
      </c>
      <c r="B14270" t="s">
        <v>48</v>
      </c>
      <c r="C14270" t="s">
        <v>17183</v>
      </c>
      <c r="D14270" t="s">
        <v>18117</v>
      </c>
      <c r="E14270" t="s">
        <v>30533</v>
      </c>
      <c r="F14270" t="s">
        <v>31362</v>
      </c>
      <c r="G14270" t="s">
        <v>31369</v>
      </c>
      <c r="H14270" t="s">
        <v>15799</v>
      </c>
      <c r="I14270" t="s">
        <v>31433</v>
      </c>
      <c r="J14270" t="s">
        <v>40123</v>
      </c>
      <c r="K14270" t="s">
        <v>40679</v>
      </c>
      <c r="M14270" t="s">
        <v>40997</v>
      </c>
      <c r="N14270" t="s">
        <v>44905</v>
      </c>
      <c r="O14270" t="s">
        <v>44906</v>
      </c>
      <c r="P14270">
        <v>0</v>
      </c>
      <c r="Q14270">
        <v>1</v>
      </c>
      <c r="R14270" t="s">
        <v>44925</v>
      </c>
      <c r="S14270" t="s">
        <v>45891</v>
      </c>
      <c r="T14270" t="s">
        <v>46403</v>
      </c>
      <c r="U14270" t="s">
        <v>58290</v>
      </c>
      <c r="V14270" t="s">
        <v>60591</v>
      </c>
      <c r="W14270" t="s">
        <v>40997</v>
      </c>
      <c r="X14270" t="s">
        <v>44929</v>
      </c>
    </row>
    <row r="14271" spans="1:24">
      <c r="A14271">
        <f>HYPERLINK("https://www.philgeps.gov.ph/GEPSNONPILOT/Tender/SplashBidNoticeAbstractUI.aspx?menuIndex=3&amp;refID=7041915&amp;Result=3","7041915")</f>
        <v>0</v>
      </c>
      <c r="B14271" t="s">
        <v>840</v>
      </c>
      <c r="C14271" t="s">
        <v>17184</v>
      </c>
      <c r="D14271" t="s">
        <v>18117</v>
      </c>
      <c r="E14271" t="s">
        <v>24625</v>
      </c>
      <c r="F14271" t="s">
        <v>31362</v>
      </c>
      <c r="G14271" t="s">
        <v>31369</v>
      </c>
      <c r="H14271" t="s">
        <v>15799</v>
      </c>
      <c r="I14271" t="s">
        <v>3815</v>
      </c>
      <c r="J14271" t="s">
        <v>40124</v>
      </c>
      <c r="K14271" t="s">
        <v>40665</v>
      </c>
      <c r="M14271" t="s">
        <v>41815</v>
      </c>
      <c r="N14271" t="s">
        <v>44905</v>
      </c>
      <c r="O14271" t="s">
        <v>44906</v>
      </c>
      <c r="P14271">
        <v>0</v>
      </c>
      <c r="Q14271">
        <v>0</v>
      </c>
      <c r="R14271" t="s">
        <v>44925</v>
      </c>
      <c r="S14271" t="s">
        <v>45891</v>
      </c>
      <c r="T14271" t="s">
        <v>46659</v>
      </c>
      <c r="U14271" t="s">
        <v>58291</v>
      </c>
      <c r="W14271" t="s">
        <v>41815</v>
      </c>
      <c r="X14271" t="s">
        <v>44929</v>
      </c>
    </row>
    <row r="14272" spans="1:24">
      <c r="A14272">
        <f>HYPERLINK("https://www.philgeps.gov.ph/GEPSNONPILOT/Tender/SplashBidNoticeAbstractUI.aspx?menuIndex=3&amp;refID=7042889&amp;Result=3","7042889")</f>
        <v>0</v>
      </c>
      <c r="B14272" t="s">
        <v>832</v>
      </c>
      <c r="C14272" t="s">
        <v>17185</v>
      </c>
      <c r="E14272" t="s">
        <v>30534</v>
      </c>
      <c r="F14272" t="s">
        <v>31362</v>
      </c>
      <c r="G14272" t="s">
        <v>31369</v>
      </c>
      <c r="H14272" t="s">
        <v>15799</v>
      </c>
      <c r="I14272" t="s">
        <v>31382</v>
      </c>
      <c r="J14272" t="s">
        <v>31586</v>
      </c>
      <c r="K14272" t="s">
        <v>40662</v>
      </c>
      <c r="M14272" t="s">
        <v>41806</v>
      </c>
      <c r="N14272" t="s">
        <v>44905</v>
      </c>
      <c r="O14272" t="s">
        <v>44906</v>
      </c>
      <c r="Q14272">
        <v>14</v>
      </c>
      <c r="R14272" t="s">
        <v>44925</v>
      </c>
      <c r="S14272" t="s">
        <v>45902</v>
      </c>
      <c r="T14272" t="s">
        <v>46428</v>
      </c>
      <c r="U14272" t="s">
        <v>58251</v>
      </c>
      <c r="W14272" t="s">
        <v>41806</v>
      </c>
      <c r="X14272" t="s">
        <v>44929</v>
      </c>
    </row>
    <row r="14273" spans="1:24">
      <c r="A14273">
        <f>HYPERLINK("https://www.philgeps.gov.ph/GEPSNONPILOT/Tender/SplashBidNoticeAbstractUI.aspx?menuIndex=3&amp;refID=7038928&amp;Result=3","7038928")</f>
        <v>0</v>
      </c>
      <c r="B14273" t="s">
        <v>1579</v>
      </c>
      <c r="C14273" t="s">
        <v>17186</v>
      </c>
      <c r="D14273" t="s">
        <v>18117</v>
      </c>
      <c r="E14273" t="s">
        <v>30535</v>
      </c>
      <c r="F14273" t="s">
        <v>31362</v>
      </c>
      <c r="G14273" t="s">
        <v>31369</v>
      </c>
      <c r="H14273" t="s">
        <v>15799</v>
      </c>
      <c r="I14273" t="s">
        <v>31414</v>
      </c>
      <c r="J14273" t="s">
        <v>34185</v>
      </c>
      <c r="K14273" t="s">
        <v>40682</v>
      </c>
      <c r="M14273" t="s">
        <v>42956</v>
      </c>
      <c r="N14273" t="s">
        <v>44905</v>
      </c>
      <c r="O14273" t="s">
        <v>44906</v>
      </c>
      <c r="Q14273">
        <v>4</v>
      </c>
      <c r="R14273" t="s">
        <v>44925</v>
      </c>
      <c r="S14273" t="s">
        <v>45903</v>
      </c>
      <c r="T14273" t="s">
        <v>46434</v>
      </c>
      <c r="U14273" t="s">
        <v>58292</v>
      </c>
      <c r="W14273" t="s">
        <v>42956</v>
      </c>
      <c r="X14273" t="s">
        <v>44930</v>
      </c>
    </row>
    <row r="14274" spans="1:24">
      <c r="A14274">
        <f>HYPERLINK("https://www.philgeps.gov.ph/GEPSNONPILOT/Tender/SplashBidNoticeAbstractUI.aspx?menuIndex=3&amp;refID=7041188&amp;Result=3","7041188")</f>
        <v>0</v>
      </c>
      <c r="B14274" t="s">
        <v>602</v>
      </c>
      <c r="C14274" t="s">
        <v>17187</v>
      </c>
      <c r="D14274" t="s">
        <v>18162</v>
      </c>
      <c r="E14274" t="s">
        <v>30536</v>
      </c>
      <c r="F14274" t="s">
        <v>31362</v>
      </c>
      <c r="G14274" t="s">
        <v>31369</v>
      </c>
      <c r="H14274" t="s">
        <v>31378</v>
      </c>
      <c r="I14274" t="s">
        <v>31386</v>
      </c>
      <c r="J14274" t="s">
        <v>40125</v>
      </c>
      <c r="K14274" t="s">
        <v>40686</v>
      </c>
      <c r="M14274" t="s">
        <v>41560</v>
      </c>
      <c r="N14274" t="s">
        <v>44905</v>
      </c>
      <c r="O14274" t="s">
        <v>44906</v>
      </c>
      <c r="P14274">
        <v>0</v>
      </c>
      <c r="Q14274">
        <v>1</v>
      </c>
      <c r="R14274" t="s">
        <v>44925</v>
      </c>
      <c r="S14274" t="s">
        <v>45891</v>
      </c>
      <c r="T14274" t="s">
        <v>46432</v>
      </c>
      <c r="U14274" t="s">
        <v>58293</v>
      </c>
      <c r="V14274" t="s">
        <v>59211</v>
      </c>
      <c r="W14274" t="s">
        <v>41560</v>
      </c>
      <c r="X14274" t="s">
        <v>44929</v>
      </c>
    </row>
    <row r="14275" spans="1:24">
      <c r="A14275">
        <f>HYPERLINK("https://www.philgeps.gov.ph/GEPSNONPILOT/Tender/SplashBidNoticeAbstractUI.aspx?menuIndex=3&amp;refID=7042220&amp;Result=3","7042220")</f>
        <v>0</v>
      </c>
      <c r="B14275" t="s">
        <v>482</v>
      </c>
      <c r="C14275" t="s">
        <v>17188</v>
      </c>
      <c r="D14275" t="s">
        <v>18108</v>
      </c>
      <c r="E14275" t="s">
        <v>30537</v>
      </c>
      <c r="F14275" t="s">
        <v>31362</v>
      </c>
      <c r="G14275" t="s">
        <v>31369</v>
      </c>
      <c r="H14275" t="s">
        <v>15799</v>
      </c>
      <c r="I14275" t="s">
        <v>4283</v>
      </c>
      <c r="J14275" t="s">
        <v>40126</v>
      </c>
      <c r="K14275" t="s">
        <v>40679</v>
      </c>
      <c r="M14275" t="s">
        <v>44788</v>
      </c>
      <c r="N14275" t="s">
        <v>44905</v>
      </c>
      <c r="O14275" t="s">
        <v>44906</v>
      </c>
      <c r="P14275">
        <v>0</v>
      </c>
      <c r="Q14275">
        <v>15</v>
      </c>
      <c r="R14275" t="s">
        <v>44925</v>
      </c>
      <c r="S14275" t="s">
        <v>45891</v>
      </c>
      <c r="T14275" t="s">
        <v>46393</v>
      </c>
      <c r="U14275" t="s">
        <v>58294</v>
      </c>
      <c r="W14275" t="s">
        <v>44788</v>
      </c>
      <c r="X14275" t="s">
        <v>44929</v>
      </c>
    </row>
    <row r="14276" spans="1:24">
      <c r="A14276">
        <f>HYPERLINK("https://www.philgeps.gov.ph/GEPSNONPILOT/Tender/SplashBidNoticeAbstractUI.aspx?menuIndex=3&amp;refID=7042753&amp;Result=3","7042753")</f>
        <v>0</v>
      </c>
      <c r="B14276" t="s">
        <v>832</v>
      </c>
      <c r="C14276" t="s">
        <v>17189</v>
      </c>
      <c r="E14276" t="s">
        <v>30538</v>
      </c>
      <c r="F14276" t="s">
        <v>31362</v>
      </c>
      <c r="G14276" t="s">
        <v>31369</v>
      </c>
      <c r="H14276" t="s">
        <v>15799</v>
      </c>
      <c r="I14276" t="s">
        <v>31382</v>
      </c>
      <c r="J14276" t="s">
        <v>32902</v>
      </c>
      <c r="K14276" t="s">
        <v>40662</v>
      </c>
      <c r="M14276" t="s">
        <v>44055</v>
      </c>
      <c r="N14276" t="s">
        <v>44905</v>
      </c>
      <c r="O14276" t="s">
        <v>44906</v>
      </c>
      <c r="Q14276">
        <v>13</v>
      </c>
      <c r="R14276" t="s">
        <v>44925</v>
      </c>
      <c r="S14276" t="s">
        <v>45904</v>
      </c>
      <c r="T14276" t="s">
        <v>46411</v>
      </c>
      <c r="U14276" t="s">
        <v>58251</v>
      </c>
      <c r="W14276" t="s">
        <v>44055</v>
      </c>
      <c r="X14276" t="s">
        <v>44929</v>
      </c>
    </row>
    <row r="14277" spans="1:24">
      <c r="A14277">
        <f>HYPERLINK("https://www.philgeps.gov.ph/GEPSNONPILOT/Tender/SplashBidNoticeAbstractUI.aspx?menuIndex=3&amp;refID=7042636&amp;Result=3","7042636")</f>
        <v>0</v>
      </c>
      <c r="B14277" t="s">
        <v>572</v>
      </c>
      <c r="C14277" t="s">
        <v>17190</v>
      </c>
      <c r="E14277" t="s">
        <v>30539</v>
      </c>
      <c r="F14277" t="s">
        <v>31362</v>
      </c>
      <c r="G14277" t="s">
        <v>31369</v>
      </c>
      <c r="H14277" t="s">
        <v>15799</v>
      </c>
      <c r="I14277" t="s">
        <v>31393</v>
      </c>
      <c r="J14277" t="s">
        <v>40127</v>
      </c>
      <c r="K14277" t="s">
        <v>40662</v>
      </c>
      <c r="M14277" t="s">
        <v>44789</v>
      </c>
      <c r="N14277" t="s">
        <v>44905</v>
      </c>
      <c r="O14277" t="s">
        <v>44906</v>
      </c>
      <c r="Q14277">
        <v>23</v>
      </c>
      <c r="R14277" t="s">
        <v>44925</v>
      </c>
      <c r="S14277" t="s">
        <v>45905</v>
      </c>
      <c r="T14277" t="s">
        <v>46409</v>
      </c>
      <c r="U14277" t="s">
        <v>58295</v>
      </c>
      <c r="W14277" t="s">
        <v>44789</v>
      </c>
      <c r="X14277" t="s">
        <v>44929</v>
      </c>
    </row>
    <row r="14278" spans="1:24">
      <c r="A14278">
        <f>HYPERLINK("https://www.philgeps.gov.ph/GEPSNONPILOT/Tender/SplashBidNoticeAbstractUI.aspx?menuIndex=3&amp;refID=7042684&amp;Result=3","7042684")</f>
        <v>0</v>
      </c>
      <c r="B14278" t="s">
        <v>255</v>
      </c>
      <c r="C14278" t="s">
        <v>17191</v>
      </c>
      <c r="E14278" t="s">
        <v>30540</v>
      </c>
      <c r="F14278" t="s">
        <v>31362</v>
      </c>
      <c r="G14278" t="s">
        <v>31369</v>
      </c>
      <c r="H14278" t="s">
        <v>15799</v>
      </c>
      <c r="I14278" t="s">
        <v>31396</v>
      </c>
      <c r="J14278" t="s">
        <v>40128</v>
      </c>
      <c r="K14278" t="s">
        <v>40662</v>
      </c>
      <c r="M14278" t="s">
        <v>41195</v>
      </c>
      <c r="N14278" t="s">
        <v>44905</v>
      </c>
      <c r="O14278" t="s">
        <v>44906</v>
      </c>
      <c r="Q14278">
        <v>62</v>
      </c>
      <c r="R14278" t="s">
        <v>44925</v>
      </c>
      <c r="S14278" t="s">
        <v>45906</v>
      </c>
      <c r="T14278" t="s">
        <v>46401</v>
      </c>
      <c r="U14278" t="s">
        <v>58296</v>
      </c>
      <c r="W14278" t="s">
        <v>41195</v>
      </c>
      <c r="X14278" t="s">
        <v>44929</v>
      </c>
    </row>
    <row r="14279" spans="1:24">
      <c r="A14279">
        <f>HYPERLINK("https://www.philgeps.gov.ph/GEPSNONPILOT/Tender/SplashBidNoticeAbstractUI.aspx?menuIndex=3&amp;refID=7042632&amp;Result=3","7042632")</f>
        <v>0</v>
      </c>
      <c r="B14279" t="s">
        <v>255</v>
      </c>
      <c r="C14279" t="s">
        <v>17192</v>
      </c>
      <c r="E14279" t="s">
        <v>30541</v>
      </c>
      <c r="F14279" t="s">
        <v>31362</v>
      </c>
      <c r="G14279" t="s">
        <v>31369</v>
      </c>
      <c r="H14279" t="s">
        <v>15799</v>
      </c>
      <c r="I14279" t="s">
        <v>31460</v>
      </c>
      <c r="J14279" t="s">
        <v>40129</v>
      </c>
      <c r="K14279" t="s">
        <v>40662</v>
      </c>
      <c r="M14279" t="s">
        <v>41195</v>
      </c>
      <c r="N14279" t="s">
        <v>44905</v>
      </c>
      <c r="O14279" t="s">
        <v>44906</v>
      </c>
      <c r="Q14279">
        <v>7</v>
      </c>
      <c r="R14279" t="s">
        <v>44925</v>
      </c>
      <c r="S14279" t="s">
        <v>45907</v>
      </c>
      <c r="T14279" t="s">
        <v>46431</v>
      </c>
      <c r="U14279" t="s">
        <v>58297</v>
      </c>
      <c r="W14279" t="s">
        <v>41195</v>
      </c>
      <c r="X14279" t="s">
        <v>44929</v>
      </c>
    </row>
    <row r="14280" spans="1:24">
      <c r="A14280">
        <f>HYPERLINK("https://www.philgeps.gov.ph/GEPSNONPILOT/Tender/SplashBidNoticeAbstractUI.aspx?menuIndex=3&amp;refID=7042610&amp;Result=3","7042610")</f>
        <v>0</v>
      </c>
      <c r="B14280" t="s">
        <v>2366</v>
      </c>
      <c r="C14280" t="s">
        <v>17193</v>
      </c>
      <c r="E14280" t="s">
        <v>30542</v>
      </c>
      <c r="F14280" t="s">
        <v>31362</v>
      </c>
      <c r="G14280" t="s">
        <v>31376</v>
      </c>
      <c r="H14280" t="s">
        <v>31377</v>
      </c>
      <c r="I14280" t="s">
        <v>31377</v>
      </c>
      <c r="J14280" t="s">
        <v>32540</v>
      </c>
      <c r="K14280" t="s">
        <v>40662</v>
      </c>
      <c r="M14280" t="s">
        <v>43512</v>
      </c>
      <c r="N14280" t="s">
        <v>44905</v>
      </c>
      <c r="O14280" t="s">
        <v>44906</v>
      </c>
      <c r="P14280">
        <v>0</v>
      </c>
      <c r="Q14280">
        <v>4</v>
      </c>
      <c r="R14280" t="s">
        <v>44925</v>
      </c>
      <c r="S14280" t="s">
        <v>45891</v>
      </c>
      <c r="T14280" t="s">
        <v>46801</v>
      </c>
      <c r="U14280" t="s">
        <v>58298</v>
      </c>
      <c r="W14280" t="s">
        <v>43512</v>
      </c>
      <c r="X14280" t="s">
        <v>44929</v>
      </c>
    </row>
    <row r="14281" spans="1:24">
      <c r="A14281">
        <f>HYPERLINK("https://www.philgeps.gov.ph/GEPSNONPILOT/Tender/SplashBidNoticeAbstractUI.aspx?menuIndex=3&amp;refID=7042601&amp;Result=3","7042601")</f>
        <v>0</v>
      </c>
      <c r="B14281" t="s">
        <v>572</v>
      </c>
      <c r="C14281" t="s">
        <v>17194</v>
      </c>
      <c r="E14281" t="s">
        <v>30543</v>
      </c>
      <c r="F14281" t="s">
        <v>31362</v>
      </c>
      <c r="G14281" t="s">
        <v>31369</v>
      </c>
      <c r="H14281" t="s">
        <v>15799</v>
      </c>
      <c r="I14281" t="s">
        <v>31393</v>
      </c>
      <c r="J14281" t="s">
        <v>40130</v>
      </c>
      <c r="K14281" t="s">
        <v>40662</v>
      </c>
      <c r="M14281" t="s">
        <v>44789</v>
      </c>
      <c r="N14281" t="s">
        <v>44905</v>
      </c>
      <c r="O14281" t="s">
        <v>44906</v>
      </c>
      <c r="Q14281">
        <v>23</v>
      </c>
      <c r="R14281" t="s">
        <v>44925</v>
      </c>
      <c r="S14281" t="s">
        <v>45908</v>
      </c>
      <c r="T14281" t="s">
        <v>46413</v>
      </c>
      <c r="U14281" t="s">
        <v>58299</v>
      </c>
      <c r="W14281" t="s">
        <v>44789</v>
      </c>
      <c r="X14281" t="s">
        <v>44929</v>
      </c>
    </row>
    <row r="14282" spans="1:24">
      <c r="A14282">
        <f>HYPERLINK("https://www.philgeps.gov.ph/GEPSNONPILOT/Tender/SplashBidNoticeAbstractUI.aspx?menuIndex=3&amp;refID=7042396&amp;Result=3","7042396")</f>
        <v>0</v>
      </c>
      <c r="B14282" t="s">
        <v>2754</v>
      </c>
      <c r="C14282" t="s">
        <v>17195</v>
      </c>
      <c r="D14282" t="s">
        <v>18108</v>
      </c>
      <c r="E14282" t="s">
        <v>30544</v>
      </c>
      <c r="F14282" t="s">
        <v>31362</v>
      </c>
      <c r="G14282" t="s">
        <v>31369</v>
      </c>
      <c r="H14282" t="s">
        <v>15799</v>
      </c>
      <c r="I14282" t="s">
        <v>3815</v>
      </c>
      <c r="J14282" t="s">
        <v>40131</v>
      </c>
      <c r="K14282" t="s">
        <v>40665</v>
      </c>
      <c r="M14282" t="s">
        <v>44790</v>
      </c>
      <c r="N14282" t="s">
        <v>44905</v>
      </c>
      <c r="O14282" t="s">
        <v>44906</v>
      </c>
      <c r="Q14282">
        <v>9</v>
      </c>
      <c r="R14282" t="s">
        <v>44925</v>
      </c>
      <c r="S14282" t="s">
        <v>45909</v>
      </c>
      <c r="T14282" t="s">
        <v>46409</v>
      </c>
      <c r="U14282" t="s">
        <v>58300</v>
      </c>
      <c r="W14282" t="s">
        <v>44790</v>
      </c>
      <c r="X14282" t="s">
        <v>44929</v>
      </c>
    </row>
    <row r="14283" spans="1:24">
      <c r="A14283">
        <f>HYPERLINK("https://www.philgeps.gov.ph/GEPSNONPILOT/Tender/SplashBidNoticeAbstractUI.aspx?menuIndex=3&amp;refID=7042862&amp;Result=3","7042862")</f>
        <v>0</v>
      </c>
      <c r="B14283" t="s">
        <v>155</v>
      </c>
      <c r="C14283" t="s">
        <v>17196</v>
      </c>
      <c r="E14283" t="s">
        <v>30545</v>
      </c>
      <c r="F14283" t="s">
        <v>31362</v>
      </c>
      <c r="G14283" t="s">
        <v>31369</v>
      </c>
      <c r="H14283" t="s">
        <v>15799</v>
      </c>
      <c r="I14283" t="s">
        <v>7719</v>
      </c>
      <c r="J14283" t="s">
        <v>40132</v>
      </c>
      <c r="K14283" t="s">
        <v>40682</v>
      </c>
      <c r="M14283" t="s">
        <v>44480</v>
      </c>
      <c r="N14283" t="s">
        <v>44905</v>
      </c>
      <c r="O14283" t="s">
        <v>44906</v>
      </c>
      <c r="P14283">
        <v>0</v>
      </c>
      <c r="Q14283">
        <v>53</v>
      </c>
      <c r="R14283" t="s">
        <v>44925</v>
      </c>
      <c r="S14283" t="s">
        <v>45891</v>
      </c>
      <c r="T14283" t="s">
        <v>46555</v>
      </c>
      <c r="U14283" t="s">
        <v>58301</v>
      </c>
      <c r="W14283" t="s">
        <v>44480</v>
      </c>
      <c r="X14283" t="s">
        <v>44929</v>
      </c>
    </row>
    <row r="14284" spans="1:24">
      <c r="A14284">
        <f>HYPERLINK("https://www.philgeps.gov.ph/GEPSNONPILOT/Tender/SplashBidNoticeAbstractUI.aspx?menuIndex=3&amp;refID=7042226&amp;Result=3","7042226")</f>
        <v>0</v>
      </c>
      <c r="B14284" t="s">
        <v>2509</v>
      </c>
      <c r="C14284" t="s">
        <v>17197</v>
      </c>
      <c r="D14284" t="s">
        <v>18136</v>
      </c>
      <c r="E14284" t="s">
        <v>30546</v>
      </c>
      <c r="F14284" t="s">
        <v>31362</v>
      </c>
      <c r="G14284" t="s">
        <v>31369</v>
      </c>
      <c r="H14284" t="s">
        <v>31378</v>
      </c>
      <c r="I14284" t="s">
        <v>31386</v>
      </c>
      <c r="J14284" t="s">
        <v>40133</v>
      </c>
      <c r="K14284" t="s">
        <v>40801</v>
      </c>
      <c r="M14284" t="s">
        <v>43678</v>
      </c>
      <c r="N14284" t="s">
        <v>44905</v>
      </c>
      <c r="O14284" t="s">
        <v>44906</v>
      </c>
      <c r="P14284">
        <v>0</v>
      </c>
      <c r="Q14284">
        <v>2</v>
      </c>
      <c r="R14284" t="s">
        <v>44925</v>
      </c>
      <c r="S14284" t="s">
        <v>45891</v>
      </c>
      <c r="T14284" t="s">
        <v>46432</v>
      </c>
      <c r="U14284" t="s">
        <v>58302</v>
      </c>
      <c r="V14284" t="s">
        <v>59917</v>
      </c>
      <c r="W14284" t="s">
        <v>43678</v>
      </c>
      <c r="X14284" t="s">
        <v>44929</v>
      </c>
    </row>
    <row r="14285" spans="1:24">
      <c r="A14285">
        <f>HYPERLINK("https://www.philgeps.gov.ph/GEPSNONPILOT/Tender/SplashBidNoticeAbstractUI.aspx?menuIndex=3&amp;refID=7042892&amp;Result=3","7042892")</f>
        <v>0</v>
      </c>
      <c r="B14285" t="s">
        <v>155</v>
      </c>
      <c r="C14285" t="s">
        <v>17196</v>
      </c>
      <c r="E14285" t="s">
        <v>30547</v>
      </c>
      <c r="F14285" t="s">
        <v>31362</v>
      </c>
      <c r="G14285" t="s">
        <v>31369</v>
      </c>
      <c r="H14285" t="s">
        <v>15799</v>
      </c>
      <c r="I14285" t="s">
        <v>7719</v>
      </c>
      <c r="J14285" t="s">
        <v>35217</v>
      </c>
      <c r="K14285" t="s">
        <v>40682</v>
      </c>
      <c r="M14285" t="s">
        <v>44480</v>
      </c>
      <c r="N14285" t="s">
        <v>44905</v>
      </c>
      <c r="O14285" t="s">
        <v>44906</v>
      </c>
      <c r="P14285">
        <v>0</v>
      </c>
      <c r="Q14285">
        <v>47</v>
      </c>
      <c r="R14285" t="s">
        <v>44925</v>
      </c>
      <c r="S14285" t="s">
        <v>45891</v>
      </c>
      <c r="T14285" t="s">
        <v>46429</v>
      </c>
      <c r="U14285" t="s">
        <v>58301</v>
      </c>
      <c r="W14285" t="s">
        <v>44480</v>
      </c>
      <c r="X14285" t="s">
        <v>44929</v>
      </c>
    </row>
    <row r="14286" spans="1:24">
      <c r="A14286">
        <f>HYPERLINK("https://www.philgeps.gov.ph/GEPSNONPILOT/Tender/SplashBidNoticeAbstractUI.aspx?menuIndex=3&amp;refID=7042177&amp;Result=3","7042177")</f>
        <v>0</v>
      </c>
      <c r="B14286" t="s">
        <v>3242</v>
      </c>
      <c r="C14286" t="s">
        <v>17198</v>
      </c>
      <c r="D14286" t="s">
        <v>18133</v>
      </c>
      <c r="E14286" t="s">
        <v>30548</v>
      </c>
      <c r="F14286" t="s">
        <v>31362</v>
      </c>
      <c r="G14286" t="s">
        <v>31369</v>
      </c>
      <c r="H14286" t="s">
        <v>31378</v>
      </c>
      <c r="I14286" t="s">
        <v>31386</v>
      </c>
      <c r="J14286" t="s">
        <v>40134</v>
      </c>
      <c r="K14286" t="s">
        <v>40686</v>
      </c>
      <c r="M14286" t="s">
        <v>44520</v>
      </c>
      <c r="N14286" t="s">
        <v>44905</v>
      </c>
      <c r="O14286" t="s">
        <v>44906</v>
      </c>
      <c r="P14286">
        <v>0</v>
      </c>
      <c r="Q14286">
        <v>1</v>
      </c>
      <c r="R14286" t="s">
        <v>44925</v>
      </c>
      <c r="S14286" t="s">
        <v>45891</v>
      </c>
      <c r="T14286" t="s">
        <v>46411</v>
      </c>
      <c r="U14286" t="s">
        <v>58303</v>
      </c>
      <c r="W14286" t="s">
        <v>44520</v>
      </c>
      <c r="X14286" t="s">
        <v>44929</v>
      </c>
    </row>
    <row r="14287" spans="1:24">
      <c r="A14287">
        <f>HYPERLINK("https://www.philgeps.gov.ph/GEPSNONPILOT/Tender/SplashBidNoticeAbstractUI.aspx?menuIndex=3&amp;refID=7042137&amp;Result=3","7042137")</f>
        <v>0</v>
      </c>
      <c r="B14287" t="s">
        <v>3366</v>
      </c>
      <c r="C14287" t="s">
        <v>17199</v>
      </c>
      <c r="E14287" t="s">
        <v>30549</v>
      </c>
      <c r="F14287" t="s">
        <v>31362</v>
      </c>
      <c r="G14287" t="s">
        <v>31369</v>
      </c>
      <c r="H14287" t="s">
        <v>15799</v>
      </c>
      <c r="I14287" t="s">
        <v>7719</v>
      </c>
      <c r="J14287" t="s">
        <v>40135</v>
      </c>
      <c r="K14287" t="s">
        <v>40662</v>
      </c>
      <c r="M14287" t="s">
        <v>44791</v>
      </c>
      <c r="N14287" t="s">
        <v>44905</v>
      </c>
      <c r="O14287" t="s">
        <v>44906</v>
      </c>
      <c r="Q14287">
        <v>42</v>
      </c>
      <c r="R14287" t="s">
        <v>44925</v>
      </c>
      <c r="S14287" t="s">
        <v>45910</v>
      </c>
      <c r="T14287" t="s">
        <v>46454</v>
      </c>
      <c r="U14287" t="s">
        <v>58304</v>
      </c>
      <c r="W14287" t="s">
        <v>44791</v>
      </c>
      <c r="X14287" t="s">
        <v>44929</v>
      </c>
    </row>
    <row r="14288" spans="1:24">
      <c r="A14288">
        <f>HYPERLINK("https://www.philgeps.gov.ph/GEPSNONPILOT/Tender/SplashBidNoticeAbstractUI.aspx?menuIndex=3&amp;refID=7037096&amp;Result=3","7037096")</f>
        <v>0</v>
      </c>
      <c r="B14288" t="s">
        <v>2203</v>
      </c>
      <c r="C14288" t="s">
        <v>17200</v>
      </c>
      <c r="D14288" t="s">
        <v>18104</v>
      </c>
      <c r="E14288" t="s">
        <v>30550</v>
      </c>
      <c r="F14288" t="s">
        <v>31362</v>
      </c>
      <c r="G14288" t="s">
        <v>31369</v>
      </c>
      <c r="H14288" t="s">
        <v>15799</v>
      </c>
      <c r="I14288" t="s">
        <v>31404</v>
      </c>
      <c r="J14288" t="s">
        <v>40136</v>
      </c>
      <c r="K14288" t="s">
        <v>40720</v>
      </c>
      <c r="M14288" t="s">
        <v>43334</v>
      </c>
      <c r="N14288" t="s">
        <v>44905</v>
      </c>
      <c r="O14288" t="s">
        <v>44906</v>
      </c>
      <c r="P14288">
        <v>0</v>
      </c>
      <c r="Q14288">
        <v>2</v>
      </c>
      <c r="R14288" t="s">
        <v>44925</v>
      </c>
      <c r="S14288" t="s">
        <v>45891</v>
      </c>
      <c r="T14288" t="s">
        <v>46585</v>
      </c>
      <c r="U14288" t="s">
        <v>58305</v>
      </c>
      <c r="W14288" t="s">
        <v>43334</v>
      </c>
      <c r="X14288" t="s">
        <v>44931</v>
      </c>
    </row>
    <row r="14289" spans="1:24">
      <c r="A14289">
        <f>HYPERLINK("https://www.philgeps.gov.ph/GEPSNONPILOT/Tender/SplashBidNoticeAbstractUI.aspx?menuIndex=3&amp;refID=7036516&amp;Result=3","7036516")</f>
        <v>0</v>
      </c>
      <c r="B14289" t="s">
        <v>1284</v>
      </c>
      <c r="C14289" t="s">
        <v>17201</v>
      </c>
      <c r="D14289" t="s">
        <v>18110</v>
      </c>
      <c r="E14289" t="s">
        <v>30551</v>
      </c>
      <c r="F14289" t="s">
        <v>31362</v>
      </c>
      <c r="G14289" t="s">
        <v>31369</v>
      </c>
      <c r="H14289" t="s">
        <v>15799</v>
      </c>
      <c r="I14289" t="s">
        <v>31393</v>
      </c>
      <c r="J14289" t="s">
        <v>40137</v>
      </c>
      <c r="K14289" t="s">
        <v>40662</v>
      </c>
      <c r="M14289" t="s">
        <v>42301</v>
      </c>
      <c r="N14289" t="s">
        <v>44905</v>
      </c>
      <c r="O14289" t="s">
        <v>44906</v>
      </c>
      <c r="P14289">
        <v>0</v>
      </c>
      <c r="Q14289">
        <v>15</v>
      </c>
      <c r="R14289" t="s">
        <v>44925</v>
      </c>
      <c r="S14289" t="s">
        <v>45891</v>
      </c>
      <c r="T14289" t="s">
        <v>46409</v>
      </c>
      <c r="U14289" t="s">
        <v>58306</v>
      </c>
      <c r="W14289" t="s">
        <v>42301</v>
      </c>
      <c r="X14289" t="s">
        <v>44931</v>
      </c>
    </row>
    <row r="14290" spans="1:24">
      <c r="A14290">
        <f>HYPERLINK("https://www.philgeps.gov.ph/GEPSNONPILOT/Tender/SplashBidNoticeAbstractUI.aspx?menuIndex=3&amp;refID=7042960&amp;Result=3","7042960")</f>
        <v>0</v>
      </c>
      <c r="B14290" t="s">
        <v>3208</v>
      </c>
      <c r="C14290" t="s">
        <v>17202</v>
      </c>
      <c r="D14290" t="s">
        <v>18108</v>
      </c>
      <c r="E14290" t="s">
        <v>25694</v>
      </c>
      <c r="F14290" t="s">
        <v>31362</v>
      </c>
      <c r="G14290" t="s">
        <v>31369</v>
      </c>
      <c r="H14290" t="s">
        <v>15799</v>
      </c>
      <c r="I14290" t="s">
        <v>31382</v>
      </c>
      <c r="J14290" t="s">
        <v>31637</v>
      </c>
      <c r="K14290" t="s">
        <v>40679</v>
      </c>
      <c r="M14290" t="s">
        <v>44770</v>
      </c>
      <c r="N14290" t="s">
        <v>44905</v>
      </c>
      <c r="O14290" t="s">
        <v>44906</v>
      </c>
      <c r="Q14290">
        <v>22</v>
      </c>
      <c r="R14290" t="s">
        <v>44925</v>
      </c>
      <c r="S14290" t="s">
        <v>45911</v>
      </c>
      <c r="T14290" t="s">
        <v>46509</v>
      </c>
      <c r="U14290" t="s">
        <v>58307</v>
      </c>
      <c r="W14290" t="s">
        <v>44770</v>
      </c>
      <c r="X14290" t="s">
        <v>44929</v>
      </c>
    </row>
    <row r="14291" spans="1:24">
      <c r="A14291">
        <f>HYPERLINK("https://www.philgeps.gov.ph/GEPSNONPILOT/Tender/SplashBidNoticeAbstractUI.aspx?menuIndex=3&amp;refID=7042531&amp;Result=3","7042531")</f>
        <v>0</v>
      </c>
      <c r="B14291" t="s">
        <v>2754</v>
      </c>
      <c r="C14291" t="s">
        <v>17203</v>
      </c>
      <c r="D14291" t="s">
        <v>18108</v>
      </c>
      <c r="E14291" t="s">
        <v>30552</v>
      </c>
      <c r="F14291" t="s">
        <v>31362</v>
      </c>
      <c r="G14291" t="s">
        <v>31369</v>
      </c>
      <c r="H14291" t="s">
        <v>15799</v>
      </c>
      <c r="I14291" t="s">
        <v>3815</v>
      </c>
      <c r="J14291" t="s">
        <v>31709</v>
      </c>
      <c r="K14291" t="s">
        <v>40665</v>
      </c>
      <c r="M14291" t="s">
        <v>44790</v>
      </c>
      <c r="N14291" t="s">
        <v>44905</v>
      </c>
      <c r="O14291" t="s">
        <v>44906</v>
      </c>
      <c r="P14291">
        <v>0</v>
      </c>
      <c r="Q14291">
        <v>13</v>
      </c>
      <c r="R14291" t="s">
        <v>44925</v>
      </c>
      <c r="S14291" t="s">
        <v>45891</v>
      </c>
      <c r="T14291" t="s">
        <v>46409</v>
      </c>
      <c r="U14291" t="s">
        <v>58308</v>
      </c>
      <c r="W14291" t="s">
        <v>44790</v>
      </c>
      <c r="X14291" t="s">
        <v>44929</v>
      </c>
    </row>
    <row r="14292" spans="1:24">
      <c r="A14292">
        <f>HYPERLINK("https://www.philgeps.gov.ph/GEPSNONPILOT/Tender/SplashBidNoticeAbstractUI.aspx?menuIndex=3&amp;refID=7043303&amp;Result=3","7043303")</f>
        <v>0</v>
      </c>
      <c r="B14292" t="s">
        <v>3457</v>
      </c>
      <c r="C14292" t="s">
        <v>17204</v>
      </c>
      <c r="D14292" t="s">
        <v>18154</v>
      </c>
      <c r="E14292" t="s">
        <v>30553</v>
      </c>
      <c r="F14292" t="s">
        <v>31362</v>
      </c>
      <c r="G14292" t="s">
        <v>31369</v>
      </c>
      <c r="H14292" t="s">
        <v>15799</v>
      </c>
      <c r="I14292" t="s">
        <v>31427</v>
      </c>
      <c r="J14292" t="s">
        <v>40138</v>
      </c>
      <c r="K14292" t="s">
        <v>40665</v>
      </c>
      <c r="M14292" t="s">
        <v>44792</v>
      </c>
      <c r="N14292" t="s">
        <v>44905</v>
      </c>
      <c r="O14292" t="s">
        <v>44906</v>
      </c>
      <c r="P14292">
        <v>0</v>
      </c>
      <c r="Q14292">
        <v>4</v>
      </c>
      <c r="R14292" t="s">
        <v>44925</v>
      </c>
      <c r="S14292" t="s">
        <v>45891</v>
      </c>
      <c r="T14292" t="s">
        <v>46411</v>
      </c>
      <c r="U14292" t="s">
        <v>58309</v>
      </c>
      <c r="W14292" t="s">
        <v>60974</v>
      </c>
      <c r="X14292" t="s">
        <v>44928</v>
      </c>
    </row>
    <row r="14293" spans="1:24">
      <c r="A14293">
        <f>HYPERLINK("https://www.philgeps.gov.ph/GEPSNONPILOT/Tender/SplashBidNoticeAbstractUI.aspx?menuIndex=3&amp;refID=7042312&amp;Result=3","7042312")</f>
        <v>0</v>
      </c>
      <c r="B14293" t="s">
        <v>548</v>
      </c>
      <c r="C14293" t="s">
        <v>17205</v>
      </c>
      <c r="D14293" t="s">
        <v>18154</v>
      </c>
      <c r="E14293" t="s">
        <v>30554</v>
      </c>
      <c r="F14293" t="s">
        <v>31362</v>
      </c>
      <c r="G14293" t="s">
        <v>31369</v>
      </c>
      <c r="H14293" t="s">
        <v>15799</v>
      </c>
      <c r="I14293" t="s">
        <v>31422</v>
      </c>
      <c r="J14293" t="s">
        <v>40139</v>
      </c>
      <c r="K14293" t="s">
        <v>40665</v>
      </c>
      <c r="M14293" t="s">
        <v>41504</v>
      </c>
      <c r="N14293" t="s">
        <v>44905</v>
      </c>
      <c r="O14293" t="s">
        <v>44906</v>
      </c>
      <c r="P14293">
        <v>0</v>
      </c>
      <c r="Q14293">
        <v>6</v>
      </c>
      <c r="R14293" t="s">
        <v>44925</v>
      </c>
      <c r="S14293" t="s">
        <v>45891</v>
      </c>
      <c r="T14293" t="s">
        <v>46447</v>
      </c>
      <c r="U14293" t="s">
        <v>58310</v>
      </c>
      <c r="W14293" t="s">
        <v>41504</v>
      </c>
      <c r="X14293" t="s">
        <v>44929</v>
      </c>
    </row>
    <row r="14294" spans="1:24">
      <c r="A14294">
        <f>HYPERLINK("https://www.philgeps.gov.ph/GEPSNONPILOT/Tender/SplashBidNoticeAbstractUI.aspx?menuIndex=3&amp;refID=7043356&amp;Result=3","7043356")</f>
        <v>0</v>
      </c>
      <c r="B14294" t="s">
        <v>3458</v>
      </c>
      <c r="C14294" t="s">
        <v>17206</v>
      </c>
      <c r="D14294" t="s">
        <v>18133</v>
      </c>
      <c r="E14294" t="s">
        <v>24322</v>
      </c>
      <c r="F14294" t="s">
        <v>31362</v>
      </c>
      <c r="G14294" t="s">
        <v>31369</v>
      </c>
      <c r="H14294" t="s">
        <v>31378</v>
      </c>
      <c r="I14294" t="s">
        <v>31386</v>
      </c>
      <c r="J14294" t="s">
        <v>40140</v>
      </c>
      <c r="K14294" t="s">
        <v>40708</v>
      </c>
      <c r="M14294" t="s">
        <v>44793</v>
      </c>
      <c r="N14294" t="s">
        <v>44905</v>
      </c>
      <c r="O14294" t="s">
        <v>44906</v>
      </c>
      <c r="P14294">
        <v>0</v>
      </c>
      <c r="Q14294">
        <v>2</v>
      </c>
      <c r="R14294" t="s">
        <v>44925</v>
      </c>
      <c r="S14294" t="s">
        <v>45891</v>
      </c>
      <c r="T14294" t="s">
        <v>46411</v>
      </c>
      <c r="U14294" t="s">
        <v>58311</v>
      </c>
      <c r="W14294" t="s">
        <v>44793</v>
      </c>
      <c r="X14294" t="s">
        <v>44928</v>
      </c>
    </row>
    <row r="14295" spans="1:24">
      <c r="A14295">
        <f>HYPERLINK("https://www.philgeps.gov.ph/GEPSNONPILOT/Tender/SplashBidNoticeAbstractUI.aspx?menuIndex=3&amp;refID=7043360&amp;Result=3","7043360")</f>
        <v>0</v>
      </c>
      <c r="B14295" t="s">
        <v>3458</v>
      </c>
      <c r="C14295" t="s">
        <v>17207</v>
      </c>
      <c r="D14295" t="s">
        <v>18133</v>
      </c>
      <c r="E14295" t="s">
        <v>28240</v>
      </c>
      <c r="F14295" t="s">
        <v>31362</v>
      </c>
      <c r="G14295" t="s">
        <v>31369</v>
      </c>
      <c r="H14295" t="s">
        <v>31378</v>
      </c>
      <c r="I14295" t="s">
        <v>31386</v>
      </c>
      <c r="J14295" t="s">
        <v>40141</v>
      </c>
      <c r="K14295" t="s">
        <v>40920</v>
      </c>
      <c r="M14295" t="s">
        <v>44793</v>
      </c>
      <c r="N14295" t="s">
        <v>44905</v>
      </c>
      <c r="O14295" t="s">
        <v>44906</v>
      </c>
      <c r="P14295">
        <v>0</v>
      </c>
      <c r="Q14295">
        <v>2</v>
      </c>
      <c r="R14295" t="s">
        <v>44925</v>
      </c>
      <c r="S14295" t="s">
        <v>45891</v>
      </c>
      <c r="T14295" t="s">
        <v>46411</v>
      </c>
      <c r="U14295" t="s">
        <v>58312</v>
      </c>
      <c r="W14295" t="s">
        <v>44793</v>
      </c>
      <c r="X14295" t="s">
        <v>44928</v>
      </c>
    </row>
    <row r="14296" spans="1:24">
      <c r="A14296">
        <f>HYPERLINK("https://www.philgeps.gov.ph/GEPSNONPILOT/Tender/SplashBidNoticeAbstractUI.aspx?menuIndex=3&amp;refID=7043255&amp;Result=3","7043255")</f>
        <v>0</v>
      </c>
      <c r="B14296" t="s">
        <v>1544</v>
      </c>
      <c r="C14296" t="s">
        <v>17208</v>
      </c>
      <c r="D14296" t="s">
        <v>18172</v>
      </c>
      <c r="E14296" t="s">
        <v>30555</v>
      </c>
      <c r="F14296" t="s">
        <v>31362</v>
      </c>
      <c r="G14296" t="s">
        <v>31369</v>
      </c>
      <c r="H14296" t="s">
        <v>31378</v>
      </c>
      <c r="I14296" t="s">
        <v>31386</v>
      </c>
      <c r="J14296" t="s">
        <v>39574</v>
      </c>
      <c r="K14296" t="s">
        <v>40675</v>
      </c>
      <c r="M14296" t="s">
        <v>42591</v>
      </c>
      <c r="N14296" t="s">
        <v>44905</v>
      </c>
      <c r="O14296" t="s">
        <v>44906</v>
      </c>
      <c r="P14296">
        <v>0</v>
      </c>
      <c r="Q14296">
        <v>0</v>
      </c>
      <c r="R14296" t="s">
        <v>44925</v>
      </c>
      <c r="S14296" t="s">
        <v>45891</v>
      </c>
      <c r="T14296" t="s">
        <v>46447</v>
      </c>
      <c r="U14296" t="s">
        <v>58313</v>
      </c>
      <c r="W14296" t="s">
        <v>42591</v>
      </c>
      <c r="X14296" t="s">
        <v>44929</v>
      </c>
    </row>
    <row r="14297" spans="1:24">
      <c r="A14297">
        <f>HYPERLINK("https://www.philgeps.gov.ph/GEPSNONPILOT/Tender/SplashBidNoticeAbstractUI.aspx?menuIndex=3&amp;refID=7043248&amp;Result=3","7043248")</f>
        <v>0</v>
      </c>
      <c r="B14297" t="s">
        <v>1544</v>
      </c>
      <c r="C14297" t="s">
        <v>17209</v>
      </c>
      <c r="D14297" t="s">
        <v>18172</v>
      </c>
      <c r="E14297" t="s">
        <v>30556</v>
      </c>
      <c r="F14297" t="s">
        <v>31362</v>
      </c>
      <c r="G14297" t="s">
        <v>31369</v>
      </c>
      <c r="H14297" t="s">
        <v>31378</v>
      </c>
      <c r="I14297" t="s">
        <v>31386</v>
      </c>
      <c r="J14297" t="s">
        <v>40142</v>
      </c>
      <c r="K14297" t="s">
        <v>40675</v>
      </c>
      <c r="M14297" t="s">
        <v>42591</v>
      </c>
      <c r="N14297" t="s">
        <v>44905</v>
      </c>
      <c r="O14297" t="s">
        <v>44906</v>
      </c>
      <c r="P14297">
        <v>0</v>
      </c>
      <c r="Q14297">
        <v>0</v>
      </c>
      <c r="R14297" t="s">
        <v>44925</v>
      </c>
      <c r="S14297" t="s">
        <v>45891</v>
      </c>
      <c r="T14297" t="s">
        <v>46447</v>
      </c>
      <c r="U14297" t="s">
        <v>58314</v>
      </c>
      <c r="W14297" t="s">
        <v>42591</v>
      </c>
      <c r="X14297" t="s">
        <v>44929</v>
      </c>
    </row>
    <row r="14298" spans="1:24">
      <c r="A14298">
        <f>HYPERLINK("https://www.philgeps.gov.ph/GEPSNONPILOT/Tender/SplashBidNoticeAbstractUI.aspx?menuIndex=3&amp;refID=7043245&amp;Result=3","7043245")</f>
        <v>0</v>
      </c>
      <c r="B14298" t="s">
        <v>1544</v>
      </c>
      <c r="C14298" t="s">
        <v>17210</v>
      </c>
      <c r="D14298" t="s">
        <v>18172</v>
      </c>
      <c r="E14298" t="s">
        <v>30557</v>
      </c>
      <c r="F14298" t="s">
        <v>31362</v>
      </c>
      <c r="G14298" t="s">
        <v>31369</v>
      </c>
      <c r="H14298" t="s">
        <v>31378</v>
      </c>
      <c r="I14298" t="s">
        <v>31386</v>
      </c>
      <c r="J14298" t="s">
        <v>40143</v>
      </c>
      <c r="K14298" t="s">
        <v>40675</v>
      </c>
      <c r="M14298" t="s">
        <v>42591</v>
      </c>
      <c r="N14298" t="s">
        <v>44905</v>
      </c>
      <c r="O14298" t="s">
        <v>44906</v>
      </c>
      <c r="P14298">
        <v>0</v>
      </c>
      <c r="Q14298">
        <v>0</v>
      </c>
      <c r="R14298" t="s">
        <v>44925</v>
      </c>
      <c r="S14298" t="s">
        <v>45891</v>
      </c>
      <c r="T14298" t="s">
        <v>46447</v>
      </c>
      <c r="U14298" t="s">
        <v>58315</v>
      </c>
      <c r="W14298" t="s">
        <v>42591</v>
      </c>
      <c r="X14298" t="s">
        <v>44929</v>
      </c>
    </row>
    <row r="14299" spans="1:24">
      <c r="A14299">
        <f>HYPERLINK("https://www.philgeps.gov.ph/GEPSNONPILOT/Tender/SplashBidNoticeAbstractUI.aspx?menuIndex=3&amp;refID=7042860&amp;Result=3","7042860")</f>
        <v>0</v>
      </c>
      <c r="B14299" t="s">
        <v>832</v>
      </c>
      <c r="C14299" t="s">
        <v>17211</v>
      </c>
      <c r="E14299" t="s">
        <v>30558</v>
      </c>
      <c r="F14299" t="s">
        <v>31362</v>
      </c>
      <c r="G14299" t="s">
        <v>31369</v>
      </c>
      <c r="H14299" t="s">
        <v>15799</v>
      </c>
      <c r="I14299" t="s">
        <v>31382</v>
      </c>
      <c r="J14299" t="s">
        <v>34265</v>
      </c>
      <c r="K14299" t="s">
        <v>40662</v>
      </c>
      <c r="M14299" t="s">
        <v>41806</v>
      </c>
      <c r="N14299" t="s">
        <v>44905</v>
      </c>
      <c r="O14299" t="s">
        <v>44906</v>
      </c>
      <c r="Q14299">
        <v>12</v>
      </c>
      <c r="R14299" t="s">
        <v>44925</v>
      </c>
      <c r="S14299" t="s">
        <v>45912</v>
      </c>
      <c r="T14299" t="s">
        <v>46428</v>
      </c>
      <c r="U14299" t="s">
        <v>58251</v>
      </c>
      <c r="W14299" t="s">
        <v>41806</v>
      </c>
      <c r="X14299" t="s">
        <v>44929</v>
      </c>
    </row>
    <row r="14300" spans="1:24">
      <c r="A14300">
        <f>HYPERLINK("https://www.philgeps.gov.ph/GEPSNONPILOT/Tender/SplashBidNoticeAbstractUI.aspx?menuIndex=3&amp;refID=7042907&amp;Result=3","7042907")</f>
        <v>0</v>
      </c>
      <c r="B14300" t="s">
        <v>832</v>
      </c>
      <c r="C14300" t="s">
        <v>17212</v>
      </c>
      <c r="E14300" t="s">
        <v>30559</v>
      </c>
      <c r="F14300" t="s">
        <v>31362</v>
      </c>
      <c r="G14300" t="s">
        <v>31369</v>
      </c>
      <c r="H14300" t="s">
        <v>15799</v>
      </c>
      <c r="I14300" t="s">
        <v>31382</v>
      </c>
      <c r="J14300" t="s">
        <v>32553</v>
      </c>
      <c r="K14300" t="s">
        <v>40662</v>
      </c>
      <c r="M14300" t="s">
        <v>41806</v>
      </c>
      <c r="N14300" t="s">
        <v>44905</v>
      </c>
      <c r="O14300" t="s">
        <v>44906</v>
      </c>
      <c r="Q14300">
        <v>14</v>
      </c>
      <c r="R14300" t="s">
        <v>44925</v>
      </c>
      <c r="S14300" t="s">
        <v>45913</v>
      </c>
      <c r="T14300" t="s">
        <v>46428</v>
      </c>
      <c r="U14300" t="s">
        <v>58251</v>
      </c>
      <c r="W14300" t="s">
        <v>41806</v>
      </c>
      <c r="X14300" t="s">
        <v>44929</v>
      </c>
    </row>
    <row r="14301" spans="1:24">
      <c r="A14301">
        <f>HYPERLINK("https://www.philgeps.gov.ph/GEPSNONPILOT/Tender/SplashBidNoticeAbstractUI.aspx?menuIndex=3&amp;refID=7043237&amp;Result=3","7043237")</f>
        <v>0</v>
      </c>
      <c r="B14301" t="s">
        <v>1544</v>
      </c>
      <c r="C14301" t="s">
        <v>17213</v>
      </c>
      <c r="D14301" t="s">
        <v>18172</v>
      </c>
      <c r="E14301" t="s">
        <v>30560</v>
      </c>
      <c r="F14301" t="s">
        <v>31362</v>
      </c>
      <c r="G14301" t="s">
        <v>31369</v>
      </c>
      <c r="H14301" t="s">
        <v>31378</v>
      </c>
      <c r="I14301" t="s">
        <v>31386</v>
      </c>
      <c r="J14301" t="s">
        <v>40144</v>
      </c>
      <c r="K14301" t="s">
        <v>40665</v>
      </c>
      <c r="M14301" t="s">
        <v>42591</v>
      </c>
      <c r="N14301" t="s">
        <v>44905</v>
      </c>
      <c r="O14301" t="s">
        <v>44906</v>
      </c>
      <c r="P14301">
        <v>0</v>
      </c>
      <c r="Q14301">
        <v>0</v>
      </c>
      <c r="R14301" t="s">
        <v>44925</v>
      </c>
      <c r="S14301" t="s">
        <v>45891</v>
      </c>
      <c r="T14301" t="s">
        <v>46447</v>
      </c>
      <c r="U14301" t="s">
        <v>58316</v>
      </c>
      <c r="W14301" t="s">
        <v>42591</v>
      </c>
      <c r="X14301" t="s">
        <v>44929</v>
      </c>
    </row>
    <row r="14302" spans="1:24">
      <c r="A14302">
        <f>HYPERLINK("https://www.philgeps.gov.ph/GEPSNONPILOT/Tender/SplashBidNoticeAbstractUI.aspx?menuIndex=3&amp;refID=7043234&amp;Result=3","7043234")</f>
        <v>0</v>
      </c>
      <c r="B14302" t="s">
        <v>1544</v>
      </c>
      <c r="C14302" t="s">
        <v>17214</v>
      </c>
      <c r="D14302" t="s">
        <v>18172</v>
      </c>
      <c r="E14302" t="s">
        <v>30561</v>
      </c>
      <c r="F14302" t="s">
        <v>31362</v>
      </c>
      <c r="G14302" t="s">
        <v>31369</v>
      </c>
      <c r="H14302" t="s">
        <v>31378</v>
      </c>
      <c r="I14302" t="s">
        <v>31386</v>
      </c>
      <c r="J14302" t="s">
        <v>40144</v>
      </c>
      <c r="K14302" t="s">
        <v>40665</v>
      </c>
      <c r="M14302" t="s">
        <v>42591</v>
      </c>
      <c r="N14302" t="s">
        <v>44905</v>
      </c>
      <c r="O14302" t="s">
        <v>44906</v>
      </c>
      <c r="P14302">
        <v>0</v>
      </c>
      <c r="Q14302">
        <v>0</v>
      </c>
      <c r="R14302" t="s">
        <v>44925</v>
      </c>
      <c r="S14302" t="s">
        <v>45891</v>
      </c>
      <c r="T14302" t="s">
        <v>46447</v>
      </c>
      <c r="U14302" t="s">
        <v>58317</v>
      </c>
      <c r="W14302" t="s">
        <v>42591</v>
      </c>
      <c r="X14302" t="s">
        <v>44929</v>
      </c>
    </row>
    <row r="14303" spans="1:24">
      <c r="A14303">
        <f>HYPERLINK("https://www.philgeps.gov.ph/GEPSNONPILOT/Tender/SplashBidNoticeAbstractUI.aspx?menuIndex=3&amp;refID=7036167&amp;Result=3","7036167")</f>
        <v>0</v>
      </c>
      <c r="B14303" t="s">
        <v>1284</v>
      </c>
      <c r="C14303" t="s">
        <v>17215</v>
      </c>
      <c r="D14303" t="s">
        <v>18110</v>
      </c>
      <c r="E14303" t="s">
        <v>30562</v>
      </c>
      <c r="F14303" t="s">
        <v>31362</v>
      </c>
      <c r="G14303" t="s">
        <v>31369</v>
      </c>
      <c r="H14303" t="s">
        <v>31378</v>
      </c>
      <c r="I14303" t="s">
        <v>31386</v>
      </c>
      <c r="J14303" t="s">
        <v>31542</v>
      </c>
      <c r="K14303" t="s">
        <v>40662</v>
      </c>
      <c r="M14303" t="s">
        <v>42301</v>
      </c>
      <c r="N14303" t="s">
        <v>44905</v>
      </c>
      <c r="O14303" t="s">
        <v>44906</v>
      </c>
      <c r="P14303">
        <v>0</v>
      </c>
      <c r="Q14303">
        <v>0</v>
      </c>
      <c r="R14303" t="s">
        <v>44925</v>
      </c>
      <c r="S14303" t="s">
        <v>45891</v>
      </c>
      <c r="T14303" t="s">
        <v>46434</v>
      </c>
      <c r="U14303" t="s">
        <v>58318</v>
      </c>
      <c r="W14303" t="s">
        <v>42301</v>
      </c>
      <c r="X14303" t="s">
        <v>44931</v>
      </c>
    </row>
    <row r="14304" spans="1:24">
      <c r="A14304">
        <f>HYPERLINK("https://www.philgeps.gov.ph/GEPSNONPILOT/Tender/SplashBidNoticeAbstractUI.aspx?menuIndex=3&amp;refID=7043222&amp;Result=3","7043222")</f>
        <v>0</v>
      </c>
      <c r="B14304" t="s">
        <v>1544</v>
      </c>
      <c r="C14304" t="s">
        <v>17216</v>
      </c>
      <c r="D14304" t="s">
        <v>18172</v>
      </c>
      <c r="E14304" t="s">
        <v>30563</v>
      </c>
      <c r="F14304" t="s">
        <v>31362</v>
      </c>
      <c r="G14304" t="s">
        <v>31369</v>
      </c>
      <c r="H14304" t="s">
        <v>31378</v>
      </c>
      <c r="I14304" t="s">
        <v>31386</v>
      </c>
      <c r="J14304" t="s">
        <v>40145</v>
      </c>
      <c r="K14304" t="s">
        <v>40768</v>
      </c>
      <c r="M14304" t="s">
        <v>42591</v>
      </c>
      <c r="N14304" t="s">
        <v>44905</v>
      </c>
      <c r="O14304" t="s">
        <v>44906</v>
      </c>
      <c r="P14304">
        <v>0</v>
      </c>
      <c r="Q14304">
        <v>1</v>
      </c>
      <c r="R14304" t="s">
        <v>44925</v>
      </c>
      <c r="S14304" t="s">
        <v>45891</v>
      </c>
      <c r="T14304" t="s">
        <v>46447</v>
      </c>
      <c r="U14304" t="s">
        <v>58319</v>
      </c>
      <c r="W14304" t="s">
        <v>42591</v>
      </c>
      <c r="X14304" t="s">
        <v>44929</v>
      </c>
    </row>
    <row r="14305" spans="1:24">
      <c r="A14305">
        <f>HYPERLINK("https://www.philgeps.gov.ph/GEPSNONPILOT/Tender/SplashBidNoticeAbstractUI.aspx?menuIndex=3&amp;refID=7043242&amp;Result=3","7043242")</f>
        <v>0</v>
      </c>
      <c r="B14305" t="s">
        <v>1544</v>
      </c>
      <c r="C14305" t="s">
        <v>17217</v>
      </c>
      <c r="D14305" t="s">
        <v>18172</v>
      </c>
      <c r="E14305" t="s">
        <v>30564</v>
      </c>
      <c r="F14305" t="s">
        <v>31362</v>
      </c>
      <c r="G14305" t="s">
        <v>31369</v>
      </c>
      <c r="H14305" t="s">
        <v>31378</v>
      </c>
      <c r="I14305" t="s">
        <v>31386</v>
      </c>
      <c r="J14305" t="s">
        <v>40146</v>
      </c>
      <c r="K14305" t="s">
        <v>40694</v>
      </c>
      <c r="M14305" t="s">
        <v>42591</v>
      </c>
      <c r="N14305" t="s">
        <v>44905</v>
      </c>
      <c r="O14305" t="s">
        <v>44906</v>
      </c>
      <c r="P14305">
        <v>0</v>
      </c>
      <c r="Q14305">
        <v>0</v>
      </c>
      <c r="R14305" t="s">
        <v>44925</v>
      </c>
      <c r="S14305" t="s">
        <v>45891</v>
      </c>
      <c r="T14305" t="s">
        <v>46447</v>
      </c>
      <c r="U14305" t="s">
        <v>58320</v>
      </c>
      <c r="W14305" t="s">
        <v>42591</v>
      </c>
      <c r="X14305" t="s">
        <v>44929</v>
      </c>
    </row>
    <row r="14306" spans="1:24">
      <c r="A14306">
        <f>HYPERLINK("https://www.philgeps.gov.ph/GEPSNONPILOT/Tender/SplashBidNoticeAbstractUI.aspx?menuIndex=3&amp;refID=7043216&amp;Result=3","7043216")</f>
        <v>0</v>
      </c>
      <c r="B14306" t="s">
        <v>1544</v>
      </c>
      <c r="C14306" t="s">
        <v>17218</v>
      </c>
      <c r="D14306" t="s">
        <v>18172</v>
      </c>
      <c r="E14306" t="s">
        <v>30565</v>
      </c>
      <c r="F14306" t="s">
        <v>31362</v>
      </c>
      <c r="G14306" t="s">
        <v>31369</v>
      </c>
      <c r="H14306" t="s">
        <v>31378</v>
      </c>
      <c r="I14306" t="s">
        <v>31386</v>
      </c>
      <c r="J14306" t="s">
        <v>40147</v>
      </c>
      <c r="K14306" t="s">
        <v>40682</v>
      </c>
      <c r="M14306" t="s">
        <v>42591</v>
      </c>
      <c r="N14306" t="s">
        <v>44905</v>
      </c>
      <c r="O14306" t="s">
        <v>44906</v>
      </c>
      <c r="P14306">
        <v>0</v>
      </c>
      <c r="Q14306">
        <v>1</v>
      </c>
      <c r="R14306" t="s">
        <v>44925</v>
      </c>
      <c r="S14306" t="s">
        <v>45891</v>
      </c>
      <c r="T14306" t="s">
        <v>46447</v>
      </c>
      <c r="U14306" t="s">
        <v>58321</v>
      </c>
      <c r="W14306" t="s">
        <v>42591</v>
      </c>
      <c r="X14306" t="s">
        <v>44929</v>
      </c>
    </row>
    <row r="14307" spans="1:24">
      <c r="A14307">
        <f>HYPERLINK("https://www.philgeps.gov.ph/GEPSNONPILOT/Tender/SplashBidNoticeAbstractUI.aspx?menuIndex=3&amp;refID=7043405&amp;Result=3","7043405")</f>
        <v>0</v>
      </c>
      <c r="B14307" t="s">
        <v>3458</v>
      </c>
      <c r="C14307" t="s">
        <v>17219</v>
      </c>
      <c r="D14307" t="s">
        <v>18133</v>
      </c>
      <c r="E14307" t="s">
        <v>30182</v>
      </c>
      <c r="F14307" t="s">
        <v>31362</v>
      </c>
      <c r="G14307" t="s">
        <v>31369</v>
      </c>
      <c r="H14307" t="s">
        <v>31378</v>
      </c>
      <c r="I14307" t="s">
        <v>31386</v>
      </c>
      <c r="J14307" t="s">
        <v>40148</v>
      </c>
      <c r="K14307" t="s">
        <v>40680</v>
      </c>
      <c r="M14307" t="s">
        <v>44793</v>
      </c>
      <c r="N14307" t="s">
        <v>44905</v>
      </c>
      <c r="O14307" t="s">
        <v>44906</v>
      </c>
      <c r="P14307">
        <v>0</v>
      </c>
      <c r="Q14307">
        <v>1</v>
      </c>
      <c r="R14307" t="s">
        <v>44925</v>
      </c>
      <c r="S14307" t="s">
        <v>45891</v>
      </c>
      <c r="T14307" t="s">
        <v>46411</v>
      </c>
      <c r="U14307" t="s">
        <v>58322</v>
      </c>
      <c r="W14307" t="s">
        <v>44793</v>
      </c>
      <c r="X14307" t="s">
        <v>44928</v>
      </c>
    </row>
    <row r="14308" spans="1:24">
      <c r="A14308">
        <f>HYPERLINK("https://www.philgeps.gov.ph/GEPSNONPILOT/Tender/SplashBidNoticeAbstractUI.aspx?menuIndex=3&amp;refID=7043709&amp;Result=3","7043709")</f>
        <v>0</v>
      </c>
      <c r="B14308" t="s">
        <v>396</v>
      </c>
      <c r="C14308" t="s">
        <v>17220</v>
      </c>
      <c r="D14308" t="s">
        <v>18155</v>
      </c>
      <c r="E14308" t="s">
        <v>30566</v>
      </c>
      <c r="F14308" t="s">
        <v>31362</v>
      </c>
      <c r="G14308" t="s">
        <v>31369</v>
      </c>
      <c r="H14308" t="s">
        <v>31378</v>
      </c>
      <c r="I14308" t="s">
        <v>31386</v>
      </c>
      <c r="J14308" t="s">
        <v>31602</v>
      </c>
      <c r="K14308" t="s">
        <v>40898</v>
      </c>
      <c r="M14308" t="s">
        <v>43643</v>
      </c>
      <c r="N14308" t="s">
        <v>44905</v>
      </c>
      <c r="O14308" t="s">
        <v>44906</v>
      </c>
      <c r="P14308">
        <v>0</v>
      </c>
      <c r="Q14308">
        <v>5</v>
      </c>
      <c r="R14308" t="s">
        <v>44925</v>
      </c>
      <c r="S14308" t="s">
        <v>45891</v>
      </c>
      <c r="T14308" t="s">
        <v>46454</v>
      </c>
      <c r="U14308" t="s">
        <v>53717</v>
      </c>
      <c r="W14308" t="s">
        <v>43643</v>
      </c>
      <c r="X14308" t="s">
        <v>44927</v>
      </c>
    </row>
    <row r="14309" spans="1:24">
      <c r="A14309">
        <f>HYPERLINK("https://www.philgeps.gov.ph/GEPSNONPILOT/Tender/SplashBidNoticeAbstractUI.aspx?menuIndex=3&amp;refID=7043699&amp;Result=3","7043699")</f>
        <v>0</v>
      </c>
      <c r="B14309" t="s">
        <v>3459</v>
      </c>
      <c r="C14309" t="s">
        <v>17221</v>
      </c>
      <c r="D14309" t="s">
        <v>18147</v>
      </c>
      <c r="E14309" t="s">
        <v>30567</v>
      </c>
      <c r="F14309" t="s">
        <v>31362</v>
      </c>
      <c r="G14309" t="s">
        <v>31369</v>
      </c>
      <c r="H14309" t="s">
        <v>15799</v>
      </c>
      <c r="I14309" t="s">
        <v>31455</v>
      </c>
      <c r="J14309" t="s">
        <v>40149</v>
      </c>
      <c r="K14309" t="s">
        <v>40670</v>
      </c>
      <c r="M14309" t="s">
        <v>44794</v>
      </c>
      <c r="N14309" t="s">
        <v>44905</v>
      </c>
      <c r="O14309" t="s">
        <v>44906</v>
      </c>
      <c r="P14309">
        <v>0</v>
      </c>
      <c r="Q14309">
        <v>3</v>
      </c>
      <c r="R14309" t="s">
        <v>44925</v>
      </c>
      <c r="S14309" t="s">
        <v>45891</v>
      </c>
      <c r="T14309" t="s">
        <v>46432</v>
      </c>
      <c r="U14309" t="s">
        <v>58323</v>
      </c>
      <c r="W14309" t="s">
        <v>44794</v>
      </c>
      <c r="X14309" t="s">
        <v>44927</v>
      </c>
    </row>
    <row r="14310" spans="1:24">
      <c r="A14310">
        <f>HYPERLINK("https://www.philgeps.gov.ph/GEPSNONPILOT/Tender/SplashBidNoticeAbstractUI.aspx?menuIndex=3&amp;refID=7043698&amp;Result=3","7043698")</f>
        <v>0</v>
      </c>
      <c r="B14310" t="s">
        <v>3459</v>
      </c>
      <c r="C14310" t="s">
        <v>17222</v>
      </c>
      <c r="D14310" t="s">
        <v>18147</v>
      </c>
      <c r="E14310" t="s">
        <v>30568</v>
      </c>
      <c r="F14310" t="s">
        <v>31362</v>
      </c>
      <c r="G14310" t="s">
        <v>31369</v>
      </c>
      <c r="H14310" t="s">
        <v>31378</v>
      </c>
      <c r="I14310" t="s">
        <v>31386</v>
      </c>
      <c r="J14310" t="s">
        <v>40150</v>
      </c>
      <c r="K14310" t="s">
        <v>40683</v>
      </c>
      <c r="M14310" t="s">
        <v>44794</v>
      </c>
      <c r="N14310" t="s">
        <v>44905</v>
      </c>
      <c r="O14310" t="s">
        <v>44906</v>
      </c>
      <c r="P14310">
        <v>0</v>
      </c>
      <c r="Q14310">
        <v>0</v>
      </c>
      <c r="R14310" t="s">
        <v>44925</v>
      </c>
      <c r="S14310" t="s">
        <v>45891</v>
      </c>
      <c r="T14310" t="s">
        <v>46432</v>
      </c>
      <c r="U14310" t="s">
        <v>58323</v>
      </c>
      <c r="W14310" t="s">
        <v>44794</v>
      </c>
      <c r="X14310" t="s">
        <v>44927</v>
      </c>
    </row>
    <row r="14311" spans="1:24">
      <c r="A14311">
        <f>HYPERLINK("https://www.philgeps.gov.ph/GEPSNONPILOT/Tender/SplashBidNoticeAbstractUI.aspx?menuIndex=3&amp;refID=7043616&amp;Result=3","7043616")</f>
        <v>0</v>
      </c>
      <c r="B14311" t="s">
        <v>1544</v>
      </c>
      <c r="C14311" t="s">
        <v>17223</v>
      </c>
      <c r="D14311" t="s">
        <v>18172</v>
      </c>
      <c r="E14311" t="s">
        <v>30569</v>
      </c>
      <c r="F14311" t="s">
        <v>31362</v>
      </c>
      <c r="G14311" t="s">
        <v>31369</v>
      </c>
      <c r="H14311" t="s">
        <v>31378</v>
      </c>
      <c r="I14311" t="s">
        <v>31386</v>
      </c>
      <c r="J14311" t="s">
        <v>40151</v>
      </c>
      <c r="K14311" t="s">
        <v>40682</v>
      </c>
      <c r="M14311" t="s">
        <v>42591</v>
      </c>
      <c r="N14311" t="s">
        <v>44905</v>
      </c>
      <c r="O14311" t="s">
        <v>44906</v>
      </c>
      <c r="P14311">
        <v>0</v>
      </c>
      <c r="Q14311">
        <v>0</v>
      </c>
      <c r="R14311" t="s">
        <v>44925</v>
      </c>
      <c r="S14311" t="s">
        <v>45891</v>
      </c>
      <c r="T14311" t="s">
        <v>46447</v>
      </c>
      <c r="U14311" t="s">
        <v>58324</v>
      </c>
      <c r="W14311" t="s">
        <v>42591</v>
      </c>
      <c r="X14311" t="s">
        <v>44928</v>
      </c>
    </row>
    <row r="14312" spans="1:24">
      <c r="A14312">
        <f>HYPERLINK("https://www.philgeps.gov.ph/GEPSNONPILOT/Tender/SplashBidNoticeAbstractUI.aspx?menuIndex=3&amp;refID=7043345&amp;Result=3","7043345")</f>
        <v>0</v>
      </c>
      <c r="B14312" t="s">
        <v>3458</v>
      </c>
      <c r="C14312" t="s">
        <v>17224</v>
      </c>
      <c r="D14312" t="s">
        <v>18133</v>
      </c>
      <c r="E14312" t="s">
        <v>25769</v>
      </c>
      <c r="F14312" t="s">
        <v>31362</v>
      </c>
      <c r="G14312" t="s">
        <v>31369</v>
      </c>
      <c r="H14312" t="s">
        <v>31378</v>
      </c>
      <c r="I14312" t="s">
        <v>31386</v>
      </c>
      <c r="J14312" t="s">
        <v>40140</v>
      </c>
      <c r="K14312" t="s">
        <v>40708</v>
      </c>
      <c r="M14312" t="s">
        <v>44793</v>
      </c>
      <c r="N14312" t="s">
        <v>44905</v>
      </c>
      <c r="O14312" t="s">
        <v>44906</v>
      </c>
      <c r="P14312">
        <v>0</v>
      </c>
      <c r="Q14312">
        <v>2</v>
      </c>
      <c r="R14312" t="s">
        <v>44925</v>
      </c>
      <c r="S14312" t="s">
        <v>45891</v>
      </c>
      <c r="T14312" t="s">
        <v>46411</v>
      </c>
      <c r="U14312" t="s">
        <v>58325</v>
      </c>
      <c r="W14312" t="s">
        <v>44793</v>
      </c>
      <c r="X14312" t="s">
        <v>44928</v>
      </c>
    </row>
    <row r="14313" spans="1:24">
      <c r="A14313">
        <f>HYPERLINK("https://www.philgeps.gov.ph/GEPSNONPILOT/Tender/SplashBidNoticeAbstractUI.aspx?menuIndex=3&amp;refID=7043578&amp;Result=3","7043578")</f>
        <v>0</v>
      </c>
      <c r="B14313" t="s">
        <v>1544</v>
      </c>
      <c r="C14313" t="s">
        <v>17225</v>
      </c>
      <c r="D14313" t="s">
        <v>18172</v>
      </c>
      <c r="E14313" t="s">
        <v>30570</v>
      </c>
      <c r="F14313" t="s">
        <v>31362</v>
      </c>
      <c r="G14313" t="s">
        <v>31369</v>
      </c>
      <c r="H14313" t="s">
        <v>31378</v>
      </c>
      <c r="I14313" t="s">
        <v>31386</v>
      </c>
      <c r="J14313" t="s">
        <v>40152</v>
      </c>
      <c r="K14313" t="s">
        <v>40679</v>
      </c>
      <c r="M14313" t="s">
        <v>42591</v>
      </c>
      <c r="N14313" t="s">
        <v>44905</v>
      </c>
      <c r="O14313" t="s">
        <v>44906</v>
      </c>
      <c r="P14313">
        <v>0</v>
      </c>
      <c r="Q14313">
        <v>1</v>
      </c>
      <c r="R14313" t="s">
        <v>44925</v>
      </c>
      <c r="S14313" t="s">
        <v>45891</v>
      </c>
      <c r="T14313" t="s">
        <v>46447</v>
      </c>
      <c r="U14313" t="s">
        <v>58326</v>
      </c>
      <c r="W14313" t="s">
        <v>42591</v>
      </c>
      <c r="X14313" t="s">
        <v>44928</v>
      </c>
    </row>
    <row r="14314" spans="1:24">
      <c r="A14314">
        <f>HYPERLINK("https://www.philgeps.gov.ph/GEPSNONPILOT/Tender/SplashBidNoticeAbstractUI.aspx?menuIndex=3&amp;refID=7043511&amp;Result=3","7043511")</f>
        <v>0</v>
      </c>
      <c r="B14314" t="s">
        <v>3460</v>
      </c>
      <c r="C14314" t="s">
        <v>17226</v>
      </c>
      <c r="D14314" t="s">
        <v>18132</v>
      </c>
      <c r="E14314" t="s">
        <v>30571</v>
      </c>
      <c r="F14314" t="s">
        <v>31362</v>
      </c>
      <c r="G14314" t="s">
        <v>31369</v>
      </c>
      <c r="H14314" t="s">
        <v>15799</v>
      </c>
      <c r="I14314" t="s">
        <v>31413</v>
      </c>
      <c r="J14314" t="s">
        <v>40153</v>
      </c>
      <c r="K14314" t="s">
        <v>40682</v>
      </c>
      <c r="M14314" t="s">
        <v>44795</v>
      </c>
      <c r="N14314" t="s">
        <v>44905</v>
      </c>
      <c r="O14314" t="s">
        <v>44906</v>
      </c>
      <c r="Q14314">
        <v>1</v>
      </c>
      <c r="R14314" t="s">
        <v>44925</v>
      </c>
      <c r="S14314" t="s">
        <v>45914</v>
      </c>
      <c r="T14314" t="s">
        <v>46481</v>
      </c>
      <c r="U14314" t="s">
        <v>58327</v>
      </c>
      <c r="W14314" t="s">
        <v>44795</v>
      </c>
      <c r="X14314" t="s">
        <v>44928</v>
      </c>
    </row>
    <row r="14315" spans="1:24">
      <c r="A14315">
        <f>HYPERLINK("https://www.philgeps.gov.ph/GEPSNONPILOT/Tender/SplashBidNoticeAbstractUI.aspx?menuIndex=3&amp;refID=7043500&amp;Result=3","7043500")</f>
        <v>0</v>
      </c>
      <c r="B14315" t="s">
        <v>3460</v>
      </c>
      <c r="C14315" t="s">
        <v>17227</v>
      </c>
      <c r="D14315" t="s">
        <v>18132</v>
      </c>
      <c r="E14315" t="s">
        <v>30572</v>
      </c>
      <c r="F14315" t="s">
        <v>31362</v>
      </c>
      <c r="G14315" t="s">
        <v>31369</v>
      </c>
      <c r="H14315" t="s">
        <v>15799</v>
      </c>
      <c r="I14315" t="s">
        <v>31413</v>
      </c>
      <c r="J14315" t="s">
        <v>31806</v>
      </c>
      <c r="K14315" t="s">
        <v>40682</v>
      </c>
      <c r="M14315" t="s">
        <v>44795</v>
      </c>
      <c r="N14315" t="s">
        <v>44905</v>
      </c>
      <c r="O14315" t="s">
        <v>44906</v>
      </c>
      <c r="P14315">
        <v>0</v>
      </c>
      <c r="Q14315">
        <v>1</v>
      </c>
      <c r="R14315" t="s">
        <v>44925</v>
      </c>
      <c r="S14315" t="s">
        <v>45891</v>
      </c>
      <c r="T14315" t="s">
        <v>46481</v>
      </c>
      <c r="U14315" t="s">
        <v>58328</v>
      </c>
      <c r="W14315" t="s">
        <v>44795</v>
      </c>
      <c r="X14315" t="s">
        <v>44928</v>
      </c>
    </row>
    <row r="14316" spans="1:24">
      <c r="A14316">
        <f>HYPERLINK("https://www.philgeps.gov.ph/GEPSNONPILOT/Tender/SplashBidNoticeAbstractUI.aspx?menuIndex=3&amp;refID=7043497&amp;Result=3","7043497")</f>
        <v>0</v>
      </c>
      <c r="B14316" t="s">
        <v>3460</v>
      </c>
      <c r="C14316" t="s">
        <v>17228</v>
      </c>
      <c r="D14316" t="s">
        <v>18132</v>
      </c>
      <c r="E14316" t="s">
        <v>30573</v>
      </c>
      <c r="F14316" t="s">
        <v>31362</v>
      </c>
      <c r="G14316" t="s">
        <v>31369</v>
      </c>
      <c r="H14316" t="s">
        <v>15799</v>
      </c>
      <c r="I14316" t="s">
        <v>31413</v>
      </c>
      <c r="J14316" t="s">
        <v>40154</v>
      </c>
      <c r="K14316" t="s">
        <v>40682</v>
      </c>
      <c r="M14316" t="s">
        <v>44795</v>
      </c>
      <c r="N14316" t="s">
        <v>44905</v>
      </c>
      <c r="O14316" t="s">
        <v>44906</v>
      </c>
      <c r="P14316">
        <v>0</v>
      </c>
      <c r="Q14316">
        <v>5</v>
      </c>
      <c r="R14316" t="s">
        <v>44925</v>
      </c>
      <c r="S14316" t="s">
        <v>45891</v>
      </c>
      <c r="T14316" t="s">
        <v>46481</v>
      </c>
      <c r="U14316" t="s">
        <v>58329</v>
      </c>
      <c r="W14316" t="s">
        <v>44795</v>
      </c>
      <c r="X14316" t="s">
        <v>44928</v>
      </c>
    </row>
    <row r="14317" spans="1:24">
      <c r="A14317">
        <f>HYPERLINK("https://www.philgeps.gov.ph/GEPSNONPILOT/Tender/SplashBidNoticeAbstractUI.aspx?menuIndex=3&amp;refID=7043493&amp;Result=3","7043493")</f>
        <v>0</v>
      </c>
      <c r="B14317" t="s">
        <v>3460</v>
      </c>
      <c r="C14317" t="s">
        <v>17229</v>
      </c>
      <c r="D14317" t="s">
        <v>18132</v>
      </c>
      <c r="E14317" t="s">
        <v>30574</v>
      </c>
      <c r="F14317" t="s">
        <v>31362</v>
      </c>
      <c r="G14317" t="s">
        <v>31369</v>
      </c>
      <c r="H14317" t="s">
        <v>15799</v>
      </c>
      <c r="I14317" t="s">
        <v>31413</v>
      </c>
      <c r="J14317" t="s">
        <v>33980</v>
      </c>
      <c r="K14317" t="s">
        <v>40682</v>
      </c>
      <c r="M14317" t="s">
        <v>44795</v>
      </c>
      <c r="N14317" t="s">
        <v>44905</v>
      </c>
      <c r="O14317" t="s">
        <v>44906</v>
      </c>
      <c r="P14317">
        <v>0</v>
      </c>
      <c r="Q14317">
        <v>5</v>
      </c>
      <c r="R14317" t="s">
        <v>44925</v>
      </c>
      <c r="S14317" t="s">
        <v>45891</v>
      </c>
      <c r="T14317" t="s">
        <v>46481</v>
      </c>
      <c r="U14317" t="s">
        <v>58330</v>
      </c>
      <c r="W14317" t="s">
        <v>44795</v>
      </c>
      <c r="X14317" t="s">
        <v>44928</v>
      </c>
    </row>
    <row r="14318" spans="1:24">
      <c r="A14318">
        <f>HYPERLINK("https://www.philgeps.gov.ph/GEPSNONPILOT/Tender/SplashBidNoticeAbstractUI.aspx?menuIndex=3&amp;refID=7043487&amp;Result=3","7043487")</f>
        <v>0</v>
      </c>
      <c r="B14318" t="s">
        <v>3460</v>
      </c>
      <c r="C14318" t="s">
        <v>17230</v>
      </c>
      <c r="D14318" t="s">
        <v>18132</v>
      </c>
      <c r="E14318" t="s">
        <v>30575</v>
      </c>
      <c r="F14318" t="s">
        <v>31362</v>
      </c>
      <c r="G14318" t="s">
        <v>31369</v>
      </c>
      <c r="H14318" t="s">
        <v>15799</v>
      </c>
      <c r="I14318" t="s">
        <v>31413</v>
      </c>
      <c r="J14318" t="s">
        <v>40155</v>
      </c>
      <c r="K14318" t="s">
        <v>40682</v>
      </c>
      <c r="M14318" t="s">
        <v>44795</v>
      </c>
      <c r="N14318" t="s">
        <v>44905</v>
      </c>
      <c r="O14318" t="s">
        <v>44906</v>
      </c>
      <c r="P14318">
        <v>0</v>
      </c>
      <c r="Q14318">
        <v>4</v>
      </c>
      <c r="R14318" t="s">
        <v>44925</v>
      </c>
      <c r="S14318" t="s">
        <v>45891</v>
      </c>
      <c r="T14318" t="s">
        <v>46481</v>
      </c>
      <c r="U14318" t="s">
        <v>58331</v>
      </c>
      <c r="W14318" t="s">
        <v>44795</v>
      </c>
      <c r="X14318" t="s">
        <v>44928</v>
      </c>
    </row>
    <row r="14319" spans="1:24">
      <c r="A14319">
        <f>HYPERLINK("https://www.philgeps.gov.ph/GEPSNONPILOT/Tender/SplashBidNoticeAbstractUI.aspx?menuIndex=3&amp;refID=7042485&amp;Result=3","7042485")</f>
        <v>0</v>
      </c>
      <c r="B14319" t="s">
        <v>3461</v>
      </c>
      <c r="C14319" t="s">
        <v>17231</v>
      </c>
      <c r="D14319" t="s">
        <v>18148</v>
      </c>
      <c r="E14319" t="s">
        <v>19977</v>
      </c>
      <c r="F14319" t="s">
        <v>31362</v>
      </c>
      <c r="G14319" t="s">
        <v>31369</v>
      </c>
      <c r="H14319" t="s">
        <v>31378</v>
      </c>
      <c r="I14319" t="s">
        <v>31435</v>
      </c>
      <c r="J14319" t="s">
        <v>33868</v>
      </c>
      <c r="K14319" t="s">
        <v>40665</v>
      </c>
      <c r="M14319" t="s">
        <v>44796</v>
      </c>
      <c r="N14319" t="s">
        <v>44905</v>
      </c>
      <c r="O14319" t="s">
        <v>44906</v>
      </c>
      <c r="P14319">
        <v>0</v>
      </c>
      <c r="Q14319">
        <v>2</v>
      </c>
      <c r="R14319" t="s">
        <v>44925</v>
      </c>
      <c r="S14319" t="s">
        <v>45891</v>
      </c>
      <c r="T14319" t="s">
        <v>46411</v>
      </c>
      <c r="U14319" t="s">
        <v>58332</v>
      </c>
      <c r="W14319" t="s">
        <v>44796</v>
      </c>
      <c r="X14319" t="s">
        <v>44929</v>
      </c>
    </row>
    <row r="14320" spans="1:24">
      <c r="A14320">
        <f>HYPERLINK("https://www.philgeps.gov.ph/GEPSNONPILOT/Tender/SplashBidNoticeAbstractUI.aspx?menuIndex=3&amp;refID=7043483&amp;Result=3","7043483")</f>
        <v>0</v>
      </c>
      <c r="B14320" t="s">
        <v>3460</v>
      </c>
      <c r="C14320" t="s">
        <v>17232</v>
      </c>
      <c r="D14320" t="s">
        <v>18132</v>
      </c>
      <c r="E14320" t="s">
        <v>30576</v>
      </c>
      <c r="F14320" t="s">
        <v>31362</v>
      </c>
      <c r="G14320" t="s">
        <v>31369</v>
      </c>
      <c r="H14320" t="s">
        <v>15799</v>
      </c>
      <c r="I14320" t="s">
        <v>31413</v>
      </c>
      <c r="J14320" t="s">
        <v>40156</v>
      </c>
      <c r="K14320" t="s">
        <v>40682</v>
      </c>
      <c r="M14320" t="s">
        <v>44795</v>
      </c>
      <c r="N14320" t="s">
        <v>44905</v>
      </c>
      <c r="O14320" t="s">
        <v>44906</v>
      </c>
      <c r="P14320">
        <v>0</v>
      </c>
      <c r="Q14320">
        <v>4</v>
      </c>
      <c r="R14320" t="s">
        <v>44925</v>
      </c>
      <c r="S14320" t="s">
        <v>45891</v>
      </c>
      <c r="T14320" t="s">
        <v>46481</v>
      </c>
      <c r="U14320" t="s">
        <v>58333</v>
      </c>
      <c r="W14320" t="s">
        <v>44795</v>
      </c>
      <c r="X14320" t="s">
        <v>44928</v>
      </c>
    </row>
    <row r="14321" spans="1:24">
      <c r="A14321">
        <f>HYPERLINK("https://www.philgeps.gov.ph/GEPSNONPILOT/Tender/SplashBidNoticeAbstractUI.aspx?menuIndex=3&amp;refID=7043480&amp;Result=3","7043480")</f>
        <v>0</v>
      </c>
      <c r="B14321" t="s">
        <v>3460</v>
      </c>
      <c r="C14321" t="s">
        <v>17233</v>
      </c>
      <c r="D14321" t="s">
        <v>18132</v>
      </c>
      <c r="E14321" t="s">
        <v>30577</v>
      </c>
      <c r="F14321" t="s">
        <v>31362</v>
      </c>
      <c r="G14321" t="s">
        <v>31369</v>
      </c>
      <c r="H14321" t="s">
        <v>15799</v>
      </c>
      <c r="I14321" t="s">
        <v>31413</v>
      </c>
      <c r="J14321" t="s">
        <v>40157</v>
      </c>
      <c r="K14321" t="s">
        <v>40682</v>
      </c>
      <c r="M14321" t="s">
        <v>44795</v>
      </c>
      <c r="N14321" t="s">
        <v>44905</v>
      </c>
      <c r="O14321" t="s">
        <v>44906</v>
      </c>
      <c r="Q14321">
        <v>0</v>
      </c>
      <c r="R14321" t="s">
        <v>44925</v>
      </c>
      <c r="S14321" t="s">
        <v>45915</v>
      </c>
      <c r="T14321" t="s">
        <v>46481</v>
      </c>
      <c r="U14321" t="s">
        <v>58334</v>
      </c>
      <c r="W14321" t="s">
        <v>44795</v>
      </c>
      <c r="X14321" t="s">
        <v>44928</v>
      </c>
    </row>
    <row r="14322" spans="1:24">
      <c r="A14322">
        <f>HYPERLINK("https://www.philgeps.gov.ph/GEPSNONPILOT/Tender/SplashBidNoticeAbstractUI.aspx?menuIndex=3&amp;refID=7043513&amp;Result=3","7043513")</f>
        <v>0</v>
      </c>
      <c r="B14322" t="s">
        <v>3460</v>
      </c>
      <c r="C14322" t="s">
        <v>17234</v>
      </c>
      <c r="D14322" t="s">
        <v>18132</v>
      </c>
      <c r="E14322" t="s">
        <v>30578</v>
      </c>
      <c r="F14322" t="s">
        <v>31362</v>
      </c>
      <c r="G14322" t="s">
        <v>31369</v>
      </c>
      <c r="H14322" t="s">
        <v>15799</v>
      </c>
      <c r="I14322" t="s">
        <v>31413</v>
      </c>
      <c r="J14322" t="s">
        <v>40158</v>
      </c>
      <c r="K14322" t="s">
        <v>40682</v>
      </c>
      <c r="M14322" t="s">
        <v>44795</v>
      </c>
      <c r="N14322" t="s">
        <v>44905</v>
      </c>
      <c r="O14322" t="s">
        <v>44906</v>
      </c>
      <c r="Q14322">
        <v>1</v>
      </c>
      <c r="R14322" t="s">
        <v>44925</v>
      </c>
      <c r="S14322" t="s">
        <v>45916</v>
      </c>
      <c r="T14322" t="s">
        <v>46481</v>
      </c>
      <c r="U14322" t="s">
        <v>58335</v>
      </c>
      <c r="W14322" t="s">
        <v>44795</v>
      </c>
      <c r="X14322" t="s">
        <v>44928</v>
      </c>
    </row>
    <row r="14323" spans="1:24">
      <c r="A14323">
        <f>HYPERLINK("https://www.philgeps.gov.ph/GEPSNONPILOT/Tender/SplashBidNoticeAbstractUI.aspx?menuIndex=3&amp;refID=7043476&amp;Result=3","7043476")</f>
        <v>0</v>
      </c>
      <c r="B14323" t="s">
        <v>3460</v>
      </c>
      <c r="C14323" t="s">
        <v>17235</v>
      </c>
      <c r="D14323" t="s">
        <v>18132</v>
      </c>
      <c r="E14323" t="s">
        <v>30579</v>
      </c>
      <c r="F14323" t="s">
        <v>31362</v>
      </c>
      <c r="G14323" t="s">
        <v>31369</v>
      </c>
      <c r="H14323" t="s">
        <v>15799</v>
      </c>
      <c r="I14323" t="s">
        <v>31413</v>
      </c>
      <c r="J14323" t="s">
        <v>31546</v>
      </c>
      <c r="K14323" t="s">
        <v>40682</v>
      </c>
      <c r="M14323" t="s">
        <v>44795</v>
      </c>
      <c r="N14323" t="s">
        <v>44905</v>
      </c>
      <c r="O14323" t="s">
        <v>44906</v>
      </c>
      <c r="P14323">
        <v>0</v>
      </c>
      <c r="Q14323">
        <v>0</v>
      </c>
      <c r="R14323" t="s">
        <v>44925</v>
      </c>
      <c r="S14323" t="s">
        <v>45891</v>
      </c>
      <c r="T14323" t="s">
        <v>46481</v>
      </c>
      <c r="U14323" t="s">
        <v>58336</v>
      </c>
      <c r="W14323" t="s">
        <v>44795</v>
      </c>
      <c r="X14323" t="s">
        <v>44928</v>
      </c>
    </row>
    <row r="14324" spans="1:24">
      <c r="A14324">
        <f>HYPERLINK("https://www.philgeps.gov.ph/GEPSNONPILOT/Tender/SplashBidNoticeAbstractUI.aspx?menuIndex=3&amp;refID=7043387&amp;Result=3","7043387")</f>
        <v>0</v>
      </c>
      <c r="B14324" t="s">
        <v>3458</v>
      </c>
      <c r="C14324" t="s">
        <v>17236</v>
      </c>
      <c r="D14324" t="s">
        <v>18133</v>
      </c>
      <c r="E14324" t="s">
        <v>24912</v>
      </c>
      <c r="F14324" t="s">
        <v>31362</v>
      </c>
      <c r="G14324" t="s">
        <v>31369</v>
      </c>
      <c r="H14324" t="s">
        <v>31378</v>
      </c>
      <c r="I14324" t="s">
        <v>31386</v>
      </c>
      <c r="J14324" t="s">
        <v>40159</v>
      </c>
      <c r="K14324" t="s">
        <v>40663</v>
      </c>
      <c r="M14324" t="s">
        <v>44793</v>
      </c>
      <c r="N14324" t="s">
        <v>44905</v>
      </c>
      <c r="O14324" t="s">
        <v>44906</v>
      </c>
      <c r="P14324">
        <v>0</v>
      </c>
      <c r="Q14324">
        <v>1</v>
      </c>
      <c r="R14324" t="s">
        <v>44925</v>
      </c>
      <c r="S14324" t="s">
        <v>45891</v>
      </c>
      <c r="T14324" t="s">
        <v>46411</v>
      </c>
      <c r="U14324" t="s">
        <v>58337</v>
      </c>
      <c r="W14324" t="s">
        <v>44793</v>
      </c>
      <c r="X14324" t="s">
        <v>44928</v>
      </c>
    </row>
    <row r="14325" spans="1:24">
      <c r="A14325">
        <f>HYPERLINK("https://www.philgeps.gov.ph/GEPSNONPILOT/Tender/SplashBidNoticeAbstractUI.aspx?menuIndex=3&amp;refID=7043376&amp;Result=3","7043376")</f>
        <v>0</v>
      </c>
      <c r="B14325" t="s">
        <v>3458</v>
      </c>
      <c r="C14325" t="s">
        <v>17237</v>
      </c>
      <c r="D14325" t="s">
        <v>18133</v>
      </c>
      <c r="E14325" t="s">
        <v>25863</v>
      </c>
      <c r="F14325" t="s">
        <v>31362</v>
      </c>
      <c r="G14325" t="s">
        <v>31369</v>
      </c>
      <c r="H14325" t="s">
        <v>31378</v>
      </c>
      <c r="I14325" t="s">
        <v>31386</v>
      </c>
      <c r="J14325" t="s">
        <v>40160</v>
      </c>
      <c r="K14325" t="s">
        <v>40755</v>
      </c>
      <c r="M14325" t="s">
        <v>44793</v>
      </c>
      <c r="N14325" t="s">
        <v>44905</v>
      </c>
      <c r="O14325" t="s">
        <v>44906</v>
      </c>
      <c r="P14325">
        <v>0</v>
      </c>
      <c r="Q14325">
        <v>1</v>
      </c>
      <c r="R14325" t="s">
        <v>44925</v>
      </c>
      <c r="S14325" t="s">
        <v>45891</v>
      </c>
      <c r="T14325" t="s">
        <v>46411</v>
      </c>
      <c r="U14325" t="s">
        <v>58338</v>
      </c>
      <c r="W14325" t="s">
        <v>44793</v>
      </c>
      <c r="X14325" t="s">
        <v>44928</v>
      </c>
    </row>
    <row r="14326" spans="1:24">
      <c r="A14326">
        <f>HYPERLINK("https://www.philgeps.gov.ph/GEPSNONPILOT/Tender/SplashBidNoticeAbstractUI.aspx?menuIndex=3&amp;refID=7043056&amp;Result=3","7043056")</f>
        <v>0</v>
      </c>
      <c r="B14326" t="s">
        <v>155</v>
      </c>
      <c r="C14326" t="s">
        <v>17238</v>
      </c>
      <c r="E14326" t="s">
        <v>30580</v>
      </c>
      <c r="F14326" t="s">
        <v>31362</v>
      </c>
      <c r="G14326" t="s">
        <v>31369</v>
      </c>
      <c r="H14326" t="s">
        <v>15799</v>
      </c>
      <c r="I14326" t="s">
        <v>7719</v>
      </c>
      <c r="J14326" t="s">
        <v>40161</v>
      </c>
      <c r="K14326" t="s">
        <v>40682</v>
      </c>
      <c r="M14326" t="s">
        <v>44480</v>
      </c>
      <c r="N14326" t="s">
        <v>44905</v>
      </c>
      <c r="O14326" t="s">
        <v>44906</v>
      </c>
      <c r="P14326">
        <v>0</v>
      </c>
      <c r="Q14326">
        <v>23</v>
      </c>
      <c r="R14326" t="s">
        <v>44925</v>
      </c>
      <c r="S14326" t="s">
        <v>45891</v>
      </c>
      <c r="T14326" t="s">
        <v>46395</v>
      </c>
      <c r="U14326" t="s">
        <v>58301</v>
      </c>
      <c r="W14326" t="s">
        <v>44480</v>
      </c>
      <c r="X14326" t="s">
        <v>44929</v>
      </c>
    </row>
    <row r="14327" spans="1:24">
      <c r="A14327">
        <f>HYPERLINK("https://www.philgeps.gov.ph/GEPSNONPILOT/Tender/SplashBidNoticeAbstractUI.aspx?menuIndex=3&amp;refID=7043489&amp;Result=3","7043489")</f>
        <v>0</v>
      </c>
      <c r="B14327" t="s">
        <v>3460</v>
      </c>
      <c r="C14327" t="s">
        <v>17239</v>
      </c>
      <c r="D14327" t="s">
        <v>18132</v>
      </c>
      <c r="E14327" t="s">
        <v>30581</v>
      </c>
      <c r="F14327" t="s">
        <v>31362</v>
      </c>
      <c r="G14327" t="s">
        <v>31369</v>
      </c>
      <c r="H14327" t="s">
        <v>15799</v>
      </c>
      <c r="I14327" t="s">
        <v>31413</v>
      </c>
      <c r="J14327" t="s">
        <v>40162</v>
      </c>
      <c r="K14327" t="s">
        <v>40682</v>
      </c>
      <c r="M14327" t="s">
        <v>44795</v>
      </c>
      <c r="N14327" t="s">
        <v>44905</v>
      </c>
      <c r="O14327" t="s">
        <v>44906</v>
      </c>
      <c r="P14327">
        <v>0</v>
      </c>
      <c r="Q14327">
        <v>3</v>
      </c>
      <c r="R14327" t="s">
        <v>44925</v>
      </c>
      <c r="S14327" t="s">
        <v>45891</v>
      </c>
      <c r="T14327" t="s">
        <v>46481</v>
      </c>
      <c r="U14327" t="s">
        <v>58339</v>
      </c>
      <c r="W14327" t="s">
        <v>44795</v>
      </c>
      <c r="X14327" t="s">
        <v>44928</v>
      </c>
    </row>
    <row r="14328" spans="1:24">
      <c r="A14328">
        <f>HYPERLINK("https://www.philgeps.gov.ph/GEPSNONPILOT/Tender/SplashBidNoticeAbstractUI.aspx?menuIndex=3&amp;refID=7043035&amp;Result=3","7043035")</f>
        <v>0</v>
      </c>
      <c r="B14328" t="s">
        <v>1728</v>
      </c>
      <c r="C14328" t="s">
        <v>17240</v>
      </c>
      <c r="D14328" t="s">
        <v>18158</v>
      </c>
      <c r="E14328" t="s">
        <v>18994</v>
      </c>
      <c r="F14328" t="s">
        <v>31362</v>
      </c>
      <c r="G14328" t="s">
        <v>31369</v>
      </c>
      <c r="H14328" t="s">
        <v>31378</v>
      </c>
      <c r="I14328" t="s">
        <v>3582</v>
      </c>
      <c r="J14328" t="s">
        <v>40163</v>
      </c>
      <c r="K14328" t="s">
        <v>40700</v>
      </c>
      <c r="M14328" t="s">
        <v>42799</v>
      </c>
      <c r="N14328" t="s">
        <v>44905</v>
      </c>
      <c r="O14328" t="s">
        <v>44906</v>
      </c>
      <c r="P14328">
        <v>0</v>
      </c>
      <c r="Q14328">
        <v>2</v>
      </c>
      <c r="R14328" t="s">
        <v>44925</v>
      </c>
      <c r="S14328" t="s">
        <v>45891</v>
      </c>
      <c r="T14328" t="s">
        <v>46410</v>
      </c>
      <c r="U14328" t="s">
        <v>58340</v>
      </c>
      <c r="W14328" t="s">
        <v>42799</v>
      </c>
      <c r="X14328" t="s">
        <v>44929</v>
      </c>
    </row>
    <row r="14329" spans="1:24">
      <c r="A14329">
        <f>HYPERLINK("https://www.philgeps.gov.ph/GEPSNONPILOT/Tender/SplashBidNoticeAbstractUI.aspx?menuIndex=3&amp;refID=7043227&amp;Result=3","7043227")</f>
        <v>0</v>
      </c>
      <c r="B14329" t="s">
        <v>1544</v>
      </c>
      <c r="C14329" t="s">
        <v>17241</v>
      </c>
      <c r="D14329" t="s">
        <v>18172</v>
      </c>
      <c r="E14329" t="s">
        <v>30582</v>
      </c>
      <c r="F14329" t="s">
        <v>31362</v>
      </c>
      <c r="G14329" t="s">
        <v>31369</v>
      </c>
      <c r="H14329" t="s">
        <v>31378</v>
      </c>
      <c r="I14329" t="s">
        <v>31386</v>
      </c>
      <c r="J14329" t="s">
        <v>40164</v>
      </c>
      <c r="K14329" t="s">
        <v>40718</v>
      </c>
      <c r="M14329" t="s">
        <v>42591</v>
      </c>
      <c r="N14329" t="s">
        <v>44905</v>
      </c>
      <c r="O14329" t="s">
        <v>44906</v>
      </c>
      <c r="P14329">
        <v>0</v>
      </c>
      <c r="Q14329">
        <v>0</v>
      </c>
      <c r="R14329" t="s">
        <v>44925</v>
      </c>
      <c r="S14329" t="s">
        <v>45891</v>
      </c>
      <c r="T14329" t="s">
        <v>46447</v>
      </c>
      <c r="U14329" t="s">
        <v>58341</v>
      </c>
      <c r="W14329" t="s">
        <v>42591</v>
      </c>
      <c r="X14329" t="s">
        <v>44929</v>
      </c>
    </row>
    <row r="14330" spans="1:24">
      <c r="A14330">
        <f>HYPERLINK("https://www.philgeps.gov.ph/GEPSNONPILOT/Tender/SplashBidNoticeAbstractUI.aspx?menuIndex=3&amp;refID=7029812&amp;Result=3","7029812")</f>
        <v>0</v>
      </c>
      <c r="B14330" t="s">
        <v>854</v>
      </c>
      <c r="C14330" t="s">
        <v>17242</v>
      </c>
      <c r="D14330" t="s">
        <v>18147</v>
      </c>
      <c r="E14330" t="s">
        <v>30583</v>
      </c>
      <c r="F14330" t="s">
        <v>31362</v>
      </c>
      <c r="G14330" t="s">
        <v>31369</v>
      </c>
      <c r="H14330" t="s">
        <v>31378</v>
      </c>
      <c r="I14330" t="s">
        <v>31386</v>
      </c>
      <c r="J14330" t="s">
        <v>40165</v>
      </c>
      <c r="K14330" t="s">
        <v>40682</v>
      </c>
      <c r="M14330" t="s">
        <v>41830</v>
      </c>
      <c r="N14330" t="s">
        <v>44905</v>
      </c>
      <c r="O14330" t="s">
        <v>44906</v>
      </c>
      <c r="P14330">
        <v>0</v>
      </c>
      <c r="Q14330">
        <v>1</v>
      </c>
      <c r="R14330" t="s">
        <v>44925</v>
      </c>
      <c r="S14330" t="s">
        <v>45891</v>
      </c>
      <c r="T14330" t="s">
        <v>46394</v>
      </c>
      <c r="U14330" t="s">
        <v>58342</v>
      </c>
      <c r="W14330" t="s">
        <v>41830</v>
      </c>
      <c r="X14330" t="s">
        <v>44935</v>
      </c>
    </row>
    <row r="14331" spans="1:24">
      <c r="A14331">
        <f>HYPERLINK("https://www.philgeps.gov.ph/GEPSNONPILOT/Tender/SplashBidNoticeAbstractUI.aspx?menuIndex=3&amp;refID=7045231&amp;Result=3","7045231")</f>
        <v>0</v>
      </c>
      <c r="B14331" t="s">
        <v>2129</v>
      </c>
      <c r="C14331" t="s">
        <v>17243</v>
      </c>
      <c r="D14331" t="s">
        <v>18170</v>
      </c>
      <c r="E14331" t="s">
        <v>30584</v>
      </c>
      <c r="F14331" t="s">
        <v>31362</v>
      </c>
      <c r="G14331" t="s">
        <v>31369</v>
      </c>
      <c r="H14331" t="s">
        <v>15799</v>
      </c>
      <c r="I14331" t="s">
        <v>31433</v>
      </c>
      <c r="J14331" t="s">
        <v>40166</v>
      </c>
      <c r="K14331" t="s">
        <v>40665</v>
      </c>
      <c r="M14331" t="s">
        <v>43257</v>
      </c>
      <c r="N14331" t="s">
        <v>44905</v>
      </c>
      <c r="O14331" t="s">
        <v>44906</v>
      </c>
      <c r="P14331">
        <v>0</v>
      </c>
      <c r="Q14331">
        <v>0</v>
      </c>
      <c r="R14331" t="s">
        <v>44924</v>
      </c>
      <c r="S14331" t="s">
        <v>45829</v>
      </c>
      <c r="T14331" t="s">
        <v>46447</v>
      </c>
      <c r="U14331" t="s">
        <v>58343</v>
      </c>
      <c r="W14331" t="s">
        <v>43257</v>
      </c>
      <c r="X14331" t="s">
        <v>44925</v>
      </c>
    </row>
    <row r="14332" spans="1:24">
      <c r="A14332">
        <f>HYPERLINK("https://www.philgeps.gov.ph/GEPSNONPILOT/Tender/SplashBidNoticeAbstractUI.aspx?menuIndex=3&amp;refID=7043424&amp;Result=3","7043424")</f>
        <v>0</v>
      </c>
      <c r="B14332" t="s">
        <v>3458</v>
      </c>
      <c r="C14332" t="s">
        <v>17244</v>
      </c>
      <c r="D14332" t="s">
        <v>18133</v>
      </c>
      <c r="E14332" t="s">
        <v>20469</v>
      </c>
      <c r="F14332" t="s">
        <v>31362</v>
      </c>
      <c r="G14332" t="s">
        <v>31369</v>
      </c>
      <c r="H14332" t="s">
        <v>31378</v>
      </c>
      <c r="I14332" t="s">
        <v>31386</v>
      </c>
      <c r="J14332" t="s">
        <v>40167</v>
      </c>
      <c r="K14332" t="s">
        <v>40698</v>
      </c>
      <c r="M14332" t="s">
        <v>44793</v>
      </c>
      <c r="N14332" t="s">
        <v>44905</v>
      </c>
      <c r="O14332" t="s">
        <v>44906</v>
      </c>
      <c r="P14332">
        <v>0</v>
      </c>
      <c r="Q14332">
        <v>1</v>
      </c>
      <c r="R14332" t="s">
        <v>44925</v>
      </c>
      <c r="S14332" t="s">
        <v>45891</v>
      </c>
      <c r="T14332" t="s">
        <v>46411</v>
      </c>
      <c r="U14332" t="s">
        <v>58344</v>
      </c>
      <c r="W14332" t="s">
        <v>44793</v>
      </c>
      <c r="X14332" t="s">
        <v>44928</v>
      </c>
    </row>
    <row r="14333" spans="1:24">
      <c r="A14333">
        <f>HYPERLINK("https://www.philgeps.gov.ph/GEPSNONPILOT/Tender/SplashBidNoticeAbstractUI.aspx?menuIndex=3&amp;refID=7043038&amp;Result=3","7043038")</f>
        <v>0</v>
      </c>
      <c r="B14333" t="s">
        <v>155</v>
      </c>
      <c r="C14333" t="s">
        <v>17245</v>
      </c>
      <c r="D14333" t="s">
        <v>18108</v>
      </c>
      <c r="E14333" t="s">
        <v>30585</v>
      </c>
      <c r="F14333" t="s">
        <v>31362</v>
      </c>
      <c r="G14333" t="s">
        <v>31369</v>
      </c>
      <c r="H14333" t="s">
        <v>31378</v>
      </c>
      <c r="I14333" t="s">
        <v>31386</v>
      </c>
      <c r="J14333" t="s">
        <v>32540</v>
      </c>
      <c r="K14333" t="s">
        <v>40679</v>
      </c>
      <c r="M14333" t="s">
        <v>44480</v>
      </c>
      <c r="N14333" t="s">
        <v>44905</v>
      </c>
      <c r="O14333" t="s">
        <v>44906</v>
      </c>
      <c r="P14333">
        <v>0</v>
      </c>
      <c r="Q14333">
        <v>14</v>
      </c>
      <c r="R14333" t="s">
        <v>44925</v>
      </c>
      <c r="S14333" t="s">
        <v>45891</v>
      </c>
      <c r="T14333" t="s">
        <v>46570</v>
      </c>
      <c r="U14333" t="s">
        <v>58301</v>
      </c>
      <c r="W14333" t="s">
        <v>44480</v>
      </c>
      <c r="X14333" t="s">
        <v>44929</v>
      </c>
    </row>
    <row r="14334" spans="1:24">
      <c r="A14334">
        <f>HYPERLINK("https://www.philgeps.gov.ph/GEPSNONPILOT/Tender/SplashBidNoticeAbstractUI.aspx?menuIndex=3&amp;refID=7043350&amp;Result=3","7043350")</f>
        <v>0</v>
      </c>
      <c r="B14334" t="s">
        <v>3458</v>
      </c>
      <c r="C14334" t="s">
        <v>17224</v>
      </c>
      <c r="D14334" t="s">
        <v>18133</v>
      </c>
      <c r="E14334" t="s">
        <v>21820</v>
      </c>
      <c r="F14334" t="s">
        <v>31362</v>
      </c>
      <c r="G14334" t="s">
        <v>31369</v>
      </c>
      <c r="H14334" t="s">
        <v>31378</v>
      </c>
      <c r="I14334" t="s">
        <v>31386</v>
      </c>
      <c r="J14334" t="s">
        <v>40140</v>
      </c>
      <c r="K14334" t="s">
        <v>40708</v>
      </c>
      <c r="M14334" t="s">
        <v>44793</v>
      </c>
      <c r="N14334" t="s">
        <v>44905</v>
      </c>
      <c r="O14334" t="s">
        <v>44906</v>
      </c>
      <c r="P14334">
        <v>0</v>
      </c>
      <c r="Q14334">
        <v>2</v>
      </c>
      <c r="R14334" t="s">
        <v>44925</v>
      </c>
      <c r="S14334" t="s">
        <v>45891</v>
      </c>
      <c r="T14334" t="s">
        <v>46411</v>
      </c>
      <c r="U14334" t="s">
        <v>58325</v>
      </c>
      <c r="W14334" t="s">
        <v>44793</v>
      </c>
      <c r="X14334" t="s">
        <v>44928</v>
      </c>
    </row>
    <row r="14335" spans="1:24">
      <c r="A14335">
        <f>HYPERLINK("https://www.philgeps.gov.ph/GEPSNONPILOT/Tender/SplashBidNoticeAbstractUI.aspx?menuIndex=3&amp;refID=7043836&amp;Result=3","7043836")</f>
        <v>0</v>
      </c>
      <c r="B14335" t="s">
        <v>183</v>
      </c>
      <c r="C14335" t="s">
        <v>17246</v>
      </c>
      <c r="D14335" t="s">
        <v>18129</v>
      </c>
      <c r="E14335" t="s">
        <v>30586</v>
      </c>
      <c r="F14335" t="s">
        <v>31362</v>
      </c>
      <c r="G14335" t="s">
        <v>31369</v>
      </c>
      <c r="H14335" t="s">
        <v>31378</v>
      </c>
      <c r="I14335" t="s">
        <v>31386</v>
      </c>
      <c r="J14335" t="s">
        <v>31709</v>
      </c>
      <c r="K14335" t="s">
        <v>40694</v>
      </c>
      <c r="M14335" t="s">
        <v>41121</v>
      </c>
      <c r="N14335" t="s">
        <v>44905</v>
      </c>
      <c r="O14335" t="s">
        <v>44906</v>
      </c>
      <c r="P14335">
        <v>0</v>
      </c>
      <c r="Q14335">
        <v>2</v>
      </c>
      <c r="R14335" t="s">
        <v>44925</v>
      </c>
      <c r="S14335" t="s">
        <v>45891</v>
      </c>
      <c r="T14335" t="s">
        <v>46447</v>
      </c>
      <c r="U14335" t="s">
        <v>58345</v>
      </c>
      <c r="W14335" t="s">
        <v>41121</v>
      </c>
      <c r="X14335" t="s">
        <v>44927</v>
      </c>
    </row>
    <row r="14336" spans="1:24">
      <c r="A14336">
        <f>HYPERLINK("https://www.philgeps.gov.ph/GEPSNONPILOT/Tender/SplashBidNoticeAbstractUI.aspx?menuIndex=3&amp;refID=7042938&amp;Result=3","7042938")</f>
        <v>0</v>
      </c>
      <c r="B14336" t="s">
        <v>3208</v>
      </c>
      <c r="C14336" t="s">
        <v>17247</v>
      </c>
      <c r="D14336" t="s">
        <v>18108</v>
      </c>
      <c r="E14336" t="s">
        <v>25682</v>
      </c>
      <c r="F14336" t="s">
        <v>31362</v>
      </c>
      <c r="G14336" t="s">
        <v>31369</v>
      </c>
      <c r="H14336" t="s">
        <v>15799</v>
      </c>
      <c r="I14336" t="s">
        <v>31382</v>
      </c>
      <c r="J14336" t="s">
        <v>36067</v>
      </c>
      <c r="K14336" t="s">
        <v>40679</v>
      </c>
      <c r="M14336" t="s">
        <v>44770</v>
      </c>
      <c r="N14336" t="s">
        <v>44905</v>
      </c>
      <c r="O14336" t="s">
        <v>44906</v>
      </c>
      <c r="Q14336">
        <v>11</v>
      </c>
      <c r="R14336" t="s">
        <v>44925</v>
      </c>
      <c r="S14336" t="s">
        <v>45917</v>
      </c>
      <c r="T14336" t="s">
        <v>46409</v>
      </c>
      <c r="U14336" t="s">
        <v>58346</v>
      </c>
      <c r="W14336" t="s">
        <v>44770</v>
      </c>
      <c r="X14336" t="s">
        <v>44929</v>
      </c>
    </row>
    <row r="14337" spans="1:24">
      <c r="A14337">
        <f>HYPERLINK("https://www.philgeps.gov.ph/GEPSNONPILOT/Tender/SplashBidNoticeAbstractUI.aspx?menuIndex=3&amp;refID=7043832&amp;Result=3","7043832")</f>
        <v>0</v>
      </c>
      <c r="B14337" t="s">
        <v>183</v>
      </c>
      <c r="C14337" t="s">
        <v>17248</v>
      </c>
      <c r="D14337" t="s">
        <v>18129</v>
      </c>
      <c r="E14337" t="s">
        <v>30587</v>
      </c>
      <c r="F14337" t="s">
        <v>31362</v>
      </c>
      <c r="G14337" t="s">
        <v>31369</v>
      </c>
      <c r="H14337" t="s">
        <v>31378</v>
      </c>
      <c r="I14337" t="s">
        <v>31386</v>
      </c>
      <c r="J14337" t="s">
        <v>31709</v>
      </c>
      <c r="K14337" t="s">
        <v>40694</v>
      </c>
      <c r="M14337" t="s">
        <v>41121</v>
      </c>
      <c r="N14337" t="s">
        <v>44905</v>
      </c>
      <c r="O14337" t="s">
        <v>44906</v>
      </c>
      <c r="P14337">
        <v>0</v>
      </c>
      <c r="Q14337">
        <v>2</v>
      </c>
      <c r="R14337" t="s">
        <v>44925</v>
      </c>
      <c r="S14337" t="s">
        <v>45891</v>
      </c>
      <c r="T14337" t="s">
        <v>46447</v>
      </c>
      <c r="U14337" t="s">
        <v>58347</v>
      </c>
      <c r="W14337" t="s">
        <v>41121</v>
      </c>
      <c r="X14337" t="s">
        <v>44927</v>
      </c>
    </row>
    <row r="14338" spans="1:24">
      <c r="A14338">
        <f>HYPERLINK("https://www.philgeps.gov.ph/GEPSNONPILOT/Tender/SplashBidNoticeAbstractUI.aspx?menuIndex=3&amp;refID=7043418&amp;Result=3","7043418")</f>
        <v>0</v>
      </c>
      <c r="B14338" t="s">
        <v>3458</v>
      </c>
      <c r="C14338" t="s">
        <v>17249</v>
      </c>
      <c r="D14338" t="s">
        <v>18133</v>
      </c>
      <c r="E14338" t="s">
        <v>27243</v>
      </c>
      <c r="F14338" t="s">
        <v>31362</v>
      </c>
      <c r="G14338" t="s">
        <v>31369</v>
      </c>
      <c r="H14338" t="s">
        <v>31378</v>
      </c>
      <c r="I14338" t="s">
        <v>31386</v>
      </c>
      <c r="J14338" t="s">
        <v>40168</v>
      </c>
      <c r="K14338" t="s">
        <v>40708</v>
      </c>
      <c r="M14338" t="s">
        <v>44793</v>
      </c>
      <c r="N14338" t="s">
        <v>44905</v>
      </c>
      <c r="O14338" t="s">
        <v>44906</v>
      </c>
      <c r="P14338">
        <v>0</v>
      </c>
      <c r="Q14338">
        <v>1</v>
      </c>
      <c r="R14338" t="s">
        <v>44925</v>
      </c>
      <c r="S14338" t="s">
        <v>45891</v>
      </c>
      <c r="T14338" t="s">
        <v>46411</v>
      </c>
      <c r="U14338" t="s">
        <v>58348</v>
      </c>
      <c r="W14338" t="s">
        <v>44793</v>
      </c>
      <c r="X14338" t="s">
        <v>44928</v>
      </c>
    </row>
    <row r="14339" spans="1:24">
      <c r="A14339">
        <f>HYPERLINK("https://www.philgeps.gov.ph/GEPSNONPILOT/Tender/SplashBidNoticeAbstractUI.aspx?menuIndex=3&amp;refID=7045221&amp;Result=3","7045221")</f>
        <v>0</v>
      </c>
      <c r="B14339" t="s">
        <v>3207</v>
      </c>
      <c r="C14339" t="s">
        <v>17250</v>
      </c>
      <c r="D14339" t="s">
        <v>18167</v>
      </c>
      <c r="E14339" t="s">
        <v>30588</v>
      </c>
      <c r="F14339" t="s">
        <v>31362</v>
      </c>
      <c r="G14339" t="s">
        <v>31369</v>
      </c>
      <c r="H14339" t="s">
        <v>31378</v>
      </c>
      <c r="I14339" t="s">
        <v>31386</v>
      </c>
      <c r="J14339" t="s">
        <v>31637</v>
      </c>
      <c r="K14339" t="s">
        <v>40678</v>
      </c>
      <c r="M14339" t="s">
        <v>44477</v>
      </c>
      <c r="N14339" t="s">
        <v>44905</v>
      </c>
      <c r="O14339" t="s">
        <v>44906</v>
      </c>
      <c r="P14339">
        <v>0</v>
      </c>
      <c r="Q14339">
        <v>1</v>
      </c>
      <c r="R14339" t="s">
        <v>44924</v>
      </c>
      <c r="S14339" t="s">
        <v>45829</v>
      </c>
      <c r="T14339" t="s">
        <v>46425</v>
      </c>
      <c r="U14339" t="s">
        <v>58349</v>
      </c>
      <c r="W14339" t="s">
        <v>44477</v>
      </c>
      <c r="X14339" t="s">
        <v>44925</v>
      </c>
    </row>
    <row r="14340" spans="1:24">
      <c r="A14340">
        <f>HYPERLINK("https://www.philgeps.gov.ph/GEPSNONPILOT/Tender/SplashBidNoticeAbstractUI.aspx?menuIndex=3&amp;refID=7043826&amp;Result=3","7043826")</f>
        <v>0</v>
      </c>
      <c r="B14340" t="s">
        <v>1544</v>
      </c>
      <c r="C14340" t="s">
        <v>17251</v>
      </c>
      <c r="D14340" t="s">
        <v>18172</v>
      </c>
      <c r="E14340" t="s">
        <v>30589</v>
      </c>
      <c r="F14340" t="s">
        <v>31362</v>
      </c>
      <c r="G14340" t="s">
        <v>31369</v>
      </c>
      <c r="H14340" t="s">
        <v>31378</v>
      </c>
      <c r="I14340" t="s">
        <v>31386</v>
      </c>
      <c r="J14340" t="s">
        <v>40169</v>
      </c>
      <c r="K14340" t="s">
        <v>40768</v>
      </c>
      <c r="M14340" t="s">
        <v>42591</v>
      </c>
      <c r="N14340" t="s">
        <v>44905</v>
      </c>
      <c r="O14340" t="s">
        <v>44906</v>
      </c>
      <c r="P14340">
        <v>0</v>
      </c>
      <c r="Q14340">
        <v>0</v>
      </c>
      <c r="R14340" t="s">
        <v>44925</v>
      </c>
      <c r="S14340" t="s">
        <v>45891</v>
      </c>
      <c r="T14340" t="s">
        <v>46447</v>
      </c>
      <c r="U14340" t="s">
        <v>58350</v>
      </c>
      <c r="W14340" t="s">
        <v>42591</v>
      </c>
      <c r="X14340" t="s">
        <v>44927</v>
      </c>
    </row>
    <row r="14341" spans="1:24">
      <c r="A14341">
        <f>HYPERLINK("https://www.philgeps.gov.ph/GEPSNONPILOT/Tender/SplashBidNoticeAbstractUI.aspx?menuIndex=3&amp;refID=7043788&amp;Result=3","7043788")</f>
        <v>0</v>
      </c>
      <c r="B14341" t="s">
        <v>3460</v>
      </c>
      <c r="C14341" t="s">
        <v>17252</v>
      </c>
      <c r="D14341" t="s">
        <v>18144</v>
      </c>
      <c r="E14341" t="s">
        <v>30590</v>
      </c>
      <c r="F14341" t="s">
        <v>31362</v>
      </c>
      <c r="G14341" t="s">
        <v>31369</v>
      </c>
      <c r="H14341" t="s">
        <v>15799</v>
      </c>
      <c r="I14341" t="s">
        <v>31413</v>
      </c>
      <c r="J14341" t="s">
        <v>40170</v>
      </c>
      <c r="K14341" t="s">
        <v>40682</v>
      </c>
      <c r="M14341" t="s">
        <v>44795</v>
      </c>
      <c r="N14341" t="s">
        <v>44905</v>
      </c>
      <c r="O14341" t="s">
        <v>44906</v>
      </c>
      <c r="Q14341">
        <v>3</v>
      </c>
      <c r="R14341" t="s">
        <v>44925</v>
      </c>
      <c r="S14341" t="s">
        <v>45918</v>
      </c>
      <c r="T14341" t="s">
        <v>46481</v>
      </c>
      <c r="U14341" t="s">
        <v>58351</v>
      </c>
      <c r="W14341" t="s">
        <v>44795</v>
      </c>
      <c r="X14341" t="s">
        <v>44927</v>
      </c>
    </row>
    <row r="14342" spans="1:24">
      <c r="A14342">
        <f>HYPERLINK("https://www.philgeps.gov.ph/GEPSNONPILOT/Tender/SplashBidNoticeAbstractUI.aspx?menuIndex=3&amp;refID=7043786&amp;Result=3","7043786")</f>
        <v>0</v>
      </c>
      <c r="B14342" t="s">
        <v>3460</v>
      </c>
      <c r="C14342" t="s">
        <v>17253</v>
      </c>
      <c r="D14342" t="s">
        <v>18144</v>
      </c>
      <c r="E14342" t="s">
        <v>30591</v>
      </c>
      <c r="F14342" t="s">
        <v>31362</v>
      </c>
      <c r="G14342" t="s">
        <v>31369</v>
      </c>
      <c r="H14342" t="s">
        <v>15799</v>
      </c>
      <c r="I14342" t="s">
        <v>31413</v>
      </c>
      <c r="J14342" t="s">
        <v>40171</v>
      </c>
      <c r="K14342" t="s">
        <v>40682</v>
      </c>
      <c r="M14342" t="s">
        <v>44795</v>
      </c>
      <c r="N14342" t="s">
        <v>44905</v>
      </c>
      <c r="O14342" t="s">
        <v>44906</v>
      </c>
      <c r="Q14342">
        <v>4</v>
      </c>
      <c r="R14342" t="s">
        <v>44925</v>
      </c>
      <c r="S14342" t="s">
        <v>45919</v>
      </c>
      <c r="T14342" t="s">
        <v>46481</v>
      </c>
      <c r="U14342" t="s">
        <v>58352</v>
      </c>
      <c r="W14342" t="s">
        <v>44795</v>
      </c>
      <c r="X14342" t="s">
        <v>44927</v>
      </c>
    </row>
    <row r="14343" spans="1:24">
      <c r="A14343">
        <f>HYPERLINK("https://www.philgeps.gov.ph/GEPSNONPILOT/Tender/SplashBidNoticeAbstractUI.aspx?menuIndex=3&amp;refID=7043783&amp;Result=3","7043783")</f>
        <v>0</v>
      </c>
      <c r="B14343" t="s">
        <v>3460</v>
      </c>
      <c r="C14343" t="s">
        <v>17254</v>
      </c>
      <c r="D14343" t="s">
        <v>18144</v>
      </c>
      <c r="E14343" t="s">
        <v>30592</v>
      </c>
      <c r="F14343" t="s">
        <v>31362</v>
      </c>
      <c r="G14343" t="s">
        <v>31369</v>
      </c>
      <c r="H14343" t="s">
        <v>15799</v>
      </c>
      <c r="I14343" t="s">
        <v>31413</v>
      </c>
      <c r="J14343" t="s">
        <v>40172</v>
      </c>
      <c r="K14343" t="s">
        <v>40682</v>
      </c>
      <c r="M14343" t="s">
        <v>44795</v>
      </c>
      <c r="N14343" t="s">
        <v>44905</v>
      </c>
      <c r="O14343" t="s">
        <v>44906</v>
      </c>
      <c r="Q14343">
        <v>3</v>
      </c>
      <c r="R14343" t="s">
        <v>44925</v>
      </c>
      <c r="S14343" t="s">
        <v>45920</v>
      </c>
      <c r="T14343" t="s">
        <v>46481</v>
      </c>
      <c r="U14343" t="s">
        <v>58353</v>
      </c>
      <c r="W14343" t="s">
        <v>44795</v>
      </c>
      <c r="X14343" t="s">
        <v>44927</v>
      </c>
    </row>
    <row r="14344" spans="1:24">
      <c r="A14344">
        <f>HYPERLINK("https://www.philgeps.gov.ph/GEPSNONPILOT/Tender/SplashBidNoticeAbstractUI.aspx?menuIndex=3&amp;refID=7043781&amp;Result=3","7043781")</f>
        <v>0</v>
      </c>
      <c r="B14344" t="s">
        <v>3460</v>
      </c>
      <c r="C14344" t="s">
        <v>17255</v>
      </c>
      <c r="D14344" t="s">
        <v>18144</v>
      </c>
      <c r="E14344" t="s">
        <v>30593</v>
      </c>
      <c r="F14344" t="s">
        <v>31362</v>
      </c>
      <c r="G14344" t="s">
        <v>31369</v>
      </c>
      <c r="H14344" t="s">
        <v>15799</v>
      </c>
      <c r="I14344" t="s">
        <v>31413</v>
      </c>
      <c r="J14344" t="s">
        <v>40173</v>
      </c>
      <c r="K14344" t="s">
        <v>40682</v>
      </c>
      <c r="M14344" t="s">
        <v>44795</v>
      </c>
      <c r="N14344" t="s">
        <v>44905</v>
      </c>
      <c r="O14344" t="s">
        <v>44906</v>
      </c>
      <c r="Q14344">
        <v>5</v>
      </c>
      <c r="R14344" t="s">
        <v>44925</v>
      </c>
      <c r="S14344" t="s">
        <v>45921</v>
      </c>
      <c r="T14344" t="s">
        <v>46481</v>
      </c>
      <c r="U14344" t="s">
        <v>58352</v>
      </c>
      <c r="W14344" t="s">
        <v>44795</v>
      </c>
      <c r="X14344" t="s">
        <v>44927</v>
      </c>
    </row>
    <row r="14345" spans="1:24">
      <c r="A14345">
        <f>HYPERLINK("https://www.philgeps.gov.ph/GEPSNONPILOT/Tender/SplashBidNoticeAbstractUI.aspx?menuIndex=3&amp;refID=7043780&amp;Result=3","7043780")</f>
        <v>0</v>
      </c>
      <c r="B14345" t="s">
        <v>3460</v>
      </c>
      <c r="C14345" t="s">
        <v>17256</v>
      </c>
      <c r="D14345" t="s">
        <v>18132</v>
      </c>
      <c r="E14345" t="s">
        <v>30594</v>
      </c>
      <c r="F14345" t="s">
        <v>31362</v>
      </c>
      <c r="G14345" t="s">
        <v>31369</v>
      </c>
      <c r="H14345" t="s">
        <v>15799</v>
      </c>
      <c r="I14345" t="s">
        <v>31413</v>
      </c>
      <c r="J14345" t="s">
        <v>40174</v>
      </c>
      <c r="K14345" t="s">
        <v>40682</v>
      </c>
      <c r="M14345" t="s">
        <v>44795</v>
      </c>
      <c r="N14345" t="s">
        <v>44905</v>
      </c>
      <c r="O14345" t="s">
        <v>44906</v>
      </c>
      <c r="Q14345">
        <v>0</v>
      </c>
      <c r="R14345" t="s">
        <v>44925</v>
      </c>
      <c r="S14345" t="s">
        <v>45922</v>
      </c>
      <c r="T14345" t="s">
        <v>46481</v>
      </c>
      <c r="U14345" t="s">
        <v>58354</v>
      </c>
      <c r="W14345" t="s">
        <v>44795</v>
      </c>
      <c r="X14345" t="s">
        <v>44927</v>
      </c>
    </row>
    <row r="14346" spans="1:24">
      <c r="A14346">
        <f>HYPERLINK("https://www.philgeps.gov.ph/GEPSNONPILOT/Tender/SplashBidNoticeAbstractUI.aspx?menuIndex=3&amp;refID=7043835&amp;Result=3","7043835")</f>
        <v>0</v>
      </c>
      <c r="B14346" t="s">
        <v>1544</v>
      </c>
      <c r="C14346" t="s">
        <v>17257</v>
      </c>
      <c r="D14346" t="s">
        <v>18172</v>
      </c>
      <c r="E14346" t="s">
        <v>30595</v>
      </c>
      <c r="F14346" t="s">
        <v>31362</v>
      </c>
      <c r="G14346" t="s">
        <v>31369</v>
      </c>
      <c r="H14346" t="s">
        <v>31378</v>
      </c>
      <c r="I14346" t="s">
        <v>31386</v>
      </c>
      <c r="J14346" t="s">
        <v>40175</v>
      </c>
      <c r="K14346" t="s">
        <v>40686</v>
      </c>
      <c r="M14346" t="s">
        <v>42591</v>
      </c>
      <c r="N14346" t="s">
        <v>44905</v>
      </c>
      <c r="O14346" t="s">
        <v>44906</v>
      </c>
      <c r="P14346">
        <v>0</v>
      </c>
      <c r="Q14346">
        <v>1</v>
      </c>
      <c r="R14346" t="s">
        <v>44925</v>
      </c>
      <c r="S14346" t="s">
        <v>45891</v>
      </c>
      <c r="T14346" t="s">
        <v>46447</v>
      </c>
      <c r="U14346" t="s">
        <v>58355</v>
      </c>
      <c r="W14346" t="s">
        <v>42591</v>
      </c>
      <c r="X14346" t="s">
        <v>44927</v>
      </c>
    </row>
    <row r="14347" spans="1:24">
      <c r="A14347">
        <f>HYPERLINK("https://www.philgeps.gov.ph/GEPSNONPILOT/Tender/SplashBidNoticeAbstractUI.aspx?menuIndex=3&amp;refID=7043779&amp;Result=3","7043779")</f>
        <v>0</v>
      </c>
      <c r="B14347" t="s">
        <v>3460</v>
      </c>
      <c r="C14347" t="s">
        <v>17258</v>
      </c>
      <c r="D14347" t="s">
        <v>18132</v>
      </c>
      <c r="E14347" t="s">
        <v>30596</v>
      </c>
      <c r="F14347" t="s">
        <v>31362</v>
      </c>
      <c r="G14347" t="s">
        <v>31369</v>
      </c>
      <c r="H14347" t="s">
        <v>15799</v>
      </c>
      <c r="I14347" t="s">
        <v>31413</v>
      </c>
      <c r="J14347" t="s">
        <v>40176</v>
      </c>
      <c r="K14347" t="s">
        <v>40682</v>
      </c>
      <c r="M14347" t="s">
        <v>44795</v>
      </c>
      <c r="N14347" t="s">
        <v>44905</v>
      </c>
      <c r="O14347" t="s">
        <v>44906</v>
      </c>
      <c r="Q14347">
        <v>0</v>
      </c>
      <c r="R14347" t="s">
        <v>44925</v>
      </c>
      <c r="S14347" t="s">
        <v>45923</v>
      </c>
      <c r="T14347" t="s">
        <v>46481</v>
      </c>
      <c r="U14347" t="s">
        <v>58333</v>
      </c>
      <c r="W14347" t="s">
        <v>44795</v>
      </c>
      <c r="X14347" t="s">
        <v>44927</v>
      </c>
    </row>
    <row r="14348" spans="1:24">
      <c r="A14348">
        <f>HYPERLINK("https://www.philgeps.gov.ph/GEPSNONPILOT/Tender/SplashBidNoticeAbstractUI.aspx?menuIndex=3&amp;refID=7043833&amp;Result=3","7043833")</f>
        <v>0</v>
      </c>
      <c r="B14348" t="s">
        <v>1544</v>
      </c>
      <c r="C14348" t="s">
        <v>17259</v>
      </c>
      <c r="D14348" t="s">
        <v>18172</v>
      </c>
      <c r="E14348" t="s">
        <v>30597</v>
      </c>
      <c r="F14348" t="s">
        <v>31362</v>
      </c>
      <c r="G14348" t="s">
        <v>31369</v>
      </c>
      <c r="H14348" t="s">
        <v>31378</v>
      </c>
      <c r="I14348" t="s">
        <v>31386</v>
      </c>
      <c r="J14348" t="s">
        <v>40177</v>
      </c>
      <c r="K14348" t="s">
        <v>40665</v>
      </c>
      <c r="M14348" t="s">
        <v>42591</v>
      </c>
      <c r="N14348" t="s">
        <v>44905</v>
      </c>
      <c r="O14348" t="s">
        <v>44906</v>
      </c>
      <c r="P14348">
        <v>0</v>
      </c>
      <c r="Q14348">
        <v>0</v>
      </c>
      <c r="R14348" t="s">
        <v>44925</v>
      </c>
      <c r="S14348" t="s">
        <v>45891</v>
      </c>
      <c r="T14348" t="s">
        <v>46447</v>
      </c>
      <c r="U14348" t="s">
        <v>58356</v>
      </c>
      <c r="W14348" t="s">
        <v>42591</v>
      </c>
      <c r="X14348" t="s">
        <v>44927</v>
      </c>
    </row>
    <row r="14349" spans="1:24">
      <c r="A14349">
        <f>HYPERLINK("https://www.philgeps.gov.ph/GEPSNONPILOT/Tender/SplashBidNoticeAbstractUI.aspx?menuIndex=3&amp;refID=7043773&amp;Result=3","7043773")</f>
        <v>0</v>
      </c>
      <c r="B14349" t="s">
        <v>3460</v>
      </c>
      <c r="C14349" t="s">
        <v>17260</v>
      </c>
      <c r="D14349" t="s">
        <v>18132</v>
      </c>
      <c r="E14349" t="s">
        <v>30598</v>
      </c>
      <c r="F14349" t="s">
        <v>31362</v>
      </c>
      <c r="G14349" t="s">
        <v>31369</v>
      </c>
      <c r="H14349" t="s">
        <v>15799</v>
      </c>
      <c r="I14349" t="s">
        <v>31413</v>
      </c>
      <c r="J14349" t="s">
        <v>31536</v>
      </c>
      <c r="K14349" t="s">
        <v>40682</v>
      </c>
      <c r="M14349" t="s">
        <v>44795</v>
      </c>
      <c r="N14349" t="s">
        <v>44905</v>
      </c>
      <c r="O14349" t="s">
        <v>44906</v>
      </c>
      <c r="P14349">
        <v>0</v>
      </c>
      <c r="Q14349">
        <v>0</v>
      </c>
      <c r="R14349" t="s">
        <v>44925</v>
      </c>
      <c r="S14349" t="s">
        <v>45891</v>
      </c>
      <c r="T14349" t="s">
        <v>46481</v>
      </c>
      <c r="U14349" t="s">
        <v>58354</v>
      </c>
      <c r="W14349" t="s">
        <v>44795</v>
      </c>
      <c r="X14349" t="s">
        <v>44927</v>
      </c>
    </row>
    <row r="14350" spans="1:24">
      <c r="A14350">
        <f>HYPERLINK("https://www.philgeps.gov.ph/GEPSNONPILOT/Tender/SplashBidNoticeAbstractUI.aspx?menuIndex=3&amp;refID=7043769&amp;Result=3","7043769")</f>
        <v>0</v>
      </c>
      <c r="B14350" t="s">
        <v>3460</v>
      </c>
      <c r="C14350" t="s">
        <v>17261</v>
      </c>
      <c r="D14350" t="s">
        <v>18144</v>
      </c>
      <c r="E14350" t="s">
        <v>30599</v>
      </c>
      <c r="F14350" t="s">
        <v>31362</v>
      </c>
      <c r="G14350" t="s">
        <v>31369</v>
      </c>
      <c r="H14350" t="s">
        <v>15799</v>
      </c>
      <c r="I14350" t="s">
        <v>31413</v>
      </c>
      <c r="J14350" t="s">
        <v>40178</v>
      </c>
      <c r="K14350" t="s">
        <v>40682</v>
      </c>
      <c r="M14350" t="s">
        <v>44795</v>
      </c>
      <c r="N14350" t="s">
        <v>44905</v>
      </c>
      <c r="O14350" t="s">
        <v>44906</v>
      </c>
      <c r="Q14350">
        <v>4</v>
      </c>
      <c r="R14350" t="s">
        <v>44925</v>
      </c>
      <c r="S14350" t="s">
        <v>45924</v>
      </c>
      <c r="T14350" t="s">
        <v>46481</v>
      </c>
      <c r="U14350" t="s">
        <v>58357</v>
      </c>
      <c r="W14350" t="s">
        <v>44795</v>
      </c>
      <c r="X14350" t="s">
        <v>44927</v>
      </c>
    </row>
    <row r="14351" spans="1:24">
      <c r="A14351">
        <f>HYPERLINK("https://www.philgeps.gov.ph/GEPSNONPILOT/Tender/SplashBidNoticeAbstractUI.aspx?menuIndex=3&amp;refID=7043763&amp;Result=3","7043763")</f>
        <v>0</v>
      </c>
      <c r="B14351" t="s">
        <v>3460</v>
      </c>
      <c r="C14351" t="s">
        <v>17262</v>
      </c>
      <c r="D14351" t="s">
        <v>18144</v>
      </c>
      <c r="E14351" t="s">
        <v>30600</v>
      </c>
      <c r="F14351" t="s">
        <v>31362</v>
      </c>
      <c r="G14351" t="s">
        <v>31369</v>
      </c>
      <c r="H14351" t="s">
        <v>15799</v>
      </c>
      <c r="I14351" t="s">
        <v>31413</v>
      </c>
      <c r="J14351" t="s">
        <v>40179</v>
      </c>
      <c r="K14351" t="s">
        <v>40682</v>
      </c>
      <c r="M14351" t="s">
        <v>44795</v>
      </c>
      <c r="N14351" t="s">
        <v>44905</v>
      </c>
      <c r="O14351" t="s">
        <v>44906</v>
      </c>
      <c r="Q14351">
        <v>4</v>
      </c>
      <c r="R14351" t="s">
        <v>44925</v>
      </c>
      <c r="S14351" t="s">
        <v>45925</v>
      </c>
      <c r="T14351" t="s">
        <v>46481</v>
      </c>
      <c r="U14351" t="s">
        <v>58358</v>
      </c>
      <c r="W14351" t="s">
        <v>44795</v>
      </c>
      <c r="X14351" t="s">
        <v>44927</v>
      </c>
    </row>
    <row r="14352" spans="1:24">
      <c r="A14352">
        <f>HYPERLINK("https://www.philgeps.gov.ph/GEPSNONPILOT/Tender/SplashBidNoticeAbstractUI.aspx?menuIndex=3&amp;refID=7043238&amp;Result=3","7043238")</f>
        <v>0</v>
      </c>
      <c r="B14352" t="s">
        <v>1544</v>
      </c>
      <c r="C14352" t="s">
        <v>17263</v>
      </c>
      <c r="D14352" t="s">
        <v>18172</v>
      </c>
      <c r="E14352" t="s">
        <v>30601</v>
      </c>
      <c r="F14352" t="s">
        <v>31362</v>
      </c>
      <c r="G14352" t="s">
        <v>31369</v>
      </c>
      <c r="H14352" t="s">
        <v>31378</v>
      </c>
      <c r="I14352" t="s">
        <v>31386</v>
      </c>
      <c r="J14352" t="s">
        <v>40180</v>
      </c>
      <c r="K14352" t="s">
        <v>40711</v>
      </c>
      <c r="M14352" t="s">
        <v>42591</v>
      </c>
      <c r="N14352" t="s">
        <v>44905</v>
      </c>
      <c r="O14352" t="s">
        <v>44906</v>
      </c>
      <c r="P14352">
        <v>0</v>
      </c>
      <c r="Q14352">
        <v>0</v>
      </c>
      <c r="R14352" t="s">
        <v>44925</v>
      </c>
      <c r="S14352" t="s">
        <v>45891</v>
      </c>
      <c r="T14352" t="s">
        <v>46447</v>
      </c>
      <c r="U14352" t="s">
        <v>58359</v>
      </c>
      <c r="W14352" t="s">
        <v>42591</v>
      </c>
      <c r="X14352" t="s">
        <v>44929</v>
      </c>
    </row>
    <row r="14353" spans="1:24">
      <c r="A14353">
        <f>HYPERLINK("https://www.philgeps.gov.ph/GEPSNONPILOT/Tender/SplashBidNoticeAbstractUI.aspx?menuIndex=3&amp;refID=7043732&amp;Result=3","7043732")</f>
        <v>0</v>
      </c>
      <c r="B14353" t="s">
        <v>183</v>
      </c>
      <c r="C14353" t="s">
        <v>17264</v>
      </c>
      <c r="D14353" t="s">
        <v>18129</v>
      </c>
      <c r="E14353" t="s">
        <v>30602</v>
      </c>
      <c r="F14353" t="s">
        <v>31362</v>
      </c>
      <c r="G14353" t="s">
        <v>31369</v>
      </c>
      <c r="H14353" t="s">
        <v>31378</v>
      </c>
      <c r="I14353" t="s">
        <v>31386</v>
      </c>
      <c r="J14353" t="s">
        <v>31709</v>
      </c>
      <c r="K14353" t="s">
        <v>40694</v>
      </c>
      <c r="M14353" t="s">
        <v>41121</v>
      </c>
      <c r="N14353" t="s">
        <v>44905</v>
      </c>
      <c r="O14353" t="s">
        <v>44906</v>
      </c>
      <c r="P14353">
        <v>0</v>
      </c>
      <c r="Q14353">
        <v>2</v>
      </c>
      <c r="R14353" t="s">
        <v>44925</v>
      </c>
      <c r="S14353" t="s">
        <v>45891</v>
      </c>
      <c r="T14353" t="s">
        <v>46447</v>
      </c>
      <c r="U14353" t="s">
        <v>58360</v>
      </c>
      <c r="W14353" t="s">
        <v>41121</v>
      </c>
      <c r="X14353" t="s">
        <v>44927</v>
      </c>
    </row>
    <row r="14354" spans="1:24">
      <c r="A14354">
        <f>HYPERLINK("https://www.philgeps.gov.ph/GEPSNONPILOT/Tender/SplashBidNoticeAbstractUI.aspx?menuIndex=3&amp;refID=7043711&amp;Result=3","7043711")</f>
        <v>0</v>
      </c>
      <c r="B14354" t="s">
        <v>396</v>
      </c>
      <c r="C14354" t="s">
        <v>17265</v>
      </c>
      <c r="D14354" t="s">
        <v>18155</v>
      </c>
      <c r="E14354" t="s">
        <v>30603</v>
      </c>
      <c r="F14354" t="s">
        <v>31362</v>
      </c>
      <c r="G14354" t="s">
        <v>31369</v>
      </c>
      <c r="H14354" t="s">
        <v>31378</v>
      </c>
      <c r="I14354" t="s">
        <v>31386</v>
      </c>
      <c r="J14354" t="s">
        <v>40181</v>
      </c>
      <c r="K14354" t="s">
        <v>40725</v>
      </c>
      <c r="M14354" t="s">
        <v>43643</v>
      </c>
      <c r="N14354" t="s">
        <v>44905</v>
      </c>
      <c r="O14354" t="s">
        <v>44906</v>
      </c>
      <c r="P14354">
        <v>0</v>
      </c>
      <c r="Q14354">
        <v>4</v>
      </c>
      <c r="R14354" t="s">
        <v>44925</v>
      </c>
      <c r="S14354" t="s">
        <v>45891</v>
      </c>
      <c r="T14354" t="s">
        <v>46454</v>
      </c>
      <c r="U14354" t="s">
        <v>53717</v>
      </c>
      <c r="W14354" t="s">
        <v>43643</v>
      </c>
      <c r="X14354" t="s">
        <v>44927</v>
      </c>
    </row>
    <row r="14355" spans="1:24">
      <c r="A14355">
        <f>HYPERLINK("https://www.philgeps.gov.ph/GEPSNONPILOT/Tender/SplashBidNoticeAbstractUI.aspx?menuIndex=3&amp;refID=7045212&amp;Result=3","7045212")</f>
        <v>0</v>
      </c>
      <c r="B14355" t="s">
        <v>1761</v>
      </c>
      <c r="C14355" t="s">
        <v>17266</v>
      </c>
      <c r="D14355" t="s">
        <v>18177</v>
      </c>
      <c r="E14355" t="s">
        <v>30604</v>
      </c>
      <c r="F14355" t="s">
        <v>31362</v>
      </c>
      <c r="G14355" t="s">
        <v>31369</v>
      </c>
      <c r="H14355" t="s">
        <v>31378</v>
      </c>
      <c r="I14355" t="s">
        <v>31386</v>
      </c>
      <c r="J14355" t="s">
        <v>33046</v>
      </c>
      <c r="K14355" t="s">
        <v>40678</v>
      </c>
      <c r="M14355" t="s">
        <v>42838</v>
      </c>
      <c r="N14355" t="s">
        <v>44905</v>
      </c>
      <c r="O14355" t="s">
        <v>44906</v>
      </c>
      <c r="P14355">
        <v>0</v>
      </c>
      <c r="Q14355">
        <v>0</v>
      </c>
      <c r="R14355" t="s">
        <v>44924</v>
      </c>
      <c r="S14355" t="s">
        <v>45829</v>
      </c>
      <c r="T14355" t="s">
        <v>46447</v>
      </c>
      <c r="U14355" t="s">
        <v>58361</v>
      </c>
      <c r="W14355" t="s">
        <v>42838</v>
      </c>
      <c r="X14355" t="s">
        <v>44925</v>
      </c>
    </row>
    <row r="14356" spans="1:24">
      <c r="A14356">
        <f>HYPERLINK("https://www.philgeps.gov.ph/GEPSNONPILOT/Tender/SplashBidNoticeAbstractUI.aspx?menuIndex=3&amp;refID=7045144&amp;Result=3","7045144")</f>
        <v>0</v>
      </c>
      <c r="B14356" t="s">
        <v>2380</v>
      </c>
      <c r="C14356" t="s">
        <v>17267</v>
      </c>
      <c r="D14356" t="s">
        <v>18112</v>
      </c>
      <c r="E14356" t="s">
        <v>30605</v>
      </c>
      <c r="F14356" t="s">
        <v>31362</v>
      </c>
      <c r="G14356" t="s">
        <v>31369</v>
      </c>
      <c r="H14356" t="s">
        <v>15799</v>
      </c>
      <c r="I14356" t="s">
        <v>31414</v>
      </c>
      <c r="J14356" t="s">
        <v>40182</v>
      </c>
      <c r="K14356" t="s">
        <v>40665</v>
      </c>
      <c r="M14356" t="s">
        <v>43529</v>
      </c>
      <c r="N14356" t="s">
        <v>44905</v>
      </c>
      <c r="O14356" t="s">
        <v>44906</v>
      </c>
      <c r="P14356">
        <v>0</v>
      </c>
      <c r="Q14356">
        <v>5</v>
      </c>
      <c r="R14356" t="s">
        <v>44924</v>
      </c>
      <c r="S14356" t="s">
        <v>45829</v>
      </c>
      <c r="T14356" t="s">
        <v>46470</v>
      </c>
      <c r="U14356" t="s">
        <v>58362</v>
      </c>
      <c r="V14356" t="s">
        <v>60700</v>
      </c>
      <c r="W14356" t="s">
        <v>43529</v>
      </c>
      <c r="X14356" t="s">
        <v>44925</v>
      </c>
    </row>
    <row r="14357" spans="1:24">
      <c r="A14357">
        <f>HYPERLINK("https://www.philgeps.gov.ph/GEPSNONPILOT/Tender/SplashBidNoticeAbstractUI.aspx?menuIndex=3&amp;refID=7045136&amp;Result=3","7045136")</f>
        <v>0</v>
      </c>
      <c r="B14357" t="s">
        <v>929</v>
      </c>
      <c r="C14357" t="s">
        <v>17268</v>
      </c>
      <c r="D14357" t="s">
        <v>18143</v>
      </c>
      <c r="E14357" t="s">
        <v>30606</v>
      </c>
      <c r="F14357" t="s">
        <v>31362</v>
      </c>
      <c r="G14357" t="s">
        <v>31369</v>
      </c>
      <c r="H14357" t="s">
        <v>15799</v>
      </c>
      <c r="I14357" t="s">
        <v>31414</v>
      </c>
      <c r="J14357" t="s">
        <v>31641</v>
      </c>
      <c r="K14357" t="s">
        <v>40661</v>
      </c>
      <c r="M14357" t="s">
        <v>41916</v>
      </c>
      <c r="N14357" t="s">
        <v>44905</v>
      </c>
      <c r="O14357" t="s">
        <v>44906</v>
      </c>
      <c r="P14357">
        <v>0</v>
      </c>
      <c r="Q14357">
        <v>3</v>
      </c>
      <c r="R14357" t="s">
        <v>44924</v>
      </c>
      <c r="S14357" t="s">
        <v>45829</v>
      </c>
      <c r="T14357" t="s">
        <v>46532</v>
      </c>
      <c r="U14357" t="s">
        <v>58363</v>
      </c>
      <c r="W14357" t="s">
        <v>41916</v>
      </c>
      <c r="X14357" t="s">
        <v>44925</v>
      </c>
    </row>
    <row r="14358" spans="1:24">
      <c r="A14358">
        <f>HYPERLINK("https://www.philgeps.gov.ph/GEPSNONPILOT/Tender/SplashBidNoticeAbstractUI.aspx?menuIndex=3&amp;refID=7043822&amp;Result=3","7043822")</f>
        <v>0</v>
      </c>
      <c r="B14358" t="s">
        <v>1544</v>
      </c>
      <c r="C14358" t="s">
        <v>17269</v>
      </c>
      <c r="D14358" t="s">
        <v>18172</v>
      </c>
      <c r="E14358" t="s">
        <v>30607</v>
      </c>
      <c r="F14358" t="s">
        <v>31362</v>
      </c>
      <c r="G14358" t="s">
        <v>31369</v>
      </c>
      <c r="H14358" t="s">
        <v>31378</v>
      </c>
      <c r="I14358" t="s">
        <v>31386</v>
      </c>
      <c r="J14358" t="s">
        <v>40183</v>
      </c>
      <c r="K14358" t="s">
        <v>40735</v>
      </c>
      <c r="M14358" t="s">
        <v>42591</v>
      </c>
      <c r="N14358" t="s">
        <v>44905</v>
      </c>
      <c r="O14358" t="s">
        <v>44906</v>
      </c>
      <c r="P14358">
        <v>0</v>
      </c>
      <c r="Q14358">
        <v>0</v>
      </c>
      <c r="R14358" t="s">
        <v>44925</v>
      </c>
      <c r="S14358" t="s">
        <v>45891</v>
      </c>
      <c r="T14358" t="s">
        <v>46447</v>
      </c>
      <c r="U14358" t="s">
        <v>58364</v>
      </c>
      <c r="W14358" t="s">
        <v>42591</v>
      </c>
      <c r="X14358" t="s">
        <v>44927</v>
      </c>
    </row>
    <row r="14359" spans="1:24">
      <c r="A14359">
        <f>HYPERLINK("https://www.philgeps.gov.ph/GEPSNONPILOT/Tender/SplashBidNoticeAbstractUI.aspx?menuIndex=3&amp;refID=7045129&amp;Result=3","7045129")</f>
        <v>0</v>
      </c>
      <c r="B14359" t="s">
        <v>3139</v>
      </c>
      <c r="C14359" t="s">
        <v>17270</v>
      </c>
      <c r="D14359" t="s">
        <v>18138</v>
      </c>
      <c r="E14359" t="s">
        <v>21404</v>
      </c>
      <c r="F14359" t="s">
        <v>31362</v>
      </c>
      <c r="G14359" t="s">
        <v>31369</v>
      </c>
      <c r="H14359" t="s">
        <v>15799</v>
      </c>
      <c r="I14359" t="s">
        <v>3815</v>
      </c>
      <c r="J14359" t="s">
        <v>40184</v>
      </c>
      <c r="K14359" t="s">
        <v>40665</v>
      </c>
      <c r="M14359" t="s">
        <v>44399</v>
      </c>
      <c r="N14359" t="s">
        <v>44905</v>
      </c>
      <c r="O14359" t="s">
        <v>44906</v>
      </c>
      <c r="P14359">
        <v>0</v>
      </c>
      <c r="Q14359">
        <v>0</v>
      </c>
      <c r="R14359" t="s">
        <v>44924</v>
      </c>
      <c r="S14359" t="s">
        <v>45829</v>
      </c>
      <c r="T14359" t="s">
        <v>46467</v>
      </c>
      <c r="U14359" t="s">
        <v>58365</v>
      </c>
      <c r="W14359" t="s">
        <v>44399</v>
      </c>
      <c r="X14359" t="s">
        <v>44925</v>
      </c>
    </row>
    <row r="14360" spans="1:24">
      <c r="A14360">
        <f>HYPERLINK("https://www.philgeps.gov.ph/GEPSNONPILOT/Tender/SplashBidNoticeAbstractUI.aspx?menuIndex=3&amp;refID=7045113&amp;Result=3","7045113")</f>
        <v>0</v>
      </c>
      <c r="B14360" t="s">
        <v>3069</v>
      </c>
      <c r="C14360" t="s">
        <v>17271</v>
      </c>
      <c r="D14360" t="s">
        <v>18104</v>
      </c>
      <c r="E14360" t="s">
        <v>30608</v>
      </c>
      <c r="F14360" t="s">
        <v>31362</v>
      </c>
      <c r="G14360" t="s">
        <v>31369</v>
      </c>
      <c r="H14360" t="s">
        <v>15799</v>
      </c>
      <c r="I14360" t="s">
        <v>31393</v>
      </c>
      <c r="J14360" t="s">
        <v>32333</v>
      </c>
      <c r="K14360" t="s">
        <v>40686</v>
      </c>
      <c r="M14360" t="s">
        <v>44306</v>
      </c>
      <c r="N14360" t="s">
        <v>44905</v>
      </c>
      <c r="O14360" t="s">
        <v>44906</v>
      </c>
      <c r="Q14360">
        <v>8</v>
      </c>
      <c r="R14360" t="s">
        <v>44924</v>
      </c>
      <c r="S14360" t="s">
        <v>45317</v>
      </c>
      <c r="T14360" t="s">
        <v>46392</v>
      </c>
      <c r="U14360" t="s">
        <v>58366</v>
      </c>
      <c r="V14360" t="s">
        <v>60274</v>
      </c>
      <c r="W14360" t="s">
        <v>44306</v>
      </c>
      <c r="X14360" t="s">
        <v>44925</v>
      </c>
    </row>
    <row r="14361" spans="1:24">
      <c r="A14361">
        <f>HYPERLINK("https://www.philgeps.gov.ph/GEPSNONPILOT/Tender/SplashBidNoticeAbstractUI.aspx?menuIndex=3&amp;refID=7045010&amp;Result=3","7045010")</f>
        <v>0</v>
      </c>
      <c r="B14361" t="s">
        <v>444</v>
      </c>
      <c r="C14361" t="s">
        <v>17272</v>
      </c>
      <c r="D14361" t="s">
        <v>18146</v>
      </c>
      <c r="E14361" t="s">
        <v>30609</v>
      </c>
      <c r="F14361" t="s">
        <v>31362</v>
      </c>
      <c r="G14361" t="s">
        <v>31369</v>
      </c>
      <c r="H14361" t="s">
        <v>31378</v>
      </c>
      <c r="I14361" t="s">
        <v>31386</v>
      </c>
      <c r="J14361" t="s">
        <v>31591</v>
      </c>
      <c r="K14361" t="s">
        <v>40682</v>
      </c>
      <c r="M14361" t="s">
        <v>41397</v>
      </c>
      <c r="N14361" t="s">
        <v>44905</v>
      </c>
      <c r="O14361" t="s">
        <v>44906</v>
      </c>
      <c r="P14361">
        <v>0</v>
      </c>
      <c r="Q14361">
        <v>0</v>
      </c>
      <c r="R14361" t="s">
        <v>44924</v>
      </c>
      <c r="S14361" t="s">
        <v>45829</v>
      </c>
      <c r="T14361" t="s">
        <v>46409</v>
      </c>
      <c r="U14361" t="s">
        <v>58367</v>
      </c>
      <c r="W14361" t="s">
        <v>41397</v>
      </c>
      <c r="X14361" t="s">
        <v>44925</v>
      </c>
    </row>
    <row r="14362" spans="1:24">
      <c r="A14362">
        <f>HYPERLINK("https://www.philgeps.gov.ph/GEPSNONPILOT/Tender/SplashBidNoticeAbstractUI.aspx?menuIndex=3&amp;refID=7045210&amp;Result=3","7045210")</f>
        <v>0</v>
      </c>
      <c r="B14362" t="s">
        <v>929</v>
      </c>
      <c r="C14362" t="s">
        <v>17273</v>
      </c>
      <c r="D14362" t="s">
        <v>18143</v>
      </c>
      <c r="E14362" t="s">
        <v>30610</v>
      </c>
      <c r="F14362" t="s">
        <v>31362</v>
      </c>
      <c r="G14362" t="s">
        <v>31369</v>
      </c>
      <c r="H14362" t="s">
        <v>15799</v>
      </c>
      <c r="I14362" t="s">
        <v>31409</v>
      </c>
      <c r="J14362" t="s">
        <v>31615</v>
      </c>
      <c r="K14362" t="s">
        <v>40661</v>
      </c>
      <c r="M14362" t="s">
        <v>41916</v>
      </c>
      <c r="N14362" t="s">
        <v>44905</v>
      </c>
      <c r="O14362" t="s">
        <v>44906</v>
      </c>
      <c r="P14362">
        <v>0</v>
      </c>
      <c r="Q14362">
        <v>8</v>
      </c>
      <c r="R14362" t="s">
        <v>44924</v>
      </c>
      <c r="S14362" t="s">
        <v>45829</v>
      </c>
      <c r="T14362" t="s">
        <v>46532</v>
      </c>
      <c r="U14362" t="s">
        <v>58368</v>
      </c>
      <c r="W14362" t="s">
        <v>41916</v>
      </c>
      <c r="X14362" t="s">
        <v>44925</v>
      </c>
    </row>
    <row r="14363" spans="1:24">
      <c r="A14363">
        <f>HYPERLINK("https://www.philgeps.gov.ph/GEPSNONPILOT/Tender/SplashBidNoticeAbstractUI.aspx?menuIndex=3&amp;refID=7045001&amp;Result=3","7045001")</f>
        <v>0</v>
      </c>
      <c r="B14363" t="s">
        <v>121</v>
      </c>
      <c r="C14363" t="s">
        <v>17274</v>
      </c>
      <c r="D14363" t="s">
        <v>18144</v>
      </c>
      <c r="E14363" t="s">
        <v>30611</v>
      </c>
      <c r="F14363" t="s">
        <v>31362</v>
      </c>
      <c r="G14363" t="s">
        <v>31369</v>
      </c>
      <c r="H14363" t="s">
        <v>31378</v>
      </c>
      <c r="I14363" t="s">
        <v>31386</v>
      </c>
      <c r="J14363" t="s">
        <v>31738</v>
      </c>
      <c r="K14363" t="s">
        <v>40681</v>
      </c>
      <c r="M14363" t="s">
        <v>41058</v>
      </c>
      <c r="N14363" t="s">
        <v>44905</v>
      </c>
      <c r="O14363" t="s">
        <v>44906</v>
      </c>
      <c r="P14363">
        <v>0</v>
      </c>
      <c r="Q14363">
        <v>0</v>
      </c>
      <c r="R14363" t="s">
        <v>44924</v>
      </c>
      <c r="S14363" t="s">
        <v>45829</v>
      </c>
      <c r="T14363" t="s">
        <v>46447</v>
      </c>
      <c r="U14363" t="s">
        <v>58369</v>
      </c>
      <c r="W14363" t="s">
        <v>41058</v>
      </c>
      <c r="X14363" t="s">
        <v>44925</v>
      </c>
    </row>
    <row r="14364" spans="1:24">
      <c r="A14364">
        <f>HYPERLINK("https://www.philgeps.gov.ph/GEPSNONPILOT/Tender/SplashBidNoticeAbstractUI.aspx?menuIndex=3&amp;refID=7045138&amp;Result=3","7045138")</f>
        <v>0</v>
      </c>
      <c r="B14364" t="s">
        <v>3462</v>
      </c>
      <c r="C14364" t="s">
        <v>17275</v>
      </c>
      <c r="E14364" t="s">
        <v>30612</v>
      </c>
      <c r="F14364" t="s">
        <v>31362</v>
      </c>
      <c r="G14364" t="s">
        <v>31369</v>
      </c>
      <c r="H14364" t="s">
        <v>15799</v>
      </c>
      <c r="I14364" t="s">
        <v>31386</v>
      </c>
      <c r="J14364" t="s">
        <v>35450</v>
      </c>
      <c r="K14364" t="s">
        <v>40662</v>
      </c>
      <c r="M14364" t="s">
        <v>44797</v>
      </c>
      <c r="N14364" t="s">
        <v>44905</v>
      </c>
      <c r="O14364" t="s">
        <v>44906</v>
      </c>
      <c r="P14364">
        <v>0</v>
      </c>
      <c r="Q14364">
        <v>4</v>
      </c>
      <c r="R14364" t="s">
        <v>44924</v>
      </c>
      <c r="S14364" t="s">
        <v>45829</v>
      </c>
      <c r="T14364" t="s">
        <v>46549</v>
      </c>
      <c r="U14364" t="s">
        <v>58370</v>
      </c>
      <c r="W14364" t="s">
        <v>44797</v>
      </c>
      <c r="X14364" t="s">
        <v>44925</v>
      </c>
    </row>
    <row r="14365" spans="1:24">
      <c r="A14365">
        <f>HYPERLINK("https://www.philgeps.gov.ph/GEPSNONPILOT/Tender/SplashBidNoticeAbstractUI.aspx?menuIndex=3&amp;refID=7044987&amp;Result=3","7044987")</f>
        <v>0</v>
      </c>
      <c r="B14365" t="s">
        <v>1549</v>
      </c>
      <c r="C14365" t="s">
        <v>17276</v>
      </c>
      <c r="D14365" t="s">
        <v>18113</v>
      </c>
      <c r="E14365" t="s">
        <v>30613</v>
      </c>
      <c r="F14365" t="s">
        <v>31362</v>
      </c>
      <c r="G14365" t="s">
        <v>31369</v>
      </c>
      <c r="H14365" t="s">
        <v>15799</v>
      </c>
      <c r="I14365" t="s">
        <v>3815</v>
      </c>
      <c r="J14365" t="s">
        <v>40185</v>
      </c>
      <c r="K14365" t="s">
        <v>40665</v>
      </c>
      <c r="L14365" t="s">
        <v>1549</v>
      </c>
      <c r="M14365" t="s">
        <v>42597</v>
      </c>
      <c r="N14365" t="s">
        <v>44905</v>
      </c>
      <c r="O14365" t="s">
        <v>44906</v>
      </c>
      <c r="P14365">
        <v>0</v>
      </c>
      <c r="Q14365">
        <v>2</v>
      </c>
      <c r="R14365" t="s">
        <v>44924</v>
      </c>
      <c r="S14365" t="s">
        <v>45829</v>
      </c>
      <c r="T14365" t="s">
        <v>46498</v>
      </c>
      <c r="U14365" t="s">
        <v>58371</v>
      </c>
      <c r="W14365" t="s">
        <v>42597</v>
      </c>
      <c r="X14365" t="s">
        <v>44925</v>
      </c>
    </row>
    <row r="14366" spans="1:24">
      <c r="A14366">
        <f>HYPERLINK("https://www.philgeps.gov.ph/GEPSNONPILOT/Tender/SplashBidNoticeAbstractUI.aspx?menuIndex=3&amp;refID=7044008&amp;Result=3","7044008")</f>
        <v>0</v>
      </c>
      <c r="B14366" t="s">
        <v>3463</v>
      </c>
      <c r="C14366" t="s">
        <v>17277</v>
      </c>
      <c r="D14366" t="s">
        <v>18108</v>
      </c>
      <c r="E14366" t="s">
        <v>30614</v>
      </c>
      <c r="F14366" t="s">
        <v>31362</v>
      </c>
      <c r="G14366" t="s">
        <v>31369</v>
      </c>
      <c r="H14366" t="s">
        <v>31378</v>
      </c>
      <c r="I14366" t="s">
        <v>31421</v>
      </c>
      <c r="J14366" t="s">
        <v>31606</v>
      </c>
      <c r="K14366" t="s">
        <v>40662</v>
      </c>
      <c r="M14366" t="s">
        <v>44798</v>
      </c>
      <c r="N14366" t="s">
        <v>44905</v>
      </c>
      <c r="O14366" t="s">
        <v>44906</v>
      </c>
      <c r="P14366">
        <v>0</v>
      </c>
      <c r="Q14366">
        <v>13</v>
      </c>
      <c r="R14366" t="s">
        <v>44925</v>
      </c>
      <c r="S14366" t="s">
        <v>45891</v>
      </c>
      <c r="T14366" t="s">
        <v>46411</v>
      </c>
      <c r="U14366" t="s">
        <v>58372</v>
      </c>
      <c r="W14366" t="s">
        <v>44798</v>
      </c>
      <c r="X14366" t="s">
        <v>44926</v>
      </c>
    </row>
    <row r="14367" spans="1:24">
      <c r="A14367">
        <f>HYPERLINK("https://www.philgeps.gov.ph/GEPSNONPILOT/Tender/SplashBidNoticeAbstractUI.aspx?menuIndex=3&amp;refID=7043766&amp;Result=3","7043766")</f>
        <v>0</v>
      </c>
      <c r="B14367" t="s">
        <v>3460</v>
      </c>
      <c r="C14367" t="s">
        <v>17254</v>
      </c>
      <c r="D14367" t="s">
        <v>18144</v>
      </c>
      <c r="E14367" t="s">
        <v>30615</v>
      </c>
      <c r="F14367" t="s">
        <v>31362</v>
      </c>
      <c r="G14367" t="s">
        <v>31369</v>
      </c>
      <c r="H14367" t="s">
        <v>15799</v>
      </c>
      <c r="I14367" t="s">
        <v>31413</v>
      </c>
      <c r="J14367" t="s">
        <v>40186</v>
      </c>
      <c r="K14367" t="s">
        <v>40682</v>
      </c>
      <c r="M14367" t="s">
        <v>44795</v>
      </c>
      <c r="N14367" t="s">
        <v>44905</v>
      </c>
      <c r="O14367" t="s">
        <v>44906</v>
      </c>
      <c r="Q14367">
        <v>3</v>
      </c>
      <c r="R14367" t="s">
        <v>44925</v>
      </c>
      <c r="S14367" t="s">
        <v>45926</v>
      </c>
      <c r="T14367" t="s">
        <v>46481</v>
      </c>
      <c r="U14367" t="s">
        <v>58353</v>
      </c>
      <c r="W14367" t="s">
        <v>44795</v>
      </c>
      <c r="X14367" t="s">
        <v>44927</v>
      </c>
    </row>
    <row r="14368" spans="1:24">
      <c r="A14368">
        <f>HYPERLINK("https://www.philgeps.gov.ph/GEPSNONPILOT/Tender/SplashBidNoticeAbstractUI.aspx?menuIndex=3&amp;refID=7043963&amp;Result=3","7043963")</f>
        <v>0</v>
      </c>
      <c r="B14368" t="s">
        <v>963</v>
      </c>
      <c r="C14368" t="s">
        <v>17278</v>
      </c>
      <c r="D14368" t="s">
        <v>18131</v>
      </c>
      <c r="E14368" t="s">
        <v>30616</v>
      </c>
      <c r="F14368" t="s">
        <v>31362</v>
      </c>
      <c r="G14368" t="s">
        <v>31369</v>
      </c>
      <c r="H14368" t="s">
        <v>31378</v>
      </c>
      <c r="I14368" t="s">
        <v>31386</v>
      </c>
      <c r="J14368" t="s">
        <v>40187</v>
      </c>
      <c r="K14368" t="s">
        <v>40662</v>
      </c>
      <c r="M14368" t="s">
        <v>41951</v>
      </c>
      <c r="N14368" t="s">
        <v>44905</v>
      </c>
      <c r="O14368" t="s">
        <v>44906</v>
      </c>
      <c r="P14368">
        <v>0</v>
      </c>
      <c r="Q14368">
        <v>10</v>
      </c>
      <c r="R14368" t="s">
        <v>44925</v>
      </c>
      <c r="S14368" t="s">
        <v>45891</v>
      </c>
      <c r="T14368" t="s">
        <v>46432</v>
      </c>
      <c r="U14368" t="s">
        <v>58373</v>
      </c>
      <c r="W14368" t="s">
        <v>41951</v>
      </c>
      <c r="X14368" t="s">
        <v>44926</v>
      </c>
    </row>
    <row r="14369" spans="1:24">
      <c r="A14369">
        <f>HYPERLINK("https://www.philgeps.gov.ph/GEPSNONPILOT/Tender/SplashBidNoticeAbstractUI.aspx?menuIndex=3&amp;refID=7043934&amp;Result=3","7043934")</f>
        <v>0</v>
      </c>
      <c r="B14369" t="s">
        <v>3464</v>
      </c>
      <c r="C14369" t="s">
        <v>17279</v>
      </c>
      <c r="D14369" t="s">
        <v>18105</v>
      </c>
      <c r="E14369" t="s">
        <v>30617</v>
      </c>
      <c r="F14369" t="s">
        <v>31362</v>
      </c>
      <c r="G14369" t="s">
        <v>31369</v>
      </c>
      <c r="H14369" t="s">
        <v>31378</v>
      </c>
      <c r="I14369" t="s">
        <v>31386</v>
      </c>
      <c r="J14369" t="s">
        <v>40188</v>
      </c>
      <c r="K14369" t="s">
        <v>40686</v>
      </c>
      <c r="M14369" t="s">
        <v>44799</v>
      </c>
      <c r="N14369" t="s">
        <v>44905</v>
      </c>
      <c r="O14369" t="s">
        <v>44906</v>
      </c>
      <c r="Q14369">
        <v>39</v>
      </c>
      <c r="R14369" t="s">
        <v>44925</v>
      </c>
      <c r="S14369" t="s">
        <v>45160</v>
      </c>
      <c r="T14369" t="s">
        <v>46409</v>
      </c>
      <c r="U14369" t="s">
        <v>58374</v>
      </c>
      <c r="W14369" t="s">
        <v>44799</v>
      </c>
      <c r="X14369" t="s">
        <v>44926</v>
      </c>
    </row>
    <row r="14370" spans="1:24">
      <c r="A14370">
        <f>HYPERLINK("https://www.philgeps.gov.ph/GEPSNONPILOT/Tender/SplashBidNoticeAbstractUI.aspx?menuIndex=3&amp;refID=7043931&amp;Result=3","7043931")</f>
        <v>0</v>
      </c>
      <c r="B14370" t="s">
        <v>3464</v>
      </c>
      <c r="C14370" t="s">
        <v>17280</v>
      </c>
      <c r="D14370" t="s">
        <v>18105</v>
      </c>
      <c r="E14370" t="s">
        <v>30617</v>
      </c>
      <c r="F14370" t="s">
        <v>31362</v>
      </c>
      <c r="G14370" t="s">
        <v>31369</v>
      </c>
      <c r="H14370" t="s">
        <v>31378</v>
      </c>
      <c r="I14370" t="s">
        <v>31386</v>
      </c>
      <c r="J14370" t="s">
        <v>40189</v>
      </c>
      <c r="K14370" t="s">
        <v>40686</v>
      </c>
      <c r="M14370" t="s">
        <v>44799</v>
      </c>
      <c r="N14370" t="s">
        <v>44905</v>
      </c>
      <c r="O14370" t="s">
        <v>44906</v>
      </c>
      <c r="Q14370">
        <v>38</v>
      </c>
      <c r="R14370" t="s">
        <v>44925</v>
      </c>
      <c r="S14370" t="s">
        <v>45927</v>
      </c>
      <c r="T14370" t="s">
        <v>46409</v>
      </c>
      <c r="U14370" t="s">
        <v>58374</v>
      </c>
      <c r="W14370" t="s">
        <v>44799</v>
      </c>
      <c r="X14370" t="s">
        <v>44926</v>
      </c>
    </row>
    <row r="14371" spans="1:24">
      <c r="A14371">
        <f>HYPERLINK("https://www.philgeps.gov.ph/GEPSNONPILOT/Tender/SplashBidNoticeAbstractUI.aspx?menuIndex=3&amp;refID=7045004&amp;Result=3","7045004")</f>
        <v>0</v>
      </c>
      <c r="B14371" t="s">
        <v>2686</v>
      </c>
      <c r="C14371" t="s">
        <v>17281</v>
      </c>
      <c r="D14371" t="s">
        <v>18160</v>
      </c>
      <c r="E14371" t="s">
        <v>22818</v>
      </c>
      <c r="F14371" t="s">
        <v>31362</v>
      </c>
      <c r="G14371" t="s">
        <v>31369</v>
      </c>
      <c r="H14371" t="s">
        <v>31378</v>
      </c>
      <c r="I14371" t="s">
        <v>31386</v>
      </c>
      <c r="J14371" t="s">
        <v>31542</v>
      </c>
      <c r="K14371" t="s">
        <v>40662</v>
      </c>
      <c r="M14371" t="s">
        <v>43872</v>
      </c>
      <c r="N14371" t="s">
        <v>44905</v>
      </c>
      <c r="O14371" t="s">
        <v>44906</v>
      </c>
      <c r="P14371">
        <v>0</v>
      </c>
      <c r="Q14371">
        <v>2</v>
      </c>
      <c r="R14371" t="s">
        <v>44924</v>
      </c>
      <c r="S14371" t="s">
        <v>45829</v>
      </c>
      <c r="T14371" t="s">
        <v>46432</v>
      </c>
      <c r="U14371" t="s">
        <v>58375</v>
      </c>
      <c r="W14371" t="s">
        <v>43872</v>
      </c>
      <c r="X14371" t="s">
        <v>44925</v>
      </c>
    </row>
    <row r="14372" spans="1:24">
      <c r="A14372">
        <f>HYPERLINK("https://www.philgeps.gov.ph/GEPSNONPILOT/Tender/SplashBidNoticeAbstractUI.aspx?menuIndex=3&amp;refID=7043839&amp;Result=3","7043839")</f>
        <v>0</v>
      </c>
      <c r="B14372" t="s">
        <v>1544</v>
      </c>
      <c r="C14372" t="s">
        <v>17282</v>
      </c>
      <c r="D14372" t="s">
        <v>18172</v>
      </c>
      <c r="E14372" t="s">
        <v>30618</v>
      </c>
      <c r="F14372" t="s">
        <v>31362</v>
      </c>
      <c r="G14372" t="s">
        <v>31369</v>
      </c>
      <c r="H14372" t="s">
        <v>31378</v>
      </c>
      <c r="I14372" t="s">
        <v>31386</v>
      </c>
      <c r="J14372" t="s">
        <v>40190</v>
      </c>
      <c r="K14372" t="s">
        <v>40666</v>
      </c>
      <c r="M14372" t="s">
        <v>42591</v>
      </c>
      <c r="N14372" t="s">
        <v>44905</v>
      </c>
      <c r="O14372" t="s">
        <v>44906</v>
      </c>
      <c r="P14372">
        <v>0</v>
      </c>
      <c r="Q14372">
        <v>0</v>
      </c>
      <c r="R14372" t="s">
        <v>44925</v>
      </c>
      <c r="S14372" t="s">
        <v>45891</v>
      </c>
      <c r="T14372" t="s">
        <v>46447</v>
      </c>
      <c r="U14372" t="s">
        <v>58376</v>
      </c>
      <c r="W14372" t="s">
        <v>42591</v>
      </c>
      <c r="X14372" t="s">
        <v>44927</v>
      </c>
    </row>
    <row r="14373" spans="1:24">
      <c r="A14373">
        <f>HYPERLINK("https://www.philgeps.gov.ph/GEPSNONPILOT/Tender/SplashBidNoticeAbstractUI.aspx?menuIndex=3&amp;refID=7043928&amp;Result=3","7043928")</f>
        <v>0</v>
      </c>
      <c r="B14373" t="s">
        <v>3464</v>
      </c>
      <c r="C14373" t="s">
        <v>17283</v>
      </c>
      <c r="D14373" t="s">
        <v>18105</v>
      </c>
      <c r="E14373" t="s">
        <v>30617</v>
      </c>
      <c r="F14373" t="s">
        <v>31362</v>
      </c>
      <c r="G14373" t="s">
        <v>31369</v>
      </c>
      <c r="H14373" t="s">
        <v>31378</v>
      </c>
      <c r="I14373" t="s">
        <v>31386</v>
      </c>
      <c r="J14373" t="s">
        <v>40191</v>
      </c>
      <c r="K14373" t="s">
        <v>40686</v>
      </c>
      <c r="M14373" t="s">
        <v>44799</v>
      </c>
      <c r="N14373" t="s">
        <v>44905</v>
      </c>
      <c r="O14373" t="s">
        <v>44906</v>
      </c>
      <c r="Q14373">
        <v>39</v>
      </c>
      <c r="R14373" t="s">
        <v>44925</v>
      </c>
      <c r="S14373" t="s">
        <v>45928</v>
      </c>
      <c r="T14373" t="s">
        <v>46409</v>
      </c>
      <c r="U14373" t="s">
        <v>58374</v>
      </c>
      <c r="W14373" t="s">
        <v>44799</v>
      </c>
      <c r="X14373" t="s">
        <v>44926</v>
      </c>
    </row>
    <row r="14374" spans="1:24">
      <c r="A14374">
        <f>HYPERLINK("https://www.philgeps.gov.ph/GEPSNONPILOT/Tender/SplashBidNoticeAbstractUI.aspx?menuIndex=3&amp;refID=7045133&amp;Result=3","7045133")</f>
        <v>0</v>
      </c>
      <c r="B14374" t="s">
        <v>2686</v>
      </c>
      <c r="C14374" t="s">
        <v>17284</v>
      </c>
      <c r="D14374" t="s">
        <v>18160</v>
      </c>
      <c r="E14374" t="s">
        <v>24878</v>
      </c>
      <c r="F14374" t="s">
        <v>31362</v>
      </c>
      <c r="G14374" t="s">
        <v>31369</v>
      </c>
      <c r="H14374" t="s">
        <v>15799</v>
      </c>
      <c r="I14374" t="s">
        <v>7188</v>
      </c>
      <c r="J14374" t="s">
        <v>40192</v>
      </c>
      <c r="K14374" t="s">
        <v>40662</v>
      </c>
      <c r="M14374" t="s">
        <v>43872</v>
      </c>
      <c r="N14374" t="s">
        <v>44905</v>
      </c>
      <c r="O14374" t="s">
        <v>44906</v>
      </c>
      <c r="P14374">
        <v>0</v>
      </c>
      <c r="Q14374">
        <v>4</v>
      </c>
      <c r="R14374" t="s">
        <v>44924</v>
      </c>
      <c r="S14374" t="s">
        <v>45829</v>
      </c>
      <c r="T14374" t="s">
        <v>46432</v>
      </c>
      <c r="U14374" t="s">
        <v>58377</v>
      </c>
      <c r="W14374" t="s">
        <v>43872</v>
      </c>
      <c r="X14374" t="s">
        <v>44925</v>
      </c>
    </row>
    <row r="14375" spans="1:24">
      <c r="A14375">
        <f>HYPERLINK("https://www.philgeps.gov.ph/GEPSNONPILOT/Tender/SplashBidNoticeAbstractUI.aspx?menuIndex=3&amp;refID=7043930&amp;Result=3","7043930")</f>
        <v>0</v>
      </c>
      <c r="B14375" t="s">
        <v>3464</v>
      </c>
      <c r="C14375" t="s">
        <v>17285</v>
      </c>
      <c r="D14375" t="s">
        <v>18105</v>
      </c>
      <c r="E14375" t="s">
        <v>30617</v>
      </c>
      <c r="F14375" t="s">
        <v>31362</v>
      </c>
      <c r="G14375" t="s">
        <v>31369</v>
      </c>
      <c r="H14375" t="s">
        <v>31378</v>
      </c>
      <c r="I14375" t="s">
        <v>31386</v>
      </c>
      <c r="J14375" t="s">
        <v>40193</v>
      </c>
      <c r="K14375" t="s">
        <v>40686</v>
      </c>
      <c r="M14375" t="s">
        <v>44799</v>
      </c>
      <c r="N14375" t="s">
        <v>44905</v>
      </c>
      <c r="O14375" t="s">
        <v>44906</v>
      </c>
      <c r="Q14375">
        <v>35</v>
      </c>
      <c r="R14375" t="s">
        <v>44925</v>
      </c>
      <c r="S14375" t="s">
        <v>45929</v>
      </c>
      <c r="T14375" t="s">
        <v>46409</v>
      </c>
      <c r="U14375" t="s">
        <v>58374</v>
      </c>
      <c r="W14375" t="s">
        <v>44799</v>
      </c>
      <c r="X14375" t="s">
        <v>44926</v>
      </c>
    </row>
    <row r="14376" spans="1:24">
      <c r="A14376">
        <f>HYPERLINK("https://www.philgeps.gov.ph/GEPSNONPILOT/Tender/SplashBidNoticeAbstractUI.aspx?menuIndex=3&amp;refID=7043927&amp;Result=3","7043927")</f>
        <v>0</v>
      </c>
      <c r="B14376" t="s">
        <v>3464</v>
      </c>
      <c r="C14376" t="s">
        <v>17286</v>
      </c>
      <c r="D14376" t="s">
        <v>18105</v>
      </c>
      <c r="E14376" t="s">
        <v>30617</v>
      </c>
      <c r="F14376" t="s">
        <v>31362</v>
      </c>
      <c r="G14376" t="s">
        <v>31369</v>
      </c>
      <c r="H14376" t="s">
        <v>31378</v>
      </c>
      <c r="I14376" t="s">
        <v>31386</v>
      </c>
      <c r="J14376" t="s">
        <v>40194</v>
      </c>
      <c r="K14376" t="s">
        <v>40686</v>
      </c>
      <c r="M14376" t="s">
        <v>44799</v>
      </c>
      <c r="N14376" t="s">
        <v>44905</v>
      </c>
      <c r="O14376" t="s">
        <v>44906</v>
      </c>
      <c r="Q14376">
        <v>39</v>
      </c>
      <c r="R14376" t="s">
        <v>44925</v>
      </c>
      <c r="S14376" t="s">
        <v>45930</v>
      </c>
      <c r="T14376" t="s">
        <v>46409</v>
      </c>
      <c r="U14376" t="s">
        <v>58374</v>
      </c>
      <c r="W14376" t="s">
        <v>44799</v>
      </c>
      <c r="X14376" t="s">
        <v>44926</v>
      </c>
    </row>
    <row r="14377" spans="1:24">
      <c r="A14377">
        <f>HYPERLINK("https://www.philgeps.gov.ph/GEPSNONPILOT/Tender/SplashBidNoticeAbstractUI.aspx?menuIndex=3&amp;refID=7043872&amp;Result=3","7043872")</f>
        <v>0</v>
      </c>
      <c r="B14377" t="s">
        <v>869</v>
      </c>
      <c r="C14377" t="s">
        <v>17287</v>
      </c>
      <c r="D14377" t="s">
        <v>18136</v>
      </c>
      <c r="E14377" t="s">
        <v>30619</v>
      </c>
      <c r="F14377" t="s">
        <v>31362</v>
      </c>
      <c r="G14377" t="s">
        <v>31372</v>
      </c>
      <c r="H14377" t="s">
        <v>15799</v>
      </c>
      <c r="I14377" t="s">
        <v>6373</v>
      </c>
      <c r="J14377" t="s">
        <v>40195</v>
      </c>
      <c r="K14377" t="s">
        <v>40666</v>
      </c>
      <c r="M14377" t="s">
        <v>41845</v>
      </c>
      <c r="N14377" t="s">
        <v>44905</v>
      </c>
      <c r="O14377" t="s">
        <v>44906</v>
      </c>
      <c r="P14377">
        <v>0</v>
      </c>
      <c r="Q14377">
        <v>6</v>
      </c>
      <c r="R14377" t="s">
        <v>44925</v>
      </c>
      <c r="S14377" t="s">
        <v>45891</v>
      </c>
      <c r="T14377" t="s">
        <v>46470</v>
      </c>
      <c r="U14377" t="s">
        <v>58378</v>
      </c>
      <c r="V14377" t="s">
        <v>60701</v>
      </c>
      <c r="W14377" t="s">
        <v>41845</v>
      </c>
      <c r="X14377" t="s">
        <v>44927</v>
      </c>
    </row>
    <row r="14378" spans="1:24">
      <c r="A14378">
        <f>HYPERLINK("https://www.philgeps.gov.ph/GEPSNONPILOT/Tender/SplashBidNoticeAbstractUI.aspx?menuIndex=3&amp;refID=7043925&amp;Result=3","7043925")</f>
        <v>0</v>
      </c>
      <c r="B14378" t="s">
        <v>3464</v>
      </c>
      <c r="C14378" t="s">
        <v>17288</v>
      </c>
      <c r="D14378" t="s">
        <v>18105</v>
      </c>
      <c r="E14378" t="s">
        <v>30617</v>
      </c>
      <c r="F14378" t="s">
        <v>31362</v>
      </c>
      <c r="G14378" t="s">
        <v>31369</v>
      </c>
      <c r="H14378" t="s">
        <v>31378</v>
      </c>
      <c r="I14378" t="s">
        <v>31386</v>
      </c>
      <c r="J14378" t="s">
        <v>40196</v>
      </c>
      <c r="K14378" t="s">
        <v>40686</v>
      </c>
      <c r="M14378" t="s">
        <v>44799</v>
      </c>
      <c r="N14378" t="s">
        <v>44905</v>
      </c>
      <c r="O14378" t="s">
        <v>44906</v>
      </c>
      <c r="Q14378">
        <v>43</v>
      </c>
      <c r="R14378" t="s">
        <v>44925</v>
      </c>
      <c r="S14378" t="s">
        <v>45931</v>
      </c>
      <c r="T14378" t="s">
        <v>46409</v>
      </c>
      <c r="U14378" t="s">
        <v>58379</v>
      </c>
      <c r="W14378" t="s">
        <v>44799</v>
      </c>
      <c r="X14378" t="s">
        <v>44926</v>
      </c>
    </row>
    <row r="14379" spans="1:24">
      <c r="A14379">
        <f>HYPERLINK("https://www.philgeps.gov.ph/GEPSNONPILOT/Tender/SplashBidNoticeAbstractUI.aspx?menuIndex=3&amp;refID=7043777&amp;Result=3","7043777")</f>
        <v>0</v>
      </c>
      <c r="B14379" t="s">
        <v>3460</v>
      </c>
      <c r="C14379" t="s">
        <v>17289</v>
      </c>
      <c r="D14379" t="s">
        <v>18132</v>
      </c>
      <c r="E14379" t="s">
        <v>30620</v>
      </c>
      <c r="F14379" t="s">
        <v>31362</v>
      </c>
      <c r="G14379" t="s">
        <v>31369</v>
      </c>
      <c r="H14379" t="s">
        <v>15799</v>
      </c>
      <c r="I14379" t="s">
        <v>31413</v>
      </c>
      <c r="J14379" t="s">
        <v>31546</v>
      </c>
      <c r="K14379" t="s">
        <v>40682</v>
      </c>
      <c r="M14379" t="s">
        <v>44795</v>
      </c>
      <c r="N14379" t="s">
        <v>44905</v>
      </c>
      <c r="O14379" t="s">
        <v>44906</v>
      </c>
      <c r="P14379">
        <v>0</v>
      </c>
      <c r="Q14379">
        <v>0</v>
      </c>
      <c r="R14379" t="s">
        <v>44925</v>
      </c>
      <c r="S14379" t="s">
        <v>45891</v>
      </c>
      <c r="T14379" t="s">
        <v>46481</v>
      </c>
      <c r="U14379" t="s">
        <v>58380</v>
      </c>
      <c r="W14379" t="s">
        <v>44795</v>
      </c>
      <c r="X14379" t="s">
        <v>44927</v>
      </c>
    </row>
    <row r="14380" spans="1:24">
      <c r="A14380">
        <f>HYPERLINK("https://www.philgeps.gov.ph/GEPSNONPILOT/Tender/SplashBidNoticeAbstractUI.aspx?menuIndex=3&amp;refID=7043853&amp;Result=3","7043853")</f>
        <v>0</v>
      </c>
      <c r="B14380" t="s">
        <v>233</v>
      </c>
      <c r="C14380" t="s">
        <v>17290</v>
      </c>
      <c r="D14380" t="s">
        <v>18108</v>
      </c>
      <c r="E14380" t="s">
        <v>30621</v>
      </c>
      <c r="F14380" t="s">
        <v>31362</v>
      </c>
      <c r="G14380" t="s">
        <v>31369</v>
      </c>
      <c r="H14380" t="s">
        <v>15799</v>
      </c>
      <c r="I14380" t="s">
        <v>31393</v>
      </c>
      <c r="J14380" t="s">
        <v>40197</v>
      </c>
      <c r="K14380" t="s">
        <v>40723</v>
      </c>
      <c r="M14380" t="s">
        <v>42775</v>
      </c>
      <c r="N14380" t="s">
        <v>44905</v>
      </c>
      <c r="O14380" t="s">
        <v>44906</v>
      </c>
      <c r="Q14380">
        <v>6</v>
      </c>
      <c r="R14380" t="s">
        <v>44925</v>
      </c>
      <c r="S14380" t="s">
        <v>45932</v>
      </c>
      <c r="T14380" t="s">
        <v>46585</v>
      </c>
      <c r="U14380" t="s">
        <v>51151</v>
      </c>
      <c r="V14380" t="s">
        <v>60702</v>
      </c>
      <c r="W14380" t="s">
        <v>42775</v>
      </c>
      <c r="X14380" t="s">
        <v>44927</v>
      </c>
    </row>
    <row r="14381" spans="1:24">
      <c r="A14381">
        <f>HYPERLINK("https://www.philgeps.gov.ph/GEPSNONPILOT/Tender/SplashBidNoticeAbstractUI.aspx?menuIndex=3&amp;refID=7043846&amp;Result=3","7043846")</f>
        <v>0</v>
      </c>
      <c r="B14381" t="s">
        <v>183</v>
      </c>
      <c r="C14381" t="s">
        <v>17291</v>
      </c>
      <c r="D14381" t="s">
        <v>18129</v>
      </c>
      <c r="E14381" t="s">
        <v>30622</v>
      </c>
      <c r="F14381" t="s">
        <v>31362</v>
      </c>
      <c r="G14381" t="s">
        <v>31369</v>
      </c>
      <c r="H14381" t="s">
        <v>31378</v>
      </c>
      <c r="I14381" t="s">
        <v>31386</v>
      </c>
      <c r="J14381" t="s">
        <v>33393</v>
      </c>
      <c r="K14381" t="s">
        <v>40694</v>
      </c>
      <c r="M14381" t="s">
        <v>41121</v>
      </c>
      <c r="N14381" t="s">
        <v>44905</v>
      </c>
      <c r="O14381" t="s">
        <v>44906</v>
      </c>
      <c r="P14381">
        <v>0</v>
      </c>
      <c r="Q14381">
        <v>2</v>
      </c>
      <c r="R14381" t="s">
        <v>44925</v>
      </c>
      <c r="S14381" t="s">
        <v>45891</v>
      </c>
      <c r="T14381" t="s">
        <v>46447</v>
      </c>
      <c r="U14381" t="s">
        <v>58381</v>
      </c>
      <c r="W14381" t="s">
        <v>41121</v>
      </c>
      <c r="X14381" t="s">
        <v>44927</v>
      </c>
    </row>
    <row r="14382" spans="1:24">
      <c r="A14382">
        <f>HYPERLINK("https://www.philgeps.gov.ph/GEPSNONPILOT/Tender/SplashBidNoticeAbstractUI.aspx?menuIndex=3&amp;refID=7043844&amp;Result=3","7043844")</f>
        <v>0</v>
      </c>
      <c r="B14382" t="s">
        <v>183</v>
      </c>
      <c r="C14382" t="s">
        <v>17292</v>
      </c>
      <c r="D14382" t="s">
        <v>18129</v>
      </c>
      <c r="E14382" t="s">
        <v>30623</v>
      </c>
      <c r="F14382" t="s">
        <v>31362</v>
      </c>
      <c r="G14382" t="s">
        <v>31369</v>
      </c>
      <c r="H14382" t="s">
        <v>31378</v>
      </c>
      <c r="I14382" t="s">
        <v>31386</v>
      </c>
      <c r="J14382" t="s">
        <v>31709</v>
      </c>
      <c r="K14382" t="s">
        <v>40682</v>
      </c>
      <c r="M14382" t="s">
        <v>41121</v>
      </c>
      <c r="N14382" t="s">
        <v>44905</v>
      </c>
      <c r="O14382" t="s">
        <v>44906</v>
      </c>
      <c r="P14382">
        <v>0</v>
      </c>
      <c r="Q14382">
        <v>2</v>
      </c>
      <c r="R14382" t="s">
        <v>44925</v>
      </c>
      <c r="S14382" t="s">
        <v>45891</v>
      </c>
      <c r="T14382" t="s">
        <v>46447</v>
      </c>
      <c r="U14382" t="s">
        <v>58382</v>
      </c>
      <c r="W14382" t="s">
        <v>41121</v>
      </c>
      <c r="X14382" t="s">
        <v>44927</v>
      </c>
    </row>
    <row r="14383" spans="1:24">
      <c r="A14383">
        <f>HYPERLINK("https://www.philgeps.gov.ph/GEPSNONPILOT/Tender/SplashBidNoticeAbstractUI.aspx?menuIndex=3&amp;refID=7043929&amp;Result=3","7043929")</f>
        <v>0</v>
      </c>
      <c r="B14383" t="s">
        <v>3464</v>
      </c>
      <c r="C14383" t="s">
        <v>17293</v>
      </c>
      <c r="D14383" t="s">
        <v>18105</v>
      </c>
      <c r="E14383" t="s">
        <v>30617</v>
      </c>
      <c r="F14383" t="s">
        <v>31362</v>
      </c>
      <c r="G14383" t="s">
        <v>31369</v>
      </c>
      <c r="H14383" t="s">
        <v>31378</v>
      </c>
      <c r="I14383" t="s">
        <v>31386</v>
      </c>
      <c r="J14383" t="s">
        <v>40198</v>
      </c>
      <c r="K14383" t="s">
        <v>40686</v>
      </c>
      <c r="M14383" t="s">
        <v>44799</v>
      </c>
      <c r="N14383" t="s">
        <v>44905</v>
      </c>
      <c r="O14383" t="s">
        <v>44906</v>
      </c>
      <c r="Q14383">
        <v>37</v>
      </c>
      <c r="R14383" t="s">
        <v>44925</v>
      </c>
      <c r="S14383" t="s">
        <v>45933</v>
      </c>
      <c r="T14383" t="s">
        <v>46409</v>
      </c>
      <c r="U14383" t="s">
        <v>58374</v>
      </c>
      <c r="W14383" t="s">
        <v>44799</v>
      </c>
      <c r="X14383" t="s">
        <v>44926</v>
      </c>
    </row>
    <row r="14384" spans="1:24">
      <c r="A14384">
        <f>HYPERLINK("https://www.philgeps.gov.ph/GEPSNONPILOT/Tender/SplashBidNoticeAbstractUI.aspx?menuIndex=3&amp;refID=7043843&amp;Result=3","7043843")</f>
        <v>0</v>
      </c>
      <c r="B14384" t="s">
        <v>1544</v>
      </c>
      <c r="C14384" t="s">
        <v>17294</v>
      </c>
      <c r="D14384" t="s">
        <v>18172</v>
      </c>
      <c r="E14384" t="s">
        <v>30624</v>
      </c>
      <c r="F14384" t="s">
        <v>31362</v>
      </c>
      <c r="G14384" t="s">
        <v>31369</v>
      </c>
      <c r="H14384" t="s">
        <v>31378</v>
      </c>
      <c r="I14384" t="s">
        <v>31386</v>
      </c>
      <c r="J14384" t="s">
        <v>40199</v>
      </c>
      <c r="K14384" t="s">
        <v>40682</v>
      </c>
      <c r="M14384" t="s">
        <v>42591</v>
      </c>
      <c r="N14384" t="s">
        <v>44905</v>
      </c>
      <c r="O14384" t="s">
        <v>44906</v>
      </c>
      <c r="P14384">
        <v>0</v>
      </c>
      <c r="Q14384">
        <v>0</v>
      </c>
      <c r="R14384" t="s">
        <v>44925</v>
      </c>
      <c r="S14384" t="s">
        <v>45891</v>
      </c>
      <c r="T14384" t="s">
        <v>46447</v>
      </c>
      <c r="U14384" t="s">
        <v>58383</v>
      </c>
      <c r="W14384" t="s">
        <v>42591</v>
      </c>
      <c r="X14384" t="s">
        <v>44927</v>
      </c>
    </row>
    <row r="14385" spans="1:24">
      <c r="A14385">
        <f>HYPERLINK("https://www.philgeps.gov.ph/GEPSNONPILOT/Tender/SplashBidNoticeAbstractUI.aspx?menuIndex=3&amp;refID=7043888&amp;Result=3","7043888")</f>
        <v>0</v>
      </c>
      <c r="B14385" t="s">
        <v>396</v>
      </c>
      <c r="C14385" t="s">
        <v>17295</v>
      </c>
      <c r="D14385" t="s">
        <v>18155</v>
      </c>
      <c r="E14385" t="s">
        <v>30625</v>
      </c>
      <c r="F14385" t="s">
        <v>31362</v>
      </c>
      <c r="G14385" t="s">
        <v>31369</v>
      </c>
      <c r="H14385" t="s">
        <v>31378</v>
      </c>
      <c r="I14385" t="s">
        <v>31386</v>
      </c>
      <c r="J14385" t="s">
        <v>40200</v>
      </c>
      <c r="K14385" t="s">
        <v>40783</v>
      </c>
      <c r="M14385" t="s">
        <v>43643</v>
      </c>
      <c r="N14385" t="s">
        <v>44905</v>
      </c>
      <c r="O14385" t="s">
        <v>44906</v>
      </c>
      <c r="P14385">
        <v>0</v>
      </c>
      <c r="Q14385">
        <v>8</v>
      </c>
      <c r="R14385" t="s">
        <v>44925</v>
      </c>
      <c r="S14385" t="s">
        <v>45891</v>
      </c>
      <c r="T14385" t="s">
        <v>46454</v>
      </c>
      <c r="U14385" t="s">
        <v>53717</v>
      </c>
      <c r="W14385" t="s">
        <v>43643</v>
      </c>
      <c r="X14385" t="s">
        <v>44927</v>
      </c>
    </row>
    <row r="14386" spans="1:24">
      <c r="A14386">
        <f>HYPERLINK("https://www.philgeps.gov.ph/GEPSNONPILOT/Tender/SplashBidNoticeAbstractUI.aspx?menuIndex=3&amp;refID=7044964&amp;Result=3","7044964")</f>
        <v>0</v>
      </c>
      <c r="B14386" t="s">
        <v>2775</v>
      </c>
      <c r="C14386" t="s">
        <v>17296</v>
      </c>
      <c r="D14386" t="s">
        <v>18151</v>
      </c>
      <c r="E14386" t="s">
        <v>30626</v>
      </c>
      <c r="F14386" t="s">
        <v>31362</v>
      </c>
      <c r="G14386" t="s">
        <v>31369</v>
      </c>
      <c r="H14386" t="s">
        <v>15799</v>
      </c>
      <c r="I14386" t="s">
        <v>31399</v>
      </c>
      <c r="J14386" t="s">
        <v>31591</v>
      </c>
      <c r="K14386" t="s">
        <v>40665</v>
      </c>
      <c r="M14386" t="s">
        <v>43968</v>
      </c>
      <c r="N14386" t="s">
        <v>44905</v>
      </c>
      <c r="O14386" t="s">
        <v>44906</v>
      </c>
      <c r="P14386">
        <v>0</v>
      </c>
      <c r="Q14386">
        <v>3</v>
      </c>
      <c r="R14386" t="s">
        <v>44924</v>
      </c>
      <c r="S14386" t="s">
        <v>45829</v>
      </c>
      <c r="T14386" t="s">
        <v>46410</v>
      </c>
      <c r="U14386" t="s">
        <v>58384</v>
      </c>
      <c r="W14386" t="s">
        <v>43968</v>
      </c>
      <c r="X14386" t="s">
        <v>44925</v>
      </c>
    </row>
    <row r="14387" spans="1:24">
      <c r="A14387">
        <f>HYPERLINK("https://www.philgeps.gov.ph/GEPSNONPILOT/Tender/SplashBidNoticeAbstractUI.aspx?menuIndex=3&amp;refID=7044058&amp;Result=3","7044058")</f>
        <v>0</v>
      </c>
      <c r="B14387" t="s">
        <v>2836</v>
      </c>
      <c r="C14387" t="s">
        <v>17297</v>
      </c>
      <c r="D14387" t="s">
        <v>18153</v>
      </c>
      <c r="E14387" t="s">
        <v>30627</v>
      </c>
      <c r="F14387" t="s">
        <v>31362</v>
      </c>
      <c r="G14387" t="s">
        <v>31369</v>
      </c>
      <c r="H14387" t="s">
        <v>15799</v>
      </c>
      <c r="I14387" t="s">
        <v>31387</v>
      </c>
      <c r="J14387" t="s">
        <v>40201</v>
      </c>
      <c r="K14387" t="s">
        <v>40665</v>
      </c>
      <c r="M14387" t="s">
        <v>44037</v>
      </c>
      <c r="N14387" t="s">
        <v>44905</v>
      </c>
      <c r="O14387" t="s">
        <v>44906</v>
      </c>
      <c r="P14387">
        <v>0</v>
      </c>
      <c r="Q14387">
        <v>1</v>
      </c>
      <c r="R14387" t="s">
        <v>44925</v>
      </c>
      <c r="S14387" t="s">
        <v>45891</v>
      </c>
      <c r="T14387" t="s">
        <v>46432</v>
      </c>
      <c r="U14387" t="s">
        <v>58385</v>
      </c>
      <c r="W14387" t="s">
        <v>44037</v>
      </c>
      <c r="X14387" t="s">
        <v>44926</v>
      </c>
    </row>
    <row r="14388" spans="1:24">
      <c r="A14388">
        <f>HYPERLINK("https://www.philgeps.gov.ph/GEPSNONPILOT/Tender/SplashBidNoticeAbstractUI.aspx?menuIndex=3&amp;refID=7044057&amp;Result=3","7044057")</f>
        <v>0</v>
      </c>
      <c r="B14388" t="s">
        <v>1587</v>
      </c>
      <c r="C14388" t="s">
        <v>17298</v>
      </c>
      <c r="D14388" t="s">
        <v>18151</v>
      </c>
      <c r="E14388" t="s">
        <v>30628</v>
      </c>
      <c r="F14388" t="s">
        <v>31362</v>
      </c>
      <c r="G14388" t="s">
        <v>31369</v>
      </c>
      <c r="H14388" t="s">
        <v>31378</v>
      </c>
      <c r="I14388" t="s">
        <v>3582</v>
      </c>
      <c r="J14388" t="s">
        <v>40202</v>
      </c>
      <c r="K14388" t="s">
        <v>40686</v>
      </c>
      <c r="M14388" t="s">
        <v>42643</v>
      </c>
      <c r="N14388" t="s">
        <v>44905</v>
      </c>
      <c r="O14388" t="s">
        <v>44906</v>
      </c>
      <c r="P14388">
        <v>0</v>
      </c>
      <c r="Q14388">
        <v>1</v>
      </c>
      <c r="R14388" t="s">
        <v>44925</v>
      </c>
      <c r="S14388" t="s">
        <v>45891</v>
      </c>
      <c r="T14388" t="s">
        <v>46432</v>
      </c>
      <c r="U14388" t="s">
        <v>58386</v>
      </c>
      <c r="V14388" t="s">
        <v>60699</v>
      </c>
      <c r="W14388" t="s">
        <v>42643</v>
      </c>
      <c r="X14388" t="s">
        <v>44926</v>
      </c>
    </row>
    <row r="14389" spans="1:24">
      <c r="A14389">
        <f>HYPERLINK("https://www.philgeps.gov.ph/GEPSNONPILOT/Tender/SplashBidNoticeAbstractUI.aspx?menuIndex=3&amp;refID=7043847&amp;Result=3","7043847")</f>
        <v>0</v>
      </c>
      <c r="B14389" t="s">
        <v>233</v>
      </c>
      <c r="C14389" t="s">
        <v>17299</v>
      </c>
      <c r="D14389" t="s">
        <v>18108</v>
      </c>
      <c r="E14389" t="s">
        <v>30629</v>
      </c>
      <c r="F14389" t="s">
        <v>31362</v>
      </c>
      <c r="G14389" t="s">
        <v>31369</v>
      </c>
      <c r="H14389" t="s">
        <v>15799</v>
      </c>
      <c r="I14389" t="s">
        <v>31393</v>
      </c>
      <c r="J14389" t="s">
        <v>40203</v>
      </c>
      <c r="K14389" t="s">
        <v>40723</v>
      </c>
      <c r="M14389" t="s">
        <v>42775</v>
      </c>
      <c r="N14389" t="s">
        <v>44905</v>
      </c>
      <c r="O14389" t="s">
        <v>44906</v>
      </c>
      <c r="Q14389">
        <v>5</v>
      </c>
      <c r="R14389" t="s">
        <v>44925</v>
      </c>
      <c r="S14389" t="s">
        <v>45934</v>
      </c>
      <c r="T14389" t="s">
        <v>46506</v>
      </c>
      <c r="U14389" t="s">
        <v>51151</v>
      </c>
      <c r="V14389" t="s">
        <v>60703</v>
      </c>
      <c r="W14389" t="s">
        <v>42775</v>
      </c>
      <c r="X14389" t="s">
        <v>44927</v>
      </c>
    </row>
    <row r="14390" spans="1:24">
      <c r="A14390">
        <f>HYPERLINK("https://www.philgeps.gov.ph/GEPSNONPILOT/Tender/SplashBidNoticeAbstractUI.aspx?menuIndex=3&amp;refID=7044048&amp;Result=3","7044048")</f>
        <v>0</v>
      </c>
      <c r="B14390" t="s">
        <v>1587</v>
      </c>
      <c r="C14390" t="s">
        <v>17300</v>
      </c>
      <c r="D14390" t="s">
        <v>18151</v>
      </c>
      <c r="E14390" t="s">
        <v>30630</v>
      </c>
      <c r="F14390" t="s">
        <v>31362</v>
      </c>
      <c r="G14390" t="s">
        <v>31369</v>
      </c>
      <c r="H14390" t="s">
        <v>31378</v>
      </c>
      <c r="I14390" t="s">
        <v>3582</v>
      </c>
      <c r="J14390" t="s">
        <v>40204</v>
      </c>
      <c r="K14390" t="s">
        <v>40686</v>
      </c>
      <c r="M14390" t="s">
        <v>42643</v>
      </c>
      <c r="N14390" t="s">
        <v>44905</v>
      </c>
      <c r="O14390" t="s">
        <v>44906</v>
      </c>
      <c r="P14390">
        <v>0</v>
      </c>
      <c r="Q14390">
        <v>1</v>
      </c>
      <c r="R14390" t="s">
        <v>44925</v>
      </c>
      <c r="S14390" t="s">
        <v>45891</v>
      </c>
      <c r="T14390" t="s">
        <v>46432</v>
      </c>
      <c r="U14390" t="s">
        <v>58387</v>
      </c>
      <c r="V14390" t="s">
        <v>60699</v>
      </c>
      <c r="W14390" t="s">
        <v>42643</v>
      </c>
      <c r="X14390" t="s">
        <v>44926</v>
      </c>
    </row>
    <row r="14391" spans="1:24">
      <c r="A14391">
        <f>HYPERLINK("https://www.philgeps.gov.ph/GEPSNONPILOT/Tender/SplashBidNoticeAbstractUI.aspx?menuIndex=3&amp;refID=7044056&amp;Result=3","7044056")</f>
        <v>0</v>
      </c>
      <c r="B14391" t="s">
        <v>1587</v>
      </c>
      <c r="C14391" t="s">
        <v>17301</v>
      </c>
      <c r="D14391" t="s">
        <v>18151</v>
      </c>
      <c r="E14391" t="s">
        <v>30631</v>
      </c>
      <c r="F14391" t="s">
        <v>31362</v>
      </c>
      <c r="G14391" t="s">
        <v>31369</v>
      </c>
      <c r="H14391" t="s">
        <v>31378</v>
      </c>
      <c r="I14391" t="s">
        <v>3582</v>
      </c>
      <c r="J14391" t="s">
        <v>40205</v>
      </c>
      <c r="K14391" t="s">
        <v>40686</v>
      </c>
      <c r="M14391" t="s">
        <v>42643</v>
      </c>
      <c r="N14391" t="s">
        <v>44905</v>
      </c>
      <c r="O14391" t="s">
        <v>44906</v>
      </c>
      <c r="P14391">
        <v>0</v>
      </c>
      <c r="Q14391">
        <v>2</v>
      </c>
      <c r="R14391" t="s">
        <v>44925</v>
      </c>
      <c r="S14391" t="s">
        <v>45891</v>
      </c>
      <c r="T14391" t="s">
        <v>46432</v>
      </c>
      <c r="U14391" t="s">
        <v>58388</v>
      </c>
      <c r="V14391" t="s">
        <v>60699</v>
      </c>
      <c r="W14391" t="s">
        <v>42643</v>
      </c>
      <c r="X14391" t="s">
        <v>44926</v>
      </c>
    </row>
    <row r="14392" spans="1:24">
      <c r="A14392">
        <f>HYPERLINK("https://www.philgeps.gov.ph/GEPSNONPILOT/Tender/SplashBidNoticeAbstractUI.aspx?menuIndex=3&amp;refID=7044047&amp;Result=3","7044047")</f>
        <v>0</v>
      </c>
      <c r="B14392" t="s">
        <v>1587</v>
      </c>
      <c r="C14392" t="s">
        <v>17302</v>
      </c>
      <c r="D14392" t="s">
        <v>18151</v>
      </c>
      <c r="E14392" t="s">
        <v>30632</v>
      </c>
      <c r="F14392" t="s">
        <v>31362</v>
      </c>
      <c r="G14392" t="s">
        <v>31369</v>
      </c>
      <c r="H14392" t="s">
        <v>31378</v>
      </c>
      <c r="I14392" t="s">
        <v>3582</v>
      </c>
      <c r="J14392" t="s">
        <v>40206</v>
      </c>
      <c r="K14392" t="s">
        <v>40686</v>
      </c>
      <c r="M14392" t="s">
        <v>42643</v>
      </c>
      <c r="N14392" t="s">
        <v>44905</v>
      </c>
      <c r="O14392" t="s">
        <v>44906</v>
      </c>
      <c r="P14392">
        <v>0</v>
      </c>
      <c r="Q14392">
        <v>2</v>
      </c>
      <c r="R14392" t="s">
        <v>44925</v>
      </c>
      <c r="S14392" t="s">
        <v>45891</v>
      </c>
      <c r="T14392" t="s">
        <v>46432</v>
      </c>
      <c r="U14392" t="s">
        <v>58389</v>
      </c>
      <c r="V14392" t="s">
        <v>60699</v>
      </c>
      <c r="W14392" t="s">
        <v>42643</v>
      </c>
      <c r="X14392" t="s">
        <v>44926</v>
      </c>
    </row>
    <row r="14393" spans="1:24">
      <c r="A14393">
        <f>HYPERLINK("https://www.philgeps.gov.ph/GEPSNONPILOT/Tender/SplashBidNoticeAbstractUI.aspx?menuIndex=3&amp;refID=7044054&amp;Result=3","7044054")</f>
        <v>0</v>
      </c>
      <c r="B14393" t="s">
        <v>1587</v>
      </c>
      <c r="C14393" t="s">
        <v>17303</v>
      </c>
      <c r="D14393" t="s">
        <v>18151</v>
      </c>
      <c r="E14393" t="s">
        <v>30633</v>
      </c>
      <c r="F14393" t="s">
        <v>31362</v>
      </c>
      <c r="G14393" t="s">
        <v>31369</v>
      </c>
      <c r="H14393" t="s">
        <v>31378</v>
      </c>
      <c r="I14393" t="s">
        <v>3582</v>
      </c>
      <c r="J14393" t="s">
        <v>40207</v>
      </c>
      <c r="K14393" t="s">
        <v>40686</v>
      </c>
      <c r="M14393" t="s">
        <v>42643</v>
      </c>
      <c r="N14393" t="s">
        <v>44905</v>
      </c>
      <c r="O14393" t="s">
        <v>44906</v>
      </c>
      <c r="P14393">
        <v>0</v>
      </c>
      <c r="Q14393">
        <v>2</v>
      </c>
      <c r="R14393" t="s">
        <v>44925</v>
      </c>
      <c r="S14393" t="s">
        <v>45891</v>
      </c>
      <c r="T14393" t="s">
        <v>46432</v>
      </c>
      <c r="U14393" t="s">
        <v>58390</v>
      </c>
      <c r="V14393" t="s">
        <v>60699</v>
      </c>
      <c r="W14393" t="s">
        <v>42643</v>
      </c>
      <c r="X14393" t="s">
        <v>44926</v>
      </c>
    </row>
    <row r="14394" spans="1:24">
      <c r="A14394">
        <f>HYPERLINK("https://www.philgeps.gov.ph/GEPSNONPILOT/Tender/SplashBidNoticeAbstractUI.aspx?menuIndex=3&amp;refID=7043917&amp;Result=3","7043917")</f>
        <v>0</v>
      </c>
      <c r="B14394" t="s">
        <v>3465</v>
      </c>
      <c r="C14394" t="s">
        <v>17304</v>
      </c>
      <c r="D14394" t="s">
        <v>18168</v>
      </c>
      <c r="E14394" t="s">
        <v>30634</v>
      </c>
      <c r="F14394" t="s">
        <v>31362</v>
      </c>
      <c r="G14394" t="s">
        <v>31369</v>
      </c>
      <c r="H14394" t="s">
        <v>31378</v>
      </c>
      <c r="I14394" t="s">
        <v>31386</v>
      </c>
      <c r="J14394" t="s">
        <v>31602</v>
      </c>
      <c r="K14394" t="s">
        <v>40679</v>
      </c>
      <c r="M14394" t="s">
        <v>44800</v>
      </c>
      <c r="N14394" t="s">
        <v>44905</v>
      </c>
      <c r="O14394" t="s">
        <v>44906</v>
      </c>
      <c r="P14394">
        <v>0</v>
      </c>
      <c r="Q14394">
        <v>4</v>
      </c>
      <c r="R14394" t="s">
        <v>44925</v>
      </c>
      <c r="S14394" t="s">
        <v>45891</v>
      </c>
      <c r="T14394" t="s">
        <v>46481</v>
      </c>
      <c r="U14394" t="s">
        <v>58391</v>
      </c>
      <c r="W14394" t="s">
        <v>44800</v>
      </c>
      <c r="X14394" t="s">
        <v>44926</v>
      </c>
    </row>
    <row r="14395" spans="1:24">
      <c r="A14395">
        <f>HYPERLINK("https://www.philgeps.gov.ph/GEPSNONPILOT/Tender/SplashBidNoticeAbstractUI.aspx?menuIndex=3&amp;refID=7043932&amp;Result=3","7043932")</f>
        <v>0</v>
      </c>
      <c r="B14395" t="s">
        <v>3464</v>
      </c>
      <c r="C14395" t="s">
        <v>17305</v>
      </c>
      <c r="D14395" t="s">
        <v>18105</v>
      </c>
      <c r="E14395" t="s">
        <v>30617</v>
      </c>
      <c r="F14395" t="s">
        <v>31362</v>
      </c>
      <c r="G14395" t="s">
        <v>31369</v>
      </c>
      <c r="H14395" t="s">
        <v>31378</v>
      </c>
      <c r="I14395" t="s">
        <v>31386</v>
      </c>
      <c r="J14395" t="s">
        <v>40208</v>
      </c>
      <c r="K14395" t="s">
        <v>40686</v>
      </c>
      <c r="M14395" t="s">
        <v>44799</v>
      </c>
      <c r="N14395" t="s">
        <v>44905</v>
      </c>
      <c r="O14395" t="s">
        <v>44906</v>
      </c>
      <c r="Q14395">
        <v>42</v>
      </c>
      <c r="R14395" t="s">
        <v>44925</v>
      </c>
      <c r="S14395" t="s">
        <v>45935</v>
      </c>
      <c r="T14395" t="s">
        <v>46409</v>
      </c>
      <c r="U14395" t="s">
        <v>58374</v>
      </c>
      <c r="W14395" t="s">
        <v>44799</v>
      </c>
      <c r="X14395" t="s">
        <v>44926</v>
      </c>
    </row>
    <row r="14396" spans="1:24">
      <c r="A14396">
        <f>HYPERLINK("https://www.philgeps.gov.ph/GEPSNONPILOT/Tender/SplashBidNoticeAbstractUI.aspx?menuIndex=3&amp;refID=7044051&amp;Result=3","7044051")</f>
        <v>0</v>
      </c>
      <c r="B14396" t="s">
        <v>1587</v>
      </c>
      <c r="C14396" t="s">
        <v>17306</v>
      </c>
      <c r="D14396" t="s">
        <v>18151</v>
      </c>
      <c r="E14396" t="s">
        <v>30635</v>
      </c>
      <c r="F14396" t="s">
        <v>31362</v>
      </c>
      <c r="G14396" t="s">
        <v>31369</v>
      </c>
      <c r="H14396" t="s">
        <v>31378</v>
      </c>
      <c r="I14396" t="s">
        <v>3582</v>
      </c>
      <c r="J14396" t="s">
        <v>40209</v>
      </c>
      <c r="K14396" t="s">
        <v>40686</v>
      </c>
      <c r="M14396" t="s">
        <v>42643</v>
      </c>
      <c r="N14396" t="s">
        <v>44905</v>
      </c>
      <c r="O14396" t="s">
        <v>44906</v>
      </c>
      <c r="P14396">
        <v>0</v>
      </c>
      <c r="Q14396">
        <v>2</v>
      </c>
      <c r="R14396" t="s">
        <v>44925</v>
      </c>
      <c r="S14396" t="s">
        <v>45891</v>
      </c>
      <c r="T14396" t="s">
        <v>46432</v>
      </c>
      <c r="U14396" t="s">
        <v>58392</v>
      </c>
      <c r="V14396" t="s">
        <v>60699</v>
      </c>
      <c r="W14396" t="s">
        <v>42643</v>
      </c>
      <c r="X14396" t="s">
        <v>44926</v>
      </c>
    </row>
    <row r="14397" spans="1:24">
      <c r="A14397">
        <f>HYPERLINK("https://www.philgeps.gov.ph/GEPSNONPILOT/Tender/SplashBidNoticeAbstractUI.aspx?menuIndex=3&amp;refID=7043842&amp;Result=3","7043842")</f>
        <v>0</v>
      </c>
      <c r="B14397" t="s">
        <v>183</v>
      </c>
      <c r="C14397" t="s">
        <v>17307</v>
      </c>
      <c r="D14397" t="s">
        <v>18129</v>
      </c>
      <c r="E14397" t="s">
        <v>30636</v>
      </c>
      <c r="F14397" t="s">
        <v>31362</v>
      </c>
      <c r="G14397" t="s">
        <v>31369</v>
      </c>
      <c r="H14397" t="s">
        <v>31378</v>
      </c>
      <c r="I14397" t="s">
        <v>31386</v>
      </c>
      <c r="J14397" t="s">
        <v>31709</v>
      </c>
      <c r="K14397" t="s">
        <v>40675</v>
      </c>
      <c r="M14397" t="s">
        <v>41121</v>
      </c>
      <c r="N14397" t="s">
        <v>44905</v>
      </c>
      <c r="O14397" t="s">
        <v>44906</v>
      </c>
      <c r="P14397">
        <v>0</v>
      </c>
      <c r="Q14397">
        <v>2</v>
      </c>
      <c r="R14397" t="s">
        <v>44925</v>
      </c>
      <c r="S14397" t="s">
        <v>45891</v>
      </c>
      <c r="T14397" t="s">
        <v>46447</v>
      </c>
      <c r="U14397" t="s">
        <v>58393</v>
      </c>
      <c r="W14397" t="s">
        <v>41121</v>
      </c>
      <c r="X14397" t="s">
        <v>44927</v>
      </c>
    </row>
    <row r="14398" spans="1:24">
      <c r="A14398">
        <f>HYPERLINK("https://www.philgeps.gov.ph/GEPSNONPILOT/Tender/SplashBidNoticeAbstractUI.aspx?menuIndex=3&amp;refID=7044041&amp;Result=3","7044041")</f>
        <v>0</v>
      </c>
      <c r="B14398" t="s">
        <v>1587</v>
      </c>
      <c r="C14398" t="s">
        <v>17308</v>
      </c>
      <c r="D14398" t="s">
        <v>18151</v>
      </c>
      <c r="E14398" t="s">
        <v>30637</v>
      </c>
      <c r="F14398" t="s">
        <v>31362</v>
      </c>
      <c r="G14398" t="s">
        <v>31369</v>
      </c>
      <c r="H14398" t="s">
        <v>31378</v>
      </c>
      <c r="I14398" t="s">
        <v>3582</v>
      </c>
      <c r="J14398" t="s">
        <v>40210</v>
      </c>
      <c r="K14398" t="s">
        <v>40686</v>
      </c>
      <c r="M14398" t="s">
        <v>42643</v>
      </c>
      <c r="N14398" t="s">
        <v>44905</v>
      </c>
      <c r="O14398" t="s">
        <v>44906</v>
      </c>
      <c r="P14398">
        <v>0</v>
      </c>
      <c r="Q14398">
        <v>1</v>
      </c>
      <c r="R14398" t="s">
        <v>44925</v>
      </c>
      <c r="S14398" t="s">
        <v>45891</v>
      </c>
      <c r="T14398" t="s">
        <v>46432</v>
      </c>
      <c r="U14398" t="s">
        <v>58394</v>
      </c>
      <c r="V14398" t="s">
        <v>60699</v>
      </c>
      <c r="W14398" t="s">
        <v>42643</v>
      </c>
      <c r="X14398" t="s">
        <v>44926</v>
      </c>
    </row>
    <row r="14399" spans="1:24">
      <c r="A14399">
        <f>HYPERLINK("https://www.philgeps.gov.ph/GEPSNONPILOT/Tender/SplashBidNoticeAbstractUI.aspx?menuIndex=3&amp;refID=7044037&amp;Result=3","7044037")</f>
        <v>0</v>
      </c>
      <c r="B14399" t="s">
        <v>1587</v>
      </c>
      <c r="C14399" t="s">
        <v>17309</v>
      </c>
      <c r="D14399" t="s">
        <v>18151</v>
      </c>
      <c r="E14399" t="s">
        <v>30638</v>
      </c>
      <c r="F14399" t="s">
        <v>31362</v>
      </c>
      <c r="G14399" t="s">
        <v>31369</v>
      </c>
      <c r="H14399" t="s">
        <v>31378</v>
      </c>
      <c r="I14399" t="s">
        <v>3582</v>
      </c>
      <c r="J14399" t="s">
        <v>40211</v>
      </c>
      <c r="K14399" t="s">
        <v>40686</v>
      </c>
      <c r="M14399" t="s">
        <v>42643</v>
      </c>
      <c r="N14399" t="s">
        <v>44905</v>
      </c>
      <c r="O14399" t="s">
        <v>44906</v>
      </c>
      <c r="P14399">
        <v>0</v>
      </c>
      <c r="Q14399">
        <v>2</v>
      </c>
      <c r="R14399" t="s">
        <v>44925</v>
      </c>
      <c r="S14399" t="s">
        <v>45891</v>
      </c>
      <c r="T14399" t="s">
        <v>46432</v>
      </c>
      <c r="U14399" t="s">
        <v>58395</v>
      </c>
      <c r="V14399" t="s">
        <v>60699</v>
      </c>
      <c r="W14399" t="s">
        <v>42643</v>
      </c>
      <c r="X14399" t="s">
        <v>44926</v>
      </c>
    </row>
    <row r="14400" spans="1:24">
      <c r="A14400">
        <f>HYPERLINK("https://www.philgeps.gov.ph/GEPSNONPILOT/Tender/SplashBidNoticeAbstractUI.aspx?menuIndex=3&amp;refID=7044035&amp;Result=3","7044035")</f>
        <v>0</v>
      </c>
      <c r="B14400" t="s">
        <v>3466</v>
      </c>
      <c r="C14400" t="s">
        <v>3918</v>
      </c>
      <c r="D14400" t="s">
        <v>18100</v>
      </c>
      <c r="E14400" t="s">
        <v>18548</v>
      </c>
      <c r="F14400" t="s">
        <v>31362</v>
      </c>
      <c r="G14400" t="s">
        <v>31369</v>
      </c>
      <c r="H14400" t="s">
        <v>15799</v>
      </c>
      <c r="I14400" t="s">
        <v>31385</v>
      </c>
      <c r="J14400" t="s">
        <v>33017</v>
      </c>
      <c r="K14400" t="s">
        <v>40662</v>
      </c>
      <c r="M14400" t="s">
        <v>44801</v>
      </c>
      <c r="N14400" t="s">
        <v>44905</v>
      </c>
      <c r="O14400" t="s">
        <v>44906</v>
      </c>
      <c r="P14400">
        <v>0</v>
      </c>
      <c r="Q14400">
        <v>0</v>
      </c>
      <c r="R14400" t="s">
        <v>44925</v>
      </c>
      <c r="S14400" t="s">
        <v>45891</v>
      </c>
      <c r="T14400" t="s">
        <v>46414</v>
      </c>
      <c r="U14400" t="s">
        <v>58396</v>
      </c>
      <c r="W14400" t="s">
        <v>44801</v>
      </c>
      <c r="X14400" t="s">
        <v>44926</v>
      </c>
    </row>
    <row r="14401" spans="1:24">
      <c r="A14401">
        <f>HYPERLINK("https://www.philgeps.gov.ph/GEPSNONPILOT/Tender/SplashBidNoticeAbstractUI.aspx?menuIndex=3&amp;refID=7044129&amp;Result=3","7044129")</f>
        <v>0</v>
      </c>
      <c r="B14401" t="s">
        <v>299</v>
      </c>
      <c r="C14401" t="s">
        <v>17310</v>
      </c>
      <c r="D14401" t="s">
        <v>18108</v>
      </c>
      <c r="E14401" t="s">
        <v>30639</v>
      </c>
      <c r="F14401" t="s">
        <v>31362</v>
      </c>
      <c r="G14401" t="s">
        <v>31369</v>
      </c>
      <c r="H14401" t="s">
        <v>15799</v>
      </c>
      <c r="I14401" t="s">
        <v>31388</v>
      </c>
      <c r="J14401" t="s">
        <v>40212</v>
      </c>
      <c r="K14401" t="s">
        <v>40666</v>
      </c>
      <c r="M14401" t="s">
        <v>44401</v>
      </c>
      <c r="N14401" t="s">
        <v>44905</v>
      </c>
      <c r="O14401" t="s">
        <v>44906</v>
      </c>
      <c r="P14401">
        <v>0</v>
      </c>
      <c r="Q14401">
        <v>4</v>
      </c>
      <c r="R14401" t="s">
        <v>44925</v>
      </c>
      <c r="S14401" t="s">
        <v>45891</v>
      </c>
      <c r="T14401" t="s">
        <v>46403</v>
      </c>
      <c r="U14401" t="s">
        <v>58397</v>
      </c>
      <c r="W14401" t="s">
        <v>44401</v>
      </c>
      <c r="X14401" t="s">
        <v>44926</v>
      </c>
    </row>
    <row r="14402" spans="1:24">
      <c r="A14402">
        <f>HYPERLINK("https://www.philgeps.gov.ph/GEPSNONPILOT/Tender/SplashBidNoticeAbstractUI.aspx?menuIndex=3&amp;refID=7044123&amp;Result=3","7044123")</f>
        <v>0</v>
      </c>
      <c r="B14402" t="s">
        <v>3467</v>
      </c>
      <c r="C14402" t="s">
        <v>17311</v>
      </c>
      <c r="D14402" t="s">
        <v>18172</v>
      </c>
      <c r="E14402" t="s">
        <v>30640</v>
      </c>
      <c r="F14402" t="s">
        <v>31362</v>
      </c>
      <c r="G14402" t="s">
        <v>31369</v>
      </c>
      <c r="H14402" t="s">
        <v>31378</v>
      </c>
      <c r="I14402" t="s">
        <v>31386</v>
      </c>
      <c r="J14402" t="s">
        <v>40213</v>
      </c>
      <c r="K14402" t="s">
        <v>40793</v>
      </c>
      <c r="L14402" t="s">
        <v>3467</v>
      </c>
      <c r="M14402" t="s">
        <v>44802</v>
      </c>
      <c r="N14402" t="s">
        <v>44905</v>
      </c>
      <c r="O14402" t="s">
        <v>44906</v>
      </c>
      <c r="P14402">
        <v>0</v>
      </c>
      <c r="Q14402">
        <v>0</v>
      </c>
      <c r="R14402" t="s">
        <v>44925</v>
      </c>
      <c r="S14402" t="s">
        <v>45891</v>
      </c>
      <c r="T14402" t="s">
        <v>46393</v>
      </c>
      <c r="U14402" t="s">
        <v>58398</v>
      </c>
      <c r="V14402" t="s">
        <v>60704</v>
      </c>
      <c r="W14402" t="s">
        <v>44802</v>
      </c>
      <c r="X14402" t="s">
        <v>44926</v>
      </c>
    </row>
    <row r="14403" spans="1:24">
      <c r="A14403">
        <f>HYPERLINK("https://www.philgeps.gov.ph/GEPSNONPILOT/Tender/SplashBidNoticeAbstractUI.aspx?menuIndex=3&amp;refID=7044117&amp;Result=3","7044117")</f>
        <v>0</v>
      </c>
      <c r="B14403" t="s">
        <v>299</v>
      </c>
      <c r="C14403" t="s">
        <v>17312</v>
      </c>
      <c r="D14403" t="s">
        <v>18108</v>
      </c>
      <c r="E14403" t="s">
        <v>30641</v>
      </c>
      <c r="F14403" t="s">
        <v>31362</v>
      </c>
      <c r="G14403" t="s">
        <v>31369</v>
      </c>
      <c r="H14403" t="s">
        <v>15799</v>
      </c>
      <c r="I14403" t="s">
        <v>7188</v>
      </c>
      <c r="J14403" t="s">
        <v>39105</v>
      </c>
      <c r="K14403" t="s">
        <v>40679</v>
      </c>
      <c r="M14403" t="s">
        <v>44401</v>
      </c>
      <c r="N14403" t="s">
        <v>44905</v>
      </c>
      <c r="O14403" t="s">
        <v>44906</v>
      </c>
      <c r="P14403">
        <v>0</v>
      </c>
      <c r="Q14403">
        <v>15</v>
      </c>
      <c r="R14403" t="s">
        <v>44925</v>
      </c>
      <c r="S14403" t="s">
        <v>45891</v>
      </c>
      <c r="T14403" t="s">
        <v>46403</v>
      </c>
      <c r="U14403" t="s">
        <v>56538</v>
      </c>
      <c r="W14403" t="s">
        <v>44401</v>
      </c>
      <c r="X14403" t="s">
        <v>44926</v>
      </c>
    </row>
    <row r="14404" spans="1:24">
      <c r="A14404">
        <f>HYPERLINK("https://www.philgeps.gov.ph/GEPSNONPILOT/Tender/SplashBidNoticeAbstractUI.aspx?menuIndex=3&amp;refID=7044036&amp;Result=3","7044036")</f>
        <v>0</v>
      </c>
      <c r="B14404" t="s">
        <v>1587</v>
      </c>
      <c r="C14404" t="s">
        <v>17313</v>
      </c>
      <c r="D14404" t="s">
        <v>18151</v>
      </c>
      <c r="E14404" t="s">
        <v>30642</v>
      </c>
      <c r="F14404" t="s">
        <v>31362</v>
      </c>
      <c r="G14404" t="s">
        <v>31369</v>
      </c>
      <c r="H14404" t="s">
        <v>31378</v>
      </c>
      <c r="I14404" t="s">
        <v>3582</v>
      </c>
      <c r="J14404" t="s">
        <v>40214</v>
      </c>
      <c r="K14404" t="s">
        <v>40686</v>
      </c>
      <c r="M14404" t="s">
        <v>42643</v>
      </c>
      <c r="N14404" t="s">
        <v>44905</v>
      </c>
      <c r="O14404" t="s">
        <v>44906</v>
      </c>
      <c r="P14404">
        <v>0</v>
      </c>
      <c r="Q14404">
        <v>1</v>
      </c>
      <c r="R14404" t="s">
        <v>44925</v>
      </c>
      <c r="S14404" t="s">
        <v>45891</v>
      </c>
      <c r="T14404" t="s">
        <v>46432</v>
      </c>
      <c r="U14404" t="s">
        <v>58399</v>
      </c>
      <c r="V14404" t="s">
        <v>60699</v>
      </c>
      <c r="W14404" t="s">
        <v>42643</v>
      </c>
      <c r="X14404" t="s">
        <v>44926</v>
      </c>
    </row>
    <row r="14405" spans="1:24">
      <c r="A14405">
        <f>HYPERLINK("https://www.philgeps.gov.ph/GEPSNONPILOT/Tender/SplashBidNoticeAbstractUI.aspx?menuIndex=3&amp;refID=7044109&amp;Result=3","7044109")</f>
        <v>0</v>
      </c>
      <c r="B14405" t="s">
        <v>299</v>
      </c>
      <c r="C14405" t="s">
        <v>17314</v>
      </c>
      <c r="D14405" t="s">
        <v>18108</v>
      </c>
      <c r="E14405" t="s">
        <v>30643</v>
      </c>
      <c r="F14405" t="s">
        <v>31362</v>
      </c>
      <c r="G14405" t="s">
        <v>31369</v>
      </c>
      <c r="H14405" t="s">
        <v>15799</v>
      </c>
      <c r="I14405" t="s">
        <v>31395</v>
      </c>
      <c r="J14405" t="s">
        <v>40215</v>
      </c>
      <c r="K14405" t="s">
        <v>40661</v>
      </c>
      <c r="M14405" t="s">
        <v>44401</v>
      </c>
      <c r="N14405" t="s">
        <v>44905</v>
      </c>
      <c r="O14405" t="s">
        <v>44906</v>
      </c>
      <c r="P14405">
        <v>0</v>
      </c>
      <c r="Q14405">
        <v>21</v>
      </c>
      <c r="R14405" t="s">
        <v>44925</v>
      </c>
      <c r="S14405" t="s">
        <v>45891</v>
      </c>
      <c r="T14405" t="s">
        <v>46403</v>
      </c>
      <c r="U14405" t="s">
        <v>56538</v>
      </c>
      <c r="W14405" t="s">
        <v>44401</v>
      </c>
      <c r="X14405" t="s">
        <v>44926</v>
      </c>
    </row>
    <row r="14406" spans="1:24">
      <c r="A14406">
        <f>HYPERLINK("https://www.philgeps.gov.ph/GEPSNONPILOT/Tender/SplashBidNoticeAbstractUI.aspx?menuIndex=3&amp;refID=7044137&amp;Result=3","7044137")</f>
        <v>0</v>
      </c>
      <c r="B14406" t="s">
        <v>299</v>
      </c>
      <c r="C14406" t="s">
        <v>17315</v>
      </c>
      <c r="D14406" t="s">
        <v>18108</v>
      </c>
      <c r="E14406" t="s">
        <v>30644</v>
      </c>
      <c r="F14406" t="s">
        <v>31362</v>
      </c>
      <c r="G14406" t="s">
        <v>31369</v>
      </c>
      <c r="H14406" t="s">
        <v>15799</v>
      </c>
      <c r="I14406" t="s">
        <v>31396</v>
      </c>
      <c r="J14406" t="s">
        <v>31693</v>
      </c>
      <c r="K14406" t="s">
        <v>40682</v>
      </c>
      <c r="M14406" t="s">
        <v>44401</v>
      </c>
      <c r="N14406" t="s">
        <v>44905</v>
      </c>
      <c r="O14406" t="s">
        <v>44906</v>
      </c>
      <c r="P14406">
        <v>0</v>
      </c>
      <c r="Q14406">
        <v>24</v>
      </c>
      <c r="R14406" t="s">
        <v>44925</v>
      </c>
      <c r="S14406" t="s">
        <v>45891</v>
      </c>
      <c r="T14406" t="s">
        <v>46403</v>
      </c>
      <c r="U14406" t="s">
        <v>56530</v>
      </c>
      <c r="W14406" t="s">
        <v>44401</v>
      </c>
      <c r="X14406" t="s">
        <v>44926</v>
      </c>
    </row>
    <row r="14407" spans="1:24">
      <c r="A14407">
        <f>HYPERLINK("https://www.philgeps.gov.ph/GEPSNONPILOT/Tender/SplashBidNoticeAbstractUI.aspx?menuIndex=3&amp;refID=7044042&amp;Result=3","7044042")</f>
        <v>0</v>
      </c>
      <c r="B14407" t="s">
        <v>1587</v>
      </c>
      <c r="C14407" t="s">
        <v>17316</v>
      </c>
      <c r="D14407" t="s">
        <v>18151</v>
      </c>
      <c r="E14407" t="s">
        <v>30645</v>
      </c>
      <c r="F14407" t="s">
        <v>31362</v>
      </c>
      <c r="G14407" t="s">
        <v>31369</v>
      </c>
      <c r="H14407" t="s">
        <v>31378</v>
      </c>
      <c r="I14407" t="s">
        <v>3582</v>
      </c>
      <c r="J14407" t="s">
        <v>40216</v>
      </c>
      <c r="K14407" t="s">
        <v>40686</v>
      </c>
      <c r="M14407" t="s">
        <v>42643</v>
      </c>
      <c r="N14407" t="s">
        <v>44905</v>
      </c>
      <c r="O14407" t="s">
        <v>44906</v>
      </c>
      <c r="P14407">
        <v>0</v>
      </c>
      <c r="Q14407">
        <v>4</v>
      </c>
      <c r="R14407" t="s">
        <v>44925</v>
      </c>
      <c r="S14407" t="s">
        <v>45891</v>
      </c>
      <c r="T14407" t="s">
        <v>46432</v>
      </c>
      <c r="U14407" t="s">
        <v>58400</v>
      </c>
      <c r="V14407" t="s">
        <v>60699</v>
      </c>
      <c r="W14407" t="s">
        <v>42643</v>
      </c>
      <c r="X14407" t="s">
        <v>44926</v>
      </c>
    </row>
    <row r="14408" spans="1:24">
      <c r="A14408">
        <f>HYPERLINK("https://www.philgeps.gov.ph/GEPSNONPILOT/Tender/SplashBidNoticeAbstractUI.aspx?menuIndex=3&amp;refID=7044088&amp;Result=3","7044088")</f>
        <v>0</v>
      </c>
      <c r="B14408" t="s">
        <v>2836</v>
      </c>
      <c r="C14408" t="s">
        <v>17317</v>
      </c>
      <c r="D14408" t="s">
        <v>18153</v>
      </c>
      <c r="E14408" t="s">
        <v>30646</v>
      </c>
      <c r="F14408" t="s">
        <v>31362</v>
      </c>
      <c r="G14408" t="s">
        <v>31369</v>
      </c>
      <c r="H14408" t="s">
        <v>15799</v>
      </c>
      <c r="I14408" t="s">
        <v>31430</v>
      </c>
      <c r="J14408" t="s">
        <v>40217</v>
      </c>
      <c r="K14408" t="s">
        <v>40675</v>
      </c>
      <c r="M14408" t="s">
        <v>44037</v>
      </c>
      <c r="N14408" t="s">
        <v>44905</v>
      </c>
      <c r="O14408" t="s">
        <v>44906</v>
      </c>
      <c r="P14408">
        <v>0</v>
      </c>
      <c r="Q14408">
        <v>0</v>
      </c>
      <c r="R14408" t="s">
        <v>44925</v>
      </c>
      <c r="S14408" t="s">
        <v>45891</v>
      </c>
      <c r="T14408" t="s">
        <v>46509</v>
      </c>
      <c r="U14408" t="s">
        <v>58401</v>
      </c>
      <c r="W14408" t="s">
        <v>44037</v>
      </c>
      <c r="X14408" t="s">
        <v>44926</v>
      </c>
    </row>
    <row r="14409" spans="1:24">
      <c r="A14409">
        <f>HYPERLINK("https://www.philgeps.gov.ph/GEPSNONPILOT/Tender/SplashBidNoticeAbstractUI.aspx?menuIndex=3&amp;refID=7043933&amp;Result=3","7043933")</f>
        <v>0</v>
      </c>
      <c r="B14409" t="s">
        <v>3464</v>
      </c>
      <c r="C14409" t="s">
        <v>17318</v>
      </c>
      <c r="D14409" t="s">
        <v>18105</v>
      </c>
      <c r="E14409" t="s">
        <v>30617</v>
      </c>
      <c r="F14409" t="s">
        <v>31362</v>
      </c>
      <c r="G14409" t="s">
        <v>31369</v>
      </c>
      <c r="H14409" t="s">
        <v>31378</v>
      </c>
      <c r="I14409" t="s">
        <v>31386</v>
      </c>
      <c r="J14409" t="s">
        <v>40218</v>
      </c>
      <c r="K14409" t="s">
        <v>40686</v>
      </c>
      <c r="M14409" t="s">
        <v>44799</v>
      </c>
      <c r="N14409" t="s">
        <v>44905</v>
      </c>
      <c r="O14409" t="s">
        <v>44906</v>
      </c>
      <c r="Q14409">
        <v>37</v>
      </c>
      <c r="R14409" t="s">
        <v>44925</v>
      </c>
      <c r="S14409" t="s">
        <v>45936</v>
      </c>
      <c r="T14409" t="s">
        <v>46409</v>
      </c>
      <c r="U14409" t="s">
        <v>58374</v>
      </c>
      <c r="W14409" t="s">
        <v>44799</v>
      </c>
      <c r="X14409" t="s">
        <v>44926</v>
      </c>
    </row>
    <row r="14410" spans="1:24">
      <c r="A14410">
        <f>HYPERLINK("https://www.philgeps.gov.ph/GEPSNONPILOT/Tender/SplashBidNoticeAbstractUI.aspx?menuIndex=3&amp;refID=7044077&amp;Result=3","7044077")</f>
        <v>0</v>
      </c>
      <c r="B14410" t="s">
        <v>1587</v>
      </c>
      <c r="C14410" t="s">
        <v>17319</v>
      </c>
      <c r="D14410" t="s">
        <v>18151</v>
      </c>
      <c r="E14410" t="s">
        <v>30647</v>
      </c>
      <c r="F14410" t="s">
        <v>31362</v>
      </c>
      <c r="G14410" t="s">
        <v>31369</v>
      </c>
      <c r="H14410" t="s">
        <v>31378</v>
      </c>
      <c r="I14410" t="s">
        <v>3582</v>
      </c>
      <c r="J14410" t="s">
        <v>40219</v>
      </c>
      <c r="K14410" t="s">
        <v>40686</v>
      </c>
      <c r="M14410" t="s">
        <v>42643</v>
      </c>
      <c r="N14410" t="s">
        <v>44905</v>
      </c>
      <c r="O14410" t="s">
        <v>44906</v>
      </c>
      <c r="P14410">
        <v>0</v>
      </c>
      <c r="Q14410">
        <v>3</v>
      </c>
      <c r="R14410" t="s">
        <v>44925</v>
      </c>
      <c r="S14410" t="s">
        <v>45891</v>
      </c>
      <c r="T14410" t="s">
        <v>46432</v>
      </c>
      <c r="U14410" t="s">
        <v>58402</v>
      </c>
      <c r="V14410" t="s">
        <v>60699</v>
      </c>
      <c r="W14410" t="s">
        <v>42643</v>
      </c>
      <c r="X14410" t="s">
        <v>44926</v>
      </c>
    </row>
    <row r="14411" spans="1:24">
      <c r="A14411">
        <f>HYPERLINK("https://www.philgeps.gov.ph/GEPSNONPILOT/Tender/SplashBidNoticeAbstractUI.aspx?menuIndex=3&amp;refID=7044094&amp;Result=3","7044094")</f>
        <v>0</v>
      </c>
      <c r="B14411" t="s">
        <v>1783</v>
      </c>
      <c r="C14411" t="s">
        <v>17320</v>
      </c>
      <c r="D14411" t="s">
        <v>18154</v>
      </c>
      <c r="E14411" t="s">
        <v>30648</v>
      </c>
      <c r="F14411" t="s">
        <v>31362</v>
      </c>
      <c r="G14411" t="s">
        <v>31369</v>
      </c>
      <c r="H14411" t="s">
        <v>15799</v>
      </c>
      <c r="I14411" t="s">
        <v>3815</v>
      </c>
      <c r="J14411" t="s">
        <v>40220</v>
      </c>
      <c r="K14411" t="s">
        <v>40683</v>
      </c>
      <c r="L14411" t="s">
        <v>1783</v>
      </c>
      <c r="M14411" t="s">
        <v>42863</v>
      </c>
      <c r="N14411" t="s">
        <v>44905</v>
      </c>
      <c r="O14411" t="s">
        <v>44906</v>
      </c>
      <c r="P14411">
        <v>0</v>
      </c>
      <c r="Q14411">
        <v>1</v>
      </c>
      <c r="R14411" t="s">
        <v>44925</v>
      </c>
      <c r="S14411" t="s">
        <v>45891</v>
      </c>
      <c r="T14411" t="s">
        <v>46425</v>
      </c>
      <c r="U14411" t="s">
        <v>58403</v>
      </c>
      <c r="V14411" t="s">
        <v>60705</v>
      </c>
      <c r="W14411" t="s">
        <v>42863</v>
      </c>
      <c r="X14411" t="s">
        <v>44926</v>
      </c>
    </row>
    <row r="14412" spans="1:24">
      <c r="A14412">
        <f>HYPERLINK("https://www.philgeps.gov.ph/GEPSNONPILOT/Tender/SplashBidNoticeAbstractUI.aspx?menuIndex=3&amp;refID=7044071&amp;Result=3","7044071")</f>
        <v>0</v>
      </c>
      <c r="B14412" t="s">
        <v>1587</v>
      </c>
      <c r="C14412" t="s">
        <v>17321</v>
      </c>
      <c r="D14412" t="s">
        <v>18151</v>
      </c>
      <c r="E14412" t="s">
        <v>30649</v>
      </c>
      <c r="F14412" t="s">
        <v>31362</v>
      </c>
      <c r="G14412" t="s">
        <v>31369</v>
      </c>
      <c r="H14412" t="s">
        <v>31378</v>
      </c>
      <c r="I14412" t="s">
        <v>3582</v>
      </c>
      <c r="J14412" t="s">
        <v>40221</v>
      </c>
      <c r="K14412" t="s">
        <v>40686</v>
      </c>
      <c r="M14412" t="s">
        <v>42643</v>
      </c>
      <c r="N14412" t="s">
        <v>44905</v>
      </c>
      <c r="O14412" t="s">
        <v>44906</v>
      </c>
      <c r="P14412">
        <v>0</v>
      </c>
      <c r="Q14412">
        <v>1</v>
      </c>
      <c r="R14412" t="s">
        <v>44925</v>
      </c>
      <c r="S14412" t="s">
        <v>45891</v>
      </c>
      <c r="T14412" t="s">
        <v>46432</v>
      </c>
      <c r="U14412" t="s">
        <v>58404</v>
      </c>
      <c r="V14412" t="s">
        <v>60699</v>
      </c>
      <c r="W14412" t="s">
        <v>42643</v>
      </c>
      <c r="X14412" t="s">
        <v>44926</v>
      </c>
    </row>
    <row r="14413" spans="1:24">
      <c r="A14413">
        <f>HYPERLINK("https://www.philgeps.gov.ph/GEPSNONPILOT/Tender/SplashBidNoticeAbstractUI.aspx?menuIndex=3&amp;refID=7044078&amp;Result=3","7044078")</f>
        <v>0</v>
      </c>
      <c r="B14413" t="s">
        <v>1587</v>
      </c>
      <c r="C14413" t="s">
        <v>17322</v>
      </c>
      <c r="D14413" t="s">
        <v>18151</v>
      </c>
      <c r="E14413" t="s">
        <v>30650</v>
      </c>
      <c r="F14413" t="s">
        <v>31362</v>
      </c>
      <c r="G14413" t="s">
        <v>31369</v>
      </c>
      <c r="H14413" t="s">
        <v>31378</v>
      </c>
      <c r="I14413" t="s">
        <v>3582</v>
      </c>
      <c r="J14413" t="s">
        <v>40222</v>
      </c>
      <c r="K14413" t="s">
        <v>40686</v>
      </c>
      <c r="M14413" t="s">
        <v>42643</v>
      </c>
      <c r="N14413" t="s">
        <v>44905</v>
      </c>
      <c r="O14413" t="s">
        <v>44906</v>
      </c>
      <c r="P14413">
        <v>0</v>
      </c>
      <c r="Q14413">
        <v>1</v>
      </c>
      <c r="R14413" t="s">
        <v>44925</v>
      </c>
      <c r="S14413" t="s">
        <v>45891</v>
      </c>
      <c r="T14413" t="s">
        <v>46432</v>
      </c>
      <c r="U14413" t="s">
        <v>58405</v>
      </c>
      <c r="V14413" t="s">
        <v>60699</v>
      </c>
      <c r="W14413" t="s">
        <v>42643</v>
      </c>
      <c r="X14413" t="s">
        <v>44926</v>
      </c>
    </row>
    <row r="14414" spans="1:24">
      <c r="A14414">
        <f>HYPERLINK("https://www.philgeps.gov.ph/GEPSNONPILOT/Tender/SplashBidNoticeAbstractUI.aspx?menuIndex=3&amp;refID=7044099&amp;Result=3","7044099")</f>
        <v>0</v>
      </c>
      <c r="B14414" t="s">
        <v>299</v>
      </c>
      <c r="C14414" t="s">
        <v>17323</v>
      </c>
      <c r="D14414" t="s">
        <v>18108</v>
      </c>
      <c r="E14414" t="s">
        <v>30651</v>
      </c>
      <c r="F14414" t="s">
        <v>31362</v>
      </c>
      <c r="G14414" t="s">
        <v>31369</v>
      </c>
      <c r="H14414" t="s">
        <v>15799</v>
      </c>
      <c r="I14414" t="s">
        <v>31422</v>
      </c>
      <c r="J14414" t="s">
        <v>40223</v>
      </c>
      <c r="K14414" t="s">
        <v>40661</v>
      </c>
      <c r="M14414" t="s">
        <v>44401</v>
      </c>
      <c r="N14414" t="s">
        <v>44905</v>
      </c>
      <c r="O14414" t="s">
        <v>44906</v>
      </c>
      <c r="P14414">
        <v>0</v>
      </c>
      <c r="Q14414">
        <v>26</v>
      </c>
      <c r="R14414" t="s">
        <v>44925</v>
      </c>
      <c r="S14414" t="s">
        <v>45891</v>
      </c>
      <c r="T14414" t="s">
        <v>46403</v>
      </c>
      <c r="U14414" t="s">
        <v>56538</v>
      </c>
      <c r="W14414" t="s">
        <v>44401</v>
      </c>
      <c r="X14414" t="s">
        <v>44926</v>
      </c>
    </row>
    <row r="14415" spans="1:24">
      <c r="A14415">
        <f>HYPERLINK("https://www.philgeps.gov.ph/GEPSNONPILOT/Tender/SplashBidNoticeAbstractUI.aspx?menuIndex=3&amp;refID=7044098&amp;Result=3","7044098")</f>
        <v>0</v>
      </c>
      <c r="B14415" t="s">
        <v>1783</v>
      </c>
      <c r="C14415" t="s">
        <v>17324</v>
      </c>
      <c r="D14415" t="s">
        <v>18154</v>
      </c>
      <c r="E14415" t="s">
        <v>30652</v>
      </c>
      <c r="F14415" t="s">
        <v>31362</v>
      </c>
      <c r="G14415" t="s">
        <v>31369</v>
      </c>
      <c r="H14415" t="s">
        <v>15799</v>
      </c>
      <c r="I14415" t="s">
        <v>3815</v>
      </c>
      <c r="J14415" t="s">
        <v>40224</v>
      </c>
      <c r="K14415" t="s">
        <v>40683</v>
      </c>
      <c r="L14415" t="s">
        <v>1783</v>
      </c>
      <c r="M14415" t="s">
        <v>42863</v>
      </c>
      <c r="N14415" t="s">
        <v>44905</v>
      </c>
      <c r="O14415" t="s">
        <v>44906</v>
      </c>
      <c r="P14415">
        <v>0</v>
      </c>
      <c r="Q14415">
        <v>2</v>
      </c>
      <c r="R14415" t="s">
        <v>44925</v>
      </c>
      <c r="S14415" t="s">
        <v>45891</v>
      </c>
      <c r="T14415" t="s">
        <v>46425</v>
      </c>
      <c r="U14415" t="s">
        <v>58406</v>
      </c>
      <c r="V14415" t="s">
        <v>60706</v>
      </c>
      <c r="W14415" t="s">
        <v>42863</v>
      </c>
      <c r="X14415" t="s">
        <v>44926</v>
      </c>
    </row>
    <row r="14416" spans="1:24">
      <c r="A14416">
        <f>HYPERLINK("https://www.philgeps.gov.ph/GEPSNONPILOT/Tender/SplashBidNoticeAbstractUI.aspx?menuIndex=3&amp;refID=7044068&amp;Result=3","7044068")</f>
        <v>0</v>
      </c>
      <c r="B14416" t="s">
        <v>1587</v>
      </c>
      <c r="C14416" t="s">
        <v>17325</v>
      </c>
      <c r="D14416" t="s">
        <v>18151</v>
      </c>
      <c r="E14416" t="s">
        <v>30653</v>
      </c>
      <c r="F14416" t="s">
        <v>31362</v>
      </c>
      <c r="G14416" t="s">
        <v>31369</v>
      </c>
      <c r="H14416" t="s">
        <v>31378</v>
      </c>
      <c r="I14416" t="s">
        <v>3582</v>
      </c>
      <c r="J14416" t="s">
        <v>40225</v>
      </c>
      <c r="K14416" t="s">
        <v>40686</v>
      </c>
      <c r="M14416" t="s">
        <v>42643</v>
      </c>
      <c r="N14416" t="s">
        <v>44905</v>
      </c>
      <c r="O14416" t="s">
        <v>44906</v>
      </c>
      <c r="P14416">
        <v>0</v>
      </c>
      <c r="Q14416">
        <v>3</v>
      </c>
      <c r="R14416" t="s">
        <v>44925</v>
      </c>
      <c r="S14416" t="s">
        <v>45891</v>
      </c>
      <c r="T14416" t="s">
        <v>46432</v>
      </c>
      <c r="U14416" t="s">
        <v>58407</v>
      </c>
      <c r="V14416" t="s">
        <v>60699</v>
      </c>
      <c r="W14416" t="s">
        <v>42643</v>
      </c>
      <c r="X14416" t="s">
        <v>44926</v>
      </c>
    </row>
    <row r="14417" spans="1:24">
      <c r="A14417">
        <f>HYPERLINK("https://www.philgeps.gov.ph/GEPSNONPILOT/Tender/SplashBidNoticeAbstractUI.aspx?menuIndex=3&amp;refID=7044248&amp;Result=3","7044248")</f>
        <v>0</v>
      </c>
      <c r="B14417" t="s">
        <v>191</v>
      </c>
      <c r="C14417" t="s">
        <v>17326</v>
      </c>
      <c r="D14417" t="s">
        <v>18154</v>
      </c>
      <c r="E14417" t="s">
        <v>30654</v>
      </c>
      <c r="F14417" t="s">
        <v>31362</v>
      </c>
      <c r="G14417" t="s">
        <v>31369</v>
      </c>
      <c r="H14417" t="s">
        <v>15799</v>
      </c>
      <c r="I14417" t="s">
        <v>31409</v>
      </c>
      <c r="J14417" t="s">
        <v>33070</v>
      </c>
      <c r="K14417" t="s">
        <v>40665</v>
      </c>
      <c r="M14417" t="s">
        <v>41129</v>
      </c>
      <c r="N14417" t="s">
        <v>44905</v>
      </c>
      <c r="O14417" t="s">
        <v>44906</v>
      </c>
      <c r="P14417">
        <v>0</v>
      </c>
      <c r="Q14417">
        <v>2</v>
      </c>
      <c r="R14417" t="s">
        <v>44925</v>
      </c>
      <c r="S14417" t="s">
        <v>45891</v>
      </c>
      <c r="T14417" t="s">
        <v>46507</v>
      </c>
      <c r="U14417" t="s">
        <v>58408</v>
      </c>
      <c r="W14417" t="s">
        <v>41129</v>
      </c>
      <c r="X14417" t="s">
        <v>44926</v>
      </c>
    </row>
    <row r="14418" spans="1:24">
      <c r="A14418">
        <f>HYPERLINK("https://www.philgeps.gov.ph/GEPSNONPILOT/Tender/SplashBidNoticeAbstractUI.aspx?menuIndex=3&amp;refID=7044153&amp;Result=3","7044153")</f>
        <v>0</v>
      </c>
      <c r="B14418" t="s">
        <v>299</v>
      </c>
      <c r="C14418" t="s">
        <v>17327</v>
      </c>
      <c r="D14418" t="s">
        <v>18108</v>
      </c>
      <c r="E14418" t="s">
        <v>30655</v>
      </c>
      <c r="F14418" t="s">
        <v>31362</v>
      </c>
      <c r="G14418" t="s">
        <v>31369</v>
      </c>
      <c r="H14418" t="s">
        <v>15799</v>
      </c>
      <c r="I14418" t="s">
        <v>31398</v>
      </c>
      <c r="J14418" t="s">
        <v>40226</v>
      </c>
      <c r="K14418" t="s">
        <v>40666</v>
      </c>
      <c r="M14418" t="s">
        <v>44401</v>
      </c>
      <c r="N14418" t="s">
        <v>44905</v>
      </c>
      <c r="O14418" t="s">
        <v>44906</v>
      </c>
      <c r="P14418">
        <v>0</v>
      </c>
      <c r="Q14418">
        <v>9</v>
      </c>
      <c r="R14418" t="s">
        <v>44925</v>
      </c>
      <c r="S14418" t="s">
        <v>45891</v>
      </c>
      <c r="T14418" t="s">
        <v>46403</v>
      </c>
      <c r="U14418" t="s">
        <v>58409</v>
      </c>
      <c r="W14418" t="s">
        <v>44401</v>
      </c>
      <c r="X14418" t="s">
        <v>44926</v>
      </c>
    </row>
    <row r="14419" spans="1:24">
      <c r="A14419">
        <f>HYPERLINK("https://www.philgeps.gov.ph/GEPSNONPILOT/Tender/SplashBidNoticeAbstractUI.aspx?menuIndex=3&amp;refID=7044234&amp;Result=3","7044234")</f>
        <v>0</v>
      </c>
      <c r="B14419" t="s">
        <v>2788</v>
      </c>
      <c r="C14419" t="s">
        <v>17328</v>
      </c>
      <c r="D14419" t="s">
        <v>18108</v>
      </c>
      <c r="E14419" t="s">
        <v>19844</v>
      </c>
      <c r="F14419" t="s">
        <v>31362</v>
      </c>
      <c r="G14419" t="s">
        <v>31369</v>
      </c>
      <c r="H14419" t="s">
        <v>31379</v>
      </c>
      <c r="I14419" t="s">
        <v>12925</v>
      </c>
      <c r="J14419" t="s">
        <v>40227</v>
      </c>
      <c r="K14419" t="s">
        <v>40712</v>
      </c>
      <c r="M14419" t="s">
        <v>44803</v>
      </c>
      <c r="N14419" t="s">
        <v>44905</v>
      </c>
      <c r="O14419" t="s">
        <v>44906</v>
      </c>
      <c r="P14419">
        <v>0</v>
      </c>
      <c r="Q14419">
        <v>13</v>
      </c>
      <c r="R14419" t="s">
        <v>44925</v>
      </c>
      <c r="S14419" t="s">
        <v>45891</v>
      </c>
      <c r="T14419" t="s">
        <v>46409</v>
      </c>
      <c r="U14419" t="s">
        <v>58410</v>
      </c>
      <c r="V14419" t="s">
        <v>60707</v>
      </c>
      <c r="W14419" t="s">
        <v>44803</v>
      </c>
      <c r="X14419" t="s">
        <v>44926</v>
      </c>
    </row>
    <row r="14420" spans="1:24">
      <c r="A14420">
        <f>HYPERLINK("https://www.philgeps.gov.ph/GEPSNONPILOT/Tender/SplashBidNoticeAbstractUI.aspx?menuIndex=3&amp;refID=7044226&amp;Result=3","7044226")</f>
        <v>0</v>
      </c>
      <c r="B14420" t="s">
        <v>2460</v>
      </c>
      <c r="C14420" t="s">
        <v>17329</v>
      </c>
      <c r="D14420" t="s">
        <v>18172</v>
      </c>
      <c r="E14420" t="s">
        <v>30656</v>
      </c>
      <c r="F14420" t="s">
        <v>31362</v>
      </c>
      <c r="G14420" t="s">
        <v>31369</v>
      </c>
      <c r="H14420" t="s">
        <v>15799</v>
      </c>
      <c r="I14420" t="s">
        <v>31444</v>
      </c>
      <c r="J14420" t="s">
        <v>40228</v>
      </c>
      <c r="K14420" t="s">
        <v>40666</v>
      </c>
      <c r="M14420" t="s">
        <v>43620</v>
      </c>
      <c r="N14420" t="s">
        <v>44905</v>
      </c>
      <c r="O14420" t="s">
        <v>44906</v>
      </c>
      <c r="P14420">
        <v>0</v>
      </c>
      <c r="Q14420">
        <v>4</v>
      </c>
      <c r="R14420" t="s">
        <v>44925</v>
      </c>
      <c r="S14420" t="s">
        <v>45891</v>
      </c>
      <c r="T14420" t="s">
        <v>46410</v>
      </c>
      <c r="U14420" t="s">
        <v>58411</v>
      </c>
      <c r="W14420" t="s">
        <v>43620</v>
      </c>
      <c r="X14420" t="s">
        <v>44926</v>
      </c>
    </row>
    <row r="14421" spans="1:24">
      <c r="A14421">
        <f>HYPERLINK("https://www.philgeps.gov.ph/GEPSNONPILOT/Tender/SplashBidNoticeAbstractUI.aspx?menuIndex=3&amp;refID=7044073&amp;Result=3","7044073")</f>
        <v>0</v>
      </c>
      <c r="B14421" t="s">
        <v>1587</v>
      </c>
      <c r="C14421" t="s">
        <v>17330</v>
      </c>
      <c r="D14421" t="s">
        <v>18151</v>
      </c>
      <c r="E14421" t="s">
        <v>30657</v>
      </c>
      <c r="F14421" t="s">
        <v>31362</v>
      </c>
      <c r="G14421" t="s">
        <v>31369</v>
      </c>
      <c r="H14421" t="s">
        <v>31378</v>
      </c>
      <c r="I14421" t="s">
        <v>3582</v>
      </c>
      <c r="J14421" t="s">
        <v>40229</v>
      </c>
      <c r="K14421" t="s">
        <v>40686</v>
      </c>
      <c r="M14421" t="s">
        <v>42643</v>
      </c>
      <c r="N14421" t="s">
        <v>44905</v>
      </c>
      <c r="O14421" t="s">
        <v>44906</v>
      </c>
      <c r="P14421">
        <v>0</v>
      </c>
      <c r="Q14421">
        <v>1</v>
      </c>
      <c r="R14421" t="s">
        <v>44925</v>
      </c>
      <c r="S14421" t="s">
        <v>45891</v>
      </c>
      <c r="T14421" t="s">
        <v>46432</v>
      </c>
      <c r="U14421" t="s">
        <v>58412</v>
      </c>
      <c r="V14421" t="s">
        <v>60699</v>
      </c>
      <c r="W14421" t="s">
        <v>42643</v>
      </c>
      <c r="X14421" t="s">
        <v>44926</v>
      </c>
    </row>
    <row r="14422" spans="1:24">
      <c r="A14422">
        <f>HYPERLINK("https://www.philgeps.gov.ph/GEPSNONPILOT/Tender/SplashBidNoticeAbstractUI.aspx?menuIndex=3&amp;refID=7044076&amp;Result=3","7044076")</f>
        <v>0</v>
      </c>
      <c r="B14422" t="s">
        <v>1587</v>
      </c>
      <c r="C14422" t="s">
        <v>17331</v>
      </c>
      <c r="D14422" t="s">
        <v>18151</v>
      </c>
      <c r="E14422" t="s">
        <v>30658</v>
      </c>
      <c r="F14422" t="s">
        <v>31362</v>
      </c>
      <c r="G14422" t="s">
        <v>31369</v>
      </c>
      <c r="H14422" t="s">
        <v>31378</v>
      </c>
      <c r="I14422" t="s">
        <v>3582</v>
      </c>
      <c r="J14422" t="s">
        <v>40230</v>
      </c>
      <c r="K14422" t="s">
        <v>40686</v>
      </c>
      <c r="M14422" t="s">
        <v>42643</v>
      </c>
      <c r="N14422" t="s">
        <v>44905</v>
      </c>
      <c r="O14422" t="s">
        <v>44906</v>
      </c>
      <c r="P14422">
        <v>0</v>
      </c>
      <c r="Q14422">
        <v>1</v>
      </c>
      <c r="R14422" t="s">
        <v>44925</v>
      </c>
      <c r="S14422" t="s">
        <v>45891</v>
      </c>
      <c r="T14422" t="s">
        <v>46432</v>
      </c>
      <c r="U14422" t="s">
        <v>58413</v>
      </c>
      <c r="V14422" t="s">
        <v>60699</v>
      </c>
      <c r="W14422" t="s">
        <v>42643</v>
      </c>
      <c r="X14422" t="s">
        <v>44926</v>
      </c>
    </row>
    <row r="14423" spans="1:24">
      <c r="A14423">
        <f>HYPERLINK("https://www.philgeps.gov.ph/GEPSNONPILOT/Tender/SplashBidNoticeAbstractUI.aspx?menuIndex=3&amp;refID=7044215&amp;Result=3","7044215")</f>
        <v>0</v>
      </c>
      <c r="B14423" t="s">
        <v>684</v>
      </c>
      <c r="C14423" t="s">
        <v>17332</v>
      </c>
      <c r="D14423" t="s">
        <v>18146</v>
      </c>
      <c r="E14423" t="s">
        <v>30659</v>
      </c>
      <c r="F14423" t="s">
        <v>31362</v>
      </c>
      <c r="G14423" t="s">
        <v>31369</v>
      </c>
      <c r="H14423" t="s">
        <v>15799</v>
      </c>
      <c r="I14423" t="s">
        <v>31404</v>
      </c>
      <c r="J14423" t="s">
        <v>40231</v>
      </c>
      <c r="K14423" t="s">
        <v>40665</v>
      </c>
      <c r="M14423" t="s">
        <v>41646</v>
      </c>
      <c r="N14423" t="s">
        <v>44905</v>
      </c>
      <c r="O14423" t="s">
        <v>44906</v>
      </c>
      <c r="Q14423">
        <v>0</v>
      </c>
      <c r="R14423" t="s">
        <v>44925</v>
      </c>
      <c r="S14423" t="s">
        <v>45937</v>
      </c>
      <c r="T14423" t="s">
        <v>46452</v>
      </c>
      <c r="U14423" t="s">
        <v>58414</v>
      </c>
      <c r="W14423" t="s">
        <v>41646</v>
      </c>
      <c r="X14423" t="s">
        <v>44926</v>
      </c>
    </row>
    <row r="14424" spans="1:24">
      <c r="A14424">
        <f>HYPERLINK("https://www.philgeps.gov.ph/GEPSNONPILOT/Tender/SplashBidNoticeAbstractUI.aspx?menuIndex=3&amp;refID=7044201&amp;Result=3","7044201")</f>
        <v>0</v>
      </c>
      <c r="B14424" t="s">
        <v>3467</v>
      </c>
      <c r="C14424" t="s">
        <v>17333</v>
      </c>
      <c r="D14424" t="s">
        <v>18172</v>
      </c>
      <c r="E14424" t="s">
        <v>30660</v>
      </c>
      <c r="F14424" t="s">
        <v>31362</v>
      </c>
      <c r="G14424" t="s">
        <v>31369</v>
      </c>
      <c r="H14424" t="s">
        <v>15799</v>
      </c>
      <c r="I14424" t="s">
        <v>6373</v>
      </c>
      <c r="J14424" t="s">
        <v>40232</v>
      </c>
      <c r="K14424" t="s">
        <v>40696</v>
      </c>
      <c r="L14424" t="s">
        <v>3467</v>
      </c>
      <c r="M14424" t="s">
        <v>44802</v>
      </c>
      <c r="N14424" t="s">
        <v>44905</v>
      </c>
      <c r="O14424" t="s">
        <v>44906</v>
      </c>
      <c r="P14424">
        <v>0</v>
      </c>
      <c r="Q14424">
        <v>5</v>
      </c>
      <c r="R14424" t="s">
        <v>44925</v>
      </c>
      <c r="S14424" t="s">
        <v>45891</v>
      </c>
      <c r="T14424" t="s">
        <v>46393</v>
      </c>
      <c r="U14424" t="s">
        <v>58415</v>
      </c>
      <c r="V14424" t="s">
        <v>60704</v>
      </c>
      <c r="W14424" t="s">
        <v>44802</v>
      </c>
      <c r="X14424" t="s">
        <v>44926</v>
      </c>
    </row>
    <row r="14425" spans="1:24">
      <c r="A14425">
        <f>HYPERLINK("https://www.philgeps.gov.ph/GEPSNONPILOT/Tender/SplashBidNoticeAbstractUI.aspx?menuIndex=3&amp;refID=7044044&amp;Result=3","7044044")</f>
        <v>0</v>
      </c>
      <c r="B14425" t="s">
        <v>1587</v>
      </c>
      <c r="C14425" t="s">
        <v>17334</v>
      </c>
      <c r="D14425" t="s">
        <v>18151</v>
      </c>
      <c r="E14425" t="s">
        <v>30661</v>
      </c>
      <c r="F14425" t="s">
        <v>31362</v>
      </c>
      <c r="G14425" t="s">
        <v>31369</v>
      </c>
      <c r="H14425" t="s">
        <v>31378</v>
      </c>
      <c r="I14425" t="s">
        <v>3582</v>
      </c>
      <c r="J14425" t="s">
        <v>40233</v>
      </c>
      <c r="K14425" t="s">
        <v>40686</v>
      </c>
      <c r="M14425" t="s">
        <v>42643</v>
      </c>
      <c r="N14425" t="s">
        <v>44905</v>
      </c>
      <c r="O14425" t="s">
        <v>44906</v>
      </c>
      <c r="P14425">
        <v>0</v>
      </c>
      <c r="Q14425">
        <v>1</v>
      </c>
      <c r="R14425" t="s">
        <v>44925</v>
      </c>
      <c r="S14425" t="s">
        <v>45891</v>
      </c>
      <c r="T14425" t="s">
        <v>46432</v>
      </c>
      <c r="U14425" t="s">
        <v>58416</v>
      </c>
      <c r="V14425" t="s">
        <v>60699</v>
      </c>
      <c r="W14425" t="s">
        <v>42643</v>
      </c>
      <c r="X14425" t="s">
        <v>44926</v>
      </c>
    </row>
    <row r="14426" spans="1:24">
      <c r="A14426">
        <f>HYPERLINK("https://www.philgeps.gov.ph/GEPSNONPILOT/Tender/SplashBidNoticeAbstractUI.aspx?menuIndex=3&amp;refID=7044191&amp;Result=3","7044191")</f>
        <v>0</v>
      </c>
      <c r="B14426" t="s">
        <v>3467</v>
      </c>
      <c r="C14426" t="s">
        <v>17335</v>
      </c>
      <c r="D14426" t="s">
        <v>18172</v>
      </c>
      <c r="E14426" t="s">
        <v>30662</v>
      </c>
      <c r="F14426" t="s">
        <v>31362</v>
      </c>
      <c r="G14426" t="s">
        <v>31369</v>
      </c>
      <c r="H14426" t="s">
        <v>31378</v>
      </c>
      <c r="I14426" t="s">
        <v>31386</v>
      </c>
      <c r="J14426" t="s">
        <v>40234</v>
      </c>
      <c r="K14426" t="s">
        <v>40675</v>
      </c>
      <c r="L14426" t="s">
        <v>3467</v>
      </c>
      <c r="M14426" t="s">
        <v>44802</v>
      </c>
      <c r="N14426" t="s">
        <v>44905</v>
      </c>
      <c r="O14426" t="s">
        <v>44906</v>
      </c>
      <c r="P14426">
        <v>0</v>
      </c>
      <c r="Q14426">
        <v>0</v>
      </c>
      <c r="R14426" t="s">
        <v>44925</v>
      </c>
      <c r="S14426" t="s">
        <v>45891</v>
      </c>
      <c r="T14426" t="s">
        <v>46393</v>
      </c>
      <c r="U14426" t="s">
        <v>58417</v>
      </c>
      <c r="V14426" t="s">
        <v>60704</v>
      </c>
      <c r="W14426" t="s">
        <v>44802</v>
      </c>
      <c r="X14426" t="s">
        <v>44926</v>
      </c>
    </row>
    <row r="14427" spans="1:24">
      <c r="A14427">
        <f>HYPERLINK("https://www.philgeps.gov.ph/GEPSNONPILOT/Tender/SplashBidNoticeAbstractUI.aspx?menuIndex=3&amp;refID=7044184&amp;Result=3","7044184")</f>
        <v>0</v>
      </c>
      <c r="B14427" t="s">
        <v>1578</v>
      </c>
      <c r="C14427" t="s">
        <v>17336</v>
      </c>
      <c r="D14427" t="s">
        <v>18108</v>
      </c>
      <c r="E14427" t="s">
        <v>30663</v>
      </c>
      <c r="F14427" t="s">
        <v>31362</v>
      </c>
      <c r="G14427" t="s">
        <v>31369</v>
      </c>
      <c r="H14427" t="s">
        <v>15799</v>
      </c>
      <c r="I14427" t="s">
        <v>31404</v>
      </c>
      <c r="J14427" t="s">
        <v>40235</v>
      </c>
      <c r="K14427" t="s">
        <v>40876</v>
      </c>
      <c r="M14427" t="s">
        <v>42632</v>
      </c>
      <c r="N14427" t="s">
        <v>44905</v>
      </c>
      <c r="O14427" t="s">
        <v>44906</v>
      </c>
      <c r="Q14427">
        <v>0</v>
      </c>
      <c r="R14427" t="s">
        <v>44925</v>
      </c>
      <c r="S14427" t="s">
        <v>45253</v>
      </c>
      <c r="T14427" t="s">
        <v>46479</v>
      </c>
      <c r="U14427" t="s">
        <v>58418</v>
      </c>
      <c r="V14427" t="s">
        <v>60708</v>
      </c>
      <c r="W14427" t="s">
        <v>42632</v>
      </c>
      <c r="X14427" t="s">
        <v>44926</v>
      </c>
    </row>
    <row r="14428" spans="1:24">
      <c r="A14428">
        <f>HYPERLINK("https://www.philgeps.gov.ph/GEPSNONPILOT/Tender/SplashBidNoticeAbstractUI.aspx?menuIndex=3&amp;refID=7044182&amp;Result=3","7044182")</f>
        <v>0</v>
      </c>
      <c r="B14428" t="s">
        <v>3467</v>
      </c>
      <c r="C14428" t="s">
        <v>17337</v>
      </c>
      <c r="D14428" t="s">
        <v>18172</v>
      </c>
      <c r="E14428" t="s">
        <v>29662</v>
      </c>
      <c r="F14428" t="s">
        <v>31362</v>
      </c>
      <c r="G14428" t="s">
        <v>31369</v>
      </c>
      <c r="H14428" t="s">
        <v>31378</v>
      </c>
      <c r="I14428" t="s">
        <v>31386</v>
      </c>
      <c r="J14428" t="s">
        <v>40213</v>
      </c>
      <c r="K14428" t="s">
        <v>40748</v>
      </c>
      <c r="L14428" t="s">
        <v>3467</v>
      </c>
      <c r="M14428" t="s">
        <v>44802</v>
      </c>
      <c r="N14428" t="s">
        <v>44905</v>
      </c>
      <c r="O14428" t="s">
        <v>44906</v>
      </c>
      <c r="P14428">
        <v>0</v>
      </c>
      <c r="Q14428">
        <v>0</v>
      </c>
      <c r="R14428" t="s">
        <v>44925</v>
      </c>
      <c r="S14428" t="s">
        <v>45891</v>
      </c>
      <c r="T14428" t="s">
        <v>46393</v>
      </c>
      <c r="U14428" t="s">
        <v>58419</v>
      </c>
      <c r="V14428" t="s">
        <v>60704</v>
      </c>
      <c r="W14428" t="s">
        <v>44802</v>
      </c>
      <c r="X14428" t="s">
        <v>44926</v>
      </c>
    </row>
    <row r="14429" spans="1:24">
      <c r="A14429">
        <f>HYPERLINK("https://www.philgeps.gov.ph/GEPSNONPILOT/Tender/SplashBidNoticeAbstractUI.aspx?menuIndex=3&amp;refID=7044241&amp;Result=3","7044241")</f>
        <v>0</v>
      </c>
      <c r="B14429" t="s">
        <v>2788</v>
      </c>
      <c r="C14429" t="s">
        <v>17338</v>
      </c>
      <c r="D14429" t="s">
        <v>18108</v>
      </c>
      <c r="E14429" t="s">
        <v>19255</v>
      </c>
      <c r="F14429" t="s">
        <v>31362</v>
      </c>
      <c r="G14429" t="s">
        <v>31369</v>
      </c>
      <c r="H14429" t="s">
        <v>31379</v>
      </c>
      <c r="I14429" t="s">
        <v>31436</v>
      </c>
      <c r="J14429" t="s">
        <v>40236</v>
      </c>
      <c r="K14429" t="s">
        <v>40712</v>
      </c>
      <c r="M14429" t="s">
        <v>44803</v>
      </c>
      <c r="N14429" t="s">
        <v>44905</v>
      </c>
      <c r="O14429" t="s">
        <v>44906</v>
      </c>
      <c r="P14429">
        <v>0</v>
      </c>
      <c r="Q14429">
        <v>5</v>
      </c>
      <c r="R14429" t="s">
        <v>44925</v>
      </c>
      <c r="S14429" t="s">
        <v>45891</v>
      </c>
      <c r="T14429" t="s">
        <v>46409</v>
      </c>
      <c r="U14429" t="s">
        <v>58420</v>
      </c>
      <c r="V14429" t="s">
        <v>60707</v>
      </c>
      <c r="W14429" t="s">
        <v>44803</v>
      </c>
      <c r="X14429" t="s">
        <v>44926</v>
      </c>
    </row>
    <row r="14430" spans="1:24">
      <c r="A14430">
        <f>HYPERLINK("https://www.philgeps.gov.ph/GEPSNONPILOT/Tender/SplashBidNoticeAbstractUI.aspx?menuIndex=3&amp;refID=7044197&amp;Result=3","7044197")</f>
        <v>0</v>
      </c>
      <c r="B14430" t="s">
        <v>3467</v>
      </c>
      <c r="C14430" t="s">
        <v>17339</v>
      </c>
      <c r="D14430" t="s">
        <v>18172</v>
      </c>
      <c r="E14430" t="s">
        <v>30664</v>
      </c>
      <c r="F14430" t="s">
        <v>31362</v>
      </c>
      <c r="G14430" t="s">
        <v>31369</v>
      </c>
      <c r="H14430" t="s">
        <v>31378</v>
      </c>
      <c r="I14430" t="s">
        <v>31386</v>
      </c>
      <c r="J14430" t="s">
        <v>40237</v>
      </c>
      <c r="K14430" t="s">
        <v>40756</v>
      </c>
      <c r="L14430" t="s">
        <v>3467</v>
      </c>
      <c r="M14430" t="s">
        <v>44802</v>
      </c>
      <c r="N14430" t="s">
        <v>44905</v>
      </c>
      <c r="O14430" t="s">
        <v>44906</v>
      </c>
      <c r="P14430">
        <v>0</v>
      </c>
      <c r="Q14430">
        <v>0</v>
      </c>
      <c r="R14430" t="s">
        <v>44925</v>
      </c>
      <c r="S14430" t="s">
        <v>45891</v>
      </c>
      <c r="T14430" t="s">
        <v>46393</v>
      </c>
      <c r="U14430" t="s">
        <v>58421</v>
      </c>
      <c r="V14430" t="s">
        <v>60704</v>
      </c>
      <c r="W14430" t="s">
        <v>44802</v>
      </c>
      <c r="X14430" t="s">
        <v>44926</v>
      </c>
    </row>
    <row r="14431" spans="1:24">
      <c r="A14431">
        <f>HYPERLINK("https://www.philgeps.gov.ph/GEPSNONPILOT/Tender/SplashBidNoticeAbstractUI.aspx?menuIndex=3&amp;refID=7044160&amp;Result=3","7044160")</f>
        <v>0</v>
      </c>
      <c r="B14431" t="s">
        <v>3467</v>
      </c>
      <c r="C14431" t="s">
        <v>17340</v>
      </c>
      <c r="D14431" t="s">
        <v>18172</v>
      </c>
      <c r="E14431" t="s">
        <v>30665</v>
      </c>
      <c r="F14431" t="s">
        <v>31362</v>
      </c>
      <c r="G14431" t="s">
        <v>31369</v>
      </c>
      <c r="H14431" t="s">
        <v>31378</v>
      </c>
      <c r="I14431" t="s">
        <v>31386</v>
      </c>
      <c r="J14431" t="s">
        <v>40238</v>
      </c>
      <c r="K14431" t="s">
        <v>40675</v>
      </c>
      <c r="L14431" t="s">
        <v>3467</v>
      </c>
      <c r="M14431" t="s">
        <v>44802</v>
      </c>
      <c r="N14431" t="s">
        <v>44905</v>
      </c>
      <c r="O14431" t="s">
        <v>44906</v>
      </c>
      <c r="P14431">
        <v>0</v>
      </c>
      <c r="Q14431">
        <v>0</v>
      </c>
      <c r="R14431" t="s">
        <v>44925</v>
      </c>
      <c r="S14431" t="s">
        <v>45891</v>
      </c>
      <c r="T14431" t="s">
        <v>46393</v>
      </c>
      <c r="U14431" t="s">
        <v>58422</v>
      </c>
      <c r="V14431" t="s">
        <v>60704</v>
      </c>
      <c r="W14431" t="s">
        <v>44802</v>
      </c>
      <c r="X14431" t="s">
        <v>44926</v>
      </c>
    </row>
    <row r="14432" spans="1:24">
      <c r="A14432">
        <f>HYPERLINK("https://www.philgeps.gov.ph/GEPSNONPILOT/Tender/SplashBidNoticeAbstractUI.aspx?menuIndex=3&amp;refID=7044155&amp;Result=3","7044155")</f>
        <v>0</v>
      </c>
      <c r="B14432" t="s">
        <v>3467</v>
      </c>
      <c r="C14432" t="s">
        <v>17341</v>
      </c>
      <c r="D14432" t="s">
        <v>18172</v>
      </c>
      <c r="E14432" t="s">
        <v>30666</v>
      </c>
      <c r="F14432" t="s">
        <v>31362</v>
      </c>
      <c r="G14432" t="s">
        <v>31369</v>
      </c>
      <c r="H14432" t="s">
        <v>31378</v>
      </c>
      <c r="I14432" t="s">
        <v>31386</v>
      </c>
      <c r="J14432" t="s">
        <v>40239</v>
      </c>
      <c r="K14432" t="s">
        <v>40675</v>
      </c>
      <c r="L14432" t="s">
        <v>3467</v>
      </c>
      <c r="M14432" t="s">
        <v>44802</v>
      </c>
      <c r="N14432" t="s">
        <v>44905</v>
      </c>
      <c r="O14432" t="s">
        <v>44906</v>
      </c>
      <c r="P14432">
        <v>0</v>
      </c>
      <c r="Q14432">
        <v>0</v>
      </c>
      <c r="R14432" t="s">
        <v>44925</v>
      </c>
      <c r="S14432" t="s">
        <v>45891</v>
      </c>
      <c r="T14432" t="s">
        <v>46393</v>
      </c>
      <c r="U14432" t="s">
        <v>58423</v>
      </c>
      <c r="V14432" t="s">
        <v>60704</v>
      </c>
      <c r="W14432" t="s">
        <v>44802</v>
      </c>
      <c r="X14432" t="s">
        <v>44926</v>
      </c>
    </row>
    <row r="14433" spans="1:24">
      <c r="A14433">
        <f>HYPERLINK("https://www.philgeps.gov.ph/GEPSNONPILOT/Tender/SplashBidNoticeAbstractUI.aspx?menuIndex=3&amp;refID=7044148&amp;Result=3","7044148")</f>
        <v>0</v>
      </c>
      <c r="B14433" t="s">
        <v>3467</v>
      </c>
      <c r="C14433" t="s">
        <v>17342</v>
      </c>
      <c r="D14433" t="s">
        <v>18172</v>
      </c>
      <c r="E14433" t="s">
        <v>20216</v>
      </c>
      <c r="F14433" t="s">
        <v>31362</v>
      </c>
      <c r="G14433" t="s">
        <v>31369</v>
      </c>
      <c r="H14433" t="s">
        <v>31378</v>
      </c>
      <c r="I14433" t="s">
        <v>31386</v>
      </c>
      <c r="J14433" t="s">
        <v>40240</v>
      </c>
      <c r="K14433" t="s">
        <v>40682</v>
      </c>
      <c r="L14433" t="s">
        <v>3467</v>
      </c>
      <c r="M14433" t="s">
        <v>44802</v>
      </c>
      <c r="N14433" t="s">
        <v>44905</v>
      </c>
      <c r="O14433" t="s">
        <v>44906</v>
      </c>
      <c r="P14433">
        <v>0</v>
      </c>
      <c r="Q14433">
        <v>0</v>
      </c>
      <c r="R14433" t="s">
        <v>44925</v>
      </c>
      <c r="S14433" t="s">
        <v>45891</v>
      </c>
      <c r="T14433" t="s">
        <v>46393</v>
      </c>
      <c r="U14433" t="s">
        <v>58424</v>
      </c>
      <c r="V14433" t="s">
        <v>60704</v>
      </c>
      <c r="W14433" t="s">
        <v>44802</v>
      </c>
      <c r="X14433" t="s">
        <v>44926</v>
      </c>
    </row>
    <row r="14434" spans="1:24">
      <c r="A14434">
        <f>HYPERLINK("https://www.philgeps.gov.ph/GEPSNONPILOT/Tender/SplashBidNoticeAbstractUI.aspx?menuIndex=3&amp;refID=7044220&amp;Result=3","7044220")</f>
        <v>0</v>
      </c>
      <c r="B14434" t="s">
        <v>2460</v>
      </c>
      <c r="C14434" t="s">
        <v>17343</v>
      </c>
      <c r="D14434" t="s">
        <v>18172</v>
      </c>
      <c r="E14434" t="s">
        <v>30667</v>
      </c>
      <c r="F14434" t="s">
        <v>31362</v>
      </c>
      <c r="G14434" t="s">
        <v>31369</v>
      </c>
      <c r="H14434" t="s">
        <v>15799</v>
      </c>
      <c r="I14434" t="s">
        <v>7188</v>
      </c>
      <c r="J14434" t="s">
        <v>32267</v>
      </c>
      <c r="K14434" t="s">
        <v>40666</v>
      </c>
      <c r="M14434" t="s">
        <v>43620</v>
      </c>
      <c r="N14434" t="s">
        <v>44905</v>
      </c>
      <c r="O14434" t="s">
        <v>44906</v>
      </c>
      <c r="P14434">
        <v>0</v>
      </c>
      <c r="Q14434">
        <v>1</v>
      </c>
      <c r="R14434" t="s">
        <v>44925</v>
      </c>
      <c r="S14434" t="s">
        <v>45891</v>
      </c>
      <c r="T14434" t="s">
        <v>46410</v>
      </c>
      <c r="U14434" t="s">
        <v>58425</v>
      </c>
      <c r="W14434" t="s">
        <v>43620</v>
      </c>
      <c r="X14434" t="s">
        <v>44926</v>
      </c>
    </row>
    <row r="14435" spans="1:24">
      <c r="A14435">
        <f>HYPERLINK("https://www.philgeps.gov.ph/GEPSNONPILOT/Tender/SplashBidNoticeAbstractUI.aspx?menuIndex=3&amp;refID=7044176&amp;Result=3","7044176")</f>
        <v>0</v>
      </c>
      <c r="B14435" t="s">
        <v>3467</v>
      </c>
      <c r="C14435" t="s">
        <v>17344</v>
      </c>
      <c r="D14435" t="s">
        <v>18172</v>
      </c>
      <c r="E14435" t="s">
        <v>30668</v>
      </c>
      <c r="F14435" t="s">
        <v>31362</v>
      </c>
      <c r="G14435" t="s">
        <v>31369</v>
      </c>
      <c r="H14435" t="s">
        <v>31378</v>
      </c>
      <c r="I14435" t="s">
        <v>31386</v>
      </c>
      <c r="J14435" t="s">
        <v>40241</v>
      </c>
      <c r="K14435" t="s">
        <v>40748</v>
      </c>
      <c r="L14435" t="s">
        <v>3467</v>
      </c>
      <c r="M14435" t="s">
        <v>44802</v>
      </c>
      <c r="N14435" t="s">
        <v>44905</v>
      </c>
      <c r="O14435" t="s">
        <v>44906</v>
      </c>
      <c r="P14435">
        <v>0</v>
      </c>
      <c r="Q14435">
        <v>0</v>
      </c>
      <c r="R14435" t="s">
        <v>44925</v>
      </c>
      <c r="S14435" t="s">
        <v>45891</v>
      </c>
      <c r="T14435" t="s">
        <v>46393</v>
      </c>
      <c r="U14435" t="s">
        <v>58426</v>
      </c>
      <c r="V14435" t="s">
        <v>60704</v>
      </c>
      <c r="W14435" t="s">
        <v>44802</v>
      </c>
      <c r="X14435" t="s">
        <v>44926</v>
      </c>
    </row>
    <row r="14436" spans="1:24">
      <c r="A14436">
        <f>HYPERLINK("https://www.philgeps.gov.ph/GEPSNONPILOT/Tender/SplashBidNoticeAbstractUI.aspx?menuIndex=3&amp;refID=7044142&amp;Result=3","7044142")</f>
        <v>0</v>
      </c>
      <c r="B14436" t="s">
        <v>3467</v>
      </c>
      <c r="C14436" t="s">
        <v>17345</v>
      </c>
      <c r="D14436" t="s">
        <v>18172</v>
      </c>
      <c r="E14436" t="s">
        <v>20204</v>
      </c>
      <c r="F14436" t="s">
        <v>31362</v>
      </c>
      <c r="G14436" t="s">
        <v>31369</v>
      </c>
      <c r="H14436" t="s">
        <v>31378</v>
      </c>
      <c r="I14436" t="s">
        <v>31386</v>
      </c>
      <c r="J14436" t="s">
        <v>40242</v>
      </c>
      <c r="K14436" t="s">
        <v>40740</v>
      </c>
      <c r="L14436" t="s">
        <v>3467</v>
      </c>
      <c r="M14436" t="s">
        <v>44802</v>
      </c>
      <c r="N14436" t="s">
        <v>44905</v>
      </c>
      <c r="O14436" t="s">
        <v>44906</v>
      </c>
      <c r="P14436">
        <v>0</v>
      </c>
      <c r="Q14436">
        <v>0</v>
      </c>
      <c r="R14436" t="s">
        <v>44925</v>
      </c>
      <c r="S14436" t="s">
        <v>45891</v>
      </c>
      <c r="T14436" t="s">
        <v>46393</v>
      </c>
      <c r="U14436" t="s">
        <v>58427</v>
      </c>
      <c r="V14436" t="s">
        <v>60704</v>
      </c>
      <c r="W14436" t="s">
        <v>44802</v>
      </c>
      <c r="X14436" t="s">
        <v>44926</v>
      </c>
    </row>
    <row r="14437" spans="1:24">
      <c r="A14437">
        <f>HYPERLINK("https://www.philgeps.gov.ph/GEPSNONPILOT/Tender/SplashBidNoticeAbstractUI.aspx?menuIndex=3&amp;refID=7044065&amp;Result=3","7044065")</f>
        <v>0</v>
      </c>
      <c r="B14437" t="s">
        <v>1587</v>
      </c>
      <c r="C14437" t="s">
        <v>17346</v>
      </c>
      <c r="D14437" t="s">
        <v>18151</v>
      </c>
      <c r="E14437" t="s">
        <v>30669</v>
      </c>
      <c r="F14437" t="s">
        <v>31362</v>
      </c>
      <c r="G14437" t="s">
        <v>31369</v>
      </c>
      <c r="H14437" t="s">
        <v>31378</v>
      </c>
      <c r="I14437" t="s">
        <v>3582</v>
      </c>
      <c r="J14437" t="s">
        <v>40243</v>
      </c>
      <c r="K14437" t="s">
        <v>40686</v>
      </c>
      <c r="M14437" t="s">
        <v>42643</v>
      </c>
      <c r="N14437" t="s">
        <v>44905</v>
      </c>
      <c r="O14437" t="s">
        <v>44906</v>
      </c>
      <c r="P14437">
        <v>0</v>
      </c>
      <c r="Q14437">
        <v>2</v>
      </c>
      <c r="R14437" t="s">
        <v>44925</v>
      </c>
      <c r="S14437" t="s">
        <v>45891</v>
      </c>
      <c r="T14437" t="s">
        <v>46432</v>
      </c>
      <c r="U14437" t="s">
        <v>58428</v>
      </c>
      <c r="V14437" t="s">
        <v>60699</v>
      </c>
      <c r="W14437" t="s">
        <v>42643</v>
      </c>
      <c r="X14437" t="s">
        <v>44926</v>
      </c>
    </row>
    <row r="14438" spans="1:24">
      <c r="A14438">
        <f>HYPERLINK("https://www.philgeps.gov.ph/GEPSNONPILOT/Tender/SplashBidNoticeAbstractUI.aspx?menuIndex=3&amp;refID=7044064&amp;Result=3","7044064")</f>
        <v>0</v>
      </c>
      <c r="B14438" t="s">
        <v>2836</v>
      </c>
      <c r="C14438" t="s">
        <v>17347</v>
      </c>
      <c r="D14438" t="s">
        <v>18153</v>
      </c>
      <c r="E14438" t="s">
        <v>30670</v>
      </c>
      <c r="F14438" t="s">
        <v>31362</v>
      </c>
      <c r="G14438" t="s">
        <v>31369</v>
      </c>
      <c r="H14438" t="s">
        <v>15799</v>
      </c>
      <c r="I14438" t="s">
        <v>31387</v>
      </c>
      <c r="J14438" t="s">
        <v>40244</v>
      </c>
      <c r="K14438" t="s">
        <v>40665</v>
      </c>
      <c r="M14438" t="s">
        <v>44037</v>
      </c>
      <c r="N14438" t="s">
        <v>44905</v>
      </c>
      <c r="O14438" t="s">
        <v>44906</v>
      </c>
      <c r="P14438">
        <v>0</v>
      </c>
      <c r="Q14438">
        <v>1</v>
      </c>
      <c r="R14438" t="s">
        <v>44925</v>
      </c>
      <c r="S14438" t="s">
        <v>45891</v>
      </c>
      <c r="T14438" t="s">
        <v>46409</v>
      </c>
      <c r="U14438" t="s">
        <v>58429</v>
      </c>
      <c r="W14438" t="s">
        <v>44037</v>
      </c>
      <c r="X14438" t="s">
        <v>44926</v>
      </c>
    </row>
    <row r="14439" spans="1:24">
      <c r="A14439">
        <f>HYPERLINK("https://www.philgeps.gov.ph/GEPSNONPILOT/Tender/SplashBidNoticeAbstractUI.aspx?menuIndex=3&amp;refID=7044062&amp;Result=3","7044062")</f>
        <v>0</v>
      </c>
      <c r="B14439" t="s">
        <v>1587</v>
      </c>
      <c r="C14439" t="s">
        <v>17348</v>
      </c>
      <c r="D14439" t="s">
        <v>18151</v>
      </c>
      <c r="E14439" t="s">
        <v>30671</v>
      </c>
      <c r="F14439" t="s">
        <v>31362</v>
      </c>
      <c r="G14439" t="s">
        <v>31369</v>
      </c>
      <c r="H14439" t="s">
        <v>31378</v>
      </c>
      <c r="I14439" t="s">
        <v>3582</v>
      </c>
      <c r="J14439" t="s">
        <v>40245</v>
      </c>
      <c r="K14439" t="s">
        <v>40686</v>
      </c>
      <c r="M14439" t="s">
        <v>42643</v>
      </c>
      <c r="N14439" t="s">
        <v>44905</v>
      </c>
      <c r="O14439" t="s">
        <v>44906</v>
      </c>
      <c r="P14439">
        <v>0</v>
      </c>
      <c r="Q14439">
        <v>1</v>
      </c>
      <c r="R14439" t="s">
        <v>44925</v>
      </c>
      <c r="S14439" t="s">
        <v>45891</v>
      </c>
      <c r="T14439" t="s">
        <v>46432</v>
      </c>
      <c r="U14439" t="s">
        <v>58430</v>
      </c>
      <c r="V14439" t="s">
        <v>60699</v>
      </c>
      <c r="W14439" t="s">
        <v>42643</v>
      </c>
      <c r="X14439" t="s">
        <v>44926</v>
      </c>
    </row>
    <row r="14440" spans="1:24">
      <c r="A14440">
        <f>HYPERLINK("https://www.philgeps.gov.ph/GEPSNONPILOT/Tender/SplashBidNoticeAbstractUI.aspx?menuIndex=3&amp;refID=7044059&amp;Result=3","7044059")</f>
        <v>0</v>
      </c>
      <c r="B14440" t="s">
        <v>1587</v>
      </c>
      <c r="C14440" t="s">
        <v>17349</v>
      </c>
      <c r="D14440" t="s">
        <v>18151</v>
      </c>
      <c r="E14440" t="s">
        <v>30672</v>
      </c>
      <c r="F14440" t="s">
        <v>31362</v>
      </c>
      <c r="G14440" t="s">
        <v>31369</v>
      </c>
      <c r="H14440" t="s">
        <v>31378</v>
      </c>
      <c r="I14440" t="s">
        <v>3582</v>
      </c>
      <c r="J14440" t="s">
        <v>40246</v>
      </c>
      <c r="K14440" t="s">
        <v>40686</v>
      </c>
      <c r="M14440" t="s">
        <v>42643</v>
      </c>
      <c r="N14440" t="s">
        <v>44905</v>
      </c>
      <c r="O14440" t="s">
        <v>44906</v>
      </c>
      <c r="P14440">
        <v>0</v>
      </c>
      <c r="Q14440">
        <v>1</v>
      </c>
      <c r="R14440" t="s">
        <v>44925</v>
      </c>
      <c r="S14440" t="s">
        <v>45891</v>
      </c>
      <c r="T14440" t="s">
        <v>46432</v>
      </c>
      <c r="U14440" t="s">
        <v>58431</v>
      </c>
      <c r="V14440" t="s">
        <v>60699</v>
      </c>
      <c r="W14440" t="s">
        <v>42643</v>
      </c>
      <c r="X14440" t="s">
        <v>44926</v>
      </c>
    </row>
    <row r="14441" spans="1:24">
      <c r="A14441">
        <f>HYPERLINK("https://www.philgeps.gov.ph/GEPSNONPILOT/Tender/SplashBidNoticeAbstractUI.aspx?menuIndex=3&amp;refID=7044149&amp;Result=3","7044149")</f>
        <v>0</v>
      </c>
      <c r="B14441" t="s">
        <v>3467</v>
      </c>
      <c r="C14441" t="s">
        <v>17350</v>
      </c>
      <c r="D14441" t="s">
        <v>18172</v>
      </c>
      <c r="E14441" t="s">
        <v>30673</v>
      </c>
      <c r="F14441" t="s">
        <v>31362</v>
      </c>
      <c r="G14441" t="s">
        <v>31369</v>
      </c>
      <c r="H14441" t="s">
        <v>31378</v>
      </c>
      <c r="I14441" t="s">
        <v>31386</v>
      </c>
      <c r="J14441" t="s">
        <v>40247</v>
      </c>
      <c r="K14441" t="s">
        <v>40675</v>
      </c>
      <c r="L14441" t="s">
        <v>3467</v>
      </c>
      <c r="M14441" t="s">
        <v>44802</v>
      </c>
      <c r="N14441" t="s">
        <v>44905</v>
      </c>
      <c r="O14441" t="s">
        <v>44906</v>
      </c>
      <c r="P14441">
        <v>0</v>
      </c>
      <c r="Q14441">
        <v>0</v>
      </c>
      <c r="R14441" t="s">
        <v>44925</v>
      </c>
      <c r="S14441" t="s">
        <v>45891</v>
      </c>
      <c r="T14441" t="s">
        <v>46393</v>
      </c>
      <c r="U14441" t="s">
        <v>58432</v>
      </c>
      <c r="V14441" t="s">
        <v>60704</v>
      </c>
      <c r="W14441" t="s">
        <v>44802</v>
      </c>
      <c r="X14441" t="s">
        <v>44926</v>
      </c>
    </row>
    <row r="14442" spans="1:24">
      <c r="A14442">
        <f>HYPERLINK("https://www.philgeps.gov.ph/GEPSNONPILOT/Tender/SplashBidNoticeAbstractUI.aspx?menuIndex=3&amp;refID=7044034&amp;Result=3","7044034")</f>
        <v>0</v>
      </c>
      <c r="B14442" t="s">
        <v>1587</v>
      </c>
      <c r="C14442" t="s">
        <v>17351</v>
      </c>
      <c r="D14442" t="s">
        <v>18151</v>
      </c>
      <c r="E14442" t="s">
        <v>30674</v>
      </c>
      <c r="F14442" t="s">
        <v>31362</v>
      </c>
      <c r="G14442" t="s">
        <v>31369</v>
      </c>
      <c r="H14442" t="s">
        <v>31378</v>
      </c>
      <c r="I14442" t="s">
        <v>3582</v>
      </c>
      <c r="J14442" t="s">
        <v>40248</v>
      </c>
      <c r="K14442" t="s">
        <v>40686</v>
      </c>
      <c r="M14442" t="s">
        <v>42643</v>
      </c>
      <c r="N14442" t="s">
        <v>44905</v>
      </c>
      <c r="O14442" t="s">
        <v>44906</v>
      </c>
      <c r="P14442">
        <v>0</v>
      </c>
      <c r="Q14442">
        <v>2</v>
      </c>
      <c r="R14442" t="s">
        <v>44925</v>
      </c>
      <c r="S14442" t="s">
        <v>45891</v>
      </c>
      <c r="T14442" t="s">
        <v>46432</v>
      </c>
      <c r="U14442" t="s">
        <v>58433</v>
      </c>
      <c r="V14442" t="s">
        <v>60699</v>
      </c>
      <c r="W14442" t="s">
        <v>42643</v>
      </c>
      <c r="X14442" t="s">
        <v>44926</v>
      </c>
    </row>
    <row r="14443" spans="1:24">
      <c r="A14443">
        <f>HYPERLINK("https://www.philgeps.gov.ph/GEPSNONPILOT/Tender/SplashBidNoticeAbstractUI.aspx?menuIndex=3&amp;refID=7044033&amp;Result=3","7044033")</f>
        <v>0</v>
      </c>
      <c r="B14443" t="s">
        <v>1587</v>
      </c>
      <c r="C14443" t="s">
        <v>17352</v>
      </c>
      <c r="D14443" t="s">
        <v>18151</v>
      </c>
      <c r="E14443" t="s">
        <v>30675</v>
      </c>
      <c r="F14443" t="s">
        <v>31362</v>
      </c>
      <c r="G14443" t="s">
        <v>31369</v>
      </c>
      <c r="H14443" t="s">
        <v>31378</v>
      </c>
      <c r="I14443" t="s">
        <v>3582</v>
      </c>
      <c r="J14443" t="s">
        <v>40249</v>
      </c>
      <c r="K14443" t="s">
        <v>40686</v>
      </c>
      <c r="M14443" t="s">
        <v>42643</v>
      </c>
      <c r="N14443" t="s">
        <v>44905</v>
      </c>
      <c r="O14443" t="s">
        <v>44906</v>
      </c>
      <c r="P14443">
        <v>0</v>
      </c>
      <c r="Q14443">
        <v>4</v>
      </c>
      <c r="R14443" t="s">
        <v>44925</v>
      </c>
      <c r="S14443" t="s">
        <v>45891</v>
      </c>
      <c r="T14443" t="s">
        <v>46432</v>
      </c>
      <c r="U14443" t="s">
        <v>58434</v>
      </c>
      <c r="V14443" t="s">
        <v>60699</v>
      </c>
      <c r="W14443" t="s">
        <v>42643</v>
      </c>
      <c r="X14443" t="s">
        <v>44926</v>
      </c>
    </row>
    <row r="14444" spans="1:24">
      <c r="A14444">
        <f>HYPERLINK("https://www.philgeps.gov.ph/GEPSNONPILOT/Tender/SplashBidNoticeAbstractUI.aspx?menuIndex=3&amp;refID=7044019&amp;Result=3","7044019")</f>
        <v>0</v>
      </c>
      <c r="B14444" t="s">
        <v>3463</v>
      </c>
      <c r="C14444" t="s">
        <v>17353</v>
      </c>
      <c r="D14444" t="s">
        <v>18108</v>
      </c>
      <c r="E14444" t="s">
        <v>30676</v>
      </c>
      <c r="F14444" t="s">
        <v>31362</v>
      </c>
      <c r="G14444" t="s">
        <v>31369</v>
      </c>
      <c r="H14444" t="s">
        <v>15799</v>
      </c>
      <c r="I14444" t="s">
        <v>31398</v>
      </c>
      <c r="J14444" t="s">
        <v>31578</v>
      </c>
      <c r="K14444" t="s">
        <v>40662</v>
      </c>
      <c r="M14444" t="s">
        <v>44798</v>
      </c>
      <c r="N14444" t="s">
        <v>44905</v>
      </c>
      <c r="O14444" t="s">
        <v>44906</v>
      </c>
      <c r="P14444">
        <v>0</v>
      </c>
      <c r="Q14444">
        <v>6</v>
      </c>
      <c r="R14444" t="s">
        <v>44925</v>
      </c>
      <c r="S14444" t="s">
        <v>45891</v>
      </c>
      <c r="T14444" t="s">
        <v>46395</v>
      </c>
      <c r="U14444" t="s">
        <v>58435</v>
      </c>
      <c r="W14444" t="s">
        <v>44798</v>
      </c>
      <c r="X14444" t="s">
        <v>44926</v>
      </c>
    </row>
    <row r="14445" spans="1:24">
      <c r="A14445">
        <f>HYPERLINK("https://www.philgeps.gov.ph/GEPSNONPILOT/Tender/SplashBidNoticeAbstractUI.aspx?menuIndex=3&amp;refID=7044166&amp;Result=3","7044166")</f>
        <v>0</v>
      </c>
      <c r="B14445" t="s">
        <v>299</v>
      </c>
      <c r="C14445" t="s">
        <v>17354</v>
      </c>
      <c r="D14445" t="s">
        <v>18108</v>
      </c>
      <c r="E14445" t="s">
        <v>30677</v>
      </c>
      <c r="F14445" t="s">
        <v>31362</v>
      </c>
      <c r="G14445" t="s">
        <v>31369</v>
      </c>
      <c r="H14445" t="s">
        <v>15799</v>
      </c>
      <c r="I14445" t="s">
        <v>3582</v>
      </c>
      <c r="J14445" t="s">
        <v>31542</v>
      </c>
      <c r="K14445" t="s">
        <v>40661</v>
      </c>
      <c r="M14445" t="s">
        <v>44401</v>
      </c>
      <c r="N14445" t="s">
        <v>44905</v>
      </c>
      <c r="O14445" t="s">
        <v>44906</v>
      </c>
      <c r="P14445">
        <v>0</v>
      </c>
      <c r="Q14445">
        <v>2</v>
      </c>
      <c r="R14445" t="s">
        <v>44925</v>
      </c>
      <c r="S14445" t="s">
        <v>45891</v>
      </c>
      <c r="T14445" t="s">
        <v>46403</v>
      </c>
      <c r="U14445" t="s">
        <v>58436</v>
      </c>
      <c r="W14445" t="s">
        <v>44401</v>
      </c>
      <c r="X14445" t="s">
        <v>44926</v>
      </c>
    </row>
    <row r="14446" spans="1:24">
      <c r="A14446">
        <f>HYPERLINK("https://www.philgeps.gov.ph/GEPSNONPILOT/Tender/SplashBidNoticeAbstractUI.aspx?menuIndex=3&amp;refID=7044016&amp;Result=3","7044016")</f>
        <v>0</v>
      </c>
      <c r="B14446" t="s">
        <v>444</v>
      </c>
      <c r="C14446" t="s">
        <v>17355</v>
      </c>
      <c r="D14446" t="s">
        <v>18146</v>
      </c>
      <c r="E14446" t="s">
        <v>30678</v>
      </c>
      <c r="F14446" t="s">
        <v>31362</v>
      </c>
      <c r="G14446" t="s">
        <v>31369</v>
      </c>
      <c r="H14446" t="s">
        <v>15799</v>
      </c>
      <c r="I14446" t="s">
        <v>31409</v>
      </c>
      <c r="J14446" t="s">
        <v>34085</v>
      </c>
      <c r="K14446" t="s">
        <v>40672</v>
      </c>
      <c r="M14446" t="s">
        <v>41397</v>
      </c>
      <c r="N14446" t="s">
        <v>44905</v>
      </c>
      <c r="O14446" t="s">
        <v>44906</v>
      </c>
      <c r="P14446">
        <v>0</v>
      </c>
      <c r="Q14446">
        <v>5</v>
      </c>
      <c r="R14446" t="s">
        <v>44925</v>
      </c>
      <c r="S14446" t="s">
        <v>45891</v>
      </c>
      <c r="T14446" t="s">
        <v>46409</v>
      </c>
      <c r="U14446" t="s">
        <v>58437</v>
      </c>
      <c r="W14446" t="s">
        <v>41397</v>
      </c>
      <c r="X14446" t="s">
        <v>44926</v>
      </c>
    </row>
    <row r="14447" spans="1:24">
      <c r="A14447">
        <f>HYPERLINK("https://www.philgeps.gov.ph/GEPSNONPILOT/Tender/SplashBidNoticeAbstractUI.aspx?menuIndex=3&amp;refID=7044015&amp;Result=3","7044015")</f>
        <v>0</v>
      </c>
      <c r="B14447" t="s">
        <v>1587</v>
      </c>
      <c r="C14447" t="s">
        <v>17356</v>
      </c>
      <c r="D14447" t="s">
        <v>18151</v>
      </c>
      <c r="E14447" t="s">
        <v>30679</v>
      </c>
      <c r="F14447" t="s">
        <v>31362</v>
      </c>
      <c r="G14447" t="s">
        <v>31369</v>
      </c>
      <c r="H14447" t="s">
        <v>31378</v>
      </c>
      <c r="I14447" t="s">
        <v>3582</v>
      </c>
      <c r="J14447" t="s">
        <v>40250</v>
      </c>
      <c r="K14447" t="s">
        <v>40686</v>
      </c>
      <c r="M14447" t="s">
        <v>42643</v>
      </c>
      <c r="N14447" t="s">
        <v>44905</v>
      </c>
      <c r="O14447" t="s">
        <v>44906</v>
      </c>
      <c r="P14447">
        <v>0</v>
      </c>
      <c r="Q14447">
        <v>3</v>
      </c>
      <c r="R14447" t="s">
        <v>44925</v>
      </c>
      <c r="S14447" t="s">
        <v>45891</v>
      </c>
      <c r="T14447" t="s">
        <v>46432</v>
      </c>
      <c r="U14447" t="s">
        <v>58438</v>
      </c>
      <c r="V14447" t="s">
        <v>60699</v>
      </c>
      <c r="W14447" t="s">
        <v>42643</v>
      </c>
      <c r="X14447" t="s">
        <v>44926</v>
      </c>
    </row>
    <row r="14448" spans="1:24">
      <c r="A14448">
        <f>HYPERLINK("https://www.philgeps.gov.ph/GEPSNONPILOT/Tender/SplashBidNoticeAbstractUI.aspx?menuIndex=3&amp;refID=7048112&amp;Result=3","7048112")</f>
        <v>0</v>
      </c>
      <c r="B14448" t="s">
        <v>1774</v>
      </c>
      <c r="C14448" t="s">
        <v>17357</v>
      </c>
      <c r="D14448" t="s">
        <v>18112</v>
      </c>
      <c r="E14448" t="s">
        <v>30680</v>
      </c>
      <c r="F14448" t="s">
        <v>31362</v>
      </c>
      <c r="G14448" t="s">
        <v>31369</v>
      </c>
      <c r="H14448" t="s">
        <v>15799</v>
      </c>
      <c r="I14448" t="s">
        <v>3815</v>
      </c>
      <c r="J14448" t="s">
        <v>40251</v>
      </c>
      <c r="K14448" t="s">
        <v>40662</v>
      </c>
      <c r="M14448" t="s">
        <v>42852</v>
      </c>
      <c r="N14448" t="s">
        <v>44905</v>
      </c>
      <c r="O14448" t="s">
        <v>44906</v>
      </c>
      <c r="P14448">
        <v>0</v>
      </c>
      <c r="Q14448">
        <v>3</v>
      </c>
      <c r="R14448" t="s">
        <v>44923</v>
      </c>
      <c r="S14448" t="s">
        <v>45744</v>
      </c>
      <c r="T14448" t="s">
        <v>46447</v>
      </c>
      <c r="U14448" t="s">
        <v>58439</v>
      </c>
      <c r="V14448" t="s">
        <v>59584</v>
      </c>
      <c r="W14448" t="s">
        <v>42852</v>
      </c>
      <c r="X14448" t="s">
        <v>44924</v>
      </c>
    </row>
    <row r="14449" spans="1:24">
      <c r="A14449">
        <f>HYPERLINK("https://www.philgeps.gov.ph/GEPSNONPILOT/Tender/SplashBidNoticeAbstractUI.aspx?menuIndex=3&amp;refID=7044221&amp;Result=3","7044221")</f>
        <v>0</v>
      </c>
      <c r="B14449" t="s">
        <v>233</v>
      </c>
      <c r="C14449" t="s">
        <v>17358</v>
      </c>
      <c r="D14449" t="s">
        <v>18108</v>
      </c>
      <c r="E14449" t="s">
        <v>30681</v>
      </c>
      <c r="F14449" t="s">
        <v>31362</v>
      </c>
      <c r="G14449" t="s">
        <v>31369</v>
      </c>
      <c r="H14449" t="s">
        <v>15799</v>
      </c>
      <c r="I14449" t="s">
        <v>31393</v>
      </c>
      <c r="J14449" t="s">
        <v>39384</v>
      </c>
      <c r="K14449" t="s">
        <v>40662</v>
      </c>
      <c r="M14449" t="s">
        <v>44804</v>
      </c>
      <c r="N14449" t="s">
        <v>44905</v>
      </c>
      <c r="O14449" t="s">
        <v>44906</v>
      </c>
      <c r="Q14449">
        <v>13</v>
      </c>
      <c r="R14449" t="s">
        <v>44925</v>
      </c>
      <c r="S14449" t="s">
        <v>45917</v>
      </c>
      <c r="T14449" t="s">
        <v>46506</v>
      </c>
      <c r="U14449" t="s">
        <v>58440</v>
      </c>
      <c r="V14449" t="s">
        <v>60709</v>
      </c>
      <c r="W14449" t="s">
        <v>44804</v>
      </c>
      <c r="X14449" t="s">
        <v>44926</v>
      </c>
    </row>
    <row r="14450" spans="1:24">
      <c r="A14450">
        <f>HYPERLINK("https://www.philgeps.gov.ph/GEPSNONPILOT/Tender/SplashBidNoticeAbstractUI.aspx?menuIndex=3&amp;refID=7044953&amp;Result=3","7044953")</f>
        <v>0</v>
      </c>
      <c r="B14450" t="s">
        <v>1808</v>
      </c>
      <c r="C14450" t="s">
        <v>17359</v>
      </c>
      <c r="D14450" t="s">
        <v>18112</v>
      </c>
      <c r="E14450" t="s">
        <v>30682</v>
      </c>
      <c r="F14450" t="s">
        <v>31362</v>
      </c>
      <c r="G14450" t="s">
        <v>31369</v>
      </c>
      <c r="H14450" t="s">
        <v>15799</v>
      </c>
      <c r="I14450" t="s">
        <v>31397</v>
      </c>
      <c r="J14450" t="s">
        <v>33408</v>
      </c>
      <c r="K14450" t="s">
        <v>40670</v>
      </c>
      <c r="M14450" t="s">
        <v>42890</v>
      </c>
      <c r="N14450" t="s">
        <v>44905</v>
      </c>
      <c r="O14450" t="s">
        <v>44906</v>
      </c>
      <c r="P14450">
        <v>0</v>
      </c>
      <c r="Q14450">
        <v>5</v>
      </c>
      <c r="R14450" t="s">
        <v>44924</v>
      </c>
      <c r="S14450" t="s">
        <v>45829</v>
      </c>
      <c r="T14450" t="s">
        <v>46440</v>
      </c>
      <c r="U14450" t="s">
        <v>58441</v>
      </c>
      <c r="W14450" t="s">
        <v>42890</v>
      </c>
      <c r="X14450" t="s">
        <v>44925</v>
      </c>
    </row>
    <row r="14451" spans="1:24">
      <c r="A14451">
        <f>HYPERLINK("https://www.philgeps.gov.ph/GEPSNONPILOT/Tender/SplashBidNoticeAbstractUI.aspx?menuIndex=3&amp;refID=7048110&amp;Result=3","7048110")</f>
        <v>0</v>
      </c>
      <c r="B14451" t="s">
        <v>272</v>
      </c>
      <c r="C14451" t="s">
        <v>17360</v>
      </c>
      <c r="D14451" t="s">
        <v>18110</v>
      </c>
      <c r="E14451" t="s">
        <v>21207</v>
      </c>
      <c r="F14451" t="s">
        <v>31362</v>
      </c>
      <c r="G14451" t="s">
        <v>31369</v>
      </c>
      <c r="H14451" t="s">
        <v>31378</v>
      </c>
      <c r="I14451" t="s">
        <v>31386</v>
      </c>
      <c r="J14451" t="s">
        <v>40252</v>
      </c>
      <c r="K14451" t="s">
        <v>40683</v>
      </c>
      <c r="M14451" t="s">
        <v>41214</v>
      </c>
      <c r="N14451" t="s">
        <v>44905</v>
      </c>
      <c r="O14451" t="s">
        <v>44906</v>
      </c>
      <c r="P14451">
        <v>0</v>
      </c>
      <c r="Q14451">
        <v>0</v>
      </c>
      <c r="R14451" t="s">
        <v>44923</v>
      </c>
      <c r="S14451" t="s">
        <v>45744</v>
      </c>
      <c r="T14451" t="s">
        <v>46447</v>
      </c>
      <c r="U14451" t="s">
        <v>58442</v>
      </c>
      <c r="W14451" t="s">
        <v>60843</v>
      </c>
      <c r="X14451" t="s">
        <v>44924</v>
      </c>
    </row>
    <row r="14452" spans="1:24">
      <c r="A14452">
        <f>HYPERLINK("https://www.philgeps.gov.ph/GEPSNONPILOT/Tender/SplashBidNoticeAbstractUI.aspx?menuIndex=3&amp;refID=7048105&amp;Result=3","7048105")</f>
        <v>0</v>
      </c>
      <c r="B14452" t="s">
        <v>1774</v>
      </c>
      <c r="C14452" t="s">
        <v>17361</v>
      </c>
      <c r="D14452" t="s">
        <v>18112</v>
      </c>
      <c r="E14452" t="s">
        <v>30683</v>
      </c>
      <c r="F14452" t="s">
        <v>31362</v>
      </c>
      <c r="G14452" t="s">
        <v>31369</v>
      </c>
      <c r="H14452" t="s">
        <v>15799</v>
      </c>
      <c r="I14452" t="s">
        <v>3815</v>
      </c>
      <c r="J14452" t="s">
        <v>40253</v>
      </c>
      <c r="K14452" t="s">
        <v>40662</v>
      </c>
      <c r="M14452" t="s">
        <v>42852</v>
      </c>
      <c r="N14452" t="s">
        <v>44905</v>
      </c>
      <c r="O14452" t="s">
        <v>44906</v>
      </c>
      <c r="P14452">
        <v>0</v>
      </c>
      <c r="Q14452">
        <v>2</v>
      </c>
      <c r="R14452" t="s">
        <v>44923</v>
      </c>
      <c r="S14452" t="s">
        <v>45744</v>
      </c>
      <c r="T14452" t="s">
        <v>46447</v>
      </c>
      <c r="U14452" t="s">
        <v>58443</v>
      </c>
      <c r="V14452" t="s">
        <v>59584</v>
      </c>
      <c r="W14452" t="s">
        <v>42852</v>
      </c>
      <c r="X14452" t="s">
        <v>44924</v>
      </c>
    </row>
    <row r="14453" spans="1:24">
      <c r="A14453">
        <f>HYPERLINK("https://www.philgeps.gov.ph/GEPSNONPILOT/Tender/SplashBidNoticeAbstractUI.aspx?menuIndex=3&amp;refID=7048096&amp;Result=3","7048096")</f>
        <v>0</v>
      </c>
      <c r="B14453" t="s">
        <v>1774</v>
      </c>
      <c r="C14453" t="s">
        <v>17362</v>
      </c>
      <c r="D14453" t="s">
        <v>18112</v>
      </c>
      <c r="E14453" t="s">
        <v>30684</v>
      </c>
      <c r="F14453" t="s">
        <v>31362</v>
      </c>
      <c r="G14453" t="s">
        <v>31369</v>
      </c>
      <c r="H14453" t="s">
        <v>15799</v>
      </c>
      <c r="I14453" t="s">
        <v>3815</v>
      </c>
      <c r="J14453" t="s">
        <v>40254</v>
      </c>
      <c r="K14453" t="s">
        <v>40662</v>
      </c>
      <c r="M14453" t="s">
        <v>42852</v>
      </c>
      <c r="N14453" t="s">
        <v>44905</v>
      </c>
      <c r="O14453" t="s">
        <v>44906</v>
      </c>
      <c r="P14453">
        <v>0</v>
      </c>
      <c r="Q14453">
        <v>3</v>
      </c>
      <c r="R14453" t="s">
        <v>44923</v>
      </c>
      <c r="S14453" t="s">
        <v>45744</v>
      </c>
      <c r="T14453" t="s">
        <v>46447</v>
      </c>
      <c r="U14453" t="s">
        <v>58444</v>
      </c>
      <c r="V14453" t="s">
        <v>59584</v>
      </c>
      <c r="W14453" t="s">
        <v>42852</v>
      </c>
      <c r="X14453" t="s">
        <v>44924</v>
      </c>
    </row>
    <row r="14454" spans="1:24">
      <c r="A14454">
        <f>HYPERLINK("https://www.philgeps.gov.ph/GEPSNONPILOT/Tender/SplashBidNoticeAbstractUI.aspx?menuIndex=3&amp;refID=7052031&amp;Result=3","7052031")</f>
        <v>0</v>
      </c>
      <c r="B14454" t="s">
        <v>1156</v>
      </c>
      <c r="C14454" t="s">
        <v>17363</v>
      </c>
      <c r="D14454" t="s">
        <v>18111</v>
      </c>
      <c r="E14454" t="s">
        <v>30685</v>
      </c>
      <c r="F14454" t="s">
        <v>31362</v>
      </c>
      <c r="G14454" t="s">
        <v>31369</v>
      </c>
      <c r="H14454" t="s">
        <v>15799</v>
      </c>
      <c r="I14454" t="s">
        <v>31464</v>
      </c>
      <c r="J14454" t="s">
        <v>40255</v>
      </c>
      <c r="K14454" t="s">
        <v>40662</v>
      </c>
      <c r="M14454" t="s">
        <v>42165</v>
      </c>
      <c r="N14454" t="s">
        <v>44905</v>
      </c>
      <c r="O14454" t="s">
        <v>44906</v>
      </c>
      <c r="P14454">
        <v>0</v>
      </c>
      <c r="Q14454">
        <v>4</v>
      </c>
      <c r="R14454" t="s">
        <v>44922</v>
      </c>
      <c r="S14454" t="s">
        <v>45639</v>
      </c>
      <c r="T14454" t="s">
        <v>46447</v>
      </c>
      <c r="U14454" t="s">
        <v>58445</v>
      </c>
      <c r="W14454" t="s">
        <v>60885</v>
      </c>
      <c r="X14454" t="s">
        <v>44923</v>
      </c>
    </row>
    <row r="14455" spans="1:24">
      <c r="A14455">
        <f>HYPERLINK("https://www.philgeps.gov.ph/GEPSNONPILOT/Tender/SplashBidNoticeAbstractUI.aspx?menuIndex=3&amp;refID=7051946&amp;Result=3","7051946")</f>
        <v>0</v>
      </c>
      <c r="B14455" t="s">
        <v>3350</v>
      </c>
      <c r="C14455" t="s">
        <v>17364</v>
      </c>
      <c r="D14455" t="s">
        <v>18123</v>
      </c>
      <c r="E14455" t="s">
        <v>21896</v>
      </c>
      <c r="F14455" t="s">
        <v>31362</v>
      </c>
      <c r="G14455" t="s">
        <v>31369</v>
      </c>
      <c r="H14455" t="s">
        <v>31378</v>
      </c>
      <c r="I14455" t="s">
        <v>31386</v>
      </c>
      <c r="J14455" t="s">
        <v>40192</v>
      </c>
      <c r="K14455" t="s">
        <v>40835</v>
      </c>
      <c r="M14455" t="s">
        <v>44648</v>
      </c>
      <c r="N14455" t="s">
        <v>44905</v>
      </c>
      <c r="O14455" t="s">
        <v>44906</v>
      </c>
      <c r="P14455">
        <v>0</v>
      </c>
      <c r="Q14455">
        <v>0</v>
      </c>
      <c r="R14455" t="s">
        <v>44922</v>
      </c>
      <c r="S14455" t="s">
        <v>45639</v>
      </c>
      <c r="T14455" t="s">
        <v>46506</v>
      </c>
      <c r="U14455" t="s">
        <v>57566</v>
      </c>
      <c r="W14455" t="s">
        <v>44648</v>
      </c>
      <c r="X14455" t="s">
        <v>44923</v>
      </c>
    </row>
    <row r="14456" spans="1:24">
      <c r="A14456">
        <f>HYPERLINK("https://www.philgeps.gov.ph/GEPSNONPILOT/Tender/SplashBidNoticeAbstractUI.aspx?menuIndex=3&amp;refID=7048089&amp;Result=3","7048089")</f>
        <v>0</v>
      </c>
      <c r="B14456" t="s">
        <v>1774</v>
      </c>
      <c r="C14456" t="s">
        <v>17365</v>
      </c>
      <c r="D14456" t="s">
        <v>18112</v>
      </c>
      <c r="E14456" t="s">
        <v>30686</v>
      </c>
      <c r="F14456" t="s">
        <v>31362</v>
      </c>
      <c r="G14456" t="s">
        <v>31369</v>
      </c>
      <c r="H14456" t="s">
        <v>15799</v>
      </c>
      <c r="I14456" t="s">
        <v>3815</v>
      </c>
      <c r="J14456" t="s">
        <v>40256</v>
      </c>
      <c r="K14456" t="s">
        <v>40662</v>
      </c>
      <c r="M14456" t="s">
        <v>42852</v>
      </c>
      <c r="N14456" t="s">
        <v>44905</v>
      </c>
      <c r="O14456" t="s">
        <v>44906</v>
      </c>
      <c r="P14456">
        <v>0</v>
      </c>
      <c r="Q14456">
        <v>4</v>
      </c>
      <c r="R14456" t="s">
        <v>44923</v>
      </c>
      <c r="S14456" t="s">
        <v>45744</v>
      </c>
      <c r="T14456" t="s">
        <v>46447</v>
      </c>
      <c r="U14456" t="s">
        <v>58446</v>
      </c>
      <c r="V14456" t="s">
        <v>59584</v>
      </c>
      <c r="W14456" t="s">
        <v>42852</v>
      </c>
      <c r="X14456" t="s">
        <v>44924</v>
      </c>
    </row>
    <row r="14457" spans="1:24">
      <c r="A14457">
        <f>HYPERLINK("https://www.philgeps.gov.ph/GEPSNONPILOT/Tender/SplashBidNoticeAbstractUI.aspx?menuIndex=3&amp;refID=7052041&amp;Result=3","7052041")</f>
        <v>0</v>
      </c>
      <c r="B14457" t="s">
        <v>362</v>
      </c>
      <c r="C14457" t="s">
        <v>17366</v>
      </c>
      <c r="D14457" t="s">
        <v>18103</v>
      </c>
      <c r="E14457" t="s">
        <v>30687</v>
      </c>
      <c r="F14457" t="s">
        <v>31362</v>
      </c>
      <c r="G14457" t="s">
        <v>31369</v>
      </c>
      <c r="H14457" t="s">
        <v>31378</v>
      </c>
      <c r="I14457" t="s">
        <v>31386</v>
      </c>
      <c r="J14457" t="s">
        <v>31606</v>
      </c>
      <c r="K14457" t="s">
        <v>40735</v>
      </c>
      <c r="M14457" t="s">
        <v>43093</v>
      </c>
      <c r="N14457" t="s">
        <v>44905</v>
      </c>
      <c r="O14457" t="s">
        <v>44906</v>
      </c>
      <c r="P14457">
        <v>0</v>
      </c>
      <c r="Q14457">
        <v>21</v>
      </c>
      <c r="R14457" t="s">
        <v>44922</v>
      </c>
      <c r="S14457" t="s">
        <v>45639</v>
      </c>
      <c r="T14457" t="s">
        <v>46467</v>
      </c>
      <c r="U14457" t="s">
        <v>47543</v>
      </c>
      <c r="V14457" t="s">
        <v>60391</v>
      </c>
      <c r="W14457" t="s">
        <v>60849</v>
      </c>
      <c r="X14457" t="s">
        <v>44923</v>
      </c>
    </row>
    <row r="14458" spans="1:24">
      <c r="A14458">
        <f>HYPERLINK("https://www.philgeps.gov.ph/GEPSNONPILOT/Tender/SplashBidNoticeAbstractUI.aspx?menuIndex=3&amp;refID=7051933&amp;Result=3","7051933")</f>
        <v>0</v>
      </c>
      <c r="B14458" t="s">
        <v>71</v>
      </c>
      <c r="C14458" t="s">
        <v>17367</v>
      </c>
      <c r="D14458" t="s">
        <v>18129</v>
      </c>
      <c r="E14458" t="s">
        <v>30688</v>
      </c>
      <c r="F14458" t="s">
        <v>31362</v>
      </c>
      <c r="G14458" t="s">
        <v>31369</v>
      </c>
      <c r="H14458" t="s">
        <v>15799</v>
      </c>
      <c r="I14458" t="s">
        <v>3815</v>
      </c>
      <c r="J14458" t="s">
        <v>40257</v>
      </c>
      <c r="K14458" t="s">
        <v>40934</v>
      </c>
      <c r="L14458" t="s">
        <v>71</v>
      </c>
      <c r="M14458" t="s">
        <v>41007</v>
      </c>
      <c r="N14458" t="s">
        <v>44905</v>
      </c>
      <c r="O14458" t="s">
        <v>44906</v>
      </c>
      <c r="Q14458">
        <v>3</v>
      </c>
      <c r="R14458" t="s">
        <v>44922</v>
      </c>
      <c r="S14458" t="s">
        <v>45938</v>
      </c>
      <c r="T14458" t="s">
        <v>46400</v>
      </c>
      <c r="U14458" t="s">
        <v>58447</v>
      </c>
      <c r="W14458" t="s">
        <v>41007</v>
      </c>
      <c r="X14458" t="s">
        <v>44923</v>
      </c>
    </row>
    <row r="14459" spans="1:24">
      <c r="A14459">
        <f>HYPERLINK("https://www.philgeps.gov.ph/GEPSNONPILOT/Tender/SplashBidNoticeAbstractUI.aspx?menuIndex=3&amp;refID=7044066&amp;Result=3","7044066")</f>
        <v>0</v>
      </c>
      <c r="B14459" t="s">
        <v>1587</v>
      </c>
      <c r="C14459" t="s">
        <v>17368</v>
      </c>
      <c r="D14459" t="s">
        <v>18151</v>
      </c>
      <c r="E14459" t="s">
        <v>30689</v>
      </c>
      <c r="F14459" t="s">
        <v>31362</v>
      </c>
      <c r="G14459" t="s">
        <v>31369</v>
      </c>
      <c r="H14459" t="s">
        <v>31378</v>
      </c>
      <c r="I14459" t="s">
        <v>3582</v>
      </c>
      <c r="J14459" t="s">
        <v>40258</v>
      </c>
      <c r="K14459" t="s">
        <v>40686</v>
      </c>
      <c r="M14459" t="s">
        <v>42643</v>
      </c>
      <c r="N14459" t="s">
        <v>44905</v>
      </c>
      <c r="O14459" t="s">
        <v>44906</v>
      </c>
      <c r="P14459">
        <v>0</v>
      </c>
      <c r="Q14459">
        <v>2</v>
      </c>
      <c r="R14459" t="s">
        <v>44925</v>
      </c>
      <c r="S14459" t="s">
        <v>45891</v>
      </c>
      <c r="T14459" t="s">
        <v>46432</v>
      </c>
      <c r="U14459" t="s">
        <v>58448</v>
      </c>
      <c r="V14459" t="s">
        <v>60699</v>
      </c>
      <c r="W14459" t="s">
        <v>42643</v>
      </c>
      <c r="X14459" t="s">
        <v>44926</v>
      </c>
    </row>
    <row r="14460" spans="1:24">
      <c r="A14460">
        <f>HYPERLINK("https://www.philgeps.gov.ph/GEPSNONPILOT/Tender/SplashBidNoticeAbstractUI.aspx?menuIndex=3&amp;refID=7051929&amp;Result=3","7051929")</f>
        <v>0</v>
      </c>
      <c r="B14460" t="s">
        <v>2233</v>
      </c>
      <c r="C14460" t="s">
        <v>17369</v>
      </c>
      <c r="D14460" t="s">
        <v>18101</v>
      </c>
      <c r="E14460" t="s">
        <v>30690</v>
      </c>
      <c r="F14460" t="s">
        <v>31362</v>
      </c>
      <c r="G14460" t="s">
        <v>31369</v>
      </c>
      <c r="H14460" t="s">
        <v>31378</v>
      </c>
      <c r="I14460" t="s">
        <v>31386</v>
      </c>
      <c r="J14460" t="s">
        <v>40259</v>
      </c>
      <c r="K14460" t="s">
        <v>40662</v>
      </c>
      <c r="M14460" t="s">
        <v>43370</v>
      </c>
      <c r="N14460" t="s">
        <v>44905</v>
      </c>
      <c r="O14460" t="s">
        <v>44906</v>
      </c>
      <c r="P14460">
        <v>0</v>
      </c>
      <c r="Q14460">
        <v>0</v>
      </c>
      <c r="R14460" t="s">
        <v>44922</v>
      </c>
      <c r="S14460" t="s">
        <v>45639</v>
      </c>
      <c r="T14460" t="s">
        <v>46414</v>
      </c>
      <c r="U14460" t="s">
        <v>52895</v>
      </c>
      <c r="W14460" t="s">
        <v>43370</v>
      </c>
      <c r="X14460" t="s">
        <v>44923</v>
      </c>
    </row>
    <row r="14461" spans="1:24">
      <c r="A14461">
        <f>HYPERLINK("https://www.philgeps.gov.ph/GEPSNONPILOT/Tender/SplashBidNoticeAbstractUI.aspx?menuIndex=3&amp;refID=7051942&amp;Result=3","7051942")</f>
        <v>0</v>
      </c>
      <c r="B14461" t="s">
        <v>3347</v>
      </c>
      <c r="C14461" t="s">
        <v>17370</v>
      </c>
      <c r="D14461" t="s">
        <v>18134</v>
      </c>
      <c r="E14461" t="s">
        <v>21404</v>
      </c>
      <c r="F14461" t="s">
        <v>31362</v>
      </c>
      <c r="G14461" t="s">
        <v>31369</v>
      </c>
      <c r="H14461" t="s">
        <v>15799</v>
      </c>
      <c r="I14461" t="s">
        <v>31409</v>
      </c>
      <c r="J14461" t="s">
        <v>31637</v>
      </c>
      <c r="K14461" t="s">
        <v>40662</v>
      </c>
      <c r="M14461" t="s">
        <v>44645</v>
      </c>
      <c r="N14461" t="s">
        <v>44905</v>
      </c>
      <c r="O14461" t="s">
        <v>44906</v>
      </c>
      <c r="P14461">
        <v>0</v>
      </c>
      <c r="Q14461">
        <v>5</v>
      </c>
      <c r="R14461" t="s">
        <v>44922</v>
      </c>
      <c r="S14461" t="s">
        <v>45639</v>
      </c>
      <c r="T14461" t="s">
        <v>46549</v>
      </c>
      <c r="U14461" t="s">
        <v>58449</v>
      </c>
      <c r="W14461" t="s">
        <v>44645</v>
      </c>
      <c r="X14461" t="s">
        <v>44923</v>
      </c>
    </row>
    <row r="14462" spans="1:24">
      <c r="A14462">
        <f>HYPERLINK("https://www.philgeps.gov.ph/GEPSNONPILOT/Tender/SplashBidNoticeAbstractUI.aspx?menuIndex=3&amp;refID=7023347&amp;Result=3","7023347")</f>
        <v>0</v>
      </c>
      <c r="B14462" t="s">
        <v>39</v>
      </c>
      <c r="C14462" t="s">
        <v>17371</v>
      </c>
      <c r="D14462" t="s">
        <v>18110</v>
      </c>
      <c r="E14462" t="s">
        <v>30691</v>
      </c>
      <c r="F14462" t="s">
        <v>31362</v>
      </c>
      <c r="G14462" t="s">
        <v>31369</v>
      </c>
      <c r="H14462" t="s">
        <v>15799</v>
      </c>
      <c r="I14462" t="s">
        <v>4283</v>
      </c>
      <c r="J14462" t="s">
        <v>40260</v>
      </c>
      <c r="K14462" t="s">
        <v>40661</v>
      </c>
      <c r="M14462" t="s">
        <v>40973</v>
      </c>
      <c r="N14462" t="s">
        <v>44905</v>
      </c>
      <c r="O14462" t="s">
        <v>44906</v>
      </c>
      <c r="P14462">
        <v>0</v>
      </c>
      <c r="Q14462">
        <v>12</v>
      </c>
      <c r="R14462" t="s">
        <v>44926</v>
      </c>
      <c r="S14462" t="s">
        <v>45939</v>
      </c>
      <c r="T14462" t="s">
        <v>46414</v>
      </c>
      <c r="U14462" t="s">
        <v>58450</v>
      </c>
      <c r="W14462" t="s">
        <v>40973</v>
      </c>
      <c r="X14462" t="s">
        <v>44938</v>
      </c>
    </row>
    <row r="14463" spans="1:24">
      <c r="A14463">
        <f>HYPERLINK("https://www.philgeps.gov.ph/GEPSNONPILOT/Tender/SplashBidNoticeAbstractUI.aspx?menuIndex=3&amp;refID=7051935&amp;Result=3","7051935")</f>
        <v>0</v>
      </c>
      <c r="B14463" t="s">
        <v>533</v>
      </c>
      <c r="C14463" t="s">
        <v>17372</v>
      </c>
      <c r="D14463" t="s">
        <v>18136</v>
      </c>
      <c r="E14463" t="s">
        <v>25445</v>
      </c>
      <c r="F14463" t="s">
        <v>31362</v>
      </c>
      <c r="G14463" t="s">
        <v>31369</v>
      </c>
      <c r="H14463" t="s">
        <v>15799</v>
      </c>
      <c r="I14463" t="s">
        <v>31409</v>
      </c>
      <c r="J14463" t="s">
        <v>33067</v>
      </c>
      <c r="K14463" t="s">
        <v>40677</v>
      </c>
      <c r="M14463" t="s">
        <v>41489</v>
      </c>
      <c r="N14463" t="s">
        <v>44905</v>
      </c>
      <c r="O14463" t="s">
        <v>44906</v>
      </c>
      <c r="P14463">
        <v>0</v>
      </c>
      <c r="Q14463">
        <v>4</v>
      </c>
      <c r="R14463" t="s">
        <v>44922</v>
      </c>
      <c r="S14463" t="s">
        <v>45639</v>
      </c>
      <c r="T14463" t="s">
        <v>46498</v>
      </c>
      <c r="U14463" t="s">
        <v>58451</v>
      </c>
      <c r="V14463" t="s">
        <v>60565</v>
      </c>
      <c r="W14463" t="s">
        <v>41489</v>
      </c>
      <c r="X14463" t="s">
        <v>44923</v>
      </c>
    </row>
    <row r="14464" spans="1:24">
      <c r="A14464">
        <f>HYPERLINK("https://www.philgeps.gov.ph/GEPSNONPILOT/Tender/SplashBidNoticeAbstractUI.aspx?menuIndex=3&amp;refID=7044336&amp;Result=3","7044336")</f>
        <v>0</v>
      </c>
      <c r="B14464" t="s">
        <v>3421</v>
      </c>
      <c r="C14464" t="s">
        <v>17373</v>
      </c>
      <c r="D14464" t="s">
        <v>18108</v>
      </c>
      <c r="E14464" t="s">
        <v>26009</v>
      </c>
      <c r="F14464" t="s">
        <v>31362</v>
      </c>
      <c r="G14464" t="s">
        <v>31369</v>
      </c>
      <c r="H14464" t="s">
        <v>15799</v>
      </c>
      <c r="I14464" t="s">
        <v>31516</v>
      </c>
      <c r="J14464" t="s">
        <v>40261</v>
      </c>
      <c r="K14464" t="s">
        <v>40679</v>
      </c>
      <c r="M14464" t="s">
        <v>44740</v>
      </c>
      <c r="N14464" t="s">
        <v>44905</v>
      </c>
      <c r="O14464" t="s">
        <v>44906</v>
      </c>
      <c r="P14464">
        <v>0</v>
      </c>
      <c r="Q14464">
        <v>11</v>
      </c>
      <c r="R14464" t="s">
        <v>44925</v>
      </c>
      <c r="S14464" t="s">
        <v>45891</v>
      </c>
      <c r="T14464" t="s">
        <v>46532</v>
      </c>
      <c r="U14464" t="s">
        <v>58452</v>
      </c>
      <c r="V14464" t="s">
        <v>60710</v>
      </c>
      <c r="W14464" t="s">
        <v>44740</v>
      </c>
      <c r="X14464" t="s">
        <v>44926</v>
      </c>
    </row>
    <row r="14465" spans="1:24">
      <c r="A14465">
        <f>HYPERLINK("https://www.philgeps.gov.ph/GEPSNONPILOT/Tender/SplashBidNoticeAbstractUI.aspx?menuIndex=3&amp;refID=7044301&amp;Result=3","7044301")</f>
        <v>0</v>
      </c>
      <c r="B14465" t="s">
        <v>233</v>
      </c>
      <c r="C14465" t="s">
        <v>17374</v>
      </c>
      <c r="D14465" t="s">
        <v>18108</v>
      </c>
      <c r="E14465" t="s">
        <v>30692</v>
      </c>
      <c r="F14465" t="s">
        <v>31362</v>
      </c>
      <c r="G14465" t="s">
        <v>31369</v>
      </c>
      <c r="H14465" t="s">
        <v>15799</v>
      </c>
      <c r="I14465" t="s">
        <v>31393</v>
      </c>
      <c r="J14465" t="s">
        <v>40262</v>
      </c>
      <c r="K14465" t="s">
        <v>40678</v>
      </c>
      <c r="M14465" t="s">
        <v>44805</v>
      </c>
      <c r="N14465" t="s">
        <v>44905</v>
      </c>
      <c r="O14465" t="s">
        <v>44906</v>
      </c>
      <c r="Q14465">
        <v>10</v>
      </c>
      <c r="R14465" t="s">
        <v>44925</v>
      </c>
      <c r="S14465" t="s">
        <v>45940</v>
      </c>
      <c r="T14465" t="s">
        <v>46434</v>
      </c>
      <c r="U14465" t="s">
        <v>58440</v>
      </c>
      <c r="W14465" t="s">
        <v>44805</v>
      </c>
      <c r="X14465" t="s">
        <v>44926</v>
      </c>
    </row>
    <row r="14466" spans="1:24">
      <c r="A14466">
        <f>HYPERLINK("https://www.philgeps.gov.ph/GEPSNONPILOT/Tender/SplashBidNoticeAbstractUI.aspx?menuIndex=3&amp;refID=7048085&amp;Result=3","7048085")</f>
        <v>0</v>
      </c>
      <c r="B14466" t="s">
        <v>3468</v>
      </c>
      <c r="C14466" t="s">
        <v>17375</v>
      </c>
      <c r="D14466" t="s">
        <v>18100</v>
      </c>
      <c r="E14466" t="s">
        <v>26539</v>
      </c>
      <c r="F14466" t="s">
        <v>31362</v>
      </c>
      <c r="G14466" t="s">
        <v>31369</v>
      </c>
      <c r="H14466" t="s">
        <v>15799</v>
      </c>
      <c r="I14466" t="s">
        <v>31385</v>
      </c>
      <c r="J14466" t="s">
        <v>40263</v>
      </c>
      <c r="K14466" t="s">
        <v>40672</v>
      </c>
      <c r="M14466" t="s">
        <v>44806</v>
      </c>
      <c r="N14466" t="s">
        <v>44905</v>
      </c>
      <c r="O14466" t="s">
        <v>44906</v>
      </c>
      <c r="P14466">
        <v>0</v>
      </c>
      <c r="Q14466">
        <v>1</v>
      </c>
      <c r="R14466" t="s">
        <v>44923</v>
      </c>
      <c r="S14466" t="s">
        <v>45744</v>
      </c>
      <c r="T14466" t="s">
        <v>46499</v>
      </c>
      <c r="U14466" t="s">
        <v>58453</v>
      </c>
      <c r="W14466" t="s">
        <v>44806</v>
      </c>
      <c r="X14466" t="s">
        <v>44924</v>
      </c>
    </row>
    <row r="14467" spans="1:24">
      <c r="A14467">
        <f>HYPERLINK("https://www.philgeps.gov.ph/GEPSNONPILOT/Tender/SplashBidNoticeAbstractUI.aspx?menuIndex=3&amp;refID=7044282&amp;Result=3","7044282")</f>
        <v>0</v>
      </c>
      <c r="B14467" t="s">
        <v>2460</v>
      </c>
      <c r="C14467" t="s">
        <v>17376</v>
      </c>
      <c r="D14467" t="s">
        <v>18172</v>
      </c>
      <c r="E14467" t="s">
        <v>30693</v>
      </c>
      <c r="F14467" t="s">
        <v>31362</v>
      </c>
      <c r="G14467" t="s">
        <v>31369</v>
      </c>
      <c r="H14467" t="s">
        <v>15799</v>
      </c>
      <c r="I14467" t="s">
        <v>31400</v>
      </c>
      <c r="J14467" t="s">
        <v>32883</v>
      </c>
      <c r="K14467" t="s">
        <v>40666</v>
      </c>
      <c r="M14467" t="s">
        <v>43620</v>
      </c>
      <c r="N14467" t="s">
        <v>44905</v>
      </c>
      <c r="O14467" t="s">
        <v>44906</v>
      </c>
      <c r="P14467">
        <v>0</v>
      </c>
      <c r="Q14467">
        <v>1</v>
      </c>
      <c r="R14467" t="s">
        <v>44925</v>
      </c>
      <c r="S14467" t="s">
        <v>45891</v>
      </c>
      <c r="T14467" t="s">
        <v>46410</v>
      </c>
      <c r="U14467" t="s">
        <v>58454</v>
      </c>
      <c r="W14467" t="s">
        <v>43620</v>
      </c>
      <c r="X14467" t="s">
        <v>44926</v>
      </c>
    </row>
    <row r="14468" spans="1:24">
      <c r="A14468">
        <f>HYPERLINK("https://www.philgeps.gov.ph/GEPSNONPILOT/Tender/SplashBidNoticeAbstractUI.aspx?menuIndex=3&amp;refID=7044279&amp;Result=3","7044279")</f>
        <v>0</v>
      </c>
      <c r="B14468" t="s">
        <v>3469</v>
      </c>
      <c r="C14468" t="s">
        <v>17377</v>
      </c>
      <c r="D14468" t="s">
        <v>18133</v>
      </c>
      <c r="E14468" t="s">
        <v>30694</v>
      </c>
      <c r="F14468" t="s">
        <v>31362</v>
      </c>
      <c r="G14468" t="s">
        <v>31369</v>
      </c>
      <c r="H14468" t="s">
        <v>31378</v>
      </c>
      <c r="I14468" t="s">
        <v>31386</v>
      </c>
      <c r="J14468" t="s">
        <v>40264</v>
      </c>
      <c r="K14468" t="s">
        <v>40846</v>
      </c>
      <c r="M14468" t="s">
        <v>44807</v>
      </c>
      <c r="N14468" t="s">
        <v>44905</v>
      </c>
      <c r="O14468" t="s">
        <v>44906</v>
      </c>
      <c r="P14468">
        <v>0</v>
      </c>
      <c r="Q14468">
        <v>2</v>
      </c>
      <c r="R14468" t="s">
        <v>44925</v>
      </c>
      <c r="S14468" t="s">
        <v>45891</v>
      </c>
      <c r="T14468" t="s">
        <v>46410</v>
      </c>
      <c r="U14468" t="s">
        <v>58455</v>
      </c>
      <c r="W14468" t="s">
        <v>44807</v>
      </c>
      <c r="X14468" t="s">
        <v>44926</v>
      </c>
    </row>
    <row r="14469" spans="1:24">
      <c r="A14469">
        <f>HYPERLINK("https://www.philgeps.gov.ph/GEPSNONPILOT/Tender/SplashBidNoticeAbstractUI.aspx?menuIndex=3&amp;refID=7044273&amp;Result=3","7044273")</f>
        <v>0</v>
      </c>
      <c r="B14469" t="s">
        <v>3214</v>
      </c>
      <c r="C14469" t="s">
        <v>17378</v>
      </c>
      <c r="D14469" t="s">
        <v>18160</v>
      </c>
      <c r="E14469" t="s">
        <v>30695</v>
      </c>
      <c r="F14469" t="s">
        <v>31362</v>
      </c>
      <c r="G14469" t="s">
        <v>31369</v>
      </c>
      <c r="H14469" t="s">
        <v>31378</v>
      </c>
      <c r="I14469" t="s">
        <v>31386</v>
      </c>
      <c r="J14469" t="s">
        <v>31941</v>
      </c>
      <c r="K14469" t="s">
        <v>40662</v>
      </c>
      <c r="M14469" t="s">
        <v>44488</v>
      </c>
      <c r="N14469" t="s">
        <v>44905</v>
      </c>
      <c r="O14469" t="s">
        <v>44906</v>
      </c>
      <c r="P14469">
        <v>0</v>
      </c>
      <c r="Q14469">
        <v>0</v>
      </c>
      <c r="R14469" t="s">
        <v>44925</v>
      </c>
      <c r="S14469" t="s">
        <v>45891</v>
      </c>
      <c r="T14469" t="s">
        <v>46409</v>
      </c>
      <c r="U14469" t="s">
        <v>58456</v>
      </c>
      <c r="W14469" t="s">
        <v>44488</v>
      </c>
      <c r="X14469" t="s">
        <v>44926</v>
      </c>
    </row>
    <row r="14470" spans="1:24">
      <c r="A14470">
        <f>HYPERLINK("https://www.philgeps.gov.ph/GEPSNONPILOT/Tender/SplashBidNoticeAbstractUI.aspx?menuIndex=3&amp;refID=7044293&amp;Result=3","7044293")</f>
        <v>0</v>
      </c>
      <c r="B14470" t="s">
        <v>2460</v>
      </c>
      <c r="C14470" t="s">
        <v>17379</v>
      </c>
      <c r="D14470" t="s">
        <v>18172</v>
      </c>
      <c r="E14470" t="s">
        <v>30696</v>
      </c>
      <c r="F14470" t="s">
        <v>31362</v>
      </c>
      <c r="G14470" t="s">
        <v>31369</v>
      </c>
      <c r="H14470" t="s">
        <v>15799</v>
      </c>
      <c r="I14470" t="s">
        <v>3815</v>
      </c>
      <c r="J14470" t="s">
        <v>40265</v>
      </c>
      <c r="K14470" t="s">
        <v>40666</v>
      </c>
      <c r="M14470" t="s">
        <v>43620</v>
      </c>
      <c r="N14470" t="s">
        <v>44905</v>
      </c>
      <c r="O14470" t="s">
        <v>44906</v>
      </c>
      <c r="P14470">
        <v>0</v>
      </c>
      <c r="Q14470">
        <v>0</v>
      </c>
      <c r="R14470" t="s">
        <v>44925</v>
      </c>
      <c r="S14470" t="s">
        <v>45891</v>
      </c>
      <c r="T14470" t="s">
        <v>46410</v>
      </c>
      <c r="U14470" t="s">
        <v>58457</v>
      </c>
      <c r="W14470" t="s">
        <v>43620</v>
      </c>
      <c r="X14470" t="s">
        <v>44926</v>
      </c>
    </row>
    <row r="14471" spans="1:24">
      <c r="A14471">
        <f>HYPERLINK("https://www.philgeps.gov.ph/GEPSNONPILOT/Tender/SplashBidNoticeAbstractUI.aspx?menuIndex=3&amp;refID=7044272&amp;Result=3","7044272")</f>
        <v>0</v>
      </c>
      <c r="B14471" t="s">
        <v>3214</v>
      </c>
      <c r="C14471" t="s">
        <v>17380</v>
      </c>
      <c r="D14471" t="s">
        <v>18160</v>
      </c>
      <c r="E14471" t="s">
        <v>30697</v>
      </c>
      <c r="F14471" t="s">
        <v>31362</v>
      </c>
      <c r="G14471" t="s">
        <v>31369</v>
      </c>
      <c r="H14471" t="s">
        <v>31378</v>
      </c>
      <c r="I14471" t="s">
        <v>31386</v>
      </c>
      <c r="J14471" t="s">
        <v>40266</v>
      </c>
      <c r="K14471" t="s">
        <v>40662</v>
      </c>
      <c r="M14471" t="s">
        <v>44488</v>
      </c>
      <c r="N14471" t="s">
        <v>44905</v>
      </c>
      <c r="O14471" t="s">
        <v>44906</v>
      </c>
      <c r="P14471">
        <v>0</v>
      </c>
      <c r="Q14471">
        <v>0</v>
      </c>
      <c r="R14471" t="s">
        <v>44925</v>
      </c>
      <c r="S14471" t="s">
        <v>45891</v>
      </c>
      <c r="T14471" t="s">
        <v>46409</v>
      </c>
      <c r="U14471" t="s">
        <v>58458</v>
      </c>
      <c r="W14471" t="s">
        <v>44488</v>
      </c>
      <c r="X14471" t="s">
        <v>44926</v>
      </c>
    </row>
    <row r="14472" spans="1:24">
      <c r="A14472">
        <f>HYPERLINK("https://www.philgeps.gov.ph/GEPSNONPILOT/Tender/SplashBidNoticeAbstractUI.aspx?menuIndex=3&amp;refID=7044032&amp;Result=3","7044032")</f>
        <v>0</v>
      </c>
      <c r="B14472" t="s">
        <v>1587</v>
      </c>
      <c r="C14472" t="s">
        <v>17381</v>
      </c>
      <c r="D14472" t="s">
        <v>18151</v>
      </c>
      <c r="E14472" t="s">
        <v>30698</v>
      </c>
      <c r="F14472" t="s">
        <v>31362</v>
      </c>
      <c r="G14472" t="s">
        <v>31369</v>
      </c>
      <c r="H14472" t="s">
        <v>31378</v>
      </c>
      <c r="I14472" t="s">
        <v>3582</v>
      </c>
      <c r="J14472" t="s">
        <v>40267</v>
      </c>
      <c r="K14472" t="s">
        <v>40686</v>
      </c>
      <c r="M14472" t="s">
        <v>42643</v>
      </c>
      <c r="N14472" t="s">
        <v>44905</v>
      </c>
      <c r="O14472" t="s">
        <v>44906</v>
      </c>
      <c r="P14472">
        <v>0</v>
      </c>
      <c r="Q14472">
        <v>3</v>
      </c>
      <c r="R14472" t="s">
        <v>44925</v>
      </c>
      <c r="S14472" t="s">
        <v>45891</v>
      </c>
      <c r="T14472" t="s">
        <v>46432</v>
      </c>
      <c r="U14472" t="s">
        <v>58459</v>
      </c>
      <c r="V14472" t="s">
        <v>60699</v>
      </c>
      <c r="W14472" t="s">
        <v>42643</v>
      </c>
      <c r="X14472" t="s">
        <v>44926</v>
      </c>
    </row>
    <row r="14473" spans="1:24">
      <c r="A14473">
        <f>HYPERLINK("https://www.philgeps.gov.ph/GEPSNONPILOT/Tender/SplashBidNoticeAbstractUI.aspx?menuIndex=3&amp;refID=7044270&amp;Result=3","7044270")</f>
        <v>0</v>
      </c>
      <c r="B14473" t="s">
        <v>2460</v>
      </c>
      <c r="C14473" t="s">
        <v>17382</v>
      </c>
      <c r="D14473" t="s">
        <v>18172</v>
      </c>
      <c r="E14473" t="s">
        <v>30699</v>
      </c>
      <c r="F14473" t="s">
        <v>31362</v>
      </c>
      <c r="G14473" t="s">
        <v>31369</v>
      </c>
      <c r="H14473" t="s">
        <v>15799</v>
      </c>
      <c r="I14473" t="s">
        <v>31392</v>
      </c>
      <c r="J14473" t="s">
        <v>40268</v>
      </c>
      <c r="K14473" t="s">
        <v>40666</v>
      </c>
      <c r="M14473" t="s">
        <v>43620</v>
      </c>
      <c r="N14473" t="s">
        <v>44905</v>
      </c>
      <c r="O14473" t="s">
        <v>44906</v>
      </c>
      <c r="P14473">
        <v>0</v>
      </c>
      <c r="Q14473">
        <v>0</v>
      </c>
      <c r="R14473" t="s">
        <v>44925</v>
      </c>
      <c r="S14473" t="s">
        <v>45891</v>
      </c>
      <c r="T14473" t="s">
        <v>46410</v>
      </c>
      <c r="U14473" t="s">
        <v>58460</v>
      </c>
      <c r="W14473" t="s">
        <v>43620</v>
      </c>
      <c r="X14473" t="s">
        <v>44926</v>
      </c>
    </row>
    <row r="14474" spans="1:24">
      <c r="A14474">
        <f>HYPERLINK("https://www.philgeps.gov.ph/GEPSNONPILOT/Tender/SplashBidNoticeAbstractUI.aspx?menuIndex=3&amp;refID=7044267&amp;Result=3","7044267")</f>
        <v>0</v>
      </c>
      <c r="B14474" t="s">
        <v>3214</v>
      </c>
      <c r="C14474" t="s">
        <v>17383</v>
      </c>
      <c r="D14474" t="s">
        <v>18160</v>
      </c>
      <c r="E14474" t="s">
        <v>30700</v>
      </c>
      <c r="F14474" t="s">
        <v>31362</v>
      </c>
      <c r="G14474" t="s">
        <v>31369</v>
      </c>
      <c r="H14474" t="s">
        <v>31378</v>
      </c>
      <c r="I14474" t="s">
        <v>31386</v>
      </c>
      <c r="J14474" t="s">
        <v>31941</v>
      </c>
      <c r="K14474" t="s">
        <v>40662</v>
      </c>
      <c r="M14474" t="s">
        <v>44488</v>
      </c>
      <c r="N14474" t="s">
        <v>44905</v>
      </c>
      <c r="O14474" t="s">
        <v>44906</v>
      </c>
      <c r="P14474">
        <v>0</v>
      </c>
      <c r="Q14474">
        <v>0</v>
      </c>
      <c r="R14474" t="s">
        <v>44925</v>
      </c>
      <c r="S14474" t="s">
        <v>45891</v>
      </c>
      <c r="T14474" t="s">
        <v>46409</v>
      </c>
      <c r="U14474" t="s">
        <v>58461</v>
      </c>
      <c r="W14474" t="s">
        <v>44488</v>
      </c>
      <c r="X14474" t="s">
        <v>44926</v>
      </c>
    </row>
    <row r="14475" spans="1:24">
      <c r="A14475">
        <f>HYPERLINK("https://www.philgeps.gov.ph/GEPSNONPILOT/Tender/SplashBidNoticeAbstractUI.aspx?menuIndex=3&amp;refID=7044281&amp;Result=3","7044281")</f>
        <v>0</v>
      </c>
      <c r="B14475" t="s">
        <v>3469</v>
      </c>
      <c r="C14475" t="s">
        <v>17384</v>
      </c>
      <c r="D14475" t="s">
        <v>18133</v>
      </c>
      <c r="E14475" t="s">
        <v>30701</v>
      </c>
      <c r="F14475" t="s">
        <v>31362</v>
      </c>
      <c r="G14475" t="s">
        <v>31369</v>
      </c>
      <c r="H14475" t="s">
        <v>15799</v>
      </c>
      <c r="I14475" t="s">
        <v>31468</v>
      </c>
      <c r="J14475" t="s">
        <v>40269</v>
      </c>
      <c r="K14475" t="s">
        <v>40665</v>
      </c>
      <c r="M14475" t="s">
        <v>44807</v>
      </c>
      <c r="N14475" t="s">
        <v>44905</v>
      </c>
      <c r="O14475" t="s">
        <v>44906</v>
      </c>
      <c r="P14475">
        <v>0</v>
      </c>
      <c r="Q14475">
        <v>6</v>
      </c>
      <c r="R14475" t="s">
        <v>44925</v>
      </c>
      <c r="S14475" t="s">
        <v>45891</v>
      </c>
      <c r="T14475" t="s">
        <v>46410</v>
      </c>
      <c r="U14475" t="s">
        <v>58462</v>
      </c>
      <c r="W14475" t="s">
        <v>44807</v>
      </c>
      <c r="X14475" t="s">
        <v>44926</v>
      </c>
    </row>
    <row r="14476" spans="1:24">
      <c r="A14476">
        <f>HYPERLINK("https://www.philgeps.gov.ph/GEPSNONPILOT/Tender/SplashBidNoticeAbstractUI.aspx?menuIndex=3&amp;refID=7044266&amp;Result=3","7044266")</f>
        <v>0</v>
      </c>
      <c r="B14476" t="s">
        <v>3214</v>
      </c>
      <c r="C14476" t="s">
        <v>17385</v>
      </c>
      <c r="D14476" t="s">
        <v>18160</v>
      </c>
      <c r="E14476" t="s">
        <v>30702</v>
      </c>
      <c r="F14476" t="s">
        <v>31362</v>
      </c>
      <c r="G14476" t="s">
        <v>31369</v>
      </c>
      <c r="H14476" t="s">
        <v>31378</v>
      </c>
      <c r="I14476" t="s">
        <v>31386</v>
      </c>
      <c r="J14476" t="s">
        <v>31941</v>
      </c>
      <c r="K14476" t="s">
        <v>40662</v>
      </c>
      <c r="M14476" t="s">
        <v>44488</v>
      </c>
      <c r="N14476" t="s">
        <v>44905</v>
      </c>
      <c r="O14476" t="s">
        <v>44906</v>
      </c>
      <c r="P14476">
        <v>0</v>
      </c>
      <c r="Q14476">
        <v>1</v>
      </c>
      <c r="R14476" t="s">
        <v>44925</v>
      </c>
      <c r="S14476" t="s">
        <v>45891</v>
      </c>
      <c r="T14476" t="s">
        <v>46409</v>
      </c>
      <c r="U14476" t="s">
        <v>58463</v>
      </c>
      <c r="W14476" t="s">
        <v>44488</v>
      </c>
      <c r="X14476" t="s">
        <v>44926</v>
      </c>
    </row>
    <row r="14477" spans="1:24">
      <c r="A14477">
        <f>HYPERLINK("https://www.philgeps.gov.ph/GEPSNONPILOT/Tender/SplashBidNoticeAbstractUI.aspx?menuIndex=3&amp;refID=7043649&amp;Result=3","7043649")</f>
        <v>0</v>
      </c>
      <c r="B14477" t="s">
        <v>3470</v>
      </c>
      <c r="C14477" t="s">
        <v>17386</v>
      </c>
      <c r="D14477" t="s">
        <v>18134</v>
      </c>
      <c r="E14477" t="s">
        <v>30703</v>
      </c>
      <c r="F14477" t="s">
        <v>31362</v>
      </c>
      <c r="G14477" t="s">
        <v>31369</v>
      </c>
      <c r="H14477" t="s">
        <v>31378</v>
      </c>
      <c r="I14477" t="s">
        <v>31386</v>
      </c>
      <c r="J14477" t="s">
        <v>40270</v>
      </c>
      <c r="K14477" t="s">
        <v>40678</v>
      </c>
      <c r="M14477" t="s">
        <v>44808</v>
      </c>
      <c r="N14477" t="s">
        <v>44905</v>
      </c>
      <c r="O14477" t="s">
        <v>44906</v>
      </c>
      <c r="P14477">
        <v>0</v>
      </c>
      <c r="Q14477">
        <v>1</v>
      </c>
      <c r="R14477" t="s">
        <v>44927</v>
      </c>
      <c r="S14477" t="s">
        <v>45941</v>
      </c>
      <c r="T14477" t="s">
        <v>46432</v>
      </c>
      <c r="U14477" t="s">
        <v>58464</v>
      </c>
      <c r="W14477" t="s">
        <v>44808</v>
      </c>
      <c r="X14477" t="s">
        <v>44928</v>
      </c>
    </row>
    <row r="14478" spans="1:24">
      <c r="A14478">
        <f>HYPERLINK("https://www.philgeps.gov.ph/GEPSNONPILOT/Tender/SplashBidNoticeAbstractUI.aspx?menuIndex=3&amp;refID=7021927-2&amp;Result=3","7021927-2")</f>
        <v>0</v>
      </c>
      <c r="B14478" t="s">
        <v>906</v>
      </c>
      <c r="C14478" t="s">
        <v>17387</v>
      </c>
      <c r="E14478" t="s">
        <v>30704</v>
      </c>
      <c r="F14478" t="s">
        <v>31362</v>
      </c>
      <c r="G14478" t="s">
        <v>31369</v>
      </c>
      <c r="H14478" t="s">
        <v>31377</v>
      </c>
      <c r="I14478" t="s">
        <v>31377</v>
      </c>
      <c r="J14478" t="s">
        <v>40271</v>
      </c>
      <c r="K14478" t="s">
        <v>40662</v>
      </c>
      <c r="M14478" t="s">
        <v>41888</v>
      </c>
      <c r="N14478" t="s">
        <v>44905</v>
      </c>
      <c r="O14478" t="s">
        <v>44906</v>
      </c>
      <c r="Q14478">
        <v>0</v>
      </c>
      <c r="R14478" t="s">
        <v>44928</v>
      </c>
      <c r="S14478" t="s">
        <v>45942</v>
      </c>
      <c r="T14478" t="s">
        <v>46435</v>
      </c>
      <c r="U14478" t="s">
        <v>58465</v>
      </c>
      <c r="V14478" t="s">
        <v>60711</v>
      </c>
      <c r="W14478" t="s">
        <v>41888</v>
      </c>
      <c r="X14478" t="s">
        <v>44929</v>
      </c>
    </row>
    <row r="14479" spans="1:24">
      <c r="A14479">
        <f>HYPERLINK("https://www.philgeps.gov.ph/GEPSNONPILOT/Tender/SplashBidNoticeAbstractUI.aspx?menuIndex=3&amp;refID=7044046&amp;Result=3","7044046")</f>
        <v>0</v>
      </c>
      <c r="B14479" t="s">
        <v>1587</v>
      </c>
      <c r="C14479" t="s">
        <v>17388</v>
      </c>
      <c r="D14479" t="s">
        <v>18151</v>
      </c>
      <c r="E14479" t="s">
        <v>30705</v>
      </c>
      <c r="F14479" t="s">
        <v>31362</v>
      </c>
      <c r="G14479" t="s">
        <v>31369</v>
      </c>
      <c r="H14479" t="s">
        <v>31378</v>
      </c>
      <c r="I14479" t="s">
        <v>3582</v>
      </c>
      <c r="J14479" t="s">
        <v>40272</v>
      </c>
      <c r="K14479" t="s">
        <v>40686</v>
      </c>
      <c r="M14479" t="s">
        <v>42643</v>
      </c>
      <c r="N14479" t="s">
        <v>44905</v>
      </c>
      <c r="O14479" t="s">
        <v>44906</v>
      </c>
      <c r="P14479">
        <v>0</v>
      </c>
      <c r="Q14479">
        <v>2</v>
      </c>
      <c r="R14479" t="s">
        <v>44925</v>
      </c>
      <c r="S14479" t="s">
        <v>45891</v>
      </c>
      <c r="T14479" t="s">
        <v>46432</v>
      </c>
      <c r="U14479" t="s">
        <v>58466</v>
      </c>
      <c r="V14479" t="s">
        <v>60699</v>
      </c>
      <c r="W14479" t="s">
        <v>42643</v>
      </c>
      <c r="X14479" t="s">
        <v>44926</v>
      </c>
    </row>
    <row r="14480" spans="1:24">
      <c r="A14480">
        <f>HYPERLINK("https://www.philgeps.gov.ph/GEPSNONPILOT/Tender/SplashBidNoticeAbstractUI.aspx?menuIndex=3&amp;refID=7021908-2&amp;Result=3","7021908-2")</f>
        <v>0</v>
      </c>
      <c r="B14480" t="s">
        <v>906</v>
      </c>
      <c r="C14480" t="s">
        <v>17389</v>
      </c>
      <c r="E14480" t="s">
        <v>30706</v>
      </c>
      <c r="F14480" t="s">
        <v>31362</v>
      </c>
      <c r="G14480" t="s">
        <v>31369</v>
      </c>
      <c r="H14480" t="s">
        <v>31377</v>
      </c>
      <c r="I14480" t="s">
        <v>31377</v>
      </c>
      <c r="J14480" t="s">
        <v>40273</v>
      </c>
      <c r="K14480" t="s">
        <v>40662</v>
      </c>
      <c r="M14480" t="s">
        <v>41888</v>
      </c>
      <c r="N14480" t="s">
        <v>44905</v>
      </c>
      <c r="O14480" t="s">
        <v>44906</v>
      </c>
      <c r="Q14480">
        <v>1</v>
      </c>
      <c r="R14480" t="s">
        <v>44928</v>
      </c>
      <c r="S14480" t="s">
        <v>45422</v>
      </c>
      <c r="T14480" t="s">
        <v>46435</v>
      </c>
      <c r="U14480" t="s">
        <v>58467</v>
      </c>
      <c r="V14480" t="s">
        <v>60712</v>
      </c>
      <c r="W14480" t="s">
        <v>41888</v>
      </c>
      <c r="X14480" t="s">
        <v>44929</v>
      </c>
    </row>
    <row r="14481" spans="1:24">
      <c r="A14481">
        <f>HYPERLINK("https://www.philgeps.gov.ph/GEPSNONPILOT/Tender/SplashBidNoticeAbstractUI.aspx?menuIndex=3&amp;refID=7044340&amp;Result=3","7044340")</f>
        <v>0</v>
      </c>
      <c r="B14481" t="s">
        <v>482</v>
      </c>
      <c r="C14481" t="s">
        <v>17390</v>
      </c>
      <c r="E14481" t="s">
        <v>30707</v>
      </c>
      <c r="F14481" t="s">
        <v>31362</v>
      </c>
      <c r="G14481" t="s">
        <v>31370</v>
      </c>
      <c r="H14481" t="s">
        <v>15799</v>
      </c>
      <c r="I14481" t="s">
        <v>31393</v>
      </c>
      <c r="J14481" t="s">
        <v>33494</v>
      </c>
      <c r="K14481" t="s">
        <v>40662</v>
      </c>
      <c r="M14481" t="s">
        <v>44809</v>
      </c>
      <c r="N14481" t="s">
        <v>44905</v>
      </c>
      <c r="O14481" t="s">
        <v>44906</v>
      </c>
      <c r="Q14481">
        <v>14</v>
      </c>
      <c r="R14481" t="s">
        <v>44925</v>
      </c>
      <c r="S14481" t="s">
        <v>45332</v>
      </c>
      <c r="T14481" t="s">
        <v>46425</v>
      </c>
      <c r="U14481" t="s">
        <v>58468</v>
      </c>
      <c r="W14481" t="s">
        <v>44809</v>
      </c>
      <c r="X14481" t="s">
        <v>44926</v>
      </c>
    </row>
    <row r="14482" spans="1:24">
      <c r="A14482">
        <f>HYPERLINK("https://www.philgeps.gov.ph/GEPSNONPILOT/Tender/SplashBidNoticeAbstractUI.aspx?menuIndex=3&amp;refID=7013221-2&amp;Result=3","7013221-2")</f>
        <v>0</v>
      </c>
      <c r="B14482" t="s">
        <v>997</v>
      </c>
      <c r="C14482" t="s">
        <v>17391</v>
      </c>
      <c r="D14482" t="s">
        <v>18101</v>
      </c>
      <c r="E14482" t="s">
        <v>30708</v>
      </c>
      <c r="F14482" t="s">
        <v>31362</v>
      </c>
      <c r="G14482" t="s">
        <v>31369</v>
      </c>
      <c r="H14482" t="s">
        <v>31377</v>
      </c>
      <c r="I14482" t="s">
        <v>31377</v>
      </c>
      <c r="J14482" t="s">
        <v>31615</v>
      </c>
      <c r="K14482" t="s">
        <v>40670</v>
      </c>
      <c r="M14482" t="s">
        <v>44673</v>
      </c>
      <c r="N14482" t="s">
        <v>44905</v>
      </c>
      <c r="O14482" t="s">
        <v>44906</v>
      </c>
      <c r="P14482">
        <v>0</v>
      </c>
      <c r="Q14482">
        <v>0</v>
      </c>
      <c r="R14482" t="s">
        <v>44928</v>
      </c>
      <c r="S14482" t="s">
        <v>45943</v>
      </c>
      <c r="T14482" t="s">
        <v>46435</v>
      </c>
      <c r="U14482" t="s">
        <v>58469</v>
      </c>
      <c r="W14482" t="s">
        <v>44673</v>
      </c>
      <c r="X14482" t="s">
        <v>44929</v>
      </c>
    </row>
    <row r="14483" spans="1:24">
      <c r="A14483">
        <f>HYPERLINK("https://www.philgeps.gov.ph/GEPSNONPILOT/Tender/SplashBidNoticeAbstractUI.aspx?menuIndex=3&amp;refID=7044269&amp;Result=3","7044269")</f>
        <v>0</v>
      </c>
      <c r="B14483" t="s">
        <v>3469</v>
      </c>
      <c r="C14483" t="s">
        <v>17392</v>
      </c>
      <c r="D14483" t="s">
        <v>18133</v>
      </c>
      <c r="E14483" t="s">
        <v>30709</v>
      </c>
      <c r="F14483" t="s">
        <v>31362</v>
      </c>
      <c r="G14483" t="s">
        <v>31369</v>
      </c>
      <c r="H14483" t="s">
        <v>31378</v>
      </c>
      <c r="I14483" t="s">
        <v>31386</v>
      </c>
      <c r="J14483" t="s">
        <v>40274</v>
      </c>
      <c r="K14483" t="s">
        <v>40918</v>
      </c>
      <c r="M14483" t="s">
        <v>44807</v>
      </c>
      <c r="N14483" t="s">
        <v>44905</v>
      </c>
      <c r="O14483" t="s">
        <v>44906</v>
      </c>
      <c r="P14483">
        <v>0</v>
      </c>
      <c r="Q14483">
        <v>2</v>
      </c>
      <c r="R14483" t="s">
        <v>44925</v>
      </c>
      <c r="S14483" t="s">
        <v>45891</v>
      </c>
      <c r="T14483" t="s">
        <v>46410</v>
      </c>
      <c r="U14483" t="s">
        <v>58470</v>
      </c>
      <c r="W14483" t="s">
        <v>44807</v>
      </c>
      <c r="X14483" t="s">
        <v>44926</v>
      </c>
    </row>
    <row r="14484" spans="1:24">
      <c r="A14484">
        <f>HYPERLINK("https://www.philgeps.gov.ph/GEPSNONPILOT/Tender/SplashBidNoticeAbstractUI.aspx?menuIndex=3&amp;refID=7043654&amp;Result=3","7043654")</f>
        <v>0</v>
      </c>
      <c r="B14484" t="s">
        <v>3470</v>
      </c>
      <c r="C14484" t="s">
        <v>17393</v>
      </c>
      <c r="D14484" t="s">
        <v>18134</v>
      </c>
      <c r="E14484" t="s">
        <v>30339</v>
      </c>
      <c r="F14484" t="s">
        <v>31362</v>
      </c>
      <c r="G14484" t="s">
        <v>31369</v>
      </c>
      <c r="H14484" t="s">
        <v>31378</v>
      </c>
      <c r="I14484" t="s">
        <v>31386</v>
      </c>
      <c r="J14484" t="s">
        <v>40275</v>
      </c>
      <c r="K14484" t="s">
        <v>40691</v>
      </c>
      <c r="M14484" t="s">
        <v>44808</v>
      </c>
      <c r="N14484" t="s">
        <v>44905</v>
      </c>
      <c r="O14484" t="s">
        <v>44906</v>
      </c>
      <c r="P14484">
        <v>0</v>
      </c>
      <c r="Q14484">
        <v>1</v>
      </c>
      <c r="R14484" t="s">
        <v>44927</v>
      </c>
      <c r="S14484" t="s">
        <v>45941</v>
      </c>
      <c r="T14484" t="s">
        <v>46432</v>
      </c>
      <c r="U14484" t="s">
        <v>58471</v>
      </c>
      <c r="W14484" t="s">
        <v>44808</v>
      </c>
      <c r="X14484" t="s">
        <v>44928</v>
      </c>
    </row>
    <row r="14485" spans="1:24">
      <c r="A14485">
        <f>HYPERLINK("https://www.philgeps.gov.ph/GEPSNONPILOT/Tender/SplashBidNoticeAbstractUI.aspx?menuIndex=3&amp;refID=7034720&amp;Result=3","7034720")</f>
        <v>0</v>
      </c>
      <c r="B14485" t="s">
        <v>3471</v>
      </c>
      <c r="C14485" t="s">
        <v>9984</v>
      </c>
      <c r="D14485" t="s">
        <v>18117</v>
      </c>
      <c r="E14485" t="s">
        <v>19313</v>
      </c>
      <c r="F14485" t="s">
        <v>31362</v>
      </c>
      <c r="G14485" t="s">
        <v>31369</v>
      </c>
      <c r="H14485" t="s">
        <v>31378</v>
      </c>
      <c r="I14485" t="s">
        <v>31392</v>
      </c>
      <c r="J14485" t="s">
        <v>31578</v>
      </c>
      <c r="K14485" t="s">
        <v>40665</v>
      </c>
      <c r="M14485" t="s">
        <v>44810</v>
      </c>
      <c r="N14485" t="s">
        <v>44905</v>
      </c>
      <c r="O14485" t="s">
        <v>44906</v>
      </c>
      <c r="P14485">
        <v>0</v>
      </c>
      <c r="Q14485">
        <v>2</v>
      </c>
      <c r="R14485" t="s">
        <v>44928</v>
      </c>
      <c r="S14485" t="s">
        <v>45943</v>
      </c>
      <c r="T14485" t="s">
        <v>46692</v>
      </c>
      <c r="U14485" t="s">
        <v>58472</v>
      </c>
      <c r="W14485" t="s">
        <v>44810</v>
      </c>
      <c r="X14485" t="s">
        <v>44932</v>
      </c>
    </row>
    <row r="14486" spans="1:24">
      <c r="A14486">
        <f>HYPERLINK("https://www.philgeps.gov.ph/GEPSNONPILOT/Tender/SplashBidNoticeAbstractUI.aspx?menuIndex=3&amp;refID=7043470&amp;Result=3","7043470")</f>
        <v>0</v>
      </c>
      <c r="B14486" t="s">
        <v>3472</v>
      </c>
      <c r="C14486" t="s">
        <v>17394</v>
      </c>
      <c r="D14486" t="s">
        <v>18139</v>
      </c>
      <c r="E14486" t="s">
        <v>17394</v>
      </c>
      <c r="F14486" t="s">
        <v>31362</v>
      </c>
      <c r="G14486" t="s">
        <v>31369</v>
      </c>
      <c r="H14486" t="s">
        <v>31378</v>
      </c>
      <c r="I14486" t="s">
        <v>31386</v>
      </c>
      <c r="J14486" t="s">
        <v>40276</v>
      </c>
      <c r="K14486" t="s">
        <v>40686</v>
      </c>
      <c r="M14486" t="s">
        <v>44811</v>
      </c>
      <c r="N14486" t="s">
        <v>44905</v>
      </c>
      <c r="O14486" t="s">
        <v>44906</v>
      </c>
      <c r="P14486">
        <v>0</v>
      </c>
      <c r="Q14486">
        <v>4</v>
      </c>
      <c r="R14486" t="s">
        <v>44927</v>
      </c>
      <c r="S14486" t="s">
        <v>45941</v>
      </c>
      <c r="T14486" t="s">
        <v>46432</v>
      </c>
      <c r="U14486" t="s">
        <v>58473</v>
      </c>
      <c r="W14486" t="s">
        <v>44811</v>
      </c>
      <c r="X14486" t="s">
        <v>44928</v>
      </c>
    </row>
    <row r="14487" spans="1:24">
      <c r="A14487">
        <f>HYPERLINK("https://www.philgeps.gov.ph/GEPSNONPILOT/Tender/SplashBidNoticeAbstractUI.aspx?menuIndex=3&amp;refID=7043316&amp;Result=3","7043316")</f>
        <v>0</v>
      </c>
      <c r="B14487" t="s">
        <v>3473</v>
      </c>
      <c r="C14487" t="s">
        <v>17395</v>
      </c>
      <c r="D14487" t="s">
        <v>18106</v>
      </c>
      <c r="E14487" t="s">
        <v>30710</v>
      </c>
      <c r="F14487" t="s">
        <v>31362</v>
      </c>
      <c r="G14487" t="s">
        <v>31369</v>
      </c>
      <c r="H14487" t="s">
        <v>31378</v>
      </c>
      <c r="I14487" t="s">
        <v>31386</v>
      </c>
      <c r="J14487" t="s">
        <v>40277</v>
      </c>
      <c r="K14487" t="s">
        <v>40701</v>
      </c>
      <c r="M14487" t="s">
        <v>44812</v>
      </c>
      <c r="N14487" t="s">
        <v>44905</v>
      </c>
      <c r="O14487" t="s">
        <v>44906</v>
      </c>
      <c r="P14487">
        <v>0</v>
      </c>
      <c r="Q14487">
        <v>1</v>
      </c>
      <c r="R14487" t="s">
        <v>44927</v>
      </c>
      <c r="S14487" t="s">
        <v>45941</v>
      </c>
      <c r="T14487" t="s">
        <v>46670</v>
      </c>
      <c r="U14487" t="s">
        <v>58474</v>
      </c>
      <c r="V14487" t="s">
        <v>60713</v>
      </c>
      <c r="W14487" t="s">
        <v>44812</v>
      </c>
      <c r="X14487" t="s">
        <v>44928</v>
      </c>
    </row>
    <row r="14488" spans="1:24">
      <c r="A14488">
        <f>HYPERLINK("https://www.philgeps.gov.ph/GEPSNONPILOT/Tender/SplashBidNoticeAbstractUI.aspx?menuIndex=3&amp;refID=7043246&amp;Result=3","7043246")</f>
        <v>0</v>
      </c>
      <c r="B14488" t="s">
        <v>3474</v>
      </c>
      <c r="C14488" t="s">
        <v>17396</v>
      </c>
      <c r="D14488" t="s">
        <v>18122</v>
      </c>
      <c r="E14488" t="s">
        <v>30711</v>
      </c>
      <c r="F14488" t="s">
        <v>31362</v>
      </c>
      <c r="G14488" t="s">
        <v>31373</v>
      </c>
      <c r="H14488" t="s">
        <v>31378</v>
      </c>
      <c r="I14488" t="s">
        <v>31386</v>
      </c>
      <c r="J14488" t="s">
        <v>39157</v>
      </c>
      <c r="K14488" t="s">
        <v>40679</v>
      </c>
      <c r="M14488" t="s">
        <v>44813</v>
      </c>
      <c r="N14488" t="s">
        <v>44905</v>
      </c>
      <c r="O14488" t="s">
        <v>44906</v>
      </c>
      <c r="P14488">
        <v>0</v>
      </c>
      <c r="Q14488">
        <v>94</v>
      </c>
      <c r="R14488" t="s">
        <v>44927</v>
      </c>
      <c r="S14488" t="s">
        <v>45941</v>
      </c>
      <c r="T14488" t="s">
        <v>46520</v>
      </c>
      <c r="U14488" t="s">
        <v>58475</v>
      </c>
      <c r="V14488" t="s">
        <v>60714</v>
      </c>
      <c r="W14488" t="s">
        <v>44813</v>
      </c>
      <c r="X14488" t="s">
        <v>44929</v>
      </c>
    </row>
    <row r="14489" spans="1:24">
      <c r="A14489">
        <f>HYPERLINK("https://www.philgeps.gov.ph/GEPSNONPILOT/Tender/SplashBidNoticeAbstractUI.aspx?menuIndex=3&amp;refID=7044277&amp;Result=3","7044277")</f>
        <v>0</v>
      </c>
      <c r="B14489" t="s">
        <v>3214</v>
      </c>
      <c r="C14489" t="s">
        <v>17397</v>
      </c>
      <c r="D14489" t="s">
        <v>18160</v>
      </c>
      <c r="E14489" t="s">
        <v>30712</v>
      </c>
      <c r="F14489" t="s">
        <v>31362</v>
      </c>
      <c r="G14489" t="s">
        <v>31369</v>
      </c>
      <c r="H14489" t="s">
        <v>31378</v>
      </c>
      <c r="I14489" t="s">
        <v>31386</v>
      </c>
      <c r="J14489" t="s">
        <v>32594</v>
      </c>
      <c r="K14489" t="s">
        <v>40662</v>
      </c>
      <c r="M14489" t="s">
        <v>44488</v>
      </c>
      <c r="N14489" t="s">
        <v>44905</v>
      </c>
      <c r="O14489" t="s">
        <v>44906</v>
      </c>
      <c r="Q14489">
        <v>3</v>
      </c>
      <c r="R14489" t="s">
        <v>44925</v>
      </c>
      <c r="S14489" t="s">
        <v>45035</v>
      </c>
      <c r="T14489" t="s">
        <v>46396</v>
      </c>
      <c r="U14489" t="s">
        <v>58476</v>
      </c>
      <c r="W14489" t="s">
        <v>44488</v>
      </c>
      <c r="X14489" t="s">
        <v>44926</v>
      </c>
    </row>
    <row r="14490" spans="1:24">
      <c r="A14490">
        <f>HYPERLINK("https://www.philgeps.gov.ph/GEPSNONPILOT/Tender/SplashBidNoticeAbstractUI.aspx?menuIndex=3&amp;refID=7043509&amp;Result=3","7043509")</f>
        <v>0</v>
      </c>
      <c r="B14490" t="s">
        <v>122</v>
      </c>
      <c r="C14490" t="s">
        <v>17398</v>
      </c>
      <c r="D14490" t="s">
        <v>18108</v>
      </c>
      <c r="E14490" t="s">
        <v>30713</v>
      </c>
      <c r="F14490" t="s">
        <v>31362</v>
      </c>
      <c r="G14490" t="s">
        <v>31371</v>
      </c>
      <c r="H14490" t="s">
        <v>15799</v>
      </c>
      <c r="I14490" t="s">
        <v>31476</v>
      </c>
      <c r="J14490" t="s">
        <v>32278</v>
      </c>
      <c r="K14490" t="s">
        <v>40677</v>
      </c>
      <c r="M14490" t="s">
        <v>43854</v>
      </c>
      <c r="N14490" t="s">
        <v>44905</v>
      </c>
      <c r="O14490" t="s">
        <v>44906</v>
      </c>
      <c r="Q14490">
        <v>12</v>
      </c>
      <c r="R14490" t="s">
        <v>44927</v>
      </c>
      <c r="S14490" t="s">
        <v>45944</v>
      </c>
      <c r="T14490" t="s">
        <v>46411</v>
      </c>
      <c r="U14490" t="s">
        <v>54306</v>
      </c>
      <c r="V14490" t="s">
        <v>60715</v>
      </c>
      <c r="W14490" t="s">
        <v>43854</v>
      </c>
      <c r="X14490" t="s">
        <v>44928</v>
      </c>
    </row>
    <row r="14491" spans="1:24">
      <c r="A14491">
        <f>HYPERLINK("https://www.philgeps.gov.ph/GEPSNONPILOT/Tender/SplashBidNoticeAbstractUI.aspx?menuIndex=3&amp;refID=7043915&amp;Result=3","7043915")</f>
        <v>0</v>
      </c>
      <c r="B14491" t="s">
        <v>3465</v>
      </c>
      <c r="C14491" t="s">
        <v>17399</v>
      </c>
      <c r="D14491" t="s">
        <v>18168</v>
      </c>
      <c r="E14491" t="s">
        <v>30714</v>
      </c>
      <c r="F14491" t="s">
        <v>31362</v>
      </c>
      <c r="G14491" t="s">
        <v>31369</v>
      </c>
      <c r="H14491" t="s">
        <v>31378</v>
      </c>
      <c r="I14491" t="s">
        <v>31386</v>
      </c>
      <c r="J14491" t="s">
        <v>31625</v>
      </c>
      <c r="K14491" t="s">
        <v>40682</v>
      </c>
      <c r="M14491" t="s">
        <v>44800</v>
      </c>
      <c r="N14491" t="s">
        <v>44905</v>
      </c>
      <c r="O14491" t="s">
        <v>44906</v>
      </c>
      <c r="P14491">
        <v>0</v>
      </c>
      <c r="Q14491">
        <v>3</v>
      </c>
      <c r="R14491" t="s">
        <v>44926</v>
      </c>
      <c r="S14491" t="s">
        <v>45939</v>
      </c>
      <c r="T14491" t="s">
        <v>46481</v>
      </c>
      <c r="U14491" t="s">
        <v>58477</v>
      </c>
      <c r="W14491" t="s">
        <v>44800</v>
      </c>
      <c r="X14491" t="s">
        <v>44927</v>
      </c>
    </row>
    <row r="14492" spans="1:24">
      <c r="A14492">
        <f>HYPERLINK("https://www.philgeps.gov.ph/GEPSNONPILOT/Tender/SplashBidNoticeAbstractUI.aspx?menuIndex=3&amp;refID=7043412&amp;Result=3","7043412")</f>
        <v>0</v>
      </c>
      <c r="B14492" t="s">
        <v>967</v>
      </c>
      <c r="C14492" t="s">
        <v>17400</v>
      </c>
      <c r="D14492" t="s">
        <v>18139</v>
      </c>
      <c r="E14492" t="s">
        <v>30715</v>
      </c>
      <c r="F14492" t="s">
        <v>31362</v>
      </c>
      <c r="G14492" t="s">
        <v>31369</v>
      </c>
      <c r="H14492" t="s">
        <v>31378</v>
      </c>
      <c r="I14492" t="s">
        <v>31386</v>
      </c>
      <c r="J14492" t="s">
        <v>40278</v>
      </c>
      <c r="K14492" t="s">
        <v>40686</v>
      </c>
      <c r="M14492" t="s">
        <v>44814</v>
      </c>
      <c r="N14492" t="s">
        <v>44905</v>
      </c>
      <c r="O14492" t="s">
        <v>44906</v>
      </c>
      <c r="P14492">
        <v>0</v>
      </c>
      <c r="Q14492">
        <v>3</v>
      </c>
      <c r="R14492" t="s">
        <v>44927</v>
      </c>
      <c r="S14492" t="s">
        <v>45941</v>
      </c>
      <c r="T14492" t="s">
        <v>46889</v>
      </c>
      <c r="U14492" t="s">
        <v>58478</v>
      </c>
      <c r="W14492" t="s">
        <v>44814</v>
      </c>
      <c r="X14492" t="s">
        <v>44928</v>
      </c>
    </row>
    <row r="14493" spans="1:24">
      <c r="A14493">
        <f>HYPERLINK("https://www.philgeps.gov.ph/GEPSNONPILOT/Tender/SplashBidNoticeAbstractUI.aspx?menuIndex=3&amp;refID=7043914&amp;Result=3","7043914")</f>
        <v>0</v>
      </c>
      <c r="B14493" t="s">
        <v>3465</v>
      </c>
      <c r="C14493" t="s">
        <v>17401</v>
      </c>
      <c r="D14493" t="s">
        <v>18168</v>
      </c>
      <c r="E14493" t="s">
        <v>30716</v>
      </c>
      <c r="F14493" t="s">
        <v>31362</v>
      </c>
      <c r="G14493" t="s">
        <v>31369</v>
      </c>
      <c r="H14493" t="s">
        <v>31378</v>
      </c>
      <c r="I14493" t="s">
        <v>31386</v>
      </c>
      <c r="J14493" t="s">
        <v>33433</v>
      </c>
      <c r="K14493" t="s">
        <v>40679</v>
      </c>
      <c r="M14493" t="s">
        <v>44800</v>
      </c>
      <c r="N14493" t="s">
        <v>44905</v>
      </c>
      <c r="O14493" t="s">
        <v>44906</v>
      </c>
      <c r="P14493">
        <v>0</v>
      </c>
      <c r="Q14493">
        <v>6</v>
      </c>
      <c r="R14493" t="s">
        <v>44926</v>
      </c>
      <c r="S14493" t="s">
        <v>45939</v>
      </c>
      <c r="T14493" t="s">
        <v>46481</v>
      </c>
      <c r="U14493" t="s">
        <v>58477</v>
      </c>
      <c r="W14493" t="s">
        <v>44800</v>
      </c>
      <c r="X14493" t="s">
        <v>44927</v>
      </c>
    </row>
    <row r="14494" spans="1:24">
      <c r="A14494">
        <f>HYPERLINK("https://www.philgeps.gov.ph/GEPSNONPILOT/Tender/SplashBidNoticeAbstractUI.aspx?menuIndex=3&amp;refID=7036388&amp;Result=3","7036388")</f>
        <v>0</v>
      </c>
      <c r="B14494" t="s">
        <v>916</v>
      </c>
      <c r="C14494" t="s">
        <v>17402</v>
      </c>
      <c r="D14494" t="s">
        <v>18101</v>
      </c>
      <c r="E14494" t="s">
        <v>30717</v>
      </c>
      <c r="F14494" t="s">
        <v>31362</v>
      </c>
      <c r="G14494" t="s">
        <v>31369</v>
      </c>
      <c r="H14494" t="s">
        <v>15799</v>
      </c>
      <c r="I14494" t="s">
        <v>31397</v>
      </c>
      <c r="J14494" t="s">
        <v>40279</v>
      </c>
      <c r="K14494" t="s">
        <v>40665</v>
      </c>
      <c r="M14494" t="s">
        <v>43804</v>
      </c>
      <c r="N14494" t="s">
        <v>44905</v>
      </c>
      <c r="O14494" t="s">
        <v>44906</v>
      </c>
      <c r="Q14494">
        <v>2</v>
      </c>
      <c r="R14494" t="s">
        <v>44926</v>
      </c>
      <c r="S14494" t="s">
        <v>45945</v>
      </c>
      <c r="T14494" t="s">
        <v>46409</v>
      </c>
      <c r="U14494" t="s">
        <v>58479</v>
      </c>
      <c r="V14494" t="s">
        <v>59978</v>
      </c>
      <c r="W14494" t="s">
        <v>43804</v>
      </c>
      <c r="X14494" t="s">
        <v>44931</v>
      </c>
    </row>
    <row r="14495" spans="1:24">
      <c r="A14495">
        <f>HYPERLINK("https://www.philgeps.gov.ph/GEPSNONPILOT/Tender/SplashBidNoticeAbstractUI.aspx?menuIndex=3&amp;refID=7042529&amp;Result=3","7042529")</f>
        <v>0</v>
      </c>
      <c r="B14495" t="s">
        <v>196</v>
      </c>
      <c r="C14495" t="s">
        <v>17403</v>
      </c>
      <c r="D14495" t="s">
        <v>18157</v>
      </c>
      <c r="E14495" t="s">
        <v>30718</v>
      </c>
      <c r="F14495" t="s">
        <v>31362</v>
      </c>
      <c r="G14495" t="s">
        <v>31369</v>
      </c>
      <c r="H14495" t="s">
        <v>15799</v>
      </c>
      <c r="I14495" t="s">
        <v>3815</v>
      </c>
      <c r="J14495" t="s">
        <v>40280</v>
      </c>
      <c r="K14495" t="s">
        <v>40665</v>
      </c>
      <c r="M14495" t="s">
        <v>41135</v>
      </c>
      <c r="N14495" t="s">
        <v>44905</v>
      </c>
      <c r="O14495" t="s">
        <v>44906</v>
      </c>
      <c r="Q14495">
        <v>1</v>
      </c>
      <c r="R14495" t="s">
        <v>44927</v>
      </c>
      <c r="S14495" t="s">
        <v>45946</v>
      </c>
      <c r="T14495" t="s">
        <v>46409</v>
      </c>
      <c r="U14495" t="s">
        <v>58480</v>
      </c>
      <c r="V14495" t="s">
        <v>60716</v>
      </c>
      <c r="W14495" t="s">
        <v>41135</v>
      </c>
      <c r="X14495" t="s">
        <v>44929</v>
      </c>
    </row>
    <row r="14496" spans="1:24">
      <c r="A14496">
        <f>HYPERLINK("https://www.philgeps.gov.ph/GEPSNONPILOT/Tender/SplashBidNoticeAbstractUI.aspx?menuIndex=3&amp;refID=7043916&amp;Result=3","7043916")</f>
        <v>0</v>
      </c>
      <c r="B14496" t="s">
        <v>3465</v>
      </c>
      <c r="C14496" t="s">
        <v>17404</v>
      </c>
      <c r="D14496" t="s">
        <v>18168</v>
      </c>
      <c r="E14496" t="s">
        <v>30719</v>
      </c>
      <c r="F14496" t="s">
        <v>31362</v>
      </c>
      <c r="G14496" t="s">
        <v>31369</v>
      </c>
      <c r="H14496" t="s">
        <v>31378</v>
      </c>
      <c r="I14496" t="s">
        <v>31386</v>
      </c>
      <c r="J14496" t="s">
        <v>31625</v>
      </c>
      <c r="K14496" t="s">
        <v>40682</v>
      </c>
      <c r="M14496" t="s">
        <v>44800</v>
      </c>
      <c r="N14496" t="s">
        <v>44905</v>
      </c>
      <c r="O14496" t="s">
        <v>44906</v>
      </c>
      <c r="P14496">
        <v>0</v>
      </c>
      <c r="Q14496">
        <v>3</v>
      </c>
      <c r="R14496" t="s">
        <v>44926</v>
      </c>
      <c r="S14496" t="s">
        <v>45939</v>
      </c>
      <c r="T14496" t="s">
        <v>46481</v>
      </c>
      <c r="U14496" t="s">
        <v>58477</v>
      </c>
      <c r="W14496" t="s">
        <v>44800</v>
      </c>
      <c r="X14496" t="s">
        <v>44927</v>
      </c>
    </row>
    <row r="14497" spans="1:24">
      <c r="A14497">
        <f>HYPERLINK("https://www.philgeps.gov.ph/GEPSNONPILOT/Tender/SplashBidNoticeAbstractUI.aspx?menuIndex=3&amp;refID=7044264&amp;Result=3","7044264")</f>
        <v>0</v>
      </c>
      <c r="B14497" t="s">
        <v>3469</v>
      </c>
      <c r="C14497" t="s">
        <v>17405</v>
      </c>
      <c r="D14497" t="s">
        <v>18133</v>
      </c>
      <c r="E14497" t="s">
        <v>30720</v>
      </c>
      <c r="F14497" t="s">
        <v>31362</v>
      </c>
      <c r="G14497" t="s">
        <v>31369</v>
      </c>
      <c r="H14497" t="s">
        <v>31378</v>
      </c>
      <c r="I14497" t="s">
        <v>31386</v>
      </c>
      <c r="J14497" t="s">
        <v>40281</v>
      </c>
      <c r="K14497" t="s">
        <v>40665</v>
      </c>
      <c r="M14497" t="s">
        <v>44807</v>
      </c>
      <c r="N14497" t="s">
        <v>44905</v>
      </c>
      <c r="O14497" t="s">
        <v>44906</v>
      </c>
      <c r="P14497">
        <v>0</v>
      </c>
      <c r="Q14497">
        <v>2</v>
      </c>
      <c r="R14497" t="s">
        <v>44925</v>
      </c>
      <c r="S14497" t="s">
        <v>45891</v>
      </c>
      <c r="T14497" t="s">
        <v>46410</v>
      </c>
      <c r="U14497" t="s">
        <v>58481</v>
      </c>
      <c r="W14497" t="s">
        <v>44807</v>
      </c>
      <c r="X14497" t="s">
        <v>44926</v>
      </c>
    </row>
    <row r="14498" spans="1:24">
      <c r="A14498">
        <f>HYPERLINK("https://www.philgeps.gov.ph/GEPSNONPILOT/Tender/SplashBidNoticeAbstractUI.aspx?menuIndex=3&amp;refID=7044255&amp;Result=3","7044255")</f>
        <v>0</v>
      </c>
      <c r="B14498" t="s">
        <v>191</v>
      </c>
      <c r="C14498" t="s">
        <v>17406</v>
      </c>
      <c r="D14498" t="s">
        <v>18154</v>
      </c>
      <c r="E14498" t="s">
        <v>30721</v>
      </c>
      <c r="F14498" t="s">
        <v>31362</v>
      </c>
      <c r="G14498" t="s">
        <v>31369</v>
      </c>
      <c r="H14498" t="s">
        <v>15799</v>
      </c>
      <c r="I14498" t="s">
        <v>7188</v>
      </c>
      <c r="J14498" t="s">
        <v>40282</v>
      </c>
      <c r="K14498" t="s">
        <v>40665</v>
      </c>
      <c r="M14498" t="s">
        <v>41129</v>
      </c>
      <c r="N14498" t="s">
        <v>44905</v>
      </c>
      <c r="O14498" t="s">
        <v>44906</v>
      </c>
      <c r="P14498">
        <v>0</v>
      </c>
      <c r="Q14498">
        <v>1</v>
      </c>
      <c r="R14498" t="s">
        <v>44925</v>
      </c>
      <c r="S14498" t="s">
        <v>45891</v>
      </c>
      <c r="T14498" t="s">
        <v>46507</v>
      </c>
      <c r="U14498" t="s">
        <v>58482</v>
      </c>
      <c r="W14498" t="s">
        <v>41129</v>
      </c>
      <c r="X14498" t="s">
        <v>44926</v>
      </c>
    </row>
    <row r="14499" spans="1:24">
      <c r="A14499">
        <f>HYPERLINK("https://www.philgeps.gov.ph/GEPSNONPILOT/Tender/SplashBidNoticeAbstractUI.aspx?menuIndex=3&amp;refID=7043408&amp;Result=3","7043408")</f>
        <v>0</v>
      </c>
      <c r="B14499" t="s">
        <v>967</v>
      </c>
      <c r="C14499" t="s">
        <v>17407</v>
      </c>
      <c r="D14499" t="s">
        <v>18139</v>
      </c>
      <c r="E14499" t="s">
        <v>30722</v>
      </c>
      <c r="F14499" t="s">
        <v>31362</v>
      </c>
      <c r="G14499" t="s">
        <v>31369</v>
      </c>
      <c r="H14499" t="s">
        <v>31378</v>
      </c>
      <c r="I14499" t="s">
        <v>31386</v>
      </c>
      <c r="J14499" t="s">
        <v>31602</v>
      </c>
      <c r="K14499" t="s">
        <v>40686</v>
      </c>
      <c r="M14499" t="s">
        <v>44814</v>
      </c>
      <c r="N14499" t="s">
        <v>44905</v>
      </c>
      <c r="O14499" t="s">
        <v>44906</v>
      </c>
      <c r="P14499">
        <v>0</v>
      </c>
      <c r="Q14499">
        <v>2</v>
      </c>
      <c r="R14499" t="s">
        <v>44927</v>
      </c>
      <c r="S14499" t="s">
        <v>45941</v>
      </c>
      <c r="T14499" t="s">
        <v>46889</v>
      </c>
      <c r="U14499" t="s">
        <v>58483</v>
      </c>
      <c r="W14499" t="s">
        <v>44814</v>
      </c>
      <c r="X14499" t="s">
        <v>44928</v>
      </c>
    </row>
    <row r="14500" spans="1:24">
      <c r="A14500">
        <f>HYPERLINK("https://www.philgeps.gov.ph/GEPSNONPILOT/Tender/SplashBidNoticeAbstractUI.aspx?menuIndex=3&amp;refID=7043701&amp;Result=3","7043701")</f>
        <v>0</v>
      </c>
      <c r="B14500" t="s">
        <v>2009</v>
      </c>
      <c r="C14500" t="s">
        <v>17408</v>
      </c>
      <c r="D14500" t="s">
        <v>18120</v>
      </c>
      <c r="E14500" t="s">
        <v>30723</v>
      </c>
      <c r="F14500" t="s">
        <v>31362</v>
      </c>
      <c r="G14500" t="s">
        <v>31369</v>
      </c>
      <c r="H14500" t="s">
        <v>31378</v>
      </c>
      <c r="I14500" t="s">
        <v>31386</v>
      </c>
      <c r="J14500" t="s">
        <v>31634</v>
      </c>
      <c r="K14500" t="s">
        <v>40679</v>
      </c>
      <c r="M14500" t="s">
        <v>43123</v>
      </c>
      <c r="N14500" t="s">
        <v>44905</v>
      </c>
      <c r="O14500" t="s">
        <v>44906</v>
      </c>
      <c r="P14500">
        <v>0</v>
      </c>
      <c r="Q14500">
        <v>0</v>
      </c>
      <c r="R14500" t="s">
        <v>44926</v>
      </c>
      <c r="S14500" t="s">
        <v>45939</v>
      </c>
      <c r="T14500" t="s">
        <v>46409</v>
      </c>
      <c r="U14500" t="s">
        <v>58484</v>
      </c>
      <c r="V14500" t="s">
        <v>60717</v>
      </c>
      <c r="W14500" t="s">
        <v>43123</v>
      </c>
      <c r="X14500" t="s">
        <v>44927</v>
      </c>
    </row>
    <row r="14501" spans="1:24">
      <c r="A14501">
        <f>HYPERLINK("https://www.philgeps.gov.ph/GEPSNONPILOT/Tender/SplashBidNoticeAbstractUI.aspx?menuIndex=3&amp;refID=7036376&amp;Result=3","7036376")</f>
        <v>0</v>
      </c>
      <c r="B14501" t="s">
        <v>916</v>
      </c>
      <c r="C14501" t="s">
        <v>17409</v>
      </c>
      <c r="D14501" t="s">
        <v>18101</v>
      </c>
      <c r="E14501" t="s">
        <v>30724</v>
      </c>
      <c r="F14501" t="s">
        <v>31362</v>
      </c>
      <c r="G14501" t="s">
        <v>31369</v>
      </c>
      <c r="H14501" t="s">
        <v>15799</v>
      </c>
      <c r="I14501" t="s">
        <v>31414</v>
      </c>
      <c r="J14501" t="s">
        <v>40283</v>
      </c>
      <c r="K14501" t="s">
        <v>40665</v>
      </c>
      <c r="M14501" t="s">
        <v>43804</v>
      </c>
      <c r="N14501" t="s">
        <v>44905</v>
      </c>
      <c r="O14501" t="s">
        <v>44906</v>
      </c>
      <c r="Q14501">
        <v>5</v>
      </c>
      <c r="R14501" t="s">
        <v>44926</v>
      </c>
      <c r="S14501" t="s">
        <v>45947</v>
      </c>
      <c r="T14501" t="s">
        <v>46409</v>
      </c>
      <c r="U14501" t="s">
        <v>58485</v>
      </c>
      <c r="V14501" t="s">
        <v>59978</v>
      </c>
      <c r="W14501" t="s">
        <v>43804</v>
      </c>
      <c r="X14501" t="s">
        <v>44931</v>
      </c>
    </row>
    <row r="14502" spans="1:24">
      <c r="A14502">
        <f>HYPERLINK("https://www.philgeps.gov.ph/GEPSNONPILOT/Tender/SplashBidNoticeAbstractUI.aspx?menuIndex=3&amp;refID=7033145&amp;Result=3","7033145")</f>
        <v>0</v>
      </c>
      <c r="B14502" t="s">
        <v>916</v>
      </c>
      <c r="C14502" t="s">
        <v>17410</v>
      </c>
      <c r="D14502" t="s">
        <v>18101</v>
      </c>
      <c r="E14502" t="s">
        <v>30725</v>
      </c>
      <c r="F14502" t="s">
        <v>31362</v>
      </c>
      <c r="G14502" t="s">
        <v>31369</v>
      </c>
      <c r="H14502" t="s">
        <v>15799</v>
      </c>
      <c r="I14502" t="s">
        <v>31387</v>
      </c>
      <c r="J14502" t="s">
        <v>40284</v>
      </c>
      <c r="K14502" t="s">
        <v>40665</v>
      </c>
      <c r="M14502" t="s">
        <v>43804</v>
      </c>
      <c r="N14502" t="s">
        <v>44905</v>
      </c>
      <c r="O14502" t="s">
        <v>44906</v>
      </c>
      <c r="Q14502">
        <v>1</v>
      </c>
      <c r="R14502" t="s">
        <v>44926</v>
      </c>
      <c r="S14502" t="s">
        <v>45948</v>
      </c>
      <c r="T14502" t="s">
        <v>46409</v>
      </c>
      <c r="U14502" t="s">
        <v>58486</v>
      </c>
      <c r="V14502" t="s">
        <v>59978</v>
      </c>
      <c r="W14502" t="s">
        <v>43804</v>
      </c>
      <c r="X14502" t="s">
        <v>44932</v>
      </c>
    </row>
    <row r="14503" spans="1:24">
      <c r="A14503">
        <f>HYPERLINK("https://www.philgeps.gov.ph/GEPSNONPILOT/Tender/SplashBidNoticeAbstractUI.aspx?menuIndex=3&amp;refID=7051896&amp;Result=3","7051896")</f>
        <v>0</v>
      </c>
      <c r="B14503" t="s">
        <v>3350</v>
      </c>
      <c r="C14503" t="s">
        <v>17411</v>
      </c>
      <c r="D14503" t="s">
        <v>18123</v>
      </c>
      <c r="E14503" t="s">
        <v>24173</v>
      </c>
      <c r="F14503" t="s">
        <v>31362</v>
      </c>
      <c r="G14503" t="s">
        <v>31369</v>
      </c>
      <c r="H14503" t="s">
        <v>31378</v>
      </c>
      <c r="I14503" t="s">
        <v>31386</v>
      </c>
      <c r="J14503" t="s">
        <v>40285</v>
      </c>
      <c r="K14503" t="s">
        <v>40877</v>
      </c>
      <c r="M14503" t="s">
        <v>44648</v>
      </c>
      <c r="N14503" t="s">
        <v>44905</v>
      </c>
      <c r="O14503" t="s">
        <v>44906</v>
      </c>
      <c r="P14503">
        <v>0</v>
      </c>
      <c r="Q14503">
        <v>0</v>
      </c>
      <c r="R14503" t="s">
        <v>44922</v>
      </c>
      <c r="S14503" t="s">
        <v>45639</v>
      </c>
      <c r="T14503" t="s">
        <v>46506</v>
      </c>
      <c r="U14503" t="s">
        <v>57566</v>
      </c>
      <c r="W14503" t="s">
        <v>44648</v>
      </c>
      <c r="X14503" t="s">
        <v>44923</v>
      </c>
    </row>
    <row r="14504" spans="1:24">
      <c r="A14504">
        <f>HYPERLINK("https://www.philgeps.gov.ph/GEPSNONPILOT/Tender/SplashBidNoticeAbstractUI.aspx?menuIndex=3&amp;refID=7051817&amp;Result=3","7051817")</f>
        <v>0</v>
      </c>
      <c r="B14504" t="s">
        <v>3355</v>
      </c>
      <c r="C14504" t="s">
        <v>17412</v>
      </c>
      <c r="D14504" t="s">
        <v>18134</v>
      </c>
      <c r="E14504" t="s">
        <v>30726</v>
      </c>
      <c r="F14504" t="s">
        <v>31362</v>
      </c>
      <c r="G14504" t="s">
        <v>31369</v>
      </c>
      <c r="H14504" t="s">
        <v>15799</v>
      </c>
      <c r="I14504" t="s">
        <v>4283</v>
      </c>
      <c r="J14504" t="s">
        <v>40286</v>
      </c>
      <c r="K14504" t="s">
        <v>40665</v>
      </c>
      <c r="M14504" t="s">
        <v>44654</v>
      </c>
      <c r="N14504" t="s">
        <v>44905</v>
      </c>
      <c r="O14504" t="s">
        <v>44906</v>
      </c>
      <c r="P14504">
        <v>0</v>
      </c>
      <c r="Q14504">
        <v>4</v>
      </c>
      <c r="R14504" t="s">
        <v>44922</v>
      </c>
      <c r="S14504" t="s">
        <v>45639</v>
      </c>
      <c r="T14504" t="s">
        <v>46435</v>
      </c>
      <c r="U14504" t="s">
        <v>58487</v>
      </c>
      <c r="W14504" t="s">
        <v>44654</v>
      </c>
      <c r="X14504" t="s">
        <v>44923</v>
      </c>
    </row>
    <row r="14505" spans="1:24">
      <c r="A14505">
        <f>HYPERLINK("https://www.philgeps.gov.ph/GEPSNONPILOT/Tender/SplashBidNoticeAbstractUI.aspx?menuIndex=3&amp;refID=7051740&amp;Result=3","7051740")</f>
        <v>0</v>
      </c>
      <c r="B14505" t="s">
        <v>3475</v>
      </c>
      <c r="C14505" t="s">
        <v>17413</v>
      </c>
      <c r="D14505" t="s">
        <v>18115</v>
      </c>
      <c r="E14505" t="s">
        <v>24770</v>
      </c>
      <c r="F14505" t="s">
        <v>31363</v>
      </c>
      <c r="G14505" t="s">
        <v>31369</v>
      </c>
      <c r="H14505" t="s">
        <v>31378</v>
      </c>
      <c r="I14505" t="s">
        <v>3815</v>
      </c>
      <c r="J14505" t="s">
        <v>31586</v>
      </c>
      <c r="K14505" t="s">
        <v>40676</v>
      </c>
      <c r="M14505" t="s">
        <v>44815</v>
      </c>
      <c r="N14505" t="s">
        <v>44905</v>
      </c>
      <c r="O14505" t="s">
        <v>44906</v>
      </c>
      <c r="P14505">
        <v>0</v>
      </c>
      <c r="Q14505">
        <v>4</v>
      </c>
      <c r="R14505" t="s">
        <v>44922</v>
      </c>
      <c r="S14505" t="s">
        <v>45639</v>
      </c>
      <c r="T14505" t="s">
        <v>46549</v>
      </c>
      <c r="U14505" t="s">
        <v>58488</v>
      </c>
      <c r="W14505" t="s">
        <v>44815</v>
      </c>
      <c r="X14505" t="s">
        <v>44923</v>
      </c>
    </row>
    <row r="14506" spans="1:24">
      <c r="A14506">
        <f>HYPERLINK("https://www.philgeps.gov.ph/GEPSNONPILOT/Tender/SplashBidNoticeAbstractUI.aspx?menuIndex=3&amp;refID=7051734&amp;Result=3","7051734")</f>
        <v>0</v>
      </c>
      <c r="B14506" t="s">
        <v>461</v>
      </c>
      <c r="C14506" t="s">
        <v>17414</v>
      </c>
      <c r="D14506" t="s">
        <v>18112</v>
      </c>
      <c r="E14506" t="s">
        <v>30727</v>
      </c>
      <c r="F14506" t="s">
        <v>31362</v>
      </c>
      <c r="G14506" t="s">
        <v>31369</v>
      </c>
      <c r="H14506" t="s">
        <v>15799</v>
      </c>
      <c r="I14506" t="s">
        <v>7188</v>
      </c>
      <c r="J14506" t="s">
        <v>34497</v>
      </c>
      <c r="K14506" t="s">
        <v>40665</v>
      </c>
      <c r="M14506" t="s">
        <v>44584</v>
      </c>
      <c r="N14506" t="s">
        <v>44905</v>
      </c>
      <c r="O14506" t="s">
        <v>44906</v>
      </c>
      <c r="Q14506">
        <v>7</v>
      </c>
      <c r="R14506" t="s">
        <v>44922</v>
      </c>
      <c r="S14506" t="s">
        <v>45949</v>
      </c>
      <c r="T14506" t="s">
        <v>46549</v>
      </c>
      <c r="U14506" t="s">
        <v>58489</v>
      </c>
      <c r="V14506" t="s">
        <v>60475</v>
      </c>
      <c r="W14506" t="s">
        <v>44584</v>
      </c>
      <c r="X14506" t="s">
        <v>44923</v>
      </c>
    </row>
    <row r="14507" spans="1:24">
      <c r="A14507">
        <f>HYPERLINK("https://www.philgeps.gov.ph/GEPSNONPILOT/Tender/SplashBidNoticeAbstractUI.aspx?menuIndex=3&amp;refID=7051732&amp;Result=3","7051732")</f>
        <v>0</v>
      </c>
      <c r="B14507" t="s">
        <v>1170</v>
      </c>
      <c r="C14507" t="s">
        <v>17415</v>
      </c>
      <c r="D14507" t="s">
        <v>18138</v>
      </c>
      <c r="E14507" t="s">
        <v>22040</v>
      </c>
      <c r="F14507" t="s">
        <v>31362</v>
      </c>
      <c r="G14507" t="s">
        <v>31369</v>
      </c>
      <c r="H14507" t="s">
        <v>31378</v>
      </c>
      <c r="I14507" t="s">
        <v>31386</v>
      </c>
      <c r="J14507" t="s">
        <v>36067</v>
      </c>
      <c r="K14507" t="s">
        <v>40883</v>
      </c>
      <c r="M14507" t="s">
        <v>42180</v>
      </c>
      <c r="N14507" t="s">
        <v>44905</v>
      </c>
      <c r="O14507" t="s">
        <v>44906</v>
      </c>
      <c r="P14507">
        <v>0</v>
      </c>
      <c r="Q14507">
        <v>5</v>
      </c>
      <c r="R14507" t="s">
        <v>44922</v>
      </c>
      <c r="S14507" t="s">
        <v>45639</v>
      </c>
      <c r="T14507" t="s">
        <v>46397</v>
      </c>
      <c r="U14507" t="s">
        <v>57552</v>
      </c>
      <c r="W14507" t="s">
        <v>42180</v>
      </c>
      <c r="X14507" t="s">
        <v>44923</v>
      </c>
    </row>
    <row r="14508" spans="1:24">
      <c r="A14508">
        <f>HYPERLINK("https://www.philgeps.gov.ph/GEPSNONPILOT/Tender/SplashBidNoticeAbstractUI.aspx?menuIndex=3&amp;refID=7044251&amp;Result=3","7044251")</f>
        <v>0</v>
      </c>
      <c r="B14508" t="s">
        <v>2460</v>
      </c>
      <c r="C14508" t="s">
        <v>17416</v>
      </c>
      <c r="D14508" t="s">
        <v>18172</v>
      </c>
      <c r="E14508" t="s">
        <v>30728</v>
      </c>
      <c r="F14508" t="s">
        <v>31362</v>
      </c>
      <c r="G14508" t="s">
        <v>31369</v>
      </c>
      <c r="H14508" t="s">
        <v>15799</v>
      </c>
      <c r="I14508" t="s">
        <v>31422</v>
      </c>
      <c r="J14508" t="s">
        <v>31724</v>
      </c>
      <c r="K14508" t="s">
        <v>40666</v>
      </c>
      <c r="M14508" t="s">
        <v>43620</v>
      </c>
      <c r="N14508" t="s">
        <v>44905</v>
      </c>
      <c r="O14508" t="s">
        <v>44906</v>
      </c>
      <c r="P14508">
        <v>0</v>
      </c>
      <c r="Q14508">
        <v>0</v>
      </c>
      <c r="R14508" t="s">
        <v>44925</v>
      </c>
      <c r="S14508" t="s">
        <v>45891</v>
      </c>
      <c r="T14508" t="s">
        <v>46410</v>
      </c>
      <c r="U14508" t="s">
        <v>58490</v>
      </c>
      <c r="W14508" t="s">
        <v>43620</v>
      </c>
      <c r="X14508" t="s">
        <v>44926</v>
      </c>
    </row>
    <row r="14509" spans="1:24">
      <c r="A14509">
        <f>HYPERLINK("https://www.philgeps.gov.ph/GEPSNONPILOT/Tender/SplashBidNoticeAbstractUI.aspx?menuIndex=3&amp;refID=7044275&amp;Result=3","7044275")</f>
        <v>0</v>
      </c>
      <c r="B14509" t="s">
        <v>3214</v>
      </c>
      <c r="C14509" t="s">
        <v>17417</v>
      </c>
      <c r="D14509" t="s">
        <v>18160</v>
      </c>
      <c r="E14509" t="s">
        <v>30729</v>
      </c>
      <c r="F14509" t="s">
        <v>31362</v>
      </c>
      <c r="G14509" t="s">
        <v>31369</v>
      </c>
      <c r="H14509" t="s">
        <v>31378</v>
      </c>
      <c r="I14509" t="s">
        <v>31386</v>
      </c>
      <c r="J14509" t="s">
        <v>40287</v>
      </c>
      <c r="K14509" t="s">
        <v>40662</v>
      </c>
      <c r="M14509" t="s">
        <v>44488</v>
      </c>
      <c r="N14509" t="s">
        <v>44905</v>
      </c>
      <c r="O14509" t="s">
        <v>44906</v>
      </c>
      <c r="P14509">
        <v>0</v>
      </c>
      <c r="Q14509">
        <v>0</v>
      </c>
      <c r="R14509" t="s">
        <v>44925</v>
      </c>
      <c r="S14509" t="s">
        <v>45891</v>
      </c>
      <c r="T14509" t="s">
        <v>46409</v>
      </c>
      <c r="U14509" t="s">
        <v>58491</v>
      </c>
      <c r="W14509" t="s">
        <v>44488</v>
      </c>
      <c r="X14509" t="s">
        <v>44926</v>
      </c>
    </row>
    <row r="14510" spans="1:24">
      <c r="A14510">
        <f>HYPERLINK("https://www.philgeps.gov.ph/GEPSNONPILOT/Tender/SplashBidNoticeAbstractUI.aspx?menuIndex=3&amp;refID=7051642&amp;Result=3","7051642")</f>
        <v>0</v>
      </c>
      <c r="B14510" t="s">
        <v>2438</v>
      </c>
      <c r="C14510" t="s">
        <v>17418</v>
      </c>
      <c r="D14510" t="s">
        <v>18109</v>
      </c>
      <c r="E14510" t="s">
        <v>30730</v>
      </c>
      <c r="F14510" t="s">
        <v>31362</v>
      </c>
      <c r="G14510" t="s">
        <v>31369</v>
      </c>
      <c r="H14510" t="s">
        <v>31378</v>
      </c>
      <c r="I14510" t="s">
        <v>31386</v>
      </c>
      <c r="J14510" t="s">
        <v>36584</v>
      </c>
      <c r="K14510" t="s">
        <v>40662</v>
      </c>
      <c r="L14510" t="s">
        <v>2438</v>
      </c>
      <c r="M14510" t="s">
        <v>43597</v>
      </c>
      <c r="N14510" t="s">
        <v>44905</v>
      </c>
      <c r="O14510" t="s">
        <v>44906</v>
      </c>
      <c r="Q14510">
        <v>1</v>
      </c>
      <c r="R14510" t="s">
        <v>44922</v>
      </c>
      <c r="S14510" t="s">
        <v>45629</v>
      </c>
      <c r="T14510" t="s">
        <v>46429</v>
      </c>
      <c r="U14510" t="s">
        <v>57537</v>
      </c>
      <c r="V14510" t="s">
        <v>59869</v>
      </c>
      <c r="W14510" t="s">
        <v>43597</v>
      </c>
      <c r="X14510" t="s">
        <v>44923</v>
      </c>
    </row>
    <row r="14511" spans="1:24">
      <c r="A14511">
        <f>HYPERLINK("https://www.philgeps.gov.ph/GEPSNONPILOT/Tender/SplashBidNoticeAbstractUI.aspx?menuIndex=3&amp;refID=7044261&amp;Result=3","7044261")</f>
        <v>0</v>
      </c>
      <c r="B14511" t="s">
        <v>3469</v>
      </c>
      <c r="C14511" t="s">
        <v>17419</v>
      </c>
      <c r="D14511" t="s">
        <v>18133</v>
      </c>
      <c r="E14511" t="s">
        <v>30731</v>
      </c>
      <c r="F14511" t="s">
        <v>31362</v>
      </c>
      <c r="G14511" t="s">
        <v>31369</v>
      </c>
      <c r="H14511" t="s">
        <v>31378</v>
      </c>
      <c r="I14511" t="s">
        <v>31386</v>
      </c>
      <c r="J14511" t="s">
        <v>40288</v>
      </c>
      <c r="K14511" t="s">
        <v>40722</v>
      </c>
      <c r="M14511" t="s">
        <v>44807</v>
      </c>
      <c r="N14511" t="s">
        <v>44905</v>
      </c>
      <c r="O14511" t="s">
        <v>44906</v>
      </c>
      <c r="P14511">
        <v>0</v>
      </c>
      <c r="Q14511">
        <v>2</v>
      </c>
      <c r="R14511" t="s">
        <v>44925</v>
      </c>
      <c r="S14511" t="s">
        <v>45891</v>
      </c>
      <c r="T14511" t="s">
        <v>46410</v>
      </c>
      <c r="U14511" t="s">
        <v>58492</v>
      </c>
      <c r="W14511" t="s">
        <v>44807</v>
      </c>
      <c r="X14511" t="s">
        <v>44926</v>
      </c>
    </row>
    <row r="14512" spans="1:24">
      <c r="A14512">
        <f>HYPERLINK("https://www.philgeps.gov.ph/GEPSNONPILOT/Tender/SplashBidNoticeAbstractUI.aspx?menuIndex=3&amp;refID=7051638&amp;Result=3","7051638")</f>
        <v>0</v>
      </c>
      <c r="B14512" t="s">
        <v>51</v>
      </c>
      <c r="C14512" t="s">
        <v>17420</v>
      </c>
      <c r="D14512" t="s">
        <v>18118</v>
      </c>
      <c r="E14512" t="s">
        <v>10823</v>
      </c>
      <c r="F14512" t="s">
        <v>31362</v>
      </c>
      <c r="G14512" t="s">
        <v>31369</v>
      </c>
      <c r="H14512" t="s">
        <v>15799</v>
      </c>
      <c r="I14512" t="s">
        <v>3815</v>
      </c>
      <c r="J14512" t="s">
        <v>40289</v>
      </c>
      <c r="K14512" t="s">
        <v>40666</v>
      </c>
      <c r="M14512" t="s">
        <v>40985</v>
      </c>
      <c r="N14512" t="s">
        <v>44905</v>
      </c>
      <c r="O14512" t="s">
        <v>44906</v>
      </c>
      <c r="P14512">
        <v>0</v>
      </c>
      <c r="Q14512">
        <v>4</v>
      </c>
      <c r="R14512" t="s">
        <v>44922</v>
      </c>
      <c r="S14512" t="s">
        <v>45639</v>
      </c>
      <c r="T14512" t="s">
        <v>46410</v>
      </c>
      <c r="U14512" t="s">
        <v>58493</v>
      </c>
      <c r="W14512" t="s">
        <v>40985</v>
      </c>
      <c r="X14512" t="s">
        <v>44923</v>
      </c>
    </row>
    <row r="14513" spans="1:24">
      <c r="A14513">
        <f>HYPERLINK("https://www.philgeps.gov.ph/GEPSNONPILOT/Tender/SplashBidNoticeAbstractUI.aspx?menuIndex=3&amp;refID=7051723&amp;Result=3","7051723")</f>
        <v>0</v>
      </c>
      <c r="B14513" t="s">
        <v>2438</v>
      </c>
      <c r="C14513" t="s">
        <v>17421</v>
      </c>
      <c r="D14513" t="s">
        <v>18109</v>
      </c>
      <c r="E14513" t="s">
        <v>30732</v>
      </c>
      <c r="F14513" t="s">
        <v>31362</v>
      </c>
      <c r="G14513" t="s">
        <v>31369</v>
      </c>
      <c r="H14513" t="s">
        <v>31378</v>
      </c>
      <c r="I14513" t="s">
        <v>31386</v>
      </c>
      <c r="J14513" t="s">
        <v>36620</v>
      </c>
      <c r="K14513" t="s">
        <v>40662</v>
      </c>
      <c r="L14513" t="s">
        <v>2438</v>
      </c>
      <c r="M14513" t="s">
        <v>43597</v>
      </c>
      <c r="N14513" t="s">
        <v>44905</v>
      </c>
      <c r="O14513" t="s">
        <v>44906</v>
      </c>
      <c r="Q14513">
        <v>2</v>
      </c>
      <c r="R14513" t="s">
        <v>44922</v>
      </c>
      <c r="S14513" t="s">
        <v>45576</v>
      </c>
      <c r="T14513" t="s">
        <v>46429</v>
      </c>
      <c r="U14513" t="s">
        <v>57537</v>
      </c>
      <c r="V14513" t="s">
        <v>59869</v>
      </c>
      <c r="W14513" t="s">
        <v>43597</v>
      </c>
      <c r="X14513" t="s">
        <v>44923</v>
      </c>
    </row>
    <row r="14514" spans="1:24">
      <c r="A14514">
        <f>HYPERLINK("https://www.philgeps.gov.ph/GEPSNONPILOT/Tender/SplashBidNoticeAbstractUI.aspx?menuIndex=3&amp;refID=7051907&amp;Result=3","7051907")</f>
        <v>0</v>
      </c>
      <c r="B14514" t="s">
        <v>1853</v>
      </c>
      <c r="C14514" t="s">
        <v>17422</v>
      </c>
      <c r="D14514" t="s">
        <v>18133</v>
      </c>
      <c r="E14514" t="s">
        <v>30733</v>
      </c>
      <c r="F14514" t="s">
        <v>31362</v>
      </c>
      <c r="G14514" t="s">
        <v>31369</v>
      </c>
      <c r="H14514" t="s">
        <v>31378</v>
      </c>
      <c r="I14514" t="s">
        <v>31386</v>
      </c>
      <c r="J14514" t="s">
        <v>40290</v>
      </c>
      <c r="K14514" t="s">
        <v>40678</v>
      </c>
      <c r="M14514" t="s">
        <v>42943</v>
      </c>
      <c r="N14514" t="s">
        <v>44905</v>
      </c>
      <c r="O14514" t="s">
        <v>44906</v>
      </c>
      <c r="P14514">
        <v>0</v>
      </c>
      <c r="Q14514">
        <v>0</v>
      </c>
      <c r="R14514" t="s">
        <v>44922</v>
      </c>
      <c r="S14514" t="s">
        <v>45639</v>
      </c>
      <c r="T14514" t="s">
        <v>46400</v>
      </c>
      <c r="U14514" t="s">
        <v>57613</v>
      </c>
      <c r="V14514" t="s">
        <v>60718</v>
      </c>
      <c r="W14514" t="s">
        <v>42943</v>
      </c>
      <c r="X14514" t="s">
        <v>44923</v>
      </c>
    </row>
    <row r="14515" spans="1:24">
      <c r="A14515">
        <f>HYPERLINK("https://www.philgeps.gov.ph/GEPSNONPILOT/Tender/SplashBidNoticeAbstractUI.aspx?menuIndex=3&amp;refID=7051625&amp;Result=3","7051625")</f>
        <v>0</v>
      </c>
      <c r="B14515" t="s">
        <v>2194</v>
      </c>
      <c r="C14515" t="s">
        <v>17423</v>
      </c>
      <c r="D14515" t="s">
        <v>18154</v>
      </c>
      <c r="E14515" t="s">
        <v>30734</v>
      </c>
      <c r="F14515" t="s">
        <v>31362</v>
      </c>
      <c r="G14515" t="s">
        <v>31369</v>
      </c>
      <c r="H14515" t="s">
        <v>15799</v>
      </c>
      <c r="I14515" t="s">
        <v>3815</v>
      </c>
      <c r="J14515" t="s">
        <v>40291</v>
      </c>
      <c r="K14515" t="s">
        <v>40661</v>
      </c>
      <c r="M14515" t="s">
        <v>43325</v>
      </c>
      <c r="N14515" t="s">
        <v>44905</v>
      </c>
      <c r="O14515" t="s">
        <v>44906</v>
      </c>
      <c r="P14515">
        <v>0</v>
      </c>
      <c r="Q14515">
        <v>0</v>
      </c>
      <c r="R14515" t="s">
        <v>44922</v>
      </c>
      <c r="S14515" t="s">
        <v>45639</v>
      </c>
      <c r="T14515" t="s">
        <v>46507</v>
      </c>
      <c r="U14515" t="s">
        <v>58494</v>
      </c>
      <c r="W14515" t="s">
        <v>43325</v>
      </c>
      <c r="X14515" t="s">
        <v>44923</v>
      </c>
    </row>
    <row r="14516" spans="1:24">
      <c r="A14516">
        <f>HYPERLINK("https://www.philgeps.gov.ph/GEPSNONPILOT/Tender/SplashBidNoticeAbstractUI.aspx?menuIndex=3&amp;refID=7051637&amp;Result=3","7051637")</f>
        <v>0</v>
      </c>
      <c r="B14516" t="s">
        <v>362</v>
      </c>
      <c r="C14516" t="s">
        <v>17424</v>
      </c>
      <c r="D14516" t="s">
        <v>18103</v>
      </c>
      <c r="E14516" t="s">
        <v>30735</v>
      </c>
      <c r="F14516" t="s">
        <v>31362</v>
      </c>
      <c r="G14516" t="s">
        <v>31369</v>
      </c>
      <c r="H14516" t="s">
        <v>31378</v>
      </c>
      <c r="I14516" t="s">
        <v>31386</v>
      </c>
      <c r="J14516" t="s">
        <v>33046</v>
      </c>
      <c r="K14516" t="s">
        <v>40686</v>
      </c>
      <c r="M14516" t="s">
        <v>44522</v>
      </c>
      <c r="N14516" t="s">
        <v>44905</v>
      </c>
      <c r="O14516" t="s">
        <v>44906</v>
      </c>
      <c r="P14516">
        <v>0</v>
      </c>
      <c r="Q14516">
        <v>23</v>
      </c>
      <c r="R14516" t="s">
        <v>44922</v>
      </c>
      <c r="S14516" t="s">
        <v>45639</v>
      </c>
      <c r="T14516" t="s">
        <v>46467</v>
      </c>
      <c r="U14516" t="s">
        <v>47543</v>
      </c>
      <c r="V14516" t="s">
        <v>60391</v>
      </c>
      <c r="W14516" t="s">
        <v>60886</v>
      </c>
      <c r="X14516" t="s">
        <v>44923</v>
      </c>
    </row>
    <row r="14517" spans="1:24">
      <c r="A14517">
        <f>HYPERLINK("https://www.philgeps.gov.ph/GEPSNONPILOT/Tender/SplashBidNoticeAbstractUI.aspx?menuIndex=3&amp;refID=7051534&amp;Result=3","7051534")</f>
        <v>0</v>
      </c>
      <c r="B14517" t="s">
        <v>2438</v>
      </c>
      <c r="C14517" t="s">
        <v>17425</v>
      </c>
      <c r="D14517" t="s">
        <v>18109</v>
      </c>
      <c r="E14517" t="s">
        <v>30736</v>
      </c>
      <c r="F14517" t="s">
        <v>31362</v>
      </c>
      <c r="G14517" t="s">
        <v>31369</v>
      </c>
      <c r="H14517" t="s">
        <v>31378</v>
      </c>
      <c r="I14517" t="s">
        <v>31386</v>
      </c>
      <c r="J14517" t="s">
        <v>36503</v>
      </c>
      <c r="K14517" t="s">
        <v>40662</v>
      </c>
      <c r="L14517" t="s">
        <v>2438</v>
      </c>
      <c r="M14517" t="s">
        <v>43597</v>
      </c>
      <c r="N14517" t="s">
        <v>44905</v>
      </c>
      <c r="O14517" t="s">
        <v>44906</v>
      </c>
      <c r="Q14517">
        <v>1</v>
      </c>
      <c r="R14517" t="s">
        <v>44922</v>
      </c>
      <c r="S14517" t="s">
        <v>45950</v>
      </c>
      <c r="T14517" t="s">
        <v>46429</v>
      </c>
      <c r="U14517" t="s">
        <v>57537</v>
      </c>
      <c r="V14517" t="s">
        <v>59869</v>
      </c>
      <c r="W14517" t="s">
        <v>43597</v>
      </c>
      <c r="X14517" t="s">
        <v>44923</v>
      </c>
    </row>
    <row r="14518" spans="1:24">
      <c r="A14518">
        <f>HYPERLINK("https://www.philgeps.gov.ph/GEPSNONPILOT/Tender/SplashBidNoticeAbstractUI.aspx?menuIndex=3&amp;refID=7051632&amp;Result=3","7051632")</f>
        <v>0</v>
      </c>
      <c r="B14518" t="s">
        <v>461</v>
      </c>
      <c r="C14518" t="s">
        <v>17426</v>
      </c>
      <c r="D14518" t="s">
        <v>18112</v>
      </c>
      <c r="E14518" t="s">
        <v>30737</v>
      </c>
      <c r="F14518" t="s">
        <v>31362</v>
      </c>
      <c r="G14518" t="s">
        <v>31369</v>
      </c>
      <c r="H14518" t="s">
        <v>15799</v>
      </c>
      <c r="I14518" t="s">
        <v>31392</v>
      </c>
      <c r="J14518" t="s">
        <v>34224</v>
      </c>
      <c r="K14518" t="s">
        <v>40665</v>
      </c>
      <c r="M14518" t="s">
        <v>44584</v>
      </c>
      <c r="N14518" t="s">
        <v>44905</v>
      </c>
      <c r="O14518" t="s">
        <v>44906</v>
      </c>
      <c r="Q14518">
        <v>10</v>
      </c>
      <c r="R14518" t="s">
        <v>44922</v>
      </c>
      <c r="S14518" t="s">
        <v>45951</v>
      </c>
      <c r="T14518" t="s">
        <v>46549</v>
      </c>
      <c r="U14518" t="s">
        <v>58495</v>
      </c>
      <c r="V14518" t="s">
        <v>60475</v>
      </c>
      <c r="W14518" t="s">
        <v>44584</v>
      </c>
      <c r="X14518" t="s">
        <v>44923</v>
      </c>
    </row>
    <row r="14519" spans="1:24">
      <c r="A14519">
        <f>HYPERLINK("https://www.philgeps.gov.ph/GEPSNONPILOT/Tender/SplashBidNoticeAbstractUI.aspx?menuIndex=3&amp;refID=7051729&amp;Result=3","7051729")</f>
        <v>0</v>
      </c>
      <c r="B14519" t="s">
        <v>362</v>
      </c>
      <c r="C14519" t="s">
        <v>17427</v>
      </c>
      <c r="D14519" t="s">
        <v>18103</v>
      </c>
      <c r="E14519" t="s">
        <v>30738</v>
      </c>
      <c r="F14519" t="s">
        <v>31362</v>
      </c>
      <c r="G14519" t="s">
        <v>31369</v>
      </c>
      <c r="H14519" t="s">
        <v>31378</v>
      </c>
      <c r="I14519" t="s">
        <v>31386</v>
      </c>
      <c r="J14519" t="s">
        <v>31615</v>
      </c>
      <c r="K14519" t="s">
        <v>40682</v>
      </c>
      <c r="M14519" t="s">
        <v>44522</v>
      </c>
      <c r="N14519" t="s">
        <v>44905</v>
      </c>
      <c r="O14519" t="s">
        <v>44906</v>
      </c>
      <c r="P14519">
        <v>0</v>
      </c>
      <c r="Q14519">
        <v>23</v>
      </c>
      <c r="R14519" t="s">
        <v>44922</v>
      </c>
      <c r="S14519" t="s">
        <v>45639</v>
      </c>
      <c r="T14519" t="s">
        <v>46467</v>
      </c>
      <c r="U14519" t="s">
        <v>47543</v>
      </c>
      <c r="V14519" t="s">
        <v>60391</v>
      </c>
      <c r="W14519" t="s">
        <v>60886</v>
      </c>
      <c r="X14519" t="s">
        <v>44923</v>
      </c>
    </row>
    <row r="14520" spans="1:24">
      <c r="A14520">
        <f>HYPERLINK("https://www.philgeps.gov.ph/GEPSNONPILOT/Tender/SplashBidNoticeAbstractUI.aspx?menuIndex=3&amp;refID=7051508&amp;Result=3","7051508")</f>
        <v>0</v>
      </c>
      <c r="B14520" t="s">
        <v>3257</v>
      </c>
      <c r="C14520" t="s">
        <v>17428</v>
      </c>
      <c r="D14520" t="s">
        <v>18136</v>
      </c>
      <c r="E14520" t="s">
        <v>30739</v>
      </c>
      <c r="F14520" t="s">
        <v>31362</v>
      </c>
      <c r="G14520" t="s">
        <v>31369</v>
      </c>
      <c r="H14520" t="s">
        <v>15799</v>
      </c>
      <c r="I14520" t="s">
        <v>31466</v>
      </c>
      <c r="J14520" t="s">
        <v>40292</v>
      </c>
      <c r="K14520" t="s">
        <v>40666</v>
      </c>
      <c r="M14520" t="s">
        <v>44537</v>
      </c>
      <c r="N14520" t="s">
        <v>44905</v>
      </c>
      <c r="O14520" t="s">
        <v>44906</v>
      </c>
      <c r="P14520">
        <v>0</v>
      </c>
      <c r="Q14520">
        <v>5</v>
      </c>
      <c r="R14520" t="s">
        <v>44922</v>
      </c>
      <c r="S14520" t="s">
        <v>45639</v>
      </c>
      <c r="T14520" t="s">
        <v>46410</v>
      </c>
      <c r="U14520" t="s">
        <v>58496</v>
      </c>
      <c r="W14520" t="s">
        <v>44537</v>
      </c>
      <c r="X14520" t="s">
        <v>44923</v>
      </c>
    </row>
    <row r="14521" spans="1:24">
      <c r="A14521">
        <f>HYPERLINK("https://www.philgeps.gov.ph/GEPSNONPILOT/Tender/SplashBidNoticeAbstractUI.aspx?menuIndex=3&amp;refID=7051465&amp;Result=3","7051465")</f>
        <v>0</v>
      </c>
      <c r="B14521" t="s">
        <v>692</v>
      </c>
      <c r="C14521" t="s">
        <v>17429</v>
      </c>
      <c r="D14521" t="s">
        <v>18158</v>
      </c>
      <c r="E14521" t="s">
        <v>27243</v>
      </c>
      <c r="F14521" t="s">
        <v>31362</v>
      </c>
      <c r="G14521" t="s">
        <v>31369</v>
      </c>
      <c r="H14521" t="s">
        <v>15799</v>
      </c>
      <c r="I14521" t="s">
        <v>31396</v>
      </c>
      <c r="J14521" t="s">
        <v>40293</v>
      </c>
      <c r="K14521" t="s">
        <v>40682</v>
      </c>
      <c r="M14521" t="s">
        <v>41655</v>
      </c>
      <c r="N14521" t="s">
        <v>44905</v>
      </c>
      <c r="O14521" t="s">
        <v>44906</v>
      </c>
      <c r="P14521">
        <v>0</v>
      </c>
      <c r="Q14521">
        <v>24</v>
      </c>
      <c r="R14521" t="s">
        <v>44922</v>
      </c>
      <c r="S14521" t="s">
        <v>45639</v>
      </c>
      <c r="T14521" t="s">
        <v>46867</v>
      </c>
      <c r="U14521" t="s">
        <v>58497</v>
      </c>
      <c r="W14521" t="s">
        <v>41655</v>
      </c>
      <c r="X14521" t="s">
        <v>44923</v>
      </c>
    </row>
    <row r="14522" spans="1:24">
      <c r="A14522">
        <f>HYPERLINK("https://www.philgeps.gov.ph/GEPSNONPILOT/Tender/SplashBidNoticeAbstractUI.aspx?menuIndex=3&amp;refID=7051461&amp;Result=3","7051461")</f>
        <v>0</v>
      </c>
      <c r="B14522" t="s">
        <v>3257</v>
      </c>
      <c r="C14522" t="s">
        <v>17430</v>
      </c>
      <c r="D14522" t="s">
        <v>18136</v>
      </c>
      <c r="E14522" t="s">
        <v>30740</v>
      </c>
      <c r="F14522" t="s">
        <v>31362</v>
      </c>
      <c r="G14522" t="s">
        <v>31369</v>
      </c>
      <c r="H14522" t="s">
        <v>15799</v>
      </c>
      <c r="I14522" t="s">
        <v>31466</v>
      </c>
      <c r="J14522" t="s">
        <v>31665</v>
      </c>
      <c r="K14522" t="s">
        <v>40666</v>
      </c>
      <c r="M14522" t="s">
        <v>44537</v>
      </c>
      <c r="N14522" t="s">
        <v>44905</v>
      </c>
      <c r="O14522" t="s">
        <v>44906</v>
      </c>
      <c r="P14522">
        <v>0</v>
      </c>
      <c r="Q14522">
        <v>6</v>
      </c>
      <c r="R14522" t="s">
        <v>44922</v>
      </c>
      <c r="S14522" t="s">
        <v>45639</v>
      </c>
      <c r="T14522" t="s">
        <v>46410</v>
      </c>
      <c r="U14522" t="s">
        <v>58498</v>
      </c>
      <c r="W14522" t="s">
        <v>44537</v>
      </c>
      <c r="X14522" t="s">
        <v>44923</v>
      </c>
    </row>
    <row r="14523" spans="1:24">
      <c r="A14523">
        <f>HYPERLINK("https://www.philgeps.gov.ph/GEPSNONPILOT/Tender/SplashBidNoticeAbstractUI.aspx?menuIndex=3&amp;refID=7051511&amp;Result=3","7051511")</f>
        <v>0</v>
      </c>
      <c r="B14523" t="s">
        <v>2438</v>
      </c>
      <c r="C14523" t="s">
        <v>17431</v>
      </c>
      <c r="D14523" t="s">
        <v>18109</v>
      </c>
      <c r="E14523" t="s">
        <v>30741</v>
      </c>
      <c r="F14523" t="s">
        <v>31362</v>
      </c>
      <c r="G14523" t="s">
        <v>31369</v>
      </c>
      <c r="H14523" t="s">
        <v>31378</v>
      </c>
      <c r="I14523" t="s">
        <v>31386</v>
      </c>
      <c r="J14523" t="s">
        <v>40294</v>
      </c>
      <c r="K14523" t="s">
        <v>40662</v>
      </c>
      <c r="L14523" t="s">
        <v>2438</v>
      </c>
      <c r="M14523" t="s">
        <v>43597</v>
      </c>
      <c r="N14523" t="s">
        <v>44905</v>
      </c>
      <c r="O14523" t="s">
        <v>44906</v>
      </c>
      <c r="Q14523">
        <v>1</v>
      </c>
      <c r="R14523" t="s">
        <v>44922</v>
      </c>
      <c r="S14523" t="s">
        <v>45952</v>
      </c>
      <c r="T14523" t="s">
        <v>46429</v>
      </c>
      <c r="U14523" t="s">
        <v>57537</v>
      </c>
      <c r="V14523" t="s">
        <v>59869</v>
      </c>
      <c r="W14523" t="s">
        <v>43597</v>
      </c>
      <c r="X14523" t="s">
        <v>44923</v>
      </c>
    </row>
    <row r="14524" spans="1:24">
      <c r="A14524">
        <f>HYPERLINK("https://www.philgeps.gov.ph/GEPSNONPILOT/Tender/SplashBidNoticeAbstractUI.aspx?menuIndex=3&amp;refID=7051926&amp;Result=3","7051926")</f>
        <v>0</v>
      </c>
      <c r="B14524" t="s">
        <v>2167</v>
      </c>
      <c r="C14524" t="s">
        <v>17432</v>
      </c>
      <c r="D14524" t="s">
        <v>18134</v>
      </c>
      <c r="E14524" t="s">
        <v>30742</v>
      </c>
      <c r="F14524" t="s">
        <v>31362</v>
      </c>
      <c r="G14524" t="s">
        <v>31369</v>
      </c>
      <c r="H14524" t="s">
        <v>15799</v>
      </c>
      <c r="I14524" t="s">
        <v>31422</v>
      </c>
      <c r="J14524" t="s">
        <v>32974</v>
      </c>
      <c r="K14524" t="s">
        <v>40666</v>
      </c>
      <c r="M14524" t="s">
        <v>43962</v>
      </c>
      <c r="N14524" t="s">
        <v>44905</v>
      </c>
      <c r="O14524" t="s">
        <v>44906</v>
      </c>
      <c r="P14524">
        <v>0</v>
      </c>
      <c r="Q14524">
        <v>7</v>
      </c>
      <c r="R14524" t="s">
        <v>44922</v>
      </c>
      <c r="S14524" t="s">
        <v>45639</v>
      </c>
      <c r="T14524" t="s">
        <v>46406</v>
      </c>
      <c r="U14524" t="s">
        <v>54623</v>
      </c>
      <c r="W14524" t="s">
        <v>43962</v>
      </c>
      <c r="X14524" t="s">
        <v>44923</v>
      </c>
    </row>
    <row r="14525" spans="1:24">
      <c r="A14525">
        <f>HYPERLINK("https://www.philgeps.gov.ph/GEPSNONPILOT/Tender/SplashBidNoticeAbstractUI.aspx?menuIndex=3&amp;refID=7050661&amp;Result=3","7050661")</f>
        <v>0</v>
      </c>
      <c r="B14525" t="s">
        <v>263</v>
      </c>
      <c r="C14525" t="s">
        <v>17433</v>
      </c>
      <c r="D14525" t="s">
        <v>18109</v>
      </c>
      <c r="E14525" t="s">
        <v>30743</v>
      </c>
      <c r="F14525" t="s">
        <v>31362</v>
      </c>
      <c r="G14525" t="s">
        <v>31369</v>
      </c>
      <c r="H14525" t="s">
        <v>15799</v>
      </c>
      <c r="I14525" t="s">
        <v>31413</v>
      </c>
      <c r="J14525" t="s">
        <v>40295</v>
      </c>
      <c r="K14525" t="s">
        <v>40662</v>
      </c>
      <c r="M14525" t="s">
        <v>41204</v>
      </c>
      <c r="N14525" t="s">
        <v>44905</v>
      </c>
      <c r="O14525" t="s">
        <v>44906</v>
      </c>
      <c r="P14525">
        <v>0</v>
      </c>
      <c r="Q14525">
        <v>3</v>
      </c>
      <c r="R14525" t="s">
        <v>44922</v>
      </c>
      <c r="S14525" t="s">
        <v>45639</v>
      </c>
      <c r="T14525" t="s">
        <v>46560</v>
      </c>
      <c r="U14525" t="s">
        <v>58499</v>
      </c>
      <c r="W14525" t="s">
        <v>41204</v>
      </c>
      <c r="X14525" t="s">
        <v>44923</v>
      </c>
    </row>
    <row r="14526" spans="1:24">
      <c r="A14526">
        <f>HYPERLINK("https://www.philgeps.gov.ph/GEPSNONPILOT/Tender/SplashBidNoticeAbstractUI.aspx?menuIndex=3&amp;refID=7051507&amp;Result=3","7051507")</f>
        <v>0</v>
      </c>
      <c r="B14526" t="s">
        <v>573</v>
      </c>
      <c r="C14526" t="s">
        <v>17434</v>
      </c>
      <c r="D14526" t="s">
        <v>18105</v>
      </c>
      <c r="E14526" t="s">
        <v>30744</v>
      </c>
      <c r="F14526" t="s">
        <v>31362</v>
      </c>
      <c r="G14526" t="s">
        <v>31369</v>
      </c>
      <c r="H14526" t="s">
        <v>31378</v>
      </c>
      <c r="I14526" t="s">
        <v>31386</v>
      </c>
      <c r="J14526" t="s">
        <v>32549</v>
      </c>
      <c r="K14526" t="s">
        <v>40718</v>
      </c>
      <c r="M14526" t="s">
        <v>41529</v>
      </c>
      <c r="N14526" t="s">
        <v>44905</v>
      </c>
      <c r="O14526" t="s">
        <v>44906</v>
      </c>
      <c r="P14526">
        <v>0</v>
      </c>
      <c r="Q14526">
        <v>2</v>
      </c>
      <c r="R14526" t="s">
        <v>44922</v>
      </c>
      <c r="S14526" t="s">
        <v>45639</v>
      </c>
      <c r="T14526" t="s">
        <v>46497</v>
      </c>
      <c r="U14526" t="s">
        <v>58500</v>
      </c>
      <c r="W14526" t="s">
        <v>41529</v>
      </c>
      <c r="X14526" t="s">
        <v>44923</v>
      </c>
    </row>
    <row r="14527" spans="1:24">
      <c r="A14527">
        <f>HYPERLINK("https://www.philgeps.gov.ph/GEPSNONPILOT/Tender/SplashBidNoticeAbstractUI.aspx?menuIndex=3&amp;refID=7050634&amp;Result=3","7050634")</f>
        <v>0</v>
      </c>
      <c r="B14527" t="s">
        <v>263</v>
      </c>
      <c r="C14527" t="s">
        <v>17435</v>
      </c>
      <c r="D14527" t="s">
        <v>18109</v>
      </c>
      <c r="E14527" t="s">
        <v>30745</v>
      </c>
      <c r="F14527" t="s">
        <v>31362</v>
      </c>
      <c r="G14527" t="s">
        <v>31369</v>
      </c>
      <c r="H14527" t="s">
        <v>15799</v>
      </c>
      <c r="I14527" t="s">
        <v>31427</v>
      </c>
      <c r="J14527" t="s">
        <v>40296</v>
      </c>
      <c r="K14527" t="s">
        <v>40662</v>
      </c>
      <c r="M14527" t="s">
        <v>41204</v>
      </c>
      <c r="N14527" t="s">
        <v>44905</v>
      </c>
      <c r="O14527" t="s">
        <v>44906</v>
      </c>
      <c r="Q14527">
        <v>4</v>
      </c>
      <c r="R14527" t="s">
        <v>44922</v>
      </c>
      <c r="S14527" t="s">
        <v>45953</v>
      </c>
      <c r="T14527" t="s">
        <v>46560</v>
      </c>
      <c r="U14527" t="s">
        <v>58501</v>
      </c>
      <c r="W14527" t="s">
        <v>41204</v>
      </c>
      <c r="X14527" t="s">
        <v>44923</v>
      </c>
    </row>
    <row r="14528" spans="1:24">
      <c r="A14528">
        <f>HYPERLINK("https://www.philgeps.gov.ph/GEPSNONPILOT/Tender/SplashBidNoticeAbstractUI.aspx?menuIndex=3&amp;refID=7051527&amp;Result=3","7051527")</f>
        <v>0</v>
      </c>
      <c r="B14528" t="s">
        <v>1853</v>
      </c>
      <c r="C14528" t="s">
        <v>17436</v>
      </c>
      <c r="D14528" t="s">
        <v>18133</v>
      </c>
      <c r="E14528" t="s">
        <v>30746</v>
      </c>
      <c r="F14528" t="s">
        <v>31362</v>
      </c>
      <c r="G14528" t="s">
        <v>31369</v>
      </c>
      <c r="H14528" t="s">
        <v>31378</v>
      </c>
      <c r="I14528" t="s">
        <v>31386</v>
      </c>
      <c r="J14528" t="s">
        <v>40297</v>
      </c>
      <c r="K14528" t="s">
        <v>40682</v>
      </c>
      <c r="M14528" t="s">
        <v>42943</v>
      </c>
      <c r="N14528" t="s">
        <v>44905</v>
      </c>
      <c r="O14528" t="s">
        <v>44906</v>
      </c>
      <c r="P14528">
        <v>0</v>
      </c>
      <c r="Q14528">
        <v>0</v>
      </c>
      <c r="R14528" t="s">
        <v>44922</v>
      </c>
      <c r="S14528" t="s">
        <v>45639</v>
      </c>
      <c r="T14528" t="s">
        <v>46400</v>
      </c>
      <c r="U14528" t="s">
        <v>57586</v>
      </c>
      <c r="V14528" t="s">
        <v>60719</v>
      </c>
      <c r="W14528" t="s">
        <v>42943</v>
      </c>
      <c r="X14528" t="s">
        <v>44923</v>
      </c>
    </row>
    <row r="14529" spans="1:24">
      <c r="A14529">
        <f>HYPERLINK("https://www.philgeps.gov.ph/GEPSNONPILOT/Tender/SplashBidNoticeAbstractUI.aspx?menuIndex=3&amp;refID=7050621&amp;Result=3","7050621")</f>
        <v>0</v>
      </c>
      <c r="B14529" t="s">
        <v>175</v>
      </c>
      <c r="C14529" t="s">
        <v>17437</v>
      </c>
      <c r="D14529" t="s">
        <v>18153</v>
      </c>
      <c r="E14529" t="s">
        <v>29879</v>
      </c>
      <c r="F14529" t="s">
        <v>31362</v>
      </c>
      <c r="G14529" t="s">
        <v>31369</v>
      </c>
      <c r="H14529" t="s">
        <v>31378</v>
      </c>
      <c r="I14529" t="s">
        <v>31386</v>
      </c>
      <c r="J14529" t="s">
        <v>32100</v>
      </c>
      <c r="K14529" t="s">
        <v>40694</v>
      </c>
      <c r="L14529" t="s">
        <v>175</v>
      </c>
      <c r="M14529" t="s">
        <v>41113</v>
      </c>
      <c r="N14529" t="s">
        <v>44905</v>
      </c>
      <c r="O14529" t="s">
        <v>44906</v>
      </c>
      <c r="P14529">
        <v>0</v>
      </c>
      <c r="Q14529">
        <v>0</v>
      </c>
      <c r="R14529" t="s">
        <v>44922</v>
      </c>
      <c r="S14529" t="s">
        <v>45639</v>
      </c>
      <c r="T14529" t="s">
        <v>46507</v>
      </c>
      <c r="U14529" t="s">
        <v>58502</v>
      </c>
      <c r="V14529" t="s">
        <v>60203</v>
      </c>
      <c r="W14529" t="s">
        <v>41113</v>
      </c>
      <c r="X14529" t="s">
        <v>44923</v>
      </c>
    </row>
    <row r="14530" spans="1:24">
      <c r="A14530">
        <f>HYPERLINK("https://www.philgeps.gov.ph/GEPSNONPILOT/Tender/SplashBidNoticeAbstractUI.aspx?menuIndex=3&amp;refID=7050627&amp;Result=3","7050627")</f>
        <v>0</v>
      </c>
      <c r="B14530" t="s">
        <v>3333</v>
      </c>
      <c r="C14530" t="s">
        <v>17438</v>
      </c>
      <c r="D14530" t="s">
        <v>18118</v>
      </c>
      <c r="E14530" t="s">
        <v>30747</v>
      </c>
      <c r="F14530" t="s">
        <v>31362</v>
      </c>
      <c r="G14530" t="s">
        <v>31369</v>
      </c>
      <c r="H14530" t="s">
        <v>15799</v>
      </c>
      <c r="I14530" t="s">
        <v>7090</v>
      </c>
      <c r="J14530" t="s">
        <v>40298</v>
      </c>
      <c r="K14530" t="s">
        <v>40682</v>
      </c>
      <c r="M14530" t="s">
        <v>44630</v>
      </c>
      <c r="N14530" t="s">
        <v>44905</v>
      </c>
      <c r="O14530" t="s">
        <v>44906</v>
      </c>
      <c r="P14530">
        <v>0</v>
      </c>
      <c r="Q14530">
        <v>0</v>
      </c>
      <c r="R14530" t="s">
        <v>44922</v>
      </c>
      <c r="S14530" t="s">
        <v>45639</v>
      </c>
      <c r="T14530" t="s">
        <v>46481</v>
      </c>
      <c r="U14530" t="s">
        <v>58503</v>
      </c>
      <c r="W14530" t="s">
        <v>44630</v>
      </c>
      <c r="X14530" t="s">
        <v>44923</v>
      </c>
    </row>
    <row r="14531" spans="1:24">
      <c r="A14531">
        <f>HYPERLINK("https://www.philgeps.gov.ph/GEPSNONPILOT/Tender/SplashBidNoticeAbstractUI.aspx?menuIndex=3&amp;refID=7050606&amp;Result=3","7050606")</f>
        <v>0</v>
      </c>
      <c r="B14531" t="s">
        <v>3476</v>
      </c>
      <c r="C14531" t="s">
        <v>17439</v>
      </c>
      <c r="D14531" t="s">
        <v>18127</v>
      </c>
      <c r="E14531" t="s">
        <v>27405</v>
      </c>
      <c r="F14531" t="s">
        <v>31362</v>
      </c>
      <c r="G14531" t="s">
        <v>31369</v>
      </c>
      <c r="H14531" t="s">
        <v>31378</v>
      </c>
      <c r="I14531" t="s">
        <v>31386</v>
      </c>
      <c r="J14531" t="s">
        <v>40299</v>
      </c>
      <c r="K14531" t="s">
        <v>40686</v>
      </c>
      <c r="M14531" t="s">
        <v>44816</v>
      </c>
      <c r="N14531" t="s">
        <v>44905</v>
      </c>
      <c r="O14531" t="s">
        <v>44906</v>
      </c>
      <c r="P14531">
        <v>0</v>
      </c>
      <c r="Q14531">
        <v>0</v>
      </c>
      <c r="R14531" t="s">
        <v>44922</v>
      </c>
      <c r="S14531" t="s">
        <v>45639</v>
      </c>
      <c r="T14531" t="s">
        <v>46426</v>
      </c>
      <c r="U14531" t="s">
        <v>58504</v>
      </c>
      <c r="W14531" t="s">
        <v>44816</v>
      </c>
      <c r="X14531" t="s">
        <v>44923</v>
      </c>
    </row>
    <row r="14532" spans="1:24">
      <c r="A14532">
        <f>HYPERLINK("https://www.philgeps.gov.ph/GEPSNONPILOT/Tender/SplashBidNoticeAbstractUI.aspx?menuIndex=3&amp;refID=7050555&amp;Result=3","7050555")</f>
        <v>0</v>
      </c>
      <c r="B14532" t="s">
        <v>3238</v>
      </c>
      <c r="C14532" t="s">
        <v>17440</v>
      </c>
      <c r="D14532" t="s">
        <v>18131</v>
      </c>
      <c r="E14532" t="s">
        <v>30748</v>
      </c>
      <c r="F14532" t="s">
        <v>31362</v>
      </c>
      <c r="G14532" t="s">
        <v>31369</v>
      </c>
      <c r="H14532" t="s">
        <v>15799</v>
      </c>
      <c r="I14532" t="s">
        <v>6155</v>
      </c>
      <c r="J14532" t="s">
        <v>31531</v>
      </c>
      <c r="K14532" t="s">
        <v>40662</v>
      </c>
      <c r="M14532" t="s">
        <v>44515</v>
      </c>
      <c r="N14532" t="s">
        <v>44905</v>
      </c>
      <c r="O14532" t="s">
        <v>44906</v>
      </c>
      <c r="Q14532">
        <v>9</v>
      </c>
      <c r="R14532" t="s">
        <v>44922</v>
      </c>
      <c r="S14532" t="s">
        <v>45954</v>
      </c>
      <c r="T14532" t="s">
        <v>46401</v>
      </c>
      <c r="U14532" t="s">
        <v>58505</v>
      </c>
      <c r="V14532" t="s">
        <v>60720</v>
      </c>
      <c r="W14532" t="s">
        <v>44515</v>
      </c>
      <c r="X14532" t="s">
        <v>44923</v>
      </c>
    </row>
    <row r="14533" spans="1:24">
      <c r="A14533">
        <f>HYPERLINK("https://www.philgeps.gov.ph/GEPSNONPILOT/Tender/SplashBidNoticeAbstractUI.aspx?menuIndex=3&amp;refID=7051602&amp;Result=3","7051602")</f>
        <v>0</v>
      </c>
      <c r="B14533" t="s">
        <v>3322</v>
      </c>
      <c r="C14533" t="s">
        <v>17441</v>
      </c>
      <c r="D14533" t="s">
        <v>18107</v>
      </c>
      <c r="E14533" t="s">
        <v>30749</v>
      </c>
      <c r="F14533" t="s">
        <v>31362</v>
      </c>
      <c r="G14533" t="s">
        <v>31369</v>
      </c>
      <c r="H14533" t="s">
        <v>31378</v>
      </c>
      <c r="I14533" t="s">
        <v>31386</v>
      </c>
      <c r="J14533" t="s">
        <v>31542</v>
      </c>
      <c r="K14533" t="s">
        <v>40675</v>
      </c>
      <c r="M14533" t="s">
        <v>44618</v>
      </c>
      <c r="N14533" t="s">
        <v>44905</v>
      </c>
      <c r="O14533" t="s">
        <v>44906</v>
      </c>
      <c r="P14533">
        <v>0</v>
      </c>
      <c r="Q14533">
        <v>0</v>
      </c>
      <c r="R14533" t="s">
        <v>44922</v>
      </c>
      <c r="S14533" t="s">
        <v>45639</v>
      </c>
      <c r="T14533" t="s">
        <v>46783</v>
      </c>
      <c r="U14533" t="s">
        <v>58506</v>
      </c>
      <c r="V14533" t="s">
        <v>60721</v>
      </c>
      <c r="W14533" t="s">
        <v>44618</v>
      </c>
      <c r="X14533" t="s">
        <v>44923</v>
      </c>
    </row>
    <row r="14534" spans="1:24">
      <c r="A14534">
        <f>HYPERLINK("https://www.philgeps.gov.ph/GEPSNONPILOT/Tender/SplashBidNoticeAbstractUI.aspx?menuIndex=3&amp;refID=7050613&amp;Result=3","7050613")</f>
        <v>0</v>
      </c>
      <c r="B14534" t="s">
        <v>3332</v>
      </c>
      <c r="C14534" t="s">
        <v>17442</v>
      </c>
      <c r="D14534" t="s">
        <v>18101</v>
      </c>
      <c r="E14534" t="s">
        <v>28411</v>
      </c>
      <c r="F14534" t="s">
        <v>31362</v>
      </c>
      <c r="G14534" t="s">
        <v>31369</v>
      </c>
      <c r="H14534" t="s">
        <v>15799</v>
      </c>
      <c r="I14534" t="s">
        <v>3815</v>
      </c>
      <c r="J14534" t="s">
        <v>40300</v>
      </c>
      <c r="K14534" t="s">
        <v>40665</v>
      </c>
      <c r="M14534" t="s">
        <v>44629</v>
      </c>
      <c r="N14534" t="s">
        <v>44905</v>
      </c>
      <c r="O14534" t="s">
        <v>44906</v>
      </c>
      <c r="P14534">
        <v>0</v>
      </c>
      <c r="Q14534">
        <v>1</v>
      </c>
      <c r="R14534" t="s">
        <v>44922</v>
      </c>
      <c r="S14534" t="s">
        <v>45639</v>
      </c>
      <c r="T14534" t="s">
        <v>46533</v>
      </c>
      <c r="U14534" t="s">
        <v>58507</v>
      </c>
      <c r="W14534" t="s">
        <v>44629</v>
      </c>
      <c r="X14534" t="s">
        <v>44923</v>
      </c>
    </row>
    <row r="14535" spans="1:24">
      <c r="A14535">
        <f>HYPERLINK("https://www.philgeps.gov.ph/GEPSNONPILOT/Tender/SplashBidNoticeAbstractUI.aspx?menuIndex=3&amp;refID=7050552&amp;Result=3","7050552")</f>
        <v>0</v>
      </c>
      <c r="B14535" t="s">
        <v>419</v>
      </c>
      <c r="C14535" t="s">
        <v>17443</v>
      </c>
      <c r="D14535" t="s">
        <v>18159</v>
      </c>
      <c r="E14535" t="s">
        <v>30750</v>
      </c>
      <c r="F14535" t="s">
        <v>31362</v>
      </c>
      <c r="G14535" t="s">
        <v>31369</v>
      </c>
      <c r="H14535" t="s">
        <v>31378</v>
      </c>
      <c r="I14535" t="s">
        <v>31386</v>
      </c>
      <c r="J14535" t="s">
        <v>40301</v>
      </c>
      <c r="K14535" t="s">
        <v>40683</v>
      </c>
      <c r="M14535" t="s">
        <v>41369</v>
      </c>
      <c r="N14535" t="s">
        <v>44905</v>
      </c>
      <c r="O14535" t="s">
        <v>44906</v>
      </c>
      <c r="P14535">
        <v>0</v>
      </c>
      <c r="Q14535">
        <v>0</v>
      </c>
      <c r="R14535" t="s">
        <v>44922</v>
      </c>
      <c r="S14535" t="s">
        <v>45639</v>
      </c>
      <c r="T14535" t="s">
        <v>46409</v>
      </c>
      <c r="U14535" t="s">
        <v>58508</v>
      </c>
      <c r="W14535" t="s">
        <v>41369</v>
      </c>
      <c r="X14535" t="s">
        <v>44923</v>
      </c>
    </row>
    <row r="14536" spans="1:24">
      <c r="A14536">
        <f>HYPERLINK("https://www.philgeps.gov.ph/GEPSNONPILOT/Tender/SplashBidNoticeAbstractUI.aspx?menuIndex=3&amp;refID=7051620&amp;Result=3","7051620")</f>
        <v>0</v>
      </c>
      <c r="B14536" t="s">
        <v>2438</v>
      </c>
      <c r="C14536" t="s">
        <v>17444</v>
      </c>
      <c r="D14536" t="s">
        <v>18109</v>
      </c>
      <c r="E14536" t="s">
        <v>30751</v>
      </c>
      <c r="F14536" t="s">
        <v>31362</v>
      </c>
      <c r="G14536" t="s">
        <v>31369</v>
      </c>
      <c r="H14536" t="s">
        <v>31378</v>
      </c>
      <c r="I14536" t="s">
        <v>31386</v>
      </c>
      <c r="J14536" t="s">
        <v>34023</v>
      </c>
      <c r="K14536" t="s">
        <v>40662</v>
      </c>
      <c r="L14536" t="s">
        <v>2438</v>
      </c>
      <c r="M14536" t="s">
        <v>43597</v>
      </c>
      <c r="N14536" t="s">
        <v>44905</v>
      </c>
      <c r="O14536" t="s">
        <v>44906</v>
      </c>
      <c r="Q14536">
        <v>0</v>
      </c>
      <c r="R14536" t="s">
        <v>44922</v>
      </c>
      <c r="S14536" t="s">
        <v>45955</v>
      </c>
      <c r="T14536" t="s">
        <v>46429</v>
      </c>
      <c r="U14536" t="s">
        <v>57537</v>
      </c>
      <c r="V14536" t="s">
        <v>59869</v>
      </c>
      <c r="W14536" t="s">
        <v>43597</v>
      </c>
      <c r="X14536" t="s">
        <v>44923</v>
      </c>
    </row>
    <row r="14537" spans="1:24">
      <c r="A14537">
        <f>HYPERLINK("https://www.philgeps.gov.ph/GEPSNONPILOT/Tender/SplashBidNoticeAbstractUI.aspx?menuIndex=3&amp;refID=7053210&amp;Result=3","7053210")</f>
        <v>0</v>
      </c>
      <c r="B14537" t="s">
        <v>3284</v>
      </c>
      <c r="C14537" t="s">
        <v>17445</v>
      </c>
      <c r="D14537" t="s">
        <v>18102</v>
      </c>
      <c r="E14537" t="s">
        <v>30752</v>
      </c>
      <c r="F14537" t="s">
        <v>31364</v>
      </c>
      <c r="G14537" t="s">
        <v>31369</v>
      </c>
      <c r="H14537" t="s">
        <v>15799</v>
      </c>
      <c r="I14537" t="s">
        <v>6373</v>
      </c>
      <c r="J14537" t="s">
        <v>31577</v>
      </c>
      <c r="K14537" t="s">
        <v>40697</v>
      </c>
      <c r="M14537" t="s">
        <v>44570</v>
      </c>
      <c r="N14537" t="s">
        <v>44905</v>
      </c>
      <c r="O14537" t="s">
        <v>44906</v>
      </c>
      <c r="P14537">
        <v>0</v>
      </c>
      <c r="Q14537">
        <v>7</v>
      </c>
      <c r="R14537" t="s">
        <v>44921</v>
      </c>
      <c r="S14537" t="s">
        <v>45564</v>
      </c>
      <c r="T14537" t="s">
        <v>46427</v>
      </c>
      <c r="U14537" t="s">
        <v>58509</v>
      </c>
      <c r="W14537" t="s">
        <v>44570</v>
      </c>
      <c r="X14537" t="s">
        <v>44922</v>
      </c>
    </row>
    <row r="14538" spans="1:24">
      <c r="A14538">
        <f>HYPERLINK("https://www.philgeps.gov.ph/GEPSNONPILOT/Tender/SplashBidNoticeAbstractUI.aspx?menuIndex=3&amp;refID=7050734&amp;Result=3","7050734")</f>
        <v>0</v>
      </c>
      <c r="B14538" t="s">
        <v>1260</v>
      </c>
      <c r="C14538" t="s">
        <v>17446</v>
      </c>
      <c r="D14538" t="s">
        <v>18142</v>
      </c>
      <c r="E14538" t="s">
        <v>30753</v>
      </c>
      <c r="F14538" t="s">
        <v>31362</v>
      </c>
      <c r="G14538" t="s">
        <v>31369</v>
      </c>
      <c r="H14538" t="s">
        <v>15799</v>
      </c>
      <c r="I14538" t="s">
        <v>7090</v>
      </c>
      <c r="J14538" t="s">
        <v>34777</v>
      </c>
      <c r="K14538" t="s">
        <v>40665</v>
      </c>
      <c r="M14538" t="s">
        <v>42276</v>
      </c>
      <c r="N14538" t="s">
        <v>44905</v>
      </c>
      <c r="O14538" t="s">
        <v>44906</v>
      </c>
      <c r="P14538">
        <v>0</v>
      </c>
      <c r="Q14538">
        <v>5</v>
      </c>
      <c r="R14538" t="s">
        <v>44922</v>
      </c>
      <c r="S14538" t="s">
        <v>45639</v>
      </c>
      <c r="T14538" t="s">
        <v>46425</v>
      </c>
      <c r="U14538" t="s">
        <v>58510</v>
      </c>
      <c r="W14538" t="s">
        <v>42276</v>
      </c>
      <c r="X14538" t="s">
        <v>44923</v>
      </c>
    </row>
    <row r="14539" spans="1:24">
      <c r="A14539">
        <f>HYPERLINK("https://www.philgeps.gov.ph/GEPSNONPILOT/Tender/SplashBidNoticeAbstractUI.aspx?menuIndex=3&amp;refID=7053261&amp;Result=3","7053261")</f>
        <v>0</v>
      </c>
      <c r="B14539" t="s">
        <v>2533</v>
      </c>
      <c r="C14539" t="s">
        <v>17447</v>
      </c>
      <c r="D14539" t="s">
        <v>18151</v>
      </c>
      <c r="E14539" t="s">
        <v>28589</v>
      </c>
      <c r="F14539" t="s">
        <v>31362</v>
      </c>
      <c r="G14539" t="s">
        <v>31369</v>
      </c>
      <c r="H14539" t="s">
        <v>31378</v>
      </c>
      <c r="I14539" t="s">
        <v>31386</v>
      </c>
      <c r="J14539" t="s">
        <v>40302</v>
      </c>
      <c r="K14539" t="s">
        <v>40683</v>
      </c>
      <c r="M14539" t="s">
        <v>43702</v>
      </c>
      <c r="N14539" t="s">
        <v>44905</v>
      </c>
      <c r="O14539" t="s">
        <v>44906</v>
      </c>
      <c r="P14539">
        <v>0</v>
      </c>
      <c r="Q14539">
        <v>2</v>
      </c>
      <c r="R14539" t="s">
        <v>44921</v>
      </c>
      <c r="S14539" t="s">
        <v>45564</v>
      </c>
      <c r="T14539" t="s">
        <v>46530</v>
      </c>
      <c r="U14539" t="s">
        <v>58511</v>
      </c>
      <c r="V14539" t="s">
        <v>60455</v>
      </c>
      <c r="W14539" t="s">
        <v>43702</v>
      </c>
      <c r="X14539" t="s">
        <v>44922</v>
      </c>
    </row>
    <row r="14540" spans="1:24">
      <c r="A14540">
        <f>HYPERLINK("https://www.philgeps.gov.ph/GEPSNONPILOT/Tender/SplashBidNoticeAbstractUI.aspx?menuIndex=3&amp;refID=7053076&amp;Result=3","7053076")</f>
        <v>0</v>
      </c>
      <c r="B14540" t="s">
        <v>3316</v>
      </c>
      <c r="C14540" t="s">
        <v>17448</v>
      </c>
      <c r="D14540" t="s">
        <v>18135</v>
      </c>
      <c r="E14540" t="s">
        <v>30754</v>
      </c>
      <c r="F14540" t="s">
        <v>31362</v>
      </c>
      <c r="G14540" t="s">
        <v>31369</v>
      </c>
      <c r="H14540" t="s">
        <v>15799</v>
      </c>
      <c r="I14540" t="s">
        <v>31409</v>
      </c>
      <c r="J14540" t="s">
        <v>34763</v>
      </c>
      <c r="K14540" t="s">
        <v>40665</v>
      </c>
      <c r="M14540" t="s">
        <v>44610</v>
      </c>
      <c r="N14540" t="s">
        <v>44905</v>
      </c>
      <c r="O14540" t="s">
        <v>44906</v>
      </c>
      <c r="P14540">
        <v>0</v>
      </c>
      <c r="Q14540">
        <v>4</v>
      </c>
      <c r="R14540" t="s">
        <v>44921</v>
      </c>
      <c r="S14540" t="s">
        <v>45564</v>
      </c>
      <c r="T14540" t="s">
        <v>46440</v>
      </c>
      <c r="U14540" t="s">
        <v>58512</v>
      </c>
      <c r="W14540" t="s">
        <v>44610</v>
      </c>
      <c r="X14540" t="s">
        <v>44922</v>
      </c>
    </row>
    <row r="14541" spans="1:24">
      <c r="A14541">
        <f>HYPERLINK("https://www.philgeps.gov.ph/GEPSNONPILOT/Tender/SplashBidNoticeAbstractUI.aspx?menuIndex=3&amp;refID=7053043&amp;Result=3","7053043")</f>
        <v>0</v>
      </c>
      <c r="B14541" t="s">
        <v>824</v>
      </c>
      <c r="C14541" t="s">
        <v>17449</v>
      </c>
      <c r="D14541" t="s">
        <v>18131</v>
      </c>
      <c r="E14541" t="s">
        <v>30755</v>
      </c>
      <c r="F14541" t="s">
        <v>31362</v>
      </c>
      <c r="G14541" t="s">
        <v>31369</v>
      </c>
      <c r="H14541" t="s">
        <v>31378</v>
      </c>
      <c r="I14541" t="s">
        <v>31386</v>
      </c>
      <c r="J14541" t="s">
        <v>40303</v>
      </c>
      <c r="K14541" t="s">
        <v>40679</v>
      </c>
      <c r="M14541" t="s">
        <v>41797</v>
      </c>
      <c r="N14541" t="s">
        <v>44905</v>
      </c>
      <c r="O14541" t="s">
        <v>44906</v>
      </c>
      <c r="P14541">
        <v>0</v>
      </c>
      <c r="Q14541">
        <v>7</v>
      </c>
      <c r="R14541" t="s">
        <v>44921</v>
      </c>
      <c r="S14541" t="s">
        <v>45564</v>
      </c>
      <c r="T14541" t="s">
        <v>46435</v>
      </c>
      <c r="U14541" t="s">
        <v>58513</v>
      </c>
      <c r="V14541" t="s">
        <v>59262</v>
      </c>
      <c r="W14541" t="s">
        <v>41797</v>
      </c>
      <c r="X14541" t="s">
        <v>44922</v>
      </c>
    </row>
    <row r="14542" spans="1:24">
      <c r="A14542">
        <f>HYPERLINK("https://www.philgeps.gov.ph/GEPSNONPILOT/Tender/SplashBidNoticeAbstractUI.aspx?menuIndex=3&amp;refID=7053042&amp;Result=3","7053042")</f>
        <v>0</v>
      </c>
      <c r="B14542" t="s">
        <v>762</v>
      </c>
      <c r="C14542" t="s">
        <v>17450</v>
      </c>
      <c r="E14542" t="s">
        <v>30756</v>
      </c>
      <c r="F14542" t="s">
        <v>31362</v>
      </c>
      <c r="G14542" t="s">
        <v>31368</v>
      </c>
      <c r="H14542" t="s">
        <v>15799</v>
      </c>
      <c r="I14542" t="s">
        <v>7090</v>
      </c>
      <c r="J14542" t="s">
        <v>31921</v>
      </c>
      <c r="K14542" t="s">
        <v>40662</v>
      </c>
      <c r="M14542" t="s">
        <v>44817</v>
      </c>
      <c r="N14542" t="s">
        <v>44905</v>
      </c>
      <c r="O14542" t="s">
        <v>44906</v>
      </c>
      <c r="Q14542">
        <v>1</v>
      </c>
      <c r="R14542" t="s">
        <v>44921</v>
      </c>
      <c r="S14542" t="s">
        <v>45956</v>
      </c>
      <c r="T14542" t="s">
        <v>46409</v>
      </c>
      <c r="U14542" t="s">
        <v>58514</v>
      </c>
      <c r="W14542" t="s">
        <v>44817</v>
      </c>
      <c r="X14542" t="s">
        <v>44922</v>
      </c>
    </row>
    <row r="14543" spans="1:24">
      <c r="A14543">
        <f>HYPERLINK("https://www.philgeps.gov.ph/GEPSNONPILOT/Tender/SplashBidNoticeAbstractUI.aspx?menuIndex=3&amp;refID=7053272&amp;Result=3","7053272")</f>
        <v>0</v>
      </c>
      <c r="B14543" t="s">
        <v>3238</v>
      </c>
      <c r="C14543" t="s">
        <v>17451</v>
      </c>
      <c r="D14543" t="s">
        <v>18131</v>
      </c>
      <c r="E14543" t="s">
        <v>30757</v>
      </c>
      <c r="F14543" t="s">
        <v>31362</v>
      </c>
      <c r="G14543" t="s">
        <v>31369</v>
      </c>
      <c r="H14543" t="s">
        <v>15799</v>
      </c>
      <c r="I14543" t="s">
        <v>31396</v>
      </c>
      <c r="J14543" t="s">
        <v>40304</v>
      </c>
      <c r="K14543" t="s">
        <v>40662</v>
      </c>
      <c r="M14543" t="s">
        <v>44515</v>
      </c>
      <c r="N14543" t="s">
        <v>44905</v>
      </c>
      <c r="O14543" t="s">
        <v>44906</v>
      </c>
      <c r="Q14543">
        <v>17</v>
      </c>
      <c r="R14543" t="s">
        <v>44921</v>
      </c>
      <c r="S14543" t="s">
        <v>45396</v>
      </c>
      <c r="T14543" t="s">
        <v>46555</v>
      </c>
      <c r="U14543" t="s">
        <v>58515</v>
      </c>
      <c r="V14543" t="s">
        <v>60380</v>
      </c>
      <c r="W14543" t="s">
        <v>44515</v>
      </c>
      <c r="X14543" t="s">
        <v>44922</v>
      </c>
    </row>
    <row r="14544" spans="1:24">
      <c r="A14544">
        <f>HYPERLINK("https://www.philgeps.gov.ph/GEPSNONPILOT/Tender/SplashBidNoticeAbstractUI.aspx?menuIndex=3&amp;refID=7053006&amp;Result=3","7053006")</f>
        <v>0</v>
      </c>
      <c r="B14544" t="s">
        <v>123</v>
      </c>
      <c r="C14544" t="s">
        <v>17452</v>
      </c>
      <c r="D14544" t="s">
        <v>18127</v>
      </c>
      <c r="E14544" t="s">
        <v>23461</v>
      </c>
      <c r="F14544" t="s">
        <v>31362</v>
      </c>
      <c r="G14544" t="s">
        <v>31369</v>
      </c>
      <c r="H14544" t="s">
        <v>15799</v>
      </c>
      <c r="I14544" t="s">
        <v>31414</v>
      </c>
      <c r="J14544" t="s">
        <v>40305</v>
      </c>
      <c r="K14544" t="s">
        <v>40675</v>
      </c>
      <c r="M14544" t="s">
        <v>41060</v>
      </c>
      <c r="N14544" t="s">
        <v>44905</v>
      </c>
      <c r="O14544" t="s">
        <v>44906</v>
      </c>
      <c r="P14544">
        <v>0</v>
      </c>
      <c r="Q14544">
        <v>3</v>
      </c>
      <c r="R14544" t="s">
        <v>44921</v>
      </c>
      <c r="S14544" t="s">
        <v>45564</v>
      </c>
      <c r="T14544" t="s">
        <v>46493</v>
      </c>
      <c r="U14544" t="s">
        <v>58516</v>
      </c>
      <c r="V14544" t="s">
        <v>59076</v>
      </c>
      <c r="W14544" t="s">
        <v>41060</v>
      </c>
      <c r="X14544" t="s">
        <v>44922</v>
      </c>
    </row>
    <row r="14545" spans="1:24">
      <c r="A14545">
        <f>HYPERLINK("https://www.philgeps.gov.ph/GEPSNONPILOT/Tender/SplashBidNoticeAbstractUI.aspx?menuIndex=3&amp;refID=7053001&amp;Result=3","7053001")</f>
        <v>0</v>
      </c>
      <c r="B14545" t="s">
        <v>3238</v>
      </c>
      <c r="C14545" t="s">
        <v>17453</v>
      </c>
      <c r="D14545" t="s">
        <v>18131</v>
      </c>
      <c r="E14545" t="s">
        <v>30758</v>
      </c>
      <c r="F14545" t="s">
        <v>31362</v>
      </c>
      <c r="G14545" t="s">
        <v>31369</v>
      </c>
      <c r="H14545" t="s">
        <v>15799</v>
      </c>
      <c r="I14545" t="s">
        <v>31396</v>
      </c>
      <c r="J14545" t="s">
        <v>40306</v>
      </c>
      <c r="K14545" t="s">
        <v>40662</v>
      </c>
      <c r="M14545" t="s">
        <v>44515</v>
      </c>
      <c r="N14545" t="s">
        <v>44905</v>
      </c>
      <c r="O14545" t="s">
        <v>44906</v>
      </c>
      <c r="Q14545">
        <v>15</v>
      </c>
      <c r="R14545" t="s">
        <v>44921</v>
      </c>
      <c r="S14545" t="s">
        <v>45093</v>
      </c>
      <c r="T14545" t="s">
        <v>46405</v>
      </c>
      <c r="U14545" t="s">
        <v>58517</v>
      </c>
      <c r="V14545" t="s">
        <v>60722</v>
      </c>
      <c r="W14545" t="s">
        <v>44515</v>
      </c>
      <c r="X14545" t="s">
        <v>44922</v>
      </c>
    </row>
    <row r="14546" spans="1:24">
      <c r="A14546">
        <f>HYPERLINK("https://www.philgeps.gov.ph/GEPSNONPILOT/Tender/SplashBidNoticeAbstractUI.aspx?menuIndex=3&amp;refID=7052987&amp;Result=3","7052987")</f>
        <v>0</v>
      </c>
      <c r="B14546" t="s">
        <v>1937</v>
      </c>
      <c r="C14546" t="s">
        <v>17454</v>
      </c>
      <c r="D14546" t="s">
        <v>18155</v>
      </c>
      <c r="E14546" t="s">
        <v>30759</v>
      </c>
      <c r="F14546" t="s">
        <v>31362</v>
      </c>
      <c r="G14546" t="s">
        <v>31369</v>
      </c>
      <c r="H14546" t="s">
        <v>31378</v>
      </c>
      <c r="I14546" t="s">
        <v>31386</v>
      </c>
      <c r="J14546" t="s">
        <v>35217</v>
      </c>
      <c r="K14546" t="s">
        <v>40682</v>
      </c>
      <c r="M14546" t="s">
        <v>43855</v>
      </c>
      <c r="N14546" t="s">
        <v>44905</v>
      </c>
      <c r="O14546" t="s">
        <v>44906</v>
      </c>
      <c r="P14546">
        <v>0</v>
      </c>
      <c r="Q14546">
        <v>0</v>
      </c>
      <c r="R14546" t="s">
        <v>44921</v>
      </c>
      <c r="S14546" t="s">
        <v>45564</v>
      </c>
      <c r="T14546" t="s">
        <v>46447</v>
      </c>
      <c r="U14546" t="s">
        <v>58518</v>
      </c>
      <c r="W14546" t="s">
        <v>43855</v>
      </c>
      <c r="X14546" t="s">
        <v>44922</v>
      </c>
    </row>
    <row r="14547" spans="1:24">
      <c r="A14547">
        <f>HYPERLINK("https://www.philgeps.gov.ph/GEPSNONPILOT/Tender/SplashBidNoticeAbstractUI.aspx?menuIndex=3&amp;refID=7053067&amp;Result=3","7053067")</f>
        <v>0</v>
      </c>
      <c r="B14547" t="s">
        <v>3477</v>
      </c>
      <c r="C14547" t="s">
        <v>17455</v>
      </c>
      <c r="D14547" t="s">
        <v>18174</v>
      </c>
      <c r="E14547" t="s">
        <v>30760</v>
      </c>
      <c r="F14547" t="s">
        <v>31362</v>
      </c>
      <c r="G14547" t="s">
        <v>31369</v>
      </c>
      <c r="H14547" t="s">
        <v>15799</v>
      </c>
      <c r="I14547" t="s">
        <v>3815</v>
      </c>
      <c r="J14547" t="s">
        <v>40307</v>
      </c>
      <c r="K14547" t="s">
        <v>40666</v>
      </c>
      <c r="M14547" t="s">
        <v>44818</v>
      </c>
      <c r="N14547" t="s">
        <v>44905</v>
      </c>
      <c r="O14547" t="s">
        <v>44906</v>
      </c>
      <c r="P14547">
        <v>0</v>
      </c>
      <c r="Q14547">
        <v>0</v>
      </c>
      <c r="R14547" t="s">
        <v>44921</v>
      </c>
      <c r="S14547" t="s">
        <v>45564</v>
      </c>
      <c r="T14547" t="s">
        <v>46435</v>
      </c>
      <c r="U14547" t="s">
        <v>58519</v>
      </c>
      <c r="W14547" t="s">
        <v>44818</v>
      </c>
      <c r="X14547" t="s">
        <v>44922</v>
      </c>
    </row>
    <row r="14548" spans="1:24">
      <c r="A14548">
        <f>HYPERLINK("https://www.philgeps.gov.ph/GEPSNONPILOT/Tender/SplashBidNoticeAbstractUI.aspx?menuIndex=3&amp;refID=7053216&amp;Result=3","7053216")</f>
        <v>0</v>
      </c>
      <c r="B14548" t="s">
        <v>2533</v>
      </c>
      <c r="C14548" t="s">
        <v>17447</v>
      </c>
      <c r="D14548" t="s">
        <v>18151</v>
      </c>
      <c r="E14548" t="s">
        <v>30146</v>
      </c>
      <c r="F14548" t="s">
        <v>31362</v>
      </c>
      <c r="G14548" t="s">
        <v>31369</v>
      </c>
      <c r="H14548" t="s">
        <v>31378</v>
      </c>
      <c r="I14548" t="s">
        <v>31386</v>
      </c>
      <c r="J14548" t="s">
        <v>31709</v>
      </c>
      <c r="K14548" t="s">
        <v>40683</v>
      </c>
      <c r="M14548" t="s">
        <v>43702</v>
      </c>
      <c r="N14548" t="s">
        <v>44905</v>
      </c>
      <c r="O14548" t="s">
        <v>44906</v>
      </c>
      <c r="P14548">
        <v>0</v>
      </c>
      <c r="Q14548">
        <v>2</v>
      </c>
      <c r="R14548" t="s">
        <v>44921</v>
      </c>
      <c r="S14548" t="s">
        <v>45564</v>
      </c>
      <c r="T14548" t="s">
        <v>46530</v>
      </c>
      <c r="U14548" t="s">
        <v>58520</v>
      </c>
      <c r="V14548" t="s">
        <v>60723</v>
      </c>
      <c r="W14548" t="s">
        <v>43702</v>
      </c>
      <c r="X14548" t="s">
        <v>44922</v>
      </c>
    </row>
    <row r="14549" spans="1:24">
      <c r="A14549">
        <f>HYPERLINK("https://www.philgeps.gov.ph/GEPSNONPILOT/Tender/SplashBidNoticeAbstractUI.aspx?menuIndex=3&amp;refID=7052860&amp;Result=3","7052860")</f>
        <v>0</v>
      </c>
      <c r="B14549" t="s">
        <v>393</v>
      </c>
      <c r="C14549" t="s">
        <v>17456</v>
      </c>
      <c r="E14549" t="s">
        <v>30761</v>
      </c>
      <c r="F14549" t="s">
        <v>31362</v>
      </c>
      <c r="G14549" t="s">
        <v>31371</v>
      </c>
      <c r="H14549" t="s">
        <v>15799</v>
      </c>
      <c r="I14549" t="s">
        <v>31417</v>
      </c>
      <c r="J14549" t="s">
        <v>40308</v>
      </c>
      <c r="K14549" t="s">
        <v>40666</v>
      </c>
      <c r="M14549" t="s">
        <v>41341</v>
      </c>
      <c r="N14549" t="s">
        <v>44905</v>
      </c>
      <c r="O14549" t="s">
        <v>44906</v>
      </c>
      <c r="Q14549">
        <v>0</v>
      </c>
      <c r="R14549" t="s">
        <v>44921</v>
      </c>
      <c r="S14549" t="s">
        <v>45957</v>
      </c>
      <c r="T14549" t="s">
        <v>46409</v>
      </c>
      <c r="U14549" t="s">
        <v>58521</v>
      </c>
      <c r="W14549" t="s">
        <v>41341</v>
      </c>
      <c r="X14549" t="s">
        <v>44922</v>
      </c>
    </row>
    <row r="14550" spans="1:24">
      <c r="A14550">
        <f>HYPERLINK("https://www.philgeps.gov.ph/GEPSNONPILOT/Tender/SplashBidNoticeAbstractUI.aspx?menuIndex=3&amp;refID=7052854&amp;Result=3","7052854")</f>
        <v>0</v>
      </c>
      <c r="B14550" t="s">
        <v>3478</v>
      </c>
      <c r="C14550" t="s">
        <v>17457</v>
      </c>
      <c r="D14550" t="s">
        <v>18149</v>
      </c>
      <c r="E14550" t="s">
        <v>30762</v>
      </c>
      <c r="F14550" t="s">
        <v>31362</v>
      </c>
      <c r="G14550" t="s">
        <v>31369</v>
      </c>
      <c r="H14550" t="s">
        <v>31378</v>
      </c>
      <c r="I14550" t="s">
        <v>31386</v>
      </c>
      <c r="J14550" t="s">
        <v>31542</v>
      </c>
      <c r="K14550" t="s">
        <v>40735</v>
      </c>
      <c r="M14550" t="s">
        <v>44819</v>
      </c>
      <c r="N14550" t="s">
        <v>44905</v>
      </c>
      <c r="O14550" t="s">
        <v>44906</v>
      </c>
      <c r="P14550">
        <v>0</v>
      </c>
      <c r="Q14550">
        <v>0</v>
      </c>
      <c r="R14550" t="s">
        <v>44921</v>
      </c>
      <c r="S14550" t="s">
        <v>45564</v>
      </c>
      <c r="T14550" t="s">
        <v>46541</v>
      </c>
      <c r="U14550" t="s">
        <v>58522</v>
      </c>
      <c r="W14550" t="s">
        <v>44819</v>
      </c>
      <c r="X14550" t="s">
        <v>44922</v>
      </c>
    </row>
    <row r="14551" spans="1:24">
      <c r="A14551">
        <f>HYPERLINK("https://www.philgeps.gov.ph/GEPSNONPILOT/Tender/SplashBidNoticeAbstractUI.aspx?menuIndex=3&amp;refID=7053202&amp;Result=3","7053202")</f>
        <v>0</v>
      </c>
      <c r="B14551" t="s">
        <v>3238</v>
      </c>
      <c r="C14551" t="s">
        <v>17458</v>
      </c>
      <c r="E14551" t="s">
        <v>30763</v>
      </c>
      <c r="F14551" t="s">
        <v>31362</v>
      </c>
      <c r="G14551" t="s">
        <v>31369</v>
      </c>
      <c r="H14551" t="s">
        <v>15799</v>
      </c>
      <c r="I14551" t="s">
        <v>31396</v>
      </c>
      <c r="J14551" t="s">
        <v>40309</v>
      </c>
      <c r="K14551" t="s">
        <v>40662</v>
      </c>
      <c r="M14551" t="s">
        <v>44515</v>
      </c>
      <c r="N14551" t="s">
        <v>44905</v>
      </c>
      <c r="O14551" t="s">
        <v>44906</v>
      </c>
      <c r="Q14551">
        <v>22</v>
      </c>
      <c r="R14551" t="s">
        <v>44921</v>
      </c>
      <c r="S14551" t="s">
        <v>45958</v>
      </c>
      <c r="T14551" t="s">
        <v>46405</v>
      </c>
      <c r="U14551" t="s">
        <v>58523</v>
      </c>
      <c r="V14551" t="s">
        <v>60724</v>
      </c>
      <c r="W14551" t="s">
        <v>44515</v>
      </c>
      <c r="X14551" t="s">
        <v>44922</v>
      </c>
    </row>
    <row r="14552" spans="1:24">
      <c r="A14552">
        <f>HYPERLINK("https://www.philgeps.gov.ph/GEPSNONPILOT/Tender/SplashBidNoticeAbstractUI.aspx?menuIndex=3&amp;refID=7052841&amp;Result=3","7052841")</f>
        <v>0</v>
      </c>
      <c r="B14552" t="s">
        <v>1937</v>
      </c>
      <c r="C14552" t="s">
        <v>17459</v>
      </c>
      <c r="D14552" t="s">
        <v>18155</v>
      </c>
      <c r="E14552" t="s">
        <v>30764</v>
      </c>
      <c r="F14552" t="s">
        <v>31362</v>
      </c>
      <c r="G14552" t="s">
        <v>31369</v>
      </c>
      <c r="H14552" t="s">
        <v>31378</v>
      </c>
      <c r="I14552" t="s">
        <v>31386</v>
      </c>
      <c r="J14552" t="s">
        <v>33653</v>
      </c>
      <c r="K14552" t="s">
        <v>40679</v>
      </c>
      <c r="M14552" t="s">
        <v>43855</v>
      </c>
      <c r="N14552" t="s">
        <v>44905</v>
      </c>
      <c r="O14552" t="s">
        <v>44906</v>
      </c>
      <c r="P14552">
        <v>0</v>
      </c>
      <c r="Q14552">
        <v>0</v>
      </c>
      <c r="R14552" t="s">
        <v>44921</v>
      </c>
      <c r="S14552" t="s">
        <v>45564</v>
      </c>
      <c r="T14552" t="s">
        <v>46447</v>
      </c>
      <c r="U14552" t="s">
        <v>58524</v>
      </c>
      <c r="W14552" t="s">
        <v>43855</v>
      </c>
      <c r="X14552" t="s">
        <v>44922</v>
      </c>
    </row>
    <row r="14553" spans="1:24">
      <c r="A14553">
        <f>HYPERLINK("https://www.philgeps.gov.ph/GEPSNONPILOT/Tender/SplashBidNoticeAbstractUI.aspx?menuIndex=3&amp;refID=7041291&amp;Result=3","7041291")</f>
        <v>0</v>
      </c>
      <c r="B14553" t="s">
        <v>3479</v>
      </c>
      <c r="C14553" t="s">
        <v>17460</v>
      </c>
      <c r="D14553" t="s">
        <v>18100</v>
      </c>
      <c r="E14553" t="s">
        <v>30765</v>
      </c>
      <c r="F14553" t="s">
        <v>31362</v>
      </c>
      <c r="G14553" t="s">
        <v>31369</v>
      </c>
      <c r="H14553" t="s">
        <v>15799</v>
      </c>
      <c r="I14553" t="s">
        <v>7188</v>
      </c>
      <c r="J14553" t="s">
        <v>31637</v>
      </c>
      <c r="K14553" t="s">
        <v>40665</v>
      </c>
      <c r="M14553" t="s">
        <v>44820</v>
      </c>
      <c r="N14553" t="s">
        <v>44905</v>
      </c>
      <c r="O14553" t="s">
        <v>44906</v>
      </c>
      <c r="P14553">
        <v>0</v>
      </c>
      <c r="Q14553">
        <v>11</v>
      </c>
      <c r="R14553" t="s">
        <v>44928</v>
      </c>
      <c r="S14553" t="s">
        <v>45943</v>
      </c>
      <c r="T14553" t="s">
        <v>46670</v>
      </c>
      <c r="U14553" t="s">
        <v>58525</v>
      </c>
      <c r="W14553" t="s">
        <v>44820</v>
      </c>
      <c r="X14553" t="s">
        <v>44929</v>
      </c>
    </row>
    <row r="14554" spans="1:24">
      <c r="A14554">
        <f>HYPERLINK("https://www.philgeps.gov.ph/GEPSNONPILOT/Tender/SplashBidNoticeAbstractUI.aspx?menuIndex=3&amp;refID=7052871&amp;Result=3","7052871")</f>
        <v>0</v>
      </c>
      <c r="B14554" t="s">
        <v>3238</v>
      </c>
      <c r="C14554" t="s">
        <v>17461</v>
      </c>
      <c r="E14554" t="s">
        <v>30766</v>
      </c>
      <c r="F14554" t="s">
        <v>31362</v>
      </c>
      <c r="G14554" t="s">
        <v>31369</v>
      </c>
      <c r="H14554" t="s">
        <v>15799</v>
      </c>
      <c r="I14554" t="s">
        <v>31396</v>
      </c>
      <c r="J14554" t="s">
        <v>40310</v>
      </c>
      <c r="K14554" t="s">
        <v>40662</v>
      </c>
      <c r="M14554" t="s">
        <v>44515</v>
      </c>
      <c r="N14554" t="s">
        <v>44905</v>
      </c>
      <c r="O14554" t="s">
        <v>44906</v>
      </c>
      <c r="Q14554">
        <v>26</v>
      </c>
      <c r="R14554" t="s">
        <v>44921</v>
      </c>
      <c r="S14554" t="s">
        <v>45959</v>
      </c>
      <c r="T14554" t="s">
        <v>46405</v>
      </c>
      <c r="U14554" t="s">
        <v>58526</v>
      </c>
      <c r="V14554" t="s">
        <v>60725</v>
      </c>
      <c r="W14554" t="s">
        <v>44515</v>
      </c>
      <c r="X14554" t="s">
        <v>44922</v>
      </c>
    </row>
    <row r="14555" spans="1:24">
      <c r="A14555">
        <f>HYPERLINK("https://www.philgeps.gov.ph/GEPSNONPILOT/Tender/SplashBidNoticeAbstractUI.aspx?menuIndex=3&amp;refID=7052848&amp;Result=3","7052848")</f>
        <v>0</v>
      </c>
      <c r="B14555" t="s">
        <v>3238</v>
      </c>
      <c r="C14555" t="s">
        <v>17462</v>
      </c>
      <c r="E14555" t="s">
        <v>30767</v>
      </c>
      <c r="F14555" t="s">
        <v>31362</v>
      </c>
      <c r="G14555" t="s">
        <v>31369</v>
      </c>
      <c r="H14555" t="s">
        <v>15799</v>
      </c>
      <c r="I14555" t="s">
        <v>31396</v>
      </c>
      <c r="J14555" t="s">
        <v>34854</v>
      </c>
      <c r="K14555" t="s">
        <v>40662</v>
      </c>
      <c r="M14555" t="s">
        <v>44515</v>
      </c>
      <c r="N14555" t="s">
        <v>44905</v>
      </c>
      <c r="O14555" t="s">
        <v>44906</v>
      </c>
      <c r="Q14555">
        <v>27</v>
      </c>
      <c r="R14555" t="s">
        <v>44921</v>
      </c>
      <c r="S14555" t="s">
        <v>45960</v>
      </c>
      <c r="T14555" t="s">
        <v>46405</v>
      </c>
      <c r="U14555" t="s">
        <v>58527</v>
      </c>
      <c r="V14555" t="s">
        <v>60726</v>
      </c>
      <c r="W14555" t="s">
        <v>44515</v>
      </c>
      <c r="X14555" t="s">
        <v>44922</v>
      </c>
    </row>
    <row r="14556" spans="1:24">
      <c r="A14556">
        <f>HYPERLINK("https://www.philgeps.gov.ph/GEPSNONPILOT/Tender/SplashBidNoticeAbstractUI.aspx?menuIndex=3&amp;refID=7050558&amp;Result=3","7050558")</f>
        <v>0</v>
      </c>
      <c r="B14556" t="s">
        <v>3332</v>
      </c>
      <c r="C14556" t="s">
        <v>17463</v>
      </c>
      <c r="D14556" t="s">
        <v>18101</v>
      </c>
      <c r="E14556" t="s">
        <v>27660</v>
      </c>
      <c r="F14556" t="s">
        <v>31362</v>
      </c>
      <c r="G14556" t="s">
        <v>31369</v>
      </c>
      <c r="H14556" t="s">
        <v>15799</v>
      </c>
      <c r="I14556" t="s">
        <v>6240</v>
      </c>
      <c r="J14556" t="s">
        <v>40311</v>
      </c>
      <c r="K14556" t="s">
        <v>40666</v>
      </c>
      <c r="M14556" t="s">
        <v>44629</v>
      </c>
      <c r="N14556" t="s">
        <v>44905</v>
      </c>
      <c r="O14556" t="s">
        <v>44906</v>
      </c>
      <c r="P14556">
        <v>0</v>
      </c>
      <c r="Q14556">
        <v>1</v>
      </c>
      <c r="R14556" t="s">
        <v>44922</v>
      </c>
      <c r="S14556" t="s">
        <v>45639</v>
      </c>
      <c r="T14556" t="s">
        <v>46533</v>
      </c>
      <c r="U14556" t="s">
        <v>58528</v>
      </c>
      <c r="W14556" t="s">
        <v>44629</v>
      </c>
      <c r="X14556" t="s">
        <v>44923</v>
      </c>
    </row>
    <row r="14557" spans="1:24">
      <c r="A14557">
        <f>HYPERLINK("https://www.philgeps.gov.ph/GEPSNONPILOT/Tender/SplashBidNoticeAbstractUI.aspx?menuIndex=3&amp;refID=7052971&amp;Result=3","7052971")</f>
        <v>0</v>
      </c>
      <c r="B14557" t="s">
        <v>3238</v>
      </c>
      <c r="C14557" t="s">
        <v>17464</v>
      </c>
      <c r="D14557" t="s">
        <v>18131</v>
      </c>
      <c r="E14557" t="s">
        <v>30768</v>
      </c>
      <c r="F14557" t="s">
        <v>31362</v>
      </c>
      <c r="G14557" t="s">
        <v>31369</v>
      </c>
      <c r="H14557" t="s">
        <v>15799</v>
      </c>
      <c r="I14557" t="s">
        <v>31396</v>
      </c>
      <c r="J14557" t="s">
        <v>40312</v>
      </c>
      <c r="K14557" t="s">
        <v>40662</v>
      </c>
      <c r="M14557" t="s">
        <v>44515</v>
      </c>
      <c r="N14557" t="s">
        <v>44905</v>
      </c>
      <c r="O14557" t="s">
        <v>44906</v>
      </c>
      <c r="Q14557">
        <v>40</v>
      </c>
      <c r="R14557" t="s">
        <v>44921</v>
      </c>
      <c r="S14557" t="s">
        <v>45961</v>
      </c>
      <c r="T14557" t="s">
        <v>46555</v>
      </c>
      <c r="U14557" t="s">
        <v>58529</v>
      </c>
      <c r="V14557" t="s">
        <v>60722</v>
      </c>
      <c r="W14557" t="s">
        <v>44515</v>
      </c>
      <c r="X14557" t="s">
        <v>44922</v>
      </c>
    </row>
    <row r="14558" spans="1:24">
      <c r="A14558">
        <f>HYPERLINK("https://www.philgeps.gov.ph/GEPSNONPILOT/Tender/SplashBidNoticeAbstractUI.aspx?menuIndex=3&amp;refID=7050670&amp;Result=3","7050670")</f>
        <v>0</v>
      </c>
      <c r="B14558" t="s">
        <v>633</v>
      </c>
      <c r="C14558" t="s">
        <v>17465</v>
      </c>
      <c r="D14558" t="s">
        <v>18144</v>
      </c>
      <c r="E14558" t="s">
        <v>30769</v>
      </c>
      <c r="F14558" t="s">
        <v>31362</v>
      </c>
      <c r="G14558" t="s">
        <v>31369</v>
      </c>
      <c r="H14558" t="s">
        <v>15799</v>
      </c>
      <c r="I14558" t="s">
        <v>31409</v>
      </c>
      <c r="J14558" t="s">
        <v>34763</v>
      </c>
      <c r="K14558" t="s">
        <v>40677</v>
      </c>
      <c r="M14558" t="s">
        <v>41593</v>
      </c>
      <c r="N14558" t="s">
        <v>44905</v>
      </c>
      <c r="O14558" t="s">
        <v>44906</v>
      </c>
      <c r="P14558">
        <v>0</v>
      </c>
      <c r="Q14558">
        <v>2</v>
      </c>
      <c r="R14558" t="s">
        <v>44922</v>
      </c>
      <c r="S14558" t="s">
        <v>45639</v>
      </c>
      <c r="T14558" t="s">
        <v>46435</v>
      </c>
      <c r="U14558" t="s">
        <v>58530</v>
      </c>
      <c r="W14558" t="s">
        <v>41593</v>
      </c>
      <c r="X14558" t="s">
        <v>44923</v>
      </c>
    </row>
    <row r="14559" spans="1:24">
      <c r="A14559">
        <f>HYPERLINK("https://www.philgeps.gov.ph/GEPSNONPILOT/Tender/SplashBidNoticeAbstractUI.aspx?menuIndex=3&amp;refID=7041354&amp;Result=3","7041354")</f>
        <v>0</v>
      </c>
      <c r="B14559" t="s">
        <v>3479</v>
      </c>
      <c r="C14559" t="s">
        <v>17466</v>
      </c>
      <c r="D14559" t="s">
        <v>18100</v>
      </c>
      <c r="E14559" t="s">
        <v>30770</v>
      </c>
      <c r="F14559" t="s">
        <v>31362</v>
      </c>
      <c r="G14559" t="s">
        <v>31369</v>
      </c>
      <c r="H14559" t="s">
        <v>15799</v>
      </c>
      <c r="I14559" t="s">
        <v>31409</v>
      </c>
      <c r="J14559" t="s">
        <v>31542</v>
      </c>
      <c r="K14559" t="s">
        <v>40665</v>
      </c>
      <c r="M14559" t="s">
        <v>44820</v>
      </c>
      <c r="N14559" t="s">
        <v>44905</v>
      </c>
      <c r="O14559" t="s">
        <v>44906</v>
      </c>
      <c r="P14559">
        <v>0</v>
      </c>
      <c r="Q14559">
        <v>2</v>
      </c>
      <c r="R14559" t="s">
        <v>44928</v>
      </c>
      <c r="S14559" t="s">
        <v>45943</v>
      </c>
      <c r="T14559" t="s">
        <v>46670</v>
      </c>
      <c r="U14559" t="s">
        <v>58531</v>
      </c>
      <c r="W14559" t="s">
        <v>44820</v>
      </c>
      <c r="X14559" t="s">
        <v>44929</v>
      </c>
    </row>
    <row r="14560" spans="1:24">
      <c r="A14560">
        <f>HYPERLINK("https://www.philgeps.gov.ph/GEPSNONPILOT/Tender/SplashBidNoticeAbstractUI.aspx?menuIndex=3&amp;refID=7041326&amp;Result=3","7041326")</f>
        <v>0</v>
      </c>
      <c r="B14560" t="s">
        <v>1150</v>
      </c>
      <c r="C14560" t="s">
        <v>17467</v>
      </c>
      <c r="E14560" t="s">
        <v>30771</v>
      </c>
      <c r="F14560" t="s">
        <v>31362</v>
      </c>
      <c r="G14560" t="s">
        <v>31369</v>
      </c>
      <c r="H14560" t="s">
        <v>15799</v>
      </c>
      <c r="I14560" t="s">
        <v>31455</v>
      </c>
      <c r="J14560" t="s">
        <v>33789</v>
      </c>
      <c r="K14560" t="s">
        <v>40662</v>
      </c>
      <c r="M14560" t="s">
        <v>42159</v>
      </c>
      <c r="N14560" t="s">
        <v>44905</v>
      </c>
      <c r="O14560" t="s">
        <v>44906</v>
      </c>
      <c r="P14560">
        <v>0</v>
      </c>
      <c r="Q14560">
        <v>2</v>
      </c>
      <c r="R14560" t="s">
        <v>44928</v>
      </c>
      <c r="S14560" t="s">
        <v>45943</v>
      </c>
      <c r="T14560" t="s">
        <v>46483</v>
      </c>
      <c r="U14560" t="s">
        <v>58532</v>
      </c>
      <c r="W14560" t="s">
        <v>42159</v>
      </c>
      <c r="X14560" t="s">
        <v>44929</v>
      </c>
    </row>
    <row r="14561" spans="1:24">
      <c r="A14561">
        <f>HYPERLINK("https://www.philgeps.gov.ph/GEPSNONPILOT/Tender/SplashBidNoticeAbstractUI.aspx?menuIndex=3&amp;refID=7041367&amp;Result=3","7041367")</f>
        <v>0</v>
      </c>
      <c r="B14561" t="s">
        <v>3479</v>
      </c>
      <c r="C14561" t="s">
        <v>17468</v>
      </c>
      <c r="D14561" t="s">
        <v>18100</v>
      </c>
      <c r="E14561" t="s">
        <v>30772</v>
      </c>
      <c r="F14561" t="s">
        <v>31362</v>
      </c>
      <c r="G14561" t="s">
        <v>31369</v>
      </c>
      <c r="H14561" t="s">
        <v>15799</v>
      </c>
      <c r="I14561" t="s">
        <v>31409</v>
      </c>
      <c r="J14561" t="s">
        <v>31625</v>
      </c>
      <c r="K14561" t="s">
        <v>40665</v>
      </c>
      <c r="M14561" t="s">
        <v>44820</v>
      </c>
      <c r="N14561" t="s">
        <v>44905</v>
      </c>
      <c r="O14561" t="s">
        <v>44906</v>
      </c>
      <c r="P14561">
        <v>0</v>
      </c>
      <c r="Q14561">
        <v>2</v>
      </c>
      <c r="R14561" t="s">
        <v>44928</v>
      </c>
      <c r="S14561" t="s">
        <v>45943</v>
      </c>
      <c r="T14561" t="s">
        <v>46670</v>
      </c>
      <c r="U14561" t="s">
        <v>58533</v>
      </c>
      <c r="W14561" t="s">
        <v>44820</v>
      </c>
      <c r="X14561" t="s">
        <v>44929</v>
      </c>
    </row>
    <row r="14562" spans="1:24">
      <c r="A14562">
        <f>HYPERLINK("https://www.philgeps.gov.ph/GEPSNONPILOT/Tender/SplashBidNoticeAbstractUI.aspx?menuIndex=3&amp;refID=7041302&amp;Result=3","7041302")</f>
        <v>0</v>
      </c>
      <c r="B14562" t="s">
        <v>1150</v>
      </c>
      <c r="C14562" t="s">
        <v>17469</v>
      </c>
      <c r="E14562" t="s">
        <v>30773</v>
      </c>
      <c r="F14562" t="s">
        <v>31362</v>
      </c>
      <c r="G14562" t="s">
        <v>31369</v>
      </c>
      <c r="H14562" t="s">
        <v>15799</v>
      </c>
      <c r="I14562" t="s">
        <v>31410</v>
      </c>
      <c r="J14562" t="s">
        <v>40313</v>
      </c>
      <c r="K14562" t="s">
        <v>40662</v>
      </c>
      <c r="M14562" t="s">
        <v>42159</v>
      </c>
      <c r="N14562" t="s">
        <v>44905</v>
      </c>
      <c r="O14562" t="s">
        <v>44906</v>
      </c>
      <c r="P14562">
        <v>0</v>
      </c>
      <c r="Q14562">
        <v>2</v>
      </c>
      <c r="R14562" t="s">
        <v>44928</v>
      </c>
      <c r="S14562" t="s">
        <v>45943</v>
      </c>
      <c r="T14562" t="s">
        <v>46483</v>
      </c>
      <c r="U14562" t="s">
        <v>58532</v>
      </c>
      <c r="W14562" t="s">
        <v>42159</v>
      </c>
      <c r="X14562" t="s">
        <v>44929</v>
      </c>
    </row>
    <row r="14563" spans="1:24">
      <c r="A14563">
        <f>HYPERLINK("https://www.philgeps.gov.ph/GEPSNONPILOT/Tender/SplashBidNoticeAbstractUI.aspx?menuIndex=3&amp;refID=7041365&amp;Result=3","7041365")</f>
        <v>0</v>
      </c>
      <c r="B14563" t="s">
        <v>3480</v>
      </c>
      <c r="C14563" t="s">
        <v>17470</v>
      </c>
      <c r="D14563" t="s">
        <v>18157</v>
      </c>
      <c r="E14563" t="s">
        <v>10823</v>
      </c>
      <c r="F14563" t="s">
        <v>31362</v>
      </c>
      <c r="G14563" t="s">
        <v>31369</v>
      </c>
      <c r="H14563" t="s">
        <v>15799</v>
      </c>
      <c r="I14563" t="s">
        <v>3815</v>
      </c>
      <c r="J14563" t="s">
        <v>40314</v>
      </c>
      <c r="K14563" t="s">
        <v>40666</v>
      </c>
      <c r="M14563" t="s">
        <v>44821</v>
      </c>
      <c r="N14563" t="s">
        <v>44905</v>
      </c>
      <c r="O14563" t="s">
        <v>44906</v>
      </c>
      <c r="P14563">
        <v>0</v>
      </c>
      <c r="Q14563">
        <v>1</v>
      </c>
      <c r="R14563" t="s">
        <v>44928</v>
      </c>
      <c r="S14563" t="s">
        <v>45943</v>
      </c>
      <c r="T14563" t="s">
        <v>46432</v>
      </c>
      <c r="U14563" t="s">
        <v>58534</v>
      </c>
      <c r="W14563" t="s">
        <v>44821</v>
      </c>
      <c r="X14563" t="s">
        <v>44929</v>
      </c>
    </row>
    <row r="14564" spans="1:24">
      <c r="A14564">
        <f>HYPERLINK("https://www.philgeps.gov.ph/GEPSNONPILOT/Tender/SplashBidNoticeAbstractUI.aspx?menuIndex=3&amp;refID=7040946&amp;Result=3","7040946")</f>
        <v>0</v>
      </c>
      <c r="B14564" t="s">
        <v>3481</v>
      </c>
      <c r="C14564" t="s">
        <v>17471</v>
      </c>
      <c r="D14564" t="s">
        <v>18104</v>
      </c>
      <c r="E14564" t="s">
        <v>21658</v>
      </c>
      <c r="F14564" t="s">
        <v>31362</v>
      </c>
      <c r="G14564" t="s">
        <v>31369</v>
      </c>
      <c r="H14564" t="s">
        <v>15799</v>
      </c>
      <c r="I14564" t="s">
        <v>31409</v>
      </c>
      <c r="J14564" t="s">
        <v>33444</v>
      </c>
      <c r="K14564" t="s">
        <v>40666</v>
      </c>
      <c r="M14564" t="s">
        <v>44822</v>
      </c>
      <c r="N14564" t="s">
        <v>44905</v>
      </c>
      <c r="O14564" t="s">
        <v>44906</v>
      </c>
      <c r="Q14564">
        <v>3</v>
      </c>
      <c r="R14564" t="s">
        <v>44928</v>
      </c>
      <c r="S14564" t="s">
        <v>45962</v>
      </c>
      <c r="T14564" t="s">
        <v>46570</v>
      </c>
      <c r="U14564" t="s">
        <v>58535</v>
      </c>
      <c r="V14564" t="s">
        <v>60727</v>
      </c>
      <c r="W14564" t="s">
        <v>44822</v>
      </c>
      <c r="X14564" t="s">
        <v>44930</v>
      </c>
    </row>
    <row r="14565" spans="1:24">
      <c r="A14565">
        <f>HYPERLINK("https://www.philgeps.gov.ph/GEPSNONPILOT/Tender/SplashBidNoticeAbstractUI.aspx?menuIndex=3&amp;refID=7041330&amp;Result=3","7041330")</f>
        <v>0</v>
      </c>
      <c r="B14565" t="s">
        <v>211</v>
      </c>
      <c r="C14565" t="s">
        <v>17472</v>
      </c>
      <c r="D14565" t="s">
        <v>18161</v>
      </c>
      <c r="E14565" t="s">
        <v>30774</v>
      </c>
      <c r="F14565" t="s">
        <v>31362</v>
      </c>
      <c r="G14565" t="s">
        <v>31369</v>
      </c>
      <c r="H14565" t="s">
        <v>31378</v>
      </c>
      <c r="I14565" t="s">
        <v>31386</v>
      </c>
      <c r="J14565" t="s">
        <v>32187</v>
      </c>
      <c r="K14565" t="s">
        <v>40716</v>
      </c>
      <c r="M14565" t="s">
        <v>41150</v>
      </c>
      <c r="N14565" t="s">
        <v>44905</v>
      </c>
      <c r="O14565" t="s">
        <v>44906</v>
      </c>
      <c r="Q14565">
        <v>3</v>
      </c>
      <c r="R14565" t="s">
        <v>44928</v>
      </c>
      <c r="S14565" t="s">
        <v>45963</v>
      </c>
      <c r="T14565" t="s">
        <v>46435</v>
      </c>
      <c r="U14565" t="s">
        <v>58536</v>
      </c>
      <c r="W14565" t="s">
        <v>41150</v>
      </c>
      <c r="X14565" t="s">
        <v>44929</v>
      </c>
    </row>
    <row r="14566" spans="1:24">
      <c r="A14566">
        <f>HYPERLINK("https://www.philgeps.gov.ph/GEPSNONPILOT/Tender/SplashBidNoticeAbstractUI.aspx?menuIndex=3&amp;refID=7041284&amp;Result=3","7041284")</f>
        <v>0</v>
      </c>
      <c r="B14566" t="s">
        <v>1150</v>
      </c>
      <c r="C14566" t="s">
        <v>17473</v>
      </c>
      <c r="E14566" t="s">
        <v>30775</v>
      </c>
      <c r="F14566" t="s">
        <v>31362</v>
      </c>
      <c r="G14566" t="s">
        <v>31369</v>
      </c>
      <c r="H14566" t="s">
        <v>31379</v>
      </c>
      <c r="I14566" t="s">
        <v>31436</v>
      </c>
      <c r="J14566" t="s">
        <v>40315</v>
      </c>
      <c r="K14566" t="s">
        <v>40723</v>
      </c>
      <c r="M14566" t="s">
        <v>42159</v>
      </c>
      <c r="N14566" t="s">
        <v>44905</v>
      </c>
      <c r="O14566" t="s">
        <v>44906</v>
      </c>
      <c r="P14566">
        <v>0</v>
      </c>
      <c r="Q14566">
        <v>1</v>
      </c>
      <c r="R14566" t="s">
        <v>44928</v>
      </c>
      <c r="S14566" t="s">
        <v>45943</v>
      </c>
      <c r="T14566" t="s">
        <v>46483</v>
      </c>
      <c r="U14566" t="s">
        <v>58537</v>
      </c>
      <c r="W14566" t="s">
        <v>42159</v>
      </c>
      <c r="X14566" t="s">
        <v>44929</v>
      </c>
    </row>
    <row r="14567" spans="1:24">
      <c r="A14567">
        <f>HYPERLINK("https://www.philgeps.gov.ph/GEPSNONPILOT/Tender/SplashBidNoticeAbstractUI.aspx?menuIndex=3&amp;refID=7040536&amp;Result=3","7040536")</f>
        <v>0</v>
      </c>
      <c r="B14567" t="s">
        <v>2973</v>
      </c>
      <c r="C14567" t="s">
        <v>17474</v>
      </c>
      <c r="D14567" t="s">
        <v>18155</v>
      </c>
      <c r="E14567" t="s">
        <v>30776</v>
      </c>
      <c r="F14567" t="s">
        <v>31362</v>
      </c>
      <c r="G14567" t="s">
        <v>31369</v>
      </c>
      <c r="H14567" t="s">
        <v>15799</v>
      </c>
      <c r="I14567" t="s">
        <v>31380</v>
      </c>
      <c r="J14567" t="s">
        <v>31625</v>
      </c>
      <c r="K14567" t="s">
        <v>40666</v>
      </c>
      <c r="M14567" t="s">
        <v>44197</v>
      </c>
      <c r="N14567" t="s">
        <v>44905</v>
      </c>
      <c r="O14567" t="s">
        <v>44906</v>
      </c>
      <c r="Q14567">
        <v>7</v>
      </c>
      <c r="R14567" t="s">
        <v>44928</v>
      </c>
      <c r="S14567" t="s">
        <v>45964</v>
      </c>
      <c r="T14567" t="s">
        <v>46414</v>
      </c>
      <c r="U14567" t="s">
        <v>58538</v>
      </c>
      <c r="W14567" t="s">
        <v>44197</v>
      </c>
      <c r="X14567" t="s">
        <v>44930</v>
      </c>
    </row>
    <row r="14568" spans="1:24">
      <c r="A14568">
        <f>HYPERLINK("https://www.philgeps.gov.ph/GEPSNONPILOT/Tender/SplashBidNoticeAbstractUI.aspx?menuIndex=3&amp;refID=7040105&amp;Result=3","7040105")</f>
        <v>0</v>
      </c>
      <c r="B14568" t="s">
        <v>676</v>
      </c>
      <c r="C14568" t="s">
        <v>17475</v>
      </c>
      <c r="D14568" t="s">
        <v>18134</v>
      </c>
      <c r="E14568" t="s">
        <v>30777</v>
      </c>
      <c r="F14568" t="s">
        <v>31362</v>
      </c>
      <c r="G14568" t="s">
        <v>31369</v>
      </c>
      <c r="H14568" t="s">
        <v>15799</v>
      </c>
      <c r="I14568" t="s">
        <v>31413</v>
      </c>
      <c r="J14568" t="s">
        <v>31709</v>
      </c>
      <c r="K14568" t="s">
        <v>40665</v>
      </c>
      <c r="M14568" t="s">
        <v>41638</v>
      </c>
      <c r="N14568" t="s">
        <v>44905</v>
      </c>
      <c r="O14568" t="s">
        <v>44906</v>
      </c>
      <c r="Q14568">
        <v>12</v>
      </c>
      <c r="R14568" t="s">
        <v>44928</v>
      </c>
      <c r="S14568" t="s">
        <v>45965</v>
      </c>
      <c r="T14568" t="s">
        <v>46713</v>
      </c>
      <c r="U14568" t="s">
        <v>53866</v>
      </c>
      <c r="W14568" t="s">
        <v>41638</v>
      </c>
      <c r="X14568" t="s">
        <v>44930</v>
      </c>
    </row>
    <row r="14569" spans="1:24">
      <c r="A14569">
        <f>HYPERLINK("https://www.philgeps.gov.ph/GEPSNONPILOT/Tender/SplashBidNoticeAbstractUI.aspx?menuIndex=3&amp;refID=7040033&amp;Result=3","7040033")</f>
        <v>0</v>
      </c>
      <c r="B14569" t="s">
        <v>676</v>
      </c>
      <c r="C14569" t="s">
        <v>17476</v>
      </c>
      <c r="D14569" t="s">
        <v>18134</v>
      </c>
      <c r="E14569" t="s">
        <v>30778</v>
      </c>
      <c r="F14569" t="s">
        <v>31362</v>
      </c>
      <c r="G14569" t="s">
        <v>31369</v>
      </c>
      <c r="H14569" t="s">
        <v>15799</v>
      </c>
      <c r="I14569" t="s">
        <v>7719</v>
      </c>
      <c r="J14569" t="s">
        <v>33534</v>
      </c>
      <c r="K14569" t="s">
        <v>40665</v>
      </c>
      <c r="M14569" t="s">
        <v>41638</v>
      </c>
      <c r="N14569" t="s">
        <v>44905</v>
      </c>
      <c r="O14569" t="s">
        <v>44906</v>
      </c>
      <c r="Q14569">
        <v>27</v>
      </c>
      <c r="R14569" t="s">
        <v>44928</v>
      </c>
      <c r="S14569" t="s">
        <v>45966</v>
      </c>
      <c r="T14569" t="s">
        <v>46713</v>
      </c>
      <c r="U14569" t="s">
        <v>53866</v>
      </c>
      <c r="W14569" t="s">
        <v>41638</v>
      </c>
      <c r="X14569" t="s">
        <v>44930</v>
      </c>
    </row>
    <row r="14570" spans="1:24">
      <c r="A14570">
        <f>HYPERLINK("https://www.philgeps.gov.ph/GEPSNONPILOT/Tender/SplashBidNoticeAbstractUI.aspx?menuIndex=3&amp;refID=7039846&amp;Result=3","7039846")</f>
        <v>0</v>
      </c>
      <c r="B14570" t="s">
        <v>363</v>
      </c>
      <c r="C14570" t="s">
        <v>17477</v>
      </c>
      <c r="D14570" t="s">
        <v>18136</v>
      </c>
      <c r="E14570" t="s">
        <v>30779</v>
      </c>
      <c r="F14570" t="s">
        <v>31362</v>
      </c>
      <c r="G14570" t="s">
        <v>31369</v>
      </c>
      <c r="H14570" t="s">
        <v>15799</v>
      </c>
      <c r="I14570" t="s">
        <v>7188</v>
      </c>
      <c r="J14570" t="s">
        <v>40316</v>
      </c>
      <c r="K14570" t="s">
        <v>40665</v>
      </c>
      <c r="M14570" t="s">
        <v>41310</v>
      </c>
      <c r="N14570" t="s">
        <v>44905</v>
      </c>
      <c r="O14570" t="s">
        <v>44906</v>
      </c>
      <c r="Q14570">
        <v>5</v>
      </c>
      <c r="R14570" t="s">
        <v>44928</v>
      </c>
      <c r="S14570" t="s">
        <v>45967</v>
      </c>
      <c r="T14570" t="s">
        <v>46432</v>
      </c>
      <c r="U14570" t="s">
        <v>58539</v>
      </c>
      <c r="W14570" t="s">
        <v>41310</v>
      </c>
      <c r="X14570" t="s">
        <v>44930</v>
      </c>
    </row>
    <row r="14571" spans="1:24">
      <c r="A14571">
        <f>HYPERLINK("https://www.philgeps.gov.ph/GEPSNONPILOT/Tender/SplashBidNoticeAbstractUI.aspx?menuIndex=3&amp;refID=7039602&amp;Result=3","7039602")</f>
        <v>0</v>
      </c>
      <c r="B14571" t="s">
        <v>363</v>
      </c>
      <c r="C14571" t="s">
        <v>17477</v>
      </c>
      <c r="D14571" t="s">
        <v>18136</v>
      </c>
      <c r="E14571" t="s">
        <v>30780</v>
      </c>
      <c r="F14571" t="s">
        <v>31362</v>
      </c>
      <c r="G14571" t="s">
        <v>31369</v>
      </c>
      <c r="H14571" t="s">
        <v>15799</v>
      </c>
      <c r="I14571" t="s">
        <v>7188</v>
      </c>
      <c r="J14571" t="s">
        <v>40317</v>
      </c>
      <c r="K14571" t="s">
        <v>40665</v>
      </c>
      <c r="M14571" t="s">
        <v>41310</v>
      </c>
      <c r="N14571" t="s">
        <v>44905</v>
      </c>
      <c r="O14571" t="s">
        <v>44906</v>
      </c>
      <c r="P14571">
        <v>0</v>
      </c>
      <c r="Q14571">
        <v>4</v>
      </c>
      <c r="R14571" t="s">
        <v>44928</v>
      </c>
      <c r="S14571" t="s">
        <v>45943</v>
      </c>
      <c r="T14571" t="s">
        <v>46432</v>
      </c>
      <c r="U14571" t="s">
        <v>58540</v>
      </c>
      <c r="W14571" t="s">
        <v>41310</v>
      </c>
      <c r="X14571" t="s">
        <v>44930</v>
      </c>
    </row>
    <row r="14572" spans="1:24">
      <c r="A14572">
        <f>HYPERLINK("https://www.philgeps.gov.ph/GEPSNONPILOT/Tender/SplashBidNoticeAbstractUI.aspx?menuIndex=3&amp;refID=7041344&amp;Result=3","7041344")</f>
        <v>0</v>
      </c>
      <c r="B14572" t="s">
        <v>1150</v>
      </c>
      <c r="C14572" t="s">
        <v>17478</v>
      </c>
      <c r="E14572" t="s">
        <v>30781</v>
      </c>
      <c r="F14572" t="s">
        <v>31362</v>
      </c>
      <c r="G14572" t="s">
        <v>31369</v>
      </c>
      <c r="H14572" t="s">
        <v>15799</v>
      </c>
      <c r="I14572" t="s">
        <v>31414</v>
      </c>
      <c r="J14572" t="s">
        <v>40318</v>
      </c>
      <c r="K14572" t="s">
        <v>40662</v>
      </c>
      <c r="M14572" t="s">
        <v>42159</v>
      </c>
      <c r="N14572" t="s">
        <v>44905</v>
      </c>
      <c r="O14572" t="s">
        <v>44906</v>
      </c>
      <c r="P14572">
        <v>0</v>
      </c>
      <c r="Q14572">
        <v>3</v>
      </c>
      <c r="R14572" t="s">
        <v>44928</v>
      </c>
      <c r="S14572" t="s">
        <v>45943</v>
      </c>
      <c r="T14572" t="s">
        <v>46483</v>
      </c>
      <c r="U14572" t="s">
        <v>58532</v>
      </c>
      <c r="W14572" t="s">
        <v>42159</v>
      </c>
      <c r="X14572" t="s">
        <v>44929</v>
      </c>
    </row>
    <row r="14573" spans="1:24">
      <c r="A14573">
        <f>HYPERLINK("https://www.philgeps.gov.ph/GEPSNONPILOT/Tender/SplashBidNoticeAbstractUI.aspx?menuIndex=3&amp;refID=7039112&amp;Result=3","7039112")</f>
        <v>0</v>
      </c>
      <c r="B14573" t="s">
        <v>219</v>
      </c>
      <c r="C14573" t="s">
        <v>17479</v>
      </c>
      <c r="D14573" t="s">
        <v>18124</v>
      </c>
      <c r="E14573" t="s">
        <v>30782</v>
      </c>
      <c r="F14573" t="s">
        <v>31362</v>
      </c>
      <c r="G14573" t="s">
        <v>31369</v>
      </c>
      <c r="H14573" t="s">
        <v>31378</v>
      </c>
      <c r="I14573" t="s">
        <v>31386</v>
      </c>
      <c r="J14573" t="s">
        <v>31637</v>
      </c>
      <c r="K14573" t="s">
        <v>40686</v>
      </c>
      <c r="M14573" t="s">
        <v>44000</v>
      </c>
      <c r="N14573" t="s">
        <v>44905</v>
      </c>
      <c r="O14573" t="s">
        <v>44906</v>
      </c>
      <c r="P14573">
        <v>0</v>
      </c>
      <c r="Q14573">
        <v>6</v>
      </c>
      <c r="R14573" t="s">
        <v>44928</v>
      </c>
      <c r="S14573" t="s">
        <v>45943</v>
      </c>
      <c r="T14573" t="s">
        <v>46409</v>
      </c>
      <c r="U14573" t="s">
        <v>58541</v>
      </c>
      <c r="W14573" t="s">
        <v>41751</v>
      </c>
      <c r="X14573" t="s">
        <v>44930</v>
      </c>
    </row>
    <row r="14574" spans="1:24">
      <c r="A14574">
        <f>HYPERLINK("https://www.philgeps.gov.ph/GEPSNONPILOT/Tender/SplashBidNoticeAbstractUI.aspx?menuIndex=3&amp;refID=7052752&amp;Result=3","7052752")</f>
        <v>0</v>
      </c>
      <c r="B14574" t="s">
        <v>3482</v>
      </c>
      <c r="C14574" t="s">
        <v>17480</v>
      </c>
      <c r="D14574" t="s">
        <v>18154</v>
      </c>
      <c r="E14574" t="s">
        <v>30783</v>
      </c>
      <c r="F14574" t="s">
        <v>31362</v>
      </c>
      <c r="G14574" t="s">
        <v>31369</v>
      </c>
      <c r="H14574" t="s">
        <v>15799</v>
      </c>
      <c r="I14574" t="s">
        <v>3815</v>
      </c>
      <c r="J14574" t="s">
        <v>40319</v>
      </c>
      <c r="K14574" t="s">
        <v>40666</v>
      </c>
      <c r="M14574" t="s">
        <v>44823</v>
      </c>
      <c r="N14574" t="s">
        <v>44905</v>
      </c>
      <c r="O14574" t="s">
        <v>44906</v>
      </c>
      <c r="P14574">
        <v>0</v>
      </c>
      <c r="Q14574">
        <v>1</v>
      </c>
      <c r="R14574" t="s">
        <v>44921</v>
      </c>
      <c r="S14574" t="s">
        <v>45564</v>
      </c>
      <c r="T14574" t="s">
        <v>46549</v>
      </c>
      <c r="U14574" t="s">
        <v>58542</v>
      </c>
      <c r="V14574" t="s">
        <v>60728</v>
      </c>
      <c r="W14574" t="s">
        <v>44823</v>
      </c>
      <c r="X14574" t="s">
        <v>44922</v>
      </c>
    </row>
    <row r="14575" spans="1:24">
      <c r="A14575">
        <f>HYPERLINK("https://www.philgeps.gov.ph/GEPSNONPILOT/Tender/SplashBidNoticeAbstractUI.aspx?menuIndex=3&amp;refID=7041322&amp;Result=3","7041322")</f>
        <v>0</v>
      </c>
      <c r="B14575" t="s">
        <v>3479</v>
      </c>
      <c r="C14575" t="s">
        <v>17481</v>
      </c>
      <c r="D14575" t="s">
        <v>18100</v>
      </c>
      <c r="E14575" t="s">
        <v>30784</v>
      </c>
      <c r="F14575" t="s">
        <v>31362</v>
      </c>
      <c r="G14575" t="s">
        <v>31369</v>
      </c>
      <c r="H14575" t="s">
        <v>15799</v>
      </c>
      <c r="I14575" t="s">
        <v>31409</v>
      </c>
      <c r="J14575" t="s">
        <v>33068</v>
      </c>
      <c r="K14575" t="s">
        <v>40665</v>
      </c>
      <c r="M14575" t="s">
        <v>44820</v>
      </c>
      <c r="N14575" t="s">
        <v>44905</v>
      </c>
      <c r="O14575" t="s">
        <v>44906</v>
      </c>
      <c r="P14575">
        <v>0</v>
      </c>
      <c r="Q14575">
        <v>3</v>
      </c>
      <c r="R14575" t="s">
        <v>44928</v>
      </c>
      <c r="S14575" t="s">
        <v>45943</v>
      </c>
      <c r="T14575" t="s">
        <v>46670</v>
      </c>
      <c r="U14575" t="s">
        <v>58543</v>
      </c>
      <c r="W14575" t="s">
        <v>44820</v>
      </c>
      <c r="X14575" t="s">
        <v>44929</v>
      </c>
    </row>
    <row r="14576" spans="1:24">
      <c r="A14576">
        <f>HYPERLINK("https://www.philgeps.gov.ph/GEPSNONPILOT/Tender/SplashBidNoticeAbstractUI.aspx?menuIndex=3&amp;refID=7039322&amp;Result=3","7039322")</f>
        <v>0</v>
      </c>
      <c r="B14576" t="s">
        <v>3160</v>
      </c>
      <c r="C14576" t="s">
        <v>17482</v>
      </c>
      <c r="D14576" t="s">
        <v>18109</v>
      </c>
      <c r="E14576" t="s">
        <v>30785</v>
      </c>
      <c r="F14576" t="s">
        <v>31364</v>
      </c>
      <c r="G14576" t="s">
        <v>31370</v>
      </c>
      <c r="H14576" t="s">
        <v>15799</v>
      </c>
      <c r="I14576" t="s">
        <v>31430</v>
      </c>
      <c r="J14576" t="s">
        <v>40320</v>
      </c>
      <c r="K14576" t="s">
        <v>40712</v>
      </c>
      <c r="M14576" t="s">
        <v>44424</v>
      </c>
      <c r="N14576" t="s">
        <v>44905</v>
      </c>
      <c r="O14576" t="s">
        <v>44906</v>
      </c>
      <c r="Q14576">
        <v>1</v>
      </c>
      <c r="R14576" t="s">
        <v>44928</v>
      </c>
      <c r="S14576" t="s">
        <v>45968</v>
      </c>
      <c r="T14576" t="s">
        <v>46470</v>
      </c>
      <c r="U14576" t="s">
        <v>58544</v>
      </c>
      <c r="W14576" t="s">
        <v>44424</v>
      </c>
      <c r="X14576" t="s">
        <v>44930</v>
      </c>
    </row>
    <row r="14577" spans="1:24">
      <c r="A14577">
        <f>HYPERLINK("https://www.philgeps.gov.ph/GEPSNONPILOT/Tender/SplashBidNoticeAbstractUI.aspx?menuIndex=3&amp;refID=7052745&amp;Result=3","7052745")</f>
        <v>0</v>
      </c>
      <c r="B14577" t="s">
        <v>548</v>
      </c>
      <c r="C14577" t="s">
        <v>17483</v>
      </c>
      <c r="D14577" t="s">
        <v>18154</v>
      </c>
      <c r="E14577" t="s">
        <v>30786</v>
      </c>
      <c r="F14577" t="s">
        <v>31362</v>
      </c>
      <c r="G14577" t="s">
        <v>31369</v>
      </c>
      <c r="H14577" t="s">
        <v>15799</v>
      </c>
      <c r="I14577" t="s">
        <v>31397</v>
      </c>
      <c r="J14577" t="s">
        <v>40321</v>
      </c>
      <c r="K14577" t="s">
        <v>40666</v>
      </c>
      <c r="M14577" t="s">
        <v>41504</v>
      </c>
      <c r="N14577" t="s">
        <v>44905</v>
      </c>
      <c r="O14577" t="s">
        <v>44906</v>
      </c>
      <c r="P14577">
        <v>0</v>
      </c>
      <c r="Q14577">
        <v>1</v>
      </c>
      <c r="R14577" t="s">
        <v>44921</v>
      </c>
      <c r="S14577" t="s">
        <v>45564</v>
      </c>
      <c r="T14577" t="s">
        <v>46447</v>
      </c>
      <c r="U14577" t="s">
        <v>58545</v>
      </c>
      <c r="W14577" t="s">
        <v>41504</v>
      </c>
      <c r="X14577" t="s">
        <v>44922</v>
      </c>
    </row>
    <row r="14578" spans="1:24">
      <c r="A14578">
        <f>HYPERLINK("https://www.philgeps.gov.ph/GEPSNONPILOT/Tender/SplashBidNoticeAbstractUI.aspx?menuIndex=3&amp;refID=7040496&amp;Result=3","7040496")</f>
        <v>0</v>
      </c>
      <c r="B14578" t="s">
        <v>2973</v>
      </c>
      <c r="C14578" t="s">
        <v>17484</v>
      </c>
      <c r="D14578" t="s">
        <v>18155</v>
      </c>
      <c r="E14578" t="s">
        <v>30787</v>
      </c>
      <c r="F14578" t="s">
        <v>31362</v>
      </c>
      <c r="G14578" t="s">
        <v>31369</v>
      </c>
      <c r="H14578" t="s">
        <v>15799</v>
      </c>
      <c r="I14578" t="s">
        <v>31382</v>
      </c>
      <c r="J14578" t="s">
        <v>31586</v>
      </c>
      <c r="K14578" t="s">
        <v>40666</v>
      </c>
      <c r="M14578" t="s">
        <v>44197</v>
      </c>
      <c r="N14578" t="s">
        <v>44905</v>
      </c>
      <c r="O14578" t="s">
        <v>44906</v>
      </c>
      <c r="Q14578">
        <v>10</v>
      </c>
      <c r="R14578" t="s">
        <v>44928</v>
      </c>
      <c r="S14578" t="s">
        <v>45142</v>
      </c>
      <c r="T14578" t="s">
        <v>46670</v>
      </c>
      <c r="U14578" t="s">
        <v>58546</v>
      </c>
      <c r="W14578" t="s">
        <v>44197</v>
      </c>
      <c r="X14578" t="s">
        <v>44930</v>
      </c>
    </row>
    <row r="14579" spans="1:24">
      <c r="A14579">
        <f>HYPERLINK("https://www.philgeps.gov.ph/GEPSNONPILOT/Tender/SplashBidNoticeAbstractUI.aspx?menuIndex=3&amp;refID=7052750&amp;Result=3","7052750")</f>
        <v>0</v>
      </c>
      <c r="B14579" t="s">
        <v>548</v>
      </c>
      <c r="C14579" t="s">
        <v>17485</v>
      </c>
      <c r="D14579" t="s">
        <v>18154</v>
      </c>
      <c r="E14579" t="s">
        <v>30788</v>
      </c>
      <c r="F14579" t="s">
        <v>31362</v>
      </c>
      <c r="G14579" t="s">
        <v>31369</v>
      </c>
      <c r="H14579" t="s">
        <v>15799</v>
      </c>
      <c r="I14579" t="s">
        <v>31507</v>
      </c>
      <c r="J14579" t="s">
        <v>31542</v>
      </c>
      <c r="K14579" t="s">
        <v>40666</v>
      </c>
      <c r="M14579" t="s">
        <v>41504</v>
      </c>
      <c r="N14579" t="s">
        <v>44905</v>
      </c>
      <c r="O14579" t="s">
        <v>44906</v>
      </c>
      <c r="P14579">
        <v>0</v>
      </c>
      <c r="Q14579">
        <v>2</v>
      </c>
      <c r="R14579" t="s">
        <v>44921</v>
      </c>
      <c r="S14579" t="s">
        <v>45564</v>
      </c>
      <c r="T14579" t="s">
        <v>46447</v>
      </c>
      <c r="U14579" t="s">
        <v>58547</v>
      </c>
      <c r="W14579" t="s">
        <v>41504</v>
      </c>
      <c r="X14579" t="s">
        <v>44922</v>
      </c>
    </row>
    <row r="14580" spans="1:24">
      <c r="A14580">
        <f>HYPERLINK("https://www.philgeps.gov.ph/GEPSNONPILOT/Tender/SplashBidNoticeAbstractUI.aspx?menuIndex=3&amp;refID=7047369&amp;Result=3","7047369")</f>
        <v>0</v>
      </c>
      <c r="B14580" t="s">
        <v>329</v>
      </c>
      <c r="C14580" t="s">
        <v>17486</v>
      </c>
      <c r="D14580" t="s">
        <v>18160</v>
      </c>
      <c r="E14580" t="s">
        <v>30789</v>
      </c>
      <c r="F14580" t="s">
        <v>31362</v>
      </c>
      <c r="G14580" t="s">
        <v>31369</v>
      </c>
      <c r="H14580" t="s">
        <v>15799</v>
      </c>
      <c r="I14580" t="s">
        <v>31380</v>
      </c>
      <c r="J14580" t="s">
        <v>40322</v>
      </c>
      <c r="K14580" t="s">
        <v>40662</v>
      </c>
      <c r="M14580" t="s">
        <v>44388</v>
      </c>
      <c r="N14580" t="s">
        <v>44905</v>
      </c>
      <c r="O14580" t="s">
        <v>44906</v>
      </c>
      <c r="Q14580">
        <v>56</v>
      </c>
      <c r="R14580" t="s">
        <v>44921</v>
      </c>
      <c r="S14580" t="s">
        <v>45969</v>
      </c>
      <c r="T14580" t="s">
        <v>46519</v>
      </c>
      <c r="U14580" t="s">
        <v>58548</v>
      </c>
      <c r="W14580" t="s">
        <v>44388</v>
      </c>
      <c r="X14580" t="s">
        <v>44924</v>
      </c>
    </row>
    <row r="14581" spans="1:24">
      <c r="A14581">
        <f>HYPERLINK("https://www.philgeps.gov.ph/GEPSNONPILOT/Tender/SplashBidNoticeAbstractUI.aspx?menuIndex=3&amp;refID=7041234&amp;Result=3","7041234")</f>
        <v>0</v>
      </c>
      <c r="B14581" t="s">
        <v>2655</v>
      </c>
      <c r="C14581" t="s">
        <v>17487</v>
      </c>
      <c r="D14581" t="s">
        <v>18163</v>
      </c>
      <c r="E14581" t="s">
        <v>30790</v>
      </c>
      <c r="F14581" t="s">
        <v>31362</v>
      </c>
      <c r="G14581" t="s">
        <v>31369</v>
      </c>
      <c r="H14581" t="s">
        <v>15799</v>
      </c>
      <c r="I14581" t="s">
        <v>31404</v>
      </c>
      <c r="J14581" t="s">
        <v>40323</v>
      </c>
      <c r="K14581" t="s">
        <v>40665</v>
      </c>
      <c r="M14581" t="s">
        <v>43839</v>
      </c>
      <c r="N14581" t="s">
        <v>44905</v>
      </c>
      <c r="O14581" t="s">
        <v>44906</v>
      </c>
      <c r="P14581">
        <v>0</v>
      </c>
      <c r="Q14581">
        <v>1</v>
      </c>
      <c r="R14581" t="s">
        <v>44928</v>
      </c>
      <c r="S14581" t="s">
        <v>45943</v>
      </c>
      <c r="T14581" t="s">
        <v>46507</v>
      </c>
      <c r="U14581" t="s">
        <v>58549</v>
      </c>
      <c r="W14581" t="s">
        <v>43839</v>
      </c>
      <c r="X14581" t="s">
        <v>44929</v>
      </c>
    </row>
    <row r="14582" spans="1:24">
      <c r="A14582">
        <f>HYPERLINK("https://www.philgeps.gov.ph/GEPSNONPILOT/Tender/SplashBidNoticeAbstractUI.aspx?menuIndex=3&amp;refID=7045768&amp;Result=3","7045768")</f>
        <v>0</v>
      </c>
      <c r="B14582" t="s">
        <v>2775</v>
      </c>
      <c r="C14582" t="s">
        <v>17488</v>
      </c>
      <c r="D14582" t="s">
        <v>18151</v>
      </c>
      <c r="E14582" t="s">
        <v>30791</v>
      </c>
      <c r="F14582" t="s">
        <v>31362</v>
      </c>
      <c r="G14582" t="s">
        <v>31369</v>
      </c>
      <c r="H14582" t="s">
        <v>31378</v>
      </c>
      <c r="I14582" t="s">
        <v>31386</v>
      </c>
      <c r="J14582" t="s">
        <v>40324</v>
      </c>
      <c r="K14582" t="s">
        <v>40735</v>
      </c>
      <c r="M14582" t="s">
        <v>43968</v>
      </c>
      <c r="N14582" t="s">
        <v>44905</v>
      </c>
      <c r="O14582" t="s">
        <v>44906</v>
      </c>
      <c r="P14582">
        <v>0</v>
      </c>
      <c r="Q14582">
        <v>0</v>
      </c>
      <c r="R14582" t="s">
        <v>44921</v>
      </c>
      <c r="S14582" t="s">
        <v>45564</v>
      </c>
      <c r="T14582" t="s">
        <v>46483</v>
      </c>
      <c r="U14582" t="s">
        <v>58550</v>
      </c>
      <c r="W14582" t="s">
        <v>43968</v>
      </c>
      <c r="X14582" t="s">
        <v>44925</v>
      </c>
    </row>
    <row r="14583" spans="1:24">
      <c r="A14583">
        <f>HYPERLINK("https://www.philgeps.gov.ph/GEPSNONPILOT/Tender/SplashBidNoticeAbstractUI.aspx?menuIndex=3&amp;refID=7043681&amp;Result=3","7043681")</f>
        <v>0</v>
      </c>
      <c r="B14583" t="s">
        <v>3483</v>
      </c>
      <c r="C14583" t="s">
        <v>17489</v>
      </c>
      <c r="D14583" t="s">
        <v>18129</v>
      </c>
      <c r="E14583" t="s">
        <v>30792</v>
      </c>
      <c r="F14583" t="s">
        <v>31362</v>
      </c>
      <c r="G14583" t="s">
        <v>31369</v>
      </c>
      <c r="H14583" t="s">
        <v>31378</v>
      </c>
      <c r="I14583" t="s">
        <v>31386</v>
      </c>
      <c r="J14583" t="s">
        <v>31602</v>
      </c>
      <c r="K14583" t="s">
        <v>40686</v>
      </c>
      <c r="M14583" t="s">
        <v>44824</v>
      </c>
      <c r="N14583" t="s">
        <v>44905</v>
      </c>
      <c r="O14583" t="s">
        <v>44906</v>
      </c>
      <c r="P14583">
        <v>0</v>
      </c>
      <c r="Q14583">
        <v>0</v>
      </c>
      <c r="R14583" t="s">
        <v>44921</v>
      </c>
      <c r="S14583" t="s">
        <v>45564</v>
      </c>
      <c r="T14583" t="s">
        <v>46393</v>
      </c>
      <c r="U14583" t="s">
        <v>58551</v>
      </c>
      <c r="W14583" t="s">
        <v>60975</v>
      </c>
      <c r="X14583" t="s">
        <v>44928</v>
      </c>
    </row>
    <row r="14584" spans="1:24">
      <c r="A14584">
        <f>HYPERLINK("https://www.philgeps.gov.ph/GEPSNONPILOT/Tender/SplashBidNoticeAbstractUI.aspx?menuIndex=3&amp;refID=7038409&amp;Result=3","7038409")</f>
        <v>0</v>
      </c>
      <c r="B14584" t="s">
        <v>38</v>
      </c>
      <c r="C14584" t="s">
        <v>17490</v>
      </c>
      <c r="E14584" t="s">
        <v>30793</v>
      </c>
      <c r="F14584" t="s">
        <v>31362</v>
      </c>
      <c r="G14584" t="s">
        <v>31369</v>
      </c>
      <c r="H14584" t="s">
        <v>31378</v>
      </c>
      <c r="I14584" t="s">
        <v>31386</v>
      </c>
      <c r="J14584" t="s">
        <v>39223</v>
      </c>
      <c r="K14584" t="s">
        <v>40683</v>
      </c>
      <c r="M14584" t="s">
        <v>40972</v>
      </c>
      <c r="N14584" t="s">
        <v>44905</v>
      </c>
      <c r="O14584" t="s">
        <v>44906</v>
      </c>
      <c r="P14584">
        <v>0</v>
      </c>
      <c r="Q14584">
        <v>3</v>
      </c>
      <c r="R14584" t="s">
        <v>44921</v>
      </c>
      <c r="S14584" t="s">
        <v>45564</v>
      </c>
      <c r="T14584" t="s">
        <v>46425</v>
      </c>
      <c r="U14584" t="s">
        <v>58552</v>
      </c>
      <c r="W14584" t="s">
        <v>40972</v>
      </c>
      <c r="X14584" t="s">
        <v>44930</v>
      </c>
    </row>
    <row r="14585" spans="1:24">
      <c r="A14585">
        <f>HYPERLINK("https://www.philgeps.gov.ph/GEPSNONPILOT/Tender/SplashBidNoticeAbstractUI.aspx?menuIndex=3&amp;refID=7045844&amp;Result=3","7045844")</f>
        <v>0</v>
      </c>
      <c r="B14585" t="s">
        <v>3484</v>
      </c>
      <c r="C14585" t="s">
        <v>17491</v>
      </c>
      <c r="D14585" t="s">
        <v>18134</v>
      </c>
      <c r="E14585" t="s">
        <v>30794</v>
      </c>
      <c r="F14585" t="s">
        <v>31362</v>
      </c>
      <c r="G14585" t="s">
        <v>31369</v>
      </c>
      <c r="H14585" t="s">
        <v>31378</v>
      </c>
      <c r="I14585" t="s">
        <v>31386</v>
      </c>
      <c r="J14585" t="s">
        <v>31591</v>
      </c>
      <c r="K14585" t="s">
        <v>40679</v>
      </c>
      <c r="M14585" t="s">
        <v>44825</v>
      </c>
      <c r="N14585" t="s">
        <v>44905</v>
      </c>
      <c r="O14585" t="s">
        <v>44906</v>
      </c>
      <c r="P14585">
        <v>0</v>
      </c>
      <c r="Q14585">
        <v>0</v>
      </c>
      <c r="R14585" t="s">
        <v>44921</v>
      </c>
      <c r="S14585" t="s">
        <v>45564</v>
      </c>
      <c r="T14585" t="s">
        <v>46470</v>
      </c>
      <c r="U14585" t="s">
        <v>58553</v>
      </c>
      <c r="W14585" t="s">
        <v>44825</v>
      </c>
      <c r="X14585" t="s">
        <v>44925</v>
      </c>
    </row>
    <row r="14586" spans="1:24">
      <c r="A14586">
        <f>HYPERLINK("https://www.philgeps.gov.ph/GEPSNONPILOT/Tender/SplashBidNoticeAbstractUI.aspx?menuIndex=3&amp;refID=7046231&amp;Result=3","7046231")</f>
        <v>0</v>
      </c>
      <c r="B14586" t="s">
        <v>3484</v>
      </c>
      <c r="C14586" t="s">
        <v>17492</v>
      </c>
      <c r="D14586" t="s">
        <v>18134</v>
      </c>
      <c r="E14586" t="s">
        <v>30795</v>
      </c>
      <c r="F14586" t="s">
        <v>31362</v>
      </c>
      <c r="G14586" t="s">
        <v>31369</v>
      </c>
      <c r="H14586" t="s">
        <v>31378</v>
      </c>
      <c r="I14586" t="s">
        <v>31386</v>
      </c>
      <c r="J14586" t="s">
        <v>31591</v>
      </c>
      <c r="K14586" t="s">
        <v>40679</v>
      </c>
      <c r="M14586" t="s">
        <v>44825</v>
      </c>
      <c r="N14586" t="s">
        <v>44905</v>
      </c>
      <c r="O14586" t="s">
        <v>44906</v>
      </c>
      <c r="P14586">
        <v>0</v>
      </c>
      <c r="Q14586">
        <v>0</v>
      </c>
      <c r="R14586" t="s">
        <v>44921</v>
      </c>
      <c r="S14586" t="s">
        <v>45564</v>
      </c>
      <c r="T14586" t="s">
        <v>46444</v>
      </c>
      <c r="U14586" t="s">
        <v>58554</v>
      </c>
      <c r="W14586" t="s">
        <v>44825</v>
      </c>
      <c r="X14586" t="s">
        <v>44925</v>
      </c>
    </row>
    <row r="14587" spans="1:24">
      <c r="A14587">
        <f>HYPERLINK("https://www.philgeps.gov.ph/GEPSNONPILOT/Tender/SplashBidNoticeAbstractUI.aspx?menuIndex=3&amp;refID=7057925&amp;Result=3","7057925")</f>
        <v>0</v>
      </c>
      <c r="B14587" t="s">
        <v>1519</v>
      </c>
      <c r="C14587" t="s">
        <v>17493</v>
      </c>
      <c r="D14587" t="s">
        <v>18108</v>
      </c>
      <c r="E14587" t="s">
        <v>30796</v>
      </c>
      <c r="F14587" t="s">
        <v>31362</v>
      </c>
      <c r="G14587" t="s">
        <v>31369</v>
      </c>
      <c r="H14587" t="s">
        <v>31378</v>
      </c>
      <c r="I14587" t="s">
        <v>31386</v>
      </c>
      <c r="J14587" t="s">
        <v>40325</v>
      </c>
      <c r="K14587" t="s">
        <v>40678</v>
      </c>
      <c r="M14587" t="s">
        <v>42656</v>
      </c>
      <c r="N14587" t="s">
        <v>44905</v>
      </c>
      <c r="O14587" t="s">
        <v>44906</v>
      </c>
      <c r="Q14587">
        <v>28</v>
      </c>
      <c r="R14587" t="s">
        <v>44920</v>
      </c>
      <c r="S14587" t="s">
        <v>45970</v>
      </c>
      <c r="T14587" t="s">
        <v>46470</v>
      </c>
      <c r="U14587" t="s">
        <v>50837</v>
      </c>
      <c r="W14587" t="s">
        <v>42656</v>
      </c>
      <c r="X14587" t="s">
        <v>44921</v>
      </c>
    </row>
    <row r="14588" spans="1:24">
      <c r="A14588">
        <f>HYPERLINK("https://www.philgeps.gov.ph/GEPSNONPILOT/Tender/SplashBidNoticeAbstractUI.aspx?menuIndex=3&amp;refID=7057692&amp;Result=3","7057692")</f>
        <v>0</v>
      </c>
      <c r="B14588" t="s">
        <v>3485</v>
      </c>
      <c r="C14588" t="s">
        <v>17494</v>
      </c>
      <c r="D14588" t="s">
        <v>18108</v>
      </c>
      <c r="E14588" t="s">
        <v>30797</v>
      </c>
      <c r="F14588" t="s">
        <v>31365</v>
      </c>
      <c r="G14588" t="s">
        <v>31369</v>
      </c>
      <c r="H14588" t="s">
        <v>15799</v>
      </c>
      <c r="I14588" t="s">
        <v>7090</v>
      </c>
      <c r="J14588" t="s">
        <v>33084</v>
      </c>
      <c r="K14588" t="s">
        <v>40661</v>
      </c>
      <c r="M14588" t="s">
        <v>44826</v>
      </c>
      <c r="N14588" t="s">
        <v>44905</v>
      </c>
      <c r="O14588" t="s">
        <v>44906</v>
      </c>
      <c r="P14588">
        <v>0</v>
      </c>
      <c r="Q14588">
        <v>5</v>
      </c>
      <c r="R14588" t="s">
        <v>44920</v>
      </c>
      <c r="S14588" t="s">
        <v>45492</v>
      </c>
      <c r="T14588" t="s">
        <v>46432</v>
      </c>
      <c r="U14588" t="s">
        <v>58555</v>
      </c>
      <c r="W14588" t="s">
        <v>44826</v>
      </c>
      <c r="X14588" t="s">
        <v>44921</v>
      </c>
    </row>
    <row r="14589" spans="1:24">
      <c r="A14589">
        <f>HYPERLINK("https://www.philgeps.gov.ph/GEPSNONPILOT/Tender/SplashBidNoticeAbstractUI.aspx?menuIndex=3&amp;refID=7045905&amp;Result=3","7045905")</f>
        <v>0</v>
      </c>
      <c r="B14589" t="s">
        <v>2775</v>
      </c>
      <c r="C14589" t="s">
        <v>17495</v>
      </c>
      <c r="D14589" t="s">
        <v>18151</v>
      </c>
      <c r="E14589" t="s">
        <v>30798</v>
      </c>
      <c r="F14589" t="s">
        <v>31362</v>
      </c>
      <c r="G14589" t="s">
        <v>31369</v>
      </c>
      <c r="H14589" t="s">
        <v>31378</v>
      </c>
      <c r="I14589" t="s">
        <v>31386</v>
      </c>
      <c r="J14589" t="s">
        <v>40326</v>
      </c>
      <c r="K14589" t="s">
        <v>40735</v>
      </c>
      <c r="M14589" t="s">
        <v>43968</v>
      </c>
      <c r="N14589" t="s">
        <v>44905</v>
      </c>
      <c r="O14589" t="s">
        <v>44906</v>
      </c>
      <c r="P14589">
        <v>0</v>
      </c>
      <c r="Q14589">
        <v>1</v>
      </c>
      <c r="R14589" t="s">
        <v>44921</v>
      </c>
      <c r="S14589" t="s">
        <v>45564</v>
      </c>
      <c r="T14589" t="s">
        <v>46483</v>
      </c>
      <c r="U14589" t="s">
        <v>58556</v>
      </c>
      <c r="W14589" t="s">
        <v>43968</v>
      </c>
      <c r="X14589" t="s">
        <v>44925</v>
      </c>
    </row>
    <row r="14590" spans="1:24">
      <c r="A14590">
        <f>HYPERLINK("https://www.philgeps.gov.ph/GEPSNONPILOT/Tender/SplashBidNoticeAbstractUI.aspx?menuIndex=3&amp;refID=7057690&amp;Result=3","7057690")</f>
        <v>0</v>
      </c>
      <c r="B14590" t="s">
        <v>3264</v>
      </c>
      <c r="C14590" t="s">
        <v>17496</v>
      </c>
      <c r="E14590" t="s">
        <v>30799</v>
      </c>
      <c r="F14590" t="s">
        <v>31362</v>
      </c>
      <c r="G14590" t="s">
        <v>31369</v>
      </c>
      <c r="H14590" t="s">
        <v>15799</v>
      </c>
      <c r="I14590" t="s">
        <v>31444</v>
      </c>
      <c r="J14590" t="s">
        <v>40327</v>
      </c>
      <c r="K14590" t="s">
        <v>40662</v>
      </c>
      <c r="M14590" t="s">
        <v>44545</v>
      </c>
      <c r="N14590" t="s">
        <v>44905</v>
      </c>
      <c r="O14590" t="s">
        <v>44906</v>
      </c>
      <c r="Q14590">
        <v>14</v>
      </c>
      <c r="R14590" t="s">
        <v>44920</v>
      </c>
      <c r="S14590" t="s">
        <v>45971</v>
      </c>
      <c r="T14590" t="s">
        <v>46859</v>
      </c>
      <c r="U14590" t="s">
        <v>57005</v>
      </c>
      <c r="W14590" t="s">
        <v>44545</v>
      </c>
      <c r="X14590" t="s">
        <v>44921</v>
      </c>
    </row>
    <row r="14591" spans="1:24">
      <c r="A14591">
        <f>HYPERLINK("https://www.philgeps.gov.ph/GEPSNONPILOT/Tender/SplashBidNoticeAbstractUI.aspx?menuIndex=3&amp;refID=7039324&amp;Result=3","7039324")</f>
        <v>0</v>
      </c>
      <c r="B14591" t="s">
        <v>3486</v>
      </c>
      <c r="C14591" t="s">
        <v>17497</v>
      </c>
      <c r="D14591" t="s">
        <v>18158</v>
      </c>
      <c r="E14591" t="s">
        <v>30800</v>
      </c>
      <c r="F14591" t="s">
        <v>31362</v>
      </c>
      <c r="G14591" t="s">
        <v>31369</v>
      </c>
      <c r="H14591" t="s">
        <v>15799</v>
      </c>
      <c r="I14591" t="s">
        <v>3815</v>
      </c>
      <c r="J14591" t="s">
        <v>31536</v>
      </c>
      <c r="K14591" t="s">
        <v>40665</v>
      </c>
      <c r="M14591" t="s">
        <v>44827</v>
      </c>
      <c r="N14591" t="s">
        <v>44905</v>
      </c>
      <c r="O14591" t="s">
        <v>44906</v>
      </c>
      <c r="P14591">
        <v>0</v>
      </c>
      <c r="Q14591">
        <v>0</v>
      </c>
      <c r="R14591" t="s">
        <v>44921</v>
      </c>
      <c r="S14591" t="s">
        <v>45564</v>
      </c>
      <c r="T14591" t="s">
        <v>46409</v>
      </c>
      <c r="U14591" t="s">
        <v>47088</v>
      </c>
      <c r="W14591" t="s">
        <v>44827</v>
      </c>
      <c r="X14591" t="s">
        <v>44930</v>
      </c>
    </row>
    <row r="14592" spans="1:24">
      <c r="A14592">
        <f>HYPERLINK("https://www.philgeps.gov.ph/GEPSNONPILOT/Tender/SplashBidNoticeAbstractUI.aspx?menuIndex=3&amp;refID=7057935&amp;Result=3","7057935")</f>
        <v>0</v>
      </c>
      <c r="B14592" t="s">
        <v>178</v>
      </c>
      <c r="C14592" t="s">
        <v>17498</v>
      </c>
      <c r="D14592" t="s">
        <v>18126</v>
      </c>
      <c r="E14592" t="s">
        <v>30801</v>
      </c>
      <c r="F14592" t="s">
        <v>31362</v>
      </c>
      <c r="G14592" t="s">
        <v>31369</v>
      </c>
      <c r="H14592" t="s">
        <v>15799</v>
      </c>
      <c r="I14592" t="s">
        <v>31396</v>
      </c>
      <c r="J14592" t="s">
        <v>38439</v>
      </c>
      <c r="K14592" t="s">
        <v>40682</v>
      </c>
      <c r="M14592" t="s">
        <v>42254</v>
      </c>
      <c r="N14592" t="s">
        <v>44905</v>
      </c>
      <c r="O14592" t="s">
        <v>44906</v>
      </c>
      <c r="P14592">
        <v>0</v>
      </c>
      <c r="Q14592">
        <v>13</v>
      </c>
      <c r="R14592" t="s">
        <v>44920</v>
      </c>
      <c r="S14592" t="s">
        <v>45492</v>
      </c>
      <c r="T14592" t="s">
        <v>46824</v>
      </c>
      <c r="U14592" t="s">
        <v>58557</v>
      </c>
      <c r="W14592" t="s">
        <v>42254</v>
      </c>
      <c r="X14592" t="s">
        <v>44921</v>
      </c>
    </row>
    <row r="14593" spans="1:24">
      <c r="A14593">
        <f>HYPERLINK("https://www.philgeps.gov.ph/GEPSNONPILOT/Tender/SplashBidNoticeAbstractUI.aspx?menuIndex=3&amp;refID=7056591&amp;Result=3","7056591")</f>
        <v>0</v>
      </c>
      <c r="B14593" t="s">
        <v>3487</v>
      </c>
      <c r="C14593" t="s">
        <v>17499</v>
      </c>
      <c r="D14593" t="s">
        <v>18127</v>
      </c>
      <c r="E14593" t="s">
        <v>23740</v>
      </c>
      <c r="F14593" t="s">
        <v>31362</v>
      </c>
      <c r="G14593" t="s">
        <v>31369</v>
      </c>
      <c r="H14593" t="s">
        <v>31378</v>
      </c>
      <c r="I14593" t="s">
        <v>31386</v>
      </c>
      <c r="J14593" t="s">
        <v>31615</v>
      </c>
      <c r="K14593" t="s">
        <v>40682</v>
      </c>
      <c r="M14593" t="s">
        <v>44828</v>
      </c>
      <c r="N14593" t="s">
        <v>44905</v>
      </c>
      <c r="O14593" t="s">
        <v>44906</v>
      </c>
      <c r="Q14593">
        <v>1</v>
      </c>
      <c r="R14593" t="s">
        <v>44920</v>
      </c>
      <c r="S14593" t="s">
        <v>45972</v>
      </c>
      <c r="T14593" t="s">
        <v>46484</v>
      </c>
      <c r="U14593" t="s">
        <v>58558</v>
      </c>
      <c r="W14593" t="s">
        <v>44828</v>
      </c>
      <c r="X14593" t="s">
        <v>44921</v>
      </c>
    </row>
    <row r="14594" spans="1:24">
      <c r="A14594">
        <f>HYPERLINK("https://www.philgeps.gov.ph/GEPSNONPILOT/Tender/SplashBidNoticeAbstractUI.aspx?menuIndex=3&amp;refID=7056586&amp;Result=3","7056586")</f>
        <v>0</v>
      </c>
      <c r="B14594" t="s">
        <v>3245</v>
      </c>
      <c r="C14594" t="s">
        <v>17500</v>
      </c>
      <c r="D14594" t="s">
        <v>18116</v>
      </c>
      <c r="E14594" t="s">
        <v>29009</v>
      </c>
      <c r="F14594" t="s">
        <v>31362</v>
      </c>
      <c r="G14594" t="s">
        <v>31369</v>
      </c>
      <c r="H14594" t="s">
        <v>31378</v>
      </c>
      <c r="I14594" t="s">
        <v>31386</v>
      </c>
      <c r="J14594" t="s">
        <v>40328</v>
      </c>
      <c r="K14594" t="s">
        <v>40665</v>
      </c>
      <c r="M14594" t="s">
        <v>44525</v>
      </c>
      <c r="N14594" t="s">
        <v>44905</v>
      </c>
      <c r="O14594" t="s">
        <v>44906</v>
      </c>
      <c r="Q14594">
        <v>0</v>
      </c>
      <c r="R14594" t="s">
        <v>44920</v>
      </c>
      <c r="S14594" t="s">
        <v>45525</v>
      </c>
      <c r="T14594" t="s">
        <v>46809</v>
      </c>
      <c r="U14594" t="s">
        <v>56913</v>
      </c>
      <c r="V14594" t="s">
        <v>60729</v>
      </c>
      <c r="W14594" t="s">
        <v>44525</v>
      </c>
      <c r="X14594" t="s">
        <v>44921</v>
      </c>
    </row>
    <row r="14595" spans="1:24">
      <c r="A14595">
        <f>HYPERLINK("https://www.philgeps.gov.ph/GEPSNONPILOT/Tender/SplashBidNoticeAbstractUI.aspx?menuIndex=3&amp;refID=7056580&amp;Result=3","7056580")</f>
        <v>0</v>
      </c>
      <c r="B14595" t="s">
        <v>1558</v>
      </c>
      <c r="C14595" t="s">
        <v>17501</v>
      </c>
      <c r="D14595" t="s">
        <v>18173</v>
      </c>
      <c r="E14595" t="s">
        <v>22076</v>
      </c>
      <c r="F14595" t="s">
        <v>31362</v>
      </c>
      <c r="G14595" t="s">
        <v>31369</v>
      </c>
      <c r="H14595" t="s">
        <v>15799</v>
      </c>
      <c r="I14595" t="s">
        <v>31415</v>
      </c>
      <c r="J14595" t="s">
        <v>40329</v>
      </c>
      <c r="K14595" t="s">
        <v>40666</v>
      </c>
      <c r="M14595" t="s">
        <v>42609</v>
      </c>
      <c r="N14595" t="s">
        <v>44905</v>
      </c>
      <c r="O14595" t="s">
        <v>44906</v>
      </c>
      <c r="P14595">
        <v>0</v>
      </c>
      <c r="Q14595">
        <v>1</v>
      </c>
      <c r="R14595" t="s">
        <v>44920</v>
      </c>
      <c r="S14595" t="s">
        <v>45492</v>
      </c>
      <c r="T14595" t="s">
        <v>46585</v>
      </c>
      <c r="U14595" t="s">
        <v>50700</v>
      </c>
      <c r="W14595" t="s">
        <v>42609</v>
      </c>
      <c r="X14595" t="s">
        <v>44921</v>
      </c>
    </row>
    <row r="14596" spans="1:24">
      <c r="A14596">
        <f>HYPERLINK("https://www.philgeps.gov.ph/GEPSNONPILOT/Tender/SplashBidNoticeAbstractUI.aspx?menuIndex=3&amp;refID=7056425&amp;Result=3","7056425")</f>
        <v>0</v>
      </c>
      <c r="B14596" t="s">
        <v>3245</v>
      </c>
      <c r="C14596" t="s">
        <v>17502</v>
      </c>
      <c r="D14596" t="s">
        <v>18116</v>
      </c>
      <c r="E14596" t="s">
        <v>29009</v>
      </c>
      <c r="F14596" t="s">
        <v>31362</v>
      </c>
      <c r="G14596" t="s">
        <v>31369</v>
      </c>
      <c r="H14596" t="s">
        <v>31378</v>
      </c>
      <c r="I14596" t="s">
        <v>31386</v>
      </c>
      <c r="J14596" t="s">
        <v>40330</v>
      </c>
      <c r="K14596" t="s">
        <v>40682</v>
      </c>
      <c r="M14596" t="s">
        <v>44525</v>
      </c>
      <c r="N14596" t="s">
        <v>44905</v>
      </c>
      <c r="O14596" t="s">
        <v>44906</v>
      </c>
      <c r="Q14596">
        <v>0</v>
      </c>
      <c r="R14596" t="s">
        <v>44920</v>
      </c>
      <c r="S14596" t="s">
        <v>45973</v>
      </c>
      <c r="T14596" t="s">
        <v>46809</v>
      </c>
      <c r="U14596" t="s">
        <v>56913</v>
      </c>
      <c r="V14596" t="s">
        <v>60730</v>
      </c>
      <c r="W14596" t="s">
        <v>44525</v>
      </c>
      <c r="X14596" t="s">
        <v>44921</v>
      </c>
    </row>
    <row r="14597" spans="1:24">
      <c r="A14597">
        <f>HYPERLINK("https://www.philgeps.gov.ph/GEPSNONPILOT/Tender/SplashBidNoticeAbstractUI.aspx?menuIndex=3&amp;refID=7056602&amp;Result=3","7056602")</f>
        <v>0</v>
      </c>
      <c r="B14597" t="s">
        <v>3245</v>
      </c>
      <c r="C14597" t="s">
        <v>17503</v>
      </c>
      <c r="D14597" t="s">
        <v>18116</v>
      </c>
      <c r="E14597" t="s">
        <v>29009</v>
      </c>
      <c r="F14597" t="s">
        <v>31362</v>
      </c>
      <c r="G14597" t="s">
        <v>31369</v>
      </c>
      <c r="H14597" t="s">
        <v>31378</v>
      </c>
      <c r="I14597" t="s">
        <v>31386</v>
      </c>
      <c r="J14597" t="s">
        <v>39139</v>
      </c>
      <c r="K14597" t="s">
        <v>40675</v>
      </c>
      <c r="M14597" t="s">
        <v>44525</v>
      </c>
      <c r="N14597" t="s">
        <v>44905</v>
      </c>
      <c r="O14597" t="s">
        <v>44906</v>
      </c>
      <c r="Q14597">
        <v>0</v>
      </c>
      <c r="R14597" t="s">
        <v>44920</v>
      </c>
      <c r="S14597" t="s">
        <v>45974</v>
      </c>
      <c r="T14597" t="s">
        <v>46809</v>
      </c>
      <c r="U14597" t="s">
        <v>56913</v>
      </c>
      <c r="V14597" t="s">
        <v>60731</v>
      </c>
      <c r="W14597" t="s">
        <v>44525</v>
      </c>
      <c r="X14597" t="s">
        <v>44921</v>
      </c>
    </row>
    <row r="14598" spans="1:24">
      <c r="A14598">
        <f>HYPERLINK("https://www.philgeps.gov.ph/GEPSNONPILOT/Tender/SplashBidNoticeAbstractUI.aspx?menuIndex=3&amp;refID=7056595&amp;Result=3","7056595")</f>
        <v>0</v>
      </c>
      <c r="B14598" t="s">
        <v>1902</v>
      </c>
      <c r="C14598" t="s">
        <v>17504</v>
      </c>
      <c r="D14598" t="s">
        <v>18122</v>
      </c>
      <c r="E14598" t="s">
        <v>30802</v>
      </c>
      <c r="F14598" t="s">
        <v>31362</v>
      </c>
      <c r="G14598" t="s">
        <v>31369</v>
      </c>
      <c r="H14598" t="s">
        <v>15799</v>
      </c>
      <c r="I14598" t="s">
        <v>3815</v>
      </c>
      <c r="J14598" t="s">
        <v>40331</v>
      </c>
      <c r="K14598" t="s">
        <v>40662</v>
      </c>
      <c r="M14598" t="s">
        <v>42997</v>
      </c>
      <c r="N14598" t="s">
        <v>44905</v>
      </c>
      <c r="O14598" t="s">
        <v>44906</v>
      </c>
      <c r="P14598">
        <v>0</v>
      </c>
      <c r="Q14598">
        <v>5</v>
      </c>
      <c r="R14598" t="s">
        <v>44920</v>
      </c>
      <c r="S14598" t="s">
        <v>45492</v>
      </c>
      <c r="T14598" t="s">
        <v>46400</v>
      </c>
      <c r="U14598" t="s">
        <v>58559</v>
      </c>
      <c r="W14598" t="s">
        <v>42997</v>
      </c>
      <c r="X14598" t="s">
        <v>44921</v>
      </c>
    </row>
    <row r="14599" spans="1:24">
      <c r="A14599">
        <f>HYPERLINK("https://www.philgeps.gov.ph/GEPSNONPILOT/Tender/SplashBidNoticeAbstractUI.aspx?menuIndex=3&amp;refID=7056347&amp;Result=3","7056347")</f>
        <v>0</v>
      </c>
      <c r="B14599" t="s">
        <v>3245</v>
      </c>
      <c r="C14599" t="s">
        <v>17505</v>
      </c>
      <c r="D14599" t="s">
        <v>18116</v>
      </c>
      <c r="E14599" t="s">
        <v>29009</v>
      </c>
      <c r="F14599" t="s">
        <v>31362</v>
      </c>
      <c r="G14599" t="s">
        <v>31369</v>
      </c>
      <c r="H14599" t="s">
        <v>31378</v>
      </c>
      <c r="I14599" t="s">
        <v>31386</v>
      </c>
      <c r="J14599" t="s">
        <v>31637</v>
      </c>
      <c r="K14599" t="s">
        <v>40686</v>
      </c>
      <c r="M14599" t="s">
        <v>44525</v>
      </c>
      <c r="N14599" t="s">
        <v>44905</v>
      </c>
      <c r="O14599" t="s">
        <v>44906</v>
      </c>
      <c r="Q14599">
        <v>0</v>
      </c>
      <c r="R14599" t="s">
        <v>44920</v>
      </c>
      <c r="S14599" t="s">
        <v>45975</v>
      </c>
      <c r="T14599" t="s">
        <v>46809</v>
      </c>
      <c r="U14599" t="s">
        <v>56913</v>
      </c>
      <c r="V14599" t="s">
        <v>60732</v>
      </c>
      <c r="W14599" t="s">
        <v>44525</v>
      </c>
      <c r="X14599" t="s">
        <v>44921</v>
      </c>
    </row>
    <row r="14600" spans="1:24">
      <c r="A14600">
        <f>HYPERLINK("https://www.philgeps.gov.ph/GEPSNONPILOT/Tender/SplashBidNoticeAbstractUI.aspx?menuIndex=3&amp;refID=7056418&amp;Result=3","7056418")</f>
        <v>0</v>
      </c>
      <c r="B14600" t="s">
        <v>3245</v>
      </c>
      <c r="C14600" t="s">
        <v>17506</v>
      </c>
      <c r="D14600" t="s">
        <v>18116</v>
      </c>
      <c r="E14600" t="s">
        <v>29009</v>
      </c>
      <c r="F14600" t="s">
        <v>31362</v>
      </c>
      <c r="G14600" t="s">
        <v>31369</v>
      </c>
      <c r="H14600" t="s">
        <v>31378</v>
      </c>
      <c r="I14600" t="s">
        <v>31386</v>
      </c>
      <c r="J14600" t="s">
        <v>40332</v>
      </c>
      <c r="K14600" t="s">
        <v>40679</v>
      </c>
      <c r="M14600" t="s">
        <v>44525</v>
      </c>
      <c r="N14600" t="s">
        <v>44905</v>
      </c>
      <c r="O14600" t="s">
        <v>44906</v>
      </c>
      <c r="Q14600">
        <v>0</v>
      </c>
      <c r="R14600" t="s">
        <v>44920</v>
      </c>
      <c r="S14600" t="s">
        <v>45976</v>
      </c>
      <c r="T14600" t="s">
        <v>46809</v>
      </c>
      <c r="U14600" t="s">
        <v>56913</v>
      </c>
      <c r="V14600" t="s">
        <v>60733</v>
      </c>
      <c r="W14600" t="s">
        <v>44525</v>
      </c>
      <c r="X14600" t="s">
        <v>44921</v>
      </c>
    </row>
    <row r="14601" spans="1:24">
      <c r="A14601">
        <f>HYPERLINK("https://www.philgeps.gov.ph/GEPSNONPILOT/Tender/SplashBidNoticeAbstractUI.aspx?menuIndex=3&amp;refID=7056330&amp;Result=3","7056330")</f>
        <v>0</v>
      </c>
      <c r="B14601" t="s">
        <v>3248</v>
      </c>
      <c r="C14601" t="s">
        <v>17507</v>
      </c>
      <c r="D14601" t="s">
        <v>18117</v>
      </c>
      <c r="E14601" t="s">
        <v>30803</v>
      </c>
      <c r="F14601" t="s">
        <v>31362</v>
      </c>
      <c r="G14601" t="s">
        <v>31369</v>
      </c>
      <c r="H14601" t="s">
        <v>31378</v>
      </c>
      <c r="I14601" t="s">
        <v>31441</v>
      </c>
      <c r="J14601" t="s">
        <v>40333</v>
      </c>
      <c r="K14601" t="s">
        <v>40663</v>
      </c>
      <c r="M14601" t="s">
        <v>44528</v>
      </c>
      <c r="N14601" t="s">
        <v>44905</v>
      </c>
      <c r="O14601" t="s">
        <v>44906</v>
      </c>
      <c r="P14601">
        <v>0</v>
      </c>
      <c r="Q14601">
        <v>7</v>
      </c>
      <c r="R14601" t="s">
        <v>44920</v>
      </c>
      <c r="S14601" t="s">
        <v>45492</v>
      </c>
      <c r="T14601" t="s">
        <v>46413</v>
      </c>
      <c r="U14601" t="s">
        <v>58560</v>
      </c>
      <c r="W14601" t="s">
        <v>44528</v>
      </c>
      <c r="X14601" t="s">
        <v>44921</v>
      </c>
    </row>
    <row r="14602" spans="1:24">
      <c r="A14602">
        <f>HYPERLINK("https://www.philgeps.gov.ph/GEPSNONPILOT/Tender/SplashBidNoticeAbstractUI.aspx?menuIndex=3&amp;refID=7056328&amp;Result=3","7056328")</f>
        <v>0</v>
      </c>
      <c r="B14602" t="s">
        <v>3245</v>
      </c>
      <c r="C14602" t="s">
        <v>17508</v>
      </c>
      <c r="D14602" t="s">
        <v>18116</v>
      </c>
      <c r="E14602" t="s">
        <v>29009</v>
      </c>
      <c r="F14602" t="s">
        <v>31362</v>
      </c>
      <c r="G14602" t="s">
        <v>31369</v>
      </c>
      <c r="H14602" t="s">
        <v>31378</v>
      </c>
      <c r="I14602" t="s">
        <v>31386</v>
      </c>
      <c r="J14602" t="s">
        <v>35656</v>
      </c>
      <c r="K14602" t="s">
        <v>40679</v>
      </c>
      <c r="M14602" t="s">
        <v>44525</v>
      </c>
      <c r="N14602" t="s">
        <v>44905</v>
      </c>
      <c r="O14602" t="s">
        <v>44906</v>
      </c>
      <c r="Q14602">
        <v>0</v>
      </c>
      <c r="R14602" t="s">
        <v>44920</v>
      </c>
      <c r="S14602" t="s">
        <v>45977</v>
      </c>
      <c r="T14602" t="s">
        <v>46809</v>
      </c>
      <c r="U14602" t="s">
        <v>56913</v>
      </c>
      <c r="V14602" t="s">
        <v>60734</v>
      </c>
      <c r="W14602" t="s">
        <v>44525</v>
      </c>
      <c r="X14602" t="s">
        <v>44921</v>
      </c>
    </row>
    <row r="14603" spans="1:24">
      <c r="A14603">
        <f>HYPERLINK("https://www.philgeps.gov.ph/GEPSNONPILOT/Tender/SplashBidNoticeAbstractUI.aspx?menuIndex=3&amp;refID=7056311&amp;Result=3","7056311")</f>
        <v>0</v>
      </c>
      <c r="B14603" t="s">
        <v>362</v>
      </c>
      <c r="C14603" t="s">
        <v>17509</v>
      </c>
      <c r="D14603" t="s">
        <v>18103</v>
      </c>
      <c r="E14603" t="s">
        <v>30804</v>
      </c>
      <c r="F14603" t="s">
        <v>31362</v>
      </c>
      <c r="G14603" t="s">
        <v>31369</v>
      </c>
      <c r="H14603" t="s">
        <v>15799</v>
      </c>
      <c r="I14603" t="s">
        <v>31406</v>
      </c>
      <c r="J14603" t="s">
        <v>31634</v>
      </c>
      <c r="K14603" t="s">
        <v>40665</v>
      </c>
      <c r="M14603" t="s">
        <v>43093</v>
      </c>
      <c r="N14603" t="s">
        <v>44905</v>
      </c>
      <c r="O14603" t="s">
        <v>44906</v>
      </c>
      <c r="Q14603">
        <v>6</v>
      </c>
      <c r="R14603" t="s">
        <v>44920</v>
      </c>
      <c r="S14603" t="s">
        <v>45978</v>
      </c>
      <c r="T14603" t="s">
        <v>46533</v>
      </c>
      <c r="U14603" t="s">
        <v>47543</v>
      </c>
      <c r="V14603" t="s">
        <v>60391</v>
      </c>
      <c r="W14603" t="s">
        <v>60886</v>
      </c>
      <c r="X14603" t="s">
        <v>44921</v>
      </c>
    </row>
    <row r="14604" spans="1:24">
      <c r="A14604">
        <f>HYPERLINK("https://www.philgeps.gov.ph/GEPSNONPILOT/Tender/SplashBidNoticeAbstractUI.aspx?menuIndex=3&amp;refID=7056410&amp;Result=3","7056410")</f>
        <v>0</v>
      </c>
      <c r="B14604" t="s">
        <v>3245</v>
      </c>
      <c r="C14604" t="s">
        <v>17510</v>
      </c>
      <c r="D14604" t="s">
        <v>18116</v>
      </c>
      <c r="E14604" t="s">
        <v>29009</v>
      </c>
      <c r="F14604" t="s">
        <v>31362</v>
      </c>
      <c r="G14604" t="s">
        <v>31369</v>
      </c>
      <c r="H14604" t="s">
        <v>31378</v>
      </c>
      <c r="I14604" t="s">
        <v>31386</v>
      </c>
      <c r="J14604" t="s">
        <v>31606</v>
      </c>
      <c r="K14604" t="s">
        <v>40682</v>
      </c>
      <c r="M14604" t="s">
        <v>44525</v>
      </c>
      <c r="N14604" t="s">
        <v>44905</v>
      </c>
      <c r="O14604" t="s">
        <v>44906</v>
      </c>
      <c r="Q14604">
        <v>0</v>
      </c>
      <c r="R14604" t="s">
        <v>44920</v>
      </c>
      <c r="S14604" t="s">
        <v>45979</v>
      </c>
      <c r="T14604" t="s">
        <v>46809</v>
      </c>
      <c r="U14604" t="s">
        <v>56913</v>
      </c>
      <c r="V14604" t="s">
        <v>60735</v>
      </c>
      <c r="W14604" t="s">
        <v>44525</v>
      </c>
      <c r="X14604" t="s">
        <v>44921</v>
      </c>
    </row>
    <row r="14605" spans="1:24">
      <c r="A14605">
        <f>HYPERLINK("https://www.philgeps.gov.ph/GEPSNONPILOT/Tender/SplashBidNoticeAbstractUI.aspx?menuIndex=3&amp;refID=7056323&amp;Result=3","7056323")</f>
        <v>0</v>
      </c>
      <c r="B14605" t="s">
        <v>3238</v>
      </c>
      <c r="C14605" t="s">
        <v>17511</v>
      </c>
      <c r="D14605" t="s">
        <v>18131</v>
      </c>
      <c r="E14605" t="s">
        <v>30805</v>
      </c>
      <c r="F14605" t="s">
        <v>31362</v>
      </c>
      <c r="G14605" t="s">
        <v>31369</v>
      </c>
      <c r="H14605" t="s">
        <v>15799</v>
      </c>
      <c r="I14605" t="s">
        <v>31396</v>
      </c>
      <c r="J14605" t="s">
        <v>34497</v>
      </c>
      <c r="K14605" t="s">
        <v>40662</v>
      </c>
      <c r="M14605" t="s">
        <v>44515</v>
      </c>
      <c r="N14605" t="s">
        <v>44905</v>
      </c>
      <c r="O14605" t="s">
        <v>44906</v>
      </c>
      <c r="Q14605">
        <v>25</v>
      </c>
      <c r="R14605" t="s">
        <v>44920</v>
      </c>
      <c r="S14605" t="s">
        <v>45980</v>
      </c>
      <c r="T14605" t="s">
        <v>46856</v>
      </c>
      <c r="U14605" t="s">
        <v>58561</v>
      </c>
      <c r="V14605" t="s">
        <v>60736</v>
      </c>
      <c r="W14605" t="s">
        <v>44515</v>
      </c>
      <c r="X14605" t="s">
        <v>44921</v>
      </c>
    </row>
    <row r="14606" spans="1:24">
      <c r="A14606">
        <f>HYPERLINK("https://www.philgeps.gov.ph/GEPSNONPILOT/Tender/SplashBidNoticeAbstractUI.aspx?menuIndex=3&amp;refID=7056278&amp;Result=3","7056278")</f>
        <v>0</v>
      </c>
      <c r="B14606" t="s">
        <v>2875</v>
      </c>
      <c r="C14606" t="s">
        <v>17512</v>
      </c>
      <c r="D14606" t="s">
        <v>18100</v>
      </c>
      <c r="E14606" t="s">
        <v>26539</v>
      </c>
      <c r="F14606" t="s">
        <v>31362</v>
      </c>
      <c r="G14606" t="s">
        <v>31368</v>
      </c>
      <c r="H14606" t="s">
        <v>15799</v>
      </c>
      <c r="I14606" t="s">
        <v>13635</v>
      </c>
      <c r="J14606" t="s">
        <v>34691</v>
      </c>
      <c r="K14606" t="s">
        <v>40693</v>
      </c>
      <c r="M14606" t="s">
        <v>44084</v>
      </c>
      <c r="N14606" t="s">
        <v>44905</v>
      </c>
      <c r="O14606" t="s">
        <v>44906</v>
      </c>
      <c r="P14606">
        <v>0</v>
      </c>
      <c r="Q14606">
        <v>0</v>
      </c>
      <c r="R14606" t="s">
        <v>44920</v>
      </c>
      <c r="S14606" t="s">
        <v>45492</v>
      </c>
      <c r="T14606" t="s">
        <v>46443</v>
      </c>
      <c r="U14606" t="s">
        <v>58562</v>
      </c>
      <c r="W14606" t="s">
        <v>44084</v>
      </c>
      <c r="X14606" t="s">
        <v>44921</v>
      </c>
    </row>
    <row r="14607" spans="1:24">
      <c r="A14607">
        <f>HYPERLINK("https://www.philgeps.gov.ph/GEPSNONPILOT/Tender/SplashBidNoticeAbstractUI.aspx?menuIndex=3&amp;refID=7056305&amp;Result=3","7056305")</f>
        <v>0</v>
      </c>
      <c r="B14607" t="s">
        <v>3245</v>
      </c>
      <c r="C14607" t="s">
        <v>17513</v>
      </c>
      <c r="D14607" t="s">
        <v>18116</v>
      </c>
      <c r="E14607" t="s">
        <v>29009</v>
      </c>
      <c r="F14607" t="s">
        <v>31362</v>
      </c>
      <c r="G14607" t="s">
        <v>31369</v>
      </c>
      <c r="H14607" t="s">
        <v>31378</v>
      </c>
      <c r="I14607" t="s">
        <v>31386</v>
      </c>
      <c r="J14607" t="s">
        <v>40334</v>
      </c>
      <c r="K14607" t="s">
        <v>40682</v>
      </c>
      <c r="M14607" t="s">
        <v>44525</v>
      </c>
      <c r="N14607" t="s">
        <v>44905</v>
      </c>
      <c r="O14607" t="s">
        <v>44906</v>
      </c>
      <c r="Q14607">
        <v>0</v>
      </c>
      <c r="R14607" t="s">
        <v>44920</v>
      </c>
      <c r="S14607" t="s">
        <v>45981</v>
      </c>
      <c r="T14607" t="s">
        <v>46809</v>
      </c>
      <c r="U14607" t="s">
        <v>56913</v>
      </c>
      <c r="V14607" t="s">
        <v>60737</v>
      </c>
      <c r="W14607" t="s">
        <v>44525</v>
      </c>
      <c r="X14607" t="s">
        <v>44921</v>
      </c>
    </row>
    <row r="14608" spans="1:24">
      <c r="A14608">
        <f>HYPERLINK("https://www.philgeps.gov.ph/GEPSNONPILOT/Tender/SplashBidNoticeAbstractUI.aspx?menuIndex=3&amp;refID=7056275&amp;Result=3","7056275")</f>
        <v>0</v>
      </c>
      <c r="B14608" t="s">
        <v>3248</v>
      </c>
      <c r="C14608" t="s">
        <v>17514</v>
      </c>
      <c r="D14608" t="s">
        <v>18117</v>
      </c>
      <c r="E14608" t="s">
        <v>30682</v>
      </c>
      <c r="F14608" t="s">
        <v>31362</v>
      </c>
      <c r="G14608" t="s">
        <v>31369</v>
      </c>
      <c r="H14608" t="s">
        <v>31378</v>
      </c>
      <c r="I14608" t="s">
        <v>31441</v>
      </c>
      <c r="J14608" t="s">
        <v>40335</v>
      </c>
      <c r="K14608" t="s">
        <v>40683</v>
      </c>
      <c r="M14608" t="s">
        <v>44528</v>
      </c>
      <c r="N14608" t="s">
        <v>44905</v>
      </c>
      <c r="O14608" t="s">
        <v>44906</v>
      </c>
      <c r="P14608">
        <v>0</v>
      </c>
      <c r="Q14608">
        <v>7</v>
      </c>
      <c r="R14608" t="s">
        <v>44920</v>
      </c>
      <c r="S14608" t="s">
        <v>45492</v>
      </c>
      <c r="T14608" t="s">
        <v>46585</v>
      </c>
      <c r="U14608" t="s">
        <v>58563</v>
      </c>
      <c r="W14608" t="s">
        <v>44528</v>
      </c>
      <c r="X14608" t="s">
        <v>44921</v>
      </c>
    </row>
    <row r="14609" spans="1:24">
      <c r="A14609">
        <f>HYPERLINK("https://www.philgeps.gov.ph/GEPSNONPILOT/Tender/SplashBidNoticeAbstractUI.aspx?menuIndex=3&amp;refID=7056130&amp;Result=3","7056130")</f>
        <v>0</v>
      </c>
      <c r="B14609" t="s">
        <v>3245</v>
      </c>
      <c r="C14609" t="s">
        <v>17515</v>
      </c>
      <c r="D14609" t="s">
        <v>18116</v>
      </c>
      <c r="E14609" t="s">
        <v>29009</v>
      </c>
      <c r="F14609" t="s">
        <v>31362</v>
      </c>
      <c r="G14609" t="s">
        <v>31369</v>
      </c>
      <c r="H14609" t="s">
        <v>31378</v>
      </c>
      <c r="I14609" t="s">
        <v>31386</v>
      </c>
      <c r="J14609" t="s">
        <v>31625</v>
      </c>
      <c r="K14609" t="s">
        <v>40682</v>
      </c>
      <c r="M14609" t="s">
        <v>44525</v>
      </c>
      <c r="N14609" t="s">
        <v>44905</v>
      </c>
      <c r="O14609" t="s">
        <v>44906</v>
      </c>
      <c r="Q14609">
        <v>0</v>
      </c>
      <c r="R14609" t="s">
        <v>44920</v>
      </c>
      <c r="S14609" t="s">
        <v>45982</v>
      </c>
      <c r="T14609" t="s">
        <v>46809</v>
      </c>
      <c r="U14609" t="s">
        <v>56913</v>
      </c>
      <c r="V14609" t="s">
        <v>60738</v>
      </c>
      <c r="W14609" t="s">
        <v>44525</v>
      </c>
      <c r="X14609" t="s">
        <v>44921</v>
      </c>
    </row>
    <row r="14610" spans="1:24">
      <c r="A14610">
        <f>HYPERLINK("https://www.philgeps.gov.ph/GEPSNONPILOT/Tender/SplashBidNoticeAbstractUI.aspx?menuIndex=3&amp;refID=7056114&amp;Result=3","7056114")</f>
        <v>0</v>
      </c>
      <c r="B14610" t="s">
        <v>3245</v>
      </c>
      <c r="C14610" t="s">
        <v>17516</v>
      </c>
      <c r="D14610" t="s">
        <v>18116</v>
      </c>
      <c r="E14610" t="s">
        <v>29009</v>
      </c>
      <c r="F14610" t="s">
        <v>31362</v>
      </c>
      <c r="G14610" t="s">
        <v>31369</v>
      </c>
      <c r="H14610" t="s">
        <v>31378</v>
      </c>
      <c r="I14610" t="s">
        <v>31386</v>
      </c>
      <c r="J14610" t="s">
        <v>33868</v>
      </c>
      <c r="K14610" t="s">
        <v>40686</v>
      </c>
      <c r="M14610" t="s">
        <v>44525</v>
      </c>
      <c r="N14610" t="s">
        <v>44905</v>
      </c>
      <c r="O14610" t="s">
        <v>44906</v>
      </c>
      <c r="Q14610">
        <v>1</v>
      </c>
      <c r="R14610" t="s">
        <v>44920</v>
      </c>
      <c r="S14610" t="s">
        <v>45983</v>
      </c>
      <c r="T14610" t="s">
        <v>46809</v>
      </c>
      <c r="U14610" t="s">
        <v>56913</v>
      </c>
      <c r="V14610" t="s">
        <v>60739</v>
      </c>
      <c r="W14610" t="s">
        <v>44525</v>
      </c>
      <c r="X14610" t="s">
        <v>44921</v>
      </c>
    </row>
    <row r="14611" spans="1:24">
      <c r="A14611">
        <f>HYPERLINK("https://www.philgeps.gov.ph/GEPSNONPILOT/Tender/SplashBidNoticeAbstractUI.aspx?menuIndex=3&amp;refID=7056271&amp;Result=3","7056271")</f>
        <v>0</v>
      </c>
      <c r="B14611" t="s">
        <v>3245</v>
      </c>
      <c r="C14611" t="s">
        <v>17517</v>
      </c>
      <c r="D14611" t="s">
        <v>18116</v>
      </c>
      <c r="E14611" t="s">
        <v>29009</v>
      </c>
      <c r="F14611" t="s">
        <v>31362</v>
      </c>
      <c r="G14611" t="s">
        <v>31369</v>
      </c>
      <c r="H14611" t="s">
        <v>31378</v>
      </c>
      <c r="I14611" t="s">
        <v>31386</v>
      </c>
      <c r="J14611" t="s">
        <v>40336</v>
      </c>
      <c r="K14611" t="s">
        <v>40682</v>
      </c>
      <c r="M14611" t="s">
        <v>44525</v>
      </c>
      <c r="N14611" t="s">
        <v>44905</v>
      </c>
      <c r="O14611" t="s">
        <v>44906</v>
      </c>
      <c r="Q14611">
        <v>0</v>
      </c>
      <c r="R14611" t="s">
        <v>44920</v>
      </c>
      <c r="S14611" t="s">
        <v>45984</v>
      </c>
      <c r="T14611" t="s">
        <v>46809</v>
      </c>
      <c r="U14611" t="s">
        <v>56913</v>
      </c>
      <c r="V14611" t="s">
        <v>60740</v>
      </c>
      <c r="W14611" t="s">
        <v>44525</v>
      </c>
      <c r="X14611" t="s">
        <v>44921</v>
      </c>
    </row>
    <row r="14612" spans="1:24">
      <c r="A14612">
        <f>HYPERLINK("https://www.philgeps.gov.ph/GEPSNONPILOT/Tender/SplashBidNoticeAbstractUI.aspx?menuIndex=3&amp;refID=7052996&amp;Result=3","7052996")</f>
        <v>0</v>
      </c>
      <c r="B14612" t="s">
        <v>3282</v>
      </c>
      <c r="C14612" t="s">
        <v>17518</v>
      </c>
      <c r="D14612" t="s">
        <v>18158</v>
      </c>
      <c r="E14612" t="s">
        <v>30806</v>
      </c>
      <c r="F14612" t="s">
        <v>31362</v>
      </c>
      <c r="G14612" t="s">
        <v>31369</v>
      </c>
      <c r="H14612" t="s">
        <v>15799</v>
      </c>
      <c r="I14612" t="s">
        <v>31400</v>
      </c>
      <c r="J14612" t="s">
        <v>31531</v>
      </c>
      <c r="K14612" t="s">
        <v>40665</v>
      </c>
      <c r="M14612" t="s">
        <v>44567</v>
      </c>
      <c r="N14612" t="s">
        <v>44905</v>
      </c>
      <c r="O14612" t="s">
        <v>44906</v>
      </c>
      <c r="P14612">
        <v>0</v>
      </c>
      <c r="Q14612">
        <v>2</v>
      </c>
      <c r="R14612" t="s">
        <v>44921</v>
      </c>
      <c r="S14612" t="s">
        <v>45564</v>
      </c>
      <c r="T14612" t="s">
        <v>46585</v>
      </c>
      <c r="U14612" t="s">
        <v>58564</v>
      </c>
      <c r="W14612" t="s">
        <v>44567</v>
      </c>
      <c r="X14612" t="s">
        <v>44922</v>
      </c>
    </row>
    <row r="14613" spans="1:24">
      <c r="A14613">
        <f>HYPERLINK("https://www.philgeps.gov.ph/GEPSNONPILOT/Tender/SplashBidNoticeAbstractUI.aspx?menuIndex=3&amp;refID=7056292&amp;Result=3","7056292")</f>
        <v>0</v>
      </c>
      <c r="B14613" t="s">
        <v>3245</v>
      </c>
      <c r="C14613" t="s">
        <v>17519</v>
      </c>
      <c r="D14613" t="s">
        <v>18116</v>
      </c>
      <c r="E14613" t="s">
        <v>29009</v>
      </c>
      <c r="F14613" t="s">
        <v>31362</v>
      </c>
      <c r="G14613" t="s">
        <v>31369</v>
      </c>
      <c r="H14613" t="s">
        <v>31378</v>
      </c>
      <c r="I14613" t="s">
        <v>31386</v>
      </c>
      <c r="J14613" t="s">
        <v>31625</v>
      </c>
      <c r="K14613" t="s">
        <v>40682</v>
      </c>
      <c r="M14613" t="s">
        <v>44525</v>
      </c>
      <c r="N14613" t="s">
        <v>44905</v>
      </c>
      <c r="O14613" t="s">
        <v>44906</v>
      </c>
      <c r="Q14613">
        <v>0</v>
      </c>
      <c r="R14613" t="s">
        <v>44920</v>
      </c>
      <c r="S14613" t="s">
        <v>45985</v>
      </c>
      <c r="T14613" t="s">
        <v>46809</v>
      </c>
      <c r="U14613" t="s">
        <v>56913</v>
      </c>
      <c r="V14613" t="s">
        <v>60741</v>
      </c>
      <c r="W14613" t="s">
        <v>44525</v>
      </c>
      <c r="X14613" t="s">
        <v>44921</v>
      </c>
    </row>
    <row r="14614" spans="1:24">
      <c r="A14614">
        <f>HYPERLINK("https://www.philgeps.gov.ph/GEPSNONPILOT/Tender/SplashBidNoticeAbstractUI.aspx?menuIndex=3&amp;refID=7056091&amp;Result=3","7056091")</f>
        <v>0</v>
      </c>
      <c r="B14614" t="s">
        <v>3082</v>
      </c>
      <c r="C14614" t="s">
        <v>17520</v>
      </c>
      <c r="D14614" t="s">
        <v>18135</v>
      </c>
      <c r="E14614" t="s">
        <v>30807</v>
      </c>
      <c r="F14614" t="s">
        <v>31362</v>
      </c>
      <c r="G14614" t="s">
        <v>31374</v>
      </c>
      <c r="H14614" t="s">
        <v>15799</v>
      </c>
      <c r="I14614" t="s">
        <v>31415</v>
      </c>
      <c r="J14614" t="s">
        <v>40337</v>
      </c>
      <c r="K14614" t="s">
        <v>40665</v>
      </c>
      <c r="M14614" t="s">
        <v>44322</v>
      </c>
      <c r="N14614" t="s">
        <v>44905</v>
      </c>
      <c r="O14614" t="s">
        <v>44906</v>
      </c>
      <c r="P14614">
        <v>0</v>
      </c>
      <c r="Q14614">
        <v>2</v>
      </c>
      <c r="R14614" t="s">
        <v>44920</v>
      </c>
      <c r="S14614" t="s">
        <v>45492</v>
      </c>
      <c r="T14614" t="s">
        <v>46467</v>
      </c>
      <c r="U14614" t="s">
        <v>58565</v>
      </c>
      <c r="W14614" t="s">
        <v>44322</v>
      </c>
      <c r="X14614" t="s">
        <v>44921</v>
      </c>
    </row>
    <row r="14615" spans="1:24">
      <c r="A14615">
        <f>HYPERLINK("https://www.philgeps.gov.ph/GEPSNONPILOT/Tender/SplashBidNoticeAbstractUI.aspx?menuIndex=3&amp;refID=7055874&amp;Result=3","7055874")</f>
        <v>0</v>
      </c>
      <c r="B14615" t="s">
        <v>1046</v>
      </c>
      <c r="C14615" t="s">
        <v>17521</v>
      </c>
      <c r="D14615" t="s">
        <v>18108</v>
      </c>
      <c r="E14615" t="s">
        <v>30808</v>
      </c>
      <c r="F14615" t="s">
        <v>31362</v>
      </c>
      <c r="G14615" t="s">
        <v>31369</v>
      </c>
      <c r="H14615" t="s">
        <v>31378</v>
      </c>
      <c r="I14615" t="s">
        <v>31386</v>
      </c>
      <c r="J14615" t="s">
        <v>40338</v>
      </c>
      <c r="K14615" t="s">
        <v>40683</v>
      </c>
      <c r="M14615" t="s">
        <v>42045</v>
      </c>
      <c r="N14615" t="s">
        <v>44905</v>
      </c>
      <c r="O14615" t="s">
        <v>44906</v>
      </c>
      <c r="P14615">
        <v>0</v>
      </c>
      <c r="Q14615">
        <v>4</v>
      </c>
      <c r="R14615" t="s">
        <v>44920</v>
      </c>
      <c r="S14615" t="s">
        <v>45492</v>
      </c>
      <c r="T14615" t="s">
        <v>46408</v>
      </c>
      <c r="U14615" t="s">
        <v>58566</v>
      </c>
      <c r="V14615" t="s">
        <v>60384</v>
      </c>
      <c r="W14615" t="s">
        <v>42045</v>
      </c>
      <c r="X14615" t="s">
        <v>44921</v>
      </c>
    </row>
    <row r="14616" spans="1:24">
      <c r="A14616">
        <f>HYPERLINK("https://www.philgeps.gov.ph/GEPSNONPILOT/Tender/SplashBidNoticeAbstractUI.aspx?menuIndex=3&amp;refID=7056077&amp;Result=3","7056077")</f>
        <v>0</v>
      </c>
      <c r="B14616" t="s">
        <v>3238</v>
      </c>
      <c r="C14616" t="s">
        <v>17522</v>
      </c>
      <c r="D14616" t="s">
        <v>18131</v>
      </c>
      <c r="E14616" t="s">
        <v>30809</v>
      </c>
      <c r="F14616" t="s">
        <v>31362</v>
      </c>
      <c r="G14616" t="s">
        <v>31369</v>
      </c>
      <c r="H14616" t="s">
        <v>15799</v>
      </c>
      <c r="I14616" t="s">
        <v>31382</v>
      </c>
      <c r="J14616" t="s">
        <v>38649</v>
      </c>
      <c r="K14616" t="s">
        <v>40662</v>
      </c>
      <c r="M14616" t="s">
        <v>44515</v>
      </c>
      <c r="N14616" t="s">
        <v>44905</v>
      </c>
      <c r="O14616" t="s">
        <v>44906</v>
      </c>
      <c r="Q14616">
        <v>17</v>
      </c>
      <c r="R14616" t="s">
        <v>44920</v>
      </c>
      <c r="S14616" t="s">
        <v>45986</v>
      </c>
      <c r="T14616" t="s">
        <v>46856</v>
      </c>
      <c r="U14616" t="s">
        <v>58567</v>
      </c>
      <c r="V14616" t="s">
        <v>60742</v>
      </c>
      <c r="W14616" t="s">
        <v>44515</v>
      </c>
      <c r="X14616" t="s">
        <v>44921</v>
      </c>
    </row>
    <row r="14617" spans="1:24">
      <c r="A14617">
        <f>HYPERLINK("https://www.philgeps.gov.ph/GEPSNONPILOT/Tender/SplashBidNoticeAbstractUI.aspx?menuIndex=3&amp;refID=7056096&amp;Result=3","7056096")</f>
        <v>0</v>
      </c>
      <c r="B14617" t="s">
        <v>604</v>
      </c>
      <c r="C14617" t="s">
        <v>17523</v>
      </c>
      <c r="D14617" t="s">
        <v>18122</v>
      </c>
      <c r="E14617" t="s">
        <v>30810</v>
      </c>
      <c r="F14617" t="s">
        <v>31362</v>
      </c>
      <c r="G14617" t="s">
        <v>31373</v>
      </c>
      <c r="H14617" t="s">
        <v>31378</v>
      </c>
      <c r="I14617" t="s">
        <v>31386</v>
      </c>
      <c r="J14617" t="s">
        <v>40339</v>
      </c>
      <c r="K14617" t="s">
        <v>40678</v>
      </c>
      <c r="M14617" t="s">
        <v>41562</v>
      </c>
      <c r="N14617" t="s">
        <v>44905</v>
      </c>
      <c r="O14617" t="s">
        <v>44906</v>
      </c>
      <c r="P14617">
        <v>0</v>
      </c>
      <c r="Q14617">
        <v>7</v>
      </c>
      <c r="R14617" t="s">
        <v>44920</v>
      </c>
      <c r="S14617" t="s">
        <v>45492</v>
      </c>
      <c r="T14617" t="s">
        <v>46481</v>
      </c>
      <c r="U14617" t="s">
        <v>58568</v>
      </c>
      <c r="V14617" t="s">
        <v>59212</v>
      </c>
      <c r="W14617" t="s">
        <v>41562</v>
      </c>
      <c r="X14617" t="s">
        <v>44921</v>
      </c>
    </row>
    <row r="14618" spans="1:24">
      <c r="A14618">
        <f>HYPERLINK("https://www.philgeps.gov.ph/GEPSNONPILOT/Tender/SplashBidNoticeAbstractUI.aspx?menuIndex=3&amp;refID=7055890&amp;Result=3","7055890")</f>
        <v>0</v>
      </c>
      <c r="B14618" t="s">
        <v>1248</v>
      </c>
      <c r="C14618" t="s">
        <v>17524</v>
      </c>
      <c r="D14618" t="s">
        <v>18122</v>
      </c>
      <c r="E14618" t="s">
        <v>30811</v>
      </c>
      <c r="F14618" t="s">
        <v>31362</v>
      </c>
      <c r="G14618" t="s">
        <v>31369</v>
      </c>
      <c r="H14618" t="s">
        <v>15799</v>
      </c>
      <c r="I14618" t="s">
        <v>31409</v>
      </c>
      <c r="J14618" t="s">
        <v>35413</v>
      </c>
      <c r="K14618" t="s">
        <v>40665</v>
      </c>
      <c r="M14618" t="s">
        <v>42263</v>
      </c>
      <c r="N14618" t="s">
        <v>44905</v>
      </c>
      <c r="O14618" t="s">
        <v>44906</v>
      </c>
      <c r="Q14618">
        <v>5</v>
      </c>
      <c r="R14618" t="s">
        <v>44920</v>
      </c>
      <c r="S14618" t="s">
        <v>45987</v>
      </c>
      <c r="T14618" t="s">
        <v>46473</v>
      </c>
      <c r="U14618" t="s">
        <v>58569</v>
      </c>
      <c r="W14618" t="s">
        <v>42263</v>
      </c>
      <c r="X14618" t="s">
        <v>44921</v>
      </c>
    </row>
    <row r="14619" spans="1:24">
      <c r="A14619">
        <f>HYPERLINK("https://www.philgeps.gov.ph/GEPSNONPILOT/Tender/SplashBidNoticeAbstractUI.aspx?menuIndex=3&amp;refID=7052809&amp;Result=3","7052809")</f>
        <v>0</v>
      </c>
      <c r="B14619" t="s">
        <v>393</v>
      </c>
      <c r="C14619" t="s">
        <v>17525</v>
      </c>
      <c r="D14619" t="s">
        <v>18122</v>
      </c>
      <c r="E14619" t="s">
        <v>30812</v>
      </c>
      <c r="F14619" t="s">
        <v>31362</v>
      </c>
      <c r="G14619" t="s">
        <v>31371</v>
      </c>
      <c r="H14619" t="s">
        <v>15799</v>
      </c>
      <c r="I14619" t="s">
        <v>31410</v>
      </c>
      <c r="J14619" t="s">
        <v>40340</v>
      </c>
      <c r="K14619" t="s">
        <v>40665</v>
      </c>
      <c r="M14619" t="s">
        <v>41341</v>
      </c>
      <c r="N14619" t="s">
        <v>44905</v>
      </c>
      <c r="O14619" t="s">
        <v>44906</v>
      </c>
      <c r="Q14619">
        <v>0</v>
      </c>
      <c r="R14619" t="s">
        <v>44921</v>
      </c>
      <c r="S14619" t="s">
        <v>45988</v>
      </c>
      <c r="T14619" t="s">
        <v>46409</v>
      </c>
      <c r="U14619" t="s">
        <v>58570</v>
      </c>
      <c r="W14619" t="s">
        <v>41341</v>
      </c>
      <c r="X14619" t="s">
        <v>44922</v>
      </c>
    </row>
    <row r="14620" spans="1:24">
      <c r="A14620">
        <f>HYPERLINK("https://www.philgeps.gov.ph/GEPSNONPILOT/Tender/SplashBidNoticeAbstractUI.aspx?menuIndex=3&amp;refID=7056583&amp;Result=3","7056583")</f>
        <v>0</v>
      </c>
      <c r="B14620" t="s">
        <v>2875</v>
      </c>
      <c r="C14620" t="s">
        <v>17526</v>
      </c>
      <c r="D14620" t="s">
        <v>18100</v>
      </c>
      <c r="E14620" t="s">
        <v>18475</v>
      </c>
      <c r="F14620" t="s">
        <v>31362</v>
      </c>
      <c r="G14620" t="s">
        <v>31368</v>
      </c>
      <c r="H14620" t="s">
        <v>15799</v>
      </c>
      <c r="I14620" t="s">
        <v>31382</v>
      </c>
      <c r="J14620" t="s">
        <v>31768</v>
      </c>
      <c r="K14620" t="s">
        <v>40693</v>
      </c>
      <c r="M14620" t="s">
        <v>44084</v>
      </c>
      <c r="N14620" t="s">
        <v>44905</v>
      </c>
      <c r="O14620" t="s">
        <v>44906</v>
      </c>
      <c r="P14620">
        <v>0</v>
      </c>
      <c r="Q14620">
        <v>2</v>
      </c>
      <c r="R14620" t="s">
        <v>44920</v>
      </c>
      <c r="S14620" t="s">
        <v>45492</v>
      </c>
      <c r="T14620" t="s">
        <v>46443</v>
      </c>
      <c r="U14620" t="s">
        <v>58571</v>
      </c>
      <c r="W14620" t="s">
        <v>44084</v>
      </c>
      <c r="X14620" t="s">
        <v>44921</v>
      </c>
    </row>
    <row r="14621" spans="1:24">
      <c r="A14621">
        <f>HYPERLINK("https://www.philgeps.gov.ph/GEPSNONPILOT/Tender/SplashBidNoticeAbstractUI.aspx?menuIndex=3&amp;refID=7057701&amp;Result=3","7057701")</f>
        <v>0</v>
      </c>
      <c r="B14621" t="s">
        <v>3488</v>
      </c>
      <c r="C14621" t="s">
        <v>17527</v>
      </c>
      <c r="D14621" t="s">
        <v>18119</v>
      </c>
      <c r="E14621" t="s">
        <v>19253</v>
      </c>
      <c r="F14621" t="s">
        <v>31362</v>
      </c>
      <c r="G14621" t="s">
        <v>31369</v>
      </c>
      <c r="H14621" t="s">
        <v>31378</v>
      </c>
      <c r="I14621" t="s">
        <v>31427</v>
      </c>
      <c r="J14621" t="s">
        <v>40341</v>
      </c>
      <c r="K14621" t="s">
        <v>40873</v>
      </c>
      <c r="M14621" t="s">
        <v>44829</v>
      </c>
      <c r="N14621" t="s">
        <v>44905</v>
      </c>
      <c r="O14621" t="s">
        <v>44906</v>
      </c>
      <c r="Q14621">
        <v>4</v>
      </c>
      <c r="R14621" t="s">
        <v>44920</v>
      </c>
      <c r="S14621" t="s">
        <v>45478</v>
      </c>
      <c r="T14621" t="s">
        <v>46426</v>
      </c>
      <c r="U14621" t="s">
        <v>58572</v>
      </c>
      <c r="W14621" t="s">
        <v>44829</v>
      </c>
      <c r="X14621" t="s">
        <v>44921</v>
      </c>
    </row>
    <row r="14622" spans="1:24">
      <c r="A14622">
        <f>HYPERLINK("https://www.philgeps.gov.ph/GEPSNONPILOT/Tender/SplashBidNoticeAbstractUI.aspx?menuIndex=3&amp;refID=7041388&amp;Result=3","7041388")</f>
        <v>0</v>
      </c>
      <c r="B14622" t="s">
        <v>3479</v>
      </c>
      <c r="C14622" t="s">
        <v>17528</v>
      </c>
      <c r="D14622" t="s">
        <v>18100</v>
      </c>
      <c r="E14622" t="s">
        <v>30813</v>
      </c>
      <c r="F14622" t="s">
        <v>31362</v>
      </c>
      <c r="G14622" t="s">
        <v>31369</v>
      </c>
      <c r="H14622" t="s">
        <v>15799</v>
      </c>
      <c r="I14622" t="s">
        <v>31409</v>
      </c>
      <c r="J14622" t="s">
        <v>31606</v>
      </c>
      <c r="K14622" t="s">
        <v>40665</v>
      </c>
      <c r="M14622" t="s">
        <v>44820</v>
      </c>
      <c r="N14622" t="s">
        <v>44905</v>
      </c>
      <c r="O14622" t="s">
        <v>44906</v>
      </c>
      <c r="P14622">
        <v>0</v>
      </c>
      <c r="Q14622">
        <v>6</v>
      </c>
      <c r="R14622" t="s">
        <v>44928</v>
      </c>
      <c r="S14622" t="s">
        <v>45943</v>
      </c>
      <c r="T14622" t="s">
        <v>46670</v>
      </c>
      <c r="U14622" t="s">
        <v>58573</v>
      </c>
      <c r="W14622" t="s">
        <v>44820</v>
      </c>
      <c r="X14622" t="s">
        <v>44929</v>
      </c>
    </row>
    <row r="14623" spans="1:24">
      <c r="A14623">
        <f>HYPERLINK("https://www.philgeps.gov.ph/GEPSNONPILOT/Tender/SplashBidNoticeAbstractUI.aspx?menuIndex=3&amp;refID=7041990&amp;Result=3","7041990")</f>
        <v>0</v>
      </c>
      <c r="B14623" t="s">
        <v>1741</v>
      </c>
      <c r="C14623" t="s">
        <v>17529</v>
      </c>
      <c r="D14623" t="s">
        <v>18123</v>
      </c>
      <c r="E14623" t="s">
        <v>30814</v>
      </c>
      <c r="F14623" t="s">
        <v>31362</v>
      </c>
      <c r="G14623" t="s">
        <v>31369</v>
      </c>
      <c r="H14623" t="s">
        <v>15799</v>
      </c>
      <c r="I14623" t="s">
        <v>31393</v>
      </c>
      <c r="J14623" t="s">
        <v>40342</v>
      </c>
      <c r="K14623" t="s">
        <v>40665</v>
      </c>
      <c r="M14623" t="s">
        <v>43001</v>
      </c>
      <c r="N14623" t="s">
        <v>44905</v>
      </c>
      <c r="O14623" t="s">
        <v>44906</v>
      </c>
      <c r="P14623">
        <v>0</v>
      </c>
      <c r="Q14623">
        <v>9</v>
      </c>
      <c r="R14623" t="s">
        <v>44928</v>
      </c>
      <c r="S14623" t="s">
        <v>45943</v>
      </c>
      <c r="T14623" t="s">
        <v>46434</v>
      </c>
      <c r="U14623" t="s">
        <v>58574</v>
      </c>
      <c r="V14623" t="s">
        <v>60743</v>
      </c>
      <c r="W14623" t="s">
        <v>43001</v>
      </c>
      <c r="X14623" t="s">
        <v>44929</v>
      </c>
    </row>
    <row r="14624" spans="1:24">
      <c r="A14624">
        <f>HYPERLINK("https://www.philgeps.gov.ph/GEPSNONPILOT/Tender/SplashBidNoticeAbstractUI.aspx?menuIndex=3&amp;refID=7041966&amp;Result=3","7041966")</f>
        <v>0</v>
      </c>
      <c r="B14624" t="s">
        <v>1741</v>
      </c>
      <c r="C14624" t="s">
        <v>17530</v>
      </c>
      <c r="D14624" t="s">
        <v>18123</v>
      </c>
      <c r="E14624" t="s">
        <v>30815</v>
      </c>
      <c r="F14624" t="s">
        <v>31362</v>
      </c>
      <c r="G14624" t="s">
        <v>31369</v>
      </c>
      <c r="H14624" t="s">
        <v>15799</v>
      </c>
      <c r="I14624" t="s">
        <v>31393</v>
      </c>
      <c r="J14624" t="s">
        <v>31817</v>
      </c>
      <c r="K14624" t="s">
        <v>40665</v>
      </c>
      <c r="M14624" t="s">
        <v>43001</v>
      </c>
      <c r="N14624" t="s">
        <v>44905</v>
      </c>
      <c r="O14624" t="s">
        <v>44906</v>
      </c>
      <c r="Q14624">
        <v>6</v>
      </c>
      <c r="R14624" t="s">
        <v>44928</v>
      </c>
      <c r="S14624" t="s">
        <v>45989</v>
      </c>
      <c r="T14624" t="s">
        <v>46434</v>
      </c>
      <c r="U14624" t="s">
        <v>58575</v>
      </c>
      <c r="V14624" t="s">
        <v>60744</v>
      </c>
      <c r="W14624" t="s">
        <v>43001</v>
      </c>
      <c r="X14624" t="s">
        <v>44929</v>
      </c>
    </row>
    <row r="14625" spans="1:24">
      <c r="A14625">
        <f>HYPERLINK("https://www.philgeps.gov.ph/GEPSNONPILOT/Tender/SplashBidNoticeAbstractUI.aspx?menuIndex=3&amp;refID=7041893&amp;Result=3","7041893")</f>
        <v>0</v>
      </c>
      <c r="B14625" t="s">
        <v>1237</v>
      </c>
      <c r="C14625" t="s">
        <v>17531</v>
      </c>
      <c r="D14625" t="s">
        <v>18108</v>
      </c>
      <c r="E14625" t="s">
        <v>30816</v>
      </c>
      <c r="F14625" t="s">
        <v>31362</v>
      </c>
      <c r="G14625" t="s">
        <v>31369</v>
      </c>
      <c r="H14625" t="s">
        <v>15799</v>
      </c>
      <c r="I14625" t="s">
        <v>31380</v>
      </c>
      <c r="J14625" t="s">
        <v>40343</v>
      </c>
      <c r="K14625" t="s">
        <v>40661</v>
      </c>
      <c r="M14625" t="s">
        <v>44830</v>
      </c>
      <c r="N14625" t="s">
        <v>44905</v>
      </c>
      <c r="O14625" t="s">
        <v>44906</v>
      </c>
      <c r="Q14625">
        <v>5</v>
      </c>
      <c r="R14625" t="s">
        <v>44928</v>
      </c>
      <c r="S14625" t="s">
        <v>45880</v>
      </c>
      <c r="T14625" t="s">
        <v>46435</v>
      </c>
      <c r="U14625" t="s">
        <v>58576</v>
      </c>
      <c r="W14625" t="s">
        <v>44830</v>
      </c>
      <c r="X14625" t="s">
        <v>44929</v>
      </c>
    </row>
    <row r="14626" spans="1:24">
      <c r="A14626">
        <f>HYPERLINK("https://www.philgeps.gov.ph/GEPSNONPILOT/Tender/SplashBidNoticeAbstractUI.aspx?menuIndex=3&amp;refID=7041687&amp;Result=3","7041687")</f>
        <v>0</v>
      </c>
      <c r="B14626" t="s">
        <v>1411</v>
      </c>
      <c r="C14626" t="s">
        <v>17532</v>
      </c>
      <c r="E14626" t="s">
        <v>30817</v>
      </c>
      <c r="F14626" t="s">
        <v>31362</v>
      </c>
      <c r="G14626" t="s">
        <v>31369</v>
      </c>
      <c r="H14626" t="s">
        <v>15799</v>
      </c>
      <c r="I14626" t="s">
        <v>31430</v>
      </c>
      <c r="J14626" t="s">
        <v>36460</v>
      </c>
      <c r="K14626" t="s">
        <v>40662</v>
      </c>
      <c r="M14626" t="s">
        <v>42436</v>
      </c>
      <c r="N14626" t="s">
        <v>44905</v>
      </c>
      <c r="O14626" t="s">
        <v>44906</v>
      </c>
      <c r="Q14626">
        <v>18</v>
      </c>
      <c r="R14626" t="s">
        <v>44928</v>
      </c>
      <c r="S14626" t="s">
        <v>45650</v>
      </c>
      <c r="T14626" t="s">
        <v>46460</v>
      </c>
      <c r="U14626" t="s">
        <v>58577</v>
      </c>
      <c r="W14626" t="s">
        <v>60892</v>
      </c>
      <c r="X14626" t="s">
        <v>44929</v>
      </c>
    </row>
    <row r="14627" spans="1:24">
      <c r="A14627">
        <f>HYPERLINK("https://www.philgeps.gov.ph/GEPSNONPILOT/Tender/SplashBidNoticeAbstractUI.aspx?menuIndex=3&amp;refID=7041683&amp;Result=3","7041683")</f>
        <v>0</v>
      </c>
      <c r="B14627" t="s">
        <v>219</v>
      </c>
      <c r="C14627" t="s">
        <v>7298</v>
      </c>
      <c r="D14627" t="s">
        <v>18124</v>
      </c>
      <c r="E14627" t="s">
        <v>30818</v>
      </c>
      <c r="F14627" t="s">
        <v>31362</v>
      </c>
      <c r="G14627" t="s">
        <v>31369</v>
      </c>
      <c r="H14627" t="s">
        <v>15799</v>
      </c>
      <c r="I14627" t="s">
        <v>31382</v>
      </c>
      <c r="J14627" t="s">
        <v>32204</v>
      </c>
      <c r="K14627" t="s">
        <v>40665</v>
      </c>
      <c r="M14627" t="s">
        <v>44000</v>
      </c>
      <c r="N14627" t="s">
        <v>44905</v>
      </c>
      <c r="O14627" t="s">
        <v>44906</v>
      </c>
      <c r="P14627">
        <v>0</v>
      </c>
      <c r="Q14627">
        <v>8</v>
      </c>
      <c r="R14627" t="s">
        <v>44928</v>
      </c>
      <c r="S14627" t="s">
        <v>45943</v>
      </c>
      <c r="T14627" t="s">
        <v>46409</v>
      </c>
      <c r="U14627" t="s">
        <v>58578</v>
      </c>
      <c r="W14627" t="s">
        <v>41751</v>
      </c>
      <c r="X14627" t="s">
        <v>44929</v>
      </c>
    </row>
    <row r="14628" spans="1:24">
      <c r="A14628">
        <f>HYPERLINK("https://www.philgeps.gov.ph/GEPSNONPILOT/Tender/SplashBidNoticeAbstractUI.aspx?menuIndex=3&amp;refID=7041651&amp;Result=3","7041651")</f>
        <v>0</v>
      </c>
      <c r="B14628" t="s">
        <v>1010</v>
      </c>
      <c r="C14628" t="s">
        <v>17533</v>
      </c>
      <c r="D14628" t="s">
        <v>18147</v>
      </c>
      <c r="E14628" t="s">
        <v>30819</v>
      </c>
      <c r="F14628" t="s">
        <v>31362</v>
      </c>
      <c r="G14628" t="s">
        <v>31369</v>
      </c>
      <c r="H14628" t="s">
        <v>15799</v>
      </c>
      <c r="I14628" t="s">
        <v>31428</v>
      </c>
      <c r="J14628" t="s">
        <v>31615</v>
      </c>
      <c r="K14628" t="s">
        <v>40686</v>
      </c>
      <c r="L14628" t="s">
        <v>1010</v>
      </c>
      <c r="M14628" t="s">
        <v>42007</v>
      </c>
      <c r="N14628" t="s">
        <v>44905</v>
      </c>
      <c r="O14628" t="s">
        <v>44906</v>
      </c>
      <c r="P14628">
        <v>0</v>
      </c>
      <c r="Q14628">
        <v>1</v>
      </c>
      <c r="R14628" t="s">
        <v>44928</v>
      </c>
      <c r="S14628" t="s">
        <v>45943</v>
      </c>
      <c r="T14628" t="s">
        <v>46409</v>
      </c>
      <c r="U14628" t="s">
        <v>58579</v>
      </c>
      <c r="W14628" t="s">
        <v>42007</v>
      </c>
      <c r="X14628" t="s">
        <v>44929</v>
      </c>
    </row>
    <row r="14629" spans="1:24">
      <c r="A14629">
        <f>HYPERLINK("https://www.philgeps.gov.ph/GEPSNONPILOT/Tender/SplashBidNoticeAbstractUI.aspx?menuIndex=3&amp;refID=7041637&amp;Result=3","7041637")</f>
        <v>0</v>
      </c>
      <c r="B14629" t="s">
        <v>1150</v>
      </c>
      <c r="C14629" t="s">
        <v>17534</v>
      </c>
      <c r="E14629" t="s">
        <v>30820</v>
      </c>
      <c r="F14629" t="s">
        <v>31362</v>
      </c>
      <c r="G14629" t="s">
        <v>31369</v>
      </c>
      <c r="H14629" t="s">
        <v>31377</v>
      </c>
      <c r="I14629" t="s">
        <v>31377</v>
      </c>
      <c r="J14629" t="s">
        <v>36882</v>
      </c>
      <c r="K14629" t="s">
        <v>40662</v>
      </c>
      <c r="M14629" t="s">
        <v>42159</v>
      </c>
      <c r="N14629" t="s">
        <v>44905</v>
      </c>
      <c r="O14629" t="s">
        <v>44906</v>
      </c>
      <c r="P14629">
        <v>0</v>
      </c>
      <c r="Q14629">
        <v>4</v>
      </c>
      <c r="R14629" t="s">
        <v>44928</v>
      </c>
      <c r="S14629" t="s">
        <v>45943</v>
      </c>
      <c r="T14629" t="s">
        <v>46483</v>
      </c>
      <c r="U14629" t="s">
        <v>58580</v>
      </c>
      <c r="W14629" t="s">
        <v>42159</v>
      </c>
      <c r="X14629" t="s">
        <v>44929</v>
      </c>
    </row>
    <row r="14630" spans="1:24">
      <c r="A14630">
        <f>HYPERLINK("https://www.philgeps.gov.ph/GEPSNONPILOT/Tender/SplashBidNoticeAbstractUI.aspx?menuIndex=3&amp;refID=7041398&amp;Result=3","7041398")</f>
        <v>0</v>
      </c>
      <c r="B14630" t="s">
        <v>3480</v>
      </c>
      <c r="C14630" t="s">
        <v>17535</v>
      </c>
      <c r="D14630" t="s">
        <v>18157</v>
      </c>
      <c r="E14630" t="s">
        <v>11036</v>
      </c>
      <c r="F14630" t="s">
        <v>31362</v>
      </c>
      <c r="G14630" t="s">
        <v>31369</v>
      </c>
      <c r="H14630" t="s">
        <v>15799</v>
      </c>
      <c r="I14630" t="s">
        <v>3815</v>
      </c>
      <c r="J14630" t="s">
        <v>40344</v>
      </c>
      <c r="K14630" t="s">
        <v>40666</v>
      </c>
      <c r="M14630" t="s">
        <v>44821</v>
      </c>
      <c r="N14630" t="s">
        <v>44905</v>
      </c>
      <c r="O14630" t="s">
        <v>44906</v>
      </c>
      <c r="P14630">
        <v>0</v>
      </c>
      <c r="Q14630">
        <v>1</v>
      </c>
      <c r="R14630" t="s">
        <v>44928</v>
      </c>
      <c r="S14630" t="s">
        <v>45943</v>
      </c>
      <c r="T14630" t="s">
        <v>46432</v>
      </c>
      <c r="U14630" t="s">
        <v>58581</v>
      </c>
      <c r="W14630" t="s">
        <v>44821</v>
      </c>
      <c r="X14630" t="s">
        <v>44929</v>
      </c>
    </row>
    <row r="14631" spans="1:24">
      <c r="A14631">
        <f>HYPERLINK("https://www.philgeps.gov.ph/GEPSNONPILOT/Tender/SplashBidNoticeAbstractUI.aspx?menuIndex=3&amp;refID=7041975&amp;Result=3","7041975")</f>
        <v>0</v>
      </c>
      <c r="B14631" t="s">
        <v>1150</v>
      </c>
      <c r="C14631" t="s">
        <v>17536</v>
      </c>
      <c r="E14631" t="s">
        <v>30821</v>
      </c>
      <c r="F14631" t="s">
        <v>31362</v>
      </c>
      <c r="G14631" t="s">
        <v>31369</v>
      </c>
      <c r="H14631" t="s">
        <v>31378</v>
      </c>
      <c r="I14631" t="s">
        <v>31386</v>
      </c>
      <c r="J14631" t="s">
        <v>32594</v>
      </c>
      <c r="K14631" t="s">
        <v>40662</v>
      </c>
      <c r="M14631" t="s">
        <v>42159</v>
      </c>
      <c r="N14631" t="s">
        <v>44905</v>
      </c>
      <c r="O14631" t="s">
        <v>44906</v>
      </c>
      <c r="P14631">
        <v>0</v>
      </c>
      <c r="Q14631">
        <v>0</v>
      </c>
      <c r="R14631" t="s">
        <v>44928</v>
      </c>
      <c r="S14631" t="s">
        <v>45943</v>
      </c>
      <c r="T14631" t="s">
        <v>46483</v>
      </c>
      <c r="U14631" t="s">
        <v>50858</v>
      </c>
      <c r="W14631" t="s">
        <v>42159</v>
      </c>
      <c r="X14631" t="s">
        <v>44929</v>
      </c>
    </row>
    <row r="14632" spans="1:24">
      <c r="A14632">
        <f>HYPERLINK("https://www.philgeps.gov.ph/GEPSNONPILOT/Tender/SplashBidNoticeAbstractUI.aspx?menuIndex=3&amp;refID=7042068&amp;Result=3","7042068")</f>
        <v>0</v>
      </c>
      <c r="B14632" t="s">
        <v>1150</v>
      </c>
      <c r="C14632" t="s">
        <v>17537</v>
      </c>
      <c r="E14632" t="s">
        <v>30822</v>
      </c>
      <c r="F14632" t="s">
        <v>31362</v>
      </c>
      <c r="G14632" t="s">
        <v>31369</v>
      </c>
      <c r="H14632" t="s">
        <v>31378</v>
      </c>
      <c r="I14632" t="s">
        <v>31386</v>
      </c>
      <c r="J14632" t="s">
        <v>31606</v>
      </c>
      <c r="K14632" t="s">
        <v>40662</v>
      </c>
      <c r="M14632" t="s">
        <v>42159</v>
      </c>
      <c r="N14632" t="s">
        <v>44905</v>
      </c>
      <c r="O14632" t="s">
        <v>44906</v>
      </c>
      <c r="Q14632">
        <v>0</v>
      </c>
      <c r="R14632" t="s">
        <v>44928</v>
      </c>
      <c r="S14632" t="s">
        <v>45990</v>
      </c>
      <c r="T14632" t="s">
        <v>46483</v>
      </c>
      <c r="U14632" t="s">
        <v>50858</v>
      </c>
      <c r="W14632" t="s">
        <v>42159</v>
      </c>
      <c r="X14632" t="s">
        <v>44929</v>
      </c>
    </row>
    <row r="14633" spans="1:24">
      <c r="A14633">
        <f>HYPERLINK("https://www.philgeps.gov.ph/GEPSNONPILOT/Tender/SplashBidNoticeAbstractUI.aspx?menuIndex=3&amp;refID=7042041&amp;Result=3","7042041")</f>
        <v>0</v>
      </c>
      <c r="B14633" t="s">
        <v>3160</v>
      </c>
      <c r="C14633" t="s">
        <v>17538</v>
      </c>
      <c r="D14633" t="s">
        <v>18109</v>
      </c>
      <c r="E14633" t="s">
        <v>30823</v>
      </c>
      <c r="F14633" t="s">
        <v>31364</v>
      </c>
      <c r="G14633" t="s">
        <v>31370</v>
      </c>
      <c r="H14633" t="s">
        <v>15799</v>
      </c>
      <c r="I14633" t="s">
        <v>31451</v>
      </c>
      <c r="J14633" t="s">
        <v>34153</v>
      </c>
      <c r="K14633" t="s">
        <v>40665</v>
      </c>
      <c r="M14633" t="s">
        <v>44424</v>
      </c>
      <c r="N14633" t="s">
        <v>44905</v>
      </c>
      <c r="O14633" t="s">
        <v>44906</v>
      </c>
      <c r="Q14633">
        <v>0</v>
      </c>
      <c r="R14633" t="s">
        <v>44928</v>
      </c>
      <c r="S14633" t="s">
        <v>45991</v>
      </c>
      <c r="T14633" t="s">
        <v>46470</v>
      </c>
      <c r="U14633" t="s">
        <v>58582</v>
      </c>
      <c r="W14633" t="s">
        <v>44424</v>
      </c>
      <c r="X14633" t="s">
        <v>44929</v>
      </c>
    </row>
    <row r="14634" spans="1:24">
      <c r="A14634">
        <f>HYPERLINK("https://www.philgeps.gov.ph/GEPSNONPILOT/Tender/SplashBidNoticeAbstractUI.aspx?menuIndex=3&amp;refID=7042020&amp;Result=3","7042020")</f>
        <v>0</v>
      </c>
      <c r="B14634" t="s">
        <v>1150</v>
      </c>
      <c r="C14634" t="s">
        <v>17539</v>
      </c>
      <c r="E14634" t="s">
        <v>30824</v>
      </c>
      <c r="F14634" t="s">
        <v>31362</v>
      </c>
      <c r="G14634" t="s">
        <v>31369</v>
      </c>
      <c r="H14634" t="s">
        <v>31378</v>
      </c>
      <c r="I14634" t="s">
        <v>31386</v>
      </c>
      <c r="J14634" t="s">
        <v>33482</v>
      </c>
      <c r="K14634" t="s">
        <v>40662</v>
      </c>
      <c r="M14634" t="s">
        <v>42159</v>
      </c>
      <c r="N14634" t="s">
        <v>44905</v>
      </c>
      <c r="O14634" t="s">
        <v>44906</v>
      </c>
      <c r="P14634">
        <v>0</v>
      </c>
      <c r="Q14634">
        <v>0</v>
      </c>
      <c r="R14634" t="s">
        <v>44928</v>
      </c>
      <c r="S14634" t="s">
        <v>45943</v>
      </c>
      <c r="T14634" t="s">
        <v>46483</v>
      </c>
      <c r="U14634" t="s">
        <v>50858</v>
      </c>
      <c r="W14634" t="s">
        <v>42159</v>
      </c>
      <c r="X14634" t="s">
        <v>44929</v>
      </c>
    </row>
    <row r="14635" spans="1:24">
      <c r="A14635">
        <f>HYPERLINK("https://www.philgeps.gov.ph/GEPSNONPILOT/Tender/SplashBidNoticeAbstractUI.aspx?menuIndex=3&amp;refID=7042099&amp;Result=3","7042099")</f>
        <v>0</v>
      </c>
      <c r="B14635" t="s">
        <v>1150</v>
      </c>
      <c r="C14635" t="s">
        <v>17540</v>
      </c>
      <c r="E14635" t="s">
        <v>30825</v>
      </c>
      <c r="F14635" t="s">
        <v>31362</v>
      </c>
      <c r="G14635" t="s">
        <v>31369</v>
      </c>
      <c r="H14635" t="s">
        <v>31378</v>
      </c>
      <c r="I14635" t="s">
        <v>31386</v>
      </c>
      <c r="J14635" t="s">
        <v>31634</v>
      </c>
      <c r="K14635" t="s">
        <v>40662</v>
      </c>
      <c r="M14635" t="s">
        <v>42159</v>
      </c>
      <c r="N14635" t="s">
        <v>44905</v>
      </c>
      <c r="O14635" t="s">
        <v>44906</v>
      </c>
      <c r="P14635">
        <v>0</v>
      </c>
      <c r="Q14635">
        <v>0</v>
      </c>
      <c r="R14635" t="s">
        <v>44928</v>
      </c>
      <c r="S14635" t="s">
        <v>45943</v>
      </c>
      <c r="T14635" t="s">
        <v>46483</v>
      </c>
      <c r="U14635" t="s">
        <v>50858</v>
      </c>
      <c r="W14635" t="s">
        <v>42159</v>
      </c>
      <c r="X14635" t="s">
        <v>44929</v>
      </c>
    </row>
    <row r="14636" spans="1:24">
      <c r="A14636">
        <f>HYPERLINK("https://www.philgeps.gov.ph/GEPSNONPILOT/Tender/SplashBidNoticeAbstractUI.aspx?menuIndex=3&amp;refID=7041632&amp;Result=3","7041632")</f>
        <v>0</v>
      </c>
      <c r="B14636" t="s">
        <v>2793</v>
      </c>
      <c r="C14636" t="s">
        <v>17541</v>
      </c>
      <c r="D14636" t="s">
        <v>18158</v>
      </c>
      <c r="E14636" t="s">
        <v>30826</v>
      </c>
      <c r="F14636" t="s">
        <v>31362</v>
      </c>
      <c r="G14636" t="s">
        <v>31369</v>
      </c>
      <c r="H14636" t="s">
        <v>15799</v>
      </c>
      <c r="I14636" t="s">
        <v>31406</v>
      </c>
      <c r="J14636" t="s">
        <v>40345</v>
      </c>
      <c r="K14636" t="s">
        <v>40665</v>
      </c>
      <c r="M14636" t="s">
        <v>43990</v>
      </c>
      <c r="N14636" t="s">
        <v>44905</v>
      </c>
      <c r="O14636" t="s">
        <v>44906</v>
      </c>
      <c r="P14636">
        <v>0</v>
      </c>
      <c r="Q14636">
        <v>3</v>
      </c>
      <c r="R14636" t="s">
        <v>44928</v>
      </c>
      <c r="S14636" t="s">
        <v>45943</v>
      </c>
      <c r="T14636" t="s">
        <v>46590</v>
      </c>
      <c r="U14636" t="s">
        <v>58583</v>
      </c>
      <c r="V14636" t="s">
        <v>60745</v>
      </c>
      <c r="W14636" t="s">
        <v>43990</v>
      </c>
      <c r="X14636" t="s">
        <v>44929</v>
      </c>
    </row>
    <row r="14637" spans="1:24">
      <c r="A14637">
        <f>HYPERLINK("https://www.philgeps.gov.ph/GEPSNONPILOT/Tender/SplashBidNoticeAbstractUI.aspx?menuIndex=3&amp;refID=7042497&amp;Result=3","7042497")</f>
        <v>0</v>
      </c>
      <c r="B14637" t="s">
        <v>2832</v>
      </c>
      <c r="C14637" t="s">
        <v>17542</v>
      </c>
      <c r="D14637" t="s">
        <v>18154</v>
      </c>
      <c r="E14637" t="s">
        <v>30827</v>
      </c>
      <c r="F14637" t="s">
        <v>31362</v>
      </c>
      <c r="G14637" t="s">
        <v>31369</v>
      </c>
      <c r="H14637" t="s">
        <v>31378</v>
      </c>
      <c r="I14637" t="s">
        <v>31435</v>
      </c>
      <c r="J14637" t="s">
        <v>31709</v>
      </c>
      <c r="K14637" t="s">
        <v>40678</v>
      </c>
      <c r="M14637" t="s">
        <v>44033</v>
      </c>
      <c r="N14637" t="s">
        <v>44905</v>
      </c>
      <c r="O14637" t="s">
        <v>44906</v>
      </c>
      <c r="P14637">
        <v>0</v>
      </c>
      <c r="Q14637">
        <v>2</v>
      </c>
      <c r="R14637" t="s">
        <v>44928</v>
      </c>
      <c r="S14637" t="s">
        <v>45943</v>
      </c>
      <c r="T14637" t="s">
        <v>46470</v>
      </c>
      <c r="U14637" t="s">
        <v>58584</v>
      </c>
      <c r="W14637" t="s">
        <v>44033</v>
      </c>
      <c r="X14637" t="s">
        <v>44929</v>
      </c>
    </row>
    <row r="14638" spans="1:24">
      <c r="A14638">
        <f>HYPERLINK("https://www.philgeps.gov.ph/GEPSNONPILOT/Tender/SplashBidNoticeAbstractUI.aspx?menuIndex=3&amp;refID=7041713&amp;Result=3","7041713")</f>
        <v>0</v>
      </c>
      <c r="B14638" t="s">
        <v>1150</v>
      </c>
      <c r="C14638" t="s">
        <v>17534</v>
      </c>
      <c r="E14638" t="s">
        <v>30828</v>
      </c>
      <c r="F14638" t="s">
        <v>31362</v>
      </c>
      <c r="G14638" t="s">
        <v>31369</v>
      </c>
      <c r="H14638" t="s">
        <v>31377</v>
      </c>
      <c r="I14638" t="s">
        <v>31377</v>
      </c>
      <c r="J14638" t="s">
        <v>40346</v>
      </c>
      <c r="K14638" t="s">
        <v>40662</v>
      </c>
      <c r="M14638" t="s">
        <v>42159</v>
      </c>
      <c r="N14638" t="s">
        <v>44905</v>
      </c>
      <c r="O14638" t="s">
        <v>44906</v>
      </c>
      <c r="P14638">
        <v>0</v>
      </c>
      <c r="Q14638">
        <v>5</v>
      </c>
      <c r="R14638" t="s">
        <v>44928</v>
      </c>
      <c r="S14638" t="s">
        <v>45943</v>
      </c>
      <c r="T14638" t="s">
        <v>46483</v>
      </c>
      <c r="U14638" t="s">
        <v>58585</v>
      </c>
      <c r="W14638" t="s">
        <v>42159</v>
      </c>
      <c r="X14638" t="s">
        <v>44929</v>
      </c>
    </row>
    <row r="14639" spans="1:24">
      <c r="A14639">
        <f>HYPERLINK("https://www.philgeps.gov.ph/GEPSNONPILOT/Tender/SplashBidNoticeAbstractUI.aspx?menuIndex=3&amp;refID=7042424&amp;Result=3","7042424")</f>
        <v>0</v>
      </c>
      <c r="B14639" t="s">
        <v>2678</v>
      </c>
      <c r="C14639" t="s">
        <v>17543</v>
      </c>
      <c r="E14639" t="s">
        <v>30829</v>
      </c>
      <c r="F14639" t="s">
        <v>31362</v>
      </c>
      <c r="G14639" t="s">
        <v>31369</v>
      </c>
      <c r="H14639" t="s">
        <v>31378</v>
      </c>
      <c r="I14639" t="s">
        <v>31386</v>
      </c>
      <c r="J14639" t="s">
        <v>40347</v>
      </c>
      <c r="K14639" t="s">
        <v>40662</v>
      </c>
      <c r="M14639" t="s">
        <v>43864</v>
      </c>
      <c r="N14639" t="s">
        <v>44905</v>
      </c>
      <c r="O14639" t="s">
        <v>44906</v>
      </c>
      <c r="Q14639">
        <v>33</v>
      </c>
      <c r="R14639" t="s">
        <v>44928</v>
      </c>
      <c r="S14639" t="s">
        <v>45277</v>
      </c>
      <c r="T14639" t="s">
        <v>46429</v>
      </c>
      <c r="U14639" t="s">
        <v>54790</v>
      </c>
      <c r="W14639" t="s">
        <v>60941</v>
      </c>
      <c r="X14639" t="s">
        <v>44929</v>
      </c>
    </row>
    <row r="14640" spans="1:24">
      <c r="A14640">
        <f>HYPERLINK("https://www.philgeps.gov.ph/GEPSNONPILOT/Tender/SplashBidNoticeAbstractUI.aspx?menuIndex=3&amp;refID=7042413&amp;Result=3","7042413")</f>
        <v>0</v>
      </c>
      <c r="B14640" t="s">
        <v>2678</v>
      </c>
      <c r="C14640" t="s">
        <v>17544</v>
      </c>
      <c r="E14640" t="s">
        <v>30830</v>
      </c>
      <c r="F14640" t="s">
        <v>31362</v>
      </c>
      <c r="G14640" t="s">
        <v>31369</v>
      </c>
      <c r="H14640" t="s">
        <v>31378</v>
      </c>
      <c r="I14640" t="s">
        <v>31386</v>
      </c>
      <c r="J14640" t="s">
        <v>40348</v>
      </c>
      <c r="K14640" t="s">
        <v>40662</v>
      </c>
      <c r="M14640" t="s">
        <v>43864</v>
      </c>
      <c r="N14640" t="s">
        <v>44905</v>
      </c>
      <c r="O14640" t="s">
        <v>44906</v>
      </c>
      <c r="Q14640">
        <v>30</v>
      </c>
      <c r="R14640" t="s">
        <v>44928</v>
      </c>
      <c r="S14640" t="s">
        <v>45992</v>
      </c>
      <c r="T14640" t="s">
        <v>46429</v>
      </c>
      <c r="U14640" t="s">
        <v>54790</v>
      </c>
      <c r="W14640" t="s">
        <v>60941</v>
      </c>
      <c r="X14640" t="s">
        <v>44929</v>
      </c>
    </row>
    <row r="14641" spans="1:24">
      <c r="A14641">
        <f>HYPERLINK("https://www.philgeps.gov.ph/GEPSNONPILOT/Tender/SplashBidNoticeAbstractUI.aspx?menuIndex=3&amp;refID=7042401&amp;Result=3","7042401")</f>
        <v>0</v>
      </c>
      <c r="B14641" t="s">
        <v>2678</v>
      </c>
      <c r="C14641" t="s">
        <v>17545</v>
      </c>
      <c r="E14641" t="s">
        <v>30831</v>
      </c>
      <c r="F14641" t="s">
        <v>31362</v>
      </c>
      <c r="G14641" t="s">
        <v>31369</v>
      </c>
      <c r="H14641" t="s">
        <v>31378</v>
      </c>
      <c r="I14641" t="s">
        <v>31386</v>
      </c>
      <c r="J14641" t="s">
        <v>40349</v>
      </c>
      <c r="K14641" t="s">
        <v>40662</v>
      </c>
      <c r="M14641" t="s">
        <v>43864</v>
      </c>
      <c r="N14641" t="s">
        <v>44905</v>
      </c>
      <c r="O14641" t="s">
        <v>44906</v>
      </c>
      <c r="Q14641">
        <v>29</v>
      </c>
      <c r="R14641" t="s">
        <v>44928</v>
      </c>
      <c r="S14641" t="s">
        <v>45993</v>
      </c>
      <c r="T14641" t="s">
        <v>46429</v>
      </c>
      <c r="U14641" t="s">
        <v>54790</v>
      </c>
      <c r="W14641" t="s">
        <v>60941</v>
      </c>
      <c r="X14641" t="s">
        <v>44929</v>
      </c>
    </row>
    <row r="14642" spans="1:24">
      <c r="A14642">
        <f>HYPERLINK("https://www.philgeps.gov.ph/GEPSNONPILOT/Tender/SplashBidNoticeAbstractUI.aspx?menuIndex=3&amp;refID=7042372&amp;Result=3","7042372")</f>
        <v>0</v>
      </c>
      <c r="B14642" t="s">
        <v>2658</v>
      </c>
      <c r="C14642" t="s">
        <v>17546</v>
      </c>
      <c r="D14642" t="s">
        <v>18100</v>
      </c>
      <c r="E14642" t="s">
        <v>30832</v>
      </c>
      <c r="F14642" t="s">
        <v>31362</v>
      </c>
      <c r="G14642" t="s">
        <v>31369</v>
      </c>
      <c r="H14642" t="s">
        <v>15799</v>
      </c>
      <c r="I14642" t="s">
        <v>31409</v>
      </c>
      <c r="J14642" t="s">
        <v>40350</v>
      </c>
      <c r="K14642" t="s">
        <v>40665</v>
      </c>
      <c r="M14642" t="s">
        <v>43842</v>
      </c>
      <c r="N14642" t="s">
        <v>44905</v>
      </c>
      <c r="O14642" t="s">
        <v>44906</v>
      </c>
      <c r="Q14642">
        <v>11</v>
      </c>
      <c r="R14642" t="s">
        <v>44928</v>
      </c>
      <c r="S14642" t="s">
        <v>45994</v>
      </c>
      <c r="T14642" t="s">
        <v>46612</v>
      </c>
      <c r="U14642" t="s">
        <v>58586</v>
      </c>
      <c r="W14642" t="s">
        <v>43842</v>
      </c>
      <c r="X14642" t="s">
        <v>44929</v>
      </c>
    </row>
    <row r="14643" spans="1:24">
      <c r="A14643">
        <f>HYPERLINK("https://www.philgeps.gov.ph/GEPSNONPILOT/Tender/SplashBidNoticeAbstractUI.aspx?menuIndex=3&amp;refID=7041985&amp;Result=3","7041985")</f>
        <v>0</v>
      </c>
      <c r="B14643" t="s">
        <v>1027</v>
      </c>
      <c r="C14643" t="s">
        <v>17547</v>
      </c>
      <c r="D14643" t="s">
        <v>18134</v>
      </c>
      <c r="E14643" t="s">
        <v>30833</v>
      </c>
      <c r="F14643" t="s">
        <v>31362</v>
      </c>
      <c r="G14643" t="s">
        <v>31369</v>
      </c>
      <c r="H14643" t="s">
        <v>15799</v>
      </c>
      <c r="I14643" t="s">
        <v>6373</v>
      </c>
      <c r="J14643" t="s">
        <v>31625</v>
      </c>
      <c r="K14643" t="s">
        <v>40665</v>
      </c>
      <c r="M14643" t="s">
        <v>44831</v>
      </c>
      <c r="N14643" t="s">
        <v>44905</v>
      </c>
      <c r="O14643" t="s">
        <v>44906</v>
      </c>
      <c r="P14643">
        <v>0</v>
      </c>
      <c r="Q14643">
        <v>11</v>
      </c>
      <c r="R14643" t="s">
        <v>44928</v>
      </c>
      <c r="S14643" t="s">
        <v>45943</v>
      </c>
      <c r="T14643" t="s">
        <v>46393</v>
      </c>
      <c r="U14643" t="s">
        <v>58587</v>
      </c>
      <c r="W14643" t="s">
        <v>44831</v>
      </c>
      <c r="X14643" t="s">
        <v>44929</v>
      </c>
    </row>
    <row r="14644" spans="1:24">
      <c r="A14644">
        <f>HYPERLINK("https://www.philgeps.gov.ph/GEPSNONPILOT/Tender/SplashBidNoticeAbstractUI.aspx?menuIndex=3&amp;refID=7042346&amp;Result=3","7042346")</f>
        <v>0</v>
      </c>
      <c r="B14644" t="s">
        <v>176</v>
      </c>
      <c r="C14644" t="s">
        <v>17548</v>
      </c>
      <c r="D14644" t="s">
        <v>18108</v>
      </c>
      <c r="E14644" t="s">
        <v>30834</v>
      </c>
      <c r="F14644" t="s">
        <v>31362</v>
      </c>
      <c r="G14644" t="s">
        <v>31369</v>
      </c>
      <c r="H14644" t="s">
        <v>15799</v>
      </c>
      <c r="I14644" t="s">
        <v>7188</v>
      </c>
      <c r="J14644" t="s">
        <v>31709</v>
      </c>
      <c r="K14644" t="s">
        <v>40662</v>
      </c>
      <c r="M14644" t="s">
        <v>41114</v>
      </c>
      <c r="N14644" t="s">
        <v>44905</v>
      </c>
      <c r="O14644" t="s">
        <v>44906</v>
      </c>
      <c r="Q14644">
        <v>10</v>
      </c>
      <c r="R14644" t="s">
        <v>44928</v>
      </c>
      <c r="S14644" t="s">
        <v>45995</v>
      </c>
      <c r="T14644" t="s">
        <v>46409</v>
      </c>
      <c r="U14644" t="s">
        <v>58588</v>
      </c>
      <c r="V14644" t="s">
        <v>59185</v>
      </c>
      <c r="W14644" t="s">
        <v>41114</v>
      </c>
      <c r="X14644" t="s">
        <v>44929</v>
      </c>
    </row>
    <row r="14645" spans="1:24">
      <c r="A14645">
        <f>HYPERLINK("https://www.philgeps.gov.ph/GEPSNONPILOT/Tender/SplashBidNoticeAbstractUI.aspx?menuIndex=3&amp;refID=7042284&amp;Result=3","7042284")</f>
        <v>0</v>
      </c>
      <c r="B14645" t="s">
        <v>176</v>
      </c>
      <c r="C14645" t="s">
        <v>17549</v>
      </c>
      <c r="D14645" t="s">
        <v>18108</v>
      </c>
      <c r="E14645" t="s">
        <v>30835</v>
      </c>
      <c r="F14645" t="s">
        <v>31362</v>
      </c>
      <c r="G14645" t="s">
        <v>31369</v>
      </c>
      <c r="H14645" t="s">
        <v>15799</v>
      </c>
      <c r="I14645" t="s">
        <v>31388</v>
      </c>
      <c r="J14645" t="s">
        <v>40351</v>
      </c>
      <c r="K14645" t="s">
        <v>40662</v>
      </c>
      <c r="M14645" t="s">
        <v>41114</v>
      </c>
      <c r="N14645" t="s">
        <v>44905</v>
      </c>
      <c r="O14645" t="s">
        <v>44906</v>
      </c>
      <c r="Q14645">
        <v>11</v>
      </c>
      <c r="R14645" t="s">
        <v>44928</v>
      </c>
      <c r="S14645" t="s">
        <v>45996</v>
      </c>
      <c r="T14645" t="s">
        <v>46432</v>
      </c>
      <c r="U14645" t="s">
        <v>58589</v>
      </c>
      <c r="V14645" t="s">
        <v>59185</v>
      </c>
      <c r="W14645" t="s">
        <v>41114</v>
      </c>
      <c r="X14645" t="s">
        <v>44929</v>
      </c>
    </row>
    <row r="14646" spans="1:24">
      <c r="A14646">
        <f>HYPERLINK("https://www.philgeps.gov.ph/GEPSNONPILOT/Tender/SplashBidNoticeAbstractUI.aspx?menuIndex=3&amp;refID=7042519&amp;Result=3","7042519")</f>
        <v>0</v>
      </c>
      <c r="B14646" t="s">
        <v>2832</v>
      </c>
      <c r="C14646" t="s">
        <v>17550</v>
      </c>
      <c r="D14646" t="s">
        <v>18154</v>
      </c>
      <c r="E14646" t="s">
        <v>30836</v>
      </c>
      <c r="F14646" t="s">
        <v>31362</v>
      </c>
      <c r="G14646" t="s">
        <v>31369</v>
      </c>
      <c r="H14646" t="s">
        <v>31378</v>
      </c>
      <c r="I14646" t="s">
        <v>31386</v>
      </c>
      <c r="J14646" t="s">
        <v>40352</v>
      </c>
      <c r="K14646" t="s">
        <v>40681</v>
      </c>
      <c r="M14646" t="s">
        <v>44033</v>
      </c>
      <c r="N14646" t="s">
        <v>44905</v>
      </c>
      <c r="O14646" t="s">
        <v>44906</v>
      </c>
      <c r="P14646">
        <v>0</v>
      </c>
      <c r="Q14646">
        <v>1</v>
      </c>
      <c r="R14646" t="s">
        <v>44928</v>
      </c>
      <c r="S14646" t="s">
        <v>45943</v>
      </c>
      <c r="T14646" t="s">
        <v>46470</v>
      </c>
      <c r="U14646" t="s">
        <v>58590</v>
      </c>
      <c r="W14646" t="s">
        <v>44033</v>
      </c>
      <c r="X14646" t="s">
        <v>44929</v>
      </c>
    </row>
    <row r="14647" spans="1:24">
      <c r="A14647">
        <f>HYPERLINK("https://www.philgeps.gov.ph/GEPSNONPILOT/Tender/SplashBidNoticeAbstractUI.aspx?menuIndex=3&amp;refID=7042732&amp;Result=3","7042732")</f>
        <v>0</v>
      </c>
      <c r="B14647" t="s">
        <v>2244</v>
      </c>
      <c r="C14647" t="s">
        <v>17551</v>
      </c>
      <c r="D14647" t="s">
        <v>18126</v>
      </c>
      <c r="E14647" t="s">
        <v>30837</v>
      </c>
      <c r="F14647" t="s">
        <v>31362</v>
      </c>
      <c r="G14647" t="s">
        <v>31369</v>
      </c>
      <c r="H14647" t="s">
        <v>31378</v>
      </c>
      <c r="I14647" t="s">
        <v>31386</v>
      </c>
      <c r="J14647" t="s">
        <v>40353</v>
      </c>
      <c r="K14647" t="s">
        <v>40665</v>
      </c>
      <c r="M14647" t="s">
        <v>43381</v>
      </c>
      <c r="N14647" t="s">
        <v>44905</v>
      </c>
      <c r="O14647" t="s">
        <v>44906</v>
      </c>
      <c r="P14647">
        <v>0</v>
      </c>
      <c r="Q14647">
        <v>3</v>
      </c>
      <c r="R14647" t="s">
        <v>44928</v>
      </c>
      <c r="S14647" t="s">
        <v>45943</v>
      </c>
      <c r="T14647" t="s">
        <v>46411</v>
      </c>
      <c r="U14647" t="s">
        <v>58591</v>
      </c>
      <c r="W14647" t="s">
        <v>60925</v>
      </c>
      <c r="X14647" t="s">
        <v>44929</v>
      </c>
    </row>
    <row r="14648" spans="1:24">
      <c r="A14648">
        <f>HYPERLINK("https://www.philgeps.gov.ph/GEPSNONPILOT/Tender/SplashBidNoticeAbstractUI.aspx?menuIndex=3&amp;refID=7042730&amp;Result=3","7042730")</f>
        <v>0</v>
      </c>
      <c r="B14648" t="s">
        <v>3235</v>
      </c>
      <c r="C14648" t="s">
        <v>17552</v>
      </c>
      <c r="D14648" t="s">
        <v>18103</v>
      </c>
      <c r="E14648" t="s">
        <v>30838</v>
      </c>
      <c r="F14648" t="s">
        <v>31362</v>
      </c>
      <c r="G14648" t="s">
        <v>31369</v>
      </c>
      <c r="H14648" t="s">
        <v>31378</v>
      </c>
      <c r="I14648" t="s">
        <v>31386</v>
      </c>
      <c r="J14648" t="s">
        <v>31615</v>
      </c>
      <c r="K14648" t="s">
        <v>40841</v>
      </c>
      <c r="M14648" t="s">
        <v>44511</v>
      </c>
      <c r="N14648" t="s">
        <v>44905</v>
      </c>
      <c r="O14648" t="s">
        <v>44906</v>
      </c>
      <c r="P14648">
        <v>0</v>
      </c>
      <c r="Q14648">
        <v>9</v>
      </c>
      <c r="R14648" t="s">
        <v>44928</v>
      </c>
      <c r="S14648" t="s">
        <v>45943</v>
      </c>
      <c r="T14648" t="s">
        <v>46409</v>
      </c>
      <c r="U14648" t="s">
        <v>56860</v>
      </c>
      <c r="W14648" t="s">
        <v>44511</v>
      </c>
      <c r="X14648" t="s">
        <v>44929</v>
      </c>
    </row>
    <row r="14649" spans="1:24">
      <c r="A14649">
        <f>HYPERLINK("https://www.philgeps.gov.ph/GEPSNONPILOT/Tender/SplashBidNoticeAbstractUI.aspx?menuIndex=3&amp;refID=7042618&amp;Result=3","7042618")</f>
        <v>0</v>
      </c>
      <c r="B14649" t="s">
        <v>468</v>
      </c>
      <c r="C14649" t="s">
        <v>17553</v>
      </c>
      <c r="D14649" t="s">
        <v>18126</v>
      </c>
      <c r="E14649" t="s">
        <v>30839</v>
      </c>
      <c r="F14649" t="s">
        <v>31362</v>
      </c>
      <c r="G14649" t="s">
        <v>31369</v>
      </c>
      <c r="H14649" t="s">
        <v>15799</v>
      </c>
      <c r="I14649" t="s">
        <v>31387</v>
      </c>
      <c r="J14649" t="s">
        <v>40354</v>
      </c>
      <c r="K14649" t="s">
        <v>40682</v>
      </c>
      <c r="M14649" t="s">
        <v>41422</v>
      </c>
      <c r="N14649" t="s">
        <v>44905</v>
      </c>
      <c r="O14649" t="s">
        <v>44906</v>
      </c>
      <c r="P14649">
        <v>0</v>
      </c>
      <c r="Q14649">
        <v>8</v>
      </c>
      <c r="R14649" t="s">
        <v>44928</v>
      </c>
      <c r="S14649" t="s">
        <v>45943</v>
      </c>
      <c r="T14649" t="s">
        <v>46447</v>
      </c>
      <c r="U14649" t="s">
        <v>58592</v>
      </c>
      <c r="W14649" t="s">
        <v>41422</v>
      </c>
      <c r="X14649" t="s">
        <v>44929</v>
      </c>
    </row>
    <row r="14650" spans="1:24">
      <c r="A14650">
        <f>HYPERLINK("https://www.philgeps.gov.ph/GEPSNONPILOT/Tender/SplashBidNoticeAbstractUI.aspx?menuIndex=3&amp;refID=7042599&amp;Result=3","7042599")</f>
        <v>0</v>
      </c>
      <c r="B14650" t="s">
        <v>257</v>
      </c>
      <c r="C14650" t="s">
        <v>17554</v>
      </c>
      <c r="D14650" t="s">
        <v>18104</v>
      </c>
      <c r="E14650" t="s">
        <v>30840</v>
      </c>
      <c r="F14650" t="s">
        <v>31362</v>
      </c>
      <c r="G14650" t="s">
        <v>31369</v>
      </c>
      <c r="H14650" t="s">
        <v>15799</v>
      </c>
      <c r="I14650" t="s">
        <v>31393</v>
      </c>
      <c r="J14650" t="s">
        <v>40355</v>
      </c>
      <c r="K14650" t="s">
        <v>40665</v>
      </c>
      <c r="M14650" t="s">
        <v>41198</v>
      </c>
      <c r="N14650" t="s">
        <v>44905</v>
      </c>
      <c r="O14650" t="s">
        <v>44906</v>
      </c>
      <c r="P14650">
        <v>0</v>
      </c>
      <c r="Q14650">
        <v>5</v>
      </c>
      <c r="R14650" t="s">
        <v>44928</v>
      </c>
      <c r="S14650" t="s">
        <v>45943</v>
      </c>
      <c r="T14650" t="s">
        <v>46393</v>
      </c>
      <c r="U14650" t="s">
        <v>48653</v>
      </c>
      <c r="W14650" t="s">
        <v>41198</v>
      </c>
      <c r="X14650" t="s">
        <v>44929</v>
      </c>
    </row>
    <row r="14651" spans="1:24">
      <c r="A14651">
        <f>HYPERLINK("https://www.philgeps.gov.ph/GEPSNONPILOT/Tender/SplashBidNoticeAbstractUI.aspx?menuIndex=3&amp;refID=7041928&amp;Result=3","7041928")</f>
        <v>0</v>
      </c>
      <c r="B14651" t="s">
        <v>1150</v>
      </c>
      <c r="C14651" t="s">
        <v>17555</v>
      </c>
      <c r="E14651" t="s">
        <v>30841</v>
      </c>
      <c r="F14651" t="s">
        <v>31362</v>
      </c>
      <c r="G14651" t="s">
        <v>31369</v>
      </c>
      <c r="H14651" t="s">
        <v>31378</v>
      </c>
      <c r="I14651" t="s">
        <v>31386</v>
      </c>
      <c r="J14651" t="s">
        <v>31709</v>
      </c>
      <c r="K14651" t="s">
        <v>40662</v>
      </c>
      <c r="M14651" t="s">
        <v>42159</v>
      </c>
      <c r="N14651" t="s">
        <v>44905</v>
      </c>
      <c r="O14651" t="s">
        <v>44906</v>
      </c>
      <c r="P14651">
        <v>0</v>
      </c>
      <c r="Q14651">
        <v>0</v>
      </c>
      <c r="R14651" t="s">
        <v>44928</v>
      </c>
      <c r="S14651" t="s">
        <v>45943</v>
      </c>
      <c r="T14651" t="s">
        <v>46483</v>
      </c>
      <c r="U14651" t="s">
        <v>50858</v>
      </c>
      <c r="W14651" t="s">
        <v>42159</v>
      </c>
      <c r="X14651" t="s">
        <v>44929</v>
      </c>
    </row>
    <row r="14652" spans="1:24">
      <c r="A14652">
        <f>HYPERLINK("https://www.philgeps.gov.ph/GEPSNONPILOT/Tender/SplashBidNoticeAbstractUI.aspx?menuIndex=3&amp;refID=7042283&amp;Result=3","7042283")</f>
        <v>0</v>
      </c>
      <c r="B14652" t="s">
        <v>1579</v>
      </c>
      <c r="C14652" t="s">
        <v>17556</v>
      </c>
      <c r="D14652" t="s">
        <v>18117</v>
      </c>
      <c r="E14652" t="s">
        <v>30842</v>
      </c>
      <c r="F14652" t="s">
        <v>31362</v>
      </c>
      <c r="G14652" t="s">
        <v>31369</v>
      </c>
      <c r="H14652" t="s">
        <v>15799</v>
      </c>
      <c r="I14652" t="s">
        <v>31459</v>
      </c>
      <c r="J14652" t="s">
        <v>40356</v>
      </c>
      <c r="K14652" t="s">
        <v>40665</v>
      </c>
      <c r="M14652" t="s">
        <v>42956</v>
      </c>
      <c r="N14652" t="s">
        <v>44905</v>
      </c>
      <c r="O14652" t="s">
        <v>44906</v>
      </c>
      <c r="Q14652">
        <v>1</v>
      </c>
      <c r="R14652" t="s">
        <v>44928</v>
      </c>
      <c r="S14652" t="s">
        <v>45997</v>
      </c>
      <c r="T14652" t="s">
        <v>46434</v>
      </c>
      <c r="U14652" t="s">
        <v>58593</v>
      </c>
      <c r="W14652" t="s">
        <v>42956</v>
      </c>
      <c r="X14652" t="s">
        <v>44929</v>
      </c>
    </row>
    <row r="14653" spans="1:24">
      <c r="A14653">
        <f>HYPERLINK("https://www.philgeps.gov.ph/GEPSNONPILOT/Tender/SplashBidNoticeAbstractUI.aspx?menuIndex=3&amp;refID=7042191&amp;Result=3","7042191")</f>
        <v>0</v>
      </c>
      <c r="B14653" t="s">
        <v>1150</v>
      </c>
      <c r="C14653" t="s">
        <v>17557</v>
      </c>
      <c r="E14653" t="s">
        <v>30843</v>
      </c>
      <c r="F14653" t="s">
        <v>31362</v>
      </c>
      <c r="G14653" t="s">
        <v>31369</v>
      </c>
      <c r="H14653" t="s">
        <v>31378</v>
      </c>
      <c r="I14653" t="s">
        <v>31386</v>
      </c>
      <c r="J14653" t="s">
        <v>33372</v>
      </c>
      <c r="K14653" t="s">
        <v>40662</v>
      </c>
      <c r="M14653" t="s">
        <v>42159</v>
      </c>
      <c r="N14653" t="s">
        <v>44905</v>
      </c>
      <c r="O14653" t="s">
        <v>44906</v>
      </c>
      <c r="P14653">
        <v>0</v>
      </c>
      <c r="Q14653">
        <v>1</v>
      </c>
      <c r="R14653" t="s">
        <v>44928</v>
      </c>
      <c r="S14653" t="s">
        <v>45943</v>
      </c>
      <c r="T14653" t="s">
        <v>46483</v>
      </c>
      <c r="U14653" t="s">
        <v>50858</v>
      </c>
      <c r="W14653" t="s">
        <v>42159</v>
      </c>
      <c r="X14653" t="s">
        <v>44929</v>
      </c>
    </row>
    <row r="14654" spans="1:24">
      <c r="A14654">
        <f>HYPERLINK("https://www.philgeps.gov.ph/GEPSNONPILOT/Tender/SplashBidNoticeAbstractUI.aspx?menuIndex=3&amp;refID=7042186&amp;Result=3","7042186")</f>
        <v>0</v>
      </c>
      <c r="B14654" t="s">
        <v>300</v>
      </c>
      <c r="C14654" t="s">
        <v>17558</v>
      </c>
      <c r="D14654" t="s">
        <v>18122</v>
      </c>
      <c r="E14654" t="s">
        <v>30844</v>
      </c>
      <c r="F14654" t="s">
        <v>31362</v>
      </c>
      <c r="G14654" t="s">
        <v>31369</v>
      </c>
      <c r="H14654" t="s">
        <v>31378</v>
      </c>
      <c r="I14654" t="s">
        <v>31386</v>
      </c>
      <c r="J14654" t="s">
        <v>40357</v>
      </c>
      <c r="K14654" t="s">
        <v>40691</v>
      </c>
      <c r="M14654" t="s">
        <v>42704</v>
      </c>
      <c r="N14654" t="s">
        <v>44905</v>
      </c>
      <c r="O14654" t="s">
        <v>44906</v>
      </c>
      <c r="P14654">
        <v>0</v>
      </c>
      <c r="Q14654">
        <v>9</v>
      </c>
      <c r="R14654" t="s">
        <v>44928</v>
      </c>
      <c r="S14654" t="s">
        <v>45943</v>
      </c>
      <c r="T14654" t="s">
        <v>46409</v>
      </c>
      <c r="U14654" t="s">
        <v>58594</v>
      </c>
      <c r="W14654" t="s">
        <v>42704</v>
      </c>
      <c r="X14654" t="s">
        <v>44929</v>
      </c>
    </row>
    <row r="14655" spans="1:24">
      <c r="A14655">
        <f>HYPERLINK("https://www.philgeps.gov.ph/GEPSNONPILOT/Tender/SplashBidNoticeAbstractUI.aspx?menuIndex=3&amp;refID=7042161&amp;Result=3","7042161")</f>
        <v>0</v>
      </c>
      <c r="B14655" t="s">
        <v>1150</v>
      </c>
      <c r="C14655" t="s">
        <v>17559</v>
      </c>
      <c r="E14655" t="s">
        <v>30845</v>
      </c>
      <c r="F14655" t="s">
        <v>31362</v>
      </c>
      <c r="G14655" t="s">
        <v>31369</v>
      </c>
      <c r="H14655" t="s">
        <v>31378</v>
      </c>
      <c r="I14655" t="s">
        <v>31386</v>
      </c>
      <c r="J14655" t="s">
        <v>33288</v>
      </c>
      <c r="K14655" t="s">
        <v>40662</v>
      </c>
      <c r="M14655" t="s">
        <v>42159</v>
      </c>
      <c r="N14655" t="s">
        <v>44905</v>
      </c>
      <c r="O14655" t="s">
        <v>44906</v>
      </c>
      <c r="P14655">
        <v>0</v>
      </c>
      <c r="Q14655">
        <v>0</v>
      </c>
      <c r="R14655" t="s">
        <v>44928</v>
      </c>
      <c r="S14655" t="s">
        <v>45943</v>
      </c>
      <c r="T14655" t="s">
        <v>46483</v>
      </c>
      <c r="U14655" t="s">
        <v>50858</v>
      </c>
      <c r="W14655" t="s">
        <v>42159</v>
      </c>
      <c r="X14655" t="s">
        <v>44929</v>
      </c>
    </row>
    <row r="14656" spans="1:24">
      <c r="A14656">
        <f>HYPERLINK("https://www.philgeps.gov.ph/GEPSNONPILOT/Tender/SplashBidNoticeAbstractUI.aspx?menuIndex=3&amp;refID=7042550&amp;Result=3","7042550")</f>
        <v>0</v>
      </c>
      <c r="B14656" t="s">
        <v>3489</v>
      </c>
      <c r="C14656" t="s">
        <v>17560</v>
      </c>
      <c r="D14656" t="s">
        <v>18131</v>
      </c>
      <c r="E14656" t="s">
        <v>24154</v>
      </c>
      <c r="F14656" t="s">
        <v>31362</v>
      </c>
      <c r="G14656" t="s">
        <v>31368</v>
      </c>
      <c r="H14656" t="s">
        <v>15799</v>
      </c>
      <c r="I14656" t="s">
        <v>31393</v>
      </c>
      <c r="J14656" t="s">
        <v>33844</v>
      </c>
      <c r="K14656" t="s">
        <v>40682</v>
      </c>
      <c r="M14656" t="s">
        <v>44832</v>
      </c>
      <c r="N14656" t="s">
        <v>44905</v>
      </c>
      <c r="O14656" t="s">
        <v>44906</v>
      </c>
      <c r="P14656">
        <v>0</v>
      </c>
      <c r="Q14656">
        <v>6</v>
      </c>
      <c r="R14656" t="s">
        <v>44928</v>
      </c>
      <c r="S14656" t="s">
        <v>45943</v>
      </c>
      <c r="T14656" t="s">
        <v>46538</v>
      </c>
      <c r="U14656" t="s">
        <v>58595</v>
      </c>
      <c r="W14656" t="s">
        <v>44832</v>
      </c>
      <c r="X14656" t="s">
        <v>44929</v>
      </c>
    </row>
    <row r="14657" spans="1:24">
      <c r="A14657">
        <f>HYPERLINK("https://www.philgeps.gov.ph/GEPSNONPILOT/Tender/SplashBidNoticeAbstractUI.aspx?menuIndex=3&amp;refID=7042043&amp;Result=3","7042043")</f>
        <v>0</v>
      </c>
      <c r="B14657" t="s">
        <v>1150</v>
      </c>
      <c r="C14657" t="s">
        <v>17561</v>
      </c>
      <c r="E14657" t="s">
        <v>30846</v>
      </c>
      <c r="F14657" t="s">
        <v>31362</v>
      </c>
      <c r="G14657" t="s">
        <v>31369</v>
      </c>
      <c r="H14657" t="s">
        <v>31378</v>
      </c>
      <c r="I14657" t="s">
        <v>31386</v>
      </c>
      <c r="J14657" t="s">
        <v>39967</v>
      </c>
      <c r="K14657" t="s">
        <v>40662</v>
      </c>
      <c r="M14657" t="s">
        <v>42159</v>
      </c>
      <c r="N14657" t="s">
        <v>44905</v>
      </c>
      <c r="O14657" t="s">
        <v>44906</v>
      </c>
      <c r="P14657">
        <v>0</v>
      </c>
      <c r="Q14657">
        <v>0</v>
      </c>
      <c r="R14657" t="s">
        <v>44928</v>
      </c>
      <c r="S14657" t="s">
        <v>45943</v>
      </c>
      <c r="T14657" t="s">
        <v>46483</v>
      </c>
      <c r="U14657" t="s">
        <v>50858</v>
      </c>
      <c r="W14657" t="s">
        <v>42159</v>
      </c>
      <c r="X14657" t="s">
        <v>44929</v>
      </c>
    </row>
    <row r="14658" spans="1:24">
      <c r="A14658">
        <f>HYPERLINK("https://www.philgeps.gov.ph/GEPSNONPILOT/Tender/SplashBidNoticeAbstractUI.aspx?menuIndex=3&amp;refID=7042803&amp;Result=3","7042803")</f>
        <v>0</v>
      </c>
      <c r="B14658" t="s">
        <v>87</v>
      </c>
      <c r="C14658" t="s">
        <v>17562</v>
      </c>
      <c r="D14658" t="s">
        <v>18109</v>
      </c>
      <c r="E14658" t="s">
        <v>30847</v>
      </c>
      <c r="F14658" t="s">
        <v>31362</v>
      </c>
      <c r="G14658" t="s">
        <v>31369</v>
      </c>
      <c r="H14658" t="s">
        <v>31378</v>
      </c>
      <c r="I14658" t="s">
        <v>31386</v>
      </c>
      <c r="J14658" t="s">
        <v>31634</v>
      </c>
      <c r="K14658" t="s">
        <v>40682</v>
      </c>
      <c r="M14658" t="s">
        <v>44833</v>
      </c>
      <c r="N14658" t="s">
        <v>44905</v>
      </c>
      <c r="O14658" t="s">
        <v>44906</v>
      </c>
      <c r="P14658">
        <v>0</v>
      </c>
      <c r="Q14658">
        <v>0</v>
      </c>
      <c r="R14658" t="s">
        <v>44928</v>
      </c>
      <c r="S14658" t="s">
        <v>45943</v>
      </c>
      <c r="T14658" t="s">
        <v>46447</v>
      </c>
      <c r="U14658" t="s">
        <v>58596</v>
      </c>
      <c r="W14658" t="s">
        <v>44833</v>
      </c>
      <c r="X14658" t="s">
        <v>44929</v>
      </c>
    </row>
    <row r="14659" spans="1:24">
      <c r="A14659">
        <f>HYPERLINK("https://www.philgeps.gov.ph/GEPSNONPILOT/Tender/SplashBidNoticeAbstractUI.aspx?menuIndex=3&amp;refID=7042144&amp;Result=3","7042144")</f>
        <v>0</v>
      </c>
      <c r="B14659" t="s">
        <v>219</v>
      </c>
      <c r="C14659" t="s">
        <v>17563</v>
      </c>
      <c r="D14659" t="s">
        <v>18124</v>
      </c>
      <c r="E14659" t="s">
        <v>26898</v>
      </c>
      <c r="F14659" t="s">
        <v>31362</v>
      </c>
      <c r="G14659" t="s">
        <v>31369</v>
      </c>
      <c r="H14659" t="s">
        <v>15799</v>
      </c>
      <c r="I14659" t="s">
        <v>6373</v>
      </c>
      <c r="J14659" t="s">
        <v>40358</v>
      </c>
      <c r="K14659" t="s">
        <v>40665</v>
      </c>
      <c r="M14659" t="s">
        <v>44000</v>
      </c>
      <c r="N14659" t="s">
        <v>44905</v>
      </c>
      <c r="O14659" t="s">
        <v>44906</v>
      </c>
      <c r="P14659">
        <v>0</v>
      </c>
      <c r="Q14659">
        <v>5</v>
      </c>
      <c r="R14659" t="s">
        <v>44928</v>
      </c>
      <c r="S14659" t="s">
        <v>45943</v>
      </c>
      <c r="T14659" t="s">
        <v>46409</v>
      </c>
      <c r="U14659" t="s">
        <v>58597</v>
      </c>
      <c r="W14659" t="s">
        <v>41751</v>
      </c>
      <c r="X14659" t="s">
        <v>44929</v>
      </c>
    </row>
    <row r="14660" spans="1:24">
      <c r="A14660">
        <f>HYPERLINK("https://www.philgeps.gov.ph/GEPSNONPILOT/Tender/SplashBidNoticeAbstractUI.aspx?menuIndex=3&amp;refID=7043029&amp;Result=3","7043029")</f>
        <v>0</v>
      </c>
      <c r="B14660" t="s">
        <v>2876</v>
      </c>
      <c r="C14660" t="s">
        <v>17564</v>
      </c>
      <c r="D14660" t="s">
        <v>18136</v>
      </c>
      <c r="E14660" t="s">
        <v>30848</v>
      </c>
      <c r="F14660" t="s">
        <v>31362</v>
      </c>
      <c r="G14660" t="s">
        <v>31369</v>
      </c>
      <c r="H14660" t="s">
        <v>31378</v>
      </c>
      <c r="I14660" t="s">
        <v>31386</v>
      </c>
      <c r="J14660" t="s">
        <v>40359</v>
      </c>
      <c r="K14660" t="s">
        <v>40694</v>
      </c>
      <c r="M14660" t="s">
        <v>44085</v>
      </c>
      <c r="N14660" t="s">
        <v>44905</v>
      </c>
      <c r="O14660" t="s">
        <v>44906</v>
      </c>
      <c r="P14660">
        <v>0</v>
      </c>
      <c r="Q14660">
        <v>3</v>
      </c>
      <c r="R14660" t="s">
        <v>44928</v>
      </c>
      <c r="S14660" t="s">
        <v>45943</v>
      </c>
      <c r="T14660" t="s">
        <v>46490</v>
      </c>
      <c r="U14660" t="s">
        <v>58598</v>
      </c>
      <c r="V14660" t="s">
        <v>60746</v>
      </c>
      <c r="W14660" t="s">
        <v>44085</v>
      </c>
      <c r="X14660" t="s">
        <v>44929</v>
      </c>
    </row>
    <row r="14661" spans="1:24">
      <c r="A14661">
        <f>HYPERLINK("https://www.philgeps.gov.ph/GEPSNONPILOT/Tender/SplashBidNoticeAbstractUI.aspx?menuIndex=3&amp;refID=7043015&amp;Result=3","7043015")</f>
        <v>0</v>
      </c>
      <c r="B14661" t="s">
        <v>2876</v>
      </c>
      <c r="C14661" t="s">
        <v>17565</v>
      </c>
      <c r="D14661" t="s">
        <v>18136</v>
      </c>
      <c r="E14661" t="s">
        <v>30849</v>
      </c>
      <c r="F14661" t="s">
        <v>31362</v>
      </c>
      <c r="G14661" t="s">
        <v>31369</v>
      </c>
      <c r="H14661" t="s">
        <v>31378</v>
      </c>
      <c r="I14661" t="s">
        <v>31386</v>
      </c>
      <c r="J14661" t="s">
        <v>40360</v>
      </c>
      <c r="K14661" t="s">
        <v>40694</v>
      </c>
      <c r="M14661" t="s">
        <v>44085</v>
      </c>
      <c r="N14661" t="s">
        <v>44905</v>
      </c>
      <c r="O14661" t="s">
        <v>44906</v>
      </c>
      <c r="P14661">
        <v>0</v>
      </c>
      <c r="Q14661">
        <v>4</v>
      </c>
      <c r="R14661" t="s">
        <v>44928</v>
      </c>
      <c r="S14661" t="s">
        <v>45943</v>
      </c>
      <c r="T14661" t="s">
        <v>46490</v>
      </c>
      <c r="U14661" t="s">
        <v>58598</v>
      </c>
      <c r="V14661" t="s">
        <v>60746</v>
      </c>
      <c r="W14661" t="s">
        <v>44085</v>
      </c>
      <c r="X14661" t="s">
        <v>44929</v>
      </c>
    </row>
    <row r="14662" spans="1:24">
      <c r="A14662">
        <f>HYPERLINK("https://www.philgeps.gov.ph/GEPSNONPILOT/Tender/SplashBidNoticeAbstractUI.aspx?menuIndex=3&amp;refID=7041952&amp;Result=3","7041952")</f>
        <v>0</v>
      </c>
      <c r="B14662" t="s">
        <v>1150</v>
      </c>
      <c r="C14662" t="s">
        <v>17566</v>
      </c>
      <c r="E14662" t="s">
        <v>30850</v>
      </c>
      <c r="F14662" t="s">
        <v>31362</v>
      </c>
      <c r="G14662" t="s">
        <v>31369</v>
      </c>
      <c r="H14662" t="s">
        <v>31378</v>
      </c>
      <c r="I14662" t="s">
        <v>31386</v>
      </c>
      <c r="J14662" t="s">
        <v>32594</v>
      </c>
      <c r="K14662" t="s">
        <v>40662</v>
      </c>
      <c r="M14662" t="s">
        <v>42159</v>
      </c>
      <c r="N14662" t="s">
        <v>44905</v>
      </c>
      <c r="O14662" t="s">
        <v>44906</v>
      </c>
      <c r="P14662">
        <v>0</v>
      </c>
      <c r="Q14662">
        <v>0</v>
      </c>
      <c r="R14662" t="s">
        <v>44928</v>
      </c>
      <c r="S14662" t="s">
        <v>45943</v>
      </c>
      <c r="T14662" t="s">
        <v>46483</v>
      </c>
      <c r="U14662" t="s">
        <v>50858</v>
      </c>
      <c r="W14662" t="s">
        <v>42159</v>
      </c>
      <c r="X14662" t="s">
        <v>44929</v>
      </c>
    </row>
    <row r="14663" spans="1:24">
      <c r="A14663">
        <f>HYPERLINK("https://www.philgeps.gov.ph/GEPSNONPILOT/Tender/SplashBidNoticeAbstractUI.aspx?menuIndex=3&amp;refID=7043000&amp;Result=3","7043000")</f>
        <v>0</v>
      </c>
      <c r="B14663" t="s">
        <v>2033</v>
      </c>
      <c r="C14663" t="s">
        <v>17567</v>
      </c>
      <c r="D14663" t="s">
        <v>18148</v>
      </c>
      <c r="E14663" t="s">
        <v>30851</v>
      </c>
      <c r="F14663" t="s">
        <v>31362</v>
      </c>
      <c r="G14663" t="s">
        <v>31369</v>
      </c>
      <c r="H14663" t="s">
        <v>31378</v>
      </c>
      <c r="I14663" t="s">
        <v>31386</v>
      </c>
      <c r="J14663" t="s">
        <v>35695</v>
      </c>
      <c r="K14663" t="s">
        <v>40728</v>
      </c>
      <c r="M14663" t="s">
        <v>43151</v>
      </c>
      <c r="N14663" t="s">
        <v>44905</v>
      </c>
      <c r="O14663" t="s">
        <v>44906</v>
      </c>
      <c r="Q14663">
        <v>6</v>
      </c>
      <c r="R14663" t="s">
        <v>44928</v>
      </c>
      <c r="S14663" t="s">
        <v>45998</v>
      </c>
      <c r="T14663" t="s">
        <v>46741</v>
      </c>
      <c r="U14663" t="s">
        <v>58599</v>
      </c>
      <c r="W14663" t="s">
        <v>43151</v>
      </c>
      <c r="X14663" t="s">
        <v>44929</v>
      </c>
    </row>
    <row r="14664" spans="1:24">
      <c r="A14664">
        <f>HYPERLINK("https://www.philgeps.gov.ph/GEPSNONPILOT/Tender/SplashBidNoticeAbstractUI.aspx?menuIndex=3&amp;refID=7042995&amp;Result=3","7042995")</f>
        <v>0</v>
      </c>
      <c r="B14664" t="s">
        <v>2876</v>
      </c>
      <c r="C14664" t="s">
        <v>17568</v>
      </c>
      <c r="D14664" t="s">
        <v>18136</v>
      </c>
      <c r="E14664" t="s">
        <v>30852</v>
      </c>
      <c r="F14664" t="s">
        <v>31362</v>
      </c>
      <c r="G14664" t="s">
        <v>31369</v>
      </c>
      <c r="H14664" t="s">
        <v>31378</v>
      </c>
      <c r="I14664" t="s">
        <v>31386</v>
      </c>
      <c r="J14664" t="s">
        <v>40361</v>
      </c>
      <c r="K14664" t="s">
        <v>40694</v>
      </c>
      <c r="M14664" t="s">
        <v>44085</v>
      </c>
      <c r="N14664" t="s">
        <v>44905</v>
      </c>
      <c r="O14664" t="s">
        <v>44906</v>
      </c>
      <c r="P14664">
        <v>0</v>
      </c>
      <c r="Q14664">
        <v>5</v>
      </c>
      <c r="R14664" t="s">
        <v>44928</v>
      </c>
      <c r="S14664" t="s">
        <v>45943</v>
      </c>
      <c r="T14664" t="s">
        <v>46490</v>
      </c>
      <c r="U14664" t="s">
        <v>58598</v>
      </c>
      <c r="V14664" t="s">
        <v>60746</v>
      </c>
      <c r="W14664" t="s">
        <v>44085</v>
      </c>
      <c r="X14664" t="s">
        <v>44929</v>
      </c>
    </row>
    <row r="14665" spans="1:24">
      <c r="A14665">
        <f>HYPERLINK("https://www.philgeps.gov.ph/GEPSNONPILOT/Tender/SplashBidNoticeAbstractUI.aspx?menuIndex=3&amp;refID=7042955&amp;Result=3","7042955")</f>
        <v>0</v>
      </c>
      <c r="B14665" t="s">
        <v>1421</v>
      </c>
      <c r="C14665" t="s">
        <v>17569</v>
      </c>
      <c r="D14665" t="s">
        <v>18155</v>
      </c>
      <c r="E14665" t="s">
        <v>30853</v>
      </c>
      <c r="F14665" t="s">
        <v>31362</v>
      </c>
      <c r="G14665" t="s">
        <v>31369</v>
      </c>
      <c r="H14665" t="s">
        <v>31378</v>
      </c>
      <c r="I14665" t="s">
        <v>31449</v>
      </c>
      <c r="J14665" t="s">
        <v>40362</v>
      </c>
      <c r="K14665" t="s">
        <v>40683</v>
      </c>
      <c r="M14665" t="s">
        <v>42448</v>
      </c>
      <c r="N14665" t="s">
        <v>44905</v>
      </c>
      <c r="O14665" t="s">
        <v>44906</v>
      </c>
      <c r="Q14665">
        <v>18</v>
      </c>
      <c r="R14665" t="s">
        <v>44928</v>
      </c>
      <c r="S14665" t="s">
        <v>45999</v>
      </c>
      <c r="T14665" t="s">
        <v>46447</v>
      </c>
      <c r="U14665" t="s">
        <v>58600</v>
      </c>
      <c r="W14665" t="s">
        <v>42448</v>
      </c>
      <c r="X14665" t="s">
        <v>44929</v>
      </c>
    </row>
    <row r="14666" spans="1:24">
      <c r="A14666">
        <f>HYPERLINK("https://www.philgeps.gov.ph/GEPSNONPILOT/Tender/SplashBidNoticeAbstractUI.aspx?menuIndex=3&amp;refID=7042971&amp;Result=3","7042971")</f>
        <v>0</v>
      </c>
      <c r="B14666" t="s">
        <v>2876</v>
      </c>
      <c r="C14666" t="s">
        <v>17570</v>
      </c>
      <c r="D14666" t="s">
        <v>18136</v>
      </c>
      <c r="E14666" t="s">
        <v>30854</v>
      </c>
      <c r="F14666" t="s">
        <v>31362</v>
      </c>
      <c r="G14666" t="s">
        <v>31369</v>
      </c>
      <c r="H14666" t="s">
        <v>15799</v>
      </c>
      <c r="I14666" t="s">
        <v>6373</v>
      </c>
      <c r="J14666" t="s">
        <v>40363</v>
      </c>
      <c r="K14666" t="s">
        <v>40665</v>
      </c>
      <c r="M14666" t="s">
        <v>44085</v>
      </c>
      <c r="N14666" t="s">
        <v>44905</v>
      </c>
      <c r="O14666" t="s">
        <v>44906</v>
      </c>
      <c r="P14666">
        <v>0</v>
      </c>
      <c r="Q14666">
        <v>2</v>
      </c>
      <c r="R14666" t="s">
        <v>44928</v>
      </c>
      <c r="S14666" t="s">
        <v>45943</v>
      </c>
      <c r="T14666" t="s">
        <v>46490</v>
      </c>
      <c r="U14666" t="s">
        <v>58601</v>
      </c>
      <c r="V14666" t="s">
        <v>60747</v>
      </c>
      <c r="W14666" t="s">
        <v>44085</v>
      </c>
      <c r="X14666" t="s">
        <v>44929</v>
      </c>
    </row>
    <row r="14667" spans="1:24">
      <c r="A14667">
        <f>HYPERLINK("https://www.philgeps.gov.ph/GEPSNONPILOT/Tender/SplashBidNoticeAbstractUI.aspx?menuIndex=3&amp;refID=7042615&amp;Result=3","7042615")</f>
        <v>0</v>
      </c>
      <c r="B14667" t="s">
        <v>1579</v>
      </c>
      <c r="C14667" t="s">
        <v>17556</v>
      </c>
      <c r="D14667" t="s">
        <v>18117</v>
      </c>
      <c r="E14667" t="s">
        <v>30855</v>
      </c>
      <c r="F14667" t="s">
        <v>31362</v>
      </c>
      <c r="G14667" t="s">
        <v>31369</v>
      </c>
      <c r="H14667" t="s">
        <v>15799</v>
      </c>
      <c r="I14667" t="s">
        <v>31459</v>
      </c>
      <c r="J14667" t="s">
        <v>40364</v>
      </c>
      <c r="K14667" t="s">
        <v>40665</v>
      </c>
      <c r="M14667" t="s">
        <v>42956</v>
      </c>
      <c r="N14667" t="s">
        <v>44905</v>
      </c>
      <c r="O14667" t="s">
        <v>44906</v>
      </c>
      <c r="Q14667">
        <v>2</v>
      </c>
      <c r="R14667" t="s">
        <v>44928</v>
      </c>
      <c r="S14667" t="s">
        <v>46000</v>
      </c>
      <c r="T14667" t="s">
        <v>46434</v>
      </c>
      <c r="U14667" t="s">
        <v>58602</v>
      </c>
      <c r="W14667" t="s">
        <v>42956</v>
      </c>
      <c r="X14667" t="s">
        <v>44929</v>
      </c>
    </row>
    <row r="14668" spans="1:24">
      <c r="A14668">
        <f>HYPERLINK("https://www.philgeps.gov.ph/GEPSNONPILOT/Tender/SplashBidNoticeAbstractUI.aspx?menuIndex=3&amp;refID=7043173&amp;Result=3","7043173")</f>
        <v>0</v>
      </c>
      <c r="B14668" t="s">
        <v>2835</v>
      </c>
      <c r="C14668" t="s">
        <v>17571</v>
      </c>
      <c r="D14668" t="s">
        <v>18109</v>
      </c>
      <c r="E14668" t="s">
        <v>30856</v>
      </c>
      <c r="F14668" t="s">
        <v>31362</v>
      </c>
      <c r="G14668" t="s">
        <v>31369</v>
      </c>
      <c r="H14668" t="s">
        <v>15799</v>
      </c>
      <c r="I14668" t="s">
        <v>7090</v>
      </c>
      <c r="J14668" t="s">
        <v>40365</v>
      </c>
      <c r="K14668" t="s">
        <v>40672</v>
      </c>
      <c r="M14668" t="s">
        <v>44036</v>
      </c>
      <c r="N14668" t="s">
        <v>44905</v>
      </c>
      <c r="O14668" t="s">
        <v>44906</v>
      </c>
      <c r="P14668">
        <v>0</v>
      </c>
      <c r="Q14668">
        <v>2</v>
      </c>
      <c r="R14668" t="s">
        <v>44928</v>
      </c>
      <c r="S14668" t="s">
        <v>45943</v>
      </c>
      <c r="T14668" t="s">
        <v>46583</v>
      </c>
      <c r="U14668" t="s">
        <v>58603</v>
      </c>
      <c r="V14668" t="s">
        <v>59185</v>
      </c>
      <c r="W14668" t="s">
        <v>44036</v>
      </c>
      <c r="X14668" t="s">
        <v>44929</v>
      </c>
    </row>
    <row r="14669" spans="1:24">
      <c r="A14669">
        <f>HYPERLINK("https://www.philgeps.gov.ph/GEPSNONPILOT/Tender/SplashBidNoticeAbstractUI.aspx?menuIndex=3&amp;refID=7042840&amp;Result=3","7042840")</f>
        <v>0</v>
      </c>
      <c r="B14669" t="s">
        <v>87</v>
      </c>
      <c r="C14669" t="s">
        <v>17572</v>
      </c>
      <c r="D14669" t="s">
        <v>18109</v>
      </c>
      <c r="E14669" t="s">
        <v>30857</v>
      </c>
      <c r="F14669" t="s">
        <v>31362</v>
      </c>
      <c r="G14669" t="s">
        <v>31369</v>
      </c>
      <c r="H14669" t="s">
        <v>31378</v>
      </c>
      <c r="I14669" t="s">
        <v>31386</v>
      </c>
      <c r="J14669" t="s">
        <v>31606</v>
      </c>
      <c r="K14669" t="s">
        <v>40677</v>
      </c>
      <c r="M14669" t="s">
        <v>44833</v>
      </c>
      <c r="N14669" t="s">
        <v>44905</v>
      </c>
      <c r="O14669" t="s">
        <v>44906</v>
      </c>
      <c r="P14669">
        <v>0</v>
      </c>
      <c r="Q14669">
        <v>0</v>
      </c>
      <c r="R14669" t="s">
        <v>44928</v>
      </c>
      <c r="S14669" t="s">
        <v>45943</v>
      </c>
      <c r="T14669" t="s">
        <v>46416</v>
      </c>
      <c r="U14669" t="s">
        <v>58596</v>
      </c>
      <c r="W14669" t="s">
        <v>44833</v>
      </c>
      <c r="X14669" t="s">
        <v>44929</v>
      </c>
    </row>
    <row r="14670" spans="1:24">
      <c r="A14670">
        <f>HYPERLINK("https://www.philgeps.gov.ph/GEPSNONPILOT/Tender/SplashBidNoticeAbstractUI.aspx?menuIndex=3&amp;refID=7043168&amp;Result=3","7043168")</f>
        <v>0</v>
      </c>
      <c r="B14670" t="s">
        <v>2835</v>
      </c>
      <c r="C14670" t="s">
        <v>17573</v>
      </c>
      <c r="D14670" t="s">
        <v>18109</v>
      </c>
      <c r="E14670" t="s">
        <v>30858</v>
      </c>
      <c r="F14670" t="s">
        <v>31362</v>
      </c>
      <c r="G14670" t="s">
        <v>31369</v>
      </c>
      <c r="H14670" t="s">
        <v>15799</v>
      </c>
      <c r="I14670" t="s">
        <v>31385</v>
      </c>
      <c r="J14670" t="s">
        <v>40366</v>
      </c>
      <c r="K14670" t="s">
        <v>40672</v>
      </c>
      <c r="M14670" t="s">
        <v>44036</v>
      </c>
      <c r="N14670" t="s">
        <v>44905</v>
      </c>
      <c r="O14670" t="s">
        <v>44906</v>
      </c>
      <c r="P14670">
        <v>0</v>
      </c>
      <c r="Q14670">
        <v>5</v>
      </c>
      <c r="R14670" t="s">
        <v>44928</v>
      </c>
      <c r="S14670" t="s">
        <v>45943</v>
      </c>
      <c r="T14670" t="s">
        <v>46583</v>
      </c>
      <c r="U14670" t="s">
        <v>58604</v>
      </c>
      <c r="V14670" t="s">
        <v>59185</v>
      </c>
      <c r="W14670" t="s">
        <v>44036</v>
      </c>
      <c r="X14670" t="s">
        <v>44929</v>
      </c>
    </row>
    <row r="14671" spans="1:24">
      <c r="A14671">
        <f>HYPERLINK("https://www.philgeps.gov.ph/GEPSNONPILOT/Tender/SplashBidNoticeAbstractUI.aspx?menuIndex=3&amp;refID=7043157&amp;Result=3","7043157")</f>
        <v>0</v>
      </c>
      <c r="B14671" t="s">
        <v>2835</v>
      </c>
      <c r="C14671" t="s">
        <v>17574</v>
      </c>
      <c r="D14671" t="s">
        <v>18109</v>
      </c>
      <c r="E14671" t="s">
        <v>30859</v>
      </c>
      <c r="F14671" t="s">
        <v>31362</v>
      </c>
      <c r="G14671" t="s">
        <v>31369</v>
      </c>
      <c r="H14671" t="s">
        <v>15799</v>
      </c>
      <c r="I14671" t="s">
        <v>31404</v>
      </c>
      <c r="J14671" t="s">
        <v>40367</v>
      </c>
      <c r="K14671" t="s">
        <v>40672</v>
      </c>
      <c r="M14671" t="s">
        <v>44036</v>
      </c>
      <c r="N14671" t="s">
        <v>44905</v>
      </c>
      <c r="O14671" t="s">
        <v>44906</v>
      </c>
      <c r="P14671">
        <v>0</v>
      </c>
      <c r="Q14671">
        <v>0</v>
      </c>
      <c r="R14671" t="s">
        <v>44928</v>
      </c>
      <c r="S14671" t="s">
        <v>45943</v>
      </c>
      <c r="T14671" t="s">
        <v>46583</v>
      </c>
      <c r="U14671" t="s">
        <v>58605</v>
      </c>
      <c r="V14671" t="s">
        <v>59185</v>
      </c>
      <c r="W14671" t="s">
        <v>44036</v>
      </c>
      <c r="X14671" t="s">
        <v>44929</v>
      </c>
    </row>
    <row r="14672" spans="1:24">
      <c r="A14672">
        <f>HYPERLINK("https://www.philgeps.gov.ph/GEPSNONPILOT/Tender/SplashBidNoticeAbstractUI.aspx?menuIndex=3&amp;refID=7043185&amp;Result=3","7043185")</f>
        <v>0</v>
      </c>
      <c r="B14672" t="s">
        <v>2835</v>
      </c>
      <c r="C14672" t="s">
        <v>17575</v>
      </c>
      <c r="D14672" t="s">
        <v>18109</v>
      </c>
      <c r="E14672" t="s">
        <v>30860</v>
      </c>
      <c r="F14672" t="s">
        <v>31362</v>
      </c>
      <c r="G14672" t="s">
        <v>31369</v>
      </c>
      <c r="H14672" t="s">
        <v>15799</v>
      </c>
      <c r="I14672" t="s">
        <v>4283</v>
      </c>
      <c r="J14672" t="s">
        <v>40368</v>
      </c>
      <c r="K14672" t="s">
        <v>40672</v>
      </c>
      <c r="M14672" t="s">
        <v>44036</v>
      </c>
      <c r="N14672" t="s">
        <v>44905</v>
      </c>
      <c r="O14672" t="s">
        <v>44906</v>
      </c>
      <c r="P14672">
        <v>0</v>
      </c>
      <c r="Q14672">
        <v>8</v>
      </c>
      <c r="R14672" t="s">
        <v>44928</v>
      </c>
      <c r="S14672" t="s">
        <v>45943</v>
      </c>
      <c r="T14672" t="s">
        <v>46583</v>
      </c>
      <c r="U14672" t="s">
        <v>58606</v>
      </c>
      <c r="V14672" t="s">
        <v>59185</v>
      </c>
      <c r="W14672" t="s">
        <v>44036</v>
      </c>
      <c r="X14672" t="s">
        <v>44929</v>
      </c>
    </row>
    <row r="14673" spans="1:24">
      <c r="A14673">
        <f>HYPERLINK("https://www.philgeps.gov.ph/GEPSNONPILOT/Tender/SplashBidNoticeAbstractUI.aspx?menuIndex=3&amp;refID=7042903&amp;Result=3","7042903")</f>
        <v>0</v>
      </c>
      <c r="B14673" t="s">
        <v>262</v>
      </c>
      <c r="C14673" t="s">
        <v>17576</v>
      </c>
      <c r="D14673" t="s">
        <v>18127</v>
      </c>
      <c r="E14673" t="s">
        <v>30861</v>
      </c>
      <c r="F14673" t="s">
        <v>31362</v>
      </c>
      <c r="G14673" t="s">
        <v>31369</v>
      </c>
      <c r="H14673" t="s">
        <v>15799</v>
      </c>
      <c r="I14673" t="s">
        <v>31404</v>
      </c>
      <c r="J14673" t="s">
        <v>40369</v>
      </c>
      <c r="K14673" t="s">
        <v>40662</v>
      </c>
      <c r="M14673" t="s">
        <v>42051</v>
      </c>
      <c r="N14673" t="s">
        <v>44905</v>
      </c>
      <c r="O14673" t="s">
        <v>44906</v>
      </c>
      <c r="P14673">
        <v>0</v>
      </c>
      <c r="Q14673">
        <v>1</v>
      </c>
      <c r="R14673" t="s">
        <v>44928</v>
      </c>
      <c r="S14673" t="s">
        <v>45943</v>
      </c>
      <c r="T14673" t="s">
        <v>46416</v>
      </c>
      <c r="U14673" t="s">
        <v>58607</v>
      </c>
      <c r="W14673" t="s">
        <v>42051</v>
      </c>
      <c r="X14673" t="s">
        <v>44929</v>
      </c>
    </row>
    <row r="14674" spans="1:24">
      <c r="A14674">
        <f>HYPERLINK("https://www.philgeps.gov.ph/GEPSNONPILOT/Tender/SplashBidNoticeAbstractUI.aspx?menuIndex=3&amp;refID=7042945&amp;Result=3","7042945")</f>
        <v>0</v>
      </c>
      <c r="B14674" t="s">
        <v>262</v>
      </c>
      <c r="C14674" t="s">
        <v>17577</v>
      </c>
      <c r="D14674" t="s">
        <v>18127</v>
      </c>
      <c r="E14674" t="s">
        <v>30862</v>
      </c>
      <c r="F14674" t="s">
        <v>31362</v>
      </c>
      <c r="G14674" t="s">
        <v>31369</v>
      </c>
      <c r="H14674" t="s">
        <v>15799</v>
      </c>
      <c r="I14674" t="s">
        <v>31409</v>
      </c>
      <c r="J14674" t="s">
        <v>38600</v>
      </c>
      <c r="K14674" t="s">
        <v>40682</v>
      </c>
      <c r="M14674" t="s">
        <v>42051</v>
      </c>
      <c r="N14674" t="s">
        <v>44905</v>
      </c>
      <c r="O14674" t="s">
        <v>44906</v>
      </c>
      <c r="P14674">
        <v>0</v>
      </c>
      <c r="Q14674">
        <v>8</v>
      </c>
      <c r="R14674" t="s">
        <v>44928</v>
      </c>
      <c r="S14674" t="s">
        <v>45943</v>
      </c>
      <c r="T14674" t="s">
        <v>46393</v>
      </c>
      <c r="U14674" t="s">
        <v>58608</v>
      </c>
      <c r="W14674" t="s">
        <v>42051</v>
      </c>
      <c r="X14674" t="s">
        <v>44929</v>
      </c>
    </row>
    <row r="14675" spans="1:24">
      <c r="A14675">
        <f>HYPERLINK("https://www.philgeps.gov.ph/GEPSNONPILOT/Tender/SplashBidNoticeAbstractUI.aspx?menuIndex=3&amp;refID=7042922&amp;Result=3","7042922")</f>
        <v>0</v>
      </c>
      <c r="B14675" t="s">
        <v>262</v>
      </c>
      <c r="C14675" t="s">
        <v>17578</v>
      </c>
      <c r="D14675" t="s">
        <v>18127</v>
      </c>
      <c r="E14675" t="s">
        <v>30863</v>
      </c>
      <c r="F14675" t="s">
        <v>31362</v>
      </c>
      <c r="G14675" t="s">
        <v>31369</v>
      </c>
      <c r="H14675" t="s">
        <v>15799</v>
      </c>
      <c r="I14675" t="s">
        <v>31409</v>
      </c>
      <c r="J14675" t="s">
        <v>33393</v>
      </c>
      <c r="K14675" t="s">
        <v>40682</v>
      </c>
      <c r="M14675" t="s">
        <v>42051</v>
      </c>
      <c r="N14675" t="s">
        <v>44905</v>
      </c>
      <c r="O14675" t="s">
        <v>44906</v>
      </c>
      <c r="P14675">
        <v>0</v>
      </c>
      <c r="Q14675">
        <v>10</v>
      </c>
      <c r="R14675" t="s">
        <v>44928</v>
      </c>
      <c r="S14675" t="s">
        <v>45943</v>
      </c>
      <c r="T14675" t="s">
        <v>46393</v>
      </c>
      <c r="U14675" t="s">
        <v>58609</v>
      </c>
      <c r="W14675" t="s">
        <v>42051</v>
      </c>
      <c r="X14675" t="s">
        <v>44929</v>
      </c>
    </row>
    <row r="14676" spans="1:24">
      <c r="A14676">
        <f>HYPERLINK("https://www.philgeps.gov.ph/GEPSNONPILOT/Tender/SplashBidNoticeAbstractUI.aspx?menuIndex=3&amp;refID=7043212&amp;Result=3","7043212")</f>
        <v>0</v>
      </c>
      <c r="B14676" t="s">
        <v>3317</v>
      </c>
      <c r="C14676" t="s">
        <v>17579</v>
      </c>
      <c r="D14676" t="s">
        <v>18108</v>
      </c>
      <c r="E14676" t="s">
        <v>30864</v>
      </c>
      <c r="F14676" t="s">
        <v>31362</v>
      </c>
      <c r="G14676" t="s">
        <v>31369</v>
      </c>
      <c r="H14676" t="s">
        <v>31377</v>
      </c>
      <c r="I14676" t="s">
        <v>31377</v>
      </c>
      <c r="J14676" t="s">
        <v>33482</v>
      </c>
      <c r="K14676" t="s">
        <v>40679</v>
      </c>
      <c r="M14676" t="s">
        <v>44611</v>
      </c>
      <c r="N14676" t="s">
        <v>44905</v>
      </c>
      <c r="O14676" t="s">
        <v>44906</v>
      </c>
      <c r="Q14676">
        <v>6</v>
      </c>
      <c r="R14676" t="s">
        <v>44928</v>
      </c>
      <c r="S14676" t="s">
        <v>45272</v>
      </c>
      <c r="T14676" t="s">
        <v>46393</v>
      </c>
      <c r="U14676" t="s">
        <v>58610</v>
      </c>
      <c r="W14676" t="s">
        <v>44611</v>
      </c>
      <c r="X14676" t="s">
        <v>44929</v>
      </c>
    </row>
    <row r="14677" spans="1:24">
      <c r="A14677">
        <f>HYPERLINK("https://www.philgeps.gov.ph/GEPSNONPILOT/Tender/SplashBidNoticeAbstractUI.aspx?menuIndex=3&amp;refID=7042969&amp;Result=3","7042969")</f>
        <v>0</v>
      </c>
      <c r="B14677" t="s">
        <v>3461</v>
      </c>
      <c r="C14677" t="s">
        <v>17580</v>
      </c>
      <c r="D14677" t="s">
        <v>18148</v>
      </c>
      <c r="E14677" t="s">
        <v>19229</v>
      </c>
      <c r="F14677" t="s">
        <v>31362</v>
      </c>
      <c r="G14677" t="s">
        <v>31369</v>
      </c>
      <c r="H14677" t="s">
        <v>15799</v>
      </c>
      <c r="I14677" t="s">
        <v>31409</v>
      </c>
      <c r="J14677" t="s">
        <v>39596</v>
      </c>
      <c r="K14677" t="s">
        <v>40665</v>
      </c>
      <c r="M14677" t="s">
        <v>44796</v>
      </c>
      <c r="N14677" t="s">
        <v>44905</v>
      </c>
      <c r="O14677" t="s">
        <v>44906</v>
      </c>
      <c r="P14677">
        <v>0</v>
      </c>
      <c r="Q14677">
        <v>6</v>
      </c>
      <c r="R14677" t="s">
        <v>44928</v>
      </c>
      <c r="S14677" t="s">
        <v>45943</v>
      </c>
      <c r="T14677" t="s">
        <v>46478</v>
      </c>
      <c r="U14677" t="s">
        <v>58611</v>
      </c>
      <c r="W14677" t="s">
        <v>44796</v>
      </c>
      <c r="X14677" t="s">
        <v>44929</v>
      </c>
    </row>
    <row r="14678" spans="1:24">
      <c r="A14678">
        <f>HYPERLINK("https://www.philgeps.gov.ph/GEPSNONPILOT/Tender/SplashBidNoticeAbstractUI.aspx?menuIndex=3&amp;refID=7042882&amp;Result=3","7042882")</f>
        <v>0</v>
      </c>
      <c r="B14678" t="s">
        <v>262</v>
      </c>
      <c r="C14678" t="s">
        <v>17581</v>
      </c>
      <c r="D14678" t="s">
        <v>18127</v>
      </c>
      <c r="E14678" t="s">
        <v>30865</v>
      </c>
      <c r="F14678" t="s">
        <v>31362</v>
      </c>
      <c r="G14678" t="s">
        <v>31369</v>
      </c>
      <c r="H14678" t="s">
        <v>15799</v>
      </c>
      <c r="I14678" t="s">
        <v>7090</v>
      </c>
      <c r="J14678" t="s">
        <v>31606</v>
      </c>
      <c r="K14678" t="s">
        <v>40665</v>
      </c>
      <c r="M14678" t="s">
        <v>42051</v>
      </c>
      <c r="N14678" t="s">
        <v>44905</v>
      </c>
      <c r="O14678" t="s">
        <v>44906</v>
      </c>
      <c r="Q14678">
        <v>5</v>
      </c>
      <c r="R14678" t="s">
        <v>44928</v>
      </c>
      <c r="S14678" t="s">
        <v>46001</v>
      </c>
      <c r="T14678" t="s">
        <v>46393</v>
      </c>
      <c r="U14678" t="s">
        <v>58612</v>
      </c>
      <c r="W14678" t="s">
        <v>42051</v>
      </c>
      <c r="X14678" t="s">
        <v>44929</v>
      </c>
    </row>
    <row r="14679" spans="1:24">
      <c r="A14679">
        <f>HYPERLINK("https://www.philgeps.gov.ph/GEPSNONPILOT/Tender/SplashBidNoticeAbstractUI.aspx?menuIndex=3&amp;refID=7038411&amp;Result=3","7038411")</f>
        <v>0</v>
      </c>
      <c r="B14679" t="s">
        <v>3490</v>
      </c>
      <c r="C14679" t="s">
        <v>17582</v>
      </c>
      <c r="D14679" t="s">
        <v>18136</v>
      </c>
      <c r="E14679" t="s">
        <v>20553</v>
      </c>
      <c r="F14679" t="s">
        <v>31362</v>
      </c>
      <c r="G14679" t="s">
        <v>31369</v>
      </c>
      <c r="H14679" t="s">
        <v>15799</v>
      </c>
      <c r="I14679" t="s">
        <v>31404</v>
      </c>
      <c r="J14679" t="s">
        <v>32879</v>
      </c>
      <c r="K14679" t="s">
        <v>40682</v>
      </c>
      <c r="M14679" t="s">
        <v>44834</v>
      </c>
      <c r="N14679" t="s">
        <v>44905</v>
      </c>
      <c r="O14679" t="s">
        <v>44906</v>
      </c>
      <c r="P14679">
        <v>0</v>
      </c>
      <c r="Q14679">
        <v>0</v>
      </c>
      <c r="R14679" t="s">
        <v>44929</v>
      </c>
      <c r="S14679" t="s">
        <v>46002</v>
      </c>
      <c r="T14679" t="s">
        <v>46549</v>
      </c>
      <c r="U14679" t="s">
        <v>58613</v>
      </c>
      <c r="V14679" t="s">
        <v>60748</v>
      </c>
      <c r="W14679" t="s">
        <v>44834</v>
      </c>
      <c r="X14679" t="s">
        <v>44930</v>
      </c>
    </row>
    <row r="14680" spans="1:24">
      <c r="A14680">
        <f>HYPERLINK("https://www.philgeps.gov.ph/GEPSNONPILOT/Tender/SplashBidNoticeAbstractUI.aspx?menuIndex=3&amp;refID=7042735&amp;Result=3","7042735")</f>
        <v>0</v>
      </c>
      <c r="B14680" t="s">
        <v>257</v>
      </c>
      <c r="C14680" t="s">
        <v>17583</v>
      </c>
      <c r="D14680" t="s">
        <v>18104</v>
      </c>
      <c r="E14680" t="s">
        <v>30866</v>
      </c>
      <c r="F14680" t="s">
        <v>31362</v>
      </c>
      <c r="G14680" t="s">
        <v>31369</v>
      </c>
      <c r="H14680" t="s">
        <v>15799</v>
      </c>
      <c r="I14680" t="s">
        <v>31414</v>
      </c>
      <c r="J14680" t="s">
        <v>40370</v>
      </c>
      <c r="K14680" t="s">
        <v>40682</v>
      </c>
      <c r="M14680" t="s">
        <v>41198</v>
      </c>
      <c r="N14680" t="s">
        <v>44905</v>
      </c>
      <c r="O14680" t="s">
        <v>44906</v>
      </c>
      <c r="P14680">
        <v>0</v>
      </c>
      <c r="Q14680">
        <v>5</v>
      </c>
      <c r="R14680" t="s">
        <v>44928</v>
      </c>
      <c r="S14680" t="s">
        <v>45943</v>
      </c>
      <c r="T14680" t="s">
        <v>46393</v>
      </c>
      <c r="U14680" t="s">
        <v>48653</v>
      </c>
      <c r="W14680" t="s">
        <v>41198</v>
      </c>
      <c r="X14680" t="s">
        <v>44929</v>
      </c>
    </row>
    <row r="14681" spans="1:24">
      <c r="A14681">
        <f>HYPERLINK("https://www.philgeps.gov.ph/GEPSNONPILOT/Tender/SplashBidNoticeAbstractUI.aspx?menuIndex=3&amp;refID=7038378&amp;Result=3","7038378")</f>
        <v>0</v>
      </c>
      <c r="B14681" t="s">
        <v>3491</v>
      </c>
      <c r="C14681" t="s">
        <v>17584</v>
      </c>
      <c r="D14681" t="s">
        <v>18162</v>
      </c>
      <c r="E14681" t="s">
        <v>30867</v>
      </c>
      <c r="F14681" t="s">
        <v>31362</v>
      </c>
      <c r="G14681" t="s">
        <v>31369</v>
      </c>
      <c r="H14681" t="s">
        <v>15799</v>
      </c>
      <c r="I14681" t="s">
        <v>31409</v>
      </c>
      <c r="J14681" t="s">
        <v>31542</v>
      </c>
      <c r="K14681" t="s">
        <v>40665</v>
      </c>
      <c r="M14681" t="s">
        <v>44835</v>
      </c>
      <c r="N14681" t="s">
        <v>44905</v>
      </c>
      <c r="O14681" t="s">
        <v>44906</v>
      </c>
      <c r="Q14681">
        <v>6</v>
      </c>
      <c r="R14681" t="s">
        <v>44929</v>
      </c>
      <c r="S14681" t="s">
        <v>46003</v>
      </c>
      <c r="T14681" t="s">
        <v>46890</v>
      </c>
      <c r="U14681" t="s">
        <v>58614</v>
      </c>
      <c r="W14681" t="s">
        <v>44835</v>
      </c>
      <c r="X14681" t="s">
        <v>44930</v>
      </c>
    </row>
    <row r="14682" spans="1:24">
      <c r="A14682">
        <f>HYPERLINK("https://www.philgeps.gov.ph/GEPSNONPILOT/Tender/SplashBidNoticeAbstractUI.aspx?menuIndex=3&amp;refID=7043045&amp;Result=3","7043045")</f>
        <v>0</v>
      </c>
      <c r="B14682" t="s">
        <v>2876</v>
      </c>
      <c r="C14682" t="s">
        <v>17585</v>
      </c>
      <c r="D14682" t="s">
        <v>18136</v>
      </c>
      <c r="E14682" t="s">
        <v>30868</v>
      </c>
      <c r="F14682" t="s">
        <v>31362</v>
      </c>
      <c r="G14682" t="s">
        <v>31369</v>
      </c>
      <c r="H14682" t="s">
        <v>31378</v>
      </c>
      <c r="I14682" t="s">
        <v>31386</v>
      </c>
      <c r="J14682" t="s">
        <v>40371</v>
      </c>
      <c r="K14682" t="s">
        <v>40694</v>
      </c>
      <c r="M14682" t="s">
        <v>44085</v>
      </c>
      <c r="N14682" t="s">
        <v>44905</v>
      </c>
      <c r="O14682" t="s">
        <v>44906</v>
      </c>
      <c r="P14682">
        <v>0</v>
      </c>
      <c r="Q14682">
        <v>1</v>
      </c>
      <c r="R14682" t="s">
        <v>44928</v>
      </c>
      <c r="S14682" t="s">
        <v>45943</v>
      </c>
      <c r="T14682" t="s">
        <v>46490</v>
      </c>
      <c r="U14682" t="s">
        <v>58598</v>
      </c>
      <c r="V14682" t="s">
        <v>60746</v>
      </c>
      <c r="W14682" t="s">
        <v>44085</v>
      </c>
      <c r="X14682" t="s">
        <v>44929</v>
      </c>
    </row>
    <row r="14683" spans="1:24">
      <c r="A14683">
        <f>HYPERLINK("https://www.philgeps.gov.ph/GEPSNONPILOT/Tender/SplashBidNoticeAbstractUI.aspx?menuIndex=3&amp;refID=7037066&amp;Result=3","7037066")</f>
        <v>0</v>
      </c>
      <c r="B14683" t="s">
        <v>1070</v>
      </c>
      <c r="C14683" t="s">
        <v>17586</v>
      </c>
      <c r="D14683" t="s">
        <v>18138</v>
      </c>
      <c r="E14683" t="s">
        <v>30869</v>
      </c>
      <c r="F14683" t="s">
        <v>31362</v>
      </c>
      <c r="G14683" t="s">
        <v>31369</v>
      </c>
      <c r="H14683" t="s">
        <v>31377</v>
      </c>
      <c r="I14683" t="s">
        <v>31377</v>
      </c>
      <c r="J14683" t="s">
        <v>40372</v>
      </c>
      <c r="K14683" t="s">
        <v>40682</v>
      </c>
      <c r="M14683" t="s">
        <v>42072</v>
      </c>
      <c r="N14683" t="s">
        <v>44905</v>
      </c>
      <c r="O14683" t="s">
        <v>44906</v>
      </c>
      <c r="Q14683">
        <v>5</v>
      </c>
      <c r="R14683" t="s">
        <v>44929</v>
      </c>
      <c r="S14683" t="s">
        <v>46004</v>
      </c>
      <c r="T14683" t="s">
        <v>46467</v>
      </c>
      <c r="U14683" t="s">
        <v>58615</v>
      </c>
      <c r="W14683" t="s">
        <v>42072</v>
      </c>
      <c r="X14683" t="s">
        <v>44931</v>
      </c>
    </row>
    <row r="14684" spans="1:24">
      <c r="A14684">
        <f>HYPERLINK("https://www.philgeps.gov.ph/GEPSNONPILOT/Tender/SplashBidNoticeAbstractUI.aspx?menuIndex=3&amp;refID=7043192&amp;Result=3","7043192")</f>
        <v>0</v>
      </c>
      <c r="B14684" t="s">
        <v>2835</v>
      </c>
      <c r="C14684" t="s">
        <v>17587</v>
      </c>
      <c r="D14684" t="s">
        <v>18109</v>
      </c>
      <c r="E14684" t="s">
        <v>30870</v>
      </c>
      <c r="F14684" t="s">
        <v>31362</v>
      </c>
      <c r="G14684" t="s">
        <v>31369</v>
      </c>
      <c r="H14684" t="s">
        <v>15799</v>
      </c>
      <c r="I14684" t="s">
        <v>6155</v>
      </c>
      <c r="J14684" t="s">
        <v>40373</v>
      </c>
      <c r="K14684" t="s">
        <v>40672</v>
      </c>
      <c r="M14684" t="s">
        <v>44036</v>
      </c>
      <c r="N14684" t="s">
        <v>44905</v>
      </c>
      <c r="O14684" t="s">
        <v>44906</v>
      </c>
      <c r="P14684">
        <v>0</v>
      </c>
      <c r="Q14684">
        <v>8</v>
      </c>
      <c r="R14684" t="s">
        <v>44928</v>
      </c>
      <c r="S14684" t="s">
        <v>45943</v>
      </c>
      <c r="T14684" t="s">
        <v>46583</v>
      </c>
      <c r="U14684" t="s">
        <v>58616</v>
      </c>
      <c r="V14684" t="s">
        <v>59185</v>
      </c>
      <c r="W14684" t="s">
        <v>44036</v>
      </c>
      <c r="X14684" t="s">
        <v>44929</v>
      </c>
    </row>
    <row r="14685" spans="1:24">
      <c r="A14685">
        <f>HYPERLINK("https://www.philgeps.gov.ph/GEPSNONPILOT/Tender/SplashBidNoticeAbstractUI.aspx?menuIndex=3&amp;refID=7038222&amp;Result=3","7038222")</f>
        <v>0</v>
      </c>
      <c r="B14685" t="s">
        <v>1971</v>
      </c>
      <c r="C14685" t="s">
        <v>17588</v>
      </c>
      <c r="D14685" t="s">
        <v>18154</v>
      </c>
      <c r="E14685" t="s">
        <v>30871</v>
      </c>
      <c r="F14685" t="s">
        <v>31362</v>
      </c>
      <c r="G14685" t="s">
        <v>31369</v>
      </c>
      <c r="H14685" t="s">
        <v>15799</v>
      </c>
      <c r="I14685" t="s">
        <v>4283</v>
      </c>
      <c r="J14685" t="s">
        <v>31615</v>
      </c>
      <c r="K14685" t="s">
        <v>40662</v>
      </c>
      <c r="M14685" t="s">
        <v>43078</v>
      </c>
      <c r="N14685" t="s">
        <v>44905</v>
      </c>
      <c r="O14685" t="s">
        <v>44906</v>
      </c>
      <c r="P14685">
        <v>0</v>
      </c>
      <c r="Q14685">
        <v>8</v>
      </c>
      <c r="R14685" t="s">
        <v>44929</v>
      </c>
      <c r="S14685" t="s">
        <v>46002</v>
      </c>
      <c r="T14685" t="s">
        <v>46525</v>
      </c>
      <c r="U14685" t="s">
        <v>58617</v>
      </c>
      <c r="W14685" t="s">
        <v>43078</v>
      </c>
      <c r="X14685" t="s">
        <v>44930</v>
      </c>
    </row>
    <row r="14686" spans="1:24">
      <c r="A14686">
        <f>HYPERLINK("https://www.philgeps.gov.ph/GEPSNONPILOT/Tender/SplashBidNoticeAbstractUI.aspx?menuIndex=3&amp;refID=7038913&amp;Result=3","7038913")</f>
        <v>0</v>
      </c>
      <c r="B14686" t="s">
        <v>1772</v>
      </c>
      <c r="C14686" t="s">
        <v>17589</v>
      </c>
      <c r="D14686" t="s">
        <v>18136</v>
      </c>
      <c r="E14686" t="s">
        <v>30872</v>
      </c>
      <c r="F14686" t="s">
        <v>31362</v>
      </c>
      <c r="G14686" t="s">
        <v>31369</v>
      </c>
      <c r="H14686" t="s">
        <v>31378</v>
      </c>
      <c r="I14686" t="s">
        <v>31386</v>
      </c>
      <c r="J14686" t="s">
        <v>40374</v>
      </c>
      <c r="K14686" t="s">
        <v>40679</v>
      </c>
      <c r="M14686" t="s">
        <v>42850</v>
      </c>
      <c r="N14686" t="s">
        <v>44905</v>
      </c>
      <c r="O14686" t="s">
        <v>44906</v>
      </c>
      <c r="P14686">
        <v>0</v>
      </c>
      <c r="Q14686">
        <v>4</v>
      </c>
      <c r="R14686" t="s">
        <v>44929</v>
      </c>
      <c r="S14686" t="s">
        <v>46002</v>
      </c>
      <c r="T14686" t="s">
        <v>46447</v>
      </c>
      <c r="U14686" t="s">
        <v>58618</v>
      </c>
      <c r="W14686" t="s">
        <v>42850</v>
      </c>
      <c r="X14686" t="s">
        <v>44930</v>
      </c>
    </row>
    <row r="14687" spans="1:24">
      <c r="A14687">
        <f>HYPERLINK("https://www.philgeps.gov.ph/GEPSNONPILOT/Tender/SplashBidNoticeAbstractUI.aspx?menuIndex=3&amp;refID=7041997&amp;Result=3","7041997")</f>
        <v>0</v>
      </c>
      <c r="B14687" t="s">
        <v>1150</v>
      </c>
      <c r="C14687" t="s">
        <v>17590</v>
      </c>
      <c r="E14687" t="s">
        <v>30873</v>
      </c>
      <c r="F14687" t="s">
        <v>31362</v>
      </c>
      <c r="G14687" t="s">
        <v>31369</v>
      </c>
      <c r="H14687" t="s">
        <v>31378</v>
      </c>
      <c r="I14687" t="s">
        <v>31386</v>
      </c>
      <c r="J14687" t="s">
        <v>33482</v>
      </c>
      <c r="K14687" t="s">
        <v>40662</v>
      </c>
      <c r="M14687" t="s">
        <v>42159</v>
      </c>
      <c r="N14687" t="s">
        <v>44905</v>
      </c>
      <c r="O14687" t="s">
        <v>44906</v>
      </c>
      <c r="P14687">
        <v>0</v>
      </c>
      <c r="Q14687">
        <v>0</v>
      </c>
      <c r="R14687" t="s">
        <v>44928</v>
      </c>
      <c r="S14687" t="s">
        <v>45943</v>
      </c>
      <c r="T14687" t="s">
        <v>46483</v>
      </c>
      <c r="U14687" t="s">
        <v>50858</v>
      </c>
      <c r="W14687" t="s">
        <v>42159</v>
      </c>
      <c r="X14687" t="s">
        <v>44929</v>
      </c>
    </row>
    <row r="14688" spans="1:24">
      <c r="A14688">
        <f>HYPERLINK("https://www.philgeps.gov.ph/GEPSNONPILOT/Tender/SplashBidNoticeAbstractUI.aspx?menuIndex=3&amp;refID=7038831&amp;Result=3","7038831")</f>
        <v>0</v>
      </c>
      <c r="B14688" t="s">
        <v>3378</v>
      </c>
      <c r="C14688" t="s">
        <v>17591</v>
      </c>
      <c r="D14688" t="s">
        <v>18175</v>
      </c>
      <c r="E14688" t="s">
        <v>30874</v>
      </c>
      <c r="F14688" t="s">
        <v>31362</v>
      </c>
      <c r="G14688" t="s">
        <v>31369</v>
      </c>
      <c r="H14688" t="s">
        <v>15799</v>
      </c>
      <c r="I14688" t="s">
        <v>31411</v>
      </c>
      <c r="J14688" t="s">
        <v>32158</v>
      </c>
      <c r="K14688" t="s">
        <v>40666</v>
      </c>
      <c r="M14688" t="s">
        <v>44685</v>
      </c>
      <c r="N14688" t="s">
        <v>44905</v>
      </c>
      <c r="O14688" t="s">
        <v>44906</v>
      </c>
      <c r="P14688">
        <v>0</v>
      </c>
      <c r="Q14688">
        <v>1</v>
      </c>
      <c r="R14688" t="s">
        <v>44929</v>
      </c>
      <c r="S14688" t="s">
        <v>46002</v>
      </c>
      <c r="T14688" t="s">
        <v>46422</v>
      </c>
      <c r="U14688" t="s">
        <v>58619</v>
      </c>
      <c r="W14688" t="s">
        <v>44685</v>
      </c>
      <c r="X14688" t="s">
        <v>44930</v>
      </c>
    </row>
    <row r="14689" spans="1:24">
      <c r="A14689">
        <f>HYPERLINK("https://www.philgeps.gov.ph/GEPSNONPILOT/Tender/SplashBidNoticeAbstractUI.aspx?menuIndex=3&amp;refID=7038793&amp;Result=3","7038793")</f>
        <v>0</v>
      </c>
      <c r="B14689" t="s">
        <v>3378</v>
      </c>
      <c r="C14689" t="s">
        <v>17592</v>
      </c>
      <c r="D14689" t="s">
        <v>18175</v>
      </c>
      <c r="E14689" t="s">
        <v>30875</v>
      </c>
      <c r="F14689" t="s">
        <v>31362</v>
      </c>
      <c r="G14689" t="s">
        <v>31369</v>
      </c>
      <c r="H14689" t="s">
        <v>15799</v>
      </c>
      <c r="I14689" t="s">
        <v>3815</v>
      </c>
      <c r="J14689" t="s">
        <v>40375</v>
      </c>
      <c r="K14689" t="s">
        <v>40666</v>
      </c>
      <c r="M14689" t="s">
        <v>44685</v>
      </c>
      <c r="N14689" t="s">
        <v>44905</v>
      </c>
      <c r="O14689" t="s">
        <v>44906</v>
      </c>
      <c r="P14689">
        <v>0</v>
      </c>
      <c r="Q14689">
        <v>0</v>
      </c>
      <c r="R14689" t="s">
        <v>44929</v>
      </c>
      <c r="S14689" t="s">
        <v>46002</v>
      </c>
      <c r="T14689" t="s">
        <v>46393</v>
      </c>
      <c r="U14689" t="s">
        <v>58620</v>
      </c>
      <c r="W14689" t="s">
        <v>44685</v>
      </c>
      <c r="X14689" t="s">
        <v>44930</v>
      </c>
    </row>
    <row r="14690" spans="1:24">
      <c r="A14690">
        <f>HYPERLINK("https://www.philgeps.gov.ph/GEPSNONPILOT/Tender/SplashBidNoticeAbstractUI.aspx?menuIndex=3&amp;refID=7042880&amp;Result=3","7042880")</f>
        <v>0</v>
      </c>
      <c r="B14690" t="s">
        <v>2132</v>
      </c>
      <c r="C14690" t="s">
        <v>17593</v>
      </c>
      <c r="D14690" t="s">
        <v>18200</v>
      </c>
      <c r="E14690" t="s">
        <v>20535</v>
      </c>
      <c r="F14690" t="s">
        <v>31362</v>
      </c>
      <c r="G14690" t="s">
        <v>31369</v>
      </c>
      <c r="H14690" t="s">
        <v>15799</v>
      </c>
      <c r="I14690" t="s">
        <v>31414</v>
      </c>
      <c r="J14690" t="s">
        <v>40376</v>
      </c>
      <c r="K14690" t="s">
        <v>40686</v>
      </c>
      <c r="M14690" t="s">
        <v>44836</v>
      </c>
      <c r="N14690" t="s">
        <v>44905</v>
      </c>
      <c r="O14690" t="s">
        <v>44906</v>
      </c>
      <c r="Q14690">
        <v>9</v>
      </c>
      <c r="R14690" t="s">
        <v>44928</v>
      </c>
      <c r="S14690" t="s">
        <v>46005</v>
      </c>
      <c r="T14690" t="s">
        <v>46670</v>
      </c>
      <c r="U14690" t="s">
        <v>58621</v>
      </c>
      <c r="V14690" t="s">
        <v>60749</v>
      </c>
      <c r="W14690" t="s">
        <v>44836</v>
      </c>
      <c r="X14690" t="s">
        <v>44929</v>
      </c>
    </row>
    <row r="14691" spans="1:24">
      <c r="A14691">
        <f>HYPERLINK("https://www.philgeps.gov.ph/GEPSNONPILOT/Tender/SplashBidNoticeAbstractUI.aspx?menuIndex=3&amp;refID=7038897&amp;Result=3","7038897")</f>
        <v>0</v>
      </c>
      <c r="B14691" t="s">
        <v>2903</v>
      </c>
      <c r="C14691" t="s">
        <v>17594</v>
      </c>
      <c r="D14691" t="s">
        <v>18147</v>
      </c>
      <c r="E14691" t="s">
        <v>30876</v>
      </c>
      <c r="F14691" t="s">
        <v>31362</v>
      </c>
      <c r="G14691" t="s">
        <v>31369</v>
      </c>
      <c r="H14691" t="s">
        <v>15799</v>
      </c>
      <c r="I14691" t="s">
        <v>31409</v>
      </c>
      <c r="J14691" t="s">
        <v>31968</v>
      </c>
      <c r="K14691" t="s">
        <v>40679</v>
      </c>
      <c r="M14691" t="s">
        <v>44118</v>
      </c>
      <c r="N14691" t="s">
        <v>44905</v>
      </c>
      <c r="O14691" t="s">
        <v>44906</v>
      </c>
      <c r="Q14691">
        <v>3</v>
      </c>
      <c r="R14691" t="s">
        <v>44929</v>
      </c>
      <c r="S14691" t="s">
        <v>46006</v>
      </c>
      <c r="T14691" t="s">
        <v>46671</v>
      </c>
      <c r="U14691" t="s">
        <v>58622</v>
      </c>
      <c r="W14691" t="s">
        <v>44118</v>
      </c>
      <c r="X14691" t="s">
        <v>44930</v>
      </c>
    </row>
    <row r="14692" spans="1:24">
      <c r="A14692">
        <f>HYPERLINK("https://www.philgeps.gov.ph/GEPSNONPILOT/Tender/SplashBidNoticeAbstractUI.aspx?menuIndex=3&amp;refID=7038416&amp;Result=3","7038416")</f>
        <v>0</v>
      </c>
      <c r="B14692" t="s">
        <v>1442</v>
      </c>
      <c r="C14692" t="s">
        <v>17595</v>
      </c>
      <c r="D14692" t="s">
        <v>18108</v>
      </c>
      <c r="E14692" t="s">
        <v>30877</v>
      </c>
      <c r="F14692" t="s">
        <v>31362</v>
      </c>
      <c r="G14692" t="s">
        <v>31369</v>
      </c>
      <c r="H14692" t="s">
        <v>15799</v>
      </c>
      <c r="I14692" t="s">
        <v>31409</v>
      </c>
      <c r="J14692" t="s">
        <v>40377</v>
      </c>
      <c r="K14692" t="s">
        <v>40662</v>
      </c>
      <c r="M14692" t="s">
        <v>42471</v>
      </c>
      <c r="N14692" t="s">
        <v>44905</v>
      </c>
      <c r="O14692" t="s">
        <v>44906</v>
      </c>
      <c r="P14692">
        <v>0</v>
      </c>
      <c r="Q14692">
        <v>18</v>
      </c>
      <c r="R14692" t="s">
        <v>44929</v>
      </c>
      <c r="S14692" t="s">
        <v>46002</v>
      </c>
      <c r="T14692" t="s">
        <v>46393</v>
      </c>
      <c r="U14692" t="s">
        <v>49312</v>
      </c>
      <c r="V14692" t="s">
        <v>60750</v>
      </c>
      <c r="W14692" t="s">
        <v>42471</v>
      </c>
      <c r="X14692" t="s">
        <v>44930</v>
      </c>
    </row>
    <row r="14693" spans="1:24">
      <c r="A14693">
        <f>HYPERLINK("https://www.philgeps.gov.ph/GEPSNONPILOT/Tender/SplashBidNoticeAbstractUI.aspx?menuIndex=3&amp;refID=7043298&amp;Result=3","7043298")</f>
        <v>0</v>
      </c>
      <c r="B14693" t="s">
        <v>1261</v>
      </c>
      <c r="C14693" t="s">
        <v>17596</v>
      </c>
      <c r="D14693" t="s">
        <v>18113</v>
      </c>
      <c r="E14693" t="s">
        <v>30878</v>
      </c>
      <c r="F14693" t="s">
        <v>31362</v>
      </c>
      <c r="G14693" t="s">
        <v>31369</v>
      </c>
      <c r="H14693" t="s">
        <v>31378</v>
      </c>
      <c r="I14693" t="s">
        <v>31386</v>
      </c>
      <c r="J14693" t="s">
        <v>40378</v>
      </c>
      <c r="K14693" t="s">
        <v>40679</v>
      </c>
      <c r="M14693" t="s">
        <v>44837</v>
      </c>
      <c r="N14693" t="s">
        <v>44905</v>
      </c>
      <c r="O14693" t="s">
        <v>44906</v>
      </c>
      <c r="Q14693">
        <v>2</v>
      </c>
      <c r="R14693" t="s">
        <v>44928</v>
      </c>
      <c r="S14693" t="s">
        <v>46007</v>
      </c>
      <c r="T14693" t="s">
        <v>46480</v>
      </c>
      <c r="U14693" t="s">
        <v>58623</v>
      </c>
      <c r="W14693" t="s">
        <v>44837</v>
      </c>
      <c r="X14693" t="s">
        <v>44929</v>
      </c>
    </row>
    <row r="14694" spans="1:24">
      <c r="A14694">
        <f>HYPERLINK("https://www.philgeps.gov.ph/GEPSNONPILOT/Tender/SplashBidNoticeAbstractUI.aspx?menuIndex=3&amp;refID=6999268&amp;Result=3","6999268")</f>
        <v>0</v>
      </c>
      <c r="B14694" t="s">
        <v>3492</v>
      </c>
      <c r="C14694" t="s">
        <v>17597</v>
      </c>
      <c r="D14694" t="s">
        <v>18133</v>
      </c>
      <c r="E14694" t="s">
        <v>30879</v>
      </c>
      <c r="F14694" t="s">
        <v>31362</v>
      </c>
      <c r="G14694" t="s">
        <v>31369</v>
      </c>
      <c r="H14694" t="s">
        <v>31378</v>
      </c>
      <c r="I14694" t="s">
        <v>31439</v>
      </c>
      <c r="J14694" t="s">
        <v>31969</v>
      </c>
      <c r="K14694" t="s">
        <v>40814</v>
      </c>
      <c r="M14694" t="s">
        <v>44838</v>
      </c>
      <c r="N14694" t="s">
        <v>44905</v>
      </c>
      <c r="O14694" t="s">
        <v>44906</v>
      </c>
      <c r="P14694">
        <v>0</v>
      </c>
      <c r="Q14694">
        <v>0</v>
      </c>
      <c r="R14694" t="s">
        <v>44929</v>
      </c>
      <c r="S14694" t="s">
        <v>46002</v>
      </c>
      <c r="T14694" t="s">
        <v>46538</v>
      </c>
      <c r="U14694" t="s">
        <v>58624</v>
      </c>
      <c r="W14694" t="s">
        <v>44838</v>
      </c>
      <c r="X14694" t="s">
        <v>60990</v>
      </c>
    </row>
    <row r="14695" spans="1:24">
      <c r="A14695">
        <f>HYPERLINK("https://www.philgeps.gov.ph/GEPSNONPILOT/Tender/SplashBidNoticeAbstractUI.aspx?menuIndex=3&amp;refID=7043285&amp;Result=3","7043285")</f>
        <v>0</v>
      </c>
      <c r="B14695" t="s">
        <v>45</v>
      </c>
      <c r="C14695" t="s">
        <v>17598</v>
      </c>
      <c r="D14695" t="s">
        <v>18114</v>
      </c>
      <c r="E14695" t="s">
        <v>22113</v>
      </c>
      <c r="F14695" t="s">
        <v>31362</v>
      </c>
      <c r="G14695" t="s">
        <v>31369</v>
      </c>
      <c r="H14695" t="s">
        <v>15799</v>
      </c>
      <c r="I14695" t="s">
        <v>31450</v>
      </c>
      <c r="J14695" t="s">
        <v>40379</v>
      </c>
      <c r="K14695" t="s">
        <v>40665</v>
      </c>
      <c r="M14695" t="s">
        <v>44839</v>
      </c>
      <c r="N14695" t="s">
        <v>44905</v>
      </c>
      <c r="O14695" t="s">
        <v>44906</v>
      </c>
      <c r="Q14695">
        <v>10</v>
      </c>
      <c r="R14695" t="s">
        <v>44928</v>
      </c>
      <c r="S14695" t="s">
        <v>46008</v>
      </c>
      <c r="T14695" t="s">
        <v>46891</v>
      </c>
      <c r="U14695" t="s">
        <v>58625</v>
      </c>
      <c r="W14695" t="s">
        <v>44839</v>
      </c>
      <c r="X14695" t="s">
        <v>44929</v>
      </c>
    </row>
    <row r="14696" spans="1:24">
      <c r="A14696">
        <f>HYPERLINK("https://www.philgeps.gov.ph/GEPSNONPILOT/Tender/SplashBidNoticeAbstractUI.aspx?menuIndex=3&amp;refID=7039726&amp;Result=3","7039726")</f>
        <v>0</v>
      </c>
      <c r="B14696" t="s">
        <v>548</v>
      </c>
      <c r="C14696" t="s">
        <v>17599</v>
      </c>
      <c r="D14696" t="s">
        <v>18154</v>
      </c>
      <c r="E14696" t="s">
        <v>30880</v>
      </c>
      <c r="F14696" t="s">
        <v>31362</v>
      </c>
      <c r="G14696" t="s">
        <v>31369</v>
      </c>
      <c r="H14696" t="s">
        <v>15799</v>
      </c>
      <c r="I14696" t="s">
        <v>31427</v>
      </c>
      <c r="J14696" t="s">
        <v>36555</v>
      </c>
      <c r="K14696" t="s">
        <v>40665</v>
      </c>
      <c r="M14696" t="s">
        <v>41504</v>
      </c>
      <c r="N14696" t="s">
        <v>44905</v>
      </c>
      <c r="O14696" t="s">
        <v>44906</v>
      </c>
      <c r="Q14696">
        <v>5</v>
      </c>
      <c r="R14696" t="s">
        <v>44929</v>
      </c>
      <c r="S14696" t="s">
        <v>46009</v>
      </c>
      <c r="T14696" t="s">
        <v>46447</v>
      </c>
      <c r="U14696" t="s">
        <v>58626</v>
      </c>
      <c r="W14696" t="s">
        <v>41504</v>
      </c>
      <c r="X14696" t="s">
        <v>44930</v>
      </c>
    </row>
    <row r="14697" spans="1:24">
      <c r="A14697">
        <f>HYPERLINK("https://www.philgeps.gov.ph/GEPSNONPILOT/Tender/SplashBidNoticeAbstractUI.aspx?menuIndex=3&amp;refID=7038482&amp;Result=3","7038482")</f>
        <v>0</v>
      </c>
      <c r="B14697" t="s">
        <v>2391</v>
      </c>
      <c r="C14697" t="s">
        <v>17600</v>
      </c>
      <c r="D14697" t="s">
        <v>18106</v>
      </c>
      <c r="E14697" t="s">
        <v>30881</v>
      </c>
      <c r="F14697" t="s">
        <v>31362</v>
      </c>
      <c r="G14697" t="s">
        <v>31369</v>
      </c>
      <c r="H14697" t="s">
        <v>31377</v>
      </c>
      <c r="I14697" t="s">
        <v>31377</v>
      </c>
      <c r="J14697" t="s">
        <v>40380</v>
      </c>
      <c r="K14697" t="s">
        <v>40665</v>
      </c>
      <c r="M14697" t="s">
        <v>43540</v>
      </c>
      <c r="N14697" t="s">
        <v>44905</v>
      </c>
      <c r="O14697" t="s">
        <v>44906</v>
      </c>
      <c r="P14697">
        <v>0</v>
      </c>
      <c r="Q14697">
        <v>6</v>
      </c>
      <c r="R14697" t="s">
        <v>44929</v>
      </c>
      <c r="S14697" t="s">
        <v>46002</v>
      </c>
      <c r="T14697" t="s">
        <v>46663</v>
      </c>
      <c r="U14697" t="s">
        <v>58627</v>
      </c>
      <c r="W14697" t="s">
        <v>43540</v>
      </c>
      <c r="X14697" t="s">
        <v>44930</v>
      </c>
    </row>
    <row r="14698" spans="1:24">
      <c r="A14698">
        <f>HYPERLINK("https://www.philgeps.gov.ph/GEPSNONPILOT/Tender/SplashBidNoticeAbstractUI.aspx?menuIndex=3&amp;refID=7039721&amp;Result=3","7039721")</f>
        <v>0</v>
      </c>
      <c r="B14698" t="s">
        <v>743</v>
      </c>
      <c r="C14698" t="s">
        <v>17601</v>
      </c>
      <c r="D14698" t="s">
        <v>18117</v>
      </c>
      <c r="E14698" t="s">
        <v>30882</v>
      </c>
      <c r="F14698" t="s">
        <v>31362</v>
      </c>
      <c r="G14698" t="s">
        <v>31369</v>
      </c>
      <c r="H14698" t="s">
        <v>15799</v>
      </c>
      <c r="I14698" t="s">
        <v>31429</v>
      </c>
      <c r="J14698" t="s">
        <v>31591</v>
      </c>
      <c r="K14698" t="s">
        <v>40670</v>
      </c>
      <c r="M14698" t="s">
        <v>41710</v>
      </c>
      <c r="N14698" t="s">
        <v>44905</v>
      </c>
      <c r="O14698" t="s">
        <v>44906</v>
      </c>
      <c r="P14698">
        <v>0</v>
      </c>
      <c r="Q14698">
        <v>4</v>
      </c>
      <c r="R14698" t="s">
        <v>44929</v>
      </c>
      <c r="S14698" t="s">
        <v>46002</v>
      </c>
      <c r="T14698" t="s">
        <v>46586</v>
      </c>
      <c r="U14698" t="s">
        <v>58628</v>
      </c>
      <c r="W14698" t="s">
        <v>60868</v>
      </c>
      <c r="X14698" t="s">
        <v>44930</v>
      </c>
    </row>
    <row r="14699" spans="1:24">
      <c r="A14699">
        <f>HYPERLINK("https://www.philgeps.gov.ph/GEPSNONPILOT/Tender/SplashBidNoticeAbstractUI.aspx?menuIndex=3&amp;refID=7039480&amp;Result=3","7039480")</f>
        <v>0</v>
      </c>
      <c r="B14699" t="s">
        <v>3493</v>
      </c>
      <c r="C14699" t="s">
        <v>17602</v>
      </c>
      <c r="D14699" t="s">
        <v>18109</v>
      </c>
      <c r="E14699" t="s">
        <v>30883</v>
      </c>
      <c r="F14699" t="s">
        <v>31362</v>
      </c>
      <c r="G14699" t="s">
        <v>31369</v>
      </c>
      <c r="H14699" t="s">
        <v>15799</v>
      </c>
      <c r="I14699" t="s">
        <v>31384</v>
      </c>
      <c r="J14699" t="s">
        <v>40381</v>
      </c>
      <c r="K14699" t="s">
        <v>40665</v>
      </c>
      <c r="M14699" t="s">
        <v>44840</v>
      </c>
      <c r="N14699" t="s">
        <v>44905</v>
      </c>
      <c r="O14699" t="s">
        <v>44906</v>
      </c>
      <c r="Q14699">
        <v>12</v>
      </c>
      <c r="R14699" t="s">
        <v>44929</v>
      </c>
      <c r="S14699" t="s">
        <v>46010</v>
      </c>
      <c r="T14699" t="s">
        <v>46425</v>
      </c>
      <c r="U14699" t="s">
        <v>58629</v>
      </c>
      <c r="W14699" t="s">
        <v>44840</v>
      </c>
      <c r="X14699" t="s">
        <v>44930</v>
      </c>
    </row>
    <row r="14700" spans="1:24">
      <c r="A14700">
        <f>HYPERLINK("https://www.philgeps.gov.ph/GEPSNONPILOT/Tender/SplashBidNoticeAbstractUI.aspx?menuIndex=3&amp;refID=7039661&amp;Result=3","7039661")</f>
        <v>0</v>
      </c>
      <c r="B14700" t="s">
        <v>88</v>
      </c>
      <c r="C14700" t="s">
        <v>17603</v>
      </c>
      <c r="D14700" t="s">
        <v>18135</v>
      </c>
      <c r="E14700" t="s">
        <v>30884</v>
      </c>
      <c r="F14700" t="s">
        <v>31362</v>
      </c>
      <c r="G14700" t="s">
        <v>31369</v>
      </c>
      <c r="H14700" t="s">
        <v>15799</v>
      </c>
      <c r="I14700" t="s">
        <v>31409</v>
      </c>
      <c r="J14700" t="s">
        <v>32597</v>
      </c>
      <c r="K14700" t="s">
        <v>40665</v>
      </c>
      <c r="M14700" t="s">
        <v>41025</v>
      </c>
      <c r="N14700" t="s">
        <v>44905</v>
      </c>
      <c r="O14700" t="s">
        <v>44906</v>
      </c>
      <c r="P14700">
        <v>0</v>
      </c>
      <c r="Q14700">
        <v>11</v>
      </c>
      <c r="R14700" t="s">
        <v>44929</v>
      </c>
      <c r="S14700" t="s">
        <v>46002</v>
      </c>
      <c r="T14700" t="s">
        <v>46410</v>
      </c>
      <c r="U14700" t="s">
        <v>58630</v>
      </c>
      <c r="W14700" t="s">
        <v>41025</v>
      </c>
      <c r="X14700" t="s">
        <v>44930</v>
      </c>
    </row>
    <row r="14701" spans="1:24">
      <c r="A14701">
        <f>HYPERLINK("https://www.philgeps.gov.ph/GEPSNONPILOT/Tender/SplashBidNoticeAbstractUI.aspx?menuIndex=3&amp;refID=7039359&amp;Result=3","7039359")</f>
        <v>0</v>
      </c>
      <c r="B14701" t="s">
        <v>3493</v>
      </c>
      <c r="C14701" t="s">
        <v>17604</v>
      </c>
      <c r="D14701" t="s">
        <v>18162</v>
      </c>
      <c r="E14701" t="s">
        <v>30885</v>
      </c>
      <c r="F14701" t="s">
        <v>31362</v>
      </c>
      <c r="G14701" t="s">
        <v>31369</v>
      </c>
      <c r="H14701" t="s">
        <v>15799</v>
      </c>
      <c r="I14701" t="s">
        <v>31480</v>
      </c>
      <c r="J14701" t="s">
        <v>40382</v>
      </c>
      <c r="K14701" t="s">
        <v>40666</v>
      </c>
      <c r="M14701" t="s">
        <v>44840</v>
      </c>
      <c r="N14701" t="s">
        <v>44905</v>
      </c>
      <c r="O14701" t="s">
        <v>44906</v>
      </c>
      <c r="P14701">
        <v>0</v>
      </c>
      <c r="Q14701">
        <v>1</v>
      </c>
      <c r="R14701" t="s">
        <v>44929</v>
      </c>
      <c r="S14701" t="s">
        <v>46002</v>
      </c>
      <c r="T14701" t="s">
        <v>46425</v>
      </c>
      <c r="U14701" t="s">
        <v>58631</v>
      </c>
      <c r="W14701" t="s">
        <v>44840</v>
      </c>
      <c r="X14701" t="s">
        <v>44930</v>
      </c>
    </row>
    <row r="14702" spans="1:24">
      <c r="A14702">
        <f>HYPERLINK("https://www.philgeps.gov.ph/GEPSNONPILOT/Tender/SplashBidNoticeAbstractUI.aspx?menuIndex=3&amp;refID=7043196&amp;Result=3","7043196")</f>
        <v>0</v>
      </c>
      <c r="B14702" t="s">
        <v>2835</v>
      </c>
      <c r="C14702" t="s">
        <v>17605</v>
      </c>
      <c r="D14702" t="s">
        <v>18109</v>
      </c>
      <c r="E14702" t="s">
        <v>30886</v>
      </c>
      <c r="F14702" t="s">
        <v>31362</v>
      </c>
      <c r="G14702" t="s">
        <v>31369</v>
      </c>
      <c r="H14702" t="s">
        <v>15799</v>
      </c>
      <c r="I14702" t="s">
        <v>31417</v>
      </c>
      <c r="J14702" t="s">
        <v>40383</v>
      </c>
      <c r="K14702" t="s">
        <v>40672</v>
      </c>
      <c r="M14702" t="s">
        <v>44036</v>
      </c>
      <c r="N14702" t="s">
        <v>44905</v>
      </c>
      <c r="O14702" t="s">
        <v>44906</v>
      </c>
      <c r="P14702">
        <v>0</v>
      </c>
      <c r="Q14702">
        <v>4</v>
      </c>
      <c r="R14702" t="s">
        <v>44928</v>
      </c>
      <c r="S14702" t="s">
        <v>45943</v>
      </c>
      <c r="T14702" t="s">
        <v>46583</v>
      </c>
      <c r="U14702" t="s">
        <v>58632</v>
      </c>
      <c r="V14702" t="s">
        <v>59185</v>
      </c>
      <c r="W14702" t="s">
        <v>44036</v>
      </c>
      <c r="X14702" t="s">
        <v>44929</v>
      </c>
    </row>
    <row r="14703" spans="1:24">
      <c r="A14703">
        <f>HYPERLINK("https://www.philgeps.gov.ph/GEPSNONPILOT/Tender/SplashBidNoticeAbstractUI.aspx?menuIndex=3&amp;refID=7039316&amp;Result=3","7039316")</f>
        <v>0</v>
      </c>
      <c r="B14703" t="s">
        <v>257</v>
      </c>
      <c r="C14703" t="s">
        <v>17606</v>
      </c>
      <c r="D14703" t="s">
        <v>18104</v>
      </c>
      <c r="E14703" t="s">
        <v>30887</v>
      </c>
      <c r="F14703" t="s">
        <v>31362</v>
      </c>
      <c r="G14703" t="s">
        <v>31369</v>
      </c>
      <c r="H14703" t="s">
        <v>31378</v>
      </c>
      <c r="I14703" t="s">
        <v>31386</v>
      </c>
      <c r="J14703" t="s">
        <v>40384</v>
      </c>
      <c r="K14703" t="s">
        <v>40824</v>
      </c>
      <c r="M14703" t="s">
        <v>41198</v>
      </c>
      <c r="N14703" t="s">
        <v>44905</v>
      </c>
      <c r="O14703" t="s">
        <v>44906</v>
      </c>
      <c r="P14703">
        <v>0</v>
      </c>
      <c r="Q14703">
        <v>5</v>
      </c>
      <c r="R14703" t="s">
        <v>44929</v>
      </c>
      <c r="S14703" t="s">
        <v>46002</v>
      </c>
      <c r="T14703" t="s">
        <v>46483</v>
      </c>
      <c r="U14703" t="s">
        <v>58633</v>
      </c>
      <c r="W14703" t="s">
        <v>41198</v>
      </c>
      <c r="X14703" t="s">
        <v>44930</v>
      </c>
    </row>
    <row r="14704" spans="1:24">
      <c r="A14704">
        <f>HYPERLINK("https://www.philgeps.gov.ph/GEPSNONPILOT/Tender/SplashBidNoticeAbstractUI.aspx?menuIndex=3&amp;refID=7039505&amp;Result=3","7039505")</f>
        <v>0</v>
      </c>
      <c r="B14704" t="s">
        <v>257</v>
      </c>
      <c r="C14704" t="s">
        <v>17607</v>
      </c>
      <c r="D14704" t="s">
        <v>18104</v>
      </c>
      <c r="E14704" t="s">
        <v>30888</v>
      </c>
      <c r="F14704" t="s">
        <v>31362</v>
      </c>
      <c r="G14704" t="s">
        <v>31369</v>
      </c>
      <c r="H14704" t="s">
        <v>31378</v>
      </c>
      <c r="I14704" t="s">
        <v>31386</v>
      </c>
      <c r="J14704" t="s">
        <v>40385</v>
      </c>
      <c r="K14704" t="s">
        <v>40683</v>
      </c>
      <c r="M14704" t="s">
        <v>41198</v>
      </c>
      <c r="N14704" t="s">
        <v>44905</v>
      </c>
      <c r="O14704" t="s">
        <v>44906</v>
      </c>
      <c r="P14704">
        <v>0</v>
      </c>
      <c r="Q14704">
        <v>6</v>
      </c>
      <c r="R14704" t="s">
        <v>44929</v>
      </c>
      <c r="S14704" t="s">
        <v>46002</v>
      </c>
      <c r="T14704" t="s">
        <v>46483</v>
      </c>
      <c r="U14704" t="s">
        <v>58634</v>
      </c>
      <c r="W14704" t="s">
        <v>41198</v>
      </c>
      <c r="X14704" t="s">
        <v>44930</v>
      </c>
    </row>
    <row r="14705" spans="1:24">
      <c r="A14705">
        <f>HYPERLINK("https://www.philgeps.gov.ph/GEPSNONPILOT/Tender/SplashBidNoticeAbstractUI.aspx?menuIndex=3&amp;refID=7043293&amp;Result=3","7043293")</f>
        <v>0</v>
      </c>
      <c r="B14705" t="s">
        <v>2099</v>
      </c>
      <c r="C14705" t="s">
        <v>17608</v>
      </c>
      <c r="D14705" t="s">
        <v>18134</v>
      </c>
      <c r="E14705" t="s">
        <v>30889</v>
      </c>
      <c r="F14705" t="s">
        <v>31362</v>
      </c>
      <c r="G14705" t="s">
        <v>31369</v>
      </c>
      <c r="H14705" t="s">
        <v>31378</v>
      </c>
      <c r="I14705" t="s">
        <v>31386</v>
      </c>
      <c r="J14705" t="s">
        <v>40386</v>
      </c>
      <c r="K14705" t="s">
        <v>40691</v>
      </c>
      <c r="M14705" t="s">
        <v>43223</v>
      </c>
      <c r="N14705" t="s">
        <v>44905</v>
      </c>
      <c r="O14705" t="s">
        <v>44906</v>
      </c>
      <c r="P14705">
        <v>0</v>
      </c>
      <c r="Q14705">
        <v>0</v>
      </c>
      <c r="R14705" t="s">
        <v>44928</v>
      </c>
      <c r="S14705" t="s">
        <v>45943</v>
      </c>
      <c r="T14705" t="s">
        <v>46447</v>
      </c>
      <c r="U14705" t="s">
        <v>58635</v>
      </c>
      <c r="W14705" t="s">
        <v>43223</v>
      </c>
      <c r="X14705" t="s">
        <v>44929</v>
      </c>
    </row>
    <row r="14706" spans="1:24">
      <c r="A14706">
        <f>HYPERLINK("https://www.philgeps.gov.ph/GEPSNONPILOT/Tender/SplashBidNoticeAbstractUI.aspx?menuIndex=3&amp;refID=7039178&amp;Result=3","7039178")</f>
        <v>0</v>
      </c>
      <c r="B14706" t="s">
        <v>2270</v>
      </c>
      <c r="C14706" t="s">
        <v>17609</v>
      </c>
      <c r="D14706" t="s">
        <v>18168</v>
      </c>
      <c r="E14706" t="s">
        <v>30890</v>
      </c>
      <c r="F14706" t="s">
        <v>31362</v>
      </c>
      <c r="G14706" t="s">
        <v>31369</v>
      </c>
      <c r="H14706" t="s">
        <v>31378</v>
      </c>
      <c r="I14706" t="s">
        <v>31386</v>
      </c>
      <c r="J14706" t="s">
        <v>33393</v>
      </c>
      <c r="K14706" t="s">
        <v>40686</v>
      </c>
      <c r="M14706" t="s">
        <v>43409</v>
      </c>
      <c r="N14706" t="s">
        <v>44905</v>
      </c>
      <c r="O14706" t="s">
        <v>44906</v>
      </c>
      <c r="Q14706">
        <v>5</v>
      </c>
      <c r="R14706" t="s">
        <v>44929</v>
      </c>
      <c r="S14706" t="s">
        <v>46011</v>
      </c>
      <c r="T14706" t="s">
        <v>46467</v>
      </c>
      <c r="U14706" t="s">
        <v>58636</v>
      </c>
      <c r="W14706" t="s">
        <v>43409</v>
      </c>
      <c r="X14706" t="s">
        <v>44930</v>
      </c>
    </row>
    <row r="14707" spans="1:24">
      <c r="A14707">
        <f>HYPERLINK("https://www.philgeps.gov.ph/GEPSNONPILOT/Tender/SplashBidNoticeAbstractUI.aspx?menuIndex=3&amp;refID=7039038&amp;Result=3","7039038")</f>
        <v>0</v>
      </c>
      <c r="B14707" t="s">
        <v>3378</v>
      </c>
      <c r="C14707" t="s">
        <v>17610</v>
      </c>
      <c r="D14707" t="s">
        <v>18175</v>
      </c>
      <c r="E14707" t="s">
        <v>30891</v>
      </c>
      <c r="F14707" t="s">
        <v>31362</v>
      </c>
      <c r="G14707" t="s">
        <v>31369</v>
      </c>
      <c r="H14707" t="s">
        <v>31378</v>
      </c>
      <c r="I14707" t="s">
        <v>31386</v>
      </c>
      <c r="J14707" t="s">
        <v>31625</v>
      </c>
      <c r="K14707" t="s">
        <v>40701</v>
      </c>
      <c r="M14707" t="s">
        <v>44685</v>
      </c>
      <c r="N14707" t="s">
        <v>44905</v>
      </c>
      <c r="O14707" t="s">
        <v>44906</v>
      </c>
      <c r="P14707">
        <v>0</v>
      </c>
      <c r="Q14707">
        <v>0</v>
      </c>
      <c r="R14707" t="s">
        <v>44929</v>
      </c>
      <c r="S14707" t="s">
        <v>46002</v>
      </c>
      <c r="T14707" t="s">
        <v>46426</v>
      </c>
      <c r="U14707" t="s">
        <v>58637</v>
      </c>
      <c r="W14707" t="s">
        <v>44685</v>
      </c>
      <c r="X14707" t="s">
        <v>44930</v>
      </c>
    </row>
    <row r="14708" spans="1:24">
      <c r="A14708">
        <f>HYPERLINK("https://www.philgeps.gov.ph/GEPSNONPILOT/Tender/SplashBidNoticeAbstractUI.aspx?menuIndex=3&amp;refID=7039055&amp;Result=3","7039055")</f>
        <v>0</v>
      </c>
      <c r="B14708" t="s">
        <v>3378</v>
      </c>
      <c r="C14708" t="s">
        <v>17611</v>
      </c>
      <c r="D14708" t="s">
        <v>18175</v>
      </c>
      <c r="E14708" t="s">
        <v>30892</v>
      </c>
      <c r="F14708" t="s">
        <v>31362</v>
      </c>
      <c r="G14708" t="s">
        <v>31369</v>
      </c>
      <c r="H14708" t="s">
        <v>31378</v>
      </c>
      <c r="I14708" t="s">
        <v>31386</v>
      </c>
      <c r="J14708" t="s">
        <v>31606</v>
      </c>
      <c r="K14708" t="s">
        <v>40817</v>
      </c>
      <c r="M14708" t="s">
        <v>44685</v>
      </c>
      <c r="N14708" t="s">
        <v>44905</v>
      </c>
      <c r="O14708" t="s">
        <v>44906</v>
      </c>
      <c r="P14708">
        <v>0</v>
      </c>
      <c r="Q14708">
        <v>0</v>
      </c>
      <c r="R14708" t="s">
        <v>44929</v>
      </c>
      <c r="S14708" t="s">
        <v>46002</v>
      </c>
      <c r="T14708" t="s">
        <v>46444</v>
      </c>
      <c r="U14708" t="s">
        <v>58638</v>
      </c>
      <c r="W14708" t="s">
        <v>44685</v>
      </c>
      <c r="X14708" t="s">
        <v>44930</v>
      </c>
    </row>
    <row r="14709" spans="1:24">
      <c r="A14709">
        <f>HYPERLINK("https://www.philgeps.gov.ph/GEPSNONPILOT/Tender/SplashBidNoticeAbstractUI.aspx?menuIndex=3&amp;refID=7040711&amp;Result=3","7040711")</f>
        <v>0</v>
      </c>
      <c r="B14709" t="s">
        <v>122</v>
      </c>
      <c r="C14709" t="s">
        <v>17612</v>
      </c>
      <c r="D14709" t="s">
        <v>18145</v>
      </c>
      <c r="E14709" t="s">
        <v>30893</v>
      </c>
      <c r="F14709" t="s">
        <v>31362</v>
      </c>
      <c r="G14709" t="s">
        <v>31369</v>
      </c>
      <c r="H14709" t="s">
        <v>15799</v>
      </c>
      <c r="I14709" t="s">
        <v>31476</v>
      </c>
      <c r="J14709" t="s">
        <v>40387</v>
      </c>
      <c r="K14709" t="s">
        <v>40682</v>
      </c>
      <c r="M14709" t="s">
        <v>41059</v>
      </c>
      <c r="N14709" t="s">
        <v>44905</v>
      </c>
      <c r="O14709" t="s">
        <v>44906</v>
      </c>
      <c r="Q14709">
        <v>4</v>
      </c>
      <c r="R14709" t="s">
        <v>44929</v>
      </c>
      <c r="S14709" t="s">
        <v>46012</v>
      </c>
      <c r="T14709" t="s">
        <v>46542</v>
      </c>
      <c r="U14709" t="s">
        <v>58639</v>
      </c>
      <c r="V14709" t="s">
        <v>60751</v>
      </c>
      <c r="W14709" t="s">
        <v>41059</v>
      </c>
      <c r="X14709" t="s">
        <v>44930</v>
      </c>
    </row>
    <row r="14710" spans="1:24">
      <c r="A14710">
        <f>HYPERLINK("https://www.philgeps.gov.ph/GEPSNONPILOT/Tender/SplashBidNoticeAbstractUI.aspx?menuIndex=3&amp;refID=7040649&amp;Result=3","7040649")</f>
        <v>0</v>
      </c>
      <c r="B14710" t="s">
        <v>482</v>
      </c>
      <c r="C14710" t="s">
        <v>17613</v>
      </c>
      <c r="E14710" t="s">
        <v>30894</v>
      </c>
      <c r="F14710" t="s">
        <v>31362</v>
      </c>
      <c r="G14710" t="s">
        <v>31369</v>
      </c>
      <c r="H14710" t="s">
        <v>15799</v>
      </c>
      <c r="I14710" t="s">
        <v>31422</v>
      </c>
      <c r="J14710" t="s">
        <v>32130</v>
      </c>
      <c r="K14710" t="s">
        <v>40662</v>
      </c>
      <c r="M14710" t="s">
        <v>44725</v>
      </c>
      <c r="N14710" t="s">
        <v>44905</v>
      </c>
      <c r="O14710" t="s">
        <v>44906</v>
      </c>
      <c r="Q14710">
        <v>13</v>
      </c>
      <c r="R14710" t="s">
        <v>44929</v>
      </c>
      <c r="S14710" t="s">
        <v>46013</v>
      </c>
      <c r="T14710" t="s">
        <v>46425</v>
      </c>
      <c r="U14710" t="s">
        <v>58640</v>
      </c>
      <c r="W14710" t="s">
        <v>44725</v>
      </c>
      <c r="X14710" t="s">
        <v>44930</v>
      </c>
    </row>
    <row r="14711" spans="1:24">
      <c r="A14711">
        <f>HYPERLINK("https://www.philgeps.gov.ph/GEPSNONPILOT/Tender/SplashBidNoticeAbstractUI.aspx?menuIndex=3&amp;refID=7040810&amp;Result=3","7040810")</f>
        <v>0</v>
      </c>
      <c r="B14711" t="s">
        <v>3137</v>
      </c>
      <c r="C14711" t="s">
        <v>17614</v>
      </c>
      <c r="D14711" t="s">
        <v>18108</v>
      </c>
      <c r="E14711" t="s">
        <v>25699</v>
      </c>
      <c r="F14711" t="s">
        <v>31362</v>
      </c>
      <c r="G14711" t="s">
        <v>31369</v>
      </c>
      <c r="H14711" t="s">
        <v>15799</v>
      </c>
      <c r="I14711" t="s">
        <v>31470</v>
      </c>
      <c r="J14711" t="s">
        <v>31606</v>
      </c>
      <c r="K14711" t="s">
        <v>40670</v>
      </c>
      <c r="M14711" t="s">
        <v>44397</v>
      </c>
      <c r="N14711" t="s">
        <v>44905</v>
      </c>
      <c r="O14711" t="s">
        <v>44906</v>
      </c>
      <c r="P14711">
        <v>0</v>
      </c>
      <c r="Q14711">
        <v>6</v>
      </c>
      <c r="R14711" t="s">
        <v>44929</v>
      </c>
      <c r="S14711" t="s">
        <v>46002</v>
      </c>
      <c r="T14711" t="s">
        <v>46507</v>
      </c>
      <c r="U14711" t="s">
        <v>58641</v>
      </c>
      <c r="W14711" t="s">
        <v>44397</v>
      </c>
      <c r="X14711" t="s">
        <v>44930</v>
      </c>
    </row>
    <row r="14712" spans="1:24">
      <c r="A14712">
        <f>HYPERLINK("https://www.philgeps.gov.ph/GEPSNONPILOT/Tender/SplashBidNoticeAbstractUI.aspx?menuIndex=3&amp;refID=7043299&amp;Result=3","7043299")</f>
        <v>0</v>
      </c>
      <c r="B14712" t="s">
        <v>2099</v>
      </c>
      <c r="C14712" t="s">
        <v>17184</v>
      </c>
      <c r="D14712" t="s">
        <v>18134</v>
      </c>
      <c r="E14712" t="s">
        <v>30895</v>
      </c>
      <c r="F14712" t="s">
        <v>31362</v>
      </c>
      <c r="G14712" t="s">
        <v>31369</v>
      </c>
      <c r="H14712" t="s">
        <v>31378</v>
      </c>
      <c r="I14712" t="s">
        <v>31386</v>
      </c>
      <c r="J14712" t="s">
        <v>40388</v>
      </c>
      <c r="K14712" t="s">
        <v>40742</v>
      </c>
      <c r="M14712" t="s">
        <v>43223</v>
      </c>
      <c r="N14712" t="s">
        <v>44905</v>
      </c>
      <c r="O14712" t="s">
        <v>44906</v>
      </c>
      <c r="P14712">
        <v>0</v>
      </c>
      <c r="Q14712">
        <v>0</v>
      </c>
      <c r="R14712" t="s">
        <v>44928</v>
      </c>
      <c r="S14712" t="s">
        <v>45943</v>
      </c>
      <c r="T14712" t="s">
        <v>46447</v>
      </c>
      <c r="U14712" t="s">
        <v>58642</v>
      </c>
      <c r="W14712" t="s">
        <v>43223</v>
      </c>
      <c r="X14712" t="s">
        <v>44929</v>
      </c>
    </row>
    <row r="14713" spans="1:24">
      <c r="A14713">
        <f>HYPERLINK("https://www.philgeps.gov.ph/GEPSNONPILOT/Tender/SplashBidNoticeAbstractUI.aspx?menuIndex=3&amp;refID=7040566&amp;Result=3","7040566")</f>
        <v>0</v>
      </c>
      <c r="B14713" t="s">
        <v>155</v>
      </c>
      <c r="C14713" t="s">
        <v>17615</v>
      </c>
      <c r="E14713" t="s">
        <v>30896</v>
      </c>
      <c r="F14713" t="s">
        <v>31362</v>
      </c>
      <c r="G14713" t="s">
        <v>31369</v>
      </c>
      <c r="H14713" t="s">
        <v>15799</v>
      </c>
      <c r="I14713" t="s">
        <v>7719</v>
      </c>
      <c r="J14713" t="s">
        <v>40389</v>
      </c>
      <c r="K14713" t="s">
        <v>40682</v>
      </c>
      <c r="M14713" t="s">
        <v>44480</v>
      </c>
      <c r="N14713" t="s">
        <v>44905</v>
      </c>
      <c r="O14713" t="s">
        <v>44906</v>
      </c>
      <c r="P14713">
        <v>0</v>
      </c>
      <c r="Q14713">
        <v>48</v>
      </c>
      <c r="R14713" t="s">
        <v>44929</v>
      </c>
      <c r="S14713" t="s">
        <v>46002</v>
      </c>
      <c r="T14713" t="s">
        <v>46722</v>
      </c>
      <c r="U14713" t="s">
        <v>58301</v>
      </c>
      <c r="W14713" t="s">
        <v>44480</v>
      </c>
      <c r="X14713" t="s">
        <v>44930</v>
      </c>
    </row>
    <row r="14714" spans="1:24">
      <c r="A14714">
        <f>HYPERLINK("https://www.philgeps.gov.ph/GEPSNONPILOT/Tender/SplashBidNoticeAbstractUI.aspx?menuIndex=3&amp;refID=7040529&amp;Result=3","7040529")</f>
        <v>0</v>
      </c>
      <c r="B14714" t="s">
        <v>155</v>
      </c>
      <c r="C14714" t="s">
        <v>17615</v>
      </c>
      <c r="E14714" t="s">
        <v>30897</v>
      </c>
      <c r="F14714" t="s">
        <v>31362</v>
      </c>
      <c r="G14714" t="s">
        <v>31369</v>
      </c>
      <c r="H14714" t="s">
        <v>15799</v>
      </c>
      <c r="I14714" t="s">
        <v>7719</v>
      </c>
      <c r="J14714" t="s">
        <v>32333</v>
      </c>
      <c r="K14714" t="s">
        <v>40682</v>
      </c>
      <c r="M14714" t="s">
        <v>44480</v>
      </c>
      <c r="N14714" t="s">
        <v>44905</v>
      </c>
      <c r="O14714" t="s">
        <v>44906</v>
      </c>
      <c r="P14714">
        <v>0</v>
      </c>
      <c r="Q14714">
        <v>43</v>
      </c>
      <c r="R14714" t="s">
        <v>44929</v>
      </c>
      <c r="S14714" t="s">
        <v>46002</v>
      </c>
      <c r="T14714" t="s">
        <v>46607</v>
      </c>
      <c r="U14714" t="s">
        <v>58301</v>
      </c>
      <c r="W14714" t="s">
        <v>44480</v>
      </c>
      <c r="X14714" t="s">
        <v>44930</v>
      </c>
    </row>
    <row r="14715" spans="1:24">
      <c r="A14715">
        <f>HYPERLINK("https://www.philgeps.gov.ph/GEPSNONPILOT/Tender/SplashBidNoticeAbstractUI.aspx?menuIndex=3&amp;refID=7040510&amp;Result=3","7040510")</f>
        <v>0</v>
      </c>
      <c r="B14715" t="s">
        <v>155</v>
      </c>
      <c r="C14715" t="s">
        <v>17615</v>
      </c>
      <c r="E14715" t="s">
        <v>30898</v>
      </c>
      <c r="F14715" t="s">
        <v>31362</v>
      </c>
      <c r="G14715" t="s">
        <v>31369</v>
      </c>
      <c r="H14715" t="s">
        <v>15799</v>
      </c>
      <c r="I14715" t="s">
        <v>7719</v>
      </c>
      <c r="J14715" t="s">
        <v>40390</v>
      </c>
      <c r="K14715" t="s">
        <v>40682</v>
      </c>
      <c r="M14715" t="s">
        <v>44480</v>
      </c>
      <c r="N14715" t="s">
        <v>44905</v>
      </c>
      <c r="O14715" t="s">
        <v>44906</v>
      </c>
      <c r="P14715">
        <v>0</v>
      </c>
      <c r="Q14715">
        <v>41</v>
      </c>
      <c r="R14715" t="s">
        <v>44929</v>
      </c>
      <c r="S14715" t="s">
        <v>46002</v>
      </c>
      <c r="T14715" t="s">
        <v>46433</v>
      </c>
      <c r="U14715" t="s">
        <v>58301</v>
      </c>
      <c r="W14715" t="s">
        <v>44480</v>
      </c>
      <c r="X14715" t="s">
        <v>44930</v>
      </c>
    </row>
    <row r="14716" spans="1:24">
      <c r="A14716">
        <f>HYPERLINK("https://www.philgeps.gov.ph/GEPSNONPILOT/Tender/SplashBidNoticeAbstractUI.aspx?menuIndex=3&amp;refID=7040236&amp;Result=3","7040236")</f>
        <v>0</v>
      </c>
      <c r="B14716" t="s">
        <v>257</v>
      </c>
      <c r="C14716" t="s">
        <v>17616</v>
      </c>
      <c r="D14716" t="s">
        <v>18104</v>
      </c>
      <c r="E14716" t="s">
        <v>30899</v>
      </c>
      <c r="F14716" t="s">
        <v>31362</v>
      </c>
      <c r="G14716" t="s">
        <v>31369</v>
      </c>
      <c r="H14716" t="s">
        <v>31378</v>
      </c>
      <c r="I14716" t="s">
        <v>31386</v>
      </c>
      <c r="J14716" t="s">
        <v>40391</v>
      </c>
      <c r="K14716" t="s">
        <v>40691</v>
      </c>
      <c r="M14716" t="s">
        <v>41198</v>
      </c>
      <c r="N14716" t="s">
        <v>44905</v>
      </c>
      <c r="O14716" t="s">
        <v>44906</v>
      </c>
      <c r="P14716">
        <v>0</v>
      </c>
      <c r="Q14716">
        <v>8</v>
      </c>
      <c r="R14716" t="s">
        <v>44929</v>
      </c>
      <c r="S14716" t="s">
        <v>46002</v>
      </c>
      <c r="T14716" t="s">
        <v>46483</v>
      </c>
      <c r="U14716" t="s">
        <v>58643</v>
      </c>
      <c r="W14716" t="s">
        <v>41198</v>
      </c>
      <c r="X14716" t="s">
        <v>44930</v>
      </c>
    </row>
    <row r="14717" spans="1:24">
      <c r="A14717">
        <f>HYPERLINK("https://www.philgeps.gov.ph/GEPSNONPILOT/Tender/SplashBidNoticeAbstractUI.aspx?menuIndex=3&amp;refID=7040695&amp;Result=3","7040695")</f>
        <v>0</v>
      </c>
      <c r="B14717" t="s">
        <v>327</v>
      </c>
      <c r="C14717" t="s">
        <v>17617</v>
      </c>
      <c r="D14717" t="s">
        <v>18108</v>
      </c>
      <c r="E14717" t="s">
        <v>30900</v>
      </c>
      <c r="F14717" t="s">
        <v>31362</v>
      </c>
      <c r="G14717" t="s">
        <v>31369</v>
      </c>
      <c r="H14717" t="s">
        <v>31377</v>
      </c>
      <c r="I14717" t="s">
        <v>31377</v>
      </c>
      <c r="J14717" t="s">
        <v>31615</v>
      </c>
      <c r="K14717" t="s">
        <v>40821</v>
      </c>
      <c r="M14717" t="s">
        <v>44099</v>
      </c>
      <c r="N14717" t="s">
        <v>44905</v>
      </c>
      <c r="O14717" t="s">
        <v>44906</v>
      </c>
      <c r="Q14717">
        <v>5</v>
      </c>
      <c r="R14717" t="s">
        <v>44929</v>
      </c>
      <c r="S14717" t="s">
        <v>46014</v>
      </c>
      <c r="T14717" t="s">
        <v>46582</v>
      </c>
      <c r="U14717" t="s">
        <v>58644</v>
      </c>
      <c r="W14717" t="s">
        <v>44099</v>
      </c>
      <c r="X14717" t="s">
        <v>44930</v>
      </c>
    </row>
    <row r="14718" spans="1:24">
      <c r="A14718">
        <f>HYPERLINK("https://www.philgeps.gov.ph/GEPSNONPILOT/Tender/SplashBidNoticeAbstractUI.aspx?menuIndex=3&amp;refID=7039332&amp;Result=3","7039332")</f>
        <v>0</v>
      </c>
      <c r="B14718" t="s">
        <v>375</v>
      </c>
      <c r="C14718" t="s">
        <v>17618</v>
      </c>
      <c r="D14718" t="s">
        <v>18177</v>
      </c>
      <c r="E14718" t="s">
        <v>30901</v>
      </c>
      <c r="F14718" t="s">
        <v>31362</v>
      </c>
      <c r="G14718" t="s">
        <v>31369</v>
      </c>
      <c r="H14718" t="s">
        <v>15799</v>
      </c>
      <c r="I14718" t="s">
        <v>31415</v>
      </c>
      <c r="J14718" t="s">
        <v>35080</v>
      </c>
      <c r="K14718" t="s">
        <v>40665</v>
      </c>
      <c r="M14718" t="s">
        <v>41322</v>
      </c>
      <c r="N14718" t="s">
        <v>44905</v>
      </c>
      <c r="O14718" t="s">
        <v>44906</v>
      </c>
      <c r="P14718">
        <v>0</v>
      </c>
      <c r="Q14718">
        <v>1</v>
      </c>
      <c r="R14718" t="s">
        <v>44929</v>
      </c>
      <c r="S14718" t="s">
        <v>46002</v>
      </c>
      <c r="T14718" t="s">
        <v>46393</v>
      </c>
      <c r="U14718" t="s">
        <v>58645</v>
      </c>
      <c r="W14718" t="s">
        <v>41322</v>
      </c>
      <c r="X14718" t="s">
        <v>44930</v>
      </c>
    </row>
    <row r="14719" spans="1:24">
      <c r="A14719">
        <f>HYPERLINK("https://www.philgeps.gov.ph/GEPSNONPILOT/Tender/SplashBidNoticeAbstractUI.aspx?menuIndex=3&amp;refID=7039210&amp;Result=3","7039210")</f>
        <v>0</v>
      </c>
      <c r="B14719" t="s">
        <v>3493</v>
      </c>
      <c r="C14719" t="s">
        <v>17619</v>
      </c>
      <c r="D14719" t="s">
        <v>18120</v>
      </c>
      <c r="E14719" t="s">
        <v>30902</v>
      </c>
      <c r="F14719" t="s">
        <v>31362</v>
      </c>
      <c r="G14719" t="s">
        <v>31369</v>
      </c>
      <c r="H14719" t="s">
        <v>15799</v>
      </c>
      <c r="I14719" t="s">
        <v>31480</v>
      </c>
      <c r="J14719" t="s">
        <v>40392</v>
      </c>
      <c r="K14719" t="s">
        <v>40666</v>
      </c>
      <c r="M14719" t="s">
        <v>44840</v>
      </c>
      <c r="N14719" t="s">
        <v>44905</v>
      </c>
      <c r="O14719" t="s">
        <v>44906</v>
      </c>
      <c r="P14719">
        <v>0</v>
      </c>
      <c r="Q14719">
        <v>1</v>
      </c>
      <c r="R14719" t="s">
        <v>44929</v>
      </c>
      <c r="S14719" t="s">
        <v>46002</v>
      </c>
      <c r="T14719" t="s">
        <v>46425</v>
      </c>
      <c r="U14719" t="s">
        <v>58631</v>
      </c>
      <c r="W14719" t="s">
        <v>44840</v>
      </c>
      <c r="X14719" t="s">
        <v>44930</v>
      </c>
    </row>
    <row r="14720" spans="1:24">
      <c r="A14720">
        <f>HYPERLINK("https://www.philgeps.gov.ph/GEPSNONPILOT/Tender/SplashBidNoticeAbstractUI.aspx?menuIndex=3&amp;refID=7040544&amp;Result=3","7040544")</f>
        <v>0</v>
      </c>
      <c r="B14720" t="s">
        <v>155</v>
      </c>
      <c r="C14720" t="s">
        <v>17615</v>
      </c>
      <c r="E14720" t="s">
        <v>30903</v>
      </c>
      <c r="F14720" t="s">
        <v>31362</v>
      </c>
      <c r="G14720" t="s">
        <v>31369</v>
      </c>
      <c r="H14720" t="s">
        <v>15799</v>
      </c>
      <c r="I14720" t="s">
        <v>7719</v>
      </c>
      <c r="J14720" t="s">
        <v>37729</v>
      </c>
      <c r="K14720" t="s">
        <v>40682</v>
      </c>
      <c r="M14720" t="s">
        <v>44480</v>
      </c>
      <c r="N14720" t="s">
        <v>44905</v>
      </c>
      <c r="O14720" t="s">
        <v>44906</v>
      </c>
      <c r="P14720">
        <v>0</v>
      </c>
      <c r="Q14720">
        <v>46</v>
      </c>
      <c r="R14720" t="s">
        <v>44929</v>
      </c>
      <c r="S14720" t="s">
        <v>46002</v>
      </c>
      <c r="T14720" t="s">
        <v>46559</v>
      </c>
      <c r="U14720" t="s">
        <v>58301</v>
      </c>
      <c r="W14720" t="s">
        <v>44480</v>
      </c>
      <c r="X14720" t="s">
        <v>44930</v>
      </c>
    </row>
    <row r="14721" spans="1:24">
      <c r="A14721">
        <f>HYPERLINK("https://www.philgeps.gov.ph/GEPSNONPILOT/Tender/SplashBidNoticeAbstractUI.aspx?menuIndex=3&amp;refID=7037190&amp;Result=3","7037190")</f>
        <v>0</v>
      </c>
      <c r="B14721" t="s">
        <v>700</v>
      </c>
      <c r="C14721" t="s">
        <v>17620</v>
      </c>
      <c r="E14721" t="s">
        <v>30904</v>
      </c>
      <c r="F14721" t="s">
        <v>31362</v>
      </c>
      <c r="G14721" t="s">
        <v>31369</v>
      </c>
      <c r="H14721" t="s">
        <v>15799</v>
      </c>
      <c r="I14721" t="s">
        <v>31385</v>
      </c>
      <c r="J14721" t="s">
        <v>40393</v>
      </c>
      <c r="K14721" t="s">
        <v>40662</v>
      </c>
      <c r="M14721" t="s">
        <v>41665</v>
      </c>
      <c r="N14721" t="s">
        <v>44905</v>
      </c>
      <c r="O14721" t="s">
        <v>44906</v>
      </c>
      <c r="P14721">
        <v>0</v>
      </c>
      <c r="Q14721">
        <v>5</v>
      </c>
      <c r="R14721" t="s">
        <v>44930</v>
      </c>
      <c r="S14721" t="s">
        <v>46015</v>
      </c>
      <c r="T14721" t="s">
        <v>46510</v>
      </c>
      <c r="U14721" t="s">
        <v>58646</v>
      </c>
      <c r="W14721" t="s">
        <v>41665</v>
      </c>
      <c r="X14721" t="s">
        <v>44931</v>
      </c>
    </row>
    <row r="14722" spans="1:24">
      <c r="A14722">
        <f>HYPERLINK("https://www.philgeps.gov.ph/GEPSNONPILOT/Tender/SplashBidNoticeAbstractUI.aspx?menuIndex=3&amp;refID=7037045&amp;Result=3","7037045")</f>
        <v>0</v>
      </c>
      <c r="B14722" t="s">
        <v>906</v>
      </c>
      <c r="C14722" t="s">
        <v>17621</v>
      </c>
      <c r="E14722" t="s">
        <v>30905</v>
      </c>
      <c r="F14722" t="s">
        <v>31362</v>
      </c>
      <c r="G14722" t="s">
        <v>31369</v>
      </c>
      <c r="H14722" t="s">
        <v>31377</v>
      </c>
      <c r="I14722" t="s">
        <v>31377</v>
      </c>
      <c r="J14722" t="s">
        <v>40394</v>
      </c>
      <c r="K14722" t="s">
        <v>40662</v>
      </c>
      <c r="M14722" t="s">
        <v>41888</v>
      </c>
      <c r="N14722" t="s">
        <v>44905</v>
      </c>
      <c r="O14722" t="s">
        <v>44906</v>
      </c>
      <c r="Q14722">
        <v>3</v>
      </c>
      <c r="R14722" t="s">
        <v>44930</v>
      </c>
      <c r="S14722" t="s">
        <v>46016</v>
      </c>
      <c r="T14722" t="s">
        <v>46435</v>
      </c>
      <c r="U14722" t="s">
        <v>58647</v>
      </c>
      <c r="V14722" t="s">
        <v>60752</v>
      </c>
      <c r="W14722" t="s">
        <v>41888</v>
      </c>
      <c r="X14722" t="s">
        <v>44931</v>
      </c>
    </row>
    <row r="14723" spans="1:24">
      <c r="A14723">
        <f>HYPERLINK("https://www.philgeps.gov.ph/GEPSNONPILOT/Tender/SplashBidNoticeAbstractUI.aspx?menuIndex=3&amp;refID=7036894&amp;Result=3","7036894")</f>
        <v>0</v>
      </c>
      <c r="B14723" t="s">
        <v>351</v>
      </c>
      <c r="C14723" t="s">
        <v>17622</v>
      </c>
      <c r="D14723" t="s">
        <v>18142</v>
      </c>
      <c r="E14723" t="s">
        <v>30906</v>
      </c>
      <c r="F14723" t="s">
        <v>31362</v>
      </c>
      <c r="G14723" t="s">
        <v>31369</v>
      </c>
      <c r="H14723" t="s">
        <v>15799</v>
      </c>
      <c r="I14723" t="s">
        <v>31380</v>
      </c>
      <c r="J14723" t="s">
        <v>40395</v>
      </c>
      <c r="K14723" t="s">
        <v>40661</v>
      </c>
      <c r="M14723" t="s">
        <v>41880</v>
      </c>
      <c r="N14723" t="s">
        <v>44905</v>
      </c>
      <c r="O14723" t="s">
        <v>44906</v>
      </c>
      <c r="Q14723">
        <v>9</v>
      </c>
      <c r="R14723" t="s">
        <v>44930</v>
      </c>
      <c r="S14723" t="s">
        <v>46017</v>
      </c>
      <c r="T14723" t="s">
        <v>46493</v>
      </c>
      <c r="U14723" t="s">
        <v>58648</v>
      </c>
      <c r="W14723" t="s">
        <v>41880</v>
      </c>
      <c r="X14723" t="s">
        <v>44931</v>
      </c>
    </row>
    <row r="14724" spans="1:24">
      <c r="A14724">
        <f>HYPERLINK("https://www.philgeps.gov.ph/GEPSNONPILOT/Tender/SplashBidNoticeAbstractUI.aspx?menuIndex=3&amp;refID=7036852&amp;Result=3","7036852")</f>
        <v>0</v>
      </c>
      <c r="B14724" t="s">
        <v>1225</v>
      </c>
      <c r="C14724" t="s">
        <v>17623</v>
      </c>
      <c r="D14724" t="s">
        <v>18148</v>
      </c>
      <c r="E14724" t="s">
        <v>30907</v>
      </c>
      <c r="F14724" t="s">
        <v>31362</v>
      </c>
      <c r="G14724" t="s">
        <v>31369</v>
      </c>
      <c r="H14724" t="s">
        <v>31378</v>
      </c>
      <c r="I14724" t="s">
        <v>31386</v>
      </c>
      <c r="J14724" t="s">
        <v>40396</v>
      </c>
      <c r="K14724" t="s">
        <v>40686</v>
      </c>
      <c r="L14724" t="s">
        <v>1225</v>
      </c>
      <c r="M14724" t="s">
        <v>42239</v>
      </c>
      <c r="N14724" t="s">
        <v>44905</v>
      </c>
      <c r="O14724" t="s">
        <v>44906</v>
      </c>
      <c r="Q14724">
        <v>3</v>
      </c>
      <c r="R14724" t="s">
        <v>44930</v>
      </c>
      <c r="S14724" t="s">
        <v>46018</v>
      </c>
      <c r="T14724" t="s">
        <v>46504</v>
      </c>
      <c r="U14724" t="s">
        <v>58649</v>
      </c>
      <c r="W14724" t="s">
        <v>42239</v>
      </c>
      <c r="X14724" t="s">
        <v>44931</v>
      </c>
    </row>
    <row r="14725" spans="1:24">
      <c r="A14725">
        <f>HYPERLINK("https://www.philgeps.gov.ph/GEPSNONPILOT/Tender/SplashBidNoticeAbstractUI.aspx?menuIndex=3&amp;refID=7038864&amp;Result=3","7038864")</f>
        <v>0</v>
      </c>
      <c r="B14725" t="s">
        <v>3378</v>
      </c>
      <c r="C14725" t="s">
        <v>17624</v>
      </c>
      <c r="D14725" t="s">
        <v>18175</v>
      </c>
      <c r="E14725" t="s">
        <v>30908</v>
      </c>
      <c r="F14725" t="s">
        <v>31362</v>
      </c>
      <c r="G14725" t="s">
        <v>31369</v>
      </c>
      <c r="H14725" t="s">
        <v>31378</v>
      </c>
      <c r="I14725" t="s">
        <v>31386</v>
      </c>
      <c r="J14725" t="s">
        <v>33482</v>
      </c>
      <c r="K14725" t="s">
        <v>40755</v>
      </c>
      <c r="M14725" t="s">
        <v>44685</v>
      </c>
      <c r="N14725" t="s">
        <v>44905</v>
      </c>
      <c r="O14725" t="s">
        <v>44906</v>
      </c>
      <c r="P14725">
        <v>0</v>
      </c>
      <c r="Q14725">
        <v>0</v>
      </c>
      <c r="R14725" t="s">
        <v>44929</v>
      </c>
      <c r="S14725" t="s">
        <v>46002</v>
      </c>
      <c r="T14725" t="s">
        <v>46425</v>
      </c>
      <c r="U14725" t="s">
        <v>58650</v>
      </c>
      <c r="W14725" t="s">
        <v>44685</v>
      </c>
      <c r="X14725" t="s">
        <v>44930</v>
      </c>
    </row>
    <row r="14726" spans="1:24">
      <c r="A14726">
        <f>HYPERLINK("https://www.philgeps.gov.ph/GEPSNONPILOT/Tender/SplashBidNoticeAbstractUI.aspx?menuIndex=3&amp;refID=7040148&amp;Result=3","7040148")</f>
        <v>0</v>
      </c>
      <c r="B14726" t="s">
        <v>234</v>
      </c>
      <c r="C14726" t="s">
        <v>17625</v>
      </c>
      <c r="D14726" t="s">
        <v>18108</v>
      </c>
      <c r="E14726" t="s">
        <v>30909</v>
      </c>
      <c r="F14726" t="s">
        <v>31362</v>
      </c>
      <c r="G14726" t="s">
        <v>31369</v>
      </c>
      <c r="H14726" t="s">
        <v>15799</v>
      </c>
      <c r="I14726" t="s">
        <v>31454</v>
      </c>
      <c r="J14726" t="s">
        <v>40397</v>
      </c>
      <c r="K14726" t="s">
        <v>40682</v>
      </c>
      <c r="M14726" t="s">
        <v>44051</v>
      </c>
      <c r="N14726" t="s">
        <v>44905</v>
      </c>
      <c r="O14726" t="s">
        <v>44906</v>
      </c>
      <c r="Q14726">
        <v>8</v>
      </c>
      <c r="R14726" t="s">
        <v>44929</v>
      </c>
      <c r="S14726" t="s">
        <v>46019</v>
      </c>
      <c r="T14726" t="s">
        <v>46400</v>
      </c>
      <c r="U14726" t="s">
        <v>58651</v>
      </c>
      <c r="W14726" t="s">
        <v>44051</v>
      </c>
      <c r="X14726" t="s">
        <v>44930</v>
      </c>
    </row>
    <row r="14727" spans="1:24">
      <c r="A14727">
        <f>HYPERLINK("https://www.philgeps.gov.ph/GEPSNONPILOT/Tender/SplashBidNoticeAbstractUI.aspx?menuIndex=3&amp;refID=7036604&amp;Result=3","7036604")</f>
        <v>0</v>
      </c>
      <c r="B14727" t="s">
        <v>321</v>
      </c>
      <c r="C14727" t="s">
        <v>17626</v>
      </c>
      <c r="D14727" t="s">
        <v>18114</v>
      </c>
      <c r="E14727" t="s">
        <v>30910</v>
      </c>
      <c r="F14727" t="s">
        <v>31362</v>
      </c>
      <c r="G14727" t="s">
        <v>31369</v>
      </c>
      <c r="H14727" t="s">
        <v>31379</v>
      </c>
      <c r="I14727" t="s">
        <v>31421</v>
      </c>
      <c r="J14727" t="s">
        <v>40398</v>
      </c>
      <c r="K14727" t="s">
        <v>40679</v>
      </c>
      <c r="M14727" t="s">
        <v>44841</v>
      </c>
      <c r="N14727" t="s">
        <v>44905</v>
      </c>
      <c r="O14727" t="s">
        <v>44906</v>
      </c>
      <c r="Q14727">
        <v>5</v>
      </c>
      <c r="R14727" t="s">
        <v>44930</v>
      </c>
      <c r="S14727" t="s">
        <v>46020</v>
      </c>
      <c r="T14727" t="s">
        <v>46393</v>
      </c>
      <c r="U14727" t="s">
        <v>47466</v>
      </c>
      <c r="V14727" t="s">
        <v>59161</v>
      </c>
      <c r="W14727" t="s">
        <v>44841</v>
      </c>
      <c r="X14727" t="s">
        <v>44931</v>
      </c>
    </row>
    <row r="14728" spans="1:24">
      <c r="A14728">
        <f>HYPERLINK("https://www.philgeps.gov.ph/GEPSNONPILOT/Tender/SplashBidNoticeAbstractUI.aspx?menuIndex=3&amp;refID=7036501&amp;Result=3","7036501")</f>
        <v>0</v>
      </c>
      <c r="B14728" t="s">
        <v>74</v>
      </c>
      <c r="C14728" t="s">
        <v>17627</v>
      </c>
      <c r="D14728" t="s">
        <v>18108</v>
      </c>
      <c r="E14728" t="s">
        <v>30911</v>
      </c>
      <c r="F14728" t="s">
        <v>31362</v>
      </c>
      <c r="G14728" t="s">
        <v>31371</v>
      </c>
      <c r="H14728" t="s">
        <v>15799</v>
      </c>
      <c r="I14728" t="s">
        <v>3815</v>
      </c>
      <c r="J14728" t="s">
        <v>40399</v>
      </c>
      <c r="K14728" t="s">
        <v>40666</v>
      </c>
      <c r="M14728" t="s">
        <v>41407</v>
      </c>
      <c r="N14728" t="s">
        <v>44905</v>
      </c>
      <c r="O14728" t="s">
        <v>44906</v>
      </c>
      <c r="Q14728">
        <v>5</v>
      </c>
      <c r="R14728" t="s">
        <v>44930</v>
      </c>
      <c r="S14728" t="s">
        <v>45066</v>
      </c>
      <c r="T14728" t="s">
        <v>46438</v>
      </c>
      <c r="U14728" t="s">
        <v>58652</v>
      </c>
      <c r="W14728" t="s">
        <v>41407</v>
      </c>
      <c r="X14728" t="s">
        <v>44931</v>
      </c>
    </row>
    <row r="14729" spans="1:24">
      <c r="A14729">
        <f>HYPERLINK("https://www.philgeps.gov.ph/GEPSNONPILOT/Tender/SplashBidNoticeAbstractUI.aspx?menuIndex=3&amp;refID=7039417&amp;Result=3","7039417")</f>
        <v>0</v>
      </c>
      <c r="B14729" t="s">
        <v>3493</v>
      </c>
      <c r="C14729" t="s">
        <v>17628</v>
      </c>
      <c r="D14729" t="s">
        <v>18109</v>
      </c>
      <c r="E14729" t="s">
        <v>30912</v>
      </c>
      <c r="F14729" t="s">
        <v>31362</v>
      </c>
      <c r="G14729" t="s">
        <v>31369</v>
      </c>
      <c r="H14729" t="s">
        <v>15799</v>
      </c>
      <c r="I14729" t="s">
        <v>31480</v>
      </c>
      <c r="J14729" t="s">
        <v>40400</v>
      </c>
      <c r="K14729" t="s">
        <v>40666</v>
      </c>
      <c r="M14729" t="s">
        <v>44840</v>
      </c>
      <c r="N14729" t="s">
        <v>44905</v>
      </c>
      <c r="O14729" t="s">
        <v>44906</v>
      </c>
      <c r="P14729">
        <v>0</v>
      </c>
      <c r="Q14729">
        <v>1</v>
      </c>
      <c r="R14729" t="s">
        <v>44929</v>
      </c>
      <c r="S14729" t="s">
        <v>46002</v>
      </c>
      <c r="T14729" t="s">
        <v>46425</v>
      </c>
      <c r="U14729" t="s">
        <v>58653</v>
      </c>
      <c r="W14729" t="s">
        <v>44840</v>
      </c>
      <c r="X14729" t="s">
        <v>44930</v>
      </c>
    </row>
    <row r="14730" spans="1:24">
      <c r="A14730">
        <f>HYPERLINK("https://www.philgeps.gov.ph/GEPSNONPILOT/Tender/SplashBidNoticeAbstractUI.aspx?menuIndex=3&amp;refID=7036728&amp;Result=3","7036728")</f>
        <v>0</v>
      </c>
      <c r="B14730" t="s">
        <v>321</v>
      </c>
      <c r="C14730" t="s">
        <v>17629</v>
      </c>
      <c r="D14730" t="s">
        <v>18114</v>
      </c>
      <c r="E14730" t="s">
        <v>30913</v>
      </c>
      <c r="F14730" t="s">
        <v>31362</v>
      </c>
      <c r="G14730" t="s">
        <v>31369</v>
      </c>
      <c r="H14730" t="s">
        <v>31379</v>
      </c>
      <c r="I14730" t="s">
        <v>31421</v>
      </c>
      <c r="J14730" t="s">
        <v>40401</v>
      </c>
      <c r="K14730" t="s">
        <v>40679</v>
      </c>
      <c r="M14730" t="s">
        <v>44841</v>
      </c>
      <c r="N14730" t="s">
        <v>44905</v>
      </c>
      <c r="O14730" t="s">
        <v>44906</v>
      </c>
      <c r="Q14730">
        <v>5</v>
      </c>
      <c r="R14730" t="s">
        <v>44930</v>
      </c>
      <c r="S14730" t="s">
        <v>46021</v>
      </c>
      <c r="T14730" t="s">
        <v>46393</v>
      </c>
      <c r="U14730" t="s">
        <v>47466</v>
      </c>
      <c r="V14730" t="s">
        <v>60753</v>
      </c>
      <c r="W14730" t="s">
        <v>44841</v>
      </c>
      <c r="X14730" t="s">
        <v>44931</v>
      </c>
    </row>
    <row r="14731" spans="1:24">
      <c r="A14731">
        <f>HYPERLINK("https://www.philgeps.gov.ph/GEPSNONPILOT/Tender/SplashBidNoticeAbstractUI.aspx?menuIndex=3&amp;refID=7036689&amp;Result=3","7036689")</f>
        <v>0</v>
      </c>
      <c r="B14731" t="s">
        <v>3487</v>
      </c>
      <c r="C14731" t="s">
        <v>17630</v>
      </c>
      <c r="D14731" t="s">
        <v>18127</v>
      </c>
      <c r="E14731" t="s">
        <v>18229</v>
      </c>
      <c r="F14731" t="s">
        <v>31362</v>
      </c>
      <c r="G14731" t="s">
        <v>31369</v>
      </c>
      <c r="H14731" t="s">
        <v>31378</v>
      </c>
      <c r="I14731" t="s">
        <v>31386</v>
      </c>
      <c r="J14731" t="s">
        <v>31709</v>
      </c>
      <c r="K14731" t="s">
        <v>40682</v>
      </c>
      <c r="M14731" t="s">
        <v>44828</v>
      </c>
      <c r="N14731" t="s">
        <v>44905</v>
      </c>
      <c r="O14731" t="s">
        <v>44906</v>
      </c>
      <c r="P14731">
        <v>0</v>
      </c>
      <c r="Q14731">
        <v>3</v>
      </c>
      <c r="R14731" t="s">
        <v>44930</v>
      </c>
      <c r="S14731" t="s">
        <v>46015</v>
      </c>
      <c r="T14731" t="s">
        <v>46458</v>
      </c>
      <c r="U14731" t="s">
        <v>58654</v>
      </c>
      <c r="W14731" t="s">
        <v>44828</v>
      </c>
      <c r="X14731" t="s">
        <v>44931</v>
      </c>
    </row>
    <row r="14732" spans="1:24">
      <c r="A14732">
        <f>HYPERLINK("https://www.philgeps.gov.ph/GEPSNONPILOT/Tender/SplashBidNoticeAbstractUI.aspx?menuIndex=3&amp;refID=7035349&amp;Result=3","7035349")</f>
        <v>0</v>
      </c>
      <c r="B14732" t="s">
        <v>1740</v>
      </c>
      <c r="C14732" t="s">
        <v>17631</v>
      </c>
      <c r="D14732" t="s">
        <v>18164</v>
      </c>
      <c r="E14732" t="s">
        <v>30914</v>
      </c>
      <c r="F14732" t="s">
        <v>31362</v>
      </c>
      <c r="G14732" t="s">
        <v>31369</v>
      </c>
      <c r="H14732" t="s">
        <v>31378</v>
      </c>
      <c r="I14732" t="s">
        <v>31386</v>
      </c>
      <c r="J14732" t="s">
        <v>40402</v>
      </c>
      <c r="K14732" t="s">
        <v>40780</v>
      </c>
      <c r="M14732" t="s">
        <v>42815</v>
      </c>
      <c r="N14732" t="s">
        <v>44905</v>
      </c>
      <c r="O14732" t="s">
        <v>44906</v>
      </c>
      <c r="P14732">
        <v>0</v>
      </c>
      <c r="Q14732">
        <v>1</v>
      </c>
      <c r="R14732" t="s">
        <v>44930</v>
      </c>
      <c r="S14732" t="s">
        <v>46015</v>
      </c>
      <c r="T14732" t="s">
        <v>46457</v>
      </c>
      <c r="U14732" t="s">
        <v>58655</v>
      </c>
      <c r="W14732" t="s">
        <v>42815</v>
      </c>
      <c r="X14732" t="s">
        <v>44931</v>
      </c>
    </row>
    <row r="14733" spans="1:24">
      <c r="A14733">
        <f>HYPERLINK("https://www.philgeps.gov.ph/GEPSNONPILOT/Tender/SplashBidNoticeAbstractUI.aspx?menuIndex=3&amp;refID=7012626-2&amp;Result=3","7012626-2")</f>
        <v>0</v>
      </c>
      <c r="B14733" t="s">
        <v>906</v>
      </c>
      <c r="C14733" t="s">
        <v>17632</v>
      </c>
      <c r="E14733" t="s">
        <v>30915</v>
      </c>
      <c r="F14733" t="s">
        <v>31362</v>
      </c>
      <c r="G14733" t="s">
        <v>31369</v>
      </c>
      <c r="H14733" t="s">
        <v>31377</v>
      </c>
      <c r="I14733" t="s">
        <v>31377</v>
      </c>
      <c r="J14733" t="s">
        <v>40403</v>
      </c>
      <c r="K14733" t="s">
        <v>40662</v>
      </c>
      <c r="M14733" t="s">
        <v>41888</v>
      </c>
      <c r="N14733" t="s">
        <v>44905</v>
      </c>
      <c r="O14733" t="s">
        <v>44906</v>
      </c>
      <c r="Q14733">
        <v>1</v>
      </c>
      <c r="R14733" t="s">
        <v>44930</v>
      </c>
      <c r="S14733" t="s">
        <v>45992</v>
      </c>
      <c r="T14733" t="s">
        <v>46435</v>
      </c>
      <c r="U14733" t="s">
        <v>58656</v>
      </c>
      <c r="V14733" t="s">
        <v>60754</v>
      </c>
      <c r="W14733" t="s">
        <v>41888</v>
      </c>
      <c r="X14733" t="s">
        <v>44931</v>
      </c>
    </row>
    <row r="14734" spans="1:24">
      <c r="A14734">
        <f>HYPERLINK("https://www.philgeps.gov.ph/GEPSNONPILOT/Tender/SplashBidNoticeAbstractUI.aspx?menuIndex=3&amp;refID=7033528&amp;Result=3","7033528")</f>
        <v>0</v>
      </c>
      <c r="B14734" t="s">
        <v>3494</v>
      </c>
      <c r="C14734" t="s">
        <v>17633</v>
      </c>
      <c r="D14734" t="s">
        <v>18117</v>
      </c>
      <c r="E14734" t="s">
        <v>30916</v>
      </c>
      <c r="F14734" t="s">
        <v>31362</v>
      </c>
      <c r="G14734" t="s">
        <v>31369</v>
      </c>
      <c r="H14734" t="s">
        <v>15799</v>
      </c>
      <c r="I14734" t="s">
        <v>3815</v>
      </c>
      <c r="J14734" t="s">
        <v>40404</v>
      </c>
      <c r="K14734" t="s">
        <v>40665</v>
      </c>
      <c r="M14734" t="s">
        <v>44842</v>
      </c>
      <c r="N14734" t="s">
        <v>44905</v>
      </c>
      <c r="O14734" t="s">
        <v>44906</v>
      </c>
      <c r="P14734">
        <v>0</v>
      </c>
      <c r="Q14734">
        <v>0</v>
      </c>
      <c r="R14734" t="s">
        <v>44931</v>
      </c>
      <c r="S14734" t="s">
        <v>46022</v>
      </c>
      <c r="T14734" t="s">
        <v>46417</v>
      </c>
      <c r="U14734" t="s">
        <v>58657</v>
      </c>
      <c r="V14734" t="s">
        <v>60755</v>
      </c>
      <c r="W14734" t="s">
        <v>44842</v>
      </c>
      <c r="X14734" t="s">
        <v>44932</v>
      </c>
    </row>
    <row r="14735" spans="1:24">
      <c r="A14735">
        <f>HYPERLINK("https://www.philgeps.gov.ph/GEPSNONPILOT/Tender/SplashBidNoticeAbstractUI.aspx?menuIndex=3&amp;refID=7033474&amp;Result=3","7033474")</f>
        <v>0</v>
      </c>
      <c r="B14735" t="s">
        <v>3495</v>
      </c>
      <c r="C14735" t="s">
        <v>17634</v>
      </c>
      <c r="D14735" t="s">
        <v>18164</v>
      </c>
      <c r="E14735" t="s">
        <v>30917</v>
      </c>
      <c r="F14735" t="s">
        <v>31362</v>
      </c>
      <c r="G14735" t="s">
        <v>31369</v>
      </c>
      <c r="H14735" t="s">
        <v>15799</v>
      </c>
      <c r="I14735" t="s">
        <v>3815</v>
      </c>
      <c r="J14735" t="s">
        <v>40405</v>
      </c>
      <c r="K14735" t="s">
        <v>40670</v>
      </c>
      <c r="M14735" t="s">
        <v>44843</v>
      </c>
      <c r="N14735" t="s">
        <v>44905</v>
      </c>
      <c r="O14735" t="s">
        <v>44906</v>
      </c>
      <c r="P14735">
        <v>0</v>
      </c>
      <c r="Q14735">
        <v>1</v>
      </c>
      <c r="R14735" t="s">
        <v>44931</v>
      </c>
      <c r="S14735" t="s">
        <v>46022</v>
      </c>
      <c r="T14735" t="s">
        <v>46479</v>
      </c>
      <c r="U14735" t="s">
        <v>58658</v>
      </c>
      <c r="V14735" t="s">
        <v>60600</v>
      </c>
      <c r="W14735" t="s">
        <v>44843</v>
      </c>
      <c r="X14735" t="s">
        <v>44932</v>
      </c>
    </row>
    <row r="14736" spans="1:24">
      <c r="A14736">
        <f>HYPERLINK("https://www.philgeps.gov.ph/GEPSNONPILOT/Tender/SplashBidNoticeAbstractUI.aspx?menuIndex=3&amp;refID=7032139&amp;Result=3","7032139")</f>
        <v>0</v>
      </c>
      <c r="B14736" t="s">
        <v>2423</v>
      </c>
      <c r="C14736" t="s">
        <v>17635</v>
      </c>
      <c r="D14736" t="s">
        <v>18153</v>
      </c>
      <c r="E14736" t="s">
        <v>30918</v>
      </c>
      <c r="F14736" t="s">
        <v>31362</v>
      </c>
      <c r="G14736" t="s">
        <v>31369</v>
      </c>
      <c r="H14736" t="s">
        <v>15799</v>
      </c>
      <c r="I14736" t="s">
        <v>31488</v>
      </c>
      <c r="J14736" t="s">
        <v>31534</v>
      </c>
      <c r="K14736" t="s">
        <v>40682</v>
      </c>
      <c r="M14736" t="s">
        <v>43580</v>
      </c>
      <c r="N14736" t="s">
        <v>44905</v>
      </c>
      <c r="O14736" t="s">
        <v>44906</v>
      </c>
      <c r="Q14736">
        <v>26</v>
      </c>
      <c r="R14736" t="s">
        <v>44931</v>
      </c>
      <c r="S14736" t="s">
        <v>46023</v>
      </c>
      <c r="T14736" t="s">
        <v>46393</v>
      </c>
      <c r="U14736" t="s">
        <v>58659</v>
      </c>
      <c r="W14736" t="s">
        <v>43580</v>
      </c>
      <c r="X14736" t="s">
        <v>44934</v>
      </c>
    </row>
    <row r="14737" spans="1:24">
      <c r="A14737">
        <f>HYPERLINK("https://www.philgeps.gov.ph/GEPSNONPILOT/Tender/SplashBidNoticeAbstractUI.aspx?menuIndex=3&amp;refID=7031537&amp;Result=3","7031537")</f>
        <v>0</v>
      </c>
      <c r="B14737" t="s">
        <v>3496</v>
      </c>
      <c r="C14737" t="s">
        <v>17636</v>
      </c>
      <c r="D14737" t="s">
        <v>18104</v>
      </c>
      <c r="E14737" t="s">
        <v>30919</v>
      </c>
      <c r="F14737" t="s">
        <v>31362</v>
      </c>
      <c r="G14737" t="s">
        <v>31369</v>
      </c>
      <c r="H14737" t="s">
        <v>15799</v>
      </c>
      <c r="I14737" t="s">
        <v>4057</v>
      </c>
      <c r="J14737" t="s">
        <v>40406</v>
      </c>
      <c r="K14737" t="s">
        <v>40662</v>
      </c>
      <c r="M14737" t="s">
        <v>44844</v>
      </c>
      <c r="N14737" t="s">
        <v>44905</v>
      </c>
      <c r="O14737" t="s">
        <v>44906</v>
      </c>
      <c r="P14737">
        <v>0</v>
      </c>
      <c r="Q14737">
        <v>4</v>
      </c>
      <c r="R14737" t="s">
        <v>44931</v>
      </c>
      <c r="S14737" t="s">
        <v>46022</v>
      </c>
      <c r="T14737" t="s">
        <v>46409</v>
      </c>
      <c r="U14737" t="s">
        <v>58660</v>
      </c>
      <c r="W14737" t="s">
        <v>44844</v>
      </c>
      <c r="X14737" t="s">
        <v>44935</v>
      </c>
    </row>
    <row r="14738" spans="1:24">
      <c r="A14738">
        <f>HYPERLINK("https://www.philgeps.gov.ph/GEPSNONPILOT/Tender/SplashBidNoticeAbstractUI.aspx?menuIndex=3&amp;refID=7035382&amp;Result=3","7035382")</f>
        <v>0</v>
      </c>
      <c r="B14738" t="s">
        <v>1242</v>
      </c>
      <c r="C14738" t="s">
        <v>17637</v>
      </c>
      <c r="D14738" t="s">
        <v>18159</v>
      </c>
      <c r="E14738" t="s">
        <v>30920</v>
      </c>
      <c r="F14738" t="s">
        <v>31362</v>
      </c>
      <c r="G14738" t="s">
        <v>31369</v>
      </c>
      <c r="H14738" t="s">
        <v>15799</v>
      </c>
      <c r="I14738" t="s">
        <v>7719</v>
      </c>
      <c r="J14738" t="s">
        <v>40407</v>
      </c>
      <c r="K14738" t="s">
        <v>40682</v>
      </c>
      <c r="M14738" t="s">
        <v>42464</v>
      </c>
      <c r="N14738" t="s">
        <v>44905</v>
      </c>
      <c r="O14738" t="s">
        <v>44906</v>
      </c>
      <c r="Q14738">
        <v>24</v>
      </c>
      <c r="R14738" t="s">
        <v>44930</v>
      </c>
      <c r="S14738" t="s">
        <v>46024</v>
      </c>
      <c r="T14738" t="s">
        <v>46432</v>
      </c>
      <c r="U14738" t="s">
        <v>58661</v>
      </c>
      <c r="V14738" t="s">
        <v>60756</v>
      </c>
      <c r="W14738" t="s">
        <v>42464</v>
      </c>
      <c r="X14738" t="s">
        <v>44931</v>
      </c>
    </row>
    <row r="14739" spans="1:24">
      <c r="A14739">
        <f>HYPERLINK("https://www.philgeps.gov.ph/GEPSNONPILOT/Tender/SplashBidNoticeAbstractUI.aspx?menuIndex=3&amp;refID=7030122&amp;Result=3","7030122")</f>
        <v>0</v>
      </c>
      <c r="B14739" t="s">
        <v>962</v>
      </c>
      <c r="C14739" t="s">
        <v>17638</v>
      </c>
      <c r="D14739" t="s">
        <v>18152</v>
      </c>
      <c r="E14739" t="s">
        <v>30921</v>
      </c>
      <c r="F14739" t="s">
        <v>31362</v>
      </c>
      <c r="G14739" t="s">
        <v>31369</v>
      </c>
      <c r="H14739" t="s">
        <v>31378</v>
      </c>
      <c r="I14739" t="s">
        <v>31386</v>
      </c>
      <c r="J14739" t="s">
        <v>40408</v>
      </c>
      <c r="K14739" t="s">
        <v>40681</v>
      </c>
      <c r="M14739" t="s">
        <v>41950</v>
      </c>
      <c r="N14739" t="s">
        <v>44905</v>
      </c>
      <c r="O14739" t="s">
        <v>44906</v>
      </c>
      <c r="P14739">
        <v>0</v>
      </c>
      <c r="Q14739">
        <v>2</v>
      </c>
      <c r="R14739" t="s">
        <v>44931</v>
      </c>
      <c r="S14739" t="s">
        <v>46022</v>
      </c>
      <c r="T14739" t="s">
        <v>46410</v>
      </c>
      <c r="U14739" t="s">
        <v>58662</v>
      </c>
      <c r="W14739" t="s">
        <v>41950</v>
      </c>
      <c r="X14739" t="s">
        <v>44935</v>
      </c>
    </row>
    <row r="14740" spans="1:24">
      <c r="A14740">
        <f>HYPERLINK("https://www.philgeps.gov.ph/GEPSNONPILOT/Tender/SplashBidNoticeAbstractUI.aspx?menuIndex=3&amp;refID=7035518&amp;Result=3","7035518")</f>
        <v>0</v>
      </c>
      <c r="B14740" t="s">
        <v>3139</v>
      </c>
      <c r="C14740" t="s">
        <v>17639</v>
      </c>
      <c r="D14740" t="s">
        <v>18138</v>
      </c>
      <c r="E14740" t="s">
        <v>30922</v>
      </c>
      <c r="F14740" t="s">
        <v>31362</v>
      </c>
      <c r="G14740" t="s">
        <v>31369</v>
      </c>
      <c r="H14740" t="s">
        <v>15799</v>
      </c>
      <c r="I14740" t="s">
        <v>3815</v>
      </c>
      <c r="J14740" t="s">
        <v>40409</v>
      </c>
      <c r="K14740" t="s">
        <v>40661</v>
      </c>
      <c r="M14740" t="s">
        <v>44399</v>
      </c>
      <c r="N14740" t="s">
        <v>44905</v>
      </c>
      <c r="O14740" t="s">
        <v>44906</v>
      </c>
      <c r="P14740">
        <v>0</v>
      </c>
      <c r="Q14740">
        <v>0</v>
      </c>
      <c r="R14740" t="s">
        <v>44930</v>
      </c>
      <c r="S14740" t="s">
        <v>46015</v>
      </c>
      <c r="T14740" t="s">
        <v>46507</v>
      </c>
      <c r="U14740" t="s">
        <v>58663</v>
      </c>
      <c r="W14740" t="s">
        <v>44399</v>
      </c>
      <c r="X14740" t="s">
        <v>44931</v>
      </c>
    </row>
    <row r="14741" spans="1:24">
      <c r="A14741">
        <f>HYPERLINK("https://www.philgeps.gov.ph/GEPSNONPILOT/Tender/SplashBidNoticeAbstractUI.aspx?menuIndex=3&amp;refID=7029976&amp;Result=3","7029976")</f>
        <v>0</v>
      </c>
      <c r="B14741" t="s">
        <v>2423</v>
      </c>
      <c r="C14741" t="s">
        <v>17640</v>
      </c>
      <c r="D14741" t="s">
        <v>18153</v>
      </c>
      <c r="E14741" t="s">
        <v>30923</v>
      </c>
      <c r="F14741" t="s">
        <v>31362</v>
      </c>
      <c r="G14741" t="s">
        <v>31369</v>
      </c>
      <c r="H14741" t="s">
        <v>15799</v>
      </c>
      <c r="I14741" t="s">
        <v>31382</v>
      </c>
      <c r="J14741" t="s">
        <v>31606</v>
      </c>
      <c r="K14741" t="s">
        <v>40682</v>
      </c>
      <c r="M14741" t="s">
        <v>43580</v>
      </c>
      <c r="N14741" t="s">
        <v>44905</v>
      </c>
      <c r="O14741" t="s">
        <v>44906</v>
      </c>
      <c r="Q14741">
        <v>14</v>
      </c>
      <c r="R14741" t="s">
        <v>44931</v>
      </c>
      <c r="S14741" t="s">
        <v>46025</v>
      </c>
      <c r="T14741" t="s">
        <v>46447</v>
      </c>
      <c r="U14741" t="s">
        <v>58664</v>
      </c>
      <c r="W14741" t="s">
        <v>43580</v>
      </c>
      <c r="X14741" t="s">
        <v>44935</v>
      </c>
    </row>
    <row r="14742" spans="1:24">
      <c r="A14742">
        <f>HYPERLINK("https://www.philgeps.gov.ph/GEPSNONPILOT/Tender/SplashBidNoticeAbstractUI.aspx?menuIndex=3&amp;refID=7036070&amp;Result=3","7036070")</f>
        <v>0</v>
      </c>
      <c r="B14742" t="s">
        <v>167</v>
      </c>
      <c r="C14742" t="s">
        <v>17641</v>
      </c>
      <c r="D14742" t="s">
        <v>18152</v>
      </c>
      <c r="E14742" t="s">
        <v>30924</v>
      </c>
      <c r="F14742" t="s">
        <v>31362</v>
      </c>
      <c r="G14742" t="s">
        <v>31369</v>
      </c>
      <c r="H14742" t="s">
        <v>31378</v>
      </c>
      <c r="I14742" t="s">
        <v>31386</v>
      </c>
      <c r="J14742" t="s">
        <v>40410</v>
      </c>
      <c r="K14742" t="s">
        <v>40759</v>
      </c>
      <c r="M14742" t="s">
        <v>41105</v>
      </c>
      <c r="N14742" t="s">
        <v>44905</v>
      </c>
      <c r="O14742" t="s">
        <v>44906</v>
      </c>
      <c r="P14742">
        <v>0</v>
      </c>
      <c r="Q14742">
        <v>3</v>
      </c>
      <c r="R14742" t="s">
        <v>44930</v>
      </c>
      <c r="S14742" t="s">
        <v>46015</v>
      </c>
      <c r="T14742" t="s">
        <v>46393</v>
      </c>
      <c r="U14742" t="s">
        <v>58665</v>
      </c>
      <c r="W14742" t="s">
        <v>41105</v>
      </c>
      <c r="X14742" t="s">
        <v>44931</v>
      </c>
    </row>
    <row r="14743" spans="1:24">
      <c r="A14743">
        <f>HYPERLINK("https://www.philgeps.gov.ph/GEPSNONPILOT/Tender/SplashBidNoticeAbstractUI.aspx?menuIndex=3&amp;refID=7024826&amp;Result=3","7024826")</f>
        <v>0</v>
      </c>
      <c r="B14743" t="s">
        <v>962</v>
      </c>
      <c r="C14743" t="s">
        <v>17642</v>
      </c>
      <c r="D14743" t="s">
        <v>18152</v>
      </c>
      <c r="E14743" t="s">
        <v>30925</v>
      </c>
      <c r="F14743" t="s">
        <v>31362</v>
      </c>
      <c r="G14743" t="s">
        <v>31369</v>
      </c>
      <c r="H14743" t="s">
        <v>15799</v>
      </c>
      <c r="I14743" t="s">
        <v>31404</v>
      </c>
      <c r="J14743" t="s">
        <v>40411</v>
      </c>
      <c r="K14743" t="s">
        <v>40665</v>
      </c>
      <c r="M14743" t="s">
        <v>41950</v>
      </c>
      <c r="N14743" t="s">
        <v>44905</v>
      </c>
      <c r="O14743" t="s">
        <v>44906</v>
      </c>
      <c r="P14743">
        <v>0</v>
      </c>
      <c r="Q14743">
        <v>0</v>
      </c>
      <c r="R14743" t="s">
        <v>44931</v>
      </c>
      <c r="S14743" t="s">
        <v>46022</v>
      </c>
      <c r="T14743" t="s">
        <v>46410</v>
      </c>
      <c r="U14743" t="s">
        <v>58666</v>
      </c>
      <c r="W14743" t="s">
        <v>41950</v>
      </c>
      <c r="X14743" t="s">
        <v>44937</v>
      </c>
    </row>
    <row r="14744" spans="1:24">
      <c r="A14744">
        <f>HYPERLINK("https://www.philgeps.gov.ph/GEPSNONPILOT/Tender/SplashBidNoticeAbstractUI.aspx?menuIndex=3&amp;refID=7040479&amp;Result=3","7040479")</f>
        <v>0</v>
      </c>
      <c r="B14744" t="s">
        <v>155</v>
      </c>
      <c r="C14744" t="s">
        <v>17615</v>
      </c>
      <c r="E14744" t="s">
        <v>30926</v>
      </c>
      <c r="F14744" t="s">
        <v>31362</v>
      </c>
      <c r="G14744" t="s">
        <v>31369</v>
      </c>
      <c r="H14744" t="s">
        <v>15799</v>
      </c>
      <c r="I14744" t="s">
        <v>7719</v>
      </c>
      <c r="J14744" t="s">
        <v>38654</v>
      </c>
      <c r="K14744" t="s">
        <v>40682</v>
      </c>
      <c r="M14744" t="s">
        <v>44480</v>
      </c>
      <c r="N14744" t="s">
        <v>44905</v>
      </c>
      <c r="O14744" t="s">
        <v>44906</v>
      </c>
      <c r="P14744">
        <v>0</v>
      </c>
      <c r="Q14744">
        <v>46</v>
      </c>
      <c r="R14744" t="s">
        <v>44929</v>
      </c>
      <c r="S14744" t="s">
        <v>46002</v>
      </c>
      <c r="T14744" t="s">
        <v>46511</v>
      </c>
      <c r="U14744" t="s">
        <v>58301</v>
      </c>
      <c r="W14744" t="s">
        <v>44480</v>
      </c>
      <c r="X14744" t="s">
        <v>44930</v>
      </c>
    </row>
    <row r="14745" spans="1:24">
      <c r="A14745">
        <f>HYPERLINK("https://www.philgeps.gov.ph/GEPSNONPILOT/Tender/SplashBidNoticeAbstractUI.aspx?menuIndex=3&amp;refID=7037989&amp;Result=3","7037989")</f>
        <v>0</v>
      </c>
      <c r="B14745" t="s">
        <v>1370</v>
      </c>
      <c r="C14745" t="s">
        <v>17643</v>
      </c>
      <c r="D14745" t="s">
        <v>18108</v>
      </c>
      <c r="E14745" t="s">
        <v>30927</v>
      </c>
      <c r="F14745" t="s">
        <v>31362</v>
      </c>
      <c r="G14745" t="s">
        <v>31369</v>
      </c>
      <c r="H14745" t="s">
        <v>15799</v>
      </c>
      <c r="I14745" t="s">
        <v>31377</v>
      </c>
      <c r="J14745" t="s">
        <v>31709</v>
      </c>
      <c r="K14745" t="s">
        <v>40800</v>
      </c>
      <c r="M14745" t="s">
        <v>42393</v>
      </c>
      <c r="N14745" t="s">
        <v>44905</v>
      </c>
      <c r="O14745" t="s">
        <v>44906</v>
      </c>
      <c r="Q14745">
        <v>12</v>
      </c>
      <c r="R14745" t="s">
        <v>44930</v>
      </c>
      <c r="S14745" t="s">
        <v>46026</v>
      </c>
      <c r="T14745" t="s">
        <v>46409</v>
      </c>
      <c r="U14745" t="s">
        <v>58667</v>
      </c>
      <c r="V14745" t="s">
        <v>59432</v>
      </c>
      <c r="W14745" t="s">
        <v>42393</v>
      </c>
      <c r="X14745" t="s">
        <v>44931</v>
      </c>
    </row>
    <row r="14746" spans="1:24">
      <c r="A14746">
        <f>HYPERLINK("https://www.philgeps.gov.ph/GEPSNONPILOT/Tender/SplashBidNoticeAbstractUI.aspx?menuIndex=3&amp;refID=7037808&amp;Result=3","7037808")</f>
        <v>0</v>
      </c>
      <c r="B14746" t="s">
        <v>2668</v>
      </c>
      <c r="C14746" t="s">
        <v>17644</v>
      </c>
      <c r="D14746" t="s">
        <v>18177</v>
      </c>
      <c r="E14746" t="s">
        <v>30928</v>
      </c>
      <c r="F14746" t="s">
        <v>31362</v>
      </c>
      <c r="G14746" t="s">
        <v>31369</v>
      </c>
      <c r="H14746" t="s">
        <v>31378</v>
      </c>
      <c r="I14746" t="s">
        <v>31386</v>
      </c>
      <c r="J14746" t="s">
        <v>34023</v>
      </c>
      <c r="K14746" t="s">
        <v>40780</v>
      </c>
      <c r="M14746" t="s">
        <v>43852</v>
      </c>
      <c r="N14746" t="s">
        <v>44905</v>
      </c>
      <c r="O14746" t="s">
        <v>44906</v>
      </c>
      <c r="Q14746">
        <v>0</v>
      </c>
      <c r="R14746" t="s">
        <v>44930</v>
      </c>
      <c r="S14746" t="s">
        <v>46027</v>
      </c>
      <c r="T14746" t="s">
        <v>46533</v>
      </c>
      <c r="U14746" t="s">
        <v>58668</v>
      </c>
      <c r="W14746" t="s">
        <v>43852</v>
      </c>
      <c r="X14746" t="s">
        <v>44931</v>
      </c>
    </row>
    <row r="14747" spans="1:24">
      <c r="A14747">
        <f>HYPERLINK("https://www.philgeps.gov.ph/GEPSNONPILOT/Tender/SplashBidNoticeAbstractUI.aspx?menuIndex=3&amp;refID=7037792&amp;Result=3","7037792")</f>
        <v>0</v>
      </c>
      <c r="B14747" t="s">
        <v>2668</v>
      </c>
      <c r="C14747" t="s">
        <v>17645</v>
      </c>
      <c r="D14747" t="s">
        <v>18177</v>
      </c>
      <c r="E14747" t="s">
        <v>30929</v>
      </c>
      <c r="F14747" t="s">
        <v>31362</v>
      </c>
      <c r="G14747" t="s">
        <v>31369</v>
      </c>
      <c r="H14747" t="s">
        <v>31378</v>
      </c>
      <c r="I14747" t="s">
        <v>31386</v>
      </c>
      <c r="J14747" t="s">
        <v>34023</v>
      </c>
      <c r="K14747" t="s">
        <v>40780</v>
      </c>
      <c r="M14747" t="s">
        <v>43852</v>
      </c>
      <c r="N14747" t="s">
        <v>44905</v>
      </c>
      <c r="O14747" t="s">
        <v>44906</v>
      </c>
      <c r="Q14747">
        <v>0</v>
      </c>
      <c r="R14747" t="s">
        <v>44930</v>
      </c>
      <c r="S14747" t="s">
        <v>46028</v>
      </c>
      <c r="T14747" t="s">
        <v>46533</v>
      </c>
      <c r="U14747" t="s">
        <v>58668</v>
      </c>
      <c r="W14747" t="s">
        <v>43852</v>
      </c>
      <c r="X14747" t="s">
        <v>44931</v>
      </c>
    </row>
    <row r="14748" spans="1:24">
      <c r="A14748">
        <f>HYPERLINK("https://www.philgeps.gov.ph/GEPSNONPILOT/Tender/SplashBidNoticeAbstractUI.aspx?menuIndex=3&amp;refID=7037760&amp;Result=3","7037760")</f>
        <v>0</v>
      </c>
      <c r="B14748" t="s">
        <v>709</v>
      </c>
      <c r="C14748" t="s">
        <v>17646</v>
      </c>
      <c r="E14748" t="s">
        <v>30930</v>
      </c>
      <c r="F14748" t="s">
        <v>31362</v>
      </c>
      <c r="G14748" t="s">
        <v>31369</v>
      </c>
      <c r="H14748" t="s">
        <v>15799</v>
      </c>
      <c r="I14748" t="s">
        <v>31400</v>
      </c>
      <c r="J14748" t="s">
        <v>40412</v>
      </c>
      <c r="K14748" t="s">
        <v>40662</v>
      </c>
      <c r="M14748" t="s">
        <v>44845</v>
      </c>
      <c r="N14748" t="s">
        <v>44905</v>
      </c>
      <c r="O14748" t="s">
        <v>44906</v>
      </c>
      <c r="Q14748">
        <v>11</v>
      </c>
      <c r="R14748" t="s">
        <v>44930</v>
      </c>
      <c r="S14748" t="s">
        <v>46029</v>
      </c>
      <c r="T14748" t="s">
        <v>46892</v>
      </c>
      <c r="U14748" t="s">
        <v>58669</v>
      </c>
      <c r="W14748" t="s">
        <v>44845</v>
      </c>
      <c r="X14748" t="s">
        <v>44931</v>
      </c>
    </row>
    <row r="14749" spans="1:24">
      <c r="A14749">
        <f>HYPERLINK("https://www.philgeps.gov.ph/GEPSNONPILOT/Tender/SplashBidNoticeAbstractUI.aspx?menuIndex=3&amp;refID=7037639&amp;Result=3","7037639")</f>
        <v>0</v>
      </c>
      <c r="B14749" t="s">
        <v>122</v>
      </c>
      <c r="C14749" t="s">
        <v>17647</v>
      </c>
      <c r="D14749" t="s">
        <v>18108</v>
      </c>
      <c r="E14749" t="s">
        <v>30931</v>
      </c>
      <c r="F14749" t="s">
        <v>31362</v>
      </c>
      <c r="G14749" t="s">
        <v>31371</v>
      </c>
      <c r="H14749" t="s">
        <v>15799</v>
      </c>
      <c r="I14749" t="s">
        <v>31385</v>
      </c>
      <c r="J14749" t="s">
        <v>31576</v>
      </c>
      <c r="K14749" t="s">
        <v>40666</v>
      </c>
      <c r="M14749" t="s">
        <v>43854</v>
      </c>
      <c r="N14749" t="s">
        <v>44905</v>
      </c>
      <c r="O14749" t="s">
        <v>44906</v>
      </c>
      <c r="Q14749">
        <v>9</v>
      </c>
      <c r="R14749" t="s">
        <v>44930</v>
      </c>
      <c r="S14749" t="s">
        <v>46030</v>
      </c>
      <c r="T14749" t="s">
        <v>46411</v>
      </c>
      <c r="U14749" t="s">
        <v>54306</v>
      </c>
      <c r="V14749" t="s">
        <v>60715</v>
      </c>
      <c r="W14749" t="s">
        <v>43854</v>
      </c>
      <c r="X14749" t="s">
        <v>44931</v>
      </c>
    </row>
    <row r="14750" spans="1:24">
      <c r="A14750">
        <f>HYPERLINK("https://www.philgeps.gov.ph/GEPSNONPILOT/Tender/SplashBidNoticeAbstractUI.aspx?menuIndex=3&amp;refID=7037637&amp;Result=3","7037637")</f>
        <v>0</v>
      </c>
      <c r="B14750" t="s">
        <v>262</v>
      </c>
      <c r="C14750" t="s">
        <v>17648</v>
      </c>
      <c r="D14750" t="s">
        <v>18127</v>
      </c>
      <c r="E14750" t="s">
        <v>30932</v>
      </c>
      <c r="F14750" t="s">
        <v>31362</v>
      </c>
      <c r="G14750" t="s">
        <v>31369</v>
      </c>
      <c r="H14750" t="s">
        <v>15799</v>
      </c>
      <c r="I14750" t="s">
        <v>31409</v>
      </c>
      <c r="J14750" t="s">
        <v>40413</v>
      </c>
      <c r="K14750" t="s">
        <v>40686</v>
      </c>
      <c r="M14750" t="s">
        <v>42051</v>
      </c>
      <c r="N14750" t="s">
        <v>44905</v>
      </c>
      <c r="O14750" t="s">
        <v>44906</v>
      </c>
      <c r="Q14750">
        <v>19</v>
      </c>
      <c r="R14750" t="s">
        <v>44930</v>
      </c>
      <c r="S14750" t="s">
        <v>45831</v>
      </c>
      <c r="T14750" t="s">
        <v>46393</v>
      </c>
      <c r="U14750" t="s">
        <v>58670</v>
      </c>
      <c r="W14750" t="s">
        <v>42051</v>
      </c>
      <c r="X14750" t="s">
        <v>44931</v>
      </c>
    </row>
    <row r="14751" spans="1:24">
      <c r="A14751">
        <f>HYPERLINK("https://www.philgeps.gov.ph/GEPSNONPILOT/Tender/SplashBidNoticeAbstractUI.aspx?menuIndex=3&amp;refID=7037799&amp;Result=3","7037799")</f>
        <v>0</v>
      </c>
      <c r="B14751" t="s">
        <v>3497</v>
      </c>
      <c r="C14751" t="s">
        <v>17649</v>
      </c>
      <c r="D14751" t="s">
        <v>18109</v>
      </c>
      <c r="E14751" t="s">
        <v>19229</v>
      </c>
      <c r="F14751" t="s">
        <v>31362</v>
      </c>
      <c r="G14751" t="s">
        <v>31372</v>
      </c>
      <c r="H14751" t="s">
        <v>15799</v>
      </c>
      <c r="I14751" t="s">
        <v>7719</v>
      </c>
      <c r="J14751" t="s">
        <v>40414</v>
      </c>
      <c r="K14751" t="s">
        <v>40686</v>
      </c>
      <c r="M14751" t="s">
        <v>44846</v>
      </c>
      <c r="N14751" t="s">
        <v>44905</v>
      </c>
      <c r="O14751" t="s">
        <v>44906</v>
      </c>
      <c r="Q14751">
        <v>39</v>
      </c>
      <c r="R14751" t="s">
        <v>44930</v>
      </c>
      <c r="S14751" t="s">
        <v>46031</v>
      </c>
      <c r="T14751" t="s">
        <v>46470</v>
      </c>
      <c r="U14751" t="s">
        <v>58671</v>
      </c>
      <c r="W14751" t="s">
        <v>60976</v>
      </c>
      <c r="X14751" t="s">
        <v>44931</v>
      </c>
    </row>
    <row r="14752" spans="1:24">
      <c r="A14752">
        <f>HYPERLINK("https://www.philgeps.gov.ph/GEPSNONPILOT/Tender/SplashBidNoticeAbstractUI.aspx?menuIndex=3&amp;refID=7037628&amp;Result=3","7037628")</f>
        <v>0</v>
      </c>
      <c r="B14752" t="s">
        <v>3089</v>
      </c>
      <c r="C14752" t="s">
        <v>17650</v>
      </c>
      <c r="D14752" t="s">
        <v>18134</v>
      </c>
      <c r="E14752" t="s">
        <v>30933</v>
      </c>
      <c r="F14752" t="s">
        <v>31362</v>
      </c>
      <c r="G14752" t="s">
        <v>31369</v>
      </c>
      <c r="H14752" t="s">
        <v>31378</v>
      </c>
      <c r="I14752" t="s">
        <v>31386</v>
      </c>
      <c r="J14752" t="s">
        <v>33393</v>
      </c>
      <c r="K14752" t="s">
        <v>40678</v>
      </c>
      <c r="M14752" t="s">
        <v>44329</v>
      </c>
      <c r="N14752" t="s">
        <v>44905</v>
      </c>
      <c r="O14752" t="s">
        <v>44906</v>
      </c>
      <c r="Q14752">
        <v>13</v>
      </c>
      <c r="R14752" t="s">
        <v>44930</v>
      </c>
      <c r="S14752" t="s">
        <v>45366</v>
      </c>
      <c r="T14752" t="s">
        <v>46540</v>
      </c>
      <c r="U14752" t="s">
        <v>58672</v>
      </c>
      <c r="V14752" t="s">
        <v>60291</v>
      </c>
      <c r="W14752" t="s">
        <v>44329</v>
      </c>
      <c r="X14752" t="s">
        <v>44931</v>
      </c>
    </row>
    <row r="14753" spans="1:24">
      <c r="A14753">
        <f>HYPERLINK("https://www.philgeps.gov.ph/GEPSNONPILOT/Tender/SplashBidNoticeAbstractUI.aspx?menuIndex=3&amp;refID=7031485&amp;Result=3","7031485")</f>
        <v>0</v>
      </c>
      <c r="B14753" t="s">
        <v>658</v>
      </c>
      <c r="C14753" t="s">
        <v>17651</v>
      </c>
      <c r="D14753" t="s">
        <v>18108</v>
      </c>
      <c r="E14753" t="s">
        <v>30934</v>
      </c>
      <c r="F14753" t="s">
        <v>31362</v>
      </c>
      <c r="G14753" t="s">
        <v>31369</v>
      </c>
      <c r="H14753" t="s">
        <v>15799</v>
      </c>
      <c r="I14753" t="s">
        <v>7090</v>
      </c>
      <c r="J14753" t="s">
        <v>40415</v>
      </c>
      <c r="K14753" t="s">
        <v>40662</v>
      </c>
      <c r="M14753" t="s">
        <v>41978</v>
      </c>
      <c r="N14753" t="s">
        <v>44905</v>
      </c>
      <c r="O14753" t="s">
        <v>44906</v>
      </c>
      <c r="P14753">
        <v>0</v>
      </c>
      <c r="Q14753">
        <v>7</v>
      </c>
      <c r="R14753" t="s">
        <v>44931</v>
      </c>
      <c r="S14753" t="s">
        <v>46022</v>
      </c>
      <c r="T14753" t="s">
        <v>46893</v>
      </c>
      <c r="U14753" t="s">
        <v>58673</v>
      </c>
      <c r="W14753" t="s">
        <v>41978</v>
      </c>
      <c r="X14753" t="s">
        <v>44935</v>
      </c>
    </row>
    <row r="14754" spans="1:24">
      <c r="A14754">
        <f>HYPERLINK("https://www.philgeps.gov.ph/GEPSNONPILOT/Tender/SplashBidNoticeAbstractUI.aspx?menuIndex=3&amp;refID=7037677&amp;Result=3","7037677")</f>
        <v>0</v>
      </c>
      <c r="B14754" t="s">
        <v>122</v>
      </c>
      <c r="C14754" t="s">
        <v>17652</v>
      </c>
      <c r="D14754" t="s">
        <v>18108</v>
      </c>
      <c r="E14754" t="s">
        <v>30935</v>
      </c>
      <c r="F14754" t="s">
        <v>31362</v>
      </c>
      <c r="G14754" t="s">
        <v>31371</v>
      </c>
      <c r="H14754" t="s">
        <v>15799</v>
      </c>
      <c r="I14754" t="s">
        <v>7090</v>
      </c>
      <c r="J14754" t="s">
        <v>31736</v>
      </c>
      <c r="K14754" t="s">
        <v>40666</v>
      </c>
      <c r="M14754" t="s">
        <v>43854</v>
      </c>
      <c r="N14754" t="s">
        <v>44905</v>
      </c>
      <c r="O14754" t="s">
        <v>44906</v>
      </c>
      <c r="Q14754">
        <v>3</v>
      </c>
      <c r="R14754" t="s">
        <v>44930</v>
      </c>
      <c r="S14754" t="s">
        <v>46032</v>
      </c>
      <c r="T14754" t="s">
        <v>46411</v>
      </c>
      <c r="U14754" t="s">
        <v>54306</v>
      </c>
      <c r="V14754" t="s">
        <v>60757</v>
      </c>
      <c r="W14754" t="s">
        <v>43854</v>
      </c>
      <c r="X14754" t="s">
        <v>44931</v>
      </c>
    </row>
    <row r="14755" spans="1:24">
      <c r="A14755">
        <f>HYPERLINK("https://www.philgeps.gov.ph/GEPSNONPILOT/Tender/SplashBidNoticeAbstractUI.aspx?menuIndex=3&amp;refID=7040921&amp;Result=3","7040921")</f>
        <v>0</v>
      </c>
      <c r="B14755" t="s">
        <v>233</v>
      </c>
      <c r="C14755" t="s">
        <v>17653</v>
      </c>
      <c r="D14755" t="s">
        <v>18108</v>
      </c>
      <c r="E14755" t="s">
        <v>30936</v>
      </c>
      <c r="F14755" t="s">
        <v>31362</v>
      </c>
      <c r="G14755" t="s">
        <v>31369</v>
      </c>
      <c r="H14755" t="s">
        <v>15799</v>
      </c>
      <c r="I14755" t="s">
        <v>31399</v>
      </c>
      <c r="J14755" t="s">
        <v>40416</v>
      </c>
      <c r="K14755" t="s">
        <v>40699</v>
      </c>
      <c r="M14755" t="s">
        <v>43763</v>
      </c>
      <c r="N14755" t="s">
        <v>44905</v>
      </c>
      <c r="O14755" t="s">
        <v>44906</v>
      </c>
      <c r="Q14755">
        <v>3</v>
      </c>
      <c r="R14755" t="s">
        <v>44929</v>
      </c>
      <c r="S14755" t="s">
        <v>46033</v>
      </c>
      <c r="T14755" t="s">
        <v>46638</v>
      </c>
      <c r="U14755" t="s">
        <v>58674</v>
      </c>
      <c r="W14755" t="s">
        <v>43763</v>
      </c>
      <c r="X14755" t="s">
        <v>44930</v>
      </c>
    </row>
    <row r="14756" spans="1:24">
      <c r="A14756">
        <f>HYPERLINK("https://www.philgeps.gov.ph/GEPSNONPILOT/Tender/SplashBidNoticeAbstractUI.aspx?menuIndex=3&amp;refID=7040908&amp;Result=3","7040908")</f>
        <v>0</v>
      </c>
      <c r="B14756" t="s">
        <v>2007</v>
      </c>
      <c r="C14756" t="s">
        <v>17654</v>
      </c>
      <c r="D14756" t="s">
        <v>18120</v>
      </c>
      <c r="E14756" t="s">
        <v>30937</v>
      </c>
      <c r="F14756" t="s">
        <v>31362</v>
      </c>
      <c r="G14756" t="s">
        <v>31369</v>
      </c>
      <c r="H14756" t="s">
        <v>15799</v>
      </c>
      <c r="I14756" t="s">
        <v>31409</v>
      </c>
      <c r="J14756" t="s">
        <v>31709</v>
      </c>
      <c r="K14756" t="s">
        <v>40675</v>
      </c>
      <c r="M14756" t="s">
        <v>43121</v>
      </c>
      <c r="N14756" t="s">
        <v>44905</v>
      </c>
      <c r="O14756" t="s">
        <v>44906</v>
      </c>
      <c r="Q14756">
        <v>7</v>
      </c>
      <c r="R14756" t="s">
        <v>44929</v>
      </c>
      <c r="S14756" t="s">
        <v>46034</v>
      </c>
      <c r="T14756" t="s">
        <v>46561</v>
      </c>
      <c r="U14756" t="s">
        <v>58675</v>
      </c>
      <c r="W14756" t="s">
        <v>43121</v>
      </c>
      <c r="X14756" t="s">
        <v>44930</v>
      </c>
    </row>
    <row r="14757" spans="1:24">
      <c r="A14757">
        <f>HYPERLINK("https://www.philgeps.gov.ph/GEPSNONPILOT/Tender/SplashBidNoticeAbstractUI.aspx?menuIndex=3&amp;refID=7040862&amp;Result=3","7040862")</f>
        <v>0</v>
      </c>
      <c r="B14757" t="s">
        <v>3498</v>
      </c>
      <c r="C14757" t="s">
        <v>17655</v>
      </c>
      <c r="D14757" t="s">
        <v>18108</v>
      </c>
      <c r="E14757" t="s">
        <v>30938</v>
      </c>
      <c r="F14757" t="s">
        <v>31362</v>
      </c>
      <c r="G14757" t="s">
        <v>31369</v>
      </c>
      <c r="H14757" t="s">
        <v>31377</v>
      </c>
      <c r="I14757" t="s">
        <v>31377</v>
      </c>
      <c r="J14757" t="s">
        <v>36067</v>
      </c>
      <c r="K14757" t="s">
        <v>40686</v>
      </c>
      <c r="M14757" t="s">
        <v>44847</v>
      </c>
      <c r="N14757" t="s">
        <v>44905</v>
      </c>
      <c r="O14757" t="s">
        <v>44906</v>
      </c>
      <c r="P14757">
        <v>0</v>
      </c>
      <c r="Q14757">
        <v>8</v>
      </c>
      <c r="R14757" t="s">
        <v>44929</v>
      </c>
      <c r="S14757" t="s">
        <v>46002</v>
      </c>
      <c r="T14757" t="s">
        <v>46829</v>
      </c>
      <c r="U14757" t="s">
        <v>58676</v>
      </c>
      <c r="W14757" t="s">
        <v>44847</v>
      </c>
      <c r="X14757" t="s">
        <v>44930</v>
      </c>
    </row>
    <row r="14758" spans="1:24">
      <c r="A14758">
        <f>HYPERLINK("https://www.philgeps.gov.ph/GEPSNONPILOT/Tender/SplashBidNoticeAbstractUI.aspx?menuIndex=3&amp;refID=7036089&amp;Result=3","7036089")</f>
        <v>0</v>
      </c>
      <c r="B14758" t="s">
        <v>74</v>
      </c>
      <c r="C14758" t="s">
        <v>17656</v>
      </c>
      <c r="D14758" t="s">
        <v>18108</v>
      </c>
      <c r="E14758" t="s">
        <v>30939</v>
      </c>
      <c r="F14758" t="s">
        <v>31362</v>
      </c>
      <c r="G14758" t="s">
        <v>31371</v>
      </c>
      <c r="H14758" t="s">
        <v>15799</v>
      </c>
      <c r="I14758" t="s">
        <v>31452</v>
      </c>
      <c r="J14758" t="s">
        <v>40417</v>
      </c>
      <c r="K14758" t="s">
        <v>40672</v>
      </c>
      <c r="M14758" t="s">
        <v>41010</v>
      </c>
      <c r="N14758" t="s">
        <v>44905</v>
      </c>
      <c r="O14758" t="s">
        <v>44906</v>
      </c>
      <c r="Q14758">
        <v>6</v>
      </c>
      <c r="R14758" t="s">
        <v>44930</v>
      </c>
      <c r="S14758" t="s">
        <v>46035</v>
      </c>
      <c r="T14758" t="s">
        <v>46454</v>
      </c>
      <c r="U14758" t="s">
        <v>58677</v>
      </c>
      <c r="W14758" t="s">
        <v>41010</v>
      </c>
      <c r="X14758" t="s">
        <v>44931</v>
      </c>
    </row>
    <row r="14759" spans="1:24">
      <c r="A14759">
        <f>HYPERLINK("https://www.philgeps.gov.ph/GEPSNONPILOT/Tender/SplashBidNoticeAbstractUI.aspx?menuIndex=3&amp;refID=7040846&amp;Result=3","7040846")</f>
        <v>0</v>
      </c>
      <c r="B14759" t="s">
        <v>2757</v>
      </c>
      <c r="C14759" t="s">
        <v>17657</v>
      </c>
      <c r="D14759" t="s">
        <v>18156</v>
      </c>
      <c r="E14759" t="s">
        <v>30940</v>
      </c>
      <c r="F14759" t="s">
        <v>31362</v>
      </c>
      <c r="G14759" t="s">
        <v>31369</v>
      </c>
      <c r="H14759" t="s">
        <v>31378</v>
      </c>
      <c r="I14759" t="s">
        <v>31386</v>
      </c>
      <c r="J14759" t="s">
        <v>34646</v>
      </c>
      <c r="K14759" t="s">
        <v>40738</v>
      </c>
      <c r="M14759" t="s">
        <v>43948</v>
      </c>
      <c r="N14759" t="s">
        <v>44905</v>
      </c>
      <c r="O14759" t="s">
        <v>44906</v>
      </c>
      <c r="Q14759">
        <v>11</v>
      </c>
      <c r="R14759" t="s">
        <v>44929</v>
      </c>
      <c r="S14759" t="s">
        <v>46036</v>
      </c>
      <c r="T14759" t="s">
        <v>46519</v>
      </c>
      <c r="U14759" t="s">
        <v>58678</v>
      </c>
      <c r="V14759" t="s">
        <v>60758</v>
      </c>
      <c r="W14759" t="s">
        <v>43948</v>
      </c>
      <c r="X14759" t="s">
        <v>44930</v>
      </c>
    </row>
    <row r="14760" spans="1:24">
      <c r="A14760">
        <f>HYPERLINK("https://www.philgeps.gov.ph/GEPSNONPILOT/Tender/SplashBidNoticeAbstractUI.aspx?menuIndex=3&amp;refID=7040963&amp;Result=3","7040963")</f>
        <v>0</v>
      </c>
      <c r="B14760" t="s">
        <v>482</v>
      </c>
      <c r="C14760" t="s">
        <v>17658</v>
      </c>
      <c r="E14760" t="s">
        <v>30941</v>
      </c>
      <c r="F14760" t="s">
        <v>31362</v>
      </c>
      <c r="G14760" t="s">
        <v>31369</v>
      </c>
      <c r="H14760" t="s">
        <v>31379</v>
      </c>
      <c r="I14760" t="s">
        <v>31393</v>
      </c>
      <c r="J14760" t="s">
        <v>33868</v>
      </c>
      <c r="K14760" t="s">
        <v>40712</v>
      </c>
      <c r="M14760" t="s">
        <v>44809</v>
      </c>
      <c r="N14760" t="s">
        <v>44905</v>
      </c>
      <c r="O14760" t="s">
        <v>44906</v>
      </c>
      <c r="Q14760">
        <v>15</v>
      </c>
      <c r="R14760" t="s">
        <v>44929</v>
      </c>
      <c r="S14760" t="s">
        <v>46037</v>
      </c>
      <c r="T14760" t="s">
        <v>46425</v>
      </c>
      <c r="U14760" t="s">
        <v>58679</v>
      </c>
      <c r="W14760" t="s">
        <v>44809</v>
      </c>
      <c r="X14760" t="s">
        <v>44930</v>
      </c>
    </row>
    <row r="14761" spans="1:24">
      <c r="A14761">
        <f>HYPERLINK("https://www.philgeps.gov.ph/GEPSNONPILOT/Tender/SplashBidNoticeAbstractUI.aspx?menuIndex=3&amp;refID=7040145&amp;Result=3","7040145")</f>
        <v>0</v>
      </c>
      <c r="B14761" t="s">
        <v>1322</v>
      </c>
      <c r="C14761" t="s">
        <v>17659</v>
      </c>
      <c r="D14761" t="s">
        <v>18125</v>
      </c>
      <c r="E14761" t="s">
        <v>30942</v>
      </c>
      <c r="F14761" t="s">
        <v>31362</v>
      </c>
      <c r="G14761" t="s">
        <v>31369</v>
      </c>
      <c r="H14761" t="s">
        <v>31378</v>
      </c>
      <c r="I14761" t="s">
        <v>31386</v>
      </c>
      <c r="J14761" t="s">
        <v>31726</v>
      </c>
      <c r="K14761" t="s">
        <v>40679</v>
      </c>
      <c r="M14761" t="s">
        <v>42340</v>
      </c>
      <c r="N14761" t="s">
        <v>44905</v>
      </c>
      <c r="O14761" t="s">
        <v>44906</v>
      </c>
      <c r="Q14761">
        <v>0</v>
      </c>
      <c r="R14761" t="s">
        <v>44929</v>
      </c>
      <c r="S14761" t="s">
        <v>46038</v>
      </c>
      <c r="T14761" t="s">
        <v>46504</v>
      </c>
      <c r="U14761" t="s">
        <v>58680</v>
      </c>
      <c r="W14761" t="s">
        <v>42340</v>
      </c>
      <c r="X14761" t="s">
        <v>44930</v>
      </c>
    </row>
    <row r="14762" spans="1:24">
      <c r="A14762">
        <f>HYPERLINK("https://www.philgeps.gov.ph/GEPSNONPILOT/Tender/SplashBidNoticeAbstractUI.aspx?menuIndex=3&amp;refID=7040129&amp;Result=3","7040129")</f>
        <v>0</v>
      </c>
      <c r="B14762" t="s">
        <v>257</v>
      </c>
      <c r="C14762" t="s">
        <v>17660</v>
      </c>
      <c r="D14762" t="s">
        <v>18104</v>
      </c>
      <c r="E14762" t="s">
        <v>30943</v>
      </c>
      <c r="F14762" t="s">
        <v>31362</v>
      </c>
      <c r="G14762" t="s">
        <v>31369</v>
      </c>
      <c r="H14762" t="s">
        <v>31378</v>
      </c>
      <c r="I14762" t="s">
        <v>31386</v>
      </c>
      <c r="J14762" t="s">
        <v>40418</v>
      </c>
      <c r="K14762" t="s">
        <v>40691</v>
      </c>
      <c r="M14762" t="s">
        <v>41198</v>
      </c>
      <c r="N14762" t="s">
        <v>44905</v>
      </c>
      <c r="O14762" t="s">
        <v>44906</v>
      </c>
      <c r="P14762">
        <v>0</v>
      </c>
      <c r="Q14762">
        <v>6</v>
      </c>
      <c r="R14762" t="s">
        <v>44929</v>
      </c>
      <c r="S14762" t="s">
        <v>46002</v>
      </c>
      <c r="T14762" t="s">
        <v>46483</v>
      </c>
      <c r="U14762" t="s">
        <v>58681</v>
      </c>
      <c r="W14762" t="s">
        <v>41198</v>
      </c>
      <c r="X14762" t="s">
        <v>44930</v>
      </c>
    </row>
    <row r="14763" spans="1:24">
      <c r="A14763">
        <f>HYPERLINK("https://www.philgeps.gov.ph/GEPSNONPILOT/Tender/SplashBidNoticeAbstractUI.aspx?menuIndex=3&amp;refID=7040906&amp;Result=3","7040906")</f>
        <v>0</v>
      </c>
      <c r="B14763" t="s">
        <v>3499</v>
      </c>
      <c r="C14763" t="s">
        <v>17661</v>
      </c>
      <c r="D14763" t="s">
        <v>18110</v>
      </c>
      <c r="E14763" t="s">
        <v>30944</v>
      </c>
      <c r="F14763" t="s">
        <v>31362</v>
      </c>
      <c r="G14763" t="s">
        <v>31369</v>
      </c>
      <c r="H14763" t="s">
        <v>31378</v>
      </c>
      <c r="I14763" t="s">
        <v>31386</v>
      </c>
      <c r="J14763" t="s">
        <v>31693</v>
      </c>
      <c r="K14763" t="s">
        <v>40686</v>
      </c>
      <c r="M14763" t="s">
        <v>44848</v>
      </c>
      <c r="N14763" t="s">
        <v>44905</v>
      </c>
      <c r="O14763" t="s">
        <v>44906</v>
      </c>
      <c r="P14763">
        <v>0</v>
      </c>
      <c r="Q14763">
        <v>3</v>
      </c>
      <c r="R14763" t="s">
        <v>44929</v>
      </c>
      <c r="S14763" t="s">
        <v>46002</v>
      </c>
      <c r="T14763" t="s">
        <v>46894</v>
      </c>
      <c r="U14763" t="s">
        <v>58682</v>
      </c>
      <c r="W14763" t="s">
        <v>44848</v>
      </c>
      <c r="X14763" t="s">
        <v>44930</v>
      </c>
    </row>
    <row r="14764" spans="1:24">
      <c r="A14764">
        <f>HYPERLINK("https://www.philgeps.gov.ph/GEPSNONPILOT/Tender/SplashBidNoticeAbstractUI.aspx?menuIndex=3&amp;refID=7032807&amp;Result=3","7032807")</f>
        <v>0</v>
      </c>
      <c r="B14764" t="s">
        <v>1215</v>
      </c>
      <c r="C14764" t="s">
        <v>17662</v>
      </c>
      <c r="D14764" t="s">
        <v>18108</v>
      </c>
      <c r="E14764" t="s">
        <v>30945</v>
      </c>
      <c r="F14764" t="s">
        <v>31362</v>
      </c>
      <c r="G14764" t="s">
        <v>31368</v>
      </c>
      <c r="H14764" t="s">
        <v>15799</v>
      </c>
      <c r="I14764" t="s">
        <v>31388</v>
      </c>
      <c r="J14764" t="s">
        <v>32278</v>
      </c>
      <c r="K14764" t="s">
        <v>40665</v>
      </c>
      <c r="M14764" t="s">
        <v>42228</v>
      </c>
      <c r="N14764" t="s">
        <v>44905</v>
      </c>
      <c r="O14764" t="s">
        <v>44906</v>
      </c>
      <c r="Q14764">
        <v>0</v>
      </c>
      <c r="R14764" t="s">
        <v>44931</v>
      </c>
      <c r="S14764" t="s">
        <v>45845</v>
      </c>
      <c r="T14764" t="s">
        <v>46432</v>
      </c>
      <c r="U14764" t="s">
        <v>58683</v>
      </c>
      <c r="W14764" t="s">
        <v>42228</v>
      </c>
      <c r="X14764" t="s">
        <v>44932</v>
      </c>
    </row>
    <row r="14765" spans="1:24">
      <c r="A14765">
        <f>HYPERLINK("https://www.philgeps.gov.ph/GEPSNONPILOT/Tender/SplashBidNoticeAbstractUI.aspx?menuIndex=3&amp;refID=7040008&amp;Result=3","7040008")</f>
        <v>0</v>
      </c>
      <c r="B14765" t="s">
        <v>2793</v>
      </c>
      <c r="C14765" t="s">
        <v>17663</v>
      </c>
      <c r="D14765" t="s">
        <v>18158</v>
      </c>
      <c r="E14765" t="s">
        <v>30946</v>
      </c>
      <c r="F14765" t="s">
        <v>31362</v>
      </c>
      <c r="G14765" t="s">
        <v>31369</v>
      </c>
      <c r="H14765" t="s">
        <v>15799</v>
      </c>
      <c r="I14765" t="s">
        <v>31385</v>
      </c>
      <c r="J14765" t="s">
        <v>33541</v>
      </c>
      <c r="K14765" t="s">
        <v>40665</v>
      </c>
      <c r="M14765" t="s">
        <v>43990</v>
      </c>
      <c r="N14765" t="s">
        <v>44905</v>
      </c>
      <c r="O14765" t="s">
        <v>44906</v>
      </c>
      <c r="Q14765">
        <v>1</v>
      </c>
      <c r="R14765" t="s">
        <v>44929</v>
      </c>
      <c r="S14765" t="s">
        <v>46039</v>
      </c>
      <c r="T14765" t="s">
        <v>46605</v>
      </c>
      <c r="U14765" t="s">
        <v>58684</v>
      </c>
      <c r="V14765" t="s">
        <v>60759</v>
      </c>
      <c r="W14765" t="s">
        <v>43990</v>
      </c>
      <c r="X14765" t="s">
        <v>44930</v>
      </c>
    </row>
    <row r="14766" spans="1:24">
      <c r="A14766">
        <f>HYPERLINK("https://www.philgeps.gov.ph/GEPSNONPILOT/Tender/SplashBidNoticeAbstractUI.aspx?menuIndex=3&amp;refID=7037257&amp;Result=3","7037257")</f>
        <v>0</v>
      </c>
      <c r="B14766" t="s">
        <v>388</v>
      </c>
      <c r="C14766" t="s">
        <v>17664</v>
      </c>
      <c r="D14766" t="s">
        <v>18108</v>
      </c>
      <c r="E14766" t="s">
        <v>30947</v>
      </c>
      <c r="F14766" t="s">
        <v>31362</v>
      </c>
      <c r="G14766" t="s">
        <v>31369</v>
      </c>
      <c r="H14766" t="s">
        <v>15799</v>
      </c>
      <c r="I14766" t="s">
        <v>31409</v>
      </c>
      <c r="J14766" t="s">
        <v>31602</v>
      </c>
      <c r="K14766" t="s">
        <v>40662</v>
      </c>
      <c r="M14766" t="s">
        <v>41336</v>
      </c>
      <c r="N14766" t="s">
        <v>44905</v>
      </c>
      <c r="O14766" t="s">
        <v>44906</v>
      </c>
      <c r="P14766">
        <v>0</v>
      </c>
      <c r="Q14766">
        <v>5</v>
      </c>
      <c r="R14766" t="s">
        <v>44930</v>
      </c>
      <c r="S14766" t="s">
        <v>46015</v>
      </c>
      <c r="T14766" t="s">
        <v>46452</v>
      </c>
      <c r="U14766" t="s">
        <v>58685</v>
      </c>
      <c r="W14766" t="s">
        <v>41336</v>
      </c>
      <c r="X14766" t="s">
        <v>44931</v>
      </c>
    </row>
    <row r="14767" spans="1:24">
      <c r="A14767">
        <f>HYPERLINK("https://www.philgeps.gov.ph/GEPSNONPILOT/Tender/SplashBidNoticeAbstractUI.aspx?menuIndex=3&amp;refID=7039885&amp;Result=3","7039885")</f>
        <v>0</v>
      </c>
      <c r="B14767" t="s">
        <v>440</v>
      </c>
      <c r="C14767" t="s">
        <v>17665</v>
      </c>
      <c r="D14767" t="s">
        <v>18154</v>
      </c>
      <c r="E14767" t="s">
        <v>30948</v>
      </c>
      <c r="F14767" t="s">
        <v>31362</v>
      </c>
      <c r="G14767" t="s">
        <v>31369</v>
      </c>
      <c r="H14767" t="s">
        <v>15799</v>
      </c>
      <c r="I14767" t="s">
        <v>3815</v>
      </c>
      <c r="J14767" t="s">
        <v>40419</v>
      </c>
      <c r="K14767" t="s">
        <v>40662</v>
      </c>
      <c r="M14767" t="s">
        <v>41604</v>
      </c>
      <c r="N14767" t="s">
        <v>44905</v>
      </c>
      <c r="O14767" t="s">
        <v>44906</v>
      </c>
      <c r="P14767">
        <v>0</v>
      </c>
      <c r="Q14767">
        <v>0</v>
      </c>
      <c r="R14767" t="s">
        <v>44929</v>
      </c>
      <c r="S14767" t="s">
        <v>46002</v>
      </c>
      <c r="T14767" t="s">
        <v>46447</v>
      </c>
      <c r="U14767" t="s">
        <v>58686</v>
      </c>
      <c r="W14767" t="s">
        <v>41604</v>
      </c>
      <c r="X14767" t="s">
        <v>44930</v>
      </c>
    </row>
    <row r="14768" spans="1:24">
      <c r="A14768">
        <f>HYPERLINK("https://www.philgeps.gov.ph/GEPSNONPILOT/Tender/SplashBidNoticeAbstractUI.aspx?menuIndex=3&amp;refID=7040034&amp;Result=3","7040034")</f>
        <v>0</v>
      </c>
      <c r="B14768" t="s">
        <v>257</v>
      </c>
      <c r="C14768" t="s">
        <v>17666</v>
      </c>
      <c r="D14768" t="s">
        <v>18104</v>
      </c>
      <c r="E14768" t="s">
        <v>30949</v>
      </c>
      <c r="F14768" t="s">
        <v>31362</v>
      </c>
      <c r="G14768" t="s">
        <v>31369</v>
      </c>
      <c r="H14768" t="s">
        <v>31378</v>
      </c>
      <c r="I14768" t="s">
        <v>31386</v>
      </c>
      <c r="J14768" t="s">
        <v>40420</v>
      </c>
      <c r="K14768" t="s">
        <v>40691</v>
      </c>
      <c r="M14768" t="s">
        <v>41198</v>
      </c>
      <c r="N14768" t="s">
        <v>44905</v>
      </c>
      <c r="O14768" t="s">
        <v>44906</v>
      </c>
      <c r="P14768">
        <v>0</v>
      </c>
      <c r="Q14768">
        <v>4</v>
      </c>
      <c r="R14768" t="s">
        <v>44929</v>
      </c>
      <c r="S14768" t="s">
        <v>46002</v>
      </c>
      <c r="T14768" t="s">
        <v>46483</v>
      </c>
      <c r="U14768" t="s">
        <v>58687</v>
      </c>
      <c r="W14768" t="s">
        <v>41198</v>
      </c>
      <c r="X14768" t="s">
        <v>44930</v>
      </c>
    </row>
    <row r="14769" spans="1:24">
      <c r="A14769">
        <f>HYPERLINK("https://www.philgeps.gov.ph/GEPSNONPILOT/Tender/SplashBidNoticeAbstractUI.aspx?menuIndex=3&amp;refID=7038985&amp;Result=3","7038985")</f>
        <v>0</v>
      </c>
      <c r="B14769" t="s">
        <v>3378</v>
      </c>
      <c r="C14769" t="s">
        <v>17667</v>
      </c>
      <c r="D14769" t="s">
        <v>18175</v>
      </c>
      <c r="E14769" t="s">
        <v>30950</v>
      </c>
      <c r="F14769" t="s">
        <v>31362</v>
      </c>
      <c r="G14769" t="s">
        <v>31369</v>
      </c>
      <c r="H14769" t="s">
        <v>31378</v>
      </c>
      <c r="I14769" t="s">
        <v>31386</v>
      </c>
      <c r="J14769" t="s">
        <v>31606</v>
      </c>
      <c r="K14769" t="s">
        <v>40682</v>
      </c>
      <c r="M14769" t="s">
        <v>44685</v>
      </c>
      <c r="N14769" t="s">
        <v>44905</v>
      </c>
      <c r="O14769" t="s">
        <v>44906</v>
      </c>
      <c r="P14769">
        <v>0</v>
      </c>
      <c r="Q14769">
        <v>0</v>
      </c>
      <c r="R14769" t="s">
        <v>44929</v>
      </c>
      <c r="S14769" t="s">
        <v>46002</v>
      </c>
      <c r="T14769" t="s">
        <v>46503</v>
      </c>
      <c r="U14769" t="s">
        <v>58688</v>
      </c>
      <c r="W14769" t="s">
        <v>44685</v>
      </c>
      <c r="X14769" t="s">
        <v>44930</v>
      </c>
    </row>
    <row r="14770" spans="1:24">
      <c r="A14770">
        <f>HYPERLINK("https://www.philgeps.gov.ph/GEPSNONPILOT/Tender/SplashBidNoticeAbstractUI.aspx?menuIndex=3&amp;refID=7037735&amp;Result=3","7037735")</f>
        <v>0</v>
      </c>
      <c r="B14770" t="s">
        <v>122</v>
      </c>
      <c r="C14770" t="s">
        <v>17668</v>
      </c>
      <c r="D14770" t="s">
        <v>18108</v>
      </c>
      <c r="E14770" t="s">
        <v>30951</v>
      </c>
      <c r="F14770" t="s">
        <v>31362</v>
      </c>
      <c r="G14770" t="s">
        <v>31371</v>
      </c>
      <c r="H14770" t="s">
        <v>15799</v>
      </c>
      <c r="I14770" t="s">
        <v>7188</v>
      </c>
      <c r="J14770" t="s">
        <v>33519</v>
      </c>
      <c r="K14770" t="s">
        <v>40666</v>
      </c>
      <c r="M14770" t="s">
        <v>43854</v>
      </c>
      <c r="N14770" t="s">
        <v>44905</v>
      </c>
      <c r="O14770" t="s">
        <v>44906</v>
      </c>
      <c r="Q14770">
        <v>12</v>
      </c>
      <c r="R14770" t="s">
        <v>44930</v>
      </c>
      <c r="S14770" t="s">
        <v>46040</v>
      </c>
      <c r="T14770" t="s">
        <v>46411</v>
      </c>
      <c r="U14770" t="s">
        <v>54306</v>
      </c>
      <c r="V14770" t="s">
        <v>60757</v>
      </c>
      <c r="W14770" t="s">
        <v>43854</v>
      </c>
      <c r="X14770" t="s">
        <v>44931</v>
      </c>
    </row>
    <row r="14771" spans="1:24">
      <c r="A14771">
        <f>HYPERLINK("https://www.philgeps.gov.ph/GEPSNONPILOT/Tender/SplashBidNoticeAbstractUI.aspx?menuIndex=3&amp;refID=7040137&amp;Result=3","7040137")</f>
        <v>0</v>
      </c>
      <c r="B14771" t="s">
        <v>2793</v>
      </c>
      <c r="C14771" t="s">
        <v>17669</v>
      </c>
      <c r="D14771" t="s">
        <v>18158</v>
      </c>
      <c r="E14771" t="s">
        <v>30952</v>
      </c>
      <c r="F14771" t="s">
        <v>31362</v>
      </c>
      <c r="G14771" t="s">
        <v>31369</v>
      </c>
      <c r="H14771" t="s">
        <v>15799</v>
      </c>
      <c r="I14771" t="s">
        <v>7719</v>
      </c>
      <c r="J14771" t="s">
        <v>40421</v>
      </c>
      <c r="K14771" t="s">
        <v>40682</v>
      </c>
      <c r="M14771" t="s">
        <v>43990</v>
      </c>
      <c r="N14771" t="s">
        <v>44905</v>
      </c>
      <c r="O14771" t="s">
        <v>44906</v>
      </c>
      <c r="Q14771">
        <v>7</v>
      </c>
      <c r="R14771" t="s">
        <v>44929</v>
      </c>
      <c r="S14771" t="s">
        <v>46041</v>
      </c>
      <c r="T14771" t="s">
        <v>46405</v>
      </c>
      <c r="U14771" t="s">
        <v>58689</v>
      </c>
      <c r="V14771" t="s">
        <v>60760</v>
      </c>
      <c r="W14771" t="s">
        <v>43990</v>
      </c>
      <c r="X14771" t="s">
        <v>44930</v>
      </c>
    </row>
    <row r="14772" spans="1:24">
      <c r="A14772">
        <f>HYPERLINK("https://www.philgeps.gov.ph/GEPSNONPILOT/Tender/SplashBidNoticeAbstractUI.aspx?menuIndex=3&amp;refID=7039016&amp;Result=3","7039016")</f>
        <v>0</v>
      </c>
      <c r="B14772" t="s">
        <v>3378</v>
      </c>
      <c r="C14772" t="s">
        <v>17670</v>
      </c>
      <c r="D14772" t="s">
        <v>18175</v>
      </c>
      <c r="E14772" t="s">
        <v>30953</v>
      </c>
      <c r="F14772" t="s">
        <v>31362</v>
      </c>
      <c r="G14772" t="s">
        <v>31369</v>
      </c>
      <c r="H14772" t="s">
        <v>31378</v>
      </c>
      <c r="I14772" t="s">
        <v>31386</v>
      </c>
      <c r="J14772" t="s">
        <v>31606</v>
      </c>
      <c r="K14772" t="s">
        <v>40778</v>
      </c>
      <c r="M14772" t="s">
        <v>44685</v>
      </c>
      <c r="N14772" t="s">
        <v>44905</v>
      </c>
      <c r="O14772" t="s">
        <v>44906</v>
      </c>
      <c r="P14772">
        <v>0</v>
      </c>
      <c r="Q14772">
        <v>0</v>
      </c>
      <c r="R14772" t="s">
        <v>44929</v>
      </c>
      <c r="S14772" t="s">
        <v>46002</v>
      </c>
      <c r="T14772" t="s">
        <v>46593</v>
      </c>
      <c r="U14772" t="s">
        <v>58690</v>
      </c>
      <c r="W14772" t="s">
        <v>44685</v>
      </c>
      <c r="X14772" t="s">
        <v>44930</v>
      </c>
    </row>
    <row r="14773" spans="1:24">
      <c r="A14773">
        <f>HYPERLINK("https://www.philgeps.gov.ph/GEPSNONPILOT/Tender/SplashBidNoticeAbstractUI.aspx?menuIndex=3&amp;refID=7038940&amp;Result=3","7038940")</f>
        <v>0</v>
      </c>
      <c r="B14773" t="s">
        <v>743</v>
      </c>
      <c r="C14773" t="s">
        <v>17671</v>
      </c>
      <c r="D14773" t="s">
        <v>18117</v>
      </c>
      <c r="E14773" t="s">
        <v>30954</v>
      </c>
      <c r="F14773" t="s">
        <v>31362</v>
      </c>
      <c r="G14773" t="s">
        <v>31369</v>
      </c>
      <c r="H14773" t="s">
        <v>15799</v>
      </c>
      <c r="I14773" t="s">
        <v>31409</v>
      </c>
      <c r="J14773" t="s">
        <v>31611</v>
      </c>
      <c r="K14773" t="s">
        <v>40670</v>
      </c>
      <c r="M14773" t="s">
        <v>41710</v>
      </c>
      <c r="N14773" t="s">
        <v>44905</v>
      </c>
      <c r="O14773" t="s">
        <v>44906</v>
      </c>
      <c r="P14773">
        <v>0</v>
      </c>
      <c r="Q14773">
        <v>6</v>
      </c>
      <c r="R14773" t="s">
        <v>44929</v>
      </c>
      <c r="S14773" t="s">
        <v>46002</v>
      </c>
      <c r="T14773" t="s">
        <v>46586</v>
      </c>
      <c r="U14773" t="s">
        <v>58628</v>
      </c>
      <c r="W14773" t="s">
        <v>60868</v>
      </c>
      <c r="X14773" t="s">
        <v>44930</v>
      </c>
    </row>
    <row r="14774" spans="1:24">
      <c r="A14774">
        <f>HYPERLINK("https://www.philgeps.gov.ph/GEPSNONPILOT/Tender/SplashBidNoticeAbstractUI.aspx?menuIndex=3&amp;refID=7038914&amp;Result=3","7038914")</f>
        <v>0</v>
      </c>
      <c r="B14774" t="s">
        <v>3378</v>
      </c>
      <c r="C14774" t="s">
        <v>17672</v>
      </c>
      <c r="D14774" t="s">
        <v>18175</v>
      </c>
      <c r="E14774" t="s">
        <v>30955</v>
      </c>
      <c r="F14774" t="s">
        <v>31362</v>
      </c>
      <c r="G14774" t="s">
        <v>31369</v>
      </c>
      <c r="H14774" t="s">
        <v>31378</v>
      </c>
      <c r="I14774" t="s">
        <v>31386</v>
      </c>
      <c r="J14774" t="s">
        <v>31637</v>
      </c>
      <c r="K14774" t="s">
        <v>40746</v>
      </c>
      <c r="M14774" t="s">
        <v>44685</v>
      </c>
      <c r="N14774" t="s">
        <v>44905</v>
      </c>
      <c r="O14774" t="s">
        <v>44906</v>
      </c>
      <c r="P14774">
        <v>0</v>
      </c>
      <c r="Q14774">
        <v>0</v>
      </c>
      <c r="R14774" t="s">
        <v>44929</v>
      </c>
      <c r="S14774" t="s">
        <v>46002</v>
      </c>
      <c r="T14774" t="s">
        <v>46575</v>
      </c>
      <c r="U14774" t="s">
        <v>58691</v>
      </c>
      <c r="W14774" t="s">
        <v>44685</v>
      </c>
      <c r="X14774" t="s">
        <v>44930</v>
      </c>
    </row>
    <row r="14775" spans="1:24">
      <c r="A14775">
        <f>HYPERLINK("https://www.philgeps.gov.ph/GEPSNONPILOT/Tender/SplashBidNoticeAbstractUI.aspx?menuIndex=3&amp;refID=7038947&amp;Result=3","7038947")</f>
        <v>0</v>
      </c>
      <c r="B14775" t="s">
        <v>3500</v>
      </c>
      <c r="C14775" t="s">
        <v>17673</v>
      </c>
      <c r="D14775" t="s">
        <v>18108</v>
      </c>
      <c r="E14775" t="s">
        <v>30956</v>
      </c>
      <c r="F14775" t="s">
        <v>31362</v>
      </c>
      <c r="G14775" t="s">
        <v>31368</v>
      </c>
      <c r="H14775" t="s">
        <v>15799</v>
      </c>
      <c r="I14775" t="s">
        <v>31393</v>
      </c>
      <c r="J14775" t="s">
        <v>31961</v>
      </c>
      <c r="K14775" t="s">
        <v>40670</v>
      </c>
      <c r="M14775" t="s">
        <v>44849</v>
      </c>
      <c r="N14775" t="s">
        <v>44905</v>
      </c>
      <c r="O14775" t="s">
        <v>44906</v>
      </c>
      <c r="Q14775">
        <v>5</v>
      </c>
      <c r="R14775" t="s">
        <v>44929</v>
      </c>
      <c r="S14775" t="s">
        <v>46042</v>
      </c>
      <c r="T14775" t="s">
        <v>46396</v>
      </c>
      <c r="U14775" t="s">
        <v>58692</v>
      </c>
      <c r="W14775" t="s">
        <v>44849</v>
      </c>
      <c r="X14775" t="s">
        <v>44930</v>
      </c>
    </row>
    <row r="14776" spans="1:24">
      <c r="A14776">
        <f>HYPERLINK("https://www.philgeps.gov.ph/GEPSNONPILOT/Tender/SplashBidNoticeAbstractUI.aspx?menuIndex=3&amp;refID=7033685&amp;Result=3","7033685")</f>
        <v>0</v>
      </c>
      <c r="B14776" t="s">
        <v>1818</v>
      </c>
      <c r="C14776" t="s">
        <v>17674</v>
      </c>
      <c r="D14776" t="s">
        <v>18122</v>
      </c>
      <c r="E14776" t="s">
        <v>30957</v>
      </c>
      <c r="F14776" t="s">
        <v>31362</v>
      </c>
      <c r="G14776" t="s">
        <v>31369</v>
      </c>
      <c r="H14776" t="s">
        <v>15799</v>
      </c>
      <c r="I14776" t="s">
        <v>31456</v>
      </c>
      <c r="J14776" t="s">
        <v>40422</v>
      </c>
      <c r="K14776" t="s">
        <v>40665</v>
      </c>
      <c r="M14776" t="s">
        <v>42901</v>
      </c>
      <c r="N14776" t="s">
        <v>44905</v>
      </c>
      <c r="O14776" t="s">
        <v>44906</v>
      </c>
      <c r="Q14776">
        <v>4</v>
      </c>
      <c r="R14776" t="s">
        <v>44931</v>
      </c>
      <c r="S14776" t="s">
        <v>45613</v>
      </c>
      <c r="T14776" t="s">
        <v>46511</v>
      </c>
      <c r="U14776" t="s">
        <v>58693</v>
      </c>
      <c r="W14776" t="s">
        <v>42901</v>
      </c>
      <c r="X14776" t="s">
        <v>44932</v>
      </c>
    </row>
    <row r="14777" spans="1:24">
      <c r="A14777">
        <f>HYPERLINK("https://www.philgeps.gov.ph/GEPSNONPILOT/Tender/SplashBidNoticeAbstractUI.aspx?menuIndex=3&amp;refID=7038945&amp;Result=3","7038945")</f>
        <v>0</v>
      </c>
      <c r="B14777" t="s">
        <v>3455</v>
      </c>
      <c r="C14777" t="s">
        <v>17675</v>
      </c>
      <c r="D14777" t="s">
        <v>18148</v>
      </c>
      <c r="E14777" t="s">
        <v>30958</v>
      </c>
      <c r="F14777" t="s">
        <v>31362</v>
      </c>
      <c r="G14777" t="s">
        <v>31369</v>
      </c>
      <c r="H14777" t="s">
        <v>31377</v>
      </c>
      <c r="I14777" t="s">
        <v>31377</v>
      </c>
      <c r="J14777" t="s">
        <v>40423</v>
      </c>
      <c r="K14777" t="s">
        <v>40768</v>
      </c>
      <c r="M14777" t="s">
        <v>44783</v>
      </c>
      <c r="N14777" t="s">
        <v>44905</v>
      </c>
      <c r="O14777" t="s">
        <v>44906</v>
      </c>
      <c r="P14777">
        <v>0</v>
      </c>
      <c r="Q14777">
        <v>3</v>
      </c>
      <c r="R14777" t="s">
        <v>44929</v>
      </c>
      <c r="S14777" t="s">
        <v>46002</v>
      </c>
      <c r="T14777" t="s">
        <v>46650</v>
      </c>
      <c r="U14777" t="s">
        <v>58694</v>
      </c>
      <c r="V14777" t="s">
        <v>60761</v>
      </c>
      <c r="W14777" t="s">
        <v>44783</v>
      </c>
      <c r="X14777" t="s">
        <v>44930</v>
      </c>
    </row>
    <row r="14778" spans="1:24">
      <c r="A14778">
        <f>HYPERLINK("https://www.philgeps.gov.ph/GEPSNONPILOT/Tender/SplashBidNoticeAbstractUI.aspx?menuIndex=3&amp;refID=7043240&amp;Result=3","7043240")</f>
        <v>0</v>
      </c>
      <c r="B14778" t="s">
        <v>2430</v>
      </c>
      <c r="C14778" t="s">
        <v>17676</v>
      </c>
      <c r="D14778" t="s">
        <v>18108</v>
      </c>
      <c r="E14778" t="s">
        <v>30959</v>
      </c>
      <c r="F14778" t="s">
        <v>31362</v>
      </c>
      <c r="G14778" t="s">
        <v>31369</v>
      </c>
      <c r="H14778" t="s">
        <v>15799</v>
      </c>
      <c r="I14778" t="s">
        <v>7719</v>
      </c>
      <c r="J14778" t="s">
        <v>33482</v>
      </c>
      <c r="K14778" t="s">
        <v>40682</v>
      </c>
      <c r="M14778" t="s">
        <v>43588</v>
      </c>
      <c r="N14778" t="s">
        <v>44905</v>
      </c>
      <c r="O14778" t="s">
        <v>44906</v>
      </c>
      <c r="Q14778">
        <v>11</v>
      </c>
      <c r="R14778" t="s">
        <v>44928</v>
      </c>
      <c r="S14778" t="s">
        <v>46043</v>
      </c>
      <c r="T14778" t="s">
        <v>46409</v>
      </c>
      <c r="U14778" t="s">
        <v>58695</v>
      </c>
      <c r="W14778" t="s">
        <v>43588</v>
      </c>
      <c r="X14778" t="s">
        <v>44929</v>
      </c>
    </row>
    <row r="14779" spans="1:24">
      <c r="A14779">
        <f>HYPERLINK("https://www.philgeps.gov.ph/GEPSNONPILOT/Tender/SplashBidNoticeAbstractUI.aspx?menuIndex=3&amp;refID=7038974&amp;Result=3","7038974")</f>
        <v>0</v>
      </c>
      <c r="B14779" t="s">
        <v>743</v>
      </c>
      <c r="C14779" t="s">
        <v>17677</v>
      </c>
      <c r="D14779" t="s">
        <v>18117</v>
      </c>
      <c r="E14779" t="s">
        <v>30960</v>
      </c>
      <c r="F14779" t="s">
        <v>31362</v>
      </c>
      <c r="G14779" t="s">
        <v>31369</v>
      </c>
      <c r="H14779" t="s">
        <v>15799</v>
      </c>
      <c r="I14779" t="s">
        <v>31409</v>
      </c>
      <c r="J14779" t="s">
        <v>31606</v>
      </c>
      <c r="K14779" t="s">
        <v>40670</v>
      </c>
      <c r="M14779" t="s">
        <v>41710</v>
      </c>
      <c r="N14779" t="s">
        <v>44905</v>
      </c>
      <c r="O14779" t="s">
        <v>44906</v>
      </c>
      <c r="P14779">
        <v>0</v>
      </c>
      <c r="Q14779">
        <v>3</v>
      </c>
      <c r="R14779" t="s">
        <v>44929</v>
      </c>
      <c r="S14779" t="s">
        <v>46002</v>
      </c>
      <c r="T14779" t="s">
        <v>46586</v>
      </c>
      <c r="U14779" t="s">
        <v>58628</v>
      </c>
      <c r="W14779" t="s">
        <v>60868</v>
      </c>
      <c r="X14779" t="s">
        <v>44930</v>
      </c>
    </row>
    <row r="14780" spans="1:24">
      <c r="A14780">
        <f>HYPERLINK("https://www.philgeps.gov.ph/GEPSNONPILOT/Tender/SplashBidNoticeAbstractUI.aspx?menuIndex=3&amp;refID=7040041&amp;Result=3","7040041")</f>
        <v>0</v>
      </c>
      <c r="B14780" t="s">
        <v>2793</v>
      </c>
      <c r="C14780" t="s">
        <v>17678</v>
      </c>
      <c r="D14780" t="s">
        <v>18158</v>
      </c>
      <c r="E14780" t="s">
        <v>30961</v>
      </c>
      <c r="F14780" t="s">
        <v>31362</v>
      </c>
      <c r="G14780" t="s">
        <v>31369</v>
      </c>
      <c r="H14780" t="s">
        <v>15799</v>
      </c>
      <c r="I14780" t="s">
        <v>7719</v>
      </c>
      <c r="J14780" t="s">
        <v>40424</v>
      </c>
      <c r="K14780" t="s">
        <v>40682</v>
      </c>
      <c r="M14780" t="s">
        <v>43990</v>
      </c>
      <c r="N14780" t="s">
        <v>44905</v>
      </c>
      <c r="O14780" t="s">
        <v>44906</v>
      </c>
      <c r="Q14780">
        <v>14</v>
      </c>
      <c r="R14780" t="s">
        <v>44929</v>
      </c>
      <c r="S14780" t="s">
        <v>46044</v>
      </c>
      <c r="T14780" t="s">
        <v>46474</v>
      </c>
      <c r="U14780" t="s">
        <v>58696</v>
      </c>
      <c r="V14780" t="s">
        <v>60762</v>
      </c>
      <c r="W14780" t="s">
        <v>43990</v>
      </c>
      <c r="X14780" t="s">
        <v>44930</v>
      </c>
    </row>
    <row r="14781" spans="1:24">
      <c r="A14781">
        <f>HYPERLINK("https://www.philgeps.gov.ph/GEPSNONPILOT/Tender/SplashBidNoticeAbstractUI.aspx?menuIndex=3&amp;refID=7034265&amp;Result=3","7034265")</f>
        <v>0</v>
      </c>
      <c r="B14781" t="s">
        <v>115</v>
      </c>
      <c r="C14781" t="s">
        <v>17679</v>
      </c>
      <c r="D14781" t="s">
        <v>18168</v>
      </c>
      <c r="E14781" t="s">
        <v>30962</v>
      </c>
      <c r="F14781" t="s">
        <v>31362</v>
      </c>
      <c r="G14781" t="s">
        <v>31373</v>
      </c>
      <c r="H14781" t="s">
        <v>31377</v>
      </c>
      <c r="I14781" t="s">
        <v>31377</v>
      </c>
      <c r="J14781" t="s">
        <v>40425</v>
      </c>
      <c r="K14781" t="s">
        <v>40662</v>
      </c>
      <c r="L14781" t="s">
        <v>115</v>
      </c>
      <c r="M14781" t="s">
        <v>41052</v>
      </c>
      <c r="N14781" t="s">
        <v>44905</v>
      </c>
      <c r="O14781" t="s">
        <v>44906</v>
      </c>
      <c r="Q14781">
        <v>6</v>
      </c>
      <c r="R14781" t="s">
        <v>44931</v>
      </c>
      <c r="S14781" t="s">
        <v>46045</v>
      </c>
      <c r="T14781" t="s">
        <v>46411</v>
      </c>
      <c r="U14781" t="s">
        <v>58697</v>
      </c>
      <c r="W14781" t="s">
        <v>41052</v>
      </c>
      <c r="X14781" t="s">
        <v>44932</v>
      </c>
    </row>
    <row r="14782" spans="1:24">
      <c r="A14782">
        <f>HYPERLINK("https://www.philgeps.gov.ph/GEPSNONPILOT/Tender/SplashBidNoticeAbstractUI.aspx?menuIndex=3&amp;refID=7032742&amp;Result=3","7032742")</f>
        <v>0</v>
      </c>
      <c r="B14782" t="s">
        <v>3501</v>
      </c>
      <c r="C14782" t="s">
        <v>17680</v>
      </c>
      <c r="E14782" t="s">
        <v>30963</v>
      </c>
      <c r="F14782" t="s">
        <v>31362</v>
      </c>
      <c r="G14782" t="s">
        <v>31369</v>
      </c>
      <c r="H14782" t="s">
        <v>15799</v>
      </c>
      <c r="I14782" t="s">
        <v>31478</v>
      </c>
      <c r="J14782" t="s">
        <v>40426</v>
      </c>
      <c r="K14782" t="s">
        <v>40682</v>
      </c>
      <c r="M14782" t="s">
        <v>44850</v>
      </c>
      <c r="N14782" t="s">
        <v>44905</v>
      </c>
      <c r="O14782" t="s">
        <v>44906</v>
      </c>
      <c r="Q14782">
        <v>4</v>
      </c>
      <c r="R14782" t="s">
        <v>44932</v>
      </c>
      <c r="S14782" t="s">
        <v>46046</v>
      </c>
      <c r="T14782" t="s">
        <v>46411</v>
      </c>
      <c r="U14782" t="s">
        <v>58698</v>
      </c>
      <c r="W14782" t="s">
        <v>44850</v>
      </c>
      <c r="X14782" t="s">
        <v>44933</v>
      </c>
    </row>
    <row r="14783" spans="1:24">
      <c r="A14783">
        <f>HYPERLINK("https://www.philgeps.gov.ph/GEPSNONPILOT/Tender/SplashBidNoticeAbstractUI.aspx?menuIndex=3&amp;refID=7039928&amp;Result=3","7039928")</f>
        <v>0</v>
      </c>
      <c r="B14783" t="s">
        <v>1769</v>
      </c>
      <c r="C14783" t="s">
        <v>17681</v>
      </c>
      <c r="D14783" t="s">
        <v>18107</v>
      </c>
      <c r="E14783" t="s">
        <v>22031</v>
      </c>
      <c r="F14783" t="s">
        <v>31362</v>
      </c>
      <c r="G14783" t="s">
        <v>31369</v>
      </c>
      <c r="H14783" t="s">
        <v>31378</v>
      </c>
      <c r="I14783" t="s">
        <v>31386</v>
      </c>
      <c r="J14783" t="s">
        <v>40427</v>
      </c>
      <c r="K14783" t="s">
        <v>40691</v>
      </c>
      <c r="M14783" t="s">
        <v>42847</v>
      </c>
      <c r="N14783" t="s">
        <v>44905</v>
      </c>
      <c r="O14783" t="s">
        <v>44906</v>
      </c>
      <c r="P14783">
        <v>0</v>
      </c>
      <c r="Q14783">
        <v>5</v>
      </c>
      <c r="R14783" t="s">
        <v>44929</v>
      </c>
      <c r="S14783" t="s">
        <v>46002</v>
      </c>
      <c r="T14783" t="s">
        <v>46409</v>
      </c>
      <c r="U14783" t="s">
        <v>58699</v>
      </c>
      <c r="W14783" t="s">
        <v>42847</v>
      </c>
      <c r="X14783" t="s">
        <v>44930</v>
      </c>
    </row>
    <row r="14784" spans="1:24">
      <c r="A14784">
        <f>HYPERLINK("https://www.philgeps.gov.ph/GEPSNONPILOT/Tender/SplashBidNoticeAbstractUI.aspx?menuIndex=3&amp;refID=7032649&amp;Result=3","7032649")</f>
        <v>0</v>
      </c>
      <c r="B14784" t="s">
        <v>424</v>
      </c>
      <c r="C14784" t="s">
        <v>17682</v>
      </c>
      <c r="D14784" t="s">
        <v>18168</v>
      </c>
      <c r="E14784" t="s">
        <v>17682</v>
      </c>
      <c r="F14784" t="s">
        <v>31362</v>
      </c>
      <c r="G14784" t="s">
        <v>31370</v>
      </c>
      <c r="H14784" t="s">
        <v>15799</v>
      </c>
      <c r="I14784" t="s">
        <v>31467</v>
      </c>
      <c r="J14784" t="s">
        <v>40428</v>
      </c>
      <c r="K14784" t="s">
        <v>40665</v>
      </c>
      <c r="M14784" t="s">
        <v>41375</v>
      </c>
      <c r="N14784" t="s">
        <v>44905</v>
      </c>
      <c r="O14784" t="s">
        <v>44906</v>
      </c>
      <c r="Q14784">
        <v>1</v>
      </c>
      <c r="R14784" t="s">
        <v>44932</v>
      </c>
      <c r="S14784" t="s">
        <v>45669</v>
      </c>
      <c r="T14784" t="s">
        <v>46532</v>
      </c>
      <c r="U14784" t="s">
        <v>58700</v>
      </c>
      <c r="W14784" t="s">
        <v>41375</v>
      </c>
      <c r="X14784" t="s">
        <v>44933</v>
      </c>
    </row>
    <row r="14785" spans="1:24">
      <c r="A14785">
        <f>HYPERLINK("https://www.philgeps.gov.ph/GEPSNONPILOT/Tender/SplashBidNoticeAbstractUI.aspx?menuIndex=3&amp;refID=7040095&amp;Result=3","7040095")</f>
        <v>0</v>
      </c>
      <c r="B14785" t="s">
        <v>2793</v>
      </c>
      <c r="C14785" t="s">
        <v>17683</v>
      </c>
      <c r="D14785" t="s">
        <v>18158</v>
      </c>
      <c r="E14785" t="s">
        <v>30964</v>
      </c>
      <c r="F14785" t="s">
        <v>31362</v>
      </c>
      <c r="G14785" t="s">
        <v>31369</v>
      </c>
      <c r="H14785" t="s">
        <v>15799</v>
      </c>
      <c r="I14785" t="s">
        <v>31419</v>
      </c>
      <c r="J14785" t="s">
        <v>35149</v>
      </c>
      <c r="K14785" t="s">
        <v>40665</v>
      </c>
      <c r="M14785" t="s">
        <v>43990</v>
      </c>
      <c r="N14785" t="s">
        <v>44905</v>
      </c>
      <c r="O14785" t="s">
        <v>44906</v>
      </c>
      <c r="Q14785">
        <v>9</v>
      </c>
      <c r="R14785" t="s">
        <v>44929</v>
      </c>
      <c r="S14785" t="s">
        <v>46047</v>
      </c>
      <c r="T14785" t="s">
        <v>46895</v>
      </c>
      <c r="U14785" t="s">
        <v>58701</v>
      </c>
      <c r="V14785" t="s">
        <v>60763</v>
      </c>
      <c r="W14785" t="s">
        <v>43990</v>
      </c>
      <c r="X14785" t="s">
        <v>44930</v>
      </c>
    </row>
    <row r="14786" spans="1:24">
      <c r="A14786">
        <f>HYPERLINK("https://www.philgeps.gov.ph/GEPSNONPILOT/Tender/SplashBidNoticeAbstractUI.aspx?menuIndex=3&amp;refID=7030845&amp;Result=3","7030845")</f>
        <v>0</v>
      </c>
      <c r="B14786" t="s">
        <v>1539</v>
      </c>
      <c r="C14786" t="s">
        <v>17684</v>
      </c>
      <c r="D14786" t="s">
        <v>18153</v>
      </c>
      <c r="E14786" t="s">
        <v>20721</v>
      </c>
      <c r="F14786" t="s">
        <v>31362</v>
      </c>
      <c r="G14786" t="s">
        <v>31369</v>
      </c>
      <c r="H14786" t="s">
        <v>15799</v>
      </c>
      <c r="I14786" t="s">
        <v>31383</v>
      </c>
      <c r="J14786" t="s">
        <v>40429</v>
      </c>
      <c r="K14786" t="s">
        <v>40665</v>
      </c>
      <c r="M14786" t="s">
        <v>42586</v>
      </c>
      <c r="N14786" t="s">
        <v>44905</v>
      </c>
      <c r="O14786" t="s">
        <v>44906</v>
      </c>
      <c r="Q14786">
        <v>12</v>
      </c>
      <c r="R14786" t="s">
        <v>44932</v>
      </c>
      <c r="S14786" t="s">
        <v>46048</v>
      </c>
      <c r="T14786" t="s">
        <v>46429</v>
      </c>
      <c r="U14786" t="s">
        <v>58702</v>
      </c>
      <c r="W14786" t="s">
        <v>42586</v>
      </c>
      <c r="X14786" t="s">
        <v>44935</v>
      </c>
    </row>
    <row r="14787" spans="1:24">
      <c r="A14787">
        <f>HYPERLINK("https://www.philgeps.gov.ph/GEPSNONPILOT/Tender/SplashBidNoticeAbstractUI.aspx?menuIndex=3&amp;refID=7035144&amp;Result=3","7035144")</f>
        <v>0</v>
      </c>
      <c r="B14787" t="s">
        <v>122</v>
      </c>
      <c r="C14787" t="s">
        <v>17685</v>
      </c>
      <c r="D14787" t="s">
        <v>18145</v>
      </c>
      <c r="E14787" t="s">
        <v>30965</v>
      </c>
      <c r="F14787" t="s">
        <v>31364</v>
      </c>
      <c r="G14787" t="s">
        <v>31375</v>
      </c>
      <c r="H14787" t="s">
        <v>15799</v>
      </c>
      <c r="I14787" t="s">
        <v>31426</v>
      </c>
      <c r="J14787" t="s">
        <v>31785</v>
      </c>
      <c r="K14787" t="s">
        <v>40662</v>
      </c>
      <c r="M14787" t="s">
        <v>41059</v>
      </c>
      <c r="N14787" t="s">
        <v>44905</v>
      </c>
      <c r="O14787" t="s">
        <v>44906</v>
      </c>
      <c r="Q14787">
        <v>25</v>
      </c>
      <c r="R14787" t="s">
        <v>44931</v>
      </c>
      <c r="S14787" t="s">
        <v>46049</v>
      </c>
      <c r="T14787" t="s">
        <v>46896</v>
      </c>
      <c r="U14787" t="s">
        <v>58703</v>
      </c>
      <c r="W14787" t="s">
        <v>41059</v>
      </c>
      <c r="X14787" t="s">
        <v>44932</v>
      </c>
    </row>
    <row r="14788" spans="1:24">
      <c r="A14788">
        <f>HYPERLINK("https://www.philgeps.gov.ph/GEPSNONPILOT/Tender/SplashBidNoticeAbstractUI.aspx?menuIndex=3&amp;refID=7034874&amp;Result=3","7034874")</f>
        <v>0</v>
      </c>
      <c r="B14788" t="s">
        <v>2954</v>
      </c>
      <c r="C14788" t="s">
        <v>17686</v>
      </c>
      <c r="E14788" t="s">
        <v>30966</v>
      </c>
      <c r="F14788" t="s">
        <v>31362</v>
      </c>
      <c r="G14788" t="s">
        <v>31376</v>
      </c>
      <c r="H14788" t="s">
        <v>31377</v>
      </c>
      <c r="I14788" t="s">
        <v>31377</v>
      </c>
      <c r="J14788" t="s">
        <v>40430</v>
      </c>
      <c r="K14788" t="s">
        <v>40662</v>
      </c>
      <c r="M14788" t="s">
        <v>44177</v>
      </c>
      <c r="N14788" t="s">
        <v>44905</v>
      </c>
      <c r="O14788" t="s">
        <v>44906</v>
      </c>
      <c r="Q14788">
        <v>4</v>
      </c>
      <c r="R14788" t="s">
        <v>44931</v>
      </c>
      <c r="S14788" t="s">
        <v>46050</v>
      </c>
      <c r="T14788" t="s">
        <v>46409</v>
      </c>
      <c r="U14788" t="s">
        <v>58704</v>
      </c>
      <c r="W14788" t="s">
        <v>44177</v>
      </c>
      <c r="X14788" t="s">
        <v>44932</v>
      </c>
    </row>
    <row r="14789" spans="1:24">
      <c r="A14789">
        <f>HYPERLINK("https://www.philgeps.gov.ph/GEPSNONPILOT/Tender/SplashBidNoticeAbstractUI.aspx?menuIndex=3&amp;refID=7032614&amp;Result=3","7032614")</f>
        <v>0</v>
      </c>
      <c r="B14789" t="s">
        <v>3502</v>
      </c>
      <c r="C14789" t="s">
        <v>17687</v>
      </c>
      <c r="D14789" t="s">
        <v>18138</v>
      </c>
      <c r="E14789" t="s">
        <v>30967</v>
      </c>
      <c r="F14789" t="s">
        <v>31362</v>
      </c>
      <c r="G14789" t="s">
        <v>31369</v>
      </c>
      <c r="H14789" t="s">
        <v>15799</v>
      </c>
      <c r="I14789" t="s">
        <v>31414</v>
      </c>
      <c r="J14789" t="s">
        <v>31957</v>
      </c>
      <c r="K14789" t="s">
        <v>40679</v>
      </c>
      <c r="M14789" t="s">
        <v>44851</v>
      </c>
      <c r="N14789" t="s">
        <v>44905</v>
      </c>
      <c r="O14789" t="s">
        <v>44906</v>
      </c>
      <c r="Q14789">
        <v>7</v>
      </c>
      <c r="R14789" t="s">
        <v>44932</v>
      </c>
      <c r="S14789" t="s">
        <v>46051</v>
      </c>
      <c r="T14789" t="s">
        <v>46413</v>
      </c>
      <c r="U14789" t="s">
        <v>58705</v>
      </c>
      <c r="V14789" t="s">
        <v>60764</v>
      </c>
      <c r="W14789" t="s">
        <v>44851</v>
      </c>
      <c r="X14789" t="s">
        <v>44933</v>
      </c>
    </row>
    <row r="14790" spans="1:24">
      <c r="A14790">
        <f>HYPERLINK("https://www.philgeps.gov.ph/GEPSNONPILOT/Tender/SplashBidNoticeAbstractUI.aspx?menuIndex=3&amp;refID=7034732&amp;Result=3","7034732")</f>
        <v>0</v>
      </c>
      <c r="B14790" t="s">
        <v>1388</v>
      </c>
      <c r="C14790" t="s">
        <v>17688</v>
      </c>
      <c r="D14790" t="s">
        <v>18158</v>
      </c>
      <c r="E14790" t="s">
        <v>21613</v>
      </c>
      <c r="F14790" t="s">
        <v>31362</v>
      </c>
      <c r="G14790" t="s">
        <v>31369</v>
      </c>
      <c r="H14790" t="s">
        <v>15799</v>
      </c>
      <c r="I14790" t="s">
        <v>31455</v>
      </c>
      <c r="J14790" t="s">
        <v>31641</v>
      </c>
      <c r="K14790" t="s">
        <v>40662</v>
      </c>
      <c r="M14790" t="s">
        <v>42413</v>
      </c>
      <c r="N14790" t="s">
        <v>44905</v>
      </c>
      <c r="O14790" t="s">
        <v>44906</v>
      </c>
      <c r="Q14790">
        <v>0</v>
      </c>
      <c r="R14790" t="s">
        <v>44931</v>
      </c>
      <c r="S14790" t="s">
        <v>46052</v>
      </c>
      <c r="T14790" t="s">
        <v>46538</v>
      </c>
      <c r="U14790" t="s">
        <v>58706</v>
      </c>
      <c r="W14790" t="s">
        <v>42413</v>
      </c>
      <c r="X14790" t="s">
        <v>44932</v>
      </c>
    </row>
    <row r="14791" spans="1:24">
      <c r="A14791">
        <f>HYPERLINK("https://www.philgeps.gov.ph/GEPSNONPILOT/Tender/SplashBidNoticeAbstractUI.aspx?menuIndex=3&amp;refID=7031442&amp;Result=3","7031442")</f>
        <v>0</v>
      </c>
      <c r="B14791" t="s">
        <v>169</v>
      </c>
      <c r="C14791" t="s">
        <v>17689</v>
      </c>
      <c r="D14791" t="s">
        <v>18108</v>
      </c>
      <c r="E14791" t="s">
        <v>30968</v>
      </c>
      <c r="F14791" t="s">
        <v>31362</v>
      </c>
      <c r="G14791" t="s">
        <v>31369</v>
      </c>
      <c r="H14791" t="s">
        <v>15799</v>
      </c>
      <c r="I14791" t="s">
        <v>13635</v>
      </c>
      <c r="J14791" t="s">
        <v>40431</v>
      </c>
      <c r="K14791" t="s">
        <v>40679</v>
      </c>
      <c r="M14791" t="s">
        <v>44852</v>
      </c>
      <c r="N14791" t="s">
        <v>44905</v>
      </c>
      <c r="O14791" t="s">
        <v>44906</v>
      </c>
      <c r="Q14791">
        <v>43</v>
      </c>
      <c r="R14791" t="s">
        <v>44932</v>
      </c>
      <c r="S14791" t="s">
        <v>45071</v>
      </c>
      <c r="T14791" t="s">
        <v>46396</v>
      </c>
      <c r="U14791" t="s">
        <v>58707</v>
      </c>
      <c r="W14791" t="s">
        <v>44852</v>
      </c>
      <c r="X14791" t="s">
        <v>44935</v>
      </c>
    </row>
    <row r="14792" spans="1:24">
      <c r="A14792">
        <f>HYPERLINK("https://www.philgeps.gov.ph/GEPSNONPILOT/Tender/SplashBidNoticeAbstractUI.aspx?menuIndex=3&amp;refID=7030911&amp;Result=3","7030911")</f>
        <v>0</v>
      </c>
      <c r="B14792" t="s">
        <v>1539</v>
      </c>
      <c r="C14792" t="s">
        <v>17690</v>
      </c>
      <c r="D14792" t="s">
        <v>18153</v>
      </c>
      <c r="E14792" t="s">
        <v>20720</v>
      </c>
      <c r="F14792" t="s">
        <v>31362</v>
      </c>
      <c r="G14792" t="s">
        <v>31369</v>
      </c>
      <c r="H14792" t="s">
        <v>15799</v>
      </c>
      <c r="I14792" t="s">
        <v>31396</v>
      </c>
      <c r="J14792" t="s">
        <v>40432</v>
      </c>
      <c r="K14792" t="s">
        <v>40675</v>
      </c>
      <c r="M14792" t="s">
        <v>42586</v>
      </c>
      <c r="N14792" t="s">
        <v>44905</v>
      </c>
      <c r="O14792" t="s">
        <v>44906</v>
      </c>
      <c r="Q14792">
        <v>13</v>
      </c>
      <c r="R14792" t="s">
        <v>44932</v>
      </c>
      <c r="S14792" t="s">
        <v>46053</v>
      </c>
      <c r="T14792" t="s">
        <v>46449</v>
      </c>
      <c r="U14792" t="s">
        <v>58708</v>
      </c>
      <c r="W14792" t="s">
        <v>42586</v>
      </c>
      <c r="X14792" t="s">
        <v>44935</v>
      </c>
    </row>
    <row r="14793" spans="1:24">
      <c r="A14793">
        <f>HYPERLINK("https://www.philgeps.gov.ph/GEPSNONPILOT/Tender/SplashBidNoticeAbstractUI.aspx?menuIndex=3&amp;refID=7034408&amp;Result=3","7034408")</f>
        <v>0</v>
      </c>
      <c r="B14793" t="s">
        <v>3503</v>
      </c>
      <c r="C14793" t="s">
        <v>17691</v>
      </c>
      <c r="D14793" t="s">
        <v>18101</v>
      </c>
      <c r="E14793" t="s">
        <v>19255</v>
      </c>
      <c r="F14793" t="s">
        <v>31362</v>
      </c>
      <c r="G14793" t="s">
        <v>31369</v>
      </c>
      <c r="H14793" t="s">
        <v>31378</v>
      </c>
      <c r="I14793" t="s">
        <v>31386</v>
      </c>
      <c r="J14793" t="s">
        <v>31577</v>
      </c>
      <c r="K14793" t="s">
        <v>40677</v>
      </c>
      <c r="M14793" t="s">
        <v>44853</v>
      </c>
      <c r="N14793" t="s">
        <v>44905</v>
      </c>
      <c r="O14793" t="s">
        <v>44906</v>
      </c>
      <c r="Q14793">
        <v>0</v>
      </c>
      <c r="R14793" t="s">
        <v>44931</v>
      </c>
      <c r="S14793" t="s">
        <v>45230</v>
      </c>
      <c r="T14793" t="s">
        <v>46432</v>
      </c>
      <c r="U14793" t="s">
        <v>58709</v>
      </c>
      <c r="W14793" t="s">
        <v>44853</v>
      </c>
      <c r="X14793" t="s">
        <v>44932</v>
      </c>
    </row>
    <row r="14794" spans="1:24">
      <c r="A14794">
        <f>HYPERLINK("https://www.philgeps.gov.ph/GEPSNONPILOT/Tender/SplashBidNoticeAbstractUI.aspx?menuIndex=3&amp;refID=7034382&amp;Result=3","7034382")</f>
        <v>0</v>
      </c>
      <c r="B14794" t="s">
        <v>115</v>
      </c>
      <c r="C14794" t="s">
        <v>17692</v>
      </c>
      <c r="D14794" t="s">
        <v>18112</v>
      </c>
      <c r="E14794" t="s">
        <v>30969</v>
      </c>
      <c r="F14794" t="s">
        <v>31362</v>
      </c>
      <c r="G14794" t="s">
        <v>31373</v>
      </c>
      <c r="H14794" t="s">
        <v>31377</v>
      </c>
      <c r="I14794" t="s">
        <v>31377</v>
      </c>
      <c r="J14794" t="s">
        <v>40433</v>
      </c>
      <c r="K14794" t="s">
        <v>40662</v>
      </c>
      <c r="L14794" t="s">
        <v>115</v>
      </c>
      <c r="M14794" t="s">
        <v>41052</v>
      </c>
      <c r="N14794" t="s">
        <v>44905</v>
      </c>
      <c r="O14794" t="s">
        <v>44906</v>
      </c>
      <c r="Q14794">
        <v>5</v>
      </c>
      <c r="R14794" t="s">
        <v>44931</v>
      </c>
      <c r="S14794" t="s">
        <v>46054</v>
      </c>
      <c r="T14794" t="s">
        <v>46560</v>
      </c>
      <c r="U14794" t="s">
        <v>58710</v>
      </c>
      <c r="W14794" t="s">
        <v>41052</v>
      </c>
      <c r="X14794" t="s">
        <v>44932</v>
      </c>
    </row>
    <row r="14795" spans="1:24">
      <c r="A14795">
        <f>HYPERLINK("https://www.philgeps.gov.ph/GEPSNONPILOT/Tender/SplashBidNoticeAbstractUI.aspx?menuIndex=3&amp;refID=7034737&amp;Result=3","7034737")</f>
        <v>0</v>
      </c>
      <c r="B14795" t="s">
        <v>3504</v>
      </c>
      <c r="C14795" t="s">
        <v>17693</v>
      </c>
      <c r="D14795" t="s">
        <v>18101</v>
      </c>
      <c r="E14795" t="s">
        <v>19255</v>
      </c>
      <c r="F14795" t="s">
        <v>31362</v>
      </c>
      <c r="G14795" t="s">
        <v>31369</v>
      </c>
      <c r="H14795" t="s">
        <v>31379</v>
      </c>
      <c r="I14795" t="s">
        <v>31419</v>
      </c>
      <c r="J14795" t="s">
        <v>31897</v>
      </c>
      <c r="K14795" t="s">
        <v>40677</v>
      </c>
      <c r="M14795" t="s">
        <v>44854</v>
      </c>
      <c r="N14795" t="s">
        <v>44905</v>
      </c>
      <c r="O14795" t="s">
        <v>44906</v>
      </c>
      <c r="Q14795">
        <v>0</v>
      </c>
      <c r="R14795" t="s">
        <v>44931</v>
      </c>
      <c r="S14795" t="s">
        <v>45086</v>
      </c>
      <c r="T14795" t="s">
        <v>46432</v>
      </c>
      <c r="U14795" t="s">
        <v>58711</v>
      </c>
      <c r="W14795" t="s">
        <v>44854</v>
      </c>
      <c r="X14795" t="s">
        <v>44932</v>
      </c>
    </row>
    <row r="14796" spans="1:24">
      <c r="A14796">
        <f>HYPERLINK("https://www.philgeps.gov.ph/GEPSNONPILOT/Tender/SplashBidNoticeAbstractUI.aspx?menuIndex=3&amp;refID=7034328&amp;Result=3","7034328")</f>
        <v>0</v>
      </c>
      <c r="B14796" t="s">
        <v>115</v>
      </c>
      <c r="C14796" t="s">
        <v>17694</v>
      </c>
      <c r="D14796" t="s">
        <v>18138</v>
      </c>
      <c r="E14796" t="s">
        <v>30970</v>
      </c>
      <c r="F14796" t="s">
        <v>31362</v>
      </c>
      <c r="G14796" t="s">
        <v>31373</v>
      </c>
      <c r="H14796" t="s">
        <v>31377</v>
      </c>
      <c r="I14796" t="s">
        <v>31377</v>
      </c>
      <c r="J14796" t="s">
        <v>40434</v>
      </c>
      <c r="K14796" t="s">
        <v>40662</v>
      </c>
      <c r="L14796" t="s">
        <v>115</v>
      </c>
      <c r="M14796" t="s">
        <v>41052</v>
      </c>
      <c r="N14796" t="s">
        <v>44905</v>
      </c>
      <c r="O14796" t="s">
        <v>44906</v>
      </c>
      <c r="Q14796">
        <v>5</v>
      </c>
      <c r="R14796" t="s">
        <v>44931</v>
      </c>
      <c r="S14796" t="s">
        <v>46055</v>
      </c>
      <c r="T14796" t="s">
        <v>46897</v>
      </c>
      <c r="U14796" t="s">
        <v>58712</v>
      </c>
      <c r="W14796" t="s">
        <v>41052</v>
      </c>
      <c r="X14796" t="s">
        <v>44932</v>
      </c>
    </row>
    <row r="14797" spans="1:24">
      <c r="A14797">
        <f>HYPERLINK("https://www.philgeps.gov.ph/GEPSNONPILOT/Tender/SplashBidNoticeAbstractUI.aspx?menuIndex=3&amp;refID=7034407&amp;Result=3","7034407")</f>
        <v>0</v>
      </c>
      <c r="B14797" t="s">
        <v>115</v>
      </c>
      <c r="C14797" t="s">
        <v>17695</v>
      </c>
      <c r="D14797" t="s">
        <v>18138</v>
      </c>
      <c r="E14797" t="s">
        <v>30971</v>
      </c>
      <c r="F14797" t="s">
        <v>31362</v>
      </c>
      <c r="G14797" t="s">
        <v>31373</v>
      </c>
      <c r="H14797" t="s">
        <v>31377</v>
      </c>
      <c r="I14797" t="s">
        <v>31377</v>
      </c>
      <c r="J14797" t="s">
        <v>40435</v>
      </c>
      <c r="K14797" t="s">
        <v>40662</v>
      </c>
      <c r="L14797" t="s">
        <v>115</v>
      </c>
      <c r="M14797" t="s">
        <v>41052</v>
      </c>
      <c r="N14797" t="s">
        <v>44905</v>
      </c>
      <c r="O14797" t="s">
        <v>44906</v>
      </c>
      <c r="Q14797">
        <v>5</v>
      </c>
      <c r="R14797" t="s">
        <v>44931</v>
      </c>
      <c r="S14797" t="s">
        <v>46056</v>
      </c>
      <c r="T14797" t="s">
        <v>46560</v>
      </c>
      <c r="U14797" t="s">
        <v>58713</v>
      </c>
      <c r="W14797" t="s">
        <v>41052</v>
      </c>
      <c r="X14797" t="s">
        <v>44932</v>
      </c>
    </row>
    <row r="14798" spans="1:24">
      <c r="A14798">
        <f>HYPERLINK("https://www.philgeps.gov.ph/GEPSNONPILOT/Tender/SplashBidNoticeAbstractUI.aspx?menuIndex=3&amp;refID=7032270&amp;Result=3","7032270")</f>
        <v>0</v>
      </c>
      <c r="B14798" t="s">
        <v>351</v>
      </c>
      <c r="C14798" t="s">
        <v>17696</v>
      </c>
      <c r="D14798" t="s">
        <v>18142</v>
      </c>
      <c r="E14798" t="s">
        <v>30972</v>
      </c>
      <c r="F14798" t="s">
        <v>31362</v>
      </c>
      <c r="G14798" t="s">
        <v>31369</v>
      </c>
      <c r="H14798" t="s">
        <v>15799</v>
      </c>
      <c r="I14798" t="s">
        <v>4283</v>
      </c>
      <c r="J14798" t="s">
        <v>40436</v>
      </c>
      <c r="K14798" t="s">
        <v>40661</v>
      </c>
      <c r="M14798" t="s">
        <v>41880</v>
      </c>
      <c r="N14798" t="s">
        <v>44905</v>
      </c>
      <c r="O14798" t="s">
        <v>44906</v>
      </c>
      <c r="Q14798">
        <v>5</v>
      </c>
      <c r="R14798" t="s">
        <v>44932</v>
      </c>
      <c r="S14798" t="s">
        <v>46057</v>
      </c>
      <c r="T14798" t="s">
        <v>46528</v>
      </c>
      <c r="U14798" t="s">
        <v>58714</v>
      </c>
      <c r="W14798" t="s">
        <v>41880</v>
      </c>
      <c r="X14798" t="s">
        <v>44934</v>
      </c>
    </row>
    <row r="14799" spans="1:24">
      <c r="A14799">
        <f>HYPERLINK("https://www.philgeps.gov.ph/GEPSNONPILOT/Tender/SplashBidNoticeAbstractUI.aspx?menuIndex=3&amp;refID=7034719&amp;Result=3","7034719")</f>
        <v>0</v>
      </c>
      <c r="B14799" t="s">
        <v>255</v>
      </c>
      <c r="C14799" t="s">
        <v>17697</v>
      </c>
      <c r="E14799" t="s">
        <v>30973</v>
      </c>
      <c r="F14799" t="s">
        <v>31362</v>
      </c>
      <c r="G14799" t="s">
        <v>31369</v>
      </c>
      <c r="H14799" t="s">
        <v>15799</v>
      </c>
      <c r="I14799" t="s">
        <v>31409</v>
      </c>
      <c r="J14799" t="s">
        <v>40437</v>
      </c>
      <c r="K14799" t="s">
        <v>40683</v>
      </c>
      <c r="M14799" t="s">
        <v>41195</v>
      </c>
      <c r="N14799" t="s">
        <v>44905</v>
      </c>
      <c r="O14799" t="s">
        <v>44906</v>
      </c>
      <c r="Q14799">
        <v>14</v>
      </c>
      <c r="R14799" t="s">
        <v>44931</v>
      </c>
      <c r="S14799" t="s">
        <v>46058</v>
      </c>
      <c r="T14799" t="s">
        <v>46511</v>
      </c>
      <c r="U14799" t="s">
        <v>58715</v>
      </c>
      <c r="W14799" t="s">
        <v>41195</v>
      </c>
      <c r="X14799" t="s">
        <v>44932</v>
      </c>
    </row>
    <row r="14800" spans="1:24">
      <c r="A14800">
        <f>HYPERLINK("https://www.philgeps.gov.ph/GEPSNONPILOT/Tender/SplashBidNoticeAbstractUI.aspx?menuIndex=3&amp;refID=7031972&amp;Result=3","7031972")</f>
        <v>0</v>
      </c>
      <c r="B14800" t="s">
        <v>3505</v>
      </c>
      <c r="C14800" t="s">
        <v>17698</v>
      </c>
      <c r="D14800" t="s">
        <v>18155</v>
      </c>
      <c r="E14800" t="s">
        <v>30974</v>
      </c>
      <c r="F14800" t="s">
        <v>31362</v>
      </c>
      <c r="G14800" t="s">
        <v>31369</v>
      </c>
      <c r="H14800" t="s">
        <v>15799</v>
      </c>
      <c r="I14800" t="s">
        <v>31393</v>
      </c>
      <c r="J14800" t="s">
        <v>40438</v>
      </c>
      <c r="K14800" t="s">
        <v>40682</v>
      </c>
      <c r="M14800" t="s">
        <v>44855</v>
      </c>
      <c r="N14800" t="s">
        <v>44905</v>
      </c>
      <c r="O14800" t="s">
        <v>44906</v>
      </c>
      <c r="Q14800">
        <v>12</v>
      </c>
      <c r="R14800" t="s">
        <v>44933</v>
      </c>
      <c r="S14800" t="s">
        <v>46059</v>
      </c>
      <c r="T14800" t="s">
        <v>46403</v>
      </c>
      <c r="U14800" t="s">
        <v>58716</v>
      </c>
      <c r="W14800" t="s">
        <v>44855</v>
      </c>
      <c r="X14800" t="s">
        <v>44934</v>
      </c>
    </row>
    <row r="14801" spans="1:24">
      <c r="A14801">
        <f>HYPERLINK("https://www.philgeps.gov.ph/GEPSNONPILOT/Tender/SplashBidNoticeAbstractUI.aspx?menuIndex=3&amp;refID=6929481&amp;Result=3","6929481")</f>
        <v>0</v>
      </c>
      <c r="B14801" t="s">
        <v>388</v>
      </c>
      <c r="C14801" t="s">
        <v>4272</v>
      </c>
      <c r="D14801" t="s">
        <v>18108</v>
      </c>
      <c r="E14801" t="s">
        <v>18915</v>
      </c>
      <c r="F14801" t="s">
        <v>31362</v>
      </c>
      <c r="G14801" t="s">
        <v>31369</v>
      </c>
      <c r="H14801" t="s">
        <v>15799</v>
      </c>
      <c r="I14801" t="s">
        <v>7188</v>
      </c>
      <c r="J14801" t="s">
        <v>32112</v>
      </c>
      <c r="K14801" t="s">
        <v>40662</v>
      </c>
      <c r="M14801" t="s">
        <v>41336</v>
      </c>
      <c r="N14801" t="s">
        <v>44905</v>
      </c>
      <c r="O14801" t="s">
        <v>44906</v>
      </c>
      <c r="P14801">
        <v>0</v>
      </c>
      <c r="Q14801">
        <v>22</v>
      </c>
      <c r="R14801" t="s">
        <v>44932</v>
      </c>
      <c r="S14801" t="s">
        <v>46060</v>
      </c>
      <c r="T14801" t="s">
        <v>46480</v>
      </c>
      <c r="U14801" t="s">
        <v>58717</v>
      </c>
      <c r="W14801" t="s">
        <v>41336</v>
      </c>
      <c r="X14801" t="s">
        <v>44976</v>
      </c>
    </row>
    <row r="14802" spans="1:24">
      <c r="A14802">
        <f>HYPERLINK("https://www.philgeps.gov.ph/GEPSNONPILOT/Tender/SplashBidNoticeAbstractUI.aspx?menuIndex=3&amp;refID=7034451&amp;Result=3","7034451")</f>
        <v>0</v>
      </c>
      <c r="B14802" t="s">
        <v>658</v>
      </c>
      <c r="C14802" t="s">
        <v>17699</v>
      </c>
      <c r="D14802" t="s">
        <v>18108</v>
      </c>
      <c r="E14802" t="s">
        <v>30975</v>
      </c>
      <c r="F14802" t="s">
        <v>31362</v>
      </c>
      <c r="G14802" t="s">
        <v>31369</v>
      </c>
      <c r="H14802" t="s">
        <v>15799</v>
      </c>
      <c r="I14802" t="s">
        <v>7090</v>
      </c>
      <c r="J14802" t="s">
        <v>40439</v>
      </c>
      <c r="K14802" t="s">
        <v>40662</v>
      </c>
      <c r="M14802" t="s">
        <v>44856</v>
      </c>
      <c r="N14802" t="s">
        <v>44905</v>
      </c>
      <c r="O14802" t="s">
        <v>44906</v>
      </c>
      <c r="Q14802">
        <v>6</v>
      </c>
      <c r="R14802" t="s">
        <v>44931</v>
      </c>
      <c r="S14802" t="s">
        <v>46061</v>
      </c>
      <c r="T14802" t="s">
        <v>46432</v>
      </c>
      <c r="U14802" t="s">
        <v>58718</v>
      </c>
      <c r="W14802" t="s">
        <v>44856</v>
      </c>
      <c r="X14802" t="s">
        <v>44932</v>
      </c>
    </row>
    <row r="14803" spans="1:24">
      <c r="A14803">
        <f>HYPERLINK("https://www.philgeps.gov.ph/GEPSNONPILOT/Tender/SplashBidNoticeAbstractUI.aspx?menuIndex=3&amp;refID=7031875&amp;Result=3","7031875")</f>
        <v>0</v>
      </c>
      <c r="B14803" t="s">
        <v>3506</v>
      </c>
      <c r="C14803" t="s">
        <v>17700</v>
      </c>
      <c r="D14803" t="s">
        <v>18127</v>
      </c>
      <c r="E14803" t="s">
        <v>19064</v>
      </c>
      <c r="F14803" t="s">
        <v>31362</v>
      </c>
      <c r="G14803" t="s">
        <v>31369</v>
      </c>
      <c r="H14803" t="s">
        <v>31378</v>
      </c>
      <c r="I14803" t="s">
        <v>31386</v>
      </c>
      <c r="J14803" t="s">
        <v>31536</v>
      </c>
      <c r="K14803" t="s">
        <v>40665</v>
      </c>
      <c r="M14803" t="s">
        <v>44857</v>
      </c>
      <c r="N14803" t="s">
        <v>44905</v>
      </c>
      <c r="O14803" t="s">
        <v>44906</v>
      </c>
      <c r="P14803">
        <v>0</v>
      </c>
      <c r="Q14803">
        <v>0</v>
      </c>
      <c r="R14803" t="s">
        <v>44934</v>
      </c>
      <c r="S14803" t="s">
        <v>46062</v>
      </c>
      <c r="T14803" t="s">
        <v>46419</v>
      </c>
      <c r="U14803" t="s">
        <v>58719</v>
      </c>
      <c r="V14803" t="s">
        <v>58719</v>
      </c>
      <c r="W14803" t="s">
        <v>44857</v>
      </c>
      <c r="X14803" t="s">
        <v>44935</v>
      </c>
    </row>
    <row r="14804" spans="1:24">
      <c r="A14804">
        <f>HYPERLINK("https://www.philgeps.gov.ph/GEPSNONPILOT/Tender/SplashBidNoticeAbstractUI.aspx?menuIndex=3&amp;refID=7030732&amp;Result=3","7030732")</f>
        <v>0</v>
      </c>
      <c r="B14804" t="s">
        <v>679</v>
      </c>
      <c r="C14804" t="s">
        <v>17701</v>
      </c>
      <c r="D14804" t="s">
        <v>18148</v>
      </c>
      <c r="E14804" t="s">
        <v>30976</v>
      </c>
      <c r="F14804" t="s">
        <v>31362</v>
      </c>
      <c r="G14804" t="s">
        <v>31369</v>
      </c>
      <c r="H14804" t="s">
        <v>15799</v>
      </c>
      <c r="I14804" t="s">
        <v>31469</v>
      </c>
      <c r="J14804" t="s">
        <v>40440</v>
      </c>
      <c r="K14804" t="s">
        <v>40682</v>
      </c>
      <c r="M14804" t="s">
        <v>44858</v>
      </c>
      <c r="N14804" t="s">
        <v>44905</v>
      </c>
      <c r="O14804" t="s">
        <v>44906</v>
      </c>
      <c r="Q14804">
        <v>9</v>
      </c>
      <c r="R14804" t="s">
        <v>44934</v>
      </c>
      <c r="S14804" t="s">
        <v>46063</v>
      </c>
      <c r="T14804" t="s">
        <v>46486</v>
      </c>
      <c r="U14804" t="s">
        <v>58720</v>
      </c>
      <c r="W14804" t="s">
        <v>44858</v>
      </c>
      <c r="X14804" t="s">
        <v>44935</v>
      </c>
    </row>
    <row r="14805" spans="1:24">
      <c r="A14805">
        <f>HYPERLINK("https://www.philgeps.gov.ph/GEPSNONPILOT/Tender/SplashBidNoticeAbstractUI.aspx?menuIndex=3&amp;refID=7030722&amp;Result=3","7030722")</f>
        <v>0</v>
      </c>
      <c r="B14805" t="s">
        <v>679</v>
      </c>
      <c r="C14805" t="s">
        <v>17702</v>
      </c>
      <c r="D14805" t="s">
        <v>18148</v>
      </c>
      <c r="E14805" t="s">
        <v>30977</v>
      </c>
      <c r="F14805" t="s">
        <v>31362</v>
      </c>
      <c r="G14805" t="s">
        <v>31369</v>
      </c>
      <c r="H14805" t="s">
        <v>15799</v>
      </c>
      <c r="I14805" t="s">
        <v>31469</v>
      </c>
      <c r="J14805" t="s">
        <v>40441</v>
      </c>
      <c r="K14805" t="s">
        <v>40665</v>
      </c>
      <c r="M14805" t="s">
        <v>44858</v>
      </c>
      <c r="N14805" t="s">
        <v>44905</v>
      </c>
      <c r="O14805" t="s">
        <v>44906</v>
      </c>
      <c r="Q14805">
        <v>6</v>
      </c>
      <c r="R14805" t="s">
        <v>44934</v>
      </c>
      <c r="S14805" t="s">
        <v>46064</v>
      </c>
      <c r="T14805" t="s">
        <v>46486</v>
      </c>
      <c r="U14805" t="s">
        <v>58721</v>
      </c>
      <c r="W14805" t="s">
        <v>44858</v>
      </c>
      <c r="X14805" t="s">
        <v>44935</v>
      </c>
    </row>
    <row r="14806" spans="1:24">
      <c r="A14806">
        <f>HYPERLINK("https://www.philgeps.gov.ph/GEPSNONPILOT/Tender/SplashBidNoticeAbstractUI.aspx?menuIndex=3&amp;refID=7031649&amp;Result=3","7031649")</f>
        <v>0</v>
      </c>
      <c r="B14806" t="s">
        <v>3507</v>
      </c>
      <c r="C14806" t="s">
        <v>17703</v>
      </c>
      <c r="D14806" t="s">
        <v>18158</v>
      </c>
      <c r="E14806" t="s">
        <v>30978</v>
      </c>
      <c r="F14806" t="s">
        <v>31362</v>
      </c>
      <c r="G14806" t="s">
        <v>31369</v>
      </c>
      <c r="H14806" t="s">
        <v>15799</v>
      </c>
      <c r="I14806" t="s">
        <v>31422</v>
      </c>
      <c r="J14806" t="s">
        <v>40442</v>
      </c>
      <c r="K14806" t="s">
        <v>40665</v>
      </c>
      <c r="M14806" t="s">
        <v>44859</v>
      </c>
      <c r="N14806" t="s">
        <v>44905</v>
      </c>
      <c r="O14806" t="s">
        <v>44906</v>
      </c>
      <c r="Q14806">
        <v>6</v>
      </c>
      <c r="R14806" t="s">
        <v>44934</v>
      </c>
      <c r="S14806" t="s">
        <v>45095</v>
      </c>
      <c r="T14806" t="s">
        <v>46605</v>
      </c>
      <c r="U14806" t="s">
        <v>58722</v>
      </c>
      <c r="W14806" t="s">
        <v>44859</v>
      </c>
      <c r="X14806" t="s">
        <v>44935</v>
      </c>
    </row>
    <row r="14807" spans="1:24">
      <c r="A14807">
        <f>HYPERLINK("https://www.philgeps.gov.ph/GEPSNONPILOT/Tender/SplashBidNoticeAbstractUI.aspx?menuIndex=3&amp;refID=7031089&amp;Result=3","7031089")</f>
        <v>0</v>
      </c>
      <c r="B14807" t="s">
        <v>1235</v>
      </c>
      <c r="C14807" t="s">
        <v>17704</v>
      </c>
      <c r="E14807" t="s">
        <v>30979</v>
      </c>
      <c r="F14807" t="s">
        <v>31362</v>
      </c>
      <c r="G14807" t="s">
        <v>31369</v>
      </c>
      <c r="H14807" t="s">
        <v>15799</v>
      </c>
      <c r="I14807" t="s">
        <v>31399</v>
      </c>
      <c r="J14807" t="s">
        <v>40443</v>
      </c>
      <c r="K14807" t="s">
        <v>40662</v>
      </c>
      <c r="M14807" t="s">
        <v>42249</v>
      </c>
      <c r="N14807" t="s">
        <v>44905</v>
      </c>
      <c r="O14807" t="s">
        <v>44906</v>
      </c>
      <c r="Q14807">
        <v>15</v>
      </c>
      <c r="R14807" t="s">
        <v>44934</v>
      </c>
      <c r="S14807" t="s">
        <v>46065</v>
      </c>
      <c r="T14807" t="s">
        <v>46481</v>
      </c>
      <c r="U14807" t="s">
        <v>58723</v>
      </c>
      <c r="W14807" t="s">
        <v>42249</v>
      </c>
      <c r="X14807" t="s">
        <v>44935</v>
      </c>
    </row>
    <row r="14808" spans="1:24">
      <c r="A14808">
        <f>HYPERLINK("https://www.philgeps.gov.ph/GEPSNONPILOT/Tender/SplashBidNoticeAbstractUI.aspx?menuIndex=3&amp;refID=7030740&amp;Result=3","7030740")</f>
        <v>0</v>
      </c>
      <c r="B14808" t="s">
        <v>679</v>
      </c>
      <c r="C14808" t="s">
        <v>17705</v>
      </c>
      <c r="D14808" t="s">
        <v>18148</v>
      </c>
      <c r="E14808" t="s">
        <v>30980</v>
      </c>
      <c r="F14808" t="s">
        <v>31362</v>
      </c>
      <c r="G14808" t="s">
        <v>31369</v>
      </c>
      <c r="H14808" t="s">
        <v>15799</v>
      </c>
      <c r="I14808" t="s">
        <v>31444</v>
      </c>
      <c r="J14808" t="s">
        <v>40444</v>
      </c>
      <c r="K14808" t="s">
        <v>40679</v>
      </c>
      <c r="M14808" t="s">
        <v>44858</v>
      </c>
      <c r="N14808" t="s">
        <v>44905</v>
      </c>
      <c r="O14808" t="s">
        <v>44906</v>
      </c>
      <c r="Q14808">
        <v>9</v>
      </c>
      <c r="R14808" t="s">
        <v>44934</v>
      </c>
      <c r="S14808" t="s">
        <v>46066</v>
      </c>
      <c r="T14808" t="s">
        <v>46486</v>
      </c>
      <c r="U14808" t="s">
        <v>58724</v>
      </c>
      <c r="W14808" t="s">
        <v>44858</v>
      </c>
      <c r="X14808" t="s">
        <v>44935</v>
      </c>
    </row>
    <row r="14809" spans="1:24">
      <c r="A14809">
        <f>HYPERLINK("https://www.philgeps.gov.ph/GEPSNONPILOT/Tender/SplashBidNoticeAbstractUI.aspx?menuIndex=3&amp;refID=7028950&amp;Result=3","7028950")</f>
        <v>0</v>
      </c>
      <c r="B14809" t="s">
        <v>2668</v>
      </c>
      <c r="C14809" t="s">
        <v>17706</v>
      </c>
      <c r="D14809" t="s">
        <v>18177</v>
      </c>
      <c r="E14809" t="s">
        <v>30981</v>
      </c>
      <c r="F14809" t="s">
        <v>31362</v>
      </c>
      <c r="G14809" t="s">
        <v>31369</v>
      </c>
      <c r="H14809" t="s">
        <v>31378</v>
      </c>
      <c r="I14809" t="s">
        <v>31386</v>
      </c>
      <c r="J14809" t="s">
        <v>32673</v>
      </c>
      <c r="K14809" t="s">
        <v>40798</v>
      </c>
      <c r="M14809" t="s">
        <v>43852</v>
      </c>
      <c r="N14809" t="s">
        <v>44905</v>
      </c>
      <c r="O14809" t="s">
        <v>44906</v>
      </c>
      <c r="Q14809">
        <v>0</v>
      </c>
      <c r="R14809" t="s">
        <v>44935</v>
      </c>
      <c r="S14809" t="s">
        <v>46067</v>
      </c>
      <c r="T14809" t="s">
        <v>46533</v>
      </c>
      <c r="U14809" t="s">
        <v>58725</v>
      </c>
      <c r="W14809" t="s">
        <v>43852</v>
      </c>
      <c r="X14809" t="s">
        <v>44936</v>
      </c>
    </row>
    <row r="14810" spans="1:24">
      <c r="A14810">
        <f>HYPERLINK("https://www.philgeps.gov.ph/GEPSNONPILOT/Tender/SplashBidNoticeAbstractUI.aspx?menuIndex=3&amp;refID=7030655&amp;Result=3","7030655")</f>
        <v>0</v>
      </c>
      <c r="B14810" t="s">
        <v>1479</v>
      </c>
      <c r="C14810" t="s">
        <v>17707</v>
      </c>
      <c r="D14810" t="s">
        <v>18122</v>
      </c>
      <c r="E14810" t="s">
        <v>30982</v>
      </c>
      <c r="F14810" t="s">
        <v>31362</v>
      </c>
      <c r="G14810" t="s">
        <v>31369</v>
      </c>
      <c r="H14810" t="s">
        <v>15799</v>
      </c>
      <c r="I14810" t="s">
        <v>31409</v>
      </c>
      <c r="J14810" t="s">
        <v>32130</v>
      </c>
      <c r="K14810" t="s">
        <v>40665</v>
      </c>
      <c r="M14810" t="s">
        <v>42515</v>
      </c>
      <c r="N14810" t="s">
        <v>44905</v>
      </c>
      <c r="O14810" t="s">
        <v>44906</v>
      </c>
      <c r="Q14810">
        <v>5</v>
      </c>
      <c r="R14810" t="s">
        <v>44934</v>
      </c>
      <c r="S14810" t="s">
        <v>46068</v>
      </c>
      <c r="T14810" t="s">
        <v>46893</v>
      </c>
      <c r="U14810" t="s">
        <v>58726</v>
      </c>
      <c r="W14810" t="s">
        <v>60897</v>
      </c>
      <c r="X14810" t="s">
        <v>44935</v>
      </c>
    </row>
    <row r="14811" spans="1:24">
      <c r="A14811">
        <f>HYPERLINK("https://www.philgeps.gov.ph/GEPSNONPILOT/Tender/SplashBidNoticeAbstractUI.aspx?menuIndex=3&amp;refID=7028526&amp;Result=3","7028526")</f>
        <v>0</v>
      </c>
      <c r="B14811" t="s">
        <v>3508</v>
      </c>
      <c r="C14811" t="s">
        <v>17708</v>
      </c>
      <c r="D14811" t="s">
        <v>18117</v>
      </c>
      <c r="E14811" t="s">
        <v>24552</v>
      </c>
      <c r="F14811" t="s">
        <v>31362</v>
      </c>
      <c r="G14811" t="s">
        <v>31369</v>
      </c>
      <c r="H14811" t="s">
        <v>15799</v>
      </c>
      <c r="I14811" t="s">
        <v>31455</v>
      </c>
      <c r="J14811" t="s">
        <v>40445</v>
      </c>
      <c r="K14811" t="s">
        <v>40665</v>
      </c>
      <c r="M14811" t="s">
        <v>44860</v>
      </c>
      <c r="N14811" t="s">
        <v>44905</v>
      </c>
      <c r="O14811" t="s">
        <v>44906</v>
      </c>
      <c r="P14811">
        <v>0</v>
      </c>
      <c r="Q14811">
        <v>1</v>
      </c>
      <c r="R14811" t="s">
        <v>44935</v>
      </c>
      <c r="S14811" t="s">
        <v>46069</v>
      </c>
      <c r="T14811" t="s">
        <v>46438</v>
      </c>
      <c r="U14811" t="s">
        <v>58727</v>
      </c>
      <c r="V14811" t="s">
        <v>60755</v>
      </c>
      <c r="W14811" t="s">
        <v>44860</v>
      </c>
      <c r="X14811" t="s">
        <v>44936</v>
      </c>
    </row>
    <row r="14812" spans="1:24">
      <c r="A14812">
        <f>HYPERLINK("https://www.philgeps.gov.ph/GEPSNONPILOT/Tender/SplashBidNoticeAbstractUI.aspx?menuIndex=3&amp;refID=7028056&amp;Result=3","7028056")</f>
        <v>0</v>
      </c>
      <c r="B14812" t="s">
        <v>516</v>
      </c>
      <c r="C14812" t="s">
        <v>17709</v>
      </c>
      <c r="D14812" t="s">
        <v>18102</v>
      </c>
      <c r="E14812" t="s">
        <v>30983</v>
      </c>
      <c r="F14812" t="s">
        <v>31362</v>
      </c>
      <c r="G14812" t="s">
        <v>31368</v>
      </c>
      <c r="H14812" t="s">
        <v>15799</v>
      </c>
      <c r="I14812" t="s">
        <v>7090</v>
      </c>
      <c r="J14812" t="s">
        <v>40446</v>
      </c>
      <c r="K14812" t="s">
        <v>40682</v>
      </c>
      <c r="M14812" t="s">
        <v>43558</v>
      </c>
      <c r="N14812" t="s">
        <v>44905</v>
      </c>
      <c r="O14812" t="s">
        <v>44906</v>
      </c>
      <c r="Q14812">
        <v>5</v>
      </c>
      <c r="R14812" t="s">
        <v>44935</v>
      </c>
      <c r="S14812" t="s">
        <v>46070</v>
      </c>
      <c r="T14812" t="s">
        <v>46411</v>
      </c>
      <c r="U14812" t="s">
        <v>53439</v>
      </c>
      <c r="W14812" t="s">
        <v>43558</v>
      </c>
      <c r="X14812" t="s">
        <v>44936</v>
      </c>
    </row>
    <row r="14813" spans="1:24">
      <c r="A14813">
        <f>HYPERLINK("https://www.philgeps.gov.ph/GEPSNONPILOT/Tender/SplashBidNoticeAbstractUI.aspx?menuIndex=3&amp;refID=7031820&amp;Result=3","7031820")</f>
        <v>0</v>
      </c>
      <c r="B14813" t="s">
        <v>3509</v>
      </c>
      <c r="C14813" t="s">
        <v>17710</v>
      </c>
      <c r="D14813" t="s">
        <v>18185</v>
      </c>
      <c r="E14813" t="s">
        <v>30984</v>
      </c>
      <c r="F14813" t="s">
        <v>31362</v>
      </c>
      <c r="G14813" t="s">
        <v>31369</v>
      </c>
      <c r="H14813" t="s">
        <v>31379</v>
      </c>
      <c r="I14813" t="s">
        <v>31477</v>
      </c>
      <c r="J14813" t="s">
        <v>37671</v>
      </c>
      <c r="K14813" t="s">
        <v>40686</v>
      </c>
      <c r="M14813" t="s">
        <v>44861</v>
      </c>
      <c r="N14813" t="s">
        <v>44905</v>
      </c>
      <c r="O14813" t="s">
        <v>44906</v>
      </c>
      <c r="Q14813">
        <v>12</v>
      </c>
      <c r="R14813" t="s">
        <v>44934</v>
      </c>
      <c r="S14813" t="s">
        <v>46071</v>
      </c>
      <c r="T14813" t="s">
        <v>46453</v>
      </c>
      <c r="U14813" t="s">
        <v>58728</v>
      </c>
      <c r="W14813" t="s">
        <v>44861</v>
      </c>
      <c r="X14813" t="s">
        <v>44935</v>
      </c>
    </row>
    <row r="14814" spans="1:24">
      <c r="A14814">
        <f>HYPERLINK("https://www.philgeps.gov.ph/GEPSNONPILOT/Tender/SplashBidNoticeAbstractUI.aspx?menuIndex=3&amp;refID=7026503&amp;Result=3","7026503")</f>
        <v>0</v>
      </c>
      <c r="B14814" t="s">
        <v>2951</v>
      </c>
      <c r="C14814" t="s">
        <v>17711</v>
      </c>
      <c r="D14814" t="s">
        <v>18151</v>
      </c>
      <c r="E14814" t="s">
        <v>30985</v>
      </c>
      <c r="F14814" t="s">
        <v>31362</v>
      </c>
      <c r="G14814" t="s">
        <v>31369</v>
      </c>
      <c r="H14814" t="s">
        <v>15799</v>
      </c>
      <c r="I14814" t="s">
        <v>31427</v>
      </c>
      <c r="J14814" t="s">
        <v>35080</v>
      </c>
      <c r="K14814" t="s">
        <v>40677</v>
      </c>
      <c r="M14814" t="s">
        <v>44174</v>
      </c>
      <c r="N14814" t="s">
        <v>44905</v>
      </c>
      <c r="O14814" t="s">
        <v>44906</v>
      </c>
      <c r="Q14814">
        <v>9</v>
      </c>
      <c r="R14814" t="s">
        <v>44935</v>
      </c>
      <c r="S14814" t="s">
        <v>46072</v>
      </c>
      <c r="T14814" t="s">
        <v>46898</v>
      </c>
      <c r="U14814" t="s">
        <v>58729</v>
      </c>
      <c r="W14814" t="s">
        <v>44174</v>
      </c>
      <c r="X14814" t="s">
        <v>44937</v>
      </c>
    </row>
    <row r="14815" spans="1:24">
      <c r="A14815">
        <f>HYPERLINK("https://www.philgeps.gov.ph/GEPSNONPILOT/Tender/SplashBidNoticeAbstractUI.aspx?menuIndex=3&amp;refID=7032337&amp;Result=3","7032337")</f>
        <v>0</v>
      </c>
      <c r="B14815" t="s">
        <v>3501</v>
      </c>
      <c r="C14815" t="s">
        <v>17712</v>
      </c>
      <c r="E14815" t="s">
        <v>30986</v>
      </c>
      <c r="F14815" t="s">
        <v>31362</v>
      </c>
      <c r="G14815" t="s">
        <v>31369</v>
      </c>
      <c r="H14815" t="s">
        <v>15799</v>
      </c>
      <c r="I14815" t="s">
        <v>31478</v>
      </c>
      <c r="J14815" t="s">
        <v>31957</v>
      </c>
      <c r="K14815" t="s">
        <v>40682</v>
      </c>
      <c r="M14815" t="s">
        <v>44850</v>
      </c>
      <c r="N14815" t="s">
        <v>44905</v>
      </c>
      <c r="O14815" t="s">
        <v>44906</v>
      </c>
      <c r="Q14815">
        <v>11</v>
      </c>
      <c r="R14815" t="s">
        <v>44933</v>
      </c>
      <c r="S14815" t="s">
        <v>46073</v>
      </c>
      <c r="T14815" t="s">
        <v>46534</v>
      </c>
      <c r="U14815" t="s">
        <v>58730</v>
      </c>
      <c r="W14815" t="s">
        <v>44850</v>
      </c>
      <c r="X14815" t="s">
        <v>44934</v>
      </c>
    </row>
    <row r="14816" spans="1:24">
      <c r="A14816">
        <f>HYPERLINK("https://www.philgeps.gov.ph/GEPSNONPILOT/Tender/SplashBidNoticeAbstractUI.aspx?menuIndex=3&amp;refID=7028361&amp;Result=3","7028361")</f>
        <v>0</v>
      </c>
      <c r="B14816" t="s">
        <v>1150</v>
      </c>
      <c r="C14816" t="s">
        <v>17713</v>
      </c>
      <c r="E14816" t="s">
        <v>30987</v>
      </c>
      <c r="F14816" t="s">
        <v>31362</v>
      </c>
      <c r="G14816" t="s">
        <v>31369</v>
      </c>
      <c r="H14816" t="s">
        <v>31377</v>
      </c>
      <c r="I14816" t="s">
        <v>31377</v>
      </c>
      <c r="J14816" t="s">
        <v>31709</v>
      </c>
      <c r="K14816" t="s">
        <v>40662</v>
      </c>
      <c r="M14816" t="s">
        <v>42159</v>
      </c>
      <c r="N14816" t="s">
        <v>44905</v>
      </c>
      <c r="O14816" t="s">
        <v>44906</v>
      </c>
      <c r="Q14816">
        <v>14</v>
      </c>
      <c r="R14816" t="s">
        <v>44935</v>
      </c>
      <c r="S14816" t="s">
        <v>46074</v>
      </c>
      <c r="T14816" t="s">
        <v>46410</v>
      </c>
      <c r="U14816" t="s">
        <v>58731</v>
      </c>
      <c r="W14816" t="s">
        <v>42159</v>
      </c>
      <c r="X14816" t="s">
        <v>44936</v>
      </c>
    </row>
    <row r="14817" spans="1:24">
      <c r="A14817">
        <f>HYPERLINK("https://www.philgeps.gov.ph/GEPSNONPILOT/Tender/SplashBidNoticeAbstractUI.aspx?menuIndex=3&amp;refID=7032333&amp;Result=3","7032333")</f>
        <v>0</v>
      </c>
      <c r="B14817" t="s">
        <v>3501</v>
      </c>
      <c r="C14817" t="s">
        <v>17714</v>
      </c>
      <c r="E14817" t="s">
        <v>21800</v>
      </c>
      <c r="F14817" t="s">
        <v>31362</v>
      </c>
      <c r="G14817" t="s">
        <v>31369</v>
      </c>
      <c r="H14817" t="s">
        <v>31379</v>
      </c>
      <c r="I14817" t="s">
        <v>31436</v>
      </c>
      <c r="J14817" t="s">
        <v>40447</v>
      </c>
      <c r="K14817" t="s">
        <v>40723</v>
      </c>
      <c r="M14817" t="s">
        <v>44850</v>
      </c>
      <c r="N14817" t="s">
        <v>44905</v>
      </c>
      <c r="O14817" t="s">
        <v>44906</v>
      </c>
      <c r="Q14817">
        <v>9</v>
      </c>
      <c r="R14817" t="s">
        <v>44933</v>
      </c>
      <c r="S14817" t="s">
        <v>46075</v>
      </c>
      <c r="T14817" t="s">
        <v>46409</v>
      </c>
      <c r="U14817" t="s">
        <v>58732</v>
      </c>
      <c r="W14817" t="s">
        <v>44850</v>
      </c>
      <c r="X14817" t="s">
        <v>44934</v>
      </c>
    </row>
    <row r="14818" spans="1:24">
      <c r="A14818">
        <f>HYPERLINK("https://www.philgeps.gov.ph/GEPSNONPILOT/Tender/SplashBidNoticeAbstractUI.aspx?menuIndex=3&amp;refID=7028580&amp;Result=3","7028580")</f>
        <v>0</v>
      </c>
      <c r="B14818" t="s">
        <v>3508</v>
      </c>
      <c r="C14818" t="s">
        <v>17715</v>
      </c>
      <c r="D14818" t="s">
        <v>18117</v>
      </c>
      <c r="E14818" t="s">
        <v>30988</v>
      </c>
      <c r="F14818" t="s">
        <v>31362</v>
      </c>
      <c r="G14818" t="s">
        <v>31369</v>
      </c>
      <c r="H14818" t="s">
        <v>31378</v>
      </c>
      <c r="I14818" t="s">
        <v>31392</v>
      </c>
      <c r="J14818" t="s">
        <v>32763</v>
      </c>
      <c r="K14818" t="s">
        <v>40665</v>
      </c>
      <c r="M14818" t="s">
        <v>44860</v>
      </c>
      <c r="N14818" t="s">
        <v>44905</v>
      </c>
      <c r="O14818" t="s">
        <v>44906</v>
      </c>
      <c r="P14818">
        <v>0</v>
      </c>
      <c r="Q14818">
        <v>3</v>
      </c>
      <c r="R14818" t="s">
        <v>44935</v>
      </c>
      <c r="S14818" t="s">
        <v>46069</v>
      </c>
      <c r="T14818" t="s">
        <v>46438</v>
      </c>
      <c r="U14818" t="s">
        <v>58733</v>
      </c>
      <c r="V14818" t="s">
        <v>60755</v>
      </c>
      <c r="W14818" t="s">
        <v>44860</v>
      </c>
      <c r="X14818" t="s">
        <v>44936</v>
      </c>
    </row>
    <row r="14819" spans="1:24">
      <c r="A14819">
        <f>HYPERLINK("https://www.philgeps.gov.ph/GEPSNONPILOT/Tender/SplashBidNoticeAbstractUI.aspx?menuIndex=3&amp;refID=7030752&amp;Result=3","7030752")</f>
        <v>0</v>
      </c>
      <c r="B14819" t="s">
        <v>679</v>
      </c>
      <c r="C14819" t="s">
        <v>17716</v>
      </c>
      <c r="D14819" t="s">
        <v>18148</v>
      </c>
      <c r="E14819" t="s">
        <v>30989</v>
      </c>
      <c r="F14819" t="s">
        <v>31362</v>
      </c>
      <c r="G14819" t="s">
        <v>31369</v>
      </c>
      <c r="H14819" t="s">
        <v>15799</v>
      </c>
      <c r="I14819" t="s">
        <v>31469</v>
      </c>
      <c r="J14819" t="s">
        <v>33789</v>
      </c>
      <c r="K14819" t="s">
        <v>40665</v>
      </c>
      <c r="M14819" t="s">
        <v>44858</v>
      </c>
      <c r="N14819" t="s">
        <v>44905</v>
      </c>
      <c r="O14819" t="s">
        <v>44906</v>
      </c>
      <c r="Q14819">
        <v>4</v>
      </c>
      <c r="R14819" t="s">
        <v>44934</v>
      </c>
      <c r="S14819" t="s">
        <v>46076</v>
      </c>
      <c r="T14819" t="s">
        <v>46486</v>
      </c>
      <c r="U14819" t="s">
        <v>58734</v>
      </c>
      <c r="W14819" t="s">
        <v>44858</v>
      </c>
      <c r="X14819" t="s">
        <v>44935</v>
      </c>
    </row>
    <row r="14820" spans="1:24">
      <c r="A14820">
        <f>HYPERLINK("https://www.philgeps.gov.ph/GEPSNONPILOT/Tender/SplashBidNoticeAbstractUI.aspx?menuIndex=3&amp;refID=7025126&amp;Result=3","7025126")</f>
        <v>0</v>
      </c>
      <c r="B14820" t="s">
        <v>438</v>
      </c>
      <c r="C14820" t="s">
        <v>17717</v>
      </c>
      <c r="D14820" t="s">
        <v>18159</v>
      </c>
      <c r="E14820" t="s">
        <v>30990</v>
      </c>
      <c r="F14820" t="s">
        <v>31362</v>
      </c>
      <c r="G14820" t="s">
        <v>31369</v>
      </c>
      <c r="H14820" t="s">
        <v>31378</v>
      </c>
      <c r="I14820" t="s">
        <v>31386</v>
      </c>
      <c r="J14820" t="s">
        <v>34896</v>
      </c>
      <c r="K14820" t="s">
        <v>40807</v>
      </c>
      <c r="M14820" t="s">
        <v>41390</v>
      </c>
      <c r="N14820" t="s">
        <v>44905</v>
      </c>
      <c r="O14820" t="s">
        <v>44906</v>
      </c>
      <c r="Q14820">
        <v>0</v>
      </c>
      <c r="R14820" t="s">
        <v>44936</v>
      </c>
      <c r="S14820" t="s">
        <v>46077</v>
      </c>
      <c r="T14820" t="s">
        <v>46410</v>
      </c>
      <c r="U14820" t="s">
        <v>58735</v>
      </c>
      <c r="W14820" t="s">
        <v>41390</v>
      </c>
      <c r="X14820" t="s">
        <v>44937</v>
      </c>
    </row>
    <row r="14821" spans="1:24">
      <c r="A14821">
        <f>HYPERLINK("https://www.philgeps.gov.ph/GEPSNONPILOT/Tender/SplashBidNoticeAbstractUI.aspx?menuIndex=3&amp;refID=7029747&amp;Result=3","7029747")</f>
        <v>0</v>
      </c>
      <c r="B14821" t="s">
        <v>155</v>
      </c>
      <c r="C14821" t="s">
        <v>17718</v>
      </c>
      <c r="E14821" t="s">
        <v>30991</v>
      </c>
      <c r="F14821" t="s">
        <v>31362</v>
      </c>
      <c r="G14821" t="s">
        <v>31369</v>
      </c>
      <c r="H14821" t="s">
        <v>15799</v>
      </c>
      <c r="I14821" t="s">
        <v>7719</v>
      </c>
      <c r="J14821" t="s">
        <v>38191</v>
      </c>
      <c r="K14821" t="s">
        <v>40675</v>
      </c>
      <c r="M14821" t="s">
        <v>44480</v>
      </c>
      <c r="N14821" t="s">
        <v>44905</v>
      </c>
      <c r="O14821" t="s">
        <v>44906</v>
      </c>
      <c r="P14821">
        <v>0</v>
      </c>
      <c r="Q14821">
        <v>6</v>
      </c>
      <c r="R14821" t="s">
        <v>44935</v>
      </c>
      <c r="S14821" t="s">
        <v>46069</v>
      </c>
      <c r="T14821" t="s">
        <v>46464</v>
      </c>
      <c r="U14821" t="s">
        <v>58736</v>
      </c>
      <c r="W14821" t="s">
        <v>44480</v>
      </c>
      <c r="X14821" t="s">
        <v>44936</v>
      </c>
    </row>
    <row r="14822" spans="1:24">
      <c r="A14822">
        <f>HYPERLINK("https://www.philgeps.gov.ph/GEPSNONPILOT/Tender/SplashBidNoticeAbstractUI.aspx?menuIndex=3&amp;refID=7029790&amp;Result=3","7029790")</f>
        <v>0</v>
      </c>
      <c r="B14822" t="s">
        <v>155</v>
      </c>
      <c r="C14822" t="s">
        <v>17719</v>
      </c>
      <c r="D14822" t="s">
        <v>18100</v>
      </c>
      <c r="E14822" t="s">
        <v>30992</v>
      </c>
      <c r="F14822" t="s">
        <v>31362</v>
      </c>
      <c r="G14822" t="s">
        <v>31369</v>
      </c>
      <c r="H14822" t="s">
        <v>31378</v>
      </c>
      <c r="I14822" t="s">
        <v>31386</v>
      </c>
      <c r="J14822" t="s">
        <v>31606</v>
      </c>
      <c r="K14822" t="s">
        <v>40686</v>
      </c>
      <c r="M14822" t="s">
        <v>44480</v>
      </c>
      <c r="N14822" t="s">
        <v>44905</v>
      </c>
      <c r="O14822" t="s">
        <v>44906</v>
      </c>
      <c r="Q14822">
        <v>5</v>
      </c>
      <c r="R14822" t="s">
        <v>44935</v>
      </c>
      <c r="S14822" t="s">
        <v>46078</v>
      </c>
      <c r="T14822" t="s">
        <v>46549</v>
      </c>
      <c r="U14822" t="s">
        <v>58737</v>
      </c>
      <c r="W14822" t="s">
        <v>44480</v>
      </c>
      <c r="X14822" t="s">
        <v>44936</v>
      </c>
    </row>
    <row r="14823" spans="1:24">
      <c r="A14823">
        <f>HYPERLINK("https://www.philgeps.gov.ph/GEPSNONPILOT/Tender/SplashBidNoticeAbstractUI.aspx?menuIndex=3&amp;refID=7029764&amp;Result=3","7029764")</f>
        <v>0</v>
      </c>
      <c r="B14823" t="s">
        <v>155</v>
      </c>
      <c r="C14823" t="s">
        <v>17720</v>
      </c>
      <c r="E14823" t="s">
        <v>30993</v>
      </c>
      <c r="F14823" t="s">
        <v>31362</v>
      </c>
      <c r="G14823" t="s">
        <v>31369</v>
      </c>
      <c r="H14823" t="s">
        <v>15799</v>
      </c>
      <c r="I14823" t="s">
        <v>7719</v>
      </c>
      <c r="J14823" t="s">
        <v>31693</v>
      </c>
      <c r="K14823" t="s">
        <v>40675</v>
      </c>
      <c r="M14823" t="s">
        <v>44480</v>
      </c>
      <c r="N14823" t="s">
        <v>44905</v>
      </c>
      <c r="O14823" t="s">
        <v>44906</v>
      </c>
      <c r="P14823">
        <v>0</v>
      </c>
      <c r="Q14823">
        <v>15</v>
      </c>
      <c r="R14823" t="s">
        <v>44935</v>
      </c>
      <c r="S14823" t="s">
        <v>46069</v>
      </c>
      <c r="T14823" t="s">
        <v>46729</v>
      </c>
      <c r="U14823" t="s">
        <v>58738</v>
      </c>
      <c r="W14823" t="s">
        <v>44480</v>
      </c>
      <c r="X14823" t="s">
        <v>44936</v>
      </c>
    </row>
    <row r="14824" spans="1:24">
      <c r="A14824">
        <f>HYPERLINK("https://www.philgeps.gov.ph/GEPSNONPILOT/Tender/SplashBidNoticeAbstractUI.aspx?menuIndex=3&amp;refID=7025103&amp;Result=3","7025103")</f>
        <v>0</v>
      </c>
      <c r="B14824" t="s">
        <v>438</v>
      </c>
      <c r="C14824" t="s">
        <v>17721</v>
      </c>
      <c r="D14824" t="s">
        <v>18159</v>
      </c>
      <c r="E14824" t="s">
        <v>30994</v>
      </c>
      <c r="F14824" t="s">
        <v>31362</v>
      </c>
      <c r="G14824" t="s">
        <v>31369</v>
      </c>
      <c r="H14824" t="s">
        <v>31378</v>
      </c>
      <c r="I14824" t="s">
        <v>31386</v>
      </c>
      <c r="J14824" t="s">
        <v>40448</v>
      </c>
      <c r="K14824" t="s">
        <v>40694</v>
      </c>
      <c r="M14824" t="s">
        <v>41390</v>
      </c>
      <c r="N14824" t="s">
        <v>44905</v>
      </c>
      <c r="O14824" t="s">
        <v>44906</v>
      </c>
      <c r="Q14824">
        <v>0</v>
      </c>
      <c r="R14824" t="s">
        <v>44936</v>
      </c>
      <c r="S14824" t="s">
        <v>46079</v>
      </c>
      <c r="T14824" t="s">
        <v>46410</v>
      </c>
      <c r="U14824" t="s">
        <v>58739</v>
      </c>
      <c r="W14824" t="s">
        <v>41390</v>
      </c>
      <c r="X14824" t="s">
        <v>44937</v>
      </c>
    </row>
    <row r="14825" spans="1:24">
      <c r="A14825">
        <f>HYPERLINK("https://www.philgeps.gov.ph/GEPSNONPILOT/Tender/SplashBidNoticeAbstractUI.aspx?menuIndex=3&amp;refID=7031324&amp;Result=3","7031324")</f>
        <v>0</v>
      </c>
      <c r="B14825" t="s">
        <v>1235</v>
      </c>
      <c r="C14825" t="s">
        <v>17722</v>
      </c>
      <c r="E14825" t="s">
        <v>30995</v>
      </c>
      <c r="F14825" t="s">
        <v>31362</v>
      </c>
      <c r="G14825" t="s">
        <v>31369</v>
      </c>
      <c r="H14825" t="s">
        <v>31378</v>
      </c>
      <c r="I14825" t="s">
        <v>31386</v>
      </c>
      <c r="J14825" t="s">
        <v>40449</v>
      </c>
      <c r="K14825" t="s">
        <v>40662</v>
      </c>
      <c r="M14825" t="s">
        <v>42249</v>
      </c>
      <c r="N14825" t="s">
        <v>44905</v>
      </c>
      <c r="O14825" t="s">
        <v>44906</v>
      </c>
      <c r="Q14825">
        <v>3</v>
      </c>
      <c r="R14825" t="s">
        <v>44934</v>
      </c>
      <c r="S14825" t="s">
        <v>46080</v>
      </c>
      <c r="T14825" t="s">
        <v>46481</v>
      </c>
      <c r="U14825" t="s">
        <v>58740</v>
      </c>
      <c r="W14825" t="s">
        <v>42249</v>
      </c>
      <c r="X14825" t="s">
        <v>44935</v>
      </c>
    </row>
    <row r="14826" spans="1:24">
      <c r="A14826">
        <f>HYPERLINK("https://www.philgeps.gov.ph/GEPSNONPILOT/Tender/SplashBidNoticeAbstractUI.aspx?menuIndex=3&amp;refID=7029785&amp;Result=3","7029785")</f>
        <v>0</v>
      </c>
      <c r="B14826" t="s">
        <v>155</v>
      </c>
      <c r="C14826" t="s">
        <v>17723</v>
      </c>
      <c r="D14826" t="s">
        <v>18100</v>
      </c>
      <c r="E14826" t="s">
        <v>30996</v>
      </c>
      <c r="F14826" t="s">
        <v>31362</v>
      </c>
      <c r="G14826" t="s">
        <v>31369</v>
      </c>
      <c r="H14826" t="s">
        <v>31378</v>
      </c>
      <c r="I14826" t="s">
        <v>31386</v>
      </c>
      <c r="J14826" t="s">
        <v>31709</v>
      </c>
      <c r="K14826" t="s">
        <v>40683</v>
      </c>
      <c r="M14826" t="s">
        <v>44480</v>
      </c>
      <c r="N14826" t="s">
        <v>44905</v>
      </c>
      <c r="O14826" t="s">
        <v>44906</v>
      </c>
      <c r="Q14826">
        <v>5</v>
      </c>
      <c r="R14826" t="s">
        <v>44935</v>
      </c>
      <c r="S14826" t="s">
        <v>46081</v>
      </c>
      <c r="T14826" t="s">
        <v>46503</v>
      </c>
      <c r="U14826" t="s">
        <v>58741</v>
      </c>
      <c r="W14826" t="s">
        <v>44480</v>
      </c>
      <c r="X14826" t="s">
        <v>44936</v>
      </c>
    </row>
    <row r="14827" spans="1:24">
      <c r="A14827">
        <f>HYPERLINK("https://www.philgeps.gov.ph/GEPSNONPILOT/Tender/SplashBidNoticeAbstractUI.aspx?menuIndex=3&amp;refID=7029771&amp;Result=3","7029771")</f>
        <v>0</v>
      </c>
      <c r="B14827" t="s">
        <v>155</v>
      </c>
      <c r="C14827" t="s">
        <v>17724</v>
      </c>
      <c r="D14827" t="s">
        <v>18109</v>
      </c>
      <c r="E14827" t="s">
        <v>30997</v>
      </c>
      <c r="F14827" t="s">
        <v>31362</v>
      </c>
      <c r="G14827" t="s">
        <v>31369</v>
      </c>
      <c r="H14827" t="s">
        <v>31378</v>
      </c>
      <c r="I14827" t="s">
        <v>31386</v>
      </c>
      <c r="J14827" t="s">
        <v>31634</v>
      </c>
      <c r="K14827" t="s">
        <v>40679</v>
      </c>
      <c r="M14827" t="s">
        <v>44480</v>
      </c>
      <c r="N14827" t="s">
        <v>44905</v>
      </c>
      <c r="O14827" t="s">
        <v>44906</v>
      </c>
      <c r="P14827">
        <v>0</v>
      </c>
      <c r="Q14827">
        <v>10</v>
      </c>
      <c r="R14827" t="s">
        <v>44935</v>
      </c>
      <c r="S14827" t="s">
        <v>46069</v>
      </c>
      <c r="T14827" t="s">
        <v>46425</v>
      </c>
      <c r="U14827" t="s">
        <v>58742</v>
      </c>
      <c r="W14827" t="s">
        <v>44480</v>
      </c>
      <c r="X14827" t="s">
        <v>44936</v>
      </c>
    </row>
    <row r="14828" spans="1:24">
      <c r="A14828">
        <f>HYPERLINK("https://www.philgeps.gov.ph/GEPSNONPILOT/Tender/SplashBidNoticeAbstractUI.aspx?menuIndex=3&amp;refID=7029752&amp;Result=3","7029752")</f>
        <v>0</v>
      </c>
      <c r="B14828" t="s">
        <v>155</v>
      </c>
      <c r="C14828" t="s">
        <v>17725</v>
      </c>
      <c r="E14828" t="s">
        <v>30998</v>
      </c>
      <c r="F14828" t="s">
        <v>31362</v>
      </c>
      <c r="G14828" t="s">
        <v>31369</v>
      </c>
      <c r="H14828" t="s">
        <v>15799</v>
      </c>
      <c r="I14828" t="s">
        <v>7188</v>
      </c>
      <c r="J14828" t="s">
        <v>31693</v>
      </c>
      <c r="K14828" t="s">
        <v>40675</v>
      </c>
      <c r="M14828" t="s">
        <v>44480</v>
      </c>
      <c r="N14828" t="s">
        <v>44905</v>
      </c>
      <c r="O14828" t="s">
        <v>44906</v>
      </c>
      <c r="P14828">
        <v>0</v>
      </c>
      <c r="Q14828">
        <v>4</v>
      </c>
      <c r="R14828" t="s">
        <v>44935</v>
      </c>
      <c r="S14828" t="s">
        <v>46069</v>
      </c>
      <c r="T14828" t="s">
        <v>46419</v>
      </c>
      <c r="U14828" t="s">
        <v>58743</v>
      </c>
      <c r="W14828" t="s">
        <v>44480</v>
      </c>
      <c r="X14828" t="s">
        <v>44936</v>
      </c>
    </row>
    <row r="14829" spans="1:24">
      <c r="A14829">
        <f>HYPERLINK("https://www.philgeps.gov.ph/GEPSNONPILOT/Tender/SplashBidNoticeAbstractUI.aspx?menuIndex=3&amp;refID=7021904&amp;Result=3","7021904")</f>
        <v>0</v>
      </c>
      <c r="B14829" t="s">
        <v>367</v>
      </c>
      <c r="C14829" t="s">
        <v>17726</v>
      </c>
      <c r="D14829" t="s">
        <v>18134</v>
      </c>
      <c r="E14829" t="s">
        <v>30999</v>
      </c>
      <c r="F14829" t="s">
        <v>31362</v>
      </c>
      <c r="G14829" t="s">
        <v>31369</v>
      </c>
      <c r="H14829" t="s">
        <v>31378</v>
      </c>
      <c r="I14829" t="s">
        <v>31386</v>
      </c>
      <c r="J14829" t="s">
        <v>40450</v>
      </c>
      <c r="K14829" t="s">
        <v>40722</v>
      </c>
      <c r="M14829" t="s">
        <v>41398</v>
      </c>
      <c r="N14829" t="s">
        <v>44905</v>
      </c>
      <c r="O14829" t="s">
        <v>44906</v>
      </c>
      <c r="P14829">
        <v>0</v>
      </c>
      <c r="Q14829">
        <v>1</v>
      </c>
      <c r="R14829" t="s">
        <v>44937</v>
      </c>
      <c r="S14829" t="s">
        <v>46082</v>
      </c>
      <c r="T14829" t="s">
        <v>46429</v>
      </c>
      <c r="U14829" t="s">
        <v>58744</v>
      </c>
      <c r="V14829" t="s">
        <v>60238</v>
      </c>
      <c r="W14829" t="s">
        <v>41398</v>
      </c>
      <c r="X14829" t="s">
        <v>44938</v>
      </c>
    </row>
    <row r="14830" spans="1:24">
      <c r="A14830">
        <f>HYPERLINK("https://www.philgeps.gov.ph/GEPSNONPILOT/Tender/SplashBidNoticeAbstractUI.aspx?menuIndex=3&amp;refID=7029761&amp;Result=3","7029761")</f>
        <v>0</v>
      </c>
      <c r="B14830" t="s">
        <v>155</v>
      </c>
      <c r="C14830" t="s">
        <v>17727</v>
      </c>
      <c r="E14830" t="s">
        <v>31000</v>
      </c>
      <c r="F14830" t="s">
        <v>31362</v>
      </c>
      <c r="G14830" t="s">
        <v>31369</v>
      </c>
      <c r="H14830" t="s">
        <v>15799</v>
      </c>
      <c r="I14830" t="s">
        <v>7719</v>
      </c>
      <c r="J14830" t="s">
        <v>39457</v>
      </c>
      <c r="K14830" t="s">
        <v>40675</v>
      </c>
      <c r="M14830" t="s">
        <v>44480</v>
      </c>
      <c r="N14830" t="s">
        <v>44905</v>
      </c>
      <c r="O14830" t="s">
        <v>44906</v>
      </c>
      <c r="P14830">
        <v>0</v>
      </c>
      <c r="Q14830">
        <v>33</v>
      </c>
      <c r="R14830" t="s">
        <v>44935</v>
      </c>
      <c r="S14830" t="s">
        <v>46069</v>
      </c>
      <c r="T14830" t="s">
        <v>46671</v>
      </c>
      <c r="U14830" t="s">
        <v>58745</v>
      </c>
      <c r="W14830" t="s">
        <v>44480</v>
      </c>
      <c r="X14830" t="s">
        <v>44936</v>
      </c>
    </row>
    <row r="14831" spans="1:24">
      <c r="A14831">
        <f>HYPERLINK("https://www.philgeps.gov.ph/GEPSNONPILOT/Tender/SplashBidNoticeAbstractUI.aspx?menuIndex=3&amp;refID=7029754&amp;Result=3","7029754")</f>
        <v>0</v>
      </c>
      <c r="B14831" t="s">
        <v>155</v>
      </c>
      <c r="C14831" t="s">
        <v>17728</v>
      </c>
      <c r="E14831" t="s">
        <v>31001</v>
      </c>
      <c r="F14831" t="s">
        <v>31362</v>
      </c>
      <c r="G14831" t="s">
        <v>31369</v>
      </c>
      <c r="H14831" t="s">
        <v>15799</v>
      </c>
      <c r="I14831" t="s">
        <v>7188</v>
      </c>
      <c r="J14831" t="s">
        <v>33482</v>
      </c>
      <c r="K14831" t="s">
        <v>40675</v>
      </c>
      <c r="M14831" t="s">
        <v>44480</v>
      </c>
      <c r="N14831" t="s">
        <v>44905</v>
      </c>
      <c r="O14831" t="s">
        <v>44906</v>
      </c>
      <c r="P14831">
        <v>0</v>
      </c>
      <c r="Q14831">
        <v>12</v>
      </c>
      <c r="R14831" t="s">
        <v>44935</v>
      </c>
      <c r="S14831" t="s">
        <v>46069</v>
      </c>
      <c r="T14831" t="s">
        <v>46696</v>
      </c>
      <c r="U14831" t="s">
        <v>58746</v>
      </c>
      <c r="W14831" t="s">
        <v>44480</v>
      </c>
      <c r="X14831" t="s">
        <v>44936</v>
      </c>
    </row>
    <row r="14832" spans="1:24">
      <c r="A14832">
        <f>HYPERLINK("https://www.philgeps.gov.ph/GEPSNONPILOT/Tender/SplashBidNoticeAbstractUI.aspx?menuIndex=3&amp;refID=7026899&amp;Result=3","7026899")</f>
        <v>0</v>
      </c>
      <c r="B14832" t="s">
        <v>1676</v>
      </c>
      <c r="C14832" t="s">
        <v>17729</v>
      </c>
      <c r="D14832" t="s">
        <v>18139</v>
      </c>
      <c r="E14832" t="s">
        <v>31002</v>
      </c>
      <c r="F14832" t="s">
        <v>31362</v>
      </c>
      <c r="G14832" t="s">
        <v>31369</v>
      </c>
      <c r="H14832" t="s">
        <v>31378</v>
      </c>
      <c r="I14832" t="s">
        <v>31386</v>
      </c>
      <c r="J14832" t="s">
        <v>35984</v>
      </c>
      <c r="K14832" t="s">
        <v>40686</v>
      </c>
      <c r="M14832" t="s">
        <v>42741</v>
      </c>
      <c r="N14832" t="s">
        <v>44905</v>
      </c>
      <c r="O14832" t="s">
        <v>44906</v>
      </c>
      <c r="Q14832">
        <v>4</v>
      </c>
      <c r="R14832" t="s">
        <v>44936</v>
      </c>
      <c r="S14832" t="s">
        <v>45310</v>
      </c>
      <c r="T14832" t="s">
        <v>46470</v>
      </c>
      <c r="U14832" t="s">
        <v>58747</v>
      </c>
      <c r="V14832" t="s">
        <v>60765</v>
      </c>
      <c r="W14832" t="s">
        <v>60921</v>
      </c>
      <c r="X14832" t="s">
        <v>44937</v>
      </c>
    </row>
    <row r="14833" spans="1:24">
      <c r="A14833">
        <f>HYPERLINK("https://www.philgeps.gov.ph/GEPSNONPILOT/Tender/SplashBidNoticeAbstractUI.aspx?menuIndex=3&amp;refID=7025139&amp;Result=3","7025139")</f>
        <v>0</v>
      </c>
      <c r="B14833" t="s">
        <v>438</v>
      </c>
      <c r="C14833" t="s">
        <v>17730</v>
      </c>
      <c r="D14833" t="s">
        <v>18159</v>
      </c>
      <c r="E14833" t="s">
        <v>31003</v>
      </c>
      <c r="F14833" t="s">
        <v>31362</v>
      </c>
      <c r="G14833" t="s">
        <v>31369</v>
      </c>
      <c r="H14833" t="s">
        <v>31378</v>
      </c>
      <c r="I14833" t="s">
        <v>31386</v>
      </c>
      <c r="J14833" t="s">
        <v>34187</v>
      </c>
      <c r="K14833" t="s">
        <v>40918</v>
      </c>
      <c r="M14833" t="s">
        <v>41390</v>
      </c>
      <c r="N14833" t="s">
        <v>44905</v>
      </c>
      <c r="O14833" t="s">
        <v>44906</v>
      </c>
      <c r="Q14833">
        <v>0</v>
      </c>
      <c r="R14833" t="s">
        <v>44936</v>
      </c>
      <c r="S14833" t="s">
        <v>46083</v>
      </c>
      <c r="T14833" t="s">
        <v>46410</v>
      </c>
      <c r="U14833" t="s">
        <v>58748</v>
      </c>
      <c r="W14833" t="s">
        <v>41390</v>
      </c>
      <c r="X14833" t="s">
        <v>44937</v>
      </c>
    </row>
    <row r="14834" spans="1:24">
      <c r="A14834">
        <f>HYPERLINK("https://www.philgeps.gov.ph/GEPSNONPILOT/Tender/SplashBidNoticeAbstractUI.aspx?menuIndex=3&amp;refID=7012580&amp;Result=3","7012580")</f>
        <v>0</v>
      </c>
      <c r="B14834" t="s">
        <v>3107</v>
      </c>
      <c r="C14834" t="s">
        <v>17731</v>
      </c>
      <c r="D14834" t="s">
        <v>18122</v>
      </c>
      <c r="E14834" t="s">
        <v>31004</v>
      </c>
      <c r="F14834" t="s">
        <v>31362</v>
      </c>
      <c r="G14834" t="s">
        <v>31369</v>
      </c>
      <c r="H14834" t="s">
        <v>31378</v>
      </c>
      <c r="I14834" t="s">
        <v>31386</v>
      </c>
      <c r="J14834" t="s">
        <v>40451</v>
      </c>
      <c r="K14834" t="s">
        <v>40840</v>
      </c>
      <c r="M14834" t="s">
        <v>44355</v>
      </c>
      <c r="N14834" t="s">
        <v>44905</v>
      </c>
      <c r="O14834" t="s">
        <v>44906</v>
      </c>
      <c r="Q14834">
        <v>19</v>
      </c>
      <c r="R14834" t="s">
        <v>44937</v>
      </c>
      <c r="S14834" t="s">
        <v>45942</v>
      </c>
      <c r="T14834" t="s">
        <v>46447</v>
      </c>
      <c r="U14834" t="s">
        <v>58749</v>
      </c>
      <c r="V14834" t="s">
        <v>48735</v>
      </c>
      <c r="W14834" t="s">
        <v>44355</v>
      </c>
      <c r="X14834" t="s">
        <v>44943</v>
      </c>
    </row>
    <row r="14835" spans="1:24">
      <c r="A14835">
        <f>HYPERLINK("https://www.philgeps.gov.ph/GEPSNONPILOT/Tender/SplashBidNoticeAbstractUI.aspx?menuIndex=3&amp;refID=7025769&amp;Result=3","7025769")</f>
        <v>0</v>
      </c>
      <c r="B14835" t="s">
        <v>169</v>
      </c>
      <c r="C14835" t="s">
        <v>17732</v>
      </c>
      <c r="D14835" t="s">
        <v>18108</v>
      </c>
      <c r="E14835" t="s">
        <v>31005</v>
      </c>
      <c r="F14835" t="s">
        <v>31362</v>
      </c>
      <c r="G14835" t="s">
        <v>31369</v>
      </c>
      <c r="H14835" t="s">
        <v>15799</v>
      </c>
      <c r="I14835" t="s">
        <v>31400</v>
      </c>
      <c r="J14835" t="s">
        <v>40452</v>
      </c>
      <c r="K14835" t="s">
        <v>40725</v>
      </c>
      <c r="M14835" t="s">
        <v>44852</v>
      </c>
      <c r="N14835" t="s">
        <v>44905</v>
      </c>
      <c r="O14835" t="s">
        <v>44906</v>
      </c>
      <c r="Q14835">
        <v>17</v>
      </c>
      <c r="R14835" t="s">
        <v>44936</v>
      </c>
      <c r="S14835" t="s">
        <v>45295</v>
      </c>
      <c r="T14835" t="s">
        <v>46396</v>
      </c>
      <c r="U14835" t="s">
        <v>58280</v>
      </c>
      <c r="W14835" t="s">
        <v>44852</v>
      </c>
      <c r="X14835" t="s">
        <v>44937</v>
      </c>
    </row>
    <row r="14836" spans="1:24">
      <c r="A14836">
        <f>HYPERLINK("https://www.philgeps.gov.ph/GEPSNONPILOT/Tender/SplashBidNoticeAbstractUI.aspx?menuIndex=3&amp;refID=7026884&amp;Result=3","7026884")</f>
        <v>0</v>
      </c>
      <c r="B14836" t="s">
        <v>1676</v>
      </c>
      <c r="C14836" t="s">
        <v>17733</v>
      </c>
      <c r="D14836" t="s">
        <v>18139</v>
      </c>
      <c r="E14836" t="s">
        <v>31006</v>
      </c>
      <c r="F14836" t="s">
        <v>31362</v>
      </c>
      <c r="G14836" t="s">
        <v>31369</v>
      </c>
      <c r="H14836" t="s">
        <v>31378</v>
      </c>
      <c r="I14836" t="s">
        <v>31386</v>
      </c>
      <c r="J14836" t="s">
        <v>40453</v>
      </c>
      <c r="K14836" t="s">
        <v>40686</v>
      </c>
      <c r="M14836" t="s">
        <v>42741</v>
      </c>
      <c r="N14836" t="s">
        <v>44905</v>
      </c>
      <c r="O14836" t="s">
        <v>44906</v>
      </c>
      <c r="Q14836">
        <v>2</v>
      </c>
      <c r="R14836" t="s">
        <v>44936</v>
      </c>
      <c r="S14836" t="s">
        <v>46084</v>
      </c>
      <c r="T14836" t="s">
        <v>46470</v>
      </c>
      <c r="U14836" t="s">
        <v>58750</v>
      </c>
      <c r="V14836" t="s">
        <v>60766</v>
      </c>
      <c r="W14836" t="s">
        <v>60921</v>
      </c>
      <c r="X14836" t="s">
        <v>44937</v>
      </c>
    </row>
    <row r="14837" spans="1:24">
      <c r="A14837">
        <f>HYPERLINK("https://www.philgeps.gov.ph/GEPSNONPILOT/Tender/SplashBidNoticeAbstractUI.aspx?menuIndex=3&amp;refID=7026105&amp;Result=3","7026105")</f>
        <v>0</v>
      </c>
      <c r="B14837" t="s">
        <v>118</v>
      </c>
      <c r="C14837" t="s">
        <v>17734</v>
      </c>
      <c r="D14837" t="s">
        <v>18142</v>
      </c>
      <c r="E14837" t="s">
        <v>31007</v>
      </c>
      <c r="F14837" t="s">
        <v>31362</v>
      </c>
      <c r="G14837" t="s">
        <v>31369</v>
      </c>
      <c r="H14837" t="s">
        <v>31378</v>
      </c>
      <c r="I14837" t="s">
        <v>31386</v>
      </c>
      <c r="J14837" t="s">
        <v>31542</v>
      </c>
      <c r="K14837" t="s">
        <v>40945</v>
      </c>
      <c r="M14837" t="s">
        <v>41055</v>
      </c>
      <c r="N14837" t="s">
        <v>44905</v>
      </c>
      <c r="O14837" t="s">
        <v>44906</v>
      </c>
      <c r="Q14837">
        <v>0</v>
      </c>
      <c r="R14837" t="s">
        <v>44936</v>
      </c>
      <c r="S14837" t="s">
        <v>46085</v>
      </c>
      <c r="T14837" t="s">
        <v>46708</v>
      </c>
      <c r="U14837" t="s">
        <v>58751</v>
      </c>
      <c r="W14837" t="s">
        <v>41055</v>
      </c>
      <c r="X14837" t="s">
        <v>44937</v>
      </c>
    </row>
    <row r="14838" spans="1:24">
      <c r="A14838">
        <f>HYPERLINK("https://www.philgeps.gov.ph/GEPSNONPILOT/Tender/SplashBidNoticeAbstractUI.aspx?menuIndex=3&amp;refID=7024850&amp;Result=3","7024850")</f>
        <v>0</v>
      </c>
      <c r="B14838" t="s">
        <v>82</v>
      </c>
      <c r="C14838" t="s">
        <v>17735</v>
      </c>
      <c r="D14838" t="s">
        <v>18118</v>
      </c>
      <c r="E14838" t="s">
        <v>31008</v>
      </c>
      <c r="F14838" t="s">
        <v>31362</v>
      </c>
      <c r="G14838" t="s">
        <v>31369</v>
      </c>
      <c r="H14838" t="s">
        <v>31378</v>
      </c>
      <c r="I14838" t="s">
        <v>31386</v>
      </c>
      <c r="J14838" t="s">
        <v>40454</v>
      </c>
      <c r="K14838" t="s">
        <v>40881</v>
      </c>
      <c r="M14838" t="s">
        <v>41018</v>
      </c>
      <c r="N14838" t="s">
        <v>44905</v>
      </c>
      <c r="O14838" t="s">
        <v>44906</v>
      </c>
      <c r="Q14838">
        <v>8</v>
      </c>
      <c r="R14838" t="s">
        <v>44936</v>
      </c>
      <c r="S14838" t="s">
        <v>46086</v>
      </c>
      <c r="T14838" t="s">
        <v>46899</v>
      </c>
      <c r="U14838" t="s">
        <v>47043</v>
      </c>
      <c r="W14838" t="s">
        <v>41018</v>
      </c>
      <c r="X14838" t="s">
        <v>44937</v>
      </c>
    </row>
    <row r="14839" spans="1:24">
      <c r="A14839">
        <f>HYPERLINK("https://www.philgeps.gov.ph/GEPSNONPILOT/Tender/SplashBidNoticeAbstractUI.aspx?menuIndex=3&amp;refID=7031888&amp;Result=3","7031888")</f>
        <v>0</v>
      </c>
      <c r="B14839" t="s">
        <v>3506</v>
      </c>
      <c r="C14839" t="s">
        <v>17736</v>
      </c>
      <c r="D14839" t="s">
        <v>18127</v>
      </c>
      <c r="E14839" t="s">
        <v>20853</v>
      </c>
      <c r="F14839" t="s">
        <v>31362</v>
      </c>
      <c r="G14839" t="s">
        <v>31369</v>
      </c>
      <c r="H14839" t="s">
        <v>31378</v>
      </c>
      <c r="I14839" t="s">
        <v>31386</v>
      </c>
      <c r="J14839" t="s">
        <v>31536</v>
      </c>
      <c r="K14839" t="s">
        <v>40665</v>
      </c>
      <c r="M14839" t="s">
        <v>44857</v>
      </c>
      <c r="N14839" t="s">
        <v>44905</v>
      </c>
      <c r="O14839" t="s">
        <v>44906</v>
      </c>
      <c r="P14839">
        <v>0</v>
      </c>
      <c r="Q14839">
        <v>0</v>
      </c>
      <c r="R14839" t="s">
        <v>44934</v>
      </c>
      <c r="S14839" t="s">
        <v>46062</v>
      </c>
      <c r="T14839" t="s">
        <v>46419</v>
      </c>
      <c r="U14839" t="s">
        <v>58752</v>
      </c>
      <c r="V14839" t="s">
        <v>60767</v>
      </c>
      <c r="W14839" t="s">
        <v>44857</v>
      </c>
      <c r="X14839" t="s">
        <v>44935</v>
      </c>
    </row>
    <row r="14840" spans="1:24">
      <c r="A14840">
        <f>HYPERLINK("https://www.philgeps.gov.ph/GEPSNONPILOT/Tender/SplashBidNoticeAbstractUI.aspx?menuIndex=3&amp;refID=7026048&amp;Result=3","7026048")</f>
        <v>0</v>
      </c>
      <c r="B14840" t="s">
        <v>993</v>
      </c>
      <c r="C14840" t="s">
        <v>17737</v>
      </c>
      <c r="D14840" t="s">
        <v>18103</v>
      </c>
      <c r="E14840" t="s">
        <v>31009</v>
      </c>
      <c r="F14840" t="s">
        <v>31362</v>
      </c>
      <c r="G14840" t="s">
        <v>31369</v>
      </c>
      <c r="H14840" t="s">
        <v>15799</v>
      </c>
      <c r="I14840" t="s">
        <v>4283</v>
      </c>
      <c r="J14840" t="s">
        <v>40455</v>
      </c>
      <c r="K14840" t="s">
        <v>40662</v>
      </c>
      <c r="M14840" t="s">
        <v>41988</v>
      </c>
      <c r="N14840" t="s">
        <v>44905</v>
      </c>
      <c r="O14840" t="s">
        <v>44906</v>
      </c>
      <c r="Q14840">
        <v>8</v>
      </c>
      <c r="R14840" t="s">
        <v>44936</v>
      </c>
      <c r="S14840" t="s">
        <v>46087</v>
      </c>
      <c r="T14840" t="s">
        <v>46406</v>
      </c>
      <c r="U14840" t="s">
        <v>58753</v>
      </c>
      <c r="W14840" t="s">
        <v>41988</v>
      </c>
      <c r="X14840" t="s">
        <v>44937</v>
      </c>
    </row>
    <row r="14841" spans="1:24">
      <c r="A14841">
        <f>HYPERLINK("https://www.philgeps.gov.ph/GEPSNONPILOT/Tender/SplashBidNoticeAbstractUI.aspx?menuIndex=3&amp;refID=7016786&amp;Result=3","7016786")</f>
        <v>0</v>
      </c>
      <c r="B14841" t="s">
        <v>3510</v>
      </c>
      <c r="C14841" t="s">
        <v>17738</v>
      </c>
      <c r="D14841" t="s">
        <v>18120</v>
      </c>
      <c r="E14841" t="s">
        <v>31010</v>
      </c>
      <c r="F14841" t="s">
        <v>31362</v>
      </c>
      <c r="G14841" t="s">
        <v>31368</v>
      </c>
      <c r="H14841" t="s">
        <v>15799</v>
      </c>
      <c r="I14841" t="s">
        <v>31397</v>
      </c>
      <c r="J14841" t="s">
        <v>40456</v>
      </c>
      <c r="K14841" t="s">
        <v>40662</v>
      </c>
      <c r="M14841" t="s">
        <v>44862</v>
      </c>
      <c r="N14841" t="s">
        <v>44905</v>
      </c>
      <c r="O14841" t="s">
        <v>44906</v>
      </c>
      <c r="P14841">
        <v>0</v>
      </c>
      <c r="Q14841">
        <v>1</v>
      </c>
      <c r="R14841" t="s">
        <v>44937</v>
      </c>
      <c r="S14841" t="s">
        <v>46082</v>
      </c>
      <c r="T14841" t="s">
        <v>46414</v>
      </c>
      <c r="U14841" t="s">
        <v>58754</v>
      </c>
      <c r="W14841" t="s">
        <v>44862</v>
      </c>
      <c r="X14841" t="s">
        <v>44939</v>
      </c>
    </row>
    <row r="14842" spans="1:24">
      <c r="A14842">
        <f>HYPERLINK("https://www.philgeps.gov.ph/GEPSNONPILOT/Tender/SplashBidNoticeAbstractUI.aspx?menuIndex=3&amp;refID=7022338&amp;Result=3","7022338")</f>
        <v>0</v>
      </c>
      <c r="B14842" t="s">
        <v>3389</v>
      </c>
      <c r="C14842" t="s">
        <v>17739</v>
      </c>
      <c r="D14842" t="s">
        <v>18148</v>
      </c>
      <c r="E14842" t="s">
        <v>31011</v>
      </c>
      <c r="F14842" t="s">
        <v>31362</v>
      </c>
      <c r="G14842" t="s">
        <v>31369</v>
      </c>
      <c r="H14842" t="s">
        <v>15799</v>
      </c>
      <c r="I14842" t="s">
        <v>31469</v>
      </c>
      <c r="J14842" t="s">
        <v>32459</v>
      </c>
      <c r="K14842" t="s">
        <v>40666</v>
      </c>
      <c r="L14842" t="s">
        <v>3389</v>
      </c>
      <c r="M14842" t="s">
        <v>44697</v>
      </c>
      <c r="N14842" t="s">
        <v>44905</v>
      </c>
      <c r="O14842" t="s">
        <v>44906</v>
      </c>
      <c r="Q14842">
        <v>0</v>
      </c>
      <c r="R14842" t="s">
        <v>44937</v>
      </c>
      <c r="S14842" t="s">
        <v>46088</v>
      </c>
      <c r="T14842" t="s">
        <v>46410</v>
      </c>
      <c r="U14842" t="s">
        <v>58755</v>
      </c>
      <c r="W14842" t="s">
        <v>44697</v>
      </c>
      <c r="X14842" t="s">
        <v>44938</v>
      </c>
    </row>
    <row r="14843" spans="1:24">
      <c r="A14843">
        <f>HYPERLINK("https://www.philgeps.gov.ph/GEPSNONPILOT/Tender/SplashBidNoticeAbstractUI.aspx?menuIndex=3&amp;refID=7020355&amp;Result=3","7020355")</f>
        <v>0</v>
      </c>
      <c r="B14843" t="s">
        <v>652</v>
      </c>
      <c r="C14843" t="s">
        <v>17740</v>
      </c>
      <c r="D14843" t="s">
        <v>18154</v>
      </c>
      <c r="E14843" t="s">
        <v>17740</v>
      </c>
      <c r="F14843" t="s">
        <v>31362</v>
      </c>
      <c r="G14843" t="s">
        <v>31369</v>
      </c>
      <c r="H14843" t="s">
        <v>15799</v>
      </c>
      <c r="I14843" t="s">
        <v>31440</v>
      </c>
      <c r="J14843" t="s">
        <v>40457</v>
      </c>
      <c r="K14843" t="s">
        <v>40679</v>
      </c>
      <c r="M14843" t="s">
        <v>41613</v>
      </c>
      <c r="N14843" t="s">
        <v>44905</v>
      </c>
      <c r="O14843" t="s">
        <v>44906</v>
      </c>
      <c r="Q14843">
        <v>13</v>
      </c>
      <c r="R14843" t="s">
        <v>44938</v>
      </c>
      <c r="S14843" t="s">
        <v>46089</v>
      </c>
      <c r="T14843" t="s">
        <v>46410</v>
      </c>
      <c r="U14843" t="s">
        <v>58756</v>
      </c>
      <c r="W14843" t="s">
        <v>41613</v>
      </c>
      <c r="X14843" t="s">
        <v>44942</v>
      </c>
    </row>
    <row r="14844" spans="1:24">
      <c r="A14844">
        <f>HYPERLINK("https://www.philgeps.gov.ph/GEPSNONPILOT/Tender/SplashBidNoticeAbstractUI.aspx?menuIndex=3&amp;refID=7023691&amp;Result=3","7023691")</f>
        <v>0</v>
      </c>
      <c r="B14844" t="s">
        <v>1483</v>
      </c>
      <c r="C14844" t="s">
        <v>17741</v>
      </c>
      <c r="D14844" t="s">
        <v>18131</v>
      </c>
      <c r="E14844" t="s">
        <v>31012</v>
      </c>
      <c r="F14844" t="s">
        <v>31362</v>
      </c>
      <c r="G14844" t="s">
        <v>31369</v>
      </c>
      <c r="H14844" t="s">
        <v>31378</v>
      </c>
      <c r="I14844" t="s">
        <v>31386</v>
      </c>
      <c r="J14844" t="s">
        <v>31726</v>
      </c>
      <c r="K14844" t="s">
        <v>40686</v>
      </c>
      <c r="M14844" t="s">
        <v>42520</v>
      </c>
      <c r="N14844" t="s">
        <v>44905</v>
      </c>
      <c r="O14844" t="s">
        <v>44906</v>
      </c>
      <c r="Q14844">
        <v>32</v>
      </c>
      <c r="R14844" t="s">
        <v>44937</v>
      </c>
      <c r="S14844" t="s">
        <v>46090</v>
      </c>
      <c r="T14844" t="s">
        <v>46447</v>
      </c>
      <c r="U14844" t="s">
        <v>56483</v>
      </c>
      <c r="V14844" t="s">
        <v>59468</v>
      </c>
      <c r="W14844" t="s">
        <v>42520</v>
      </c>
      <c r="X14844" t="s">
        <v>44938</v>
      </c>
    </row>
    <row r="14845" spans="1:24">
      <c r="A14845">
        <f>HYPERLINK("https://www.philgeps.gov.ph/GEPSNONPILOT/Tender/SplashBidNoticeAbstractUI.aspx?menuIndex=3&amp;refID=7023213&amp;Result=3","7023213")</f>
        <v>0</v>
      </c>
      <c r="B14845" t="s">
        <v>55</v>
      </c>
      <c r="C14845" t="s">
        <v>17742</v>
      </c>
      <c r="D14845" t="s">
        <v>18120</v>
      </c>
      <c r="E14845" t="s">
        <v>31013</v>
      </c>
      <c r="F14845" t="s">
        <v>31362</v>
      </c>
      <c r="G14845" t="s">
        <v>31370</v>
      </c>
      <c r="H14845" t="s">
        <v>31379</v>
      </c>
      <c r="I14845" t="s">
        <v>31451</v>
      </c>
      <c r="J14845" t="s">
        <v>32950</v>
      </c>
      <c r="K14845" t="s">
        <v>40747</v>
      </c>
      <c r="M14845" t="s">
        <v>40989</v>
      </c>
      <c r="N14845" t="s">
        <v>44905</v>
      </c>
      <c r="O14845" t="s">
        <v>44906</v>
      </c>
      <c r="Q14845">
        <v>2</v>
      </c>
      <c r="R14845" t="s">
        <v>44937</v>
      </c>
      <c r="S14845" t="s">
        <v>46091</v>
      </c>
      <c r="T14845" t="s">
        <v>46454</v>
      </c>
      <c r="U14845" t="s">
        <v>58757</v>
      </c>
      <c r="W14845" t="s">
        <v>40989</v>
      </c>
      <c r="X14845" t="s">
        <v>44938</v>
      </c>
    </row>
    <row r="14846" spans="1:24">
      <c r="A14846">
        <f>HYPERLINK("https://www.philgeps.gov.ph/GEPSNONPILOT/Tender/SplashBidNoticeAbstractUI.aspx?menuIndex=3&amp;refID=7022290&amp;Result=3","7022290")</f>
        <v>0</v>
      </c>
      <c r="B14846" t="s">
        <v>516</v>
      </c>
      <c r="C14846" t="s">
        <v>17743</v>
      </c>
      <c r="D14846" t="s">
        <v>18102</v>
      </c>
      <c r="E14846" t="s">
        <v>31014</v>
      </c>
      <c r="F14846" t="s">
        <v>31362</v>
      </c>
      <c r="G14846" t="s">
        <v>31371</v>
      </c>
      <c r="H14846" t="s">
        <v>15799</v>
      </c>
      <c r="I14846" t="s">
        <v>7090</v>
      </c>
      <c r="J14846" t="s">
        <v>32261</v>
      </c>
      <c r="K14846" t="s">
        <v>40675</v>
      </c>
      <c r="M14846" t="s">
        <v>43558</v>
      </c>
      <c r="N14846" t="s">
        <v>44905</v>
      </c>
      <c r="O14846" t="s">
        <v>44906</v>
      </c>
      <c r="Q14846">
        <v>14</v>
      </c>
      <c r="R14846" t="s">
        <v>44937</v>
      </c>
      <c r="S14846" t="s">
        <v>46092</v>
      </c>
      <c r="T14846" t="s">
        <v>46900</v>
      </c>
      <c r="U14846" t="s">
        <v>53439</v>
      </c>
      <c r="W14846" t="s">
        <v>43558</v>
      </c>
      <c r="X14846" t="s">
        <v>44938</v>
      </c>
    </row>
    <row r="14847" spans="1:24">
      <c r="A14847">
        <f>HYPERLINK("https://www.philgeps.gov.ph/GEPSNONPILOT/Tender/SplashBidNoticeAbstractUI.aspx?menuIndex=3&amp;refID=7022864&amp;Result=3","7022864")</f>
        <v>0</v>
      </c>
      <c r="B14847" t="s">
        <v>700</v>
      </c>
      <c r="C14847" t="s">
        <v>17744</v>
      </c>
      <c r="E14847" t="s">
        <v>31015</v>
      </c>
      <c r="F14847" t="s">
        <v>31362</v>
      </c>
      <c r="G14847" t="s">
        <v>31369</v>
      </c>
      <c r="H14847" t="s">
        <v>15799</v>
      </c>
      <c r="I14847" t="s">
        <v>31384</v>
      </c>
      <c r="J14847" t="s">
        <v>40458</v>
      </c>
      <c r="K14847" t="s">
        <v>40662</v>
      </c>
      <c r="M14847" t="s">
        <v>41665</v>
      </c>
      <c r="N14847" t="s">
        <v>44905</v>
      </c>
      <c r="O14847" t="s">
        <v>44906</v>
      </c>
      <c r="Q14847">
        <v>19</v>
      </c>
      <c r="R14847" t="s">
        <v>44937</v>
      </c>
      <c r="S14847" t="s">
        <v>46093</v>
      </c>
      <c r="T14847" t="s">
        <v>46490</v>
      </c>
      <c r="U14847" t="s">
        <v>58758</v>
      </c>
      <c r="V14847" t="s">
        <v>60768</v>
      </c>
      <c r="W14847" t="s">
        <v>60977</v>
      </c>
      <c r="X14847" t="s">
        <v>44938</v>
      </c>
    </row>
    <row r="14848" spans="1:24">
      <c r="A14848">
        <f>HYPERLINK("https://www.philgeps.gov.ph/GEPSNONPILOT/Tender/SplashBidNoticeAbstractUI.aspx?menuIndex=3&amp;refID=7019924&amp;Result=3","7019924")</f>
        <v>0</v>
      </c>
      <c r="B14848" t="s">
        <v>985</v>
      </c>
      <c r="C14848" t="s">
        <v>17745</v>
      </c>
      <c r="D14848" t="s">
        <v>18107</v>
      </c>
      <c r="E14848" t="s">
        <v>31016</v>
      </c>
      <c r="F14848" t="s">
        <v>31362</v>
      </c>
      <c r="G14848" t="s">
        <v>31369</v>
      </c>
      <c r="H14848" t="s">
        <v>31378</v>
      </c>
      <c r="I14848" t="s">
        <v>31386</v>
      </c>
      <c r="J14848" t="s">
        <v>34023</v>
      </c>
      <c r="K14848" t="s">
        <v>40939</v>
      </c>
      <c r="M14848" t="s">
        <v>41977</v>
      </c>
      <c r="N14848" t="s">
        <v>44905</v>
      </c>
      <c r="O14848" t="s">
        <v>44906</v>
      </c>
      <c r="Q14848">
        <v>0</v>
      </c>
      <c r="R14848" t="s">
        <v>44938</v>
      </c>
      <c r="S14848" t="s">
        <v>45127</v>
      </c>
      <c r="T14848" t="s">
        <v>46396</v>
      </c>
      <c r="U14848" t="s">
        <v>49021</v>
      </c>
      <c r="W14848" t="s">
        <v>41977</v>
      </c>
      <c r="X14848" t="s">
        <v>44942</v>
      </c>
    </row>
    <row r="14849" spans="1:24">
      <c r="A14849">
        <f>HYPERLINK("https://www.philgeps.gov.ph/GEPSNONPILOT/Tender/SplashBidNoticeAbstractUI.aspx?menuIndex=3&amp;refID=7023329&amp;Result=3","7023329")</f>
        <v>0</v>
      </c>
      <c r="B14849" t="s">
        <v>832</v>
      </c>
      <c r="C14849" t="s">
        <v>17746</v>
      </c>
      <c r="E14849" t="s">
        <v>31017</v>
      </c>
      <c r="F14849" t="s">
        <v>31362</v>
      </c>
      <c r="G14849" t="s">
        <v>31369</v>
      </c>
      <c r="H14849" t="s">
        <v>31379</v>
      </c>
      <c r="I14849" t="s">
        <v>12925</v>
      </c>
      <c r="J14849" t="s">
        <v>40459</v>
      </c>
      <c r="K14849" t="s">
        <v>40946</v>
      </c>
      <c r="M14849" t="s">
        <v>44719</v>
      </c>
      <c r="N14849" t="s">
        <v>44905</v>
      </c>
      <c r="O14849" t="s">
        <v>44906</v>
      </c>
      <c r="Q14849">
        <v>8</v>
      </c>
      <c r="R14849" t="s">
        <v>44937</v>
      </c>
      <c r="S14849" t="s">
        <v>46094</v>
      </c>
      <c r="T14849" t="s">
        <v>46625</v>
      </c>
      <c r="U14849" t="s">
        <v>58759</v>
      </c>
      <c r="W14849" t="s">
        <v>44719</v>
      </c>
      <c r="X14849" t="s">
        <v>44938</v>
      </c>
    </row>
    <row r="14850" spans="1:24">
      <c r="A14850">
        <f>HYPERLINK("https://www.philgeps.gov.ph/GEPSNONPILOT/Tender/SplashBidNoticeAbstractUI.aspx?menuIndex=3&amp;refID=7019405&amp;Result=3","7019405")</f>
        <v>0</v>
      </c>
      <c r="B14850" t="s">
        <v>743</v>
      </c>
      <c r="C14850" t="s">
        <v>17747</v>
      </c>
      <c r="D14850" t="s">
        <v>18117</v>
      </c>
      <c r="E14850" t="s">
        <v>31018</v>
      </c>
      <c r="F14850" t="s">
        <v>31362</v>
      </c>
      <c r="G14850" t="s">
        <v>31369</v>
      </c>
      <c r="H14850" t="s">
        <v>15799</v>
      </c>
      <c r="I14850" t="s">
        <v>7188</v>
      </c>
      <c r="J14850" t="s">
        <v>39265</v>
      </c>
      <c r="K14850" t="s">
        <v>40670</v>
      </c>
      <c r="M14850" t="s">
        <v>41710</v>
      </c>
      <c r="N14850" t="s">
        <v>44905</v>
      </c>
      <c r="O14850" t="s">
        <v>44906</v>
      </c>
      <c r="P14850">
        <v>0</v>
      </c>
      <c r="Q14850">
        <v>5</v>
      </c>
      <c r="R14850" t="s">
        <v>44938</v>
      </c>
      <c r="S14850" t="s">
        <v>46095</v>
      </c>
      <c r="T14850" t="s">
        <v>46712</v>
      </c>
      <c r="U14850" t="s">
        <v>58628</v>
      </c>
      <c r="W14850" t="s">
        <v>60868</v>
      </c>
      <c r="X14850" t="s">
        <v>44942</v>
      </c>
    </row>
    <row r="14851" spans="1:24">
      <c r="A14851">
        <f>HYPERLINK("https://www.philgeps.gov.ph/GEPSNONPILOT/Tender/SplashBidNoticeAbstractUI.aspx?menuIndex=3&amp;refID=7022812&amp;Result=3","7022812")</f>
        <v>0</v>
      </c>
      <c r="B14851" t="s">
        <v>74</v>
      </c>
      <c r="C14851" t="s">
        <v>17748</v>
      </c>
      <c r="D14851" t="s">
        <v>18108</v>
      </c>
      <c r="E14851" t="s">
        <v>31019</v>
      </c>
      <c r="F14851" t="s">
        <v>31362</v>
      </c>
      <c r="G14851" t="s">
        <v>31371</v>
      </c>
      <c r="H14851" t="s">
        <v>15799</v>
      </c>
      <c r="I14851" t="s">
        <v>31387</v>
      </c>
      <c r="J14851" t="s">
        <v>40460</v>
      </c>
      <c r="K14851" t="s">
        <v>40666</v>
      </c>
      <c r="M14851" t="s">
        <v>41407</v>
      </c>
      <c r="N14851" t="s">
        <v>44905</v>
      </c>
      <c r="O14851" t="s">
        <v>44906</v>
      </c>
      <c r="Q14851">
        <v>5</v>
      </c>
      <c r="R14851" t="s">
        <v>44937</v>
      </c>
      <c r="S14851" t="s">
        <v>46096</v>
      </c>
      <c r="T14851" t="s">
        <v>46438</v>
      </c>
      <c r="U14851" t="s">
        <v>58760</v>
      </c>
      <c r="W14851" t="s">
        <v>41407</v>
      </c>
      <c r="X14851" t="s">
        <v>44938</v>
      </c>
    </row>
    <row r="14852" spans="1:24">
      <c r="A14852">
        <f>HYPERLINK("https://www.philgeps.gov.ph/GEPSNONPILOT/Tender/SplashBidNoticeAbstractUI.aspx?menuIndex=3&amp;refID=7019957&amp;Result=3","7019957")</f>
        <v>0</v>
      </c>
      <c r="B14852" t="s">
        <v>985</v>
      </c>
      <c r="C14852" t="s">
        <v>17749</v>
      </c>
      <c r="D14852" t="s">
        <v>18107</v>
      </c>
      <c r="E14852" t="s">
        <v>31020</v>
      </c>
      <c r="F14852" t="s">
        <v>31362</v>
      </c>
      <c r="G14852" t="s">
        <v>31369</v>
      </c>
      <c r="H14852" t="s">
        <v>31378</v>
      </c>
      <c r="I14852" t="s">
        <v>31386</v>
      </c>
      <c r="J14852" t="s">
        <v>35695</v>
      </c>
      <c r="K14852" t="s">
        <v>40678</v>
      </c>
      <c r="M14852" t="s">
        <v>41977</v>
      </c>
      <c r="N14852" t="s">
        <v>44905</v>
      </c>
      <c r="O14852" t="s">
        <v>44906</v>
      </c>
      <c r="Q14852">
        <v>0</v>
      </c>
      <c r="R14852" t="s">
        <v>44938</v>
      </c>
      <c r="S14852" t="s">
        <v>45070</v>
      </c>
      <c r="T14852" t="s">
        <v>46396</v>
      </c>
      <c r="U14852" t="s">
        <v>49021</v>
      </c>
      <c r="W14852" t="s">
        <v>41977</v>
      </c>
      <c r="X14852" t="s">
        <v>44942</v>
      </c>
    </row>
    <row r="14853" spans="1:24">
      <c r="A14853">
        <f>HYPERLINK("https://www.philgeps.gov.ph/GEPSNONPILOT/Tender/SplashBidNoticeAbstractUI.aspx?menuIndex=3&amp;refID=7021086&amp;Result=3","7021086")</f>
        <v>0</v>
      </c>
      <c r="B14853" t="s">
        <v>700</v>
      </c>
      <c r="C14853" t="s">
        <v>17750</v>
      </c>
      <c r="E14853" t="s">
        <v>31021</v>
      </c>
      <c r="F14853" t="s">
        <v>31362</v>
      </c>
      <c r="G14853" t="s">
        <v>31369</v>
      </c>
      <c r="H14853" t="s">
        <v>15799</v>
      </c>
      <c r="I14853" t="s">
        <v>31393</v>
      </c>
      <c r="J14853" t="s">
        <v>31634</v>
      </c>
      <c r="K14853" t="s">
        <v>40662</v>
      </c>
      <c r="M14853" t="s">
        <v>42641</v>
      </c>
      <c r="N14853" t="s">
        <v>44905</v>
      </c>
      <c r="O14853" t="s">
        <v>44906</v>
      </c>
      <c r="Q14853">
        <v>20</v>
      </c>
      <c r="R14853" t="s">
        <v>44938</v>
      </c>
      <c r="S14853" t="s">
        <v>46097</v>
      </c>
      <c r="T14853" t="s">
        <v>46490</v>
      </c>
      <c r="U14853" t="s">
        <v>58761</v>
      </c>
      <c r="V14853" t="s">
        <v>60769</v>
      </c>
      <c r="W14853" t="s">
        <v>60977</v>
      </c>
      <c r="X14853" t="s">
        <v>44942</v>
      </c>
    </row>
    <row r="14854" spans="1:24">
      <c r="A14854">
        <f>HYPERLINK("https://www.philgeps.gov.ph/GEPSNONPILOT/Tender/SplashBidNoticeAbstractUI.aspx?menuIndex=3&amp;refID=7021359&amp;Result=3","7021359")</f>
        <v>0</v>
      </c>
      <c r="B14854" t="s">
        <v>74</v>
      </c>
      <c r="C14854" t="s">
        <v>17751</v>
      </c>
      <c r="D14854" t="s">
        <v>18108</v>
      </c>
      <c r="E14854" t="s">
        <v>31022</v>
      </c>
      <c r="F14854" t="s">
        <v>31362</v>
      </c>
      <c r="G14854" t="s">
        <v>31371</v>
      </c>
      <c r="H14854" t="s">
        <v>15799</v>
      </c>
      <c r="I14854" t="s">
        <v>3815</v>
      </c>
      <c r="J14854" t="s">
        <v>40461</v>
      </c>
      <c r="K14854" t="s">
        <v>40662</v>
      </c>
      <c r="M14854" t="s">
        <v>41010</v>
      </c>
      <c r="N14854" t="s">
        <v>44905</v>
      </c>
      <c r="O14854" t="s">
        <v>44906</v>
      </c>
      <c r="Q14854">
        <v>5</v>
      </c>
      <c r="R14854" t="s">
        <v>44938</v>
      </c>
      <c r="S14854" t="s">
        <v>46098</v>
      </c>
      <c r="T14854" t="s">
        <v>46454</v>
      </c>
      <c r="U14854" t="s">
        <v>58762</v>
      </c>
      <c r="W14854" t="s">
        <v>41010</v>
      </c>
      <c r="X14854" t="s">
        <v>44942</v>
      </c>
    </row>
    <row r="14855" spans="1:24">
      <c r="A14855">
        <f>HYPERLINK("https://www.philgeps.gov.ph/GEPSNONPILOT/Tender/SplashBidNoticeAbstractUI.aspx?menuIndex=3&amp;refID=7019935&amp;Result=3","7019935")</f>
        <v>0</v>
      </c>
      <c r="B14855" t="s">
        <v>985</v>
      </c>
      <c r="C14855" t="s">
        <v>17752</v>
      </c>
      <c r="D14855" t="s">
        <v>18107</v>
      </c>
      <c r="E14855" t="s">
        <v>31023</v>
      </c>
      <c r="F14855" t="s">
        <v>31362</v>
      </c>
      <c r="G14855" t="s">
        <v>31369</v>
      </c>
      <c r="H14855" t="s">
        <v>31378</v>
      </c>
      <c r="I14855" t="s">
        <v>31386</v>
      </c>
      <c r="J14855" t="s">
        <v>34185</v>
      </c>
      <c r="K14855" t="s">
        <v>40759</v>
      </c>
      <c r="M14855" t="s">
        <v>41977</v>
      </c>
      <c r="N14855" t="s">
        <v>44905</v>
      </c>
      <c r="O14855" t="s">
        <v>44906</v>
      </c>
      <c r="Q14855">
        <v>0</v>
      </c>
      <c r="R14855" t="s">
        <v>44938</v>
      </c>
      <c r="S14855" t="s">
        <v>45122</v>
      </c>
      <c r="T14855" t="s">
        <v>46396</v>
      </c>
      <c r="U14855" t="s">
        <v>49021</v>
      </c>
      <c r="W14855" t="s">
        <v>41977</v>
      </c>
      <c r="X14855" t="s">
        <v>44942</v>
      </c>
    </row>
    <row r="14856" spans="1:24">
      <c r="A14856">
        <f>HYPERLINK("https://www.philgeps.gov.ph/GEPSNONPILOT/Tender/SplashBidNoticeAbstractUI.aspx?menuIndex=3&amp;refID=7021626&amp;Result=3","7021626")</f>
        <v>0</v>
      </c>
      <c r="B14856" t="s">
        <v>97</v>
      </c>
      <c r="C14856" t="s">
        <v>17753</v>
      </c>
      <c r="E14856" t="s">
        <v>31024</v>
      </c>
      <c r="F14856" t="s">
        <v>31362</v>
      </c>
      <c r="G14856" t="s">
        <v>31369</v>
      </c>
      <c r="H14856" t="s">
        <v>31378</v>
      </c>
      <c r="I14856" t="s">
        <v>31386</v>
      </c>
      <c r="J14856" t="s">
        <v>40462</v>
      </c>
      <c r="K14856" t="s">
        <v>40947</v>
      </c>
      <c r="M14856" t="s">
        <v>44863</v>
      </c>
      <c r="N14856" t="s">
        <v>44905</v>
      </c>
      <c r="O14856" t="s">
        <v>44906</v>
      </c>
      <c r="P14856">
        <v>0</v>
      </c>
      <c r="Q14856">
        <v>16</v>
      </c>
      <c r="R14856" t="s">
        <v>44938</v>
      </c>
      <c r="S14856" t="s">
        <v>46095</v>
      </c>
      <c r="T14856" t="s">
        <v>46687</v>
      </c>
      <c r="U14856" t="s">
        <v>58763</v>
      </c>
      <c r="V14856" t="s">
        <v>57298</v>
      </c>
      <c r="W14856" t="s">
        <v>44863</v>
      </c>
      <c r="X14856" t="s">
        <v>44942</v>
      </c>
    </row>
    <row r="14857" spans="1:24">
      <c r="A14857">
        <f>HYPERLINK("https://www.philgeps.gov.ph/GEPSNONPILOT/Tender/SplashBidNoticeAbstractUI.aspx?menuIndex=3&amp;refID=7015388&amp;Result=3","7015388")</f>
        <v>0</v>
      </c>
      <c r="B14857" t="s">
        <v>762</v>
      </c>
      <c r="C14857" t="s">
        <v>17754</v>
      </c>
      <c r="D14857" t="s">
        <v>18108</v>
      </c>
      <c r="E14857" t="s">
        <v>31025</v>
      </c>
      <c r="F14857" t="s">
        <v>31362</v>
      </c>
      <c r="G14857" t="s">
        <v>31368</v>
      </c>
      <c r="H14857" t="s">
        <v>15799</v>
      </c>
      <c r="I14857" t="s">
        <v>31380</v>
      </c>
      <c r="J14857" t="s">
        <v>31531</v>
      </c>
      <c r="K14857" t="s">
        <v>40662</v>
      </c>
      <c r="M14857" t="s">
        <v>44864</v>
      </c>
      <c r="N14857" t="s">
        <v>44905</v>
      </c>
      <c r="O14857" t="s">
        <v>44906</v>
      </c>
      <c r="Q14857">
        <v>20</v>
      </c>
      <c r="R14857" t="s">
        <v>44939</v>
      </c>
      <c r="S14857" t="s">
        <v>46099</v>
      </c>
      <c r="T14857" t="s">
        <v>46409</v>
      </c>
      <c r="U14857" t="s">
        <v>58764</v>
      </c>
      <c r="W14857" t="s">
        <v>44864</v>
      </c>
      <c r="X14857" t="s">
        <v>44941</v>
      </c>
    </row>
    <row r="14858" spans="1:24">
      <c r="A14858">
        <f>HYPERLINK("https://www.philgeps.gov.ph/GEPSNONPILOT/Tender/SplashBidNoticeAbstractUI.aspx?menuIndex=3&amp;refID=7014796&amp;Result=3","7014796")</f>
        <v>0</v>
      </c>
      <c r="B14858" t="s">
        <v>393</v>
      </c>
      <c r="C14858" t="s">
        <v>17755</v>
      </c>
      <c r="D14858" t="s">
        <v>18122</v>
      </c>
      <c r="E14858" t="s">
        <v>31026</v>
      </c>
      <c r="F14858" t="s">
        <v>31362</v>
      </c>
      <c r="G14858" t="s">
        <v>31371</v>
      </c>
      <c r="H14858" t="s">
        <v>15799</v>
      </c>
      <c r="I14858" t="s">
        <v>31410</v>
      </c>
      <c r="J14858" t="s">
        <v>34304</v>
      </c>
      <c r="K14858" t="s">
        <v>40677</v>
      </c>
      <c r="M14858" t="s">
        <v>41341</v>
      </c>
      <c r="N14858" t="s">
        <v>44905</v>
      </c>
      <c r="O14858" t="s">
        <v>44906</v>
      </c>
      <c r="Q14858">
        <v>0</v>
      </c>
      <c r="R14858" t="s">
        <v>44939</v>
      </c>
      <c r="S14858" t="s">
        <v>46100</v>
      </c>
      <c r="T14858" t="s">
        <v>46409</v>
      </c>
      <c r="U14858" t="s">
        <v>58765</v>
      </c>
      <c r="W14858" t="s">
        <v>41341</v>
      </c>
      <c r="X14858" t="s">
        <v>44941</v>
      </c>
    </row>
    <row r="14859" spans="1:24">
      <c r="A14859">
        <f>HYPERLINK("https://www.philgeps.gov.ph/GEPSNONPILOT/Tender/SplashBidNoticeAbstractUI.aspx?menuIndex=3&amp;refID=7020712&amp;Result=3","7020712")</f>
        <v>0</v>
      </c>
      <c r="B14859" t="s">
        <v>97</v>
      </c>
      <c r="C14859" t="s">
        <v>17756</v>
      </c>
      <c r="E14859" t="s">
        <v>31027</v>
      </c>
      <c r="F14859" t="s">
        <v>31362</v>
      </c>
      <c r="G14859" t="s">
        <v>31369</v>
      </c>
      <c r="H14859" t="s">
        <v>31378</v>
      </c>
      <c r="I14859" t="s">
        <v>31386</v>
      </c>
      <c r="J14859" t="s">
        <v>40463</v>
      </c>
      <c r="K14859" t="s">
        <v>40948</v>
      </c>
      <c r="M14859" t="s">
        <v>44863</v>
      </c>
      <c r="N14859" t="s">
        <v>44905</v>
      </c>
      <c r="O14859" t="s">
        <v>44906</v>
      </c>
      <c r="Q14859">
        <v>15</v>
      </c>
      <c r="R14859" t="s">
        <v>44938</v>
      </c>
      <c r="S14859" t="s">
        <v>46101</v>
      </c>
      <c r="T14859" t="s">
        <v>46687</v>
      </c>
      <c r="U14859" t="s">
        <v>58766</v>
      </c>
      <c r="V14859" t="s">
        <v>59076</v>
      </c>
      <c r="W14859" t="s">
        <v>44863</v>
      </c>
      <c r="X14859" t="s">
        <v>44942</v>
      </c>
    </row>
    <row r="14860" spans="1:24">
      <c r="A14860">
        <f>HYPERLINK("https://www.philgeps.gov.ph/GEPSNONPILOT/Tender/SplashBidNoticeAbstractUI.aspx?menuIndex=3&amp;refID=7021128&amp;Result=3","7021128")</f>
        <v>0</v>
      </c>
      <c r="B14860" t="s">
        <v>700</v>
      </c>
      <c r="C14860" t="s">
        <v>17757</v>
      </c>
      <c r="E14860" t="s">
        <v>31028</v>
      </c>
      <c r="F14860" t="s">
        <v>31362</v>
      </c>
      <c r="G14860" t="s">
        <v>31369</v>
      </c>
      <c r="H14860" t="s">
        <v>15799</v>
      </c>
      <c r="I14860" t="s">
        <v>31393</v>
      </c>
      <c r="J14860" t="s">
        <v>40464</v>
      </c>
      <c r="K14860" t="s">
        <v>40662</v>
      </c>
      <c r="M14860" t="s">
        <v>41665</v>
      </c>
      <c r="N14860" t="s">
        <v>44905</v>
      </c>
      <c r="O14860" t="s">
        <v>44906</v>
      </c>
      <c r="Q14860">
        <v>21</v>
      </c>
      <c r="R14860" t="s">
        <v>44938</v>
      </c>
      <c r="S14860" t="s">
        <v>46102</v>
      </c>
      <c r="T14860" t="s">
        <v>46490</v>
      </c>
      <c r="U14860" t="s">
        <v>58767</v>
      </c>
      <c r="V14860" t="s">
        <v>60770</v>
      </c>
      <c r="W14860" t="s">
        <v>60977</v>
      </c>
      <c r="X14860" t="s">
        <v>44942</v>
      </c>
    </row>
    <row r="14861" spans="1:24">
      <c r="A14861">
        <f>HYPERLINK("https://www.philgeps.gov.ph/GEPSNONPILOT/Tender/SplashBidNoticeAbstractUI.aspx?menuIndex=3&amp;refID=7018226&amp;Result=3","7018226")</f>
        <v>0</v>
      </c>
      <c r="B14861" t="s">
        <v>1991</v>
      </c>
      <c r="C14861" t="s">
        <v>17758</v>
      </c>
      <c r="D14861" t="s">
        <v>18112</v>
      </c>
      <c r="E14861" t="s">
        <v>31029</v>
      </c>
      <c r="F14861" t="s">
        <v>31362</v>
      </c>
      <c r="G14861" t="s">
        <v>31369</v>
      </c>
      <c r="H14861" t="s">
        <v>31378</v>
      </c>
      <c r="I14861" t="s">
        <v>31386</v>
      </c>
      <c r="J14861" t="s">
        <v>40465</v>
      </c>
      <c r="K14861" t="s">
        <v>40683</v>
      </c>
      <c r="M14861" t="s">
        <v>43829</v>
      </c>
      <c r="N14861" t="s">
        <v>44905</v>
      </c>
      <c r="O14861" t="s">
        <v>44906</v>
      </c>
      <c r="Q14861">
        <v>4</v>
      </c>
      <c r="R14861" t="s">
        <v>44940</v>
      </c>
      <c r="S14861" t="s">
        <v>45624</v>
      </c>
      <c r="T14861" t="s">
        <v>46750</v>
      </c>
      <c r="U14861" t="s">
        <v>58768</v>
      </c>
      <c r="W14861" t="s">
        <v>43829</v>
      </c>
      <c r="X14861" t="s">
        <v>44939</v>
      </c>
    </row>
    <row r="14862" spans="1:24">
      <c r="A14862">
        <f>HYPERLINK("https://www.philgeps.gov.ph/GEPSNONPILOT/Tender/SplashBidNoticeAbstractUI.aspx?menuIndex=3&amp;refID=7018218&amp;Result=3","7018218")</f>
        <v>0</v>
      </c>
      <c r="B14862" t="s">
        <v>1991</v>
      </c>
      <c r="C14862" t="s">
        <v>17759</v>
      </c>
      <c r="D14862" t="s">
        <v>18112</v>
      </c>
      <c r="E14862" t="s">
        <v>31030</v>
      </c>
      <c r="F14862" t="s">
        <v>31362</v>
      </c>
      <c r="G14862" t="s">
        <v>31369</v>
      </c>
      <c r="H14862" t="s">
        <v>31378</v>
      </c>
      <c r="I14862" t="s">
        <v>31386</v>
      </c>
      <c r="J14862" t="s">
        <v>40466</v>
      </c>
      <c r="K14862" t="s">
        <v>40683</v>
      </c>
      <c r="M14862" t="s">
        <v>43829</v>
      </c>
      <c r="N14862" t="s">
        <v>44905</v>
      </c>
      <c r="O14862" t="s">
        <v>44906</v>
      </c>
      <c r="Q14862">
        <v>7</v>
      </c>
      <c r="R14862" t="s">
        <v>44940</v>
      </c>
      <c r="S14862" t="s">
        <v>45624</v>
      </c>
      <c r="T14862" t="s">
        <v>46750</v>
      </c>
      <c r="U14862" t="s">
        <v>58769</v>
      </c>
      <c r="W14862" t="s">
        <v>43829</v>
      </c>
      <c r="X14862" t="s">
        <v>44939</v>
      </c>
    </row>
    <row r="14863" spans="1:24">
      <c r="A14863">
        <f>HYPERLINK("https://www.philgeps.gov.ph/GEPSNONPILOT/Tender/SplashBidNoticeAbstractUI.aspx?menuIndex=3&amp;refID=7018242&amp;Result=3","7018242")</f>
        <v>0</v>
      </c>
      <c r="B14863" t="s">
        <v>1991</v>
      </c>
      <c r="C14863" t="s">
        <v>17760</v>
      </c>
      <c r="D14863" t="s">
        <v>18112</v>
      </c>
      <c r="E14863" t="s">
        <v>31031</v>
      </c>
      <c r="F14863" t="s">
        <v>31362</v>
      </c>
      <c r="G14863" t="s">
        <v>31369</v>
      </c>
      <c r="H14863" t="s">
        <v>31378</v>
      </c>
      <c r="I14863" t="s">
        <v>31386</v>
      </c>
      <c r="J14863" t="s">
        <v>40467</v>
      </c>
      <c r="K14863" t="s">
        <v>40833</v>
      </c>
      <c r="M14863" t="s">
        <v>43829</v>
      </c>
      <c r="N14863" t="s">
        <v>44905</v>
      </c>
      <c r="O14863" t="s">
        <v>44906</v>
      </c>
      <c r="Q14863">
        <v>6</v>
      </c>
      <c r="R14863" t="s">
        <v>44938</v>
      </c>
      <c r="S14863" t="s">
        <v>45137</v>
      </c>
      <c r="T14863" t="s">
        <v>46750</v>
      </c>
      <c r="U14863" t="s">
        <v>58770</v>
      </c>
      <c r="W14863" t="s">
        <v>43829</v>
      </c>
      <c r="X14863" t="s">
        <v>44939</v>
      </c>
    </row>
    <row r="14864" spans="1:24">
      <c r="A14864">
        <f>HYPERLINK("https://www.philgeps.gov.ph/GEPSNONPILOT/Tender/SplashBidNoticeAbstractUI.aspx?menuIndex=3&amp;refID=7014150&amp;Result=3","7014150")</f>
        <v>0</v>
      </c>
      <c r="B14864" t="s">
        <v>97</v>
      </c>
      <c r="C14864" t="s">
        <v>17761</v>
      </c>
      <c r="E14864" t="s">
        <v>31032</v>
      </c>
      <c r="F14864" t="s">
        <v>31362</v>
      </c>
      <c r="G14864" t="s">
        <v>31369</v>
      </c>
      <c r="H14864" t="s">
        <v>31378</v>
      </c>
      <c r="I14864" t="s">
        <v>31386</v>
      </c>
      <c r="J14864" t="s">
        <v>40468</v>
      </c>
      <c r="K14864" t="s">
        <v>40728</v>
      </c>
      <c r="M14864" t="s">
        <v>44863</v>
      </c>
      <c r="N14864" t="s">
        <v>44905</v>
      </c>
      <c r="O14864" t="s">
        <v>44906</v>
      </c>
      <c r="Q14864">
        <v>27</v>
      </c>
      <c r="R14864" t="s">
        <v>44941</v>
      </c>
      <c r="S14864" t="s">
        <v>46103</v>
      </c>
      <c r="T14864" t="s">
        <v>46447</v>
      </c>
      <c r="U14864" t="s">
        <v>58771</v>
      </c>
      <c r="V14864" t="s">
        <v>59076</v>
      </c>
      <c r="W14864" t="s">
        <v>44863</v>
      </c>
      <c r="X14864" t="s">
        <v>44943</v>
      </c>
    </row>
    <row r="14865" spans="1:24">
      <c r="A14865">
        <f>HYPERLINK("https://www.philgeps.gov.ph/GEPSNONPILOT/Tender/SplashBidNoticeAbstractUI.aspx?menuIndex=3&amp;refID=7020928&amp;Result=3","7020928")</f>
        <v>0</v>
      </c>
      <c r="B14865" t="s">
        <v>700</v>
      </c>
      <c r="C14865" t="s">
        <v>17762</v>
      </c>
      <c r="E14865" t="s">
        <v>31033</v>
      </c>
      <c r="F14865" t="s">
        <v>31362</v>
      </c>
      <c r="G14865" t="s">
        <v>31369</v>
      </c>
      <c r="H14865" t="s">
        <v>15799</v>
      </c>
      <c r="I14865" t="s">
        <v>31502</v>
      </c>
      <c r="J14865" t="s">
        <v>34646</v>
      </c>
      <c r="K14865" t="s">
        <v>40662</v>
      </c>
      <c r="M14865" t="s">
        <v>41665</v>
      </c>
      <c r="N14865" t="s">
        <v>44905</v>
      </c>
      <c r="O14865" t="s">
        <v>44906</v>
      </c>
      <c r="Q14865">
        <v>5</v>
      </c>
      <c r="R14865" t="s">
        <v>44938</v>
      </c>
      <c r="S14865" t="s">
        <v>46104</v>
      </c>
      <c r="T14865" t="s">
        <v>46490</v>
      </c>
      <c r="U14865" t="s">
        <v>58772</v>
      </c>
      <c r="V14865" t="s">
        <v>60770</v>
      </c>
      <c r="W14865" t="s">
        <v>60977</v>
      </c>
      <c r="X14865" t="s">
        <v>44942</v>
      </c>
    </row>
    <row r="14866" spans="1:24">
      <c r="A14866">
        <f>HYPERLINK("https://www.philgeps.gov.ph/GEPSNONPILOT/Tender/SplashBidNoticeAbstractUI.aspx?menuIndex=3&amp;refID=7014145&amp;Result=3","7014145")</f>
        <v>0</v>
      </c>
      <c r="B14866" t="s">
        <v>3506</v>
      </c>
      <c r="C14866" t="s">
        <v>17763</v>
      </c>
      <c r="D14866" t="s">
        <v>18127</v>
      </c>
      <c r="E14866" t="s">
        <v>18514</v>
      </c>
      <c r="F14866" t="s">
        <v>31362</v>
      </c>
      <c r="G14866" t="s">
        <v>31369</v>
      </c>
      <c r="H14866" t="s">
        <v>15799</v>
      </c>
      <c r="I14866" t="s">
        <v>31398</v>
      </c>
      <c r="J14866" t="s">
        <v>31725</v>
      </c>
      <c r="K14866" t="s">
        <v>40665</v>
      </c>
      <c r="M14866" t="s">
        <v>44857</v>
      </c>
      <c r="N14866" t="s">
        <v>44905</v>
      </c>
      <c r="O14866" t="s">
        <v>44906</v>
      </c>
      <c r="P14866">
        <v>0</v>
      </c>
      <c r="Q14866">
        <v>4</v>
      </c>
      <c r="R14866" t="s">
        <v>44941</v>
      </c>
      <c r="S14866" t="s">
        <v>46105</v>
      </c>
      <c r="T14866" t="s">
        <v>46447</v>
      </c>
      <c r="U14866" t="s">
        <v>58773</v>
      </c>
      <c r="V14866" t="s">
        <v>58773</v>
      </c>
      <c r="W14866" t="s">
        <v>44857</v>
      </c>
      <c r="X14866" t="s">
        <v>44943</v>
      </c>
    </row>
    <row r="14867" spans="1:24">
      <c r="A14867">
        <f>HYPERLINK("https://www.philgeps.gov.ph/GEPSNONPILOT/Tender/SplashBidNoticeAbstractUI.aspx?menuIndex=3&amp;refID=7013780&amp;Result=3","7013780")</f>
        <v>0</v>
      </c>
      <c r="B14867" t="s">
        <v>514</v>
      </c>
      <c r="C14867" t="s">
        <v>17764</v>
      </c>
      <c r="E14867" t="s">
        <v>31034</v>
      </c>
      <c r="F14867" t="s">
        <v>31362</v>
      </c>
      <c r="G14867" t="s">
        <v>31369</v>
      </c>
      <c r="H14867" t="s">
        <v>31378</v>
      </c>
      <c r="I14867" t="s">
        <v>31386</v>
      </c>
      <c r="J14867" t="s">
        <v>40469</v>
      </c>
      <c r="K14867" t="s">
        <v>40662</v>
      </c>
      <c r="M14867" t="s">
        <v>41469</v>
      </c>
      <c r="N14867" t="s">
        <v>44905</v>
      </c>
      <c r="O14867" t="s">
        <v>44906</v>
      </c>
      <c r="Q14867">
        <v>4</v>
      </c>
      <c r="R14867" t="s">
        <v>44941</v>
      </c>
      <c r="S14867" t="s">
        <v>46106</v>
      </c>
      <c r="T14867" t="s">
        <v>46441</v>
      </c>
      <c r="U14867" t="s">
        <v>58774</v>
      </c>
      <c r="W14867" t="s">
        <v>60866</v>
      </c>
      <c r="X14867" t="s">
        <v>44943</v>
      </c>
    </row>
    <row r="14868" spans="1:24">
      <c r="A14868">
        <f>HYPERLINK("https://www.philgeps.gov.ph/GEPSNONPILOT/Tender/SplashBidNoticeAbstractUI.aspx?menuIndex=3&amp;refID=7018207&amp;Result=3","7018207")</f>
        <v>0</v>
      </c>
      <c r="B14868" t="s">
        <v>1991</v>
      </c>
      <c r="C14868" t="s">
        <v>17765</v>
      </c>
      <c r="D14868" t="s">
        <v>18112</v>
      </c>
      <c r="E14868" t="s">
        <v>31035</v>
      </c>
      <c r="F14868" t="s">
        <v>31362</v>
      </c>
      <c r="G14868" t="s">
        <v>31369</v>
      </c>
      <c r="H14868" t="s">
        <v>31378</v>
      </c>
      <c r="I14868" t="s">
        <v>31386</v>
      </c>
      <c r="J14868" t="s">
        <v>35968</v>
      </c>
      <c r="K14868" t="s">
        <v>40679</v>
      </c>
      <c r="M14868" t="s">
        <v>43829</v>
      </c>
      <c r="N14868" t="s">
        <v>44905</v>
      </c>
      <c r="O14868" t="s">
        <v>44906</v>
      </c>
      <c r="Q14868">
        <v>4</v>
      </c>
      <c r="R14868" t="s">
        <v>44940</v>
      </c>
      <c r="S14868" t="s">
        <v>46107</v>
      </c>
      <c r="T14868" t="s">
        <v>46750</v>
      </c>
      <c r="U14868" t="s">
        <v>58775</v>
      </c>
      <c r="W14868" t="s">
        <v>43829</v>
      </c>
      <c r="X14868" t="s">
        <v>44939</v>
      </c>
    </row>
    <row r="14869" spans="1:24">
      <c r="A14869">
        <f>HYPERLINK("https://www.philgeps.gov.ph/GEPSNONPILOT/Tender/SplashBidNoticeAbstractUI.aspx?menuIndex=3&amp;refID=7022431&amp;Result=3","7022431")</f>
        <v>0</v>
      </c>
      <c r="B14869" t="s">
        <v>722</v>
      </c>
      <c r="C14869" t="s">
        <v>17766</v>
      </c>
      <c r="E14869" t="s">
        <v>31036</v>
      </c>
      <c r="F14869" t="s">
        <v>31362</v>
      </c>
      <c r="G14869" t="s">
        <v>31368</v>
      </c>
      <c r="H14869" t="s">
        <v>15799</v>
      </c>
      <c r="I14869" t="s">
        <v>31430</v>
      </c>
      <c r="J14869" t="s">
        <v>31860</v>
      </c>
      <c r="K14869" t="s">
        <v>40662</v>
      </c>
      <c r="M14869" t="s">
        <v>41687</v>
      </c>
      <c r="N14869" t="s">
        <v>44905</v>
      </c>
      <c r="O14869" t="s">
        <v>44906</v>
      </c>
      <c r="P14869">
        <v>0</v>
      </c>
      <c r="Q14869">
        <v>2</v>
      </c>
      <c r="R14869" t="s">
        <v>44937</v>
      </c>
      <c r="S14869" t="s">
        <v>46082</v>
      </c>
      <c r="T14869" t="s">
        <v>46426</v>
      </c>
      <c r="U14869" t="s">
        <v>58776</v>
      </c>
      <c r="W14869" t="s">
        <v>41687</v>
      </c>
      <c r="X14869" t="s">
        <v>44938</v>
      </c>
    </row>
    <row r="14870" spans="1:24">
      <c r="A14870">
        <f>HYPERLINK("https://www.philgeps.gov.ph/GEPSNONPILOT/Tender/SplashBidNoticeAbstractUI.aspx?menuIndex=3&amp;refID=7016199&amp;Result=3","7016199")</f>
        <v>0</v>
      </c>
      <c r="B14870" t="s">
        <v>631</v>
      </c>
      <c r="C14870" t="s">
        <v>17767</v>
      </c>
      <c r="D14870" t="s">
        <v>18148</v>
      </c>
      <c r="E14870" t="s">
        <v>31037</v>
      </c>
      <c r="F14870" t="s">
        <v>31362</v>
      </c>
      <c r="G14870" t="s">
        <v>31369</v>
      </c>
      <c r="H14870" t="s">
        <v>31378</v>
      </c>
      <c r="I14870" t="s">
        <v>31386</v>
      </c>
      <c r="J14870" t="s">
        <v>34185</v>
      </c>
      <c r="K14870" t="s">
        <v>40949</v>
      </c>
      <c r="M14870" t="s">
        <v>44126</v>
      </c>
      <c r="N14870" t="s">
        <v>44905</v>
      </c>
      <c r="O14870" t="s">
        <v>44906</v>
      </c>
      <c r="Q14870">
        <v>1</v>
      </c>
      <c r="R14870" t="s">
        <v>44939</v>
      </c>
      <c r="S14870" t="s">
        <v>46108</v>
      </c>
      <c r="T14870" t="s">
        <v>46481</v>
      </c>
      <c r="U14870" t="s">
        <v>58777</v>
      </c>
      <c r="W14870" t="s">
        <v>44126</v>
      </c>
      <c r="X14870" t="s">
        <v>44941</v>
      </c>
    </row>
    <row r="14871" spans="1:24">
      <c r="A14871">
        <f>HYPERLINK("https://www.philgeps.gov.ph/GEPSNONPILOT/Tender/SplashBidNoticeAbstractUI.aspx?menuIndex=3&amp;refID=7015260&amp;Result=3","7015260")</f>
        <v>0</v>
      </c>
      <c r="B14871" t="s">
        <v>408</v>
      </c>
      <c r="C14871" t="s">
        <v>17768</v>
      </c>
      <c r="D14871" t="s">
        <v>18125</v>
      </c>
      <c r="E14871" t="s">
        <v>31038</v>
      </c>
      <c r="F14871" t="s">
        <v>31362</v>
      </c>
      <c r="G14871" t="s">
        <v>31369</v>
      </c>
      <c r="H14871" t="s">
        <v>15799</v>
      </c>
      <c r="I14871" t="s">
        <v>31429</v>
      </c>
      <c r="J14871" t="s">
        <v>40470</v>
      </c>
      <c r="K14871" t="s">
        <v>40682</v>
      </c>
      <c r="M14871" t="s">
        <v>41358</v>
      </c>
      <c r="N14871" t="s">
        <v>44905</v>
      </c>
      <c r="O14871" t="s">
        <v>44906</v>
      </c>
      <c r="Q14871">
        <v>7</v>
      </c>
      <c r="R14871" t="s">
        <v>44939</v>
      </c>
      <c r="S14871" t="s">
        <v>45919</v>
      </c>
      <c r="T14871" t="s">
        <v>46396</v>
      </c>
      <c r="U14871" t="s">
        <v>58778</v>
      </c>
      <c r="W14871" t="s">
        <v>41358</v>
      </c>
      <c r="X14871" t="s">
        <v>44941</v>
      </c>
    </row>
    <row r="14872" spans="1:24">
      <c r="A14872">
        <f>HYPERLINK("https://www.philgeps.gov.ph/GEPSNONPILOT/Tender/SplashBidNoticeAbstractUI.aspx?menuIndex=3&amp;refID=7015571&amp;Result=3","7015571")</f>
        <v>0</v>
      </c>
      <c r="B14872" t="s">
        <v>762</v>
      </c>
      <c r="C14872" t="s">
        <v>17769</v>
      </c>
      <c r="D14872" t="s">
        <v>18108</v>
      </c>
      <c r="E14872" t="s">
        <v>31039</v>
      </c>
      <c r="F14872" t="s">
        <v>31362</v>
      </c>
      <c r="G14872" t="s">
        <v>31368</v>
      </c>
      <c r="H14872" t="s">
        <v>15799</v>
      </c>
      <c r="I14872" t="s">
        <v>31413</v>
      </c>
      <c r="J14872" t="s">
        <v>31897</v>
      </c>
      <c r="K14872" t="s">
        <v>40662</v>
      </c>
      <c r="M14872" t="s">
        <v>44864</v>
      </c>
      <c r="N14872" t="s">
        <v>44905</v>
      </c>
      <c r="O14872" t="s">
        <v>44906</v>
      </c>
      <c r="Q14872">
        <v>1</v>
      </c>
      <c r="R14872" t="s">
        <v>44939</v>
      </c>
      <c r="S14872" t="s">
        <v>46109</v>
      </c>
      <c r="T14872" t="s">
        <v>46409</v>
      </c>
      <c r="U14872" t="s">
        <v>58764</v>
      </c>
      <c r="W14872" t="s">
        <v>44864</v>
      </c>
      <c r="X14872" t="s">
        <v>44941</v>
      </c>
    </row>
    <row r="14873" spans="1:24">
      <c r="A14873">
        <f>HYPERLINK("https://www.philgeps.gov.ph/GEPSNONPILOT/Tender/SplashBidNoticeAbstractUI.aspx?menuIndex=3&amp;refID=7018196&amp;Result=3","7018196")</f>
        <v>0</v>
      </c>
      <c r="B14873" t="s">
        <v>1991</v>
      </c>
      <c r="C14873" t="s">
        <v>17770</v>
      </c>
      <c r="D14873" t="s">
        <v>18112</v>
      </c>
      <c r="E14873" t="s">
        <v>31040</v>
      </c>
      <c r="F14873" t="s">
        <v>31362</v>
      </c>
      <c r="G14873" t="s">
        <v>31369</v>
      </c>
      <c r="H14873" t="s">
        <v>31378</v>
      </c>
      <c r="I14873" t="s">
        <v>31386</v>
      </c>
      <c r="J14873" t="s">
        <v>36377</v>
      </c>
      <c r="K14873" t="s">
        <v>40686</v>
      </c>
      <c r="M14873" t="s">
        <v>43829</v>
      </c>
      <c r="N14873" t="s">
        <v>44905</v>
      </c>
      <c r="O14873" t="s">
        <v>44906</v>
      </c>
      <c r="Q14873">
        <v>3</v>
      </c>
      <c r="R14873" t="s">
        <v>44940</v>
      </c>
      <c r="S14873" t="s">
        <v>46110</v>
      </c>
      <c r="T14873" t="s">
        <v>46750</v>
      </c>
      <c r="U14873" t="s">
        <v>58779</v>
      </c>
      <c r="W14873" t="s">
        <v>43829</v>
      </c>
      <c r="X14873" t="s">
        <v>44939</v>
      </c>
    </row>
    <row r="14874" spans="1:24">
      <c r="A14874">
        <f>HYPERLINK("https://www.philgeps.gov.ph/GEPSNONPILOT/Tender/SplashBidNoticeAbstractUI.aspx?menuIndex=3&amp;refID=7018114&amp;Result=3","7018114")</f>
        <v>0</v>
      </c>
      <c r="B14874" t="s">
        <v>1991</v>
      </c>
      <c r="C14874" t="s">
        <v>17771</v>
      </c>
      <c r="D14874" t="s">
        <v>18112</v>
      </c>
      <c r="E14874" t="s">
        <v>31041</v>
      </c>
      <c r="F14874" t="s">
        <v>31362</v>
      </c>
      <c r="G14874" t="s">
        <v>31369</v>
      </c>
      <c r="H14874" t="s">
        <v>31378</v>
      </c>
      <c r="I14874" t="s">
        <v>31386</v>
      </c>
      <c r="J14874" t="s">
        <v>32187</v>
      </c>
      <c r="K14874" t="s">
        <v>40950</v>
      </c>
      <c r="M14874" t="s">
        <v>43829</v>
      </c>
      <c r="N14874" t="s">
        <v>44905</v>
      </c>
      <c r="O14874" t="s">
        <v>44906</v>
      </c>
      <c r="Q14874">
        <v>2</v>
      </c>
      <c r="R14874" t="s">
        <v>44940</v>
      </c>
      <c r="S14874" t="s">
        <v>45816</v>
      </c>
      <c r="T14874" t="s">
        <v>46750</v>
      </c>
      <c r="U14874" t="s">
        <v>58780</v>
      </c>
      <c r="W14874" t="s">
        <v>43829</v>
      </c>
      <c r="X14874" t="s">
        <v>44939</v>
      </c>
    </row>
    <row r="14875" spans="1:24">
      <c r="A14875">
        <f>HYPERLINK("https://www.philgeps.gov.ph/GEPSNONPILOT/Tender/SplashBidNoticeAbstractUI.aspx?menuIndex=3&amp;refID=7022536&amp;Result=3","7022536")</f>
        <v>0</v>
      </c>
      <c r="B14875" t="s">
        <v>516</v>
      </c>
      <c r="C14875" t="s">
        <v>17772</v>
      </c>
      <c r="D14875" t="s">
        <v>18175</v>
      </c>
      <c r="E14875" t="s">
        <v>31042</v>
      </c>
      <c r="F14875" t="s">
        <v>31362</v>
      </c>
      <c r="G14875" t="s">
        <v>31368</v>
      </c>
      <c r="H14875" t="s">
        <v>15799</v>
      </c>
      <c r="I14875" t="s">
        <v>7090</v>
      </c>
      <c r="J14875" t="s">
        <v>31586</v>
      </c>
      <c r="K14875" t="s">
        <v>40665</v>
      </c>
      <c r="M14875" t="s">
        <v>43558</v>
      </c>
      <c r="N14875" t="s">
        <v>44905</v>
      </c>
      <c r="O14875" t="s">
        <v>44906</v>
      </c>
      <c r="Q14875">
        <v>4</v>
      </c>
      <c r="R14875" t="s">
        <v>44937</v>
      </c>
      <c r="S14875" t="s">
        <v>46111</v>
      </c>
      <c r="T14875" t="s">
        <v>46411</v>
      </c>
      <c r="U14875" t="s">
        <v>53439</v>
      </c>
      <c r="W14875" t="s">
        <v>43558</v>
      </c>
      <c r="X14875" t="s">
        <v>44938</v>
      </c>
    </row>
    <row r="14876" spans="1:24">
      <c r="A14876">
        <f>HYPERLINK("https://www.philgeps.gov.ph/GEPSNONPILOT/Tender/SplashBidNoticeAbstractUI.aspx?menuIndex=3&amp;refID=7017112&amp;Result=3","7017112")</f>
        <v>0</v>
      </c>
      <c r="B14876" t="s">
        <v>482</v>
      </c>
      <c r="C14876" t="s">
        <v>17773</v>
      </c>
      <c r="E14876" t="s">
        <v>31043</v>
      </c>
      <c r="F14876" t="s">
        <v>31362</v>
      </c>
      <c r="G14876" t="s">
        <v>31369</v>
      </c>
      <c r="H14876" t="s">
        <v>15799</v>
      </c>
      <c r="I14876" t="s">
        <v>31460</v>
      </c>
      <c r="J14876" t="s">
        <v>40471</v>
      </c>
      <c r="K14876" t="s">
        <v>40682</v>
      </c>
      <c r="M14876" t="s">
        <v>44865</v>
      </c>
      <c r="N14876" t="s">
        <v>44905</v>
      </c>
      <c r="O14876" t="s">
        <v>44906</v>
      </c>
      <c r="Q14876">
        <v>5</v>
      </c>
      <c r="R14876" t="s">
        <v>44942</v>
      </c>
      <c r="S14876" t="s">
        <v>46112</v>
      </c>
      <c r="T14876" t="s">
        <v>46393</v>
      </c>
      <c r="U14876" t="s">
        <v>58781</v>
      </c>
      <c r="W14876" t="s">
        <v>44865</v>
      </c>
      <c r="X14876" t="s">
        <v>44939</v>
      </c>
    </row>
    <row r="14877" spans="1:24">
      <c r="A14877">
        <f>HYPERLINK("https://www.philgeps.gov.ph/GEPSNONPILOT/Tender/SplashBidNoticeAbstractUI.aspx?menuIndex=3&amp;refID=7014192&amp;Result=3","7014192")</f>
        <v>0</v>
      </c>
      <c r="B14877" t="s">
        <v>97</v>
      </c>
      <c r="C14877" t="s">
        <v>17774</v>
      </c>
      <c r="E14877" t="s">
        <v>31044</v>
      </c>
      <c r="F14877" t="s">
        <v>31362</v>
      </c>
      <c r="G14877" t="s">
        <v>31369</v>
      </c>
      <c r="H14877" t="s">
        <v>31378</v>
      </c>
      <c r="I14877" t="s">
        <v>31386</v>
      </c>
      <c r="J14877" t="s">
        <v>40472</v>
      </c>
      <c r="K14877" t="s">
        <v>40728</v>
      </c>
      <c r="M14877" t="s">
        <v>44863</v>
      </c>
      <c r="N14877" t="s">
        <v>44905</v>
      </c>
      <c r="O14877" t="s">
        <v>44906</v>
      </c>
      <c r="Q14877">
        <v>27</v>
      </c>
      <c r="R14877" t="s">
        <v>44941</v>
      </c>
      <c r="S14877" t="s">
        <v>46113</v>
      </c>
      <c r="T14877" t="s">
        <v>46447</v>
      </c>
      <c r="U14877" t="s">
        <v>58771</v>
      </c>
      <c r="V14877" t="s">
        <v>59076</v>
      </c>
      <c r="W14877" t="s">
        <v>44863</v>
      </c>
      <c r="X14877" t="s">
        <v>44943</v>
      </c>
    </row>
    <row r="14878" spans="1:24">
      <c r="A14878">
        <f>HYPERLINK("https://www.philgeps.gov.ph/GEPSNONPILOT/Tender/SplashBidNoticeAbstractUI.aspx?menuIndex=3&amp;refID=7018186&amp;Result=3","7018186")</f>
        <v>0</v>
      </c>
      <c r="B14878" t="s">
        <v>1991</v>
      </c>
      <c r="C14878" t="s">
        <v>17775</v>
      </c>
      <c r="D14878" t="s">
        <v>18112</v>
      </c>
      <c r="E14878" t="s">
        <v>31045</v>
      </c>
      <c r="F14878" t="s">
        <v>31362</v>
      </c>
      <c r="G14878" t="s">
        <v>31369</v>
      </c>
      <c r="H14878" t="s">
        <v>31378</v>
      </c>
      <c r="I14878" t="s">
        <v>31386</v>
      </c>
      <c r="J14878" t="s">
        <v>40473</v>
      </c>
      <c r="K14878" t="s">
        <v>40854</v>
      </c>
      <c r="M14878" t="s">
        <v>43829</v>
      </c>
      <c r="N14878" t="s">
        <v>44905</v>
      </c>
      <c r="O14878" t="s">
        <v>44906</v>
      </c>
      <c r="Q14878">
        <v>5</v>
      </c>
      <c r="R14878" t="s">
        <v>44940</v>
      </c>
      <c r="S14878" t="s">
        <v>46114</v>
      </c>
      <c r="T14878" t="s">
        <v>46750</v>
      </c>
      <c r="U14878" t="s">
        <v>58782</v>
      </c>
      <c r="W14878" t="s">
        <v>43829</v>
      </c>
      <c r="X14878" t="s">
        <v>44939</v>
      </c>
    </row>
    <row r="14879" spans="1:24">
      <c r="A14879">
        <f>HYPERLINK("https://www.philgeps.gov.ph/GEPSNONPILOT/Tender/SplashBidNoticeAbstractUI.aspx?menuIndex=3&amp;refID=7016206&amp;Result=3","7016206")</f>
        <v>0</v>
      </c>
      <c r="B14879" t="s">
        <v>631</v>
      </c>
      <c r="C14879" t="s">
        <v>17776</v>
      </c>
      <c r="D14879" t="s">
        <v>18148</v>
      </c>
      <c r="E14879" t="s">
        <v>31046</v>
      </c>
      <c r="F14879" t="s">
        <v>31362</v>
      </c>
      <c r="G14879" t="s">
        <v>31369</v>
      </c>
      <c r="H14879" t="s">
        <v>31378</v>
      </c>
      <c r="I14879" t="s">
        <v>31386</v>
      </c>
      <c r="J14879" t="s">
        <v>34023</v>
      </c>
      <c r="K14879" t="s">
        <v>40799</v>
      </c>
      <c r="M14879" t="s">
        <v>44126</v>
      </c>
      <c r="N14879" t="s">
        <v>44905</v>
      </c>
      <c r="O14879" t="s">
        <v>44906</v>
      </c>
      <c r="Q14879">
        <v>2</v>
      </c>
      <c r="R14879" t="s">
        <v>44939</v>
      </c>
      <c r="S14879" t="s">
        <v>46115</v>
      </c>
      <c r="T14879" t="s">
        <v>46481</v>
      </c>
      <c r="U14879" t="s">
        <v>58783</v>
      </c>
      <c r="W14879" t="s">
        <v>44126</v>
      </c>
      <c r="X14879" t="s">
        <v>44941</v>
      </c>
    </row>
    <row r="14880" spans="1:24">
      <c r="A14880">
        <f>HYPERLINK("https://www.philgeps.gov.ph/GEPSNONPILOT/Tender/SplashBidNoticeAbstractUI.aspx?menuIndex=3&amp;refID=7018161&amp;Result=3","7018161")</f>
        <v>0</v>
      </c>
      <c r="B14880" t="s">
        <v>1991</v>
      </c>
      <c r="C14880" t="s">
        <v>17777</v>
      </c>
      <c r="D14880" t="s">
        <v>18112</v>
      </c>
      <c r="E14880" t="s">
        <v>31047</v>
      </c>
      <c r="F14880" t="s">
        <v>31362</v>
      </c>
      <c r="G14880" t="s">
        <v>31369</v>
      </c>
      <c r="H14880" t="s">
        <v>31378</v>
      </c>
      <c r="I14880" t="s">
        <v>31386</v>
      </c>
      <c r="J14880" t="s">
        <v>40474</v>
      </c>
      <c r="K14880" t="s">
        <v>40686</v>
      </c>
      <c r="M14880" t="s">
        <v>43829</v>
      </c>
      <c r="N14880" t="s">
        <v>44905</v>
      </c>
      <c r="O14880" t="s">
        <v>44906</v>
      </c>
      <c r="Q14880">
        <v>7</v>
      </c>
      <c r="R14880" t="s">
        <v>44940</v>
      </c>
      <c r="S14880" t="s">
        <v>45814</v>
      </c>
      <c r="T14880" t="s">
        <v>46750</v>
      </c>
      <c r="U14880" t="s">
        <v>58784</v>
      </c>
      <c r="W14880" t="s">
        <v>43829</v>
      </c>
      <c r="X14880" t="s">
        <v>44939</v>
      </c>
    </row>
    <row r="14881" spans="1:24">
      <c r="A14881">
        <f>HYPERLINK("https://www.philgeps.gov.ph/GEPSNONPILOT/Tender/SplashBidNoticeAbstractUI.aspx?menuIndex=3&amp;refID=7016515&amp;Result=3","7016515")</f>
        <v>0</v>
      </c>
      <c r="B14881" t="s">
        <v>1215</v>
      </c>
      <c r="C14881" t="s">
        <v>17778</v>
      </c>
      <c r="D14881" t="s">
        <v>18108</v>
      </c>
      <c r="E14881" t="s">
        <v>31048</v>
      </c>
      <c r="F14881" t="s">
        <v>31362</v>
      </c>
      <c r="G14881" t="s">
        <v>31368</v>
      </c>
      <c r="H14881" t="s">
        <v>15799</v>
      </c>
      <c r="I14881" t="s">
        <v>13635</v>
      </c>
      <c r="J14881" t="s">
        <v>32249</v>
      </c>
      <c r="K14881" t="s">
        <v>40665</v>
      </c>
      <c r="M14881" t="s">
        <v>42228</v>
      </c>
      <c r="N14881" t="s">
        <v>44905</v>
      </c>
      <c r="O14881" t="s">
        <v>44906</v>
      </c>
      <c r="Q14881">
        <v>8</v>
      </c>
      <c r="R14881" t="s">
        <v>44939</v>
      </c>
      <c r="S14881" t="s">
        <v>46116</v>
      </c>
      <c r="T14881" t="s">
        <v>46432</v>
      </c>
      <c r="U14881" t="s">
        <v>58785</v>
      </c>
      <c r="W14881" t="s">
        <v>42228</v>
      </c>
      <c r="X14881" t="s">
        <v>44941</v>
      </c>
    </row>
    <row r="14882" spans="1:24">
      <c r="A14882">
        <f>HYPERLINK("https://www.philgeps.gov.ph/GEPSNONPILOT/Tender/SplashBidNoticeAbstractUI.aspx?menuIndex=3&amp;refID=7014264&amp;Result=3","7014264")</f>
        <v>0</v>
      </c>
      <c r="B14882" t="s">
        <v>97</v>
      </c>
      <c r="C14882" t="s">
        <v>17779</v>
      </c>
      <c r="E14882" t="s">
        <v>31049</v>
      </c>
      <c r="F14882" t="s">
        <v>31362</v>
      </c>
      <c r="G14882" t="s">
        <v>31369</v>
      </c>
      <c r="H14882" t="s">
        <v>31378</v>
      </c>
      <c r="I14882" t="s">
        <v>31386</v>
      </c>
      <c r="J14882" t="s">
        <v>40475</v>
      </c>
      <c r="K14882" t="s">
        <v>40736</v>
      </c>
      <c r="M14882" t="s">
        <v>44863</v>
      </c>
      <c r="N14882" t="s">
        <v>44905</v>
      </c>
      <c r="O14882" t="s">
        <v>44906</v>
      </c>
      <c r="Q14882">
        <v>22</v>
      </c>
      <c r="R14882" t="s">
        <v>44941</v>
      </c>
      <c r="S14882" t="s">
        <v>46117</v>
      </c>
      <c r="T14882" t="s">
        <v>46447</v>
      </c>
      <c r="U14882" t="s">
        <v>58786</v>
      </c>
      <c r="V14882" t="s">
        <v>57298</v>
      </c>
      <c r="W14882" t="s">
        <v>44863</v>
      </c>
      <c r="X14882" t="s">
        <v>44943</v>
      </c>
    </row>
    <row r="14883" spans="1:24">
      <c r="A14883">
        <f>HYPERLINK("https://www.philgeps.gov.ph/GEPSNONPILOT/Tender/SplashBidNoticeAbstractUI.aspx?menuIndex=3&amp;refID=7011320&amp;Result=3","7011320")</f>
        <v>0</v>
      </c>
      <c r="B14883" t="s">
        <v>3511</v>
      </c>
      <c r="C14883" t="s">
        <v>17780</v>
      </c>
      <c r="D14883" t="s">
        <v>18152</v>
      </c>
      <c r="E14883" t="s">
        <v>31050</v>
      </c>
      <c r="F14883" t="s">
        <v>31363</v>
      </c>
      <c r="G14883" t="s">
        <v>31369</v>
      </c>
      <c r="H14883" t="s">
        <v>31378</v>
      </c>
      <c r="I14883" t="s">
        <v>31386</v>
      </c>
      <c r="J14883" t="s">
        <v>33868</v>
      </c>
      <c r="K14883" t="s">
        <v>40839</v>
      </c>
      <c r="M14883" t="s">
        <v>44866</v>
      </c>
      <c r="N14883" t="s">
        <v>44905</v>
      </c>
      <c r="O14883" t="s">
        <v>44906</v>
      </c>
      <c r="P14883">
        <v>0</v>
      </c>
      <c r="Q14883">
        <v>5</v>
      </c>
      <c r="R14883" t="s">
        <v>44943</v>
      </c>
      <c r="S14883" t="s">
        <v>46118</v>
      </c>
      <c r="T14883" t="s">
        <v>46561</v>
      </c>
      <c r="U14883" t="s">
        <v>58787</v>
      </c>
      <c r="V14883" t="s">
        <v>60771</v>
      </c>
      <c r="W14883" t="s">
        <v>44866</v>
      </c>
      <c r="X14883" t="s">
        <v>44944</v>
      </c>
    </row>
    <row r="14884" spans="1:24">
      <c r="A14884">
        <f>HYPERLINK("https://www.philgeps.gov.ph/GEPSNONPILOT/Tender/SplashBidNoticeAbstractUI.aspx?menuIndex=3&amp;refID=7009512&amp;Result=3","7009512")</f>
        <v>0</v>
      </c>
      <c r="B14884" t="s">
        <v>3162</v>
      </c>
      <c r="C14884" t="s">
        <v>17781</v>
      </c>
      <c r="D14884" t="s">
        <v>18135</v>
      </c>
      <c r="E14884" t="s">
        <v>31051</v>
      </c>
      <c r="F14884" t="s">
        <v>31362</v>
      </c>
      <c r="G14884" t="s">
        <v>31369</v>
      </c>
      <c r="H14884" t="s">
        <v>31377</v>
      </c>
      <c r="I14884" t="s">
        <v>31377</v>
      </c>
      <c r="J14884" t="s">
        <v>40476</v>
      </c>
      <c r="K14884" t="s">
        <v>40728</v>
      </c>
      <c r="M14884" t="s">
        <v>44426</v>
      </c>
      <c r="N14884" t="s">
        <v>44905</v>
      </c>
      <c r="O14884" t="s">
        <v>44906</v>
      </c>
      <c r="Q14884">
        <v>15</v>
      </c>
      <c r="R14884" t="s">
        <v>44944</v>
      </c>
      <c r="S14884" t="s">
        <v>46119</v>
      </c>
      <c r="T14884" t="s">
        <v>46541</v>
      </c>
      <c r="U14884" t="s">
        <v>58788</v>
      </c>
      <c r="W14884" t="s">
        <v>44426</v>
      </c>
      <c r="X14884" t="s">
        <v>44955</v>
      </c>
    </row>
    <row r="14885" spans="1:24">
      <c r="A14885">
        <f>HYPERLINK("https://www.philgeps.gov.ph/GEPSNONPILOT/Tender/SplashBidNoticeAbstractUI.aspx?menuIndex=3&amp;refID=6998549&amp;Result=3","6998549")</f>
        <v>0</v>
      </c>
      <c r="B14885" t="s">
        <v>681</v>
      </c>
      <c r="C14885" t="s">
        <v>17782</v>
      </c>
      <c r="D14885" t="s">
        <v>18148</v>
      </c>
      <c r="E14885" t="s">
        <v>31052</v>
      </c>
      <c r="F14885" t="s">
        <v>31362</v>
      </c>
      <c r="G14885" t="s">
        <v>31369</v>
      </c>
      <c r="H14885" t="s">
        <v>15799</v>
      </c>
      <c r="I14885" t="s">
        <v>3815</v>
      </c>
      <c r="J14885" t="s">
        <v>40477</v>
      </c>
      <c r="K14885" t="s">
        <v>40686</v>
      </c>
      <c r="M14885" t="s">
        <v>43163</v>
      </c>
      <c r="N14885" t="s">
        <v>44905</v>
      </c>
      <c r="O14885" t="s">
        <v>44906</v>
      </c>
      <c r="Q14885">
        <v>13</v>
      </c>
      <c r="R14885" t="s">
        <v>44945</v>
      </c>
      <c r="S14885" t="s">
        <v>46120</v>
      </c>
      <c r="T14885" t="s">
        <v>46525</v>
      </c>
      <c r="U14885" t="s">
        <v>58789</v>
      </c>
      <c r="V14885" t="s">
        <v>60772</v>
      </c>
      <c r="W14885" t="s">
        <v>41643</v>
      </c>
      <c r="X14885" t="s">
        <v>44950</v>
      </c>
    </row>
    <row r="14886" spans="1:24">
      <c r="A14886">
        <f>HYPERLINK("https://www.philgeps.gov.ph/GEPSNONPILOT/Tender/SplashBidNoticeAbstractUI.aspx?menuIndex=3&amp;refID=7000584&amp;Result=3","7000584")</f>
        <v>0</v>
      </c>
      <c r="B14886" t="s">
        <v>1579</v>
      </c>
      <c r="C14886" t="s">
        <v>17783</v>
      </c>
      <c r="D14886" t="s">
        <v>18117</v>
      </c>
      <c r="E14886" t="s">
        <v>31053</v>
      </c>
      <c r="F14886" t="s">
        <v>31362</v>
      </c>
      <c r="G14886" t="s">
        <v>31368</v>
      </c>
      <c r="H14886" t="s">
        <v>15799</v>
      </c>
      <c r="I14886" t="s">
        <v>6155</v>
      </c>
      <c r="J14886" t="s">
        <v>33090</v>
      </c>
      <c r="K14886" t="s">
        <v>40666</v>
      </c>
      <c r="M14886" t="s">
        <v>42633</v>
      </c>
      <c r="N14886" t="s">
        <v>44905</v>
      </c>
      <c r="O14886" t="s">
        <v>44906</v>
      </c>
      <c r="Q14886">
        <v>5</v>
      </c>
      <c r="R14886" t="s">
        <v>44946</v>
      </c>
      <c r="S14886" t="s">
        <v>46121</v>
      </c>
      <c r="T14886" t="s">
        <v>46551</v>
      </c>
      <c r="U14886" t="s">
        <v>58790</v>
      </c>
      <c r="W14886" t="s">
        <v>42633</v>
      </c>
      <c r="X14886" t="s">
        <v>60990</v>
      </c>
    </row>
    <row r="14887" spans="1:24">
      <c r="A14887">
        <f>HYPERLINK("https://www.philgeps.gov.ph/GEPSNONPILOT/Tender/SplashBidNoticeAbstractUI.aspx?menuIndex=3&amp;refID=7014275&amp;Result=3","7014275")</f>
        <v>0</v>
      </c>
      <c r="B14887" t="s">
        <v>97</v>
      </c>
      <c r="C14887" t="s">
        <v>17784</v>
      </c>
      <c r="E14887" t="s">
        <v>31054</v>
      </c>
      <c r="F14887" t="s">
        <v>31362</v>
      </c>
      <c r="G14887" t="s">
        <v>31369</v>
      </c>
      <c r="H14887" t="s">
        <v>31378</v>
      </c>
      <c r="I14887" t="s">
        <v>31386</v>
      </c>
      <c r="J14887" t="s">
        <v>40478</v>
      </c>
      <c r="K14887" t="s">
        <v>40769</v>
      </c>
      <c r="M14887" t="s">
        <v>44863</v>
      </c>
      <c r="N14887" t="s">
        <v>44905</v>
      </c>
      <c r="O14887" t="s">
        <v>44906</v>
      </c>
      <c r="Q14887">
        <v>26</v>
      </c>
      <c r="R14887" t="s">
        <v>44941</v>
      </c>
      <c r="S14887" t="s">
        <v>46122</v>
      </c>
      <c r="T14887" t="s">
        <v>46447</v>
      </c>
      <c r="U14887" t="s">
        <v>58791</v>
      </c>
      <c r="V14887" t="s">
        <v>57298</v>
      </c>
      <c r="W14887" t="s">
        <v>44863</v>
      </c>
      <c r="X14887" t="s">
        <v>44943</v>
      </c>
    </row>
    <row r="14888" spans="1:24">
      <c r="A14888">
        <f>HYPERLINK("https://www.philgeps.gov.ph/GEPSNONPILOT/Tender/SplashBidNoticeAbstractUI.aspx?menuIndex=3&amp;refID=7002535&amp;Result=3","7002535")</f>
        <v>0</v>
      </c>
      <c r="B14888" t="s">
        <v>2744</v>
      </c>
      <c r="C14888" t="s">
        <v>17785</v>
      </c>
      <c r="D14888" t="s">
        <v>18107</v>
      </c>
      <c r="E14888" t="s">
        <v>31055</v>
      </c>
      <c r="F14888" t="s">
        <v>31362</v>
      </c>
      <c r="G14888" t="s">
        <v>31369</v>
      </c>
      <c r="H14888" t="s">
        <v>31378</v>
      </c>
      <c r="I14888" t="s">
        <v>31386</v>
      </c>
      <c r="J14888" t="s">
        <v>40479</v>
      </c>
      <c r="K14888" t="s">
        <v>40684</v>
      </c>
      <c r="M14888" t="s">
        <v>43932</v>
      </c>
      <c r="N14888" t="s">
        <v>44905</v>
      </c>
      <c r="O14888" t="s">
        <v>44906</v>
      </c>
      <c r="Q14888">
        <v>0</v>
      </c>
      <c r="R14888" t="s">
        <v>44947</v>
      </c>
      <c r="S14888" t="s">
        <v>46123</v>
      </c>
      <c r="T14888" t="s">
        <v>46447</v>
      </c>
      <c r="U14888" t="s">
        <v>54544</v>
      </c>
      <c r="W14888" t="s">
        <v>43932</v>
      </c>
      <c r="X14888" t="s">
        <v>44946</v>
      </c>
    </row>
    <row r="14889" spans="1:24">
      <c r="A14889">
        <f>HYPERLINK("https://www.philgeps.gov.ph/GEPSNONPILOT/Tender/SplashBidNoticeAbstractUI.aspx?menuIndex=3&amp;refID=6998320&amp;Result=3","6998320")</f>
        <v>0</v>
      </c>
      <c r="B14889" t="s">
        <v>681</v>
      </c>
      <c r="C14889" t="s">
        <v>17786</v>
      </c>
      <c r="D14889" t="s">
        <v>18148</v>
      </c>
      <c r="E14889" t="s">
        <v>31056</v>
      </c>
      <c r="F14889" t="s">
        <v>31362</v>
      </c>
      <c r="G14889" t="s">
        <v>31369</v>
      </c>
      <c r="H14889" t="s">
        <v>15799</v>
      </c>
      <c r="I14889" t="s">
        <v>31409</v>
      </c>
      <c r="J14889" t="s">
        <v>40480</v>
      </c>
      <c r="K14889" t="s">
        <v>40682</v>
      </c>
      <c r="M14889" t="s">
        <v>43163</v>
      </c>
      <c r="N14889" t="s">
        <v>44905</v>
      </c>
      <c r="O14889" t="s">
        <v>44906</v>
      </c>
      <c r="Q14889">
        <v>5</v>
      </c>
      <c r="R14889" t="s">
        <v>44945</v>
      </c>
      <c r="S14889" t="s">
        <v>46124</v>
      </c>
      <c r="T14889" t="s">
        <v>46460</v>
      </c>
      <c r="U14889" t="s">
        <v>58792</v>
      </c>
      <c r="V14889" t="s">
        <v>60772</v>
      </c>
      <c r="W14889" t="s">
        <v>41643</v>
      </c>
      <c r="X14889" t="s">
        <v>44950</v>
      </c>
    </row>
    <row r="14890" spans="1:24">
      <c r="A14890">
        <f>HYPERLINK("https://www.philgeps.gov.ph/GEPSNONPILOT/Tender/SplashBidNoticeAbstractUI.aspx?menuIndex=3&amp;refID=7000670&amp;Result=3","7000670")</f>
        <v>0</v>
      </c>
      <c r="B14890" t="s">
        <v>2744</v>
      </c>
      <c r="C14890" t="s">
        <v>17787</v>
      </c>
      <c r="D14890" t="s">
        <v>18107</v>
      </c>
      <c r="E14890" t="s">
        <v>31057</v>
      </c>
      <c r="F14890" t="s">
        <v>31362</v>
      </c>
      <c r="G14890" t="s">
        <v>31369</v>
      </c>
      <c r="H14890" t="s">
        <v>31378</v>
      </c>
      <c r="I14890" t="s">
        <v>31386</v>
      </c>
      <c r="J14890" t="s">
        <v>40481</v>
      </c>
      <c r="K14890" t="s">
        <v>40818</v>
      </c>
      <c r="M14890" t="s">
        <v>43932</v>
      </c>
      <c r="N14890" t="s">
        <v>44905</v>
      </c>
      <c r="O14890" t="s">
        <v>44906</v>
      </c>
      <c r="Q14890">
        <v>0</v>
      </c>
      <c r="R14890" t="s">
        <v>44947</v>
      </c>
      <c r="S14890" t="s">
        <v>46125</v>
      </c>
      <c r="T14890" t="s">
        <v>46447</v>
      </c>
      <c r="U14890" t="s">
        <v>54544</v>
      </c>
      <c r="W14890" t="s">
        <v>43932</v>
      </c>
      <c r="X14890" t="s">
        <v>60990</v>
      </c>
    </row>
    <row r="14891" spans="1:24">
      <c r="A14891">
        <f>HYPERLINK("https://www.philgeps.gov.ph/GEPSNONPILOT/Tender/SplashBidNoticeAbstractUI.aspx?menuIndex=3&amp;refID=7003767&amp;Result=3","7003767")</f>
        <v>0</v>
      </c>
      <c r="B14891" t="s">
        <v>2678</v>
      </c>
      <c r="C14891" t="s">
        <v>17788</v>
      </c>
      <c r="E14891" t="s">
        <v>31058</v>
      </c>
      <c r="F14891" t="s">
        <v>31362</v>
      </c>
      <c r="G14891" t="s">
        <v>31369</v>
      </c>
      <c r="H14891" t="s">
        <v>31378</v>
      </c>
      <c r="I14891" t="s">
        <v>31386</v>
      </c>
      <c r="J14891" t="s">
        <v>40482</v>
      </c>
      <c r="K14891" t="s">
        <v>40662</v>
      </c>
      <c r="M14891" t="s">
        <v>43864</v>
      </c>
      <c r="N14891" t="s">
        <v>44905</v>
      </c>
      <c r="O14891" t="s">
        <v>44906</v>
      </c>
      <c r="Q14891">
        <v>72</v>
      </c>
      <c r="R14891" t="s">
        <v>44948</v>
      </c>
      <c r="S14891" t="s">
        <v>46016</v>
      </c>
      <c r="T14891" t="s">
        <v>46429</v>
      </c>
      <c r="U14891" t="s">
        <v>54790</v>
      </c>
      <c r="W14891" t="s">
        <v>60941</v>
      </c>
      <c r="X14891" t="s">
        <v>44947</v>
      </c>
    </row>
    <row r="14892" spans="1:24">
      <c r="A14892">
        <f>HYPERLINK("https://www.philgeps.gov.ph/GEPSNONPILOT/Tender/SplashBidNoticeAbstractUI.aspx?menuIndex=3&amp;refID=7006580&amp;Result=3","7006580")</f>
        <v>0</v>
      </c>
      <c r="B14892" t="s">
        <v>74</v>
      </c>
      <c r="C14892" t="s">
        <v>17789</v>
      </c>
      <c r="D14892" t="s">
        <v>18108</v>
      </c>
      <c r="E14892" t="s">
        <v>31059</v>
      </c>
      <c r="F14892" t="s">
        <v>31362</v>
      </c>
      <c r="G14892" t="s">
        <v>31368</v>
      </c>
      <c r="H14892" t="s">
        <v>15799</v>
      </c>
      <c r="I14892" t="s">
        <v>31430</v>
      </c>
      <c r="J14892" t="s">
        <v>40483</v>
      </c>
      <c r="K14892" t="s">
        <v>40672</v>
      </c>
      <c r="M14892" t="s">
        <v>41407</v>
      </c>
      <c r="N14892" t="s">
        <v>44905</v>
      </c>
      <c r="O14892" t="s">
        <v>44906</v>
      </c>
      <c r="Q14892">
        <v>0</v>
      </c>
      <c r="R14892" t="s">
        <v>44949</v>
      </c>
      <c r="S14892" t="s">
        <v>46126</v>
      </c>
      <c r="T14892" t="s">
        <v>46438</v>
      </c>
      <c r="U14892" t="s">
        <v>58793</v>
      </c>
      <c r="W14892" t="s">
        <v>41407</v>
      </c>
      <c r="X14892" t="s">
        <v>44948</v>
      </c>
    </row>
    <row r="14893" spans="1:24">
      <c r="A14893">
        <f>HYPERLINK("https://www.philgeps.gov.ph/GEPSNONPILOT/Tender/SplashBidNoticeAbstractUI.aspx?menuIndex=3&amp;refID=7003908&amp;Result=3","7003908")</f>
        <v>0</v>
      </c>
      <c r="B14893" t="s">
        <v>1796</v>
      </c>
      <c r="C14893" t="s">
        <v>17790</v>
      </c>
      <c r="D14893" t="s">
        <v>18108</v>
      </c>
      <c r="E14893" t="s">
        <v>31060</v>
      </c>
      <c r="F14893" t="s">
        <v>31362</v>
      </c>
      <c r="G14893" t="s">
        <v>31368</v>
      </c>
      <c r="H14893" t="s">
        <v>15799</v>
      </c>
      <c r="I14893" t="s">
        <v>31388</v>
      </c>
      <c r="J14893" t="s">
        <v>31806</v>
      </c>
      <c r="K14893" t="s">
        <v>40666</v>
      </c>
      <c r="M14893" t="s">
        <v>42878</v>
      </c>
      <c r="N14893" t="s">
        <v>44905</v>
      </c>
      <c r="O14893" t="s">
        <v>44906</v>
      </c>
      <c r="Q14893">
        <v>1</v>
      </c>
      <c r="R14893" t="s">
        <v>44948</v>
      </c>
      <c r="S14893" t="s">
        <v>46127</v>
      </c>
      <c r="T14893" t="s">
        <v>46480</v>
      </c>
      <c r="U14893" t="s">
        <v>58794</v>
      </c>
      <c r="W14893" t="s">
        <v>42878</v>
      </c>
      <c r="X14893" t="s">
        <v>44947</v>
      </c>
    </row>
    <row r="14894" spans="1:24">
      <c r="A14894">
        <f>HYPERLINK("https://www.philgeps.gov.ph/GEPSNONPILOT/Tender/SplashBidNoticeAbstractUI.aspx?menuIndex=3&amp;refID=7002518&amp;Result=3","7002518")</f>
        <v>0</v>
      </c>
      <c r="B14894" t="s">
        <v>2744</v>
      </c>
      <c r="C14894" t="s">
        <v>17791</v>
      </c>
      <c r="D14894" t="s">
        <v>18107</v>
      </c>
      <c r="E14894" t="s">
        <v>31061</v>
      </c>
      <c r="F14894" t="s">
        <v>31362</v>
      </c>
      <c r="G14894" t="s">
        <v>31369</v>
      </c>
      <c r="H14894" t="s">
        <v>31378</v>
      </c>
      <c r="I14894" t="s">
        <v>31386</v>
      </c>
      <c r="J14894" t="s">
        <v>40484</v>
      </c>
      <c r="K14894" t="s">
        <v>40866</v>
      </c>
      <c r="M14894" t="s">
        <v>43932</v>
      </c>
      <c r="N14894" t="s">
        <v>44905</v>
      </c>
      <c r="O14894" t="s">
        <v>44906</v>
      </c>
      <c r="Q14894">
        <v>0</v>
      </c>
      <c r="R14894" t="s">
        <v>44947</v>
      </c>
      <c r="S14894" t="s">
        <v>46128</v>
      </c>
      <c r="T14894" t="s">
        <v>46447</v>
      </c>
      <c r="U14894" t="s">
        <v>54544</v>
      </c>
      <c r="W14894" t="s">
        <v>43932</v>
      </c>
      <c r="X14894" t="s">
        <v>44946</v>
      </c>
    </row>
    <row r="14895" spans="1:24">
      <c r="A14895">
        <f>HYPERLINK("https://www.philgeps.gov.ph/GEPSNONPILOT/Tender/SplashBidNoticeAbstractUI.aspx?menuIndex=3&amp;refID=7002426&amp;Result=3","7002426")</f>
        <v>0</v>
      </c>
      <c r="B14895" t="s">
        <v>2744</v>
      </c>
      <c r="C14895" t="s">
        <v>17792</v>
      </c>
      <c r="D14895" t="s">
        <v>18107</v>
      </c>
      <c r="E14895" t="s">
        <v>31062</v>
      </c>
      <c r="F14895" t="s">
        <v>31362</v>
      </c>
      <c r="G14895" t="s">
        <v>31369</v>
      </c>
      <c r="H14895" t="s">
        <v>31378</v>
      </c>
      <c r="I14895" t="s">
        <v>31386</v>
      </c>
      <c r="J14895" t="s">
        <v>40485</v>
      </c>
      <c r="K14895" t="s">
        <v>40684</v>
      </c>
      <c r="M14895" t="s">
        <v>43932</v>
      </c>
      <c r="N14895" t="s">
        <v>44905</v>
      </c>
      <c r="O14895" t="s">
        <v>44906</v>
      </c>
      <c r="Q14895">
        <v>0</v>
      </c>
      <c r="R14895" t="s">
        <v>44947</v>
      </c>
      <c r="S14895" t="s">
        <v>46129</v>
      </c>
      <c r="T14895" t="s">
        <v>46435</v>
      </c>
      <c r="U14895" t="s">
        <v>54544</v>
      </c>
      <c r="W14895" t="s">
        <v>43932</v>
      </c>
      <c r="X14895" t="s">
        <v>44946</v>
      </c>
    </row>
    <row r="14896" spans="1:24">
      <c r="A14896">
        <f>HYPERLINK("https://www.philgeps.gov.ph/GEPSNONPILOT/Tender/SplashBidNoticeAbstractUI.aspx?menuIndex=3&amp;refID=6996983&amp;Result=3","6996983")</f>
        <v>0</v>
      </c>
      <c r="B14896" t="s">
        <v>750</v>
      </c>
      <c r="C14896" t="s">
        <v>17793</v>
      </c>
      <c r="E14896" t="s">
        <v>31063</v>
      </c>
      <c r="F14896" t="s">
        <v>31362</v>
      </c>
      <c r="G14896" t="s">
        <v>31369</v>
      </c>
      <c r="H14896" t="s">
        <v>31378</v>
      </c>
      <c r="I14896" t="s">
        <v>31386</v>
      </c>
      <c r="J14896" t="s">
        <v>40486</v>
      </c>
      <c r="K14896" t="s">
        <v>40662</v>
      </c>
      <c r="M14896" t="s">
        <v>44867</v>
      </c>
      <c r="N14896" t="s">
        <v>44905</v>
      </c>
      <c r="O14896" t="s">
        <v>44906</v>
      </c>
      <c r="Q14896">
        <v>1</v>
      </c>
      <c r="R14896" t="s">
        <v>44950</v>
      </c>
      <c r="S14896" t="s">
        <v>46130</v>
      </c>
      <c r="T14896" t="s">
        <v>46447</v>
      </c>
      <c r="U14896" t="s">
        <v>58795</v>
      </c>
      <c r="W14896" t="s">
        <v>44867</v>
      </c>
      <c r="X14896" t="s">
        <v>44956</v>
      </c>
    </row>
    <row r="14897" spans="1:24">
      <c r="A14897">
        <f>HYPERLINK("https://www.philgeps.gov.ph/GEPSNONPILOT/Tender/SplashBidNoticeAbstractUI.aspx?menuIndex=3&amp;refID=7004356&amp;Result=3","7004356")</f>
        <v>0</v>
      </c>
      <c r="B14897" t="s">
        <v>424</v>
      </c>
      <c r="C14897" t="s">
        <v>17794</v>
      </c>
      <c r="D14897" t="s">
        <v>18168</v>
      </c>
      <c r="E14897" t="s">
        <v>31064</v>
      </c>
      <c r="F14897" t="s">
        <v>31362</v>
      </c>
      <c r="G14897" t="s">
        <v>31371</v>
      </c>
      <c r="H14897" t="s">
        <v>15799</v>
      </c>
      <c r="I14897" t="s">
        <v>31422</v>
      </c>
      <c r="J14897" t="s">
        <v>31897</v>
      </c>
      <c r="K14897" t="s">
        <v>40665</v>
      </c>
      <c r="M14897" t="s">
        <v>43973</v>
      </c>
      <c r="N14897" t="s">
        <v>44905</v>
      </c>
      <c r="O14897" t="s">
        <v>44906</v>
      </c>
      <c r="Q14897">
        <v>9</v>
      </c>
      <c r="R14897" t="s">
        <v>44949</v>
      </c>
      <c r="S14897" t="s">
        <v>46131</v>
      </c>
      <c r="T14897" t="s">
        <v>46435</v>
      </c>
      <c r="U14897" t="s">
        <v>58796</v>
      </c>
      <c r="W14897" t="s">
        <v>43973</v>
      </c>
      <c r="X14897" t="s">
        <v>44947</v>
      </c>
    </row>
    <row r="14898" spans="1:24">
      <c r="A14898">
        <f>HYPERLINK("https://www.philgeps.gov.ph/GEPSNONPILOT/Tender/SplashBidNoticeAbstractUI.aspx?menuIndex=3&amp;refID=7003851&amp;Result=3","7003851")</f>
        <v>0</v>
      </c>
      <c r="B14898" t="s">
        <v>1796</v>
      </c>
      <c r="C14898" t="s">
        <v>17795</v>
      </c>
      <c r="D14898" t="s">
        <v>18108</v>
      </c>
      <c r="E14898" t="s">
        <v>31065</v>
      </c>
      <c r="F14898" t="s">
        <v>31362</v>
      </c>
      <c r="G14898" t="s">
        <v>31368</v>
      </c>
      <c r="H14898" t="s">
        <v>15799</v>
      </c>
      <c r="I14898" t="s">
        <v>31429</v>
      </c>
      <c r="J14898" t="s">
        <v>40487</v>
      </c>
      <c r="K14898" t="s">
        <v>40666</v>
      </c>
      <c r="M14898" t="s">
        <v>42878</v>
      </c>
      <c r="N14898" t="s">
        <v>44905</v>
      </c>
      <c r="O14898" t="s">
        <v>44906</v>
      </c>
      <c r="Q14898">
        <v>0</v>
      </c>
      <c r="R14898" t="s">
        <v>44948</v>
      </c>
      <c r="S14898" t="s">
        <v>46132</v>
      </c>
      <c r="T14898" t="s">
        <v>46480</v>
      </c>
      <c r="U14898" t="s">
        <v>58797</v>
      </c>
      <c r="W14898" t="s">
        <v>42878</v>
      </c>
      <c r="X14898" t="s">
        <v>44947</v>
      </c>
    </row>
    <row r="14899" spans="1:24">
      <c r="A14899">
        <f>HYPERLINK("https://www.philgeps.gov.ph/GEPSNONPILOT/Tender/SplashBidNoticeAbstractUI.aspx?menuIndex=3&amp;refID=6986793&amp;Result=3","6986793")</f>
        <v>0</v>
      </c>
      <c r="B14899" t="s">
        <v>1225</v>
      </c>
      <c r="C14899" t="s">
        <v>17796</v>
      </c>
      <c r="D14899" t="s">
        <v>18148</v>
      </c>
      <c r="E14899" t="s">
        <v>31066</v>
      </c>
      <c r="F14899" t="s">
        <v>31362</v>
      </c>
      <c r="G14899" t="s">
        <v>31369</v>
      </c>
      <c r="H14899" t="s">
        <v>31377</v>
      </c>
      <c r="I14899" t="s">
        <v>31386</v>
      </c>
      <c r="J14899" t="s">
        <v>40488</v>
      </c>
      <c r="K14899" t="s">
        <v>40684</v>
      </c>
      <c r="L14899" t="s">
        <v>1225</v>
      </c>
      <c r="M14899" t="s">
        <v>42239</v>
      </c>
      <c r="N14899" t="s">
        <v>44905</v>
      </c>
      <c r="O14899" t="s">
        <v>44906</v>
      </c>
      <c r="Q14899">
        <v>3</v>
      </c>
      <c r="R14899" t="s">
        <v>44951</v>
      </c>
      <c r="S14899" t="s">
        <v>46133</v>
      </c>
      <c r="T14899" t="s">
        <v>46504</v>
      </c>
      <c r="U14899" t="s">
        <v>58798</v>
      </c>
      <c r="W14899" t="s">
        <v>42239</v>
      </c>
      <c r="X14899" t="s">
        <v>44952</v>
      </c>
    </row>
    <row r="14900" spans="1:24">
      <c r="A14900">
        <f>HYPERLINK("https://www.philgeps.gov.ph/GEPSNONPILOT/Tender/SplashBidNoticeAbstractUI.aspx?menuIndex=3&amp;refID=6996994&amp;Result=3","6996994")</f>
        <v>0</v>
      </c>
      <c r="B14900" t="s">
        <v>750</v>
      </c>
      <c r="C14900" t="s">
        <v>17797</v>
      </c>
      <c r="E14900" t="s">
        <v>31067</v>
      </c>
      <c r="F14900" t="s">
        <v>31362</v>
      </c>
      <c r="G14900" t="s">
        <v>31369</v>
      </c>
      <c r="H14900" t="s">
        <v>31378</v>
      </c>
      <c r="I14900" t="s">
        <v>31386</v>
      </c>
      <c r="J14900" t="s">
        <v>40489</v>
      </c>
      <c r="K14900" t="s">
        <v>40662</v>
      </c>
      <c r="M14900" t="s">
        <v>44867</v>
      </c>
      <c r="N14900" t="s">
        <v>44905</v>
      </c>
      <c r="O14900" t="s">
        <v>44906</v>
      </c>
      <c r="Q14900">
        <v>0</v>
      </c>
      <c r="R14900" t="s">
        <v>44950</v>
      </c>
      <c r="S14900" t="s">
        <v>46134</v>
      </c>
      <c r="T14900" t="s">
        <v>46447</v>
      </c>
      <c r="U14900" t="s">
        <v>58799</v>
      </c>
      <c r="W14900" t="s">
        <v>44867</v>
      </c>
      <c r="X14900" t="s">
        <v>44956</v>
      </c>
    </row>
    <row r="14901" spans="1:24">
      <c r="A14901">
        <f>HYPERLINK("https://www.philgeps.gov.ph/GEPSNONPILOT/Tender/SplashBidNoticeAbstractUI.aspx?menuIndex=3&amp;refID=6986787&amp;Result=3","6986787")</f>
        <v>0</v>
      </c>
      <c r="B14901" t="s">
        <v>1225</v>
      </c>
      <c r="C14901" t="s">
        <v>17798</v>
      </c>
      <c r="D14901" t="s">
        <v>18148</v>
      </c>
      <c r="E14901" t="s">
        <v>31068</v>
      </c>
      <c r="F14901" t="s">
        <v>31362</v>
      </c>
      <c r="G14901" t="s">
        <v>31369</v>
      </c>
      <c r="H14901" t="s">
        <v>31377</v>
      </c>
      <c r="I14901" t="s">
        <v>31386</v>
      </c>
      <c r="J14901" t="s">
        <v>40490</v>
      </c>
      <c r="K14901" t="s">
        <v>40811</v>
      </c>
      <c r="L14901" t="s">
        <v>1225</v>
      </c>
      <c r="M14901" t="s">
        <v>42239</v>
      </c>
      <c r="N14901" t="s">
        <v>44905</v>
      </c>
      <c r="O14901" t="s">
        <v>44906</v>
      </c>
      <c r="Q14901">
        <v>4</v>
      </c>
      <c r="R14901" t="s">
        <v>44951</v>
      </c>
      <c r="S14901" t="s">
        <v>46135</v>
      </c>
      <c r="T14901" t="s">
        <v>46504</v>
      </c>
      <c r="U14901" t="s">
        <v>58798</v>
      </c>
      <c r="W14901" t="s">
        <v>42239</v>
      </c>
      <c r="X14901" t="s">
        <v>44952</v>
      </c>
    </row>
    <row r="14902" spans="1:24">
      <c r="A14902">
        <f>HYPERLINK("https://www.philgeps.gov.ph/GEPSNONPILOT/Tender/SplashBidNoticeAbstractUI.aspx?menuIndex=3&amp;refID=6986257&amp;Result=3","6986257")</f>
        <v>0</v>
      </c>
      <c r="B14902" t="s">
        <v>514</v>
      </c>
      <c r="C14902" t="s">
        <v>17799</v>
      </c>
      <c r="E14902" t="s">
        <v>31069</v>
      </c>
      <c r="F14902" t="s">
        <v>31362</v>
      </c>
      <c r="G14902" t="s">
        <v>31369</v>
      </c>
      <c r="H14902" t="s">
        <v>31378</v>
      </c>
      <c r="I14902" t="s">
        <v>31386</v>
      </c>
      <c r="J14902" t="s">
        <v>40491</v>
      </c>
      <c r="K14902" t="s">
        <v>40662</v>
      </c>
      <c r="M14902" t="s">
        <v>41469</v>
      </c>
      <c r="N14902" t="s">
        <v>44905</v>
      </c>
      <c r="O14902" t="s">
        <v>44906</v>
      </c>
      <c r="Q14902">
        <v>18</v>
      </c>
      <c r="R14902" t="s">
        <v>44951</v>
      </c>
      <c r="S14902" t="s">
        <v>46136</v>
      </c>
      <c r="T14902" t="s">
        <v>46441</v>
      </c>
      <c r="U14902" t="s">
        <v>58800</v>
      </c>
      <c r="W14902" t="s">
        <v>60866</v>
      </c>
      <c r="X14902" t="s">
        <v>44952</v>
      </c>
    </row>
    <row r="14903" spans="1:24">
      <c r="A14903">
        <f>HYPERLINK("https://www.philgeps.gov.ph/GEPSNONPILOT/Tender/SplashBidNoticeAbstractUI.aspx?menuIndex=3&amp;refID=6984561&amp;Result=3","6984561")</f>
        <v>0</v>
      </c>
      <c r="B14903" t="s">
        <v>1225</v>
      </c>
      <c r="C14903" t="s">
        <v>17800</v>
      </c>
      <c r="D14903" t="s">
        <v>18148</v>
      </c>
      <c r="E14903" t="s">
        <v>31070</v>
      </c>
      <c r="F14903" t="s">
        <v>31362</v>
      </c>
      <c r="G14903" t="s">
        <v>31369</v>
      </c>
      <c r="H14903" t="s">
        <v>31377</v>
      </c>
      <c r="I14903" t="s">
        <v>31386</v>
      </c>
      <c r="J14903" t="s">
        <v>40492</v>
      </c>
      <c r="K14903" t="s">
        <v>40684</v>
      </c>
      <c r="L14903" t="s">
        <v>1225</v>
      </c>
      <c r="M14903" t="s">
        <v>42239</v>
      </c>
      <c r="N14903" t="s">
        <v>44905</v>
      </c>
      <c r="O14903" t="s">
        <v>44906</v>
      </c>
      <c r="Q14903">
        <v>6</v>
      </c>
      <c r="R14903" t="s">
        <v>44952</v>
      </c>
      <c r="S14903" t="s">
        <v>46137</v>
      </c>
      <c r="T14903" t="s">
        <v>46504</v>
      </c>
      <c r="U14903" t="s">
        <v>58798</v>
      </c>
      <c r="W14903" t="s">
        <v>42239</v>
      </c>
      <c r="X14903" t="s">
        <v>60991</v>
      </c>
    </row>
    <row r="14904" spans="1:24">
      <c r="A14904">
        <f>HYPERLINK("https://www.philgeps.gov.ph/GEPSNONPILOT/Tender/SplashBidNoticeAbstractUI.aspx?menuIndex=3&amp;refID=7006131&amp;Result=3","7006131")</f>
        <v>0</v>
      </c>
      <c r="B14904" t="s">
        <v>97</v>
      </c>
      <c r="C14904" t="s">
        <v>17801</v>
      </c>
      <c r="E14904" t="s">
        <v>31071</v>
      </c>
      <c r="F14904" t="s">
        <v>31363</v>
      </c>
      <c r="G14904" t="s">
        <v>31375</v>
      </c>
      <c r="H14904" t="s">
        <v>31378</v>
      </c>
      <c r="I14904" t="s">
        <v>31386</v>
      </c>
      <c r="J14904" t="s">
        <v>31785</v>
      </c>
      <c r="K14904" t="s">
        <v>40951</v>
      </c>
      <c r="M14904" t="s">
        <v>44863</v>
      </c>
      <c r="N14904" t="s">
        <v>44905</v>
      </c>
      <c r="O14904" t="s">
        <v>44906</v>
      </c>
      <c r="Q14904">
        <v>25</v>
      </c>
      <c r="R14904" t="s">
        <v>44949</v>
      </c>
      <c r="S14904" t="s">
        <v>46138</v>
      </c>
      <c r="T14904" t="s">
        <v>46447</v>
      </c>
      <c r="U14904" t="s">
        <v>58801</v>
      </c>
      <c r="V14904" t="s">
        <v>57298</v>
      </c>
      <c r="W14904" t="s">
        <v>44863</v>
      </c>
      <c r="X14904" t="s">
        <v>44948</v>
      </c>
    </row>
    <row r="14905" spans="1:24">
      <c r="A14905">
        <f>HYPERLINK("https://www.philgeps.gov.ph/GEPSNONPILOT/Tender/SplashBidNoticeAbstractUI.aspx?menuIndex=3&amp;refID=7003939&amp;Result=3","7003939")</f>
        <v>0</v>
      </c>
      <c r="B14905" t="s">
        <v>1796</v>
      </c>
      <c r="C14905" t="s">
        <v>17802</v>
      </c>
      <c r="D14905" t="s">
        <v>18102</v>
      </c>
      <c r="E14905" t="s">
        <v>31072</v>
      </c>
      <c r="F14905" t="s">
        <v>31362</v>
      </c>
      <c r="G14905" t="s">
        <v>31368</v>
      </c>
      <c r="H14905" t="s">
        <v>15799</v>
      </c>
      <c r="I14905" t="s">
        <v>31429</v>
      </c>
      <c r="J14905" t="s">
        <v>40493</v>
      </c>
      <c r="K14905" t="s">
        <v>40666</v>
      </c>
      <c r="M14905" t="s">
        <v>42878</v>
      </c>
      <c r="N14905" t="s">
        <v>44905</v>
      </c>
      <c r="O14905" t="s">
        <v>44906</v>
      </c>
      <c r="Q14905">
        <v>0</v>
      </c>
      <c r="R14905" t="s">
        <v>44948</v>
      </c>
      <c r="S14905" t="s">
        <v>45261</v>
      </c>
      <c r="T14905" t="s">
        <v>46480</v>
      </c>
      <c r="U14905" t="s">
        <v>58802</v>
      </c>
      <c r="W14905" t="s">
        <v>42878</v>
      </c>
      <c r="X14905" t="s">
        <v>44947</v>
      </c>
    </row>
    <row r="14906" spans="1:24">
      <c r="A14906">
        <f>HYPERLINK("https://www.philgeps.gov.ph/GEPSNONPILOT/Tender/SplashBidNoticeAbstractUI.aspx?menuIndex=3&amp;refID=6986391&amp;Result=3","6986391")</f>
        <v>0</v>
      </c>
      <c r="B14906" t="s">
        <v>3512</v>
      </c>
      <c r="C14906" t="s">
        <v>17803</v>
      </c>
      <c r="D14906" t="s">
        <v>18133</v>
      </c>
      <c r="E14906" t="s">
        <v>31073</v>
      </c>
      <c r="F14906" t="s">
        <v>31362</v>
      </c>
      <c r="G14906" t="s">
        <v>31369</v>
      </c>
      <c r="H14906" t="s">
        <v>31378</v>
      </c>
      <c r="I14906" t="s">
        <v>31399</v>
      </c>
      <c r="J14906" t="s">
        <v>33653</v>
      </c>
      <c r="K14906" t="s">
        <v>40686</v>
      </c>
      <c r="M14906" t="s">
        <v>44868</v>
      </c>
      <c r="N14906" t="s">
        <v>44905</v>
      </c>
      <c r="O14906" t="s">
        <v>44906</v>
      </c>
      <c r="Q14906">
        <v>12</v>
      </c>
      <c r="R14906" t="s">
        <v>44951</v>
      </c>
      <c r="S14906" t="s">
        <v>46139</v>
      </c>
      <c r="T14906" t="s">
        <v>46901</v>
      </c>
      <c r="U14906" t="s">
        <v>58803</v>
      </c>
      <c r="W14906" t="s">
        <v>44868</v>
      </c>
      <c r="X14906" t="s">
        <v>44952</v>
      </c>
    </row>
    <row r="14907" spans="1:24">
      <c r="A14907">
        <f>HYPERLINK("https://www.philgeps.gov.ph/GEPSNONPILOT/Tender/SplashBidNoticeAbstractUI.aspx?menuIndex=3&amp;refID=7004595&amp;Result=3","7004595")</f>
        <v>0</v>
      </c>
      <c r="B14907" t="s">
        <v>2375</v>
      </c>
      <c r="C14907" t="s">
        <v>17804</v>
      </c>
      <c r="D14907" t="s">
        <v>18178</v>
      </c>
      <c r="E14907" t="s">
        <v>23796</v>
      </c>
      <c r="F14907" t="s">
        <v>31362</v>
      </c>
      <c r="G14907" t="s">
        <v>31369</v>
      </c>
      <c r="H14907" t="s">
        <v>31378</v>
      </c>
      <c r="I14907" t="s">
        <v>31386</v>
      </c>
      <c r="J14907" t="s">
        <v>34896</v>
      </c>
      <c r="K14907" t="s">
        <v>40684</v>
      </c>
      <c r="M14907" t="s">
        <v>43522</v>
      </c>
      <c r="N14907" t="s">
        <v>44905</v>
      </c>
      <c r="O14907" t="s">
        <v>44906</v>
      </c>
      <c r="Q14907">
        <v>9</v>
      </c>
      <c r="R14907" t="s">
        <v>44948</v>
      </c>
      <c r="S14907" t="s">
        <v>46140</v>
      </c>
      <c r="T14907" t="s">
        <v>46902</v>
      </c>
      <c r="U14907" t="s">
        <v>55485</v>
      </c>
      <c r="W14907" t="s">
        <v>43522</v>
      </c>
      <c r="X14907" t="s">
        <v>44947</v>
      </c>
    </row>
    <row r="14908" spans="1:24">
      <c r="A14908">
        <f>HYPERLINK("https://www.philgeps.gov.ph/GEPSNONPILOT/Tender/SplashBidNoticeAbstractUI.aspx?menuIndex=3&amp;refID=6986802&amp;Result=3","6986802")</f>
        <v>0</v>
      </c>
      <c r="B14908" t="s">
        <v>1225</v>
      </c>
      <c r="C14908" t="s">
        <v>17805</v>
      </c>
      <c r="D14908" t="s">
        <v>18148</v>
      </c>
      <c r="E14908" t="s">
        <v>31074</v>
      </c>
      <c r="F14908" t="s">
        <v>31362</v>
      </c>
      <c r="G14908" t="s">
        <v>31369</v>
      </c>
      <c r="H14908" t="s">
        <v>31377</v>
      </c>
      <c r="I14908" t="s">
        <v>31386</v>
      </c>
      <c r="J14908" t="s">
        <v>40494</v>
      </c>
      <c r="K14908" t="s">
        <v>40684</v>
      </c>
      <c r="L14908" t="s">
        <v>1225</v>
      </c>
      <c r="M14908" t="s">
        <v>42239</v>
      </c>
      <c r="N14908" t="s">
        <v>44905</v>
      </c>
      <c r="O14908" t="s">
        <v>44906</v>
      </c>
      <c r="Q14908">
        <v>3</v>
      </c>
      <c r="R14908" t="s">
        <v>44951</v>
      </c>
      <c r="S14908" t="s">
        <v>46141</v>
      </c>
      <c r="T14908" t="s">
        <v>46504</v>
      </c>
      <c r="U14908" t="s">
        <v>58798</v>
      </c>
      <c r="W14908" t="s">
        <v>42239</v>
      </c>
      <c r="X14908" t="s">
        <v>44952</v>
      </c>
    </row>
    <row r="14909" spans="1:24">
      <c r="A14909">
        <f>HYPERLINK("https://www.philgeps.gov.ph/GEPSNONPILOT/Tender/SplashBidNoticeAbstractUI.aspx?menuIndex=3&amp;refID=6985978&amp;Result=3","6985978")</f>
        <v>0</v>
      </c>
      <c r="B14909" t="s">
        <v>393</v>
      </c>
      <c r="C14909" t="s">
        <v>17806</v>
      </c>
      <c r="D14909" t="s">
        <v>18122</v>
      </c>
      <c r="E14909" t="s">
        <v>31075</v>
      </c>
      <c r="F14909" t="s">
        <v>31362</v>
      </c>
      <c r="G14909" t="s">
        <v>31371</v>
      </c>
      <c r="H14909" t="s">
        <v>15799</v>
      </c>
      <c r="I14909" t="s">
        <v>31430</v>
      </c>
      <c r="J14909" t="s">
        <v>40495</v>
      </c>
      <c r="K14909" t="s">
        <v>40666</v>
      </c>
      <c r="M14909" t="s">
        <v>41341</v>
      </c>
      <c r="N14909" t="s">
        <v>44905</v>
      </c>
      <c r="O14909" t="s">
        <v>44906</v>
      </c>
      <c r="Q14909">
        <v>3</v>
      </c>
      <c r="R14909" t="s">
        <v>44951</v>
      </c>
      <c r="S14909" t="s">
        <v>46142</v>
      </c>
      <c r="T14909" t="s">
        <v>46481</v>
      </c>
      <c r="U14909" t="s">
        <v>58804</v>
      </c>
      <c r="W14909" t="s">
        <v>41341</v>
      </c>
      <c r="X14909" t="s">
        <v>44952</v>
      </c>
    </row>
    <row r="14910" spans="1:24">
      <c r="A14910">
        <f>HYPERLINK("https://www.philgeps.gov.ph/GEPSNONPILOT/Tender/SplashBidNoticeAbstractUI.aspx?menuIndex=3&amp;refID=6990698&amp;Result=3","6990698")</f>
        <v>0</v>
      </c>
      <c r="B14910" t="s">
        <v>1579</v>
      </c>
      <c r="C14910" t="s">
        <v>17807</v>
      </c>
      <c r="D14910" t="s">
        <v>18117</v>
      </c>
      <c r="E14910" t="s">
        <v>31076</v>
      </c>
      <c r="F14910" t="s">
        <v>31362</v>
      </c>
      <c r="G14910" t="s">
        <v>31368</v>
      </c>
      <c r="H14910" t="s">
        <v>15799</v>
      </c>
      <c r="I14910" t="s">
        <v>7719</v>
      </c>
      <c r="J14910" t="s">
        <v>40496</v>
      </c>
      <c r="K14910" t="s">
        <v>40666</v>
      </c>
      <c r="M14910" t="s">
        <v>42633</v>
      </c>
      <c r="N14910" t="s">
        <v>44905</v>
      </c>
      <c r="O14910" t="s">
        <v>44906</v>
      </c>
      <c r="Q14910">
        <v>7</v>
      </c>
      <c r="R14910" t="s">
        <v>44953</v>
      </c>
      <c r="S14910" t="s">
        <v>46143</v>
      </c>
      <c r="T14910" t="s">
        <v>46394</v>
      </c>
      <c r="U14910" t="s">
        <v>58805</v>
      </c>
      <c r="W14910" t="s">
        <v>42633</v>
      </c>
      <c r="X14910" t="s">
        <v>60986</v>
      </c>
    </row>
    <row r="14911" spans="1:24">
      <c r="A14911">
        <f>HYPERLINK("https://www.philgeps.gov.ph/GEPSNONPILOT/Tender/SplashBidNoticeAbstractUI.aspx?menuIndex=3&amp;refID=6994091&amp;Result=3","6994091")</f>
        <v>0</v>
      </c>
      <c r="B14911" t="s">
        <v>1210</v>
      </c>
      <c r="C14911" t="s">
        <v>17808</v>
      </c>
      <c r="D14911" t="s">
        <v>18148</v>
      </c>
      <c r="E14911" t="s">
        <v>31077</v>
      </c>
      <c r="F14911" t="s">
        <v>31362</v>
      </c>
      <c r="G14911" t="s">
        <v>31369</v>
      </c>
      <c r="H14911" t="s">
        <v>15799</v>
      </c>
      <c r="I14911" t="s">
        <v>6155</v>
      </c>
      <c r="J14911" t="s">
        <v>40497</v>
      </c>
      <c r="K14911" t="s">
        <v>40662</v>
      </c>
      <c r="M14911" t="s">
        <v>42223</v>
      </c>
      <c r="N14911" t="s">
        <v>44905</v>
      </c>
      <c r="O14911" t="s">
        <v>44906</v>
      </c>
      <c r="Q14911">
        <v>5</v>
      </c>
      <c r="R14911" t="s">
        <v>44954</v>
      </c>
      <c r="S14911" t="s">
        <v>46144</v>
      </c>
      <c r="T14911" t="s">
        <v>46483</v>
      </c>
      <c r="U14911" t="s">
        <v>58806</v>
      </c>
      <c r="V14911" t="s">
        <v>60773</v>
      </c>
      <c r="W14911" t="s">
        <v>42223</v>
      </c>
      <c r="X14911" t="s">
        <v>44953</v>
      </c>
    </row>
    <row r="14912" spans="1:24">
      <c r="A14912">
        <f>HYPERLINK("https://www.philgeps.gov.ph/GEPSNONPILOT/Tender/SplashBidNoticeAbstractUI.aspx?menuIndex=3&amp;refID=6984139&amp;Result=3","6984139")</f>
        <v>0</v>
      </c>
      <c r="B14912" t="s">
        <v>1225</v>
      </c>
      <c r="C14912" t="s">
        <v>17809</v>
      </c>
      <c r="D14912" t="s">
        <v>18148</v>
      </c>
      <c r="E14912" t="s">
        <v>31078</v>
      </c>
      <c r="F14912" t="s">
        <v>31362</v>
      </c>
      <c r="G14912" t="s">
        <v>31369</v>
      </c>
      <c r="H14912" t="s">
        <v>31377</v>
      </c>
      <c r="I14912" t="s">
        <v>31386</v>
      </c>
      <c r="J14912" t="s">
        <v>40498</v>
      </c>
      <c r="K14912" t="s">
        <v>40684</v>
      </c>
      <c r="L14912" t="s">
        <v>1225</v>
      </c>
      <c r="M14912" t="s">
        <v>42239</v>
      </c>
      <c r="N14912" t="s">
        <v>44905</v>
      </c>
      <c r="O14912" t="s">
        <v>44906</v>
      </c>
      <c r="Q14912">
        <v>4</v>
      </c>
      <c r="R14912" t="s">
        <v>44952</v>
      </c>
      <c r="S14912" t="s">
        <v>46145</v>
      </c>
      <c r="T14912" t="s">
        <v>46504</v>
      </c>
      <c r="U14912" t="s">
        <v>58798</v>
      </c>
      <c r="W14912" t="s">
        <v>42239</v>
      </c>
      <c r="X14912" t="s">
        <v>60991</v>
      </c>
    </row>
    <row r="14913" spans="1:24">
      <c r="A14913">
        <f>HYPERLINK("https://www.philgeps.gov.ph/GEPSNONPILOT/Tender/SplashBidNoticeAbstractUI.aspx?menuIndex=3&amp;refID=6997462&amp;Result=3","6997462")</f>
        <v>0</v>
      </c>
      <c r="B14913" t="s">
        <v>704</v>
      </c>
      <c r="C14913" t="s">
        <v>17810</v>
      </c>
      <c r="D14913" t="s">
        <v>18108</v>
      </c>
      <c r="E14913" t="s">
        <v>31079</v>
      </c>
      <c r="F14913" t="s">
        <v>31362</v>
      </c>
      <c r="G14913" t="s">
        <v>31369</v>
      </c>
      <c r="H14913" t="s">
        <v>31377</v>
      </c>
      <c r="I14913" t="s">
        <v>31377</v>
      </c>
      <c r="J14913" t="s">
        <v>40499</v>
      </c>
      <c r="K14913" t="s">
        <v>40662</v>
      </c>
      <c r="M14913" t="s">
        <v>41669</v>
      </c>
      <c r="N14913" t="s">
        <v>44905</v>
      </c>
      <c r="O14913" t="s">
        <v>44906</v>
      </c>
      <c r="Q14913">
        <v>47</v>
      </c>
      <c r="R14913" t="s">
        <v>44950</v>
      </c>
      <c r="S14913" t="s">
        <v>45804</v>
      </c>
      <c r="T14913" t="s">
        <v>46652</v>
      </c>
      <c r="U14913" t="s">
        <v>48306</v>
      </c>
      <c r="W14913" t="s">
        <v>41669</v>
      </c>
      <c r="X14913" t="s">
        <v>44956</v>
      </c>
    </row>
    <row r="14914" spans="1:24">
      <c r="A14914">
        <f>HYPERLINK("https://www.philgeps.gov.ph/GEPSNONPILOT/Tender/SplashBidNoticeAbstractUI.aspx?menuIndex=3&amp;refID=6984007&amp;Result=3","6984007")</f>
        <v>0</v>
      </c>
      <c r="B14914" t="s">
        <v>1225</v>
      </c>
      <c r="C14914" t="s">
        <v>17811</v>
      </c>
      <c r="D14914" t="s">
        <v>18148</v>
      </c>
      <c r="E14914" t="s">
        <v>31080</v>
      </c>
      <c r="F14914" t="s">
        <v>31362</v>
      </c>
      <c r="G14914" t="s">
        <v>31369</v>
      </c>
      <c r="H14914" t="s">
        <v>31377</v>
      </c>
      <c r="I14914" t="s">
        <v>31386</v>
      </c>
      <c r="J14914" t="s">
        <v>40500</v>
      </c>
      <c r="K14914" t="s">
        <v>40684</v>
      </c>
      <c r="L14914" t="s">
        <v>1225</v>
      </c>
      <c r="M14914" t="s">
        <v>42239</v>
      </c>
      <c r="N14914" t="s">
        <v>44905</v>
      </c>
      <c r="O14914" t="s">
        <v>44906</v>
      </c>
      <c r="Q14914">
        <v>3</v>
      </c>
      <c r="R14914" t="s">
        <v>44952</v>
      </c>
      <c r="S14914" t="s">
        <v>46146</v>
      </c>
      <c r="T14914" t="s">
        <v>46435</v>
      </c>
      <c r="U14914" t="s">
        <v>58798</v>
      </c>
      <c r="W14914" t="s">
        <v>42239</v>
      </c>
      <c r="X14914" t="s">
        <v>60991</v>
      </c>
    </row>
    <row r="14915" spans="1:24">
      <c r="A14915">
        <f>HYPERLINK("https://www.philgeps.gov.ph/GEPSNONPILOT/Tender/SplashBidNoticeAbstractUI.aspx?menuIndex=3&amp;refID=6986798&amp;Result=3","6986798")</f>
        <v>0</v>
      </c>
      <c r="B14915" t="s">
        <v>1225</v>
      </c>
      <c r="C14915" t="s">
        <v>17812</v>
      </c>
      <c r="D14915" t="s">
        <v>18148</v>
      </c>
      <c r="E14915" t="s">
        <v>31081</v>
      </c>
      <c r="F14915" t="s">
        <v>31362</v>
      </c>
      <c r="G14915" t="s">
        <v>31369</v>
      </c>
      <c r="H14915" t="s">
        <v>31377</v>
      </c>
      <c r="I14915" t="s">
        <v>31386</v>
      </c>
      <c r="J14915" t="s">
        <v>40501</v>
      </c>
      <c r="K14915" t="s">
        <v>40811</v>
      </c>
      <c r="L14915" t="s">
        <v>1225</v>
      </c>
      <c r="M14915" t="s">
        <v>42239</v>
      </c>
      <c r="N14915" t="s">
        <v>44905</v>
      </c>
      <c r="O14915" t="s">
        <v>44906</v>
      </c>
      <c r="Q14915">
        <v>2</v>
      </c>
      <c r="R14915" t="s">
        <v>44951</v>
      </c>
      <c r="S14915" t="s">
        <v>46147</v>
      </c>
      <c r="T14915" t="s">
        <v>46504</v>
      </c>
      <c r="U14915" t="s">
        <v>58807</v>
      </c>
      <c r="W14915" t="s">
        <v>42239</v>
      </c>
      <c r="X14915" t="s">
        <v>44952</v>
      </c>
    </row>
    <row r="14916" spans="1:24">
      <c r="A14916">
        <f>HYPERLINK("https://www.philgeps.gov.ph/GEPSNONPILOT/Tender/SplashBidNoticeAbstractUI.aspx?menuIndex=3&amp;refID=7009228&amp;Result=3","7009228")</f>
        <v>0</v>
      </c>
      <c r="B14916" t="s">
        <v>762</v>
      </c>
      <c r="C14916" t="s">
        <v>17813</v>
      </c>
      <c r="E14916" t="s">
        <v>31082</v>
      </c>
      <c r="F14916" t="s">
        <v>31362</v>
      </c>
      <c r="G14916" t="s">
        <v>31369</v>
      </c>
      <c r="H14916" t="s">
        <v>31377</v>
      </c>
      <c r="I14916" t="s">
        <v>31377</v>
      </c>
      <c r="J14916" t="s">
        <v>32390</v>
      </c>
      <c r="K14916" t="s">
        <v>40662</v>
      </c>
      <c r="M14916" t="s">
        <v>44349</v>
      </c>
      <c r="N14916" t="s">
        <v>44905</v>
      </c>
      <c r="O14916" t="s">
        <v>44906</v>
      </c>
      <c r="Q14916">
        <v>9</v>
      </c>
      <c r="R14916" t="s">
        <v>44955</v>
      </c>
      <c r="S14916" t="s">
        <v>46148</v>
      </c>
      <c r="T14916" t="s">
        <v>46903</v>
      </c>
      <c r="U14916" t="s">
        <v>58808</v>
      </c>
      <c r="W14916" t="s">
        <v>60978</v>
      </c>
      <c r="X14916" t="s">
        <v>60992</v>
      </c>
    </row>
    <row r="14917" spans="1:24">
      <c r="A14917">
        <f>HYPERLINK("https://www.philgeps.gov.ph/GEPSNONPILOT/Tender/SplashBidNoticeAbstractUI.aspx?menuIndex=3&amp;refID=6994590&amp;Result=3","6994590")</f>
        <v>0</v>
      </c>
      <c r="B14917" t="s">
        <v>393</v>
      </c>
      <c r="C14917" t="s">
        <v>17814</v>
      </c>
      <c r="D14917" t="s">
        <v>18175</v>
      </c>
      <c r="E14917" t="s">
        <v>31083</v>
      </c>
      <c r="F14917" t="s">
        <v>31362</v>
      </c>
      <c r="G14917" t="s">
        <v>31368</v>
      </c>
      <c r="H14917" t="s">
        <v>15799</v>
      </c>
      <c r="I14917" t="s">
        <v>31397</v>
      </c>
      <c r="J14917" t="s">
        <v>31724</v>
      </c>
      <c r="K14917" t="s">
        <v>40665</v>
      </c>
      <c r="M14917" t="s">
        <v>41341</v>
      </c>
      <c r="N14917" t="s">
        <v>44905</v>
      </c>
      <c r="O14917" t="s">
        <v>44906</v>
      </c>
      <c r="Q14917">
        <v>0</v>
      </c>
      <c r="R14917" t="s">
        <v>44956</v>
      </c>
      <c r="S14917" t="s">
        <v>46149</v>
      </c>
      <c r="T14917" t="s">
        <v>46409</v>
      </c>
      <c r="U14917" t="s">
        <v>58809</v>
      </c>
      <c r="W14917" t="s">
        <v>41341</v>
      </c>
      <c r="X14917" t="s">
        <v>44954</v>
      </c>
    </row>
    <row r="14918" spans="1:24">
      <c r="A14918">
        <f>HYPERLINK("https://www.philgeps.gov.ph/GEPSNONPILOT/Tender/SplashBidNoticeAbstractUI.aspx?menuIndex=3&amp;refID=6994488&amp;Result=3","6994488")</f>
        <v>0</v>
      </c>
      <c r="B14918" t="s">
        <v>2066</v>
      </c>
      <c r="C14918" t="s">
        <v>17815</v>
      </c>
      <c r="D14918" t="s">
        <v>18108</v>
      </c>
      <c r="E14918" t="s">
        <v>31084</v>
      </c>
      <c r="F14918" t="s">
        <v>31362</v>
      </c>
      <c r="G14918" t="s">
        <v>31369</v>
      </c>
      <c r="H14918" t="s">
        <v>15799</v>
      </c>
      <c r="I14918" t="s">
        <v>31398</v>
      </c>
      <c r="J14918" t="s">
        <v>40502</v>
      </c>
      <c r="K14918" t="s">
        <v>40669</v>
      </c>
      <c r="M14918" t="s">
        <v>43368</v>
      </c>
      <c r="N14918" t="s">
        <v>44905</v>
      </c>
      <c r="O14918" t="s">
        <v>44906</v>
      </c>
      <c r="Q14918">
        <v>25</v>
      </c>
      <c r="R14918" t="s">
        <v>44956</v>
      </c>
      <c r="S14918" t="s">
        <v>46150</v>
      </c>
      <c r="T14918" t="s">
        <v>46410</v>
      </c>
      <c r="U14918" t="s">
        <v>58810</v>
      </c>
      <c r="W14918" t="s">
        <v>43368</v>
      </c>
      <c r="X14918" t="s">
        <v>44954</v>
      </c>
    </row>
    <row r="14919" spans="1:24">
      <c r="A14919">
        <f>HYPERLINK("https://www.philgeps.gov.ph/GEPSNONPILOT/Tender/SplashBidNoticeAbstractUI.aspx?menuIndex=3&amp;refID=6997022&amp;Result=3","6997022")</f>
        <v>0</v>
      </c>
      <c r="B14919" t="s">
        <v>750</v>
      </c>
      <c r="C14919" t="s">
        <v>17816</v>
      </c>
      <c r="E14919" t="s">
        <v>31085</v>
      </c>
      <c r="F14919" t="s">
        <v>31362</v>
      </c>
      <c r="G14919" t="s">
        <v>31369</v>
      </c>
      <c r="H14919" t="s">
        <v>31378</v>
      </c>
      <c r="I14919" t="s">
        <v>31386</v>
      </c>
      <c r="J14919" t="s">
        <v>40503</v>
      </c>
      <c r="K14919" t="s">
        <v>40662</v>
      </c>
      <c r="M14919" t="s">
        <v>44867</v>
      </c>
      <c r="N14919" t="s">
        <v>44905</v>
      </c>
      <c r="O14919" t="s">
        <v>44906</v>
      </c>
      <c r="Q14919">
        <v>1</v>
      </c>
      <c r="R14919" t="s">
        <v>44950</v>
      </c>
      <c r="S14919" t="s">
        <v>46151</v>
      </c>
      <c r="T14919" t="s">
        <v>46869</v>
      </c>
      <c r="U14919" t="s">
        <v>58811</v>
      </c>
      <c r="W14919" t="s">
        <v>44867</v>
      </c>
      <c r="X14919" t="s">
        <v>44956</v>
      </c>
    </row>
    <row r="14920" spans="1:24">
      <c r="A14920">
        <f>HYPERLINK("https://www.philgeps.gov.ph/GEPSNONPILOT/Tender/SplashBidNoticeAbstractUI.aspx?menuIndex=3&amp;refID=6997007&amp;Result=3","6997007")</f>
        <v>0</v>
      </c>
      <c r="B14920" t="s">
        <v>750</v>
      </c>
      <c r="C14920" t="s">
        <v>17817</v>
      </c>
      <c r="E14920" t="s">
        <v>31086</v>
      </c>
      <c r="F14920" t="s">
        <v>31362</v>
      </c>
      <c r="G14920" t="s">
        <v>31369</v>
      </c>
      <c r="H14920" t="s">
        <v>31378</v>
      </c>
      <c r="I14920" t="s">
        <v>31386</v>
      </c>
      <c r="J14920" t="s">
        <v>40504</v>
      </c>
      <c r="K14920" t="s">
        <v>40662</v>
      </c>
      <c r="M14920" t="s">
        <v>44867</v>
      </c>
      <c r="N14920" t="s">
        <v>44905</v>
      </c>
      <c r="O14920" t="s">
        <v>44906</v>
      </c>
      <c r="Q14920">
        <v>0</v>
      </c>
      <c r="R14920" t="s">
        <v>44950</v>
      </c>
      <c r="S14920" t="s">
        <v>46152</v>
      </c>
      <c r="T14920" t="s">
        <v>46447</v>
      </c>
      <c r="U14920" t="s">
        <v>58812</v>
      </c>
      <c r="W14920" t="s">
        <v>44867</v>
      </c>
      <c r="X14920" t="s">
        <v>44956</v>
      </c>
    </row>
    <row r="14921" spans="1:24">
      <c r="A14921">
        <f>HYPERLINK("https://www.philgeps.gov.ph/GEPSNONPILOT/Tender/SplashBidNoticeAbstractUI.aspx?menuIndex=3&amp;refID=6980762&amp;Result=3","6980762")</f>
        <v>0</v>
      </c>
      <c r="B14921" t="s">
        <v>1796</v>
      </c>
      <c r="C14921" t="s">
        <v>17818</v>
      </c>
      <c r="D14921" t="s">
        <v>18108</v>
      </c>
      <c r="E14921" t="s">
        <v>31087</v>
      </c>
      <c r="F14921" t="s">
        <v>31362</v>
      </c>
      <c r="G14921" t="s">
        <v>31368</v>
      </c>
      <c r="H14921" t="s">
        <v>15799</v>
      </c>
      <c r="I14921" t="s">
        <v>31388</v>
      </c>
      <c r="J14921" t="s">
        <v>40505</v>
      </c>
      <c r="K14921" t="s">
        <v>40723</v>
      </c>
      <c r="M14921" t="s">
        <v>42878</v>
      </c>
      <c r="N14921" t="s">
        <v>44905</v>
      </c>
      <c r="O14921" t="s">
        <v>44906</v>
      </c>
      <c r="Q14921">
        <v>3</v>
      </c>
      <c r="R14921" t="s">
        <v>44957</v>
      </c>
      <c r="S14921" t="s">
        <v>45256</v>
      </c>
      <c r="T14921" t="s">
        <v>46480</v>
      </c>
      <c r="U14921" t="s">
        <v>58813</v>
      </c>
      <c r="V14921" t="s">
        <v>60774</v>
      </c>
      <c r="W14921" t="s">
        <v>42878</v>
      </c>
      <c r="X14921" t="s">
        <v>44959</v>
      </c>
    </row>
    <row r="14922" spans="1:24">
      <c r="A14922">
        <f>HYPERLINK("https://www.philgeps.gov.ph/GEPSNONPILOT/Tender/SplashBidNoticeAbstractUI.aspx?menuIndex=3&amp;refID=6977130&amp;Result=3","6977130")</f>
        <v>0</v>
      </c>
      <c r="B14922" t="s">
        <v>3513</v>
      </c>
      <c r="C14922" t="s">
        <v>17819</v>
      </c>
      <c r="D14922" t="s">
        <v>18110</v>
      </c>
      <c r="E14922" t="s">
        <v>31088</v>
      </c>
      <c r="F14922" t="s">
        <v>31362</v>
      </c>
      <c r="G14922" t="s">
        <v>31369</v>
      </c>
      <c r="H14922" t="s">
        <v>31378</v>
      </c>
      <c r="I14922" t="s">
        <v>31392</v>
      </c>
      <c r="J14922" t="s">
        <v>40506</v>
      </c>
      <c r="K14922" t="s">
        <v>40679</v>
      </c>
      <c r="M14922" t="s">
        <v>44869</v>
      </c>
      <c r="N14922" t="s">
        <v>44905</v>
      </c>
      <c r="O14922" t="s">
        <v>44906</v>
      </c>
      <c r="Q14922">
        <v>8</v>
      </c>
      <c r="R14922" t="s">
        <v>44958</v>
      </c>
      <c r="S14922" t="s">
        <v>46153</v>
      </c>
      <c r="T14922" t="s">
        <v>46904</v>
      </c>
      <c r="U14922" t="s">
        <v>58814</v>
      </c>
      <c r="W14922" t="s">
        <v>44869</v>
      </c>
      <c r="X14922" t="s">
        <v>44981</v>
      </c>
    </row>
    <row r="14923" spans="1:24">
      <c r="A14923">
        <f>HYPERLINK("https://www.philgeps.gov.ph/GEPSNONPILOT/Tender/SplashBidNoticeAbstractUI.aspx?menuIndex=3&amp;refID=6977068&amp;Result=3","6977068")</f>
        <v>0</v>
      </c>
      <c r="B14923" t="s">
        <v>3513</v>
      </c>
      <c r="C14923" t="s">
        <v>17820</v>
      </c>
      <c r="D14923" t="s">
        <v>18110</v>
      </c>
      <c r="E14923" t="s">
        <v>31089</v>
      </c>
      <c r="F14923" t="s">
        <v>31362</v>
      </c>
      <c r="G14923" t="s">
        <v>31369</v>
      </c>
      <c r="H14923" t="s">
        <v>31378</v>
      </c>
      <c r="I14923" t="s">
        <v>31386</v>
      </c>
      <c r="J14923" t="s">
        <v>40507</v>
      </c>
      <c r="K14923" t="s">
        <v>40686</v>
      </c>
      <c r="M14923" t="s">
        <v>44869</v>
      </c>
      <c r="N14923" t="s">
        <v>44905</v>
      </c>
      <c r="O14923" t="s">
        <v>44906</v>
      </c>
      <c r="Q14923">
        <v>6</v>
      </c>
      <c r="R14923" t="s">
        <v>44958</v>
      </c>
      <c r="S14923" t="s">
        <v>46154</v>
      </c>
      <c r="T14923" t="s">
        <v>46904</v>
      </c>
      <c r="U14923" t="s">
        <v>58815</v>
      </c>
      <c r="W14923" t="s">
        <v>44869</v>
      </c>
      <c r="X14923" t="s">
        <v>44981</v>
      </c>
    </row>
    <row r="14924" spans="1:24">
      <c r="A14924">
        <f>HYPERLINK("https://www.philgeps.gov.ph/GEPSNONPILOT/Tender/SplashBidNoticeAbstractUI.aspx?menuIndex=3&amp;refID=6997033&amp;Result=3","6997033")</f>
        <v>0</v>
      </c>
      <c r="B14924" t="s">
        <v>750</v>
      </c>
      <c r="C14924" t="s">
        <v>17821</v>
      </c>
      <c r="E14924" t="s">
        <v>31090</v>
      </c>
      <c r="F14924" t="s">
        <v>31362</v>
      </c>
      <c r="G14924" t="s">
        <v>31369</v>
      </c>
      <c r="H14924" t="s">
        <v>31378</v>
      </c>
      <c r="I14924" t="s">
        <v>31386</v>
      </c>
      <c r="J14924" t="s">
        <v>40508</v>
      </c>
      <c r="K14924" t="s">
        <v>40662</v>
      </c>
      <c r="M14924" t="s">
        <v>44867</v>
      </c>
      <c r="N14924" t="s">
        <v>44905</v>
      </c>
      <c r="O14924" t="s">
        <v>44906</v>
      </c>
      <c r="Q14924">
        <v>1</v>
      </c>
      <c r="R14924" t="s">
        <v>44950</v>
      </c>
      <c r="S14924" t="s">
        <v>46155</v>
      </c>
      <c r="T14924" t="s">
        <v>46447</v>
      </c>
      <c r="U14924" t="s">
        <v>58816</v>
      </c>
      <c r="W14924" t="s">
        <v>44867</v>
      </c>
      <c r="X14924" t="s">
        <v>44956</v>
      </c>
    </row>
    <row r="14925" spans="1:24">
      <c r="A14925">
        <f>HYPERLINK("https://www.philgeps.gov.ph/GEPSNONPILOT/Tender/SplashBidNoticeAbstractUI.aspx?menuIndex=3&amp;refID=6976974&amp;Result=3","6976974")</f>
        <v>0</v>
      </c>
      <c r="B14925" t="s">
        <v>3513</v>
      </c>
      <c r="C14925" t="s">
        <v>17822</v>
      </c>
      <c r="D14925" t="s">
        <v>18110</v>
      </c>
      <c r="E14925" t="s">
        <v>31091</v>
      </c>
      <c r="F14925" t="s">
        <v>31362</v>
      </c>
      <c r="G14925" t="s">
        <v>31369</v>
      </c>
      <c r="H14925" t="s">
        <v>15799</v>
      </c>
      <c r="I14925" t="s">
        <v>31386</v>
      </c>
      <c r="J14925" t="s">
        <v>40509</v>
      </c>
      <c r="K14925" t="s">
        <v>40686</v>
      </c>
      <c r="M14925" t="s">
        <v>44869</v>
      </c>
      <c r="N14925" t="s">
        <v>44905</v>
      </c>
      <c r="O14925" t="s">
        <v>44906</v>
      </c>
      <c r="Q14925">
        <v>8</v>
      </c>
      <c r="R14925" t="s">
        <v>44958</v>
      </c>
      <c r="S14925" t="s">
        <v>46156</v>
      </c>
      <c r="T14925" t="s">
        <v>46904</v>
      </c>
      <c r="U14925" t="s">
        <v>58817</v>
      </c>
      <c r="W14925" t="s">
        <v>44869</v>
      </c>
      <c r="X14925" t="s">
        <v>44981</v>
      </c>
    </row>
    <row r="14926" spans="1:24">
      <c r="A14926">
        <f>HYPERLINK("https://www.philgeps.gov.ph/GEPSNONPILOT/Tender/SplashBidNoticeAbstractUI.aspx?menuIndex=3&amp;refID=6976716&amp;Result=3","6976716")</f>
        <v>0</v>
      </c>
      <c r="B14926" t="s">
        <v>3513</v>
      </c>
      <c r="C14926" t="s">
        <v>17823</v>
      </c>
      <c r="D14926" t="s">
        <v>18110</v>
      </c>
      <c r="E14926" t="s">
        <v>31092</v>
      </c>
      <c r="F14926" t="s">
        <v>31362</v>
      </c>
      <c r="G14926" t="s">
        <v>31369</v>
      </c>
      <c r="H14926" t="s">
        <v>31378</v>
      </c>
      <c r="I14926" t="s">
        <v>31386</v>
      </c>
      <c r="J14926" t="s">
        <v>40510</v>
      </c>
      <c r="K14926" t="s">
        <v>40686</v>
      </c>
      <c r="M14926" t="s">
        <v>44869</v>
      </c>
      <c r="N14926" t="s">
        <v>44905</v>
      </c>
      <c r="O14926" t="s">
        <v>44906</v>
      </c>
      <c r="Q14926">
        <v>7</v>
      </c>
      <c r="R14926" t="s">
        <v>44958</v>
      </c>
      <c r="S14926" t="s">
        <v>46157</v>
      </c>
      <c r="T14926" t="s">
        <v>46904</v>
      </c>
      <c r="U14926" t="s">
        <v>58818</v>
      </c>
      <c r="W14926" t="s">
        <v>44869</v>
      </c>
      <c r="X14926" t="s">
        <v>44981</v>
      </c>
    </row>
    <row r="14927" spans="1:24">
      <c r="A14927">
        <f>HYPERLINK("https://www.philgeps.gov.ph/GEPSNONPILOT/Tender/SplashBidNoticeAbstractUI.aspx?menuIndex=3&amp;refID=6976656&amp;Result=3","6976656")</f>
        <v>0</v>
      </c>
      <c r="B14927" t="s">
        <v>3513</v>
      </c>
      <c r="C14927" t="s">
        <v>17824</v>
      </c>
      <c r="D14927" t="s">
        <v>18110</v>
      </c>
      <c r="E14927" t="s">
        <v>31093</v>
      </c>
      <c r="F14927" t="s">
        <v>31362</v>
      </c>
      <c r="G14927" t="s">
        <v>31369</v>
      </c>
      <c r="H14927" t="s">
        <v>31378</v>
      </c>
      <c r="I14927" t="s">
        <v>31386</v>
      </c>
      <c r="J14927" t="s">
        <v>40511</v>
      </c>
      <c r="K14927" t="s">
        <v>40686</v>
      </c>
      <c r="M14927" t="s">
        <v>44869</v>
      </c>
      <c r="N14927" t="s">
        <v>44905</v>
      </c>
      <c r="O14927" t="s">
        <v>44906</v>
      </c>
      <c r="Q14927">
        <v>10</v>
      </c>
      <c r="R14927" t="s">
        <v>44958</v>
      </c>
      <c r="S14927" t="s">
        <v>46158</v>
      </c>
      <c r="T14927" t="s">
        <v>46904</v>
      </c>
      <c r="U14927" t="s">
        <v>58819</v>
      </c>
      <c r="W14927" t="s">
        <v>44869</v>
      </c>
      <c r="X14927" t="s">
        <v>44981</v>
      </c>
    </row>
    <row r="14928" spans="1:24">
      <c r="A14928">
        <f>HYPERLINK("https://www.philgeps.gov.ph/GEPSNONPILOT/Tender/SplashBidNoticeAbstractUI.aspx?menuIndex=3&amp;refID=6979366&amp;Result=3","6979366")</f>
        <v>0</v>
      </c>
      <c r="B14928" t="s">
        <v>3514</v>
      </c>
      <c r="C14928" t="s">
        <v>17825</v>
      </c>
      <c r="D14928" t="s">
        <v>18108</v>
      </c>
      <c r="E14928" t="s">
        <v>31094</v>
      </c>
      <c r="F14928" t="s">
        <v>31362</v>
      </c>
      <c r="G14928" t="s">
        <v>31369</v>
      </c>
      <c r="H14928" t="s">
        <v>15799</v>
      </c>
      <c r="I14928" t="s">
        <v>31393</v>
      </c>
      <c r="J14928" t="s">
        <v>40512</v>
      </c>
      <c r="K14928" t="s">
        <v>40665</v>
      </c>
      <c r="M14928" t="s">
        <v>44870</v>
      </c>
      <c r="N14928" t="s">
        <v>44905</v>
      </c>
      <c r="O14928" t="s">
        <v>44906</v>
      </c>
      <c r="Q14928">
        <v>23</v>
      </c>
      <c r="R14928" t="s">
        <v>44959</v>
      </c>
      <c r="S14928" t="s">
        <v>46159</v>
      </c>
      <c r="T14928" t="s">
        <v>46905</v>
      </c>
      <c r="U14928" t="s">
        <v>58820</v>
      </c>
      <c r="W14928" t="s">
        <v>44870</v>
      </c>
      <c r="X14928" t="s">
        <v>60993</v>
      </c>
    </row>
    <row r="14929" spans="1:24">
      <c r="A14929">
        <f>HYPERLINK("https://www.philgeps.gov.ph/GEPSNONPILOT/Tender/SplashBidNoticeAbstractUI.aspx?menuIndex=3&amp;refID=6974544&amp;Result=3","6974544")</f>
        <v>0</v>
      </c>
      <c r="B14929" t="s">
        <v>393</v>
      </c>
      <c r="C14929" t="s">
        <v>17826</v>
      </c>
      <c r="D14929" t="s">
        <v>18131</v>
      </c>
      <c r="E14929" t="s">
        <v>31095</v>
      </c>
      <c r="F14929" t="s">
        <v>31362</v>
      </c>
      <c r="G14929" t="s">
        <v>31371</v>
      </c>
      <c r="H14929" t="s">
        <v>15799</v>
      </c>
      <c r="I14929" t="s">
        <v>31387</v>
      </c>
      <c r="J14929" t="s">
        <v>40513</v>
      </c>
      <c r="K14929" t="s">
        <v>40666</v>
      </c>
      <c r="M14929" t="s">
        <v>41341</v>
      </c>
      <c r="N14929" t="s">
        <v>44905</v>
      </c>
      <c r="O14929" t="s">
        <v>44906</v>
      </c>
      <c r="Q14929">
        <v>2</v>
      </c>
      <c r="R14929" t="s">
        <v>44960</v>
      </c>
      <c r="S14929" t="s">
        <v>45700</v>
      </c>
      <c r="T14929" t="s">
        <v>46409</v>
      </c>
      <c r="U14929" t="s">
        <v>58821</v>
      </c>
      <c r="W14929" t="s">
        <v>41341</v>
      </c>
      <c r="X14929" t="s">
        <v>60989</v>
      </c>
    </row>
    <row r="14930" spans="1:24">
      <c r="A14930">
        <f>HYPERLINK("https://www.philgeps.gov.ph/GEPSNONPILOT/Tender/SplashBidNoticeAbstractUI.aspx?menuIndex=3&amp;refID=6970321&amp;Result=3","6970321")</f>
        <v>0</v>
      </c>
      <c r="B14930" t="s">
        <v>393</v>
      </c>
      <c r="C14930" t="s">
        <v>5734</v>
      </c>
      <c r="D14930" t="s">
        <v>18122</v>
      </c>
      <c r="E14930" t="s">
        <v>31096</v>
      </c>
      <c r="F14930" t="s">
        <v>31362</v>
      </c>
      <c r="G14930" t="s">
        <v>31371</v>
      </c>
      <c r="H14930" t="s">
        <v>15799</v>
      </c>
      <c r="I14930" t="s">
        <v>7188</v>
      </c>
      <c r="J14930" t="s">
        <v>34025</v>
      </c>
      <c r="K14930" t="s">
        <v>40677</v>
      </c>
      <c r="M14930" t="s">
        <v>41341</v>
      </c>
      <c r="N14930" t="s">
        <v>44905</v>
      </c>
      <c r="O14930" t="s">
        <v>44906</v>
      </c>
      <c r="Q14930">
        <v>2</v>
      </c>
      <c r="R14930" t="s">
        <v>44961</v>
      </c>
      <c r="S14930" t="s">
        <v>46160</v>
      </c>
      <c r="T14930" t="s">
        <v>46409</v>
      </c>
      <c r="U14930" t="s">
        <v>58822</v>
      </c>
      <c r="W14930" t="s">
        <v>41341</v>
      </c>
      <c r="X14930" t="s">
        <v>44963</v>
      </c>
    </row>
    <row r="14931" spans="1:24">
      <c r="A14931">
        <f>HYPERLINK("https://www.philgeps.gov.ph/GEPSNONPILOT/Tender/SplashBidNoticeAbstractUI.aspx?menuIndex=3&amp;refID=6977331&amp;Result=3","6977331")</f>
        <v>0</v>
      </c>
      <c r="B14931" t="s">
        <v>3513</v>
      </c>
      <c r="C14931" t="s">
        <v>17827</v>
      </c>
      <c r="D14931" t="s">
        <v>18110</v>
      </c>
      <c r="E14931" t="s">
        <v>31097</v>
      </c>
      <c r="F14931" t="s">
        <v>31362</v>
      </c>
      <c r="G14931" t="s">
        <v>31369</v>
      </c>
      <c r="H14931" t="s">
        <v>31378</v>
      </c>
      <c r="I14931" t="s">
        <v>31392</v>
      </c>
      <c r="J14931" t="s">
        <v>40514</v>
      </c>
      <c r="K14931" t="s">
        <v>40679</v>
      </c>
      <c r="M14931" t="s">
        <v>44869</v>
      </c>
      <c r="N14931" t="s">
        <v>44905</v>
      </c>
      <c r="O14931" t="s">
        <v>44906</v>
      </c>
      <c r="Q14931">
        <v>7</v>
      </c>
      <c r="R14931" t="s">
        <v>44958</v>
      </c>
      <c r="S14931" t="s">
        <v>46161</v>
      </c>
      <c r="T14931" t="s">
        <v>46904</v>
      </c>
      <c r="U14931" t="s">
        <v>58823</v>
      </c>
      <c r="W14931" t="s">
        <v>44869</v>
      </c>
      <c r="X14931" t="s">
        <v>44981</v>
      </c>
    </row>
    <row r="14932" spans="1:24">
      <c r="A14932">
        <f>HYPERLINK("https://www.philgeps.gov.ph/GEPSNONPILOT/Tender/SplashBidNoticeAbstractUI.aspx?menuIndex=3&amp;refID=6971017&amp;Result=3","6971017")</f>
        <v>0</v>
      </c>
      <c r="B14932" t="s">
        <v>393</v>
      </c>
      <c r="C14932" t="s">
        <v>4097</v>
      </c>
      <c r="D14932" t="s">
        <v>18122</v>
      </c>
      <c r="E14932" t="s">
        <v>31098</v>
      </c>
      <c r="F14932" t="s">
        <v>31362</v>
      </c>
      <c r="G14932" t="s">
        <v>31371</v>
      </c>
      <c r="H14932" t="s">
        <v>15799</v>
      </c>
      <c r="I14932" t="s">
        <v>31385</v>
      </c>
      <c r="J14932" t="s">
        <v>33832</v>
      </c>
      <c r="K14932" t="s">
        <v>40666</v>
      </c>
      <c r="M14932" t="s">
        <v>41341</v>
      </c>
      <c r="N14932" t="s">
        <v>44905</v>
      </c>
      <c r="O14932" t="s">
        <v>44906</v>
      </c>
      <c r="Q14932">
        <v>0</v>
      </c>
      <c r="R14932" t="s">
        <v>44962</v>
      </c>
      <c r="S14932" t="s">
        <v>46162</v>
      </c>
      <c r="T14932" t="s">
        <v>46409</v>
      </c>
      <c r="U14932" t="s">
        <v>58824</v>
      </c>
      <c r="W14932" t="s">
        <v>41341</v>
      </c>
      <c r="X14932" t="s">
        <v>44961</v>
      </c>
    </row>
    <row r="14933" spans="1:24">
      <c r="A14933">
        <f>HYPERLINK("https://www.philgeps.gov.ph/GEPSNONPILOT/Tender/SplashBidNoticeAbstractUI.aspx?menuIndex=3&amp;refID=6976799&amp;Result=3","6976799")</f>
        <v>0</v>
      </c>
      <c r="B14933" t="s">
        <v>3513</v>
      </c>
      <c r="C14933" t="s">
        <v>17828</v>
      </c>
      <c r="D14933" t="s">
        <v>18110</v>
      </c>
      <c r="E14933" t="s">
        <v>31099</v>
      </c>
      <c r="F14933" t="s">
        <v>31362</v>
      </c>
      <c r="G14933" t="s">
        <v>31369</v>
      </c>
      <c r="H14933" t="s">
        <v>31378</v>
      </c>
      <c r="I14933" t="s">
        <v>31386</v>
      </c>
      <c r="J14933" t="s">
        <v>40515</v>
      </c>
      <c r="K14933" t="s">
        <v>40686</v>
      </c>
      <c r="M14933" t="s">
        <v>44869</v>
      </c>
      <c r="N14933" t="s">
        <v>44905</v>
      </c>
      <c r="O14933" t="s">
        <v>44906</v>
      </c>
      <c r="Q14933">
        <v>6</v>
      </c>
      <c r="R14933" t="s">
        <v>44958</v>
      </c>
      <c r="S14933" t="s">
        <v>46163</v>
      </c>
      <c r="T14933" t="s">
        <v>46904</v>
      </c>
      <c r="U14933" t="s">
        <v>58825</v>
      </c>
      <c r="W14933" t="s">
        <v>44869</v>
      </c>
      <c r="X14933" t="s">
        <v>44981</v>
      </c>
    </row>
    <row r="14934" spans="1:24">
      <c r="A14934">
        <f>HYPERLINK("https://www.philgeps.gov.ph/GEPSNONPILOT/Tender/SplashBidNoticeAbstractUI.aspx?menuIndex=3&amp;refID=6970817&amp;Result=3","6970817")</f>
        <v>0</v>
      </c>
      <c r="B14934" t="s">
        <v>393</v>
      </c>
      <c r="C14934" t="s">
        <v>17829</v>
      </c>
      <c r="D14934" t="s">
        <v>18122</v>
      </c>
      <c r="E14934" t="s">
        <v>31100</v>
      </c>
      <c r="F14934" t="s">
        <v>31362</v>
      </c>
      <c r="G14934" t="s">
        <v>31368</v>
      </c>
      <c r="H14934" t="s">
        <v>15799</v>
      </c>
      <c r="I14934" t="s">
        <v>31422</v>
      </c>
      <c r="J14934" t="s">
        <v>31546</v>
      </c>
      <c r="K14934" t="s">
        <v>40666</v>
      </c>
      <c r="M14934" t="s">
        <v>41341</v>
      </c>
      <c r="N14934" t="s">
        <v>44905</v>
      </c>
      <c r="O14934" t="s">
        <v>44906</v>
      </c>
      <c r="Q14934">
        <v>3</v>
      </c>
      <c r="R14934" t="s">
        <v>44962</v>
      </c>
      <c r="S14934" t="s">
        <v>46164</v>
      </c>
      <c r="T14934" t="s">
        <v>46481</v>
      </c>
      <c r="U14934" t="s">
        <v>58826</v>
      </c>
      <c r="W14934" t="s">
        <v>41341</v>
      </c>
      <c r="X14934" t="s">
        <v>44961</v>
      </c>
    </row>
    <row r="14935" spans="1:24">
      <c r="A14935">
        <f>HYPERLINK("https://www.philgeps.gov.ph/GEPSNONPILOT/Tender/SplashBidNoticeAbstractUI.aspx?menuIndex=3&amp;refID=6969583&amp;Result=3","6969583")</f>
        <v>0</v>
      </c>
      <c r="B14935" t="s">
        <v>516</v>
      </c>
      <c r="C14935" t="s">
        <v>17830</v>
      </c>
      <c r="D14935" t="s">
        <v>18102</v>
      </c>
      <c r="E14935" t="s">
        <v>31101</v>
      </c>
      <c r="F14935" t="s">
        <v>31362</v>
      </c>
      <c r="G14935" t="s">
        <v>31368</v>
      </c>
      <c r="H14935" t="s">
        <v>15799</v>
      </c>
      <c r="I14935" t="s">
        <v>7090</v>
      </c>
      <c r="J14935" t="s">
        <v>40516</v>
      </c>
      <c r="K14935" t="s">
        <v>40675</v>
      </c>
      <c r="M14935" t="s">
        <v>43558</v>
      </c>
      <c r="N14935" t="s">
        <v>44905</v>
      </c>
      <c r="O14935" t="s">
        <v>44906</v>
      </c>
      <c r="Q14935">
        <v>4</v>
      </c>
      <c r="R14935" t="s">
        <v>44963</v>
      </c>
      <c r="S14935" t="s">
        <v>46165</v>
      </c>
      <c r="T14935" t="s">
        <v>46409</v>
      </c>
      <c r="U14935" t="s">
        <v>53439</v>
      </c>
      <c r="W14935" t="s">
        <v>43558</v>
      </c>
      <c r="X14935" t="s">
        <v>60994</v>
      </c>
    </row>
    <row r="14936" spans="1:24">
      <c r="A14936">
        <f>HYPERLINK("https://www.philgeps.gov.ph/GEPSNONPILOT/Tender/SplashBidNoticeAbstractUI.aspx?menuIndex=3&amp;refID=6970380&amp;Result=3","6970380")</f>
        <v>0</v>
      </c>
      <c r="B14936" t="s">
        <v>393</v>
      </c>
      <c r="C14936" t="s">
        <v>17831</v>
      </c>
      <c r="D14936" t="s">
        <v>18122</v>
      </c>
      <c r="E14936" t="s">
        <v>31102</v>
      </c>
      <c r="F14936" t="s">
        <v>31362</v>
      </c>
      <c r="G14936" t="s">
        <v>31371</v>
      </c>
      <c r="H14936" t="s">
        <v>15799</v>
      </c>
      <c r="I14936" t="s">
        <v>31429</v>
      </c>
      <c r="J14936" t="s">
        <v>40517</v>
      </c>
      <c r="K14936" t="s">
        <v>40665</v>
      </c>
      <c r="M14936" t="s">
        <v>41341</v>
      </c>
      <c r="N14936" t="s">
        <v>44905</v>
      </c>
      <c r="O14936" t="s">
        <v>44906</v>
      </c>
      <c r="Q14936">
        <v>0</v>
      </c>
      <c r="R14936" t="s">
        <v>44961</v>
      </c>
      <c r="S14936" t="s">
        <v>46166</v>
      </c>
      <c r="T14936" t="s">
        <v>46481</v>
      </c>
      <c r="U14936" t="s">
        <v>58827</v>
      </c>
      <c r="W14936" t="s">
        <v>41341</v>
      </c>
      <c r="X14936" t="s">
        <v>44963</v>
      </c>
    </row>
    <row r="14937" spans="1:24">
      <c r="A14937">
        <f>HYPERLINK("https://www.philgeps.gov.ph/GEPSNONPILOT/Tender/SplashBidNoticeAbstractUI.aspx?menuIndex=3&amp;refID=6970223&amp;Result=3","6970223")</f>
        <v>0</v>
      </c>
      <c r="B14937" t="s">
        <v>393</v>
      </c>
      <c r="C14937" t="s">
        <v>17832</v>
      </c>
      <c r="D14937" t="s">
        <v>18122</v>
      </c>
      <c r="E14937" t="s">
        <v>31103</v>
      </c>
      <c r="F14937" t="s">
        <v>31362</v>
      </c>
      <c r="G14937" t="s">
        <v>31371</v>
      </c>
      <c r="H14937" t="s">
        <v>15799</v>
      </c>
      <c r="I14937" t="s">
        <v>31385</v>
      </c>
      <c r="J14937" t="s">
        <v>33527</v>
      </c>
      <c r="K14937" t="s">
        <v>40661</v>
      </c>
      <c r="M14937" t="s">
        <v>41341</v>
      </c>
      <c r="N14937" t="s">
        <v>44905</v>
      </c>
      <c r="O14937" t="s">
        <v>44906</v>
      </c>
      <c r="Q14937">
        <v>7</v>
      </c>
      <c r="R14937" t="s">
        <v>44961</v>
      </c>
      <c r="S14937" t="s">
        <v>46167</v>
      </c>
      <c r="T14937" t="s">
        <v>46409</v>
      </c>
      <c r="U14937" t="s">
        <v>58828</v>
      </c>
      <c r="W14937" t="s">
        <v>41341</v>
      </c>
      <c r="X14937" t="s">
        <v>44963</v>
      </c>
    </row>
    <row r="14938" spans="1:24">
      <c r="A14938">
        <f>HYPERLINK("https://www.philgeps.gov.ph/GEPSNONPILOT/Tender/SplashBidNoticeAbstractUI.aspx?menuIndex=3&amp;refID=6957189&amp;Result=3","6957189")</f>
        <v>0</v>
      </c>
      <c r="B14938" t="s">
        <v>421</v>
      </c>
      <c r="C14938" t="s">
        <v>17833</v>
      </c>
      <c r="D14938" t="s">
        <v>18133</v>
      </c>
      <c r="E14938" t="s">
        <v>31104</v>
      </c>
      <c r="F14938" t="s">
        <v>31362</v>
      </c>
      <c r="G14938" t="s">
        <v>31369</v>
      </c>
      <c r="H14938" t="s">
        <v>31378</v>
      </c>
      <c r="I14938" t="s">
        <v>31386</v>
      </c>
      <c r="J14938" t="s">
        <v>34023</v>
      </c>
      <c r="K14938" t="s">
        <v>40906</v>
      </c>
      <c r="M14938" t="s">
        <v>41372</v>
      </c>
      <c r="N14938" t="s">
        <v>44905</v>
      </c>
      <c r="O14938" t="s">
        <v>44906</v>
      </c>
      <c r="Q14938">
        <v>0</v>
      </c>
      <c r="R14938" t="s">
        <v>44964</v>
      </c>
      <c r="S14938" t="s">
        <v>45592</v>
      </c>
      <c r="T14938" t="s">
        <v>46538</v>
      </c>
      <c r="U14938" t="s">
        <v>58829</v>
      </c>
      <c r="W14938" t="s">
        <v>41372</v>
      </c>
      <c r="X14938" t="s">
        <v>44966</v>
      </c>
    </row>
    <row r="14939" spans="1:24">
      <c r="A14939">
        <f>HYPERLINK("https://www.philgeps.gov.ph/GEPSNONPILOT/Tender/SplashBidNoticeAbstractUI.aspx?menuIndex=3&amp;refID=6957275&amp;Result=3","6957275")</f>
        <v>0</v>
      </c>
      <c r="B14939" t="s">
        <v>421</v>
      </c>
      <c r="C14939" t="s">
        <v>17834</v>
      </c>
      <c r="D14939" t="s">
        <v>18133</v>
      </c>
      <c r="E14939" t="s">
        <v>31105</v>
      </c>
      <c r="F14939" t="s">
        <v>31362</v>
      </c>
      <c r="G14939" t="s">
        <v>31369</v>
      </c>
      <c r="H14939" t="s">
        <v>31378</v>
      </c>
      <c r="I14939" t="s">
        <v>31386</v>
      </c>
      <c r="J14939" t="s">
        <v>31726</v>
      </c>
      <c r="K14939" t="s">
        <v>40686</v>
      </c>
      <c r="M14939" t="s">
        <v>41372</v>
      </c>
      <c r="N14939" t="s">
        <v>44905</v>
      </c>
      <c r="O14939" t="s">
        <v>44906</v>
      </c>
      <c r="Q14939">
        <v>0</v>
      </c>
      <c r="R14939" t="s">
        <v>44964</v>
      </c>
      <c r="S14939" t="s">
        <v>46168</v>
      </c>
      <c r="T14939" t="s">
        <v>46538</v>
      </c>
      <c r="U14939" t="s">
        <v>58830</v>
      </c>
      <c r="W14939" t="s">
        <v>41372</v>
      </c>
      <c r="X14939" t="s">
        <v>44966</v>
      </c>
    </row>
    <row r="14940" spans="1:24">
      <c r="A14940">
        <f>HYPERLINK("https://www.philgeps.gov.ph/GEPSNONPILOT/Tender/SplashBidNoticeAbstractUI.aspx?menuIndex=3&amp;refID=6955379&amp;Result=3","6955379")</f>
        <v>0</v>
      </c>
      <c r="B14940" t="s">
        <v>421</v>
      </c>
      <c r="C14940" t="s">
        <v>17835</v>
      </c>
      <c r="D14940" t="s">
        <v>18133</v>
      </c>
      <c r="E14940" t="s">
        <v>31106</v>
      </c>
      <c r="F14940" t="s">
        <v>31362</v>
      </c>
      <c r="G14940" t="s">
        <v>31369</v>
      </c>
      <c r="H14940" t="s">
        <v>31378</v>
      </c>
      <c r="I14940" t="s">
        <v>31386</v>
      </c>
      <c r="J14940" t="s">
        <v>34260</v>
      </c>
      <c r="K14940" t="s">
        <v>40884</v>
      </c>
      <c r="M14940" t="s">
        <v>41372</v>
      </c>
      <c r="N14940" t="s">
        <v>44905</v>
      </c>
      <c r="O14940" t="s">
        <v>44906</v>
      </c>
      <c r="Q14940">
        <v>0</v>
      </c>
      <c r="R14940" t="s">
        <v>44965</v>
      </c>
      <c r="S14940" t="s">
        <v>46169</v>
      </c>
      <c r="T14940" t="s">
        <v>46408</v>
      </c>
      <c r="U14940" t="s">
        <v>58831</v>
      </c>
      <c r="W14940" t="s">
        <v>41372</v>
      </c>
      <c r="X14940" t="s">
        <v>60995</v>
      </c>
    </row>
    <row r="14941" spans="1:24">
      <c r="A14941">
        <f>HYPERLINK("https://www.philgeps.gov.ph/GEPSNONPILOT/Tender/SplashBidNoticeAbstractUI.aspx?menuIndex=3&amp;refID=6970779&amp;Result=3","6970779")</f>
        <v>0</v>
      </c>
      <c r="B14941" t="s">
        <v>1312</v>
      </c>
      <c r="C14941" t="s">
        <v>17836</v>
      </c>
      <c r="D14941" t="s">
        <v>18174</v>
      </c>
      <c r="E14941" t="s">
        <v>31107</v>
      </c>
      <c r="F14941" t="s">
        <v>31362</v>
      </c>
      <c r="G14941" t="s">
        <v>31369</v>
      </c>
      <c r="H14941" t="s">
        <v>31378</v>
      </c>
      <c r="I14941" t="s">
        <v>31386</v>
      </c>
      <c r="J14941" t="s">
        <v>37006</v>
      </c>
      <c r="K14941" t="s">
        <v>40691</v>
      </c>
      <c r="M14941" t="s">
        <v>42330</v>
      </c>
      <c r="N14941" t="s">
        <v>44905</v>
      </c>
      <c r="O14941" t="s">
        <v>44906</v>
      </c>
      <c r="Q14941">
        <v>2</v>
      </c>
      <c r="R14941" t="s">
        <v>44962</v>
      </c>
      <c r="S14941" t="s">
        <v>46170</v>
      </c>
      <c r="T14941" t="s">
        <v>46906</v>
      </c>
      <c r="U14941" t="s">
        <v>58832</v>
      </c>
      <c r="W14941" t="s">
        <v>42330</v>
      </c>
      <c r="X14941" t="s">
        <v>44961</v>
      </c>
    </row>
    <row r="14942" spans="1:24">
      <c r="A14942">
        <f>HYPERLINK("https://www.philgeps.gov.ph/GEPSNONPILOT/Tender/SplashBidNoticeAbstractUI.aspx?menuIndex=3&amp;refID=6956495&amp;Result=3","6956495")</f>
        <v>0</v>
      </c>
      <c r="B14942" t="s">
        <v>421</v>
      </c>
      <c r="C14942" t="s">
        <v>17837</v>
      </c>
      <c r="D14942" t="s">
        <v>18133</v>
      </c>
      <c r="E14942" t="s">
        <v>31108</v>
      </c>
      <c r="F14942" t="s">
        <v>31362</v>
      </c>
      <c r="G14942" t="s">
        <v>31369</v>
      </c>
      <c r="H14942" t="s">
        <v>31378</v>
      </c>
      <c r="I14942" t="s">
        <v>31386</v>
      </c>
      <c r="J14942" t="s">
        <v>32187</v>
      </c>
      <c r="K14942" t="s">
        <v>40714</v>
      </c>
      <c r="M14942" t="s">
        <v>41372</v>
      </c>
      <c r="N14942" t="s">
        <v>44905</v>
      </c>
      <c r="O14942" t="s">
        <v>44906</v>
      </c>
      <c r="Q14942">
        <v>1</v>
      </c>
      <c r="R14942" t="s">
        <v>44966</v>
      </c>
      <c r="S14942" t="s">
        <v>46171</v>
      </c>
      <c r="T14942" t="s">
        <v>46408</v>
      </c>
      <c r="U14942" t="s">
        <v>58833</v>
      </c>
      <c r="W14942" t="s">
        <v>41372</v>
      </c>
      <c r="X14942" t="s">
        <v>44965</v>
      </c>
    </row>
    <row r="14943" spans="1:24">
      <c r="A14943">
        <f>HYPERLINK("https://www.philgeps.gov.ph/GEPSNONPILOT/Tender/SplashBidNoticeAbstractUI.aspx?menuIndex=3&amp;refID=6956252&amp;Result=3","6956252")</f>
        <v>0</v>
      </c>
      <c r="B14943" t="s">
        <v>421</v>
      </c>
      <c r="C14943" t="s">
        <v>17838</v>
      </c>
      <c r="D14943" t="s">
        <v>18133</v>
      </c>
      <c r="E14943" t="s">
        <v>31109</v>
      </c>
      <c r="F14943" t="s">
        <v>31362</v>
      </c>
      <c r="G14943" t="s">
        <v>31369</v>
      </c>
      <c r="H14943" t="s">
        <v>31378</v>
      </c>
      <c r="I14943" t="s">
        <v>31386</v>
      </c>
      <c r="J14943" t="s">
        <v>33502</v>
      </c>
      <c r="K14943" t="s">
        <v>40851</v>
      </c>
      <c r="M14943" t="s">
        <v>41372</v>
      </c>
      <c r="N14943" t="s">
        <v>44905</v>
      </c>
      <c r="O14943" t="s">
        <v>44906</v>
      </c>
      <c r="Q14943">
        <v>0</v>
      </c>
      <c r="R14943" t="s">
        <v>44966</v>
      </c>
      <c r="S14943" t="s">
        <v>45355</v>
      </c>
      <c r="T14943" t="s">
        <v>46408</v>
      </c>
      <c r="U14943" t="s">
        <v>58834</v>
      </c>
      <c r="W14943" t="s">
        <v>41372</v>
      </c>
      <c r="X14943" t="s">
        <v>44965</v>
      </c>
    </row>
    <row r="14944" spans="1:24">
      <c r="A14944">
        <f>HYPERLINK("https://www.philgeps.gov.ph/GEPSNONPILOT/Tender/SplashBidNoticeAbstractUI.aspx?menuIndex=3&amp;refID=6955412&amp;Result=3","6955412")</f>
        <v>0</v>
      </c>
      <c r="B14944" t="s">
        <v>421</v>
      </c>
      <c r="C14944" t="s">
        <v>17839</v>
      </c>
      <c r="D14944" t="s">
        <v>18133</v>
      </c>
      <c r="E14944" t="s">
        <v>31110</v>
      </c>
      <c r="F14944" t="s">
        <v>31362</v>
      </c>
      <c r="G14944" t="s">
        <v>31369</v>
      </c>
      <c r="H14944" t="s">
        <v>31378</v>
      </c>
      <c r="I14944" t="s">
        <v>31386</v>
      </c>
      <c r="J14944" t="s">
        <v>40518</v>
      </c>
      <c r="K14944" t="s">
        <v>40926</v>
      </c>
      <c r="M14944" t="s">
        <v>41372</v>
      </c>
      <c r="N14944" t="s">
        <v>44905</v>
      </c>
      <c r="O14944" t="s">
        <v>44906</v>
      </c>
      <c r="Q14944">
        <v>1</v>
      </c>
      <c r="R14944" t="s">
        <v>44965</v>
      </c>
      <c r="S14944" t="s">
        <v>46172</v>
      </c>
      <c r="T14944" t="s">
        <v>46408</v>
      </c>
      <c r="U14944" t="s">
        <v>58835</v>
      </c>
      <c r="W14944" t="s">
        <v>41372</v>
      </c>
      <c r="X14944" t="s">
        <v>60995</v>
      </c>
    </row>
    <row r="14945" spans="1:24">
      <c r="A14945">
        <f>HYPERLINK("https://www.philgeps.gov.ph/GEPSNONPILOT/Tender/SplashBidNoticeAbstractUI.aspx?menuIndex=3&amp;refID=6957664&amp;Result=3","6957664")</f>
        <v>0</v>
      </c>
      <c r="B14945" t="s">
        <v>421</v>
      </c>
      <c r="C14945" t="s">
        <v>17840</v>
      </c>
      <c r="D14945" t="s">
        <v>18133</v>
      </c>
      <c r="E14945" t="s">
        <v>31111</v>
      </c>
      <c r="F14945" t="s">
        <v>31362</v>
      </c>
      <c r="G14945" t="s">
        <v>31369</v>
      </c>
      <c r="H14945" t="s">
        <v>31378</v>
      </c>
      <c r="I14945" t="s">
        <v>31386</v>
      </c>
      <c r="J14945" t="s">
        <v>35968</v>
      </c>
      <c r="K14945" t="s">
        <v>40679</v>
      </c>
      <c r="M14945" t="s">
        <v>41372</v>
      </c>
      <c r="N14945" t="s">
        <v>44905</v>
      </c>
      <c r="O14945" t="s">
        <v>44906</v>
      </c>
      <c r="Q14945">
        <v>0</v>
      </c>
      <c r="R14945" t="s">
        <v>44964</v>
      </c>
      <c r="S14945" t="s">
        <v>46173</v>
      </c>
      <c r="T14945" t="s">
        <v>46538</v>
      </c>
      <c r="U14945" t="s">
        <v>58836</v>
      </c>
      <c r="W14945" t="s">
        <v>41372</v>
      </c>
      <c r="X14945" t="s">
        <v>44966</v>
      </c>
    </row>
    <row r="14946" spans="1:24">
      <c r="A14946">
        <f>HYPERLINK("https://www.philgeps.gov.ph/GEPSNONPILOT/Tender/SplashBidNoticeAbstractUI.aspx?menuIndex=3&amp;refID=6957124&amp;Result=3","6957124")</f>
        <v>0</v>
      </c>
      <c r="B14946" t="s">
        <v>700</v>
      </c>
      <c r="C14946" t="s">
        <v>17841</v>
      </c>
      <c r="E14946" t="s">
        <v>31112</v>
      </c>
      <c r="F14946" t="s">
        <v>31362</v>
      </c>
      <c r="G14946" t="s">
        <v>31369</v>
      </c>
      <c r="H14946" t="s">
        <v>15799</v>
      </c>
      <c r="I14946" t="s">
        <v>7188</v>
      </c>
      <c r="J14946" t="s">
        <v>35450</v>
      </c>
      <c r="K14946" t="s">
        <v>40662</v>
      </c>
      <c r="M14946" t="s">
        <v>41665</v>
      </c>
      <c r="N14946" t="s">
        <v>44905</v>
      </c>
      <c r="O14946" t="s">
        <v>44906</v>
      </c>
      <c r="Q14946">
        <v>16</v>
      </c>
      <c r="R14946" t="s">
        <v>44964</v>
      </c>
      <c r="S14946" t="s">
        <v>46174</v>
      </c>
      <c r="T14946" t="s">
        <v>46396</v>
      </c>
      <c r="U14946" t="s">
        <v>58837</v>
      </c>
      <c r="V14946" t="s">
        <v>60775</v>
      </c>
      <c r="W14946" t="s">
        <v>60915</v>
      </c>
      <c r="X14946" t="s">
        <v>44966</v>
      </c>
    </row>
    <row r="14947" spans="1:24">
      <c r="A14947">
        <f>HYPERLINK("https://www.philgeps.gov.ph/GEPSNONPILOT/Tender/SplashBidNoticeAbstractUI.aspx?menuIndex=3&amp;refID=6955348&amp;Result=3","6955348")</f>
        <v>0</v>
      </c>
      <c r="B14947" t="s">
        <v>421</v>
      </c>
      <c r="C14947" t="s">
        <v>17842</v>
      </c>
      <c r="D14947" t="s">
        <v>18133</v>
      </c>
      <c r="E14947" t="s">
        <v>31113</v>
      </c>
      <c r="F14947" t="s">
        <v>31362</v>
      </c>
      <c r="G14947" t="s">
        <v>31369</v>
      </c>
      <c r="H14947" t="s">
        <v>31378</v>
      </c>
      <c r="I14947" t="s">
        <v>31386</v>
      </c>
      <c r="J14947" t="s">
        <v>35968</v>
      </c>
      <c r="K14947" t="s">
        <v>40792</v>
      </c>
      <c r="M14947" t="s">
        <v>41372</v>
      </c>
      <c r="N14947" t="s">
        <v>44905</v>
      </c>
      <c r="O14947" t="s">
        <v>44906</v>
      </c>
      <c r="Q14947">
        <v>0</v>
      </c>
      <c r="R14947" t="s">
        <v>44965</v>
      </c>
      <c r="S14947" t="s">
        <v>46175</v>
      </c>
      <c r="T14947" t="s">
        <v>46427</v>
      </c>
      <c r="U14947" t="s">
        <v>58838</v>
      </c>
      <c r="W14947" t="s">
        <v>41372</v>
      </c>
      <c r="X14947" t="s">
        <v>60995</v>
      </c>
    </row>
    <row r="14948" spans="1:24">
      <c r="A14948">
        <f>HYPERLINK("https://www.philgeps.gov.ph/GEPSNONPILOT/Tender/SplashBidNoticeAbstractUI.aspx?menuIndex=3&amp;refID=6957098&amp;Result=3","6957098")</f>
        <v>0</v>
      </c>
      <c r="B14948" t="s">
        <v>700</v>
      </c>
      <c r="C14948" t="s">
        <v>17843</v>
      </c>
      <c r="E14948" t="s">
        <v>31114</v>
      </c>
      <c r="F14948" t="s">
        <v>31362</v>
      </c>
      <c r="G14948" t="s">
        <v>31369</v>
      </c>
      <c r="H14948" t="s">
        <v>15799</v>
      </c>
      <c r="I14948" t="s">
        <v>31393</v>
      </c>
      <c r="J14948" t="s">
        <v>31557</v>
      </c>
      <c r="K14948" t="s">
        <v>40662</v>
      </c>
      <c r="M14948" t="s">
        <v>42641</v>
      </c>
      <c r="N14948" t="s">
        <v>44905</v>
      </c>
      <c r="O14948" t="s">
        <v>44906</v>
      </c>
      <c r="Q14948">
        <v>10</v>
      </c>
      <c r="R14948" t="s">
        <v>44964</v>
      </c>
      <c r="S14948" t="s">
        <v>46176</v>
      </c>
      <c r="T14948" t="s">
        <v>46490</v>
      </c>
      <c r="U14948" t="s">
        <v>58839</v>
      </c>
      <c r="W14948" t="s">
        <v>60915</v>
      </c>
      <c r="X14948" t="s">
        <v>44966</v>
      </c>
    </row>
    <row r="14949" spans="1:24">
      <c r="A14949">
        <f>HYPERLINK("https://www.philgeps.gov.ph/GEPSNONPILOT/Tender/SplashBidNoticeAbstractUI.aspx?menuIndex=3&amp;refID=6958253&amp;Result=3","6958253")</f>
        <v>0</v>
      </c>
      <c r="B14949" t="s">
        <v>516</v>
      </c>
      <c r="C14949" t="s">
        <v>17844</v>
      </c>
      <c r="D14949" t="s">
        <v>18136</v>
      </c>
      <c r="E14949" t="s">
        <v>31115</v>
      </c>
      <c r="F14949" t="s">
        <v>31362</v>
      </c>
      <c r="G14949" t="s">
        <v>31368</v>
      </c>
      <c r="H14949" t="s">
        <v>15799</v>
      </c>
      <c r="I14949" t="s">
        <v>7090</v>
      </c>
      <c r="J14949" t="s">
        <v>40519</v>
      </c>
      <c r="K14949" t="s">
        <v>40682</v>
      </c>
      <c r="M14949" t="s">
        <v>43558</v>
      </c>
      <c r="N14949" t="s">
        <v>44905</v>
      </c>
      <c r="O14949" t="s">
        <v>44906</v>
      </c>
      <c r="Q14949">
        <v>8</v>
      </c>
      <c r="R14949" t="s">
        <v>44967</v>
      </c>
      <c r="S14949" t="s">
        <v>46177</v>
      </c>
      <c r="T14949" t="s">
        <v>46409</v>
      </c>
      <c r="U14949" t="s">
        <v>58840</v>
      </c>
      <c r="W14949" t="s">
        <v>43558</v>
      </c>
      <c r="X14949" t="s">
        <v>60996</v>
      </c>
    </row>
    <row r="14950" spans="1:24">
      <c r="A14950">
        <f>HYPERLINK("https://www.philgeps.gov.ph/GEPSNONPILOT/Tender/SplashBidNoticeAbstractUI.aspx?menuIndex=3&amp;refID=6944601&amp;Result=3","6944601")</f>
        <v>0</v>
      </c>
      <c r="B14950" t="s">
        <v>1483</v>
      </c>
      <c r="C14950" t="s">
        <v>17845</v>
      </c>
      <c r="D14950" t="s">
        <v>18131</v>
      </c>
      <c r="E14950" t="s">
        <v>31116</v>
      </c>
      <c r="F14950" t="s">
        <v>31362</v>
      </c>
      <c r="G14950" t="s">
        <v>31369</v>
      </c>
      <c r="H14950" t="s">
        <v>31378</v>
      </c>
      <c r="I14950" t="s">
        <v>31386</v>
      </c>
      <c r="J14950" t="s">
        <v>37006</v>
      </c>
      <c r="K14950" t="s">
        <v>40686</v>
      </c>
      <c r="M14950" t="s">
        <v>42520</v>
      </c>
      <c r="N14950" t="s">
        <v>44905</v>
      </c>
      <c r="O14950" t="s">
        <v>44906</v>
      </c>
      <c r="Q14950">
        <v>8</v>
      </c>
      <c r="R14950" t="s">
        <v>44968</v>
      </c>
      <c r="S14950" t="s">
        <v>45457</v>
      </c>
      <c r="T14950" t="s">
        <v>46433</v>
      </c>
      <c r="U14950" t="s">
        <v>58841</v>
      </c>
      <c r="V14950" t="s">
        <v>59468</v>
      </c>
      <c r="W14950" t="s">
        <v>42520</v>
      </c>
      <c r="X14950" t="s">
        <v>44974</v>
      </c>
    </row>
    <row r="14951" spans="1:24">
      <c r="A14951">
        <f>HYPERLINK("https://www.philgeps.gov.ph/GEPSNONPILOT/Tender/SplashBidNoticeAbstractUI.aspx?menuIndex=3&amp;refID=6957747&amp;Result=3","6957747")</f>
        <v>0</v>
      </c>
      <c r="B14951" t="s">
        <v>421</v>
      </c>
      <c r="C14951" t="s">
        <v>17846</v>
      </c>
      <c r="D14951" t="s">
        <v>18133</v>
      </c>
      <c r="E14951" t="s">
        <v>31117</v>
      </c>
      <c r="F14951" t="s">
        <v>31362</v>
      </c>
      <c r="G14951" t="s">
        <v>31369</v>
      </c>
      <c r="H14951" t="s">
        <v>31378</v>
      </c>
      <c r="I14951" t="s">
        <v>31386</v>
      </c>
      <c r="J14951" t="s">
        <v>34023</v>
      </c>
      <c r="K14951" t="s">
        <v>40683</v>
      </c>
      <c r="M14951" t="s">
        <v>41372</v>
      </c>
      <c r="N14951" t="s">
        <v>44905</v>
      </c>
      <c r="O14951" t="s">
        <v>44906</v>
      </c>
      <c r="Q14951">
        <v>0</v>
      </c>
      <c r="R14951" t="s">
        <v>44964</v>
      </c>
      <c r="S14951" t="s">
        <v>45589</v>
      </c>
      <c r="T14951" t="s">
        <v>46538</v>
      </c>
      <c r="U14951" t="s">
        <v>58842</v>
      </c>
      <c r="W14951" t="s">
        <v>41372</v>
      </c>
      <c r="X14951" t="s">
        <v>44966</v>
      </c>
    </row>
    <row r="14952" spans="1:24">
      <c r="A14952">
        <f>HYPERLINK("https://www.philgeps.gov.ph/GEPSNONPILOT/Tender/SplashBidNoticeAbstractUI.aspx?menuIndex=3&amp;refID=6957199&amp;Result=3","6957199")</f>
        <v>0</v>
      </c>
      <c r="B14952" t="s">
        <v>421</v>
      </c>
      <c r="C14952" t="s">
        <v>17847</v>
      </c>
      <c r="D14952" t="s">
        <v>18133</v>
      </c>
      <c r="E14952" t="s">
        <v>31118</v>
      </c>
      <c r="F14952" t="s">
        <v>31362</v>
      </c>
      <c r="G14952" t="s">
        <v>31369</v>
      </c>
      <c r="H14952" t="s">
        <v>31378</v>
      </c>
      <c r="I14952" t="s">
        <v>31386</v>
      </c>
      <c r="J14952" t="s">
        <v>33743</v>
      </c>
      <c r="K14952" t="s">
        <v>40686</v>
      </c>
      <c r="M14952" t="s">
        <v>41372</v>
      </c>
      <c r="N14952" t="s">
        <v>44905</v>
      </c>
      <c r="O14952" t="s">
        <v>44906</v>
      </c>
      <c r="Q14952">
        <v>0</v>
      </c>
      <c r="R14952" t="s">
        <v>44964</v>
      </c>
      <c r="S14952" t="s">
        <v>46178</v>
      </c>
      <c r="T14952" t="s">
        <v>46538</v>
      </c>
      <c r="U14952" t="s">
        <v>58843</v>
      </c>
      <c r="W14952" t="s">
        <v>41372</v>
      </c>
      <c r="X14952" t="s">
        <v>44966</v>
      </c>
    </row>
    <row r="14953" spans="1:24">
      <c r="A14953">
        <f>HYPERLINK("https://www.philgeps.gov.ph/GEPSNONPILOT/Tender/SplashBidNoticeAbstractUI.aspx?menuIndex=3&amp;refID=6944561&amp;Result=3","6944561")</f>
        <v>0</v>
      </c>
      <c r="B14953" t="s">
        <v>1483</v>
      </c>
      <c r="C14953" t="s">
        <v>17848</v>
      </c>
      <c r="D14953" t="s">
        <v>18131</v>
      </c>
      <c r="E14953" t="s">
        <v>31119</v>
      </c>
      <c r="F14953" t="s">
        <v>31362</v>
      </c>
      <c r="G14953" t="s">
        <v>31369</v>
      </c>
      <c r="H14953" t="s">
        <v>31378</v>
      </c>
      <c r="I14953" t="s">
        <v>31386</v>
      </c>
      <c r="J14953" t="s">
        <v>37006</v>
      </c>
      <c r="K14953" t="s">
        <v>40686</v>
      </c>
      <c r="M14953" t="s">
        <v>42520</v>
      </c>
      <c r="N14953" t="s">
        <v>44905</v>
      </c>
      <c r="O14953" t="s">
        <v>44906</v>
      </c>
      <c r="Q14953">
        <v>7</v>
      </c>
      <c r="R14953" t="s">
        <v>44968</v>
      </c>
      <c r="S14953" t="s">
        <v>46179</v>
      </c>
      <c r="T14953" t="s">
        <v>46433</v>
      </c>
      <c r="U14953" t="s">
        <v>58841</v>
      </c>
      <c r="V14953" t="s">
        <v>59468</v>
      </c>
      <c r="W14953" t="s">
        <v>42520</v>
      </c>
      <c r="X14953" t="s">
        <v>44974</v>
      </c>
    </row>
    <row r="14954" spans="1:24">
      <c r="A14954">
        <f>HYPERLINK("https://www.philgeps.gov.ph/GEPSNONPILOT/Tender/SplashBidNoticeAbstractUI.aspx?menuIndex=3&amp;refID=6940081&amp;Result=3","6940081")</f>
        <v>0</v>
      </c>
      <c r="B14954" t="s">
        <v>115</v>
      </c>
      <c r="C14954" t="s">
        <v>17849</v>
      </c>
      <c r="D14954" t="s">
        <v>18138</v>
      </c>
      <c r="E14954" t="s">
        <v>31120</v>
      </c>
      <c r="F14954" t="s">
        <v>31362</v>
      </c>
      <c r="G14954" t="s">
        <v>31373</v>
      </c>
      <c r="H14954" t="s">
        <v>31378</v>
      </c>
      <c r="I14954" t="s">
        <v>31386</v>
      </c>
      <c r="J14954" t="s">
        <v>38302</v>
      </c>
      <c r="K14954" t="s">
        <v>40662</v>
      </c>
      <c r="L14954" t="s">
        <v>115</v>
      </c>
      <c r="M14954" t="s">
        <v>41052</v>
      </c>
      <c r="N14954" t="s">
        <v>44905</v>
      </c>
      <c r="O14954" t="s">
        <v>44906</v>
      </c>
      <c r="Q14954">
        <v>5</v>
      </c>
      <c r="R14954" t="s">
        <v>44968</v>
      </c>
      <c r="S14954" t="s">
        <v>46180</v>
      </c>
      <c r="T14954" t="s">
        <v>46411</v>
      </c>
      <c r="U14954" t="s">
        <v>58844</v>
      </c>
      <c r="W14954" t="s">
        <v>41052</v>
      </c>
      <c r="X14954" t="s">
        <v>44973</v>
      </c>
    </row>
    <row r="14955" spans="1:24">
      <c r="A14955">
        <f>HYPERLINK("https://www.philgeps.gov.ph/GEPSNONPILOT/Tender/SplashBidNoticeAbstractUI.aspx?menuIndex=3&amp;refID=6935087&amp;Result=3","6935087")</f>
        <v>0</v>
      </c>
      <c r="B14955" t="s">
        <v>750</v>
      </c>
      <c r="C14955" t="s">
        <v>17850</v>
      </c>
      <c r="E14955" t="s">
        <v>31121</v>
      </c>
      <c r="F14955" t="s">
        <v>31362</v>
      </c>
      <c r="G14955" t="s">
        <v>31369</v>
      </c>
      <c r="H14955" t="s">
        <v>31378</v>
      </c>
      <c r="I14955" t="s">
        <v>31386</v>
      </c>
      <c r="J14955" t="s">
        <v>36586</v>
      </c>
      <c r="K14955" t="s">
        <v>40662</v>
      </c>
      <c r="M14955" t="s">
        <v>44867</v>
      </c>
      <c r="N14955" t="s">
        <v>44905</v>
      </c>
      <c r="O14955" t="s">
        <v>44906</v>
      </c>
      <c r="Q14955">
        <v>0</v>
      </c>
      <c r="R14955" t="s">
        <v>44968</v>
      </c>
      <c r="S14955" t="s">
        <v>45638</v>
      </c>
      <c r="T14955" t="s">
        <v>46447</v>
      </c>
      <c r="U14955" t="s">
        <v>58845</v>
      </c>
      <c r="V14955" t="s">
        <v>60776</v>
      </c>
      <c r="W14955" t="s">
        <v>44867</v>
      </c>
      <c r="X14955" t="s">
        <v>44975</v>
      </c>
    </row>
    <row r="14956" spans="1:24">
      <c r="A14956">
        <f>HYPERLINK("https://www.philgeps.gov.ph/GEPSNONPILOT/Tender/SplashBidNoticeAbstractUI.aspx?menuIndex=3&amp;refID=6944575&amp;Result=3","6944575")</f>
        <v>0</v>
      </c>
      <c r="B14956" t="s">
        <v>1483</v>
      </c>
      <c r="C14956" t="s">
        <v>17851</v>
      </c>
      <c r="D14956" t="s">
        <v>18131</v>
      </c>
      <c r="E14956" t="s">
        <v>31122</v>
      </c>
      <c r="F14956" t="s">
        <v>31362</v>
      </c>
      <c r="G14956" t="s">
        <v>31369</v>
      </c>
      <c r="H14956" t="s">
        <v>31378</v>
      </c>
      <c r="I14956" t="s">
        <v>31386</v>
      </c>
      <c r="J14956" t="s">
        <v>37006</v>
      </c>
      <c r="K14956" t="s">
        <v>40686</v>
      </c>
      <c r="M14956" t="s">
        <v>42520</v>
      </c>
      <c r="N14956" t="s">
        <v>44905</v>
      </c>
      <c r="O14956" t="s">
        <v>44906</v>
      </c>
      <c r="Q14956">
        <v>7</v>
      </c>
      <c r="R14956" t="s">
        <v>44968</v>
      </c>
      <c r="S14956" t="s">
        <v>46181</v>
      </c>
      <c r="T14956" t="s">
        <v>46433</v>
      </c>
      <c r="U14956" t="s">
        <v>58841</v>
      </c>
      <c r="V14956" t="s">
        <v>59468</v>
      </c>
      <c r="W14956" t="s">
        <v>42520</v>
      </c>
      <c r="X14956" t="s">
        <v>44974</v>
      </c>
    </row>
    <row r="14957" spans="1:24">
      <c r="A14957">
        <f>HYPERLINK("https://www.philgeps.gov.ph/GEPSNONPILOT/Tender/SplashBidNoticeAbstractUI.aspx?menuIndex=3&amp;refID=6944587&amp;Result=3","6944587")</f>
        <v>0</v>
      </c>
      <c r="B14957" t="s">
        <v>1483</v>
      </c>
      <c r="C14957" t="s">
        <v>17852</v>
      </c>
      <c r="D14957" t="s">
        <v>18131</v>
      </c>
      <c r="E14957" t="s">
        <v>31123</v>
      </c>
      <c r="F14957" t="s">
        <v>31362</v>
      </c>
      <c r="G14957" t="s">
        <v>31369</v>
      </c>
      <c r="H14957" t="s">
        <v>31378</v>
      </c>
      <c r="I14957" t="s">
        <v>31386</v>
      </c>
      <c r="J14957" t="s">
        <v>40520</v>
      </c>
      <c r="K14957" t="s">
        <v>40950</v>
      </c>
      <c r="M14957" t="s">
        <v>42520</v>
      </c>
      <c r="N14957" t="s">
        <v>44905</v>
      </c>
      <c r="O14957" t="s">
        <v>44906</v>
      </c>
      <c r="Q14957">
        <v>4</v>
      </c>
      <c r="R14957" t="s">
        <v>44968</v>
      </c>
      <c r="S14957" t="s">
        <v>46182</v>
      </c>
      <c r="T14957" t="s">
        <v>46433</v>
      </c>
      <c r="U14957" t="s">
        <v>58841</v>
      </c>
      <c r="V14957" t="s">
        <v>59468</v>
      </c>
      <c r="W14957" t="s">
        <v>42520</v>
      </c>
      <c r="X14957" t="s">
        <v>44974</v>
      </c>
    </row>
    <row r="14958" spans="1:24">
      <c r="A14958">
        <f>HYPERLINK("https://www.philgeps.gov.ph/GEPSNONPILOT/Tender/SplashBidNoticeAbstractUI.aspx?menuIndex=3&amp;refID=6933745&amp;Result=3","6933745")</f>
        <v>0</v>
      </c>
      <c r="B14958" t="s">
        <v>750</v>
      </c>
      <c r="C14958" t="s">
        <v>17853</v>
      </c>
      <c r="E14958" t="s">
        <v>31124</v>
      </c>
      <c r="F14958" t="s">
        <v>31362</v>
      </c>
      <c r="G14958" t="s">
        <v>31369</v>
      </c>
      <c r="H14958" t="s">
        <v>31378</v>
      </c>
      <c r="I14958" t="s">
        <v>31386</v>
      </c>
      <c r="J14958" t="s">
        <v>37811</v>
      </c>
      <c r="K14958" t="s">
        <v>40662</v>
      </c>
      <c r="M14958" t="s">
        <v>44867</v>
      </c>
      <c r="N14958" t="s">
        <v>44905</v>
      </c>
      <c r="O14958" t="s">
        <v>44906</v>
      </c>
      <c r="Q14958">
        <v>2</v>
      </c>
      <c r="R14958" t="s">
        <v>44968</v>
      </c>
      <c r="S14958" t="s">
        <v>46183</v>
      </c>
      <c r="T14958" t="s">
        <v>46447</v>
      </c>
      <c r="U14958" t="s">
        <v>58846</v>
      </c>
      <c r="V14958" t="s">
        <v>60777</v>
      </c>
      <c r="W14958" t="s">
        <v>44867</v>
      </c>
      <c r="X14958" t="s">
        <v>44975</v>
      </c>
    </row>
    <row r="14959" spans="1:24">
      <c r="A14959">
        <f>HYPERLINK("https://www.philgeps.gov.ph/GEPSNONPILOT/Tender/SplashBidNoticeAbstractUI.aspx?menuIndex=3&amp;refID=6945040&amp;Result=3","6945040")</f>
        <v>0</v>
      </c>
      <c r="B14959" t="s">
        <v>3515</v>
      </c>
      <c r="C14959" t="s">
        <v>17854</v>
      </c>
      <c r="D14959" t="s">
        <v>18170</v>
      </c>
      <c r="E14959" t="s">
        <v>31125</v>
      </c>
      <c r="F14959" t="s">
        <v>31362</v>
      </c>
      <c r="G14959" t="s">
        <v>31369</v>
      </c>
      <c r="H14959" t="s">
        <v>15799</v>
      </c>
      <c r="I14959" t="s">
        <v>7719</v>
      </c>
      <c r="J14959" t="s">
        <v>31709</v>
      </c>
      <c r="K14959" t="s">
        <v>40665</v>
      </c>
      <c r="M14959" t="s">
        <v>44871</v>
      </c>
      <c r="N14959" t="s">
        <v>44905</v>
      </c>
      <c r="O14959" t="s">
        <v>44906</v>
      </c>
      <c r="Q14959">
        <v>32</v>
      </c>
      <c r="R14959" t="s">
        <v>44969</v>
      </c>
      <c r="S14959" t="s">
        <v>46184</v>
      </c>
      <c r="T14959" t="s">
        <v>46516</v>
      </c>
      <c r="U14959" t="s">
        <v>58847</v>
      </c>
      <c r="W14959" t="s">
        <v>44871</v>
      </c>
      <c r="X14959" t="s">
        <v>44968</v>
      </c>
    </row>
    <row r="14960" spans="1:24">
      <c r="A14960">
        <f>HYPERLINK("https://www.philgeps.gov.ph/GEPSNONPILOT/Tender/SplashBidNoticeAbstractUI.aspx?menuIndex=3&amp;refID=6947100&amp;Result=3","6947100")</f>
        <v>0</v>
      </c>
      <c r="B14960" t="s">
        <v>2401</v>
      </c>
      <c r="C14960" t="s">
        <v>17855</v>
      </c>
      <c r="D14960" t="s">
        <v>18134</v>
      </c>
      <c r="E14960" t="s">
        <v>31126</v>
      </c>
      <c r="F14960" t="s">
        <v>31362</v>
      </c>
      <c r="G14960" t="s">
        <v>31369</v>
      </c>
      <c r="H14960" t="s">
        <v>31377</v>
      </c>
      <c r="I14960" t="s">
        <v>31377</v>
      </c>
      <c r="J14960" t="s">
        <v>40521</v>
      </c>
      <c r="K14960" t="s">
        <v>40686</v>
      </c>
      <c r="M14960" t="s">
        <v>44214</v>
      </c>
      <c r="N14960" t="s">
        <v>44905</v>
      </c>
      <c r="O14960" t="s">
        <v>44906</v>
      </c>
      <c r="Q14960">
        <v>2</v>
      </c>
      <c r="R14960" t="s">
        <v>44970</v>
      </c>
      <c r="S14960" t="s">
        <v>46185</v>
      </c>
      <c r="T14960" t="s">
        <v>46435</v>
      </c>
      <c r="U14960" t="s">
        <v>58848</v>
      </c>
      <c r="W14960" t="s">
        <v>44214</v>
      </c>
      <c r="X14960" t="s">
        <v>44969</v>
      </c>
    </row>
    <row r="14961" spans="1:24">
      <c r="A14961">
        <f>HYPERLINK("https://www.philgeps.gov.ph/GEPSNONPILOT/Tender/SplashBidNoticeAbstractUI.aspx?menuIndex=3&amp;refID=6935034&amp;Result=3","6935034")</f>
        <v>0</v>
      </c>
      <c r="B14961" t="s">
        <v>750</v>
      </c>
      <c r="C14961" t="s">
        <v>17856</v>
      </c>
      <c r="E14961" t="s">
        <v>31127</v>
      </c>
      <c r="F14961" t="s">
        <v>31362</v>
      </c>
      <c r="G14961" t="s">
        <v>31369</v>
      </c>
      <c r="H14961" t="s">
        <v>31378</v>
      </c>
      <c r="I14961" t="s">
        <v>31386</v>
      </c>
      <c r="J14961" t="s">
        <v>36620</v>
      </c>
      <c r="K14961" t="s">
        <v>40662</v>
      </c>
      <c r="M14961" t="s">
        <v>44867</v>
      </c>
      <c r="N14961" t="s">
        <v>44905</v>
      </c>
      <c r="O14961" t="s">
        <v>44906</v>
      </c>
      <c r="Q14961">
        <v>0</v>
      </c>
      <c r="R14961" t="s">
        <v>44968</v>
      </c>
      <c r="S14961" t="s">
        <v>46186</v>
      </c>
      <c r="T14961" t="s">
        <v>46447</v>
      </c>
      <c r="U14961" t="s">
        <v>58849</v>
      </c>
      <c r="V14961" t="s">
        <v>60778</v>
      </c>
      <c r="W14961" t="s">
        <v>44867</v>
      </c>
      <c r="X14961" t="s">
        <v>44975</v>
      </c>
    </row>
    <row r="14962" spans="1:24">
      <c r="A14962">
        <f>HYPERLINK("https://www.philgeps.gov.ph/GEPSNONPILOT/Tender/SplashBidNoticeAbstractUI.aspx?menuIndex=3&amp;refID=6974036&amp;Result=3","6974036")</f>
        <v>0</v>
      </c>
      <c r="B14962" t="s">
        <v>393</v>
      </c>
      <c r="C14962" t="s">
        <v>17857</v>
      </c>
      <c r="D14962" t="s">
        <v>18122</v>
      </c>
      <c r="E14962" t="s">
        <v>31128</v>
      </c>
      <c r="F14962" t="s">
        <v>31362</v>
      </c>
      <c r="G14962" t="s">
        <v>31371</v>
      </c>
      <c r="H14962" t="s">
        <v>15799</v>
      </c>
      <c r="I14962" t="s">
        <v>31385</v>
      </c>
      <c r="J14962" t="s">
        <v>31545</v>
      </c>
      <c r="K14962" t="s">
        <v>40677</v>
      </c>
      <c r="M14962" t="s">
        <v>41341</v>
      </c>
      <c r="N14962" t="s">
        <v>44905</v>
      </c>
      <c r="O14962" t="s">
        <v>44906</v>
      </c>
      <c r="Q14962">
        <v>4</v>
      </c>
      <c r="R14962" t="s">
        <v>44960</v>
      </c>
      <c r="S14962" t="s">
        <v>46187</v>
      </c>
      <c r="T14962" t="s">
        <v>46409</v>
      </c>
      <c r="U14962" t="s">
        <v>58850</v>
      </c>
      <c r="W14962" t="s">
        <v>41341</v>
      </c>
      <c r="X14962" t="s">
        <v>60989</v>
      </c>
    </row>
    <row r="14963" spans="1:24">
      <c r="A14963">
        <f>HYPERLINK("https://www.philgeps.gov.ph/GEPSNONPILOT/Tender/SplashBidNoticeAbstractUI.aspx?menuIndex=3&amp;refID=6933623&amp;Result=3","6933623")</f>
        <v>0</v>
      </c>
      <c r="B14963" t="s">
        <v>1796</v>
      </c>
      <c r="C14963" t="s">
        <v>6613</v>
      </c>
      <c r="D14963" t="s">
        <v>18108</v>
      </c>
      <c r="E14963" t="s">
        <v>31129</v>
      </c>
      <c r="F14963" t="s">
        <v>31362</v>
      </c>
      <c r="G14963" t="s">
        <v>31368</v>
      </c>
      <c r="H14963" t="s">
        <v>15799</v>
      </c>
      <c r="I14963" t="s">
        <v>6373</v>
      </c>
      <c r="J14963" t="s">
        <v>35225</v>
      </c>
      <c r="K14963" t="s">
        <v>40666</v>
      </c>
      <c r="M14963" t="s">
        <v>42878</v>
      </c>
      <c r="N14963" t="s">
        <v>44905</v>
      </c>
      <c r="O14963" t="s">
        <v>44906</v>
      </c>
      <c r="Q14963">
        <v>5</v>
      </c>
      <c r="R14963" t="s">
        <v>44971</v>
      </c>
      <c r="S14963" t="s">
        <v>46188</v>
      </c>
      <c r="T14963" t="s">
        <v>46480</v>
      </c>
      <c r="U14963" t="s">
        <v>58851</v>
      </c>
      <c r="W14963" t="s">
        <v>42878</v>
      </c>
      <c r="X14963" t="s">
        <v>44975</v>
      </c>
    </row>
    <row r="14964" spans="1:24">
      <c r="A14964">
        <f>HYPERLINK("https://www.philgeps.gov.ph/GEPSNONPILOT/Tender/SplashBidNoticeAbstractUI.aspx?menuIndex=3&amp;refID=6933139&amp;Result=3","6933139")</f>
        <v>0</v>
      </c>
      <c r="B14964" t="s">
        <v>2412</v>
      </c>
      <c r="C14964" t="s">
        <v>17858</v>
      </c>
      <c r="D14964" t="s">
        <v>18114</v>
      </c>
      <c r="E14964" t="s">
        <v>31130</v>
      </c>
      <c r="F14964" t="s">
        <v>31362</v>
      </c>
      <c r="G14964" t="s">
        <v>31369</v>
      </c>
      <c r="H14964" t="s">
        <v>15799</v>
      </c>
      <c r="I14964" t="s">
        <v>31496</v>
      </c>
      <c r="J14964" t="s">
        <v>40522</v>
      </c>
      <c r="K14964" t="s">
        <v>40662</v>
      </c>
      <c r="M14964" t="s">
        <v>44614</v>
      </c>
      <c r="N14964" t="s">
        <v>44905</v>
      </c>
      <c r="O14964" t="s">
        <v>44906</v>
      </c>
      <c r="Q14964">
        <v>8</v>
      </c>
      <c r="R14964" t="s">
        <v>44971</v>
      </c>
      <c r="S14964" t="s">
        <v>46189</v>
      </c>
      <c r="T14964" t="s">
        <v>46507</v>
      </c>
      <c r="U14964" t="s">
        <v>58852</v>
      </c>
      <c r="V14964" t="s">
        <v>60508</v>
      </c>
      <c r="W14964" t="s">
        <v>44614</v>
      </c>
      <c r="X14964" t="s">
        <v>44975</v>
      </c>
    </row>
    <row r="14965" spans="1:24">
      <c r="A14965">
        <f>HYPERLINK("https://www.philgeps.gov.ph/GEPSNONPILOT/Tender/SplashBidNoticeAbstractUI.aspx?menuIndex=3&amp;refID=6929936&amp;Result=3","6929936")</f>
        <v>0</v>
      </c>
      <c r="B14965" t="s">
        <v>700</v>
      </c>
      <c r="C14965" t="s">
        <v>17859</v>
      </c>
      <c r="E14965" t="s">
        <v>31131</v>
      </c>
      <c r="F14965" t="s">
        <v>31362</v>
      </c>
      <c r="G14965" t="s">
        <v>31369</v>
      </c>
      <c r="H14965" t="s">
        <v>15799</v>
      </c>
      <c r="I14965" t="s">
        <v>31388</v>
      </c>
      <c r="J14965" t="s">
        <v>40523</v>
      </c>
      <c r="K14965" t="s">
        <v>40662</v>
      </c>
      <c r="M14965" t="s">
        <v>41665</v>
      </c>
      <c r="N14965" t="s">
        <v>44905</v>
      </c>
      <c r="O14965" t="s">
        <v>44906</v>
      </c>
      <c r="Q14965">
        <v>6</v>
      </c>
      <c r="R14965" t="s">
        <v>44971</v>
      </c>
      <c r="S14965" t="s">
        <v>46190</v>
      </c>
      <c r="T14965" t="s">
        <v>46396</v>
      </c>
      <c r="U14965" t="s">
        <v>58853</v>
      </c>
      <c r="V14965" t="s">
        <v>60779</v>
      </c>
      <c r="W14965" t="s">
        <v>60977</v>
      </c>
      <c r="X14965" t="s">
        <v>44976</v>
      </c>
    </row>
    <row r="14966" spans="1:24">
      <c r="A14966">
        <f>HYPERLINK("https://www.philgeps.gov.ph/GEPSNONPILOT/Tender/SplashBidNoticeAbstractUI.aspx?menuIndex=3&amp;refID=6877479-2&amp;Result=3","6877479-2")</f>
        <v>0</v>
      </c>
      <c r="B14966" t="s">
        <v>2401</v>
      </c>
      <c r="C14966" t="s">
        <v>17860</v>
      </c>
      <c r="D14966" t="s">
        <v>18105</v>
      </c>
      <c r="E14966" t="s">
        <v>31132</v>
      </c>
      <c r="F14966" t="s">
        <v>31362</v>
      </c>
      <c r="G14966" t="s">
        <v>31369</v>
      </c>
      <c r="H14966" t="s">
        <v>31377</v>
      </c>
      <c r="I14966" t="s">
        <v>31377</v>
      </c>
      <c r="J14966" t="s">
        <v>40524</v>
      </c>
      <c r="K14966" t="s">
        <v>40678</v>
      </c>
      <c r="M14966" t="s">
        <v>44214</v>
      </c>
      <c r="N14966" t="s">
        <v>44905</v>
      </c>
      <c r="O14966" t="s">
        <v>44906</v>
      </c>
      <c r="Q14966">
        <v>1</v>
      </c>
      <c r="R14966" t="s">
        <v>44970</v>
      </c>
      <c r="S14966" t="s">
        <v>45896</v>
      </c>
      <c r="T14966" t="s">
        <v>46435</v>
      </c>
      <c r="U14966" t="s">
        <v>58854</v>
      </c>
      <c r="W14966" t="s">
        <v>44214</v>
      </c>
      <c r="X14966" t="s">
        <v>44969</v>
      </c>
    </row>
    <row r="14967" spans="1:24">
      <c r="A14967">
        <f>HYPERLINK("https://www.philgeps.gov.ph/GEPSNONPILOT/Tender/SplashBidNoticeAbstractUI.aspx?menuIndex=3&amp;refID=6917834&amp;Result=3","6917834")</f>
        <v>0</v>
      </c>
      <c r="B14967" t="s">
        <v>48</v>
      </c>
      <c r="C14967" t="s">
        <v>17861</v>
      </c>
      <c r="D14967" t="s">
        <v>18117</v>
      </c>
      <c r="E14967" t="s">
        <v>31133</v>
      </c>
      <c r="F14967" t="s">
        <v>31362</v>
      </c>
      <c r="G14967" t="s">
        <v>31369</v>
      </c>
      <c r="H14967" t="s">
        <v>15799</v>
      </c>
      <c r="I14967" t="s">
        <v>12925</v>
      </c>
      <c r="J14967" t="s">
        <v>38591</v>
      </c>
      <c r="K14967" t="s">
        <v>40899</v>
      </c>
      <c r="M14967" t="s">
        <v>40982</v>
      </c>
      <c r="N14967" t="s">
        <v>44905</v>
      </c>
      <c r="O14967" t="s">
        <v>44906</v>
      </c>
      <c r="Q14967">
        <v>3</v>
      </c>
      <c r="R14967" t="s">
        <v>44971</v>
      </c>
      <c r="S14967" t="s">
        <v>46191</v>
      </c>
      <c r="T14967" t="s">
        <v>46625</v>
      </c>
      <c r="U14967" t="s">
        <v>58855</v>
      </c>
      <c r="V14967" t="s">
        <v>59231</v>
      </c>
      <c r="W14967" t="s">
        <v>40982</v>
      </c>
      <c r="X14967" t="s">
        <v>44982</v>
      </c>
    </row>
    <row r="14968" spans="1:24">
      <c r="A14968">
        <f>HYPERLINK("https://www.philgeps.gov.ph/GEPSNONPILOT/Tender/SplashBidNoticeAbstractUI.aspx?menuIndex=3&amp;refID=6938806&amp;Result=3","6938806")</f>
        <v>0</v>
      </c>
      <c r="B14968" t="s">
        <v>421</v>
      </c>
      <c r="C14968" t="s">
        <v>17862</v>
      </c>
      <c r="D14968" t="s">
        <v>18133</v>
      </c>
      <c r="E14968" t="s">
        <v>31134</v>
      </c>
      <c r="F14968" t="s">
        <v>31362</v>
      </c>
      <c r="G14968" t="s">
        <v>31369</v>
      </c>
      <c r="H14968" t="s">
        <v>31378</v>
      </c>
      <c r="I14968" t="s">
        <v>31386</v>
      </c>
      <c r="J14968" t="s">
        <v>33743</v>
      </c>
      <c r="K14968" t="s">
        <v>40679</v>
      </c>
      <c r="M14968" t="s">
        <v>41372</v>
      </c>
      <c r="N14968" t="s">
        <v>44905</v>
      </c>
      <c r="O14968" t="s">
        <v>44906</v>
      </c>
      <c r="Q14968">
        <v>0</v>
      </c>
      <c r="R14968" t="s">
        <v>44972</v>
      </c>
      <c r="S14968" t="s">
        <v>46192</v>
      </c>
      <c r="T14968" t="s">
        <v>46427</v>
      </c>
      <c r="U14968" t="s">
        <v>58856</v>
      </c>
      <c r="W14968" t="s">
        <v>41372</v>
      </c>
      <c r="X14968" t="s">
        <v>44971</v>
      </c>
    </row>
    <row r="14969" spans="1:24">
      <c r="A14969">
        <f>HYPERLINK("https://www.philgeps.gov.ph/GEPSNONPILOT/Tender/SplashBidNoticeAbstractUI.aspx?menuIndex=3&amp;refID=6974098&amp;Result=3","6974098")</f>
        <v>0</v>
      </c>
      <c r="B14969" t="s">
        <v>393</v>
      </c>
      <c r="C14969" t="s">
        <v>17863</v>
      </c>
      <c r="D14969" t="s">
        <v>18135</v>
      </c>
      <c r="E14969" t="s">
        <v>31135</v>
      </c>
      <c r="F14969" t="s">
        <v>31362</v>
      </c>
      <c r="G14969" t="s">
        <v>31368</v>
      </c>
      <c r="H14969" t="s">
        <v>15799</v>
      </c>
      <c r="I14969" t="s">
        <v>31455</v>
      </c>
      <c r="J14969" t="s">
        <v>31987</v>
      </c>
      <c r="K14969" t="s">
        <v>40665</v>
      </c>
      <c r="M14969" t="s">
        <v>41341</v>
      </c>
      <c r="N14969" t="s">
        <v>44905</v>
      </c>
      <c r="O14969" t="s">
        <v>44906</v>
      </c>
      <c r="Q14969">
        <v>0</v>
      </c>
      <c r="R14969" t="s">
        <v>44960</v>
      </c>
      <c r="S14969" t="s">
        <v>45858</v>
      </c>
      <c r="T14969" t="s">
        <v>46409</v>
      </c>
      <c r="U14969" t="s">
        <v>58857</v>
      </c>
      <c r="W14969" t="s">
        <v>41341</v>
      </c>
      <c r="X14969" t="s">
        <v>60989</v>
      </c>
    </row>
    <row r="14970" spans="1:24">
      <c r="A14970">
        <f>HYPERLINK("https://www.philgeps.gov.ph/GEPSNONPILOT/Tender/SplashBidNoticeAbstractUI.aspx?menuIndex=3&amp;refID=6938859&amp;Result=3","6938859")</f>
        <v>0</v>
      </c>
      <c r="B14970" t="s">
        <v>421</v>
      </c>
      <c r="C14970" t="s">
        <v>17864</v>
      </c>
      <c r="D14970" t="s">
        <v>18133</v>
      </c>
      <c r="E14970" t="s">
        <v>31136</v>
      </c>
      <c r="F14970" t="s">
        <v>31362</v>
      </c>
      <c r="G14970" t="s">
        <v>31369</v>
      </c>
      <c r="H14970" t="s">
        <v>31378</v>
      </c>
      <c r="I14970" t="s">
        <v>31386</v>
      </c>
      <c r="J14970" t="s">
        <v>33743</v>
      </c>
      <c r="K14970" t="s">
        <v>40679</v>
      </c>
      <c r="M14970" t="s">
        <v>41372</v>
      </c>
      <c r="N14970" t="s">
        <v>44905</v>
      </c>
      <c r="O14970" t="s">
        <v>44906</v>
      </c>
      <c r="Q14970">
        <v>0</v>
      </c>
      <c r="R14970" t="s">
        <v>44972</v>
      </c>
      <c r="S14970" t="s">
        <v>46193</v>
      </c>
      <c r="T14970" t="s">
        <v>46427</v>
      </c>
      <c r="U14970" t="s">
        <v>58858</v>
      </c>
      <c r="W14970" t="s">
        <v>41372</v>
      </c>
      <c r="X14970" t="s">
        <v>44971</v>
      </c>
    </row>
    <row r="14971" spans="1:24">
      <c r="A14971">
        <f>HYPERLINK("https://www.philgeps.gov.ph/GEPSNONPILOT/Tender/SplashBidNoticeAbstractUI.aspx?menuIndex=3&amp;refID=6933248&amp;Result=3","6933248")</f>
        <v>0</v>
      </c>
      <c r="B14971" t="s">
        <v>180</v>
      </c>
      <c r="C14971" t="s">
        <v>17865</v>
      </c>
      <c r="D14971" t="s">
        <v>18112</v>
      </c>
      <c r="E14971" t="s">
        <v>31137</v>
      </c>
      <c r="F14971" t="s">
        <v>31362</v>
      </c>
      <c r="G14971" t="s">
        <v>31368</v>
      </c>
      <c r="H14971" t="s">
        <v>15799</v>
      </c>
      <c r="I14971" t="s">
        <v>31386</v>
      </c>
      <c r="J14971" t="s">
        <v>40525</v>
      </c>
      <c r="K14971" t="s">
        <v>40680</v>
      </c>
      <c r="M14971" t="s">
        <v>41118</v>
      </c>
      <c r="N14971" t="s">
        <v>44905</v>
      </c>
      <c r="O14971" t="s">
        <v>44906</v>
      </c>
      <c r="Q14971">
        <v>0</v>
      </c>
      <c r="R14971" t="s">
        <v>44971</v>
      </c>
      <c r="S14971" t="s">
        <v>46194</v>
      </c>
      <c r="T14971" t="s">
        <v>46415</v>
      </c>
      <c r="U14971" t="s">
        <v>58859</v>
      </c>
      <c r="W14971" t="s">
        <v>41118</v>
      </c>
      <c r="X14971" t="s">
        <v>44975</v>
      </c>
    </row>
    <row r="14972" spans="1:24">
      <c r="A14972">
        <f>HYPERLINK("https://www.philgeps.gov.ph/GEPSNONPILOT/Tender/SplashBidNoticeAbstractUI.aspx?menuIndex=3&amp;refID=6939748&amp;Result=3","6939748")</f>
        <v>0</v>
      </c>
      <c r="B14972" t="s">
        <v>249</v>
      </c>
      <c r="C14972" t="s">
        <v>17866</v>
      </c>
      <c r="D14972" t="s">
        <v>18110</v>
      </c>
      <c r="E14972" t="s">
        <v>31138</v>
      </c>
      <c r="F14972" t="s">
        <v>31362</v>
      </c>
      <c r="G14972" t="s">
        <v>31369</v>
      </c>
      <c r="H14972" t="s">
        <v>31378</v>
      </c>
      <c r="I14972" t="s">
        <v>31386</v>
      </c>
      <c r="J14972" t="s">
        <v>40526</v>
      </c>
      <c r="K14972" t="s">
        <v>40683</v>
      </c>
      <c r="M14972" t="s">
        <v>44030</v>
      </c>
      <c r="N14972" t="s">
        <v>44905</v>
      </c>
      <c r="O14972" t="s">
        <v>44906</v>
      </c>
      <c r="Q14972">
        <v>4</v>
      </c>
      <c r="R14972" t="s">
        <v>44973</v>
      </c>
      <c r="S14972" t="s">
        <v>45428</v>
      </c>
      <c r="T14972" t="s">
        <v>46907</v>
      </c>
      <c r="U14972" t="s">
        <v>58860</v>
      </c>
      <c r="W14972" t="s">
        <v>44030</v>
      </c>
      <c r="X14972" t="s">
        <v>60997</v>
      </c>
    </row>
    <row r="14973" spans="1:24">
      <c r="A14973">
        <f>HYPERLINK("https://www.philgeps.gov.ph/GEPSNONPILOT/Tender/SplashBidNoticeAbstractUI.aspx?menuIndex=3&amp;refID=6938754&amp;Result=3","6938754")</f>
        <v>0</v>
      </c>
      <c r="B14973" t="s">
        <v>1579</v>
      </c>
      <c r="C14973" t="s">
        <v>17867</v>
      </c>
      <c r="D14973" t="s">
        <v>18117</v>
      </c>
      <c r="E14973" t="s">
        <v>31139</v>
      </c>
      <c r="F14973" t="s">
        <v>31362</v>
      </c>
      <c r="G14973" t="s">
        <v>31368</v>
      </c>
      <c r="H14973" t="s">
        <v>15799</v>
      </c>
      <c r="I14973" t="s">
        <v>31422</v>
      </c>
      <c r="J14973" t="s">
        <v>31578</v>
      </c>
      <c r="K14973" t="s">
        <v>40666</v>
      </c>
      <c r="M14973" t="s">
        <v>42633</v>
      </c>
      <c r="N14973" t="s">
        <v>44905</v>
      </c>
      <c r="O14973" t="s">
        <v>44906</v>
      </c>
      <c r="Q14973">
        <v>4</v>
      </c>
      <c r="R14973" t="s">
        <v>44973</v>
      </c>
      <c r="S14973" t="s">
        <v>46195</v>
      </c>
      <c r="T14973" t="s">
        <v>46394</v>
      </c>
      <c r="U14973" t="s">
        <v>58861</v>
      </c>
      <c r="W14973" t="s">
        <v>42633</v>
      </c>
      <c r="X14973" t="s">
        <v>44971</v>
      </c>
    </row>
    <row r="14974" spans="1:24">
      <c r="A14974">
        <f>HYPERLINK("https://www.philgeps.gov.ph/GEPSNONPILOT/Tender/SplashBidNoticeAbstractUI.aspx?menuIndex=3&amp;refID=6938600&amp;Result=3","6938600")</f>
        <v>0</v>
      </c>
      <c r="B14974" t="s">
        <v>3516</v>
      </c>
      <c r="C14974" t="s">
        <v>17868</v>
      </c>
      <c r="E14974" t="s">
        <v>31140</v>
      </c>
      <c r="F14974" t="s">
        <v>31362</v>
      </c>
      <c r="G14974" t="s">
        <v>31369</v>
      </c>
      <c r="H14974" t="s">
        <v>31379</v>
      </c>
      <c r="I14974" t="s">
        <v>12925</v>
      </c>
      <c r="J14974" t="s">
        <v>40527</v>
      </c>
      <c r="K14974" t="s">
        <v>40741</v>
      </c>
      <c r="M14974" t="s">
        <v>44872</v>
      </c>
      <c r="N14974" t="s">
        <v>44905</v>
      </c>
      <c r="O14974" t="s">
        <v>44906</v>
      </c>
      <c r="Q14974">
        <v>2</v>
      </c>
      <c r="R14974" t="s">
        <v>44973</v>
      </c>
      <c r="S14974" t="s">
        <v>46196</v>
      </c>
      <c r="T14974" t="s">
        <v>46483</v>
      </c>
      <c r="U14974" t="s">
        <v>58862</v>
      </c>
      <c r="W14974" t="s">
        <v>44872</v>
      </c>
      <c r="X14974" t="s">
        <v>44971</v>
      </c>
    </row>
    <row r="14975" spans="1:24">
      <c r="A14975">
        <f>HYPERLINK("https://www.philgeps.gov.ph/GEPSNONPILOT/Tender/SplashBidNoticeAbstractUI.aspx?menuIndex=3&amp;refID=6942382&amp;Result=3","6942382")</f>
        <v>0</v>
      </c>
      <c r="B14975" t="s">
        <v>3517</v>
      </c>
      <c r="C14975" t="s">
        <v>17869</v>
      </c>
      <c r="D14975" t="s">
        <v>18106</v>
      </c>
      <c r="E14975" t="s">
        <v>31141</v>
      </c>
      <c r="F14975" t="s">
        <v>31362</v>
      </c>
      <c r="G14975" t="s">
        <v>31369</v>
      </c>
      <c r="H14975" t="s">
        <v>31378</v>
      </c>
      <c r="I14975" t="s">
        <v>31386</v>
      </c>
      <c r="J14975" t="s">
        <v>38748</v>
      </c>
      <c r="K14975" t="s">
        <v>40692</v>
      </c>
      <c r="M14975" t="s">
        <v>44873</v>
      </c>
      <c r="N14975" t="s">
        <v>44905</v>
      </c>
      <c r="O14975" t="s">
        <v>44906</v>
      </c>
      <c r="Q14975">
        <v>8</v>
      </c>
      <c r="R14975" t="s">
        <v>44974</v>
      </c>
      <c r="S14975" t="s">
        <v>46197</v>
      </c>
      <c r="T14975" t="s">
        <v>46481</v>
      </c>
      <c r="U14975" t="s">
        <v>58863</v>
      </c>
      <c r="W14975" t="s">
        <v>44873</v>
      </c>
      <c r="X14975" t="s">
        <v>44973</v>
      </c>
    </row>
    <row r="14976" spans="1:24">
      <c r="A14976">
        <f>HYPERLINK("https://www.philgeps.gov.ph/GEPSNONPILOT/Tender/SplashBidNoticeAbstractUI.aspx?menuIndex=3&amp;refID=6942366&amp;Result=3","6942366")</f>
        <v>0</v>
      </c>
      <c r="B14976" t="s">
        <v>1676</v>
      </c>
      <c r="C14976" t="s">
        <v>17870</v>
      </c>
      <c r="D14976" t="s">
        <v>18139</v>
      </c>
      <c r="E14976" t="s">
        <v>31142</v>
      </c>
      <c r="F14976" t="s">
        <v>31362</v>
      </c>
      <c r="G14976" t="s">
        <v>31369</v>
      </c>
      <c r="H14976" t="s">
        <v>31378</v>
      </c>
      <c r="I14976" t="s">
        <v>31386</v>
      </c>
      <c r="J14976" t="s">
        <v>34081</v>
      </c>
      <c r="K14976" t="s">
        <v>40686</v>
      </c>
      <c r="M14976" t="s">
        <v>42741</v>
      </c>
      <c r="N14976" t="s">
        <v>44905</v>
      </c>
      <c r="O14976" t="s">
        <v>44906</v>
      </c>
      <c r="Q14976">
        <v>4</v>
      </c>
      <c r="R14976" t="s">
        <v>44974</v>
      </c>
      <c r="S14976" t="s">
        <v>46198</v>
      </c>
      <c r="T14976" t="s">
        <v>46409</v>
      </c>
      <c r="U14976" t="s">
        <v>58864</v>
      </c>
      <c r="V14976" t="s">
        <v>60780</v>
      </c>
      <c r="W14976" t="s">
        <v>60921</v>
      </c>
      <c r="X14976" t="s">
        <v>44973</v>
      </c>
    </row>
    <row r="14977" spans="1:24">
      <c r="A14977">
        <f>HYPERLINK("https://www.philgeps.gov.ph/GEPSNONPILOT/Tender/SplashBidNoticeAbstractUI.aspx?menuIndex=3&amp;refID=6942357&amp;Result=3","6942357")</f>
        <v>0</v>
      </c>
      <c r="B14977" t="s">
        <v>1676</v>
      </c>
      <c r="C14977" t="s">
        <v>17871</v>
      </c>
      <c r="D14977" t="s">
        <v>18139</v>
      </c>
      <c r="E14977" t="s">
        <v>31143</v>
      </c>
      <c r="F14977" t="s">
        <v>31362</v>
      </c>
      <c r="G14977" t="s">
        <v>31369</v>
      </c>
      <c r="H14977" t="s">
        <v>31378</v>
      </c>
      <c r="I14977" t="s">
        <v>31386</v>
      </c>
      <c r="J14977" t="s">
        <v>37006</v>
      </c>
      <c r="K14977" t="s">
        <v>40686</v>
      </c>
      <c r="M14977" t="s">
        <v>42741</v>
      </c>
      <c r="N14977" t="s">
        <v>44905</v>
      </c>
      <c r="O14977" t="s">
        <v>44906</v>
      </c>
      <c r="Q14977">
        <v>5</v>
      </c>
      <c r="R14977" t="s">
        <v>44974</v>
      </c>
      <c r="S14977" t="s">
        <v>46199</v>
      </c>
      <c r="T14977" t="s">
        <v>46409</v>
      </c>
      <c r="U14977" t="s">
        <v>58865</v>
      </c>
      <c r="V14977" t="s">
        <v>60781</v>
      </c>
      <c r="W14977" t="s">
        <v>60921</v>
      </c>
      <c r="X14977" t="s">
        <v>44973</v>
      </c>
    </row>
    <row r="14978" spans="1:24">
      <c r="A14978">
        <f>HYPERLINK("https://www.philgeps.gov.ph/GEPSNONPILOT/Tender/SplashBidNoticeAbstractUI.aspx?menuIndex=3&amp;refID=6939743&amp;Result=3","6939743")</f>
        <v>0</v>
      </c>
      <c r="B14978" t="s">
        <v>249</v>
      </c>
      <c r="C14978" t="s">
        <v>17872</v>
      </c>
      <c r="D14978" t="s">
        <v>18110</v>
      </c>
      <c r="E14978" t="s">
        <v>31144</v>
      </c>
      <c r="F14978" t="s">
        <v>31362</v>
      </c>
      <c r="G14978" t="s">
        <v>31369</v>
      </c>
      <c r="H14978" t="s">
        <v>31378</v>
      </c>
      <c r="I14978" t="s">
        <v>31386</v>
      </c>
      <c r="J14978" t="s">
        <v>40528</v>
      </c>
      <c r="K14978" t="s">
        <v>40678</v>
      </c>
      <c r="M14978" t="s">
        <v>44030</v>
      </c>
      <c r="N14978" t="s">
        <v>44905</v>
      </c>
      <c r="O14978" t="s">
        <v>44906</v>
      </c>
      <c r="Q14978">
        <v>11</v>
      </c>
      <c r="R14978" t="s">
        <v>44973</v>
      </c>
      <c r="S14978" t="s">
        <v>46115</v>
      </c>
      <c r="T14978" t="s">
        <v>46434</v>
      </c>
      <c r="U14978" t="s">
        <v>58866</v>
      </c>
      <c r="W14978" t="s">
        <v>44030</v>
      </c>
      <c r="X14978" t="s">
        <v>60997</v>
      </c>
    </row>
    <row r="14979" spans="1:24">
      <c r="A14979">
        <f>HYPERLINK("https://www.philgeps.gov.ph/GEPSNONPILOT/Tender/SplashBidNoticeAbstractUI.aspx?menuIndex=3&amp;refID=6942209&amp;Result=3","6942209")</f>
        <v>0</v>
      </c>
      <c r="B14979" t="s">
        <v>2187</v>
      </c>
      <c r="C14979" t="s">
        <v>17873</v>
      </c>
      <c r="D14979" t="s">
        <v>18108</v>
      </c>
      <c r="E14979" t="s">
        <v>31145</v>
      </c>
      <c r="F14979" t="s">
        <v>31362</v>
      </c>
      <c r="G14979" t="s">
        <v>31369</v>
      </c>
      <c r="H14979" t="s">
        <v>31378</v>
      </c>
      <c r="I14979" t="s">
        <v>31386</v>
      </c>
      <c r="J14979" t="s">
        <v>40529</v>
      </c>
      <c r="K14979" t="s">
        <v>40684</v>
      </c>
      <c r="M14979" t="s">
        <v>43832</v>
      </c>
      <c r="N14979" t="s">
        <v>44905</v>
      </c>
      <c r="O14979" t="s">
        <v>44906</v>
      </c>
      <c r="Q14979">
        <v>11</v>
      </c>
      <c r="R14979" t="s">
        <v>44974</v>
      </c>
      <c r="S14979" t="s">
        <v>46200</v>
      </c>
      <c r="T14979" t="s">
        <v>46400</v>
      </c>
      <c r="U14979" t="s">
        <v>54261</v>
      </c>
      <c r="V14979" t="s">
        <v>60782</v>
      </c>
      <c r="W14979" t="s">
        <v>43832</v>
      </c>
      <c r="X14979" t="s">
        <v>44973</v>
      </c>
    </row>
    <row r="14980" spans="1:24">
      <c r="A14980">
        <f>HYPERLINK("https://www.philgeps.gov.ph/GEPSNONPILOT/Tender/SplashBidNoticeAbstractUI.aspx?menuIndex=3&amp;refID=6941846&amp;Result=3","6941846")</f>
        <v>0</v>
      </c>
      <c r="B14980" t="s">
        <v>516</v>
      </c>
      <c r="C14980" t="s">
        <v>17874</v>
      </c>
      <c r="D14980" t="s">
        <v>18172</v>
      </c>
      <c r="E14980" t="s">
        <v>31146</v>
      </c>
      <c r="F14980" t="s">
        <v>31362</v>
      </c>
      <c r="G14980" t="s">
        <v>31368</v>
      </c>
      <c r="H14980" t="s">
        <v>15799</v>
      </c>
      <c r="I14980" t="s">
        <v>7090</v>
      </c>
      <c r="J14980" t="s">
        <v>40530</v>
      </c>
      <c r="K14980" t="s">
        <v>40682</v>
      </c>
      <c r="M14980" t="s">
        <v>43558</v>
      </c>
      <c r="N14980" t="s">
        <v>44905</v>
      </c>
      <c r="O14980" t="s">
        <v>44906</v>
      </c>
      <c r="Q14980">
        <v>5</v>
      </c>
      <c r="R14980" t="s">
        <v>44974</v>
      </c>
      <c r="S14980" t="s">
        <v>46201</v>
      </c>
      <c r="T14980" t="s">
        <v>46900</v>
      </c>
      <c r="U14980" t="s">
        <v>53439</v>
      </c>
      <c r="W14980" t="s">
        <v>43558</v>
      </c>
      <c r="X14980" t="s">
        <v>44973</v>
      </c>
    </row>
    <row r="14981" spans="1:24">
      <c r="A14981">
        <f>HYPERLINK("https://www.philgeps.gov.ph/GEPSNONPILOT/Tender/SplashBidNoticeAbstractUI.aspx?menuIndex=3&amp;refID=6877324-2&amp;Result=3","6877324-2")</f>
        <v>0</v>
      </c>
      <c r="B14981" t="s">
        <v>2401</v>
      </c>
      <c r="C14981" t="s">
        <v>17875</v>
      </c>
      <c r="D14981" t="s">
        <v>18134</v>
      </c>
      <c r="E14981" t="s">
        <v>31147</v>
      </c>
      <c r="F14981" t="s">
        <v>31362</v>
      </c>
      <c r="G14981" t="s">
        <v>31369</v>
      </c>
      <c r="H14981" t="s">
        <v>31377</v>
      </c>
      <c r="I14981" t="s">
        <v>31377</v>
      </c>
      <c r="J14981" t="s">
        <v>40531</v>
      </c>
      <c r="K14981" t="s">
        <v>40678</v>
      </c>
      <c r="M14981" t="s">
        <v>44214</v>
      </c>
      <c r="N14981" t="s">
        <v>44905</v>
      </c>
      <c r="O14981" t="s">
        <v>44906</v>
      </c>
      <c r="Q14981">
        <v>1</v>
      </c>
      <c r="R14981" t="s">
        <v>44970</v>
      </c>
      <c r="S14981" t="s">
        <v>46202</v>
      </c>
      <c r="T14981" t="s">
        <v>46435</v>
      </c>
      <c r="U14981" t="s">
        <v>58867</v>
      </c>
      <c r="W14981" t="s">
        <v>44214</v>
      </c>
      <c r="X14981" t="s">
        <v>44969</v>
      </c>
    </row>
    <row r="14982" spans="1:24">
      <c r="A14982">
        <f>HYPERLINK("https://www.philgeps.gov.ph/GEPSNONPILOT/Tender/SplashBidNoticeAbstractUI.aspx?menuIndex=3&amp;refID=6935854&amp;Result=3","6935854")</f>
        <v>0</v>
      </c>
      <c r="B14982" t="s">
        <v>1324</v>
      </c>
      <c r="C14982" t="s">
        <v>17876</v>
      </c>
      <c r="D14982" t="s">
        <v>18177</v>
      </c>
      <c r="E14982" t="s">
        <v>31148</v>
      </c>
      <c r="F14982" t="s">
        <v>31362</v>
      </c>
      <c r="G14982" t="s">
        <v>31369</v>
      </c>
      <c r="H14982" t="s">
        <v>31377</v>
      </c>
      <c r="I14982" t="s">
        <v>31377</v>
      </c>
      <c r="J14982" t="s">
        <v>31602</v>
      </c>
      <c r="K14982" t="s">
        <v>40686</v>
      </c>
      <c r="M14982" t="s">
        <v>42342</v>
      </c>
      <c r="N14982" t="s">
        <v>44905</v>
      </c>
      <c r="O14982" t="s">
        <v>44906</v>
      </c>
      <c r="Q14982">
        <v>10</v>
      </c>
      <c r="R14982" t="s">
        <v>44972</v>
      </c>
      <c r="S14982" t="s">
        <v>46203</v>
      </c>
      <c r="T14982" t="s">
        <v>46908</v>
      </c>
      <c r="U14982" t="s">
        <v>58868</v>
      </c>
      <c r="V14982" t="s">
        <v>60783</v>
      </c>
      <c r="W14982" t="s">
        <v>42342</v>
      </c>
      <c r="X14982" t="s">
        <v>44975</v>
      </c>
    </row>
    <row r="14983" spans="1:24">
      <c r="A14983">
        <f>HYPERLINK("https://www.philgeps.gov.ph/GEPSNONPILOT/Tender/SplashBidNoticeAbstractUI.aspx?menuIndex=3&amp;refID=6877106-2&amp;Result=3","6877106-2")</f>
        <v>0</v>
      </c>
      <c r="B14983" t="s">
        <v>2401</v>
      </c>
      <c r="C14983" t="s">
        <v>17877</v>
      </c>
      <c r="D14983" t="s">
        <v>18134</v>
      </c>
      <c r="E14983" t="s">
        <v>31149</v>
      </c>
      <c r="F14983" t="s">
        <v>31362</v>
      </c>
      <c r="G14983" t="s">
        <v>31369</v>
      </c>
      <c r="H14983" t="s">
        <v>31377</v>
      </c>
      <c r="I14983" t="s">
        <v>31377</v>
      </c>
      <c r="J14983" t="s">
        <v>40532</v>
      </c>
      <c r="K14983" t="s">
        <v>40686</v>
      </c>
      <c r="M14983" t="s">
        <v>44214</v>
      </c>
      <c r="N14983" t="s">
        <v>44905</v>
      </c>
      <c r="O14983" t="s">
        <v>44906</v>
      </c>
      <c r="Q14983">
        <v>1</v>
      </c>
      <c r="R14983" t="s">
        <v>44970</v>
      </c>
      <c r="S14983" t="s">
        <v>46204</v>
      </c>
      <c r="T14983" t="s">
        <v>46435</v>
      </c>
      <c r="U14983" t="s">
        <v>58869</v>
      </c>
      <c r="W14983" t="s">
        <v>44214</v>
      </c>
      <c r="X14983" t="s">
        <v>44969</v>
      </c>
    </row>
    <row r="14984" spans="1:24">
      <c r="A14984">
        <f>HYPERLINK("https://www.philgeps.gov.ph/GEPSNONPILOT/Tender/SplashBidNoticeAbstractUI.aspx?menuIndex=3&amp;refID=6937223&amp;Result=3","6937223")</f>
        <v>0</v>
      </c>
      <c r="B14984" t="s">
        <v>421</v>
      </c>
      <c r="C14984" t="s">
        <v>17878</v>
      </c>
      <c r="D14984" t="s">
        <v>18133</v>
      </c>
      <c r="E14984" t="s">
        <v>31150</v>
      </c>
      <c r="F14984" t="s">
        <v>31362</v>
      </c>
      <c r="G14984" t="s">
        <v>31369</v>
      </c>
      <c r="H14984" t="s">
        <v>31378</v>
      </c>
      <c r="I14984" t="s">
        <v>31386</v>
      </c>
      <c r="J14984" t="s">
        <v>33743</v>
      </c>
      <c r="K14984" t="s">
        <v>40679</v>
      </c>
      <c r="M14984" t="s">
        <v>41372</v>
      </c>
      <c r="N14984" t="s">
        <v>44905</v>
      </c>
      <c r="O14984" t="s">
        <v>44906</v>
      </c>
      <c r="Q14984">
        <v>1</v>
      </c>
      <c r="R14984" t="s">
        <v>44972</v>
      </c>
      <c r="S14984" t="s">
        <v>46205</v>
      </c>
      <c r="T14984" t="s">
        <v>46427</v>
      </c>
      <c r="U14984" t="s">
        <v>58870</v>
      </c>
      <c r="W14984" t="s">
        <v>41372</v>
      </c>
      <c r="X14984" t="s">
        <v>44971</v>
      </c>
    </row>
    <row r="14985" spans="1:24">
      <c r="A14985">
        <f>HYPERLINK("https://www.philgeps.gov.ph/GEPSNONPILOT/Tender/SplashBidNoticeAbstractUI.aspx?menuIndex=3&amp;refID=6941638&amp;Result=3","6941638")</f>
        <v>0</v>
      </c>
      <c r="B14985" t="s">
        <v>360</v>
      </c>
      <c r="C14985" t="s">
        <v>17879</v>
      </c>
      <c r="D14985" t="s">
        <v>18161</v>
      </c>
      <c r="E14985" t="s">
        <v>31151</v>
      </c>
      <c r="F14985" t="s">
        <v>31362</v>
      </c>
      <c r="G14985" t="s">
        <v>31369</v>
      </c>
      <c r="H14985" t="s">
        <v>15799</v>
      </c>
      <c r="I14985" t="s">
        <v>31409</v>
      </c>
      <c r="J14985" t="s">
        <v>31637</v>
      </c>
      <c r="K14985" t="s">
        <v>40662</v>
      </c>
      <c r="M14985" t="s">
        <v>41307</v>
      </c>
      <c r="N14985" t="s">
        <v>44905</v>
      </c>
      <c r="O14985" t="s">
        <v>44906</v>
      </c>
      <c r="Q14985">
        <v>5</v>
      </c>
      <c r="R14985" t="s">
        <v>44974</v>
      </c>
      <c r="S14985" t="s">
        <v>46206</v>
      </c>
      <c r="T14985" t="s">
        <v>46432</v>
      </c>
      <c r="U14985" t="s">
        <v>58186</v>
      </c>
      <c r="W14985" t="s">
        <v>41307</v>
      </c>
      <c r="X14985" t="s">
        <v>44973</v>
      </c>
    </row>
    <row r="14986" spans="1:24">
      <c r="A14986">
        <f>HYPERLINK("https://www.philgeps.gov.ph/GEPSNONPILOT/Tender/SplashBidNoticeAbstractUI.aspx?menuIndex=3&amp;refID=6930748&amp;Result=3","6930748")</f>
        <v>0</v>
      </c>
      <c r="B14986" t="s">
        <v>55</v>
      </c>
      <c r="C14986" t="s">
        <v>17880</v>
      </c>
      <c r="D14986" t="s">
        <v>18120</v>
      </c>
      <c r="E14986" t="s">
        <v>31152</v>
      </c>
      <c r="F14986" t="s">
        <v>31362</v>
      </c>
      <c r="G14986" t="s">
        <v>31370</v>
      </c>
      <c r="H14986" t="s">
        <v>15799</v>
      </c>
      <c r="I14986" t="s">
        <v>31426</v>
      </c>
      <c r="J14986" t="s">
        <v>33022</v>
      </c>
      <c r="K14986" t="s">
        <v>40662</v>
      </c>
      <c r="M14986" t="s">
        <v>40989</v>
      </c>
      <c r="N14986" t="s">
        <v>44905</v>
      </c>
      <c r="O14986" t="s">
        <v>44906</v>
      </c>
      <c r="Q14986">
        <v>7</v>
      </c>
      <c r="R14986" t="s">
        <v>44975</v>
      </c>
      <c r="S14986" t="s">
        <v>46207</v>
      </c>
      <c r="T14986" t="s">
        <v>46454</v>
      </c>
      <c r="U14986" t="s">
        <v>58871</v>
      </c>
      <c r="W14986" t="s">
        <v>40989</v>
      </c>
      <c r="X14986" t="s">
        <v>44976</v>
      </c>
    </row>
    <row r="14987" spans="1:24">
      <c r="A14987">
        <f>HYPERLINK("https://www.philgeps.gov.ph/GEPSNONPILOT/Tender/SplashBidNoticeAbstractUI.aspx?menuIndex=3&amp;refID=6930378&amp;Result=3","6930378")</f>
        <v>0</v>
      </c>
      <c r="B14987" t="s">
        <v>421</v>
      </c>
      <c r="C14987" t="s">
        <v>17881</v>
      </c>
      <c r="D14987" t="s">
        <v>18133</v>
      </c>
      <c r="E14987" t="s">
        <v>31153</v>
      </c>
      <c r="F14987" t="s">
        <v>31362</v>
      </c>
      <c r="G14987" t="s">
        <v>31369</v>
      </c>
      <c r="H14987" t="s">
        <v>31378</v>
      </c>
      <c r="I14987" t="s">
        <v>31386</v>
      </c>
      <c r="J14987" t="s">
        <v>35702</v>
      </c>
      <c r="K14987" t="s">
        <v>40716</v>
      </c>
      <c r="M14987" t="s">
        <v>41372</v>
      </c>
      <c r="N14987" t="s">
        <v>44905</v>
      </c>
      <c r="O14987" t="s">
        <v>44906</v>
      </c>
      <c r="Q14987">
        <v>0</v>
      </c>
      <c r="R14987" t="s">
        <v>44975</v>
      </c>
      <c r="S14987" t="s">
        <v>45257</v>
      </c>
      <c r="T14987" t="s">
        <v>46416</v>
      </c>
      <c r="U14987" t="s">
        <v>58872</v>
      </c>
      <c r="W14987" t="s">
        <v>41372</v>
      </c>
      <c r="X14987" t="s">
        <v>44976</v>
      </c>
    </row>
    <row r="14988" spans="1:24">
      <c r="A14988">
        <f>HYPERLINK("https://www.philgeps.gov.ph/GEPSNONPILOT/Tender/SplashBidNoticeAbstractUI.aspx?menuIndex=3&amp;refID=6930258&amp;Result=3","6930258")</f>
        <v>0</v>
      </c>
      <c r="B14988" t="s">
        <v>421</v>
      </c>
      <c r="C14988" t="s">
        <v>17882</v>
      </c>
      <c r="D14988" t="s">
        <v>18133</v>
      </c>
      <c r="E14988" t="s">
        <v>31154</v>
      </c>
      <c r="F14988" t="s">
        <v>31362</v>
      </c>
      <c r="G14988" t="s">
        <v>31369</v>
      </c>
      <c r="H14988" t="s">
        <v>31378</v>
      </c>
      <c r="I14988" t="s">
        <v>31386</v>
      </c>
      <c r="J14988" t="s">
        <v>35695</v>
      </c>
      <c r="K14988" t="s">
        <v>40714</v>
      </c>
      <c r="M14988" t="s">
        <v>41372</v>
      </c>
      <c r="N14988" t="s">
        <v>44905</v>
      </c>
      <c r="O14988" t="s">
        <v>44906</v>
      </c>
      <c r="Q14988">
        <v>0</v>
      </c>
      <c r="R14988" t="s">
        <v>44975</v>
      </c>
      <c r="S14988" t="s">
        <v>46208</v>
      </c>
      <c r="T14988" t="s">
        <v>46416</v>
      </c>
      <c r="U14988" t="s">
        <v>58873</v>
      </c>
      <c r="W14988" t="s">
        <v>41372</v>
      </c>
      <c r="X14988" t="s">
        <v>44976</v>
      </c>
    </row>
    <row r="14989" spans="1:24">
      <c r="A14989">
        <f>HYPERLINK("https://www.philgeps.gov.ph/GEPSNONPILOT/Tender/SplashBidNoticeAbstractUI.aspx?menuIndex=3&amp;refID=6936243&amp;Result=3","6936243")</f>
        <v>0</v>
      </c>
      <c r="B14989" t="s">
        <v>2757</v>
      </c>
      <c r="C14989" t="s">
        <v>17883</v>
      </c>
      <c r="D14989" t="s">
        <v>18156</v>
      </c>
      <c r="E14989" t="s">
        <v>31155</v>
      </c>
      <c r="F14989" t="s">
        <v>31362</v>
      </c>
      <c r="G14989" t="s">
        <v>31369</v>
      </c>
      <c r="H14989" t="s">
        <v>31378</v>
      </c>
      <c r="I14989" t="s">
        <v>31386</v>
      </c>
      <c r="J14989" t="s">
        <v>37006</v>
      </c>
      <c r="K14989" t="s">
        <v>40678</v>
      </c>
      <c r="M14989" t="s">
        <v>43948</v>
      </c>
      <c r="N14989" t="s">
        <v>44905</v>
      </c>
      <c r="O14989" t="s">
        <v>44906</v>
      </c>
      <c r="Q14989">
        <v>42</v>
      </c>
      <c r="R14989" t="s">
        <v>44971</v>
      </c>
      <c r="S14989" t="s">
        <v>46209</v>
      </c>
      <c r="T14989" t="s">
        <v>46486</v>
      </c>
      <c r="U14989" t="s">
        <v>58874</v>
      </c>
      <c r="V14989" t="s">
        <v>60784</v>
      </c>
      <c r="W14989" t="s">
        <v>43948</v>
      </c>
      <c r="X14989" t="s">
        <v>44975</v>
      </c>
    </row>
    <row r="14990" spans="1:24">
      <c r="A14990">
        <f>HYPERLINK("https://www.philgeps.gov.ph/GEPSNONPILOT/Tender/SplashBidNoticeAbstractUI.aspx?menuIndex=3&amp;refID=6940045&amp;Result=3","6940045")</f>
        <v>0</v>
      </c>
      <c r="B14990" t="s">
        <v>1353</v>
      </c>
      <c r="C14990" t="s">
        <v>17884</v>
      </c>
      <c r="D14990" t="s">
        <v>18103</v>
      </c>
      <c r="E14990" t="s">
        <v>31156</v>
      </c>
      <c r="F14990" t="s">
        <v>31362</v>
      </c>
      <c r="G14990" t="s">
        <v>31369</v>
      </c>
      <c r="H14990" t="s">
        <v>31378</v>
      </c>
      <c r="I14990" t="s">
        <v>31386</v>
      </c>
      <c r="J14990" t="s">
        <v>40533</v>
      </c>
      <c r="K14990" t="s">
        <v>40679</v>
      </c>
      <c r="M14990" t="s">
        <v>44874</v>
      </c>
      <c r="N14990" t="s">
        <v>44905</v>
      </c>
      <c r="O14990" t="s">
        <v>44906</v>
      </c>
      <c r="Q14990">
        <v>9</v>
      </c>
      <c r="R14990" t="s">
        <v>44974</v>
      </c>
      <c r="S14990" t="s">
        <v>46210</v>
      </c>
      <c r="T14990" t="s">
        <v>46433</v>
      </c>
      <c r="U14990" t="s">
        <v>58875</v>
      </c>
      <c r="W14990" t="s">
        <v>44874</v>
      </c>
      <c r="X14990" t="s">
        <v>44973</v>
      </c>
    </row>
    <row r="14991" spans="1:24">
      <c r="A14991">
        <f>HYPERLINK("https://www.philgeps.gov.ph/GEPSNONPILOT/Tender/SplashBidNoticeAbstractUI.aspx?menuIndex=3&amp;refID=6935829&amp;Result=3","6935829")</f>
        <v>0</v>
      </c>
      <c r="B14991" t="s">
        <v>3100</v>
      </c>
      <c r="C14991" t="s">
        <v>17885</v>
      </c>
      <c r="D14991" t="s">
        <v>18112</v>
      </c>
      <c r="E14991" t="s">
        <v>31157</v>
      </c>
      <c r="F14991" t="s">
        <v>31362</v>
      </c>
      <c r="G14991" t="s">
        <v>31369</v>
      </c>
      <c r="H14991" t="s">
        <v>31378</v>
      </c>
      <c r="I14991" t="s">
        <v>31386</v>
      </c>
      <c r="J14991" t="s">
        <v>40534</v>
      </c>
      <c r="K14991" t="s">
        <v>40952</v>
      </c>
      <c r="M14991" t="s">
        <v>44345</v>
      </c>
      <c r="N14991" t="s">
        <v>44905</v>
      </c>
      <c r="O14991" t="s">
        <v>44906</v>
      </c>
      <c r="Q14991">
        <v>15</v>
      </c>
      <c r="R14991" t="s">
        <v>44971</v>
      </c>
      <c r="S14991" t="s">
        <v>46211</v>
      </c>
      <c r="T14991" t="s">
        <v>46511</v>
      </c>
      <c r="U14991" t="s">
        <v>58876</v>
      </c>
      <c r="W14991" t="s">
        <v>44345</v>
      </c>
      <c r="X14991" t="s">
        <v>44975</v>
      </c>
    </row>
    <row r="14992" spans="1:24">
      <c r="A14992">
        <f>HYPERLINK("https://www.philgeps.gov.ph/GEPSNONPILOT/Tender/SplashBidNoticeAbstractUI.aspx?menuIndex=3&amp;refID=6929906&amp;Result=3","6929906")</f>
        <v>0</v>
      </c>
      <c r="B14992" t="s">
        <v>1352</v>
      </c>
      <c r="C14992" t="s">
        <v>17886</v>
      </c>
      <c r="E14992" t="s">
        <v>31158</v>
      </c>
      <c r="F14992" t="s">
        <v>31362</v>
      </c>
      <c r="G14992" t="s">
        <v>31369</v>
      </c>
      <c r="H14992" t="s">
        <v>15799</v>
      </c>
      <c r="I14992" t="s">
        <v>31396</v>
      </c>
      <c r="J14992" t="s">
        <v>32395</v>
      </c>
      <c r="K14992" t="s">
        <v>40662</v>
      </c>
      <c r="M14992" t="s">
        <v>44875</v>
      </c>
      <c r="N14992" t="s">
        <v>44905</v>
      </c>
      <c r="O14992" t="s">
        <v>44906</v>
      </c>
      <c r="Q14992">
        <v>16</v>
      </c>
      <c r="R14992" t="s">
        <v>44975</v>
      </c>
      <c r="S14992" t="s">
        <v>46177</v>
      </c>
      <c r="T14992" t="s">
        <v>46671</v>
      </c>
      <c r="U14992" t="s">
        <v>58877</v>
      </c>
      <c r="W14992" t="s">
        <v>44875</v>
      </c>
      <c r="X14992" t="s">
        <v>44976</v>
      </c>
    </row>
    <row r="14993" spans="1:24">
      <c r="A14993">
        <f>HYPERLINK("https://www.philgeps.gov.ph/GEPSNONPILOT/Tender/SplashBidNoticeAbstractUI.aspx?menuIndex=3&amp;refID=6935782&amp;Result=3","6935782")</f>
        <v>0</v>
      </c>
      <c r="B14993" t="s">
        <v>421</v>
      </c>
      <c r="C14993" t="s">
        <v>17887</v>
      </c>
      <c r="D14993" t="s">
        <v>18133</v>
      </c>
      <c r="E14993" t="s">
        <v>31159</v>
      </c>
      <c r="F14993" t="s">
        <v>31362</v>
      </c>
      <c r="G14993" t="s">
        <v>31369</v>
      </c>
      <c r="H14993" t="s">
        <v>31378</v>
      </c>
      <c r="I14993" t="s">
        <v>31386</v>
      </c>
      <c r="J14993" t="s">
        <v>33743</v>
      </c>
      <c r="K14993" t="s">
        <v>40686</v>
      </c>
      <c r="M14993" t="s">
        <v>41372</v>
      </c>
      <c r="N14993" t="s">
        <v>44905</v>
      </c>
      <c r="O14993" t="s">
        <v>44906</v>
      </c>
      <c r="Q14993">
        <v>0</v>
      </c>
      <c r="R14993" t="s">
        <v>44971</v>
      </c>
      <c r="S14993" t="s">
        <v>46212</v>
      </c>
      <c r="T14993" t="s">
        <v>46427</v>
      </c>
      <c r="U14993" t="s">
        <v>58878</v>
      </c>
      <c r="W14993" t="s">
        <v>41372</v>
      </c>
      <c r="X14993" t="s">
        <v>44975</v>
      </c>
    </row>
    <row r="14994" spans="1:24">
      <c r="A14994">
        <f>HYPERLINK("https://www.philgeps.gov.ph/GEPSNONPILOT/Tender/SplashBidNoticeAbstractUI.aspx?menuIndex=3&amp;refID=6935583&amp;Result=3","6935583")</f>
        <v>0</v>
      </c>
      <c r="B14994" t="s">
        <v>421</v>
      </c>
      <c r="C14994" t="s">
        <v>17888</v>
      </c>
      <c r="D14994" t="s">
        <v>18133</v>
      </c>
      <c r="E14994" t="s">
        <v>31160</v>
      </c>
      <c r="F14994" t="s">
        <v>31362</v>
      </c>
      <c r="G14994" t="s">
        <v>31369</v>
      </c>
      <c r="H14994" t="s">
        <v>31378</v>
      </c>
      <c r="I14994" t="s">
        <v>31386</v>
      </c>
      <c r="J14994" t="s">
        <v>33743</v>
      </c>
      <c r="K14994" t="s">
        <v>40686</v>
      </c>
      <c r="M14994" t="s">
        <v>41372</v>
      </c>
      <c r="N14994" t="s">
        <v>44905</v>
      </c>
      <c r="O14994" t="s">
        <v>44906</v>
      </c>
      <c r="Q14994">
        <v>0</v>
      </c>
      <c r="R14994" t="s">
        <v>44971</v>
      </c>
      <c r="S14994" t="s">
        <v>46213</v>
      </c>
      <c r="T14994" t="s">
        <v>46400</v>
      </c>
      <c r="U14994" t="s">
        <v>58879</v>
      </c>
      <c r="W14994" t="s">
        <v>41372</v>
      </c>
      <c r="X14994" t="s">
        <v>44975</v>
      </c>
    </row>
    <row r="14995" spans="1:24">
      <c r="A14995">
        <f>HYPERLINK("https://www.philgeps.gov.ph/GEPSNONPILOT/Tender/SplashBidNoticeAbstractUI.aspx?menuIndex=3&amp;refID=6927103&amp;Result=3","6927103")</f>
        <v>0</v>
      </c>
      <c r="B14995" t="s">
        <v>1883</v>
      </c>
      <c r="C14995" t="s">
        <v>17889</v>
      </c>
      <c r="D14995" t="s">
        <v>18108</v>
      </c>
      <c r="E14995" t="s">
        <v>31161</v>
      </c>
      <c r="F14995" t="s">
        <v>31362</v>
      </c>
      <c r="G14995" t="s">
        <v>31369</v>
      </c>
      <c r="H14995" t="s">
        <v>31378</v>
      </c>
      <c r="I14995" t="s">
        <v>31386</v>
      </c>
      <c r="J14995" t="s">
        <v>40535</v>
      </c>
      <c r="K14995" t="s">
        <v>40686</v>
      </c>
      <c r="M14995" t="s">
        <v>42976</v>
      </c>
      <c r="N14995" t="s">
        <v>44905</v>
      </c>
      <c r="O14995" t="s">
        <v>44906</v>
      </c>
      <c r="Q14995">
        <v>19</v>
      </c>
      <c r="R14995" t="s">
        <v>44976</v>
      </c>
      <c r="S14995" t="s">
        <v>46214</v>
      </c>
      <c r="T14995" t="s">
        <v>46490</v>
      </c>
      <c r="U14995" t="s">
        <v>58880</v>
      </c>
      <c r="W14995" t="s">
        <v>42976</v>
      </c>
      <c r="X14995" t="s">
        <v>44977</v>
      </c>
    </row>
    <row r="14996" spans="1:24">
      <c r="A14996">
        <f>HYPERLINK("https://www.philgeps.gov.ph/GEPSNONPILOT/Tender/SplashBidNoticeAbstractUI.aspx?menuIndex=3&amp;refID=6936028&amp;Result=3","6936028")</f>
        <v>0</v>
      </c>
      <c r="B14996" t="s">
        <v>3518</v>
      </c>
      <c r="C14996" t="s">
        <v>17890</v>
      </c>
      <c r="D14996" t="s">
        <v>18103</v>
      </c>
      <c r="E14996" t="s">
        <v>31162</v>
      </c>
      <c r="F14996" t="s">
        <v>31362</v>
      </c>
      <c r="G14996" t="s">
        <v>31373</v>
      </c>
      <c r="H14996" t="s">
        <v>31379</v>
      </c>
      <c r="I14996" t="s">
        <v>31444</v>
      </c>
      <c r="J14996" t="s">
        <v>31637</v>
      </c>
      <c r="K14996" t="s">
        <v>40686</v>
      </c>
      <c r="M14996" t="s">
        <v>44876</v>
      </c>
      <c r="N14996" t="s">
        <v>44905</v>
      </c>
      <c r="O14996" t="s">
        <v>44906</v>
      </c>
      <c r="Q14996">
        <v>24</v>
      </c>
      <c r="R14996" t="s">
        <v>44971</v>
      </c>
      <c r="S14996" t="s">
        <v>46215</v>
      </c>
      <c r="T14996" t="s">
        <v>46418</v>
      </c>
      <c r="U14996" t="s">
        <v>58881</v>
      </c>
      <c r="W14996" t="s">
        <v>44876</v>
      </c>
      <c r="X14996" t="s">
        <v>44975</v>
      </c>
    </row>
    <row r="14997" spans="1:24">
      <c r="A14997">
        <f>HYPERLINK("https://www.philgeps.gov.ph/GEPSNONPILOT/Tender/SplashBidNoticeAbstractUI.aspx?menuIndex=3&amp;refID=6935753&amp;Result=3","6935753")</f>
        <v>0</v>
      </c>
      <c r="B14997" t="s">
        <v>700</v>
      </c>
      <c r="C14997" t="s">
        <v>17891</v>
      </c>
      <c r="E14997" t="s">
        <v>31163</v>
      </c>
      <c r="F14997" t="s">
        <v>31362</v>
      </c>
      <c r="G14997" t="s">
        <v>31369</v>
      </c>
      <c r="H14997" t="s">
        <v>15799</v>
      </c>
      <c r="I14997" t="s">
        <v>31393</v>
      </c>
      <c r="J14997" t="s">
        <v>40536</v>
      </c>
      <c r="K14997" t="s">
        <v>40662</v>
      </c>
      <c r="M14997" t="s">
        <v>41665</v>
      </c>
      <c r="N14997" t="s">
        <v>44905</v>
      </c>
      <c r="O14997" t="s">
        <v>44906</v>
      </c>
      <c r="Q14997">
        <v>7</v>
      </c>
      <c r="R14997" t="s">
        <v>44971</v>
      </c>
      <c r="S14997" t="s">
        <v>46216</v>
      </c>
      <c r="T14997" t="s">
        <v>46396</v>
      </c>
      <c r="U14997" t="s">
        <v>58882</v>
      </c>
      <c r="V14997" t="s">
        <v>60785</v>
      </c>
      <c r="W14997" t="s">
        <v>60977</v>
      </c>
      <c r="X14997" t="s">
        <v>44975</v>
      </c>
    </row>
    <row r="14998" spans="1:24">
      <c r="A14998">
        <f>HYPERLINK("https://www.philgeps.gov.ph/GEPSNONPILOT/Tender/SplashBidNoticeAbstractUI.aspx?menuIndex=3&amp;refID=6927090&amp;Result=3","6927090")</f>
        <v>0</v>
      </c>
      <c r="B14998" t="s">
        <v>299</v>
      </c>
      <c r="C14998" t="s">
        <v>17892</v>
      </c>
      <c r="D14998" t="s">
        <v>18108</v>
      </c>
      <c r="E14998" t="s">
        <v>31164</v>
      </c>
      <c r="F14998" t="s">
        <v>31362</v>
      </c>
      <c r="G14998" t="s">
        <v>31368</v>
      </c>
      <c r="H14998" t="s">
        <v>15799</v>
      </c>
      <c r="I14998" t="s">
        <v>7188</v>
      </c>
      <c r="J14998" t="s">
        <v>40537</v>
      </c>
      <c r="K14998" t="s">
        <v>40666</v>
      </c>
      <c r="M14998" t="s">
        <v>41242</v>
      </c>
      <c r="N14998" t="s">
        <v>44905</v>
      </c>
      <c r="O14998" t="s">
        <v>44906</v>
      </c>
      <c r="Q14998">
        <v>10</v>
      </c>
      <c r="R14998" t="s">
        <v>44976</v>
      </c>
      <c r="S14998" t="s">
        <v>46217</v>
      </c>
      <c r="T14998" t="s">
        <v>46434</v>
      </c>
      <c r="U14998" t="s">
        <v>58883</v>
      </c>
      <c r="V14998" t="s">
        <v>60786</v>
      </c>
      <c r="W14998" t="s">
        <v>41242</v>
      </c>
      <c r="X14998" t="s">
        <v>44977</v>
      </c>
    </row>
    <row r="14999" spans="1:24">
      <c r="A14999">
        <f>HYPERLINK("https://www.philgeps.gov.ph/GEPSNONPILOT/Tender/SplashBidNoticeAbstractUI.aspx?menuIndex=3&amp;refID=6926240&amp;Result=3","6926240")</f>
        <v>0</v>
      </c>
      <c r="B14999" t="s">
        <v>421</v>
      </c>
      <c r="C14999" t="s">
        <v>4544</v>
      </c>
      <c r="D14999" t="s">
        <v>18133</v>
      </c>
      <c r="E14999" t="s">
        <v>19188</v>
      </c>
      <c r="F14999" t="s">
        <v>31362</v>
      </c>
      <c r="G14999" t="s">
        <v>31369</v>
      </c>
      <c r="H14999" t="s">
        <v>31378</v>
      </c>
      <c r="I14999" t="s">
        <v>31386</v>
      </c>
      <c r="J14999" t="s">
        <v>35695</v>
      </c>
      <c r="K14999" t="s">
        <v>40714</v>
      </c>
      <c r="M14999" t="s">
        <v>41372</v>
      </c>
      <c r="N14999" t="s">
        <v>44905</v>
      </c>
      <c r="O14999" t="s">
        <v>44906</v>
      </c>
      <c r="Q14999">
        <v>0</v>
      </c>
      <c r="R14999" t="s">
        <v>44976</v>
      </c>
      <c r="S14999" t="s">
        <v>45883</v>
      </c>
      <c r="T14999" t="s">
        <v>46414</v>
      </c>
      <c r="U14999" t="s">
        <v>47833</v>
      </c>
      <c r="W14999" t="s">
        <v>41372</v>
      </c>
      <c r="X14999" t="s">
        <v>44977</v>
      </c>
    </row>
    <row r="15000" spans="1:24">
      <c r="A15000">
        <f>HYPERLINK("https://www.philgeps.gov.ph/GEPSNONPILOT/Tender/SplashBidNoticeAbstractUI.aspx?menuIndex=3&amp;refID=6926015&amp;Result=3","6926015")</f>
        <v>0</v>
      </c>
      <c r="B15000" t="s">
        <v>421</v>
      </c>
      <c r="C15000" t="s">
        <v>4454</v>
      </c>
      <c r="D15000" t="s">
        <v>18133</v>
      </c>
      <c r="E15000" t="s">
        <v>19094</v>
      </c>
      <c r="F15000" t="s">
        <v>31362</v>
      </c>
      <c r="G15000" t="s">
        <v>31369</v>
      </c>
      <c r="H15000" t="s">
        <v>31378</v>
      </c>
      <c r="I15000" t="s">
        <v>31386</v>
      </c>
      <c r="J15000" t="s">
        <v>40538</v>
      </c>
      <c r="K15000" t="s">
        <v>40716</v>
      </c>
      <c r="M15000" t="s">
        <v>41372</v>
      </c>
      <c r="N15000" t="s">
        <v>44905</v>
      </c>
      <c r="O15000" t="s">
        <v>44906</v>
      </c>
      <c r="Q15000">
        <v>0</v>
      </c>
      <c r="R15000" t="s">
        <v>44976</v>
      </c>
      <c r="S15000" t="s">
        <v>46218</v>
      </c>
      <c r="T15000" t="s">
        <v>46414</v>
      </c>
      <c r="U15000" t="s">
        <v>47754</v>
      </c>
      <c r="W15000" t="s">
        <v>41372</v>
      </c>
      <c r="X15000" t="s">
        <v>44977</v>
      </c>
    </row>
    <row r="15001" spans="1:24">
      <c r="A15001">
        <f>HYPERLINK("https://www.philgeps.gov.ph/GEPSNONPILOT/Tender/SplashBidNoticeAbstractUI.aspx?menuIndex=3&amp;refID=6926519&amp;Result=3","6926519")</f>
        <v>0</v>
      </c>
      <c r="B15001" t="s">
        <v>421</v>
      </c>
      <c r="C15001" t="s">
        <v>4624</v>
      </c>
      <c r="D15001" t="s">
        <v>18133</v>
      </c>
      <c r="E15001" t="s">
        <v>19267</v>
      </c>
      <c r="F15001" t="s">
        <v>31362</v>
      </c>
      <c r="G15001" t="s">
        <v>31369</v>
      </c>
      <c r="H15001" t="s">
        <v>31378</v>
      </c>
      <c r="I15001" t="s">
        <v>31386</v>
      </c>
      <c r="J15001" t="s">
        <v>40539</v>
      </c>
      <c r="K15001" t="s">
        <v>40719</v>
      </c>
      <c r="M15001" t="s">
        <v>41372</v>
      </c>
      <c r="N15001" t="s">
        <v>44905</v>
      </c>
      <c r="O15001" t="s">
        <v>44906</v>
      </c>
      <c r="Q15001">
        <v>0</v>
      </c>
      <c r="R15001" t="s">
        <v>44976</v>
      </c>
      <c r="S15001" t="s">
        <v>46219</v>
      </c>
      <c r="T15001" t="s">
        <v>46414</v>
      </c>
      <c r="U15001" t="s">
        <v>47906</v>
      </c>
      <c r="W15001" t="s">
        <v>41372</v>
      </c>
      <c r="X15001" t="s">
        <v>44977</v>
      </c>
    </row>
    <row r="15002" spans="1:24">
      <c r="A15002">
        <f>HYPERLINK("https://www.philgeps.gov.ph/GEPSNONPILOT/Tender/SplashBidNoticeAbstractUI.aspx?menuIndex=3&amp;refID=6925795&amp;Result=3","6925795")</f>
        <v>0</v>
      </c>
      <c r="B15002" t="s">
        <v>1353</v>
      </c>
      <c r="C15002" t="s">
        <v>17893</v>
      </c>
      <c r="D15002" t="s">
        <v>18103</v>
      </c>
      <c r="E15002" t="s">
        <v>31165</v>
      </c>
      <c r="F15002" t="s">
        <v>31362</v>
      </c>
      <c r="G15002" t="s">
        <v>31372</v>
      </c>
      <c r="H15002" t="s">
        <v>31378</v>
      </c>
      <c r="I15002" t="s">
        <v>31435</v>
      </c>
      <c r="J15002" t="s">
        <v>31622</v>
      </c>
      <c r="K15002" t="s">
        <v>40682</v>
      </c>
      <c r="M15002" t="s">
        <v>44874</v>
      </c>
      <c r="N15002" t="s">
        <v>44905</v>
      </c>
      <c r="O15002" t="s">
        <v>44906</v>
      </c>
      <c r="Q15002">
        <v>2</v>
      </c>
      <c r="R15002" t="s">
        <v>44976</v>
      </c>
      <c r="S15002" t="s">
        <v>45657</v>
      </c>
      <c r="T15002" t="s">
        <v>46418</v>
      </c>
      <c r="U15002" t="s">
        <v>58884</v>
      </c>
      <c r="W15002" t="s">
        <v>44874</v>
      </c>
      <c r="X15002" t="s">
        <v>44977</v>
      </c>
    </row>
    <row r="15003" spans="1:24">
      <c r="A15003">
        <f>HYPERLINK("https://www.philgeps.gov.ph/GEPSNONPILOT/Tender/SplashBidNoticeAbstractUI.aspx?menuIndex=3&amp;refID=6930742&amp;Result=3","6930742")</f>
        <v>0</v>
      </c>
      <c r="B15003" t="s">
        <v>421</v>
      </c>
      <c r="C15003" t="s">
        <v>17894</v>
      </c>
      <c r="D15003" t="s">
        <v>18133</v>
      </c>
      <c r="E15003" t="s">
        <v>31166</v>
      </c>
      <c r="F15003" t="s">
        <v>31362</v>
      </c>
      <c r="G15003" t="s">
        <v>31369</v>
      </c>
      <c r="H15003" t="s">
        <v>31378</v>
      </c>
      <c r="I15003" t="s">
        <v>31386</v>
      </c>
      <c r="J15003" t="s">
        <v>34023</v>
      </c>
      <c r="K15003" t="s">
        <v>40782</v>
      </c>
      <c r="M15003" t="s">
        <v>41372</v>
      </c>
      <c r="N15003" t="s">
        <v>44905</v>
      </c>
      <c r="O15003" t="s">
        <v>44906</v>
      </c>
      <c r="Q15003">
        <v>0</v>
      </c>
      <c r="R15003" t="s">
        <v>44975</v>
      </c>
      <c r="S15003" t="s">
        <v>46220</v>
      </c>
      <c r="T15003" t="s">
        <v>46416</v>
      </c>
      <c r="U15003" t="s">
        <v>58885</v>
      </c>
      <c r="W15003" t="s">
        <v>41372</v>
      </c>
      <c r="X15003" t="s">
        <v>44976</v>
      </c>
    </row>
    <row r="15004" spans="1:24">
      <c r="A15004">
        <f>HYPERLINK("https://www.philgeps.gov.ph/GEPSNONPILOT/Tender/SplashBidNoticeAbstractUI.aspx?menuIndex=3&amp;refID=6926108&amp;Result=3","6926108")</f>
        <v>0</v>
      </c>
      <c r="B15004" t="s">
        <v>421</v>
      </c>
      <c r="C15004" t="s">
        <v>4364</v>
      </c>
      <c r="D15004" t="s">
        <v>18133</v>
      </c>
      <c r="E15004" t="s">
        <v>19012</v>
      </c>
      <c r="F15004" t="s">
        <v>31362</v>
      </c>
      <c r="G15004" t="s">
        <v>31369</v>
      </c>
      <c r="H15004" t="s">
        <v>31378</v>
      </c>
      <c r="I15004" t="s">
        <v>31386</v>
      </c>
      <c r="J15004" t="s">
        <v>35695</v>
      </c>
      <c r="K15004" t="s">
        <v>40714</v>
      </c>
      <c r="M15004" t="s">
        <v>41372</v>
      </c>
      <c r="N15004" t="s">
        <v>44905</v>
      </c>
      <c r="O15004" t="s">
        <v>44906</v>
      </c>
      <c r="Q15004">
        <v>0</v>
      </c>
      <c r="R15004" t="s">
        <v>44976</v>
      </c>
      <c r="S15004" t="s">
        <v>46221</v>
      </c>
      <c r="T15004" t="s">
        <v>46414</v>
      </c>
      <c r="U15004" t="s">
        <v>47677</v>
      </c>
      <c r="W15004" t="s">
        <v>41372</v>
      </c>
      <c r="X15004" t="s">
        <v>44977</v>
      </c>
    </row>
    <row r="15005" spans="1:24">
      <c r="A15005">
        <f>HYPERLINK("https://www.philgeps.gov.ph/GEPSNONPILOT/Tender/SplashBidNoticeAbstractUI.aspx?menuIndex=3&amp;refID=6927609&amp;Result=3","6927609")</f>
        <v>0</v>
      </c>
      <c r="B15005" t="s">
        <v>3519</v>
      </c>
      <c r="C15005" t="s">
        <v>17895</v>
      </c>
      <c r="D15005" t="s">
        <v>18139</v>
      </c>
      <c r="E15005" t="s">
        <v>31167</v>
      </c>
      <c r="F15005" t="s">
        <v>31362</v>
      </c>
      <c r="G15005" t="s">
        <v>31369</v>
      </c>
      <c r="H15005" t="s">
        <v>31379</v>
      </c>
      <c r="I15005" t="s">
        <v>31483</v>
      </c>
      <c r="J15005" t="s">
        <v>32696</v>
      </c>
      <c r="K15005" t="s">
        <v>40693</v>
      </c>
      <c r="M15005" t="s">
        <v>44877</v>
      </c>
      <c r="N15005" t="s">
        <v>44905</v>
      </c>
      <c r="O15005" t="s">
        <v>44906</v>
      </c>
      <c r="Q15005">
        <v>0</v>
      </c>
      <c r="R15005" t="s">
        <v>44976</v>
      </c>
      <c r="S15005" t="s">
        <v>46222</v>
      </c>
      <c r="T15005" t="s">
        <v>46700</v>
      </c>
      <c r="U15005" t="s">
        <v>58886</v>
      </c>
      <c r="W15005" t="s">
        <v>60979</v>
      </c>
      <c r="X15005" t="s">
        <v>44977</v>
      </c>
    </row>
    <row r="15006" spans="1:24">
      <c r="A15006">
        <f>HYPERLINK("https://www.philgeps.gov.ph/GEPSNONPILOT/Tender/SplashBidNoticeAbstractUI.aspx?menuIndex=3&amp;refID=6924513&amp;Result=3","6924513")</f>
        <v>0</v>
      </c>
      <c r="B15006" t="s">
        <v>122</v>
      </c>
      <c r="C15006" t="s">
        <v>17896</v>
      </c>
      <c r="D15006" t="s">
        <v>18108</v>
      </c>
      <c r="E15006" t="s">
        <v>31168</v>
      </c>
      <c r="F15006" t="s">
        <v>31362</v>
      </c>
      <c r="G15006" t="s">
        <v>31369</v>
      </c>
      <c r="H15006" t="s">
        <v>15799</v>
      </c>
      <c r="I15006" t="s">
        <v>31393</v>
      </c>
      <c r="J15006" t="s">
        <v>35217</v>
      </c>
      <c r="K15006" t="s">
        <v>40665</v>
      </c>
      <c r="M15006" t="s">
        <v>41059</v>
      </c>
      <c r="N15006" t="s">
        <v>44905</v>
      </c>
      <c r="O15006" t="s">
        <v>44906</v>
      </c>
      <c r="Q15006">
        <v>7</v>
      </c>
      <c r="R15006" t="s">
        <v>44977</v>
      </c>
      <c r="S15006" t="s">
        <v>46223</v>
      </c>
      <c r="T15006" t="s">
        <v>46670</v>
      </c>
      <c r="U15006" t="s">
        <v>58887</v>
      </c>
      <c r="V15006" t="s">
        <v>60787</v>
      </c>
      <c r="W15006" t="s">
        <v>41059</v>
      </c>
      <c r="X15006" t="s">
        <v>44979</v>
      </c>
    </row>
    <row r="15007" spans="1:24">
      <c r="A15007">
        <f>HYPERLINK("https://www.philgeps.gov.ph/GEPSNONPILOT/Tender/SplashBidNoticeAbstractUI.aspx?menuIndex=3&amp;refID=6924439&amp;Result=3","6924439")</f>
        <v>0</v>
      </c>
      <c r="B15007" t="s">
        <v>1265</v>
      </c>
      <c r="C15007" t="s">
        <v>17897</v>
      </c>
      <c r="D15007" t="s">
        <v>18131</v>
      </c>
      <c r="E15007" t="s">
        <v>31169</v>
      </c>
      <c r="F15007" t="s">
        <v>31362</v>
      </c>
      <c r="G15007" t="s">
        <v>31369</v>
      </c>
      <c r="H15007" t="s">
        <v>31378</v>
      </c>
      <c r="I15007" t="s">
        <v>31386</v>
      </c>
      <c r="J15007" t="s">
        <v>40540</v>
      </c>
      <c r="K15007" t="s">
        <v>40885</v>
      </c>
      <c r="M15007" t="s">
        <v>42282</v>
      </c>
      <c r="N15007" t="s">
        <v>44905</v>
      </c>
      <c r="O15007" t="s">
        <v>44906</v>
      </c>
      <c r="Q15007">
        <v>39</v>
      </c>
      <c r="R15007" t="s">
        <v>44977</v>
      </c>
      <c r="S15007" t="s">
        <v>46224</v>
      </c>
      <c r="T15007" t="s">
        <v>46396</v>
      </c>
      <c r="U15007" t="s">
        <v>58888</v>
      </c>
      <c r="V15007" t="s">
        <v>59409</v>
      </c>
      <c r="W15007" t="s">
        <v>42282</v>
      </c>
      <c r="X15007" t="s">
        <v>44979</v>
      </c>
    </row>
    <row r="15008" spans="1:24">
      <c r="A15008">
        <f>HYPERLINK("https://www.philgeps.gov.ph/GEPSNONPILOT/Tender/SplashBidNoticeAbstractUI.aspx?menuIndex=3&amp;refID=6925358&amp;Result=3","6925358")</f>
        <v>0</v>
      </c>
      <c r="B15008" t="s">
        <v>299</v>
      </c>
      <c r="C15008" t="s">
        <v>17898</v>
      </c>
      <c r="D15008" t="s">
        <v>18108</v>
      </c>
      <c r="E15008" t="s">
        <v>31170</v>
      </c>
      <c r="F15008" t="s">
        <v>31362</v>
      </c>
      <c r="G15008" t="s">
        <v>31370</v>
      </c>
      <c r="H15008" t="s">
        <v>15799</v>
      </c>
      <c r="I15008" t="s">
        <v>7090</v>
      </c>
      <c r="J15008" t="s">
        <v>31792</v>
      </c>
      <c r="K15008" t="s">
        <v>40662</v>
      </c>
      <c r="M15008" t="s">
        <v>41242</v>
      </c>
      <c r="N15008" t="s">
        <v>44905</v>
      </c>
      <c r="O15008" t="s">
        <v>44906</v>
      </c>
      <c r="Q15008">
        <v>2</v>
      </c>
      <c r="R15008" t="s">
        <v>44976</v>
      </c>
      <c r="S15008" t="s">
        <v>46225</v>
      </c>
      <c r="T15008" t="s">
        <v>46412</v>
      </c>
      <c r="U15008" t="s">
        <v>58889</v>
      </c>
      <c r="V15008" t="s">
        <v>60788</v>
      </c>
      <c r="W15008" t="s">
        <v>41242</v>
      </c>
      <c r="X15008" t="s">
        <v>44977</v>
      </c>
    </row>
    <row r="15009" spans="1:24">
      <c r="A15009">
        <f>HYPERLINK("https://www.philgeps.gov.ph/GEPSNONPILOT/Tender/SplashBidNoticeAbstractUI.aspx?menuIndex=3&amp;refID=6924106&amp;Result=3","6924106")</f>
        <v>0</v>
      </c>
      <c r="B15009" t="s">
        <v>1629</v>
      </c>
      <c r="C15009" t="s">
        <v>17899</v>
      </c>
      <c r="D15009" t="s">
        <v>18116</v>
      </c>
      <c r="E15009" t="s">
        <v>31171</v>
      </c>
      <c r="F15009" t="s">
        <v>31362</v>
      </c>
      <c r="G15009" t="s">
        <v>31369</v>
      </c>
      <c r="H15009" t="s">
        <v>31378</v>
      </c>
      <c r="I15009" t="s">
        <v>31386</v>
      </c>
      <c r="J15009" t="s">
        <v>37811</v>
      </c>
      <c r="K15009" t="s">
        <v>40692</v>
      </c>
      <c r="M15009" t="s">
        <v>44089</v>
      </c>
      <c r="N15009" t="s">
        <v>44905</v>
      </c>
      <c r="O15009" t="s">
        <v>44906</v>
      </c>
      <c r="Q15009">
        <v>17</v>
      </c>
      <c r="R15009" t="s">
        <v>44977</v>
      </c>
      <c r="S15009" t="s">
        <v>45186</v>
      </c>
      <c r="T15009" t="s">
        <v>46401</v>
      </c>
      <c r="U15009" t="s">
        <v>57606</v>
      </c>
      <c r="V15009" t="s">
        <v>60789</v>
      </c>
      <c r="W15009" t="s">
        <v>44089</v>
      </c>
      <c r="X15009" t="s">
        <v>44979</v>
      </c>
    </row>
    <row r="15010" spans="1:24">
      <c r="A15010">
        <f>HYPERLINK("https://www.philgeps.gov.ph/GEPSNONPILOT/Tender/SplashBidNoticeAbstractUI.aspx?menuIndex=3&amp;refID=6923942&amp;Result=3","6923942")</f>
        <v>0</v>
      </c>
      <c r="B15010" t="s">
        <v>1629</v>
      </c>
      <c r="C15010" t="s">
        <v>17900</v>
      </c>
      <c r="D15010" t="s">
        <v>18116</v>
      </c>
      <c r="E15010" t="s">
        <v>31172</v>
      </c>
      <c r="F15010" t="s">
        <v>31362</v>
      </c>
      <c r="G15010" t="s">
        <v>31369</v>
      </c>
      <c r="H15010" t="s">
        <v>31378</v>
      </c>
      <c r="I15010" t="s">
        <v>31386</v>
      </c>
      <c r="J15010" t="s">
        <v>37811</v>
      </c>
      <c r="K15010" t="s">
        <v>40692</v>
      </c>
      <c r="M15010" t="s">
        <v>44089</v>
      </c>
      <c r="N15010" t="s">
        <v>44905</v>
      </c>
      <c r="O15010" t="s">
        <v>44906</v>
      </c>
      <c r="Q15010">
        <v>20</v>
      </c>
      <c r="R15010" t="s">
        <v>44977</v>
      </c>
      <c r="S15010" t="s">
        <v>46226</v>
      </c>
      <c r="T15010" t="s">
        <v>46401</v>
      </c>
      <c r="U15010" t="s">
        <v>57606</v>
      </c>
      <c r="V15010" t="s">
        <v>60790</v>
      </c>
      <c r="W15010" t="s">
        <v>44089</v>
      </c>
      <c r="X15010" t="s">
        <v>44979</v>
      </c>
    </row>
    <row r="15011" spans="1:24">
      <c r="A15011">
        <f>HYPERLINK("https://www.philgeps.gov.ph/GEPSNONPILOT/Tender/SplashBidNoticeAbstractUI.aspx?menuIndex=3&amp;refID=6923642&amp;Result=3","6923642")</f>
        <v>0</v>
      </c>
      <c r="B15011" t="s">
        <v>299</v>
      </c>
      <c r="C15011" t="s">
        <v>17901</v>
      </c>
      <c r="D15011" t="s">
        <v>18108</v>
      </c>
      <c r="E15011" t="s">
        <v>31173</v>
      </c>
      <c r="F15011" t="s">
        <v>31362</v>
      </c>
      <c r="G15011" t="s">
        <v>31368</v>
      </c>
      <c r="H15011" t="s">
        <v>15799</v>
      </c>
      <c r="I15011" t="s">
        <v>31384</v>
      </c>
      <c r="J15011" t="s">
        <v>31708</v>
      </c>
      <c r="K15011" t="s">
        <v>40666</v>
      </c>
      <c r="M15011" t="s">
        <v>41242</v>
      </c>
      <c r="N15011" t="s">
        <v>44905</v>
      </c>
      <c r="O15011" t="s">
        <v>44906</v>
      </c>
      <c r="Q15011">
        <v>14</v>
      </c>
      <c r="R15011" t="s">
        <v>44977</v>
      </c>
      <c r="S15011" t="s">
        <v>45863</v>
      </c>
      <c r="T15011" t="s">
        <v>46404</v>
      </c>
      <c r="U15011" t="s">
        <v>58890</v>
      </c>
      <c r="V15011" t="s">
        <v>60791</v>
      </c>
      <c r="W15011" t="s">
        <v>41242</v>
      </c>
      <c r="X15011" t="s">
        <v>44979</v>
      </c>
    </row>
    <row r="15012" spans="1:24">
      <c r="A15012">
        <f>HYPERLINK("https://www.philgeps.gov.ph/GEPSNONPILOT/Tender/SplashBidNoticeAbstractUI.aspx?menuIndex=3&amp;refID=6923450&amp;Result=3","6923450")</f>
        <v>0</v>
      </c>
      <c r="B15012" t="s">
        <v>1883</v>
      </c>
      <c r="C15012" t="s">
        <v>17902</v>
      </c>
      <c r="D15012" t="s">
        <v>18108</v>
      </c>
      <c r="E15012" t="s">
        <v>31174</v>
      </c>
      <c r="F15012" t="s">
        <v>31362</v>
      </c>
      <c r="G15012" t="s">
        <v>31369</v>
      </c>
      <c r="H15012" t="s">
        <v>31378</v>
      </c>
      <c r="I15012" t="s">
        <v>31386</v>
      </c>
      <c r="J15012" t="s">
        <v>40541</v>
      </c>
      <c r="K15012" t="s">
        <v>40684</v>
      </c>
      <c r="M15012" t="s">
        <v>42976</v>
      </c>
      <c r="N15012" t="s">
        <v>44905</v>
      </c>
      <c r="O15012" t="s">
        <v>44906</v>
      </c>
      <c r="Q15012">
        <v>40</v>
      </c>
      <c r="R15012" t="s">
        <v>44977</v>
      </c>
      <c r="S15012" t="s">
        <v>46227</v>
      </c>
      <c r="T15012" t="s">
        <v>46490</v>
      </c>
      <c r="U15012" t="s">
        <v>58891</v>
      </c>
      <c r="W15012" t="s">
        <v>42976</v>
      </c>
      <c r="X15012" t="s">
        <v>44979</v>
      </c>
    </row>
    <row r="15013" spans="1:24">
      <c r="A15013">
        <f>HYPERLINK("https://www.philgeps.gov.ph/GEPSNONPILOT/Tender/SplashBidNoticeAbstractUI.aspx?menuIndex=3&amp;refID=6922102&amp;Result=3","6922102")</f>
        <v>0</v>
      </c>
      <c r="B15013" t="s">
        <v>122</v>
      </c>
      <c r="C15013" t="s">
        <v>17903</v>
      </c>
      <c r="D15013" t="s">
        <v>18108</v>
      </c>
      <c r="E15013" t="s">
        <v>31175</v>
      </c>
      <c r="F15013" t="s">
        <v>31362</v>
      </c>
      <c r="G15013" t="s">
        <v>31371</v>
      </c>
      <c r="H15013" t="s">
        <v>15799</v>
      </c>
      <c r="I15013" t="s">
        <v>7090</v>
      </c>
      <c r="J15013" t="s">
        <v>40542</v>
      </c>
      <c r="K15013" t="s">
        <v>40666</v>
      </c>
      <c r="M15013" t="s">
        <v>43854</v>
      </c>
      <c r="N15013" t="s">
        <v>44905</v>
      </c>
      <c r="O15013" t="s">
        <v>44906</v>
      </c>
      <c r="Q15013">
        <v>0</v>
      </c>
      <c r="R15013" t="s">
        <v>44977</v>
      </c>
      <c r="S15013" t="s">
        <v>46228</v>
      </c>
      <c r="T15013" t="s">
        <v>46411</v>
      </c>
      <c r="U15013" t="s">
        <v>54306</v>
      </c>
      <c r="V15013" t="s">
        <v>60757</v>
      </c>
      <c r="W15013" t="s">
        <v>43854</v>
      </c>
      <c r="X15013" t="s">
        <v>44979</v>
      </c>
    </row>
    <row r="15014" spans="1:24">
      <c r="A15014">
        <f>HYPERLINK("https://www.philgeps.gov.ph/GEPSNONPILOT/Tender/SplashBidNoticeAbstractUI.aspx?menuIndex=3&amp;refID=6923509&amp;Result=3","6923509")</f>
        <v>0</v>
      </c>
      <c r="B15014" t="s">
        <v>1996</v>
      </c>
      <c r="C15014" t="s">
        <v>17904</v>
      </c>
      <c r="D15014" t="s">
        <v>18148</v>
      </c>
      <c r="E15014" t="s">
        <v>31176</v>
      </c>
      <c r="F15014" t="s">
        <v>31362</v>
      </c>
      <c r="G15014" t="s">
        <v>31369</v>
      </c>
      <c r="H15014" t="s">
        <v>15799</v>
      </c>
      <c r="I15014" t="s">
        <v>7719</v>
      </c>
      <c r="J15014" t="s">
        <v>31542</v>
      </c>
      <c r="K15014" t="s">
        <v>40665</v>
      </c>
      <c r="M15014" t="s">
        <v>43107</v>
      </c>
      <c r="N15014" t="s">
        <v>44905</v>
      </c>
      <c r="O15014" t="s">
        <v>44906</v>
      </c>
      <c r="Q15014">
        <v>10</v>
      </c>
      <c r="R15014" t="s">
        <v>44977</v>
      </c>
      <c r="S15014" t="s">
        <v>46229</v>
      </c>
      <c r="T15014" t="s">
        <v>46504</v>
      </c>
      <c r="U15014" t="s">
        <v>58892</v>
      </c>
      <c r="W15014" t="s">
        <v>43107</v>
      </c>
      <c r="X15014" t="s">
        <v>44979</v>
      </c>
    </row>
    <row r="15015" spans="1:24">
      <c r="A15015">
        <f>HYPERLINK("https://www.philgeps.gov.ph/GEPSNONPILOT/Tender/SplashBidNoticeAbstractUI.aspx?menuIndex=3&amp;refID=6903317&amp;Result=3","6903317")</f>
        <v>0</v>
      </c>
      <c r="B15015" t="s">
        <v>115</v>
      </c>
      <c r="C15015" t="s">
        <v>17905</v>
      </c>
      <c r="D15015" t="s">
        <v>18138</v>
      </c>
      <c r="E15015" t="s">
        <v>31177</v>
      </c>
      <c r="F15015" t="s">
        <v>31362</v>
      </c>
      <c r="G15015" t="s">
        <v>31373</v>
      </c>
      <c r="H15015" t="s">
        <v>31377</v>
      </c>
      <c r="I15015" t="s">
        <v>31377</v>
      </c>
      <c r="J15015" t="s">
        <v>40543</v>
      </c>
      <c r="K15015" t="s">
        <v>40662</v>
      </c>
      <c r="L15015" t="s">
        <v>115</v>
      </c>
      <c r="M15015" t="s">
        <v>41052</v>
      </c>
      <c r="N15015" t="s">
        <v>44905</v>
      </c>
      <c r="O15015" t="s">
        <v>44906</v>
      </c>
      <c r="Q15015">
        <v>12</v>
      </c>
      <c r="R15015" t="s">
        <v>44977</v>
      </c>
      <c r="S15015" t="s">
        <v>46230</v>
      </c>
      <c r="T15015" t="s">
        <v>46411</v>
      </c>
      <c r="U15015" t="s">
        <v>58893</v>
      </c>
      <c r="W15015" t="s">
        <v>41052</v>
      </c>
      <c r="X15015" t="s">
        <v>45019</v>
      </c>
    </row>
    <row r="15016" spans="1:24">
      <c r="A15016">
        <f>HYPERLINK("https://www.philgeps.gov.ph/GEPSNONPILOT/Tender/SplashBidNoticeAbstractUI.aspx?menuIndex=3&amp;refID=6925779&amp;Result=3","6925779")</f>
        <v>0</v>
      </c>
      <c r="B15016" t="s">
        <v>299</v>
      </c>
      <c r="C15016" t="s">
        <v>17906</v>
      </c>
      <c r="D15016" t="s">
        <v>18108</v>
      </c>
      <c r="E15016" t="s">
        <v>31178</v>
      </c>
      <c r="F15016" t="s">
        <v>31362</v>
      </c>
      <c r="G15016" t="s">
        <v>31368</v>
      </c>
      <c r="H15016" t="s">
        <v>15799</v>
      </c>
      <c r="I15016" t="s">
        <v>31393</v>
      </c>
      <c r="J15016" t="s">
        <v>40544</v>
      </c>
      <c r="K15016" t="s">
        <v>40666</v>
      </c>
      <c r="M15016" t="s">
        <v>41242</v>
      </c>
      <c r="N15016" t="s">
        <v>44905</v>
      </c>
      <c r="O15016" t="s">
        <v>44906</v>
      </c>
      <c r="Q15016">
        <v>9</v>
      </c>
      <c r="R15016" t="s">
        <v>44976</v>
      </c>
      <c r="S15016" t="s">
        <v>46231</v>
      </c>
      <c r="T15016" t="s">
        <v>46503</v>
      </c>
      <c r="U15016" t="s">
        <v>58894</v>
      </c>
      <c r="V15016" t="s">
        <v>60792</v>
      </c>
      <c r="W15016" t="s">
        <v>41242</v>
      </c>
      <c r="X15016" t="s">
        <v>44977</v>
      </c>
    </row>
    <row r="15017" spans="1:24">
      <c r="A15017">
        <f>HYPERLINK("https://www.philgeps.gov.ph/GEPSNONPILOT/Tender/SplashBidNoticeAbstractUI.aspx?menuIndex=3&amp;refID=6928847&amp;Result=3","6928847")</f>
        <v>0</v>
      </c>
      <c r="B15017" t="s">
        <v>2415</v>
      </c>
      <c r="C15017" t="s">
        <v>17907</v>
      </c>
      <c r="D15017" t="s">
        <v>18180</v>
      </c>
      <c r="E15017" t="s">
        <v>31179</v>
      </c>
      <c r="F15017" t="s">
        <v>31362</v>
      </c>
      <c r="G15017" t="s">
        <v>31369</v>
      </c>
      <c r="H15017" t="s">
        <v>31378</v>
      </c>
      <c r="I15017" t="s">
        <v>31386</v>
      </c>
      <c r="J15017" t="s">
        <v>40545</v>
      </c>
      <c r="K15017" t="s">
        <v>40662</v>
      </c>
      <c r="M15017" t="s">
        <v>43570</v>
      </c>
      <c r="N15017" t="s">
        <v>44905</v>
      </c>
      <c r="O15017" t="s">
        <v>44906</v>
      </c>
      <c r="Q15017">
        <v>1</v>
      </c>
      <c r="R15017" t="s">
        <v>44976</v>
      </c>
      <c r="S15017" t="s">
        <v>46232</v>
      </c>
      <c r="T15017" t="s">
        <v>46435</v>
      </c>
      <c r="U15017" t="s">
        <v>53486</v>
      </c>
      <c r="W15017" t="s">
        <v>43570</v>
      </c>
      <c r="X15017" t="s">
        <v>44977</v>
      </c>
    </row>
    <row r="15018" spans="1:24">
      <c r="A15018">
        <f>HYPERLINK("https://www.philgeps.gov.ph/GEPSNONPILOT/Tender/SplashBidNoticeAbstractUI.aspx?menuIndex=3&amp;refID=6928834&amp;Result=3","6928834")</f>
        <v>0</v>
      </c>
      <c r="B15018" t="s">
        <v>2415</v>
      </c>
      <c r="C15018" t="s">
        <v>17908</v>
      </c>
      <c r="D15018" t="s">
        <v>18180</v>
      </c>
      <c r="E15018" t="s">
        <v>31180</v>
      </c>
      <c r="F15018" t="s">
        <v>31362</v>
      </c>
      <c r="G15018" t="s">
        <v>31369</v>
      </c>
      <c r="H15018" t="s">
        <v>31378</v>
      </c>
      <c r="I15018" t="s">
        <v>31386</v>
      </c>
      <c r="J15018" t="s">
        <v>40546</v>
      </c>
      <c r="K15018" t="s">
        <v>40662</v>
      </c>
      <c r="M15018" t="s">
        <v>43570</v>
      </c>
      <c r="N15018" t="s">
        <v>44905</v>
      </c>
      <c r="O15018" t="s">
        <v>44906</v>
      </c>
      <c r="Q15018">
        <v>0</v>
      </c>
      <c r="R15018" t="s">
        <v>44976</v>
      </c>
      <c r="S15018" t="s">
        <v>46140</v>
      </c>
      <c r="T15018" t="s">
        <v>46435</v>
      </c>
      <c r="U15018" t="s">
        <v>53486</v>
      </c>
      <c r="W15018" t="s">
        <v>43570</v>
      </c>
      <c r="X15018" t="s">
        <v>44977</v>
      </c>
    </row>
    <row r="15019" spans="1:24">
      <c r="A15019">
        <f>HYPERLINK("https://www.philgeps.gov.ph/GEPSNONPILOT/Tender/SplashBidNoticeAbstractUI.aspx?menuIndex=3&amp;refID=6928814&amp;Result=3","6928814")</f>
        <v>0</v>
      </c>
      <c r="B15019" t="s">
        <v>2415</v>
      </c>
      <c r="C15019" t="s">
        <v>17909</v>
      </c>
      <c r="D15019" t="s">
        <v>18180</v>
      </c>
      <c r="E15019" t="s">
        <v>31181</v>
      </c>
      <c r="F15019" t="s">
        <v>31362</v>
      </c>
      <c r="G15019" t="s">
        <v>31369</v>
      </c>
      <c r="H15019" t="s">
        <v>31378</v>
      </c>
      <c r="I15019" t="s">
        <v>31386</v>
      </c>
      <c r="J15019" t="s">
        <v>40547</v>
      </c>
      <c r="K15019" t="s">
        <v>40662</v>
      </c>
      <c r="M15019" t="s">
        <v>43570</v>
      </c>
      <c r="N15019" t="s">
        <v>44905</v>
      </c>
      <c r="O15019" t="s">
        <v>44906</v>
      </c>
      <c r="Q15019">
        <v>1</v>
      </c>
      <c r="R15019" t="s">
        <v>44976</v>
      </c>
      <c r="S15019" t="s">
        <v>46233</v>
      </c>
      <c r="T15019" t="s">
        <v>46435</v>
      </c>
      <c r="U15019" t="s">
        <v>53486</v>
      </c>
      <c r="W15019" t="s">
        <v>43570</v>
      </c>
      <c r="X15019" t="s">
        <v>44977</v>
      </c>
    </row>
    <row r="15020" spans="1:24">
      <c r="A15020">
        <f>HYPERLINK("https://www.philgeps.gov.ph/GEPSNONPILOT/Tender/SplashBidNoticeAbstractUI.aspx?menuIndex=3&amp;refID=6923653&amp;Result=3","6923653")</f>
        <v>0</v>
      </c>
      <c r="B15020" t="s">
        <v>1996</v>
      </c>
      <c r="C15020" t="s">
        <v>17910</v>
      </c>
      <c r="D15020" t="s">
        <v>18148</v>
      </c>
      <c r="E15020" t="s">
        <v>31182</v>
      </c>
      <c r="F15020" t="s">
        <v>31362</v>
      </c>
      <c r="G15020" t="s">
        <v>31369</v>
      </c>
      <c r="H15020" t="s">
        <v>15799</v>
      </c>
      <c r="I15020" t="s">
        <v>31393</v>
      </c>
      <c r="J15020" t="s">
        <v>31709</v>
      </c>
      <c r="K15020" t="s">
        <v>40665</v>
      </c>
      <c r="M15020" t="s">
        <v>43107</v>
      </c>
      <c r="N15020" t="s">
        <v>44905</v>
      </c>
      <c r="O15020" t="s">
        <v>44906</v>
      </c>
      <c r="Q15020">
        <v>9</v>
      </c>
      <c r="R15020" t="s">
        <v>44977</v>
      </c>
      <c r="S15020" t="s">
        <v>46234</v>
      </c>
      <c r="T15020" t="s">
        <v>46635</v>
      </c>
      <c r="U15020" t="s">
        <v>58895</v>
      </c>
      <c r="W15020" t="s">
        <v>43107</v>
      </c>
      <c r="X15020" t="s">
        <v>44979</v>
      </c>
    </row>
    <row r="15021" spans="1:24">
      <c r="A15021">
        <f>HYPERLINK("https://www.philgeps.gov.ph/GEPSNONPILOT/Tender/SplashBidNoticeAbstractUI.aspx?menuIndex=3&amp;refID=6928859&amp;Result=3","6928859")</f>
        <v>0</v>
      </c>
      <c r="B15021" t="s">
        <v>2415</v>
      </c>
      <c r="C15021" t="s">
        <v>17911</v>
      </c>
      <c r="D15021" t="s">
        <v>18180</v>
      </c>
      <c r="E15021" t="s">
        <v>31183</v>
      </c>
      <c r="F15021" t="s">
        <v>31362</v>
      </c>
      <c r="G15021" t="s">
        <v>31369</v>
      </c>
      <c r="H15021" t="s">
        <v>31378</v>
      </c>
      <c r="I15021" t="s">
        <v>31386</v>
      </c>
      <c r="J15021" t="s">
        <v>40548</v>
      </c>
      <c r="K15021" t="s">
        <v>40662</v>
      </c>
      <c r="M15021" t="s">
        <v>43570</v>
      </c>
      <c r="N15021" t="s">
        <v>44905</v>
      </c>
      <c r="O15021" t="s">
        <v>44906</v>
      </c>
      <c r="Q15021">
        <v>0</v>
      </c>
      <c r="R15021" t="s">
        <v>44976</v>
      </c>
      <c r="S15021" t="s">
        <v>46235</v>
      </c>
      <c r="T15021" t="s">
        <v>46435</v>
      </c>
      <c r="U15021" t="s">
        <v>53486</v>
      </c>
      <c r="W15021" t="s">
        <v>43570</v>
      </c>
      <c r="X15021" t="s">
        <v>44977</v>
      </c>
    </row>
    <row r="15022" spans="1:24">
      <c r="A15022">
        <f>HYPERLINK("https://www.philgeps.gov.ph/GEPSNONPILOT/Tender/SplashBidNoticeAbstractUI.aspx?menuIndex=3&amp;refID=6920435&amp;Result=3","6920435")</f>
        <v>0</v>
      </c>
      <c r="B15022" t="s">
        <v>762</v>
      </c>
      <c r="C15022" t="s">
        <v>17912</v>
      </c>
      <c r="D15022" t="s">
        <v>18108</v>
      </c>
      <c r="E15022" t="s">
        <v>31184</v>
      </c>
      <c r="F15022" t="s">
        <v>31362</v>
      </c>
      <c r="G15022" t="s">
        <v>31368</v>
      </c>
      <c r="H15022" t="s">
        <v>15799</v>
      </c>
      <c r="I15022" t="s">
        <v>31413</v>
      </c>
      <c r="J15022" t="s">
        <v>31591</v>
      </c>
      <c r="K15022" t="s">
        <v>40662</v>
      </c>
      <c r="M15022" t="s">
        <v>44864</v>
      </c>
      <c r="N15022" t="s">
        <v>44905</v>
      </c>
      <c r="O15022" t="s">
        <v>44906</v>
      </c>
      <c r="Q15022">
        <v>2</v>
      </c>
      <c r="R15022" t="s">
        <v>44978</v>
      </c>
      <c r="S15022" t="s">
        <v>46236</v>
      </c>
      <c r="T15022" t="s">
        <v>46409</v>
      </c>
      <c r="U15022" t="s">
        <v>58896</v>
      </c>
      <c r="W15022" t="s">
        <v>44864</v>
      </c>
      <c r="X15022" t="s">
        <v>44982</v>
      </c>
    </row>
    <row r="15023" spans="1:24">
      <c r="A15023">
        <f>HYPERLINK("https://www.philgeps.gov.ph/GEPSNONPILOT/Tender/SplashBidNoticeAbstractUI.aspx?menuIndex=3&amp;refID=6920220&amp;Result=3","6920220")</f>
        <v>0</v>
      </c>
      <c r="B15023" t="s">
        <v>3500</v>
      </c>
      <c r="C15023" t="s">
        <v>17913</v>
      </c>
      <c r="D15023" t="s">
        <v>18108</v>
      </c>
      <c r="E15023" t="s">
        <v>31185</v>
      </c>
      <c r="F15023" t="s">
        <v>31362</v>
      </c>
      <c r="G15023" t="s">
        <v>31368</v>
      </c>
      <c r="H15023" t="s">
        <v>15799</v>
      </c>
      <c r="I15023" t="s">
        <v>31393</v>
      </c>
      <c r="J15023" t="s">
        <v>32023</v>
      </c>
      <c r="K15023" t="s">
        <v>40899</v>
      </c>
      <c r="M15023" t="s">
        <v>44878</v>
      </c>
      <c r="N15023" t="s">
        <v>44905</v>
      </c>
      <c r="O15023" t="s">
        <v>44906</v>
      </c>
      <c r="Q15023">
        <v>1</v>
      </c>
      <c r="R15023" t="s">
        <v>44978</v>
      </c>
      <c r="S15023" t="s">
        <v>45271</v>
      </c>
      <c r="T15023" t="s">
        <v>46447</v>
      </c>
      <c r="U15023" t="s">
        <v>58897</v>
      </c>
      <c r="W15023" t="s">
        <v>44878</v>
      </c>
      <c r="X15023" t="s">
        <v>44982</v>
      </c>
    </row>
    <row r="15024" spans="1:24">
      <c r="A15024">
        <f>HYPERLINK("https://www.philgeps.gov.ph/GEPSNONPILOT/Tender/SplashBidNoticeAbstractUI.aspx?menuIndex=3&amp;refID=6919852&amp;Result=3","6919852")</f>
        <v>0</v>
      </c>
      <c r="B15024" t="s">
        <v>1883</v>
      </c>
      <c r="C15024" t="s">
        <v>17914</v>
      </c>
      <c r="D15024" t="s">
        <v>18108</v>
      </c>
      <c r="E15024" t="s">
        <v>31186</v>
      </c>
      <c r="F15024" t="s">
        <v>31362</v>
      </c>
      <c r="G15024" t="s">
        <v>31369</v>
      </c>
      <c r="H15024" t="s">
        <v>31378</v>
      </c>
      <c r="I15024" t="s">
        <v>31386</v>
      </c>
      <c r="J15024" t="s">
        <v>40549</v>
      </c>
      <c r="K15024" t="s">
        <v>40684</v>
      </c>
      <c r="M15024" t="s">
        <v>42976</v>
      </c>
      <c r="N15024" t="s">
        <v>44905</v>
      </c>
      <c r="O15024" t="s">
        <v>44906</v>
      </c>
      <c r="Q15024">
        <v>37</v>
      </c>
      <c r="R15024" t="s">
        <v>44978</v>
      </c>
      <c r="S15024" t="s">
        <v>46237</v>
      </c>
      <c r="T15024" t="s">
        <v>46490</v>
      </c>
      <c r="U15024" t="s">
        <v>58898</v>
      </c>
      <c r="W15024" t="s">
        <v>42976</v>
      </c>
      <c r="X15024" t="s">
        <v>44982</v>
      </c>
    </row>
    <row r="15025" spans="1:24">
      <c r="A15025">
        <f>HYPERLINK("https://www.philgeps.gov.ph/GEPSNONPILOT/Tender/SplashBidNoticeAbstractUI.aspx?menuIndex=3&amp;refID=6877294-2&amp;Result=3","6877294-2")</f>
        <v>0</v>
      </c>
      <c r="B15025" t="s">
        <v>2401</v>
      </c>
      <c r="C15025" t="s">
        <v>17915</v>
      </c>
      <c r="D15025" t="s">
        <v>18134</v>
      </c>
      <c r="E15025" t="s">
        <v>31187</v>
      </c>
      <c r="F15025" t="s">
        <v>31362</v>
      </c>
      <c r="G15025" t="s">
        <v>31369</v>
      </c>
      <c r="H15025" t="s">
        <v>31377</v>
      </c>
      <c r="I15025" t="s">
        <v>31377</v>
      </c>
      <c r="J15025" t="s">
        <v>40550</v>
      </c>
      <c r="K15025" t="s">
        <v>40686</v>
      </c>
      <c r="M15025" t="s">
        <v>44214</v>
      </c>
      <c r="N15025" t="s">
        <v>44905</v>
      </c>
      <c r="O15025" t="s">
        <v>44906</v>
      </c>
      <c r="Q15025">
        <v>2</v>
      </c>
      <c r="R15025" t="s">
        <v>44970</v>
      </c>
      <c r="S15025" t="s">
        <v>46238</v>
      </c>
      <c r="T15025" t="s">
        <v>46435</v>
      </c>
      <c r="U15025" t="s">
        <v>58899</v>
      </c>
      <c r="W15025" t="s">
        <v>44214</v>
      </c>
      <c r="X15025" t="s">
        <v>44969</v>
      </c>
    </row>
    <row r="15026" spans="1:24">
      <c r="A15026">
        <f>HYPERLINK("https://www.philgeps.gov.ph/GEPSNONPILOT/Tender/SplashBidNoticeAbstractUI.aspx?menuIndex=3&amp;refID=6919596&amp;Result=3","6919596")</f>
        <v>0</v>
      </c>
      <c r="B15026" t="s">
        <v>2325</v>
      </c>
      <c r="C15026" t="s">
        <v>17916</v>
      </c>
      <c r="D15026" t="s">
        <v>18170</v>
      </c>
      <c r="E15026" t="s">
        <v>31188</v>
      </c>
      <c r="F15026" t="s">
        <v>31362</v>
      </c>
      <c r="G15026" t="s">
        <v>31369</v>
      </c>
      <c r="H15026" t="s">
        <v>31378</v>
      </c>
      <c r="I15026" t="s">
        <v>31386</v>
      </c>
      <c r="J15026" t="s">
        <v>35708</v>
      </c>
      <c r="K15026" t="s">
        <v>40728</v>
      </c>
      <c r="M15026" t="s">
        <v>44579</v>
      </c>
      <c r="N15026" t="s">
        <v>44905</v>
      </c>
      <c r="O15026" t="s">
        <v>44906</v>
      </c>
      <c r="Q15026">
        <v>3</v>
      </c>
      <c r="R15026" t="s">
        <v>44978</v>
      </c>
      <c r="S15026" t="s">
        <v>46239</v>
      </c>
      <c r="T15026" t="s">
        <v>46862</v>
      </c>
      <c r="U15026" t="s">
        <v>58900</v>
      </c>
      <c r="V15026" t="s">
        <v>60793</v>
      </c>
      <c r="W15026" t="s">
        <v>44579</v>
      </c>
      <c r="X15026" t="s">
        <v>44982</v>
      </c>
    </row>
    <row r="15027" spans="1:24">
      <c r="A15027">
        <f>HYPERLINK("https://www.philgeps.gov.ph/GEPSNONPILOT/Tender/SplashBidNoticeAbstractUI.aspx?menuIndex=3&amp;refID=6928800&amp;Result=3","6928800")</f>
        <v>0</v>
      </c>
      <c r="B15027" t="s">
        <v>2415</v>
      </c>
      <c r="C15027" t="s">
        <v>17917</v>
      </c>
      <c r="D15027" t="s">
        <v>18180</v>
      </c>
      <c r="E15027" t="s">
        <v>31189</v>
      </c>
      <c r="F15027" t="s">
        <v>31362</v>
      </c>
      <c r="G15027" t="s">
        <v>31369</v>
      </c>
      <c r="H15027" t="s">
        <v>31378</v>
      </c>
      <c r="I15027" t="s">
        <v>31386</v>
      </c>
      <c r="J15027" t="s">
        <v>40551</v>
      </c>
      <c r="K15027" t="s">
        <v>40662</v>
      </c>
      <c r="M15027" t="s">
        <v>43570</v>
      </c>
      <c r="N15027" t="s">
        <v>44905</v>
      </c>
      <c r="O15027" t="s">
        <v>44906</v>
      </c>
      <c r="Q15027">
        <v>0</v>
      </c>
      <c r="R15027" t="s">
        <v>44976</v>
      </c>
      <c r="S15027" t="s">
        <v>46240</v>
      </c>
      <c r="T15027" t="s">
        <v>46435</v>
      </c>
      <c r="U15027" t="s">
        <v>53486</v>
      </c>
      <c r="W15027" t="s">
        <v>43570</v>
      </c>
      <c r="X15027" t="s">
        <v>44977</v>
      </c>
    </row>
    <row r="15028" spans="1:24">
      <c r="A15028">
        <f>HYPERLINK("https://www.philgeps.gov.ph/GEPSNONPILOT/Tender/SplashBidNoticeAbstractUI.aspx?menuIndex=3&amp;refID=6920701&amp;Result=3","6920701")</f>
        <v>0</v>
      </c>
      <c r="B15028" t="s">
        <v>1702</v>
      </c>
      <c r="C15028" t="s">
        <v>17918</v>
      </c>
      <c r="D15028" t="s">
        <v>18116</v>
      </c>
      <c r="E15028" t="s">
        <v>31190</v>
      </c>
      <c r="F15028" t="s">
        <v>31362</v>
      </c>
      <c r="G15028" t="s">
        <v>31369</v>
      </c>
      <c r="H15028" t="s">
        <v>31378</v>
      </c>
      <c r="I15028" t="s">
        <v>31386</v>
      </c>
      <c r="J15028" t="s">
        <v>31625</v>
      </c>
      <c r="K15028" t="s">
        <v>40682</v>
      </c>
      <c r="M15028" t="s">
        <v>42769</v>
      </c>
      <c r="N15028" t="s">
        <v>44905</v>
      </c>
      <c r="O15028" t="s">
        <v>44906</v>
      </c>
      <c r="Q15028">
        <v>1</v>
      </c>
      <c r="R15028" t="s">
        <v>44979</v>
      </c>
      <c r="S15028" t="s">
        <v>46241</v>
      </c>
      <c r="T15028" t="s">
        <v>46406</v>
      </c>
      <c r="U15028" t="s">
        <v>58901</v>
      </c>
      <c r="V15028" t="s">
        <v>60794</v>
      </c>
      <c r="W15028" t="s">
        <v>42769</v>
      </c>
      <c r="X15028" t="s">
        <v>44978</v>
      </c>
    </row>
    <row r="15029" spans="1:24">
      <c r="A15029">
        <f>HYPERLINK("https://www.philgeps.gov.ph/GEPSNONPILOT/Tender/SplashBidNoticeAbstractUI.aspx?menuIndex=3&amp;refID=6920695&amp;Result=3","6920695")</f>
        <v>0</v>
      </c>
      <c r="B15029" t="s">
        <v>1702</v>
      </c>
      <c r="C15029" t="s">
        <v>17919</v>
      </c>
      <c r="D15029" t="s">
        <v>18116</v>
      </c>
      <c r="E15029" t="s">
        <v>31191</v>
      </c>
      <c r="F15029" t="s">
        <v>31362</v>
      </c>
      <c r="G15029" t="s">
        <v>31369</v>
      </c>
      <c r="H15029" t="s">
        <v>31378</v>
      </c>
      <c r="I15029" t="s">
        <v>31386</v>
      </c>
      <c r="J15029" t="s">
        <v>31625</v>
      </c>
      <c r="K15029" t="s">
        <v>40694</v>
      </c>
      <c r="M15029" t="s">
        <v>42769</v>
      </c>
      <c r="N15029" t="s">
        <v>44905</v>
      </c>
      <c r="O15029" t="s">
        <v>44906</v>
      </c>
      <c r="Q15029">
        <v>1</v>
      </c>
      <c r="R15029" t="s">
        <v>44979</v>
      </c>
      <c r="S15029" t="s">
        <v>46241</v>
      </c>
      <c r="T15029" t="s">
        <v>46406</v>
      </c>
      <c r="U15029" t="s">
        <v>58902</v>
      </c>
      <c r="V15029" t="s">
        <v>60794</v>
      </c>
      <c r="W15029" t="s">
        <v>42769</v>
      </c>
      <c r="X15029" t="s">
        <v>44978</v>
      </c>
    </row>
    <row r="15030" spans="1:24">
      <c r="A15030">
        <f>HYPERLINK("https://www.philgeps.gov.ph/GEPSNONPILOT/Tender/SplashBidNoticeAbstractUI.aspx?menuIndex=3&amp;refID=6935056&amp;Result=3","6935056")</f>
        <v>0</v>
      </c>
      <c r="B15030" t="s">
        <v>750</v>
      </c>
      <c r="C15030" t="s">
        <v>17920</v>
      </c>
      <c r="E15030" t="s">
        <v>31192</v>
      </c>
      <c r="F15030" t="s">
        <v>31362</v>
      </c>
      <c r="G15030" t="s">
        <v>31369</v>
      </c>
      <c r="H15030" t="s">
        <v>31378</v>
      </c>
      <c r="I15030" t="s">
        <v>31386</v>
      </c>
      <c r="J15030" t="s">
        <v>37811</v>
      </c>
      <c r="K15030" t="s">
        <v>40662</v>
      </c>
      <c r="M15030" t="s">
        <v>44867</v>
      </c>
      <c r="N15030" t="s">
        <v>44905</v>
      </c>
      <c r="O15030" t="s">
        <v>44906</v>
      </c>
      <c r="Q15030">
        <v>0</v>
      </c>
      <c r="R15030" t="s">
        <v>44968</v>
      </c>
      <c r="S15030" t="s">
        <v>46242</v>
      </c>
      <c r="T15030" t="s">
        <v>46447</v>
      </c>
      <c r="U15030" t="s">
        <v>58903</v>
      </c>
      <c r="V15030" t="s">
        <v>60795</v>
      </c>
      <c r="W15030" t="s">
        <v>44867</v>
      </c>
      <c r="X15030" t="s">
        <v>44975</v>
      </c>
    </row>
    <row r="15031" spans="1:24">
      <c r="A15031">
        <f>HYPERLINK("https://www.philgeps.gov.ph/GEPSNONPILOT/Tender/SplashBidNoticeAbstractUI.aspx?menuIndex=3&amp;refID=6920683&amp;Result=3","6920683")</f>
        <v>0</v>
      </c>
      <c r="B15031" t="s">
        <v>1702</v>
      </c>
      <c r="C15031" t="s">
        <v>17921</v>
      </c>
      <c r="D15031" t="s">
        <v>18116</v>
      </c>
      <c r="E15031" t="s">
        <v>31193</v>
      </c>
      <c r="F15031" t="s">
        <v>31362</v>
      </c>
      <c r="G15031" t="s">
        <v>31369</v>
      </c>
      <c r="H15031" t="s">
        <v>31378</v>
      </c>
      <c r="I15031" t="s">
        <v>31386</v>
      </c>
      <c r="J15031" t="s">
        <v>31625</v>
      </c>
      <c r="K15031" t="s">
        <v>40694</v>
      </c>
      <c r="M15031" t="s">
        <v>42769</v>
      </c>
      <c r="N15031" t="s">
        <v>44905</v>
      </c>
      <c r="O15031" t="s">
        <v>44906</v>
      </c>
      <c r="Q15031">
        <v>1</v>
      </c>
      <c r="R15031" t="s">
        <v>44979</v>
      </c>
      <c r="S15031" t="s">
        <v>46243</v>
      </c>
      <c r="T15031" t="s">
        <v>46406</v>
      </c>
      <c r="U15031" t="s">
        <v>58904</v>
      </c>
      <c r="V15031" t="s">
        <v>60796</v>
      </c>
      <c r="W15031" t="s">
        <v>42769</v>
      </c>
      <c r="X15031" t="s">
        <v>44978</v>
      </c>
    </row>
    <row r="15032" spans="1:24">
      <c r="A15032">
        <f>HYPERLINK("https://www.philgeps.gov.ph/GEPSNONPILOT/Tender/SplashBidNoticeAbstractUI.aspx?menuIndex=3&amp;refID=6973057&amp;Result=3","6973057")</f>
        <v>0</v>
      </c>
      <c r="B15032" t="s">
        <v>393</v>
      </c>
      <c r="C15032" t="s">
        <v>17922</v>
      </c>
      <c r="D15032" t="s">
        <v>18122</v>
      </c>
      <c r="E15032" t="s">
        <v>31194</v>
      </c>
      <c r="F15032" t="s">
        <v>31362</v>
      </c>
      <c r="G15032" t="s">
        <v>31371</v>
      </c>
      <c r="H15032" t="s">
        <v>15799</v>
      </c>
      <c r="I15032" t="s">
        <v>6373</v>
      </c>
      <c r="J15032" t="s">
        <v>40552</v>
      </c>
      <c r="K15032" t="s">
        <v>40666</v>
      </c>
      <c r="M15032" t="s">
        <v>41341</v>
      </c>
      <c r="N15032" t="s">
        <v>44905</v>
      </c>
      <c r="O15032" t="s">
        <v>44906</v>
      </c>
      <c r="Q15032">
        <v>4</v>
      </c>
      <c r="R15032" t="s">
        <v>44960</v>
      </c>
      <c r="S15032" t="s">
        <v>46244</v>
      </c>
      <c r="T15032" t="s">
        <v>46481</v>
      </c>
      <c r="U15032" t="s">
        <v>58905</v>
      </c>
      <c r="W15032" t="s">
        <v>41341</v>
      </c>
      <c r="X15032" t="s">
        <v>60989</v>
      </c>
    </row>
    <row r="15033" spans="1:24">
      <c r="A15033">
        <f>HYPERLINK("https://www.philgeps.gov.ph/GEPSNONPILOT/Tender/SplashBidNoticeAbstractUI.aspx?menuIndex=3&amp;refID=6920397&amp;Result=3","6920397")</f>
        <v>0</v>
      </c>
      <c r="B15033" t="s">
        <v>122</v>
      </c>
      <c r="C15033" t="s">
        <v>17923</v>
      </c>
      <c r="D15033" t="s">
        <v>18145</v>
      </c>
      <c r="E15033" t="s">
        <v>31195</v>
      </c>
      <c r="F15033" t="s">
        <v>31362</v>
      </c>
      <c r="G15033" t="s">
        <v>31369</v>
      </c>
      <c r="H15033" t="s">
        <v>15799</v>
      </c>
      <c r="I15033" t="s">
        <v>31479</v>
      </c>
      <c r="J15033" t="s">
        <v>40553</v>
      </c>
      <c r="K15033" t="s">
        <v>40665</v>
      </c>
      <c r="M15033" t="s">
        <v>41059</v>
      </c>
      <c r="N15033" t="s">
        <v>44905</v>
      </c>
      <c r="O15033" t="s">
        <v>44906</v>
      </c>
      <c r="Q15033">
        <v>6</v>
      </c>
      <c r="R15033" t="s">
        <v>44978</v>
      </c>
      <c r="S15033" t="s">
        <v>46245</v>
      </c>
      <c r="T15033" t="s">
        <v>46809</v>
      </c>
      <c r="U15033" t="s">
        <v>58906</v>
      </c>
      <c r="V15033" t="s">
        <v>60797</v>
      </c>
      <c r="W15033" t="s">
        <v>41059</v>
      </c>
      <c r="X15033" t="s">
        <v>44982</v>
      </c>
    </row>
    <row r="15034" spans="1:24">
      <c r="A15034">
        <f>HYPERLINK("https://www.philgeps.gov.ph/GEPSNONPILOT/Tender/SplashBidNoticeAbstractUI.aspx?menuIndex=3&amp;refID=6910808&amp;Result=3","6910808")</f>
        <v>0</v>
      </c>
      <c r="B15034" t="s">
        <v>1265</v>
      </c>
      <c r="C15034" t="s">
        <v>17924</v>
      </c>
      <c r="D15034" t="s">
        <v>18131</v>
      </c>
      <c r="E15034" t="s">
        <v>31196</v>
      </c>
      <c r="F15034" t="s">
        <v>31362</v>
      </c>
      <c r="G15034" t="s">
        <v>31369</v>
      </c>
      <c r="H15034" t="s">
        <v>31378</v>
      </c>
      <c r="I15034" t="s">
        <v>31386</v>
      </c>
      <c r="J15034" t="s">
        <v>40554</v>
      </c>
      <c r="K15034" t="s">
        <v>40864</v>
      </c>
      <c r="M15034" t="s">
        <v>42282</v>
      </c>
      <c r="N15034" t="s">
        <v>44905</v>
      </c>
      <c r="O15034" t="s">
        <v>44906</v>
      </c>
      <c r="Q15034">
        <v>61</v>
      </c>
      <c r="R15034" t="s">
        <v>44980</v>
      </c>
      <c r="S15034" t="s">
        <v>46246</v>
      </c>
      <c r="T15034" t="s">
        <v>46392</v>
      </c>
      <c r="U15034" t="s">
        <v>58907</v>
      </c>
      <c r="V15034" t="s">
        <v>59409</v>
      </c>
      <c r="W15034" t="s">
        <v>42282</v>
      </c>
      <c r="X15034" t="s">
        <v>44984</v>
      </c>
    </row>
    <row r="15035" spans="1:24">
      <c r="A15035">
        <f>HYPERLINK("https://www.philgeps.gov.ph/GEPSNONPILOT/Tender/SplashBidNoticeAbstractUI.aspx?menuIndex=3&amp;refID=6975651&amp;Result=3","6975651")</f>
        <v>0</v>
      </c>
      <c r="B15035" t="s">
        <v>61</v>
      </c>
      <c r="C15035" t="s">
        <v>17925</v>
      </c>
      <c r="D15035" t="s">
        <v>18124</v>
      </c>
      <c r="E15035" t="s">
        <v>31197</v>
      </c>
      <c r="F15035" t="s">
        <v>31362</v>
      </c>
      <c r="G15035" t="s">
        <v>31368</v>
      </c>
      <c r="H15035" t="s">
        <v>15799</v>
      </c>
      <c r="I15035" t="s">
        <v>7188</v>
      </c>
      <c r="J15035" t="s">
        <v>31983</v>
      </c>
      <c r="K15035" t="s">
        <v>40679</v>
      </c>
      <c r="M15035" t="s">
        <v>40996</v>
      </c>
      <c r="N15035" t="s">
        <v>44905</v>
      </c>
      <c r="O15035" t="s">
        <v>44906</v>
      </c>
      <c r="P15035">
        <v>0</v>
      </c>
      <c r="Q15035">
        <v>1</v>
      </c>
      <c r="R15035" t="s">
        <v>44981</v>
      </c>
      <c r="S15035" t="s">
        <v>46247</v>
      </c>
      <c r="T15035" t="s">
        <v>46909</v>
      </c>
      <c r="U15035" t="s">
        <v>46986</v>
      </c>
      <c r="W15035" t="s">
        <v>40996</v>
      </c>
      <c r="X15035" t="s">
        <v>60998</v>
      </c>
    </row>
    <row r="15036" spans="1:24">
      <c r="A15036">
        <f>HYPERLINK("https://www.philgeps.gov.ph/GEPSNONPILOT/Tender/SplashBidNoticeAbstractUI.aspx?menuIndex=3&amp;refID=6910571&amp;Result=3","6910571")</f>
        <v>0</v>
      </c>
      <c r="B15036" t="s">
        <v>3520</v>
      </c>
      <c r="C15036" t="s">
        <v>17926</v>
      </c>
      <c r="D15036" t="s">
        <v>18110</v>
      </c>
      <c r="E15036" t="s">
        <v>31198</v>
      </c>
      <c r="F15036" t="s">
        <v>31362</v>
      </c>
      <c r="G15036" t="s">
        <v>31369</v>
      </c>
      <c r="H15036" t="s">
        <v>31378</v>
      </c>
      <c r="I15036" t="s">
        <v>31386</v>
      </c>
      <c r="J15036" t="s">
        <v>40555</v>
      </c>
      <c r="K15036" t="s">
        <v>40760</v>
      </c>
      <c r="M15036" t="s">
        <v>44879</v>
      </c>
      <c r="N15036" t="s">
        <v>44905</v>
      </c>
      <c r="O15036" t="s">
        <v>44906</v>
      </c>
      <c r="Q15036">
        <v>9</v>
      </c>
      <c r="R15036" t="s">
        <v>44980</v>
      </c>
      <c r="S15036" t="s">
        <v>46248</v>
      </c>
      <c r="T15036" t="s">
        <v>46392</v>
      </c>
      <c r="U15036" t="s">
        <v>58908</v>
      </c>
      <c r="V15036" t="s">
        <v>60798</v>
      </c>
      <c r="W15036" t="s">
        <v>44879</v>
      </c>
      <c r="X15036" t="s">
        <v>44984</v>
      </c>
    </row>
    <row r="15037" spans="1:24">
      <c r="A15037">
        <f>HYPERLINK("https://www.philgeps.gov.ph/GEPSNONPILOT/Tender/SplashBidNoticeAbstractUI.aspx?menuIndex=3&amp;refID=6915357&amp;Result=3","6915357")</f>
        <v>0</v>
      </c>
      <c r="B15037" t="s">
        <v>55</v>
      </c>
      <c r="C15037" t="s">
        <v>17927</v>
      </c>
      <c r="D15037" t="s">
        <v>18120</v>
      </c>
      <c r="E15037" t="s">
        <v>31199</v>
      </c>
      <c r="F15037" t="s">
        <v>31362</v>
      </c>
      <c r="G15037" t="s">
        <v>31370</v>
      </c>
      <c r="H15037" t="s">
        <v>15799</v>
      </c>
      <c r="I15037" t="s">
        <v>31427</v>
      </c>
      <c r="J15037" t="s">
        <v>31734</v>
      </c>
      <c r="K15037" t="s">
        <v>40665</v>
      </c>
      <c r="M15037" t="s">
        <v>40989</v>
      </c>
      <c r="N15037" t="s">
        <v>44905</v>
      </c>
      <c r="O15037" t="s">
        <v>44906</v>
      </c>
      <c r="Q15037">
        <v>10</v>
      </c>
      <c r="R15037" t="s">
        <v>44982</v>
      </c>
      <c r="S15037" t="s">
        <v>46249</v>
      </c>
      <c r="T15037" t="s">
        <v>46438</v>
      </c>
      <c r="U15037" t="s">
        <v>58909</v>
      </c>
      <c r="W15037" t="s">
        <v>40989</v>
      </c>
      <c r="X15037" t="s">
        <v>44980</v>
      </c>
    </row>
    <row r="15038" spans="1:24">
      <c r="A15038">
        <f>HYPERLINK("https://www.philgeps.gov.ph/GEPSNONPILOT/Tender/SplashBidNoticeAbstractUI.aspx?menuIndex=3&amp;refID=6910598&amp;Result=3","6910598")</f>
        <v>0</v>
      </c>
      <c r="B15038" t="s">
        <v>3520</v>
      </c>
      <c r="C15038" t="s">
        <v>17928</v>
      </c>
      <c r="D15038" t="s">
        <v>18110</v>
      </c>
      <c r="E15038" t="s">
        <v>31200</v>
      </c>
      <c r="F15038" t="s">
        <v>31362</v>
      </c>
      <c r="G15038" t="s">
        <v>31369</v>
      </c>
      <c r="H15038" t="s">
        <v>31378</v>
      </c>
      <c r="I15038" t="s">
        <v>31386</v>
      </c>
      <c r="J15038" t="s">
        <v>40556</v>
      </c>
      <c r="K15038" t="s">
        <v>40752</v>
      </c>
      <c r="M15038" t="s">
        <v>44879</v>
      </c>
      <c r="N15038" t="s">
        <v>44905</v>
      </c>
      <c r="O15038" t="s">
        <v>44906</v>
      </c>
      <c r="Q15038">
        <v>6</v>
      </c>
      <c r="R15038" t="s">
        <v>44980</v>
      </c>
      <c r="S15038" t="s">
        <v>46250</v>
      </c>
      <c r="T15038" t="s">
        <v>46392</v>
      </c>
      <c r="U15038" t="s">
        <v>58908</v>
      </c>
      <c r="V15038" t="s">
        <v>60799</v>
      </c>
      <c r="W15038" t="s">
        <v>44879</v>
      </c>
      <c r="X15038" t="s">
        <v>44984</v>
      </c>
    </row>
    <row r="15039" spans="1:24">
      <c r="A15039">
        <f>HYPERLINK("https://www.philgeps.gov.ph/GEPSNONPILOT/Tender/SplashBidNoticeAbstractUI.aspx?menuIndex=3&amp;refID=6910374&amp;Result=3","6910374")</f>
        <v>0</v>
      </c>
      <c r="B15039" t="s">
        <v>3521</v>
      </c>
      <c r="C15039" t="s">
        <v>17929</v>
      </c>
      <c r="D15039" t="s">
        <v>18108</v>
      </c>
      <c r="E15039" t="s">
        <v>31201</v>
      </c>
      <c r="F15039" t="s">
        <v>31362</v>
      </c>
      <c r="G15039" t="s">
        <v>31369</v>
      </c>
      <c r="H15039" t="s">
        <v>31378</v>
      </c>
      <c r="I15039" t="s">
        <v>31386</v>
      </c>
      <c r="J15039" t="s">
        <v>40557</v>
      </c>
      <c r="K15039" t="s">
        <v>40953</v>
      </c>
      <c r="M15039" t="s">
        <v>44880</v>
      </c>
      <c r="N15039" t="s">
        <v>44905</v>
      </c>
      <c r="O15039" t="s">
        <v>44906</v>
      </c>
      <c r="Q15039">
        <v>30</v>
      </c>
      <c r="R15039" t="s">
        <v>44980</v>
      </c>
      <c r="S15039" t="s">
        <v>46251</v>
      </c>
      <c r="T15039" t="s">
        <v>46697</v>
      </c>
      <c r="U15039" t="s">
        <v>58910</v>
      </c>
      <c r="V15039" t="s">
        <v>60800</v>
      </c>
      <c r="W15039" t="s">
        <v>44880</v>
      </c>
      <c r="X15039" t="s">
        <v>44984</v>
      </c>
    </row>
    <row r="15040" spans="1:24">
      <c r="A15040">
        <f>HYPERLINK("https://www.philgeps.gov.ph/GEPSNONPILOT/Tender/SplashBidNoticeAbstractUI.aspx?menuIndex=3&amp;refID=6916855&amp;Result=3","6916855")</f>
        <v>0</v>
      </c>
      <c r="B15040" t="s">
        <v>122</v>
      </c>
      <c r="C15040" t="s">
        <v>17930</v>
      </c>
      <c r="D15040" t="s">
        <v>18182</v>
      </c>
      <c r="E15040" t="s">
        <v>31202</v>
      </c>
      <c r="F15040" t="s">
        <v>31362</v>
      </c>
      <c r="G15040" t="s">
        <v>31369</v>
      </c>
      <c r="H15040" t="s">
        <v>15799</v>
      </c>
      <c r="I15040" t="s">
        <v>31426</v>
      </c>
      <c r="J15040" t="s">
        <v>40558</v>
      </c>
      <c r="K15040" t="s">
        <v>40663</v>
      </c>
      <c r="M15040" t="s">
        <v>41059</v>
      </c>
      <c r="N15040" t="s">
        <v>44905</v>
      </c>
      <c r="O15040" t="s">
        <v>44906</v>
      </c>
      <c r="Q15040">
        <v>8</v>
      </c>
      <c r="R15040" t="s">
        <v>44982</v>
      </c>
      <c r="S15040" t="s">
        <v>46252</v>
      </c>
      <c r="T15040" t="s">
        <v>46809</v>
      </c>
      <c r="U15040" t="s">
        <v>58911</v>
      </c>
      <c r="V15040" t="s">
        <v>60801</v>
      </c>
      <c r="W15040" t="s">
        <v>41059</v>
      </c>
      <c r="X15040" t="s">
        <v>44980</v>
      </c>
    </row>
    <row r="15041" spans="1:24">
      <c r="A15041">
        <f>HYPERLINK("https://www.philgeps.gov.ph/GEPSNONPILOT/Tender/SplashBidNoticeAbstractUI.aspx?menuIndex=3&amp;refID=6910478&amp;Result=3","6910478")</f>
        <v>0</v>
      </c>
      <c r="B15041" t="s">
        <v>3520</v>
      </c>
      <c r="C15041" t="s">
        <v>17931</v>
      </c>
      <c r="D15041" t="s">
        <v>18110</v>
      </c>
      <c r="E15041" t="s">
        <v>31203</v>
      </c>
      <c r="F15041" t="s">
        <v>31362</v>
      </c>
      <c r="G15041" t="s">
        <v>31369</v>
      </c>
      <c r="H15041" t="s">
        <v>31378</v>
      </c>
      <c r="I15041" t="s">
        <v>31386</v>
      </c>
      <c r="J15041" t="s">
        <v>40559</v>
      </c>
      <c r="K15041" t="s">
        <v>40954</v>
      </c>
      <c r="M15041" t="s">
        <v>44879</v>
      </c>
      <c r="N15041" t="s">
        <v>44905</v>
      </c>
      <c r="O15041" t="s">
        <v>44906</v>
      </c>
      <c r="Q15041">
        <v>11</v>
      </c>
      <c r="R15041" t="s">
        <v>44980</v>
      </c>
      <c r="S15041" t="s">
        <v>45036</v>
      </c>
      <c r="T15041" t="s">
        <v>46392</v>
      </c>
      <c r="U15041" t="s">
        <v>58908</v>
      </c>
      <c r="V15041" t="s">
        <v>60802</v>
      </c>
      <c r="W15041" t="s">
        <v>44879</v>
      </c>
      <c r="X15041" t="s">
        <v>44984</v>
      </c>
    </row>
    <row r="15042" spans="1:24">
      <c r="A15042">
        <f>HYPERLINK("https://www.philgeps.gov.ph/GEPSNONPILOT/Tender/SplashBidNoticeAbstractUI.aspx?menuIndex=3&amp;refID=6916447&amp;Result=3","6916447")</f>
        <v>0</v>
      </c>
      <c r="B15042" t="s">
        <v>700</v>
      </c>
      <c r="C15042" t="s">
        <v>17932</v>
      </c>
      <c r="E15042" t="s">
        <v>31204</v>
      </c>
      <c r="F15042" t="s">
        <v>31362</v>
      </c>
      <c r="G15042" t="s">
        <v>31369</v>
      </c>
      <c r="H15042" t="s">
        <v>15799</v>
      </c>
      <c r="I15042" t="s">
        <v>31385</v>
      </c>
      <c r="J15042" t="s">
        <v>40560</v>
      </c>
      <c r="K15042" t="s">
        <v>40662</v>
      </c>
      <c r="M15042" t="s">
        <v>41665</v>
      </c>
      <c r="N15042" t="s">
        <v>44905</v>
      </c>
      <c r="O15042" t="s">
        <v>44906</v>
      </c>
      <c r="Q15042">
        <v>5</v>
      </c>
      <c r="R15042" t="s">
        <v>44982</v>
      </c>
      <c r="S15042" t="s">
        <v>46253</v>
      </c>
      <c r="T15042" t="s">
        <v>46490</v>
      </c>
      <c r="U15042" t="s">
        <v>58912</v>
      </c>
      <c r="V15042" t="s">
        <v>60803</v>
      </c>
      <c r="W15042" t="s">
        <v>41665</v>
      </c>
      <c r="X15042" t="s">
        <v>44980</v>
      </c>
    </row>
    <row r="15043" spans="1:24">
      <c r="A15043">
        <f>HYPERLINK("https://www.philgeps.gov.ph/GEPSNONPILOT/Tender/SplashBidNoticeAbstractUI.aspx?menuIndex=3&amp;refID=6916361&amp;Result=3","6916361")</f>
        <v>0</v>
      </c>
      <c r="B15043" t="s">
        <v>700</v>
      </c>
      <c r="C15043" t="s">
        <v>17933</v>
      </c>
      <c r="E15043" t="s">
        <v>31205</v>
      </c>
      <c r="F15043" t="s">
        <v>31362</v>
      </c>
      <c r="G15043" t="s">
        <v>31369</v>
      </c>
      <c r="H15043" t="s">
        <v>15799</v>
      </c>
      <c r="I15043" t="s">
        <v>31388</v>
      </c>
      <c r="J15043" t="s">
        <v>40561</v>
      </c>
      <c r="K15043" t="s">
        <v>40662</v>
      </c>
      <c r="M15043" t="s">
        <v>41665</v>
      </c>
      <c r="N15043" t="s">
        <v>44905</v>
      </c>
      <c r="O15043" t="s">
        <v>44906</v>
      </c>
      <c r="Q15043">
        <v>15</v>
      </c>
      <c r="R15043" t="s">
        <v>44982</v>
      </c>
      <c r="S15043" t="s">
        <v>45753</v>
      </c>
      <c r="T15043" t="s">
        <v>46396</v>
      </c>
      <c r="U15043" t="s">
        <v>58913</v>
      </c>
      <c r="V15043" t="s">
        <v>60804</v>
      </c>
      <c r="W15043" t="s">
        <v>41665</v>
      </c>
      <c r="X15043" t="s">
        <v>44980</v>
      </c>
    </row>
    <row r="15044" spans="1:24">
      <c r="A15044">
        <f>HYPERLINK("https://www.philgeps.gov.ph/GEPSNONPILOT/Tender/SplashBidNoticeAbstractUI.aspx?menuIndex=3&amp;refID=6915976&amp;Result=3","6915976")</f>
        <v>0</v>
      </c>
      <c r="B15044" t="s">
        <v>516</v>
      </c>
      <c r="C15044" t="s">
        <v>17934</v>
      </c>
      <c r="D15044" t="s">
        <v>18102</v>
      </c>
      <c r="E15044" t="s">
        <v>31206</v>
      </c>
      <c r="F15044" t="s">
        <v>31362</v>
      </c>
      <c r="G15044" t="s">
        <v>31369</v>
      </c>
      <c r="H15044" t="s">
        <v>15799</v>
      </c>
      <c r="I15044" t="s">
        <v>7090</v>
      </c>
      <c r="J15044" t="s">
        <v>40562</v>
      </c>
      <c r="K15044" t="s">
        <v>40682</v>
      </c>
      <c r="M15044" t="s">
        <v>43558</v>
      </c>
      <c r="N15044" t="s">
        <v>44905</v>
      </c>
      <c r="O15044" t="s">
        <v>44906</v>
      </c>
      <c r="Q15044">
        <v>8</v>
      </c>
      <c r="R15044" t="s">
        <v>44982</v>
      </c>
      <c r="S15044" t="s">
        <v>45105</v>
      </c>
      <c r="T15044" t="s">
        <v>46652</v>
      </c>
      <c r="U15044" t="s">
        <v>58914</v>
      </c>
      <c r="V15044" t="s">
        <v>60805</v>
      </c>
      <c r="W15044" t="s">
        <v>43558</v>
      </c>
      <c r="X15044" t="s">
        <v>44980</v>
      </c>
    </row>
    <row r="15045" spans="1:24">
      <c r="A15045">
        <f>HYPERLINK("https://www.philgeps.gov.ph/GEPSNONPILOT/Tender/SplashBidNoticeAbstractUI.aspx?menuIndex=3&amp;refID=6910957&amp;Result=3","6910957")</f>
        <v>0</v>
      </c>
      <c r="B15045" t="s">
        <v>748</v>
      </c>
      <c r="C15045" t="s">
        <v>17935</v>
      </c>
      <c r="D15045" t="s">
        <v>18108</v>
      </c>
      <c r="E15045" t="s">
        <v>31207</v>
      </c>
      <c r="F15045" t="s">
        <v>31362</v>
      </c>
      <c r="G15045" t="s">
        <v>31369</v>
      </c>
      <c r="H15045" t="s">
        <v>31379</v>
      </c>
      <c r="I15045" t="s">
        <v>31436</v>
      </c>
      <c r="J15045" t="s">
        <v>40563</v>
      </c>
      <c r="K15045" t="s">
        <v>40723</v>
      </c>
      <c r="M15045" t="s">
        <v>41715</v>
      </c>
      <c r="N15045" t="s">
        <v>44905</v>
      </c>
      <c r="O15045" t="s">
        <v>44906</v>
      </c>
      <c r="Q15045">
        <v>13</v>
      </c>
      <c r="R15045" t="s">
        <v>44980</v>
      </c>
      <c r="S15045" t="s">
        <v>46254</v>
      </c>
      <c r="T15045" t="s">
        <v>46483</v>
      </c>
      <c r="U15045" t="s">
        <v>58915</v>
      </c>
      <c r="W15045" t="s">
        <v>41715</v>
      </c>
      <c r="X15045" t="s">
        <v>44984</v>
      </c>
    </row>
    <row r="15046" spans="1:24">
      <c r="A15046">
        <f>HYPERLINK("https://www.philgeps.gov.ph/GEPSNONPILOT/Tender/SplashBidNoticeAbstractUI.aspx?menuIndex=3&amp;refID=6910542&amp;Result=3","6910542")</f>
        <v>0</v>
      </c>
      <c r="B15046" t="s">
        <v>3520</v>
      </c>
      <c r="C15046" t="s">
        <v>17936</v>
      </c>
      <c r="D15046" t="s">
        <v>18110</v>
      </c>
      <c r="E15046" t="s">
        <v>31208</v>
      </c>
      <c r="F15046" t="s">
        <v>31362</v>
      </c>
      <c r="G15046" t="s">
        <v>31369</v>
      </c>
      <c r="H15046" t="s">
        <v>31378</v>
      </c>
      <c r="I15046" t="s">
        <v>31386</v>
      </c>
      <c r="J15046" t="s">
        <v>40564</v>
      </c>
      <c r="K15046" t="s">
        <v>40860</v>
      </c>
      <c r="M15046" t="s">
        <v>44879</v>
      </c>
      <c r="N15046" t="s">
        <v>44905</v>
      </c>
      <c r="O15046" t="s">
        <v>44906</v>
      </c>
      <c r="Q15046">
        <v>11</v>
      </c>
      <c r="R15046" t="s">
        <v>44980</v>
      </c>
      <c r="S15046" t="s">
        <v>46255</v>
      </c>
      <c r="T15046" t="s">
        <v>46392</v>
      </c>
      <c r="U15046" t="s">
        <v>58908</v>
      </c>
      <c r="V15046" t="s">
        <v>60806</v>
      </c>
      <c r="W15046" t="s">
        <v>44879</v>
      </c>
      <c r="X15046" t="s">
        <v>44984</v>
      </c>
    </row>
    <row r="15047" spans="1:24">
      <c r="A15047">
        <f>HYPERLINK("https://www.philgeps.gov.ph/GEPSNONPILOT/Tender/SplashBidNoticeAbstractUI.aspx?menuIndex=3&amp;refID=6916255&amp;Result=3","6916255")</f>
        <v>0</v>
      </c>
      <c r="B15047" t="s">
        <v>700</v>
      </c>
      <c r="C15047" t="s">
        <v>17937</v>
      </c>
      <c r="E15047" t="s">
        <v>31209</v>
      </c>
      <c r="F15047" t="s">
        <v>31362</v>
      </c>
      <c r="G15047" t="s">
        <v>31369</v>
      </c>
      <c r="H15047" t="s">
        <v>15799</v>
      </c>
      <c r="I15047" t="s">
        <v>7188</v>
      </c>
      <c r="J15047" t="s">
        <v>40565</v>
      </c>
      <c r="K15047" t="s">
        <v>40662</v>
      </c>
      <c r="M15047" t="s">
        <v>41665</v>
      </c>
      <c r="N15047" t="s">
        <v>44905</v>
      </c>
      <c r="O15047" t="s">
        <v>44906</v>
      </c>
      <c r="Q15047">
        <v>22</v>
      </c>
      <c r="R15047" t="s">
        <v>44982</v>
      </c>
      <c r="S15047" t="s">
        <v>46256</v>
      </c>
      <c r="T15047" t="s">
        <v>46396</v>
      </c>
      <c r="U15047" t="s">
        <v>58916</v>
      </c>
      <c r="V15047" t="s">
        <v>60807</v>
      </c>
      <c r="W15047" t="s">
        <v>41665</v>
      </c>
      <c r="X15047" t="s">
        <v>44980</v>
      </c>
    </row>
    <row r="15048" spans="1:24">
      <c r="A15048">
        <f>HYPERLINK("https://www.philgeps.gov.ph/GEPSNONPILOT/Tender/SplashBidNoticeAbstractUI.aspx?menuIndex=3&amp;refID=6916295&amp;Result=3","6916295")</f>
        <v>0</v>
      </c>
      <c r="B15048" t="s">
        <v>1629</v>
      </c>
      <c r="C15048" t="s">
        <v>17938</v>
      </c>
      <c r="D15048" t="s">
        <v>18110</v>
      </c>
      <c r="E15048" t="s">
        <v>31210</v>
      </c>
      <c r="F15048" t="s">
        <v>31362</v>
      </c>
      <c r="G15048" t="s">
        <v>31369</v>
      </c>
      <c r="H15048" t="s">
        <v>31378</v>
      </c>
      <c r="I15048" t="s">
        <v>31386</v>
      </c>
      <c r="J15048" t="s">
        <v>40566</v>
      </c>
      <c r="K15048" t="s">
        <v>40692</v>
      </c>
      <c r="M15048" t="s">
        <v>44089</v>
      </c>
      <c r="N15048" t="s">
        <v>44905</v>
      </c>
      <c r="O15048" t="s">
        <v>44906</v>
      </c>
      <c r="Q15048">
        <v>15</v>
      </c>
      <c r="R15048" t="s">
        <v>44982</v>
      </c>
      <c r="S15048" t="s">
        <v>46257</v>
      </c>
      <c r="T15048" t="s">
        <v>46401</v>
      </c>
      <c r="U15048" t="s">
        <v>57606</v>
      </c>
      <c r="V15048" t="s">
        <v>60789</v>
      </c>
      <c r="W15048" t="s">
        <v>44089</v>
      </c>
      <c r="X15048" t="s">
        <v>44980</v>
      </c>
    </row>
    <row r="15049" spans="1:24">
      <c r="A15049">
        <f>HYPERLINK("https://www.philgeps.gov.ph/GEPSNONPILOT/Tender/SplashBidNoticeAbstractUI.aspx?menuIndex=3&amp;refID=6915572&amp;Result=3","6915572")</f>
        <v>0</v>
      </c>
      <c r="B15049" t="s">
        <v>122</v>
      </c>
      <c r="C15049" t="s">
        <v>17939</v>
      </c>
      <c r="D15049" t="s">
        <v>18117</v>
      </c>
      <c r="E15049" t="s">
        <v>31211</v>
      </c>
      <c r="F15049" t="s">
        <v>31362</v>
      </c>
      <c r="G15049" t="s">
        <v>31369</v>
      </c>
      <c r="H15049" t="s">
        <v>15799</v>
      </c>
      <c r="I15049" t="s">
        <v>31426</v>
      </c>
      <c r="J15049" t="s">
        <v>40567</v>
      </c>
      <c r="K15049" t="s">
        <v>40952</v>
      </c>
      <c r="M15049" t="s">
        <v>41059</v>
      </c>
      <c r="N15049" t="s">
        <v>44905</v>
      </c>
      <c r="O15049" t="s">
        <v>44906</v>
      </c>
      <c r="Q15049">
        <v>15</v>
      </c>
      <c r="R15049" t="s">
        <v>44982</v>
      </c>
      <c r="S15049" t="s">
        <v>46258</v>
      </c>
      <c r="T15049" t="s">
        <v>46880</v>
      </c>
      <c r="U15049" t="s">
        <v>58917</v>
      </c>
      <c r="V15049" t="s">
        <v>60808</v>
      </c>
      <c r="W15049" t="s">
        <v>41059</v>
      </c>
      <c r="X15049" t="s">
        <v>44980</v>
      </c>
    </row>
    <row r="15050" spans="1:24">
      <c r="A15050">
        <f>HYPERLINK("https://www.philgeps.gov.ph/GEPSNONPILOT/Tender/SplashBidNoticeAbstractUI.aspx?menuIndex=3&amp;refID=6901648&amp;Result=3","6901648")</f>
        <v>0</v>
      </c>
      <c r="B15050" t="s">
        <v>1265</v>
      </c>
      <c r="C15050" t="s">
        <v>17940</v>
      </c>
      <c r="D15050" t="s">
        <v>18131</v>
      </c>
      <c r="E15050" t="s">
        <v>31212</v>
      </c>
      <c r="F15050" t="s">
        <v>31362</v>
      </c>
      <c r="G15050" t="s">
        <v>31369</v>
      </c>
      <c r="H15050" t="s">
        <v>31378</v>
      </c>
      <c r="I15050" t="s">
        <v>31386</v>
      </c>
      <c r="J15050" t="s">
        <v>40568</v>
      </c>
      <c r="K15050" t="s">
        <v>40870</v>
      </c>
      <c r="M15050" t="s">
        <v>42282</v>
      </c>
      <c r="N15050" t="s">
        <v>44905</v>
      </c>
      <c r="O15050" t="s">
        <v>44906</v>
      </c>
      <c r="Q15050">
        <v>60</v>
      </c>
      <c r="R15050" t="s">
        <v>44983</v>
      </c>
      <c r="S15050" t="s">
        <v>46259</v>
      </c>
      <c r="T15050" t="s">
        <v>46392</v>
      </c>
      <c r="U15050" t="s">
        <v>58918</v>
      </c>
      <c r="V15050" t="s">
        <v>59409</v>
      </c>
      <c r="W15050" t="s">
        <v>42282</v>
      </c>
      <c r="X15050" t="s">
        <v>45019</v>
      </c>
    </row>
    <row r="15051" spans="1:24">
      <c r="A15051">
        <f>HYPERLINK("https://www.philgeps.gov.ph/GEPSNONPILOT/Tender/SplashBidNoticeAbstractUI.aspx?menuIndex=3&amp;refID=6915742&amp;Result=3","6915742")</f>
        <v>0</v>
      </c>
      <c r="B15051" t="s">
        <v>3515</v>
      </c>
      <c r="C15051" t="s">
        <v>17941</v>
      </c>
      <c r="D15051" t="s">
        <v>18170</v>
      </c>
      <c r="E15051" t="s">
        <v>31213</v>
      </c>
      <c r="F15051" t="s">
        <v>31362</v>
      </c>
      <c r="G15051" t="s">
        <v>31369</v>
      </c>
      <c r="H15051" t="s">
        <v>15799</v>
      </c>
      <c r="I15051" t="s">
        <v>31392</v>
      </c>
      <c r="J15051" t="s">
        <v>32549</v>
      </c>
      <c r="K15051" t="s">
        <v>40665</v>
      </c>
      <c r="M15051" t="s">
        <v>44871</v>
      </c>
      <c r="N15051" t="s">
        <v>44905</v>
      </c>
      <c r="O15051" t="s">
        <v>44906</v>
      </c>
      <c r="Q15051">
        <v>6</v>
      </c>
      <c r="R15051" t="s">
        <v>44982</v>
      </c>
      <c r="S15051" t="s">
        <v>46260</v>
      </c>
      <c r="T15051" t="s">
        <v>46392</v>
      </c>
      <c r="U15051" t="s">
        <v>58919</v>
      </c>
      <c r="W15051" t="s">
        <v>44871</v>
      </c>
      <c r="X15051" t="s">
        <v>44980</v>
      </c>
    </row>
    <row r="15052" spans="1:24">
      <c r="A15052">
        <f>HYPERLINK("https://www.philgeps.gov.ph/GEPSNONPILOT/Tender/SplashBidNoticeAbstractUI.aspx?menuIndex=3&amp;refID=6915578&amp;Result=3","6915578")</f>
        <v>0</v>
      </c>
      <c r="B15052" t="s">
        <v>299</v>
      </c>
      <c r="C15052" t="s">
        <v>17942</v>
      </c>
      <c r="D15052" t="s">
        <v>18108</v>
      </c>
      <c r="E15052" t="s">
        <v>31214</v>
      </c>
      <c r="F15052" t="s">
        <v>31362</v>
      </c>
      <c r="G15052" t="s">
        <v>31368</v>
      </c>
      <c r="H15052" t="s">
        <v>15799</v>
      </c>
      <c r="I15052" t="s">
        <v>31384</v>
      </c>
      <c r="J15052" t="s">
        <v>31530</v>
      </c>
      <c r="K15052" t="s">
        <v>40666</v>
      </c>
      <c r="M15052" t="s">
        <v>41242</v>
      </c>
      <c r="N15052" t="s">
        <v>44905</v>
      </c>
      <c r="O15052" t="s">
        <v>44906</v>
      </c>
      <c r="Q15052">
        <v>7</v>
      </c>
      <c r="R15052" t="s">
        <v>44982</v>
      </c>
      <c r="S15052" t="s">
        <v>46261</v>
      </c>
      <c r="T15052" t="s">
        <v>46412</v>
      </c>
      <c r="U15052" t="s">
        <v>58920</v>
      </c>
      <c r="V15052" t="s">
        <v>60809</v>
      </c>
      <c r="W15052" t="s">
        <v>41242</v>
      </c>
      <c r="X15052" t="s">
        <v>44980</v>
      </c>
    </row>
    <row r="15053" spans="1:24">
      <c r="A15053">
        <f>HYPERLINK("https://www.philgeps.gov.ph/GEPSNONPILOT/Tender/SplashBidNoticeAbstractUI.aspx?menuIndex=3&amp;refID=6903132&amp;Result=3","6903132")</f>
        <v>0</v>
      </c>
      <c r="B15053" t="s">
        <v>1560</v>
      </c>
      <c r="C15053" t="s">
        <v>17943</v>
      </c>
      <c r="D15053" t="s">
        <v>18145</v>
      </c>
      <c r="E15053" t="s">
        <v>31215</v>
      </c>
      <c r="F15053" t="s">
        <v>31362</v>
      </c>
      <c r="G15053" t="s">
        <v>31369</v>
      </c>
      <c r="H15053" t="s">
        <v>31377</v>
      </c>
      <c r="I15053" t="s">
        <v>31377</v>
      </c>
      <c r="J15053" t="s">
        <v>32727</v>
      </c>
      <c r="K15053" t="s">
        <v>40769</v>
      </c>
      <c r="M15053" t="s">
        <v>44881</v>
      </c>
      <c r="N15053" t="s">
        <v>44905</v>
      </c>
      <c r="O15053" t="s">
        <v>44906</v>
      </c>
      <c r="Q15053">
        <v>6</v>
      </c>
      <c r="R15053" t="s">
        <v>44983</v>
      </c>
      <c r="S15053" t="s">
        <v>45840</v>
      </c>
      <c r="T15053" t="s">
        <v>46605</v>
      </c>
      <c r="U15053" t="s">
        <v>58921</v>
      </c>
      <c r="W15053" t="s">
        <v>44881</v>
      </c>
      <c r="X15053" t="s">
        <v>45019</v>
      </c>
    </row>
    <row r="15054" spans="1:24">
      <c r="A15054">
        <f>HYPERLINK("https://www.philgeps.gov.ph/GEPSNONPILOT/Tender/SplashBidNoticeAbstractUI.aspx?menuIndex=3&amp;refID=6911794&amp;Result=3","6911794")</f>
        <v>0</v>
      </c>
      <c r="B15054" t="s">
        <v>1353</v>
      </c>
      <c r="C15054" t="s">
        <v>17944</v>
      </c>
      <c r="D15054" t="s">
        <v>18103</v>
      </c>
      <c r="E15054" t="s">
        <v>31216</v>
      </c>
      <c r="F15054" t="s">
        <v>31362</v>
      </c>
      <c r="G15054" t="s">
        <v>31372</v>
      </c>
      <c r="H15054" t="s">
        <v>31378</v>
      </c>
      <c r="I15054" t="s">
        <v>31435</v>
      </c>
      <c r="J15054" t="s">
        <v>40569</v>
      </c>
      <c r="K15054" t="s">
        <v>40679</v>
      </c>
      <c r="M15054" t="s">
        <v>44874</v>
      </c>
      <c r="N15054" t="s">
        <v>44905</v>
      </c>
      <c r="O15054" t="s">
        <v>44906</v>
      </c>
      <c r="Q15054">
        <v>5</v>
      </c>
      <c r="R15054" t="s">
        <v>44980</v>
      </c>
      <c r="S15054" t="s">
        <v>46262</v>
      </c>
      <c r="T15054" t="s">
        <v>46392</v>
      </c>
      <c r="U15054" t="s">
        <v>58922</v>
      </c>
      <c r="W15054" t="s">
        <v>44874</v>
      </c>
      <c r="X15054" t="s">
        <v>44984</v>
      </c>
    </row>
    <row r="15055" spans="1:24">
      <c r="A15055">
        <f>HYPERLINK("https://www.philgeps.gov.ph/GEPSNONPILOT/Tender/SplashBidNoticeAbstractUI.aspx?menuIndex=3&amp;refID=6902982&amp;Result=3","6902982")</f>
        <v>0</v>
      </c>
      <c r="B15055" t="s">
        <v>3099</v>
      </c>
      <c r="C15055" t="s">
        <v>17945</v>
      </c>
      <c r="D15055" t="s">
        <v>18100</v>
      </c>
      <c r="E15055" t="s">
        <v>31217</v>
      </c>
      <c r="F15055" t="s">
        <v>31362</v>
      </c>
      <c r="G15055" t="s">
        <v>31369</v>
      </c>
      <c r="H15055" t="s">
        <v>31378</v>
      </c>
      <c r="I15055" t="s">
        <v>31386</v>
      </c>
      <c r="J15055" t="s">
        <v>40570</v>
      </c>
      <c r="K15055" t="s">
        <v>40888</v>
      </c>
      <c r="M15055" t="s">
        <v>44344</v>
      </c>
      <c r="N15055" t="s">
        <v>44905</v>
      </c>
      <c r="O15055" t="s">
        <v>44906</v>
      </c>
      <c r="Q15055">
        <v>18</v>
      </c>
      <c r="R15055" t="s">
        <v>44983</v>
      </c>
      <c r="S15055" t="s">
        <v>46263</v>
      </c>
      <c r="T15055" t="s">
        <v>46499</v>
      </c>
      <c r="U15055" t="s">
        <v>58923</v>
      </c>
      <c r="V15055" t="s">
        <v>60298</v>
      </c>
      <c r="W15055" t="s">
        <v>60959</v>
      </c>
      <c r="X15055" t="s">
        <v>45019</v>
      </c>
    </row>
    <row r="15056" spans="1:24">
      <c r="A15056">
        <f>HYPERLINK("https://www.philgeps.gov.ph/GEPSNONPILOT/Tender/SplashBidNoticeAbstractUI.aspx?menuIndex=3&amp;refID=6903240&amp;Result=3","6903240")</f>
        <v>0</v>
      </c>
      <c r="B15056" t="s">
        <v>3522</v>
      </c>
      <c r="C15056" t="s">
        <v>17946</v>
      </c>
      <c r="D15056" t="s">
        <v>18168</v>
      </c>
      <c r="E15056" t="s">
        <v>31218</v>
      </c>
      <c r="F15056" t="s">
        <v>31362</v>
      </c>
      <c r="G15056" t="s">
        <v>31369</v>
      </c>
      <c r="H15056" t="s">
        <v>31378</v>
      </c>
      <c r="I15056" t="s">
        <v>31386</v>
      </c>
      <c r="J15056" t="s">
        <v>40571</v>
      </c>
      <c r="K15056" t="s">
        <v>40679</v>
      </c>
      <c r="M15056" t="s">
        <v>44882</v>
      </c>
      <c r="N15056" t="s">
        <v>44905</v>
      </c>
      <c r="O15056" t="s">
        <v>44906</v>
      </c>
      <c r="Q15056">
        <v>20</v>
      </c>
      <c r="R15056" t="s">
        <v>44983</v>
      </c>
      <c r="S15056" t="s">
        <v>46264</v>
      </c>
      <c r="T15056" t="s">
        <v>46910</v>
      </c>
      <c r="U15056" t="s">
        <v>58924</v>
      </c>
      <c r="V15056" t="s">
        <v>60810</v>
      </c>
      <c r="W15056" t="s">
        <v>44882</v>
      </c>
      <c r="X15056" t="s">
        <v>45019</v>
      </c>
    </row>
    <row r="15057" spans="1:24">
      <c r="A15057">
        <f>HYPERLINK("https://www.philgeps.gov.ph/GEPSNONPILOT/Tender/SplashBidNoticeAbstractUI.aspx?menuIndex=3&amp;refID=6901664&amp;Result=3","6901664")</f>
        <v>0</v>
      </c>
      <c r="B15057" t="s">
        <v>1265</v>
      </c>
      <c r="C15057" t="s">
        <v>17947</v>
      </c>
      <c r="D15057" t="s">
        <v>18131</v>
      </c>
      <c r="E15057" t="s">
        <v>31219</v>
      </c>
      <c r="F15057" t="s">
        <v>31362</v>
      </c>
      <c r="G15057" t="s">
        <v>31369</v>
      </c>
      <c r="H15057" t="s">
        <v>31378</v>
      </c>
      <c r="I15057" t="s">
        <v>31386</v>
      </c>
      <c r="J15057" t="s">
        <v>40572</v>
      </c>
      <c r="K15057" t="s">
        <v>40780</v>
      </c>
      <c r="M15057" t="s">
        <v>42282</v>
      </c>
      <c r="N15057" t="s">
        <v>44905</v>
      </c>
      <c r="O15057" t="s">
        <v>44906</v>
      </c>
      <c r="Q15057">
        <v>62</v>
      </c>
      <c r="R15057" t="s">
        <v>44983</v>
      </c>
      <c r="S15057" t="s">
        <v>46265</v>
      </c>
      <c r="T15057" t="s">
        <v>46396</v>
      </c>
      <c r="U15057" t="s">
        <v>58925</v>
      </c>
      <c r="V15057" t="s">
        <v>59409</v>
      </c>
      <c r="W15057" t="s">
        <v>42282</v>
      </c>
      <c r="X15057" t="s">
        <v>45019</v>
      </c>
    </row>
    <row r="15058" spans="1:24">
      <c r="A15058">
        <f>HYPERLINK("https://www.philgeps.gov.ph/GEPSNONPILOT/Tender/SplashBidNoticeAbstractUI.aspx?menuIndex=3&amp;refID=6908540&amp;Result=3","6908540")</f>
        <v>0</v>
      </c>
      <c r="B15058" t="s">
        <v>249</v>
      </c>
      <c r="C15058" t="s">
        <v>17948</v>
      </c>
      <c r="E15058" t="s">
        <v>31220</v>
      </c>
      <c r="F15058" t="s">
        <v>31362</v>
      </c>
      <c r="G15058" t="s">
        <v>31369</v>
      </c>
      <c r="H15058" t="s">
        <v>15799</v>
      </c>
      <c r="I15058" t="s">
        <v>7719</v>
      </c>
      <c r="J15058" t="s">
        <v>40573</v>
      </c>
      <c r="K15058" t="s">
        <v>40662</v>
      </c>
      <c r="M15058" t="s">
        <v>44883</v>
      </c>
      <c r="N15058" t="s">
        <v>44905</v>
      </c>
      <c r="O15058" t="s">
        <v>44906</v>
      </c>
      <c r="Q15058">
        <v>60</v>
      </c>
      <c r="R15058" t="s">
        <v>44984</v>
      </c>
      <c r="S15058" t="s">
        <v>46266</v>
      </c>
      <c r="T15058" t="s">
        <v>46460</v>
      </c>
      <c r="U15058" t="s">
        <v>58926</v>
      </c>
      <c r="W15058" t="s">
        <v>44883</v>
      </c>
      <c r="X15058" t="s">
        <v>44983</v>
      </c>
    </row>
    <row r="15059" spans="1:24">
      <c r="A15059">
        <f>HYPERLINK("https://www.philgeps.gov.ph/GEPSNONPILOT/Tender/SplashBidNoticeAbstractUI.aspx?menuIndex=3&amp;refID=6915968&amp;Result=3","6915968")</f>
        <v>0</v>
      </c>
      <c r="B15059" t="s">
        <v>3516</v>
      </c>
      <c r="C15059" t="s">
        <v>17949</v>
      </c>
      <c r="E15059" t="s">
        <v>31221</v>
      </c>
      <c r="F15059" t="s">
        <v>31362</v>
      </c>
      <c r="G15059" t="s">
        <v>31369</v>
      </c>
      <c r="H15059" t="s">
        <v>31379</v>
      </c>
      <c r="I15059" t="s">
        <v>31436</v>
      </c>
      <c r="J15059" t="s">
        <v>40574</v>
      </c>
      <c r="K15059" t="s">
        <v>40741</v>
      </c>
      <c r="M15059" t="s">
        <v>44872</v>
      </c>
      <c r="N15059" t="s">
        <v>44905</v>
      </c>
      <c r="O15059" t="s">
        <v>44906</v>
      </c>
      <c r="Q15059">
        <v>6</v>
      </c>
      <c r="R15059" t="s">
        <v>44982</v>
      </c>
      <c r="S15059" t="s">
        <v>46267</v>
      </c>
      <c r="T15059" t="s">
        <v>46410</v>
      </c>
      <c r="U15059" t="s">
        <v>58927</v>
      </c>
      <c r="W15059" t="s">
        <v>44872</v>
      </c>
      <c r="X15059" t="s">
        <v>44980</v>
      </c>
    </row>
    <row r="15060" spans="1:24">
      <c r="A15060">
        <f>HYPERLINK("https://www.philgeps.gov.ph/GEPSNONPILOT/Tender/SplashBidNoticeAbstractUI.aspx?menuIndex=3&amp;refID=6910640&amp;Result=3","6910640")</f>
        <v>0</v>
      </c>
      <c r="B15060" t="s">
        <v>3520</v>
      </c>
      <c r="C15060" t="s">
        <v>17950</v>
      </c>
      <c r="D15060" t="s">
        <v>18110</v>
      </c>
      <c r="E15060" t="s">
        <v>31222</v>
      </c>
      <c r="F15060" t="s">
        <v>31362</v>
      </c>
      <c r="G15060" t="s">
        <v>31369</v>
      </c>
      <c r="H15060" t="s">
        <v>31378</v>
      </c>
      <c r="I15060" t="s">
        <v>31386</v>
      </c>
      <c r="J15060" t="s">
        <v>40575</v>
      </c>
      <c r="K15060" t="s">
        <v>40764</v>
      </c>
      <c r="M15060" t="s">
        <v>44879</v>
      </c>
      <c r="N15060" t="s">
        <v>44905</v>
      </c>
      <c r="O15060" t="s">
        <v>44906</v>
      </c>
      <c r="Q15060">
        <v>6</v>
      </c>
      <c r="R15060" t="s">
        <v>44980</v>
      </c>
      <c r="S15060" t="s">
        <v>45618</v>
      </c>
      <c r="T15060" t="s">
        <v>46392</v>
      </c>
      <c r="U15060" t="s">
        <v>58908</v>
      </c>
      <c r="V15060" t="s">
        <v>60811</v>
      </c>
      <c r="W15060" t="s">
        <v>44879</v>
      </c>
      <c r="X15060" t="s">
        <v>44984</v>
      </c>
    </row>
    <row r="15061" spans="1:24">
      <c r="A15061">
        <f>HYPERLINK("https://www.philgeps.gov.ph/GEPSNONPILOT/Tender/SplashBidNoticeAbstractUI.aspx?menuIndex=3&amp;refID=6905957&amp;Result=3","6905957")</f>
        <v>0</v>
      </c>
      <c r="B15061" t="s">
        <v>982</v>
      </c>
      <c r="C15061" t="s">
        <v>17951</v>
      </c>
      <c r="D15061" t="s">
        <v>18106</v>
      </c>
      <c r="E15061" t="s">
        <v>22850</v>
      </c>
      <c r="F15061" t="s">
        <v>31362</v>
      </c>
      <c r="G15061" t="s">
        <v>31369</v>
      </c>
      <c r="H15061" t="s">
        <v>31378</v>
      </c>
      <c r="I15061" t="s">
        <v>31386</v>
      </c>
      <c r="J15061" t="s">
        <v>40576</v>
      </c>
      <c r="K15061" t="s">
        <v>40796</v>
      </c>
      <c r="M15061" t="s">
        <v>41974</v>
      </c>
      <c r="N15061" t="s">
        <v>44905</v>
      </c>
      <c r="O15061" t="s">
        <v>44906</v>
      </c>
      <c r="Q15061">
        <v>5</v>
      </c>
      <c r="R15061" t="s">
        <v>44984</v>
      </c>
      <c r="S15061" t="s">
        <v>46268</v>
      </c>
      <c r="T15061" t="s">
        <v>46911</v>
      </c>
      <c r="U15061" t="s">
        <v>58928</v>
      </c>
      <c r="W15061" t="s">
        <v>41974</v>
      </c>
      <c r="X15061" t="s">
        <v>44983</v>
      </c>
    </row>
    <row r="15062" spans="1:24">
      <c r="A15062">
        <f>HYPERLINK("https://www.philgeps.gov.ph/GEPSNONPILOT/Tender/SplashBidNoticeAbstractUI.aspx?menuIndex=3&amp;refID=6908245&amp;Result=3","6908245")</f>
        <v>0</v>
      </c>
      <c r="B15062" t="s">
        <v>3523</v>
      </c>
      <c r="C15062" t="s">
        <v>17952</v>
      </c>
      <c r="E15062" t="s">
        <v>31223</v>
      </c>
      <c r="F15062" t="s">
        <v>31362</v>
      </c>
      <c r="G15062" t="s">
        <v>31369</v>
      </c>
      <c r="H15062" t="s">
        <v>31378</v>
      </c>
      <c r="I15062" t="s">
        <v>31386</v>
      </c>
      <c r="J15062" t="s">
        <v>40577</v>
      </c>
      <c r="K15062" t="s">
        <v>40678</v>
      </c>
      <c r="M15062" t="s">
        <v>44884</v>
      </c>
      <c r="N15062" t="s">
        <v>44905</v>
      </c>
      <c r="O15062" t="s">
        <v>44906</v>
      </c>
      <c r="Q15062">
        <v>13</v>
      </c>
      <c r="R15062" t="s">
        <v>44984</v>
      </c>
      <c r="S15062" t="s">
        <v>46269</v>
      </c>
      <c r="T15062" t="s">
        <v>46750</v>
      </c>
      <c r="U15062" t="s">
        <v>58929</v>
      </c>
      <c r="W15062" t="s">
        <v>44884</v>
      </c>
      <c r="X15062" t="s">
        <v>44983</v>
      </c>
    </row>
    <row r="15063" spans="1:24">
      <c r="A15063">
        <f>HYPERLINK("https://www.philgeps.gov.ph/GEPSNONPILOT/Tender/SplashBidNoticeAbstractUI.aspx?menuIndex=3&amp;refID=6920681&amp;Result=3","6920681")</f>
        <v>0</v>
      </c>
      <c r="B15063" t="s">
        <v>1702</v>
      </c>
      <c r="C15063" t="s">
        <v>17953</v>
      </c>
      <c r="D15063" t="s">
        <v>18116</v>
      </c>
      <c r="E15063" t="s">
        <v>31224</v>
      </c>
      <c r="F15063" t="s">
        <v>31362</v>
      </c>
      <c r="G15063" t="s">
        <v>31369</v>
      </c>
      <c r="H15063" t="s">
        <v>31378</v>
      </c>
      <c r="I15063" t="s">
        <v>31386</v>
      </c>
      <c r="J15063" t="s">
        <v>31625</v>
      </c>
      <c r="K15063" t="s">
        <v>40694</v>
      </c>
      <c r="M15063" t="s">
        <v>42769</v>
      </c>
      <c r="N15063" t="s">
        <v>44905</v>
      </c>
      <c r="O15063" t="s">
        <v>44906</v>
      </c>
      <c r="Q15063">
        <v>1</v>
      </c>
      <c r="R15063" t="s">
        <v>44979</v>
      </c>
      <c r="S15063" t="s">
        <v>46243</v>
      </c>
      <c r="T15063" t="s">
        <v>46406</v>
      </c>
      <c r="U15063" t="s">
        <v>58930</v>
      </c>
      <c r="V15063" t="s">
        <v>60794</v>
      </c>
      <c r="W15063" t="s">
        <v>42769</v>
      </c>
      <c r="X15063" t="s">
        <v>44978</v>
      </c>
    </row>
    <row r="15064" spans="1:24">
      <c r="A15064">
        <f>HYPERLINK("https://www.philgeps.gov.ph/GEPSNONPILOT/Tender/SplashBidNoticeAbstractUI.aspx?menuIndex=3&amp;refID=6905733&amp;Result=3","6905733")</f>
        <v>0</v>
      </c>
      <c r="B15064" t="s">
        <v>982</v>
      </c>
      <c r="C15064" t="s">
        <v>17954</v>
      </c>
      <c r="D15064" t="s">
        <v>18106</v>
      </c>
      <c r="E15064" t="s">
        <v>22850</v>
      </c>
      <c r="F15064" t="s">
        <v>31362</v>
      </c>
      <c r="G15064" t="s">
        <v>31369</v>
      </c>
      <c r="H15064" t="s">
        <v>31378</v>
      </c>
      <c r="I15064" t="s">
        <v>31386</v>
      </c>
      <c r="J15064" t="s">
        <v>33393</v>
      </c>
      <c r="K15064" t="s">
        <v>40894</v>
      </c>
      <c r="M15064" t="s">
        <v>41974</v>
      </c>
      <c r="N15064" t="s">
        <v>44905</v>
      </c>
      <c r="O15064" t="s">
        <v>44906</v>
      </c>
      <c r="Q15064">
        <v>1</v>
      </c>
      <c r="R15064" t="s">
        <v>44984</v>
      </c>
      <c r="S15064" t="s">
        <v>46270</v>
      </c>
      <c r="T15064" t="s">
        <v>46911</v>
      </c>
      <c r="U15064" t="s">
        <v>58931</v>
      </c>
      <c r="W15064" t="s">
        <v>41974</v>
      </c>
      <c r="X15064" t="s">
        <v>44983</v>
      </c>
    </row>
    <row r="15065" spans="1:24">
      <c r="A15065">
        <f>HYPERLINK("https://www.philgeps.gov.ph/GEPSNONPILOT/Tender/SplashBidNoticeAbstractUI.aspx?menuIndex=3&amp;refID=6912820&amp;Result=3","6912820")</f>
        <v>0</v>
      </c>
      <c r="B15065" t="s">
        <v>1566</v>
      </c>
      <c r="C15065" t="s">
        <v>17955</v>
      </c>
      <c r="E15065" t="s">
        <v>31225</v>
      </c>
      <c r="F15065" t="s">
        <v>31362</v>
      </c>
      <c r="G15065" t="s">
        <v>31369</v>
      </c>
      <c r="H15065" t="s">
        <v>15799</v>
      </c>
      <c r="I15065" t="s">
        <v>31413</v>
      </c>
      <c r="J15065" t="s">
        <v>31641</v>
      </c>
      <c r="K15065" t="s">
        <v>40662</v>
      </c>
      <c r="M15065" t="s">
        <v>44885</v>
      </c>
      <c r="N15065" t="s">
        <v>44905</v>
      </c>
      <c r="O15065" t="s">
        <v>44906</v>
      </c>
      <c r="Q15065">
        <v>8</v>
      </c>
      <c r="R15065" t="s">
        <v>44980</v>
      </c>
      <c r="S15065" t="s">
        <v>46271</v>
      </c>
      <c r="T15065" t="s">
        <v>46530</v>
      </c>
      <c r="U15065" t="s">
        <v>58932</v>
      </c>
      <c r="W15065" t="s">
        <v>44885</v>
      </c>
      <c r="X15065" t="s">
        <v>44984</v>
      </c>
    </row>
    <row r="15066" spans="1:24">
      <c r="A15066">
        <f>HYPERLINK("https://www.philgeps.gov.ph/GEPSNONPILOT/Tender/SplashBidNoticeAbstractUI.aspx?menuIndex=3&amp;refID=6905855&amp;Result=3","6905855")</f>
        <v>0</v>
      </c>
      <c r="B15066" t="s">
        <v>982</v>
      </c>
      <c r="C15066" t="s">
        <v>17956</v>
      </c>
      <c r="D15066" t="s">
        <v>18106</v>
      </c>
      <c r="E15066" t="s">
        <v>22850</v>
      </c>
      <c r="F15066" t="s">
        <v>31362</v>
      </c>
      <c r="G15066" t="s">
        <v>31369</v>
      </c>
      <c r="H15066" t="s">
        <v>31378</v>
      </c>
      <c r="I15066" t="s">
        <v>31386</v>
      </c>
      <c r="J15066" t="s">
        <v>40578</v>
      </c>
      <c r="K15066" t="s">
        <v>40752</v>
      </c>
      <c r="M15066" t="s">
        <v>41974</v>
      </c>
      <c r="N15066" t="s">
        <v>44905</v>
      </c>
      <c r="O15066" t="s">
        <v>44906</v>
      </c>
      <c r="Q15066">
        <v>2</v>
      </c>
      <c r="R15066" t="s">
        <v>44984</v>
      </c>
      <c r="S15066" t="s">
        <v>46272</v>
      </c>
      <c r="T15066" t="s">
        <v>46911</v>
      </c>
      <c r="U15066" t="s">
        <v>58933</v>
      </c>
      <c r="W15066" t="s">
        <v>41974</v>
      </c>
      <c r="X15066" t="s">
        <v>44983</v>
      </c>
    </row>
    <row r="15067" spans="1:24">
      <c r="A15067">
        <f>HYPERLINK("https://www.philgeps.gov.ph/GEPSNONPILOT/Tender/SplashBidNoticeAbstractUI.aspx?menuIndex=3&amp;refID=6914517&amp;Result=3","6914517")</f>
        <v>0</v>
      </c>
      <c r="B15067" t="s">
        <v>424</v>
      </c>
      <c r="C15067" t="s">
        <v>17957</v>
      </c>
      <c r="D15067" t="s">
        <v>18168</v>
      </c>
      <c r="E15067" t="s">
        <v>17957</v>
      </c>
      <c r="F15067" t="s">
        <v>31362</v>
      </c>
      <c r="G15067" t="s">
        <v>31370</v>
      </c>
      <c r="H15067" t="s">
        <v>15799</v>
      </c>
      <c r="I15067" t="s">
        <v>7188</v>
      </c>
      <c r="J15067" t="s">
        <v>32459</v>
      </c>
      <c r="K15067" t="s">
        <v>40665</v>
      </c>
      <c r="M15067" t="s">
        <v>41375</v>
      </c>
      <c r="N15067" t="s">
        <v>44905</v>
      </c>
      <c r="O15067" t="s">
        <v>44906</v>
      </c>
      <c r="Q15067">
        <v>4</v>
      </c>
      <c r="R15067" t="s">
        <v>44982</v>
      </c>
      <c r="S15067" t="s">
        <v>46273</v>
      </c>
      <c r="T15067" t="s">
        <v>46532</v>
      </c>
      <c r="U15067" t="s">
        <v>58934</v>
      </c>
      <c r="W15067" t="s">
        <v>41375</v>
      </c>
      <c r="X15067" t="s">
        <v>44980</v>
      </c>
    </row>
    <row r="15068" spans="1:24">
      <c r="A15068">
        <f>HYPERLINK("https://www.philgeps.gov.ph/GEPSNONPILOT/Tender/SplashBidNoticeAbstractUI.aspx?menuIndex=3&amp;refID=6904456&amp;Result=3","6904456")</f>
        <v>0</v>
      </c>
      <c r="B15068" t="s">
        <v>1676</v>
      </c>
      <c r="C15068" t="s">
        <v>17958</v>
      </c>
      <c r="D15068" t="s">
        <v>18139</v>
      </c>
      <c r="E15068" t="s">
        <v>31226</v>
      </c>
      <c r="F15068" t="s">
        <v>31362</v>
      </c>
      <c r="G15068" t="s">
        <v>31369</v>
      </c>
      <c r="H15068" t="s">
        <v>31378</v>
      </c>
      <c r="I15068" t="s">
        <v>31386</v>
      </c>
      <c r="J15068" t="s">
        <v>34185</v>
      </c>
      <c r="K15068" t="s">
        <v>40692</v>
      </c>
      <c r="M15068" t="s">
        <v>42741</v>
      </c>
      <c r="N15068" t="s">
        <v>44905</v>
      </c>
      <c r="O15068" t="s">
        <v>44906</v>
      </c>
      <c r="Q15068">
        <v>5</v>
      </c>
      <c r="R15068" t="s">
        <v>44984</v>
      </c>
      <c r="S15068" t="s">
        <v>46274</v>
      </c>
      <c r="T15068" t="s">
        <v>46409</v>
      </c>
      <c r="U15068" t="s">
        <v>58935</v>
      </c>
      <c r="V15068" t="s">
        <v>60812</v>
      </c>
      <c r="W15068" t="s">
        <v>60921</v>
      </c>
      <c r="X15068" t="s">
        <v>44983</v>
      </c>
    </row>
    <row r="15069" spans="1:24">
      <c r="A15069">
        <f>HYPERLINK("https://www.philgeps.gov.ph/GEPSNONPILOT/Tender/SplashBidNoticeAbstractUI.aspx?menuIndex=3&amp;refID=6889719&amp;Result=3","6889719")</f>
        <v>0</v>
      </c>
      <c r="B15069" t="s">
        <v>249</v>
      </c>
      <c r="C15069" t="s">
        <v>17959</v>
      </c>
      <c r="E15069" t="s">
        <v>31227</v>
      </c>
      <c r="F15069" t="s">
        <v>31362</v>
      </c>
      <c r="G15069" t="s">
        <v>31369</v>
      </c>
      <c r="H15069" t="s">
        <v>15799</v>
      </c>
      <c r="I15069" t="s">
        <v>31400</v>
      </c>
      <c r="J15069" t="s">
        <v>40579</v>
      </c>
      <c r="K15069" t="s">
        <v>40662</v>
      </c>
      <c r="M15069" t="s">
        <v>44883</v>
      </c>
      <c r="N15069" t="s">
        <v>44905</v>
      </c>
      <c r="O15069" t="s">
        <v>44906</v>
      </c>
      <c r="Q15069">
        <v>23</v>
      </c>
      <c r="R15069" t="s">
        <v>44985</v>
      </c>
      <c r="S15069" t="s">
        <v>46275</v>
      </c>
      <c r="T15069" t="s">
        <v>46460</v>
      </c>
      <c r="U15069" t="s">
        <v>58936</v>
      </c>
      <c r="W15069" t="s">
        <v>44883</v>
      </c>
      <c r="X15069" t="s">
        <v>44986</v>
      </c>
    </row>
    <row r="15070" spans="1:24">
      <c r="A15070">
        <f>HYPERLINK("https://www.philgeps.gov.ph/GEPSNONPILOT/Tender/SplashBidNoticeAbstractUI.aspx?menuIndex=3&amp;refID=6885977&amp;Result=3","6885977")</f>
        <v>0</v>
      </c>
      <c r="B15070" t="s">
        <v>1353</v>
      </c>
      <c r="C15070" t="s">
        <v>17960</v>
      </c>
      <c r="D15070" t="s">
        <v>18103</v>
      </c>
      <c r="E15070" t="s">
        <v>31228</v>
      </c>
      <c r="F15070" t="s">
        <v>31362</v>
      </c>
      <c r="G15070" t="s">
        <v>31372</v>
      </c>
      <c r="H15070" t="s">
        <v>31378</v>
      </c>
      <c r="I15070" t="s">
        <v>31386</v>
      </c>
      <c r="J15070" t="s">
        <v>40580</v>
      </c>
      <c r="K15070" t="s">
        <v>40679</v>
      </c>
      <c r="M15070" t="s">
        <v>44874</v>
      </c>
      <c r="N15070" t="s">
        <v>44905</v>
      </c>
      <c r="O15070" t="s">
        <v>44906</v>
      </c>
      <c r="Q15070">
        <v>7</v>
      </c>
      <c r="R15070" t="s">
        <v>44986</v>
      </c>
      <c r="S15070" t="s">
        <v>46276</v>
      </c>
      <c r="T15070" t="s">
        <v>46645</v>
      </c>
      <c r="U15070" t="s">
        <v>58937</v>
      </c>
      <c r="W15070" t="s">
        <v>44874</v>
      </c>
      <c r="X15070" t="s">
        <v>45018</v>
      </c>
    </row>
    <row r="15071" spans="1:24">
      <c r="A15071">
        <f>HYPERLINK("https://www.philgeps.gov.ph/GEPSNONPILOT/Tender/SplashBidNoticeAbstractUI.aspx?menuIndex=3&amp;refID=6889544&amp;Result=3","6889544")</f>
        <v>0</v>
      </c>
      <c r="B15071" t="s">
        <v>106</v>
      </c>
      <c r="C15071" t="s">
        <v>17961</v>
      </c>
      <c r="D15071" t="s">
        <v>18122</v>
      </c>
      <c r="E15071" t="s">
        <v>26539</v>
      </c>
      <c r="F15071" t="s">
        <v>31362</v>
      </c>
      <c r="G15071" t="s">
        <v>31369</v>
      </c>
      <c r="H15071" t="s">
        <v>31378</v>
      </c>
      <c r="I15071" t="s">
        <v>31386</v>
      </c>
      <c r="J15071" t="s">
        <v>31696</v>
      </c>
      <c r="K15071" t="s">
        <v>40678</v>
      </c>
      <c r="M15071" t="s">
        <v>41043</v>
      </c>
      <c r="N15071" t="s">
        <v>44905</v>
      </c>
      <c r="O15071" t="s">
        <v>44906</v>
      </c>
      <c r="Q15071">
        <v>59</v>
      </c>
      <c r="R15071" t="s">
        <v>44987</v>
      </c>
      <c r="S15071" t="s">
        <v>45704</v>
      </c>
      <c r="T15071" t="s">
        <v>46397</v>
      </c>
      <c r="U15071" t="s">
        <v>58938</v>
      </c>
      <c r="W15071" t="s">
        <v>41043</v>
      </c>
      <c r="X15071" t="s">
        <v>44986</v>
      </c>
    </row>
    <row r="15072" spans="1:24">
      <c r="A15072">
        <f>HYPERLINK("https://www.philgeps.gov.ph/GEPSNONPILOT/Tender/SplashBidNoticeAbstractUI.aspx?menuIndex=3&amp;refID=6906907&amp;Result=3","6906907")</f>
        <v>0</v>
      </c>
      <c r="B15072" t="s">
        <v>1353</v>
      </c>
      <c r="C15072" t="s">
        <v>17962</v>
      </c>
      <c r="D15072" t="s">
        <v>18103</v>
      </c>
      <c r="E15072" t="s">
        <v>31229</v>
      </c>
      <c r="F15072" t="s">
        <v>31362</v>
      </c>
      <c r="G15072" t="s">
        <v>31369</v>
      </c>
      <c r="H15072" t="s">
        <v>31378</v>
      </c>
      <c r="I15072" t="s">
        <v>31386</v>
      </c>
      <c r="J15072" t="s">
        <v>40581</v>
      </c>
      <c r="K15072" t="s">
        <v>40679</v>
      </c>
      <c r="M15072" t="s">
        <v>44874</v>
      </c>
      <c r="N15072" t="s">
        <v>44905</v>
      </c>
      <c r="O15072" t="s">
        <v>44906</v>
      </c>
      <c r="Q15072">
        <v>14</v>
      </c>
      <c r="R15072" t="s">
        <v>44984</v>
      </c>
      <c r="S15072" t="s">
        <v>46277</v>
      </c>
      <c r="T15072" t="s">
        <v>46410</v>
      </c>
      <c r="U15072" t="s">
        <v>58875</v>
      </c>
      <c r="W15072" t="s">
        <v>44874</v>
      </c>
      <c r="X15072" t="s">
        <v>44983</v>
      </c>
    </row>
    <row r="15073" spans="1:24">
      <c r="A15073">
        <f>HYPERLINK("https://www.philgeps.gov.ph/GEPSNONPILOT/Tender/SplashBidNoticeAbstractUI.aspx?menuIndex=3&amp;refID=6890206&amp;Result=3","6890206")</f>
        <v>0</v>
      </c>
      <c r="B15073" t="s">
        <v>1375</v>
      </c>
      <c r="C15073" t="s">
        <v>17963</v>
      </c>
      <c r="D15073" t="s">
        <v>18108</v>
      </c>
      <c r="E15073" t="s">
        <v>31230</v>
      </c>
      <c r="F15073" t="s">
        <v>31362</v>
      </c>
      <c r="G15073" t="s">
        <v>31369</v>
      </c>
      <c r="H15073" t="s">
        <v>31378</v>
      </c>
      <c r="I15073" t="s">
        <v>31386</v>
      </c>
      <c r="J15073" t="s">
        <v>40582</v>
      </c>
      <c r="K15073" t="s">
        <v>40952</v>
      </c>
      <c r="M15073" t="s">
        <v>43100</v>
      </c>
      <c r="N15073" t="s">
        <v>44905</v>
      </c>
      <c r="O15073" t="s">
        <v>44906</v>
      </c>
      <c r="Q15073">
        <v>25</v>
      </c>
      <c r="R15073" t="s">
        <v>44987</v>
      </c>
      <c r="S15073" t="s">
        <v>46278</v>
      </c>
      <c r="T15073" t="s">
        <v>46638</v>
      </c>
      <c r="U15073" t="s">
        <v>58939</v>
      </c>
      <c r="W15073" t="s">
        <v>43100</v>
      </c>
      <c r="X15073" t="s">
        <v>44985</v>
      </c>
    </row>
    <row r="15074" spans="1:24">
      <c r="A15074">
        <f>HYPERLINK("https://www.philgeps.gov.ph/GEPSNONPILOT/Tender/SplashBidNoticeAbstractUI.aspx?menuIndex=3&amp;refID=6889520&amp;Result=3","6889520")</f>
        <v>0</v>
      </c>
      <c r="B15074" t="s">
        <v>106</v>
      </c>
      <c r="C15074" t="s">
        <v>17964</v>
      </c>
      <c r="D15074" t="s">
        <v>18115</v>
      </c>
      <c r="E15074" t="s">
        <v>18547</v>
      </c>
      <c r="F15074" t="s">
        <v>31362</v>
      </c>
      <c r="G15074" t="s">
        <v>31369</v>
      </c>
      <c r="H15074" t="s">
        <v>31378</v>
      </c>
      <c r="I15074" t="s">
        <v>31386</v>
      </c>
      <c r="J15074" t="s">
        <v>40583</v>
      </c>
      <c r="K15074" t="s">
        <v>40683</v>
      </c>
      <c r="M15074" t="s">
        <v>41043</v>
      </c>
      <c r="N15074" t="s">
        <v>44905</v>
      </c>
      <c r="O15074" t="s">
        <v>44906</v>
      </c>
      <c r="Q15074">
        <v>68</v>
      </c>
      <c r="R15074" t="s">
        <v>44987</v>
      </c>
      <c r="S15074" t="s">
        <v>46279</v>
      </c>
      <c r="T15074" t="s">
        <v>46397</v>
      </c>
      <c r="U15074" t="s">
        <v>58938</v>
      </c>
      <c r="W15074" t="s">
        <v>41043</v>
      </c>
      <c r="X15074" t="s">
        <v>44986</v>
      </c>
    </row>
    <row r="15075" spans="1:24">
      <c r="A15075">
        <f>HYPERLINK("https://www.philgeps.gov.ph/GEPSNONPILOT/Tender/SplashBidNoticeAbstractUI.aspx?menuIndex=3&amp;refID=6896896&amp;Result=3","6896896")</f>
        <v>0</v>
      </c>
      <c r="B15075" t="s">
        <v>2757</v>
      </c>
      <c r="C15075" t="s">
        <v>17965</v>
      </c>
      <c r="D15075" t="s">
        <v>18156</v>
      </c>
      <c r="E15075" t="s">
        <v>31231</v>
      </c>
      <c r="F15075" t="s">
        <v>31362</v>
      </c>
      <c r="G15075" t="s">
        <v>31369</v>
      </c>
      <c r="H15075" t="s">
        <v>31378</v>
      </c>
      <c r="I15075" t="s">
        <v>31386</v>
      </c>
      <c r="J15075" t="s">
        <v>40584</v>
      </c>
      <c r="K15075" t="s">
        <v>40679</v>
      </c>
      <c r="M15075" t="s">
        <v>43948</v>
      </c>
      <c r="N15075" t="s">
        <v>44905</v>
      </c>
      <c r="O15075" t="s">
        <v>44906</v>
      </c>
      <c r="Q15075">
        <v>54</v>
      </c>
      <c r="R15075" t="s">
        <v>44988</v>
      </c>
      <c r="S15075" t="s">
        <v>46280</v>
      </c>
      <c r="T15075" t="s">
        <v>46486</v>
      </c>
      <c r="U15075" t="s">
        <v>58940</v>
      </c>
      <c r="V15075" t="s">
        <v>60813</v>
      </c>
      <c r="W15075" t="s">
        <v>43948</v>
      </c>
      <c r="X15075" t="s">
        <v>44987</v>
      </c>
    </row>
    <row r="15076" spans="1:24">
      <c r="A15076">
        <f>HYPERLINK("https://www.philgeps.gov.ph/GEPSNONPILOT/Tender/SplashBidNoticeAbstractUI.aspx?menuIndex=3&amp;refID=6896842&amp;Result=3","6896842")</f>
        <v>0</v>
      </c>
      <c r="B15076" t="s">
        <v>3524</v>
      </c>
      <c r="C15076" t="s">
        <v>17966</v>
      </c>
      <c r="D15076" t="s">
        <v>18108</v>
      </c>
      <c r="E15076" t="s">
        <v>31232</v>
      </c>
      <c r="F15076" t="s">
        <v>31362</v>
      </c>
      <c r="G15076" t="s">
        <v>31369</v>
      </c>
      <c r="H15076" t="s">
        <v>15799</v>
      </c>
      <c r="I15076" t="s">
        <v>31393</v>
      </c>
      <c r="J15076" t="s">
        <v>40585</v>
      </c>
      <c r="K15076" t="s">
        <v>40665</v>
      </c>
      <c r="M15076" t="s">
        <v>44886</v>
      </c>
      <c r="N15076" t="s">
        <v>44905</v>
      </c>
      <c r="O15076" t="s">
        <v>44906</v>
      </c>
      <c r="Q15076">
        <v>18</v>
      </c>
      <c r="R15076" t="s">
        <v>44988</v>
      </c>
      <c r="S15076" t="s">
        <v>46281</v>
      </c>
      <c r="T15076" t="s">
        <v>46504</v>
      </c>
      <c r="U15076" t="s">
        <v>58941</v>
      </c>
      <c r="V15076" t="s">
        <v>60814</v>
      </c>
      <c r="W15076" t="s">
        <v>44886</v>
      </c>
      <c r="X15076" t="s">
        <v>44987</v>
      </c>
    </row>
    <row r="15077" spans="1:24">
      <c r="A15077">
        <f>HYPERLINK("https://www.philgeps.gov.ph/GEPSNONPILOT/Tender/SplashBidNoticeAbstractUI.aspx?menuIndex=3&amp;refID=6895713&amp;Result=3","6895713")</f>
        <v>0</v>
      </c>
      <c r="B15077" t="s">
        <v>1353</v>
      </c>
      <c r="C15077" t="s">
        <v>17967</v>
      </c>
      <c r="D15077" t="s">
        <v>18103</v>
      </c>
      <c r="E15077" t="s">
        <v>31233</v>
      </c>
      <c r="F15077" t="s">
        <v>31362</v>
      </c>
      <c r="G15077" t="s">
        <v>31369</v>
      </c>
      <c r="H15077" t="s">
        <v>31378</v>
      </c>
      <c r="I15077" t="s">
        <v>31386</v>
      </c>
      <c r="J15077" t="s">
        <v>40586</v>
      </c>
      <c r="K15077" t="s">
        <v>40683</v>
      </c>
      <c r="M15077" t="s">
        <v>44874</v>
      </c>
      <c r="N15077" t="s">
        <v>44905</v>
      </c>
      <c r="O15077" t="s">
        <v>44906</v>
      </c>
      <c r="Q15077">
        <v>22</v>
      </c>
      <c r="R15077" t="s">
        <v>44988</v>
      </c>
      <c r="S15077" t="s">
        <v>46282</v>
      </c>
      <c r="T15077" t="s">
        <v>46641</v>
      </c>
      <c r="U15077" t="s">
        <v>58942</v>
      </c>
      <c r="W15077" t="s">
        <v>44874</v>
      </c>
      <c r="X15077" t="s">
        <v>44987</v>
      </c>
    </row>
    <row r="15078" spans="1:24">
      <c r="A15078">
        <f>HYPERLINK("https://www.philgeps.gov.ph/GEPSNONPILOT/Tender/SplashBidNoticeAbstractUI.aspx?menuIndex=3&amp;refID=6894063&amp;Result=3","6894063")</f>
        <v>0</v>
      </c>
      <c r="B15078" t="s">
        <v>3389</v>
      </c>
      <c r="C15078" t="s">
        <v>17968</v>
      </c>
      <c r="D15078" t="s">
        <v>18148</v>
      </c>
      <c r="E15078" t="s">
        <v>31234</v>
      </c>
      <c r="F15078" t="s">
        <v>31362</v>
      </c>
      <c r="G15078" t="s">
        <v>31369</v>
      </c>
      <c r="H15078" t="s">
        <v>15799</v>
      </c>
      <c r="I15078" t="s">
        <v>31457</v>
      </c>
      <c r="J15078" t="s">
        <v>33482</v>
      </c>
      <c r="K15078" t="s">
        <v>40666</v>
      </c>
      <c r="L15078" t="s">
        <v>3389</v>
      </c>
      <c r="M15078" t="s">
        <v>44697</v>
      </c>
      <c r="N15078" t="s">
        <v>44905</v>
      </c>
      <c r="O15078" t="s">
        <v>44906</v>
      </c>
      <c r="Q15078">
        <v>11</v>
      </c>
      <c r="R15078" t="s">
        <v>44988</v>
      </c>
      <c r="S15078" t="s">
        <v>46283</v>
      </c>
      <c r="T15078" t="s">
        <v>46549</v>
      </c>
      <c r="U15078" t="s">
        <v>58943</v>
      </c>
      <c r="W15078" t="s">
        <v>44697</v>
      </c>
      <c r="X15078" t="s">
        <v>44987</v>
      </c>
    </row>
    <row r="15079" spans="1:24">
      <c r="A15079">
        <f>HYPERLINK("https://www.philgeps.gov.ph/GEPSNONPILOT/Tender/SplashBidNoticeAbstractUI.aspx?menuIndex=3&amp;refID=6889820&amp;Result=3","6889820")</f>
        <v>0</v>
      </c>
      <c r="B15079" t="s">
        <v>808</v>
      </c>
      <c r="C15079" t="s">
        <v>17969</v>
      </c>
      <c r="D15079" t="s">
        <v>18155</v>
      </c>
      <c r="E15079" t="s">
        <v>31235</v>
      </c>
      <c r="F15079" t="s">
        <v>31362</v>
      </c>
      <c r="G15079" t="s">
        <v>31369</v>
      </c>
      <c r="H15079" t="s">
        <v>15799</v>
      </c>
      <c r="I15079" t="s">
        <v>31393</v>
      </c>
      <c r="J15079" t="s">
        <v>35630</v>
      </c>
      <c r="K15079" t="s">
        <v>40679</v>
      </c>
      <c r="M15079" t="s">
        <v>41779</v>
      </c>
      <c r="N15079" t="s">
        <v>44905</v>
      </c>
      <c r="O15079" t="s">
        <v>44906</v>
      </c>
      <c r="Q15079">
        <v>39</v>
      </c>
      <c r="R15079" t="s">
        <v>44988</v>
      </c>
      <c r="S15079" t="s">
        <v>46284</v>
      </c>
      <c r="T15079" t="s">
        <v>46435</v>
      </c>
      <c r="U15079" t="s">
        <v>58944</v>
      </c>
      <c r="W15079" t="s">
        <v>41779</v>
      </c>
      <c r="X15079" t="s">
        <v>44985</v>
      </c>
    </row>
    <row r="15080" spans="1:24">
      <c r="A15080">
        <f>HYPERLINK("https://www.philgeps.gov.ph/GEPSNONPILOT/Tender/SplashBidNoticeAbstractUI.aspx?menuIndex=3&amp;refID=6908254&amp;Result=3","6908254")</f>
        <v>0</v>
      </c>
      <c r="B15080" t="s">
        <v>3523</v>
      </c>
      <c r="C15080" t="s">
        <v>17970</v>
      </c>
      <c r="E15080" t="s">
        <v>31236</v>
      </c>
      <c r="F15080" t="s">
        <v>31362</v>
      </c>
      <c r="G15080" t="s">
        <v>31369</v>
      </c>
      <c r="H15080" t="s">
        <v>31378</v>
      </c>
      <c r="I15080" t="s">
        <v>31386</v>
      </c>
      <c r="J15080" t="s">
        <v>40587</v>
      </c>
      <c r="K15080" t="s">
        <v>40691</v>
      </c>
      <c r="M15080" t="s">
        <v>44884</v>
      </c>
      <c r="N15080" t="s">
        <v>44905</v>
      </c>
      <c r="O15080" t="s">
        <v>44906</v>
      </c>
      <c r="Q15080">
        <v>12</v>
      </c>
      <c r="R15080" t="s">
        <v>44984</v>
      </c>
      <c r="S15080" t="s">
        <v>46285</v>
      </c>
      <c r="T15080" t="s">
        <v>46750</v>
      </c>
      <c r="U15080" t="s">
        <v>58929</v>
      </c>
      <c r="W15080" t="s">
        <v>44884</v>
      </c>
      <c r="X15080" t="s">
        <v>44983</v>
      </c>
    </row>
    <row r="15081" spans="1:24">
      <c r="A15081">
        <f>HYPERLINK("https://www.philgeps.gov.ph/GEPSNONPILOT/Tender/SplashBidNoticeAbstractUI.aspx?menuIndex=3&amp;refID=6899512&amp;Result=3","6899512")</f>
        <v>0</v>
      </c>
      <c r="B15081" t="s">
        <v>2744</v>
      </c>
      <c r="C15081" t="s">
        <v>17971</v>
      </c>
      <c r="D15081" t="s">
        <v>18107</v>
      </c>
      <c r="E15081" t="s">
        <v>31237</v>
      </c>
      <c r="F15081" t="s">
        <v>31362</v>
      </c>
      <c r="G15081" t="s">
        <v>31369</v>
      </c>
      <c r="H15081" t="s">
        <v>31378</v>
      </c>
      <c r="I15081" t="s">
        <v>31386</v>
      </c>
      <c r="J15081" t="s">
        <v>40588</v>
      </c>
      <c r="K15081" t="s">
        <v>40752</v>
      </c>
      <c r="M15081" t="s">
        <v>43932</v>
      </c>
      <c r="N15081" t="s">
        <v>44905</v>
      </c>
      <c r="O15081" t="s">
        <v>44906</v>
      </c>
      <c r="Q15081">
        <v>0</v>
      </c>
      <c r="R15081" t="s">
        <v>44989</v>
      </c>
      <c r="S15081" t="s">
        <v>46286</v>
      </c>
      <c r="T15081" t="s">
        <v>46447</v>
      </c>
      <c r="U15081" t="s">
        <v>54544</v>
      </c>
      <c r="W15081" t="s">
        <v>43932</v>
      </c>
      <c r="X15081" t="s">
        <v>44988</v>
      </c>
    </row>
    <row r="15082" spans="1:24">
      <c r="A15082">
        <f>HYPERLINK("https://www.philgeps.gov.ph/GEPSNONPILOT/Tender/SplashBidNoticeAbstractUI.aspx?menuIndex=3&amp;refID=6889538&amp;Result=3","6889538")</f>
        <v>0</v>
      </c>
      <c r="B15082" t="s">
        <v>106</v>
      </c>
      <c r="C15082" t="s">
        <v>17972</v>
      </c>
      <c r="D15082" t="s">
        <v>18122</v>
      </c>
      <c r="E15082" t="s">
        <v>24643</v>
      </c>
      <c r="F15082" t="s">
        <v>31362</v>
      </c>
      <c r="G15082" t="s">
        <v>31369</v>
      </c>
      <c r="H15082" t="s">
        <v>31378</v>
      </c>
      <c r="I15082" t="s">
        <v>31386</v>
      </c>
      <c r="J15082" t="s">
        <v>31696</v>
      </c>
      <c r="K15082" t="s">
        <v>40678</v>
      </c>
      <c r="M15082" t="s">
        <v>41043</v>
      </c>
      <c r="N15082" t="s">
        <v>44905</v>
      </c>
      <c r="O15082" t="s">
        <v>44906</v>
      </c>
      <c r="Q15082">
        <v>57</v>
      </c>
      <c r="R15082" t="s">
        <v>44987</v>
      </c>
      <c r="S15082" t="s">
        <v>45088</v>
      </c>
      <c r="T15082" t="s">
        <v>46505</v>
      </c>
      <c r="U15082" t="s">
        <v>58938</v>
      </c>
      <c r="W15082" t="s">
        <v>41043</v>
      </c>
      <c r="X15082" t="s">
        <v>44986</v>
      </c>
    </row>
    <row r="15083" spans="1:24">
      <c r="A15083">
        <f>HYPERLINK("https://www.philgeps.gov.ph/GEPSNONPILOT/Tender/SplashBidNoticeAbstractUI.aspx?menuIndex=3&amp;refID=6863724&amp;Result=3","6863724")</f>
        <v>0</v>
      </c>
      <c r="B15083" t="s">
        <v>115</v>
      </c>
      <c r="C15083" t="s">
        <v>17973</v>
      </c>
      <c r="D15083" t="s">
        <v>18137</v>
      </c>
      <c r="E15083" t="s">
        <v>31238</v>
      </c>
      <c r="F15083" t="s">
        <v>31362</v>
      </c>
      <c r="G15083" t="s">
        <v>31373</v>
      </c>
      <c r="H15083" t="s">
        <v>31378</v>
      </c>
      <c r="I15083" t="s">
        <v>31386</v>
      </c>
      <c r="J15083" t="s">
        <v>31709</v>
      </c>
      <c r="K15083" t="s">
        <v>40662</v>
      </c>
      <c r="L15083" t="s">
        <v>115</v>
      </c>
      <c r="M15083" t="s">
        <v>41052</v>
      </c>
      <c r="N15083" t="s">
        <v>44905</v>
      </c>
      <c r="O15083" t="s">
        <v>44906</v>
      </c>
      <c r="Q15083">
        <v>5</v>
      </c>
      <c r="R15083" t="s">
        <v>44990</v>
      </c>
      <c r="S15083" t="s">
        <v>45422</v>
      </c>
      <c r="T15083" t="s">
        <v>46549</v>
      </c>
      <c r="U15083" t="s">
        <v>58945</v>
      </c>
      <c r="W15083" t="s">
        <v>41052</v>
      </c>
      <c r="X15083" t="s">
        <v>44998</v>
      </c>
    </row>
    <row r="15084" spans="1:24">
      <c r="A15084">
        <f>HYPERLINK("https://www.philgeps.gov.ph/GEPSNONPILOT/Tender/SplashBidNoticeAbstractUI.aspx?menuIndex=3&amp;refID=6867260&amp;Result=3","6867260")</f>
        <v>0</v>
      </c>
      <c r="B15084" t="s">
        <v>1353</v>
      </c>
      <c r="C15084" t="s">
        <v>17974</v>
      </c>
      <c r="D15084" t="s">
        <v>18103</v>
      </c>
      <c r="E15084" t="s">
        <v>31239</v>
      </c>
      <c r="F15084" t="s">
        <v>31362</v>
      </c>
      <c r="G15084" t="s">
        <v>31369</v>
      </c>
      <c r="H15084" t="s">
        <v>15799</v>
      </c>
      <c r="I15084" t="s">
        <v>31409</v>
      </c>
      <c r="J15084" t="s">
        <v>40589</v>
      </c>
      <c r="K15084" t="s">
        <v>40665</v>
      </c>
      <c r="M15084" t="s">
        <v>44874</v>
      </c>
      <c r="N15084" t="s">
        <v>44905</v>
      </c>
      <c r="O15084" t="s">
        <v>44906</v>
      </c>
      <c r="Q15084">
        <v>8</v>
      </c>
      <c r="R15084" t="s">
        <v>44991</v>
      </c>
      <c r="S15084" t="s">
        <v>46287</v>
      </c>
      <c r="T15084" t="s">
        <v>46645</v>
      </c>
      <c r="U15084" t="s">
        <v>58946</v>
      </c>
      <c r="W15084" t="s">
        <v>44874</v>
      </c>
      <c r="X15084" t="s">
        <v>44990</v>
      </c>
    </row>
    <row r="15085" spans="1:24">
      <c r="A15085">
        <f>HYPERLINK("https://www.philgeps.gov.ph/GEPSNONPILOT/Tender/SplashBidNoticeAbstractUI.aspx?menuIndex=3&amp;refID=6870526&amp;Result=3","6870526")</f>
        <v>0</v>
      </c>
      <c r="B15085" t="s">
        <v>1883</v>
      </c>
      <c r="C15085" t="s">
        <v>17975</v>
      </c>
      <c r="D15085" t="s">
        <v>18108</v>
      </c>
      <c r="E15085" t="s">
        <v>31240</v>
      </c>
      <c r="F15085" t="s">
        <v>31362</v>
      </c>
      <c r="G15085" t="s">
        <v>31369</v>
      </c>
      <c r="H15085" t="s">
        <v>31378</v>
      </c>
      <c r="I15085" t="s">
        <v>31386</v>
      </c>
      <c r="J15085" t="s">
        <v>40590</v>
      </c>
      <c r="K15085" t="s">
        <v>40686</v>
      </c>
      <c r="M15085" t="s">
        <v>42976</v>
      </c>
      <c r="N15085" t="s">
        <v>44905</v>
      </c>
      <c r="O15085" t="s">
        <v>44906</v>
      </c>
      <c r="Q15085">
        <v>29</v>
      </c>
      <c r="R15085" t="s">
        <v>44992</v>
      </c>
      <c r="S15085" t="s">
        <v>46288</v>
      </c>
      <c r="T15085" t="s">
        <v>46504</v>
      </c>
      <c r="U15085" t="s">
        <v>58947</v>
      </c>
      <c r="W15085" t="s">
        <v>42976</v>
      </c>
      <c r="X15085" t="s">
        <v>44991</v>
      </c>
    </row>
    <row r="15086" spans="1:24">
      <c r="A15086">
        <f>HYPERLINK("https://www.philgeps.gov.ph/GEPSNONPILOT/Tender/SplashBidNoticeAbstractUI.aspx?menuIndex=3&amp;refID=6870491&amp;Result=3","6870491")</f>
        <v>0</v>
      </c>
      <c r="B15086" t="s">
        <v>1883</v>
      </c>
      <c r="C15086" t="s">
        <v>17976</v>
      </c>
      <c r="D15086" t="s">
        <v>18108</v>
      </c>
      <c r="E15086" t="s">
        <v>31241</v>
      </c>
      <c r="F15086" t="s">
        <v>31362</v>
      </c>
      <c r="G15086" t="s">
        <v>31369</v>
      </c>
      <c r="H15086" t="s">
        <v>31378</v>
      </c>
      <c r="I15086" t="s">
        <v>31386</v>
      </c>
      <c r="J15086" t="s">
        <v>40591</v>
      </c>
      <c r="K15086" t="s">
        <v>40686</v>
      </c>
      <c r="M15086" t="s">
        <v>42976</v>
      </c>
      <c r="N15086" t="s">
        <v>44905</v>
      </c>
      <c r="O15086" t="s">
        <v>44906</v>
      </c>
      <c r="Q15086">
        <v>36</v>
      </c>
      <c r="R15086" t="s">
        <v>44992</v>
      </c>
      <c r="S15086" t="s">
        <v>46289</v>
      </c>
      <c r="T15086" t="s">
        <v>46504</v>
      </c>
      <c r="U15086" t="s">
        <v>58948</v>
      </c>
      <c r="W15086" t="s">
        <v>42976</v>
      </c>
      <c r="X15086" t="s">
        <v>44991</v>
      </c>
    </row>
    <row r="15087" spans="1:24">
      <c r="A15087">
        <f>HYPERLINK("https://www.philgeps.gov.ph/GEPSNONPILOT/Tender/SplashBidNoticeAbstractUI.aspx?menuIndex=3&amp;refID=6872176&amp;Result=3","6872176")</f>
        <v>0</v>
      </c>
      <c r="B15087" t="s">
        <v>249</v>
      </c>
      <c r="C15087" t="s">
        <v>17977</v>
      </c>
      <c r="E15087" t="s">
        <v>31242</v>
      </c>
      <c r="F15087" t="s">
        <v>31362</v>
      </c>
      <c r="G15087" t="s">
        <v>31369</v>
      </c>
      <c r="H15087" t="s">
        <v>15799</v>
      </c>
      <c r="I15087" t="s">
        <v>31440</v>
      </c>
      <c r="J15087" t="s">
        <v>40592</v>
      </c>
      <c r="K15087" t="s">
        <v>40662</v>
      </c>
      <c r="M15087" t="s">
        <v>44883</v>
      </c>
      <c r="N15087" t="s">
        <v>44905</v>
      </c>
      <c r="O15087" t="s">
        <v>44906</v>
      </c>
      <c r="Q15087">
        <v>5</v>
      </c>
      <c r="R15087" t="s">
        <v>44993</v>
      </c>
      <c r="S15087" t="s">
        <v>46290</v>
      </c>
      <c r="T15087" t="s">
        <v>46912</v>
      </c>
      <c r="U15087" t="s">
        <v>58949</v>
      </c>
      <c r="W15087" t="s">
        <v>44883</v>
      </c>
      <c r="X15087" t="s">
        <v>44991</v>
      </c>
    </row>
    <row r="15088" spans="1:24">
      <c r="A15088">
        <f>HYPERLINK("https://www.philgeps.gov.ph/GEPSNONPILOT/Tender/SplashBidNoticeAbstractUI.aspx?menuIndex=3&amp;refID=6880847&amp;Result=3","6880847")</f>
        <v>0</v>
      </c>
      <c r="B15088" t="s">
        <v>28</v>
      </c>
      <c r="C15088" t="s">
        <v>17978</v>
      </c>
      <c r="D15088" t="s">
        <v>18102</v>
      </c>
      <c r="E15088" t="s">
        <v>31243</v>
      </c>
      <c r="F15088" t="s">
        <v>31362</v>
      </c>
      <c r="G15088" t="s">
        <v>31369</v>
      </c>
      <c r="H15088" t="s">
        <v>31378</v>
      </c>
      <c r="I15088" t="s">
        <v>31386</v>
      </c>
      <c r="J15088" t="s">
        <v>40593</v>
      </c>
      <c r="K15088" t="s">
        <v>40678</v>
      </c>
      <c r="M15088" t="s">
        <v>44887</v>
      </c>
      <c r="N15088" t="s">
        <v>44905</v>
      </c>
      <c r="O15088" t="s">
        <v>44906</v>
      </c>
      <c r="Q15088">
        <v>16</v>
      </c>
      <c r="R15088" t="s">
        <v>44994</v>
      </c>
      <c r="S15088" t="s">
        <v>45200</v>
      </c>
      <c r="T15088" t="s">
        <v>46842</v>
      </c>
      <c r="U15088" t="s">
        <v>58950</v>
      </c>
      <c r="W15088" t="s">
        <v>44887</v>
      </c>
      <c r="X15088" t="s">
        <v>44993</v>
      </c>
    </row>
    <row r="15089" spans="1:24">
      <c r="A15089">
        <f>HYPERLINK("https://www.philgeps.gov.ph/GEPSNONPILOT/Tender/SplashBidNoticeAbstractUI.aspx?menuIndex=3&amp;refID=6880822&amp;Result=3","6880822")</f>
        <v>0</v>
      </c>
      <c r="B15089" t="s">
        <v>3525</v>
      </c>
      <c r="C15089" t="s">
        <v>17979</v>
      </c>
      <c r="D15089" t="s">
        <v>18148</v>
      </c>
      <c r="E15089" t="s">
        <v>31244</v>
      </c>
      <c r="F15089" t="s">
        <v>31362</v>
      </c>
      <c r="G15089" t="s">
        <v>31369</v>
      </c>
      <c r="H15089" t="s">
        <v>15799</v>
      </c>
      <c r="I15089" t="s">
        <v>7719</v>
      </c>
      <c r="J15089" t="s">
        <v>40424</v>
      </c>
      <c r="K15089" t="s">
        <v>40666</v>
      </c>
      <c r="M15089" t="s">
        <v>44888</v>
      </c>
      <c r="N15089" t="s">
        <v>44905</v>
      </c>
      <c r="O15089" t="s">
        <v>44906</v>
      </c>
      <c r="Q15089">
        <v>13</v>
      </c>
      <c r="R15089" t="s">
        <v>44994</v>
      </c>
      <c r="S15089" t="s">
        <v>46291</v>
      </c>
      <c r="T15089" t="s">
        <v>46913</v>
      </c>
      <c r="U15089" t="s">
        <v>58951</v>
      </c>
      <c r="V15089" t="s">
        <v>59711</v>
      </c>
      <c r="W15089" t="s">
        <v>44888</v>
      </c>
      <c r="X15089" t="s">
        <v>44993</v>
      </c>
    </row>
    <row r="15090" spans="1:24">
      <c r="A15090">
        <f>HYPERLINK("https://www.philgeps.gov.ph/GEPSNONPILOT/Tender/SplashBidNoticeAbstractUI.aspx?menuIndex=3&amp;refID=6896081&amp;Result=3","6896081")</f>
        <v>0</v>
      </c>
      <c r="B15090" t="s">
        <v>1353</v>
      </c>
      <c r="C15090" t="s">
        <v>17980</v>
      </c>
      <c r="D15090" t="s">
        <v>18103</v>
      </c>
      <c r="E15090" t="s">
        <v>31245</v>
      </c>
      <c r="F15090" t="s">
        <v>31362</v>
      </c>
      <c r="G15090" t="s">
        <v>31369</v>
      </c>
      <c r="H15090" t="s">
        <v>31378</v>
      </c>
      <c r="I15090" t="s">
        <v>31435</v>
      </c>
      <c r="J15090" t="s">
        <v>40594</v>
      </c>
      <c r="K15090" t="s">
        <v>40682</v>
      </c>
      <c r="M15090" t="s">
        <v>44874</v>
      </c>
      <c r="N15090" t="s">
        <v>44905</v>
      </c>
      <c r="O15090" t="s">
        <v>44906</v>
      </c>
      <c r="Q15090">
        <v>5</v>
      </c>
      <c r="R15090" t="s">
        <v>44989</v>
      </c>
      <c r="S15090" t="s">
        <v>46149</v>
      </c>
      <c r="T15090" t="s">
        <v>46561</v>
      </c>
      <c r="U15090" t="s">
        <v>58875</v>
      </c>
      <c r="W15090" t="s">
        <v>44874</v>
      </c>
      <c r="X15090" t="s">
        <v>44987</v>
      </c>
    </row>
    <row r="15091" spans="1:24">
      <c r="A15091">
        <f>HYPERLINK("https://www.philgeps.gov.ph/GEPSNONPILOT/Tender/SplashBidNoticeAbstractUI.aspx?menuIndex=3&amp;refID=6880782&amp;Result=3","6880782")</f>
        <v>0</v>
      </c>
      <c r="B15091" t="s">
        <v>28</v>
      </c>
      <c r="C15091" t="s">
        <v>17981</v>
      </c>
      <c r="D15091" t="s">
        <v>18102</v>
      </c>
      <c r="E15091" t="s">
        <v>31246</v>
      </c>
      <c r="F15091" t="s">
        <v>31362</v>
      </c>
      <c r="G15091" t="s">
        <v>31369</v>
      </c>
      <c r="H15091" t="s">
        <v>31378</v>
      </c>
      <c r="I15091" t="s">
        <v>31386</v>
      </c>
      <c r="J15091" t="s">
        <v>40595</v>
      </c>
      <c r="K15091" t="s">
        <v>40679</v>
      </c>
      <c r="M15091" t="s">
        <v>44887</v>
      </c>
      <c r="N15091" t="s">
        <v>44905</v>
      </c>
      <c r="O15091" t="s">
        <v>44906</v>
      </c>
      <c r="Q15091">
        <v>13</v>
      </c>
      <c r="R15091" t="s">
        <v>44994</v>
      </c>
      <c r="S15091" t="s">
        <v>45756</v>
      </c>
      <c r="T15091" t="s">
        <v>46794</v>
      </c>
      <c r="U15091" t="s">
        <v>58952</v>
      </c>
      <c r="W15091" t="s">
        <v>44887</v>
      </c>
      <c r="X15091" t="s">
        <v>44993</v>
      </c>
    </row>
    <row r="15092" spans="1:24">
      <c r="A15092">
        <f>HYPERLINK("https://www.philgeps.gov.ph/GEPSNONPILOT/Tender/SplashBidNoticeAbstractUI.aspx?menuIndex=3&amp;refID=6880886&amp;Result=3","6880886")</f>
        <v>0</v>
      </c>
      <c r="B15092" t="s">
        <v>3525</v>
      </c>
      <c r="C15092" t="s">
        <v>17982</v>
      </c>
      <c r="D15092" t="s">
        <v>18148</v>
      </c>
      <c r="E15092" t="s">
        <v>31247</v>
      </c>
      <c r="F15092" t="s">
        <v>31362</v>
      </c>
      <c r="G15092" t="s">
        <v>31369</v>
      </c>
      <c r="H15092" t="s">
        <v>15799</v>
      </c>
      <c r="I15092" t="s">
        <v>7719</v>
      </c>
      <c r="J15092" t="s">
        <v>39695</v>
      </c>
      <c r="K15092" t="s">
        <v>40666</v>
      </c>
      <c r="M15092" t="s">
        <v>44888</v>
      </c>
      <c r="N15092" t="s">
        <v>44905</v>
      </c>
      <c r="O15092" t="s">
        <v>44906</v>
      </c>
      <c r="Q15092">
        <v>12</v>
      </c>
      <c r="R15092" t="s">
        <v>44994</v>
      </c>
      <c r="S15092" t="s">
        <v>46292</v>
      </c>
      <c r="T15092" t="s">
        <v>46913</v>
      </c>
      <c r="U15092" t="s">
        <v>58951</v>
      </c>
      <c r="V15092" t="s">
        <v>59711</v>
      </c>
      <c r="W15092" t="s">
        <v>44888</v>
      </c>
      <c r="X15092" t="s">
        <v>44993</v>
      </c>
    </row>
    <row r="15093" spans="1:24">
      <c r="A15093">
        <f>HYPERLINK("https://www.philgeps.gov.ph/GEPSNONPILOT/Tender/SplashBidNoticeAbstractUI.aspx?menuIndex=3&amp;refID=6889527&amp;Result=3","6889527")</f>
        <v>0</v>
      </c>
      <c r="B15093" t="s">
        <v>106</v>
      </c>
      <c r="C15093" t="s">
        <v>17983</v>
      </c>
      <c r="D15093" t="s">
        <v>18122</v>
      </c>
      <c r="E15093" t="s">
        <v>18494</v>
      </c>
      <c r="F15093" t="s">
        <v>31362</v>
      </c>
      <c r="G15093" t="s">
        <v>31369</v>
      </c>
      <c r="H15093" t="s">
        <v>31378</v>
      </c>
      <c r="I15093" t="s">
        <v>31386</v>
      </c>
      <c r="J15093" t="s">
        <v>31696</v>
      </c>
      <c r="K15093" t="s">
        <v>40678</v>
      </c>
      <c r="M15093" t="s">
        <v>41043</v>
      </c>
      <c r="N15093" t="s">
        <v>44905</v>
      </c>
      <c r="O15093" t="s">
        <v>44906</v>
      </c>
      <c r="Q15093">
        <v>58</v>
      </c>
      <c r="R15093" t="s">
        <v>44987</v>
      </c>
      <c r="S15093" t="s">
        <v>45293</v>
      </c>
      <c r="T15093" t="s">
        <v>46505</v>
      </c>
      <c r="U15093" t="s">
        <v>58938</v>
      </c>
      <c r="W15093" t="s">
        <v>41043</v>
      </c>
      <c r="X15093" t="s">
        <v>44986</v>
      </c>
    </row>
    <row r="15094" spans="1:24">
      <c r="A15094">
        <f>HYPERLINK("https://www.philgeps.gov.ph/GEPSNONPILOT/Tender/SplashBidNoticeAbstractUI.aspx?menuIndex=3&amp;refID=6867329&amp;Result=3","6867329")</f>
        <v>0</v>
      </c>
      <c r="B15094" t="s">
        <v>1353</v>
      </c>
      <c r="C15094" t="s">
        <v>17984</v>
      </c>
      <c r="D15094" t="s">
        <v>18103</v>
      </c>
      <c r="E15094" t="s">
        <v>31248</v>
      </c>
      <c r="F15094" t="s">
        <v>31362</v>
      </c>
      <c r="G15094" t="s">
        <v>31369</v>
      </c>
      <c r="H15094" t="s">
        <v>15799</v>
      </c>
      <c r="I15094" t="s">
        <v>31409</v>
      </c>
      <c r="J15094" t="s">
        <v>32941</v>
      </c>
      <c r="K15094" t="s">
        <v>40665</v>
      </c>
      <c r="M15094" t="s">
        <v>44874</v>
      </c>
      <c r="N15094" t="s">
        <v>44905</v>
      </c>
      <c r="O15094" t="s">
        <v>44906</v>
      </c>
      <c r="Q15094">
        <v>9</v>
      </c>
      <c r="R15094" t="s">
        <v>44991</v>
      </c>
      <c r="S15094" t="s">
        <v>45473</v>
      </c>
      <c r="T15094" t="s">
        <v>46914</v>
      </c>
      <c r="U15094" t="s">
        <v>58953</v>
      </c>
      <c r="W15094" t="s">
        <v>44874</v>
      </c>
      <c r="X15094" t="s">
        <v>44990</v>
      </c>
    </row>
    <row r="15095" spans="1:24">
      <c r="A15095">
        <f>HYPERLINK("https://www.philgeps.gov.ph/GEPSNONPILOT/Tender/SplashBidNoticeAbstractUI.aspx?menuIndex=3&amp;refID=6845997&amp;Result=3","6845997")</f>
        <v>0</v>
      </c>
      <c r="B15095" t="s">
        <v>115</v>
      </c>
      <c r="C15095" t="s">
        <v>17985</v>
      </c>
      <c r="D15095" t="s">
        <v>18137</v>
      </c>
      <c r="E15095" t="s">
        <v>31249</v>
      </c>
      <c r="F15095" t="s">
        <v>31365</v>
      </c>
      <c r="G15095" t="s">
        <v>31373</v>
      </c>
      <c r="H15095" t="s">
        <v>31378</v>
      </c>
      <c r="I15095" t="s">
        <v>31386</v>
      </c>
      <c r="J15095" t="s">
        <v>31637</v>
      </c>
      <c r="K15095" t="s">
        <v>40662</v>
      </c>
      <c r="L15095" t="s">
        <v>115</v>
      </c>
      <c r="M15095" t="s">
        <v>41052</v>
      </c>
      <c r="N15095" t="s">
        <v>44905</v>
      </c>
      <c r="O15095" t="s">
        <v>44906</v>
      </c>
      <c r="Q15095">
        <v>6</v>
      </c>
      <c r="R15095" t="s">
        <v>44995</v>
      </c>
      <c r="S15095" t="s">
        <v>46293</v>
      </c>
      <c r="T15095" t="s">
        <v>46549</v>
      </c>
      <c r="U15095" t="s">
        <v>58954</v>
      </c>
      <c r="W15095" t="s">
        <v>41052</v>
      </c>
      <c r="X15095" t="s">
        <v>45015</v>
      </c>
    </row>
    <row r="15096" spans="1:24">
      <c r="A15096">
        <f>HYPERLINK("https://www.philgeps.gov.ph/GEPSNONPILOT/Tender/SplashBidNoticeAbstractUI.aspx?menuIndex=3&amp;refID=6845955&amp;Result=3","6845955")</f>
        <v>0</v>
      </c>
      <c r="B15096" t="s">
        <v>115</v>
      </c>
      <c r="C15096" t="s">
        <v>17986</v>
      </c>
      <c r="D15096" t="s">
        <v>18137</v>
      </c>
      <c r="E15096" t="s">
        <v>31250</v>
      </c>
      <c r="F15096" t="s">
        <v>31362</v>
      </c>
      <c r="G15096" t="s">
        <v>31373</v>
      </c>
      <c r="H15096" t="s">
        <v>31378</v>
      </c>
      <c r="I15096" t="s">
        <v>31386</v>
      </c>
      <c r="J15096" t="s">
        <v>31602</v>
      </c>
      <c r="K15096" t="s">
        <v>40662</v>
      </c>
      <c r="L15096" t="s">
        <v>115</v>
      </c>
      <c r="M15096" t="s">
        <v>41052</v>
      </c>
      <c r="N15096" t="s">
        <v>44905</v>
      </c>
      <c r="O15096" t="s">
        <v>44906</v>
      </c>
      <c r="Q15096">
        <v>7</v>
      </c>
      <c r="R15096" t="s">
        <v>44995</v>
      </c>
      <c r="S15096" t="s">
        <v>46294</v>
      </c>
      <c r="T15096" t="s">
        <v>46549</v>
      </c>
      <c r="U15096" t="s">
        <v>58955</v>
      </c>
      <c r="W15096" t="s">
        <v>41052</v>
      </c>
      <c r="X15096" t="s">
        <v>45015</v>
      </c>
    </row>
    <row r="15097" spans="1:24">
      <c r="A15097">
        <f>HYPERLINK("https://www.philgeps.gov.ph/GEPSNONPILOT/Tender/SplashBidNoticeAbstractUI.aspx?menuIndex=3&amp;refID=6855622&amp;Result=3","6855622")</f>
        <v>0</v>
      </c>
      <c r="B15097" t="s">
        <v>2007</v>
      </c>
      <c r="C15097" t="s">
        <v>17987</v>
      </c>
      <c r="D15097" t="s">
        <v>18120</v>
      </c>
      <c r="E15097" t="s">
        <v>31251</v>
      </c>
      <c r="F15097" t="s">
        <v>31362</v>
      </c>
      <c r="G15097" t="s">
        <v>31369</v>
      </c>
      <c r="H15097" t="s">
        <v>31378</v>
      </c>
      <c r="I15097" t="s">
        <v>31386</v>
      </c>
      <c r="J15097" t="s">
        <v>35755</v>
      </c>
      <c r="K15097" t="s">
        <v>40950</v>
      </c>
      <c r="M15097" t="s">
        <v>43121</v>
      </c>
      <c r="N15097" t="s">
        <v>44905</v>
      </c>
      <c r="O15097" t="s">
        <v>44906</v>
      </c>
      <c r="Q15097">
        <v>17</v>
      </c>
      <c r="R15097" t="s">
        <v>44996</v>
      </c>
      <c r="S15097" t="s">
        <v>46295</v>
      </c>
      <c r="T15097" t="s">
        <v>46549</v>
      </c>
      <c r="U15097" t="s">
        <v>58956</v>
      </c>
      <c r="W15097" t="s">
        <v>43121</v>
      </c>
      <c r="X15097" t="s">
        <v>44997</v>
      </c>
    </row>
    <row r="15098" spans="1:24">
      <c r="A15098">
        <f>HYPERLINK("https://www.philgeps.gov.ph/GEPSNONPILOT/Tender/SplashBidNoticeAbstractUI.aspx?menuIndex=3&amp;refID=6851292&amp;Result=3","6851292")</f>
        <v>0</v>
      </c>
      <c r="B15098" t="s">
        <v>1353</v>
      </c>
      <c r="C15098" t="s">
        <v>17988</v>
      </c>
      <c r="D15098" t="s">
        <v>18103</v>
      </c>
      <c r="E15098" t="s">
        <v>31252</v>
      </c>
      <c r="F15098" t="s">
        <v>31362</v>
      </c>
      <c r="G15098" t="s">
        <v>31369</v>
      </c>
      <c r="H15098" t="s">
        <v>31378</v>
      </c>
      <c r="I15098" t="s">
        <v>31386</v>
      </c>
      <c r="J15098" t="s">
        <v>40596</v>
      </c>
      <c r="K15098" t="s">
        <v>40683</v>
      </c>
      <c r="M15098" t="s">
        <v>44874</v>
      </c>
      <c r="N15098" t="s">
        <v>44905</v>
      </c>
      <c r="O15098" t="s">
        <v>44906</v>
      </c>
      <c r="Q15098">
        <v>27</v>
      </c>
      <c r="R15098" t="s">
        <v>44997</v>
      </c>
      <c r="S15098" t="s">
        <v>46296</v>
      </c>
      <c r="T15098" t="s">
        <v>46645</v>
      </c>
      <c r="U15098" t="s">
        <v>58875</v>
      </c>
      <c r="W15098" t="s">
        <v>44874</v>
      </c>
      <c r="X15098" t="s">
        <v>44995</v>
      </c>
    </row>
    <row r="15099" spans="1:24">
      <c r="A15099">
        <f>HYPERLINK("https://www.philgeps.gov.ph/GEPSNONPILOT/Tender/SplashBidNoticeAbstractUI.aspx?menuIndex=3&amp;refID=6848996&amp;Result=3","6848996")</f>
        <v>0</v>
      </c>
      <c r="B15099" t="s">
        <v>28</v>
      </c>
      <c r="C15099" t="s">
        <v>17989</v>
      </c>
      <c r="D15099" t="s">
        <v>18102</v>
      </c>
      <c r="E15099" t="s">
        <v>31253</v>
      </c>
      <c r="F15099" t="s">
        <v>31362</v>
      </c>
      <c r="G15099" t="s">
        <v>31369</v>
      </c>
      <c r="H15099" t="s">
        <v>31378</v>
      </c>
      <c r="I15099" t="s">
        <v>31386</v>
      </c>
      <c r="J15099" t="s">
        <v>40597</v>
      </c>
      <c r="K15099" t="s">
        <v>40682</v>
      </c>
      <c r="M15099" t="s">
        <v>44887</v>
      </c>
      <c r="N15099" t="s">
        <v>44905</v>
      </c>
      <c r="O15099" t="s">
        <v>44906</v>
      </c>
      <c r="Q15099">
        <v>9</v>
      </c>
      <c r="R15099" t="s">
        <v>44997</v>
      </c>
      <c r="S15099" t="s">
        <v>46297</v>
      </c>
      <c r="T15099" t="s">
        <v>46561</v>
      </c>
      <c r="U15099" t="s">
        <v>58957</v>
      </c>
      <c r="V15099" t="s">
        <v>60815</v>
      </c>
      <c r="W15099" t="s">
        <v>44887</v>
      </c>
      <c r="X15099" t="s">
        <v>60999</v>
      </c>
    </row>
    <row r="15100" spans="1:24">
      <c r="A15100">
        <f>HYPERLINK("https://www.philgeps.gov.ph/GEPSNONPILOT/Tender/SplashBidNoticeAbstractUI.aspx?menuIndex=3&amp;refID=6862443&amp;Result=3","6862443")</f>
        <v>0</v>
      </c>
      <c r="B15100" t="s">
        <v>1883</v>
      </c>
      <c r="C15100" t="s">
        <v>17990</v>
      </c>
      <c r="D15100" t="s">
        <v>18108</v>
      </c>
      <c r="E15100" t="s">
        <v>31254</v>
      </c>
      <c r="F15100" t="s">
        <v>31362</v>
      </c>
      <c r="G15100" t="s">
        <v>31369</v>
      </c>
      <c r="H15100" t="s">
        <v>31378</v>
      </c>
      <c r="I15100" t="s">
        <v>31386</v>
      </c>
      <c r="J15100" t="s">
        <v>40598</v>
      </c>
      <c r="K15100" t="s">
        <v>40684</v>
      </c>
      <c r="M15100" t="s">
        <v>42976</v>
      </c>
      <c r="N15100" t="s">
        <v>44905</v>
      </c>
      <c r="O15100" t="s">
        <v>44906</v>
      </c>
      <c r="Q15100">
        <v>64</v>
      </c>
      <c r="R15100" t="s">
        <v>44998</v>
      </c>
      <c r="S15100" t="s">
        <v>46298</v>
      </c>
      <c r="T15100" t="s">
        <v>46490</v>
      </c>
      <c r="U15100" t="s">
        <v>58958</v>
      </c>
      <c r="W15100" t="s">
        <v>42976</v>
      </c>
      <c r="X15100" t="s">
        <v>61000</v>
      </c>
    </row>
    <row r="15101" spans="1:24">
      <c r="A15101">
        <f>HYPERLINK("https://www.philgeps.gov.ph/GEPSNONPILOT/Tender/SplashBidNoticeAbstractUI.aspx?menuIndex=3&amp;refID=6862423&amp;Result=3","6862423")</f>
        <v>0</v>
      </c>
      <c r="B15101" t="s">
        <v>1883</v>
      </c>
      <c r="C15101" t="s">
        <v>17991</v>
      </c>
      <c r="D15101" t="s">
        <v>18108</v>
      </c>
      <c r="E15101" t="s">
        <v>31255</v>
      </c>
      <c r="F15101" t="s">
        <v>31362</v>
      </c>
      <c r="G15101" t="s">
        <v>31369</v>
      </c>
      <c r="H15101" t="s">
        <v>31378</v>
      </c>
      <c r="I15101" t="s">
        <v>31386</v>
      </c>
      <c r="J15101" t="s">
        <v>40599</v>
      </c>
      <c r="K15101" t="s">
        <v>40692</v>
      </c>
      <c r="M15101" t="s">
        <v>42976</v>
      </c>
      <c r="N15101" t="s">
        <v>44905</v>
      </c>
      <c r="O15101" t="s">
        <v>44906</v>
      </c>
      <c r="Q15101">
        <v>63</v>
      </c>
      <c r="R15101" t="s">
        <v>44998</v>
      </c>
      <c r="S15101" t="s">
        <v>46298</v>
      </c>
      <c r="T15101" t="s">
        <v>46490</v>
      </c>
      <c r="U15101" t="s">
        <v>58959</v>
      </c>
      <c r="W15101" t="s">
        <v>42976</v>
      </c>
      <c r="X15101" t="s">
        <v>61000</v>
      </c>
    </row>
    <row r="15102" spans="1:24">
      <c r="A15102">
        <f>HYPERLINK("https://www.philgeps.gov.ph/GEPSNONPILOT/Tender/SplashBidNoticeAbstractUI.aspx?menuIndex=3&amp;refID=6855697&amp;Result=3","6855697")</f>
        <v>0</v>
      </c>
      <c r="B15102" t="s">
        <v>3500</v>
      </c>
      <c r="C15102" t="s">
        <v>17992</v>
      </c>
      <c r="D15102" t="s">
        <v>18108</v>
      </c>
      <c r="E15102" t="s">
        <v>31256</v>
      </c>
      <c r="F15102" t="s">
        <v>31362</v>
      </c>
      <c r="G15102" t="s">
        <v>31368</v>
      </c>
      <c r="H15102" t="s">
        <v>15799</v>
      </c>
      <c r="I15102" t="s">
        <v>7090</v>
      </c>
      <c r="J15102" t="s">
        <v>40600</v>
      </c>
      <c r="K15102" t="s">
        <v>40665</v>
      </c>
      <c r="M15102" t="s">
        <v>44878</v>
      </c>
      <c r="N15102" t="s">
        <v>44905</v>
      </c>
      <c r="O15102" t="s">
        <v>44906</v>
      </c>
      <c r="Q15102">
        <v>3</v>
      </c>
      <c r="R15102" t="s">
        <v>44996</v>
      </c>
      <c r="S15102" t="s">
        <v>45270</v>
      </c>
      <c r="T15102" t="s">
        <v>46447</v>
      </c>
      <c r="U15102" t="s">
        <v>58960</v>
      </c>
      <c r="W15102" t="s">
        <v>44878</v>
      </c>
      <c r="X15102" t="s">
        <v>44997</v>
      </c>
    </row>
    <row r="15103" spans="1:24">
      <c r="A15103">
        <f>HYPERLINK("https://www.philgeps.gov.ph/GEPSNONPILOT/Tender/SplashBidNoticeAbstractUI.aspx?menuIndex=3&amp;refID=6862407&amp;Result=3","6862407")</f>
        <v>0</v>
      </c>
      <c r="B15103" t="s">
        <v>1883</v>
      </c>
      <c r="C15103" t="s">
        <v>17993</v>
      </c>
      <c r="D15103" t="s">
        <v>18108</v>
      </c>
      <c r="E15103" t="s">
        <v>31257</v>
      </c>
      <c r="F15103" t="s">
        <v>31362</v>
      </c>
      <c r="G15103" t="s">
        <v>31369</v>
      </c>
      <c r="H15103" t="s">
        <v>31378</v>
      </c>
      <c r="I15103" t="s">
        <v>31386</v>
      </c>
      <c r="J15103" t="s">
        <v>40601</v>
      </c>
      <c r="K15103" t="s">
        <v>40692</v>
      </c>
      <c r="M15103" t="s">
        <v>42976</v>
      </c>
      <c r="N15103" t="s">
        <v>44905</v>
      </c>
      <c r="O15103" t="s">
        <v>44906</v>
      </c>
      <c r="Q15103">
        <v>61</v>
      </c>
      <c r="R15103" t="s">
        <v>44998</v>
      </c>
      <c r="S15103" t="s">
        <v>46299</v>
      </c>
      <c r="T15103" t="s">
        <v>46490</v>
      </c>
      <c r="U15103" t="s">
        <v>58961</v>
      </c>
      <c r="W15103" t="s">
        <v>42976</v>
      </c>
      <c r="X15103" t="s">
        <v>61000</v>
      </c>
    </row>
    <row r="15104" spans="1:24">
      <c r="A15104">
        <f>HYPERLINK("https://www.philgeps.gov.ph/GEPSNONPILOT/Tender/SplashBidNoticeAbstractUI.aspx?menuIndex=3&amp;refID=6862335&amp;Result=3","6862335")</f>
        <v>0</v>
      </c>
      <c r="B15104" t="s">
        <v>1883</v>
      </c>
      <c r="C15104" t="s">
        <v>17994</v>
      </c>
      <c r="D15104" t="s">
        <v>18108</v>
      </c>
      <c r="E15104" t="s">
        <v>31258</v>
      </c>
      <c r="F15104" t="s">
        <v>31362</v>
      </c>
      <c r="G15104" t="s">
        <v>31369</v>
      </c>
      <c r="H15104" t="s">
        <v>31378</v>
      </c>
      <c r="I15104" t="s">
        <v>31386</v>
      </c>
      <c r="J15104" t="s">
        <v>40602</v>
      </c>
      <c r="K15104" t="s">
        <v>40678</v>
      </c>
      <c r="M15104" t="s">
        <v>42976</v>
      </c>
      <c r="N15104" t="s">
        <v>44905</v>
      </c>
      <c r="O15104" t="s">
        <v>44906</v>
      </c>
      <c r="Q15104">
        <v>117</v>
      </c>
      <c r="R15104" t="s">
        <v>44998</v>
      </c>
      <c r="S15104" t="s">
        <v>46300</v>
      </c>
      <c r="T15104" t="s">
        <v>46479</v>
      </c>
      <c r="U15104" t="s">
        <v>58962</v>
      </c>
      <c r="W15104" t="s">
        <v>42976</v>
      </c>
      <c r="X15104" t="s">
        <v>61000</v>
      </c>
    </row>
    <row r="15105" spans="1:24">
      <c r="A15105">
        <f>HYPERLINK("https://www.philgeps.gov.ph/GEPSNONPILOT/Tender/SplashBidNoticeAbstractUI.aspx?menuIndex=3&amp;refID=6862279&amp;Result=3","6862279")</f>
        <v>0</v>
      </c>
      <c r="B15105" t="s">
        <v>1883</v>
      </c>
      <c r="C15105" t="s">
        <v>17995</v>
      </c>
      <c r="D15105" t="s">
        <v>18108</v>
      </c>
      <c r="E15105" t="s">
        <v>31259</v>
      </c>
      <c r="F15105" t="s">
        <v>31362</v>
      </c>
      <c r="G15105" t="s">
        <v>31369</v>
      </c>
      <c r="H15105" t="s">
        <v>31378</v>
      </c>
      <c r="I15105" t="s">
        <v>31386</v>
      </c>
      <c r="J15105" t="s">
        <v>40603</v>
      </c>
      <c r="K15105" t="s">
        <v>40678</v>
      </c>
      <c r="M15105" t="s">
        <v>42976</v>
      </c>
      <c r="N15105" t="s">
        <v>44905</v>
      </c>
      <c r="O15105" t="s">
        <v>44906</v>
      </c>
      <c r="Q15105">
        <v>111</v>
      </c>
      <c r="R15105" t="s">
        <v>44998</v>
      </c>
      <c r="S15105" t="s">
        <v>46301</v>
      </c>
      <c r="T15105" t="s">
        <v>46479</v>
      </c>
      <c r="U15105" t="s">
        <v>58963</v>
      </c>
      <c r="W15105" t="s">
        <v>42976</v>
      </c>
      <c r="X15105" t="s">
        <v>61000</v>
      </c>
    </row>
    <row r="15106" spans="1:24">
      <c r="A15106">
        <f>HYPERLINK("https://www.philgeps.gov.ph/GEPSNONPILOT/Tender/SplashBidNoticeAbstractUI.aspx?menuIndex=3&amp;refID=6848945&amp;Result=3","6848945")</f>
        <v>0</v>
      </c>
      <c r="B15106" t="s">
        <v>28</v>
      </c>
      <c r="C15106" t="s">
        <v>17996</v>
      </c>
      <c r="D15106" t="s">
        <v>18102</v>
      </c>
      <c r="E15106" t="s">
        <v>31260</v>
      </c>
      <c r="F15106" t="s">
        <v>31362</v>
      </c>
      <c r="G15106" t="s">
        <v>31369</v>
      </c>
      <c r="H15106" t="s">
        <v>31378</v>
      </c>
      <c r="I15106" t="s">
        <v>31386</v>
      </c>
      <c r="J15106" t="s">
        <v>40604</v>
      </c>
      <c r="K15106" t="s">
        <v>40682</v>
      </c>
      <c r="M15106" t="s">
        <v>44887</v>
      </c>
      <c r="N15106" t="s">
        <v>44905</v>
      </c>
      <c r="O15106" t="s">
        <v>44906</v>
      </c>
      <c r="Q15106">
        <v>10</v>
      </c>
      <c r="R15106" t="s">
        <v>44997</v>
      </c>
      <c r="S15106" t="s">
        <v>46302</v>
      </c>
      <c r="T15106" t="s">
        <v>46418</v>
      </c>
      <c r="U15106" t="s">
        <v>58964</v>
      </c>
      <c r="V15106" t="s">
        <v>60816</v>
      </c>
      <c r="W15106" t="s">
        <v>44887</v>
      </c>
      <c r="X15106" t="s">
        <v>60999</v>
      </c>
    </row>
    <row r="15107" spans="1:24">
      <c r="A15107">
        <f>HYPERLINK("https://www.philgeps.gov.ph/GEPSNONPILOT/Tender/SplashBidNoticeAbstractUI.aspx?menuIndex=3&amp;refID=6808328&amp;Result=3","6808328")</f>
        <v>0</v>
      </c>
      <c r="B15107" t="s">
        <v>3526</v>
      </c>
      <c r="C15107" t="s">
        <v>17997</v>
      </c>
      <c r="D15107" t="s">
        <v>18160</v>
      </c>
      <c r="E15107" t="s">
        <v>31261</v>
      </c>
      <c r="F15107" t="s">
        <v>31362</v>
      </c>
      <c r="G15107" t="s">
        <v>31369</v>
      </c>
      <c r="H15107" t="s">
        <v>15799</v>
      </c>
      <c r="I15107" t="s">
        <v>6155</v>
      </c>
      <c r="J15107" t="s">
        <v>40605</v>
      </c>
      <c r="K15107" t="s">
        <v>40682</v>
      </c>
      <c r="M15107" t="s">
        <v>44889</v>
      </c>
      <c r="N15107" t="s">
        <v>44905</v>
      </c>
      <c r="O15107" t="s">
        <v>44906</v>
      </c>
      <c r="Q15107">
        <v>20</v>
      </c>
      <c r="R15107" t="s">
        <v>44999</v>
      </c>
      <c r="S15107" t="s">
        <v>46303</v>
      </c>
      <c r="T15107" t="s">
        <v>46763</v>
      </c>
      <c r="U15107" t="s">
        <v>58965</v>
      </c>
      <c r="W15107" t="s">
        <v>44889</v>
      </c>
      <c r="X15107" t="s">
        <v>61001</v>
      </c>
    </row>
    <row r="15108" spans="1:24">
      <c r="A15108">
        <f>HYPERLINK("https://www.philgeps.gov.ph/GEPSNONPILOT/Tender/SplashBidNoticeAbstractUI.aspx?menuIndex=3&amp;refID=6862314&amp;Result=3","6862314")</f>
        <v>0</v>
      </c>
      <c r="B15108" t="s">
        <v>1883</v>
      </c>
      <c r="C15108" t="s">
        <v>17998</v>
      </c>
      <c r="D15108" t="s">
        <v>18108</v>
      </c>
      <c r="E15108" t="s">
        <v>31262</v>
      </c>
      <c r="F15108" t="s">
        <v>31362</v>
      </c>
      <c r="G15108" t="s">
        <v>31369</v>
      </c>
      <c r="H15108" t="s">
        <v>31378</v>
      </c>
      <c r="I15108" t="s">
        <v>31386</v>
      </c>
      <c r="J15108" t="s">
        <v>40606</v>
      </c>
      <c r="K15108" t="s">
        <v>40684</v>
      </c>
      <c r="M15108" t="s">
        <v>42976</v>
      </c>
      <c r="N15108" t="s">
        <v>44905</v>
      </c>
      <c r="O15108" t="s">
        <v>44906</v>
      </c>
      <c r="Q15108">
        <v>117</v>
      </c>
      <c r="R15108" t="s">
        <v>44998</v>
      </c>
      <c r="S15108" t="s">
        <v>46304</v>
      </c>
      <c r="T15108" t="s">
        <v>46479</v>
      </c>
      <c r="U15108" t="s">
        <v>58966</v>
      </c>
      <c r="W15108" t="s">
        <v>42976</v>
      </c>
      <c r="X15108" t="s">
        <v>61000</v>
      </c>
    </row>
    <row r="15109" spans="1:24">
      <c r="A15109">
        <f>HYPERLINK("https://www.philgeps.gov.ph/GEPSNONPILOT/Tender/SplashBidNoticeAbstractUI.aspx?menuIndex=3&amp;refID=6811975&amp;Result=3","6811975")</f>
        <v>0</v>
      </c>
      <c r="B15109" t="s">
        <v>2066</v>
      </c>
      <c r="C15109" t="s">
        <v>17999</v>
      </c>
      <c r="D15109" t="s">
        <v>18108</v>
      </c>
      <c r="E15109" t="s">
        <v>31263</v>
      </c>
      <c r="F15109" t="s">
        <v>31362</v>
      </c>
      <c r="G15109" t="s">
        <v>31369</v>
      </c>
      <c r="H15109" t="s">
        <v>15799</v>
      </c>
      <c r="I15109" t="s">
        <v>31382</v>
      </c>
      <c r="J15109" t="s">
        <v>33921</v>
      </c>
      <c r="K15109" t="s">
        <v>40682</v>
      </c>
      <c r="M15109" t="s">
        <v>43368</v>
      </c>
      <c r="N15109" t="s">
        <v>44905</v>
      </c>
      <c r="O15109" t="s">
        <v>44906</v>
      </c>
      <c r="Q15109">
        <v>31</v>
      </c>
      <c r="R15109" t="s">
        <v>45000</v>
      </c>
      <c r="S15109" t="s">
        <v>46305</v>
      </c>
      <c r="T15109" t="s">
        <v>46541</v>
      </c>
      <c r="U15109" t="s">
        <v>52893</v>
      </c>
      <c r="W15109" t="s">
        <v>43368</v>
      </c>
      <c r="X15109" t="s">
        <v>44999</v>
      </c>
    </row>
    <row r="15110" spans="1:24">
      <c r="A15110">
        <f>HYPERLINK("https://www.philgeps.gov.ph/GEPSNONPILOT/Tender/SplashBidNoticeAbstractUI.aspx?menuIndex=3&amp;refID=6816729&amp;Result=3","6816729")</f>
        <v>0</v>
      </c>
      <c r="B15110" t="s">
        <v>1353</v>
      </c>
      <c r="C15110" t="s">
        <v>18000</v>
      </c>
      <c r="D15110" t="s">
        <v>18103</v>
      </c>
      <c r="E15110" t="s">
        <v>31264</v>
      </c>
      <c r="F15110" t="s">
        <v>31362</v>
      </c>
      <c r="G15110" t="s">
        <v>31372</v>
      </c>
      <c r="H15110" t="s">
        <v>31378</v>
      </c>
      <c r="I15110" t="s">
        <v>31386</v>
      </c>
      <c r="J15110" t="s">
        <v>40607</v>
      </c>
      <c r="K15110" t="s">
        <v>40679</v>
      </c>
      <c r="M15110" t="s">
        <v>44874</v>
      </c>
      <c r="N15110" t="s">
        <v>44905</v>
      </c>
      <c r="O15110" t="s">
        <v>44906</v>
      </c>
      <c r="Q15110">
        <v>5</v>
      </c>
      <c r="R15110" t="s">
        <v>45001</v>
      </c>
      <c r="S15110" t="s">
        <v>46306</v>
      </c>
      <c r="T15110" t="s">
        <v>46645</v>
      </c>
      <c r="U15110" t="s">
        <v>58967</v>
      </c>
      <c r="W15110" t="s">
        <v>44874</v>
      </c>
      <c r="X15110" t="s">
        <v>45002</v>
      </c>
    </row>
    <row r="15111" spans="1:24">
      <c r="A15111">
        <f>HYPERLINK("https://www.philgeps.gov.ph/GEPSNONPILOT/Tender/SplashBidNoticeAbstractUI.aspx?menuIndex=3&amp;refID=6811973&amp;Result=3","6811973")</f>
        <v>0</v>
      </c>
      <c r="B15111" t="s">
        <v>2066</v>
      </c>
      <c r="C15111" t="s">
        <v>18001</v>
      </c>
      <c r="D15111" t="s">
        <v>18108</v>
      </c>
      <c r="E15111" t="s">
        <v>31265</v>
      </c>
      <c r="F15111" t="s">
        <v>31362</v>
      </c>
      <c r="G15111" t="s">
        <v>31369</v>
      </c>
      <c r="H15111" t="s">
        <v>31377</v>
      </c>
      <c r="I15111" t="s">
        <v>31377</v>
      </c>
      <c r="J15111" t="s">
        <v>31606</v>
      </c>
      <c r="K15111" t="s">
        <v>40679</v>
      </c>
      <c r="M15111" t="s">
        <v>43368</v>
      </c>
      <c r="N15111" t="s">
        <v>44905</v>
      </c>
      <c r="O15111" t="s">
        <v>44906</v>
      </c>
      <c r="Q15111">
        <v>20</v>
      </c>
      <c r="R15111" t="s">
        <v>45000</v>
      </c>
      <c r="S15111" t="s">
        <v>45606</v>
      </c>
      <c r="T15111" t="s">
        <v>46405</v>
      </c>
      <c r="U15111" t="s">
        <v>52893</v>
      </c>
      <c r="W15111" t="s">
        <v>43368</v>
      </c>
      <c r="X15111" t="s">
        <v>44999</v>
      </c>
    </row>
    <row r="15112" spans="1:24">
      <c r="A15112">
        <f>HYPERLINK("https://www.philgeps.gov.ph/GEPSNONPILOT/Tender/SplashBidNoticeAbstractUI.aspx?menuIndex=3&amp;refID=6814620&amp;Result=3","6814620")</f>
        <v>0</v>
      </c>
      <c r="B15112" t="s">
        <v>2187</v>
      </c>
      <c r="C15112" t="s">
        <v>18002</v>
      </c>
      <c r="D15112" t="s">
        <v>18108</v>
      </c>
      <c r="E15112" t="s">
        <v>31266</v>
      </c>
      <c r="F15112" t="s">
        <v>31362</v>
      </c>
      <c r="G15112" t="s">
        <v>31369</v>
      </c>
      <c r="H15112" t="s">
        <v>31378</v>
      </c>
      <c r="I15112" t="s">
        <v>31386</v>
      </c>
      <c r="J15112" t="s">
        <v>40608</v>
      </c>
      <c r="K15112" t="s">
        <v>40811</v>
      </c>
      <c r="M15112" t="s">
        <v>43832</v>
      </c>
      <c r="N15112" t="s">
        <v>44905</v>
      </c>
      <c r="O15112" t="s">
        <v>44906</v>
      </c>
      <c r="Q15112">
        <v>90</v>
      </c>
      <c r="R15112" t="s">
        <v>45002</v>
      </c>
      <c r="S15112" t="s">
        <v>46307</v>
      </c>
      <c r="T15112" t="s">
        <v>46400</v>
      </c>
      <c r="U15112" t="s">
        <v>54261</v>
      </c>
      <c r="V15112" t="s">
        <v>60817</v>
      </c>
      <c r="W15112" t="s">
        <v>43832</v>
      </c>
      <c r="X15112" t="s">
        <v>45000</v>
      </c>
    </row>
    <row r="15113" spans="1:24">
      <c r="A15113">
        <f>HYPERLINK("https://www.philgeps.gov.ph/GEPSNONPILOT/Tender/SplashBidNoticeAbstractUI.aspx?menuIndex=3&amp;refID=6821906&amp;Result=3","6821906")</f>
        <v>0</v>
      </c>
      <c r="B15113" t="s">
        <v>55</v>
      </c>
      <c r="C15113" t="s">
        <v>18003</v>
      </c>
      <c r="D15113" t="s">
        <v>18120</v>
      </c>
      <c r="E15113" t="s">
        <v>31267</v>
      </c>
      <c r="F15113" t="s">
        <v>31362</v>
      </c>
      <c r="G15113" t="s">
        <v>31370</v>
      </c>
      <c r="H15113" t="s">
        <v>15799</v>
      </c>
      <c r="I15113" t="s">
        <v>31422</v>
      </c>
      <c r="J15113" t="s">
        <v>31564</v>
      </c>
      <c r="K15113" t="s">
        <v>40665</v>
      </c>
      <c r="M15113" t="s">
        <v>40989</v>
      </c>
      <c r="N15113" t="s">
        <v>44905</v>
      </c>
      <c r="O15113" t="s">
        <v>44906</v>
      </c>
      <c r="Q15113">
        <v>1</v>
      </c>
      <c r="R15113" t="s">
        <v>45003</v>
      </c>
      <c r="S15113" t="s">
        <v>46308</v>
      </c>
      <c r="T15113" t="s">
        <v>46404</v>
      </c>
      <c r="U15113" t="s">
        <v>58968</v>
      </c>
      <c r="W15113" t="s">
        <v>40989</v>
      </c>
      <c r="X15113" t="s">
        <v>61002</v>
      </c>
    </row>
    <row r="15114" spans="1:24">
      <c r="A15114">
        <f>HYPERLINK("https://www.philgeps.gov.ph/GEPSNONPILOT/Tender/SplashBidNoticeAbstractUI.aspx?menuIndex=3&amp;refID=6828937&amp;Result=3","6828937")</f>
        <v>0</v>
      </c>
      <c r="B15114" t="s">
        <v>1991</v>
      </c>
      <c r="C15114" t="s">
        <v>18004</v>
      </c>
      <c r="D15114" t="s">
        <v>18112</v>
      </c>
      <c r="E15114" t="s">
        <v>31268</v>
      </c>
      <c r="F15114" t="s">
        <v>31362</v>
      </c>
      <c r="G15114" t="s">
        <v>31369</v>
      </c>
      <c r="H15114" t="s">
        <v>31378</v>
      </c>
      <c r="I15114" t="s">
        <v>31386</v>
      </c>
      <c r="J15114" t="s">
        <v>40609</v>
      </c>
      <c r="K15114" t="s">
        <v>40692</v>
      </c>
      <c r="M15114" t="s">
        <v>43829</v>
      </c>
      <c r="N15114" t="s">
        <v>44905</v>
      </c>
      <c r="O15114" t="s">
        <v>44906</v>
      </c>
      <c r="Q15114">
        <v>10</v>
      </c>
      <c r="R15114" t="s">
        <v>45004</v>
      </c>
      <c r="S15114" t="s">
        <v>45622</v>
      </c>
      <c r="T15114" t="s">
        <v>46479</v>
      </c>
      <c r="U15114" t="s">
        <v>58969</v>
      </c>
      <c r="W15114" t="s">
        <v>43829</v>
      </c>
      <c r="X15114" t="s">
        <v>45005</v>
      </c>
    </row>
    <row r="15115" spans="1:24">
      <c r="A15115">
        <f>HYPERLINK("https://www.philgeps.gov.ph/GEPSNONPILOT/Tender/SplashBidNoticeAbstractUI.aspx?menuIndex=3&amp;refID=6825173&amp;Result=3","6825173")</f>
        <v>0</v>
      </c>
      <c r="B15115" t="s">
        <v>1883</v>
      </c>
      <c r="C15115" t="s">
        <v>18005</v>
      </c>
      <c r="E15115" t="s">
        <v>31269</v>
      </c>
      <c r="F15115" t="s">
        <v>31362</v>
      </c>
      <c r="G15115" t="s">
        <v>31369</v>
      </c>
      <c r="H15115" t="s">
        <v>31378</v>
      </c>
      <c r="I15115" t="s">
        <v>31386</v>
      </c>
      <c r="J15115" t="s">
        <v>40610</v>
      </c>
      <c r="K15115" t="s">
        <v>40683</v>
      </c>
      <c r="M15115" t="s">
        <v>42976</v>
      </c>
      <c r="N15115" t="s">
        <v>44905</v>
      </c>
      <c r="O15115" t="s">
        <v>44906</v>
      </c>
      <c r="Q15115">
        <v>112</v>
      </c>
      <c r="R15115" t="s">
        <v>45005</v>
      </c>
      <c r="S15115" t="s">
        <v>46309</v>
      </c>
      <c r="T15115" t="s">
        <v>46479</v>
      </c>
      <c r="U15115" t="s">
        <v>58970</v>
      </c>
      <c r="W15115" t="s">
        <v>42976</v>
      </c>
      <c r="X15115" t="s">
        <v>45003</v>
      </c>
    </row>
    <row r="15116" spans="1:24">
      <c r="A15116">
        <f>HYPERLINK("https://www.philgeps.gov.ph/GEPSNONPILOT/Tender/SplashBidNoticeAbstractUI.aspx?menuIndex=3&amp;refID=6887641&amp;Result=3","6887641")</f>
        <v>0</v>
      </c>
      <c r="B15116" t="s">
        <v>122</v>
      </c>
      <c r="C15116" t="s">
        <v>18006</v>
      </c>
      <c r="D15116" t="s">
        <v>18145</v>
      </c>
      <c r="E15116" t="s">
        <v>31270</v>
      </c>
      <c r="F15116" t="s">
        <v>31362</v>
      </c>
      <c r="G15116" t="s">
        <v>31369</v>
      </c>
      <c r="H15116" t="s">
        <v>15799</v>
      </c>
      <c r="I15116" t="s">
        <v>31426</v>
      </c>
      <c r="J15116" t="s">
        <v>40611</v>
      </c>
      <c r="K15116" t="s">
        <v>40662</v>
      </c>
      <c r="M15116" t="s">
        <v>41059</v>
      </c>
      <c r="N15116" t="s">
        <v>44905</v>
      </c>
      <c r="O15116" t="s">
        <v>44906</v>
      </c>
      <c r="Q15116">
        <v>13</v>
      </c>
      <c r="R15116" t="s">
        <v>44986</v>
      </c>
      <c r="S15116" t="s">
        <v>46310</v>
      </c>
      <c r="T15116" t="s">
        <v>46670</v>
      </c>
      <c r="U15116" t="s">
        <v>58971</v>
      </c>
      <c r="V15116" t="s">
        <v>60818</v>
      </c>
      <c r="W15116" t="s">
        <v>41059</v>
      </c>
      <c r="X15116" t="s">
        <v>45018</v>
      </c>
    </row>
    <row r="15117" spans="1:24">
      <c r="A15117">
        <f>HYPERLINK("https://www.philgeps.gov.ph/GEPSNONPILOT/Tender/SplashBidNoticeAbstractUI.aspx?menuIndex=3&amp;refID=6831594&amp;Result=3","6831594")</f>
        <v>0</v>
      </c>
      <c r="B15117" t="s">
        <v>2845</v>
      </c>
      <c r="C15117" t="s">
        <v>18007</v>
      </c>
      <c r="D15117" t="s">
        <v>18148</v>
      </c>
      <c r="E15117" t="s">
        <v>31271</v>
      </c>
      <c r="F15117" t="s">
        <v>31362</v>
      </c>
      <c r="G15117" t="s">
        <v>31369</v>
      </c>
      <c r="H15117" t="s">
        <v>31378</v>
      </c>
      <c r="I15117" t="s">
        <v>31386</v>
      </c>
      <c r="J15117" t="s">
        <v>31753</v>
      </c>
      <c r="K15117" t="s">
        <v>40665</v>
      </c>
      <c r="M15117" t="s">
        <v>44046</v>
      </c>
      <c r="N15117" t="s">
        <v>44905</v>
      </c>
      <c r="O15117" t="s">
        <v>44906</v>
      </c>
      <c r="Q15117">
        <v>3</v>
      </c>
      <c r="R15117" t="s">
        <v>45006</v>
      </c>
      <c r="S15117" t="s">
        <v>45108</v>
      </c>
      <c r="T15117" t="s">
        <v>46396</v>
      </c>
      <c r="U15117" t="s">
        <v>54604</v>
      </c>
      <c r="W15117" t="s">
        <v>44046</v>
      </c>
      <c r="X15117" t="s">
        <v>45004</v>
      </c>
    </row>
    <row r="15118" spans="1:24">
      <c r="A15118">
        <f>HYPERLINK("https://www.philgeps.gov.ph/GEPSNONPILOT/Tender/SplashBidNoticeAbstractUI.aspx?menuIndex=3&amp;refID=6841147&amp;Result=3","6841147")</f>
        <v>0</v>
      </c>
      <c r="B15118" t="s">
        <v>1883</v>
      </c>
      <c r="C15118" t="s">
        <v>18008</v>
      </c>
      <c r="D15118" t="s">
        <v>18108</v>
      </c>
      <c r="E15118" t="s">
        <v>31272</v>
      </c>
      <c r="F15118" t="s">
        <v>31362</v>
      </c>
      <c r="G15118" t="s">
        <v>31369</v>
      </c>
      <c r="H15118" t="s">
        <v>31378</v>
      </c>
      <c r="I15118" t="s">
        <v>31386</v>
      </c>
      <c r="J15118" t="s">
        <v>40612</v>
      </c>
      <c r="K15118" t="s">
        <v>40684</v>
      </c>
      <c r="M15118" t="s">
        <v>42976</v>
      </c>
      <c r="N15118" t="s">
        <v>44905</v>
      </c>
      <c r="O15118" t="s">
        <v>44906</v>
      </c>
      <c r="Q15118">
        <v>112</v>
      </c>
      <c r="R15118" t="s">
        <v>45007</v>
      </c>
      <c r="S15118" t="s">
        <v>46311</v>
      </c>
      <c r="T15118" t="s">
        <v>46479</v>
      </c>
      <c r="U15118" t="s">
        <v>58972</v>
      </c>
      <c r="W15118" t="s">
        <v>42976</v>
      </c>
      <c r="X15118" t="s">
        <v>61003</v>
      </c>
    </row>
    <row r="15119" spans="1:24">
      <c r="A15119">
        <f>HYPERLINK("https://www.philgeps.gov.ph/GEPSNONPILOT/Tender/SplashBidNoticeAbstractUI.aspx?menuIndex=3&amp;refID=6904512&amp;Result=3","6904512")</f>
        <v>0</v>
      </c>
      <c r="B15119" t="s">
        <v>173</v>
      </c>
      <c r="C15119" t="s">
        <v>18009</v>
      </c>
      <c r="D15119" t="s">
        <v>18108</v>
      </c>
      <c r="E15119" t="s">
        <v>31273</v>
      </c>
      <c r="F15119" t="s">
        <v>31362</v>
      </c>
      <c r="G15119" t="s">
        <v>31369</v>
      </c>
      <c r="H15119" t="s">
        <v>31379</v>
      </c>
      <c r="I15119" t="s">
        <v>31457</v>
      </c>
      <c r="J15119" t="s">
        <v>40613</v>
      </c>
      <c r="K15119" t="s">
        <v>40723</v>
      </c>
      <c r="M15119" t="s">
        <v>44890</v>
      </c>
      <c r="N15119" t="s">
        <v>44905</v>
      </c>
      <c r="O15119" t="s">
        <v>44906</v>
      </c>
      <c r="Q15119">
        <v>2</v>
      </c>
      <c r="R15119" t="s">
        <v>44984</v>
      </c>
      <c r="S15119" t="s">
        <v>45343</v>
      </c>
      <c r="T15119" t="s">
        <v>46524</v>
      </c>
      <c r="U15119" t="s">
        <v>58973</v>
      </c>
      <c r="V15119" t="s">
        <v>60819</v>
      </c>
      <c r="W15119" t="s">
        <v>44890</v>
      </c>
      <c r="X15119" t="s">
        <v>44983</v>
      </c>
    </row>
    <row r="15120" spans="1:24">
      <c r="A15120">
        <f>HYPERLINK("https://www.philgeps.gov.ph/GEPSNONPILOT/Tender/SplashBidNoticeAbstractUI.aspx?menuIndex=3&amp;refID=6831572&amp;Result=3","6831572")</f>
        <v>0</v>
      </c>
      <c r="B15120" t="s">
        <v>2845</v>
      </c>
      <c r="C15120" t="s">
        <v>18010</v>
      </c>
      <c r="D15120" t="s">
        <v>18148</v>
      </c>
      <c r="E15120" t="s">
        <v>31274</v>
      </c>
      <c r="F15120" t="s">
        <v>31362</v>
      </c>
      <c r="G15120" t="s">
        <v>31369</v>
      </c>
      <c r="H15120" t="s">
        <v>31378</v>
      </c>
      <c r="I15120" t="s">
        <v>31386</v>
      </c>
      <c r="J15120" t="s">
        <v>31726</v>
      </c>
      <c r="K15120" t="s">
        <v>40665</v>
      </c>
      <c r="M15120" t="s">
        <v>44046</v>
      </c>
      <c r="N15120" t="s">
        <v>44905</v>
      </c>
      <c r="O15120" t="s">
        <v>44906</v>
      </c>
      <c r="Q15120">
        <v>3</v>
      </c>
      <c r="R15120" t="s">
        <v>45006</v>
      </c>
      <c r="S15120" t="s">
        <v>46312</v>
      </c>
      <c r="T15120" t="s">
        <v>46396</v>
      </c>
      <c r="U15120" t="s">
        <v>54604</v>
      </c>
      <c r="W15120" t="s">
        <v>44046</v>
      </c>
      <c r="X15120" t="s">
        <v>45004</v>
      </c>
    </row>
    <row r="15121" spans="1:24">
      <c r="A15121">
        <f>HYPERLINK("https://www.philgeps.gov.ph/GEPSNONPILOT/Tender/SplashBidNoticeAbstractUI.aspx?menuIndex=3&amp;refID=6814591&amp;Result=3","6814591")</f>
        <v>0</v>
      </c>
      <c r="B15121" t="s">
        <v>2187</v>
      </c>
      <c r="C15121" t="s">
        <v>18011</v>
      </c>
      <c r="D15121" t="s">
        <v>18108</v>
      </c>
      <c r="E15121" t="s">
        <v>31275</v>
      </c>
      <c r="F15121" t="s">
        <v>31362</v>
      </c>
      <c r="G15121" t="s">
        <v>31369</v>
      </c>
      <c r="H15121" t="s">
        <v>31378</v>
      </c>
      <c r="I15121" t="s">
        <v>31386</v>
      </c>
      <c r="J15121" t="s">
        <v>40614</v>
      </c>
      <c r="K15121" t="s">
        <v>40692</v>
      </c>
      <c r="M15121" t="s">
        <v>43832</v>
      </c>
      <c r="N15121" t="s">
        <v>44905</v>
      </c>
      <c r="O15121" t="s">
        <v>44906</v>
      </c>
      <c r="Q15121">
        <v>98</v>
      </c>
      <c r="R15121" t="s">
        <v>45002</v>
      </c>
      <c r="S15121" t="s">
        <v>46313</v>
      </c>
      <c r="T15121" t="s">
        <v>46400</v>
      </c>
      <c r="U15121" t="s">
        <v>54261</v>
      </c>
      <c r="V15121" t="s">
        <v>60820</v>
      </c>
      <c r="W15121" t="s">
        <v>43832</v>
      </c>
      <c r="X15121" t="s">
        <v>45000</v>
      </c>
    </row>
    <row r="15122" spans="1:24">
      <c r="A15122">
        <f>HYPERLINK("https://www.philgeps.gov.ph/GEPSNONPILOT/Tender/SplashBidNoticeAbstractUI.aspx?menuIndex=3&amp;refID=6826047&amp;Result=3","6826047")</f>
        <v>0</v>
      </c>
      <c r="B15122" t="s">
        <v>2845</v>
      </c>
      <c r="C15122" t="s">
        <v>18012</v>
      </c>
      <c r="D15122" t="s">
        <v>18148</v>
      </c>
      <c r="E15122" t="s">
        <v>31276</v>
      </c>
      <c r="F15122" t="s">
        <v>31362</v>
      </c>
      <c r="G15122" t="s">
        <v>31369</v>
      </c>
      <c r="H15122" t="s">
        <v>31378</v>
      </c>
      <c r="I15122" t="s">
        <v>31386</v>
      </c>
      <c r="J15122" t="s">
        <v>36627</v>
      </c>
      <c r="K15122" t="s">
        <v>40678</v>
      </c>
      <c r="M15122" t="s">
        <v>44046</v>
      </c>
      <c r="N15122" t="s">
        <v>44905</v>
      </c>
      <c r="O15122" t="s">
        <v>44906</v>
      </c>
      <c r="Q15122">
        <v>3</v>
      </c>
      <c r="R15122" t="s">
        <v>45005</v>
      </c>
      <c r="S15122" t="s">
        <v>46314</v>
      </c>
      <c r="T15122" t="s">
        <v>46396</v>
      </c>
      <c r="U15122" t="s">
        <v>58974</v>
      </c>
      <c r="W15122" t="s">
        <v>44046</v>
      </c>
      <c r="X15122" t="s">
        <v>45003</v>
      </c>
    </row>
    <row r="15123" spans="1:24">
      <c r="A15123">
        <f>HYPERLINK("https://www.philgeps.gov.ph/GEPSNONPILOT/Tender/SplashBidNoticeAbstractUI.aspx?menuIndex=3&amp;refID=6414330&amp;Result=3","6414330")</f>
        <v>0</v>
      </c>
      <c r="B15123" t="s">
        <v>1353</v>
      </c>
      <c r="C15123" t="s">
        <v>18013</v>
      </c>
      <c r="D15123" t="s">
        <v>18103</v>
      </c>
      <c r="E15123" t="s">
        <v>31277</v>
      </c>
      <c r="F15123" t="s">
        <v>31362</v>
      </c>
      <c r="G15123" t="s">
        <v>31369</v>
      </c>
      <c r="H15123" t="s">
        <v>31377</v>
      </c>
      <c r="I15123" t="s">
        <v>31377</v>
      </c>
      <c r="J15123" t="s">
        <v>35468</v>
      </c>
      <c r="K15123" t="s">
        <v>40739</v>
      </c>
      <c r="M15123" t="s">
        <v>44874</v>
      </c>
      <c r="N15123" t="s">
        <v>44905</v>
      </c>
      <c r="O15123" t="s">
        <v>44906</v>
      </c>
      <c r="Q15123">
        <v>16</v>
      </c>
      <c r="R15123" t="s">
        <v>45008</v>
      </c>
      <c r="S15123" t="s">
        <v>46315</v>
      </c>
      <c r="T15123" t="s">
        <v>46645</v>
      </c>
      <c r="U15123" t="s">
        <v>58975</v>
      </c>
      <c r="W15123" t="s">
        <v>44874</v>
      </c>
      <c r="X15123" t="s">
        <v>61004</v>
      </c>
    </row>
    <row r="15124" spans="1:24">
      <c r="A15124">
        <f>HYPERLINK("https://www.philgeps.gov.ph/GEPSNONPILOT/Tender/SplashBidNoticeAbstractUI.aspx?menuIndex=3&amp;refID=6604068&amp;Result=3","6604068")</f>
        <v>0</v>
      </c>
      <c r="B15124" t="s">
        <v>762</v>
      </c>
      <c r="C15124" t="s">
        <v>18014</v>
      </c>
      <c r="E15124" t="s">
        <v>31278</v>
      </c>
      <c r="F15124" t="s">
        <v>31362</v>
      </c>
      <c r="G15124" t="s">
        <v>31368</v>
      </c>
      <c r="H15124" t="s">
        <v>15799</v>
      </c>
      <c r="I15124" t="s">
        <v>31422</v>
      </c>
      <c r="J15124" t="s">
        <v>31813</v>
      </c>
      <c r="K15124" t="s">
        <v>40662</v>
      </c>
      <c r="M15124" t="s">
        <v>44817</v>
      </c>
      <c r="N15124" t="s">
        <v>44905</v>
      </c>
      <c r="O15124" t="s">
        <v>44906</v>
      </c>
      <c r="Q15124">
        <v>14</v>
      </c>
      <c r="R15124" t="s">
        <v>45009</v>
      </c>
      <c r="S15124" t="s">
        <v>46316</v>
      </c>
      <c r="T15124" t="s">
        <v>46409</v>
      </c>
      <c r="U15124" t="s">
        <v>58976</v>
      </c>
      <c r="W15124" t="s">
        <v>44817</v>
      </c>
      <c r="X15124" t="s">
        <v>61005</v>
      </c>
    </row>
    <row r="15125" spans="1:24">
      <c r="A15125">
        <f>HYPERLINK("https://www.philgeps.gov.ph/GEPSNONPILOT/Tender/SplashBidNoticeAbstractUI.aspx?menuIndex=3&amp;refID=6771902&amp;Result=3","6771902")</f>
        <v>0</v>
      </c>
      <c r="B15125" t="s">
        <v>709</v>
      </c>
      <c r="C15125" t="s">
        <v>18015</v>
      </c>
      <c r="E15125" t="s">
        <v>31279</v>
      </c>
      <c r="F15125" t="s">
        <v>31362</v>
      </c>
      <c r="G15125" t="s">
        <v>31369</v>
      </c>
      <c r="H15125" t="s">
        <v>31378</v>
      </c>
      <c r="I15125" t="s">
        <v>31386</v>
      </c>
      <c r="J15125" t="s">
        <v>40615</v>
      </c>
      <c r="K15125" t="s">
        <v>40662</v>
      </c>
      <c r="M15125" t="s">
        <v>44891</v>
      </c>
      <c r="N15125" t="s">
        <v>44905</v>
      </c>
      <c r="O15125" t="s">
        <v>44906</v>
      </c>
      <c r="Q15125">
        <v>56</v>
      </c>
      <c r="R15125" t="s">
        <v>45010</v>
      </c>
      <c r="S15125" t="s">
        <v>46317</v>
      </c>
      <c r="T15125" t="s">
        <v>46574</v>
      </c>
      <c r="U15125" t="s">
        <v>58977</v>
      </c>
      <c r="W15125" t="s">
        <v>44891</v>
      </c>
      <c r="X15125" t="s">
        <v>61006</v>
      </c>
    </row>
    <row r="15126" spans="1:24">
      <c r="A15126">
        <f>HYPERLINK("https://www.philgeps.gov.ph/GEPSNONPILOT/Tender/SplashBidNoticeAbstractUI.aspx?menuIndex=3&amp;refID=6785474&amp;Result=3","6785474")</f>
        <v>0</v>
      </c>
      <c r="B15126" t="s">
        <v>1353</v>
      </c>
      <c r="C15126" t="s">
        <v>18016</v>
      </c>
      <c r="D15126" t="s">
        <v>18103</v>
      </c>
      <c r="E15126" t="s">
        <v>31280</v>
      </c>
      <c r="F15126" t="s">
        <v>31362</v>
      </c>
      <c r="G15126" t="s">
        <v>31369</v>
      </c>
      <c r="H15126" t="s">
        <v>31378</v>
      </c>
      <c r="I15126" t="s">
        <v>31386</v>
      </c>
      <c r="J15126" t="s">
        <v>40616</v>
      </c>
      <c r="K15126" t="s">
        <v>40686</v>
      </c>
      <c r="M15126" t="s">
        <v>44874</v>
      </c>
      <c r="N15126" t="s">
        <v>44905</v>
      </c>
      <c r="O15126" t="s">
        <v>44906</v>
      </c>
      <c r="Q15126">
        <v>19</v>
      </c>
      <c r="R15126" t="s">
        <v>45011</v>
      </c>
      <c r="S15126" t="s">
        <v>46318</v>
      </c>
      <c r="T15126" t="s">
        <v>46645</v>
      </c>
      <c r="U15126" t="s">
        <v>58942</v>
      </c>
      <c r="W15126" t="s">
        <v>44874</v>
      </c>
      <c r="X15126" t="s">
        <v>61007</v>
      </c>
    </row>
    <row r="15127" spans="1:24">
      <c r="A15127">
        <f>HYPERLINK("https://www.philgeps.gov.ph/GEPSNONPILOT/Tender/SplashBidNoticeAbstractUI.aspx?menuIndex=3&amp;refID=6841021&amp;Result=3","6841021")</f>
        <v>0</v>
      </c>
      <c r="B15127" t="s">
        <v>1883</v>
      </c>
      <c r="C15127" t="s">
        <v>18017</v>
      </c>
      <c r="D15127" t="s">
        <v>18108</v>
      </c>
      <c r="E15127" t="s">
        <v>31281</v>
      </c>
      <c r="F15127" t="s">
        <v>31362</v>
      </c>
      <c r="G15127" t="s">
        <v>31369</v>
      </c>
      <c r="H15127" t="s">
        <v>31378</v>
      </c>
      <c r="I15127" t="s">
        <v>31386</v>
      </c>
      <c r="J15127" t="s">
        <v>40617</v>
      </c>
      <c r="K15127" t="s">
        <v>40678</v>
      </c>
      <c r="M15127" t="s">
        <v>42976</v>
      </c>
      <c r="N15127" t="s">
        <v>44905</v>
      </c>
      <c r="O15127" t="s">
        <v>44906</v>
      </c>
      <c r="Q15127">
        <v>96</v>
      </c>
      <c r="R15127" t="s">
        <v>45007</v>
      </c>
      <c r="S15127" t="s">
        <v>46319</v>
      </c>
      <c r="T15127" t="s">
        <v>46479</v>
      </c>
      <c r="U15127" t="s">
        <v>58978</v>
      </c>
      <c r="W15127" t="s">
        <v>42976</v>
      </c>
      <c r="X15127" t="s">
        <v>61003</v>
      </c>
    </row>
    <row r="15128" spans="1:24">
      <c r="A15128">
        <f>HYPERLINK("https://www.philgeps.gov.ph/GEPSNONPILOT/Tender/SplashBidNoticeAbstractUI.aspx?menuIndex=3&amp;refID=6906186&amp;Result=3","6906186")</f>
        <v>0</v>
      </c>
      <c r="B15128" t="s">
        <v>982</v>
      </c>
      <c r="C15128" t="s">
        <v>18018</v>
      </c>
      <c r="D15128" t="s">
        <v>18106</v>
      </c>
      <c r="E15128" t="s">
        <v>22850</v>
      </c>
      <c r="F15128" t="s">
        <v>31362</v>
      </c>
      <c r="G15128" t="s">
        <v>31369</v>
      </c>
      <c r="H15128" t="s">
        <v>31378</v>
      </c>
      <c r="I15128" t="s">
        <v>31386</v>
      </c>
      <c r="J15128" t="s">
        <v>40618</v>
      </c>
      <c r="K15128" t="s">
        <v>40757</v>
      </c>
      <c r="M15128" t="s">
        <v>41974</v>
      </c>
      <c r="N15128" t="s">
        <v>44905</v>
      </c>
      <c r="O15128" t="s">
        <v>44906</v>
      </c>
      <c r="Q15128">
        <v>1</v>
      </c>
      <c r="R15128" t="s">
        <v>44984</v>
      </c>
      <c r="S15128" t="s">
        <v>46320</v>
      </c>
      <c r="T15128" t="s">
        <v>46911</v>
      </c>
      <c r="U15128" t="s">
        <v>58979</v>
      </c>
      <c r="W15128" t="s">
        <v>41974</v>
      </c>
      <c r="X15128" t="s">
        <v>44983</v>
      </c>
    </row>
    <row r="15129" spans="1:24">
      <c r="A15129">
        <f>HYPERLINK("https://www.philgeps.gov.ph/GEPSNONPILOT/Tender/SplashBidNoticeAbstractUI.aspx?menuIndex=3&amp;refID=6619256&amp;Result=3","6619256")</f>
        <v>0</v>
      </c>
      <c r="B15129" t="s">
        <v>1353</v>
      </c>
      <c r="C15129" t="s">
        <v>18019</v>
      </c>
      <c r="D15129" t="s">
        <v>18103</v>
      </c>
      <c r="E15129" t="s">
        <v>31282</v>
      </c>
      <c r="F15129" t="s">
        <v>31362</v>
      </c>
      <c r="G15129" t="s">
        <v>31369</v>
      </c>
      <c r="H15129" t="s">
        <v>31378</v>
      </c>
      <c r="I15129" t="s">
        <v>31386</v>
      </c>
      <c r="J15129" t="s">
        <v>40619</v>
      </c>
      <c r="K15129" t="s">
        <v>40679</v>
      </c>
      <c r="M15129" t="s">
        <v>44874</v>
      </c>
      <c r="N15129" t="s">
        <v>44905</v>
      </c>
      <c r="O15129" t="s">
        <v>44906</v>
      </c>
      <c r="Q15129">
        <v>16</v>
      </c>
      <c r="R15129" t="s">
        <v>45012</v>
      </c>
      <c r="S15129" t="s">
        <v>46321</v>
      </c>
      <c r="T15129" t="s">
        <v>46645</v>
      </c>
      <c r="U15129" t="s">
        <v>58875</v>
      </c>
      <c r="W15129" t="s">
        <v>44874</v>
      </c>
      <c r="X15129" t="s">
        <v>61008</v>
      </c>
    </row>
    <row r="15130" spans="1:24">
      <c r="A15130">
        <f>HYPERLINK("https://www.philgeps.gov.ph/GEPSNONPILOT/Tender/SplashBidNoticeAbstractUI.aspx?menuIndex=3&amp;refID=6730457&amp;Result=3","6730457")</f>
        <v>0</v>
      </c>
      <c r="B15130" t="s">
        <v>3403</v>
      </c>
      <c r="C15130" t="s">
        <v>18020</v>
      </c>
      <c r="D15130" t="s">
        <v>18112</v>
      </c>
      <c r="E15130" t="s">
        <v>31283</v>
      </c>
      <c r="F15130" t="s">
        <v>31362</v>
      </c>
      <c r="G15130" t="s">
        <v>31369</v>
      </c>
      <c r="H15130" t="s">
        <v>31378</v>
      </c>
      <c r="I15130" t="s">
        <v>31386</v>
      </c>
      <c r="J15130" t="s">
        <v>31726</v>
      </c>
      <c r="K15130" t="s">
        <v>40664</v>
      </c>
      <c r="M15130" t="s">
        <v>44716</v>
      </c>
      <c r="N15130" t="s">
        <v>44905</v>
      </c>
      <c r="O15130" t="s">
        <v>44906</v>
      </c>
      <c r="Q15130">
        <v>1</v>
      </c>
      <c r="R15130" t="s">
        <v>45013</v>
      </c>
      <c r="S15130" t="s">
        <v>46322</v>
      </c>
      <c r="T15130" t="s">
        <v>46447</v>
      </c>
      <c r="U15130" t="s">
        <v>58980</v>
      </c>
      <c r="W15130" t="s">
        <v>44716</v>
      </c>
      <c r="X15130" t="s">
        <v>61009</v>
      </c>
    </row>
    <row r="15131" spans="1:24">
      <c r="A15131">
        <f>HYPERLINK("https://www.philgeps.gov.ph/GEPSNONPILOT/Tender/SplashBidNoticeAbstractUI.aspx?menuIndex=3&amp;refID=6798337&amp;Result=3","6798337")</f>
        <v>0</v>
      </c>
      <c r="B15131" t="s">
        <v>750</v>
      </c>
      <c r="C15131" t="s">
        <v>18021</v>
      </c>
      <c r="E15131" t="s">
        <v>31284</v>
      </c>
      <c r="F15131" t="s">
        <v>31362</v>
      </c>
      <c r="G15131" t="s">
        <v>31369</v>
      </c>
      <c r="H15131" t="s">
        <v>31378</v>
      </c>
      <c r="I15131" t="s">
        <v>31386</v>
      </c>
      <c r="J15131" t="s">
        <v>32810</v>
      </c>
      <c r="K15131" t="s">
        <v>40662</v>
      </c>
      <c r="M15131" t="s">
        <v>44867</v>
      </c>
      <c r="N15131" t="s">
        <v>44905</v>
      </c>
      <c r="O15131" t="s">
        <v>44906</v>
      </c>
      <c r="Q15131">
        <v>0</v>
      </c>
      <c r="R15131" t="s">
        <v>45014</v>
      </c>
      <c r="S15131" t="s">
        <v>46323</v>
      </c>
      <c r="T15131" t="s">
        <v>46447</v>
      </c>
      <c r="U15131" t="s">
        <v>58981</v>
      </c>
      <c r="W15131" t="s">
        <v>44867</v>
      </c>
      <c r="X15131" t="s">
        <v>61010</v>
      </c>
    </row>
    <row r="15132" spans="1:24">
      <c r="A15132">
        <f>HYPERLINK("https://www.philgeps.gov.ph/GEPSNONPILOT/Tender/SplashBidNoticeAbstractUI.aspx?menuIndex=3&amp;refID=6862360&amp;Result=3","6862360")</f>
        <v>0</v>
      </c>
      <c r="B15132" t="s">
        <v>1883</v>
      </c>
      <c r="C15132" t="s">
        <v>18022</v>
      </c>
      <c r="D15132" t="s">
        <v>18108</v>
      </c>
      <c r="E15132" t="s">
        <v>31285</v>
      </c>
      <c r="F15132" t="s">
        <v>31362</v>
      </c>
      <c r="G15132" t="s">
        <v>31369</v>
      </c>
      <c r="H15132" t="s">
        <v>31378</v>
      </c>
      <c r="I15132" t="s">
        <v>31386</v>
      </c>
      <c r="J15132" t="s">
        <v>40620</v>
      </c>
      <c r="K15132" t="s">
        <v>40684</v>
      </c>
      <c r="M15132" t="s">
        <v>42976</v>
      </c>
      <c r="N15132" t="s">
        <v>44905</v>
      </c>
      <c r="O15132" t="s">
        <v>44906</v>
      </c>
      <c r="Q15132">
        <v>129</v>
      </c>
      <c r="R15132" t="s">
        <v>44998</v>
      </c>
      <c r="S15132" t="s">
        <v>46324</v>
      </c>
      <c r="T15132" t="s">
        <v>46479</v>
      </c>
      <c r="U15132" t="s">
        <v>58982</v>
      </c>
      <c r="W15132" t="s">
        <v>42976</v>
      </c>
      <c r="X15132" t="s">
        <v>61000</v>
      </c>
    </row>
    <row r="15133" spans="1:24">
      <c r="A15133">
        <f>HYPERLINK("https://www.philgeps.gov.ph/GEPSNONPILOT/Tender/SplashBidNoticeAbstractUI.aspx?menuIndex=3&amp;refID=6798304&amp;Result=3","6798304")</f>
        <v>0</v>
      </c>
      <c r="B15133" t="s">
        <v>750</v>
      </c>
      <c r="C15133" t="s">
        <v>18023</v>
      </c>
      <c r="E15133" t="s">
        <v>31286</v>
      </c>
      <c r="F15133" t="s">
        <v>31362</v>
      </c>
      <c r="G15133" t="s">
        <v>31369</v>
      </c>
      <c r="H15133" t="s">
        <v>31378</v>
      </c>
      <c r="I15133" t="s">
        <v>31386</v>
      </c>
      <c r="J15133" t="s">
        <v>40621</v>
      </c>
      <c r="K15133" t="s">
        <v>40662</v>
      </c>
      <c r="M15133" t="s">
        <v>44867</v>
      </c>
      <c r="N15133" t="s">
        <v>44905</v>
      </c>
      <c r="O15133" t="s">
        <v>44906</v>
      </c>
      <c r="Q15133">
        <v>1</v>
      </c>
      <c r="R15133" t="s">
        <v>45014</v>
      </c>
      <c r="S15133" t="s">
        <v>46325</v>
      </c>
      <c r="T15133" t="s">
        <v>46447</v>
      </c>
      <c r="U15133" t="s">
        <v>58983</v>
      </c>
      <c r="W15133" t="s">
        <v>44867</v>
      </c>
      <c r="X15133" t="s">
        <v>61010</v>
      </c>
    </row>
    <row r="15134" spans="1:24">
      <c r="A15134">
        <f>HYPERLINK("https://www.philgeps.gov.ph/GEPSNONPILOT/Tender/SplashBidNoticeAbstractUI.aspx?menuIndex=3&amp;refID=6843474&amp;Result=3","6843474")</f>
        <v>0</v>
      </c>
      <c r="B15134" t="s">
        <v>1353</v>
      </c>
      <c r="C15134" t="s">
        <v>18024</v>
      </c>
      <c r="D15134" t="s">
        <v>18103</v>
      </c>
      <c r="E15134" t="s">
        <v>31287</v>
      </c>
      <c r="F15134" t="s">
        <v>31362</v>
      </c>
      <c r="G15134" t="s">
        <v>31369</v>
      </c>
      <c r="H15134" t="s">
        <v>31377</v>
      </c>
      <c r="I15134" t="s">
        <v>31377</v>
      </c>
      <c r="J15134" t="s">
        <v>40622</v>
      </c>
      <c r="K15134" t="s">
        <v>40720</v>
      </c>
      <c r="M15134" t="s">
        <v>44874</v>
      </c>
      <c r="N15134" t="s">
        <v>44905</v>
      </c>
      <c r="O15134" t="s">
        <v>44906</v>
      </c>
      <c r="Q15134">
        <v>11</v>
      </c>
      <c r="R15134" t="s">
        <v>45015</v>
      </c>
      <c r="S15134" t="s">
        <v>46326</v>
      </c>
      <c r="T15134" t="s">
        <v>46645</v>
      </c>
      <c r="U15134" t="s">
        <v>58984</v>
      </c>
      <c r="W15134" t="s">
        <v>44874</v>
      </c>
      <c r="X15134" t="s">
        <v>45007</v>
      </c>
    </row>
    <row r="15135" spans="1:24">
      <c r="A15135">
        <f>HYPERLINK("https://www.philgeps.gov.ph/GEPSNONPILOT/Tender/SplashBidNoticeAbstractUI.aspx?menuIndex=3&amp;refID=6842987&amp;Result=3","6842987")</f>
        <v>0</v>
      </c>
      <c r="B15135" t="s">
        <v>115</v>
      </c>
      <c r="C15135" t="s">
        <v>18025</v>
      </c>
      <c r="D15135" t="s">
        <v>18137</v>
      </c>
      <c r="E15135" t="s">
        <v>31288</v>
      </c>
      <c r="F15135" t="s">
        <v>31362</v>
      </c>
      <c r="G15135" t="s">
        <v>31373</v>
      </c>
      <c r="H15135" t="s">
        <v>31378</v>
      </c>
      <c r="I15135" t="s">
        <v>31386</v>
      </c>
      <c r="J15135" t="s">
        <v>31606</v>
      </c>
      <c r="K15135" t="s">
        <v>40662</v>
      </c>
      <c r="L15135" t="s">
        <v>115</v>
      </c>
      <c r="M15135" t="s">
        <v>41052</v>
      </c>
      <c r="N15135" t="s">
        <v>44905</v>
      </c>
      <c r="O15135" t="s">
        <v>44906</v>
      </c>
      <c r="Q15135">
        <v>3</v>
      </c>
      <c r="R15135" t="s">
        <v>45015</v>
      </c>
      <c r="S15135" t="s">
        <v>46327</v>
      </c>
      <c r="T15135" t="s">
        <v>46549</v>
      </c>
      <c r="U15135" t="s">
        <v>58985</v>
      </c>
      <c r="W15135" t="s">
        <v>41052</v>
      </c>
      <c r="X15135" t="s">
        <v>45007</v>
      </c>
    </row>
    <row r="15136" spans="1:24">
      <c r="A15136">
        <f>HYPERLINK("https://www.philgeps.gov.ph/GEPSNONPILOT/Tender/SplashBidNoticeAbstractUI.aspx?menuIndex=3&amp;refID=6841178&amp;Result=3","6841178")</f>
        <v>0</v>
      </c>
      <c r="B15136" t="s">
        <v>1353</v>
      </c>
      <c r="C15136" t="s">
        <v>18026</v>
      </c>
      <c r="D15136" t="s">
        <v>18103</v>
      </c>
      <c r="E15136" t="s">
        <v>31289</v>
      </c>
      <c r="F15136" t="s">
        <v>31362</v>
      </c>
      <c r="G15136" t="s">
        <v>31369</v>
      </c>
      <c r="H15136" t="s">
        <v>15799</v>
      </c>
      <c r="I15136" t="s">
        <v>31388</v>
      </c>
      <c r="J15136" t="s">
        <v>31607</v>
      </c>
      <c r="K15136" t="s">
        <v>40876</v>
      </c>
      <c r="M15136" t="s">
        <v>44874</v>
      </c>
      <c r="N15136" t="s">
        <v>44905</v>
      </c>
      <c r="O15136" t="s">
        <v>44906</v>
      </c>
      <c r="Q15136">
        <v>5</v>
      </c>
      <c r="R15136" t="s">
        <v>45015</v>
      </c>
      <c r="S15136" t="s">
        <v>45996</v>
      </c>
      <c r="T15136" t="s">
        <v>46645</v>
      </c>
      <c r="U15136" t="s">
        <v>58986</v>
      </c>
      <c r="W15136" t="s">
        <v>44874</v>
      </c>
      <c r="X15136" t="s">
        <v>61003</v>
      </c>
    </row>
    <row r="15137" spans="1:24">
      <c r="A15137">
        <f>HYPERLINK("https://www.philgeps.gov.ph/GEPSNONPILOT/Tender/SplashBidNoticeAbstractUI.aspx?menuIndex=3&amp;refID=6840310&amp;Result=3","6840310")</f>
        <v>0</v>
      </c>
      <c r="B15137" t="s">
        <v>1265</v>
      </c>
      <c r="C15137" t="s">
        <v>18027</v>
      </c>
      <c r="D15137" t="s">
        <v>18131</v>
      </c>
      <c r="E15137" t="s">
        <v>31290</v>
      </c>
      <c r="F15137" t="s">
        <v>31362</v>
      </c>
      <c r="G15137" t="s">
        <v>31369</v>
      </c>
      <c r="H15137" t="s">
        <v>31378</v>
      </c>
      <c r="I15137" t="s">
        <v>31386</v>
      </c>
      <c r="J15137" t="s">
        <v>40623</v>
      </c>
      <c r="K15137" t="s">
        <v>40845</v>
      </c>
      <c r="M15137" t="s">
        <v>42282</v>
      </c>
      <c r="N15137" t="s">
        <v>44905</v>
      </c>
      <c r="O15137" t="s">
        <v>44906</v>
      </c>
      <c r="Q15137">
        <v>40</v>
      </c>
      <c r="R15137" t="s">
        <v>45007</v>
      </c>
      <c r="S15137" t="s">
        <v>46328</v>
      </c>
      <c r="T15137" t="s">
        <v>46449</v>
      </c>
      <c r="U15137" t="s">
        <v>58987</v>
      </c>
      <c r="V15137" t="s">
        <v>60821</v>
      </c>
      <c r="W15137" t="s">
        <v>42282</v>
      </c>
      <c r="X15137" t="s">
        <v>61003</v>
      </c>
    </row>
    <row r="15138" spans="1:24">
      <c r="A15138">
        <f>HYPERLINK("https://www.philgeps.gov.ph/GEPSNONPILOT/Tender/SplashBidNoticeAbstractUI.aspx?menuIndex=3&amp;refID=6862235&amp;Result=3","6862235")</f>
        <v>0</v>
      </c>
      <c r="B15138" t="s">
        <v>1883</v>
      </c>
      <c r="C15138" t="s">
        <v>18028</v>
      </c>
      <c r="D15138" t="s">
        <v>18108</v>
      </c>
      <c r="E15138" t="s">
        <v>31291</v>
      </c>
      <c r="F15138" t="s">
        <v>31362</v>
      </c>
      <c r="G15138" t="s">
        <v>31369</v>
      </c>
      <c r="H15138" t="s">
        <v>31378</v>
      </c>
      <c r="I15138" t="s">
        <v>31386</v>
      </c>
      <c r="J15138" t="s">
        <v>40624</v>
      </c>
      <c r="K15138" t="s">
        <v>40682</v>
      </c>
      <c r="M15138" t="s">
        <v>42976</v>
      </c>
      <c r="N15138" t="s">
        <v>44905</v>
      </c>
      <c r="O15138" t="s">
        <v>44906</v>
      </c>
      <c r="Q15138">
        <v>86</v>
      </c>
      <c r="R15138" t="s">
        <v>44998</v>
      </c>
      <c r="S15138" t="s">
        <v>46329</v>
      </c>
      <c r="T15138" t="s">
        <v>46479</v>
      </c>
      <c r="U15138" t="s">
        <v>58988</v>
      </c>
      <c r="W15138" t="s">
        <v>42976</v>
      </c>
      <c r="X15138" t="s">
        <v>61000</v>
      </c>
    </row>
    <row r="15139" spans="1:24">
      <c r="A15139">
        <f>HYPERLINK("https://www.philgeps.gov.ph/GEPSNONPILOT/Tender/SplashBidNoticeAbstractUI.aspx?menuIndex=3&amp;refID=6844300&amp;Result=3","6844300")</f>
        <v>0</v>
      </c>
      <c r="B15139" t="s">
        <v>404</v>
      </c>
      <c r="C15139" t="s">
        <v>18029</v>
      </c>
      <c r="D15139" t="s">
        <v>18108</v>
      </c>
      <c r="E15139" t="s">
        <v>31292</v>
      </c>
      <c r="F15139" t="s">
        <v>31362</v>
      </c>
      <c r="G15139" t="s">
        <v>31369</v>
      </c>
      <c r="H15139" t="s">
        <v>31378</v>
      </c>
      <c r="I15139" t="s">
        <v>31386</v>
      </c>
      <c r="J15139" t="s">
        <v>34896</v>
      </c>
      <c r="K15139" t="s">
        <v>40675</v>
      </c>
      <c r="M15139" t="s">
        <v>44892</v>
      </c>
      <c r="N15139" t="s">
        <v>44905</v>
      </c>
      <c r="O15139" t="s">
        <v>44906</v>
      </c>
      <c r="Q15139">
        <v>25</v>
      </c>
      <c r="R15139" t="s">
        <v>45015</v>
      </c>
      <c r="S15139" t="s">
        <v>46330</v>
      </c>
      <c r="T15139" t="s">
        <v>46396</v>
      </c>
      <c r="U15139" t="s">
        <v>58989</v>
      </c>
      <c r="W15139" t="s">
        <v>60980</v>
      </c>
      <c r="X15139" t="s">
        <v>45007</v>
      </c>
    </row>
    <row r="15140" spans="1:24">
      <c r="A15140">
        <f>HYPERLINK("https://www.philgeps.gov.ph/GEPSNONPILOT/Tender/SplashBidNoticeAbstractUI.aspx?menuIndex=3&amp;refID=6865257&amp;Result=3","6865257")</f>
        <v>0</v>
      </c>
      <c r="B15140" t="s">
        <v>2678</v>
      </c>
      <c r="C15140" t="s">
        <v>18030</v>
      </c>
      <c r="E15140" t="s">
        <v>31293</v>
      </c>
      <c r="F15140" t="s">
        <v>31362</v>
      </c>
      <c r="G15140" t="s">
        <v>31369</v>
      </c>
      <c r="H15140" t="s">
        <v>31378</v>
      </c>
      <c r="I15140" t="s">
        <v>31386</v>
      </c>
      <c r="J15140" t="s">
        <v>40625</v>
      </c>
      <c r="K15140" t="s">
        <v>40662</v>
      </c>
      <c r="M15140" t="s">
        <v>43864</v>
      </c>
      <c r="N15140" t="s">
        <v>44905</v>
      </c>
      <c r="O15140" t="s">
        <v>44906</v>
      </c>
      <c r="Q15140">
        <v>84</v>
      </c>
      <c r="R15140" t="s">
        <v>45016</v>
      </c>
      <c r="S15140" t="s">
        <v>46294</v>
      </c>
      <c r="T15140" t="s">
        <v>46429</v>
      </c>
      <c r="U15140" t="s">
        <v>54790</v>
      </c>
      <c r="W15140" t="s">
        <v>60941</v>
      </c>
      <c r="X15140" t="s">
        <v>44998</v>
      </c>
    </row>
    <row r="15141" spans="1:24">
      <c r="A15141">
        <f>HYPERLINK("https://www.philgeps.gov.ph/GEPSNONPILOT/Tender/SplashBidNoticeAbstractUI.aspx?menuIndex=3&amp;refID=6798317&amp;Result=3","6798317")</f>
        <v>0</v>
      </c>
      <c r="B15141" t="s">
        <v>750</v>
      </c>
      <c r="C15141" t="s">
        <v>18031</v>
      </c>
      <c r="E15141" t="s">
        <v>31294</v>
      </c>
      <c r="F15141" t="s">
        <v>31362</v>
      </c>
      <c r="G15141" t="s">
        <v>31369</v>
      </c>
      <c r="H15141" t="s">
        <v>31378</v>
      </c>
      <c r="I15141" t="s">
        <v>31386</v>
      </c>
      <c r="J15141" t="s">
        <v>40626</v>
      </c>
      <c r="K15141" t="s">
        <v>40662</v>
      </c>
      <c r="M15141" t="s">
        <v>44867</v>
      </c>
      <c r="N15141" t="s">
        <v>44905</v>
      </c>
      <c r="O15141" t="s">
        <v>44906</v>
      </c>
      <c r="Q15141">
        <v>1</v>
      </c>
      <c r="R15141" t="s">
        <v>45014</v>
      </c>
      <c r="S15141" t="s">
        <v>46325</v>
      </c>
      <c r="T15141" t="s">
        <v>46447</v>
      </c>
      <c r="U15141" t="s">
        <v>58990</v>
      </c>
      <c r="W15141" t="s">
        <v>44867</v>
      </c>
      <c r="X15141" t="s">
        <v>61010</v>
      </c>
    </row>
    <row r="15142" spans="1:24">
      <c r="A15142">
        <f>HYPERLINK("https://www.philgeps.gov.ph/GEPSNONPILOT/Tender/SplashBidNoticeAbstractUI.aspx?menuIndex=3&amp;refID=6864471&amp;Result=3","6864471")</f>
        <v>0</v>
      </c>
      <c r="B15142" t="s">
        <v>700</v>
      </c>
      <c r="C15142" t="s">
        <v>18032</v>
      </c>
      <c r="E15142" t="s">
        <v>31295</v>
      </c>
      <c r="F15142" t="s">
        <v>31362</v>
      </c>
      <c r="G15142" t="s">
        <v>31369</v>
      </c>
      <c r="H15142" t="s">
        <v>31378</v>
      </c>
      <c r="I15142" t="s">
        <v>31386</v>
      </c>
      <c r="J15142" t="s">
        <v>40627</v>
      </c>
      <c r="K15142" t="s">
        <v>40662</v>
      </c>
      <c r="M15142" t="s">
        <v>41782</v>
      </c>
      <c r="N15142" t="s">
        <v>44905</v>
      </c>
      <c r="O15142" t="s">
        <v>44906</v>
      </c>
      <c r="Q15142">
        <v>15</v>
      </c>
      <c r="R15142" t="s">
        <v>45016</v>
      </c>
      <c r="S15142" t="s">
        <v>46168</v>
      </c>
      <c r="T15142" t="s">
        <v>46510</v>
      </c>
      <c r="U15142" t="s">
        <v>58991</v>
      </c>
      <c r="W15142" t="s">
        <v>41665</v>
      </c>
      <c r="X15142" t="s">
        <v>44998</v>
      </c>
    </row>
    <row r="15143" spans="1:24">
      <c r="A15143">
        <f>HYPERLINK("https://www.philgeps.gov.ph/GEPSNONPILOT/Tender/SplashBidNoticeAbstractUI.aspx?menuIndex=3&amp;refID=6863861&amp;Result=3","6863861")</f>
        <v>0</v>
      </c>
      <c r="B15143" t="s">
        <v>3527</v>
      </c>
      <c r="C15143" t="s">
        <v>18033</v>
      </c>
      <c r="D15143" t="s">
        <v>18118</v>
      </c>
      <c r="E15143" t="s">
        <v>31296</v>
      </c>
      <c r="F15143" t="s">
        <v>31362</v>
      </c>
      <c r="G15143" t="s">
        <v>31369</v>
      </c>
      <c r="H15143" t="s">
        <v>31378</v>
      </c>
      <c r="I15143" t="s">
        <v>31386</v>
      </c>
      <c r="J15143" t="s">
        <v>40628</v>
      </c>
      <c r="K15143" t="s">
        <v>40686</v>
      </c>
      <c r="M15143" t="s">
        <v>44893</v>
      </c>
      <c r="N15143" t="s">
        <v>44905</v>
      </c>
      <c r="O15143" t="s">
        <v>44906</v>
      </c>
      <c r="Q15143">
        <v>5</v>
      </c>
      <c r="R15143" t="s">
        <v>45016</v>
      </c>
      <c r="S15143" t="s">
        <v>46331</v>
      </c>
      <c r="T15143" t="s">
        <v>46915</v>
      </c>
      <c r="U15143" t="s">
        <v>58992</v>
      </c>
      <c r="W15143" t="s">
        <v>44893</v>
      </c>
      <c r="X15143" t="s">
        <v>44998</v>
      </c>
    </row>
    <row r="15144" spans="1:24">
      <c r="A15144">
        <f>HYPERLINK("https://www.philgeps.gov.ph/GEPSNONPILOT/Tender/SplashBidNoticeAbstractUI.aspx?menuIndex=3&amp;refID=6880434&amp;Result=3","6880434")</f>
        <v>0</v>
      </c>
      <c r="B15144" t="s">
        <v>3525</v>
      </c>
      <c r="C15144" t="s">
        <v>18034</v>
      </c>
      <c r="D15144" t="s">
        <v>18148</v>
      </c>
      <c r="E15144" t="s">
        <v>31297</v>
      </c>
      <c r="F15144" t="s">
        <v>31362</v>
      </c>
      <c r="G15144" t="s">
        <v>31369</v>
      </c>
      <c r="H15144" t="s">
        <v>15799</v>
      </c>
      <c r="I15144" t="s">
        <v>31385</v>
      </c>
      <c r="J15144" t="s">
        <v>40629</v>
      </c>
      <c r="K15144" t="s">
        <v>40666</v>
      </c>
      <c r="M15144" t="s">
        <v>44894</v>
      </c>
      <c r="N15144" t="s">
        <v>44905</v>
      </c>
      <c r="O15144" t="s">
        <v>44906</v>
      </c>
      <c r="Q15144">
        <v>8</v>
      </c>
      <c r="R15144" t="s">
        <v>44994</v>
      </c>
      <c r="S15144" t="s">
        <v>46332</v>
      </c>
      <c r="T15144" t="s">
        <v>46913</v>
      </c>
      <c r="U15144" t="s">
        <v>58993</v>
      </c>
      <c r="V15144" t="s">
        <v>60822</v>
      </c>
      <c r="W15144" t="s">
        <v>44894</v>
      </c>
      <c r="X15144" t="s">
        <v>44993</v>
      </c>
    </row>
    <row r="15145" spans="1:24">
      <c r="A15145">
        <f>HYPERLINK("https://www.philgeps.gov.ph/GEPSNONPILOT/Tender/SplashBidNoticeAbstractUI.aspx?menuIndex=3&amp;refID=6798325&amp;Result=3","6798325")</f>
        <v>0</v>
      </c>
      <c r="B15145" t="s">
        <v>750</v>
      </c>
      <c r="C15145" t="s">
        <v>18035</v>
      </c>
      <c r="E15145" t="s">
        <v>31298</v>
      </c>
      <c r="F15145" t="s">
        <v>31362</v>
      </c>
      <c r="G15145" t="s">
        <v>31369</v>
      </c>
      <c r="H15145" t="s">
        <v>31378</v>
      </c>
      <c r="I15145" t="s">
        <v>31386</v>
      </c>
      <c r="J15145" t="s">
        <v>40621</v>
      </c>
      <c r="K15145" t="s">
        <v>40662</v>
      </c>
      <c r="M15145" t="s">
        <v>44867</v>
      </c>
      <c r="N15145" t="s">
        <v>44905</v>
      </c>
      <c r="O15145" t="s">
        <v>44906</v>
      </c>
      <c r="Q15145">
        <v>1</v>
      </c>
      <c r="R15145" t="s">
        <v>45014</v>
      </c>
      <c r="S15145" t="s">
        <v>46333</v>
      </c>
      <c r="T15145" t="s">
        <v>46447</v>
      </c>
      <c r="U15145" t="s">
        <v>58994</v>
      </c>
      <c r="W15145" t="s">
        <v>44867</v>
      </c>
      <c r="X15145" t="s">
        <v>61010</v>
      </c>
    </row>
    <row r="15146" spans="1:24">
      <c r="A15146">
        <f>HYPERLINK("https://www.philgeps.gov.ph/GEPSNONPILOT/Tender/SplashBidNoticeAbstractUI.aspx?menuIndex=3&amp;refID=6844693&amp;Result=3","6844693")</f>
        <v>0</v>
      </c>
      <c r="B15146" t="s">
        <v>1883</v>
      </c>
      <c r="C15146" t="s">
        <v>18036</v>
      </c>
      <c r="D15146" t="s">
        <v>18108</v>
      </c>
      <c r="E15146" t="s">
        <v>31299</v>
      </c>
      <c r="F15146" t="s">
        <v>31362</v>
      </c>
      <c r="G15146" t="s">
        <v>31369</v>
      </c>
      <c r="H15146" t="s">
        <v>31378</v>
      </c>
      <c r="I15146" t="s">
        <v>31386</v>
      </c>
      <c r="J15146" t="s">
        <v>40630</v>
      </c>
      <c r="K15146" t="s">
        <v>40663</v>
      </c>
      <c r="M15146" t="s">
        <v>42976</v>
      </c>
      <c r="N15146" t="s">
        <v>44905</v>
      </c>
      <c r="O15146" t="s">
        <v>44906</v>
      </c>
      <c r="Q15146">
        <v>66</v>
      </c>
      <c r="R15146" t="s">
        <v>45015</v>
      </c>
      <c r="S15146" t="s">
        <v>46334</v>
      </c>
      <c r="T15146" t="s">
        <v>46490</v>
      </c>
      <c r="U15146" t="s">
        <v>58995</v>
      </c>
      <c r="W15146" t="s">
        <v>42976</v>
      </c>
      <c r="X15146" t="s">
        <v>45007</v>
      </c>
    </row>
    <row r="15147" spans="1:24">
      <c r="A15147">
        <f>HYPERLINK("https://www.philgeps.gov.ph/GEPSNONPILOT/Tender/SplashBidNoticeAbstractUI.aspx?menuIndex=3&amp;refID=6862248&amp;Result=3","6862248")</f>
        <v>0</v>
      </c>
      <c r="B15147" t="s">
        <v>1883</v>
      </c>
      <c r="C15147" t="s">
        <v>18037</v>
      </c>
      <c r="D15147" t="s">
        <v>18108</v>
      </c>
      <c r="E15147" t="s">
        <v>31300</v>
      </c>
      <c r="F15147" t="s">
        <v>31362</v>
      </c>
      <c r="G15147" t="s">
        <v>31369</v>
      </c>
      <c r="H15147" t="s">
        <v>31378</v>
      </c>
      <c r="I15147" t="s">
        <v>31386</v>
      </c>
      <c r="J15147" t="s">
        <v>40631</v>
      </c>
      <c r="K15147" t="s">
        <v>40686</v>
      </c>
      <c r="M15147" t="s">
        <v>42976</v>
      </c>
      <c r="N15147" t="s">
        <v>44905</v>
      </c>
      <c r="O15147" t="s">
        <v>44906</v>
      </c>
      <c r="Q15147">
        <v>111</v>
      </c>
      <c r="R15147" t="s">
        <v>44998</v>
      </c>
      <c r="S15147" t="s">
        <v>46335</v>
      </c>
      <c r="T15147" t="s">
        <v>46479</v>
      </c>
      <c r="U15147" t="s">
        <v>58996</v>
      </c>
      <c r="W15147" t="s">
        <v>42976</v>
      </c>
      <c r="X15147" t="s">
        <v>61000</v>
      </c>
    </row>
    <row r="15148" spans="1:24">
      <c r="A15148">
        <f>HYPERLINK("https://www.philgeps.gov.ph/GEPSNONPILOT/Tender/SplashBidNoticeAbstractUI.aspx?menuIndex=3&amp;refID=6883355&amp;Result=3","6883355")</f>
        <v>0</v>
      </c>
      <c r="B15148" t="s">
        <v>3524</v>
      </c>
      <c r="C15148" t="s">
        <v>18038</v>
      </c>
      <c r="D15148" t="s">
        <v>18108</v>
      </c>
      <c r="E15148" t="s">
        <v>31301</v>
      </c>
      <c r="F15148" t="s">
        <v>31362</v>
      </c>
      <c r="G15148" t="s">
        <v>31369</v>
      </c>
      <c r="H15148" t="s">
        <v>15799</v>
      </c>
      <c r="I15148" t="s">
        <v>7188</v>
      </c>
      <c r="J15148" t="s">
        <v>40315</v>
      </c>
      <c r="K15148" t="s">
        <v>40675</v>
      </c>
      <c r="M15148" t="s">
        <v>44895</v>
      </c>
      <c r="N15148" t="s">
        <v>44905</v>
      </c>
      <c r="O15148" t="s">
        <v>44906</v>
      </c>
      <c r="Q15148">
        <v>30</v>
      </c>
      <c r="R15148" t="s">
        <v>45017</v>
      </c>
      <c r="S15148" t="s">
        <v>46336</v>
      </c>
      <c r="T15148" t="s">
        <v>46504</v>
      </c>
      <c r="U15148" t="s">
        <v>58997</v>
      </c>
      <c r="V15148" t="s">
        <v>60814</v>
      </c>
      <c r="W15148" t="s">
        <v>44895</v>
      </c>
      <c r="X15148" t="s">
        <v>44994</v>
      </c>
    </row>
    <row r="15149" spans="1:24">
      <c r="A15149">
        <f>HYPERLINK("https://www.philgeps.gov.ph/GEPSNONPILOT/Tender/SplashBidNoticeAbstractUI.aspx?menuIndex=3&amp;refID=6880262&amp;Result=3","6880262")</f>
        <v>0</v>
      </c>
      <c r="B15149" t="s">
        <v>2864</v>
      </c>
      <c r="C15149" t="s">
        <v>18039</v>
      </c>
      <c r="D15149" t="s">
        <v>18135</v>
      </c>
      <c r="E15149" t="s">
        <v>31302</v>
      </c>
      <c r="F15149" t="s">
        <v>31362</v>
      </c>
      <c r="G15149" t="s">
        <v>31376</v>
      </c>
      <c r="H15149" t="s">
        <v>31377</v>
      </c>
      <c r="I15149" t="s">
        <v>31377</v>
      </c>
      <c r="J15149" t="s">
        <v>40632</v>
      </c>
      <c r="K15149" t="s">
        <v>40665</v>
      </c>
      <c r="M15149" t="s">
        <v>44896</v>
      </c>
      <c r="N15149" t="s">
        <v>44905</v>
      </c>
      <c r="O15149" t="s">
        <v>44906</v>
      </c>
      <c r="Q15149">
        <v>4</v>
      </c>
      <c r="R15149" t="s">
        <v>44994</v>
      </c>
      <c r="S15149" t="s">
        <v>46337</v>
      </c>
      <c r="T15149" t="s">
        <v>46470</v>
      </c>
      <c r="U15149" t="s">
        <v>58998</v>
      </c>
      <c r="V15149" t="s">
        <v>60823</v>
      </c>
      <c r="W15149" t="s">
        <v>44896</v>
      </c>
      <c r="X15149" t="s">
        <v>44993</v>
      </c>
    </row>
    <row r="15150" spans="1:24">
      <c r="A15150">
        <f>HYPERLINK("https://www.philgeps.gov.ph/GEPSNONPILOT/Tender/SplashBidNoticeAbstractUI.aspx?menuIndex=3&amp;refID=6885420&amp;Result=3","6885420")</f>
        <v>0</v>
      </c>
      <c r="B15150" t="s">
        <v>249</v>
      </c>
      <c r="C15150" t="s">
        <v>18040</v>
      </c>
      <c r="D15150" t="s">
        <v>18110</v>
      </c>
      <c r="E15150" t="s">
        <v>31303</v>
      </c>
      <c r="F15150" t="s">
        <v>31362</v>
      </c>
      <c r="G15150" t="s">
        <v>31369</v>
      </c>
      <c r="H15150" t="s">
        <v>31377</v>
      </c>
      <c r="I15150" t="s">
        <v>31377</v>
      </c>
      <c r="J15150" t="s">
        <v>31602</v>
      </c>
      <c r="K15150" t="s">
        <v>40796</v>
      </c>
      <c r="M15150" t="s">
        <v>44030</v>
      </c>
      <c r="N15150" t="s">
        <v>44905</v>
      </c>
      <c r="O15150" t="s">
        <v>44906</v>
      </c>
      <c r="Q15150">
        <v>11</v>
      </c>
      <c r="R15150" t="s">
        <v>45018</v>
      </c>
      <c r="S15150" t="s">
        <v>46338</v>
      </c>
      <c r="T15150" t="s">
        <v>46916</v>
      </c>
      <c r="U15150" t="s">
        <v>58999</v>
      </c>
      <c r="W15150" t="s">
        <v>44030</v>
      </c>
      <c r="X15150" t="s">
        <v>61011</v>
      </c>
    </row>
    <row r="15151" spans="1:24">
      <c r="A15151">
        <f>HYPERLINK("https://www.philgeps.gov.ph/GEPSNONPILOT/Tender/SplashBidNoticeAbstractUI.aspx?menuIndex=3&amp;refID=6885415&amp;Result=3","6885415")</f>
        <v>0</v>
      </c>
      <c r="B15151" t="s">
        <v>249</v>
      </c>
      <c r="C15151" t="s">
        <v>18041</v>
      </c>
      <c r="D15151" t="s">
        <v>18110</v>
      </c>
      <c r="E15151" t="s">
        <v>31304</v>
      </c>
      <c r="F15151" t="s">
        <v>31362</v>
      </c>
      <c r="G15151" t="s">
        <v>31369</v>
      </c>
      <c r="H15151" t="s">
        <v>31377</v>
      </c>
      <c r="I15151" t="s">
        <v>31377</v>
      </c>
      <c r="J15151" t="s">
        <v>31602</v>
      </c>
      <c r="K15151" t="s">
        <v>40796</v>
      </c>
      <c r="M15151" t="s">
        <v>44030</v>
      </c>
      <c r="N15151" t="s">
        <v>44905</v>
      </c>
      <c r="O15151" t="s">
        <v>44906</v>
      </c>
      <c r="Q15151">
        <v>11</v>
      </c>
      <c r="R15151" t="s">
        <v>45018</v>
      </c>
      <c r="S15151" t="s">
        <v>46339</v>
      </c>
      <c r="T15151" t="s">
        <v>46428</v>
      </c>
      <c r="U15151" t="s">
        <v>59000</v>
      </c>
      <c r="W15151" t="s">
        <v>44030</v>
      </c>
      <c r="X15151" t="s">
        <v>61011</v>
      </c>
    </row>
    <row r="15152" spans="1:24">
      <c r="A15152">
        <f>HYPERLINK("https://www.philgeps.gov.ph/GEPSNONPILOT/Tender/SplashBidNoticeAbstractUI.aspx?menuIndex=3&amp;refID=6900875&amp;Result=3","6900875")</f>
        <v>0</v>
      </c>
      <c r="B15152" t="s">
        <v>385</v>
      </c>
      <c r="C15152" t="s">
        <v>18042</v>
      </c>
      <c r="D15152" t="s">
        <v>18108</v>
      </c>
      <c r="E15152" t="s">
        <v>31305</v>
      </c>
      <c r="F15152" t="s">
        <v>31362</v>
      </c>
      <c r="G15152" t="s">
        <v>31369</v>
      </c>
      <c r="H15152" t="s">
        <v>31378</v>
      </c>
      <c r="I15152" t="s">
        <v>31386</v>
      </c>
      <c r="J15152" t="s">
        <v>40633</v>
      </c>
      <c r="K15152" t="s">
        <v>40679</v>
      </c>
      <c r="M15152" t="s">
        <v>41333</v>
      </c>
      <c r="N15152" t="s">
        <v>44905</v>
      </c>
      <c r="O15152" t="s">
        <v>44906</v>
      </c>
      <c r="Q15152">
        <v>20</v>
      </c>
      <c r="R15152" t="s">
        <v>45019</v>
      </c>
      <c r="S15152" t="s">
        <v>46340</v>
      </c>
      <c r="T15152" t="s">
        <v>46470</v>
      </c>
      <c r="U15152" t="s">
        <v>59001</v>
      </c>
      <c r="W15152" t="s">
        <v>60851</v>
      </c>
      <c r="X15152" t="s">
        <v>61012</v>
      </c>
    </row>
    <row r="15153" spans="1:24">
      <c r="A15153">
        <f>HYPERLINK("https://www.philgeps.gov.ph/GEPSNONPILOT/Tender/SplashBidNoticeAbstractUI.aspx?menuIndex=3&amp;refID=6880085&amp;Result=3","6880085")</f>
        <v>0</v>
      </c>
      <c r="B15153" t="s">
        <v>3525</v>
      </c>
      <c r="C15153" t="s">
        <v>18043</v>
      </c>
      <c r="D15153" t="s">
        <v>18148</v>
      </c>
      <c r="E15153" t="s">
        <v>31306</v>
      </c>
      <c r="F15153" t="s">
        <v>31362</v>
      </c>
      <c r="G15153" t="s">
        <v>31369</v>
      </c>
      <c r="H15153" t="s">
        <v>15799</v>
      </c>
      <c r="I15153" t="s">
        <v>7719</v>
      </c>
      <c r="J15153" t="s">
        <v>33541</v>
      </c>
      <c r="K15153" t="s">
        <v>40670</v>
      </c>
      <c r="M15153" t="s">
        <v>44888</v>
      </c>
      <c r="N15153" t="s">
        <v>44905</v>
      </c>
      <c r="O15153" t="s">
        <v>44906</v>
      </c>
      <c r="Q15153">
        <v>14</v>
      </c>
      <c r="R15153" t="s">
        <v>44994</v>
      </c>
      <c r="S15153" t="s">
        <v>46341</v>
      </c>
      <c r="T15153" t="s">
        <v>46917</v>
      </c>
      <c r="U15153" t="s">
        <v>58951</v>
      </c>
      <c r="V15153" t="s">
        <v>59711</v>
      </c>
      <c r="W15153" t="s">
        <v>44888</v>
      </c>
      <c r="X15153" t="s">
        <v>44993</v>
      </c>
    </row>
    <row r="15154" spans="1:24">
      <c r="A15154">
        <f>HYPERLINK("https://www.philgeps.gov.ph/GEPSNONPILOT/Tender/SplashBidNoticeAbstractUI.aspx?menuIndex=3&amp;refID=6903559&amp;Result=3","6903559")</f>
        <v>0</v>
      </c>
      <c r="B15154" t="s">
        <v>1578</v>
      </c>
      <c r="C15154" t="s">
        <v>18044</v>
      </c>
      <c r="D15154" t="s">
        <v>18108</v>
      </c>
      <c r="E15154" t="s">
        <v>31307</v>
      </c>
      <c r="F15154" t="s">
        <v>31362</v>
      </c>
      <c r="G15154" t="s">
        <v>31369</v>
      </c>
      <c r="H15154" t="s">
        <v>15799</v>
      </c>
      <c r="I15154" t="s">
        <v>7188</v>
      </c>
      <c r="J15154" t="s">
        <v>40634</v>
      </c>
      <c r="K15154" t="s">
        <v>40665</v>
      </c>
      <c r="M15154" t="s">
        <v>44897</v>
      </c>
      <c r="N15154" t="s">
        <v>44905</v>
      </c>
      <c r="O15154" t="s">
        <v>44906</v>
      </c>
      <c r="Q15154">
        <v>5</v>
      </c>
      <c r="R15154" t="s">
        <v>44983</v>
      </c>
      <c r="S15154" t="s">
        <v>46342</v>
      </c>
      <c r="T15154" t="s">
        <v>46411</v>
      </c>
      <c r="U15154" t="s">
        <v>59002</v>
      </c>
      <c r="V15154" t="s">
        <v>54298</v>
      </c>
      <c r="W15154" t="s">
        <v>44897</v>
      </c>
      <c r="X15154" t="s">
        <v>45019</v>
      </c>
    </row>
    <row r="15155" spans="1:24">
      <c r="A15155">
        <f>HYPERLINK("https://www.philgeps.gov.ph/GEPSNONPILOT/Tender/SplashBidNoticeAbstractUI.aspx?menuIndex=3&amp;refID=6903358&amp;Result=3","6903358")</f>
        <v>0</v>
      </c>
      <c r="B15155" t="s">
        <v>115</v>
      </c>
      <c r="C15155" t="s">
        <v>18045</v>
      </c>
      <c r="D15155" t="s">
        <v>18164</v>
      </c>
      <c r="E15155" t="s">
        <v>31308</v>
      </c>
      <c r="F15155" t="s">
        <v>31362</v>
      </c>
      <c r="G15155" t="s">
        <v>31373</v>
      </c>
      <c r="H15155" t="s">
        <v>31377</v>
      </c>
      <c r="I15155" t="s">
        <v>31377</v>
      </c>
      <c r="J15155" t="s">
        <v>34896</v>
      </c>
      <c r="K15155" t="s">
        <v>40662</v>
      </c>
      <c r="L15155" t="s">
        <v>115</v>
      </c>
      <c r="M15155" t="s">
        <v>41052</v>
      </c>
      <c r="N15155" t="s">
        <v>44905</v>
      </c>
      <c r="O15155" t="s">
        <v>44906</v>
      </c>
      <c r="Q15155">
        <v>13</v>
      </c>
      <c r="R15155" t="s">
        <v>44983</v>
      </c>
      <c r="S15155" t="s">
        <v>46343</v>
      </c>
      <c r="T15155" t="s">
        <v>46411</v>
      </c>
      <c r="U15155" t="s">
        <v>59003</v>
      </c>
      <c r="W15155" t="s">
        <v>41052</v>
      </c>
      <c r="X15155" t="s">
        <v>45019</v>
      </c>
    </row>
    <row r="15156" spans="1:24">
      <c r="A15156">
        <f>HYPERLINK("https://www.philgeps.gov.ph/GEPSNONPILOT/Tender/SplashBidNoticeAbstractUI.aspx?menuIndex=3&amp;refID=6880627&amp;Result=3","6880627")</f>
        <v>0</v>
      </c>
      <c r="B15156" t="s">
        <v>3525</v>
      </c>
      <c r="C15156" t="s">
        <v>18046</v>
      </c>
      <c r="D15156" t="s">
        <v>18148</v>
      </c>
      <c r="E15156" t="s">
        <v>31309</v>
      </c>
      <c r="F15156" t="s">
        <v>31362</v>
      </c>
      <c r="G15156" t="s">
        <v>31369</v>
      </c>
      <c r="H15156" t="s">
        <v>15799</v>
      </c>
      <c r="I15156" t="s">
        <v>7719</v>
      </c>
      <c r="J15156" t="s">
        <v>31637</v>
      </c>
      <c r="K15156" t="s">
        <v>40666</v>
      </c>
      <c r="M15156" t="s">
        <v>44888</v>
      </c>
      <c r="N15156" t="s">
        <v>44905</v>
      </c>
      <c r="O15156" t="s">
        <v>44906</v>
      </c>
      <c r="Q15156">
        <v>15</v>
      </c>
      <c r="R15156" t="s">
        <v>44994</v>
      </c>
      <c r="S15156" t="s">
        <v>46344</v>
      </c>
      <c r="T15156" t="s">
        <v>46917</v>
      </c>
      <c r="U15156" t="s">
        <v>58951</v>
      </c>
      <c r="V15156" t="s">
        <v>59711</v>
      </c>
      <c r="W15156" t="s">
        <v>44888</v>
      </c>
      <c r="X15156" t="s">
        <v>44993</v>
      </c>
    </row>
    <row r="15157" spans="1:24">
      <c r="A15157">
        <f>HYPERLINK("https://www.philgeps.gov.ph/GEPSNONPILOT/Tender/SplashBidNoticeAbstractUI.aspx?menuIndex=3&amp;refID=6903343&amp;Result=3","6903343")</f>
        <v>0</v>
      </c>
      <c r="B15157" t="s">
        <v>115</v>
      </c>
      <c r="C15157" t="s">
        <v>18047</v>
      </c>
      <c r="D15157" t="s">
        <v>18168</v>
      </c>
      <c r="E15157" t="s">
        <v>31310</v>
      </c>
      <c r="F15157" t="s">
        <v>31362</v>
      </c>
      <c r="G15157" t="s">
        <v>31373</v>
      </c>
      <c r="H15157" t="s">
        <v>31377</v>
      </c>
      <c r="I15157" t="s">
        <v>31377</v>
      </c>
      <c r="J15157" t="s">
        <v>40635</v>
      </c>
      <c r="K15157" t="s">
        <v>40662</v>
      </c>
      <c r="L15157" t="s">
        <v>115</v>
      </c>
      <c r="M15157" t="s">
        <v>41052</v>
      </c>
      <c r="N15157" t="s">
        <v>44905</v>
      </c>
      <c r="O15157" t="s">
        <v>44906</v>
      </c>
      <c r="Q15157">
        <v>11</v>
      </c>
      <c r="R15157" t="s">
        <v>44983</v>
      </c>
      <c r="S15157" t="s">
        <v>46345</v>
      </c>
      <c r="T15157" t="s">
        <v>46411</v>
      </c>
      <c r="U15157" t="s">
        <v>59004</v>
      </c>
      <c r="W15157" t="s">
        <v>41052</v>
      </c>
      <c r="X15157" t="s">
        <v>45019</v>
      </c>
    </row>
    <row r="15158" spans="1:24">
      <c r="A15158">
        <f>HYPERLINK("https://www.philgeps.gov.ph/GEPSNONPILOT/Tender/SplashBidNoticeAbstractUI.aspx?menuIndex=3&amp;refID=6911939&amp;Result=3","6911939")</f>
        <v>0</v>
      </c>
      <c r="B15158" t="s">
        <v>1353</v>
      </c>
      <c r="C15158" t="s">
        <v>18048</v>
      </c>
      <c r="D15158" t="s">
        <v>18103</v>
      </c>
      <c r="E15158" t="s">
        <v>31311</v>
      </c>
      <c r="F15158" t="s">
        <v>31362</v>
      </c>
      <c r="G15158" t="s">
        <v>31372</v>
      </c>
      <c r="H15158" t="s">
        <v>31378</v>
      </c>
      <c r="I15158" t="s">
        <v>31386</v>
      </c>
      <c r="J15158" t="s">
        <v>40636</v>
      </c>
      <c r="K15158" t="s">
        <v>40694</v>
      </c>
      <c r="M15158" t="s">
        <v>44874</v>
      </c>
      <c r="N15158" t="s">
        <v>44905</v>
      </c>
      <c r="O15158" t="s">
        <v>44906</v>
      </c>
      <c r="Q15158">
        <v>6</v>
      </c>
      <c r="R15158" t="s">
        <v>44980</v>
      </c>
      <c r="S15158" t="s">
        <v>46346</v>
      </c>
      <c r="T15158" t="s">
        <v>46553</v>
      </c>
      <c r="U15158" t="s">
        <v>59005</v>
      </c>
      <c r="W15158" t="s">
        <v>44874</v>
      </c>
      <c r="X15158" t="s">
        <v>44984</v>
      </c>
    </row>
    <row r="15159" spans="1:24">
      <c r="A15159">
        <f>HYPERLINK("https://www.philgeps.gov.ph/GEPSNONPILOT/Tender/SplashBidNoticeAbstractUI.aspx?menuIndex=3&amp;refID=6880250&amp;Result=3","6880250")</f>
        <v>0</v>
      </c>
      <c r="B15159" t="s">
        <v>3525</v>
      </c>
      <c r="C15159" t="s">
        <v>18049</v>
      </c>
      <c r="D15159" t="s">
        <v>18148</v>
      </c>
      <c r="E15159" t="s">
        <v>31312</v>
      </c>
      <c r="F15159" t="s">
        <v>31362</v>
      </c>
      <c r="G15159" t="s">
        <v>31369</v>
      </c>
      <c r="H15159" t="s">
        <v>15799</v>
      </c>
      <c r="I15159" t="s">
        <v>31393</v>
      </c>
      <c r="J15159" t="s">
        <v>40637</v>
      </c>
      <c r="K15159" t="s">
        <v>40670</v>
      </c>
      <c r="M15159" t="s">
        <v>44894</v>
      </c>
      <c r="N15159" t="s">
        <v>44905</v>
      </c>
      <c r="O15159" t="s">
        <v>44906</v>
      </c>
      <c r="Q15159">
        <v>13</v>
      </c>
      <c r="R15159" t="s">
        <v>44994</v>
      </c>
      <c r="S15159" t="s">
        <v>46347</v>
      </c>
      <c r="T15159" t="s">
        <v>46913</v>
      </c>
      <c r="U15159" t="s">
        <v>58993</v>
      </c>
      <c r="V15159" t="s">
        <v>59711</v>
      </c>
      <c r="W15159" t="s">
        <v>44894</v>
      </c>
      <c r="X15159" t="s">
        <v>44993</v>
      </c>
    </row>
    <row r="15160" spans="1:24">
      <c r="A15160">
        <f>HYPERLINK("https://www.philgeps.gov.ph/GEPSNONPILOT/Tender/SplashBidNoticeAbstractUI.aspx?menuIndex=3&amp;refID=6883608&amp;Result=3","6883608")</f>
        <v>0</v>
      </c>
      <c r="B15160" t="s">
        <v>227</v>
      </c>
      <c r="C15160" t="s">
        <v>18050</v>
      </c>
      <c r="E15160" t="s">
        <v>28288</v>
      </c>
      <c r="F15160" t="s">
        <v>31362</v>
      </c>
      <c r="G15160" t="s">
        <v>31369</v>
      </c>
      <c r="H15160" t="s">
        <v>15799</v>
      </c>
      <c r="I15160" t="s">
        <v>31409</v>
      </c>
      <c r="J15160" t="s">
        <v>40638</v>
      </c>
      <c r="K15160" t="s">
        <v>40662</v>
      </c>
      <c r="M15160" t="s">
        <v>44898</v>
      </c>
      <c r="N15160" t="s">
        <v>44905</v>
      </c>
      <c r="O15160" t="s">
        <v>44906</v>
      </c>
      <c r="Q15160">
        <v>13</v>
      </c>
      <c r="R15160" t="s">
        <v>45018</v>
      </c>
      <c r="S15160" t="s">
        <v>46348</v>
      </c>
      <c r="T15160" t="s">
        <v>46483</v>
      </c>
      <c r="U15160" t="s">
        <v>59006</v>
      </c>
      <c r="W15160" t="s">
        <v>44898</v>
      </c>
      <c r="X15160" t="s">
        <v>44994</v>
      </c>
    </row>
    <row r="15161" spans="1:24">
      <c r="A15161">
        <f>HYPERLINK("https://www.philgeps.gov.ph/GEPSNONPILOT/Tender/SplashBidNoticeAbstractUI.aspx?menuIndex=3&amp;refID=6883288&amp;Result=3","6883288")</f>
        <v>0</v>
      </c>
      <c r="B15161" t="s">
        <v>3524</v>
      </c>
      <c r="C15161" t="s">
        <v>18051</v>
      </c>
      <c r="D15161" t="s">
        <v>18108</v>
      </c>
      <c r="E15161" t="s">
        <v>31313</v>
      </c>
      <c r="F15161" t="s">
        <v>31362</v>
      </c>
      <c r="G15161" t="s">
        <v>31369</v>
      </c>
      <c r="H15161" t="s">
        <v>15799</v>
      </c>
      <c r="I15161" t="s">
        <v>6373</v>
      </c>
      <c r="J15161" t="s">
        <v>40639</v>
      </c>
      <c r="K15161" t="s">
        <v>40666</v>
      </c>
      <c r="M15161" t="s">
        <v>44895</v>
      </c>
      <c r="N15161" t="s">
        <v>44905</v>
      </c>
      <c r="O15161" t="s">
        <v>44906</v>
      </c>
      <c r="Q15161">
        <v>34</v>
      </c>
      <c r="R15161" t="s">
        <v>45017</v>
      </c>
      <c r="S15161" t="s">
        <v>46349</v>
      </c>
      <c r="T15161" t="s">
        <v>46504</v>
      </c>
      <c r="U15161" t="s">
        <v>59007</v>
      </c>
      <c r="V15161" t="s">
        <v>60814</v>
      </c>
      <c r="W15161" t="s">
        <v>44895</v>
      </c>
      <c r="X15161" t="s">
        <v>44994</v>
      </c>
    </row>
    <row r="15162" spans="1:24">
      <c r="A15162">
        <f>HYPERLINK("https://www.philgeps.gov.ph/GEPSNONPILOT/Tender/SplashBidNoticeAbstractUI.aspx?menuIndex=3&amp;refID=6920649&amp;Result=3","6920649")</f>
        <v>0</v>
      </c>
      <c r="B15162" t="s">
        <v>1702</v>
      </c>
      <c r="C15162" t="s">
        <v>18052</v>
      </c>
      <c r="D15162" t="s">
        <v>18116</v>
      </c>
      <c r="E15162" t="s">
        <v>31314</v>
      </c>
      <c r="F15162" t="s">
        <v>31362</v>
      </c>
      <c r="G15162" t="s">
        <v>31369</v>
      </c>
      <c r="H15162" t="s">
        <v>31378</v>
      </c>
      <c r="I15162" t="s">
        <v>31386</v>
      </c>
      <c r="J15162" t="s">
        <v>31625</v>
      </c>
      <c r="K15162" t="s">
        <v>40694</v>
      </c>
      <c r="M15162" t="s">
        <v>42769</v>
      </c>
      <c r="N15162" t="s">
        <v>44905</v>
      </c>
      <c r="O15162" t="s">
        <v>44906</v>
      </c>
      <c r="Q15162">
        <v>1</v>
      </c>
      <c r="R15162" t="s">
        <v>44979</v>
      </c>
      <c r="S15162" t="s">
        <v>46350</v>
      </c>
      <c r="T15162" t="s">
        <v>46406</v>
      </c>
      <c r="U15162" t="s">
        <v>59008</v>
      </c>
      <c r="V15162" t="s">
        <v>60824</v>
      </c>
      <c r="W15162" t="s">
        <v>42769</v>
      </c>
      <c r="X15162" t="s">
        <v>44978</v>
      </c>
    </row>
    <row r="15163" spans="1:24">
      <c r="A15163">
        <f>HYPERLINK("https://www.philgeps.gov.ph/GEPSNONPILOT/Tender/SplashBidNoticeAbstractUI.aspx?menuIndex=3&amp;refID=6914552&amp;Result=3","6914552")</f>
        <v>0</v>
      </c>
      <c r="B15163" t="s">
        <v>424</v>
      </c>
      <c r="C15163" t="s">
        <v>18053</v>
      </c>
      <c r="D15163" t="s">
        <v>18168</v>
      </c>
      <c r="E15163" t="s">
        <v>18053</v>
      </c>
      <c r="F15163" t="s">
        <v>31362</v>
      </c>
      <c r="G15163" t="s">
        <v>31370</v>
      </c>
      <c r="H15163" t="s">
        <v>15799</v>
      </c>
      <c r="I15163" t="s">
        <v>7188</v>
      </c>
      <c r="J15163" t="s">
        <v>40640</v>
      </c>
      <c r="K15163" t="s">
        <v>40665</v>
      </c>
      <c r="M15163" t="s">
        <v>41375</v>
      </c>
      <c r="N15163" t="s">
        <v>44905</v>
      </c>
      <c r="O15163" t="s">
        <v>44906</v>
      </c>
      <c r="Q15163">
        <v>3</v>
      </c>
      <c r="R15163" t="s">
        <v>44982</v>
      </c>
      <c r="S15163" t="s">
        <v>46351</v>
      </c>
      <c r="T15163" t="s">
        <v>46532</v>
      </c>
      <c r="U15163" t="s">
        <v>59009</v>
      </c>
      <c r="W15163" t="s">
        <v>41375</v>
      </c>
      <c r="X15163" t="s">
        <v>44980</v>
      </c>
    </row>
    <row r="15164" spans="1:24">
      <c r="A15164">
        <f>HYPERLINK("https://www.philgeps.gov.ph/GEPSNONPILOT/Tender/SplashBidNoticeAbstractUI.aspx?menuIndex=3&amp;refID=6920647&amp;Result=3","6920647")</f>
        <v>0</v>
      </c>
      <c r="B15164" t="s">
        <v>1702</v>
      </c>
      <c r="C15164" t="s">
        <v>18054</v>
      </c>
      <c r="D15164" t="s">
        <v>18116</v>
      </c>
      <c r="E15164" t="s">
        <v>31315</v>
      </c>
      <c r="F15164" t="s">
        <v>31362</v>
      </c>
      <c r="G15164" t="s">
        <v>31369</v>
      </c>
      <c r="H15164" t="s">
        <v>31378</v>
      </c>
      <c r="I15164" t="s">
        <v>31386</v>
      </c>
      <c r="J15164" t="s">
        <v>40641</v>
      </c>
      <c r="K15164" t="s">
        <v>40686</v>
      </c>
      <c r="M15164" t="s">
        <v>42769</v>
      </c>
      <c r="N15164" t="s">
        <v>44905</v>
      </c>
      <c r="O15164" t="s">
        <v>44906</v>
      </c>
      <c r="Q15164">
        <v>1</v>
      </c>
      <c r="R15164" t="s">
        <v>44979</v>
      </c>
      <c r="S15164" t="s">
        <v>46352</v>
      </c>
      <c r="T15164" t="s">
        <v>46406</v>
      </c>
      <c r="U15164" t="s">
        <v>59010</v>
      </c>
      <c r="V15164" t="s">
        <v>60825</v>
      </c>
      <c r="W15164" t="s">
        <v>42769</v>
      </c>
      <c r="X15164" t="s">
        <v>44978</v>
      </c>
    </row>
    <row r="15165" spans="1:24">
      <c r="A15165">
        <f>HYPERLINK("https://www.philgeps.gov.ph/GEPSNONPILOT/Tender/SplashBidNoticeAbstractUI.aspx?menuIndex=3&amp;refID=6920636&amp;Result=3","6920636")</f>
        <v>0</v>
      </c>
      <c r="B15165" t="s">
        <v>1702</v>
      </c>
      <c r="C15165" t="s">
        <v>18055</v>
      </c>
      <c r="D15165" t="s">
        <v>18116</v>
      </c>
      <c r="E15165" t="s">
        <v>31316</v>
      </c>
      <c r="F15165" t="s">
        <v>31362</v>
      </c>
      <c r="G15165" t="s">
        <v>31369</v>
      </c>
      <c r="H15165" t="s">
        <v>31378</v>
      </c>
      <c r="I15165" t="s">
        <v>31386</v>
      </c>
      <c r="J15165" t="s">
        <v>31625</v>
      </c>
      <c r="K15165" t="s">
        <v>40694</v>
      </c>
      <c r="M15165" t="s">
        <v>42769</v>
      </c>
      <c r="N15165" t="s">
        <v>44905</v>
      </c>
      <c r="O15165" t="s">
        <v>44906</v>
      </c>
      <c r="Q15165">
        <v>1</v>
      </c>
      <c r="R15165" t="s">
        <v>44979</v>
      </c>
      <c r="S15165" t="s">
        <v>46353</v>
      </c>
      <c r="T15165" t="s">
        <v>46406</v>
      </c>
      <c r="U15165" t="s">
        <v>59011</v>
      </c>
      <c r="V15165" t="s">
        <v>60826</v>
      </c>
      <c r="W15165" t="s">
        <v>42769</v>
      </c>
      <c r="X15165" t="s">
        <v>44978</v>
      </c>
    </row>
    <row r="15166" spans="1:24">
      <c r="A15166">
        <f>HYPERLINK("https://www.philgeps.gov.ph/GEPSNONPILOT/Tender/SplashBidNoticeAbstractUI.aspx?menuIndex=3&amp;refID=6920265&amp;Result=3","6920265")</f>
        <v>0</v>
      </c>
      <c r="B15166" t="s">
        <v>233</v>
      </c>
      <c r="C15166" t="s">
        <v>18056</v>
      </c>
      <c r="D15166" t="s">
        <v>18108</v>
      </c>
      <c r="E15166" t="s">
        <v>31317</v>
      </c>
      <c r="F15166" t="s">
        <v>31362</v>
      </c>
      <c r="G15166" t="s">
        <v>31372</v>
      </c>
      <c r="H15166" t="s">
        <v>31379</v>
      </c>
      <c r="I15166" t="s">
        <v>31393</v>
      </c>
      <c r="J15166" t="s">
        <v>40642</v>
      </c>
      <c r="K15166" t="s">
        <v>40955</v>
      </c>
      <c r="M15166" t="s">
        <v>44899</v>
      </c>
      <c r="N15166" t="s">
        <v>44905</v>
      </c>
      <c r="O15166" t="s">
        <v>44906</v>
      </c>
      <c r="Q15166">
        <v>44</v>
      </c>
      <c r="R15166" t="s">
        <v>44979</v>
      </c>
      <c r="S15166" t="s">
        <v>46354</v>
      </c>
      <c r="T15166" t="s">
        <v>46506</v>
      </c>
      <c r="U15166" t="s">
        <v>59012</v>
      </c>
      <c r="W15166" t="s">
        <v>44899</v>
      </c>
      <c r="X15166" t="s">
        <v>44982</v>
      </c>
    </row>
    <row r="15167" spans="1:24">
      <c r="A15167">
        <f>HYPERLINK("https://www.philgeps.gov.ph/GEPSNONPILOT/Tender/SplashBidNoticeAbstractUI.aspx?menuIndex=3&amp;refID=6911678&amp;Result=3","6911678")</f>
        <v>0</v>
      </c>
      <c r="B15167" t="s">
        <v>1353</v>
      </c>
      <c r="C15167" t="s">
        <v>18057</v>
      </c>
      <c r="D15167" t="s">
        <v>18103</v>
      </c>
      <c r="E15167" t="s">
        <v>31318</v>
      </c>
      <c r="F15167" t="s">
        <v>31362</v>
      </c>
      <c r="G15167" t="s">
        <v>31372</v>
      </c>
      <c r="H15167" t="s">
        <v>31378</v>
      </c>
      <c r="I15167" t="s">
        <v>31386</v>
      </c>
      <c r="J15167" t="s">
        <v>40643</v>
      </c>
      <c r="K15167" t="s">
        <v>40682</v>
      </c>
      <c r="M15167" t="s">
        <v>44874</v>
      </c>
      <c r="N15167" t="s">
        <v>44905</v>
      </c>
      <c r="O15167" t="s">
        <v>44906</v>
      </c>
      <c r="Q15167">
        <v>13</v>
      </c>
      <c r="R15167" t="s">
        <v>44980</v>
      </c>
      <c r="S15167" t="s">
        <v>46355</v>
      </c>
      <c r="T15167" t="s">
        <v>46447</v>
      </c>
      <c r="U15167" t="s">
        <v>59013</v>
      </c>
      <c r="W15167" t="s">
        <v>44874</v>
      </c>
      <c r="X15167" t="s">
        <v>44984</v>
      </c>
    </row>
    <row r="15168" spans="1:24">
      <c r="A15168">
        <f>HYPERLINK("https://www.philgeps.gov.ph/GEPSNONPILOT/Tender/SplashBidNoticeAbstractUI.aspx?menuIndex=3&amp;refID=6920663&amp;Result=3","6920663")</f>
        <v>0</v>
      </c>
      <c r="B15168" t="s">
        <v>1702</v>
      </c>
      <c r="C15168" t="s">
        <v>18058</v>
      </c>
      <c r="D15168" t="s">
        <v>18116</v>
      </c>
      <c r="E15168" t="s">
        <v>31319</v>
      </c>
      <c r="F15168" t="s">
        <v>31362</v>
      </c>
      <c r="G15168" t="s">
        <v>31369</v>
      </c>
      <c r="H15168" t="s">
        <v>31378</v>
      </c>
      <c r="I15168" t="s">
        <v>31386</v>
      </c>
      <c r="J15168" t="s">
        <v>31591</v>
      </c>
      <c r="K15168" t="s">
        <v>40682</v>
      </c>
      <c r="M15168" t="s">
        <v>42769</v>
      </c>
      <c r="N15168" t="s">
        <v>44905</v>
      </c>
      <c r="O15168" t="s">
        <v>44906</v>
      </c>
      <c r="Q15168">
        <v>1</v>
      </c>
      <c r="R15168" t="s">
        <v>44979</v>
      </c>
      <c r="S15168" t="s">
        <v>46350</v>
      </c>
      <c r="T15168" t="s">
        <v>46406</v>
      </c>
      <c r="U15168" t="s">
        <v>59014</v>
      </c>
      <c r="V15168" t="s">
        <v>60824</v>
      </c>
      <c r="W15168" t="s">
        <v>42769</v>
      </c>
      <c r="X15168" t="s">
        <v>44978</v>
      </c>
    </row>
    <row r="15169" spans="1:24">
      <c r="A15169">
        <f>HYPERLINK("https://www.philgeps.gov.ph/GEPSNONPILOT/Tender/SplashBidNoticeAbstractUI.aspx?menuIndex=3&amp;refID=6920640&amp;Result=3","6920640")</f>
        <v>0</v>
      </c>
      <c r="B15169" t="s">
        <v>1702</v>
      </c>
      <c r="C15169" t="s">
        <v>18059</v>
      </c>
      <c r="D15169" t="s">
        <v>18116</v>
      </c>
      <c r="E15169" t="s">
        <v>31320</v>
      </c>
      <c r="F15169" t="s">
        <v>31362</v>
      </c>
      <c r="G15169" t="s">
        <v>31369</v>
      </c>
      <c r="H15169" t="s">
        <v>31378</v>
      </c>
      <c r="I15169" t="s">
        <v>31386</v>
      </c>
      <c r="J15169" t="s">
        <v>33068</v>
      </c>
      <c r="K15169" t="s">
        <v>40694</v>
      </c>
      <c r="M15169" t="s">
        <v>42769</v>
      </c>
      <c r="N15169" t="s">
        <v>44905</v>
      </c>
      <c r="O15169" t="s">
        <v>44906</v>
      </c>
      <c r="Q15169">
        <v>1</v>
      </c>
      <c r="R15169" t="s">
        <v>44979</v>
      </c>
      <c r="S15169" t="s">
        <v>46353</v>
      </c>
      <c r="T15169" t="s">
        <v>46406</v>
      </c>
      <c r="U15169" t="s">
        <v>59015</v>
      </c>
      <c r="V15169" t="s">
        <v>60827</v>
      </c>
      <c r="W15169" t="s">
        <v>42769</v>
      </c>
      <c r="X15169" t="s">
        <v>44978</v>
      </c>
    </row>
    <row r="15170" spans="1:24">
      <c r="A15170">
        <f>HYPERLINK("https://www.philgeps.gov.ph/GEPSNONPILOT/Tender/SplashBidNoticeAbstractUI.aspx?menuIndex=3&amp;refID=6920671&amp;Result=3","6920671")</f>
        <v>0</v>
      </c>
      <c r="B15170" t="s">
        <v>1702</v>
      </c>
      <c r="C15170" t="s">
        <v>18060</v>
      </c>
      <c r="D15170" t="s">
        <v>18116</v>
      </c>
      <c r="E15170" t="s">
        <v>31321</v>
      </c>
      <c r="F15170" t="s">
        <v>31362</v>
      </c>
      <c r="G15170" t="s">
        <v>31369</v>
      </c>
      <c r="H15170" t="s">
        <v>31378</v>
      </c>
      <c r="I15170" t="s">
        <v>31386</v>
      </c>
      <c r="J15170" t="s">
        <v>31625</v>
      </c>
      <c r="K15170" t="s">
        <v>40694</v>
      </c>
      <c r="M15170" t="s">
        <v>42769</v>
      </c>
      <c r="N15170" t="s">
        <v>44905</v>
      </c>
      <c r="O15170" t="s">
        <v>44906</v>
      </c>
      <c r="Q15170">
        <v>1</v>
      </c>
      <c r="R15170" t="s">
        <v>44979</v>
      </c>
      <c r="S15170" t="s">
        <v>46356</v>
      </c>
      <c r="T15170" t="s">
        <v>46406</v>
      </c>
      <c r="U15170" t="s">
        <v>59016</v>
      </c>
      <c r="V15170" t="s">
        <v>60794</v>
      </c>
      <c r="W15170" t="s">
        <v>42769</v>
      </c>
      <c r="X15170" t="s">
        <v>44978</v>
      </c>
    </row>
    <row r="15171" spans="1:24">
      <c r="A15171">
        <f>HYPERLINK("https://www.philgeps.gov.ph/GEPSNONPILOT/Tender/SplashBidNoticeAbstractUI.aspx?menuIndex=3&amp;refID=6917955&amp;Result=3","6917955")</f>
        <v>0</v>
      </c>
      <c r="B15171" t="s">
        <v>537</v>
      </c>
      <c r="C15171" t="s">
        <v>18061</v>
      </c>
      <c r="D15171" t="s">
        <v>18108</v>
      </c>
      <c r="E15171" t="s">
        <v>31322</v>
      </c>
      <c r="F15171" t="s">
        <v>31362</v>
      </c>
      <c r="G15171" t="s">
        <v>31369</v>
      </c>
      <c r="H15171" t="s">
        <v>15799</v>
      </c>
      <c r="I15171" t="s">
        <v>31457</v>
      </c>
      <c r="J15171" t="s">
        <v>31641</v>
      </c>
      <c r="K15171" t="s">
        <v>40723</v>
      </c>
      <c r="M15171" t="s">
        <v>44900</v>
      </c>
      <c r="N15171" t="s">
        <v>44905</v>
      </c>
      <c r="O15171" t="s">
        <v>44906</v>
      </c>
      <c r="Q15171">
        <v>9</v>
      </c>
      <c r="R15171" t="s">
        <v>44979</v>
      </c>
      <c r="S15171" t="s">
        <v>46199</v>
      </c>
      <c r="T15171" t="s">
        <v>46490</v>
      </c>
      <c r="U15171" t="s">
        <v>59017</v>
      </c>
      <c r="W15171" t="s">
        <v>44900</v>
      </c>
      <c r="X15171" t="s">
        <v>44982</v>
      </c>
    </row>
    <row r="15172" spans="1:24">
      <c r="A15172">
        <f>HYPERLINK("https://www.philgeps.gov.ph/GEPSNONPILOT/Tender/SplashBidNoticeAbstractUI.aspx?menuIndex=3&amp;refID=6900877&amp;Result=3","6900877")</f>
        <v>0</v>
      </c>
      <c r="B15172" t="s">
        <v>385</v>
      </c>
      <c r="C15172" t="s">
        <v>18062</v>
      </c>
      <c r="D15172" t="s">
        <v>18108</v>
      </c>
      <c r="E15172" t="s">
        <v>31323</v>
      </c>
      <c r="F15172" t="s">
        <v>31362</v>
      </c>
      <c r="G15172" t="s">
        <v>31369</v>
      </c>
      <c r="H15172" t="s">
        <v>31378</v>
      </c>
      <c r="I15172" t="s">
        <v>31386</v>
      </c>
      <c r="J15172" t="s">
        <v>37911</v>
      </c>
      <c r="K15172" t="s">
        <v>40686</v>
      </c>
      <c r="M15172" t="s">
        <v>41333</v>
      </c>
      <c r="N15172" t="s">
        <v>44905</v>
      </c>
      <c r="O15172" t="s">
        <v>44906</v>
      </c>
      <c r="Q15172">
        <v>13</v>
      </c>
      <c r="R15172" t="s">
        <v>45019</v>
      </c>
      <c r="S15172" t="s">
        <v>46357</v>
      </c>
      <c r="T15172" t="s">
        <v>46470</v>
      </c>
      <c r="U15172" t="s">
        <v>59018</v>
      </c>
      <c r="W15172" t="s">
        <v>60851</v>
      </c>
      <c r="X15172" t="s">
        <v>61012</v>
      </c>
    </row>
    <row r="15173" spans="1:24">
      <c r="A15173">
        <f>HYPERLINK("https://www.philgeps.gov.ph/GEPSNONPILOT/Tender/SplashBidNoticeAbstractUI.aspx?menuIndex=3&amp;refID=6904841&amp;Result=3","6904841")</f>
        <v>0</v>
      </c>
      <c r="B15173" t="s">
        <v>3528</v>
      </c>
      <c r="C15173" t="s">
        <v>18063</v>
      </c>
      <c r="D15173" t="s">
        <v>18108</v>
      </c>
      <c r="E15173" t="s">
        <v>31324</v>
      </c>
      <c r="F15173" t="s">
        <v>31362</v>
      </c>
      <c r="G15173" t="s">
        <v>31369</v>
      </c>
      <c r="H15173" t="s">
        <v>15799</v>
      </c>
      <c r="I15173" t="s">
        <v>31380</v>
      </c>
      <c r="J15173" t="s">
        <v>40644</v>
      </c>
      <c r="K15173" t="s">
        <v>40723</v>
      </c>
      <c r="M15173" t="s">
        <v>44901</v>
      </c>
      <c r="N15173" t="s">
        <v>44905</v>
      </c>
      <c r="O15173" t="s">
        <v>44906</v>
      </c>
      <c r="Q15173">
        <v>8</v>
      </c>
      <c r="R15173" t="s">
        <v>44979</v>
      </c>
      <c r="S15173" t="s">
        <v>46358</v>
      </c>
      <c r="T15173" t="s">
        <v>46392</v>
      </c>
      <c r="U15173" t="s">
        <v>59019</v>
      </c>
      <c r="V15173" t="s">
        <v>60828</v>
      </c>
      <c r="W15173" t="s">
        <v>44901</v>
      </c>
      <c r="X15173" t="s">
        <v>44983</v>
      </c>
    </row>
    <row r="15174" spans="1:24">
      <c r="A15174">
        <f>HYPERLINK("https://www.philgeps.gov.ph/GEPSNONPILOT/Tender/SplashBidNoticeAbstractUI.aspx?menuIndex=3&amp;refID=6928764&amp;Result=3","6928764")</f>
        <v>0</v>
      </c>
      <c r="B15174" t="s">
        <v>2415</v>
      </c>
      <c r="C15174" t="s">
        <v>18064</v>
      </c>
      <c r="D15174" t="s">
        <v>18180</v>
      </c>
      <c r="E15174" t="s">
        <v>31181</v>
      </c>
      <c r="F15174" t="s">
        <v>31362</v>
      </c>
      <c r="G15174" t="s">
        <v>31369</v>
      </c>
      <c r="H15174" t="s">
        <v>31378</v>
      </c>
      <c r="I15174" t="s">
        <v>31386</v>
      </c>
      <c r="J15174" t="s">
        <v>40645</v>
      </c>
      <c r="K15174" t="s">
        <v>40662</v>
      </c>
      <c r="M15174" t="s">
        <v>43570</v>
      </c>
      <c r="N15174" t="s">
        <v>44905</v>
      </c>
      <c r="O15174" t="s">
        <v>44906</v>
      </c>
      <c r="Q15174">
        <v>1</v>
      </c>
      <c r="R15174" t="s">
        <v>44976</v>
      </c>
      <c r="S15174" t="s">
        <v>46359</v>
      </c>
      <c r="T15174" t="s">
        <v>46435</v>
      </c>
      <c r="U15174" t="s">
        <v>53486</v>
      </c>
      <c r="W15174" t="s">
        <v>43570</v>
      </c>
      <c r="X15174" t="s">
        <v>44977</v>
      </c>
    </row>
    <row r="15175" spans="1:24">
      <c r="A15175">
        <f>HYPERLINK("https://www.philgeps.gov.ph/GEPSNONPILOT/Tender/SplashBidNoticeAbstractUI.aspx?menuIndex=3&amp;refID=6928788&amp;Result=3","6928788")</f>
        <v>0</v>
      </c>
      <c r="B15175" t="s">
        <v>2415</v>
      </c>
      <c r="C15175" t="s">
        <v>18065</v>
      </c>
      <c r="D15175" t="s">
        <v>18180</v>
      </c>
      <c r="E15175" t="s">
        <v>31325</v>
      </c>
      <c r="F15175" t="s">
        <v>31362</v>
      </c>
      <c r="G15175" t="s">
        <v>31369</v>
      </c>
      <c r="H15175" t="s">
        <v>31378</v>
      </c>
      <c r="I15175" t="s">
        <v>31386</v>
      </c>
      <c r="J15175" t="s">
        <v>40646</v>
      </c>
      <c r="K15175" t="s">
        <v>40662</v>
      </c>
      <c r="M15175" t="s">
        <v>43570</v>
      </c>
      <c r="N15175" t="s">
        <v>44905</v>
      </c>
      <c r="O15175" t="s">
        <v>44906</v>
      </c>
      <c r="Q15175">
        <v>0</v>
      </c>
      <c r="R15175" t="s">
        <v>44976</v>
      </c>
      <c r="S15175" t="s">
        <v>46360</v>
      </c>
      <c r="T15175" t="s">
        <v>46435</v>
      </c>
      <c r="U15175" t="s">
        <v>53486</v>
      </c>
      <c r="W15175" t="s">
        <v>43570</v>
      </c>
      <c r="X15175" t="s">
        <v>44977</v>
      </c>
    </row>
    <row r="15176" spans="1:24">
      <c r="A15176">
        <f>HYPERLINK("https://www.philgeps.gov.ph/GEPSNONPILOT/Tender/SplashBidNoticeAbstractUI.aspx?menuIndex=3&amp;refID=6932428&amp;Result=3","6932428")</f>
        <v>0</v>
      </c>
      <c r="B15176" t="s">
        <v>660</v>
      </c>
      <c r="C15176" t="s">
        <v>18066</v>
      </c>
      <c r="D15176" t="s">
        <v>18116</v>
      </c>
      <c r="E15176" t="s">
        <v>31326</v>
      </c>
      <c r="F15176" t="s">
        <v>31362</v>
      </c>
      <c r="G15176" t="s">
        <v>31369</v>
      </c>
      <c r="H15176" t="s">
        <v>31378</v>
      </c>
      <c r="I15176" t="s">
        <v>31386</v>
      </c>
      <c r="J15176" t="s">
        <v>38072</v>
      </c>
      <c r="K15176" t="s">
        <v>40956</v>
      </c>
      <c r="M15176" t="s">
        <v>41622</v>
      </c>
      <c r="N15176" t="s">
        <v>44905</v>
      </c>
      <c r="O15176" t="s">
        <v>44906</v>
      </c>
      <c r="Q15176">
        <v>14</v>
      </c>
      <c r="R15176" t="s">
        <v>44975</v>
      </c>
      <c r="S15176" t="s">
        <v>46361</v>
      </c>
      <c r="T15176" t="s">
        <v>46511</v>
      </c>
      <c r="U15176" t="s">
        <v>53658</v>
      </c>
      <c r="W15176" t="s">
        <v>41622</v>
      </c>
      <c r="X15176" t="s">
        <v>44976</v>
      </c>
    </row>
    <row r="15177" spans="1:24">
      <c r="A15177">
        <f>HYPERLINK("https://www.philgeps.gov.ph/GEPSNONPILOT/Tender/SplashBidNoticeAbstractUI.aspx?menuIndex=3&amp;refID=6919995&amp;Result=3","6919995")</f>
        <v>0</v>
      </c>
      <c r="B15177" t="s">
        <v>421</v>
      </c>
      <c r="C15177" t="s">
        <v>18067</v>
      </c>
      <c r="D15177" t="s">
        <v>18133</v>
      </c>
      <c r="E15177" t="s">
        <v>31327</v>
      </c>
      <c r="F15177" t="s">
        <v>31362</v>
      </c>
      <c r="G15177" t="s">
        <v>31369</v>
      </c>
      <c r="H15177" t="s">
        <v>31378</v>
      </c>
      <c r="I15177" t="s">
        <v>31386</v>
      </c>
      <c r="J15177" t="s">
        <v>31847</v>
      </c>
      <c r="K15177" t="s">
        <v>40679</v>
      </c>
      <c r="M15177" t="s">
        <v>41372</v>
      </c>
      <c r="N15177" t="s">
        <v>44905</v>
      </c>
      <c r="O15177" t="s">
        <v>44906</v>
      </c>
      <c r="Q15177">
        <v>0</v>
      </c>
      <c r="R15177" t="s">
        <v>44979</v>
      </c>
      <c r="S15177" t="s">
        <v>46362</v>
      </c>
      <c r="T15177" t="s">
        <v>46414</v>
      </c>
      <c r="U15177" t="s">
        <v>59020</v>
      </c>
      <c r="W15177" t="s">
        <v>41372</v>
      </c>
      <c r="X15177" t="s">
        <v>44982</v>
      </c>
    </row>
    <row r="15178" spans="1:24">
      <c r="A15178">
        <f>HYPERLINK("https://www.philgeps.gov.ph/GEPSNONPILOT/Tender/SplashBidNoticeAbstractUI.aspx?menuIndex=3&amp;refID=6932414&amp;Result=3","6932414")</f>
        <v>0</v>
      </c>
      <c r="B15178" t="s">
        <v>660</v>
      </c>
      <c r="C15178" t="s">
        <v>18068</v>
      </c>
      <c r="D15178" t="s">
        <v>18116</v>
      </c>
      <c r="E15178" t="s">
        <v>31328</v>
      </c>
      <c r="F15178" t="s">
        <v>31362</v>
      </c>
      <c r="G15178" t="s">
        <v>31369</v>
      </c>
      <c r="H15178" t="s">
        <v>31378</v>
      </c>
      <c r="I15178" t="s">
        <v>31386</v>
      </c>
      <c r="J15178" t="s">
        <v>38072</v>
      </c>
      <c r="K15178" t="s">
        <v>40956</v>
      </c>
      <c r="M15178" t="s">
        <v>41622</v>
      </c>
      <c r="N15178" t="s">
        <v>44905</v>
      </c>
      <c r="O15178" t="s">
        <v>44906</v>
      </c>
      <c r="Q15178">
        <v>9</v>
      </c>
      <c r="R15178" t="s">
        <v>44975</v>
      </c>
      <c r="S15178" t="s">
        <v>46363</v>
      </c>
      <c r="T15178" t="s">
        <v>46511</v>
      </c>
      <c r="U15178" t="s">
        <v>53658</v>
      </c>
      <c r="W15178" t="s">
        <v>41622</v>
      </c>
      <c r="X15178" t="s">
        <v>44976</v>
      </c>
    </row>
    <row r="15179" spans="1:24">
      <c r="A15179">
        <f>HYPERLINK("https://www.philgeps.gov.ph/GEPSNONPILOT/Tender/SplashBidNoticeAbstractUI.aspx?menuIndex=3&amp;refID=6927177&amp;Result=3","6927177")</f>
        <v>0</v>
      </c>
      <c r="B15179" t="s">
        <v>421</v>
      </c>
      <c r="C15179" t="s">
        <v>18069</v>
      </c>
      <c r="D15179" t="s">
        <v>18133</v>
      </c>
      <c r="E15179" t="s">
        <v>31329</v>
      </c>
      <c r="F15179" t="s">
        <v>31362</v>
      </c>
      <c r="G15179" t="s">
        <v>31369</v>
      </c>
      <c r="H15179" t="s">
        <v>31378</v>
      </c>
      <c r="I15179" t="s">
        <v>31386</v>
      </c>
      <c r="J15179" t="s">
        <v>31847</v>
      </c>
      <c r="K15179" t="s">
        <v>40686</v>
      </c>
      <c r="M15179" t="s">
        <v>41372</v>
      </c>
      <c r="N15179" t="s">
        <v>44905</v>
      </c>
      <c r="O15179" t="s">
        <v>44906</v>
      </c>
      <c r="Q15179">
        <v>0</v>
      </c>
      <c r="R15179" t="s">
        <v>44976</v>
      </c>
      <c r="S15179" t="s">
        <v>46364</v>
      </c>
      <c r="T15179" t="s">
        <v>46414</v>
      </c>
      <c r="U15179" t="s">
        <v>59021</v>
      </c>
      <c r="W15179" t="s">
        <v>41372</v>
      </c>
      <c r="X15179" t="s">
        <v>44977</v>
      </c>
    </row>
    <row r="15180" spans="1:24">
      <c r="A15180">
        <f>HYPERLINK("https://www.philgeps.gov.ph/GEPSNONPILOT/Tender/SplashBidNoticeAbstractUI.aspx?menuIndex=3&amp;refID=6928055&amp;Result=3","6928055")</f>
        <v>0</v>
      </c>
      <c r="B15180" t="s">
        <v>421</v>
      </c>
      <c r="C15180" t="s">
        <v>18070</v>
      </c>
      <c r="D15180" t="s">
        <v>18133</v>
      </c>
      <c r="E15180" t="s">
        <v>31330</v>
      </c>
      <c r="F15180" t="s">
        <v>31362</v>
      </c>
      <c r="G15180" t="s">
        <v>31369</v>
      </c>
      <c r="H15180" t="s">
        <v>31378</v>
      </c>
      <c r="I15180" t="s">
        <v>31386</v>
      </c>
      <c r="J15180" t="s">
        <v>34185</v>
      </c>
      <c r="K15180" t="s">
        <v>40884</v>
      </c>
      <c r="M15180" t="s">
        <v>41372</v>
      </c>
      <c r="N15180" t="s">
        <v>44905</v>
      </c>
      <c r="O15180" t="s">
        <v>44906</v>
      </c>
      <c r="Q15180">
        <v>0</v>
      </c>
      <c r="R15180" t="s">
        <v>44976</v>
      </c>
      <c r="S15180" t="s">
        <v>46365</v>
      </c>
      <c r="T15180" t="s">
        <v>46416</v>
      </c>
      <c r="U15180" t="s">
        <v>59022</v>
      </c>
      <c r="W15180" t="s">
        <v>41372</v>
      </c>
      <c r="X15180" t="s">
        <v>44977</v>
      </c>
    </row>
    <row r="15181" spans="1:24">
      <c r="A15181">
        <f>HYPERLINK("https://www.philgeps.gov.ph/GEPSNONPILOT/Tender/SplashBidNoticeAbstractUI.aspx?menuIndex=3&amp;refID=6932421&amp;Result=3","6932421")</f>
        <v>0</v>
      </c>
      <c r="B15181" t="s">
        <v>660</v>
      </c>
      <c r="C15181" t="s">
        <v>18071</v>
      </c>
      <c r="D15181" t="s">
        <v>18116</v>
      </c>
      <c r="E15181" t="s">
        <v>31331</v>
      </c>
      <c r="F15181" t="s">
        <v>31362</v>
      </c>
      <c r="G15181" t="s">
        <v>31369</v>
      </c>
      <c r="H15181" t="s">
        <v>31378</v>
      </c>
      <c r="I15181" t="s">
        <v>31386</v>
      </c>
      <c r="J15181" t="s">
        <v>31726</v>
      </c>
      <c r="K15181" t="s">
        <v>40920</v>
      </c>
      <c r="M15181" t="s">
        <v>41622</v>
      </c>
      <c r="N15181" t="s">
        <v>44905</v>
      </c>
      <c r="O15181" t="s">
        <v>44906</v>
      </c>
      <c r="Q15181">
        <v>3</v>
      </c>
      <c r="R15181" t="s">
        <v>44975</v>
      </c>
      <c r="S15181" t="s">
        <v>46366</v>
      </c>
      <c r="T15181" t="s">
        <v>46511</v>
      </c>
      <c r="U15181" t="s">
        <v>53658</v>
      </c>
      <c r="W15181" t="s">
        <v>41622</v>
      </c>
      <c r="X15181" t="s">
        <v>44976</v>
      </c>
    </row>
    <row r="15182" spans="1:24">
      <c r="A15182">
        <f>HYPERLINK("https://www.philgeps.gov.ph/GEPSNONPILOT/Tender/SplashBidNoticeAbstractUI.aspx?menuIndex=3&amp;refID=6932136&amp;Result=3","6932136")</f>
        <v>0</v>
      </c>
      <c r="B15182" t="s">
        <v>421</v>
      </c>
      <c r="C15182" t="s">
        <v>18072</v>
      </c>
      <c r="D15182" t="s">
        <v>18133</v>
      </c>
      <c r="E15182" t="s">
        <v>31332</v>
      </c>
      <c r="F15182" t="s">
        <v>31362</v>
      </c>
      <c r="G15182" t="s">
        <v>31369</v>
      </c>
      <c r="H15182" t="s">
        <v>31378</v>
      </c>
      <c r="I15182" t="s">
        <v>31386</v>
      </c>
      <c r="J15182" t="s">
        <v>31847</v>
      </c>
      <c r="K15182" t="s">
        <v>40679</v>
      </c>
      <c r="M15182" t="s">
        <v>41372</v>
      </c>
      <c r="N15182" t="s">
        <v>44905</v>
      </c>
      <c r="O15182" t="s">
        <v>44906</v>
      </c>
      <c r="Q15182">
        <v>0</v>
      </c>
      <c r="R15182" t="s">
        <v>44975</v>
      </c>
      <c r="S15182" t="s">
        <v>46367</v>
      </c>
      <c r="T15182" t="s">
        <v>46400</v>
      </c>
      <c r="U15182" t="s">
        <v>59023</v>
      </c>
      <c r="W15182" t="s">
        <v>41372</v>
      </c>
      <c r="X15182" t="s">
        <v>44976</v>
      </c>
    </row>
    <row r="15183" spans="1:24">
      <c r="A15183">
        <f>HYPERLINK("https://www.philgeps.gov.ph/GEPSNONPILOT/Tender/SplashBidNoticeAbstractUI.aspx?menuIndex=3&amp;refID=6931820&amp;Result=3","6931820")</f>
        <v>0</v>
      </c>
      <c r="B15183" t="s">
        <v>421</v>
      </c>
      <c r="C15183" t="s">
        <v>18073</v>
      </c>
      <c r="D15183" t="s">
        <v>18133</v>
      </c>
      <c r="E15183" t="s">
        <v>31333</v>
      </c>
      <c r="F15183" t="s">
        <v>31362</v>
      </c>
      <c r="G15183" t="s">
        <v>31369</v>
      </c>
      <c r="H15183" t="s">
        <v>31378</v>
      </c>
      <c r="I15183" t="s">
        <v>31386</v>
      </c>
      <c r="J15183" t="s">
        <v>34023</v>
      </c>
      <c r="K15183" t="s">
        <v>40782</v>
      </c>
      <c r="M15183" t="s">
        <v>41372</v>
      </c>
      <c r="N15183" t="s">
        <v>44905</v>
      </c>
      <c r="O15183" t="s">
        <v>44906</v>
      </c>
      <c r="Q15183">
        <v>0</v>
      </c>
      <c r="R15183" t="s">
        <v>44975</v>
      </c>
      <c r="S15183" t="s">
        <v>46368</v>
      </c>
      <c r="T15183" t="s">
        <v>46416</v>
      </c>
      <c r="U15183" t="s">
        <v>59024</v>
      </c>
      <c r="W15183" t="s">
        <v>41372</v>
      </c>
      <c r="X15183" t="s">
        <v>44976</v>
      </c>
    </row>
    <row r="15184" spans="1:24">
      <c r="A15184">
        <f>HYPERLINK("https://www.philgeps.gov.ph/GEPSNONPILOT/Tender/SplashBidNoticeAbstractUI.aspx?menuIndex=3&amp;refID=6931149&amp;Result=3","6931149")</f>
        <v>0</v>
      </c>
      <c r="B15184" t="s">
        <v>421</v>
      </c>
      <c r="C15184" t="s">
        <v>18074</v>
      </c>
      <c r="D15184" t="s">
        <v>18133</v>
      </c>
      <c r="E15184" t="s">
        <v>31334</v>
      </c>
      <c r="F15184" t="s">
        <v>31362</v>
      </c>
      <c r="G15184" t="s">
        <v>31369</v>
      </c>
      <c r="H15184" t="s">
        <v>31378</v>
      </c>
      <c r="I15184" t="s">
        <v>31386</v>
      </c>
      <c r="J15184" t="s">
        <v>38372</v>
      </c>
      <c r="K15184" t="s">
        <v>40707</v>
      </c>
      <c r="M15184" t="s">
        <v>41372</v>
      </c>
      <c r="N15184" t="s">
        <v>44905</v>
      </c>
      <c r="O15184" t="s">
        <v>44906</v>
      </c>
      <c r="Q15184">
        <v>0</v>
      </c>
      <c r="R15184" t="s">
        <v>44975</v>
      </c>
      <c r="S15184" t="s">
        <v>46369</v>
      </c>
      <c r="T15184" t="s">
        <v>46416</v>
      </c>
      <c r="U15184" t="s">
        <v>59025</v>
      </c>
      <c r="W15184" t="s">
        <v>41372</v>
      </c>
      <c r="X15184" t="s">
        <v>44976</v>
      </c>
    </row>
    <row r="15185" spans="1:24">
      <c r="A15185">
        <f>HYPERLINK("https://www.philgeps.gov.ph/GEPSNONPILOT/Tender/SplashBidNoticeAbstractUI.aspx?menuIndex=3&amp;refID=6930801&amp;Result=3","6930801")</f>
        <v>0</v>
      </c>
      <c r="B15185" t="s">
        <v>55</v>
      </c>
      <c r="C15185" t="s">
        <v>18075</v>
      </c>
      <c r="D15185" t="s">
        <v>18120</v>
      </c>
      <c r="E15185" t="s">
        <v>31335</v>
      </c>
      <c r="F15185" t="s">
        <v>31362</v>
      </c>
      <c r="G15185" t="s">
        <v>31371</v>
      </c>
      <c r="H15185" t="s">
        <v>15799</v>
      </c>
      <c r="I15185" t="s">
        <v>31385</v>
      </c>
      <c r="J15185" t="s">
        <v>40647</v>
      </c>
      <c r="K15185" t="s">
        <v>40662</v>
      </c>
      <c r="M15185" t="s">
        <v>40989</v>
      </c>
      <c r="N15185" t="s">
        <v>44905</v>
      </c>
      <c r="O15185" t="s">
        <v>44906</v>
      </c>
      <c r="Q15185">
        <v>9</v>
      </c>
      <c r="R15185" t="s">
        <v>44975</v>
      </c>
      <c r="S15185" t="s">
        <v>46370</v>
      </c>
      <c r="T15185" t="s">
        <v>46454</v>
      </c>
      <c r="U15185" t="s">
        <v>59026</v>
      </c>
      <c r="W15185" t="s">
        <v>40989</v>
      </c>
      <c r="X15185" t="s">
        <v>44976</v>
      </c>
    </row>
    <row r="15186" spans="1:24">
      <c r="A15186">
        <f>HYPERLINK("https://www.philgeps.gov.ph/GEPSNONPILOT/Tender/SplashBidNoticeAbstractUI.aspx?menuIndex=3&amp;refID=6935415&amp;Result=3","6935415")</f>
        <v>0</v>
      </c>
      <c r="B15186" t="s">
        <v>2391</v>
      </c>
      <c r="C15186" t="s">
        <v>18076</v>
      </c>
      <c r="D15186" t="s">
        <v>18106</v>
      </c>
      <c r="E15186" t="s">
        <v>31336</v>
      </c>
      <c r="F15186" t="s">
        <v>31362</v>
      </c>
      <c r="G15186" t="s">
        <v>31369</v>
      </c>
      <c r="H15186" t="s">
        <v>31378</v>
      </c>
      <c r="I15186" t="s">
        <v>31386</v>
      </c>
      <c r="J15186" t="s">
        <v>32673</v>
      </c>
      <c r="K15186" t="s">
        <v>40686</v>
      </c>
      <c r="M15186" t="s">
        <v>43543</v>
      </c>
      <c r="N15186" t="s">
        <v>44905</v>
      </c>
      <c r="O15186" t="s">
        <v>44906</v>
      </c>
      <c r="Q15186">
        <v>0</v>
      </c>
      <c r="R15186" t="s">
        <v>44971</v>
      </c>
      <c r="S15186" t="s">
        <v>46371</v>
      </c>
      <c r="T15186" t="s">
        <v>46523</v>
      </c>
      <c r="U15186" t="s">
        <v>54604</v>
      </c>
      <c r="W15186" t="s">
        <v>43543</v>
      </c>
      <c r="X15186" t="s">
        <v>44975</v>
      </c>
    </row>
    <row r="15187" spans="1:24">
      <c r="A15187">
        <f>HYPERLINK("https://www.philgeps.gov.ph/GEPSNONPILOT/Tender/SplashBidNoticeAbstractUI.aspx?menuIndex=3&amp;refID=6932470&amp;Result=3","6932470")</f>
        <v>0</v>
      </c>
      <c r="B15187" t="s">
        <v>484</v>
      </c>
      <c r="C15187" t="s">
        <v>18077</v>
      </c>
      <c r="D15187" t="s">
        <v>18108</v>
      </c>
      <c r="E15187" t="s">
        <v>31337</v>
      </c>
      <c r="F15187" t="s">
        <v>31362</v>
      </c>
      <c r="G15187" t="s">
        <v>31369</v>
      </c>
      <c r="H15187" t="s">
        <v>15799</v>
      </c>
      <c r="I15187" t="s">
        <v>7090</v>
      </c>
      <c r="J15187" t="s">
        <v>40648</v>
      </c>
      <c r="K15187" t="s">
        <v>40662</v>
      </c>
      <c r="M15187" t="s">
        <v>41438</v>
      </c>
      <c r="N15187" t="s">
        <v>44905</v>
      </c>
      <c r="O15187" t="s">
        <v>44906</v>
      </c>
      <c r="Q15187">
        <v>8</v>
      </c>
      <c r="R15187" t="s">
        <v>44975</v>
      </c>
      <c r="S15187" t="s">
        <v>46372</v>
      </c>
      <c r="T15187" t="s">
        <v>46918</v>
      </c>
      <c r="U15187" t="s">
        <v>59027</v>
      </c>
      <c r="W15187" t="s">
        <v>41438</v>
      </c>
      <c r="X15187" t="s">
        <v>44976</v>
      </c>
    </row>
    <row r="15188" spans="1:24">
      <c r="A15188">
        <f>HYPERLINK("https://www.philgeps.gov.ph/GEPSNONPILOT/Tender/SplashBidNoticeAbstractUI.aspx?menuIndex=3&amp;refID=6934879&amp;Result=3","6934879")</f>
        <v>0</v>
      </c>
      <c r="B15188" t="s">
        <v>2391</v>
      </c>
      <c r="C15188" t="s">
        <v>18078</v>
      </c>
      <c r="D15188" t="s">
        <v>18106</v>
      </c>
      <c r="E15188" t="s">
        <v>31338</v>
      </c>
      <c r="F15188" t="s">
        <v>31362</v>
      </c>
      <c r="G15188" t="s">
        <v>31369</v>
      </c>
      <c r="H15188" t="s">
        <v>31378</v>
      </c>
      <c r="I15188" t="s">
        <v>31386</v>
      </c>
      <c r="J15188" t="s">
        <v>32673</v>
      </c>
      <c r="K15188" t="s">
        <v>40686</v>
      </c>
      <c r="M15188" t="s">
        <v>43540</v>
      </c>
      <c r="N15188" t="s">
        <v>44905</v>
      </c>
      <c r="O15188" t="s">
        <v>44906</v>
      </c>
      <c r="Q15188">
        <v>0</v>
      </c>
      <c r="R15188" t="s">
        <v>44971</v>
      </c>
      <c r="S15188" t="s">
        <v>46373</v>
      </c>
      <c r="T15188" t="s">
        <v>46532</v>
      </c>
      <c r="U15188" t="s">
        <v>59028</v>
      </c>
      <c r="W15188" t="s">
        <v>43540</v>
      </c>
      <c r="X15188" t="s">
        <v>44975</v>
      </c>
    </row>
    <row r="15189" spans="1:24">
      <c r="A15189">
        <f>HYPERLINK("https://www.philgeps.gov.ph/GEPSNONPILOT/Tender/SplashBidNoticeAbstractUI.aspx?menuIndex=3&amp;refID=6934642&amp;Result=3","6934642")</f>
        <v>0</v>
      </c>
      <c r="B15189" t="s">
        <v>421</v>
      </c>
      <c r="C15189" t="s">
        <v>18079</v>
      </c>
      <c r="D15189" t="s">
        <v>18133</v>
      </c>
      <c r="E15189" t="s">
        <v>31339</v>
      </c>
      <c r="F15189" t="s">
        <v>31362</v>
      </c>
      <c r="G15189" t="s">
        <v>31369</v>
      </c>
      <c r="H15189" t="s">
        <v>31378</v>
      </c>
      <c r="I15189" t="s">
        <v>31386</v>
      </c>
      <c r="J15189" t="s">
        <v>33743</v>
      </c>
      <c r="K15189" t="s">
        <v>40686</v>
      </c>
      <c r="M15189" t="s">
        <v>41372</v>
      </c>
      <c r="N15189" t="s">
        <v>44905</v>
      </c>
      <c r="O15189" t="s">
        <v>44906</v>
      </c>
      <c r="Q15189">
        <v>0</v>
      </c>
      <c r="R15189" t="s">
        <v>44971</v>
      </c>
      <c r="S15189" t="s">
        <v>46374</v>
      </c>
      <c r="T15189" t="s">
        <v>46400</v>
      </c>
      <c r="U15189" t="s">
        <v>59029</v>
      </c>
      <c r="W15189" t="s">
        <v>41372</v>
      </c>
      <c r="X15189" t="s">
        <v>44975</v>
      </c>
    </row>
    <row r="15190" spans="1:24">
      <c r="A15190">
        <f>HYPERLINK("https://www.philgeps.gov.ph/GEPSNONPILOT/Tender/SplashBidNoticeAbstractUI.aspx?menuIndex=3&amp;refID=6864422&amp;Result=3","6864422")</f>
        <v>0</v>
      </c>
      <c r="B15190" t="s">
        <v>700</v>
      </c>
      <c r="C15190" t="s">
        <v>18080</v>
      </c>
      <c r="E15190" t="s">
        <v>31340</v>
      </c>
      <c r="F15190" t="s">
        <v>31362</v>
      </c>
      <c r="G15190" t="s">
        <v>31369</v>
      </c>
      <c r="H15190" t="s">
        <v>31378</v>
      </c>
      <c r="I15190" t="s">
        <v>31386</v>
      </c>
      <c r="J15190" t="s">
        <v>40649</v>
      </c>
      <c r="K15190" t="s">
        <v>40662</v>
      </c>
      <c r="M15190" t="s">
        <v>42641</v>
      </c>
      <c r="N15190" t="s">
        <v>44905</v>
      </c>
      <c r="O15190" t="s">
        <v>44906</v>
      </c>
      <c r="Q15190">
        <v>26</v>
      </c>
      <c r="R15190" t="s">
        <v>45016</v>
      </c>
      <c r="S15190" t="s">
        <v>46375</v>
      </c>
      <c r="T15190" t="s">
        <v>46510</v>
      </c>
      <c r="U15190" t="s">
        <v>59030</v>
      </c>
      <c r="W15190" t="s">
        <v>41665</v>
      </c>
      <c r="X15190" t="s">
        <v>44998</v>
      </c>
    </row>
    <row r="15191" spans="1:24">
      <c r="A15191">
        <f>HYPERLINK("https://www.philgeps.gov.ph/GEPSNONPILOT/Tender/SplashBidNoticeAbstractUI.aspx?menuIndex=3&amp;refID=6931518&amp;Result=3","6931518")</f>
        <v>0</v>
      </c>
      <c r="B15191" t="s">
        <v>74</v>
      </c>
      <c r="C15191" t="s">
        <v>18081</v>
      </c>
      <c r="D15191" t="s">
        <v>18108</v>
      </c>
      <c r="E15191" t="s">
        <v>31341</v>
      </c>
      <c r="F15191" t="s">
        <v>31362</v>
      </c>
      <c r="G15191" t="s">
        <v>31369</v>
      </c>
      <c r="H15191" t="s">
        <v>15799</v>
      </c>
      <c r="I15191" t="s">
        <v>31393</v>
      </c>
      <c r="J15191" t="s">
        <v>40650</v>
      </c>
      <c r="K15191" t="s">
        <v>40662</v>
      </c>
      <c r="M15191" t="s">
        <v>44651</v>
      </c>
      <c r="N15191" t="s">
        <v>44905</v>
      </c>
      <c r="O15191" t="s">
        <v>44906</v>
      </c>
      <c r="Q15191">
        <v>30</v>
      </c>
      <c r="R15191" t="s">
        <v>44975</v>
      </c>
      <c r="S15191" t="s">
        <v>45062</v>
      </c>
      <c r="T15191" t="s">
        <v>46470</v>
      </c>
      <c r="U15191" t="s">
        <v>59031</v>
      </c>
      <c r="V15191" t="s">
        <v>60829</v>
      </c>
      <c r="W15191" t="s">
        <v>44651</v>
      </c>
      <c r="X15191" t="s">
        <v>44976</v>
      </c>
    </row>
    <row r="15192" spans="1:24">
      <c r="A15192">
        <f>HYPERLINK("https://www.philgeps.gov.ph/GEPSNONPILOT/Tender/SplashBidNoticeAbstractUI.aspx?menuIndex=3&amp;refID=6931232&amp;Result=3","6931232")</f>
        <v>0</v>
      </c>
      <c r="B15192" t="s">
        <v>559</v>
      </c>
      <c r="C15192" t="s">
        <v>18082</v>
      </c>
      <c r="D15192" t="s">
        <v>18139</v>
      </c>
      <c r="E15192" t="s">
        <v>31342</v>
      </c>
      <c r="F15192" t="s">
        <v>31362</v>
      </c>
      <c r="G15192" t="s">
        <v>31369</v>
      </c>
      <c r="H15192" t="s">
        <v>31378</v>
      </c>
      <c r="I15192" t="s">
        <v>31386</v>
      </c>
      <c r="J15192" t="s">
        <v>40651</v>
      </c>
      <c r="K15192" t="s">
        <v>40665</v>
      </c>
      <c r="M15192" t="s">
        <v>41515</v>
      </c>
      <c r="N15192" t="s">
        <v>44905</v>
      </c>
      <c r="O15192" t="s">
        <v>44906</v>
      </c>
      <c r="Q15192">
        <v>1</v>
      </c>
      <c r="R15192" t="s">
        <v>44975</v>
      </c>
      <c r="S15192" t="s">
        <v>45298</v>
      </c>
      <c r="T15192" t="s">
        <v>46504</v>
      </c>
      <c r="U15192" t="s">
        <v>47999</v>
      </c>
      <c r="V15192" t="s">
        <v>59206</v>
      </c>
      <c r="W15192" t="s">
        <v>41515</v>
      </c>
      <c r="X15192" t="s">
        <v>44976</v>
      </c>
    </row>
    <row r="15193" spans="1:24">
      <c r="A15193">
        <f>HYPERLINK("https://www.philgeps.gov.ph/GEPSNONPILOT/Tender/SplashBidNoticeAbstractUI.aspx?menuIndex=3&amp;refID=6931964&amp;Result=3","6931964")</f>
        <v>0</v>
      </c>
      <c r="B15193" t="s">
        <v>1353</v>
      </c>
      <c r="C15193" t="s">
        <v>18083</v>
      </c>
      <c r="D15193" t="s">
        <v>18103</v>
      </c>
      <c r="E15193" t="s">
        <v>31343</v>
      </c>
      <c r="F15193" t="s">
        <v>31362</v>
      </c>
      <c r="G15193" t="s">
        <v>31369</v>
      </c>
      <c r="H15193" t="s">
        <v>31378</v>
      </c>
      <c r="I15193" t="s">
        <v>31435</v>
      </c>
      <c r="J15193" t="s">
        <v>40652</v>
      </c>
      <c r="K15193" t="s">
        <v>40679</v>
      </c>
      <c r="M15193" t="s">
        <v>44874</v>
      </c>
      <c r="N15193" t="s">
        <v>44905</v>
      </c>
      <c r="O15193" t="s">
        <v>44906</v>
      </c>
      <c r="Q15193">
        <v>9</v>
      </c>
      <c r="R15193" t="s">
        <v>44975</v>
      </c>
      <c r="S15193" t="s">
        <v>46376</v>
      </c>
      <c r="T15193" t="s">
        <v>46671</v>
      </c>
      <c r="U15193" t="s">
        <v>58875</v>
      </c>
      <c r="W15193" t="s">
        <v>44874</v>
      </c>
      <c r="X15193" t="s">
        <v>44976</v>
      </c>
    </row>
    <row r="15194" spans="1:24">
      <c r="A15194">
        <f>HYPERLINK("https://www.philgeps.gov.ph/GEPSNONPILOT/Tender/SplashBidNoticeAbstractUI.aspx?menuIndex=3&amp;refID=6933890&amp;Result=3","6933890")</f>
        <v>0</v>
      </c>
      <c r="B15194" t="s">
        <v>1796</v>
      </c>
      <c r="C15194" t="s">
        <v>4283</v>
      </c>
      <c r="D15194" t="s">
        <v>18108</v>
      </c>
      <c r="E15194" t="s">
        <v>31344</v>
      </c>
      <c r="F15194" t="s">
        <v>31362</v>
      </c>
      <c r="G15194" t="s">
        <v>31368</v>
      </c>
      <c r="H15194" t="s">
        <v>15799</v>
      </c>
      <c r="I15194" t="s">
        <v>4283</v>
      </c>
      <c r="J15194" t="s">
        <v>40653</v>
      </c>
      <c r="K15194" t="s">
        <v>40666</v>
      </c>
      <c r="M15194" t="s">
        <v>42878</v>
      </c>
      <c r="N15194" t="s">
        <v>44905</v>
      </c>
      <c r="O15194" t="s">
        <v>44906</v>
      </c>
      <c r="Q15194">
        <v>2</v>
      </c>
      <c r="R15194" t="s">
        <v>44971</v>
      </c>
      <c r="S15194" t="s">
        <v>45894</v>
      </c>
      <c r="T15194" t="s">
        <v>46480</v>
      </c>
      <c r="U15194" t="s">
        <v>59032</v>
      </c>
      <c r="W15194" t="s">
        <v>42878</v>
      </c>
      <c r="X15194" t="s">
        <v>44975</v>
      </c>
    </row>
    <row r="15195" spans="1:24">
      <c r="A15195">
        <f>HYPERLINK("https://www.philgeps.gov.ph/GEPSNONPILOT/Tender/SplashBidNoticeAbstractUI.aspx?menuIndex=3&amp;refID=6933999&amp;Result=3","6933999")</f>
        <v>0</v>
      </c>
      <c r="B15195" t="s">
        <v>1796</v>
      </c>
      <c r="C15195" t="s">
        <v>18084</v>
      </c>
      <c r="D15195" t="s">
        <v>18108</v>
      </c>
      <c r="E15195" t="s">
        <v>31345</v>
      </c>
      <c r="F15195" t="s">
        <v>31362</v>
      </c>
      <c r="G15195" t="s">
        <v>31370</v>
      </c>
      <c r="H15195" t="s">
        <v>15799</v>
      </c>
      <c r="I15195" t="s">
        <v>31422</v>
      </c>
      <c r="J15195" t="s">
        <v>40654</v>
      </c>
      <c r="K15195" t="s">
        <v>40666</v>
      </c>
      <c r="M15195" t="s">
        <v>42878</v>
      </c>
      <c r="N15195" t="s">
        <v>44905</v>
      </c>
      <c r="O15195" t="s">
        <v>44906</v>
      </c>
      <c r="Q15195">
        <v>10</v>
      </c>
      <c r="R15195" t="s">
        <v>44971</v>
      </c>
      <c r="S15195" t="s">
        <v>46368</v>
      </c>
      <c r="T15195" t="s">
        <v>46480</v>
      </c>
      <c r="U15195" t="s">
        <v>59033</v>
      </c>
      <c r="W15195" t="s">
        <v>42878</v>
      </c>
      <c r="X15195" t="s">
        <v>44975</v>
      </c>
    </row>
    <row r="15196" spans="1:24">
      <c r="A15196">
        <f>HYPERLINK("https://www.philgeps.gov.ph/GEPSNONPILOT/Tender/SplashBidNoticeAbstractUI.aspx?menuIndex=3&amp;refID=6951562&amp;Result=3","6951562")</f>
        <v>0</v>
      </c>
      <c r="B15196" t="s">
        <v>516</v>
      </c>
      <c r="C15196" t="s">
        <v>18085</v>
      </c>
      <c r="D15196" t="s">
        <v>18102</v>
      </c>
      <c r="E15196" t="s">
        <v>31346</v>
      </c>
      <c r="F15196" t="s">
        <v>31362</v>
      </c>
      <c r="G15196" t="s">
        <v>31368</v>
      </c>
      <c r="H15196" t="s">
        <v>15799</v>
      </c>
      <c r="I15196" t="s">
        <v>7090</v>
      </c>
      <c r="J15196" t="s">
        <v>36300</v>
      </c>
      <c r="K15196" t="s">
        <v>40679</v>
      </c>
      <c r="M15196" t="s">
        <v>43558</v>
      </c>
      <c r="N15196" t="s">
        <v>44905</v>
      </c>
      <c r="O15196" t="s">
        <v>44906</v>
      </c>
      <c r="Q15196">
        <v>4</v>
      </c>
      <c r="R15196" t="s">
        <v>45020</v>
      </c>
      <c r="S15196" t="s">
        <v>46377</v>
      </c>
      <c r="T15196" t="s">
        <v>46900</v>
      </c>
      <c r="U15196" t="s">
        <v>53439</v>
      </c>
      <c r="W15196" t="s">
        <v>43558</v>
      </c>
      <c r="X15196" t="s">
        <v>45024</v>
      </c>
    </row>
    <row r="15197" spans="1:24">
      <c r="A15197">
        <f>HYPERLINK("https://www.philgeps.gov.ph/GEPSNONPILOT/Tender/SplashBidNoticeAbstractUI.aspx?menuIndex=3&amp;refID=6934606&amp;Result=3","6934606")</f>
        <v>0</v>
      </c>
      <c r="B15197" t="s">
        <v>424</v>
      </c>
      <c r="C15197" t="s">
        <v>18086</v>
      </c>
      <c r="D15197" t="s">
        <v>18137</v>
      </c>
      <c r="E15197" t="s">
        <v>31347</v>
      </c>
      <c r="F15197" t="s">
        <v>31362</v>
      </c>
      <c r="G15197" t="s">
        <v>31369</v>
      </c>
      <c r="H15197" t="s">
        <v>15799</v>
      </c>
      <c r="I15197" t="s">
        <v>31413</v>
      </c>
      <c r="J15197" t="s">
        <v>36045</v>
      </c>
      <c r="K15197" t="s">
        <v>40686</v>
      </c>
      <c r="M15197" t="s">
        <v>43301</v>
      </c>
      <c r="N15197" t="s">
        <v>44905</v>
      </c>
      <c r="O15197" t="s">
        <v>44906</v>
      </c>
      <c r="Q15197">
        <v>17</v>
      </c>
      <c r="R15197" t="s">
        <v>44971</v>
      </c>
      <c r="S15197" t="s">
        <v>46378</v>
      </c>
      <c r="T15197" t="s">
        <v>46527</v>
      </c>
      <c r="U15197" t="s">
        <v>59034</v>
      </c>
      <c r="W15197" t="s">
        <v>43301</v>
      </c>
      <c r="X15197" t="s">
        <v>44975</v>
      </c>
    </row>
    <row r="15198" spans="1:24">
      <c r="A15198">
        <f>HYPERLINK("https://www.philgeps.gov.ph/GEPSNONPILOT/Tender/SplashBidNoticeAbstractUI.aspx?menuIndex=3&amp;refID=6952539&amp;Result=3","6952539")</f>
        <v>0</v>
      </c>
      <c r="B15198" t="s">
        <v>3529</v>
      </c>
      <c r="C15198" t="s">
        <v>18087</v>
      </c>
      <c r="D15198" t="s">
        <v>18179</v>
      </c>
      <c r="E15198" t="s">
        <v>31348</v>
      </c>
      <c r="F15198" t="s">
        <v>31362</v>
      </c>
      <c r="G15198" t="s">
        <v>31369</v>
      </c>
      <c r="H15198" t="s">
        <v>15799</v>
      </c>
      <c r="I15198" t="s">
        <v>31409</v>
      </c>
      <c r="J15198" t="s">
        <v>31557</v>
      </c>
      <c r="K15198" t="s">
        <v>40662</v>
      </c>
      <c r="M15198" t="s">
        <v>44902</v>
      </c>
      <c r="N15198" t="s">
        <v>44905</v>
      </c>
      <c r="O15198" t="s">
        <v>44906</v>
      </c>
      <c r="Q15198">
        <v>7</v>
      </c>
      <c r="R15198" t="s">
        <v>45021</v>
      </c>
      <c r="S15198" t="s">
        <v>46379</v>
      </c>
      <c r="T15198" t="s">
        <v>46481</v>
      </c>
      <c r="U15198" t="s">
        <v>59035</v>
      </c>
      <c r="W15198" t="s">
        <v>44902</v>
      </c>
      <c r="X15198" t="s">
        <v>45020</v>
      </c>
    </row>
    <row r="15199" spans="1:24">
      <c r="A15199">
        <f>HYPERLINK("https://www.philgeps.gov.ph/GEPSNONPILOT/Tender/SplashBidNoticeAbstractUI.aspx?menuIndex=3&amp;refID=6934373&amp;Result=3","6934373")</f>
        <v>0</v>
      </c>
      <c r="B15199" t="s">
        <v>421</v>
      </c>
      <c r="C15199" t="s">
        <v>18088</v>
      </c>
      <c r="D15199" t="s">
        <v>18133</v>
      </c>
      <c r="E15199" t="s">
        <v>31349</v>
      </c>
      <c r="F15199" t="s">
        <v>31362</v>
      </c>
      <c r="G15199" t="s">
        <v>31369</v>
      </c>
      <c r="H15199" t="s">
        <v>31378</v>
      </c>
      <c r="I15199" t="s">
        <v>31386</v>
      </c>
      <c r="J15199" t="s">
        <v>32673</v>
      </c>
      <c r="K15199" t="s">
        <v>40766</v>
      </c>
      <c r="M15199" t="s">
        <v>41372</v>
      </c>
      <c r="N15199" t="s">
        <v>44905</v>
      </c>
      <c r="O15199" t="s">
        <v>44906</v>
      </c>
      <c r="Q15199">
        <v>0</v>
      </c>
      <c r="R15199" t="s">
        <v>44971</v>
      </c>
      <c r="S15199" t="s">
        <v>46380</v>
      </c>
      <c r="T15199" t="s">
        <v>46400</v>
      </c>
      <c r="U15199" t="s">
        <v>59036</v>
      </c>
      <c r="W15199" t="s">
        <v>41372</v>
      </c>
      <c r="X15199" t="s">
        <v>44975</v>
      </c>
    </row>
    <row r="15200" spans="1:24">
      <c r="A15200">
        <f>HYPERLINK("https://www.philgeps.gov.ph/GEPSNONPILOT/Tender/SplashBidNoticeAbstractUI.aspx?menuIndex=3&amp;refID=6935285&amp;Result=3","6935285")</f>
        <v>0</v>
      </c>
      <c r="B15200" t="s">
        <v>421</v>
      </c>
      <c r="C15200" t="s">
        <v>18089</v>
      </c>
      <c r="D15200" t="s">
        <v>18133</v>
      </c>
      <c r="E15200" t="s">
        <v>31350</v>
      </c>
      <c r="F15200" t="s">
        <v>31362</v>
      </c>
      <c r="G15200" t="s">
        <v>31369</v>
      </c>
      <c r="H15200" t="s">
        <v>31378</v>
      </c>
      <c r="I15200" t="s">
        <v>31386</v>
      </c>
      <c r="J15200" t="s">
        <v>34023</v>
      </c>
      <c r="K15200" t="s">
        <v>40765</v>
      </c>
      <c r="M15200" t="s">
        <v>41372</v>
      </c>
      <c r="N15200" t="s">
        <v>44905</v>
      </c>
      <c r="O15200" t="s">
        <v>44906</v>
      </c>
      <c r="Q15200">
        <v>0</v>
      </c>
      <c r="R15200" t="s">
        <v>44971</v>
      </c>
      <c r="S15200" t="s">
        <v>46381</v>
      </c>
      <c r="T15200" t="s">
        <v>46400</v>
      </c>
      <c r="U15200" t="s">
        <v>59037</v>
      </c>
      <c r="W15200" t="s">
        <v>41372</v>
      </c>
      <c r="X15200" t="s">
        <v>44975</v>
      </c>
    </row>
    <row r="15201" spans="1:24">
      <c r="A15201">
        <f>HYPERLINK("https://www.philgeps.gov.ph/GEPSNONPILOT/Tender/SplashBidNoticeAbstractUI.aspx?menuIndex=3&amp;refID=6958238&amp;Result=3","6958238")</f>
        <v>0</v>
      </c>
      <c r="B15201" t="s">
        <v>516</v>
      </c>
      <c r="C15201" t="s">
        <v>18090</v>
      </c>
      <c r="D15201" t="s">
        <v>18128</v>
      </c>
      <c r="E15201" t="s">
        <v>31351</v>
      </c>
      <c r="F15201" t="s">
        <v>31362</v>
      </c>
      <c r="G15201" t="s">
        <v>31368</v>
      </c>
      <c r="H15201" t="s">
        <v>15799</v>
      </c>
      <c r="I15201" t="s">
        <v>7090</v>
      </c>
      <c r="J15201" t="s">
        <v>31591</v>
      </c>
      <c r="K15201" t="s">
        <v>40665</v>
      </c>
      <c r="M15201" t="s">
        <v>43558</v>
      </c>
      <c r="N15201" t="s">
        <v>44905</v>
      </c>
      <c r="O15201" t="s">
        <v>44906</v>
      </c>
      <c r="Q15201">
        <v>7</v>
      </c>
      <c r="R15201" t="s">
        <v>44967</v>
      </c>
      <c r="S15201" t="s">
        <v>46382</v>
      </c>
      <c r="T15201" t="s">
        <v>46409</v>
      </c>
      <c r="U15201" t="s">
        <v>53439</v>
      </c>
      <c r="W15201" t="s">
        <v>43558</v>
      </c>
      <c r="X15201" t="s">
        <v>60996</v>
      </c>
    </row>
    <row r="15202" spans="1:24">
      <c r="A15202">
        <f>HYPERLINK("https://www.philgeps.gov.ph/GEPSNONPILOT/Tender/SplashBidNoticeAbstractUI.aspx?menuIndex=3&amp;refID=6960776&amp;Result=3","6960776")</f>
        <v>0</v>
      </c>
      <c r="B15202" t="s">
        <v>234</v>
      </c>
      <c r="C15202" t="s">
        <v>18091</v>
      </c>
      <c r="D15202" t="s">
        <v>18108</v>
      </c>
      <c r="E15202" t="s">
        <v>31352</v>
      </c>
      <c r="F15202" t="s">
        <v>31362</v>
      </c>
      <c r="G15202" t="s">
        <v>31369</v>
      </c>
      <c r="H15202" t="s">
        <v>15799</v>
      </c>
      <c r="I15202" t="s">
        <v>31413</v>
      </c>
      <c r="J15202" t="s">
        <v>40655</v>
      </c>
      <c r="K15202" t="s">
        <v>40931</v>
      </c>
      <c r="M15202" t="s">
        <v>43744</v>
      </c>
      <c r="N15202" t="s">
        <v>44905</v>
      </c>
      <c r="O15202" t="s">
        <v>44906</v>
      </c>
      <c r="Q15202">
        <v>4</v>
      </c>
      <c r="R15202" t="s">
        <v>45022</v>
      </c>
      <c r="S15202" t="s">
        <v>46383</v>
      </c>
      <c r="T15202" t="s">
        <v>46441</v>
      </c>
      <c r="U15202" t="s">
        <v>57611</v>
      </c>
      <c r="W15202" t="s">
        <v>43744</v>
      </c>
      <c r="X15202" t="s">
        <v>45025</v>
      </c>
    </row>
    <row r="15203" spans="1:24">
      <c r="A15203">
        <f>HYPERLINK("https://www.philgeps.gov.ph/GEPSNONPILOT/Tender/SplashBidNoticeAbstractUI.aspx?menuIndex=3&amp;refID=6912809&amp;Result=3","6912809")</f>
        <v>0</v>
      </c>
      <c r="B15203" t="s">
        <v>1566</v>
      </c>
      <c r="C15203" t="s">
        <v>18092</v>
      </c>
      <c r="E15203" t="s">
        <v>31353</v>
      </c>
      <c r="F15203" t="s">
        <v>31362</v>
      </c>
      <c r="G15203" t="s">
        <v>31369</v>
      </c>
      <c r="H15203" t="s">
        <v>15799</v>
      </c>
      <c r="I15203" t="s">
        <v>31413</v>
      </c>
      <c r="J15203" t="s">
        <v>34896</v>
      </c>
      <c r="K15203" t="s">
        <v>40662</v>
      </c>
      <c r="M15203" t="s">
        <v>44885</v>
      </c>
      <c r="N15203" t="s">
        <v>44905</v>
      </c>
      <c r="O15203" t="s">
        <v>44906</v>
      </c>
      <c r="Q15203">
        <v>10</v>
      </c>
      <c r="R15203" t="s">
        <v>44980</v>
      </c>
      <c r="S15203" t="s">
        <v>46384</v>
      </c>
      <c r="T15203" t="s">
        <v>46481</v>
      </c>
      <c r="U15203" t="s">
        <v>59038</v>
      </c>
      <c r="W15203" t="s">
        <v>44885</v>
      </c>
      <c r="X15203" t="s">
        <v>44984</v>
      </c>
    </row>
    <row r="15204" spans="1:24">
      <c r="A15204">
        <f>HYPERLINK("https://www.philgeps.gov.ph/GEPSNONPILOT/Tender/SplashBidNoticeAbstractUI.aspx?menuIndex=3&amp;refID=6933932&amp;Result=3","6933932")</f>
        <v>0</v>
      </c>
      <c r="B15204" t="s">
        <v>1796</v>
      </c>
      <c r="C15204" t="s">
        <v>7188</v>
      </c>
      <c r="D15204" t="s">
        <v>18102</v>
      </c>
      <c r="E15204" t="s">
        <v>31354</v>
      </c>
      <c r="F15204" t="s">
        <v>31362</v>
      </c>
      <c r="G15204" t="s">
        <v>31368</v>
      </c>
      <c r="H15204" t="s">
        <v>15799</v>
      </c>
      <c r="I15204" t="s">
        <v>7188</v>
      </c>
      <c r="J15204" t="s">
        <v>40656</v>
      </c>
      <c r="K15204" t="s">
        <v>40666</v>
      </c>
      <c r="M15204" t="s">
        <v>42878</v>
      </c>
      <c r="N15204" t="s">
        <v>44905</v>
      </c>
      <c r="O15204" t="s">
        <v>44906</v>
      </c>
      <c r="Q15204">
        <v>9</v>
      </c>
      <c r="R15204" t="s">
        <v>44971</v>
      </c>
      <c r="S15204" t="s">
        <v>46385</v>
      </c>
      <c r="T15204" t="s">
        <v>46480</v>
      </c>
      <c r="U15204" t="s">
        <v>59039</v>
      </c>
      <c r="W15204" t="s">
        <v>42878</v>
      </c>
      <c r="X15204" t="s">
        <v>44975</v>
      </c>
    </row>
    <row r="15205" spans="1:24">
      <c r="A15205">
        <f>HYPERLINK("https://www.philgeps.gov.ph/GEPSNONPILOT/Tender/SplashBidNoticeAbstractUI.aspx?menuIndex=3&amp;refID=6968396&amp;Result=3","6968396")</f>
        <v>0</v>
      </c>
      <c r="B15205" t="s">
        <v>700</v>
      </c>
      <c r="C15205" t="s">
        <v>18093</v>
      </c>
      <c r="E15205" t="s">
        <v>31355</v>
      </c>
      <c r="F15205" t="s">
        <v>31362</v>
      </c>
      <c r="G15205" t="s">
        <v>31369</v>
      </c>
      <c r="H15205" t="s">
        <v>15799</v>
      </c>
      <c r="I15205" t="s">
        <v>31385</v>
      </c>
      <c r="J15205" t="s">
        <v>40657</v>
      </c>
      <c r="K15205" t="s">
        <v>40662</v>
      </c>
      <c r="M15205" t="s">
        <v>41665</v>
      </c>
      <c r="N15205" t="s">
        <v>44905</v>
      </c>
      <c r="O15205" t="s">
        <v>44906</v>
      </c>
      <c r="Q15205">
        <v>7</v>
      </c>
      <c r="R15205" t="s">
        <v>45023</v>
      </c>
      <c r="S15205" t="s">
        <v>46386</v>
      </c>
      <c r="T15205" t="s">
        <v>46490</v>
      </c>
      <c r="U15205" t="s">
        <v>59040</v>
      </c>
      <c r="V15205" t="s">
        <v>60830</v>
      </c>
      <c r="W15205" t="s">
        <v>60915</v>
      </c>
      <c r="X15205" t="s">
        <v>61013</v>
      </c>
    </row>
    <row r="15206" spans="1:24">
      <c r="A15206">
        <f>HYPERLINK("https://www.philgeps.gov.ph/GEPSNONPILOT/Tender/SplashBidNoticeAbstractUI.aspx?menuIndex=3&amp;refID=6950842&amp;Result=3","6950842")</f>
        <v>0</v>
      </c>
      <c r="B15206" t="s">
        <v>1280</v>
      </c>
      <c r="C15206" t="s">
        <v>18094</v>
      </c>
      <c r="D15206" t="s">
        <v>18152</v>
      </c>
      <c r="E15206" t="s">
        <v>31356</v>
      </c>
      <c r="F15206" t="s">
        <v>31362</v>
      </c>
      <c r="G15206" t="s">
        <v>31368</v>
      </c>
      <c r="H15206" t="s">
        <v>15799</v>
      </c>
      <c r="I15206" t="s">
        <v>31394</v>
      </c>
      <c r="J15206" t="s">
        <v>40658</v>
      </c>
      <c r="K15206" t="s">
        <v>40662</v>
      </c>
      <c r="M15206" t="s">
        <v>42297</v>
      </c>
      <c r="N15206" t="s">
        <v>44905</v>
      </c>
      <c r="O15206" t="s">
        <v>44906</v>
      </c>
      <c r="Q15206">
        <v>2</v>
      </c>
      <c r="R15206" t="s">
        <v>45024</v>
      </c>
      <c r="S15206" t="s">
        <v>46387</v>
      </c>
      <c r="T15206" t="s">
        <v>46507</v>
      </c>
      <c r="U15206" t="s">
        <v>59041</v>
      </c>
      <c r="W15206" t="s">
        <v>42297</v>
      </c>
      <c r="X15206" t="s">
        <v>61014</v>
      </c>
    </row>
    <row r="15207" spans="1:24">
      <c r="A15207">
        <f>HYPERLINK("https://www.philgeps.gov.ph/GEPSNONPILOT/Tender/SplashBidNoticeAbstractUI.aspx?menuIndex=3&amp;refID=6968335&amp;Result=3","6968335")</f>
        <v>0</v>
      </c>
      <c r="B15207" t="s">
        <v>700</v>
      </c>
      <c r="C15207" t="s">
        <v>18095</v>
      </c>
      <c r="E15207" t="s">
        <v>31357</v>
      </c>
      <c r="F15207" t="s">
        <v>31362</v>
      </c>
      <c r="G15207" t="s">
        <v>31369</v>
      </c>
      <c r="H15207" t="s">
        <v>15799</v>
      </c>
      <c r="I15207" t="s">
        <v>6373</v>
      </c>
      <c r="J15207" t="s">
        <v>40659</v>
      </c>
      <c r="K15207" t="s">
        <v>40662</v>
      </c>
      <c r="M15207" t="s">
        <v>41665</v>
      </c>
      <c r="N15207" t="s">
        <v>44905</v>
      </c>
      <c r="O15207" t="s">
        <v>44906</v>
      </c>
      <c r="Q15207">
        <v>11</v>
      </c>
      <c r="R15207" t="s">
        <v>45023</v>
      </c>
      <c r="S15207" t="s">
        <v>46388</v>
      </c>
      <c r="T15207" t="s">
        <v>46490</v>
      </c>
      <c r="U15207" t="s">
        <v>59042</v>
      </c>
      <c r="V15207" t="s">
        <v>60831</v>
      </c>
      <c r="W15207" t="s">
        <v>60915</v>
      </c>
      <c r="X15207" t="s">
        <v>61013</v>
      </c>
    </row>
    <row r="15208" spans="1:24">
      <c r="A15208">
        <f>HYPERLINK("https://www.philgeps.gov.ph/GEPSNONPILOT/Tender/SplashBidNoticeAbstractUI.aspx?menuIndex=3&amp;refID=6955459&amp;Result=3","6955459")</f>
        <v>0</v>
      </c>
      <c r="B15208" t="s">
        <v>421</v>
      </c>
      <c r="C15208" t="s">
        <v>18096</v>
      </c>
      <c r="D15208" t="s">
        <v>18133</v>
      </c>
      <c r="E15208" t="s">
        <v>31358</v>
      </c>
      <c r="F15208" t="s">
        <v>31362</v>
      </c>
      <c r="G15208" t="s">
        <v>31369</v>
      </c>
      <c r="H15208" t="s">
        <v>31378</v>
      </c>
      <c r="I15208" t="s">
        <v>31386</v>
      </c>
      <c r="J15208" t="s">
        <v>34023</v>
      </c>
      <c r="K15208" t="s">
        <v>40754</v>
      </c>
      <c r="M15208" t="s">
        <v>41372</v>
      </c>
      <c r="N15208" t="s">
        <v>44905</v>
      </c>
      <c r="O15208" t="s">
        <v>44906</v>
      </c>
      <c r="Q15208">
        <v>0</v>
      </c>
      <c r="R15208" t="s">
        <v>44965</v>
      </c>
      <c r="S15208" t="s">
        <v>46389</v>
      </c>
      <c r="T15208" t="s">
        <v>46408</v>
      </c>
      <c r="U15208" t="s">
        <v>59043</v>
      </c>
      <c r="W15208" t="s">
        <v>41372</v>
      </c>
      <c r="X15208" t="s">
        <v>60995</v>
      </c>
    </row>
    <row r="15209" spans="1:24">
      <c r="A15209">
        <f>HYPERLINK("https://www.philgeps.gov.ph/GEPSNONPILOT/Tender/SplashBidNoticeAbstractUI.aspx?menuIndex=3&amp;refID=6954272&amp;Result=3","6954272")</f>
        <v>0</v>
      </c>
      <c r="B15209" t="s">
        <v>3530</v>
      </c>
      <c r="C15209" t="s">
        <v>18097</v>
      </c>
      <c r="E15209" t="s">
        <v>31359</v>
      </c>
      <c r="F15209" t="s">
        <v>31363</v>
      </c>
      <c r="G15209" t="s">
        <v>31368</v>
      </c>
      <c r="H15209" t="s">
        <v>15799</v>
      </c>
      <c r="I15209" t="s">
        <v>31436</v>
      </c>
      <c r="J15209" t="s">
        <v>31564</v>
      </c>
      <c r="K15209" t="s">
        <v>40662</v>
      </c>
      <c r="M15209" t="s">
        <v>44903</v>
      </c>
      <c r="N15209" t="s">
        <v>44905</v>
      </c>
      <c r="O15209" t="s">
        <v>44906</v>
      </c>
      <c r="P15209">
        <v>0</v>
      </c>
      <c r="Q15209">
        <v>5</v>
      </c>
      <c r="R15209" t="s">
        <v>45025</v>
      </c>
      <c r="S15209" t="s">
        <v>46390</v>
      </c>
      <c r="T15209" t="s">
        <v>46919</v>
      </c>
      <c r="U15209" t="s">
        <v>59044</v>
      </c>
      <c r="W15209" t="s">
        <v>44903</v>
      </c>
      <c r="X15209" t="s">
        <v>45021</v>
      </c>
    </row>
    <row r="15210" spans="1:24">
      <c r="A15210">
        <f>HYPERLINK("https://www.philgeps.gov.ph/GEPSNONPILOT/Tender/SplashBidNoticeAbstractUI.aspx?menuIndex=3&amp;refID=6968422&amp;Result=3","6968422")</f>
        <v>0</v>
      </c>
      <c r="B15210" t="s">
        <v>700</v>
      </c>
      <c r="C15210" t="s">
        <v>18098</v>
      </c>
      <c r="E15210" t="s">
        <v>31360</v>
      </c>
      <c r="F15210" t="s">
        <v>31362</v>
      </c>
      <c r="G15210" t="s">
        <v>31369</v>
      </c>
      <c r="H15210" t="s">
        <v>15799</v>
      </c>
      <c r="I15210" t="s">
        <v>31400</v>
      </c>
      <c r="J15210" t="s">
        <v>40660</v>
      </c>
      <c r="K15210" t="s">
        <v>40662</v>
      </c>
      <c r="M15210" t="s">
        <v>42641</v>
      </c>
      <c r="N15210" t="s">
        <v>44905</v>
      </c>
      <c r="O15210" t="s">
        <v>44906</v>
      </c>
      <c r="Q15210">
        <v>20</v>
      </c>
      <c r="R15210" t="s">
        <v>45023</v>
      </c>
      <c r="S15210" t="s">
        <v>45375</v>
      </c>
      <c r="T15210" t="s">
        <v>46490</v>
      </c>
      <c r="U15210" t="s">
        <v>59045</v>
      </c>
      <c r="W15210" t="s">
        <v>60915</v>
      </c>
      <c r="X15210" t="s">
        <v>61013</v>
      </c>
    </row>
    <row r="15211" spans="1:24">
      <c r="A15211">
        <f>HYPERLINK("https://www.philgeps.gov.ph/GEPSNONPILOT/Tender/SplashBidNoticeAbstractUI.aspx?menuIndex=3&amp;refID=6952167&amp;Result=3","6952167")</f>
        <v>0</v>
      </c>
      <c r="B15211" t="s">
        <v>3531</v>
      </c>
      <c r="C15211" t="s">
        <v>18099</v>
      </c>
      <c r="D15211" t="s">
        <v>18108</v>
      </c>
      <c r="E15211" t="s">
        <v>31361</v>
      </c>
      <c r="F15211" t="s">
        <v>31362</v>
      </c>
      <c r="G15211" t="s">
        <v>31369</v>
      </c>
      <c r="H15211" t="s">
        <v>31379</v>
      </c>
      <c r="I15211" t="s">
        <v>31393</v>
      </c>
      <c r="J15211" t="s">
        <v>33868</v>
      </c>
      <c r="K15211" t="s">
        <v>40665</v>
      </c>
      <c r="M15211" t="s">
        <v>44904</v>
      </c>
      <c r="N15211" t="s">
        <v>44905</v>
      </c>
      <c r="O15211" t="s">
        <v>44906</v>
      </c>
      <c r="Q15211">
        <v>16</v>
      </c>
      <c r="R15211" t="s">
        <v>45020</v>
      </c>
      <c r="S15211" t="s">
        <v>45600</v>
      </c>
      <c r="T15211" t="s">
        <v>46754</v>
      </c>
      <c r="U15211" t="s">
        <v>59046</v>
      </c>
      <c r="W15211" t="s">
        <v>44904</v>
      </c>
      <c r="X15211" t="s">
        <v>45024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2020-07-03T18:53:56Z</dcterms:created>
  <dcterms:modified xsi:type="dcterms:W3CDTF">2020-07-03T18:53:56Z</dcterms:modified>
</cp:coreProperties>
</file>